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pandanshelar/Documents/01-excle/"/>
    </mc:Choice>
  </mc:AlternateContent>
  <xr:revisionPtr revIDLastSave="0" documentId="13_ncr:1_{B6E88281-73DC-8941-9D61-F8C6D664E204}" xr6:coauthVersionLast="47" xr6:coauthVersionMax="47" xr10:uidLastSave="{00000000-0000-0000-0000-000000000000}"/>
  <bookViews>
    <workbookView xWindow="0" yWindow="0" windowWidth="25600" windowHeight="16000" firstSheet="26" activeTab="30" xr2:uid="{A4290DCB-8409-744D-9DE6-DF882A268D57}"/>
  </bookViews>
  <sheets>
    <sheet name="DAY 1" sheetId="1" r:id="rId1"/>
    <sheet name="DAY 2" sheetId="2" r:id="rId2"/>
    <sheet name="Day 2 condistional formating " sheetId="3" r:id="rId3"/>
    <sheet name="Day 3 condistional formating " sheetId="4" r:id="rId4"/>
    <sheet name="Sheet3" sheetId="8" r:id="rId5"/>
    <sheet name="Sheet2" sheetId="5" r:id="rId6"/>
    <sheet name="DUMMY DATASET" sheetId="6" r:id="rId7"/>
    <sheet name="Data Validation" sheetId="7" r:id="rId8"/>
    <sheet name="SUM IF" sheetId="9" r:id="rId9"/>
    <sheet name="SUMIFS" sheetId="10" r:id="rId10"/>
    <sheet name="COUNT COUNTA COUNTBLANK" sheetId="11" r:id="rId11"/>
    <sheet name="COUNTIF" sheetId="12" r:id="rId12"/>
    <sheet name="COUNTIFS" sheetId="13" r:id="rId13"/>
    <sheet name="AVERAGEIF" sheetId="14" r:id="rId14"/>
    <sheet name="AVERAGEIFS" sheetId="15" r:id="rId15"/>
    <sheet name="LEFT() RIGTH() FIND()" sheetId="16" r:id="rId16"/>
    <sheet name="REPT() SUBSTITUTE()" sheetId="17" r:id="rId17"/>
    <sheet name="CELL REFERENCE" sheetId="18" r:id="rId18"/>
    <sheet name="INDEX()&amp; MATCH()" sheetId="19" r:id="rId19"/>
    <sheet name="FREQUENCY()" sheetId="21" r:id="rId20"/>
    <sheet name="LOOKUP" sheetId="22" r:id="rId21"/>
    <sheet name="VLOOKUP_1" sheetId="23" r:id="rId22"/>
    <sheet name="VLOOKUP_2" sheetId="24" r:id="rId23"/>
    <sheet name="Nested_VLOOKUP" sheetId="25" r:id="rId24"/>
    <sheet name="RIGHT_TO_LEFT_VLOOKUP" sheetId="26" r:id="rId25"/>
    <sheet name="DOUBLE_VLOOKUP" sheetId="27" r:id="rId26"/>
    <sheet name="MULTIPLE_VLOOKUP" sheetId="28" r:id="rId27"/>
    <sheet name="XLOOKUP_1" sheetId="29" r:id="rId28"/>
    <sheet name="XLOOKUP_IF_NOT_FOUND" sheetId="30" r:id="rId29"/>
    <sheet name="XLOOKUP_MATCH_TYPE," sheetId="31" r:id="rId30"/>
    <sheet name="DMART DATA SET EXERSISE" sheetId="34" r:id="rId31"/>
    <sheet name="XLOOKUP_SEARCH_MODE" sheetId="32" r:id="rId32"/>
    <sheet name="HLOOKUP" sheetId="33" r:id="rId33"/>
  </sheets>
  <definedNames>
    <definedName name="_xlnm._FilterDatabase" localSheetId="5" hidden="1">Sheet2!$Z$1:$AS$21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34" l="1" a="1"/>
  <c r="J4" i="34" a="1"/>
  <c r="J5" i="34" a="1"/>
  <c r="J6" i="34" a="1"/>
  <c r="J7" i="34" a="1"/>
  <c r="J8" i="34" a="1"/>
  <c r="J9" i="34" a="1"/>
  <c r="J10" i="34" a="1"/>
  <c r="J11" i="34" a="1"/>
  <c r="J12" i="34" a="1"/>
  <c r="J13" i="34" a="1"/>
  <c r="J14" i="34" a="1"/>
  <c r="J15" i="34" a="1"/>
  <c r="J16" i="34" a="1"/>
  <c r="J17" i="34" a="1"/>
  <c r="J18" i="34" a="1"/>
  <c r="J19" i="34" a="1"/>
  <c r="J20" i="34" a="1"/>
  <c r="J21" i="34" a="1"/>
  <c r="J22" i="34" a="1"/>
  <c r="J23" i="34" a="1"/>
  <c r="J24" i="34" a="1"/>
  <c r="J25" i="34" a="1"/>
  <c r="J26" i="34" a="1"/>
  <c r="J27" i="34" a="1"/>
  <c r="J28" i="34" a="1"/>
  <c r="J29" i="34" a="1"/>
  <c r="J30" i="34" a="1"/>
  <c r="J31" i="34" a="1"/>
  <c r="J32" i="34" a="1"/>
  <c r="J33" i="34" a="1"/>
  <c r="J34" i="34" a="1"/>
  <c r="J35" i="34" a="1"/>
  <c r="J36" i="34" a="1"/>
  <c r="J37" i="34" a="1"/>
  <c r="J38" i="34" a="1"/>
  <c r="J39" i="34" a="1"/>
  <c r="J40" i="34" a="1"/>
  <c r="J41" i="34" a="1"/>
  <c r="J42" i="34" a="1"/>
  <c r="J43" i="34" a="1"/>
  <c r="J44" i="34" a="1"/>
  <c r="J45" i="34" a="1"/>
  <c r="J46" i="34" a="1"/>
  <c r="J47" i="34" a="1"/>
  <c r="J48" i="34" a="1"/>
  <c r="J49" i="34" a="1"/>
  <c r="J50" i="34" a="1"/>
  <c r="J51" i="34" a="1"/>
  <c r="J52" i="34" a="1"/>
  <c r="J53" i="34" a="1"/>
  <c r="J54" i="34" a="1"/>
  <c r="J55" i="34" a="1"/>
  <c r="J56" i="34" a="1"/>
  <c r="J57" i="34" a="1"/>
  <c r="J58" i="34" a="1"/>
  <c r="J59" i="34" a="1"/>
  <c r="J60" i="34" a="1"/>
  <c r="J61" i="34" a="1"/>
  <c r="J62" i="34" a="1"/>
  <c r="J63" i="34" a="1"/>
  <c r="J64" i="34" a="1"/>
  <c r="J65" i="34" a="1"/>
  <c r="J66" i="34" a="1"/>
  <c r="J67" i="34" a="1"/>
  <c r="J68" i="34" a="1"/>
  <c r="J69" i="34" a="1"/>
  <c r="J70" i="34" a="1"/>
  <c r="J71" i="34" a="1"/>
  <c r="J72" i="34" a="1"/>
  <c r="J73" i="34" a="1"/>
  <c r="J74" i="34" a="1"/>
  <c r="J75" i="34" a="1"/>
  <c r="J76" i="34" a="1"/>
  <c r="J77" i="34" a="1"/>
  <c r="J78" i="34" a="1"/>
  <c r="J79" i="34" a="1"/>
  <c r="J80" i="34" a="1"/>
  <c r="J81" i="34" a="1"/>
  <c r="J82" i="34" a="1"/>
  <c r="J83" i="34" a="1"/>
  <c r="J84" i="34" a="1"/>
  <c r="J85" i="34" a="1"/>
  <c r="J86" i="34" a="1"/>
  <c r="J87" i="34" a="1"/>
  <c r="J88" i="34" a="1"/>
  <c r="J89" i="34" a="1"/>
  <c r="J90" i="34" a="1"/>
  <c r="J91" i="34" a="1"/>
  <c r="J92" i="34" a="1"/>
  <c r="J93" i="34" a="1"/>
  <c r="J94" i="34" a="1"/>
  <c r="J95" i="34" a="1"/>
  <c r="J96" i="34" a="1"/>
  <c r="J97" i="34" a="1"/>
  <c r="J98" i="34" a="1"/>
  <c r="J99" i="34" a="1"/>
  <c r="J100" i="34" a="1"/>
  <c r="J101" i="34" a="1"/>
  <c r="J102" i="34" a="1"/>
  <c r="J103" i="34" a="1"/>
  <c r="J104" i="34" a="1"/>
  <c r="J105" i="34" a="1"/>
  <c r="J106" i="34" a="1"/>
  <c r="J107" i="34" a="1"/>
  <c r="J108" i="34" a="1"/>
  <c r="J109" i="34" a="1"/>
  <c r="J110" i="34" a="1"/>
  <c r="J111" i="34" a="1"/>
  <c r="J112" i="34" a="1"/>
  <c r="J113" i="34" a="1"/>
  <c r="J114" i="34" a="1"/>
  <c r="J115" i="34" a="1"/>
  <c r="J116" i="34" a="1"/>
  <c r="J117" i="34" a="1"/>
  <c r="J118" i="34" a="1"/>
  <c r="J119" i="34" a="1"/>
  <c r="J120" i="34" a="1"/>
  <c r="J121" i="34" a="1"/>
  <c r="J122" i="34" a="1"/>
  <c r="J123" i="34" a="1"/>
  <c r="J124" i="34" a="1"/>
  <c r="J125" i="34" a="1"/>
  <c r="J126" i="34" a="1"/>
  <c r="J127" i="34" a="1"/>
  <c r="J128" i="34" a="1"/>
  <c r="J129" i="34" a="1"/>
  <c r="J130" i="34" a="1"/>
  <c r="J131" i="34" a="1"/>
  <c r="J132" i="34" a="1"/>
  <c r="J133" i="34" a="1"/>
  <c r="J134" i="34" a="1"/>
  <c r="J135" i="34" a="1"/>
  <c r="J136" i="34" a="1"/>
  <c r="J137" i="34" a="1"/>
  <c r="J138" i="34" a="1"/>
  <c r="J139" i="34" a="1"/>
  <c r="J140" i="34" a="1"/>
  <c r="J141" i="34" a="1"/>
  <c r="J142" i="34" a="1"/>
  <c r="J143" i="34" a="1"/>
  <c r="J144" i="34" a="1"/>
  <c r="J145" i="34" a="1"/>
  <c r="J146" i="34" a="1"/>
  <c r="J147" i="34" a="1"/>
  <c r="J148" i="34" a="1"/>
  <c r="J149" i="34" a="1"/>
  <c r="J150" i="34" a="1"/>
  <c r="J151" i="34" a="1"/>
  <c r="J152" i="34" a="1"/>
  <c r="J153" i="34" a="1"/>
  <c r="J154" i="34" a="1"/>
  <c r="J155" i="34" a="1"/>
  <c r="J156" i="34" a="1"/>
  <c r="J157" i="34" a="1"/>
  <c r="J158" i="34" a="1"/>
  <c r="J159" i="34" a="1"/>
  <c r="J160" i="34" a="1"/>
  <c r="J161" i="34" a="1"/>
  <c r="J162" i="34" a="1"/>
  <c r="J163" i="34" a="1"/>
  <c r="J164" i="34" a="1"/>
  <c r="J165" i="34" a="1"/>
  <c r="J166" i="34" a="1"/>
  <c r="J167" i="34" a="1"/>
  <c r="J168" i="34" a="1"/>
  <c r="J169" i="34" a="1"/>
  <c r="J170" i="34" a="1"/>
  <c r="J171" i="34" a="1"/>
  <c r="J172" i="34" a="1"/>
  <c r="J173" i="34" a="1"/>
  <c r="J174" i="34" a="1"/>
  <c r="J175" i="34" a="1"/>
  <c r="J176" i="34" a="1"/>
  <c r="J177" i="34" a="1"/>
  <c r="J178" i="34" a="1"/>
  <c r="J179" i="34" a="1"/>
  <c r="J180" i="34" a="1"/>
  <c r="J181" i="34" a="1"/>
  <c r="J182" i="34" a="1"/>
  <c r="J183" i="34" a="1"/>
  <c r="J184" i="34" a="1"/>
  <c r="J185" i="34" a="1"/>
  <c r="J186" i="34" a="1"/>
  <c r="J187" i="34" a="1"/>
  <c r="J188" i="34" a="1"/>
  <c r="J189" i="34" a="1"/>
  <c r="J190" i="34" a="1"/>
  <c r="J191" i="34" a="1"/>
  <c r="J192" i="34" a="1"/>
  <c r="J193" i="34" a="1"/>
  <c r="J194" i="34" a="1"/>
  <c r="J195" i="34" a="1"/>
  <c r="J196" i="34" a="1"/>
  <c r="J197" i="34" a="1"/>
  <c r="J198" i="34" a="1"/>
  <c r="J199" i="34" a="1"/>
  <c r="J200" i="34" a="1"/>
  <c r="J201" i="34" a="1"/>
  <c r="J202" i="34" a="1"/>
  <c r="J203" i="34" a="1"/>
  <c r="J204" i="34" a="1"/>
  <c r="J205" i="34" a="1"/>
  <c r="J206" i="34" a="1"/>
  <c r="J207" i="34" a="1"/>
  <c r="J208" i="34" a="1"/>
  <c r="J209" i="34" a="1"/>
  <c r="J210" i="34" a="1"/>
  <c r="J211" i="34" a="1"/>
  <c r="J212" i="34" a="1"/>
  <c r="J213" i="34" a="1"/>
  <c r="J214" i="34" a="1"/>
  <c r="J215" i="34" a="1"/>
  <c r="J216" i="34" a="1"/>
  <c r="J217" i="34" a="1"/>
  <c r="J218" i="34" a="1"/>
  <c r="J219" i="34" a="1"/>
  <c r="J220" i="34" a="1"/>
  <c r="J221" i="34" a="1"/>
  <c r="J222" i="34" a="1"/>
  <c r="J223" i="34" a="1"/>
  <c r="J224" i="34" a="1"/>
  <c r="J225" i="34" a="1"/>
  <c r="J226" i="34" a="1"/>
  <c r="J227" i="34" a="1"/>
  <c r="J228" i="34" a="1"/>
  <c r="J229" i="34" a="1"/>
  <c r="J230" i="34" a="1"/>
  <c r="J231" i="34" a="1"/>
  <c r="J232" i="34" a="1"/>
  <c r="J233" i="34" a="1"/>
  <c r="J234" i="34" a="1"/>
  <c r="J235" i="34" a="1"/>
  <c r="J236" i="34" a="1"/>
  <c r="J237" i="34" a="1"/>
  <c r="J238" i="34" a="1"/>
  <c r="J239" i="34" a="1"/>
  <c r="J240" i="34" a="1"/>
  <c r="J241" i="34" a="1"/>
  <c r="J242" i="34" a="1"/>
  <c r="J243" i="34" a="1"/>
  <c r="J244" i="34" a="1"/>
  <c r="J245" i="34" a="1"/>
  <c r="J246" i="34" a="1"/>
  <c r="J247" i="34" a="1"/>
  <c r="J248" i="34" a="1"/>
  <c r="J249" i="34" a="1"/>
  <c r="J250" i="34" a="1"/>
  <c r="J251" i="34" a="1"/>
  <c r="J252" i="34" a="1"/>
  <c r="J253" i="34" a="1"/>
  <c r="J254" i="34" a="1"/>
  <c r="J255" i="34" a="1"/>
  <c r="J256" i="34" a="1"/>
  <c r="J257" i="34" a="1"/>
  <c r="J258" i="34" a="1"/>
  <c r="J259" i="34" a="1"/>
  <c r="J260" i="34" a="1"/>
  <c r="J261" i="34" a="1"/>
  <c r="J262" i="34" a="1"/>
  <c r="J263" i="34" a="1"/>
  <c r="J264" i="34" a="1"/>
  <c r="J265" i="34" a="1"/>
  <c r="J266" i="34" a="1"/>
  <c r="J267" i="34" a="1"/>
  <c r="J268" i="34" a="1"/>
  <c r="J269" i="34" a="1"/>
  <c r="J270" i="34" a="1"/>
  <c r="J271" i="34" a="1"/>
  <c r="J272" i="34" a="1"/>
  <c r="J273" i="34" a="1"/>
  <c r="J274" i="34" a="1"/>
  <c r="J275" i="34" a="1"/>
  <c r="J276" i="34" a="1"/>
  <c r="J277" i="34" a="1"/>
  <c r="J278" i="34" a="1"/>
  <c r="J279" i="34" a="1"/>
  <c r="J280" i="34" a="1"/>
  <c r="J281" i="34" a="1"/>
  <c r="J282" i="34" a="1"/>
  <c r="J283" i="34" a="1"/>
  <c r="J284" i="34" a="1"/>
  <c r="J285" i="34" a="1"/>
  <c r="J286" i="34" a="1"/>
  <c r="J287" i="34" a="1"/>
  <c r="J288" i="34" a="1"/>
  <c r="J289" i="34" a="1"/>
  <c r="J290" i="34" a="1"/>
  <c r="J291" i="34" a="1"/>
  <c r="J292" i="34" a="1"/>
  <c r="J293" i="34" a="1"/>
  <c r="J294" i="34" a="1"/>
  <c r="J295" i="34" a="1"/>
  <c r="J296" i="34" a="1"/>
  <c r="J297" i="34" a="1"/>
  <c r="J298" i="34" a="1"/>
  <c r="J299" i="34" a="1"/>
  <c r="J300" i="34" a="1"/>
  <c r="J301" i="34" a="1"/>
  <c r="J302" i="34" a="1"/>
  <c r="J303" i="34" a="1"/>
  <c r="J304" i="34" a="1"/>
  <c r="J305" i="34" a="1"/>
  <c r="J306" i="34" a="1"/>
  <c r="J307" i="34" a="1"/>
  <c r="J308" i="34" a="1"/>
  <c r="J309" i="34" a="1"/>
  <c r="J310" i="34" a="1"/>
  <c r="J311" i="34" a="1"/>
  <c r="J312" i="34" a="1"/>
  <c r="J313" i="34" a="1"/>
  <c r="J314" i="34" a="1"/>
  <c r="J315" i="34" a="1"/>
  <c r="J316" i="34" a="1"/>
  <c r="J317" i="34" a="1"/>
  <c r="J318" i="34" a="1"/>
  <c r="J319" i="34" a="1"/>
  <c r="J320" i="34" a="1"/>
  <c r="J321" i="34" a="1"/>
  <c r="J322" i="34" a="1"/>
  <c r="J323" i="34" a="1"/>
  <c r="J324" i="34" a="1"/>
  <c r="J325" i="34" a="1"/>
  <c r="J326" i="34" a="1"/>
  <c r="J327" i="34" a="1"/>
  <c r="J328" i="34" a="1"/>
  <c r="J329" i="34" a="1"/>
  <c r="J330" i="34" a="1"/>
  <c r="J331" i="34" a="1"/>
  <c r="J332" i="34" a="1"/>
  <c r="J333" i="34" a="1"/>
  <c r="J334" i="34" a="1"/>
  <c r="J335" i="34" a="1"/>
  <c r="J336" i="34" a="1"/>
  <c r="J337" i="34" a="1"/>
  <c r="J338" i="34" a="1"/>
  <c r="J339" i="34" a="1"/>
  <c r="J340" i="34" a="1"/>
  <c r="J341" i="34" a="1"/>
  <c r="J342" i="34" a="1"/>
  <c r="J343" i="34" a="1"/>
  <c r="J344" i="34" a="1"/>
  <c r="J345" i="34" a="1"/>
  <c r="J346" i="34" a="1"/>
  <c r="J347" i="34" a="1"/>
  <c r="J348" i="34" a="1"/>
  <c r="J349" i="34" a="1"/>
  <c r="J350" i="34" a="1"/>
  <c r="J351" i="34" a="1"/>
  <c r="J352" i="34" a="1"/>
  <c r="J353" i="34" a="1"/>
  <c r="J354" i="34" a="1"/>
  <c r="J355" i="34" a="1"/>
  <c r="J356" i="34" a="1"/>
  <c r="J357" i="34" a="1"/>
  <c r="J358" i="34" a="1"/>
  <c r="J359" i="34" a="1"/>
  <c r="J360" i="34" a="1"/>
  <c r="J361" i="34" a="1"/>
  <c r="J362" i="34" a="1"/>
  <c r="J363" i="34" a="1"/>
  <c r="J364" i="34" a="1"/>
  <c r="J365" i="34" a="1"/>
  <c r="J366" i="34" a="1"/>
  <c r="J367" i="34" a="1"/>
  <c r="J368" i="34" a="1"/>
  <c r="J369" i="34" a="1"/>
  <c r="J370" i="34" a="1"/>
  <c r="J371" i="34" a="1"/>
  <c r="J372" i="34" a="1"/>
  <c r="J373" i="34" a="1"/>
  <c r="J374" i="34" a="1"/>
  <c r="J375" i="34" a="1"/>
  <c r="J376" i="34" a="1"/>
  <c r="J377" i="34" a="1"/>
  <c r="J378" i="34" a="1"/>
  <c r="J379" i="34" a="1"/>
  <c r="J380" i="34" a="1"/>
  <c r="J381" i="34" a="1"/>
  <c r="J382" i="34" a="1"/>
  <c r="J383" i="34" a="1"/>
  <c r="J384" i="34" a="1"/>
  <c r="J385" i="34" a="1"/>
  <c r="J386" i="34" a="1"/>
  <c r="J387" i="34" a="1"/>
  <c r="J388" i="34" a="1"/>
  <c r="J389" i="34" a="1"/>
  <c r="J390" i="34" a="1"/>
  <c r="J391" i="34" a="1"/>
  <c r="J392" i="34" a="1"/>
  <c r="J393" i="34" a="1"/>
  <c r="J394" i="34" a="1"/>
  <c r="J395" i="34" a="1"/>
  <c r="J396" i="34" a="1"/>
  <c r="J397" i="34" a="1"/>
  <c r="J398" i="34" a="1"/>
  <c r="J399" i="34" a="1"/>
  <c r="J400" i="34" a="1"/>
  <c r="J401" i="34" a="1"/>
  <c r="J402" i="34" a="1"/>
  <c r="J403" i="34" a="1"/>
  <c r="J404" i="34" a="1"/>
  <c r="J405" i="34" a="1"/>
  <c r="J406" i="34" a="1"/>
  <c r="J407" i="34" a="1"/>
  <c r="J408" i="34" a="1"/>
  <c r="J409" i="34" a="1"/>
  <c r="J410" i="34" a="1"/>
  <c r="J411" i="34" a="1"/>
  <c r="J412" i="34" a="1"/>
  <c r="J413" i="34" a="1"/>
  <c r="J414" i="34" a="1"/>
  <c r="J415" i="34" a="1"/>
  <c r="J416" i="34" a="1"/>
  <c r="J417" i="34" a="1"/>
  <c r="J418" i="34" a="1"/>
  <c r="J419" i="34" a="1"/>
  <c r="J420" i="34" a="1"/>
  <c r="J421" i="34" a="1"/>
  <c r="J422" i="34" a="1"/>
  <c r="J423" i="34" a="1"/>
  <c r="J424" i="34" a="1"/>
  <c r="J425" i="34" a="1"/>
  <c r="J426" i="34" a="1"/>
  <c r="J427" i="34" a="1"/>
  <c r="J428" i="34" a="1"/>
  <c r="J429" i="34" a="1"/>
  <c r="J430" i="34" a="1"/>
  <c r="J431" i="34" a="1"/>
  <c r="J432" i="34" a="1"/>
  <c r="J433" i="34" a="1"/>
  <c r="J434" i="34" a="1"/>
  <c r="J435" i="34" a="1"/>
  <c r="J436" i="34" a="1"/>
  <c r="J437" i="34" a="1"/>
  <c r="J438" i="34" a="1"/>
  <c r="J439" i="34" a="1"/>
  <c r="J440" i="34" a="1"/>
  <c r="J441" i="34" a="1"/>
  <c r="J442" i="34" a="1"/>
  <c r="J443" i="34" a="1"/>
  <c r="J444" i="34" a="1"/>
  <c r="J445" i="34" a="1"/>
  <c r="J446" i="34" a="1"/>
  <c r="J447" i="34" a="1"/>
  <c r="J448" i="34" a="1"/>
  <c r="J449" i="34" a="1"/>
  <c r="J450" i="34" a="1"/>
  <c r="J451" i="34" a="1"/>
  <c r="J452" i="34" a="1"/>
  <c r="J453" i="34" a="1"/>
  <c r="J454" i="34" a="1"/>
  <c r="J455" i="34" a="1"/>
  <c r="J456" i="34" a="1"/>
  <c r="J457" i="34" a="1"/>
  <c r="J458" i="34" a="1"/>
  <c r="J459" i="34" a="1"/>
  <c r="J460" i="34" a="1"/>
  <c r="J461" i="34" a="1"/>
  <c r="J462" i="34" a="1"/>
  <c r="J463" i="34" a="1"/>
  <c r="J464" i="34" a="1"/>
  <c r="J465" i="34" a="1"/>
  <c r="J466" i="34" a="1"/>
  <c r="J467" i="34" a="1"/>
  <c r="J468" i="34" a="1"/>
  <c r="J469" i="34" a="1"/>
  <c r="J470" i="34" a="1"/>
  <c r="J471" i="34" a="1"/>
  <c r="J472" i="34" a="1"/>
  <c r="J473" i="34" a="1"/>
  <c r="J474" i="34" a="1"/>
  <c r="J475" i="34" a="1"/>
  <c r="J476" i="34" a="1"/>
  <c r="J477" i="34" a="1"/>
  <c r="J478" i="34" a="1"/>
  <c r="J479" i="34" a="1"/>
  <c r="J480" i="34" a="1"/>
  <c r="J481" i="34" a="1"/>
  <c r="J482" i="34" a="1"/>
  <c r="J483" i="34" a="1"/>
  <c r="J484" i="34" a="1"/>
  <c r="J485" i="34" a="1"/>
  <c r="J486" i="34" a="1"/>
  <c r="J487" i="34" a="1"/>
  <c r="J488" i="34" a="1"/>
  <c r="J489" i="34" a="1"/>
  <c r="J490" i="34" a="1"/>
  <c r="J491" i="34" a="1"/>
  <c r="J492" i="34" a="1"/>
  <c r="J493" i="34" a="1"/>
  <c r="J494" i="34" a="1"/>
  <c r="J495" i="34" a="1"/>
  <c r="J496" i="34" a="1"/>
  <c r="J497" i="34" a="1"/>
  <c r="J498" i="34" a="1"/>
  <c r="J499" i="34" a="1"/>
  <c r="J500" i="34" a="1"/>
  <c r="J501" i="34" a="1"/>
  <c r="J502" i="34" a="1"/>
  <c r="J503" i="34" a="1"/>
  <c r="J504" i="34" a="1"/>
  <c r="J505" i="34" a="1"/>
  <c r="J506" i="34" a="1"/>
  <c r="J507" i="34" a="1"/>
  <c r="J508" i="34" a="1"/>
  <c r="J509" i="34" a="1"/>
  <c r="J510" i="34" a="1"/>
  <c r="J511" i="34" a="1"/>
  <c r="J512" i="34" a="1"/>
  <c r="J513" i="34" a="1"/>
  <c r="J514" i="34" a="1"/>
  <c r="J515" i="34" a="1"/>
  <c r="J516" i="34" a="1"/>
  <c r="J517" i="34" a="1"/>
  <c r="J518" i="34" a="1"/>
  <c r="J519" i="34" a="1"/>
  <c r="J520" i="34" a="1"/>
  <c r="J521" i="34" a="1"/>
  <c r="J522" i="34" a="1"/>
  <c r="J523" i="34" a="1"/>
  <c r="J524" i="34" a="1"/>
  <c r="J525" i="34" a="1"/>
  <c r="J526" i="34" a="1"/>
  <c r="J527" i="34" a="1"/>
  <c r="J528" i="34" a="1"/>
  <c r="J529" i="34" a="1"/>
  <c r="J530" i="34" a="1"/>
  <c r="J531" i="34" a="1"/>
  <c r="J532" i="34" a="1"/>
  <c r="J533" i="34" a="1"/>
  <c r="J534" i="34" a="1"/>
  <c r="J535" i="34" a="1"/>
  <c r="J536" i="34" a="1"/>
  <c r="J537" i="34" a="1"/>
  <c r="J538" i="34" a="1"/>
  <c r="J539" i="34" a="1"/>
  <c r="J540" i="34" a="1"/>
  <c r="J541" i="34" a="1"/>
  <c r="J542" i="34" a="1"/>
  <c r="J543" i="34" a="1"/>
  <c r="J544" i="34" a="1"/>
  <c r="J545" i="34" a="1"/>
  <c r="J546" i="34" a="1"/>
  <c r="J547" i="34" a="1"/>
  <c r="J548" i="34" a="1"/>
  <c r="J549" i="34" a="1"/>
  <c r="J550" i="34" a="1"/>
  <c r="J551" i="34" a="1"/>
  <c r="J552" i="34" a="1"/>
  <c r="J553" i="34" a="1"/>
  <c r="J554" i="34" a="1"/>
  <c r="J555" i="34" a="1"/>
  <c r="J556" i="34" a="1"/>
  <c r="J557" i="34" a="1"/>
  <c r="J558" i="34" a="1"/>
  <c r="J559" i="34" a="1"/>
  <c r="J560" i="34" a="1"/>
  <c r="J561" i="34" a="1"/>
  <c r="J562" i="34" a="1"/>
  <c r="J563" i="34" a="1"/>
  <c r="J564" i="34" a="1"/>
  <c r="J565" i="34" a="1"/>
  <c r="J566" i="34" a="1"/>
  <c r="J567" i="34" a="1"/>
  <c r="J568" i="34" a="1"/>
  <c r="J569" i="34" a="1"/>
  <c r="J570" i="34" a="1"/>
  <c r="J571" i="34" a="1"/>
  <c r="J572" i="34" a="1"/>
  <c r="J573" i="34" a="1"/>
  <c r="J574" i="34" a="1"/>
  <c r="J575" i="34" a="1"/>
  <c r="J576" i="34" a="1"/>
  <c r="J577" i="34" a="1"/>
  <c r="J578" i="34" a="1"/>
  <c r="J579" i="34" a="1"/>
  <c r="J580" i="34" a="1"/>
  <c r="J581" i="34" a="1"/>
  <c r="J582" i="34" a="1"/>
  <c r="J583" i="34" a="1"/>
  <c r="J584" i="34" a="1"/>
  <c r="J585" i="34" a="1"/>
  <c r="J586" i="34" a="1"/>
  <c r="J587" i="34" a="1"/>
  <c r="J588" i="34" a="1"/>
  <c r="J589" i="34" a="1"/>
  <c r="J590" i="34" a="1"/>
  <c r="J591" i="34" a="1"/>
  <c r="J592" i="34" a="1"/>
  <c r="J593" i="34" a="1"/>
  <c r="J594" i="34" a="1"/>
  <c r="J595" i="34" a="1"/>
  <c r="J596" i="34" a="1"/>
  <c r="J597" i="34" a="1"/>
  <c r="J598" i="34" a="1"/>
  <c r="J599" i="34" a="1"/>
  <c r="J600" i="34" a="1"/>
  <c r="J601" i="34" a="1"/>
  <c r="J602" i="34" a="1"/>
  <c r="J603" i="34" a="1"/>
  <c r="J604" i="34" a="1"/>
  <c r="J605" i="34" a="1"/>
  <c r="J606" i="34" a="1"/>
  <c r="J607" i="34" a="1"/>
  <c r="J608" i="34" a="1"/>
  <c r="J609" i="34" a="1"/>
  <c r="J610" i="34" a="1"/>
  <c r="J611" i="34" a="1"/>
  <c r="J612" i="34" a="1"/>
  <c r="J613" i="34" a="1"/>
  <c r="J614" i="34" a="1"/>
  <c r="J615" i="34" a="1"/>
  <c r="J616" i="34" a="1"/>
  <c r="J617" i="34" a="1"/>
  <c r="J618" i="34" a="1"/>
  <c r="J619" i="34" a="1"/>
  <c r="J620" i="34" a="1"/>
  <c r="J621" i="34" a="1"/>
  <c r="J622" i="34" a="1"/>
  <c r="J623" i="34" a="1"/>
  <c r="J624" i="34" a="1"/>
  <c r="J625" i="34" a="1"/>
  <c r="J626" i="34" a="1"/>
  <c r="J627" i="34" a="1"/>
  <c r="J628" i="34" a="1"/>
  <c r="J629" i="34" a="1"/>
  <c r="J630" i="34" a="1"/>
  <c r="J631" i="34" a="1"/>
  <c r="J632" i="34" a="1"/>
  <c r="J633" i="34" a="1"/>
  <c r="J634" i="34" a="1"/>
  <c r="J635" i="34" a="1"/>
  <c r="J636" i="34" a="1"/>
  <c r="J637" i="34" a="1"/>
  <c r="J638" i="34" a="1"/>
  <c r="J639" i="34" a="1"/>
  <c r="J640" i="34" a="1"/>
  <c r="J641" i="34" a="1"/>
  <c r="J642" i="34" a="1"/>
  <c r="J643" i="34" a="1"/>
  <c r="J644" i="34" a="1"/>
  <c r="J645" i="34" a="1"/>
  <c r="J646" i="34" a="1"/>
  <c r="J647" i="34" a="1"/>
  <c r="J648" i="34" a="1"/>
  <c r="J649" i="34" a="1"/>
  <c r="J650" i="34" a="1"/>
  <c r="J651" i="34" a="1"/>
  <c r="J652" i="34" a="1"/>
  <c r="J653" i="34" a="1"/>
  <c r="J654" i="34" a="1"/>
  <c r="J655" i="34" a="1"/>
  <c r="J656" i="34" a="1"/>
  <c r="J657" i="34" a="1"/>
  <c r="J658" i="34" a="1"/>
  <c r="J659" i="34" a="1"/>
  <c r="J660" i="34" a="1"/>
  <c r="J661" i="34" a="1"/>
  <c r="J662" i="34" a="1"/>
  <c r="J663" i="34" a="1"/>
  <c r="J664" i="34" a="1"/>
  <c r="J665" i="34" a="1"/>
  <c r="J666" i="34" a="1"/>
  <c r="J667" i="34" a="1"/>
  <c r="J668" i="34" a="1"/>
  <c r="J669" i="34" a="1"/>
  <c r="J670" i="34" a="1"/>
  <c r="J671" i="34" a="1"/>
  <c r="J672" i="34" a="1"/>
  <c r="J673" i="34" a="1"/>
  <c r="J674" i="34" a="1"/>
  <c r="J675" i="34" a="1"/>
  <c r="J676" i="34" a="1"/>
  <c r="J677" i="34" a="1"/>
  <c r="J678" i="34" a="1"/>
  <c r="J679" i="34" a="1"/>
  <c r="J680" i="34" a="1"/>
  <c r="J681" i="34" a="1"/>
  <c r="J682" i="34" a="1"/>
  <c r="J683" i="34" a="1"/>
  <c r="J684" i="34" a="1"/>
  <c r="J685" i="34" a="1"/>
  <c r="J686" i="34" a="1"/>
  <c r="J687" i="34" a="1"/>
  <c r="J688" i="34" a="1"/>
  <c r="J689" i="34" a="1"/>
  <c r="J690" i="34" a="1"/>
  <c r="J691" i="34" a="1"/>
  <c r="J692" i="34" a="1"/>
  <c r="J693" i="34" a="1"/>
  <c r="J694" i="34" a="1"/>
  <c r="J695" i="34" a="1"/>
  <c r="J696" i="34" a="1"/>
  <c r="J697" i="34" a="1"/>
  <c r="J698" i="34" a="1"/>
  <c r="J699" i="34" a="1"/>
  <c r="J700" i="34" a="1"/>
  <c r="J701" i="34" a="1"/>
  <c r="J702" i="34" a="1"/>
  <c r="J703" i="34" a="1"/>
  <c r="J704" i="34" a="1"/>
  <c r="J705" i="34" a="1"/>
  <c r="J706" i="34" a="1"/>
  <c r="J707" i="34" a="1"/>
  <c r="J708" i="34" a="1"/>
  <c r="J709" i="34" a="1"/>
  <c r="J710" i="34" a="1"/>
  <c r="J711" i="34" a="1"/>
  <c r="J712" i="34" a="1"/>
  <c r="J713" i="34" a="1"/>
  <c r="J714" i="34" a="1"/>
  <c r="J715" i="34" a="1"/>
  <c r="J716" i="34" a="1"/>
  <c r="J717" i="34" a="1"/>
  <c r="J718" i="34" a="1"/>
  <c r="J719" i="34" a="1"/>
  <c r="J720" i="34" a="1"/>
  <c r="J721" i="34" a="1"/>
  <c r="J722" i="34" a="1"/>
  <c r="J723" i="34" a="1"/>
  <c r="J724" i="34" a="1"/>
  <c r="J725" i="34" a="1"/>
  <c r="J726" i="34" a="1"/>
  <c r="J727" i="34" a="1"/>
  <c r="J728" i="34" a="1"/>
  <c r="J729" i="34" a="1"/>
  <c r="J730" i="34" a="1"/>
  <c r="J731" i="34" a="1"/>
  <c r="J732" i="34" a="1"/>
  <c r="J733" i="34" a="1"/>
  <c r="J734" i="34" a="1"/>
  <c r="J735" i="34" a="1"/>
  <c r="J736" i="34" a="1"/>
  <c r="J737" i="34" a="1"/>
  <c r="J738" i="34" a="1"/>
  <c r="J739" i="34" a="1"/>
  <c r="J740" i="34" a="1"/>
  <c r="J741" i="34" a="1"/>
  <c r="J742" i="34" a="1"/>
  <c r="J743" i="34" a="1"/>
  <c r="J744" i="34" a="1"/>
  <c r="J745" i="34" a="1"/>
  <c r="J746" i="34" a="1"/>
  <c r="J747" i="34" a="1"/>
  <c r="J748" i="34" a="1"/>
  <c r="J749" i="34" a="1"/>
  <c r="J750" i="34" a="1"/>
  <c r="J751" i="34" a="1"/>
  <c r="J752" i="34" a="1"/>
  <c r="J753" i="34" a="1"/>
  <c r="J754" i="34" a="1"/>
  <c r="J755" i="34" a="1"/>
  <c r="J756" i="34" a="1"/>
  <c r="J757" i="34" a="1"/>
  <c r="J758" i="34" a="1"/>
  <c r="J759" i="34" a="1"/>
  <c r="J760" i="34" a="1"/>
  <c r="J761" i="34" a="1"/>
  <c r="J762" i="34" a="1"/>
  <c r="J763" i="34" a="1"/>
  <c r="J764" i="34" a="1"/>
  <c r="J765" i="34" a="1"/>
  <c r="J766" i="34" a="1"/>
  <c r="J767" i="34" a="1"/>
  <c r="J768" i="34" a="1"/>
  <c r="J769" i="34" a="1"/>
  <c r="J770" i="34" a="1"/>
  <c r="J771" i="34" a="1"/>
  <c r="J772" i="34" a="1"/>
  <c r="J773" i="34" a="1"/>
  <c r="J774" i="34" a="1"/>
  <c r="J775" i="34" a="1"/>
  <c r="J776" i="34" a="1"/>
  <c r="J777" i="34" a="1"/>
  <c r="J778" i="34" a="1"/>
  <c r="J779" i="34" a="1"/>
  <c r="J780" i="34" a="1"/>
  <c r="J781" i="34" a="1"/>
  <c r="J782" i="34" a="1"/>
  <c r="J783" i="34" a="1"/>
  <c r="J784" i="34" a="1"/>
  <c r="J785" i="34" a="1"/>
  <c r="J786" i="34" a="1"/>
  <c r="J787" i="34" a="1"/>
  <c r="J788" i="34" a="1"/>
  <c r="J789" i="34" a="1"/>
  <c r="J790" i="34" a="1"/>
  <c r="J791" i="34" a="1"/>
  <c r="J792" i="34" a="1"/>
  <c r="J793" i="34" a="1"/>
  <c r="J794" i="34" a="1"/>
  <c r="J795" i="34" a="1"/>
  <c r="J796" i="34" a="1"/>
  <c r="J797" i="34" a="1"/>
  <c r="J798" i="34" a="1"/>
  <c r="J799" i="34" a="1"/>
  <c r="J800" i="34" a="1"/>
  <c r="J801" i="34" a="1"/>
  <c r="J802" i="34" a="1"/>
  <c r="J803" i="34" a="1"/>
  <c r="J804" i="34" a="1"/>
  <c r="J805" i="34" a="1"/>
  <c r="J806" i="34" a="1"/>
  <c r="J807" i="34" a="1"/>
  <c r="J808" i="34" a="1"/>
  <c r="J809" i="34" a="1"/>
  <c r="J810" i="34" a="1"/>
  <c r="J811" i="34" a="1"/>
  <c r="J812" i="34" a="1"/>
  <c r="J813" i="34" a="1"/>
  <c r="J814" i="34" a="1"/>
  <c r="J815" i="34" a="1"/>
  <c r="J816" i="34" a="1"/>
  <c r="J817" i="34" a="1"/>
  <c r="J818" i="34" a="1"/>
  <c r="J819" i="34" a="1"/>
  <c r="J820" i="34" a="1"/>
  <c r="J821" i="34" a="1"/>
  <c r="J822" i="34" a="1"/>
  <c r="J823" i="34" a="1"/>
  <c r="J824" i="34" a="1"/>
  <c r="J825" i="34" a="1"/>
  <c r="J826" i="34" a="1"/>
  <c r="J827" i="34" a="1"/>
  <c r="J828" i="34" a="1"/>
  <c r="J829" i="34" a="1"/>
  <c r="J830" i="34" a="1"/>
  <c r="J831" i="34" a="1"/>
  <c r="J832" i="34" a="1"/>
  <c r="J833" i="34" a="1"/>
  <c r="J834" i="34" a="1"/>
  <c r="J835" i="34" a="1"/>
  <c r="J836" i="34" a="1"/>
  <c r="J837" i="34" a="1"/>
  <c r="J838" i="34" a="1"/>
  <c r="J839" i="34" a="1"/>
  <c r="J840" i="34" a="1"/>
  <c r="J841" i="34" a="1"/>
  <c r="J842" i="34" a="1"/>
  <c r="J843" i="34" a="1"/>
  <c r="J844" i="34" a="1"/>
  <c r="J845" i="34" a="1"/>
  <c r="J846" i="34" a="1"/>
  <c r="J847" i="34" a="1"/>
  <c r="J848" i="34" a="1"/>
  <c r="J849" i="34" a="1"/>
  <c r="J850" i="34" a="1"/>
  <c r="J851" i="34" a="1"/>
  <c r="J852" i="34" a="1"/>
  <c r="J853" i="34" a="1"/>
  <c r="J854" i="34" a="1"/>
  <c r="J855" i="34" a="1"/>
  <c r="J856" i="34" a="1"/>
  <c r="J857" i="34" a="1"/>
  <c r="J858" i="34" a="1"/>
  <c r="J859" i="34" a="1"/>
  <c r="J860" i="34" a="1"/>
  <c r="J861" i="34" a="1"/>
  <c r="J862" i="34" a="1"/>
  <c r="J863" i="34" a="1"/>
  <c r="J864" i="34" a="1"/>
  <c r="J865" i="34" a="1"/>
  <c r="J866" i="34" a="1"/>
  <c r="J867" i="34" a="1"/>
  <c r="J868" i="34" a="1"/>
  <c r="J869" i="34" a="1"/>
  <c r="J870" i="34" a="1"/>
  <c r="J871" i="34" a="1"/>
  <c r="J872" i="34" a="1"/>
  <c r="J873" i="34" a="1"/>
  <c r="J874" i="34" a="1"/>
  <c r="J875" i="34" a="1"/>
  <c r="J876" i="34" a="1"/>
  <c r="J877" i="34" a="1"/>
  <c r="J878" i="34" a="1"/>
  <c r="J879" i="34" a="1"/>
  <c r="J880" i="34" a="1"/>
  <c r="J881" i="34" a="1"/>
  <c r="J882" i="34" a="1"/>
  <c r="J883" i="34" a="1"/>
  <c r="J884" i="34" a="1"/>
  <c r="J885" i="34" a="1"/>
  <c r="J886" i="34" a="1"/>
  <c r="J887" i="34" a="1"/>
  <c r="J888" i="34" a="1"/>
  <c r="J889" i="34" a="1"/>
  <c r="J890" i="34" a="1"/>
  <c r="J891" i="34" a="1"/>
  <c r="J892" i="34" a="1"/>
  <c r="J893" i="34" a="1"/>
  <c r="J894" i="34" a="1"/>
  <c r="J895" i="34" a="1"/>
  <c r="J896" i="34" a="1"/>
  <c r="J897" i="34" a="1"/>
  <c r="J898" i="34" a="1"/>
  <c r="J899" i="34" a="1"/>
  <c r="J900" i="34" a="1"/>
  <c r="J901" i="34" a="1"/>
  <c r="J902" i="34" a="1"/>
  <c r="J903" i="34" a="1"/>
  <c r="J904" i="34" a="1"/>
  <c r="J905" i="34" a="1"/>
  <c r="J906" i="34" a="1"/>
  <c r="J907" i="34" a="1"/>
  <c r="J908" i="34" a="1"/>
  <c r="J909" i="34" a="1"/>
  <c r="J910" i="34" a="1"/>
  <c r="J911" i="34" a="1"/>
  <c r="J912" i="34" a="1"/>
  <c r="J913" i="34" a="1"/>
  <c r="J914" i="34" a="1"/>
  <c r="J915" i="34" a="1"/>
  <c r="J916" i="34" a="1"/>
  <c r="J917" i="34" a="1"/>
  <c r="J918" i="34" a="1"/>
  <c r="J919" i="34" a="1"/>
  <c r="J920" i="34" a="1"/>
  <c r="J921" i="34" a="1"/>
  <c r="J922" i="34" a="1"/>
  <c r="J923" i="34" a="1"/>
  <c r="J924" i="34" a="1"/>
  <c r="J925" i="34" a="1"/>
  <c r="J926" i="34" a="1"/>
  <c r="J927" i="34" a="1"/>
  <c r="J928" i="34" a="1"/>
  <c r="J929" i="34" a="1"/>
  <c r="J930" i="34" a="1"/>
  <c r="J931" i="34" a="1"/>
  <c r="J932" i="34" a="1"/>
  <c r="J933" i="34" a="1"/>
  <c r="J934" i="34" a="1"/>
  <c r="J935" i="34" a="1"/>
  <c r="J936" i="34" a="1"/>
  <c r="J937" i="34" a="1"/>
  <c r="J938" i="34" a="1"/>
  <c r="J939" i="34" a="1"/>
  <c r="J940" i="34" a="1"/>
  <c r="J941" i="34" a="1"/>
  <c r="J942" i="34" a="1"/>
  <c r="J943" i="34" a="1"/>
  <c r="J944" i="34" a="1"/>
  <c r="J945" i="34" a="1"/>
  <c r="J946" i="34" a="1"/>
  <c r="J947" i="34" a="1"/>
  <c r="J948" i="34" a="1"/>
  <c r="J949" i="34" a="1"/>
  <c r="J950" i="34" a="1"/>
  <c r="J951" i="34" a="1"/>
  <c r="J952" i="34" a="1"/>
  <c r="J953" i="34" a="1"/>
  <c r="J954" i="34" a="1"/>
  <c r="J955" i="34" a="1"/>
  <c r="J956" i="34" a="1"/>
  <c r="J957" i="34" a="1"/>
  <c r="J958" i="34" a="1"/>
  <c r="J959" i="34" a="1"/>
  <c r="J960" i="34" a="1"/>
  <c r="J961" i="34" a="1"/>
  <c r="J962" i="34" a="1"/>
  <c r="J963" i="34" a="1"/>
  <c r="J964" i="34" a="1"/>
  <c r="J965" i="34" a="1"/>
  <c r="J966" i="34" a="1"/>
  <c r="J967" i="34" a="1"/>
  <c r="J968" i="34" a="1"/>
  <c r="J969" i="34" a="1"/>
  <c r="J970" i="34" a="1"/>
  <c r="J971" i="34" a="1"/>
  <c r="J972" i="34" a="1"/>
  <c r="J973" i="34" a="1"/>
  <c r="J974" i="34" a="1"/>
  <c r="J975" i="34" a="1"/>
  <c r="J976" i="34" a="1"/>
  <c r="J977" i="34" a="1"/>
  <c r="J978" i="34" a="1"/>
  <c r="J979" i="34" a="1"/>
  <c r="J980" i="34" a="1"/>
  <c r="J981" i="34" a="1"/>
  <c r="J982" i="34" a="1"/>
  <c r="J983" i="34" a="1"/>
  <c r="J984" i="34" a="1"/>
  <c r="J985" i="34" a="1"/>
  <c r="J986" i="34" a="1"/>
  <c r="J987" i="34" a="1"/>
  <c r="J988" i="34" a="1"/>
  <c r="J989" i="34" a="1"/>
  <c r="J990" i="34" a="1"/>
  <c r="J991" i="34" a="1"/>
  <c r="J992" i="34" a="1"/>
  <c r="J993" i="34" a="1"/>
  <c r="J994" i="34" a="1"/>
  <c r="J995" i="34" a="1"/>
  <c r="J996" i="34" a="1"/>
  <c r="J997" i="34" a="1"/>
  <c r="J998" i="34" a="1"/>
  <c r="J999" i="34" a="1"/>
  <c r="J1000" i="34" a="1"/>
  <c r="J1001" i="34" a="1"/>
  <c r="J1002" i="34" a="1"/>
  <c r="J1003" i="34" a="1"/>
  <c r="J1004" i="34" a="1"/>
  <c r="J1005" i="34" a="1"/>
  <c r="J1006" i="34" a="1"/>
  <c r="J1007" i="34" a="1"/>
  <c r="J1008" i="34" a="1"/>
  <c r="J1009" i="34" a="1"/>
  <c r="J1010" i="34" a="1"/>
  <c r="J1011" i="34" a="1"/>
  <c r="J1012" i="34" a="1"/>
  <c r="J1013" i="34" a="1"/>
  <c r="J1014" i="34" a="1"/>
  <c r="J1015" i="34" a="1"/>
  <c r="J1016" i="34" a="1"/>
  <c r="J1017" i="34" a="1"/>
  <c r="J1018" i="34" a="1"/>
  <c r="J1019" i="34" a="1"/>
  <c r="J1020" i="34" a="1"/>
  <c r="J1021" i="34" a="1"/>
  <c r="J1022" i="34" a="1"/>
  <c r="J1023" i="34" a="1"/>
  <c r="J1024" i="34" a="1"/>
  <c r="J1025" i="34" a="1"/>
  <c r="J1026" i="34" a="1"/>
  <c r="J1027" i="34" a="1"/>
  <c r="J1028" i="34" a="1"/>
  <c r="J1029" i="34" a="1"/>
  <c r="J1030" i="34" a="1"/>
  <c r="J1031" i="34" a="1"/>
  <c r="J1032" i="34" a="1"/>
  <c r="J1033" i="34" a="1"/>
  <c r="J1034" i="34" a="1"/>
  <c r="J1035" i="34" a="1"/>
  <c r="J1036" i="34" a="1"/>
  <c r="J1037" i="34" a="1"/>
  <c r="J1038" i="34" a="1"/>
  <c r="J1039" i="34" a="1"/>
  <c r="J1040" i="34" a="1"/>
  <c r="J1041" i="34" a="1"/>
  <c r="J1042" i="34" a="1"/>
  <c r="J1043" i="34" a="1"/>
  <c r="J1044" i="34" a="1"/>
  <c r="J1045" i="34" a="1"/>
  <c r="J1046" i="34" a="1"/>
  <c r="J1047" i="34" a="1"/>
  <c r="J1048" i="34" a="1"/>
  <c r="J1049" i="34" a="1"/>
  <c r="J1050" i="34" a="1"/>
  <c r="J1051" i="34" a="1"/>
  <c r="J1052" i="34" a="1"/>
  <c r="J1053" i="34" a="1"/>
  <c r="J1054" i="34" a="1"/>
  <c r="J1055" i="34" a="1"/>
  <c r="J1056" i="34" a="1"/>
  <c r="J1057" i="34" a="1"/>
  <c r="J1058" i="34" a="1"/>
  <c r="J1059" i="34" a="1"/>
  <c r="J1060" i="34" a="1"/>
  <c r="J1061" i="34" a="1"/>
  <c r="J1062" i="34" a="1"/>
  <c r="J1063" i="34" a="1"/>
  <c r="J1064" i="34" a="1"/>
  <c r="J1065" i="34" a="1"/>
  <c r="J1066" i="34" a="1"/>
  <c r="J1067" i="34" a="1"/>
  <c r="J1068" i="34" a="1"/>
  <c r="J1069" i="34" a="1"/>
  <c r="J1070" i="34" a="1"/>
  <c r="J1071" i="34" a="1"/>
  <c r="J1072" i="34" a="1"/>
  <c r="J1073" i="34" a="1"/>
  <c r="J1074" i="34" a="1"/>
  <c r="J1075" i="34" a="1"/>
  <c r="J1076" i="34" a="1"/>
  <c r="J1077" i="34" a="1"/>
  <c r="J1078" i="34" a="1"/>
  <c r="J1079" i="34" a="1"/>
  <c r="J1080" i="34" a="1"/>
  <c r="J1081" i="34" a="1"/>
  <c r="J1082" i="34" a="1"/>
  <c r="J1083" i="34" a="1"/>
  <c r="J1084" i="34" a="1"/>
  <c r="J1085" i="34" a="1"/>
  <c r="J1086" i="34" a="1"/>
  <c r="J1087" i="34" a="1"/>
  <c r="J1088" i="34" a="1"/>
  <c r="J1089" i="34" a="1"/>
  <c r="J1090" i="34" a="1"/>
  <c r="J1091" i="34" a="1"/>
  <c r="J1092" i="34" a="1"/>
  <c r="J1093" i="34" a="1"/>
  <c r="J1094" i="34" a="1"/>
  <c r="J1095" i="34" a="1"/>
  <c r="J1096" i="34" a="1"/>
  <c r="J1097" i="34" a="1"/>
  <c r="J1098" i="34" a="1"/>
  <c r="J1099" i="34" a="1"/>
  <c r="J1100" i="34" a="1"/>
  <c r="J1101" i="34" a="1"/>
  <c r="J1102" i="34" a="1"/>
  <c r="J1103" i="34" a="1"/>
  <c r="J1104" i="34" a="1"/>
  <c r="J1105" i="34" a="1"/>
  <c r="J1106" i="34" a="1"/>
  <c r="J1107" i="34" a="1"/>
  <c r="J1108" i="34" a="1"/>
  <c r="J1109" i="34" a="1"/>
  <c r="J1110" i="34" a="1"/>
  <c r="J1111" i="34" a="1"/>
  <c r="J1112" i="34" a="1"/>
  <c r="J1113" i="34" a="1"/>
  <c r="J1114" i="34" a="1"/>
  <c r="J1115" i="34" a="1"/>
  <c r="J1116" i="34" a="1"/>
  <c r="J1117" i="34" a="1"/>
  <c r="J1118" i="34" a="1"/>
  <c r="J1119" i="34" a="1"/>
  <c r="J1120" i="34" a="1"/>
  <c r="J1121" i="34" a="1"/>
  <c r="J1122" i="34" a="1"/>
  <c r="J1123" i="34" a="1"/>
  <c r="J1124" i="34" a="1"/>
  <c r="J1125" i="34" a="1"/>
  <c r="J1126" i="34" a="1"/>
  <c r="J1127" i="34" a="1"/>
  <c r="J1128" i="34" a="1"/>
  <c r="J1129" i="34" a="1"/>
  <c r="J1130" i="34" a="1"/>
  <c r="J1131" i="34" a="1"/>
  <c r="J1132" i="34" a="1"/>
  <c r="J1133" i="34" a="1"/>
  <c r="J1134" i="34" a="1"/>
  <c r="J1135" i="34" a="1"/>
  <c r="J1136" i="34" a="1"/>
  <c r="J1137" i="34" a="1"/>
  <c r="J1138" i="34" a="1"/>
  <c r="J1139" i="34" a="1"/>
  <c r="J1140" i="34" a="1"/>
  <c r="J1141" i="34" a="1"/>
  <c r="J1142" i="34" a="1"/>
  <c r="J1143" i="34" a="1"/>
  <c r="J1144" i="34" a="1"/>
  <c r="J1145" i="34" a="1"/>
  <c r="J1146" i="34" a="1"/>
  <c r="J1147" i="34" a="1"/>
  <c r="J1148" i="34" a="1"/>
  <c r="J1149" i="34" a="1"/>
  <c r="J1150" i="34" a="1"/>
  <c r="J1151" i="34" a="1"/>
  <c r="J1152" i="34" a="1"/>
  <c r="J1153" i="34" a="1"/>
  <c r="J1154" i="34" a="1"/>
  <c r="J1155" i="34" a="1"/>
  <c r="J1156" i="34" a="1"/>
  <c r="J1157" i="34" a="1"/>
  <c r="J1158" i="34" a="1"/>
  <c r="J1159" i="34" a="1"/>
  <c r="J1160" i="34" a="1"/>
  <c r="J1161" i="34" a="1"/>
  <c r="J1162" i="34" a="1"/>
  <c r="J1163" i="34" a="1"/>
  <c r="J1164" i="34" a="1"/>
  <c r="J1165" i="34" a="1"/>
  <c r="J1166" i="34" a="1"/>
  <c r="J1167" i="34" a="1"/>
  <c r="J1168" i="34" a="1"/>
  <c r="J1169" i="34" a="1"/>
  <c r="J1170" i="34" a="1"/>
  <c r="J1171" i="34" a="1"/>
  <c r="J1172" i="34" a="1"/>
  <c r="J1173" i="34" a="1"/>
  <c r="J1174" i="34" a="1"/>
  <c r="J1175" i="34" a="1"/>
  <c r="J1176" i="34" a="1"/>
  <c r="J1177" i="34" a="1"/>
  <c r="J1178" i="34" a="1"/>
  <c r="J1179" i="34" a="1"/>
  <c r="J1180" i="34" a="1"/>
  <c r="J1181" i="34" a="1"/>
  <c r="J1182" i="34" a="1"/>
  <c r="J1183" i="34" a="1"/>
  <c r="J1184" i="34" a="1"/>
  <c r="J1185" i="34" a="1"/>
  <c r="J1186" i="34" a="1"/>
  <c r="J1187" i="34" a="1"/>
  <c r="J1188" i="34" a="1"/>
  <c r="J1189" i="34" a="1"/>
  <c r="J1190" i="34" a="1"/>
  <c r="J1191" i="34" a="1"/>
  <c r="J1192" i="34" a="1"/>
  <c r="J1193" i="34" a="1"/>
  <c r="J1194" i="34" a="1"/>
  <c r="J1195" i="34" a="1"/>
  <c r="J1196" i="34" a="1"/>
  <c r="J1197" i="34" a="1"/>
  <c r="J1198" i="34" a="1"/>
  <c r="J1199" i="34" a="1"/>
  <c r="J1200" i="34" a="1"/>
  <c r="J1201" i="34" a="1"/>
  <c r="J1202" i="34" a="1"/>
  <c r="J1203" i="34" a="1"/>
  <c r="J1204" i="34" a="1"/>
  <c r="J1205" i="34" a="1"/>
  <c r="J1206" i="34" a="1"/>
  <c r="J1207" i="34" a="1"/>
  <c r="J1208" i="34" a="1"/>
  <c r="J1209" i="34" a="1"/>
  <c r="J1210" i="34" a="1"/>
  <c r="J1211" i="34" a="1"/>
  <c r="J1212" i="34" a="1"/>
  <c r="J1213" i="34" a="1"/>
  <c r="J1214" i="34" a="1"/>
  <c r="J1215" i="34" a="1"/>
  <c r="J1216" i="34" a="1"/>
  <c r="J1217" i="34" a="1"/>
  <c r="J1218" i="34" a="1"/>
  <c r="J1219" i="34" a="1"/>
  <c r="J1220" i="34" a="1"/>
  <c r="J1221" i="34" a="1"/>
  <c r="J1222" i="34" a="1"/>
  <c r="J1223" i="34" a="1"/>
  <c r="J1224" i="34" a="1"/>
  <c r="J1225" i="34" a="1"/>
  <c r="J1226" i="34" a="1"/>
  <c r="J1227" i="34" a="1"/>
  <c r="J1228" i="34" a="1"/>
  <c r="J1229" i="34" a="1"/>
  <c r="J1230" i="34" a="1"/>
  <c r="J1231" i="34" a="1"/>
  <c r="J1232" i="34" a="1"/>
  <c r="J1233" i="34" a="1"/>
  <c r="J1234" i="34" a="1"/>
  <c r="J1235" i="34" a="1"/>
  <c r="J1236" i="34" a="1"/>
  <c r="J1237" i="34" a="1"/>
  <c r="J1238" i="34" a="1"/>
  <c r="J1239" i="34" a="1"/>
  <c r="J1240" i="34" a="1"/>
  <c r="J1241" i="34" a="1"/>
  <c r="J1242" i="34" a="1"/>
  <c r="J1243" i="34" a="1"/>
  <c r="J1244" i="34" a="1"/>
  <c r="J1245" i="34" a="1"/>
  <c r="J1246" i="34" a="1"/>
  <c r="J1247" i="34" a="1"/>
  <c r="J1248" i="34" a="1"/>
  <c r="J1249" i="34" a="1"/>
  <c r="J1250" i="34" a="1"/>
  <c r="J1251" i="34" a="1"/>
  <c r="J1252" i="34" a="1"/>
  <c r="J1253" i="34" a="1"/>
  <c r="J1254" i="34" a="1"/>
  <c r="J1255" i="34" a="1"/>
  <c r="J1256" i="34" a="1"/>
  <c r="J1257" i="34" a="1"/>
  <c r="J1258" i="34" a="1"/>
  <c r="J1259" i="34" a="1"/>
  <c r="J1260" i="34" a="1"/>
  <c r="J1261" i="34" a="1"/>
  <c r="J1262" i="34" a="1"/>
  <c r="J1263" i="34" a="1"/>
  <c r="J1264" i="34" a="1"/>
  <c r="J1265" i="34" a="1"/>
  <c r="J1266" i="34" a="1"/>
  <c r="J1267" i="34" a="1"/>
  <c r="J1268" i="34" a="1"/>
  <c r="J1269" i="34" a="1"/>
  <c r="J1270" i="34" a="1"/>
  <c r="J1271" i="34" a="1"/>
  <c r="J1272" i="34" a="1"/>
  <c r="J1273" i="34" a="1"/>
  <c r="J1274" i="34" a="1"/>
  <c r="J1275" i="34" a="1"/>
  <c r="J1276" i="34" a="1"/>
  <c r="J1277" i="34" a="1"/>
  <c r="J1278" i="34" a="1"/>
  <c r="J1279" i="34" a="1"/>
  <c r="J1280" i="34" a="1"/>
  <c r="J1281" i="34" a="1"/>
  <c r="J1282" i="34" a="1"/>
  <c r="J1283" i="34" a="1"/>
  <c r="J1284" i="34" a="1"/>
  <c r="J1285" i="34" a="1"/>
  <c r="J1286" i="34" a="1"/>
  <c r="J1287" i="34" a="1"/>
  <c r="J1288" i="34" a="1"/>
  <c r="J1289" i="34" a="1"/>
  <c r="J1290" i="34" a="1"/>
  <c r="J1291" i="34" a="1"/>
  <c r="J1292" i="34" a="1"/>
  <c r="J1293" i="34" a="1"/>
  <c r="J1294" i="34" a="1"/>
  <c r="J1295" i="34" a="1"/>
  <c r="J1296" i="34" a="1"/>
  <c r="J1297" i="34" a="1"/>
  <c r="J1298" i="34" a="1"/>
  <c r="J1299" i="34" a="1"/>
  <c r="J1300" i="34" a="1"/>
  <c r="J1301" i="34" a="1"/>
  <c r="J1302" i="34" a="1"/>
  <c r="J1303" i="34" a="1"/>
  <c r="J1304" i="34" a="1"/>
  <c r="J1305" i="34" a="1"/>
  <c r="J1306" i="34" a="1"/>
  <c r="J1307" i="34" a="1"/>
  <c r="J1308" i="34" a="1"/>
  <c r="J1309" i="34" a="1"/>
  <c r="J1310" i="34" a="1"/>
  <c r="J1311" i="34" a="1"/>
  <c r="J1312" i="34" a="1"/>
  <c r="J1313" i="34" a="1"/>
  <c r="J1314" i="34" a="1"/>
  <c r="J1315" i="34" a="1"/>
  <c r="J1316" i="34" a="1"/>
  <c r="J1317" i="34" a="1"/>
  <c r="J1318" i="34" a="1"/>
  <c r="J1319" i="34" a="1"/>
  <c r="J1320" i="34" a="1"/>
  <c r="J1321" i="34" a="1"/>
  <c r="J1322" i="34" a="1"/>
  <c r="J1323" i="34" a="1"/>
  <c r="J1324" i="34" a="1"/>
  <c r="J1325" i="34" a="1"/>
  <c r="J1326" i="34" a="1"/>
  <c r="J1327" i="34" a="1"/>
  <c r="J1328" i="34" a="1"/>
  <c r="J1329" i="34" a="1"/>
  <c r="J1330" i="34" a="1"/>
  <c r="J1331" i="34" a="1"/>
  <c r="J1332" i="34" a="1"/>
  <c r="J1333" i="34" a="1"/>
  <c r="J1334" i="34" a="1"/>
  <c r="J1335" i="34" a="1"/>
  <c r="J1336" i="34" a="1"/>
  <c r="J1337" i="34" a="1"/>
  <c r="J1338" i="34" a="1"/>
  <c r="J1339" i="34" a="1"/>
  <c r="J1340" i="34" a="1"/>
  <c r="J1341" i="34" a="1"/>
  <c r="J1342" i="34" a="1"/>
  <c r="J1343" i="34" a="1"/>
  <c r="J1344" i="34" a="1"/>
  <c r="J1345" i="34" a="1"/>
  <c r="J1346" i="34" a="1"/>
  <c r="J1347" i="34" a="1"/>
  <c r="J1348" i="34" a="1"/>
  <c r="J1349" i="34" a="1"/>
  <c r="J1350" i="34" a="1"/>
  <c r="J1351" i="34" a="1"/>
  <c r="J1352" i="34" a="1"/>
  <c r="J1353" i="34" a="1"/>
  <c r="J1354" i="34" a="1"/>
  <c r="J1355" i="34" a="1"/>
  <c r="J1356" i="34" a="1"/>
  <c r="J1357" i="34" a="1"/>
  <c r="J1358" i="34" a="1"/>
  <c r="J1359" i="34" a="1"/>
  <c r="J1360" i="34" a="1"/>
  <c r="J1361" i="34" a="1"/>
  <c r="J1362" i="34" a="1"/>
  <c r="J1363" i="34" a="1"/>
  <c r="J1364" i="34" a="1"/>
  <c r="J1365" i="34" a="1"/>
  <c r="J1366" i="34" a="1"/>
  <c r="J1367" i="34" a="1"/>
  <c r="J1368" i="34" a="1"/>
  <c r="J1369" i="34" a="1"/>
  <c r="J1370" i="34" a="1"/>
  <c r="J1371" i="34" a="1"/>
  <c r="J1372" i="34" a="1"/>
  <c r="J1373" i="34" a="1"/>
  <c r="J1374" i="34" a="1"/>
  <c r="J1375" i="34" a="1"/>
  <c r="J1376" i="34" a="1"/>
  <c r="J1377" i="34" a="1"/>
  <c r="J1378" i="34" a="1"/>
  <c r="J1379" i="34" a="1"/>
  <c r="J1380" i="34" a="1"/>
  <c r="J1381" i="34" a="1"/>
  <c r="J1382" i="34" a="1"/>
  <c r="J1383" i="34" a="1"/>
  <c r="J1384" i="34" a="1"/>
  <c r="J1385" i="34" a="1"/>
  <c r="J1386" i="34" a="1"/>
  <c r="J1387" i="34" a="1"/>
  <c r="J1388" i="34" a="1"/>
  <c r="J1389" i="34" a="1"/>
  <c r="J1390" i="34" a="1"/>
  <c r="J1391" i="34" a="1"/>
  <c r="J1392" i="34" a="1"/>
  <c r="J1393" i="34" a="1"/>
  <c r="J1394" i="34" a="1"/>
  <c r="J1395" i="34" a="1"/>
  <c r="J1396" i="34" a="1"/>
  <c r="J1397" i="34" a="1"/>
  <c r="J1398" i="34" a="1"/>
  <c r="J1399" i="34" a="1"/>
  <c r="J1400" i="34" a="1"/>
  <c r="J1401" i="34" a="1"/>
  <c r="J1402" i="34" a="1"/>
  <c r="J1403" i="34" a="1"/>
  <c r="J1404" i="34" a="1"/>
  <c r="J1405" i="34" a="1"/>
  <c r="J1406" i="34" a="1"/>
  <c r="J1407" i="34" a="1"/>
  <c r="J1408" i="34" a="1"/>
  <c r="J1409" i="34" a="1"/>
  <c r="J1410" i="34" a="1"/>
  <c r="J1411" i="34" a="1"/>
  <c r="J1412" i="34" a="1"/>
  <c r="J1413" i="34" a="1"/>
  <c r="J1414" i="34" a="1"/>
  <c r="J1415" i="34" a="1"/>
  <c r="J1416" i="34" a="1"/>
  <c r="J1417" i="34" a="1"/>
  <c r="J1418" i="34" a="1"/>
  <c r="J1419" i="34" a="1"/>
  <c r="J1420" i="34" a="1"/>
  <c r="J1421" i="34" a="1"/>
  <c r="J1422" i="34" a="1"/>
  <c r="J1423" i="34" a="1"/>
  <c r="J1424" i="34" a="1"/>
  <c r="J1425" i="34" a="1"/>
  <c r="J1426" i="34" a="1"/>
  <c r="J1427" i="34" a="1"/>
  <c r="J1428" i="34" a="1"/>
  <c r="J1429" i="34" a="1"/>
  <c r="J1430" i="34" a="1"/>
  <c r="J1431" i="34" a="1"/>
  <c r="J1432" i="34" a="1"/>
  <c r="J1433" i="34" a="1"/>
  <c r="J1434" i="34" a="1"/>
  <c r="J1435" i="34" a="1"/>
  <c r="J1436" i="34" a="1"/>
  <c r="J1437" i="34" a="1"/>
  <c r="J1438" i="34" a="1"/>
  <c r="J1439" i="34" a="1"/>
  <c r="J1440" i="34" a="1"/>
  <c r="J1441" i="34" a="1"/>
  <c r="J1442" i="34" a="1"/>
  <c r="J1443" i="34" a="1"/>
  <c r="J1444" i="34" a="1"/>
  <c r="J1445" i="34" a="1"/>
  <c r="J1446" i="34" a="1"/>
  <c r="J1447" i="34" a="1"/>
  <c r="J1448" i="34" a="1"/>
  <c r="J1449" i="34" a="1"/>
  <c r="J1450" i="34" a="1"/>
  <c r="J1451" i="34" a="1"/>
  <c r="J1452" i="34" a="1"/>
  <c r="J1453" i="34" a="1"/>
  <c r="J1454" i="34" a="1"/>
  <c r="J1455" i="34" a="1"/>
  <c r="J1456" i="34" a="1"/>
  <c r="J1457" i="34" a="1"/>
  <c r="J1458" i="34" a="1"/>
  <c r="J1459" i="34" a="1"/>
  <c r="J1460" i="34" a="1"/>
  <c r="J1461" i="34" a="1"/>
  <c r="J1462" i="34" a="1"/>
  <c r="J1463" i="34" a="1"/>
  <c r="J1464" i="34" a="1"/>
  <c r="J1465" i="34" a="1"/>
  <c r="J1466" i="34" a="1"/>
  <c r="J1467" i="34" a="1"/>
  <c r="J1468" i="34" a="1"/>
  <c r="J1469" i="34" a="1"/>
  <c r="J1470" i="34" a="1"/>
  <c r="J1471" i="34" a="1"/>
  <c r="J1472" i="34" a="1"/>
  <c r="J1473" i="34" a="1"/>
  <c r="J1474" i="34" a="1"/>
  <c r="J1475" i="34" a="1"/>
  <c r="J1476" i="34" a="1"/>
  <c r="J1477" i="34" a="1"/>
  <c r="J1478" i="34" a="1"/>
  <c r="J1479" i="34" a="1"/>
  <c r="J1480" i="34" a="1"/>
  <c r="J1481" i="34" a="1"/>
  <c r="J1482" i="34" a="1"/>
  <c r="J1483" i="34" a="1"/>
  <c r="J1484" i="34" a="1"/>
  <c r="J1485" i="34" a="1"/>
  <c r="J1486" i="34" a="1"/>
  <c r="J1487" i="34" a="1"/>
  <c r="J1488" i="34" a="1"/>
  <c r="J1489" i="34" a="1"/>
  <c r="J1490" i="34" a="1"/>
  <c r="J1491" i="34" a="1"/>
  <c r="J1492" i="34" a="1"/>
  <c r="J1493" i="34" a="1"/>
  <c r="J1494" i="34" a="1"/>
  <c r="J1495" i="34" a="1"/>
  <c r="J1496" i="34" a="1"/>
  <c r="J1497" i="34" a="1"/>
  <c r="J1498" i="34" a="1"/>
  <c r="J1499" i="34" a="1"/>
  <c r="J1500" i="34" a="1"/>
  <c r="J1501" i="34" a="1"/>
  <c r="J1502" i="34" a="1"/>
  <c r="J1503" i="34" a="1"/>
  <c r="J1504" i="34" a="1"/>
  <c r="J1505" i="34" a="1"/>
  <c r="J1506" i="34" a="1"/>
  <c r="J1507" i="34" a="1"/>
  <c r="J1508" i="34" a="1"/>
  <c r="J1509" i="34" a="1"/>
  <c r="J1510" i="34" a="1"/>
  <c r="J1511" i="34" a="1"/>
  <c r="J1512" i="34" a="1"/>
  <c r="J1513" i="34" a="1"/>
  <c r="J1514" i="34" a="1"/>
  <c r="J1515" i="34" a="1"/>
  <c r="J1516" i="34" a="1"/>
  <c r="J1517" i="34" a="1"/>
  <c r="J1518" i="34" a="1"/>
  <c r="J1519" i="34" a="1"/>
  <c r="J1520" i="34" a="1"/>
  <c r="J1521" i="34" a="1"/>
  <c r="J1522" i="34" a="1"/>
  <c r="J1523" i="34" a="1"/>
  <c r="J1524" i="34" a="1"/>
  <c r="J1525" i="34" a="1"/>
  <c r="J1526" i="34" a="1"/>
  <c r="J1527" i="34" a="1"/>
  <c r="J1528" i="34" a="1"/>
  <c r="J1529" i="34" a="1"/>
  <c r="J1530" i="34" a="1"/>
  <c r="J1531" i="34" a="1"/>
  <c r="J1532" i="34" a="1"/>
  <c r="J1533" i="34" a="1"/>
  <c r="J1534" i="34" a="1"/>
  <c r="J1535" i="34" a="1"/>
  <c r="J1536" i="34" a="1"/>
  <c r="J1537" i="34" a="1"/>
  <c r="J1538" i="34" a="1"/>
  <c r="J1539" i="34" a="1"/>
  <c r="J1540" i="34" a="1"/>
  <c r="J1541" i="34" a="1"/>
  <c r="J1542" i="34" a="1"/>
  <c r="J1543" i="34" a="1"/>
  <c r="J1544" i="34" a="1"/>
  <c r="J1545" i="34" a="1"/>
  <c r="J1546" i="34" a="1"/>
  <c r="J1547" i="34" a="1"/>
  <c r="J1548" i="34" a="1"/>
  <c r="J1549" i="34" a="1"/>
  <c r="J1550" i="34" a="1"/>
  <c r="J1551" i="34" a="1"/>
  <c r="J1552" i="34" a="1"/>
  <c r="J1553" i="34" a="1"/>
  <c r="J1554" i="34" a="1"/>
  <c r="J1555" i="34" a="1"/>
  <c r="J1556" i="34" a="1"/>
  <c r="J1557" i="34" a="1"/>
  <c r="J1558" i="34" a="1"/>
  <c r="J1559" i="34" a="1"/>
  <c r="J1560" i="34" a="1"/>
  <c r="J1561" i="34" a="1"/>
  <c r="J1562" i="34" a="1"/>
  <c r="J1563" i="34" a="1"/>
  <c r="J1564" i="34" a="1"/>
  <c r="J1565" i="34" a="1"/>
  <c r="J1566" i="34" a="1"/>
  <c r="J1567" i="34" a="1"/>
  <c r="J1568" i="34" a="1"/>
  <c r="J1569" i="34" a="1"/>
  <c r="J1570" i="34" a="1"/>
  <c r="J1571" i="34" a="1"/>
  <c r="J1572" i="34" a="1"/>
  <c r="J1573" i="34" a="1"/>
  <c r="J1574" i="34" a="1"/>
  <c r="J1575" i="34" a="1"/>
  <c r="J1576" i="34" a="1"/>
  <c r="J1577" i="34" a="1"/>
  <c r="J1578" i="34" a="1"/>
  <c r="J1579" i="34" a="1"/>
  <c r="J1580" i="34" a="1"/>
  <c r="J1581" i="34" a="1"/>
  <c r="J1582" i="34" a="1"/>
  <c r="J1583" i="34" a="1"/>
  <c r="J1584" i="34" a="1"/>
  <c r="J1585" i="34" a="1"/>
  <c r="J1586" i="34" a="1"/>
  <c r="J1587" i="34" a="1"/>
  <c r="J1588" i="34" a="1"/>
  <c r="J1589" i="34" a="1"/>
  <c r="J1590" i="34" a="1"/>
  <c r="J1591" i="34" a="1"/>
  <c r="J1592" i="34" a="1"/>
  <c r="J1593" i="34" a="1"/>
  <c r="J1594" i="34" a="1"/>
  <c r="J1595" i="34" a="1"/>
  <c r="J1596" i="34" a="1"/>
  <c r="J1597" i="34" a="1"/>
  <c r="J1598" i="34" a="1"/>
  <c r="J1599" i="34" a="1"/>
  <c r="J1600" i="34" a="1"/>
  <c r="J1601" i="34" a="1"/>
  <c r="J1602" i="34" a="1"/>
  <c r="J1603" i="34" a="1"/>
  <c r="J1604" i="34" a="1"/>
  <c r="J1605" i="34" a="1"/>
  <c r="J1606" i="34" a="1"/>
  <c r="J1607" i="34" a="1"/>
  <c r="J1608" i="34" a="1"/>
  <c r="J1609" i="34" a="1"/>
  <c r="J1610" i="34" a="1"/>
  <c r="J1611" i="34" a="1"/>
  <c r="J1612" i="34" a="1"/>
  <c r="J1613" i="34" a="1"/>
  <c r="J1614" i="34" a="1"/>
  <c r="J1615" i="34" a="1"/>
  <c r="J1616" i="34" a="1"/>
  <c r="J1617" i="34" a="1"/>
  <c r="J1618" i="34" a="1"/>
  <c r="J1619" i="34" a="1"/>
  <c r="J1620" i="34" a="1"/>
  <c r="J1621" i="34" a="1"/>
  <c r="J1622" i="34" a="1"/>
  <c r="J1623" i="34" a="1"/>
  <c r="J1624" i="34" a="1"/>
  <c r="J1625" i="34" a="1"/>
  <c r="J1626" i="34" a="1"/>
  <c r="J1627" i="34" a="1"/>
  <c r="J1628" i="34" a="1"/>
  <c r="J1629" i="34" a="1"/>
  <c r="J1630" i="34" a="1"/>
  <c r="J1631" i="34" a="1"/>
  <c r="J1632" i="34" a="1"/>
  <c r="J1633" i="34" a="1"/>
  <c r="J1634" i="34" a="1"/>
  <c r="J1635" i="34" a="1"/>
  <c r="J1636" i="34" a="1"/>
  <c r="J1637" i="34" a="1"/>
  <c r="J1638" i="34" a="1"/>
  <c r="J1639" i="34" a="1"/>
  <c r="J1640" i="34" a="1"/>
  <c r="J1641" i="34" a="1"/>
  <c r="J1642" i="34" a="1"/>
  <c r="J1643" i="34" a="1"/>
  <c r="J1644" i="34" a="1"/>
  <c r="J1645" i="34" a="1"/>
  <c r="J1646" i="34" a="1"/>
  <c r="J1647" i="34" a="1"/>
  <c r="J1648" i="34" a="1"/>
  <c r="J1649" i="34" a="1"/>
  <c r="J1650" i="34" a="1"/>
  <c r="J1651" i="34" a="1"/>
  <c r="J1652" i="34" a="1"/>
  <c r="J1653" i="34" a="1"/>
  <c r="J1654" i="34" a="1"/>
  <c r="J1655" i="34" a="1"/>
  <c r="J1656" i="34" a="1"/>
  <c r="J1657" i="34" a="1"/>
  <c r="J1658" i="34" a="1"/>
  <c r="J1659" i="34" a="1"/>
  <c r="J1660" i="34" a="1"/>
  <c r="J1661" i="34" a="1"/>
  <c r="J1662" i="34" a="1"/>
  <c r="J1663" i="34" a="1"/>
  <c r="J1664" i="34" a="1"/>
  <c r="J1665" i="34" a="1"/>
  <c r="J1666" i="34" a="1"/>
  <c r="J1667" i="34" a="1"/>
  <c r="J1668" i="34" a="1"/>
  <c r="J1669" i="34" a="1"/>
  <c r="J1670" i="34" a="1"/>
  <c r="J1671" i="34" a="1"/>
  <c r="J1672" i="34" a="1"/>
  <c r="J1673" i="34" a="1"/>
  <c r="J1674" i="34" a="1"/>
  <c r="J1675" i="34" a="1"/>
  <c r="J1676" i="34" a="1"/>
  <c r="J1677" i="34" a="1"/>
  <c r="J1678" i="34" a="1"/>
  <c r="J1679" i="34" a="1"/>
  <c r="J1680" i="34" a="1"/>
  <c r="J1681" i="34" a="1"/>
  <c r="J1682" i="34" a="1"/>
  <c r="J1683" i="34" a="1"/>
  <c r="J1684" i="34" a="1"/>
  <c r="J1685" i="34" a="1"/>
  <c r="J1686" i="34" a="1"/>
  <c r="J1687" i="34" a="1"/>
  <c r="J1688" i="34" a="1"/>
  <c r="J1689" i="34" a="1"/>
  <c r="J1690" i="34" a="1"/>
  <c r="J1691" i="34" a="1"/>
  <c r="J1692" i="34" a="1"/>
  <c r="J1693" i="34" a="1"/>
  <c r="J1694" i="34" a="1"/>
  <c r="J1695" i="34" a="1"/>
  <c r="J1696" i="34" a="1"/>
  <c r="J1697" i="34" a="1"/>
  <c r="J1698" i="34" a="1"/>
  <c r="J1699" i="34" a="1"/>
  <c r="J1700" i="34" a="1"/>
  <c r="J1701" i="34" a="1"/>
  <c r="J1702" i="34" a="1"/>
  <c r="J1703" i="34" a="1"/>
  <c r="J1704" i="34" a="1"/>
  <c r="J1705" i="34" a="1"/>
  <c r="J1706" i="34" a="1"/>
  <c r="J1707" i="34" a="1"/>
  <c r="J1708" i="34" a="1"/>
  <c r="J1709" i="34" a="1"/>
  <c r="J1710" i="34" a="1"/>
  <c r="J1711" i="34" a="1"/>
  <c r="J1712" i="34" a="1"/>
  <c r="J1713" i="34" a="1"/>
  <c r="J1714" i="34" a="1"/>
  <c r="J1715" i="34" a="1"/>
  <c r="J1716" i="34" a="1"/>
  <c r="J1717" i="34" a="1"/>
  <c r="J1718" i="34" a="1"/>
  <c r="J1719" i="34" a="1"/>
  <c r="J1720" i="34" a="1"/>
  <c r="J1721" i="34" a="1"/>
  <c r="J1722" i="34" a="1"/>
  <c r="J1723" i="34" a="1"/>
  <c r="J1724" i="34" a="1"/>
  <c r="J1725" i="34" a="1"/>
  <c r="J1726" i="34" a="1"/>
  <c r="J1727" i="34" a="1"/>
  <c r="J1728" i="34" a="1"/>
  <c r="J1729" i="34" a="1"/>
  <c r="J1730" i="34" a="1"/>
  <c r="J1731" i="34" a="1"/>
  <c r="J1732" i="34" a="1"/>
  <c r="J1733" i="34" a="1"/>
  <c r="J1734" i="34" a="1"/>
  <c r="J1735" i="34" a="1"/>
  <c r="J1736" i="34" a="1"/>
  <c r="J1737" i="34" a="1"/>
  <c r="J1738" i="34" a="1"/>
  <c r="J1739" i="34" a="1"/>
  <c r="J1740" i="34" a="1"/>
  <c r="J1741" i="34" a="1"/>
  <c r="J1742" i="34" a="1"/>
  <c r="J1743" i="34" a="1"/>
  <c r="J1744" i="34" a="1"/>
  <c r="J1745" i="34" a="1"/>
  <c r="J1746" i="34" a="1"/>
  <c r="J1747" i="34" a="1"/>
  <c r="J1748" i="34" a="1"/>
  <c r="J1749" i="34" a="1"/>
  <c r="J1750" i="34" a="1"/>
  <c r="J1751" i="34" a="1"/>
  <c r="J1752" i="34" a="1"/>
  <c r="J1753" i="34" a="1"/>
  <c r="J1754" i="34" a="1"/>
  <c r="J1755" i="34" a="1"/>
  <c r="J1756" i="34" a="1"/>
  <c r="J1757" i="34" a="1"/>
  <c r="J1758" i="34" a="1"/>
  <c r="J1759" i="34" a="1"/>
  <c r="J1760" i="34" a="1"/>
  <c r="J1761" i="34" a="1"/>
  <c r="J1762" i="34" a="1"/>
  <c r="J1763" i="34" a="1"/>
  <c r="J1764" i="34" a="1"/>
  <c r="J1765" i="34" a="1"/>
  <c r="J1766" i="34" a="1"/>
  <c r="J1767" i="34" a="1"/>
  <c r="J1768" i="34" a="1"/>
  <c r="J1769" i="34" a="1"/>
  <c r="J1770" i="34" a="1"/>
  <c r="J1771" i="34" a="1"/>
  <c r="J1772" i="34" a="1"/>
  <c r="J1773" i="34" a="1"/>
  <c r="J1774" i="34" a="1"/>
  <c r="J1775" i="34" a="1"/>
  <c r="J1776" i="34" a="1"/>
  <c r="J1777" i="34" a="1"/>
  <c r="J1778" i="34" a="1"/>
  <c r="J1779" i="34" a="1"/>
  <c r="J1780" i="34" a="1"/>
  <c r="J1781" i="34" a="1"/>
  <c r="J1782" i="34" a="1"/>
  <c r="J1783" i="34" a="1"/>
  <c r="J1784" i="34" a="1"/>
  <c r="J1785" i="34" a="1"/>
  <c r="J1786" i="34" a="1"/>
  <c r="J1787" i="34" a="1"/>
  <c r="J1788" i="34" a="1"/>
  <c r="J1789" i="34" a="1"/>
  <c r="J1790" i="34" a="1"/>
  <c r="J1791" i="34" a="1"/>
  <c r="J1792" i="34" a="1"/>
  <c r="J1793" i="34" a="1"/>
  <c r="J1794" i="34" a="1"/>
  <c r="J1795" i="34" a="1"/>
  <c r="J1796" i="34" a="1"/>
  <c r="J1797" i="34" a="1"/>
  <c r="J1798" i="34" a="1"/>
  <c r="J1799" i="34" a="1"/>
  <c r="J1800" i="34" a="1"/>
  <c r="J1801" i="34" a="1"/>
  <c r="J1802" i="34" a="1"/>
  <c r="J1803" i="34" a="1"/>
  <c r="J1804" i="34" a="1"/>
  <c r="J1805" i="34" a="1"/>
  <c r="J1806" i="34" a="1"/>
  <c r="J1807" i="34" a="1"/>
  <c r="J1808" i="34" a="1"/>
  <c r="J1809" i="34" a="1"/>
  <c r="J1810" i="34" a="1"/>
  <c r="J1811" i="34" a="1"/>
  <c r="J1812" i="34" a="1"/>
  <c r="J1813" i="34" a="1"/>
  <c r="J1814" i="34" a="1"/>
  <c r="J1815" i="34" a="1"/>
  <c r="J1816" i="34" a="1"/>
  <c r="J1817" i="34" a="1"/>
  <c r="J1818" i="34" a="1"/>
  <c r="J1819" i="34" a="1"/>
  <c r="J1820" i="34" a="1"/>
  <c r="J1821" i="34" a="1"/>
  <c r="J1822" i="34" a="1"/>
  <c r="J1823" i="34" a="1"/>
  <c r="J1824" i="34" a="1"/>
  <c r="J1825" i="34" a="1"/>
  <c r="J1826" i="34" a="1"/>
  <c r="J1827" i="34" a="1"/>
  <c r="J1828" i="34" a="1"/>
  <c r="J1829" i="34" a="1"/>
  <c r="J1830" i="34" a="1"/>
  <c r="J1831" i="34" a="1"/>
  <c r="J1832" i="34" a="1"/>
  <c r="J1833" i="34" a="1"/>
  <c r="J1834" i="34" a="1"/>
  <c r="J1835" i="34" a="1"/>
  <c r="J1836" i="34" a="1"/>
  <c r="J1837" i="34" a="1"/>
  <c r="J1838" i="34" a="1"/>
  <c r="J1839" i="34" a="1"/>
  <c r="J1840" i="34" a="1"/>
  <c r="J1841" i="34" a="1"/>
  <c r="J1842" i="34" a="1"/>
  <c r="J1843" i="34" a="1"/>
  <c r="J1844" i="34" a="1"/>
  <c r="J1845" i="34" a="1"/>
  <c r="J1846" i="34" a="1"/>
  <c r="J1847" i="34" a="1"/>
  <c r="J1848" i="34" a="1"/>
  <c r="J1849" i="34" a="1"/>
  <c r="J1850" i="34" a="1"/>
  <c r="J1851" i="34" a="1"/>
  <c r="J1852" i="34" a="1"/>
  <c r="J1853" i="34" a="1"/>
  <c r="J1854" i="34" a="1"/>
  <c r="J1855" i="34" a="1"/>
  <c r="J1856" i="34" a="1"/>
  <c r="J1857" i="34" a="1"/>
  <c r="J1858" i="34" a="1"/>
  <c r="J1859" i="34" a="1"/>
  <c r="J1860" i="34" a="1"/>
  <c r="J1861" i="34" a="1"/>
  <c r="J1862" i="34" a="1"/>
  <c r="J1863" i="34" a="1"/>
  <c r="J1864" i="34" a="1"/>
  <c r="J1865" i="34" a="1"/>
  <c r="J1866" i="34" a="1"/>
  <c r="J1867" i="34" a="1"/>
  <c r="J1868" i="34" a="1"/>
  <c r="J1869" i="34" a="1"/>
  <c r="J1870" i="34" a="1"/>
  <c r="J1871" i="34" a="1"/>
  <c r="J1872" i="34" a="1"/>
  <c r="J1873" i="34" a="1"/>
  <c r="J1874" i="34" a="1"/>
  <c r="J1875" i="34" a="1"/>
  <c r="J1876" i="34" a="1"/>
  <c r="J1877" i="34" a="1"/>
  <c r="J1878" i="34" a="1"/>
  <c r="J1879" i="34" a="1"/>
  <c r="J1880" i="34" a="1"/>
  <c r="J1881" i="34" a="1"/>
  <c r="J1882" i="34" a="1"/>
  <c r="J1883" i="34" a="1"/>
  <c r="J1884" i="34" a="1"/>
  <c r="J1885" i="34" a="1"/>
  <c r="J1886" i="34" a="1"/>
  <c r="J1887" i="34" a="1"/>
  <c r="J1888" i="34" a="1"/>
  <c r="J1889" i="34" a="1"/>
  <c r="J1890" i="34" a="1"/>
  <c r="J1891" i="34" a="1"/>
  <c r="J1892" i="34" a="1"/>
  <c r="J1893" i="34" a="1"/>
  <c r="J1894" i="34" a="1"/>
  <c r="J1895" i="34" a="1"/>
  <c r="J1896" i="34" a="1"/>
  <c r="J1897" i="34" a="1"/>
  <c r="J1898" i="34" a="1"/>
  <c r="J1899" i="34" a="1"/>
  <c r="J1900" i="34" a="1"/>
  <c r="J1901" i="34" a="1"/>
  <c r="J1902" i="34" a="1"/>
  <c r="J1903" i="34" a="1"/>
  <c r="J1904" i="34" a="1"/>
  <c r="J1905" i="34" a="1"/>
  <c r="J1906" i="34" a="1"/>
  <c r="J1907" i="34" a="1"/>
  <c r="J1908" i="34" a="1"/>
  <c r="J1909" i="34" a="1"/>
  <c r="J1910" i="34" a="1"/>
  <c r="J1911" i="34" a="1"/>
  <c r="J1912" i="34" a="1"/>
  <c r="J1913" i="34" a="1"/>
  <c r="J1914" i="34" a="1"/>
  <c r="J1915" i="34" a="1"/>
  <c r="J1916" i="34" a="1"/>
  <c r="J1917" i="34" a="1"/>
  <c r="J1918" i="34" a="1"/>
  <c r="J1919" i="34" a="1"/>
  <c r="J1920" i="34" a="1"/>
  <c r="J1921" i="34" a="1"/>
  <c r="J1922" i="34" a="1"/>
  <c r="J1923" i="34" a="1"/>
  <c r="J1924" i="34" a="1"/>
  <c r="J1925" i="34" a="1"/>
  <c r="J1926" i="34" a="1"/>
  <c r="J1927" i="34" a="1"/>
  <c r="J1928" i="34" a="1"/>
  <c r="J1929" i="34" a="1"/>
  <c r="J1930" i="34" a="1"/>
  <c r="J1931" i="34" a="1"/>
  <c r="J1932" i="34" a="1"/>
  <c r="J1933" i="34" a="1"/>
  <c r="J1934" i="34" a="1"/>
  <c r="J1935" i="34" a="1"/>
  <c r="J1936" i="34" a="1"/>
  <c r="J1937" i="34" a="1"/>
  <c r="J1938" i="34" a="1"/>
  <c r="J1939" i="34" a="1"/>
  <c r="J1940" i="34" a="1"/>
  <c r="J1941" i="34" a="1"/>
  <c r="J1942" i="34" a="1"/>
  <c r="J1943" i="34" a="1"/>
  <c r="J1944" i="34" a="1"/>
  <c r="J1945" i="34" a="1"/>
  <c r="J1946" i="34" a="1"/>
  <c r="J1947" i="34" a="1"/>
  <c r="J1948" i="34" a="1"/>
  <c r="J1949" i="34" a="1"/>
  <c r="J1950" i="34" a="1"/>
  <c r="J1951" i="34" a="1"/>
  <c r="J1952" i="34" a="1"/>
  <c r="J1953" i="34" a="1"/>
  <c r="J1954" i="34" a="1"/>
  <c r="J1955" i="34" a="1"/>
  <c r="J1956" i="34" a="1"/>
  <c r="J1957" i="34" a="1"/>
  <c r="J1958" i="34" a="1"/>
  <c r="J1959" i="34" a="1"/>
  <c r="J1960" i="34" a="1"/>
  <c r="J1961" i="34" a="1"/>
  <c r="J1962" i="34" a="1"/>
  <c r="J1963" i="34" a="1"/>
  <c r="J1964" i="34" a="1"/>
  <c r="J1965" i="34" a="1"/>
  <c r="J1966" i="34" a="1"/>
  <c r="J1967" i="34" a="1"/>
  <c r="J1968" i="34" a="1"/>
  <c r="J1969" i="34" a="1"/>
  <c r="J1970" i="34" a="1"/>
  <c r="J1971" i="34" a="1"/>
  <c r="J1972" i="34" a="1"/>
  <c r="J1973" i="34" a="1"/>
  <c r="J1974" i="34" a="1"/>
  <c r="J1975" i="34" a="1"/>
  <c r="J1976" i="34" a="1"/>
  <c r="J1977" i="34" a="1"/>
  <c r="J1978" i="34" a="1"/>
  <c r="J1979" i="34" a="1"/>
  <c r="J1980" i="34" a="1"/>
  <c r="J1981" i="34" a="1"/>
  <c r="J1982" i="34" a="1"/>
  <c r="J1983" i="34" a="1"/>
  <c r="J1984" i="34" a="1"/>
  <c r="J1985" i="34" a="1"/>
  <c r="J1986" i="34" a="1"/>
  <c r="J1987" i="34" a="1"/>
  <c r="J1988" i="34" a="1"/>
  <c r="J1989" i="34" a="1"/>
  <c r="J1990" i="34" a="1"/>
  <c r="J1991" i="34" a="1"/>
  <c r="J1992" i="34" a="1"/>
  <c r="J1993" i="34" a="1"/>
  <c r="J1994" i="34" a="1"/>
  <c r="J1995" i="34" a="1"/>
  <c r="J1996" i="34" a="1"/>
  <c r="J1997" i="34" a="1"/>
  <c r="J1998" i="34" a="1"/>
  <c r="J1999" i="34" a="1"/>
  <c r="J2000" i="34" a="1"/>
  <c r="J2001" i="34" a="1"/>
  <c r="J2002" i="34" a="1"/>
  <c r="J2003" i="34" a="1"/>
  <c r="J2004" i="34" a="1"/>
  <c r="J2005" i="34" a="1"/>
  <c r="J2006" i="34" a="1"/>
  <c r="J2007" i="34" a="1"/>
  <c r="J2008" i="34" a="1"/>
  <c r="J2009" i="34" a="1"/>
  <c r="J2010" i="34" a="1"/>
  <c r="J2011" i="34" a="1"/>
  <c r="J2012" i="34" a="1"/>
  <c r="J2013" i="34" a="1"/>
  <c r="J2014" i="34" a="1"/>
  <c r="J2015" i="34" a="1"/>
  <c r="J2016" i="34" a="1"/>
  <c r="J2017" i="34" a="1"/>
  <c r="J2018" i="34" a="1"/>
  <c r="J2019" i="34" a="1"/>
  <c r="J2020" i="34" a="1"/>
  <c r="J2021" i="34" a="1"/>
  <c r="J2022" i="34" a="1"/>
  <c r="J2023" i="34" a="1"/>
  <c r="J2024" i="34" a="1"/>
  <c r="J2025" i="34" a="1"/>
  <c r="J2026" i="34" a="1"/>
  <c r="J2027" i="34" a="1"/>
  <c r="J2028" i="34" a="1"/>
  <c r="J2029" i="34" a="1"/>
  <c r="J2030" i="34" a="1"/>
  <c r="J2031" i="34" a="1"/>
  <c r="J2032" i="34" a="1"/>
  <c r="J2033" i="34" a="1"/>
  <c r="J2034" i="34" a="1"/>
  <c r="J2035" i="34" a="1"/>
  <c r="J2036" i="34" a="1"/>
  <c r="J2037" i="34" a="1"/>
  <c r="J2038" i="34" a="1"/>
  <c r="J2039" i="34" a="1"/>
  <c r="J2040" i="34" a="1"/>
  <c r="J2041" i="34" a="1"/>
  <c r="J2042" i="34" a="1"/>
  <c r="J2043" i="34" a="1"/>
  <c r="J2044" i="34" a="1"/>
  <c r="J2045" i="34" a="1"/>
  <c r="J2046" i="34" a="1"/>
  <c r="J2047" i="34" a="1"/>
  <c r="J2048" i="34" a="1"/>
  <c r="J2049" i="34" a="1"/>
  <c r="J2050" i="34" a="1"/>
  <c r="J2051" i="34" a="1"/>
  <c r="J2052" i="34" a="1"/>
  <c r="J2053" i="34" a="1"/>
  <c r="J2054" i="34" a="1"/>
  <c r="J2055" i="34" a="1"/>
  <c r="J2056" i="34" a="1"/>
  <c r="J2057" i="34" a="1"/>
  <c r="J2058" i="34" a="1"/>
  <c r="J2059" i="34" a="1"/>
  <c r="J2060" i="34" a="1"/>
  <c r="J2061" i="34" a="1"/>
  <c r="J2062" i="34" a="1"/>
  <c r="J2063" i="34" a="1"/>
  <c r="J2064" i="34" a="1"/>
  <c r="J2065" i="34" a="1"/>
  <c r="J2066" i="34" a="1"/>
  <c r="J2067" i="34" a="1"/>
  <c r="J2068" i="34" a="1"/>
  <c r="J2069" i="34" a="1"/>
  <c r="J2070" i="34" a="1"/>
  <c r="J2071" i="34" a="1"/>
  <c r="J2072" i="34" a="1"/>
  <c r="J2073" i="34" a="1"/>
  <c r="J2074" i="34" a="1"/>
  <c r="J2075" i="34" a="1"/>
  <c r="J2076" i="34" a="1"/>
  <c r="J2077" i="34" a="1"/>
  <c r="J2078" i="34" a="1"/>
  <c r="J2079" i="34" a="1"/>
  <c r="J2080" i="34" a="1"/>
  <c r="J2081" i="34" a="1"/>
  <c r="J2082" i="34" a="1"/>
  <c r="J2083" i="34" a="1"/>
  <c r="J2084" i="34" a="1"/>
  <c r="J2085" i="34" a="1"/>
  <c r="J2086" i="34" a="1"/>
  <c r="J2087" i="34" a="1"/>
  <c r="J2088" i="34" a="1"/>
  <c r="J2089" i="34" a="1"/>
  <c r="J2090" i="34" a="1"/>
  <c r="J2091" i="34" a="1"/>
  <c r="J2092" i="34" a="1"/>
  <c r="J2093" i="34" a="1"/>
  <c r="J2094" i="34" a="1"/>
  <c r="J2095" i="34" a="1"/>
  <c r="J2096" i="34" a="1"/>
  <c r="J2097" i="34" a="1"/>
  <c r="J2098" i="34" a="1"/>
  <c r="J2099" i="34" a="1"/>
  <c r="J2100" i="34" a="1"/>
  <c r="J2101" i="34" a="1"/>
  <c r="J2102" i="34" a="1"/>
  <c r="J2103" i="34" a="1"/>
  <c r="J2104" i="34" a="1"/>
  <c r="J2105" i="34" a="1"/>
  <c r="J2106" i="34" a="1"/>
  <c r="J2107" i="34" a="1"/>
  <c r="J2108" i="34" a="1"/>
  <c r="J2109" i="34" a="1"/>
  <c r="J2110" i="34" a="1"/>
  <c r="J2111" i="34" a="1"/>
  <c r="J2112" i="34" a="1"/>
  <c r="J2113" i="34" a="1"/>
  <c r="J2114" i="34" a="1"/>
  <c r="J2115" i="34" a="1"/>
  <c r="J2116" i="34" a="1"/>
  <c r="J2117" i="34" a="1"/>
  <c r="J2118" i="34" a="1"/>
  <c r="J2119" i="34" a="1"/>
  <c r="J2120" i="34" a="1"/>
  <c r="J2121" i="34" a="1"/>
  <c r="J2122" i="34" a="1"/>
  <c r="J2123" i="34" a="1"/>
  <c r="J2124" i="34" a="1"/>
  <c r="J2125" i="34" a="1"/>
  <c r="J2126" i="34" a="1"/>
  <c r="J2127" i="34" a="1"/>
  <c r="J2128" i="34" a="1"/>
  <c r="J2129" i="34" a="1"/>
  <c r="J2130" i="34" a="1"/>
  <c r="J2131" i="34" a="1"/>
  <c r="J2132" i="34" a="1"/>
  <c r="J2133" i="34" a="1"/>
  <c r="J2134" i="34" a="1"/>
  <c r="J2135" i="34" a="1"/>
  <c r="J2136" i="34" a="1"/>
  <c r="J2137" i="34" a="1"/>
  <c r="J2138" i="34" a="1"/>
  <c r="J2139" i="34" a="1"/>
  <c r="J2140" i="34" a="1"/>
  <c r="J2141" i="34" a="1"/>
  <c r="J2142" i="34" a="1"/>
  <c r="J2143" i="34" a="1"/>
  <c r="J2144" i="34" a="1"/>
  <c r="J2145" i="34" a="1"/>
  <c r="J2146" i="34" a="1"/>
  <c r="J2147" i="34" a="1"/>
  <c r="J2148" i="34" a="1"/>
  <c r="J2149" i="34" a="1"/>
  <c r="J2150" i="34" a="1"/>
  <c r="J2151" i="34" a="1"/>
  <c r="J2152" i="34" a="1"/>
  <c r="J2153" i="34" a="1"/>
  <c r="J2154" i="34" a="1"/>
  <c r="J2155" i="34" a="1"/>
  <c r="J2156" i="34" a="1"/>
  <c r="J2157" i="34" a="1"/>
  <c r="J2158" i="34" a="1"/>
  <c r="J2159" i="34" a="1"/>
  <c r="J2160" i="34" a="1"/>
  <c r="J2161" i="34" a="1"/>
  <c r="J2162" i="34" a="1"/>
  <c r="J2163" i="34" a="1"/>
  <c r="J2164" i="34" a="1"/>
  <c r="J2165" i="34" a="1"/>
  <c r="J2166" i="34" a="1"/>
  <c r="J2167" i="34" a="1"/>
  <c r="J2168" i="34" a="1"/>
  <c r="J2169" i="34" a="1"/>
  <c r="J2170" i="34" a="1"/>
  <c r="J2171" i="34" a="1"/>
  <c r="J2172" i="34" a="1"/>
  <c r="J2173" i="34" a="1"/>
  <c r="J2174" i="34" a="1"/>
  <c r="J2175" i="34" a="1"/>
  <c r="J2176" i="34" a="1"/>
  <c r="J2177" i="34" a="1"/>
  <c r="J2178" i="34" a="1"/>
  <c r="J2179" i="34" a="1"/>
  <c r="J2180" i="34" a="1"/>
  <c r="J2181" i="34" a="1"/>
  <c r="J2182" i="34" a="1"/>
  <c r="J2183" i="34" a="1"/>
  <c r="J2184" i="34" a="1"/>
  <c r="J2185" i="34" a="1"/>
  <c r="J2186" i="34" a="1"/>
  <c r="J2187" i="34" a="1"/>
  <c r="J2188" i="34" a="1"/>
  <c r="J2189" i="34" a="1"/>
  <c r="J2190" i="34" a="1"/>
  <c r="J2191" i="34" a="1"/>
  <c r="J2192" i="34" a="1"/>
  <c r="J2193" i="34" a="1"/>
  <c r="J2194" i="34" a="1"/>
  <c r="J2195" i="34" a="1"/>
  <c r="J2196" i="34" a="1"/>
  <c r="J2197" i="34" a="1"/>
  <c r="J2198" i="34" a="1"/>
  <c r="J2199" i="34" a="1"/>
  <c r="J2200" i="34" a="1"/>
  <c r="J2201" i="34" a="1"/>
  <c r="J2202" i="34" a="1"/>
  <c r="J2203" i="34" a="1"/>
  <c r="J2204" i="34" a="1"/>
  <c r="J2205" i="34" a="1"/>
  <c r="J2206" i="34" a="1"/>
  <c r="J2207" i="34" a="1"/>
  <c r="J2208" i="34" a="1"/>
  <c r="J2209" i="34" a="1"/>
  <c r="J2210" i="34" a="1"/>
  <c r="J2211" i="34" a="1"/>
  <c r="J2212" i="34" a="1"/>
  <c r="J2213" i="34" a="1"/>
  <c r="J2214" i="34" a="1"/>
  <c r="J2215" i="34" a="1"/>
  <c r="J2216" i="34" a="1"/>
  <c r="J2217" i="34" a="1"/>
  <c r="J2218" i="34" a="1"/>
  <c r="J2219" i="34" a="1"/>
  <c r="J2220" i="34" a="1"/>
  <c r="J2221" i="34" a="1"/>
  <c r="J2222" i="34" a="1"/>
  <c r="J2223" i="34" a="1"/>
  <c r="J2224" i="34" a="1"/>
  <c r="J2225" i="34" a="1"/>
  <c r="J2226" i="34" a="1"/>
  <c r="J2227" i="34" a="1"/>
  <c r="J2228" i="34" a="1"/>
  <c r="J2229" i="34" a="1"/>
  <c r="J2230" i="34" a="1"/>
  <c r="J2231" i="34" a="1"/>
  <c r="J2232" i="34" a="1"/>
  <c r="J2233" i="34" a="1"/>
  <c r="J2234" i="34" a="1"/>
  <c r="J2235" i="34" a="1"/>
  <c r="J2236" i="34" a="1"/>
  <c r="J2237" i="34" a="1"/>
  <c r="J2238" i="34" a="1"/>
  <c r="J2239" i="34" a="1"/>
  <c r="J2240" i="34" a="1"/>
  <c r="J2241" i="34" a="1"/>
  <c r="J2242" i="34" a="1"/>
  <c r="J2243" i="34" a="1"/>
  <c r="J2244" i="34" a="1"/>
  <c r="J2245" i="34" a="1"/>
  <c r="J2246" i="34" a="1"/>
  <c r="J2247" i="34" a="1"/>
  <c r="J2248" i="34" a="1"/>
  <c r="J2249" i="34" a="1"/>
  <c r="J2250" i="34" a="1"/>
  <c r="J2251" i="34" a="1"/>
  <c r="J2252" i="34" a="1"/>
  <c r="J2253" i="34" a="1"/>
  <c r="J2254" i="34" a="1"/>
  <c r="J2255" i="34" a="1"/>
  <c r="J2256" i="34" a="1"/>
  <c r="J2257" i="34" a="1"/>
  <c r="J2258" i="34" a="1"/>
  <c r="J2259" i="34" a="1"/>
  <c r="J2260" i="34" a="1"/>
  <c r="J2261" i="34" a="1"/>
  <c r="J2262" i="34" a="1"/>
  <c r="J2263" i="34" a="1"/>
  <c r="J2264" i="34" a="1"/>
  <c r="J2265" i="34" a="1"/>
  <c r="J2266" i="34" a="1"/>
  <c r="J2267" i="34" a="1"/>
  <c r="J2268" i="34" a="1"/>
  <c r="J2269" i="34" a="1"/>
  <c r="J2270" i="34" a="1"/>
  <c r="J2271" i="34" a="1"/>
  <c r="J2272" i="34" a="1"/>
  <c r="J2273" i="34" a="1"/>
  <c r="J2274" i="34" a="1"/>
  <c r="J2275" i="34" a="1"/>
  <c r="J2276" i="34" a="1"/>
  <c r="J2277" i="34" a="1"/>
  <c r="J2278" i="34" a="1"/>
  <c r="J2279" i="34" a="1"/>
  <c r="J2280" i="34" a="1"/>
  <c r="J2281" i="34" a="1"/>
  <c r="J2282" i="34" a="1"/>
  <c r="J2283" i="34" a="1"/>
  <c r="J2284" i="34" a="1"/>
  <c r="J2285" i="34" a="1"/>
  <c r="J2286" i="34" a="1"/>
  <c r="J2287" i="34" a="1"/>
  <c r="J2288" i="34" a="1"/>
  <c r="J2289" i="34" a="1"/>
  <c r="J2290" i="34" a="1"/>
  <c r="J2291" i="34" a="1"/>
  <c r="J2292" i="34" a="1"/>
  <c r="J2293" i="34" a="1"/>
  <c r="J2294" i="34" a="1"/>
  <c r="J2295" i="34" a="1"/>
  <c r="J2296" i="34" a="1"/>
  <c r="J2297" i="34" a="1"/>
  <c r="J2298" i="34" a="1"/>
  <c r="J2299" i="34" a="1"/>
  <c r="J2300" i="34" a="1"/>
  <c r="J2301" i="34" a="1"/>
  <c r="J2302" i="34" a="1"/>
  <c r="J2303" i="34" a="1"/>
  <c r="J2304" i="34" a="1"/>
  <c r="J2305" i="34" a="1"/>
  <c r="J2306" i="34" a="1"/>
  <c r="J2307" i="34" a="1"/>
  <c r="J2308" i="34" a="1"/>
  <c r="J2309" i="34" a="1"/>
  <c r="J2310" i="34" a="1"/>
  <c r="J2311" i="34" a="1"/>
  <c r="J2312" i="34" a="1"/>
  <c r="J2313" i="34" a="1"/>
  <c r="J2314" i="34" a="1"/>
  <c r="J2315" i="34" a="1"/>
  <c r="J2316" i="34" a="1"/>
  <c r="J2317" i="34" a="1"/>
  <c r="J2318" i="34" a="1"/>
  <c r="J2319" i="34" a="1"/>
  <c r="J2320" i="34" a="1"/>
  <c r="J2321" i="34" a="1"/>
  <c r="J2322" i="34" a="1"/>
  <c r="J2323" i="34" a="1"/>
  <c r="J2324" i="34" a="1"/>
  <c r="J2325" i="34" a="1"/>
  <c r="J2326" i="34" a="1"/>
  <c r="J2327" i="34" a="1"/>
  <c r="J2328" i="34" a="1"/>
  <c r="J2329" i="34" a="1"/>
  <c r="J2330" i="34" a="1"/>
  <c r="J2331" i="34" a="1"/>
  <c r="J2332" i="34" a="1"/>
  <c r="J2333" i="34" a="1"/>
  <c r="J2334" i="34" a="1"/>
  <c r="J2335" i="34" a="1"/>
  <c r="J2336" i="34" a="1"/>
  <c r="J2337" i="34" a="1"/>
  <c r="J2338" i="34" a="1"/>
  <c r="J2339" i="34" a="1"/>
  <c r="J2340" i="34" a="1"/>
  <c r="J2341" i="34" a="1"/>
  <c r="J2342" i="34" a="1"/>
  <c r="J2343" i="34" a="1"/>
  <c r="J2344" i="34" a="1"/>
  <c r="J2345" i="34" a="1"/>
  <c r="J2346" i="34" a="1"/>
  <c r="J2347" i="34" a="1"/>
  <c r="J2348" i="34" a="1"/>
  <c r="J2349" i="34" a="1"/>
  <c r="J2350" i="34" a="1"/>
  <c r="J2351" i="34" a="1"/>
  <c r="J2352" i="34" a="1"/>
  <c r="J2353" i="34" a="1"/>
  <c r="J2354" i="34" a="1"/>
  <c r="J2355" i="34" a="1"/>
  <c r="J2356" i="34" a="1"/>
  <c r="J2357" i="34" a="1"/>
  <c r="J2358" i="34" a="1"/>
  <c r="J2359" i="34" a="1"/>
  <c r="J2360" i="34" a="1"/>
  <c r="J2361" i="34" a="1"/>
  <c r="J2362" i="34" a="1"/>
  <c r="J2363" i="34" a="1"/>
  <c r="J2364" i="34" a="1"/>
  <c r="J2365" i="34" a="1"/>
  <c r="J2366" i="34" a="1"/>
  <c r="J2367" i="34" a="1"/>
  <c r="J2368" i="34" a="1"/>
  <c r="J2369" i="34" a="1"/>
  <c r="J2370" i="34" a="1"/>
  <c r="J2371" i="34" a="1"/>
  <c r="J2372" i="34" a="1"/>
  <c r="J2373" i="34" a="1"/>
  <c r="J2374" i="34" a="1"/>
  <c r="J2375" i="34" a="1"/>
  <c r="J2376" i="34" a="1"/>
  <c r="J2377" i="34" a="1"/>
  <c r="J2378" i="34" a="1"/>
  <c r="J2379" i="34" a="1"/>
  <c r="J2380" i="34" a="1"/>
  <c r="J2381" i="34" a="1"/>
  <c r="J2382" i="34" a="1"/>
  <c r="J2383" i="34" a="1"/>
  <c r="J2384" i="34" a="1"/>
  <c r="J2385" i="34" a="1"/>
  <c r="J2386" i="34" a="1"/>
  <c r="J2387" i="34" a="1"/>
  <c r="J2388" i="34" a="1"/>
  <c r="J2389" i="34" a="1"/>
  <c r="J2390" i="34" a="1"/>
  <c r="J2391" i="34" a="1"/>
  <c r="J2392" i="34" a="1"/>
  <c r="J2393" i="34" a="1"/>
  <c r="J2394" i="34" a="1"/>
  <c r="J2395" i="34" a="1"/>
  <c r="J2396" i="34" a="1"/>
  <c r="J2397" i="34" a="1"/>
  <c r="J2398" i="34" a="1"/>
  <c r="J2399" i="34" a="1"/>
  <c r="J2400" i="34" a="1"/>
  <c r="J2401" i="34" a="1"/>
  <c r="J2402" i="34" a="1"/>
  <c r="J2403" i="34" a="1"/>
  <c r="J2404" i="34" a="1"/>
  <c r="J2405" i="34" a="1"/>
  <c r="J2406" i="34" a="1"/>
  <c r="J2407" i="34" a="1"/>
  <c r="J2408" i="34" a="1"/>
  <c r="J2409" i="34" a="1"/>
  <c r="J2410" i="34" a="1"/>
  <c r="J2411" i="34" a="1"/>
  <c r="J2412" i="34" a="1"/>
  <c r="J2413" i="34" a="1"/>
  <c r="J2414" i="34" a="1"/>
  <c r="J2415" i="34" a="1"/>
  <c r="J2416" i="34" a="1"/>
  <c r="J2417" i="34" a="1"/>
  <c r="J2418" i="34" a="1"/>
  <c r="J2419" i="34" a="1"/>
  <c r="J2420" i="34" a="1"/>
  <c r="J2421" i="34" a="1"/>
  <c r="J2422" i="34" a="1"/>
  <c r="J2423" i="34" a="1"/>
  <c r="J2424" i="34" a="1"/>
  <c r="J2425" i="34" a="1"/>
  <c r="J2426" i="34" a="1"/>
  <c r="J2427" i="34" a="1"/>
  <c r="J2428" i="34" a="1"/>
  <c r="J2429" i="34" a="1"/>
  <c r="J2430" i="34" a="1"/>
  <c r="J2431" i="34" a="1"/>
  <c r="J2432" i="34" a="1"/>
  <c r="J2433" i="34" a="1"/>
  <c r="J2434" i="34" a="1"/>
  <c r="J2435" i="34" a="1"/>
  <c r="J2436" i="34" a="1"/>
  <c r="J2437" i="34" a="1"/>
  <c r="J2438" i="34" a="1"/>
  <c r="J2439" i="34" a="1"/>
  <c r="J2440" i="34" a="1"/>
  <c r="J2441" i="34" a="1"/>
  <c r="J2442" i="34" a="1"/>
  <c r="J2443" i="34" a="1"/>
  <c r="J2444" i="34" a="1"/>
  <c r="J2445" i="34" a="1"/>
  <c r="J2446" i="34" a="1"/>
  <c r="J2447" i="34" a="1"/>
  <c r="J2448" i="34" a="1"/>
  <c r="J2449" i="34" a="1"/>
  <c r="J2450" i="34" a="1"/>
  <c r="J2451" i="34" a="1"/>
  <c r="J2452" i="34" a="1"/>
  <c r="J2453" i="34" a="1"/>
  <c r="J2454" i="34" a="1"/>
  <c r="J2455" i="34" a="1"/>
  <c r="J2456" i="34" a="1"/>
  <c r="J2457" i="34" a="1"/>
  <c r="J2458" i="34" a="1"/>
  <c r="J2459" i="34" a="1"/>
  <c r="J2460" i="34" a="1"/>
  <c r="J2461" i="34" a="1"/>
  <c r="J2462" i="34" a="1"/>
  <c r="J2463" i="34" a="1"/>
  <c r="J2464" i="34" a="1"/>
  <c r="J2465" i="34" a="1"/>
  <c r="J2466" i="34" a="1"/>
  <c r="J2467" i="34" a="1"/>
  <c r="J2468" i="34" a="1"/>
  <c r="J2469" i="34" a="1"/>
  <c r="J2470" i="34" a="1"/>
  <c r="J2471" i="34" a="1"/>
  <c r="J2472" i="34" a="1"/>
  <c r="J2473" i="34" a="1"/>
  <c r="J2474" i="34" a="1"/>
  <c r="J2475" i="34" a="1"/>
  <c r="J2476" i="34" a="1"/>
  <c r="J2477" i="34" a="1"/>
  <c r="J2478" i="34" a="1"/>
  <c r="J2479" i="34" a="1"/>
  <c r="J2480" i="34" a="1"/>
  <c r="J2481" i="34" a="1"/>
  <c r="J2482" i="34" a="1"/>
  <c r="J2483" i="34" a="1"/>
  <c r="J2484" i="34" a="1"/>
  <c r="J2485" i="34" a="1"/>
  <c r="J2486" i="34" a="1"/>
  <c r="J2487" i="34" a="1"/>
  <c r="J2488" i="34" a="1"/>
  <c r="J2489" i="34" a="1"/>
  <c r="J2490" i="34" a="1"/>
  <c r="J2491" i="34" a="1"/>
  <c r="J2492" i="34" a="1"/>
  <c r="J2493" i="34" a="1"/>
  <c r="J2494" i="34" a="1"/>
  <c r="J2495" i="34" a="1"/>
  <c r="J2496" i="34" a="1"/>
  <c r="J2497" i="34" a="1"/>
  <c r="J2498" i="34" a="1"/>
  <c r="J2499" i="34" a="1"/>
  <c r="J2500" i="34" a="1"/>
  <c r="J2501" i="34" a="1"/>
  <c r="J2502" i="34" a="1"/>
  <c r="J2503" i="34" a="1"/>
  <c r="J2504" i="34" a="1"/>
  <c r="J2505" i="34" a="1"/>
  <c r="J2506" i="34" a="1"/>
  <c r="J2507" i="34" a="1"/>
  <c r="J2508" i="34" a="1"/>
  <c r="J2509" i="34" a="1"/>
  <c r="J2510" i="34" a="1"/>
  <c r="J2511" i="34" a="1"/>
  <c r="J2512" i="34" a="1"/>
  <c r="J2513" i="34" a="1"/>
  <c r="J2514" i="34" a="1"/>
  <c r="J2515" i="34" a="1"/>
  <c r="J2516" i="34" a="1"/>
  <c r="J2517" i="34" a="1"/>
  <c r="J2518" i="34" a="1"/>
  <c r="J2519" i="34" a="1"/>
  <c r="J2520" i="34" a="1"/>
  <c r="J2521" i="34" a="1"/>
  <c r="J2522" i="34" a="1"/>
  <c r="J2523" i="34" a="1"/>
  <c r="J2524" i="34" a="1"/>
  <c r="J2525" i="34" a="1"/>
  <c r="J2526" i="34" a="1"/>
  <c r="J2527" i="34" a="1"/>
  <c r="J2528" i="34" a="1"/>
  <c r="J2529" i="34" a="1"/>
  <c r="J2530" i="34" a="1"/>
  <c r="J2531" i="34" a="1"/>
  <c r="J2532" i="34" a="1"/>
  <c r="J2533" i="34" a="1"/>
  <c r="J2534" i="34" a="1"/>
  <c r="J2535" i="34" a="1"/>
  <c r="J2536" i="34" a="1"/>
  <c r="J2537" i="34" a="1"/>
  <c r="J2538" i="34" a="1"/>
  <c r="J2539" i="34" a="1"/>
  <c r="J2540" i="34" a="1"/>
  <c r="J2541" i="34" a="1"/>
  <c r="J2542" i="34" a="1"/>
  <c r="J2543" i="34" a="1"/>
  <c r="J2544" i="34" a="1"/>
  <c r="J2545" i="34" a="1"/>
  <c r="J2546" i="34" a="1"/>
  <c r="J2547" i="34" a="1"/>
  <c r="J2548" i="34" a="1"/>
  <c r="J2549" i="34" a="1"/>
  <c r="J2550" i="34" a="1"/>
  <c r="J2551" i="34" a="1"/>
  <c r="J2552" i="34" a="1"/>
  <c r="J2553" i="34" a="1"/>
  <c r="J2554" i="34" a="1"/>
  <c r="J2555" i="34" a="1"/>
  <c r="J2556" i="34" a="1"/>
  <c r="J2557" i="34" a="1"/>
  <c r="J2558" i="34" a="1"/>
  <c r="J2559" i="34" a="1"/>
  <c r="J2560" i="34" a="1"/>
  <c r="J2561" i="34" a="1"/>
  <c r="J2562" i="34" a="1"/>
  <c r="J2563" i="34" a="1"/>
  <c r="J2564" i="34" a="1"/>
  <c r="J2565" i="34" a="1"/>
  <c r="J2566" i="34" a="1"/>
  <c r="J2567" i="34" a="1"/>
  <c r="J2568" i="34" a="1"/>
  <c r="J2569" i="34" a="1"/>
  <c r="J2570" i="34" a="1"/>
  <c r="J2571" i="34" a="1"/>
  <c r="J2572" i="34" a="1"/>
  <c r="J2573" i="34" a="1"/>
  <c r="J2574" i="34" a="1"/>
  <c r="J2575" i="34" a="1"/>
  <c r="J2576" i="34" a="1"/>
  <c r="J2577" i="34" a="1"/>
  <c r="J2578" i="34" a="1"/>
  <c r="J2579" i="34" a="1"/>
  <c r="J2580" i="34" a="1"/>
  <c r="J2581" i="34" a="1"/>
  <c r="J2582" i="34" a="1"/>
  <c r="J2583" i="34" a="1"/>
  <c r="J2584" i="34" a="1"/>
  <c r="J2585" i="34" a="1"/>
  <c r="J2586" i="34" a="1"/>
  <c r="J2587" i="34" a="1"/>
  <c r="J2588" i="34" a="1"/>
  <c r="J2589" i="34" a="1"/>
  <c r="J2590" i="34" a="1"/>
  <c r="J2591" i="34" a="1"/>
  <c r="J2592" i="34" a="1"/>
  <c r="J2593" i="34" a="1"/>
  <c r="J2594" i="34" a="1"/>
  <c r="J2595" i="34" a="1"/>
  <c r="J2596" i="34" a="1"/>
  <c r="J2597" i="34" a="1"/>
  <c r="J2598" i="34" a="1"/>
  <c r="J2599" i="34" a="1"/>
  <c r="J2600" i="34" a="1"/>
  <c r="J2601" i="34" a="1"/>
  <c r="J2602" i="34" a="1"/>
  <c r="J2603" i="34" a="1"/>
  <c r="J2604" i="34" a="1"/>
  <c r="J2605" i="34" a="1"/>
  <c r="J2606" i="34" a="1"/>
  <c r="J2607" i="34" a="1"/>
  <c r="J2608" i="34" a="1"/>
  <c r="J2609" i="34" a="1"/>
  <c r="J2610" i="34" a="1"/>
  <c r="J2611" i="34" a="1"/>
  <c r="J2612" i="34" a="1"/>
  <c r="J2613" i="34" a="1"/>
  <c r="J2614" i="34" a="1"/>
  <c r="J2615" i="34" a="1"/>
  <c r="J2616" i="34" a="1"/>
  <c r="J2617" i="34" a="1"/>
  <c r="J2618" i="34" a="1"/>
  <c r="J2619" i="34" a="1"/>
  <c r="J2620" i="34" a="1"/>
  <c r="J2621" i="34" a="1"/>
  <c r="J2622" i="34" a="1"/>
  <c r="J2623" i="34" a="1"/>
  <c r="J2624" i="34" a="1"/>
  <c r="J2625" i="34" a="1"/>
  <c r="J2626" i="34" a="1"/>
  <c r="J2627" i="34" a="1"/>
  <c r="J2628" i="34" a="1"/>
  <c r="J2629" i="34" a="1"/>
  <c r="J2630" i="34" a="1"/>
  <c r="J2631" i="34" a="1"/>
  <c r="J2632" i="34" a="1"/>
  <c r="J2633" i="34" a="1"/>
  <c r="J2634" i="34" a="1"/>
  <c r="J2635" i="34" a="1"/>
  <c r="J2636" i="34" a="1"/>
  <c r="J2637" i="34" a="1"/>
  <c r="J2638" i="34" a="1"/>
  <c r="J2639" i="34" a="1"/>
  <c r="J2640" i="34" a="1"/>
  <c r="J2641" i="34" a="1"/>
  <c r="J2642" i="34" a="1"/>
  <c r="J2643" i="34" a="1"/>
  <c r="J2644" i="34" a="1"/>
  <c r="J2645" i="34" a="1"/>
  <c r="J2646" i="34" a="1"/>
  <c r="J2647" i="34" a="1"/>
  <c r="J2648" i="34" a="1"/>
  <c r="J2649" i="34" a="1"/>
  <c r="J2650" i="34" a="1"/>
  <c r="J2651" i="34" a="1"/>
  <c r="J2652" i="34" a="1"/>
  <c r="J2653" i="34" a="1"/>
  <c r="J2654" i="34" a="1"/>
  <c r="J2655" i="34" a="1"/>
  <c r="J2656" i="34" a="1"/>
  <c r="J2657" i="34" a="1"/>
  <c r="J2658" i="34" a="1"/>
  <c r="J2659" i="34" a="1"/>
  <c r="J2660" i="34" a="1"/>
  <c r="J2661" i="34" a="1"/>
  <c r="J2662" i="34" a="1"/>
  <c r="J2663" i="34" a="1"/>
  <c r="J2664" i="34" a="1"/>
  <c r="J2665" i="34" a="1"/>
  <c r="J2666" i="34" a="1"/>
  <c r="J2667" i="34" a="1"/>
  <c r="J2668" i="34" a="1"/>
  <c r="J2669" i="34" a="1"/>
  <c r="J2670" i="34" a="1"/>
  <c r="J2671" i="34" a="1"/>
  <c r="J2672" i="34" a="1"/>
  <c r="J2673" i="34" a="1"/>
  <c r="J2674" i="34" a="1"/>
  <c r="J2675" i="34" a="1"/>
  <c r="J2676" i="34" a="1"/>
  <c r="J2677" i="34" a="1"/>
  <c r="J2678" i="34" a="1"/>
  <c r="J2679" i="34" a="1"/>
  <c r="J2680" i="34" a="1"/>
  <c r="J2681" i="34" a="1"/>
  <c r="J2682" i="34" a="1"/>
  <c r="J2683" i="34" a="1"/>
  <c r="J2684" i="34" a="1"/>
  <c r="J2685" i="34" a="1"/>
  <c r="J2686" i="34" a="1"/>
  <c r="J2687" i="34" a="1"/>
  <c r="J2688" i="34" a="1"/>
  <c r="J2689" i="34" a="1"/>
  <c r="J2690" i="34" a="1"/>
  <c r="J2691" i="34" a="1"/>
  <c r="J2692" i="34" a="1"/>
  <c r="J2693" i="34" a="1"/>
  <c r="J2694" i="34" a="1"/>
  <c r="J2695" i="34" a="1"/>
  <c r="J2696" i="34" a="1"/>
  <c r="J2697" i="34" a="1"/>
  <c r="J2698" i="34" a="1"/>
  <c r="J2699" i="34" a="1"/>
  <c r="J2700" i="34" a="1"/>
  <c r="J2701" i="34" a="1"/>
  <c r="J2702" i="34" a="1"/>
  <c r="J2703" i="34" a="1"/>
  <c r="J2704" i="34" a="1"/>
  <c r="J2705" i="34" a="1"/>
  <c r="J2706" i="34" a="1"/>
  <c r="J2707" i="34" a="1"/>
  <c r="J2708" i="34" a="1"/>
  <c r="J2709" i="34" a="1"/>
  <c r="J2710" i="34" a="1"/>
  <c r="J2711" i="34" a="1"/>
  <c r="J2712" i="34" a="1"/>
  <c r="J2713" i="34" a="1"/>
  <c r="J2714" i="34" a="1"/>
  <c r="J2715" i="34" a="1"/>
  <c r="J2716" i="34" a="1"/>
  <c r="J2717" i="34" a="1"/>
  <c r="J2718" i="34" a="1"/>
  <c r="J2719" i="34" a="1"/>
  <c r="J2720" i="34" a="1"/>
  <c r="J2721" i="34" a="1"/>
  <c r="J2722" i="34" a="1"/>
  <c r="J2723" i="34" a="1"/>
  <c r="J2724" i="34" a="1"/>
  <c r="J2725" i="34" a="1"/>
  <c r="J2726" i="34" a="1"/>
  <c r="J2727" i="34" a="1"/>
  <c r="J2728" i="34" a="1"/>
  <c r="J2729" i="34" a="1"/>
  <c r="J2730" i="34" a="1"/>
  <c r="J2731" i="34" a="1"/>
  <c r="J2732" i="34" a="1"/>
  <c r="J2733" i="34" a="1"/>
  <c r="J2734" i="34" a="1"/>
  <c r="J2735" i="34" a="1"/>
  <c r="J2736" i="34" a="1"/>
  <c r="J2737" i="34" a="1"/>
  <c r="J2738" i="34" a="1"/>
  <c r="J2739" i="34" a="1"/>
  <c r="J2740" i="34" a="1"/>
  <c r="J2741" i="34" a="1"/>
  <c r="J2742" i="34" a="1"/>
  <c r="J2743" i="34" a="1"/>
  <c r="J2744" i="34" a="1"/>
  <c r="J2745" i="34" a="1"/>
  <c r="J2746" i="34" a="1"/>
  <c r="J2747" i="34" a="1"/>
  <c r="J2748" i="34" a="1"/>
  <c r="J2749" i="34" a="1"/>
  <c r="J2750" i="34" a="1"/>
  <c r="J2751" i="34" a="1"/>
  <c r="J2752" i="34" a="1"/>
  <c r="J2753" i="34" a="1"/>
  <c r="J2754" i="34" a="1"/>
  <c r="J2755" i="34" a="1"/>
  <c r="J2756" i="34" a="1"/>
  <c r="J2757" i="34" a="1"/>
  <c r="J2758" i="34" a="1"/>
  <c r="J2759" i="34" a="1"/>
  <c r="J2760" i="34" a="1"/>
  <c r="J2761" i="34" a="1"/>
  <c r="J2762" i="34" a="1"/>
  <c r="J2763" i="34" a="1"/>
  <c r="J2764" i="34" a="1"/>
  <c r="J2765" i="34" a="1"/>
  <c r="J2766" i="34" a="1"/>
  <c r="J2767" i="34" a="1"/>
  <c r="J2768" i="34" a="1"/>
  <c r="J2769" i="34" a="1"/>
  <c r="J2770" i="34" a="1"/>
  <c r="J2771" i="34" a="1"/>
  <c r="J2772" i="34" a="1"/>
  <c r="J2773" i="34" a="1"/>
  <c r="J2774" i="34" a="1"/>
  <c r="J2775" i="34" a="1"/>
  <c r="J2776" i="34" a="1"/>
  <c r="J2777" i="34" a="1"/>
  <c r="J2778" i="34" a="1"/>
  <c r="J2779" i="34" a="1"/>
  <c r="J2780" i="34" a="1"/>
  <c r="J2781" i="34" a="1"/>
  <c r="J2782" i="34" a="1"/>
  <c r="J2783" i="34" a="1"/>
  <c r="J2784" i="34" a="1"/>
  <c r="J2785" i="34" a="1"/>
  <c r="J2786" i="34" a="1"/>
  <c r="J2787" i="34" a="1"/>
  <c r="J2788" i="34" a="1"/>
  <c r="J2789" i="34" a="1"/>
  <c r="J2790" i="34" a="1"/>
  <c r="J2791" i="34" a="1"/>
  <c r="J2792" i="34" a="1"/>
  <c r="J2793" i="34" a="1"/>
  <c r="J2794" i="34" a="1"/>
  <c r="J2795" i="34" a="1"/>
  <c r="J2796" i="34" a="1"/>
  <c r="J2797" i="34" a="1"/>
  <c r="J2798" i="34" a="1"/>
  <c r="J2799" i="34" a="1"/>
  <c r="J2800" i="34" a="1"/>
  <c r="J2801" i="34" a="1"/>
  <c r="J2802" i="34" a="1"/>
  <c r="J2803" i="34" a="1"/>
  <c r="J2804" i="34" a="1"/>
  <c r="J2805" i="34" a="1"/>
  <c r="J2806" i="34" a="1"/>
  <c r="J2807" i="34" a="1"/>
  <c r="J2808" i="34" a="1"/>
  <c r="J2809" i="34" a="1"/>
  <c r="J2810" i="34" a="1"/>
  <c r="J2811" i="34" a="1"/>
  <c r="J2812" i="34" a="1"/>
  <c r="J2813" i="34" a="1"/>
  <c r="J2814" i="34" a="1"/>
  <c r="J2815" i="34" a="1"/>
  <c r="J2816" i="34" a="1"/>
  <c r="J2817" i="34" a="1"/>
  <c r="J2818" i="34" a="1"/>
  <c r="J2819" i="34" a="1"/>
  <c r="J2820" i="34" a="1"/>
  <c r="J2821" i="34" a="1"/>
  <c r="J2822" i="34" a="1"/>
  <c r="J2823" i="34" a="1"/>
  <c r="J2824" i="34" a="1"/>
  <c r="J2825" i="34" a="1"/>
  <c r="J2826" i="34" a="1"/>
  <c r="J2827" i="34" a="1"/>
  <c r="J2828" i="34" a="1"/>
  <c r="J2829" i="34" a="1"/>
  <c r="J2830" i="34" a="1"/>
  <c r="J2831" i="34" a="1"/>
  <c r="J2832" i="34" a="1"/>
  <c r="J2833" i="34" a="1"/>
  <c r="J2834" i="34" a="1"/>
  <c r="J2835" i="34" a="1"/>
  <c r="J2836" i="34" a="1"/>
  <c r="J2837" i="34" a="1"/>
  <c r="J2838" i="34" a="1"/>
  <c r="J2839" i="34" a="1"/>
  <c r="J2840" i="34" a="1"/>
  <c r="J2841" i="34" a="1"/>
  <c r="J2842" i="34" a="1"/>
  <c r="J2843" i="34" a="1"/>
  <c r="J2844" i="34" a="1"/>
  <c r="J2845" i="34" a="1"/>
  <c r="J2846" i="34" a="1"/>
  <c r="J2847" i="34" a="1"/>
  <c r="J2848" i="34" a="1"/>
  <c r="J2849" i="34" a="1"/>
  <c r="J2850" i="34" a="1"/>
  <c r="J2851" i="34" a="1"/>
  <c r="J2852" i="34" a="1"/>
  <c r="J2853" i="34" a="1"/>
  <c r="J2854" i="34" a="1"/>
  <c r="J2855" i="34" a="1"/>
  <c r="J2856" i="34" a="1"/>
  <c r="J2857" i="34" a="1"/>
  <c r="J2858" i="34" a="1"/>
  <c r="J2859" i="34" a="1"/>
  <c r="J2860" i="34" a="1"/>
  <c r="J2861" i="34" a="1"/>
  <c r="J2862" i="34" a="1"/>
  <c r="J2863" i="34" a="1"/>
  <c r="J2864" i="34" a="1"/>
  <c r="J2865" i="34" a="1"/>
  <c r="J2866" i="34" a="1"/>
  <c r="J2867" i="34" a="1"/>
  <c r="J2868" i="34" a="1"/>
  <c r="J2869" i="34" a="1"/>
  <c r="J2870" i="34" a="1"/>
  <c r="J2871" i="34" a="1"/>
  <c r="J2872" i="34" a="1"/>
  <c r="J2873" i="34" a="1"/>
  <c r="J2874" i="34" a="1"/>
  <c r="J2875" i="34" a="1"/>
  <c r="J2876" i="34" a="1"/>
  <c r="J2877" i="34" a="1"/>
  <c r="J2878" i="34" a="1"/>
  <c r="J2879" i="34" a="1"/>
  <c r="J2880" i="34" a="1"/>
  <c r="J2881" i="34" a="1"/>
  <c r="J2882" i="34" a="1"/>
  <c r="J2883" i="34" a="1"/>
  <c r="J2884" i="34" a="1"/>
  <c r="J2885" i="34" a="1"/>
  <c r="J2886" i="34" a="1"/>
  <c r="J2887" i="34" a="1"/>
  <c r="J2888" i="34" a="1"/>
  <c r="J2889" i="34" a="1"/>
  <c r="J2890" i="34" a="1"/>
  <c r="J2891" i="34" a="1"/>
  <c r="J2892" i="34" a="1"/>
  <c r="J2893" i="34" a="1"/>
  <c r="J2894" i="34" a="1"/>
  <c r="J2895" i="34" a="1"/>
  <c r="J2896" i="34" a="1"/>
  <c r="J2897" i="34" a="1"/>
  <c r="J2898" i="34" a="1"/>
  <c r="J2899" i="34" a="1"/>
  <c r="J2900" i="34" a="1"/>
  <c r="J2901" i="34" a="1"/>
  <c r="J2902" i="34" a="1"/>
  <c r="J2903" i="34" a="1"/>
  <c r="J2904" i="34" a="1"/>
  <c r="J2905" i="34" a="1"/>
  <c r="J2906" i="34" a="1"/>
  <c r="J2907" i="34" a="1"/>
  <c r="J2908" i="34" a="1"/>
  <c r="J2909" i="34" a="1"/>
  <c r="J2910" i="34" a="1"/>
  <c r="J2911" i="34" a="1"/>
  <c r="J2912" i="34" a="1"/>
  <c r="J2913" i="34" a="1"/>
  <c r="J2914" i="34" a="1"/>
  <c r="J2915" i="34" a="1"/>
  <c r="J2916" i="34" a="1"/>
  <c r="J2917" i="34" a="1"/>
  <c r="J2918" i="34" a="1"/>
  <c r="J2919" i="34" a="1"/>
  <c r="J2920" i="34" a="1"/>
  <c r="J2921" i="34" a="1"/>
  <c r="J2922" i="34" a="1"/>
  <c r="J2923" i="34" a="1"/>
  <c r="J2924" i="34" a="1"/>
  <c r="J2925" i="34" a="1"/>
  <c r="J2926" i="34" a="1"/>
  <c r="J2927" i="34" a="1"/>
  <c r="J2928" i="34" a="1"/>
  <c r="J2929" i="34" a="1"/>
  <c r="J2930" i="34" a="1"/>
  <c r="J2931" i="34" a="1"/>
  <c r="J2932" i="34" a="1"/>
  <c r="J2933" i="34" a="1"/>
  <c r="J2934" i="34" a="1"/>
  <c r="J2935" i="34" a="1"/>
  <c r="J2936" i="34" a="1"/>
  <c r="J2937" i="34" a="1"/>
  <c r="J2938" i="34" a="1"/>
  <c r="J2939" i="34" a="1"/>
  <c r="J2940" i="34" a="1"/>
  <c r="J2941" i="34" a="1"/>
  <c r="J2942" i="34" a="1"/>
  <c r="J2943" i="34" a="1"/>
  <c r="J2944" i="34" a="1"/>
  <c r="J2945" i="34" a="1"/>
  <c r="J2946" i="34" a="1"/>
  <c r="J2947" i="34" a="1"/>
  <c r="J2948" i="34" a="1"/>
  <c r="J2949" i="34" a="1"/>
  <c r="J2950" i="34" a="1"/>
  <c r="J2951" i="34" a="1"/>
  <c r="J2952" i="34" a="1"/>
  <c r="J2953" i="34" a="1"/>
  <c r="J2954" i="34" a="1"/>
  <c r="J2955" i="34" a="1"/>
  <c r="J2956" i="34" a="1"/>
  <c r="J2957" i="34" a="1"/>
  <c r="J2958" i="34" a="1"/>
  <c r="J2959" i="34" a="1"/>
  <c r="J2960" i="34" a="1"/>
  <c r="J2961" i="34" a="1"/>
  <c r="J2962" i="34" a="1"/>
  <c r="J2963" i="34" a="1"/>
  <c r="J2964" i="34" a="1"/>
  <c r="J2965" i="34" a="1"/>
  <c r="J2966" i="34" a="1"/>
  <c r="J2967" i="34" a="1"/>
  <c r="J2968" i="34" a="1"/>
  <c r="J2969" i="34" a="1"/>
  <c r="J2970" i="34" a="1"/>
  <c r="J2971" i="34" a="1"/>
  <c r="J2972" i="34" a="1"/>
  <c r="J2973" i="34" a="1"/>
  <c r="J2974" i="34" a="1"/>
  <c r="J2975" i="34" a="1"/>
  <c r="J2976" i="34" a="1"/>
  <c r="J2977" i="34" a="1"/>
  <c r="J2978" i="34" a="1"/>
  <c r="J2979" i="34" a="1"/>
  <c r="J2980" i="34" a="1"/>
  <c r="J2981" i="34" a="1"/>
  <c r="J2982" i="34" a="1"/>
  <c r="J2983" i="34" a="1"/>
  <c r="J2984" i="34" a="1"/>
  <c r="J2985" i="34" a="1"/>
  <c r="J2986" i="34" a="1"/>
  <c r="J2987" i="34" a="1"/>
  <c r="J2988" i="34" a="1"/>
  <c r="J2989" i="34" a="1"/>
  <c r="J2990" i="34" a="1"/>
  <c r="J2991" i="34" a="1"/>
  <c r="J2992" i="34" a="1"/>
  <c r="J2993" i="34" a="1"/>
  <c r="J2994" i="34" a="1"/>
  <c r="J2995" i="34" a="1"/>
  <c r="J2996" i="34" a="1"/>
  <c r="J2997" i="34" a="1"/>
  <c r="J2998" i="34" a="1"/>
  <c r="J2999" i="34" a="1"/>
  <c r="J3000" i="34" a="1"/>
  <c r="J3001" i="34" a="1"/>
  <c r="J3002" i="34" a="1"/>
  <c r="J3003" i="34" a="1"/>
  <c r="J3004" i="34" a="1"/>
  <c r="J3005" i="34" a="1"/>
  <c r="J3006" i="34" a="1"/>
  <c r="J3007" i="34" a="1"/>
  <c r="J3008" i="34" a="1"/>
  <c r="J3009" i="34" a="1"/>
  <c r="J3010" i="34" a="1"/>
  <c r="J3011" i="34" a="1"/>
  <c r="J3012" i="34" a="1"/>
  <c r="J3013" i="34" a="1"/>
  <c r="J3014" i="34" a="1"/>
  <c r="J3015" i="34" a="1"/>
  <c r="J3016" i="34" a="1"/>
  <c r="J3017" i="34" a="1"/>
  <c r="J3018" i="34" a="1"/>
  <c r="J3019" i="34" a="1"/>
  <c r="J3020" i="34" a="1"/>
  <c r="J3021" i="34" a="1"/>
  <c r="J3022" i="34" a="1"/>
  <c r="J3023" i="34" a="1"/>
  <c r="J3024" i="34" a="1"/>
  <c r="J3025" i="34" a="1"/>
  <c r="J3026" i="34" a="1"/>
  <c r="J3027" i="34" a="1"/>
  <c r="J3028" i="34" a="1"/>
  <c r="J3029" i="34" a="1"/>
  <c r="J3030" i="34" a="1"/>
  <c r="J3031" i="34" a="1"/>
  <c r="J3032" i="34" a="1"/>
  <c r="J3033" i="34" a="1"/>
  <c r="J3034" i="34" a="1"/>
  <c r="J3035" i="34" a="1"/>
  <c r="J3036" i="34" a="1"/>
  <c r="J3037" i="34" a="1"/>
  <c r="J3038" i="34" a="1"/>
  <c r="J3039" i="34" a="1"/>
  <c r="J3040" i="34" a="1"/>
  <c r="J3041" i="34" a="1"/>
  <c r="J3042" i="34" a="1"/>
  <c r="J3043" i="34" a="1"/>
  <c r="J3044" i="34" a="1"/>
  <c r="J3045" i="34" a="1"/>
  <c r="J3046" i="34" a="1"/>
  <c r="J3047" i="34" a="1"/>
  <c r="J3048" i="34" a="1"/>
  <c r="J3049" i="34" a="1"/>
  <c r="J3050" i="34" a="1"/>
  <c r="J3051" i="34" a="1"/>
  <c r="J3052" i="34" a="1"/>
  <c r="J3053" i="34" a="1"/>
  <c r="J3054" i="34" a="1"/>
  <c r="J3055" i="34" a="1"/>
  <c r="J3056" i="34" a="1"/>
  <c r="J3057" i="34" a="1"/>
  <c r="J3058" i="34" a="1"/>
  <c r="J3059" i="34" a="1"/>
  <c r="J3060" i="34" a="1"/>
  <c r="J3061" i="34" a="1"/>
  <c r="J3062" i="34" a="1"/>
  <c r="J3063" i="34" a="1"/>
  <c r="J3064" i="34" a="1"/>
  <c r="J3065" i="34" a="1"/>
  <c r="J3066" i="34" a="1"/>
  <c r="J3067" i="34" a="1"/>
  <c r="J3068" i="34" a="1"/>
  <c r="J3069" i="34" a="1"/>
  <c r="J3070" i="34" a="1"/>
  <c r="J3071" i="34" a="1"/>
  <c r="J3072" i="34" a="1"/>
  <c r="J3073" i="34" a="1"/>
  <c r="J3074" i="34" a="1"/>
  <c r="J3075" i="34" a="1"/>
  <c r="J3076" i="34" a="1"/>
  <c r="J3077" i="34" a="1"/>
  <c r="J3078" i="34" a="1"/>
  <c r="J3079" i="34" a="1"/>
  <c r="J3080" i="34" a="1"/>
  <c r="J3081" i="34" a="1"/>
  <c r="J3082" i="34" a="1"/>
  <c r="J3083" i="34" a="1"/>
  <c r="J3084" i="34" a="1"/>
  <c r="J3085" i="34" a="1"/>
  <c r="J3086" i="34" a="1"/>
  <c r="J3087" i="34" a="1"/>
  <c r="J3088" i="34" a="1"/>
  <c r="J3089" i="34" a="1"/>
  <c r="J3090" i="34" a="1"/>
  <c r="J3091" i="34" a="1"/>
  <c r="J3092" i="34" a="1"/>
  <c r="J3093" i="34" a="1"/>
  <c r="J3094" i="34" a="1"/>
  <c r="J3095" i="34" a="1"/>
  <c r="J3096" i="34" a="1"/>
  <c r="J3097" i="34" a="1"/>
  <c r="J3098" i="34" a="1"/>
  <c r="J3099" i="34" a="1"/>
  <c r="J3100" i="34" a="1"/>
  <c r="J3101" i="34" a="1"/>
  <c r="J3102" i="34" a="1"/>
  <c r="J3103" i="34" a="1"/>
  <c r="J3104" i="34" a="1"/>
  <c r="J3105" i="34" a="1"/>
  <c r="J3106" i="34" a="1"/>
  <c r="J3107" i="34" a="1"/>
  <c r="J3108" i="34" a="1"/>
  <c r="J3109" i="34" a="1"/>
  <c r="J3110" i="34" a="1"/>
  <c r="J3111" i="34" a="1"/>
  <c r="J3112" i="34" a="1"/>
  <c r="J3113" i="34" a="1"/>
  <c r="J3114" i="34" a="1"/>
  <c r="J3115" i="34" a="1"/>
  <c r="J3116" i="34" a="1"/>
  <c r="J3117" i="34" a="1"/>
  <c r="J3118" i="34" a="1"/>
  <c r="J3119" i="34" a="1"/>
  <c r="J3120" i="34" a="1"/>
  <c r="J3121" i="34" a="1"/>
  <c r="J3122" i="34" a="1"/>
  <c r="J3123" i="34" a="1"/>
  <c r="J3124" i="34" a="1"/>
  <c r="J3125" i="34" a="1"/>
  <c r="J3126" i="34" a="1"/>
  <c r="J3127" i="34" a="1"/>
  <c r="J3128" i="34" a="1"/>
  <c r="J3129" i="34" a="1"/>
  <c r="J3130" i="34" a="1"/>
  <c r="J3131" i="34" a="1"/>
  <c r="J3132" i="34" a="1"/>
  <c r="J3133" i="34" a="1"/>
  <c r="J3134" i="34" a="1"/>
  <c r="J3135" i="34" a="1"/>
  <c r="J3136" i="34" a="1"/>
  <c r="J3137" i="34" a="1"/>
  <c r="J3138" i="34" a="1"/>
  <c r="J3139" i="34" a="1"/>
  <c r="J3140" i="34" a="1"/>
  <c r="J3141" i="34" a="1"/>
  <c r="J3142" i="34" a="1"/>
  <c r="J3143" i="34" a="1"/>
  <c r="J3144" i="34" a="1"/>
  <c r="J3145" i="34" a="1"/>
  <c r="J3146" i="34" a="1"/>
  <c r="J3147" i="34" a="1"/>
  <c r="J3148" i="34" a="1"/>
  <c r="J3149" i="34" a="1"/>
  <c r="J3150" i="34" a="1"/>
  <c r="J3151" i="34" a="1"/>
  <c r="J3152" i="34" a="1"/>
  <c r="J3153" i="34" a="1"/>
  <c r="J3154" i="34" a="1"/>
  <c r="J3155" i="34" a="1"/>
  <c r="J3156" i="34" a="1"/>
  <c r="J3157" i="34" a="1"/>
  <c r="J3158" i="34" a="1"/>
  <c r="J3159" i="34" a="1"/>
  <c r="J3160" i="34" a="1"/>
  <c r="J3161" i="34" a="1"/>
  <c r="J3162" i="34" a="1"/>
  <c r="J3163" i="34" a="1"/>
  <c r="J3164" i="34" a="1"/>
  <c r="J3165" i="34" a="1"/>
  <c r="J3166" i="34" a="1"/>
  <c r="J3167" i="34" a="1"/>
  <c r="J3168" i="34" a="1"/>
  <c r="J3169" i="34" a="1"/>
  <c r="J3170" i="34" a="1"/>
  <c r="J3171" i="34" a="1"/>
  <c r="J3172" i="34" a="1"/>
  <c r="J3173" i="34" a="1"/>
  <c r="J3174" i="34" a="1"/>
  <c r="J3175" i="34" a="1"/>
  <c r="J3176" i="34" a="1"/>
  <c r="J3177" i="34" a="1"/>
  <c r="J3178" i="34" a="1"/>
  <c r="J3179" i="34" a="1"/>
  <c r="J3180" i="34" a="1"/>
  <c r="J3181" i="34" a="1"/>
  <c r="J3182" i="34" a="1"/>
  <c r="J3183" i="34" a="1"/>
  <c r="J3184" i="34" a="1"/>
  <c r="J3185" i="34" a="1"/>
  <c r="J3186" i="34" a="1"/>
  <c r="J3187" i="34" a="1"/>
  <c r="J3188" i="34" a="1"/>
  <c r="J3189" i="34" a="1"/>
  <c r="J3190" i="34" a="1"/>
  <c r="J3191" i="34" a="1"/>
  <c r="J3192" i="34" a="1"/>
  <c r="J3193" i="34" a="1"/>
  <c r="J3194" i="34" a="1"/>
  <c r="J3195" i="34" a="1"/>
  <c r="J3196" i="34" a="1"/>
  <c r="J3197" i="34" a="1"/>
  <c r="J3198" i="34" a="1"/>
  <c r="J3199" i="34" a="1"/>
  <c r="J3200" i="34" a="1"/>
  <c r="J3201" i="34" a="1"/>
  <c r="J3202" i="34" a="1"/>
  <c r="J3203" i="34" a="1"/>
  <c r="J3204" i="34" a="1"/>
  <c r="J3205" i="34" a="1"/>
  <c r="J3206" i="34" a="1"/>
  <c r="J3207" i="34" a="1"/>
  <c r="J3208" i="34" a="1"/>
  <c r="J3209" i="34" a="1"/>
  <c r="J3210" i="34" a="1"/>
  <c r="J3211" i="34" a="1"/>
  <c r="J3212" i="34" a="1"/>
  <c r="J3213" i="34" a="1"/>
  <c r="J3214" i="34" a="1"/>
  <c r="J3215" i="34" a="1"/>
  <c r="J3216" i="34" a="1"/>
  <c r="J3217" i="34" a="1"/>
  <c r="J3218" i="34" a="1"/>
  <c r="J3219" i="34" a="1"/>
  <c r="J3220" i="34" a="1"/>
  <c r="J3221" i="34" a="1"/>
  <c r="J3222" i="34" a="1"/>
  <c r="J3223" i="34" a="1"/>
  <c r="J3224" i="34" a="1"/>
  <c r="J3225" i="34" a="1"/>
  <c r="J3226" i="34" a="1"/>
  <c r="J3227" i="34" a="1"/>
  <c r="J3228" i="34" a="1"/>
  <c r="J3229" i="34" a="1"/>
  <c r="J3230" i="34" a="1"/>
  <c r="J3231" i="34" a="1"/>
  <c r="J3232" i="34" a="1"/>
  <c r="J3233" i="34" a="1"/>
  <c r="J3234" i="34" a="1"/>
  <c r="J3235" i="34" a="1"/>
  <c r="J3236" i="34" a="1"/>
  <c r="J3237" i="34" a="1"/>
  <c r="J3238" i="34" a="1"/>
  <c r="J3239" i="34" a="1"/>
  <c r="J3240" i="34" a="1"/>
  <c r="J3241" i="34" a="1"/>
  <c r="J3242" i="34" a="1"/>
  <c r="J3243" i="34" a="1"/>
  <c r="J3244" i="34" a="1"/>
  <c r="J3245" i="34" a="1"/>
  <c r="J3246" i="34" a="1"/>
  <c r="J3247" i="34" a="1"/>
  <c r="J3248" i="34" a="1"/>
  <c r="J3249" i="34" a="1"/>
  <c r="J3250" i="34" a="1"/>
  <c r="J3251" i="34" a="1"/>
  <c r="J3252" i="34" a="1"/>
  <c r="J3253" i="34" a="1"/>
  <c r="J3254" i="34" a="1"/>
  <c r="J3255" i="34" a="1"/>
  <c r="J3256" i="34" a="1"/>
  <c r="J3257" i="34" a="1"/>
  <c r="J3258" i="34" a="1"/>
  <c r="J3259" i="34" a="1"/>
  <c r="J3260" i="34" a="1"/>
  <c r="J3261" i="34" a="1"/>
  <c r="J3262" i="34" a="1"/>
  <c r="J3263" i="34" a="1"/>
  <c r="J3264" i="34" a="1"/>
  <c r="J3265" i="34" a="1"/>
  <c r="J3266" i="34" a="1"/>
  <c r="J3267" i="34" a="1"/>
  <c r="J3268" i="34" a="1"/>
  <c r="J3269" i="34" a="1"/>
  <c r="J3270" i="34" a="1"/>
  <c r="J3271" i="34" a="1"/>
  <c r="J3272" i="34" a="1"/>
  <c r="J3273" i="34" a="1"/>
  <c r="J3274" i="34" a="1"/>
  <c r="J3275" i="34" a="1"/>
  <c r="J3276" i="34" a="1"/>
  <c r="J3277" i="34" a="1"/>
  <c r="J3278" i="34" a="1"/>
  <c r="J3279" i="34" a="1"/>
  <c r="J3280" i="34" a="1"/>
  <c r="J3281" i="34" a="1"/>
  <c r="J3282" i="34" a="1"/>
  <c r="J3283" i="34" a="1"/>
  <c r="J3284" i="34" a="1"/>
  <c r="J3285" i="34" a="1"/>
  <c r="J3286" i="34" a="1"/>
  <c r="J3287" i="34" a="1"/>
  <c r="J3288" i="34" a="1"/>
  <c r="J3289" i="34" a="1"/>
  <c r="J3290" i="34" a="1"/>
  <c r="J3291" i="34" a="1"/>
  <c r="J3292" i="34" a="1"/>
  <c r="J3293" i="34" a="1"/>
  <c r="J3294" i="34" a="1"/>
  <c r="J3295" i="34" a="1"/>
  <c r="J3296" i="34" a="1"/>
  <c r="J3297" i="34" a="1"/>
  <c r="J3298" i="34" a="1"/>
  <c r="J3299" i="34" a="1"/>
  <c r="J3300" i="34" a="1"/>
  <c r="J3301" i="34" a="1"/>
  <c r="J3302" i="34" a="1"/>
  <c r="J3303" i="34" a="1"/>
  <c r="J3304" i="34" a="1"/>
  <c r="J3305" i="34" a="1"/>
  <c r="J3306" i="34" a="1"/>
  <c r="J3307" i="34" a="1"/>
  <c r="J3308" i="34" a="1"/>
  <c r="J3309" i="34" a="1"/>
  <c r="J3310" i="34" a="1"/>
  <c r="J3311" i="34" a="1"/>
  <c r="J3312" i="34" a="1"/>
  <c r="J3313" i="34" a="1"/>
  <c r="J3314" i="34" a="1"/>
  <c r="J3315" i="34" a="1"/>
  <c r="J3316" i="34" a="1"/>
  <c r="J3317" i="34" a="1"/>
  <c r="J3318" i="34" a="1"/>
  <c r="J3319" i="34" a="1"/>
  <c r="J3320" i="34" a="1"/>
  <c r="J3321" i="34" a="1"/>
  <c r="J3322" i="34" a="1"/>
  <c r="J3323" i="34" a="1"/>
  <c r="J3324" i="34" a="1"/>
  <c r="J3325" i="34" a="1"/>
  <c r="J3326" i="34" a="1"/>
  <c r="J3327" i="34" a="1"/>
  <c r="J3328" i="34" a="1"/>
  <c r="J3329" i="34" a="1"/>
  <c r="J3330" i="34" a="1"/>
  <c r="J3331" i="34" a="1"/>
  <c r="J3332" i="34" a="1"/>
  <c r="J3333" i="34" a="1"/>
  <c r="J3334" i="34" a="1"/>
  <c r="J3335" i="34" a="1"/>
  <c r="J3336" i="34" a="1"/>
  <c r="J3337" i="34" a="1"/>
  <c r="J3338" i="34" a="1"/>
  <c r="J3339" i="34" a="1"/>
  <c r="J3340" i="34" a="1"/>
  <c r="J3341" i="34" a="1"/>
  <c r="J3342" i="34" a="1"/>
  <c r="J3343" i="34" a="1"/>
  <c r="J3344" i="34" a="1"/>
  <c r="J3345" i="34" a="1"/>
  <c r="J3346" i="34" a="1"/>
  <c r="J3347" i="34" a="1"/>
  <c r="J3348" i="34" a="1"/>
  <c r="J3349" i="34" a="1"/>
  <c r="J3350" i="34" a="1"/>
  <c r="J3351" i="34" a="1"/>
  <c r="J3352" i="34" a="1"/>
  <c r="J3353" i="34" a="1"/>
  <c r="J3354" i="34" a="1"/>
  <c r="J3355" i="34" a="1"/>
  <c r="J3356" i="34" a="1"/>
  <c r="J3357" i="34" a="1"/>
  <c r="J3358" i="34" a="1"/>
  <c r="J3359" i="34" a="1"/>
  <c r="J3360" i="34" a="1"/>
  <c r="J3361" i="34" a="1"/>
  <c r="J3362" i="34" a="1"/>
  <c r="J3363" i="34" a="1"/>
  <c r="J3364" i="34" a="1"/>
  <c r="J3365" i="34" a="1"/>
  <c r="J3366" i="34" a="1"/>
  <c r="J3367" i="34" a="1"/>
  <c r="J3368" i="34" a="1"/>
  <c r="J3369" i="34" a="1"/>
  <c r="J3370" i="34" a="1"/>
  <c r="J3371" i="34" a="1"/>
  <c r="J3372" i="34" a="1"/>
  <c r="J3373" i="34" a="1"/>
  <c r="J3374" i="34" a="1"/>
  <c r="J3375" i="34" a="1"/>
  <c r="J3376" i="34" a="1"/>
  <c r="J3377" i="34" a="1"/>
  <c r="J3378" i="34" a="1"/>
  <c r="J3379" i="34" a="1"/>
  <c r="J3380" i="34" a="1"/>
  <c r="J3381" i="34" a="1"/>
  <c r="J3382" i="34" a="1"/>
  <c r="J3383" i="34" a="1"/>
  <c r="J3384" i="34" a="1"/>
  <c r="J3385" i="34" a="1"/>
  <c r="J3386" i="34" a="1"/>
  <c r="J3387" i="34" a="1"/>
  <c r="J3388" i="34" a="1"/>
  <c r="J3389" i="34" a="1"/>
  <c r="J3390" i="34" a="1"/>
  <c r="J3391" i="34" a="1"/>
  <c r="J3392" i="34" a="1"/>
  <c r="J3393" i="34" a="1"/>
  <c r="J3394" i="34" a="1"/>
  <c r="J3395" i="34" a="1"/>
  <c r="J3396" i="34" a="1"/>
  <c r="J3397" i="34" a="1"/>
  <c r="J3398" i="34" a="1"/>
  <c r="J3399" i="34" a="1"/>
  <c r="J3400" i="34" a="1"/>
  <c r="J3401" i="34" a="1"/>
  <c r="J3402" i="34" a="1"/>
  <c r="J3403" i="34" a="1"/>
  <c r="J3404" i="34" a="1"/>
  <c r="J3405" i="34" a="1"/>
  <c r="J3406" i="34" a="1"/>
  <c r="J3407" i="34" a="1"/>
  <c r="J3408" i="34" a="1"/>
  <c r="J3409" i="34" a="1"/>
  <c r="J3410" i="34" a="1"/>
  <c r="J3411" i="34" a="1"/>
  <c r="J3412" i="34" a="1"/>
  <c r="J3413" i="34" a="1"/>
  <c r="J3414" i="34" a="1"/>
  <c r="J3415" i="34" a="1"/>
  <c r="J3416" i="34" a="1"/>
  <c r="J3417" i="34" a="1"/>
  <c r="J3418" i="34" a="1"/>
  <c r="J3419" i="34" a="1"/>
  <c r="J3420" i="34" a="1"/>
  <c r="J3421" i="34" a="1"/>
  <c r="J3422" i="34" a="1"/>
  <c r="J3423" i="34" a="1"/>
  <c r="J3424" i="34" a="1"/>
  <c r="J3425" i="34" a="1"/>
  <c r="J3426" i="34" a="1"/>
  <c r="J3427" i="34" a="1"/>
  <c r="J3428" i="34" a="1"/>
  <c r="J3429" i="34" a="1"/>
  <c r="J3430" i="34" a="1"/>
  <c r="J3431" i="34" a="1"/>
  <c r="J3432" i="34" a="1"/>
  <c r="J3433" i="34" a="1"/>
  <c r="J3434" i="34" a="1"/>
  <c r="J3435" i="34" a="1"/>
  <c r="J3436" i="34" a="1"/>
  <c r="J3437" i="34" a="1"/>
  <c r="J3438" i="34" a="1"/>
  <c r="J3439" i="34" a="1"/>
  <c r="J3440" i="34" a="1"/>
  <c r="J3441" i="34" a="1"/>
  <c r="J3442" i="34" a="1"/>
  <c r="J3443" i="34" a="1"/>
  <c r="J3444" i="34" a="1"/>
  <c r="J3445" i="34" a="1"/>
  <c r="J3446" i="34" a="1"/>
  <c r="J3447" i="34" a="1"/>
  <c r="J3448" i="34" a="1"/>
  <c r="J3449" i="34" a="1"/>
  <c r="J3450" i="34" a="1"/>
  <c r="J3451" i="34" a="1"/>
  <c r="J3452" i="34" a="1"/>
  <c r="J3453" i="34" a="1"/>
  <c r="J3454" i="34" a="1"/>
  <c r="J3455" i="34" a="1"/>
  <c r="J3456" i="34" a="1"/>
  <c r="J3457" i="34" a="1"/>
  <c r="J3458" i="34" a="1"/>
  <c r="J3459" i="34" a="1"/>
  <c r="J3460" i="34" a="1"/>
  <c r="J3461" i="34" a="1"/>
  <c r="J3462" i="34" a="1"/>
  <c r="J3463" i="34" a="1"/>
  <c r="J3464" i="34" a="1"/>
  <c r="J3465" i="34" a="1"/>
  <c r="J3466" i="34" a="1"/>
  <c r="J3467" i="34" a="1"/>
  <c r="J3468" i="34" a="1"/>
  <c r="J3469" i="34" a="1"/>
  <c r="J3470" i="34" a="1"/>
  <c r="J3471" i="34" a="1"/>
  <c r="J3472" i="34" a="1"/>
  <c r="J3473" i="34" a="1"/>
  <c r="J3474" i="34" a="1"/>
  <c r="J3475" i="34" a="1"/>
  <c r="J3476" i="34" a="1"/>
  <c r="J3477" i="34" a="1"/>
  <c r="J3478" i="34" a="1"/>
  <c r="J3479" i="34" a="1"/>
  <c r="J3480" i="34" a="1"/>
  <c r="J3481" i="34" a="1"/>
  <c r="J3482" i="34" a="1"/>
  <c r="J3483" i="34" a="1"/>
  <c r="J3484" i="34" a="1"/>
  <c r="J3485" i="34" a="1"/>
  <c r="J3486" i="34" a="1"/>
  <c r="J3487" i="34" a="1"/>
  <c r="J3488" i="34" a="1"/>
  <c r="J3489" i="34" a="1"/>
  <c r="J3490" i="34" a="1"/>
  <c r="J3491" i="34" a="1"/>
  <c r="J3492" i="34" a="1"/>
  <c r="J3493" i="34" a="1"/>
  <c r="J3494" i="34" a="1"/>
  <c r="J3495" i="34" a="1"/>
  <c r="J3496" i="34" a="1"/>
  <c r="J3497" i="34" a="1"/>
  <c r="J3498" i="34" a="1"/>
  <c r="J3499" i="34" a="1"/>
  <c r="J3500" i="34" a="1"/>
  <c r="J3501" i="34" a="1"/>
  <c r="J3502" i="34" a="1"/>
  <c r="J3503" i="34" a="1"/>
  <c r="J3504" i="34" a="1"/>
  <c r="J3505" i="34" a="1"/>
  <c r="J3506" i="34" a="1"/>
  <c r="J3507" i="34" a="1"/>
  <c r="J3508" i="34" a="1"/>
  <c r="J3509" i="34" a="1"/>
  <c r="J3510" i="34" a="1"/>
  <c r="J3511" i="34" a="1"/>
  <c r="J3512" i="34" a="1"/>
  <c r="J3513" i="34" a="1"/>
  <c r="J3514" i="34" a="1"/>
  <c r="J3515" i="34" a="1"/>
  <c r="J3516" i="34" a="1"/>
  <c r="J3517" i="34" a="1"/>
  <c r="J3518" i="34" a="1"/>
  <c r="J3519" i="34" a="1"/>
  <c r="J3520" i="34" a="1"/>
  <c r="J3521" i="34" a="1"/>
  <c r="J3522" i="34" a="1"/>
  <c r="J3523" i="34" a="1"/>
  <c r="J3524" i="34" a="1"/>
  <c r="J3525" i="34" a="1"/>
  <c r="J3526" i="34" a="1"/>
  <c r="J3527" i="34" a="1"/>
  <c r="J3528" i="34" a="1"/>
  <c r="J3529" i="34" a="1"/>
  <c r="J3530" i="34" a="1"/>
  <c r="J3531" i="34" a="1"/>
  <c r="J3532" i="34" a="1"/>
  <c r="J3533" i="34" a="1"/>
  <c r="J3534" i="34" a="1"/>
  <c r="J3535" i="34" a="1"/>
  <c r="J3536" i="34" a="1"/>
  <c r="J3537" i="34" a="1"/>
  <c r="J3538" i="34" a="1"/>
  <c r="J3539" i="34" a="1"/>
  <c r="J3540" i="34" a="1"/>
  <c r="J3541" i="34" a="1"/>
  <c r="J3542" i="34" a="1"/>
  <c r="J3543" i="34" a="1"/>
  <c r="J3544" i="34" a="1"/>
  <c r="J3545" i="34" a="1"/>
  <c r="J3546" i="34" a="1"/>
  <c r="J3547" i="34" a="1"/>
  <c r="J3548" i="34" a="1"/>
  <c r="J3549" i="34" a="1"/>
  <c r="J3550" i="34" a="1"/>
  <c r="J3551" i="34" a="1"/>
  <c r="J3552" i="34" a="1"/>
  <c r="J3553" i="34" a="1"/>
  <c r="J3554" i="34" a="1"/>
  <c r="J3555" i="34" a="1"/>
  <c r="J3556" i="34" a="1"/>
  <c r="J3557" i="34" a="1"/>
  <c r="J3558" i="34" a="1"/>
  <c r="J3559" i="34" a="1"/>
  <c r="J3560" i="34" a="1"/>
  <c r="J3561" i="34" a="1"/>
  <c r="J3562" i="34" a="1"/>
  <c r="J3563" i="34" a="1"/>
  <c r="J3564" i="34" a="1"/>
  <c r="J3565" i="34" a="1"/>
  <c r="J3566" i="34" a="1"/>
  <c r="J3567" i="34" a="1"/>
  <c r="J3568" i="34" a="1"/>
  <c r="J3569" i="34" a="1"/>
  <c r="J3570" i="34" a="1"/>
  <c r="J3571" i="34" a="1"/>
  <c r="J3572" i="34" a="1"/>
  <c r="J3573" i="34" a="1"/>
  <c r="J3574" i="34" a="1"/>
  <c r="J3575" i="34" a="1"/>
  <c r="J3576" i="34" a="1"/>
  <c r="J3577" i="34" a="1"/>
  <c r="J3578" i="34" a="1"/>
  <c r="J3579" i="34" a="1"/>
  <c r="J3580" i="34" a="1"/>
  <c r="J3581" i="34" a="1"/>
  <c r="J3582" i="34" a="1"/>
  <c r="J3583" i="34" a="1"/>
  <c r="J3584" i="34" a="1"/>
  <c r="J3585" i="34" a="1"/>
  <c r="J3586" i="34" a="1"/>
  <c r="J3587" i="34" a="1"/>
  <c r="J3588" i="34" a="1"/>
  <c r="J3589" i="34" a="1"/>
  <c r="J3590" i="34" a="1"/>
  <c r="J3591" i="34" a="1"/>
  <c r="J3592" i="34" a="1"/>
  <c r="J3593" i="34" a="1"/>
  <c r="J3594" i="34" a="1"/>
  <c r="J3595" i="34" a="1"/>
  <c r="J3596" i="34" a="1"/>
  <c r="J3597" i="34" a="1"/>
  <c r="J3598" i="34" a="1"/>
  <c r="J3599" i="34" a="1"/>
  <c r="J3600" i="34" a="1"/>
  <c r="J3601" i="34" a="1"/>
  <c r="J3602" i="34" a="1"/>
  <c r="J3603" i="34" a="1"/>
  <c r="J3604" i="34" a="1"/>
  <c r="J3605" i="34" a="1"/>
  <c r="J3606" i="34" a="1"/>
  <c r="J3607" i="34" a="1"/>
  <c r="J3608" i="34" a="1"/>
  <c r="J3609" i="34" a="1"/>
  <c r="J3610" i="34" a="1"/>
  <c r="J3611" i="34" a="1"/>
  <c r="J3612" i="34" a="1"/>
  <c r="J3613" i="34" a="1"/>
  <c r="J3614" i="34" a="1"/>
  <c r="J3615" i="34" a="1"/>
  <c r="J3616" i="34" a="1"/>
  <c r="J3617" i="34" a="1"/>
  <c r="J3618" i="34" a="1"/>
  <c r="J3619" i="34" a="1"/>
  <c r="J3620" i="34" a="1"/>
  <c r="J3621" i="34" a="1"/>
  <c r="J3622" i="34" a="1"/>
  <c r="J3623" i="34" a="1"/>
  <c r="J3624" i="34" a="1"/>
  <c r="J3625" i="34" a="1"/>
  <c r="J3626" i="34" a="1"/>
  <c r="J3627" i="34" a="1"/>
  <c r="J3628" i="34" a="1"/>
  <c r="J3629" i="34" a="1"/>
  <c r="J3630" i="34" a="1"/>
  <c r="J3631" i="34" a="1"/>
  <c r="J3632" i="34" a="1"/>
  <c r="J3633" i="34" a="1"/>
  <c r="J3634" i="34" a="1"/>
  <c r="J3635" i="34" a="1"/>
  <c r="J3636" i="34" a="1"/>
  <c r="J3637" i="34" a="1"/>
  <c r="J3638" i="34" a="1"/>
  <c r="J3639" i="34" a="1"/>
  <c r="J3640" i="34" a="1"/>
  <c r="J3641" i="34" a="1"/>
  <c r="J3642" i="34" a="1"/>
  <c r="J3643" i="34" a="1"/>
  <c r="J3644" i="34" a="1"/>
  <c r="J3645" i="34" a="1"/>
  <c r="J3646" i="34" a="1"/>
  <c r="J3647" i="34" a="1"/>
  <c r="J3648" i="34" a="1"/>
  <c r="J3649" i="34" a="1"/>
  <c r="J3650" i="34" a="1"/>
  <c r="J3651" i="34" a="1"/>
  <c r="J3652" i="34" a="1"/>
  <c r="J3653" i="34" a="1"/>
  <c r="J3654" i="34" a="1"/>
  <c r="J3655" i="34" a="1"/>
  <c r="J3656" i="34" a="1"/>
  <c r="J3657" i="34" a="1"/>
  <c r="J3658" i="34" a="1"/>
  <c r="J3659" i="34" a="1"/>
  <c r="J3660" i="34" a="1"/>
  <c r="J3661" i="34" a="1"/>
  <c r="J3662" i="34" a="1"/>
  <c r="J3663" i="34" a="1"/>
  <c r="J3664" i="34" a="1"/>
  <c r="J3665" i="34" a="1"/>
  <c r="J3666" i="34" a="1"/>
  <c r="J3667" i="34" a="1"/>
  <c r="J3668" i="34" a="1"/>
  <c r="J3669" i="34" a="1"/>
  <c r="J3670" i="34" a="1"/>
  <c r="J3671" i="34" a="1"/>
  <c r="J3672" i="34" a="1"/>
  <c r="J3673" i="34" a="1"/>
  <c r="J3674" i="34" a="1"/>
  <c r="J3675" i="34" a="1"/>
  <c r="J3676" i="34" a="1"/>
  <c r="J3677" i="34" a="1"/>
  <c r="J3678" i="34" a="1"/>
  <c r="J3679" i="34" a="1"/>
  <c r="J3680" i="34" a="1"/>
  <c r="J3681" i="34" a="1"/>
  <c r="J3682" i="34" a="1"/>
  <c r="J3683" i="34" a="1"/>
  <c r="J3684" i="34" a="1"/>
  <c r="J3685" i="34" a="1"/>
  <c r="J3686" i="34" a="1"/>
  <c r="J3687" i="34" a="1"/>
  <c r="J3688" i="34" a="1"/>
  <c r="J3689" i="34" a="1"/>
  <c r="J3690" i="34" a="1"/>
  <c r="J3691" i="34" a="1"/>
  <c r="J3692" i="34" a="1"/>
  <c r="J3693" i="34" a="1"/>
  <c r="J3694" i="34" a="1"/>
  <c r="J3695" i="34" a="1"/>
  <c r="J3696" i="34" a="1"/>
  <c r="J3697" i="34" a="1"/>
  <c r="J3698" i="34" a="1"/>
  <c r="J3699" i="34" a="1"/>
  <c r="J3700" i="34" a="1"/>
  <c r="J3701" i="34" a="1"/>
  <c r="J3702" i="34" a="1"/>
  <c r="J3703" i="34" a="1"/>
  <c r="J3704" i="34" a="1"/>
  <c r="J3705" i="34" a="1"/>
  <c r="J3706" i="34" a="1"/>
  <c r="J3707" i="34" a="1"/>
  <c r="J3708" i="34" a="1"/>
  <c r="J3709" i="34" a="1"/>
  <c r="J3710" i="34" a="1"/>
  <c r="J3711" i="34" a="1"/>
  <c r="J3712" i="34" a="1"/>
  <c r="J3713" i="34" a="1"/>
  <c r="J3714" i="34" a="1"/>
  <c r="J3715" i="34" a="1"/>
  <c r="J3716" i="34" a="1"/>
  <c r="J3717" i="34" a="1"/>
  <c r="J3718" i="34" a="1"/>
  <c r="J3719" i="34" a="1"/>
  <c r="J3720" i="34" a="1"/>
  <c r="J3721" i="34" a="1"/>
  <c r="J3722" i="34" a="1"/>
  <c r="J3723" i="34" a="1"/>
  <c r="J3724" i="34" a="1"/>
  <c r="J3725" i="34" a="1"/>
  <c r="J3726" i="34" a="1"/>
  <c r="J3727" i="34" a="1"/>
  <c r="J3728" i="34" a="1"/>
  <c r="J3729" i="34" a="1"/>
  <c r="J3730" i="34" a="1"/>
  <c r="J3731" i="34" a="1"/>
  <c r="J3732" i="34" a="1"/>
  <c r="J3733" i="34" a="1"/>
  <c r="J3734" i="34" a="1"/>
  <c r="J3735" i="34" a="1"/>
  <c r="J3736" i="34" a="1"/>
  <c r="J3737" i="34" a="1"/>
  <c r="J3738" i="34" a="1"/>
  <c r="J3739" i="34" a="1"/>
  <c r="J3740" i="34" a="1"/>
  <c r="J3741" i="34" a="1"/>
  <c r="J3742" i="34" a="1"/>
  <c r="J3743" i="34" a="1"/>
  <c r="J3744" i="34" a="1"/>
  <c r="J3745" i="34" a="1"/>
  <c r="J3746" i="34" a="1"/>
  <c r="J3747" i="34" a="1"/>
  <c r="J3748" i="34" a="1"/>
  <c r="J3749" i="34" a="1"/>
  <c r="J3750" i="34" a="1"/>
  <c r="J3751" i="34" a="1"/>
  <c r="J3752" i="34" a="1"/>
  <c r="J3753" i="34" a="1"/>
  <c r="J3754" i="34" a="1"/>
  <c r="J3755" i="34" a="1"/>
  <c r="J3756" i="34" a="1"/>
  <c r="J3757" i="34" a="1"/>
  <c r="J3758" i="34" a="1"/>
  <c r="J3759" i="34" a="1"/>
  <c r="J3760" i="34" a="1"/>
  <c r="J3761" i="34" a="1"/>
  <c r="J3762" i="34" a="1"/>
  <c r="J3763" i="34" a="1"/>
  <c r="J3764" i="34" a="1"/>
  <c r="J3765" i="34" a="1"/>
  <c r="J3766" i="34" a="1"/>
  <c r="J3767" i="34" a="1"/>
  <c r="J3768" i="34" a="1"/>
  <c r="J3769" i="34" a="1"/>
  <c r="J3770" i="34" a="1"/>
  <c r="J3771" i="34" a="1"/>
  <c r="J3772" i="34" a="1"/>
  <c r="J3773" i="34" a="1"/>
  <c r="J3774" i="34" a="1"/>
  <c r="J3775" i="34" a="1"/>
  <c r="J3776" i="34" a="1"/>
  <c r="J3777" i="34" a="1"/>
  <c r="J3778" i="34" a="1"/>
  <c r="J3779" i="34" a="1"/>
  <c r="J3780" i="34" a="1"/>
  <c r="J3781" i="34" a="1"/>
  <c r="J3782" i="34" a="1"/>
  <c r="J3783" i="34" a="1"/>
  <c r="J3784" i="34" a="1"/>
  <c r="J3785" i="34" a="1"/>
  <c r="J3786" i="34" a="1"/>
  <c r="J3787" i="34" a="1"/>
  <c r="J3788" i="34" a="1"/>
  <c r="J3789" i="34" a="1"/>
  <c r="J3790" i="34" a="1"/>
  <c r="J3791" i="34" a="1"/>
  <c r="J3792" i="34" a="1"/>
  <c r="J3793" i="34" a="1"/>
  <c r="J3794" i="34" a="1"/>
  <c r="J3795" i="34" a="1"/>
  <c r="J3796" i="34" a="1"/>
  <c r="J3797" i="34" a="1"/>
  <c r="J3798" i="34" a="1"/>
  <c r="J3799" i="34" a="1"/>
  <c r="J3800" i="34" a="1"/>
  <c r="J3801" i="34" a="1"/>
  <c r="J3802" i="34" a="1"/>
  <c r="J3803" i="34" a="1"/>
  <c r="J3804" i="34" a="1"/>
  <c r="J3805" i="34" a="1"/>
  <c r="J3806" i="34" a="1"/>
  <c r="J3807" i="34" a="1"/>
  <c r="J3808" i="34" a="1"/>
  <c r="J3809" i="34" a="1"/>
  <c r="J3810" i="34" a="1"/>
  <c r="J3811" i="34" a="1"/>
  <c r="J3812" i="34" a="1"/>
  <c r="J3813" i="34" a="1"/>
  <c r="J3814" i="34" a="1"/>
  <c r="J3815" i="34" a="1"/>
  <c r="J3816" i="34" a="1"/>
  <c r="J3817" i="34" a="1"/>
  <c r="J3818" i="34" a="1"/>
  <c r="J3819" i="34" a="1"/>
  <c r="J3820" i="34" a="1"/>
  <c r="J3821" i="34" a="1"/>
  <c r="J3822" i="34" a="1"/>
  <c r="J3823" i="34" a="1"/>
  <c r="J3824" i="34" a="1"/>
  <c r="J3825" i="34" a="1"/>
  <c r="J3826" i="34" a="1"/>
  <c r="J3827" i="34" a="1"/>
  <c r="J3828" i="34" a="1"/>
  <c r="J3829" i="34" a="1"/>
  <c r="J3830" i="34" a="1"/>
  <c r="J3831" i="34" a="1"/>
  <c r="J3832" i="34" a="1"/>
  <c r="J3833" i="34" a="1"/>
  <c r="J3834" i="34" a="1"/>
  <c r="J3835" i="34" a="1"/>
  <c r="J3836" i="34" a="1"/>
  <c r="J3837" i="34" a="1"/>
  <c r="J3838" i="34" a="1"/>
  <c r="J3839" i="34" a="1"/>
  <c r="J3840" i="34" a="1"/>
  <c r="J3841" i="34" a="1"/>
  <c r="J3842" i="34" a="1"/>
  <c r="J3843" i="34" a="1"/>
  <c r="J3844" i="34" a="1"/>
  <c r="J3845" i="34" a="1"/>
  <c r="J3846" i="34" a="1"/>
  <c r="J3847" i="34" a="1"/>
  <c r="J3848" i="34" a="1"/>
  <c r="J3849" i="34" a="1"/>
  <c r="J3850" i="34" a="1"/>
  <c r="J3851" i="34" a="1"/>
  <c r="J3852" i="34" a="1"/>
  <c r="J3853" i="34" a="1"/>
  <c r="J3854" i="34" a="1"/>
  <c r="J3855" i="34" a="1"/>
  <c r="J3856" i="34" a="1"/>
  <c r="J3857" i="34" a="1"/>
  <c r="J3858" i="34" a="1"/>
  <c r="J3859" i="34" a="1"/>
  <c r="J3860" i="34" a="1"/>
  <c r="J3861" i="34" a="1"/>
  <c r="J3862" i="34" a="1"/>
  <c r="J3863" i="34" a="1"/>
  <c r="J3864" i="34" a="1"/>
  <c r="J3865" i="34" a="1"/>
  <c r="J3866" i="34" a="1"/>
  <c r="J3867" i="34" a="1"/>
  <c r="J3868" i="34" a="1"/>
  <c r="J3869" i="34" a="1"/>
  <c r="J3870" i="34" a="1"/>
  <c r="J3871" i="34" a="1"/>
  <c r="J3872" i="34" a="1"/>
  <c r="J3873" i="34" a="1"/>
  <c r="J3874" i="34" a="1"/>
  <c r="J3875" i="34" a="1"/>
  <c r="J3876" i="34" a="1"/>
  <c r="J3877" i="34" a="1"/>
  <c r="J3878" i="34" a="1"/>
  <c r="J3879" i="34" a="1"/>
  <c r="J3880" i="34" a="1"/>
  <c r="J3881" i="34" a="1"/>
  <c r="J3882" i="34" a="1"/>
  <c r="J3883" i="34" a="1"/>
  <c r="J3884" i="34" a="1"/>
  <c r="J3885" i="34" a="1"/>
  <c r="J3886" i="34" a="1"/>
  <c r="J3887" i="34" a="1"/>
  <c r="J3888" i="34" a="1"/>
  <c r="J3889" i="34" a="1"/>
  <c r="J3890" i="34" a="1"/>
  <c r="J3891" i="34" a="1"/>
  <c r="J3892" i="34" a="1"/>
  <c r="J3893" i="34" a="1"/>
  <c r="J3894" i="34" a="1"/>
  <c r="J3895" i="34" a="1"/>
  <c r="J3896" i="34" a="1"/>
  <c r="J3897" i="34" a="1"/>
  <c r="J3898" i="34" a="1"/>
  <c r="J3899" i="34" a="1"/>
  <c r="J3900" i="34" a="1"/>
  <c r="J3901" i="34" a="1"/>
  <c r="J3902" i="34" a="1"/>
  <c r="J3903" i="34" a="1"/>
  <c r="J3904" i="34" a="1"/>
  <c r="J3905" i="34" a="1"/>
  <c r="J3906" i="34" a="1"/>
  <c r="J3907" i="34" a="1"/>
  <c r="J3908" i="34" a="1"/>
  <c r="J3909" i="34" a="1"/>
  <c r="J3910" i="34" a="1"/>
  <c r="J3911" i="34" a="1"/>
  <c r="J3912" i="34" a="1"/>
  <c r="J3913" i="34" a="1"/>
  <c r="J3914" i="34" a="1"/>
  <c r="J3915" i="34" a="1"/>
  <c r="J3916" i="34" a="1"/>
  <c r="J3917" i="34" a="1"/>
  <c r="J3918" i="34" a="1"/>
  <c r="J3919" i="34" a="1"/>
  <c r="J3920" i="34" a="1"/>
  <c r="J3921" i="34" a="1"/>
  <c r="J3922" i="34" a="1"/>
  <c r="J3923" i="34" a="1"/>
  <c r="J3924" i="34" a="1"/>
  <c r="J3925" i="34" a="1"/>
  <c r="J3926" i="34" a="1"/>
  <c r="J3927" i="34" a="1"/>
  <c r="J3928" i="34" a="1"/>
  <c r="J3929" i="34" a="1"/>
  <c r="J3930" i="34" a="1"/>
  <c r="J3931" i="34" a="1"/>
  <c r="J3932" i="34" a="1"/>
  <c r="J3933" i="34" a="1"/>
  <c r="J3934" i="34" a="1"/>
  <c r="J3935" i="34" a="1"/>
  <c r="J3936" i="34" a="1"/>
  <c r="J3937" i="34" a="1"/>
  <c r="J3938" i="34" a="1"/>
  <c r="J3939" i="34" a="1"/>
  <c r="J3940" i="34" a="1"/>
  <c r="J3941" i="34" a="1"/>
  <c r="J3942" i="34" a="1"/>
  <c r="J3943" i="34" a="1"/>
  <c r="J3944" i="34" a="1"/>
  <c r="J3945" i="34" a="1"/>
  <c r="J3946" i="34" a="1"/>
  <c r="J3947" i="34" a="1"/>
  <c r="J3948" i="34" a="1"/>
  <c r="J3949" i="34" a="1"/>
  <c r="J3950" i="34" a="1"/>
  <c r="J3951" i="34" a="1"/>
  <c r="J3952" i="34" a="1"/>
  <c r="J3953" i="34" a="1"/>
  <c r="J3954" i="34" a="1"/>
  <c r="J3955" i="34" a="1"/>
  <c r="J3956" i="34" a="1"/>
  <c r="J3957" i="34" a="1"/>
  <c r="J3958" i="34" a="1"/>
  <c r="J3959" i="34" a="1"/>
  <c r="J3960" i="34" a="1"/>
  <c r="J3961" i="34" a="1"/>
  <c r="J3962" i="34" a="1"/>
  <c r="J3963" i="34" a="1"/>
  <c r="J3964" i="34" a="1"/>
  <c r="J3965" i="34" a="1"/>
  <c r="J3966" i="34" a="1"/>
  <c r="J3967" i="34" a="1"/>
  <c r="J3968" i="34" a="1"/>
  <c r="J3969" i="34" a="1"/>
  <c r="J3970" i="34" a="1"/>
  <c r="J3971" i="34" a="1"/>
  <c r="J3972" i="34" a="1"/>
  <c r="J3973" i="34" a="1"/>
  <c r="J3974" i="34" a="1"/>
  <c r="J3975" i="34" a="1"/>
  <c r="J3976" i="34" a="1"/>
  <c r="J3977" i="34" a="1"/>
  <c r="J3978" i="34" a="1"/>
  <c r="J3979" i="34" a="1"/>
  <c r="J3980" i="34" a="1"/>
  <c r="J3981" i="34" a="1"/>
  <c r="J3982" i="34" a="1"/>
  <c r="J3983" i="34" a="1"/>
  <c r="J3984" i="34" a="1"/>
  <c r="J3985" i="34" a="1"/>
  <c r="J3986" i="34" a="1"/>
  <c r="J3987" i="34" a="1"/>
  <c r="J3988" i="34" a="1"/>
  <c r="J3989" i="34" a="1"/>
  <c r="J3990" i="34" a="1"/>
  <c r="J3991" i="34" a="1"/>
  <c r="J3992" i="34" a="1"/>
  <c r="J3993" i="34" a="1"/>
  <c r="J3994" i="34" a="1"/>
  <c r="J3995" i="34" a="1"/>
  <c r="J3996" i="34" a="1"/>
  <c r="J3997" i="34" a="1"/>
  <c r="J3998" i="34" a="1"/>
  <c r="J3999" i="34" a="1"/>
  <c r="J4000" i="34" a="1"/>
  <c r="J4001" i="34" a="1"/>
  <c r="J4002" i="34" a="1"/>
  <c r="J4003" i="34" a="1"/>
  <c r="J4004" i="34" a="1"/>
  <c r="J4005" i="34" a="1"/>
  <c r="J4006" i="34" a="1"/>
  <c r="J4007" i="34" a="1"/>
  <c r="J4008" i="34" a="1"/>
  <c r="J4009" i="34" a="1"/>
  <c r="J4010" i="34" a="1"/>
  <c r="J4011" i="34" a="1"/>
  <c r="J4012" i="34" a="1"/>
  <c r="J4013" i="34" a="1"/>
  <c r="J4014" i="34" a="1"/>
  <c r="J4015" i="34" a="1"/>
  <c r="J4016" i="34" a="1"/>
  <c r="J4017" i="34" a="1"/>
  <c r="J4018" i="34" a="1"/>
  <c r="J4019" i="34" a="1"/>
  <c r="J4020" i="34" a="1"/>
  <c r="J4021" i="34" a="1"/>
  <c r="J4022" i="34" a="1"/>
  <c r="J4023" i="34" a="1"/>
  <c r="J4024" i="34" a="1"/>
  <c r="J4025" i="34" a="1"/>
  <c r="J4026" i="34" a="1"/>
  <c r="J4027" i="34" a="1"/>
  <c r="J4028" i="34" a="1"/>
  <c r="J4029" i="34" a="1"/>
  <c r="J4030" i="34" a="1"/>
  <c r="J4031" i="34" a="1"/>
  <c r="J4032" i="34" a="1"/>
  <c r="J4033" i="34" a="1"/>
  <c r="J4034" i="34" a="1"/>
  <c r="J4035" i="34" a="1"/>
  <c r="J4036" i="34" a="1"/>
  <c r="J4037" i="34" a="1"/>
  <c r="J4038" i="34" a="1"/>
  <c r="J4039" i="34" a="1"/>
  <c r="J4040" i="34" a="1"/>
  <c r="J4041" i="34" a="1"/>
  <c r="J4042" i="34" a="1"/>
  <c r="J4043" i="34" a="1"/>
  <c r="J4044" i="34" a="1"/>
  <c r="J4045" i="34" a="1"/>
  <c r="J4046" i="34" a="1"/>
  <c r="J4047" i="34" a="1"/>
  <c r="J4048" i="34" a="1"/>
  <c r="J4049" i="34" a="1"/>
  <c r="J4050" i="34" a="1"/>
  <c r="J4051" i="34" a="1"/>
  <c r="J4052" i="34" a="1"/>
  <c r="J4053" i="34" a="1"/>
  <c r="J4054" i="34" a="1"/>
  <c r="J4055" i="34" a="1"/>
  <c r="J4056" i="34" a="1"/>
  <c r="J4057" i="34" a="1"/>
  <c r="J4058" i="34" a="1"/>
  <c r="J4059" i="34" a="1"/>
  <c r="J4060" i="34" a="1"/>
  <c r="J4061" i="34" a="1"/>
  <c r="J4062" i="34" a="1"/>
  <c r="J4063" i="34" a="1"/>
  <c r="J4064" i="34" a="1"/>
  <c r="J4065" i="34" a="1"/>
  <c r="J4066" i="34" a="1"/>
  <c r="J4067" i="34" a="1"/>
  <c r="J4068" i="34" a="1"/>
  <c r="J4069" i="34" a="1"/>
  <c r="J4070" i="34" a="1"/>
  <c r="J4071" i="34" a="1"/>
  <c r="J4072" i="34" a="1"/>
  <c r="J4073" i="34" a="1"/>
  <c r="J4074" i="34" a="1"/>
  <c r="J4075" i="34" a="1"/>
  <c r="J4076" i="34" a="1"/>
  <c r="J4077" i="34" a="1"/>
  <c r="J4078" i="34" a="1"/>
  <c r="J4079" i="34" a="1"/>
  <c r="J4080" i="34" a="1"/>
  <c r="J4081" i="34" a="1"/>
  <c r="J4082" i="34" a="1"/>
  <c r="J4083" i="34" a="1"/>
  <c r="J4084" i="34" a="1"/>
  <c r="J4085" i="34" a="1"/>
  <c r="J4086" i="34" a="1"/>
  <c r="J4087" i="34" a="1"/>
  <c r="J4088" i="34" a="1"/>
  <c r="J4089" i="34" a="1"/>
  <c r="J4090" i="34" a="1"/>
  <c r="J4091" i="34" a="1"/>
  <c r="J4092" i="34" a="1"/>
  <c r="J4093" i="34" a="1"/>
  <c r="J4094" i="34" a="1"/>
  <c r="J4095" i="34" a="1"/>
  <c r="J4096" i="34" a="1"/>
  <c r="J4097" i="34" a="1"/>
  <c r="J4098" i="34" a="1"/>
  <c r="J4099" i="34" a="1"/>
  <c r="J4100" i="34" a="1"/>
  <c r="J4101" i="34" a="1"/>
  <c r="J4102" i="34" a="1"/>
  <c r="J4103" i="34" a="1"/>
  <c r="J4104" i="34" a="1"/>
  <c r="J4105" i="34" a="1"/>
  <c r="J4106" i="34" a="1"/>
  <c r="J4107" i="34" a="1"/>
  <c r="J4108" i="34" a="1"/>
  <c r="J4109" i="34" a="1"/>
  <c r="J4110" i="34" a="1"/>
  <c r="J4111" i="34" a="1"/>
  <c r="J4112" i="34" a="1"/>
  <c r="J4113" i="34" a="1"/>
  <c r="J4114" i="34" a="1"/>
  <c r="J4115" i="34" a="1"/>
  <c r="J4116" i="34" a="1"/>
  <c r="J4117" i="34" a="1"/>
  <c r="J4118" i="34" a="1"/>
  <c r="J4119" i="34" a="1"/>
  <c r="J4120" i="34" a="1"/>
  <c r="J4121" i="34" a="1"/>
  <c r="J4122" i="34" a="1"/>
  <c r="J4123" i="34" a="1"/>
  <c r="J4124" i="34" a="1"/>
  <c r="J4125" i="34" a="1"/>
  <c r="J4126" i="34" a="1"/>
  <c r="J4127" i="34" a="1"/>
  <c r="J4128" i="34" a="1"/>
  <c r="J4129" i="34" a="1"/>
  <c r="J4130" i="34" a="1"/>
  <c r="J4131" i="34" a="1"/>
  <c r="J4132" i="34" a="1"/>
  <c r="J4133" i="34" a="1"/>
  <c r="J4134" i="34" a="1"/>
  <c r="J4135" i="34" a="1"/>
  <c r="J4136" i="34" a="1"/>
  <c r="J4137" i="34" a="1"/>
  <c r="J4138" i="34" a="1"/>
  <c r="J4139" i="34" a="1"/>
  <c r="J4140" i="34" a="1"/>
  <c r="J4141" i="34" a="1"/>
  <c r="J4142" i="34" a="1"/>
  <c r="J4143" i="34" a="1"/>
  <c r="J4144" i="34" a="1"/>
  <c r="J4145" i="34" a="1"/>
  <c r="J4146" i="34" a="1"/>
  <c r="J4147" i="34" a="1"/>
  <c r="J4148" i="34" a="1"/>
  <c r="J4149" i="34" a="1"/>
  <c r="J4150" i="34" a="1"/>
  <c r="J4151" i="34" a="1"/>
  <c r="J4152" i="34" a="1"/>
  <c r="J4153" i="34" a="1"/>
  <c r="J4154" i="34" a="1"/>
  <c r="J4155" i="34" a="1"/>
  <c r="J4156" i="34" a="1"/>
  <c r="J4157" i="34" a="1"/>
  <c r="J4158" i="34" a="1"/>
  <c r="J4159" i="34" a="1"/>
  <c r="J4160" i="34" a="1"/>
  <c r="J4161" i="34" a="1"/>
  <c r="J4162" i="34" a="1"/>
  <c r="J4163" i="34" a="1"/>
  <c r="J4164" i="34" a="1"/>
  <c r="J4165" i="34" a="1"/>
  <c r="J4166" i="34" a="1"/>
  <c r="J4167" i="34" a="1"/>
  <c r="J4168" i="34" a="1"/>
  <c r="J4169" i="34" a="1"/>
  <c r="J4170" i="34" a="1"/>
  <c r="J4171" i="34" a="1"/>
  <c r="J4172" i="34" a="1"/>
  <c r="J4173" i="34" a="1"/>
  <c r="J4174" i="34" a="1"/>
  <c r="J4175" i="34" a="1"/>
  <c r="J4176" i="34" a="1"/>
  <c r="J4177" i="34" a="1"/>
  <c r="J4178" i="34" a="1"/>
  <c r="J4179" i="34" a="1"/>
  <c r="J4180" i="34" a="1"/>
  <c r="J4181" i="34" a="1"/>
  <c r="J4182" i="34" a="1"/>
  <c r="J4183" i="34" a="1"/>
  <c r="J4184" i="34" a="1"/>
  <c r="J4185" i="34" a="1"/>
  <c r="J4186" i="34" a="1"/>
  <c r="J4187" i="34" a="1"/>
  <c r="J4188" i="34" a="1"/>
  <c r="J4189" i="34" a="1"/>
  <c r="J4190" i="34" a="1"/>
  <c r="J4191" i="34" a="1"/>
  <c r="J4192" i="34" a="1"/>
  <c r="J4193" i="34" a="1"/>
  <c r="J4194" i="34" a="1"/>
  <c r="J4195" i="34" a="1"/>
  <c r="J4196" i="34" a="1"/>
  <c r="J4197" i="34" a="1"/>
  <c r="J4198" i="34" a="1"/>
  <c r="J4199" i="34" a="1"/>
  <c r="J4200" i="34" a="1"/>
  <c r="J4201" i="34" a="1"/>
  <c r="J4202" i="34" a="1"/>
  <c r="J4203" i="34" a="1"/>
  <c r="J4204" i="34" a="1"/>
  <c r="J4205" i="34" a="1"/>
  <c r="J4206" i="34" a="1"/>
  <c r="J4207" i="34" a="1"/>
  <c r="J4208" i="34" a="1"/>
  <c r="J4209" i="34" a="1"/>
  <c r="J4210" i="34" a="1"/>
  <c r="J4211" i="34" a="1"/>
  <c r="J4212" i="34" a="1"/>
  <c r="J4213" i="34" a="1"/>
  <c r="J4214" i="34" a="1"/>
  <c r="J4215" i="34" a="1"/>
  <c r="J4216" i="34" a="1"/>
  <c r="J4217" i="34" a="1"/>
  <c r="J4218" i="34" a="1"/>
  <c r="J4219" i="34" a="1"/>
  <c r="J4220" i="34" a="1"/>
  <c r="J4221" i="34" a="1"/>
  <c r="J4222" i="34" a="1"/>
  <c r="J4223" i="34" a="1"/>
  <c r="J4224" i="34" a="1"/>
  <c r="J4225" i="34" a="1"/>
  <c r="J4226" i="34" a="1"/>
  <c r="J4227" i="34" a="1"/>
  <c r="J4228" i="34" a="1"/>
  <c r="J4229" i="34" a="1"/>
  <c r="J4230" i="34" a="1"/>
  <c r="J4231" i="34" a="1"/>
  <c r="J4232" i="34" a="1"/>
  <c r="J4233" i="34" a="1"/>
  <c r="J4234" i="34" a="1"/>
  <c r="J4235" i="34" a="1"/>
  <c r="J4236" i="34" a="1"/>
  <c r="J4237" i="34" a="1"/>
  <c r="J4238" i="34" a="1"/>
  <c r="J4239" i="34" a="1"/>
  <c r="J4240" i="34" a="1"/>
  <c r="J4241" i="34" a="1"/>
  <c r="J4242" i="34" a="1"/>
  <c r="J4243" i="34" a="1"/>
  <c r="J4244" i="34" a="1"/>
  <c r="J4245" i="34" a="1"/>
  <c r="J4246" i="34" a="1"/>
  <c r="J4247" i="34" a="1"/>
  <c r="J4248" i="34" a="1"/>
  <c r="J4249" i="34" a="1"/>
  <c r="J4250" i="34" a="1"/>
  <c r="J4251" i="34" a="1"/>
  <c r="J4252" i="34" a="1"/>
  <c r="J4253" i="34" a="1"/>
  <c r="J4254" i="34" a="1"/>
  <c r="J4255" i="34" a="1"/>
  <c r="J4256" i="34" a="1"/>
  <c r="J4257" i="34" a="1"/>
  <c r="J4258" i="34" a="1"/>
  <c r="J4259" i="34" a="1"/>
  <c r="J4260" i="34" a="1"/>
  <c r="J4261" i="34" a="1"/>
  <c r="J4262" i="34" a="1"/>
  <c r="J4263" i="34" a="1"/>
  <c r="J4264" i="34" a="1"/>
  <c r="J4265" i="34" a="1"/>
  <c r="J4266" i="34" a="1"/>
  <c r="J4267" i="34" a="1"/>
  <c r="J4268" i="34" a="1"/>
  <c r="J4269" i="34" a="1"/>
  <c r="J4270" i="34" a="1"/>
  <c r="J4271" i="34" a="1"/>
  <c r="J4272" i="34" a="1"/>
  <c r="J4273" i="34" a="1"/>
  <c r="J4274" i="34" a="1"/>
  <c r="J4275" i="34" a="1"/>
  <c r="J4276" i="34" a="1"/>
  <c r="J4277" i="34" a="1"/>
  <c r="J4278" i="34" a="1"/>
  <c r="J4279" i="34" a="1"/>
  <c r="J4280" i="34" a="1"/>
  <c r="J4281" i="34" a="1"/>
  <c r="J4282" i="34" a="1"/>
  <c r="J4283" i="34" a="1"/>
  <c r="J4284" i="34" a="1"/>
  <c r="J4285" i="34" a="1"/>
  <c r="J4286" i="34" a="1"/>
  <c r="J4287" i="34" a="1"/>
  <c r="J4288" i="34" a="1"/>
  <c r="J4289" i="34" a="1"/>
  <c r="J4290" i="34" a="1"/>
  <c r="J4291" i="34" a="1"/>
  <c r="J4292" i="34" a="1"/>
  <c r="J4293" i="34" a="1"/>
  <c r="J4294" i="34" a="1"/>
  <c r="J4295" i="34" a="1"/>
  <c r="J4296" i="34" a="1"/>
  <c r="J4297" i="34" a="1"/>
  <c r="J4298" i="34" a="1"/>
  <c r="J4299" i="34" a="1"/>
  <c r="J4300" i="34" a="1"/>
  <c r="J4301" i="34" a="1"/>
  <c r="J4302" i="34" a="1"/>
  <c r="J4303" i="34" a="1"/>
  <c r="J4304" i="34" a="1"/>
  <c r="J4305" i="34" a="1"/>
  <c r="J4306" i="34" a="1"/>
  <c r="J4307" i="34" a="1"/>
  <c r="J4308" i="34" a="1"/>
  <c r="J4309" i="34" a="1"/>
  <c r="J4310" i="34" a="1"/>
  <c r="J4311" i="34" a="1"/>
  <c r="J4312" i="34" a="1"/>
  <c r="J4313" i="34" a="1"/>
  <c r="J4314" i="34" a="1"/>
  <c r="J4315" i="34" a="1"/>
  <c r="J4316" i="34" a="1"/>
  <c r="J4317" i="34" a="1"/>
  <c r="J4318" i="34" a="1"/>
  <c r="J4319" i="34" a="1"/>
  <c r="J4320" i="34" a="1"/>
  <c r="J4321" i="34" a="1"/>
  <c r="J4322" i="34" a="1"/>
  <c r="J4323" i="34" a="1"/>
  <c r="J4324" i="34" a="1"/>
  <c r="J4325" i="34" a="1"/>
  <c r="J4326" i="34" a="1"/>
  <c r="J4327" i="34" a="1"/>
  <c r="J4328" i="34" a="1"/>
  <c r="J4329" i="34" a="1"/>
  <c r="J4330" i="34" a="1"/>
  <c r="J4331" i="34" a="1"/>
  <c r="J4332" i="34" a="1"/>
  <c r="J4333" i="34" a="1"/>
  <c r="J4334" i="34" a="1"/>
  <c r="J4335" i="34" a="1"/>
  <c r="J4336" i="34" a="1"/>
  <c r="J4337" i="34" a="1"/>
  <c r="J4338" i="34" a="1"/>
  <c r="J4339" i="34" a="1"/>
  <c r="J4340" i="34" a="1"/>
  <c r="J4341" i="34" a="1"/>
  <c r="J4342" i="34" a="1"/>
  <c r="J4343" i="34" a="1"/>
  <c r="J4344" i="34" a="1"/>
  <c r="J4345" i="34" a="1"/>
  <c r="J4346" i="34" a="1"/>
  <c r="J4347" i="34" a="1"/>
  <c r="J4348" i="34" a="1"/>
  <c r="J4349" i="34" a="1"/>
  <c r="J4350" i="34" a="1"/>
  <c r="J4351" i="34" a="1"/>
  <c r="J4352" i="34" a="1"/>
  <c r="J4353" i="34" a="1"/>
  <c r="J4354" i="34" a="1"/>
  <c r="J4355" i="34" a="1"/>
  <c r="J4356" i="34" a="1"/>
  <c r="J4357" i="34" a="1"/>
  <c r="J4358" i="34" a="1"/>
  <c r="J4359" i="34" a="1"/>
  <c r="J4360" i="34" a="1"/>
  <c r="J4361" i="34" a="1"/>
  <c r="J4362" i="34" a="1"/>
  <c r="J4363" i="34" a="1"/>
  <c r="J4364" i="34" a="1"/>
  <c r="J4365" i="34" a="1"/>
  <c r="J4366" i="34" a="1"/>
  <c r="J4367" i="34" a="1"/>
  <c r="J4368" i="34" a="1"/>
  <c r="J4369" i="34" a="1"/>
  <c r="J4370" i="34" a="1"/>
  <c r="J4371" i="34" a="1"/>
  <c r="J4372" i="34" a="1"/>
  <c r="J4373" i="34" a="1"/>
  <c r="J4374" i="34" a="1"/>
  <c r="J4375" i="34" a="1"/>
  <c r="J4376" i="34" a="1"/>
  <c r="J4377" i="34" a="1"/>
  <c r="J4378" i="34" a="1"/>
  <c r="J4379" i="34" a="1"/>
  <c r="J4380" i="34" a="1"/>
  <c r="J4381" i="34" a="1"/>
  <c r="J4382" i="34" a="1"/>
  <c r="J4383" i="34" a="1"/>
  <c r="J4384" i="34" a="1"/>
  <c r="J4385" i="34" a="1"/>
  <c r="J4386" i="34" a="1"/>
  <c r="J4387" i="34" a="1"/>
  <c r="J4388" i="34" a="1"/>
  <c r="J4389" i="34" a="1"/>
  <c r="J4390" i="34" a="1"/>
  <c r="J4391" i="34" a="1"/>
  <c r="J4392" i="34" a="1"/>
  <c r="J4393" i="34" a="1"/>
  <c r="J4394" i="34" a="1"/>
  <c r="J4395" i="34" a="1"/>
  <c r="J4396" i="34" a="1"/>
  <c r="J4397" i="34" a="1"/>
  <c r="J4398" i="34" a="1"/>
  <c r="J4399" i="34" a="1"/>
  <c r="J4400" i="34" a="1"/>
  <c r="J4401" i="34" a="1"/>
  <c r="J4402" i="34" a="1"/>
  <c r="J4403" i="34" a="1"/>
  <c r="J4404" i="34" a="1"/>
  <c r="J4405" i="34" a="1"/>
  <c r="J4406" i="34" a="1"/>
  <c r="J4407" i="34" a="1"/>
  <c r="J4408" i="34" a="1"/>
  <c r="J4409" i="34" a="1"/>
  <c r="J4410" i="34" a="1"/>
  <c r="J4411" i="34" a="1"/>
  <c r="J4412" i="34" a="1"/>
  <c r="J4413" i="34" a="1"/>
  <c r="J4414" i="34" a="1"/>
  <c r="J4415" i="34" a="1"/>
  <c r="J4416" i="34" a="1"/>
  <c r="J4417" i="34" a="1"/>
  <c r="J4418" i="34" a="1"/>
  <c r="J4419" i="34" a="1"/>
  <c r="J4420" i="34" a="1"/>
  <c r="J4421" i="34" a="1"/>
  <c r="J4422" i="34" a="1"/>
  <c r="J4423" i="34" a="1"/>
  <c r="J4424" i="34" a="1"/>
  <c r="J4425" i="34" a="1"/>
  <c r="J4426" i="34" a="1"/>
  <c r="J4427" i="34" a="1"/>
  <c r="J4428" i="34" a="1"/>
  <c r="J4429" i="34" a="1"/>
  <c r="J4430" i="34" a="1"/>
  <c r="J4431" i="34" a="1"/>
  <c r="J4432" i="34" a="1"/>
  <c r="J4433" i="34" a="1"/>
  <c r="J4434" i="34" a="1"/>
  <c r="J4435" i="34" a="1"/>
  <c r="J4436" i="34" a="1"/>
  <c r="J4437" i="34" a="1"/>
  <c r="J4438" i="34" a="1"/>
  <c r="J4439" i="34" a="1"/>
  <c r="J4440" i="34" a="1"/>
  <c r="J4441" i="34" a="1"/>
  <c r="J4442" i="34" a="1"/>
  <c r="J4443" i="34" a="1"/>
  <c r="J4444" i="34" a="1"/>
  <c r="J4445" i="34" a="1"/>
  <c r="J4446" i="34" a="1"/>
  <c r="J4447" i="34" a="1"/>
  <c r="J4448" i="34" a="1"/>
  <c r="J4449" i="34" a="1"/>
  <c r="J4450" i="34" a="1"/>
  <c r="J4451" i="34" a="1"/>
  <c r="J4452" i="34" a="1"/>
  <c r="J4453" i="34" a="1"/>
  <c r="J4454" i="34" a="1"/>
  <c r="J4455" i="34" a="1"/>
  <c r="J4456" i="34" a="1"/>
  <c r="J4457" i="34" a="1"/>
  <c r="J4458" i="34" a="1"/>
  <c r="J4459" i="34" a="1"/>
  <c r="J4460" i="34" a="1"/>
  <c r="J4461" i="34" a="1"/>
  <c r="J4462" i="34" a="1"/>
  <c r="J4463" i="34" a="1"/>
  <c r="J4464" i="34" a="1"/>
  <c r="J4465" i="34" a="1"/>
  <c r="J4466" i="34" a="1"/>
  <c r="J4467" i="34" a="1"/>
  <c r="J4468" i="34" a="1"/>
  <c r="J4469" i="34" a="1"/>
  <c r="J4470" i="34" a="1"/>
  <c r="J4471" i="34" a="1"/>
  <c r="J4472" i="34" a="1"/>
  <c r="J4473" i="34" a="1"/>
  <c r="J4474" i="34" a="1"/>
  <c r="J4475" i="34" a="1"/>
  <c r="J4476" i="34" a="1"/>
  <c r="J4477" i="34" a="1"/>
  <c r="J4478" i="34" a="1"/>
  <c r="J4479" i="34" a="1"/>
  <c r="J4480" i="34" a="1"/>
  <c r="J4481" i="34" a="1"/>
  <c r="J4482" i="34" a="1"/>
  <c r="J4483" i="34" a="1"/>
  <c r="J4484" i="34" a="1"/>
  <c r="J4485" i="34" a="1"/>
  <c r="J4486" i="34" a="1"/>
  <c r="J4487" i="34" a="1"/>
  <c r="J4488" i="34" a="1"/>
  <c r="J4489" i="34" a="1"/>
  <c r="J4490" i="34" a="1"/>
  <c r="J4491" i="34" a="1"/>
  <c r="J4492" i="34" a="1"/>
  <c r="J4493" i="34" a="1"/>
  <c r="J4494" i="34" a="1"/>
  <c r="J4495" i="34" a="1"/>
  <c r="J4496" i="34" a="1"/>
  <c r="J4497" i="34" a="1"/>
  <c r="J4498" i="34" a="1"/>
  <c r="J4499" i="34" a="1"/>
  <c r="J4500" i="34" a="1"/>
  <c r="J4501" i="34" a="1"/>
  <c r="J4502" i="34" a="1"/>
  <c r="J4503" i="34" a="1"/>
  <c r="J4504" i="34" a="1"/>
  <c r="J4505" i="34" a="1"/>
  <c r="J4506" i="34" a="1"/>
  <c r="J4507" i="34" a="1"/>
  <c r="J4508" i="34" a="1"/>
  <c r="J4509" i="34" a="1"/>
  <c r="J4510" i="34" a="1"/>
  <c r="J4511" i="34" a="1"/>
  <c r="J4512" i="34" a="1"/>
  <c r="J4513" i="34" a="1"/>
  <c r="J4514" i="34" a="1"/>
  <c r="J4515" i="34" a="1"/>
  <c r="J4516" i="34" a="1"/>
  <c r="J4517" i="34" a="1"/>
  <c r="J4518" i="34" a="1"/>
  <c r="J4519" i="34" a="1"/>
  <c r="J4520" i="34" a="1"/>
  <c r="J4521" i="34" a="1"/>
  <c r="J4522" i="34" a="1"/>
  <c r="J4523" i="34" a="1"/>
  <c r="J4524" i="34" a="1"/>
  <c r="J4525" i="34" a="1"/>
  <c r="J4526" i="34" a="1"/>
  <c r="J4527" i="34" a="1"/>
  <c r="J4528" i="34" a="1"/>
  <c r="J4529" i="34" a="1"/>
  <c r="J4530" i="34" a="1"/>
  <c r="J4531" i="34" a="1"/>
  <c r="J4532" i="34" a="1"/>
  <c r="J4533" i="34" a="1"/>
  <c r="J4534" i="34" a="1"/>
  <c r="J4535" i="34" a="1"/>
  <c r="J4536" i="34" a="1"/>
  <c r="J4537" i="34" a="1"/>
  <c r="J4538" i="34" a="1"/>
  <c r="J4539" i="34" a="1"/>
  <c r="J4540" i="34" a="1"/>
  <c r="J4541" i="34" a="1"/>
  <c r="J4542" i="34" a="1"/>
  <c r="J4543" i="34" a="1"/>
  <c r="J4544" i="34" a="1"/>
  <c r="J4545" i="34" a="1"/>
  <c r="J4546" i="34" a="1"/>
  <c r="J4547" i="34" a="1"/>
  <c r="J4548" i="34" a="1"/>
  <c r="J4549" i="34" a="1"/>
  <c r="J4550" i="34" a="1"/>
  <c r="J4551" i="34" a="1"/>
  <c r="J4552" i="34" a="1"/>
  <c r="J4553" i="34" a="1"/>
  <c r="J4554" i="34" a="1"/>
  <c r="J4555" i="34" a="1"/>
  <c r="J4556" i="34" a="1"/>
  <c r="J4557" i="34" a="1"/>
  <c r="J4558" i="34" a="1"/>
  <c r="J4559" i="34" a="1"/>
  <c r="J4560" i="34" a="1"/>
  <c r="J4561" i="34" a="1"/>
  <c r="J4562" i="34" a="1"/>
  <c r="J4563" i="34" a="1"/>
  <c r="J4564" i="34" a="1"/>
  <c r="J4565" i="34" a="1"/>
  <c r="J4566" i="34" a="1"/>
  <c r="J4567" i="34" a="1"/>
  <c r="J4568" i="34" a="1"/>
  <c r="J4569" i="34" a="1"/>
  <c r="J4570" i="34" a="1"/>
  <c r="J4571" i="34" a="1"/>
  <c r="J4572" i="34" a="1"/>
  <c r="J4573" i="34" a="1"/>
  <c r="J4574" i="34" a="1"/>
  <c r="J4575" i="34" a="1"/>
  <c r="J4576" i="34" a="1"/>
  <c r="J4577" i="34" a="1"/>
  <c r="J4578" i="34" a="1"/>
  <c r="J4579" i="34" a="1"/>
  <c r="J4580" i="34" a="1"/>
  <c r="J4581" i="34" a="1"/>
  <c r="J4582" i="34" a="1"/>
  <c r="J4583" i="34" a="1"/>
  <c r="J4584" i="34" a="1"/>
  <c r="J4585" i="34" a="1"/>
  <c r="J4586" i="34" a="1"/>
  <c r="J4587" i="34" a="1"/>
  <c r="J4588" i="34" a="1"/>
  <c r="J4589" i="34" a="1"/>
  <c r="J4590" i="34" a="1"/>
  <c r="J4591" i="34" a="1"/>
  <c r="J4592" i="34" a="1"/>
  <c r="J4593" i="34" a="1"/>
  <c r="J4594" i="34" a="1"/>
  <c r="J4595" i="34" a="1"/>
  <c r="J4596" i="34" a="1"/>
  <c r="J4597" i="34" a="1"/>
  <c r="J4598" i="34" a="1"/>
  <c r="J4599" i="34" a="1"/>
  <c r="J4600" i="34" a="1"/>
  <c r="J4601" i="34" a="1"/>
  <c r="J4602" i="34" a="1"/>
  <c r="J4603" i="34" a="1"/>
  <c r="J4604" i="34" a="1"/>
  <c r="J4605" i="34" a="1"/>
  <c r="J4606" i="34" a="1"/>
  <c r="J4607" i="34" a="1"/>
  <c r="J4608" i="34" a="1"/>
  <c r="J4609" i="34" a="1"/>
  <c r="J4610" i="34" a="1"/>
  <c r="J4611" i="34" a="1"/>
  <c r="J4612" i="34" a="1"/>
  <c r="J4613" i="34" a="1"/>
  <c r="J4614" i="34" a="1"/>
  <c r="J4615" i="34" a="1"/>
  <c r="J4616" i="34" a="1"/>
  <c r="J4617" i="34" a="1"/>
  <c r="J4618" i="34" a="1"/>
  <c r="J4619" i="34" a="1"/>
  <c r="J4620" i="34" a="1"/>
  <c r="J4621" i="34" a="1"/>
  <c r="J4622" i="34" a="1"/>
  <c r="J4623" i="34" a="1"/>
  <c r="J4624" i="34" a="1"/>
  <c r="J4625" i="34" a="1"/>
  <c r="J4626" i="34" a="1"/>
  <c r="J4627" i="34" a="1"/>
  <c r="J4628" i="34" a="1"/>
  <c r="J4629" i="34" a="1"/>
  <c r="J4630" i="34" a="1"/>
  <c r="J4631" i="34" a="1"/>
  <c r="J4632" i="34" a="1"/>
  <c r="J4633" i="34" a="1"/>
  <c r="J4634" i="34" a="1"/>
  <c r="J4635" i="34" a="1"/>
  <c r="J4636" i="34" a="1"/>
  <c r="J4637" i="34" a="1"/>
  <c r="J4638" i="34" a="1"/>
  <c r="J4639" i="34" a="1"/>
  <c r="J4640" i="34" a="1"/>
  <c r="J4641" i="34" a="1"/>
  <c r="J4642" i="34" a="1"/>
  <c r="J4643" i="34" a="1"/>
  <c r="J4644" i="34" a="1"/>
  <c r="J4645" i="34" a="1"/>
  <c r="J4646" i="34" a="1"/>
  <c r="J4647" i="34" a="1"/>
  <c r="J4648" i="34" a="1"/>
  <c r="J4649" i="34" a="1"/>
  <c r="J4650" i="34" a="1"/>
  <c r="J4651" i="34" a="1"/>
  <c r="J4652" i="34" a="1"/>
  <c r="J4653" i="34" a="1"/>
  <c r="J4654" i="34" a="1"/>
  <c r="J4655" i="34" a="1"/>
  <c r="J4656" i="34" a="1"/>
  <c r="J4657" i="34" a="1"/>
  <c r="J4658" i="34" a="1"/>
  <c r="J4659" i="34" a="1"/>
  <c r="J4660" i="34" a="1"/>
  <c r="J4661" i="34" a="1"/>
  <c r="J4662" i="34" a="1"/>
  <c r="J4663" i="34" a="1"/>
  <c r="J4664" i="34" a="1"/>
  <c r="J4665" i="34" a="1"/>
  <c r="J4666" i="34" a="1"/>
  <c r="J4667" i="34" a="1"/>
  <c r="J4668" i="34" a="1"/>
  <c r="J4669" i="34" a="1"/>
  <c r="J4670" i="34" a="1"/>
  <c r="J4671" i="34" a="1"/>
  <c r="J4672" i="34" a="1"/>
  <c r="J4673" i="34" a="1"/>
  <c r="J4674" i="34" a="1"/>
  <c r="J4675" i="34" a="1"/>
  <c r="J4676" i="34" a="1"/>
  <c r="J4677" i="34" a="1"/>
  <c r="J4678" i="34" a="1"/>
  <c r="J4679" i="34" a="1"/>
  <c r="J4680" i="34" a="1"/>
  <c r="J4681" i="34" a="1"/>
  <c r="J4682" i="34" a="1"/>
  <c r="J4683" i="34" a="1"/>
  <c r="J4684" i="34" a="1"/>
  <c r="J4685" i="34" a="1"/>
  <c r="J4686" i="34" a="1"/>
  <c r="J4687" i="34" a="1"/>
  <c r="J4688" i="34" a="1"/>
  <c r="J4689" i="34" a="1"/>
  <c r="J4690" i="34" a="1"/>
  <c r="J4691" i="34" a="1"/>
  <c r="J4692" i="34" a="1"/>
  <c r="J4693" i="34" a="1"/>
  <c r="J4694" i="34" a="1"/>
  <c r="J4695" i="34" a="1"/>
  <c r="J4696" i="34" a="1"/>
  <c r="J4697" i="34" a="1"/>
  <c r="J4698" i="34" a="1"/>
  <c r="J4699" i="34" a="1"/>
  <c r="J4700" i="34" a="1"/>
  <c r="J4701" i="34" a="1"/>
  <c r="J4702" i="34" a="1"/>
  <c r="J4703" i="34" a="1"/>
  <c r="J4704" i="34" a="1"/>
  <c r="J4705" i="34" a="1"/>
  <c r="J4706" i="34" a="1"/>
  <c r="J4707" i="34" a="1"/>
  <c r="J4708" i="34" a="1"/>
  <c r="J4709" i="34" a="1"/>
  <c r="J4710" i="34" a="1"/>
  <c r="J4711" i="34" a="1"/>
  <c r="J4712" i="34" a="1"/>
  <c r="J4713" i="34" a="1"/>
  <c r="J4714" i="34" a="1"/>
  <c r="J4715" i="34" a="1"/>
  <c r="J4716" i="34" a="1"/>
  <c r="J4717" i="34" a="1"/>
  <c r="J4718" i="34" a="1"/>
  <c r="J4719" i="34" a="1"/>
  <c r="J4720" i="34" a="1"/>
  <c r="J4721" i="34" a="1"/>
  <c r="J4722" i="34" a="1"/>
  <c r="J4723" i="34" a="1"/>
  <c r="J4724" i="34" a="1"/>
  <c r="J4725" i="34" a="1"/>
  <c r="J4726" i="34" a="1"/>
  <c r="J4727" i="34" a="1"/>
  <c r="J4728" i="34" a="1"/>
  <c r="J4729" i="34" a="1"/>
  <c r="J4730" i="34" a="1"/>
  <c r="J4731" i="34" a="1"/>
  <c r="J4732" i="34" a="1"/>
  <c r="J4733" i="34" a="1"/>
  <c r="J4734" i="34" a="1"/>
  <c r="J4735" i="34" a="1"/>
  <c r="J4736" i="34" a="1"/>
  <c r="J4737" i="34" a="1"/>
  <c r="J4738" i="34" a="1"/>
  <c r="J4739" i="34" a="1"/>
  <c r="J4740" i="34" a="1"/>
  <c r="J4741" i="34" a="1"/>
  <c r="J4742" i="34" a="1"/>
  <c r="J4743" i="34" a="1"/>
  <c r="J4744" i="34" a="1"/>
  <c r="J4745" i="34" a="1"/>
  <c r="J4746" i="34" a="1"/>
  <c r="J4747" i="34" a="1"/>
  <c r="J4748" i="34" a="1"/>
  <c r="J4749" i="34" a="1"/>
  <c r="J4750" i="34" a="1"/>
  <c r="J4751" i="34" a="1"/>
  <c r="J4752" i="34" a="1"/>
  <c r="J4753" i="34" a="1"/>
  <c r="J4754" i="34" a="1"/>
  <c r="J4755" i="34" a="1"/>
  <c r="J4756" i="34" a="1"/>
  <c r="J4757" i="34" a="1"/>
  <c r="J4758" i="34" a="1"/>
  <c r="J4759" i="34" a="1"/>
  <c r="J4760" i="34" a="1"/>
  <c r="J4761" i="34" a="1"/>
  <c r="J4762" i="34" a="1"/>
  <c r="J4763" i="34" a="1"/>
  <c r="J4764" i="34" a="1"/>
  <c r="J4765" i="34" a="1"/>
  <c r="J4766" i="34" a="1"/>
  <c r="J4767" i="34" a="1"/>
  <c r="J4768" i="34" a="1"/>
  <c r="J4769" i="34" a="1"/>
  <c r="J4770" i="34" a="1"/>
  <c r="J4771" i="34" a="1"/>
  <c r="J4772" i="34" a="1"/>
  <c r="J4773" i="34" a="1"/>
  <c r="J4774" i="34" a="1"/>
  <c r="J4775" i="34" a="1"/>
  <c r="J4776" i="34" a="1"/>
  <c r="J4777" i="34" a="1"/>
  <c r="J4778" i="34" a="1"/>
  <c r="J4779" i="34" a="1"/>
  <c r="J4780" i="34" a="1"/>
  <c r="J4781" i="34" a="1"/>
  <c r="J4782" i="34" a="1"/>
  <c r="J4783" i="34" a="1"/>
  <c r="J4784" i="34" a="1"/>
  <c r="J4785" i="34" a="1"/>
  <c r="J4786" i="34" a="1"/>
  <c r="J4787" i="34" a="1"/>
  <c r="J4788" i="34" a="1"/>
  <c r="J4789" i="34" a="1"/>
  <c r="J4790" i="34" a="1"/>
  <c r="J4791" i="34" a="1"/>
  <c r="J4792" i="34" a="1"/>
  <c r="J4793" i="34" a="1"/>
  <c r="J4794" i="34" a="1"/>
  <c r="J4795" i="34" a="1"/>
  <c r="J4796" i="34" a="1"/>
  <c r="J4797" i="34" a="1"/>
  <c r="J4798" i="34" a="1"/>
  <c r="J4799" i="34" a="1"/>
  <c r="J4800" i="34" a="1"/>
  <c r="J4801" i="34" a="1"/>
  <c r="J4802" i="34" a="1"/>
  <c r="J4803" i="34" a="1"/>
  <c r="J4804" i="34" a="1"/>
  <c r="J4805" i="34" a="1"/>
  <c r="J4806" i="34" a="1"/>
  <c r="J4807" i="34" a="1"/>
  <c r="J4808" i="34" a="1"/>
  <c r="J4809" i="34" a="1"/>
  <c r="J4810" i="34" a="1"/>
  <c r="J4811" i="34" a="1"/>
  <c r="J4812" i="34" a="1"/>
  <c r="J4813" i="34" a="1"/>
  <c r="J4814" i="34" a="1"/>
  <c r="J4815" i="34" a="1"/>
  <c r="J4816" i="34" a="1"/>
  <c r="J4817" i="34" a="1"/>
  <c r="J4818" i="34" a="1"/>
  <c r="J4819" i="34" a="1"/>
  <c r="J4820" i="34" a="1"/>
  <c r="J4821" i="34" a="1"/>
  <c r="J4822" i="34" a="1"/>
  <c r="J4823" i="34" a="1"/>
  <c r="J4824" i="34" a="1"/>
  <c r="J4825" i="34" a="1"/>
  <c r="J4826" i="34" a="1"/>
  <c r="J4827" i="34" a="1"/>
  <c r="J4828" i="34" a="1"/>
  <c r="J4829" i="34" a="1"/>
  <c r="J4830" i="34" a="1"/>
  <c r="J4831" i="34" a="1"/>
  <c r="J4832" i="34" a="1"/>
  <c r="J4833" i="34" a="1"/>
  <c r="J4834" i="34" a="1"/>
  <c r="J4835" i="34" a="1"/>
  <c r="J4836" i="34" a="1"/>
  <c r="J4837" i="34" a="1"/>
  <c r="J4838" i="34" a="1"/>
  <c r="J4839" i="34" a="1"/>
  <c r="J4840" i="34" a="1"/>
  <c r="J4841" i="34" a="1"/>
  <c r="J4842" i="34" a="1"/>
  <c r="J4843" i="34" a="1"/>
  <c r="J4844" i="34" a="1"/>
  <c r="J4845" i="34" a="1"/>
  <c r="J4846" i="34" a="1"/>
  <c r="J4847" i="34" a="1"/>
  <c r="J4848" i="34" a="1"/>
  <c r="J4849" i="34" a="1"/>
  <c r="J4850" i="34" a="1"/>
  <c r="J4851" i="34" a="1"/>
  <c r="J4852" i="34" a="1"/>
  <c r="J4853" i="34" a="1"/>
  <c r="J4854" i="34" a="1"/>
  <c r="J4855" i="34" a="1"/>
  <c r="J4856" i="34" a="1"/>
  <c r="J4857" i="34" a="1"/>
  <c r="J4858" i="34" a="1"/>
  <c r="J4859" i="34" a="1"/>
  <c r="J4860" i="34" a="1"/>
  <c r="J4861" i="34" a="1"/>
  <c r="J4862" i="34" a="1"/>
  <c r="J4863" i="34" a="1"/>
  <c r="J4864" i="34" a="1"/>
  <c r="J4865" i="34" a="1"/>
  <c r="J4866" i="34" a="1"/>
  <c r="J4867" i="34" a="1"/>
  <c r="J4868" i="34" a="1"/>
  <c r="J4869" i="34" a="1"/>
  <c r="J4870" i="34" a="1"/>
  <c r="J4871" i="34" a="1"/>
  <c r="J4872" i="34" a="1"/>
  <c r="J4873" i="34" a="1"/>
  <c r="J4874" i="34" a="1"/>
  <c r="J4875" i="34" a="1"/>
  <c r="J4876" i="34" a="1"/>
  <c r="J4877" i="34" a="1"/>
  <c r="J4878" i="34" a="1"/>
  <c r="J4879" i="34" a="1"/>
  <c r="J4880" i="34" a="1"/>
  <c r="J4881" i="34" a="1"/>
  <c r="J4882" i="34" a="1"/>
  <c r="J4883" i="34" a="1"/>
  <c r="J4884" i="34" a="1"/>
  <c r="J4885" i="34" a="1"/>
  <c r="J4886" i="34" a="1"/>
  <c r="J4887" i="34" a="1"/>
  <c r="J4888" i="34" a="1"/>
  <c r="J4889" i="34" a="1"/>
  <c r="J4890" i="34" a="1"/>
  <c r="J4891" i="34" a="1"/>
  <c r="J4892" i="34" a="1"/>
  <c r="J4893" i="34" a="1"/>
  <c r="J4894" i="34" a="1"/>
  <c r="J4895" i="34" a="1"/>
  <c r="J4896" i="34" a="1"/>
  <c r="J4897" i="34" a="1"/>
  <c r="J4898" i="34" a="1"/>
  <c r="J4899" i="34" a="1"/>
  <c r="J4900" i="34" a="1"/>
  <c r="J4901" i="34" a="1"/>
  <c r="J4902" i="34" a="1"/>
  <c r="J4903" i="34" a="1"/>
  <c r="J4904" i="34" a="1"/>
  <c r="J4905" i="34" a="1"/>
  <c r="J4906" i="34" a="1"/>
  <c r="J4907" i="34" a="1"/>
  <c r="J4908" i="34" a="1"/>
  <c r="J4909" i="34" a="1"/>
  <c r="J4910" i="34" a="1"/>
  <c r="J4911" i="34" a="1"/>
  <c r="J4912" i="34" a="1"/>
  <c r="J4913" i="34" a="1"/>
  <c r="J4914" i="34" a="1"/>
  <c r="J4915" i="34" a="1"/>
  <c r="J4916" i="34" a="1"/>
  <c r="J4917" i="34" a="1"/>
  <c r="J4918" i="34" a="1"/>
  <c r="J4919" i="34" a="1"/>
  <c r="J4920" i="34" a="1"/>
  <c r="J4921" i="34" a="1"/>
  <c r="J4922" i="34" a="1"/>
  <c r="J4923" i="34" a="1"/>
  <c r="J4924" i="34" a="1"/>
  <c r="J4925" i="34" a="1"/>
  <c r="J4926" i="34" a="1"/>
  <c r="J4927" i="34" a="1"/>
  <c r="J4928" i="34" a="1"/>
  <c r="J4929" i="34" a="1"/>
  <c r="J4930" i="34" a="1"/>
  <c r="J4931" i="34" a="1"/>
  <c r="J4932" i="34" a="1"/>
  <c r="J4933" i="34" a="1"/>
  <c r="J4934" i="34" a="1"/>
  <c r="J4935" i="34" a="1"/>
  <c r="J4936" i="34" a="1"/>
  <c r="J4937" i="34" a="1"/>
  <c r="J4938" i="34" a="1"/>
  <c r="J4939" i="34" a="1"/>
  <c r="J4940" i="34" a="1"/>
  <c r="J4941" i="34" a="1"/>
  <c r="J4942" i="34" a="1"/>
  <c r="J4943" i="34" a="1"/>
  <c r="J4944" i="34" a="1"/>
  <c r="J4945" i="34" a="1"/>
  <c r="J4946" i="34" a="1"/>
  <c r="J4947" i="34" a="1"/>
  <c r="J4948" i="34" a="1"/>
  <c r="J4949" i="34" a="1"/>
  <c r="J4950" i="34" a="1"/>
  <c r="J4951" i="34" a="1"/>
  <c r="J4952" i="34" a="1"/>
  <c r="J4953" i="34" a="1"/>
  <c r="J4954" i="34" a="1"/>
  <c r="J4955" i="34" a="1"/>
  <c r="J4956" i="34" a="1"/>
  <c r="J4957" i="34" a="1"/>
  <c r="J4958" i="34" a="1"/>
  <c r="J4959" i="34" a="1"/>
  <c r="J4960" i="34" a="1"/>
  <c r="J4961" i="34" a="1"/>
  <c r="J4962" i="34" a="1"/>
  <c r="J4963" i="34" a="1"/>
  <c r="J4964" i="34" a="1"/>
  <c r="J4965" i="34" a="1"/>
  <c r="J4966" i="34" a="1"/>
  <c r="J4967" i="34" a="1"/>
  <c r="J4968" i="34" a="1"/>
  <c r="J4969" i="34" a="1"/>
  <c r="J4970" i="34" a="1"/>
  <c r="J4971" i="34" a="1"/>
  <c r="J4972" i="34" a="1"/>
  <c r="J4973" i="34" a="1"/>
  <c r="J4974" i="34" a="1"/>
  <c r="J4975" i="34" a="1"/>
  <c r="J4976" i="34" a="1"/>
  <c r="J4977" i="34" a="1"/>
  <c r="J4978" i="34" a="1"/>
  <c r="J4979" i="34" a="1"/>
  <c r="J4980" i="34" a="1"/>
  <c r="J4981" i="34" a="1"/>
  <c r="J4982" i="34" a="1"/>
  <c r="J4983" i="34" a="1"/>
  <c r="J4984" i="34" a="1"/>
  <c r="J4985" i="34" a="1"/>
  <c r="J4986" i="34" a="1"/>
  <c r="J4987" i="34" a="1"/>
  <c r="J4988" i="34" a="1"/>
  <c r="J4989" i="34" a="1"/>
  <c r="J4990" i="34" a="1"/>
  <c r="J4991" i="34" a="1"/>
  <c r="J4992" i="34" a="1"/>
  <c r="J4993" i="34" a="1"/>
  <c r="J4994" i="34" a="1"/>
  <c r="J4995" i="34" a="1"/>
  <c r="J4996" i="34" a="1"/>
  <c r="J4997" i="34" a="1"/>
  <c r="J4998" i="34" a="1"/>
  <c r="J4999" i="34" a="1"/>
  <c r="J5000" i="34" a="1"/>
  <c r="J5001" i="34" a="1"/>
  <c r="J5002" i="34" a="1"/>
  <c r="J5003" i="34" a="1"/>
  <c r="J5004" i="34" a="1"/>
  <c r="J5005" i="34" a="1"/>
  <c r="J5006" i="34" a="1"/>
  <c r="J5007" i="34" a="1"/>
  <c r="J5008" i="34" a="1"/>
  <c r="J5009" i="34" a="1"/>
  <c r="J5010" i="34" a="1"/>
  <c r="J5011" i="34" a="1"/>
  <c r="J5012" i="34" a="1"/>
  <c r="J5013" i="34" a="1"/>
  <c r="J5014" i="34" a="1"/>
  <c r="J5015" i="34" a="1"/>
  <c r="J5016" i="34" a="1"/>
  <c r="J5017" i="34" a="1"/>
  <c r="J5018" i="34" a="1"/>
  <c r="J5019" i="34" a="1"/>
  <c r="J5020" i="34" a="1"/>
  <c r="J5021" i="34" a="1"/>
  <c r="J5022" i="34" a="1"/>
  <c r="J5023" i="34" a="1"/>
  <c r="J5024" i="34" a="1"/>
  <c r="J5025" i="34" a="1"/>
  <c r="J5026" i="34" a="1"/>
  <c r="J5027" i="34" a="1"/>
  <c r="J5028" i="34" a="1"/>
  <c r="J5029" i="34" a="1"/>
  <c r="J5030" i="34" a="1"/>
  <c r="J5031" i="34" a="1"/>
  <c r="J5032" i="34" a="1"/>
  <c r="J5033" i="34" a="1"/>
  <c r="J5034" i="34" a="1"/>
  <c r="J5035" i="34" a="1"/>
  <c r="J5036" i="34" a="1"/>
  <c r="J5037" i="34" a="1"/>
  <c r="J5038" i="34" a="1"/>
  <c r="J5039" i="34" a="1"/>
  <c r="J5040" i="34" a="1"/>
  <c r="J5041" i="34" a="1"/>
  <c r="J5042" i="34" a="1"/>
  <c r="J5043" i="34" a="1"/>
  <c r="J5044" i="34" a="1"/>
  <c r="J5045" i="34" a="1"/>
  <c r="J5046" i="34" a="1"/>
  <c r="J5047" i="34" a="1"/>
  <c r="J5048" i="34" a="1"/>
  <c r="J5049" i="34" a="1"/>
  <c r="J5050" i="34" a="1"/>
  <c r="J5051" i="34" a="1"/>
  <c r="J5052" i="34" a="1"/>
  <c r="J5053" i="34" a="1"/>
  <c r="J5054" i="34" a="1"/>
  <c r="J5055" i="34" a="1"/>
  <c r="J5056" i="34" a="1"/>
  <c r="J5057" i="34" a="1"/>
  <c r="J5058" i="34" a="1"/>
  <c r="J5059" i="34" a="1"/>
  <c r="J5060" i="34" a="1"/>
  <c r="J5061" i="34" a="1"/>
  <c r="J5062" i="34" a="1"/>
  <c r="J5063" i="34" a="1"/>
  <c r="J5064" i="34" a="1"/>
  <c r="J5065" i="34" a="1"/>
  <c r="J5066" i="34" a="1"/>
  <c r="J5067" i="34" a="1"/>
  <c r="J5068" i="34" a="1"/>
  <c r="J5069" i="34" a="1"/>
  <c r="J5070" i="34" a="1"/>
  <c r="J5071" i="34" a="1"/>
  <c r="J5072" i="34" a="1"/>
  <c r="J5073" i="34" a="1"/>
  <c r="J5074" i="34" a="1"/>
  <c r="J5075" i="34" a="1"/>
  <c r="J5076" i="34" a="1"/>
  <c r="J5077" i="34" a="1"/>
  <c r="J5078" i="34" a="1"/>
  <c r="J5079" i="34" a="1"/>
  <c r="J5080" i="34" a="1"/>
  <c r="J5081" i="34" a="1"/>
  <c r="J5082" i="34" a="1"/>
  <c r="J5083" i="34" a="1"/>
  <c r="J5084" i="34" a="1"/>
  <c r="J5085" i="34" a="1"/>
  <c r="J5086" i="34" a="1"/>
  <c r="J5087" i="34" a="1"/>
  <c r="J5088" i="34" a="1"/>
  <c r="J5089" i="34" a="1"/>
  <c r="J5090" i="34" a="1"/>
  <c r="J5091" i="34" a="1"/>
  <c r="J5092" i="34" a="1"/>
  <c r="J5093" i="34" a="1"/>
  <c r="J5094" i="34" a="1"/>
  <c r="J5095" i="34" a="1"/>
  <c r="J5096" i="34" a="1"/>
  <c r="J5097" i="34" a="1"/>
  <c r="J5098" i="34" a="1"/>
  <c r="J5099" i="34" a="1"/>
  <c r="J5100" i="34" a="1"/>
  <c r="J5101" i="34" a="1"/>
  <c r="J5102" i="34" a="1"/>
  <c r="J5103" i="34" a="1"/>
  <c r="J5104" i="34" a="1"/>
  <c r="J5105" i="34" a="1"/>
  <c r="J5106" i="34" a="1"/>
  <c r="J5107" i="34" a="1"/>
  <c r="J5108" i="34" a="1"/>
  <c r="J5109" i="34" a="1"/>
  <c r="J5110" i="34" a="1"/>
  <c r="J5111" i="34" a="1"/>
  <c r="J5112" i="34" a="1"/>
  <c r="J5113" i="34" a="1"/>
  <c r="J5114" i="34" a="1"/>
  <c r="J5115" i="34" a="1"/>
  <c r="J5116" i="34" a="1"/>
  <c r="J5117" i="34" a="1"/>
  <c r="J5118" i="34" a="1"/>
  <c r="J5119" i="34" a="1"/>
  <c r="J5120" i="34" a="1"/>
  <c r="J5121" i="34" a="1"/>
  <c r="J5122" i="34" a="1"/>
  <c r="J5123" i="34" a="1"/>
  <c r="J5124" i="34" a="1"/>
  <c r="J5125" i="34" a="1"/>
  <c r="J5126" i="34" a="1"/>
  <c r="J5127" i="34" a="1"/>
  <c r="J5128" i="34" a="1"/>
  <c r="J5129" i="34" a="1"/>
  <c r="J5130" i="34" a="1"/>
  <c r="J5131" i="34" a="1"/>
  <c r="J5132" i="34" a="1"/>
  <c r="J5133" i="34" a="1"/>
  <c r="J5134" i="34" a="1"/>
  <c r="J5135" i="34" a="1"/>
  <c r="J5136" i="34" a="1"/>
  <c r="J5137" i="34" a="1"/>
  <c r="J5138" i="34" a="1"/>
  <c r="J5139" i="34" a="1"/>
  <c r="J5140" i="34" a="1"/>
  <c r="J5141" i="34" a="1"/>
  <c r="J5142" i="34" a="1"/>
  <c r="J5143" i="34" a="1"/>
  <c r="J5144" i="34" a="1"/>
  <c r="J5145" i="34" a="1"/>
  <c r="J5146" i="34" a="1"/>
  <c r="J5147" i="34" a="1"/>
  <c r="J5148" i="34" a="1"/>
  <c r="J5149" i="34" a="1"/>
  <c r="J5150" i="34" a="1"/>
  <c r="J5151" i="34" a="1"/>
  <c r="J5152" i="34" a="1"/>
  <c r="J5153" i="34" a="1"/>
  <c r="J5154" i="34" a="1"/>
  <c r="J5155" i="34" a="1"/>
  <c r="J5156" i="34" a="1"/>
  <c r="J5157" i="34" a="1"/>
  <c r="J5158" i="34" a="1"/>
  <c r="J5159" i="34" a="1"/>
  <c r="J5160" i="34" a="1"/>
  <c r="J5161" i="34" a="1"/>
  <c r="J5162" i="34" a="1"/>
  <c r="J5163" i="34" a="1"/>
  <c r="J5164" i="34" a="1"/>
  <c r="J5165" i="34" a="1"/>
  <c r="J5166" i="34" a="1"/>
  <c r="J5167" i="34" a="1"/>
  <c r="J5168" i="34" a="1"/>
  <c r="J5169" i="34" a="1"/>
  <c r="J5170" i="34" a="1"/>
  <c r="J5171" i="34" a="1"/>
  <c r="J5172" i="34" a="1"/>
  <c r="J5173" i="34" a="1"/>
  <c r="J5174" i="34" a="1"/>
  <c r="J5175" i="34" a="1"/>
  <c r="J5176" i="34" a="1"/>
  <c r="J5177" i="34" a="1"/>
  <c r="J5178" i="34" a="1"/>
  <c r="J5179" i="34" a="1"/>
  <c r="J5180" i="34" a="1"/>
  <c r="J5181" i="34" a="1"/>
  <c r="J5182" i="34" a="1"/>
  <c r="J5183" i="34" a="1"/>
  <c r="J5184" i="34" a="1"/>
  <c r="J5185" i="34" a="1"/>
  <c r="J5186" i="34" a="1"/>
  <c r="J5187" i="34" a="1"/>
  <c r="J5188" i="34" a="1"/>
  <c r="J5189" i="34" a="1"/>
  <c r="J5190" i="34" a="1"/>
  <c r="J5191" i="34" a="1"/>
  <c r="J5192" i="34" a="1"/>
  <c r="J5193" i="34" a="1"/>
  <c r="J5194" i="34" a="1"/>
  <c r="J5195" i="34" a="1"/>
  <c r="J5196" i="34" a="1"/>
  <c r="J5197" i="34" a="1"/>
  <c r="J5198" i="34" a="1"/>
  <c r="J5199" i="34" a="1"/>
  <c r="J5200" i="34" a="1"/>
  <c r="J5201" i="34" a="1"/>
  <c r="J5202" i="34" a="1"/>
  <c r="J5203" i="34" a="1"/>
  <c r="J5204" i="34" a="1"/>
  <c r="J5205" i="34" a="1"/>
  <c r="J5206" i="34" a="1"/>
  <c r="J5207" i="34" a="1"/>
  <c r="J5208" i="34" a="1"/>
  <c r="J5209" i="34" a="1"/>
  <c r="J5210" i="34" a="1"/>
  <c r="J5211" i="34" a="1"/>
  <c r="J5212" i="34" a="1"/>
  <c r="J5213" i="34" a="1"/>
  <c r="J5214" i="34" a="1"/>
  <c r="J5215" i="34" a="1"/>
  <c r="J5216" i="34" a="1"/>
  <c r="J5217" i="34" a="1"/>
  <c r="J5218" i="34" a="1"/>
  <c r="J5219" i="34" a="1"/>
  <c r="J5220" i="34" a="1"/>
  <c r="J5221" i="34" a="1"/>
  <c r="J5222" i="34" a="1"/>
  <c r="J5223" i="34" a="1"/>
  <c r="J5224" i="34" a="1"/>
  <c r="J5225" i="34" a="1"/>
  <c r="J5226" i="34" a="1"/>
  <c r="J5227" i="34" a="1"/>
  <c r="J5228" i="34" a="1"/>
  <c r="J5229" i="34" a="1"/>
  <c r="J5230" i="34" a="1"/>
  <c r="J5231" i="34" a="1"/>
  <c r="J5232" i="34" a="1"/>
  <c r="J5233" i="34" a="1"/>
  <c r="J5234" i="34" a="1"/>
  <c r="J5235" i="34" a="1"/>
  <c r="J5236" i="34" a="1"/>
  <c r="J5237" i="34" a="1"/>
  <c r="J5238" i="34" a="1"/>
  <c r="J5239" i="34" a="1"/>
  <c r="J5240" i="34" a="1"/>
  <c r="J5241" i="34" a="1"/>
  <c r="J5242" i="34" a="1"/>
  <c r="J5243" i="34" a="1"/>
  <c r="J5244" i="34" a="1"/>
  <c r="J5245" i="34" a="1"/>
  <c r="J5246" i="34" a="1"/>
  <c r="J5247" i="34" a="1"/>
  <c r="J5248" i="34" a="1"/>
  <c r="J5249" i="34" a="1"/>
  <c r="J5250" i="34" a="1"/>
  <c r="J5251" i="34" a="1"/>
  <c r="J5252" i="34" a="1"/>
  <c r="J5253" i="34" a="1"/>
  <c r="J5254" i="34" a="1"/>
  <c r="J5255" i="34" a="1"/>
  <c r="J5256" i="34" a="1"/>
  <c r="J5257" i="34" a="1"/>
  <c r="J5258" i="34" a="1"/>
  <c r="J5259" i="34" a="1"/>
  <c r="J5260" i="34" a="1"/>
  <c r="J5261" i="34" a="1"/>
  <c r="J5262" i="34" a="1"/>
  <c r="J5263" i="34" a="1"/>
  <c r="J5264" i="34" a="1"/>
  <c r="J5265" i="34" a="1"/>
  <c r="J5266" i="34" a="1"/>
  <c r="J5267" i="34" a="1"/>
  <c r="J5268" i="34" a="1"/>
  <c r="J5269" i="34" a="1"/>
  <c r="J5270" i="34" a="1"/>
  <c r="J5271" i="34" a="1"/>
  <c r="J5272" i="34" a="1"/>
  <c r="J5273" i="34" a="1"/>
  <c r="J5274" i="34" a="1"/>
  <c r="J5275" i="34" a="1"/>
  <c r="J5276" i="34" a="1"/>
  <c r="J5277" i="34" a="1"/>
  <c r="J5278" i="34" a="1"/>
  <c r="J5279" i="34" a="1"/>
  <c r="J5280" i="34" a="1"/>
  <c r="J5281" i="34" a="1"/>
  <c r="J5282" i="34" a="1"/>
  <c r="J5283" i="34" a="1"/>
  <c r="J5284" i="34" a="1"/>
  <c r="J5285" i="34" a="1"/>
  <c r="J5286" i="34" a="1"/>
  <c r="J5287" i="34" a="1"/>
  <c r="J5288" i="34" a="1"/>
  <c r="J5289" i="34" a="1"/>
  <c r="J5290" i="34" a="1"/>
  <c r="J5291" i="34" a="1"/>
  <c r="J5292" i="34" a="1"/>
  <c r="J5293" i="34" a="1"/>
  <c r="J5294" i="34" a="1"/>
  <c r="J5295" i="34" a="1"/>
  <c r="J5296" i="34" a="1"/>
  <c r="J5297" i="34" a="1"/>
  <c r="J5298" i="34" a="1"/>
  <c r="J5299" i="34" a="1"/>
  <c r="J5300" i="34" a="1"/>
  <c r="J5301" i="34" a="1"/>
  <c r="J5302" i="34" a="1"/>
  <c r="J5303" i="34" a="1"/>
  <c r="J5304" i="34" a="1"/>
  <c r="J5305" i="34" a="1"/>
  <c r="J5306" i="34" a="1"/>
  <c r="J5307" i="34" a="1"/>
  <c r="J5308" i="34" a="1"/>
  <c r="J5309" i="34" a="1"/>
  <c r="J5310" i="34" a="1"/>
  <c r="J5311" i="34" a="1"/>
  <c r="J5312" i="34" a="1"/>
  <c r="J5313" i="34" a="1"/>
  <c r="J5314" i="34" a="1"/>
  <c r="J5315" i="34" a="1"/>
  <c r="J5316" i="34" a="1"/>
  <c r="J5317" i="34" a="1"/>
  <c r="J5318" i="34" a="1"/>
  <c r="J5319" i="34" a="1"/>
  <c r="J5320" i="34" a="1"/>
  <c r="J5321" i="34" a="1"/>
  <c r="J5322" i="34" a="1"/>
  <c r="J5323" i="34" a="1"/>
  <c r="J5324" i="34" a="1"/>
  <c r="J5325" i="34" a="1"/>
  <c r="J5326" i="34" a="1"/>
  <c r="J5327" i="34" a="1"/>
  <c r="J5328" i="34" a="1"/>
  <c r="J5329" i="34" a="1"/>
  <c r="J5330" i="34" a="1"/>
  <c r="J5331" i="34" a="1"/>
  <c r="J5332" i="34" a="1"/>
  <c r="J5333" i="34" a="1"/>
  <c r="J5334" i="34" a="1"/>
  <c r="J5335" i="34" a="1"/>
  <c r="J5336" i="34" a="1"/>
  <c r="J5337" i="34" a="1"/>
  <c r="J5338" i="34" a="1"/>
  <c r="J5339" i="34" a="1"/>
  <c r="J5340" i="34" a="1"/>
  <c r="J5341" i="34" a="1"/>
  <c r="J5342" i="34" a="1"/>
  <c r="J5343" i="34" a="1"/>
  <c r="J5344" i="34" a="1"/>
  <c r="J5345" i="34" a="1"/>
  <c r="J5346" i="34" a="1"/>
  <c r="J5347" i="34" a="1"/>
  <c r="J5348" i="34" a="1"/>
  <c r="J5349" i="34" a="1"/>
  <c r="J5350" i="34" a="1"/>
  <c r="J5351" i="34" a="1"/>
  <c r="J5352" i="34" a="1"/>
  <c r="J5353" i="34" a="1"/>
  <c r="J5354" i="34" a="1"/>
  <c r="J5355" i="34" a="1"/>
  <c r="J5356" i="34" a="1"/>
  <c r="J5357" i="34" a="1"/>
  <c r="J5358" i="34" a="1"/>
  <c r="J5359" i="34" a="1"/>
  <c r="J5360" i="34" a="1"/>
  <c r="J5361" i="34" a="1"/>
  <c r="J5362" i="34" a="1"/>
  <c r="J5363" i="34" a="1"/>
  <c r="J5364" i="34" a="1"/>
  <c r="J5365" i="34" a="1"/>
  <c r="J5366" i="34" a="1"/>
  <c r="J5367" i="34" a="1"/>
  <c r="J5368" i="34" a="1"/>
  <c r="J5369" i="34" a="1"/>
  <c r="J5370" i="34" a="1"/>
  <c r="J5371" i="34" a="1"/>
  <c r="J5372" i="34" a="1"/>
  <c r="J5373" i="34" a="1"/>
  <c r="J5374" i="34" a="1"/>
  <c r="J5375" i="34" a="1"/>
  <c r="J5376" i="34" a="1"/>
  <c r="J5377" i="34" a="1"/>
  <c r="J5378" i="34" a="1"/>
  <c r="J5379" i="34" a="1"/>
  <c r="J5380" i="34" a="1"/>
  <c r="J5381" i="34" a="1"/>
  <c r="J5382" i="34" a="1"/>
  <c r="J5383" i="34" a="1"/>
  <c r="J5384" i="34" a="1"/>
  <c r="J5385" i="34" a="1"/>
  <c r="J5386" i="34" a="1"/>
  <c r="J5387" i="34" a="1"/>
  <c r="J5388" i="34" a="1"/>
  <c r="J5389" i="34" a="1"/>
  <c r="J5390" i="34" a="1"/>
  <c r="J5391" i="34" a="1"/>
  <c r="J5392" i="34" a="1"/>
  <c r="J5393" i="34" a="1"/>
  <c r="J5394" i="34" a="1"/>
  <c r="J5395" i="34" a="1"/>
  <c r="J5396" i="34" a="1"/>
  <c r="J5397" i="34" a="1"/>
  <c r="J5398" i="34" a="1"/>
  <c r="J5399" i="34" a="1"/>
  <c r="J5400" i="34" a="1"/>
  <c r="J5401" i="34" a="1"/>
  <c r="J5402" i="34" a="1"/>
  <c r="J5403" i="34" a="1"/>
  <c r="J5404" i="34" a="1"/>
  <c r="J5405" i="34" a="1"/>
  <c r="J5406" i="34" a="1"/>
  <c r="J5407" i="34" a="1"/>
  <c r="J5408" i="34" a="1"/>
  <c r="J5409" i="34" a="1"/>
  <c r="J5410" i="34" a="1"/>
  <c r="J5411" i="34" a="1"/>
  <c r="J5412" i="34" a="1"/>
  <c r="J5413" i="34" a="1"/>
  <c r="J5414" i="34" a="1"/>
  <c r="J5415" i="34" a="1"/>
  <c r="J5416" i="34" a="1"/>
  <c r="J5417" i="34" a="1"/>
  <c r="J5418" i="34" a="1"/>
  <c r="J5419" i="34" a="1"/>
  <c r="J5420" i="34" a="1"/>
  <c r="J5421" i="34" a="1"/>
  <c r="J5422" i="34" a="1"/>
  <c r="J5423" i="34" a="1"/>
  <c r="J5424" i="34" a="1"/>
  <c r="J5425" i="34" a="1"/>
  <c r="J5426" i="34" a="1"/>
  <c r="J5427" i="34" a="1"/>
  <c r="J5428" i="34" a="1"/>
  <c r="J5429" i="34" a="1"/>
  <c r="J5430" i="34" a="1"/>
  <c r="J5431" i="34" a="1"/>
  <c r="J5432" i="34" a="1"/>
  <c r="J5433" i="34" a="1"/>
  <c r="J5434" i="34" a="1"/>
  <c r="J5435" i="34" a="1"/>
  <c r="J5436" i="34" a="1"/>
  <c r="J5437" i="34" a="1"/>
  <c r="J5438" i="34" a="1"/>
  <c r="J5439" i="34" a="1"/>
  <c r="J5440" i="34" a="1"/>
  <c r="J5441" i="34" a="1"/>
  <c r="J5442" i="34" a="1"/>
  <c r="J5443" i="34" a="1"/>
  <c r="J5444" i="34" a="1"/>
  <c r="J5445" i="34" a="1"/>
  <c r="J5446" i="34" a="1"/>
  <c r="J5447" i="34" a="1"/>
  <c r="J5448" i="34" a="1"/>
  <c r="J5449" i="34" a="1"/>
  <c r="J5450" i="34" a="1"/>
  <c r="J5451" i="34" a="1"/>
  <c r="J5452" i="34" a="1"/>
  <c r="J5453" i="34" a="1"/>
  <c r="J5454" i="34" a="1"/>
  <c r="J5455" i="34" a="1"/>
  <c r="J5456" i="34" a="1"/>
  <c r="J5457" i="34" a="1"/>
  <c r="J5458" i="34" a="1"/>
  <c r="J5459" i="34" a="1"/>
  <c r="J5460" i="34" a="1"/>
  <c r="J5461" i="34" a="1"/>
  <c r="J5462" i="34" a="1"/>
  <c r="J5463" i="34" a="1"/>
  <c r="J5464" i="34" a="1"/>
  <c r="J5465" i="34" a="1"/>
  <c r="J5466" i="34" a="1"/>
  <c r="J5467" i="34" a="1"/>
  <c r="J5468" i="34" a="1"/>
  <c r="J5469" i="34" a="1"/>
  <c r="J5470" i="34" a="1"/>
  <c r="J5471" i="34" a="1"/>
  <c r="J5472" i="34" a="1"/>
  <c r="J5473" i="34" a="1"/>
  <c r="J5474" i="34" a="1"/>
  <c r="J5475" i="34" a="1"/>
  <c r="J5476" i="34" a="1"/>
  <c r="J5477" i="34" a="1"/>
  <c r="J5478" i="34" a="1"/>
  <c r="J5479" i="34" a="1"/>
  <c r="J5480" i="34" a="1"/>
  <c r="J5481" i="34" a="1"/>
  <c r="J5482" i="34" a="1"/>
  <c r="J5483" i="34" a="1"/>
  <c r="J5484" i="34" a="1"/>
  <c r="J5485" i="34" a="1"/>
  <c r="J5486" i="34" a="1"/>
  <c r="J5487" i="34" a="1"/>
  <c r="J5488" i="34" a="1"/>
  <c r="J5489" i="34" a="1"/>
  <c r="J5490" i="34" a="1"/>
  <c r="J5491" i="34" a="1"/>
  <c r="J5492" i="34" a="1"/>
  <c r="J5493" i="34" a="1"/>
  <c r="J5494" i="34" a="1"/>
  <c r="J5495" i="34" a="1"/>
  <c r="J5496" i="34" a="1"/>
  <c r="J5497" i="34" a="1"/>
  <c r="J5498" i="34" a="1"/>
  <c r="J5499" i="34" a="1"/>
  <c r="J5500" i="34" a="1"/>
  <c r="J5501" i="34" a="1"/>
  <c r="J5502" i="34" a="1"/>
  <c r="J5503" i="34" a="1"/>
  <c r="J5504" i="34" a="1"/>
  <c r="J5505" i="34" a="1"/>
  <c r="J5506" i="34" a="1"/>
  <c r="J5507" i="34" a="1"/>
  <c r="J5508" i="34" a="1"/>
  <c r="J5509" i="34" a="1"/>
  <c r="J5510" i="34" a="1"/>
  <c r="J5511" i="34" a="1"/>
  <c r="J5512" i="34" a="1"/>
  <c r="J5513" i="34" a="1"/>
  <c r="J5514" i="34" a="1"/>
  <c r="J5515" i="34" a="1"/>
  <c r="J5516" i="34" a="1"/>
  <c r="J5517" i="34" a="1"/>
  <c r="J5518" i="34" a="1"/>
  <c r="J5519" i="34" a="1"/>
  <c r="J5520" i="34" a="1"/>
  <c r="J5521" i="34" a="1"/>
  <c r="J5522" i="34" a="1"/>
  <c r="J5523" i="34" a="1"/>
  <c r="J5524" i="34" a="1"/>
  <c r="J5525" i="34" a="1"/>
  <c r="J5526" i="34" a="1"/>
  <c r="J5527" i="34" a="1"/>
  <c r="J5528" i="34" a="1"/>
  <c r="J5529" i="34" a="1"/>
  <c r="J5530" i="34" a="1"/>
  <c r="J5531" i="34" a="1"/>
  <c r="J5532" i="34" a="1"/>
  <c r="J5533" i="34" a="1"/>
  <c r="J5534" i="34" a="1"/>
  <c r="J5535" i="34" a="1"/>
  <c r="J5536" i="34" a="1"/>
  <c r="J5537" i="34" a="1"/>
  <c r="J5538" i="34" a="1"/>
  <c r="J5539" i="34" a="1"/>
  <c r="J5540" i="34" a="1"/>
  <c r="J5541" i="34" a="1"/>
  <c r="J5542" i="34" a="1"/>
  <c r="J5543" i="34" a="1"/>
  <c r="J5544" i="34" a="1"/>
  <c r="J5545" i="34" a="1"/>
  <c r="J5546" i="34" a="1"/>
  <c r="J5547" i="34" a="1"/>
  <c r="J5548" i="34" a="1"/>
  <c r="J5549" i="34" a="1"/>
  <c r="J5550" i="34" a="1"/>
  <c r="J5551" i="34" a="1"/>
  <c r="J5552" i="34" a="1"/>
  <c r="J5553" i="34" a="1"/>
  <c r="J5554" i="34" a="1"/>
  <c r="J5555" i="34" a="1"/>
  <c r="J5556" i="34" a="1"/>
  <c r="J5557" i="34" a="1"/>
  <c r="J5558" i="34" a="1"/>
  <c r="J5559" i="34" a="1"/>
  <c r="J5560" i="34" a="1"/>
  <c r="J5561" i="34" a="1"/>
  <c r="J5562" i="34" a="1"/>
  <c r="J5563" i="34" a="1"/>
  <c r="J5564" i="34" a="1"/>
  <c r="J5565" i="34" a="1"/>
  <c r="J5566" i="34" a="1"/>
  <c r="J5567" i="34" a="1"/>
  <c r="J5568" i="34" a="1"/>
  <c r="J5569" i="34" a="1"/>
  <c r="J5570" i="34" a="1"/>
  <c r="J5571" i="34" a="1"/>
  <c r="J5572" i="34" a="1"/>
  <c r="J5573" i="34" a="1"/>
  <c r="J5574" i="34" a="1"/>
  <c r="J5575" i="34" a="1"/>
  <c r="J5576" i="34" a="1"/>
  <c r="J5577" i="34" a="1"/>
  <c r="J5578" i="34" a="1"/>
  <c r="J5579" i="34" a="1"/>
  <c r="J5580" i="34" a="1"/>
  <c r="J5581" i="34" a="1"/>
  <c r="J5582" i="34" a="1"/>
  <c r="J5583" i="34" a="1"/>
  <c r="J5584" i="34" a="1"/>
  <c r="J5585" i="34" a="1"/>
  <c r="J5586" i="34" a="1"/>
  <c r="J5587" i="34" a="1"/>
  <c r="J5588" i="34" a="1"/>
  <c r="J5589" i="34" a="1"/>
  <c r="J5590" i="34" a="1"/>
  <c r="J5591" i="34" a="1"/>
  <c r="J5592" i="34" a="1"/>
  <c r="J5593" i="34" a="1"/>
  <c r="J5594" i="34" a="1"/>
  <c r="J5595" i="34" a="1"/>
  <c r="J5596" i="34" a="1"/>
  <c r="J5597" i="34" a="1"/>
  <c r="J5598" i="34" a="1"/>
  <c r="J5599" i="34" a="1"/>
  <c r="J5600" i="34" a="1"/>
  <c r="J5601" i="34" a="1"/>
  <c r="J5602" i="34" a="1"/>
  <c r="J5603" i="34" a="1"/>
  <c r="J5604" i="34" a="1"/>
  <c r="J5605" i="34" a="1"/>
  <c r="J5606" i="34" a="1"/>
  <c r="J5607" i="34" a="1"/>
  <c r="J5608" i="34" a="1"/>
  <c r="J5609" i="34" a="1"/>
  <c r="J5610" i="34" a="1"/>
  <c r="J5611" i="34" a="1"/>
  <c r="J5612" i="34" a="1"/>
  <c r="J5613" i="34" a="1"/>
  <c r="J5614" i="34" a="1"/>
  <c r="J5615" i="34" a="1"/>
  <c r="J5616" i="34" a="1"/>
  <c r="J5617" i="34" a="1"/>
  <c r="J5618" i="34" a="1"/>
  <c r="J5619" i="34" a="1"/>
  <c r="J5620" i="34" a="1"/>
  <c r="J5621" i="34" a="1"/>
  <c r="J5622" i="34" a="1"/>
  <c r="J5623" i="34" a="1"/>
  <c r="J5624" i="34" a="1"/>
  <c r="J5625" i="34" a="1"/>
  <c r="J5626" i="34" a="1"/>
  <c r="J5627" i="34" a="1"/>
  <c r="J5628" i="34" a="1"/>
  <c r="J5629" i="34" a="1"/>
  <c r="J5630" i="34" a="1"/>
  <c r="J5631" i="34" a="1"/>
  <c r="J5632" i="34" a="1"/>
  <c r="J5633" i="34" a="1"/>
  <c r="J5634" i="34" a="1"/>
  <c r="J5635" i="34" a="1"/>
  <c r="J5636" i="34" a="1"/>
  <c r="J5637" i="34" a="1"/>
  <c r="J5638" i="34" a="1"/>
  <c r="J5639" i="34" a="1"/>
  <c r="J5640" i="34" a="1"/>
  <c r="J5641" i="34" a="1"/>
  <c r="J5642" i="34" a="1"/>
  <c r="J5643" i="34" a="1"/>
  <c r="J5644" i="34" a="1"/>
  <c r="J5645" i="34" a="1"/>
  <c r="J5646" i="34" a="1"/>
  <c r="J5647" i="34" a="1"/>
  <c r="J5648" i="34" a="1"/>
  <c r="J5649" i="34" a="1"/>
  <c r="J5650" i="34" a="1"/>
  <c r="J5651" i="34" a="1"/>
  <c r="J5652" i="34" a="1"/>
  <c r="J5653" i="34" a="1"/>
  <c r="J5654" i="34" a="1"/>
  <c r="J5655" i="34" a="1"/>
  <c r="J5656" i="34" a="1"/>
  <c r="J5657" i="34" a="1"/>
  <c r="J5658" i="34" a="1"/>
  <c r="J5659" i="34" a="1"/>
  <c r="J5660" i="34" a="1"/>
  <c r="J5661" i="34" a="1"/>
  <c r="J5662" i="34" a="1"/>
  <c r="J5663" i="34" a="1"/>
  <c r="J5664" i="34" a="1"/>
  <c r="J5665" i="34" a="1"/>
  <c r="J5666" i="34" a="1"/>
  <c r="J5667" i="34" a="1"/>
  <c r="J5668" i="34" a="1"/>
  <c r="J5669" i="34" a="1"/>
  <c r="J5670" i="34" a="1"/>
  <c r="J5671" i="34" a="1"/>
  <c r="J5672" i="34" a="1"/>
  <c r="J5673" i="34" a="1"/>
  <c r="J5674" i="34" a="1"/>
  <c r="J5675" i="34" a="1"/>
  <c r="J5676" i="34" a="1"/>
  <c r="J5677" i="34" a="1"/>
  <c r="J5678" i="34" a="1"/>
  <c r="J5679" i="34" a="1"/>
  <c r="J5680" i="34" a="1"/>
  <c r="J5681" i="34" a="1"/>
  <c r="J5682" i="34" a="1"/>
  <c r="J5683" i="34" a="1"/>
  <c r="J5684" i="34" a="1"/>
  <c r="J5685" i="34" a="1"/>
  <c r="J5686" i="34" a="1"/>
  <c r="J5687" i="34" a="1"/>
  <c r="J5688" i="34" a="1"/>
  <c r="J5689" i="34" a="1"/>
  <c r="J5690" i="34" a="1"/>
  <c r="J5691" i="34" a="1"/>
  <c r="J5692" i="34" a="1"/>
  <c r="J5693" i="34" a="1"/>
  <c r="J5694" i="34" a="1"/>
  <c r="J5695" i="34" a="1"/>
  <c r="J5696" i="34" a="1"/>
  <c r="J5697" i="34" a="1"/>
  <c r="J5698" i="34" a="1"/>
  <c r="J5699" i="34" a="1"/>
  <c r="J5700" i="34" a="1"/>
  <c r="J5701" i="34" a="1"/>
  <c r="J5702" i="34" a="1"/>
  <c r="J5703" i="34" a="1"/>
  <c r="J5704" i="34" a="1"/>
  <c r="J5705" i="34" a="1"/>
  <c r="J5706" i="34" a="1"/>
  <c r="J5707" i="34" a="1"/>
  <c r="J5708" i="34" a="1"/>
  <c r="J5709" i="34" a="1"/>
  <c r="J5710" i="34" a="1"/>
  <c r="J5711" i="34" a="1"/>
  <c r="J5712" i="34" a="1"/>
  <c r="J5713" i="34" a="1"/>
  <c r="J5714" i="34" a="1"/>
  <c r="J5715" i="34" a="1"/>
  <c r="J5716" i="34" a="1"/>
  <c r="J5717" i="34" a="1"/>
  <c r="J5718" i="34" a="1"/>
  <c r="J5719" i="34" a="1"/>
  <c r="J5720" i="34" a="1"/>
  <c r="J5721" i="34" a="1"/>
  <c r="J5722" i="34" a="1"/>
  <c r="J5723" i="34" a="1"/>
  <c r="J5724" i="34" a="1"/>
  <c r="J5725" i="34" a="1"/>
  <c r="J5726" i="34" a="1"/>
  <c r="J5727" i="34" a="1"/>
  <c r="J5728" i="34" a="1"/>
  <c r="J5729" i="34" a="1"/>
  <c r="J5730" i="34" a="1"/>
  <c r="J5731" i="34" a="1"/>
  <c r="J5732" i="34" a="1"/>
  <c r="J5733" i="34" a="1"/>
  <c r="J5734" i="34" a="1"/>
  <c r="J5735" i="34" a="1"/>
  <c r="J5736" i="34" a="1"/>
  <c r="J5737" i="34" a="1"/>
  <c r="J5738" i="34" a="1"/>
  <c r="J5739" i="34" a="1"/>
  <c r="J5740" i="34" a="1"/>
  <c r="J5741" i="34" a="1"/>
  <c r="J5742" i="34" a="1"/>
  <c r="J5743" i="34" a="1"/>
  <c r="J5744" i="34" a="1"/>
  <c r="J5745" i="34" a="1"/>
  <c r="J5746" i="34" a="1"/>
  <c r="J5747" i="34" a="1"/>
  <c r="J5748" i="34" a="1"/>
  <c r="J5749" i="34" a="1"/>
  <c r="J5750" i="34" a="1"/>
  <c r="J5751" i="34" a="1"/>
  <c r="J5752" i="34" a="1"/>
  <c r="J5753" i="34" a="1"/>
  <c r="J5754" i="34" a="1"/>
  <c r="J5755" i="34" a="1"/>
  <c r="J5756" i="34" a="1"/>
  <c r="J5757" i="34" a="1"/>
  <c r="J5758" i="34" a="1"/>
  <c r="J5759" i="34" a="1"/>
  <c r="J5760" i="34" a="1"/>
  <c r="J5761" i="34" a="1"/>
  <c r="J5762" i="34" a="1"/>
  <c r="J5763" i="34" a="1"/>
  <c r="J5764" i="34" a="1"/>
  <c r="J5765" i="34" a="1"/>
  <c r="J5766" i="34" a="1"/>
  <c r="J5767" i="34" a="1"/>
  <c r="J5768" i="34" a="1"/>
  <c r="J5769" i="34" a="1"/>
  <c r="J5770" i="34" a="1"/>
  <c r="J5771" i="34" a="1"/>
  <c r="J5772" i="34" a="1"/>
  <c r="J5773" i="34" a="1"/>
  <c r="J5774" i="34" a="1"/>
  <c r="J5775" i="34" a="1"/>
  <c r="J5776" i="34" a="1"/>
  <c r="J5777" i="34" a="1"/>
  <c r="J5778" i="34" a="1"/>
  <c r="J5779" i="34" a="1"/>
  <c r="J5780" i="34" a="1"/>
  <c r="J5781" i="34" a="1"/>
  <c r="J5782" i="34" a="1"/>
  <c r="J5783" i="34" a="1"/>
  <c r="J5784" i="34" a="1"/>
  <c r="J5785" i="34" a="1"/>
  <c r="J5786" i="34" a="1"/>
  <c r="J5787" i="34" a="1"/>
  <c r="J5788" i="34" a="1"/>
  <c r="J5789" i="34" a="1"/>
  <c r="J5790" i="34" a="1"/>
  <c r="J5791" i="34" a="1"/>
  <c r="J5792" i="34" a="1"/>
  <c r="J5793" i="34" a="1"/>
  <c r="J5794" i="34" a="1"/>
  <c r="J5795" i="34" a="1"/>
  <c r="J5796" i="34" a="1"/>
  <c r="J5797" i="34" a="1"/>
  <c r="J5798" i="34" a="1"/>
  <c r="J5799" i="34" a="1"/>
  <c r="J5800" i="34" a="1"/>
  <c r="J5801" i="34" a="1"/>
  <c r="J5802" i="34" a="1"/>
  <c r="J5803" i="34" a="1"/>
  <c r="J5804" i="34" a="1"/>
  <c r="J5805" i="34" a="1"/>
  <c r="J5806" i="34" a="1"/>
  <c r="J5807" i="34" a="1"/>
  <c r="J5808" i="34" a="1"/>
  <c r="J5809" i="34" a="1"/>
  <c r="J5810" i="34" a="1"/>
  <c r="J5811" i="34" a="1"/>
  <c r="J5812" i="34" a="1"/>
  <c r="J5813" i="34" a="1"/>
  <c r="J5814" i="34" a="1"/>
  <c r="J5815" i="34" a="1"/>
  <c r="J5816" i="34" a="1"/>
  <c r="J5817" i="34" a="1"/>
  <c r="J5818" i="34" a="1"/>
  <c r="J5819" i="34" a="1"/>
  <c r="J5820" i="34" a="1"/>
  <c r="J5821" i="34" a="1"/>
  <c r="J5822" i="34" a="1"/>
  <c r="J5823" i="34" a="1"/>
  <c r="J5824" i="34" a="1"/>
  <c r="J5825" i="34" a="1"/>
  <c r="J5826" i="34" a="1"/>
  <c r="J5827" i="34" a="1"/>
  <c r="J5828" i="34" a="1"/>
  <c r="J5829" i="34" a="1"/>
  <c r="J5830" i="34" a="1"/>
  <c r="J5831" i="34" a="1"/>
  <c r="J5832" i="34" a="1"/>
  <c r="J5833" i="34" a="1"/>
  <c r="J5834" i="34" a="1"/>
  <c r="J5835" i="34" a="1"/>
  <c r="J5836" i="34" a="1"/>
  <c r="J5837" i="34" a="1"/>
  <c r="J5838" i="34" a="1"/>
  <c r="J5839" i="34" a="1"/>
  <c r="J5840" i="34" a="1"/>
  <c r="J5841" i="34" a="1"/>
  <c r="J5842" i="34" a="1"/>
  <c r="J5843" i="34" a="1"/>
  <c r="J5844" i="34" a="1"/>
  <c r="J5845" i="34" a="1"/>
  <c r="J5846" i="34" a="1"/>
  <c r="J5847" i="34" a="1"/>
  <c r="J5848" i="34" a="1"/>
  <c r="J5849" i="34" a="1"/>
  <c r="J5850" i="34" a="1"/>
  <c r="J5851" i="34" a="1"/>
  <c r="J5852" i="34" a="1"/>
  <c r="J5853" i="34" a="1"/>
  <c r="J5854" i="34" a="1"/>
  <c r="J5855" i="34" a="1"/>
  <c r="J5856" i="34" a="1"/>
  <c r="J5857" i="34" a="1"/>
  <c r="J5858" i="34" a="1"/>
  <c r="J5859" i="34" a="1"/>
  <c r="J5860" i="34" a="1"/>
  <c r="J5861" i="34" a="1"/>
  <c r="J5862" i="34" a="1"/>
  <c r="J5863" i="34" a="1"/>
  <c r="J5864" i="34" a="1"/>
  <c r="J5865" i="34" a="1"/>
  <c r="J5866" i="34" a="1"/>
  <c r="J5867" i="34" a="1"/>
  <c r="J5868" i="34" a="1"/>
  <c r="J5869" i="34" a="1"/>
  <c r="J5870" i="34" a="1"/>
  <c r="J5871" i="34" a="1"/>
  <c r="J5872" i="34" a="1"/>
  <c r="J5873" i="34" a="1"/>
  <c r="J5874" i="34" a="1"/>
  <c r="J5875" i="34" a="1"/>
  <c r="J5876" i="34" a="1"/>
  <c r="J5877" i="34" a="1"/>
  <c r="J5878" i="34" a="1"/>
  <c r="J5879" i="34" a="1"/>
  <c r="J5880" i="34" a="1"/>
  <c r="J5881" i="34" a="1"/>
  <c r="J5882" i="34" a="1"/>
  <c r="J5883" i="34" a="1"/>
  <c r="J5884" i="34" a="1"/>
  <c r="J5885" i="34" a="1"/>
  <c r="J5886" i="34" a="1"/>
  <c r="J5887" i="34" a="1"/>
  <c r="J5888" i="34" a="1"/>
  <c r="J5889" i="34" a="1"/>
  <c r="J5890" i="34" a="1"/>
  <c r="J5891" i="34" a="1"/>
  <c r="J5892" i="34" a="1"/>
  <c r="J5893" i="34" a="1"/>
  <c r="J5894" i="34" a="1"/>
  <c r="J5895" i="34" a="1"/>
  <c r="J5896" i="34" a="1"/>
  <c r="J5897" i="34" a="1"/>
  <c r="J5898" i="34" a="1"/>
  <c r="J5899" i="34" a="1"/>
  <c r="J5900" i="34" a="1"/>
  <c r="J5901" i="34" a="1"/>
  <c r="J5902" i="34" a="1"/>
  <c r="J5903" i="34" a="1"/>
  <c r="J5904" i="34" a="1"/>
  <c r="J5905" i="34" a="1"/>
  <c r="J5906" i="34" a="1"/>
  <c r="J5907" i="34" a="1"/>
  <c r="J5908" i="34" a="1"/>
  <c r="J5909" i="34" a="1"/>
  <c r="J5910" i="34" a="1"/>
  <c r="J5911" i="34" a="1"/>
  <c r="J5912" i="34" a="1"/>
  <c r="J5913" i="34" a="1"/>
  <c r="J5914" i="34" a="1"/>
  <c r="J5915" i="34" a="1"/>
  <c r="J5916" i="34" a="1"/>
  <c r="J5917" i="34" a="1"/>
  <c r="J5918" i="34" a="1"/>
  <c r="J5919" i="34" a="1"/>
  <c r="J5920" i="34" a="1"/>
  <c r="J5921" i="34" a="1"/>
  <c r="J5922" i="34" a="1"/>
  <c r="J5923" i="34" a="1"/>
  <c r="J5924" i="34" a="1"/>
  <c r="J5925" i="34" a="1"/>
  <c r="J5926" i="34" a="1"/>
  <c r="J5927" i="34" a="1"/>
  <c r="J5928" i="34" a="1"/>
  <c r="J5929" i="34" a="1"/>
  <c r="J5930" i="34" a="1"/>
  <c r="J5931" i="34" a="1"/>
  <c r="J5932" i="34" a="1"/>
  <c r="J5933" i="34" a="1"/>
  <c r="J5934" i="34" a="1"/>
  <c r="J5935" i="34" a="1"/>
  <c r="J5936" i="34" a="1"/>
  <c r="J5937" i="34" a="1"/>
  <c r="J5938" i="34" a="1"/>
  <c r="J5939" i="34" a="1"/>
  <c r="J5940" i="34" a="1"/>
  <c r="J5941" i="34" a="1"/>
  <c r="J5942" i="34" a="1"/>
  <c r="J5943" i="34" a="1"/>
  <c r="J5944" i="34" a="1"/>
  <c r="J5945" i="34" a="1"/>
  <c r="J5946" i="34" a="1"/>
  <c r="J5947" i="34" a="1"/>
  <c r="J5948" i="34" a="1"/>
  <c r="J5949" i="34" a="1"/>
  <c r="J5950" i="34" a="1"/>
  <c r="J5951" i="34" a="1"/>
  <c r="J5952" i="34" a="1"/>
  <c r="J5953" i="34" a="1"/>
  <c r="J5954" i="34" a="1"/>
  <c r="J5955" i="34" a="1"/>
  <c r="J5956" i="34" a="1"/>
  <c r="J5957" i="34" a="1"/>
  <c r="J5958" i="34" a="1"/>
  <c r="J5959" i="34" a="1"/>
  <c r="J5960" i="34" a="1"/>
  <c r="J5961" i="34" a="1"/>
  <c r="J5962" i="34" a="1"/>
  <c r="J5963" i="34" a="1"/>
  <c r="J5964" i="34" a="1"/>
  <c r="J5965" i="34" a="1"/>
  <c r="J5966" i="34" a="1"/>
  <c r="J5967" i="34" a="1"/>
  <c r="J5968" i="34" a="1"/>
  <c r="J5969" i="34" a="1"/>
  <c r="J5970" i="34" a="1"/>
  <c r="J5971" i="34" a="1"/>
  <c r="J5972" i="34" a="1"/>
  <c r="J5973" i="34" a="1"/>
  <c r="J5974" i="34" a="1"/>
  <c r="J5975" i="34" a="1"/>
  <c r="J5976" i="34" a="1"/>
  <c r="J5977" i="34" a="1"/>
  <c r="J5978" i="34" a="1"/>
  <c r="J5979" i="34" a="1"/>
  <c r="J5980" i="34" a="1"/>
  <c r="J5981" i="34" a="1"/>
  <c r="J5982" i="34" a="1"/>
  <c r="J5983" i="34" a="1"/>
  <c r="J5984" i="34" a="1"/>
  <c r="J5985" i="34" a="1"/>
  <c r="J5986" i="34" a="1"/>
  <c r="J5987" i="34" a="1"/>
  <c r="J5988" i="34" a="1"/>
  <c r="J5989" i="34" a="1"/>
  <c r="J5990" i="34" a="1"/>
  <c r="J5991" i="34" a="1"/>
  <c r="J5992" i="34" a="1"/>
  <c r="J5993" i="34" a="1"/>
  <c r="J5994" i="34" a="1"/>
  <c r="J5995" i="34" a="1"/>
  <c r="J5996" i="34" a="1"/>
  <c r="J5997" i="34" a="1"/>
  <c r="J5998" i="34" a="1"/>
  <c r="J5999" i="34" a="1"/>
  <c r="J6000" i="34" a="1"/>
  <c r="J6001" i="34" a="1"/>
  <c r="J6002" i="34" a="1"/>
  <c r="J6003" i="34" a="1"/>
  <c r="J6004" i="34" a="1"/>
  <c r="J6005" i="34" a="1"/>
  <c r="J6006" i="34" a="1"/>
  <c r="J6007" i="34" a="1"/>
  <c r="J6008" i="34" a="1"/>
  <c r="J6009" i="34" a="1"/>
  <c r="J6010" i="34" a="1"/>
  <c r="J6011" i="34" a="1"/>
  <c r="J6012" i="34" a="1"/>
  <c r="J6013" i="34" a="1"/>
  <c r="J6014" i="34" a="1"/>
  <c r="J6015" i="34" a="1"/>
  <c r="J6016" i="34" a="1"/>
  <c r="J6017" i="34" a="1"/>
  <c r="J6018" i="34" a="1"/>
  <c r="J6019" i="34" a="1"/>
  <c r="J6020" i="34" a="1"/>
  <c r="J6021" i="34" a="1"/>
  <c r="J6022" i="34" a="1"/>
  <c r="J6023" i="34" a="1"/>
  <c r="J6024" i="34" a="1"/>
  <c r="J6025" i="34" a="1"/>
  <c r="J6026" i="34" a="1"/>
  <c r="J6027" i="34" a="1"/>
  <c r="J6028" i="34" a="1"/>
  <c r="J6029" i="34" a="1"/>
  <c r="J6030" i="34" a="1"/>
  <c r="J6031" i="34" a="1"/>
  <c r="J6032" i="34" a="1"/>
  <c r="J6033" i="34" a="1"/>
  <c r="J6034" i="34" a="1"/>
  <c r="J6035" i="34" a="1"/>
  <c r="J6036" i="34" a="1"/>
  <c r="J6037" i="34" a="1"/>
  <c r="J6038" i="34" a="1"/>
  <c r="J6039" i="34" a="1"/>
  <c r="J6040" i="34" a="1"/>
  <c r="J6041" i="34" a="1"/>
  <c r="J6042" i="34" a="1"/>
  <c r="J6043" i="34" a="1"/>
  <c r="J6044" i="34" a="1"/>
  <c r="J6045" i="34" a="1"/>
  <c r="J6046" i="34" a="1"/>
  <c r="J6047" i="34" a="1"/>
  <c r="J6048" i="34" a="1"/>
  <c r="J6049" i="34" a="1"/>
  <c r="J6050" i="34" a="1"/>
  <c r="J6051" i="34" a="1"/>
  <c r="J6052" i="34" a="1"/>
  <c r="J6053" i="34" a="1"/>
  <c r="J6054" i="34" a="1"/>
  <c r="J6055" i="34" a="1"/>
  <c r="J6056" i="34" a="1"/>
  <c r="J6057" i="34" a="1"/>
  <c r="J6058" i="34" a="1"/>
  <c r="J6059" i="34" a="1"/>
  <c r="J6060" i="34" a="1"/>
  <c r="J6061" i="34" a="1"/>
  <c r="J6062" i="34" a="1"/>
  <c r="J6063" i="34" a="1"/>
  <c r="J6064" i="34" a="1"/>
  <c r="J6065" i="34" a="1"/>
  <c r="J6066" i="34" a="1"/>
  <c r="J6067" i="34" a="1"/>
  <c r="J6068" i="34" a="1"/>
  <c r="J6069" i="34" a="1"/>
  <c r="J6070" i="34" a="1"/>
  <c r="J6071" i="34" a="1"/>
  <c r="J6072" i="34" a="1"/>
  <c r="J6073" i="34" a="1"/>
  <c r="J6074" i="34" a="1"/>
  <c r="J6075" i="34" a="1"/>
  <c r="J6076" i="34" a="1"/>
  <c r="J6077" i="34" a="1"/>
  <c r="J6078" i="34" a="1"/>
  <c r="J6079" i="34" a="1"/>
  <c r="J6080" i="34" a="1"/>
  <c r="J6081" i="34" a="1"/>
  <c r="J6082" i="34" a="1"/>
  <c r="J6083" i="34" a="1"/>
  <c r="J6084" i="34" a="1"/>
  <c r="J6085" i="34" a="1"/>
  <c r="J6086" i="34" a="1"/>
  <c r="J6087" i="34" a="1"/>
  <c r="J6088" i="34" a="1"/>
  <c r="J6089" i="34" a="1"/>
  <c r="J6090" i="34" a="1"/>
  <c r="J6091" i="34" a="1"/>
  <c r="J6092" i="34" a="1"/>
  <c r="J6093" i="34" a="1"/>
  <c r="J6094" i="34" a="1"/>
  <c r="J6095" i="34" a="1"/>
  <c r="J6096" i="34" a="1"/>
  <c r="J6097" i="34" a="1"/>
  <c r="J6098" i="34" a="1"/>
  <c r="J6099" i="34" a="1"/>
  <c r="J6100" i="34" a="1"/>
  <c r="J6101" i="34" a="1"/>
  <c r="J6102" i="34" a="1"/>
  <c r="J6103" i="34" a="1"/>
  <c r="J6104" i="34" a="1"/>
  <c r="J6105" i="34" a="1"/>
  <c r="J6106" i="34" a="1"/>
  <c r="J6107" i="34" a="1"/>
  <c r="J6108" i="34" a="1"/>
  <c r="J6109" i="34" a="1"/>
  <c r="J6110" i="34" a="1"/>
  <c r="J6111" i="34" a="1"/>
  <c r="J6112" i="34" a="1"/>
  <c r="J6113" i="34" a="1"/>
  <c r="J6114" i="34" a="1"/>
  <c r="J6115" i="34" a="1"/>
  <c r="J6116" i="34" a="1"/>
  <c r="J6117" i="34" a="1"/>
  <c r="J6118" i="34" a="1"/>
  <c r="J6119" i="34" a="1"/>
  <c r="J6120" i="34" a="1"/>
  <c r="J6121" i="34" a="1"/>
  <c r="J6122" i="34" a="1"/>
  <c r="J6123" i="34" a="1"/>
  <c r="J6124" i="34" a="1"/>
  <c r="J6125" i="34" a="1"/>
  <c r="J6126" i="34" a="1"/>
  <c r="J6127" i="34" a="1"/>
  <c r="J6128" i="34" a="1"/>
  <c r="J6129" i="34" a="1"/>
  <c r="J6130" i="34" a="1"/>
  <c r="J6131" i="34" a="1"/>
  <c r="J6132" i="34" a="1"/>
  <c r="J6133" i="34" a="1"/>
  <c r="J6134" i="34" a="1"/>
  <c r="J6135" i="34" a="1"/>
  <c r="J6136" i="34" a="1"/>
  <c r="J6137" i="34" a="1"/>
  <c r="J6138" i="34" a="1"/>
  <c r="J6139" i="34" a="1"/>
  <c r="J6140" i="34" a="1"/>
  <c r="J6141" i="34" a="1"/>
  <c r="J6142" i="34" a="1"/>
  <c r="J6143" i="34" a="1"/>
  <c r="J6144" i="34" a="1"/>
  <c r="J6145" i="34" a="1"/>
  <c r="J6146" i="34" a="1"/>
  <c r="J6147" i="34" a="1"/>
  <c r="J6148" i="34" a="1"/>
  <c r="J6149" i="34" a="1"/>
  <c r="J6150" i="34" a="1"/>
  <c r="J6151" i="34" a="1"/>
  <c r="J6152" i="34" a="1"/>
  <c r="J6153" i="34" a="1"/>
  <c r="J6154" i="34" a="1"/>
  <c r="J6155" i="34" a="1"/>
  <c r="J6156" i="34" a="1"/>
  <c r="J6157" i="34" a="1"/>
  <c r="J6158" i="34" a="1"/>
  <c r="J6159" i="34" a="1"/>
  <c r="J6160" i="34" a="1"/>
  <c r="J6161" i="34" a="1"/>
  <c r="J6162" i="34" a="1"/>
  <c r="J6163" i="34" a="1"/>
  <c r="J6164" i="34" a="1"/>
  <c r="J6165" i="34" a="1"/>
  <c r="J6166" i="34" a="1"/>
  <c r="J6167" i="34" a="1"/>
  <c r="J6168" i="34" a="1"/>
  <c r="J6169" i="34" a="1"/>
  <c r="J6170" i="34" a="1"/>
  <c r="J6171" i="34" a="1"/>
  <c r="J6172" i="34" a="1"/>
  <c r="J6173" i="34" a="1"/>
  <c r="J6174" i="34" a="1"/>
  <c r="J6175" i="34" a="1"/>
  <c r="J6176" i="34" a="1"/>
  <c r="J6177" i="34" a="1"/>
  <c r="J6178" i="34" a="1"/>
  <c r="J6179" i="34" a="1"/>
  <c r="J6180" i="34" a="1"/>
  <c r="J6181" i="34" a="1"/>
  <c r="J6182" i="34" a="1"/>
  <c r="J6183" i="34" a="1"/>
  <c r="J6184" i="34" a="1"/>
  <c r="J6185" i="34" a="1"/>
  <c r="J6186" i="34" a="1"/>
  <c r="J6187" i="34" a="1"/>
  <c r="J6188" i="34" a="1"/>
  <c r="J6189" i="34" a="1"/>
  <c r="J6190" i="34" a="1"/>
  <c r="J6191" i="34" a="1"/>
  <c r="J6192" i="34" a="1"/>
  <c r="J6193" i="34" a="1"/>
  <c r="J6194" i="34" a="1"/>
  <c r="J6195" i="34" a="1"/>
  <c r="J6196" i="34" a="1"/>
  <c r="J6197" i="34" a="1"/>
  <c r="J6198" i="34" a="1"/>
  <c r="J6199" i="34" a="1"/>
  <c r="J6200" i="34" a="1"/>
  <c r="J6201" i="34" a="1"/>
  <c r="J6202" i="34" a="1"/>
  <c r="J6203" i="34" a="1"/>
  <c r="J6204" i="34" a="1"/>
  <c r="J6205" i="34" a="1"/>
  <c r="J6206" i="34" a="1"/>
  <c r="J6207" i="34" a="1"/>
  <c r="J6208" i="34" a="1"/>
  <c r="J6209" i="34" a="1"/>
  <c r="J6210" i="34" a="1"/>
  <c r="J6211" i="34" a="1"/>
  <c r="J6212" i="34" a="1"/>
  <c r="J6213" i="34" a="1"/>
  <c r="J6214" i="34" a="1"/>
  <c r="J6215" i="34" a="1"/>
  <c r="J6216" i="34" a="1"/>
  <c r="J6217" i="34" a="1"/>
  <c r="J6218" i="34" a="1"/>
  <c r="J6219" i="34" a="1"/>
  <c r="J6220" i="34" a="1"/>
  <c r="J6221" i="34" a="1"/>
  <c r="J6222" i="34" a="1"/>
  <c r="J6223" i="34" a="1"/>
  <c r="J6224" i="34" a="1"/>
  <c r="J6225" i="34" a="1"/>
  <c r="J6226" i="34" a="1"/>
  <c r="J6227" i="34" a="1"/>
  <c r="J6228" i="34" a="1"/>
  <c r="J6229" i="34" a="1"/>
  <c r="J6230" i="34" a="1"/>
  <c r="J6231" i="34" a="1"/>
  <c r="J6232" i="34" a="1"/>
  <c r="J6233" i="34" a="1"/>
  <c r="J6234" i="34" a="1"/>
  <c r="J6235" i="34" a="1"/>
  <c r="J6236" i="34" a="1"/>
  <c r="J6237" i="34" a="1"/>
  <c r="J6238" i="34" a="1"/>
  <c r="J6239" i="34" a="1"/>
  <c r="J6240" i="34" a="1"/>
  <c r="J6241" i="34" a="1"/>
  <c r="J6242" i="34" a="1"/>
  <c r="J6243" i="34" a="1"/>
  <c r="J6244" i="34" a="1"/>
  <c r="J6245" i="34" a="1"/>
  <c r="J6246" i="34" a="1"/>
  <c r="J6247" i="34" a="1"/>
  <c r="J6248" i="34" a="1"/>
  <c r="J6249" i="34" a="1"/>
  <c r="J6250" i="34" a="1"/>
  <c r="J6251" i="34" a="1"/>
  <c r="J6252" i="34" a="1"/>
  <c r="J6253" i="34" a="1"/>
  <c r="J6254" i="34" a="1"/>
  <c r="J6255" i="34" a="1"/>
  <c r="J6256" i="34" a="1"/>
  <c r="J6257" i="34" a="1"/>
  <c r="J6258" i="34" a="1"/>
  <c r="J6259" i="34" a="1"/>
  <c r="J6260" i="34" a="1"/>
  <c r="J6261" i="34" a="1"/>
  <c r="J6262" i="34" a="1"/>
  <c r="J6263" i="34" a="1"/>
  <c r="J6264" i="34" a="1"/>
  <c r="J6265" i="34" a="1"/>
  <c r="J6266" i="34" a="1"/>
  <c r="J6267" i="34" a="1"/>
  <c r="J6268" i="34" a="1"/>
  <c r="J6269" i="34" a="1"/>
  <c r="J6270" i="34" a="1"/>
  <c r="J6271" i="34" a="1"/>
  <c r="J6272" i="34" a="1"/>
  <c r="J6273" i="34" a="1"/>
  <c r="J6274" i="34" a="1"/>
  <c r="J6275" i="34" a="1"/>
  <c r="J6276" i="34" a="1"/>
  <c r="J6277" i="34" a="1"/>
  <c r="J6278" i="34" a="1"/>
  <c r="J6279" i="34" a="1"/>
  <c r="J6280" i="34" a="1"/>
  <c r="J6281" i="34" a="1"/>
  <c r="J6282" i="34" a="1"/>
  <c r="J6283" i="34" a="1"/>
  <c r="J6284" i="34" a="1"/>
  <c r="J6285" i="34" a="1"/>
  <c r="J6286" i="34" a="1"/>
  <c r="J6287" i="34" a="1"/>
  <c r="J6288" i="34" a="1"/>
  <c r="J6289" i="34" a="1"/>
  <c r="J6290" i="34" a="1"/>
  <c r="J6291" i="34" a="1"/>
  <c r="J6292" i="34" a="1"/>
  <c r="J6293" i="34" a="1"/>
  <c r="J6294" i="34" a="1"/>
  <c r="J6295" i="34" a="1"/>
  <c r="J6296" i="34" a="1"/>
  <c r="J6297" i="34" a="1"/>
  <c r="J6298" i="34" a="1"/>
  <c r="J6299" i="34" a="1"/>
  <c r="J6300" i="34" a="1"/>
  <c r="J6301" i="34" a="1"/>
  <c r="J6302" i="34" a="1"/>
  <c r="J6303" i="34" a="1"/>
  <c r="J6304" i="34" a="1"/>
  <c r="J6305" i="34" a="1"/>
  <c r="J6306" i="34" a="1"/>
  <c r="J6307" i="34" a="1"/>
  <c r="J6308" i="34" a="1"/>
  <c r="J6309" i="34" a="1"/>
  <c r="J6310" i="34" a="1"/>
  <c r="J6311" i="34" a="1"/>
  <c r="J6312" i="34" a="1"/>
  <c r="J6313" i="34" a="1"/>
  <c r="J6314" i="34" a="1"/>
  <c r="J6315" i="34" a="1"/>
  <c r="J6316" i="34" a="1"/>
  <c r="J6317" i="34" a="1"/>
  <c r="J6318" i="34" a="1"/>
  <c r="J6319" i="34" a="1"/>
  <c r="J6320" i="34" a="1"/>
  <c r="J6321" i="34" a="1"/>
  <c r="J6322" i="34" a="1"/>
  <c r="J6323" i="34" a="1"/>
  <c r="J6324" i="34" a="1"/>
  <c r="J6325" i="34" a="1"/>
  <c r="J6326" i="34" a="1"/>
  <c r="J6327" i="34" a="1"/>
  <c r="J6328" i="34" a="1"/>
  <c r="J6329" i="34" a="1"/>
  <c r="J6330" i="34" a="1"/>
  <c r="J6331" i="34" a="1"/>
  <c r="J6332" i="34" a="1"/>
  <c r="J6333" i="34" a="1"/>
  <c r="J6334" i="34" a="1"/>
  <c r="J6335" i="34" a="1"/>
  <c r="J6336" i="34" a="1"/>
  <c r="J6337" i="34" a="1"/>
  <c r="J6338" i="34" a="1"/>
  <c r="J6339" i="34" a="1"/>
  <c r="J6340" i="34" a="1"/>
  <c r="J6341" i="34" a="1"/>
  <c r="J6342" i="34" a="1"/>
  <c r="J6343" i="34" a="1"/>
  <c r="J6344" i="34" a="1"/>
  <c r="J6345" i="34" a="1"/>
  <c r="J6346" i="34" a="1"/>
  <c r="J6347" i="34" a="1"/>
  <c r="J6348" i="34" a="1"/>
  <c r="J6349" i="34" a="1"/>
  <c r="J6350" i="34" a="1"/>
  <c r="J6351" i="34" a="1"/>
  <c r="J6352" i="34" a="1"/>
  <c r="J6353" i="34" a="1"/>
  <c r="J6354" i="34" a="1"/>
  <c r="J6355" i="34" a="1"/>
  <c r="J6356" i="34" a="1"/>
  <c r="J6357" i="34" a="1"/>
  <c r="J6358" i="34" a="1"/>
  <c r="J6359" i="34" a="1"/>
  <c r="J6360" i="34" a="1"/>
  <c r="J6361" i="34" a="1"/>
  <c r="J6362" i="34" a="1"/>
  <c r="J6363" i="34" a="1"/>
  <c r="J6364" i="34" a="1"/>
  <c r="J6365" i="34" a="1"/>
  <c r="J6366" i="34" a="1"/>
  <c r="J6367" i="34" a="1"/>
  <c r="J6368" i="34" a="1"/>
  <c r="J6369" i="34" a="1"/>
  <c r="J6370" i="34" a="1"/>
  <c r="J6371" i="34" a="1"/>
  <c r="J6372" i="34" a="1"/>
  <c r="J6373" i="34" a="1"/>
  <c r="J6374" i="34" a="1"/>
  <c r="J6375" i="34" a="1"/>
  <c r="J6376" i="34" a="1"/>
  <c r="J6377" i="34" a="1"/>
  <c r="J6378" i="34" a="1"/>
  <c r="J6379" i="34" a="1"/>
  <c r="J6380" i="34" a="1"/>
  <c r="J6381" i="34" a="1"/>
  <c r="J6382" i="34" a="1"/>
  <c r="J6383" i="34" a="1"/>
  <c r="J6384" i="34" a="1"/>
  <c r="J6385" i="34" a="1"/>
  <c r="J6386" i="34" a="1"/>
  <c r="J6387" i="34" a="1"/>
  <c r="J6388" i="34" a="1"/>
  <c r="J6389" i="34" a="1"/>
  <c r="J6390" i="34" a="1"/>
  <c r="J6391" i="34" a="1"/>
  <c r="J6392" i="34" a="1"/>
  <c r="J6393" i="34" a="1"/>
  <c r="J6394" i="34" a="1"/>
  <c r="J6395" i="34" a="1"/>
  <c r="J6396" i="34" a="1"/>
  <c r="J6397" i="34" a="1"/>
  <c r="J6398" i="34" a="1"/>
  <c r="J6399" i="34" a="1"/>
  <c r="J6400" i="34" a="1"/>
  <c r="J6401" i="34" a="1"/>
  <c r="J6402" i="34" a="1"/>
  <c r="J6403" i="34" a="1"/>
  <c r="J6404" i="34" a="1"/>
  <c r="J6405" i="34" a="1"/>
  <c r="J6406" i="34" a="1"/>
  <c r="J6407" i="34" a="1"/>
  <c r="J6408" i="34" a="1"/>
  <c r="J6409" i="34" a="1"/>
  <c r="J6410" i="34" a="1"/>
  <c r="J6411" i="34" a="1"/>
  <c r="J6412" i="34" a="1"/>
  <c r="J6413" i="34" a="1"/>
  <c r="J6414" i="34" a="1"/>
  <c r="J6415" i="34" a="1"/>
  <c r="J6416" i="34" a="1"/>
  <c r="J6417" i="34" a="1"/>
  <c r="J6418" i="34" a="1"/>
  <c r="J6419" i="34" a="1"/>
  <c r="J6420" i="34" a="1"/>
  <c r="J6421" i="34" a="1"/>
  <c r="J6422" i="34" a="1"/>
  <c r="J6423" i="34" a="1"/>
  <c r="J6424" i="34" a="1"/>
  <c r="J6425" i="34" a="1"/>
  <c r="J6426" i="34" a="1"/>
  <c r="J6427" i="34" a="1"/>
  <c r="J6428" i="34" a="1"/>
  <c r="J6429" i="34" a="1"/>
  <c r="J6430" i="34" a="1"/>
  <c r="J6431" i="34" a="1"/>
  <c r="J6432" i="34" a="1"/>
  <c r="J6433" i="34" a="1"/>
  <c r="J6434" i="34" a="1"/>
  <c r="J6435" i="34" a="1"/>
  <c r="J6436" i="34" a="1"/>
  <c r="J6437" i="34" a="1"/>
  <c r="J6438" i="34" a="1"/>
  <c r="J6439" i="34" a="1"/>
  <c r="J6440" i="34" a="1"/>
  <c r="J6441" i="34" a="1"/>
  <c r="J6442" i="34" a="1"/>
  <c r="J6443" i="34" a="1"/>
  <c r="J6444" i="34" a="1"/>
  <c r="J6445" i="34" a="1"/>
  <c r="J6446" i="34" a="1"/>
  <c r="J6447" i="34" a="1"/>
  <c r="J6448" i="34" a="1"/>
  <c r="J6449" i="34" a="1"/>
  <c r="J6450" i="34" a="1"/>
  <c r="J6451" i="34" a="1"/>
  <c r="J6452" i="34" a="1"/>
  <c r="J6453" i="34" a="1"/>
  <c r="J6454" i="34" a="1"/>
  <c r="J6455" i="34" a="1"/>
  <c r="J6456" i="34" a="1"/>
  <c r="J6457" i="34" a="1"/>
  <c r="J6458" i="34" a="1"/>
  <c r="J6459" i="34" a="1"/>
  <c r="J6460" i="34" a="1"/>
  <c r="J6461" i="34" a="1"/>
  <c r="J6462" i="34" a="1"/>
  <c r="J6463" i="34" a="1"/>
  <c r="J6464" i="34" a="1"/>
  <c r="J6465" i="34" a="1"/>
  <c r="J6466" i="34" a="1"/>
  <c r="J6467" i="34" a="1"/>
  <c r="J6468" i="34" a="1"/>
  <c r="J6469" i="34" a="1"/>
  <c r="J6470" i="34" a="1"/>
  <c r="J6471" i="34" a="1"/>
  <c r="J6472" i="34" a="1"/>
  <c r="J6473" i="34" a="1"/>
  <c r="J6474" i="34" a="1"/>
  <c r="J6475" i="34" a="1"/>
  <c r="J6476" i="34" a="1"/>
  <c r="J6477" i="34" a="1"/>
  <c r="J6478" i="34" a="1"/>
  <c r="J6479" i="34" a="1"/>
  <c r="J6480" i="34" a="1"/>
  <c r="J6481" i="34" a="1"/>
  <c r="J6482" i="34" a="1"/>
  <c r="J6483" i="34" a="1"/>
  <c r="J6484" i="34" a="1"/>
  <c r="J6485" i="34" a="1"/>
  <c r="J6486" i="34" a="1"/>
  <c r="J6487" i="34" a="1"/>
  <c r="J6488" i="34" a="1"/>
  <c r="J6489" i="34" a="1"/>
  <c r="J6490" i="34" a="1"/>
  <c r="J6491" i="34" a="1"/>
  <c r="J6492" i="34" a="1"/>
  <c r="J6493" i="34" a="1"/>
  <c r="J6494" i="34" a="1"/>
  <c r="J6495" i="34" a="1"/>
  <c r="J6496" i="34" a="1"/>
  <c r="J6497" i="34" a="1"/>
  <c r="J6498" i="34" a="1"/>
  <c r="J6499" i="34" a="1"/>
  <c r="J6500" i="34" a="1"/>
  <c r="J6501" i="34" a="1"/>
  <c r="J6502" i="34" a="1"/>
  <c r="J6503" i="34" a="1"/>
  <c r="J6504" i="34" a="1"/>
  <c r="J6505" i="34" a="1"/>
  <c r="J6506" i="34" a="1"/>
  <c r="J6507" i="34" a="1"/>
  <c r="J6508" i="34" a="1"/>
  <c r="J6509" i="34" a="1"/>
  <c r="J6510" i="34" a="1"/>
  <c r="J6511" i="34" a="1"/>
  <c r="J6512" i="34" a="1"/>
  <c r="J6513" i="34" a="1"/>
  <c r="J6514" i="34" a="1"/>
  <c r="J6515" i="34" a="1"/>
  <c r="J6516" i="34" a="1"/>
  <c r="J6517" i="34" a="1"/>
  <c r="J6518" i="34" a="1"/>
  <c r="J6519" i="34" a="1"/>
  <c r="J6520" i="34" a="1"/>
  <c r="J6521" i="34" a="1"/>
  <c r="J6522" i="34" a="1"/>
  <c r="J6523" i="34" a="1"/>
  <c r="J6524" i="34" a="1"/>
  <c r="J6525" i="34" a="1"/>
  <c r="J6526" i="34" a="1"/>
  <c r="J6527" i="34" a="1"/>
  <c r="J6528" i="34" a="1"/>
  <c r="J6529" i="34" a="1"/>
  <c r="J6530" i="34" a="1"/>
  <c r="J6531" i="34" a="1"/>
  <c r="J6532" i="34" a="1"/>
  <c r="J6533" i="34" a="1"/>
  <c r="J6534" i="34" a="1"/>
  <c r="J6535" i="34" a="1"/>
  <c r="J6536" i="34" a="1"/>
  <c r="J6537" i="34" a="1"/>
  <c r="J6538" i="34" a="1"/>
  <c r="J6539" i="34" a="1"/>
  <c r="J6540" i="34" a="1"/>
  <c r="J6541" i="34" a="1"/>
  <c r="J6542" i="34" a="1"/>
  <c r="J6543" i="34" a="1"/>
  <c r="J6544" i="34" a="1"/>
  <c r="J6545" i="34" a="1"/>
  <c r="J6546" i="34" a="1"/>
  <c r="J6547" i="34" a="1"/>
  <c r="J6548" i="34" a="1"/>
  <c r="J6549" i="34" a="1"/>
  <c r="J6550" i="34" a="1"/>
  <c r="J6551" i="34" a="1"/>
  <c r="J6552" i="34" a="1"/>
  <c r="J6553" i="34" a="1"/>
  <c r="J6554" i="34" a="1"/>
  <c r="J6555" i="34" a="1"/>
  <c r="J6556" i="34" a="1"/>
  <c r="J6557" i="34" a="1"/>
  <c r="J6558" i="34" a="1"/>
  <c r="J6559" i="34" a="1"/>
  <c r="J6560" i="34" a="1"/>
  <c r="J6561" i="34" a="1"/>
  <c r="J6562" i="34" a="1"/>
  <c r="J6563" i="34" a="1"/>
  <c r="J6564" i="34" a="1"/>
  <c r="J6565" i="34" a="1"/>
  <c r="J6566" i="34" a="1"/>
  <c r="J6567" i="34" a="1"/>
  <c r="J6568" i="34" a="1"/>
  <c r="J6569" i="34" a="1"/>
  <c r="J6570" i="34" a="1"/>
  <c r="J6571" i="34" a="1"/>
  <c r="J6572" i="34" a="1"/>
  <c r="J6573" i="34" a="1"/>
  <c r="J6574" i="34" a="1"/>
  <c r="J6575" i="34" a="1"/>
  <c r="J6576" i="34" a="1"/>
  <c r="J6577" i="34" a="1"/>
  <c r="J6578" i="34" a="1"/>
  <c r="J6579" i="34" a="1"/>
  <c r="J6580" i="34" a="1"/>
  <c r="J6581" i="34" a="1"/>
  <c r="J6582" i="34" a="1"/>
  <c r="J6583" i="34" a="1"/>
  <c r="J6584" i="34" a="1"/>
  <c r="J6585" i="34" a="1"/>
  <c r="J6586" i="34" a="1"/>
  <c r="J6587" i="34" a="1"/>
  <c r="J6588" i="34" a="1"/>
  <c r="J6589" i="34" a="1"/>
  <c r="J6590" i="34" a="1"/>
  <c r="J6591" i="34" a="1"/>
  <c r="J6592" i="34" a="1"/>
  <c r="J6593" i="34" a="1"/>
  <c r="J6594" i="34" a="1"/>
  <c r="J6595" i="34" a="1"/>
  <c r="J6596" i="34" a="1"/>
  <c r="J6597" i="34" a="1"/>
  <c r="J6598" i="34" a="1"/>
  <c r="J6599" i="34" a="1"/>
  <c r="J6600" i="34" a="1"/>
  <c r="J6601" i="34" a="1"/>
  <c r="J6602" i="34" a="1"/>
  <c r="J6603" i="34" a="1"/>
  <c r="J6604" i="34" a="1"/>
  <c r="J6605" i="34" a="1"/>
  <c r="J6606" i="34" a="1"/>
  <c r="J6607" i="34" a="1"/>
  <c r="J6608" i="34" a="1"/>
  <c r="J6609" i="34" a="1"/>
  <c r="J6610" i="34" a="1"/>
  <c r="J6611" i="34" a="1"/>
  <c r="J6612" i="34" a="1"/>
  <c r="J6613" i="34" a="1"/>
  <c r="J6614" i="34" a="1"/>
  <c r="J6615" i="34" a="1"/>
  <c r="J6616" i="34" a="1"/>
  <c r="J6617" i="34" a="1"/>
  <c r="J6618" i="34" a="1"/>
  <c r="J6619" i="34" a="1"/>
  <c r="J6620" i="34" a="1"/>
  <c r="J6621" i="34" a="1"/>
  <c r="J6622" i="34" a="1"/>
  <c r="J6623" i="34" a="1"/>
  <c r="J6624" i="34" a="1"/>
  <c r="J6625" i="34" a="1"/>
  <c r="J6626" i="34" a="1"/>
  <c r="J6627" i="34" a="1"/>
  <c r="J6628" i="34" a="1"/>
  <c r="J6629" i="34" a="1"/>
  <c r="J6630" i="34" a="1"/>
  <c r="J6631" i="34" a="1"/>
  <c r="J6632" i="34" a="1"/>
  <c r="J6633" i="34" a="1"/>
  <c r="J6634" i="34" a="1"/>
  <c r="J6635" i="34" a="1"/>
  <c r="J6636" i="34" a="1"/>
  <c r="J6637" i="34" a="1"/>
  <c r="J6638" i="34" a="1"/>
  <c r="J6639" i="34" a="1"/>
  <c r="J6640" i="34" a="1"/>
  <c r="J6641" i="34" a="1"/>
  <c r="J6642" i="34" a="1"/>
  <c r="J6643" i="34" a="1"/>
  <c r="J6644" i="34" a="1"/>
  <c r="J6645" i="34" a="1"/>
  <c r="J6646" i="34" a="1"/>
  <c r="J6647" i="34" a="1"/>
  <c r="J6648" i="34" a="1"/>
  <c r="J6649" i="34" a="1"/>
  <c r="J6650" i="34" a="1"/>
  <c r="J6651" i="34" a="1"/>
  <c r="J6652" i="34" a="1"/>
  <c r="J6653" i="34" a="1"/>
  <c r="J6654" i="34" a="1"/>
  <c r="J6655" i="34" a="1"/>
  <c r="J6656" i="34" a="1"/>
  <c r="J6657" i="34" a="1"/>
  <c r="J6658" i="34" a="1"/>
  <c r="J6659" i="34" a="1"/>
  <c r="J6660" i="34" a="1"/>
  <c r="J6661" i="34" a="1"/>
  <c r="J6662" i="34" a="1"/>
  <c r="J6663" i="34" a="1"/>
  <c r="J6664" i="34" a="1"/>
  <c r="J6665" i="34" a="1"/>
  <c r="J6666" i="34" a="1"/>
  <c r="J6667" i="34" a="1"/>
  <c r="J6668" i="34" a="1"/>
  <c r="J6669" i="34" a="1"/>
  <c r="J6670" i="34" a="1"/>
  <c r="J6671" i="34" a="1"/>
  <c r="J6672" i="34" a="1"/>
  <c r="J6673" i="34" a="1"/>
  <c r="J6674" i="34" a="1"/>
  <c r="J6675" i="34" a="1"/>
  <c r="J6676" i="34" a="1"/>
  <c r="J6677" i="34" a="1"/>
  <c r="J6678" i="34" a="1"/>
  <c r="J6679" i="34" a="1"/>
  <c r="J6680" i="34" a="1"/>
  <c r="J6681" i="34" a="1"/>
  <c r="J6682" i="34" a="1"/>
  <c r="J6683" i="34" a="1"/>
  <c r="J6684" i="34" a="1"/>
  <c r="J6685" i="34" a="1"/>
  <c r="J6686" i="34" a="1"/>
  <c r="J6687" i="34" a="1"/>
  <c r="J6688" i="34" a="1"/>
  <c r="J6689" i="34" a="1"/>
  <c r="J6690" i="34" a="1"/>
  <c r="J6691" i="34" a="1"/>
  <c r="J6692" i="34" a="1"/>
  <c r="J6693" i="34" a="1"/>
  <c r="J6694" i="34" a="1"/>
  <c r="J6695" i="34" a="1"/>
  <c r="J6696" i="34" a="1"/>
  <c r="J6697" i="34" a="1"/>
  <c r="J6698" i="34" a="1"/>
  <c r="J6699" i="34" a="1"/>
  <c r="J6700" i="34" a="1"/>
  <c r="J6701" i="34" a="1"/>
  <c r="J6702" i="34" a="1"/>
  <c r="J6703" i="34" a="1"/>
  <c r="J6704" i="34" a="1"/>
  <c r="J6705" i="34" a="1"/>
  <c r="J6706" i="34" a="1"/>
  <c r="J6707" i="34" a="1"/>
  <c r="J6708" i="34" a="1"/>
  <c r="J6709" i="34" a="1"/>
  <c r="J6710" i="34" a="1"/>
  <c r="J6711" i="34" a="1"/>
  <c r="J6712" i="34" a="1"/>
  <c r="J6713" i="34" a="1"/>
  <c r="J6714" i="34" a="1"/>
  <c r="J6715" i="34" a="1"/>
  <c r="J6716" i="34" a="1"/>
  <c r="J6717" i="34" a="1"/>
  <c r="J6718" i="34" a="1"/>
  <c r="J6719" i="34" a="1"/>
  <c r="J6720" i="34" a="1"/>
  <c r="J6721" i="34" a="1"/>
  <c r="J6722" i="34" a="1"/>
  <c r="J6723" i="34" a="1"/>
  <c r="J6724" i="34" a="1"/>
  <c r="J6725" i="34" a="1"/>
  <c r="J6726" i="34" a="1"/>
  <c r="J6727" i="34" a="1"/>
  <c r="J6728" i="34" a="1"/>
  <c r="J6729" i="34" a="1"/>
  <c r="J6730" i="34" a="1"/>
  <c r="J6731" i="34" a="1"/>
  <c r="J6732" i="34" a="1"/>
  <c r="J6733" i="34" a="1"/>
  <c r="J6734" i="34" a="1"/>
  <c r="J6735" i="34" a="1"/>
  <c r="J6736" i="34" a="1"/>
  <c r="J6737" i="34" a="1"/>
  <c r="J6738" i="34" a="1"/>
  <c r="J6739" i="34" a="1"/>
  <c r="J6740" i="34" a="1"/>
  <c r="J6741" i="34" a="1"/>
  <c r="J6742" i="34" a="1"/>
  <c r="J6743" i="34" a="1"/>
  <c r="J6744" i="34" a="1"/>
  <c r="J6745" i="34" a="1"/>
  <c r="J6746" i="34" a="1"/>
  <c r="J6747" i="34" a="1"/>
  <c r="J6748" i="34" a="1"/>
  <c r="J6749" i="34" a="1"/>
  <c r="J6750" i="34" a="1"/>
  <c r="J6751" i="34" a="1"/>
  <c r="J6752" i="34" a="1"/>
  <c r="J6753" i="34" a="1"/>
  <c r="J6754" i="34" a="1"/>
  <c r="J6755" i="34" a="1"/>
  <c r="J6756" i="34" a="1"/>
  <c r="J6757" i="34" a="1"/>
  <c r="J6758" i="34" a="1"/>
  <c r="J6759" i="34" a="1"/>
  <c r="J6760" i="34" a="1"/>
  <c r="J6761" i="34" a="1"/>
  <c r="J6762" i="34" a="1"/>
  <c r="J6763" i="34" a="1"/>
  <c r="J6764" i="34" a="1"/>
  <c r="J6765" i="34" a="1"/>
  <c r="J6766" i="34" a="1"/>
  <c r="J6767" i="34" a="1"/>
  <c r="J6768" i="34" a="1"/>
  <c r="J6769" i="34" a="1"/>
  <c r="J6770" i="34" a="1"/>
  <c r="J6771" i="34" a="1"/>
  <c r="J6772" i="34" a="1"/>
  <c r="J6773" i="34" a="1"/>
  <c r="J6774" i="34" a="1"/>
  <c r="J6775" i="34" a="1"/>
  <c r="J6776" i="34" a="1"/>
  <c r="J6777" i="34" a="1"/>
  <c r="J6778" i="34" a="1"/>
  <c r="J6779" i="34" a="1"/>
  <c r="J6780" i="34" a="1"/>
  <c r="J6781" i="34" a="1"/>
  <c r="J6782" i="34" a="1"/>
  <c r="J6783" i="34" a="1"/>
  <c r="J6784" i="34" a="1"/>
  <c r="J6785" i="34" a="1"/>
  <c r="J6786" i="34" a="1"/>
  <c r="J6787" i="34" a="1"/>
  <c r="J6788" i="34" a="1"/>
  <c r="J6789" i="34" a="1"/>
  <c r="J6790" i="34" a="1"/>
  <c r="J6791" i="34" a="1"/>
  <c r="J6792" i="34" a="1"/>
  <c r="J6793" i="34" a="1"/>
  <c r="J6794" i="34" a="1"/>
  <c r="J6795" i="34" a="1"/>
  <c r="J6796" i="34" a="1"/>
  <c r="J6797" i="34" a="1"/>
  <c r="J6798" i="34" a="1"/>
  <c r="J6799" i="34" a="1"/>
  <c r="J6800" i="34" a="1"/>
  <c r="J6801" i="34" a="1"/>
  <c r="J6802" i="34" a="1"/>
  <c r="J6803" i="34" a="1"/>
  <c r="J6804" i="34" a="1"/>
  <c r="J6805" i="34" a="1"/>
  <c r="J6806" i="34" a="1"/>
  <c r="J6807" i="34" a="1"/>
  <c r="J6808" i="34" a="1"/>
  <c r="J6809" i="34" a="1"/>
  <c r="J6810" i="34" a="1"/>
  <c r="J6811" i="34" a="1"/>
  <c r="J6812" i="34" a="1"/>
  <c r="J6813" i="34" a="1"/>
  <c r="J6814" i="34" a="1"/>
  <c r="J6815" i="34" a="1"/>
  <c r="J6816" i="34" a="1"/>
  <c r="J6817" i="34" a="1"/>
  <c r="J6818" i="34" a="1"/>
  <c r="J6819" i="34" a="1"/>
  <c r="J6820" i="34" a="1"/>
  <c r="J6821" i="34" a="1"/>
  <c r="J6822" i="34" a="1"/>
  <c r="J6823" i="34" a="1"/>
  <c r="J6824" i="34" a="1"/>
  <c r="J6825" i="34" a="1"/>
  <c r="J6826" i="34" a="1"/>
  <c r="J6827" i="34" a="1"/>
  <c r="J6828" i="34" a="1"/>
  <c r="J6829" i="34" a="1"/>
  <c r="J6830" i="34" a="1"/>
  <c r="J6831" i="34" a="1"/>
  <c r="J6832" i="34" a="1"/>
  <c r="J6833" i="34" a="1"/>
  <c r="J6834" i="34" a="1"/>
  <c r="J6835" i="34" a="1"/>
  <c r="J6836" i="34" a="1"/>
  <c r="J6837" i="34" a="1"/>
  <c r="J6838" i="34" a="1"/>
  <c r="J6839" i="34" a="1"/>
  <c r="J6840" i="34" a="1"/>
  <c r="J6841" i="34" a="1"/>
  <c r="J6842" i="34" a="1"/>
  <c r="J6843" i="34" a="1"/>
  <c r="J6844" i="34" a="1"/>
  <c r="J6845" i="34" a="1"/>
  <c r="J6846" i="34" a="1"/>
  <c r="J6847" i="34" a="1"/>
  <c r="J6848" i="34" a="1"/>
  <c r="J6849" i="34" a="1"/>
  <c r="J6850" i="34" a="1"/>
  <c r="J6851" i="34" a="1"/>
  <c r="J6852" i="34" a="1"/>
  <c r="J6853" i="34" a="1"/>
  <c r="J6854" i="34" a="1"/>
  <c r="J6855" i="34" a="1"/>
  <c r="J6856" i="34" a="1"/>
  <c r="J6857" i="34" a="1"/>
  <c r="J6858" i="34" a="1"/>
  <c r="J6859" i="34" a="1"/>
  <c r="J6860" i="34" a="1"/>
  <c r="J6861" i="34" a="1"/>
  <c r="J6862" i="34" a="1"/>
  <c r="J6863" i="34" a="1"/>
  <c r="J6864" i="34" a="1"/>
  <c r="J6865" i="34" a="1"/>
  <c r="J6866" i="34" a="1"/>
  <c r="J6867" i="34" a="1"/>
  <c r="J6868" i="34" a="1"/>
  <c r="J6869" i="34" a="1"/>
  <c r="J6870" i="34" a="1"/>
  <c r="J6871" i="34" a="1"/>
  <c r="J6872" i="34" a="1"/>
  <c r="J6873" i="34" a="1"/>
  <c r="J6874" i="34" a="1"/>
  <c r="J6875" i="34" a="1"/>
  <c r="J6876" i="34" a="1"/>
  <c r="J6877" i="34" a="1"/>
  <c r="J6878" i="34" a="1"/>
  <c r="J6879" i="34" a="1"/>
  <c r="J6880" i="34" a="1"/>
  <c r="J6881" i="34" a="1"/>
  <c r="J6882" i="34" a="1"/>
  <c r="J6883" i="34" a="1"/>
  <c r="J6884" i="34" a="1"/>
  <c r="J6885" i="34" a="1"/>
  <c r="J6886" i="34" a="1"/>
  <c r="J6887" i="34" a="1"/>
  <c r="J6888" i="34" a="1"/>
  <c r="J6889" i="34" a="1"/>
  <c r="J6890" i="34" a="1"/>
  <c r="J6891" i="34" a="1"/>
  <c r="J6892" i="34" a="1"/>
  <c r="J6893" i="34" a="1"/>
  <c r="J6894" i="34" a="1"/>
  <c r="J6895" i="34" a="1"/>
  <c r="J6896" i="34" a="1"/>
  <c r="J6897" i="34" a="1"/>
  <c r="J6898" i="34" a="1"/>
  <c r="J6899" i="34" a="1"/>
  <c r="J6900" i="34" a="1"/>
  <c r="J6901" i="34" a="1"/>
  <c r="J6902" i="34" a="1"/>
  <c r="J6903" i="34" a="1"/>
  <c r="J6904" i="34" a="1"/>
  <c r="J6905" i="34" a="1"/>
  <c r="J6906" i="34" a="1"/>
  <c r="J6907" i="34" a="1"/>
  <c r="J6908" i="34" a="1"/>
  <c r="J6909" i="34" a="1"/>
  <c r="J6910" i="34" a="1"/>
  <c r="J6911" i="34" a="1"/>
  <c r="J6912" i="34" a="1"/>
  <c r="J6913" i="34" a="1"/>
  <c r="J6914" i="34" a="1"/>
  <c r="J6915" i="34" a="1"/>
  <c r="J6916" i="34" a="1"/>
  <c r="J6917" i="34" a="1"/>
  <c r="J6918" i="34" a="1"/>
  <c r="J6919" i="34" a="1"/>
  <c r="J6920" i="34" a="1"/>
  <c r="J6921" i="34" a="1"/>
  <c r="J6922" i="34" a="1"/>
  <c r="J6923" i="34" a="1"/>
  <c r="J6924" i="34" a="1"/>
  <c r="J6925" i="34" a="1"/>
  <c r="J6926" i="34" a="1"/>
  <c r="J6927" i="34" a="1"/>
  <c r="J6928" i="34" a="1"/>
  <c r="J6929" i="34" a="1"/>
  <c r="J6930" i="34" a="1"/>
  <c r="J6931" i="34" a="1"/>
  <c r="J6932" i="34" a="1"/>
  <c r="J6933" i="34" a="1"/>
  <c r="J6934" i="34" a="1"/>
  <c r="J6935" i="34" a="1"/>
  <c r="J6936" i="34" a="1"/>
  <c r="J6937" i="34" a="1"/>
  <c r="J6938" i="34" a="1"/>
  <c r="J6939" i="34" a="1"/>
  <c r="J6940" i="34" a="1"/>
  <c r="J6941" i="34" a="1"/>
  <c r="J6942" i="34" a="1"/>
  <c r="J6943" i="34" a="1"/>
  <c r="J6944" i="34" a="1"/>
  <c r="J6945" i="34" a="1"/>
  <c r="J6946" i="34" a="1"/>
  <c r="J6947" i="34" a="1"/>
  <c r="J6948" i="34" a="1"/>
  <c r="J6949" i="34" a="1"/>
  <c r="J6950" i="34" a="1"/>
  <c r="J6951" i="34" a="1"/>
  <c r="J6952" i="34" a="1"/>
  <c r="J6953" i="34" a="1"/>
  <c r="J6954" i="34" a="1"/>
  <c r="J6955" i="34" a="1"/>
  <c r="J6956" i="34" a="1"/>
  <c r="J6957" i="34" a="1"/>
  <c r="J6958" i="34" a="1"/>
  <c r="J6959" i="34" a="1"/>
  <c r="J6960" i="34" a="1"/>
  <c r="J6961" i="34" a="1"/>
  <c r="J6962" i="34" a="1"/>
  <c r="J6963" i="34" a="1"/>
  <c r="J6964" i="34" a="1"/>
  <c r="J6965" i="34" a="1"/>
  <c r="J6966" i="34" a="1"/>
  <c r="J6967" i="34" a="1"/>
  <c r="J6968" i="34" a="1"/>
  <c r="J6969" i="34" a="1"/>
  <c r="J6970" i="34" a="1"/>
  <c r="J6971" i="34" a="1"/>
  <c r="J6972" i="34" a="1"/>
  <c r="J6973" i="34" a="1"/>
  <c r="J6974" i="34" a="1"/>
  <c r="J6975" i="34" a="1"/>
  <c r="J6976" i="34" a="1"/>
  <c r="J6977" i="34" a="1"/>
  <c r="J6978" i="34" a="1"/>
  <c r="J6979" i="34" a="1"/>
  <c r="J6980" i="34" a="1"/>
  <c r="J6981" i="34" a="1"/>
  <c r="J6982" i="34" a="1"/>
  <c r="J6983" i="34" a="1"/>
  <c r="J6984" i="34" a="1"/>
  <c r="J6985" i="34" a="1"/>
  <c r="J6986" i="34" a="1"/>
  <c r="J6987" i="34" a="1"/>
  <c r="J6988" i="34" a="1"/>
  <c r="J6989" i="34" a="1"/>
  <c r="J6990" i="34" a="1"/>
  <c r="J6991" i="34" a="1"/>
  <c r="J6992" i="34" a="1"/>
  <c r="J6993" i="34" a="1"/>
  <c r="J6994" i="34" a="1"/>
  <c r="J6995" i="34" a="1"/>
  <c r="J6996" i="34" a="1"/>
  <c r="J6997" i="34" a="1"/>
  <c r="J6998" i="34" a="1"/>
  <c r="J6999" i="34" a="1"/>
  <c r="J7000" i="34" a="1"/>
  <c r="J7001" i="34" a="1"/>
  <c r="J7002" i="34" a="1"/>
  <c r="J7003" i="34" a="1"/>
  <c r="J7004" i="34" a="1"/>
  <c r="J7005" i="34" a="1"/>
  <c r="J7006" i="34" a="1"/>
  <c r="J7007" i="34" a="1"/>
  <c r="J7008" i="34" a="1"/>
  <c r="J7009" i="34" a="1"/>
  <c r="J7010" i="34" a="1"/>
  <c r="J7011" i="34" a="1"/>
  <c r="J7012" i="34" a="1"/>
  <c r="J7013" i="34" a="1"/>
  <c r="J7014" i="34" a="1"/>
  <c r="J7015" i="34" a="1"/>
  <c r="J7016" i="34" a="1"/>
  <c r="J7017" i="34" a="1"/>
  <c r="J7018" i="34" a="1"/>
  <c r="J7019" i="34" a="1"/>
  <c r="J7020" i="34" a="1"/>
  <c r="J7021" i="34" a="1"/>
  <c r="J7022" i="34" a="1"/>
  <c r="J7023" i="34" a="1"/>
  <c r="J7024" i="34" a="1"/>
  <c r="J7025" i="34" a="1"/>
  <c r="J7026" i="34" a="1"/>
  <c r="J7027" i="34" a="1"/>
  <c r="J7028" i="34" a="1"/>
  <c r="J7029" i="34" a="1"/>
  <c r="J7030" i="34" a="1"/>
  <c r="J7031" i="34" a="1"/>
  <c r="J7032" i="34" a="1"/>
  <c r="J7033" i="34" a="1"/>
  <c r="J7034" i="34" a="1"/>
  <c r="J7035" i="34" a="1"/>
  <c r="J7036" i="34" a="1"/>
  <c r="J7037" i="34" a="1"/>
  <c r="J7038" i="34" a="1"/>
  <c r="J7039" i="34" a="1"/>
  <c r="J7040" i="34" a="1"/>
  <c r="J7041" i="34" a="1"/>
  <c r="J7042" i="34" a="1"/>
  <c r="J7043" i="34" a="1"/>
  <c r="J7044" i="34" a="1"/>
  <c r="J7045" i="34" a="1"/>
  <c r="J7046" i="34" a="1"/>
  <c r="J7047" i="34" a="1"/>
  <c r="J7048" i="34" a="1"/>
  <c r="J7049" i="34" a="1"/>
  <c r="J7050" i="34" a="1"/>
  <c r="J7051" i="34" a="1"/>
  <c r="J7052" i="34" a="1"/>
  <c r="J7053" i="34" a="1"/>
  <c r="J7054" i="34" a="1"/>
  <c r="J7055" i="34" a="1"/>
  <c r="J7056" i="34" a="1"/>
  <c r="J7057" i="34" a="1"/>
  <c r="J7058" i="34" a="1"/>
  <c r="J7059" i="34" a="1"/>
  <c r="J7060" i="34" a="1"/>
  <c r="J7061" i="34" a="1"/>
  <c r="J7062" i="34" a="1"/>
  <c r="J7063" i="34" a="1"/>
  <c r="J7064" i="34" a="1"/>
  <c r="J7065" i="34" a="1"/>
  <c r="J7066" i="34" a="1"/>
  <c r="J7067" i="34" a="1"/>
  <c r="J7068" i="34" a="1"/>
  <c r="J7069" i="34" a="1"/>
  <c r="J7070" i="34" a="1"/>
  <c r="J7071" i="34" a="1"/>
  <c r="J7072" i="34" a="1"/>
  <c r="J7073" i="34" a="1"/>
  <c r="J7074" i="34" a="1"/>
  <c r="J7075" i="34" a="1"/>
  <c r="J7076" i="34" a="1"/>
  <c r="J7077" i="34" a="1"/>
  <c r="J7078" i="34" a="1"/>
  <c r="J7079" i="34" a="1"/>
  <c r="J7080" i="34" a="1"/>
  <c r="J7081" i="34" a="1"/>
  <c r="J7082" i="34" a="1"/>
  <c r="J7083" i="34" a="1"/>
  <c r="J7084" i="34" a="1"/>
  <c r="J7085" i="34" a="1"/>
  <c r="J7086" i="34" a="1"/>
  <c r="J7087" i="34" a="1"/>
  <c r="J7088" i="34" a="1"/>
  <c r="J7089" i="34" a="1"/>
  <c r="J7090" i="34" a="1"/>
  <c r="J7091" i="34" a="1"/>
  <c r="J7092" i="34" a="1"/>
  <c r="J7093" i="34" a="1"/>
  <c r="J7094" i="34" a="1"/>
  <c r="J7095" i="34" a="1"/>
  <c r="J7096" i="34" a="1"/>
  <c r="J7097" i="34" a="1"/>
  <c r="J7098" i="34" a="1"/>
  <c r="J7099" i="34" a="1"/>
  <c r="J7100" i="34" a="1"/>
  <c r="J7101" i="34" a="1"/>
  <c r="J7102" i="34" a="1"/>
  <c r="J7103" i="34" a="1"/>
  <c r="J7104" i="34" a="1"/>
  <c r="J7105" i="34" a="1"/>
  <c r="J7106" i="34" a="1"/>
  <c r="J7107" i="34" a="1"/>
  <c r="J7108" i="34" a="1"/>
  <c r="J7109" i="34" a="1"/>
  <c r="J7110" i="34" a="1"/>
  <c r="J7111" i="34" a="1"/>
  <c r="J7112" i="34" a="1"/>
  <c r="J7113" i="34" a="1"/>
  <c r="J7114" i="34" a="1"/>
  <c r="J7115" i="34" a="1"/>
  <c r="J7116" i="34" a="1"/>
  <c r="J7117" i="34" a="1"/>
  <c r="J7118" i="34" a="1"/>
  <c r="J7119" i="34" a="1"/>
  <c r="J7120" i="34" a="1"/>
  <c r="J7121" i="34" a="1"/>
  <c r="J7122" i="34" a="1"/>
  <c r="J7123" i="34" a="1"/>
  <c r="J7124" i="34" a="1"/>
  <c r="J7125" i="34" a="1"/>
  <c r="J7126" i="34" a="1"/>
  <c r="J7127" i="34" a="1"/>
  <c r="J7128" i="34" a="1"/>
  <c r="J7129" i="34" a="1"/>
  <c r="J7130" i="34" a="1"/>
  <c r="J7131" i="34" a="1"/>
  <c r="J7132" i="34" a="1"/>
  <c r="J7133" i="34" a="1"/>
  <c r="J7134" i="34" a="1"/>
  <c r="J7135" i="34" a="1"/>
  <c r="J7136" i="34" a="1"/>
  <c r="J7137" i="34" a="1"/>
  <c r="J7138" i="34" a="1"/>
  <c r="J7139" i="34" a="1"/>
  <c r="J7140" i="34" a="1"/>
  <c r="J7141" i="34" a="1"/>
  <c r="J7142" i="34" a="1"/>
  <c r="J7143" i="34" a="1"/>
  <c r="J7144" i="34" a="1"/>
  <c r="J7145" i="34" a="1"/>
  <c r="J7146" i="34" a="1"/>
  <c r="J7147" i="34" a="1"/>
  <c r="J7148" i="34" a="1"/>
  <c r="J7149" i="34" a="1"/>
  <c r="J7150" i="34" a="1"/>
  <c r="J7151" i="34" a="1"/>
  <c r="J7152" i="34" a="1"/>
  <c r="J7153" i="34" a="1"/>
  <c r="J7154" i="34" a="1"/>
  <c r="J7155" i="34" a="1"/>
  <c r="J7156" i="34" a="1"/>
  <c r="J7157" i="34" a="1"/>
  <c r="J7158" i="34" a="1"/>
  <c r="J7159" i="34" a="1"/>
  <c r="J7160" i="34" a="1"/>
  <c r="J7161" i="34" a="1"/>
  <c r="J7162" i="34" a="1"/>
  <c r="J7163" i="34" a="1"/>
  <c r="J7164" i="34" a="1"/>
  <c r="J7165" i="34" a="1"/>
  <c r="J7166" i="34" a="1"/>
  <c r="J7167" i="34" a="1"/>
  <c r="J7168" i="34" a="1"/>
  <c r="J7169" i="34" a="1"/>
  <c r="J7170" i="34" a="1"/>
  <c r="J7171" i="34" a="1"/>
  <c r="J7172" i="34" a="1"/>
  <c r="J7173" i="34" a="1"/>
  <c r="J7174" i="34" a="1"/>
  <c r="J7175" i="34" a="1"/>
  <c r="J7176" i="34" a="1"/>
  <c r="J7177" i="34" a="1"/>
  <c r="J7178" i="34" a="1"/>
  <c r="J7179" i="34" a="1"/>
  <c r="J7180" i="34" a="1"/>
  <c r="J7181" i="34" a="1"/>
  <c r="J7182" i="34" a="1"/>
  <c r="J7183" i="34" a="1"/>
  <c r="J7184" i="34" a="1"/>
  <c r="J7185" i="34" a="1"/>
  <c r="J7186" i="34" a="1"/>
  <c r="J7187" i="34" a="1"/>
  <c r="J7188" i="34" a="1"/>
  <c r="J7189" i="34" a="1"/>
  <c r="J7190" i="34" a="1"/>
  <c r="J7191" i="34" a="1"/>
  <c r="J7192" i="34" a="1"/>
  <c r="J7193" i="34" a="1"/>
  <c r="J7194" i="34" a="1"/>
  <c r="J7195" i="34" a="1"/>
  <c r="J7196" i="34" a="1"/>
  <c r="J7197" i="34" a="1"/>
  <c r="J7198" i="34" a="1"/>
  <c r="J7199" i="34" a="1"/>
  <c r="J7200" i="34" a="1"/>
  <c r="J7201" i="34" a="1"/>
  <c r="J7202" i="34" a="1"/>
  <c r="J7203" i="34" a="1"/>
  <c r="J7204" i="34" a="1"/>
  <c r="J7205" i="34" a="1"/>
  <c r="J7206" i="34" a="1"/>
  <c r="J7207" i="34" a="1"/>
  <c r="J7208" i="34" a="1"/>
  <c r="J7209" i="34" a="1"/>
  <c r="J7210" i="34" a="1"/>
  <c r="J7211" i="34" a="1"/>
  <c r="J7212" i="34" a="1"/>
  <c r="J7213" i="34" a="1"/>
  <c r="J7214" i="34" a="1"/>
  <c r="J7215" i="34" a="1"/>
  <c r="J7216" i="34" a="1"/>
  <c r="J7217" i="34" a="1"/>
  <c r="J7218" i="34" a="1"/>
  <c r="J7219" i="34" a="1"/>
  <c r="J7220" i="34" a="1"/>
  <c r="J7221" i="34" a="1"/>
  <c r="J7222" i="34" a="1"/>
  <c r="J7223" i="34" a="1"/>
  <c r="J7224" i="34" a="1"/>
  <c r="J7225" i="34" a="1"/>
  <c r="J7226" i="34" a="1"/>
  <c r="J7227" i="34" a="1"/>
  <c r="J7228" i="34" a="1"/>
  <c r="J7229" i="34" a="1"/>
  <c r="J7230" i="34" a="1"/>
  <c r="J7231" i="34" a="1"/>
  <c r="J7232" i="34" a="1"/>
  <c r="J7233" i="34" a="1"/>
  <c r="J7234" i="34" a="1"/>
  <c r="J7235" i="34" a="1"/>
  <c r="J7236" i="34" a="1"/>
  <c r="J7237" i="34" a="1"/>
  <c r="J7238" i="34" a="1"/>
  <c r="J7239" i="34" a="1"/>
  <c r="J7240" i="34" a="1"/>
  <c r="J7241" i="34" a="1"/>
  <c r="J7242" i="34" a="1"/>
  <c r="J7243" i="34" a="1"/>
  <c r="J7244" i="34" a="1"/>
  <c r="J7245" i="34" a="1"/>
  <c r="J7246" i="34" a="1"/>
  <c r="J7247" i="34" a="1"/>
  <c r="J7248" i="34" a="1"/>
  <c r="J7249" i="34" a="1"/>
  <c r="J7250" i="34" a="1"/>
  <c r="J7251" i="34" a="1"/>
  <c r="J7252" i="34" a="1"/>
  <c r="J7253" i="34" a="1"/>
  <c r="J7254" i="34" a="1"/>
  <c r="J7255" i="34" a="1"/>
  <c r="J7256" i="34" a="1"/>
  <c r="J7257" i="34" a="1"/>
  <c r="J7258" i="34" a="1"/>
  <c r="J7259" i="34" a="1"/>
  <c r="J7260" i="34" a="1"/>
  <c r="J7261" i="34" a="1"/>
  <c r="J7262" i="34" a="1"/>
  <c r="J7263" i="34" a="1"/>
  <c r="J7264" i="34" a="1"/>
  <c r="J7265" i="34" a="1"/>
  <c r="J7266" i="34" a="1"/>
  <c r="J7267" i="34" a="1"/>
  <c r="J7268" i="34" a="1"/>
  <c r="J7269" i="34" a="1"/>
  <c r="J7270" i="34" a="1"/>
  <c r="J7271" i="34" a="1"/>
  <c r="J7272" i="34" a="1"/>
  <c r="J7273" i="34" a="1"/>
  <c r="J7274" i="34" a="1"/>
  <c r="J7275" i="34" a="1"/>
  <c r="J7276" i="34" a="1"/>
  <c r="J7277" i="34" a="1"/>
  <c r="J7278" i="34" a="1"/>
  <c r="J7279" i="34" a="1"/>
  <c r="J7280" i="34" a="1"/>
  <c r="J7281" i="34" a="1"/>
  <c r="J7282" i="34" a="1"/>
  <c r="J7283" i="34" a="1"/>
  <c r="J7284" i="34" a="1"/>
  <c r="J7285" i="34" a="1"/>
  <c r="J7286" i="34" a="1"/>
  <c r="J7287" i="34" a="1"/>
  <c r="J7288" i="34" a="1"/>
  <c r="J7289" i="34" a="1"/>
  <c r="J7290" i="34" a="1"/>
  <c r="J7291" i="34" a="1"/>
  <c r="J7292" i="34" a="1"/>
  <c r="J7293" i="34" a="1"/>
  <c r="J7294" i="34" a="1"/>
  <c r="J7295" i="34" a="1"/>
  <c r="J7296" i="34" a="1"/>
  <c r="J7297" i="34" a="1"/>
  <c r="J7298" i="34" a="1"/>
  <c r="J7299" i="34" a="1"/>
  <c r="J7300" i="34" a="1"/>
  <c r="J7301" i="34" a="1"/>
  <c r="J7302" i="34" a="1"/>
  <c r="J7303" i="34" a="1"/>
  <c r="J7304" i="34" a="1"/>
  <c r="J7305" i="34" a="1"/>
  <c r="J7306" i="34" a="1"/>
  <c r="J7307" i="34" a="1"/>
  <c r="J7308" i="34" a="1"/>
  <c r="J7309" i="34" a="1"/>
  <c r="J7310" i="34" a="1"/>
  <c r="J7311" i="34" a="1"/>
  <c r="J7312" i="34" a="1"/>
  <c r="J7313" i="34" a="1"/>
  <c r="J7314" i="34" a="1"/>
  <c r="J7315" i="34" a="1"/>
  <c r="J7316" i="34" a="1"/>
  <c r="J7317" i="34" a="1"/>
  <c r="J7318" i="34" a="1"/>
  <c r="J7319" i="34" a="1"/>
  <c r="J7320" i="34" a="1"/>
  <c r="J7321" i="34" a="1"/>
  <c r="J7322" i="34" a="1"/>
  <c r="J7323" i="34" a="1"/>
  <c r="J7324" i="34" a="1"/>
  <c r="J7325" i="34" a="1"/>
  <c r="J7326" i="34" a="1"/>
  <c r="J7327" i="34" a="1"/>
  <c r="J7328" i="34" a="1"/>
  <c r="J7329" i="34" a="1"/>
  <c r="J7330" i="34" a="1"/>
  <c r="J7331" i="34" a="1"/>
  <c r="J7332" i="34" a="1"/>
  <c r="J7333" i="34" a="1"/>
  <c r="J7334" i="34" a="1"/>
  <c r="J7335" i="34" a="1"/>
  <c r="J7336" i="34" a="1"/>
  <c r="J7337" i="34" a="1"/>
  <c r="J7338" i="34" a="1"/>
  <c r="J7339" i="34" a="1"/>
  <c r="J7340" i="34" a="1"/>
  <c r="J7341" i="34" a="1"/>
  <c r="J7342" i="34" a="1"/>
  <c r="J7343" i="34" a="1"/>
  <c r="J7344" i="34" a="1"/>
  <c r="J7345" i="34" a="1"/>
  <c r="J7346" i="34" a="1"/>
  <c r="J7347" i="34" a="1"/>
  <c r="J7348" i="34" a="1"/>
  <c r="J7349" i="34" a="1"/>
  <c r="J7350" i="34" a="1"/>
  <c r="J7351" i="34" a="1"/>
  <c r="J7352" i="34" a="1"/>
  <c r="J7353" i="34" a="1"/>
  <c r="J7354" i="34" a="1"/>
  <c r="J7355" i="34" a="1"/>
  <c r="J7356" i="34" a="1"/>
  <c r="J7357" i="34" a="1"/>
  <c r="J7358" i="34" a="1"/>
  <c r="J7359" i="34" a="1"/>
  <c r="J7360" i="34" a="1"/>
  <c r="J7361" i="34" a="1"/>
  <c r="J7362" i="34" a="1"/>
  <c r="J7363" i="34" a="1"/>
  <c r="J7364" i="34" a="1"/>
  <c r="J7365" i="34" a="1"/>
  <c r="J7366" i="34" a="1"/>
  <c r="J7367" i="34" a="1"/>
  <c r="J7368" i="34" a="1"/>
  <c r="J7369" i="34" a="1"/>
  <c r="J7370" i="34" a="1"/>
  <c r="J7371" i="34" a="1"/>
  <c r="J7372" i="34" a="1"/>
  <c r="J7373" i="34" a="1"/>
  <c r="J7374" i="34" a="1"/>
  <c r="J7375" i="34" a="1"/>
  <c r="J7376" i="34" a="1"/>
  <c r="J7377" i="34" a="1"/>
  <c r="J7378" i="34" a="1"/>
  <c r="J7379" i="34" a="1"/>
  <c r="J7380" i="34" a="1"/>
  <c r="J7381" i="34" a="1"/>
  <c r="J7382" i="34" a="1"/>
  <c r="J7383" i="34" a="1"/>
  <c r="J7384" i="34" a="1"/>
  <c r="J7385" i="34" a="1"/>
  <c r="J7386" i="34" a="1"/>
  <c r="J7387" i="34" a="1"/>
  <c r="J7388" i="34" a="1"/>
  <c r="J7389" i="34" a="1"/>
  <c r="J7390" i="34" a="1"/>
  <c r="J7391" i="34" a="1"/>
  <c r="J7392" i="34" a="1"/>
  <c r="J7393" i="34" a="1"/>
  <c r="J7394" i="34" a="1"/>
  <c r="J7395" i="34" a="1"/>
  <c r="J7396" i="34" a="1"/>
  <c r="J7397" i="34" a="1"/>
  <c r="J7398" i="34" a="1"/>
  <c r="J7399" i="34" a="1"/>
  <c r="J7400" i="34" a="1"/>
  <c r="J7401" i="34" a="1"/>
  <c r="J7402" i="34" a="1"/>
  <c r="J7403" i="34" a="1"/>
  <c r="J7404" i="34" a="1"/>
  <c r="J7405" i="34" a="1"/>
  <c r="J7406" i="34" a="1"/>
  <c r="J7407" i="34" a="1"/>
  <c r="J7408" i="34" a="1"/>
  <c r="J7409" i="34" a="1"/>
  <c r="J7410" i="34" a="1"/>
  <c r="J7411" i="34" a="1"/>
  <c r="J7412" i="34" a="1"/>
  <c r="J7413" i="34" a="1"/>
  <c r="J7414" i="34" a="1"/>
  <c r="J7415" i="34" a="1"/>
  <c r="J7416" i="34" a="1"/>
  <c r="J7417" i="34" a="1"/>
  <c r="J7418" i="34" a="1"/>
  <c r="J7419" i="34" a="1"/>
  <c r="J7420" i="34" a="1"/>
  <c r="J7421" i="34" a="1"/>
  <c r="J7422" i="34" a="1"/>
  <c r="J7423" i="34" a="1"/>
  <c r="J7424" i="34" a="1"/>
  <c r="J7425" i="34" a="1"/>
  <c r="J7426" i="34" a="1"/>
  <c r="J7427" i="34" a="1"/>
  <c r="J7428" i="34" a="1"/>
  <c r="J7429" i="34" a="1"/>
  <c r="J7430" i="34" a="1"/>
  <c r="J7431" i="34" a="1"/>
  <c r="J7432" i="34" a="1"/>
  <c r="J7433" i="34" a="1"/>
  <c r="J7434" i="34" a="1"/>
  <c r="J7435" i="34" a="1"/>
  <c r="J7436" i="34" a="1"/>
  <c r="J7437" i="34" a="1"/>
  <c r="J7438" i="34" a="1"/>
  <c r="J7439" i="34" a="1"/>
  <c r="J7440" i="34" a="1"/>
  <c r="J7441" i="34" a="1"/>
  <c r="J7442" i="34" a="1"/>
  <c r="J7443" i="34" a="1"/>
  <c r="J7444" i="34" a="1"/>
  <c r="J7445" i="34" a="1"/>
  <c r="J7446" i="34" a="1"/>
  <c r="J7447" i="34" a="1"/>
  <c r="J7448" i="34" a="1"/>
  <c r="J7449" i="34" a="1"/>
  <c r="J7450" i="34" a="1"/>
  <c r="J7451" i="34" a="1"/>
  <c r="J7452" i="34" a="1"/>
  <c r="J7453" i="34" a="1"/>
  <c r="J7454" i="34" a="1"/>
  <c r="J7455" i="34" a="1"/>
  <c r="J7456" i="34" a="1"/>
  <c r="J7457" i="34" a="1"/>
  <c r="J7458" i="34" a="1"/>
  <c r="J7459" i="34" a="1"/>
  <c r="J7460" i="34" a="1"/>
  <c r="J7461" i="34" a="1"/>
  <c r="J7462" i="34" a="1"/>
  <c r="J7463" i="34" a="1"/>
  <c r="J7464" i="34" a="1"/>
  <c r="J7465" i="34" a="1"/>
  <c r="J7466" i="34" a="1"/>
  <c r="J7467" i="34" a="1"/>
  <c r="J7468" i="34" a="1"/>
  <c r="J7469" i="34" a="1"/>
  <c r="J7470" i="34" a="1"/>
  <c r="J7471" i="34" a="1"/>
  <c r="J7472" i="34" a="1"/>
  <c r="J7473" i="34" a="1"/>
  <c r="J7474" i="34" a="1"/>
  <c r="J7475" i="34" a="1"/>
  <c r="J7476" i="34" a="1"/>
  <c r="J7477" i="34" a="1"/>
  <c r="J7478" i="34" a="1"/>
  <c r="J7479" i="34" a="1"/>
  <c r="J7480" i="34" a="1"/>
  <c r="J7481" i="34" a="1"/>
  <c r="J7482" i="34" a="1"/>
  <c r="J7483" i="34" a="1"/>
  <c r="J7484" i="34" a="1"/>
  <c r="J7485" i="34" a="1"/>
  <c r="J7486" i="34" a="1"/>
  <c r="J7487" i="34" a="1"/>
  <c r="J7488" i="34" a="1"/>
  <c r="J7489" i="34" a="1"/>
  <c r="J7490" i="34" a="1"/>
  <c r="J7491" i="34" a="1"/>
  <c r="J7492" i="34" a="1"/>
  <c r="J7493" i="34" a="1"/>
  <c r="J7494" i="34" a="1"/>
  <c r="J7495" i="34" a="1"/>
  <c r="J7496" i="34" a="1"/>
  <c r="J7497" i="34" a="1"/>
  <c r="J7498" i="34" a="1"/>
  <c r="J7499" i="34" a="1"/>
  <c r="J7500" i="34" a="1"/>
  <c r="J7501" i="34" a="1"/>
  <c r="J7502" i="34" a="1"/>
  <c r="J7503" i="34" a="1"/>
  <c r="J7504" i="34" a="1"/>
  <c r="J7505" i="34" a="1"/>
  <c r="J7506" i="34" a="1"/>
  <c r="J7507" i="34" a="1"/>
  <c r="J7508" i="34" a="1"/>
  <c r="J7509" i="34" a="1"/>
  <c r="J7510" i="34" a="1"/>
  <c r="J7511" i="34" a="1"/>
  <c r="J7512" i="34" a="1"/>
  <c r="J7513" i="34" a="1"/>
  <c r="J7514" i="34" a="1"/>
  <c r="J7515" i="34" a="1"/>
  <c r="J7516" i="34" a="1"/>
  <c r="J7517" i="34" a="1"/>
  <c r="J7518" i="34" a="1"/>
  <c r="J7519" i="34" a="1"/>
  <c r="J7520" i="34" a="1"/>
  <c r="J7521" i="34" a="1"/>
  <c r="J7522" i="34" a="1"/>
  <c r="J7523" i="34" a="1"/>
  <c r="J7524" i="34" a="1"/>
  <c r="J7525" i="34" a="1"/>
  <c r="J7526" i="34" a="1"/>
  <c r="J7527" i="34" a="1"/>
  <c r="J7528" i="34" a="1"/>
  <c r="J7529" i="34" a="1"/>
  <c r="J7530" i="34" a="1"/>
  <c r="J7531" i="34" a="1"/>
  <c r="J7532" i="34" a="1"/>
  <c r="J7533" i="34" a="1"/>
  <c r="J7534" i="34" a="1"/>
  <c r="J7535" i="34" a="1"/>
  <c r="J7536" i="34" a="1"/>
  <c r="J7537" i="34" a="1"/>
  <c r="J7538" i="34" a="1"/>
  <c r="J7539" i="34" a="1"/>
  <c r="J7540" i="34" a="1"/>
  <c r="J7541" i="34" a="1"/>
  <c r="J7542" i="34" a="1"/>
  <c r="J7543" i="34" a="1"/>
  <c r="J7544" i="34" a="1"/>
  <c r="J7545" i="34" a="1"/>
  <c r="J7546" i="34" a="1"/>
  <c r="J7547" i="34" a="1"/>
  <c r="J7548" i="34" a="1"/>
  <c r="J7549" i="34" a="1"/>
  <c r="J7550" i="34" a="1"/>
  <c r="J7551" i="34" a="1"/>
  <c r="J7552" i="34" a="1"/>
  <c r="J7553" i="34" a="1"/>
  <c r="J7554" i="34" a="1"/>
  <c r="J7555" i="34" a="1"/>
  <c r="J7556" i="34" a="1"/>
  <c r="J7557" i="34" a="1"/>
  <c r="J7558" i="34" a="1"/>
  <c r="J7559" i="34" a="1"/>
  <c r="J7560" i="34" a="1"/>
  <c r="J7561" i="34" a="1"/>
  <c r="J7562" i="34" a="1"/>
  <c r="J7563" i="34" a="1"/>
  <c r="J7564" i="34" a="1"/>
  <c r="J7565" i="34" a="1"/>
  <c r="J7566" i="34" a="1"/>
  <c r="J7567" i="34" a="1"/>
  <c r="J7568" i="34" a="1"/>
  <c r="J7569" i="34" a="1"/>
  <c r="J7570" i="34" a="1"/>
  <c r="J7571" i="34" a="1"/>
  <c r="J7572" i="34" a="1"/>
  <c r="J7573" i="34" a="1"/>
  <c r="J7574" i="34" a="1"/>
  <c r="J7575" i="34" a="1"/>
  <c r="J7576" i="34" a="1"/>
  <c r="J7577" i="34" a="1"/>
  <c r="J7578" i="34" a="1"/>
  <c r="J7579" i="34" a="1"/>
  <c r="J7580" i="34" a="1"/>
  <c r="J7581" i="34" a="1"/>
  <c r="J7582" i="34" a="1"/>
  <c r="J7583" i="34" a="1"/>
  <c r="J7584" i="34" a="1"/>
  <c r="J7585" i="34" a="1"/>
  <c r="J7586" i="34" a="1"/>
  <c r="J7587" i="34" a="1"/>
  <c r="J7588" i="34" a="1"/>
  <c r="J7589" i="34" a="1"/>
  <c r="J7590" i="34" a="1"/>
  <c r="J7591" i="34" a="1"/>
  <c r="J7592" i="34" a="1"/>
  <c r="J7593" i="34" a="1"/>
  <c r="J7594" i="34" a="1"/>
  <c r="J7595" i="34" a="1"/>
  <c r="J7596" i="34" a="1"/>
  <c r="J7597" i="34" a="1"/>
  <c r="J7598" i="34" a="1"/>
  <c r="J7599" i="34" a="1"/>
  <c r="J7600" i="34" a="1"/>
  <c r="J7601" i="34" a="1"/>
  <c r="J7602" i="34" a="1"/>
  <c r="J7603" i="34" a="1"/>
  <c r="J7604" i="34" a="1"/>
  <c r="J7605" i="34" a="1"/>
  <c r="J7606" i="34" a="1"/>
  <c r="J7607" i="34" a="1"/>
  <c r="J7608" i="34" a="1"/>
  <c r="J7609" i="34" a="1"/>
  <c r="J7610" i="34" a="1"/>
  <c r="J7611" i="34" a="1"/>
  <c r="J7612" i="34" a="1"/>
  <c r="J7613" i="34" a="1"/>
  <c r="J7614" i="34" a="1"/>
  <c r="J7615" i="34" a="1"/>
  <c r="J7616" i="34" a="1"/>
  <c r="J7617" i="34" a="1"/>
  <c r="J7618" i="34" a="1"/>
  <c r="J7619" i="34" a="1"/>
  <c r="J7620" i="34" a="1"/>
  <c r="J7621" i="34" a="1"/>
  <c r="J7622" i="34" a="1"/>
  <c r="J7623" i="34" a="1"/>
  <c r="J7624" i="34" a="1"/>
  <c r="J7625" i="34" a="1"/>
  <c r="J7626" i="34" a="1"/>
  <c r="J7627" i="34" a="1"/>
  <c r="J7628" i="34" a="1"/>
  <c r="J7629" i="34" a="1"/>
  <c r="J7630" i="34" a="1"/>
  <c r="J7631" i="34" a="1"/>
  <c r="J7632" i="34" a="1"/>
  <c r="J7633" i="34" a="1"/>
  <c r="J7634" i="34" a="1"/>
  <c r="J7635" i="34" a="1"/>
  <c r="J7636" i="34" a="1"/>
  <c r="J7637" i="34" a="1"/>
  <c r="J7638" i="34" a="1"/>
  <c r="J7639" i="34" a="1"/>
  <c r="J7640" i="34" a="1"/>
  <c r="J7641" i="34" a="1"/>
  <c r="J7642" i="34" a="1"/>
  <c r="J7643" i="34" a="1"/>
  <c r="J7644" i="34" a="1"/>
  <c r="J7645" i="34" a="1"/>
  <c r="J7646" i="34" a="1"/>
  <c r="J7647" i="34" a="1"/>
  <c r="J7648" i="34" a="1"/>
  <c r="J7649" i="34" a="1"/>
  <c r="J7650" i="34" a="1"/>
  <c r="J7651" i="34" a="1"/>
  <c r="J7652" i="34" a="1"/>
  <c r="J7653" i="34" a="1"/>
  <c r="J7654" i="34" a="1"/>
  <c r="J7655" i="34" a="1"/>
  <c r="J7656" i="34" a="1"/>
  <c r="J7657" i="34" a="1"/>
  <c r="J7658" i="34" a="1"/>
  <c r="J7659" i="34" a="1"/>
  <c r="J7660" i="34" a="1"/>
  <c r="J7661" i="34" a="1"/>
  <c r="J7662" i="34" a="1"/>
  <c r="J7663" i="34" a="1"/>
  <c r="J7664" i="34" a="1"/>
  <c r="J7665" i="34" a="1"/>
  <c r="J7666" i="34" a="1"/>
  <c r="J7667" i="34" a="1"/>
  <c r="J7668" i="34" a="1"/>
  <c r="J7669" i="34" a="1"/>
  <c r="J7670" i="34" a="1"/>
  <c r="J7671" i="34" a="1"/>
  <c r="J7672" i="34" a="1"/>
  <c r="J7673" i="34" a="1"/>
  <c r="J7674" i="34" a="1"/>
  <c r="J7675" i="34" a="1"/>
  <c r="J7676" i="34" a="1"/>
  <c r="J7677" i="34" a="1"/>
  <c r="J7678" i="34" a="1"/>
  <c r="J7679" i="34" a="1"/>
  <c r="J7680" i="34" a="1"/>
  <c r="J7681" i="34" a="1"/>
  <c r="J7682" i="34" a="1"/>
  <c r="J7683" i="34" a="1"/>
  <c r="J7684" i="34" a="1"/>
  <c r="J7685" i="34" a="1"/>
  <c r="J7686" i="34" a="1"/>
  <c r="J7687" i="34" a="1"/>
  <c r="J7688" i="34" a="1"/>
  <c r="J7689" i="34" a="1"/>
  <c r="J7690" i="34" a="1"/>
  <c r="J7691" i="34" a="1"/>
  <c r="J7692" i="34" a="1"/>
  <c r="J7693" i="34" a="1"/>
  <c r="J7694" i="34" a="1"/>
  <c r="J7695" i="34" a="1"/>
  <c r="J7696" i="34" a="1"/>
  <c r="J7697" i="34" a="1"/>
  <c r="J7698" i="34" a="1"/>
  <c r="J7699" i="34" a="1"/>
  <c r="J7700" i="34" a="1"/>
  <c r="J7701" i="34" a="1"/>
  <c r="J7702" i="34" a="1"/>
  <c r="J7703" i="34" a="1"/>
  <c r="J7704" i="34" a="1"/>
  <c r="J7705" i="34" a="1"/>
  <c r="J7706" i="34" a="1"/>
  <c r="J7707" i="34" a="1"/>
  <c r="J7708" i="34" a="1"/>
  <c r="J7709" i="34" a="1"/>
  <c r="J7710" i="34" a="1"/>
  <c r="J7711" i="34" a="1"/>
  <c r="J7712" i="34" a="1"/>
  <c r="J7713" i="34" a="1"/>
  <c r="J7714" i="34" a="1"/>
  <c r="J7715" i="34" a="1"/>
  <c r="J7716" i="34" a="1"/>
  <c r="J7717" i="34" a="1"/>
  <c r="J7718" i="34" a="1"/>
  <c r="J7719" i="34" a="1"/>
  <c r="J7720" i="34" a="1"/>
  <c r="J7721" i="34" a="1"/>
  <c r="J7722" i="34" a="1"/>
  <c r="J7723" i="34" a="1"/>
  <c r="J7724" i="34" a="1"/>
  <c r="J7725" i="34" a="1"/>
  <c r="J7726" i="34" a="1"/>
  <c r="J7727" i="34" a="1"/>
  <c r="J7728" i="34" a="1"/>
  <c r="J7729" i="34" a="1"/>
  <c r="J7730" i="34" a="1"/>
  <c r="J7731" i="34" a="1"/>
  <c r="J7732" i="34" a="1"/>
  <c r="J7733" i="34" a="1"/>
  <c r="J7734" i="34" a="1"/>
  <c r="J7735" i="34" a="1"/>
  <c r="J7736" i="34" a="1"/>
  <c r="J7737" i="34" a="1"/>
  <c r="J7738" i="34" a="1"/>
  <c r="J7739" i="34" a="1"/>
  <c r="J7740" i="34" a="1"/>
  <c r="J7741" i="34" a="1"/>
  <c r="J7742" i="34" a="1"/>
  <c r="J7743" i="34" a="1"/>
  <c r="J7744" i="34" a="1"/>
  <c r="J7745" i="34" a="1"/>
  <c r="J7746" i="34" a="1"/>
  <c r="J7747" i="34" a="1"/>
  <c r="J7748" i="34" a="1"/>
  <c r="J7749" i="34" a="1"/>
  <c r="J7750" i="34" a="1"/>
  <c r="J7751" i="34" a="1"/>
  <c r="J7752" i="34" a="1"/>
  <c r="J7753" i="34" a="1"/>
  <c r="J7754" i="34" a="1"/>
  <c r="J7755" i="34" a="1"/>
  <c r="J7756" i="34" a="1"/>
  <c r="J7757" i="34" a="1"/>
  <c r="J7758" i="34" a="1"/>
  <c r="J7759" i="34" a="1"/>
  <c r="J7760" i="34" a="1"/>
  <c r="J7761" i="34" a="1"/>
  <c r="J7762" i="34" a="1"/>
  <c r="J7763" i="34" a="1"/>
  <c r="J7764" i="34" a="1"/>
  <c r="J7765" i="34" a="1"/>
  <c r="J7766" i="34" a="1"/>
  <c r="J7767" i="34" a="1"/>
  <c r="J7768" i="34" a="1"/>
  <c r="J7769" i="34" a="1"/>
  <c r="J7770" i="34" a="1"/>
  <c r="J7771" i="34" a="1"/>
  <c r="J7772" i="34" a="1"/>
  <c r="J7773" i="34" a="1"/>
  <c r="J7774" i="34" a="1"/>
  <c r="J7775" i="34" a="1"/>
  <c r="J7776" i="34" a="1"/>
  <c r="J7777" i="34" a="1"/>
  <c r="J7778" i="34" a="1"/>
  <c r="J7779" i="34" a="1"/>
  <c r="J7780" i="34" a="1"/>
  <c r="J7781" i="34" a="1"/>
  <c r="J7782" i="34" a="1"/>
  <c r="J7783" i="34" a="1"/>
  <c r="J7784" i="34" a="1"/>
  <c r="J7785" i="34" a="1"/>
  <c r="J7786" i="34" a="1"/>
  <c r="J7787" i="34" a="1"/>
  <c r="J7788" i="34" a="1"/>
  <c r="J7789" i="34" a="1"/>
  <c r="J7790" i="34" a="1"/>
  <c r="J7791" i="34" a="1"/>
  <c r="J7792" i="34" a="1"/>
  <c r="J7793" i="34" a="1"/>
  <c r="J7794" i="34" a="1"/>
  <c r="J7795" i="34" a="1"/>
  <c r="J7796" i="34" a="1"/>
  <c r="J7797" i="34" a="1"/>
  <c r="J7798" i="34" a="1"/>
  <c r="J7799" i="34" a="1"/>
  <c r="J7800" i="34" a="1"/>
  <c r="J7801" i="34" a="1"/>
  <c r="J7802" i="34" a="1"/>
  <c r="J7803" i="34" a="1"/>
  <c r="J7804" i="34" a="1"/>
  <c r="J7805" i="34" a="1"/>
  <c r="J7806" i="34" a="1"/>
  <c r="J7807" i="34" a="1"/>
  <c r="J7808" i="34" a="1"/>
  <c r="J7809" i="34" a="1"/>
  <c r="J7810" i="34" a="1"/>
  <c r="J7811" i="34" a="1"/>
  <c r="J7812" i="34" a="1"/>
  <c r="J7813" i="34" a="1"/>
  <c r="J7814" i="34" a="1"/>
  <c r="J7815" i="34" a="1"/>
  <c r="J7816" i="34" a="1"/>
  <c r="J7817" i="34" a="1"/>
  <c r="J7818" i="34" a="1"/>
  <c r="J7819" i="34" a="1"/>
  <c r="J7820" i="34" a="1"/>
  <c r="J7821" i="34" a="1"/>
  <c r="J7822" i="34" a="1"/>
  <c r="J7823" i="34" a="1"/>
  <c r="J7824" i="34" a="1"/>
  <c r="J7825" i="34" a="1"/>
  <c r="J7826" i="34" a="1"/>
  <c r="J7827" i="34" a="1"/>
  <c r="J7828" i="34" a="1"/>
  <c r="J7829" i="34" a="1"/>
  <c r="J7830" i="34" a="1"/>
  <c r="J7831" i="34" a="1"/>
  <c r="J7832" i="34" a="1"/>
  <c r="J7833" i="34" a="1"/>
  <c r="J7834" i="34" a="1"/>
  <c r="J7835" i="34" a="1"/>
  <c r="J7836" i="34" a="1"/>
  <c r="J7837" i="34" a="1"/>
  <c r="J7838" i="34" a="1"/>
  <c r="J7839" i="34" a="1"/>
  <c r="J7840" i="34" a="1"/>
  <c r="J7841" i="34" a="1"/>
  <c r="J7842" i="34" a="1"/>
  <c r="J7843" i="34" a="1"/>
  <c r="J7844" i="34" a="1"/>
  <c r="J7845" i="34" a="1"/>
  <c r="J7846" i="34" a="1"/>
  <c r="J7847" i="34" a="1"/>
  <c r="J7848" i="34" a="1"/>
  <c r="J7849" i="34" a="1"/>
  <c r="J7850" i="34" a="1"/>
  <c r="J7851" i="34" a="1"/>
  <c r="J7852" i="34" a="1"/>
  <c r="J7853" i="34" a="1"/>
  <c r="J7854" i="34" a="1"/>
  <c r="J7855" i="34" a="1"/>
  <c r="J7856" i="34" a="1"/>
  <c r="J7857" i="34" a="1"/>
  <c r="J7858" i="34" a="1"/>
  <c r="J7859" i="34" a="1"/>
  <c r="J7860" i="34" a="1"/>
  <c r="J7861" i="34" a="1"/>
  <c r="J7862" i="34" a="1"/>
  <c r="J7863" i="34" a="1"/>
  <c r="J7864" i="34" a="1"/>
  <c r="J7865" i="34" a="1"/>
  <c r="J7866" i="34" a="1"/>
  <c r="J7867" i="34" a="1"/>
  <c r="J7868" i="34" a="1"/>
  <c r="J7869" i="34" a="1"/>
  <c r="J7870" i="34" a="1"/>
  <c r="J7871" i="34" a="1"/>
  <c r="J7872" i="34" a="1"/>
  <c r="J7873" i="34" a="1"/>
  <c r="J7874" i="34" a="1"/>
  <c r="J7875" i="34" a="1"/>
  <c r="J7876" i="34" a="1"/>
  <c r="J7877" i="34" a="1"/>
  <c r="J7878" i="34" a="1"/>
  <c r="J7879" i="34" a="1"/>
  <c r="J7880" i="34" a="1"/>
  <c r="J7881" i="34" a="1"/>
  <c r="J7882" i="34" a="1"/>
  <c r="J7883" i="34" a="1"/>
  <c r="J7884" i="34" a="1"/>
  <c r="J7885" i="34" a="1"/>
  <c r="J7886" i="34" a="1"/>
  <c r="J7887" i="34" a="1"/>
  <c r="J7888" i="34" a="1"/>
  <c r="J7889" i="34" a="1"/>
  <c r="J7890" i="34" a="1"/>
  <c r="J7891" i="34" a="1"/>
  <c r="J7892" i="34" a="1"/>
  <c r="J7893" i="34" a="1"/>
  <c r="J7894" i="34" a="1"/>
  <c r="J7895" i="34" a="1"/>
  <c r="J7896" i="34" a="1"/>
  <c r="J7897" i="34" a="1"/>
  <c r="J7898" i="34" a="1"/>
  <c r="J7899" i="34" a="1"/>
  <c r="J7900" i="34" a="1"/>
  <c r="J7901" i="34" a="1"/>
  <c r="J7902" i="34" a="1"/>
  <c r="J7903" i="34" a="1"/>
  <c r="J7904" i="34" a="1"/>
  <c r="J7905" i="34" a="1"/>
  <c r="J7906" i="34" a="1"/>
  <c r="J7907" i="34" a="1"/>
  <c r="J7908" i="34" a="1"/>
  <c r="J7909" i="34" a="1"/>
  <c r="J7910" i="34" a="1"/>
  <c r="J7911" i="34" a="1"/>
  <c r="J7912" i="34" a="1"/>
  <c r="J7913" i="34" a="1"/>
  <c r="J7914" i="34" a="1"/>
  <c r="J7915" i="34" a="1"/>
  <c r="J7916" i="34" a="1"/>
  <c r="J7917" i="34" a="1"/>
  <c r="J7918" i="34" a="1"/>
  <c r="J7919" i="34" a="1"/>
  <c r="J7920" i="34" a="1"/>
  <c r="J7921" i="34" a="1"/>
  <c r="J7922" i="34" a="1"/>
  <c r="J7923" i="34" a="1"/>
  <c r="J7924" i="34" a="1"/>
  <c r="J7925" i="34" a="1"/>
  <c r="J7926" i="34" a="1"/>
  <c r="J7927" i="34" a="1"/>
  <c r="J7928" i="34" a="1"/>
  <c r="J7929" i="34" a="1"/>
  <c r="J7930" i="34" a="1"/>
  <c r="J7931" i="34" a="1"/>
  <c r="J7932" i="34" a="1"/>
  <c r="J7933" i="34" a="1"/>
  <c r="J7934" i="34" a="1"/>
  <c r="J7935" i="34" a="1"/>
  <c r="J7936" i="34" a="1"/>
  <c r="J7937" i="34" a="1"/>
  <c r="J7938" i="34" a="1"/>
  <c r="J7939" i="34" a="1"/>
  <c r="J7940" i="34" a="1"/>
  <c r="J7941" i="34" a="1"/>
  <c r="J7942" i="34" a="1"/>
  <c r="J7943" i="34" a="1"/>
  <c r="J7944" i="34" a="1"/>
  <c r="J7945" i="34" a="1"/>
  <c r="J7946" i="34" a="1"/>
  <c r="J7947" i="34" a="1"/>
  <c r="J7948" i="34" a="1"/>
  <c r="J7949" i="34" a="1"/>
  <c r="J7950" i="34" a="1"/>
  <c r="J7951" i="34" a="1"/>
  <c r="J7952" i="34" a="1"/>
  <c r="J7953" i="34" a="1"/>
  <c r="J7954" i="34" a="1"/>
  <c r="J7955" i="34" a="1"/>
  <c r="J7956" i="34" a="1"/>
  <c r="J7957" i="34" a="1"/>
  <c r="J7958" i="34" a="1"/>
  <c r="J7959" i="34" a="1"/>
  <c r="J7960" i="34" a="1"/>
  <c r="J7961" i="34" a="1"/>
  <c r="J7962" i="34" a="1"/>
  <c r="J7963" i="34" a="1"/>
  <c r="J7964" i="34" a="1"/>
  <c r="J7965" i="34" a="1"/>
  <c r="J7966" i="34" a="1"/>
  <c r="J7967" i="34" a="1"/>
  <c r="J7968" i="34" a="1"/>
  <c r="J7969" i="34" a="1"/>
  <c r="J7970" i="34" a="1"/>
  <c r="J7971" i="34" a="1"/>
  <c r="J7972" i="34" a="1"/>
  <c r="J7973" i="34" a="1"/>
  <c r="J7974" i="34" a="1"/>
  <c r="J7975" i="34" a="1"/>
  <c r="J7976" i="34" a="1"/>
  <c r="J7977" i="34" a="1"/>
  <c r="J7978" i="34" a="1"/>
  <c r="J7979" i="34" a="1"/>
  <c r="J7980" i="34" a="1"/>
  <c r="J7981" i="34" a="1"/>
  <c r="J7982" i="34" a="1"/>
  <c r="J7983" i="34" a="1"/>
  <c r="J7984" i="34" a="1"/>
  <c r="J7985" i="34" a="1"/>
  <c r="J7986" i="34" a="1"/>
  <c r="J7987" i="34" a="1"/>
  <c r="J7988" i="34" a="1"/>
  <c r="J7989" i="34" a="1"/>
  <c r="J7990" i="34" a="1"/>
  <c r="J7991" i="34" a="1"/>
  <c r="J7992" i="34" a="1"/>
  <c r="J7993" i="34" a="1"/>
  <c r="J7994" i="34" a="1"/>
  <c r="J7995" i="34" a="1"/>
  <c r="J7996" i="34" a="1"/>
  <c r="J7997" i="34" a="1"/>
  <c r="J7998" i="34" a="1"/>
  <c r="J7999" i="34" a="1"/>
  <c r="J8000" i="34" a="1"/>
  <c r="J8001" i="34" a="1"/>
  <c r="J8002" i="34" a="1"/>
  <c r="J8003" i="34" a="1"/>
  <c r="J8004" i="34" a="1"/>
  <c r="J8005" i="34" a="1"/>
  <c r="J8006" i="34" a="1"/>
  <c r="J8007" i="34" a="1"/>
  <c r="J8008" i="34" a="1"/>
  <c r="J8009" i="34" a="1"/>
  <c r="J8010" i="34" a="1"/>
  <c r="J8011" i="34" a="1"/>
  <c r="J8012" i="34" a="1"/>
  <c r="J8013" i="34" a="1"/>
  <c r="J8014" i="34" a="1"/>
  <c r="J8015" i="34" a="1"/>
  <c r="J8016" i="34" a="1"/>
  <c r="J8017" i="34" a="1"/>
  <c r="J8018" i="34" a="1"/>
  <c r="J8019" i="34" a="1"/>
  <c r="J8020" i="34" a="1"/>
  <c r="J8021" i="34" a="1"/>
  <c r="J8022" i="34" a="1"/>
  <c r="J8023" i="34" a="1"/>
  <c r="J8024" i="34" a="1"/>
  <c r="J8025" i="34" a="1"/>
  <c r="J8026" i="34" a="1"/>
  <c r="J8027" i="34" a="1"/>
  <c r="J8028" i="34" a="1"/>
  <c r="J8029" i="34" a="1"/>
  <c r="J8030" i="34" a="1"/>
  <c r="J8031" i="34" a="1"/>
  <c r="J8032" i="34" a="1"/>
  <c r="J8033" i="34" a="1"/>
  <c r="J8034" i="34" a="1"/>
  <c r="J8035" i="34" a="1"/>
  <c r="J8036" i="34" a="1"/>
  <c r="J8037" i="34" a="1"/>
  <c r="J8038" i="34" a="1"/>
  <c r="J8039" i="34" a="1"/>
  <c r="J8040" i="34" a="1"/>
  <c r="J8041" i="34" a="1"/>
  <c r="J8042" i="34" a="1"/>
  <c r="J8043" i="34" a="1"/>
  <c r="J8044" i="34" a="1"/>
  <c r="J8045" i="34" a="1"/>
  <c r="J8046" i="34" a="1"/>
  <c r="J8047" i="34" a="1"/>
  <c r="J8048" i="34" a="1"/>
  <c r="J8049" i="34" a="1"/>
  <c r="J8050" i="34" a="1"/>
  <c r="J8051" i="34" a="1"/>
  <c r="J8052" i="34" a="1"/>
  <c r="J8053" i="34" a="1"/>
  <c r="J8054" i="34" a="1"/>
  <c r="J8055" i="34" a="1"/>
  <c r="J8056" i="34" a="1"/>
  <c r="J8057" i="34" a="1"/>
  <c r="J8058" i="34" a="1"/>
  <c r="J8059" i="34" a="1"/>
  <c r="J8060" i="34" a="1"/>
  <c r="J8061" i="34" a="1"/>
  <c r="J8062" i="34" a="1"/>
  <c r="J8063" i="34" a="1"/>
  <c r="J8064" i="34" a="1"/>
  <c r="J8065" i="34" a="1"/>
  <c r="J8066" i="34" a="1"/>
  <c r="J8067" i="34" a="1"/>
  <c r="J8068" i="34" a="1"/>
  <c r="J8069" i="34" a="1"/>
  <c r="J8070" i="34" a="1"/>
  <c r="J8071" i="34" a="1"/>
  <c r="J8072" i="34" a="1"/>
  <c r="J8073" i="34" a="1"/>
  <c r="J8074" i="34" a="1"/>
  <c r="J8075" i="34" a="1"/>
  <c r="J8076" i="34" a="1"/>
  <c r="J8077" i="34" a="1"/>
  <c r="J8078" i="34" a="1"/>
  <c r="J8079" i="34" a="1"/>
  <c r="J8080" i="34" a="1"/>
  <c r="J8081" i="34" a="1"/>
  <c r="J8082" i="34" a="1"/>
  <c r="J8083" i="34" a="1"/>
  <c r="J8084" i="34" a="1"/>
  <c r="J8085" i="34" a="1"/>
  <c r="J8086" i="34" a="1"/>
  <c r="J8087" i="34" a="1"/>
  <c r="J8088" i="34" a="1"/>
  <c r="J8089" i="34" a="1"/>
  <c r="J8090" i="34" a="1"/>
  <c r="J8091" i="34" a="1"/>
  <c r="J8092" i="34" a="1"/>
  <c r="J8093" i="34" a="1"/>
  <c r="J8094" i="34" a="1"/>
  <c r="J8095" i="34" a="1"/>
  <c r="J8096" i="34" a="1"/>
  <c r="J8097" i="34" a="1"/>
  <c r="J8098" i="34" a="1"/>
  <c r="J8099" i="34" a="1"/>
  <c r="J8100" i="34" a="1"/>
  <c r="J8101" i="34" a="1"/>
  <c r="J8102" i="34" a="1"/>
  <c r="J8103" i="34" a="1"/>
  <c r="J8104" i="34" a="1"/>
  <c r="J8105" i="34" a="1"/>
  <c r="J8106" i="34" a="1"/>
  <c r="J8107" i="34" a="1"/>
  <c r="J8108" i="34" a="1"/>
  <c r="J8109" i="34" a="1"/>
  <c r="J8110" i="34" a="1"/>
  <c r="J8111" i="34" a="1"/>
  <c r="J8112" i="34" a="1"/>
  <c r="J8113" i="34" a="1"/>
  <c r="J8114" i="34" a="1"/>
  <c r="J8115" i="34" a="1"/>
  <c r="J8116" i="34" a="1"/>
  <c r="J8117" i="34" a="1"/>
  <c r="J8118" i="34" a="1"/>
  <c r="J8119" i="34" a="1"/>
  <c r="J8120" i="34" a="1"/>
  <c r="J8121" i="34" a="1"/>
  <c r="J8122" i="34" a="1"/>
  <c r="J8123" i="34" a="1"/>
  <c r="J8124" i="34" a="1"/>
  <c r="J8125" i="34" a="1"/>
  <c r="J8126" i="34" a="1"/>
  <c r="J8127" i="34" a="1"/>
  <c r="J8128" i="34" a="1"/>
  <c r="J8129" i="34" a="1"/>
  <c r="J8130" i="34" a="1"/>
  <c r="J8131" i="34" a="1"/>
  <c r="J8132" i="34" a="1"/>
  <c r="J8133" i="34" a="1"/>
  <c r="J8134" i="34" a="1"/>
  <c r="J8135" i="34" a="1"/>
  <c r="J8136" i="34" a="1"/>
  <c r="J8137" i="34" a="1"/>
  <c r="J8138" i="34" a="1"/>
  <c r="J8139" i="34" a="1"/>
  <c r="J8140" i="34" a="1"/>
  <c r="J8141" i="34" a="1"/>
  <c r="J8142" i="34" a="1"/>
  <c r="J8143" i="34" a="1"/>
  <c r="J8144" i="34" a="1"/>
  <c r="J8145" i="34" a="1"/>
  <c r="J8146" i="34" a="1"/>
  <c r="J8147" i="34" a="1"/>
  <c r="J8148" i="34" a="1"/>
  <c r="J8149" i="34" a="1"/>
  <c r="J8150" i="34" a="1"/>
  <c r="J8151" i="34" a="1"/>
  <c r="J8152" i="34" a="1"/>
  <c r="J8153" i="34" a="1"/>
  <c r="J8154" i="34" a="1"/>
  <c r="J8155" i="34" a="1"/>
  <c r="J8156" i="34" a="1"/>
  <c r="J8157" i="34" a="1"/>
  <c r="J8158" i="34" a="1"/>
  <c r="J8159" i="34" a="1"/>
  <c r="J8160" i="34" a="1"/>
  <c r="J8161" i="34" a="1"/>
  <c r="J8162" i="34" a="1"/>
  <c r="J8163" i="34" a="1"/>
  <c r="J8164" i="34" a="1"/>
  <c r="J8165" i="34" a="1"/>
  <c r="J8166" i="34" a="1"/>
  <c r="J8167" i="34" a="1"/>
  <c r="J8168" i="34" a="1"/>
  <c r="J8169" i="34" a="1"/>
  <c r="J8170" i="34" a="1"/>
  <c r="J8171" i="34" a="1"/>
  <c r="J8172" i="34" a="1"/>
  <c r="J8173" i="34" a="1"/>
  <c r="J8174" i="34" a="1"/>
  <c r="J8175" i="34" a="1"/>
  <c r="J8176" i="34" a="1"/>
  <c r="J8177" i="34" a="1"/>
  <c r="J8178" i="34" a="1"/>
  <c r="J8179" i="34" a="1"/>
  <c r="J8180" i="34" a="1"/>
  <c r="J8181" i="34" a="1"/>
  <c r="J8182" i="34" a="1"/>
  <c r="J8183" i="34" a="1"/>
  <c r="J8184" i="34" a="1"/>
  <c r="J8185" i="34" a="1"/>
  <c r="J8186" i="34" a="1"/>
  <c r="J8187" i="34" a="1"/>
  <c r="J8188" i="34" a="1"/>
  <c r="J8189" i="34" a="1"/>
  <c r="J8190" i="34" a="1"/>
  <c r="J8191" i="34" a="1"/>
  <c r="J8192" i="34" a="1"/>
  <c r="J8193" i="34" a="1"/>
  <c r="J8194" i="34" a="1"/>
  <c r="J8195" i="34" a="1"/>
  <c r="J8196" i="34" a="1"/>
  <c r="J8197" i="34" a="1"/>
  <c r="J8198" i="34" a="1"/>
  <c r="J8199" i="34" a="1"/>
  <c r="J8200" i="34" a="1"/>
  <c r="J8201" i="34" a="1"/>
  <c r="J8202" i="34" a="1"/>
  <c r="J8203" i="34" a="1"/>
  <c r="J8204" i="34" a="1"/>
  <c r="J8205" i="34" a="1"/>
  <c r="J8206" i="34" a="1"/>
  <c r="J8207" i="34" a="1"/>
  <c r="J8208" i="34" a="1"/>
  <c r="J8209" i="34" a="1"/>
  <c r="J8210" i="34" a="1"/>
  <c r="J8211" i="34" a="1"/>
  <c r="J8212" i="34" a="1"/>
  <c r="J8213" i="34" a="1"/>
  <c r="J8214" i="34" a="1"/>
  <c r="J8215" i="34" a="1"/>
  <c r="J8216" i="34" a="1"/>
  <c r="J8217" i="34" a="1"/>
  <c r="J8218" i="34" a="1"/>
  <c r="J8219" i="34" a="1"/>
  <c r="J8220" i="34" a="1"/>
  <c r="J8221" i="34" a="1"/>
  <c r="J8222" i="34" a="1"/>
  <c r="J8223" i="34" a="1"/>
  <c r="J8224" i="34" a="1"/>
  <c r="J8225" i="34" a="1"/>
  <c r="J8226" i="34" a="1"/>
  <c r="J8227" i="34" a="1"/>
  <c r="J8228" i="34" a="1"/>
  <c r="J8229" i="34" a="1"/>
  <c r="J8230" i="34" a="1"/>
  <c r="J8231" i="34" a="1"/>
  <c r="J8232" i="34" a="1"/>
  <c r="J8233" i="34" a="1"/>
  <c r="J8234" i="34" a="1"/>
  <c r="J8235" i="34" a="1"/>
  <c r="J8236" i="34" a="1"/>
  <c r="J8237" i="34" a="1"/>
  <c r="J8238" i="34" a="1"/>
  <c r="J8239" i="34" a="1"/>
  <c r="J8240" i="34" a="1"/>
  <c r="J8241" i="34" a="1"/>
  <c r="J8242" i="34" a="1"/>
  <c r="J8243" i="34" a="1"/>
  <c r="J8244" i="34" a="1"/>
  <c r="J8245" i="34" a="1"/>
  <c r="J8246" i="34" a="1"/>
  <c r="J8247" i="34" a="1"/>
  <c r="J8248" i="34" a="1"/>
  <c r="J8249" i="34" a="1"/>
  <c r="J8250" i="34" a="1"/>
  <c r="J8251" i="34" a="1"/>
  <c r="J8252" i="34" a="1"/>
  <c r="J8253" i="34" a="1"/>
  <c r="J8254" i="34" a="1"/>
  <c r="J8255" i="34" a="1"/>
  <c r="J8256" i="34" a="1"/>
  <c r="J8257" i="34" a="1"/>
  <c r="J8258" i="34" a="1"/>
  <c r="J8259" i="34" a="1"/>
  <c r="J8260" i="34" a="1"/>
  <c r="J8261" i="34" a="1"/>
  <c r="J8262" i="34" a="1"/>
  <c r="J8263" i="34" a="1"/>
  <c r="J8264" i="34" a="1"/>
  <c r="J8265" i="34" a="1"/>
  <c r="J8266" i="34" a="1"/>
  <c r="J8267" i="34" a="1"/>
  <c r="J8268" i="34" a="1"/>
  <c r="J8269" i="34" a="1"/>
  <c r="J8270" i="34" a="1"/>
  <c r="J8271" i="34" a="1"/>
  <c r="J8272" i="34" a="1"/>
  <c r="J8273" i="34" a="1"/>
  <c r="J8274" i="34" a="1"/>
  <c r="J8275" i="34" a="1"/>
  <c r="J8276" i="34" a="1"/>
  <c r="J8277" i="34" a="1"/>
  <c r="J8278" i="34" a="1"/>
  <c r="J8279" i="34" a="1"/>
  <c r="J8280" i="34" a="1"/>
  <c r="J8281" i="34" a="1"/>
  <c r="J8282" i="34" a="1"/>
  <c r="J8283" i="34" a="1"/>
  <c r="J8284" i="34" a="1"/>
  <c r="J8285" i="34" a="1"/>
  <c r="J8286" i="34" a="1"/>
  <c r="J8287" i="34" a="1"/>
  <c r="J8288" i="34" a="1"/>
  <c r="J8289" i="34" a="1"/>
  <c r="J8290" i="34" a="1"/>
  <c r="J8291" i="34" a="1"/>
  <c r="J8292" i="34" a="1"/>
  <c r="J8293" i="34" a="1"/>
  <c r="J8294" i="34" a="1"/>
  <c r="J8295" i="34" a="1"/>
  <c r="J8296" i="34" a="1"/>
  <c r="J8297" i="34" a="1"/>
  <c r="J8298" i="34" a="1"/>
  <c r="J8299" i="34" a="1"/>
  <c r="J8300" i="34" a="1"/>
  <c r="J8301" i="34" a="1"/>
  <c r="J8302" i="34" a="1"/>
  <c r="J8303" i="34" a="1"/>
  <c r="J8304" i="34" a="1"/>
  <c r="J8305" i="34" a="1"/>
  <c r="J8306" i="34" a="1"/>
  <c r="J8307" i="34" a="1"/>
  <c r="J8308" i="34" a="1"/>
  <c r="J8309" i="34" a="1"/>
  <c r="J8310" i="34" a="1"/>
  <c r="J8311" i="34" a="1"/>
  <c r="J8312" i="34" a="1"/>
  <c r="J8313" i="34" a="1"/>
  <c r="J8314" i="34" a="1"/>
  <c r="J8315" i="34" a="1"/>
  <c r="J8316" i="34" a="1"/>
  <c r="J8317" i="34" a="1"/>
  <c r="J8318" i="34" a="1"/>
  <c r="J8319" i="34" a="1"/>
  <c r="J8320" i="34" a="1"/>
  <c r="J8321" i="34" a="1"/>
  <c r="J8322" i="34" a="1"/>
  <c r="J8323" i="34" a="1"/>
  <c r="J8324" i="34" a="1"/>
  <c r="J8325" i="34" a="1"/>
  <c r="J8326" i="34" a="1"/>
  <c r="J8327" i="34" a="1"/>
  <c r="J8328" i="34" a="1"/>
  <c r="J8329" i="34" a="1"/>
  <c r="J8330" i="34" a="1"/>
  <c r="J8331" i="34" a="1"/>
  <c r="J8332" i="34" a="1"/>
  <c r="J8333" i="34" a="1"/>
  <c r="J8334" i="34" a="1"/>
  <c r="J8335" i="34" a="1"/>
  <c r="J8336" i="34" a="1"/>
  <c r="J8337" i="34" a="1"/>
  <c r="J8338" i="34" a="1"/>
  <c r="J8339" i="34" a="1"/>
  <c r="J8340" i="34" a="1"/>
  <c r="J8341" i="34" a="1"/>
  <c r="J8342" i="34" a="1"/>
  <c r="J8343" i="34" a="1"/>
  <c r="J8344" i="34" a="1"/>
  <c r="J8345" i="34" a="1"/>
  <c r="J8346" i="34" a="1"/>
  <c r="J8347" i="34" a="1"/>
  <c r="J8348" i="34" a="1"/>
  <c r="J8349" i="34" a="1"/>
  <c r="J8350" i="34" a="1"/>
  <c r="J8351" i="34" a="1"/>
  <c r="J8352" i="34" a="1"/>
  <c r="J8353" i="34" a="1"/>
  <c r="J8354" i="34" a="1"/>
  <c r="J8355" i="34" a="1"/>
  <c r="J8356" i="34" a="1"/>
  <c r="J8357" i="34" a="1"/>
  <c r="J8358" i="34" a="1"/>
  <c r="J8359" i="34" a="1"/>
  <c r="J8360" i="34" a="1"/>
  <c r="J8361" i="34" a="1"/>
  <c r="J8362" i="34" a="1"/>
  <c r="J8363" i="34" a="1"/>
  <c r="J8364" i="34" a="1"/>
  <c r="J8365" i="34" a="1"/>
  <c r="J8366" i="34" a="1"/>
  <c r="J8367" i="34" a="1"/>
  <c r="J8368" i="34" a="1"/>
  <c r="J8369" i="34" a="1"/>
  <c r="J8370" i="34" a="1"/>
  <c r="J8371" i="34" a="1"/>
  <c r="J8372" i="34" a="1"/>
  <c r="J8373" i="34" a="1"/>
  <c r="J8374" i="34" a="1"/>
  <c r="J8375" i="34" a="1"/>
  <c r="J8376" i="34" a="1"/>
  <c r="J8377" i="34" a="1"/>
  <c r="J8378" i="34" a="1"/>
  <c r="J8379" i="34" a="1"/>
  <c r="J8380" i="34" a="1"/>
  <c r="J8381" i="34" a="1"/>
  <c r="J8382" i="34" a="1"/>
  <c r="J8383" i="34" a="1"/>
  <c r="J8384" i="34" a="1"/>
  <c r="J8385" i="34" a="1"/>
  <c r="J8386" i="34" a="1"/>
  <c r="J8387" i="34" a="1"/>
  <c r="J8388" i="34" a="1"/>
  <c r="J8389" i="34" a="1"/>
  <c r="J8390" i="34" a="1"/>
  <c r="J8391" i="34" a="1"/>
  <c r="J8392" i="34" a="1"/>
  <c r="J8393" i="34" a="1"/>
  <c r="J8394" i="34" a="1"/>
  <c r="J8395" i="34" a="1"/>
  <c r="J8396" i="34" a="1"/>
  <c r="J8397" i="34" a="1"/>
  <c r="J8398" i="34" a="1"/>
  <c r="J8399" i="34" a="1"/>
  <c r="J8400" i="34" a="1"/>
  <c r="J8401" i="34" a="1"/>
  <c r="J8402" i="34" a="1"/>
  <c r="J8403" i="34" a="1"/>
  <c r="J8404" i="34" a="1"/>
  <c r="J8405" i="34" a="1"/>
  <c r="J8406" i="34" a="1"/>
  <c r="J8407" i="34" a="1"/>
  <c r="J8408" i="34" a="1"/>
  <c r="J8409" i="34" a="1"/>
  <c r="J8410" i="34" a="1"/>
  <c r="J8411" i="34" a="1"/>
  <c r="J8412" i="34" a="1"/>
  <c r="J8413" i="34" a="1"/>
  <c r="J8414" i="34" a="1"/>
  <c r="J8415" i="34" a="1"/>
  <c r="J8416" i="34" a="1"/>
  <c r="J8417" i="34" a="1"/>
  <c r="J8418" i="34" a="1"/>
  <c r="J8419" i="34" a="1"/>
  <c r="J8420" i="34" a="1"/>
  <c r="J8421" i="34" a="1"/>
  <c r="J8422" i="34" a="1"/>
  <c r="J8423" i="34" a="1"/>
  <c r="J8424" i="34" a="1"/>
  <c r="J8425" i="34" a="1"/>
  <c r="J8426" i="34" a="1"/>
  <c r="J8427" i="34" a="1"/>
  <c r="J8428" i="34" a="1"/>
  <c r="J8429" i="34" a="1"/>
  <c r="J8430" i="34" a="1"/>
  <c r="J8431" i="34" a="1"/>
  <c r="J8432" i="34" a="1"/>
  <c r="J8433" i="34" a="1"/>
  <c r="J8434" i="34" a="1"/>
  <c r="J8435" i="34" a="1"/>
  <c r="J8436" i="34" a="1"/>
  <c r="J8437" i="34" a="1"/>
  <c r="J8438" i="34" a="1"/>
  <c r="J8439" i="34" a="1"/>
  <c r="J8440" i="34" a="1"/>
  <c r="J8441" i="34" a="1"/>
  <c r="J8442" i="34" a="1"/>
  <c r="J8443" i="34" a="1"/>
  <c r="J8444" i="34" a="1"/>
  <c r="J8445" i="34" a="1"/>
  <c r="J8446" i="34" a="1"/>
  <c r="J8447" i="34" a="1"/>
  <c r="J8448" i="34" a="1"/>
  <c r="J8449" i="34" a="1"/>
  <c r="J8450" i="34" a="1"/>
  <c r="J8451" i="34" a="1"/>
  <c r="J8452" i="34" a="1"/>
  <c r="J8453" i="34" a="1"/>
  <c r="J8454" i="34" a="1"/>
  <c r="J8455" i="34" a="1"/>
  <c r="J8456" i="34" a="1"/>
  <c r="J8457" i="34" a="1"/>
  <c r="J8458" i="34" a="1"/>
  <c r="J8459" i="34" a="1"/>
  <c r="J8460" i="34" a="1"/>
  <c r="J8461" i="34" a="1"/>
  <c r="J8462" i="34" a="1"/>
  <c r="J8463" i="34" a="1"/>
  <c r="J8464" i="34" a="1"/>
  <c r="J8465" i="34" a="1"/>
  <c r="J8466" i="34" a="1"/>
  <c r="J8467" i="34" a="1"/>
  <c r="J8468" i="34" a="1"/>
  <c r="J8469" i="34" a="1"/>
  <c r="J8470" i="34" a="1"/>
  <c r="J8471" i="34" a="1"/>
  <c r="J8472" i="34" a="1"/>
  <c r="J8473" i="34" a="1"/>
  <c r="J8474" i="34" a="1"/>
  <c r="J8475" i="34" a="1"/>
  <c r="J8476" i="34" a="1"/>
  <c r="J8477" i="34" a="1"/>
  <c r="J8478" i="34" a="1"/>
  <c r="J8479" i="34" a="1"/>
  <c r="J8480" i="34" a="1"/>
  <c r="J8481" i="34" a="1"/>
  <c r="J8482" i="34" a="1"/>
  <c r="J8483" i="34" a="1"/>
  <c r="J8484" i="34" a="1"/>
  <c r="J8485" i="34" a="1"/>
  <c r="J8486" i="34" a="1"/>
  <c r="J8487" i="34" a="1"/>
  <c r="J8488" i="34" a="1"/>
  <c r="J8489" i="34" a="1"/>
  <c r="J8490" i="34" a="1"/>
  <c r="J8491" i="34" a="1"/>
  <c r="J8492" i="34" a="1"/>
  <c r="J8493" i="34" a="1"/>
  <c r="J8494" i="34" a="1"/>
  <c r="J8495" i="34" a="1"/>
  <c r="J8496" i="34" a="1"/>
  <c r="J8497" i="34" a="1"/>
  <c r="J8498" i="34" a="1"/>
  <c r="J8499" i="34" a="1"/>
  <c r="J8500" i="34" a="1"/>
  <c r="J8501" i="34" a="1"/>
  <c r="J8502" i="34" a="1"/>
  <c r="J8503" i="34" a="1"/>
  <c r="J8504" i="34" a="1"/>
  <c r="J8505" i="34" a="1"/>
  <c r="J8506" i="34" a="1"/>
  <c r="J8507" i="34" a="1"/>
  <c r="J8508" i="34" a="1"/>
  <c r="J8509" i="34" a="1"/>
  <c r="J8510" i="34" a="1"/>
  <c r="J8511" i="34" a="1"/>
  <c r="J8512" i="34" a="1"/>
  <c r="J8513" i="34" a="1"/>
  <c r="J8514" i="34" a="1"/>
  <c r="J8515" i="34" a="1"/>
  <c r="J8516" i="34" a="1"/>
  <c r="J8517" i="34" a="1"/>
  <c r="J8518" i="34" a="1"/>
  <c r="J8519" i="34" a="1"/>
  <c r="J8520" i="34" a="1"/>
  <c r="J8521" i="34" a="1"/>
  <c r="J8522" i="34" a="1"/>
  <c r="J8523" i="34" a="1"/>
  <c r="J8524" i="34" a="1"/>
  <c r="J8525" i="34" a="1"/>
  <c r="J8526" i="34" a="1"/>
  <c r="J8527" i="34" a="1"/>
  <c r="J8528" i="34" a="1"/>
  <c r="J8529" i="34" a="1"/>
  <c r="J8530" i="34" a="1"/>
  <c r="J8531" i="34" a="1"/>
  <c r="J8532" i="34" a="1"/>
  <c r="J8533" i="34" a="1"/>
  <c r="J8534" i="34" a="1"/>
  <c r="J8535" i="34" a="1"/>
  <c r="J8536" i="34" a="1"/>
  <c r="J8537" i="34" a="1"/>
  <c r="J8538" i="34" a="1"/>
  <c r="J8539" i="34" a="1"/>
  <c r="J8540" i="34" a="1"/>
  <c r="J8541" i="34" a="1"/>
  <c r="J8542" i="34" a="1"/>
  <c r="J8543" i="34" a="1"/>
  <c r="J8544" i="34" a="1"/>
  <c r="J8545" i="34" a="1"/>
  <c r="J8546" i="34" a="1"/>
  <c r="J8547" i="34" a="1"/>
  <c r="J8548" i="34" a="1"/>
  <c r="J8549" i="34" a="1"/>
  <c r="J8550" i="34" a="1"/>
  <c r="J8551" i="34" a="1"/>
  <c r="J8552" i="34" a="1"/>
  <c r="J8553" i="34" a="1"/>
  <c r="J8554" i="34" a="1"/>
  <c r="J8555" i="34" a="1"/>
  <c r="J8556" i="34" a="1"/>
  <c r="J8557" i="34" a="1"/>
  <c r="J8558" i="34" a="1"/>
  <c r="J8559" i="34" a="1"/>
  <c r="J8560" i="34" a="1"/>
  <c r="J8561" i="34" a="1"/>
  <c r="J8562" i="34" a="1"/>
  <c r="J8563" i="34" a="1"/>
  <c r="J8564" i="34" a="1"/>
  <c r="J8565" i="34" a="1"/>
  <c r="J8566" i="34" a="1"/>
  <c r="J8567" i="34" a="1"/>
  <c r="J8568" i="34" a="1"/>
  <c r="J8569" i="34" a="1"/>
  <c r="J8570" i="34" a="1"/>
  <c r="J8571" i="34" a="1"/>
  <c r="J8572" i="34" a="1"/>
  <c r="J8573" i="34" a="1"/>
  <c r="J8574" i="34" a="1"/>
  <c r="J8575" i="34" a="1"/>
  <c r="J8576" i="34" a="1"/>
  <c r="J8577" i="34" a="1"/>
  <c r="J8578" i="34" a="1"/>
  <c r="J8579" i="34" a="1"/>
  <c r="J8580" i="34" a="1"/>
  <c r="J8581" i="34" a="1"/>
  <c r="J8582" i="34" a="1"/>
  <c r="J8583" i="34" a="1"/>
  <c r="J8584" i="34" a="1"/>
  <c r="J8585" i="34" a="1"/>
  <c r="J8586" i="34" a="1"/>
  <c r="J8587" i="34" a="1"/>
  <c r="J8588" i="34" a="1"/>
  <c r="J8589" i="34" a="1"/>
  <c r="J8590" i="34" a="1"/>
  <c r="J8591" i="34" a="1"/>
  <c r="J8592" i="34" a="1"/>
  <c r="J8593" i="34" a="1"/>
  <c r="J8594" i="34" a="1"/>
  <c r="J8595" i="34" a="1"/>
  <c r="J8596" i="34" a="1"/>
  <c r="J8597" i="34" a="1"/>
  <c r="J8598" i="34" a="1"/>
  <c r="J8599" i="34" a="1"/>
  <c r="J8600" i="34" a="1"/>
  <c r="J8601" i="34" a="1"/>
  <c r="J8602" i="34" a="1"/>
  <c r="J8603" i="34" a="1"/>
  <c r="J8604" i="34" a="1"/>
  <c r="J8605" i="34" a="1"/>
  <c r="J8606" i="34" a="1"/>
  <c r="J8607" i="34" a="1"/>
  <c r="J8608" i="34" a="1"/>
  <c r="J8609" i="34" a="1"/>
  <c r="J8610" i="34" a="1"/>
  <c r="J8611" i="34" a="1"/>
  <c r="J8612" i="34" a="1"/>
  <c r="J8613" i="34" a="1"/>
  <c r="J8614" i="34" a="1"/>
  <c r="J8615" i="34" a="1"/>
  <c r="J8616" i="34" a="1"/>
  <c r="J8617" i="34" a="1"/>
  <c r="J8618" i="34" a="1"/>
  <c r="J8619" i="34" a="1"/>
  <c r="J8620" i="34" a="1"/>
  <c r="J8621" i="34" a="1"/>
  <c r="J8622" i="34" a="1"/>
  <c r="J8623" i="34" a="1"/>
  <c r="J8624" i="34" a="1"/>
  <c r="J8625" i="34" a="1"/>
  <c r="J8626" i="34" a="1"/>
  <c r="J8627" i="34" a="1"/>
  <c r="J8628" i="34" a="1"/>
  <c r="J8629" i="34" a="1"/>
  <c r="J8630" i="34" a="1"/>
  <c r="J8631" i="34" a="1"/>
  <c r="J8632" i="34" a="1"/>
  <c r="J8633" i="34" a="1"/>
  <c r="J8634" i="34" a="1"/>
  <c r="J8635" i="34" a="1"/>
  <c r="J8636" i="34" a="1"/>
  <c r="J8637" i="34" a="1"/>
  <c r="J8638" i="34" a="1"/>
  <c r="J8639" i="34" a="1"/>
  <c r="J8640" i="34" a="1"/>
  <c r="J8641" i="34" a="1"/>
  <c r="J8642" i="34" a="1"/>
  <c r="J8643" i="34" a="1"/>
  <c r="J8644" i="34" a="1"/>
  <c r="J8645" i="34" a="1"/>
  <c r="J8646" i="34" a="1"/>
  <c r="J8647" i="34" a="1"/>
  <c r="J8648" i="34" a="1"/>
  <c r="J8649" i="34" a="1"/>
  <c r="J8650" i="34" a="1"/>
  <c r="J8651" i="34" a="1"/>
  <c r="J8652" i="34" a="1"/>
  <c r="J8653" i="34" a="1"/>
  <c r="J8654" i="34" a="1"/>
  <c r="J8655" i="34" a="1"/>
  <c r="J8656" i="34" a="1"/>
  <c r="J8657" i="34" a="1"/>
  <c r="J8658" i="34" a="1"/>
  <c r="J8659" i="34" a="1"/>
  <c r="J8660" i="34" a="1"/>
  <c r="J8661" i="34" a="1"/>
  <c r="J8662" i="34" a="1"/>
  <c r="J8663" i="34" a="1"/>
  <c r="J8664" i="34" a="1"/>
  <c r="J8665" i="34" a="1"/>
  <c r="J8666" i="34" a="1"/>
  <c r="J8667" i="34" a="1"/>
  <c r="J8668" i="34" a="1"/>
  <c r="J8669" i="34" a="1"/>
  <c r="J8670" i="34" a="1"/>
  <c r="J8671" i="34" a="1"/>
  <c r="J8672" i="34" a="1"/>
  <c r="J8673" i="34" a="1"/>
  <c r="J8674" i="34" a="1"/>
  <c r="J8675" i="34" a="1"/>
  <c r="J8676" i="34" a="1"/>
  <c r="J8677" i="34" a="1"/>
  <c r="J8678" i="34" a="1"/>
  <c r="J8679" i="34" a="1"/>
  <c r="J8680" i="34" a="1"/>
  <c r="J8681" i="34" a="1"/>
  <c r="J8682" i="34" a="1"/>
  <c r="J8683" i="34" a="1"/>
  <c r="J8684" i="34" a="1"/>
  <c r="J8685" i="34" a="1"/>
  <c r="J8686" i="34" a="1"/>
  <c r="J8687" i="34" a="1"/>
  <c r="J8688" i="34" a="1"/>
  <c r="J8689" i="34" a="1"/>
  <c r="J8690" i="34" a="1"/>
  <c r="J8691" i="34" a="1"/>
  <c r="J8692" i="34" a="1"/>
  <c r="J8693" i="34" a="1"/>
  <c r="J8694" i="34" a="1"/>
  <c r="J8695" i="34" a="1"/>
  <c r="J8696" i="34" a="1"/>
  <c r="J8697" i="34" a="1"/>
  <c r="J8698" i="34" a="1"/>
  <c r="J8699" i="34" a="1"/>
  <c r="J8700" i="34" a="1"/>
  <c r="J8701" i="34" a="1"/>
  <c r="J8702" i="34" a="1"/>
  <c r="J8703" i="34" a="1"/>
  <c r="J8704" i="34" a="1"/>
  <c r="J8705" i="34" a="1"/>
  <c r="J8706" i="34" a="1"/>
  <c r="J8707" i="34" a="1"/>
  <c r="J8708" i="34" a="1"/>
  <c r="J8709" i="34" a="1"/>
  <c r="J8710" i="34" a="1"/>
  <c r="J8711" i="34" a="1"/>
  <c r="J8712" i="34" a="1"/>
  <c r="J8713" i="34" a="1"/>
  <c r="J8714" i="34" a="1"/>
  <c r="J8715" i="34" a="1"/>
  <c r="J8716" i="34" a="1"/>
  <c r="J8717" i="34" a="1"/>
  <c r="J8718" i="34" a="1"/>
  <c r="J8719" i="34" a="1"/>
  <c r="J8720" i="34" a="1"/>
  <c r="J8721" i="34" a="1"/>
  <c r="J8722" i="34" a="1"/>
  <c r="J8723" i="34" a="1"/>
  <c r="J8724" i="34" a="1"/>
  <c r="J8725" i="34" a="1"/>
  <c r="J8726" i="34" a="1"/>
  <c r="J8727" i="34" a="1"/>
  <c r="J8728" i="34" a="1"/>
  <c r="J8729" i="34" a="1"/>
  <c r="J8730" i="34" a="1"/>
  <c r="J8731" i="34" a="1"/>
  <c r="J8732" i="34" a="1"/>
  <c r="J8733" i="34" a="1"/>
  <c r="J8734" i="34" a="1"/>
  <c r="J8735" i="34" a="1"/>
  <c r="J8736" i="34" a="1"/>
  <c r="J8737" i="34" a="1"/>
  <c r="J8738" i="34" a="1"/>
  <c r="J8739" i="34" a="1"/>
  <c r="J8740" i="34" a="1"/>
  <c r="J8741" i="34" a="1"/>
  <c r="J8742" i="34" a="1"/>
  <c r="J8743" i="34" a="1"/>
  <c r="J8744" i="34" a="1"/>
  <c r="J8745" i="34" a="1"/>
  <c r="J8746" i="34" a="1"/>
  <c r="J8747" i="34" a="1"/>
  <c r="J8748" i="34" a="1"/>
  <c r="J8749" i="34" a="1"/>
  <c r="J8750" i="34" a="1"/>
  <c r="J8751" i="34" a="1"/>
  <c r="J8752" i="34" a="1"/>
  <c r="J8753" i="34" a="1"/>
  <c r="J8754" i="34" a="1"/>
  <c r="J8755" i="34" a="1"/>
  <c r="J8756" i="34" a="1"/>
  <c r="J8757" i="34" a="1"/>
  <c r="J8758" i="34" a="1"/>
  <c r="J8759" i="34" a="1"/>
  <c r="J8760" i="34" a="1"/>
  <c r="J8761" i="34" a="1"/>
  <c r="J8762" i="34" a="1"/>
  <c r="J8763" i="34" a="1"/>
  <c r="J8764" i="34" a="1"/>
  <c r="J8765" i="34" a="1"/>
  <c r="J8766" i="34" a="1"/>
  <c r="J8767" i="34" a="1"/>
  <c r="J8768" i="34" a="1"/>
  <c r="J8769" i="34" a="1"/>
  <c r="J8770" i="34" a="1"/>
  <c r="J8771" i="34" a="1"/>
  <c r="J8772" i="34" a="1"/>
  <c r="J8773" i="34" a="1"/>
  <c r="J8774" i="34" a="1"/>
  <c r="J8775" i="34" a="1"/>
  <c r="J8776" i="34" a="1"/>
  <c r="J8777" i="34" a="1"/>
  <c r="J8778" i="34" a="1"/>
  <c r="J8779" i="34" a="1"/>
  <c r="J8780" i="34" a="1"/>
  <c r="J8781" i="34" a="1"/>
  <c r="J8782" i="34" a="1"/>
  <c r="J8783" i="34" a="1"/>
  <c r="J8784" i="34" a="1"/>
  <c r="J8785" i="34" a="1"/>
  <c r="J8786" i="34" a="1"/>
  <c r="J8787" i="34" a="1"/>
  <c r="J8788" i="34" a="1"/>
  <c r="J8789" i="34" a="1"/>
  <c r="J8790" i="34" a="1"/>
  <c r="J8791" i="34" a="1"/>
  <c r="J8792" i="34" a="1"/>
  <c r="J8793" i="34" a="1"/>
  <c r="J8794" i="34" a="1"/>
  <c r="J8795" i="34" a="1"/>
  <c r="J8796" i="34" a="1"/>
  <c r="J8797" i="34" a="1"/>
  <c r="J8798" i="34" a="1"/>
  <c r="J8799" i="34" a="1"/>
  <c r="J8800" i="34" a="1"/>
  <c r="J8801" i="34" a="1"/>
  <c r="J8802" i="34" a="1"/>
  <c r="J8803" i="34" a="1"/>
  <c r="J8804" i="34" a="1"/>
  <c r="J8805" i="34" a="1"/>
  <c r="J8806" i="34" a="1"/>
  <c r="J8807" i="34" a="1"/>
  <c r="J8808" i="34" a="1"/>
  <c r="J8809" i="34" a="1"/>
  <c r="J8810" i="34" a="1"/>
  <c r="J8811" i="34" a="1"/>
  <c r="J8812" i="34" a="1"/>
  <c r="J8813" i="34" a="1"/>
  <c r="J8814" i="34" a="1"/>
  <c r="J8815" i="34" a="1"/>
  <c r="J8816" i="34" a="1"/>
  <c r="J8817" i="34" a="1"/>
  <c r="J8818" i="34" a="1"/>
  <c r="J8819" i="34" a="1"/>
  <c r="J8820" i="34" a="1"/>
  <c r="J8821" i="34" a="1"/>
  <c r="J8822" i="34" a="1"/>
  <c r="J8823" i="34" a="1"/>
  <c r="J8824" i="34" a="1"/>
  <c r="J8825" i="34" a="1"/>
  <c r="J8826" i="34" a="1"/>
  <c r="J8827" i="34" a="1"/>
  <c r="J8828" i="34" a="1"/>
  <c r="J8829" i="34" a="1"/>
  <c r="J8830" i="34" a="1"/>
  <c r="J8831" i="34" a="1"/>
  <c r="J8832" i="34" a="1"/>
  <c r="J8833" i="34" a="1"/>
  <c r="J8834" i="34" a="1"/>
  <c r="J8835" i="34" a="1"/>
  <c r="J8836" i="34" a="1"/>
  <c r="J8837" i="34" a="1"/>
  <c r="J8838" i="34" a="1"/>
  <c r="J8839" i="34" a="1"/>
  <c r="J8840" i="34" a="1"/>
  <c r="J8841" i="34" a="1"/>
  <c r="J8842" i="34" a="1"/>
  <c r="J8843" i="34" a="1"/>
  <c r="J8844" i="34" a="1"/>
  <c r="J8845" i="34" a="1"/>
  <c r="J8846" i="34" a="1"/>
  <c r="J8847" i="34" a="1"/>
  <c r="J8848" i="34" a="1"/>
  <c r="J8849" i="34" a="1"/>
  <c r="J8850" i="34" a="1"/>
  <c r="J8851" i="34" a="1"/>
  <c r="J8852" i="34" a="1"/>
  <c r="J8853" i="34" a="1"/>
  <c r="J8854" i="34" a="1"/>
  <c r="J8855" i="34" a="1"/>
  <c r="J8856" i="34" a="1"/>
  <c r="J8857" i="34" a="1"/>
  <c r="J8858" i="34" a="1"/>
  <c r="J8859" i="34" a="1"/>
  <c r="J8860" i="34" a="1"/>
  <c r="J8861" i="34" a="1"/>
  <c r="J8862" i="34" a="1"/>
  <c r="J8863" i="34" a="1"/>
  <c r="J8864" i="34" a="1"/>
  <c r="J8865" i="34" a="1"/>
  <c r="J8866" i="34" a="1"/>
  <c r="J8867" i="34" a="1"/>
  <c r="J8868" i="34" a="1"/>
  <c r="J8869" i="34" a="1"/>
  <c r="J8870" i="34" a="1"/>
  <c r="J8871" i="34" a="1"/>
  <c r="J8872" i="34" a="1"/>
  <c r="J8873" i="34" a="1"/>
  <c r="J8874" i="34" a="1"/>
  <c r="J8875" i="34" a="1"/>
  <c r="J8876" i="34" a="1"/>
  <c r="J8877" i="34" a="1"/>
  <c r="J8878" i="34" a="1"/>
  <c r="J8879" i="34" a="1"/>
  <c r="J8880" i="34" a="1"/>
  <c r="J8881" i="34" a="1"/>
  <c r="J8882" i="34" a="1"/>
  <c r="J8883" i="34" a="1"/>
  <c r="J8884" i="34" a="1"/>
  <c r="J8885" i="34" a="1"/>
  <c r="J8886" i="34" a="1"/>
  <c r="J8887" i="34" a="1"/>
  <c r="J8888" i="34" a="1"/>
  <c r="J8889" i="34" a="1"/>
  <c r="J8890" i="34" a="1"/>
  <c r="J8891" i="34" a="1"/>
  <c r="J8892" i="34" a="1"/>
  <c r="J8893" i="34" a="1"/>
  <c r="J8894" i="34" a="1"/>
  <c r="J8895" i="34" a="1"/>
  <c r="J8896" i="34" a="1"/>
  <c r="J8897" i="34" a="1"/>
  <c r="J8898" i="34" a="1"/>
  <c r="J8899" i="34" a="1"/>
  <c r="J8900" i="34" a="1"/>
  <c r="J8901" i="34" a="1"/>
  <c r="J8902" i="34" a="1"/>
  <c r="J8903" i="34" a="1"/>
  <c r="J8904" i="34" a="1"/>
  <c r="J8905" i="34" a="1"/>
  <c r="J8906" i="34" a="1"/>
  <c r="J8907" i="34" a="1"/>
  <c r="J8908" i="34" a="1"/>
  <c r="J8909" i="34" a="1"/>
  <c r="J8910" i="34" a="1"/>
  <c r="J8911" i="34" a="1"/>
  <c r="J8912" i="34" a="1"/>
  <c r="J8913" i="34" a="1"/>
  <c r="J8914" i="34" a="1"/>
  <c r="J8915" i="34" a="1"/>
  <c r="J8916" i="34" a="1"/>
  <c r="J8917" i="34" a="1"/>
  <c r="J8918" i="34" a="1"/>
  <c r="J8919" i="34" a="1"/>
  <c r="J8920" i="34" a="1"/>
  <c r="J8921" i="34" a="1"/>
  <c r="J8922" i="34" a="1"/>
  <c r="J8923" i="34" a="1"/>
  <c r="J8924" i="34" a="1"/>
  <c r="J8925" i="34" a="1"/>
  <c r="J8926" i="34" a="1"/>
  <c r="J8927" i="34" a="1"/>
  <c r="J8928" i="34" a="1"/>
  <c r="J8929" i="34" a="1"/>
  <c r="J8930" i="34" a="1"/>
  <c r="J8931" i="34" a="1"/>
  <c r="J8932" i="34" a="1"/>
  <c r="J8933" i="34" a="1"/>
  <c r="J8934" i="34" a="1"/>
  <c r="J8935" i="34" a="1"/>
  <c r="J8936" i="34" a="1"/>
  <c r="J8937" i="34" a="1"/>
  <c r="J8938" i="34" a="1"/>
  <c r="J8939" i="34" a="1"/>
  <c r="J8940" i="34" a="1"/>
  <c r="J8941" i="34" a="1"/>
  <c r="J8942" i="34" a="1"/>
  <c r="J8943" i="34" a="1"/>
  <c r="J8944" i="34" a="1"/>
  <c r="J8945" i="34" a="1"/>
  <c r="J8946" i="34" a="1"/>
  <c r="J8947" i="34" a="1"/>
  <c r="J8948" i="34" a="1"/>
  <c r="J8949" i="34" a="1"/>
  <c r="J8950" i="34" a="1"/>
  <c r="J8951" i="34" a="1"/>
  <c r="J8952" i="34" a="1"/>
  <c r="J8953" i="34" a="1"/>
  <c r="J8954" i="34" a="1"/>
  <c r="J8955" i="34" a="1"/>
  <c r="J8956" i="34" a="1"/>
  <c r="J8957" i="34" a="1"/>
  <c r="J8958" i="34" a="1"/>
  <c r="J8959" i="34" a="1"/>
  <c r="J8960" i="34" a="1"/>
  <c r="J8961" i="34" a="1"/>
  <c r="J8962" i="34" a="1"/>
  <c r="J8963" i="34" a="1"/>
  <c r="J8964" i="34" a="1"/>
  <c r="J8965" i="34" a="1"/>
  <c r="J8966" i="34" a="1"/>
  <c r="J8967" i="34" a="1"/>
  <c r="J8968" i="34" a="1"/>
  <c r="J8969" i="34" a="1"/>
  <c r="J8970" i="34" a="1"/>
  <c r="J8971" i="34" a="1"/>
  <c r="J8972" i="34" a="1"/>
  <c r="J8973" i="34" a="1"/>
  <c r="J8974" i="34" a="1"/>
  <c r="J8975" i="34" a="1"/>
  <c r="J8976" i="34" a="1"/>
  <c r="J8977" i="34" a="1"/>
  <c r="J8978" i="34" a="1"/>
  <c r="J8979" i="34" a="1"/>
  <c r="J8980" i="34" a="1"/>
  <c r="J8981" i="34" a="1"/>
  <c r="J8982" i="34" a="1"/>
  <c r="J8983" i="34" a="1"/>
  <c r="J8984" i="34" a="1"/>
  <c r="J8985" i="34" a="1"/>
  <c r="J8986" i="34" a="1"/>
  <c r="J8987" i="34" a="1"/>
  <c r="J8988" i="34" a="1"/>
  <c r="J8989" i="34" a="1"/>
  <c r="J8990" i="34" a="1"/>
  <c r="J8991" i="34" a="1"/>
  <c r="J8992" i="34" a="1"/>
  <c r="J8993" i="34" a="1"/>
  <c r="J8994" i="34" a="1"/>
  <c r="J8995" i="34" a="1"/>
  <c r="J8996" i="34" a="1"/>
  <c r="J8997" i="34" a="1"/>
  <c r="J8998" i="34" a="1"/>
  <c r="J8999" i="34" a="1"/>
  <c r="J9000" i="34" a="1"/>
  <c r="J9001" i="34" a="1"/>
  <c r="J9002" i="34" a="1"/>
  <c r="J9003" i="34" a="1"/>
  <c r="J9004" i="34" a="1"/>
  <c r="J9005" i="34" a="1"/>
  <c r="J9006" i="34" a="1"/>
  <c r="J9007" i="34" a="1"/>
  <c r="J9008" i="34" a="1"/>
  <c r="J9009" i="34" a="1"/>
  <c r="J9010" i="34" a="1"/>
  <c r="J9011" i="34" a="1"/>
  <c r="J9012" i="34" a="1"/>
  <c r="J9013" i="34" a="1"/>
  <c r="J9014" i="34" a="1"/>
  <c r="J9015" i="34" a="1"/>
  <c r="J9016" i="34" a="1"/>
  <c r="J9017" i="34" a="1"/>
  <c r="J9018" i="34" a="1"/>
  <c r="J9019" i="34" a="1"/>
  <c r="J9020" i="34" a="1"/>
  <c r="J9021" i="34" a="1"/>
  <c r="J9022" i="34" a="1"/>
  <c r="J9023" i="34" a="1"/>
  <c r="J9024" i="34" a="1"/>
  <c r="J9025" i="34" a="1"/>
  <c r="J9026" i="34" a="1"/>
  <c r="J9027" i="34" a="1"/>
  <c r="J9028" i="34" a="1"/>
  <c r="J9029" i="34" a="1"/>
  <c r="J9030" i="34" a="1"/>
  <c r="J9031" i="34" a="1"/>
  <c r="J9032" i="34" a="1"/>
  <c r="J9033" i="34" a="1"/>
  <c r="J9034" i="34" a="1"/>
  <c r="J9035" i="34" a="1"/>
  <c r="J9036" i="34" a="1"/>
  <c r="J9037" i="34" a="1"/>
  <c r="J9038" i="34" a="1"/>
  <c r="J9039" i="34" a="1"/>
  <c r="J9040" i="34" a="1"/>
  <c r="J9041" i="34" a="1"/>
  <c r="J9042" i="34" a="1"/>
  <c r="J9043" i="34" a="1"/>
  <c r="J9044" i="34" a="1"/>
  <c r="J9045" i="34" a="1"/>
  <c r="J9046" i="34" a="1"/>
  <c r="J9047" i="34" a="1"/>
  <c r="J9048" i="34" a="1"/>
  <c r="J9049" i="34" a="1"/>
  <c r="J9050" i="34" a="1"/>
  <c r="J9051" i="34" a="1"/>
  <c r="J9052" i="34" a="1"/>
  <c r="J9053" i="34" a="1"/>
  <c r="J9054" i="34" a="1"/>
  <c r="J9055" i="34" a="1"/>
  <c r="J9056" i="34" a="1"/>
  <c r="J9057" i="34" a="1"/>
  <c r="J9058" i="34" a="1"/>
  <c r="J9059" i="34" a="1"/>
  <c r="J9060" i="34" a="1"/>
  <c r="J9061" i="34" a="1"/>
  <c r="J9062" i="34" a="1"/>
  <c r="J9063" i="34" a="1"/>
  <c r="J9064" i="34" a="1"/>
  <c r="J9065" i="34" a="1"/>
  <c r="J9066" i="34" a="1"/>
  <c r="J9067" i="34" a="1"/>
  <c r="J9068" i="34" a="1"/>
  <c r="J9069" i="34" a="1"/>
  <c r="J9070" i="34" a="1"/>
  <c r="J9071" i="34" a="1"/>
  <c r="J9072" i="34" a="1"/>
  <c r="J9073" i="34" a="1"/>
  <c r="J9074" i="34" a="1"/>
  <c r="J9075" i="34" a="1"/>
  <c r="J9076" i="34" a="1"/>
  <c r="J9077" i="34" a="1"/>
  <c r="J9078" i="34" a="1"/>
  <c r="J9079" i="34" a="1"/>
  <c r="J9080" i="34" a="1"/>
  <c r="J9081" i="34" a="1"/>
  <c r="J9082" i="34" a="1"/>
  <c r="J9083" i="34" a="1"/>
  <c r="J9084" i="34" a="1"/>
  <c r="J9085" i="34" a="1"/>
  <c r="J9086" i="34" a="1"/>
  <c r="J9087" i="34" a="1"/>
  <c r="J9088" i="34" a="1"/>
  <c r="J9089" i="34" a="1"/>
  <c r="J9090" i="34" a="1"/>
  <c r="J9091" i="34" a="1"/>
  <c r="J9092" i="34" a="1"/>
  <c r="J9093" i="34" a="1"/>
  <c r="J9094" i="34" a="1"/>
  <c r="J9095" i="34" a="1"/>
  <c r="J9096" i="34" a="1"/>
  <c r="J9097" i="34" a="1"/>
  <c r="J9098" i="34" a="1"/>
  <c r="J9099" i="34" a="1"/>
  <c r="J9100" i="34" a="1"/>
  <c r="J9101" i="34" a="1"/>
  <c r="J9102" i="34" a="1"/>
  <c r="J9103" i="34" a="1"/>
  <c r="J9104" i="34" a="1"/>
  <c r="J9105" i="34" a="1"/>
  <c r="J9106" i="34" a="1"/>
  <c r="J9107" i="34" a="1"/>
  <c r="J9108" i="34" a="1"/>
  <c r="J9109" i="34" a="1"/>
  <c r="J9110" i="34" a="1"/>
  <c r="J9111" i="34" a="1"/>
  <c r="J9112" i="34" a="1"/>
  <c r="J9113" i="34" a="1"/>
  <c r="J9114" i="34" a="1"/>
  <c r="J9115" i="34" a="1"/>
  <c r="J9116" i="34" a="1"/>
  <c r="J9117" i="34" a="1"/>
  <c r="J9118" i="34" a="1"/>
  <c r="J9119" i="34" a="1"/>
  <c r="J9120" i="34" a="1"/>
  <c r="J9121" i="34" a="1"/>
  <c r="J9122" i="34" a="1"/>
  <c r="J9123" i="34" a="1"/>
  <c r="J9124" i="34" a="1"/>
  <c r="J9125" i="34" a="1"/>
  <c r="J9126" i="34" a="1"/>
  <c r="J9127" i="34" a="1"/>
  <c r="J9128" i="34" a="1"/>
  <c r="J9129" i="34" a="1"/>
  <c r="J9130" i="34" a="1"/>
  <c r="J9131" i="34" a="1"/>
  <c r="J9132" i="34" a="1"/>
  <c r="J9133" i="34" a="1"/>
  <c r="J9134" i="34" a="1"/>
  <c r="J9135" i="34" a="1"/>
  <c r="J9136" i="34" a="1"/>
  <c r="J9137" i="34" a="1"/>
  <c r="J9138" i="34" a="1"/>
  <c r="J9139" i="34" a="1"/>
  <c r="J9140" i="34" a="1"/>
  <c r="J9141" i="34" a="1"/>
  <c r="J9142" i="34" a="1"/>
  <c r="J9143" i="34" a="1"/>
  <c r="J9144" i="34" a="1"/>
  <c r="J9145" i="34" a="1"/>
  <c r="J9146" i="34" a="1"/>
  <c r="J9147" i="34" a="1"/>
  <c r="J9148" i="34" a="1"/>
  <c r="J9149" i="34" a="1"/>
  <c r="J9150" i="34" a="1"/>
  <c r="J9151" i="34" a="1"/>
  <c r="J9152" i="34" a="1"/>
  <c r="J9153" i="34" a="1"/>
  <c r="J9154" i="34" a="1"/>
  <c r="J9155" i="34" a="1"/>
  <c r="J9156" i="34" a="1"/>
  <c r="J9157" i="34" a="1"/>
  <c r="J9158" i="34" a="1"/>
  <c r="J9159" i="34" a="1"/>
  <c r="J9160" i="34" a="1"/>
  <c r="J9161" i="34" a="1"/>
  <c r="J9162" i="34" a="1"/>
  <c r="J9163" i="34" a="1"/>
  <c r="J9164" i="34" a="1"/>
  <c r="J9165" i="34" a="1"/>
  <c r="J9166" i="34" a="1"/>
  <c r="J9167" i="34" a="1"/>
  <c r="J9168" i="34" a="1"/>
  <c r="J9169" i="34" a="1"/>
  <c r="J9170" i="34" a="1"/>
  <c r="J9171" i="34" a="1"/>
  <c r="J9172" i="34" a="1"/>
  <c r="J9173" i="34" a="1"/>
  <c r="J9174" i="34" a="1"/>
  <c r="J9175" i="34" a="1"/>
  <c r="J9176" i="34" a="1"/>
  <c r="J9177" i="34" a="1"/>
  <c r="J9178" i="34" a="1"/>
  <c r="J9179" i="34" a="1"/>
  <c r="J9180" i="34" a="1"/>
  <c r="J9181" i="34" a="1"/>
  <c r="J9182" i="34" a="1"/>
  <c r="J9183" i="34" a="1"/>
  <c r="J9184" i="34" a="1"/>
  <c r="J9185" i="34" a="1"/>
  <c r="J9186" i="34" a="1"/>
  <c r="J9187" i="34" a="1"/>
  <c r="J9188" i="34" a="1"/>
  <c r="J9189" i="34" a="1"/>
  <c r="J9190" i="34" a="1"/>
  <c r="J9191" i="34" a="1"/>
  <c r="J9192" i="34" a="1"/>
  <c r="J9193" i="34" a="1"/>
  <c r="J9194" i="34" a="1"/>
  <c r="J9195" i="34" a="1"/>
  <c r="J9196" i="34" a="1"/>
  <c r="J9197" i="34" a="1"/>
  <c r="J9198" i="34" a="1"/>
  <c r="J9199" i="34" a="1"/>
  <c r="J9200" i="34" a="1"/>
  <c r="J9201" i="34" a="1"/>
  <c r="J9202" i="34" a="1"/>
  <c r="J9203" i="34" a="1"/>
  <c r="J9204" i="34" a="1"/>
  <c r="J9205" i="34" a="1"/>
  <c r="J9206" i="34" a="1"/>
  <c r="J9207" i="34" a="1"/>
  <c r="J9208" i="34" a="1"/>
  <c r="J9209" i="34" a="1"/>
  <c r="J9210" i="34" a="1"/>
  <c r="J9211" i="34" a="1"/>
  <c r="J9212" i="34" a="1"/>
  <c r="J9213" i="34" a="1"/>
  <c r="J9214" i="34" a="1"/>
  <c r="J9215" i="34" a="1"/>
  <c r="J9216" i="34" a="1"/>
  <c r="J9217" i="34" a="1"/>
  <c r="J9218" i="34" a="1"/>
  <c r="J9219" i="34" a="1"/>
  <c r="J9220" i="34" a="1"/>
  <c r="J9221" i="34" a="1"/>
  <c r="J9222" i="34" a="1"/>
  <c r="J9223" i="34" a="1"/>
  <c r="J9224" i="34" a="1"/>
  <c r="J9225" i="34" a="1"/>
  <c r="J9226" i="34" a="1"/>
  <c r="J9227" i="34" a="1"/>
  <c r="J9228" i="34" a="1"/>
  <c r="J9229" i="34" a="1"/>
  <c r="J9230" i="34" a="1"/>
  <c r="J9231" i="34" a="1"/>
  <c r="J9232" i="34" a="1"/>
  <c r="J9233" i="34" a="1"/>
  <c r="J9234" i="34" a="1"/>
  <c r="J9235" i="34" a="1"/>
  <c r="J9236" i="34" a="1"/>
  <c r="J9237" i="34" a="1"/>
  <c r="J9238" i="34" a="1"/>
  <c r="J9239" i="34" a="1"/>
  <c r="J9240" i="34" a="1"/>
  <c r="J9241" i="34" a="1"/>
  <c r="J9242" i="34" a="1"/>
  <c r="J9243" i="34" a="1"/>
  <c r="J9244" i="34" a="1"/>
  <c r="J9245" i="34" a="1"/>
  <c r="J9246" i="34" a="1"/>
  <c r="J9247" i="34" a="1"/>
  <c r="J9248" i="34" a="1"/>
  <c r="J9249" i="34" a="1"/>
  <c r="J9250" i="34" a="1"/>
  <c r="J9251" i="34" a="1"/>
  <c r="J9252" i="34" a="1"/>
  <c r="J9253" i="34" a="1"/>
  <c r="J9254" i="34" a="1"/>
  <c r="J9255" i="34" a="1"/>
  <c r="J9256" i="34" a="1"/>
  <c r="J9257" i="34" a="1"/>
  <c r="J9258" i="34" a="1"/>
  <c r="J9259" i="34" a="1"/>
  <c r="J9260" i="34" a="1"/>
  <c r="J9261" i="34" a="1"/>
  <c r="J9262" i="34" a="1"/>
  <c r="J9263" i="34" a="1"/>
  <c r="J9264" i="34" a="1"/>
  <c r="J9265" i="34" a="1"/>
  <c r="J9266" i="34" a="1"/>
  <c r="J9267" i="34" a="1"/>
  <c r="J9268" i="34" a="1"/>
  <c r="J9269" i="34" a="1"/>
  <c r="J9270" i="34" a="1"/>
  <c r="J9271" i="34" a="1"/>
  <c r="J9272" i="34" a="1"/>
  <c r="J9273" i="34" a="1"/>
  <c r="J9274" i="34" a="1"/>
  <c r="J9275" i="34" a="1"/>
  <c r="J9276" i="34" a="1"/>
  <c r="J9277" i="34" a="1"/>
  <c r="J9278" i="34" a="1"/>
  <c r="J9279" i="34" a="1"/>
  <c r="J9280" i="34" a="1"/>
  <c r="J9281" i="34" a="1"/>
  <c r="J9282" i="34" a="1"/>
  <c r="J9283" i="34" a="1"/>
  <c r="J9284" i="34" a="1"/>
  <c r="J9285" i="34" a="1"/>
  <c r="J9286" i="34" a="1"/>
  <c r="J9287" i="34" a="1"/>
  <c r="J9288" i="34" a="1"/>
  <c r="J9289" i="34" a="1"/>
  <c r="J9290" i="34" a="1"/>
  <c r="J9291" i="34" a="1"/>
  <c r="J9292" i="34" a="1"/>
  <c r="J9293" i="34" a="1"/>
  <c r="J9294" i="34" a="1"/>
  <c r="J9295" i="34" a="1"/>
  <c r="J9296" i="34" a="1"/>
  <c r="J9297" i="34" a="1"/>
  <c r="J9298" i="34" a="1"/>
  <c r="J9299" i="34" a="1"/>
  <c r="J9300" i="34" a="1"/>
  <c r="J9301" i="34" a="1"/>
  <c r="J9302" i="34" a="1"/>
  <c r="J9303" i="34" a="1"/>
  <c r="J9304" i="34" a="1"/>
  <c r="J9305" i="34" a="1"/>
  <c r="J9306" i="34" a="1"/>
  <c r="J9307" i="34" a="1"/>
  <c r="J9308" i="34" a="1"/>
  <c r="J9309" i="34" a="1"/>
  <c r="J9310" i="34" a="1"/>
  <c r="J9311" i="34" a="1"/>
  <c r="J9312" i="34" a="1"/>
  <c r="J9313" i="34" a="1"/>
  <c r="J9314" i="34" a="1"/>
  <c r="J9315" i="34" a="1"/>
  <c r="J9316" i="34" a="1"/>
  <c r="J9317" i="34" a="1"/>
  <c r="J9318" i="34" a="1"/>
  <c r="J9319" i="34" a="1"/>
  <c r="J9320" i="34" a="1"/>
  <c r="J9321" i="34" a="1"/>
  <c r="J9322" i="34" a="1"/>
  <c r="J9323" i="34" a="1"/>
  <c r="J9324" i="34" a="1"/>
  <c r="J9325" i="34" a="1"/>
  <c r="J9326" i="34" a="1"/>
  <c r="J9327" i="34" a="1"/>
  <c r="J9328" i="34" a="1"/>
  <c r="J9329" i="34" a="1"/>
  <c r="J9330" i="34" a="1"/>
  <c r="J9331" i="34" a="1"/>
  <c r="J9332" i="34" a="1"/>
  <c r="J9333" i="34" a="1"/>
  <c r="J9334" i="34" a="1"/>
  <c r="J9335" i="34" a="1"/>
  <c r="J9336" i="34" a="1"/>
  <c r="J9337" i="34" a="1"/>
  <c r="J9338" i="34" a="1"/>
  <c r="J9339" i="34" a="1"/>
  <c r="J9340" i="34" a="1"/>
  <c r="J9341" i="34" a="1"/>
  <c r="J9342" i="34" a="1"/>
  <c r="J9343" i="34" a="1"/>
  <c r="J9344" i="34" a="1"/>
  <c r="J9345" i="34" a="1"/>
  <c r="J9346" i="34" a="1"/>
  <c r="J9347" i="34" a="1"/>
  <c r="J9348" i="34" a="1"/>
  <c r="J9349" i="34" a="1"/>
  <c r="J9350" i="34" a="1"/>
  <c r="J9351" i="34" a="1"/>
  <c r="J9352" i="34" a="1"/>
  <c r="J9353" i="34" a="1"/>
  <c r="J9354" i="34" a="1"/>
  <c r="J9355" i="34" a="1"/>
  <c r="J9356" i="34" a="1"/>
  <c r="J9357" i="34" a="1"/>
  <c r="J9358" i="34" a="1"/>
  <c r="J9359" i="34" a="1"/>
  <c r="J9360" i="34" a="1"/>
  <c r="J9361" i="34" a="1"/>
  <c r="J9362" i="34" a="1"/>
  <c r="J9363" i="34" a="1"/>
  <c r="J9364" i="34" a="1"/>
  <c r="J9365" i="34" a="1"/>
  <c r="J9366" i="34" a="1"/>
  <c r="J9367" i="34" a="1"/>
  <c r="J9368" i="34" a="1"/>
  <c r="J9369" i="34" a="1"/>
  <c r="J9370" i="34" a="1"/>
  <c r="J9371" i="34" a="1"/>
  <c r="J9372" i="34" a="1"/>
  <c r="J9373" i="34" a="1"/>
  <c r="J9374" i="34" a="1"/>
  <c r="J9375" i="34" a="1"/>
  <c r="J9376" i="34" a="1"/>
  <c r="J9377" i="34" a="1"/>
  <c r="J9378" i="34" a="1"/>
  <c r="J9379" i="34" a="1"/>
  <c r="J9380" i="34" a="1"/>
  <c r="J9381" i="34" a="1"/>
  <c r="J9382" i="34" a="1"/>
  <c r="J9383" i="34" a="1"/>
  <c r="J9384" i="34" a="1"/>
  <c r="J9385" i="34" a="1"/>
  <c r="J9386" i="34" a="1"/>
  <c r="J9387" i="34" a="1"/>
  <c r="J9388" i="34" a="1"/>
  <c r="J9389" i="34" a="1"/>
  <c r="J9390" i="34" a="1"/>
  <c r="J9391" i="34" a="1"/>
  <c r="J9392" i="34" a="1"/>
  <c r="J9393" i="34" a="1"/>
  <c r="J9394" i="34" a="1"/>
  <c r="J9395" i="34" a="1"/>
  <c r="J9396" i="34" a="1"/>
  <c r="J9397" i="34" a="1"/>
  <c r="J9398" i="34" a="1"/>
  <c r="J9399" i="34" a="1"/>
  <c r="J9400" i="34" a="1"/>
  <c r="J9401" i="34" a="1"/>
  <c r="J9402" i="34" a="1"/>
  <c r="J9403" i="34" a="1"/>
  <c r="J9404" i="34" a="1"/>
  <c r="J9405" i="34" a="1"/>
  <c r="J9406" i="34" a="1"/>
  <c r="J9407" i="34" a="1"/>
  <c r="J9408" i="34" a="1"/>
  <c r="J9409" i="34" a="1"/>
  <c r="J9410" i="34" a="1"/>
  <c r="J9411" i="34" a="1"/>
  <c r="J9412" i="34" a="1"/>
  <c r="J9413" i="34" a="1"/>
  <c r="J9414" i="34" a="1"/>
  <c r="J9415" i="34" a="1"/>
  <c r="J9416" i="34" a="1"/>
  <c r="J9417" i="34" a="1"/>
  <c r="J9418" i="34" a="1"/>
  <c r="J9419" i="34" a="1"/>
  <c r="J9420" i="34" a="1"/>
  <c r="J9421" i="34" a="1"/>
  <c r="J9422" i="34" a="1"/>
  <c r="J9423" i="34" a="1"/>
  <c r="J9424" i="34" a="1"/>
  <c r="J9425" i="34" a="1"/>
  <c r="J9426" i="34" a="1"/>
  <c r="J9427" i="34" a="1"/>
  <c r="J9428" i="34" a="1"/>
  <c r="J9429" i="34" a="1"/>
  <c r="J9430" i="34" a="1"/>
  <c r="J9431" i="34" a="1"/>
  <c r="J9432" i="34" a="1"/>
  <c r="J9433" i="34" a="1"/>
  <c r="J9434" i="34" a="1"/>
  <c r="J9435" i="34" a="1"/>
  <c r="J9436" i="34" a="1"/>
  <c r="J9437" i="34" a="1"/>
  <c r="J9438" i="34" a="1"/>
  <c r="J9439" i="34" a="1"/>
  <c r="J9440" i="34" a="1"/>
  <c r="J9441" i="34" a="1"/>
  <c r="J9442" i="34" a="1"/>
  <c r="J9443" i="34" a="1"/>
  <c r="J9444" i="34" a="1"/>
  <c r="J9445" i="34" a="1"/>
  <c r="J9446" i="34" a="1"/>
  <c r="J9447" i="34" a="1"/>
  <c r="J9448" i="34" a="1"/>
  <c r="J9449" i="34" a="1"/>
  <c r="J9450" i="34" a="1"/>
  <c r="J9451" i="34" a="1"/>
  <c r="J9452" i="34" a="1"/>
  <c r="J9453" i="34" a="1"/>
  <c r="J9454" i="34" a="1"/>
  <c r="J9455" i="34" a="1"/>
  <c r="J9456" i="34" a="1"/>
  <c r="J9457" i="34" a="1"/>
  <c r="J9458" i="34" a="1"/>
  <c r="J9459" i="34" a="1"/>
  <c r="J9460" i="34" a="1"/>
  <c r="J9461" i="34" a="1"/>
  <c r="J9462" i="34" a="1"/>
  <c r="J9463" i="34" a="1"/>
  <c r="J9464" i="34" a="1"/>
  <c r="J9465" i="34" a="1"/>
  <c r="J9466" i="34" a="1"/>
  <c r="J9467" i="34" a="1"/>
  <c r="J9468" i="34" a="1"/>
  <c r="J9469" i="34" a="1"/>
  <c r="J9470" i="34" a="1"/>
  <c r="J9471" i="34" a="1"/>
  <c r="J9472" i="34" a="1"/>
  <c r="J9473" i="34" a="1"/>
  <c r="J9474" i="34" a="1"/>
  <c r="J9475" i="34" a="1"/>
  <c r="J9476" i="34" a="1"/>
  <c r="J9477" i="34" a="1"/>
  <c r="J9478" i="34" a="1"/>
  <c r="J9479" i="34" a="1"/>
  <c r="J9480" i="34" a="1"/>
  <c r="J9481" i="34" a="1"/>
  <c r="J9482" i="34" a="1"/>
  <c r="J9483" i="34" a="1"/>
  <c r="J9484" i="34" a="1"/>
  <c r="J9485" i="34" a="1"/>
  <c r="J9486" i="34" a="1"/>
  <c r="J9487" i="34" a="1"/>
  <c r="J9488" i="34" a="1"/>
  <c r="J9489" i="34" a="1"/>
  <c r="J9490" i="34" a="1"/>
  <c r="J9491" i="34" a="1"/>
  <c r="J9492" i="34" a="1"/>
  <c r="J9493" i="34" a="1"/>
  <c r="J9494" i="34" a="1"/>
  <c r="J9495" i="34" a="1"/>
  <c r="J9496" i="34" a="1"/>
  <c r="J9497" i="34" a="1"/>
  <c r="J9498" i="34" a="1"/>
  <c r="J9499" i="34" a="1"/>
  <c r="J9500" i="34" a="1"/>
  <c r="J9501" i="34" a="1"/>
  <c r="J9502" i="34" a="1"/>
  <c r="J9503" i="34" a="1"/>
  <c r="J9504" i="34" a="1"/>
  <c r="J9505" i="34" a="1"/>
  <c r="J9506" i="34" a="1"/>
  <c r="J9507" i="34" a="1"/>
  <c r="J9508" i="34" a="1"/>
  <c r="J9509" i="34" a="1"/>
  <c r="J9510" i="34" a="1"/>
  <c r="J9511" i="34" a="1"/>
  <c r="J9512" i="34" a="1"/>
  <c r="J9513" i="34" a="1"/>
  <c r="J9514" i="34" a="1"/>
  <c r="J9515" i="34" a="1"/>
  <c r="J9516" i="34" a="1"/>
  <c r="J9517" i="34" a="1"/>
  <c r="J9518" i="34" a="1"/>
  <c r="J9519" i="34" a="1"/>
  <c r="J9520" i="34" a="1"/>
  <c r="J9521" i="34" a="1"/>
  <c r="J9522" i="34" a="1"/>
  <c r="J9523" i="34" a="1"/>
  <c r="J9524" i="34" a="1"/>
  <c r="J9525" i="34" a="1"/>
  <c r="J9526" i="34" a="1"/>
  <c r="J9527" i="34" a="1"/>
  <c r="J9528" i="34" a="1"/>
  <c r="J9529" i="34" a="1"/>
  <c r="J9530" i="34" a="1"/>
  <c r="J9531" i="34" a="1"/>
  <c r="J9532" i="34" a="1"/>
  <c r="J9533" i="34" a="1"/>
  <c r="J9534" i="34" a="1"/>
  <c r="J9535" i="34" a="1"/>
  <c r="J9536" i="34" a="1"/>
  <c r="J9537" i="34" a="1"/>
  <c r="J9538" i="34" a="1"/>
  <c r="J9539" i="34" a="1"/>
  <c r="J9540" i="34" a="1"/>
  <c r="J9541" i="34" a="1"/>
  <c r="J9542" i="34" a="1"/>
  <c r="J9543" i="34" a="1"/>
  <c r="J9544" i="34" a="1"/>
  <c r="J9545" i="34" a="1"/>
  <c r="J9546" i="34" a="1"/>
  <c r="J9547" i="34" a="1"/>
  <c r="J9548" i="34" a="1"/>
  <c r="J9549" i="34" a="1"/>
  <c r="J9550" i="34" a="1"/>
  <c r="J9551" i="34" a="1"/>
  <c r="J9552" i="34" a="1"/>
  <c r="J9553" i="34" a="1"/>
  <c r="J9554" i="34" a="1"/>
  <c r="J9555" i="34" a="1"/>
  <c r="J9556" i="34" a="1"/>
  <c r="J9557" i="34" a="1"/>
  <c r="J9558" i="34" a="1"/>
  <c r="J9559" i="34" a="1"/>
  <c r="J9560" i="34" a="1"/>
  <c r="J9561" i="34" a="1"/>
  <c r="J9562" i="34" a="1"/>
  <c r="J9563" i="34" a="1"/>
  <c r="J9564" i="34" a="1"/>
  <c r="J9565" i="34" a="1"/>
  <c r="J9566" i="34" a="1"/>
  <c r="J9567" i="34" a="1"/>
  <c r="J9568" i="34" a="1"/>
  <c r="J9569" i="34" a="1"/>
  <c r="J9570" i="34" a="1"/>
  <c r="J9571" i="34" a="1"/>
  <c r="J9572" i="34" a="1"/>
  <c r="J9573" i="34" a="1"/>
  <c r="J9574" i="34" a="1"/>
  <c r="J9575" i="34" a="1"/>
  <c r="J9576" i="34" a="1"/>
  <c r="J9577" i="34" a="1"/>
  <c r="J9578" i="34" a="1"/>
  <c r="J9579" i="34" a="1"/>
  <c r="J9580" i="34" a="1"/>
  <c r="J9581" i="34" a="1"/>
  <c r="J9582" i="34" a="1"/>
  <c r="J9583" i="34" a="1"/>
  <c r="J9584" i="34" a="1"/>
  <c r="J9585" i="34" a="1"/>
  <c r="J9586" i="34" a="1"/>
  <c r="J9587" i="34" a="1"/>
  <c r="J9588" i="34" a="1"/>
  <c r="J9589" i="34" a="1"/>
  <c r="J9590" i="34" a="1"/>
  <c r="J9591" i="34" a="1"/>
  <c r="J9592" i="34" a="1"/>
  <c r="J9593" i="34" a="1"/>
  <c r="J9594" i="34" a="1"/>
  <c r="J9595" i="34" a="1"/>
  <c r="J9596" i="34" a="1"/>
  <c r="J9597" i="34" a="1"/>
  <c r="J9598" i="34" a="1"/>
  <c r="J9599" i="34" a="1"/>
  <c r="J9600" i="34" a="1"/>
  <c r="J9601" i="34" a="1"/>
  <c r="J9602" i="34" a="1"/>
  <c r="J9603" i="34" a="1"/>
  <c r="J9604" i="34" a="1"/>
  <c r="J9605" i="34" a="1"/>
  <c r="J9606" i="34" a="1"/>
  <c r="J9607" i="34" a="1"/>
  <c r="J9608" i="34" a="1"/>
  <c r="J9609" i="34" a="1"/>
  <c r="J9610" i="34" a="1"/>
  <c r="J9611" i="34" a="1"/>
  <c r="J9612" i="34" a="1"/>
  <c r="J9613" i="34" a="1"/>
  <c r="J9614" i="34" a="1"/>
  <c r="J9615" i="34" a="1"/>
  <c r="J9616" i="34" a="1"/>
  <c r="J9617" i="34" a="1"/>
  <c r="J9618" i="34" a="1"/>
  <c r="J9619" i="34" a="1"/>
  <c r="J9620" i="34" a="1"/>
  <c r="J9621" i="34" a="1"/>
  <c r="J9622" i="34" a="1"/>
  <c r="J9623" i="34" a="1"/>
  <c r="J9624" i="34" a="1"/>
  <c r="J9625" i="34" a="1"/>
  <c r="J9626" i="34" a="1"/>
  <c r="J9627" i="34" a="1"/>
  <c r="J9628" i="34" a="1"/>
  <c r="J9629" i="34" a="1"/>
  <c r="J9630" i="34" a="1"/>
  <c r="J9631" i="34" a="1"/>
  <c r="J9632" i="34" a="1"/>
  <c r="J9633" i="34" a="1"/>
  <c r="J9634" i="34" a="1"/>
  <c r="J9635" i="34" a="1"/>
  <c r="J9636" i="34" a="1"/>
  <c r="J9637" i="34" a="1"/>
  <c r="J9638" i="34" a="1"/>
  <c r="J9639" i="34" a="1"/>
  <c r="J9640" i="34" a="1"/>
  <c r="J9641" i="34" a="1"/>
  <c r="J9642" i="34" a="1"/>
  <c r="J9643" i="34" a="1"/>
  <c r="J9644" i="34" a="1"/>
  <c r="J9645" i="34" a="1"/>
  <c r="J9646" i="34" a="1"/>
  <c r="J9647" i="34" a="1"/>
  <c r="J9648" i="34" a="1"/>
  <c r="J9649" i="34" a="1"/>
  <c r="J9650" i="34" a="1"/>
  <c r="J9651" i="34" a="1"/>
  <c r="J9652" i="34" a="1"/>
  <c r="J9653" i="34" a="1"/>
  <c r="J9654" i="34" a="1"/>
  <c r="J9655" i="34" a="1"/>
  <c r="J9656" i="34" a="1"/>
  <c r="J9657" i="34" a="1"/>
  <c r="J9658" i="34" a="1"/>
  <c r="J9659" i="34" a="1"/>
  <c r="J9660" i="34" a="1"/>
  <c r="J9661" i="34" a="1"/>
  <c r="J9662" i="34" a="1"/>
  <c r="J9663" i="34" a="1"/>
  <c r="J9664" i="34" a="1"/>
  <c r="J9665" i="34" a="1"/>
  <c r="J9666" i="34" a="1"/>
  <c r="J9667" i="34" a="1"/>
  <c r="J9668" i="34" a="1"/>
  <c r="J9669" i="34" a="1"/>
  <c r="J9670" i="34" a="1"/>
  <c r="J9671" i="34" a="1"/>
  <c r="J9672" i="34" a="1"/>
  <c r="J9673" i="34" a="1"/>
  <c r="J9674" i="34" a="1"/>
  <c r="J9675" i="34" a="1"/>
  <c r="J9676" i="34" a="1"/>
  <c r="J9677" i="34" a="1"/>
  <c r="J9678" i="34" a="1"/>
  <c r="J9679" i="34" a="1"/>
  <c r="J9680" i="34" a="1"/>
  <c r="J9681" i="34" a="1"/>
  <c r="J9682" i="34" a="1"/>
  <c r="J9683" i="34" a="1"/>
  <c r="J9684" i="34" a="1"/>
  <c r="J9685" i="34" a="1"/>
  <c r="J9686" i="34" a="1"/>
  <c r="J9687" i="34" a="1"/>
  <c r="J9688" i="34" a="1"/>
  <c r="J9689" i="34" a="1"/>
  <c r="J9690" i="34" a="1"/>
  <c r="J9691" i="34" a="1"/>
  <c r="J9692" i="34" a="1"/>
  <c r="J9693" i="34" a="1"/>
  <c r="J9694" i="34" a="1"/>
  <c r="J9695" i="34" a="1"/>
  <c r="J9696" i="34" a="1"/>
  <c r="J9697" i="34" a="1"/>
  <c r="J9698" i="34" a="1"/>
  <c r="J9699" i="34" a="1"/>
  <c r="J9700" i="34" a="1"/>
  <c r="J9701" i="34" a="1"/>
  <c r="J9702" i="34" a="1"/>
  <c r="J9703" i="34" a="1"/>
  <c r="J9704" i="34" a="1"/>
  <c r="J9705" i="34" a="1"/>
  <c r="J9706" i="34" a="1"/>
  <c r="J9707" i="34" a="1"/>
  <c r="J9708" i="34" a="1"/>
  <c r="J9709" i="34" a="1"/>
  <c r="J9710" i="34" a="1"/>
  <c r="J9711" i="34" a="1"/>
  <c r="J9712" i="34" a="1"/>
  <c r="J9713" i="34" a="1"/>
  <c r="J9714" i="34" a="1"/>
  <c r="J9715" i="34" a="1"/>
  <c r="J9716" i="34" a="1"/>
  <c r="J9717" i="34" a="1"/>
  <c r="J9718" i="34" a="1"/>
  <c r="J9719" i="34" a="1"/>
  <c r="J9720" i="34" a="1"/>
  <c r="J9721" i="34" a="1"/>
  <c r="J9722" i="34" a="1"/>
  <c r="J9723" i="34" a="1"/>
  <c r="J9724" i="34" a="1"/>
  <c r="J9725" i="34" a="1"/>
  <c r="J9726" i="34" a="1"/>
  <c r="J9727" i="34" a="1"/>
  <c r="J9728" i="34" a="1"/>
  <c r="J9729" i="34" a="1"/>
  <c r="J9730" i="34" a="1"/>
  <c r="J9731" i="34" a="1"/>
  <c r="J9732" i="34" a="1"/>
  <c r="J9733" i="34" a="1"/>
  <c r="J9734" i="34" a="1"/>
  <c r="J9735" i="34" a="1"/>
  <c r="J9736" i="34" a="1"/>
  <c r="J9737" i="34" a="1"/>
  <c r="J9738" i="34" a="1"/>
  <c r="J9739" i="34" a="1"/>
  <c r="J9740" i="34" a="1"/>
  <c r="J9741" i="34" a="1"/>
  <c r="J9742" i="34" a="1"/>
  <c r="J9743" i="34" a="1"/>
  <c r="J9744" i="34" a="1"/>
  <c r="J9745" i="34" a="1"/>
  <c r="J9746" i="34" a="1"/>
  <c r="J9747" i="34" a="1"/>
  <c r="J9748" i="34" a="1"/>
  <c r="J9749" i="34" a="1"/>
  <c r="J9750" i="34" a="1"/>
  <c r="J9751" i="34" a="1"/>
  <c r="J9752" i="34" a="1"/>
  <c r="J9753" i="34" a="1"/>
  <c r="J9754" i="34" a="1"/>
  <c r="J9755" i="34" a="1"/>
  <c r="J9756" i="34" a="1"/>
  <c r="J9757" i="34" a="1"/>
  <c r="J9758" i="34" a="1"/>
  <c r="J9759" i="34" a="1"/>
  <c r="J9760" i="34" a="1"/>
  <c r="J9761" i="34" a="1"/>
  <c r="J9762" i="34" a="1"/>
  <c r="J9763" i="34" a="1"/>
  <c r="J9764" i="34" a="1"/>
  <c r="J9765" i="34" a="1"/>
  <c r="J9766" i="34" a="1"/>
  <c r="J9767" i="34" a="1"/>
  <c r="J9768" i="34" a="1"/>
  <c r="J9769" i="34" a="1"/>
  <c r="J9770" i="34" a="1"/>
  <c r="J9771" i="34" a="1"/>
  <c r="J9772" i="34" a="1"/>
  <c r="J9773" i="34" a="1"/>
  <c r="J9774" i="34" a="1"/>
  <c r="J9775" i="34" a="1"/>
  <c r="J9776" i="34" a="1"/>
  <c r="J9777" i="34" a="1"/>
  <c r="J9778" i="34" a="1"/>
  <c r="J9779" i="34" a="1"/>
  <c r="J9780" i="34" a="1"/>
  <c r="J9781" i="34" a="1"/>
  <c r="J9782" i="34" a="1"/>
  <c r="J9783" i="34" a="1"/>
  <c r="J9784" i="34" a="1"/>
  <c r="J9785" i="34" a="1"/>
  <c r="J9786" i="34" a="1"/>
  <c r="J9787" i="34" a="1"/>
  <c r="J9788" i="34" a="1"/>
  <c r="J9789" i="34" a="1"/>
  <c r="J9790" i="34" a="1"/>
  <c r="J9791" i="34" a="1"/>
  <c r="J9792" i="34" a="1"/>
  <c r="J9793" i="34" a="1"/>
  <c r="J9794" i="34" a="1"/>
  <c r="J9795" i="34" a="1"/>
  <c r="J9796" i="34" a="1"/>
  <c r="J9797" i="34" a="1"/>
  <c r="J9798" i="34" a="1"/>
  <c r="J9799" i="34" a="1"/>
  <c r="J9800" i="34" a="1"/>
  <c r="J9801" i="34" a="1"/>
  <c r="J9802" i="34" a="1"/>
  <c r="J9803" i="34" a="1"/>
  <c r="J9804" i="34" a="1"/>
  <c r="J9805" i="34" a="1"/>
  <c r="J9806" i="34" a="1"/>
  <c r="J9807" i="34" a="1"/>
  <c r="J9808" i="34" a="1"/>
  <c r="J9809" i="34" a="1"/>
  <c r="J9810" i="34" a="1"/>
  <c r="J9811" i="34" a="1"/>
  <c r="J9812" i="34" a="1"/>
  <c r="J9813" i="34" a="1"/>
  <c r="J9814" i="34" a="1"/>
  <c r="J9815" i="34" a="1"/>
  <c r="J9816" i="34" a="1"/>
  <c r="J9817" i="34" a="1"/>
  <c r="J9818" i="34" a="1"/>
  <c r="J9819" i="34" a="1"/>
  <c r="J9820" i="34" a="1"/>
  <c r="J9821" i="34" a="1"/>
  <c r="J9822" i="34" a="1"/>
  <c r="J9823" i="34" a="1"/>
  <c r="J9824" i="34" a="1"/>
  <c r="J9825" i="34" a="1"/>
  <c r="J9826" i="34" a="1"/>
  <c r="J9827" i="34" a="1"/>
  <c r="J9828" i="34" a="1"/>
  <c r="J9829" i="34" a="1"/>
  <c r="J9830" i="34" a="1"/>
  <c r="J9831" i="34" a="1"/>
  <c r="J9832" i="34" a="1"/>
  <c r="J9833" i="34" a="1"/>
  <c r="J9834" i="34" a="1"/>
  <c r="J9835" i="34" a="1"/>
  <c r="J9836" i="34" a="1"/>
  <c r="J9837" i="34" a="1"/>
  <c r="J9838" i="34" a="1"/>
  <c r="J9839" i="34" a="1"/>
  <c r="J9840" i="34" a="1"/>
  <c r="J9841" i="34" a="1"/>
  <c r="J9842" i="34" a="1"/>
  <c r="J9843" i="34" a="1"/>
  <c r="J9844" i="34" a="1"/>
  <c r="J9845" i="34" a="1"/>
  <c r="J9846" i="34" a="1"/>
  <c r="J9847" i="34" a="1"/>
  <c r="J9848" i="34" a="1"/>
  <c r="J9849" i="34" a="1"/>
  <c r="J9850" i="34" a="1"/>
  <c r="J9851" i="34" a="1"/>
  <c r="J9852" i="34" a="1"/>
  <c r="J9853" i="34" a="1"/>
  <c r="J9854" i="34" a="1"/>
  <c r="J9855" i="34" a="1"/>
  <c r="J9856" i="34" a="1"/>
  <c r="J9857" i="34" a="1"/>
  <c r="J9858" i="34" a="1"/>
  <c r="J9859" i="34" a="1"/>
  <c r="J9860" i="34" a="1"/>
  <c r="J9861" i="34" a="1"/>
  <c r="J9862" i="34" a="1"/>
  <c r="J9863" i="34" a="1"/>
  <c r="J9864" i="34" a="1"/>
  <c r="J9865" i="34" a="1"/>
  <c r="J9866" i="34" a="1"/>
  <c r="J9867" i="34" a="1"/>
  <c r="J9868" i="34" a="1"/>
  <c r="J9869" i="34" a="1"/>
  <c r="J9870" i="34" a="1"/>
  <c r="J9871" i="34" a="1"/>
  <c r="J9872" i="34" a="1"/>
  <c r="J9873" i="34" a="1"/>
  <c r="J9874" i="34" a="1"/>
  <c r="J9875" i="34" a="1"/>
  <c r="J9876" i="34" a="1"/>
  <c r="J9877" i="34" a="1"/>
  <c r="J9878" i="34" a="1"/>
  <c r="J9879" i="34" a="1"/>
  <c r="J9880" i="34" a="1"/>
  <c r="J9881" i="34" a="1"/>
  <c r="J9882" i="34" a="1"/>
  <c r="J9883" i="34" a="1"/>
  <c r="J9884" i="34" a="1"/>
  <c r="J9885" i="34" a="1"/>
  <c r="J9886" i="34" a="1"/>
  <c r="J9887" i="34" a="1"/>
  <c r="J9888" i="34" a="1"/>
  <c r="J9889" i="34" a="1"/>
  <c r="J9890" i="34" a="1"/>
  <c r="J9891" i="34" a="1"/>
  <c r="J9892" i="34" a="1"/>
  <c r="J9893" i="34" a="1"/>
  <c r="J9894" i="34" a="1"/>
  <c r="J9895" i="34" a="1"/>
  <c r="J9896" i="34" a="1"/>
  <c r="J9897" i="34" a="1"/>
  <c r="J9898" i="34" a="1"/>
  <c r="J9899" i="34" a="1"/>
  <c r="J9900" i="34" a="1"/>
  <c r="J9901" i="34" a="1"/>
  <c r="J9902" i="34" a="1"/>
  <c r="J9903" i="34" a="1"/>
  <c r="J9904" i="34" a="1"/>
  <c r="J9905" i="34" a="1"/>
  <c r="J9906" i="34" a="1"/>
  <c r="J9907" i="34" a="1"/>
  <c r="J9908" i="34" a="1"/>
  <c r="J9909" i="34" a="1"/>
  <c r="J9910" i="34" a="1"/>
  <c r="J9911" i="34" a="1"/>
  <c r="J9912" i="34" a="1"/>
  <c r="J9913" i="34" a="1"/>
  <c r="J9914" i="34" a="1"/>
  <c r="J9915" i="34" a="1"/>
  <c r="J9916" i="34" a="1"/>
  <c r="J9917" i="34" a="1"/>
  <c r="J9918" i="34" a="1"/>
  <c r="J9919" i="34" a="1"/>
  <c r="J9920" i="34" a="1"/>
  <c r="J9921" i="34" a="1"/>
  <c r="J9922" i="34" a="1"/>
  <c r="J9923" i="34" a="1"/>
  <c r="J9924" i="34" a="1"/>
  <c r="J9925" i="34" a="1"/>
  <c r="J9926" i="34" a="1"/>
  <c r="J9927" i="34" a="1"/>
  <c r="J9928" i="34" a="1"/>
  <c r="J9929" i="34" a="1"/>
  <c r="J9930" i="34" a="1"/>
  <c r="J9931" i="34" a="1"/>
  <c r="J9932" i="34" a="1"/>
  <c r="J9933" i="34" a="1"/>
  <c r="J9934" i="34" a="1"/>
  <c r="J9935" i="34" a="1"/>
  <c r="J9936" i="34" a="1"/>
  <c r="J9937" i="34" a="1"/>
  <c r="J9938" i="34" a="1"/>
  <c r="J9939" i="34" a="1"/>
  <c r="J9940" i="34" a="1"/>
  <c r="J9941" i="34" a="1"/>
  <c r="J9942" i="34" a="1"/>
  <c r="J9943" i="34" a="1"/>
  <c r="J9944" i="34" a="1"/>
  <c r="J9945" i="34" a="1"/>
  <c r="J9946" i="34" a="1"/>
  <c r="J9947" i="34" a="1"/>
  <c r="J9948" i="34" a="1"/>
  <c r="J9949" i="34" a="1"/>
  <c r="J9950" i="34" a="1"/>
  <c r="J9951" i="34" a="1"/>
  <c r="J9952" i="34" a="1"/>
  <c r="J9953" i="34" a="1"/>
  <c r="J9954" i="34" a="1"/>
  <c r="J9955" i="34" a="1"/>
  <c r="J9956" i="34" a="1"/>
  <c r="J9957" i="34" a="1"/>
  <c r="J9958" i="34" a="1"/>
  <c r="J9959" i="34" a="1"/>
  <c r="J9960" i="34" a="1"/>
  <c r="J9961" i="34" a="1"/>
  <c r="J9962" i="34" a="1"/>
  <c r="J9963" i="34" a="1"/>
  <c r="J9964" i="34" a="1"/>
  <c r="J9965" i="34" a="1"/>
  <c r="J9966" i="34" a="1"/>
  <c r="J9967" i="34" a="1"/>
  <c r="J9968" i="34" a="1"/>
  <c r="J9969" i="34" a="1"/>
  <c r="J9970" i="34" a="1"/>
  <c r="J9971" i="34" a="1"/>
  <c r="J9972" i="34" a="1"/>
  <c r="J9973" i="34" a="1"/>
  <c r="J9974" i="34" a="1"/>
  <c r="J9975" i="34" a="1"/>
  <c r="J9976" i="34" a="1"/>
  <c r="J9977" i="34" a="1"/>
  <c r="J9978" i="34" a="1"/>
  <c r="J9979" i="34" a="1"/>
  <c r="J9980" i="34" a="1"/>
  <c r="J9981" i="34" a="1"/>
  <c r="J9982" i="34" a="1"/>
  <c r="J9983" i="34" a="1"/>
  <c r="J9984" i="34" a="1"/>
  <c r="J9985" i="34" a="1"/>
  <c r="J9986" i="34" a="1"/>
  <c r="J9987" i="34" a="1"/>
  <c r="J9988" i="34" a="1"/>
  <c r="J9989" i="34" a="1"/>
  <c r="J9990" i="34" a="1"/>
  <c r="J9991" i="34" a="1"/>
  <c r="J9992" i="34" a="1"/>
  <c r="J9993" i="34" a="1"/>
  <c r="J9994" i="34" a="1"/>
  <c r="J9995" i="34" a="1"/>
  <c r="J9996" i="34" a="1"/>
  <c r="J9997" i="34" a="1"/>
  <c r="J9998" i="34" a="1"/>
  <c r="J9999" i="34" a="1"/>
  <c r="J10000" i="34" a="1"/>
  <c r="J10001" i="34" a="1"/>
  <c r="J10002" i="34" a="1"/>
  <c r="J10003" i="34" a="1"/>
  <c r="J10004" i="34" a="1"/>
  <c r="J10005" i="34" a="1"/>
  <c r="J10006" i="34" a="1"/>
  <c r="J10007" i="34" a="1"/>
  <c r="J10008" i="34" a="1"/>
  <c r="J10009" i="34" a="1"/>
  <c r="J10010" i="34" a="1"/>
  <c r="J10011" i="34" a="1"/>
  <c r="J10012" i="34" a="1"/>
  <c r="J10013" i="34" a="1"/>
  <c r="J10014" i="34" a="1"/>
  <c r="J10015" i="34" a="1"/>
  <c r="J10016" i="34" a="1"/>
  <c r="J10017" i="34" a="1"/>
  <c r="J10018" i="34" a="1"/>
  <c r="J10019" i="34" a="1"/>
  <c r="J10020" i="34" a="1"/>
  <c r="J10021" i="34" a="1"/>
  <c r="J10022" i="34" a="1"/>
  <c r="J10023" i="34" a="1"/>
  <c r="J10024" i="34" a="1"/>
  <c r="J10025" i="34" a="1"/>
  <c r="J10026" i="34" a="1"/>
  <c r="J10027" i="34" a="1"/>
  <c r="J10028" i="34" a="1"/>
  <c r="J10029" i="34" a="1"/>
  <c r="J10030" i="34" a="1"/>
  <c r="J10031" i="34" a="1"/>
  <c r="J10032" i="34" a="1"/>
  <c r="J10033" i="34" a="1"/>
  <c r="J10034" i="34" a="1"/>
  <c r="J10035" i="34" a="1"/>
  <c r="J10036" i="34" a="1"/>
  <c r="J10037" i="34" a="1"/>
  <c r="J10038" i="34" a="1"/>
  <c r="J10039" i="34" a="1"/>
  <c r="J10040" i="34" a="1"/>
  <c r="J10041" i="34" a="1"/>
  <c r="J10042" i="34" a="1"/>
  <c r="J10043" i="34" a="1"/>
  <c r="J10044" i="34" a="1"/>
  <c r="J10045" i="34" a="1"/>
  <c r="J10046" i="34" a="1"/>
  <c r="J10047" i="34" a="1"/>
  <c r="J10048" i="34" a="1"/>
  <c r="J10049" i="34" a="1"/>
  <c r="J10050" i="34" a="1"/>
  <c r="J10051" i="34" a="1"/>
  <c r="J10052" i="34" a="1"/>
  <c r="J10053" i="34" a="1"/>
  <c r="J10054" i="34" a="1"/>
  <c r="J10055" i="34" a="1"/>
  <c r="J10056" i="34" a="1"/>
  <c r="J10057" i="34" a="1"/>
  <c r="J10058" i="34" a="1"/>
  <c r="J10059" i="34" a="1"/>
  <c r="J10060" i="34" a="1"/>
  <c r="J10061" i="34" a="1"/>
  <c r="J10062" i="34" a="1"/>
  <c r="J10063" i="34" a="1"/>
  <c r="J10064" i="34" a="1"/>
  <c r="J10065" i="34" a="1"/>
  <c r="J10066" i="34" a="1"/>
  <c r="J10067" i="34" a="1"/>
  <c r="J10068" i="34" a="1"/>
  <c r="J10069" i="34" a="1"/>
  <c r="J10070" i="34" a="1"/>
  <c r="J10071" i="34" a="1"/>
  <c r="J10072" i="34" a="1"/>
  <c r="J10073" i="34" a="1"/>
  <c r="J10074" i="34" a="1"/>
  <c r="J10075" i="34" a="1"/>
  <c r="J10076" i="34" a="1"/>
  <c r="J10077" i="34" a="1"/>
  <c r="J10078" i="34" a="1"/>
  <c r="J10079" i="34" a="1"/>
  <c r="J10080" i="34" a="1"/>
  <c r="J10081" i="34" a="1"/>
  <c r="J10082" i="34" a="1"/>
  <c r="J10083" i="34" a="1"/>
  <c r="J10084" i="34" a="1"/>
  <c r="J10085" i="34" a="1"/>
  <c r="J10086" i="34" a="1"/>
  <c r="J10087" i="34" a="1"/>
  <c r="J10088" i="34" a="1"/>
  <c r="J10089" i="34" a="1"/>
  <c r="J10090" i="34" a="1"/>
  <c r="J10091" i="34" a="1"/>
  <c r="J10092" i="34" a="1"/>
  <c r="J10093" i="34" a="1"/>
  <c r="J10094" i="34" a="1"/>
  <c r="J10095" i="34" a="1"/>
  <c r="J10096" i="34" a="1"/>
  <c r="J10097" i="34" a="1"/>
  <c r="J10098" i="34" a="1"/>
  <c r="J10099" i="34" a="1"/>
  <c r="J10100" i="34" a="1"/>
  <c r="J10101" i="34" a="1"/>
  <c r="J10102" i="34" a="1"/>
  <c r="J10103" i="34" a="1"/>
  <c r="J10104" i="34" a="1"/>
  <c r="J10105" i="34" a="1"/>
  <c r="J10106" i="34" a="1"/>
  <c r="J10107" i="34" a="1"/>
  <c r="J10108" i="34" a="1"/>
  <c r="J10109" i="34" a="1"/>
  <c r="J10110" i="34" a="1"/>
  <c r="J10111" i="34" a="1"/>
  <c r="J10112" i="34" a="1"/>
  <c r="J10113" i="34" a="1"/>
  <c r="J10114" i="34" a="1"/>
  <c r="J10115" i="34" a="1"/>
  <c r="J10116" i="34" a="1"/>
  <c r="J10117" i="34" a="1"/>
  <c r="J10118" i="34" a="1"/>
  <c r="J10119" i="34" a="1"/>
  <c r="J10120" i="34" a="1"/>
  <c r="J10121" i="34" a="1"/>
  <c r="J10122" i="34" a="1"/>
  <c r="J10123" i="34" a="1"/>
  <c r="J10124" i="34" a="1"/>
  <c r="J10125" i="34" a="1"/>
  <c r="J10126" i="34" a="1"/>
  <c r="J10127" i="34" a="1"/>
  <c r="J10128" i="34" a="1"/>
  <c r="J10129" i="34" a="1"/>
  <c r="J10130" i="34" a="1"/>
  <c r="J10131" i="34" a="1"/>
  <c r="J10132" i="34" a="1"/>
  <c r="J10133" i="34" a="1"/>
  <c r="J10134" i="34" a="1"/>
  <c r="J10135" i="34" a="1"/>
  <c r="J10136" i="34" a="1"/>
  <c r="J10137" i="34" a="1"/>
  <c r="J10138" i="34" a="1"/>
  <c r="J10139" i="34" a="1"/>
  <c r="J10140" i="34" a="1"/>
  <c r="J10141" i="34" a="1"/>
  <c r="J10142" i="34" a="1"/>
  <c r="J10143" i="34" a="1"/>
  <c r="J10144" i="34" a="1"/>
  <c r="J10145" i="34" a="1"/>
  <c r="J10146" i="34" a="1"/>
  <c r="J10147" i="34" a="1"/>
  <c r="J10148" i="34" a="1"/>
  <c r="J10149" i="34" a="1"/>
  <c r="J10150" i="34" a="1"/>
  <c r="J10151" i="34" a="1"/>
  <c r="J10152" i="34" a="1"/>
  <c r="J10153" i="34" a="1"/>
  <c r="J10154" i="34" a="1"/>
  <c r="J10155" i="34" a="1"/>
  <c r="J10156" i="34" a="1"/>
  <c r="J10157" i="34" a="1"/>
  <c r="J10158" i="34" a="1"/>
  <c r="J10159" i="34" a="1"/>
  <c r="J10160" i="34" a="1"/>
  <c r="J10161" i="34" a="1"/>
  <c r="J10162" i="34" a="1"/>
  <c r="J10163" i="34" a="1"/>
  <c r="J10164" i="34" a="1"/>
  <c r="J10165" i="34" a="1"/>
  <c r="J10166" i="34" a="1"/>
  <c r="J10167" i="34" a="1"/>
  <c r="J10168" i="34" a="1"/>
  <c r="J10169" i="34" a="1"/>
  <c r="J10170" i="34" a="1"/>
  <c r="J10171" i="34" a="1"/>
  <c r="J10172" i="34" a="1"/>
  <c r="J10173" i="34" a="1"/>
  <c r="J10174" i="34" a="1"/>
  <c r="J10175" i="34" a="1"/>
  <c r="J10176" i="34" a="1"/>
  <c r="J10177" i="34" a="1"/>
  <c r="J10178" i="34" a="1"/>
  <c r="J10179" i="34" a="1"/>
  <c r="J10180" i="34" a="1"/>
  <c r="J10181" i="34" a="1"/>
  <c r="J10182" i="34" a="1"/>
  <c r="J10183" i="34" a="1"/>
  <c r="J10184" i="34" a="1"/>
  <c r="J10185" i="34" a="1"/>
  <c r="J10186" i="34" a="1"/>
  <c r="J10187" i="34" a="1"/>
  <c r="J10188" i="34" a="1"/>
  <c r="J10189" i="34" a="1"/>
  <c r="J10190" i="34" a="1"/>
  <c r="J10191" i="34" a="1"/>
  <c r="J10192" i="34" a="1"/>
  <c r="J10193" i="34" a="1"/>
  <c r="J10194" i="34" a="1"/>
  <c r="J10195" i="34" a="1"/>
  <c r="J10196" i="34" a="1"/>
  <c r="J10197" i="34" a="1"/>
  <c r="J10198" i="34" a="1"/>
  <c r="J10199" i="34" a="1"/>
  <c r="J10200" i="34" a="1"/>
  <c r="J10201" i="34" a="1"/>
  <c r="J10202" i="34" a="1"/>
  <c r="J10203" i="34" a="1"/>
  <c r="J10204" i="34" a="1"/>
  <c r="J10205" i="34" a="1"/>
  <c r="J10206" i="34" a="1"/>
  <c r="J10207" i="34" a="1"/>
  <c r="J10208" i="34" a="1"/>
  <c r="J10209" i="34" a="1"/>
  <c r="J10210" i="34" a="1"/>
  <c r="J10211" i="34" a="1"/>
  <c r="J10212" i="34" a="1"/>
  <c r="J10213" i="34" a="1"/>
  <c r="J10214" i="34" a="1"/>
  <c r="J10215" i="34" a="1"/>
  <c r="J10216" i="34" a="1"/>
  <c r="J10217" i="34" a="1"/>
  <c r="J10218" i="34" a="1"/>
  <c r="J10219" i="34" a="1"/>
  <c r="J10220" i="34" a="1"/>
  <c r="J10221" i="34" a="1"/>
  <c r="J10222" i="34" a="1"/>
  <c r="J10223" i="34" a="1"/>
  <c r="J10224" i="34" a="1"/>
  <c r="J10225" i="34" a="1"/>
  <c r="J10226" i="34" a="1"/>
  <c r="J10227" i="34" a="1"/>
  <c r="J10228" i="34" a="1"/>
  <c r="J10229" i="34" a="1"/>
  <c r="J10230" i="34" a="1"/>
  <c r="J10231" i="34" a="1"/>
  <c r="J10232" i="34" a="1"/>
  <c r="J10233" i="34" a="1"/>
  <c r="J10234" i="34" a="1"/>
  <c r="J10235" i="34" a="1"/>
  <c r="J10236" i="34" a="1"/>
  <c r="J10237" i="34" a="1"/>
  <c r="J10238" i="34" a="1"/>
  <c r="J10239" i="34" a="1"/>
  <c r="J10240" i="34" a="1"/>
  <c r="J10241" i="34" a="1"/>
  <c r="J10242" i="34" a="1"/>
  <c r="J10243" i="34" a="1"/>
  <c r="J10244" i="34" a="1"/>
  <c r="J10245" i="34" a="1"/>
  <c r="J10246" i="34" a="1"/>
  <c r="J10247" i="34" a="1"/>
  <c r="J10248" i="34" a="1"/>
  <c r="J10249" i="34" a="1"/>
  <c r="J10250" i="34" a="1"/>
  <c r="J10251" i="34" a="1"/>
  <c r="J10252" i="34" a="1"/>
  <c r="J10253" i="34" a="1"/>
  <c r="J10254" i="34" a="1"/>
  <c r="J10255" i="34" a="1"/>
  <c r="J10256" i="34" a="1"/>
  <c r="J10257" i="34" a="1"/>
  <c r="J10258" i="34" a="1"/>
  <c r="J10259" i="34" a="1"/>
  <c r="J10260" i="34" a="1"/>
  <c r="J10261" i="34" a="1"/>
  <c r="J10262" i="34" a="1"/>
  <c r="J10263" i="34" a="1"/>
  <c r="J10264" i="34" a="1"/>
  <c r="J10265" i="34" a="1"/>
  <c r="J10266" i="34" a="1"/>
  <c r="J10267" i="34" a="1"/>
  <c r="J10268" i="34" a="1"/>
  <c r="J10269" i="34" a="1"/>
  <c r="J10270" i="34" a="1"/>
  <c r="J10271" i="34" a="1"/>
  <c r="J10272" i="34" a="1"/>
  <c r="J10273" i="34" a="1"/>
  <c r="J10274" i="34" a="1"/>
  <c r="J10275" i="34" a="1"/>
  <c r="J10276" i="34" a="1"/>
  <c r="J10277" i="34" a="1"/>
  <c r="J10278" i="34" a="1"/>
  <c r="J10279" i="34" a="1"/>
  <c r="J10280" i="34" a="1"/>
  <c r="J10281" i="34" a="1"/>
  <c r="J10282" i="34" a="1"/>
  <c r="J10283" i="34" a="1"/>
  <c r="J10284" i="34" a="1"/>
  <c r="J10285" i="34" a="1"/>
  <c r="J10286" i="34" a="1"/>
  <c r="J10287" i="34" a="1"/>
  <c r="J10288" i="34" a="1"/>
  <c r="J10289" i="34" a="1"/>
  <c r="J10290" i="34" a="1"/>
  <c r="J10291" i="34" a="1"/>
  <c r="J10292" i="34" a="1"/>
  <c r="J10293" i="34" a="1"/>
  <c r="J10294" i="34" a="1"/>
  <c r="J10295" i="34" a="1"/>
  <c r="J10296" i="34" a="1"/>
  <c r="J10297" i="34" a="1"/>
  <c r="J10298" i="34" a="1"/>
  <c r="J10299" i="34" a="1"/>
  <c r="J10300" i="34" a="1"/>
  <c r="J10301" i="34" a="1"/>
  <c r="J10302" i="34" a="1"/>
  <c r="J10303" i="34" a="1"/>
  <c r="J10304" i="34" a="1"/>
  <c r="J10305" i="34" a="1"/>
  <c r="J10306" i="34" a="1"/>
  <c r="J10307" i="34" a="1"/>
  <c r="J10308" i="34" a="1"/>
  <c r="J10309" i="34" a="1"/>
  <c r="J10310" i="34" a="1"/>
  <c r="J10311" i="34" a="1"/>
  <c r="J10312" i="34" a="1"/>
  <c r="J10313" i="34" a="1"/>
  <c r="J10314" i="34" a="1"/>
  <c r="J10315" i="34" a="1"/>
  <c r="J10316" i="34" a="1"/>
  <c r="J10317" i="34" a="1"/>
  <c r="J10318" i="34" a="1"/>
  <c r="J10319" i="34" a="1"/>
  <c r="J10320" i="34" a="1"/>
  <c r="J10321" i="34" a="1"/>
  <c r="J10322" i="34" a="1"/>
  <c r="J10323" i="34" a="1"/>
  <c r="J10324" i="34" a="1"/>
  <c r="J10325" i="34" a="1"/>
  <c r="J10326" i="34" a="1"/>
  <c r="J10327" i="34" a="1"/>
  <c r="J10328" i="34" a="1"/>
  <c r="J10329" i="34" a="1"/>
  <c r="J10330" i="34" a="1"/>
  <c r="J10331" i="34" a="1"/>
  <c r="J10332" i="34" a="1"/>
  <c r="J10333" i="34" a="1"/>
  <c r="J10334" i="34" a="1"/>
  <c r="J10335" i="34" a="1"/>
  <c r="J10336" i="34" a="1"/>
  <c r="J10337" i="34" a="1"/>
  <c r="J10338" i="34" a="1"/>
  <c r="J10339" i="34" a="1"/>
  <c r="J10340" i="34" a="1"/>
  <c r="J10341" i="34" a="1"/>
  <c r="J10342" i="34" a="1"/>
  <c r="J10343" i="34" a="1"/>
  <c r="J10344" i="34" a="1"/>
  <c r="J10345" i="34" a="1"/>
  <c r="J10346" i="34" a="1"/>
  <c r="J10347" i="34" a="1"/>
  <c r="J10348" i="34" a="1"/>
  <c r="J10349" i="34" a="1"/>
  <c r="J10350" i="34" a="1"/>
  <c r="J10351" i="34" a="1"/>
  <c r="J10352" i="34" a="1"/>
  <c r="J10353" i="34" a="1"/>
  <c r="J10354" i="34" a="1"/>
  <c r="J10355" i="34" a="1"/>
  <c r="J10356" i="34" a="1"/>
  <c r="J10357" i="34" a="1"/>
  <c r="J10358" i="34" a="1"/>
  <c r="J10359" i="34" a="1"/>
  <c r="J10360" i="34" a="1"/>
  <c r="J10361" i="34" a="1"/>
  <c r="J10362" i="34" a="1"/>
  <c r="J10363" i="34" a="1"/>
  <c r="J10364" i="34" a="1"/>
  <c r="J10365" i="34" a="1"/>
  <c r="J10366" i="34" a="1"/>
  <c r="J10367" i="34" a="1"/>
  <c r="J10368" i="34" a="1"/>
  <c r="J10369" i="34" a="1"/>
  <c r="J10370" i="34" a="1"/>
  <c r="J10371" i="34" a="1"/>
  <c r="J10372" i="34" a="1"/>
  <c r="J10373" i="34" a="1"/>
  <c r="J10374" i="34" a="1"/>
  <c r="J10375" i="34" a="1"/>
  <c r="J10376" i="34" a="1"/>
  <c r="J10377" i="34" a="1"/>
  <c r="J10378" i="34" a="1"/>
  <c r="J10379" i="34" a="1"/>
  <c r="J10380" i="34" a="1"/>
  <c r="J10381" i="34" a="1"/>
  <c r="J10382" i="34" a="1"/>
  <c r="J10383" i="34" a="1"/>
  <c r="J10384" i="34" a="1"/>
  <c r="J10385" i="34" a="1"/>
  <c r="J10386" i="34" a="1"/>
  <c r="J10387" i="34" a="1"/>
  <c r="J10388" i="34" a="1"/>
  <c r="J10389" i="34" a="1"/>
  <c r="J10390" i="34" a="1"/>
  <c r="J10391" i="34" a="1"/>
  <c r="J10392" i="34" a="1"/>
  <c r="J10393" i="34" a="1"/>
  <c r="J10394" i="34" a="1"/>
  <c r="J10395" i="34" a="1"/>
  <c r="J10396" i="34" a="1"/>
  <c r="J10397" i="34" a="1"/>
  <c r="J10398" i="34" a="1"/>
  <c r="J10399" i="34" a="1"/>
  <c r="J10400" i="34" a="1"/>
  <c r="J10401" i="34" a="1"/>
  <c r="J10402" i="34" a="1"/>
  <c r="J10403" i="34" a="1"/>
  <c r="J10404" i="34" a="1"/>
  <c r="J10405" i="34" a="1"/>
  <c r="J10406" i="34" a="1"/>
  <c r="J10407" i="34" a="1"/>
  <c r="J10408" i="34" a="1"/>
  <c r="J10409" i="34" a="1"/>
  <c r="J10410" i="34" a="1"/>
  <c r="J10411" i="34" a="1"/>
  <c r="J10412" i="34" a="1"/>
  <c r="J10413" i="34" a="1"/>
  <c r="J10414" i="34" a="1"/>
  <c r="J10415" i="34" a="1"/>
  <c r="J10416" i="34" a="1"/>
  <c r="J10417" i="34" a="1"/>
  <c r="J10418" i="34" a="1"/>
  <c r="J10419" i="34" a="1"/>
  <c r="J10420" i="34" a="1"/>
  <c r="J10421" i="34" a="1"/>
  <c r="J10422" i="34" a="1"/>
  <c r="J10423" i="34" a="1"/>
  <c r="J10424" i="34" a="1"/>
  <c r="J10425" i="34" a="1"/>
  <c r="J10426" i="34" a="1"/>
  <c r="J10427" i="34" a="1"/>
  <c r="J10428" i="34" a="1"/>
  <c r="J10429" i="34" a="1"/>
  <c r="J10430" i="34" a="1"/>
  <c r="J10431" i="34" a="1"/>
  <c r="J10432" i="34" a="1"/>
  <c r="J10433" i="34" a="1"/>
  <c r="J10434" i="34" a="1"/>
  <c r="J10435" i="34" a="1"/>
  <c r="J10436" i="34" a="1"/>
  <c r="J10437" i="34" a="1"/>
  <c r="J10438" i="34" a="1"/>
  <c r="J10439" i="34" a="1"/>
  <c r="J10440" i="34" a="1"/>
  <c r="J10441" i="34" a="1"/>
  <c r="J10442" i="34" a="1"/>
  <c r="J10443" i="34" a="1"/>
  <c r="J10444" i="34" a="1"/>
  <c r="J10445" i="34" a="1"/>
  <c r="J10446" i="34" a="1"/>
  <c r="J10447" i="34" a="1"/>
  <c r="J10448" i="34" a="1"/>
  <c r="J10449" i="34" a="1"/>
  <c r="J10450" i="34" a="1"/>
  <c r="J10451" i="34" a="1"/>
  <c r="J10452" i="34" a="1"/>
  <c r="J10453" i="34" a="1"/>
  <c r="J10454" i="34" a="1"/>
  <c r="J10455" i="34" a="1"/>
  <c r="J10456" i="34" a="1"/>
  <c r="J10457" i="34" a="1"/>
  <c r="J10458" i="34" a="1"/>
  <c r="J10459" i="34" a="1"/>
  <c r="J10460" i="34" a="1"/>
  <c r="J10461" i="34" a="1"/>
  <c r="J10462" i="34" a="1"/>
  <c r="J10463" i="34" a="1"/>
  <c r="J10464" i="34" a="1"/>
  <c r="J10465" i="34" a="1"/>
  <c r="J10466" i="34" a="1"/>
  <c r="J10467" i="34" a="1"/>
  <c r="J10468" i="34" a="1"/>
  <c r="J10469" i="34" a="1"/>
  <c r="J10470" i="34" a="1"/>
  <c r="J10471" i="34" a="1"/>
  <c r="J10472" i="34" a="1"/>
  <c r="J10473" i="34" a="1"/>
  <c r="J10474" i="34" a="1"/>
  <c r="J10475" i="34" a="1"/>
  <c r="J10476" i="34" a="1"/>
  <c r="J10477" i="34" a="1"/>
  <c r="J10478" i="34" a="1"/>
  <c r="J10479" i="34" a="1"/>
  <c r="J10480" i="34" a="1"/>
  <c r="J10481" i="34" a="1"/>
  <c r="J10482" i="34" a="1"/>
  <c r="J10483" i="34" a="1"/>
  <c r="J10484" i="34" a="1"/>
  <c r="J10485" i="34" a="1"/>
  <c r="J10486" i="34" a="1"/>
  <c r="J10487" i="34" a="1"/>
  <c r="J10488" i="34" a="1"/>
  <c r="J10489" i="34" a="1"/>
  <c r="J10490" i="34" a="1"/>
  <c r="J10491" i="34" a="1"/>
  <c r="J10492" i="34" a="1"/>
  <c r="J10493" i="34" a="1"/>
  <c r="J10494" i="34" a="1"/>
  <c r="J10495" i="34" a="1"/>
  <c r="J10496" i="34" a="1"/>
  <c r="J10497" i="34" a="1"/>
  <c r="J10498" i="34" a="1"/>
  <c r="J10499" i="34" a="1"/>
  <c r="J10500" i="34" a="1"/>
  <c r="J10501" i="34" a="1"/>
  <c r="J10502" i="34" a="1"/>
  <c r="J10503" i="34" a="1"/>
  <c r="J10504" i="34" a="1"/>
  <c r="J10505" i="34" a="1"/>
  <c r="J10506" i="34" a="1"/>
  <c r="J10507" i="34" a="1"/>
  <c r="J10508" i="34" a="1"/>
  <c r="J10509" i="34" a="1"/>
  <c r="J10510" i="34" a="1"/>
  <c r="J10511" i="34" a="1"/>
  <c r="J10512" i="34" a="1"/>
  <c r="J10513" i="34" a="1"/>
  <c r="J10514" i="34" a="1"/>
  <c r="J10515" i="34" a="1"/>
  <c r="J10516" i="34" a="1"/>
  <c r="J10517" i="34" a="1"/>
  <c r="J10518" i="34" a="1"/>
  <c r="J10519" i="34" a="1"/>
  <c r="J10520" i="34" a="1"/>
  <c r="J10521" i="34" a="1"/>
  <c r="J10522" i="34" a="1"/>
  <c r="J10523" i="34" a="1"/>
  <c r="J10524" i="34" a="1"/>
  <c r="J10525" i="34" a="1"/>
  <c r="J10526" i="34" a="1"/>
  <c r="J10527" i="34" a="1"/>
  <c r="J10528" i="34" a="1"/>
  <c r="J10529" i="34" a="1"/>
  <c r="J10530" i="34" a="1"/>
  <c r="J10531" i="34" a="1"/>
  <c r="J10532" i="34" a="1"/>
  <c r="J10533" i="34" a="1"/>
  <c r="J10534" i="34" a="1"/>
  <c r="J10535" i="34" a="1"/>
  <c r="J10536" i="34" a="1"/>
  <c r="J10537" i="34" a="1"/>
  <c r="J10538" i="34" a="1"/>
  <c r="J10539" i="34" a="1"/>
  <c r="J10540" i="34" a="1"/>
  <c r="J10541" i="34" a="1"/>
  <c r="J10542" i="34" a="1"/>
  <c r="J10543" i="34" a="1"/>
  <c r="J10544" i="34" a="1"/>
  <c r="J10545" i="34" a="1"/>
  <c r="J10546" i="34" a="1"/>
  <c r="J10547" i="34" a="1"/>
  <c r="J10548" i="34" a="1"/>
  <c r="J10549" i="34" a="1"/>
  <c r="J10550" i="34" a="1"/>
  <c r="J10551" i="34" a="1"/>
  <c r="J10552" i="34" a="1"/>
  <c r="J10553" i="34" a="1"/>
  <c r="J10554" i="34" a="1"/>
  <c r="J10555" i="34" a="1"/>
  <c r="J10556" i="34" a="1"/>
  <c r="J10557" i="34" a="1"/>
  <c r="J10558" i="34" a="1"/>
  <c r="J10559" i="34" a="1"/>
  <c r="J10560" i="34" a="1"/>
  <c r="J10561" i="34" a="1"/>
  <c r="J10562" i="34" a="1"/>
  <c r="J10563" i="34" a="1"/>
  <c r="J10564" i="34" a="1"/>
  <c r="J10565" i="34" a="1"/>
  <c r="J10566" i="34" a="1"/>
  <c r="J10567" i="34" a="1"/>
  <c r="J10568" i="34" a="1"/>
  <c r="J10569" i="34" a="1"/>
  <c r="J10570" i="34" a="1"/>
  <c r="J10571" i="34" a="1"/>
  <c r="J10572" i="34" a="1"/>
  <c r="J10573" i="34" a="1"/>
  <c r="J10574" i="34" a="1"/>
  <c r="J10575" i="34" a="1"/>
  <c r="J10576" i="34" a="1"/>
  <c r="J10577" i="34" a="1"/>
  <c r="J10578" i="34" a="1"/>
  <c r="J10579" i="34" a="1"/>
  <c r="J10580" i="34" a="1"/>
  <c r="J10581" i="34" a="1"/>
  <c r="J10582" i="34" a="1"/>
  <c r="J10583" i="34" a="1"/>
  <c r="J10584" i="34" a="1"/>
  <c r="J10585" i="34" a="1"/>
  <c r="J10586" i="34" a="1"/>
  <c r="J10587" i="34" a="1"/>
  <c r="J10588" i="34" a="1"/>
  <c r="J10589" i="34" a="1"/>
  <c r="J10590" i="34" a="1"/>
  <c r="J10591" i="34" a="1"/>
  <c r="J10592" i="34" a="1"/>
  <c r="J10593" i="34" a="1"/>
  <c r="J10594" i="34" a="1"/>
  <c r="J10595" i="34" a="1"/>
  <c r="J10596" i="34" a="1"/>
  <c r="J10597" i="34" a="1"/>
  <c r="J10598" i="34" a="1"/>
  <c r="J10599" i="34" a="1"/>
  <c r="J10600" i="34" a="1"/>
  <c r="J10601" i="34" a="1"/>
  <c r="J10602" i="34" a="1"/>
  <c r="J10603" i="34" a="1"/>
  <c r="J10604" i="34" a="1"/>
  <c r="J10605" i="34" a="1"/>
  <c r="J10606" i="34" a="1"/>
  <c r="J10607" i="34" a="1"/>
  <c r="J10608" i="34" a="1"/>
  <c r="J10609" i="34" a="1"/>
  <c r="J10610" i="34" a="1"/>
  <c r="J10611" i="34" a="1"/>
  <c r="J10612" i="34" a="1"/>
  <c r="J10613" i="34" a="1"/>
  <c r="J10614" i="34" a="1"/>
  <c r="J10615" i="34" a="1"/>
  <c r="J10616" i="34" a="1"/>
  <c r="J10617" i="34" a="1"/>
  <c r="J10618" i="34" a="1"/>
  <c r="J10619" i="34" a="1"/>
  <c r="J10620" i="34" a="1"/>
  <c r="J10621" i="34" a="1"/>
  <c r="J10622" i="34" a="1"/>
  <c r="J10623" i="34" a="1"/>
  <c r="J10624" i="34" a="1"/>
  <c r="J10625" i="34" a="1"/>
  <c r="J10626" i="34" a="1"/>
  <c r="J10627" i="34" a="1"/>
  <c r="J10628" i="34" a="1"/>
  <c r="J10629" i="34" a="1"/>
  <c r="J10630" i="34" a="1"/>
  <c r="J10631" i="34" a="1"/>
  <c r="J10632" i="34" a="1"/>
  <c r="J10633" i="34" a="1"/>
  <c r="J10634" i="34" a="1"/>
  <c r="J10635" i="34" a="1"/>
  <c r="J10636" i="34" a="1"/>
  <c r="J10637" i="34" a="1"/>
  <c r="J10638" i="34" a="1"/>
  <c r="J10639" i="34" a="1"/>
  <c r="J10640" i="34" a="1"/>
  <c r="J10641" i="34" a="1"/>
  <c r="J10642" i="34" a="1"/>
  <c r="J10643" i="34" a="1"/>
  <c r="J10644" i="34" a="1"/>
  <c r="J10645" i="34" a="1"/>
  <c r="J10646" i="34" a="1"/>
  <c r="J10647" i="34" a="1"/>
  <c r="J10648" i="34" a="1"/>
  <c r="J10649" i="34" a="1"/>
  <c r="J10650" i="34" a="1"/>
  <c r="J10651" i="34" a="1"/>
  <c r="J10652" i="34" a="1"/>
  <c r="J10653" i="34" a="1"/>
  <c r="J10654" i="34" a="1"/>
  <c r="J10655" i="34" a="1"/>
  <c r="J10656" i="34" a="1"/>
  <c r="J10657" i="34" a="1"/>
  <c r="J10658" i="34" a="1"/>
  <c r="J10659" i="34" a="1"/>
  <c r="J10660" i="34" a="1"/>
  <c r="J10661" i="34" a="1"/>
  <c r="J10662" i="34" a="1"/>
  <c r="J10663" i="34" a="1"/>
  <c r="J10664" i="34" a="1"/>
  <c r="J10665" i="34" a="1"/>
  <c r="J10666" i="34" a="1"/>
  <c r="J10667" i="34" a="1"/>
  <c r="J10668" i="34" a="1"/>
  <c r="J10669" i="34" a="1"/>
  <c r="J10670" i="34" a="1"/>
  <c r="J10671" i="34" a="1"/>
  <c r="J10672" i="34" a="1"/>
  <c r="J10673" i="34" a="1"/>
  <c r="J10674" i="34" a="1"/>
  <c r="J10675" i="34" a="1"/>
  <c r="J10676" i="34" a="1"/>
  <c r="J10677" i="34" a="1"/>
  <c r="J10678" i="34" a="1"/>
  <c r="J10679" i="34" a="1"/>
  <c r="J10680" i="34" a="1"/>
  <c r="J10681" i="34" a="1"/>
  <c r="J10682" i="34" a="1"/>
  <c r="J10683" i="34" a="1"/>
  <c r="J10684" i="34" a="1"/>
  <c r="J10685" i="34" a="1"/>
  <c r="J10686" i="34" a="1"/>
  <c r="J10687" i="34" a="1"/>
  <c r="J10688" i="34" a="1"/>
  <c r="J10689" i="34" a="1"/>
  <c r="J10690" i="34" a="1"/>
  <c r="J10691" i="34" a="1"/>
  <c r="J10692" i="34" a="1"/>
  <c r="J10693" i="34" a="1"/>
  <c r="J10694" i="34" a="1"/>
  <c r="J10695" i="34" a="1"/>
  <c r="J10696" i="34" a="1"/>
  <c r="J10697" i="34" a="1"/>
  <c r="J10698" i="34" a="1"/>
  <c r="J10699" i="34" a="1"/>
  <c r="J10700" i="34" a="1"/>
  <c r="J10701" i="34" a="1"/>
  <c r="J10702" i="34" a="1"/>
  <c r="J10703" i="34" a="1"/>
  <c r="J10704" i="34" a="1"/>
  <c r="J10705" i="34" a="1"/>
  <c r="J10706" i="34" a="1"/>
  <c r="J10707" i="34" a="1"/>
  <c r="J10708" i="34" a="1"/>
  <c r="J10709" i="34" a="1"/>
  <c r="J10710" i="34" a="1"/>
  <c r="J10711" i="34" a="1"/>
  <c r="J10712" i="34" a="1"/>
  <c r="J10713" i="34" a="1"/>
  <c r="J10714" i="34" a="1"/>
  <c r="J10715" i="34" a="1"/>
  <c r="J10716" i="34" a="1"/>
  <c r="J10717" i="34" a="1"/>
  <c r="J10718" i="34" a="1"/>
  <c r="J10719" i="34" a="1"/>
  <c r="J10720" i="34" a="1"/>
  <c r="J10721" i="34" a="1"/>
  <c r="J10722" i="34" a="1"/>
  <c r="J10723" i="34" a="1"/>
  <c r="J10724" i="34" a="1"/>
  <c r="J10725" i="34" a="1"/>
  <c r="J10726" i="34" a="1"/>
  <c r="J10727" i="34" a="1"/>
  <c r="J10728" i="34" a="1"/>
  <c r="J10729" i="34" a="1"/>
  <c r="J10730" i="34" a="1"/>
  <c r="J10731" i="34" a="1"/>
  <c r="J10732" i="34" a="1"/>
  <c r="J10733" i="34" a="1"/>
  <c r="J10734" i="34" a="1"/>
  <c r="J10735" i="34" a="1"/>
  <c r="J10736" i="34" a="1"/>
  <c r="J10737" i="34" a="1"/>
  <c r="J10738" i="34" a="1"/>
  <c r="J10739" i="34" a="1"/>
  <c r="J10740" i="34" a="1"/>
  <c r="J10741" i="34" a="1"/>
  <c r="J10742" i="34" a="1"/>
  <c r="J10743" i="34" a="1"/>
  <c r="J10744" i="34" a="1"/>
  <c r="J10745" i="34" a="1"/>
  <c r="J10746" i="34" a="1"/>
  <c r="J10747" i="34" a="1"/>
  <c r="J10748" i="34" a="1"/>
  <c r="J10749" i="34" a="1"/>
  <c r="J10750" i="34" a="1"/>
  <c r="J10751" i="34" a="1"/>
  <c r="J10752" i="34" a="1"/>
  <c r="J10753" i="34" a="1"/>
  <c r="J10754" i="34" a="1"/>
  <c r="J10755" i="34" a="1"/>
  <c r="J10756" i="34" a="1"/>
  <c r="J10757" i="34" a="1"/>
  <c r="J10758" i="34" a="1"/>
  <c r="J10759" i="34" a="1"/>
  <c r="J10760" i="34" a="1"/>
  <c r="J10761" i="34" a="1"/>
  <c r="J10762" i="34" a="1"/>
  <c r="J10763" i="34" a="1"/>
  <c r="J10764" i="34" a="1"/>
  <c r="J10765" i="34" a="1"/>
  <c r="J10766" i="34" a="1"/>
  <c r="J10767" i="34" a="1"/>
  <c r="J10768" i="34" a="1"/>
  <c r="J10769" i="34" a="1"/>
  <c r="J10770" i="34" a="1"/>
  <c r="J10771" i="34" a="1"/>
  <c r="J10772" i="34" a="1"/>
  <c r="J10773" i="34" a="1"/>
  <c r="J10774" i="34" a="1"/>
  <c r="J10775" i="34" a="1"/>
  <c r="J10776" i="34" a="1"/>
  <c r="J10777" i="34" a="1"/>
  <c r="J10778" i="34" a="1"/>
  <c r="J10779" i="34" a="1"/>
  <c r="J10780" i="34" a="1"/>
  <c r="J10781" i="34" a="1"/>
  <c r="J10782" i="34" a="1"/>
  <c r="J10783" i="34" a="1"/>
  <c r="J10784" i="34" a="1"/>
  <c r="J10785" i="34" a="1"/>
  <c r="J10786" i="34" a="1"/>
  <c r="J10787" i="34" a="1"/>
  <c r="J10788" i="34" a="1"/>
  <c r="J10789" i="34" a="1"/>
  <c r="J10790" i="34" a="1"/>
  <c r="J10791" i="34" a="1"/>
  <c r="J10792" i="34" a="1"/>
  <c r="J10793" i="34" a="1"/>
  <c r="J10794" i="34" a="1"/>
  <c r="J10795" i="34" a="1"/>
  <c r="J10796" i="34" a="1"/>
  <c r="J10797" i="34" a="1"/>
  <c r="J10798" i="34" a="1"/>
  <c r="J10799" i="34" a="1"/>
  <c r="J10800" i="34" a="1"/>
  <c r="J10801" i="34" a="1"/>
  <c r="J10802" i="34" a="1"/>
  <c r="J10803" i="34" a="1"/>
  <c r="J10804" i="34" a="1"/>
  <c r="J10805" i="34" a="1"/>
  <c r="J10806" i="34" a="1"/>
  <c r="J10807" i="34" a="1"/>
  <c r="J10808" i="34" a="1"/>
  <c r="J10809" i="34" a="1"/>
  <c r="J10810" i="34" a="1"/>
  <c r="J10811" i="34" a="1"/>
  <c r="J10812" i="34" a="1"/>
  <c r="J10813" i="34" a="1"/>
  <c r="J10814" i="34" a="1"/>
  <c r="J10815" i="34" a="1"/>
  <c r="J10816" i="34" a="1"/>
  <c r="J10817" i="34" a="1"/>
  <c r="J10818" i="34" a="1"/>
  <c r="J10819" i="34" a="1"/>
  <c r="J10820" i="34" a="1"/>
  <c r="J10821" i="34" a="1"/>
  <c r="J10822" i="34" a="1"/>
  <c r="J10823" i="34" a="1"/>
  <c r="J10824" i="34" a="1"/>
  <c r="J10825" i="34" a="1"/>
  <c r="J10826" i="34" a="1"/>
  <c r="J10827" i="34" a="1"/>
  <c r="J10828" i="34" a="1"/>
  <c r="J10829" i="34" a="1"/>
  <c r="J10830" i="34" a="1"/>
  <c r="J10831" i="34" a="1"/>
  <c r="J10832" i="34" a="1"/>
  <c r="J10833" i="34" a="1"/>
  <c r="J10834" i="34" a="1"/>
  <c r="J10835" i="34" a="1"/>
  <c r="J10836" i="34" a="1"/>
  <c r="J10837" i="34" a="1"/>
  <c r="J10838" i="34" a="1"/>
  <c r="J10839" i="34" a="1"/>
  <c r="J10840" i="34" a="1"/>
  <c r="J10841" i="34" a="1"/>
  <c r="J10842" i="34" a="1"/>
  <c r="J10843" i="34" a="1"/>
  <c r="J10844" i="34" a="1"/>
  <c r="J10845" i="34" a="1"/>
  <c r="J10846" i="34" a="1"/>
  <c r="J10847" i="34" a="1"/>
  <c r="J10848" i="34" a="1"/>
  <c r="J10849" i="34" a="1"/>
  <c r="J10850" i="34" a="1"/>
  <c r="J10851" i="34" a="1"/>
  <c r="J10852" i="34" a="1"/>
  <c r="J10853" i="34" a="1"/>
  <c r="J10854" i="34" a="1"/>
  <c r="J10855" i="34" a="1"/>
  <c r="J10856" i="34" a="1"/>
  <c r="J10857" i="34" a="1"/>
  <c r="J10858" i="34" a="1"/>
  <c r="J10859" i="34" a="1"/>
  <c r="J10860" i="34" a="1"/>
  <c r="J10861" i="34" a="1"/>
  <c r="J10862" i="34" a="1"/>
  <c r="J10863" i="34" a="1"/>
  <c r="J10864" i="34" a="1"/>
  <c r="J10865" i="34" a="1"/>
  <c r="J10866" i="34" a="1"/>
  <c r="J10867" i="34" a="1"/>
  <c r="J10868" i="34" a="1"/>
  <c r="J10869" i="34" a="1"/>
  <c r="J10870" i="34" a="1"/>
  <c r="J10871" i="34" a="1"/>
  <c r="J10872" i="34" a="1"/>
  <c r="J10873" i="34" a="1"/>
  <c r="J10874" i="34" a="1"/>
  <c r="J10875" i="34" a="1"/>
  <c r="J10876" i="34" a="1"/>
  <c r="J10877" i="34" a="1"/>
  <c r="J10878" i="34" a="1"/>
  <c r="J10879" i="34" a="1"/>
  <c r="J10880" i="34" a="1"/>
  <c r="J10881" i="34" a="1"/>
  <c r="J10882" i="34" a="1"/>
  <c r="J10883" i="34" a="1"/>
  <c r="J10884" i="34" a="1"/>
  <c r="J10885" i="34" a="1"/>
  <c r="J10886" i="34" a="1"/>
  <c r="J10887" i="34" a="1"/>
  <c r="J10888" i="34" a="1"/>
  <c r="J10889" i="34" a="1"/>
  <c r="J10890" i="34" a="1"/>
  <c r="J10891" i="34" a="1"/>
  <c r="J10892" i="34" a="1"/>
  <c r="J10893" i="34" a="1"/>
  <c r="J10894" i="34" a="1"/>
  <c r="J10895" i="34" a="1"/>
  <c r="J10896" i="34" a="1"/>
  <c r="J10897" i="34" a="1"/>
  <c r="J10898" i="34" a="1"/>
  <c r="J10899" i="34" a="1"/>
  <c r="J10900" i="34" a="1"/>
  <c r="J10901" i="34" a="1"/>
  <c r="J10902" i="34" a="1"/>
  <c r="J10903" i="34" a="1"/>
  <c r="J10904" i="34" a="1"/>
  <c r="J10905" i="34" a="1"/>
  <c r="J10906" i="34" a="1"/>
  <c r="J10907" i="34" a="1"/>
  <c r="J10908" i="34" a="1"/>
  <c r="J10909" i="34" a="1"/>
  <c r="J10910" i="34" a="1"/>
  <c r="J10911" i="34" a="1"/>
  <c r="J10912" i="34" a="1"/>
  <c r="J10913" i="34" a="1"/>
  <c r="J10914" i="34" a="1"/>
  <c r="J10915" i="34" a="1"/>
  <c r="J10916" i="34" a="1"/>
  <c r="J10917" i="34" a="1"/>
  <c r="J10918" i="34" a="1"/>
  <c r="J10919" i="34" a="1"/>
  <c r="J10920" i="34" a="1"/>
  <c r="J10921" i="34" a="1"/>
  <c r="J10922" i="34" a="1"/>
  <c r="J10923" i="34" a="1"/>
  <c r="J10924" i="34" a="1"/>
  <c r="J10925" i="34" a="1"/>
  <c r="J10926" i="34" a="1"/>
  <c r="J10927" i="34" a="1"/>
  <c r="J10928" i="34" a="1"/>
  <c r="J10929" i="34" a="1"/>
  <c r="J10930" i="34" a="1"/>
  <c r="J10931" i="34" a="1"/>
  <c r="J10932" i="34" a="1"/>
  <c r="J10933" i="34" a="1"/>
  <c r="J10934" i="34" a="1"/>
  <c r="J10935" i="34" a="1"/>
  <c r="J10936" i="34" a="1"/>
  <c r="J10937" i="34" a="1"/>
  <c r="J10938" i="34" a="1"/>
  <c r="J10939" i="34" a="1"/>
  <c r="J10940" i="34" a="1"/>
  <c r="J10941" i="34" a="1"/>
  <c r="J10942" i="34" a="1"/>
  <c r="J10943" i="34" a="1"/>
  <c r="J10944" i="34" a="1"/>
  <c r="J10945" i="34" a="1"/>
  <c r="J10946" i="34" a="1"/>
  <c r="J10947" i="34" a="1"/>
  <c r="J10948" i="34" a="1"/>
  <c r="J10949" i="34" a="1"/>
  <c r="J10950" i="34" a="1"/>
  <c r="J10951" i="34" a="1"/>
  <c r="J10952" i="34" a="1"/>
  <c r="J10953" i="34" a="1"/>
  <c r="J10954" i="34" a="1"/>
  <c r="J10955" i="34" a="1"/>
  <c r="J10956" i="34" a="1"/>
  <c r="J10957" i="34" a="1"/>
  <c r="J10958" i="34" a="1"/>
  <c r="J10959" i="34" a="1"/>
  <c r="J10960" i="34" a="1"/>
  <c r="J10961" i="34" a="1"/>
  <c r="J10962" i="34" a="1"/>
  <c r="J10963" i="34" a="1"/>
  <c r="J10964" i="34" a="1"/>
  <c r="J10965" i="34" a="1"/>
  <c r="J10966" i="34" a="1"/>
  <c r="J10967" i="34" a="1"/>
  <c r="J10968" i="34" a="1"/>
  <c r="J10969" i="34" a="1"/>
  <c r="J10970" i="34" a="1"/>
  <c r="J10971" i="34" a="1"/>
  <c r="J10972" i="34" a="1"/>
  <c r="J10973" i="34" a="1"/>
  <c r="J10974" i="34" a="1"/>
  <c r="J10975" i="34" a="1"/>
  <c r="J10976" i="34" a="1"/>
  <c r="J10977" i="34" a="1"/>
  <c r="J10978" i="34" a="1"/>
  <c r="J10979" i="34" a="1"/>
  <c r="J10980" i="34" a="1"/>
  <c r="J10981" i="34" a="1"/>
  <c r="J10982" i="34" a="1"/>
  <c r="J10983" i="34" a="1"/>
  <c r="J10984" i="34" a="1"/>
  <c r="J10985" i="34" a="1"/>
  <c r="J10986" i="34" a="1"/>
  <c r="J10987" i="34" a="1"/>
  <c r="J10988" i="34" a="1"/>
  <c r="J10989" i="34" a="1"/>
  <c r="J10990" i="34" a="1"/>
  <c r="J10991" i="34" a="1"/>
  <c r="J10992" i="34" a="1"/>
  <c r="J10993" i="34" a="1"/>
  <c r="J10994" i="34" a="1"/>
  <c r="J10995" i="34" a="1"/>
  <c r="J10996" i="34" a="1"/>
  <c r="J10997" i="34" a="1"/>
  <c r="J10998" i="34" a="1"/>
  <c r="J10999" i="34" a="1"/>
  <c r="J11000" i="34" a="1"/>
  <c r="J11001" i="34" a="1"/>
  <c r="J11002" i="34" a="1"/>
  <c r="J11003" i="34" a="1"/>
  <c r="J11004" i="34" a="1"/>
  <c r="J11005" i="34" a="1"/>
  <c r="J11006" i="34" a="1"/>
  <c r="J11007" i="34" a="1"/>
  <c r="J11008" i="34" a="1"/>
  <c r="J11009" i="34" a="1"/>
  <c r="J11010" i="34" a="1"/>
  <c r="J11011" i="34" a="1"/>
  <c r="J11012" i="34" a="1"/>
  <c r="J11013" i="34" a="1"/>
  <c r="J11014" i="34" a="1"/>
  <c r="J11015" i="34" a="1"/>
  <c r="J11016" i="34" a="1"/>
  <c r="J11017" i="34" a="1"/>
  <c r="J11018" i="34" a="1"/>
  <c r="J11019" i="34" a="1"/>
  <c r="J11020" i="34" a="1"/>
  <c r="J11021" i="34" a="1"/>
  <c r="J11022" i="34" a="1"/>
  <c r="J11023" i="34" a="1"/>
  <c r="J11024" i="34" a="1"/>
  <c r="J11025" i="34" a="1"/>
  <c r="J11026" i="34" a="1"/>
  <c r="J11027" i="34" a="1"/>
  <c r="J11028" i="34" a="1"/>
  <c r="J11029" i="34" a="1"/>
  <c r="J11030" i="34" a="1"/>
  <c r="J11031" i="34" a="1"/>
  <c r="J11032" i="34" a="1"/>
  <c r="J11033" i="34" a="1"/>
  <c r="J11034" i="34" a="1"/>
  <c r="J11035" i="34" a="1"/>
  <c r="J11036" i="34" a="1"/>
  <c r="J11037" i="34" a="1"/>
  <c r="J11038" i="34" a="1"/>
  <c r="J11039" i="34" a="1"/>
  <c r="J11040" i="34" a="1"/>
  <c r="J11041" i="34" a="1"/>
  <c r="J11042" i="34" a="1"/>
  <c r="J11043" i="34" a="1"/>
  <c r="J11044" i="34" a="1"/>
  <c r="J11045" i="34" a="1"/>
  <c r="J11046" i="34" a="1"/>
  <c r="J11047" i="34" a="1"/>
  <c r="J11048" i="34" a="1"/>
  <c r="J11049" i="34" a="1"/>
  <c r="J11050" i="34" a="1"/>
  <c r="J11051" i="34" a="1"/>
  <c r="J11052" i="34" a="1"/>
  <c r="J11053" i="34" a="1"/>
  <c r="J11054" i="34" a="1"/>
  <c r="J11055" i="34" a="1"/>
  <c r="J11056" i="34" a="1"/>
  <c r="J11057" i="34" a="1"/>
  <c r="J11058" i="34" a="1"/>
  <c r="J11059" i="34" a="1"/>
  <c r="J11060" i="34" a="1"/>
  <c r="J11061" i="34" a="1"/>
  <c r="J11062" i="34" a="1"/>
  <c r="J11063" i="34" a="1"/>
  <c r="J11064" i="34" a="1"/>
  <c r="J11065" i="34" a="1"/>
  <c r="J11066" i="34" a="1"/>
  <c r="J11067" i="34" a="1"/>
  <c r="J11068" i="34" a="1"/>
  <c r="J11069" i="34" a="1"/>
  <c r="J11070" i="34" a="1"/>
  <c r="J11071" i="34" a="1"/>
  <c r="J11072" i="34" a="1"/>
  <c r="J11073" i="34" a="1"/>
  <c r="J11074" i="34" a="1"/>
  <c r="J11075" i="34" a="1"/>
  <c r="J11076" i="34" a="1"/>
  <c r="J11077" i="34" a="1"/>
  <c r="J11078" i="34" a="1"/>
  <c r="J11079" i="34" a="1"/>
  <c r="J11080" i="34" a="1"/>
  <c r="J11081" i="34" a="1"/>
  <c r="J11082" i="34" a="1"/>
  <c r="J11083" i="34" a="1"/>
  <c r="J11084" i="34" a="1"/>
  <c r="J11085" i="34" a="1"/>
  <c r="J11086" i="34" a="1"/>
  <c r="J11087" i="34" a="1"/>
  <c r="J11088" i="34" a="1"/>
  <c r="J11089" i="34" a="1"/>
  <c r="J11090" i="34" a="1"/>
  <c r="J11091" i="34" a="1"/>
  <c r="J11092" i="34" a="1"/>
  <c r="J11093" i="34" a="1"/>
  <c r="J11094" i="34" a="1"/>
  <c r="J11095" i="34" a="1"/>
  <c r="J11096" i="34" a="1"/>
  <c r="J11097" i="34" a="1"/>
  <c r="J11098" i="34" a="1"/>
  <c r="J11099" i="34" a="1"/>
  <c r="J11100" i="34" a="1"/>
  <c r="J11101" i="34" a="1"/>
  <c r="J11102" i="34" a="1"/>
  <c r="J11103" i="34" a="1"/>
  <c r="J11104" i="34" a="1"/>
  <c r="J11105" i="34" a="1"/>
  <c r="J11106" i="34" a="1"/>
  <c r="J11107" i="34" a="1"/>
  <c r="J11108" i="34" a="1"/>
  <c r="J11109" i="34" a="1"/>
  <c r="J11110" i="34" a="1"/>
  <c r="J11111" i="34" a="1"/>
  <c r="J11112" i="34" a="1"/>
  <c r="J11113" i="34" a="1"/>
  <c r="J11114" i="34" a="1"/>
  <c r="J11115" i="34" a="1"/>
  <c r="J11116" i="34" a="1"/>
  <c r="J11117" i="34" a="1"/>
  <c r="J11118" i="34" a="1"/>
  <c r="J11119" i="34" a="1"/>
  <c r="J11120" i="34" a="1"/>
  <c r="J11121" i="34" a="1"/>
  <c r="J11122" i="34" a="1"/>
  <c r="J11123" i="34" a="1"/>
  <c r="J11124" i="34" a="1"/>
  <c r="J11125" i="34" a="1"/>
  <c r="J11126" i="34" a="1"/>
  <c r="J11127" i="34" a="1"/>
  <c r="J11128" i="34" a="1"/>
  <c r="J11129" i="34" a="1"/>
  <c r="J11130" i="34" a="1"/>
  <c r="J11131" i="34" a="1"/>
  <c r="J11132" i="34" a="1"/>
  <c r="J11133" i="34" a="1"/>
  <c r="J11134" i="34" a="1"/>
  <c r="J11135" i="34" a="1"/>
  <c r="J11136" i="34" a="1"/>
  <c r="J11137" i="34" a="1"/>
  <c r="J11138" i="34" a="1"/>
  <c r="J11139" i="34" a="1"/>
  <c r="J11140" i="34" a="1"/>
  <c r="J11141" i="34" a="1"/>
  <c r="J11142" i="34" a="1"/>
  <c r="J11143" i="34" a="1"/>
  <c r="J11144" i="34" a="1"/>
  <c r="J11145" i="34" a="1"/>
  <c r="J11146" i="34" a="1"/>
  <c r="J11147" i="34" a="1"/>
  <c r="J11148" i="34" a="1"/>
  <c r="J11149" i="34" a="1"/>
  <c r="J11150" i="34" a="1"/>
  <c r="J11151" i="34" a="1"/>
  <c r="J11152" i="34" a="1"/>
  <c r="J11153" i="34" a="1"/>
  <c r="J11154" i="34" a="1"/>
  <c r="J11155" i="34" a="1"/>
  <c r="J11156" i="34" a="1"/>
  <c r="J11157" i="34" a="1"/>
  <c r="J11158" i="34" a="1"/>
  <c r="J11159" i="34" a="1"/>
  <c r="J11160" i="34" a="1"/>
  <c r="J11161" i="34" a="1"/>
  <c r="J11162" i="34" a="1"/>
  <c r="J11163" i="34" a="1"/>
  <c r="J11164" i="34" a="1"/>
  <c r="J11165" i="34" a="1"/>
  <c r="J11166" i="34" a="1"/>
  <c r="J11167" i="34" a="1"/>
  <c r="J11168" i="34" a="1"/>
  <c r="J11169" i="34" a="1"/>
  <c r="J11170" i="34" a="1"/>
  <c r="J11171" i="34" a="1"/>
  <c r="J11172" i="34" a="1"/>
  <c r="J11173" i="34" a="1"/>
  <c r="J11174" i="34" a="1"/>
  <c r="J11175" i="34" a="1"/>
  <c r="J11176" i="34" a="1"/>
  <c r="J11177" i="34" a="1"/>
  <c r="J11178" i="34" a="1"/>
  <c r="J11179" i="34" a="1"/>
  <c r="J11180" i="34" a="1"/>
  <c r="J11181" i="34" a="1"/>
  <c r="J11182" i="34" a="1"/>
  <c r="J11183" i="34" a="1"/>
  <c r="J11184" i="34" a="1"/>
  <c r="J11185" i="34" a="1"/>
  <c r="J11186" i="34" a="1"/>
  <c r="J11187" i="34" a="1"/>
  <c r="J11188" i="34" a="1"/>
  <c r="J11189" i="34" a="1"/>
  <c r="J11190" i="34" a="1"/>
  <c r="J11191" i="34" a="1"/>
  <c r="J11192" i="34" a="1"/>
  <c r="J11193" i="34" a="1"/>
  <c r="J11194" i="34" a="1"/>
  <c r="J11195" i="34" a="1"/>
  <c r="J11196" i="34" a="1"/>
  <c r="J11197" i="34" a="1"/>
  <c r="J11198" i="34" a="1"/>
  <c r="J11199" i="34" a="1"/>
  <c r="J11200" i="34" a="1"/>
  <c r="J11201" i="34" a="1"/>
  <c r="J11202" i="34" a="1"/>
  <c r="J11203" i="34" a="1"/>
  <c r="J11204" i="34" a="1"/>
  <c r="J11205" i="34" a="1"/>
  <c r="J11206" i="34" a="1"/>
  <c r="J11207" i="34" a="1"/>
  <c r="J11208" i="34" a="1"/>
  <c r="J11209" i="34" a="1"/>
  <c r="J11210" i="34" a="1"/>
  <c r="J11211" i="34" a="1"/>
  <c r="J11212" i="34" a="1"/>
  <c r="J11213" i="34" a="1"/>
  <c r="J11214" i="34" a="1"/>
  <c r="J11215" i="34" a="1"/>
  <c r="J11216" i="34" a="1"/>
  <c r="J11217" i="34" a="1"/>
  <c r="J11218" i="34" a="1"/>
  <c r="J11219" i="34" a="1"/>
  <c r="J11220" i="34" a="1"/>
  <c r="J11221" i="34" a="1"/>
  <c r="J11222" i="34" a="1"/>
  <c r="J11223" i="34" a="1"/>
  <c r="J11224" i="34" a="1"/>
  <c r="J11225" i="34" a="1"/>
  <c r="J11226" i="34" a="1"/>
  <c r="J11227" i="34" a="1"/>
  <c r="J11228" i="34" a="1"/>
  <c r="J11229" i="34" a="1"/>
  <c r="J11230" i="34" a="1"/>
  <c r="J11231" i="34" a="1"/>
  <c r="J11232" i="34" a="1"/>
  <c r="J11233" i="34" a="1"/>
  <c r="J11234" i="34" a="1"/>
  <c r="J11235" i="34" a="1"/>
  <c r="J11236" i="34" a="1"/>
  <c r="J11237" i="34" a="1"/>
  <c r="J11238" i="34" a="1"/>
  <c r="J11239" i="34" a="1"/>
  <c r="J11240" i="34" a="1"/>
  <c r="J11241" i="34" a="1"/>
  <c r="J11242" i="34" a="1"/>
  <c r="J11243" i="34" a="1"/>
  <c r="J11244" i="34" a="1"/>
  <c r="J11245" i="34" a="1"/>
  <c r="J11246" i="34" a="1"/>
  <c r="J11247" i="34" a="1"/>
  <c r="J11248" i="34" a="1"/>
  <c r="J11249" i="34" a="1"/>
  <c r="J11250" i="34" a="1"/>
  <c r="J11251" i="34" a="1"/>
  <c r="J11252" i="34" a="1"/>
  <c r="J11253" i="34" a="1"/>
  <c r="J11254" i="34" a="1"/>
  <c r="J11255" i="34" a="1"/>
  <c r="J11256" i="34" a="1"/>
  <c r="J11257" i="34" a="1"/>
  <c r="J11258" i="34" a="1"/>
  <c r="J11259" i="34" a="1"/>
  <c r="J11260" i="34" a="1"/>
  <c r="J11261" i="34" a="1"/>
  <c r="J11262" i="34" a="1"/>
  <c r="J11263" i="34" a="1"/>
  <c r="J11264" i="34" a="1"/>
  <c r="J11265" i="34" a="1"/>
  <c r="J11266" i="34" a="1"/>
  <c r="J11267" i="34" a="1"/>
  <c r="J11268" i="34" a="1"/>
  <c r="J11269" i="34" a="1"/>
  <c r="J11270" i="34" a="1"/>
  <c r="J11271" i="34" a="1"/>
  <c r="J11272" i="34" a="1"/>
  <c r="J11273" i="34" a="1"/>
  <c r="J11274" i="34" a="1"/>
  <c r="J11275" i="34" a="1"/>
  <c r="J11276" i="34" a="1"/>
  <c r="J11277" i="34" a="1"/>
  <c r="J11278" i="34" a="1"/>
  <c r="J11279" i="34" a="1"/>
  <c r="J11280" i="34" a="1"/>
  <c r="J11281" i="34" a="1"/>
  <c r="J11282" i="34" a="1"/>
  <c r="J11283" i="34" a="1"/>
  <c r="J11284" i="34" a="1"/>
  <c r="J11285" i="34" a="1"/>
  <c r="J11286" i="34" a="1"/>
  <c r="J11287" i="34" a="1"/>
  <c r="J11288" i="34" a="1"/>
  <c r="J11289" i="34" a="1"/>
  <c r="J11290" i="34" a="1"/>
  <c r="J11291" i="34" a="1"/>
  <c r="J11292" i="34" a="1"/>
  <c r="J11293" i="34" a="1"/>
  <c r="J11294" i="34" a="1"/>
  <c r="J11295" i="34" a="1"/>
  <c r="J11296" i="34" a="1"/>
  <c r="J11297" i="34" a="1"/>
  <c r="J11298" i="34" a="1"/>
  <c r="J11299" i="34" a="1"/>
  <c r="J11300" i="34" a="1"/>
  <c r="J11301" i="34" a="1"/>
  <c r="J11302" i="34" a="1"/>
  <c r="J11303" i="34" a="1"/>
  <c r="J11304" i="34" a="1"/>
  <c r="J11305" i="34" a="1"/>
  <c r="J11306" i="34" a="1"/>
  <c r="J11307" i="34" a="1"/>
  <c r="J11308" i="34" a="1"/>
  <c r="J11309" i="34" a="1"/>
  <c r="J11310" i="34" a="1"/>
  <c r="J11311" i="34" a="1"/>
  <c r="J11312" i="34" a="1"/>
  <c r="J11313" i="34" a="1"/>
  <c r="J11314" i="34" a="1"/>
  <c r="J11315" i="34" a="1"/>
  <c r="J11316" i="34" a="1"/>
  <c r="J11317" i="34" a="1"/>
  <c r="J11318" i="34" a="1"/>
  <c r="J11319" i="34" a="1"/>
  <c r="J11320" i="34" a="1"/>
  <c r="J11321" i="34" a="1"/>
  <c r="J11322" i="34" a="1"/>
  <c r="J11323" i="34" a="1"/>
  <c r="J11324" i="34" a="1"/>
  <c r="J11325" i="34" a="1"/>
  <c r="J11326" i="34" a="1"/>
  <c r="J11327" i="34" a="1"/>
  <c r="J11328" i="34" a="1"/>
  <c r="J11329" i="34" a="1"/>
  <c r="J11330" i="34" a="1"/>
  <c r="J11331" i="34" a="1"/>
  <c r="J11332" i="34" a="1"/>
  <c r="J11333" i="34" a="1"/>
  <c r="J11334" i="34" a="1"/>
  <c r="J11335" i="34" a="1"/>
  <c r="J11336" i="34" a="1"/>
  <c r="J11337" i="34" a="1"/>
  <c r="J11338" i="34" a="1"/>
  <c r="J11339" i="34" a="1"/>
  <c r="J11340" i="34" a="1"/>
  <c r="J11341" i="34" a="1"/>
  <c r="J11342" i="34" a="1"/>
  <c r="J11343" i="34" a="1"/>
  <c r="J11344" i="34" a="1"/>
  <c r="J11345" i="34" a="1"/>
  <c r="J11346" i="34" a="1"/>
  <c r="J11347" i="34" a="1"/>
  <c r="J11348" i="34" a="1"/>
  <c r="J11349" i="34" a="1"/>
  <c r="J11350" i="34" a="1"/>
  <c r="J11351" i="34" a="1"/>
  <c r="J11352" i="34" a="1"/>
  <c r="J11353" i="34" a="1"/>
  <c r="J11354" i="34" a="1"/>
  <c r="J11355" i="34" a="1"/>
  <c r="J11356" i="34" a="1"/>
  <c r="J11357" i="34" a="1"/>
  <c r="J11358" i="34" a="1"/>
  <c r="J11359" i="34" a="1"/>
  <c r="J11360" i="34" a="1"/>
  <c r="J11361" i="34" a="1"/>
  <c r="J11362" i="34" a="1"/>
  <c r="J11363" i="34" a="1"/>
  <c r="J11364" i="34" a="1"/>
  <c r="J11365" i="34" a="1"/>
  <c r="J11366" i="34" a="1"/>
  <c r="J11367" i="34" a="1"/>
  <c r="J11368" i="34" a="1"/>
  <c r="J11369" i="34" a="1"/>
  <c r="J11370" i="34" a="1"/>
  <c r="J11371" i="34" a="1"/>
  <c r="J11372" i="34" a="1"/>
  <c r="J11373" i="34" a="1"/>
  <c r="J11374" i="34" a="1"/>
  <c r="J11375" i="34" a="1"/>
  <c r="J11376" i="34" a="1"/>
  <c r="J11377" i="34" a="1"/>
  <c r="J11378" i="34" a="1"/>
  <c r="J11379" i="34" a="1"/>
  <c r="J11380" i="34" a="1"/>
  <c r="J11381" i="34" a="1"/>
  <c r="J11382" i="34" a="1"/>
  <c r="J11383" i="34" a="1"/>
  <c r="J11384" i="34" a="1"/>
  <c r="J11385" i="34" a="1"/>
  <c r="J11386" i="34" a="1"/>
  <c r="J11387" i="34" a="1"/>
  <c r="J11388" i="34" a="1"/>
  <c r="J11389" i="34" a="1"/>
  <c r="J11390" i="34" a="1"/>
  <c r="J11391" i="34" a="1"/>
  <c r="J11392" i="34" a="1"/>
  <c r="J11393" i="34" a="1"/>
  <c r="J11394" i="34" a="1"/>
  <c r="J11395" i="34" a="1"/>
  <c r="J11396" i="34" a="1"/>
  <c r="J11397" i="34" a="1"/>
  <c r="J11398" i="34" a="1"/>
  <c r="J11399" i="34" a="1"/>
  <c r="J11400" i="34" a="1"/>
  <c r="J11401" i="34" a="1"/>
  <c r="J11402" i="34" a="1"/>
  <c r="J11403" i="34" a="1"/>
  <c r="J11404" i="34" a="1"/>
  <c r="J11405" i="34" a="1"/>
  <c r="J11406" i="34" a="1"/>
  <c r="J11407" i="34" a="1"/>
  <c r="J11408" i="34" a="1"/>
  <c r="J11409" i="34" a="1"/>
  <c r="J11410" i="34" a="1"/>
  <c r="J11411" i="34" a="1"/>
  <c r="J11412" i="34" a="1"/>
  <c r="J11413" i="34" a="1"/>
  <c r="J11414" i="34" a="1"/>
  <c r="J11415" i="34" a="1"/>
  <c r="J11416" i="34" a="1"/>
  <c r="J11417" i="34" a="1"/>
  <c r="J11418" i="34" a="1"/>
  <c r="J11419" i="34" a="1"/>
  <c r="J11420" i="34" a="1"/>
  <c r="J11421" i="34" a="1"/>
  <c r="J11422" i="34" a="1"/>
  <c r="J11423" i="34" a="1"/>
  <c r="J11424" i="34" a="1"/>
  <c r="J11425" i="34" a="1"/>
  <c r="J11426" i="34" a="1"/>
  <c r="J11427" i="34" a="1"/>
  <c r="J11428" i="34" a="1"/>
  <c r="J11429" i="34" a="1"/>
  <c r="J11430" i="34" a="1"/>
  <c r="J11431" i="34" a="1"/>
  <c r="J11432" i="34" a="1"/>
  <c r="J11433" i="34" a="1"/>
  <c r="J11434" i="34" a="1"/>
  <c r="J11435" i="34" a="1"/>
  <c r="J11436" i="34" a="1"/>
  <c r="J11437" i="34" a="1"/>
  <c r="J11438" i="34" a="1"/>
  <c r="J11439" i="34" a="1"/>
  <c r="J11440" i="34" a="1"/>
  <c r="J11441" i="34" a="1"/>
  <c r="J11442" i="34" a="1"/>
  <c r="J11443" i="34" a="1"/>
  <c r="J11444" i="34" a="1"/>
  <c r="J11445" i="34" a="1"/>
  <c r="J11446" i="34" a="1"/>
  <c r="J11447" i="34" a="1"/>
  <c r="J11448" i="34" a="1"/>
  <c r="J11449" i="34" a="1"/>
  <c r="J11450" i="34" a="1"/>
  <c r="J11451" i="34" a="1"/>
  <c r="J11452" i="34" a="1"/>
  <c r="J11453" i="34" a="1"/>
  <c r="J11454" i="34" a="1"/>
  <c r="J11455" i="34" a="1"/>
  <c r="J11456" i="34" a="1"/>
  <c r="J11457" i="34" a="1"/>
  <c r="J11458" i="34" a="1"/>
  <c r="J11459" i="34" a="1"/>
  <c r="J11460" i="34" a="1"/>
  <c r="J11461" i="34" a="1"/>
  <c r="J11462" i="34" a="1"/>
  <c r="J11463" i="34" a="1"/>
  <c r="J11464" i="34" a="1"/>
  <c r="J11465" i="34" a="1"/>
  <c r="J11466" i="34" a="1"/>
  <c r="J11467" i="34" a="1"/>
  <c r="J11468" i="34" a="1"/>
  <c r="J11469" i="34" a="1"/>
  <c r="J11470" i="34" a="1"/>
  <c r="J11471" i="34" a="1"/>
  <c r="J11472" i="34" a="1"/>
  <c r="J11473" i="34" a="1"/>
  <c r="J11474" i="34" a="1"/>
  <c r="J11475" i="34" a="1"/>
  <c r="J11476" i="34" a="1"/>
  <c r="J11477" i="34" a="1"/>
  <c r="J11478" i="34" a="1"/>
  <c r="J11479" i="34" a="1"/>
  <c r="J11480" i="34" a="1"/>
  <c r="J11481" i="34" a="1"/>
  <c r="J11482" i="34" a="1"/>
  <c r="J11483" i="34" a="1"/>
  <c r="J11484" i="34" a="1"/>
  <c r="J11485" i="34" a="1"/>
  <c r="J11486" i="34" a="1"/>
  <c r="J11487" i="34" a="1"/>
  <c r="J11488" i="34" a="1"/>
  <c r="J11489" i="34" a="1"/>
  <c r="J11490" i="34" a="1"/>
  <c r="J11491" i="34" a="1"/>
  <c r="J11492" i="34" a="1"/>
  <c r="J11493" i="34" a="1"/>
  <c r="J11494" i="34" a="1"/>
  <c r="J11495" i="34" a="1"/>
  <c r="J11496" i="34" a="1"/>
  <c r="J11497" i="34" a="1"/>
  <c r="J11498" i="34" a="1"/>
  <c r="J11499" i="34" a="1"/>
  <c r="J11500" i="34" a="1"/>
  <c r="J11501" i="34" a="1"/>
  <c r="J11502" i="34" a="1"/>
  <c r="J11503" i="34" a="1"/>
  <c r="J11504" i="34" a="1"/>
  <c r="J11505" i="34" a="1"/>
  <c r="J11506" i="34" a="1"/>
  <c r="J11507" i="34" a="1"/>
  <c r="J11508" i="34" a="1"/>
  <c r="J11509" i="34" a="1"/>
  <c r="J11510" i="34" a="1"/>
  <c r="J11511" i="34" a="1"/>
  <c r="J11512" i="34" a="1"/>
  <c r="J11513" i="34" a="1"/>
  <c r="J11514" i="34" a="1"/>
  <c r="J11515" i="34" a="1"/>
  <c r="J11516" i="34" a="1"/>
  <c r="J11517" i="34" a="1"/>
  <c r="J11518" i="34" a="1"/>
  <c r="J11519" i="34" a="1"/>
  <c r="J11520" i="34" a="1"/>
  <c r="J11521" i="34" a="1"/>
  <c r="J11522" i="34" a="1"/>
  <c r="J11523" i="34" a="1"/>
  <c r="J11524" i="34" a="1"/>
  <c r="J11525" i="34" a="1"/>
  <c r="J11526" i="34" a="1"/>
  <c r="J11527" i="34" a="1"/>
  <c r="J11528" i="34" a="1"/>
  <c r="J11529" i="34" a="1"/>
  <c r="J11530" i="34" a="1"/>
  <c r="J11531" i="34" a="1"/>
  <c r="J11532" i="34" a="1"/>
  <c r="J11533" i="34" a="1"/>
  <c r="J11534" i="34" a="1"/>
  <c r="J11535" i="34" a="1"/>
  <c r="J11536" i="34" a="1"/>
  <c r="J11537" i="34" a="1"/>
  <c r="J11538" i="34" a="1"/>
  <c r="J11539" i="34" a="1"/>
  <c r="J11540" i="34" a="1"/>
  <c r="J11541" i="34" a="1"/>
  <c r="J11542" i="34" a="1"/>
  <c r="J11543" i="34" a="1"/>
  <c r="J11544" i="34" a="1"/>
  <c r="J11545" i="34" a="1"/>
  <c r="J11546" i="34" a="1"/>
  <c r="J11547" i="34" a="1"/>
  <c r="J11548" i="34" a="1"/>
  <c r="J11549" i="34" a="1"/>
  <c r="J11550" i="34" a="1"/>
  <c r="J11551" i="34" a="1"/>
  <c r="J11552" i="34" a="1"/>
  <c r="J11553" i="34" a="1"/>
  <c r="J11554" i="34" a="1"/>
  <c r="J11555" i="34" a="1"/>
  <c r="J11556" i="34" a="1"/>
  <c r="J11557" i="34" a="1"/>
  <c r="J11558" i="34" a="1"/>
  <c r="J11559" i="34" a="1"/>
  <c r="J11560" i="34" a="1"/>
  <c r="J11561" i="34" a="1"/>
  <c r="J11562" i="34" a="1"/>
  <c r="J11563" i="34" a="1"/>
  <c r="J11564" i="34" a="1"/>
  <c r="J11565" i="34" a="1"/>
  <c r="J11566" i="34" a="1"/>
  <c r="J11567" i="34" a="1"/>
  <c r="J11568" i="34" a="1"/>
  <c r="J11569" i="34" a="1"/>
  <c r="J11570" i="34" a="1"/>
  <c r="J11571" i="34" a="1"/>
  <c r="J11572" i="34" a="1"/>
  <c r="J11573" i="34" a="1"/>
  <c r="J11574" i="34" a="1"/>
  <c r="J11575" i="34" a="1"/>
  <c r="J11576" i="34" a="1"/>
  <c r="J11577" i="34" a="1"/>
  <c r="J11578" i="34" a="1"/>
  <c r="J11579" i="34" a="1"/>
  <c r="J11580" i="34" a="1"/>
  <c r="J11581" i="34" a="1"/>
  <c r="J11582" i="34" a="1"/>
  <c r="J11583" i="34" a="1"/>
  <c r="J11584" i="34" a="1"/>
  <c r="J11585" i="34" a="1"/>
  <c r="J11586" i="34" a="1"/>
  <c r="J11587" i="34" a="1"/>
  <c r="J11588" i="34" a="1"/>
  <c r="J11589" i="34" a="1"/>
  <c r="J11590" i="34" a="1"/>
  <c r="J11591" i="34" a="1"/>
  <c r="J11592" i="34" a="1"/>
  <c r="J11593" i="34" a="1"/>
  <c r="J11594" i="34" a="1"/>
  <c r="J11595" i="34" a="1"/>
  <c r="J11596" i="34" a="1"/>
  <c r="J11597" i="34" a="1"/>
  <c r="J11598" i="34" a="1"/>
  <c r="J11599" i="34" a="1"/>
  <c r="J11600" i="34" a="1"/>
  <c r="J11601" i="34" a="1"/>
  <c r="J11602" i="34" a="1"/>
  <c r="J11603" i="34" a="1"/>
  <c r="J11604" i="34" a="1"/>
  <c r="J11605" i="34" a="1"/>
  <c r="J11606" i="34" a="1"/>
  <c r="J11607" i="34" a="1"/>
  <c r="J11608" i="34" a="1"/>
  <c r="J11609" i="34" a="1"/>
  <c r="J11610" i="34" a="1"/>
  <c r="J11611" i="34" a="1"/>
  <c r="J11612" i="34" a="1"/>
  <c r="J11613" i="34" a="1"/>
  <c r="J11614" i="34" a="1"/>
  <c r="J11615" i="34" a="1"/>
  <c r="J11616" i="34" a="1"/>
  <c r="J11617" i="34" a="1"/>
  <c r="J11618" i="34" a="1"/>
  <c r="J11619" i="34" a="1"/>
  <c r="J11620" i="34" a="1"/>
  <c r="J11621" i="34" a="1"/>
  <c r="J11622" i="34" a="1"/>
  <c r="J11623" i="34" a="1"/>
  <c r="J11624" i="34" a="1"/>
  <c r="J11625" i="34" a="1"/>
  <c r="J11626" i="34" a="1"/>
  <c r="J11627" i="34" a="1"/>
  <c r="J11628" i="34" a="1"/>
  <c r="J11629" i="34" a="1"/>
  <c r="J11630" i="34" a="1"/>
  <c r="J11631" i="34" a="1"/>
  <c r="J11632" i="34" a="1"/>
  <c r="J11633" i="34" a="1"/>
  <c r="J11634" i="34" a="1"/>
  <c r="J11635" i="34" a="1"/>
  <c r="J11636" i="34" a="1"/>
  <c r="J11637" i="34" a="1"/>
  <c r="J11638" i="34" a="1"/>
  <c r="J11639" i="34" a="1"/>
  <c r="J11640" i="34" a="1"/>
  <c r="J11641" i="34" a="1"/>
  <c r="J11642" i="34" a="1"/>
  <c r="J11643" i="34" a="1"/>
  <c r="J11644" i="34" a="1"/>
  <c r="J11645" i="34" a="1"/>
  <c r="J11646" i="34" a="1"/>
  <c r="J11647" i="34" a="1"/>
  <c r="J11648" i="34" a="1"/>
  <c r="J11649" i="34" a="1"/>
  <c r="J11650" i="34" a="1"/>
  <c r="J11651" i="34" a="1"/>
  <c r="J11652" i="34" a="1"/>
  <c r="J11653" i="34" a="1"/>
  <c r="J11654" i="34" a="1"/>
  <c r="J11655" i="34" a="1"/>
  <c r="J11656" i="34" a="1"/>
  <c r="J11657" i="34" a="1"/>
  <c r="J11658" i="34" a="1"/>
  <c r="J11659" i="34" a="1"/>
  <c r="J11660" i="34" a="1"/>
  <c r="J11661" i="34" a="1"/>
  <c r="J11662" i="34" a="1"/>
  <c r="J11663" i="34" a="1"/>
  <c r="J11664" i="34" a="1"/>
  <c r="J11665" i="34" a="1"/>
  <c r="J11666" i="34" a="1"/>
  <c r="J11667" i="34" a="1"/>
  <c r="J11668" i="34" a="1"/>
  <c r="J11669" i="34" a="1"/>
  <c r="J11670" i="34" a="1"/>
  <c r="J11671" i="34" a="1"/>
  <c r="J11672" i="34" a="1"/>
  <c r="J11673" i="34" a="1"/>
  <c r="J11674" i="34" a="1"/>
  <c r="J11675" i="34" a="1"/>
  <c r="J11676" i="34" a="1"/>
  <c r="J11677" i="34" a="1"/>
  <c r="J11678" i="34" a="1"/>
  <c r="J11679" i="34" a="1"/>
  <c r="J11680" i="34" a="1"/>
  <c r="J11681" i="34" a="1"/>
  <c r="J11682" i="34" a="1"/>
  <c r="J11683" i="34" a="1"/>
  <c r="J11684" i="34" a="1"/>
  <c r="J11685" i="34" a="1"/>
  <c r="J11686" i="34" a="1"/>
  <c r="J11687" i="34" a="1"/>
  <c r="J11688" i="34" a="1"/>
  <c r="J11689" i="34" a="1"/>
  <c r="J11690" i="34" a="1"/>
  <c r="J11691" i="34" a="1"/>
  <c r="J11692" i="34" a="1"/>
  <c r="J11693" i="34" a="1"/>
  <c r="J11694" i="34" a="1"/>
  <c r="J11695" i="34" a="1"/>
  <c r="J11696" i="34" a="1"/>
  <c r="J11697" i="34" a="1"/>
  <c r="J11698" i="34" a="1"/>
  <c r="J11699" i="34" a="1"/>
  <c r="J11700" i="34" a="1"/>
  <c r="J11701" i="34" a="1"/>
  <c r="J11702" i="34" a="1"/>
  <c r="J11703" i="34" a="1"/>
  <c r="J11704" i="34" a="1"/>
  <c r="J11705" i="34" a="1"/>
  <c r="J11706" i="34" a="1"/>
  <c r="J11707" i="34" a="1"/>
  <c r="J11708" i="34" a="1"/>
  <c r="J11709" i="34" a="1"/>
  <c r="J11710" i="34" a="1"/>
  <c r="J11711" i="34" a="1"/>
  <c r="J11712" i="34" a="1"/>
  <c r="J11713" i="34" a="1"/>
  <c r="J11714" i="34" a="1"/>
  <c r="J11715" i="34" a="1"/>
  <c r="J11716" i="34" a="1"/>
  <c r="J11717" i="34" a="1"/>
  <c r="J11718" i="34" a="1"/>
  <c r="J11719" i="34" a="1"/>
  <c r="J11720" i="34" a="1"/>
  <c r="J11721" i="34" a="1"/>
  <c r="J11722" i="34" a="1"/>
  <c r="J11723" i="34" a="1"/>
  <c r="J11724" i="34" a="1"/>
  <c r="J11725" i="34" a="1"/>
  <c r="J11726" i="34" a="1"/>
  <c r="J11727" i="34" a="1"/>
  <c r="J11728" i="34" a="1"/>
  <c r="J11729" i="34" a="1"/>
  <c r="J11730" i="34" a="1"/>
  <c r="J11731" i="34" a="1"/>
  <c r="J11732" i="34" a="1"/>
  <c r="J11733" i="34" a="1"/>
  <c r="J11734" i="34" a="1"/>
  <c r="J11735" i="34" a="1"/>
  <c r="J11736" i="34" a="1"/>
  <c r="J11737" i="34" a="1"/>
  <c r="J11738" i="34" a="1"/>
  <c r="J11739" i="34" a="1"/>
  <c r="J11740" i="34" a="1"/>
  <c r="J11741" i="34" a="1"/>
  <c r="J11742" i="34" a="1"/>
  <c r="J11743" i="34" a="1"/>
  <c r="J11744" i="34" a="1"/>
  <c r="J11745" i="34" a="1"/>
  <c r="J11746" i="34" a="1"/>
  <c r="J11747" i="34" a="1"/>
  <c r="J11748" i="34" a="1"/>
  <c r="J11749" i="34" a="1"/>
  <c r="J11750" i="34" a="1"/>
  <c r="J11751" i="34" a="1"/>
  <c r="J11752" i="34" a="1"/>
  <c r="J11753" i="34" a="1"/>
  <c r="J11754" i="34" a="1"/>
  <c r="J11755" i="34" a="1"/>
  <c r="J11756" i="34" a="1"/>
  <c r="J11757" i="34" a="1"/>
  <c r="J11758" i="34" a="1"/>
  <c r="J11759" i="34" a="1"/>
  <c r="J11760" i="34" a="1"/>
  <c r="J11761" i="34" a="1"/>
  <c r="J11762" i="34" a="1"/>
  <c r="J11763" i="34" a="1"/>
  <c r="J11764" i="34" a="1"/>
  <c r="J11765" i="34" a="1"/>
  <c r="J11766" i="34" a="1"/>
  <c r="J11767" i="34" a="1"/>
  <c r="J11768" i="34" a="1"/>
  <c r="J11769" i="34" a="1"/>
  <c r="J11770" i="34" a="1"/>
  <c r="J11771" i="34" a="1"/>
  <c r="J11772" i="34" a="1"/>
  <c r="J11773" i="34" a="1"/>
  <c r="J11774" i="34" a="1"/>
  <c r="J11775" i="34" a="1"/>
  <c r="J11776" i="34" a="1"/>
  <c r="J11777" i="34" a="1"/>
  <c r="J11778" i="34" a="1"/>
  <c r="J11779" i="34" a="1"/>
  <c r="J11780" i="34" a="1"/>
  <c r="J11781" i="34" a="1"/>
  <c r="J11782" i="34" a="1"/>
  <c r="J11783" i="34" a="1"/>
  <c r="J11784" i="34" a="1"/>
  <c r="J11785" i="34" a="1"/>
  <c r="J11786" i="34" a="1"/>
  <c r="J11787" i="34" a="1"/>
  <c r="J11788" i="34" a="1"/>
  <c r="J11789" i="34" a="1"/>
  <c r="J11790" i="34" a="1"/>
  <c r="J11791" i="34" a="1"/>
  <c r="J11792" i="34" a="1"/>
  <c r="J11793" i="34" a="1"/>
  <c r="J11794" i="34" a="1"/>
  <c r="J11795" i="34" a="1"/>
  <c r="J11796" i="34" a="1"/>
  <c r="J11797" i="34" a="1"/>
  <c r="J11798" i="34" a="1"/>
  <c r="J11799" i="34" a="1"/>
  <c r="J11800" i="34" a="1"/>
  <c r="J11801" i="34" a="1"/>
  <c r="J11802" i="34" a="1"/>
  <c r="J11803" i="34" a="1"/>
  <c r="J11804" i="34" a="1"/>
  <c r="J11805" i="34" a="1"/>
  <c r="J11806" i="34" a="1"/>
  <c r="J11807" i="34" a="1"/>
  <c r="J11808" i="34" a="1"/>
  <c r="J11809" i="34" a="1"/>
  <c r="J11810" i="34" a="1"/>
  <c r="J11811" i="34" a="1"/>
  <c r="J11812" i="34" a="1"/>
  <c r="J11813" i="34" a="1"/>
  <c r="J11814" i="34" a="1"/>
  <c r="J11815" i="34" a="1"/>
  <c r="J11816" i="34" a="1"/>
  <c r="J11817" i="34" a="1"/>
  <c r="J11818" i="34" a="1"/>
  <c r="J11819" i="34" a="1"/>
  <c r="J11820" i="34" a="1"/>
  <c r="J11821" i="34" a="1"/>
  <c r="J11822" i="34" a="1"/>
  <c r="J11823" i="34" a="1"/>
  <c r="J11824" i="34" a="1"/>
  <c r="J11825" i="34" a="1"/>
  <c r="J11826" i="34" a="1"/>
  <c r="J11827" i="34" a="1"/>
  <c r="J11828" i="34" a="1"/>
  <c r="J11829" i="34" a="1"/>
  <c r="J11830" i="34" a="1"/>
  <c r="J11831" i="34" a="1"/>
  <c r="J11832" i="34" a="1"/>
  <c r="J11833" i="34" a="1"/>
  <c r="J11834" i="34" a="1"/>
  <c r="J11835" i="34" a="1"/>
  <c r="J11836" i="34" a="1"/>
  <c r="J11837" i="34" a="1"/>
  <c r="J11838" i="34" a="1"/>
  <c r="J11839" i="34" a="1"/>
  <c r="J11840" i="34" a="1"/>
  <c r="J11841" i="34" a="1"/>
  <c r="J11842" i="34" a="1"/>
  <c r="J11843" i="34" a="1"/>
  <c r="J11844" i="34" a="1"/>
  <c r="J11845" i="34" a="1"/>
  <c r="J11846" i="34" a="1"/>
  <c r="J11847" i="34" a="1"/>
  <c r="J11848" i="34" a="1"/>
  <c r="J11849" i="34" a="1"/>
  <c r="J11850" i="34" a="1"/>
  <c r="J11851" i="34" a="1"/>
  <c r="J11852" i="34" a="1"/>
  <c r="J11853" i="34" a="1"/>
  <c r="J11854" i="34" a="1"/>
  <c r="J11855" i="34" a="1"/>
  <c r="J11856" i="34" a="1"/>
  <c r="J11857" i="34" a="1"/>
  <c r="J11858" i="34" a="1"/>
  <c r="J11859" i="34" a="1"/>
  <c r="J11860" i="34" a="1"/>
  <c r="J11861" i="34" a="1"/>
  <c r="J11862" i="34" a="1"/>
  <c r="J11863" i="34" a="1"/>
  <c r="J11864" i="34" a="1"/>
  <c r="J11865" i="34" a="1"/>
  <c r="J11866" i="34" a="1"/>
  <c r="J11867" i="34" a="1"/>
  <c r="J11868" i="34" a="1"/>
  <c r="J11869" i="34" a="1"/>
  <c r="J11870" i="34" a="1"/>
  <c r="J11871" i="34" a="1"/>
  <c r="J11872" i="34" a="1"/>
  <c r="J11873" i="34" a="1"/>
  <c r="J11874" i="34" a="1"/>
  <c r="J11875" i="34" a="1"/>
  <c r="J11876" i="34" a="1"/>
  <c r="J11877" i="34" a="1"/>
  <c r="J11878" i="34" a="1"/>
  <c r="J11879" i="34" a="1"/>
  <c r="J11880" i="34" a="1"/>
  <c r="J11881" i="34" a="1"/>
  <c r="J11882" i="34" a="1"/>
  <c r="J11883" i="34" a="1"/>
  <c r="J11884" i="34" a="1"/>
  <c r="J11885" i="34" a="1"/>
  <c r="J11886" i="34" a="1"/>
  <c r="J11887" i="34" a="1"/>
  <c r="J11888" i="34" a="1"/>
  <c r="J11889" i="34" a="1"/>
  <c r="J11890" i="34" a="1"/>
  <c r="J11891" i="34" a="1"/>
  <c r="J11892" i="34" a="1"/>
  <c r="J11893" i="34" a="1"/>
  <c r="J11894" i="34" a="1"/>
  <c r="J11895" i="34" a="1"/>
  <c r="J11896" i="34" a="1"/>
  <c r="J11897" i="34" a="1"/>
  <c r="J11898" i="34" a="1"/>
  <c r="J11899" i="34" a="1"/>
  <c r="J11900" i="34" a="1"/>
  <c r="J11901" i="34" a="1"/>
  <c r="J11902" i="34" a="1"/>
  <c r="J11903" i="34" a="1"/>
  <c r="J11904" i="34" a="1"/>
  <c r="J11905" i="34" a="1"/>
  <c r="J11906" i="34" a="1"/>
  <c r="J11907" i="34" a="1"/>
  <c r="J11908" i="34" a="1"/>
  <c r="J11909" i="34" a="1"/>
  <c r="J11910" i="34" a="1"/>
  <c r="J11911" i="34" a="1"/>
  <c r="J11912" i="34" a="1"/>
  <c r="J11913" i="34" a="1"/>
  <c r="J11914" i="34" a="1"/>
  <c r="J11915" i="34" a="1"/>
  <c r="J11916" i="34" a="1"/>
  <c r="J11917" i="34" a="1"/>
  <c r="J11918" i="34" a="1"/>
  <c r="J11919" i="34" a="1"/>
  <c r="J11920" i="34" a="1"/>
  <c r="J11921" i="34" a="1"/>
  <c r="J11922" i="34" a="1"/>
  <c r="J11923" i="34" a="1"/>
  <c r="J11924" i="34" a="1"/>
  <c r="J11925" i="34" a="1"/>
  <c r="J11926" i="34" a="1"/>
  <c r="J11927" i="34" a="1"/>
  <c r="J11928" i="34" a="1"/>
  <c r="J11929" i="34" a="1"/>
  <c r="J11930" i="34" a="1"/>
  <c r="J11931" i="34" a="1"/>
  <c r="J11932" i="34" a="1"/>
  <c r="J11933" i="34" a="1"/>
  <c r="J11934" i="34" a="1"/>
  <c r="J11935" i="34" a="1"/>
  <c r="J11936" i="34" a="1"/>
  <c r="J11937" i="34" a="1"/>
  <c r="J11938" i="34" a="1"/>
  <c r="J11939" i="34" a="1"/>
  <c r="J11940" i="34" a="1"/>
  <c r="J11941" i="34" a="1"/>
  <c r="J11942" i="34" a="1"/>
  <c r="J11943" i="34" a="1"/>
  <c r="J11944" i="34" a="1"/>
  <c r="J11945" i="34" a="1"/>
  <c r="J11946" i="34" a="1"/>
  <c r="J11947" i="34" a="1"/>
  <c r="J11948" i="34" a="1"/>
  <c r="J11949" i="34" a="1"/>
  <c r="J11950" i="34" a="1"/>
  <c r="J11951" i="34" a="1"/>
  <c r="J11952" i="34" a="1"/>
  <c r="J11953" i="34" a="1"/>
  <c r="J11954" i="34" a="1"/>
  <c r="J11955" i="34" a="1"/>
  <c r="J11956" i="34" a="1"/>
  <c r="J11957" i="34" a="1"/>
  <c r="J11958" i="34" a="1"/>
  <c r="J11959" i="34" a="1"/>
  <c r="J11960" i="34" a="1"/>
  <c r="J11961" i="34" a="1"/>
  <c r="J11962" i="34" a="1"/>
  <c r="J11963" i="34" a="1"/>
  <c r="J11964" i="34" a="1"/>
  <c r="J11965" i="34" a="1"/>
  <c r="J11966" i="34" a="1"/>
  <c r="J11967" i="34" a="1"/>
  <c r="J11968" i="34" a="1"/>
  <c r="J11969" i="34" a="1"/>
  <c r="J11970" i="34" a="1"/>
  <c r="J11971" i="34" a="1"/>
  <c r="J11972" i="34" a="1"/>
  <c r="J11973" i="34" a="1"/>
  <c r="J11974" i="34" a="1"/>
  <c r="J11975" i="34" a="1"/>
  <c r="J11976" i="34" a="1"/>
  <c r="J11977" i="34" a="1"/>
  <c r="J11978" i="34" a="1"/>
  <c r="J11979" i="34" a="1"/>
  <c r="J11980" i="34" a="1"/>
  <c r="J11981" i="34" a="1"/>
  <c r="J11982" i="34" a="1"/>
  <c r="J11983" i="34" a="1"/>
  <c r="J11984" i="34" a="1"/>
  <c r="J11985" i="34" a="1"/>
  <c r="J11986" i="34" a="1"/>
  <c r="J11987" i="34" a="1"/>
  <c r="J11988" i="34" a="1"/>
  <c r="J11989" i="34" a="1"/>
  <c r="J11990" i="34" a="1"/>
  <c r="J11991" i="34" a="1"/>
  <c r="J11992" i="34" a="1"/>
  <c r="J11993" i="34" a="1"/>
  <c r="J11994" i="34" a="1"/>
  <c r="J11995" i="34" a="1"/>
  <c r="J11996" i="34" a="1"/>
  <c r="J11997" i="34" a="1"/>
  <c r="J11998" i="34" a="1"/>
  <c r="J11999" i="34" a="1"/>
  <c r="J12000" i="34" a="1"/>
  <c r="J12001" i="34" a="1"/>
  <c r="J12002" i="34" a="1"/>
  <c r="J12003" i="34" a="1"/>
  <c r="J12004" i="34" a="1"/>
  <c r="J12005" i="34" a="1"/>
  <c r="J12006" i="34" a="1"/>
  <c r="J12007" i="34" a="1"/>
  <c r="J12008" i="34" a="1"/>
  <c r="J12009" i="34" a="1"/>
  <c r="J12010" i="34" a="1"/>
  <c r="J12011" i="34" a="1"/>
  <c r="J12012" i="34" a="1"/>
  <c r="J12013" i="34" a="1"/>
  <c r="J12014" i="34" a="1"/>
  <c r="J12015" i="34" a="1"/>
  <c r="J12016" i="34" a="1"/>
  <c r="J12017" i="34" a="1"/>
  <c r="J12018" i="34" a="1"/>
  <c r="J12019" i="34" a="1"/>
  <c r="J12020" i="34" a="1"/>
  <c r="J12021" i="34" a="1"/>
  <c r="J12022" i="34" a="1"/>
  <c r="J12023" i="34" a="1"/>
  <c r="J12024" i="34" a="1"/>
  <c r="J12025" i="34" a="1"/>
  <c r="J12026" i="34" a="1"/>
  <c r="J12027" i="34" a="1"/>
  <c r="J12028" i="34" a="1"/>
  <c r="J12029" i="34" a="1"/>
  <c r="J12030" i="34" a="1"/>
  <c r="J12031" i="34" a="1"/>
  <c r="J12032" i="34" a="1"/>
  <c r="J12033" i="34" a="1"/>
  <c r="J12034" i="34" a="1"/>
  <c r="J12035" i="34" a="1"/>
  <c r="J12036" i="34" a="1"/>
  <c r="J12037" i="34" a="1"/>
  <c r="J12038" i="34" a="1"/>
  <c r="J12039" i="34" a="1"/>
  <c r="J12040" i="34" a="1"/>
  <c r="J12041" i="34" a="1"/>
  <c r="J12042" i="34" a="1"/>
  <c r="J12043" i="34" a="1"/>
  <c r="J12044" i="34" a="1"/>
  <c r="J12045" i="34" a="1"/>
  <c r="J12046" i="34" a="1"/>
  <c r="J12047" i="34" a="1"/>
  <c r="J12048" i="34" a="1"/>
  <c r="J12049" i="34" a="1"/>
  <c r="J12050" i="34" a="1"/>
  <c r="J12051" i="34" a="1"/>
  <c r="J12052" i="34" a="1"/>
  <c r="J12053" i="34" a="1"/>
  <c r="J12054" i="34" a="1"/>
  <c r="J12055" i="34" a="1"/>
  <c r="J12056" i="34" a="1"/>
  <c r="J12057" i="34" a="1"/>
  <c r="J12058" i="34" a="1"/>
  <c r="J12059" i="34" a="1"/>
  <c r="J12060" i="34" a="1"/>
  <c r="J12061" i="34" a="1"/>
  <c r="J12062" i="34" a="1"/>
  <c r="J12063" i="34" a="1"/>
  <c r="J12064" i="34" a="1"/>
  <c r="J12065" i="34" a="1"/>
  <c r="J12066" i="34" a="1"/>
  <c r="J12067" i="34" a="1"/>
  <c r="J12068" i="34" a="1"/>
  <c r="J12069" i="34" a="1"/>
  <c r="J12070" i="34" a="1"/>
  <c r="J12071" i="34" a="1"/>
  <c r="J12072" i="34" a="1"/>
  <c r="J12073" i="34" a="1"/>
  <c r="J12074" i="34" a="1"/>
  <c r="J12075" i="34" a="1"/>
  <c r="J12076" i="34" a="1"/>
  <c r="J12077" i="34" a="1"/>
  <c r="J12078" i="34" a="1"/>
  <c r="J12079" i="34" a="1"/>
  <c r="J12080" i="34" a="1"/>
  <c r="J12081" i="34" a="1"/>
  <c r="J12082" i="34" a="1"/>
  <c r="J12083" i="34" a="1"/>
  <c r="J12084" i="34" a="1"/>
  <c r="J12085" i="34" a="1"/>
  <c r="J12086" i="34" a="1"/>
  <c r="J12087" i="34" a="1"/>
  <c r="J12088" i="34" a="1"/>
  <c r="J12089" i="34" a="1"/>
  <c r="J12090" i="34" a="1"/>
  <c r="J12091" i="34" a="1"/>
  <c r="J12092" i="34" a="1"/>
  <c r="J12093" i="34" a="1"/>
  <c r="J12094" i="34" a="1"/>
  <c r="J12095" i="34" a="1"/>
  <c r="J12096" i="34" a="1"/>
  <c r="J12097" i="34" a="1"/>
  <c r="J12098" i="34" a="1"/>
  <c r="J12099" i="34" a="1"/>
  <c r="J12100" i="34" a="1"/>
  <c r="J12101" i="34" a="1"/>
  <c r="J12102" i="34" a="1"/>
  <c r="J12103" i="34" a="1"/>
  <c r="J12104" i="34" a="1"/>
  <c r="J12105" i="34" a="1"/>
  <c r="J12106" i="34" a="1"/>
  <c r="J12107" i="34" a="1"/>
  <c r="J12108" i="34" a="1"/>
  <c r="J12109" i="34" a="1"/>
  <c r="J12110" i="34" a="1"/>
  <c r="J12111" i="34" a="1"/>
  <c r="J12112" i="34" a="1"/>
  <c r="J12113" i="34" a="1"/>
  <c r="J12114" i="34" a="1"/>
  <c r="J12115" i="34" a="1"/>
  <c r="J12116" i="34" a="1"/>
  <c r="J12117" i="34" a="1"/>
  <c r="J12118" i="34" a="1"/>
  <c r="J12119" i="34" a="1"/>
  <c r="J12120" i="34" a="1"/>
  <c r="J12121" i="34" a="1"/>
  <c r="J12122" i="34" a="1"/>
  <c r="J12123" i="34" a="1"/>
  <c r="J12124" i="34" a="1"/>
  <c r="J12125" i="34" a="1"/>
  <c r="J12126" i="34" a="1"/>
  <c r="J12127" i="34" a="1"/>
  <c r="J12128" i="34" a="1"/>
  <c r="J12129" i="34" a="1"/>
  <c r="J12130" i="34" a="1"/>
  <c r="J12131" i="34" a="1"/>
  <c r="J12132" i="34" a="1"/>
  <c r="J12133" i="34" a="1"/>
  <c r="J12134" i="34" a="1"/>
  <c r="J12135" i="34" a="1"/>
  <c r="J12136" i="34" a="1"/>
  <c r="J12137" i="34" a="1"/>
  <c r="J12138" i="34" a="1"/>
  <c r="J12139" i="34" a="1"/>
  <c r="J12140" i="34" a="1"/>
  <c r="J12141" i="34" a="1"/>
  <c r="J12142" i="34" a="1"/>
  <c r="J12143" i="34" a="1"/>
  <c r="J12144" i="34" a="1"/>
  <c r="J12145" i="34" a="1"/>
  <c r="J12146" i="34" a="1"/>
  <c r="J12147" i="34" a="1"/>
  <c r="J12148" i="34" a="1"/>
  <c r="J12149" i="34" a="1"/>
  <c r="J12150" i="34" a="1"/>
  <c r="J12151" i="34" a="1"/>
  <c r="J12152" i="34" a="1"/>
  <c r="J12153" i="34" a="1"/>
  <c r="J12154" i="34" a="1"/>
  <c r="J12155" i="34" a="1"/>
  <c r="J12156" i="34" a="1"/>
  <c r="J12157" i="34" a="1"/>
  <c r="J12158" i="34" a="1"/>
  <c r="J12159" i="34" a="1"/>
  <c r="J12160" i="34" a="1"/>
  <c r="J12161" i="34" a="1"/>
  <c r="J12162" i="34" a="1"/>
  <c r="J12163" i="34" a="1"/>
  <c r="J12164" i="34" a="1"/>
  <c r="J12165" i="34" a="1"/>
  <c r="J12166" i="34" a="1"/>
  <c r="J12167" i="34" a="1"/>
  <c r="J12168" i="34" a="1"/>
  <c r="J12169" i="34" a="1"/>
  <c r="J12170" i="34" a="1"/>
  <c r="J12171" i="34" a="1"/>
  <c r="J12172" i="34" a="1"/>
  <c r="J12173" i="34" a="1"/>
  <c r="J12174" i="34" a="1"/>
  <c r="J12175" i="34" a="1"/>
  <c r="J12176" i="34" a="1"/>
  <c r="J12177" i="34" a="1"/>
  <c r="J12178" i="34" a="1"/>
  <c r="J12179" i="34" a="1"/>
  <c r="J12180" i="34" a="1"/>
  <c r="J12181" i="34" a="1"/>
  <c r="J12182" i="34" a="1"/>
  <c r="J12183" i="34" a="1"/>
  <c r="J12184" i="34" a="1"/>
  <c r="J12185" i="34" a="1"/>
  <c r="J12186" i="34" a="1"/>
  <c r="J12187" i="34" a="1"/>
  <c r="J12188" i="34" a="1"/>
  <c r="J12189" i="34" a="1"/>
  <c r="J12190" i="34" a="1"/>
  <c r="J12191" i="34" a="1"/>
  <c r="J12192" i="34" a="1"/>
  <c r="J12193" i="34" a="1"/>
  <c r="J12194" i="34" a="1"/>
  <c r="J12195" i="34" a="1"/>
  <c r="J12196" i="34" a="1"/>
  <c r="J12197" i="34" a="1"/>
  <c r="J12198" i="34" a="1"/>
  <c r="J12199" i="34" a="1"/>
  <c r="J12200" i="34" a="1"/>
  <c r="J12201" i="34" a="1"/>
  <c r="J12202" i="34" a="1"/>
  <c r="J12203" i="34" a="1"/>
  <c r="J12204" i="34" a="1"/>
  <c r="J12205" i="34" a="1"/>
  <c r="J12206" i="34" a="1"/>
  <c r="J12207" i="34" a="1"/>
  <c r="J12208" i="34" a="1"/>
  <c r="J12209" i="34" a="1"/>
  <c r="J12210" i="34" a="1"/>
  <c r="J12211" i="34" a="1"/>
  <c r="J12212" i="34" a="1"/>
  <c r="J12213" i="34" a="1"/>
  <c r="J12214" i="34" a="1"/>
  <c r="J12215" i="34" a="1"/>
  <c r="J12216" i="34" a="1"/>
  <c r="J12217" i="34" a="1"/>
  <c r="J12218" i="34" a="1"/>
  <c r="J12219" i="34" a="1"/>
  <c r="J12220" i="34" a="1"/>
  <c r="J12221" i="34" a="1"/>
  <c r="J12222" i="34" a="1"/>
  <c r="J12223" i="34" a="1"/>
  <c r="J12224" i="34" a="1"/>
  <c r="J12225" i="34" a="1"/>
  <c r="J12226" i="34" a="1"/>
  <c r="J12227" i="34" a="1"/>
  <c r="J12228" i="34" a="1"/>
  <c r="J12229" i="34" a="1"/>
  <c r="J12230" i="34" a="1"/>
  <c r="J12231" i="34" a="1"/>
  <c r="J12232" i="34" a="1"/>
  <c r="J12233" i="34" a="1"/>
  <c r="J12234" i="34" a="1"/>
  <c r="J12235" i="34" a="1"/>
  <c r="J12236" i="34" a="1"/>
  <c r="J12237" i="34" a="1"/>
  <c r="J12238" i="34" a="1"/>
  <c r="J12239" i="34" a="1"/>
  <c r="J12240" i="34" a="1"/>
  <c r="J12241" i="34" a="1"/>
  <c r="J12242" i="34" a="1"/>
  <c r="J12243" i="34" a="1"/>
  <c r="J12244" i="34" a="1"/>
  <c r="J12245" i="34" a="1"/>
  <c r="J12246" i="34" a="1"/>
  <c r="J12247" i="34" a="1"/>
  <c r="J12248" i="34" a="1"/>
  <c r="J12249" i="34" a="1"/>
  <c r="J12250" i="34" a="1"/>
  <c r="J12251" i="34" a="1"/>
  <c r="J12252" i="34" a="1"/>
  <c r="J12253" i="34" a="1"/>
  <c r="J12254" i="34" a="1"/>
  <c r="J12255" i="34" a="1"/>
  <c r="J12256" i="34" a="1"/>
  <c r="J12257" i="34" a="1"/>
  <c r="J12258" i="34" a="1"/>
  <c r="J12259" i="34" a="1"/>
  <c r="J12260" i="34" a="1"/>
  <c r="J12261" i="34" a="1"/>
  <c r="J12262" i="34" a="1"/>
  <c r="J12263" i="34" a="1"/>
  <c r="J12264" i="34" a="1"/>
  <c r="J12265" i="34" a="1"/>
  <c r="J12266" i="34" a="1"/>
  <c r="J12267" i="34" a="1"/>
  <c r="J12268" i="34" a="1"/>
  <c r="J12269" i="34" a="1"/>
  <c r="J12270" i="34" a="1"/>
  <c r="J12271" i="34" a="1"/>
  <c r="J12272" i="34" a="1"/>
  <c r="J12273" i="34" a="1"/>
  <c r="J12274" i="34" a="1"/>
  <c r="J12275" i="34" a="1"/>
  <c r="J12276" i="34" a="1"/>
  <c r="J12277" i="34" a="1"/>
  <c r="J12278" i="34" a="1"/>
  <c r="J12279" i="34" a="1"/>
  <c r="J12280" i="34" a="1"/>
  <c r="J12281" i="34" a="1"/>
  <c r="J12282" i="34" a="1"/>
  <c r="J12283" i="34" a="1"/>
  <c r="J12284" i="34" a="1"/>
  <c r="J12285" i="34" a="1"/>
  <c r="J12286" i="34" a="1"/>
  <c r="J12287" i="34" a="1"/>
  <c r="J12288" i="34" a="1"/>
  <c r="J12289" i="34" a="1"/>
  <c r="J12290" i="34" a="1"/>
  <c r="J12291" i="34" a="1"/>
  <c r="J12292" i="34" a="1"/>
  <c r="J12293" i="34" a="1"/>
  <c r="J12294" i="34" a="1"/>
  <c r="J12295" i="34" a="1"/>
  <c r="J12296" i="34" a="1"/>
  <c r="J12297" i="34" a="1"/>
  <c r="J12298" i="34" a="1"/>
  <c r="J12299" i="34" a="1"/>
  <c r="J12300" i="34" a="1"/>
  <c r="J12301" i="34" a="1"/>
  <c r="J12302" i="34" a="1"/>
  <c r="J12303" i="34" a="1"/>
  <c r="J12304" i="34" a="1"/>
  <c r="J12305" i="34" a="1"/>
  <c r="J12306" i="34" a="1"/>
  <c r="J12307" i="34" a="1"/>
  <c r="J12308" i="34" a="1"/>
  <c r="J12309" i="34" a="1"/>
  <c r="J12310" i="34" a="1"/>
  <c r="J12311" i="34" a="1"/>
  <c r="J12312" i="34" a="1"/>
  <c r="J12313" i="34" a="1"/>
  <c r="J12314" i="34" a="1"/>
  <c r="J12315" i="34" a="1"/>
  <c r="J12316" i="34" a="1"/>
  <c r="J12317" i="34" a="1"/>
  <c r="J12318" i="34" a="1"/>
  <c r="J12319" i="34" a="1"/>
  <c r="J12320" i="34" a="1"/>
  <c r="J12321" i="34" a="1"/>
  <c r="J12322" i="34" a="1"/>
  <c r="J12323" i="34" a="1"/>
  <c r="J12324" i="34" a="1"/>
  <c r="J12325" i="34" a="1"/>
  <c r="J12326" i="34" a="1"/>
  <c r="J12327" i="34" a="1"/>
  <c r="J12328" i="34" a="1"/>
  <c r="J12329" i="34" a="1"/>
  <c r="J12330" i="34" a="1"/>
  <c r="J12331" i="34" a="1"/>
  <c r="J12332" i="34" a="1"/>
  <c r="J12333" i="34" a="1"/>
  <c r="J12334" i="34" a="1"/>
  <c r="J12335" i="34" a="1"/>
  <c r="J12336" i="34" a="1"/>
  <c r="J12337" i="34" a="1"/>
  <c r="J12338" i="34" a="1"/>
  <c r="J12339" i="34" a="1"/>
  <c r="J12340" i="34" a="1"/>
  <c r="J12341" i="34" a="1"/>
  <c r="J12342" i="34" a="1"/>
  <c r="J12343" i="34" a="1"/>
  <c r="J12344" i="34" a="1"/>
  <c r="J12345" i="34" a="1"/>
  <c r="J12346" i="34" a="1"/>
  <c r="J12347" i="34" a="1"/>
  <c r="J12348" i="34" a="1"/>
  <c r="J12349" i="34" a="1"/>
  <c r="J12350" i="34" a="1"/>
  <c r="J12351" i="34" a="1"/>
  <c r="J12352" i="34" a="1"/>
  <c r="J12353" i="34" a="1"/>
  <c r="J12354" i="34" a="1"/>
  <c r="J12355" i="34" a="1"/>
  <c r="J12356" i="34" a="1"/>
  <c r="J12357" i="34" a="1"/>
  <c r="J12358" i="34" a="1"/>
  <c r="J12359" i="34" a="1"/>
  <c r="J12360" i="34" a="1"/>
  <c r="J12361" i="34" a="1"/>
  <c r="J12362" i="34" a="1"/>
  <c r="J12363" i="34" a="1"/>
  <c r="J12364" i="34" a="1"/>
  <c r="J12365" i="34" a="1"/>
  <c r="J12366" i="34" a="1"/>
  <c r="J12367" i="34" a="1"/>
  <c r="J12368" i="34" a="1"/>
  <c r="J12369" i="34" a="1"/>
  <c r="J12370" i="34" a="1"/>
  <c r="J12371" i="34" a="1"/>
  <c r="J12372" i="34" a="1"/>
  <c r="J12373" i="34" a="1"/>
  <c r="J12374" i="34" a="1"/>
  <c r="J12375" i="34" a="1"/>
  <c r="J12376" i="34" a="1"/>
  <c r="J12377" i="34" a="1"/>
  <c r="J12378" i="34" a="1"/>
  <c r="J12379" i="34" a="1"/>
  <c r="J12380" i="34" a="1"/>
  <c r="J12381" i="34" a="1"/>
  <c r="J12382" i="34" a="1"/>
  <c r="J12383" i="34" a="1"/>
  <c r="J12384" i="34" a="1"/>
  <c r="J12385" i="34" a="1"/>
  <c r="J12386" i="34" a="1"/>
  <c r="J12387" i="34" a="1"/>
  <c r="J12388" i="34" a="1"/>
  <c r="J12389" i="34" a="1"/>
  <c r="J12390" i="34" a="1"/>
  <c r="J12391" i="34" a="1"/>
  <c r="J12392" i="34" a="1"/>
  <c r="J12393" i="34" a="1"/>
  <c r="J12394" i="34" a="1"/>
  <c r="J12395" i="34" a="1"/>
  <c r="J12396" i="34" a="1"/>
  <c r="J12397" i="34" a="1"/>
  <c r="J12398" i="34" a="1"/>
  <c r="J12399" i="34" a="1"/>
  <c r="J12400" i="34" a="1"/>
  <c r="J12401" i="34" a="1"/>
  <c r="J12402" i="34" a="1"/>
  <c r="J12403" i="34" a="1"/>
  <c r="J12404" i="34" a="1"/>
  <c r="J12405" i="34" a="1"/>
  <c r="J12406" i="34" a="1"/>
  <c r="J12407" i="34" a="1"/>
  <c r="J12408" i="34" a="1"/>
  <c r="J12409" i="34" a="1"/>
  <c r="J12410" i="34" a="1"/>
  <c r="J12411" i="34" a="1"/>
  <c r="J12412" i="34" a="1"/>
  <c r="J12413" i="34" a="1"/>
  <c r="J12414" i="34" a="1"/>
  <c r="J12415" i="34" a="1"/>
  <c r="J12416" i="34" a="1"/>
  <c r="J12417" i="34" a="1"/>
  <c r="J12418" i="34" a="1"/>
  <c r="J12419" i="34" a="1"/>
  <c r="J12420" i="34" a="1"/>
  <c r="J12421" i="34" a="1"/>
  <c r="J12422" i="34" a="1"/>
  <c r="J12423" i="34" a="1"/>
  <c r="J12424" i="34" a="1"/>
  <c r="J12425" i="34" a="1"/>
  <c r="J12426" i="34" a="1"/>
  <c r="J12427" i="34" a="1"/>
  <c r="J12428" i="34" a="1"/>
  <c r="J12429" i="34" a="1"/>
  <c r="J12430" i="34" a="1"/>
  <c r="J12431" i="34" a="1"/>
  <c r="J12432" i="34" a="1"/>
  <c r="J12433" i="34" a="1"/>
  <c r="J12434" i="34" a="1"/>
  <c r="J12435" i="34" a="1"/>
  <c r="J12436" i="34" a="1"/>
  <c r="J12437" i="34" a="1"/>
  <c r="J12438" i="34" a="1"/>
  <c r="J12439" i="34" a="1"/>
  <c r="J12440" i="34" a="1"/>
  <c r="J12441" i="34" a="1"/>
  <c r="J12442" i="34" a="1"/>
  <c r="J12443" i="34" a="1"/>
  <c r="J12444" i="34" a="1"/>
  <c r="J12445" i="34" a="1"/>
  <c r="J12446" i="34" a="1"/>
  <c r="J12447" i="34" a="1"/>
  <c r="J12448" i="34" a="1"/>
  <c r="J12449" i="34" a="1"/>
  <c r="J12450" i="34" a="1"/>
  <c r="J12451" i="34" a="1"/>
  <c r="J12452" i="34" a="1"/>
  <c r="J12453" i="34" a="1"/>
  <c r="J12454" i="34" a="1"/>
  <c r="J12455" i="34" a="1"/>
  <c r="J12456" i="34" a="1"/>
  <c r="J12457" i="34" a="1"/>
  <c r="J12458" i="34" a="1"/>
  <c r="J12459" i="34" a="1"/>
  <c r="J12460" i="34" a="1"/>
  <c r="J12461" i="34" a="1"/>
  <c r="J12462" i="34" a="1"/>
  <c r="J12463" i="34" a="1"/>
  <c r="J12464" i="34" a="1"/>
  <c r="J12465" i="34" a="1"/>
  <c r="J12466" i="34" a="1"/>
  <c r="J12467" i="34" a="1"/>
  <c r="J12468" i="34" a="1"/>
  <c r="J12469" i="34" a="1"/>
  <c r="J12470" i="34" a="1"/>
  <c r="J12471" i="34" a="1"/>
  <c r="J12472" i="34" a="1"/>
  <c r="J12473" i="34" a="1"/>
  <c r="J12474" i="34" a="1"/>
  <c r="J12475" i="34" a="1"/>
  <c r="J12476" i="34" a="1"/>
  <c r="J12477" i="34" a="1"/>
  <c r="J12478" i="34" a="1"/>
  <c r="J12479" i="34" a="1"/>
  <c r="J12480" i="34" a="1"/>
  <c r="J12481" i="34" a="1"/>
  <c r="J12482" i="34" a="1"/>
  <c r="J12483" i="34" a="1"/>
  <c r="J12484" i="34" a="1"/>
  <c r="J12485" i="34" a="1"/>
  <c r="J12486" i="34" a="1"/>
  <c r="J12487" i="34" a="1"/>
  <c r="J12488" i="34" a="1"/>
  <c r="J12489" i="34" a="1"/>
  <c r="J12490" i="34" a="1"/>
  <c r="J12491" i="34" a="1"/>
  <c r="J12492" i="34" a="1"/>
  <c r="J12493" i="34" a="1"/>
  <c r="J12494" i="34" a="1"/>
  <c r="J12495" i="34" a="1"/>
  <c r="J12496" i="34" a="1"/>
  <c r="J12497" i="34" a="1"/>
  <c r="J12498" i="34" a="1"/>
  <c r="J12499" i="34" a="1"/>
  <c r="J12500" i="34" a="1"/>
  <c r="J12501" i="34" a="1"/>
  <c r="J12502" i="34" a="1"/>
  <c r="J12503" i="34" a="1"/>
  <c r="J12504" i="34" a="1"/>
  <c r="J12505" i="34" a="1"/>
  <c r="J12506" i="34" a="1"/>
  <c r="J12507" i="34" a="1"/>
  <c r="J12508" i="34" a="1"/>
  <c r="J12509" i="34" a="1"/>
  <c r="J12510" i="34" a="1"/>
  <c r="J12511" i="34" a="1"/>
  <c r="J12512" i="34" a="1"/>
  <c r="J12513" i="34" a="1"/>
  <c r="J12514" i="34" a="1"/>
  <c r="J12515" i="34" a="1"/>
  <c r="J12516" i="34" a="1"/>
  <c r="J12517" i="34" a="1"/>
  <c r="J12518" i="34" a="1"/>
  <c r="J12519" i="34" a="1"/>
  <c r="J12520" i="34" a="1"/>
  <c r="J12521" i="34" a="1"/>
  <c r="J12522" i="34" a="1"/>
  <c r="J12523" i="34" a="1"/>
  <c r="J12524" i="34" a="1"/>
  <c r="J12525" i="34" a="1"/>
  <c r="J12526" i="34" a="1"/>
  <c r="J12527" i="34" a="1"/>
  <c r="J12528" i="34" a="1"/>
  <c r="J12529" i="34" a="1"/>
  <c r="J12530" i="34" a="1"/>
  <c r="J12531" i="34" a="1"/>
  <c r="J12532" i="34" a="1"/>
  <c r="J12533" i="34" a="1"/>
  <c r="J12534" i="34" a="1"/>
  <c r="J12535" i="34" a="1"/>
  <c r="J12536" i="34" a="1"/>
  <c r="J12537" i="34" a="1"/>
  <c r="J12538" i="34" a="1"/>
  <c r="J12539" i="34" a="1"/>
  <c r="J12540" i="34" a="1"/>
  <c r="J12541" i="34" a="1"/>
  <c r="J12542" i="34" a="1"/>
  <c r="J12543" i="34" a="1"/>
  <c r="J12544" i="34" a="1"/>
  <c r="J12545" i="34" a="1"/>
  <c r="J12546" i="34" a="1"/>
  <c r="J12547" i="34" a="1"/>
  <c r="J12548" i="34" a="1"/>
  <c r="J12549" i="34" a="1"/>
  <c r="J12550" i="34" a="1"/>
  <c r="J12551" i="34" a="1"/>
  <c r="J12552" i="34" a="1"/>
  <c r="J12553" i="34" a="1"/>
  <c r="J12554" i="34" a="1"/>
  <c r="J12555" i="34" a="1"/>
  <c r="J12556" i="34" a="1"/>
  <c r="J12557" i="34" a="1"/>
  <c r="J12558" i="34" a="1"/>
  <c r="J12559" i="34" a="1"/>
  <c r="J12560" i="34" a="1"/>
  <c r="J12561" i="34" a="1"/>
  <c r="J12562" i="34" a="1"/>
  <c r="J12563" i="34" a="1"/>
  <c r="J12564" i="34" a="1"/>
  <c r="J12565" i="34" a="1"/>
  <c r="J12566" i="34" a="1"/>
  <c r="J12567" i="34" a="1"/>
  <c r="J12568" i="34" a="1"/>
  <c r="J12569" i="34" a="1"/>
  <c r="J12570" i="34" a="1"/>
  <c r="J12571" i="34" a="1"/>
  <c r="J12572" i="34" a="1"/>
  <c r="J12573" i="34" a="1"/>
  <c r="J12574" i="34" a="1"/>
  <c r="J12575" i="34" a="1"/>
  <c r="J12576" i="34" a="1"/>
  <c r="J12577" i="34" a="1"/>
  <c r="J12578" i="34" a="1"/>
  <c r="J12579" i="34" a="1"/>
  <c r="J12580" i="34" a="1"/>
  <c r="J12581" i="34" a="1"/>
  <c r="J12582" i="34" a="1"/>
  <c r="J12583" i="34" a="1"/>
  <c r="J12584" i="34" a="1"/>
  <c r="J12585" i="34" a="1"/>
  <c r="J12586" i="34" a="1"/>
  <c r="J12587" i="34" a="1"/>
  <c r="J12588" i="34" a="1"/>
  <c r="J12589" i="34" a="1"/>
  <c r="J12590" i="34" a="1"/>
  <c r="J12591" i="34" a="1"/>
  <c r="J12592" i="34" a="1"/>
  <c r="J12593" i="34" a="1"/>
  <c r="J12594" i="34" a="1"/>
  <c r="J12595" i="34" a="1"/>
  <c r="J12596" i="34" a="1"/>
  <c r="J12597" i="34" a="1"/>
  <c r="J12598" i="34" a="1"/>
  <c r="J12599" i="34" a="1"/>
  <c r="J12600" i="34" a="1"/>
  <c r="J12601" i="34" a="1"/>
  <c r="J12602" i="34" a="1"/>
  <c r="J12603" i="34" a="1"/>
  <c r="J12604" i="34" a="1"/>
  <c r="J12605" i="34" a="1"/>
  <c r="J12606" i="34" a="1"/>
  <c r="J12607" i="34" a="1"/>
  <c r="J12608" i="34" a="1"/>
  <c r="J12609" i="34" a="1"/>
  <c r="J12610" i="34" a="1"/>
  <c r="J12611" i="34" a="1"/>
  <c r="J12612" i="34" a="1"/>
  <c r="J12613" i="34" a="1"/>
  <c r="J12614" i="34" a="1"/>
  <c r="J12615" i="34" a="1"/>
  <c r="J12616" i="34" a="1"/>
  <c r="J12617" i="34" a="1"/>
  <c r="J12618" i="34" a="1"/>
  <c r="J12619" i="34" a="1"/>
  <c r="J12620" i="34" a="1"/>
  <c r="J12621" i="34" a="1"/>
  <c r="J12622" i="34" a="1"/>
  <c r="J12623" i="34" a="1"/>
  <c r="J12624" i="34" a="1"/>
  <c r="J12625" i="34" a="1"/>
  <c r="J12626" i="34" a="1"/>
  <c r="J12627" i="34" a="1"/>
  <c r="J12628" i="34" a="1"/>
  <c r="J12629" i="34" a="1"/>
  <c r="J12630" i="34" a="1"/>
  <c r="J12631" i="34" a="1"/>
  <c r="J12632" i="34" a="1"/>
  <c r="J12633" i="34" a="1"/>
  <c r="J12634" i="34" a="1"/>
  <c r="J12635" i="34" a="1"/>
  <c r="J12636" i="34" a="1"/>
  <c r="J12637" i="34" a="1"/>
  <c r="J12638" i="34" a="1"/>
  <c r="J12639" i="34" a="1"/>
  <c r="J12640" i="34" a="1"/>
  <c r="J12641" i="34" a="1"/>
  <c r="J12642" i="34" a="1"/>
  <c r="J12643" i="34" a="1"/>
  <c r="J12644" i="34" a="1"/>
  <c r="J12645" i="34" a="1"/>
  <c r="J12646" i="34" a="1"/>
  <c r="J12647" i="34" a="1"/>
  <c r="J12648" i="34" a="1"/>
  <c r="J12649" i="34" a="1"/>
  <c r="J12650" i="34" a="1"/>
  <c r="J12651" i="34" a="1"/>
  <c r="J12652" i="34" a="1"/>
  <c r="J12653" i="34" a="1"/>
  <c r="J12654" i="34" a="1"/>
  <c r="J12655" i="34" a="1"/>
  <c r="J12656" i="34" a="1"/>
  <c r="J12657" i="34" a="1"/>
  <c r="J12658" i="34" a="1"/>
  <c r="J12659" i="34" a="1"/>
  <c r="J12660" i="34" a="1"/>
  <c r="J12661" i="34" a="1"/>
  <c r="J12662" i="34" a="1"/>
  <c r="J12663" i="34" a="1"/>
  <c r="J12664" i="34" a="1"/>
  <c r="J12665" i="34" a="1"/>
  <c r="J12666" i="34" a="1"/>
  <c r="J12667" i="34" a="1"/>
  <c r="J12668" i="34" a="1"/>
  <c r="J12669" i="34" a="1"/>
  <c r="J12670" i="34" a="1"/>
  <c r="J12671" i="34" a="1"/>
  <c r="J12672" i="34" a="1"/>
  <c r="J12673" i="34" a="1"/>
  <c r="J12674" i="34" a="1"/>
  <c r="J12675" i="34" a="1"/>
  <c r="J12676" i="34" a="1"/>
  <c r="J12677" i="34" a="1"/>
  <c r="J12678" i="34" a="1"/>
  <c r="J12679" i="34" a="1"/>
  <c r="J12680" i="34" a="1"/>
  <c r="J12681" i="34" a="1"/>
  <c r="J12682" i="34" a="1"/>
  <c r="J12683" i="34" a="1"/>
  <c r="J12684" i="34" a="1"/>
  <c r="J12685" i="34" a="1"/>
  <c r="J12686" i="34" a="1"/>
  <c r="J12687" i="34" a="1"/>
  <c r="J12688" i="34" a="1"/>
  <c r="J12689" i="34" a="1"/>
  <c r="J12690" i="34" a="1"/>
  <c r="J12691" i="34" a="1"/>
  <c r="J12692" i="34" a="1"/>
  <c r="J12693" i="34" a="1"/>
  <c r="J12694" i="34" a="1"/>
  <c r="J12695" i="34" a="1"/>
  <c r="J12696" i="34" a="1"/>
  <c r="J12697" i="34" a="1"/>
  <c r="J12698" i="34" a="1"/>
  <c r="J12699" i="34" a="1"/>
  <c r="J12700" i="34" a="1"/>
  <c r="J12701" i="34" a="1"/>
  <c r="J12702" i="34" a="1"/>
  <c r="J12703" i="34" a="1"/>
  <c r="J12704" i="34" a="1"/>
  <c r="J12705" i="34" a="1"/>
  <c r="J12706" i="34" a="1"/>
  <c r="J12707" i="34" a="1"/>
  <c r="J12708" i="34" a="1"/>
  <c r="J12709" i="34" a="1"/>
  <c r="J12710" i="34" a="1"/>
  <c r="J12711" i="34" a="1"/>
  <c r="J12712" i="34" a="1"/>
  <c r="J12713" i="34" a="1"/>
  <c r="J12714" i="34" a="1"/>
  <c r="J12715" i="34" a="1"/>
  <c r="J12716" i="34" a="1"/>
  <c r="J12717" i="34" a="1"/>
  <c r="J12718" i="34" a="1"/>
  <c r="J12719" i="34" a="1"/>
  <c r="J12720" i="34" a="1"/>
  <c r="J12721" i="34" a="1"/>
  <c r="J12722" i="34" a="1"/>
  <c r="J12723" i="34" a="1"/>
  <c r="J12724" i="34" a="1"/>
  <c r="J12725" i="34" a="1"/>
  <c r="J12726" i="34" a="1"/>
  <c r="J12727" i="34" a="1"/>
  <c r="J12728" i="34" a="1"/>
  <c r="J12729" i="34" a="1"/>
  <c r="J12730" i="34" a="1"/>
  <c r="J12731" i="34" a="1"/>
  <c r="J12732" i="34" a="1"/>
  <c r="J12733" i="34" a="1"/>
  <c r="J12734" i="34" a="1"/>
  <c r="J12735" i="34" a="1"/>
  <c r="J12736" i="34" a="1"/>
  <c r="J12737" i="34" a="1"/>
  <c r="J12738" i="34" a="1"/>
  <c r="J12739" i="34" a="1"/>
  <c r="J12740" i="34" a="1"/>
  <c r="J12741" i="34" a="1"/>
  <c r="J12742" i="34" a="1"/>
  <c r="J12743" i="34" a="1"/>
  <c r="J12744" i="34" a="1"/>
  <c r="J12745" i="34" a="1"/>
  <c r="J12746" i="34" a="1"/>
  <c r="J12747" i="34" a="1"/>
  <c r="J12748" i="34" a="1"/>
  <c r="J12749" i="34" a="1"/>
  <c r="J12750" i="34" a="1"/>
  <c r="J12751" i="34" a="1"/>
  <c r="J12752" i="34" a="1"/>
  <c r="J12753" i="34" a="1"/>
  <c r="J12754" i="34" a="1"/>
  <c r="J12755" i="34" a="1"/>
  <c r="J12756" i="34" a="1"/>
  <c r="J12757" i="34" a="1"/>
  <c r="J12758" i="34" a="1"/>
  <c r="J12759" i="34" a="1"/>
  <c r="J12760" i="34" a="1"/>
  <c r="J12761" i="34" a="1"/>
  <c r="J12762" i="34" a="1"/>
  <c r="J12763" i="34" a="1"/>
  <c r="J12764" i="34" a="1"/>
  <c r="J12765" i="34" a="1"/>
  <c r="J12766" i="34" a="1"/>
  <c r="J12767" i="34" a="1"/>
  <c r="J12768" i="34" a="1"/>
  <c r="J12769" i="34" a="1"/>
  <c r="J12770" i="34" a="1"/>
  <c r="J12771" i="34" a="1"/>
  <c r="J12772" i="34" a="1"/>
  <c r="J12773" i="34" a="1"/>
  <c r="J12774" i="34" a="1"/>
  <c r="J12775" i="34" a="1"/>
  <c r="J12776" i="34" a="1"/>
  <c r="J12777" i="34" a="1"/>
  <c r="J12778" i="34" a="1"/>
  <c r="J12779" i="34" a="1"/>
  <c r="J12780" i="34" a="1"/>
  <c r="J12781" i="34" a="1"/>
  <c r="J12782" i="34" a="1"/>
  <c r="J12783" i="34" a="1"/>
  <c r="J12784" i="34" a="1"/>
  <c r="J12785" i="34" a="1"/>
  <c r="J12786" i="34" a="1"/>
  <c r="J12787" i="34" a="1"/>
  <c r="J12788" i="34" a="1"/>
  <c r="J12789" i="34" a="1"/>
  <c r="J12790" i="34" a="1"/>
  <c r="J12791" i="34" a="1"/>
  <c r="J12792" i="34" a="1"/>
  <c r="J12793" i="34" a="1"/>
  <c r="J12794" i="34" a="1"/>
  <c r="J12795" i="34" a="1"/>
  <c r="J12796" i="34" a="1"/>
  <c r="J12797" i="34" a="1"/>
  <c r="J12798" i="34" a="1"/>
  <c r="J12799" i="34" a="1"/>
  <c r="J12800" i="34" a="1"/>
  <c r="J12801" i="34" a="1"/>
  <c r="J12802" i="34" a="1"/>
  <c r="J12803" i="34" a="1"/>
  <c r="J12804" i="34" a="1"/>
  <c r="J12805" i="34" a="1"/>
  <c r="J12806" i="34" a="1"/>
  <c r="J12807" i="34" a="1"/>
  <c r="J12808" i="34" a="1"/>
  <c r="J12809" i="34" a="1"/>
  <c r="J12810" i="34" a="1"/>
  <c r="J12811" i="34" a="1"/>
  <c r="J12812" i="34" a="1"/>
  <c r="J12813" i="34" a="1"/>
  <c r="J12814" i="34" a="1"/>
  <c r="J12815" i="34" a="1"/>
  <c r="J12816" i="34" a="1"/>
  <c r="J12817" i="34" a="1"/>
  <c r="J12818" i="34" a="1"/>
  <c r="J12819" i="34" a="1"/>
  <c r="J12820" i="34" a="1"/>
  <c r="J12821" i="34" a="1"/>
  <c r="J12822" i="34" a="1"/>
  <c r="J12823" i="34" a="1"/>
  <c r="J12824" i="34" a="1"/>
  <c r="J12825" i="34" a="1"/>
  <c r="J12826" i="34" a="1"/>
  <c r="J12827" i="34" a="1"/>
  <c r="J12828" i="34" a="1"/>
  <c r="J12829" i="34" a="1"/>
  <c r="J12830" i="34" a="1"/>
  <c r="J12831" i="34" a="1"/>
  <c r="J12832" i="34" a="1"/>
  <c r="J12833" i="34" a="1"/>
  <c r="J12834" i="34" a="1"/>
  <c r="J12835" i="34" a="1"/>
  <c r="J12836" i="34" a="1"/>
  <c r="J12837" i="34" a="1"/>
  <c r="J12838" i="34" a="1"/>
  <c r="J12839" i="34" a="1"/>
  <c r="J12840" i="34" a="1"/>
  <c r="J12841" i="34" a="1"/>
  <c r="J12842" i="34" a="1"/>
  <c r="J12843" i="34" a="1"/>
  <c r="J12844" i="34" a="1"/>
  <c r="J12845" i="34" a="1"/>
  <c r="J12846" i="34" a="1"/>
  <c r="J12847" i="34" a="1"/>
  <c r="J12848" i="34" a="1"/>
  <c r="J12849" i="34" a="1"/>
  <c r="J12850" i="34" a="1"/>
  <c r="J12851" i="34" a="1"/>
  <c r="J12852" i="34" a="1"/>
  <c r="J12853" i="34" a="1"/>
  <c r="J12854" i="34" a="1"/>
  <c r="J12855" i="34" a="1"/>
  <c r="J12856" i="34" a="1"/>
  <c r="J12857" i="34" a="1"/>
  <c r="J12858" i="34" a="1"/>
  <c r="J12859" i="34" a="1"/>
  <c r="J12860" i="34" a="1"/>
  <c r="J12861" i="34" a="1"/>
  <c r="J12862" i="34" a="1"/>
  <c r="J12863" i="34" a="1"/>
  <c r="J12864" i="34" a="1"/>
  <c r="J12865" i="34" a="1"/>
  <c r="J12866" i="34" a="1"/>
  <c r="J12867" i="34" a="1"/>
  <c r="J12868" i="34" a="1"/>
  <c r="J12869" i="34" a="1"/>
  <c r="J12870" i="34" a="1"/>
  <c r="J12871" i="34" a="1"/>
  <c r="J12872" i="34" a="1"/>
  <c r="J12873" i="34" a="1"/>
  <c r="J12874" i="34" a="1"/>
  <c r="J12875" i="34" a="1"/>
  <c r="J12876" i="34" a="1"/>
  <c r="J12877" i="34" a="1"/>
  <c r="J12878" i="34" a="1"/>
  <c r="J12879" i="34" a="1"/>
  <c r="J12880" i="34" a="1"/>
  <c r="J12881" i="34" a="1"/>
  <c r="J12882" i="34" a="1"/>
  <c r="J12883" i="34" a="1"/>
  <c r="J12884" i="34" a="1"/>
  <c r="J12885" i="34" a="1"/>
  <c r="J12886" i="34" a="1"/>
  <c r="J12887" i="34" a="1"/>
  <c r="J12888" i="34" a="1"/>
  <c r="J12889" i="34" a="1"/>
  <c r="J12890" i="34" a="1"/>
  <c r="J12891" i="34" a="1"/>
  <c r="J12892" i="34" a="1"/>
  <c r="J12893" i="34" a="1"/>
  <c r="J12894" i="34" a="1"/>
  <c r="J12895" i="34" a="1"/>
  <c r="J12896" i="34" a="1"/>
  <c r="J12897" i="34" a="1"/>
  <c r="J12898" i="34" a="1"/>
  <c r="J12899" i="34" a="1"/>
  <c r="J12900" i="34" a="1"/>
  <c r="J12901" i="34" a="1"/>
  <c r="J12902" i="34" a="1"/>
  <c r="J12903" i="34" a="1"/>
  <c r="J12904" i="34" a="1"/>
  <c r="J12905" i="34" a="1"/>
  <c r="J12906" i="34" a="1"/>
  <c r="J12907" i="34" a="1"/>
  <c r="J12908" i="34" a="1"/>
  <c r="J12909" i="34" a="1"/>
  <c r="J12910" i="34" a="1"/>
  <c r="J12911" i="34" a="1"/>
  <c r="J12912" i="34" a="1"/>
  <c r="J12913" i="34" a="1"/>
  <c r="J12914" i="34" a="1"/>
  <c r="J12915" i="34" a="1"/>
  <c r="J12916" i="34" a="1"/>
  <c r="J12917" i="34" a="1"/>
  <c r="J12918" i="34" a="1"/>
  <c r="J12919" i="34" a="1"/>
  <c r="J12920" i="34" a="1"/>
  <c r="J12921" i="34" a="1"/>
  <c r="J12922" i="34" a="1"/>
  <c r="J12923" i="34" a="1"/>
  <c r="J12924" i="34" a="1"/>
  <c r="J12925" i="34" a="1"/>
  <c r="J12926" i="34" a="1"/>
  <c r="J12927" i="34" a="1"/>
  <c r="J12928" i="34" a="1"/>
  <c r="J12929" i="34" a="1"/>
  <c r="J12930" i="34" a="1"/>
  <c r="J12931" i="34" a="1"/>
  <c r="J12932" i="34" a="1"/>
  <c r="J12933" i="34" a="1"/>
  <c r="J12934" i="34" a="1"/>
  <c r="J12935" i="34" a="1"/>
  <c r="J12936" i="34" a="1"/>
  <c r="J12937" i="34" a="1"/>
  <c r="J12938" i="34" a="1"/>
  <c r="J12939" i="34" a="1"/>
  <c r="J12940" i="34" a="1"/>
  <c r="J12941" i="34" a="1"/>
  <c r="J12942" i="34" a="1"/>
  <c r="J12943" i="34" a="1"/>
  <c r="J12944" i="34" a="1"/>
  <c r="J12945" i="34" a="1"/>
  <c r="J12946" i="34" a="1"/>
  <c r="J12947" i="34" a="1"/>
  <c r="J12948" i="34" a="1"/>
  <c r="J12949" i="34" a="1"/>
  <c r="J12950" i="34" a="1"/>
  <c r="J12951" i="34" a="1"/>
  <c r="J12952" i="34" a="1"/>
  <c r="J12953" i="34" a="1"/>
  <c r="J12954" i="34" a="1"/>
  <c r="J12955" i="34" a="1"/>
  <c r="J12956" i="34" a="1"/>
  <c r="J12957" i="34" a="1"/>
  <c r="J12958" i="34" a="1"/>
  <c r="J12959" i="34" a="1"/>
  <c r="J12960" i="34" a="1"/>
  <c r="J12961" i="34" a="1"/>
  <c r="J12962" i="34" a="1"/>
  <c r="J12963" i="34" a="1"/>
  <c r="J12964" i="34" a="1"/>
  <c r="J12965" i="34" a="1"/>
  <c r="J12966" i="34" a="1"/>
  <c r="J12967" i="34" a="1"/>
  <c r="J12968" i="34" a="1"/>
  <c r="J12969" i="34" a="1"/>
  <c r="J12970" i="34" a="1"/>
  <c r="J12971" i="34" a="1"/>
  <c r="J12972" i="34" a="1"/>
  <c r="J12973" i="34" a="1"/>
  <c r="J12974" i="34" a="1"/>
  <c r="J12975" i="34" a="1"/>
  <c r="J12976" i="34" a="1"/>
  <c r="J12977" i="34" a="1"/>
  <c r="J12978" i="34" a="1"/>
  <c r="J12979" i="34" a="1"/>
  <c r="J12980" i="34" a="1"/>
  <c r="J12981" i="34" a="1"/>
  <c r="J12982" i="34" a="1"/>
  <c r="J12983" i="34" a="1"/>
  <c r="J12984" i="34" a="1"/>
  <c r="J12985" i="34" a="1"/>
  <c r="J12986" i="34" a="1"/>
  <c r="J12987" i="34" a="1"/>
  <c r="J12988" i="34" a="1"/>
  <c r="J12989" i="34" a="1"/>
  <c r="J12990" i="34" a="1"/>
  <c r="J12991" i="34" a="1"/>
  <c r="J12992" i="34" a="1"/>
  <c r="J12993" i="34" a="1"/>
  <c r="J12994" i="34" a="1"/>
  <c r="J12995" i="34" a="1"/>
  <c r="J12996" i="34" a="1"/>
  <c r="J12997" i="34" a="1"/>
  <c r="J12998" i="34" a="1"/>
  <c r="J12999" i="34" a="1"/>
  <c r="J13000" i="34" a="1"/>
  <c r="J13001" i="34" a="1"/>
  <c r="J13002" i="34" a="1"/>
  <c r="J13003" i="34" a="1"/>
  <c r="J13004" i="34" a="1"/>
  <c r="J13005" i="34" a="1"/>
  <c r="J13006" i="34" a="1"/>
  <c r="J13007" i="34" a="1"/>
  <c r="J13008" i="34" a="1"/>
  <c r="J13009" i="34" a="1"/>
  <c r="J13010" i="34" a="1"/>
  <c r="J13011" i="34" a="1"/>
  <c r="J13012" i="34" a="1"/>
  <c r="J13013" i="34" a="1"/>
  <c r="J13014" i="34" a="1"/>
  <c r="J13015" i="34" a="1"/>
  <c r="J13016" i="34" a="1"/>
  <c r="J13017" i="34" a="1"/>
  <c r="J13018" i="34" a="1"/>
  <c r="J13019" i="34" a="1"/>
  <c r="J13020" i="34" a="1"/>
  <c r="J13021" i="34" a="1"/>
  <c r="J13022" i="34" a="1"/>
  <c r="J13023" i="34" a="1"/>
  <c r="J13024" i="34" a="1"/>
  <c r="J13025" i="34" a="1"/>
  <c r="J13026" i="34" a="1"/>
  <c r="J13027" i="34" a="1"/>
  <c r="J13028" i="34" a="1"/>
  <c r="J13029" i="34" a="1"/>
  <c r="J13030" i="34" a="1"/>
  <c r="J13031" i="34" a="1"/>
  <c r="J13032" i="34" a="1"/>
  <c r="J13033" i="34" a="1"/>
  <c r="J13034" i="34" a="1"/>
  <c r="J13035" i="34" a="1"/>
  <c r="J13036" i="34" a="1"/>
  <c r="J13037" i="34" a="1"/>
  <c r="J13038" i="34" a="1"/>
  <c r="J13039" i="34" a="1"/>
  <c r="J13040" i="34" a="1"/>
  <c r="J13041" i="34" a="1"/>
  <c r="J13042" i="34" a="1"/>
  <c r="J13043" i="34" a="1"/>
  <c r="J13044" i="34" a="1"/>
  <c r="J13045" i="34" a="1"/>
  <c r="J13046" i="34" a="1"/>
  <c r="J13047" i="34" a="1"/>
  <c r="J13048" i="34" a="1"/>
  <c r="J13049" i="34" a="1"/>
  <c r="J13050" i="34" a="1"/>
  <c r="J13051" i="34" a="1"/>
  <c r="J13052" i="34" a="1"/>
  <c r="J13053" i="34" a="1"/>
  <c r="J13054" i="34" a="1"/>
  <c r="J13055" i="34" a="1"/>
  <c r="J13056" i="34" a="1"/>
  <c r="J13057" i="34" a="1"/>
  <c r="J13058" i="34" a="1"/>
  <c r="J13059" i="34" a="1"/>
  <c r="J13060" i="34" a="1"/>
  <c r="J13061" i="34" a="1"/>
  <c r="J13062" i="34" a="1"/>
  <c r="J13063" i="34" a="1"/>
  <c r="J13064" i="34" a="1"/>
  <c r="J13065" i="34" a="1"/>
  <c r="J13066" i="34" a="1"/>
  <c r="J13067" i="34" a="1"/>
  <c r="J13068" i="34" a="1"/>
  <c r="J13069" i="34" a="1"/>
  <c r="J13070" i="34" a="1"/>
  <c r="J13071" i="34" a="1"/>
  <c r="J13072" i="34" a="1"/>
  <c r="J13073" i="34" a="1"/>
  <c r="J13074" i="34" a="1"/>
  <c r="J13075" i="34" a="1"/>
  <c r="J13076" i="34" a="1"/>
  <c r="J13077" i="34" a="1"/>
  <c r="J13078" i="34" a="1"/>
  <c r="J13079" i="34" a="1"/>
  <c r="J13080" i="34" a="1"/>
  <c r="J13081" i="34" a="1"/>
  <c r="J13082" i="34" a="1"/>
  <c r="J13083" i="34" a="1"/>
  <c r="J13084" i="34" a="1"/>
  <c r="J13085" i="34" a="1"/>
  <c r="J13086" i="34" a="1"/>
  <c r="J13087" i="34" a="1"/>
  <c r="J13088" i="34" a="1"/>
  <c r="J13089" i="34" a="1"/>
  <c r="J13090" i="34" a="1"/>
  <c r="J13091" i="34" a="1"/>
  <c r="J13092" i="34" a="1"/>
  <c r="J13093" i="34" a="1"/>
  <c r="J13094" i="34" a="1"/>
  <c r="J13095" i="34" a="1"/>
  <c r="J13096" i="34" a="1"/>
  <c r="J13097" i="34" a="1"/>
  <c r="J13098" i="34" a="1"/>
  <c r="J13099" i="34" a="1"/>
  <c r="J13100" i="34" a="1"/>
  <c r="J13101" i="34" a="1"/>
  <c r="J13102" i="34" a="1"/>
  <c r="J13103" i="34" a="1"/>
  <c r="J13104" i="34" a="1"/>
  <c r="J13105" i="34" a="1"/>
  <c r="J13106" i="34" a="1"/>
  <c r="J13107" i="34" a="1"/>
  <c r="J13108" i="34" a="1"/>
  <c r="J13109" i="34" a="1"/>
  <c r="J13110" i="34" a="1"/>
  <c r="J13111" i="34" a="1"/>
  <c r="J13112" i="34" a="1"/>
  <c r="J13113" i="34" a="1"/>
  <c r="J13114" i="34" a="1"/>
  <c r="J13115" i="34" a="1"/>
  <c r="J13116" i="34" a="1"/>
  <c r="J13117" i="34" a="1"/>
  <c r="J13118" i="34" a="1"/>
  <c r="J13119" i="34" a="1"/>
  <c r="J13120" i="34" a="1"/>
  <c r="J13121" i="34" a="1"/>
  <c r="J13122" i="34" a="1"/>
  <c r="J13123" i="34" a="1"/>
  <c r="J13124" i="34" a="1"/>
  <c r="J13125" i="34" a="1"/>
  <c r="J13126" i="34" a="1"/>
  <c r="J13127" i="34" a="1"/>
  <c r="J13128" i="34" a="1"/>
  <c r="J13129" i="34" a="1"/>
  <c r="J13130" i="34" a="1"/>
  <c r="J13131" i="34" a="1"/>
  <c r="J13132" i="34" a="1"/>
  <c r="J13133" i="34" a="1"/>
  <c r="J13134" i="34" a="1"/>
  <c r="J13135" i="34" a="1"/>
  <c r="J13136" i="34" a="1"/>
  <c r="J13137" i="34" a="1"/>
  <c r="J13138" i="34" a="1"/>
  <c r="J13139" i="34" a="1"/>
  <c r="J13140" i="34" a="1"/>
  <c r="J13141" i="34" a="1"/>
  <c r="J13142" i="34" a="1"/>
  <c r="J13143" i="34" a="1"/>
  <c r="J13144" i="34" a="1"/>
  <c r="J13145" i="34" a="1"/>
  <c r="J13146" i="34" a="1"/>
  <c r="J13147" i="34" a="1"/>
  <c r="J13148" i="34" a="1"/>
  <c r="J13149" i="34" a="1"/>
  <c r="J13150" i="34" a="1"/>
  <c r="J13151" i="34" a="1"/>
  <c r="J13152" i="34" a="1"/>
  <c r="J13153" i="34" a="1"/>
  <c r="J13154" i="34" a="1"/>
  <c r="J13155" i="34" a="1"/>
  <c r="J13156" i="34" a="1"/>
  <c r="J13157" i="34" a="1"/>
  <c r="J13158" i="34" a="1"/>
  <c r="J13159" i="34" a="1"/>
  <c r="J13160" i="34" a="1"/>
  <c r="J13161" i="34" a="1"/>
  <c r="J13162" i="34" a="1"/>
  <c r="J13163" i="34" a="1"/>
  <c r="J13164" i="34" a="1"/>
  <c r="J13165" i="34" a="1"/>
  <c r="J13166" i="34" a="1"/>
  <c r="J13167" i="34" a="1"/>
  <c r="J13168" i="34" a="1"/>
  <c r="J13169" i="34" a="1"/>
  <c r="J13170" i="34" a="1"/>
  <c r="J13171" i="34" a="1"/>
  <c r="J13172" i="34" a="1"/>
  <c r="J13173" i="34" a="1"/>
  <c r="J13174" i="34" a="1"/>
  <c r="J13175" i="34" a="1"/>
  <c r="J13176" i="34" a="1"/>
  <c r="J13177" i="34" a="1"/>
  <c r="J13178" i="34" a="1"/>
  <c r="J13179" i="34" a="1"/>
  <c r="J13180" i="34" a="1"/>
  <c r="J13181" i="34" a="1"/>
  <c r="J13182" i="34" a="1"/>
  <c r="J13183" i="34" a="1"/>
  <c r="J13184" i="34" a="1"/>
  <c r="J13185" i="34" a="1"/>
  <c r="J13186" i="34" a="1"/>
  <c r="J13187" i="34" a="1"/>
  <c r="J13188" i="34" a="1"/>
  <c r="J13189" i="34" a="1"/>
  <c r="J13190" i="34" a="1"/>
  <c r="J13191" i="34" a="1"/>
  <c r="J13192" i="34" a="1"/>
  <c r="J13193" i="34" a="1"/>
  <c r="J13194" i="34" a="1"/>
  <c r="J13195" i="34" a="1"/>
  <c r="J13196" i="34" a="1"/>
  <c r="J13197" i="34" a="1"/>
  <c r="J13198" i="34" a="1"/>
  <c r="J13199" i="34" a="1"/>
  <c r="J13200" i="34" a="1"/>
  <c r="J13201" i="34" a="1"/>
  <c r="J13202" i="34" a="1"/>
  <c r="J13203" i="34" a="1"/>
  <c r="J13204" i="34" a="1"/>
  <c r="J13205" i="34" a="1"/>
  <c r="J13206" i="34" a="1"/>
  <c r="J13207" i="34" a="1"/>
  <c r="J13208" i="34" a="1"/>
  <c r="J13209" i="34" a="1"/>
  <c r="J13210" i="34" a="1"/>
  <c r="J13211" i="34" a="1"/>
  <c r="J13212" i="34" a="1"/>
  <c r="J13213" i="34" a="1"/>
  <c r="J13214" i="34" a="1"/>
  <c r="J13215" i="34" a="1"/>
  <c r="J13216" i="34" a="1"/>
  <c r="J13217" i="34" a="1"/>
  <c r="J13218" i="34" a="1"/>
  <c r="J13219" i="34" a="1"/>
  <c r="J13220" i="34" a="1"/>
  <c r="J13221" i="34" a="1"/>
  <c r="J13222" i="34" a="1"/>
  <c r="J13223" i="34" a="1"/>
  <c r="J13224" i="34" a="1"/>
  <c r="J13225" i="34" a="1"/>
  <c r="J13226" i="34" a="1"/>
  <c r="J13227" i="34" a="1"/>
  <c r="J13228" i="34" a="1"/>
  <c r="J13229" i="34" a="1"/>
  <c r="J13230" i="34" a="1"/>
  <c r="J13231" i="34" a="1"/>
  <c r="J13232" i="34" a="1"/>
  <c r="J13233" i="34" a="1"/>
  <c r="J13234" i="34" a="1"/>
  <c r="J13235" i="34" a="1"/>
  <c r="J13236" i="34" a="1"/>
  <c r="J13237" i="34" a="1"/>
  <c r="J13238" i="34" a="1"/>
  <c r="J13239" i="34" a="1"/>
  <c r="J13240" i="34" a="1"/>
  <c r="J13241" i="34" a="1"/>
  <c r="J13242" i="34" a="1"/>
  <c r="J13243" i="34" a="1"/>
  <c r="J13244" i="34" a="1"/>
  <c r="J13245" i="34" a="1"/>
  <c r="J13246" i="34" a="1"/>
  <c r="J13247" i="34" a="1"/>
  <c r="J13248" i="34" a="1"/>
  <c r="J13249" i="34" a="1"/>
  <c r="J13250" i="34" a="1"/>
  <c r="J13251" i="34" a="1"/>
  <c r="J13252" i="34" a="1"/>
  <c r="J13253" i="34" a="1"/>
  <c r="J13254" i="34" a="1"/>
  <c r="J13255" i="34" a="1"/>
  <c r="J13256" i="34" a="1"/>
  <c r="J13257" i="34" a="1"/>
  <c r="J13258" i="34" a="1"/>
  <c r="J13259" i="34" a="1"/>
  <c r="J13260" i="34" a="1"/>
  <c r="J13261" i="34" a="1"/>
  <c r="J13262" i="34" a="1"/>
  <c r="J13263" i="34" a="1"/>
  <c r="J13264" i="34" a="1"/>
  <c r="J13265" i="34" a="1"/>
  <c r="J13266" i="34" a="1"/>
  <c r="J13267" i="34" a="1"/>
  <c r="J13268" i="34" a="1"/>
  <c r="J13269" i="34" a="1"/>
  <c r="J13270" i="34" a="1"/>
  <c r="J13271" i="34" a="1"/>
  <c r="J13272" i="34" a="1"/>
  <c r="J13273" i="34" a="1"/>
  <c r="J13274" i="34" a="1"/>
  <c r="J13275" i="34" a="1"/>
  <c r="J13276" i="34" a="1"/>
  <c r="J13277" i="34" a="1"/>
  <c r="J13278" i="34" a="1"/>
  <c r="J13279" i="34" a="1"/>
  <c r="J13280" i="34" a="1"/>
  <c r="J13281" i="34" a="1"/>
  <c r="J13282" i="34" a="1"/>
  <c r="J13283" i="34" a="1"/>
  <c r="J13284" i="34" a="1"/>
  <c r="J13285" i="34" a="1"/>
  <c r="J13286" i="34" a="1"/>
  <c r="J13287" i="34" a="1"/>
  <c r="J13288" i="34" a="1"/>
  <c r="J13289" i="34" a="1"/>
  <c r="J13290" i="34" a="1"/>
  <c r="J13291" i="34" a="1"/>
  <c r="J13292" i="34" a="1"/>
  <c r="J13293" i="34" a="1"/>
  <c r="J13294" i="34" a="1"/>
  <c r="J13295" i="34" a="1"/>
  <c r="J13296" i="34" a="1"/>
  <c r="J13297" i="34" a="1"/>
  <c r="J13298" i="34" a="1"/>
  <c r="J13299" i="34" a="1"/>
  <c r="J13300" i="34" a="1"/>
  <c r="J13301" i="34" a="1"/>
  <c r="J13302" i="34" a="1"/>
  <c r="J13303" i="34" a="1"/>
  <c r="J13304" i="34" a="1"/>
  <c r="J13305" i="34" a="1"/>
  <c r="J13306" i="34" a="1"/>
  <c r="J13307" i="34" a="1"/>
  <c r="J13308" i="34" a="1"/>
  <c r="J13309" i="34" a="1"/>
  <c r="J13310" i="34" a="1"/>
  <c r="J13311" i="34" a="1"/>
  <c r="J13312" i="34" a="1"/>
  <c r="J13313" i="34" a="1"/>
  <c r="J13314" i="34" a="1"/>
  <c r="J13315" i="34" a="1"/>
  <c r="J13316" i="34" a="1"/>
  <c r="J13317" i="34" a="1"/>
  <c r="J13318" i="34" a="1"/>
  <c r="J13319" i="34" a="1"/>
  <c r="J13320" i="34" a="1"/>
  <c r="J13321" i="34" a="1"/>
  <c r="J13322" i="34" a="1"/>
  <c r="J13323" i="34" a="1"/>
  <c r="J13324" i="34" a="1"/>
  <c r="J13325" i="34" a="1"/>
  <c r="J13326" i="34" a="1"/>
  <c r="J13327" i="34" a="1"/>
  <c r="J13328" i="34" a="1"/>
  <c r="J13329" i="34" a="1"/>
  <c r="J13330" i="34" a="1"/>
  <c r="J13331" i="34" a="1"/>
  <c r="J13332" i="34" a="1"/>
  <c r="J13333" i="34" a="1"/>
  <c r="J13334" i="34" a="1"/>
  <c r="J13335" i="34" a="1"/>
  <c r="J13336" i="34" a="1"/>
  <c r="J13337" i="34" a="1"/>
  <c r="J13338" i="34" a="1"/>
  <c r="J13339" i="34" a="1"/>
  <c r="J13340" i="34" a="1"/>
  <c r="J13341" i="34" a="1"/>
  <c r="J13342" i="34" a="1"/>
  <c r="J13343" i="34" a="1"/>
  <c r="J13344" i="34" a="1"/>
  <c r="J13345" i="34" a="1"/>
  <c r="J13346" i="34" a="1"/>
  <c r="J13347" i="34" a="1"/>
  <c r="J13348" i="34" a="1"/>
  <c r="J13349" i="34" a="1"/>
  <c r="J13350" i="34" a="1"/>
  <c r="J13351" i="34" a="1"/>
  <c r="J13352" i="34" a="1"/>
  <c r="J13353" i="34" a="1"/>
  <c r="J13354" i="34" a="1"/>
  <c r="J13355" i="34" a="1"/>
  <c r="J13356" i="34" a="1"/>
  <c r="J13357" i="34" a="1"/>
  <c r="J13358" i="34" a="1"/>
  <c r="J13359" i="34" a="1"/>
  <c r="J13360" i="34" a="1"/>
  <c r="J13361" i="34" a="1"/>
  <c r="J13362" i="34" a="1"/>
  <c r="J13363" i="34" a="1"/>
  <c r="J13364" i="34" a="1"/>
  <c r="J13365" i="34" a="1"/>
  <c r="J13366" i="34" a="1"/>
  <c r="J13367" i="34" a="1"/>
  <c r="J13368" i="34" a="1"/>
  <c r="J13369" i="34" a="1"/>
  <c r="J13370" i="34" a="1"/>
  <c r="J13371" i="34" a="1"/>
  <c r="J13372" i="34" a="1"/>
  <c r="J13373" i="34" a="1"/>
  <c r="J13374" i="34" a="1"/>
  <c r="J13375" i="34" a="1"/>
  <c r="J13376" i="34" a="1"/>
  <c r="J13377" i="34" a="1"/>
  <c r="J13378" i="34" a="1"/>
  <c r="J13379" i="34" a="1"/>
  <c r="J13380" i="34" a="1"/>
  <c r="J13381" i="34" a="1"/>
  <c r="J13382" i="34" a="1"/>
  <c r="J13383" i="34" a="1"/>
  <c r="J13384" i="34" a="1"/>
  <c r="J13385" i="34" a="1"/>
  <c r="J13386" i="34" a="1"/>
  <c r="J13387" i="34" a="1"/>
  <c r="J13388" i="34" a="1"/>
  <c r="J13389" i="34" a="1"/>
  <c r="J13390" i="34" a="1"/>
  <c r="J13391" i="34" a="1"/>
  <c r="J13392" i="34" a="1"/>
  <c r="J13393" i="34" a="1"/>
  <c r="J13394" i="34" a="1"/>
  <c r="J13395" i="34" a="1"/>
  <c r="J13396" i="34" a="1"/>
  <c r="J13397" i="34" a="1"/>
  <c r="J13398" i="34" a="1"/>
  <c r="J13399" i="34" a="1"/>
  <c r="J13400" i="34" a="1"/>
  <c r="J13401" i="34" a="1"/>
  <c r="J13402" i="34" a="1"/>
  <c r="J13403" i="34" a="1"/>
  <c r="J13404" i="34" a="1"/>
  <c r="J13405" i="34" a="1"/>
  <c r="J13406" i="34" a="1"/>
  <c r="J13407" i="34" a="1"/>
  <c r="J13408" i="34" a="1"/>
  <c r="J13409" i="34" a="1"/>
  <c r="J13410" i="34" a="1"/>
  <c r="J13411" i="34" a="1"/>
  <c r="J13412" i="34" a="1"/>
  <c r="J13413" i="34" a="1"/>
  <c r="J13414" i="34" a="1"/>
  <c r="J13415" i="34" a="1"/>
  <c r="J13416" i="34" a="1"/>
  <c r="J13417" i="34" a="1"/>
  <c r="J13418" i="34" a="1"/>
  <c r="J13419" i="34" a="1"/>
  <c r="J13420" i="34" a="1"/>
  <c r="J13421" i="34" a="1"/>
  <c r="J13422" i="34" a="1"/>
  <c r="J13423" i="34" a="1"/>
  <c r="J13424" i="34" a="1"/>
  <c r="J13425" i="34" a="1"/>
  <c r="J13426" i="34" a="1"/>
  <c r="J13427" i="34" a="1"/>
  <c r="J13428" i="34" a="1"/>
  <c r="J13429" i="34" a="1"/>
  <c r="J13430" i="34" a="1"/>
  <c r="J13431" i="34" a="1"/>
  <c r="J13432" i="34" a="1"/>
  <c r="J13433" i="34" a="1"/>
  <c r="J13434" i="34" a="1"/>
  <c r="J13435" i="34" a="1"/>
  <c r="J13436" i="34" a="1"/>
  <c r="J13437" i="34" a="1"/>
  <c r="J13438" i="34" a="1"/>
  <c r="J13439" i="34" a="1"/>
  <c r="J13440" i="34" a="1"/>
  <c r="J13441" i="34" a="1"/>
  <c r="J13442" i="34" a="1"/>
  <c r="J13443" i="34" a="1"/>
  <c r="J13444" i="34" a="1"/>
  <c r="J13445" i="34" a="1"/>
  <c r="J13446" i="34" a="1"/>
  <c r="J13447" i="34" a="1"/>
  <c r="J13448" i="34" a="1"/>
  <c r="J13449" i="34" a="1"/>
  <c r="J13450" i="34" a="1"/>
  <c r="J13451" i="34" a="1"/>
  <c r="J13452" i="34" a="1"/>
  <c r="J13453" i="34" a="1"/>
  <c r="J13454" i="34" a="1"/>
  <c r="J13455" i="34" a="1"/>
  <c r="J13456" i="34" a="1"/>
  <c r="J13457" i="34" a="1"/>
  <c r="J13458" i="34" a="1"/>
  <c r="J13459" i="34" a="1"/>
  <c r="J13460" i="34" a="1"/>
  <c r="J13461" i="34" a="1"/>
  <c r="J13462" i="34" a="1"/>
  <c r="J13463" i="34" a="1"/>
  <c r="J13464" i="34" a="1"/>
  <c r="J13465" i="34" a="1"/>
  <c r="J13466" i="34" a="1"/>
  <c r="J13467" i="34" a="1"/>
  <c r="J13468" i="34" a="1"/>
  <c r="J13469" i="34" a="1"/>
  <c r="J13470" i="34" a="1"/>
  <c r="J13471" i="34" a="1"/>
  <c r="J13472" i="34" a="1"/>
  <c r="J13473" i="34" a="1"/>
  <c r="J13474" i="34" a="1"/>
  <c r="J13475" i="34" a="1"/>
  <c r="J13476" i="34" a="1"/>
  <c r="J13477" i="34" a="1"/>
  <c r="J13478" i="34" a="1"/>
  <c r="J13479" i="34" a="1"/>
  <c r="J13480" i="34" a="1"/>
  <c r="J13481" i="34" a="1"/>
  <c r="J13482" i="34" a="1"/>
  <c r="J13483" i="34" a="1"/>
  <c r="J13484" i="34" a="1"/>
  <c r="J13485" i="34" a="1"/>
  <c r="J13486" i="34" a="1"/>
  <c r="J13487" i="34" a="1"/>
  <c r="J13488" i="34" a="1"/>
  <c r="J13489" i="34" a="1"/>
  <c r="J13490" i="34" a="1"/>
  <c r="J13491" i="34" a="1"/>
  <c r="J13492" i="34" a="1"/>
  <c r="J13493" i="34" a="1"/>
  <c r="J13494" i="34" a="1"/>
  <c r="J13495" i="34" a="1"/>
  <c r="J13496" i="34" a="1"/>
  <c r="J13497" i="34" a="1"/>
  <c r="J13498" i="34" a="1"/>
  <c r="J13499" i="34" a="1"/>
  <c r="J13500" i="34" a="1"/>
  <c r="J13501" i="34" a="1"/>
  <c r="J13502" i="34" a="1"/>
  <c r="J13503" i="34" a="1"/>
  <c r="J13504" i="34" a="1"/>
  <c r="J13505" i="34" a="1"/>
  <c r="J13506" i="34" a="1"/>
  <c r="J13507" i="34" a="1"/>
  <c r="J13508" i="34" a="1"/>
  <c r="J13509" i="34" a="1"/>
  <c r="J13510" i="34" a="1"/>
  <c r="J13511" i="34" a="1"/>
  <c r="J13512" i="34" a="1"/>
  <c r="J13513" i="34" a="1"/>
  <c r="J13514" i="34" a="1"/>
  <c r="J13515" i="34" a="1"/>
  <c r="J13516" i="34" a="1"/>
  <c r="J13517" i="34" a="1"/>
  <c r="J13518" i="34" a="1"/>
  <c r="J13519" i="34" a="1"/>
  <c r="J13520" i="34" a="1"/>
  <c r="J13521" i="34" a="1"/>
  <c r="J13522" i="34" a="1"/>
  <c r="J13523" i="34" a="1"/>
  <c r="J13524" i="34" a="1"/>
  <c r="J13525" i="34" a="1"/>
  <c r="J13526" i="34" a="1"/>
  <c r="J13527" i="34" a="1"/>
  <c r="J13528" i="34" a="1"/>
  <c r="J13529" i="34" a="1"/>
  <c r="J13530" i="34" a="1"/>
  <c r="J13531" i="34" a="1"/>
  <c r="J13532" i="34" a="1"/>
  <c r="J13533" i="34" a="1"/>
  <c r="J13534" i="34" a="1"/>
  <c r="J13535" i="34" a="1"/>
  <c r="J13536" i="34" a="1"/>
  <c r="J13537" i="34" a="1"/>
  <c r="J13538" i="34" a="1"/>
  <c r="J13539" i="34" a="1"/>
  <c r="J13540" i="34" a="1"/>
  <c r="J13541" i="34" a="1"/>
  <c r="J13542" i="34" a="1"/>
  <c r="J13543" i="34" a="1"/>
  <c r="J13544" i="34" a="1"/>
  <c r="J13545" i="34" a="1"/>
  <c r="J13546" i="34" a="1"/>
  <c r="J13547" i="34" a="1"/>
  <c r="J13548" i="34" a="1"/>
  <c r="J13549" i="34" a="1"/>
  <c r="J13550" i="34" a="1"/>
  <c r="J13551" i="34" a="1"/>
  <c r="J13552" i="34" a="1"/>
  <c r="J13553" i="34" a="1"/>
  <c r="J13554" i="34" a="1"/>
  <c r="J13555" i="34" a="1"/>
  <c r="J13556" i="34" a="1"/>
  <c r="J13557" i="34" a="1"/>
  <c r="J13558" i="34" a="1"/>
  <c r="J13559" i="34" a="1"/>
  <c r="J13560" i="34" a="1"/>
  <c r="J13561" i="34" a="1"/>
  <c r="J13562" i="34" a="1"/>
  <c r="J13563" i="34" a="1"/>
  <c r="J13564" i="34" a="1"/>
  <c r="J13565" i="34" a="1"/>
  <c r="J13566" i="34" a="1"/>
  <c r="J13567" i="34" a="1"/>
  <c r="J13568" i="34" a="1"/>
  <c r="J13569" i="34" a="1"/>
  <c r="J13570" i="34" a="1"/>
  <c r="J13571" i="34" a="1"/>
  <c r="J13572" i="34" a="1"/>
  <c r="J13573" i="34" a="1"/>
  <c r="J13574" i="34" a="1"/>
  <c r="J13575" i="34" a="1"/>
  <c r="J13576" i="34" a="1"/>
  <c r="J13577" i="34" a="1"/>
  <c r="J13578" i="34" a="1"/>
  <c r="J13579" i="34" a="1"/>
  <c r="J13580" i="34" a="1"/>
  <c r="J13581" i="34" a="1"/>
  <c r="J13582" i="34" a="1"/>
  <c r="J13583" i="34" a="1"/>
  <c r="J13584" i="34" a="1"/>
  <c r="J13585" i="34" a="1"/>
  <c r="J13586" i="34" a="1"/>
  <c r="J13587" i="34" a="1"/>
  <c r="J13588" i="34" a="1"/>
  <c r="J13589" i="34" a="1"/>
  <c r="J13590" i="34" a="1"/>
  <c r="J13591" i="34" a="1"/>
  <c r="J13592" i="34" a="1"/>
  <c r="J13593" i="34" a="1"/>
  <c r="J13594" i="34" a="1"/>
  <c r="J13595" i="34" a="1"/>
  <c r="J13596" i="34" a="1"/>
  <c r="J13597" i="34" a="1"/>
  <c r="J13598" i="34" a="1"/>
  <c r="J13599" i="34" a="1"/>
  <c r="J13600" i="34" a="1"/>
  <c r="J13601" i="34" a="1"/>
  <c r="J13602" i="34" a="1"/>
  <c r="J13603" i="34" a="1"/>
  <c r="J13604" i="34" a="1"/>
  <c r="J13605" i="34" a="1"/>
  <c r="J13606" i="34" a="1"/>
  <c r="J13607" i="34" a="1"/>
  <c r="J13608" i="34" a="1"/>
  <c r="J13609" i="34" a="1"/>
  <c r="J13610" i="34" a="1"/>
  <c r="J13611" i="34" a="1"/>
  <c r="J13612" i="34" a="1"/>
  <c r="J13613" i="34" a="1"/>
  <c r="J13614" i="34" a="1"/>
  <c r="J13615" i="34" a="1"/>
  <c r="J13616" i="34" a="1"/>
  <c r="J13617" i="34" a="1"/>
  <c r="J13618" i="34" a="1"/>
  <c r="J13619" i="34" a="1"/>
  <c r="J13620" i="34" a="1"/>
  <c r="J13621" i="34" a="1"/>
  <c r="J13622" i="34" a="1"/>
  <c r="J13623" i="34" a="1"/>
  <c r="J13624" i="34" a="1"/>
  <c r="J13625" i="34" a="1"/>
  <c r="J13626" i="34" a="1"/>
  <c r="J13627" i="34" a="1"/>
  <c r="J13628" i="34" a="1"/>
  <c r="J13629" i="34" a="1"/>
  <c r="J13630" i="34" a="1"/>
  <c r="J13631" i="34" a="1"/>
  <c r="J13632" i="34" a="1"/>
  <c r="J13633" i="34" a="1"/>
  <c r="J13634" i="34" a="1"/>
  <c r="J13635" i="34" a="1"/>
  <c r="J13636" i="34" a="1"/>
  <c r="J13637" i="34" a="1"/>
  <c r="J13638" i="34" a="1"/>
  <c r="J13639" i="34" a="1"/>
  <c r="J13640" i="34" a="1"/>
  <c r="J13641" i="34" a="1"/>
  <c r="J13642" i="34" a="1"/>
  <c r="J13643" i="34" a="1"/>
  <c r="J13644" i="34" a="1"/>
  <c r="J13645" i="34" a="1"/>
  <c r="J13646" i="34" a="1"/>
  <c r="J13647" i="34" a="1"/>
  <c r="J13648" i="34" a="1"/>
  <c r="J13649" i="34" a="1"/>
  <c r="J13650" i="34" a="1"/>
  <c r="J13651" i="34" a="1"/>
  <c r="J13652" i="34" a="1"/>
  <c r="J13653" i="34" a="1"/>
  <c r="J13654" i="34" a="1"/>
  <c r="J13655" i="34" a="1"/>
  <c r="J13656" i="34" a="1"/>
  <c r="J13657" i="34" a="1"/>
  <c r="J13658" i="34" a="1"/>
  <c r="J13659" i="34" a="1"/>
  <c r="J13660" i="34" a="1"/>
  <c r="J13661" i="34" a="1"/>
  <c r="J13662" i="34" a="1"/>
  <c r="J13663" i="34" a="1"/>
  <c r="J13664" i="34" a="1"/>
  <c r="J13665" i="34" a="1"/>
  <c r="J13666" i="34" a="1"/>
  <c r="J13667" i="34" a="1"/>
  <c r="J13668" i="34" a="1"/>
  <c r="J13669" i="34" a="1"/>
  <c r="J13670" i="34" a="1"/>
  <c r="J13671" i="34" a="1"/>
  <c r="J13672" i="34" a="1"/>
  <c r="J13673" i="34" a="1"/>
  <c r="J13674" i="34" a="1"/>
  <c r="J13675" i="34" a="1"/>
  <c r="J13676" i="34" a="1"/>
  <c r="J13677" i="34" a="1"/>
  <c r="J13678" i="34" a="1"/>
  <c r="J13679" i="34" a="1"/>
  <c r="J13680" i="34" a="1"/>
  <c r="J13681" i="34" a="1"/>
  <c r="J13682" i="34" a="1"/>
  <c r="J13683" i="34" a="1"/>
  <c r="J13684" i="34" a="1"/>
  <c r="J13685" i="34" a="1"/>
  <c r="J13686" i="34" a="1"/>
  <c r="J13687" i="34" a="1"/>
  <c r="J13688" i="34" a="1"/>
  <c r="J13689" i="34" a="1"/>
  <c r="J13690" i="34" a="1"/>
  <c r="J13691" i="34" a="1"/>
  <c r="J13692" i="34" a="1"/>
  <c r="J13693" i="34" a="1"/>
  <c r="J13694" i="34" a="1"/>
  <c r="J13695" i="34" a="1"/>
  <c r="J13696" i="34" a="1"/>
  <c r="J13697" i="34" a="1"/>
  <c r="J13698" i="34" a="1"/>
  <c r="J13699" i="34" a="1"/>
  <c r="J13700" i="34" a="1"/>
  <c r="J13701" i="34" a="1"/>
  <c r="J13702" i="34" a="1"/>
  <c r="J13703" i="34" a="1"/>
  <c r="J13704" i="34" a="1"/>
  <c r="J13705" i="34" a="1"/>
  <c r="J13706" i="34" a="1"/>
  <c r="J13707" i="34" a="1"/>
  <c r="J13708" i="34" a="1"/>
  <c r="J13709" i="34" a="1"/>
  <c r="J13710" i="34" a="1"/>
  <c r="J13711" i="34" a="1"/>
  <c r="J13712" i="34" a="1"/>
  <c r="J13713" i="34" a="1"/>
  <c r="J13714" i="34" a="1"/>
  <c r="J13715" i="34" a="1"/>
  <c r="J13716" i="34" a="1"/>
  <c r="J13717" i="34" a="1"/>
  <c r="J13718" i="34" a="1"/>
  <c r="J13719" i="34" a="1"/>
  <c r="J13720" i="34" a="1"/>
  <c r="J13721" i="34" a="1"/>
  <c r="J13722" i="34" a="1"/>
  <c r="J13723" i="34" a="1"/>
  <c r="J13724" i="34" a="1"/>
  <c r="J13725" i="34" a="1"/>
  <c r="J13726" i="34" a="1"/>
  <c r="J13727" i="34" a="1"/>
  <c r="J13728" i="34" a="1"/>
  <c r="J13729" i="34" a="1"/>
  <c r="J13730" i="34" a="1"/>
  <c r="J13731" i="34" a="1"/>
  <c r="J13732" i="34" a="1"/>
  <c r="J13733" i="34" a="1"/>
  <c r="J13734" i="34" a="1"/>
  <c r="J13735" i="34" a="1"/>
  <c r="J13736" i="34" a="1"/>
  <c r="J13737" i="34" a="1"/>
  <c r="J13738" i="34" a="1"/>
  <c r="J13739" i="34" a="1"/>
  <c r="J13740" i="34" a="1"/>
  <c r="J13741" i="34" a="1"/>
  <c r="J13742" i="34" a="1"/>
  <c r="J13743" i="34" a="1"/>
  <c r="J13744" i="34" a="1"/>
  <c r="J13745" i="34" a="1"/>
  <c r="J13746" i="34" a="1"/>
  <c r="J13747" i="34" a="1"/>
  <c r="J13748" i="34" a="1"/>
  <c r="J13749" i="34" a="1"/>
  <c r="J13750" i="34" a="1"/>
  <c r="J13751" i="34" a="1"/>
  <c r="J13752" i="34" a="1"/>
  <c r="J13753" i="34" a="1"/>
  <c r="J13754" i="34" a="1"/>
  <c r="J13755" i="34" a="1"/>
  <c r="J13756" i="34" a="1"/>
  <c r="J13757" i="34" a="1"/>
  <c r="J13758" i="34" a="1"/>
  <c r="J13759" i="34" a="1"/>
  <c r="J13760" i="34" a="1"/>
  <c r="J13761" i="34" a="1"/>
  <c r="J13762" i="34" a="1"/>
  <c r="J13763" i="34" a="1"/>
  <c r="J13764" i="34" a="1"/>
  <c r="J13765" i="34" a="1"/>
  <c r="J13766" i="34" a="1"/>
  <c r="J13767" i="34" a="1"/>
  <c r="J13768" i="34" a="1"/>
  <c r="J13769" i="34" a="1"/>
  <c r="J13770" i="34" a="1"/>
  <c r="J13771" i="34" a="1"/>
  <c r="J13772" i="34" a="1"/>
  <c r="J13773" i="34" a="1"/>
  <c r="J13774" i="34" a="1"/>
  <c r="J13775" i="34" a="1"/>
  <c r="J13776" i="34" a="1"/>
  <c r="J13777" i="34" a="1"/>
  <c r="J13778" i="34" a="1"/>
  <c r="J13779" i="34" a="1"/>
  <c r="J13780" i="34" a="1"/>
  <c r="J13781" i="34" a="1"/>
  <c r="J13782" i="34" a="1"/>
  <c r="J13783" i="34" a="1"/>
  <c r="J13784" i="34" a="1"/>
  <c r="J13785" i="34" a="1"/>
  <c r="J13786" i="34" a="1"/>
  <c r="J13787" i="34" a="1"/>
  <c r="J13788" i="34" a="1"/>
  <c r="J13789" i="34" a="1"/>
  <c r="J13790" i="34" a="1"/>
  <c r="J13791" i="34" a="1"/>
  <c r="J13792" i="34" a="1"/>
  <c r="J13793" i="34" a="1"/>
  <c r="J13794" i="34" a="1"/>
  <c r="J13795" i="34" a="1"/>
  <c r="J13796" i="34" a="1"/>
  <c r="J13797" i="34" a="1"/>
  <c r="J13798" i="34" a="1"/>
  <c r="J13799" i="34" a="1"/>
  <c r="J13800" i="34" a="1"/>
  <c r="J13801" i="34" a="1"/>
  <c r="J13802" i="34" a="1"/>
  <c r="J13803" i="34" a="1"/>
  <c r="J13804" i="34" a="1"/>
  <c r="J13805" i="34" a="1"/>
  <c r="J13806" i="34" a="1"/>
  <c r="J13807" i="34" a="1"/>
  <c r="J13808" i="34" a="1"/>
  <c r="J13809" i="34" a="1"/>
  <c r="J13810" i="34" a="1"/>
  <c r="J13811" i="34" a="1"/>
  <c r="J13812" i="34" a="1"/>
  <c r="J13813" i="34" a="1"/>
  <c r="J13814" i="34" a="1"/>
  <c r="J13815" i="34" a="1"/>
  <c r="J13816" i="34" a="1"/>
  <c r="J13817" i="34" a="1"/>
  <c r="J13818" i="34" a="1"/>
  <c r="J13819" i="34" a="1"/>
  <c r="J13820" i="34" a="1"/>
  <c r="J13821" i="34" a="1"/>
  <c r="J13822" i="34" a="1"/>
  <c r="J13823" i="34" a="1"/>
  <c r="J13824" i="34" a="1"/>
  <c r="J13825" i="34" a="1"/>
  <c r="J13826" i="34" a="1"/>
  <c r="J13827" i="34" a="1"/>
  <c r="J13828" i="34" a="1"/>
  <c r="J13829" i="34" a="1"/>
  <c r="J13830" i="34" a="1"/>
  <c r="J13831" i="34" a="1"/>
  <c r="J13832" i="34" a="1"/>
  <c r="J13833" i="34" a="1"/>
  <c r="J13834" i="34" a="1"/>
  <c r="J13835" i="34" a="1"/>
  <c r="J13836" i="34" a="1"/>
  <c r="J13837" i="34" a="1"/>
  <c r="J13838" i="34" a="1"/>
  <c r="J13839" i="34" a="1"/>
  <c r="J13840" i="34" a="1"/>
  <c r="J13841" i="34" a="1"/>
  <c r="J13842" i="34" a="1"/>
  <c r="J13843" i="34" a="1"/>
  <c r="J13844" i="34" a="1"/>
  <c r="J13845" i="34" a="1"/>
  <c r="J13846" i="34" a="1"/>
  <c r="J13847" i="34" a="1"/>
  <c r="J13848" i="34" a="1"/>
  <c r="J13849" i="34" a="1"/>
  <c r="J13850" i="34" a="1"/>
  <c r="J13851" i="34" a="1"/>
  <c r="J13852" i="34" a="1"/>
  <c r="J13853" i="34" a="1"/>
  <c r="J13854" i="34" a="1"/>
  <c r="J13855" i="34" a="1"/>
  <c r="J13856" i="34" a="1"/>
  <c r="J13857" i="34" a="1"/>
  <c r="J13858" i="34" a="1"/>
  <c r="J13859" i="34" a="1"/>
  <c r="J13860" i="34" a="1"/>
  <c r="J13861" i="34" a="1"/>
  <c r="J13862" i="34" a="1"/>
  <c r="J13863" i="34" a="1"/>
  <c r="J13864" i="34" a="1"/>
  <c r="J13865" i="34" a="1"/>
  <c r="J13866" i="34" a="1"/>
  <c r="J13867" i="34" a="1"/>
  <c r="J13868" i="34" a="1"/>
  <c r="J13869" i="34" a="1"/>
  <c r="J13870" i="34" a="1"/>
  <c r="J13871" i="34" a="1"/>
  <c r="J13872" i="34" a="1"/>
  <c r="J13873" i="34" a="1"/>
  <c r="J13874" i="34" a="1"/>
  <c r="J13875" i="34" a="1"/>
  <c r="J13876" i="34" a="1"/>
  <c r="J13877" i="34" a="1"/>
  <c r="J13878" i="34" a="1"/>
  <c r="J13879" i="34" a="1"/>
  <c r="J13880" i="34" a="1"/>
  <c r="J13881" i="34" a="1"/>
  <c r="J13882" i="34" a="1"/>
  <c r="J13883" i="34" a="1"/>
  <c r="J13884" i="34" a="1"/>
  <c r="J13885" i="34" a="1"/>
  <c r="J13886" i="34" a="1"/>
  <c r="J13887" i="34" a="1"/>
  <c r="J13888" i="34" a="1"/>
  <c r="J13889" i="34" a="1"/>
  <c r="J13890" i="34" a="1"/>
  <c r="J13891" i="34" a="1"/>
  <c r="J13892" i="34" a="1"/>
  <c r="J13893" i="34" a="1"/>
  <c r="J13894" i="34" a="1"/>
  <c r="J13895" i="34" a="1"/>
  <c r="J13896" i="34" a="1"/>
  <c r="J13897" i="34" a="1"/>
  <c r="J13898" i="34" a="1"/>
  <c r="J13899" i="34" a="1"/>
  <c r="J13900" i="34" a="1"/>
  <c r="J13901" i="34" a="1"/>
  <c r="J13902" i="34" a="1"/>
  <c r="J13903" i="34" a="1"/>
  <c r="J13904" i="34" a="1"/>
  <c r="J13905" i="34" a="1"/>
  <c r="J13906" i="34" a="1"/>
  <c r="J13907" i="34" a="1"/>
  <c r="J13908" i="34" a="1"/>
  <c r="J13909" i="34" a="1"/>
  <c r="J13910" i="34" a="1"/>
  <c r="J13911" i="34" a="1"/>
  <c r="J13912" i="34" a="1"/>
  <c r="J13913" i="34" a="1"/>
  <c r="J13914" i="34" a="1"/>
  <c r="J13915" i="34" a="1"/>
  <c r="J13916" i="34" a="1"/>
  <c r="J13917" i="34" a="1"/>
  <c r="J13918" i="34" a="1"/>
  <c r="J13919" i="34" a="1"/>
  <c r="J13920" i="34" a="1"/>
  <c r="J13921" i="34" a="1"/>
  <c r="J13922" i="34" a="1"/>
  <c r="J13923" i="34" a="1"/>
  <c r="J13924" i="34" a="1"/>
  <c r="J13925" i="34" a="1"/>
  <c r="J13926" i="34" a="1"/>
  <c r="J13927" i="34" a="1"/>
  <c r="J13928" i="34" a="1"/>
  <c r="J13929" i="34" a="1"/>
  <c r="J13930" i="34" a="1"/>
  <c r="J13931" i="34" a="1"/>
  <c r="J13932" i="34" a="1"/>
  <c r="J13933" i="34" a="1"/>
  <c r="J13934" i="34" a="1"/>
  <c r="J13935" i="34" a="1"/>
  <c r="J13936" i="34" a="1"/>
  <c r="J13937" i="34" a="1"/>
  <c r="J13938" i="34" a="1"/>
  <c r="J13939" i="34" a="1"/>
  <c r="J13940" i="34" a="1"/>
  <c r="J13941" i="34" a="1"/>
  <c r="J13942" i="34" a="1"/>
  <c r="J13943" i="34" a="1"/>
  <c r="J13944" i="34" a="1"/>
  <c r="J13945" i="34" a="1"/>
  <c r="J13946" i="34" a="1"/>
  <c r="J13947" i="34" a="1"/>
  <c r="J13948" i="34" a="1"/>
  <c r="J13949" i="34" a="1"/>
  <c r="J13950" i="34" a="1"/>
  <c r="J13951" i="34" a="1"/>
  <c r="J13952" i="34" a="1"/>
  <c r="J13953" i="34" a="1"/>
  <c r="J13954" i="34" a="1"/>
  <c r="J13955" i="34" a="1"/>
  <c r="J13956" i="34" a="1"/>
  <c r="J13957" i="34" a="1"/>
  <c r="J13958" i="34" a="1"/>
  <c r="J13959" i="34" a="1"/>
  <c r="J13960" i="34" a="1"/>
  <c r="J13961" i="34" a="1"/>
  <c r="J13962" i="34" a="1"/>
  <c r="J13963" i="34" a="1"/>
  <c r="J13964" i="34" a="1"/>
  <c r="J13965" i="34" a="1"/>
  <c r="J13966" i="34" a="1"/>
  <c r="J13967" i="34" a="1"/>
  <c r="J13968" i="34" a="1"/>
  <c r="J13969" i="34" a="1"/>
  <c r="J13970" i="34" a="1"/>
  <c r="J13971" i="34" a="1"/>
  <c r="J13972" i="34" a="1"/>
  <c r="J13973" i="34" a="1"/>
  <c r="J13974" i="34" a="1"/>
  <c r="J13975" i="34" a="1"/>
  <c r="J13976" i="34" a="1"/>
  <c r="J13977" i="34" a="1"/>
  <c r="J13978" i="34" a="1"/>
  <c r="J13979" i="34" a="1"/>
  <c r="J13980" i="34" a="1"/>
  <c r="J13981" i="34" a="1"/>
  <c r="J13982" i="34" a="1"/>
  <c r="J13983" i="34" a="1"/>
  <c r="J13984" i="34" a="1"/>
  <c r="J13985" i="34" a="1"/>
  <c r="J13986" i="34" a="1"/>
  <c r="J13987" i="34" a="1"/>
  <c r="J13988" i="34" a="1"/>
  <c r="J13989" i="34" a="1"/>
  <c r="J13990" i="34" a="1"/>
  <c r="J13991" i="34" a="1"/>
  <c r="J13992" i="34" a="1"/>
  <c r="J13993" i="34" a="1"/>
  <c r="J13994" i="34" a="1"/>
  <c r="J13995" i="34" a="1"/>
  <c r="J13996" i="34" a="1"/>
  <c r="J13997" i="34" a="1"/>
  <c r="J13998" i="34" a="1"/>
  <c r="J13999" i="34" a="1"/>
  <c r="J14000" i="34" a="1"/>
  <c r="J14001" i="34" a="1"/>
  <c r="J14002" i="34" a="1"/>
  <c r="J14003" i="34" a="1"/>
  <c r="J14004" i="34" a="1"/>
  <c r="J14005" i="34" a="1"/>
  <c r="J14006" i="34" a="1"/>
  <c r="J14007" i="34" a="1"/>
  <c r="J14008" i="34" a="1"/>
  <c r="J14009" i="34" a="1"/>
  <c r="J14010" i="34" a="1"/>
  <c r="J14011" i="34" a="1"/>
  <c r="J14012" i="34" a="1"/>
  <c r="J14013" i="34" a="1"/>
  <c r="J14014" i="34" a="1"/>
  <c r="J14015" i="34" a="1"/>
  <c r="J14016" i="34" a="1"/>
  <c r="J14017" i="34" a="1"/>
  <c r="J14018" i="34" a="1"/>
  <c r="J14019" i="34" a="1"/>
  <c r="J14020" i="34" a="1"/>
  <c r="J14021" i="34" a="1"/>
  <c r="J14022" i="34" a="1"/>
  <c r="J14023" i="34" a="1"/>
  <c r="J14024" i="34" a="1"/>
  <c r="J14025" i="34" a="1"/>
  <c r="J14026" i="34" a="1"/>
  <c r="J14027" i="34" a="1"/>
  <c r="J14028" i="34" a="1"/>
  <c r="J14029" i="34" a="1"/>
  <c r="J14030" i="34" a="1"/>
  <c r="J14031" i="34" a="1"/>
  <c r="J14032" i="34" a="1"/>
  <c r="J14033" i="34" a="1"/>
  <c r="J14034" i="34" a="1"/>
  <c r="J14035" i="34" a="1"/>
  <c r="J14036" i="34" a="1"/>
  <c r="J14037" i="34" a="1"/>
  <c r="J14038" i="34" a="1"/>
  <c r="J14039" i="34" a="1"/>
  <c r="J14040" i="34" a="1"/>
  <c r="J14041" i="34" a="1"/>
  <c r="J14042" i="34" a="1"/>
  <c r="J14043" i="34" a="1"/>
  <c r="J14044" i="34" a="1"/>
  <c r="J14045" i="34" a="1"/>
  <c r="J14046" i="34" a="1"/>
  <c r="J14047" i="34" a="1"/>
  <c r="J14048" i="34" a="1"/>
  <c r="J14049" i="34" a="1"/>
  <c r="J14050" i="34" a="1"/>
  <c r="J14051" i="34" a="1"/>
  <c r="J14052" i="34" a="1"/>
  <c r="J14053" i="34" a="1"/>
  <c r="J14054" i="34" a="1"/>
  <c r="J14055" i="34" a="1"/>
  <c r="J14056" i="34" a="1"/>
  <c r="J14057" i="34" a="1"/>
  <c r="J14058" i="34" a="1"/>
  <c r="J14059" i="34" a="1"/>
  <c r="J14060" i="34" a="1"/>
  <c r="J14061" i="34" a="1"/>
  <c r="J14062" i="34" a="1"/>
  <c r="J14063" i="34" a="1"/>
  <c r="J14064" i="34" a="1"/>
  <c r="J14065" i="34" a="1"/>
  <c r="J14066" i="34" a="1"/>
  <c r="J14067" i="34" a="1"/>
  <c r="J14068" i="34" a="1"/>
  <c r="J14069" i="34" a="1"/>
  <c r="J14070" i="34" a="1"/>
  <c r="J14071" i="34" a="1"/>
  <c r="J14072" i="34" a="1"/>
  <c r="J14073" i="34" a="1"/>
  <c r="J14074" i="34" a="1"/>
  <c r="J14075" i="34" a="1"/>
  <c r="J14076" i="34" a="1"/>
  <c r="J14077" i="34" a="1"/>
  <c r="J14078" i="34" a="1"/>
  <c r="J14079" i="34" a="1"/>
  <c r="J14080" i="34" a="1"/>
  <c r="J14081" i="34" a="1"/>
  <c r="J14082" i="34" a="1"/>
  <c r="J14083" i="34" a="1"/>
  <c r="J14084" i="34" a="1"/>
  <c r="J14085" i="34" a="1"/>
  <c r="J14086" i="34" a="1"/>
  <c r="J14087" i="34" a="1"/>
  <c r="J14088" i="34" a="1"/>
  <c r="J14089" i="34" a="1"/>
  <c r="J14090" i="34" a="1"/>
  <c r="J14091" i="34" a="1"/>
  <c r="J14092" i="34" a="1"/>
  <c r="J14093" i="34" a="1"/>
  <c r="J14094" i="34" a="1"/>
  <c r="J14095" i="34" a="1"/>
  <c r="J14096" i="34" a="1"/>
  <c r="J14097" i="34" a="1"/>
  <c r="J14098" i="34" a="1"/>
  <c r="J14099" i="34" a="1"/>
  <c r="J14100" i="34" a="1"/>
  <c r="J14101" i="34" a="1"/>
  <c r="J14102" i="34" a="1"/>
  <c r="J14103" i="34" a="1"/>
  <c r="J14104" i="34" a="1"/>
  <c r="J14105" i="34" a="1"/>
  <c r="J14106" i="34" a="1"/>
  <c r="J14107" i="34" a="1"/>
  <c r="J14108" i="34" a="1"/>
  <c r="J14109" i="34" a="1"/>
  <c r="J14110" i="34" a="1"/>
  <c r="J14111" i="34" a="1"/>
  <c r="J14112" i="34" a="1"/>
  <c r="J14113" i="34" a="1"/>
  <c r="J14114" i="34" a="1"/>
  <c r="J14115" i="34" a="1"/>
  <c r="J14116" i="34" a="1"/>
  <c r="J14117" i="34" a="1"/>
  <c r="J14118" i="34" a="1"/>
  <c r="J14119" i="34" a="1"/>
  <c r="J14120" i="34" a="1"/>
  <c r="J14121" i="34" a="1"/>
  <c r="J14122" i="34" a="1"/>
  <c r="J14123" i="34" a="1"/>
  <c r="J14124" i="34" a="1"/>
  <c r="J14125" i="34" a="1"/>
  <c r="J14126" i="34" a="1"/>
  <c r="J14127" i="34" a="1"/>
  <c r="J14128" i="34" a="1"/>
  <c r="J14129" i="34" a="1"/>
  <c r="J14130" i="34" a="1"/>
  <c r="J14131" i="34" a="1"/>
  <c r="J14132" i="34" a="1"/>
  <c r="J14133" i="34" a="1"/>
  <c r="J14134" i="34" a="1"/>
  <c r="J14135" i="34" a="1"/>
  <c r="J14136" i="34" a="1"/>
  <c r="J14137" i="34" a="1"/>
  <c r="J14138" i="34" a="1"/>
  <c r="J14139" i="34" a="1"/>
  <c r="J14140" i="34" a="1"/>
  <c r="J14141" i="34" a="1"/>
  <c r="J14142" i="34" a="1"/>
  <c r="J14143" i="34" a="1"/>
  <c r="J14144" i="34" a="1"/>
  <c r="J14145" i="34" a="1"/>
  <c r="J14146" i="34" a="1"/>
  <c r="J14147" i="34" a="1"/>
  <c r="J14148" i="34" a="1"/>
  <c r="J14149" i="34" a="1"/>
  <c r="J14150" i="34" a="1"/>
  <c r="J14151" i="34" a="1"/>
  <c r="J14152" i="34" a="1"/>
  <c r="J14153" i="34" a="1"/>
  <c r="J14154" i="34" a="1"/>
  <c r="J14155" i="34" a="1"/>
  <c r="J14156" i="34" a="1"/>
  <c r="J14157" i="34" a="1"/>
  <c r="J14158" i="34" a="1"/>
  <c r="J14159" i="34" a="1"/>
  <c r="J14160" i="34" a="1"/>
  <c r="J14161" i="34" a="1"/>
  <c r="J14162" i="34" a="1"/>
  <c r="J14163" i="34" a="1"/>
  <c r="J14164" i="34" a="1"/>
  <c r="J14165" i="34" a="1"/>
  <c r="J14166" i="34" a="1"/>
  <c r="J14167" i="34" a="1"/>
  <c r="J14168" i="34" a="1"/>
  <c r="J14169" i="34" a="1"/>
  <c r="J14170" i="34" a="1"/>
  <c r="J14171" i="34" a="1"/>
  <c r="J14172" i="34" a="1"/>
  <c r="J14173" i="34" a="1"/>
  <c r="J14174" i="34" a="1"/>
  <c r="J14175" i="34" a="1"/>
  <c r="J14176" i="34" a="1"/>
  <c r="J14177" i="34" a="1"/>
  <c r="J14178" i="34" a="1"/>
  <c r="J14179" i="34" a="1"/>
  <c r="J14180" i="34" a="1"/>
  <c r="J14181" i="34" a="1"/>
  <c r="J14182" i="34" a="1"/>
  <c r="J14183" i="34" a="1"/>
  <c r="J14184" i="34" a="1"/>
  <c r="J14185" i="34" a="1"/>
  <c r="J14186" i="34" a="1"/>
  <c r="J14187" i="34" a="1"/>
  <c r="J14188" i="34" a="1"/>
  <c r="J14189" i="34" a="1"/>
  <c r="J14190" i="34" a="1"/>
  <c r="J14191" i="34" a="1"/>
  <c r="J14192" i="34" a="1"/>
  <c r="J14193" i="34" a="1"/>
  <c r="J14194" i="34" a="1"/>
  <c r="J14195" i="34" a="1"/>
  <c r="J14196" i="34" a="1"/>
  <c r="J14197" i="34" a="1"/>
  <c r="J14198" i="34" a="1"/>
  <c r="J14199" i="34" a="1"/>
  <c r="J14200" i="34" a="1"/>
  <c r="J14201" i="34" a="1"/>
  <c r="J14202" i="34" a="1"/>
  <c r="J14203" i="34" a="1"/>
  <c r="J14204" i="34" a="1"/>
  <c r="J14205" i="34" a="1"/>
  <c r="J14206" i="34" a="1"/>
  <c r="J14207" i="34" a="1"/>
  <c r="J14208" i="34" a="1"/>
  <c r="J14209" i="34" a="1"/>
  <c r="J14210" i="34" a="1"/>
  <c r="J14211" i="34" a="1"/>
  <c r="J14212" i="34" a="1"/>
  <c r="J14213" i="34" a="1"/>
  <c r="J14214" i="34" a="1"/>
  <c r="J14215" i="34" a="1"/>
  <c r="J14216" i="34" a="1"/>
  <c r="J14217" i="34" a="1"/>
  <c r="J14218" i="34" a="1"/>
  <c r="J14219" i="34" a="1"/>
  <c r="J14220" i="34" a="1"/>
  <c r="J14221" i="34" a="1"/>
  <c r="J14222" i="34" a="1"/>
  <c r="J14223" i="34" a="1"/>
  <c r="J14224" i="34" a="1"/>
  <c r="J14225" i="34" a="1"/>
  <c r="J14226" i="34" a="1"/>
  <c r="J14227" i="34" a="1"/>
  <c r="J14228" i="34" a="1"/>
  <c r="J14229" i="34" a="1"/>
  <c r="J14230" i="34" a="1"/>
  <c r="J14231" i="34" a="1"/>
  <c r="J14232" i="34" a="1"/>
  <c r="J14233" i="34" a="1"/>
  <c r="J14234" i="34" a="1"/>
  <c r="J14235" i="34" a="1"/>
  <c r="J14236" i="34" a="1"/>
  <c r="J14237" i="34" a="1"/>
  <c r="J14238" i="34" a="1"/>
  <c r="J14239" i="34" a="1"/>
  <c r="J14240" i="34" a="1"/>
  <c r="J14241" i="34" a="1"/>
  <c r="J14242" i="34" a="1"/>
  <c r="J14243" i="34" a="1"/>
  <c r="J14244" i="34" a="1"/>
  <c r="J14245" i="34" a="1"/>
  <c r="J14246" i="34" a="1"/>
  <c r="J14247" i="34" a="1"/>
  <c r="J14248" i="34" a="1"/>
  <c r="J14249" i="34" a="1"/>
  <c r="J14250" i="34" a="1"/>
  <c r="J14251" i="34" a="1"/>
  <c r="J14252" i="34" a="1"/>
  <c r="J14253" i="34" a="1"/>
  <c r="J14254" i="34" a="1"/>
  <c r="J14255" i="34" a="1"/>
  <c r="J14256" i="34" a="1"/>
  <c r="J14257" i="34" a="1"/>
  <c r="J14258" i="34" a="1"/>
  <c r="J14259" i="34" a="1"/>
  <c r="J14260" i="34" a="1"/>
  <c r="J14261" i="34" a="1"/>
  <c r="J14262" i="34" a="1"/>
  <c r="J14263" i="34" a="1"/>
  <c r="J14264" i="34" a="1"/>
  <c r="J14265" i="34" a="1"/>
  <c r="J14266" i="34" a="1"/>
  <c r="J14267" i="34" a="1"/>
  <c r="J14268" i="34" a="1"/>
  <c r="J14269" i="34" a="1"/>
  <c r="J14270" i="34" a="1"/>
  <c r="J14271" i="34" a="1"/>
  <c r="J14272" i="34" a="1"/>
  <c r="J14273" i="34" a="1"/>
  <c r="J14274" i="34" a="1"/>
  <c r="J14275" i="34" a="1"/>
  <c r="J14276" i="34" a="1"/>
  <c r="J14277" i="34" a="1"/>
  <c r="J14278" i="34" a="1"/>
  <c r="J14279" i="34" a="1"/>
  <c r="J14280" i="34" a="1"/>
  <c r="J14281" i="34" a="1"/>
  <c r="J14282" i="34" a="1"/>
  <c r="J14283" i="34" a="1"/>
  <c r="J14284" i="34" a="1"/>
  <c r="J14285" i="34" a="1"/>
  <c r="J14286" i="34" a="1"/>
  <c r="J14287" i="34" a="1"/>
  <c r="J14288" i="34" a="1"/>
  <c r="J14289" i="34" a="1"/>
  <c r="J14290" i="34" a="1"/>
  <c r="J14291" i="34" a="1"/>
  <c r="J14292" i="34" a="1"/>
  <c r="J14293" i="34" a="1"/>
  <c r="J14294" i="34" a="1"/>
  <c r="J14295" i="34" a="1"/>
  <c r="J14296" i="34" a="1"/>
  <c r="J14297" i="34" a="1"/>
  <c r="J14298" i="34" a="1"/>
  <c r="J14299" i="34" a="1"/>
  <c r="J14300" i="34" a="1"/>
  <c r="J14301" i="34" a="1"/>
  <c r="J14302" i="34" a="1"/>
  <c r="J14303" i="34" a="1"/>
  <c r="J14304" i="34" a="1"/>
  <c r="J14305" i="34" a="1"/>
  <c r="J14306" i="34" a="1"/>
  <c r="J14307" i="34" a="1"/>
  <c r="J14308" i="34" a="1"/>
  <c r="J14309" i="34" a="1"/>
  <c r="J14310" i="34" a="1"/>
  <c r="J14311" i="34" a="1"/>
  <c r="J14312" i="34" a="1"/>
  <c r="J14313" i="34" a="1"/>
  <c r="J14314" i="34" a="1"/>
  <c r="J14315" i="34" a="1"/>
  <c r="J14316" i="34" a="1"/>
  <c r="J14317" i="34" a="1"/>
  <c r="J14318" i="34" a="1"/>
  <c r="J14319" i="34" a="1"/>
  <c r="J14320" i="34" a="1"/>
  <c r="J14321" i="34" a="1"/>
  <c r="J14322" i="34" a="1"/>
  <c r="J14323" i="34" a="1"/>
  <c r="J14324" i="34" a="1"/>
  <c r="J14325" i="34" a="1"/>
  <c r="J14326" i="34" a="1"/>
  <c r="J14327" i="34" a="1"/>
  <c r="J14328" i="34" a="1"/>
  <c r="J14329" i="34" a="1"/>
  <c r="J14330" i="34" a="1"/>
  <c r="J14331" i="34" a="1"/>
  <c r="J14332" i="34" a="1"/>
  <c r="J14333" i="34" a="1"/>
  <c r="J14334" i="34" a="1"/>
  <c r="J14335" i="34" a="1"/>
  <c r="J14336" i="34" a="1"/>
  <c r="J14337" i="34" a="1"/>
  <c r="J14338" i="34" a="1"/>
  <c r="J14339" i="34" a="1"/>
  <c r="J14340" i="34" a="1"/>
  <c r="J14341" i="34" a="1"/>
  <c r="J14342" i="34" a="1"/>
  <c r="J14343" i="34" a="1"/>
  <c r="J14344" i="34" a="1"/>
  <c r="J14345" i="34" a="1"/>
  <c r="J14346" i="34" a="1"/>
  <c r="J14347" i="34" a="1"/>
  <c r="J14348" i="34" a="1"/>
  <c r="J14349" i="34" a="1"/>
  <c r="J14350" i="34" a="1"/>
  <c r="J14351" i="34" a="1"/>
  <c r="J14352" i="34" a="1"/>
  <c r="J14353" i="34" a="1"/>
  <c r="J14354" i="34" a="1"/>
  <c r="J14355" i="34" a="1"/>
  <c r="J14356" i="34" a="1"/>
  <c r="J14357" i="34" a="1"/>
  <c r="J14358" i="34" a="1"/>
  <c r="J14359" i="34" a="1"/>
  <c r="J14360" i="34" a="1"/>
  <c r="J14361" i="34" a="1"/>
  <c r="J14362" i="34" a="1"/>
  <c r="J14363" i="34" a="1"/>
  <c r="J14364" i="34" a="1"/>
  <c r="J14365" i="34" a="1"/>
  <c r="J14366" i="34" a="1"/>
  <c r="J14367" i="34" a="1"/>
  <c r="J14368" i="34" a="1"/>
  <c r="J14369" i="34" a="1"/>
  <c r="J14370" i="34" a="1"/>
  <c r="J14371" i="34" a="1"/>
  <c r="J14372" i="34" a="1"/>
  <c r="J14373" i="34" a="1"/>
  <c r="J14374" i="34" a="1"/>
  <c r="J14375" i="34" a="1"/>
  <c r="J14376" i="34" a="1"/>
  <c r="J14377" i="34" a="1"/>
  <c r="J14378" i="34" a="1"/>
  <c r="J14379" i="34" a="1"/>
  <c r="J14380" i="34" a="1"/>
  <c r="J14381" i="34" a="1"/>
  <c r="J14382" i="34" a="1"/>
  <c r="J14383" i="34" a="1"/>
  <c r="J14384" i="34" a="1"/>
  <c r="J14385" i="34" a="1"/>
  <c r="J14386" i="34" a="1"/>
  <c r="J14387" i="34" a="1"/>
  <c r="J14388" i="34" a="1"/>
  <c r="J14389" i="34" a="1"/>
  <c r="J14390" i="34" a="1"/>
  <c r="J14391" i="34" a="1"/>
  <c r="J14392" i="34" a="1"/>
  <c r="J14393" i="34" a="1"/>
  <c r="J14394" i="34" a="1"/>
  <c r="J14395" i="34" a="1"/>
  <c r="J14396" i="34" a="1"/>
  <c r="J14397" i="34" a="1"/>
  <c r="J14398" i="34" a="1"/>
  <c r="J14399" i="34" a="1"/>
  <c r="J14400" i="34" a="1"/>
  <c r="J14401" i="34" a="1"/>
  <c r="J14402" i="34" a="1"/>
  <c r="J14403" i="34" a="1"/>
  <c r="J14404" i="34" a="1"/>
  <c r="J14405" i="34" a="1"/>
  <c r="J14406" i="34" a="1"/>
  <c r="J14407" i="34" a="1"/>
  <c r="J14408" i="34" a="1"/>
  <c r="J14409" i="34" a="1"/>
  <c r="J14410" i="34" a="1"/>
  <c r="J14411" i="34" a="1"/>
  <c r="J14412" i="34" a="1"/>
  <c r="J14413" i="34" a="1"/>
  <c r="J14414" i="34" a="1"/>
  <c r="J14415" i="34" a="1"/>
  <c r="J14416" i="34" a="1"/>
  <c r="J14417" i="34" a="1"/>
  <c r="J14418" i="34" a="1"/>
  <c r="J14419" i="34" a="1"/>
  <c r="J14420" i="34" a="1"/>
  <c r="J14421" i="34" a="1"/>
  <c r="J14422" i="34" a="1"/>
  <c r="J14423" i="34" a="1"/>
  <c r="J14424" i="34" a="1"/>
  <c r="J14425" i="34" a="1"/>
  <c r="J14426" i="34" a="1"/>
  <c r="J14427" i="34" a="1"/>
  <c r="J14428" i="34" a="1"/>
  <c r="J14429" i="34" a="1"/>
  <c r="J14430" i="34" a="1"/>
  <c r="J14431" i="34" a="1"/>
  <c r="J14432" i="34" a="1"/>
  <c r="J14433" i="34" a="1"/>
  <c r="J14434" i="34" a="1"/>
  <c r="J14435" i="34" a="1"/>
  <c r="J14436" i="34" a="1"/>
  <c r="J14437" i="34" a="1"/>
  <c r="J14438" i="34" a="1"/>
  <c r="J14439" i="34" a="1"/>
  <c r="J14440" i="34" a="1"/>
  <c r="J14441" i="34" a="1"/>
  <c r="J14442" i="34" a="1"/>
  <c r="J14443" i="34" a="1"/>
  <c r="J14444" i="34" a="1"/>
  <c r="J14445" i="34" a="1"/>
  <c r="J14446" i="34" a="1"/>
  <c r="J14447" i="34" a="1"/>
  <c r="J14448" i="34" a="1"/>
  <c r="J14449" i="34" a="1"/>
  <c r="J14450" i="34" a="1"/>
  <c r="J14451" i="34" a="1"/>
  <c r="J14452" i="34" a="1"/>
  <c r="J14453" i="34" a="1"/>
  <c r="J14454" i="34" a="1"/>
  <c r="J14455" i="34" a="1"/>
  <c r="J14456" i="34" a="1"/>
  <c r="J14457" i="34" a="1"/>
  <c r="J14458" i="34" a="1"/>
  <c r="J14459" i="34" a="1"/>
  <c r="J14460" i="34" a="1"/>
  <c r="J14461" i="34" a="1"/>
  <c r="J14462" i="34" a="1"/>
  <c r="J14463" i="34" a="1"/>
  <c r="J14464" i="34" a="1"/>
  <c r="J14465" i="34" a="1"/>
  <c r="J14466" i="34" a="1"/>
  <c r="J14467" i="34" a="1"/>
  <c r="J14468" i="34" a="1"/>
  <c r="J14469" i="34" a="1"/>
  <c r="J14470" i="34" a="1"/>
  <c r="J14471" i="34" a="1"/>
  <c r="J14472" i="34" a="1"/>
  <c r="J14473" i="34" a="1"/>
  <c r="J14474" i="34" a="1"/>
  <c r="J14475" i="34" a="1"/>
  <c r="J14476" i="34" a="1"/>
  <c r="J14477" i="34" a="1"/>
  <c r="J14478" i="34" a="1"/>
  <c r="J14479" i="34" a="1"/>
  <c r="J14480" i="34" a="1"/>
  <c r="J14481" i="34" a="1"/>
  <c r="J14482" i="34" a="1"/>
  <c r="J14483" i="34" a="1"/>
  <c r="J14484" i="34" a="1"/>
  <c r="J14485" i="34" a="1"/>
  <c r="J14486" i="34" a="1"/>
  <c r="J14487" i="34" a="1"/>
  <c r="J14488" i="34" a="1"/>
  <c r="J14489" i="34" a="1"/>
  <c r="J14490" i="34" a="1"/>
  <c r="J14491" i="34" a="1"/>
  <c r="J14492" i="34" a="1"/>
  <c r="J14493" i="34" a="1"/>
  <c r="J14494" i="34" a="1"/>
  <c r="J14495" i="34" a="1"/>
  <c r="J14496" i="34" a="1"/>
  <c r="J14497" i="34" a="1"/>
  <c r="J14498" i="34" a="1"/>
  <c r="J14499" i="34" a="1"/>
  <c r="J14500" i="34" a="1"/>
  <c r="J14501" i="34" a="1"/>
  <c r="J14502" i="34" a="1"/>
  <c r="J14503" i="34" a="1"/>
  <c r="J14504" i="34" a="1"/>
  <c r="J14505" i="34" a="1"/>
  <c r="J14506" i="34" a="1"/>
  <c r="J14507" i="34" a="1"/>
  <c r="J14508" i="34" a="1"/>
  <c r="J14509" i="34" a="1"/>
  <c r="J14510" i="34" a="1"/>
  <c r="J14511" i="34" a="1"/>
  <c r="J14512" i="34" a="1"/>
  <c r="J14513" i="34" a="1"/>
  <c r="J14514" i="34" a="1"/>
  <c r="J14515" i="34" a="1"/>
  <c r="J14516" i="34" a="1"/>
  <c r="J14517" i="34" a="1"/>
  <c r="J14518" i="34" a="1"/>
  <c r="J14519" i="34" a="1"/>
  <c r="J14520" i="34" a="1"/>
  <c r="J14521" i="34" a="1"/>
  <c r="J14522" i="34" a="1"/>
  <c r="J14523" i="34" a="1"/>
  <c r="J14524" i="34" a="1"/>
  <c r="J14525" i="34" a="1"/>
  <c r="J14526" i="34" a="1"/>
  <c r="J14527" i="34" a="1"/>
  <c r="J14528" i="34" a="1"/>
  <c r="J14529" i="34" a="1"/>
  <c r="J14530" i="34" a="1"/>
  <c r="J14531" i="34" a="1"/>
  <c r="J14532" i="34" a="1"/>
  <c r="J14533" i="34" a="1"/>
  <c r="J14534" i="34" a="1"/>
  <c r="J14535" i="34" a="1"/>
  <c r="J14536" i="34" a="1"/>
  <c r="J14537" i="34" a="1"/>
  <c r="J14538" i="34" a="1"/>
  <c r="J14539" i="34" a="1"/>
  <c r="J14540" i="34" a="1"/>
  <c r="J14541" i="34" a="1"/>
  <c r="J14542" i="34" a="1"/>
  <c r="J14543" i="34" a="1"/>
  <c r="J14544" i="34" a="1"/>
  <c r="J14545" i="34" a="1"/>
  <c r="J14546" i="34" a="1"/>
  <c r="J14547" i="34" a="1"/>
  <c r="J14548" i="34" a="1"/>
  <c r="J14549" i="34" a="1"/>
  <c r="J14550" i="34" a="1"/>
  <c r="J14551" i="34" a="1"/>
  <c r="J14552" i="34" a="1"/>
  <c r="J14553" i="34" a="1"/>
  <c r="J14554" i="34" a="1"/>
  <c r="J14555" i="34" a="1"/>
  <c r="J14556" i="34" a="1"/>
  <c r="J14557" i="34" a="1"/>
  <c r="J14558" i="34" a="1"/>
  <c r="J14559" i="34" a="1"/>
  <c r="J14560" i="34" a="1"/>
  <c r="J14561" i="34" a="1"/>
  <c r="J14562" i="34" a="1"/>
  <c r="J14563" i="34" a="1"/>
  <c r="J14564" i="34" a="1"/>
  <c r="J14565" i="34" a="1"/>
  <c r="J14566" i="34" a="1"/>
  <c r="J14567" i="34" a="1"/>
  <c r="J14568" i="34" a="1"/>
  <c r="J14569" i="34" a="1"/>
  <c r="J14570" i="34" a="1"/>
  <c r="J14571" i="34" a="1"/>
  <c r="J14572" i="34" a="1"/>
  <c r="J14573" i="34" a="1"/>
  <c r="J14574" i="34" a="1"/>
  <c r="J14575" i="34" a="1"/>
  <c r="J14576" i="34" a="1"/>
  <c r="J14577" i="34" a="1"/>
  <c r="J14578" i="34" a="1"/>
  <c r="J14579" i="34" a="1"/>
  <c r="J14580" i="34" a="1"/>
  <c r="J14581" i="34" a="1"/>
  <c r="J14582" i="34" a="1"/>
  <c r="J14583" i="34" a="1"/>
  <c r="J14584" i="34" a="1"/>
  <c r="J14585" i="34" a="1"/>
  <c r="J14586" i="34" a="1"/>
  <c r="J14587" i="34" a="1"/>
  <c r="J14588" i="34" a="1"/>
  <c r="J14589" i="34" a="1"/>
  <c r="J14590" i="34" a="1"/>
  <c r="J14591" i="34" a="1"/>
  <c r="J14592" i="34" a="1"/>
  <c r="J14593" i="34" a="1"/>
  <c r="J14594" i="34" a="1"/>
  <c r="J14595" i="34" a="1"/>
  <c r="J14596" i="34" a="1"/>
  <c r="J14597" i="34" a="1"/>
  <c r="J14598" i="34" a="1"/>
  <c r="J14599" i="34" a="1"/>
  <c r="J14600" i="34" a="1"/>
  <c r="J14601" i="34" a="1"/>
  <c r="J14602" i="34" a="1"/>
  <c r="J14603" i="34" a="1"/>
  <c r="J14604" i="34" a="1"/>
  <c r="J14605" i="34" a="1"/>
  <c r="J14606" i="34" a="1"/>
  <c r="J14607" i="34" a="1"/>
  <c r="J14608" i="34" a="1"/>
  <c r="J14609" i="34" a="1"/>
  <c r="J14610" i="34" a="1"/>
  <c r="J14611" i="34" a="1"/>
  <c r="J14612" i="34" a="1"/>
  <c r="J14613" i="34" a="1"/>
  <c r="J14614" i="34" a="1"/>
  <c r="J14615" i="34" a="1"/>
  <c r="J14616" i="34" a="1"/>
  <c r="J14617" i="34" a="1"/>
  <c r="J14618" i="34" a="1"/>
  <c r="J14619" i="34" a="1"/>
  <c r="J14620" i="34" a="1"/>
  <c r="J14621" i="34" a="1"/>
  <c r="J14622" i="34" a="1"/>
  <c r="J14623" i="34" a="1"/>
  <c r="J14624" i="34" a="1"/>
  <c r="J14625" i="34" a="1"/>
  <c r="J14626" i="34" a="1"/>
  <c r="J14627" i="34" a="1"/>
  <c r="J14628" i="34" a="1"/>
  <c r="J14629" i="34" a="1"/>
  <c r="J14630" i="34" a="1"/>
  <c r="J14631" i="34" a="1"/>
  <c r="J14632" i="34" a="1"/>
  <c r="J14633" i="34" a="1"/>
  <c r="J14634" i="34" a="1"/>
  <c r="J14635" i="34" a="1"/>
  <c r="J14636" i="34" a="1"/>
  <c r="J14637" i="34" a="1"/>
  <c r="J14638" i="34" a="1"/>
  <c r="J14639" i="34" a="1"/>
  <c r="J14640" i="34" a="1"/>
  <c r="J14641" i="34" a="1"/>
  <c r="J14642" i="34" a="1"/>
  <c r="J14643" i="34" a="1"/>
  <c r="J14644" i="34" a="1"/>
  <c r="J14645" i="34" a="1"/>
  <c r="J14646" i="34" a="1"/>
  <c r="J14647" i="34" a="1"/>
  <c r="J14648" i="34" a="1"/>
  <c r="J14649" i="34" a="1"/>
  <c r="J14650" i="34" a="1"/>
  <c r="J14651" i="34" a="1"/>
  <c r="J14652" i="34" a="1"/>
  <c r="J14653" i="34" a="1"/>
  <c r="J14654" i="34" a="1"/>
  <c r="J14655" i="34" a="1"/>
  <c r="J14656" i="34" a="1"/>
  <c r="J14657" i="34" a="1"/>
  <c r="J14658" i="34" a="1"/>
  <c r="J14659" i="34" a="1"/>
  <c r="J14660" i="34" a="1"/>
  <c r="J14661" i="34" a="1"/>
  <c r="J14662" i="34" a="1"/>
  <c r="J14663" i="34" a="1"/>
  <c r="J14664" i="34" a="1"/>
  <c r="J14665" i="34" a="1"/>
  <c r="J14666" i="34" a="1"/>
  <c r="J14667" i="34" a="1"/>
  <c r="J14668" i="34" a="1"/>
  <c r="J14669" i="34" a="1"/>
  <c r="J14670" i="34" a="1"/>
  <c r="J14671" i="34" a="1"/>
  <c r="J14672" i="34" a="1"/>
  <c r="J14673" i="34" a="1"/>
  <c r="J14674" i="34" a="1"/>
  <c r="J14675" i="34" a="1"/>
  <c r="J14676" i="34" a="1"/>
  <c r="J14677" i="34" a="1"/>
  <c r="J14678" i="34" a="1"/>
  <c r="J14679" i="34" a="1"/>
  <c r="J14680" i="34" a="1"/>
  <c r="J14681" i="34" a="1"/>
  <c r="J14682" i="34" a="1"/>
  <c r="J14683" i="34" a="1"/>
  <c r="J14684" i="34" a="1"/>
  <c r="J14685" i="34" a="1"/>
  <c r="J14686" i="34" a="1"/>
  <c r="J14687" i="34" a="1"/>
  <c r="J14688" i="34" a="1"/>
  <c r="J14689" i="34" a="1"/>
  <c r="J14690" i="34" a="1"/>
  <c r="J14691" i="34" a="1"/>
  <c r="J14692" i="34" a="1"/>
  <c r="J14693" i="34" a="1"/>
  <c r="J14694" i="34" a="1"/>
  <c r="J14695" i="34" a="1"/>
  <c r="J14696" i="34" a="1"/>
  <c r="J14697" i="34" a="1"/>
  <c r="J14698" i="34" a="1"/>
  <c r="J14699" i="34" a="1"/>
  <c r="J14700" i="34" a="1"/>
  <c r="J14701" i="34" a="1"/>
  <c r="J14702" i="34" a="1"/>
  <c r="J14703" i="34" a="1"/>
  <c r="J14704" i="34" a="1"/>
  <c r="J14705" i="34" a="1"/>
  <c r="J14706" i="34" a="1"/>
  <c r="J14707" i="34" a="1"/>
  <c r="J14708" i="34" a="1"/>
  <c r="J14709" i="34" a="1"/>
  <c r="J14710" i="34" a="1"/>
  <c r="J14711" i="34" a="1"/>
  <c r="J14712" i="34" a="1"/>
  <c r="J14713" i="34" a="1"/>
  <c r="J14714" i="34" a="1"/>
  <c r="J14715" i="34" a="1"/>
  <c r="J14716" i="34" a="1"/>
  <c r="J14717" i="34" a="1"/>
  <c r="J14718" i="34" a="1"/>
  <c r="J14719" i="34" a="1"/>
  <c r="J14720" i="34" a="1"/>
  <c r="J14721" i="34" a="1"/>
  <c r="J14722" i="34" a="1"/>
  <c r="J14723" i="34" a="1"/>
  <c r="J14724" i="34" a="1"/>
  <c r="J14725" i="34" a="1"/>
  <c r="J14726" i="34" a="1"/>
  <c r="J14727" i="34" a="1"/>
  <c r="J14728" i="34" a="1"/>
  <c r="J14729" i="34" a="1"/>
  <c r="J14730" i="34" a="1"/>
  <c r="J14731" i="34" a="1"/>
  <c r="J14732" i="34" a="1"/>
  <c r="J14733" i="34" a="1"/>
  <c r="J14734" i="34" a="1"/>
  <c r="J14735" i="34" a="1"/>
  <c r="J14736" i="34" a="1"/>
  <c r="J14737" i="34" a="1"/>
  <c r="J14738" i="34" a="1"/>
  <c r="J14739" i="34" a="1"/>
  <c r="J14740" i="34" a="1"/>
  <c r="J14741" i="34" a="1"/>
  <c r="J14742" i="34" a="1"/>
  <c r="J14743" i="34" a="1"/>
  <c r="J14744" i="34" a="1"/>
  <c r="J14745" i="34" a="1"/>
  <c r="J14746" i="34" a="1"/>
  <c r="J14747" i="34" a="1"/>
  <c r="J14748" i="34" a="1"/>
  <c r="J14749" i="34" a="1"/>
  <c r="J14750" i="34" a="1"/>
  <c r="J14751" i="34" a="1"/>
  <c r="J14752" i="34" a="1"/>
  <c r="J14753" i="34" a="1"/>
  <c r="J14754" i="34" a="1"/>
  <c r="J14755" i="34" a="1"/>
  <c r="J14756" i="34" a="1"/>
  <c r="J14757" i="34" a="1"/>
  <c r="J14758" i="34" a="1"/>
  <c r="J14759" i="34" a="1"/>
  <c r="J14760" i="34" a="1"/>
  <c r="J14761" i="34" a="1"/>
  <c r="J14762" i="34" a="1"/>
  <c r="J14763" i="34" a="1"/>
  <c r="J14764" i="34" a="1"/>
  <c r="J14765" i="34" a="1"/>
  <c r="J14766" i="34" a="1"/>
  <c r="J14767" i="34" a="1"/>
  <c r="J14768" i="34" a="1"/>
  <c r="J14769" i="34" a="1"/>
  <c r="J14770" i="34" a="1"/>
  <c r="J14771" i="34" a="1"/>
  <c r="J14772" i="34" a="1"/>
  <c r="J14773" i="34" a="1"/>
  <c r="J14774" i="34" a="1"/>
  <c r="J14775" i="34" a="1"/>
  <c r="J14776" i="34" a="1"/>
  <c r="J14777" i="34" a="1"/>
  <c r="J14778" i="34" a="1"/>
  <c r="J14779" i="34" a="1"/>
  <c r="J14780" i="34" a="1"/>
  <c r="J14781" i="34" a="1"/>
  <c r="J14782" i="34" a="1"/>
  <c r="J14783" i="34" a="1"/>
  <c r="J14784" i="34" a="1"/>
  <c r="J14785" i="34" a="1"/>
  <c r="J14786" i="34" a="1"/>
  <c r="J14787" i="34" a="1"/>
  <c r="J14788" i="34" a="1"/>
  <c r="J14789" i="34" a="1"/>
  <c r="J14790" i="34" a="1"/>
  <c r="J14791" i="34" a="1"/>
  <c r="J14792" i="34" a="1"/>
  <c r="J14793" i="34" a="1"/>
  <c r="J14794" i="34" a="1"/>
  <c r="J14795" i="34" a="1"/>
  <c r="J14796" i="34" a="1"/>
  <c r="J14797" i="34" a="1"/>
  <c r="J14798" i="34" a="1"/>
  <c r="J14799" i="34" a="1"/>
  <c r="J14800" i="34" a="1"/>
  <c r="J14801" i="34" a="1"/>
  <c r="J14802" i="34" a="1"/>
  <c r="J14803" i="34" a="1"/>
  <c r="J14804" i="34" a="1"/>
  <c r="J14805" i="34" a="1"/>
  <c r="J14806" i="34" a="1"/>
  <c r="J14807" i="34" a="1"/>
  <c r="J14808" i="34" a="1"/>
  <c r="J14809" i="34" a="1"/>
  <c r="J14810" i="34" a="1"/>
  <c r="J14811" i="34" a="1"/>
  <c r="J14812" i="34" a="1"/>
  <c r="J14813" i="34" a="1"/>
  <c r="J14814" i="34" a="1"/>
  <c r="J14815" i="34" a="1"/>
  <c r="J14816" i="34" a="1"/>
  <c r="J14817" i="34" a="1"/>
  <c r="J14818" i="34" a="1"/>
  <c r="J14819" i="34" a="1"/>
  <c r="J14820" i="34" a="1"/>
  <c r="J14821" i="34" a="1"/>
  <c r="J14822" i="34" a="1"/>
  <c r="J14823" i="34" a="1"/>
  <c r="J14824" i="34" a="1"/>
  <c r="J14825" i="34" a="1"/>
  <c r="J14826" i="34" a="1"/>
  <c r="J14827" i="34" a="1"/>
  <c r="J14828" i="34" a="1"/>
  <c r="J14829" i="34" a="1"/>
  <c r="J14830" i="34" a="1"/>
  <c r="J14831" i="34" a="1"/>
  <c r="J14832" i="34" a="1"/>
  <c r="J14833" i="34" a="1"/>
  <c r="J14834" i="34" a="1"/>
  <c r="J14835" i="34" a="1"/>
  <c r="J14836" i="34" a="1"/>
  <c r="J14837" i="34" a="1"/>
  <c r="J14838" i="34" a="1"/>
  <c r="J14839" i="34" a="1"/>
  <c r="J14840" i="34" a="1"/>
  <c r="J14841" i="34" a="1"/>
  <c r="J14842" i="34" a="1"/>
  <c r="J14843" i="34" a="1"/>
  <c r="J14844" i="34" a="1"/>
  <c r="J14845" i="34" a="1"/>
  <c r="J14846" i="34" a="1"/>
  <c r="J14847" i="34" a="1"/>
  <c r="J14848" i="34" a="1"/>
  <c r="J14849" i="34" a="1"/>
  <c r="J14850" i="34" a="1"/>
  <c r="J14851" i="34" a="1"/>
  <c r="J14852" i="34" a="1"/>
  <c r="J14853" i="34" a="1"/>
  <c r="J14854" i="34" a="1"/>
  <c r="J14855" i="34" a="1"/>
  <c r="J14856" i="34" a="1"/>
  <c r="J14857" i="34" a="1"/>
  <c r="J14858" i="34" a="1"/>
  <c r="J14859" i="34" a="1"/>
  <c r="J14860" i="34" a="1"/>
  <c r="J14861" i="34" a="1"/>
  <c r="J14862" i="34" a="1"/>
  <c r="J14863" i="34" a="1"/>
  <c r="J14864" i="34" a="1"/>
  <c r="J14865" i="34" a="1"/>
  <c r="J14866" i="34" a="1"/>
  <c r="J14867" i="34" a="1"/>
  <c r="J14868" i="34" a="1"/>
  <c r="J14869" i="34" a="1"/>
  <c r="J14870" i="34" a="1"/>
  <c r="J14871" i="34" a="1"/>
  <c r="J14872" i="34" a="1"/>
  <c r="J14873" i="34" a="1"/>
  <c r="J14874" i="34" a="1"/>
  <c r="J14875" i="34" a="1"/>
  <c r="J14876" i="34" a="1"/>
  <c r="J14877" i="34" a="1"/>
  <c r="J14878" i="34" a="1"/>
  <c r="J14879" i="34" a="1"/>
  <c r="J14880" i="34" a="1"/>
  <c r="J14881" i="34" a="1"/>
  <c r="J14882" i="34" a="1"/>
  <c r="J14883" i="34" a="1"/>
  <c r="J14884" i="34" a="1"/>
  <c r="J14885" i="34" a="1"/>
  <c r="J14886" i="34" a="1"/>
  <c r="J14887" i="34" a="1"/>
  <c r="J14888" i="34" a="1"/>
  <c r="J14889" i="34" a="1"/>
  <c r="J14890" i="34" a="1"/>
  <c r="J14891" i="34" a="1"/>
  <c r="J14892" i="34" a="1"/>
  <c r="J14893" i="34" a="1"/>
  <c r="J14894" i="34" a="1"/>
  <c r="J14895" i="34" a="1"/>
  <c r="J14896" i="34" a="1"/>
  <c r="J14897" i="34" a="1"/>
  <c r="J14898" i="34" a="1"/>
  <c r="J14899" i="34" a="1"/>
  <c r="J14900" i="34" a="1"/>
  <c r="J14901" i="34" a="1"/>
  <c r="J14902" i="34" a="1"/>
  <c r="J14903" i="34" a="1"/>
  <c r="J14904" i="34" a="1"/>
  <c r="J14905" i="34" a="1"/>
  <c r="J14906" i="34" a="1"/>
  <c r="J14907" i="34" a="1"/>
  <c r="J14908" i="34" a="1"/>
  <c r="J14909" i="34" a="1"/>
  <c r="J14910" i="34" a="1"/>
  <c r="J14911" i="34" a="1"/>
  <c r="J14912" i="34" a="1"/>
  <c r="J14913" i="34" a="1"/>
  <c r="J14914" i="34" a="1"/>
  <c r="J14915" i="34" a="1"/>
  <c r="J14916" i="34" a="1"/>
  <c r="J14917" i="34" a="1"/>
  <c r="J14918" i="34" a="1"/>
  <c r="J14919" i="34" a="1"/>
  <c r="J14920" i="34" a="1"/>
  <c r="J14921" i="34" a="1"/>
  <c r="J14922" i="34" a="1"/>
  <c r="J14923" i="34" a="1"/>
  <c r="J14924" i="34" a="1"/>
  <c r="J14925" i="34" a="1"/>
  <c r="J14926" i="34" a="1"/>
  <c r="J14927" i="34" a="1"/>
  <c r="J14928" i="34" a="1"/>
  <c r="J14929" i="34" a="1"/>
  <c r="J14930" i="34" a="1"/>
  <c r="J14931" i="34" a="1"/>
  <c r="J14932" i="34" a="1"/>
  <c r="J14933" i="34" a="1"/>
  <c r="J14934" i="34" a="1"/>
  <c r="J14935" i="34" a="1"/>
  <c r="J14936" i="34" a="1"/>
  <c r="J14937" i="34" a="1"/>
  <c r="J14938" i="34" a="1"/>
  <c r="J14939" i="34" a="1"/>
  <c r="J14940" i="34" a="1"/>
  <c r="J14941" i="34" a="1"/>
  <c r="J14942" i="34" a="1"/>
  <c r="J14943" i="34" a="1"/>
  <c r="J14944" i="34" a="1"/>
  <c r="J14945" i="34" a="1"/>
  <c r="J14946" i="34" a="1"/>
  <c r="J14947" i="34" a="1"/>
  <c r="J14948" i="34" a="1"/>
  <c r="J14949" i="34" a="1"/>
  <c r="J14950" i="34" a="1"/>
  <c r="J14951" i="34" a="1"/>
  <c r="J14952" i="34" a="1"/>
  <c r="J14953" i="34" a="1"/>
  <c r="J14954" i="34" a="1"/>
  <c r="J14955" i="34" a="1"/>
  <c r="J14956" i="34" a="1"/>
  <c r="J14957" i="34" a="1"/>
  <c r="J14958" i="34" a="1"/>
  <c r="J14959" i="34" a="1"/>
  <c r="J14960" i="34" a="1"/>
  <c r="J14961" i="34" a="1"/>
  <c r="J14962" i="34" a="1"/>
  <c r="J14963" i="34" a="1"/>
  <c r="J14964" i="34" a="1"/>
  <c r="J14965" i="34" a="1"/>
  <c r="J14966" i="34" a="1"/>
  <c r="J14967" i="34" a="1"/>
  <c r="J14968" i="34" a="1"/>
  <c r="J14969" i="34" a="1"/>
  <c r="J14970" i="34" a="1"/>
  <c r="J14971" i="34" a="1"/>
  <c r="J14972" i="34" a="1"/>
  <c r="J14973" i="34" a="1"/>
  <c r="J14974" i="34" a="1"/>
  <c r="J14975" i="34" a="1"/>
  <c r="J14976" i="34" a="1"/>
  <c r="J14977" i="34" a="1"/>
  <c r="J14978" i="34" a="1"/>
  <c r="J14979" i="34" a="1"/>
  <c r="J14980" i="34" a="1"/>
  <c r="J14981" i="34" a="1"/>
  <c r="J14982" i="34" a="1"/>
  <c r="J14983" i="34" a="1"/>
  <c r="J14984" i="34" a="1"/>
  <c r="J14985" i="34" a="1"/>
  <c r="J14986" i="34" a="1"/>
  <c r="J14987" i="34" a="1"/>
  <c r="J14988" i="34" a="1"/>
  <c r="J14989" i="34" a="1"/>
  <c r="J14990" i="34" a="1"/>
  <c r="J14991" i="34" a="1"/>
  <c r="J14992" i="34" a="1"/>
  <c r="J14993" i="34" a="1"/>
  <c r="J14994" i="34" a="1"/>
  <c r="J14995" i="34" a="1"/>
  <c r="J14996" i="34" a="1"/>
  <c r="J14997" i="34" a="1"/>
  <c r="J14998" i="34" a="1"/>
  <c r="J14999" i="34" a="1"/>
  <c r="J15000" i="34" a="1"/>
  <c r="J15001" i="34" a="1"/>
  <c r="J15002" i="34" a="1"/>
  <c r="J15003" i="34" a="1"/>
  <c r="J15004" i="34" a="1"/>
  <c r="J15005" i="34" a="1"/>
  <c r="J15006" i="34" a="1"/>
  <c r="J15007" i="34" a="1"/>
  <c r="J15008" i="34" a="1"/>
  <c r="J15009" i="34" a="1"/>
  <c r="J15010" i="34" a="1"/>
  <c r="J15011" i="34" a="1"/>
  <c r="J15012" i="34" a="1"/>
  <c r="J15013" i="34" a="1"/>
  <c r="J15014" i="34" a="1"/>
  <c r="J15015" i="34" a="1"/>
  <c r="J15016" i="34" a="1"/>
  <c r="J15017" i="34" a="1"/>
  <c r="J15018" i="34" a="1"/>
  <c r="J15019" i="34" a="1"/>
  <c r="J15020" i="34" a="1"/>
  <c r="J15021" i="34" a="1"/>
  <c r="J15022" i="34" a="1"/>
  <c r="J15023" i="34" a="1"/>
  <c r="J15024" i="34" a="1"/>
  <c r="J15025" i="34" a="1"/>
  <c r="J15026" i="34" a="1"/>
  <c r="J15027" i="34" a="1"/>
  <c r="J15028" i="34" a="1"/>
  <c r="J15029" i="34" a="1"/>
  <c r="J15030" i="34" a="1"/>
  <c r="J15031" i="34" a="1"/>
  <c r="J15032" i="34" a="1"/>
  <c r="J15033" i="34" a="1"/>
  <c r="J15034" i="34" a="1"/>
  <c r="J15035" i="34" a="1"/>
  <c r="J15036" i="34" a="1"/>
  <c r="J15037" i="34" a="1"/>
  <c r="J15038" i="34" a="1"/>
  <c r="J15039" i="34" a="1"/>
  <c r="J15040" i="34" a="1"/>
  <c r="J15041" i="34" a="1"/>
  <c r="J15042" i="34" a="1"/>
  <c r="J15043" i="34" a="1"/>
  <c r="J15044" i="34" a="1"/>
  <c r="J15045" i="34" a="1"/>
  <c r="J15046" i="34" a="1"/>
  <c r="J15047" i="34" a="1"/>
  <c r="J15048" i="34" a="1"/>
  <c r="J15049" i="34" a="1"/>
  <c r="J15050" i="34" a="1"/>
  <c r="J15051" i="34" a="1"/>
  <c r="J15052" i="34" a="1"/>
  <c r="J15053" i="34" a="1"/>
  <c r="J15054" i="34" a="1"/>
  <c r="J15055" i="34" a="1"/>
  <c r="J15056" i="34" a="1"/>
  <c r="J15057" i="34" a="1"/>
  <c r="J15058" i="34" a="1"/>
  <c r="J15059" i="34" a="1"/>
  <c r="J15060" i="34" a="1"/>
  <c r="J15061" i="34" a="1"/>
  <c r="J15062" i="34" a="1"/>
  <c r="J15063" i="34" a="1"/>
  <c r="J15064" i="34" a="1"/>
  <c r="J15065" i="34" a="1"/>
  <c r="J15066" i="34" a="1"/>
  <c r="J15067" i="34" a="1"/>
  <c r="J15068" i="34" a="1"/>
  <c r="J15069" i="34" a="1"/>
  <c r="J15070" i="34" a="1"/>
  <c r="J15071" i="34" a="1"/>
  <c r="J15072" i="34" a="1"/>
  <c r="J15073" i="34" a="1"/>
  <c r="J15074" i="34" a="1"/>
  <c r="J15075" i="34" a="1"/>
  <c r="J15076" i="34" a="1"/>
  <c r="J15077" i="34" a="1"/>
  <c r="J15078" i="34" a="1"/>
  <c r="J15079" i="34" a="1"/>
  <c r="J15080" i="34" a="1"/>
  <c r="J15081" i="34" a="1"/>
  <c r="J15082" i="34" a="1"/>
  <c r="J15083" i="34" a="1"/>
  <c r="J15084" i="34" a="1"/>
  <c r="J15085" i="34" a="1"/>
  <c r="J15086" i="34" a="1"/>
  <c r="J15087" i="34" a="1"/>
  <c r="J15088" i="34" a="1"/>
  <c r="J15089" i="34" a="1"/>
  <c r="J15090" i="34" a="1"/>
  <c r="J15091" i="34" a="1"/>
  <c r="J15092" i="34" a="1"/>
  <c r="J15093" i="34" a="1"/>
  <c r="J15094" i="34" a="1"/>
  <c r="J15095" i="34" a="1"/>
  <c r="J15096" i="34" a="1"/>
  <c r="J15097" i="34" a="1"/>
  <c r="J15098" i="34" a="1"/>
  <c r="J15099" i="34" a="1"/>
  <c r="J15100" i="34" a="1"/>
  <c r="J15101" i="34" a="1"/>
  <c r="J15102" i="34" a="1"/>
  <c r="J15103" i="34" a="1"/>
  <c r="J15104" i="34" a="1"/>
  <c r="J15105" i="34" a="1"/>
  <c r="J15106" i="34" a="1"/>
  <c r="J15107" i="34" a="1"/>
  <c r="J15108" i="34" a="1"/>
  <c r="J15109" i="34" a="1"/>
  <c r="J15110" i="34" a="1"/>
  <c r="J15111" i="34" a="1"/>
  <c r="J15112" i="34" a="1"/>
  <c r="J15113" i="34" a="1"/>
  <c r="J15114" i="34" a="1"/>
  <c r="J15115" i="34" a="1"/>
  <c r="J15116" i="34" a="1"/>
  <c r="J15117" i="34" a="1"/>
  <c r="J15118" i="34" a="1"/>
  <c r="J15119" i="34" a="1"/>
  <c r="J15120" i="34" a="1"/>
  <c r="J15121" i="34" a="1"/>
  <c r="J15122" i="34" a="1"/>
  <c r="J15123" i="34" a="1"/>
  <c r="J15124" i="34" a="1"/>
  <c r="J15125" i="34" a="1"/>
  <c r="J15126" i="34" a="1"/>
  <c r="J15127" i="34" a="1"/>
  <c r="J15128" i="34" a="1"/>
  <c r="J15129" i="34" a="1"/>
  <c r="J15130" i="34" a="1"/>
  <c r="J15131" i="34" a="1"/>
  <c r="J15132" i="34" a="1"/>
  <c r="J15133" i="34" a="1"/>
  <c r="J15134" i="34" a="1"/>
  <c r="J15135" i="34" a="1"/>
  <c r="J15136" i="34" a="1"/>
  <c r="J15137" i="34" a="1"/>
  <c r="J15138" i="34" a="1"/>
  <c r="J15139" i="34" a="1"/>
  <c r="J15140" i="34" a="1"/>
  <c r="J15141" i="34" a="1"/>
  <c r="J15142" i="34" a="1"/>
  <c r="J15143" i="34" a="1"/>
  <c r="J15144" i="34" a="1"/>
  <c r="J15145" i="34" a="1"/>
  <c r="J15146" i="34" a="1"/>
  <c r="J15147" i="34" a="1"/>
  <c r="J15148" i="34" a="1"/>
  <c r="J15149" i="34" a="1"/>
  <c r="J15150" i="34" a="1"/>
  <c r="J15151" i="34" a="1"/>
  <c r="J15152" i="34" a="1"/>
  <c r="J15153" i="34" a="1"/>
  <c r="J15154" i="34" a="1"/>
  <c r="J15155" i="34" a="1"/>
  <c r="J15156" i="34" a="1"/>
  <c r="J15157" i="34" a="1"/>
  <c r="J15158" i="34" a="1"/>
  <c r="J15159" i="34" a="1"/>
  <c r="J15160" i="34" a="1"/>
  <c r="J15161" i="34" a="1"/>
  <c r="J15162" i="34" a="1"/>
  <c r="J15163" i="34" a="1"/>
  <c r="J15164" i="34" a="1"/>
  <c r="J15165" i="34" a="1"/>
  <c r="J15166" i="34" a="1"/>
  <c r="J15167" i="34" a="1"/>
  <c r="J15168" i="34" a="1"/>
  <c r="J15169" i="34" a="1"/>
  <c r="J15170" i="34" a="1"/>
  <c r="J15171" i="34" a="1"/>
  <c r="J15172" i="34" a="1"/>
  <c r="J15173" i="34" a="1"/>
  <c r="J15174" i="34" a="1"/>
  <c r="J15175" i="34" a="1"/>
  <c r="J15176" i="34" a="1"/>
  <c r="J15177" i="34" a="1"/>
  <c r="J15178" i="34" a="1"/>
  <c r="J15179" i="34" a="1"/>
  <c r="J15180" i="34" a="1"/>
  <c r="J15181" i="34" a="1"/>
  <c r="J15182" i="34" a="1"/>
  <c r="J15183" i="34" a="1"/>
  <c r="J15184" i="34" a="1"/>
  <c r="J15185" i="34" a="1"/>
  <c r="J15186" i="34" a="1"/>
  <c r="J15187" i="34" a="1"/>
  <c r="J15188" i="34" a="1"/>
  <c r="J15189" i="34" a="1"/>
  <c r="J15190" i="34" a="1"/>
  <c r="J15191" i="34" a="1"/>
  <c r="J15192" i="34" a="1"/>
  <c r="J15193" i="34" a="1"/>
  <c r="J15194" i="34" a="1"/>
  <c r="J15195" i="34" a="1"/>
  <c r="J15196" i="34" a="1"/>
  <c r="J15197" i="34" a="1"/>
  <c r="J15198" i="34" a="1"/>
  <c r="J15199" i="34" a="1"/>
  <c r="J15200" i="34" a="1"/>
  <c r="J15201" i="34" a="1"/>
  <c r="J15202" i="34" a="1"/>
  <c r="J15203" i="34" a="1"/>
  <c r="J15204" i="34" a="1"/>
  <c r="J15205" i="34" a="1"/>
  <c r="J15206" i="34" a="1"/>
  <c r="J15207" i="34" a="1"/>
  <c r="J15208" i="34" a="1"/>
  <c r="J15209" i="34" a="1"/>
  <c r="J15210" i="34" a="1"/>
  <c r="J15211" i="34" a="1"/>
  <c r="J15212" i="34" a="1"/>
  <c r="J15213" i="34" a="1"/>
  <c r="J15214" i="34" a="1"/>
  <c r="J15215" i="34" a="1"/>
  <c r="J15216" i="34" a="1"/>
  <c r="J15217" i="34" a="1"/>
  <c r="J15218" i="34" a="1"/>
  <c r="J15219" i="34" a="1"/>
  <c r="J15220" i="34" a="1"/>
  <c r="J15221" i="34" a="1"/>
  <c r="J15222" i="34" a="1"/>
  <c r="J15223" i="34" a="1"/>
  <c r="J15224" i="34" a="1"/>
  <c r="J15225" i="34" a="1"/>
  <c r="J15226" i="34" a="1"/>
  <c r="J15227" i="34" a="1"/>
  <c r="J15228" i="34" a="1"/>
  <c r="J15229" i="34" a="1"/>
  <c r="J15230" i="34" a="1"/>
  <c r="J15231" i="34" a="1"/>
  <c r="J15232" i="34" a="1"/>
  <c r="J15233" i="34" a="1"/>
  <c r="J15234" i="34" a="1"/>
  <c r="J15235" i="34" a="1"/>
  <c r="J15236" i="34" a="1"/>
  <c r="J15237" i="34" a="1"/>
  <c r="J15238" i="34" a="1"/>
  <c r="J15239" i="34" a="1"/>
  <c r="J15240" i="34" a="1"/>
  <c r="J15241" i="34" a="1"/>
  <c r="J15242" i="34" a="1"/>
  <c r="J15243" i="34" a="1"/>
  <c r="J15244" i="34" a="1"/>
  <c r="J15245" i="34" a="1"/>
  <c r="J15246" i="34" a="1"/>
  <c r="J15247" i="34" a="1"/>
  <c r="J15248" i="34" a="1"/>
  <c r="J15249" i="34" a="1"/>
  <c r="J15250" i="34" a="1"/>
  <c r="J15251" i="34" a="1"/>
  <c r="J15252" i="34" a="1"/>
  <c r="J15253" i="34" a="1"/>
  <c r="J15254" i="34" a="1"/>
  <c r="J15255" i="34" a="1"/>
  <c r="J15256" i="34" a="1"/>
  <c r="J15257" i="34" a="1"/>
  <c r="J15258" i="34" a="1"/>
  <c r="J15259" i="34" a="1"/>
  <c r="J15260" i="34" a="1"/>
  <c r="J15261" i="34" a="1"/>
  <c r="J15262" i="34" a="1"/>
  <c r="J15263" i="34" a="1"/>
  <c r="J15264" i="34" a="1"/>
  <c r="J15265" i="34" a="1"/>
  <c r="J15266" i="34" a="1"/>
  <c r="J15267" i="34" a="1"/>
  <c r="J15268" i="34" a="1"/>
  <c r="J15269" i="34" a="1"/>
  <c r="J15270" i="34" a="1"/>
  <c r="J15271" i="34" a="1"/>
  <c r="J15272" i="34" a="1"/>
  <c r="J15273" i="34" a="1"/>
  <c r="J15274" i="34" a="1"/>
  <c r="J15275" i="34" a="1"/>
  <c r="J15276" i="34" a="1"/>
  <c r="J15277" i="34" a="1"/>
  <c r="J15278" i="34" a="1"/>
  <c r="J15279" i="34" a="1"/>
  <c r="J15280" i="34" a="1"/>
  <c r="J15281" i="34" a="1"/>
  <c r="J15282" i="34" a="1"/>
  <c r="J15283" i="34" a="1"/>
  <c r="J15284" i="34" a="1"/>
  <c r="J15285" i="34" a="1"/>
  <c r="J15286" i="34" a="1"/>
  <c r="J15287" i="34" a="1"/>
  <c r="J15288" i="34" a="1"/>
  <c r="J15289" i="34" a="1"/>
  <c r="J15290" i="34" a="1"/>
  <c r="J15291" i="34" a="1"/>
  <c r="J15292" i="34" a="1"/>
  <c r="J15293" i="34" a="1"/>
  <c r="J15294" i="34" a="1"/>
  <c r="J15295" i="34" a="1"/>
  <c r="J15296" i="34" a="1"/>
  <c r="J15297" i="34" a="1"/>
  <c r="J15298" i="34" a="1"/>
  <c r="J15299" i="34" a="1"/>
  <c r="J15300" i="34" a="1"/>
  <c r="J15301" i="34" a="1"/>
  <c r="J15302" i="34" a="1"/>
  <c r="J15303" i="34" a="1"/>
  <c r="J15304" i="34" a="1"/>
  <c r="J15305" i="34" a="1"/>
  <c r="J15306" i="34" a="1"/>
  <c r="J15307" i="34" a="1"/>
  <c r="J15308" i="34" a="1"/>
  <c r="J15309" i="34" a="1"/>
  <c r="J15310" i="34" a="1"/>
  <c r="J15311" i="34" a="1"/>
  <c r="J15312" i="34" a="1"/>
  <c r="J15313" i="34" a="1"/>
  <c r="J15314" i="34" a="1"/>
  <c r="J15315" i="34" a="1"/>
  <c r="J15316" i="34" a="1"/>
  <c r="J15317" i="34" a="1"/>
  <c r="J15318" i="34" a="1"/>
  <c r="J15319" i="34" a="1"/>
  <c r="J15320" i="34" a="1"/>
  <c r="J15321" i="34" a="1"/>
  <c r="J15322" i="34" a="1"/>
  <c r="J15323" i="34" a="1"/>
  <c r="J15324" i="34" a="1"/>
  <c r="J15325" i="34" a="1"/>
  <c r="J15326" i="34" a="1"/>
  <c r="J15327" i="34" a="1"/>
  <c r="J15328" i="34" a="1"/>
  <c r="J15329" i="34" a="1"/>
  <c r="J15330" i="34" a="1"/>
  <c r="J15331" i="34" a="1"/>
  <c r="J15332" i="34" a="1"/>
  <c r="J15333" i="34" a="1"/>
  <c r="J15334" i="34" a="1"/>
  <c r="J15335" i="34" a="1"/>
  <c r="J15336" i="34" a="1"/>
  <c r="J15337" i="34" a="1"/>
  <c r="J15338" i="34" a="1"/>
  <c r="J15339" i="34" a="1"/>
  <c r="J15340" i="34" a="1"/>
  <c r="J15341" i="34" a="1"/>
  <c r="J15342" i="34" a="1"/>
  <c r="J15343" i="34" a="1"/>
  <c r="J15344" i="34" a="1"/>
  <c r="J15345" i="34" a="1"/>
  <c r="J15346" i="34" a="1"/>
  <c r="J2" i="34" a="1"/>
  <c r="H3" i="34"/>
  <c r="H4" i="34"/>
  <c r="H5" i="34"/>
  <c r="H6" i="34"/>
  <c r="H7" i="34"/>
  <c r="H8" i="34"/>
  <c r="H9" i="34"/>
  <c r="H10" i="34"/>
  <c r="H11" i="34"/>
  <c r="H12" i="34"/>
  <c r="H13" i="34"/>
  <c r="H14" i="34"/>
  <c r="H15" i="34"/>
  <c r="H16" i="34"/>
  <c r="H17" i="34"/>
  <c r="H18" i="34"/>
  <c r="H19" i="34"/>
  <c r="H20" i="34"/>
  <c r="H21" i="34"/>
  <c r="H22" i="34"/>
  <c r="H23" i="34"/>
  <c r="H24" i="34"/>
  <c r="H25" i="34"/>
  <c r="H26" i="34"/>
  <c r="H27" i="34"/>
  <c r="H28" i="34"/>
  <c r="H29" i="34"/>
  <c r="H30" i="34"/>
  <c r="H31" i="34"/>
  <c r="H32" i="34"/>
  <c r="H33" i="34"/>
  <c r="H34" i="34"/>
  <c r="H35" i="34"/>
  <c r="H36" i="34"/>
  <c r="H37" i="34"/>
  <c r="H38" i="34"/>
  <c r="H39" i="34"/>
  <c r="H40" i="34"/>
  <c r="H41" i="34"/>
  <c r="H42" i="34"/>
  <c r="H43" i="34"/>
  <c r="H44" i="34"/>
  <c r="H45" i="34"/>
  <c r="H46" i="34"/>
  <c r="H47" i="34"/>
  <c r="H48" i="34"/>
  <c r="H49" i="34"/>
  <c r="H50" i="34"/>
  <c r="H51" i="34"/>
  <c r="H52" i="34"/>
  <c r="H53" i="34"/>
  <c r="H54" i="34"/>
  <c r="H55" i="34"/>
  <c r="H56" i="34"/>
  <c r="H57" i="34"/>
  <c r="H58" i="34"/>
  <c r="H59" i="34"/>
  <c r="H60" i="34"/>
  <c r="H61" i="34"/>
  <c r="H62" i="34"/>
  <c r="H63" i="34"/>
  <c r="H64" i="34"/>
  <c r="H65" i="34"/>
  <c r="H66" i="34"/>
  <c r="H67" i="34"/>
  <c r="H68" i="34"/>
  <c r="H69" i="34"/>
  <c r="H70" i="34"/>
  <c r="H71" i="34"/>
  <c r="H72" i="34"/>
  <c r="H73" i="34"/>
  <c r="H74" i="34"/>
  <c r="H75" i="34"/>
  <c r="H76" i="34"/>
  <c r="H77" i="34"/>
  <c r="H78" i="34"/>
  <c r="H79" i="34"/>
  <c r="H80" i="34"/>
  <c r="H81" i="34"/>
  <c r="H82" i="34"/>
  <c r="H83" i="34"/>
  <c r="H84" i="34"/>
  <c r="H85" i="34"/>
  <c r="H86" i="34"/>
  <c r="H87" i="34"/>
  <c r="H88" i="34"/>
  <c r="H89" i="34"/>
  <c r="H90" i="34"/>
  <c r="H91" i="34"/>
  <c r="H92" i="34"/>
  <c r="H93" i="34"/>
  <c r="H94" i="34"/>
  <c r="H95" i="34"/>
  <c r="H96" i="34"/>
  <c r="H97" i="34"/>
  <c r="H98" i="34"/>
  <c r="H99" i="34"/>
  <c r="H100" i="34"/>
  <c r="H101" i="34"/>
  <c r="H102" i="34"/>
  <c r="H103" i="34"/>
  <c r="H104" i="34"/>
  <c r="H105" i="34"/>
  <c r="H106" i="34"/>
  <c r="H107" i="34"/>
  <c r="H108" i="34"/>
  <c r="H109" i="34"/>
  <c r="H110" i="34"/>
  <c r="H111" i="34"/>
  <c r="H112" i="34"/>
  <c r="H113" i="34"/>
  <c r="H114" i="34"/>
  <c r="H115" i="34"/>
  <c r="H116" i="34"/>
  <c r="H117" i="34"/>
  <c r="H118" i="34"/>
  <c r="H119" i="34"/>
  <c r="H120" i="34"/>
  <c r="H121" i="34"/>
  <c r="H122" i="34"/>
  <c r="H123" i="34"/>
  <c r="H124" i="34"/>
  <c r="H125" i="34"/>
  <c r="H126" i="34"/>
  <c r="H127" i="34"/>
  <c r="H128" i="34"/>
  <c r="H129" i="34"/>
  <c r="H130" i="34"/>
  <c r="H131" i="34"/>
  <c r="H132" i="34"/>
  <c r="H133" i="34"/>
  <c r="H134" i="34"/>
  <c r="H135" i="34"/>
  <c r="H136" i="34"/>
  <c r="H137" i="34"/>
  <c r="H138" i="34"/>
  <c r="H139" i="34"/>
  <c r="H140" i="34"/>
  <c r="H141" i="34"/>
  <c r="H142" i="34"/>
  <c r="H143" i="34"/>
  <c r="H144" i="34"/>
  <c r="H145" i="34"/>
  <c r="H146" i="34"/>
  <c r="H147" i="34"/>
  <c r="H148" i="34"/>
  <c r="H149" i="34"/>
  <c r="H150" i="34"/>
  <c r="H151" i="34"/>
  <c r="H152" i="34"/>
  <c r="H153" i="34"/>
  <c r="H154" i="34"/>
  <c r="H155" i="34"/>
  <c r="H156" i="34"/>
  <c r="H157" i="34"/>
  <c r="H158" i="34"/>
  <c r="H159" i="34"/>
  <c r="H160" i="34"/>
  <c r="H161" i="34"/>
  <c r="H162" i="34"/>
  <c r="H163" i="34"/>
  <c r="H164" i="34"/>
  <c r="H165" i="34"/>
  <c r="H166" i="34"/>
  <c r="H167" i="34"/>
  <c r="H168" i="34"/>
  <c r="H169" i="34"/>
  <c r="H170" i="34"/>
  <c r="H171" i="34"/>
  <c r="H172" i="34"/>
  <c r="H173" i="34"/>
  <c r="H174" i="34"/>
  <c r="H175" i="34"/>
  <c r="H176" i="34"/>
  <c r="H177" i="34"/>
  <c r="H178" i="34"/>
  <c r="H179" i="34"/>
  <c r="H180" i="34"/>
  <c r="H181" i="34"/>
  <c r="H182" i="34"/>
  <c r="H183" i="34"/>
  <c r="H184" i="34"/>
  <c r="H185" i="34"/>
  <c r="H186" i="34"/>
  <c r="H187" i="34"/>
  <c r="H188" i="34"/>
  <c r="H189" i="34"/>
  <c r="H190" i="34"/>
  <c r="H191" i="34"/>
  <c r="H192" i="34"/>
  <c r="H193" i="34"/>
  <c r="H194" i="34"/>
  <c r="H195" i="34"/>
  <c r="H196" i="34"/>
  <c r="H197" i="34"/>
  <c r="H198" i="34"/>
  <c r="H199" i="34"/>
  <c r="H200" i="34"/>
  <c r="H201" i="34"/>
  <c r="H202" i="34"/>
  <c r="H203" i="34"/>
  <c r="H204" i="34"/>
  <c r="H205" i="34"/>
  <c r="H206" i="34"/>
  <c r="H207" i="34"/>
  <c r="H208" i="34"/>
  <c r="H209" i="34"/>
  <c r="H210" i="34"/>
  <c r="H211" i="34"/>
  <c r="H212" i="34"/>
  <c r="H213" i="34"/>
  <c r="H214" i="34"/>
  <c r="H215" i="34"/>
  <c r="H216" i="34"/>
  <c r="H217" i="34"/>
  <c r="H218" i="34"/>
  <c r="H219" i="34"/>
  <c r="H220" i="34"/>
  <c r="H221" i="34"/>
  <c r="H222" i="34"/>
  <c r="H223" i="34"/>
  <c r="H224" i="34"/>
  <c r="H225" i="34"/>
  <c r="H226" i="34"/>
  <c r="H227" i="34"/>
  <c r="H228" i="34"/>
  <c r="H229" i="34"/>
  <c r="H230" i="34"/>
  <c r="H231" i="34"/>
  <c r="H232" i="34"/>
  <c r="H233" i="34"/>
  <c r="H234" i="34"/>
  <c r="H235" i="34"/>
  <c r="H236" i="34"/>
  <c r="H237" i="34"/>
  <c r="H238" i="34"/>
  <c r="H239" i="34"/>
  <c r="H240" i="34"/>
  <c r="H241" i="34"/>
  <c r="H242" i="34"/>
  <c r="H243" i="34"/>
  <c r="H244" i="34"/>
  <c r="H245" i="34"/>
  <c r="H246" i="34"/>
  <c r="H247" i="34"/>
  <c r="H248" i="34"/>
  <c r="H249" i="34"/>
  <c r="H250" i="34"/>
  <c r="H251" i="34"/>
  <c r="H252" i="34"/>
  <c r="H253" i="34"/>
  <c r="H254" i="34"/>
  <c r="H255" i="34"/>
  <c r="H256" i="34"/>
  <c r="H257" i="34"/>
  <c r="H258" i="34"/>
  <c r="H259" i="34"/>
  <c r="H260" i="34"/>
  <c r="H261" i="34"/>
  <c r="H262" i="34"/>
  <c r="H263" i="34"/>
  <c r="H264" i="34"/>
  <c r="H265" i="34"/>
  <c r="H266" i="34"/>
  <c r="H267" i="34"/>
  <c r="H268" i="34"/>
  <c r="H269" i="34"/>
  <c r="H270" i="34"/>
  <c r="H271" i="34"/>
  <c r="H272" i="34"/>
  <c r="H273" i="34"/>
  <c r="H274" i="34"/>
  <c r="H275" i="34"/>
  <c r="H276" i="34"/>
  <c r="H277" i="34"/>
  <c r="H278" i="34"/>
  <c r="H279" i="34"/>
  <c r="H280" i="34"/>
  <c r="H281" i="34"/>
  <c r="H282" i="34"/>
  <c r="H283" i="34"/>
  <c r="H284" i="34"/>
  <c r="H285" i="34"/>
  <c r="H286" i="34"/>
  <c r="H287" i="34"/>
  <c r="H288" i="34"/>
  <c r="H289" i="34"/>
  <c r="H290" i="34"/>
  <c r="H291" i="34"/>
  <c r="H292" i="34"/>
  <c r="H293" i="34"/>
  <c r="H294" i="34"/>
  <c r="H295" i="34"/>
  <c r="H296" i="34"/>
  <c r="H297" i="34"/>
  <c r="H298" i="34"/>
  <c r="H299" i="34"/>
  <c r="H300" i="34"/>
  <c r="H301" i="34"/>
  <c r="H302" i="34"/>
  <c r="H303" i="34"/>
  <c r="H304" i="34"/>
  <c r="H305" i="34"/>
  <c r="H306" i="34"/>
  <c r="H307" i="34"/>
  <c r="H308" i="34"/>
  <c r="H309" i="34"/>
  <c r="H310" i="34"/>
  <c r="H311" i="34"/>
  <c r="H312" i="34"/>
  <c r="H313" i="34"/>
  <c r="H314" i="34"/>
  <c r="H315" i="34"/>
  <c r="H316" i="34"/>
  <c r="H317" i="34"/>
  <c r="H318" i="34"/>
  <c r="H319" i="34"/>
  <c r="H320" i="34"/>
  <c r="H321" i="34"/>
  <c r="H322" i="34"/>
  <c r="H323" i="34"/>
  <c r="H324" i="34"/>
  <c r="H325" i="34"/>
  <c r="H326" i="34"/>
  <c r="H327" i="34"/>
  <c r="H328" i="34"/>
  <c r="H329" i="34"/>
  <c r="H330" i="34"/>
  <c r="H331" i="34"/>
  <c r="H332" i="34"/>
  <c r="H333" i="34"/>
  <c r="H334" i="34"/>
  <c r="H335" i="34"/>
  <c r="H336" i="34"/>
  <c r="H337" i="34"/>
  <c r="H338" i="34"/>
  <c r="H339" i="34"/>
  <c r="H340" i="34"/>
  <c r="H341" i="34"/>
  <c r="H342" i="34"/>
  <c r="H343" i="34"/>
  <c r="H344" i="34"/>
  <c r="H345" i="34"/>
  <c r="H346" i="34"/>
  <c r="H347" i="34"/>
  <c r="H348" i="34"/>
  <c r="H349" i="34"/>
  <c r="H350" i="34"/>
  <c r="H351" i="34"/>
  <c r="H352" i="34"/>
  <c r="H353" i="34"/>
  <c r="H354" i="34"/>
  <c r="H355" i="34"/>
  <c r="H356" i="34"/>
  <c r="H357" i="34"/>
  <c r="H358" i="34"/>
  <c r="H359" i="34"/>
  <c r="H360" i="34"/>
  <c r="H361" i="34"/>
  <c r="H362" i="34"/>
  <c r="H363" i="34"/>
  <c r="H364" i="34"/>
  <c r="H365" i="34"/>
  <c r="H366" i="34"/>
  <c r="H367" i="34"/>
  <c r="H368" i="34"/>
  <c r="H369" i="34"/>
  <c r="H370" i="34"/>
  <c r="H371" i="34"/>
  <c r="H372" i="34"/>
  <c r="H373" i="34"/>
  <c r="H374" i="34"/>
  <c r="H375" i="34"/>
  <c r="H376" i="34"/>
  <c r="H377" i="34"/>
  <c r="H378" i="34"/>
  <c r="H379" i="34"/>
  <c r="H380" i="34"/>
  <c r="H381" i="34"/>
  <c r="H382" i="34"/>
  <c r="H383" i="34"/>
  <c r="H384" i="34"/>
  <c r="H385" i="34"/>
  <c r="H386" i="34"/>
  <c r="H387" i="34"/>
  <c r="H388" i="34"/>
  <c r="H389" i="34"/>
  <c r="H390" i="34"/>
  <c r="H391" i="34"/>
  <c r="H392" i="34"/>
  <c r="H393" i="34"/>
  <c r="H394" i="34"/>
  <c r="H395" i="34"/>
  <c r="H396" i="34"/>
  <c r="H397" i="34"/>
  <c r="H398" i="34"/>
  <c r="H399" i="34"/>
  <c r="H400" i="34"/>
  <c r="H401" i="34"/>
  <c r="H402" i="34"/>
  <c r="H403" i="34"/>
  <c r="H404" i="34"/>
  <c r="H405" i="34"/>
  <c r="H406" i="34"/>
  <c r="H407" i="34"/>
  <c r="H408" i="34"/>
  <c r="H409" i="34"/>
  <c r="H410" i="34"/>
  <c r="H411" i="34"/>
  <c r="H412" i="34"/>
  <c r="H413" i="34"/>
  <c r="H414" i="34"/>
  <c r="H415" i="34"/>
  <c r="H416" i="34"/>
  <c r="H417" i="34"/>
  <c r="H418" i="34"/>
  <c r="H419" i="34"/>
  <c r="H420" i="34"/>
  <c r="H421" i="34"/>
  <c r="H422" i="34"/>
  <c r="H423" i="34"/>
  <c r="H424" i="34"/>
  <c r="H425" i="34"/>
  <c r="H426" i="34"/>
  <c r="H427" i="34"/>
  <c r="H428" i="34"/>
  <c r="H429" i="34"/>
  <c r="H430" i="34"/>
  <c r="H431" i="34"/>
  <c r="H432" i="34"/>
  <c r="H433" i="34"/>
  <c r="H434" i="34"/>
  <c r="H435" i="34"/>
  <c r="H436" i="34"/>
  <c r="H437" i="34"/>
  <c r="H438" i="34"/>
  <c r="H439" i="34"/>
  <c r="H440" i="34"/>
  <c r="H441" i="34"/>
  <c r="H442" i="34"/>
  <c r="H443" i="34"/>
  <c r="H444" i="34"/>
  <c r="H445" i="34"/>
  <c r="H446" i="34"/>
  <c r="H447" i="34"/>
  <c r="H448" i="34"/>
  <c r="H449" i="34"/>
  <c r="H450" i="34"/>
  <c r="H451" i="34"/>
  <c r="H452" i="34"/>
  <c r="H453" i="34"/>
  <c r="H454" i="34"/>
  <c r="H455" i="34"/>
  <c r="H456" i="34"/>
  <c r="H457" i="34"/>
  <c r="H458" i="34"/>
  <c r="H459" i="34"/>
  <c r="H460" i="34"/>
  <c r="H461" i="34"/>
  <c r="H462" i="34"/>
  <c r="H463" i="34"/>
  <c r="H464" i="34"/>
  <c r="H465" i="34"/>
  <c r="H466" i="34"/>
  <c r="H467" i="34"/>
  <c r="H468" i="34"/>
  <c r="H469" i="34"/>
  <c r="H470" i="34"/>
  <c r="H471" i="34"/>
  <c r="H472" i="34"/>
  <c r="H473" i="34"/>
  <c r="H474" i="34"/>
  <c r="H475" i="34"/>
  <c r="H476" i="34"/>
  <c r="H477" i="34"/>
  <c r="H478" i="34"/>
  <c r="H479" i="34"/>
  <c r="H480" i="34"/>
  <c r="H481" i="34"/>
  <c r="H482" i="34"/>
  <c r="H483" i="34"/>
  <c r="H484" i="34"/>
  <c r="H485" i="34"/>
  <c r="H486" i="34"/>
  <c r="H487" i="34"/>
  <c r="H488" i="34"/>
  <c r="H489" i="34"/>
  <c r="H490" i="34"/>
  <c r="H491" i="34"/>
  <c r="H492" i="34"/>
  <c r="H493" i="34"/>
  <c r="H494" i="34"/>
  <c r="H495" i="34"/>
  <c r="H496" i="34"/>
  <c r="H497" i="34"/>
  <c r="H498" i="34"/>
  <c r="H499" i="34"/>
  <c r="H500" i="34"/>
  <c r="H501" i="34"/>
  <c r="H502" i="34"/>
  <c r="H503" i="34"/>
  <c r="H504" i="34"/>
  <c r="H505" i="34"/>
  <c r="H506" i="34"/>
  <c r="H507" i="34"/>
  <c r="H508" i="34"/>
  <c r="H509" i="34"/>
  <c r="H510" i="34"/>
  <c r="H511" i="34"/>
  <c r="H512" i="34"/>
  <c r="H513" i="34"/>
  <c r="H514" i="34"/>
  <c r="H515" i="34"/>
  <c r="H516" i="34"/>
  <c r="H517" i="34"/>
  <c r="H518" i="34"/>
  <c r="H519" i="34"/>
  <c r="H520" i="34"/>
  <c r="H521" i="34"/>
  <c r="H522" i="34"/>
  <c r="H523" i="34"/>
  <c r="H524" i="34"/>
  <c r="H525" i="34"/>
  <c r="H526" i="34"/>
  <c r="H527" i="34"/>
  <c r="H528" i="34"/>
  <c r="H529" i="34"/>
  <c r="H530" i="34"/>
  <c r="H531" i="34"/>
  <c r="H532" i="34"/>
  <c r="H533" i="34"/>
  <c r="H534" i="34"/>
  <c r="H535" i="34"/>
  <c r="H536" i="34"/>
  <c r="H537" i="34"/>
  <c r="H538" i="34"/>
  <c r="H539" i="34"/>
  <c r="H540" i="34"/>
  <c r="H541" i="34"/>
  <c r="H542" i="34"/>
  <c r="H543" i="34"/>
  <c r="H544" i="34"/>
  <c r="H545" i="34"/>
  <c r="H546" i="34"/>
  <c r="H547" i="34"/>
  <c r="H548" i="34"/>
  <c r="H549" i="34"/>
  <c r="H550" i="34"/>
  <c r="H551" i="34"/>
  <c r="H552" i="34"/>
  <c r="H553" i="34"/>
  <c r="H554" i="34"/>
  <c r="H555" i="34"/>
  <c r="H556" i="34"/>
  <c r="H557" i="34"/>
  <c r="H558" i="34"/>
  <c r="H559" i="34"/>
  <c r="H560" i="34"/>
  <c r="H561" i="34"/>
  <c r="H562" i="34"/>
  <c r="H563" i="34"/>
  <c r="H564" i="34"/>
  <c r="H565" i="34"/>
  <c r="H566" i="34"/>
  <c r="H567" i="34"/>
  <c r="H568" i="34"/>
  <c r="H569" i="34"/>
  <c r="H570" i="34"/>
  <c r="H571" i="34"/>
  <c r="H572" i="34"/>
  <c r="H573" i="34"/>
  <c r="H574" i="34"/>
  <c r="H575" i="34"/>
  <c r="H576" i="34"/>
  <c r="H577" i="34"/>
  <c r="H578" i="34"/>
  <c r="H579" i="34"/>
  <c r="H580" i="34"/>
  <c r="H581" i="34"/>
  <c r="H582" i="34"/>
  <c r="H583" i="34"/>
  <c r="H584" i="34"/>
  <c r="H585" i="34"/>
  <c r="H586" i="34"/>
  <c r="H587" i="34"/>
  <c r="H588" i="34"/>
  <c r="H589" i="34"/>
  <c r="H590" i="34"/>
  <c r="H591" i="34"/>
  <c r="H592" i="34"/>
  <c r="H593" i="34"/>
  <c r="H594" i="34"/>
  <c r="H595" i="34"/>
  <c r="H596" i="34"/>
  <c r="H597" i="34"/>
  <c r="H598" i="34"/>
  <c r="H599" i="34"/>
  <c r="H600" i="34"/>
  <c r="H601" i="34"/>
  <c r="H602" i="34"/>
  <c r="H603" i="34"/>
  <c r="H604" i="34"/>
  <c r="H605" i="34"/>
  <c r="H606" i="34"/>
  <c r="H607" i="34"/>
  <c r="H608" i="34"/>
  <c r="H609" i="34"/>
  <c r="H610" i="34"/>
  <c r="H611" i="34"/>
  <c r="H612" i="34"/>
  <c r="H613" i="34"/>
  <c r="H614" i="34"/>
  <c r="H615" i="34"/>
  <c r="H616" i="34"/>
  <c r="H617" i="34"/>
  <c r="H618" i="34"/>
  <c r="H619" i="34"/>
  <c r="H620" i="34"/>
  <c r="H621" i="34"/>
  <c r="H622" i="34"/>
  <c r="H623" i="34"/>
  <c r="H624" i="34"/>
  <c r="H625" i="34"/>
  <c r="H626" i="34"/>
  <c r="H627" i="34"/>
  <c r="H628" i="34"/>
  <c r="H629" i="34"/>
  <c r="H630" i="34"/>
  <c r="H631" i="34"/>
  <c r="H632" i="34"/>
  <c r="H633" i="34"/>
  <c r="H634" i="34"/>
  <c r="H635" i="34"/>
  <c r="H636" i="34"/>
  <c r="H637" i="34"/>
  <c r="H638" i="34"/>
  <c r="H639" i="34"/>
  <c r="H640" i="34"/>
  <c r="H641" i="34"/>
  <c r="H642" i="34"/>
  <c r="H643" i="34"/>
  <c r="H644" i="34"/>
  <c r="H645" i="34"/>
  <c r="H646" i="34"/>
  <c r="H647" i="34"/>
  <c r="H648" i="34"/>
  <c r="H649" i="34"/>
  <c r="H650" i="34"/>
  <c r="H651" i="34"/>
  <c r="H652" i="34"/>
  <c r="H653" i="34"/>
  <c r="H654" i="34"/>
  <c r="H655" i="34"/>
  <c r="H656" i="34"/>
  <c r="H657" i="34"/>
  <c r="H658" i="34"/>
  <c r="H659" i="34"/>
  <c r="H660" i="34"/>
  <c r="H661" i="34"/>
  <c r="H662" i="34"/>
  <c r="H663" i="34"/>
  <c r="H664" i="34"/>
  <c r="H665" i="34"/>
  <c r="H666" i="34"/>
  <c r="H667" i="34"/>
  <c r="H668" i="34"/>
  <c r="H669" i="34"/>
  <c r="H670" i="34"/>
  <c r="H671" i="34"/>
  <c r="H672" i="34"/>
  <c r="H673" i="34"/>
  <c r="H674" i="34"/>
  <c r="H675" i="34"/>
  <c r="H676" i="34"/>
  <c r="H677" i="34"/>
  <c r="H678" i="34"/>
  <c r="H679" i="34"/>
  <c r="H680" i="34"/>
  <c r="H681" i="34"/>
  <c r="H682" i="34"/>
  <c r="H683" i="34"/>
  <c r="H684" i="34"/>
  <c r="H685" i="34"/>
  <c r="H686" i="34"/>
  <c r="H687" i="34"/>
  <c r="H688" i="34"/>
  <c r="H689" i="34"/>
  <c r="H690" i="34"/>
  <c r="H691" i="34"/>
  <c r="H692" i="34"/>
  <c r="H693" i="34"/>
  <c r="H694" i="34"/>
  <c r="H695" i="34"/>
  <c r="H696" i="34"/>
  <c r="H697" i="34"/>
  <c r="H698" i="34"/>
  <c r="H699" i="34"/>
  <c r="H700" i="34"/>
  <c r="H701" i="34"/>
  <c r="H702" i="34"/>
  <c r="H703" i="34"/>
  <c r="H704" i="34"/>
  <c r="H705" i="34"/>
  <c r="H706" i="34"/>
  <c r="H707" i="34"/>
  <c r="H708" i="34"/>
  <c r="H709" i="34"/>
  <c r="H710" i="34"/>
  <c r="H711" i="34"/>
  <c r="H712" i="34"/>
  <c r="H713" i="34"/>
  <c r="H714" i="34"/>
  <c r="H715" i="34"/>
  <c r="H716" i="34"/>
  <c r="H717" i="34"/>
  <c r="H718" i="34"/>
  <c r="H719" i="34"/>
  <c r="H720" i="34"/>
  <c r="H721" i="34"/>
  <c r="H722" i="34"/>
  <c r="H723" i="34"/>
  <c r="H724" i="34"/>
  <c r="H725" i="34"/>
  <c r="H726" i="34"/>
  <c r="H727" i="34"/>
  <c r="H728" i="34"/>
  <c r="H729" i="34"/>
  <c r="H730" i="34"/>
  <c r="H731" i="34"/>
  <c r="H732" i="34"/>
  <c r="H733" i="34"/>
  <c r="H734" i="34"/>
  <c r="H735" i="34"/>
  <c r="H736" i="34"/>
  <c r="H737" i="34"/>
  <c r="H738" i="34"/>
  <c r="H739" i="34"/>
  <c r="H740" i="34"/>
  <c r="H741" i="34"/>
  <c r="H742" i="34"/>
  <c r="H743" i="34"/>
  <c r="H744" i="34"/>
  <c r="H745" i="34"/>
  <c r="H746" i="34"/>
  <c r="H747" i="34"/>
  <c r="H748" i="34"/>
  <c r="H749" i="34"/>
  <c r="H750" i="34"/>
  <c r="H751" i="34"/>
  <c r="H752" i="34"/>
  <c r="H753" i="34"/>
  <c r="H754" i="34"/>
  <c r="H755" i="34"/>
  <c r="H756" i="34"/>
  <c r="H757" i="34"/>
  <c r="H758" i="34"/>
  <c r="H759" i="34"/>
  <c r="H760" i="34"/>
  <c r="H761" i="34"/>
  <c r="H762" i="34"/>
  <c r="H763" i="34"/>
  <c r="H764" i="34"/>
  <c r="H765" i="34"/>
  <c r="H766" i="34"/>
  <c r="H767" i="34"/>
  <c r="H768" i="34"/>
  <c r="H769" i="34"/>
  <c r="H770" i="34"/>
  <c r="H771" i="34"/>
  <c r="H772" i="34"/>
  <c r="H773" i="34"/>
  <c r="H774" i="34"/>
  <c r="H775" i="34"/>
  <c r="H776" i="34"/>
  <c r="H777" i="34"/>
  <c r="H778" i="34"/>
  <c r="H779" i="34"/>
  <c r="H780" i="34"/>
  <c r="H781" i="34"/>
  <c r="H782" i="34"/>
  <c r="H783" i="34"/>
  <c r="H784" i="34"/>
  <c r="H785" i="34"/>
  <c r="H786" i="34"/>
  <c r="H787" i="34"/>
  <c r="H788" i="34"/>
  <c r="H789" i="34"/>
  <c r="H790" i="34"/>
  <c r="H791" i="34"/>
  <c r="H792" i="34"/>
  <c r="H793" i="34"/>
  <c r="H794" i="34"/>
  <c r="H795" i="34"/>
  <c r="H796" i="34"/>
  <c r="H797" i="34"/>
  <c r="H798" i="34"/>
  <c r="H799" i="34"/>
  <c r="H800" i="34"/>
  <c r="H801" i="34"/>
  <c r="H802" i="34"/>
  <c r="H803" i="34"/>
  <c r="H804" i="34"/>
  <c r="H805" i="34"/>
  <c r="H806" i="34"/>
  <c r="H807" i="34"/>
  <c r="H808" i="34"/>
  <c r="H809" i="34"/>
  <c r="H810" i="34"/>
  <c r="H811" i="34"/>
  <c r="H812" i="34"/>
  <c r="H813" i="34"/>
  <c r="H814" i="34"/>
  <c r="H815" i="34"/>
  <c r="H816" i="34"/>
  <c r="H817" i="34"/>
  <c r="H818" i="34"/>
  <c r="H819" i="34"/>
  <c r="H820" i="34"/>
  <c r="H821" i="34"/>
  <c r="H822" i="34"/>
  <c r="H823" i="34"/>
  <c r="H824" i="34"/>
  <c r="H825" i="34"/>
  <c r="H826" i="34"/>
  <c r="H827" i="34"/>
  <c r="H828" i="34"/>
  <c r="H829" i="34"/>
  <c r="H830" i="34"/>
  <c r="H831" i="34"/>
  <c r="H832" i="34"/>
  <c r="H833" i="34"/>
  <c r="H834" i="34"/>
  <c r="H835" i="34"/>
  <c r="H836" i="34"/>
  <c r="H837" i="34"/>
  <c r="H838" i="34"/>
  <c r="H839" i="34"/>
  <c r="H840" i="34"/>
  <c r="H841" i="34"/>
  <c r="H842" i="34"/>
  <c r="H843" i="34"/>
  <c r="H844" i="34"/>
  <c r="H845" i="34"/>
  <c r="H846" i="34"/>
  <c r="H847" i="34"/>
  <c r="H848" i="34"/>
  <c r="H849" i="34"/>
  <c r="H850" i="34"/>
  <c r="H851" i="34"/>
  <c r="H852" i="34"/>
  <c r="H853" i="34"/>
  <c r="H854" i="34"/>
  <c r="H855" i="34"/>
  <c r="H856" i="34"/>
  <c r="H857" i="34"/>
  <c r="H858" i="34"/>
  <c r="H859" i="34"/>
  <c r="H860" i="34"/>
  <c r="H861" i="34"/>
  <c r="H862" i="34"/>
  <c r="H863" i="34"/>
  <c r="H864" i="34"/>
  <c r="H865" i="34"/>
  <c r="H866" i="34"/>
  <c r="H867" i="34"/>
  <c r="H868" i="34"/>
  <c r="H869" i="34"/>
  <c r="H870" i="34"/>
  <c r="H871" i="34"/>
  <c r="H872" i="34"/>
  <c r="H873" i="34"/>
  <c r="H874" i="34"/>
  <c r="H875" i="34"/>
  <c r="H876" i="34"/>
  <c r="H877" i="34"/>
  <c r="H878" i="34"/>
  <c r="H879" i="34"/>
  <c r="H880" i="34"/>
  <c r="H881" i="34"/>
  <c r="H882" i="34"/>
  <c r="H883" i="34"/>
  <c r="H884" i="34"/>
  <c r="H885" i="34"/>
  <c r="H886" i="34"/>
  <c r="H887" i="34"/>
  <c r="H888" i="34"/>
  <c r="H889" i="34"/>
  <c r="H890" i="34"/>
  <c r="H891" i="34"/>
  <c r="H892" i="34"/>
  <c r="H893" i="34"/>
  <c r="H894" i="34"/>
  <c r="H895" i="34"/>
  <c r="H896" i="34"/>
  <c r="H897" i="34"/>
  <c r="H898" i="34"/>
  <c r="H899" i="34"/>
  <c r="H900" i="34"/>
  <c r="H901" i="34"/>
  <c r="H902" i="34"/>
  <c r="H903" i="34"/>
  <c r="H904" i="34"/>
  <c r="H905" i="34"/>
  <c r="H906" i="34"/>
  <c r="H907" i="34"/>
  <c r="H908" i="34"/>
  <c r="H909" i="34"/>
  <c r="H910" i="34"/>
  <c r="H911" i="34"/>
  <c r="H912" i="34"/>
  <c r="H913" i="34"/>
  <c r="H914" i="34"/>
  <c r="H915" i="34"/>
  <c r="H916" i="34"/>
  <c r="H917" i="34"/>
  <c r="H918" i="34"/>
  <c r="H919" i="34"/>
  <c r="H920" i="34"/>
  <c r="H921" i="34"/>
  <c r="H922" i="34"/>
  <c r="H923" i="34"/>
  <c r="H924" i="34"/>
  <c r="H925" i="34"/>
  <c r="H926" i="34"/>
  <c r="H927" i="34"/>
  <c r="H928" i="34"/>
  <c r="H929" i="34"/>
  <c r="H930" i="34"/>
  <c r="H931" i="34"/>
  <c r="H932" i="34"/>
  <c r="H933" i="34"/>
  <c r="H934" i="34"/>
  <c r="H935" i="34"/>
  <c r="H936" i="34"/>
  <c r="H937" i="34"/>
  <c r="H938" i="34"/>
  <c r="H939" i="34"/>
  <c r="H940" i="34"/>
  <c r="H941" i="34"/>
  <c r="H942" i="34"/>
  <c r="H943" i="34"/>
  <c r="H944" i="34"/>
  <c r="H945" i="34"/>
  <c r="H946" i="34"/>
  <c r="H947" i="34"/>
  <c r="H948" i="34"/>
  <c r="H949" i="34"/>
  <c r="H950" i="34"/>
  <c r="H951" i="34"/>
  <c r="H952" i="34"/>
  <c r="H953" i="34"/>
  <c r="H954" i="34"/>
  <c r="H955" i="34"/>
  <c r="H956" i="34"/>
  <c r="H957" i="34"/>
  <c r="H958" i="34"/>
  <c r="H959" i="34"/>
  <c r="H960" i="34"/>
  <c r="H961" i="34"/>
  <c r="H962" i="34"/>
  <c r="H963" i="34"/>
  <c r="H964" i="34"/>
  <c r="H965" i="34"/>
  <c r="H966" i="34"/>
  <c r="H967" i="34"/>
  <c r="H968" i="34"/>
  <c r="H969" i="34"/>
  <c r="H970" i="34"/>
  <c r="H971" i="34"/>
  <c r="H972" i="34"/>
  <c r="H973" i="34"/>
  <c r="H974" i="34"/>
  <c r="H975" i="34"/>
  <c r="H976" i="34"/>
  <c r="H977" i="34"/>
  <c r="H978" i="34"/>
  <c r="H979" i="34"/>
  <c r="H980" i="34"/>
  <c r="H981" i="34"/>
  <c r="H982" i="34"/>
  <c r="H983" i="34"/>
  <c r="H984" i="34"/>
  <c r="H985" i="34"/>
  <c r="H986" i="34"/>
  <c r="H987" i="34"/>
  <c r="H988" i="34"/>
  <c r="H989" i="34"/>
  <c r="H990" i="34"/>
  <c r="H991" i="34"/>
  <c r="H992" i="34"/>
  <c r="H993" i="34"/>
  <c r="H994" i="34"/>
  <c r="H995" i="34"/>
  <c r="H996" i="34"/>
  <c r="H997" i="34"/>
  <c r="H998" i="34"/>
  <c r="H999" i="34"/>
  <c r="H1000" i="34"/>
  <c r="H1001" i="34"/>
  <c r="H1002" i="34"/>
  <c r="H1003" i="34"/>
  <c r="H1004" i="34"/>
  <c r="H1005" i="34"/>
  <c r="H1006" i="34"/>
  <c r="H1007" i="34"/>
  <c r="H1008" i="34"/>
  <c r="H1009" i="34"/>
  <c r="H1010" i="34"/>
  <c r="H1011" i="34"/>
  <c r="H1012" i="34"/>
  <c r="H1013" i="34"/>
  <c r="H1014" i="34"/>
  <c r="H1015" i="34"/>
  <c r="H1016" i="34"/>
  <c r="H1017" i="34"/>
  <c r="H1018" i="34"/>
  <c r="H1019" i="34"/>
  <c r="H1020" i="34"/>
  <c r="H1021" i="34"/>
  <c r="H1022" i="34"/>
  <c r="H1023" i="34"/>
  <c r="H1024" i="34"/>
  <c r="H1025" i="34"/>
  <c r="H1026" i="34"/>
  <c r="H1027" i="34"/>
  <c r="H1028" i="34"/>
  <c r="H1029" i="34"/>
  <c r="H1030" i="34"/>
  <c r="H1031" i="34"/>
  <c r="H1032" i="34"/>
  <c r="H1033" i="34"/>
  <c r="H1034" i="34"/>
  <c r="H1035" i="34"/>
  <c r="H1036" i="34"/>
  <c r="H1037" i="34"/>
  <c r="H1038" i="34"/>
  <c r="H1039" i="34"/>
  <c r="H1040" i="34"/>
  <c r="H1041" i="34"/>
  <c r="H1042" i="34"/>
  <c r="H1043" i="34"/>
  <c r="H1044" i="34"/>
  <c r="H1045" i="34"/>
  <c r="H1046" i="34"/>
  <c r="H1047" i="34"/>
  <c r="H1048" i="34"/>
  <c r="H1049" i="34"/>
  <c r="H1050" i="34"/>
  <c r="H1051" i="34"/>
  <c r="H1052" i="34"/>
  <c r="H1053" i="34"/>
  <c r="H1054" i="34"/>
  <c r="H1055" i="34"/>
  <c r="H1056" i="34"/>
  <c r="H1057" i="34"/>
  <c r="H1058" i="34"/>
  <c r="H1059" i="34"/>
  <c r="H1060" i="34"/>
  <c r="H1061" i="34"/>
  <c r="H1062" i="34"/>
  <c r="H1063" i="34"/>
  <c r="H1064" i="34"/>
  <c r="H1065" i="34"/>
  <c r="H1066" i="34"/>
  <c r="H1067" i="34"/>
  <c r="H1068" i="34"/>
  <c r="H1069" i="34"/>
  <c r="H1070" i="34"/>
  <c r="H1071" i="34"/>
  <c r="H1072" i="34"/>
  <c r="H1073" i="34"/>
  <c r="H1074" i="34"/>
  <c r="H1075" i="34"/>
  <c r="H1076" i="34"/>
  <c r="H1077" i="34"/>
  <c r="H1078" i="34"/>
  <c r="H1079" i="34"/>
  <c r="H1080" i="34"/>
  <c r="H1081" i="34"/>
  <c r="H1082" i="34"/>
  <c r="H1083" i="34"/>
  <c r="H1084" i="34"/>
  <c r="H1085" i="34"/>
  <c r="H1086" i="34"/>
  <c r="H1087" i="34"/>
  <c r="H1088" i="34"/>
  <c r="H1089" i="34"/>
  <c r="H1090" i="34"/>
  <c r="H1091" i="34"/>
  <c r="H1092" i="34"/>
  <c r="H1093" i="34"/>
  <c r="H1094" i="34"/>
  <c r="H1095" i="34"/>
  <c r="H1096" i="34"/>
  <c r="H1097" i="34"/>
  <c r="H1098" i="34"/>
  <c r="H1099" i="34"/>
  <c r="H1100" i="34"/>
  <c r="H1101" i="34"/>
  <c r="H1102" i="34"/>
  <c r="H1103" i="34"/>
  <c r="H1104" i="34"/>
  <c r="H1105" i="34"/>
  <c r="H1106" i="34"/>
  <c r="H1107" i="34"/>
  <c r="H1108" i="34"/>
  <c r="H1109" i="34"/>
  <c r="H1110" i="34"/>
  <c r="H1111" i="34"/>
  <c r="H1112" i="34"/>
  <c r="H1113" i="34"/>
  <c r="H1114" i="34"/>
  <c r="H1115" i="34"/>
  <c r="H1116" i="34"/>
  <c r="H1117" i="34"/>
  <c r="H1118" i="34"/>
  <c r="H1119" i="34"/>
  <c r="H1120" i="34"/>
  <c r="H1121" i="34"/>
  <c r="H1122" i="34"/>
  <c r="H1123" i="34"/>
  <c r="H1124" i="34"/>
  <c r="H1125" i="34"/>
  <c r="H1126" i="34"/>
  <c r="H1127" i="34"/>
  <c r="H1128" i="34"/>
  <c r="H1129" i="34"/>
  <c r="H1130" i="34"/>
  <c r="H1131" i="34"/>
  <c r="H1132" i="34"/>
  <c r="H1133" i="34"/>
  <c r="H1134" i="34"/>
  <c r="H1135" i="34"/>
  <c r="H1136" i="34"/>
  <c r="H1137" i="34"/>
  <c r="H1138" i="34"/>
  <c r="H1139" i="34"/>
  <c r="H1140" i="34"/>
  <c r="H1141" i="34"/>
  <c r="H1142" i="34"/>
  <c r="H1143" i="34"/>
  <c r="H1144" i="34"/>
  <c r="H1145" i="34"/>
  <c r="H1146" i="34"/>
  <c r="H1147" i="34"/>
  <c r="H1148" i="34"/>
  <c r="H1149" i="34"/>
  <c r="H1150" i="34"/>
  <c r="H1151" i="34"/>
  <c r="H1152" i="34"/>
  <c r="H1153" i="34"/>
  <c r="H1154" i="34"/>
  <c r="H1155" i="34"/>
  <c r="H1156" i="34"/>
  <c r="H1157" i="34"/>
  <c r="H1158" i="34"/>
  <c r="H1159" i="34"/>
  <c r="H1160" i="34"/>
  <c r="H1161" i="34"/>
  <c r="H1162" i="34"/>
  <c r="H1163" i="34"/>
  <c r="H1164" i="34"/>
  <c r="H1165" i="34"/>
  <c r="H1166" i="34"/>
  <c r="H1167" i="34"/>
  <c r="H1168" i="34"/>
  <c r="H1169" i="34"/>
  <c r="H1170" i="34"/>
  <c r="H1171" i="34"/>
  <c r="H1172" i="34"/>
  <c r="H1173" i="34"/>
  <c r="H1174" i="34"/>
  <c r="H1175" i="34"/>
  <c r="H1176" i="34"/>
  <c r="H1177" i="34"/>
  <c r="H1178" i="34"/>
  <c r="H1179" i="34"/>
  <c r="H1180" i="34"/>
  <c r="H1181" i="34"/>
  <c r="H1182" i="34"/>
  <c r="H1183" i="34"/>
  <c r="H1184" i="34"/>
  <c r="H1185" i="34"/>
  <c r="H1186" i="34"/>
  <c r="H1187" i="34"/>
  <c r="H1188" i="34"/>
  <c r="H1189" i="34"/>
  <c r="H1190" i="34"/>
  <c r="H1191" i="34"/>
  <c r="H1192" i="34"/>
  <c r="H1193" i="34"/>
  <c r="H1194" i="34"/>
  <c r="H1195" i="34"/>
  <c r="H1196" i="34"/>
  <c r="H1197" i="34"/>
  <c r="H1198" i="34"/>
  <c r="H1199" i="34"/>
  <c r="H1200" i="34"/>
  <c r="H1201" i="34"/>
  <c r="H1202" i="34"/>
  <c r="H1203" i="34"/>
  <c r="H1204" i="34"/>
  <c r="H1205" i="34"/>
  <c r="H1206" i="34"/>
  <c r="H1207" i="34"/>
  <c r="H1208" i="34"/>
  <c r="H1209" i="34"/>
  <c r="H1210" i="34"/>
  <c r="H1211" i="34"/>
  <c r="H1212" i="34"/>
  <c r="H1213" i="34"/>
  <c r="H1214" i="34"/>
  <c r="H1215" i="34"/>
  <c r="H1216" i="34"/>
  <c r="H1217" i="34"/>
  <c r="H1218" i="34"/>
  <c r="H1219" i="34"/>
  <c r="H1220" i="34"/>
  <c r="H1221" i="34"/>
  <c r="H1222" i="34"/>
  <c r="H1223" i="34"/>
  <c r="H1224" i="34"/>
  <c r="H1225" i="34"/>
  <c r="H1226" i="34"/>
  <c r="H1227" i="34"/>
  <c r="H1228" i="34"/>
  <c r="H1229" i="34"/>
  <c r="H1230" i="34"/>
  <c r="H1231" i="34"/>
  <c r="H1232" i="34"/>
  <c r="H1233" i="34"/>
  <c r="H1234" i="34"/>
  <c r="H1235" i="34"/>
  <c r="H1236" i="34"/>
  <c r="H1237" i="34"/>
  <c r="H1238" i="34"/>
  <c r="H1239" i="34"/>
  <c r="H1240" i="34"/>
  <c r="H1241" i="34"/>
  <c r="H1242" i="34"/>
  <c r="H1243" i="34"/>
  <c r="H1244" i="34"/>
  <c r="H1245" i="34"/>
  <c r="H1246" i="34"/>
  <c r="H1247" i="34"/>
  <c r="H1248" i="34"/>
  <c r="H1249" i="34"/>
  <c r="H1250" i="34"/>
  <c r="H1251" i="34"/>
  <c r="H1252" i="34"/>
  <c r="H1253" i="34"/>
  <c r="H1254" i="34"/>
  <c r="H1255" i="34"/>
  <c r="H1256" i="34"/>
  <c r="H1257" i="34"/>
  <c r="H1258" i="34"/>
  <c r="H1259" i="34"/>
  <c r="H1260" i="34"/>
  <c r="H1261" i="34"/>
  <c r="H1262" i="34"/>
  <c r="H1263" i="34"/>
  <c r="H1264" i="34"/>
  <c r="H1265" i="34"/>
  <c r="H1266" i="34"/>
  <c r="H1267" i="34"/>
  <c r="H1268" i="34"/>
  <c r="H1269" i="34"/>
  <c r="H1270" i="34"/>
  <c r="H1271" i="34"/>
  <c r="H1272" i="34"/>
  <c r="H1273" i="34"/>
  <c r="H1274" i="34"/>
  <c r="H1275" i="34"/>
  <c r="H1276" i="34"/>
  <c r="H1277" i="34"/>
  <c r="H1278" i="34"/>
  <c r="H1279" i="34"/>
  <c r="H1280" i="34"/>
  <c r="H1281" i="34"/>
  <c r="H1282" i="34"/>
  <c r="H1283" i="34"/>
  <c r="H1284" i="34"/>
  <c r="H1285" i="34"/>
  <c r="H1286" i="34"/>
  <c r="H1287" i="34"/>
  <c r="H1288" i="34"/>
  <c r="H1289" i="34"/>
  <c r="H1290" i="34"/>
  <c r="H1291" i="34"/>
  <c r="H1292" i="34"/>
  <c r="H1293" i="34"/>
  <c r="H1294" i="34"/>
  <c r="H1295" i="34"/>
  <c r="H1296" i="34"/>
  <c r="H1297" i="34"/>
  <c r="H1298" i="34"/>
  <c r="H1299" i="34"/>
  <c r="H1300" i="34"/>
  <c r="H1301" i="34"/>
  <c r="H1302" i="34"/>
  <c r="H1303" i="34"/>
  <c r="H1304" i="34"/>
  <c r="H1305" i="34"/>
  <c r="H1306" i="34"/>
  <c r="H1307" i="34"/>
  <c r="H1308" i="34"/>
  <c r="H1309" i="34"/>
  <c r="H1310" i="34"/>
  <c r="H1311" i="34"/>
  <c r="H1312" i="34"/>
  <c r="H1313" i="34"/>
  <c r="H1314" i="34"/>
  <c r="H1315" i="34"/>
  <c r="H1316" i="34"/>
  <c r="H1317" i="34"/>
  <c r="H1318" i="34"/>
  <c r="H1319" i="34"/>
  <c r="H1320" i="34"/>
  <c r="H1321" i="34"/>
  <c r="H1322" i="34"/>
  <c r="H1323" i="34"/>
  <c r="H1324" i="34"/>
  <c r="H1325" i="34"/>
  <c r="H1326" i="34"/>
  <c r="H1327" i="34"/>
  <c r="H1328" i="34"/>
  <c r="H1329" i="34"/>
  <c r="H1330" i="34"/>
  <c r="H1331" i="34"/>
  <c r="H1332" i="34"/>
  <c r="H1333" i="34"/>
  <c r="H1334" i="34"/>
  <c r="H1335" i="34"/>
  <c r="H1336" i="34"/>
  <c r="H1337" i="34"/>
  <c r="H1338" i="34"/>
  <c r="H1339" i="34"/>
  <c r="H1340" i="34"/>
  <c r="H1341" i="34"/>
  <c r="H1342" i="34"/>
  <c r="H1343" i="34"/>
  <c r="H1344" i="34"/>
  <c r="H1345" i="34"/>
  <c r="H1346" i="34"/>
  <c r="H1347" i="34"/>
  <c r="H1348" i="34"/>
  <c r="H1349" i="34"/>
  <c r="H1350" i="34"/>
  <c r="H1351" i="34"/>
  <c r="H1352" i="34"/>
  <c r="H1353" i="34"/>
  <c r="H1354" i="34"/>
  <c r="H1355" i="34"/>
  <c r="H1356" i="34"/>
  <c r="H1357" i="34"/>
  <c r="H1358" i="34"/>
  <c r="H1359" i="34"/>
  <c r="H1360" i="34"/>
  <c r="H1361" i="34"/>
  <c r="H1362" i="34"/>
  <c r="H1363" i="34"/>
  <c r="H1364" i="34"/>
  <c r="H1365" i="34"/>
  <c r="H1366" i="34"/>
  <c r="H1367" i="34"/>
  <c r="H1368" i="34"/>
  <c r="H1369" i="34"/>
  <c r="H1370" i="34"/>
  <c r="H1371" i="34"/>
  <c r="H1372" i="34"/>
  <c r="H1373" i="34"/>
  <c r="H1374" i="34"/>
  <c r="H1375" i="34"/>
  <c r="H1376" i="34"/>
  <c r="H1377" i="34"/>
  <c r="H1378" i="34"/>
  <c r="H1379" i="34"/>
  <c r="H1380" i="34"/>
  <c r="H1381" i="34"/>
  <c r="H1382" i="34"/>
  <c r="H1383" i="34"/>
  <c r="H1384" i="34"/>
  <c r="H1385" i="34"/>
  <c r="H1386" i="34"/>
  <c r="H1387" i="34"/>
  <c r="H1388" i="34"/>
  <c r="H1389" i="34"/>
  <c r="H1390" i="34"/>
  <c r="H1391" i="34"/>
  <c r="H1392" i="34"/>
  <c r="H1393" i="34"/>
  <c r="H1394" i="34"/>
  <c r="H1395" i="34"/>
  <c r="H1396" i="34"/>
  <c r="H1397" i="34"/>
  <c r="H1398" i="34"/>
  <c r="H1399" i="34"/>
  <c r="H1400" i="34"/>
  <c r="H1401" i="34"/>
  <c r="H1402" i="34"/>
  <c r="H1403" i="34"/>
  <c r="H1404" i="34"/>
  <c r="H1405" i="34"/>
  <c r="H1406" i="34"/>
  <c r="H1407" i="34"/>
  <c r="H1408" i="34"/>
  <c r="H1409" i="34"/>
  <c r="H1410" i="34"/>
  <c r="H1411" i="34"/>
  <c r="H1412" i="34"/>
  <c r="H1413" i="34"/>
  <c r="H1414" i="34"/>
  <c r="H1415" i="34"/>
  <c r="H1416" i="34"/>
  <c r="H1417" i="34"/>
  <c r="H1418" i="34"/>
  <c r="H1419" i="34"/>
  <c r="H1420" i="34"/>
  <c r="H1421" i="34"/>
  <c r="H1422" i="34"/>
  <c r="H1423" i="34"/>
  <c r="H1424" i="34"/>
  <c r="H1425" i="34"/>
  <c r="H1426" i="34"/>
  <c r="H1427" i="34"/>
  <c r="H1428" i="34"/>
  <c r="H1429" i="34"/>
  <c r="H1430" i="34"/>
  <c r="H1431" i="34"/>
  <c r="H1432" i="34"/>
  <c r="H1433" i="34"/>
  <c r="H1434" i="34"/>
  <c r="H1435" i="34"/>
  <c r="H1436" i="34"/>
  <c r="H1437" i="34"/>
  <c r="H1438" i="34"/>
  <c r="H1439" i="34"/>
  <c r="H1440" i="34"/>
  <c r="H1441" i="34"/>
  <c r="H1442" i="34"/>
  <c r="H1443" i="34"/>
  <c r="H1444" i="34"/>
  <c r="H1445" i="34"/>
  <c r="H1446" i="34"/>
  <c r="H1447" i="34"/>
  <c r="H1448" i="34"/>
  <c r="H1449" i="34"/>
  <c r="H1450" i="34"/>
  <c r="H1451" i="34"/>
  <c r="H1452" i="34"/>
  <c r="H1453" i="34"/>
  <c r="H1454" i="34"/>
  <c r="H1455" i="34"/>
  <c r="H1456" i="34"/>
  <c r="H1457" i="34"/>
  <c r="H1458" i="34"/>
  <c r="H1459" i="34"/>
  <c r="H1460" i="34"/>
  <c r="H1461" i="34"/>
  <c r="H1462" i="34"/>
  <c r="H1463" i="34"/>
  <c r="H1464" i="34"/>
  <c r="H1465" i="34"/>
  <c r="H1466" i="34"/>
  <c r="H1467" i="34"/>
  <c r="H1468" i="34"/>
  <c r="H1469" i="34"/>
  <c r="H1470" i="34"/>
  <c r="H1471" i="34"/>
  <c r="H1472" i="34"/>
  <c r="H1473" i="34"/>
  <c r="H1474" i="34"/>
  <c r="H1475" i="34"/>
  <c r="H1476" i="34"/>
  <c r="H1477" i="34"/>
  <c r="H1478" i="34"/>
  <c r="H1479" i="34"/>
  <c r="H1480" i="34"/>
  <c r="H1481" i="34"/>
  <c r="H1482" i="34"/>
  <c r="H1483" i="34"/>
  <c r="H1484" i="34"/>
  <c r="H1485" i="34"/>
  <c r="H1486" i="34"/>
  <c r="H1487" i="34"/>
  <c r="H1488" i="34"/>
  <c r="H1489" i="34"/>
  <c r="H1490" i="34"/>
  <c r="H1491" i="34"/>
  <c r="H1492" i="34"/>
  <c r="H1493" i="34"/>
  <c r="H1494" i="34"/>
  <c r="H1495" i="34"/>
  <c r="H1496" i="34"/>
  <c r="H1497" i="34"/>
  <c r="H1498" i="34"/>
  <c r="H1499" i="34"/>
  <c r="H1500" i="34"/>
  <c r="H1501" i="34"/>
  <c r="H1502" i="34"/>
  <c r="H1503" i="34"/>
  <c r="H1504" i="34"/>
  <c r="H1505" i="34"/>
  <c r="H1506" i="34"/>
  <c r="H1507" i="34"/>
  <c r="H1508" i="34"/>
  <c r="H1509" i="34"/>
  <c r="H1510" i="34"/>
  <c r="H1511" i="34"/>
  <c r="H1512" i="34"/>
  <c r="H1513" i="34"/>
  <c r="H1514" i="34"/>
  <c r="H1515" i="34"/>
  <c r="H1516" i="34"/>
  <c r="H1517" i="34"/>
  <c r="H1518" i="34"/>
  <c r="H1519" i="34"/>
  <c r="H1520" i="34"/>
  <c r="H1521" i="34"/>
  <c r="H1522" i="34"/>
  <c r="H1523" i="34"/>
  <c r="H1524" i="34"/>
  <c r="H1525" i="34"/>
  <c r="H1526" i="34"/>
  <c r="H1527" i="34"/>
  <c r="H1528" i="34"/>
  <c r="H1529" i="34"/>
  <c r="H1530" i="34"/>
  <c r="H1531" i="34"/>
  <c r="H1532" i="34"/>
  <c r="H1533" i="34"/>
  <c r="H1534" i="34"/>
  <c r="H1535" i="34"/>
  <c r="H1536" i="34"/>
  <c r="H1537" i="34"/>
  <c r="H1538" i="34"/>
  <c r="H1539" i="34"/>
  <c r="H1540" i="34"/>
  <c r="H1541" i="34"/>
  <c r="H1542" i="34"/>
  <c r="H1543" i="34"/>
  <c r="H1544" i="34"/>
  <c r="H1545" i="34"/>
  <c r="H1546" i="34"/>
  <c r="H1547" i="34"/>
  <c r="H1548" i="34"/>
  <c r="H1549" i="34"/>
  <c r="H1550" i="34"/>
  <c r="H1551" i="34"/>
  <c r="H1552" i="34"/>
  <c r="H1553" i="34"/>
  <c r="H1554" i="34"/>
  <c r="H1555" i="34"/>
  <c r="H1556" i="34"/>
  <c r="H1557" i="34"/>
  <c r="H1558" i="34"/>
  <c r="H1559" i="34"/>
  <c r="H1560" i="34"/>
  <c r="H1561" i="34"/>
  <c r="H1562" i="34"/>
  <c r="H1563" i="34"/>
  <c r="H1564" i="34"/>
  <c r="H1565" i="34"/>
  <c r="H1566" i="34"/>
  <c r="H1567" i="34"/>
  <c r="H1568" i="34"/>
  <c r="H1569" i="34"/>
  <c r="H1570" i="34"/>
  <c r="H1571" i="34"/>
  <c r="H1572" i="34"/>
  <c r="H1573" i="34"/>
  <c r="H1574" i="34"/>
  <c r="H1575" i="34"/>
  <c r="H1576" i="34"/>
  <c r="H1577" i="34"/>
  <c r="H1578" i="34"/>
  <c r="H1579" i="34"/>
  <c r="H1580" i="34"/>
  <c r="H1581" i="34"/>
  <c r="H1582" i="34"/>
  <c r="H1583" i="34"/>
  <c r="H1584" i="34"/>
  <c r="H1585" i="34"/>
  <c r="H1586" i="34"/>
  <c r="H1587" i="34"/>
  <c r="H1588" i="34"/>
  <c r="H1589" i="34"/>
  <c r="H1590" i="34"/>
  <c r="H1591" i="34"/>
  <c r="H1592" i="34"/>
  <c r="H1593" i="34"/>
  <c r="H1594" i="34"/>
  <c r="H1595" i="34"/>
  <c r="H1596" i="34"/>
  <c r="H1597" i="34"/>
  <c r="H1598" i="34"/>
  <c r="H1599" i="34"/>
  <c r="H1600" i="34"/>
  <c r="H1601" i="34"/>
  <c r="H1602" i="34"/>
  <c r="H1603" i="34"/>
  <c r="H1604" i="34"/>
  <c r="H1605" i="34"/>
  <c r="H1606" i="34"/>
  <c r="H1607" i="34"/>
  <c r="H1608" i="34"/>
  <c r="H1609" i="34"/>
  <c r="H1610" i="34"/>
  <c r="H1611" i="34"/>
  <c r="H1612" i="34"/>
  <c r="H1613" i="34"/>
  <c r="H1614" i="34"/>
  <c r="H1615" i="34"/>
  <c r="H1616" i="34"/>
  <c r="H1617" i="34"/>
  <c r="H1618" i="34"/>
  <c r="H1619" i="34"/>
  <c r="H1620" i="34"/>
  <c r="H1621" i="34"/>
  <c r="H1622" i="34"/>
  <c r="H1623" i="34"/>
  <c r="H1624" i="34"/>
  <c r="H1625" i="34"/>
  <c r="H1626" i="34"/>
  <c r="H1627" i="34"/>
  <c r="H1628" i="34"/>
  <c r="H1629" i="34"/>
  <c r="H1630" i="34"/>
  <c r="H1631" i="34"/>
  <c r="H1632" i="34"/>
  <c r="H1633" i="34"/>
  <c r="H1634" i="34"/>
  <c r="H1635" i="34"/>
  <c r="H1636" i="34"/>
  <c r="H1637" i="34"/>
  <c r="H1638" i="34"/>
  <c r="H1639" i="34"/>
  <c r="H1640" i="34"/>
  <c r="H1641" i="34"/>
  <c r="H1642" i="34"/>
  <c r="H1643" i="34"/>
  <c r="H1644" i="34"/>
  <c r="H1645" i="34"/>
  <c r="H1646" i="34"/>
  <c r="H1647" i="34"/>
  <c r="H1648" i="34"/>
  <c r="H1649" i="34"/>
  <c r="H1650" i="34"/>
  <c r="H1651" i="34"/>
  <c r="H1652" i="34"/>
  <c r="H1653" i="34"/>
  <c r="H1654" i="34"/>
  <c r="H1655" i="34"/>
  <c r="H1656" i="34"/>
  <c r="H1657" i="34"/>
  <c r="H1658" i="34"/>
  <c r="H1659" i="34"/>
  <c r="H1660" i="34"/>
  <c r="H1661" i="34"/>
  <c r="H1662" i="34"/>
  <c r="H1663" i="34"/>
  <c r="H1664" i="34"/>
  <c r="H1665" i="34"/>
  <c r="H1666" i="34"/>
  <c r="H1667" i="34"/>
  <c r="H1668" i="34"/>
  <c r="H1669" i="34"/>
  <c r="H1670" i="34"/>
  <c r="H1671" i="34"/>
  <c r="H1672" i="34"/>
  <c r="H1673" i="34"/>
  <c r="H1674" i="34"/>
  <c r="H1675" i="34"/>
  <c r="H1676" i="34"/>
  <c r="H1677" i="34"/>
  <c r="H1678" i="34"/>
  <c r="H1679" i="34"/>
  <c r="H1680" i="34"/>
  <c r="H1681" i="34"/>
  <c r="H1682" i="34"/>
  <c r="H1683" i="34"/>
  <c r="H1684" i="34"/>
  <c r="H1685" i="34"/>
  <c r="H1686" i="34"/>
  <c r="H1687" i="34"/>
  <c r="H1688" i="34"/>
  <c r="H1689" i="34"/>
  <c r="H1690" i="34"/>
  <c r="H1691" i="34"/>
  <c r="H1692" i="34"/>
  <c r="H1693" i="34"/>
  <c r="H1694" i="34"/>
  <c r="H1695" i="34"/>
  <c r="H1696" i="34"/>
  <c r="H1697" i="34"/>
  <c r="H1698" i="34"/>
  <c r="H1699" i="34"/>
  <c r="H1700" i="34"/>
  <c r="H1701" i="34"/>
  <c r="H1702" i="34"/>
  <c r="H1703" i="34"/>
  <c r="H1704" i="34"/>
  <c r="H1705" i="34"/>
  <c r="H1706" i="34"/>
  <c r="H1707" i="34"/>
  <c r="H1708" i="34"/>
  <c r="H1709" i="34"/>
  <c r="H1710" i="34"/>
  <c r="H1711" i="34"/>
  <c r="H1712" i="34"/>
  <c r="H1713" i="34"/>
  <c r="H1714" i="34"/>
  <c r="H1715" i="34"/>
  <c r="H1716" i="34"/>
  <c r="H1717" i="34"/>
  <c r="H1718" i="34"/>
  <c r="H1719" i="34"/>
  <c r="H1720" i="34"/>
  <c r="H1721" i="34"/>
  <c r="H1722" i="34"/>
  <c r="H1723" i="34"/>
  <c r="H1724" i="34"/>
  <c r="H1725" i="34"/>
  <c r="H1726" i="34"/>
  <c r="H1727" i="34"/>
  <c r="H1728" i="34"/>
  <c r="H1729" i="34"/>
  <c r="H1730" i="34"/>
  <c r="H1731" i="34"/>
  <c r="H1732" i="34"/>
  <c r="H1733" i="34"/>
  <c r="H1734" i="34"/>
  <c r="H1735" i="34"/>
  <c r="H1736" i="34"/>
  <c r="H1737" i="34"/>
  <c r="H1738" i="34"/>
  <c r="H1739" i="34"/>
  <c r="H1740" i="34"/>
  <c r="H1741" i="34"/>
  <c r="H1742" i="34"/>
  <c r="H1743" i="34"/>
  <c r="H1744" i="34"/>
  <c r="H1745" i="34"/>
  <c r="H1746" i="34"/>
  <c r="H1747" i="34"/>
  <c r="H1748" i="34"/>
  <c r="H1749" i="34"/>
  <c r="H1750" i="34"/>
  <c r="H1751" i="34"/>
  <c r="H1752" i="34"/>
  <c r="H1753" i="34"/>
  <c r="H1754" i="34"/>
  <c r="H1755" i="34"/>
  <c r="H1756" i="34"/>
  <c r="H1757" i="34"/>
  <c r="H1758" i="34"/>
  <c r="H1759" i="34"/>
  <c r="H1760" i="34"/>
  <c r="H1761" i="34"/>
  <c r="H1762" i="34"/>
  <c r="H1763" i="34"/>
  <c r="H1764" i="34"/>
  <c r="H1765" i="34"/>
  <c r="H1766" i="34"/>
  <c r="H1767" i="34"/>
  <c r="H1768" i="34"/>
  <c r="H1769" i="34"/>
  <c r="H1770" i="34"/>
  <c r="H1771" i="34"/>
  <c r="H1772" i="34"/>
  <c r="H1773" i="34"/>
  <c r="H1774" i="34"/>
  <c r="H1775" i="34"/>
  <c r="H1776" i="34"/>
  <c r="H1777" i="34"/>
  <c r="H1778" i="34"/>
  <c r="H1779" i="34"/>
  <c r="H1780" i="34"/>
  <c r="H1781" i="34"/>
  <c r="H1782" i="34"/>
  <c r="H1783" i="34"/>
  <c r="H1784" i="34"/>
  <c r="H1785" i="34"/>
  <c r="H1786" i="34"/>
  <c r="H1787" i="34"/>
  <c r="H1788" i="34"/>
  <c r="H1789" i="34"/>
  <c r="H1790" i="34"/>
  <c r="H1791" i="34"/>
  <c r="H1792" i="34"/>
  <c r="H1793" i="34"/>
  <c r="H1794" i="34"/>
  <c r="H1795" i="34"/>
  <c r="H1796" i="34"/>
  <c r="H1797" i="34"/>
  <c r="H1798" i="34"/>
  <c r="H1799" i="34"/>
  <c r="H1800" i="34"/>
  <c r="H1801" i="34"/>
  <c r="H1802" i="34"/>
  <c r="H1803" i="34"/>
  <c r="H1804" i="34"/>
  <c r="H1805" i="34"/>
  <c r="H1806" i="34"/>
  <c r="H1807" i="34"/>
  <c r="H1808" i="34"/>
  <c r="H1809" i="34"/>
  <c r="H1810" i="34"/>
  <c r="H1811" i="34"/>
  <c r="H1812" i="34"/>
  <c r="H1813" i="34"/>
  <c r="H1814" i="34"/>
  <c r="H1815" i="34"/>
  <c r="H1816" i="34"/>
  <c r="H1817" i="34"/>
  <c r="H1818" i="34"/>
  <c r="H1819" i="34"/>
  <c r="H1820" i="34"/>
  <c r="H1821" i="34"/>
  <c r="H1822" i="34"/>
  <c r="H1823" i="34"/>
  <c r="H1824" i="34"/>
  <c r="H1825" i="34"/>
  <c r="H1826" i="34"/>
  <c r="H1827" i="34"/>
  <c r="H1828" i="34"/>
  <c r="H1829" i="34"/>
  <c r="H1830" i="34"/>
  <c r="H1831" i="34"/>
  <c r="H1832" i="34"/>
  <c r="H1833" i="34"/>
  <c r="H1834" i="34"/>
  <c r="H1835" i="34"/>
  <c r="H1836" i="34"/>
  <c r="H1837" i="34"/>
  <c r="H1838" i="34"/>
  <c r="H1839" i="34"/>
  <c r="H1840" i="34"/>
  <c r="H1841" i="34"/>
  <c r="H1842" i="34"/>
  <c r="H1843" i="34"/>
  <c r="H1844" i="34"/>
  <c r="H1845" i="34"/>
  <c r="H1846" i="34"/>
  <c r="H1847" i="34"/>
  <c r="H1848" i="34"/>
  <c r="H1849" i="34"/>
  <c r="H1850" i="34"/>
  <c r="H1851" i="34"/>
  <c r="H1852" i="34"/>
  <c r="H1853" i="34"/>
  <c r="H1854" i="34"/>
  <c r="H1855" i="34"/>
  <c r="H1856" i="34"/>
  <c r="H1857" i="34"/>
  <c r="H1858" i="34"/>
  <c r="H1859" i="34"/>
  <c r="H1860" i="34"/>
  <c r="H1861" i="34"/>
  <c r="H1862" i="34"/>
  <c r="H1863" i="34"/>
  <c r="H1864" i="34"/>
  <c r="H1865" i="34"/>
  <c r="H1866" i="34"/>
  <c r="H1867" i="34"/>
  <c r="H1868" i="34"/>
  <c r="H1869" i="34"/>
  <c r="H1870" i="34"/>
  <c r="H1871" i="34"/>
  <c r="H1872" i="34"/>
  <c r="H1873" i="34"/>
  <c r="H1874" i="34"/>
  <c r="H1875" i="34"/>
  <c r="H1876" i="34"/>
  <c r="H1877" i="34"/>
  <c r="H1878" i="34"/>
  <c r="H1879" i="34"/>
  <c r="H1880" i="34"/>
  <c r="H1881" i="34"/>
  <c r="H1882" i="34"/>
  <c r="H1883" i="34"/>
  <c r="H1884" i="34"/>
  <c r="H1885" i="34"/>
  <c r="H1886" i="34"/>
  <c r="H1887" i="34"/>
  <c r="H1888" i="34"/>
  <c r="H1889" i="34"/>
  <c r="H1890" i="34"/>
  <c r="H1891" i="34"/>
  <c r="H1892" i="34"/>
  <c r="H1893" i="34"/>
  <c r="H1894" i="34"/>
  <c r="H1895" i="34"/>
  <c r="H1896" i="34"/>
  <c r="H1897" i="34"/>
  <c r="H1898" i="34"/>
  <c r="H1899" i="34"/>
  <c r="H1900" i="34"/>
  <c r="H1901" i="34"/>
  <c r="H1902" i="34"/>
  <c r="H1903" i="34"/>
  <c r="H1904" i="34"/>
  <c r="H1905" i="34"/>
  <c r="H1906" i="34"/>
  <c r="H1907" i="34"/>
  <c r="H1908" i="34"/>
  <c r="H1909" i="34"/>
  <c r="H1910" i="34"/>
  <c r="H1911" i="34"/>
  <c r="H1912" i="34"/>
  <c r="H1913" i="34"/>
  <c r="H1914" i="34"/>
  <c r="H1915" i="34"/>
  <c r="H1916" i="34"/>
  <c r="H1917" i="34"/>
  <c r="H1918" i="34"/>
  <c r="H1919" i="34"/>
  <c r="H1920" i="34"/>
  <c r="H1921" i="34"/>
  <c r="H1922" i="34"/>
  <c r="H1923" i="34"/>
  <c r="H1924" i="34"/>
  <c r="H1925" i="34"/>
  <c r="H1926" i="34"/>
  <c r="H1927" i="34"/>
  <c r="H1928" i="34"/>
  <c r="H1929" i="34"/>
  <c r="H1930" i="34"/>
  <c r="H1931" i="34"/>
  <c r="H1932" i="34"/>
  <c r="H1933" i="34"/>
  <c r="H1934" i="34"/>
  <c r="H1935" i="34"/>
  <c r="H1936" i="34"/>
  <c r="H1937" i="34"/>
  <c r="H1938" i="34"/>
  <c r="H1939" i="34"/>
  <c r="H1940" i="34"/>
  <c r="H1941" i="34"/>
  <c r="H1942" i="34"/>
  <c r="H1943" i="34"/>
  <c r="H1944" i="34"/>
  <c r="H1945" i="34"/>
  <c r="H1946" i="34"/>
  <c r="H1947" i="34"/>
  <c r="H1948" i="34"/>
  <c r="H1949" i="34"/>
  <c r="H1950" i="34"/>
  <c r="H1951" i="34"/>
  <c r="H1952" i="34"/>
  <c r="H1953" i="34"/>
  <c r="H1954" i="34"/>
  <c r="H1955" i="34"/>
  <c r="H1956" i="34"/>
  <c r="H1957" i="34"/>
  <c r="H1958" i="34"/>
  <c r="H1959" i="34"/>
  <c r="H1960" i="34"/>
  <c r="H1961" i="34"/>
  <c r="H1962" i="34"/>
  <c r="H1963" i="34"/>
  <c r="H1964" i="34"/>
  <c r="H1965" i="34"/>
  <c r="H1966" i="34"/>
  <c r="H1967" i="34"/>
  <c r="H1968" i="34"/>
  <c r="H1969" i="34"/>
  <c r="H1970" i="34"/>
  <c r="H1971" i="34"/>
  <c r="H1972" i="34"/>
  <c r="H1973" i="34"/>
  <c r="H1974" i="34"/>
  <c r="H1975" i="34"/>
  <c r="H1976" i="34"/>
  <c r="H1977" i="34"/>
  <c r="H1978" i="34"/>
  <c r="H1979" i="34"/>
  <c r="H1980" i="34"/>
  <c r="H1981" i="34"/>
  <c r="H1982" i="34"/>
  <c r="H1983" i="34"/>
  <c r="H1984" i="34"/>
  <c r="H1985" i="34"/>
  <c r="H1986" i="34"/>
  <c r="H1987" i="34"/>
  <c r="H1988" i="34"/>
  <c r="H1989" i="34"/>
  <c r="H1990" i="34"/>
  <c r="H1991" i="34"/>
  <c r="H1992" i="34"/>
  <c r="H1993" i="34"/>
  <c r="H1994" i="34"/>
  <c r="H1995" i="34"/>
  <c r="H1996" i="34"/>
  <c r="H1997" i="34"/>
  <c r="H1998" i="34"/>
  <c r="H1999" i="34"/>
  <c r="H2000" i="34"/>
  <c r="H2001" i="34"/>
  <c r="H2002" i="34"/>
  <c r="H2003" i="34"/>
  <c r="H2004" i="34"/>
  <c r="H2005" i="34"/>
  <c r="H2006" i="34"/>
  <c r="H2007" i="34"/>
  <c r="H2008" i="34"/>
  <c r="H2009" i="34"/>
  <c r="H2010" i="34"/>
  <c r="H2011" i="34"/>
  <c r="H2012" i="34"/>
  <c r="H2013" i="34"/>
  <c r="H2014" i="34"/>
  <c r="H2015" i="34"/>
  <c r="H2016" i="34"/>
  <c r="H2017" i="34"/>
  <c r="H2018" i="34"/>
  <c r="H2019" i="34"/>
  <c r="H2020" i="34"/>
  <c r="H2021" i="34"/>
  <c r="H2022" i="34"/>
  <c r="H2023" i="34"/>
  <c r="H2024" i="34"/>
  <c r="H2025" i="34"/>
  <c r="H2026" i="34"/>
  <c r="H2027" i="34"/>
  <c r="H2028" i="34"/>
  <c r="H2029" i="34"/>
  <c r="H2030" i="34"/>
  <c r="H2031" i="34"/>
  <c r="H2032" i="34"/>
  <c r="H2033" i="34"/>
  <c r="H2034" i="34"/>
  <c r="H2035" i="34"/>
  <c r="H2036" i="34"/>
  <c r="H2037" i="34"/>
  <c r="H2038" i="34"/>
  <c r="H2039" i="34"/>
  <c r="H2040" i="34"/>
  <c r="H2041" i="34"/>
  <c r="H2042" i="34"/>
  <c r="H2043" i="34"/>
  <c r="H2044" i="34"/>
  <c r="H2045" i="34"/>
  <c r="H2046" i="34"/>
  <c r="H2047" i="34"/>
  <c r="H2048" i="34"/>
  <c r="H2049" i="34"/>
  <c r="H2050" i="34"/>
  <c r="H2051" i="34"/>
  <c r="H2052" i="34"/>
  <c r="H2053" i="34"/>
  <c r="H2054" i="34"/>
  <c r="H2055" i="34"/>
  <c r="H2056" i="34"/>
  <c r="H2057" i="34"/>
  <c r="H2058" i="34"/>
  <c r="H2059" i="34"/>
  <c r="H2060" i="34"/>
  <c r="H2061" i="34"/>
  <c r="H2062" i="34"/>
  <c r="H2063" i="34"/>
  <c r="H2064" i="34"/>
  <c r="H2065" i="34"/>
  <c r="H2066" i="34"/>
  <c r="H2067" i="34"/>
  <c r="H2068" i="34"/>
  <c r="H2069" i="34"/>
  <c r="H2070" i="34"/>
  <c r="H2071" i="34"/>
  <c r="H2072" i="34"/>
  <c r="H2073" i="34"/>
  <c r="H2074" i="34"/>
  <c r="H2075" i="34"/>
  <c r="H2076" i="34"/>
  <c r="H2077" i="34"/>
  <c r="H2078" i="34"/>
  <c r="H2079" i="34"/>
  <c r="H2080" i="34"/>
  <c r="H2081" i="34"/>
  <c r="H2082" i="34"/>
  <c r="H2083" i="34"/>
  <c r="H2084" i="34"/>
  <c r="H2085" i="34"/>
  <c r="H2086" i="34"/>
  <c r="H2087" i="34"/>
  <c r="H2088" i="34"/>
  <c r="H2089" i="34"/>
  <c r="H2090" i="34"/>
  <c r="H2091" i="34"/>
  <c r="H2092" i="34"/>
  <c r="H2093" i="34"/>
  <c r="H2094" i="34"/>
  <c r="H2095" i="34"/>
  <c r="H2096" i="34"/>
  <c r="H2097" i="34"/>
  <c r="H2098" i="34"/>
  <c r="H2099" i="34"/>
  <c r="H2100" i="34"/>
  <c r="H2101" i="34"/>
  <c r="H2102" i="34"/>
  <c r="H2103" i="34"/>
  <c r="H2104" i="34"/>
  <c r="H2105" i="34"/>
  <c r="H2106" i="34"/>
  <c r="H2107" i="34"/>
  <c r="H2108" i="34"/>
  <c r="H2109" i="34"/>
  <c r="H2110" i="34"/>
  <c r="H2111" i="34"/>
  <c r="H2112" i="34"/>
  <c r="H2113" i="34"/>
  <c r="H2114" i="34"/>
  <c r="H2115" i="34"/>
  <c r="H2116" i="34"/>
  <c r="H2117" i="34"/>
  <c r="H2118" i="34"/>
  <c r="H2119" i="34"/>
  <c r="H2120" i="34"/>
  <c r="H2121" i="34"/>
  <c r="H2122" i="34"/>
  <c r="H2123" i="34"/>
  <c r="H2124" i="34"/>
  <c r="H2125" i="34"/>
  <c r="H2126" i="34"/>
  <c r="H2127" i="34"/>
  <c r="H2128" i="34"/>
  <c r="H2129" i="34"/>
  <c r="H2130" i="34"/>
  <c r="H2131" i="34"/>
  <c r="H2132" i="34"/>
  <c r="H2133" i="34"/>
  <c r="H2134" i="34"/>
  <c r="H2135" i="34"/>
  <c r="H2136" i="34"/>
  <c r="H2137" i="34"/>
  <c r="H2138" i="34"/>
  <c r="H2139" i="34"/>
  <c r="H2140" i="34"/>
  <c r="H2141" i="34"/>
  <c r="H2142" i="34"/>
  <c r="H2143" i="34"/>
  <c r="H2144" i="34"/>
  <c r="H2145" i="34"/>
  <c r="H2146" i="34"/>
  <c r="H2147" i="34"/>
  <c r="H2148" i="34"/>
  <c r="H2149" i="34"/>
  <c r="H2150" i="34"/>
  <c r="H2151" i="34"/>
  <c r="H2152" i="34"/>
  <c r="H2153" i="34"/>
  <c r="H2154" i="34"/>
  <c r="H2155" i="34"/>
  <c r="H2156" i="34"/>
  <c r="H2157" i="34"/>
  <c r="H2158" i="34"/>
  <c r="H2159" i="34"/>
  <c r="H2160" i="34"/>
  <c r="H2161" i="34"/>
  <c r="H2162" i="34"/>
  <c r="H2163" i="34"/>
  <c r="H2164" i="34"/>
  <c r="H2165" i="34"/>
  <c r="H2166" i="34"/>
  <c r="H2167" i="34"/>
  <c r="H2168" i="34"/>
  <c r="H2169" i="34"/>
  <c r="H2170" i="34"/>
  <c r="H2171" i="34"/>
  <c r="H2172" i="34"/>
  <c r="H2173" i="34"/>
  <c r="H2174" i="34"/>
  <c r="H2175" i="34"/>
  <c r="H2176" i="34"/>
  <c r="H2177" i="34"/>
  <c r="H2178" i="34"/>
  <c r="H2179" i="34"/>
  <c r="H2180" i="34"/>
  <c r="H2181" i="34"/>
  <c r="H2182" i="34"/>
  <c r="H2183" i="34"/>
  <c r="H2184" i="34"/>
  <c r="H2185" i="34"/>
  <c r="H2186" i="34"/>
  <c r="H2187" i="34"/>
  <c r="H2188" i="34"/>
  <c r="H2189" i="34"/>
  <c r="H2190" i="34"/>
  <c r="H2191" i="34"/>
  <c r="H2192" i="34"/>
  <c r="H2193" i="34"/>
  <c r="H2194" i="34"/>
  <c r="H2195" i="34"/>
  <c r="H2196" i="34"/>
  <c r="H2197" i="34"/>
  <c r="H2198" i="34"/>
  <c r="H2199" i="34"/>
  <c r="H2200" i="34"/>
  <c r="H2201" i="34"/>
  <c r="H2202" i="34"/>
  <c r="H2203" i="34"/>
  <c r="H2204" i="34"/>
  <c r="H2205" i="34"/>
  <c r="H2206" i="34"/>
  <c r="H2207" i="34"/>
  <c r="H2208" i="34"/>
  <c r="H2209" i="34"/>
  <c r="H2210" i="34"/>
  <c r="H2211" i="34"/>
  <c r="H2212" i="34"/>
  <c r="H2213" i="34"/>
  <c r="H2214" i="34"/>
  <c r="H2215" i="34"/>
  <c r="H2216" i="34"/>
  <c r="H2217" i="34"/>
  <c r="H2218" i="34"/>
  <c r="H2219" i="34"/>
  <c r="H2220" i="34"/>
  <c r="H2221" i="34"/>
  <c r="H2222" i="34"/>
  <c r="H2223" i="34"/>
  <c r="H2224" i="34"/>
  <c r="H2225" i="34"/>
  <c r="H2226" i="34"/>
  <c r="H2227" i="34"/>
  <c r="H2228" i="34"/>
  <c r="H2229" i="34"/>
  <c r="H2230" i="34"/>
  <c r="H2231" i="34"/>
  <c r="H2232" i="34"/>
  <c r="H2233" i="34"/>
  <c r="H2234" i="34"/>
  <c r="H2235" i="34"/>
  <c r="H2236" i="34"/>
  <c r="H2237" i="34"/>
  <c r="H2238" i="34"/>
  <c r="H2239" i="34"/>
  <c r="H2240" i="34"/>
  <c r="H2241" i="34"/>
  <c r="H2242" i="34"/>
  <c r="H2243" i="34"/>
  <c r="H2244" i="34"/>
  <c r="H2245" i="34"/>
  <c r="H2246" i="34"/>
  <c r="H2247" i="34"/>
  <c r="H2248" i="34"/>
  <c r="H2249" i="34"/>
  <c r="H2250" i="34"/>
  <c r="H2251" i="34"/>
  <c r="H2252" i="34"/>
  <c r="H2253" i="34"/>
  <c r="H2254" i="34"/>
  <c r="H2255" i="34"/>
  <c r="H2256" i="34"/>
  <c r="H2257" i="34"/>
  <c r="H2258" i="34"/>
  <c r="H2259" i="34"/>
  <c r="H2260" i="34"/>
  <c r="H2261" i="34"/>
  <c r="H2262" i="34"/>
  <c r="H2263" i="34"/>
  <c r="H2264" i="34"/>
  <c r="H2265" i="34"/>
  <c r="H2266" i="34"/>
  <c r="H2267" i="34"/>
  <c r="H2268" i="34"/>
  <c r="H2269" i="34"/>
  <c r="H2270" i="34"/>
  <c r="H2271" i="34"/>
  <c r="H2272" i="34"/>
  <c r="H2273" i="34"/>
  <c r="H2274" i="34"/>
  <c r="H2275" i="34"/>
  <c r="H2276" i="34"/>
  <c r="H2277" i="34"/>
  <c r="H2278" i="34"/>
  <c r="H2279" i="34"/>
  <c r="H2280" i="34"/>
  <c r="H2281" i="34"/>
  <c r="H2282" i="34"/>
  <c r="H2283" i="34"/>
  <c r="H2284" i="34"/>
  <c r="H2285" i="34"/>
  <c r="H2286" i="34"/>
  <c r="H2287" i="34"/>
  <c r="H2288" i="34"/>
  <c r="H2289" i="34"/>
  <c r="H2290" i="34"/>
  <c r="H2291" i="34"/>
  <c r="H2292" i="34"/>
  <c r="H2293" i="34"/>
  <c r="H2294" i="34"/>
  <c r="H2295" i="34"/>
  <c r="H2296" i="34"/>
  <c r="H2297" i="34"/>
  <c r="H2298" i="34"/>
  <c r="H2299" i="34"/>
  <c r="H2300" i="34"/>
  <c r="H2301" i="34"/>
  <c r="H2302" i="34"/>
  <c r="H2303" i="34"/>
  <c r="H2304" i="34"/>
  <c r="H2305" i="34"/>
  <c r="H2306" i="34"/>
  <c r="H2307" i="34"/>
  <c r="H2308" i="34"/>
  <c r="H2309" i="34"/>
  <c r="H2310" i="34"/>
  <c r="H2311" i="34"/>
  <c r="H2312" i="34"/>
  <c r="H2313" i="34"/>
  <c r="H2314" i="34"/>
  <c r="H2315" i="34"/>
  <c r="H2316" i="34"/>
  <c r="H2317" i="34"/>
  <c r="H2318" i="34"/>
  <c r="H2319" i="34"/>
  <c r="H2320" i="34"/>
  <c r="H2321" i="34"/>
  <c r="H2322" i="34"/>
  <c r="H2323" i="34"/>
  <c r="H2324" i="34"/>
  <c r="H2325" i="34"/>
  <c r="H2326" i="34"/>
  <c r="H2327" i="34"/>
  <c r="H2328" i="34"/>
  <c r="H2329" i="34"/>
  <c r="H2330" i="34"/>
  <c r="H2331" i="34"/>
  <c r="H2332" i="34"/>
  <c r="H2333" i="34"/>
  <c r="H2334" i="34"/>
  <c r="H2335" i="34"/>
  <c r="H2336" i="34"/>
  <c r="H2337" i="34"/>
  <c r="H2338" i="34"/>
  <c r="H2339" i="34"/>
  <c r="H2340" i="34"/>
  <c r="H2341" i="34"/>
  <c r="H2342" i="34"/>
  <c r="H2343" i="34"/>
  <c r="H2344" i="34"/>
  <c r="H2345" i="34"/>
  <c r="H2346" i="34"/>
  <c r="H2347" i="34"/>
  <c r="H2348" i="34"/>
  <c r="H2349" i="34"/>
  <c r="H2350" i="34"/>
  <c r="H2351" i="34"/>
  <c r="H2352" i="34"/>
  <c r="H2353" i="34"/>
  <c r="H2354" i="34"/>
  <c r="H2355" i="34"/>
  <c r="H2356" i="34"/>
  <c r="H2357" i="34"/>
  <c r="H2358" i="34"/>
  <c r="H2359" i="34"/>
  <c r="H2360" i="34"/>
  <c r="H2361" i="34"/>
  <c r="H2362" i="34"/>
  <c r="H2363" i="34"/>
  <c r="H2364" i="34"/>
  <c r="H2365" i="34"/>
  <c r="H2366" i="34"/>
  <c r="H2367" i="34"/>
  <c r="H2368" i="34"/>
  <c r="H2369" i="34"/>
  <c r="H2370" i="34"/>
  <c r="H2371" i="34"/>
  <c r="H2372" i="34"/>
  <c r="H2373" i="34"/>
  <c r="H2374" i="34"/>
  <c r="H2375" i="34"/>
  <c r="H2376" i="34"/>
  <c r="H2377" i="34"/>
  <c r="H2378" i="34"/>
  <c r="H2379" i="34"/>
  <c r="H2380" i="34"/>
  <c r="H2381" i="34"/>
  <c r="H2382" i="34"/>
  <c r="H2383" i="34"/>
  <c r="H2384" i="34"/>
  <c r="H2385" i="34"/>
  <c r="H2386" i="34"/>
  <c r="H2387" i="34"/>
  <c r="H2388" i="34"/>
  <c r="H2389" i="34"/>
  <c r="H2390" i="34"/>
  <c r="H2391" i="34"/>
  <c r="H2392" i="34"/>
  <c r="H2393" i="34"/>
  <c r="H2394" i="34"/>
  <c r="H2395" i="34"/>
  <c r="H2396" i="34"/>
  <c r="H2397" i="34"/>
  <c r="H2398" i="34"/>
  <c r="H2399" i="34"/>
  <c r="H2400" i="34"/>
  <c r="H2401" i="34"/>
  <c r="H2402" i="34"/>
  <c r="H2403" i="34"/>
  <c r="H2404" i="34"/>
  <c r="H2405" i="34"/>
  <c r="H2406" i="34"/>
  <c r="H2407" i="34"/>
  <c r="H2408" i="34"/>
  <c r="H2409" i="34"/>
  <c r="H2410" i="34"/>
  <c r="H2411" i="34"/>
  <c r="H2412" i="34"/>
  <c r="H2413" i="34"/>
  <c r="H2414" i="34"/>
  <c r="H2415" i="34"/>
  <c r="H2416" i="34"/>
  <c r="H2417" i="34"/>
  <c r="H2418" i="34"/>
  <c r="H2419" i="34"/>
  <c r="H2420" i="34"/>
  <c r="H2421" i="34"/>
  <c r="H2422" i="34"/>
  <c r="H2423" i="34"/>
  <c r="H2424" i="34"/>
  <c r="H2425" i="34"/>
  <c r="H2426" i="34"/>
  <c r="H2427" i="34"/>
  <c r="H2428" i="34"/>
  <c r="H2429" i="34"/>
  <c r="H2430" i="34"/>
  <c r="H2431" i="34"/>
  <c r="H2432" i="34"/>
  <c r="H2433" i="34"/>
  <c r="H2434" i="34"/>
  <c r="H2435" i="34"/>
  <c r="H2436" i="34"/>
  <c r="H2437" i="34"/>
  <c r="H2438" i="34"/>
  <c r="H2439" i="34"/>
  <c r="H2440" i="34"/>
  <c r="H2441" i="34"/>
  <c r="H2442" i="34"/>
  <c r="H2443" i="34"/>
  <c r="H2444" i="34"/>
  <c r="H2445" i="34"/>
  <c r="H2446" i="34"/>
  <c r="H2447" i="34"/>
  <c r="H2448" i="34"/>
  <c r="H2449" i="34"/>
  <c r="H2450" i="34"/>
  <c r="H2451" i="34"/>
  <c r="H2452" i="34"/>
  <c r="H2453" i="34"/>
  <c r="H2454" i="34"/>
  <c r="H2455" i="34"/>
  <c r="H2456" i="34"/>
  <c r="H2457" i="34"/>
  <c r="H2458" i="34"/>
  <c r="H2459" i="34"/>
  <c r="H2460" i="34"/>
  <c r="H2461" i="34"/>
  <c r="H2462" i="34"/>
  <c r="H2463" i="34"/>
  <c r="H2464" i="34"/>
  <c r="H2465" i="34"/>
  <c r="H2466" i="34"/>
  <c r="H2467" i="34"/>
  <c r="H2468" i="34"/>
  <c r="H2469" i="34"/>
  <c r="H2470" i="34"/>
  <c r="H2471" i="34"/>
  <c r="H2472" i="34"/>
  <c r="H2473" i="34"/>
  <c r="H2474" i="34"/>
  <c r="H2475" i="34"/>
  <c r="H2476" i="34"/>
  <c r="H2477" i="34"/>
  <c r="H2478" i="34"/>
  <c r="H2479" i="34"/>
  <c r="H2480" i="34"/>
  <c r="H2481" i="34"/>
  <c r="H2482" i="34"/>
  <c r="H2483" i="34"/>
  <c r="H2484" i="34"/>
  <c r="H2485" i="34"/>
  <c r="H2486" i="34"/>
  <c r="H2487" i="34"/>
  <c r="H2488" i="34"/>
  <c r="H2489" i="34"/>
  <c r="H2490" i="34"/>
  <c r="H2491" i="34"/>
  <c r="H2492" i="34"/>
  <c r="H2493" i="34"/>
  <c r="H2494" i="34"/>
  <c r="H2495" i="34"/>
  <c r="H2496" i="34"/>
  <c r="H2497" i="34"/>
  <c r="H2498" i="34"/>
  <c r="H2499" i="34"/>
  <c r="H2500" i="34"/>
  <c r="H2501" i="34"/>
  <c r="H2502" i="34"/>
  <c r="H2503" i="34"/>
  <c r="H2504" i="34"/>
  <c r="H2505" i="34"/>
  <c r="H2506" i="34"/>
  <c r="H2507" i="34"/>
  <c r="H2508" i="34"/>
  <c r="H2509" i="34"/>
  <c r="H2510" i="34"/>
  <c r="H2511" i="34"/>
  <c r="H2512" i="34"/>
  <c r="H2513" i="34"/>
  <c r="H2514" i="34"/>
  <c r="H2515" i="34"/>
  <c r="H2516" i="34"/>
  <c r="H2517" i="34"/>
  <c r="H2518" i="34"/>
  <c r="H2519" i="34"/>
  <c r="H2520" i="34"/>
  <c r="H2521" i="34"/>
  <c r="H2522" i="34"/>
  <c r="H2523" i="34"/>
  <c r="H2524" i="34"/>
  <c r="H2525" i="34"/>
  <c r="H2526" i="34"/>
  <c r="H2527" i="34"/>
  <c r="H2528" i="34"/>
  <c r="H2529" i="34"/>
  <c r="H2530" i="34"/>
  <c r="H2531" i="34"/>
  <c r="H2532" i="34"/>
  <c r="H2533" i="34"/>
  <c r="H2534" i="34"/>
  <c r="H2535" i="34"/>
  <c r="H2536" i="34"/>
  <c r="H2537" i="34"/>
  <c r="H2538" i="34"/>
  <c r="H2539" i="34"/>
  <c r="H2540" i="34"/>
  <c r="H2541" i="34"/>
  <c r="H2542" i="34"/>
  <c r="H2543" i="34"/>
  <c r="H2544" i="34"/>
  <c r="H2545" i="34"/>
  <c r="H2546" i="34"/>
  <c r="H2547" i="34"/>
  <c r="H2548" i="34"/>
  <c r="H2549" i="34"/>
  <c r="H2550" i="34"/>
  <c r="H2551" i="34"/>
  <c r="H2552" i="34"/>
  <c r="H2553" i="34"/>
  <c r="H2554" i="34"/>
  <c r="H2555" i="34"/>
  <c r="H2556" i="34"/>
  <c r="H2557" i="34"/>
  <c r="H2558" i="34"/>
  <c r="H2559" i="34"/>
  <c r="H2560" i="34"/>
  <c r="H2561" i="34"/>
  <c r="H2562" i="34"/>
  <c r="H2563" i="34"/>
  <c r="H2564" i="34"/>
  <c r="H2565" i="34"/>
  <c r="H2566" i="34"/>
  <c r="H2567" i="34"/>
  <c r="H2568" i="34"/>
  <c r="H2569" i="34"/>
  <c r="H2570" i="34"/>
  <c r="H2571" i="34"/>
  <c r="H2572" i="34"/>
  <c r="H2573" i="34"/>
  <c r="H2574" i="34"/>
  <c r="H2575" i="34"/>
  <c r="H2576" i="34"/>
  <c r="H2577" i="34"/>
  <c r="H2578" i="34"/>
  <c r="H2579" i="34"/>
  <c r="H2580" i="34"/>
  <c r="H2581" i="34"/>
  <c r="H2582" i="34"/>
  <c r="H2583" i="34"/>
  <c r="H2584" i="34"/>
  <c r="H2585" i="34"/>
  <c r="H2586" i="34"/>
  <c r="H2587" i="34"/>
  <c r="H2588" i="34"/>
  <c r="H2589" i="34"/>
  <c r="H2590" i="34"/>
  <c r="H2591" i="34"/>
  <c r="H2592" i="34"/>
  <c r="H2593" i="34"/>
  <c r="H2594" i="34"/>
  <c r="H2595" i="34"/>
  <c r="H2596" i="34"/>
  <c r="H2597" i="34"/>
  <c r="H2598" i="34"/>
  <c r="H2599" i="34"/>
  <c r="H2600" i="34"/>
  <c r="H2601" i="34"/>
  <c r="H2602" i="34"/>
  <c r="H2603" i="34"/>
  <c r="H2604" i="34"/>
  <c r="H2605" i="34"/>
  <c r="H2606" i="34"/>
  <c r="H2607" i="34"/>
  <c r="H2608" i="34"/>
  <c r="H2609" i="34"/>
  <c r="H2610" i="34"/>
  <c r="H2611" i="34"/>
  <c r="H2612" i="34"/>
  <c r="H2613" i="34"/>
  <c r="H2614" i="34"/>
  <c r="H2615" i="34"/>
  <c r="H2616" i="34"/>
  <c r="H2617" i="34"/>
  <c r="H2618" i="34"/>
  <c r="H2619" i="34"/>
  <c r="H2620" i="34"/>
  <c r="H2621" i="34"/>
  <c r="H2622" i="34"/>
  <c r="H2623" i="34"/>
  <c r="H2624" i="34"/>
  <c r="H2625" i="34"/>
  <c r="H2626" i="34"/>
  <c r="H2627" i="34"/>
  <c r="H2628" i="34"/>
  <c r="H2629" i="34"/>
  <c r="H2630" i="34"/>
  <c r="H2631" i="34"/>
  <c r="H2632" i="34"/>
  <c r="H2633" i="34"/>
  <c r="H2634" i="34"/>
  <c r="H2635" i="34"/>
  <c r="H2636" i="34"/>
  <c r="H2637" i="34"/>
  <c r="H2638" i="34"/>
  <c r="H2639" i="34"/>
  <c r="H2640" i="34"/>
  <c r="H2641" i="34"/>
  <c r="H2642" i="34"/>
  <c r="H2643" i="34"/>
  <c r="H2644" i="34"/>
  <c r="H2645" i="34"/>
  <c r="H2646" i="34"/>
  <c r="H2647" i="34"/>
  <c r="H2648" i="34"/>
  <c r="H2649" i="34"/>
  <c r="H2650" i="34"/>
  <c r="H2651" i="34"/>
  <c r="H2652" i="34"/>
  <c r="H2653" i="34"/>
  <c r="H2654" i="34"/>
  <c r="H2655" i="34"/>
  <c r="H2656" i="34"/>
  <c r="H2657" i="34"/>
  <c r="H2658" i="34"/>
  <c r="H2659" i="34"/>
  <c r="H2660" i="34"/>
  <c r="H2661" i="34"/>
  <c r="H2662" i="34"/>
  <c r="H2663" i="34"/>
  <c r="H2664" i="34"/>
  <c r="H2665" i="34"/>
  <c r="H2666" i="34"/>
  <c r="H2667" i="34"/>
  <c r="H2668" i="34"/>
  <c r="H2669" i="34"/>
  <c r="H2670" i="34"/>
  <c r="H2671" i="34"/>
  <c r="H2672" i="34"/>
  <c r="H2673" i="34"/>
  <c r="H2674" i="34"/>
  <c r="H2675" i="34"/>
  <c r="H2676" i="34"/>
  <c r="H2677" i="34"/>
  <c r="H2678" i="34"/>
  <c r="H2679" i="34"/>
  <c r="H2680" i="34"/>
  <c r="H2681" i="34"/>
  <c r="H2682" i="34"/>
  <c r="H2683" i="34"/>
  <c r="H2684" i="34"/>
  <c r="H2685" i="34"/>
  <c r="H2686" i="34"/>
  <c r="H2687" i="34"/>
  <c r="H2688" i="34"/>
  <c r="H2689" i="34"/>
  <c r="H2690" i="34"/>
  <c r="H2691" i="34"/>
  <c r="H2692" i="34"/>
  <c r="H2693" i="34"/>
  <c r="H2694" i="34"/>
  <c r="H2695" i="34"/>
  <c r="H2696" i="34"/>
  <c r="H2697" i="34"/>
  <c r="H2698" i="34"/>
  <c r="H2699" i="34"/>
  <c r="H2700" i="34"/>
  <c r="H2701" i="34"/>
  <c r="H2702" i="34"/>
  <c r="H2703" i="34"/>
  <c r="H2704" i="34"/>
  <c r="H2705" i="34"/>
  <c r="H2706" i="34"/>
  <c r="H2707" i="34"/>
  <c r="H2708" i="34"/>
  <c r="H2709" i="34"/>
  <c r="H2710" i="34"/>
  <c r="H2711" i="34"/>
  <c r="H2712" i="34"/>
  <c r="H2713" i="34"/>
  <c r="H2714" i="34"/>
  <c r="H2715" i="34"/>
  <c r="H2716" i="34"/>
  <c r="H2717" i="34"/>
  <c r="H2718" i="34"/>
  <c r="H2719" i="34"/>
  <c r="H2720" i="34"/>
  <c r="H2721" i="34"/>
  <c r="H2722" i="34"/>
  <c r="H2723" i="34"/>
  <c r="H2724" i="34"/>
  <c r="H2725" i="34"/>
  <c r="H2726" i="34"/>
  <c r="H2727" i="34"/>
  <c r="H2728" i="34"/>
  <c r="H2729" i="34"/>
  <c r="H2730" i="34"/>
  <c r="H2731" i="34"/>
  <c r="H2732" i="34"/>
  <c r="H2733" i="34"/>
  <c r="H2734" i="34"/>
  <c r="H2735" i="34"/>
  <c r="H2736" i="34"/>
  <c r="H2737" i="34"/>
  <c r="H2738" i="34"/>
  <c r="H2739" i="34"/>
  <c r="H2740" i="34"/>
  <c r="H2741" i="34"/>
  <c r="H2742" i="34"/>
  <c r="H2743" i="34"/>
  <c r="H2744" i="34"/>
  <c r="H2745" i="34"/>
  <c r="H2746" i="34"/>
  <c r="H2747" i="34"/>
  <c r="H2748" i="34"/>
  <c r="H2749" i="34"/>
  <c r="H2750" i="34"/>
  <c r="H2751" i="34"/>
  <c r="H2752" i="34"/>
  <c r="H2753" i="34"/>
  <c r="H2754" i="34"/>
  <c r="H2755" i="34"/>
  <c r="H2756" i="34"/>
  <c r="H2757" i="34"/>
  <c r="H2758" i="34"/>
  <c r="H2759" i="34"/>
  <c r="H2760" i="34"/>
  <c r="H2761" i="34"/>
  <c r="H2762" i="34"/>
  <c r="H2763" i="34"/>
  <c r="H2764" i="34"/>
  <c r="H2765" i="34"/>
  <c r="H2766" i="34"/>
  <c r="H2767" i="34"/>
  <c r="H2768" i="34"/>
  <c r="H2769" i="34"/>
  <c r="H2770" i="34"/>
  <c r="H2771" i="34"/>
  <c r="H2772" i="34"/>
  <c r="H2773" i="34"/>
  <c r="H2774" i="34"/>
  <c r="H2775" i="34"/>
  <c r="H2776" i="34"/>
  <c r="H2777" i="34"/>
  <c r="H2778" i="34"/>
  <c r="H2779" i="34"/>
  <c r="H2780" i="34"/>
  <c r="H2781" i="34"/>
  <c r="H2782" i="34"/>
  <c r="H2783" i="34"/>
  <c r="H2784" i="34"/>
  <c r="H2785" i="34"/>
  <c r="H2786" i="34"/>
  <c r="H2787" i="34"/>
  <c r="H2788" i="34"/>
  <c r="H2789" i="34"/>
  <c r="H2790" i="34"/>
  <c r="H2791" i="34"/>
  <c r="H2792" i="34"/>
  <c r="H2793" i="34"/>
  <c r="H2794" i="34"/>
  <c r="H2795" i="34"/>
  <c r="H2796" i="34"/>
  <c r="H2797" i="34"/>
  <c r="H2798" i="34"/>
  <c r="H2799" i="34"/>
  <c r="H2800" i="34"/>
  <c r="H2801" i="34"/>
  <c r="H2802" i="34"/>
  <c r="H2803" i="34"/>
  <c r="H2804" i="34"/>
  <c r="H2805" i="34"/>
  <c r="H2806" i="34"/>
  <c r="H2807" i="34"/>
  <c r="H2808" i="34"/>
  <c r="H2809" i="34"/>
  <c r="H2810" i="34"/>
  <c r="H2811" i="34"/>
  <c r="H2812" i="34"/>
  <c r="H2813" i="34"/>
  <c r="H2814" i="34"/>
  <c r="H2815" i="34"/>
  <c r="H2816" i="34"/>
  <c r="H2817" i="34"/>
  <c r="H2818" i="34"/>
  <c r="H2819" i="34"/>
  <c r="H2820" i="34"/>
  <c r="H2821" i="34"/>
  <c r="H2822" i="34"/>
  <c r="H2823" i="34"/>
  <c r="H2824" i="34"/>
  <c r="H2825" i="34"/>
  <c r="H2826" i="34"/>
  <c r="H2827" i="34"/>
  <c r="H2828" i="34"/>
  <c r="H2829" i="34"/>
  <c r="H2830" i="34"/>
  <c r="H2831" i="34"/>
  <c r="H2832" i="34"/>
  <c r="H2833" i="34"/>
  <c r="H2834" i="34"/>
  <c r="H2835" i="34"/>
  <c r="H2836" i="34"/>
  <c r="H2837" i="34"/>
  <c r="H2838" i="34"/>
  <c r="H2839" i="34"/>
  <c r="H2840" i="34"/>
  <c r="H2841" i="34"/>
  <c r="H2842" i="34"/>
  <c r="H2843" i="34"/>
  <c r="H2844" i="34"/>
  <c r="H2845" i="34"/>
  <c r="H2846" i="34"/>
  <c r="H2847" i="34"/>
  <c r="H2848" i="34"/>
  <c r="H2849" i="34"/>
  <c r="H2850" i="34"/>
  <c r="H2851" i="34"/>
  <c r="H2852" i="34"/>
  <c r="H2853" i="34"/>
  <c r="H2854" i="34"/>
  <c r="H2855" i="34"/>
  <c r="H2856" i="34"/>
  <c r="H2857" i="34"/>
  <c r="H2858" i="34"/>
  <c r="H2859" i="34"/>
  <c r="H2860" i="34"/>
  <c r="H2861" i="34"/>
  <c r="H2862" i="34"/>
  <c r="H2863" i="34"/>
  <c r="H2864" i="34"/>
  <c r="H2865" i="34"/>
  <c r="H2866" i="34"/>
  <c r="H2867" i="34"/>
  <c r="H2868" i="34"/>
  <c r="H2869" i="34"/>
  <c r="H2870" i="34"/>
  <c r="H2871" i="34"/>
  <c r="H2872" i="34"/>
  <c r="H2873" i="34"/>
  <c r="H2874" i="34"/>
  <c r="H2875" i="34"/>
  <c r="H2876" i="34"/>
  <c r="H2877" i="34"/>
  <c r="H2878" i="34"/>
  <c r="H2879" i="34"/>
  <c r="H2880" i="34"/>
  <c r="H2881" i="34"/>
  <c r="H2882" i="34"/>
  <c r="H2883" i="34"/>
  <c r="H2884" i="34"/>
  <c r="H2885" i="34"/>
  <c r="H2886" i="34"/>
  <c r="H2887" i="34"/>
  <c r="H2888" i="34"/>
  <c r="H2889" i="34"/>
  <c r="H2890" i="34"/>
  <c r="H2891" i="34"/>
  <c r="H2892" i="34"/>
  <c r="H2893" i="34"/>
  <c r="H2894" i="34"/>
  <c r="H2895" i="34"/>
  <c r="H2896" i="34"/>
  <c r="H2897" i="34"/>
  <c r="H2898" i="34"/>
  <c r="H2899" i="34"/>
  <c r="H2900" i="34"/>
  <c r="H2901" i="34"/>
  <c r="H2902" i="34"/>
  <c r="H2903" i="34"/>
  <c r="H2904" i="34"/>
  <c r="H2905" i="34"/>
  <c r="H2906" i="34"/>
  <c r="H2907" i="34"/>
  <c r="H2908" i="34"/>
  <c r="H2909" i="34"/>
  <c r="H2910" i="34"/>
  <c r="H2911" i="34"/>
  <c r="H2912" i="34"/>
  <c r="H2913" i="34"/>
  <c r="H2914" i="34"/>
  <c r="H2915" i="34"/>
  <c r="H2916" i="34"/>
  <c r="H2917" i="34"/>
  <c r="H2918" i="34"/>
  <c r="H2919" i="34"/>
  <c r="H2920" i="34"/>
  <c r="H2921" i="34"/>
  <c r="H2922" i="34"/>
  <c r="H2923" i="34"/>
  <c r="H2924" i="34"/>
  <c r="H2925" i="34"/>
  <c r="H2926" i="34"/>
  <c r="H2927" i="34"/>
  <c r="H2928" i="34"/>
  <c r="H2929" i="34"/>
  <c r="H2930" i="34"/>
  <c r="H2931" i="34"/>
  <c r="H2932" i="34"/>
  <c r="H2933" i="34"/>
  <c r="H2934" i="34"/>
  <c r="H2935" i="34"/>
  <c r="H2936" i="34"/>
  <c r="H2937" i="34"/>
  <c r="H2938" i="34"/>
  <c r="H2939" i="34"/>
  <c r="H2940" i="34"/>
  <c r="H2941" i="34"/>
  <c r="H2942" i="34"/>
  <c r="H2943" i="34"/>
  <c r="H2944" i="34"/>
  <c r="H2945" i="34"/>
  <c r="H2946" i="34"/>
  <c r="H2947" i="34"/>
  <c r="H2948" i="34"/>
  <c r="H2949" i="34"/>
  <c r="H2950" i="34"/>
  <c r="H2951" i="34"/>
  <c r="H2952" i="34"/>
  <c r="H2953" i="34"/>
  <c r="H2954" i="34"/>
  <c r="H2955" i="34"/>
  <c r="H2956" i="34"/>
  <c r="H2957" i="34"/>
  <c r="H2958" i="34"/>
  <c r="H2959" i="34"/>
  <c r="H2960" i="34"/>
  <c r="H2961" i="34"/>
  <c r="H2962" i="34"/>
  <c r="H2963" i="34"/>
  <c r="H2964" i="34"/>
  <c r="H2965" i="34"/>
  <c r="H2966" i="34"/>
  <c r="H2967" i="34"/>
  <c r="H2968" i="34"/>
  <c r="H2969" i="34"/>
  <c r="H2970" i="34"/>
  <c r="H2971" i="34"/>
  <c r="H2972" i="34"/>
  <c r="H2973" i="34"/>
  <c r="H2974" i="34"/>
  <c r="H2975" i="34"/>
  <c r="H2976" i="34"/>
  <c r="H2977" i="34"/>
  <c r="H2978" i="34"/>
  <c r="H2979" i="34"/>
  <c r="H2980" i="34"/>
  <c r="H2981" i="34"/>
  <c r="H2982" i="34"/>
  <c r="H2983" i="34"/>
  <c r="H2984" i="34"/>
  <c r="H2985" i="34"/>
  <c r="H2986" i="34"/>
  <c r="H2987" i="34"/>
  <c r="H2988" i="34"/>
  <c r="H2989" i="34"/>
  <c r="H2990" i="34"/>
  <c r="H2991" i="34"/>
  <c r="H2992" i="34"/>
  <c r="H2993" i="34"/>
  <c r="H2994" i="34"/>
  <c r="H2995" i="34"/>
  <c r="H2996" i="34"/>
  <c r="H2997" i="34"/>
  <c r="H2998" i="34"/>
  <c r="H2999" i="34"/>
  <c r="H3000" i="34"/>
  <c r="H3001" i="34"/>
  <c r="H3002" i="34"/>
  <c r="H3003" i="34"/>
  <c r="H3004" i="34"/>
  <c r="H3005" i="34"/>
  <c r="H3006" i="34"/>
  <c r="H3007" i="34"/>
  <c r="H3008" i="34"/>
  <c r="H3009" i="34"/>
  <c r="H3010" i="34"/>
  <c r="H3011" i="34"/>
  <c r="H3012" i="34"/>
  <c r="H3013" i="34"/>
  <c r="H3014" i="34"/>
  <c r="H3015" i="34"/>
  <c r="H3016" i="34"/>
  <c r="H3017" i="34"/>
  <c r="H3018" i="34"/>
  <c r="H3019" i="34"/>
  <c r="H3020" i="34"/>
  <c r="H3021" i="34"/>
  <c r="H3022" i="34"/>
  <c r="H3023" i="34"/>
  <c r="H3024" i="34"/>
  <c r="H3025" i="34"/>
  <c r="H3026" i="34"/>
  <c r="H3027" i="34"/>
  <c r="H3028" i="34"/>
  <c r="H3029" i="34"/>
  <c r="H3030" i="34"/>
  <c r="H3031" i="34"/>
  <c r="H3032" i="34"/>
  <c r="H3033" i="34"/>
  <c r="H3034" i="34"/>
  <c r="H3035" i="34"/>
  <c r="H3036" i="34"/>
  <c r="H3037" i="34"/>
  <c r="H3038" i="34"/>
  <c r="H3039" i="34"/>
  <c r="H3040" i="34"/>
  <c r="H3041" i="34"/>
  <c r="H3042" i="34"/>
  <c r="H3043" i="34"/>
  <c r="H3044" i="34"/>
  <c r="H3045" i="34"/>
  <c r="H3046" i="34"/>
  <c r="H3047" i="34"/>
  <c r="H3048" i="34"/>
  <c r="H3049" i="34"/>
  <c r="H3050" i="34"/>
  <c r="H3051" i="34"/>
  <c r="H3052" i="34"/>
  <c r="H3053" i="34"/>
  <c r="H3054" i="34"/>
  <c r="H3055" i="34"/>
  <c r="H3056" i="34"/>
  <c r="H3057" i="34"/>
  <c r="H3058" i="34"/>
  <c r="H3059" i="34"/>
  <c r="H3060" i="34"/>
  <c r="H3061" i="34"/>
  <c r="H3062" i="34"/>
  <c r="H3063" i="34"/>
  <c r="H3064" i="34"/>
  <c r="H3065" i="34"/>
  <c r="H3066" i="34"/>
  <c r="H3067" i="34"/>
  <c r="H3068" i="34"/>
  <c r="H3069" i="34"/>
  <c r="H3070" i="34"/>
  <c r="H3071" i="34"/>
  <c r="H3072" i="34"/>
  <c r="H3073" i="34"/>
  <c r="H3074" i="34"/>
  <c r="H3075" i="34"/>
  <c r="H3076" i="34"/>
  <c r="H3077" i="34"/>
  <c r="H3078" i="34"/>
  <c r="H3079" i="34"/>
  <c r="H3080" i="34"/>
  <c r="H3081" i="34"/>
  <c r="H3082" i="34"/>
  <c r="H3083" i="34"/>
  <c r="H3084" i="34"/>
  <c r="H3085" i="34"/>
  <c r="H3086" i="34"/>
  <c r="H3087" i="34"/>
  <c r="H3088" i="34"/>
  <c r="H3089" i="34"/>
  <c r="H3090" i="34"/>
  <c r="H3091" i="34"/>
  <c r="H3092" i="34"/>
  <c r="H3093" i="34"/>
  <c r="H3094" i="34"/>
  <c r="H3095" i="34"/>
  <c r="H3096" i="34"/>
  <c r="H3097" i="34"/>
  <c r="H3098" i="34"/>
  <c r="H3099" i="34"/>
  <c r="H3100" i="34"/>
  <c r="H3101" i="34"/>
  <c r="H3102" i="34"/>
  <c r="H3103" i="34"/>
  <c r="H3104" i="34"/>
  <c r="H3105" i="34"/>
  <c r="H3106" i="34"/>
  <c r="H3107" i="34"/>
  <c r="H3108" i="34"/>
  <c r="H3109" i="34"/>
  <c r="H3110" i="34"/>
  <c r="H3111" i="34"/>
  <c r="H3112" i="34"/>
  <c r="H3113" i="34"/>
  <c r="H3114" i="34"/>
  <c r="H3115" i="34"/>
  <c r="H3116" i="34"/>
  <c r="H3117" i="34"/>
  <c r="H3118" i="34"/>
  <c r="H3119" i="34"/>
  <c r="H3120" i="34"/>
  <c r="H3121" i="34"/>
  <c r="H3122" i="34"/>
  <c r="H3123" i="34"/>
  <c r="H3124" i="34"/>
  <c r="H3125" i="34"/>
  <c r="H3126" i="34"/>
  <c r="H3127" i="34"/>
  <c r="H3128" i="34"/>
  <c r="H3129" i="34"/>
  <c r="H3130" i="34"/>
  <c r="H3131" i="34"/>
  <c r="H3132" i="34"/>
  <c r="H3133" i="34"/>
  <c r="H3134" i="34"/>
  <c r="H3135" i="34"/>
  <c r="H3136" i="34"/>
  <c r="H3137" i="34"/>
  <c r="H3138" i="34"/>
  <c r="H3139" i="34"/>
  <c r="H3140" i="34"/>
  <c r="H3141" i="34"/>
  <c r="H3142" i="34"/>
  <c r="H3143" i="34"/>
  <c r="H3144" i="34"/>
  <c r="H3145" i="34"/>
  <c r="H3146" i="34"/>
  <c r="H3147" i="34"/>
  <c r="H3148" i="34"/>
  <c r="H3149" i="34"/>
  <c r="H3150" i="34"/>
  <c r="H3151" i="34"/>
  <c r="H3152" i="34"/>
  <c r="H3153" i="34"/>
  <c r="H3154" i="34"/>
  <c r="H3155" i="34"/>
  <c r="H3156" i="34"/>
  <c r="H3157" i="34"/>
  <c r="H3158" i="34"/>
  <c r="H3159" i="34"/>
  <c r="H3160" i="34"/>
  <c r="H3161" i="34"/>
  <c r="H3162" i="34"/>
  <c r="H3163" i="34"/>
  <c r="H3164" i="34"/>
  <c r="H3165" i="34"/>
  <c r="H3166" i="34"/>
  <c r="H3167" i="34"/>
  <c r="H3168" i="34"/>
  <c r="H3169" i="34"/>
  <c r="H3170" i="34"/>
  <c r="H3171" i="34"/>
  <c r="H3172" i="34"/>
  <c r="H3173" i="34"/>
  <c r="H3174" i="34"/>
  <c r="H3175" i="34"/>
  <c r="H3176" i="34"/>
  <c r="H3177" i="34"/>
  <c r="H3178" i="34"/>
  <c r="H3179" i="34"/>
  <c r="H3180" i="34"/>
  <c r="H3181" i="34"/>
  <c r="H3182" i="34"/>
  <c r="H3183" i="34"/>
  <c r="H3184" i="34"/>
  <c r="H3185" i="34"/>
  <c r="H3186" i="34"/>
  <c r="H3187" i="34"/>
  <c r="H3188" i="34"/>
  <c r="H3189" i="34"/>
  <c r="H3190" i="34"/>
  <c r="H3191" i="34"/>
  <c r="H3192" i="34"/>
  <c r="H3193" i="34"/>
  <c r="H3194" i="34"/>
  <c r="H3195" i="34"/>
  <c r="H3196" i="34"/>
  <c r="H3197" i="34"/>
  <c r="H3198" i="34"/>
  <c r="H3199" i="34"/>
  <c r="H3200" i="34"/>
  <c r="H3201" i="34"/>
  <c r="H3202" i="34"/>
  <c r="H3203" i="34"/>
  <c r="H3204" i="34"/>
  <c r="H3205" i="34"/>
  <c r="H3206" i="34"/>
  <c r="H3207" i="34"/>
  <c r="H3208" i="34"/>
  <c r="H3209" i="34"/>
  <c r="H3210" i="34"/>
  <c r="H3211" i="34"/>
  <c r="H3212" i="34"/>
  <c r="H3213" i="34"/>
  <c r="H3214" i="34"/>
  <c r="H3215" i="34"/>
  <c r="H3216" i="34"/>
  <c r="H3217" i="34"/>
  <c r="H3218" i="34"/>
  <c r="H3219" i="34"/>
  <c r="H3220" i="34"/>
  <c r="H3221" i="34"/>
  <c r="H3222" i="34"/>
  <c r="H3223" i="34"/>
  <c r="H3224" i="34"/>
  <c r="H3225" i="34"/>
  <c r="H3226" i="34"/>
  <c r="H3227" i="34"/>
  <c r="H3228" i="34"/>
  <c r="H3229" i="34"/>
  <c r="H3230" i="34"/>
  <c r="H3231" i="34"/>
  <c r="H3232" i="34"/>
  <c r="H3233" i="34"/>
  <c r="H3234" i="34"/>
  <c r="H3235" i="34"/>
  <c r="H3236" i="34"/>
  <c r="H3237" i="34"/>
  <c r="H3238" i="34"/>
  <c r="H3239" i="34"/>
  <c r="H3240" i="34"/>
  <c r="H3241" i="34"/>
  <c r="H3242" i="34"/>
  <c r="H3243" i="34"/>
  <c r="H3244" i="34"/>
  <c r="H3245" i="34"/>
  <c r="H3246" i="34"/>
  <c r="H3247" i="34"/>
  <c r="H3248" i="34"/>
  <c r="H3249" i="34"/>
  <c r="H3250" i="34"/>
  <c r="H3251" i="34"/>
  <c r="H3252" i="34"/>
  <c r="H3253" i="34"/>
  <c r="H3254" i="34"/>
  <c r="H3255" i="34"/>
  <c r="H3256" i="34"/>
  <c r="H3257" i="34"/>
  <c r="H3258" i="34"/>
  <c r="H3259" i="34"/>
  <c r="H3260" i="34"/>
  <c r="H3261" i="34"/>
  <c r="H3262" i="34"/>
  <c r="H3263" i="34"/>
  <c r="H3264" i="34"/>
  <c r="H3265" i="34"/>
  <c r="H3266" i="34"/>
  <c r="H3267" i="34"/>
  <c r="H3268" i="34"/>
  <c r="H3269" i="34"/>
  <c r="H3270" i="34"/>
  <c r="H3271" i="34"/>
  <c r="H3272" i="34"/>
  <c r="H3273" i="34"/>
  <c r="H3274" i="34"/>
  <c r="H3275" i="34"/>
  <c r="H3276" i="34"/>
  <c r="H3277" i="34"/>
  <c r="H3278" i="34"/>
  <c r="H3279" i="34"/>
  <c r="H3280" i="34"/>
  <c r="H3281" i="34"/>
  <c r="H3282" i="34"/>
  <c r="H3283" i="34"/>
  <c r="H3284" i="34"/>
  <c r="H3285" i="34"/>
  <c r="H3286" i="34"/>
  <c r="H3287" i="34"/>
  <c r="H3288" i="34"/>
  <c r="H3289" i="34"/>
  <c r="H3290" i="34"/>
  <c r="H3291" i="34"/>
  <c r="H3292" i="34"/>
  <c r="H3293" i="34"/>
  <c r="H3294" i="34"/>
  <c r="H3295" i="34"/>
  <c r="H3296" i="34"/>
  <c r="H3297" i="34"/>
  <c r="H3298" i="34"/>
  <c r="H3299" i="34"/>
  <c r="H3300" i="34"/>
  <c r="H3301" i="34"/>
  <c r="H3302" i="34"/>
  <c r="H3303" i="34"/>
  <c r="H3304" i="34"/>
  <c r="H3305" i="34"/>
  <c r="H3306" i="34"/>
  <c r="H3307" i="34"/>
  <c r="H3308" i="34"/>
  <c r="H3309" i="34"/>
  <c r="H3310" i="34"/>
  <c r="H3311" i="34"/>
  <c r="H3312" i="34"/>
  <c r="H3313" i="34"/>
  <c r="H3314" i="34"/>
  <c r="H3315" i="34"/>
  <c r="H3316" i="34"/>
  <c r="H3317" i="34"/>
  <c r="H3318" i="34"/>
  <c r="H3319" i="34"/>
  <c r="H3320" i="34"/>
  <c r="H3321" i="34"/>
  <c r="H3322" i="34"/>
  <c r="H3323" i="34"/>
  <c r="H3324" i="34"/>
  <c r="H3325" i="34"/>
  <c r="H3326" i="34"/>
  <c r="H3327" i="34"/>
  <c r="H3328" i="34"/>
  <c r="H3329" i="34"/>
  <c r="H3330" i="34"/>
  <c r="H3331" i="34"/>
  <c r="H3332" i="34"/>
  <c r="H3333" i="34"/>
  <c r="H3334" i="34"/>
  <c r="H3335" i="34"/>
  <c r="H3336" i="34"/>
  <c r="H3337" i="34"/>
  <c r="H3338" i="34"/>
  <c r="H3339" i="34"/>
  <c r="H3340" i="34"/>
  <c r="H3341" i="34"/>
  <c r="H3342" i="34"/>
  <c r="H3343" i="34"/>
  <c r="H3344" i="34"/>
  <c r="H3345" i="34"/>
  <c r="H3346" i="34"/>
  <c r="H3347" i="34"/>
  <c r="H3348" i="34"/>
  <c r="H3349" i="34"/>
  <c r="H3350" i="34"/>
  <c r="H3351" i="34"/>
  <c r="H3352" i="34"/>
  <c r="H3353" i="34"/>
  <c r="H3354" i="34"/>
  <c r="H3355" i="34"/>
  <c r="H3356" i="34"/>
  <c r="H3357" i="34"/>
  <c r="H3358" i="34"/>
  <c r="H3359" i="34"/>
  <c r="H3360" i="34"/>
  <c r="H3361" i="34"/>
  <c r="H3362" i="34"/>
  <c r="H3363" i="34"/>
  <c r="H3364" i="34"/>
  <c r="H3365" i="34"/>
  <c r="H3366" i="34"/>
  <c r="H3367" i="34"/>
  <c r="H3368" i="34"/>
  <c r="H3369" i="34"/>
  <c r="H3370" i="34"/>
  <c r="H3371" i="34"/>
  <c r="H3372" i="34"/>
  <c r="H3373" i="34"/>
  <c r="H3374" i="34"/>
  <c r="H3375" i="34"/>
  <c r="H3376" i="34"/>
  <c r="H3377" i="34"/>
  <c r="H3378" i="34"/>
  <c r="H3379" i="34"/>
  <c r="H3380" i="34"/>
  <c r="H3381" i="34"/>
  <c r="H3382" i="34"/>
  <c r="H3383" i="34"/>
  <c r="H3384" i="34"/>
  <c r="H3385" i="34"/>
  <c r="H3386" i="34"/>
  <c r="H3387" i="34"/>
  <c r="H3388" i="34"/>
  <c r="H3389" i="34"/>
  <c r="H3390" i="34"/>
  <c r="H3391" i="34"/>
  <c r="H3392" i="34"/>
  <c r="H3393" i="34"/>
  <c r="H3394" i="34"/>
  <c r="H3395" i="34"/>
  <c r="H3396" i="34"/>
  <c r="H3397" i="34"/>
  <c r="H3398" i="34"/>
  <c r="H3399" i="34"/>
  <c r="H3400" i="34"/>
  <c r="H3401" i="34"/>
  <c r="H3402" i="34"/>
  <c r="H3403" i="34"/>
  <c r="H3404" i="34"/>
  <c r="H3405" i="34"/>
  <c r="H3406" i="34"/>
  <c r="H3407" i="34"/>
  <c r="H3408" i="34"/>
  <c r="H3409" i="34"/>
  <c r="H3410" i="34"/>
  <c r="H3411" i="34"/>
  <c r="H3412" i="34"/>
  <c r="H3413" i="34"/>
  <c r="H3414" i="34"/>
  <c r="H3415" i="34"/>
  <c r="H3416" i="34"/>
  <c r="H3417" i="34"/>
  <c r="H3418" i="34"/>
  <c r="H3419" i="34"/>
  <c r="H3420" i="34"/>
  <c r="H3421" i="34"/>
  <c r="H3422" i="34"/>
  <c r="H3423" i="34"/>
  <c r="H3424" i="34"/>
  <c r="H3425" i="34"/>
  <c r="H3426" i="34"/>
  <c r="H3427" i="34"/>
  <c r="H3428" i="34"/>
  <c r="H3429" i="34"/>
  <c r="H3430" i="34"/>
  <c r="H3431" i="34"/>
  <c r="H3432" i="34"/>
  <c r="H3433" i="34"/>
  <c r="H3434" i="34"/>
  <c r="H3435" i="34"/>
  <c r="H3436" i="34"/>
  <c r="H3437" i="34"/>
  <c r="H3438" i="34"/>
  <c r="H3439" i="34"/>
  <c r="H3440" i="34"/>
  <c r="H3441" i="34"/>
  <c r="H3442" i="34"/>
  <c r="H3443" i="34"/>
  <c r="H3444" i="34"/>
  <c r="H3445" i="34"/>
  <c r="H3446" i="34"/>
  <c r="H3447" i="34"/>
  <c r="H3448" i="34"/>
  <c r="H3449" i="34"/>
  <c r="H3450" i="34"/>
  <c r="H3451" i="34"/>
  <c r="H3452" i="34"/>
  <c r="H3453" i="34"/>
  <c r="H3454" i="34"/>
  <c r="H3455" i="34"/>
  <c r="H3456" i="34"/>
  <c r="H3457" i="34"/>
  <c r="H3458" i="34"/>
  <c r="H3459" i="34"/>
  <c r="H3460" i="34"/>
  <c r="H3461" i="34"/>
  <c r="H3462" i="34"/>
  <c r="H3463" i="34"/>
  <c r="H3464" i="34"/>
  <c r="H3465" i="34"/>
  <c r="H3466" i="34"/>
  <c r="H3467" i="34"/>
  <c r="H3468" i="34"/>
  <c r="H3469" i="34"/>
  <c r="H3470" i="34"/>
  <c r="H3471" i="34"/>
  <c r="H3472" i="34"/>
  <c r="H3473" i="34"/>
  <c r="H3474" i="34"/>
  <c r="H3475" i="34"/>
  <c r="H3476" i="34"/>
  <c r="H3477" i="34"/>
  <c r="H3478" i="34"/>
  <c r="H3479" i="34"/>
  <c r="H3480" i="34"/>
  <c r="H3481" i="34"/>
  <c r="H3482" i="34"/>
  <c r="H3483" i="34"/>
  <c r="H3484" i="34"/>
  <c r="H3485" i="34"/>
  <c r="H3486" i="34"/>
  <c r="H3487" i="34"/>
  <c r="H3488" i="34"/>
  <c r="H3489" i="34"/>
  <c r="H3490" i="34"/>
  <c r="H3491" i="34"/>
  <c r="H3492" i="34"/>
  <c r="H3493" i="34"/>
  <c r="H3494" i="34"/>
  <c r="H3495" i="34"/>
  <c r="H3496" i="34"/>
  <c r="H3497" i="34"/>
  <c r="H3498" i="34"/>
  <c r="H3499" i="34"/>
  <c r="H3500" i="34"/>
  <c r="H3501" i="34"/>
  <c r="H3502" i="34"/>
  <c r="H3503" i="34"/>
  <c r="H3504" i="34"/>
  <c r="H3505" i="34"/>
  <c r="H3506" i="34"/>
  <c r="H3507" i="34"/>
  <c r="H3508" i="34"/>
  <c r="H3509" i="34"/>
  <c r="H3510" i="34"/>
  <c r="H3511" i="34"/>
  <c r="H3512" i="34"/>
  <c r="H3513" i="34"/>
  <c r="H3514" i="34"/>
  <c r="H3515" i="34"/>
  <c r="H3516" i="34"/>
  <c r="H3517" i="34"/>
  <c r="H3518" i="34"/>
  <c r="H3519" i="34"/>
  <c r="H3520" i="34"/>
  <c r="H3521" i="34"/>
  <c r="H3522" i="34"/>
  <c r="H3523" i="34"/>
  <c r="H3524" i="34"/>
  <c r="H3525" i="34"/>
  <c r="H3526" i="34"/>
  <c r="H3527" i="34"/>
  <c r="H3528" i="34"/>
  <c r="H3529" i="34"/>
  <c r="H3530" i="34"/>
  <c r="H3531" i="34"/>
  <c r="H3532" i="34"/>
  <c r="H3533" i="34"/>
  <c r="H3534" i="34"/>
  <c r="H3535" i="34"/>
  <c r="H3536" i="34"/>
  <c r="H3537" i="34"/>
  <c r="H3538" i="34"/>
  <c r="H3539" i="34"/>
  <c r="H3540" i="34"/>
  <c r="H3541" i="34"/>
  <c r="H3542" i="34"/>
  <c r="H3543" i="34"/>
  <c r="H3544" i="34"/>
  <c r="H3545" i="34"/>
  <c r="H3546" i="34"/>
  <c r="H3547" i="34"/>
  <c r="H3548" i="34"/>
  <c r="H3549" i="34"/>
  <c r="H3550" i="34"/>
  <c r="H3551" i="34"/>
  <c r="H3552" i="34"/>
  <c r="H3553" i="34"/>
  <c r="H3554" i="34"/>
  <c r="H3555" i="34"/>
  <c r="H3556" i="34"/>
  <c r="H3557" i="34"/>
  <c r="H3558" i="34"/>
  <c r="H3559" i="34"/>
  <c r="H3560" i="34"/>
  <c r="H3561" i="34"/>
  <c r="H3562" i="34"/>
  <c r="H3563" i="34"/>
  <c r="H3564" i="34"/>
  <c r="H3565" i="34"/>
  <c r="H3566" i="34"/>
  <c r="H3567" i="34"/>
  <c r="H3568" i="34"/>
  <c r="H3569" i="34"/>
  <c r="H3570" i="34"/>
  <c r="H3571" i="34"/>
  <c r="H3572" i="34"/>
  <c r="H3573" i="34"/>
  <c r="H3574" i="34"/>
  <c r="H3575" i="34"/>
  <c r="H3576" i="34"/>
  <c r="H3577" i="34"/>
  <c r="H3578" i="34"/>
  <c r="H3579" i="34"/>
  <c r="H3580" i="34"/>
  <c r="H3581" i="34"/>
  <c r="H3582" i="34"/>
  <c r="H3583" i="34"/>
  <c r="H3584" i="34"/>
  <c r="H3585" i="34"/>
  <c r="H3586" i="34"/>
  <c r="H3587" i="34"/>
  <c r="H3588" i="34"/>
  <c r="H3589" i="34"/>
  <c r="H3590" i="34"/>
  <c r="H3591" i="34"/>
  <c r="H3592" i="34"/>
  <c r="H3593" i="34"/>
  <c r="H3594" i="34"/>
  <c r="H3595" i="34"/>
  <c r="H3596" i="34"/>
  <c r="H3597" i="34"/>
  <c r="H3598" i="34"/>
  <c r="H3599" i="34"/>
  <c r="H3600" i="34"/>
  <c r="H3601" i="34"/>
  <c r="H3602" i="34"/>
  <c r="H3603" i="34"/>
  <c r="H3604" i="34"/>
  <c r="H3605" i="34"/>
  <c r="H3606" i="34"/>
  <c r="H3607" i="34"/>
  <c r="H3608" i="34"/>
  <c r="H3609" i="34"/>
  <c r="H3610" i="34"/>
  <c r="H3611" i="34"/>
  <c r="H3612" i="34"/>
  <c r="H3613" i="34"/>
  <c r="H3614" i="34"/>
  <c r="H3615" i="34"/>
  <c r="H3616" i="34"/>
  <c r="H3617" i="34"/>
  <c r="H3618" i="34"/>
  <c r="H3619" i="34"/>
  <c r="H3620" i="34"/>
  <c r="H3621" i="34"/>
  <c r="H3622" i="34"/>
  <c r="H3623" i="34"/>
  <c r="H3624" i="34"/>
  <c r="H3625" i="34"/>
  <c r="H3626" i="34"/>
  <c r="H3627" i="34"/>
  <c r="H3628" i="34"/>
  <c r="H3629" i="34"/>
  <c r="H3630" i="34"/>
  <c r="H3631" i="34"/>
  <c r="H3632" i="34"/>
  <c r="H3633" i="34"/>
  <c r="H3634" i="34"/>
  <c r="H3635" i="34"/>
  <c r="H3636" i="34"/>
  <c r="H3637" i="34"/>
  <c r="H3638" i="34"/>
  <c r="H3639" i="34"/>
  <c r="H3640" i="34"/>
  <c r="H3641" i="34"/>
  <c r="H3642" i="34"/>
  <c r="H3643" i="34"/>
  <c r="H3644" i="34"/>
  <c r="H3645" i="34"/>
  <c r="H3646" i="34"/>
  <c r="H3647" i="34"/>
  <c r="H3648" i="34"/>
  <c r="H3649" i="34"/>
  <c r="H3650" i="34"/>
  <c r="H3651" i="34"/>
  <c r="H3652" i="34"/>
  <c r="H3653" i="34"/>
  <c r="H3654" i="34"/>
  <c r="H3655" i="34"/>
  <c r="H3656" i="34"/>
  <c r="H3657" i="34"/>
  <c r="H3658" i="34"/>
  <c r="H3659" i="34"/>
  <c r="H3660" i="34"/>
  <c r="H3661" i="34"/>
  <c r="H3662" i="34"/>
  <c r="H3663" i="34"/>
  <c r="H3664" i="34"/>
  <c r="H3665" i="34"/>
  <c r="H3666" i="34"/>
  <c r="H3667" i="34"/>
  <c r="H3668" i="34"/>
  <c r="H3669" i="34"/>
  <c r="H3670" i="34"/>
  <c r="H3671" i="34"/>
  <c r="H3672" i="34"/>
  <c r="H3673" i="34"/>
  <c r="H3674" i="34"/>
  <c r="H3675" i="34"/>
  <c r="H3676" i="34"/>
  <c r="H3677" i="34"/>
  <c r="H3678" i="34"/>
  <c r="H3679" i="34"/>
  <c r="H3680" i="34"/>
  <c r="H3681" i="34"/>
  <c r="H3682" i="34"/>
  <c r="H3683" i="34"/>
  <c r="H3684" i="34"/>
  <c r="H3685" i="34"/>
  <c r="H3686" i="34"/>
  <c r="H3687" i="34"/>
  <c r="H3688" i="34"/>
  <c r="H3689" i="34"/>
  <c r="H3690" i="34"/>
  <c r="H3691" i="34"/>
  <c r="H3692" i="34"/>
  <c r="H3693" i="34"/>
  <c r="H3694" i="34"/>
  <c r="H3695" i="34"/>
  <c r="H3696" i="34"/>
  <c r="H3697" i="34"/>
  <c r="H3698" i="34"/>
  <c r="H3699" i="34"/>
  <c r="H3700" i="34"/>
  <c r="H3701" i="34"/>
  <c r="H3702" i="34"/>
  <c r="H3703" i="34"/>
  <c r="H3704" i="34"/>
  <c r="H3705" i="34"/>
  <c r="H3706" i="34"/>
  <c r="H3707" i="34"/>
  <c r="H3708" i="34"/>
  <c r="H3709" i="34"/>
  <c r="H3710" i="34"/>
  <c r="H3711" i="34"/>
  <c r="H3712" i="34"/>
  <c r="H3713" i="34"/>
  <c r="H3714" i="34"/>
  <c r="H3715" i="34"/>
  <c r="H3716" i="34"/>
  <c r="H3717" i="34"/>
  <c r="H3718" i="34"/>
  <c r="H3719" i="34"/>
  <c r="H3720" i="34"/>
  <c r="H3721" i="34"/>
  <c r="H3722" i="34"/>
  <c r="H3723" i="34"/>
  <c r="H3724" i="34"/>
  <c r="H3725" i="34"/>
  <c r="H3726" i="34"/>
  <c r="H3727" i="34"/>
  <c r="H3728" i="34"/>
  <c r="H3729" i="34"/>
  <c r="H3730" i="34"/>
  <c r="H3731" i="34"/>
  <c r="H3732" i="34"/>
  <c r="H3733" i="34"/>
  <c r="H3734" i="34"/>
  <c r="H3735" i="34"/>
  <c r="H3736" i="34"/>
  <c r="H3737" i="34"/>
  <c r="H3738" i="34"/>
  <c r="H3739" i="34"/>
  <c r="H3740" i="34"/>
  <c r="H3741" i="34"/>
  <c r="H3742" i="34"/>
  <c r="H3743" i="34"/>
  <c r="H3744" i="34"/>
  <c r="H3745" i="34"/>
  <c r="H3746" i="34"/>
  <c r="H3747" i="34"/>
  <c r="H3748" i="34"/>
  <c r="H3749" i="34"/>
  <c r="H3750" i="34"/>
  <c r="H3751" i="34"/>
  <c r="H3752" i="34"/>
  <c r="H3753" i="34"/>
  <c r="H3754" i="34"/>
  <c r="H3755" i="34"/>
  <c r="H3756" i="34"/>
  <c r="H3757" i="34"/>
  <c r="H3758" i="34"/>
  <c r="H3759" i="34"/>
  <c r="H3760" i="34"/>
  <c r="H3761" i="34"/>
  <c r="H3762" i="34"/>
  <c r="H3763" i="34"/>
  <c r="H3764" i="34"/>
  <c r="H3765" i="34"/>
  <c r="H3766" i="34"/>
  <c r="H3767" i="34"/>
  <c r="H3768" i="34"/>
  <c r="H3769" i="34"/>
  <c r="H3770" i="34"/>
  <c r="H3771" i="34"/>
  <c r="H3772" i="34"/>
  <c r="H3773" i="34"/>
  <c r="H3774" i="34"/>
  <c r="H3775" i="34"/>
  <c r="H3776" i="34"/>
  <c r="H3777" i="34"/>
  <c r="H3778" i="34"/>
  <c r="H3779" i="34"/>
  <c r="H3780" i="34"/>
  <c r="H3781" i="34"/>
  <c r="H3782" i="34"/>
  <c r="H3783" i="34"/>
  <c r="H3784" i="34"/>
  <c r="H3785" i="34"/>
  <c r="H3786" i="34"/>
  <c r="H3787" i="34"/>
  <c r="H3788" i="34"/>
  <c r="H3789" i="34"/>
  <c r="H3790" i="34"/>
  <c r="H3791" i="34"/>
  <c r="H3792" i="34"/>
  <c r="H3793" i="34"/>
  <c r="H3794" i="34"/>
  <c r="H3795" i="34"/>
  <c r="H3796" i="34"/>
  <c r="H3797" i="34"/>
  <c r="H3798" i="34"/>
  <c r="H3799" i="34"/>
  <c r="H3800" i="34"/>
  <c r="H3801" i="34"/>
  <c r="H3802" i="34"/>
  <c r="H3803" i="34"/>
  <c r="H3804" i="34"/>
  <c r="H3805" i="34"/>
  <c r="H3806" i="34"/>
  <c r="H3807" i="34"/>
  <c r="H3808" i="34"/>
  <c r="H3809" i="34"/>
  <c r="H3810" i="34"/>
  <c r="H3811" i="34"/>
  <c r="H3812" i="34"/>
  <c r="H3813" i="34"/>
  <c r="H3814" i="34"/>
  <c r="H3815" i="34"/>
  <c r="H3816" i="34"/>
  <c r="H3817" i="34"/>
  <c r="H3818" i="34"/>
  <c r="H3819" i="34"/>
  <c r="H3820" i="34"/>
  <c r="H3821" i="34"/>
  <c r="H3822" i="34"/>
  <c r="H3823" i="34"/>
  <c r="H3824" i="34"/>
  <c r="H3825" i="34"/>
  <c r="H3826" i="34"/>
  <c r="H3827" i="34"/>
  <c r="H3828" i="34"/>
  <c r="H3829" i="34"/>
  <c r="H3830" i="34"/>
  <c r="H3831" i="34"/>
  <c r="H3832" i="34"/>
  <c r="H3833" i="34"/>
  <c r="H3834" i="34"/>
  <c r="H3835" i="34"/>
  <c r="H3836" i="34"/>
  <c r="H3837" i="34"/>
  <c r="H3838" i="34"/>
  <c r="H3839" i="34"/>
  <c r="H3840" i="34"/>
  <c r="H3841" i="34"/>
  <c r="H3842" i="34"/>
  <c r="H3843" i="34"/>
  <c r="H3844" i="34"/>
  <c r="H3845" i="34"/>
  <c r="H3846" i="34"/>
  <c r="H3847" i="34"/>
  <c r="H3848" i="34"/>
  <c r="H3849" i="34"/>
  <c r="H3850" i="34"/>
  <c r="H3851" i="34"/>
  <c r="H3852" i="34"/>
  <c r="H3853" i="34"/>
  <c r="H3854" i="34"/>
  <c r="H3855" i="34"/>
  <c r="H3856" i="34"/>
  <c r="H3857" i="34"/>
  <c r="H3858" i="34"/>
  <c r="H3859" i="34"/>
  <c r="H3860" i="34"/>
  <c r="H3861" i="34"/>
  <c r="H3862" i="34"/>
  <c r="H3863" i="34"/>
  <c r="H3864" i="34"/>
  <c r="H3865" i="34"/>
  <c r="H3866" i="34"/>
  <c r="H3867" i="34"/>
  <c r="H3868" i="34"/>
  <c r="H3869" i="34"/>
  <c r="H3870" i="34"/>
  <c r="H3871" i="34"/>
  <c r="H3872" i="34"/>
  <c r="H3873" i="34"/>
  <c r="H3874" i="34"/>
  <c r="H3875" i="34"/>
  <c r="H3876" i="34"/>
  <c r="H3877" i="34"/>
  <c r="H3878" i="34"/>
  <c r="H3879" i="34"/>
  <c r="H3880" i="34"/>
  <c r="H3881" i="34"/>
  <c r="H3882" i="34"/>
  <c r="H3883" i="34"/>
  <c r="H3884" i="34"/>
  <c r="H3885" i="34"/>
  <c r="H3886" i="34"/>
  <c r="H3887" i="34"/>
  <c r="H3888" i="34"/>
  <c r="H3889" i="34"/>
  <c r="H3890" i="34"/>
  <c r="H3891" i="34"/>
  <c r="H3892" i="34"/>
  <c r="H3893" i="34"/>
  <c r="H3894" i="34"/>
  <c r="H3895" i="34"/>
  <c r="H3896" i="34"/>
  <c r="H3897" i="34"/>
  <c r="H3898" i="34"/>
  <c r="H3899" i="34"/>
  <c r="H3900" i="34"/>
  <c r="H3901" i="34"/>
  <c r="H3902" i="34"/>
  <c r="H3903" i="34"/>
  <c r="H3904" i="34"/>
  <c r="H3905" i="34"/>
  <c r="H3906" i="34"/>
  <c r="H3907" i="34"/>
  <c r="H3908" i="34"/>
  <c r="H3909" i="34"/>
  <c r="H3910" i="34"/>
  <c r="H3911" i="34"/>
  <c r="H3912" i="34"/>
  <c r="H3913" i="34"/>
  <c r="H3914" i="34"/>
  <c r="H3915" i="34"/>
  <c r="H3916" i="34"/>
  <c r="H3917" i="34"/>
  <c r="H3918" i="34"/>
  <c r="H3919" i="34"/>
  <c r="H3920" i="34"/>
  <c r="H3921" i="34"/>
  <c r="H3922" i="34"/>
  <c r="H3923" i="34"/>
  <c r="H3924" i="34"/>
  <c r="H3925" i="34"/>
  <c r="H3926" i="34"/>
  <c r="H3927" i="34"/>
  <c r="H3928" i="34"/>
  <c r="H3929" i="34"/>
  <c r="H3930" i="34"/>
  <c r="H3931" i="34"/>
  <c r="H3932" i="34"/>
  <c r="H3933" i="34"/>
  <c r="H3934" i="34"/>
  <c r="H3935" i="34"/>
  <c r="H3936" i="34"/>
  <c r="H3937" i="34"/>
  <c r="H3938" i="34"/>
  <c r="H3939" i="34"/>
  <c r="H3940" i="34"/>
  <c r="H3941" i="34"/>
  <c r="H3942" i="34"/>
  <c r="H3943" i="34"/>
  <c r="H3944" i="34"/>
  <c r="H3945" i="34"/>
  <c r="H3946" i="34"/>
  <c r="H3947" i="34"/>
  <c r="H3948" i="34"/>
  <c r="H3949" i="34"/>
  <c r="H3950" i="34"/>
  <c r="H3951" i="34"/>
  <c r="H3952" i="34"/>
  <c r="H3953" i="34"/>
  <c r="H3954" i="34"/>
  <c r="H3955" i="34"/>
  <c r="H3956" i="34"/>
  <c r="H3957" i="34"/>
  <c r="H3958" i="34"/>
  <c r="H3959" i="34"/>
  <c r="H3960" i="34"/>
  <c r="H3961" i="34"/>
  <c r="H3962" i="34"/>
  <c r="H3963" i="34"/>
  <c r="H3964" i="34"/>
  <c r="H3965" i="34"/>
  <c r="H3966" i="34"/>
  <c r="H3967" i="34"/>
  <c r="H3968" i="34"/>
  <c r="H3969" i="34"/>
  <c r="H3970" i="34"/>
  <c r="H3971" i="34"/>
  <c r="H3972" i="34"/>
  <c r="H3973" i="34"/>
  <c r="H3974" i="34"/>
  <c r="H3975" i="34"/>
  <c r="H3976" i="34"/>
  <c r="H3977" i="34"/>
  <c r="H3978" i="34"/>
  <c r="H3979" i="34"/>
  <c r="H3980" i="34"/>
  <c r="H3981" i="34"/>
  <c r="H3982" i="34"/>
  <c r="H3983" i="34"/>
  <c r="H3984" i="34"/>
  <c r="H3985" i="34"/>
  <c r="H3986" i="34"/>
  <c r="H3987" i="34"/>
  <c r="H3988" i="34"/>
  <c r="H3989" i="34"/>
  <c r="H3990" i="34"/>
  <c r="H3991" i="34"/>
  <c r="H3992" i="34"/>
  <c r="H3993" i="34"/>
  <c r="H3994" i="34"/>
  <c r="H3995" i="34"/>
  <c r="H3996" i="34"/>
  <c r="H3997" i="34"/>
  <c r="H3998" i="34"/>
  <c r="H3999" i="34"/>
  <c r="H4000" i="34"/>
  <c r="H4001" i="34"/>
  <c r="H4002" i="34"/>
  <c r="H4003" i="34"/>
  <c r="H4004" i="34"/>
  <c r="H4005" i="34"/>
  <c r="H4006" i="34"/>
  <c r="H4007" i="34"/>
  <c r="H4008" i="34"/>
  <c r="H4009" i="34"/>
  <c r="H4010" i="34"/>
  <c r="H4011" i="34"/>
  <c r="H4012" i="34"/>
  <c r="H4013" i="34"/>
  <c r="H4014" i="34"/>
  <c r="H4015" i="34"/>
  <c r="H4016" i="34"/>
  <c r="H4017" i="34"/>
  <c r="H4018" i="34"/>
  <c r="H4019" i="34"/>
  <c r="H4020" i="34"/>
  <c r="H4021" i="34"/>
  <c r="H4022" i="34"/>
  <c r="H4023" i="34"/>
  <c r="H4024" i="34"/>
  <c r="H4025" i="34"/>
  <c r="H4026" i="34"/>
  <c r="H4027" i="34"/>
  <c r="H4028" i="34"/>
  <c r="H4029" i="34"/>
  <c r="H4030" i="34"/>
  <c r="H4031" i="34"/>
  <c r="H4032" i="34"/>
  <c r="H4033" i="34"/>
  <c r="H4034" i="34"/>
  <c r="H4035" i="34"/>
  <c r="H4036" i="34"/>
  <c r="H4037" i="34"/>
  <c r="H4038" i="34"/>
  <c r="H4039" i="34"/>
  <c r="H4040" i="34"/>
  <c r="H4041" i="34"/>
  <c r="H4042" i="34"/>
  <c r="H4043" i="34"/>
  <c r="H4044" i="34"/>
  <c r="H4045" i="34"/>
  <c r="H4046" i="34"/>
  <c r="H4047" i="34"/>
  <c r="H4048" i="34"/>
  <c r="H4049" i="34"/>
  <c r="H4050" i="34"/>
  <c r="H4051" i="34"/>
  <c r="H4052" i="34"/>
  <c r="H4053" i="34"/>
  <c r="H4054" i="34"/>
  <c r="H4055" i="34"/>
  <c r="H4056" i="34"/>
  <c r="H4057" i="34"/>
  <c r="H4058" i="34"/>
  <c r="H4059" i="34"/>
  <c r="H4060" i="34"/>
  <c r="H4061" i="34"/>
  <c r="H4062" i="34"/>
  <c r="H4063" i="34"/>
  <c r="H4064" i="34"/>
  <c r="H4065" i="34"/>
  <c r="H4066" i="34"/>
  <c r="H4067" i="34"/>
  <c r="H4068" i="34"/>
  <c r="H4069" i="34"/>
  <c r="H4070" i="34"/>
  <c r="H4071" i="34"/>
  <c r="H4072" i="34"/>
  <c r="H4073" i="34"/>
  <c r="H4074" i="34"/>
  <c r="H4075" i="34"/>
  <c r="H4076" i="34"/>
  <c r="H4077" i="34"/>
  <c r="H4078" i="34"/>
  <c r="H4079" i="34"/>
  <c r="H4080" i="34"/>
  <c r="H4081" i="34"/>
  <c r="H4082" i="34"/>
  <c r="H4083" i="34"/>
  <c r="H4084" i="34"/>
  <c r="H4085" i="34"/>
  <c r="H4086" i="34"/>
  <c r="H4087" i="34"/>
  <c r="H4088" i="34"/>
  <c r="H4089" i="34"/>
  <c r="H4090" i="34"/>
  <c r="H4091" i="34"/>
  <c r="H4092" i="34"/>
  <c r="H4093" i="34"/>
  <c r="H4094" i="34"/>
  <c r="H4095" i="34"/>
  <c r="H4096" i="34"/>
  <c r="H4097" i="34"/>
  <c r="H4098" i="34"/>
  <c r="H4099" i="34"/>
  <c r="H4100" i="34"/>
  <c r="H4101" i="34"/>
  <c r="H4102" i="34"/>
  <c r="H4103" i="34"/>
  <c r="H4104" i="34"/>
  <c r="H4105" i="34"/>
  <c r="H4106" i="34"/>
  <c r="H4107" i="34"/>
  <c r="H4108" i="34"/>
  <c r="H4109" i="34"/>
  <c r="H4110" i="34"/>
  <c r="H4111" i="34"/>
  <c r="H4112" i="34"/>
  <c r="H4113" i="34"/>
  <c r="H4114" i="34"/>
  <c r="H4115" i="34"/>
  <c r="H4116" i="34"/>
  <c r="H4117" i="34"/>
  <c r="H4118" i="34"/>
  <c r="H4119" i="34"/>
  <c r="H4120" i="34"/>
  <c r="H4121" i="34"/>
  <c r="H4122" i="34"/>
  <c r="H4123" i="34"/>
  <c r="H4124" i="34"/>
  <c r="H4125" i="34"/>
  <c r="H4126" i="34"/>
  <c r="H4127" i="34"/>
  <c r="H4128" i="34"/>
  <c r="H4129" i="34"/>
  <c r="H4130" i="34"/>
  <c r="H4131" i="34"/>
  <c r="H4132" i="34"/>
  <c r="H4133" i="34"/>
  <c r="H4134" i="34"/>
  <c r="H4135" i="34"/>
  <c r="H4136" i="34"/>
  <c r="H4137" i="34"/>
  <c r="H4138" i="34"/>
  <c r="H4139" i="34"/>
  <c r="H4140" i="34"/>
  <c r="H4141" i="34"/>
  <c r="H4142" i="34"/>
  <c r="H4143" i="34"/>
  <c r="H4144" i="34"/>
  <c r="H4145" i="34"/>
  <c r="H4146" i="34"/>
  <c r="H4147" i="34"/>
  <c r="H4148" i="34"/>
  <c r="H4149" i="34"/>
  <c r="H4150" i="34"/>
  <c r="H4151" i="34"/>
  <c r="H4152" i="34"/>
  <c r="H4153" i="34"/>
  <c r="H4154" i="34"/>
  <c r="H4155" i="34"/>
  <c r="H4156" i="34"/>
  <c r="H4157" i="34"/>
  <c r="H4158" i="34"/>
  <c r="H4159" i="34"/>
  <c r="H4160" i="34"/>
  <c r="H4161" i="34"/>
  <c r="H4162" i="34"/>
  <c r="H4163" i="34"/>
  <c r="H4164" i="34"/>
  <c r="H4165" i="34"/>
  <c r="H4166" i="34"/>
  <c r="H4167" i="34"/>
  <c r="H4168" i="34"/>
  <c r="H4169" i="34"/>
  <c r="H4170" i="34"/>
  <c r="H4171" i="34"/>
  <c r="H4172" i="34"/>
  <c r="H4173" i="34"/>
  <c r="H4174" i="34"/>
  <c r="H4175" i="34"/>
  <c r="H4176" i="34"/>
  <c r="H4177" i="34"/>
  <c r="H4178" i="34"/>
  <c r="H4179" i="34"/>
  <c r="H4180" i="34"/>
  <c r="H4181" i="34"/>
  <c r="H4182" i="34"/>
  <c r="H4183" i="34"/>
  <c r="H4184" i="34"/>
  <c r="H4185" i="34"/>
  <c r="H4186" i="34"/>
  <c r="H4187" i="34"/>
  <c r="H4188" i="34"/>
  <c r="H4189" i="34"/>
  <c r="H4190" i="34"/>
  <c r="H4191" i="34"/>
  <c r="H4192" i="34"/>
  <c r="H4193" i="34"/>
  <c r="H4194" i="34"/>
  <c r="H4195" i="34"/>
  <c r="H4196" i="34"/>
  <c r="H4197" i="34"/>
  <c r="H4198" i="34"/>
  <c r="H4199" i="34"/>
  <c r="H4200" i="34"/>
  <c r="H4201" i="34"/>
  <c r="H4202" i="34"/>
  <c r="H4203" i="34"/>
  <c r="H4204" i="34"/>
  <c r="H4205" i="34"/>
  <c r="H4206" i="34"/>
  <c r="H4207" i="34"/>
  <c r="H4208" i="34"/>
  <c r="H4209" i="34"/>
  <c r="H4210" i="34"/>
  <c r="H4211" i="34"/>
  <c r="H4212" i="34"/>
  <c r="H4213" i="34"/>
  <c r="H4214" i="34"/>
  <c r="H4215" i="34"/>
  <c r="H4216" i="34"/>
  <c r="H4217" i="34"/>
  <c r="H4218" i="34"/>
  <c r="H4219" i="34"/>
  <c r="H4220" i="34"/>
  <c r="H4221" i="34"/>
  <c r="H4222" i="34"/>
  <c r="H4223" i="34"/>
  <c r="H4224" i="34"/>
  <c r="H4225" i="34"/>
  <c r="H4226" i="34"/>
  <c r="H4227" i="34"/>
  <c r="H4228" i="34"/>
  <c r="H4229" i="34"/>
  <c r="H4230" i="34"/>
  <c r="H4231" i="34"/>
  <c r="H4232" i="34"/>
  <c r="H4233" i="34"/>
  <c r="H4234" i="34"/>
  <c r="H4235" i="34"/>
  <c r="H4236" i="34"/>
  <c r="H4237" i="34"/>
  <c r="H4238" i="34"/>
  <c r="H4239" i="34"/>
  <c r="H4240" i="34"/>
  <c r="H4241" i="34"/>
  <c r="H4242" i="34"/>
  <c r="H4243" i="34"/>
  <c r="H4244" i="34"/>
  <c r="H4245" i="34"/>
  <c r="H4246" i="34"/>
  <c r="H4247" i="34"/>
  <c r="H4248" i="34"/>
  <c r="H4249" i="34"/>
  <c r="H4250" i="34"/>
  <c r="H4251" i="34"/>
  <c r="H4252" i="34"/>
  <c r="H4253" i="34"/>
  <c r="H4254" i="34"/>
  <c r="H4255" i="34"/>
  <c r="H4256" i="34"/>
  <c r="H4257" i="34"/>
  <c r="H4258" i="34"/>
  <c r="H4259" i="34"/>
  <c r="H4260" i="34"/>
  <c r="H4261" i="34"/>
  <c r="H4262" i="34"/>
  <c r="H4263" i="34"/>
  <c r="H4264" i="34"/>
  <c r="H4265" i="34"/>
  <c r="H4266" i="34"/>
  <c r="H4267" i="34"/>
  <c r="H4268" i="34"/>
  <c r="H4269" i="34"/>
  <c r="H4270" i="34"/>
  <c r="H4271" i="34"/>
  <c r="H4272" i="34"/>
  <c r="H4273" i="34"/>
  <c r="H4274" i="34"/>
  <c r="H4275" i="34"/>
  <c r="H4276" i="34"/>
  <c r="H4277" i="34"/>
  <c r="H4278" i="34"/>
  <c r="H4279" i="34"/>
  <c r="H4280" i="34"/>
  <c r="H4281" i="34"/>
  <c r="H4282" i="34"/>
  <c r="H4283" i="34"/>
  <c r="H4284" i="34"/>
  <c r="H4285" i="34"/>
  <c r="H4286" i="34"/>
  <c r="H4287" i="34"/>
  <c r="H4288" i="34"/>
  <c r="H4289" i="34"/>
  <c r="H4290" i="34"/>
  <c r="H4291" i="34"/>
  <c r="H4292" i="34"/>
  <c r="H4293" i="34"/>
  <c r="H4294" i="34"/>
  <c r="H4295" i="34"/>
  <c r="H4296" i="34"/>
  <c r="H4297" i="34"/>
  <c r="H4298" i="34"/>
  <c r="H4299" i="34"/>
  <c r="H4300" i="34"/>
  <c r="H4301" i="34"/>
  <c r="H4302" i="34"/>
  <c r="H4303" i="34"/>
  <c r="H4304" i="34"/>
  <c r="H4305" i="34"/>
  <c r="H4306" i="34"/>
  <c r="H4307" i="34"/>
  <c r="H4308" i="34"/>
  <c r="H4309" i="34"/>
  <c r="H4310" i="34"/>
  <c r="H4311" i="34"/>
  <c r="H4312" i="34"/>
  <c r="H4313" i="34"/>
  <c r="H4314" i="34"/>
  <c r="H4315" i="34"/>
  <c r="H4316" i="34"/>
  <c r="H4317" i="34"/>
  <c r="H4318" i="34"/>
  <c r="H4319" i="34"/>
  <c r="H4320" i="34"/>
  <c r="H4321" i="34"/>
  <c r="H4322" i="34"/>
  <c r="H4323" i="34"/>
  <c r="H4324" i="34"/>
  <c r="H4325" i="34"/>
  <c r="H4326" i="34"/>
  <c r="H4327" i="34"/>
  <c r="H4328" i="34"/>
  <c r="H4329" i="34"/>
  <c r="H4330" i="34"/>
  <c r="H4331" i="34"/>
  <c r="H4332" i="34"/>
  <c r="H4333" i="34"/>
  <c r="H4334" i="34"/>
  <c r="H4335" i="34"/>
  <c r="H4336" i="34"/>
  <c r="H4337" i="34"/>
  <c r="H4338" i="34"/>
  <c r="H4339" i="34"/>
  <c r="H4340" i="34"/>
  <c r="H4341" i="34"/>
  <c r="H4342" i="34"/>
  <c r="H4343" i="34"/>
  <c r="H4344" i="34"/>
  <c r="H4345" i="34"/>
  <c r="H4346" i="34"/>
  <c r="H4347" i="34"/>
  <c r="H4348" i="34"/>
  <c r="H4349" i="34"/>
  <c r="H4350" i="34"/>
  <c r="H4351" i="34"/>
  <c r="H4352" i="34"/>
  <c r="H4353" i="34"/>
  <c r="H4354" i="34"/>
  <c r="H4355" i="34"/>
  <c r="H4356" i="34"/>
  <c r="H4357" i="34"/>
  <c r="H4358" i="34"/>
  <c r="H4359" i="34"/>
  <c r="H4360" i="34"/>
  <c r="H4361" i="34"/>
  <c r="H4362" i="34"/>
  <c r="H4363" i="34"/>
  <c r="H4364" i="34"/>
  <c r="H4365" i="34"/>
  <c r="H4366" i="34"/>
  <c r="H4367" i="34"/>
  <c r="H4368" i="34"/>
  <c r="H4369" i="34"/>
  <c r="H4370" i="34"/>
  <c r="H4371" i="34"/>
  <c r="H4372" i="34"/>
  <c r="H4373" i="34"/>
  <c r="H4374" i="34"/>
  <c r="H4375" i="34"/>
  <c r="H4376" i="34"/>
  <c r="H4377" i="34"/>
  <c r="H4378" i="34"/>
  <c r="H4379" i="34"/>
  <c r="H4380" i="34"/>
  <c r="H4381" i="34"/>
  <c r="H4382" i="34"/>
  <c r="H4383" i="34"/>
  <c r="H4384" i="34"/>
  <c r="H4385" i="34"/>
  <c r="H4386" i="34"/>
  <c r="H4387" i="34"/>
  <c r="H4388" i="34"/>
  <c r="H4389" i="34"/>
  <c r="H4390" i="34"/>
  <c r="H4391" i="34"/>
  <c r="H4392" i="34"/>
  <c r="H4393" i="34"/>
  <c r="H4394" i="34"/>
  <c r="H4395" i="34"/>
  <c r="H4396" i="34"/>
  <c r="H4397" i="34"/>
  <c r="H4398" i="34"/>
  <c r="H4399" i="34"/>
  <c r="H4400" i="34"/>
  <c r="H4401" i="34"/>
  <c r="H4402" i="34"/>
  <c r="H4403" i="34"/>
  <c r="H4404" i="34"/>
  <c r="H4405" i="34"/>
  <c r="H4406" i="34"/>
  <c r="H4407" i="34"/>
  <c r="H4408" i="34"/>
  <c r="H4409" i="34"/>
  <c r="H4410" i="34"/>
  <c r="H4411" i="34"/>
  <c r="H4412" i="34"/>
  <c r="H4413" i="34"/>
  <c r="H4414" i="34"/>
  <c r="H4415" i="34"/>
  <c r="H4416" i="34"/>
  <c r="H4417" i="34"/>
  <c r="H4418" i="34"/>
  <c r="H4419" i="34"/>
  <c r="H4420" i="34"/>
  <c r="H4421" i="34"/>
  <c r="H4422" i="34"/>
  <c r="H4423" i="34"/>
  <c r="H4424" i="34"/>
  <c r="H4425" i="34"/>
  <c r="H4426" i="34"/>
  <c r="H4427" i="34"/>
  <c r="H4428" i="34"/>
  <c r="H4429" i="34"/>
  <c r="H4430" i="34"/>
  <c r="H4431" i="34"/>
  <c r="H4432" i="34"/>
  <c r="H4433" i="34"/>
  <c r="H4434" i="34"/>
  <c r="H4435" i="34"/>
  <c r="H4436" i="34"/>
  <c r="H4437" i="34"/>
  <c r="H4438" i="34"/>
  <c r="H4439" i="34"/>
  <c r="H4440" i="34"/>
  <c r="H4441" i="34"/>
  <c r="H4442" i="34"/>
  <c r="H4443" i="34"/>
  <c r="H4444" i="34"/>
  <c r="H4445" i="34"/>
  <c r="H4446" i="34"/>
  <c r="H4447" i="34"/>
  <c r="H4448" i="34"/>
  <c r="H4449" i="34"/>
  <c r="H4450" i="34"/>
  <c r="H4451" i="34"/>
  <c r="H4452" i="34"/>
  <c r="H4453" i="34"/>
  <c r="H4454" i="34"/>
  <c r="H4455" i="34"/>
  <c r="H4456" i="34"/>
  <c r="H4457" i="34"/>
  <c r="H4458" i="34"/>
  <c r="H4459" i="34"/>
  <c r="H4460" i="34"/>
  <c r="H4461" i="34"/>
  <c r="H4462" i="34"/>
  <c r="H4463" i="34"/>
  <c r="H4464" i="34"/>
  <c r="H4465" i="34"/>
  <c r="H4466" i="34"/>
  <c r="H4467" i="34"/>
  <c r="H4468" i="34"/>
  <c r="H4469" i="34"/>
  <c r="H4470" i="34"/>
  <c r="H4471" i="34"/>
  <c r="H4472" i="34"/>
  <c r="H4473" i="34"/>
  <c r="H4474" i="34"/>
  <c r="H4475" i="34"/>
  <c r="H4476" i="34"/>
  <c r="H4477" i="34"/>
  <c r="H4478" i="34"/>
  <c r="H4479" i="34"/>
  <c r="H4480" i="34"/>
  <c r="H4481" i="34"/>
  <c r="H4482" i="34"/>
  <c r="H4483" i="34"/>
  <c r="H4484" i="34"/>
  <c r="H4485" i="34"/>
  <c r="H4486" i="34"/>
  <c r="H4487" i="34"/>
  <c r="H4488" i="34"/>
  <c r="H4489" i="34"/>
  <c r="H4490" i="34"/>
  <c r="H4491" i="34"/>
  <c r="H4492" i="34"/>
  <c r="H4493" i="34"/>
  <c r="H4494" i="34"/>
  <c r="H4495" i="34"/>
  <c r="H4496" i="34"/>
  <c r="H4497" i="34"/>
  <c r="H4498" i="34"/>
  <c r="H4499" i="34"/>
  <c r="H4500" i="34"/>
  <c r="H4501" i="34"/>
  <c r="H4502" i="34"/>
  <c r="H4503" i="34"/>
  <c r="H4504" i="34"/>
  <c r="H4505" i="34"/>
  <c r="H4506" i="34"/>
  <c r="H4507" i="34"/>
  <c r="H4508" i="34"/>
  <c r="H4509" i="34"/>
  <c r="H4510" i="34"/>
  <c r="H4511" i="34"/>
  <c r="H4512" i="34"/>
  <c r="H4513" i="34"/>
  <c r="H4514" i="34"/>
  <c r="H4515" i="34"/>
  <c r="H4516" i="34"/>
  <c r="H4517" i="34"/>
  <c r="H4518" i="34"/>
  <c r="H4519" i="34"/>
  <c r="H4520" i="34"/>
  <c r="H4521" i="34"/>
  <c r="H4522" i="34"/>
  <c r="H4523" i="34"/>
  <c r="H4524" i="34"/>
  <c r="H4525" i="34"/>
  <c r="H4526" i="34"/>
  <c r="H4527" i="34"/>
  <c r="H4528" i="34"/>
  <c r="H4529" i="34"/>
  <c r="H4530" i="34"/>
  <c r="H4531" i="34"/>
  <c r="H4532" i="34"/>
  <c r="H4533" i="34"/>
  <c r="H4534" i="34"/>
  <c r="H4535" i="34"/>
  <c r="H4536" i="34"/>
  <c r="H4537" i="34"/>
  <c r="H4538" i="34"/>
  <c r="H4539" i="34"/>
  <c r="H4540" i="34"/>
  <c r="H4541" i="34"/>
  <c r="H4542" i="34"/>
  <c r="H4543" i="34"/>
  <c r="H4544" i="34"/>
  <c r="H4545" i="34"/>
  <c r="H4546" i="34"/>
  <c r="H4547" i="34"/>
  <c r="H4548" i="34"/>
  <c r="H4549" i="34"/>
  <c r="H4550" i="34"/>
  <c r="H4551" i="34"/>
  <c r="H4552" i="34"/>
  <c r="H4553" i="34"/>
  <c r="H4554" i="34"/>
  <c r="H4555" i="34"/>
  <c r="H4556" i="34"/>
  <c r="H4557" i="34"/>
  <c r="H4558" i="34"/>
  <c r="H4559" i="34"/>
  <c r="H4560" i="34"/>
  <c r="H4561" i="34"/>
  <c r="H4562" i="34"/>
  <c r="H4563" i="34"/>
  <c r="H4564" i="34"/>
  <c r="H4565" i="34"/>
  <c r="H4566" i="34"/>
  <c r="H4567" i="34"/>
  <c r="H4568" i="34"/>
  <c r="H4569" i="34"/>
  <c r="H4570" i="34"/>
  <c r="H4571" i="34"/>
  <c r="H4572" i="34"/>
  <c r="H4573" i="34"/>
  <c r="H4574" i="34"/>
  <c r="H4575" i="34"/>
  <c r="H4576" i="34"/>
  <c r="H4577" i="34"/>
  <c r="H4578" i="34"/>
  <c r="H4579" i="34"/>
  <c r="H4580" i="34"/>
  <c r="H4581" i="34"/>
  <c r="H4582" i="34"/>
  <c r="H4583" i="34"/>
  <c r="H4584" i="34"/>
  <c r="H4585" i="34"/>
  <c r="H4586" i="34"/>
  <c r="H4587" i="34"/>
  <c r="H4588" i="34"/>
  <c r="H4589" i="34"/>
  <c r="H4590" i="34"/>
  <c r="H4591" i="34"/>
  <c r="H4592" i="34"/>
  <c r="H4593" i="34"/>
  <c r="H4594" i="34"/>
  <c r="H4595" i="34"/>
  <c r="H4596" i="34"/>
  <c r="H4597" i="34"/>
  <c r="H4598" i="34"/>
  <c r="H4599" i="34"/>
  <c r="H4600" i="34"/>
  <c r="H4601" i="34"/>
  <c r="H4602" i="34"/>
  <c r="H4603" i="34"/>
  <c r="H4604" i="34"/>
  <c r="H4605" i="34"/>
  <c r="H4606" i="34"/>
  <c r="H4607" i="34"/>
  <c r="H4608" i="34"/>
  <c r="H4609" i="34"/>
  <c r="H4610" i="34"/>
  <c r="H4611" i="34"/>
  <c r="H4612" i="34"/>
  <c r="H4613" i="34"/>
  <c r="H4614" i="34"/>
  <c r="H4615" i="34"/>
  <c r="H4616" i="34"/>
  <c r="H4617" i="34"/>
  <c r="H4618" i="34"/>
  <c r="H4619" i="34"/>
  <c r="H4620" i="34"/>
  <c r="H4621" i="34"/>
  <c r="H4622" i="34"/>
  <c r="H4623" i="34"/>
  <c r="H4624" i="34"/>
  <c r="H4625" i="34"/>
  <c r="H4626" i="34"/>
  <c r="H4627" i="34"/>
  <c r="H4628" i="34"/>
  <c r="H4629" i="34"/>
  <c r="H4630" i="34"/>
  <c r="H4631" i="34"/>
  <c r="H4632" i="34"/>
  <c r="H4633" i="34"/>
  <c r="H4634" i="34"/>
  <c r="H4635" i="34"/>
  <c r="H4636" i="34"/>
  <c r="H4637" i="34"/>
  <c r="H4638" i="34"/>
  <c r="H4639" i="34"/>
  <c r="H4640" i="34"/>
  <c r="H4641" i="34"/>
  <c r="H4642" i="34"/>
  <c r="H4643" i="34"/>
  <c r="H4644" i="34"/>
  <c r="H4645" i="34"/>
  <c r="H4646" i="34"/>
  <c r="H4647" i="34"/>
  <c r="H4648" i="34"/>
  <c r="H4649" i="34"/>
  <c r="H4650" i="34"/>
  <c r="H4651" i="34"/>
  <c r="H4652" i="34"/>
  <c r="H4653" i="34"/>
  <c r="H4654" i="34"/>
  <c r="H4655" i="34"/>
  <c r="H4656" i="34"/>
  <c r="H4657" i="34"/>
  <c r="H4658" i="34"/>
  <c r="H4659" i="34"/>
  <c r="H4660" i="34"/>
  <c r="H4661" i="34"/>
  <c r="H4662" i="34"/>
  <c r="H4663" i="34"/>
  <c r="H4664" i="34"/>
  <c r="H4665" i="34"/>
  <c r="H4666" i="34"/>
  <c r="H4667" i="34"/>
  <c r="H4668" i="34"/>
  <c r="H4669" i="34"/>
  <c r="H4670" i="34"/>
  <c r="H4671" i="34"/>
  <c r="H4672" i="34"/>
  <c r="H4673" i="34"/>
  <c r="H4674" i="34"/>
  <c r="H4675" i="34"/>
  <c r="H4676" i="34"/>
  <c r="H4677" i="34"/>
  <c r="H4678" i="34"/>
  <c r="H4679" i="34"/>
  <c r="H4680" i="34"/>
  <c r="H4681" i="34"/>
  <c r="H4682" i="34"/>
  <c r="H4683" i="34"/>
  <c r="H4684" i="34"/>
  <c r="H4685" i="34"/>
  <c r="H4686" i="34"/>
  <c r="H4687" i="34"/>
  <c r="H4688" i="34"/>
  <c r="H4689" i="34"/>
  <c r="H4690" i="34"/>
  <c r="H4691" i="34"/>
  <c r="H4692" i="34"/>
  <c r="H4693" i="34"/>
  <c r="H4694" i="34"/>
  <c r="H4695" i="34"/>
  <c r="H4696" i="34"/>
  <c r="H4697" i="34"/>
  <c r="H4698" i="34"/>
  <c r="H4699" i="34"/>
  <c r="H4700" i="34"/>
  <c r="H4701" i="34"/>
  <c r="H4702" i="34"/>
  <c r="H4703" i="34"/>
  <c r="H4704" i="34"/>
  <c r="H4705" i="34"/>
  <c r="H4706" i="34"/>
  <c r="H4707" i="34"/>
  <c r="H4708" i="34"/>
  <c r="H4709" i="34"/>
  <c r="H4710" i="34"/>
  <c r="H4711" i="34"/>
  <c r="H4712" i="34"/>
  <c r="H4713" i="34"/>
  <c r="H4714" i="34"/>
  <c r="H4715" i="34"/>
  <c r="H4716" i="34"/>
  <c r="H4717" i="34"/>
  <c r="H4718" i="34"/>
  <c r="H4719" i="34"/>
  <c r="H4720" i="34"/>
  <c r="H4721" i="34"/>
  <c r="H4722" i="34"/>
  <c r="H4723" i="34"/>
  <c r="H4724" i="34"/>
  <c r="H4725" i="34"/>
  <c r="H4726" i="34"/>
  <c r="H4727" i="34"/>
  <c r="H4728" i="34"/>
  <c r="H4729" i="34"/>
  <c r="H4730" i="34"/>
  <c r="H4731" i="34"/>
  <c r="H4732" i="34"/>
  <c r="H4733" i="34"/>
  <c r="H4734" i="34"/>
  <c r="H4735" i="34"/>
  <c r="H4736" i="34"/>
  <c r="H4737" i="34"/>
  <c r="H4738" i="34"/>
  <c r="H4739" i="34"/>
  <c r="H4740" i="34"/>
  <c r="H4741" i="34"/>
  <c r="H4742" i="34"/>
  <c r="H4743" i="34"/>
  <c r="H4744" i="34"/>
  <c r="H4745" i="34"/>
  <c r="H4746" i="34"/>
  <c r="H4747" i="34"/>
  <c r="H4748" i="34"/>
  <c r="H4749" i="34"/>
  <c r="H4750" i="34"/>
  <c r="H4751" i="34"/>
  <c r="H4752" i="34"/>
  <c r="H4753" i="34"/>
  <c r="H4754" i="34"/>
  <c r="H4755" i="34"/>
  <c r="H4756" i="34"/>
  <c r="H4757" i="34"/>
  <c r="H4758" i="34"/>
  <c r="H4759" i="34"/>
  <c r="H4760" i="34"/>
  <c r="H4761" i="34"/>
  <c r="H4762" i="34"/>
  <c r="H4763" i="34"/>
  <c r="H4764" i="34"/>
  <c r="H4765" i="34"/>
  <c r="H4766" i="34"/>
  <c r="H4767" i="34"/>
  <c r="H4768" i="34"/>
  <c r="H4769" i="34"/>
  <c r="H4770" i="34"/>
  <c r="H4771" i="34"/>
  <c r="H4772" i="34"/>
  <c r="H4773" i="34"/>
  <c r="H4774" i="34"/>
  <c r="H4775" i="34"/>
  <c r="H4776" i="34"/>
  <c r="H4777" i="34"/>
  <c r="H4778" i="34"/>
  <c r="H4779" i="34"/>
  <c r="H4780" i="34"/>
  <c r="H4781" i="34"/>
  <c r="H4782" i="34"/>
  <c r="H4783" i="34"/>
  <c r="H4784" i="34"/>
  <c r="H4785" i="34"/>
  <c r="H4786" i="34"/>
  <c r="H4787" i="34"/>
  <c r="H4788" i="34"/>
  <c r="H4789" i="34"/>
  <c r="H4790" i="34"/>
  <c r="H4791" i="34"/>
  <c r="H4792" i="34"/>
  <c r="H4793" i="34"/>
  <c r="H4794" i="34"/>
  <c r="H4795" i="34"/>
  <c r="H4796" i="34"/>
  <c r="H4797" i="34"/>
  <c r="H4798" i="34"/>
  <c r="H4799" i="34"/>
  <c r="H4800" i="34"/>
  <c r="H4801" i="34"/>
  <c r="H4802" i="34"/>
  <c r="H4803" i="34"/>
  <c r="H4804" i="34"/>
  <c r="H4805" i="34"/>
  <c r="H4806" i="34"/>
  <c r="H4807" i="34"/>
  <c r="H4808" i="34"/>
  <c r="H4809" i="34"/>
  <c r="H4810" i="34"/>
  <c r="H4811" i="34"/>
  <c r="H4812" i="34"/>
  <c r="H4813" i="34"/>
  <c r="H4814" i="34"/>
  <c r="H4815" i="34"/>
  <c r="H4816" i="34"/>
  <c r="H4817" i="34"/>
  <c r="H4818" i="34"/>
  <c r="H4819" i="34"/>
  <c r="H4820" i="34"/>
  <c r="H4821" i="34"/>
  <c r="H4822" i="34"/>
  <c r="H4823" i="34"/>
  <c r="H4824" i="34"/>
  <c r="H4825" i="34"/>
  <c r="H4826" i="34"/>
  <c r="H4827" i="34"/>
  <c r="H4828" i="34"/>
  <c r="H4829" i="34"/>
  <c r="H4830" i="34"/>
  <c r="H4831" i="34"/>
  <c r="H4832" i="34"/>
  <c r="H4833" i="34"/>
  <c r="H4834" i="34"/>
  <c r="H4835" i="34"/>
  <c r="H4836" i="34"/>
  <c r="H4837" i="34"/>
  <c r="H4838" i="34"/>
  <c r="H4839" i="34"/>
  <c r="H4840" i="34"/>
  <c r="H4841" i="34"/>
  <c r="H4842" i="34"/>
  <c r="H4843" i="34"/>
  <c r="H4844" i="34"/>
  <c r="H4845" i="34"/>
  <c r="H4846" i="34"/>
  <c r="H4847" i="34"/>
  <c r="H4848" i="34"/>
  <c r="H4849" i="34"/>
  <c r="H4850" i="34"/>
  <c r="H4851" i="34"/>
  <c r="H4852" i="34"/>
  <c r="H4853" i="34"/>
  <c r="H4854" i="34"/>
  <c r="H4855" i="34"/>
  <c r="H4856" i="34"/>
  <c r="H4857" i="34"/>
  <c r="H4858" i="34"/>
  <c r="H4859" i="34"/>
  <c r="H4860" i="34"/>
  <c r="H4861" i="34"/>
  <c r="H4862" i="34"/>
  <c r="H4863" i="34"/>
  <c r="H4864" i="34"/>
  <c r="H4865" i="34"/>
  <c r="H4866" i="34"/>
  <c r="H4867" i="34"/>
  <c r="H4868" i="34"/>
  <c r="H4869" i="34"/>
  <c r="H4870" i="34"/>
  <c r="H4871" i="34"/>
  <c r="H4872" i="34"/>
  <c r="H4873" i="34"/>
  <c r="H4874" i="34"/>
  <c r="H4875" i="34"/>
  <c r="H4876" i="34"/>
  <c r="H4877" i="34"/>
  <c r="H4878" i="34"/>
  <c r="H4879" i="34"/>
  <c r="H4880" i="34"/>
  <c r="H4881" i="34"/>
  <c r="H4882" i="34"/>
  <c r="H4883" i="34"/>
  <c r="H4884" i="34"/>
  <c r="H4885" i="34"/>
  <c r="H4886" i="34"/>
  <c r="H4887" i="34"/>
  <c r="H4888" i="34"/>
  <c r="H4889" i="34"/>
  <c r="H4890" i="34"/>
  <c r="H4891" i="34"/>
  <c r="H4892" i="34"/>
  <c r="H4893" i="34"/>
  <c r="H4894" i="34"/>
  <c r="H4895" i="34"/>
  <c r="H4896" i="34"/>
  <c r="H4897" i="34"/>
  <c r="H4898" i="34"/>
  <c r="H4899" i="34"/>
  <c r="H4900" i="34"/>
  <c r="H4901" i="34"/>
  <c r="H4902" i="34"/>
  <c r="H4903" i="34"/>
  <c r="H4904" i="34"/>
  <c r="H4905" i="34"/>
  <c r="H4906" i="34"/>
  <c r="H4907" i="34"/>
  <c r="H4908" i="34"/>
  <c r="H4909" i="34"/>
  <c r="H4910" i="34"/>
  <c r="H4911" i="34"/>
  <c r="H4912" i="34"/>
  <c r="H4913" i="34"/>
  <c r="H4914" i="34"/>
  <c r="H4915" i="34"/>
  <c r="H4916" i="34"/>
  <c r="H4917" i="34"/>
  <c r="H4918" i="34"/>
  <c r="H4919" i="34"/>
  <c r="H4920" i="34"/>
  <c r="H4921" i="34"/>
  <c r="H4922" i="34"/>
  <c r="H4923" i="34"/>
  <c r="H4924" i="34"/>
  <c r="H4925" i="34"/>
  <c r="H4926" i="34"/>
  <c r="H4927" i="34"/>
  <c r="H4928" i="34"/>
  <c r="H4929" i="34"/>
  <c r="H4930" i="34"/>
  <c r="H4931" i="34"/>
  <c r="H4932" i="34"/>
  <c r="H4933" i="34"/>
  <c r="H4934" i="34"/>
  <c r="H4935" i="34"/>
  <c r="H4936" i="34"/>
  <c r="H4937" i="34"/>
  <c r="H4938" i="34"/>
  <c r="H4939" i="34"/>
  <c r="H4940" i="34"/>
  <c r="H4941" i="34"/>
  <c r="H4942" i="34"/>
  <c r="H4943" i="34"/>
  <c r="H4944" i="34"/>
  <c r="H4945" i="34"/>
  <c r="H4946" i="34"/>
  <c r="H4947" i="34"/>
  <c r="H4948" i="34"/>
  <c r="H4949" i="34"/>
  <c r="H4950" i="34"/>
  <c r="H4951" i="34"/>
  <c r="H4952" i="34"/>
  <c r="H4953" i="34"/>
  <c r="H4954" i="34"/>
  <c r="H4955" i="34"/>
  <c r="H4956" i="34"/>
  <c r="H4957" i="34"/>
  <c r="H4958" i="34"/>
  <c r="H4959" i="34"/>
  <c r="H4960" i="34"/>
  <c r="H4961" i="34"/>
  <c r="H4962" i="34"/>
  <c r="H4963" i="34"/>
  <c r="H4964" i="34"/>
  <c r="H4965" i="34"/>
  <c r="H4966" i="34"/>
  <c r="H4967" i="34"/>
  <c r="H4968" i="34"/>
  <c r="H4969" i="34"/>
  <c r="H4970" i="34"/>
  <c r="H4971" i="34"/>
  <c r="H4972" i="34"/>
  <c r="H4973" i="34"/>
  <c r="H4974" i="34"/>
  <c r="H4975" i="34"/>
  <c r="H4976" i="34"/>
  <c r="H4977" i="34"/>
  <c r="H4978" i="34"/>
  <c r="H4979" i="34"/>
  <c r="H4980" i="34"/>
  <c r="H4981" i="34"/>
  <c r="H4982" i="34"/>
  <c r="H4983" i="34"/>
  <c r="H4984" i="34"/>
  <c r="H4985" i="34"/>
  <c r="H4986" i="34"/>
  <c r="H4987" i="34"/>
  <c r="H4988" i="34"/>
  <c r="H4989" i="34"/>
  <c r="H4990" i="34"/>
  <c r="H4991" i="34"/>
  <c r="H4992" i="34"/>
  <c r="H4993" i="34"/>
  <c r="H4994" i="34"/>
  <c r="H4995" i="34"/>
  <c r="H4996" i="34"/>
  <c r="H4997" i="34"/>
  <c r="H4998" i="34"/>
  <c r="H4999" i="34"/>
  <c r="H5000" i="34"/>
  <c r="H5001" i="34"/>
  <c r="H5002" i="34"/>
  <c r="H5003" i="34"/>
  <c r="H5004" i="34"/>
  <c r="H5005" i="34"/>
  <c r="H5006" i="34"/>
  <c r="H5007" i="34"/>
  <c r="H5008" i="34"/>
  <c r="H5009" i="34"/>
  <c r="H5010" i="34"/>
  <c r="H5011" i="34"/>
  <c r="H5012" i="34"/>
  <c r="H5013" i="34"/>
  <c r="H5014" i="34"/>
  <c r="H5015" i="34"/>
  <c r="H5016" i="34"/>
  <c r="H5017" i="34"/>
  <c r="H5018" i="34"/>
  <c r="H5019" i="34"/>
  <c r="H5020" i="34"/>
  <c r="H5021" i="34"/>
  <c r="H5022" i="34"/>
  <c r="H5023" i="34"/>
  <c r="H5024" i="34"/>
  <c r="H5025" i="34"/>
  <c r="H5026" i="34"/>
  <c r="H5027" i="34"/>
  <c r="H5028" i="34"/>
  <c r="H5029" i="34"/>
  <c r="H5030" i="34"/>
  <c r="H5031" i="34"/>
  <c r="H5032" i="34"/>
  <c r="H5033" i="34"/>
  <c r="H5034" i="34"/>
  <c r="H5035" i="34"/>
  <c r="H5036" i="34"/>
  <c r="H5037" i="34"/>
  <c r="H5038" i="34"/>
  <c r="H5039" i="34"/>
  <c r="H5040" i="34"/>
  <c r="H5041" i="34"/>
  <c r="H5042" i="34"/>
  <c r="H5043" i="34"/>
  <c r="H5044" i="34"/>
  <c r="H5045" i="34"/>
  <c r="H5046" i="34"/>
  <c r="H5047" i="34"/>
  <c r="H5048" i="34"/>
  <c r="H5049" i="34"/>
  <c r="H5050" i="34"/>
  <c r="H5051" i="34"/>
  <c r="H5052" i="34"/>
  <c r="H5053" i="34"/>
  <c r="H5054" i="34"/>
  <c r="H5055" i="34"/>
  <c r="H5056" i="34"/>
  <c r="H5057" i="34"/>
  <c r="H5058" i="34"/>
  <c r="H5059" i="34"/>
  <c r="H5060" i="34"/>
  <c r="H5061" i="34"/>
  <c r="H5062" i="34"/>
  <c r="H5063" i="34"/>
  <c r="H5064" i="34"/>
  <c r="H5065" i="34"/>
  <c r="H5066" i="34"/>
  <c r="H5067" i="34"/>
  <c r="H5068" i="34"/>
  <c r="H5069" i="34"/>
  <c r="H5070" i="34"/>
  <c r="H5071" i="34"/>
  <c r="H5072" i="34"/>
  <c r="H5073" i="34"/>
  <c r="H5074" i="34"/>
  <c r="H5075" i="34"/>
  <c r="H5076" i="34"/>
  <c r="H5077" i="34"/>
  <c r="H5078" i="34"/>
  <c r="H5079" i="34"/>
  <c r="H5080" i="34"/>
  <c r="H5081" i="34"/>
  <c r="H5082" i="34"/>
  <c r="H5083" i="34"/>
  <c r="H5084" i="34"/>
  <c r="H5085" i="34"/>
  <c r="H5086" i="34"/>
  <c r="H5087" i="34"/>
  <c r="H5088" i="34"/>
  <c r="H5089" i="34"/>
  <c r="H5090" i="34"/>
  <c r="H5091" i="34"/>
  <c r="H5092" i="34"/>
  <c r="H5093" i="34"/>
  <c r="H5094" i="34"/>
  <c r="H5095" i="34"/>
  <c r="H5096" i="34"/>
  <c r="H5097" i="34"/>
  <c r="H5098" i="34"/>
  <c r="H5099" i="34"/>
  <c r="H5100" i="34"/>
  <c r="H5101" i="34"/>
  <c r="H5102" i="34"/>
  <c r="H5103" i="34"/>
  <c r="H5104" i="34"/>
  <c r="H5105" i="34"/>
  <c r="H5106" i="34"/>
  <c r="H5107" i="34"/>
  <c r="H5108" i="34"/>
  <c r="H5109" i="34"/>
  <c r="H5110" i="34"/>
  <c r="H5111" i="34"/>
  <c r="H5112" i="34"/>
  <c r="H5113" i="34"/>
  <c r="H5114" i="34"/>
  <c r="H5115" i="34"/>
  <c r="H5116" i="34"/>
  <c r="H5117" i="34"/>
  <c r="H5118" i="34"/>
  <c r="H5119" i="34"/>
  <c r="H5120" i="34"/>
  <c r="H5121" i="34"/>
  <c r="H5122" i="34"/>
  <c r="H5123" i="34"/>
  <c r="H5124" i="34"/>
  <c r="H5125" i="34"/>
  <c r="H5126" i="34"/>
  <c r="H5127" i="34"/>
  <c r="H5128" i="34"/>
  <c r="H5129" i="34"/>
  <c r="H5130" i="34"/>
  <c r="H5131" i="34"/>
  <c r="H5132" i="34"/>
  <c r="H5133" i="34"/>
  <c r="H5134" i="34"/>
  <c r="H5135" i="34"/>
  <c r="H5136" i="34"/>
  <c r="H5137" i="34"/>
  <c r="H5138" i="34"/>
  <c r="H5139" i="34"/>
  <c r="H5140" i="34"/>
  <c r="H5141" i="34"/>
  <c r="H5142" i="34"/>
  <c r="H5143" i="34"/>
  <c r="H5144" i="34"/>
  <c r="H5145" i="34"/>
  <c r="H5146" i="34"/>
  <c r="H5147" i="34"/>
  <c r="H5148" i="34"/>
  <c r="H5149" i="34"/>
  <c r="H5150" i="34"/>
  <c r="H5151" i="34"/>
  <c r="H5152" i="34"/>
  <c r="H5153" i="34"/>
  <c r="H5154" i="34"/>
  <c r="H5155" i="34"/>
  <c r="H5156" i="34"/>
  <c r="H5157" i="34"/>
  <c r="H5158" i="34"/>
  <c r="H5159" i="34"/>
  <c r="H5160" i="34"/>
  <c r="H5161" i="34"/>
  <c r="H5162" i="34"/>
  <c r="H5163" i="34"/>
  <c r="H5164" i="34"/>
  <c r="H5165" i="34"/>
  <c r="H5166" i="34"/>
  <c r="H5167" i="34"/>
  <c r="H5168" i="34"/>
  <c r="H5169" i="34"/>
  <c r="H5170" i="34"/>
  <c r="H5171" i="34"/>
  <c r="H5172" i="34"/>
  <c r="H5173" i="34"/>
  <c r="H5174" i="34"/>
  <c r="H5175" i="34"/>
  <c r="H5176" i="34"/>
  <c r="H5177" i="34"/>
  <c r="H5178" i="34"/>
  <c r="H5179" i="34"/>
  <c r="H5180" i="34"/>
  <c r="H5181" i="34"/>
  <c r="H5182" i="34"/>
  <c r="H5183" i="34"/>
  <c r="H5184" i="34"/>
  <c r="H5185" i="34"/>
  <c r="H5186" i="34"/>
  <c r="H5187" i="34"/>
  <c r="H5188" i="34"/>
  <c r="H5189" i="34"/>
  <c r="H5190" i="34"/>
  <c r="H5191" i="34"/>
  <c r="H5192" i="34"/>
  <c r="H5193" i="34"/>
  <c r="H5194" i="34"/>
  <c r="H5195" i="34"/>
  <c r="H5196" i="34"/>
  <c r="H5197" i="34"/>
  <c r="H5198" i="34"/>
  <c r="H5199" i="34"/>
  <c r="H5200" i="34"/>
  <c r="H5201" i="34"/>
  <c r="H5202" i="34"/>
  <c r="H5203" i="34"/>
  <c r="H5204" i="34"/>
  <c r="H5205" i="34"/>
  <c r="H5206" i="34"/>
  <c r="H5207" i="34"/>
  <c r="H5208" i="34"/>
  <c r="H5209" i="34"/>
  <c r="H5210" i="34"/>
  <c r="H5211" i="34"/>
  <c r="H5212" i="34"/>
  <c r="H5213" i="34"/>
  <c r="H5214" i="34"/>
  <c r="H5215" i="34"/>
  <c r="H5216" i="34"/>
  <c r="H5217" i="34"/>
  <c r="H5218" i="34"/>
  <c r="H5219" i="34"/>
  <c r="H5220" i="34"/>
  <c r="H5221" i="34"/>
  <c r="H5222" i="34"/>
  <c r="H5223" i="34"/>
  <c r="H5224" i="34"/>
  <c r="H5225" i="34"/>
  <c r="H5226" i="34"/>
  <c r="H5227" i="34"/>
  <c r="H5228" i="34"/>
  <c r="H5229" i="34"/>
  <c r="H5230" i="34"/>
  <c r="H5231" i="34"/>
  <c r="H5232" i="34"/>
  <c r="H5233" i="34"/>
  <c r="H5234" i="34"/>
  <c r="H5235" i="34"/>
  <c r="H5236" i="34"/>
  <c r="H5237" i="34"/>
  <c r="H5238" i="34"/>
  <c r="H5239" i="34"/>
  <c r="H5240" i="34"/>
  <c r="H5241" i="34"/>
  <c r="H5242" i="34"/>
  <c r="H5243" i="34"/>
  <c r="H5244" i="34"/>
  <c r="H5245" i="34"/>
  <c r="H5246" i="34"/>
  <c r="H5247" i="34"/>
  <c r="H5248" i="34"/>
  <c r="H5249" i="34"/>
  <c r="H5250" i="34"/>
  <c r="H5251" i="34"/>
  <c r="H5252" i="34"/>
  <c r="H5253" i="34"/>
  <c r="H5254" i="34"/>
  <c r="H5255" i="34"/>
  <c r="H5256" i="34"/>
  <c r="H5257" i="34"/>
  <c r="H5258" i="34"/>
  <c r="H5259" i="34"/>
  <c r="H5260" i="34"/>
  <c r="H5261" i="34"/>
  <c r="H5262" i="34"/>
  <c r="H5263" i="34"/>
  <c r="H5264" i="34"/>
  <c r="H5265" i="34"/>
  <c r="H5266" i="34"/>
  <c r="H5267" i="34"/>
  <c r="H5268" i="34"/>
  <c r="H5269" i="34"/>
  <c r="H5270" i="34"/>
  <c r="H5271" i="34"/>
  <c r="H5272" i="34"/>
  <c r="H5273" i="34"/>
  <c r="H5274" i="34"/>
  <c r="H5275" i="34"/>
  <c r="H5276" i="34"/>
  <c r="H5277" i="34"/>
  <c r="H5278" i="34"/>
  <c r="H5279" i="34"/>
  <c r="H5280" i="34"/>
  <c r="H5281" i="34"/>
  <c r="H5282" i="34"/>
  <c r="H5283" i="34"/>
  <c r="H5284" i="34"/>
  <c r="H5285" i="34"/>
  <c r="H5286" i="34"/>
  <c r="H5287" i="34"/>
  <c r="H5288" i="34"/>
  <c r="H5289" i="34"/>
  <c r="H5290" i="34"/>
  <c r="H5291" i="34"/>
  <c r="H5292" i="34"/>
  <c r="H5293" i="34"/>
  <c r="H5294" i="34"/>
  <c r="H5295" i="34"/>
  <c r="H5296" i="34"/>
  <c r="H5297" i="34"/>
  <c r="H5298" i="34"/>
  <c r="H5299" i="34"/>
  <c r="H5300" i="34"/>
  <c r="H5301" i="34"/>
  <c r="H5302" i="34"/>
  <c r="H5303" i="34"/>
  <c r="H5304" i="34"/>
  <c r="H5305" i="34"/>
  <c r="H5306" i="34"/>
  <c r="H5307" i="34"/>
  <c r="H5308" i="34"/>
  <c r="H5309" i="34"/>
  <c r="H5310" i="34"/>
  <c r="H5311" i="34"/>
  <c r="H5312" i="34"/>
  <c r="H5313" i="34"/>
  <c r="H5314" i="34"/>
  <c r="H5315" i="34"/>
  <c r="H5316" i="34"/>
  <c r="H5317" i="34"/>
  <c r="H5318" i="34"/>
  <c r="H5319" i="34"/>
  <c r="H5320" i="34"/>
  <c r="H5321" i="34"/>
  <c r="H5322" i="34"/>
  <c r="H5323" i="34"/>
  <c r="H5324" i="34"/>
  <c r="H5325" i="34"/>
  <c r="H5326" i="34"/>
  <c r="H5327" i="34"/>
  <c r="H5328" i="34"/>
  <c r="H5329" i="34"/>
  <c r="H5330" i="34"/>
  <c r="H5331" i="34"/>
  <c r="H5332" i="34"/>
  <c r="H5333" i="34"/>
  <c r="H5334" i="34"/>
  <c r="H5335" i="34"/>
  <c r="H5336" i="34"/>
  <c r="H5337" i="34"/>
  <c r="H5338" i="34"/>
  <c r="H5339" i="34"/>
  <c r="H5340" i="34"/>
  <c r="H5341" i="34"/>
  <c r="H5342" i="34"/>
  <c r="H5343" i="34"/>
  <c r="H5344" i="34"/>
  <c r="H5345" i="34"/>
  <c r="H5346" i="34"/>
  <c r="H5347" i="34"/>
  <c r="H5348" i="34"/>
  <c r="H5349" i="34"/>
  <c r="H5350" i="34"/>
  <c r="H5351" i="34"/>
  <c r="H5352" i="34"/>
  <c r="H5353" i="34"/>
  <c r="H5354" i="34"/>
  <c r="H5355" i="34"/>
  <c r="H5356" i="34"/>
  <c r="H5357" i="34"/>
  <c r="H5358" i="34"/>
  <c r="H5359" i="34"/>
  <c r="H5360" i="34"/>
  <c r="H5361" i="34"/>
  <c r="H5362" i="34"/>
  <c r="H5363" i="34"/>
  <c r="H5364" i="34"/>
  <c r="H5365" i="34"/>
  <c r="H5366" i="34"/>
  <c r="H5367" i="34"/>
  <c r="H5368" i="34"/>
  <c r="H5369" i="34"/>
  <c r="H5370" i="34"/>
  <c r="H5371" i="34"/>
  <c r="H5372" i="34"/>
  <c r="H5373" i="34"/>
  <c r="H5374" i="34"/>
  <c r="H5375" i="34"/>
  <c r="H5376" i="34"/>
  <c r="H5377" i="34"/>
  <c r="H5378" i="34"/>
  <c r="H5379" i="34"/>
  <c r="H5380" i="34"/>
  <c r="H5381" i="34"/>
  <c r="H5382" i="34"/>
  <c r="H5383" i="34"/>
  <c r="H5384" i="34"/>
  <c r="H5385" i="34"/>
  <c r="H5386" i="34"/>
  <c r="H5387" i="34"/>
  <c r="H5388" i="34"/>
  <c r="H5389" i="34"/>
  <c r="H5390" i="34"/>
  <c r="H5391" i="34"/>
  <c r="H5392" i="34"/>
  <c r="H5393" i="34"/>
  <c r="H5394" i="34"/>
  <c r="H5395" i="34"/>
  <c r="H5396" i="34"/>
  <c r="H5397" i="34"/>
  <c r="H5398" i="34"/>
  <c r="H5399" i="34"/>
  <c r="H5400" i="34"/>
  <c r="H5401" i="34"/>
  <c r="H5402" i="34"/>
  <c r="H5403" i="34"/>
  <c r="H5404" i="34"/>
  <c r="H5405" i="34"/>
  <c r="H5406" i="34"/>
  <c r="H5407" i="34"/>
  <c r="H5408" i="34"/>
  <c r="H5409" i="34"/>
  <c r="H5410" i="34"/>
  <c r="H5411" i="34"/>
  <c r="H5412" i="34"/>
  <c r="H5413" i="34"/>
  <c r="H5414" i="34"/>
  <c r="H5415" i="34"/>
  <c r="H5416" i="34"/>
  <c r="H5417" i="34"/>
  <c r="H5418" i="34"/>
  <c r="H5419" i="34"/>
  <c r="H5420" i="34"/>
  <c r="H5421" i="34"/>
  <c r="H5422" i="34"/>
  <c r="H5423" i="34"/>
  <c r="H5424" i="34"/>
  <c r="H5425" i="34"/>
  <c r="H5426" i="34"/>
  <c r="H5427" i="34"/>
  <c r="H5428" i="34"/>
  <c r="H5429" i="34"/>
  <c r="H5430" i="34"/>
  <c r="H5431" i="34"/>
  <c r="H5432" i="34"/>
  <c r="H5433" i="34"/>
  <c r="H5434" i="34"/>
  <c r="H5435" i="34"/>
  <c r="H5436" i="34"/>
  <c r="H5437" i="34"/>
  <c r="H5438" i="34"/>
  <c r="H5439" i="34"/>
  <c r="H5440" i="34"/>
  <c r="H5441" i="34"/>
  <c r="H5442" i="34"/>
  <c r="H5443" i="34"/>
  <c r="H5444" i="34"/>
  <c r="H5445" i="34"/>
  <c r="H5446" i="34"/>
  <c r="H5447" i="34"/>
  <c r="H5448" i="34"/>
  <c r="H5449" i="34"/>
  <c r="H5450" i="34"/>
  <c r="H5451" i="34"/>
  <c r="H5452" i="34"/>
  <c r="H5453" i="34"/>
  <c r="H5454" i="34"/>
  <c r="H5455" i="34"/>
  <c r="H5456" i="34"/>
  <c r="H5457" i="34"/>
  <c r="H5458" i="34"/>
  <c r="H5459" i="34"/>
  <c r="H5460" i="34"/>
  <c r="H5461" i="34"/>
  <c r="H5462" i="34"/>
  <c r="H5463" i="34"/>
  <c r="H5464" i="34"/>
  <c r="H5465" i="34"/>
  <c r="H5466" i="34"/>
  <c r="H5467" i="34"/>
  <c r="H5468" i="34"/>
  <c r="H5469" i="34"/>
  <c r="H5470" i="34"/>
  <c r="H5471" i="34"/>
  <c r="H5472" i="34"/>
  <c r="H5473" i="34"/>
  <c r="H5474" i="34"/>
  <c r="H5475" i="34"/>
  <c r="H5476" i="34"/>
  <c r="H5477" i="34"/>
  <c r="H5478" i="34"/>
  <c r="H5479" i="34"/>
  <c r="H5480" i="34"/>
  <c r="H5481" i="34"/>
  <c r="H5482" i="34"/>
  <c r="H5483" i="34"/>
  <c r="H5484" i="34"/>
  <c r="H5485" i="34"/>
  <c r="H5486" i="34"/>
  <c r="H5487" i="34"/>
  <c r="H5488" i="34"/>
  <c r="H5489" i="34"/>
  <c r="H5490" i="34"/>
  <c r="H5491" i="34"/>
  <c r="H5492" i="34"/>
  <c r="H5493" i="34"/>
  <c r="H5494" i="34"/>
  <c r="H5495" i="34"/>
  <c r="H5496" i="34"/>
  <c r="H5497" i="34"/>
  <c r="H5498" i="34"/>
  <c r="H5499" i="34"/>
  <c r="H5500" i="34"/>
  <c r="H5501" i="34"/>
  <c r="H5502" i="34"/>
  <c r="H5503" i="34"/>
  <c r="H5504" i="34"/>
  <c r="H5505" i="34"/>
  <c r="H5506" i="34"/>
  <c r="H5507" i="34"/>
  <c r="H5508" i="34"/>
  <c r="H5509" i="34"/>
  <c r="H5510" i="34"/>
  <c r="H5511" i="34"/>
  <c r="H5512" i="34"/>
  <c r="H5513" i="34"/>
  <c r="H5514" i="34"/>
  <c r="H5515" i="34"/>
  <c r="H5516" i="34"/>
  <c r="H5517" i="34"/>
  <c r="H5518" i="34"/>
  <c r="H5519" i="34"/>
  <c r="H5520" i="34"/>
  <c r="H5521" i="34"/>
  <c r="H5522" i="34"/>
  <c r="H5523" i="34"/>
  <c r="H5524" i="34"/>
  <c r="H5525" i="34"/>
  <c r="H5526" i="34"/>
  <c r="H5527" i="34"/>
  <c r="H5528" i="34"/>
  <c r="H5529" i="34"/>
  <c r="H5530" i="34"/>
  <c r="H5531" i="34"/>
  <c r="H5532" i="34"/>
  <c r="H5533" i="34"/>
  <c r="H5534" i="34"/>
  <c r="H5535" i="34"/>
  <c r="H5536" i="34"/>
  <c r="H5537" i="34"/>
  <c r="H5538" i="34"/>
  <c r="H5539" i="34"/>
  <c r="H5540" i="34"/>
  <c r="H5541" i="34"/>
  <c r="H5542" i="34"/>
  <c r="H5543" i="34"/>
  <c r="H5544" i="34"/>
  <c r="H5545" i="34"/>
  <c r="H5546" i="34"/>
  <c r="H5547" i="34"/>
  <c r="H5548" i="34"/>
  <c r="H5549" i="34"/>
  <c r="H5550" i="34"/>
  <c r="H5551" i="34"/>
  <c r="H5552" i="34"/>
  <c r="H5553" i="34"/>
  <c r="H5554" i="34"/>
  <c r="H5555" i="34"/>
  <c r="H5556" i="34"/>
  <c r="H5557" i="34"/>
  <c r="H5558" i="34"/>
  <c r="H5559" i="34"/>
  <c r="H5560" i="34"/>
  <c r="H5561" i="34"/>
  <c r="H5562" i="34"/>
  <c r="H5563" i="34"/>
  <c r="H5564" i="34"/>
  <c r="H5565" i="34"/>
  <c r="H5566" i="34"/>
  <c r="H5567" i="34"/>
  <c r="H5568" i="34"/>
  <c r="H5569" i="34"/>
  <c r="H5570" i="34"/>
  <c r="H5571" i="34"/>
  <c r="H5572" i="34"/>
  <c r="H5573" i="34"/>
  <c r="H5574" i="34"/>
  <c r="H5575" i="34"/>
  <c r="H5576" i="34"/>
  <c r="H5577" i="34"/>
  <c r="H5578" i="34"/>
  <c r="H5579" i="34"/>
  <c r="H5580" i="34"/>
  <c r="H5581" i="34"/>
  <c r="H5582" i="34"/>
  <c r="H5583" i="34"/>
  <c r="H5584" i="34"/>
  <c r="H5585" i="34"/>
  <c r="H5586" i="34"/>
  <c r="H5587" i="34"/>
  <c r="H5588" i="34"/>
  <c r="H5589" i="34"/>
  <c r="H5590" i="34"/>
  <c r="H5591" i="34"/>
  <c r="H5592" i="34"/>
  <c r="H5593" i="34"/>
  <c r="H5594" i="34"/>
  <c r="H5595" i="34"/>
  <c r="H5596" i="34"/>
  <c r="H5597" i="34"/>
  <c r="H5598" i="34"/>
  <c r="H5599" i="34"/>
  <c r="H5600" i="34"/>
  <c r="H5601" i="34"/>
  <c r="H5602" i="34"/>
  <c r="H5603" i="34"/>
  <c r="H5604" i="34"/>
  <c r="H5605" i="34"/>
  <c r="H5606" i="34"/>
  <c r="H5607" i="34"/>
  <c r="H5608" i="34"/>
  <c r="H5609" i="34"/>
  <c r="H5610" i="34"/>
  <c r="H5611" i="34"/>
  <c r="H5612" i="34"/>
  <c r="H5613" i="34"/>
  <c r="H5614" i="34"/>
  <c r="H5615" i="34"/>
  <c r="H5616" i="34"/>
  <c r="H5617" i="34"/>
  <c r="H5618" i="34"/>
  <c r="H5619" i="34"/>
  <c r="H5620" i="34"/>
  <c r="H5621" i="34"/>
  <c r="H5622" i="34"/>
  <c r="H5623" i="34"/>
  <c r="H5624" i="34"/>
  <c r="H5625" i="34"/>
  <c r="H5626" i="34"/>
  <c r="H5627" i="34"/>
  <c r="H5628" i="34"/>
  <c r="H5629" i="34"/>
  <c r="H5630" i="34"/>
  <c r="H5631" i="34"/>
  <c r="H5632" i="34"/>
  <c r="H5633" i="34"/>
  <c r="H5634" i="34"/>
  <c r="H5635" i="34"/>
  <c r="H5636" i="34"/>
  <c r="H5637" i="34"/>
  <c r="H5638" i="34"/>
  <c r="H5639" i="34"/>
  <c r="H5640" i="34"/>
  <c r="H5641" i="34"/>
  <c r="H5642" i="34"/>
  <c r="H5643" i="34"/>
  <c r="H5644" i="34"/>
  <c r="H5645" i="34"/>
  <c r="H5646" i="34"/>
  <c r="H5647" i="34"/>
  <c r="H5648" i="34"/>
  <c r="H5649" i="34"/>
  <c r="H5650" i="34"/>
  <c r="H5651" i="34"/>
  <c r="H5652" i="34"/>
  <c r="H5653" i="34"/>
  <c r="H5654" i="34"/>
  <c r="H5655" i="34"/>
  <c r="H5656" i="34"/>
  <c r="H5657" i="34"/>
  <c r="H5658" i="34"/>
  <c r="H5659" i="34"/>
  <c r="H5660" i="34"/>
  <c r="H5661" i="34"/>
  <c r="H5662" i="34"/>
  <c r="H5663" i="34"/>
  <c r="H5664" i="34"/>
  <c r="H5665" i="34"/>
  <c r="H5666" i="34"/>
  <c r="H5667" i="34"/>
  <c r="H5668" i="34"/>
  <c r="H5669" i="34"/>
  <c r="H5670" i="34"/>
  <c r="H5671" i="34"/>
  <c r="H5672" i="34"/>
  <c r="H5673" i="34"/>
  <c r="H5674" i="34"/>
  <c r="H5675" i="34"/>
  <c r="H5676" i="34"/>
  <c r="H5677" i="34"/>
  <c r="H5678" i="34"/>
  <c r="H5679" i="34"/>
  <c r="H5680" i="34"/>
  <c r="H5681" i="34"/>
  <c r="H5682" i="34"/>
  <c r="H5683" i="34"/>
  <c r="H5684" i="34"/>
  <c r="H5685" i="34"/>
  <c r="H5686" i="34"/>
  <c r="H5687" i="34"/>
  <c r="H5688" i="34"/>
  <c r="H5689" i="34"/>
  <c r="H5690" i="34"/>
  <c r="H5691" i="34"/>
  <c r="H5692" i="34"/>
  <c r="H5693" i="34"/>
  <c r="H5694" i="34"/>
  <c r="H5695" i="34"/>
  <c r="H5696" i="34"/>
  <c r="H5697" i="34"/>
  <c r="H5698" i="34"/>
  <c r="H5699" i="34"/>
  <c r="H5700" i="34"/>
  <c r="H5701" i="34"/>
  <c r="H5702" i="34"/>
  <c r="H5703" i="34"/>
  <c r="H5704" i="34"/>
  <c r="H5705" i="34"/>
  <c r="H5706" i="34"/>
  <c r="H5707" i="34"/>
  <c r="H5708" i="34"/>
  <c r="H5709" i="34"/>
  <c r="H5710" i="34"/>
  <c r="H5711" i="34"/>
  <c r="H5712" i="34"/>
  <c r="H5713" i="34"/>
  <c r="H5714" i="34"/>
  <c r="H5715" i="34"/>
  <c r="H5716" i="34"/>
  <c r="H5717" i="34"/>
  <c r="H5718" i="34"/>
  <c r="H5719" i="34"/>
  <c r="H5720" i="34"/>
  <c r="H5721" i="34"/>
  <c r="H5722" i="34"/>
  <c r="H5723" i="34"/>
  <c r="H5724" i="34"/>
  <c r="H5725" i="34"/>
  <c r="H5726" i="34"/>
  <c r="H5727" i="34"/>
  <c r="H5728" i="34"/>
  <c r="H5729" i="34"/>
  <c r="H5730" i="34"/>
  <c r="H5731" i="34"/>
  <c r="H5732" i="34"/>
  <c r="H5733" i="34"/>
  <c r="H5734" i="34"/>
  <c r="H5735" i="34"/>
  <c r="H5736" i="34"/>
  <c r="H5737" i="34"/>
  <c r="H5738" i="34"/>
  <c r="H5739" i="34"/>
  <c r="H5740" i="34"/>
  <c r="H5741" i="34"/>
  <c r="H5742" i="34"/>
  <c r="H5743" i="34"/>
  <c r="H5744" i="34"/>
  <c r="H5745" i="34"/>
  <c r="H5746" i="34"/>
  <c r="H5747" i="34"/>
  <c r="H5748" i="34"/>
  <c r="H5749" i="34"/>
  <c r="H5750" i="34"/>
  <c r="H5751" i="34"/>
  <c r="H5752" i="34"/>
  <c r="H5753" i="34"/>
  <c r="H5754" i="34"/>
  <c r="H5755" i="34"/>
  <c r="H5756" i="34"/>
  <c r="H5757" i="34"/>
  <c r="H5758" i="34"/>
  <c r="H5759" i="34"/>
  <c r="H5760" i="34"/>
  <c r="H5761" i="34"/>
  <c r="H5762" i="34"/>
  <c r="H5763" i="34"/>
  <c r="H5764" i="34"/>
  <c r="H5765" i="34"/>
  <c r="H5766" i="34"/>
  <c r="H5767" i="34"/>
  <c r="H5768" i="34"/>
  <c r="H5769" i="34"/>
  <c r="H5770" i="34"/>
  <c r="H5771" i="34"/>
  <c r="H5772" i="34"/>
  <c r="H5773" i="34"/>
  <c r="H5774" i="34"/>
  <c r="H5775" i="34"/>
  <c r="H5776" i="34"/>
  <c r="H5777" i="34"/>
  <c r="H5778" i="34"/>
  <c r="H5779" i="34"/>
  <c r="H5780" i="34"/>
  <c r="H5781" i="34"/>
  <c r="H5782" i="34"/>
  <c r="H5783" i="34"/>
  <c r="H5784" i="34"/>
  <c r="H5785" i="34"/>
  <c r="H5786" i="34"/>
  <c r="H5787" i="34"/>
  <c r="H5788" i="34"/>
  <c r="H5789" i="34"/>
  <c r="H5790" i="34"/>
  <c r="H5791" i="34"/>
  <c r="H5792" i="34"/>
  <c r="H5793" i="34"/>
  <c r="H5794" i="34"/>
  <c r="H5795" i="34"/>
  <c r="H5796" i="34"/>
  <c r="H5797" i="34"/>
  <c r="H5798" i="34"/>
  <c r="H5799" i="34"/>
  <c r="H5800" i="34"/>
  <c r="H5801" i="34"/>
  <c r="H5802" i="34"/>
  <c r="H5803" i="34"/>
  <c r="H5804" i="34"/>
  <c r="H5805" i="34"/>
  <c r="H5806" i="34"/>
  <c r="H5807" i="34"/>
  <c r="H5808" i="34"/>
  <c r="H5809" i="34"/>
  <c r="H5810" i="34"/>
  <c r="H5811" i="34"/>
  <c r="H5812" i="34"/>
  <c r="H5813" i="34"/>
  <c r="H5814" i="34"/>
  <c r="H5815" i="34"/>
  <c r="H5816" i="34"/>
  <c r="H5817" i="34"/>
  <c r="H5818" i="34"/>
  <c r="H5819" i="34"/>
  <c r="H5820" i="34"/>
  <c r="H5821" i="34"/>
  <c r="H5822" i="34"/>
  <c r="H5823" i="34"/>
  <c r="H5824" i="34"/>
  <c r="H5825" i="34"/>
  <c r="H5826" i="34"/>
  <c r="H5827" i="34"/>
  <c r="H5828" i="34"/>
  <c r="H5829" i="34"/>
  <c r="H5830" i="34"/>
  <c r="H5831" i="34"/>
  <c r="H5832" i="34"/>
  <c r="H5833" i="34"/>
  <c r="H5834" i="34"/>
  <c r="H5835" i="34"/>
  <c r="H5836" i="34"/>
  <c r="H5837" i="34"/>
  <c r="H5838" i="34"/>
  <c r="H5839" i="34"/>
  <c r="H5840" i="34"/>
  <c r="H5841" i="34"/>
  <c r="H5842" i="34"/>
  <c r="H5843" i="34"/>
  <c r="H5844" i="34"/>
  <c r="H5845" i="34"/>
  <c r="H5846" i="34"/>
  <c r="H5847" i="34"/>
  <c r="H5848" i="34"/>
  <c r="H5849" i="34"/>
  <c r="H5850" i="34"/>
  <c r="H5851" i="34"/>
  <c r="H5852" i="34"/>
  <c r="H5853" i="34"/>
  <c r="H5854" i="34"/>
  <c r="H5855" i="34"/>
  <c r="H5856" i="34"/>
  <c r="H5857" i="34"/>
  <c r="H5858" i="34"/>
  <c r="H5859" i="34"/>
  <c r="H5860" i="34"/>
  <c r="H5861" i="34"/>
  <c r="H5862" i="34"/>
  <c r="H5863" i="34"/>
  <c r="H5864" i="34"/>
  <c r="H5865" i="34"/>
  <c r="H5866" i="34"/>
  <c r="H5867" i="34"/>
  <c r="H5868" i="34"/>
  <c r="H5869" i="34"/>
  <c r="H5870" i="34"/>
  <c r="H5871" i="34"/>
  <c r="H5872" i="34"/>
  <c r="H5873" i="34"/>
  <c r="H5874" i="34"/>
  <c r="H5875" i="34"/>
  <c r="H5876" i="34"/>
  <c r="H5877" i="34"/>
  <c r="H5878" i="34"/>
  <c r="H5879" i="34"/>
  <c r="H5880" i="34"/>
  <c r="H5881" i="34"/>
  <c r="H5882" i="34"/>
  <c r="H5883" i="34"/>
  <c r="H5884" i="34"/>
  <c r="H5885" i="34"/>
  <c r="H5886" i="34"/>
  <c r="H5887" i="34"/>
  <c r="H5888" i="34"/>
  <c r="H5889" i="34"/>
  <c r="H5890" i="34"/>
  <c r="H5891" i="34"/>
  <c r="H5892" i="34"/>
  <c r="H5893" i="34"/>
  <c r="H5894" i="34"/>
  <c r="H5895" i="34"/>
  <c r="H5896" i="34"/>
  <c r="H5897" i="34"/>
  <c r="H5898" i="34"/>
  <c r="H5899" i="34"/>
  <c r="H5900" i="34"/>
  <c r="H5901" i="34"/>
  <c r="H5902" i="34"/>
  <c r="H5903" i="34"/>
  <c r="H5904" i="34"/>
  <c r="H5905" i="34"/>
  <c r="H5906" i="34"/>
  <c r="H5907" i="34"/>
  <c r="H5908" i="34"/>
  <c r="H5909" i="34"/>
  <c r="H5910" i="34"/>
  <c r="H5911" i="34"/>
  <c r="H5912" i="34"/>
  <c r="H5913" i="34"/>
  <c r="H5914" i="34"/>
  <c r="H5915" i="34"/>
  <c r="H5916" i="34"/>
  <c r="H5917" i="34"/>
  <c r="H5918" i="34"/>
  <c r="H5919" i="34"/>
  <c r="H5920" i="34"/>
  <c r="H5921" i="34"/>
  <c r="H5922" i="34"/>
  <c r="H5923" i="34"/>
  <c r="H5924" i="34"/>
  <c r="H5925" i="34"/>
  <c r="H5926" i="34"/>
  <c r="H5927" i="34"/>
  <c r="H5928" i="34"/>
  <c r="H5929" i="34"/>
  <c r="H5930" i="34"/>
  <c r="H5931" i="34"/>
  <c r="H5932" i="34"/>
  <c r="H5933" i="34"/>
  <c r="H5934" i="34"/>
  <c r="H5935" i="34"/>
  <c r="H5936" i="34"/>
  <c r="H5937" i="34"/>
  <c r="H5938" i="34"/>
  <c r="H5939" i="34"/>
  <c r="H5940" i="34"/>
  <c r="H5941" i="34"/>
  <c r="H5942" i="34"/>
  <c r="H5943" i="34"/>
  <c r="H5944" i="34"/>
  <c r="H5945" i="34"/>
  <c r="H5946" i="34"/>
  <c r="H5947" i="34"/>
  <c r="H5948" i="34"/>
  <c r="H5949" i="34"/>
  <c r="H5950" i="34"/>
  <c r="H5951" i="34"/>
  <c r="H5952" i="34"/>
  <c r="H5953" i="34"/>
  <c r="H5954" i="34"/>
  <c r="H5955" i="34"/>
  <c r="H5956" i="34"/>
  <c r="H5957" i="34"/>
  <c r="H5958" i="34"/>
  <c r="H5959" i="34"/>
  <c r="H5960" i="34"/>
  <c r="H5961" i="34"/>
  <c r="H5962" i="34"/>
  <c r="H5963" i="34"/>
  <c r="H5964" i="34"/>
  <c r="H5965" i="34"/>
  <c r="H5966" i="34"/>
  <c r="H5967" i="34"/>
  <c r="H5968" i="34"/>
  <c r="H5969" i="34"/>
  <c r="H5970" i="34"/>
  <c r="H5971" i="34"/>
  <c r="H5972" i="34"/>
  <c r="H5973" i="34"/>
  <c r="H5974" i="34"/>
  <c r="H5975" i="34"/>
  <c r="H5976" i="34"/>
  <c r="H5977" i="34"/>
  <c r="H5978" i="34"/>
  <c r="H5979" i="34"/>
  <c r="H5980" i="34"/>
  <c r="H5981" i="34"/>
  <c r="H5982" i="34"/>
  <c r="H5983" i="34"/>
  <c r="H5984" i="34"/>
  <c r="H5985" i="34"/>
  <c r="H5986" i="34"/>
  <c r="H5987" i="34"/>
  <c r="H5988" i="34"/>
  <c r="H5989" i="34"/>
  <c r="H5990" i="34"/>
  <c r="H5991" i="34"/>
  <c r="H5992" i="34"/>
  <c r="H5993" i="34"/>
  <c r="H5994" i="34"/>
  <c r="H5995" i="34"/>
  <c r="H5996" i="34"/>
  <c r="H5997" i="34"/>
  <c r="H5998" i="34"/>
  <c r="H5999" i="34"/>
  <c r="H6000" i="34"/>
  <c r="H6001" i="34"/>
  <c r="H6002" i="34"/>
  <c r="H6003" i="34"/>
  <c r="H6004" i="34"/>
  <c r="H6005" i="34"/>
  <c r="H6006" i="34"/>
  <c r="H6007" i="34"/>
  <c r="H6008" i="34"/>
  <c r="H6009" i="34"/>
  <c r="H6010" i="34"/>
  <c r="H6011" i="34"/>
  <c r="H6012" i="34"/>
  <c r="H6013" i="34"/>
  <c r="H6014" i="34"/>
  <c r="H6015" i="34"/>
  <c r="H6016" i="34"/>
  <c r="H6017" i="34"/>
  <c r="H6018" i="34"/>
  <c r="H6019" i="34"/>
  <c r="H6020" i="34"/>
  <c r="H6021" i="34"/>
  <c r="H6022" i="34"/>
  <c r="H6023" i="34"/>
  <c r="H6024" i="34"/>
  <c r="H6025" i="34"/>
  <c r="H6026" i="34"/>
  <c r="H6027" i="34"/>
  <c r="H6028" i="34"/>
  <c r="H6029" i="34"/>
  <c r="H6030" i="34"/>
  <c r="H6031" i="34"/>
  <c r="H6032" i="34"/>
  <c r="H6033" i="34"/>
  <c r="H6034" i="34"/>
  <c r="H6035" i="34"/>
  <c r="H6036" i="34"/>
  <c r="H6037" i="34"/>
  <c r="H6038" i="34"/>
  <c r="H6039" i="34"/>
  <c r="H6040" i="34"/>
  <c r="H6041" i="34"/>
  <c r="H6042" i="34"/>
  <c r="H6043" i="34"/>
  <c r="H6044" i="34"/>
  <c r="H6045" i="34"/>
  <c r="H6046" i="34"/>
  <c r="H6047" i="34"/>
  <c r="H6048" i="34"/>
  <c r="H6049" i="34"/>
  <c r="H6050" i="34"/>
  <c r="H6051" i="34"/>
  <c r="H6052" i="34"/>
  <c r="H6053" i="34"/>
  <c r="H6054" i="34"/>
  <c r="H6055" i="34"/>
  <c r="H6056" i="34"/>
  <c r="H6057" i="34"/>
  <c r="H6058" i="34"/>
  <c r="H6059" i="34"/>
  <c r="H6060" i="34"/>
  <c r="H6061" i="34"/>
  <c r="H6062" i="34"/>
  <c r="H6063" i="34"/>
  <c r="H6064" i="34"/>
  <c r="H6065" i="34"/>
  <c r="H6066" i="34"/>
  <c r="H6067" i="34"/>
  <c r="H6068" i="34"/>
  <c r="H6069" i="34"/>
  <c r="H6070" i="34"/>
  <c r="H6071" i="34"/>
  <c r="H6072" i="34"/>
  <c r="H6073" i="34"/>
  <c r="H6074" i="34"/>
  <c r="H6075" i="34"/>
  <c r="H6076" i="34"/>
  <c r="H6077" i="34"/>
  <c r="H6078" i="34"/>
  <c r="H6079" i="34"/>
  <c r="H6080" i="34"/>
  <c r="H6081" i="34"/>
  <c r="H6082" i="34"/>
  <c r="H6083" i="34"/>
  <c r="H6084" i="34"/>
  <c r="H6085" i="34"/>
  <c r="H6086" i="34"/>
  <c r="H6087" i="34"/>
  <c r="H6088" i="34"/>
  <c r="H6089" i="34"/>
  <c r="H6090" i="34"/>
  <c r="H6091" i="34"/>
  <c r="H6092" i="34"/>
  <c r="H6093" i="34"/>
  <c r="H6094" i="34"/>
  <c r="H6095" i="34"/>
  <c r="H6096" i="34"/>
  <c r="H6097" i="34"/>
  <c r="H6098" i="34"/>
  <c r="H6099" i="34"/>
  <c r="H6100" i="34"/>
  <c r="H6101" i="34"/>
  <c r="H6102" i="34"/>
  <c r="H6103" i="34"/>
  <c r="H6104" i="34"/>
  <c r="H6105" i="34"/>
  <c r="H6106" i="34"/>
  <c r="H6107" i="34"/>
  <c r="H6108" i="34"/>
  <c r="H6109" i="34"/>
  <c r="H6110" i="34"/>
  <c r="H6111" i="34"/>
  <c r="H6112" i="34"/>
  <c r="H6113" i="34"/>
  <c r="H6114" i="34"/>
  <c r="H6115" i="34"/>
  <c r="H6116" i="34"/>
  <c r="H6117" i="34"/>
  <c r="H6118" i="34"/>
  <c r="H6119" i="34"/>
  <c r="H6120" i="34"/>
  <c r="H6121" i="34"/>
  <c r="H6122" i="34"/>
  <c r="H6123" i="34"/>
  <c r="H6124" i="34"/>
  <c r="H6125" i="34"/>
  <c r="H6126" i="34"/>
  <c r="H6127" i="34"/>
  <c r="H6128" i="34"/>
  <c r="H6129" i="34"/>
  <c r="H6130" i="34"/>
  <c r="H6131" i="34"/>
  <c r="H6132" i="34"/>
  <c r="H6133" i="34"/>
  <c r="H6134" i="34"/>
  <c r="H6135" i="34"/>
  <c r="H6136" i="34"/>
  <c r="H6137" i="34"/>
  <c r="H6138" i="34"/>
  <c r="H6139" i="34"/>
  <c r="H6140" i="34"/>
  <c r="H6141" i="34"/>
  <c r="H6142" i="34"/>
  <c r="H6143" i="34"/>
  <c r="H6144" i="34"/>
  <c r="H6145" i="34"/>
  <c r="H6146" i="34"/>
  <c r="H6147" i="34"/>
  <c r="H6148" i="34"/>
  <c r="H6149" i="34"/>
  <c r="H6150" i="34"/>
  <c r="H6151" i="34"/>
  <c r="H6152" i="34"/>
  <c r="H6153" i="34"/>
  <c r="H6154" i="34"/>
  <c r="H6155" i="34"/>
  <c r="H6156" i="34"/>
  <c r="H6157" i="34"/>
  <c r="H6158" i="34"/>
  <c r="H6159" i="34"/>
  <c r="H6160" i="34"/>
  <c r="H6161" i="34"/>
  <c r="H6162" i="34"/>
  <c r="H6163" i="34"/>
  <c r="H6164" i="34"/>
  <c r="H6165" i="34"/>
  <c r="H6166" i="34"/>
  <c r="H6167" i="34"/>
  <c r="H6168" i="34"/>
  <c r="H6169" i="34"/>
  <c r="H6170" i="34"/>
  <c r="H6171" i="34"/>
  <c r="H6172" i="34"/>
  <c r="H6173" i="34"/>
  <c r="H6174" i="34"/>
  <c r="H6175" i="34"/>
  <c r="H6176" i="34"/>
  <c r="H6177" i="34"/>
  <c r="H6178" i="34"/>
  <c r="H6179" i="34"/>
  <c r="H6180" i="34"/>
  <c r="H6181" i="34"/>
  <c r="H6182" i="34"/>
  <c r="H6183" i="34"/>
  <c r="H6184" i="34"/>
  <c r="H6185" i="34"/>
  <c r="H6186" i="34"/>
  <c r="H6187" i="34"/>
  <c r="H6188" i="34"/>
  <c r="H6189" i="34"/>
  <c r="H6190" i="34"/>
  <c r="H6191" i="34"/>
  <c r="H6192" i="34"/>
  <c r="H6193" i="34"/>
  <c r="H6194" i="34"/>
  <c r="H6195" i="34"/>
  <c r="H6196" i="34"/>
  <c r="H6197" i="34"/>
  <c r="H6198" i="34"/>
  <c r="H6199" i="34"/>
  <c r="H6200" i="34"/>
  <c r="H6201" i="34"/>
  <c r="H6202" i="34"/>
  <c r="H6203" i="34"/>
  <c r="H6204" i="34"/>
  <c r="H6205" i="34"/>
  <c r="H6206" i="34"/>
  <c r="H6207" i="34"/>
  <c r="H6208" i="34"/>
  <c r="H6209" i="34"/>
  <c r="H6210" i="34"/>
  <c r="H6211" i="34"/>
  <c r="H6212" i="34"/>
  <c r="H6213" i="34"/>
  <c r="H6214" i="34"/>
  <c r="H6215" i="34"/>
  <c r="H6216" i="34"/>
  <c r="H6217" i="34"/>
  <c r="H6218" i="34"/>
  <c r="H6219" i="34"/>
  <c r="H6220" i="34"/>
  <c r="H6221" i="34"/>
  <c r="H6222" i="34"/>
  <c r="H6223" i="34"/>
  <c r="H6224" i="34"/>
  <c r="H6225" i="34"/>
  <c r="H6226" i="34"/>
  <c r="H6227" i="34"/>
  <c r="H6228" i="34"/>
  <c r="H6229" i="34"/>
  <c r="H6230" i="34"/>
  <c r="H6231" i="34"/>
  <c r="H6232" i="34"/>
  <c r="H6233" i="34"/>
  <c r="H6234" i="34"/>
  <c r="H6235" i="34"/>
  <c r="H6236" i="34"/>
  <c r="H6237" i="34"/>
  <c r="H6238" i="34"/>
  <c r="H6239" i="34"/>
  <c r="H6240" i="34"/>
  <c r="H6241" i="34"/>
  <c r="H6242" i="34"/>
  <c r="H6243" i="34"/>
  <c r="H6244" i="34"/>
  <c r="H6245" i="34"/>
  <c r="H6246" i="34"/>
  <c r="H6247" i="34"/>
  <c r="H6248" i="34"/>
  <c r="H6249" i="34"/>
  <c r="H6250" i="34"/>
  <c r="H6251" i="34"/>
  <c r="H6252" i="34"/>
  <c r="H6253" i="34"/>
  <c r="H6254" i="34"/>
  <c r="H6255" i="34"/>
  <c r="H6256" i="34"/>
  <c r="H6257" i="34"/>
  <c r="H6258" i="34"/>
  <c r="H6259" i="34"/>
  <c r="H6260" i="34"/>
  <c r="H6261" i="34"/>
  <c r="H6262" i="34"/>
  <c r="H6263" i="34"/>
  <c r="H6264" i="34"/>
  <c r="H6265" i="34"/>
  <c r="H6266" i="34"/>
  <c r="H6267" i="34"/>
  <c r="H6268" i="34"/>
  <c r="H6269" i="34"/>
  <c r="H6270" i="34"/>
  <c r="H6271" i="34"/>
  <c r="H6272" i="34"/>
  <c r="H6273" i="34"/>
  <c r="H6274" i="34"/>
  <c r="H6275" i="34"/>
  <c r="H6276" i="34"/>
  <c r="H6277" i="34"/>
  <c r="H6278" i="34"/>
  <c r="H6279" i="34"/>
  <c r="H6280" i="34"/>
  <c r="H6281" i="34"/>
  <c r="H6282" i="34"/>
  <c r="H6283" i="34"/>
  <c r="H6284" i="34"/>
  <c r="H6285" i="34"/>
  <c r="H6286" i="34"/>
  <c r="H6287" i="34"/>
  <c r="H6288" i="34"/>
  <c r="H6289" i="34"/>
  <c r="H6290" i="34"/>
  <c r="H6291" i="34"/>
  <c r="H6292" i="34"/>
  <c r="H6293" i="34"/>
  <c r="H6294" i="34"/>
  <c r="H6295" i="34"/>
  <c r="H6296" i="34"/>
  <c r="H6297" i="34"/>
  <c r="H6298" i="34"/>
  <c r="H6299" i="34"/>
  <c r="H6300" i="34"/>
  <c r="H6301" i="34"/>
  <c r="H6302" i="34"/>
  <c r="H6303" i="34"/>
  <c r="H6304" i="34"/>
  <c r="H6305" i="34"/>
  <c r="H6306" i="34"/>
  <c r="H6307" i="34"/>
  <c r="H6308" i="34"/>
  <c r="H6309" i="34"/>
  <c r="H6310" i="34"/>
  <c r="H6311" i="34"/>
  <c r="H6312" i="34"/>
  <c r="H6313" i="34"/>
  <c r="H6314" i="34"/>
  <c r="H6315" i="34"/>
  <c r="H6316" i="34"/>
  <c r="H6317" i="34"/>
  <c r="H6318" i="34"/>
  <c r="H6319" i="34"/>
  <c r="H6320" i="34"/>
  <c r="H6321" i="34"/>
  <c r="H6322" i="34"/>
  <c r="H6323" i="34"/>
  <c r="H6324" i="34"/>
  <c r="H6325" i="34"/>
  <c r="H6326" i="34"/>
  <c r="H6327" i="34"/>
  <c r="H6328" i="34"/>
  <c r="H6329" i="34"/>
  <c r="H6330" i="34"/>
  <c r="H6331" i="34"/>
  <c r="H6332" i="34"/>
  <c r="H6333" i="34"/>
  <c r="H6334" i="34"/>
  <c r="H6335" i="34"/>
  <c r="H6336" i="34"/>
  <c r="H6337" i="34"/>
  <c r="H6338" i="34"/>
  <c r="H6339" i="34"/>
  <c r="H6340" i="34"/>
  <c r="H6341" i="34"/>
  <c r="H6342" i="34"/>
  <c r="H6343" i="34"/>
  <c r="H6344" i="34"/>
  <c r="H6345" i="34"/>
  <c r="H6346" i="34"/>
  <c r="H6347" i="34"/>
  <c r="H6348" i="34"/>
  <c r="H6349" i="34"/>
  <c r="H6350" i="34"/>
  <c r="H6351" i="34"/>
  <c r="H6352" i="34"/>
  <c r="H6353" i="34"/>
  <c r="H6354" i="34"/>
  <c r="H6355" i="34"/>
  <c r="H6356" i="34"/>
  <c r="H6357" i="34"/>
  <c r="H6358" i="34"/>
  <c r="H6359" i="34"/>
  <c r="H6360" i="34"/>
  <c r="H6361" i="34"/>
  <c r="H6362" i="34"/>
  <c r="H6363" i="34"/>
  <c r="H6364" i="34"/>
  <c r="H6365" i="34"/>
  <c r="H6366" i="34"/>
  <c r="H6367" i="34"/>
  <c r="H6368" i="34"/>
  <c r="H6369" i="34"/>
  <c r="H6370" i="34"/>
  <c r="H6371" i="34"/>
  <c r="H6372" i="34"/>
  <c r="H6373" i="34"/>
  <c r="H6374" i="34"/>
  <c r="H6375" i="34"/>
  <c r="H6376" i="34"/>
  <c r="H6377" i="34"/>
  <c r="H6378" i="34"/>
  <c r="H6379" i="34"/>
  <c r="H6380" i="34"/>
  <c r="H6381" i="34"/>
  <c r="H6382" i="34"/>
  <c r="H6383" i="34"/>
  <c r="H6384" i="34"/>
  <c r="H6385" i="34"/>
  <c r="H6386" i="34"/>
  <c r="H6387" i="34"/>
  <c r="H6388" i="34"/>
  <c r="H6389" i="34"/>
  <c r="H6390" i="34"/>
  <c r="H6391" i="34"/>
  <c r="H6392" i="34"/>
  <c r="H6393" i="34"/>
  <c r="H6394" i="34"/>
  <c r="H6395" i="34"/>
  <c r="H6396" i="34"/>
  <c r="H6397" i="34"/>
  <c r="H6398" i="34"/>
  <c r="H6399" i="34"/>
  <c r="H6400" i="34"/>
  <c r="H6401" i="34"/>
  <c r="H6402" i="34"/>
  <c r="H6403" i="34"/>
  <c r="H6404" i="34"/>
  <c r="H6405" i="34"/>
  <c r="H6406" i="34"/>
  <c r="H6407" i="34"/>
  <c r="H6408" i="34"/>
  <c r="H6409" i="34"/>
  <c r="H6410" i="34"/>
  <c r="H6411" i="34"/>
  <c r="H6412" i="34"/>
  <c r="H6413" i="34"/>
  <c r="H6414" i="34"/>
  <c r="H6415" i="34"/>
  <c r="H6416" i="34"/>
  <c r="H6417" i="34"/>
  <c r="H6418" i="34"/>
  <c r="H6419" i="34"/>
  <c r="H6420" i="34"/>
  <c r="H6421" i="34"/>
  <c r="H6422" i="34"/>
  <c r="H6423" i="34"/>
  <c r="H6424" i="34"/>
  <c r="H6425" i="34"/>
  <c r="H6426" i="34"/>
  <c r="H6427" i="34"/>
  <c r="H6428" i="34"/>
  <c r="H6429" i="34"/>
  <c r="H6430" i="34"/>
  <c r="H6431" i="34"/>
  <c r="H6432" i="34"/>
  <c r="H6433" i="34"/>
  <c r="H6434" i="34"/>
  <c r="H6435" i="34"/>
  <c r="H6436" i="34"/>
  <c r="H6437" i="34"/>
  <c r="H6438" i="34"/>
  <c r="H6439" i="34"/>
  <c r="H6440" i="34"/>
  <c r="H6441" i="34"/>
  <c r="H6442" i="34"/>
  <c r="H6443" i="34"/>
  <c r="H6444" i="34"/>
  <c r="H6445" i="34"/>
  <c r="H6446" i="34"/>
  <c r="H6447" i="34"/>
  <c r="H6448" i="34"/>
  <c r="H6449" i="34"/>
  <c r="H6450" i="34"/>
  <c r="H6451" i="34"/>
  <c r="H6452" i="34"/>
  <c r="H6453" i="34"/>
  <c r="H6454" i="34"/>
  <c r="H6455" i="34"/>
  <c r="H6456" i="34"/>
  <c r="H6457" i="34"/>
  <c r="H6458" i="34"/>
  <c r="H6459" i="34"/>
  <c r="H6460" i="34"/>
  <c r="H6461" i="34"/>
  <c r="H6462" i="34"/>
  <c r="H6463" i="34"/>
  <c r="H6464" i="34"/>
  <c r="H6465" i="34"/>
  <c r="H6466" i="34"/>
  <c r="H6467" i="34"/>
  <c r="H6468" i="34"/>
  <c r="H6469" i="34"/>
  <c r="H6470" i="34"/>
  <c r="H6471" i="34"/>
  <c r="H6472" i="34"/>
  <c r="H6473" i="34"/>
  <c r="H6474" i="34"/>
  <c r="H6475" i="34"/>
  <c r="H6476" i="34"/>
  <c r="H6477" i="34"/>
  <c r="H6478" i="34"/>
  <c r="H6479" i="34"/>
  <c r="H6480" i="34"/>
  <c r="H6481" i="34"/>
  <c r="H6482" i="34"/>
  <c r="H6483" i="34"/>
  <c r="H6484" i="34"/>
  <c r="H6485" i="34"/>
  <c r="H6486" i="34"/>
  <c r="H6487" i="34"/>
  <c r="H6488" i="34"/>
  <c r="H6489" i="34"/>
  <c r="H6490" i="34"/>
  <c r="H6491" i="34"/>
  <c r="H6492" i="34"/>
  <c r="H6493" i="34"/>
  <c r="H6494" i="34"/>
  <c r="H6495" i="34"/>
  <c r="H6496" i="34"/>
  <c r="H6497" i="34"/>
  <c r="H6498" i="34"/>
  <c r="H6499" i="34"/>
  <c r="H6500" i="34"/>
  <c r="H6501" i="34"/>
  <c r="H6502" i="34"/>
  <c r="H6503" i="34"/>
  <c r="H6504" i="34"/>
  <c r="H6505" i="34"/>
  <c r="H6506" i="34"/>
  <c r="H6507" i="34"/>
  <c r="H6508" i="34"/>
  <c r="H6509" i="34"/>
  <c r="H6510" i="34"/>
  <c r="H6511" i="34"/>
  <c r="H6512" i="34"/>
  <c r="H6513" i="34"/>
  <c r="H6514" i="34"/>
  <c r="H6515" i="34"/>
  <c r="H6516" i="34"/>
  <c r="H6517" i="34"/>
  <c r="H6518" i="34"/>
  <c r="H6519" i="34"/>
  <c r="H6520" i="34"/>
  <c r="H6521" i="34"/>
  <c r="H6522" i="34"/>
  <c r="H6523" i="34"/>
  <c r="H6524" i="34"/>
  <c r="H6525" i="34"/>
  <c r="H6526" i="34"/>
  <c r="H6527" i="34"/>
  <c r="H6528" i="34"/>
  <c r="H6529" i="34"/>
  <c r="H6530" i="34"/>
  <c r="H6531" i="34"/>
  <c r="H6532" i="34"/>
  <c r="H6533" i="34"/>
  <c r="H6534" i="34"/>
  <c r="H6535" i="34"/>
  <c r="H6536" i="34"/>
  <c r="H6537" i="34"/>
  <c r="H6538" i="34"/>
  <c r="H6539" i="34"/>
  <c r="H6540" i="34"/>
  <c r="H6541" i="34"/>
  <c r="H6542" i="34"/>
  <c r="H6543" i="34"/>
  <c r="H6544" i="34"/>
  <c r="H6545" i="34"/>
  <c r="H6546" i="34"/>
  <c r="H6547" i="34"/>
  <c r="H6548" i="34"/>
  <c r="H6549" i="34"/>
  <c r="H6550" i="34"/>
  <c r="H6551" i="34"/>
  <c r="H6552" i="34"/>
  <c r="H6553" i="34"/>
  <c r="H6554" i="34"/>
  <c r="H6555" i="34"/>
  <c r="H6556" i="34"/>
  <c r="H6557" i="34"/>
  <c r="H6558" i="34"/>
  <c r="H6559" i="34"/>
  <c r="H6560" i="34"/>
  <c r="H6561" i="34"/>
  <c r="H6562" i="34"/>
  <c r="H6563" i="34"/>
  <c r="H6564" i="34"/>
  <c r="H6565" i="34"/>
  <c r="H6566" i="34"/>
  <c r="H6567" i="34"/>
  <c r="H6568" i="34"/>
  <c r="H6569" i="34"/>
  <c r="H6570" i="34"/>
  <c r="H6571" i="34"/>
  <c r="H6572" i="34"/>
  <c r="H6573" i="34"/>
  <c r="H6574" i="34"/>
  <c r="H6575" i="34"/>
  <c r="H6576" i="34"/>
  <c r="H6577" i="34"/>
  <c r="H6578" i="34"/>
  <c r="H6579" i="34"/>
  <c r="H6580" i="34"/>
  <c r="H6581" i="34"/>
  <c r="H6582" i="34"/>
  <c r="H6583" i="34"/>
  <c r="H6584" i="34"/>
  <c r="H6585" i="34"/>
  <c r="H6586" i="34"/>
  <c r="H6587" i="34"/>
  <c r="H6588" i="34"/>
  <c r="H6589" i="34"/>
  <c r="H6590" i="34"/>
  <c r="H6591" i="34"/>
  <c r="H6592" i="34"/>
  <c r="H6593" i="34"/>
  <c r="H6594" i="34"/>
  <c r="H6595" i="34"/>
  <c r="H6596" i="34"/>
  <c r="H6597" i="34"/>
  <c r="H6598" i="34"/>
  <c r="H6599" i="34"/>
  <c r="H6600" i="34"/>
  <c r="H6601" i="34"/>
  <c r="H6602" i="34"/>
  <c r="H6603" i="34"/>
  <c r="H6604" i="34"/>
  <c r="H6605" i="34"/>
  <c r="H6606" i="34"/>
  <c r="H6607" i="34"/>
  <c r="H6608" i="34"/>
  <c r="H6609" i="34"/>
  <c r="H6610" i="34"/>
  <c r="H6611" i="34"/>
  <c r="H6612" i="34"/>
  <c r="H6613" i="34"/>
  <c r="H6614" i="34"/>
  <c r="H6615" i="34"/>
  <c r="H6616" i="34"/>
  <c r="H6617" i="34"/>
  <c r="H6618" i="34"/>
  <c r="H6619" i="34"/>
  <c r="H6620" i="34"/>
  <c r="H6621" i="34"/>
  <c r="H6622" i="34"/>
  <c r="H6623" i="34"/>
  <c r="H6624" i="34"/>
  <c r="H6625" i="34"/>
  <c r="H6626" i="34"/>
  <c r="H6627" i="34"/>
  <c r="H6628" i="34"/>
  <c r="H6629" i="34"/>
  <c r="H6630" i="34"/>
  <c r="H6631" i="34"/>
  <c r="H6632" i="34"/>
  <c r="H6633" i="34"/>
  <c r="H6634" i="34"/>
  <c r="H6635" i="34"/>
  <c r="H6636" i="34"/>
  <c r="H6637" i="34"/>
  <c r="H6638" i="34"/>
  <c r="H6639" i="34"/>
  <c r="H6640" i="34"/>
  <c r="H6641" i="34"/>
  <c r="H6642" i="34"/>
  <c r="H6643" i="34"/>
  <c r="H6644" i="34"/>
  <c r="H6645" i="34"/>
  <c r="H6646" i="34"/>
  <c r="H6647" i="34"/>
  <c r="H6648" i="34"/>
  <c r="H6649" i="34"/>
  <c r="H6650" i="34"/>
  <c r="H6651" i="34"/>
  <c r="H6652" i="34"/>
  <c r="H6653" i="34"/>
  <c r="H6654" i="34"/>
  <c r="H6655" i="34"/>
  <c r="H6656" i="34"/>
  <c r="H6657" i="34"/>
  <c r="H6658" i="34"/>
  <c r="H6659" i="34"/>
  <c r="H6660" i="34"/>
  <c r="H6661" i="34"/>
  <c r="H6662" i="34"/>
  <c r="H6663" i="34"/>
  <c r="H6664" i="34"/>
  <c r="H6665" i="34"/>
  <c r="H6666" i="34"/>
  <c r="H6667" i="34"/>
  <c r="H6668" i="34"/>
  <c r="H6669" i="34"/>
  <c r="H6670" i="34"/>
  <c r="H6671" i="34"/>
  <c r="H6672" i="34"/>
  <c r="H6673" i="34"/>
  <c r="H6674" i="34"/>
  <c r="H6675" i="34"/>
  <c r="H6676" i="34"/>
  <c r="H6677" i="34"/>
  <c r="H6678" i="34"/>
  <c r="H6679" i="34"/>
  <c r="H6680" i="34"/>
  <c r="H6681" i="34"/>
  <c r="H6682" i="34"/>
  <c r="H6683" i="34"/>
  <c r="H6684" i="34"/>
  <c r="H6685" i="34"/>
  <c r="H6686" i="34"/>
  <c r="H6687" i="34"/>
  <c r="H6688" i="34"/>
  <c r="H6689" i="34"/>
  <c r="H6690" i="34"/>
  <c r="H6691" i="34"/>
  <c r="H6692" i="34"/>
  <c r="H6693" i="34"/>
  <c r="H6694" i="34"/>
  <c r="H6695" i="34"/>
  <c r="H6696" i="34"/>
  <c r="H6697" i="34"/>
  <c r="H6698" i="34"/>
  <c r="H6699" i="34"/>
  <c r="H6700" i="34"/>
  <c r="H6701" i="34"/>
  <c r="H6702" i="34"/>
  <c r="H6703" i="34"/>
  <c r="H6704" i="34"/>
  <c r="H6705" i="34"/>
  <c r="H6706" i="34"/>
  <c r="H6707" i="34"/>
  <c r="H6708" i="34"/>
  <c r="H6709" i="34"/>
  <c r="H6710" i="34"/>
  <c r="H6711" i="34"/>
  <c r="H6712" i="34"/>
  <c r="H6713" i="34"/>
  <c r="H6714" i="34"/>
  <c r="H6715" i="34"/>
  <c r="H6716" i="34"/>
  <c r="H6717" i="34"/>
  <c r="H6718" i="34"/>
  <c r="H6719" i="34"/>
  <c r="H6720" i="34"/>
  <c r="H6721" i="34"/>
  <c r="H6722" i="34"/>
  <c r="H6723" i="34"/>
  <c r="H6724" i="34"/>
  <c r="H6725" i="34"/>
  <c r="H6726" i="34"/>
  <c r="H6727" i="34"/>
  <c r="H6728" i="34"/>
  <c r="H6729" i="34"/>
  <c r="H6730" i="34"/>
  <c r="H6731" i="34"/>
  <c r="H6732" i="34"/>
  <c r="H6733" i="34"/>
  <c r="H6734" i="34"/>
  <c r="H6735" i="34"/>
  <c r="H6736" i="34"/>
  <c r="H6737" i="34"/>
  <c r="H6738" i="34"/>
  <c r="H6739" i="34"/>
  <c r="H6740" i="34"/>
  <c r="H6741" i="34"/>
  <c r="H6742" i="34"/>
  <c r="H6743" i="34"/>
  <c r="H6744" i="34"/>
  <c r="H6745" i="34"/>
  <c r="H6746" i="34"/>
  <c r="H6747" i="34"/>
  <c r="H6748" i="34"/>
  <c r="H6749" i="34"/>
  <c r="H6750" i="34"/>
  <c r="H6751" i="34"/>
  <c r="H6752" i="34"/>
  <c r="H6753" i="34"/>
  <c r="H6754" i="34"/>
  <c r="H6755" i="34"/>
  <c r="H6756" i="34"/>
  <c r="H6757" i="34"/>
  <c r="H6758" i="34"/>
  <c r="H6759" i="34"/>
  <c r="H6760" i="34"/>
  <c r="H6761" i="34"/>
  <c r="H6762" i="34"/>
  <c r="H6763" i="34"/>
  <c r="H6764" i="34"/>
  <c r="H6765" i="34"/>
  <c r="H6766" i="34"/>
  <c r="H6767" i="34"/>
  <c r="H6768" i="34"/>
  <c r="H6769" i="34"/>
  <c r="H6770" i="34"/>
  <c r="H6771" i="34"/>
  <c r="H6772" i="34"/>
  <c r="H6773" i="34"/>
  <c r="H6774" i="34"/>
  <c r="H6775" i="34"/>
  <c r="H6776" i="34"/>
  <c r="H6777" i="34"/>
  <c r="H6778" i="34"/>
  <c r="H6779" i="34"/>
  <c r="H6780" i="34"/>
  <c r="H6781" i="34"/>
  <c r="H6782" i="34"/>
  <c r="H6783" i="34"/>
  <c r="H6784" i="34"/>
  <c r="H6785" i="34"/>
  <c r="H6786" i="34"/>
  <c r="H6787" i="34"/>
  <c r="H6788" i="34"/>
  <c r="H6789" i="34"/>
  <c r="H6790" i="34"/>
  <c r="H6791" i="34"/>
  <c r="H6792" i="34"/>
  <c r="H6793" i="34"/>
  <c r="H6794" i="34"/>
  <c r="H6795" i="34"/>
  <c r="H6796" i="34"/>
  <c r="H6797" i="34"/>
  <c r="H6798" i="34"/>
  <c r="H6799" i="34"/>
  <c r="H6800" i="34"/>
  <c r="H6801" i="34"/>
  <c r="H6802" i="34"/>
  <c r="H6803" i="34"/>
  <c r="H6804" i="34"/>
  <c r="H6805" i="34"/>
  <c r="H6806" i="34"/>
  <c r="H6807" i="34"/>
  <c r="H6808" i="34"/>
  <c r="H6809" i="34"/>
  <c r="H6810" i="34"/>
  <c r="H6811" i="34"/>
  <c r="H6812" i="34"/>
  <c r="H6813" i="34"/>
  <c r="H6814" i="34"/>
  <c r="H6815" i="34"/>
  <c r="H6816" i="34"/>
  <c r="H6817" i="34"/>
  <c r="H6818" i="34"/>
  <c r="H6819" i="34"/>
  <c r="H6820" i="34"/>
  <c r="H6821" i="34"/>
  <c r="H6822" i="34"/>
  <c r="H6823" i="34"/>
  <c r="H6824" i="34"/>
  <c r="H6825" i="34"/>
  <c r="H6826" i="34"/>
  <c r="H6827" i="34"/>
  <c r="H6828" i="34"/>
  <c r="H6829" i="34"/>
  <c r="H6830" i="34"/>
  <c r="H6831" i="34"/>
  <c r="H6832" i="34"/>
  <c r="H6833" i="34"/>
  <c r="H6834" i="34"/>
  <c r="H6835" i="34"/>
  <c r="H6836" i="34"/>
  <c r="H6837" i="34"/>
  <c r="H6838" i="34"/>
  <c r="H6839" i="34"/>
  <c r="H6840" i="34"/>
  <c r="H6841" i="34"/>
  <c r="H6842" i="34"/>
  <c r="H6843" i="34"/>
  <c r="H6844" i="34"/>
  <c r="H6845" i="34"/>
  <c r="H6846" i="34"/>
  <c r="H6847" i="34"/>
  <c r="H6848" i="34"/>
  <c r="H6849" i="34"/>
  <c r="H6850" i="34"/>
  <c r="H6851" i="34"/>
  <c r="H6852" i="34"/>
  <c r="H6853" i="34"/>
  <c r="H6854" i="34"/>
  <c r="H6855" i="34"/>
  <c r="H6856" i="34"/>
  <c r="H6857" i="34"/>
  <c r="H6858" i="34"/>
  <c r="H6859" i="34"/>
  <c r="H6860" i="34"/>
  <c r="H6861" i="34"/>
  <c r="H6862" i="34"/>
  <c r="H6863" i="34"/>
  <c r="H6864" i="34"/>
  <c r="H6865" i="34"/>
  <c r="H6866" i="34"/>
  <c r="H6867" i="34"/>
  <c r="H6868" i="34"/>
  <c r="H6869" i="34"/>
  <c r="H6870" i="34"/>
  <c r="H6871" i="34"/>
  <c r="H6872" i="34"/>
  <c r="H6873" i="34"/>
  <c r="H6874" i="34"/>
  <c r="H6875" i="34"/>
  <c r="H6876" i="34"/>
  <c r="H6877" i="34"/>
  <c r="H6878" i="34"/>
  <c r="H6879" i="34"/>
  <c r="H6880" i="34"/>
  <c r="H6881" i="34"/>
  <c r="H6882" i="34"/>
  <c r="H6883" i="34"/>
  <c r="H6884" i="34"/>
  <c r="H6885" i="34"/>
  <c r="H6886" i="34"/>
  <c r="H6887" i="34"/>
  <c r="H6888" i="34"/>
  <c r="H6889" i="34"/>
  <c r="H6890" i="34"/>
  <c r="H6891" i="34"/>
  <c r="H6892" i="34"/>
  <c r="H6893" i="34"/>
  <c r="H6894" i="34"/>
  <c r="H6895" i="34"/>
  <c r="H6896" i="34"/>
  <c r="H6897" i="34"/>
  <c r="H6898" i="34"/>
  <c r="H6899" i="34"/>
  <c r="H6900" i="34"/>
  <c r="H6901" i="34"/>
  <c r="H6902" i="34"/>
  <c r="H6903" i="34"/>
  <c r="H6904" i="34"/>
  <c r="H6905" i="34"/>
  <c r="H6906" i="34"/>
  <c r="H6907" i="34"/>
  <c r="H6908" i="34"/>
  <c r="H6909" i="34"/>
  <c r="H6910" i="34"/>
  <c r="H6911" i="34"/>
  <c r="H6912" i="34"/>
  <c r="H6913" i="34"/>
  <c r="H6914" i="34"/>
  <c r="H6915" i="34"/>
  <c r="H6916" i="34"/>
  <c r="H6917" i="34"/>
  <c r="H6918" i="34"/>
  <c r="H6919" i="34"/>
  <c r="H6920" i="34"/>
  <c r="H6921" i="34"/>
  <c r="H6922" i="34"/>
  <c r="H6923" i="34"/>
  <c r="H6924" i="34"/>
  <c r="H6925" i="34"/>
  <c r="H6926" i="34"/>
  <c r="H6927" i="34"/>
  <c r="H6928" i="34"/>
  <c r="H6929" i="34"/>
  <c r="H6930" i="34"/>
  <c r="H6931" i="34"/>
  <c r="H6932" i="34"/>
  <c r="H6933" i="34"/>
  <c r="H6934" i="34"/>
  <c r="H6935" i="34"/>
  <c r="H6936" i="34"/>
  <c r="H6937" i="34"/>
  <c r="H6938" i="34"/>
  <c r="H6939" i="34"/>
  <c r="H6940" i="34"/>
  <c r="H6941" i="34"/>
  <c r="H6942" i="34"/>
  <c r="H6943" i="34"/>
  <c r="H6944" i="34"/>
  <c r="H6945" i="34"/>
  <c r="H6946" i="34"/>
  <c r="H6947" i="34"/>
  <c r="H6948" i="34"/>
  <c r="H6949" i="34"/>
  <c r="H6950" i="34"/>
  <c r="H6951" i="34"/>
  <c r="H6952" i="34"/>
  <c r="H6953" i="34"/>
  <c r="H6954" i="34"/>
  <c r="H6955" i="34"/>
  <c r="H6956" i="34"/>
  <c r="H6957" i="34"/>
  <c r="H6958" i="34"/>
  <c r="H6959" i="34"/>
  <c r="H6960" i="34"/>
  <c r="H6961" i="34"/>
  <c r="H6962" i="34"/>
  <c r="H6963" i="34"/>
  <c r="H6964" i="34"/>
  <c r="H6965" i="34"/>
  <c r="H6966" i="34"/>
  <c r="H6967" i="34"/>
  <c r="H6968" i="34"/>
  <c r="H6969" i="34"/>
  <c r="H6970" i="34"/>
  <c r="H6971" i="34"/>
  <c r="H6972" i="34"/>
  <c r="H6973" i="34"/>
  <c r="H6974" i="34"/>
  <c r="H6975" i="34"/>
  <c r="H6976" i="34"/>
  <c r="H6977" i="34"/>
  <c r="H6978" i="34"/>
  <c r="H6979" i="34"/>
  <c r="H6980" i="34"/>
  <c r="H6981" i="34"/>
  <c r="H6982" i="34"/>
  <c r="H6983" i="34"/>
  <c r="H6984" i="34"/>
  <c r="H6985" i="34"/>
  <c r="H6986" i="34"/>
  <c r="H6987" i="34"/>
  <c r="H6988" i="34"/>
  <c r="H6989" i="34"/>
  <c r="H6990" i="34"/>
  <c r="H6991" i="34"/>
  <c r="H6992" i="34"/>
  <c r="H6993" i="34"/>
  <c r="H6994" i="34"/>
  <c r="H6995" i="34"/>
  <c r="H6996" i="34"/>
  <c r="H6997" i="34"/>
  <c r="H6998" i="34"/>
  <c r="H6999" i="34"/>
  <c r="H7000" i="34"/>
  <c r="H7001" i="34"/>
  <c r="H7002" i="34"/>
  <c r="H7003" i="34"/>
  <c r="H7004" i="34"/>
  <c r="H7005" i="34"/>
  <c r="H7006" i="34"/>
  <c r="H7007" i="34"/>
  <c r="H7008" i="34"/>
  <c r="H7009" i="34"/>
  <c r="H7010" i="34"/>
  <c r="H7011" i="34"/>
  <c r="H7012" i="34"/>
  <c r="H7013" i="34"/>
  <c r="H7014" i="34"/>
  <c r="H7015" i="34"/>
  <c r="H7016" i="34"/>
  <c r="H7017" i="34"/>
  <c r="H7018" i="34"/>
  <c r="H7019" i="34"/>
  <c r="H7020" i="34"/>
  <c r="H7021" i="34"/>
  <c r="H7022" i="34"/>
  <c r="H7023" i="34"/>
  <c r="H7024" i="34"/>
  <c r="H7025" i="34"/>
  <c r="H7026" i="34"/>
  <c r="H7027" i="34"/>
  <c r="H7028" i="34"/>
  <c r="H7029" i="34"/>
  <c r="H7030" i="34"/>
  <c r="H7031" i="34"/>
  <c r="H7032" i="34"/>
  <c r="H7033" i="34"/>
  <c r="H7034" i="34"/>
  <c r="H7035" i="34"/>
  <c r="H7036" i="34"/>
  <c r="H7037" i="34"/>
  <c r="H7038" i="34"/>
  <c r="H7039" i="34"/>
  <c r="H7040" i="34"/>
  <c r="H7041" i="34"/>
  <c r="H7042" i="34"/>
  <c r="H7043" i="34"/>
  <c r="H7044" i="34"/>
  <c r="H7045" i="34"/>
  <c r="H7046" i="34"/>
  <c r="H7047" i="34"/>
  <c r="H7048" i="34"/>
  <c r="H7049" i="34"/>
  <c r="H7050" i="34"/>
  <c r="H7051" i="34"/>
  <c r="H7052" i="34"/>
  <c r="H7053" i="34"/>
  <c r="H7054" i="34"/>
  <c r="H7055" i="34"/>
  <c r="H7056" i="34"/>
  <c r="H7057" i="34"/>
  <c r="H7058" i="34"/>
  <c r="H7059" i="34"/>
  <c r="H7060" i="34"/>
  <c r="H7061" i="34"/>
  <c r="H7062" i="34"/>
  <c r="H7063" i="34"/>
  <c r="H7064" i="34"/>
  <c r="H7065" i="34"/>
  <c r="H7066" i="34"/>
  <c r="H7067" i="34"/>
  <c r="H7068" i="34"/>
  <c r="H7069" i="34"/>
  <c r="H7070" i="34"/>
  <c r="H7071" i="34"/>
  <c r="H7072" i="34"/>
  <c r="H7073" i="34"/>
  <c r="H7074" i="34"/>
  <c r="H7075" i="34"/>
  <c r="H7076" i="34"/>
  <c r="H7077" i="34"/>
  <c r="H7078" i="34"/>
  <c r="H7079" i="34"/>
  <c r="H7080" i="34"/>
  <c r="H7081" i="34"/>
  <c r="H7082" i="34"/>
  <c r="H7083" i="34"/>
  <c r="H7084" i="34"/>
  <c r="H7085" i="34"/>
  <c r="H7086" i="34"/>
  <c r="H7087" i="34"/>
  <c r="H7088" i="34"/>
  <c r="H7089" i="34"/>
  <c r="H7090" i="34"/>
  <c r="H7091" i="34"/>
  <c r="H7092" i="34"/>
  <c r="H7093" i="34"/>
  <c r="H7094" i="34"/>
  <c r="H7095" i="34"/>
  <c r="H7096" i="34"/>
  <c r="H7097" i="34"/>
  <c r="H7098" i="34"/>
  <c r="H7099" i="34"/>
  <c r="H7100" i="34"/>
  <c r="H7101" i="34"/>
  <c r="H7102" i="34"/>
  <c r="H7103" i="34"/>
  <c r="H7104" i="34"/>
  <c r="H7105" i="34"/>
  <c r="H7106" i="34"/>
  <c r="H7107" i="34"/>
  <c r="H7108" i="34"/>
  <c r="H7109" i="34"/>
  <c r="H7110" i="34"/>
  <c r="H7111" i="34"/>
  <c r="H7112" i="34"/>
  <c r="H7113" i="34"/>
  <c r="H7114" i="34"/>
  <c r="H7115" i="34"/>
  <c r="H7116" i="34"/>
  <c r="H7117" i="34"/>
  <c r="H7118" i="34"/>
  <c r="H7119" i="34"/>
  <c r="H7120" i="34"/>
  <c r="H7121" i="34"/>
  <c r="H7122" i="34"/>
  <c r="H7123" i="34"/>
  <c r="H7124" i="34"/>
  <c r="H7125" i="34"/>
  <c r="H7126" i="34"/>
  <c r="H7127" i="34"/>
  <c r="H7128" i="34"/>
  <c r="H7129" i="34"/>
  <c r="H7130" i="34"/>
  <c r="H7131" i="34"/>
  <c r="H7132" i="34"/>
  <c r="H7133" i="34"/>
  <c r="H7134" i="34"/>
  <c r="H7135" i="34"/>
  <c r="H7136" i="34"/>
  <c r="H7137" i="34"/>
  <c r="H7138" i="34"/>
  <c r="H7139" i="34"/>
  <c r="H7140" i="34"/>
  <c r="H7141" i="34"/>
  <c r="H7142" i="34"/>
  <c r="H7143" i="34"/>
  <c r="H7144" i="34"/>
  <c r="H7145" i="34"/>
  <c r="H7146" i="34"/>
  <c r="H7147" i="34"/>
  <c r="H7148" i="34"/>
  <c r="H7149" i="34"/>
  <c r="H7150" i="34"/>
  <c r="H7151" i="34"/>
  <c r="H7152" i="34"/>
  <c r="H7153" i="34"/>
  <c r="H7154" i="34"/>
  <c r="H7155" i="34"/>
  <c r="H7156" i="34"/>
  <c r="H7157" i="34"/>
  <c r="H7158" i="34"/>
  <c r="H7159" i="34"/>
  <c r="H7160" i="34"/>
  <c r="H7161" i="34"/>
  <c r="H7162" i="34"/>
  <c r="H7163" i="34"/>
  <c r="H7164" i="34"/>
  <c r="H7165" i="34"/>
  <c r="H7166" i="34"/>
  <c r="H7167" i="34"/>
  <c r="H7168" i="34"/>
  <c r="H7169" i="34"/>
  <c r="H7170" i="34"/>
  <c r="H7171" i="34"/>
  <c r="H7172" i="34"/>
  <c r="H7173" i="34"/>
  <c r="H7174" i="34"/>
  <c r="H7175" i="34"/>
  <c r="H7176" i="34"/>
  <c r="H7177" i="34"/>
  <c r="H7178" i="34"/>
  <c r="H7179" i="34"/>
  <c r="H7180" i="34"/>
  <c r="H7181" i="34"/>
  <c r="H7182" i="34"/>
  <c r="H7183" i="34"/>
  <c r="H7184" i="34"/>
  <c r="H7185" i="34"/>
  <c r="H7186" i="34"/>
  <c r="H7187" i="34"/>
  <c r="H7188" i="34"/>
  <c r="H7189" i="34"/>
  <c r="H7190" i="34"/>
  <c r="H7191" i="34"/>
  <c r="H7192" i="34"/>
  <c r="H7193" i="34"/>
  <c r="H7194" i="34"/>
  <c r="H7195" i="34"/>
  <c r="H7196" i="34"/>
  <c r="H7197" i="34"/>
  <c r="H7198" i="34"/>
  <c r="H7199" i="34"/>
  <c r="H7200" i="34"/>
  <c r="H7201" i="34"/>
  <c r="H7202" i="34"/>
  <c r="H7203" i="34"/>
  <c r="H7204" i="34"/>
  <c r="H7205" i="34"/>
  <c r="H7206" i="34"/>
  <c r="H7207" i="34"/>
  <c r="H7208" i="34"/>
  <c r="H7209" i="34"/>
  <c r="H7210" i="34"/>
  <c r="H7211" i="34"/>
  <c r="H7212" i="34"/>
  <c r="H7213" i="34"/>
  <c r="H7214" i="34"/>
  <c r="H7215" i="34"/>
  <c r="H7216" i="34"/>
  <c r="H7217" i="34"/>
  <c r="H7218" i="34"/>
  <c r="H7219" i="34"/>
  <c r="H7220" i="34"/>
  <c r="H7221" i="34"/>
  <c r="H7222" i="34"/>
  <c r="H7223" i="34"/>
  <c r="H7224" i="34"/>
  <c r="H7225" i="34"/>
  <c r="H7226" i="34"/>
  <c r="H7227" i="34"/>
  <c r="H7228" i="34"/>
  <c r="H7229" i="34"/>
  <c r="H7230" i="34"/>
  <c r="H7231" i="34"/>
  <c r="H7232" i="34"/>
  <c r="H7233" i="34"/>
  <c r="H7234" i="34"/>
  <c r="H7235" i="34"/>
  <c r="H7236" i="34"/>
  <c r="H7237" i="34"/>
  <c r="H7238" i="34"/>
  <c r="H7239" i="34"/>
  <c r="H7240" i="34"/>
  <c r="H7241" i="34"/>
  <c r="H7242" i="34"/>
  <c r="H7243" i="34"/>
  <c r="H7244" i="34"/>
  <c r="H7245" i="34"/>
  <c r="H7246" i="34"/>
  <c r="H7247" i="34"/>
  <c r="H7248" i="34"/>
  <c r="H7249" i="34"/>
  <c r="H7250" i="34"/>
  <c r="H7251" i="34"/>
  <c r="H7252" i="34"/>
  <c r="H7253" i="34"/>
  <c r="H7254" i="34"/>
  <c r="H7255" i="34"/>
  <c r="H7256" i="34"/>
  <c r="H7257" i="34"/>
  <c r="H7258" i="34"/>
  <c r="H7259" i="34"/>
  <c r="H7260" i="34"/>
  <c r="H7261" i="34"/>
  <c r="H7262" i="34"/>
  <c r="H7263" i="34"/>
  <c r="H7264" i="34"/>
  <c r="H7265" i="34"/>
  <c r="H7266" i="34"/>
  <c r="H7267" i="34"/>
  <c r="H7268" i="34"/>
  <c r="H7269" i="34"/>
  <c r="H7270" i="34"/>
  <c r="H7271" i="34"/>
  <c r="H7272" i="34"/>
  <c r="H7273" i="34"/>
  <c r="H7274" i="34"/>
  <c r="H7275" i="34"/>
  <c r="H7276" i="34"/>
  <c r="H7277" i="34"/>
  <c r="H7278" i="34"/>
  <c r="H7279" i="34"/>
  <c r="H7280" i="34"/>
  <c r="H7281" i="34"/>
  <c r="H7282" i="34"/>
  <c r="H7283" i="34"/>
  <c r="H7284" i="34"/>
  <c r="H7285" i="34"/>
  <c r="H7286" i="34"/>
  <c r="H7287" i="34"/>
  <c r="H7288" i="34"/>
  <c r="H7289" i="34"/>
  <c r="H7290" i="34"/>
  <c r="H7291" i="34"/>
  <c r="H7292" i="34"/>
  <c r="H7293" i="34"/>
  <c r="H7294" i="34"/>
  <c r="H7295" i="34"/>
  <c r="H7296" i="34"/>
  <c r="H7297" i="34"/>
  <c r="H7298" i="34"/>
  <c r="H7299" i="34"/>
  <c r="H7300" i="34"/>
  <c r="H7301" i="34"/>
  <c r="H7302" i="34"/>
  <c r="H7303" i="34"/>
  <c r="H7304" i="34"/>
  <c r="H7305" i="34"/>
  <c r="H7306" i="34"/>
  <c r="H7307" i="34"/>
  <c r="H7308" i="34"/>
  <c r="H7309" i="34"/>
  <c r="H7310" i="34"/>
  <c r="H7311" i="34"/>
  <c r="H7312" i="34"/>
  <c r="H7313" i="34"/>
  <c r="H7314" i="34"/>
  <c r="H7315" i="34"/>
  <c r="H7316" i="34"/>
  <c r="H7317" i="34"/>
  <c r="H7318" i="34"/>
  <c r="H7319" i="34"/>
  <c r="H7320" i="34"/>
  <c r="H7321" i="34"/>
  <c r="H7322" i="34"/>
  <c r="H7323" i="34"/>
  <c r="H7324" i="34"/>
  <c r="H7325" i="34"/>
  <c r="H7326" i="34"/>
  <c r="H7327" i="34"/>
  <c r="H7328" i="34"/>
  <c r="H7329" i="34"/>
  <c r="H7330" i="34"/>
  <c r="H7331" i="34"/>
  <c r="H7332" i="34"/>
  <c r="H7333" i="34"/>
  <c r="H7334" i="34"/>
  <c r="H7335" i="34"/>
  <c r="H7336" i="34"/>
  <c r="H7337" i="34"/>
  <c r="H7338" i="34"/>
  <c r="H7339" i="34"/>
  <c r="H7340" i="34"/>
  <c r="H7341" i="34"/>
  <c r="H7342" i="34"/>
  <c r="H7343" i="34"/>
  <c r="H7344" i="34"/>
  <c r="H7345" i="34"/>
  <c r="H7346" i="34"/>
  <c r="H7347" i="34"/>
  <c r="H7348" i="34"/>
  <c r="H7349" i="34"/>
  <c r="H7350" i="34"/>
  <c r="H7351" i="34"/>
  <c r="H7352" i="34"/>
  <c r="H7353" i="34"/>
  <c r="H7354" i="34"/>
  <c r="H7355" i="34"/>
  <c r="H7356" i="34"/>
  <c r="H7357" i="34"/>
  <c r="H7358" i="34"/>
  <c r="H7359" i="34"/>
  <c r="H7360" i="34"/>
  <c r="H7361" i="34"/>
  <c r="H7362" i="34"/>
  <c r="H7363" i="34"/>
  <c r="H7364" i="34"/>
  <c r="H7365" i="34"/>
  <c r="H7366" i="34"/>
  <c r="H7367" i="34"/>
  <c r="H7368" i="34"/>
  <c r="H7369" i="34"/>
  <c r="H7370" i="34"/>
  <c r="H7371" i="34"/>
  <c r="H7372" i="34"/>
  <c r="H7373" i="34"/>
  <c r="H7374" i="34"/>
  <c r="H7375" i="34"/>
  <c r="H7376" i="34"/>
  <c r="H7377" i="34"/>
  <c r="H7378" i="34"/>
  <c r="H7379" i="34"/>
  <c r="H7380" i="34"/>
  <c r="H7381" i="34"/>
  <c r="H7382" i="34"/>
  <c r="H7383" i="34"/>
  <c r="H7384" i="34"/>
  <c r="H7385" i="34"/>
  <c r="H7386" i="34"/>
  <c r="H7387" i="34"/>
  <c r="H7388" i="34"/>
  <c r="H7389" i="34"/>
  <c r="H7390" i="34"/>
  <c r="H7391" i="34"/>
  <c r="H7392" i="34"/>
  <c r="H7393" i="34"/>
  <c r="H7394" i="34"/>
  <c r="H7395" i="34"/>
  <c r="H7396" i="34"/>
  <c r="H7397" i="34"/>
  <c r="H7398" i="34"/>
  <c r="H7399" i="34"/>
  <c r="H7400" i="34"/>
  <c r="H7401" i="34"/>
  <c r="H7402" i="34"/>
  <c r="H7403" i="34"/>
  <c r="H7404" i="34"/>
  <c r="H7405" i="34"/>
  <c r="H7406" i="34"/>
  <c r="H7407" i="34"/>
  <c r="H7408" i="34"/>
  <c r="H7409" i="34"/>
  <c r="H7410" i="34"/>
  <c r="H7411" i="34"/>
  <c r="H7412" i="34"/>
  <c r="H7413" i="34"/>
  <c r="H7414" i="34"/>
  <c r="H7415" i="34"/>
  <c r="H7416" i="34"/>
  <c r="H7417" i="34"/>
  <c r="H7418" i="34"/>
  <c r="H7419" i="34"/>
  <c r="H7420" i="34"/>
  <c r="H7421" i="34"/>
  <c r="H7422" i="34"/>
  <c r="H7423" i="34"/>
  <c r="H7424" i="34"/>
  <c r="H7425" i="34"/>
  <c r="H7426" i="34"/>
  <c r="H7427" i="34"/>
  <c r="H7428" i="34"/>
  <c r="H7429" i="34"/>
  <c r="H7430" i="34"/>
  <c r="H7431" i="34"/>
  <c r="H7432" i="34"/>
  <c r="H7433" i="34"/>
  <c r="H7434" i="34"/>
  <c r="H7435" i="34"/>
  <c r="H7436" i="34"/>
  <c r="H7437" i="34"/>
  <c r="H7438" i="34"/>
  <c r="H7439" i="34"/>
  <c r="H7440" i="34"/>
  <c r="H7441" i="34"/>
  <c r="H7442" i="34"/>
  <c r="H7443" i="34"/>
  <c r="H7444" i="34"/>
  <c r="H7445" i="34"/>
  <c r="H7446" i="34"/>
  <c r="H7447" i="34"/>
  <c r="H7448" i="34"/>
  <c r="H7449" i="34"/>
  <c r="H7450" i="34"/>
  <c r="H7451" i="34"/>
  <c r="H7452" i="34"/>
  <c r="H7453" i="34"/>
  <c r="H7454" i="34"/>
  <c r="H7455" i="34"/>
  <c r="H7456" i="34"/>
  <c r="H7457" i="34"/>
  <c r="H7458" i="34"/>
  <c r="H7459" i="34"/>
  <c r="H7460" i="34"/>
  <c r="H7461" i="34"/>
  <c r="H7462" i="34"/>
  <c r="H7463" i="34"/>
  <c r="H7464" i="34"/>
  <c r="H7465" i="34"/>
  <c r="H7466" i="34"/>
  <c r="H7467" i="34"/>
  <c r="H7468" i="34"/>
  <c r="H7469" i="34"/>
  <c r="H7470" i="34"/>
  <c r="H7471" i="34"/>
  <c r="H7472" i="34"/>
  <c r="H7473" i="34"/>
  <c r="H7474" i="34"/>
  <c r="H7475" i="34"/>
  <c r="H7476" i="34"/>
  <c r="H7477" i="34"/>
  <c r="H7478" i="34"/>
  <c r="H7479" i="34"/>
  <c r="H7480" i="34"/>
  <c r="H7481" i="34"/>
  <c r="H7482" i="34"/>
  <c r="H7483" i="34"/>
  <c r="H7484" i="34"/>
  <c r="H7485" i="34"/>
  <c r="H7486" i="34"/>
  <c r="H7487" i="34"/>
  <c r="H7488" i="34"/>
  <c r="H7489" i="34"/>
  <c r="H7490" i="34"/>
  <c r="H7491" i="34"/>
  <c r="H7492" i="34"/>
  <c r="H7493" i="34"/>
  <c r="H7494" i="34"/>
  <c r="H7495" i="34"/>
  <c r="H7496" i="34"/>
  <c r="H7497" i="34"/>
  <c r="H7498" i="34"/>
  <c r="H7499" i="34"/>
  <c r="H7500" i="34"/>
  <c r="H7501" i="34"/>
  <c r="H7502" i="34"/>
  <c r="H7503" i="34"/>
  <c r="H7504" i="34"/>
  <c r="H7505" i="34"/>
  <c r="H7506" i="34"/>
  <c r="H7507" i="34"/>
  <c r="H7508" i="34"/>
  <c r="H7509" i="34"/>
  <c r="H7510" i="34"/>
  <c r="H7511" i="34"/>
  <c r="H7512" i="34"/>
  <c r="H7513" i="34"/>
  <c r="H7514" i="34"/>
  <c r="H7515" i="34"/>
  <c r="H7516" i="34"/>
  <c r="H7517" i="34"/>
  <c r="H7518" i="34"/>
  <c r="H7519" i="34"/>
  <c r="H7520" i="34"/>
  <c r="H7521" i="34"/>
  <c r="H7522" i="34"/>
  <c r="H7523" i="34"/>
  <c r="H7524" i="34"/>
  <c r="H7525" i="34"/>
  <c r="H7526" i="34"/>
  <c r="H7527" i="34"/>
  <c r="H7528" i="34"/>
  <c r="H7529" i="34"/>
  <c r="H7530" i="34"/>
  <c r="H7531" i="34"/>
  <c r="H7532" i="34"/>
  <c r="H7533" i="34"/>
  <c r="H7534" i="34"/>
  <c r="H7535" i="34"/>
  <c r="H7536" i="34"/>
  <c r="H7537" i="34"/>
  <c r="H7538" i="34"/>
  <c r="H7539" i="34"/>
  <c r="H7540" i="34"/>
  <c r="H7541" i="34"/>
  <c r="H7542" i="34"/>
  <c r="H7543" i="34"/>
  <c r="H7544" i="34"/>
  <c r="H7545" i="34"/>
  <c r="H7546" i="34"/>
  <c r="H7547" i="34"/>
  <c r="H7548" i="34"/>
  <c r="H7549" i="34"/>
  <c r="H7550" i="34"/>
  <c r="H7551" i="34"/>
  <c r="H7552" i="34"/>
  <c r="H7553" i="34"/>
  <c r="H7554" i="34"/>
  <c r="H7555" i="34"/>
  <c r="H7556" i="34"/>
  <c r="H7557" i="34"/>
  <c r="H7558" i="34"/>
  <c r="H7559" i="34"/>
  <c r="H7560" i="34"/>
  <c r="H7561" i="34"/>
  <c r="H7562" i="34"/>
  <c r="H7563" i="34"/>
  <c r="H7564" i="34"/>
  <c r="H7565" i="34"/>
  <c r="H7566" i="34"/>
  <c r="H7567" i="34"/>
  <c r="H7568" i="34"/>
  <c r="H7569" i="34"/>
  <c r="H7570" i="34"/>
  <c r="H7571" i="34"/>
  <c r="H7572" i="34"/>
  <c r="H7573" i="34"/>
  <c r="H7574" i="34"/>
  <c r="H7575" i="34"/>
  <c r="H7576" i="34"/>
  <c r="H7577" i="34"/>
  <c r="H7578" i="34"/>
  <c r="H7579" i="34"/>
  <c r="H7580" i="34"/>
  <c r="H7581" i="34"/>
  <c r="H7582" i="34"/>
  <c r="H7583" i="34"/>
  <c r="H7584" i="34"/>
  <c r="H7585" i="34"/>
  <c r="H7586" i="34"/>
  <c r="H7587" i="34"/>
  <c r="H7588" i="34"/>
  <c r="H7589" i="34"/>
  <c r="H7590" i="34"/>
  <c r="H7591" i="34"/>
  <c r="H7592" i="34"/>
  <c r="H7593" i="34"/>
  <c r="H7594" i="34"/>
  <c r="H7595" i="34"/>
  <c r="H7596" i="34"/>
  <c r="H7597" i="34"/>
  <c r="H7598" i="34"/>
  <c r="H7599" i="34"/>
  <c r="H7600" i="34"/>
  <c r="H7601" i="34"/>
  <c r="H7602" i="34"/>
  <c r="H7603" i="34"/>
  <c r="H7604" i="34"/>
  <c r="H7605" i="34"/>
  <c r="H7606" i="34"/>
  <c r="H7607" i="34"/>
  <c r="H7608" i="34"/>
  <c r="H7609" i="34"/>
  <c r="H7610" i="34"/>
  <c r="H7611" i="34"/>
  <c r="H7612" i="34"/>
  <c r="H7613" i="34"/>
  <c r="H7614" i="34"/>
  <c r="H7615" i="34"/>
  <c r="H7616" i="34"/>
  <c r="H7617" i="34"/>
  <c r="H7618" i="34"/>
  <c r="H7619" i="34"/>
  <c r="H7620" i="34"/>
  <c r="H7621" i="34"/>
  <c r="H7622" i="34"/>
  <c r="H7623" i="34"/>
  <c r="H7624" i="34"/>
  <c r="H7625" i="34"/>
  <c r="H7626" i="34"/>
  <c r="H7627" i="34"/>
  <c r="H7628" i="34"/>
  <c r="H7629" i="34"/>
  <c r="H7630" i="34"/>
  <c r="H7631" i="34"/>
  <c r="H7632" i="34"/>
  <c r="H7633" i="34"/>
  <c r="H7634" i="34"/>
  <c r="H7635" i="34"/>
  <c r="H7636" i="34"/>
  <c r="H7637" i="34"/>
  <c r="H7638" i="34"/>
  <c r="H7639" i="34"/>
  <c r="H7640" i="34"/>
  <c r="H7641" i="34"/>
  <c r="H7642" i="34"/>
  <c r="H7643" i="34"/>
  <c r="H7644" i="34"/>
  <c r="H7645" i="34"/>
  <c r="H7646" i="34"/>
  <c r="H7647" i="34"/>
  <c r="H7648" i="34"/>
  <c r="H7649" i="34"/>
  <c r="H7650" i="34"/>
  <c r="H7651" i="34"/>
  <c r="H7652" i="34"/>
  <c r="H7653" i="34"/>
  <c r="H7654" i="34"/>
  <c r="H7655" i="34"/>
  <c r="H7656" i="34"/>
  <c r="H7657" i="34"/>
  <c r="H7658" i="34"/>
  <c r="H7659" i="34"/>
  <c r="H7660" i="34"/>
  <c r="H7661" i="34"/>
  <c r="H7662" i="34"/>
  <c r="H7663" i="34"/>
  <c r="H7664" i="34"/>
  <c r="H7665" i="34"/>
  <c r="H7666" i="34"/>
  <c r="H7667" i="34"/>
  <c r="H7668" i="34"/>
  <c r="H7669" i="34"/>
  <c r="H7670" i="34"/>
  <c r="H7671" i="34"/>
  <c r="H7672" i="34"/>
  <c r="H7673" i="34"/>
  <c r="H7674" i="34"/>
  <c r="H7675" i="34"/>
  <c r="H7676" i="34"/>
  <c r="H7677" i="34"/>
  <c r="H7678" i="34"/>
  <c r="H7679" i="34"/>
  <c r="H7680" i="34"/>
  <c r="H7681" i="34"/>
  <c r="H7682" i="34"/>
  <c r="H7683" i="34"/>
  <c r="H7684" i="34"/>
  <c r="H7685" i="34"/>
  <c r="H7686" i="34"/>
  <c r="H7687" i="34"/>
  <c r="H7688" i="34"/>
  <c r="H7689" i="34"/>
  <c r="H7690" i="34"/>
  <c r="H7691" i="34"/>
  <c r="H7692" i="34"/>
  <c r="H7693" i="34"/>
  <c r="H7694" i="34"/>
  <c r="H7695" i="34"/>
  <c r="H7696" i="34"/>
  <c r="H7697" i="34"/>
  <c r="H7698" i="34"/>
  <c r="H7699" i="34"/>
  <c r="H7700" i="34"/>
  <c r="H7701" i="34"/>
  <c r="H7702" i="34"/>
  <c r="H7703" i="34"/>
  <c r="H7704" i="34"/>
  <c r="H7705" i="34"/>
  <c r="H7706" i="34"/>
  <c r="H7707" i="34"/>
  <c r="H7708" i="34"/>
  <c r="H7709" i="34"/>
  <c r="H7710" i="34"/>
  <c r="H7711" i="34"/>
  <c r="H7712" i="34"/>
  <c r="H7713" i="34"/>
  <c r="H7714" i="34"/>
  <c r="H7715" i="34"/>
  <c r="H7716" i="34"/>
  <c r="H7717" i="34"/>
  <c r="H7718" i="34"/>
  <c r="H7719" i="34"/>
  <c r="H7720" i="34"/>
  <c r="H7721" i="34"/>
  <c r="H7722" i="34"/>
  <c r="H7723" i="34"/>
  <c r="H7724" i="34"/>
  <c r="H7725" i="34"/>
  <c r="H7726" i="34"/>
  <c r="H7727" i="34"/>
  <c r="H7728" i="34"/>
  <c r="H7729" i="34"/>
  <c r="H7730" i="34"/>
  <c r="H7731" i="34"/>
  <c r="H7732" i="34"/>
  <c r="H7733" i="34"/>
  <c r="H7734" i="34"/>
  <c r="H7735" i="34"/>
  <c r="H7736" i="34"/>
  <c r="H7737" i="34"/>
  <c r="H7738" i="34"/>
  <c r="H7739" i="34"/>
  <c r="H7740" i="34"/>
  <c r="H7741" i="34"/>
  <c r="H7742" i="34"/>
  <c r="H7743" i="34"/>
  <c r="H7744" i="34"/>
  <c r="H7745" i="34"/>
  <c r="H7746" i="34"/>
  <c r="H7747" i="34"/>
  <c r="H7748" i="34"/>
  <c r="H7749" i="34"/>
  <c r="H7750" i="34"/>
  <c r="H7751" i="34"/>
  <c r="H7752" i="34"/>
  <c r="H7753" i="34"/>
  <c r="H7754" i="34"/>
  <c r="H7755" i="34"/>
  <c r="H7756" i="34"/>
  <c r="H7757" i="34"/>
  <c r="H7758" i="34"/>
  <c r="H7759" i="34"/>
  <c r="H7760" i="34"/>
  <c r="H7761" i="34"/>
  <c r="H7762" i="34"/>
  <c r="H7763" i="34"/>
  <c r="H7764" i="34"/>
  <c r="H7765" i="34"/>
  <c r="H7766" i="34"/>
  <c r="H7767" i="34"/>
  <c r="H7768" i="34"/>
  <c r="H7769" i="34"/>
  <c r="H7770" i="34"/>
  <c r="H7771" i="34"/>
  <c r="H7772" i="34"/>
  <c r="H7773" i="34"/>
  <c r="H7774" i="34"/>
  <c r="H7775" i="34"/>
  <c r="H7776" i="34"/>
  <c r="H7777" i="34"/>
  <c r="H7778" i="34"/>
  <c r="H7779" i="34"/>
  <c r="H7780" i="34"/>
  <c r="H7781" i="34"/>
  <c r="H7782" i="34"/>
  <c r="H7783" i="34"/>
  <c r="H7784" i="34"/>
  <c r="H7785" i="34"/>
  <c r="H7786" i="34"/>
  <c r="H7787" i="34"/>
  <c r="H7788" i="34"/>
  <c r="H7789" i="34"/>
  <c r="H7790" i="34"/>
  <c r="H7791" i="34"/>
  <c r="H7792" i="34"/>
  <c r="H7793" i="34"/>
  <c r="H7794" i="34"/>
  <c r="H7795" i="34"/>
  <c r="H7796" i="34"/>
  <c r="H7797" i="34"/>
  <c r="H7798" i="34"/>
  <c r="H7799" i="34"/>
  <c r="H7800" i="34"/>
  <c r="H7801" i="34"/>
  <c r="H7802" i="34"/>
  <c r="H7803" i="34"/>
  <c r="H7804" i="34"/>
  <c r="H7805" i="34"/>
  <c r="H7806" i="34"/>
  <c r="H7807" i="34"/>
  <c r="H7808" i="34"/>
  <c r="H7809" i="34"/>
  <c r="H7810" i="34"/>
  <c r="H7811" i="34"/>
  <c r="H7812" i="34"/>
  <c r="H7813" i="34"/>
  <c r="H7814" i="34"/>
  <c r="H7815" i="34"/>
  <c r="H7816" i="34"/>
  <c r="H7817" i="34"/>
  <c r="H7818" i="34"/>
  <c r="H7819" i="34"/>
  <c r="H7820" i="34"/>
  <c r="H7821" i="34"/>
  <c r="H7822" i="34"/>
  <c r="H7823" i="34"/>
  <c r="H7824" i="34"/>
  <c r="H7825" i="34"/>
  <c r="H7826" i="34"/>
  <c r="H7827" i="34"/>
  <c r="H7828" i="34"/>
  <c r="H7829" i="34"/>
  <c r="H7830" i="34"/>
  <c r="H7831" i="34"/>
  <c r="H7832" i="34"/>
  <c r="H7833" i="34"/>
  <c r="H7834" i="34"/>
  <c r="H7835" i="34"/>
  <c r="H7836" i="34"/>
  <c r="H7837" i="34"/>
  <c r="H7838" i="34"/>
  <c r="H7839" i="34"/>
  <c r="H7840" i="34"/>
  <c r="H7841" i="34"/>
  <c r="H7842" i="34"/>
  <c r="H7843" i="34"/>
  <c r="H7844" i="34"/>
  <c r="H7845" i="34"/>
  <c r="H7846" i="34"/>
  <c r="H7847" i="34"/>
  <c r="H7848" i="34"/>
  <c r="H7849" i="34"/>
  <c r="H7850" i="34"/>
  <c r="H7851" i="34"/>
  <c r="H7852" i="34"/>
  <c r="H7853" i="34"/>
  <c r="H7854" i="34"/>
  <c r="H7855" i="34"/>
  <c r="H7856" i="34"/>
  <c r="H7857" i="34"/>
  <c r="H7858" i="34"/>
  <c r="H7859" i="34"/>
  <c r="H7860" i="34"/>
  <c r="H7861" i="34"/>
  <c r="H7862" i="34"/>
  <c r="H7863" i="34"/>
  <c r="H7864" i="34"/>
  <c r="H7865" i="34"/>
  <c r="H7866" i="34"/>
  <c r="H7867" i="34"/>
  <c r="H7868" i="34"/>
  <c r="H7869" i="34"/>
  <c r="H7870" i="34"/>
  <c r="H7871" i="34"/>
  <c r="H7872" i="34"/>
  <c r="H7873" i="34"/>
  <c r="H7874" i="34"/>
  <c r="H7875" i="34"/>
  <c r="H7876" i="34"/>
  <c r="H7877" i="34"/>
  <c r="H7878" i="34"/>
  <c r="H7879" i="34"/>
  <c r="H7880" i="34"/>
  <c r="H7881" i="34"/>
  <c r="H7882" i="34"/>
  <c r="H7883" i="34"/>
  <c r="H7884" i="34"/>
  <c r="H7885" i="34"/>
  <c r="H7886" i="34"/>
  <c r="H7887" i="34"/>
  <c r="H7888" i="34"/>
  <c r="H7889" i="34"/>
  <c r="H7890" i="34"/>
  <c r="H7891" i="34"/>
  <c r="H7892" i="34"/>
  <c r="H7893" i="34"/>
  <c r="H7894" i="34"/>
  <c r="H7895" i="34"/>
  <c r="H7896" i="34"/>
  <c r="H7897" i="34"/>
  <c r="H7898" i="34"/>
  <c r="H7899" i="34"/>
  <c r="H7900" i="34"/>
  <c r="H7901" i="34"/>
  <c r="H7902" i="34"/>
  <c r="H7903" i="34"/>
  <c r="H7904" i="34"/>
  <c r="H7905" i="34"/>
  <c r="H7906" i="34"/>
  <c r="H7907" i="34"/>
  <c r="H7908" i="34"/>
  <c r="H7909" i="34"/>
  <c r="H7910" i="34"/>
  <c r="H7911" i="34"/>
  <c r="H7912" i="34"/>
  <c r="H7913" i="34"/>
  <c r="H7914" i="34"/>
  <c r="H7915" i="34"/>
  <c r="H7916" i="34"/>
  <c r="H7917" i="34"/>
  <c r="H7918" i="34"/>
  <c r="H7919" i="34"/>
  <c r="H7920" i="34"/>
  <c r="H7921" i="34"/>
  <c r="H7922" i="34"/>
  <c r="H7923" i="34"/>
  <c r="H7924" i="34"/>
  <c r="H7925" i="34"/>
  <c r="H7926" i="34"/>
  <c r="H7927" i="34"/>
  <c r="H7928" i="34"/>
  <c r="H7929" i="34"/>
  <c r="H7930" i="34"/>
  <c r="H7931" i="34"/>
  <c r="H7932" i="34"/>
  <c r="H7933" i="34"/>
  <c r="H7934" i="34"/>
  <c r="H7935" i="34"/>
  <c r="H7936" i="34"/>
  <c r="H7937" i="34"/>
  <c r="H7938" i="34"/>
  <c r="H7939" i="34"/>
  <c r="H7940" i="34"/>
  <c r="H7941" i="34"/>
  <c r="H7942" i="34"/>
  <c r="H7943" i="34"/>
  <c r="H7944" i="34"/>
  <c r="H7945" i="34"/>
  <c r="H7946" i="34"/>
  <c r="H7947" i="34"/>
  <c r="H7948" i="34"/>
  <c r="H7949" i="34"/>
  <c r="H7950" i="34"/>
  <c r="H7951" i="34"/>
  <c r="H7952" i="34"/>
  <c r="H7953" i="34"/>
  <c r="H7954" i="34"/>
  <c r="H7955" i="34"/>
  <c r="H7956" i="34"/>
  <c r="H7957" i="34"/>
  <c r="H7958" i="34"/>
  <c r="H7959" i="34"/>
  <c r="H7960" i="34"/>
  <c r="H7961" i="34"/>
  <c r="H7962" i="34"/>
  <c r="H7963" i="34"/>
  <c r="H7964" i="34"/>
  <c r="H7965" i="34"/>
  <c r="H7966" i="34"/>
  <c r="H7967" i="34"/>
  <c r="H7968" i="34"/>
  <c r="H7969" i="34"/>
  <c r="H7970" i="34"/>
  <c r="H7971" i="34"/>
  <c r="H7972" i="34"/>
  <c r="H7973" i="34"/>
  <c r="H7974" i="34"/>
  <c r="H7975" i="34"/>
  <c r="H7976" i="34"/>
  <c r="H7977" i="34"/>
  <c r="H7978" i="34"/>
  <c r="H7979" i="34"/>
  <c r="H7980" i="34"/>
  <c r="H7981" i="34"/>
  <c r="H7982" i="34"/>
  <c r="H7983" i="34"/>
  <c r="H7984" i="34"/>
  <c r="H7985" i="34"/>
  <c r="H7986" i="34"/>
  <c r="H7987" i="34"/>
  <c r="H7988" i="34"/>
  <c r="H7989" i="34"/>
  <c r="H7990" i="34"/>
  <c r="H7991" i="34"/>
  <c r="H7992" i="34"/>
  <c r="H7993" i="34"/>
  <c r="H7994" i="34"/>
  <c r="H7995" i="34"/>
  <c r="H7996" i="34"/>
  <c r="H7997" i="34"/>
  <c r="H7998" i="34"/>
  <c r="H7999" i="34"/>
  <c r="H8000" i="34"/>
  <c r="H8001" i="34"/>
  <c r="H8002" i="34"/>
  <c r="H8003" i="34"/>
  <c r="H8004" i="34"/>
  <c r="H8005" i="34"/>
  <c r="H8006" i="34"/>
  <c r="H8007" i="34"/>
  <c r="H8008" i="34"/>
  <c r="H8009" i="34"/>
  <c r="H8010" i="34"/>
  <c r="H8011" i="34"/>
  <c r="H8012" i="34"/>
  <c r="H8013" i="34"/>
  <c r="H8014" i="34"/>
  <c r="H8015" i="34"/>
  <c r="H8016" i="34"/>
  <c r="H8017" i="34"/>
  <c r="H8018" i="34"/>
  <c r="H8019" i="34"/>
  <c r="H8020" i="34"/>
  <c r="H8021" i="34"/>
  <c r="H8022" i="34"/>
  <c r="H8023" i="34"/>
  <c r="H8024" i="34"/>
  <c r="H8025" i="34"/>
  <c r="H8026" i="34"/>
  <c r="H8027" i="34"/>
  <c r="H8028" i="34"/>
  <c r="H8029" i="34"/>
  <c r="H8030" i="34"/>
  <c r="H8031" i="34"/>
  <c r="H8032" i="34"/>
  <c r="H8033" i="34"/>
  <c r="H8034" i="34"/>
  <c r="H8035" i="34"/>
  <c r="H8036" i="34"/>
  <c r="H8037" i="34"/>
  <c r="H8038" i="34"/>
  <c r="H8039" i="34"/>
  <c r="H8040" i="34"/>
  <c r="H8041" i="34"/>
  <c r="H8042" i="34"/>
  <c r="H8043" i="34"/>
  <c r="H8044" i="34"/>
  <c r="H8045" i="34"/>
  <c r="H8046" i="34"/>
  <c r="H8047" i="34"/>
  <c r="H8048" i="34"/>
  <c r="H8049" i="34"/>
  <c r="H8050" i="34"/>
  <c r="H8051" i="34"/>
  <c r="H8052" i="34"/>
  <c r="H8053" i="34"/>
  <c r="H8054" i="34"/>
  <c r="H8055" i="34"/>
  <c r="H8056" i="34"/>
  <c r="H8057" i="34"/>
  <c r="H8058" i="34"/>
  <c r="H8059" i="34"/>
  <c r="H8060" i="34"/>
  <c r="H8061" i="34"/>
  <c r="H8062" i="34"/>
  <c r="H8063" i="34"/>
  <c r="H8064" i="34"/>
  <c r="H8065" i="34"/>
  <c r="H8066" i="34"/>
  <c r="H8067" i="34"/>
  <c r="H8068" i="34"/>
  <c r="H8069" i="34"/>
  <c r="H8070" i="34"/>
  <c r="H8071" i="34"/>
  <c r="H8072" i="34"/>
  <c r="H8073" i="34"/>
  <c r="H8074" i="34"/>
  <c r="H8075" i="34"/>
  <c r="H8076" i="34"/>
  <c r="H8077" i="34"/>
  <c r="H8078" i="34"/>
  <c r="H8079" i="34"/>
  <c r="H8080" i="34"/>
  <c r="H8081" i="34"/>
  <c r="H8082" i="34"/>
  <c r="H8083" i="34"/>
  <c r="H8084" i="34"/>
  <c r="H8085" i="34"/>
  <c r="H8086" i="34"/>
  <c r="H8087" i="34"/>
  <c r="H8088" i="34"/>
  <c r="H8089" i="34"/>
  <c r="H8090" i="34"/>
  <c r="H8091" i="34"/>
  <c r="H8092" i="34"/>
  <c r="H8093" i="34"/>
  <c r="H8094" i="34"/>
  <c r="H8095" i="34"/>
  <c r="H8096" i="34"/>
  <c r="H8097" i="34"/>
  <c r="H8098" i="34"/>
  <c r="H8099" i="34"/>
  <c r="H8100" i="34"/>
  <c r="H8101" i="34"/>
  <c r="H8102" i="34"/>
  <c r="H8103" i="34"/>
  <c r="H8104" i="34"/>
  <c r="H8105" i="34"/>
  <c r="H8106" i="34"/>
  <c r="H8107" i="34"/>
  <c r="H8108" i="34"/>
  <c r="H8109" i="34"/>
  <c r="H8110" i="34"/>
  <c r="H8111" i="34"/>
  <c r="H8112" i="34"/>
  <c r="H8113" i="34"/>
  <c r="H8114" i="34"/>
  <c r="H8115" i="34"/>
  <c r="H8116" i="34"/>
  <c r="H8117" i="34"/>
  <c r="H8118" i="34"/>
  <c r="H8119" i="34"/>
  <c r="H8120" i="34"/>
  <c r="H8121" i="34"/>
  <c r="H8122" i="34"/>
  <c r="H8123" i="34"/>
  <c r="H8124" i="34"/>
  <c r="H8125" i="34"/>
  <c r="H8126" i="34"/>
  <c r="H8127" i="34"/>
  <c r="H8128" i="34"/>
  <c r="H8129" i="34"/>
  <c r="H8130" i="34"/>
  <c r="H8131" i="34"/>
  <c r="H8132" i="34"/>
  <c r="H8133" i="34"/>
  <c r="H8134" i="34"/>
  <c r="H8135" i="34"/>
  <c r="H8136" i="34"/>
  <c r="H8137" i="34"/>
  <c r="H8138" i="34"/>
  <c r="H8139" i="34"/>
  <c r="H8140" i="34"/>
  <c r="H8141" i="34"/>
  <c r="H8142" i="34"/>
  <c r="H8143" i="34"/>
  <c r="H8144" i="34"/>
  <c r="H8145" i="34"/>
  <c r="H8146" i="34"/>
  <c r="H8147" i="34"/>
  <c r="H8148" i="34"/>
  <c r="H8149" i="34"/>
  <c r="H8150" i="34"/>
  <c r="H8151" i="34"/>
  <c r="H8152" i="34"/>
  <c r="H8153" i="34"/>
  <c r="H8154" i="34"/>
  <c r="H8155" i="34"/>
  <c r="H8156" i="34"/>
  <c r="H8157" i="34"/>
  <c r="H8158" i="34"/>
  <c r="H8159" i="34"/>
  <c r="H8160" i="34"/>
  <c r="H8161" i="34"/>
  <c r="H8162" i="34"/>
  <c r="H8163" i="34"/>
  <c r="H8164" i="34"/>
  <c r="H8165" i="34"/>
  <c r="H8166" i="34"/>
  <c r="H8167" i="34"/>
  <c r="H8168" i="34"/>
  <c r="H8169" i="34"/>
  <c r="H8170" i="34"/>
  <c r="H8171" i="34"/>
  <c r="H8172" i="34"/>
  <c r="H8173" i="34"/>
  <c r="H8174" i="34"/>
  <c r="H8175" i="34"/>
  <c r="H8176" i="34"/>
  <c r="H8177" i="34"/>
  <c r="H8178" i="34"/>
  <c r="H8179" i="34"/>
  <c r="H8180" i="34"/>
  <c r="H8181" i="34"/>
  <c r="H8182" i="34"/>
  <c r="H8183" i="34"/>
  <c r="H8184" i="34"/>
  <c r="H8185" i="34"/>
  <c r="H8186" i="34"/>
  <c r="H8187" i="34"/>
  <c r="H8188" i="34"/>
  <c r="H8189" i="34"/>
  <c r="H8190" i="34"/>
  <c r="H8191" i="34"/>
  <c r="H8192" i="34"/>
  <c r="H8193" i="34"/>
  <c r="H8194" i="34"/>
  <c r="H8195" i="34"/>
  <c r="H8196" i="34"/>
  <c r="H8197" i="34"/>
  <c r="H8198" i="34"/>
  <c r="H8199" i="34"/>
  <c r="H8200" i="34"/>
  <c r="H8201" i="34"/>
  <c r="H8202" i="34"/>
  <c r="H8203" i="34"/>
  <c r="H8204" i="34"/>
  <c r="H8205" i="34"/>
  <c r="H8206" i="34"/>
  <c r="H8207" i="34"/>
  <c r="H8208" i="34"/>
  <c r="H8209" i="34"/>
  <c r="H8210" i="34"/>
  <c r="H8211" i="34"/>
  <c r="H8212" i="34"/>
  <c r="H8213" i="34"/>
  <c r="H8214" i="34"/>
  <c r="H8215" i="34"/>
  <c r="H8216" i="34"/>
  <c r="H8217" i="34"/>
  <c r="H8218" i="34"/>
  <c r="H8219" i="34"/>
  <c r="H8220" i="34"/>
  <c r="H8221" i="34"/>
  <c r="H8222" i="34"/>
  <c r="H8223" i="34"/>
  <c r="H8224" i="34"/>
  <c r="H8225" i="34"/>
  <c r="H8226" i="34"/>
  <c r="H8227" i="34"/>
  <c r="H8228" i="34"/>
  <c r="H8229" i="34"/>
  <c r="H8230" i="34"/>
  <c r="H8231" i="34"/>
  <c r="H8232" i="34"/>
  <c r="H8233" i="34"/>
  <c r="H8234" i="34"/>
  <c r="H8235" i="34"/>
  <c r="H8236" i="34"/>
  <c r="H8237" i="34"/>
  <c r="H8238" i="34"/>
  <c r="H8239" i="34"/>
  <c r="H8240" i="34"/>
  <c r="H8241" i="34"/>
  <c r="H8242" i="34"/>
  <c r="H8243" i="34"/>
  <c r="H8244" i="34"/>
  <c r="H8245" i="34"/>
  <c r="H8246" i="34"/>
  <c r="H8247" i="34"/>
  <c r="H8248" i="34"/>
  <c r="H8249" i="34"/>
  <c r="H8250" i="34"/>
  <c r="H8251" i="34"/>
  <c r="H8252" i="34"/>
  <c r="H8253" i="34"/>
  <c r="H8254" i="34"/>
  <c r="H8255" i="34"/>
  <c r="H8256" i="34"/>
  <c r="H8257" i="34"/>
  <c r="H8258" i="34"/>
  <c r="H8259" i="34"/>
  <c r="H8260" i="34"/>
  <c r="H8261" i="34"/>
  <c r="H8262" i="34"/>
  <c r="H8263" i="34"/>
  <c r="H8264" i="34"/>
  <c r="H8265" i="34"/>
  <c r="H8266" i="34"/>
  <c r="H8267" i="34"/>
  <c r="H8268" i="34"/>
  <c r="H8269" i="34"/>
  <c r="H8270" i="34"/>
  <c r="H8271" i="34"/>
  <c r="H8272" i="34"/>
  <c r="H8273" i="34"/>
  <c r="H8274" i="34"/>
  <c r="H8275" i="34"/>
  <c r="H8276" i="34"/>
  <c r="H8277" i="34"/>
  <c r="H8278" i="34"/>
  <c r="H8279" i="34"/>
  <c r="H8280" i="34"/>
  <c r="H8281" i="34"/>
  <c r="H8282" i="34"/>
  <c r="H8283" i="34"/>
  <c r="H8284" i="34"/>
  <c r="H8285" i="34"/>
  <c r="H8286" i="34"/>
  <c r="H8287" i="34"/>
  <c r="H8288" i="34"/>
  <c r="H8289" i="34"/>
  <c r="H8290" i="34"/>
  <c r="H8291" i="34"/>
  <c r="H8292" i="34"/>
  <c r="H8293" i="34"/>
  <c r="H8294" i="34"/>
  <c r="H8295" i="34"/>
  <c r="H8296" i="34"/>
  <c r="H8297" i="34"/>
  <c r="H8298" i="34"/>
  <c r="H8299" i="34"/>
  <c r="H8300" i="34"/>
  <c r="H8301" i="34"/>
  <c r="H8302" i="34"/>
  <c r="H8303" i="34"/>
  <c r="H8304" i="34"/>
  <c r="H8305" i="34"/>
  <c r="H8306" i="34"/>
  <c r="H8307" i="34"/>
  <c r="H8308" i="34"/>
  <c r="H8309" i="34"/>
  <c r="H8310" i="34"/>
  <c r="H8311" i="34"/>
  <c r="H8312" i="34"/>
  <c r="H8313" i="34"/>
  <c r="H8314" i="34"/>
  <c r="H8315" i="34"/>
  <c r="H8316" i="34"/>
  <c r="H8317" i="34"/>
  <c r="H8318" i="34"/>
  <c r="H8319" i="34"/>
  <c r="H8320" i="34"/>
  <c r="H8321" i="34"/>
  <c r="H8322" i="34"/>
  <c r="H8323" i="34"/>
  <c r="H8324" i="34"/>
  <c r="H8325" i="34"/>
  <c r="H8326" i="34"/>
  <c r="H8327" i="34"/>
  <c r="H8328" i="34"/>
  <c r="H8329" i="34"/>
  <c r="H8330" i="34"/>
  <c r="H8331" i="34"/>
  <c r="H8332" i="34"/>
  <c r="H8333" i="34"/>
  <c r="H8334" i="34"/>
  <c r="H8335" i="34"/>
  <c r="H8336" i="34"/>
  <c r="H8337" i="34"/>
  <c r="H8338" i="34"/>
  <c r="H8339" i="34"/>
  <c r="H8340" i="34"/>
  <c r="H8341" i="34"/>
  <c r="H8342" i="34"/>
  <c r="H8343" i="34"/>
  <c r="H8344" i="34"/>
  <c r="H8345" i="34"/>
  <c r="H8346" i="34"/>
  <c r="H8347" i="34"/>
  <c r="H8348" i="34"/>
  <c r="H8349" i="34"/>
  <c r="H8350" i="34"/>
  <c r="H8351" i="34"/>
  <c r="H8352" i="34"/>
  <c r="H8353" i="34"/>
  <c r="H8354" i="34"/>
  <c r="H8355" i="34"/>
  <c r="H8356" i="34"/>
  <c r="H8357" i="34"/>
  <c r="H8358" i="34"/>
  <c r="H8359" i="34"/>
  <c r="H8360" i="34"/>
  <c r="H8361" i="34"/>
  <c r="H8362" i="34"/>
  <c r="H8363" i="34"/>
  <c r="H8364" i="34"/>
  <c r="H8365" i="34"/>
  <c r="H8366" i="34"/>
  <c r="H8367" i="34"/>
  <c r="H8368" i="34"/>
  <c r="H8369" i="34"/>
  <c r="H8370" i="34"/>
  <c r="H8371" i="34"/>
  <c r="H8372" i="34"/>
  <c r="H8373" i="34"/>
  <c r="H8374" i="34"/>
  <c r="H8375" i="34"/>
  <c r="H8376" i="34"/>
  <c r="H8377" i="34"/>
  <c r="H8378" i="34"/>
  <c r="H8379" i="34"/>
  <c r="H8380" i="34"/>
  <c r="H8381" i="34"/>
  <c r="H8382" i="34"/>
  <c r="H8383" i="34"/>
  <c r="H8384" i="34"/>
  <c r="H8385" i="34"/>
  <c r="H8386" i="34"/>
  <c r="H8387" i="34"/>
  <c r="H8388" i="34"/>
  <c r="H8389" i="34"/>
  <c r="H8390" i="34"/>
  <c r="H8391" i="34"/>
  <c r="H8392" i="34"/>
  <c r="H8393" i="34"/>
  <c r="H8394" i="34"/>
  <c r="H8395" i="34"/>
  <c r="H8396" i="34"/>
  <c r="H8397" i="34"/>
  <c r="H8398" i="34"/>
  <c r="H8399" i="34"/>
  <c r="H8400" i="34"/>
  <c r="H8401" i="34"/>
  <c r="H8402" i="34"/>
  <c r="H8403" i="34"/>
  <c r="H8404" i="34"/>
  <c r="H8405" i="34"/>
  <c r="H8406" i="34"/>
  <c r="H8407" i="34"/>
  <c r="H8408" i="34"/>
  <c r="H8409" i="34"/>
  <c r="H8410" i="34"/>
  <c r="H8411" i="34"/>
  <c r="H8412" i="34"/>
  <c r="H8413" i="34"/>
  <c r="H8414" i="34"/>
  <c r="H8415" i="34"/>
  <c r="H8416" i="34"/>
  <c r="H8417" i="34"/>
  <c r="H8418" i="34"/>
  <c r="H8419" i="34"/>
  <c r="H8420" i="34"/>
  <c r="H8421" i="34"/>
  <c r="H8422" i="34"/>
  <c r="H8423" i="34"/>
  <c r="H8424" i="34"/>
  <c r="H8425" i="34"/>
  <c r="H8426" i="34"/>
  <c r="H8427" i="34"/>
  <c r="H8428" i="34"/>
  <c r="H8429" i="34"/>
  <c r="H8430" i="34"/>
  <c r="H8431" i="34"/>
  <c r="H8432" i="34"/>
  <c r="H8433" i="34"/>
  <c r="H8434" i="34"/>
  <c r="H8435" i="34"/>
  <c r="H8436" i="34"/>
  <c r="H8437" i="34"/>
  <c r="H8438" i="34"/>
  <c r="H8439" i="34"/>
  <c r="H8440" i="34"/>
  <c r="H8441" i="34"/>
  <c r="H8442" i="34"/>
  <c r="H8443" i="34"/>
  <c r="H8444" i="34"/>
  <c r="H8445" i="34"/>
  <c r="H8446" i="34"/>
  <c r="H8447" i="34"/>
  <c r="H8448" i="34"/>
  <c r="H8449" i="34"/>
  <c r="H8450" i="34"/>
  <c r="H8451" i="34"/>
  <c r="H8452" i="34"/>
  <c r="H8453" i="34"/>
  <c r="H8454" i="34"/>
  <c r="H8455" i="34"/>
  <c r="H8456" i="34"/>
  <c r="H8457" i="34"/>
  <c r="H8458" i="34"/>
  <c r="H8459" i="34"/>
  <c r="H8460" i="34"/>
  <c r="H8461" i="34"/>
  <c r="H8462" i="34"/>
  <c r="H8463" i="34"/>
  <c r="H8464" i="34"/>
  <c r="H8465" i="34"/>
  <c r="H8466" i="34"/>
  <c r="H8467" i="34"/>
  <c r="H8468" i="34"/>
  <c r="H8469" i="34"/>
  <c r="H8470" i="34"/>
  <c r="H8471" i="34"/>
  <c r="H8472" i="34"/>
  <c r="H8473" i="34"/>
  <c r="H8474" i="34"/>
  <c r="H8475" i="34"/>
  <c r="H8476" i="34"/>
  <c r="H8477" i="34"/>
  <c r="H8478" i="34"/>
  <c r="H8479" i="34"/>
  <c r="H8480" i="34"/>
  <c r="H8481" i="34"/>
  <c r="H8482" i="34"/>
  <c r="H8483" i="34"/>
  <c r="H8484" i="34"/>
  <c r="H8485" i="34"/>
  <c r="H8486" i="34"/>
  <c r="H8487" i="34"/>
  <c r="H8488" i="34"/>
  <c r="H8489" i="34"/>
  <c r="H8490" i="34"/>
  <c r="H8491" i="34"/>
  <c r="H8492" i="34"/>
  <c r="H8493" i="34"/>
  <c r="H8494" i="34"/>
  <c r="H8495" i="34"/>
  <c r="H8496" i="34"/>
  <c r="H8497" i="34"/>
  <c r="H8498" i="34"/>
  <c r="H8499" i="34"/>
  <c r="H8500" i="34"/>
  <c r="H8501" i="34"/>
  <c r="H8502" i="34"/>
  <c r="H8503" i="34"/>
  <c r="H8504" i="34"/>
  <c r="H8505" i="34"/>
  <c r="H8506" i="34"/>
  <c r="H8507" i="34"/>
  <c r="H8508" i="34"/>
  <c r="H8509" i="34"/>
  <c r="H8510" i="34"/>
  <c r="H8511" i="34"/>
  <c r="H8512" i="34"/>
  <c r="H8513" i="34"/>
  <c r="H8514" i="34"/>
  <c r="H8515" i="34"/>
  <c r="H8516" i="34"/>
  <c r="H8517" i="34"/>
  <c r="H8518" i="34"/>
  <c r="H8519" i="34"/>
  <c r="H8520" i="34"/>
  <c r="H8521" i="34"/>
  <c r="H8522" i="34"/>
  <c r="H8523" i="34"/>
  <c r="H8524" i="34"/>
  <c r="H8525" i="34"/>
  <c r="H8526" i="34"/>
  <c r="H8527" i="34"/>
  <c r="H8528" i="34"/>
  <c r="H8529" i="34"/>
  <c r="H8530" i="34"/>
  <c r="H8531" i="34"/>
  <c r="H8532" i="34"/>
  <c r="H8533" i="34"/>
  <c r="H8534" i="34"/>
  <c r="H8535" i="34"/>
  <c r="H8536" i="34"/>
  <c r="H8537" i="34"/>
  <c r="H8538" i="34"/>
  <c r="H8539" i="34"/>
  <c r="H8540" i="34"/>
  <c r="H8541" i="34"/>
  <c r="H8542" i="34"/>
  <c r="H8543" i="34"/>
  <c r="H8544" i="34"/>
  <c r="H8545" i="34"/>
  <c r="H8546" i="34"/>
  <c r="H8547" i="34"/>
  <c r="H8548" i="34"/>
  <c r="H8549" i="34"/>
  <c r="H8550" i="34"/>
  <c r="H8551" i="34"/>
  <c r="H8552" i="34"/>
  <c r="H8553" i="34"/>
  <c r="H8554" i="34"/>
  <c r="H8555" i="34"/>
  <c r="H8556" i="34"/>
  <c r="H8557" i="34"/>
  <c r="H8558" i="34"/>
  <c r="H8559" i="34"/>
  <c r="H8560" i="34"/>
  <c r="H8561" i="34"/>
  <c r="H8562" i="34"/>
  <c r="H8563" i="34"/>
  <c r="H8564" i="34"/>
  <c r="H8565" i="34"/>
  <c r="H8566" i="34"/>
  <c r="H8567" i="34"/>
  <c r="H8568" i="34"/>
  <c r="H8569" i="34"/>
  <c r="H8570" i="34"/>
  <c r="H8571" i="34"/>
  <c r="H8572" i="34"/>
  <c r="H8573" i="34"/>
  <c r="H8574" i="34"/>
  <c r="H8575" i="34"/>
  <c r="H8576" i="34"/>
  <c r="H8577" i="34"/>
  <c r="H8578" i="34"/>
  <c r="H8579" i="34"/>
  <c r="H8580" i="34"/>
  <c r="H8581" i="34"/>
  <c r="H8582" i="34"/>
  <c r="H8583" i="34"/>
  <c r="H8584" i="34"/>
  <c r="H8585" i="34"/>
  <c r="H8586" i="34"/>
  <c r="H8587" i="34"/>
  <c r="H8588" i="34"/>
  <c r="H8589" i="34"/>
  <c r="H8590" i="34"/>
  <c r="H8591" i="34"/>
  <c r="H8592" i="34"/>
  <c r="H8593" i="34"/>
  <c r="H8594" i="34"/>
  <c r="H8595" i="34"/>
  <c r="H8596" i="34"/>
  <c r="H8597" i="34"/>
  <c r="H8598" i="34"/>
  <c r="H8599" i="34"/>
  <c r="H8600" i="34"/>
  <c r="H8601" i="34"/>
  <c r="H8602" i="34"/>
  <c r="H8603" i="34"/>
  <c r="H8604" i="34"/>
  <c r="H8605" i="34"/>
  <c r="H8606" i="34"/>
  <c r="H8607" i="34"/>
  <c r="H8608" i="34"/>
  <c r="H8609" i="34"/>
  <c r="H8610" i="34"/>
  <c r="H8611" i="34"/>
  <c r="H8612" i="34"/>
  <c r="H8613" i="34"/>
  <c r="H8614" i="34"/>
  <c r="H8615" i="34"/>
  <c r="H8616" i="34"/>
  <c r="H8617" i="34"/>
  <c r="H8618" i="34"/>
  <c r="H8619" i="34"/>
  <c r="H8620" i="34"/>
  <c r="H8621" i="34"/>
  <c r="H8622" i="34"/>
  <c r="H8623" i="34"/>
  <c r="H8624" i="34"/>
  <c r="H8625" i="34"/>
  <c r="H8626" i="34"/>
  <c r="H8627" i="34"/>
  <c r="H8628" i="34"/>
  <c r="H8629" i="34"/>
  <c r="H8630" i="34"/>
  <c r="H8631" i="34"/>
  <c r="H8632" i="34"/>
  <c r="H8633" i="34"/>
  <c r="H8634" i="34"/>
  <c r="H8635" i="34"/>
  <c r="H8636" i="34"/>
  <c r="H8637" i="34"/>
  <c r="H8638" i="34"/>
  <c r="H8639" i="34"/>
  <c r="H8640" i="34"/>
  <c r="H8641" i="34"/>
  <c r="H8642" i="34"/>
  <c r="H8643" i="34"/>
  <c r="H8644" i="34"/>
  <c r="H8645" i="34"/>
  <c r="H8646" i="34"/>
  <c r="H8647" i="34"/>
  <c r="H8648" i="34"/>
  <c r="H8649" i="34"/>
  <c r="H8650" i="34"/>
  <c r="H8651" i="34"/>
  <c r="H8652" i="34"/>
  <c r="H8653" i="34"/>
  <c r="H8654" i="34"/>
  <c r="H8655" i="34"/>
  <c r="H8656" i="34"/>
  <c r="H8657" i="34"/>
  <c r="H8658" i="34"/>
  <c r="H8659" i="34"/>
  <c r="H8660" i="34"/>
  <c r="H8661" i="34"/>
  <c r="H8662" i="34"/>
  <c r="H8663" i="34"/>
  <c r="H8664" i="34"/>
  <c r="H8665" i="34"/>
  <c r="H8666" i="34"/>
  <c r="H8667" i="34"/>
  <c r="H8668" i="34"/>
  <c r="H8669" i="34"/>
  <c r="H8670" i="34"/>
  <c r="H8671" i="34"/>
  <c r="H8672" i="34"/>
  <c r="H8673" i="34"/>
  <c r="H8674" i="34"/>
  <c r="H8675" i="34"/>
  <c r="H8676" i="34"/>
  <c r="H8677" i="34"/>
  <c r="H8678" i="34"/>
  <c r="H8679" i="34"/>
  <c r="H8680" i="34"/>
  <c r="H8681" i="34"/>
  <c r="H8682" i="34"/>
  <c r="H8683" i="34"/>
  <c r="H8684" i="34"/>
  <c r="H8685" i="34"/>
  <c r="H8686" i="34"/>
  <c r="H8687" i="34"/>
  <c r="H8688" i="34"/>
  <c r="H8689" i="34"/>
  <c r="H8690" i="34"/>
  <c r="H8691" i="34"/>
  <c r="H8692" i="34"/>
  <c r="H8693" i="34"/>
  <c r="H8694" i="34"/>
  <c r="H8695" i="34"/>
  <c r="H8696" i="34"/>
  <c r="H8697" i="34"/>
  <c r="H8698" i="34"/>
  <c r="H8699" i="34"/>
  <c r="H8700" i="34"/>
  <c r="H8701" i="34"/>
  <c r="H8702" i="34"/>
  <c r="H8703" i="34"/>
  <c r="H8704" i="34"/>
  <c r="H8705" i="34"/>
  <c r="H8706" i="34"/>
  <c r="H8707" i="34"/>
  <c r="H8708" i="34"/>
  <c r="H8709" i="34"/>
  <c r="H8710" i="34"/>
  <c r="H8711" i="34"/>
  <c r="H8712" i="34"/>
  <c r="H8713" i="34"/>
  <c r="H8714" i="34"/>
  <c r="H8715" i="34"/>
  <c r="H8716" i="34"/>
  <c r="H8717" i="34"/>
  <c r="H8718" i="34"/>
  <c r="H8719" i="34"/>
  <c r="H8720" i="34"/>
  <c r="H8721" i="34"/>
  <c r="H8722" i="34"/>
  <c r="H8723" i="34"/>
  <c r="H8724" i="34"/>
  <c r="H8725" i="34"/>
  <c r="H8726" i="34"/>
  <c r="H8727" i="34"/>
  <c r="H8728" i="34"/>
  <c r="H8729" i="34"/>
  <c r="H8730" i="34"/>
  <c r="H8731" i="34"/>
  <c r="H8732" i="34"/>
  <c r="H8733" i="34"/>
  <c r="H8734" i="34"/>
  <c r="H8735" i="34"/>
  <c r="H8736" i="34"/>
  <c r="H8737" i="34"/>
  <c r="H8738" i="34"/>
  <c r="H8739" i="34"/>
  <c r="H8740" i="34"/>
  <c r="H8741" i="34"/>
  <c r="H8742" i="34"/>
  <c r="H8743" i="34"/>
  <c r="H8744" i="34"/>
  <c r="H8745" i="34"/>
  <c r="H8746" i="34"/>
  <c r="H8747" i="34"/>
  <c r="H8748" i="34"/>
  <c r="H8749" i="34"/>
  <c r="H8750" i="34"/>
  <c r="H8751" i="34"/>
  <c r="H8752" i="34"/>
  <c r="H8753" i="34"/>
  <c r="H8754" i="34"/>
  <c r="H8755" i="34"/>
  <c r="H8756" i="34"/>
  <c r="H8757" i="34"/>
  <c r="H8758" i="34"/>
  <c r="H8759" i="34"/>
  <c r="H8760" i="34"/>
  <c r="H8761" i="34"/>
  <c r="H8762" i="34"/>
  <c r="H8763" i="34"/>
  <c r="H8764" i="34"/>
  <c r="H8765" i="34"/>
  <c r="H8766" i="34"/>
  <c r="H8767" i="34"/>
  <c r="H8768" i="34"/>
  <c r="H8769" i="34"/>
  <c r="H8770" i="34"/>
  <c r="H8771" i="34"/>
  <c r="H8772" i="34"/>
  <c r="H8773" i="34"/>
  <c r="H8774" i="34"/>
  <c r="H8775" i="34"/>
  <c r="H8776" i="34"/>
  <c r="H8777" i="34"/>
  <c r="H8778" i="34"/>
  <c r="H8779" i="34"/>
  <c r="H8780" i="34"/>
  <c r="H8781" i="34"/>
  <c r="H8782" i="34"/>
  <c r="H8783" i="34"/>
  <c r="H8784" i="34"/>
  <c r="H8785" i="34"/>
  <c r="H8786" i="34"/>
  <c r="H8787" i="34"/>
  <c r="H8788" i="34"/>
  <c r="H8789" i="34"/>
  <c r="H8790" i="34"/>
  <c r="H8791" i="34"/>
  <c r="H8792" i="34"/>
  <c r="H8793" i="34"/>
  <c r="H8794" i="34"/>
  <c r="H8795" i="34"/>
  <c r="H8796" i="34"/>
  <c r="H8797" i="34"/>
  <c r="H8798" i="34"/>
  <c r="H8799" i="34"/>
  <c r="H8800" i="34"/>
  <c r="H8801" i="34"/>
  <c r="H8802" i="34"/>
  <c r="H8803" i="34"/>
  <c r="H8804" i="34"/>
  <c r="H8805" i="34"/>
  <c r="H8806" i="34"/>
  <c r="H8807" i="34"/>
  <c r="H8808" i="34"/>
  <c r="H8809" i="34"/>
  <c r="H8810" i="34"/>
  <c r="H8811" i="34"/>
  <c r="H8812" i="34"/>
  <c r="H8813" i="34"/>
  <c r="H8814" i="34"/>
  <c r="H8815" i="34"/>
  <c r="H8816" i="34"/>
  <c r="H8817" i="34"/>
  <c r="H8818" i="34"/>
  <c r="H8819" i="34"/>
  <c r="H8820" i="34"/>
  <c r="H8821" i="34"/>
  <c r="H8822" i="34"/>
  <c r="H8823" i="34"/>
  <c r="H8824" i="34"/>
  <c r="H8825" i="34"/>
  <c r="H8826" i="34"/>
  <c r="H8827" i="34"/>
  <c r="H8828" i="34"/>
  <c r="H8829" i="34"/>
  <c r="H8830" i="34"/>
  <c r="H8831" i="34"/>
  <c r="H8832" i="34"/>
  <c r="H8833" i="34"/>
  <c r="H8834" i="34"/>
  <c r="H8835" i="34"/>
  <c r="H8836" i="34"/>
  <c r="H8837" i="34"/>
  <c r="H8838" i="34"/>
  <c r="H8839" i="34"/>
  <c r="H8840" i="34"/>
  <c r="H8841" i="34"/>
  <c r="H8842" i="34"/>
  <c r="H8843" i="34"/>
  <c r="H8844" i="34"/>
  <c r="H8845" i="34"/>
  <c r="H8846" i="34"/>
  <c r="H8847" i="34"/>
  <c r="H8848" i="34"/>
  <c r="H8849" i="34"/>
  <c r="H8850" i="34"/>
  <c r="H8851" i="34"/>
  <c r="H8852" i="34"/>
  <c r="H8853" i="34"/>
  <c r="H8854" i="34"/>
  <c r="H8855" i="34"/>
  <c r="H8856" i="34"/>
  <c r="H8857" i="34"/>
  <c r="H8858" i="34"/>
  <c r="H8859" i="34"/>
  <c r="H8860" i="34"/>
  <c r="H8861" i="34"/>
  <c r="H8862" i="34"/>
  <c r="H8863" i="34"/>
  <c r="H8864" i="34"/>
  <c r="H8865" i="34"/>
  <c r="H8866" i="34"/>
  <c r="H8867" i="34"/>
  <c r="H8868" i="34"/>
  <c r="H8869" i="34"/>
  <c r="H8870" i="34"/>
  <c r="H8871" i="34"/>
  <c r="H8872" i="34"/>
  <c r="H8873" i="34"/>
  <c r="H8874" i="34"/>
  <c r="H8875" i="34"/>
  <c r="H8876" i="34"/>
  <c r="H8877" i="34"/>
  <c r="H8878" i="34"/>
  <c r="H8879" i="34"/>
  <c r="H8880" i="34"/>
  <c r="H8881" i="34"/>
  <c r="H8882" i="34"/>
  <c r="H8883" i="34"/>
  <c r="H8884" i="34"/>
  <c r="H8885" i="34"/>
  <c r="H8886" i="34"/>
  <c r="H8887" i="34"/>
  <c r="H8888" i="34"/>
  <c r="H8889" i="34"/>
  <c r="H8890" i="34"/>
  <c r="H8891" i="34"/>
  <c r="H8892" i="34"/>
  <c r="H8893" i="34"/>
  <c r="H8894" i="34"/>
  <c r="H8895" i="34"/>
  <c r="H8896" i="34"/>
  <c r="H8897" i="34"/>
  <c r="H8898" i="34"/>
  <c r="H8899" i="34"/>
  <c r="H8900" i="34"/>
  <c r="H8901" i="34"/>
  <c r="H8902" i="34"/>
  <c r="H8903" i="34"/>
  <c r="H8904" i="34"/>
  <c r="H8905" i="34"/>
  <c r="H8906" i="34"/>
  <c r="H8907" i="34"/>
  <c r="H8908" i="34"/>
  <c r="H8909" i="34"/>
  <c r="H8910" i="34"/>
  <c r="H8911" i="34"/>
  <c r="H8912" i="34"/>
  <c r="H8913" i="34"/>
  <c r="H8914" i="34"/>
  <c r="H8915" i="34"/>
  <c r="H8916" i="34"/>
  <c r="H8917" i="34"/>
  <c r="H8918" i="34"/>
  <c r="H8919" i="34"/>
  <c r="H8920" i="34"/>
  <c r="H8921" i="34"/>
  <c r="H8922" i="34"/>
  <c r="H8923" i="34"/>
  <c r="H8924" i="34"/>
  <c r="H8925" i="34"/>
  <c r="H8926" i="34"/>
  <c r="H8927" i="34"/>
  <c r="H8928" i="34"/>
  <c r="H8929" i="34"/>
  <c r="H8930" i="34"/>
  <c r="H8931" i="34"/>
  <c r="H8932" i="34"/>
  <c r="H8933" i="34"/>
  <c r="H8934" i="34"/>
  <c r="H8935" i="34"/>
  <c r="H8936" i="34"/>
  <c r="H8937" i="34"/>
  <c r="H8938" i="34"/>
  <c r="H8939" i="34"/>
  <c r="H8940" i="34"/>
  <c r="H8941" i="34"/>
  <c r="H8942" i="34"/>
  <c r="H8943" i="34"/>
  <c r="H8944" i="34"/>
  <c r="H8945" i="34"/>
  <c r="H8946" i="34"/>
  <c r="H8947" i="34"/>
  <c r="H8948" i="34"/>
  <c r="H8949" i="34"/>
  <c r="H8950" i="34"/>
  <c r="H8951" i="34"/>
  <c r="H8952" i="34"/>
  <c r="H8953" i="34"/>
  <c r="H8954" i="34"/>
  <c r="H8955" i="34"/>
  <c r="H8956" i="34"/>
  <c r="H8957" i="34"/>
  <c r="H8958" i="34"/>
  <c r="H8959" i="34"/>
  <c r="H8960" i="34"/>
  <c r="H8961" i="34"/>
  <c r="H8962" i="34"/>
  <c r="H8963" i="34"/>
  <c r="H8964" i="34"/>
  <c r="H8965" i="34"/>
  <c r="H8966" i="34"/>
  <c r="H8967" i="34"/>
  <c r="H8968" i="34"/>
  <c r="H8969" i="34"/>
  <c r="H8970" i="34"/>
  <c r="H8971" i="34"/>
  <c r="H8972" i="34"/>
  <c r="H8973" i="34"/>
  <c r="H8974" i="34"/>
  <c r="H8975" i="34"/>
  <c r="H8976" i="34"/>
  <c r="H8977" i="34"/>
  <c r="H8978" i="34"/>
  <c r="H8979" i="34"/>
  <c r="H8980" i="34"/>
  <c r="H8981" i="34"/>
  <c r="H8982" i="34"/>
  <c r="H8983" i="34"/>
  <c r="H8984" i="34"/>
  <c r="H8985" i="34"/>
  <c r="H8986" i="34"/>
  <c r="H8987" i="34"/>
  <c r="H8988" i="34"/>
  <c r="H8989" i="34"/>
  <c r="H8990" i="34"/>
  <c r="H8991" i="34"/>
  <c r="H8992" i="34"/>
  <c r="H8993" i="34"/>
  <c r="H8994" i="34"/>
  <c r="H8995" i="34"/>
  <c r="H8996" i="34"/>
  <c r="H8997" i="34"/>
  <c r="H8998" i="34"/>
  <c r="H8999" i="34"/>
  <c r="H9000" i="34"/>
  <c r="H9001" i="34"/>
  <c r="H9002" i="34"/>
  <c r="H9003" i="34"/>
  <c r="H9004" i="34"/>
  <c r="H9005" i="34"/>
  <c r="H9006" i="34"/>
  <c r="H9007" i="34"/>
  <c r="H9008" i="34"/>
  <c r="H9009" i="34"/>
  <c r="H9010" i="34"/>
  <c r="H9011" i="34"/>
  <c r="H9012" i="34"/>
  <c r="H9013" i="34"/>
  <c r="H9014" i="34"/>
  <c r="H9015" i="34"/>
  <c r="H9016" i="34"/>
  <c r="H9017" i="34"/>
  <c r="H9018" i="34"/>
  <c r="H9019" i="34"/>
  <c r="H9020" i="34"/>
  <c r="H9021" i="34"/>
  <c r="H9022" i="34"/>
  <c r="H9023" i="34"/>
  <c r="H9024" i="34"/>
  <c r="H9025" i="34"/>
  <c r="H9026" i="34"/>
  <c r="H9027" i="34"/>
  <c r="H9028" i="34"/>
  <c r="H9029" i="34"/>
  <c r="H9030" i="34"/>
  <c r="H9031" i="34"/>
  <c r="H9032" i="34"/>
  <c r="H9033" i="34"/>
  <c r="H9034" i="34"/>
  <c r="H9035" i="34"/>
  <c r="H9036" i="34"/>
  <c r="H9037" i="34"/>
  <c r="H9038" i="34"/>
  <c r="H9039" i="34"/>
  <c r="H9040" i="34"/>
  <c r="H9041" i="34"/>
  <c r="H9042" i="34"/>
  <c r="H9043" i="34"/>
  <c r="H9044" i="34"/>
  <c r="H9045" i="34"/>
  <c r="H9046" i="34"/>
  <c r="H9047" i="34"/>
  <c r="H9048" i="34"/>
  <c r="H9049" i="34"/>
  <c r="H9050" i="34"/>
  <c r="H9051" i="34"/>
  <c r="H9052" i="34"/>
  <c r="H9053" i="34"/>
  <c r="H9054" i="34"/>
  <c r="H9055" i="34"/>
  <c r="H9056" i="34"/>
  <c r="H9057" i="34"/>
  <c r="H9058" i="34"/>
  <c r="H9059" i="34"/>
  <c r="H9060" i="34"/>
  <c r="H9061" i="34"/>
  <c r="H9062" i="34"/>
  <c r="H9063" i="34"/>
  <c r="H9064" i="34"/>
  <c r="H9065" i="34"/>
  <c r="H9066" i="34"/>
  <c r="H9067" i="34"/>
  <c r="H9068" i="34"/>
  <c r="H9069" i="34"/>
  <c r="H9070" i="34"/>
  <c r="H9071" i="34"/>
  <c r="H9072" i="34"/>
  <c r="H9073" i="34"/>
  <c r="H9074" i="34"/>
  <c r="H9075" i="34"/>
  <c r="H9076" i="34"/>
  <c r="H9077" i="34"/>
  <c r="H9078" i="34"/>
  <c r="H9079" i="34"/>
  <c r="H9080" i="34"/>
  <c r="H9081" i="34"/>
  <c r="H9082" i="34"/>
  <c r="H9083" i="34"/>
  <c r="H9084" i="34"/>
  <c r="H9085" i="34"/>
  <c r="H9086" i="34"/>
  <c r="H9087" i="34"/>
  <c r="H9088" i="34"/>
  <c r="H9089" i="34"/>
  <c r="H9090" i="34"/>
  <c r="H9091" i="34"/>
  <c r="H9092" i="34"/>
  <c r="H9093" i="34"/>
  <c r="H9094" i="34"/>
  <c r="H9095" i="34"/>
  <c r="H9096" i="34"/>
  <c r="H9097" i="34"/>
  <c r="H9098" i="34"/>
  <c r="H9099" i="34"/>
  <c r="H9100" i="34"/>
  <c r="H9101" i="34"/>
  <c r="H9102" i="34"/>
  <c r="H9103" i="34"/>
  <c r="H9104" i="34"/>
  <c r="H9105" i="34"/>
  <c r="H9106" i="34"/>
  <c r="H9107" i="34"/>
  <c r="H9108" i="34"/>
  <c r="H9109" i="34"/>
  <c r="H9110" i="34"/>
  <c r="H9111" i="34"/>
  <c r="H9112" i="34"/>
  <c r="H9113" i="34"/>
  <c r="H9114" i="34"/>
  <c r="H9115" i="34"/>
  <c r="H9116" i="34"/>
  <c r="H9117" i="34"/>
  <c r="H9118" i="34"/>
  <c r="H9119" i="34"/>
  <c r="H9120" i="34"/>
  <c r="H9121" i="34"/>
  <c r="H9122" i="34"/>
  <c r="H9123" i="34"/>
  <c r="H9124" i="34"/>
  <c r="H9125" i="34"/>
  <c r="H9126" i="34"/>
  <c r="H9127" i="34"/>
  <c r="H9128" i="34"/>
  <c r="H9129" i="34"/>
  <c r="H9130" i="34"/>
  <c r="H9131" i="34"/>
  <c r="H9132" i="34"/>
  <c r="H9133" i="34"/>
  <c r="H9134" i="34"/>
  <c r="H9135" i="34"/>
  <c r="H9136" i="34"/>
  <c r="H9137" i="34"/>
  <c r="H9138" i="34"/>
  <c r="H9139" i="34"/>
  <c r="H9140" i="34"/>
  <c r="H9141" i="34"/>
  <c r="H9142" i="34"/>
  <c r="H9143" i="34"/>
  <c r="H9144" i="34"/>
  <c r="H9145" i="34"/>
  <c r="H9146" i="34"/>
  <c r="H9147" i="34"/>
  <c r="H9148" i="34"/>
  <c r="H9149" i="34"/>
  <c r="H9150" i="34"/>
  <c r="H9151" i="34"/>
  <c r="H9152" i="34"/>
  <c r="H9153" i="34"/>
  <c r="H9154" i="34"/>
  <c r="H9155" i="34"/>
  <c r="H9156" i="34"/>
  <c r="H9157" i="34"/>
  <c r="H9158" i="34"/>
  <c r="H9159" i="34"/>
  <c r="H9160" i="34"/>
  <c r="H9161" i="34"/>
  <c r="H9162" i="34"/>
  <c r="H9163" i="34"/>
  <c r="H9164" i="34"/>
  <c r="H9165" i="34"/>
  <c r="H9166" i="34"/>
  <c r="H9167" i="34"/>
  <c r="H9168" i="34"/>
  <c r="H9169" i="34"/>
  <c r="H9170" i="34"/>
  <c r="H9171" i="34"/>
  <c r="H9172" i="34"/>
  <c r="H9173" i="34"/>
  <c r="H9174" i="34"/>
  <c r="H9175" i="34"/>
  <c r="H9176" i="34"/>
  <c r="H9177" i="34"/>
  <c r="H9178" i="34"/>
  <c r="H9179" i="34"/>
  <c r="H9180" i="34"/>
  <c r="H9181" i="34"/>
  <c r="H9182" i="34"/>
  <c r="H9183" i="34"/>
  <c r="H9184" i="34"/>
  <c r="H9185" i="34"/>
  <c r="H9186" i="34"/>
  <c r="H9187" i="34"/>
  <c r="H9188" i="34"/>
  <c r="H9189" i="34"/>
  <c r="H9190" i="34"/>
  <c r="H9191" i="34"/>
  <c r="H9192" i="34"/>
  <c r="H9193" i="34"/>
  <c r="H9194" i="34"/>
  <c r="H9195" i="34"/>
  <c r="H9196" i="34"/>
  <c r="H9197" i="34"/>
  <c r="H9198" i="34"/>
  <c r="H9199" i="34"/>
  <c r="H9200" i="34"/>
  <c r="H9201" i="34"/>
  <c r="H9202" i="34"/>
  <c r="H9203" i="34"/>
  <c r="H9204" i="34"/>
  <c r="H9205" i="34"/>
  <c r="H9206" i="34"/>
  <c r="H9207" i="34"/>
  <c r="H9208" i="34"/>
  <c r="H9209" i="34"/>
  <c r="H9210" i="34"/>
  <c r="H9211" i="34"/>
  <c r="H9212" i="34"/>
  <c r="H9213" i="34"/>
  <c r="H9214" i="34"/>
  <c r="H9215" i="34"/>
  <c r="H9216" i="34"/>
  <c r="H9217" i="34"/>
  <c r="H9218" i="34"/>
  <c r="H9219" i="34"/>
  <c r="H9220" i="34"/>
  <c r="H9221" i="34"/>
  <c r="H9222" i="34"/>
  <c r="H9223" i="34"/>
  <c r="H9224" i="34"/>
  <c r="H9225" i="34"/>
  <c r="H9226" i="34"/>
  <c r="H9227" i="34"/>
  <c r="H9228" i="34"/>
  <c r="H9229" i="34"/>
  <c r="H9230" i="34"/>
  <c r="H9231" i="34"/>
  <c r="H9232" i="34"/>
  <c r="H9233" i="34"/>
  <c r="H9234" i="34"/>
  <c r="H9235" i="34"/>
  <c r="H9236" i="34"/>
  <c r="H9237" i="34"/>
  <c r="H9238" i="34"/>
  <c r="H9239" i="34"/>
  <c r="H9240" i="34"/>
  <c r="H9241" i="34"/>
  <c r="H9242" i="34"/>
  <c r="H9243" i="34"/>
  <c r="H9244" i="34"/>
  <c r="H9245" i="34"/>
  <c r="H9246" i="34"/>
  <c r="H9247" i="34"/>
  <c r="H9248" i="34"/>
  <c r="H9249" i="34"/>
  <c r="H9250" i="34"/>
  <c r="H9251" i="34"/>
  <c r="H9252" i="34"/>
  <c r="H9253" i="34"/>
  <c r="H9254" i="34"/>
  <c r="H9255" i="34"/>
  <c r="H9256" i="34"/>
  <c r="H9257" i="34"/>
  <c r="H9258" i="34"/>
  <c r="H9259" i="34"/>
  <c r="H9260" i="34"/>
  <c r="H9261" i="34"/>
  <c r="H9262" i="34"/>
  <c r="H9263" i="34"/>
  <c r="H9264" i="34"/>
  <c r="H9265" i="34"/>
  <c r="H9266" i="34"/>
  <c r="H9267" i="34"/>
  <c r="H9268" i="34"/>
  <c r="H9269" i="34"/>
  <c r="H9270" i="34"/>
  <c r="H9271" i="34"/>
  <c r="H9272" i="34"/>
  <c r="H9273" i="34"/>
  <c r="H9274" i="34"/>
  <c r="H9275" i="34"/>
  <c r="H9276" i="34"/>
  <c r="H9277" i="34"/>
  <c r="H9278" i="34"/>
  <c r="H9279" i="34"/>
  <c r="H9280" i="34"/>
  <c r="H9281" i="34"/>
  <c r="H9282" i="34"/>
  <c r="H9283" i="34"/>
  <c r="H9284" i="34"/>
  <c r="H9285" i="34"/>
  <c r="H9286" i="34"/>
  <c r="H9287" i="34"/>
  <c r="H9288" i="34"/>
  <c r="H9289" i="34"/>
  <c r="H9290" i="34"/>
  <c r="H9291" i="34"/>
  <c r="H9292" i="34"/>
  <c r="H9293" i="34"/>
  <c r="H9294" i="34"/>
  <c r="H9295" i="34"/>
  <c r="H9296" i="34"/>
  <c r="H9297" i="34"/>
  <c r="H9298" i="34"/>
  <c r="H9299" i="34"/>
  <c r="H9300" i="34"/>
  <c r="H9301" i="34"/>
  <c r="H9302" i="34"/>
  <c r="H9303" i="34"/>
  <c r="H9304" i="34"/>
  <c r="H9305" i="34"/>
  <c r="H9306" i="34"/>
  <c r="H9307" i="34"/>
  <c r="H9308" i="34"/>
  <c r="H9309" i="34"/>
  <c r="H9310" i="34"/>
  <c r="H9311" i="34"/>
  <c r="H9312" i="34"/>
  <c r="H9313" i="34"/>
  <c r="H9314" i="34"/>
  <c r="H9315" i="34"/>
  <c r="H9316" i="34"/>
  <c r="H9317" i="34"/>
  <c r="H9318" i="34"/>
  <c r="H9319" i="34"/>
  <c r="H9320" i="34"/>
  <c r="H9321" i="34"/>
  <c r="H9322" i="34"/>
  <c r="H9323" i="34"/>
  <c r="H9324" i="34"/>
  <c r="H9325" i="34"/>
  <c r="H9326" i="34"/>
  <c r="H9327" i="34"/>
  <c r="H9328" i="34"/>
  <c r="H9329" i="34"/>
  <c r="H9330" i="34"/>
  <c r="H9331" i="34"/>
  <c r="H9332" i="34"/>
  <c r="H9333" i="34"/>
  <c r="H9334" i="34"/>
  <c r="H9335" i="34"/>
  <c r="H9336" i="34"/>
  <c r="H9337" i="34"/>
  <c r="H9338" i="34"/>
  <c r="H9339" i="34"/>
  <c r="H9340" i="34"/>
  <c r="H9341" i="34"/>
  <c r="H9342" i="34"/>
  <c r="H9343" i="34"/>
  <c r="H9344" i="34"/>
  <c r="H9345" i="34"/>
  <c r="H9346" i="34"/>
  <c r="H9347" i="34"/>
  <c r="H9348" i="34"/>
  <c r="H9349" i="34"/>
  <c r="H9350" i="34"/>
  <c r="H9351" i="34"/>
  <c r="H9352" i="34"/>
  <c r="H9353" i="34"/>
  <c r="H9354" i="34"/>
  <c r="H9355" i="34"/>
  <c r="H9356" i="34"/>
  <c r="H9357" i="34"/>
  <c r="H9358" i="34"/>
  <c r="H9359" i="34"/>
  <c r="H9360" i="34"/>
  <c r="H9361" i="34"/>
  <c r="H9362" i="34"/>
  <c r="H9363" i="34"/>
  <c r="H9364" i="34"/>
  <c r="H9365" i="34"/>
  <c r="H9366" i="34"/>
  <c r="H9367" i="34"/>
  <c r="H9368" i="34"/>
  <c r="H9369" i="34"/>
  <c r="H9370" i="34"/>
  <c r="H9371" i="34"/>
  <c r="H9372" i="34"/>
  <c r="H9373" i="34"/>
  <c r="H9374" i="34"/>
  <c r="H9375" i="34"/>
  <c r="H9376" i="34"/>
  <c r="H9377" i="34"/>
  <c r="H9378" i="34"/>
  <c r="H9379" i="34"/>
  <c r="H9380" i="34"/>
  <c r="H9381" i="34"/>
  <c r="H9382" i="34"/>
  <c r="H9383" i="34"/>
  <c r="H9384" i="34"/>
  <c r="H9385" i="34"/>
  <c r="H9386" i="34"/>
  <c r="H9387" i="34"/>
  <c r="H9388" i="34"/>
  <c r="H9389" i="34"/>
  <c r="H9390" i="34"/>
  <c r="H9391" i="34"/>
  <c r="H9392" i="34"/>
  <c r="H9393" i="34"/>
  <c r="H9394" i="34"/>
  <c r="H9395" i="34"/>
  <c r="H9396" i="34"/>
  <c r="H9397" i="34"/>
  <c r="H9398" i="34"/>
  <c r="H9399" i="34"/>
  <c r="H9400" i="34"/>
  <c r="H9401" i="34"/>
  <c r="H9402" i="34"/>
  <c r="H9403" i="34"/>
  <c r="H9404" i="34"/>
  <c r="H9405" i="34"/>
  <c r="H9406" i="34"/>
  <c r="H9407" i="34"/>
  <c r="H9408" i="34"/>
  <c r="H9409" i="34"/>
  <c r="H9410" i="34"/>
  <c r="H9411" i="34"/>
  <c r="H9412" i="34"/>
  <c r="H9413" i="34"/>
  <c r="H9414" i="34"/>
  <c r="H9415" i="34"/>
  <c r="H9416" i="34"/>
  <c r="H9417" i="34"/>
  <c r="H9418" i="34"/>
  <c r="H9419" i="34"/>
  <c r="H9420" i="34"/>
  <c r="H9421" i="34"/>
  <c r="H9422" i="34"/>
  <c r="H9423" i="34"/>
  <c r="H9424" i="34"/>
  <c r="H9425" i="34"/>
  <c r="H9426" i="34"/>
  <c r="H9427" i="34"/>
  <c r="H9428" i="34"/>
  <c r="H9429" i="34"/>
  <c r="H9430" i="34"/>
  <c r="H9431" i="34"/>
  <c r="H9432" i="34"/>
  <c r="H9433" i="34"/>
  <c r="H9434" i="34"/>
  <c r="H9435" i="34"/>
  <c r="H9436" i="34"/>
  <c r="H9437" i="34"/>
  <c r="H9438" i="34"/>
  <c r="H9439" i="34"/>
  <c r="H9440" i="34"/>
  <c r="H9441" i="34"/>
  <c r="H9442" i="34"/>
  <c r="H9443" i="34"/>
  <c r="H9444" i="34"/>
  <c r="H9445" i="34"/>
  <c r="H9446" i="34"/>
  <c r="H9447" i="34"/>
  <c r="H9448" i="34"/>
  <c r="H9449" i="34"/>
  <c r="H9450" i="34"/>
  <c r="H9451" i="34"/>
  <c r="H9452" i="34"/>
  <c r="H9453" i="34"/>
  <c r="H9454" i="34"/>
  <c r="H9455" i="34"/>
  <c r="H9456" i="34"/>
  <c r="H9457" i="34"/>
  <c r="H9458" i="34"/>
  <c r="H9459" i="34"/>
  <c r="H9460" i="34"/>
  <c r="H9461" i="34"/>
  <c r="H9462" i="34"/>
  <c r="H9463" i="34"/>
  <c r="H9464" i="34"/>
  <c r="H9465" i="34"/>
  <c r="H9466" i="34"/>
  <c r="H9467" i="34"/>
  <c r="H9468" i="34"/>
  <c r="H9469" i="34"/>
  <c r="H9470" i="34"/>
  <c r="H9471" i="34"/>
  <c r="H9472" i="34"/>
  <c r="H9473" i="34"/>
  <c r="H9474" i="34"/>
  <c r="H9475" i="34"/>
  <c r="H9476" i="34"/>
  <c r="H9477" i="34"/>
  <c r="H9478" i="34"/>
  <c r="H9479" i="34"/>
  <c r="H9480" i="34"/>
  <c r="H9481" i="34"/>
  <c r="H9482" i="34"/>
  <c r="H9483" i="34"/>
  <c r="H9484" i="34"/>
  <c r="H9485" i="34"/>
  <c r="H9486" i="34"/>
  <c r="H9487" i="34"/>
  <c r="H9488" i="34"/>
  <c r="H9489" i="34"/>
  <c r="H9490" i="34"/>
  <c r="H9491" i="34"/>
  <c r="H9492" i="34"/>
  <c r="H9493" i="34"/>
  <c r="H9494" i="34"/>
  <c r="H9495" i="34"/>
  <c r="H9496" i="34"/>
  <c r="H9497" i="34"/>
  <c r="H9498" i="34"/>
  <c r="H9499" i="34"/>
  <c r="H9500" i="34"/>
  <c r="H9501" i="34"/>
  <c r="H9502" i="34"/>
  <c r="H9503" i="34"/>
  <c r="H9504" i="34"/>
  <c r="H9505" i="34"/>
  <c r="H9506" i="34"/>
  <c r="H9507" i="34"/>
  <c r="H9508" i="34"/>
  <c r="H9509" i="34"/>
  <c r="H9510" i="34"/>
  <c r="H9511" i="34"/>
  <c r="H9512" i="34"/>
  <c r="H9513" i="34"/>
  <c r="H9514" i="34"/>
  <c r="H9515" i="34"/>
  <c r="H9516" i="34"/>
  <c r="H9517" i="34"/>
  <c r="H9518" i="34"/>
  <c r="H9519" i="34"/>
  <c r="H9520" i="34"/>
  <c r="H9521" i="34"/>
  <c r="H9522" i="34"/>
  <c r="H9523" i="34"/>
  <c r="H9524" i="34"/>
  <c r="H9525" i="34"/>
  <c r="H9526" i="34"/>
  <c r="H9527" i="34"/>
  <c r="H9528" i="34"/>
  <c r="H9529" i="34"/>
  <c r="H9530" i="34"/>
  <c r="H9531" i="34"/>
  <c r="H9532" i="34"/>
  <c r="H9533" i="34"/>
  <c r="H9534" i="34"/>
  <c r="H9535" i="34"/>
  <c r="H9536" i="34"/>
  <c r="H9537" i="34"/>
  <c r="H9538" i="34"/>
  <c r="H9539" i="34"/>
  <c r="H9540" i="34"/>
  <c r="H9541" i="34"/>
  <c r="H9542" i="34"/>
  <c r="H9543" i="34"/>
  <c r="H9544" i="34"/>
  <c r="H9545" i="34"/>
  <c r="H9546" i="34"/>
  <c r="H9547" i="34"/>
  <c r="H9548" i="34"/>
  <c r="H9549" i="34"/>
  <c r="H9550" i="34"/>
  <c r="H9551" i="34"/>
  <c r="H9552" i="34"/>
  <c r="H9553" i="34"/>
  <c r="H9554" i="34"/>
  <c r="H9555" i="34"/>
  <c r="H9556" i="34"/>
  <c r="H9557" i="34"/>
  <c r="H9558" i="34"/>
  <c r="H9559" i="34"/>
  <c r="H9560" i="34"/>
  <c r="H9561" i="34"/>
  <c r="H9562" i="34"/>
  <c r="H9563" i="34"/>
  <c r="H9564" i="34"/>
  <c r="H9565" i="34"/>
  <c r="H9566" i="34"/>
  <c r="H9567" i="34"/>
  <c r="H9568" i="34"/>
  <c r="H9569" i="34"/>
  <c r="H9570" i="34"/>
  <c r="H9571" i="34"/>
  <c r="H9572" i="34"/>
  <c r="H9573" i="34"/>
  <c r="H9574" i="34"/>
  <c r="H9575" i="34"/>
  <c r="H9576" i="34"/>
  <c r="H9577" i="34"/>
  <c r="H9578" i="34"/>
  <c r="H9579" i="34"/>
  <c r="H9580" i="34"/>
  <c r="H9581" i="34"/>
  <c r="H9582" i="34"/>
  <c r="H9583" i="34"/>
  <c r="H9584" i="34"/>
  <c r="H9585" i="34"/>
  <c r="H9586" i="34"/>
  <c r="H9587" i="34"/>
  <c r="H9588" i="34"/>
  <c r="H9589" i="34"/>
  <c r="H9590" i="34"/>
  <c r="H9591" i="34"/>
  <c r="H9592" i="34"/>
  <c r="H9593" i="34"/>
  <c r="H9594" i="34"/>
  <c r="H9595" i="34"/>
  <c r="H9596" i="34"/>
  <c r="H9597" i="34"/>
  <c r="H9598" i="34"/>
  <c r="H9599" i="34"/>
  <c r="H9600" i="34"/>
  <c r="H9601" i="34"/>
  <c r="H9602" i="34"/>
  <c r="H9603" i="34"/>
  <c r="H9604" i="34"/>
  <c r="H9605" i="34"/>
  <c r="H9606" i="34"/>
  <c r="H9607" i="34"/>
  <c r="H9608" i="34"/>
  <c r="H9609" i="34"/>
  <c r="H9610" i="34"/>
  <c r="H9611" i="34"/>
  <c r="H9612" i="34"/>
  <c r="H9613" i="34"/>
  <c r="H9614" i="34"/>
  <c r="H9615" i="34"/>
  <c r="H9616" i="34"/>
  <c r="H9617" i="34"/>
  <c r="H9618" i="34"/>
  <c r="H9619" i="34"/>
  <c r="H9620" i="34"/>
  <c r="H9621" i="34"/>
  <c r="H9622" i="34"/>
  <c r="H9623" i="34"/>
  <c r="H9624" i="34"/>
  <c r="H9625" i="34"/>
  <c r="H9626" i="34"/>
  <c r="H9627" i="34"/>
  <c r="H9628" i="34"/>
  <c r="H9629" i="34"/>
  <c r="H9630" i="34"/>
  <c r="H9631" i="34"/>
  <c r="H9632" i="34"/>
  <c r="H9633" i="34"/>
  <c r="H9634" i="34"/>
  <c r="H9635" i="34"/>
  <c r="H9636" i="34"/>
  <c r="H9637" i="34"/>
  <c r="H9638" i="34"/>
  <c r="H9639" i="34"/>
  <c r="H9640" i="34"/>
  <c r="H9641" i="34"/>
  <c r="H9642" i="34"/>
  <c r="H9643" i="34"/>
  <c r="H9644" i="34"/>
  <c r="H9645" i="34"/>
  <c r="H9646" i="34"/>
  <c r="H9647" i="34"/>
  <c r="H9648" i="34"/>
  <c r="H9649" i="34"/>
  <c r="H9650" i="34"/>
  <c r="H9651" i="34"/>
  <c r="H9652" i="34"/>
  <c r="H9653" i="34"/>
  <c r="H9654" i="34"/>
  <c r="H9655" i="34"/>
  <c r="H9656" i="34"/>
  <c r="H9657" i="34"/>
  <c r="H9658" i="34"/>
  <c r="H9659" i="34"/>
  <c r="H9660" i="34"/>
  <c r="H9661" i="34"/>
  <c r="H9662" i="34"/>
  <c r="H9663" i="34"/>
  <c r="H9664" i="34"/>
  <c r="H9665" i="34"/>
  <c r="H9666" i="34"/>
  <c r="H9667" i="34"/>
  <c r="H9668" i="34"/>
  <c r="H9669" i="34"/>
  <c r="H9670" i="34"/>
  <c r="H9671" i="34"/>
  <c r="H9672" i="34"/>
  <c r="H9673" i="34"/>
  <c r="H9674" i="34"/>
  <c r="H9675" i="34"/>
  <c r="H9676" i="34"/>
  <c r="H9677" i="34"/>
  <c r="H9678" i="34"/>
  <c r="H9679" i="34"/>
  <c r="H9680" i="34"/>
  <c r="H9681" i="34"/>
  <c r="H9682" i="34"/>
  <c r="H9683" i="34"/>
  <c r="H9684" i="34"/>
  <c r="H9685" i="34"/>
  <c r="H9686" i="34"/>
  <c r="H9687" i="34"/>
  <c r="H9688" i="34"/>
  <c r="H9689" i="34"/>
  <c r="H9690" i="34"/>
  <c r="H9691" i="34"/>
  <c r="H9692" i="34"/>
  <c r="H9693" i="34"/>
  <c r="H9694" i="34"/>
  <c r="H9695" i="34"/>
  <c r="H9696" i="34"/>
  <c r="H9697" i="34"/>
  <c r="H9698" i="34"/>
  <c r="H9699" i="34"/>
  <c r="H9700" i="34"/>
  <c r="H9701" i="34"/>
  <c r="H9702" i="34"/>
  <c r="H9703" i="34"/>
  <c r="H9704" i="34"/>
  <c r="H9705" i="34"/>
  <c r="H9706" i="34"/>
  <c r="H9707" i="34"/>
  <c r="H9708" i="34"/>
  <c r="H9709" i="34"/>
  <c r="H9710" i="34"/>
  <c r="H9711" i="34"/>
  <c r="H9712" i="34"/>
  <c r="H9713" i="34"/>
  <c r="H9714" i="34"/>
  <c r="H9715" i="34"/>
  <c r="H9716" i="34"/>
  <c r="H9717" i="34"/>
  <c r="H9718" i="34"/>
  <c r="H9719" i="34"/>
  <c r="H9720" i="34"/>
  <c r="H9721" i="34"/>
  <c r="H9722" i="34"/>
  <c r="H9723" i="34"/>
  <c r="H9724" i="34"/>
  <c r="H9725" i="34"/>
  <c r="H9726" i="34"/>
  <c r="H9727" i="34"/>
  <c r="H9728" i="34"/>
  <c r="H9729" i="34"/>
  <c r="H9730" i="34"/>
  <c r="H9731" i="34"/>
  <c r="H9732" i="34"/>
  <c r="H9733" i="34"/>
  <c r="H9734" i="34"/>
  <c r="H9735" i="34"/>
  <c r="H9736" i="34"/>
  <c r="H9737" i="34"/>
  <c r="H9738" i="34"/>
  <c r="H9739" i="34"/>
  <c r="H9740" i="34"/>
  <c r="H9741" i="34"/>
  <c r="H9742" i="34"/>
  <c r="H9743" i="34"/>
  <c r="H9744" i="34"/>
  <c r="H9745" i="34"/>
  <c r="H9746" i="34"/>
  <c r="H9747" i="34"/>
  <c r="H9748" i="34"/>
  <c r="H9749" i="34"/>
  <c r="H9750" i="34"/>
  <c r="H9751" i="34"/>
  <c r="H9752" i="34"/>
  <c r="H9753" i="34"/>
  <c r="H9754" i="34"/>
  <c r="H9755" i="34"/>
  <c r="H9756" i="34"/>
  <c r="H9757" i="34"/>
  <c r="H9758" i="34"/>
  <c r="H9759" i="34"/>
  <c r="H9760" i="34"/>
  <c r="H9761" i="34"/>
  <c r="H9762" i="34"/>
  <c r="H9763" i="34"/>
  <c r="H9764" i="34"/>
  <c r="H9765" i="34"/>
  <c r="H9766" i="34"/>
  <c r="H9767" i="34"/>
  <c r="H9768" i="34"/>
  <c r="H9769" i="34"/>
  <c r="H9770" i="34"/>
  <c r="H9771" i="34"/>
  <c r="H9772" i="34"/>
  <c r="H9773" i="34"/>
  <c r="H9774" i="34"/>
  <c r="H9775" i="34"/>
  <c r="H9776" i="34"/>
  <c r="H9777" i="34"/>
  <c r="H9778" i="34"/>
  <c r="H9779" i="34"/>
  <c r="H9780" i="34"/>
  <c r="H9781" i="34"/>
  <c r="H9782" i="34"/>
  <c r="H9783" i="34"/>
  <c r="H9784" i="34"/>
  <c r="H9785" i="34"/>
  <c r="H9786" i="34"/>
  <c r="H9787" i="34"/>
  <c r="H9788" i="34"/>
  <c r="H9789" i="34"/>
  <c r="H9790" i="34"/>
  <c r="H9791" i="34"/>
  <c r="H9792" i="34"/>
  <c r="H9793" i="34"/>
  <c r="H9794" i="34"/>
  <c r="H9795" i="34"/>
  <c r="H9796" i="34"/>
  <c r="H9797" i="34"/>
  <c r="H9798" i="34"/>
  <c r="H9799" i="34"/>
  <c r="H9800" i="34"/>
  <c r="H9801" i="34"/>
  <c r="H9802" i="34"/>
  <c r="H9803" i="34"/>
  <c r="H9804" i="34"/>
  <c r="H9805" i="34"/>
  <c r="H9806" i="34"/>
  <c r="H9807" i="34"/>
  <c r="H9808" i="34"/>
  <c r="H9809" i="34"/>
  <c r="H9810" i="34"/>
  <c r="H9811" i="34"/>
  <c r="H9812" i="34"/>
  <c r="H9813" i="34"/>
  <c r="H9814" i="34"/>
  <c r="H9815" i="34"/>
  <c r="H9816" i="34"/>
  <c r="H9817" i="34"/>
  <c r="H9818" i="34"/>
  <c r="H9819" i="34"/>
  <c r="H9820" i="34"/>
  <c r="H9821" i="34"/>
  <c r="H9822" i="34"/>
  <c r="H9823" i="34"/>
  <c r="H9824" i="34"/>
  <c r="H9825" i="34"/>
  <c r="H9826" i="34"/>
  <c r="H9827" i="34"/>
  <c r="H9828" i="34"/>
  <c r="H9829" i="34"/>
  <c r="H9830" i="34"/>
  <c r="H9831" i="34"/>
  <c r="H9832" i="34"/>
  <c r="H9833" i="34"/>
  <c r="H9834" i="34"/>
  <c r="H9835" i="34"/>
  <c r="H9836" i="34"/>
  <c r="H9837" i="34"/>
  <c r="H9838" i="34"/>
  <c r="H9839" i="34"/>
  <c r="H9840" i="34"/>
  <c r="H9841" i="34"/>
  <c r="H9842" i="34"/>
  <c r="H9843" i="34"/>
  <c r="H9844" i="34"/>
  <c r="H9845" i="34"/>
  <c r="H9846" i="34"/>
  <c r="H9847" i="34"/>
  <c r="H9848" i="34"/>
  <c r="H9849" i="34"/>
  <c r="H9850" i="34"/>
  <c r="H9851" i="34"/>
  <c r="H9852" i="34"/>
  <c r="H9853" i="34"/>
  <c r="H9854" i="34"/>
  <c r="H9855" i="34"/>
  <c r="H9856" i="34"/>
  <c r="H9857" i="34"/>
  <c r="H9858" i="34"/>
  <c r="H9859" i="34"/>
  <c r="H9860" i="34"/>
  <c r="H9861" i="34"/>
  <c r="H9862" i="34"/>
  <c r="H9863" i="34"/>
  <c r="H9864" i="34"/>
  <c r="H9865" i="34"/>
  <c r="H9866" i="34"/>
  <c r="H9867" i="34"/>
  <c r="H9868" i="34"/>
  <c r="H9869" i="34"/>
  <c r="H9870" i="34"/>
  <c r="H9871" i="34"/>
  <c r="H9872" i="34"/>
  <c r="H9873" i="34"/>
  <c r="H9874" i="34"/>
  <c r="H9875" i="34"/>
  <c r="H9876" i="34"/>
  <c r="H9877" i="34"/>
  <c r="H9878" i="34"/>
  <c r="H9879" i="34"/>
  <c r="H9880" i="34"/>
  <c r="H9881" i="34"/>
  <c r="H9882" i="34"/>
  <c r="H9883" i="34"/>
  <c r="H9884" i="34"/>
  <c r="H9885" i="34"/>
  <c r="H9886" i="34"/>
  <c r="H9887" i="34"/>
  <c r="H9888" i="34"/>
  <c r="H9889" i="34"/>
  <c r="H9890" i="34"/>
  <c r="H9891" i="34"/>
  <c r="H9892" i="34"/>
  <c r="H9893" i="34"/>
  <c r="H9894" i="34"/>
  <c r="H9895" i="34"/>
  <c r="H9896" i="34"/>
  <c r="H9897" i="34"/>
  <c r="H9898" i="34"/>
  <c r="H9899" i="34"/>
  <c r="H9900" i="34"/>
  <c r="H9901" i="34"/>
  <c r="H9902" i="34"/>
  <c r="H9903" i="34"/>
  <c r="H9904" i="34"/>
  <c r="H9905" i="34"/>
  <c r="H9906" i="34"/>
  <c r="H9907" i="34"/>
  <c r="H9908" i="34"/>
  <c r="H9909" i="34"/>
  <c r="H9910" i="34"/>
  <c r="H9911" i="34"/>
  <c r="H9912" i="34"/>
  <c r="H9913" i="34"/>
  <c r="H9914" i="34"/>
  <c r="H9915" i="34"/>
  <c r="H9916" i="34"/>
  <c r="H9917" i="34"/>
  <c r="H9918" i="34"/>
  <c r="H9919" i="34"/>
  <c r="H9920" i="34"/>
  <c r="H9921" i="34"/>
  <c r="H9922" i="34"/>
  <c r="H9923" i="34"/>
  <c r="H9924" i="34"/>
  <c r="H9925" i="34"/>
  <c r="H9926" i="34"/>
  <c r="H9927" i="34"/>
  <c r="H9928" i="34"/>
  <c r="H9929" i="34"/>
  <c r="H9930" i="34"/>
  <c r="H9931" i="34"/>
  <c r="H9932" i="34"/>
  <c r="H9933" i="34"/>
  <c r="H9934" i="34"/>
  <c r="H9935" i="34"/>
  <c r="H9936" i="34"/>
  <c r="H9937" i="34"/>
  <c r="H9938" i="34"/>
  <c r="H9939" i="34"/>
  <c r="H9940" i="34"/>
  <c r="H9941" i="34"/>
  <c r="H9942" i="34"/>
  <c r="H9943" i="34"/>
  <c r="H9944" i="34"/>
  <c r="H9945" i="34"/>
  <c r="H9946" i="34"/>
  <c r="H9947" i="34"/>
  <c r="H9948" i="34"/>
  <c r="H9949" i="34"/>
  <c r="H9950" i="34"/>
  <c r="H9951" i="34"/>
  <c r="H9952" i="34"/>
  <c r="H9953" i="34"/>
  <c r="H9954" i="34"/>
  <c r="H9955" i="34"/>
  <c r="H9956" i="34"/>
  <c r="H9957" i="34"/>
  <c r="H9958" i="34"/>
  <c r="H9959" i="34"/>
  <c r="H9960" i="34"/>
  <c r="H9961" i="34"/>
  <c r="H9962" i="34"/>
  <c r="H9963" i="34"/>
  <c r="H9964" i="34"/>
  <c r="H9965" i="34"/>
  <c r="H9966" i="34"/>
  <c r="H9967" i="34"/>
  <c r="H9968" i="34"/>
  <c r="H9969" i="34"/>
  <c r="H9970" i="34"/>
  <c r="H9971" i="34"/>
  <c r="H9972" i="34"/>
  <c r="H9973" i="34"/>
  <c r="H9974" i="34"/>
  <c r="H9975" i="34"/>
  <c r="H9976" i="34"/>
  <c r="H9977" i="34"/>
  <c r="H9978" i="34"/>
  <c r="H9979" i="34"/>
  <c r="H9980" i="34"/>
  <c r="H9981" i="34"/>
  <c r="H9982" i="34"/>
  <c r="H9983" i="34"/>
  <c r="H9984" i="34"/>
  <c r="H9985" i="34"/>
  <c r="H9986" i="34"/>
  <c r="H9987" i="34"/>
  <c r="H9988" i="34"/>
  <c r="H9989" i="34"/>
  <c r="H9990" i="34"/>
  <c r="H9991" i="34"/>
  <c r="H9992" i="34"/>
  <c r="H9993" i="34"/>
  <c r="H9994" i="34"/>
  <c r="H9995" i="34"/>
  <c r="H9996" i="34"/>
  <c r="H9997" i="34"/>
  <c r="H9998" i="34"/>
  <c r="H9999" i="34"/>
  <c r="H10000" i="34"/>
  <c r="H10001" i="34"/>
  <c r="H10002" i="34"/>
  <c r="H10003" i="34"/>
  <c r="H10004" i="34"/>
  <c r="H10005" i="34"/>
  <c r="H10006" i="34"/>
  <c r="H10007" i="34"/>
  <c r="H10008" i="34"/>
  <c r="H10009" i="34"/>
  <c r="H10010" i="34"/>
  <c r="H10011" i="34"/>
  <c r="H10012" i="34"/>
  <c r="H10013" i="34"/>
  <c r="H10014" i="34"/>
  <c r="H10015" i="34"/>
  <c r="H10016" i="34"/>
  <c r="H10017" i="34"/>
  <c r="H10018" i="34"/>
  <c r="H10019" i="34"/>
  <c r="H10020" i="34"/>
  <c r="H10021" i="34"/>
  <c r="H10022" i="34"/>
  <c r="H10023" i="34"/>
  <c r="H10024" i="34"/>
  <c r="H10025" i="34"/>
  <c r="H10026" i="34"/>
  <c r="H10027" i="34"/>
  <c r="H10028" i="34"/>
  <c r="H10029" i="34"/>
  <c r="H10030" i="34"/>
  <c r="H10031" i="34"/>
  <c r="H10032" i="34"/>
  <c r="H10033" i="34"/>
  <c r="H10034" i="34"/>
  <c r="H10035" i="34"/>
  <c r="H10036" i="34"/>
  <c r="H10037" i="34"/>
  <c r="H10038" i="34"/>
  <c r="H10039" i="34"/>
  <c r="H10040" i="34"/>
  <c r="H10041" i="34"/>
  <c r="H10042" i="34"/>
  <c r="H10043" i="34"/>
  <c r="H10044" i="34"/>
  <c r="H10045" i="34"/>
  <c r="H10046" i="34"/>
  <c r="H10047" i="34"/>
  <c r="H10048" i="34"/>
  <c r="H10049" i="34"/>
  <c r="H10050" i="34"/>
  <c r="H10051" i="34"/>
  <c r="H10052" i="34"/>
  <c r="H10053" i="34"/>
  <c r="H10054" i="34"/>
  <c r="H10055" i="34"/>
  <c r="H10056" i="34"/>
  <c r="H10057" i="34"/>
  <c r="H10058" i="34"/>
  <c r="H10059" i="34"/>
  <c r="H10060" i="34"/>
  <c r="H10061" i="34"/>
  <c r="H10062" i="34"/>
  <c r="H10063" i="34"/>
  <c r="H10064" i="34"/>
  <c r="H10065" i="34"/>
  <c r="H10066" i="34"/>
  <c r="H10067" i="34"/>
  <c r="H10068" i="34"/>
  <c r="H10069" i="34"/>
  <c r="H10070" i="34"/>
  <c r="H10071" i="34"/>
  <c r="H10072" i="34"/>
  <c r="H10073" i="34"/>
  <c r="H10074" i="34"/>
  <c r="H10075" i="34"/>
  <c r="H10076" i="34"/>
  <c r="H10077" i="34"/>
  <c r="H10078" i="34"/>
  <c r="H10079" i="34"/>
  <c r="H10080" i="34"/>
  <c r="H10081" i="34"/>
  <c r="H10082" i="34"/>
  <c r="H10083" i="34"/>
  <c r="H10084" i="34"/>
  <c r="H10085" i="34"/>
  <c r="H10086" i="34"/>
  <c r="H10087" i="34"/>
  <c r="H10088" i="34"/>
  <c r="H10089" i="34"/>
  <c r="H10090" i="34"/>
  <c r="H10091" i="34"/>
  <c r="H10092" i="34"/>
  <c r="H10093" i="34"/>
  <c r="H10094" i="34"/>
  <c r="H10095" i="34"/>
  <c r="H10096" i="34"/>
  <c r="H10097" i="34"/>
  <c r="H10098" i="34"/>
  <c r="H10099" i="34"/>
  <c r="H10100" i="34"/>
  <c r="H10101" i="34"/>
  <c r="H10102" i="34"/>
  <c r="H10103" i="34"/>
  <c r="H10104" i="34"/>
  <c r="H10105" i="34"/>
  <c r="H10106" i="34"/>
  <c r="H10107" i="34"/>
  <c r="H10108" i="34"/>
  <c r="H10109" i="34"/>
  <c r="H10110" i="34"/>
  <c r="H10111" i="34"/>
  <c r="H10112" i="34"/>
  <c r="H10113" i="34"/>
  <c r="H10114" i="34"/>
  <c r="H10115" i="34"/>
  <c r="H10116" i="34"/>
  <c r="H10117" i="34"/>
  <c r="H10118" i="34"/>
  <c r="H10119" i="34"/>
  <c r="H10120" i="34"/>
  <c r="H10121" i="34"/>
  <c r="H10122" i="34"/>
  <c r="H10123" i="34"/>
  <c r="H10124" i="34"/>
  <c r="H10125" i="34"/>
  <c r="H10126" i="34"/>
  <c r="H10127" i="34"/>
  <c r="H10128" i="34"/>
  <c r="H10129" i="34"/>
  <c r="H10130" i="34"/>
  <c r="H10131" i="34"/>
  <c r="H10132" i="34"/>
  <c r="H10133" i="34"/>
  <c r="H10134" i="34"/>
  <c r="H10135" i="34"/>
  <c r="H10136" i="34"/>
  <c r="H10137" i="34"/>
  <c r="H10138" i="34"/>
  <c r="H10139" i="34"/>
  <c r="H10140" i="34"/>
  <c r="H10141" i="34"/>
  <c r="H10142" i="34"/>
  <c r="H10143" i="34"/>
  <c r="H10144" i="34"/>
  <c r="H10145" i="34"/>
  <c r="H10146" i="34"/>
  <c r="H10147" i="34"/>
  <c r="H10148" i="34"/>
  <c r="H10149" i="34"/>
  <c r="H10150" i="34"/>
  <c r="H10151" i="34"/>
  <c r="H10152" i="34"/>
  <c r="H10153" i="34"/>
  <c r="H10154" i="34"/>
  <c r="H10155" i="34"/>
  <c r="H10156" i="34"/>
  <c r="H10157" i="34"/>
  <c r="H10158" i="34"/>
  <c r="H10159" i="34"/>
  <c r="H10160" i="34"/>
  <c r="H10161" i="34"/>
  <c r="H10162" i="34"/>
  <c r="H10163" i="34"/>
  <c r="H10164" i="34"/>
  <c r="H10165" i="34"/>
  <c r="H10166" i="34"/>
  <c r="H10167" i="34"/>
  <c r="H10168" i="34"/>
  <c r="H10169" i="34"/>
  <c r="H10170" i="34"/>
  <c r="H10171" i="34"/>
  <c r="H10172" i="34"/>
  <c r="H10173" i="34"/>
  <c r="H10174" i="34"/>
  <c r="H10175" i="34"/>
  <c r="H10176" i="34"/>
  <c r="H10177" i="34"/>
  <c r="H10178" i="34"/>
  <c r="H10179" i="34"/>
  <c r="H10180" i="34"/>
  <c r="H10181" i="34"/>
  <c r="H10182" i="34"/>
  <c r="H10183" i="34"/>
  <c r="H10184" i="34"/>
  <c r="H10185" i="34"/>
  <c r="H10186" i="34"/>
  <c r="H10187" i="34"/>
  <c r="H10188" i="34"/>
  <c r="H10189" i="34"/>
  <c r="H10190" i="34"/>
  <c r="H10191" i="34"/>
  <c r="H10192" i="34"/>
  <c r="H10193" i="34"/>
  <c r="H10194" i="34"/>
  <c r="H10195" i="34"/>
  <c r="H10196" i="34"/>
  <c r="H10197" i="34"/>
  <c r="H10198" i="34"/>
  <c r="H10199" i="34"/>
  <c r="H10200" i="34"/>
  <c r="H10201" i="34"/>
  <c r="H10202" i="34"/>
  <c r="H10203" i="34"/>
  <c r="H10204" i="34"/>
  <c r="H10205" i="34"/>
  <c r="H10206" i="34"/>
  <c r="H10207" i="34"/>
  <c r="H10208" i="34"/>
  <c r="H10209" i="34"/>
  <c r="H10210" i="34"/>
  <c r="H10211" i="34"/>
  <c r="H10212" i="34"/>
  <c r="H10213" i="34"/>
  <c r="H10214" i="34"/>
  <c r="H10215" i="34"/>
  <c r="H10216" i="34"/>
  <c r="H10217" i="34"/>
  <c r="H10218" i="34"/>
  <c r="H10219" i="34"/>
  <c r="H10220" i="34"/>
  <c r="H10221" i="34"/>
  <c r="H10222" i="34"/>
  <c r="H10223" i="34"/>
  <c r="H10224" i="34"/>
  <c r="H10225" i="34"/>
  <c r="H10226" i="34"/>
  <c r="H10227" i="34"/>
  <c r="H10228" i="34"/>
  <c r="H10229" i="34"/>
  <c r="H10230" i="34"/>
  <c r="H10231" i="34"/>
  <c r="H10232" i="34"/>
  <c r="H10233" i="34"/>
  <c r="H10234" i="34"/>
  <c r="H10235" i="34"/>
  <c r="H10236" i="34"/>
  <c r="H10237" i="34"/>
  <c r="H10238" i="34"/>
  <c r="H10239" i="34"/>
  <c r="H10240" i="34"/>
  <c r="H10241" i="34"/>
  <c r="H10242" i="34"/>
  <c r="H10243" i="34"/>
  <c r="H10244" i="34"/>
  <c r="H10245" i="34"/>
  <c r="H10246" i="34"/>
  <c r="H10247" i="34"/>
  <c r="H10248" i="34"/>
  <c r="H10249" i="34"/>
  <c r="H10250" i="34"/>
  <c r="H10251" i="34"/>
  <c r="H10252" i="34"/>
  <c r="H10253" i="34"/>
  <c r="H10254" i="34"/>
  <c r="H10255" i="34"/>
  <c r="H10256" i="34"/>
  <c r="H10257" i="34"/>
  <c r="H10258" i="34"/>
  <c r="H10259" i="34"/>
  <c r="H10260" i="34"/>
  <c r="H10261" i="34"/>
  <c r="H10262" i="34"/>
  <c r="H10263" i="34"/>
  <c r="H10264" i="34"/>
  <c r="H10265" i="34"/>
  <c r="H10266" i="34"/>
  <c r="H10267" i="34"/>
  <c r="H10268" i="34"/>
  <c r="H10269" i="34"/>
  <c r="H10270" i="34"/>
  <c r="H10271" i="34"/>
  <c r="H10272" i="34"/>
  <c r="H10273" i="34"/>
  <c r="H10274" i="34"/>
  <c r="H10275" i="34"/>
  <c r="H10276" i="34"/>
  <c r="H10277" i="34"/>
  <c r="H10278" i="34"/>
  <c r="H10279" i="34"/>
  <c r="H10280" i="34"/>
  <c r="H10281" i="34"/>
  <c r="H10282" i="34"/>
  <c r="H10283" i="34"/>
  <c r="H10284" i="34"/>
  <c r="H10285" i="34"/>
  <c r="H10286" i="34"/>
  <c r="H10287" i="34"/>
  <c r="H10288" i="34"/>
  <c r="H10289" i="34"/>
  <c r="H10290" i="34"/>
  <c r="H10291" i="34"/>
  <c r="H10292" i="34"/>
  <c r="H10293" i="34"/>
  <c r="H10294" i="34"/>
  <c r="H10295" i="34"/>
  <c r="H10296" i="34"/>
  <c r="H10297" i="34"/>
  <c r="H10298" i="34"/>
  <c r="H10299" i="34"/>
  <c r="H10300" i="34"/>
  <c r="H10301" i="34"/>
  <c r="H10302" i="34"/>
  <c r="H10303" i="34"/>
  <c r="H10304" i="34"/>
  <c r="H10305" i="34"/>
  <c r="H10306" i="34"/>
  <c r="H10307" i="34"/>
  <c r="H10308" i="34"/>
  <c r="H10309" i="34"/>
  <c r="H10310" i="34"/>
  <c r="H10311" i="34"/>
  <c r="H10312" i="34"/>
  <c r="H10313" i="34"/>
  <c r="H10314" i="34"/>
  <c r="H10315" i="34"/>
  <c r="H10316" i="34"/>
  <c r="H10317" i="34"/>
  <c r="H10318" i="34"/>
  <c r="H10319" i="34"/>
  <c r="H10320" i="34"/>
  <c r="H10321" i="34"/>
  <c r="H10322" i="34"/>
  <c r="H10323" i="34"/>
  <c r="H10324" i="34"/>
  <c r="H10325" i="34"/>
  <c r="H10326" i="34"/>
  <c r="H10327" i="34"/>
  <c r="H10328" i="34"/>
  <c r="H10329" i="34"/>
  <c r="H10330" i="34"/>
  <c r="H10331" i="34"/>
  <c r="H10332" i="34"/>
  <c r="H10333" i="34"/>
  <c r="H10334" i="34"/>
  <c r="H10335" i="34"/>
  <c r="H10336" i="34"/>
  <c r="H10337" i="34"/>
  <c r="H10338" i="34"/>
  <c r="H10339" i="34"/>
  <c r="H10340" i="34"/>
  <c r="H10341" i="34"/>
  <c r="H10342" i="34"/>
  <c r="H10343" i="34"/>
  <c r="H10344" i="34"/>
  <c r="H10345" i="34"/>
  <c r="H10346" i="34"/>
  <c r="H10347" i="34"/>
  <c r="H10348" i="34"/>
  <c r="H10349" i="34"/>
  <c r="H10350" i="34"/>
  <c r="H10351" i="34"/>
  <c r="H10352" i="34"/>
  <c r="H10353" i="34"/>
  <c r="H10354" i="34"/>
  <c r="H10355" i="34"/>
  <c r="H10356" i="34"/>
  <c r="H10357" i="34"/>
  <c r="H10358" i="34"/>
  <c r="H10359" i="34"/>
  <c r="H10360" i="34"/>
  <c r="H10361" i="34"/>
  <c r="H10362" i="34"/>
  <c r="H10363" i="34"/>
  <c r="H10364" i="34"/>
  <c r="H10365" i="34"/>
  <c r="H10366" i="34"/>
  <c r="H10367" i="34"/>
  <c r="H10368" i="34"/>
  <c r="H10369" i="34"/>
  <c r="H10370" i="34"/>
  <c r="H10371" i="34"/>
  <c r="H10372" i="34"/>
  <c r="H10373" i="34"/>
  <c r="H10374" i="34"/>
  <c r="H10375" i="34"/>
  <c r="H10376" i="34"/>
  <c r="H10377" i="34"/>
  <c r="H10378" i="34"/>
  <c r="H10379" i="34"/>
  <c r="H10380" i="34"/>
  <c r="H10381" i="34"/>
  <c r="H10382" i="34"/>
  <c r="H10383" i="34"/>
  <c r="H10384" i="34"/>
  <c r="H10385" i="34"/>
  <c r="H10386" i="34"/>
  <c r="H10387" i="34"/>
  <c r="H10388" i="34"/>
  <c r="H10389" i="34"/>
  <c r="H10390" i="34"/>
  <c r="H10391" i="34"/>
  <c r="H10392" i="34"/>
  <c r="H10393" i="34"/>
  <c r="H10394" i="34"/>
  <c r="H10395" i="34"/>
  <c r="H10396" i="34"/>
  <c r="H10397" i="34"/>
  <c r="H10398" i="34"/>
  <c r="H10399" i="34"/>
  <c r="H10400" i="34"/>
  <c r="H10401" i="34"/>
  <c r="H10402" i="34"/>
  <c r="H10403" i="34"/>
  <c r="H10404" i="34"/>
  <c r="H10405" i="34"/>
  <c r="H10406" i="34"/>
  <c r="H10407" i="34"/>
  <c r="H10408" i="34"/>
  <c r="H10409" i="34"/>
  <c r="H10410" i="34"/>
  <c r="H10411" i="34"/>
  <c r="H10412" i="34"/>
  <c r="H10413" i="34"/>
  <c r="H10414" i="34"/>
  <c r="H10415" i="34"/>
  <c r="H10416" i="34"/>
  <c r="H10417" i="34"/>
  <c r="H10418" i="34"/>
  <c r="H10419" i="34"/>
  <c r="H10420" i="34"/>
  <c r="H10421" i="34"/>
  <c r="H10422" i="34"/>
  <c r="H10423" i="34"/>
  <c r="H10424" i="34"/>
  <c r="H10425" i="34"/>
  <c r="H10426" i="34"/>
  <c r="H10427" i="34"/>
  <c r="H10428" i="34"/>
  <c r="H10429" i="34"/>
  <c r="H10430" i="34"/>
  <c r="H10431" i="34"/>
  <c r="H10432" i="34"/>
  <c r="H10433" i="34"/>
  <c r="H10434" i="34"/>
  <c r="H10435" i="34"/>
  <c r="H10436" i="34"/>
  <c r="H10437" i="34"/>
  <c r="H10438" i="34"/>
  <c r="H10439" i="34"/>
  <c r="H10440" i="34"/>
  <c r="H10441" i="34"/>
  <c r="H10442" i="34"/>
  <c r="H10443" i="34"/>
  <c r="H10444" i="34"/>
  <c r="H10445" i="34"/>
  <c r="H10446" i="34"/>
  <c r="H10447" i="34"/>
  <c r="H10448" i="34"/>
  <c r="H10449" i="34"/>
  <c r="H10450" i="34"/>
  <c r="H10451" i="34"/>
  <c r="H10452" i="34"/>
  <c r="H10453" i="34"/>
  <c r="H10454" i="34"/>
  <c r="H10455" i="34"/>
  <c r="H10456" i="34"/>
  <c r="H10457" i="34"/>
  <c r="H10458" i="34"/>
  <c r="H10459" i="34"/>
  <c r="H10460" i="34"/>
  <c r="H10461" i="34"/>
  <c r="H10462" i="34"/>
  <c r="H10463" i="34"/>
  <c r="H10464" i="34"/>
  <c r="H10465" i="34"/>
  <c r="H10466" i="34"/>
  <c r="H10467" i="34"/>
  <c r="H10468" i="34"/>
  <c r="H10469" i="34"/>
  <c r="H10470" i="34"/>
  <c r="H10471" i="34"/>
  <c r="H10472" i="34"/>
  <c r="H10473" i="34"/>
  <c r="H10474" i="34"/>
  <c r="H10475" i="34"/>
  <c r="H10476" i="34"/>
  <c r="H10477" i="34"/>
  <c r="H10478" i="34"/>
  <c r="H10479" i="34"/>
  <c r="H10480" i="34"/>
  <c r="H10481" i="34"/>
  <c r="H10482" i="34"/>
  <c r="H10483" i="34"/>
  <c r="H10484" i="34"/>
  <c r="H10485" i="34"/>
  <c r="H10486" i="34"/>
  <c r="H10487" i="34"/>
  <c r="H10488" i="34"/>
  <c r="H10489" i="34"/>
  <c r="H10490" i="34"/>
  <c r="H10491" i="34"/>
  <c r="H10492" i="34"/>
  <c r="H10493" i="34"/>
  <c r="H10494" i="34"/>
  <c r="H10495" i="34"/>
  <c r="H10496" i="34"/>
  <c r="H10497" i="34"/>
  <c r="H10498" i="34"/>
  <c r="H10499" i="34"/>
  <c r="H10500" i="34"/>
  <c r="H10501" i="34"/>
  <c r="H10502" i="34"/>
  <c r="H10503" i="34"/>
  <c r="H10504" i="34"/>
  <c r="H10505" i="34"/>
  <c r="H10506" i="34"/>
  <c r="H10507" i="34"/>
  <c r="H10508" i="34"/>
  <c r="H10509" i="34"/>
  <c r="H10510" i="34"/>
  <c r="H10511" i="34"/>
  <c r="H10512" i="34"/>
  <c r="H10513" i="34"/>
  <c r="H10514" i="34"/>
  <c r="H10515" i="34"/>
  <c r="H10516" i="34"/>
  <c r="H10517" i="34"/>
  <c r="H10518" i="34"/>
  <c r="H10519" i="34"/>
  <c r="H10520" i="34"/>
  <c r="H10521" i="34"/>
  <c r="H10522" i="34"/>
  <c r="H10523" i="34"/>
  <c r="H10524" i="34"/>
  <c r="H10525" i="34"/>
  <c r="H10526" i="34"/>
  <c r="H10527" i="34"/>
  <c r="H10528" i="34"/>
  <c r="H10529" i="34"/>
  <c r="H10530" i="34"/>
  <c r="H10531" i="34"/>
  <c r="H10532" i="34"/>
  <c r="H10533" i="34"/>
  <c r="H10534" i="34"/>
  <c r="H10535" i="34"/>
  <c r="H10536" i="34"/>
  <c r="H10537" i="34"/>
  <c r="H10538" i="34"/>
  <c r="H10539" i="34"/>
  <c r="H10540" i="34"/>
  <c r="H10541" i="34"/>
  <c r="H10542" i="34"/>
  <c r="H10543" i="34"/>
  <c r="H10544" i="34"/>
  <c r="H10545" i="34"/>
  <c r="H10546" i="34"/>
  <c r="H10547" i="34"/>
  <c r="H10548" i="34"/>
  <c r="H10549" i="34"/>
  <c r="H10550" i="34"/>
  <c r="H10551" i="34"/>
  <c r="H10552" i="34"/>
  <c r="H10553" i="34"/>
  <c r="H10554" i="34"/>
  <c r="H10555" i="34"/>
  <c r="H10556" i="34"/>
  <c r="H10557" i="34"/>
  <c r="H10558" i="34"/>
  <c r="H10559" i="34"/>
  <c r="H10560" i="34"/>
  <c r="H10561" i="34"/>
  <c r="H10562" i="34"/>
  <c r="H10563" i="34"/>
  <c r="H10564" i="34"/>
  <c r="H10565" i="34"/>
  <c r="H10566" i="34"/>
  <c r="H10567" i="34"/>
  <c r="H10568" i="34"/>
  <c r="H10569" i="34"/>
  <c r="H10570" i="34"/>
  <c r="H10571" i="34"/>
  <c r="H10572" i="34"/>
  <c r="H10573" i="34"/>
  <c r="H10574" i="34"/>
  <c r="H10575" i="34"/>
  <c r="H10576" i="34"/>
  <c r="H10577" i="34"/>
  <c r="H10578" i="34"/>
  <c r="H10579" i="34"/>
  <c r="H10580" i="34"/>
  <c r="H10581" i="34"/>
  <c r="H10582" i="34"/>
  <c r="H10583" i="34"/>
  <c r="H10584" i="34"/>
  <c r="H10585" i="34"/>
  <c r="H10586" i="34"/>
  <c r="H10587" i="34"/>
  <c r="H10588" i="34"/>
  <c r="H10589" i="34"/>
  <c r="H10590" i="34"/>
  <c r="H10591" i="34"/>
  <c r="H10592" i="34"/>
  <c r="H10593" i="34"/>
  <c r="H10594" i="34"/>
  <c r="H10595" i="34"/>
  <c r="H10596" i="34"/>
  <c r="H10597" i="34"/>
  <c r="H10598" i="34"/>
  <c r="H10599" i="34"/>
  <c r="H10600" i="34"/>
  <c r="H10601" i="34"/>
  <c r="H10602" i="34"/>
  <c r="H10603" i="34"/>
  <c r="H10604" i="34"/>
  <c r="H10605" i="34"/>
  <c r="H10606" i="34"/>
  <c r="H10607" i="34"/>
  <c r="H10608" i="34"/>
  <c r="H10609" i="34"/>
  <c r="H10610" i="34"/>
  <c r="H10611" i="34"/>
  <c r="H10612" i="34"/>
  <c r="H10613" i="34"/>
  <c r="H10614" i="34"/>
  <c r="H10615" i="34"/>
  <c r="H10616" i="34"/>
  <c r="H10617" i="34"/>
  <c r="H10618" i="34"/>
  <c r="H10619" i="34"/>
  <c r="H10620" i="34"/>
  <c r="H10621" i="34"/>
  <c r="H10622" i="34"/>
  <c r="H10623" i="34"/>
  <c r="H10624" i="34"/>
  <c r="H10625" i="34"/>
  <c r="H10626" i="34"/>
  <c r="H10627" i="34"/>
  <c r="H10628" i="34"/>
  <c r="H10629" i="34"/>
  <c r="H10630" i="34"/>
  <c r="H10631" i="34"/>
  <c r="H10632" i="34"/>
  <c r="H10633" i="34"/>
  <c r="H10634" i="34"/>
  <c r="H10635" i="34"/>
  <c r="H10636" i="34"/>
  <c r="H10637" i="34"/>
  <c r="H10638" i="34"/>
  <c r="H10639" i="34"/>
  <c r="H10640" i="34"/>
  <c r="H10641" i="34"/>
  <c r="H10642" i="34"/>
  <c r="H10643" i="34"/>
  <c r="H10644" i="34"/>
  <c r="H10645" i="34"/>
  <c r="H10646" i="34"/>
  <c r="H10647" i="34"/>
  <c r="H10648" i="34"/>
  <c r="H10649" i="34"/>
  <c r="H10650" i="34"/>
  <c r="H10651" i="34"/>
  <c r="H10652" i="34"/>
  <c r="H10653" i="34"/>
  <c r="H10654" i="34"/>
  <c r="H10655" i="34"/>
  <c r="H10656" i="34"/>
  <c r="H10657" i="34"/>
  <c r="H10658" i="34"/>
  <c r="H10659" i="34"/>
  <c r="H10660" i="34"/>
  <c r="H10661" i="34"/>
  <c r="H10662" i="34"/>
  <c r="H10663" i="34"/>
  <c r="H10664" i="34"/>
  <c r="H10665" i="34"/>
  <c r="H10666" i="34"/>
  <c r="H10667" i="34"/>
  <c r="H10668" i="34"/>
  <c r="H10669" i="34"/>
  <c r="H10670" i="34"/>
  <c r="H10671" i="34"/>
  <c r="H10672" i="34"/>
  <c r="H10673" i="34"/>
  <c r="H10674" i="34"/>
  <c r="H10675" i="34"/>
  <c r="H10676" i="34"/>
  <c r="H10677" i="34"/>
  <c r="H10678" i="34"/>
  <c r="H10679" i="34"/>
  <c r="H10680" i="34"/>
  <c r="H10681" i="34"/>
  <c r="H10682" i="34"/>
  <c r="H10683" i="34"/>
  <c r="H10684" i="34"/>
  <c r="H10685" i="34"/>
  <c r="H10686" i="34"/>
  <c r="H10687" i="34"/>
  <c r="H10688" i="34"/>
  <c r="H10689" i="34"/>
  <c r="H10690" i="34"/>
  <c r="H10691" i="34"/>
  <c r="H10692" i="34"/>
  <c r="H10693" i="34"/>
  <c r="H10694" i="34"/>
  <c r="H10695" i="34"/>
  <c r="H10696" i="34"/>
  <c r="H10697" i="34"/>
  <c r="H10698" i="34"/>
  <c r="H10699" i="34"/>
  <c r="H10700" i="34"/>
  <c r="H10701" i="34"/>
  <c r="H10702" i="34"/>
  <c r="H10703" i="34"/>
  <c r="H10704" i="34"/>
  <c r="H10705" i="34"/>
  <c r="H10706" i="34"/>
  <c r="H10707" i="34"/>
  <c r="H10708" i="34"/>
  <c r="H10709" i="34"/>
  <c r="H10710" i="34"/>
  <c r="H10711" i="34"/>
  <c r="H10712" i="34"/>
  <c r="H10713" i="34"/>
  <c r="H10714" i="34"/>
  <c r="H10715" i="34"/>
  <c r="H10716" i="34"/>
  <c r="H10717" i="34"/>
  <c r="H10718" i="34"/>
  <c r="H10719" i="34"/>
  <c r="H10720" i="34"/>
  <c r="H10721" i="34"/>
  <c r="H10722" i="34"/>
  <c r="H10723" i="34"/>
  <c r="H10724" i="34"/>
  <c r="H10725" i="34"/>
  <c r="H10726" i="34"/>
  <c r="H10727" i="34"/>
  <c r="H10728" i="34"/>
  <c r="H10729" i="34"/>
  <c r="H10730" i="34"/>
  <c r="H10731" i="34"/>
  <c r="H10732" i="34"/>
  <c r="H10733" i="34"/>
  <c r="H10734" i="34"/>
  <c r="H10735" i="34"/>
  <c r="H10736" i="34"/>
  <c r="H10737" i="34"/>
  <c r="H10738" i="34"/>
  <c r="H10739" i="34"/>
  <c r="H10740" i="34"/>
  <c r="H10741" i="34"/>
  <c r="H10742" i="34"/>
  <c r="H10743" i="34"/>
  <c r="H10744" i="34"/>
  <c r="H10745" i="34"/>
  <c r="H10746" i="34"/>
  <c r="H10747" i="34"/>
  <c r="H10748" i="34"/>
  <c r="H10749" i="34"/>
  <c r="H10750" i="34"/>
  <c r="H10751" i="34"/>
  <c r="H10752" i="34"/>
  <c r="H10753" i="34"/>
  <c r="H10754" i="34"/>
  <c r="H10755" i="34"/>
  <c r="H10756" i="34"/>
  <c r="H10757" i="34"/>
  <c r="H10758" i="34"/>
  <c r="H10759" i="34"/>
  <c r="H10760" i="34"/>
  <c r="H10761" i="34"/>
  <c r="H10762" i="34"/>
  <c r="H10763" i="34"/>
  <c r="H10764" i="34"/>
  <c r="H10765" i="34"/>
  <c r="H10766" i="34"/>
  <c r="H10767" i="34"/>
  <c r="H10768" i="34"/>
  <c r="H10769" i="34"/>
  <c r="H10770" i="34"/>
  <c r="H10771" i="34"/>
  <c r="H10772" i="34"/>
  <c r="H10773" i="34"/>
  <c r="H10774" i="34"/>
  <c r="H10775" i="34"/>
  <c r="H10776" i="34"/>
  <c r="H10777" i="34"/>
  <c r="H10778" i="34"/>
  <c r="H10779" i="34"/>
  <c r="H10780" i="34"/>
  <c r="H10781" i="34"/>
  <c r="H10782" i="34"/>
  <c r="H10783" i="34"/>
  <c r="H10784" i="34"/>
  <c r="H10785" i="34"/>
  <c r="H10786" i="34"/>
  <c r="H10787" i="34"/>
  <c r="H10788" i="34"/>
  <c r="H10789" i="34"/>
  <c r="H10790" i="34"/>
  <c r="H10791" i="34"/>
  <c r="H10792" i="34"/>
  <c r="H10793" i="34"/>
  <c r="H10794" i="34"/>
  <c r="H10795" i="34"/>
  <c r="H10796" i="34"/>
  <c r="H10797" i="34"/>
  <c r="H10798" i="34"/>
  <c r="H10799" i="34"/>
  <c r="H10800" i="34"/>
  <c r="H10801" i="34"/>
  <c r="H10802" i="34"/>
  <c r="H10803" i="34"/>
  <c r="H10804" i="34"/>
  <c r="H10805" i="34"/>
  <c r="H10806" i="34"/>
  <c r="H10807" i="34"/>
  <c r="H10808" i="34"/>
  <c r="H10809" i="34"/>
  <c r="H10810" i="34"/>
  <c r="H10811" i="34"/>
  <c r="H10812" i="34"/>
  <c r="H10813" i="34"/>
  <c r="H10814" i="34"/>
  <c r="H10815" i="34"/>
  <c r="H10816" i="34"/>
  <c r="H10817" i="34"/>
  <c r="H10818" i="34"/>
  <c r="H10819" i="34"/>
  <c r="H10820" i="34"/>
  <c r="H10821" i="34"/>
  <c r="H10822" i="34"/>
  <c r="H10823" i="34"/>
  <c r="H10824" i="34"/>
  <c r="H10825" i="34"/>
  <c r="H10826" i="34"/>
  <c r="H10827" i="34"/>
  <c r="H10828" i="34"/>
  <c r="H10829" i="34"/>
  <c r="H10830" i="34"/>
  <c r="H10831" i="34"/>
  <c r="H10832" i="34"/>
  <c r="H10833" i="34"/>
  <c r="H10834" i="34"/>
  <c r="H10835" i="34"/>
  <c r="H10836" i="34"/>
  <c r="H10837" i="34"/>
  <c r="H10838" i="34"/>
  <c r="H10839" i="34"/>
  <c r="H10840" i="34"/>
  <c r="H10841" i="34"/>
  <c r="H10842" i="34"/>
  <c r="H10843" i="34"/>
  <c r="H10844" i="34"/>
  <c r="H10845" i="34"/>
  <c r="H10846" i="34"/>
  <c r="H10847" i="34"/>
  <c r="H10848" i="34"/>
  <c r="H10849" i="34"/>
  <c r="H10850" i="34"/>
  <c r="H10851" i="34"/>
  <c r="H10852" i="34"/>
  <c r="H10853" i="34"/>
  <c r="H10854" i="34"/>
  <c r="H10855" i="34"/>
  <c r="H10856" i="34"/>
  <c r="H10857" i="34"/>
  <c r="H10858" i="34"/>
  <c r="H10859" i="34"/>
  <c r="H10860" i="34"/>
  <c r="H10861" i="34"/>
  <c r="H10862" i="34"/>
  <c r="H10863" i="34"/>
  <c r="H10864" i="34"/>
  <c r="H10865" i="34"/>
  <c r="H10866" i="34"/>
  <c r="H10867" i="34"/>
  <c r="H10868" i="34"/>
  <c r="H10869" i="34"/>
  <c r="H10870" i="34"/>
  <c r="H10871" i="34"/>
  <c r="H10872" i="34"/>
  <c r="H10873" i="34"/>
  <c r="H10874" i="34"/>
  <c r="H10875" i="34"/>
  <c r="H10876" i="34"/>
  <c r="H10877" i="34"/>
  <c r="H10878" i="34"/>
  <c r="H10879" i="34"/>
  <c r="H10880" i="34"/>
  <c r="H10881" i="34"/>
  <c r="H10882" i="34"/>
  <c r="H10883" i="34"/>
  <c r="H10884" i="34"/>
  <c r="H10885" i="34"/>
  <c r="H10886" i="34"/>
  <c r="H10887" i="34"/>
  <c r="H10888" i="34"/>
  <c r="H10889" i="34"/>
  <c r="H10890" i="34"/>
  <c r="H10891" i="34"/>
  <c r="H10892" i="34"/>
  <c r="H10893" i="34"/>
  <c r="H10894" i="34"/>
  <c r="H10895" i="34"/>
  <c r="H10896" i="34"/>
  <c r="H10897" i="34"/>
  <c r="H10898" i="34"/>
  <c r="H10899" i="34"/>
  <c r="H10900" i="34"/>
  <c r="H10901" i="34"/>
  <c r="H10902" i="34"/>
  <c r="H10903" i="34"/>
  <c r="H10904" i="34"/>
  <c r="H10905" i="34"/>
  <c r="H10906" i="34"/>
  <c r="H10907" i="34"/>
  <c r="H10908" i="34"/>
  <c r="H10909" i="34"/>
  <c r="H10910" i="34"/>
  <c r="H10911" i="34"/>
  <c r="H10912" i="34"/>
  <c r="H10913" i="34"/>
  <c r="H10914" i="34"/>
  <c r="H10915" i="34"/>
  <c r="H10916" i="34"/>
  <c r="H10917" i="34"/>
  <c r="H10918" i="34"/>
  <c r="H10919" i="34"/>
  <c r="H10920" i="34"/>
  <c r="H10921" i="34"/>
  <c r="H10922" i="34"/>
  <c r="H10923" i="34"/>
  <c r="H10924" i="34"/>
  <c r="H10925" i="34"/>
  <c r="H10926" i="34"/>
  <c r="H10927" i="34"/>
  <c r="H10928" i="34"/>
  <c r="H10929" i="34"/>
  <c r="H10930" i="34"/>
  <c r="H10931" i="34"/>
  <c r="H10932" i="34"/>
  <c r="H10933" i="34"/>
  <c r="H10934" i="34"/>
  <c r="H10935" i="34"/>
  <c r="H10936" i="34"/>
  <c r="H10937" i="34"/>
  <c r="H10938" i="34"/>
  <c r="H10939" i="34"/>
  <c r="H10940" i="34"/>
  <c r="H10941" i="34"/>
  <c r="H10942" i="34"/>
  <c r="H10943" i="34"/>
  <c r="H10944" i="34"/>
  <c r="H10945" i="34"/>
  <c r="H10946" i="34"/>
  <c r="H10947" i="34"/>
  <c r="H10948" i="34"/>
  <c r="H10949" i="34"/>
  <c r="H10950" i="34"/>
  <c r="H10951" i="34"/>
  <c r="H10952" i="34"/>
  <c r="H10953" i="34"/>
  <c r="H10954" i="34"/>
  <c r="H10955" i="34"/>
  <c r="H10956" i="34"/>
  <c r="H10957" i="34"/>
  <c r="H10958" i="34"/>
  <c r="H10959" i="34"/>
  <c r="H10960" i="34"/>
  <c r="H10961" i="34"/>
  <c r="H10962" i="34"/>
  <c r="H10963" i="34"/>
  <c r="H10964" i="34"/>
  <c r="H10965" i="34"/>
  <c r="H10966" i="34"/>
  <c r="H10967" i="34"/>
  <c r="H10968" i="34"/>
  <c r="H10969" i="34"/>
  <c r="H10970" i="34"/>
  <c r="H10971" i="34"/>
  <c r="H10972" i="34"/>
  <c r="H10973" i="34"/>
  <c r="H10974" i="34"/>
  <c r="H10975" i="34"/>
  <c r="H10976" i="34"/>
  <c r="H10977" i="34"/>
  <c r="H10978" i="34"/>
  <c r="H10979" i="34"/>
  <c r="H10980" i="34"/>
  <c r="H10981" i="34"/>
  <c r="H10982" i="34"/>
  <c r="H10983" i="34"/>
  <c r="H10984" i="34"/>
  <c r="H10985" i="34"/>
  <c r="H10986" i="34"/>
  <c r="H10987" i="34"/>
  <c r="H10988" i="34"/>
  <c r="H10989" i="34"/>
  <c r="H10990" i="34"/>
  <c r="H10991" i="34"/>
  <c r="H10992" i="34"/>
  <c r="H10993" i="34"/>
  <c r="H10994" i="34"/>
  <c r="H10995" i="34"/>
  <c r="H10996" i="34"/>
  <c r="H10997" i="34"/>
  <c r="H10998" i="34"/>
  <c r="H10999" i="34"/>
  <c r="H11000" i="34"/>
  <c r="H11001" i="34"/>
  <c r="H11002" i="34"/>
  <c r="H11003" i="34"/>
  <c r="H11004" i="34"/>
  <c r="H11005" i="34"/>
  <c r="H11006" i="34"/>
  <c r="H11007" i="34"/>
  <c r="H11008" i="34"/>
  <c r="H11009" i="34"/>
  <c r="H11010" i="34"/>
  <c r="H11011" i="34"/>
  <c r="H11012" i="34"/>
  <c r="H11013" i="34"/>
  <c r="H11014" i="34"/>
  <c r="H11015" i="34"/>
  <c r="H11016" i="34"/>
  <c r="H11017" i="34"/>
  <c r="H11018" i="34"/>
  <c r="H11019" i="34"/>
  <c r="H11020" i="34"/>
  <c r="H11021" i="34"/>
  <c r="H11022" i="34"/>
  <c r="H11023" i="34"/>
  <c r="H11024" i="34"/>
  <c r="H11025" i="34"/>
  <c r="H11026" i="34"/>
  <c r="H11027" i="34"/>
  <c r="H11028" i="34"/>
  <c r="H11029" i="34"/>
  <c r="H11030" i="34"/>
  <c r="H11031" i="34"/>
  <c r="H11032" i="34"/>
  <c r="H11033" i="34"/>
  <c r="H11034" i="34"/>
  <c r="H11035" i="34"/>
  <c r="H11036" i="34"/>
  <c r="H11037" i="34"/>
  <c r="H11038" i="34"/>
  <c r="H11039" i="34"/>
  <c r="H11040" i="34"/>
  <c r="H11041" i="34"/>
  <c r="H11042" i="34"/>
  <c r="H11043" i="34"/>
  <c r="H11044" i="34"/>
  <c r="H11045" i="34"/>
  <c r="H11046" i="34"/>
  <c r="H11047" i="34"/>
  <c r="H11048" i="34"/>
  <c r="H11049" i="34"/>
  <c r="H11050" i="34"/>
  <c r="H11051" i="34"/>
  <c r="H11052" i="34"/>
  <c r="H11053" i="34"/>
  <c r="H11054" i="34"/>
  <c r="H11055" i="34"/>
  <c r="H11056" i="34"/>
  <c r="H11057" i="34"/>
  <c r="H11058" i="34"/>
  <c r="H11059" i="34"/>
  <c r="H11060" i="34"/>
  <c r="H11061" i="34"/>
  <c r="H11062" i="34"/>
  <c r="H11063" i="34"/>
  <c r="H11064" i="34"/>
  <c r="H11065" i="34"/>
  <c r="H11066" i="34"/>
  <c r="H11067" i="34"/>
  <c r="H11068" i="34"/>
  <c r="H11069" i="34"/>
  <c r="H11070" i="34"/>
  <c r="H11071" i="34"/>
  <c r="H11072" i="34"/>
  <c r="H11073" i="34"/>
  <c r="H11074" i="34"/>
  <c r="H11075" i="34"/>
  <c r="H11076" i="34"/>
  <c r="H11077" i="34"/>
  <c r="H11078" i="34"/>
  <c r="H11079" i="34"/>
  <c r="H11080" i="34"/>
  <c r="H11081" i="34"/>
  <c r="H11082" i="34"/>
  <c r="H11083" i="34"/>
  <c r="H11084" i="34"/>
  <c r="H11085" i="34"/>
  <c r="H11086" i="34"/>
  <c r="H11087" i="34"/>
  <c r="H11088" i="34"/>
  <c r="H11089" i="34"/>
  <c r="H11090" i="34"/>
  <c r="H11091" i="34"/>
  <c r="H11092" i="34"/>
  <c r="H11093" i="34"/>
  <c r="H11094" i="34"/>
  <c r="H11095" i="34"/>
  <c r="H11096" i="34"/>
  <c r="H11097" i="34"/>
  <c r="H11098" i="34"/>
  <c r="H11099" i="34"/>
  <c r="H11100" i="34"/>
  <c r="H11101" i="34"/>
  <c r="H11102" i="34"/>
  <c r="H11103" i="34"/>
  <c r="H11104" i="34"/>
  <c r="H11105" i="34"/>
  <c r="H11106" i="34"/>
  <c r="H11107" i="34"/>
  <c r="H11108" i="34"/>
  <c r="H11109" i="34"/>
  <c r="H11110" i="34"/>
  <c r="H11111" i="34"/>
  <c r="H11112" i="34"/>
  <c r="H11113" i="34"/>
  <c r="H11114" i="34"/>
  <c r="H11115" i="34"/>
  <c r="H11116" i="34"/>
  <c r="H11117" i="34"/>
  <c r="H11118" i="34"/>
  <c r="H11119" i="34"/>
  <c r="H11120" i="34"/>
  <c r="H11121" i="34"/>
  <c r="H11122" i="34"/>
  <c r="H11123" i="34"/>
  <c r="H11124" i="34"/>
  <c r="H11125" i="34"/>
  <c r="H11126" i="34"/>
  <c r="H11127" i="34"/>
  <c r="H11128" i="34"/>
  <c r="H11129" i="34"/>
  <c r="H11130" i="34"/>
  <c r="H11131" i="34"/>
  <c r="H11132" i="34"/>
  <c r="H11133" i="34"/>
  <c r="H11134" i="34"/>
  <c r="H11135" i="34"/>
  <c r="H11136" i="34"/>
  <c r="H11137" i="34"/>
  <c r="H11138" i="34"/>
  <c r="H11139" i="34"/>
  <c r="H11140" i="34"/>
  <c r="H11141" i="34"/>
  <c r="H11142" i="34"/>
  <c r="H11143" i="34"/>
  <c r="H11144" i="34"/>
  <c r="H11145" i="34"/>
  <c r="H11146" i="34"/>
  <c r="H11147" i="34"/>
  <c r="H11148" i="34"/>
  <c r="H11149" i="34"/>
  <c r="H11150" i="34"/>
  <c r="H11151" i="34"/>
  <c r="H11152" i="34"/>
  <c r="H11153" i="34"/>
  <c r="H11154" i="34"/>
  <c r="H11155" i="34"/>
  <c r="H11156" i="34"/>
  <c r="H11157" i="34"/>
  <c r="H11158" i="34"/>
  <c r="H11159" i="34"/>
  <c r="H11160" i="34"/>
  <c r="H11161" i="34"/>
  <c r="H11162" i="34"/>
  <c r="H11163" i="34"/>
  <c r="H11164" i="34"/>
  <c r="H11165" i="34"/>
  <c r="H11166" i="34"/>
  <c r="H11167" i="34"/>
  <c r="H11168" i="34"/>
  <c r="H11169" i="34"/>
  <c r="H11170" i="34"/>
  <c r="H11171" i="34"/>
  <c r="H11172" i="34"/>
  <c r="H11173" i="34"/>
  <c r="H11174" i="34"/>
  <c r="H11175" i="34"/>
  <c r="H11176" i="34"/>
  <c r="H11177" i="34"/>
  <c r="H11178" i="34"/>
  <c r="H11179" i="34"/>
  <c r="H11180" i="34"/>
  <c r="H11181" i="34"/>
  <c r="H11182" i="34"/>
  <c r="H11183" i="34"/>
  <c r="H11184" i="34"/>
  <c r="H11185" i="34"/>
  <c r="H11186" i="34"/>
  <c r="H11187" i="34"/>
  <c r="H11188" i="34"/>
  <c r="H11189" i="34"/>
  <c r="H11190" i="34"/>
  <c r="H11191" i="34"/>
  <c r="H11192" i="34"/>
  <c r="H11193" i="34"/>
  <c r="H11194" i="34"/>
  <c r="H11195" i="34"/>
  <c r="H11196" i="34"/>
  <c r="H11197" i="34"/>
  <c r="H11198" i="34"/>
  <c r="H11199" i="34"/>
  <c r="H11200" i="34"/>
  <c r="H11201" i="34"/>
  <c r="H11202" i="34"/>
  <c r="H11203" i="34"/>
  <c r="H11204" i="34"/>
  <c r="H11205" i="34"/>
  <c r="H11206" i="34"/>
  <c r="H11207" i="34"/>
  <c r="H11208" i="34"/>
  <c r="H11209" i="34"/>
  <c r="H11210" i="34"/>
  <c r="H11211" i="34"/>
  <c r="H11212" i="34"/>
  <c r="H11213" i="34"/>
  <c r="H11214" i="34"/>
  <c r="H11215" i="34"/>
  <c r="H11216" i="34"/>
  <c r="H11217" i="34"/>
  <c r="H11218" i="34"/>
  <c r="H11219" i="34"/>
  <c r="H11220" i="34"/>
  <c r="H11221" i="34"/>
  <c r="H11222" i="34"/>
  <c r="H11223" i="34"/>
  <c r="H11224" i="34"/>
  <c r="H11225" i="34"/>
  <c r="H11226" i="34"/>
  <c r="H11227" i="34"/>
  <c r="H11228" i="34"/>
  <c r="H11229" i="34"/>
  <c r="H11230" i="34"/>
  <c r="H11231" i="34"/>
  <c r="H11232" i="34"/>
  <c r="H11233" i="34"/>
  <c r="H11234" i="34"/>
  <c r="H11235" i="34"/>
  <c r="H11236" i="34"/>
  <c r="H11237" i="34"/>
  <c r="H11238" i="34"/>
  <c r="H11239" i="34"/>
  <c r="H11240" i="34"/>
  <c r="H11241" i="34"/>
  <c r="H11242" i="34"/>
  <c r="H11243" i="34"/>
  <c r="H11244" i="34"/>
  <c r="H11245" i="34"/>
  <c r="H11246" i="34"/>
  <c r="H11247" i="34"/>
  <c r="H11248" i="34"/>
  <c r="H11249" i="34"/>
  <c r="H11250" i="34"/>
  <c r="H11251" i="34"/>
  <c r="H11252" i="34"/>
  <c r="H11253" i="34"/>
  <c r="H11254" i="34"/>
  <c r="H11255" i="34"/>
  <c r="H11256" i="34"/>
  <c r="H11257" i="34"/>
  <c r="H11258" i="34"/>
  <c r="H11259" i="34"/>
  <c r="H11260" i="34"/>
  <c r="H11261" i="34"/>
  <c r="H11262" i="34"/>
  <c r="H11263" i="34"/>
  <c r="H11264" i="34"/>
  <c r="H11265" i="34"/>
  <c r="H11266" i="34"/>
  <c r="H11267" i="34"/>
  <c r="H11268" i="34"/>
  <c r="H11269" i="34"/>
  <c r="H11270" i="34"/>
  <c r="H11271" i="34"/>
  <c r="H11272" i="34"/>
  <c r="H11273" i="34"/>
  <c r="H11274" i="34"/>
  <c r="H11275" i="34"/>
  <c r="H11276" i="34"/>
  <c r="H11277" i="34"/>
  <c r="H11278" i="34"/>
  <c r="H11279" i="34"/>
  <c r="H11280" i="34"/>
  <c r="H11281" i="34"/>
  <c r="H11282" i="34"/>
  <c r="H11283" i="34"/>
  <c r="H11284" i="34"/>
  <c r="H11285" i="34"/>
  <c r="H11286" i="34"/>
  <c r="H11287" i="34"/>
  <c r="H11288" i="34"/>
  <c r="H11289" i="34"/>
  <c r="H11290" i="34"/>
  <c r="H11291" i="34"/>
  <c r="H11292" i="34"/>
  <c r="H11293" i="34"/>
  <c r="H11294" i="34"/>
  <c r="H11295" i="34"/>
  <c r="H11296" i="34"/>
  <c r="H11297" i="34"/>
  <c r="H11298" i="34"/>
  <c r="H11299" i="34"/>
  <c r="H11300" i="34"/>
  <c r="H11301" i="34"/>
  <c r="H11302" i="34"/>
  <c r="H11303" i="34"/>
  <c r="H11304" i="34"/>
  <c r="H11305" i="34"/>
  <c r="H11306" i="34"/>
  <c r="H11307" i="34"/>
  <c r="H11308" i="34"/>
  <c r="H11309" i="34"/>
  <c r="H11310" i="34"/>
  <c r="H11311" i="34"/>
  <c r="H11312" i="34"/>
  <c r="H11313" i="34"/>
  <c r="H11314" i="34"/>
  <c r="H11315" i="34"/>
  <c r="H11316" i="34"/>
  <c r="H11317" i="34"/>
  <c r="H11318" i="34"/>
  <c r="H11319" i="34"/>
  <c r="H11320" i="34"/>
  <c r="H11321" i="34"/>
  <c r="H11322" i="34"/>
  <c r="H11323" i="34"/>
  <c r="H11324" i="34"/>
  <c r="H11325" i="34"/>
  <c r="H11326" i="34"/>
  <c r="H11327" i="34"/>
  <c r="H11328" i="34"/>
  <c r="H11329" i="34"/>
  <c r="H11330" i="34"/>
  <c r="H11331" i="34"/>
  <c r="H11332" i="34"/>
  <c r="H11333" i="34"/>
  <c r="H11334" i="34"/>
  <c r="H11335" i="34"/>
  <c r="H11336" i="34"/>
  <c r="H11337" i="34"/>
  <c r="H11338" i="34"/>
  <c r="H11339" i="34"/>
  <c r="H11340" i="34"/>
  <c r="H11341" i="34"/>
  <c r="H11342" i="34"/>
  <c r="H11343" i="34"/>
  <c r="H11344" i="34"/>
  <c r="H11345" i="34"/>
  <c r="H11346" i="34"/>
  <c r="H11347" i="34"/>
  <c r="H11348" i="34"/>
  <c r="H11349" i="34"/>
  <c r="H11350" i="34"/>
  <c r="H11351" i="34"/>
  <c r="H11352" i="34"/>
  <c r="H11353" i="34"/>
  <c r="H11354" i="34"/>
  <c r="H11355" i="34"/>
  <c r="H11356" i="34"/>
  <c r="H11357" i="34"/>
  <c r="H11358" i="34"/>
  <c r="H11359" i="34"/>
  <c r="H11360" i="34"/>
  <c r="H11361" i="34"/>
  <c r="H11362" i="34"/>
  <c r="H11363" i="34"/>
  <c r="H11364" i="34"/>
  <c r="H11365" i="34"/>
  <c r="H11366" i="34"/>
  <c r="H11367" i="34"/>
  <c r="H11368" i="34"/>
  <c r="H11369" i="34"/>
  <c r="H11370" i="34"/>
  <c r="H11371" i="34"/>
  <c r="H11372" i="34"/>
  <c r="H11373" i="34"/>
  <c r="H11374" i="34"/>
  <c r="H11375" i="34"/>
  <c r="H11376" i="34"/>
  <c r="H11377" i="34"/>
  <c r="H11378" i="34"/>
  <c r="H11379" i="34"/>
  <c r="H11380" i="34"/>
  <c r="H11381" i="34"/>
  <c r="H11382" i="34"/>
  <c r="H11383" i="34"/>
  <c r="H11384" i="34"/>
  <c r="H11385" i="34"/>
  <c r="H11386" i="34"/>
  <c r="H11387" i="34"/>
  <c r="H11388" i="34"/>
  <c r="H11389" i="34"/>
  <c r="H11390" i="34"/>
  <c r="H11391" i="34"/>
  <c r="H11392" i="34"/>
  <c r="H11393" i="34"/>
  <c r="H11394" i="34"/>
  <c r="H11395" i="34"/>
  <c r="H11396" i="34"/>
  <c r="H11397" i="34"/>
  <c r="H11398" i="34"/>
  <c r="H11399" i="34"/>
  <c r="H11400" i="34"/>
  <c r="H11401" i="34"/>
  <c r="H11402" i="34"/>
  <c r="H11403" i="34"/>
  <c r="H11404" i="34"/>
  <c r="H11405" i="34"/>
  <c r="H11406" i="34"/>
  <c r="H11407" i="34"/>
  <c r="H11408" i="34"/>
  <c r="H11409" i="34"/>
  <c r="H11410" i="34"/>
  <c r="H11411" i="34"/>
  <c r="H11412" i="34"/>
  <c r="H11413" i="34"/>
  <c r="H11414" i="34"/>
  <c r="H11415" i="34"/>
  <c r="H11416" i="34"/>
  <c r="H11417" i="34"/>
  <c r="H11418" i="34"/>
  <c r="H11419" i="34"/>
  <c r="H11420" i="34"/>
  <c r="H11421" i="34"/>
  <c r="H11422" i="34"/>
  <c r="H11423" i="34"/>
  <c r="H11424" i="34"/>
  <c r="H11425" i="34"/>
  <c r="H11426" i="34"/>
  <c r="H11427" i="34"/>
  <c r="H11428" i="34"/>
  <c r="H11429" i="34"/>
  <c r="H11430" i="34"/>
  <c r="H11431" i="34"/>
  <c r="H11432" i="34"/>
  <c r="H11433" i="34"/>
  <c r="H11434" i="34"/>
  <c r="H11435" i="34"/>
  <c r="H11436" i="34"/>
  <c r="H11437" i="34"/>
  <c r="H11438" i="34"/>
  <c r="H11439" i="34"/>
  <c r="H11440" i="34"/>
  <c r="H11441" i="34"/>
  <c r="H11442" i="34"/>
  <c r="H11443" i="34"/>
  <c r="H11444" i="34"/>
  <c r="H11445" i="34"/>
  <c r="H11446" i="34"/>
  <c r="H11447" i="34"/>
  <c r="H11448" i="34"/>
  <c r="H11449" i="34"/>
  <c r="H11450" i="34"/>
  <c r="H11451" i="34"/>
  <c r="H11452" i="34"/>
  <c r="H11453" i="34"/>
  <c r="H11454" i="34"/>
  <c r="H11455" i="34"/>
  <c r="H11456" i="34"/>
  <c r="H11457" i="34"/>
  <c r="H11458" i="34"/>
  <c r="H11459" i="34"/>
  <c r="H11460" i="34"/>
  <c r="H11461" i="34"/>
  <c r="H11462" i="34"/>
  <c r="H11463" i="34"/>
  <c r="H11464" i="34"/>
  <c r="H11465" i="34"/>
  <c r="H11466" i="34"/>
  <c r="H11467" i="34"/>
  <c r="H11468" i="34"/>
  <c r="H11469" i="34"/>
  <c r="H11470" i="34"/>
  <c r="H11471" i="34"/>
  <c r="H11472" i="34"/>
  <c r="H11473" i="34"/>
  <c r="H11474" i="34"/>
  <c r="H11475" i="34"/>
  <c r="H11476" i="34"/>
  <c r="H11477" i="34"/>
  <c r="H11478" i="34"/>
  <c r="H11479" i="34"/>
  <c r="H11480" i="34"/>
  <c r="H11481" i="34"/>
  <c r="H11482" i="34"/>
  <c r="H11483" i="34"/>
  <c r="H11484" i="34"/>
  <c r="H11485" i="34"/>
  <c r="H11486" i="34"/>
  <c r="H11487" i="34"/>
  <c r="H11488" i="34"/>
  <c r="H11489" i="34"/>
  <c r="H11490" i="34"/>
  <c r="H11491" i="34"/>
  <c r="H11492" i="34"/>
  <c r="H11493" i="34"/>
  <c r="H11494" i="34"/>
  <c r="H11495" i="34"/>
  <c r="H11496" i="34"/>
  <c r="H11497" i="34"/>
  <c r="H11498" i="34"/>
  <c r="H11499" i="34"/>
  <c r="H11500" i="34"/>
  <c r="H11501" i="34"/>
  <c r="H11502" i="34"/>
  <c r="H11503" i="34"/>
  <c r="H11504" i="34"/>
  <c r="H11505" i="34"/>
  <c r="H11506" i="34"/>
  <c r="H11507" i="34"/>
  <c r="H11508" i="34"/>
  <c r="H11509" i="34"/>
  <c r="H11510" i="34"/>
  <c r="H11511" i="34"/>
  <c r="H11512" i="34"/>
  <c r="H11513" i="34"/>
  <c r="H11514" i="34"/>
  <c r="H11515" i="34"/>
  <c r="H11516" i="34"/>
  <c r="H11517" i="34"/>
  <c r="H11518" i="34"/>
  <c r="H11519" i="34"/>
  <c r="H11520" i="34"/>
  <c r="H11521" i="34"/>
  <c r="H11522" i="34"/>
  <c r="H11523" i="34"/>
  <c r="H11524" i="34"/>
  <c r="H11525" i="34"/>
  <c r="H11526" i="34"/>
  <c r="H11527" i="34"/>
  <c r="H11528" i="34"/>
  <c r="H11529" i="34"/>
  <c r="H11530" i="34"/>
  <c r="H11531" i="34"/>
  <c r="H11532" i="34"/>
  <c r="H11533" i="34"/>
  <c r="H11534" i="34"/>
  <c r="H11535" i="34"/>
  <c r="H11536" i="34"/>
  <c r="H11537" i="34"/>
  <c r="H11538" i="34"/>
  <c r="H11539" i="34"/>
  <c r="H11540" i="34"/>
  <c r="H11541" i="34"/>
  <c r="H11542" i="34"/>
  <c r="H11543" i="34"/>
  <c r="H11544" i="34"/>
  <c r="H11545" i="34"/>
  <c r="H11546" i="34"/>
  <c r="H11547" i="34"/>
  <c r="H11548" i="34"/>
  <c r="H11549" i="34"/>
  <c r="H11550" i="34"/>
  <c r="H11551" i="34"/>
  <c r="H11552" i="34"/>
  <c r="H11553" i="34"/>
  <c r="H11554" i="34"/>
  <c r="H11555" i="34"/>
  <c r="H11556" i="34"/>
  <c r="H11557" i="34"/>
  <c r="H11558" i="34"/>
  <c r="H11559" i="34"/>
  <c r="H11560" i="34"/>
  <c r="H11561" i="34"/>
  <c r="H11562" i="34"/>
  <c r="H11563" i="34"/>
  <c r="H11564" i="34"/>
  <c r="H11565" i="34"/>
  <c r="H11566" i="34"/>
  <c r="H11567" i="34"/>
  <c r="H11568" i="34"/>
  <c r="H11569" i="34"/>
  <c r="H11570" i="34"/>
  <c r="H11571" i="34"/>
  <c r="H11572" i="34"/>
  <c r="H11573" i="34"/>
  <c r="H11574" i="34"/>
  <c r="H11575" i="34"/>
  <c r="H11576" i="34"/>
  <c r="H11577" i="34"/>
  <c r="H11578" i="34"/>
  <c r="H11579" i="34"/>
  <c r="H11580" i="34"/>
  <c r="H11581" i="34"/>
  <c r="H11582" i="34"/>
  <c r="H11583" i="34"/>
  <c r="H11584" i="34"/>
  <c r="H11585" i="34"/>
  <c r="H11586" i="34"/>
  <c r="H11587" i="34"/>
  <c r="H11588" i="34"/>
  <c r="H11589" i="34"/>
  <c r="H11590" i="34"/>
  <c r="H11591" i="34"/>
  <c r="H11592" i="34"/>
  <c r="H11593" i="34"/>
  <c r="H11594" i="34"/>
  <c r="H11595" i="34"/>
  <c r="H11596" i="34"/>
  <c r="H11597" i="34"/>
  <c r="H11598" i="34"/>
  <c r="H11599" i="34"/>
  <c r="H11600" i="34"/>
  <c r="H11601" i="34"/>
  <c r="H11602" i="34"/>
  <c r="H11603" i="34"/>
  <c r="H11604" i="34"/>
  <c r="H11605" i="34"/>
  <c r="H11606" i="34"/>
  <c r="H11607" i="34"/>
  <c r="H11608" i="34"/>
  <c r="H11609" i="34"/>
  <c r="H11610" i="34"/>
  <c r="H11611" i="34"/>
  <c r="H11612" i="34"/>
  <c r="H11613" i="34"/>
  <c r="H11614" i="34"/>
  <c r="H11615" i="34"/>
  <c r="H11616" i="34"/>
  <c r="H11617" i="34"/>
  <c r="H11618" i="34"/>
  <c r="H11619" i="34"/>
  <c r="H11620" i="34"/>
  <c r="H11621" i="34"/>
  <c r="H11622" i="34"/>
  <c r="H11623" i="34"/>
  <c r="H11624" i="34"/>
  <c r="H11625" i="34"/>
  <c r="H11626" i="34"/>
  <c r="H11627" i="34"/>
  <c r="H11628" i="34"/>
  <c r="H11629" i="34"/>
  <c r="H11630" i="34"/>
  <c r="H11631" i="34"/>
  <c r="H11632" i="34"/>
  <c r="H11633" i="34"/>
  <c r="H11634" i="34"/>
  <c r="H11635" i="34"/>
  <c r="H11636" i="34"/>
  <c r="H11637" i="34"/>
  <c r="H11638" i="34"/>
  <c r="H11639" i="34"/>
  <c r="H11640" i="34"/>
  <c r="H11641" i="34"/>
  <c r="H11642" i="34"/>
  <c r="H11643" i="34"/>
  <c r="H11644" i="34"/>
  <c r="H11645" i="34"/>
  <c r="H11646" i="34"/>
  <c r="H11647" i="34"/>
  <c r="H11648" i="34"/>
  <c r="H11649" i="34"/>
  <c r="H11650" i="34"/>
  <c r="H11651" i="34"/>
  <c r="H11652" i="34"/>
  <c r="H11653" i="34"/>
  <c r="H11654" i="34"/>
  <c r="H11655" i="34"/>
  <c r="H11656" i="34"/>
  <c r="H11657" i="34"/>
  <c r="H11658" i="34"/>
  <c r="H11659" i="34"/>
  <c r="H11660" i="34"/>
  <c r="H11661" i="34"/>
  <c r="H11662" i="34"/>
  <c r="H11663" i="34"/>
  <c r="H11664" i="34"/>
  <c r="H11665" i="34"/>
  <c r="H11666" i="34"/>
  <c r="H11667" i="34"/>
  <c r="H11668" i="34"/>
  <c r="H11669" i="34"/>
  <c r="H11670" i="34"/>
  <c r="H11671" i="34"/>
  <c r="H11672" i="34"/>
  <c r="H11673" i="34"/>
  <c r="H11674" i="34"/>
  <c r="H11675" i="34"/>
  <c r="H11676" i="34"/>
  <c r="H11677" i="34"/>
  <c r="H11678" i="34"/>
  <c r="H11679" i="34"/>
  <c r="H11680" i="34"/>
  <c r="H11681" i="34"/>
  <c r="H11682" i="34"/>
  <c r="H11683" i="34"/>
  <c r="H11684" i="34"/>
  <c r="H11685" i="34"/>
  <c r="H11686" i="34"/>
  <c r="H11687" i="34"/>
  <c r="H11688" i="34"/>
  <c r="H11689" i="34"/>
  <c r="H11690" i="34"/>
  <c r="H11691" i="34"/>
  <c r="H11692" i="34"/>
  <c r="H11693" i="34"/>
  <c r="H11694" i="34"/>
  <c r="H11695" i="34"/>
  <c r="H11696" i="34"/>
  <c r="H11697" i="34"/>
  <c r="H11698" i="34"/>
  <c r="H11699" i="34"/>
  <c r="H11700" i="34"/>
  <c r="H11701" i="34"/>
  <c r="H11702" i="34"/>
  <c r="H11703" i="34"/>
  <c r="H11704" i="34"/>
  <c r="H11705" i="34"/>
  <c r="H11706" i="34"/>
  <c r="H11707" i="34"/>
  <c r="H11708" i="34"/>
  <c r="H11709" i="34"/>
  <c r="H11710" i="34"/>
  <c r="H11711" i="34"/>
  <c r="H11712" i="34"/>
  <c r="H11713" i="34"/>
  <c r="H11714" i="34"/>
  <c r="H11715" i="34"/>
  <c r="H11716" i="34"/>
  <c r="H11717" i="34"/>
  <c r="H11718" i="34"/>
  <c r="H11719" i="34"/>
  <c r="H11720" i="34"/>
  <c r="H11721" i="34"/>
  <c r="H11722" i="34"/>
  <c r="H11723" i="34"/>
  <c r="H11724" i="34"/>
  <c r="H11725" i="34"/>
  <c r="H11726" i="34"/>
  <c r="H11727" i="34"/>
  <c r="H11728" i="34"/>
  <c r="H11729" i="34"/>
  <c r="H11730" i="34"/>
  <c r="H11731" i="34"/>
  <c r="H11732" i="34"/>
  <c r="H11733" i="34"/>
  <c r="H11734" i="34"/>
  <c r="H11735" i="34"/>
  <c r="H11736" i="34"/>
  <c r="H11737" i="34"/>
  <c r="H11738" i="34"/>
  <c r="H11739" i="34"/>
  <c r="H11740" i="34"/>
  <c r="H11741" i="34"/>
  <c r="H11742" i="34"/>
  <c r="H11743" i="34"/>
  <c r="H11744" i="34"/>
  <c r="H11745" i="34"/>
  <c r="H11746" i="34"/>
  <c r="H11747" i="34"/>
  <c r="H11748" i="34"/>
  <c r="H11749" i="34"/>
  <c r="H11750" i="34"/>
  <c r="H11751" i="34"/>
  <c r="H11752" i="34"/>
  <c r="H11753" i="34"/>
  <c r="H11754" i="34"/>
  <c r="H11755" i="34"/>
  <c r="H11756" i="34"/>
  <c r="H11757" i="34"/>
  <c r="H11758" i="34"/>
  <c r="H11759" i="34"/>
  <c r="H11760" i="34"/>
  <c r="H11761" i="34"/>
  <c r="H11762" i="34"/>
  <c r="H11763" i="34"/>
  <c r="H11764" i="34"/>
  <c r="H11765" i="34"/>
  <c r="H11766" i="34"/>
  <c r="H11767" i="34"/>
  <c r="H11768" i="34"/>
  <c r="H11769" i="34"/>
  <c r="H11770" i="34"/>
  <c r="H11771" i="34"/>
  <c r="H11772" i="34"/>
  <c r="H11773" i="34"/>
  <c r="H11774" i="34"/>
  <c r="H11775" i="34"/>
  <c r="H11776" i="34"/>
  <c r="H11777" i="34"/>
  <c r="H11778" i="34"/>
  <c r="H11779" i="34"/>
  <c r="H11780" i="34"/>
  <c r="H11781" i="34"/>
  <c r="H11782" i="34"/>
  <c r="H11783" i="34"/>
  <c r="H11784" i="34"/>
  <c r="H11785" i="34"/>
  <c r="H11786" i="34"/>
  <c r="H11787" i="34"/>
  <c r="H11788" i="34"/>
  <c r="H11789" i="34"/>
  <c r="H11790" i="34"/>
  <c r="H11791" i="34"/>
  <c r="H11792" i="34"/>
  <c r="H11793" i="34"/>
  <c r="H11794" i="34"/>
  <c r="H11795" i="34"/>
  <c r="H11796" i="34"/>
  <c r="H11797" i="34"/>
  <c r="H11798" i="34"/>
  <c r="H11799" i="34"/>
  <c r="H11800" i="34"/>
  <c r="H11801" i="34"/>
  <c r="H11802" i="34"/>
  <c r="H11803" i="34"/>
  <c r="H11804" i="34"/>
  <c r="H11805" i="34"/>
  <c r="H11806" i="34"/>
  <c r="H11807" i="34"/>
  <c r="H11808" i="34"/>
  <c r="H11809" i="34"/>
  <c r="H11810" i="34"/>
  <c r="H11811" i="34"/>
  <c r="H11812" i="34"/>
  <c r="H11813" i="34"/>
  <c r="H11814" i="34"/>
  <c r="H11815" i="34"/>
  <c r="H11816" i="34"/>
  <c r="H11817" i="34"/>
  <c r="H11818" i="34"/>
  <c r="H11819" i="34"/>
  <c r="H11820" i="34"/>
  <c r="H11821" i="34"/>
  <c r="H11822" i="34"/>
  <c r="H11823" i="34"/>
  <c r="H11824" i="34"/>
  <c r="H11825" i="34"/>
  <c r="H11826" i="34"/>
  <c r="H11827" i="34"/>
  <c r="H11828" i="34"/>
  <c r="H11829" i="34"/>
  <c r="H11830" i="34"/>
  <c r="H11831" i="34"/>
  <c r="H11832" i="34"/>
  <c r="H11833" i="34"/>
  <c r="H11834" i="34"/>
  <c r="H11835" i="34"/>
  <c r="H11836" i="34"/>
  <c r="H11837" i="34"/>
  <c r="H11838" i="34"/>
  <c r="H11839" i="34"/>
  <c r="H11840" i="34"/>
  <c r="H11841" i="34"/>
  <c r="H11842" i="34"/>
  <c r="H11843" i="34"/>
  <c r="H11844" i="34"/>
  <c r="H11845" i="34"/>
  <c r="H11846" i="34"/>
  <c r="H11847" i="34"/>
  <c r="H11848" i="34"/>
  <c r="H11849" i="34"/>
  <c r="H11850" i="34"/>
  <c r="H11851" i="34"/>
  <c r="H11852" i="34"/>
  <c r="H11853" i="34"/>
  <c r="H11854" i="34"/>
  <c r="H11855" i="34"/>
  <c r="H11856" i="34"/>
  <c r="H11857" i="34"/>
  <c r="H11858" i="34"/>
  <c r="H11859" i="34"/>
  <c r="H11860" i="34"/>
  <c r="H11861" i="34"/>
  <c r="H11862" i="34"/>
  <c r="H11863" i="34"/>
  <c r="H11864" i="34"/>
  <c r="H11865" i="34"/>
  <c r="H11866" i="34"/>
  <c r="H11867" i="34"/>
  <c r="H11868" i="34"/>
  <c r="H11869" i="34"/>
  <c r="H11870" i="34"/>
  <c r="H11871" i="34"/>
  <c r="H11872" i="34"/>
  <c r="H11873" i="34"/>
  <c r="H11874" i="34"/>
  <c r="H11875" i="34"/>
  <c r="H11876" i="34"/>
  <c r="H11877" i="34"/>
  <c r="H11878" i="34"/>
  <c r="H11879" i="34"/>
  <c r="H11880" i="34"/>
  <c r="H11881" i="34"/>
  <c r="H11882" i="34"/>
  <c r="H11883" i="34"/>
  <c r="H11884" i="34"/>
  <c r="H11885" i="34"/>
  <c r="H11886" i="34"/>
  <c r="H11887" i="34"/>
  <c r="H11888" i="34"/>
  <c r="H11889" i="34"/>
  <c r="H11890" i="34"/>
  <c r="H11891" i="34"/>
  <c r="H11892" i="34"/>
  <c r="H11893" i="34"/>
  <c r="H11894" i="34"/>
  <c r="H11895" i="34"/>
  <c r="H11896" i="34"/>
  <c r="H11897" i="34"/>
  <c r="H11898" i="34"/>
  <c r="H11899" i="34"/>
  <c r="H11900" i="34"/>
  <c r="H11901" i="34"/>
  <c r="H11902" i="34"/>
  <c r="H11903" i="34"/>
  <c r="H11904" i="34"/>
  <c r="H11905" i="34"/>
  <c r="H11906" i="34"/>
  <c r="H11907" i="34"/>
  <c r="H11908" i="34"/>
  <c r="H11909" i="34"/>
  <c r="H11910" i="34"/>
  <c r="H11911" i="34"/>
  <c r="H11912" i="34"/>
  <c r="H11913" i="34"/>
  <c r="H11914" i="34"/>
  <c r="H11915" i="34"/>
  <c r="H11916" i="34"/>
  <c r="H11917" i="34"/>
  <c r="H11918" i="34"/>
  <c r="H11919" i="34"/>
  <c r="H11920" i="34"/>
  <c r="H11921" i="34"/>
  <c r="H11922" i="34"/>
  <c r="H11923" i="34"/>
  <c r="H11924" i="34"/>
  <c r="H11925" i="34"/>
  <c r="H11926" i="34"/>
  <c r="H11927" i="34"/>
  <c r="H11928" i="34"/>
  <c r="H11929" i="34"/>
  <c r="H11930" i="34"/>
  <c r="H11931" i="34"/>
  <c r="H11932" i="34"/>
  <c r="H11933" i="34"/>
  <c r="H11934" i="34"/>
  <c r="H11935" i="34"/>
  <c r="H11936" i="34"/>
  <c r="H11937" i="34"/>
  <c r="H11938" i="34"/>
  <c r="H11939" i="34"/>
  <c r="H11940" i="34"/>
  <c r="H11941" i="34"/>
  <c r="H11942" i="34"/>
  <c r="H11943" i="34"/>
  <c r="H11944" i="34"/>
  <c r="H11945" i="34"/>
  <c r="H11946" i="34"/>
  <c r="H11947" i="34"/>
  <c r="H11948" i="34"/>
  <c r="H11949" i="34"/>
  <c r="H11950" i="34"/>
  <c r="H11951" i="34"/>
  <c r="H11952" i="34"/>
  <c r="H11953" i="34"/>
  <c r="H11954" i="34"/>
  <c r="H11955" i="34"/>
  <c r="H11956" i="34"/>
  <c r="H11957" i="34"/>
  <c r="H11958" i="34"/>
  <c r="H11959" i="34"/>
  <c r="H11960" i="34"/>
  <c r="H11961" i="34"/>
  <c r="H11962" i="34"/>
  <c r="H11963" i="34"/>
  <c r="H11964" i="34"/>
  <c r="H11965" i="34"/>
  <c r="H11966" i="34"/>
  <c r="H11967" i="34"/>
  <c r="H11968" i="34"/>
  <c r="H11969" i="34"/>
  <c r="H11970" i="34"/>
  <c r="H11971" i="34"/>
  <c r="H11972" i="34"/>
  <c r="H11973" i="34"/>
  <c r="H11974" i="34"/>
  <c r="H11975" i="34"/>
  <c r="H11976" i="34"/>
  <c r="H11977" i="34"/>
  <c r="H11978" i="34"/>
  <c r="H11979" i="34"/>
  <c r="H11980" i="34"/>
  <c r="H11981" i="34"/>
  <c r="H11982" i="34"/>
  <c r="H11983" i="34"/>
  <c r="H11984" i="34"/>
  <c r="H11985" i="34"/>
  <c r="H11986" i="34"/>
  <c r="H11987" i="34"/>
  <c r="H11988" i="34"/>
  <c r="H11989" i="34"/>
  <c r="H11990" i="34"/>
  <c r="H11991" i="34"/>
  <c r="H11992" i="34"/>
  <c r="H11993" i="34"/>
  <c r="H11994" i="34"/>
  <c r="H11995" i="34"/>
  <c r="H11996" i="34"/>
  <c r="H11997" i="34"/>
  <c r="H11998" i="34"/>
  <c r="H11999" i="34"/>
  <c r="H12000" i="34"/>
  <c r="H12001" i="34"/>
  <c r="H12002" i="34"/>
  <c r="H12003" i="34"/>
  <c r="H12004" i="34"/>
  <c r="H12005" i="34"/>
  <c r="H12006" i="34"/>
  <c r="H12007" i="34"/>
  <c r="H12008" i="34"/>
  <c r="H12009" i="34"/>
  <c r="H12010" i="34"/>
  <c r="H12011" i="34"/>
  <c r="H12012" i="34"/>
  <c r="H12013" i="34"/>
  <c r="H12014" i="34"/>
  <c r="H12015" i="34"/>
  <c r="H12016" i="34"/>
  <c r="H12017" i="34"/>
  <c r="H12018" i="34"/>
  <c r="H12019" i="34"/>
  <c r="H12020" i="34"/>
  <c r="H12021" i="34"/>
  <c r="H12022" i="34"/>
  <c r="H12023" i="34"/>
  <c r="H12024" i="34"/>
  <c r="H12025" i="34"/>
  <c r="H12026" i="34"/>
  <c r="H12027" i="34"/>
  <c r="H12028" i="34"/>
  <c r="H12029" i="34"/>
  <c r="H12030" i="34"/>
  <c r="H12031" i="34"/>
  <c r="H12032" i="34"/>
  <c r="H12033" i="34"/>
  <c r="H12034" i="34"/>
  <c r="H12035" i="34"/>
  <c r="H12036" i="34"/>
  <c r="H12037" i="34"/>
  <c r="H12038" i="34"/>
  <c r="H12039" i="34"/>
  <c r="H12040" i="34"/>
  <c r="H12041" i="34"/>
  <c r="H12042" i="34"/>
  <c r="H12043" i="34"/>
  <c r="H12044" i="34"/>
  <c r="H12045" i="34"/>
  <c r="H12046" i="34"/>
  <c r="H12047" i="34"/>
  <c r="H12048" i="34"/>
  <c r="H12049" i="34"/>
  <c r="H12050" i="34"/>
  <c r="H12051" i="34"/>
  <c r="H12052" i="34"/>
  <c r="H12053" i="34"/>
  <c r="H12054" i="34"/>
  <c r="H12055" i="34"/>
  <c r="H12056" i="34"/>
  <c r="H12057" i="34"/>
  <c r="H12058" i="34"/>
  <c r="H12059" i="34"/>
  <c r="H12060" i="34"/>
  <c r="H12061" i="34"/>
  <c r="H12062" i="34"/>
  <c r="H12063" i="34"/>
  <c r="H12064" i="34"/>
  <c r="H12065" i="34"/>
  <c r="H12066" i="34"/>
  <c r="H12067" i="34"/>
  <c r="H12068" i="34"/>
  <c r="H12069" i="34"/>
  <c r="H12070" i="34"/>
  <c r="H12071" i="34"/>
  <c r="H12072" i="34"/>
  <c r="H12073" i="34"/>
  <c r="H12074" i="34"/>
  <c r="H12075" i="34"/>
  <c r="H12076" i="34"/>
  <c r="H12077" i="34"/>
  <c r="H12078" i="34"/>
  <c r="H12079" i="34"/>
  <c r="H12080" i="34"/>
  <c r="H12081" i="34"/>
  <c r="H12082" i="34"/>
  <c r="H12083" i="34"/>
  <c r="H12084" i="34"/>
  <c r="H12085" i="34"/>
  <c r="H12086" i="34"/>
  <c r="H12087" i="34"/>
  <c r="H12088" i="34"/>
  <c r="H12089" i="34"/>
  <c r="H12090" i="34"/>
  <c r="H12091" i="34"/>
  <c r="H12092" i="34"/>
  <c r="H12093" i="34"/>
  <c r="H12094" i="34"/>
  <c r="H12095" i="34"/>
  <c r="H12096" i="34"/>
  <c r="H12097" i="34"/>
  <c r="H12098" i="34"/>
  <c r="H12099" i="34"/>
  <c r="H12100" i="34"/>
  <c r="H12101" i="34"/>
  <c r="H12102" i="34"/>
  <c r="H12103" i="34"/>
  <c r="H12104" i="34"/>
  <c r="H12105" i="34"/>
  <c r="H12106" i="34"/>
  <c r="H12107" i="34"/>
  <c r="H12108" i="34"/>
  <c r="H12109" i="34"/>
  <c r="H12110" i="34"/>
  <c r="H12111" i="34"/>
  <c r="H12112" i="34"/>
  <c r="H12113" i="34"/>
  <c r="H12114" i="34"/>
  <c r="H12115" i="34"/>
  <c r="H12116" i="34"/>
  <c r="H12117" i="34"/>
  <c r="H12118" i="34"/>
  <c r="H12119" i="34"/>
  <c r="H12120" i="34"/>
  <c r="H12121" i="34"/>
  <c r="H12122" i="34"/>
  <c r="H12123" i="34"/>
  <c r="H12124" i="34"/>
  <c r="H12125" i="34"/>
  <c r="H12126" i="34"/>
  <c r="H12127" i="34"/>
  <c r="H12128" i="34"/>
  <c r="H12129" i="34"/>
  <c r="H12130" i="34"/>
  <c r="H12131" i="34"/>
  <c r="H12132" i="34"/>
  <c r="H12133" i="34"/>
  <c r="H12134" i="34"/>
  <c r="H12135" i="34"/>
  <c r="H12136" i="34"/>
  <c r="H12137" i="34"/>
  <c r="H12138" i="34"/>
  <c r="H12139" i="34"/>
  <c r="H12140" i="34"/>
  <c r="H12141" i="34"/>
  <c r="H12142" i="34"/>
  <c r="H12143" i="34"/>
  <c r="H12144" i="34"/>
  <c r="H12145" i="34"/>
  <c r="H12146" i="34"/>
  <c r="H12147" i="34"/>
  <c r="H12148" i="34"/>
  <c r="H12149" i="34"/>
  <c r="H12150" i="34"/>
  <c r="H12151" i="34"/>
  <c r="H12152" i="34"/>
  <c r="H12153" i="34"/>
  <c r="H12154" i="34"/>
  <c r="H12155" i="34"/>
  <c r="H12156" i="34"/>
  <c r="H12157" i="34"/>
  <c r="H12158" i="34"/>
  <c r="H12159" i="34"/>
  <c r="H12160" i="34"/>
  <c r="H12161" i="34"/>
  <c r="H12162" i="34"/>
  <c r="H12163" i="34"/>
  <c r="H12164" i="34"/>
  <c r="H12165" i="34"/>
  <c r="H12166" i="34"/>
  <c r="H12167" i="34"/>
  <c r="H12168" i="34"/>
  <c r="H12169" i="34"/>
  <c r="H12170" i="34"/>
  <c r="H12171" i="34"/>
  <c r="H12172" i="34"/>
  <c r="H12173" i="34"/>
  <c r="H12174" i="34"/>
  <c r="H12175" i="34"/>
  <c r="H12176" i="34"/>
  <c r="H12177" i="34"/>
  <c r="H12178" i="34"/>
  <c r="H12179" i="34"/>
  <c r="H12180" i="34"/>
  <c r="H12181" i="34"/>
  <c r="H12182" i="34"/>
  <c r="H12183" i="34"/>
  <c r="H12184" i="34"/>
  <c r="H12185" i="34"/>
  <c r="H12186" i="34"/>
  <c r="H12187" i="34"/>
  <c r="H12188" i="34"/>
  <c r="H12189" i="34"/>
  <c r="H12190" i="34"/>
  <c r="H12191" i="34"/>
  <c r="H12192" i="34"/>
  <c r="H12193" i="34"/>
  <c r="H12194" i="34"/>
  <c r="H12195" i="34"/>
  <c r="H12196" i="34"/>
  <c r="H12197" i="34"/>
  <c r="H12198" i="34"/>
  <c r="H12199" i="34"/>
  <c r="H12200" i="34"/>
  <c r="H12201" i="34"/>
  <c r="H12202" i="34"/>
  <c r="H12203" i="34"/>
  <c r="H12204" i="34"/>
  <c r="H12205" i="34"/>
  <c r="H12206" i="34"/>
  <c r="H12207" i="34"/>
  <c r="H12208" i="34"/>
  <c r="H12209" i="34"/>
  <c r="H12210" i="34"/>
  <c r="H12211" i="34"/>
  <c r="H12212" i="34"/>
  <c r="H12213" i="34"/>
  <c r="H12214" i="34"/>
  <c r="H12215" i="34"/>
  <c r="H12216" i="34"/>
  <c r="H12217" i="34"/>
  <c r="H12218" i="34"/>
  <c r="H12219" i="34"/>
  <c r="H12220" i="34"/>
  <c r="H12221" i="34"/>
  <c r="H12222" i="34"/>
  <c r="H12223" i="34"/>
  <c r="H12224" i="34"/>
  <c r="H12225" i="34"/>
  <c r="H12226" i="34"/>
  <c r="H12227" i="34"/>
  <c r="H12228" i="34"/>
  <c r="H12229" i="34"/>
  <c r="H12230" i="34"/>
  <c r="H12231" i="34"/>
  <c r="H12232" i="34"/>
  <c r="H12233" i="34"/>
  <c r="H12234" i="34"/>
  <c r="H12235" i="34"/>
  <c r="H12236" i="34"/>
  <c r="H12237" i="34"/>
  <c r="H12238" i="34"/>
  <c r="H12239" i="34"/>
  <c r="H12240" i="34"/>
  <c r="H12241" i="34"/>
  <c r="H12242" i="34"/>
  <c r="H12243" i="34"/>
  <c r="H12244" i="34"/>
  <c r="H12245" i="34"/>
  <c r="H12246" i="34"/>
  <c r="H12247" i="34"/>
  <c r="H12248" i="34"/>
  <c r="H12249" i="34"/>
  <c r="H12250" i="34"/>
  <c r="H12251" i="34"/>
  <c r="H12252" i="34"/>
  <c r="H12253" i="34"/>
  <c r="H12254" i="34"/>
  <c r="H12255" i="34"/>
  <c r="H12256" i="34"/>
  <c r="H12257" i="34"/>
  <c r="H12258" i="34"/>
  <c r="H12259" i="34"/>
  <c r="H12260" i="34"/>
  <c r="H12261" i="34"/>
  <c r="H12262" i="34"/>
  <c r="H12263" i="34"/>
  <c r="H12264" i="34"/>
  <c r="H12265" i="34"/>
  <c r="H12266" i="34"/>
  <c r="H12267" i="34"/>
  <c r="H12268" i="34"/>
  <c r="H12269" i="34"/>
  <c r="H12270" i="34"/>
  <c r="H12271" i="34"/>
  <c r="H12272" i="34"/>
  <c r="H12273" i="34"/>
  <c r="H12274" i="34"/>
  <c r="H12275" i="34"/>
  <c r="H12276" i="34"/>
  <c r="H12277" i="34"/>
  <c r="H12278" i="34"/>
  <c r="H12279" i="34"/>
  <c r="H12280" i="34"/>
  <c r="H12281" i="34"/>
  <c r="H12282" i="34"/>
  <c r="H12283" i="34"/>
  <c r="H12284" i="34"/>
  <c r="H12285" i="34"/>
  <c r="H12286" i="34"/>
  <c r="H12287" i="34"/>
  <c r="H12288" i="34"/>
  <c r="H12289" i="34"/>
  <c r="H12290" i="34"/>
  <c r="H12291" i="34"/>
  <c r="H12292" i="34"/>
  <c r="H12293" i="34"/>
  <c r="H12294" i="34"/>
  <c r="H12295" i="34"/>
  <c r="H12296" i="34"/>
  <c r="H12297" i="34"/>
  <c r="H12298" i="34"/>
  <c r="H12299" i="34"/>
  <c r="H12300" i="34"/>
  <c r="H12301" i="34"/>
  <c r="H12302" i="34"/>
  <c r="H12303" i="34"/>
  <c r="H12304" i="34"/>
  <c r="H12305" i="34"/>
  <c r="H12306" i="34"/>
  <c r="H12307" i="34"/>
  <c r="H12308" i="34"/>
  <c r="H12309" i="34"/>
  <c r="H12310" i="34"/>
  <c r="H12311" i="34"/>
  <c r="H12312" i="34"/>
  <c r="H12313" i="34"/>
  <c r="H12314" i="34"/>
  <c r="H12315" i="34"/>
  <c r="H12316" i="34"/>
  <c r="H12317" i="34"/>
  <c r="H12318" i="34"/>
  <c r="H12319" i="34"/>
  <c r="H12320" i="34"/>
  <c r="H12321" i="34"/>
  <c r="H12322" i="34"/>
  <c r="H12323" i="34"/>
  <c r="H12324" i="34"/>
  <c r="H12325" i="34"/>
  <c r="H12326" i="34"/>
  <c r="H12327" i="34"/>
  <c r="H12328" i="34"/>
  <c r="H12329" i="34"/>
  <c r="H12330" i="34"/>
  <c r="H12331" i="34"/>
  <c r="H12332" i="34"/>
  <c r="H12333" i="34"/>
  <c r="H12334" i="34"/>
  <c r="H12335" i="34"/>
  <c r="H12336" i="34"/>
  <c r="H12337" i="34"/>
  <c r="H12338" i="34"/>
  <c r="H12339" i="34"/>
  <c r="H12340" i="34"/>
  <c r="H12341" i="34"/>
  <c r="H12342" i="34"/>
  <c r="H12343" i="34"/>
  <c r="H12344" i="34"/>
  <c r="H12345" i="34"/>
  <c r="H12346" i="34"/>
  <c r="H12347" i="34"/>
  <c r="H12348" i="34"/>
  <c r="H12349" i="34"/>
  <c r="H12350" i="34"/>
  <c r="H12351" i="34"/>
  <c r="H12352" i="34"/>
  <c r="H12353" i="34"/>
  <c r="H12354" i="34"/>
  <c r="H12355" i="34"/>
  <c r="H12356" i="34"/>
  <c r="H12357" i="34"/>
  <c r="H12358" i="34"/>
  <c r="H12359" i="34"/>
  <c r="H12360" i="34"/>
  <c r="H12361" i="34"/>
  <c r="H12362" i="34"/>
  <c r="H12363" i="34"/>
  <c r="H12364" i="34"/>
  <c r="H12365" i="34"/>
  <c r="H12366" i="34"/>
  <c r="H12367" i="34"/>
  <c r="H12368" i="34"/>
  <c r="H12369" i="34"/>
  <c r="H12370" i="34"/>
  <c r="H12371" i="34"/>
  <c r="H12372" i="34"/>
  <c r="H12373" i="34"/>
  <c r="H12374" i="34"/>
  <c r="H12375" i="34"/>
  <c r="H12376" i="34"/>
  <c r="H12377" i="34"/>
  <c r="H12378" i="34"/>
  <c r="H12379" i="34"/>
  <c r="H12380" i="34"/>
  <c r="H12381" i="34"/>
  <c r="H12382" i="34"/>
  <c r="H12383" i="34"/>
  <c r="H12384" i="34"/>
  <c r="H12385" i="34"/>
  <c r="H12386" i="34"/>
  <c r="H12387" i="34"/>
  <c r="H12388" i="34"/>
  <c r="H12389" i="34"/>
  <c r="H12390" i="34"/>
  <c r="H12391" i="34"/>
  <c r="H12392" i="34"/>
  <c r="H12393" i="34"/>
  <c r="H12394" i="34"/>
  <c r="H12395" i="34"/>
  <c r="H12396" i="34"/>
  <c r="H12397" i="34"/>
  <c r="H12398" i="34"/>
  <c r="H12399" i="34"/>
  <c r="H12400" i="34"/>
  <c r="H12401" i="34"/>
  <c r="H12402" i="34"/>
  <c r="H12403" i="34"/>
  <c r="H12404" i="34"/>
  <c r="H12405" i="34"/>
  <c r="H12406" i="34"/>
  <c r="H12407" i="34"/>
  <c r="H12408" i="34"/>
  <c r="H12409" i="34"/>
  <c r="H12410" i="34"/>
  <c r="H12411" i="34"/>
  <c r="H12412" i="34"/>
  <c r="H12413" i="34"/>
  <c r="H12414" i="34"/>
  <c r="H12415" i="34"/>
  <c r="H12416" i="34"/>
  <c r="H12417" i="34"/>
  <c r="H12418" i="34"/>
  <c r="H12419" i="34"/>
  <c r="H12420" i="34"/>
  <c r="H12421" i="34"/>
  <c r="H12422" i="34"/>
  <c r="H12423" i="34"/>
  <c r="H12424" i="34"/>
  <c r="H12425" i="34"/>
  <c r="H12426" i="34"/>
  <c r="H12427" i="34"/>
  <c r="H12428" i="34"/>
  <c r="H12429" i="34"/>
  <c r="H12430" i="34"/>
  <c r="H12431" i="34"/>
  <c r="H12432" i="34"/>
  <c r="H12433" i="34"/>
  <c r="H12434" i="34"/>
  <c r="H12435" i="34"/>
  <c r="H12436" i="34"/>
  <c r="H12437" i="34"/>
  <c r="H12438" i="34"/>
  <c r="H12439" i="34"/>
  <c r="H12440" i="34"/>
  <c r="H12441" i="34"/>
  <c r="H12442" i="34"/>
  <c r="H12443" i="34"/>
  <c r="H12444" i="34"/>
  <c r="H12445" i="34"/>
  <c r="H12446" i="34"/>
  <c r="H12447" i="34"/>
  <c r="H12448" i="34"/>
  <c r="H12449" i="34"/>
  <c r="H12450" i="34"/>
  <c r="H12451" i="34"/>
  <c r="H12452" i="34"/>
  <c r="H12453" i="34"/>
  <c r="H12454" i="34"/>
  <c r="H12455" i="34"/>
  <c r="H12456" i="34"/>
  <c r="H12457" i="34"/>
  <c r="H12458" i="34"/>
  <c r="H12459" i="34"/>
  <c r="H12460" i="34"/>
  <c r="H12461" i="34"/>
  <c r="H12462" i="34"/>
  <c r="H12463" i="34"/>
  <c r="H12464" i="34"/>
  <c r="H12465" i="34"/>
  <c r="H12466" i="34"/>
  <c r="H12467" i="34"/>
  <c r="H12468" i="34"/>
  <c r="H12469" i="34"/>
  <c r="H12470" i="34"/>
  <c r="H12471" i="34"/>
  <c r="H12472" i="34"/>
  <c r="H12473" i="34"/>
  <c r="H12474" i="34"/>
  <c r="H12475" i="34"/>
  <c r="H12476" i="34"/>
  <c r="H12477" i="34"/>
  <c r="H12478" i="34"/>
  <c r="H12479" i="34"/>
  <c r="H12480" i="34"/>
  <c r="H12481" i="34"/>
  <c r="H12482" i="34"/>
  <c r="H12483" i="34"/>
  <c r="H12484" i="34"/>
  <c r="H12485" i="34"/>
  <c r="H12486" i="34"/>
  <c r="H12487" i="34"/>
  <c r="H12488" i="34"/>
  <c r="H12489" i="34"/>
  <c r="H12490" i="34"/>
  <c r="H12491" i="34"/>
  <c r="H12492" i="34"/>
  <c r="H12493" i="34"/>
  <c r="H12494" i="34"/>
  <c r="H12495" i="34"/>
  <c r="H12496" i="34"/>
  <c r="H12497" i="34"/>
  <c r="H12498" i="34"/>
  <c r="H12499" i="34"/>
  <c r="H12500" i="34"/>
  <c r="H12501" i="34"/>
  <c r="H12502" i="34"/>
  <c r="H12503" i="34"/>
  <c r="H12504" i="34"/>
  <c r="H12505" i="34"/>
  <c r="H12506" i="34"/>
  <c r="H12507" i="34"/>
  <c r="H12508" i="34"/>
  <c r="H12509" i="34"/>
  <c r="H12510" i="34"/>
  <c r="H12511" i="34"/>
  <c r="H12512" i="34"/>
  <c r="H12513" i="34"/>
  <c r="H12514" i="34"/>
  <c r="H12515" i="34"/>
  <c r="H12516" i="34"/>
  <c r="H12517" i="34"/>
  <c r="H12518" i="34"/>
  <c r="H12519" i="34"/>
  <c r="H12520" i="34"/>
  <c r="H12521" i="34"/>
  <c r="H12522" i="34"/>
  <c r="H12523" i="34"/>
  <c r="H12524" i="34"/>
  <c r="H12525" i="34"/>
  <c r="H12526" i="34"/>
  <c r="H12527" i="34"/>
  <c r="H12528" i="34"/>
  <c r="H12529" i="34"/>
  <c r="H12530" i="34"/>
  <c r="H12531" i="34"/>
  <c r="H12532" i="34"/>
  <c r="H12533" i="34"/>
  <c r="H12534" i="34"/>
  <c r="H12535" i="34"/>
  <c r="H12536" i="34"/>
  <c r="H12537" i="34"/>
  <c r="H12538" i="34"/>
  <c r="H12539" i="34"/>
  <c r="H12540" i="34"/>
  <c r="H12541" i="34"/>
  <c r="H12542" i="34"/>
  <c r="H12543" i="34"/>
  <c r="H12544" i="34"/>
  <c r="H12545" i="34"/>
  <c r="H12546" i="34"/>
  <c r="H12547" i="34"/>
  <c r="H12548" i="34"/>
  <c r="H12549" i="34"/>
  <c r="H12550" i="34"/>
  <c r="H12551" i="34"/>
  <c r="H12552" i="34"/>
  <c r="H12553" i="34"/>
  <c r="H12554" i="34"/>
  <c r="H12555" i="34"/>
  <c r="H12556" i="34"/>
  <c r="H12557" i="34"/>
  <c r="H12558" i="34"/>
  <c r="H12559" i="34"/>
  <c r="H12560" i="34"/>
  <c r="H12561" i="34"/>
  <c r="H12562" i="34"/>
  <c r="H12563" i="34"/>
  <c r="H12564" i="34"/>
  <c r="H12565" i="34"/>
  <c r="H12566" i="34"/>
  <c r="H12567" i="34"/>
  <c r="H12568" i="34"/>
  <c r="H12569" i="34"/>
  <c r="H12570" i="34"/>
  <c r="H12571" i="34"/>
  <c r="H12572" i="34"/>
  <c r="H12573" i="34"/>
  <c r="H12574" i="34"/>
  <c r="H12575" i="34"/>
  <c r="H12576" i="34"/>
  <c r="H12577" i="34"/>
  <c r="H12578" i="34"/>
  <c r="H12579" i="34"/>
  <c r="H12580" i="34"/>
  <c r="H12581" i="34"/>
  <c r="H12582" i="34"/>
  <c r="H12583" i="34"/>
  <c r="H12584" i="34"/>
  <c r="H12585" i="34"/>
  <c r="H12586" i="34"/>
  <c r="H12587" i="34"/>
  <c r="H12588" i="34"/>
  <c r="H12589" i="34"/>
  <c r="H12590" i="34"/>
  <c r="H12591" i="34"/>
  <c r="H12592" i="34"/>
  <c r="H12593" i="34"/>
  <c r="H12594" i="34"/>
  <c r="H12595" i="34"/>
  <c r="H12596" i="34"/>
  <c r="H12597" i="34"/>
  <c r="H12598" i="34"/>
  <c r="H12599" i="34"/>
  <c r="H12600" i="34"/>
  <c r="H12601" i="34"/>
  <c r="H12602" i="34"/>
  <c r="H12603" i="34"/>
  <c r="H12604" i="34"/>
  <c r="H12605" i="34"/>
  <c r="H12606" i="34"/>
  <c r="H12607" i="34"/>
  <c r="H12608" i="34"/>
  <c r="H12609" i="34"/>
  <c r="H12610" i="34"/>
  <c r="H12611" i="34"/>
  <c r="H12612" i="34"/>
  <c r="H12613" i="34"/>
  <c r="H12614" i="34"/>
  <c r="H12615" i="34"/>
  <c r="H12616" i="34"/>
  <c r="H12617" i="34"/>
  <c r="H12618" i="34"/>
  <c r="H12619" i="34"/>
  <c r="H12620" i="34"/>
  <c r="H12621" i="34"/>
  <c r="H12622" i="34"/>
  <c r="H12623" i="34"/>
  <c r="H12624" i="34"/>
  <c r="H12625" i="34"/>
  <c r="H12626" i="34"/>
  <c r="H12627" i="34"/>
  <c r="H12628" i="34"/>
  <c r="H12629" i="34"/>
  <c r="H12630" i="34"/>
  <c r="H12631" i="34"/>
  <c r="H12632" i="34"/>
  <c r="H12633" i="34"/>
  <c r="H12634" i="34"/>
  <c r="H12635" i="34"/>
  <c r="H12636" i="34"/>
  <c r="H12637" i="34"/>
  <c r="H12638" i="34"/>
  <c r="H12639" i="34"/>
  <c r="H12640" i="34"/>
  <c r="H12641" i="34"/>
  <c r="H12642" i="34"/>
  <c r="H12643" i="34"/>
  <c r="H12644" i="34"/>
  <c r="H12645" i="34"/>
  <c r="H12646" i="34"/>
  <c r="H12647" i="34"/>
  <c r="H12648" i="34"/>
  <c r="H12649" i="34"/>
  <c r="H12650" i="34"/>
  <c r="H12651" i="34"/>
  <c r="H12652" i="34"/>
  <c r="H12653" i="34"/>
  <c r="H12654" i="34"/>
  <c r="H12655" i="34"/>
  <c r="H12656" i="34"/>
  <c r="H12657" i="34"/>
  <c r="H12658" i="34"/>
  <c r="H12659" i="34"/>
  <c r="H12660" i="34"/>
  <c r="H12661" i="34"/>
  <c r="H12662" i="34"/>
  <c r="H12663" i="34"/>
  <c r="H12664" i="34"/>
  <c r="H12665" i="34"/>
  <c r="H12666" i="34"/>
  <c r="H12667" i="34"/>
  <c r="H12668" i="34"/>
  <c r="H12669" i="34"/>
  <c r="H12670" i="34"/>
  <c r="H12671" i="34"/>
  <c r="H12672" i="34"/>
  <c r="H12673" i="34"/>
  <c r="H12674" i="34"/>
  <c r="H12675" i="34"/>
  <c r="H12676" i="34"/>
  <c r="H12677" i="34"/>
  <c r="H12678" i="34"/>
  <c r="H12679" i="34"/>
  <c r="H12680" i="34"/>
  <c r="H12681" i="34"/>
  <c r="H12682" i="34"/>
  <c r="H12683" i="34"/>
  <c r="H12684" i="34"/>
  <c r="H12685" i="34"/>
  <c r="H12686" i="34"/>
  <c r="H12687" i="34"/>
  <c r="H12688" i="34"/>
  <c r="H12689" i="34"/>
  <c r="H12690" i="34"/>
  <c r="H12691" i="34"/>
  <c r="H12692" i="34"/>
  <c r="H12693" i="34"/>
  <c r="H12694" i="34"/>
  <c r="H12695" i="34"/>
  <c r="H12696" i="34"/>
  <c r="H12697" i="34"/>
  <c r="H12698" i="34"/>
  <c r="H12699" i="34"/>
  <c r="H12700" i="34"/>
  <c r="H12701" i="34"/>
  <c r="H12702" i="34"/>
  <c r="H12703" i="34"/>
  <c r="H12704" i="34"/>
  <c r="H12705" i="34"/>
  <c r="H12706" i="34"/>
  <c r="H12707" i="34"/>
  <c r="H12708" i="34"/>
  <c r="H12709" i="34"/>
  <c r="H12710" i="34"/>
  <c r="H12711" i="34"/>
  <c r="H12712" i="34"/>
  <c r="H12713" i="34"/>
  <c r="H12714" i="34"/>
  <c r="H12715" i="34"/>
  <c r="H12716" i="34"/>
  <c r="H12717" i="34"/>
  <c r="H12718" i="34"/>
  <c r="H12719" i="34"/>
  <c r="H12720" i="34"/>
  <c r="H12721" i="34"/>
  <c r="H12722" i="34"/>
  <c r="H12723" i="34"/>
  <c r="H12724" i="34"/>
  <c r="H12725" i="34"/>
  <c r="H12726" i="34"/>
  <c r="H12727" i="34"/>
  <c r="H12728" i="34"/>
  <c r="H12729" i="34"/>
  <c r="H12730" i="34"/>
  <c r="H12731" i="34"/>
  <c r="H12732" i="34"/>
  <c r="H12733" i="34"/>
  <c r="H12734" i="34"/>
  <c r="H12735" i="34"/>
  <c r="H12736" i="34"/>
  <c r="H12737" i="34"/>
  <c r="H12738" i="34"/>
  <c r="H12739" i="34"/>
  <c r="H12740" i="34"/>
  <c r="H12741" i="34"/>
  <c r="H12742" i="34"/>
  <c r="H12743" i="34"/>
  <c r="H12744" i="34"/>
  <c r="H12745" i="34"/>
  <c r="H12746" i="34"/>
  <c r="H12747" i="34"/>
  <c r="H12748" i="34"/>
  <c r="H12749" i="34"/>
  <c r="H12750" i="34"/>
  <c r="H12751" i="34"/>
  <c r="H12752" i="34"/>
  <c r="H12753" i="34"/>
  <c r="H12754" i="34"/>
  <c r="H12755" i="34"/>
  <c r="H12756" i="34"/>
  <c r="H12757" i="34"/>
  <c r="H12758" i="34"/>
  <c r="H12759" i="34"/>
  <c r="H12760" i="34"/>
  <c r="H12761" i="34"/>
  <c r="H12762" i="34"/>
  <c r="H12763" i="34"/>
  <c r="H12764" i="34"/>
  <c r="H12765" i="34"/>
  <c r="H12766" i="34"/>
  <c r="H12767" i="34"/>
  <c r="H12768" i="34"/>
  <c r="H12769" i="34"/>
  <c r="H12770" i="34"/>
  <c r="H12771" i="34"/>
  <c r="H12772" i="34"/>
  <c r="H12773" i="34"/>
  <c r="H12774" i="34"/>
  <c r="H12775" i="34"/>
  <c r="H12776" i="34"/>
  <c r="H12777" i="34"/>
  <c r="H12778" i="34"/>
  <c r="H12779" i="34"/>
  <c r="H12780" i="34"/>
  <c r="H12781" i="34"/>
  <c r="H12782" i="34"/>
  <c r="H12783" i="34"/>
  <c r="H12784" i="34"/>
  <c r="H12785" i="34"/>
  <c r="H12786" i="34"/>
  <c r="H12787" i="34"/>
  <c r="H12788" i="34"/>
  <c r="H12789" i="34"/>
  <c r="H12790" i="34"/>
  <c r="H12791" i="34"/>
  <c r="H12792" i="34"/>
  <c r="H12793" i="34"/>
  <c r="H12794" i="34"/>
  <c r="H12795" i="34"/>
  <c r="H12796" i="34"/>
  <c r="H12797" i="34"/>
  <c r="H12798" i="34"/>
  <c r="H12799" i="34"/>
  <c r="H12800" i="34"/>
  <c r="H12801" i="34"/>
  <c r="H12802" i="34"/>
  <c r="H12803" i="34"/>
  <c r="H12804" i="34"/>
  <c r="H12805" i="34"/>
  <c r="H12806" i="34"/>
  <c r="H12807" i="34"/>
  <c r="H12808" i="34"/>
  <c r="H12809" i="34"/>
  <c r="H12810" i="34"/>
  <c r="H12811" i="34"/>
  <c r="H12812" i="34"/>
  <c r="H12813" i="34"/>
  <c r="H12814" i="34"/>
  <c r="H12815" i="34"/>
  <c r="H12816" i="34"/>
  <c r="H12817" i="34"/>
  <c r="H12818" i="34"/>
  <c r="H12819" i="34"/>
  <c r="H12820" i="34"/>
  <c r="H12821" i="34"/>
  <c r="H12822" i="34"/>
  <c r="H12823" i="34"/>
  <c r="H12824" i="34"/>
  <c r="H12825" i="34"/>
  <c r="H12826" i="34"/>
  <c r="H12827" i="34"/>
  <c r="H12828" i="34"/>
  <c r="H12829" i="34"/>
  <c r="H12830" i="34"/>
  <c r="H12831" i="34"/>
  <c r="H12832" i="34"/>
  <c r="H12833" i="34"/>
  <c r="H12834" i="34"/>
  <c r="H12835" i="34"/>
  <c r="H12836" i="34"/>
  <c r="H12837" i="34"/>
  <c r="H12838" i="34"/>
  <c r="H12839" i="34"/>
  <c r="H12840" i="34"/>
  <c r="H12841" i="34"/>
  <c r="H12842" i="34"/>
  <c r="H12843" i="34"/>
  <c r="H12844" i="34"/>
  <c r="H12845" i="34"/>
  <c r="H12846" i="34"/>
  <c r="H12847" i="34"/>
  <c r="H12848" i="34"/>
  <c r="H12849" i="34"/>
  <c r="H12850" i="34"/>
  <c r="H12851" i="34"/>
  <c r="H12852" i="34"/>
  <c r="H12853" i="34"/>
  <c r="H12854" i="34"/>
  <c r="H12855" i="34"/>
  <c r="H12856" i="34"/>
  <c r="H12857" i="34"/>
  <c r="H12858" i="34"/>
  <c r="H12859" i="34"/>
  <c r="H12860" i="34"/>
  <c r="H12861" i="34"/>
  <c r="H12862" i="34"/>
  <c r="H12863" i="34"/>
  <c r="H12864" i="34"/>
  <c r="H12865" i="34"/>
  <c r="H12866" i="34"/>
  <c r="H12867" i="34"/>
  <c r="H12868" i="34"/>
  <c r="H12869" i="34"/>
  <c r="H12870" i="34"/>
  <c r="H12871" i="34"/>
  <c r="H12872" i="34"/>
  <c r="H12873" i="34"/>
  <c r="H12874" i="34"/>
  <c r="H12875" i="34"/>
  <c r="H12876" i="34"/>
  <c r="H12877" i="34"/>
  <c r="H12878" i="34"/>
  <c r="H12879" i="34"/>
  <c r="H12880" i="34"/>
  <c r="H12881" i="34"/>
  <c r="H12882" i="34"/>
  <c r="H12883" i="34"/>
  <c r="H12884" i="34"/>
  <c r="H12885" i="34"/>
  <c r="H12886" i="34"/>
  <c r="H12887" i="34"/>
  <c r="H12888" i="34"/>
  <c r="H12889" i="34"/>
  <c r="H12890" i="34"/>
  <c r="H12891" i="34"/>
  <c r="H12892" i="34"/>
  <c r="H12893" i="34"/>
  <c r="H12894" i="34"/>
  <c r="H12895" i="34"/>
  <c r="H12896" i="34"/>
  <c r="H12897" i="34"/>
  <c r="H12898" i="34"/>
  <c r="H12899" i="34"/>
  <c r="H12900" i="34"/>
  <c r="H12901" i="34"/>
  <c r="H12902" i="34"/>
  <c r="H12903" i="34"/>
  <c r="H12904" i="34"/>
  <c r="H12905" i="34"/>
  <c r="H12906" i="34"/>
  <c r="H12907" i="34"/>
  <c r="H12908" i="34"/>
  <c r="H12909" i="34"/>
  <c r="H12910" i="34"/>
  <c r="H12911" i="34"/>
  <c r="H12912" i="34"/>
  <c r="H12913" i="34"/>
  <c r="H12914" i="34"/>
  <c r="H12915" i="34"/>
  <c r="H12916" i="34"/>
  <c r="H12917" i="34"/>
  <c r="H12918" i="34"/>
  <c r="H12919" i="34"/>
  <c r="H12920" i="34"/>
  <c r="H12921" i="34"/>
  <c r="H12922" i="34"/>
  <c r="H12923" i="34"/>
  <c r="H12924" i="34"/>
  <c r="H12925" i="34"/>
  <c r="H12926" i="34"/>
  <c r="H12927" i="34"/>
  <c r="H12928" i="34"/>
  <c r="H12929" i="34"/>
  <c r="H12930" i="34"/>
  <c r="H12931" i="34"/>
  <c r="H12932" i="34"/>
  <c r="H12933" i="34"/>
  <c r="H12934" i="34"/>
  <c r="H12935" i="34"/>
  <c r="H12936" i="34"/>
  <c r="H12937" i="34"/>
  <c r="H12938" i="34"/>
  <c r="H12939" i="34"/>
  <c r="H12940" i="34"/>
  <c r="H12941" i="34"/>
  <c r="H12942" i="34"/>
  <c r="H12943" i="34"/>
  <c r="H12944" i="34"/>
  <c r="H12945" i="34"/>
  <c r="H12946" i="34"/>
  <c r="H12947" i="34"/>
  <c r="H12948" i="34"/>
  <c r="H12949" i="34"/>
  <c r="H12950" i="34"/>
  <c r="H12951" i="34"/>
  <c r="H12952" i="34"/>
  <c r="H12953" i="34"/>
  <c r="H12954" i="34"/>
  <c r="H12955" i="34"/>
  <c r="H12956" i="34"/>
  <c r="H12957" i="34"/>
  <c r="H12958" i="34"/>
  <c r="H12959" i="34"/>
  <c r="H12960" i="34"/>
  <c r="H12961" i="34"/>
  <c r="H12962" i="34"/>
  <c r="H12963" i="34"/>
  <c r="H12964" i="34"/>
  <c r="H12965" i="34"/>
  <c r="H12966" i="34"/>
  <c r="H12967" i="34"/>
  <c r="H12968" i="34"/>
  <c r="H12969" i="34"/>
  <c r="H12970" i="34"/>
  <c r="H12971" i="34"/>
  <c r="H12972" i="34"/>
  <c r="H12973" i="34"/>
  <c r="H12974" i="34"/>
  <c r="H12975" i="34"/>
  <c r="H12976" i="34"/>
  <c r="H12977" i="34"/>
  <c r="H12978" i="34"/>
  <c r="H12979" i="34"/>
  <c r="H12980" i="34"/>
  <c r="H12981" i="34"/>
  <c r="H12982" i="34"/>
  <c r="H12983" i="34"/>
  <c r="H12984" i="34"/>
  <c r="H12985" i="34"/>
  <c r="H12986" i="34"/>
  <c r="H12987" i="34"/>
  <c r="H12988" i="34"/>
  <c r="H12989" i="34"/>
  <c r="H12990" i="34"/>
  <c r="H12991" i="34"/>
  <c r="H12992" i="34"/>
  <c r="H12993" i="34"/>
  <c r="H12994" i="34"/>
  <c r="H12995" i="34"/>
  <c r="H12996" i="34"/>
  <c r="H12997" i="34"/>
  <c r="H12998" i="34"/>
  <c r="H12999" i="34"/>
  <c r="H13000" i="34"/>
  <c r="H13001" i="34"/>
  <c r="H13002" i="34"/>
  <c r="H13003" i="34"/>
  <c r="H13004" i="34"/>
  <c r="H13005" i="34"/>
  <c r="H13006" i="34"/>
  <c r="H13007" i="34"/>
  <c r="H13008" i="34"/>
  <c r="H13009" i="34"/>
  <c r="H13010" i="34"/>
  <c r="H13011" i="34"/>
  <c r="H13012" i="34"/>
  <c r="H13013" i="34"/>
  <c r="H13014" i="34"/>
  <c r="H13015" i="34"/>
  <c r="H13016" i="34"/>
  <c r="H13017" i="34"/>
  <c r="H13018" i="34"/>
  <c r="H13019" i="34"/>
  <c r="H13020" i="34"/>
  <c r="H13021" i="34"/>
  <c r="H13022" i="34"/>
  <c r="H13023" i="34"/>
  <c r="H13024" i="34"/>
  <c r="H13025" i="34"/>
  <c r="H13026" i="34"/>
  <c r="H13027" i="34"/>
  <c r="H13028" i="34"/>
  <c r="H13029" i="34"/>
  <c r="H13030" i="34"/>
  <c r="H13031" i="34"/>
  <c r="H13032" i="34"/>
  <c r="H13033" i="34"/>
  <c r="H13034" i="34"/>
  <c r="H13035" i="34"/>
  <c r="H13036" i="34"/>
  <c r="H13037" i="34"/>
  <c r="H13038" i="34"/>
  <c r="H13039" i="34"/>
  <c r="H13040" i="34"/>
  <c r="H13041" i="34"/>
  <c r="H13042" i="34"/>
  <c r="H13043" i="34"/>
  <c r="H13044" i="34"/>
  <c r="H13045" i="34"/>
  <c r="H13046" i="34"/>
  <c r="H13047" i="34"/>
  <c r="H13048" i="34"/>
  <c r="H13049" i="34"/>
  <c r="H13050" i="34"/>
  <c r="H13051" i="34"/>
  <c r="H13052" i="34"/>
  <c r="H13053" i="34"/>
  <c r="H13054" i="34"/>
  <c r="H13055" i="34"/>
  <c r="H13056" i="34"/>
  <c r="H13057" i="34"/>
  <c r="H13058" i="34"/>
  <c r="H13059" i="34"/>
  <c r="H13060" i="34"/>
  <c r="H13061" i="34"/>
  <c r="H13062" i="34"/>
  <c r="H13063" i="34"/>
  <c r="H13064" i="34"/>
  <c r="H13065" i="34"/>
  <c r="H13066" i="34"/>
  <c r="H13067" i="34"/>
  <c r="H13068" i="34"/>
  <c r="H13069" i="34"/>
  <c r="H13070" i="34"/>
  <c r="H13071" i="34"/>
  <c r="H13072" i="34"/>
  <c r="H13073" i="34"/>
  <c r="H13074" i="34"/>
  <c r="H13075" i="34"/>
  <c r="H13076" i="34"/>
  <c r="H13077" i="34"/>
  <c r="H13078" i="34"/>
  <c r="H13079" i="34"/>
  <c r="H13080" i="34"/>
  <c r="H13081" i="34"/>
  <c r="H13082" i="34"/>
  <c r="H13083" i="34"/>
  <c r="H13084" i="34"/>
  <c r="H13085" i="34"/>
  <c r="H13086" i="34"/>
  <c r="H13087" i="34"/>
  <c r="H13088" i="34"/>
  <c r="H13089" i="34"/>
  <c r="H13090" i="34"/>
  <c r="H13091" i="34"/>
  <c r="H13092" i="34"/>
  <c r="H13093" i="34"/>
  <c r="H13094" i="34"/>
  <c r="H13095" i="34"/>
  <c r="H13096" i="34"/>
  <c r="H13097" i="34"/>
  <c r="H13098" i="34"/>
  <c r="H13099" i="34"/>
  <c r="H13100" i="34"/>
  <c r="H13101" i="34"/>
  <c r="H13102" i="34"/>
  <c r="H13103" i="34"/>
  <c r="H13104" i="34"/>
  <c r="H13105" i="34"/>
  <c r="H13106" i="34"/>
  <c r="H13107" i="34"/>
  <c r="H13108" i="34"/>
  <c r="H13109" i="34"/>
  <c r="H13110" i="34"/>
  <c r="H13111" i="34"/>
  <c r="H13112" i="34"/>
  <c r="H13113" i="34"/>
  <c r="H13114" i="34"/>
  <c r="H13115" i="34"/>
  <c r="H13116" i="34"/>
  <c r="H13117" i="34"/>
  <c r="H13118" i="34"/>
  <c r="H13119" i="34"/>
  <c r="H13120" i="34"/>
  <c r="H13121" i="34"/>
  <c r="H13122" i="34"/>
  <c r="H13123" i="34"/>
  <c r="H13124" i="34"/>
  <c r="H13125" i="34"/>
  <c r="H13126" i="34"/>
  <c r="H13127" i="34"/>
  <c r="H13128" i="34"/>
  <c r="H13129" i="34"/>
  <c r="H13130" i="34"/>
  <c r="H13131" i="34"/>
  <c r="H13132" i="34"/>
  <c r="H13133" i="34"/>
  <c r="H13134" i="34"/>
  <c r="H13135" i="34"/>
  <c r="H13136" i="34"/>
  <c r="H13137" i="34"/>
  <c r="H13138" i="34"/>
  <c r="H13139" i="34"/>
  <c r="H13140" i="34"/>
  <c r="H13141" i="34"/>
  <c r="H13142" i="34"/>
  <c r="H13143" i="34"/>
  <c r="H13144" i="34"/>
  <c r="H13145" i="34"/>
  <c r="H13146" i="34"/>
  <c r="H13147" i="34"/>
  <c r="H13148" i="34"/>
  <c r="H13149" i="34"/>
  <c r="H13150" i="34"/>
  <c r="H13151" i="34"/>
  <c r="H13152" i="34"/>
  <c r="H13153" i="34"/>
  <c r="H13154" i="34"/>
  <c r="H13155" i="34"/>
  <c r="H13156" i="34"/>
  <c r="H13157" i="34"/>
  <c r="H13158" i="34"/>
  <c r="H13159" i="34"/>
  <c r="H13160" i="34"/>
  <c r="H13161" i="34"/>
  <c r="H13162" i="34"/>
  <c r="H13163" i="34"/>
  <c r="H13164" i="34"/>
  <c r="H13165" i="34"/>
  <c r="H13166" i="34"/>
  <c r="H13167" i="34"/>
  <c r="H13168" i="34"/>
  <c r="H13169" i="34"/>
  <c r="H13170" i="34"/>
  <c r="H13171" i="34"/>
  <c r="H13172" i="34"/>
  <c r="H13173" i="34"/>
  <c r="H13174" i="34"/>
  <c r="H13175" i="34"/>
  <c r="H13176" i="34"/>
  <c r="H13177" i="34"/>
  <c r="H13178" i="34"/>
  <c r="H13179" i="34"/>
  <c r="H13180" i="34"/>
  <c r="H13181" i="34"/>
  <c r="H13182" i="34"/>
  <c r="H13183" i="34"/>
  <c r="H13184" i="34"/>
  <c r="H13185" i="34"/>
  <c r="H13186" i="34"/>
  <c r="H13187" i="34"/>
  <c r="H13188" i="34"/>
  <c r="H13189" i="34"/>
  <c r="H13190" i="34"/>
  <c r="H13191" i="34"/>
  <c r="H13192" i="34"/>
  <c r="H13193" i="34"/>
  <c r="H13194" i="34"/>
  <c r="H13195" i="34"/>
  <c r="H13196" i="34"/>
  <c r="H13197" i="34"/>
  <c r="H13198" i="34"/>
  <c r="H13199" i="34"/>
  <c r="H13200" i="34"/>
  <c r="H13201" i="34"/>
  <c r="H13202" i="34"/>
  <c r="H13203" i="34"/>
  <c r="H13204" i="34"/>
  <c r="H13205" i="34"/>
  <c r="H13206" i="34"/>
  <c r="H13207" i="34"/>
  <c r="H13208" i="34"/>
  <c r="H13209" i="34"/>
  <c r="H13210" i="34"/>
  <c r="H13211" i="34"/>
  <c r="H13212" i="34"/>
  <c r="H13213" i="34"/>
  <c r="H13214" i="34"/>
  <c r="H13215" i="34"/>
  <c r="H13216" i="34"/>
  <c r="H13217" i="34"/>
  <c r="H13218" i="34"/>
  <c r="H13219" i="34"/>
  <c r="H13220" i="34"/>
  <c r="H13221" i="34"/>
  <c r="H13222" i="34"/>
  <c r="H13223" i="34"/>
  <c r="H13224" i="34"/>
  <c r="H13225" i="34"/>
  <c r="H13226" i="34"/>
  <c r="H13227" i="34"/>
  <c r="H13228" i="34"/>
  <c r="H13229" i="34"/>
  <c r="H13230" i="34"/>
  <c r="H13231" i="34"/>
  <c r="H13232" i="34"/>
  <c r="H13233" i="34"/>
  <c r="H13234" i="34"/>
  <c r="H13235" i="34"/>
  <c r="H13236" i="34"/>
  <c r="H13237" i="34"/>
  <c r="H13238" i="34"/>
  <c r="H13239" i="34"/>
  <c r="H13240" i="34"/>
  <c r="H13241" i="34"/>
  <c r="H13242" i="34"/>
  <c r="H13243" i="34"/>
  <c r="H13244" i="34"/>
  <c r="H13245" i="34"/>
  <c r="H13246" i="34"/>
  <c r="H13247" i="34"/>
  <c r="H13248" i="34"/>
  <c r="H13249" i="34"/>
  <c r="H13250" i="34"/>
  <c r="H13251" i="34"/>
  <c r="H13252" i="34"/>
  <c r="H13253" i="34"/>
  <c r="H13254" i="34"/>
  <c r="H13255" i="34"/>
  <c r="H13256" i="34"/>
  <c r="H13257" i="34"/>
  <c r="H13258" i="34"/>
  <c r="H13259" i="34"/>
  <c r="H13260" i="34"/>
  <c r="H13261" i="34"/>
  <c r="H13262" i="34"/>
  <c r="H13263" i="34"/>
  <c r="H13264" i="34"/>
  <c r="H13265" i="34"/>
  <c r="H13266" i="34"/>
  <c r="H13267" i="34"/>
  <c r="H13268" i="34"/>
  <c r="H13269" i="34"/>
  <c r="H13270" i="34"/>
  <c r="H13271" i="34"/>
  <c r="H13272" i="34"/>
  <c r="H13273" i="34"/>
  <c r="H13274" i="34"/>
  <c r="H13275" i="34"/>
  <c r="H13276" i="34"/>
  <c r="H13277" i="34"/>
  <c r="H13278" i="34"/>
  <c r="H13279" i="34"/>
  <c r="H13280" i="34"/>
  <c r="H13281" i="34"/>
  <c r="H13282" i="34"/>
  <c r="H13283" i="34"/>
  <c r="H13284" i="34"/>
  <c r="H13285" i="34"/>
  <c r="H13286" i="34"/>
  <c r="H13287" i="34"/>
  <c r="H13288" i="34"/>
  <c r="H13289" i="34"/>
  <c r="H13290" i="34"/>
  <c r="H13291" i="34"/>
  <c r="H13292" i="34"/>
  <c r="H13293" i="34"/>
  <c r="H13294" i="34"/>
  <c r="H13295" i="34"/>
  <c r="H13296" i="34"/>
  <c r="H13297" i="34"/>
  <c r="H13298" i="34"/>
  <c r="H13299" i="34"/>
  <c r="H13300" i="34"/>
  <c r="H13301" i="34"/>
  <c r="H13302" i="34"/>
  <c r="H13303" i="34"/>
  <c r="H13304" i="34"/>
  <c r="H13305" i="34"/>
  <c r="H13306" i="34"/>
  <c r="H13307" i="34"/>
  <c r="H13308" i="34"/>
  <c r="H13309" i="34"/>
  <c r="H13310" i="34"/>
  <c r="H13311" i="34"/>
  <c r="H13312" i="34"/>
  <c r="H13313" i="34"/>
  <c r="H13314" i="34"/>
  <c r="H13315" i="34"/>
  <c r="H13316" i="34"/>
  <c r="H13317" i="34"/>
  <c r="H13318" i="34"/>
  <c r="H13319" i="34"/>
  <c r="H13320" i="34"/>
  <c r="H13321" i="34"/>
  <c r="H13322" i="34"/>
  <c r="H13323" i="34"/>
  <c r="H13324" i="34"/>
  <c r="H13325" i="34"/>
  <c r="H13326" i="34"/>
  <c r="H13327" i="34"/>
  <c r="H13328" i="34"/>
  <c r="H13329" i="34"/>
  <c r="H13330" i="34"/>
  <c r="H13331" i="34"/>
  <c r="H13332" i="34"/>
  <c r="H13333" i="34"/>
  <c r="H13334" i="34"/>
  <c r="H13335" i="34"/>
  <c r="H13336" i="34"/>
  <c r="H13337" i="34"/>
  <c r="H13338" i="34"/>
  <c r="H13339" i="34"/>
  <c r="H13340" i="34"/>
  <c r="H13341" i="34"/>
  <c r="H13342" i="34"/>
  <c r="H13343" i="34"/>
  <c r="H13344" i="34"/>
  <c r="H13345" i="34"/>
  <c r="H13346" i="34"/>
  <c r="H13347" i="34"/>
  <c r="H13348" i="34"/>
  <c r="H13349" i="34"/>
  <c r="H13350" i="34"/>
  <c r="H13351" i="34"/>
  <c r="H13352" i="34"/>
  <c r="H13353" i="34"/>
  <c r="H13354" i="34"/>
  <c r="H13355" i="34"/>
  <c r="H13356" i="34"/>
  <c r="H13357" i="34"/>
  <c r="H13358" i="34"/>
  <c r="H13359" i="34"/>
  <c r="H13360" i="34"/>
  <c r="H13361" i="34"/>
  <c r="H13362" i="34"/>
  <c r="H13363" i="34"/>
  <c r="H13364" i="34"/>
  <c r="H13365" i="34"/>
  <c r="H13366" i="34"/>
  <c r="H13367" i="34"/>
  <c r="H13368" i="34"/>
  <c r="H13369" i="34"/>
  <c r="H13370" i="34"/>
  <c r="H13371" i="34"/>
  <c r="H13372" i="34"/>
  <c r="H13373" i="34"/>
  <c r="H13374" i="34"/>
  <c r="H13375" i="34"/>
  <c r="H13376" i="34"/>
  <c r="H13377" i="34"/>
  <c r="H13378" i="34"/>
  <c r="H13379" i="34"/>
  <c r="H13380" i="34"/>
  <c r="H13381" i="34"/>
  <c r="H13382" i="34"/>
  <c r="H13383" i="34"/>
  <c r="H13384" i="34"/>
  <c r="H13385" i="34"/>
  <c r="H13386" i="34"/>
  <c r="H13387" i="34"/>
  <c r="H13388" i="34"/>
  <c r="H13389" i="34"/>
  <c r="H13390" i="34"/>
  <c r="H13391" i="34"/>
  <c r="H13392" i="34"/>
  <c r="H13393" i="34"/>
  <c r="H13394" i="34"/>
  <c r="H13395" i="34"/>
  <c r="H13396" i="34"/>
  <c r="H13397" i="34"/>
  <c r="H13398" i="34"/>
  <c r="H13399" i="34"/>
  <c r="H13400" i="34"/>
  <c r="H13401" i="34"/>
  <c r="H13402" i="34"/>
  <c r="H13403" i="34"/>
  <c r="H13404" i="34"/>
  <c r="H13405" i="34"/>
  <c r="H13406" i="34"/>
  <c r="H13407" i="34"/>
  <c r="H13408" i="34"/>
  <c r="H13409" i="34"/>
  <c r="H13410" i="34"/>
  <c r="H13411" i="34"/>
  <c r="H13412" i="34"/>
  <c r="H13413" i="34"/>
  <c r="H13414" i="34"/>
  <c r="H13415" i="34"/>
  <c r="H13416" i="34"/>
  <c r="H13417" i="34"/>
  <c r="H13418" i="34"/>
  <c r="H13419" i="34"/>
  <c r="H13420" i="34"/>
  <c r="H13421" i="34"/>
  <c r="H13422" i="34"/>
  <c r="H13423" i="34"/>
  <c r="H13424" i="34"/>
  <c r="H13425" i="34"/>
  <c r="H13426" i="34"/>
  <c r="H13427" i="34"/>
  <c r="H13428" i="34"/>
  <c r="H13429" i="34"/>
  <c r="H13430" i="34"/>
  <c r="H13431" i="34"/>
  <c r="H13432" i="34"/>
  <c r="H13433" i="34"/>
  <c r="H13434" i="34"/>
  <c r="H13435" i="34"/>
  <c r="H13436" i="34"/>
  <c r="H13437" i="34"/>
  <c r="H13438" i="34"/>
  <c r="H13439" i="34"/>
  <c r="H13440" i="34"/>
  <c r="H13441" i="34"/>
  <c r="H13442" i="34"/>
  <c r="H13443" i="34"/>
  <c r="H13444" i="34"/>
  <c r="H13445" i="34"/>
  <c r="H13446" i="34"/>
  <c r="H13447" i="34"/>
  <c r="H13448" i="34"/>
  <c r="H13449" i="34"/>
  <c r="H13450" i="34"/>
  <c r="H13451" i="34"/>
  <c r="H13452" i="34"/>
  <c r="H13453" i="34"/>
  <c r="H13454" i="34"/>
  <c r="H13455" i="34"/>
  <c r="H13456" i="34"/>
  <c r="H13457" i="34"/>
  <c r="H13458" i="34"/>
  <c r="H13459" i="34"/>
  <c r="H13460" i="34"/>
  <c r="H13461" i="34"/>
  <c r="H13462" i="34"/>
  <c r="H13463" i="34"/>
  <c r="H13464" i="34"/>
  <c r="H13465" i="34"/>
  <c r="H13466" i="34"/>
  <c r="H13467" i="34"/>
  <c r="H13468" i="34"/>
  <c r="H13469" i="34"/>
  <c r="H13470" i="34"/>
  <c r="H13471" i="34"/>
  <c r="H13472" i="34"/>
  <c r="H13473" i="34"/>
  <c r="H13474" i="34"/>
  <c r="H13475" i="34"/>
  <c r="H13476" i="34"/>
  <c r="H13477" i="34"/>
  <c r="H13478" i="34"/>
  <c r="H13479" i="34"/>
  <c r="H13480" i="34"/>
  <c r="H13481" i="34"/>
  <c r="H13482" i="34"/>
  <c r="H13483" i="34"/>
  <c r="H13484" i="34"/>
  <c r="H13485" i="34"/>
  <c r="H13486" i="34"/>
  <c r="H13487" i="34"/>
  <c r="H13488" i="34"/>
  <c r="H13489" i="34"/>
  <c r="H13490" i="34"/>
  <c r="H13491" i="34"/>
  <c r="H13492" i="34"/>
  <c r="H13493" i="34"/>
  <c r="H13494" i="34"/>
  <c r="H13495" i="34"/>
  <c r="H13496" i="34"/>
  <c r="H13497" i="34"/>
  <c r="H13498" i="34"/>
  <c r="H13499" i="34"/>
  <c r="H13500" i="34"/>
  <c r="H13501" i="34"/>
  <c r="H13502" i="34"/>
  <c r="H13503" i="34"/>
  <c r="H13504" i="34"/>
  <c r="H13505" i="34"/>
  <c r="H13506" i="34"/>
  <c r="H13507" i="34"/>
  <c r="H13508" i="34"/>
  <c r="H13509" i="34"/>
  <c r="H13510" i="34"/>
  <c r="H13511" i="34"/>
  <c r="H13512" i="34"/>
  <c r="H13513" i="34"/>
  <c r="H13514" i="34"/>
  <c r="H13515" i="34"/>
  <c r="H13516" i="34"/>
  <c r="H13517" i="34"/>
  <c r="H13518" i="34"/>
  <c r="H13519" i="34"/>
  <c r="H13520" i="34"/>
  <c r="H13521" i="34"/>
  <c r="H13522" i="34"/>
  <c r="H13523" i="34"/>
  <c r="H13524" i="34"/>
  <c r="H13525" i="34"/>
  <c r="H13526" i="34"/>
  <c r="H13527" i="34"/>
  <c r="H13528" i="34"/>
  <c r="H13529" i="34"/>
  <c r="H13530" i="34"/>
  <c r="H13531" i="34"/>
  <c r="H13532" i="34"/>
  <c r="H13533" i="34"/>
  <c r="H13534" i="34"/>
  <c r="H13535" i="34"/>
  <c r="H13536" i="34"/>
  <c r="H13537" i="34"/>
  <c r="H13538" i="34"/>
  <c r="H13539" i="34"/>
  <c r="H13540" i="34"/>
  <c r="H13541" i="34"/>
  <c r="H13542" i="34"/>
  <c r="H13543" i="34"/>
  <c r="H13544" i="34"/>
  <c r="H13545" i="34"/>
  <c r="H13546" i="34"/>
  <c r="H13547" i="34"/>
  <c r="H13548" i="34"/>
  <c r="H13549" i="34"/>
  <c r="H13550" i="34"/>
  <c r="H13551" i="34"/>
  <c r="H13552" i="34"/>
  <c r="H13553" i="34"/>
  <c r="H13554" i="34"/>
  <c r="H13555" i="34"/>
  <c r="H13556" i="34"/>
  <c r="H13557" i="34"/>
  <c r="H13558" i="34"/>
  <c r="H13559" i="34"/>
  <c r="H13560" i="34"/>
  <c r="H13561" i="34"/>
  <c r="H13562" i="34"/>
  <c r="H13563" i="34"/>
  <c r="H13564" i="34"/>
  <c r="H13565" i="34"/>
  <c r="H13566" i="34"/>
  <c r="H13567" i="34"/>
  <c r="H13568" i="34"/>
  <c r="H13569" i="34"/>
  <c r="H13570" i="34"/>
  <c r="H13571" i="34"/>
  <c r="H13572" i="34"/>
  <c r="H13573" i="34"/>
  <c r="H13574" i="34"/>
  <c r="H13575" i="34"/>
  <c r="H13576" i="34"/>
  <c r="H13577" i="34"/>
  <c r="H13578" i="34"/>
  <c r="H13579" i="34"/>
  <c r="H13580" i="34"/>
  <c r="H13581" i="34"/>
  <c r="H13582" i="34"/>
  <c r="H13583" i="34"/>
  <c r="H13584" i="34"/>
  <c r="H13585" i="34"/>
  <c r="H13586" i="34"/>
  <c r="H13587" i="34"/>
  <c r="H13588" i="34"/>
  <c r="H13589" i="34"/>
  <c r="H13590" i="34"/>
  <c r="H13591" i="34"/>
  <c r="H13592" i="34"/>
  <c r="H13593" i="34"/>
  <c r="H13594" i="34"/>
  <c r="H13595" i="34"/>
  <c r="H13596" i="34"/>
  <c r="H13597" i="34"/>
  <c r="H13598" i="34"/>
  <c r="H13599" i="34"/>
  <c r="H13600" i="34"/>
  <c r="H13601" i="34"/>
  <c r="H13602" i="34"/>
  <c r="H13603" i="34"/>
  <c r="H13604" i="34"/>
  <c r="H13605" i="34"/>
  <c r="H13606" i="34"/>
  <c r="H13607" i="34"/>
  <c r="H13608" i="34"/>
  <c r="H13609" i="34"/>
  <c r="H13610" i="34"/>
  <c r="H13611" i="34"/>
  <c r="H13612" i="34"/>
  <c r="H13613" i="34"/>
  <c r="H13614" i="34"/>
  <c r="H13615" i="34"/>
  <c r="H13616" i="34"/>
  <c r="H13617" i="34"/>
  <c r="H13618" i="34"/>
  <c r="H13619" i="34"/>
  <c r="H13620" i="34"/>
  <c r="H13621" i="34"/>
  <c r="H13622" i="34"/>
  <c r="H13623" i="34"/>
  <c r="H13624" i="34"/>
  <c r="H13625" i="34"/>
  <c r="H13626" i="34"/>
  <c r="H13627" i="34"/>
  <c r="H13628" i="34"/>
  <c r="H13629" i="34"/>
  <c r="H13630" i="34"/>
  <c r="H13631" i="34"/>
  <c r="H13632" i="34"/>
  <c r="H13633" i="34"/>
  <c r="H13634" i="34"/>
  <c r="H13635" i="34"/>
  <c r="H13636" i="34"/>
  <c r="H13637" i="34"/>
  <c r="H13638" i="34"/>
  <c r="H13639" i="34"/>
  <c r="H13640" i="34"/>
  <c r="H13641" i="34"/>
  <c r="H13642" i="34"/>
  <c r="H13643" i="34"/>
  <c r="H13644" i="34"/>
  <c r="H13645" i="34"/>
  <c r="H13646" i="34"/>
  <c r="H13647" i="34"/>
  <c r="H13648" i="34"/>
  <c r="H13649" i="34"/>
  <c r="H13650" i="34"/>
  <c r="H13651" i="34"/>
  <c r="H13652" i="34"/>
  <c r="H13653" i="34"/>
  <c r="H13654" i="34"/>
  <c r="H13655" i="34"/>
  <c r="H13656" i="34"/>
  <c r="H13657" i="34"/>
  <c r="H13658" i="34"/>
  <c r="H13659" i="34"/>
  <c r="H13660" i="34"/>
  <c r="H13661" i="34"/>
  <c r="H13662" i="34"/>
  <c r="H13663" i="34"/>
  <c r="H13664" i="34"/>
  <c r="H13665" i="34"/>
  <c r="H13666" i="34"/>
  <c r="H13667" i="34"/>
  <c r="H13668" i="34"/>
  <c r="H13669" i="34"/>
  <c r="H13670" i="34"/>
  <c r="H13671" i="34"/>
  <c r="H13672" i="34"/>
  <c r="H13673" i="34"/>
  <c r="H13674" i="34"/>
  <c r="H13675" i="34"/>
  <c r="H13676" i="34"/>
  <c r="H13677" i="34"/>
  <c r="H13678" i="34"/>
  <c r="H13679" i="34"/>
  <c r="H13680" i="34"/>
  <c r="H13681" i="34"/>
  <c r="H13682" i="34"/>
  <c r="H13683" i="34"/>
  <c r="H13684" i="34"/>
  <c r="H13685" i="34"/>
  <c r="H13686" i="34"/>
  <c r="H13687" i="34"/>
  <c r="H13688" i="34"/>
  <c r="H13689" i="34"/>
  <c r="H13690" i="34"/>
  <c r="H13691" i="34"/>
  <c r="H13692" i="34"/>
  <c r="H13693" i="34"/>
  <c r="H13694" i="34"/>
  <c r="H13695" i="34"/>
  <c r="H13696" i="34"/>
  <c r="H13697" i="34"/>
  <c r="H13698" i="34"/>
  <c r="H13699" i="34"/>
  <c r="H13700" i="34"/>
  <c r="H13701" i="34"/>
  <c r="H13702" i="34"/>
  <c r="H13703" i="34"/>
  <c r="H13704" i="34"/>
  <c r="H13705" i="34"/>
  <c r="H13706" i="34"/>
  <c r="H13707" i="34"/>
  <c r="H13708" i="34"/>
  <c r="H13709" i="34"/>
  <c r="H13710" i="34"/>
  <c r="H13711" i="34"/>
  <c r="H13712" i="34"/>
  <c r="H13713" i="34"/>
  <c r="H13714" i="34"/>
  <c r="H13715" i="34"/>
  <c r="H13716" i="34"/>
  <c r="H13717" i="34"/>
  <c r="H13718" i="34"/>
  <c r="H13719" i="34"/>
  <c r="H13720" i="34"/>
  <c r="H13721" i="34"/>
  <c r="H13722" i="34"/>
  <c r="H13723" i="34"/>
  <c r="H13724" i="34"/>
  <c r="H13725" i="34"/>
  <c r="H13726" i="34"/>
  <c r="H13727" i="34"/>
  <c r="H13728" i="34"/>
  <c r="H13729" i="34"/>
  <c r="H13730" i="34"/>
  <c r="H13731" i="34"/>
  <c r="H13732" i="34"/>
  <c r="H13733" i="34"/>
  <c r="H13734" i="34"/>
  <c r="H13735" i="34"/>
  <c r="H13736" i="34"/>
  <c r="H13737" i="34"/>
  <c r="H13738" i="34"/>
  <c r="H13739" i="34"/>
  <c r="H13740" i="34"/>
  <c r="H13741" i="34"/>
  <c r="H13742" i="34"/>
  <c r="H13743" i="34"/>
  <c r="H13744" i="34"/>
  <c r="H13745" i="34"/>
  <c r="H13746" i="34"/>
  <c r="H13747" i="34"/>
  <c r="H13748" i="34"/>
  <c r="H13749" i="34"/>
  <c r="H13750" i="34"/>
  <c r="H13751" i="34"/>
  <c r="H13752" i="34"/>
  <c r="H13753" i="34"/>
  <c r="H13754" i="34"/>
  <c r="H13755" i="34"/>
  <c r="H13756" i="34"/>
  <c r="H13757" i="34"/>
  <c r="H13758" i="34"/>
  <c r="H13759" i="34"/>
  <c r="H13760" i="34"/>
  <c r="H13761" i="34"/>
  <c r="H13762" i="34"/>
  <c r="H13763" i="34"/>
  <c r="H13764" i="34"/>
  <c r="H13765" i="34"/>
  <c r="H13766" i="34"/>
  <c r="H13767" i="34"/>
  <c r="H13768" i="34"/>
  <c r="H13769" i="34"/>
  <c r="H13770" i="34"/>
  <c r="H13771" i="34"/>
  <c r="H13772" i="34"/>
  <c r="H13773" i="34"/>
  <c r="H13774" i="34"/>
  <c r="H13775" i="34"/>
  <c r="H13776" i="34"/>
  <c r="H13777" i="34"/>
  <c r="H13778" i="34"/>
  <c r="H13779" i="34"/>
  <c r="H13780" i="34"/>
  <c r="H13781" i="34"/>
  <c r="H13782" i="34"/>
  <c r="H13783" i="34"/>
  <c r="H13784" i="34"/>
  <c r="H13785" i="34"/>
  <c r="H13786" i="34"/>
  <c r="H13787" i="34"/>
  <c r="H13788" i="34"/>
  <c r="H13789" i="34"/>
  <c r="H13790" i="34"/>
  <c r="H13791" i="34"/>
  <c r="H13792" i="34"/>
  <c r="H13793" i="34"/>
  <c r="H13794" i="34"/>
  <c r="H13795" i="34"/>
  <c r="H13796" i="34"/>
  <c r="H13797" i="34"/>
  <c r="H13798" i="34"/>
  <c r="H13799" i="34"/>
  <c r="H13800" i="34"/>
  <c r="H13801" i="34"/>
  <c r="H13802" i="34"/>
  <c r="H13803" i="34"/>
  <c r="H13804" i="34"/>
  <c r="H13805" i="34"/>
  <c r="H13806" i="34"/>
  <c r="H13807" i="34"/>
  <c r="H13808" i="34"/>
  <c r="H13809" i="34"/>
  <c r="H13810" i="34"/>
  <c r="H13811" i="34"/>
  <c r="H13812" i="34"/>
  <c r="H13813" i="34"/>
  <c r="H13814" i="34"/>
  <c r="H13815" i="34"/>
  <c r="H13816" i="34"/>
  <c r="H13817" i="34"/>
  <c r="H13818" i="34"/>
  <c r="H13819" i="34"/>
  <c r="H13820" i="34"/>
  <c r="H13821" i="34"/>
  <c r="H13822" i="34"/>
  <c r="H13823" i="34"/>
  <c r="H13824" i="34"/>
  <c r="H13825" i="34"/>
  <c r="H13826" i="34"/>
  <c r="H13827" i="34"/>
  <c r="H13828" i="34"/>
  <c r="H13829" i="34"/>
  <c r="H13830" i="34"/>
  <c r="H13831" i="34"/>
  <c r="H13832" i="34"/>
  <c r="H13833" i="34"/>
  <c r="H13834" i="34"/>
  <c r="H13835" i="34"/>
  <c r="H13836" i="34"/>
  <c r="H13837" i="34"/>
  <c r="H13838" i="34"/>
  <c r="H13839" i="34"/>
  <c r="H13840" i="34"/>
  <c r="H13841" i="34"/>
  <c r="H13842" i="34"/>
  <c r="H13843" i="34"/>
  <c r="H13844" i="34"/>
  <c r="H13845" i="34"/>
  <c r="H13846" i="34"/>
  <c r="H13847" i="34"/>
  <c r="H13848" i="34"/>
  <c r="H13849" i="34"/>
  <c r="H13850" i="34"/>
  <c r="H13851" i="34"/>
  <c r="H13852" i="34"/>
  <c r="H13853" i="34"/>
  <c r="H13854" i="34"/>
  <c r="H13855" i="34"/>
  <c r="H13856" i="34"/>
  <c r="H13857" i="34"/>
  <c r="H13858" i="34"/>
  <c r="H13859" i="34"/>
  <c r="H13860" i="34"/>
  <c r="H13861" i="34"/>
  <c r="H13862" i="34"/>
  <c r="H13863" i="34"/>
  <c r="H13864" i="34"/>
  <c r="H13865" i="34"/>
  <c r="H13866" i="34"/>
  <c r="H13867" i="34"/>
  <c r="H13868" i="34"/>
  <c r="H13869" i="34"/>
  <c r="H13870" i="34"/>
  <c r="H13871" i="34"/>
  <c r="H13872" i="34"/>
  <c r="H13873" i="34"/>
  <c r="H13874" i="34"/>
  <c r="H13875" i="34"/>
  <c r="H13876" i="34"/>
  <c r="H13877" i="34"/>
  <c r="H13878" i="34"/>
  <c r="H13879" i="34"/>
  <c r="H13880" i="34"/>
  <c r="H13881" i="34"/>
  <c r="H13882" i="34"/>
  <c r="H13883" i="34"/>
  <c r="H13884" i="34"/>
  <c r="H13885" i="34"/>
  <c r="H13886" i="34"/>
  <c r="H13887" i="34"/>
  <c r="H13888" i="34"/>
  <c r="H13889" i="34"/>
  <c r="H13890" i="34"/>
  <c r="H13891" i="34"/>
  <c r="H13892" i="34"/>
  <c r="H13893" i="34"/>
  <c r="H13894" i="34"/>
  <c r="H13895" i="34"/>
  <c r="H13896" i="34"/>
  <c r="H13897" i="34"/>
  <c r="H13898" i="34"/>
  <c r="H13899" i="34"/>
  <c r="H13900" i="34"/>
  <c r="H13901" i="34"/>
  <c r="H13902" i="34"/>
  <c r="H13903" i="34"/>
  <c r="H13904" i="34"/>
  <c r="H13905" i="34"/>
  <c r="H13906" i="34"/>
  <c r="H13907" i="34"/>
  <c r="H13908" i="34"/>
  <c r="H13909" i="34"/>
  <c r="H13910" i="34"/>
  <c r="H13911" i="34"/>
  <c r="H13912" i="34"/>
  <c r="H13913" i="34"/>
  <c r="H13914" i="34"/>
  <c r="H13915" i="34"/>
  <c r="H13916" i="34"/>
  <c r="H13917" i="34"/>
  <c r="H13918" i="34"/>
  <c r="H13919" i="34"/>
  <c r="H13920" i="34"/>
  <c r="H13921" i="34"/>
  <c r="H13922" i="34"/>
  <c r="H13923" i="34"/>
  <c r="H13924" i="34"/>
  <c r="H13925" i="34"/>
  <c r="H13926" i="34"/>
  <c r="H13927" i="34"/>
  <c r="H13928" i="34"/>
  <c r="H13929" i="34"/>
  <c r="H13930" i="34"/>
  <c r="H13931" i="34"/>
  <c r="H13932" i="34"/>
  <c r="H13933" i="34"/>
  <c r="H13934" i="34"/>
  <c r="H13935" i="34"/>
  <c r="H13936" i="34"/>
  <c r="H13937" i="34"/>
  <c r="H13938" i="34"/>
  <c r="H13939" i="34"/>
  <c r="H13940" i="34"/>
  <c r="H13941" i="34"/>
  <c r="H13942" i="34"/>
  <c r="H13943" i="34"/>
  <c r="H13944" i="34"/>
  <c r="H13945" i="34"/>
  <c r="H13946" i="34"/>
  <c r="H13947" i="34"/>
  <c r="H13948" i="34"/>
  <c r="H13949" i="34"/>
  <c r="H13950" i="34"/>
  <c r="H13951" i="34"/>
  <c r="H13952" i="34"/>
  <c r="H13953" i="34"/>
  <c r="H13954" i="34"/>
  <c r="H13955" i="34"/>
  <c r="H13956" i="34"/>
  <c r="H13957" i="34"/>
  <c r="H13958" i="34"/>
  <c r="H13959" i="34"/>
  <c r="H13960" i="34"/>
  <c r="H13961" i="34"/>
  <c r="H13962" i="34"/>
  <c r="H13963" i="34"/>
  <c r="H13964" i="34"/>
  <c r="H13965" i="34"/>
  <c r="H13966" i="34"/>
  <c r="H13967" i="34"/>
  <c r="H13968" i="34"/>
  <c r="H13969" i="34"/>
  <c r="H13970" i="34"/>
  <c r="H13971" i="34"/>
  <c r="H13972" i="34"/>
  <c r="H13973" i="34"/>
  <c r="H13974" i="34"/>
  <c r="H13975" i="34"/>
  <c r="H13976" i="34"/>
  <c r="H13977" i="34"/>
  <c r="H13978" i="34"/>
  <c r="H13979" i="34"/>
  <c r="H13980" i="34"/>
  <c r="H13981" i="34"/>
  <c r="H13982" i="34"/>
  <c r="H13983" i="34"/>
  <c r="H13984" i="34"/>
  <c r="H13985" i="34"/>
  <c r="H13986" i="34"/>
  <c r="H13987" i="34"/>
  <c r="H13988" i="34"/>
  <c r="H13989" i="34"/>
  <c r="H13990" i="34"/>
  <c r="H13991" i="34"/>
  <c r="H13992" i="34"/>
  <c r="H13993" i="34"/>
  <c r="H13994" i="34"/>
  <c r="H13995" i="34"/>
  <c r="H13996" i="34"/>
  <c r="H13997" i="34"/>
  <c r="H13998" i="34"/>
  <c r="H13999" i="34"/>
  <c r="H14000" i="34"/>
  <c r="H14001" i="34"/>
  <c r="H14002" i="34"/>
  <c r="H14003" i="34"/>
  <c r="H14004" i="34"/>
  <c r="H14005" i="34"/>
  <c r="H14006" i="34"/>
  <c r="H14007" i="34"/>
  <c r="H14008" i="34"/>
  <c r="H14009" i="34"/>
  <c r="H14010" i="34"/>
  <c r="H14011" i="34"/>
  <c r="H14012" i="34"/>
  <c r="H14013" i="34"/>
  <c r="H14014" i="34"/>
  <c r="H14015" i="34"/>
  <c r="H14016" i="34"/>
  <c r="H14017" i="34"/>
  <c r="H14018" i="34"/>
  <c r="H14019" i="34"/>
  <c r="H14020" i="34"/>
  <c r="H14021" i="34"/>
  <c r="H14022" i="34"/>
  <c r="H14023" i="34"/>
  <c r="H14024" i="34"/>
  <c r="H14025" i="34"/>
  <c r="H14026" i="34"/>
  <c r="H14027" i="34"/>
  <c r="H14028" i="34"/>
  <c r="H14029" i="34"/>
  <c r="H14030" i="34"/>
  <c r="H14031" i="34"/>
  <c r="H14032" i="34"/>
  <c r="H14033" i="34"/>
  <c r="H14034" i="34"/>
  <c r="H14035" i="34"/>
  <c r="H14036" i="34"/>
  <c r="H14037" i="34"/>
  <c r="H14038" i="34"/>
  <c r="H14039" i="34"/>
  <c r="H14040" i="34"/>
  <c r="H14041" i="34"/>
  <c r="H14042" i="34"/>
  <c r="H14043" i="34"/>
  <c r="H14044" i="34"/>
  <c r="H14045" i="34"/>
  <c r="H14046" i="34"/>
  <c r="H14047" i="34"/>
  <c r="H14048" i="34"/>
  <c r="H14049" i="34"/>
  <c r="H14050" i="34"/>
  <c r="H14051" i="34"/>
  <c r="H14052" i="34"/>
  <c r="H14053" i="34"/>
  <c r="H14054" i="34"/>
  <c r="H14055" i="34"/>
  <c r="H14056" i="34"/>
  <c r="H14057" i="34"/>
  <c r="H14058" i="34"/>
  <c r="H14059" i="34"/>
  <c r="H14060" i="34"/>
  <c r="H14061" i="34"/>
  <c r="H14062" i="34"/>
  <c r="H14063" i="34"/>
  <c r="H14064" i="34"/>
  <c r="H14065" i="34"/>
  <c r="H14066" i="34"/>
  <c r="H14067" i="34"/>
  <c r="H14068" i="34"/>
  <c r="H14069" i="34"/>
  <c r="H14070" i="34"/>
  <c r="H14071" i="34"/>
  <c r="H14072" i="34"/>
  <c r="H14073" i="34"/>
  <c r="H14074" i="34"/>
  <c r="H14075" i="34"/>
  <c r="H14076" i="34"/>
  <c r="H14077" i="34"/>
  <c r="H14078" i="34"/>
  <c r="H14079" i="34"/>
  <c r="H14080" i="34"/>
  <c r="H14081" i="34"/>
  <c r="H14082" i="34"/>
  <c r="H14083" i="34"/>
  <c r="H14084" i="34"/>
  <c r="H14085" i="34"/>
  <c r="H14086" i="34"/>
  <c r="H14087" i="34"/>
  <c r="H14088" i="34"/>
  <c r="H14089" i="34"/>
  <c r="H14090" i="34"/>
  <c r="H14091" i="34"/>
  <c r="H14092" i="34"/>
  <c r="H14093" i="34"/>
  <c r="H14094" i="34"/>
  <c r="H14095" i="34"/>
  <c r="H14096" i="34"/>
  <c r="H14097" i="34"/>
  <c r="H14098" i="34"/>
  <c r="H14099" i="34"/>
  <c r="H14100" i="34"/>
  <c r="H14101" i="34"/>
  <c r="H14102" i="34"/>
  <c r="H14103" i="34"/>
  <c r="H14104" i="34"/>
  <c r="H14105" i="34"/>
  <c r="H14106" i="34"/>
  <c r="H14107" i="34"/>
  <c r="H14108" i="34"/>
  <c r="H14109" i="34"/>
  <c r="H14110" i="34"/>
  <c r="H14111" i="34"/>
  <c r="H14112" i="34"/>
  <c r="H14113" i="34"/>
  <c r="H14114" i="34"/>
  <c r="H14115" i="34"/>
  <c r="H14116" i="34"/>
  <c r="H14117" i="34"/>
  <c r="H14118" i="34"/>
  <c r="H14119" i="34"/>
  <c r="H14120" i="34"/>
  <c r="H14121" i="34"/>
  <c r="H14122" i="34"/>
  <c r="H14123" i="34"/>
  <c r="H14124" i="34"/>
  <c r="H14125" i="34"/>
  <c r="H14126" i="34"/>
  <c r="H14127" i="34"/>
  <c r="H14128" i="34"/>
  <c r="H14129" i="34"/>
  <c r="H14130" i="34"/>
  <c r="H14131" i="34"/>
  <c r="H14132" i="34"/>
  <c r="H14133" i="34"/>
  <c r="H14134" i="34"/>
  <c r="H14135" i="34"/>
  <c r="H14136" i="34"/>
  <c r="H14137" i="34"/>
  <c r="H14138" i="34"/>
  <c r="H14139" i="34"/>
  <c r="H14140" i="34"/>
  <c r="H14141" i="34"/>
  <c r="H14142" i="34"/>
  <c r="H14143" i="34"/>
  <c r="H14144" i="34"/>
  <c r="H14145" i="34"/>
  <c r="H14146" i="34"/>
  <c r="H14147" i="34"/>
  <c r="H14148" i="34"/>
  <c r="H14149" i="34"/>
  <c r="H14150" i="34"/>
  <c r="H14151" i="34"/>
  <c r="H14152" i="34"/>
  <c r="H14153" i="34"/>
  <c r="H14154" i="34"/>
  <c r="H14155" i="34"/>
  <c r="H14156" i="34"/>
  <c r="H14157" i="34"/>
  <c r="H14158" i="34"/>
  <c r="H14159" i="34"/>
  <c r="H14160" i="34"/>
  <c r="H14161" i="34"/>
  <c r="H14162" i="34"/>
  <c r="H14163" i="34"/>
  <c r="H14164" i="34"/>
  <c r="H14165" i="34"/>
  <c r="H14166" i="34"/>
  <c r="H14167" i="34"/>
  <c r="H14168" i="34"/>
  <c r="H14169" i="34"/>
  <c r="H14170" i="34"/>
  <c r="H14171" i="34"/>
  <c r="H14172" i="34"/>
  <c r="H14173" i="34"/>
  <c r="H14174" i="34"/>
  <c r="H14175" i="34"/>
  <c r="H14176" i="34"/>
  <c r="H14177" i="34"/>
  <c r="H14178" i="34"/>
  <c r="H14179" i="34"/>
  <c r="H14180" i="34"/>
  <c r="H14181" i="34"/>
  <c r="H14182" i="34"/>
  <c r="H14183" i="34"/>
  <c r="H14184" i="34"/>
  <c r="H14185" i="34"/>
  <c r="H14186" i="34"/>
  <c r="H14187" i="34"/>
  <c r="H14188" i="34"/>
  <c r="H14189" i="34"/>
  <c r="H14190" i="34"/>
  <c r="H14191" i="34"/>
  <c r="H14192" i="34"/>
  <c r="H14193" i="34"/>
  <c r="H14194" i="34"/>
  <c r="H14195" i="34"/>
  <c r="H14196" i="34"/>
  <c r="H14197" i="34"/>
  <c r="H14198" i="34"/>
  <c r="H14199" i="34"/>
  <c r="H14200" i="34"/>
  <c r="H14201" i="34"/>
  <c r="H14202" i="34"/>
  <c r="H14203" i="34"/>
  <c r="H14204" i="34"/>
  <c r="H14205" i="34"/>
  <c r="H14206" i="34"/>
  <c r="H14207" i="34"/>
  <c r="H14208" i="34"/>
  <c r="H14209" i="34"/>
  <c r="H14210" i="34"/>
  <c r="H14211" i="34"/>
  <c r="H14212" i="34"/>
  <c r="H14213" i="34"/>
  <c r="H14214" i="34"/>
  <c r="H14215" i="34"/>
  <c r="H14216" i="34"/>
  <c r="H14217" i="34"/>
  <c r="H14218" i="34"/>
  <c r="H14219" i="34"/>
  <c r="H14220" i="34"/>
  <c r="H14221" i="34"/>
  <c r="H14222" i="34"/>
  <c r="H14223" i="34"/>
  <c r="H14224" i="34"/>
  <c r="H14225" i="34"/>
  <c r="H14226" i="34"/>
  <c r="H14227" i="34"/>
  <c r="H14228" i="34"/>
  <c r="H14229" i="34"/>
  <c r="H14230" i="34"/>
  <c r="H14231" i="34"/>
  <c r="H14232" i="34"/>
  <c r="H14233" i="34"/>
  <c r="H14234" i="34"/>
  <c r="H14235" i="34"/>
  <c r="H14236" i="34"/>
  <c r="H14237" i="34"/>
  <c r="H14238" i="34"/>
  <c r="H14239" i="34"/>
  <c r="H14240" i="34"/>
  <c r="H14241" i="34"/>
  <c r="H14242" i="34"/>
  <c r="H14243" i="34"/>
  <c r="H14244" i="34"/>
  <c r="H14245" i="34"/>
  <c r="H14246" i="34"/>
  <c r="H14247" i="34"/>
  <c r="H14248" i="34"/>
  <c r="H14249" i="34"/>
  <c r="H14250" i="34"/>
  <c r="H14251" i="34"/>
  <c r="H14252" i="34"/>
  <c r="H14253" i="34"/>
  <c r="H14254" i="34"/>
  <c r="H14255" i="34"/>
  <c r="H14256" i="34"/>
  <c r="H14257" i="34"/>
  <c r="H14258" i="34"/>
  <c r="H14259" i="34"/>
  <c r="H14260" i="34"/>
  <c r="H14261" i="34"/>
  <c r="H14262" i="34"/>
  <c r="H14263" i="34"/>
  <c r="H14264" i="34"/>
  <c r="H14265" i="34"/>
  <c r="H14266" i="34"/>
  <c r="H14267" i="34"/>
  <c r="H14268" i="34"/>
  <c r="H14269" i="34"/>
  <c r="H14270" i="34"/>
  <c r="H14271" i="34"/>
  <c r="H14272" i="34"/>
  <c r="H14273" i="34"/>
  <c r="H14274" i="34"/>
  <c r="H14275" i="34"/>
  <c r="H14276" i="34"/>
  <c r="H14277" i="34"/>
  <c r="H14278" i="34"/>
  <c r="H14279" i="34"/>
  <c r="H14280" i="34"/>
  <c r="H14281" i="34"/>
  <c r="H14282" i="34"/>
  <c r="H14283" i="34"/>
  <c r="H14284" i="34"/>
  <c r="H14285" i="34"/>
  <c r="H14286" i="34"/>
  <c r="H14287" i="34"/>
  <c r="H14288" i="34"/>
  <c r="H14289" i="34"/>
  <c r="H14290" i="34"/>
  <c r="H14291" i="34"/>
  <c r="H14292" i="34"/>
  <c r="H14293" i="34"/>
  <c r="H14294" i="34"/>
  <c r="H14295" i="34"/>
  <c r="H14296" i="34"/>
  <c r="H14297" i="34"/>
  <c r="H14298" i="34"/>
  <c r="H14299" i="34"/>
  <c r="H14300" i="34"/>
  <c r="H14301" i="34"/>
  <c r="H14302" i="34"/>
  <c r="H14303" i="34"/>
  <c r="H14304" i="34"/>
  <c r="H14305" i="34"/>
  <c r="H14306" i="34"/>
  <c r="H14307" i="34"/>
  <c r="H14308" i="34"/>
  <c r="H14309" i="34"/>
  <c r="H14310" i="34"/>
  <c r="H14311" i="34"/>
  <c r="H14312" i="34"/>
  <c r="H14313" i="34"/>
  <c r="H14314" i="34"/>
  <c r="H14315" i="34"/>
  <c r="H14316" i="34"/>
  <c r="H14317" i="34"/>
  <c r="H14318" i="34"/>
  <c r="H14319" i="34"/>
  <c r="H14320" i="34"/>
  <c r="H14321" i="34"/>
  <c r="H14322" i="34"/>
  <c r="H14323" i="34"/>
  <c r="H14324" i="34"/>
  <c r="H14325" i="34"/>
  <c r="H14326" i="34"/>
  <c r="H14327" i="34"/>
  <c r="H14328" i="34"/>
  <c r="H14329" i="34"/>
  <c r="H14330" i="34"/>
  <c r="H14331" i="34"/>
  <c r="H14332" i="34"/>
  <c r="H14333" i="34"/>
  <c r="H14334" i="34"/>
  <c r="H14335" i="34"/>
  <c r="H14336" i="34"/>
  <c r="H14337" i="34"/>
  <c r="H14338" i="34"/>
  <c r="H14339" i="34"/>
  <c r="H14340" i="34"/>
  <c r="H14341" i="34"/>
  <c r="H14342" i="34"/>
  <c r="H14343" i="34"/>
  <c r="H14344" i="34"/>
  <c r="H14345" i="34"/>
  <c r="H14346" i="34"/>
  <c r="H14347" i="34"/>
  <c r="H14348" i="34"/>
  <c r="H14349" i="34"/>
  <c r="H14350" i="34"/>
  <c r="H14351" i="34"/>
  <c r="H14352" i="34"/>
  <c r="H14353" i="34"/>
  <c r="H14354" i="34"/>
  <c r="H14355" i="34"/>
  <c r="H14356" i="34"/>
  <c r="H14357" i="34"/>
  <c r="H14358" i="34"/>
  <c r="H14359" i="34"/>
  <c r="H14360" i="34"/>
  <c r="H14361" i="34"/>
  <c r="H14362" i="34"/>
  <c r="H14363" i="34"/>
  <c r="H14364" i="34"/>
  <c r="H14365" i="34"/>
  <c r="H14366" i="34"/>
  <c r="H14367" i="34"/>
  <c r="H14368" i="34"/>
  <c r="H14369" i="34"/>
  <c r="H14370" i="34"/>
  <c r="H14371" i="34"/>
  <c r="H14372" i="34"/>
  <c r="H14373" i="34"/>
  <c r="H14374" i="34"/>
  <c r="H14375" i="34"/>
  <c r="H14376" i="34"/>
  <c r="H14377" i="34"/>
  <c r="H14378" i="34"/>
  <c r="H14379" i="34"/>
  <c r="H14380" i="34"/>
  <c r="H14381" i="34"/>
  <c r="H14382" i="34"/>
  <c r="H14383" i="34"/>
  <c r="H14384" i="34"/>
  <c r="H14385" i="34"/>
  <c r="H14386" i="34"/>
  <c r="H14387" i="34"/>
  <c r="H14388" i="34"/>
  <c r="H14389" i="34"/>
  <c r="H14390" i="34"/>
  <c r="H14391" i="34"/>
  <c r="H14392" i="34"/>
  <c r="H14393" i="34"/>
  <c r="H14394" i="34"/>
  <c r="H14395" i="34"/>
  <c r="H14396" i="34"/>
  <c r="H14397" i="34"/>
  <c r="H14398" i="34"/>
  <c r="H14399" i="34"/>
  <c r="H14400" i="34"/>
  <c r="H14401" i="34"/>
  <c r="H14402" i="34"/>
  <c r="H14403" i="34"/>
  <c r="H14404" i="34"/>
  <c r="H14405" i="34"/>
  <c r="H14406" i="34"/>
  <c r="H14407" i="34"/>
  <c r="H14408" i="34"/>
  <c r="H14409" i="34"/>
  <c r="H14410" i="34"/>
  <c r="H14411" i="34"/>
  <c r="H14412" i="34"/>
  <c r="H14413" i="34"/>
  <c r="H14414" i="34"/>
  <c r="H14415" i="34"/>
  <c r="H14416" i="34"/>
  <c r="H14417" i="34"/>
  <c r="H14418" i="34"/>
  <c r="H14419" i="34"/>
  <c r="H14420" i="34"/>
  <c r="H14421" i="34"/>
  <c r="H14422" i="34"/>
  <c r="H14423" i="34"/>
  <c r="H14424" i="34"/>
  <c r="H14425" i="34"/>
  <c r="H14426" i="34"/>
  <c r="H14427" i="34"/>
  <c r="H14428" i="34"/>
  <c r="H14429" i="34"/>
  <c r="H14430" i="34"/>
  <c r="H14431" i="34"/>
  <c r="H14432" i="34"/>
  <c r="H14433" i="34"/>
  <c r="H14434" i="34"/>
  <c r="H14435" i="34"/>
  <c r="H14436" i="34"/>
  <c r="H14437" i="34"/>
  <c r="H14438" i="34"/>
  <c r="H14439" i="34"/>
  <c r="H14440" i="34"/>
  <c r="H14441" i="34"/>
  <c r="H14442" i="34"/>
  <c r="H14443" i="34"/>
  <c r="H14444" i="34"/>
  <c r="H14445" i="34"/>
  <c r="H14446" i="34"/>
  <c r="H14447" i="34"/>
  <c r="H14448" i="34"/>
  <c r="H14449" i="34"/>
  <c r="H14450" i="34"/>
  <c r="H14451" i="34"/>
  <c r="H14452" i="34"/>
  <c r="H14453" i="34"/>
  <c r="H14454" i="34"/>
  <c r="H14455" i="34"/>
  <c r="H14456" i="34"/>
  <c r="H14457" i="34"/>
  <c r="H14458" i="34"/>
  <c r="H14459" i="34"/>
  <c r="H14460" i="34"/>
  <c r="H14461" i="34"/>
  <c r="H14462" i="34"/>
  <c r="H14463" i="34"/>
  <c r="H14464" i="34"/>
  <c r="H14465" i="34"/>
  <c r="H14466" i="34"/>
  <c r="H14467" i="34"/>
  <c r="H14468" i="34"/>
  <c r="H14469" i="34"/>
  <c r="H14470" i="34"/>
  <c r="H14471" i="34"/>
  <c r="H14472" i="34"/>
  <c r="H14473" i="34"/>
  <c r="H14474" i="34"/>
  <c r="H14475" i="34"/>
  <c r="H14476" i="34"/>
  <c r="H14477" i="34"/>
  <c r="H14478" i="34"/>
  <c r="H14479" i="34"/>
  <c r="H14480" i="34"/>
  <c r="H14481" i="34"/>
  <c r="H14482" i="34"/>
  <c r="H14483" i="34"/>
  <c r="H14484" i="34"/>
  <c r="H14485" i="34"/>
  <c r="H14486" i="34"/>
  <c r="H14487" i="34"/>
  <c r="H14488" i="34"/>
  <c r="H14489" i="34"/>
  <c r="H14490" i="34"/>
  <c r="H14491" i="34"/>
  <c r="H14492" i="34"/>
  <c r="H14493" i="34"/>
  <c r="H14494" i="34"/>
  <c r="H14495" i="34"/>
  <c r="H14496" i="34"/>
  <c r="H14497" i="34"/>
  <c r="H14498" i="34"/>
  <c r="H14499" i="34"/>
  <c r="H14500" i="34"/>
  <c r="H14501" i="34"/>
  <c r="H14502" i="34"/>
  <c r="H14503" i="34"/>
  <c r="H14504" i="34"/>
  <c r="H14505" i="34"/>
  <c r="H14506" i="34"/>
  <c r="H14507" i="34"/>
  <c r="H14508" i="34"/>
  <c r="H14509" i="34"/>
  <c r="H14510" i="34"/>
  <c r="H14511" i="34"/>
  <c r="H14512" i="34"/>
  <c r="H14513" i="34"/>
  <c r="H14514" i="34"/>
  <c r="H14515" i="34"/>
  <c r="H14516" i="34"/>
  <c r="H14517" i="34"/>
  <c r="H14518" i="34"/>
  <c r="H14519" i="34"/>
  <c r="H14520" i="34"/>
  <c r="H14521" i="34"/>
  <c r="H14522" i="34"/>
  <c r="H14523" i="34"/>
  <c r="H14524" i="34"/>
  <c r="H14525" i="34"/>
  <c r="H14526" i="34"/>
  <c r="H14527" i="34"/>
  <c r="H14528" i="34"/>
  <c r="H14529" i="34"/>
  <c r="H14530" i="34"/>
  <c r="H14531" i="34"/>
  <c r="H14532" i="34"/>
  <c r="H14533" i="34"/>
  <c r="H14534" i="34"/>
  <c r="H14535" i="34"/>
  <c r="H14536" i="34"/>
  <c r="H14537" i="34"/>
  <c r="H14538" i="34"/>
  <c r="H14539" i="34"/>
  <c r="H14540" i="34"/>
  <c r="H14541" i="34"/>
  <c r="H14542" i="34"/>
  <c r="H14543" i="34"/>
  <c r="H14544" i="34"/>
  <c r="H14545" i="34"/>
  <c r="H14546" i="34"/>
  <c r="H14547" i="34"/>
  <c r="H14548" i="34"/>
  <c r="H14549" i="34"/>
  <c r="H14550" i="34"/>
  <c r="H14551" i="34"/>
  <c r="H14552" i="34"/>
  <c r="H14553" i="34"/>
  <c r="H14554" i="34"/>
  <c r="H14555" i="34"/>
  <c r="H14556" i="34"/>
  <c r="H14557" i="34"/>
  <c r="H14558" i="34"/>
  <c r="H14559" i="34"/>
  <c r="H14560" i="34"/>
  <c r="H14561" i="34"/>
  <c r="H14562" i="34"/>
  <c r="H14563" i="34"/>
  <c r="H14564" i="34"/>
  <c r="H14565" i="34"/>
  <c r="H14566" i="34"/>
  <c r="H14567" i="34"/>
  <c r="H14568" i="34"/>
  <c r="H14569" i="34"/>
  <c r="H14570" i="34"/>
  <c r="H14571" i="34"/>
  <c r="H14572" i="34"/>
  <c r="H14573" i="34"/>
  <c r="H14574" i="34"/>
  <c r="H14575" i="34"/>
  <c r="H14576" i="34"/>
  <c r="H14577" i="34"/>
  <c r="H14578" i="34"/>
  <c r="H14579" i="34"/>
  <c r="H14580" i="34"/>
  <c r="H14581" i="34"/>
  <c r="H14582" i="34"/>
  <c r="H14583" i="34"/>
  <c r="H14584" i="34"/>
  <c r="H14585" i="34"/>
  <c r="H14586" i="34"/>
  <c r="H14587" i="34"/>
  <c r="H14588" i="34"/>
  <c r="H14589" i="34"/>
  <c r="H14590" i="34"/>
  <c r="H14591" i="34"/>
  <c r="H14592" i="34"/>
  <c r="H14593" i="34"/>
  <c r="H14594" i="34"/>
  <c r="H14595" i="34"/>
  <c r="H14596" i="34"/>
  <c r="H14597" i="34"/>
  <c r="H14598" i="34"/>
  <c r="H14599" i="34"/>
  <c r="H14600" i="34"/>
  <c r="H14601" i="34"/>
  <c r="H14602" i="34"/>
  <c r="H14603" i="34"/>
  <c r="H14604" i="34"/>
  <c r="H14605" i="34"/>
  <c r="H14606" i="34"/>
  <c r="H14607" i="34"/>
  <c r="H14608" i="34"/>
  <c r="H14609" i="34"/>
  <c r="H14610" i="34"/>
  <c r="H14611" i="34"/>
  <c r="H14612" i="34"/>
  <c r="H14613" i="34"/>
  <c r="H14614" i="34"/>
  <c r="H14615" i="34"/>
  <c r="H14616" i="34"/>
  <c r="H14617" i="34"/>
  <c r="H14618" i="34"/>
  <c r="H14619" i="34"/>
  <c r="H14620" i="34"/>
  <c r="H14621" i="34"/>
  <c r="H14622" i="34"/>
  <c r="H14623" i="34"/>
  <c r="H14624" i="34"/>
  <c r="H14625" i="34"/>
  <c r="H14626" i="34"/>
  <c r="H14627" i="34"/>
  <c r="H14628" i="34"/>
  <c r="H14629" i="34"/>
  <c r="H14630" i="34"/>
  <c r="H14631" i="34"/>
  <c r="H14632" i="34"/>
  <c r="H14633" i="34"/>
  <c r="H14634" i="34"/>
  <c r="H14635" i="34"/>
  <c r="H14636" i="34"/>
  <c r="H14637" i="34"/>
  <c r="H14638" i="34"/>
  <c r="H14639" i="34"/>
  <c r="H14640" i="34"/>
  <c r="H14641" i="34"/>
  <c r="H14642" i="34"/>
  <c r="H14643" i="34"/>
  <c r="H14644" i="34"/>
  <c r="H14645" i="34"/>
  <c r="H14646" i="34"/>
  <c r="H14647" i="34"/>
  <c r="H14648" i="34"/>
  <c r="H14649" i="34"/>
  <c r="H14650" i="34"/>
  <c r="H14651" i="34"/>
  <c r="H14652" i="34"/>
  <c r="H14653" i="34"/>
  <c r="H14654" i="34"/>
  <c r="H14655" i="34"/>
  <c r="H14656" i="34"/>
  <c r="H14657" i="34"/>
  <c r="H14658" i="34"/>
  <c r="H14659" i="34"/>
  <c r="H14660" i="34"/>
  <c r="H14661" i="34"/>
  <c r="H14662" i="34"/>
  <c r="H14663" i="34"/>
  <c r="H14664" i="34"/>
  <c r="H14665" i="34"/>
  <c r="H14666" i="34"/>
  <c r="H14667" i="34"/>
  <c r="H14668" i="34"/>
  <c r="H14669" i="34"/>
  <c r="H14670" i="34"/>
  <c r="H14671" i="34"/>
  <c r="H14672" i="34"/>
  <c r="H14673" i="34"/>
  <c r="H14674" i="34"/>
  <c r="H14675" i="34"/>
  <c r="H14676" i="34"/>
  <c r="H14677" i="34"/>
  <c r="H14678" i="34"/>
  <c r="H14679" i="34"/>
  <c r="H14680" i="34"/>
  <c r="H14681" i="34"/>
  <c r="H14682" i="34"/>
  <c r="H14683" i="34"/>
  <c r="H14684" i="34"/>
  <c r="H14685" i="34"/>
  <c r="H14686" i="34"/>
  <c r="H14687" i="34"/>
  <c r="H14688" i="34"/>
  <c r="H14689" i="34"/>
  <c r="H14690" i="34"/>
  <c r="H14691" i="34"/>
  <c r="H14692" i="34"/>
  <c r="H14693" i="34"/>
  <c r="H14694" i="34"/>
  <c r="H14695" i="34"/>
  <c r="H14696" i="34"/>
  <c r="H14697" i="34"/>
  <c r="H14698" i="34"/>
  <c r="H14699" i="34"/>
  <c r="H14700" i="34"/>
  <c r="H14701" i="34"/>
  <c r="H14702" i="34"/>
  <c r="H14703" i="34"/>
  <c r="H14704" i="34"/>
  <c r="H14705" i="34"/>
  <c r="H14706" i="34"/>
  <c r="H14707" i="34"/>
  <c r="H14708" i="34"/>
  <c r="H14709" i="34"/>
  <c r="H14710" i="34"/>
  <c r="H14711" i="34"/>
  <c r="H14712" i="34"/>
  <c r="H14713" i="34"/>
  <c r="H14714" i="34"/>
  <c r="H14715" i="34"/>
  <c r="H14716" i="34"/>
  <c r="H14717" i="34"/>
  <c r="H14718" i="34"/>
  <c r="H14719" i="34"/>
  <c r="H14720" i="34"/>
  <c r="H14721" i="34"/>
  <c r="H14722" i="34"/>
  <c r="H14723" i="34"/>
  <c r="H14724" i="34"/>
  <c r="H14725" i="34"/>
  <c r="H14726" i="34"/>
  <c r="H14727" i="34"/>
  <c r="H14728" i="34"/>
  <c r="H14729" i="34"/>
  <c r="H14730" i="34"/>
  <c r="H14731" i="34"/>
  <c r="H14732" i="34"/>
  <c r="H14733" i="34"/>
  <c r="H14734" i="34"/>
  <c r="H14735" i="34"/>
  <c r="H14736" i="34"/>
  <c r="H14737" i="34"/>
  <c r="H14738" i="34"/>
  <c r="H14739" i="34"/>
  <c r="H14740" i="34"/>
  <c r="H14741" i="34"/>
  <c r="H14742" i="34"/>
  <c r="H14743" i="34"/>
  <c r="H14744" i="34"/>
  <c r="H14745" i="34"/>
  <c r="H14746" i="34"/>
  <c r="H14747" i="34"/>
  <c r="H14748" i="34"/>
  <c r="H14749" i="34"/>
  <c r="H14750" i="34"/>
  <c r="H14751" i="34"/>
  <c r="H14752" i="34"/>
  <c r="H14753" i="34"/>
  <c r="H14754" i="34"/>
  <c r="H14755" i="34"/>
  <c r="H14756" i="34"/>
  <c r="H14757" i="34"/>
  <c r="H14758" i="34"/>
  <c r="H14759" i="34"/>
  <c r="H14760" i="34"/>
  <c r="H14761" i="34"/>
  <c r="H14762" i="34"/>
  <c r="H14763" i="34"/>
  <c r="H14764" i="34"/>
  <c r="H14765" i="34"/>
  <c r="H14766" i="34"/>
  <c r="H14767" i="34"/>
  <c r="H14768" i="34"/>
  <c r="H14769" i="34"/>
  <c r="H14770" i="34"/>
  <c r="H14771" i="34"/>
  <c r="H14772" i="34"/>
  <c r="H14773" i="34"/>
  <c r="H14774" i="34"/>
  <c r="H14775" i="34"/>
  <c r="H14776" i="34"/>
  <c r="H14777" i="34"/>
  <c r="H14778" i="34"/>
  <c r="H14779" i="34"/>
  <c r="H14780" i="34"/>
  <c r="H14781" i="34"/>
  <c r="H14782" i="34"/>
  <c r="H14783" i="34"/>
  <c r="H14784" i="34"/>
  <c r="H14785" i="34"/>
  <c r="H14786" i="34"/>
  <c r="H14787" i="34"/>
  <c r="H14788" i="34"/>
  <c r="H14789" i="34"/>
  <c r="H14790" i="34"/>
  <c r="H14791" i="34"/>
  <c r="H14792" i="34"/>
  <c r="H14793" i="34"/>
  <c r="H14794" i="34"/>
  <c r="H14795" i="34"/>
  <c r="H14796" i="34"/>
  <c r="H14797" i="34"/>
  <c r="H14798" i="34"/>
  <c r="H14799" i="34"/>
  <c r="H14800" i="34"/>
  <c r="H14801" i="34"/>
  <c r="H14802" i="34"/>
  <c r="H14803" i="34"/>
  <c r="H14804" i="34"/>
  <c r="H14805" i="34"/>
  <c r="H14806" i="34"/>
  <c r="H14807" i="34"/>
  <c r="H14808" i="34"/>
  <c r="H14809" i="34"/>
  <c r="H14810" i="34"/>
  <c r="H14811" i="34"/>
  <c r="H14812" i="34"/>
  <c r="H14813" i="34"/>
  <c r="H14814" i="34"/>
  <c r="H14815" i="34"/>
  <c r="H14816" i="34"/>
  <c r="H14817" i="34"/>
  <c r="H14818" i="34"/>
  <c r="H14819" i="34"/>
  <c r="H14820" i="34"/>
  <c r="H14821" i="34"/>
  <c r="H14822" i="34"/>
  <c r="H14823" i="34"/>
  <c r="H14824" i="34"/>
  <c r="H14825" i="34"/>
  <c r="H14826" i="34"/>
  <c r="H14827" i="34"/>
  <c r="H14828" i="34"/>
  <c r="H14829" i="34"/>
  <c r="H14830" i="34"/>
  <c r="H14831" i="34"/>
  <c r="H14832" i="34"/>
  <c r="H14833" i="34"/>
  <c r="H14834" i="34"/>
  <c r="H14835" i="34"/>
  <c r="H14836" i="34"/>
  <c r="H14837" i="34"/>
  <c r="H14838" i="34"/>
  <c r="H14839" i="34"/>
  <c r="H14840" i="34"/>
  <c r="H14841" i="34"/>
  <c r="H14842" i="34"/>
  <c r="H14843" i="34"/>
  <c r="H14844" i="34"/>
  <c r="H14845" i="34"/>
  <c r="H14846" i="34"/>
  <c r="H14847" i="34"/>
  <c r="H14848" i="34"/>
  <c r="H14849" i="34"/>
  <c r="H14850" i="34"/>
  <c r="H14851" i="34"/>
  <c r="H14852" i="34"/>
  <c r="H14853" i="34"/>
  <c r="H14854" i="34"/>
  <c r="H14855" i="34"/>
  <c r="H14856" i="34"/>
  <c r="H14857" i="34"/>
  <c r="H14858" i="34"/>
  <c r="H14859" i="34"/>
  <c r="H14860" i="34"/>
  <c r="H14861" i="34"/>
  <c r="H14862" i="34"/>
  <c r="H14863" i="34"/>
  <c r="H14864" i="34"/>
  <c r="H14865" i="34"/>
  <c r="H14866" i="34"/>
  <c r="H14867" i="34"/>
  <c r="H14868" i="34"/>
  <c r="H14869" i="34"/>
  <c r="H14870" i="34"/>
  <c r="H14871" i="34"/>
  <c r="H14872" i="34"/>
  <c r="H14873" i="34"/>
  <c r="H14874" i="34"/>
  <c r="H14875" i="34"/>
  <c r="H14876" i="34"/>
  <c r="H14877" i="34"/>
  <c r="H14878" i="34"/>
  <c r="H14879" i="34"/>
  <c r="H14880" i="34"/>
  <c r="H14881" i="34"/>
  <c r="H14882" i="34"/>
  <c r="H14883" i="34"/>
  <c r="H14884" i="34"/>
  <c r="H14885" i="34"/>
  <c r="H14886" i="34"/>
  <c r="H14887" i="34"/>
  <c r="H14888" i="34"/>
  <c r="H14889" i="34"/>
  <c r="H14890" i="34"/>
  <c r="H14891" i="34"/>
  <c r="H14892" i="34"/>
  <c r="H14893" i="34"/>
  <c r="H14894" i="34"/>
  <c r="H14895" i="34"/>
  <c r="H14896" i="34"/>
  <c r="H14897" i="34"/>
  <c r="H14898" i="34"/>
  <c r="H14899" i="34"/>
  <c r="H14900" i="34"/>
  <c r="H14901" i="34"/>
  <c r="H14902" i="34"/>
  <c r="H14903" i="34"/>
  <c r="H14904" i="34"/>
  <c r="H14905" i="34"/>
  <c r="H14906" i="34"/>
  <c r="H14907" i="34"/>
  <c r="H14908" i="34"/>
  <c r="H14909" i="34"/>
  <c r="H14910" i="34"/>
  <c r="H14911" i="34"/>
  <c r="H14912" i="34"/>
  <c r="H14913" i="34"/>
  <c r="H14914" i="34"/>
  <c r="H14915" i="34"/>
  <c r="H14916" i="34"/>
  <c r="H14917" i="34"/>
  <c r="H14918" i="34"/>
  <c r="H14919" i="34"/>
  <c r="H14920" i="34"/>
  <c r="H14921" i="34"/>
  <c r="H14922" i="34"/>
  <c r="H14923" i="34"/>
  <c r="H14924" i="34"/>
  <c r="H14925" i="34"/>
  <c r="H14926" i="34"/>
  <c r="H14927" i="34"/>
  <c r="H14928" i="34"/>
  <c r="H14929" i="34"/>
  <c r="H14930" i="34"/>
  <c r="H14931" i="34"/>
  <c r="H14932" i="34"/>
  <c r="H14933" i="34"/>
  <c r="H14934" i="34"/>
  <c r="H14935" i="34"/>
  <c r="H14936" i="34"/>
  <c r="H14937" i="34"/>
  <c r="H14938" i="34"/>
  <c r="H14939" i="34"/>
  <c r="H14940" i="34"/>
  <c r="H14941" i="34"/>
  <c r="H14942" i="34"/>
  <c r="H14943" i="34"/>
  <c r="H14944" i="34"/>
  <c r="H14945" i="34"/>
  <c r="H14946" i="34"/>
  <c r="H14947" i="34"/>
  <c r="H14948" i="34"/>
  <c r="H14949" i="34"/>
  <c r="H14950" i="34"/>
  <c r="H14951" i="34"/>
  <c r="H14952" i="34"/>
  <c r="H14953" i="34"/>
  <c r="H14954" i="34"/>
  <c r="H14955" i="34"/>
  <c r="H14956" i="34"/>
  <c r="H14957" i="34"/>
  <c r="H14958" i="34"/>
  <c r="H14959" i="34"/>
  <c r="H14960" i="34"/>
  <c r="H14961" i="34"/>
  <c r="H14962" i="34"/>
  <c r="H14963" i="34"/>
  <c r="H14964" i="34"/>
  <c r="H14965" i="34"/>
  <c r="H14966" i="34"/>
  <c r="H14967" i="34"/>
  <c r="H14968" i="34"/>
  <c r="H14969" i="34"/>
  <c r="H14970" i="34"/>
  <c r="H14971" i="34"/>
  <c r="H14972" i="34"/>
  <c r="H14973" i="34"/>
  <c r="H14974" i="34"/>
  <c r="H14975" i="34"/>
  <c r="H14976" i="34"/>
  <c r="H14977" i="34"/>
  <c r="H14978" i="34"/>
  <c r="H14979" i="34"/>
  <c r="H14980" i="34"/>
  <c r="H14981" i="34"/>
  <c r="H14982" i="34"/>
  <c r="H14983" i="34"/>
  <c r="H14984" i="34"/>
  <c r="H14985" i="34"/>
  <c r="H14986" i="34"/>
  <c r="H14987" i="34"/>
  <c r="H14988" i="34"/>
  <c r="H14989" i="34"/>
  <c r="H14990" i="34"/>
  <c r="H14991" i="34"/>
  <c r="H14992" i="34"/>
  <c r="H14993" i="34"/>
  <c r="H14994" i="34"/>
  <c r="H14995" i="34"/>
  <c r="H14996" i="34"/>
  <c r="H14997" i="34"/>
  <c r="H14998" i="34"/>
  <c r="H14999" i="34"/>
  <c r="H15000" i="34"/>
  <c r="H15001" i="34"/>
  <c r="H15002" i="34"/>
  <c r="H15003" i="34"/>
  <c r="H15004" i="34"/>
  <c r="H15005" i="34"/>
  <c r="H15006" i="34"/>
  <c r="H15007" i="34"/>
  <c r="H15008" i="34"/>
  <c r="H15009" i="34"/>
  <c r="H15010" i="34"/>
  <c r="H15011" i="34"/>
  <c r="H15012" i="34"/>
  <c r="H15013" i="34"/>
  <c r="H15014" i="34"/>
  <c r="H15015" i="34"/>
  <c r="H15016" i="34"/>
  <c r="H15017" i="34"/>
  <c r="H15018" i="34"/>
  <c r="H15019" i="34"/>
  <c r="H15020" i="34"/>
  <c r="H15021" i="34"/>
  <c r="H15022" i="34"/>
  <c r="H15023" i="34"/>
  <c r="H15024" i="34"/>
  <c r="H15025" i="34"/>
  <c r="H15026" i="34"/>
  <c r="H15027" i="34"/>
  <c r="H15028" i="34"/>
  <c r="H15029" i="34"/>
  <c r="H15030" i="34"/>
  <c r="H15031" i="34"/>
  <c r="H15032" i="34"/>
  <c r="H15033" i="34"/>
  <c r="H15034" i="34"/>
  <c r="H15035" i="34"/>
  <c r="H15036" i="34"/>
  <c r="H15037" i="34"/>
  <c r="H15038" i="34"/>
  <c r="H15039" i="34"/>
  <c r="H15040" i="34"/>
  <c r="H15041" i="34"/>
  <c r="H15042" i="34"/>
  <c r="H15043" i="34"/>
  <c r="H15044" i="34"/>
  <c r="H15045" i="34"/>
  <c r="H15046" i="34"/>
  <c r="H15047" i="34"/>
  <c r="H15048" i="34"/>
  <c r="H15049" i="34"/>
  <c r="H15050" i="34"/>
  <c r="H15051" i="34"/>
  <c r="H15052" i="34"/>
  <c r="H15053" i="34"/>
  <c r="H15054" i="34"/>
  <c r="H15055" i="34"/>
  <c r="H15056" i="34"/>
  <c r="H15057" i="34"/>
  <c r="H15058" i="34"/>
  <c r="H15059" i="34"/>
  <c r="H15060" i="34"/>
  <c r="H15061" i="34"/>
  <c r="H15062" i="34"/>
  <c r="H15063" i="34"/>
  <c r="H15064" i="34"/>
  <c r="H15065" i="34"/>
  <c r="H15066" i="34"/>
  <c r="H15067" i="34"/>
  <c r="H15068" i="34"/>
  <c r="H15069" i="34"/>
  <c r="H15070" i="34"/>
  <c r="H15071" i="34"/>
  <c r="H15072" i="34"/>
  <c r="H15073" i="34"/>
  <c r="H15074" i="34"/>
  <c r="H15075" i="34"/>
  <c r="H15076" i="34"/>
  <c r="H15077" i="34"/>
  <c r="H15078" i="34"/>
  <c r="H15079" i="34"/>
  <c r="H15080" i="34"/>
  <c r="H15081" i="34"/>
  <c r="H15082" i="34"/>
  <c r="H15083" i="34"/>
  <c r="H15084" i="34"/>
  <c r="H15085" i="34"/>
  <c r="H15086" i="34"/>
  <c r="H15087" i="34"/>
  <c r="H15088" i="34"/>
  <c r="H15089" i="34"/>
  <c r="H15090" i="34"/>
  <c r="H15091" i="34"/>
  <c r="H15092" i="34"/>
  <c r="H15093" i="34"/>
  <c r="H15094" i="34"/>
  <c r="H15095" i="34"/>
  <c r="H15096" i="34"/>
  <c r="H15097" i="34"/>
  <c r="H15098" i="34"/>
  <c r="H15099" i="34"/>
  <c r="H15100" i="34"/>
  <c r="H15101" i="34"/>
  <c r="H15102" i="34"/>
  <c r="H15103" i="34"/>
  <c r="H15104" i="34"/>
  <c r="H15105" i="34"/>
  <c r="H15106" i="34"/>
  <c r="H15107" i="34"/>
  <c r="H15108" i="34"/>
  <c r="H15109" i="34"/>
  <c r="H15110" i="34"/>
  <c r="H15111" i="34"/>
  <c r="H15112" i="34"/>
  <c r="H15113" i="34"/>
  <c r="H15114" i="34"/>
  <c r="H15115" i="34"/>
  <c r="H15116" i="34"/>
  <c r="H15117" i="34"/>
  <c r="H15118" i="34"/>
  <c r="H15119" i="34"/>
  <c r="H15120" i="34"/>
  <c r="H15121" i="34"/>
  <c r="H15122" i="34"/>
  <c r="H15123" i="34"/>
  <c r="H15124" i="34"/>
  <c r="H15125" i="34"/>
  <c r="H15126" i="34"/>
  <c r="H15127" i="34"/>
  <c r="H15128" i="34"/>
  <c r="H15129" i="34"/>
  <c r="H15130" i="34"/>
  <c r="H15131" i="34"/>
  <c r="H15132" i="34"/>
  <c r="H15133" i="34"/>
  <c r="H15134" i="34"/>
  <c r="H15135" i="34"/>
  <c r="H15136" i="34"/>
  <c r="H15137" i="34"/>
  <c r="H15138" i="34"/>
  <c r="H15139" i="34"/>
  <c r="H15140" i="34"/>
  <c r="H15141" i="34"/>
  <c r="H15142" i="34"/>
  <c r="H15143" i="34"/>
  <c r="H15144" i="34"/>
  <c r="H15145" i="34"/>
  <c r="H15146" i="34"/>
  <c r="H15147" i="34"/>
  <c r="H15148" i="34"/>
  <c r="H15149" i="34"/>
  <c r="H15150" i="34"/>
  <c r="H15151" i="34"/>
  <c r="H15152" i="34"/>
  <c r="H15153" i="34"/>
  <c r="H15154" i="34"/>
  <c r="H15155" i="34"/>
  <c r="H15156" i="34"/>
  <c r="H15157" i="34"/>
  <c r="H15158" i="34"/>
  <c r="H15159" i="34"/>
  <c r="H15160" i="34"/>
  <c r="H15161" i="34"/>
  <c r="H15162" i="34"/>
  <c r="H15163" i="34"/>
  <c r="H15164" i="34"/>
  <c r="H15165" i="34"/>
  <c r="H15166" i="34"/>
  <c r="H15167" i="34"/>
  <c r="H15168" i="34"/>
  <c r="H15169" i="34"/>
  <c r="H15170" i="34"/>
  <c r="H15171" i="34"/>
  <c r="H15172" i="34"/>
  <c r="H15173" i="34"/>
  <c r="H15174" i="34"/>
  <c r="H15175" i="34"/>
  <c r="H15176" i="34"/>
  <c r="H15177" i="34"/>
  <c r="H15178" i="34"/>
  <c r="H15179" i="34"/>
  <c r="H15180" i="34"/>
  <c r="H15181" i="34"/>
  <c r="H15182" i="34"/>
  <c r="H15183" i="34"/>
  <c r="H15184" i="34"/>
  <c r="H15185" i="34"/>
  <c r="H15186" i="34"/>
  <c r="H15187" i="34"/>
  <c r="H15188" i="34"/>
  <c r="H15189" i="34"/>
  <c r="H15190" i="34"/>
  <c r="H15191" i="34"/>
  <c r="H15192" i="34"/>
  <c r="H15193" i="34"/>
  <c r="H15194" i="34"/>
  <c r="H15195" i="34"/>
  <c r="H15196" i="34"/>
  <c r="H15197" i="34"/>
  <c r="H15198" i="34"/>
  <c r="H15199" i="34"/>
  <c r="H15200" i="34"/>
  <c r="H15201" i="34"/>
  <c r="H15202" i="34"/>
  <c r="H15203" i="34"/>
  <c r="H15204" i="34"/>
  <c r="H15205" i="34"/>
  <c r="H15206" i="34"/>
  <c r="H15207" i="34"/>
  <c r="H15208" i="34"/>
  <c r="H15209" i="34"/>
  <c r="H15210" i="34"/>
  <c r="H15211" i="34"/>
  <c r="H15212" i="34"/>
  <c r="H15213" i="34"/>
  <c r="H15214" i="34"/>
  <c r="H15215" i="34"/>
  <c r="H15216" i="34"/>
  <c r="H15217" i="34"/>
  <c r="H15218" i="34"/>
  <c r="H15219" i="34"/>
  <c r="H15220" i="34"/>
  <c r="H15221" i="34"/>
  <c r="H15222" i="34"/>
  <c r="H15223" i="34"/>
  <c r="H15224" i="34"/>
  <c r="H15225" i="34"/>
  <c r="H15226" i="34"/>
  <c r="H15227" i="34"/>
  <c r="H15228" i="34"/>
  <c r="H15229" i="34"/>
  <c r="H15230" i="34"/>
  <c r="H15231" i="34"/>
  <c r="H15232" i="34"/>
  <c r="H15233" i="34"/>
  <c r="H15234" i="34"/>
  <c r="H15235" i="34"/>
  <c r="H15236" i="34"/>
  <c r="H15237" i="34"/>
  <c r="H15238" i="34"/>
  <c r="H15239" i="34"/>
  <c r="H15240" i="34"/>
  <c r="H15241" i="34"/>
  <c r="H15242" i="34"/>
  <c r="H15243" i="34"/>
  <c r="H15244" i="34"/>
  <c r="H15245" i="34"/>
  <c r="H15246" i="34"/>
  <c r="H15247" i="34"/>
  <c r="H15248" i="34"/>
  <c r="H15249" i="34"/>
  <c r="H15250" i="34"/>
  <c r="H15251" i="34"/>
  <c r="H15252" i="34"/>
  <c r="H15253" i="34"/>
  <c r="H15254" i="34"/>
  <c r="H15255" i="34"/>
  <c r="H15256" i="34"/>
  <c r="H15257" i="34"/>
  <c r="H15258" i="34"/>
  <c r="H15259" i="34"/>
  <c r="H15260" i="34"/>
  <c r="H15261" i="34"/>
  <c r="H15262" i="34"/>
  <c r="H15263" i="34"/>
  <c r="H15264" i="34"/>
  <c r="H15265" i="34"/>
  <c r="H15266" i="34"/>
  <c r="H15267" i="34"/>
  <c r="H15268" i="34"/>
  <c r="H15269" i="34"/>
  <c r="H15270" i="34"/>
  <c r="H15271" i="34"/>
  <c r="H15272" i="34"/>
  <c r="H15273" i="34"/>
  <c r="H15274" i="34"/>
  <c r="H15275" i="34"/>
  <c r="H15276" i="34"/>
  <c r="H15277" i="34"/>
  <c r="H15278" i="34"/>
  <c r="H15279" i="34"/>
  <c r="H15280" i="34"/>
  <c r="H15281" i="34"/>
  <c r="H15282" i="34"/>
  <c r="H15283" i="34"/>
  <c r="H15284" i="34"/>
  <c r="H15285" i="34"/>
  <c r="H15286" i="34"/>
  <c r="H15287" i="34"/>
  <c r="H15288" i="34"/>
  <c r="H15289" i="34"/>
  <c r="H15290" i="34"/>
  <c r="H15291" i="34"/>
  <c r="H15292" i="34"/>
  <c r="H15293" i="34"/>
  <c r="H15294" i="34"/>
  <c r="H15295" i="34"/>
  <c r="H15296" i="34"/>
  <c r="H15297" i="34"/>
  <c r="H15298" i="34"/>
  <c r="H15299" i="34"/>
  <c r="H15300" i="34"/>
  <c r="H15301" i="34"/>
  <c r="H15302" i="34"/>
  <c r="H15303" i="34"/>
  <c r="H15304" i="34"/>
  <c r="H15305" i="34"/>
  <c r="H15306" i="34"/>
  <c r="H15307" i="34"/>
  <c r="H15308" i="34"/>
  <c r="H15309" i="34"/>
  <c r="H15310" i="34"/>
  <c r="H15311" i="34"/>
  <c r="H15312" i="34"/>
  <c r="H15313" i="34"/>
  <c r="H15314" i="34"/>
  <c r="H15315" i="34"/>
  <c r="H15316" i="34"/>
  <c r="H15317" i="34"/>
  <c r="H15318" i="34"/>
  <c r="H15319" i="34"/>
  <c r="H15320" i="34"/>
  <c r="H15321" i="34"/>
  <c r="H15322" i="34"/>
  <c r="H15323" i="34"/>
  <c r="H15324" i="34"/>
  <c r="H15325" i="34"/>
  <c r="H15326" i="34"/>
  <c r="H15327" i="34"/>
  <c r="H15328" i="34"/>
  <c r="H15329" i="34"/>
  <c r="H15330" i="34"/>
  <c r="H15331" i="34"/>
  <c r="H15332" i="34"/>
  <c r="H15333" i="34"/>
  <c r="H15334" i="34"/>
  <c r="H15335" i="34"/>
  <c r="H15336" i="34"/>
  <c r="H15337" i="34"/>
  <c r="H15338" i="34"/>
  <c r="H15339" i="34"/>
  <c r="H15340" i="34"/>
  <c r="H15341" i="34"/>
  <c r="H15342" i="34"/>
  <c r="H15343" i="34"/>
  <c r="H15344" i="34"/>
  <c r="H15345" i="34"/>
  <c r="H15346" i="34"/>
  <c r="H15347" i="34"/>
  <c r="H15349" i="34"/>
  <c r="H2" i="34"/>
  <c r="R3" i="34"/>
  <c r="R4" i="34"/>
  <c r="R5" i="34"/>
  <c r="R6" i="34"/>
  <c r="R7" i="34"/>
  <c r="R8" i="34"/>
  <c r="R9" i="34"/>
  <c r="R10" i="34"/>
  <c r="R11" i="34"/>
  <c r="R12" i="34"/>
  <c r="R13" i="34"/>
  <c r="R14" i="34"/>
  <c r="R15" i="34"/>
  <c r="R16" i="34"/>
  <c r="R17" i="34"/>
  <c r="R18" i="34"/>
  <c r="R19" i="34"/>
  <c r="R20" i="34"/>
  <c r="R21" i="34"/>
  <c r="R22" i="34"/>
  <c r="R23" i="34"/>
  <c r="R24" i="34"/>
  <c r="R25" i="34"/>
  <c r="R26" i="34"/>
  <c r="R27" i="34"/>
  <c r="R28" i="34"/>
  <c r="R29" i="34"/>
  <c r="R30" i="34"/>
  <c r="R31" i="34"/>
  <c r="R32" i="34"/>
  <c r="R33" i="34"/>
  <c r="R34" i="34"/>
  <c r="R35" i="34"/>
  <c r="R36" i="34"/>
  <c r="R37" i="34"/>
  <c r="R38" i="34"/>
  <c r="R39" i="34"/>
  <c r="R40" i="34"/>
  <c r="R41" i="34"/>
  <c r="R42" i="34"/>
  <c r="R43" i="34"/>
  <c r="R44" i="34"/>
  <c r="R45" i="34"/>
  <c r="R46" i="34"/>
  <c r="R47" i="34"/>
  <c r="R48" i="34"/>
  <c r="R49" i="34"/>
  <c r="R50" i="34"/>
  <c r="R51" i="34"/>
  <c r="R52" i="34"/>
  <c r="R53" i="34"/>
  <c r="R54" i="34"/>
  <c r="R55" i="34"/>
  <c r="R56" i="34"/>
  <c r="R57" i="34"/>
  <c r="R58" i="34"/>
  <c r="R59" i="34"/>
  <c r="R60" i="34"/>
  <c r="R61" i="34"/>
  <c r="R62" i="34"/>
  <c r="R63" i="34"/>
  <c r="R64" i="34"/>
  <c r="R65" i="34"/>
  <c r="R66" i="34"/>
  <c r="R67" i="34"/>
  <c r="R68" i="34"/>
  <c r="R69" i="34"/>
  <c r="R70" i="34"/>
  <c r="R71" i="34"/>
  <c r="R72" i="34"/>
  <c r="R73" i="34"/>
  <c r="R74" i="34"/>
  <c r="R75" i="34"/>
  <c r="R76" i="34"/>
  <c r="R77" i="34"/>
  <c r="R78" i="34"/>
  <c r="R79" i="34"/>
  <c r="R80" i="34"/>
  <c r="R81" i="34"/>
  <c r="R82" i="34"/>
  <c r="R83" i="34"/>
  <c r="R84" i="34"/>
  <c r="R85" i="34"/>
  <c r="R86" i="34"/>
  <c r="R87" i="34"/>
  <c r="R88" i="34"/>
  <c r="R89" i="34"/>
  <c r="R90" i="34"/>
  <c r="R91" i="34"/>
  <c r="R92" i="34"/>
  <c r="R93" i="34"/>
  <c r="R94" i="34"/>
  <c r="R95" i="34"/>
  <c r="R96" i="34"/>
  <c r="R97" i="34"/>
  <c r="R98" i="34"/>
  <c r="R99" i="34"/>
  <c r="R100" i="34"/>
  <c r="R101" i="34"/>
  <c r="R102" i="34"/>
  <c r="R103" i="34"/>
  <c r="R104" i="34"/>
  <c r="R105" i="34"/>
  <c r="R106" i="34"/>
  <c r="R107" i="34"/>
  <c r="R108" i="34"/>
  <c r="R109" i="34"/>
  <c r="R110" i="34"/>
  <c r="R111" i="34"/>
  <c r="R112" i="34"/>
  <c r="R113" i="34"/>
  <c r="R114" i="34"/>
  <c r="R115" i="34"/>
  <c r="R116" i="34"/>
  <c r="R117" i="34"/>
  <c r="R118" i="34"/>
  <c r="R119" i="34"/>
  <c r="R120" i="34"/>
  <c r="R121" i="34"/>
  <c r="R122" i="34"/>
  <c r="R123" i="34"/>
  <c r="R124" i="34"/>
  <c r="R125" i="34"/>
  <c r="R126" i="34"/>
  <c r="R127" i="34"/>
  <c r="R128" i="34"/>
  <c r="R129" i="34"/>
  <c r="R130" i="34"/>
  <c r="R131" i="34"/>
  <c r="R132" i="34"/>
  <c r="R133" i="34"/>
  <c r="R134" i="34"/>
  <c r="R135" i="34"/>
  <c r="R136" i="34"/>
  <c r="R137" i="34"/>
  <c r="R138" i="34"/>
  <c r="R139" i="34"/>
  <c r="R140" i="34"/>
  <c r="R141" i="34"/>
  <c r="R142" i="34"/>
  <c r="R143" i="34"/>
  <c r="R144" i="34"/>
  <c r="R145" i="34"/>
  <c r="R146" i="34"/>
  <c r="R147" i="34"/>
  <c r="R148" i="34"/>
  <c r="R149" i="34"/>
  <c r="R150" i="34"/>
  <c r="R151" i="34"/>
  <c r="R152" i="34"/>
  <c r="R153" i="34"/>
  <c r="R154" i="34"/>
  <c r="R155" i="34"/>
  <c r="R156" i="34"/>
  <c r="R157" i="34"/>
  <c r="R158" i="34"/>
  <c r="R159" i="34"/>
  <c r="R160" i="34"/>
  <c r="R161" i="34"/>
  <c r="R162" i="34"/>
  <c r="R163" i="34"/>
  <c r="R164" i="34"/>
  <c r="R165" i="34"/>
  <c r="R166" i="34"/>
  <c r="R167" i="34"/>
  <c r="R168" i="34"/>
  <c r="R169" i="34"/>
  <c r="R170" i="34"/>
  <c r="R171" i="34"/>
  <c r="R172" i="34"/>
  <c r="R173" i="34"/>
  <c r="R174" i="34"/>
  <c r="R175" i="34"/>
  <c r="R176" i="34"/>
  <c r="R177" i="34"/>
  <c r="R178" i="34"/>
  <c r="R179" i="34"/>
  <c r="R180" i="34"/>
  <c r="R181" i="34"/>
  <c r="R182" i="34"/>
  <c r="R183" i="34"/>
  <c r="R184" i="34"/>
  <c r="R185" i="34"/>
  <c r="R186" i="34"/>
  <c r="R187" i="34"/>
  <c r="R188" i="34"/>
  <c r="R189" i="34"/>
  <c r="R190" i="34"/>
  <c r="R191" i="34"/>
  <c r="R192" i="34"/>
  <c r="R193" i="34"/>
  <c r="R194" i="34"/>
  <c r="R195" i="34"/>
  <c r="R196" i="34"/>
  <c r="R197" i="34"/>
  <c r="R198" i="34"/>
  <c r="R199" i="34"/>
  <c r="R200" i="34"/>
  <c r="R201" i="34"/>
  <c r="R202" i="34"/>
  <c r="R203" i="34"/>
  <c r="R204" i="34"/>
  <c r="R205" i="34"/>
  <c r="R206" i="34"/>
  <c r="R207" i="34"/>
  <c r="R208" i="34"/>
  <c r="R209" i="34"/>
  <c r="R210" i="34"/>
  <c r="R211" i="34"/>
  <c r="R212" i="34"/>
  <c r="R213" i="34"/>
  <c r="R214" i="34"/>
  <c r="R215" i="34"/>
  <c r="R216" i="34"/>
  <c r="R217" i="34"/>
  <c r="R218" i="34"/>
  <c r="R219" i="34"/>
  <c r="R220" i="34"/>
  <c r="R221" i="34"/>
  <c r="R222" i="34"/>
  <c r="R223" i="34"/>
  <c r="R224" i="34"/>
  <c r="R225" i="34"/>
  <c r="R226" i="34"/>
  <c r="R227" i="34"/>
  <c r="R228" i="34"/>
  <c r="R229" i="34"/>
  <c r="R230" i="34"/>
  <c r="R231" i="34"/>
  <c r="R232" i="34"/>
  <c r="R233" i="34"/>
  <c r="R234" i="34"/>
  <c r="R235" i="34"/>
  <c r="R236" i="34"/>
  <c r="R237" i="34"/>
  <c r="R238" i="34"/>
  <c r="R239" i="34"/>
  <c r="R240" i="34"/>
  <c r="R241" i="34"/>
  <c r="R242" i="34"/>
  <c r="R243" i="34"/>
  <c r="R244" i="34"/>
  <c r="R245" i="34"/>
  <c r="R246" i="34"/>
  <c r="R247" i="34"/>
  <c r="R248" i="34"/>
  <c r="R249" i="34"/>
  <c r="R250" i="34"/>
  <c r="R251" i="34"/>
  <c r="R252" i="34"/>
  <c r="R253" i="34"/>
  <c r="R254" i="34"/>
  <c r="R255" i="34"/>
  <c r="R256" i="34"/>
  <c r="R257" i="34"/>
  <c r="R258" i="34"/>
  <c r="R259" i="34"/>
  <c r="R260" i="34"/>
  <c r="R261" i="34"/>
  <c r="R262" i="34"/>
  <c r="R263" i="34"/>
  <c r="R264" i="34"/>
  <c r="R265" i="34"/>
  <c r="R266" i="34"/>
  <c r="R267" i="34"/>
  <c r="R268" i="34"/>
  <c r="R269" i="34"/>
  <c r="R270" i="34"/>
  <c r="R271" i="34"/>
  <c r="R272" i="34"/>
  <c r="R273" i="34"/>
  <c r="R274" i="34"/>
  <c r="R275" i="34"/>
  <c r="R276" i="34"/>
  <c r="R277" i="34"/>
  <c r="R278" i="34"/>
  <c r="R279" i="34"/>
  <c r="R280" i="34"/>
  <c r="R281" i="34"/>
  <c r="R282" i="34"/>
  <c r="R283" i="34"/>
  <c r="R284" i="34"/>
  <c r="R285" i="34"/>
  <c r="R286" i="34"/>
  <c r="R287" i="34"/>
  <c r="R288" i="34"/>
  <c r="R289" i="34"/>
  <c r="R290" i="34"/>
  <c r="R291" i="34"/>
  <c r="R292" i="34"/>
  <c r="R293" i="34"/>
  <c r="R294" i="34"/>
  <c r="R295" i="34"/>
  <c r="R296" i="34"/>
  <c r="R297" i="34"/>
  <c r="R298" i="34"/>
  <c r="R299" i="34"/>
  <c r="R300" i="34"/>
  <c r="R301" i="34"/>
  <c r="R302" i="34"/>
  <c r="R303" i="34"/>
  <c r="R304" i="34"/>
  <c r="R305" i="34"/>
  <c r="R306" i="34"/>
  <c r="R307" i="34"/>
  <c r="R308" i="34"/>
  <c r="R309" i="34"/>
  <c r="R310" i="34"/>
  <c r="R311" i="34"/>
  <c r="R312" i="34"/>
  <c r="R313" i="34"/>
  <c r="R314" i="34"/>
  <c r="R315" i="34"/>
  <c r="R316" i="34"/>
  <c r="R317" i="34"/>
  <c r="R318" i="34"/>
  <c r="R319" i="34"/>
  <c r="R320" i="34"/>
  <c r="R321" i="34"/>
  <c r="R322" i="34"/>
  <c r="R323" i="34"/>
  <c r="R324" i="34"/>
  <c r="R325" i="34"/>
  <c r="R326" i="34"/>
  <c r="R327" i="34"/>
  <c r="R328" i="34"/>
  <c r="R329" i="34"/>
  <c r="R330" i="34"/>
  <c r="R331" i="34"/>
  <c r="R332" i="34"/>
  <c r="R333" i="34"/>
  <c r="R334" i="34"/>
  <c r="R335" i="34"/>
  <c r="R336" i="34"/>
  <c r="R337" i="34"/>
  <c r="R338" i="34"/>
  <c r="R339" i="34"/>
  <c r="R340" i="34"/>
  <c r="R341" i="34"/>
  <c r="R342" i="34"/>
  <c r="R343" i="34"/>
  <c r="R344" i="34"/>
  <c r="R345" i="34"/>
  <c r="R346" i="34"/>
  <c r="R347" i="34"/>
  <c r="R348" i="34"/>
  <c r="R349" i="34"/>
  <c r="R350" i="34"/>
  <c r="R351" i="34"/>
  <c r="R352" i="34"/>
  <c r="R353" i="34"/>
  <c r="R354" i="34"/>
  <c r="R355" i="34"/>
  <c r="R356" i="34"/>
  <c r="R357" i="34"/>
  <c r="R358" i="34"/>
  <c r="R359" i="34"/>
  <c r="R360" i="34"/>
  <c r="R361" i="34"/>
  <c r="R362" i="34"/>
  <c r="R363" i="34"/>
  <c r="R364" i="34"/>
  <c r="R365" i="34"/>
  <c r="R366" i="34"/>
  <c r="R367" i="34"/>
  <c r="R368" i="34"/>
  <c r="R369" i="34"/>
  <c r="R370" i="34"/>
  <c r="R371" i="34"/>
  <c r="R372" i="34"/>
  <c r="R373" i="34"/>
  <c r="R374" i="34"/>
  <c r="R375" i="34"/>
  <c r="R376" i="34"/>
  <c r="R377" i="34"/>
  <c r="R378" i="34"/>
  <c r="R379" i="34"/>
  <c r="R380" i="34"/>
  <c r="R381" i="34"/>
  <c r="R382" i="34"/>
  <c r="R383" i="34"/>
  <c r="R384" i="34"/>
  <c r="R385" i="34"/>
  <c r="R386" i="34"/>
  <c r="R387" i="34"/>
  <c r="R388" i="34"/>
  <c r="R389" i="34"/>
  <c r="R390" i="34"/>
  <c r="R391" i="34"/>
  <c r="R392" i="34"/>
  <c r="R393" i="34"/>
  <c r="R394" i="34"/>
  <c r="R395" i="34"/>
  <c r="R396" i="34"/>
  <c r="R397" i="34"/>
  <c r="R398" i="34"/>
  <c r="R399" i="34"/>
  <c r="R400" i="34"/>
  <c r="R401" i="34"/>
  <c r="R402" i="34"/>
  <c r="R403" i="34"/>
  <c r="R404" i="34"/>
  <c r="R405" i="34"/>
  <c r="R406" i="34"/>
  <c r="R407" i="34"/>
  <c r="R408" i="34"/>
  <c r="R409" i="34"/>
  <c r="R410" i="34"/>
  <c r="R411" i="34"/>
  <c r="R412" i="34"/>
  <c r="R413" i="34"/>
  <c r="R414" i="34"/>
  <c r="R415" i="34"/>
  <c r="R416" i="34"/>
  <c r="R417" i="34"/>
  <c r="R418" i="34"/>
  <c r="R419" i="34"/>
  <c r="R420" i="34"/>
  <c r="R421" i="34"/>
  <c r="R422" i="34"/>
  <c r="R423" i="34"/>
  <c r="R424" i="34"/>
  <c r="R425" i="34"/>
  <c r="R426" i="34"/>
  <c r="R427" i="34"/>
  <c r="R428" i="34"/>
  <c r="R429" i="34"/>
  <c r="R430" i="34"/>
  <c r="R431" i="34"/>
  <c r="R432" i="34"/>
  <c r="R433" i="34"/>
  <c r="R434" i="34"/>
  <c r="R435" i="34"/>
  <c r="R436" i="34"/>
  <c r="R437" i="34"/>
  <c r="R438" i="34"/>
  <c r="R439" i="34"/>
  <c r="R440" i="34"/>
  <c r="R441" i="34"/>
  <c r="R442" i="34"/>
  <c r="R443" i="34"/>
  <c r="R444" i="34"/>
  <c r="R445" i="34"/>
  <c r="R446" i="34"/>
  <c r="R447" i="34"/>
  <c r="R448" i="34"/>
  <c r="R449" i="34"/>
  <c r="R450" i="34"/>
  <c r="R451" i="34"/>
  <c r="R452" i="34"/>
  <c r="R453" i="34"/>
  <c r="R454" i="34"/>
  <c r="R455" i="34"/>
  <c r="R456" i="34"/>
  <c r="R457" i="34"/>
  <c r="R458" i="34"/>
  <c r="R459" i="34"/>
  <c r="R460" i="34"/>
  <c r="R461" i="34"/>
  <c r="R462" i="34"/>
  <c r="R463" i="34"/>
  <c r="R464" i="34"/>
  <c r="R465" i="34"/>
  <c r="R466" i="34"/>
  <c r="R467" i="34"/>
  <c r="R468" i="34"/>
  <c r="R469" i="34"/>
  <c r="R470" i="34"/>
  <c r="R471" i="34"/>
  <c r="R472" i="34"/>
  <c r="R473" i="34"/>
  <c r="R474" i="34"/>
  <c r="R475" i="34"/>
  <c r="R476" i="34"/>
  <c r="R477" i="34"/>
  <c r="R478" i="34"/>
  <c r="R479" i="34"/>
  <c r="R480" i="34"/>
  <c r="R481" i="34"/>
  <c r="R482" i="34"/>
  <c r="R483" i="34"/>
  <c r="R484" i="34"/>
  <c r="R485" i="34"/>
  <c r="R486" i="34"/>
  <c r="R487" i="34"/>
  <c r="R488" i="34"/>
  <c r="R489" i="34"/>
  <c r="R490" i="34"/>
  <c r="R491" i="34"/>
  <c r="R492" i="34"/>
  <c r="R493" i="34"/>
  <c r="R494" i="34"/>
  <c r="R495" i="34"/>
  <c r="R496" i="34"/>
  <c r="R497" i="34"/>
  <c r="R498" i="34"/>
  <c r="R499" i="34"/>
  <c r="R500" i="34"/>
  <c r="R501" i="34"/>
  <c r="R502" i="34"/>
  <c r="R503" i="34"/>
  <c r="R504" i="34"/>
  <c r="R505" i="34"/>
  <c r="R506" i="34"/>
  <c r="R507" i="34"/>
  <c r="R508" i="34"/>
  <c r="R509" i="34"/>
  <c r="R510" i="34"/>
  <c r="R511" i="34"/>
  <c r="R512" i="34"/>
  <c r="R513" i="34"/>
  <c r="R514" i="34"/>
  <c r="R515" i="34"/>
  <c r="R516" i="34"/>
  <c r="R517" i="34"/>
  <c r="R518" i="34"/>
  <c r="R519" i="34"/>
  <c r="R520" i="34"/>
  <c r="R521" i="34"/>
  <c r="R522" i="34"/>
  <c r="R523" i="34"/>
  <c r="R524" i="34"/>
  <c r="R525" i="34"/>
  <c r="R526" i="34"/>
  <c r="R527" i="34"/>
  <c r="R528" i="34"/>
  <c r="R529" i="34"/>
  <c r="R530" i="34"/>
  <c r="R531" i="34"/>
  <c r="R532" i="34"/>
  <c r="R533" i="34"/>
  <c r="R534" i="34"/>
  <c r="R535" i="34"/>
  <c r="R536" i="34"/>
  <c r="R537" i="34"/>
  <c r="R538" i="34"/>
  <c r="R539" i="34"/>
  <c r="R540" i="34"/>
  <c r="R541" i="34"/>
  <c r="R542" i="34"/>
  <c r="R543" i="34"/>
  <c r="R544" i="34"/>
  <c r="R545" i="34"/>
  <c r="R546" i="34"/>
  <c r="R547" i="34"/>
  <c r="R548" i="34"/>
  <c r="R549" i="34"/>
  <c r="R550" i="34"/>
  <c r="R551" i="34"/>
  <c r="R552" i="34"/>
  <c r="R553" i="34"/>
  <c r="R554" i="34"/>
  <c r="R555" i="34"/>
  <c r="R556" i="34"/>
  <c r="R557" i="34"/>
  <c r="R558" i="34"/>
  <c r="R559" i="34"/>
  <c r="R560" i="34"/>
  <c r="R561" i="34"/>
  <c r="R562" i="34"/>
  <c r="R563" i="34"/>
  <c r="R564" i="34"/>
  <c r="R565" i="34"/>
  <c r="R566" i="34"/>
  <c r="R567" i="34"/>
  <c r="R568" i="34"/>
  <c r="R569" i="34"/>
  <c r="R570" i="34"/>
  <c r="R571" i="34"/>
  <c r="R572" i="34"/>
  <c r="R573" i="34"/>
  <c r="R574" i="34"/>
  <c r="R575" i="34"/>
  <c r="R576" i="34"/>
  <c r="R577" i="34"/>
  <c r="R578" i="34"/>
  <c r="R579" i="34"/>
  <c r="R580" i="34"/>
  <c r="R581" i="34"/>
  <c r="R582" i="34"/>
  <c r="R583" i="34"/>
  <c r="R584" i="34"/>
  <c r="R585" i="34"/>
  <c r="R586" i="34"/>
  <c r="R587" i="34"/>
  <c r="R588" i="34"/>
  <c r="R589" i="34"/>
  <c r="R590" i="34"/>
  <c r="R591" i="34"/>
  <c r="R592" i="34"/>
  <c r="R593" i="34"/>
  <c r="R594" i="34"/>
  <c r="R595" i="34"/>
  <c r="R596" i="34"/>
  <c r="R597" i="34"/>
  <c r="R598" i="34"/>
  <c r="R599" i="34"/>
  <c r="R600" i="34"/>
  <c r="R601" i="34"/>
  <c r="R602" i="34"/>
  <c r="R603" i="34"/>
  <c r="R604" i="34"/>
  <c r="R605" i="34"/>
  <c r="R606" i="34"/>
  <c r="R607" i="34"/>
  <c r="R608" i="34"/>
  <c r="R609" i="34"/>
  <c r="R610" i="34"/>
  <c r="R611" i="34"/>
  <c r="R612" i="34"/>
  <c r="R613" i="34"/>
  <c r="R614" i="34"/>
  <c r="R615" i="34"/>
  <c r="R616" i="34"/>
  <c r="R617" i="34"/>
  <c r="R618" i="34"/>
  <c r="R619" i="34"/>
  <c r="R620" i="34"/>
  <c r="R621" i="34"/>
  <c r="R622" i="34"/>
  <c r="R623" i="34"/>
  <c r="R624" i="34"/>
  <c r="R625" i="34"/>
  <c r="R626" i="34"/>
  <c r="R627" i="34"/>
  <c r="R628" i="34"/>
  <c r="R629" i="34"/>
  <c r="R630" i="34"/>
  <c r="R631" i="34"/>
  <c r="R632" i="34"/>
  <c r="R633" i="34"/>
  <c r="R634" i="34"/>
  <c r="R635" i="34"/>
  <c r="R636" i="34"/>
  <c r="R637" i="34"/>
  <c r="R638" i="34"/>
  <c r="R639" i="34"/>
  <c r="R640" i="34"/>
  <c r="R641" i="34"/>
  <c r="R642" i="34"/>
  <c r="R643" i="34"/>
  <c r="R644" i="34"/>
  <c r="R645" i="34"/>
  <c r="R646" i="34"/>
  <c r="R647" i="34"/>
  <c r="R648" i="34"/>
  <c r="R649" i="34"/>
  <c r="R650" i="34"/>
  <c r="R651" i="34"/>
  <c r="R652" i="34"/>
  <c r="R653" i="34"/>
  <c r="R654" i="34"/>
  <c r="R655" i="34"/>
  <c r="R656" i="34"/>
  <c r="R657" i="34"/>
  <c r="R658" i="34"/>
  <c r="R659" i="34"/>
  <c r="R660" i="34"/>
  <c r="R661" i="34"/>
  <c r="R662" i="34"/>
  <c r="R663" i="34"/>
  <c r="R664" i="34"/>
  <c r="R665" i="34"/>
  <c r="R666" i="34"/>
  <c r="R667" i="34"/>
  <c r="R668" i="34"/>
  <c r="R669" i="34"/>
  <c r="R670" i="34"/>
  <c r="R671" i="34"/>
  <c r="R672" i="34"/>
  <c r="R673" i="34"/>
  <c r="R674" i="34"/>
  <c r="R675" i="34"/>
  <c r="R676" i="34"/>
  <c r="R677" i="34"/>
  <c r="R678" i="34"/>
  <c r="R679" i="34"/>
  <c r="R680" i="34"/>
  <c r="R681" i="34"/>
  <c r="R682" i="34"/>
  <c r="R683" i="34"/>
  <c r="R684" i="34"/>
  <c r="R685" i="34"/>
  <c r="R686" i="34"/>
  <c r="R687" i="34"/>
  <c r="R688" i="34"/>
  <c r="R689" i="34"/>
  <c r="R690" i="34"/>
  <c r="R691" i="34"/>
  <c r="R692" i="34"/>
  <c r="R693" i="34"/>
  <c r="R694" i="34"/>
  <c r="R695" i="34"/>
  <c r="R696" i="34"/>
  <c r="R697" i="34"/>
  <c r="R698" i="34"/>
  <c r="R699" i="34"/>
  <c r="R700" i="34"/>
  <c r="R701" i="34"/>
  <c r="R702" i="34"/>
  <c r="R703" i="34"/>
  <c r="R704" i="34"/>
  <c r="R705" i="34"/>
  <c r="R706" i="34"/>
  <c r="R707" i="34"/>
  <c r="R708" i="34"/>
  <c r="R709" i="34"/>
  <c r="R710" i="34"/>
  <c r="R711" i="34"/>
  <c r="R712" i="34"/>
  <c r="R713" i="34"/>
  <c r="R714" i="34"/>
  <c r="R715" i="34"/>
  <c r="R716" i="34"/>
  <c r="R717" i="34"/>
  <c r="R718" i="34"/>
  <c r="R719" i="34"/>
  <c r="R720" i="34"/>
  <c r="R721" i="34"/>
  <c r="R722" i="34"/>
  <c r="R723" i="34"/>
  <c r="R724" i="34"/>
  <c r="R725" i="34"/>
  <c r="R726" i="34"/>
  <c r="R727" i="34"/>
  <c r="R728" i="34"/>
  <c r="R729" i="34"/>
  <c r="R730" i="34"/>
  <c r="R731" i="34"/>
  <c r="R732" i="34"/>
  <c r="R733" i="34"/>
  <c r="R734" i="34"/>
  <c r="R735" i="34"/>
  <c r="R736" i="34"/>
  <c r="R737" i="34"/>
  <c r="R738" i="34"/>
  <c r="R739" i="34"/>
  <c r="R740" i="34"/>
  <c r="R741" i="34"/>
  <c r="R742" i="34"/>
  <c r="R743" i="34"/>
  <c r="R744" i="34"/>
  <c r="R745" i="34"/>
  <c r="R746" i="34"/>
  <c r="R747" i="34"/>
  <c r="R748" i="34"/>
  <c r="R749" i="34"/>
  <c r="R750" i="34"/>
  <c r="R751" i="34"/>
  <c r="R752" i="34"/>
  <c r="R753" i="34"/>
  <c r="R754" i="34"/>
  <c r="R755" i="34"/>
  <c r="R756" i="34"/>
  <c r="R757" i="34"/>
  <c r="R758" i="34"/>
  <c r="R759" i="34"/>
  <c r="R760" i="34"/>
  <c r="R761" i="34"/>
  <c r="R762" i="34"/>
  <c r="R763" i="34"/>
  <c r="R764" i="34"/>
  <c r="R765" i="34"/>
  <c r="R766" i="34"/>
  <c r="R767" i="34"/>
  <c r="R768" i="34"/>
  <c r="R769" i="34"/>
  <c r="R770" i="34"/>
  <c r="R771" i="34"/>
  <c r="R772" i="34"/>
  <c r="R773" i="34"/>
  <c r="R774" i="34"/>
  <c r="R775" i="34"/>
  <c r="R776" i="34"/>
  <c r="R777" i="34"/>
  <c r="R778" i="34"/>
  <c r="R779" i="34"/>
  <c r="R780" i="34"/>
  <c r="R781" i="34"/>
  <c r="R782" i="34"/>
  <c r="R783" i="34"/>
  <c r="R784" i="34"/>
  <c r="R785" i="34"/>
  <c r="R786" i="34"/>
  <c r="R787" i="34"/>
  <c r="R788" i="34"/>
  <c r="R789" i="34"/>
  <c r="R790" i="34"/>
  <c r="R791" i="34"/>
  <c r="R792" i="34"/>
  <c r="R793" i="34"/>
  <c r="R794" i="34"/>
  <c r="R795" i="34"/>
  <c r="R796" i="34"/>
  <c r="R797" i="34"/>
  <c r="R798" i="34"/>
  <c r="R799" i="34"/>
  <c r="R800" i="34"/>
  <c r="R801" i="34"/>
  <c r="R802" i="34"/>
  <c r="R803" i="34"/>
  <c r="R804" i="34"/>
  <c r="R805" i="34"/>
  <c r="R806" i="34"/>
  <c r="R807" i="34"/>
  <c r="R808" i="34"/>
  <c r="R809" i="34"/>
  <c r="R810" i="34"/>
  <c r="R811" i="34"/>
  <c r="R812" i="34"/>
  <c r="R813" i="34"/>
  <c r="R814" i="34"/>
  <c r="R815" i="34"/>
  <c r="R816" i="34"/>
  <c r="R817" i="34"/>
  <c r="R818" i="34"/>
  <c r="R819" i="34"/>
  <c r="R820" i="34"/>
  <c r="R821" i="34"/>
  <c r="R822" i="34"/>
  <c r="R823" i="34"/>
  <c r="R824" i="34"/>
  <c r="R825" i="34"/>
  <c r="R826" i="34"/>
  <c r="R827" i="34"/>
  <c r="R828" i="34"/>
  <c r="R829" i="34"/>
  <c r="R830" i="34"/>
  <c r="R831" i="34"/>
  <c r="R832" i="34"/>
  <c r="R833" i="34"/>
  <c r="R834" i="34"/>
  <c r="R835" i="34"/>
  <c r="R836" i="34"/>
  <c r="R837" i="34"/>
  <c r="R838" i="34"/>
  <c r="R839" i="34"/>
  <c r="R840" i="34"/>
  <c r="R841" i="34"/>
  <c r="R842" i="34"/>
  <c r="R843" i="34"/>
  <c r="R844" i="34"/>
  <c r="R845" i="34"/>
  <c r="R846" i="34"/>
  <c r="R847" i="34"/>
  <c r="R848" i="34"/>
  <c r="R849" i="34"/>
  <c r="R850" i="34"/>
  <c r="R851" i="34"/>
  <c r="R852" i="34"/>
  <c r="R853" i="34"/>
  <c r="R854" i="34"/>
  <c r="R855" i="34"/>
  <c r="R856" i="34"/>
  <c r="R857" i="34"/>
  <c r="R858" i="34"/>
  <c r="R859" i="34"/>
  <c r="R860" i="34"/>
  <c r="R861" i="34"/>
  <c r="R862" i="34"/>
  <c r="R863" i="34"/>
  <c r="R864" i="34"/>
  <c r="R865" i="34"/>
  <c r="R866" i="34"/>
  <c r="R867" i="34"/>
  <c r="R868" i="34"/>
  <c r="R869" i="34"/>
  <c r="R870" i="34"/>
  <c r="R871" i="34"/>
  <c r="R872" i="34"/>
  <c r="R873" i="34"/>
  <c r="R874" i="34"/>
  <c r="R875" i="34"/>
  <c r="R876" i="34"/>
  <c r="R877" i="34"/>
  <c r="R878" i="34"/>
  <c r="R879" i="34"/>
  <c r="R880" i="34"/>
  <c r="R881" i="34"/>
  <c r="R882" i="34"/>
  <c r="R883" i="34"/>
  <c r="R884" i="34"/>
  <c r="R885" i="34"/>
  <c r="R886" i="34"/>
  <c r="R887" i="34"/>
  <c r="R888" i="34"/>
  <c r="R889" i="34"/>
  <c r="R890" i="34"/>
  <c r="R891" i="34"/>
  <c r="R892" i="34"/>
  <c r="R893" i="34"/>
  <c r="R894" i="34"/>
  <c r="R895" i="34"/>
  <c r="R896" i="34"/>
  <c r="R897" i="34"/>
  <c r="R898" i="34"/>
  <c r="R899" i="34"/>
  <c r="R900" i="34"/>
  <c r="R901" i="34"/>
  <c r="R902" i="34"/>
  <c r="R903" i="34"/>
  <c r="R904" i="34"/>
  <c r="R905" i="34"/>
  <c r="R906" i="34"/>
  <c r="R907" i="34"/>
  <c r="R908" i="34"/>
  <c r="R909" i="34"/>
  <c r="R910" i="34"/>
  <c r="R911" i="34"/>
  <c r="R912" i="34"/>
  <c r="R913" i="34"/>
  <c r="R914" i="34"/>
  <c r="R915" i="34"/>
  <c r="R916" i="34"/>
  <c r="R917" i="34"/>
  <c r="R918" i="34"/>
  <c r="R919" i="34"/>
  <c r="R920" i="34"/>
  <c r="R921" i="34"/>
  <c r="R922" i="34"/>
  <c r="R923" i="34"/>
  <c r="R924" i="34"/>
  <c r="R925" i="34"/>
  <c r="R926" i="34"/>
  <c r="R927" i="34"/>
  <c r="R928" i="34"/>
  <c r="R929" i="34"/>
  <c r="R930" i="34"/>
  <c r="R931" i="34"/>
  <c r="R932" i="34"/>
  <c r="R933" i="34"/>
  <c r="R934" i="34"/>
  <c r="R935" i="34"/>
  <c r="R936" i="34"/>
  <c r="R937" i="34"/>
  <c r="R938" i="34"/>
  <c r="R939" i="34"/>
  <c r="R940" i="34"/>
  <c r="R941" i="34"/>
  <c r="R942" i="34"/>
  <c r="R943" i="34"/>
  <c r="R944" i="34"/>
  <c r="R945" i="34"/>
  <c r="R946" i="34"/>
  <c r="R947" i="34"/>
  <c r="R948" i="34"/>
  <c r="R949" i="34"/>
  <c r="R950" i="34"/>
  <c r="R951" i="34"/>
  <c r="R952" i="34"/>
  <c r="R953" i="34"/>
  <c r="R954" i="34"/>
  <c r="R955" i="34"/>
  <c r="R956" i="34"/>
  <c r="R957" i="34"/>
  <c r="R958" i="34"/>
  <c r="R959" i="34"/>
  <c r="R960" i="34"/>
  <c r="R961" i="34"/>
  <c r="R962" i="34"/>
  <c r="R963" i="34"/>
  <c r="R964" i="34"/>
  <c r="R965" i="34"/>
  <c r="R966" i="34"/>
  <c r="R967" i="34"/>
  <c r="R968" i="34"/>
  <c r="R969" i="34"/>
  <c r="R970" i="34"/>
  <c r="R971" i="34"/>
  <c r="R972" i="34"/>
  <c r="R973" i="34"/>
  <c r="R974" i="34"/>
  <c r="R975" i="34"/>
  <c r="R976" i="34"/>
  <c r="R977" i="34"/>
  <c r="R978" i="34"/>
  <c r="R979" i="34"/>
  <c r="R980" i="34"/>
  <c r="R981" i="34"/>
  <c r="R982" i="34"/>
  <c r="R983" i="34"/>
  <c r="R984" i="34"/>
  <c r="R985" i="34"/>
  <c r="R986" i="34"/>
  <c r="R987" i="34"/>
  <c r="R988" i="34"/>
  <c r="R989" i="34"/>
  <c r="R990" i="34"/>
  <c r="R991" i="34"/>
  <c r="R992" i="34"/>
  <c r="R993" i="34"/>
  <c r="R994" i="34"/>
  <c r="R995" i="34"/>
  <c r="R996" i="34"/>
  <c r="R997" i="34"/>
  <c r="R998" i="34"/>
  <c r="R999" i="34"/>
  <c r="R1000" i="34"/>
  <c r="R1001" i="34"/>
  <c r="R1002" i="34"/>
  <c r="R1003" i="34"/>
  <c r="R1004" i="34"/>
  <c r="R1005" i="34"/>
  <c r="R1006" i="34"/>
  <c r="R1007" i="34"/>
  <c r="R1008" i="34"/>
  <c r="R1009" i="34"/>
  <c r="R1010" i="34"/>
  <c r="R1011" i="34"/>
  <c r="R1012" i="34"/>
  <c r="R1013" i="34"/>
  <c r="R1014" i="34"/>
  <c r="R1015" i="34"/>
  <c r="R1016" i="34"/>
  <c r="R1017" i="34"/>
  <c r="R1018" i="34"/>
  <c r="R1019" i="34"/>
  <c r="R1020" i="34"/>
  <c r="R1021" i="34"/>
  <c r="R1022" i="34"/>
  <c r="R1023" i="34"/>
  <c r="R1024" i="34"/>
  <c r="R1025" i="34"/>
  <c r="R1026" i="34"/>
  <c r="R1027" i="34"/>
  <c r="R1028" i="34"/>
  <c r="R1029" i="34"/>
  <c r="R1030" i="34"/>
  <c r="R1031" i="34"/>
  <c r="R1032" i="34"/>
  <c r="R1033" i="34"/>
  <c r="R1034" i="34"/>
  <c r="R1035" i="34"/>
  <c r="R1036" i="34"/>
  <c r="R1037" i="34"/>
  <c r="R1038" i="34"/>
  <c r="R1039" i="34"/>
  <c r="R1040" i="34"/>
  <c r="R1041" i="34"/>
  <c r="R1042" i="34"/>
  <c r="R1043" i="34"/>
  <c r="R1044" i="34"/>
  <c r="R1045" i="34"/>
  <c r="R1046" i="34"/>
  <c r="R1047" i="34"/>
  <c r="R1048" i="34"/>
  <c r="R1049" i="34"/>
  <c r="R1050" i="34"/>
  <c r="R1051" i="34"/>
  <c r="R1052" i="34"/>
  <c r="R1053" i="34"/>
  <c r="R1054" i="34"/>
  <c r="R1055" i="34"/>
  <c r="R1056" i="34"/>
  <c r="R1057" i="34"/>
  <c r="R1058" i="34"/>
  <c r="R1059" i="34"/>
  <c r="R1060" i="34"/>
  <c r="R1061" i="34"/>
  <c r="R1062" i="34"/>
  <c r="R1063" i="34"/>
  <c r="R1064" i="34"/>
  <c r="R1065" i="34"/>
  <c r="R1066" i="34"/>
  <c r="R1067" i="34"/>
  <c r="R1068" i="34"/>
  <c r="R1069" i="34"/>
  <c r="R1070" i="34"/>
  <c r="R1071" i="34"/>
  <c r="R1072" i="34"/>
  <c r="R1073" i="34"/>
  <c r="R1074" i="34"/>
  <c r="R1075" i="34"/>
  <c r="R1076" i="34"/>
  <c r="R1077" i="34"/>
  <c r="R1078" i="34"/>
  <c r="R1079" i="34"/>
  <c r="R1080" i="34"/>
  <c r="R1081" i="34"/>
  <c r="R1082" i="34"/>
  <c r="R1083" i="34"/>
  <c r="R1084" i="34"/>
  <c r="R1085" i="34"/>
  <c r="R1086" i="34"/>
  <c r="R1087" i="34"/>
  <c r="R1088" i="34"/>
  <c r="R1089" i="34"/>
  <c r="R1090" i="34"/>
  <c r="R1091" i="34"/>
  <c r="R1092" i="34"/>
  <c r="R1093" i="34"/>
  <c r="R1094" i="34"/>
  <c r="R1095" i="34"/>
  <c r="R1096" i="34"/>
  <c r="R1097" i="34"/>
  <c r="R1098" i="34"/>
  <c r="R1099" i="34"/>
  <c r="R1100" i="34"/>
  <c r="R1101" i="34"/>
  <c r="R1102" i="34"/>
  <c r="R1103" i="34"/>
  <c r="R1104" i="34"/>
  <c r="R1105" i="34"/>
  <c r="R1106" i="34"/>
  <c r="R1107" i="34"/>
  <c r="R1108" i="34"/>
  <c r="R1109" i="34"/>
  <c r="R1110" i="34"/>
  <c r="R1111" i="34"/>
  <c r="R1112" i="34"/>
  <c r="R1113" i="34"/>
  <c r="R1114" i="34"/>
  <c r="R1115" i="34"/>
  <c r="R1116" i="34"/>
  <c r="R1117" i="34"/>
  <c r="R1118" i="34"/>
  <c r="R1119" i="34"/>
  <c r="R1120" i="34"/>
  <c r="R1121" i="34"/>
  <c r="R1122" i="34"/>
  <c r="R1123" i="34"/>
  <c r="R1124" i="34"/>
  <c r="R1125" i="34"/>
  <c r="R1126" i="34"/>
  <c r="R1127" i="34"/>
  <c r="R1128" i="34"/>
  <c r="R1129" i="34"/>
  <c r="R1130" i="34"/>
  <c r="R1131" i="34"/>
  <c r="R1132" i="34"/>
  <c r="R1133" i="34"/>
  <c r="R1134" i="34"/>
  <c r="R1135" i="34"/>
  <c r="R1136" i="34"/>
  <c r="R1137" i="34"/>
  <c r="R1138" i="34"/>
  <c r="R1139" i="34"/>
  <c r="R1140" i="34"/>
  <c r="R1141" i="34"/>
  <c r="R1142" i="34"/>
  <c r="R1143" i="34"/>
  <c r="R1144" i="34"/>
  <c r="R1145" i="34"/>
  <c r="R1146" i="34"/>
  <c r="R1147" i="34"/>
  <c r="R1148" i="34"/>
  <c r="R1149" i="34"/>
  <c r="R1150" i="34"/>
  <c r="R1151" i="34"/>
  <c r="R1152" i="34"/>
  <c r="R1153" i="34"/>
  <c r="R1154" i="34"/>
  <c r="R1155" i="34"/>
  <c r="R1156" i="34"/>
  <c r="R1157" i="34"/>
  <c r="R1158" i="34"/>
  <c r="R1159" i="34"/>
  <c r="R1160" i="34"/>
  <c r="R1161" i="34"/>
  <c r="R1162" i="34"/>
  <c r="R1163" i="34"/>
  <c r="R1164" i="34"/>
  <c r="R1165" i="34"/>
  <c r="R1166" i="34"/>
  <c r="R1167" i="34"/>
  <c r="R1168" i="34"/>
  <c r="R1169" i="34"/>
  <c r="R1170" i="34"/>
  <c r="R1171" i="34"/>
  <c r="R1172" i="34"/>
  <c r="R1173" i="34"/>
  <c r="R1174" i="34"/>
  <c r="R1175" i="34"/>
  <c r="R1176" i="34"/>
  <c r="R1177" i="34"/>
  <c r="R1178" i="34"/>
  <c r="R1179" i="34"/>
  <c r="R1180" i="34"/>
  <c r="R1181" i="34"/>
  <c r="R1182" i="34"/>
  <c r="R1183" i="34"/>
  <c r="R1184" i="34"/>
  <c r="R1185" i="34"/>
  <c r="R1186" i="34"/>
  <c r="R1187" i="34"/>
  <c r="R1188" i="34"/>
  <c r="R1189" i="34"/>
  <c r="R1190" i="34"/>
  <c r="R1191" i="34"/>
  <c r="R1192" i="34"/>
  <c r="R1193" i="34"/>
  <c r="R1194" i="34"/>
  <c r="R1195" i="34"/>
  <c r="R1196" i="34"/>
  <c r="R1197" i="34"/>
  <c r="R1198" i="34"/>
  <c r="R1199" i="34"/>
  <c r="R1200" i="34"/>
  <c r="R1201" i="34"/>
  <c r="R1202" i="34"/>
  <c r="R1203" i="34"/>
  <c r="R1204" i="34"/>
  <c r="R1205" i="34"/>
  <c r="R1206" i="34"/>
  <c r="R1207" i="34"/>
  <c r="R1208" i="34"/>
  <c r="R1209" i="34"/>
  <c r="R1210" i="34"/>
  <c r="R1211" i="34"/>
  <c r="R1212" i="34"/>
  <c r="R1213" i="34"/>
  <c r="R1214" i="34"/>
  <c r="R1215" i="34"/>
  <c r="R1216" i="34"/>
  <c r="R1217" i="34"/>
  <c r="R1218" i="34"/>
  <c r="R1219" i="34"/>
  <c r="R1220" i="34"/>
  <c r="R1221" i="34"/>
  <c r="R1222" i="34"/>
  <c r="R1223" i="34"/>
  <c r="R1224" i="34"/>
  <c r="R1225" i="34"/>
  <c r="R1226" i="34"/>
  <c r="R1227" i="34"/>
  <c r="R1228" i="34"/>
  <c r="R1229" i="34"/>
  <c r="R1230" i="34"/>
  <c r="R1231" i="34"/>
  <c r="R1232" i="34"/>
  <c r="R1233" i="34"/>
  <c r="R1234" i="34"/>
  <c r="R1235" i="34"/>
  <c r="R1236" i="34"/>
  <c r="R1237" i="34"/>
  <c r="R1238" i="34"/>
  <c r="R1239" i="34"/>
  <c r="R1240" i="34"/>
  <c r="R1241" i="34"/>
  <c r="R1242" i="34"/>
  <c r="R1243" i="34"/>
  <c r="R1244" i="34"/>
  <c r="R1245" i="34"/>
  <c r="R1246" i="34"/>
  <c r="R1247" i="34"/>
  <c r="R1248" i="34"/>
  <c r="R1249" i="34"/>
  <c r="R1250" i="34"/>
  <c r="R1251" i="34"/>
  <c r="R1252" i="34"/>
  <c r="R1253" i="34"/>
  <c r="R1254" i="34"/>
  <c r="R1255" i="34"/>
  <c r="R1256" i="34"/>
  <c r="R1257" i="34"/>
  <c r="R1258" i="34"/>
  <c r="R1259" i="34"/>
  <c r="R1260" i="34"/>
  <c r="R1261" i="34"/>
  <c r="R1262" i="34"/>
  <c r="R1263" i="34"/>
  <c r="R1264" i="34"/>
  <c r="R1265" i="34"/>
  <c r="R1266" i="34"/>
  <c r="R1267" i="34"/>
  <c r="R1268" i="34"/>
  <c r="R1269" i="34"/>
  <c r="R1270" i="34"/>
  <c r="R1271" i="34"/>
  <c r="R1272" i="34"/>
  <c r="R1273" i="34"/>
  <c r="R1274" i="34"/>
  <c r="R1275" i="34"/>
  <c r="R1276" i="34"/>
  <c r="R1277" i="34"/>
  <c r="R1278" i="34"/>
  <c r="R1279" i="34"/>
  <c r="R1280" i="34"/>
  <c r="R1281" i="34"/>
  <c r="R1282" i="34"/>
  <c r="R1283" i="34"/>
  <c r="R1284" i="34"/>
  <c r="R1285" i="34"/>
  <c r="R1286" i="34"/>
  <c r="R1287" i="34"/>
  <c r="R1288" i="34"/>
  <c r="R1289" i="34"/>
  <c r="R1290" i="34"/>
  <c r="R1291" i="34"/>
  <c r="R1292" i="34"/>
  <c r="R1293" i="34"/>
  <c r="R1294" i="34"/>
  <c r="R1295" i="34"/>
  <c r="R1296" i="34"/>
  <c r="R1297" i="34"/>
  <c r="R1298" i="34"/>
  <c r="R1299" i="34"/>
  <c r="R1300" i="34"/>
  <c r="R1301" i="34"/>
  <c r="R1302" i="34"/>
  <c r="R1303" i="34"/>
  <c r="R1304" i="34"/>
  <c r="R1305" i="34"/>
  <c r="R1306" i="34"/>
  <c r="R1307" i="34"/>
  <c r="R1308" i="34"/>
  <c r="R1309" i="34"/>
  <c r="R1310" i="34"/>
  <c r="R1311" i="34"/>
  <c r="R1312" i="34"/>
  <c r="R1313" i="34"/>
  <c r="R1314" i="34"/>
  <c r="R1315" i="34"/>
  <c r="R1316" i="34"/>
  <c r="R1317" i="34"/>
  <c r="R1318" i="34"/>
  <c r="R1319" i="34"/>
  <c r="R1320" i="34"/>
  <c r="R1321" i="34"/>
  <c r="R1322" i="34"/>
  <c r="R1323" i="34"/>
  <c r="R1324" i="34"/>
  <c r="R1325" i="34"/>
  <c r="R1326" i="34"/>
  <c r="R1327" i="34"/>
  <c r="R1328" i="34"/>
  <c r="R1329" i="34"/>
  <c r="R1330" i="34"/>
  <c r="R1331" i="34"/>
  <c r="R1332" i="34"/>
  <c r="R1333" i="34"/>
  <c r="R1334" i="34"/>
  <c r="R1335" i="34"/>
  <c r="R1336" i="34"/>
  <c r="R1337" i="34"/>
  <c r="R1338" i="34"/>
  <c r="R1339" i="34"/>
  <c r="R1340" i="34"/>
  <c r="R1341" i="34"/>
  <c r="R1342" i="34"/>
  <c r="R1343" i="34"/>
  <c r="R1344" i="34"/>
  <c r="R1345" i="34"/>
  <c r="R1346" i="34"/>
  <c r="R1347" i="34"/>
  <c r="R1348" i="34"/>
  <c r="R1349" i="34"/>
  <c r="R1350" i="34"/>
  <c r="R1351" i="34"/>
  <c r="R1352" i="34"/>
  <c r="R1353" i="34"/>
  <c r="R1354" i="34"/>
  <c r="R1355" i="34"/>
  <c r="R1356" i="34"/>
  <c r="R1357" i="34"/>
  <c r="R1358" i="34"/>
  <c r="R1359" i="34"/>
  <c r="R1360" i="34"/>
  <c r="R1361" i="34"/>
  <c r="R1362" i="34"/>
  <c r="R1363" i="34"/>
  <c r="R1364" i="34"/>
  <c r="R1365" i="34"/>
  <c r="R1366" i="34"/>
  <c r="R1367" i="34"/>
  <c r="R1368" i="34"/>
  <c r="R1369" i="34"/>
  <c r="R1370" i="34"/>
  <c r="R1371" i="34"/>
  <c r="R1372" i="34"/>
  <c r="R1373" i="34"/>
  <c r="R1374" i="34"/>
  <c r="R1375" i="34"/>
  <c r="R1376" i="34"/>
  <c r="R1377" i="34"/>
  <c r="R1378" i="34"/>
  <c r="R1379" i="34"/>
  <c r="R1380" i="34"/>
  <c r="R1381" i="34"/>
  <c r="R1382" i="34"/>
  <c r="R1383" i="34"/>
  <c r="R1384" i="34"/>
  <c r="R1385" i="34"/>
  <c r="R1386" i="34"/>
  <c r="R1387" i="34"/>
  <c r="R1388" i="34"/>
  <c r="R1389" i="34"/>
  <c r="R1390" i="34"/>
  <c r="R1391" i="34"/>
  <c r="R1392" i="34"/>
  <c r="R1393" i="34"/>
  <c r="R1394" i="34"/>
  <c r="R1395" i="34"/>
  <c r="R1396" i="34"/>
  <c r="R1397" i="34"/>
  <c r="R1398" i="34"/>
  <c r="R1399" i="34"/>
  <c r="R1400" i="34"/>
  <c r="R1401" i="34"/>
  <c r="R1402" i="34"/>
  <c r="R1403" i="34"/>
  <c r="R1404" i="34"/>
  <c r="R1405" i="34"/>
  <c r="R1406" i="34"/>
  <c r="R1407" i="34"/>
  <c r="R1408" i="34"/>
  <c r="R1409" i="34"/>
  <c r="R1410" i="34"/>
  <c r="R1411" i="34"/>
  <c r="R1412" i="34"/>
  <c r="R1413" i="34"/>
  <c r="R1414" i="34"/>
  <c r="R1415" i="34"/>
  <c r="R1416" i="34"/>
  <c r="R1417" i="34"/>
  <c r="R1418" i="34"/>
  <c r="R1419" i="34"/>
  <c r="R1420" i="34"/>
  <c r="R1421" i="34"/>
  <c r="R1422" i="34"/>
  <c r="R1423" i="34"/>
  <c r="R1424" i="34"/>
  <c r="R1425" i="34"/>
  <c r="R1426" i="34"/>
  <c r="R1427" i="34"/>
  <c r="R1428" i="34"/>
  <c r="R1429" i="34"/>
  <c r="R1430" i="34"/>
  <c r="R1431" i="34"/>
  <c r="R1432" i="34"/>
  <c r="R1433" i="34"/>
  <c r="R1434" i="34"/>
  <c r="R1435" i="34"/>
  <c r="R1436" i="34"/>
  <c r="R1437" i="34"/>
  <c r="R1438" i="34"/>
  <c r="R1439" i="34"/>
  <c r="R1440" i="34"/>
  <c r="R1441" i="34"/>
  <c r="R1442" i="34"/>
  <c r="R1443" i="34"/>
  <c r="R1444" i="34"/>
  <c r="R1445" i="34"/>
  <c r="R1446" i="34"/>
  <c r="R1447" i="34"/>
  <c r="R1448" i="34"/>
  <c r="R1449" i="34"/>
  <c r="R1450" i="34"/>
  <c r="R1451" i="34"/>
  <c r="R1452" i="34"/>
  <c r="R1453" i="34"/>
  <c r="R1454" i="34"/>
  <c r="R1455" i="34"/>
  <c r="R1456" i="34"/>
  <c r="R1457" i="34"/>
  <c r="R1458" i="34"/>
  <c r="R1459" i="34"/>
  <c r="R1460" i="34"/>
  <c r="R1461" i="34"/>
  <c r="R1462" i="34"/>
  <c r="R1463" i="34"/>
  <c r="R1464" i="34"/>
  <c r="R1465" i="34"/>
  <c r="R1466" i="34"/>
  <c r="R1467" i="34"/>
  <c r="R1468" i="34"/>
  <c r="R1469" i="34"/>
  <c r="R1470" i="34"/>
  <c r="R1471" i="34"/>
  <c r="R1472" i="34"/>
  <c r="R1473" i="34"/>
  <c r="R1474" i="34"/>
  <c r="R1475" i="34"/>
  <c r="R1476" i="34"/>
  <c r="R1477" i="34"/>
  <c r="R1478" i="34"/>
  <c r="R1479" i="34"/>
  <c r="R1480" i="34"/>
  <c r="R1481" i="34"/>
  <c r="R1482" i="34"/>
  <c r="R1483" i="34"/>
  <c r="R1484" i="34"/>
  <c r="R1485" i="34"/>
  <c r="R1486" i="34"/>
  <c r="R1487" i="34"/>
  <c r="R1488" i="34"/>
  <c r="R1489" i="34"/>
  <c r="R1490" i="34"/>
  <c r="R1491" i="34"/>
  <c r="R1492" i="34"/>
  <c r="R1493" i="34"/>
  <c r="R1494" i="34"/>
  <c r="R1495" i="34"/>
  <c r="R1496" i="34"/>
  <c r="R1497" i="34"/>
  <c r="R1498" i="34"/>
  <c r="R1499" i="34"/>
  <c r="R1500" i="34"/>
  <c r="R1501" i="34"/>
  <c r="R1502" i="34"/>
  <c r="R1503" i="34"/>
  <c r="R1504" i="34"/>
  <c r="R1505" i="34"/>
  <c r="R1506" i="34"/>
  <c r="R1507" i="34"/>
  <c r="R1508" i="34"/>
  <c r="R1509" i="34"/>
  <c r="R1510" i="34"/>
  <c r="R1511" i="34"/>
  <c r="R1512" i="34"/>
  <c r="R1513" i="34"/>
  <c r="R1514" i="34"/>
  <c r="R1515" i="34"/>
  <c r="R1516" i="34"/>
  <c r="R1517" i="34"/>
  <c r="R1518" i="34"/>
  <c r="R1519" i="34"/>
  <c r="R1520" i="34"/>
  <c r="R1521" i="34"/>
  <c r="R1522" i="34"/>
  <c r="R1523" i="34"/>
  <c r="R1524" i="34"/>
  <c r="R1525" i="34"/>
  <c r="R1526" i="34"/>
  <c r="R1527" i="34"/>
  <c r="R1528" i="34"/>
  <c r="R1529" i="34"/>
  <c r="R1530" i="34"/>
  <c r="R1531" i="34"/>
  <c r="R1532" i="34"/>
  <c r="R1533" i="34"/>
  <c r="R1534" i="34"/>
  <c r="R1535" i="34"/>
  <c r="R1536" i="34"/>
  <c r="R1537" i="34"/>
  <c r="R1538" i="34"/>
  <c r="R1539" i="34"/>
  <c r="R1540" i="34"/>
  <c r="R1541" i="34"/>
  <c r="R1542" i="34"/>
  <c r="R1543" i="34"/>
  <c r="R1544" i="34"/>
  <c r="R1545" i="34"/>
  <c r="R1546" i="34"/>
  <c r="R1547" i="34"/>
  <c r="R1548" i="34"/>
  <c r="R1549" i="34"/>
  <c r="R1550" i="34"/>
  <c r="R1551" i="34"/>
  <c r="R1552" i="34"/>
  <c r="R1553" i="34"/>
  <c r="R1554" i="34"/>
  <c r="R1555" i="34"/>
  <c r="R1556" i="34"/>
  <c r="R1557" i="34"/>
  <c r="R1558" i="34"/>
  <c r="R1559" i="34"/>
  <c r="R1560" i="34"/>
  <c r="R1561" i="34"/>
  <c r="R1562" i="34"/>
  <c r="R1563" i="34"/>
  <c r="R1564" i="34"/>
  <c r="R1565" i="34"/>
  <c r="R1566" i="34"/>
  <c r="R1567" i="34"/>
  <c r="R1568" i="34"/>
  <c r="R1569" i="34"/>
  <c r="R1570" i="34"/>
  <c r="R1571" i="34"/>
  <c r="R1572" i="34"/>
  <c r="R1573" i="34"/>
  <c r="R1574" i="34"/>
  <c r="R1575" i="34"/>
  <c r="R1576" i="34"/>
  <c r="R1577" i="34"/>
  <c r="R1578" i="34"/>
  <c r="R1579" i="34"/>
  <c r="R1580" i="34"/>
  <c r="R1581" i="34"/>
  <c r="R1582" i="34"/>
  <c r="R1583" i="34"/>
  <c r="R1584" i="34"/>
  <c r="R1585" i="34"/>
  <c r="R1586" i="34"/>
  <c r="R1587" i="34"/>
  <c r="R1588" i="34"/>
  <c r="R1589" i="34"/>
  <c r="R1590" i="34"/>
  <c r="R1591" i="34"/>
  <c r="R1592" i="34"/>
  <c r="R1593" i="34"/>
  <c r="R1594" i="34"/>
  <c r="R1595" i="34"/>
  <c r="R1596" i="34"/>
  <c r="R1597" i="34"/>
  <c r="R1598" i="34"/>
  <c r="R1599" i="34"/>
  <c r="R1600" i="34"/>
  <c r="R1601" i="34"/>
  <c r="R1602" i="34"/>
  <c r="R1603" i="34"/>
  <c r="R1604" i="34"/>
  <c r="R1605" i="34"/>
  <c r="R1606" i="34"/>
  <c r="R1607" i="34"/>
  <c r="R1608" i="34"/>
  <c r="R1609" i="34"/>
  <c r="R1610" i="34"/>
  <c r="R1611" i="34"/>
  <c r="R1612" i="34"/>
  <c r="R1613" i="34"/>
  <c r="R1614" i="34"/>
  <c r="R1615" i="34"/>
  <c r="R1616" i="34"/>
  <c r="R1617" i="34"/>
  <c r="R1618" i="34"/>
  <c r="R1619" i="34"/>
  <c r="R1620" i="34"/>
  <c r="R1621" i="34"/>
  <c r="R1622" i="34"/>
  <c r="R1623" i="34"/>
  <c r="R1624" i="34"/>
  <c r="R1625" i="34"/>
  <c r="R1626" i="34"/>
  <c r="R1627" i="34"/>
  <c r="R1628" i="34"/>
  <c r="R1629" i="34"/>
  <c r="R1630" i="34"/>
  <c r="R1631" i="34"/>
  <c r="R1632" i="34"/>
  <c r="R1633" i="34"/>
  <c r="R1634" i="34"/>
  <c r="R1635" i="34"/>
  <c r="R1636" i="34"/>
  <c r="R1637" i="34"/>
  <c r="R1638" i="34"/>
  <c r="R1639" i="34"/>
  <c r="R1640" i="34"/>
  <c r="R1641" i="34"/>
  <c r="R1642" i="34"/>
  <c r="R1643" i="34"/>
  <c r="R1644" i="34"/>
  <c r="R1645" i="34"/>
  <c r="R1646" i="34"/>
  <c r="R1647" i="34"/>
  <c r="R1648" i="34"/>
  <c r="R1649" i="34"/>
  <c r="R1650" i="34"/>
  <c r="R1651" i="34"/>
  <c r="R1652" i="34"/>
  <c r="R1653" i="34"/>
  <c r="R1654" i="34"/>
  <c r="R1655" i="34"/>
  <c r="R1656" i="34"/>
  <c r="R1657" i="34"/>
  <c r="R1658" i="34"/>
  <c r="R1659" i="34"/>
  <c r="R1660" i="34"/>
  <c r="R1661" i="34"/>
  <c r="R1662" i="34"/>
  <c r="R1663" i="34"/>
  <c r="R1664" i="34"/>
  <c r="R1665" i="34"/>
  <c r="R1666" i="34"/>
  <c r="R1667" i="34"/>
  <c r="R1668" i="34"/>
  <c r="R1669" i="34"/>
  <c r="R1670" i="34"/>
  <c r="R1671" i="34"/>
  <c r="R1672" i="34"/>
  <c r="R1673" i="34"/>
  <c r="R1674" i="34"/>
  <c r="R1675" i="34"/>
  <c r="R1676" i="34"/>
  <c r="R1677" i="34"/>
  <c r="R1678" i="34"/>
  <c r="R1679" i="34"/>
  <c r="R1680" i="34"/>
  <c r="R1681" i="34"/>
  <c r="R1682" i="34"/>
  <c r="R1683" i="34"/>
  <c r="R1684" i="34"/>
  <c r="R1685" i="34"/>
  <c r="R1686" i="34"/>
  <c r="R1687" i="34"/>
  <c r="R1688" i="34"/>
  <c r="R1689" i="34"/>
  <c r="R1690" i="34"/>
  <c r="R1691" i="34"/>
  <c r="R1692" i="34"/>
  <c r="R1693" i="34"/>
  <c r="R1694" i="34"/>
  <c r="R1695" i="34"/>
  <c r="R1696" i="34"/>
  <c r="R1697" i="34"/>
  <c r="R1698" i="34"/>
  <c r="R1699" i="34"/>
  <c r="R1700" i="34"/>
  <c r="R1701" i="34"/>
  <c r="R1702" i="34"/>
  <c r="R1703" i="34"/>
  <c r="R1704" i="34"/>
  <c r="R1705" i="34"/>
  <c r="R1706" i="34"/>
  <c r="R1707" i="34"/>
  <c r="R1708" i="34"/>
  <c r="R1709" i="34"/>
  <c r="R1710" i="34"/>
  <c r="R1711" i="34"/>
  <c r="R1712" i="34"/>
  <c r="R1713" i="34"/>
  <c r="R1714" i="34"/>
  <c r="R1715" i="34"/>
  <c r="R1716" i="34"/>
  <c r="R1717" i="34"/>
  <c r="R1718" i="34"/>
  <c r="R1719" i="34"/>
  <c r="R1720" i="34"/>
  <c r="R1721" i="34"/>
  <c r="R1722" i="34"/>
  <c r="R1723" i="34"/>
  <c r="R1724" i="34"/>
  <c r="R1725" i="34"/>
  <c r="R1726" i="34"/>
  <c r="R1727" i="34"/>
  <c r="R1728" i="34"/>
  <c r="R1729" i="34"/>
  <c r="R1730" i="34"/>
  <c r="R1731" i="34"/>
  <c r="R1732" i="34"/>
  <c r="R1733" i="34"/>
  <c r="R1734" i="34"/>
  <c r="R1735" i="34"/>
  <c r="R1736" i="34"/>
  <c r="R1737" i="34"/>
  <c r="R1738" i="34"/>
  <c r="R1739" i="34"/>
  <c r="R1740" i="34"/>
  <c r="R1741" i="34"/>
  <c r="R1742" i="34"/>
  <c r="R1743" i="34"/>
  <c r="R1744" i="34"/>
  <c r="R1745" i="34"/>
  <c r="R1746" i="34"/>
  <c r="R1747" i="34"/>
  <c r="R1748" i="34"/>
  <c r="R1749" i="34"/>
  <c r="R1750" i="34"/>
  <c r="R1751" i="34"/>
  <c r="R1752" i="34"/>
  <c r="R1753" i="34"/>
  <c r="R1754" i="34"/>
  <c r="R1755" i="34"/>
  <c r="R1756" i="34"/>
  <c r="R1757" i="34"/>
  <c r="R1758" i="34"/>
  <c r="R1759" i="34"/>
  <c r="R1760" i="34"/>
  <c r="R1761" i="34"/>
  <c r="R1762" i="34"/>
  <c r="R1763" i="34"/>
  <c r="R1764" i="34"/>
  <c r="R1765" i="34"/>
  <c r="R1766" i="34"/>
  <c r="R1767" i="34"/>
  <c r="R1768" i="34"/>
  <c r="R1769" i="34"/>
  <c r="R1770" i="34"/>
  <c r="R1771" i="34"/>
  <c r="R1772" i="34"/>
  <c r="R1773" i="34"/>
  <c r="R1774" i="34"/>
  <c r="R1775" i="34"/>
  <c r="R1776" i="34"/>
  <c r="R1777" i="34"/>
  <c r="R1778" i="34"/>
  <c r="R1779" i="34"/>
  <c r="R1780" i="34"/>
  <c r="R1781" i="34"/>
  <c r="R1782" i="34"/>
  <c r="R1783" i="34"/>
  <c r="R1784" i="34"/>
  <c r="R1785" i="34"/>
  <c r="R1786" i="34"/>
  <c r="R1787" i="34"/>
  <c r="R1788" i="34"/>
  <c r="R1789" i="34"/>
  <c r="R1790" i="34"/>
  <c r="R1791" i="34"/>
  <c r="R1792" i="34"/>
  <c r="R1793" i="34"/>
  <c r="R1794" i="34"/>
  <c r="R1795" i="34"/>
  <c r="R1796" i="34"/>
  <c r="R1797" i="34"/>
  <c r="R1798" i="34"/>
  <c r="R1799" i="34"/>
  <c r="R1800" i="34"/>
  <c r="R1801" i="34"/>
  <c r="R1802" i="34"/>
  <c r="R1803" i="34"/>
  <c r="R1804" i="34"/>
  <c r="R1805" i="34"/>
  <c r="R1806" i="34"/>
  <c r="R1807" i="34"/>
  <c r="R1808" i="34"/>
  <c r="R1809" i="34"/>
  <c r="R1810" i="34"/>
  <c r="R1811" i="34"/>
  <c r="R1812" i="34"/>
  <c r="R1813" i="34"/>
  <c r="R1814" i="34"/>
  <c r="R1815" i="34"/>
  <c r="R1816" i="34"/>
  <c r="R1817" i="34"/>
  <c r="R1818" i="34"/>
  <c r="R1819" i="34"/>
  <c r="R1820" i="34"/>
  <c r="R1821" i="34"/>
  <c r="R1822" i="34"/>
  <c r="R1823" i="34"/>
  <c r="R1824" i="34"/>
  <c r="R1825" i="34"/>
  <c r="R1826" i="34"/>
  <c r="R1827" i="34"/>
  <c r="R1828" i="34"/>
  <c r="R1829" i="34"/>
  <c r="R1830" i="34"/>
  <c r="R1831" i="34"/>
  <c r="R1832" i="34"/>
  <c r="R1833" i="34"/>
  <c r="R1834" i="34"/>
  <c r="R1835" i="34"/>
  <c r="R1836" i="34"/>
  <c r="R1837" i="34"/>
  <c r="R1838" i="34"/>
  <c r="R1839" i="34"/>
  <c r="R1840" i="34"/>
  <c r="R1841" i="34"/>
  <c r="R1842" i="34"/>
  <c r="R1843" i="34"/>
  <c r="R1844" i="34"/>
  <c r="R1845" i="34"/>
  <c r="R1846" i="34"/>
  <c r="R1847" i="34"/>
  <c r="R1848" i="34"/>
  <c r="R1849" i="34"/>
  <c r="R1850" i="34"/>
  <c r="R1851" i="34"/>
  <c r="R1852" i="34"/>
  <c r="R1853" i="34"/>
  <c r="R1854" i="34"/>
  <c r="R1855" i="34"/>
  <c r="R1856" i="34"/>
  <c r="R1857" i="34"/>
  <c r="R1858" i="34"/>
  <c r="R1859" i="34"/>
  <c r="R1860" i="34"/>
  <c r="R1861" i="34"/>
  <c r="R1862" i="34"/>
  <c r="R1863" i="34"/>
  <c r="R1864" i="34"/>
  <c r="R1865" i="34"/>
  <c r="R1866" i="34"/>
  <c r="R1867" i="34"/>
  <c r="R1868" i="34"/>
  <c r="R1869" i="34"/>
  <c r="R1870" i="34"/>
  <c r="R1871" i="34"/>
  <c r="R1872" i="34"/>
  <c r="R1873" i="34"/>
  <c r="R1874" i="34"/>
  <c r="R1875" i="34"/>
  <c r="R1876" i="34"/>
  <c r="R1877" i="34"/>
  <c r="R1878" i="34"/>
  <c r="R1879" i="34"/>
  <c r="R1880" i="34"/>
  <c r="R1881" i="34"/>
  <c r="R1882" i="34"/>
  <c r="R1883" i="34"/>
  <c r="R1884" i="34"/>
  <c r="R1885" i="34"/>
  <c r="R1886" i="34"/>
  <c r="R1887" i="34"/>
  <c r="R1888" i="34"/>
  <c r="R1889" i="34"/>
  <c r="R1890" i="34"/>
  <c r="R1891" i="34"/>
  <c r="R1892" i="34"/>
  <c r="R1893" i="34"/>
  <c r="R1894" i="34"/>
  <c r="R1895" i="34"/>
  <c r="R1896" i="34"/>
  <c r="R1897" i="34"/>
  <c r="R1898" i="34"/>
  <c r="R1899" i="34"/>
  <c r="R1900" i="34"/>
  <c r="R1901" i="34"/>
  <c r="R1902" i="34"/>
  <c r="R1903" i="34"/>
  <c r="R1904" i="34"/>
  <c r="R1905" i="34"/>
  <c r="R1906" i="34"/>
  <c r="R1907" i="34"/>
  <c r="R1908" i="34"/>
  <c r="R1909" i="34"/>
  <c r="R1910" i="34"/>
  <c r="R1911" i="34"/>
  <c r="R1912" i="34"/>
  <c r="R1913" i="34"/>
  <c r="R1914" i="34"/>
  <c r="R1915" i="34"/>
  <c r="R1916" i="34"/>
  <c r="R1917" i="34"/>
  <c r="R1918" i="34"/>
  <c r="R1919" i="34"/>
  <c r="R1920" i="34"/>
  <c r="R1921" i="34"/>
  <c r="R1922" i="34"/>
  <c r="R1923" i="34"/>
  <c r="R1924" i="34"/>
  <c r="R1925" i="34"/>
  <c r="R1926" i="34"/>
  <c r="R1927" i="34"/>
  <c r="R1928" i="34"/>
  <c r="R1929" i="34"/>
  <c r="R1930" i="34"/>
  <c r="R1931" i="34"/>
  <c r="R1932" i="34"/>
  <c r="R1933" i="34"/>
  <c r="R1934" i="34"/>
  <c r="R1935" i="34"/>
  <c r="R1936" i="34"/>
  <c r="R1937" i="34"/>
  <c r="R1938" i="34"/>
  <c r="R1939" i="34"/>
  <c r="R1940" i="34"/>
  <c r="R1941" i="34"/>
  <c r="R1942" i="34"/>
  <c r="R1943" i="34"/>
  <c r="R1944" i="34"/>
  <c r="R1945" i="34"/>
  <c r="R1946" i="34"/>
  <c r="R1947" i="34"/>
  <c r="R1948" i="34"/>
  <c r="R1949" i="34"/>
  <c r="R1950" i="34"/>
  <c r="R1951" i="34"/>
  <c r="R1952" i="34"/>
  <c r="R1953" i="34"/>
  <c r="R1954" i="34"/>
  <c r="R1955" i="34"/>
  <c r="R1956" i="34"/>
  <c r="R1957" i="34"/>
  <c r="R1958" i="34"/>
  <c r="R1959" i="34"/>
  <c r="R1960" i="34"/>
  <c r="R1961" i="34"/>
  <c r="R1962" i="34"/>
  <c r="R1963" i="34"/>
  <c r="R1964" i="34"/>
  <c r="R1965" i="34"/>
  <c r="R1966" i="34"/>
  <c r="R1967" i="34"/>
  <c r="R1968" i="34"/>
  <c r="R1969" i="34"/>
  <c r="R1970" i="34"/>
  <c r="R1971" i="34"/>
  <c r="R1972" i="34"/>
  <c r="R1973" i="34"/>
  <c r="R1974" i="34"/>
  <c r="R1975" i="34"/>
  <c r="R1976" i="34"/>
  <c r="R1977" i="34"/>
  <c r="R1978" i="34"/>
  <c r="R1979" i="34"/>
  <c r="R1980" i="34"/>
  <c r="R1981" i="34"/>
  <c r="R1982" i="34"/>
  <c r="R1983" i="34"/>
  <c r="R1984" i="34"/>
  <c r="R1985" i="34"/>
  <c r="R1986" i="34"/>
  <c r="R1987" i="34"/>
  <c r="R1988" i="34"/>
  <c r="R1989" i="34"/>
  <c r="R1990" i="34"/>
  <c r="R1991" i="34"/>
  <c r="R1992" i="34"/>
  <c r="R1993" i="34"/>
  <c r="R1994" i="34"/>
  <c r="R1995" i="34"/>
  <c r="R1996" i="34"/>
  <c r="R1997" i="34"/>
  <c r="R1998" i="34"/>
  <c r="R1999" i="34"/>
  <c r="R2000" i="34"/>
  <c r="R2001" i="34"/>
  <c r="R2002" i="34"/>
  <c r="R2003" i="34"/>
  <c r="R2004" i="34"/>
  <c r="R2005" i="34"/>
  <c r="R2006" i="34"/>
  <c r="R2007" i="34"/>
  <c r="R2008" i="34"/>
  <c r="R2009" i="34"/>
  <c r="R2010" i="34"/>
  <c r="R2011" i="34"/>
  <c r="R2012" i="34"/>
  <c r="R2013" i="34"/>
  <c r="R2014" i="34"/>
  <c r="R2015" i="34"/>
  <c r="R2016" i="34"/>
  <c r="R2017" i="34"/>
  <c r="R2018" i="34"/>
  <c r="R2019" i="34"/>
  <c r="R2020" i="34"/>
  <c r="R2021" i="34"/>
  <c r="R2022" i="34"/>
  <c r="R2023" i="34"/>
  <c r="R2024" i="34"/>
  <c r="R2025" i="34"/>
  <c r="R2026" i="34"/>
  <c r="R2027" i="34"/>
  <c r="R2028" i="34"/>
  <c r="R2029" i="34"/>
  <c r="R2030" i="34"/>
  <c r="R2031" i="34"/>
  <c r="R2032" i="34"/>
  <c r="R2033" i="34"/>
  <c r="R2034" i="34"/>
  <c r="R2035" i="34"/>
  <c r="R2036" i="34"/>
  <c r="R2037" i="34"/>
  <c r="R2038" i="34"/>
  <c r="R2039" i="34"/>
  <c r="R2040" i="34"/>
  <c r="R2041" i="34"/>
  <c r="R2042" i="34"/>
  <c r="R2043" i="34"/>
  <c r="R2044" i="34"/>
  <c r="R2045" i="34"/>
  <c r="R2046" i="34"/>
  <c r="R2047" i="34"/>
  <c r="R2048" i="34"/>
  <c r="R2049" i="34"/>
  <c r="R2050" i="34"/>
  <c r="R2051" i="34"/>
  <c r="R2052" i="34"/>
  <c r="R2053" i="34"/>
  <c r="R2054" i="34"/>
  <c r="R2055" i="34"/>
  <c r="R2056" i="34"/>
  <c r="R2057" i="34"/>
  <c r="R2058" i="34"/>
  <c r="R2059" i="34"/>
  <c r="R2060" i="34"/>
  <c r="R2061" i="34"/>
  <c r="R2062" i="34"/>
  <c r="R2063" i="34"/>
  <c r="R2064" i="34"/>
  <c r="R2065" i="34"/>
  <c r="R2066" i="34"/>
  <c r="R2067" i="34"/>
  <c r="R2068" i="34"/>
  <c r="R2069" i="34"/>
  <c r="R2070" i="34"/>
  <c r="R2071" i="34"/>
  <c r="R2072" i="34"/>
  <c r="R2073" i="34"/>
  <c r="R2074" i="34"/>
  <c r="R2075" i="34"/>
  <c r="R2076" i="34"/>
  <c r="R2077" i="34"/>
  <c r="R2078" i="34"/>
  <c r="R2079" i="34"/>
  <c r="R2080" i="34"/>
  <c r="R2081" i="34"/>
  <c r="R2082" i="34"/>
  <c r="R2083" i="34"/>
  <c r="R2084" i="34"/>
  <c r="R2085" i="34"/>
  <c r="R2086" i="34"/>
  <c r="R2087" i="34"/>
  <c r="R2088" i="34"/>
  <c r="R2089" i="34"/>
  <c r="R2090" i="34"/>
  <c r="R2091" i="34"/>
  <c r="R2092" i="34"/>
  <c r="R2093" i="34"/>
  <c r="R2094" i="34"/>
  <c r="R2095" i="34"/>
  <c r="R2096" i="34"/>
  <c r="R2097" i="34"/>
  <c r="R2098" i="34"/>
  <c r="R2099" i="34"/>
  <c r="R2100" i="34"/>
  <c r="R2101" i="34"/>
  <c r="R2102" i="34"/>
  <c r="R2103" i="34"/>
  <c r="R2104" i="34"/>
  <c r="R2105" i="34"/>
  <c r="R2106" i="34"/>
  <c r="R2107" i="34"/>
  <c r="R2108" i="34"/>
  <c r="R2109" i="34"/>
  <c r="R2110" i="34"/>
  <c r="R2111" i="34"/>
  <c r="R2112" i="34"/>
  <c r="R2113" i="34"/>
  <c r="R2114" i="34"/>
  <c r="R2115" i="34"/>
  <c r="R2116" i="34"/>
  <c r="R2117" i="34"/>
  <c r="R2118" i="34"/>
  <c r="R2119" i="34"/>
  <c r="R2120" i="34"/>
  <c r="R2121" i="34"/>
  <c r="R2122" i="34"/>
  <c r="R2123" i="34"/>
  <c r="R2124" i="34"/>
  <c r="R2125" i="34"/>
  <c r="R2126" i="34"/>
  <c r="R2127" i="34"/>
  <c r="R2128" i="34"/>
  <c r="R2129" i="34"/>
  <c r="R2130" i="34"/>
  <c r="R2131" i="34"/>
  <c r="R2132" i="34"/>
  <c r="R2133" i="34"/>
  <c r="R2134" i="34"/>
  <c r="R2135" i="34"/>
  <c r="R2136" i="34"/>
  <c r="R2137" i="34"/>
  <c r="R2138" i="34"/>
  <c r="R2139" i="34"/>
  <c r="R2140" i="34"/>
  <c r="R2141" i="34"/>
  <c r="R2142" i="34"/>
  <c r="R2143" i="34"/>
  <c r="R2144" i="34"/>
  <c r="R2145" i="34"/>
  <c r="R2146" i="34"/>
  <c r="R2147" i="34"/>
  <c r="R2148" i="34"/>
  <c r="R2149" i="34"/>
  <c r="R2150" i="34"/>
  <c r="R2151" i="34"/>
  <c r="R2152" i="34"/>
  <c r="R2153" i="34"/>
  <c r="R2154" i="34"/>
  <c r="R2155" i="34"/>
  <c r="R2156" i="34"/>
  <c r="R2157" i="34"/>
  <c r="R2158" i="34"/>
  <c r="R2159" i="34"/>
  <c r="R2160" i="34"/>
  <c r="R2161" i="34"/>
  <c r="R2162" i="34"/>
  <c r="R2163" i="34"/>
  <c r="R2164" i="34"/>
  <c r="R2165" i="34"/>
  <c r="R2166" i="34"/>
  <c r="R2167" i="34"/>
  <c r="R2168" i="34"/>
  <c r="R2169" i="34"/>
  <c r="R2170" i="34"/>
  <c r="R2171" i="34"/>
  <c r="R2172" i="34"/>
  <c r="R2173" i="34"/>
  <c r="R2174" i="34"/>
  <c r="R2175" i="34"/>
  <c r="R2176" i="34"/>
  <c r="R2177" i="34"/>
  <c r="R2178" i="34"/>
  <c r="R2179" i="34"/>
  <c r="R2180" i="34"/>
  <c r="R2181" i="34"/>
  <c r="R2182" i="34"/>
  <c r="R2183" i="34"/>
  <c r="R2184" i="34"/>
  <c r="R2185" i="34"/>
  <c r="R2186" i="34"/>
  <c r="R2187" i="34"/>
  <c r="R2188" i="34"/>
  <c r="R2189" i="34"/>
  <c r="R2190" i="34"/>
  <c r="R2191" i="34"/>
  <c r="R2192" i="34"/>
  <c r="R2193" i="34"/>
  <c r="R2194" i="34"/>
  <c r="R2195" i="34"/>
  <c r="R2196" i="34"/>
  <c r="R2197" i="34"/>
  <c r="R2198" i="34"/>
  <c r="R2199" i="34"/>
  <c r="R2200" i="34"/>
  <c r="R2201" i="34"/>
  <c r="R2202" i="34"/>
  <c r="R2203" i="34"/>
  <c r="R2204" i="34"/>
  <c r="R2205" i="34"/>
  <c r="R2206" i="34"/>
  <c r="R2207" i="34"/>
  <c r="R2208" i="34"/>
  <c r="R2209" i="34"/>
  <c r="R2210" i="34"/>
  <c r="R2211" i="34"/>
  <c r="R2212" i="34"/>
  <c r="R2213" i="34"/>
  <c r="R2214" i="34"/>
  <c r="R2215" i="34"/>
  <c r="R2216" i="34"/>
  <c r="R2217" i="34"/>
  <c r="R2218" i="34"/>
  <c r="R2219" i="34"/>
  <c r="R2220" i="34"/>
  <c r="R2221" i="34"/>
  <c r="R2222" i="34"/>
  <c r="R2223" i="34"/>
  <c r="R2224" i="34"/>
  <c r="R2225" i="34"/>
  <c r="R2226" i="34"/>
  <c r="R2227" i="34"/>
  <c r="R2228" i="34"/>
  <c r="R2229" i="34"/>
  <c r="R2230" i="34"/>
  <c r="R2231" i="34"/>
  <c r="R2232" i="34"/>
  <c r="R2233" i="34"/>
  <c r="R2234" i="34"/>
  <c r="R2235" i="34"/>
  <c r="R2236" i="34"/>
  <c r="R2237" i="34"/>
  <c r="R2238" i="34"/>
  <c r="R2239" i="34"/>
  <c r="R2240" i="34"/>
  <c r="R2241" i="34"/>
  <c r="R2242" i="34"/>
  <c r="R2243" i="34"/>
  <c r="R2244" i="34"/>
  <c r="R2245" i="34"/>
  <c r="R2246" i="34"/>
  <c r="R2247" i="34"/>
  <c r="R2248" i="34"/>
  <c r="R2249" i="34"/>
  <c r="R2250" i="34"/>
  <c r="R2251" i="34"/>
  <c r="R2252" i="34"/>
  <c r="R2253" i="34"/>
  <c r="R2254" i="34"/>
  <c r="R2255" i="34"/>
  <c r="R2256" i="34"/>
  <c r="R2257" i="34"/>
  <c r="R2258" i="34"/>
  <c r="R2259" i="34"/>
  <c r="R2260" i="34"/>
  <c r="R2261" i="34"/>
  <c r="R2262" i="34"/>
  <c r="R2263" i="34"/>
  <c r="R2264" i="34"/>
  <c r="R2265" i="34"/>
  <c r="R2266" i="34"/>
  <c r="R2267" i="34"/>
  <c r="R2268" i="34"/>
  <c r="R2269" i="34"/>
  <c r="R2270" i="34"/>
  <c r="R2271" i="34"/>
  <c r="R2272" i="34"/>
  <c r="R2273" i="34"/>
  <c r="R2274" i="34"/>
  <c r="R2275" i="34"/>
  <c r="R2276" i="34"/>
  <c r="R2277" i="34"/>
  <c r="R2278" i="34"/>
  <c r="R2279" i="34"/>
  <c r="R2280" i="34"/>
  <c r="R2281" i="34"/>
  <c r="R2282" i="34"/>
  <c r="R2283" i="34"/>
  <c r="R2284" i="34"/>
  <c r="R2285" i="34"/>
  <c r="R2286" i="34"/>
  <c r="R2287" i="34"/>
  <c r="R2288" i="34"/>
  <c r="R2289" i="34"/>
  <c r="R2290" i="34"/>
  <c r="R2291" i="34"/>
  <c r="R2292" i="34"/>
  <c r="R2293" i="34"/>
  <c r="R2294" i="34"/>
  <c r="R2295" i="34"/>
  <c r="R2296" i="34"/>
  <c r="R2297" i="34"/>
  <c r="R2298" i="34"/>
  <c r="R2299" i="34"/>
  <c r="R2300" i="34"/>
  <c r="R2301" i="34"/>
  <c r="R2302" i="34"/>
  <c r="R2303" i="34"/>
  <c r="R2304" i="34"/>
  <c r="R2305" i="34"/>
  <c r="R2306" i="34"/>
  <c r="R2307" i="34"/>
  <c r="R2308" i="34"/>
  <c r="R2309" i="34"/>
  <c r="R2310" i="34"/>
  <c r="R2311" i="34"/>
  <c r="R2312" i="34"/>
  <c r="R2313" i="34"/>
  <c r="R2314" i="34"/>
  <c r="R2315" i="34"/>
  <c r="R2316" i="34"/>
  <c r="R2317" i="34"/>
  <c r="R2318" i="34"/>
  <c r="R2319" i="34"/>
  <c r="R2320" i="34"/>
  <c r="R2321" i="34"/>
  <c r="R2322" i="34"/>
  <c r="R2323" i="34"/>
  <c r="R2324" i="34"/>
  <c r="R2325" i="34"/>
  <c r="R2326" i="34"/>
  <c r="R2327" i="34"/>
  <c r="R2328" i="34"/>
  <c r="R2329" i="34"/>
  <c r="R2330" i="34"/>
  <c r="R2331" i="34"/>
  <c r="R2332" i="34"/>
  <c r="R2333" i="34"/>
  <c r="R2334" i="34"/>
  <c r="R2335" i="34"/>
  <c r="R2336" i="34"/>
  <c r="R2337" i="34"/>
  <c r="R2338" i="34"/>
  <c r="R2339" i="34"/>
  <c r="R2340" i="34"/>
  <c r="R2341" i="34"/>
  <c r="R2342" i="34"/>
  <c r="R2343" i="34"/>
  <c r="R2344" i="34"/>
  <c r="R2345" i="34"/>
  <c r="R2346" i="34"/>
  <c r="R2347" i="34"/>
  <c r="R2348" i="34"/>
  <c r="R2349" i="34"/>
  <c r="R2350" i="34"/>
  <c r="R2351" i="34"/>
  <c r="R2352" i="34"/>
  <c r="R2353" i="34"/>
  <c r="R2354" i="34"/>
  <c r="R2355" i="34"/>
  <c r="R2356" i="34"/>
  <c r="R2357" i="34"/>
  <c r="R2358" i="34"/>
  <c r="R2359" i="34"/>
  <c r="R2360" i="34"/>
  <c r="R2361" i="34"/>
  <c r="R2362" i="34"/>
  <c r="R2363" i="34"/>
  <c r="R2364" i="34"/>
  <c r="R2365" i="34"/>
  <c r="R2366" i="34"/>
  <c r="R2367" i="34"/>
  <c r="R2368" i="34"/>
  <c r="R2369" i="34"/>
  <c r="R2370" i="34"/>
  <c r="R2371" i="34"/>
  <c r="R2372" i="34"/>
  <c r="R2373" i="34"/>
  <c r="R2374" i="34"/>
  <c r="R2375" i="34"/>
  <c r="R2376" i="34"/>
  <c r="R2377" i="34"/>
  <c r="R2378" i="34"/>
  <c r="R2379" i="34"/>
  <c r="R2380" i="34"/>
  <c r="R2381" i="34"/>
  <c r="R2382" i="34"/>
  <c r="R2383" i="34"/>
  <c r="R2384" i="34"/>
  <c r="R2385" i="34"/>
  <c r="R2386" i="34"/>
  <c r="R2387" i="34"/>
  <c r="R2388" i="34"/>
  <c r="R2389" i="34"/>
  <c r="R2390" i="34"/>
  <c r="R2391" i="34"/>
  <c r="R2392" i="34"/>
  <c r="R2393" i="34"/>
  <c r="R2394" i="34"/>
  <c r="R2395" i="34"/>
  <c r="R2396" i="34"/>
  <c r="R2397" i="34"/>
  <c r="R2398" i="34"/>
  <c r="R2399" i="34"/>
  <c r="R2400" i="34"/>
  <c r="R2401" i="34"/>
  <c r="R2402" i="34"/>
  <c r="R2403" i="34"/>
  <c r="R2404" i="34"/>
  <c r="R2405" i="34"/>
  <c r="R2406" i="34"/>
  <c r="R2407" i="34"/>
  <c r="R2408" i="34"/>
  <c r="R2409" i="34"/>
  <c r="R2410" i="34"/>
  <c r="R2411" i="34"/>
  <c r="R2412" i="34"/>
  <c r="R2413" i="34"/>
  <c r="R2414" i="34"/>
  <c r="R2415" i="34"/>
  <c r="R2416" i="34"/>
  <c r="R2417" i="34"/>
  <c r="R2418" i="34"/>
  <c r="R2419" i="34"/>
  <c r="R2420" i="34"/>
  <c r="R2421" i="34"/>
  <c r="R2422" i="34"/>
  <c r="R2423" i="34"/>
  <c r="R2424" i="34"/>
  <c r="R2425" i="34"/>
  <c r="R2426" i="34"/>
  <c r="R2427" i="34"/>
  <c r="R2428" i="34"/>
  <c r="R2429" i="34"/>
  <c r="R2430" i="34"/>
  <c r="R2431" i="34"/>
  <c r="R2432" i="34"/>
  <c r="R2433" i="34"/>
  <c r="R2434" i="34"/>
  <c r="R2435" i="34"/>
  <c r="R2436" i="34"/>
  <c r="R2437" i="34"/>
  <c r="R2438" i="34"/>
  <c r="R2439" i="34"/>
  <c r="R2440" i="34"/>
  <c r="R2441" i="34"/>
  <c r="R2442" i="34"/>
  <c r="R2443" i="34"/>
  <c r="R2444" i="34"/>
  <c r="R2445" i="34"/>
  <c r="R2446" i="34"/>
  <c r="R2447" i="34"/>
  <c r="R2448" i="34"/>
  <c r="R2449" i="34"/>
  <c r="R2450" i="34"/>
  <c r="R2451" i="34"/>
  <c r="R2452" i="34"/>
  <c r="R2453" i="34"/>
  <c r="R2454" i="34"/>
  <c r="R2455" i="34"/>
  <c r="R2456" i="34"/>
  <c r="R2457" i="34"/>
  <c r="R2458" i="34"/>
  <c r="R2459" i="34"/>
  <c r="R2460" i="34"/>
  <c r="R2461" i="34"/>
  <c r="R2462" i="34"/>
  <c r="R2463" i="34"/>
  <c r="R2464" i="34"/>
  <c r="R2465" i="34"/>
  <c r="R2466" i="34"/>
  <c r="R2467" i="34"/>
  <c r="R2468" i="34"/>
  <c r="R2469" i="34"/>
  <c r="R2470" i="34"/>
  <c r="R2471" i="34"/>
  <c r="R2472" i="34"/>
  <c r="R2473" i="34"/>
  <c r="R2474" i="34"/>
  <c r="R2475" i="34"/>
  <c r="R2476" i="34"/>
  <c r="R2477" i="34"/>
  <c r="R2478" i="34"/>
  <c r="R2479" i="34"/>
  <c r="R2480" i="34"/>
  <c r="R2481" i="34"/>
  <c r="R2482" i="34"/>
  <c r="R2483" i="34"/>
  <c r="R2484" i="34"/>
  <c r="R2485" i="34"/>
  <c r="R2486" i="34"/>
  <c r="R2487" i="34"/>
  <c r="R2488" i="34"/>
  <c r="R2489" i="34"/>
  <c r="R2490" i="34"/>
  <c r="R2491" i="34"/>
  <c r="R2492" i="34"/>
  <c r="R2493" i="34"/>
  <c r="R2494" i="34"/>
  <c r="R2495" i="34"/>
  <c r="R2496" i="34"/>
  <c r="R2497" i="34"/>
  <c r="R2498" i="34"/>
  <c r="R2499" i="34"/>
  <c r="R2500" i="34"/>
  <c r="R2501" i="34"/>
  <c r="R2502" i="34"/>
  <c r="R2503" i="34"/>
  <c r="R2504" i="34"/>
  <c r="R2505" i="34"/>
  <c r="R2506" i="34"/>
  <c r="R2507" i="34"/>
  <c r="R2508" i="34"/>
  <c r="R2509" i="34"/>
  <c r="R2510" i="34"/>
  <c r="R2511" i="34"/>
  <c r="R2512" i="34"/>
  <c r="R2513" i="34"/>
  <c r="R2514" i="34"/>
  <c r="R2515" i="34"/>
  <c r="R2516" i="34"/>
  <c r="R2517" i="34"/>
  <c r="R2518" i="34"/>
  <c r="R2519" i="34"/>
  <c r="R2520" i="34"/>
  <c r="R2521" i="34"/>
  <c r="R2522" i="34"/>
  <c r="R2523" i="34"/>
  <c r="R2524" i="34"/>
  <c r="R2525" i="34"/>
  <c r="R2526" i="34"/>
  <c r="R2527" i="34"/>
  <c r="R2528" i="34"/>
  <c r="R2529" i="34"/>
  <c r="R2530" i="34"/>
  <c r="R2531" i="34"/>
  <c r="R2532" i="34"/>
  <c r="R2533" i="34"/>
  <c r="R2534" i="34"/>
  <c r="R2535" i="34"/>
  <c r="R2536" i="34"/>
  <c r="R2537" i="34"/>
  <c r="R2538" i="34"/>
  <c r="R2539" i="34"/>
  <c r="R2540" i="34"/>
  <c r="R2541" i="34"/>
  <c r="R2542" i="34"/>
  <c r="R2543" i="34"/>
  <c r="R2544" i="34"/>
  <c r="R2545" i="34"/>
  <c r="R2546" i="34"/>
  <c r="R2547" i="34"/>
  <c r="R2548" i="34"/>
  <c r="R2549" i="34"/>
  <c r="R2550" i="34"/>
  <c r="R2551" i="34"/>
  <c r="R2552" i="34"/>
  <c r="R2553" i="34"/>
  <c r="R2554" i="34"/>
  <c r="R2555" i="34"/>
  <c r="R2556" i="34"/>
  <c r="R2557" i="34"/>
  <c r="R2558" i="34"/>
  <c r="R2559" i="34"/>
  <c r="R2560" i="34"/>
  <c r="R2561" i="34"/>
  <c r="R2562" i="34"/>
  <c r="R2563" i="34"/>
  <c r="R2564" i="34"/>
  <c r="R2565" i="34"/>
  <c r="R2566" i="34"/>
  <c r="R2567" i="34"/>
  <c r="R2568" i="34"/>
  <c r="R2569" i="34"/>
  <c r="R2570" i="34"/>
  <c r="R2571" i="34"/>
  <c r="R2572" i="34"/>
  <c r="R2573" i="34"/>
  <c r="R2574" i="34"/>
  <c r="R2575" i="34"/>
  <c r="R2576" i="34"/>
  <c r="R2577" i="34"/>
  <c r="R2578" i="34"/>
  <c r="R2579" i="34"/>
  <c r="R2580" i="34"/>
  <c r="R2581" i="34"/>
  <c r="R2582" i="34"/>
  <c r="R2583" i="34"/>
  <c r="R2584" i="34"/>
  <c r="R2585" i="34"/>
  <c r="R2586" i="34"/>
  <c r="R2587" i="34"/>
  <c r="R2588" i="34"/>
  <c r="R2589" i="34"/>
  <c r="R2590" i="34"/>
  <c r="R2591" i="34"/>
  <c r="R2592" i="34"/>
  <c r="R2593" i="34"/>
  <c r="R2594" i="34"/>
  <c r="R2595" i="34"/>
  <c r="R2596" i="34"/>
  <c r="R2597" i="34"/>
  <c r="R2598" i="34"/>
  <c r="R2599" i="34"/>
  <c r="R2600" i="34"/>
  <c r="R2601" i="34"/>
  <c r="R2602" i="34"/>
  <c r="R2603" i="34"/>
  <c r="R2604" i="34"/>
  <c r="R2605" i="34"/>
  <c r="R2606" i="34"/>
  <c r="R2607" i="34"/>
  <c r="R2608" i="34"/>
  <c r="R2609" i="34"/>
  <c r="R2610" i="34"/>
  <c r="R2611" i="34"/>
  <c r="R2612" i="34"/>
  <c r="R2613" i="34"/>
  <c r="R2614" i="34"/>
  <c r="R2615" i="34"/>
  <c r="R2616" i="34"/>
  <c r="R2617" i="34"/>
  <c r="R2618" i="34"/>
  <c r="R2619" i="34"/>
  <c r="R2620" i="34"/>
  <c r="R2621" i="34"/>
  <c r="R2622" i="34"/>
  <c r="R2623" i="34"/>
  <c r="R2624" i="34"/>
  <c r="R2625" i="34"/>
  <c r="R2626" i="34"/>
  <c r="R2627" i="34"/>
  <c r="R2628" i="34"/>
  <c r="R2629" i="34"/>
  <c r="R2630" i="34"/>
  <c r="R2631" i="34"/>
  <c r="R2632" i="34"/>
  <c r="R2633" i="34"/>
  <c r="R2634" i="34"/>
  <c r="R2635" i="34"/>
  <c r="R2636" i="34"/>
  <c r="R2637" i="34"/>
  <c r="R2638" i="34"/>
  <c r="R2639" i="34"/>
  <c r="R2640" i="34"/>
  <c r="R2641" i="34"/>
  <c r="R2642" i="34"/>
  <c r="R2643" i="34"/>
  <c r="R2644" i="34"/>
  <c r="R2645" i="34"/>
  <c r="R2646" i="34"/>
  <c r="R2647" i="34"/>
  <c r="R2648" i="34"/>
  <c r="R2649" i="34"/>
  <c r="R2650" i="34"/>
  <c r="R2651" i="34"/>
  <c r="R2652" i="34"/>
  <c r="R2653" i="34"/>
  <c r="R2654" i="34"/>
  <c r="R2655" i="34"/>
  <c r="R2656" i="34"/>
  <c r="R2657" i="34"/>
  <c r="R2658" i="34"/>
  <c r="R2659" i="34"/>
  <c r="R2660" i="34"/>
  <c r="R2661" i="34"/>
  <c r="R2662" i="34"/>
  <c r="R2663" i="34"/>
  <c r="R2664" i="34"/>
  <c r="R2665" i="34"/>
  <c r="R2666" i="34"/>
  <c r="R2667" i="34"/>
  <c r="R2668" i="34"/>
  <c r="R2669" i="34"/>
  <c r="R2670" i="34"/>
  <c r="R2671" i="34"/>
  <c r="R2672" i="34"/>
  <c r="R2673" i="34"/>
  <c r="R2674" i="34"/>
  <c r="R2675" i="34"/>
  <c r="R2676" i="34"/>
  <c r="R2677" i="34"/>
  <c r="R2678" i="34"/>
  <c r="R2679" i="34"/>
  <c r="R2680" i="34"/>
  <c r="R2681" i="34"/>
  <c r="R2682" i="34"/>
  <c r="R2683" i="34"/>
  <c r="R2684" i="34"/>
  <c r="R2685" i="34"/>
  <c r="R2686" i="34"/>
  <c r="R2687" i="34"/>
  <c r="R2688" i="34"/>
  <c r="R2689" i="34"/>
  <c r="R2690" i="34"/>
  <c r="R2691" i="34"/>
  <c r="R2692" i="34"/>
  <c r="R2693" i="34"/>
  <c r="R2694" i="34"/>
  <c r="R2695" i="34"/>
  <c r="R2696" i="34"/>
  <c r="R2697" i="34"/>
  <c r="R2698" i="34"/>
  <c r="R2699" i="34"/>
  <c r="R2700" i="34"/>
  <c r="R2701" i="34"/>
  <c r="R2702" i="34"/>
  <c r="R2703" i="34"/>
  <c r="R2704" i="34"/>
  <c r="R2705" i="34"/>
  <c r="R2706" i="34"/>
  <c r="R2707" i="34"/>
  <c r="R2708" i="34"/>
  <c r="R2709" i="34"/>
  <c r="R2710" i="34"/>
  <c r="R2711" i="34"/>
  <c r="R2712" i="34"/>
  <c r="R2713" i="34"/>
  <c r="R2714" i="34"/>
  <c r="R2715" i="34"/>
  <c r="R2716" i="34"/>
  <c r="R2717" i="34"/>
  <c r="R2718" i="34"/>
  <c r="R2719" i="34"/>
  <c r="R2720" i="34"/>
  <c r="R2721" i="34"/>
  <c r="R2722" i="34"/>
  <c r="R2723" i="34"/>
  <c r="R2724" i="34"/>
  <c r="R2725" i="34"/>
  <c r="R2726" i="34"/>
  <c r="R2727" i="34"/>
  <c r="R2728" i="34"/>
  <c r="R2729" i="34"/>
  <c r="R2730" i="34"/>
  <c r="R2731" i="34"/>
  <c r="R2732" i="34"/>
  <c r="R2733" i="34"/>
  <c r="R2734" i="34"/>
  <c r="R2735" i="34"/>
  <c r="R2736" i="34"/>
  <c r="R2737" i="34"/>
  <c r="R2738" i="34"/>
  <c r="R2739" i="34"/>
  <c r="R2740" i="34"/>
  <c r="R2741" i="34"/>
  <c r="R2742" i="34"/>
  <c r="R2743" i="34"/>
  <c r="R2744" i="34"/>
  <c r="R2745" i="34"/>
  <c r="R2746" i="34"/>
  <c r="R2747" i="34"/>
  <c r="R2748" i="34"/>
  <c r="R2749" i="34"/>
  <c r="R2750" i="34"/>
  <c r="R2751" i="34"/>
  <c r="R2752" i="34"/>
  <c r="R2753" i="34"/>
  <c r="R2754" i="34"/>
  <c r="R2755" i="34"/>
  <c r="R2756" i="34"/>
  <c r="R2757" i="34"/>
  <c r="R2758" i="34"/>
  <c r="R2759" i="34"/>
  <c r="R2760" i="34"/>
  <c r="R2761" i="34"/>
  <c r="R2762" i="34"/>
  <c r="R2763" i="34"/>
  <c r="R2764" i="34"/>
  <c r="R2765" i="34"/>
  <c r="R2766" i="34"/>
  <c r="R2767" i="34"/>
  <c r="R2768" i="34"/>
  <c r="R2769" i="34"/>
  <c r="R2770" i="34"/>
  <c r="R2771" i="34"/>
  <c r="R2772" i="34"/>
  <c r="R2773" i="34"/>
  <c r="R2774" i="34"/>
  <c r="R2775" i="34"/>
  <c r="R2776" i="34"/>
  <c r="R2777" i="34"/>
  <c r="R2778" i="34"/>
  <c r="R2779" i="34"/>
  <c r="R2780" i="34"/>
  <c r="R2781" i="34"/>
  <c r="R2782" i="34"/>
  <c r="R2783" i="34"/>
  <c r="R2784" i="34"/>
  <c r="R2785" i="34"/>
  <c r="R2786" i="34"/>
  <c r="R2787" i="34"/>
  <c r="R2788" i="34"/>
  <c r="R2789" i="34"/>
  <c r="R2790" i="34"/>
  <c r="R2791" i="34"/>
  <c r="R2792" i="34"/>
  <c r="R2793" i="34"/>
  <c r="R2794" i="34"/>
  <c r="R2795" i="34"/>
  <c r="R2796" i="34"/>
  <c r="R2797" i="34"/>
  <c r="R2798" i="34"/>
  <c r="R2799" i="34"/>
  <c r="R2800" i="34"/>
  <c r="R2801" i="34"/>
  <c r="R2802" i="34"/>
  <c r="R2803" i="34"/>
  <c r="R2804" i="34"/>
  <c r="R2805" i="34"/>
  <c r="R2806" i="34"/>
  <c r="R2807" i="34"/>
  <c r="R2808" i="34"/>
  <c r="R2809" i="34"/>
  <c r="R2810" i="34"/>
  <c r="R2811" i="34"/>
  <c r="R2812" i="34"/>
  <c r="R2813" i="34"/>
  <c r="R2814" i="34"/>
  <c r="R2815" i="34"/>
  <c r="R2816" i="34"/>
  <c r="R2817" i="34"/>
  <c r="R2818" i="34"/>
  <c r="R2819" i="34"/>
  <c r="R2820" i="34"/>
  <c r="R2821" i="34"/>
  <c r="R2822" i="34"/>
  <c r="R2823" i="34"/>
  <c r="R2824" i="34"/>
  <c r="R2825" i="34"/>
  <c r="R2826" i="34"/>
  <c r="R2827" i="34"/>
  <c r="R2828" i="34"/>
  <c r="R2829" i="34"/>
  <c r="R2830" i="34"/>
  <c r="R2831" i="34"/>
  <c r="R2832" i="34"/>
  <c r="R2833" i="34"/>
  <c r="R2834" i="34"/>
  <c r="R2835" i="34"/>
  <c r="R2836" i="34"/>
  <c r="R2837" i="34"/>
  <c r="R2838" i="34"/>
  <c r="R2839" i="34"/>
  <c r="R2840" i="34"/>
  <c r="R2841" i="34"/>
  <c r="R2842" i="34"/>
  <c r="R2843" i="34"/>
  <c r="R2844" i="34"/>
  <c r="R2845" i="34"/>
  <c r="R2846" i="34"/>
  <c r="R2847" i="34"/>
  <c r="R2848" i="34"/>
  <c r="R2849" i="34"/>
  <c r="R2850" i="34"/>
  <c r="R2851" i="34"/>
  <c r="R2852" i="34"/>
  <c r="R2853" i="34"/>
  <c r="R2854" i="34"/>
  <c r="R2855" i="34"/>
  <c r="R2856" i="34"/>
  <c r="R2857" i="34"/>
  <c r="R2858" i="34"/>
  <c r="R2859" i="34"/>
  <c r="R2860" i="34"/>
  <c r="R2861" i="34"/>
  <c r="R2862" i="34"/>
  <c r="R2863" i="34"/>
  <c r="R2864" i="34"/>
  <c r="R2865" i="34"/>
  <c r="R2866" i="34"/>
  <c r="R2867" i="34"/>
  <c r="R2868" i="34"/>
  <c r="R2869" i="34"/>
  <c r="R2870" i="34"/>
  <c r="R2871" i="34"/>
  <c r="R2872" i="34"/>
  <c r="R2873" i="34"/>
  <c r="R2874" i="34"/>
  <c r="R2875" i="34"/>
  <c r="R2876" i="34"/>
  <c r="R2877" i="34"/>
  <c r="R2878" i="34"/>
  <c r="R2879" i="34"/>
  <c r="R2880" i="34"/>
  <c r="R2881" i="34"/>
  <c r="R2882" i="34"/>
  <c r="R2883" i="34"/>
  <c r="R2884" i="34"/>
  <c r="R2885" i="34"/>
  <c r="R2886" i="34"/>
  <c r="R2887" i="34"/>
  <c r="R2888" i="34"/>
  <c r="R2889" i="34"/>
  <c r="R2890" i="34"/>
  <c r="R2891" i="34"/>
  <c r="R2892" i="34"/>
  <c r="R2893" i="34"/>
  <c r="R2894" i="34"/>
  <c r="R2895" i="34"/>
  <c r="R2896" i="34"/>
  <c r="R2897" i="34"/>
  <c r="R2898" i="34"/>
  <c r="R2899" i="34"/>
  <c r="R2900" i="34"/>
  <c r="R2901" i="34"/>
  <c r="R2902" i="34"/>
  <c r="R2903" i="34"/>
  <c r="R2904" i="34"/>
  <c r="R2905" i="34"/>
  <c r="R2906" i="34"/>
  <c r="R2907" i="34"/>
  <c r="R2908" i="34"/>
  <c r="R2909" i="34"/>
  <c r="R2910" i="34"/>
  <c r="R2911" i="34"/>
  <c r="R2912" i="34"/>
  <c r="R2913" i="34"/>
  <c r="R2914" i="34"/>
  <c r="R2915" i="34"/>
  <c r="R2916" i="34"/>
  <c r="R2917" i="34"/>
  <c r="R2918" i="34"/>
  <c r="R2919" i="34"/>
  <c r="R2920" i="34"/>
  <c r="R2921" i="34"/>
  <c r="R2922" i="34"/>
  <c r="R2923" i="34"/>
  <c r="R2924" i="34"/>
  <c r="R2925" i="34"/>
  <c r="R2926" i="34"/>
  <c r="R2927" i="34"/>
  <c r="R2928" i="34"/>
  <c r="R2929" i="34"/>
  <c r="R2930" i="34"/>
  <c r="R2931" i="34"/>
  <c r="R2932" i="34"/>
  <c r="R2933" i="34"/>
  <c r="R2934" i="34"/>
  <c r="R2935" i="34"/>
  <c r="R2936" i="34"/>
  <c r="R2937" i="34"/>
  <c r="R2938" i="34"/>
  <c r="R2939" i="34"/>
  <c r="R2940" i="34"/>
  <c r="R2941" i="34"/>
  <c r="R2942" i="34"/>
  <c r="R2943" i="34"/>
  <c r="R2944" i="34"/>
  <c r="R2945" i="34"/>
  <c r="R2946" i="34"/>
  <c r="R2947" i="34"/>
  <c r="R2948" i="34"/>
  <c r="R2949" i="34"/>
  <c r="R2950" i="34"/>
  <c r="R2951" i="34"/>
  <c r="R2952" i="34"/>
  <c r="R2953" i="34"/>
  <c r="R2954" i="34"/>
  <c r="R2955" i="34"/>
  <c r="R2956" i="34"/>
  <c r="R2957" i="34"/>
  <c r="R2958" i="34"/>
  <c r="R2959" i="34"/>
  <c r="R2960" i="34"/>
  <c r="R2961" i="34"/>
  <c r="R2962" i="34"/>
  <c r="R2963" i="34"/>
  <c r="R2964" i="34"/>
  <c r="R2965" i="34"/>
  <c r="R2966" i="34"/>
  <c r="R2967" i="34"/>
  <c r="R2968" i="34"/>
  <c r="R2969" i="34"/>
  <c r="R2970" i="34"/>
  <c r="R2971" i="34"/>
  <c r="R2972" i="34"/>
  <c r="R2973" i="34"/>
  <c r="R2974" i="34"/>
  <c r="R2975" i="34"/>
  <c r="R2976" i="34"/>
  <c r="R2977" i="34"/>
  <c r="R2978" i="34"/>
  <c r="R2979" i="34"/>
  <c r="R2980" i="34"/>
  <c r="R2981" i="34"/>
  <c r="R2982" i="34"/>
  <c r="R2983" i="34"/>
  <c r="R2984" i="34"/>
  <c r="R2985" i="34"/>
  <c r="R2986" i="34"/>
  <c r="R2987" i="34"/>
  <c r="R2988" i="34"/>
  <c r="R2989" i="34"/>
  <c r="R2990" i="34"/>
  <c r="R2991" i="34"/>
  <c r="R2992" i="34"/>
  <c r="R2993" i="34"/>
  <c r="R2994" i="34"/>
  <c r="R2995" i="34"/>
  <c r="R2996" i="34"/>
  <c r="R2997" i="34"/>
  <c r="R2998" i="34"/>
  <c r="R2999" i="34"/>
  <c r="R3000" i="34"/>
  <c r="R3001" i="34"/>
  <c r="R3002" i="34"/>
  <c r="R3003" i="34"/>
  <c r="R3004" i="34"/>
  <c r="R3005" i="34"/>
  <c r="R3006" i="34"/>
  <c r="R3007" i="34"/>
  <c r="R3008" i="34"/>
  <c r="R3009" i="34"/>
  <c r="R3010" i="34"/>
  <c r="R3011" i="34"/>
  <c r="R3012" i="34"/>
  <c r="R3013" i="34"/>
  <c r="R3014" i="34"/>
  <c r="R3015" i="34"/>
  <c r="R3016" i="34"/>
  <c r="R3017" i="34"/>
  <c r="R3018" i="34"/>
  <c r="R3019" i="34"/>
  <c r="R3020" i="34"/>
  <c r="R3021" i="34"/>
  <c r="R3022" i="34"/>
  <c r="R3023" i="34"/>
  <c r="R3024" i="34"/>
  <c r="R3025" i="34"/>
  <c r="R3026" i="34"/>
  <c r="R3027" i="34"/>
  <c r="R3028" i="34"/>
  <c r="R3029" i="34"/>
  <c r="R3030" i="34"/>
  <c r="R3031" i="34"/>
  <c r="R3032" i="34"/>
  <c r="R3033" i="34"/>
  <c r="R3034" i="34"/>
  <c r="R3035" i="34"/>
  <c r="R3036" i="34"/>
  <c r="R3037" i="34"/>
  <c r="R3038" i="34"/>
  <c r="R3039" i="34"/>
  <c r="R3040" i="34"/>
  <c r="R3041" i="34"/>
  <c r="R3042" i="34"/>
  <c r="R3043" i="34"/>
  <c r="R3044" i="34"/>
  <c r="R3045" i="34"/>
  <c r="R3046" i="34"/>
  <c r="R3047" i="34"/>
  <c r="R3048" i="34"/>
  <c r="R3049" i="34"/>
  <c r="R3050" i="34"/>
  <c r="R3051" i="34"/>
  <c r="R3052" i="34"/>
  <c r="R3053" i="34"/>
  <c r="R3054" i="34"/>
  <c r="R3055" i="34"/>
  <c r="R3056" i="34"/>
  <c r="R3057" i="34"/>
  <c r="R3058" i="34"/>
  <c r="R3059" i="34"/>
  <c r="R3060" i="34"/>
  <c r="R3061" i="34"/>
  <c r="R3062" i="34"/>
  <c r="R3063" i="34"/>
  <c r="R3064" i="34"/>
  <c r="R3065" i="34"/>
  <c r="R3066" i="34"/>
  <c r="R3067" i="34"/>
  <c r="R3068" i="34"/>
  <c r="R3069" i="34"/>
  <c r="R3070" i="34"/>
  <c r="R3071" i="34"/>
  <c r="R3072" i="34"/>
  <c r="R3073" i="34"/>
  <c r="R3074" i="34"/>
  <c r="R3075" i="34"/>
  <c r="R3076" i="34"/>
  <c r="R3077" i="34"/>
  <c r="R3078" i="34"/>
  <c r="R3079" i="34"/>
  <c r="R3080" i="34"/>
  <c r="R3081" i="34"/>
  <c r="R3082" i="34"/>
  <c r="R3083" i="34"/>
  <c r="R3084" i="34"/>
  <c r="R3085" i="34"/>
  <c r="R3086" i="34"/>
  <c r="R3087" i="34"/>
  <c r="R3088" i="34"/>
  <c r="R3089" i="34"/>
  <c r="R3090" i="34"/>
  <c r="R3091" i="34"/>
  <c r="R3092" i="34"/>
  <c r="R3093" i="34"/>
  <c r="R3094" i="34"/>
  <c r="R3095" i="34"/>
  <c r="R3096" i="34"/>
  <c r="R3097" i="34"/>
  <c r="R3098" i="34"/>
  <c r="R3099" i="34"/>
  <c r="R3100" i="34"/>
  <c r="R3101" i="34"/>
  <c r="R3102" i="34"/>
  <c r="R3103" i="34"/>
  <c r="R3104" i="34"/>
  <c r="R3105" i="34"/>
  <c r="R3106" i="34"/>
  <c r="R3107" i="34"/>
  <c r="R3108" i="34"/>
  <c r="R3109" i="34"/>
  <c r="R3110" i="34"/>
  <c r="R3111" i="34"/>
  <c r="R3112" i="34"/>
  <c r="R3113" i="34"/>
  <c r="R3114" i="34"/>
  <c r="R3115" i="34"/>
  <c r="R3116" i="34"/>
  <c r="R3117" i="34"/>
  <c r="R3118" i="34"/>
  <c r="R3119" i="34"/>
  <c r="R3120" i="34"/>
  <c r="R3121" i="34"/>
  <c r="R3122" i="34"/>
  <c r="R3123" i="34"/>
  <c r="R3124" i="34"/>
  <c r="R3125" i="34"/>
  <c r="R3126" i="34"/>
  <c r="R3127" i="34"/>
  <c r="R3128" i="34"/>
  <c r="R3129" i="34"/>
  <c r="R3130" i="34"/>
  <c r="R3131" i="34"/>
  <c r="R3132" i="34"/>
  <c r="R3133" i="34"/>
  <c r="R3134" i="34"/>
  <c r="R3135" i="34"/>
  <c r="R3136" i="34"/>
  <c r="R3137" i="34"/>
  <c r="R3138" i="34"/>
  <c r="R3139" i="34"/>
  <c r="R3140" i="34"/>
  <c r="R3141" i="34"/>
  <c r="R3142" i="34"/>
  <c r="R3143" i="34"/>
  <c r="R3144" i="34"/>
  <c r="R3145" i="34"/>
  <c r="R3146" i="34"/>
  <c r="R3147" i="34"/>
  <c r="R3148" i="34"/>
  <c r="R3149" i="34"/>
  <c r="R3150" i="34"/>
  <c r="R3151" i="34"/>
  <c r="R3152" i="34"/>
  <c r="R3153" i="34"/>
  <c r="R3154" i="34"/>
  <c r="R3155" i="34"/>
  <c r="R3156" i="34"/>
  <c r="R3157" i="34"/>
  <c r="R3158" i="34"/>
  <c r="R3159" i="34"/>
  <c r="R3160" i="34"/>
  <c r="R3161" i="34"/>
  <c r="R3162" i="34"/>
  <c r="R3163" i="34"/>
  <c r="R3164" i="34"/>
  <c r="R3165" i="34"/>
  <c r="R3166" i="34"/>
  <c r="R3167" i="34"/>
  <c r="R3168" i="34"/>
  <c r="R3169" i="34"/>
  <c r="R3170" i="34"/>
  <c r="R3171" i="34"/>
  <c r="R3172" i="34"/>
  <c r="R3173" i="34"/>
  <c r="R3174" i="34"/>
  <c r="R3175" i="34"/>
  <c r="R3176" i="34"/>
  <c r="R3177" i="34"/>
  <c r="R3178" i="34"/>
  <c r="R3179" i="34"/>
  <c r="R3180" i="34"/>
  <c r="R3181" i="34"/>
  <c r="R3182" i="34"/>
  <c r="R3183" i="34"/>
  <c r="R3184" i="34"/>
  <c r="R3185" i="34"/>
  <c r="R3186" i="34"/>
  <c r="R3187" i="34"/>
  <c r="R3188" i="34"/>
  <c r="R3189" i="34"/>
  <c r="R3190" i="34"/>
  <c r="R3191" i="34"/>
  <c r="R3192" i="34"/>
  <c r="R3193" i="34"/>
  <c r="R3194" i="34"/>
  <c r="R3195" i="34"/>
  <c r="R3196" i="34"/>
  <c r="R3197" i="34"/>
  <c r="R3198" i="34"/>
  <c r="R3199" i="34"/>
  <c r="R3200" i="34"/>
  <c r="R3201" i="34"/>
  <c r="R3202" i="34"/>
  <c r="R3203" i="34"/>
  <c r="R3204" i="34"/>
  <c r="R3205" i="34"/>
  <c r="R3206" i="34"/>
  <c r="R3207" i="34"/>
  <c r="R3208" i="34"/>
  <c r="R3209" i="34"/>
  <c r="R3210" i="34"/>
  <c r="R3211" i="34"/>
  <c r="R3212" i="34"/>
  <c r="R3213" i="34"/>
  <c r="R3214" i="34"/>
  <c r="R3215" i="34"/>
  <c r="R3216" i="34"/>
  <c r="R3217" i="34"/>
  <c r="R3218" i="34"/>
  <c r="R3219" i="34"/>
  <c r="R3220" i="34"/>
  <c r="R3221" i="34"/>
  <c r="R3222" i="34"/>
  <c r="R3223" i="34"/>
  <c r="R3224" i="34"/>
  <c r="R3225" i="34"/>
  <c r="R3226" i="34"/>
  <c r="R3227" i="34"/>
  <c r="R3228" i="34"/>
  <c r="R3229" i="34"/>
  <c r="R3230" i="34"/>
  <c r="R3231" i="34"/>
  <c r="R3232" i="34"/>
  <c r="R3233" i="34"/>
  <c r="R3234" i="34"/>
  <c r="R3235" i="34"/>
  <c r="R3236" i="34"/>
  <c r="R3237" i="34"/>
  <c r="R3238" i="34"/>
  <c r="R3239" i="34"/>
  <c r="R3240" i="34"/>
  <c r="R3241" i="34"/>
  <c r="R3242" i="34"/>
  <c r="R3243" i="34"/>
  <c r="R3244" i="34"/>
  <c r="R3245" i="34"/>
  <c r="R3246" i="34"/>
  <c r="R3247" i="34"/>
  <c r="R3248" i="34"/>
  <c r="R3249" i="34"/>
  <c r="R3250" i="34"/>
  <c r="R3251" i="34"/>
  <c r="R3252" i="34"/>
  <c r="R3253" i="34"/>
  <c r="R3254" i="34"/>
  <c r="R3255" i="34"/>
  <c r="R3256" i="34"/>
  <c r="R3257" i="34"/>
  <c r="R3258" i="34"/>
  <c r="R3259" i="34"/>
  <c r="R3260" i="34"/>
  <c r="R3261" i="34"/>
  <c r="R3262" i="34"/>
  <c r="R3263" i="34"/>
  <c r="R3264" i="34"/>
  <c r="R3265" i="34"/>
  <c r="R3266" i="34"/>
  <c r="R3267" i="34"/>
  <c r="R3268" i="34"/>
  <c r="R3269" i="34"/>
  <c r="R3270" i="34"/>
  <c r="R3271" i="34"/>
  <c r="R3272" i="34"/>
  <c r="R3273" i="34"/>
  <c r="R3274" i="34"/>
  <c r="R3275" i="34"/>
  <c r="R3276" i="34"/>
  <c r="R3277" i="34"/>
  <c r="R3278" i="34"/>
  <c r="R3279" i="34"/>
  <c r="R3280" i="34"/>
  <c r="R3281" i="34"/>
  <c r="R3282" i="34"/>
  <c r="R3283" i="34"/>
  <c r="R3284" i="34"/>
  <c r="R3285" i="34"/>
  <c r="R3286" i="34"/>
  <c r="R3287" i="34"/>
  <c r="R3288" i="34"/>
  <c r="R3289" i="34"/>
  <c r="R3290" i="34"/>
  <c r="R3291" i="34"/>
  <c r="R3292" i="34"/>
  <c r="R3293" i="34"/>
  <c r="R3294" i="34"/>
  <c r="R3295" i="34"/>
  <c r="R3296" i="34"/>
  <c r="R3297" i="34"/>
  <c r="R3298" i="34"/>
  <c r="R3299" i="34"/>
  <c r="R3300" i="34"/>
  <c r="R3301" i="34"/>
  <c r="R3302" i="34"/>
  <c r="R3303" i="34"/>
  <c r="R3304" i="34"/>
  <c r="R3305" i="34"/>
  <c r="R3306" i="34"/>
  <c r="R3307" i="34"/>
  <c r="R3308" i="34"/>
  <c r="R3309" i="34"/>
  <c r="R3310" i="34"/>
  <c r="R3311" i="34"/>
  <c r="R3312" i="34"/>
  <c r="R3313" i="34"/>
  <c r="R3314" i="34"/>
  <c r="R3315" i="34"/>
  <c r="R3316" i="34"/>
  <c r="R3317" i="34"/>
  <c r="R3318" i="34"/>
  <c r="R3319" i="34"/>
  <c r="R3320" i="34"/>
  <c r="R3321" i="34"/>
  <c r="R3322" i="34"/>
  <c r="R3323" i="34"/>
  <c r="R3324" i="34"/>
  <c r="R3325" i="34"/>
  <c r="R3326" i="34"/>
  <c r="R3327" i="34"/>
  <c r="R3328" i="34"/>
  <c r="R3329" i="34"/>
  <c r="R3330" i="34"/>
  <c r="R3331" i="34"/>
  <c r="R3332" i="34"/>
  <c r="R3333" i="34"/>
  <c r="R3334" i="34"/>
  <c r="R3335" i="34"/>
  <c r="R3336" i="34"/>
  <c r="R3337" i="34"/>
  <c r="R3338" i="34"/>
  <c r="R3339" i="34"/>
  <c r="R3340" i="34"/>
  <c r="R3341" i="34"/>
  <c r="R3342" i="34"/>
  <c r="R3343" i="34"/>
  <c r="R3344" i="34"/>
  <c r="R3345" i="34"/>
  <c r="R3346" i="34"/>
  <c r="R3347" i="34"/>
  <c r="R3348" i="34"/>
  <c r="R3349" i="34"/>
  <c r="R3350" i="34"/>
  <c r="R3351" i="34"/>
  <c r="R3352" i="34"/>
  <c r="R3353" i="34"/>
  <c r="R3354" i="34"/>
  <c r="R3355" i="34"/>
  <c r="R3356" i="34"/>
  <c r="R3357" i="34"/>
  <c r="R3358" i="34"/>
  <c r="R3359" i="34"/>
  <c r="R3360" i="34"/>
  <c r="R3361" i="34"/>
  <c r="R3362" i="34"/>
  <c r="R3363" i="34"/>
  <c r="R3364" i="34"/>
  <c r="R3365" i="34"/>
  <c r="R3366" i="34"/>
  <c r="R3367" i="34"/>
  <c r="R3368" i="34"/>
  <c r="R3369" i="34"/>
  <c r="R3370" i="34"/>
  <c r="R3371" i="34"/>
  <c r="R3372" i="34"/>
  <c r="R3373" i="34"/>
  <c r="R3374" i="34"/>
  <c r="R3375" i="34"/>
  <c r="R3376" i="34"/>
  <c r="R3377" i="34"/>
  <c r="R3378" i="34"/>
  <c r="R3379" i="34"/>
  <c r="R3380" i="34"/>
  <c r="R3381" i="34"/>
  <c r="R3382" i="34"/>
  <c r="R3383" i="34"/>
  <c r="R3384" i="34"/>
  <c r="R3385" i="34"/>
  <c r="R3386" i="34"/>
  <c r="R3387" i="34"/>
  <c r="R3388" i="34"/>
  <c r="R3389" i="34"/>
  <c r="R3390" i="34"/>
  <c r="R3391" i="34"/>
  <c r="R3392" i="34"/>
  <c r="R3393" i="34"/>
  <c r="R3394" i="34"/>
  <c r="R3395" i="34"/>
  <c r="R3396" i="34"/>
  <c r="R3397" i="34"/>
  <c r="R3398" i="34"/>
  <c r="R3399" i="34"/>
  <c r="R3400" i="34"/>
  <c r="R3401" i="34"/>
  <c r="R3402" i="34"/>
  <c r="R3403" i="34"/>
  <c r="R3404" i="34"/>
  <c r="R3405" i="34"/>
  <c r="R3406" i="34"/>
  <c r="R3407" i="34"/>
  <c r="R3408" i="34"/>
  <c r="R3409" i="34"/>
  <c r="R3410" i="34"/>
  <c r="R3411" i="34"/>
  <c r="R3412" i="34"/>
  <c r="R3413" i="34"/>
  <c r="R3414" i="34"/>
  <c r="R3415" i="34"/>
  <c r="R3416" i="34"/>
  <c r="R3417" i="34"/>
  <c r="R3418" i="34"/>
  <c r="R3419" i="34"/>
  <c r="R3420" i="34"/>
  <c r="R3421" i="34"/>
  <c r="R3422" i="34"/>
  <c r="R3423" i="34"/>
  <c r="R3424" i="34"/>
  <c r="R3425" i="34"/>
  <c r="R3426" i="34"/>
  <c r="R3427" i="34"/>
  <c r="R3428" i="34"/>
  <c r="R3429" i="34"/>
  <c r="R3430" i="34"/>
  <c r="R3431" i="34"/>
  <c r="R3432" i="34"/>
  <c r="R3433" i="34"/>
  <c r="R3434" i="34"/>
  <c r="R3435" i="34"/>
  <c r="R3436" i="34"/>
  <c r="R3437" i="34"/>
  <c r="R3438" i="34"/>
  <c r="R3439" i="34"/>
  <c r="R3440" i="34"/>
  <c r="R3441" i="34"/>
  <c r="R3442" i="34"/>
  <c r="R3443" i="34"/>
  <c r="R3444" i="34"/>
  <c r="R3445" i="34"/>
  <c r="R3446" i="34"/>
  <c r="R3447" i="34"/>
  <c r="R3448" i="34"/>
  <c r="R3449" i="34"/>
  <c r="R3450" i="34"/>
  <c r="R3451" i="34"/>
  <c r="R3452" i="34"/>
  <c r="R3453" i="34"/>
  <c r="R3454" i="34"/>
  <c r="R3455" i="34"/>
  <c r="R3456" i="34"/>
  <c r="R3457" i="34"/>
  <c r="R3458" i="34"/>
  <c r="R3459" i="34"/>
  <c r="R3460" i="34"/>
  <c r="R3461" i="34"/>
  <c r="R3462" i="34"/>
  <c r="R3463" i="34"/>
  <c r="R3464" i="34"/>
  <c r="R3465" i="34"/>
  <c r="R3466" i="34"/>
  <c r="R3467" i="34"/>
  <c r="R3468" i="34"/>
  <c r="R3469" i="34"/>
  <c r="R3470" i="34"/>
  <c r="R3471" i="34"/>
  <c r="R3472" i="34"/>
  <c r="R3473" i="34"/>
  <c r="R3474" i="34"/>
  <c r="R3475" i="34"/>
  <c r="R3476" i="34"/>
  <c r="R3477" i="34"/>
  <c r="R3478" i="34"/>
  <c r="R3479" i="34"/>
  <c r="R3480" i="34"/>
  <c r="R3481" i="34"/>
  <c r="R3482" i="34"/>
  <c r="R3483" i="34"/>
  <c r="R3484" i="34"/>
  <c r="R3485" i="34"/>
  <c r="R3486" i="34"/>
  <c r="R3487" i="34"/>
  <c r="R3488" i="34"/>
  <c r="R3489" i="34"/>
  <c r="R3490" i="34"/>
  <c r="R3491" i="34"/>
  <c r="R3492" i="34"/>
  <c r="R3493" i="34"/>
  <c r="R3494" i="34"/>
  <c r="R3495" i="34"/>
  <c r="R3496" i="34"/>
  <c r="R3497" i="34"/>
  <c r="R3498" i="34"/>
  <c r="R3499" i="34"/>
  <c r="R3500" i="34"/>
  <c r="R3501" i="34"/>
  <c r="R3502" i="34"/>
  <c r="R3503" i="34"/>
  <c r="R3504" i="34"/>
  <c r="R3505" i="34"/>
  <c r="R3506" i="34"/>
  <c r="R3507" i="34"/>
  <c r="R3508" i="34"/>
  <c r="R3509" i="34"/>
  <c r="R3510" i="34"/>
  <c r="R3511" i="34"/>
  <c r="R3512" i="34"/>
  <c r="R3513" i="34"/>
  <c r="R3514" i="34"/>
  <c r="R3515" i="34"/>
  <c r="R3516" i="34"/>
  <c r="R3517" i="34"/>
  <c r="R3518" i="34"/>
  <c r="R3519" i="34"/>
  <c r="R3520" i="34"/>
  <c r="R3521" i="34"/>
  <c r="R3522" i="34"/>
  <c r="R3523" i="34"/>
  <c r="R3524" i="34"/>
  <c r="R3525" i="34"/>
  <c r="R3526" i="34"/>
  <c r="R3527" i="34"/>
  <c r="R3528" i="34"/>
  <c r="R3529" i="34"/>
  <c r="R3530" i="34"/>
  <c r="R3531" i="34"/>
  <c r="R3532" i="34"/>
  <c r="R3533" i="34"/>
  <c r="R3534" i="34"/>
  <c r="R3535" i="34"/>
  <c r="R3536" i="34"/>
  <c r="R3537" i="34"/>
  <c r="R3538" i="34"/>
  <c r="R3539" i="34"/>
  <c r="R3540" i="34"/>
  <c r="R3541" i="34"/>
  <c r="R3542" i="34"/>
  <c r="R3543" i="34"/>
  <c r="R3544" i="34"/>
  <c r="R3545" i="34"/>
  <c r="R3546" i="34"/>
  <c r="R3547" i="34"/>
  <c r="R3548" i="34"/>
  <c r="R3549" i="34"/>
  <c r="R3550" i="34"/>
  <c r="R3551" i="34"/>
  <c r="R3552" i="34"/>
  <c r="R3553" i="34"/>
  <c r="R3554" i="34"/>
  <c r="R3555" i="34"/>
  <c r="R3556" i="34"/>
  <c r="R3557" i="34"/>
  <c r="R3558" i="34"/>
  <c r="R3559" i="34"/>
  <c r="R3560" i="34"/>
  <c r="R3561" i="34"/>
  <c r="R3562" i="34"/>
  <c r="R3563" i="34"/>
  <c r="R3564" i="34"/>
  <c r="R3565" i="34"/>
  <c r="R3566" i="34"/>
  <c r="R3567" i="34"/>
  <c r="R3568" i="34"/>
  <c r="R3569" i="34"/>
  <c r="R3570" i="34"/>
  <c r="R3571" i="34"/>
  <c r="R3572" i="34"/>
  <c r="R3573" i="34"/>
  <c r="R3574" i="34"/>
  <c r="R3575" i="34"/>
  <c r="R3576" i="34"/>
  <c r="R3577" i="34"/>
  <c r="R3578" i="34"/>
  <c r="R3579" i="34"/>
  <c r="R3580" i="34"/>
  <c r="R3581" i="34"/>
  <c r="R3582" i="34"/>
  <c r="R3583" i="34"/>
  <c r="R3584" i="34"/>
  <c r="R3585" i="34"/>
  <c r="R3586" i="34"/>
  <c r="R3587" i="34"/>
  <c r="R3588" i="34"/>
  <c r="R3589" i="34"/>
  <c r="R3590" i="34"/>
  <c r="R3591" i="34"/>
  <c r="R3592" i="34"/>
  <c r="R3593" i="34"/>
  <c r="R3594" i="34"/>
  <c r="R3595" i="34"/>
  <c r="R3596" i="34"/>
  <c r="R3597" i="34"/>
  <c r="R3598" i="34"/>
  <c r="R3599" i="34"/>
  <c r="R3600" i="34"/>
  <c r="R3601" i="34"/>
  <c r="R3602" i="34"/>
  <c r="R3603" i="34"/>
  <c r="R3604" i="34"/>
  <c r="R3605" i="34"/>
  <c r="R3606" i="34"/>
  <c r="R3607" i="34"/>
  <c r="R3608" i="34"/>
  <c r="R3609" i="34"/>
  <c r="R3610" i="34"/>
  <c r="R3611" i="34"/>
  <c r="R3612" i="34"/>
  <c r="R3613" i="34"/>
  <c r="R3614" i="34"/>
  <c r="R3615" i="34"/>
  <c r="R3616" i="34"/>
  <c r="R3617" i="34"/>
  <c r="R3618" i="34"/>
  <c r="R3619" i="34"/>
  <c r="R3620" i="34"/>
  <c r="R3621" i="34"/>
  <c r="R3622" i="34"/>
  <c r="R3623" i="34"/>
  <c r="R3624" i="34"/>
  <c r="R3625" i="34"/>
  <c r="R3626" i="34"/>
  <c r="R3627" i="34"/>
  <c r="R3628" i="34"/>
  <c r="R3629" i="34"/>
  <c r="R3630" i="34"/>
  <c r="R3631" i="34"/>
  <c r="R3632" i="34"/>
  <c r="R3633" i="34"/>
  <c r="R3634" i="34"/>
  <c r="R3635" i="34"/>
  <c r="R3636" i="34"/>
  <c r="R3637" i="34"/>
  <c r="R3638" i="34"/>
  <c r="R3639" i="34"/>
  <c r="R3640" i="34"/>
  <c r="R3641" i="34"/>
  <c r="R3642" i="34"/>
  <c r="R3643" i="34"/>
  <c r="R3644" i="34"/>
  <c r="R3645" i="34"/>
  <c r="R3646" i="34"/>
  <c r="R3647" i="34"/>
  <c r="R3648" i="34"/>
  <c r="R3649" i="34"/>
  <c r="R3650" i="34"/>
  <c r="R3651" i="34"/>
  <c r="R3652" i="34"/>
  <c r="R3653" i="34"/>
  <c r="R3654" i="34"/>
  <c r="R3655" i="34"/>
  <c r="R3656" i="34"/>
  <c r="R3657" i="34"/>
  <c r="R3658" i="34"/>
  <c r="R3659" i="34"/>
  <c r="R3660" i="34"/>
  <c r="R3661" i="34"/>
  <c r="R3662" i="34"/>
  <c r="R3663" i="34"/>
  <c r="R3664" i="34"/>
  <c r="R3665" i="34"/>
  <c r="R3666" i="34"/>
  <c r="R3667" i="34"/>
  <c r="R3668" i="34"/>
  <c r="R3669" i="34"/>
  <c r="R3670" i="34"/>
  <c r="R3671" i="34"/>
  <c r="R3672" i="34"/>
  <c r="R3673" i="34"/>
  <c r="R3674" i="34"/>
  <c r="R3675" i="34"/>
  <c r="R3676" i="34"/>
  <c r="R3677" i="34"/>
  <c r="R3678" i="34"/>
  <c r="R3679" i="34"/>
  <c r="R3680" i="34"/>
  <c r="R3681" i="34"/>
  <c r="R3682" i="34"/>
  <c r="R3683" i="34"/>
  <c r="R3684" i="34"/>
  <c r="R3685" i="34"/>
  <c r="R3686" i="34"/>
  <c r="R3687" i="34"/>
  <c r="R3688" i="34"/>
  <c r="R3689" i="34"/>
  <c r="R3690" i="34"/>
  <c r="R3691" i="34"/>
  <c r="R3692" i="34"/>
  <c r="R3693" i="34"/>
  <c r="R3694" i="34"/>
  <c r="R3695" i="34"/>
  <c r="R3696" i="34"/>
  <c r="R3697" i="34"/>
  <c r="R3698" i="34"/>
  <c r="R3699" i="34"/>
  <c r="R3700" i="34"/>
  <c r="R3701" i="34"/>
  <c r="R3702" i="34"/>
  <c r="R3703" i="34"/>
  <c r="R3704" i="34"/>
  <c r="R3705" i="34"/>
  <c r="R3706" i="34"/>
  <c r="R3707" i="34"/>
  <c r="R3708" i="34"/>
  <c r="R3709" i="34"/>
  <c r="R3710" i="34"/>
  <c r="R3711" i="34"/>
  <c r="R3712" i="34"/>
  <c r="R3713" i="34"/>
  <c r="R3714" i="34"/>
  <c r="R3715" i="34"/>
  <c r="R3716" i="34"/>
  <c r="R3717" i="34"/>
  <c r="R3718" i="34"/>
  <c r="R3719" i="34"/>
  <c r="R3720" i="34"/>
  <c r="R3721" i="34"/>
  <c r="R3722" i="34"/>
  <c r="R3723" i="34"/>
  <c r="R3724" i="34"/>
  <c r="R3725" i="34"/>
  <c r="R3726" i="34"/>
  <c r="R3727" i="34"/>
  <c r="R3728" i="34"/>
  <c r="R3729" i="34"/>
  <c r="R3730" i="34"/>
  <c r="R3731" i="34"/>
  <c r="R3732" i="34"/>
  <c r="R3733" i="34"/>
  <c r="R3734" i="34"/>
  <c r="R3735" i="34"/>
  <c r="R3736" i="34"/>
  <c r="R3737" i="34"/>
  <c r="R3738" i="34"/>
  <c r="R3739" i="34"/>
  <c r="R3740" i="34"/>
  <c r="R3741" i="34"/>
  <c r="R3742" i="34"/>
  <c r="R3743" i="34"/>
  <c r="R3744" i="34"/>
  <c r="R3745" i="34"/>
  <c r="R3746" i="34"/>
  <c r="R3747" i="34"/>
  <c r="R3748" i="34"/>
  <c r="R3749" i="34"/>
  <c r="R3750" i="34"/>
  <c r="R3751" i="34"/>
  <c r="R3752" i="34"/>
  <c r="R3753" i="34"/>
  <c r="R3754" i="34"/>
  <c r="R3755" i="34"/>
  <c r="R3756" i="34"/>
  <c r="R3757" i="34"/>
  <c r="R3758" i="34"/>
  <c r="R3759" i="34"/>
  <c r="R3760" i="34"/>
  <c r="R3761" i="34"/>
  <c r="R3762" i="34"/>
  <c r="R3763" i="34"/>
  <c r="R3764" i="34"/>
  <c r="R3765" i="34"/>
  <c r="R3766" i="34"/>
  <c r="R3767" i="34"/>
  <c r="R3768" i="34"/>
  <c r="R3769" i="34"/>
  <c r="R3770" i="34"/>
  <c r="R3771" i="34"/>
  <c r="R3772" i="34"/>
  <c r="R3773" i="34"/>
  <c r="R3774" i="34"/>
  <c r="R3775" i="34"/>
  <c r="R3776" i="34"/>
  <c r="R3777" i="34"/>
  <c r="R3778" i="34"/>
  <c r="R3779" i="34"/>
  <c r="R3780" i="34"/>
  <c r="R3781" i="34"/>
  <c r="R3782" i="34"/>
  <c r="R3783" i="34"/>
  <c r="R3784" i="34"/>
  <c r="R3785" i="34"/>
  <c r="R3786" i="34"/>
  <c r="R3787" i="34"/>
  <c r="R3788" i="34"/>
  <c r="R3789" i="34"/>
  <c r="R3790" i="34"/>
  <c r="R3791" i="34"/>
  <c r="R3792" i="34"/>
  <c r="R3793" i="34"/>
  <c r="R3794" i="34"/>
  <c r="R3795" i="34"/>
  <c r="R3796" i="34"/>
  <c r="R3797" i="34"/>
  <c r="R3798" i="34"/>
  <c r="R3799" i="34"/>
  <c r="R3800" i="34"/>
  <c r="R3801" i="34"/>
  <c r="R3802" i="34"/>
  <c r="R3803" i="34"/>
  <c r="R3804" i="34"/>
  <c r="R3805" i="34"/>
  <c r="R3806" i="34"/>
  <c r="R3807" i="34"/>
  <c r="R3808" i="34"/>
  <c r="R3809" i="34"/>
  <c r="R3810" i="34"/>
  <c r="R3811" i="34"/>
  <c r="R3812" i="34"/>
  <c r="R3813" i="34"/>
  <c r="R3814" i="34"/>
  <c r="R3815" i="34"/>
  <c r="R3816" i="34"/>
  <c r="R3817" i="34"/>
  <c r="R3818" i="34"/>
  <c r="R3819" i="34"/>
  <c r="R3820" i="34"/>
  <c r="R3821" i="34"/>
  <c r="R3822" i="34"/>
  <c r="R3823" i="34"/>
  <c r="R3824" i="34"/>
  <c r="R3825" i="34"/>
  <c r="R3826" i="34"/>
  <c r="R3827" i="34"/>
  <c r="R3828" i="34"/>
  <c r="R3829" i="34"/>
  <c r="R3830" i="34"/>
  <c r="R3831" i="34"/>
  <c r="R3832" i="34"/>
  <c r="R3833" i="34"/>
  <c r="R3834" i="34"/>
  <c r="R3835" i="34"/>
  <c r="R3836" i="34"/>
  <c r="R3837" i="34"/>
  <c r="R3838" i="34"/>
  <c r="R3839" i="34"/>
  <c r="R3840" i="34"/>
  <c r="R3841" i="34"/>
  <c r="R3842" i="34"/>
  <c r="R3843" i="34"/>
  <c r="R3844" i="34"/>
  <c r="R3845" i="34"/>
  <c r="R3846" i="34"/>
  <c r="R3847" i="34"/>
  <c r="R3848" i="34"/>
  <c r="R3849" i="34"/>
  <c r="R3850" i="34"/>
  <c r="R3851" i="34"/>
  <c r="R3852" i="34"/>
  <c r="R3853" i="34"/>
  <c r="R3854" i="34"/>
  <c r="R3855" i="34"/>
  <c r="R3856" i="34"/>
  <c r="R3857" i="34"/>
  <c r="R3858" i="34"/>
  <c r="R3859" i="34"/>
  <c r="R3860" i="34"/>
  <c r="R3861" i="34"/>
  <c r="R3862" i="34"/>
  <c r="R3863" i="34"/>
  <c r="R3864" i="34"/>
  <c r="R3865" i="34"/>
  <c r="R3866" i="34"/>
  <c r="R3867" i="34"/>
  <c r="R3868" i="34"/>
  <c r="R3869" i="34"/>
  <c r="R3870" i="34"/>
  <c r="R3871" i="34"/>
  <c r="R3872" i="34"/>
  <c r="R3873" i="34"/>
  <c r="R3874" i="34"/>
  <c r="R3875" i="34"/>
  <c r="R3876" i="34"/>
  <c r="R3877" i="34"/>
  <c r="R3878" i="34"/>
  <c r="R3879" i="34"/>
  <c r="R3880" i="34"/>
  <c r="R3881" i="34"/>
  <c r="R3882" i="34"/>
  <c r="R3883" i="34"/>
  <c r="R3884" i="34"/>
  <c r="R3885" i="34"/>
  <c r="R3886" i="34"/>
  <c r="R3887" i="34"/>
  <c r="R3888" i="34"/>
  <c r="R3889" i="34"/>
  <c r="R3890" i="34"/>
  <c r="R3891" i="34"/>
  <c r="R3892" i="34"/>
  <c r="R3893" i="34"/>
  <c r="R3894" i="34"/>
  <c r="R3895" i="34"/>
  <c r="R3896" i="34"/>
  <c r="R3897" i="34"/>
  <c r="R3898" i="34"/>
  <c r="R3899" i="34"/>
  <c r="R3900" i="34"/>
  <c r="R3901" i="34"/>
  <c r="R3902" i="34"/>
  <c r="R3903" i="34"/>
  <c r="R3904" i="34"/>
  <c r="R3905" i="34"/>
  <c r="R3906" i="34"/>
  <c r="R3907" i="34"/>
  <c r="R3908" i="34"/>
  <c r="R3909" i="34"/>
  <c r="R3910" i="34"/>
  <c r="R3911" i="34"/>
  <c r="R3912" i="34"/>
  <c r="R3913" i="34"/>
  <c r="R3914" i="34"/>
  <c r="R3915" i="34"/>
  <c r="R3916" i="34"/>
  <c r="R3917" i="34"/>
  <c r="R3918" i="34"/>
  <c r="R3919" i="34"/>
  <c r="R3920" i="34"/>
  <c r="R3921" i="34"/>
  <c r="R3922" i="34"/>
  <c r="R3923" i="34"/>
  <c r="R3924" i="34"/>
  <c r="R3925" i="34"/>
  <c r="R3926" i="34"/>
  <c r="R3927" i="34"/>
  <c r="R3928" i="34"/>
  <c r="R3929" i="34"/>
  <c r="R3930" i="34"/>
  <c r="R3931" i="34"/>
  <c r="R3932" i="34"/>
  <c r="R3933" i="34"/>
  <c r="R3934" i="34"/>
  <c r="R3935" i="34"/>
  <c r="R3936" i="34"/>
  <c r="R3937" i="34"/>
  <c r="R3938" i="34"/>
  <c r="R3939" i="34"/>
  <c r="R3940" i="34"/>
  <c r="R3941" i="34"/>
  <c r="R3942" i="34"/>
  <c r="R3943" i="34"/>
  <c r="R3944" i="34"/>
  <c r="R3945" i="34"/>
  <c r="R3946" i="34"/>
  <c r="R3947" i="34"/>
  <c r="R3948" i="34"/>
  <c r="R3949" i="34"/>
  <c r="R3950" i="34"/>
  <c r="R3951" i="34"/>
  <c r="R3952" i="34"/>
  <c r="R3953" i="34"/>
  <c r="R3954" i="34"/>
  <c r="R3955" i="34"/>
  <c r="R3956" i="34"/>
  <c r="R3957" i="34"/>
  <c r="R3958" i="34"/>
  <c r="R3959" i="34"/>
  <c r="R3960" i="34"/>
  <c r="R3961" i="34"/>
  <c r="R3962" i="34"/>
  <c r="R3963" i="34"/>
  <c r="R3964" i="34"/>
  <c r="R3965" i="34"/>
  <c r="R3966" i="34"/>
  <c r="R3967" i="34"/>
  <c r="R3968" i="34"/>
  <c r="R3969" i="34"/>
  <c r="R3970" i="34"/>
  <c r="R3971" i="34"/>
  <c r="R3972" i="34"/>
  <c r="R3973" i="34"/>
  <c r="R3974" i="34"/>
  <c r="R3975" i="34"/>
  <c r="R3976" i="34"/>
  <c r="R3977" i="34"/>
  <c r="R3978" i="34"/>
  <c r="R3979" i="34"/>
  <c r="R3980" i="34"/>
  <c r="R3981" i="34"/>
  <c r="R3982" i="34"/>
  <c r="R3983" i="34"/>
  <c r="R3984" i="34"/>
  <c r="R3985" i="34"/>
  <c r="R3986" i="34"/>
  <c r="R3987" i="34"/>
  <c r="R3988" i="34"/>
  <c r="R3989" i="34"/>
  <c r="R3990" i="34"/>
  <c r="R3991" i="34"/>
  <c r="R3992" i="34"/>
  <c r="R3993" i="34"/>
  <c r="R3994" i="34"/>
  <c r="R3995" i="34"/>
  <c r="R3996" i="34"/>
  <c r="R3997" i="34"/>
  <c r="R3998" i="34"/>
  <c r="R3999" i="34"/>
  <c r="R4000" i="34"/>
  <c r="R4001" i="34"/>
  <c r="R4002" i="34"/>
  <c r="R4003" i="34"/>
  <c r="R4004" i="34"/>
  <c r="R4005" i="34"/>
  <c r="R4006" i="34"/>
  <c r="R4007" i="34"/>
  <c r="R4008" i="34"/>
  <c r="R4009" i="34"/>
  <c r="R4010" i="34"/>
  <c r="R4011" i="34"/>
  <c r="R4012" i="34"/>
  <c r="R4013" i="34"/>
  <c r="R4014" i="34"/>
  <c r="R4015" i="34"/>
  <c r="R4016" i="34"/>
  <c r="R4017" i="34"/>
  <c r="R4018" i="34"/>
  <c r="R4019" i="34"/>
  <c r="R4020" i="34"/>
  <c r="R4021" i="34"/>
  <c r="R4022" i="34"/>
  <c r="R4023" i="34"/>
  <c r="R4024" i="34"/>
  <c r="R4025" i="34"/>
  <c r="R4026" i="34"/>
  <c r="R4027" i="34"/>
  <c r="R4028" i="34"/>
  <c r="R4029" i="34"/>
  <c r="R4030" i="34"/>
  <c r="R4031" i="34"/>
  <c r="R4032" i="34"/>
  <c r="R4033" i="34"/>
  <c r="R4034" i="34"/>
  <c r="R4035" i="34"/>
  <c r="R4036" i="34"/>
  <c r="R4037" i="34"/>
  <c r="R4038" i="34"/>
  <c r="R4039" i="34"/>
  <c r="R4040" i="34"/>
  <c r="R4041" i="34"/>
  <c r="R4042" i="34"/>
  <c r="R4043" i="34"/>
  <c r="R4044" i="34"/>
  <c r="R4045" i="34"/>
  <c r="R4046" i="34"/>
  <c r="R4047" i="34"/>
  <c r="R4048" i="34"/>
  <c r="R4049" i="34"/>
  <c r="R4050" i="34"/>
  <c r="R4051" i="34"/>
  <c r="R4052" i="34"/>
  <c r="R4053" i="34"/>
  <c r="R4054" i="34"/>
  <c r="R4055" i="34"/>
  <c r="R4056" i="34"/>
  <c r="R4057" i="34"/>
  <c r="R4058" i="34"/>
  <c r="R4059" i="34"/>
  <c r="R4060" i="34"/>
  <c r="R4061" i="34"/>
  <c r="R4062" i="34"/>
  <c r="R4063" i="34"/>
  <c r="R4064" i="34"/>
  <c r="R4065" i="34"/>
  <c r="R4066" i="34"/>
  <c r="R4067" i="34"/>
  <c r="R4068" i="34"/>
  <c r="R4069" i="34"/>
  <c r="R4070" i="34"/>
  <c r="R4071" i="34"/>
  <c r="R4072" i="34"/>
  <c r="R4073" i="34"/>
  <c r="R4074" i="34"/>
  <c r="R4075" i="34"/>
  <c r="R4076" i="34"/>
  <c r="R4077" i="34"/>
  <c r="R4078" i="34"/>
  <c r="R4079" i="34"/>
  <c r="R4080" i="34"/>
  <c r="R4081" i="34"/>
  <c r="R4082" i="34"/>
  <c r="R4083" i="34"/>
  <c r="R4084" i="34"/>
  <c r="R4085" i="34"/>
  <c r="R4086" i="34"/>
  <c r="R4087" i="34"/>
  <c r="R4088" i="34"/>
  <c r="R4089" i="34"/>
  <c r="R4090" i="34"/>
  <c r="R4091" i="34"/>
  <c r="R4092" i="34"/>
  <c r="R4093" i="34"/>
  <c r="R4094" i="34"/>
  <c r="R4095" i="34"/>
  <c r="R4096" i="34"/>
  <c r="R4097" i="34"/>
  <c r="R4098" i="34"/>
  <c r="R4099" i="34"/>
  <c r="R4100" i="34"/>
  <c r="R4101" i="34"/>
  <c r="R4102" i="34"/>
  <c r="R4103" i="34"/>
  <c r="R4104" i="34"/>
  <c r="R4105" i="34"/>
  <c r="R4106" i="34"/>
  <c r="R4107" i="34"/>
  <c r="R4108" i="34"/>
  <c r="R4109" i="34"/>
  <c r="R4110" i="34"/>
  <c r="R4111" i="34"/>
  <c r="R4112" i="34"/>
  <c r="R4113" i="34"/>
  <c r="R4114" i="34"/>
  <c r="R4115" i="34"/>
  <c r="R4116" i="34"/>
  <c r="R4117" i="34"/>
  <c r="R4118" i="34"/>
  <c r="R4119" i="34"/>
  <c r="R4120" i="34"/>
  <c r="R4121" i="34"/>
  <c r="R4122" i="34"/>
  <c r="R4123" i="34"/>
  <c r="R4124" i="34"/>
  <c r="R4125" i="34"/>
  <c r="R4126" i="34"/>
  <c r="R4127" i="34"/>
  <c r="R4128" i="34"/>
  <c r="R4129" i="34"/>
  <c r="R4130" i="34"/>
  <c r="R4131" i="34"/>
  <c r="R4132" i="34"/>
  <c r="R4133" i="34"/>
  <c r="R4134" i="34"/>
  <c r="R4135" i="34"/>
  <c r="R4136" i="34"/>
  <c r="R4137" i="34"/>
  <c r="R4138" i="34"/>
  <c r="R4139" i="34"/>
  <c r="R4140" i="34"/>
  <c r="R4141" i="34"/>
  <c r="R4142" i="34"/>
  <c r="R4143" i="34"/>
  <c r="R4144" i="34"/>
  <c r="R4145" i="34"/>
  <c r="R4146" i="34"/>
  <c r="R4147" i="34"/>
  <c r="R4148" i="34"/>
  <c r="R4149" i="34"/>
  <c r="R4150" i="34"/>
  <c r="R4151" i="34"/>
  <c r="R4152" i="34"/>
  <c r="R4153" i="34"/>
  <c r="R4154" i="34"/>
  <c r="R4155" i="34"/>
  <c r="R4156" i="34"/>
  <c r="R4157" i="34"/>
  <c r="R4158" i="34"/>
  <c r="R4159" i="34"/>
  <c r="R4160" i="34"/>
  <c r="R4161" i="34"/>
  <c r="R4162" i="34"/>
  <c r="R4163" i="34"/>
  <c r="R4164" i="34"/>
  <c r="R4165" i="34"/>
  <c r="R4166" i="34"/>
  <c r="R4167" i="34"/>
  <c r="R4168" i="34"/>
  <c r="R4169" i="34"/>
  <c r="R4170" i="34"/>
  <c r="R4171" i="34"/>
  <c r="R4172" i="34"/>
  <c r="R4173" i="34"/>
  <c r="R4174" i="34"/>
  <c r="R4175" i="34"/>
  <c r="R4176" i="34"/>
  <c r="R4177" i="34"/>
  <c r="R4178" i="34"/>
  <c r="R4179" i="34"/>
  <c r="R4180" i="34"/>
  <c r="R4181" i="34"/>
  <c r="R4182" i="34"/>
  <c r="R4183" i="34"/>
  <c r="R4184" i="34"/>
  <c r="R4185" i="34"/>
  <c r="R4186" i="34"/>
  <c r="R4187" i="34"/>
  <c r="R4188" i="34"/>
  <c r="R4189" i="34"/>
  <c r="R4190" i="34"/>
  <c r="R4191" i="34"/>
  <c r="R4192" i="34"/>
  <c r="R4193" i="34"/>
  <c r="R4194" i="34"/>
  <c r="R4195" i="34"/>
  <c r="R4196" i="34"/>
  <c r="R4197" i="34"/>
  <c r="R4198" i="34"/>
  <c r="R4199" i="34"/>
  <c r="R4200" i="34"/>
  <c r="R4201" i="34"/>
  <c r="R4202" i="34"/>
  <c r="R4203" i="34"/>
  <c r="R4204" i="34"/>
  <c r="R4205" i="34"/>
  <c r="R4206" i="34"/>
  <c r="R4207" i="34"/>
  <c r="R4208" i="34"/>
  <c r="R4209" i="34"/>
  <c r="R4210" i="34"/>
  <c r="R4211" i="34"/>
  <c r="R4212" i="34"/>
  <c r="R4213" i="34"/>
  <c r="R4214" i="34"/>
  <c r="R4215" i="34"/>
  <c r="R4216" i="34"/>
  <c r="R4217" i="34"/>
  <c r="R4218" i="34"/>
  <c r="R4219" i="34"/>
  <c r="R4220" i="34"/>
  <c r="R4221" i="34"/>
  <c r="R4222" i="34"/>
  <c r="R4223" i="34"/>
  <c r="R4224" i="34"/>
  <c r="R4225" i="34"/>
  <c r="R4226" i="34"/>
  <c r="R4227" i="34"/>
  <c r="R4228" i="34"/>
  <c r="R4229" i="34"/>
  <c r="R4230" i="34"/>
  <c r="R4231" i="34"/>
  <c r="R4232" i="34"/>
  <c r="R4233" i="34"/>
  <c r="R4234" i="34"/>
  <c r="R4235" i="34"/>
  <c r="R4236" i="34"/>
  <c r="R4237" i="34"/>
  <c r="R4238" i="34"/>
  <c r="R4239" i="34"/>
  <c r="R4240" i="34"/>
  <c r="R4241" i="34"/>
  <c r="R4242" i="34"/>
  <c r="R4243" i="34"/>
  <c r="R4244" i="34"/>
  <c r="R4245" i="34"/>
  <c r="R4246" i="34"/>
  <c r="R4247" i="34"/>
  <c r="R4248" i="34"/>
  <c r="R4249" i="34"/>
  <c r="R4250" i="34"/>
  <c r="R4251" i="34"/>
  <c r="R4252" i="34"/>
  <c r="R4253" i="34"/>
  <c r="R4254" i="34"/>
  <c r="R4255" i="34"/>
  <c r="R4256" i="34"/>
  <c r="R4257" i="34"/>
  <c r="R4258" i="34"/>
  <c r="R4259" i="34"/>
  <c r="R4260" i="34"/>
  <c r="R4261" i="34"/>
  <c r="R4262" i="34"/>
  <c r="R4263" i="34"/>
  <c r="R4264" i="34"/>
  <c r="R4265" i="34"/>
  <c r="R4266" i="34"/>
  <c r="R4267" i="34"/>
  <c r="R4268" i="34"/>
  <c r="R4269" i="34"/>
  <c r="R4270" i="34"/>
  <c r="R4271" i="34"/>
  <c r="R4272" i="34"/>
  <c r="R4273" i="34"/>
  <c r="R4274" i="34"/>
  <c r="R4275" i="34"/>
  <c r="R4276" i="34"/>
  <c r="R4277" i="34"/>
  <c r="R4278" i="34"/>
  <c r="R4279" i="34"/>
  <c r="R4280" i="34"/>
  <c r="R4281" i="34"/>
  <c r="R4282" i="34"/>
  <c r="R4283" i="34"/>
  <c r="R4284" i="34"/>
  <c r="R4285" i="34"/>
  <c r="R4286" i="34"/>
  <c r="R4287" i="34"/>
  <c r="R4288" i="34"/>
  <c r="R4289" i="34"/>
  <c r="R4290" i="34"/>
  <c r="R4291" i="34"/>
  <c r="R4292" i="34"/>
  <c r="R4293" i="34"/>
  <c r="R4294" i="34"/>
  <c r="R4295" i="34"/>
  <c r="R4296" i="34"/>
  <c r="R4297" i="34"/>
  <c r="R4298" i="34"/>
  <c r="R4299" i="34"/>
  <c r="R4300" i="34"/>
  <c r="R4301" i="34"/>
  <c r="R4302" i="34"/>
  <c r="R4303" i="34"/>
  <c r="R4304" i="34"/>
  <c r="R4305" i="34"/>
  <c r="R4306" i="34"/>
  <c r="R4307" i="34"/>
  <c r="R4308" i="34"/>
  <c r="R4309" i="34"/>
  <c r="R4310" i="34"/>
  <c r="R4311" i="34"/>
  <c r="R4312" i="34"/>
  <c r="R4313" i="34"/>
  <c r="R4314" i="34"/>
  <c r="R4315" i="34"/>
  <c r="R4316" i="34"/>
  <c r="R4317" i="34"/>
  <c r="R4318" i="34"/>
  <c r="R4319" i="34"/>
  <c r="R4320" i="34"/>
  <c r="R4321" i="34"/>
  <c r="R4322" i="34"/>
  <c r="R4323" i="34"/>
  <c r="R4324" i="34"/>
  <c r="R4325" i="34"/>
  <c r="R4326" i="34"/>
  <c r="R4327" i="34"/>
  <c r="R4328" i="34"/>
  <c r="R4329" i="34"/>
  <c r="R4330" i="34"/>
  <c r="R4331" i="34"/>
  <c r="R4332" i="34"/>
  <c r="R4333" i="34"/>
  <c r="R4334" i="34"/>
  <c r="R4335" i="34"/>
  <c r="R4336" i="34"/>
  <c r="R4337" i="34"/>
  <c r="R4338" i="34"/>
  <c r="R4339" i="34"/>
  <c r="R4340" i="34"/>
  <c r="R4341" i="34"/>
  <c r="R4342" i="34"/>
  <c r="R4343" i="34"/>
  <c r="R4344" i="34"/>
  <c r="R4345" i="34"/>
  <c r="R4346" i="34"/>
  <c r="R4347" i="34"/>
  <c r="R4348" i="34"/>
  <c r="R4349" i="34"/>
  <c r="R4350" i="34"/>
  <c r="R4351" i="34"/>
  <c r="R4352" i="34"/>
  <c r="R4353" i="34"/>
  <c r="R4354" i="34"/>
  <c r="R4355" i="34"/>
  <c r="R4356" i="34"/>
  <c r="R4357" i="34"/>
  <c r="R4358" i="34"/>
  <c r="R4359" i="34"/>
  <c r="R4360" i="34"/>
  <c r="R4361" i="34"/>
  <c r="R4362" i="34"/>
  <c r="R4363" i="34"/>
  <c r="R4364" i="34"/>
  <c r="R4365" i="34"/>
  <c r="R4366" i="34"/>
  <c r="R4367" i="34"/>
  <c r="R4368" i="34"/>
  <c r="R4369" i="34"/>
  <c r="R4370" i="34"/>
  <c r="R4371" i="34"/>
  <c r="R4372" i="34"/>
  <c r="R4373" i="34"/>
  <c r="R4374" i="34"/>
  <c r="R4375" i="34"/>
  <c r="R4376" i="34"/>
  <c r="R4377" i="34"/>
  <c r="R4378" i="34"/>
  <c r="R4379" i="34"/>
  <c r="R4380" i="34"/>
  <c r="R4381" i="34"/>
  <c r="R4382" i="34"/>
  <c r="R4383" i="34"/>
  <c r="R4384" i="34"/>
  <c r="R4385" i="34"/>
  <c r="R4386" i="34"/>
  <c r="R4387" i="34"/>
  <c r="R4388" i="34"/>
  <c r="R4389" i="34"/>
  <c r="R4390" i="34"/>
  <c r="R4391" i="34"/>
  <c r="R4392" i="34"/>
  <c r="R4393" i="34"/>
  <c r="R4394" i="34"/>
  <c r="R4395" i="34"/>
  <c r="R4396" i="34"/>
  <c r="R4397" i="34"/>
  <c r="R4398" i="34"/>
  <c r="R4399" i="34"/>
  <c r="R4400" i="34"/>
  <c r="R4401" i="34"/>
  <c r="R4402" i="34"/>
  <c r="R4403" i="34"/>
  <c r="R4404" i="34"/>
  <c r="R4405" i="34"/>
  <c r="R4406" i="34"/>
  <c r="R4407" i="34"/>
  <c r="R4408" i="34"/>
  <c r="R4409" i="34"/>
  <c r="R4410" i="34"/>
  <c r="R4411" i="34"/>
  <c r="R4412" i="34"/>
  <c r="R4413" i="34"/>
  <c r="R4414" i="34"/>
  <c r="R4415" i="34"/>
  <c r="R4416" i="34"/>
  <c r="R4417" i="34"/>
  <c r="R4418" i="34"/>
  <c r="R4419" i="34"/>
  <c r="R4420" i="34"/>
  <c r="R4421" i="34"/>
  <c r="R4422" i="34"/>
  <c r="R4423" i="34"/>
  <c r="R4424" i="34"/>
  <c r="R4425" i="34"/>
  <c r="R4426" i="34"/>
  <c r="R4427" i="34"/>
  <c r="R4428" i="34"/>
  <c r="R4429" i="34"/>
  <c r="R4430" i="34"/>
  <c r="R4431" i="34"/>
  <c r="R4432" i="34"/>
  <c r="R4433" i="34"/>
  <c r="R4434" i="34"/>
  <c r="R4435" i="34"/>
  <c r="R4436" i="34"/>
  <c r="R4437" i="34"/>
  <c r="R4438" i="34"/>
  <c r="R4439" i="34"/>
  <c r="R4440" i="34"/>
  <c r="R4441" i="34"/>
  <c r="R4442" i="34"/>
  <c r="R4443" i="34"/>
  <c r="R4444" i="34"/>
  <c r="R4445" i="34"/>
  <c r="R4446" i="34"/>
  <c r="R4447" i="34"/>
  <c r="R4448" i="34"/>
  <c r="R4449" i="34"/>
  <c r="R4450" i="34"/>
  <c r="R4451" i="34"/>
  <c r="R4452" i="34"/>
  <c r="R4453" i="34"/>
  <c r="R4454" i="34"/>
  <c r="R4455" i="34"/>
  <c r="R4456" i="34"/>
  <c r="R4457" i="34"/>
  <c r="R4458" i="34"/>
  <c r="R4459" i="34"/>
  <c r="R4460" i="34"/>
  <c r="R4461" i="34"/>
  <c r="R4462" i="34"/>
  <c r="R4463" i="34"/>
  <c r="R4464" i="34"/>
  <c r="R4465" i="34"/>
  <c r="R4466" i="34"/>
  <c r="R4467" i="34"/>
  <c r="R4468" i="34"/>
  <c r="R4469" i="34"/>
  <c r="R4470" i="34"/>
  <c r="R4471" i="34"/>
  <c r="R4472" i="34"/>
  <c r="R4473" i="34"/>
  <c r="R4474" i="34"/>
  <c r="R4475" i="34"/>
  <c r="R4476" i="34"/>
  <c r="R4477" i="34"/>
  <c r="R4478" i="34"/>
  <c r="R4479" i="34"/>
  <c r="R4480" i="34"/>
  <c r="R4481" i="34"/>
  <c r="R4482" i="34"/>
  <c r="R4483" i="34"/>
  <c r="R4484" i="34"/>
  <c r="R4485" i="34"/>
  <c r="R4486" i="34"/>
  <c r="R4487" i="34"/>
  <c r="R4488" i="34"/>
  <c r="R4489" i="34"/>
  <c r="R4490" i="34"/>
  <c r="R4491" i="34"/>
  <c r="R4492" i="34"/>
  <c r="R4493" i="34"/>
  <c r="R4494" i="34"/>
  <c r="R4495" i="34"/>
  <c r="R4496" i="34"/>
  <c r="R4497" i="34"/>
  <c r="R4498" i="34"/>
  <c r="R4499" i="34"/>
  <c r="R4500" i="34"/>
  <c r="R4501" i="34"/>
  <c r="R4502" i="34"/>
  <c r="R4503" i="34"/>
  <c r="R4504" i="34"/>
  <c r="R4505" i="34"/>
  <c r="R4506" i="34"/>
  <c r="R4507" i="34"/>
  <c r="R4508" i="34"/>
  <c r="R4509" i="34"/>
  <c r="R4510" i="34"/>
  <c r="R4511" i="34"/>
  <c r="R4512" i="34"/>
  <c r="R4513" i="34"/>
  <c r="R4514" i="34"/>
  <c r="R4515" i="34"/>
  <c r="R4516" i="34"/>
  <c r="R4517" i="34"/>
  <c r="R4518" i="34"/>
  <c r="R4519" i="34"/>
  <c r="R4520" i="34"/>
  <c r="R4521" i="34"/>
  <c r="R4522" i="34"/>
  <c r="R4523" i="34"/>
  <c r="R4524" i="34"/>
  <c r="R4525" i="34"/>
  <c r="R4526" i="34"/>
  <c r="R4527" i="34"/>
  <c r="R4528" i="34"/>
  <c r="R4529" i="34"/>
  <c r="R4530" i="34"/>
  <c r="R4531" i="34"/>
  <c r="R4532" i="34"/>
  <c r="R4533" i="34"/>
  <c r="R4534" i="34"/>
  <c r="R4535" i="34"/>
  <c r="R4536" i="34"/>
  <c r="R4537" i="34"/>
  <c r="R4538" i="34"/>
  <c r="R4539" i="34"/>
  <c r="R4540" i="34"/>
  <c r="R4541" i="34"/>
  <c r="R4542" i="34"/>
  <c r="R4543" i="34"/>
  <c r="R4544" i="34"/>
  <c r="R4545" i="34"/>
  <c r="R4546" i="34"/>
  <c r="R4547" i="34"/>
  <c r="R4548" i="34"/>
  <c r="R4549" i="34"/>
  <c r="R4550" i="34"/>
  <c r="R4551" i="34"/>
  <c r="R4552" i="34"/>
  <c r="R4553" i="34"/>
  <c r="R4554" i="34"/>
  <c r="R4555" i="34"/>
  <c r="R4556" i="34"/>
  <c r="R4557" i="34"/>
  <c r="R4558" i="34"/>
  <c r="R4559" i="34"/>
  <c r="R4560" i="34"/>
  <c r="R4561" i="34"/>
  <c r="R4562" i="34"/>
  <c r="R4563" i="34"/>
  <c r="R4564" i="34"/>
  <c r="R4565" i="34"/>
  <c r="R4566" i="34"/>
  <c r="R4567" i="34"/>
  <c r="R4568" i="34"/>
  <c r="R4569" i="34"/>
  <c r="R4570" i="34"/>
  <c r="R4571" i="34"/>
  <c r="R4572" i="34"/>
  <c r="R4573" i="34"/>
  <c r="R4574" i="34"/>
  <c r="R4575" i="34"/>
  <c r="R4576" i="34"/>
  <c r="R4577" i="34"/>
  <c r="R4578" i="34"/>
  <c r="R4579" i="34"/>
  <c r="R4580" i="34"/>
  <c r="R4581" i="34"/>
  <c r="R4582" i="34"/>
  <c r="R4583" i="34"/>
  <c r="R4584" i="34"/>
  <c r="R4585" i="34"/>
  <c r="R4586" i="34"/>
  <c r="R4587" i="34"/>
  <c r="R4588" i="34"/>
  <c r="R4589" i="34"/>
  <c r="R4590" i="34"/>
  <c r="R4591" i="34"/>
  <c r="R4592" i="34"/>
  <c r="R4593" i="34"/>
  <c r="R4594" i="34"/>
  <c r="R4595" i="34"/>
  <c r="R4596" i="34"/>
  <c r="R4597" i="34"/>
  <c r="R4598" i="34"/>
  <c r="R4599" i="34"/>
  <c r="R4600" i="34"/>
  <c r="R4601" i="34"/>
  <c r="R4602" i="34"/>
  <c r="R4603" i="34"/>
  <c r="R4604" i="34"/>
  <c r="R4605" i="34"/>
  <c r="R4606" i="34"/>
  <c r="R4607" i="34"/>
  <c r="R4608" i="34"/>
  <c r="R4609" i="34"/>
  <c r="R4610" i="34"/>
  <c r="R4611" i="34"/>
  <c r="R4612" i="34"/>
  <c r="R4613" i="34"/>
  <c r="R4614" i="34"/>
  <c r="R4615" i="34"/>
  <c r="R4616" i="34"/>
  <c r="R4617" i="34"/>
  <c r="R4618" i="34"/>
  <c r="R4619" i="34"/>
  <c r="R4620" i="34"/>
  <c r="R4621" i="34"/>
  <c r="R4622" i="34"/>
  <c r="R4623" i="34"/>
  <c r="R4624" i="34"/>
  <c r="R4625" i="34"/>
  <c r="R4626" i="34"/>
  <c r="R4627" i="34"/>
  <c r="R4628" i="34"/>
  <c r="R4629" i="34"/>
  <c r="R4630" i="34"/>
  <c r="R4631" i="34"/>
  <c r="R4632" i="34"/>
  <c r="R4633" i="34"/>
  <c r="R4634" i="34"/>
  <c r="R4635" i="34"/>
  <c r="R4636" i="34"/>
  <c r="R4637" i="34"/>
  <c r="R4638" i="34"/>
  <c r="R4639" i="34"/>
  <c r="R4640" i="34"/>
  <c r="R4641" i="34"/>
  <c r="R4642" i="34"/>
  <c r="R4643" i="34"/>
  <c r="R4644" i="34"/>
  <c r="R4645" i="34"/>
  <c r="R4646" i="34"/>
  <c r="R4647" i="34"/>
  <c r="R4648" i="34"/>
  <c r="R4649" i="34"/>
  <c r="R4650" i="34"/>
  <c r="R4651" i="34"/>
  <c r="R4652" i="34"/>
  <c r="R4653" i="34"/>
  <c r="R4654" i="34"/>
  <c r="R4655" i="34"/>
  <c r="R4656" i="34"/>
  <c r="R4657" i="34"/>
  <c r="R4658" i="34"/>
  <c r="R4659" i="34"/>
  <c r="R4660" i="34"/>
  <c r="R4661" i="34"/>
  <c r="R4662" i="34"/>
  <c r="R4663" i="34"/>
  <c r="R4664" i="34"/>
  <c r="R4665" i="34"/>
  <c r="R4666" i="34"/>
  <c r="R4667" i="34"/>
  <c r="R4668" i="34"/>
  <c r="R4669" i="34"/>
  <c r="R4670" i="34"/>
  <c r="R4671" i="34"/>
  <c r="R4672" i="34"/>
  <c r="R4673" i="34"/>
  <c r="R4674" i="34"/>
  <c r="R4675" i="34"/>
  <c r="R4676" i="34"/>
  <c r="R4677" i="34"/>
  <c r="R4678" i="34"/>
  <c r="R4679" i="34"/>
  <c r="R4680" i="34"/>
  <c r="R4681" i="34"/>
  <c r="R4682" i="34"/>
  <c r="R4683" i="34"/>
  <c r="R4684" i="34"/>
  <c r="R4685" i="34"/>
  <c r="R4686" i="34"/>
  <c r="R4687" i="34"/>
  <c r="R4688" i="34"/>
  <c r="R4689" i="34"/>
  <c r="R4690" i="34"/>
  <c r="R4691" i="34"/>
  <c r="R4692" i="34"/>
  <c r="R4693" i="34"/>
  <c r="R4694" i="34"/>
  <c r="R4695" i="34"/>
  <c r="R4696" i="34"/>
  <c r="R4697" i="34"/>
  <c r="R4698" i="34"/>
  <c r="R4699" i="34"/>
  <c r="R4700" i="34"/>
  <c r="R4701" i="34"/>
  <c r="R4702" i="34"/>
  <c r="R4703" i="34"/>
  <c r="R4704" i="34"/>
  <c r="R4705" i="34"/>
  <c r="R4706" i="34"/>
  <c r="R4707" i="34"/>
  <c r="R4708" i="34"/>
  <c r="R4709" i="34"/>
  <c r="R4710" i="34"/>
  <c r="R4711" i="34"/>
  <c r="R4712" i="34"/>
  <c r="R4713" i="34"/>
  <c r="R4714" i="34"/>
  <c r="R4715" i="34"/>
  <c r="R4716" i="34"/>
  <c r="R4717" i="34"/>
  <c r="R4718" i="34"/>
  <c r="R4719" i="34"/>
  <c r="R4720" i="34"/>
  <c r="R4721" i="34"/>
  <c r="R4722" i="34"/>
  <c r="R4723" i="34"/>
  <c r="R4724" i="34"/>
  <c r="R4725" i="34"/>
  <c r="R4726" i="34"/>
  <c r="R4727" i="34"/>
  <c r="R4728" i="34"/>
  <c r="R4729" i="34"/>
  <c r="R4730" i="34"/>
  <c r="R4731" i="34"/>
  <c r="R4732" i="34"/>
  <c r="R4733" i="34"/>
  <c r="R4734" i="34"/>
  <c r="R4735" i="34"/>
  <c r="R4736" i="34"/>
  <c r="R4737" i="34"/>
  <c r="R4738" i="34"/>
  <c r="R4739" i="34"/>
  <c r="R4740" i="34"/>
  <c r="R4741" i="34"/>
  <c r="R4742" i="34"/>
  <c r="R4743" i="34"/>
  <c r="R4744" i="34"/>
  <c r="R4745" i="34"/>
  <c r="R4746" i="34"/>
  <c r="R4747" i="34"/>
  <c r="R4748" i="34"/>
  <c r="R4749" i="34"/>
  <c r="R4750" i="34"/>
  <c r="R4751" i="34"/>
  <c r="R4752" i="34"/>
  <c r="R4753" i="34"/>
  <c r="R4754" i="34"/>
  <c r="R4755" i="34"/>
  <c r="R4756" i="34"/>
  <c r="R4757" i="34"/>
  <c r="R4758" i="34"/>
  <c r="R4759" i="34"/>
  <c r="R4760" i="34"/>
  <c r="R4761" i="34"/>
  <c r="R4762" i="34"/>
  <c r="R4763" i="34"/>
  <c r="R4764" i="34"/>
  <c r="R4765" i="34"/>
  <c r="R4766" i="34"/>
  <c r="R4767" i="34"/>
  <c r="R4768" i="34"/>
  <c r="R4769" i="34"/>
  <c r="R4770" i="34"/>
  <c r="R4771" i="34"/>
  <c r="R4772" i="34"/>
  <c r="R4773" i="34"/>
  <c r="R4774" i="34"/>
  <c r="R4775" i="34"/>
  <c r="R4776" i="34"/>
  <c r="R4777" i="34"/>
  <c r="R4778" i="34"/>
  <c r="R4779" i="34"/>
  <c r="R4780" i="34"/>
  <c r="R4781" i="34"/>
  <c r="R4782" i="34"/>
  <c r="R4783" i="34"/>
  <c r="R4784" i="34"/>
  <c r="R4785" i="34"/>
  <c r="R4786" i="34"/>
  <c r="R4787" i="34"/>
  <c r="R4788" i="34"/>
  <c r="R4789" i="34"/>
  <c r="R4790" i="34"/>
  <c r="R4791" i="34"/>
  <c r="R4792" i="34"/>
  <c r="R4793" i="34"/>
  <c r="R4794" i="34"/>
  <c r="R4795" i="34"/>
  <c r="R4796" i="34"/>
  <c r="R4797" i="34"/>
  <c r="R4798" i="34"/>
  <c r="R4799" i="34"/>
  <c r="R4800" i="34"/>
  <c r="R4801" i="34"/>
  <c r="R4802" i="34"/>
  <c r="R4803" i="34"/>
  <c r="R4804" i="34"/>
  <c r="R4805" i="34"/>
  <c r="R4806" i="34"/>
  <c r="R4807" i="34"/>
  <c r="R4808" i="34"/>
  <c r="R4809" i="34"/>
  <c r="R4810" i="34"/>
  <c r="R4811" i="34"/>
  <c r="R4812" i="34"/>
  <c r="R4813" i="34"/>
  <c r="R4814" i="34"/>
  <c r="R4815" i="34"/>
  <c r="R4816" i="34"/>
  <c r="R4817" i="34"/>
  <c r="R4818" i="34"/>
  <c r="R4819" i="34"/>
  <c r="R4820" i="34"/>
  <c r="R4821" i="34"/>
  <c r="R4822" i="34"/>
  <c r="R4823" i="34"/>
  <c r="R4824" i="34"/>
  <c r="R4825" i="34"/>
  <c r="R4826" i="34"/>
  <c r="R4827" i="34"/>
  <c r="R4828" i="34"/>
  <c r="R4829" i="34"/>
  <c r="R4830" i="34"/>
  <c r="R4831" i="34"/>
  <c r="R4832" i="34"/>
  <c r="R4833" i="34"/>
  <c r="R4834" i="34"/>
  <c r="R4835" i="34"/>
  <c r="R4836" i="34"/>
  <c r="R4837" i="34"/>
  <c r="R4838" i="34"/>
  <c r="R4839" i="34"/>
  <c r="R4840" i="34"/>
  <c r="R4841" i="34"/>
  <c r="R4842" i="34"/>
  <c r="R4843" i="34"/>
  <c r="R4844" i="34"/>
  <c r="R4845" i="34"/>
  <c r="R4846" i="34"/>
  <c r="R4847" i="34"/>
  <c r="R4848" i="34"/>
  <c r="R4849" i="34"/>
  <c r="R4850" i="34"/>
  <c r="R4851" i="34"/>
  <c r="R4852" i="34"/>
  <c r="R4853" i="34"/>
  <c r="R4854" i="34"/>
  <c r="R4855" i="34"/>
  <c r="R4856" i="34"/>
  <c r="R4857" i="34"/>
  <c r="R4858" i="34"/>
  <c r="R4859" i="34"/>
  <c r="R4860" i="34"/>
  <c r="R4861" i="34"/>
  <c r="R4862" i="34"/>
  <c r="R4863" i="34"/>
  <c r="R4864" i="34"/>
  <c r="R4865" i="34"/>
  <c r="R4866" i="34"/>
  <c r="R4867" i="34"/>
  <c r="R4868" i="34"/>
  <c r="R4869" i="34"/>
  <c r="R4870" i="34"/>
  <c r="R4871" i="34"/>
  <c r="R4872" i="34"/>
  <c r="R4873" i="34"/>
  <c r="R4874" i="34"/>
  <c r="R4875" i="34"/>
  <c r="R4876" i="34"/>
  <c r="R4877" i="34"/>
  <c r="R4878" i="34"/>
  <c r="R4879" i="34"/>
  <c r="R4880" i="34"/>
  <c r="R4881" i="34"/>
  <c r="R4882" i="34"/>
  <c r="R4883" i="34"/>
  <c r="R4884" i="34"/>
  <c r="R4885" i="34"/>
  <c r="R4886" i="34"/>
  <c r="R4887" i="34"/>
  <c r="R4888" i="34"/>
  <c r="R4889" i="34"/>
  <c r="R4890" i="34"/>
  <c r="R4891" i="34"/>
  <c r="R4892" i="34"/>
  <c r="R4893" i="34"/>
  <c r="R4894" i="34"/>
  <c r="R4895" i="34"/>
  <c r="R4896" i="34"/>
  <c r="R4897" i="34"/>
  <c r="R4898" i="34"/>
  <c r="R4899" i="34"/>
  <c r="R4900" i="34"/>
  <c r="R4901" i="34"/>
  <c r="R4902" i="34"/>
  <c r="R4903" i="34"/>
  <c r="R4904" i="34"/>
  <c r="R4905" i="34"/>
  <c r="R4906" i="34"/>
  <c r="R4907" i="34"/>
  <c r="R4908" i="34"/>
  <c r="R4909" i="34"/>
  <c r="R4910" i="34"/>
  <c r="R4911" i="34"/>
  <c r="R4912" i="34"/>
  <c r="R4913" i="34"/>
  <c r="R4914" i="34"/>
  <c r="R4915" i="34"/>
  <c r="R4916" i="34"/>
  <c r="R4917" i="34"/>
  <c r="R4918" i="34"/>
  <c r="R4919" i="34"/>
  <c r="R4920" i="34"/>
  <c r="R4921" i="34"/>
  <c r="R4922" i="34"/>
  <c r="R4923" i="34"/>
  <c r="R4924" i="34"/>
  <c r="R4925" i="34"/>
  <c r="R4926" i="34"/>
  <c r="R4927" i="34"/>
  <c r="R4928" i="34"/>
  <c r="R4929" i="34"/>
  <c r="R4930" i="34"/>
  <c r="R4931" i="34"/>
  <c r="R4932" i="34"/>
  <c r="R4933" i="34"/>
  <c r="R4934" i="34"/>
  <c r="R4935" i="34"/>
  <c r="R4936" i="34"/>
  <c r="R4937" i="34"/>
  <c r="R4938" i="34"/>
  <c r="R4939" i="34"/>
  <c r="R4940" i="34"/>
  <c r="R4941" i="34"/>
  <c r="R4942" i="34"/>
  <c r="R4943" i="34"/>
  <c r="R4944" i="34"/>
  <c r="R4945" i="34"/>
  <c r="R4946" i="34"/>
  <c r="R4947" i="34"/>
  <c r="R4948" i="34"/>
  <c r="R4949" i="34"/>
  <c r="R4950" i="34"/>
  <c r="R4951" i="34"/>
  <c r="R4952" i="34"/>
  <c r="R4953" i="34"/>
  <c r="R4954" i="34"/>
  <c r="R4955" i="34"/>
  <c r="R4956" i="34"/>
  <c r="R4957" i="34"/>
  <c r="R4958" i="34"/>
  <c r="R4959" i="34"/>
  <c r="R4960" i="34"/>
  <c r="R4961" i="34"/>
  <c r="R4962" i="34"/>
  <c r="R4963" i="34"/>
  <c r="R4964" i="34"/>
  <c r="R4965" i="34"/>
  <c r="R4966" i="34"/>
  <c r="R4967" i="34"/>
  <c r="R4968" i="34"/>
  <c r="R4969" i="34"/>
  <c r="R4970" i="34"/>
  <c r="R4971" i="34"/>
  <c r="R4972" i="34"/>
  <c r="R4973" i="34"/>
  <c r="R4974" i="34"/>
  <c r="R4975" i="34"/>
  <c r="R4976" i="34"/>
  <c r="R4977" i="34"/>
  <c r="R4978" i="34"/>
  <c r="R4979" i="34"/>
  <c r="R4980" i="34"/>
  <c r="R4981" i="34"/>
  <c r="R4982" i="34"/>
  <c r="R4983" i="34"/>
  <c r="R4984" i="34"/>
  <c r="R4985" i="34"/>
  <c r="R4986" i="34"/>
  <c r="R4987" i="34"/>
  <c r="R4988" i="34"/>
  <c r="R4989" i="34"/>
  <c r="R4990" i="34"/>
  <c r="R4991" i="34"/>
  <c r="R4992" i="34"/>
  <c r="R4993" i="34"/>
  <c r="R4994" i="34"/>
  <c r="R4995" i="34"/>
  <c r="R4996" i="34"/>
  <c r="R4997" i="34"/>
  <c r="R4998" i="34"/>
  <c r="R4999" i="34"/>
  <c r="R5000" i="34"/>
  <c r="R5001" i="34"/>
  <c r="R5002" i="34"/>
  <c r="R5003" i="34"/>
  <c r="R5004" i="34"/>
  <c r="R5005" i="34"/>
  <c r="R5006" i="34"/>
  <c r="R5007" i="34"/>
  <c r="R5008" i="34"/>
  <c r="R5009" i="34"/>
  <c r="R5010" i="34"/>
  <c r="R5011" i="34"/>
  <c r="R5012" i="34"/>
  <c r="R5013" i="34"/>
  <c r="R5014" i="34"/>
  <c r="R5015" i="34"/>
  <c r="R5016" i="34"/>
  <c r="R5017" i="34"/>
  <c r="R5018" i="34"/>
  <c r="R5019" i="34"/>
  <c r="R5020" i="34"/>
  <c r="R5021" i="34"/>
  <c r="R5022" i="34"/>
  <c r="R5023" i="34"/>
  <c r="R5024" i="34"/>
  <c r="R5025" i="34"/>
  <c r="R5026" i="34"/>
  <c r="R5027" i="34"/>
  <c r="R5028" i="34"/>
  <c r="R5029" i="34"/>
  <c r="R5030" i="34"/>
  <c r="R5031" i="34"/>
  <c r="R5032" i="34"/>
  <c r="R5033" i="34"/>
  <c r="R5034" i="34"/>
  <c r="R5035" i="34"/>
  <c r="R5036" i="34"/>
  <c r="R5037" i="34"/>
  <c r="R5038" i="34"/>
  <c r="R5039" i="34"/>
  <c r="R5040" i="34"/>
  <c r="R5041" i="34"/>
  <c r="R5042" i="34"/>
  <c r="R5043" i="34"/>
  <c r="R5044" i="34"/>
  <c r="R5045" i="34"/>
  <c r="R5046" i="34"/>
  <c r="R5047" i="34"/>
  <c r="R5048" i="34"/>
  <c r="R5049" i="34"/>
  <c r="R5050" i="34"/>
  <c r="R5051" i="34"/>
  <c r="R5052" i="34"/>
  <c r="R5053" i="34"/>
  <c r="R5054" i="34"/>
  <c r="R5055" i="34"/>
  <c r="R5056" i="34"/>
  <c r="R5057" i="34"/>
  <c r="R5058" i="34"/>
  <c r="R5059" i="34"/>
  <c r="R5060" i="34"/>
  <c r="R5061" i="34"/>
  <c r="R5062" i="34"/>
  <c r="R5063" i="34"/>
  <c r="R5064" i="34"/>
  <c r="R5065" i="34"/>
  <c r="R5066" i="34"/>
  <c r="R5067" i="34"/>
  <c r="R5068" i="34"/>
  <c r="R5069" i="34"/>
  <c r="R5070" i="34"/>
  <c r="R5071" i="34"/>
  <c r="R5072" i="34"/>
  <c r="R5073" i="34"/>
  <c r="R5074" i="34"/>
  <c r="R5075" i="34"/>
  <c r="R5076" i="34"/>
  <c r="R5077" i="34"/>
  <c r="R5078" i="34"/>
  <c r="R5079" i="34"/>
  <c r="R5080" i="34"/>
  <c r="R5081" i="34"/>
  <c r="R5082" i="34"/>
  <c r="R5083" i="34"/>
  <c r="R5084" i="34"/>
  <c r="R5085" i="34"/>
  <c r="R5086" i="34"/>
  <c r="R5087" i="34"/>
  <c r="R5088" i="34"/>
  <c r="R5089" i="34"/>
  <c r="R5090" i="34"/>
  <c r="R5091" i="34"/>
  <c r="R5092" i="34"/>
  <c r="R5093" i="34"/>
  <c r="R5094" i="34"/>
  <c r="R5095" i="34"/>
  <c r="R5096" i="34"/>
  <c r="R5097" i="34"/>
  <c r="R5098" i="34"/>
  <c r="R5099" i="34"/>
  <c r="R5100" i="34"/>
  <c r="R5101" i="34"/>
  <c r="R5102" i="34"/>
  <c r="R5103" i="34"/>
  <c r="R5104" i="34"/>
  <c r="R5105" i="34"/>
  <c r="R5106" i="34"/>
  <c r="R5107" i="34"/>
  <c r="R5108" i="34"/>
  <c r="R5109" i="34"/>
  <c r="R5110" i="34"/>
  <c r="R5111" i="34"/>
  <c r="R5112" i="34"/>
  <c r="R5113" i="34"/>
  <c r="R5114" i="34"/>
  <c r="R5115" i="34"/>
  <c r="R5116" i="34"/>
  <c r="R5117" i="34"/>
  <c r="R5118" i="34"/>
  <c r="R5119" i="34"/>
  <c r="R5120" i="34"/>
  <c r="R5121" i="34"/>
  <c r="R5122" i="34"/>
  <c r="R5123" i="34"/>
  <c r="R5124" i="34"/>
  <c r="R5125" i="34"/>
  <c r="R5126" i="34"/>
  <c r="R5127" i="34"/>
  <c r="R5128" i="34"/>
  <c r="R5129" i="34"/>
  <c r="R5130" i="34"/>
  <c r="R5131" i="34"/>
  <c r="R5132" i="34"/>
  <c r="R5133" i="34"/>
  <c r="R5134" i="34"/>
  <c r="R5135" i="34"/>
  <c r="R5136" i="34"/>
  <c r="R5137" i="34"/>
  <c r="R5138" i="34"/>
  <c r="R5139" i="34"/>
  <c r="R5140" i="34"/>
  <c r="R5141" i="34"/>
  <c r="R5142" i="34"/>
  <c r="R5143" i="34"/>
  <c r="R5144" i="34"/>
  <c r="R5145" i="34"/>
  <c r="R5146" i="34"/>
  <c r="R5147" i="34"/>
  <c r="R5148" i="34"/>
  <c r="R5149" i="34"/>
  <c r="R5150" i="34"/>
  <c r="R5151" i="34"/>
  <c r="R5152" i="34"/>
  <c r="R5153" i="34"/>
  <c r="R5154" i="34"/>
  <c r="R5155" i="34"/>
  <c r="R5156" i="34"/>
  <c r="R5157" i="34"/>
  <c r="R5158" i="34"/>
  <c r="R5159" i="34"/>
  <c r="R5160" i="34"/>
  <c r="R5161" i="34"/>
  <c r="R5162" i="34"/>
  <c r="R5163" i="34"/>
  <c r="R5164" i="34"/>
  <c r="R5165" i="34"/>
  <c r="R5166" i="34"/>
  <c r="R5167" i="34"/>
  <c r="R5168" i="34"/>
  <c r="R5169" i="34"/>
  <c r="R5170" i="34"/>
  <c r="R5171" i="34"/>
  <c r="R5172" i="34"/>
  <c r="R5173" i="34"/>
  <c r="R5174" i="34"/>
  <c r="R5175" i="34"/>
  <c r="R5176" i="34"/>
  <c r="R5177" i="34"/>
  <c r="R5178" i="34"/>
  <c r="R5179" i="34"/>
  <c r="R5180" i="34"/>
  <c r="R5181" i="34"/>
  <c r="R5182" i="34"/>
  <c r="R5183" i="34"/>
  <c r="R5184" i="34"/>
  <c r="R5185" i="34"/>
  <c r="R5186" i="34"/>
  <c r="R5187" i="34"/>
  <c r="R5188" i="34"/>
  <c r="R5189" i="34"/>
  <c r="R5190" i="34"/>
  <c r="R5191" i="34"/>
  <c r="R5192" i="34"/>
  <c r="R5193" i="34"/>
  <c r="R5194" i="34"/>
  <c r="R5195" i="34"/>
  <c r="R5196" i="34"/>
  <c r="R5197" i="34"/>
  <c r="R5198" i="34"/>
  <c r="R5199" i="34"/>
  <c r="R5200" i="34"/>
  <c r="R5201" i="34"/>
  <c r="R5202" i="34"/>
  <c r="R5203" i="34"/>
  <c r="R5204" i="34"/>
  <c r="R5205" i="34"/>
  <c r="R5206" i="34"/>
  <c r="R5207" i="34"/>
  <c r="R5208" i="34"/>
  <c r="R5209" i="34"/>
  <c r="R5210" i="34"/>
  <c r="R5211" i="34"/>
  <c r="R5212" i="34"/>
  <c r="R5213" i="34"/>
  <c r="R5214" i="34"/>
  <c r="R5215" i="34"/>
  <c r="R5216" i="34"/>
  <c r="R5217" i="34"/>
  <c r="R5218" i="34"/>
  <c r="R5219" i="34"/>
  <c r="R5220" i="34"/>
  <c r="R5221" i="34"/>
  <c r="R5222" i="34"/>
  <c r="R5223" i="34"/>
  <c r="R5224" i="34"/>
  <c r="R5225" i="34"/>
  <c r="R5226" i="34"/>
  <c r="R5227" i="34"/>
  <c r="R5228" i="34"/>
  <c r="R5229" i="34"/>
  <c r="R5230" i="34"/>
  <c r="R5231" i="34"/>
  <c r="R5232" i="34"/>
  <c r="R5233" i="34"/>
  <c r="R5234" i="34"/>
  <c r="R5235" i="34"/>
  <c r="R5236" i="34"/>
  <c r="R5237" i="34"/>
  <c r="R5238" i="34"/>
  <c r="R5239" i="34"/>
  <c r="R5240" i="34"/>
  <c r="R5241" i="34"/>
  <c r="R5242" i="34"/>
  <c r="R5243" i="34"/>
  <c r="R5244" i="34"/>
  <c r="R5245" i="34"/>
  <c r="R5246" i="34"/>
  <c r="R5247" i="34"/>
  <c r="R5248" i="34"/>
  <c r="R5249" i="34"/>
  <c r="R5250" i="34"/>
  <c r="R5251" i="34"/>
  <c r="R5252" i="34"/>
  <c r="R5253" i="34"/>
  <c r="R5254" i="34"/>
  <c r="R5255" i="34"/>
  <c r="R5256" i="34"/>
  <c r="R5257" i="34"/>
  <c r="R5258" i="34"/>
  <c r="R5259" i="34"/>
  <c r="R5260" i="34"/>
  <c r="R5261" i="34"/>
  <c r="R5262" i="34"/>
  <c r="R5263" i="34"/>
  <c r="R5264" i="34"/>
  <c r="R5265" i="34"/>
  <c r="R5266" i="34"/>
  <c r="R5267" i="34"/>
  <c r="R5268" i="34"/>
  <c r="R5269" i="34"/>
  <c r="R5270" i="34"/>
  <c r="R5271" i="34"/>
  <c r="R5272" i="34"/>
  <c r="R5273" i="34"/>
  <c r="R5274" i="34"/>
  <c r="R5275" i="34"/>
  <c r="R5276" i="34"/>
  <c r="R5277" i="34"/>
  <c r="R5278" i="34"/>
  <c r="R5279" i="34"/>
  <c r="R5280" i="34"/>
  <c r="R5281" i="34"/>
  <c r="R5282" i="34"/>
  <c r="R5283" i="34"/>
  <c r="R5284" i="34"/>
  <c r="R5285" i="34"/>
  <c r="R5286" i="34"/>
  <c r="R5287" i="34"/>
  <c r="R5288" i="34"/>
  <c r="R5289" i="34"/>
  <c r="R5290" i="34"/>
  <c r="R5291" i="34"/>
  <c r="R5292" i="34"/>
  <c r="R5293" i="34"/>
  <c r="R5294" i="34"/>
  <c r="R5295" i="34"/>
  <c r="R5296" i="34"/>
  <c r="R5297" i="34"/>
  <c r="R5298" i="34"/>
  <c r="R5299" i="34"/>
  <c r="R5300" i="34"/>
  <c r="R5301" i="34"/>
  <c r="R5302" i="34"/>
  <c r="R5303" i="34"/>
  <c r="R5304" i="34"/>
  <c r="R5305" i="34"/>
  <c r="R5306" i="34"/>
  <c r="R5307" i="34"/>
  <c r="R5308" i="34"/>
  <c r="R5309" i="34"/>
  <c r="R5310" i="34"/>
  <c r="R5311" i="34"/>
  <c r="R5312" i="34"/>
  <c r="R5313" i="34"/>
  <c r="R5314" i="34"/>
  <c r="R5315" i="34"/>
  <c r="R5316" i="34"/>
  <c r="R5317" i="34"/>
  <c r="R5318" i="34"/>
  <c r="R5319" i="34"/>
  <c r="R5320" i="34"/>
  <c r="R5321" i="34"/>
  <c r="R5322" i="34"/>
  <c r="R5323" i="34"/>
  <c r="R5324" i="34"/>
  <c r="R5325" i="34"/>
  <c r="R5326" i="34"/>
  <c r="R5327" i="34"/>
  <c r="R5328" i="34"/>
  <c r="R5329" i="34"/>
  <c r="R5330" i="34"/>
  <c r="R5331" i="34"/>
  <c r="R5332" i="34"/>
  <c r="R5333" i="34"/>
  <c r="R5334" i="34"/>
  <c r="R5335" i="34"/>
  <c r="R5336" i="34"/>
  <c r="R5337" i="34"/>
  <c r="R5338" i="34"/>
  <c r="R5339" i="34"/>
  <c r="R5340" i="34"/>
  <c r="R5341" i="34"/>
  <c r="R5342" i="34"/>
  <c r="R5343" i="34"/>
  <c r="R5344" i="34"/>
  <c r="R5345" i="34"/>
  <c r="R5346" i="34"/>
  <c r="R5347" i="34"/>
  <c r="R5348" i="34"/>
  <c r="R5349" i="34"/>
  <c r="R5350" i="34"/>
  <c r="R5351" i="34"/>
  <c r="R5352" i="34"/>
  <c r="R5353" i="34"/>
  <c r="R5354" i="34"/>
  <c r="R5355" i="34"/>
  <c r="R5356" i="34"/>
  <c r="R5357" i="34"/>
  <c r="R5358" i="34"/>
  <c r="R5359" i="34"/>
  <c r="R5360" i="34"/>
  <c r="R5361" i="34"/>
  <c r="R5362" i="34"/>
  <c r="R5363" i="34"/>
  <c r="R5364" i="34"/>
  <c r="R5365" i="34"/>
  <c r="R5366" i="34"/>
  <c r="R5367" i="34"/>
  <c r="R5368" i="34"/>
  <c r="R5369" i="34"/>
  <c r="R5370" i="34"/>
  <c r="R5371" i="34"/>
  <c r="R5372" i="34"/>
  <c r="R5373" i="34"/>
  <c r="R5374" i="34"/>
  <c r="R5375" i="34"/>
  <c r="R5376" i="34"/>
  <c r="R5377" i="34"/>
  <c r="R5378" i="34"/>
  <c r="R5379" i="34"/>
  <c r="R5380" i="34"/>
  <c r="R5381" i="34"/>
  <c r="R5382" i="34"/>
  <c r="R5383" i="34"/>
  <c r="R5384" i="34"/>
  <c r="R5385" i="34"/>
  <c r="R5386" i="34"/>
  <c r="R5387" i="34"/>
  <c r="R5388" i="34"/>
  <c r="R5389" i="34"/>
  <c r="R5390" i="34"/>
  <c r="R5391" i="34"/>
  <c r="R5392" i="34"/>
  <c r="R5393" i="34"/>
  <c r="R5394" i="34"/>
  <c r="R5395" i="34"/>
  <c r="R5396" i="34"/>
  <c r="R5397" i="34"/>
  <c r="R5398" i="34"/>
  <c r="R5399" i="34"/>
  <c r="R5400" i="34"/>
  <c r="R5401" i="34"/>
  <c r="R5402" i="34"/>
  <c r="R5403" i="34"/>
  <c r="R5404" i="34"/>
  <c r="R5405" i="34"/>
  <c r="R5406" i="34"/>
  <c r="R5407" i="34"/>
  <c r="R5408" i="34"/>
  <c r="R5409" i="34"/>
  <c r="R5410" i="34"/>
  <c r="R5411" i="34"/>
  <c r="R5412" i="34"/>
  <c r="R5413" i="34"/>
  <c r="R5414" i="34"/>
  <c r="R5415" i="34"/>
  <c r="R5416" i="34"/>
  <c r="R5417" i="34"/>
  <c r="R5418" i="34"/>
  <c r="R5419" i="34"/>
  <c r="R5420" i="34"/>
  <c r="R5421" i="34"/>
  <c r="R5422" i="34"/>
  <c r="R5423" i="34"/>
  <c r="R5424" i="34"/>
  <c r="R5425" i="34"/>
  <c r="R5426" i="34"/>
  <c r="R5427" i="34"/>
  <c r="R5428" i="34"/>
  <c r="R5429" i="34"/>
  <c r="R5430" i="34"/>
  <c r="R5431" i="34"/>
  <c r="R5432" i="34"/>
  <c r="R5433" i="34"/>
  <c r="R5434" i="34"/>
  <c r="R5435" i="34"/>
  <c r="R5436" i="34"/>
  <c r="R5437" i="34"/>
  <c r="R5438" i="34"/>
  <c r="R5439" i="34"/>
  <c r="R5440" i="34"/>
  <c r="R5441" i="34"/>
  <c r="R5442" i="34"/>
  <c r="R5443" i="34"/>
  <c r="R5444" i="34"/>
  <c r="R5445" i="34"/>
  <c r="R5446" i="34"/>
  <c r="R5447" i="34"/>
  <c r="R5448" i="34"/>
  <c r="R5449" i="34"/>
  <c r="R5450" i="34"/>
  <c r="R5451" i="34"/>
  <c r="R5452" i="34"/>
  <c r="R5453" i="34"/>
  <c r="R5454" i="34"/>
  <c r="R5455" i="34"/>
  <c r="R5456" i="34"/>
  <c r="R5457" i="34"/>
  <c r="R5458" i="34"/>
  <c r="R5459" i="34"/>
  <c r="R5460" i="34"/>
  <c r="R5461" i="34"/>
  <c r="R5462" i="34"/>
  <c r="R5463" i="34"/>
  <c r="R5464" i="34"/>
  <c r="R5465" i="34"/>
  <c r="R5466" i="34"/>
  <c r="R5467" i="34"/>
  <c r="R5468" i="34"/>
  <c r="R5469" i="34"/>
  <c r="R5470" i="34"/>
  <c r="R5471" i="34"/>
  <c r="R5472" i="34"/>
  <c r="R5473" i="34"/>
  <c r="R5474" i="34"/>
  <c r="R5475" i="34"/>
  <c r="R5476" i="34"/>
  <c r="R5477" i="34"/>
  <c r="R5478" i="34"/>
  <c r="R5479" i="34"/>
  <c r="R5480" i="34"/>
  <c r="R5481" i="34"/>
  <c r="R5482" i="34"/>
  <c r="R5483" i="34"/>
  <c r="R5484" i="34"/>
  <c r="R5485" i="34"/>
  <c r="R5486" i="34"/>
  <c r="R5487" i="34"/>
  <c r="R5488" i="34"/>
  <c r="R5489" i="34"/>
  <c r="R5490" i="34"/>
  <c r="R5491" i="34"/>
  <c r="R5492" i="34"/>
  <c r="R5493" i="34"/>
  <c r="R5494" i="34"/>
  <c r="R5495" i="34"/>
  <c r="R5496" i="34"/>
  <c r="R5497" i="34"/>
  <c r="R5498" i="34"/>
  <c r="R5499" i="34"/>
  <c r="R5500" i="34"/>
  <c r="R5501" i="34"/>
  <c r="R5502" i="34"/>
  <c r="R5503" i="34"/>
  <c r="R5504" i="34"/>
  <c r="R5505" i="34"/>
  <c r="R5506" i="34"/>
  <c r="R5507" i="34"/>
  <c r="R5508" i="34"/>
  <c r="R5509" i="34"/>
  <c r="R5510" i="34"/>
  <c r="R5511" i="34"/>
  <c r="R5512" i="34"/>
  <c r="R5513" i="34"/>
  <c r="R5514" i="34"/>
  <c r="R5515" i="34"/>
  <c r="R5516" i="34"/>
  <c r="R5517" i="34"/>
  <c r="R5518" i="34"/>
  <c r="R5519" i="34"/>
  <c r="R5520" i="34"/>
  <c r="R5521" i="34"/>
  <c r="R5522" i="34"/>
  <c r="R5523" i="34"/>
  <c r="R5524" i="34"/>
  <c r="R5525" i="34"/>
  <c r="R5526" i="34"/>
  <c r="R5527" i="34"/>
  <c r="R5528" i="34"/>
  <c r="R5529" i="34"/>
  <c r="R5530" i="34"/>
  <c r="R5531" i="34"/>
  <c r="R5532" i="34"/>
  <c r="R5533" i="34"/>
  <c r="R5534" i="34"/>
  <c r="R5535" i="34"/>
  <c r="R5536" i="34"/>
  <c r="R5537" i="34"/>
  <c r="R5538" i="34"/>
  <c r="R5539" i="34"/>
  <c r="R5540" i="34"/>
  <c r="R5541" i="34"/>
  <c r="R5542" i="34"/>
  <c r="R5543" i="34"/>
  <c r="R5544" i="34"/>
  <c r="R5545" i="34"/>
  <c r="R5546" i="34"/>
  <c r="R5547" i="34"/>
  <c r="R5548" i="34"/>
  <c r="R5549" i="34"/>
  <c r="R5550" i="34"/>
  <c r="R5551" i="34"/>
  <c r="R5552" i="34"/>
  <c r="R5553" i="34"/>
  <c r="R5554" i="34"/>
  <c r="R5555" i="34"/>
  <c r="R5556" i="34"/>
  <c r="R5557" i="34"/>
  <c r="R5558" i="34"/>
  <c r="R5559" i="34"/>
  <c r="R5560" i="34"/>
  <c r="R5561" i="34"/>
  <c r="R5562" i="34"/>
  <c r="R5563" i="34"/>
  <c r="R5564" i="34"/>
  <c r="R5565" i="34"/>
  <c r="R5566" i="34"/>
  <c r="R5567" i="34"/>
  <c r="R5568" i="34"/>
  <c r="R5569" i="34"/>
  <c r="R5570" i="34"/>
  <c r="R5571" i="34"/>
  <c r="R5572" i="34"/>
  <c r="R5573" i="34"/>
  <c r="R5574" i="34"/>
  <c r="R5575" i="34"/>
  <c r="R5576" i="34"/>
  <c r="R5577" i="34"/>
  <c r="R5578" i="34"/>
  <c r="R5579" i="34"/>
  <c r="R5580" i="34"/>
  <c r="R5581" i="34"/>
  <c r="R5582" i="34"/>
  <c r="R5583" i="34"/>
  <c r="R5584" i="34"/>
  <c r="R5585" i="34"/>
  <c r="R5586" i="34"/>
  <c r="R5587" i="34"/>
  <c r="R5588" i="34"/>
  <c r="R5589" i="34"/>
  <c r="R5590" i="34"/>
  <c r="R5591" i="34"/>
  <c r="R5592" i="34"/>
  <c r="R5593" i="34"/>
  <c r="R5594" i="34"/>
  <c r="R5595" i="34"/>
  <c r="R5596" i="34"/>
  <c r="R5597" i="34"/>
  <c r="R5598" i="34"/>
  <c r="R5599" i="34"/>
  <c r="R5600" i="34"/>
  <c r="R5601" i="34"/>
  <c r="R5602" i="34"/>
  <c r="R5603" i="34"/>
  <c r="R5604" i="34"/>
  <c r="R5605" i="34"/>
  <c r="R5606" i="34"/>
  <c r="R5607" i="34"/>
  <c r="R5608" i="34"/>
  <c r="R5609" i="34"/>
  <c r="R5610" i="34"/>
  <c r="R5611" i="34"/>
  <c r="R5612" i="34"/>
  <c r="R5613" i="34"/>
  <c r="R5614" i="34"/>
  <c r="R5615" i="34"/>
  <c r="R5616" i="34"/>
  <c r="R5617" i="34"/>
  <c r="R5618" i="34"/>
  <c r="R5619" i="34"/>
  <c r="R5620" i="34"/>
  <c r="R5621" i="34"/>
  <c r="R5622" i="34"/>
  <c r="R5623" i="34"/>
  <c r="R5624" i="34"/>
  <c r="R5625" i="34"/>
  <c r="R5626" i="34"/>
  <c r="R5627" i="34"/>
  <c r="R5628" i="34"/>
  <c r="R5629" i="34"/>
  <c r="R5630" i="34"/>
  <c r="R5631" i="34"/>
  <c r="R5632" i="34"/>
  <c r="R5633" i="34"/>
  <c r="R5634" i="34"/>
  <c r="R5635" i="34"/>
  <c r="R5636" i="34"/>
  <c r="R5637" i="34"/>
  <c r="R5638" i="34"/>
  <c r="R5639" i="34"/>
  <c r="R5640" i="34"/>
  <c r="R5641" i="34"/>
  <c r="R5642" i="34"/>
  <c r="R5643" i="34"/>
  <c r="R5644" i="34"/>
  <c r="R5645" i="34"/>
  <c r="R5646" i="34"/>
  <c r="R5647" i="34"/>
  <c r="R5648" i="34"/>
  <c r="R5649" i="34"/>
  <c r="R5650" i="34"/>
  <c r="R5651" i="34"/>
  <c r="R5652" i="34"/>
  <c r="R5653" i="34"/>
  <c r="R5654" i="34"/>
  <c r="R5655" i="34"/>
  <c r="R5656" i="34"/>
  <c r="R5657" i="34"/>
  <c r="R5658" i="34"/>
  <c r="R5659" i="34"/>
  <c r="R5660" i="34"/>
  <c r="R5661" i="34"/>
  <c r="R5662" i="34"/>
  <c r="R5663" i="34"/>
  <c r="R5664" i="34"/>
  <c r="R5665" i="34"/>
  <c r="R5666" i="34"/>
  <c r="R5667" i="34"/>
  <c r="R5668" i="34"/>
  <c r="R5669" i="34"/>
  <c r="R5670" i="34"/>
  <c r="R5671" i="34"/>
  <c r="R5672" i="34"/>
  <c r="R5673" i="34"/>
  <c r="R5674" i="34"/>
  <c r="R5675" i="34"/>
  <c r="R5676" i="34"/>
  <c r="R5677" i="34"/>
  <c r="R5678" i="34"/>
  <c r="R5679" i="34"/>
  <c r="R5680" i="34"/>
  <c r="R5681" i="34"/>
  <c r="R5682" i="34"/>
  <c r="R5683" i="34"/>
  <c r="R5684" i="34"/>
  <c r="R5685" i="34"/>
  <c r="R5686" i="34"/>
  <c r="R5687" i="34"/>
  <c r="R5688" i="34"/>
  <c r="R5689" i="34"/>
  <c r="R5690" i="34"/>
  <c r="R5691" i="34"/>
  <c r="R5692" i="34"/>
  <c r="R5693" i="34"/>
  <c r="R5694" i="34"/>
  <c r="R5695" i="34"/>
  <c r="R5696" i="34"/>
  <c r="R5697" i="34"/>
  <c r="R5698" i="34"/>
  <c r="R5699" i="34"/>
  <c r="R5700" i="34"/>
  <c r="R5701" i="34"/>
  <c r="R5702" i="34"/>
  <c r="R5703" i="34"/>
  <c r="R5704" i="34"/>
  <c r="R5705" i="34"/>
  <c r="R5706" i="34"/>
  <c r="R5707" i="34"/>
  <c r="R5708" i="34"/>
  <c r="R5709" i="34"/>
  <c r="R5710" i="34"/>
  <c r="R5711" i="34"/>
  <c r="R5712" i="34"/>
  <c r="R5713" i="34"/>
  <c r="R5714" i="34"/>
  <c r="R5715" i="34"/>
  <c r="R5716" i="34"/>
  <c r="R5717" i="34"/>
  <c r="R5718" i="34"/>
  <c r="R5719" i="34"/>
  <c r="R5720" i="34"/>
  <c r="R5721" i="34"/>
  <c r="R5722" i="34"/>
  <c r="R5723" i="34"/>
  <c r="R5724" i="34"/>
  <c r="R5725" i="34"/>
  <c r="R5726" i="34"/>
  <c r="R5727" i="34"/>
  <c r="R5728" i="34"/>
  <c r="R5729" i="34"/>
  <c r="R5730" i="34"/>
  <c r="R5731" i="34"/>
  <c r="R5732" i="34"/>
  <c r="R5733" i="34"/>
  <c r="R5734" i="34"/>
  <c r="R5735" i="34"/>
  <c r="R5736" i="34"/>
  <c r="R5737" i="34"/>
  <c r="R5738" i="34"/>
  <c r="R5739" i="34"/>
  <c r="R5740" i="34"/>
  <c r="R5741" i="34"/>
  <c r="R5742" i="34"/>
  <c r="R5743" i="34"/>
  <c r="R5744" i="34"/>
  <c r="R5745" i="34"/>
  <c r="R5746" i="34"/>
  <c r="R5747" i="34"/>
  <c r="R5748" i="34"/>
  <c r="R5749" i="34"/>
  <c r="R5750" i="34"/>
  <c r="R5751" i="34"/>
  <c r="R5752" i="34"/>
  <c r="R5753" i="34"/>
  <c r="R5754" i="34"/>
  <c r="R5755" i="34"/>
  <c r="R5756" i="34"/>
  <c r="R5757" i="34"/>
  <c r="R5758" i="34"/>
  <c r="R5759" i="34"/>
  <c r="R5760" i="34"/>
  <c r="R5761" i="34"/>
  <c r="R5762" i="34"/>
  <c r="R5763" i="34"/>
  <c r="R5764" i="34"/>
  <c r="R5765" i="34"/>
  <c r="R5766" i="34"/>
  <c r="R5767" i="34"/>
  <c r="R5768" i="34"/>
  <c r="R5769" i="34"/>
  <c r="R5770" i="34"/>
  <c r="R5771" i="34"/>
  <c r="R5772" i="34"/>
  <c r="R5773" i="34"/>
  <c r="R5774" i="34"/>
  <c r="R5775" i="34"/>
  <c r="R5776" i="34"/>
  <c r="R5777" i="34"/>
  <c r="R5778" i="34"/>
  <c r="R5779" i="34"/>
  <c r="R5780" i="34"/>
  <c r="R5781" i="34"/>
  <c r="R5782" i="34"/>
  <c r="R5783" i="34"/>
  <c r="R5784" i="34"/>
  <c r="R5785" i="34"/>
  <c r="R5786" i="34"/>
  <c r="R5787" i="34"/>
  <c r="R5788" i="34"/>
  <c r="R5789" i="34"/>
  <c r="R5790" i="34"/>
  <c r="R5791" i="34"/>
  <c r="R5792" i="34"/>
  <c r="R5793" i="34"/>
  <c r="R5794" i="34"/>
  <c r="R5795" i="34"/>
  <c r="R5796" i="34"/>
  <c r="R5797" i="34"/>
  <c r="R5798" i="34"/>
  <c r="R5799" i="34"/>
  <c r="R5800" i="34"/>
  <c r="R5801" i="34"/>
  <c r="R5802" i="34"/>
  <c r="R5803" i="34"/>
  <c r="R5804" i="34"/>
  <c r="R5805" i="34"/>
  <c r="R5806" i="34"/>
  <c r="R5807" i="34"/>
  <c r="R5808" i="34"/>
  <c r="R5809" i="34"/>
  <c r="R5810" i="34"/>
  <c r="R5811" i="34"/>
  <c r="R5812" i="34"/>
  <c r="R5813" i="34"/>
  <c r="R5814" i="34"/>
  <c r="R5815" i="34"/>
  <c r="R5816" i="34"/>
  <c r="R5817" i="34"/>
  <c r="R5818" i="34"/>
  <c r="R5819" i="34"/>
  <c r="R5820" i="34"/>
  <c r="R5821" i="34"/>
  <c r="R5822" i="34"/>
  <c r="R5823" i="34"/>
  <c r="R5824" i="34"/>
  <c r="R5825" i="34"/>
  <c r="R5826" i="34"/>
  <c r="R5827" i="34"/>
  <c r="R5828" i="34"/>
  <c r="R5829" i="34"/>
  <c r="R5830" i="34"/>
  <c r="R5831" i="34"/>
  <c r="R5832" i="34"/>
  <c r="R5833" i="34"/>
  <c r="R5834" i="34"/>
  <c r="R5835" i="34"/>
  <c r="R5836" i="34"/>
  <c r="R5837" i="34"/>
  <c r="R5838" i="34"/>
  <c r="R5839" i="34"/>
  <c r="R5840" i="34"/>
  <c r="R5841" i="34"/>
  <c r="R5842" i="34"/>
  <c r="R5843" i="34"/>
  <c r="R5844" i="34"/>
  <c r="R5845" i="34"/>
  <c r="R5846" i="34"/>
  <c r="R5847" i="34"/>
  <c r="R5848" i="34"/>
  <c r="R5849" i="34"/>
  <c r="R5850" i="34"/>
  <c r="R5851" i="34"/>
  <c r="R5852" i="34"/>
  <c r="R5853" i="34"/>
  <c r="R5854" i="34"/>
  <c r="R5855" i="34"/>
  <c r="R5856" i="34"/>
  <c r="R5857" i="34"/>
  <c r="R5858" i="34"/>
  <c r="R5859" i="34"/>
  <c r="R5860" i="34"/>
  <c r="R5861" i="34"/>
  <c r="R5862" i="34"/>
  <c r="R5863" i="34"/>
  <c r="R5864" i="34"/>
  <c r="R5865" i="34"/>
  <c r="R5866" i="34"/>
  <c r="R5867" i="34"/>
  <c r="R5868" i="34"/>
  <c r="R5869" i="34"/>
  <c r="R5870" i="34"/>
  <c r="R5871" i="34"/>
  <c r="R5872" i="34"/>
  <c r="R5873" i="34"/>
  <c r="R5874" i="34"/>
  <c r="R5875" i="34"/>
  <c r="R5876" i="34"/>
  <c r="R5877" i="34"/>
  <c r="R5878" i="34"/>
  <c r="R5879" i="34"/>
  <c r="R5880" i="34"/>
  <c r="R5881" i="34"/>
  <c r="R5882" i="34"/>
  <c r="R5883" i="34"/>
  <c r="R5884" i="34"/>
  <c r="R5885" i="34"/>
  <c r="R5886" i="34"/>
  <c r="R5887" i="34"/>
  <c r="R5888" i="34"/>
  <c r="R5889" i="34"/>
  <c r="R5890" i="34"/>
  <c r="R5891" i="34"/>
  <c r="R5892" i="34"/>
  <c r="R5893" i="34"/>
  <c r="R5894" i="34"/>
  <c r="R5895" i="34"/>
  <c r="R5896" i="34"/>
  <c r="R5897" i="34"/>
  <c r="R5898" i="34"/>
  <c r="R5899" i="34"/>
  <c r="R5900" i="34"/>
  <c r="R5901" i="34"/>
  <c r="R5902" i="34"/>
  <c r="R5903" i="34"/>
  <c r="R5904" i="34"/>
  <c r="R5905" i="34"/>
  <c r="R5906" i="34"/>
  <c r="R5907" i="34"/>
  <c r="R5908" i="34"/>
  <c r="R5909" i="34"/>
  <c r="R5910" i="34"/>
  <c r="R5911" i="34"/>
  <c r="R5912" i="34"/>
  <c r="R5913" i="34"/>
  <c r="R5914" i="34"/>
  <c r="R5915" i="34"/>
  <c r="R5916" i="34"/>
  <c r="R5917" i="34"/>
  <c r="R5918" i="34"/>
  <c r="R5919" i="34"/>
  <c r="R5920" i="34"/>
  <c r="R5921" i="34"/>
  <c r="R5922" i="34"/>
  <c r="R5923" i="34"/>
  <c r="R5924" i="34"/>
  <c r="R5925" i="34"/>
  <c r="R5926" i="34"/>
  <c r="R5927" i="34"/>
  <c r="R5928" i="34"/>
  <c r="R5929" i="34"/>
  <c r="R5930" i="34"/>
  <c r="R5931" i="34"/>
  <c r="R5932" i="34"/>
  <c r="R5933" i="34"/>
  <c r="R5934" i="34"/>
  <c r="R5935" i="34"/>
  <c r="R5936" i="34"/>
  <c r="R5937" i="34"/>
  <c r="R5938" i="34"/>
  <c r="R5939" i="34"/>
  <c r="R5940" i="34"/>
  <c r="R5941" i="34"/>
  <c r="R5942" i="34"/>
  <c r="R5943" i="34"/>
  <c r="R5944" i="34"/>
  <c r="R5945" i="34"/>
  <c r="R5946" i="34"/>
  <c r="R5947" i="34"/>
  <c r="R5948" i="34"/>
  <c r="R5949" i="34"/>
  <c r="R5950" i="34"/>
  <c r="R5951" i="34"/>
  <c r="R5952" i="34"/>
  <c r="R5953" i="34"/>
  <c r="R5954" i="34"/>
  <c r="R5955" i="34"/>
  <c r="R5956" i="34"/>
  <c r="R5957" i="34"/>
  <c r="R5958" i="34"/>
  <c r="R5959" i="34"/>
  <c r="R5960" i="34"/>
  <c r="R5961" i="34"/>
  <c r="R5962" i="34"/>
  <c r="R5963" i="34"/>
  <c r="R5964" i="34"/>
  <c r="R5965" i="34"/>
  <c r="R5966" i="34"/>
  <c r="R5967" i="34"/>
  <c r="R5968" i="34"/>
  <c r="R5969" i="34"/>
  <c r="R5970" i="34"/>
  <c r="R5971" i="34"/>
  <c r="R5972" i="34"/>
  <c r="R5973" i="34"/>
  <c r="R5974" i="34"/>
  <c r="R5975" i="34"/>
  <c r="R5976" i="34"/>
  <c r="R5977" i="34"/>
  <c r="R5978" i="34"/>
  <c r="R5979" i="34"/>
  <c r="R5980" i="34"/>
  <c r="R5981" i="34"/>
  <c r="R5982" i="34"/>
  <c r="R5983" i="34"/>
  <c r="R5984" i="34"/>
  <c r="R5985" i="34"/>
  <c r="R5986" i="34"/>
  <c r="R5987" i="34"/>
  <c r="R5988" i="34"/>
  <c r="R5989" i="34"/>
  <c r="R5990" i="34"/>
  <c r="R5991" i="34"/>
  <c r="R5992" i="34"/>
  <c r="R5993" i="34"/>
  <c r="R5994" i="34"/>
  <c r="R5995" i="34"/>
  <c r="R5996" i="34"/>
  <c r="R5997" i="34"/>
  <c r="R5998" i="34"/>
  <c r="R5999" i="34"/>
  <c r="R6000" i="34"/>
  <c r="R6001" i="34"/>
  <c r="R6002" i="34"/>
  <c r="R6003" i="34"/>
  <c r="R6004" i="34"/>
  <c r="R6005" i="34"/>
  <c r="R6006" i="34"/>
  <c r="R6007" i="34"/>
  <c r="R6008" i="34"/>
  <c r="R6009" i="34"/>
  <c r="R6010" i="34"/>
  <c r="R6011" i="34"/>
  <c r="R6012" i="34"/>
  <c r="R6013" i="34"/>
  <c r="R6014" i="34"/>
  <c r="R6015" i="34"/>
  <c r="R6016" i="34"/>
  <c r="R6017" i="34"/>
  <c r="R6018" i="34"/>
  <c r="R6019" i="34"/>
  <c r="R6020" i="34"/>
  <c r="R6021" i="34"/>
  <c r="R6022" i="34"/>
  <c r="R6023" i="34"/>
  <c r="R6024" i="34"/>
  <c r="R6025" i="34"/>
  <c r="R6026" i="34"/>
  <c r="R6027" i="34"/>
  <c r="R6028" i="34"/>
  <c r="R6029" i="34"/>
  <c r="R6030" i="34"/>
  <c r="R6031" i="34"/>
  <c r="R6032" i="34"/>
  <c r="R6033" i="34"/>
  <c r="R6034" i="34"/>
  <c r="R6035" i="34"/>
  <c r="R6036" i="34"/>
  <c r="R6037" i="34"/>
  <c r="R6038" i="34"/>
  <c r="R6039" i="34"/>
  <c r="R6040" i="34"/>
  <c r="R6041" i="34"/>
  <c r="R6042" i="34"/>
  <c r="R6043" i="34"/>
  <c r="R6044" i="34"/>
  <c r="R6045" i="34"/>
  <c r="R6046" i="34"/>
  <c r="R6047" i="34"/>
  <c r="R6048" i="34"/>
  <c r="R6049" i="34"/>
  <c r="R6050" i="34"/>
  <c r="R6051" i="34"/>
  <c r="R6052" i="34"/>
  <c r="R6053" i="34"/>
  <c r="R6054" i="34"/>
  <c r="R6055" i="34"/>
  <c r="R6056" i="34"/>
  <c r="R6057" i="34"/>
  <c r="R6058" i="34"/>
  <c r="R6059" i="34"/>
  <c r="R6060" i="34"/>
  <c r="R6061" i="34"/>
  <c r="R6062" i="34"/>
  <c r="R6063" i="34"/>
  <c r="R6064" i="34"/>
  <c r="R6065" i="34"/>
  <c r="R6066" i="34"/>
  <c r="R6067" i="34"/>
  <c r="R6068" i="34"/>
  <c r="R6069" i="34"/>
  <c r="R6070" i="34"/>
  <c r="R6071" i="34"/>
  <c r="R6072" i="34"/>
  <c r="R6073" i="34"/>
  <c r="R6074" i="34"/>
  <c r="R6075" i="34"/>
  <c r="R6076" i="34"/>
  <c r="R6077" i="34"/>
  <c r="R6078" i="34"/>
  <c r="R6079" i="34"/>
  <c r="R6080" i="34"/>
  <c r="R6081" i="34"/>
  <c r="R6082" i="34"/>
  <c r="R6083" i="34"/>
  <c r="R6084" i="34"/>
  <c r="R6085" i="34"/>
  <c r="R6086" i="34"/>
  <c r="R6087" i="34"/>
  <c r="R6088" i="34"/>
  <c r="R6089" i="34"/>
  <c r="R6090" i="34"/>
  <c r="R6091" i="34"/>
  <c r="R6092" i="34"/>
  <c r="R6093" i="34"/>
  <c r="R6094" i="34"/>
  <c r="R6095" i="34"/>
  <c r="R6096" i="34"/>
  <c r="R6097" i="34"/>
  <c r="R6098" i="34"/>
  <c r="R6099" i="34"/>
  <c r="R6100" i="34"/>
  <c r="R6101" i="34"/>
  <c r="R6102" i="34"/>
  <c r="R6103" i="34"/>
  <c r="R6104" i="34"/>
  <c r="R6105" i="34"/>
  <c r="R6106" i="34"/>
  <c r="R6107" i="34"/>
  <c r="R6108" i="34"/>
  <c r="R6109" i="34"/>
  <c r="R6110" i="34"/>
  <c r="R6111" i="34"/>
  <c r="R6112" i="34"/>
  <c r="R6113" i="34"/>
  <c r="R6114" i="34"/>
  <c r="R6115" i="34"/>
  <c r="R6116" i="34"/>
  <c r="R6117" i="34"/>
  <c r="R6118" i="34"/>
  <c r="R6119" i="34"/>
  <c r="R6120" i="34"/>
  <c r="R6121" i="34"/>
  <c r="R6122" i="34"/>
  <c r="R6123" i="34"/>
  <c r="R6124" i="34"/>
  <c r="R6125" i="34"/>
  <c r="R6126" i="34"/>
  <c r="R6127" i="34"/>
  <c r="R6128" i="34"/>
  <c r="R6129" i="34"/>
  <c r="R6130" i="34"/>
  <c r="R6131" i="34"/>
  <c r="R6132" i="34"/>
  <c r="R6133" i="34"/>
  <c r="R6134" i="34"/>
  <c r="R6135" i="34"/>
  <c r="R6136" i="34"/>
  <c r="R6137" i="34"/>
  <c r="R6138" i="34"/>
  <c r="R6139" i="34"/>
  <c r="R6140" i="34"/>
  <c r="R6141" i="34"/>
  <c r="R6142" i="34"/>
  <c r="R6143" i="34"/>
  <c r="R6144" i="34"/>
  <c r="R6145" i="34"/>
  <c r="R6146" i="34"/>
  <c r="R6147" i="34"/>
  <c r="R6148" i="34"/>
  <c r="R6149" i="34"/>
  <c r="R6150" i="34"/>
  <c r="R6151" i="34"/>
  <c r="R6152" i="34"/>
  <c r="R6153" i="34"/>
  <c r="R6154" i="34"/>
  <c r="R6155" i="34"/>
  <c r="R6156" i="34"/>
  <c r="R6157" i="34"/>
  <c r="R6158" i="34"/>
  <c r="R6159" i="34"/>
  <c r="R6160" i="34"/>
  <c r="R6161" i="34"/>
  <c r="R6162" i="34"/>
  <c r="R6163" i="34"/>
  <c r="R6164" i="34"/>
  <c r="R6165" i="34"/>
  <c r="R6166" i="34"/>
  <c r="R6167" i="34"/>
  <c r="R6168" i="34"/>
  <c r="R6169" i="34"/>
  <c r="R6170" i="34"/>
  <c r="R6171" i="34"/>
  <c r="R6172" i="34"/>
  <c r="R6173" i="34"/>
  <c r="R6174" i="34"/>
  <c r="R6175" i="34"/>
  <c r="R6176" i="34"/>
  <c r="R6177" i="34"/>
  <c r="R6178" i="34"/>
  <c r="R6179" i="34"/>
  <c r="R6180" i="34"/>
  <c r="R6181" i="34"/>
  <c r="R6182" i="34"/>
  <c r="R6183" i="34"/>
  <c r="R6184" i="34"/>
  <c r="R6185" i="34"/>
  <c r="R6186" i="34"/>
  <c r="R6187" i="34"/>
  <c r="R6188" i="34"/>
  <c r="R6189" i="34"/>
  <c r="R6190" i="34"/>
  <c r="R6191" i="34"/>
  <c r="R6192" i="34"/>
  <c r="R6193" i="34"/>
  <c r="R6194" i="34"/>
  <c r="R6195" i="34"/>
  <c r="R6196" i="34"/>
  <c r="R6197" i="34"/>
  <c r="R6198" i="34"/>
  <c r="R6199" i="34"/>
  <c r="R6200" i="34"/>
  <c r="R6201" i="34"/>
  <c r="R6202" i="34"/>
  <c r="R6203" i="34"/>
  <c r="R6204" i="34"/>
  <c r="R6205" i="34"/>
  <c r="R6206" i="34"/>
  <c r="R6207" i="34"/>
  <c r="R6208" i="34"/>
  <c r="R6209" i="34"/>
  <c r="R6210" i="34"/>
  <c r="R6211" i="34"/>
  <c r="R6212" i="34"/>
  <c r="R6213" i="34"/>
  <c r="R6214" i="34"/>
  <c r="R6215" i="34"/>
  <c r="R6216" i="34"/>
  <c r="R6217" i="34"/>
  <c r="R6218" i="34"/>
  <c r="R6219" i="34"/>
  <c r="R6220" i="34"/>
  <c r="R6221" i="34"/>
  <c r="R6222" i="34"/>
  <c r="R6223" i="34"/>
  <c r="R6224" i="34"/>
  <c r="R6225" i="34"/>
  <c r="R6226" i="34"/>
  <c r="R6227" i="34"/>
  <c r="R6228" i="34"/>
  <c r="R6229" i="34"/>
  <c r="R6230" i="34"/>
  <c r="R6231" i="34"/>
  <c r="R6232" i="34"/>
  <c r="R6233" i="34"/>
  <c r="R6234" i="34"/>
  <c r="R6235" i="34"/>
  <c r="R6236" i="34"/>
  <c r="R6237" i="34"/>
  <c r="R6238" i="34"/>
  <c r="R6239" i="34"/>
  <c r="R6240" i="34"/>
  <c r="R6241" i="34"/>
  <c r="R6242" i="34"/>
  <c r="R6243" i="34"/>
  <c r="R6244" i="34"/>
  <c r="R6245" i="34"/>
  <c r="R6246" i="34"/>
  <c r="R6247" i="34"/>
  <c r="R6248" i="34"/>
  <c r="R6249" i="34"/>
  <c r="R6250" i="34"/>
  <c r="R6251" i="34"/>
  <c r="R6252" i="34"/>
  <c r="R6253" i="34"/>
  <c r="R6254" i="34"/>
  <c r="R6255" i="34"/>
  <c r="R6256" i="34"/>
  <c r="R6257" i="34"/>
  <c r="R6258" i="34"/>
  <c r="R6259" i="34"/>
  <c r="R6260" i="34"/>
  <c r="R6261" i="34"/>
  <c r="R6262" i="34"/>
  <c r="R6263" i="34"/>
  <c r="R6264" i="34"/>
  <c r="R6265" i="34"/>
  <c r="R6266" i="34"/>
  <c r="R6267" i="34"/>
  <c r="R6268" i="34"/>
  <c r="R6269" i="34"/>
  <c r="R6270" i="34"/>
  <c r="R6271" i="34"/>
  <c r="R6272" i="34"/>
  <c r="R6273" i="34"/>
  <c r="R6274" i="34"/>
  <c r="R6275" i="34"/>
  <c r="R6276" i="34"/>
  <c r="R6277" i="34"/>
  <c r="R6278" i="34"/>
  <c r="R6279" i="34"/>
  <c r="R6280" i="34"/>
  <c r="R6281" i="34"/>
  <c r="R6282" i="34"/>
  <c r="R6283" i="34"/>
  <c r="R6284" i="34"/>
  <c r="R6285" i="34"/>
  <c r="R6286" i="34"/>
  <c r="R6287" i="34"/>
  <c r="R6288" i="34"/>
  <c r="R6289" i="34"/>
  <c r="R6290" i="34"/>
  <c r="R6291" i="34"/>
  <c r="R6292" i="34"/>
  <c r="R6293" i="34"/>
  <c r="R6294" i="34"/>
  <c r="R6295" i="34"/>
  <c r="R6296" i="34"/>
  <c r="R6297" i="34"/>
  <c r="R6298" i="34"/>
  <c r="R6299" i="34"/>
  <c r="R6300" i="34"/>
  <c r="R6301" i="34"/>
  <c r="R6302" i="34"/>
  <c r="R6303" i="34"/>
  <c r="R6304" i="34"/>
  <c r="R6305" i="34"/>
  <c r="R6306" i="34"/>
  <c r="R6307" i="34"/>
  <c r="R6308" i="34"/>
  <c r="R6309" i="34"/>
  <c r="R6310" i="34"/>
  <c r="R6311" i="34"/>
  <c r="R6312" i="34"/>
  <c r="R6313" i="34"/>
  <c r="R6314" i="34"/>
  <c r="R6315" i="34"/>
  <c r="R6316" i="34"/>
  <c r="R6317" i="34"/>
  <c r="R6318" i="34"/>
  <c r="R6319" i="34"/>
  <c r="R6320" i="34"/>
  <c r="R6321" i="34"/>
  <c r="R6322" i="34"/>
  <c r="R6323" i="34"/>
  <c r="R6324" i="34"/>
  <c r="R6325" i="34"/>
  <c r="R6326" i="34"/>
  <c r="R6327" i="34"/>
  <c r="R6328" i="34"/>
  <c r="R6329" i="34"/>
  <c r="R6330" i="34"/>
  <c r="R6331" i="34"/>
  <c r="R6332" i="34"/>
  <c r="R6333" i="34"/>
  <c r="R6334" i="34"/>
  <c r="R6335" i="34"/>
  <c r="R6336" i="34"/>
  <c r="R6337" i="34"/>
  <c r="R6338" i="34"/>
  <c r="R6339" i="34"/>
  <c r="R6340" i="34"/>
  <c r="R6341" i="34"/>
  <c r="R6342" i="34"/>
  <c r="R6343" i="34"/>
  <c r="R6344" i="34"/>
  <c r="R6345" i="34"/>
  <c r="R6346" i="34"/>
  <c r="R6347" i="34"/>
  <c r="R6348" i="34"/>
  <c r="R6349" i="34"/>
  <c r="R6350" i="34"/>
  <c r="R6351" i="34"/>
  <c r="R6352" i="34"/>
  <c r="R6353" i="34"/>
  <c r="R6354" i="34"/>
  <c r="R6355" i="34"/>
  <c r="R6356" i="34"/>
  <c r="R6357" i="34"/>
  <c r="R6358" i="34"/>
  <c r="R6359" i="34"/>
  <c r="R6360" i="34"/>
  <c r="R6361" i="34"/>
  <c r="R6362" i="34"/>
  <c r="R6363" i="34"/>
  <c r="R6364" i="34"/>
  <c r="R6365" i="34"/>
  <c r="R6366" i="34"/>
  <c r="R6367" i="34"/>
  <c r="R6368" i="34"/>
  <c r="R6369" i="34"/>
  <c r="R6370" i="34"/>
  <c r="R6371" i="34"/>
  <c r="R6372" i="34"/>
  <c r="R6373" i="34"/>
  <c r="R6374" i="34"/>
  <c r="R6375" i="34"/>
  <c r="R6376" i="34"/>
  <c r="R6377" i="34"/>
  <c r="R6378" i="34"/>
  <c r="R6379" i="34"/>
  <c r="R6380" i="34"/>
  <c r="R6381" i="34"/>
  <c r="R6382" i="34"/>
  <c r="R6383" i="34"/>
  <c r="R6384" i="34"/>
  <c r="R6385" i="34"/>
  <c r="R6386" i="34"/>
  <c r="R6387" i="34"/>
  <c r="R6388" i="34"/>
  <c r="R6389" i="34"/>
  <c r="R6390" i="34"/>
  <c r="R6391" i="34"/>
  <c r="R6392" i="34"/>
  <c r="R6393" i="34"/>
  <c r="R6394" i="34"/>
  <c r="R6395" i="34"/>
  <c r="R6396" i="34"/>
  <c r="R6397" i="34"/>
  <c r="R6398" i="34"/>
  <c r="R6399" i="34"/>
  <c r="R6400" i="34"/>
  <c r="R6401" i="34"/>
  <c r="R6402" i="34"/>
  <c r="R6403" i="34"/>
  <c r="R6404" i="34"/>
  <c r="R6405" i="34"/>
  <c r="R6406" i="34"/>
  <c r="R6407" i="34"/>
  <c r="R6408" i="34"/>
  <c r="R6409" i="34"/>
  <c r="R6410" i="34"/>
  <c r="R6411" i="34"/>
  <c r="R6412" i="34"/>
  <c r="R6413" i="34"/>
  <c r="R6414" i="34"/>
  <c r="R6415" i="34"/>
  <c r="R6416" i="34"/>
  <c r="R6417" i="34"/>
  <c r="R6418" i="34"/>
  <c r="R6419" i="34"/>
  <c r="R6420" i="34"/>
  <c r="R6421" i="34"/>
  <c r="R6422" i="34"/>
  <c r="R6423" i="34"/>
  <c r="R6424" i="34"/>
  <c r="R6425" i="34"/>
  <c r="R6426" i="34"/>
  <c r="R6427" i="34"/>
  <c r="R6428" i="34"/>
  <c r="R6429" i="34"/>
  <c r="R6430" i="34"/>
  <c r="R6431" i="34"/>
  <c r="R6432" i="34"/>
  <c r="R6433" i="34"/>
  <c r="R6434" i="34"/>
  <c r="R6435" i="34"/>
  <c r="R6436" i="34"/>
  <c r="R6437" i="34"/>
  <c r="R6438" i="34"/>
  <c r="R6439" i="34"/>
  <c r="R6440" i="34"/>
  <c r="R6441" i="34"/>
  <c r="R6442" i="34"/>
  <c r="R6443" i="34"/>
  <c r="R6444" i="34"/>
  <c r="R6445" i="34"/>
  <c r="R6446" i="34"/>
  <c r="R6447" i="34"/>
  <c r="R6448" i="34"/>
  <c r="R6449" i="34"/>
  <c r="R6450" i="34"/>
  <c r="R6451" i="34"/>
  <c r="R6452" i="34"/>
  <c r="R6453" i="34"/>
  <c r="R6454" i="34"/>
  <c r="R6455" i="34"/>
  <c r="R6456" i="34"/>
  <c r="R6457" i="34"/>
  <c r="R6458" i="34"/>
  <c r="R6459" i="34"/>
  <c r="R6460" i="34"/>
  <c r="R6461" i="34"/>
  <c r="R6462" i="34"/>
  <c r="R6463" i="34"/>
  <c r="R6464" i="34"/>
  <c r="R6465" i="34"/>
  <c r="R6466" i="34"/>
  <c r="R6467" i="34"/>
  <c r="R6468" i="34"/>
  <c r="R6469" i="34"/>
  <c r="R6470" i="34"/>
  <c r="R6471" i="34"/>
  <c r="R6472" i="34"/>
  <c r="R6473" i="34"/>
  <c r="R6474" i="34"/>
  <c r="R6475" i="34"/>
  <c r="R6476" i="34"/>
  <c r="R6477" i="34"/>
  <c r="R6478" i="34"/>
  <c r="R6479" i="34"/>
  <c r="R6480" i="34"/>
  <c r="R6481" i="34"/>
  <c r="R6482" i="34"/>
  <c r="R6483" i="34"/>
  <c r="R6484" i="34"/>
  <c r="R6485" i="34"/>
  <c r="R6486" i="34"/>
  <c r="R6487" i="34"/>
  <c r="R6488" i="34"/>
  <c r="R6489" i="34"/>
  <c r="R6490" i="34"/>
  <c r="R6491" i="34"/>
  <c r="R6492" i="34"/>
  <c r="R6493" i="34"/>
  <c r="R6494" i="34"/>
  <c r="R6495" i="34"/>
  <c r="R6496" i="34"/>
  <c r="R6497" i="34"/>
  <c r="R6498" i="34"/>
  <c r="R6499" i="34"/>
  <c r="R6500" i="34"/>
  <c r="R6501" i="34"/>
  <c r="R6502" i="34"/>
  <c r="R6503" i="34"/>
  <c r="R6504" i="34"/>
  <c r="R6505" i="34"/>
  <c r="R6506" i="34"/>
  <c r="R6507" i="34"/>
  <c r="R6508" i="34"/>
  <c r="R6509" i="34"/>
  <c r="R6510" i="34"/>
  <c r="R6511" i="34"/>
  <c r="R6512" i="34"/>
  <c r="R6513" i="34"/>
  <c r="R6514" i="34"/>
  <c r="R6515" i="34"/>
  <c r="R6516" i="34"/>
  <c r="R6517" i="34"/>
  <c r="R6518" i="34"/>
  <c r="R6519" i="34"/>
  <c r="R6520" i="34"/>
  <c r="R6521" i="34"/>
  <c r="R6522" i="34"/>
  <c r="R6523" i="34"/>
  <c r="R6524" i="34"/>
  <c r="R6525" i="34"/>
  <c r="R6526" i="34"/>
  <c r="R6527" i="34"/>
  <c r="R6528" i="34"/>
  <c r="R6529" i="34"/>
  <c r="R6530" i="34"/>
  <c r="R6531" i="34"/>
  <c r="R6532" i="34"/>
  <c r="R6533" i="34"/>
  <c r="R6534" i="34"/>
  <c r="R6535" i="34"/>
  <c r="R6536" i="34"/>
  <c r="R6537" i="34"/>
  <c r="R6538" i="34"/>
  <c r="R6539" i="34"/>
  <c r="R6540" i="34"/>
  <c r="R6541" i="34"/>
  <c r="R6542" i="34"/>
  <c r="R6543" i="34"/>
  <c r="R6544" i="34"/>
  <c r="R6545" i="34"/>
  <c r="R6546" i="34"/>
  <c r="R6547" i="34"/>
  <c r="R6548" i="34"/>
  <c r="R6549" i="34"/>
  <c r="R6550" i="34"/>
  <c r="R6551" i="34"/>
  <c r="R6552" i="34"/>
  <c r="R6553" i="34"/>
  <c r="R6554" i="34"/>
  <c r="R6555" i="34"/>
  <c r="R6556" i="34"/>
  <c r="R6557" i="34"/>
  <c r="R6558" i="34"/>
  <c r="R6559" i="34"/>
  <c r="R6560" i="34"/>
  <c r="R6561" i="34"/>
  <c r="R6562" i="34"/>
  <c r="R6563" i="34"/>
  <c r="R6564" i="34"/>
  <c r="R6565" i="34"/>
  <c r="R6566" i="34"/>
  <c r="R6567" i="34"/>
  <c r="R6568" i="34"/>
  <c r="R6569" i="34"/>
  <c r="R6570" i="34"/>
  <c r="R6571" i="34"/>
  <c r="R6572" i="34"/>
  <c r="R6573" i="34"/>
  <c r="R6574" i="34"/>
  <c r="R6575" i="34"/>
  <c r="R6576" i="34"/>
  <c r="R6577" i="34"/>
  <c r="R6578" i="34"/>
  <c r="R6579" i="34"/>
  <c r="R6580" i="34"/>
  <c r="R6581" i="34"/>
  <c r="R6582" i="34"/>
  <c r="R6583" i="34"/>
  <c r="R6584" i="34"/>
  <c r="R6585" i="34"/>
  <c r="R6586" i="34"/>
  <c r="R6587" i="34"/>
  <c r="R6588" i="34"/>
  <c r="R6589" i="34"/>
  <c r="R6590" i="34"/>
  <c r="R6591" i="34"/>
  <c r="R6592" i="34"/>
  <c r="R6593" i="34"/>
  <c r="R6594" i="34"/>
  <c r="R6595" i="34"/>
  <c r="R6596" i="34"/>
  <c r="R6597" i="34"/>
  <c r="R6598" i="34"/>
  <c r="R6599" i="34"/>
  <c r="R6600" i="34"/>
  <c r="R6601" i="34"/>
  <c r="R6602" i="34"/>
  <c r="R6603" i="34"/>
  <c r="R6604" i="34"/>
  <c r="R6605" i="34"/>
  <c r="R6606" i="34"/>
  <c r="R6607" i="34"/>
  <c r="R6608" i="34"/>
  <c r="R6609" i="34"/>
  <c r="R6610" i="34"/>
  <c r="R6611" i="34"/>
  <c r="R6612" i="34"/>
  <c r="R6613" i="34"/>
  <c r="R6614" i="34"/>
  <c r="R6615" i="34"/>
  <c r="R6616" i="34"/>
  <c r="R6617" i="34"/>
  <c r="R6618" i="34"/>
  <c r="R6619" i="34"/>
  <c r="R6620" i="34"/>
  <c r="R6621" i="34"/>
  <c r="R6622" i="34"/>
  <c r="R6623" i="34"/>
  <c r="R6624" i="34"/>
  <c r="R6625" i="34"/>
  <c r="R6626" i="34"/>
  <c r="R6627" i="34"/>
  <c r="R6628" i="34"/>
  <c r="R6629" i="34"/>
  <c r="R6630" i="34"/>
  <c r="R6631" i="34"/>
  <c r="R6632" i="34"/>
  <c r="R6633" i="34"/>
  <c r="R6634" i="34"/>
  <c r="R6635" i="34"/>
  <c r="R6636" i="34"/>
  <c r="R6637" i="34"/>
  <c r="R6638" i="34"/>
  <c r="R6639" i="34"/>
  <c r="R6640" i="34"/>
  <c r="R6641" i="34"/>
  <c r="R6642" i="34"/>
  <c r="R6643" i="34"/>
  <c r="R6644" i="34"/>
  <c r="R6645" i="34"/>
  <c r="R6646" i="34"/>
  <c r="R6647" i="34"/>
  <c r="R6648" i="34"/>
  <c r="R6649" i="34"/>
  <c r="R6650" i="34"/>
  <c r="R6651" i="34"/>
  <c r="R6652" i="34"/>
  <c r="R6653" i="34"/>
  <c r="R6654" i="34"/>
  <c r="R6655" i="34"/>
  <c r="R6656" i="34"/>
  <c r="R6657" i="34"/>
  <c r="R6658" i="34"/>
  <c r="R6659" i="34"/>
  <c r="R6660" i="34"/>
  <c r="R6661" i="34"/>
  <c r="R6662" i="34"/>
  <c r="R6663" i="34"/>
  <c r="R6664" i="34"/>
  <c r="R6665" i="34"/>
  <c r="R6666" i="34"/>
  <c r="R6667" i="34"/>
  <c r="R6668" i="34"/>
  <c r="R6669" i="34"/>
  <c r="R6670" i="34"/>
  <c r="R6671" i="34"/>
  <c r="R6672" i="34"/>
  <c r="R6673" i="34"/>
  <c r="R6674" i="34"/>
  <c r="R6675" i="34"/>
  <c r="R6676" i="34"/>
  <c r="R6677" i="34"/>
  <c r="R6678" i="34"/>
  <c r="R6679" i="34"/>
  <c r="R6680" i="34"/>
  <c r="R6681" i="34"/>
  <c r="R6682" i="34"/>
  <c r="R6683" i="34"/>
  <c r="R6684" i="34"/>
  <c r="R6685" i="34"/>
  <c r="R6686" i="34"/>
  <c r="R6687" i="34"/>
  <c r="R6688" i="34"/>
  <c r="R6689" i="34"/>
  <c r="R6690" i="34"/>
  <c r="R6691" i="34"/>
  <c r="R6692" i="34"/>
  <c r="R6693" i="34"/>
  <c r="R6694" i="34"/>
  <c r="R6695" i="34"/>
  <c r="R6696" i="34"/>
  <c r="R6697" i="34"/>
  <c r="R6698" i="34"/>
  <c r="R6699" i="34"/>
  <c r="R6700" i="34"/>
  <c r="R6701" i="34"/>
  <c r="R6702" i="34"/>
  <c r="R6703" i="34"/>
  <c r="R6704" i="34"/>
  <c r="R6705" i="34"/>
  <c r="R6706" i="34"/>
  <c r="R6707" i="34"/>
  <c r="R6708" i="34"/>
  <c r="R6709" i="34"/>
  <c r="R6710" i="34"/>
  <c r="R6711" i="34"/>
  <c r="R6712" i="34"/>
  <c r="R6713" i="34"/>
  <c r="R6714" i="34"/>
  <c r="R6715" i="34"/>
  <c r="R6716" i="34"/>
  <c r="R6717" i="34"/>
  <c r="R6718" i="34"/>
  <c r="R6719" i="34"/>
  <c r="R6720" i="34"/>
  <c r="R6721" i="34"/>
  <c r="R6722" i="34"/>
  <c r="R6723" i="34"/>
  <c r="R6724" i="34"/>
  <c r="R6725" i="34"/>
  <c r="R6726" i="34"/>
  <c r="R6727" i="34"/>
  <c r="R6728" i="34"/>
  <c r="R6729" i="34"/>
  <c r="R6730" i="34"/>
  <c r="R6731" i="34"/>
  <c r="R6732" i="34"/>
  <c r="R6733" i="34"/>
  <c r="R6734" i="34"/>
  <c r="R6735" i="34"/>
  <c r="R6736" i="34"/>
  <c r="R6737" i="34"/>
  <c r="R6738" i="34"/>
  <c r="R6739" i="34"/>
  <c r="R6740" i="34"/>
  <c r="R6741" i="34"/>
  <c r="R6742" i="34"/>
  <c r="R6743" i="34"/>
  <c r="R6744" i="34"/>
  <c r="R6745" i="34"/>
  <c r="R6746" i="34"/>
  <c r="R6747" i="34"/>
  <c r="R6748" i="34"/>
  <c r="R6749" i="34"/>
  <c r="R6750" i="34"/>
  <c r="R6751" i="34"/>
  <c r="R6752" i="34"/>
  <c r="R6753" i="34"/>
  <c r="R6754" i="34"/>
  <c r="R6755" i="34"/>
  <c r="R6756" i="34"/>
  <c r="R6757" i="34"/>
  <c r="R6758" i="34"/>
  <c r="R6759" i="34"/>
  <c r="R6760" i="34"/>
  <c r="R6761" i="34"/>
  <c r="R6762" i="34"/>
  <c r="R6763" i="34"/>
  <c r="R6764" i="34"/>
  <c r="R6765" i="34"/>
  <c r="R6766" i="34"/>
  <c r="R6767" i="34"/>
  <c r="R6768" i="34"/>
  <c r="R6769" i="34"/>
  <c r="R6770" i="34"/>
  <c r="R6771" i="34"/>
  <c r="R6772" i="34"/>
  <c r="R6773" i="34"/>
  <c r="R6774" i="34"/>
  <c r="R6775" i="34"/>
  <c r="R6776" i="34"/>
  <c r="R6777" i="34"/>
  <c r="R6778" i="34"/>
  <c r="R6779" i="34"/>
  <c r="R6780" i="34"/>
  <c r="R6781" i="34"/>
  <c r="R6782" i="34"/>
  <c r="R6783" i="34"/>
  <c r="R6784" i="34"/>
  <c r="R6785" i="34"/>
  <c r="R6786" i="34"/>
  <c r="R6787" i="34"/>
  <c r="R6788" i="34"/>
  <c r="R6789" i="34"/>
  <c r="R6790" i="34"/>
  <c r="R6791" i="34"/>
  <c r="R6792" i="34"/>
  <c r="R6793" i="34"/>
  <c r="R6794" i="34"/>
  <c r="R6795" i="34"/>
  <c r="R6796" i="34"/>
  <c r="R6797" i="34"/>
  <c r="R6798" i="34"/>
  <c r="R6799" i="34"/>
  <c r="R6800" i="34"/>
  <c r="R6801" i="34"/>
  <c r="R6802" i="34"/>
  <c r="R6803" i="34"/>
  <c r="R6804" i="34"/>
  <c r="R6805" i="34"/>
  <c r="R6806" i="34"/>
  <c r="R6807" i="34"/>
  <c r="R6808" i="34"/>
  <c r="R6809" i="34"/>
  <c r="R6810" i="34"/>
  <c r="R6811" i="34"/>
  <c r="R6812" i="34"/>
  <c r="R6813" i="34"/>
  <c r="R6814" i="34"/>
  <c r="R6815" i="34"/>
  <c r="R6816" i="34"/>
  <c r="R6817" i="34"/>
  <c r="R6818" i="34"/>
  <c r="R6819" i="34"/>
  <c r="R6820" i="34"/>
  <c r="R6821" i="34"/>
  <c r="R6822" i="34"/>
  <c r="R6823" i="34"/>
  <c r="R6824" i="34"/>
  <c r="R6825" i="34"/>
  <c r="R6826" i="34"/>
  <c r="R6827" i="34"/>
  <c r="R6828" i="34"/>
  <c r="R6829" i="34"/>
  <c r="R6830" i="34"/>
  <c r="R6831" i="34"/>
  <c r="R6832" i="34"/>
  <c r="R6833" i="34"/>
  <c r="R6834" i="34"/>
  <c r="R6835" i="34"/>
  <c r="R6836" i="34"/>
  <c r="R6837" i="34"/>
  <c r="R6838" i="34"/>
  <c r="R6839" i="34"/>
  <c r="R6840" i="34"/>
  <c r="R6841" i="34"/>
  <c r="R6842" i="34"/>
  <c r="R6843" i="34"/>
  <c r="R6844" i="34"/>
  <c r="R6845" i="34"/>
  <c r="R6846" i="34"/>
  <c r="R6847" i="34"/>
  <c r="R6848" i="34"/>
  <c r="R6849" i="34"/>
  <c r="R6850" i="34"/>
  <c r="R6851" i="34"/>
  <c r="R6852" i="34"/>
  <c r="R6853" i="34"/>
  <c r="R6854" i="34"/>
  <c r="R6855" i="34"/>
  <c r="R6856" i="34"/>
  <c r="R6857" i="34"/>
  <c r="R6858" i="34"/>
  <c r="R6859" i="34"/>
  <c r="R6860" i="34"/>
  <c r="R6861" i="34"/>
  <c r="R6862" i="34"/>
  <c r="R6863" i="34"/>
  <c r="R6864" i="34"/>
  <c r="R6865" i="34"/>
  <c r="R6866" i="34"/>
  <c r="R6867" i="34"/>
  <c r="R6868" i="34"/>
  <c r="R6869" i="34"/>
  <c r="R6870" i="34"/>
  <c r="R6871" i="34"/>
  <c r="R6872" i="34"/>
  <c r="R6873" i="34"/>
  <c r="R6874" i="34"/>
  <c r="R6875" i="34"/>
  <c r="R6876" i="34"/>
  <c r="R6877" i="34"/>
  <c r="R6878" i="34"/>
  <c r="R6879" i="34"/>
  <c r="R6880" i="34"/>
  <c r="R6881" i="34"/>
  <c r="R6882" i="34"/>
  <c r="R6883" i="34"/>
  <c r="R6884" i="34"/>
  <c r="R6885" i="34"/>
  <c r="R6886" i="34"/>
  <c r="R6887" i="34"/>
  <c r="R6888" i="34"/>
  <c r="R6889" i="34"/>
  <c r="R6890" i="34"/>
  <c r="R6891" i="34"/>
  <c r="R6892" i="34"/>
  <c r="R6893" i="34"/>
  <c r="R6894" i="34"/>
  <c r="R6895" i="34"/>
  <c r="R6896" i="34"/>
  <c r="R6897" i="34"/>
  <c r="R6898" i="34"/>
  <c r="R6899" i="34"/>
  <c r="R6900" i="34"/>
  <c r="R6901" i="34"/>
  <c r="R6902" i="34"/>
  <c r="R6903" i="34"/>
  <c r="R6904" i="34"/>
  <c r="R6905" i="34"/>
  <c r="R6906" i="34"/>
  <c r="R6907" i="34"/>
  <c r="R6908" i="34"/>
  <c r="R6909" i="34"/>
  <c r="R6910" i="34"/>
  <c r="R6911" i="34"/>
  <c r="R6912" i="34"/>
  <c r="R6913" i="34"/>
  <c r="R6914" i="34"/>
  <c r="R6915" i="34"/>
  <c r="R6916" i="34"/>
  <c r="R6917" i="34"/>
  <c r="R6918" i="34"/>
  <c r="R6919" i="34"/>
  <c r="R6920" i="34"/>
  <c r="R6921" i="34"/>
  <c r="R6922" i="34"/>
  <c r="R6923" i="34"/>
  <c r="R6924" i="34"/>
  <c r="R6925" i="34"/>
  <c r="R6926" i="34"/>
  <c r="R6927" i="34"/>
  <c r="R6928" i="34"/>
  <c r="R6929" i="34"/>
  <c r="R6930" i="34"/>
  <c r="R6931" i="34"/>
  <c r="R6932" i="34"/>
  <c r="R6933" i="34"/>
  <c r="R6934" i="34"/>
  <c r="R6935" i="34"/>
  <c r="R6936" i="34"/>
  <c r="R6937" i="34"/>
  <c r="R6938" i="34"/>
  <c r="R6939" i="34"/>
  <c r="R6940" i="34"/>
  <c r="R6941" i="34"/>
  <c r="R6942" i="34"/>
  <c r="R6943" i="34"/>
  <c r="R6944" i="34"/>
  <c r="R6945" i="34"/>
  <c r="R6946" i="34"/>
  <c r="R6947" i="34"/>
  <c r="R6948" i="34"/>
  <c r="R6949" i="34"/>
  <c r="R6950" i="34"/>
  <c r="R6951" i="34"/>
  <c r="R6952" i="34"/>
  <c r="R6953" i="34"/>
  <c r="R6954" i="34"/>
  <c r="R6955" i="34"/>
  <c r="R6956" i="34"/>
  <c r="R6957" i="34"/>
  <c r="R6958" i="34"/>
  <c r="R6959" i="34"/>
  <c r="R6960" i="34"/>
  <c r="R6961" i="34"/>
  <c r="R6962" i="34"/>
  <c r="R6963" i="34"/>
  <c r="R6964" i="34"/>
  <c r="R6965" i="34"/>
  <c r="R6966" i="34"/>
  <c r="R6967" i="34"/>
  <c r="R6968" i="34"/>
  <c r="R6969" i="34"/>
  <c r="R6970" i="34"/>
  <c r="R6971" i="34"/>
  <c r="R6972" i="34"/>
  <c r="R6973" i="34"/>
  <c r="R6974" i="34"/>
  <c r="R6975" i="34"/>
  <c r="R6976" i="34"/>
  <c r="R6977" i="34"/>
  <c r="R6978" i="34"/>
  <c r="R6979" i="34"/>
  <c r="R6980" i="34"/>
  <c r="R6981" i="34"/>
  <c r="R6982" i="34"/>
  <c r="R6983" i="34"/>
  <c r="R6984" i="34"/>
  <c r="R6985" i="34"/>
  <c r="R6986" i="34"/>
  <c r="R6987" i="34"/>
  <c r="R6988" i="34"/>
  <c r="R6989" i="34"/>
  <c r="R6990" i="34"/>
  <c r="R6991" i="34"/>
  <c r="R6992" i="34"/>
  <c r="R6993" i="34"/>
  <c r="R6994" i="34"/>
  <c r="R6995" i="34"/>
  <c r="R6996" i="34"/>
  <c r="R6997" i="34"/>
  <c r="R6998" i="34"/>
  <c r="R6999" i="34"/>
  <c r="R7000" i="34"/>
  <c r="R7001" i="34"/>
  <c r="R7002" i="34"/>
  <c r="R7003" i="34"/>
  <c r="R7004" i="34"/>
  <c r="R7005" i="34"/>
  <c r="R7006" i="34"/>
  <c r="R7007" i="34"/>
  <c r="R7008" i="34"/>
  <c r="R7009" i="34"/>
  <c r="R7010" i="34"/>
  <c r="R7011" i="34"/>
  <c r="R7012" i="34"/>
  <c r="R7013" i="34"/>
  <c r="R7014" i="34"/>
  <c r="R7015" i="34"/>
  <c r="R7016" i="34"/>
  <c r="R7017" i="34"/>
  <c r="R7018" i="34"/>
  <c r="R7019" i="34"/>
  <c r="R7020" i="34"/>
  <c r="R7021" i="34"/>
  <c r="R7022" i="34"/>
  <c r="R7023" i="34"/>
  <c r="R7024" i="34"/>
  <c r="R7025" i="34"/>
  <c r="R7026" i="34"/>
  <c r="R7027" i="34"/>
  <c r="R7028" i="34"/>
  <c r="R7029" i="34"/>
  <c r="R7030" i="34"/>
  <c r="R7031" i="34"/>
  <c r="R7032" i="34"/>
  <c r="R7033" i="34"/>
  <c r="R7034" i="34"/>
  <c r="R7035" i="34"/>
  <c r="R7036" i="34"/>
  <c r="R7037" i="34"/>
  <c r="R7038" i="34"/>
  <c r="R7039" i="34"/>
  <c r="R7040" i="34"/>
  <c r="R7041" i="34"/>
  <c r="R7042" i="34"/>
  <c r="R7043" i="34"/>
  <c r="R7044" i="34"/>
  <c r="R7045" i="34"/>
  <c r="R7046" i="34"/>
  <c r="R7047" i="34"/>
  <c r="R7048" i="34"/>
  <c r="R7049" i="34"/>
  <c r="R7050" i="34"/>
  <c r="R7051" i="34"/>
  <c r="R7052" i="34"/>
  <c r="R7053" i="34"/>
  <c r="R7054" i="34"/>
  <c r="R7055" i="34"/>
  <c r="R7056" i="34"/>
  <c r="R7057" i="34"/>
  <c r="R7058" i="34"/>
  <c r="R7059" i="34"/>
  <c r="R7060" i="34"/>
  <c r="R7061" i="34"/>
  <c r="R7062" i="34"/>
  <c r="R7063" i="34"/>
  <c r="R7064" i="34"/>
  <c r="R7065" i="34"/>
  <c r="R7066" i="34"/>
  <c r="R7067" i="34"/>
  <c r="R7068" i="34"/>
  <c r="R7069" i="34"/>
  <c r="R7070" i="34"/>
  <c r="R7071" i="34"/>
  <c r="R7072" i="34"/>
  <c r="R7073" i="34"/>
  <c r="R7074" i="34"/>
  <c r="R7075" i="34"/>
  <c r="R7076" i="34"/>
  <c r="R7077" i="34"/>
  <c r="R7078" i="34"/>
  <c r="R7079" i="34"/>
  <c r="R7080" i="34"/>
  <c r="R7081" i="34"/>
  <c r="R7082" i="34"/>
  <c r="R7083" i="34"/>
  <c r="R7084" i="34"/>
  <c r="R7085" i="34"/>
  <c r="R7086" i="34"/>
  <c r="R7087" i="34"/>
  <c r="R7088" i="34"/>
  <c r="R7089" i="34"/>
  <c r="R7090" i="34"/>
  <c r="R7091" i="34"/>
  <c r="R7092" i="34"/>
  <c r="R7093" i="34"/>
  <c r="R7094" i="34"/>
  <c r="R7095" i="34"/>
  <c r="R7096" i="34"/>
  <c r="R7097" i="34"/>
  <c r="R7098" i="34"/>
  <c r="R7099" i="34"/>
  <c r="R7100" i="34"/>
  <c r="R7101" i="34"/>
  <c r="R7102" i="34"/>
  <c r="R7103" i="34"/>
  <c r="R7104" i="34"/>
  <c r="R7105" i="34"/>
  <c r="R7106" i="34"/>
  <c r="R7107" i="34"/>
  <c r="R7108" i="34"/>
  <c r="R7109" i="34"/>
  <c r="R7110" i="34"/>
  <c r="R7111" i="34"/>
  <c r="R7112" i="34"/>
  <c r="R7113" i="34"/>
  <c r="R7114" i="34"/>
  <c r="R7115" i="34"/>
  <c r="R7116" i="34"/>
  <c r="R7117" i="34"/>
  <c r="R7118" i="34"/>
  <c r="R7119" i="34"/>
  <c r="R7120" i="34"/>
  <c r="R7121" i="34"/>
  <c r="R7122" i="34"/>
  <c r="R7123" i="34"/>
  <c r="R7124" i="34"/>
  <c r="R7125" i="34"/>
  <c r="R7126" i="34"/>
  <c r="R7127" i="34"/>
  <c r="R7128" i="34"/>
  <c r="R7129" i="34"/>
  <c r="R7130" i="34"/>
  <c r="R7131" i="34"/>
  <c r="R7132" i="34"/>
  <c r="R7133" i="34"/>
  <c r="R7134" i="34"/>
  <c r="R7135" i="34"/>
  <c r="R7136" i="34"/>
  <c r="R7137" i="34"/>
  <c r="R7138" i="34"/>
  <c r="R7139" i="34"/>
  <c r="R7140" i="34"/>
  <c r="R7141" i="34"/>
  <c r="R7142" i="34"/>
  <c r="R7143" i="34"/>
  <c r="R7144" i="34"/>
  <c r="R7145" i="34"/>
  <c r="R7146" i="34"/>
  <c r="R7147" i="34"/>
  <c r="R7148" i="34"/>
  <c r="R7149" i="34"/>
  <c r="R7150" i="34"/>
  <c r="R7151" i="34"/>
  <c r="R7152" i="34"/>
  <c r="R7153" i="34"/>
  <c r="R7154" i="34"/>
  <c r="R7155" i="34"/>
  <c r="R7156" i="34"/>
  <c r="R7157" i="34"/>
  <c r="R7158" i="34"/>
  <c r="R7159" i="34"/>
  <c r="R7160" i="34"/>
  <c r="R7161" i="34"/>
  <c r="R7162" i="34"/>
  <c r="R7163" i="34"/>
  <c r="R7164" i="34"/>
  <c r="R7165" i="34"/>
  <c r="R7166" i="34"/>
  <c r="R7167" i="34"/>
  <c r="R7168" i="34"/>
  <c r="R7169" i="34"/>
  <c r="R7170" i="34"/>
  <c r="R7171" i="34"/>
  <c r="R7172" i="34"/>
  <c r="R7173" i="34"/>
  <c r="R7174" i="34"/>
  <c r="R7175" i="34"/>
  <c r="R7176" i="34"/>
  <c r="R7177" i="34"/>
  <c r="R7178" i="34"/>
  <c r="R7179" i="34"/>
  <c r="R7180" i="34"/>
  <c r="R7181" i="34"/>
  <c r="R7182" i="34"/>
  <c r="R7183" i="34"/>
  <c r="R7184" i="34"/>
  <c r="R7185" i="34"/>
  <c r="R7186" i="34"/>
  <c r="R7187" i="34"/>
  <c r="R7188" i="34"/>
  <c r="R7189" i="34"/>
  <c r="R7190" i="34"/>
  <c r="R7191" i="34"/>
  <c r="R7192" i="34"/>
  <c r="R7193" i="34"/>
  <c r="R7194" i="34"/>
  <c r="R7195" i="34"/>
  <c r="R7196" i="34"/>
  <c r="R7197" i="34"/>
  <c r="R7198" i="34"/>
  <c r="R7199" i="34"/>
  <c r="R7200" i="34"/>
  <c r="R7201" i="34"/>
  <c r="R7202" i="34"/>
  <c r="R7203" i="34"/>
  <c r="R7204" i="34"/>
  <c r="R7205" i="34"/>
  <c r="R7206" i="34"/>
  <c r="R7207" i="34"/>
  <c r="R7208" i="34"/>
  <c r="R7209" i="34"/>
  <c r="R7210" i="34"/>
  <c r="R7211" i="34"/>
  <c r="R7212" i="34"/>
  <c r="R7213" i="34"/>
  <c r="R7214" i="34"/>
  <c r="R7215" i="34"/>
  <c r="R7216" i="34"/>
  <c r="R7217" i="34"/>
  <c r="R7218" i="34"/>
  <c r="R7219" i="34"/>
  <c r="R7220" i="34"/>
  <c r="R7221" i="34"/>
  <c r="R7222" i="34"/>
  <c r="R7223" i="34"/>
  <c r="R7224" i="34"/>
  <c r="R7225" i="34"/>
  <c r="R7226" i="34"/>
  <c r="R7227" i="34"/>
  <c r="R7228" i="34"/>
  <c r="R7229" i="34"/>
  <c r="R7230" i="34"/>
  <c r="R7231" i="34"/>
  <c r="R7232" i="34"/>
  <c r="R7233" i="34"/>
  <c r="R7234" i="34"/>
  <c r="R7235" i="34"/>
  <c r="R7236" i="34"/>
  <c r="R7237" i="34"/>
  <c r="R7238" i="34"/>
  <c r="R7239" i="34"/>
  <c r="R7240" i="34"/>
  <c r="R7241" i="34"/>
  <c r="R7242" i="34"/>
  <c r="R7243" i="34"/>
  <c r="R7244" i="34"/>
  <c r="R7245" i="34"/>
  <c r="R7246" i="34"/>
  <c r="R7247" i="34"/>
  <c r="R7248" i="34"/>
  <c r="R7249" i="34"/>
  <c r="R7250" i="34"/>
  <c r="R7251" i="34"/>
  <c r="R7252" i="34"/>
  <c r="R7253" i="34"/>
  <c r="R7254" i="34"/>
  <c r="R7255" i="34"/>
  <c r="R7256" i="34"/>
  <c r="R7257" i="34"/>
  <c r="R7258" i="34"/>
  <c r="R7259" i="34"/>
  <c r="R7260" i="34"/>
  <c r="R7261" i="34"/>
  <c r="R7262" i="34"/>
  <c r="R7263" i="34"/>
  <c r="R7264" i="34"/>
  <c r="R7265" i="34"/>
  <c r="R7266" i="34"/>
  <c r="R7267" i="34"/>
  <c r="R7268" i="34"/>
  <c r="R7269" i="34"/>
  <c r="R7270" i="34"/>
  <c r="R7271" i="34"/>
  <c r="R7272" i="34"/>
  <c r="R7273" i="34"/>
  <c r="R7274" i="34"/>
  <c r="R7275" i="34"/>
  <c r="R7276" i="34"/>
  <c r="R7277" i="34"/>
  <c r="R7278" i="34"/>
  <c r="R7279" i="34"/>
  <c r="R7280" i="34"/>
  <c r="R7281" i="34"/>
  <c r="R7282" i="34"/>
  <c r="R7283" i="34"/>
  <c r="R7284" i="34"/>
  <c r="R7285" i="34"/>
  <c r="R7286" i="34"/>
  <c r="R7287" i="34"/>
  <c r="R7288" i="34"/>
  <c r="R7289" i="34"/>
  <c r="R7290" i="34"/>
  <c r="R7291" i="34"/>
  <c r="R7292" i="34"/>
  <c r="R7293" i="34"/>
  <c r="R7294" i="34"/>
  <c r="R7295" i="34"/>
  <c r="R7296" i="34"/>
  <c r="R7297" i="34"/>
  <c r="R7298" i="34"/>
  <c r="R7299" i="34"/>
  <c r="R7300" i="34"/>
  <c r="R7301" i="34"/>
  <c r="R7302" i="34"/>
  <c r="R7303" i="34"/>
  <c r="R7304" i="34"/>
  <c r="R7305" i="34"/>
  <c r="R7306" i="34"/>
  <c r="R7307" i="34"/>
  <c r="R7308" i="34"/>
  <c r="R7309" i="34"/>
  <c r="R7310" i="34"/>
  <c r="R7311" i="34"/>
  <c r="R7312" i="34"/>
  <c r="R7313" i="34"/>
  <c r="R7314" i="34"/>
  <c r="R7315" i="34"/>
  <c r="R7316" i="34"/>
  <c r="R7317" i="34"/>
  <c r="R7318" i="34"/>
  <c r="R7319" i="34"/>
  <c r="R7320" i="34"/>
  <c r="R7321" i="34"/>
  <c r="R7322" i="34"/>
  <c r="R7323" i="34"/>
  <c r="R7324" i="34"/>
  <c r="R7325" i="34"/>
  <c r="R7326" i="34"/>
  <c r="R7327" i="34"/>
  <c r="R7328" i="34"/>
  <c r="R7329" i="34"/>
  <c r="R7330" i="34"/>
  <c r="R7331" i="34"/>
  <c r="R7332" i="34"/>
  <c r="R7333" i="34"/>
  <c r="R7334" i="34"/>
  <c r="R7335" i="34"/>
  <c r="R7336" i="34"/>
  <c r="R7337" i="34"/>
  <c r="R7338" i="34"/>
  <c r="R7339" i="34"/>
  <c r="R7340" i="34"/>
  <c r="R7341" i="34"/>
  <c r="R7342" i="34"/>
  <c r="R7343" i="34"/>
  <c r="R7344" i="34"/>
  <c r="R7345" i="34"/>
  <c r="R7346" i="34"/>
  <c r="R7347" i="34"/>
  <c r="R7348" i="34"/>
  <c r="R7349" i="34"/>
  <c r="R7350" i="34"/>
  <c r="R7351" i="34"/>
  <c r="R7352" i="34"/>
  <c r="R7353" i="34"/>
  <c r="R7354" i="34"/>
  <c r="R7355" i="34"/>
  <c r="R7356" i="34"/>
  <c r="R7357" i="34"/>
  <c r="R7358" i="34"/>
  <c r="R7359" i="34"/>
  <c r="R7360" i="34"/>
  <c r="R7361" i="34"/>
  <c r="R7362" i="34"/>
  <c r="R7363" i="34"/>
  <c r="R7364" i="34"/>
  <c r="R7365" i="34"/>
  <c r="R7366" i="34"/>
  <c r="R7367" i="34"/>
  <c r="R7368" i="34"/>
  <c r="R7369" i="34"/>
  <c r="R7370" i="34"/>
  <c r="R7371" i="34"/>
  <c r="R7372" i="34"/>
  <c r="R7373" i="34"/>
  <c r="R7374" i="34"/>
  <c r="R7375" i="34"/>
  <c r="R7376" i="34"/>
  <c r="R7377" i="34"/>
  <c r="R7378" i="34"/>
  <c r="R7379" i="34"/>
  <c r="R7380" i="34"/>
  <c r="R7381" i="34"/>
  <c r="R7382" i="34"/>
  <c r="R7383" i="34"/>
  <c r="R7384" i="34"/>
  <c r="R7385" i="34"/>
  <c r="R7386" i="34"/>
  <c r="R7387" i="34"/>
  <c r="R7388" i="34"/>
  <c r="R7389" i="34"/>
  <c r="R7390" i="34"/>
  <c r="R7391" i="34"/>
  <c r="R7392" i="34"/>
  <c r="R7393" i="34"/>
  <c r="R7394" i="34"/>
  <c r="R7395" i="34"/>
  <c r="R7396" i="34"/>
  <c r="R7397" i="34"/>
  <c r="R7398" i="34"/>
  <c r="R7399" i="34"/>
  <c r="R7400" i="34"/>
  <c r="R7401" i="34"/>
  <c r="R7402" i="34"/>
  <c r="R7403" i="34"/>
  <c r="R7404" i="34"/>
  <c r="R7405" i="34"/>
  <c r="R7406" i="34"/>
  <c r="R7407" i="34"/>
  <c r="R7408" i="34"/>
  <c r="R7409" i="34"/>
  <c r="R7410" i="34"/>
  <c r="R7411" i="34"/>
  <c r="R7412" i="34"/>
  <c r="R7413" i="34"/>
  <c r="R7414" i="34"/>
  <c r="R7415" i="34"/>
  <c r="R7416" i="34"/>
  <c r="R7417" i="34"/>
  <c r="R7418" i="34"/>
  <c r="R7419" i="34"/>
  <c r="R7420" i="34"/>
  <c r="R7421" i="34"/>
  <c r="R7422" i="34"/>
  <c r="R7423" i="34"/>
  <c r="R7424" i="34"/>
  <c r="R7425" i="34"/>
  <c r="R7426" i="34"/>
  <c r="R7427" i="34"/>
  <c r="R7428" i="34"/>
  <c r="R7429" i="34"/>
  <c r="R7430" i="34"/>
  <c r="R7431" i="34"/>
  <c r="R7432" i="34"/>
  <c r="R7433" i="34"/>
  <c r="R7434" i="34"/>
  <c r="R7435" i="34"/>
  <c r="R7436" i="34"/>
  <c r="R7437" i="34"/>
  <c r="R7438" i="34"/>
  <c r="R7439" i="34"/>
  <c r="R7440" i="34"/>
  <c r="R7441" i="34"/>
  <c r="R7442" i="34"/>
  <c r="R7443" i="34"/>
  <c r="R7444" i="34"/>
  <c r="R7445" i="34"/>
  <c r="R7446" i="34"/>
  <c r="R7447" i="34"/>
  <c r="R7448" i="34"/>
  <c r="R7449" i="34"/>
  <c r="R7450" i="34"/>
  <c r="R7451" i="34"/>
  <c r="R7452" i="34"/>
  <c r="R7453" i="34"/>
  <c r="R7454" i="34"/>
  <c r="R7455" i="34"/>
  <c r="R7456" i="34"/>
  <c r="R7457" i="34"/>
  <c r="R7458" i="34"/>
  <c r="R7459" i="34"/>
  <c r="R7460" i="34"/>
  <c r="R7461" i="34"/>
  <c r="R7462" i="34"/>
  <c r="R7463" i="34"/>
  <c r="R7464" i="34"/>
  <c r="R7465" i="34"/>
  <c r="R7466" i="34"/>
  <c r="R7467" i="34"/>
  <c r="R7468" i="34"/>
  <c r="R7469" i="34"/>
  <c r="R7470" i="34"/>
  <c r="R7471" i="34"/>
  <c r="R7472" i="34"/>
  <c r="R7473" i="34"/>
  <c r="R7474" i="34"/>
  <c r="R7475" i="34"/>
  <c r="R7476" i="34"/>
  <c r="R7477" i="34"/>
  <c r="R7478" i="34"/>
  <c r="R7479" i="34"/>
  <c r="R7480" i="34"/>
  <c r="R7481" i="34"/>
  <c r="R7482" i="34"/>
  <c r="R7483" i="34"/>
  <c r="R7484" i="34"/>
  <c r="R7485" i="34"/>
  <c r="R7486" i="34"/>
  <c r="R7487" i="34"/>
  <c r="R7488" i="34"/>
  <c r="R7489" i="34"/>
  <c r="R7490" i="34"/>
  <c r="R7491" i="34"/>
  <c r="R7492" i="34"/>
  <c r="R7493" i="34"/>
  <c r="R7494" i="34"/>
  <c r="R7495" i="34"/>
  <c r="R7496" i="34"/>
  <c r="R7497" i="34"/>
  <c r="R7498" i="34"/>
  <c r="R7499" i="34"/>
  <c r="R7500" i="34"/>
  <c r="R7501" i="34"/>
  <c r="R7502" i="34"/>
  <c r="R7503" i="34"/>
  <c r="R7504" i="34"/>
  <c r="R7505" i="34"/>
  <c r="R7506" i="34"/>
  <c r="R7507" i="34"/>
  <c r="R7508" i="34"/>
  <c r="R7509" i="34"/>
  <c r="R7510" i="34"/>
  <c r="R7511" i="34"/>
  <c r="R7512" i="34"/>
  <c r="R7513" i="34"/>
  <c r="R7514" i="34"/>
  <c r="R7515" i="34"/>
  <c r="R7516" i="34"/>
  <c r="R7517" i="34"/>
  <c r="R7518" i="34"/>
  <c r="R7519" i="34"/>
  <c r="R7520" i="34"/>
  <c r="R7521" i="34"/>
  <c r="R7522" i="34"/>
  <c r="R7523" i="34"/>
  <c r="R7524" i="34"/>
  <c r="R7525" i="34"/>
  <c r="R7526" i="34"/>
  <c r="R7527" i="34"/>
  <c r="R7528" i="34"/>
  <c r="R7529" i="34"/>
  <c r="R7530" i="34"/>
  <c r="R7531" i="34"/>
  <c r="R7532" i="34"/>
  <c r="R7533" i="34"/>
  <c r="R7534" i="34"/>
  <c r="R7535" i="34"/>
  <c r="R7536" i="34"/>
  <c r="R7537" i="34"/>
  <c r="R7538" i="34"/>
  <c r="R7539" i="34"/>
  <c r="R7540" i="34"/>
  <c r="R7541" i="34"/>
  <c r="R7542" i="34"/>
  <c r="R7543" i="34"/>
  <c r="R7544" i="34"/>
  <c r="R7545" i="34"/>
  <c r="R7546" i="34"/>
  <c r="R7547" i="34"/>
  <c r="R7548" i="34"/>
  <c r="R7549" i="34"/>
  <c r="R7550" i="34"/>
  <c r="R7551" i="34"/>
  <c r="R7552" i="34"/>
  <c r="R7553" i="34"/>
  <c r="R7554" i="34"/>
  <c r="R7555" i="34"/>
  <c r="R7556" i="34"/>
  <c r="R7557" i="34"/>
  <c r="R7558" i="34"/>
  <c r="R7559" i="34"/>
  <c r="R7560" i="34"/>
  <c r="R7561" i="34"/>
  <c r="R7562" i="34"/>
  <c r="R7563" i="34"/>
  <c r="R7564" i="34"/>
  <c r="R7565" i="34"/>
  <c r="R7566" i="34"/>
  <c r="R7567" i="34"/>
  <c r="R7568" i="34"/>
  <c r="R7569" i="34"/>
  <c r="R7570" i="34"/>
  <c r="R7571" i="34"/>
  <c r="R7572" i="34"/>
  <c r="R7573" i="34"/>
  <c r="R7574" i="34"/>
  <c r="R7575" i="34"/>
  <c r="R7576" i="34"/>
  <c r="R7577" i="34"/>
  <c r="R7578" i="34"/>
  <c r="R7579" i="34"/>
  <c r="R7580" i="34"/>
  <c r="R7581" i="34"/>
  <c r="R7582" i="34"/>
  <c r="R7583" i="34"/>
  <c r="R7584" i="34"/>
  <c r="R7585" i="34"/>
  <c r="R7586" i="34"/>
  <c r="R7587" i="34"/>
  <c r="R7588" i="34"/>
  <c r="R7589" i="34"/>
  <c r="R7590" i="34"/>
  <c r="R7591" i="34"/>
  <c r="R7592" i="34"/>
  <c r="R7593" i="34"/>
  <c r="R7594" i="34"/>
  <c r="R7595" i="34"/>
  <c r="R7596" i="34"/>
  <c r="R7597" i="34"/>
  <c r="R7598" i="34"/>
  <c r="R7599" i="34"/>
  <c r="R7600" i="34"/>
  <c r="R7601" i="34"/>
  <c r="R7602" i="34"/>
  <c r="R7603" i="34"/>
  <c r="R7604" i="34"/>
  <c r="R7605" i="34"/>
  <c r="R7606" i="34"/>
  <c r="R7607" i="34"/>
  <c r="R7608" i="34"/>
  <c r="R7609" i="34"/>
  <c r="R7610" i="34"/>
  <c r="R7611" i="34"/>
  <c r="R7612" i="34"/>
  <c r="R7613" i="34"/>
  <c r="R7614" i="34"/>
  <c r="R7615" i="34"/>
  <c r="R7616" i="34"/>
  <c r="R7617" i="34"/>
  <c r="R7618" i="34"/>
  <c r="R7619" i="34"/>
  <c r="R7620" i="34"/>
  <c r="R7621" i="34"/>
  <c r="R7622" i="34"/>
  <c r="R7623" i="34"/>
  <c r="R7624" i="34"/>
  <c r="R7625" i="34"/>
  <c r="R7626" i="34"/>
  <c r="R7627" i="34"/>
  <c r="R7628" i="34"/>
  <c r="R7629" i="34"/>
  <c r="R7630" i="34"/>
  <c r="R7631" i="34"/>
  <c r="R7632" i="34"/>
  <c r="R7633" i="34"/>
  <c r="R7634" i="34"/>
  <c r="R7635" i="34"/>
  <c r="R7636" i="34"/>
  <c r="R7637" i="34"/>
  <c r="R7638" i="34"/>
  <c r="R7639" i="34"/>
  <c r="R7640" i="34"/>
  <c r="R7641" i="34"/>
  <c r="R7642" i="34"/>
  <c r="R7643" i="34"/>
  <c r="R7644" i="34"/>
  <c r="R7645" i="34"/>
  <c r="R7646" i="34"/>
  <c r="R7647" i="34"/>
  <c r="R7648" i="34"/>
  <c r="R7649" i="34"/>
  <c r="R7650" i="34"/>
  <c r="R7651" i="34"/>
  <c r="R7652" i="34"/>
  <c r="R7653" i="34"/>
  <c r="R7654" i="34"/>
  <c r="R7655" i="34"/>
  <c r="R7656" i="34"/>
  <c r="R7657" i="34"/>
  <c r="R7658" i="34"/>
  <c r="R7659" i="34"/>
  <c r="R7660" i="34"/>
  <c r="R7661" i="34"/>
  <c r="R7662" i="34"/>
  <c r="R7663" i="34"/>
  <c r="R7664" i="34"/>
  <c r="R7665" i="34"/>
  <c r="R7666" i="34"/>
  <c r="R7667" i="34"/>
  <c r="R7668" i="34"/>
  <c r="R7669" i="34"/>
  <c r="R7670" i="34"/>
  <c r="R7671" i="34"/>
  <c r="R7672" i="34"/>
  <c r="R7673" i="34"/>
  <c r="R7674" i="34"/>
  <c r="R7675" i="34"/>
  <c r="R7676" i="34"/>
  <c r="R7677" i="34"/>
  <c r="R7678" i="34"/>
  <c r="R7679" i="34"/>
  <c r="R7680" i="34"/>
  <c r="R7681" i="34"/>
  <c r="R7682" i="34"/>
  <c r="R7683" i="34"/>
  <c r="R7684" i="34"/>
  <c r="R7685" i="34"/>
  <c r="R7686" i="34"/>
  <c r="R7687" i="34"/>
  <c r="R7688" i="34"/>
  <c r="R7689" i="34"/>
  <c r="R7690" i="34"/>
  <c r="R7691" i="34"/>
  <c r="R7692" i="34"/>
  <c r="R7693" i="34"/>
  <c r="R7694" i="34"/>
  <c r="R7695" i="34"/>
  <c r="R7696" i="34"/>
  <c r="R7697" i="34"/>
  <c r="R7698" i="34"/>
  <c r="R7699" i="34"/>
  <c r="R7700" i="34"/>
  <c r="R7701" i="34"/>
  <c r="R7702" i="34"/>
  <c r="R7703" i="34"/>
  <c r="R7704" i="34"/>
  <c r="R7705" i="34"/>
  <c r="R7706" i="34"/>
  <c r="R7707" i="34"/>
  <c r="R7708" i="34"/>
  <c r="R7709" i="34"/>
  <c r="R7710" i="34"/>
  <c r="R7711" i="34"/>
  <c r="R7712" i="34"/>
  <c r="R7713" i="34"/>
  <c r="R7714" i="34"/>
  <c r="R7715" i="34"/>
  <c r="R7716" i="34"/>
  <c r="R7717" i="34"/>
  <c r="R7718" i="34"/>
  <c r="R7719" i="34"/>
  <c r="R7720" i="34"/>
  <c r="R7721" i="34"/>
  <c r="R7722" i="34"/>
  <c r="R7723" i="34"/>
  <c r="R7724" i="34"/>
  <c r="R7725" i="34"/>
  <c r="R7726" i="34"/>
  <c r="R7727" i="34"/>
  <c r="R7728" i="34"/>
  <c r="R7729" i="34"/>
  <c r="R7730" i="34"/>
  <c r="R7731" i="34"/>
  <c r="R7732" i="34"/>
  <c r="R7733" i="34"/>
  <c r="R7734" i="34"/>
  <c r="R7735" i="34"/>
  <c r="R7736" i="34"/>
  <c r="R7737" i="34"/>
  <c r="R7738" i="34"/>
  <c r="R7739" i="34"/>
  <c r="R7740" i="34"/>
  <c r="R7741" i="34"/>
  <c r="R7742" i="34"/>
  <c r="R7743" i="34"/>
  <c r="R7744" i="34"/>
  <c r="R7745" i="34"/>
  <c r="R7746" i="34"/>
  <c r="R7747" i="34"/>
  <c r="R7748" i="34"/>
  <c r="R7749" i="34"/>
  <c r="R7750" i="34"/>
  <c r="R7751" i="34"/>
  <c r="R7752" i="34"/>
  <c r="R7753" i="34"/>
  <c r="R7754" i="34"/>
  <c r="R7755" i="34"/>
  <c r="R7756" i="34"/>
  <c r="R7757" i="34"/>
  <c r="R7758" i="34"/>
  <c r="R7759" i="34"/>
  <c r="R7760" i="34"/>
  <c r="R7761" i="34"/>
  <c r="R7762" i="34"/>
  <c r="R7763" i="34"/>
  <c r="R7764" i="34"/>
  <c r="R7765" i="34"/>
  <c r="R7766" i="34"/>
  <c r="R7767" i="34"/>
  <c r="R7768" i="34"/>
  <c r="R7769" i="34"/>
  <c r="R7770" i="34"/>
  <c r="R7771" i="34"/>
  <c r="R7772" i="34"/>
  <c r="R7773" i="34"/>
  <c r="R7774" i="34"/>
  <c r="R7775" i="34"/>
  <c r="R7776" i="34"/>
  <c r="R7777" i="34"/>
  <c r="R7778" i="34"/>
  <c r="R7779" i="34"/>
  <c r="R7780" i="34"/>
  <c r="R7781" i="34"/>
  <c r="R7782" i="34"/>
  <c r="R7783" i="34"/>
  <c r="R7784" i="34"/>
  <c r="R7785" i="34"/>
  <c r="R7786" i="34"/>
  <c r="R7787" i="34"/>
  <c r="R7788" i="34"/>
  <c r="R7789" i="34"/>
  <c r="R7790" i="34"/>
  <c r="R7791" i="34"/>
  <c r="R7792" i="34"/>
  <c r="R7793" i="34"/>
  <c r="R7794" i="34"/>
  <c r="R7795" i="34"/>
  <c r="R7796" i="34"/>
  <c r="R7797" i="34"/>
  <c r="R7798" i="34"/>
  <c r="R7799" i="34"/>
  <c r="R7800" i="34"/>
  <c r="R7801" i="34"/>
  <c r="R7802" i="34"/>
  <c r="R7803" i="34"/>
  <c r="R7804" i="34"/>
  <c r="R7805" i="34"/>
  <c r="R7806" i="34"/>
  <c r="R7807" i="34"/>
  <c r="R7808" i="34"/>
  <c r="R7809" i="34"/>
  <c r="R7810" i="34"/>
  <c r="R7811" i="34"/>
  <c r="R7812" i="34"/>
  <c r="R7813" i="34"/>
  <c r="R7814" i="34"/>
  <c r="R7815" i="34"/>
  <c r="R7816" i="34"/>
  <c r="R7817" i="34"/>
  <c r="R7818" i="34"/>
  <c r="R7819" i="34"/>
  <c r="R7820" i="34"/>
  <c r="R7821" i="34"/>
  <c r="R7822" i="34"/>
  <c r="R7823" i="34"/>
  <c r="R7824" i="34"/>
  <c r="R7825" i="34"/>
  <c r="R7826" i="34"/>
  <c r="R7827" i="34"/>
  <c r="R7828" i="34"/>
  <c r="R7829" i="34"/>
  <c r="R7830" i="34"/>
  <c r="R7831" i="34"/>
  <c r="R7832" i="34"/>
  <c r="R7833" i="34"/>
  <c r="R7834" i="34"/>
  <c r="R7835" i="34"/>
  <c r="R7836" i="34"/>
  <c r="R7837" i="34"/>
  <c r="R7838" i="34"/>
  <c r="R7839" i="34"/>
  <c r="R7840" i="34"/>
  <c r="R7841" i="34"/>
  <c r="R7842" i="34"/>
  <c r="R7843" i="34"/>
  <c r="R7844" i="34"/>
  <c r="R7845" i="34"/>
  <c r="R7846" i="34"/>
  <c r="R7847" i="34"/>
  <c r="R7848" i="34"/>
  <c r="R7849" i="34"/>
  <c r="R7850" i="34"/>
  <c r="R7851" i="34"/>
  <c r="R7852" i="34"/>
  <c r="R7853" i="34"/>
  <c r="R7854" i="34"/>
  <c r="R7855" i="34"/>
  <c r="R7856" i="34"/>
  <c r="R7857" i="34"/>
  <c r="R7858" i="34"/>
  <c r="R7859" i="34"/>
  <c r="R7860" i="34"/>
  <c r="R7861" i="34"/>
  <c r="R7862" i="34"/>
  <c r="R7863" i="34"/>
  <c r="R7864" i="34"/>
  <c r="R7865" i="34"/>
  <c r="R7866" i="34"/>
  <c r="R7867" i="34"/>
  <c r="R7868" i="34"/>
  <c r="R7869" i="34"/>
  <c r="R7870" i="34"/>
  <c r="R7871" i="34"/>
  <c r="R7872" i="34"/>
  <c r="R7873" i="34"/>
  <c r="R7874" i="34"/>
  <c r="R7875" i="34"/>
  <c r="R7876" i="34"/>
  <c r="R7877" i="34"/>
  <c r="R7878" i="34"/>
  <c r="R7879" i="34"/>
  <c r="R7880" i="34"/>
  <c r="R7881" i="34"/>
  <c r="R7882" i="34"/>
  <c r="R7883" i="34"/>
  <c r="R7884" i="34"/>
  <c r="R7885" i="34"/>
  <c r="R7886" i="34"/>
  <c r="R7887" i="34"/>
  <c r="R7888" i="34"/>
  <c r="R7889" i="34"/>
  <c r="R7890" i="34"/>
  <c r="R7891" i="34"/>
  <c r="R7892" i="34"/>
  <c r="R7893" i="34"/>
  <c r="R7894" i="34"/>
  <c r="R7895" i="34"/>
  <c r="R7896" i="34"/>
  <c r="R7897" i="34"/>
  <c r="R7898" i="34"/>
  <c r="R7899" i="34"/>
  <c r="R7900" i="34"/>
  <c r="R7901" i="34"/>
  <c r="R7902" i="34"/>
  <c r="R7903" i="34"/>
  <c r="R7904" i="34"/>
  <c r="R7905" i="34"/>
  <c r="R7906" i="34"/>
  <c r="R7907" i="34"/>
  <c r="R7908" i="34"/>
  <c r="R7909" i="34"/>
  <c r="R7910" i="34"/>
  <c r="R7911" i="34"/>
  <c r="R7912" i="34"/>
  <c r="R7913" i="34"/>
  <c r="R7914" i="34"/>
  <c r="R7915" i="34"/>
  <c r="R7916" i="34"/>
  <c r="R7917" i="34"/>
  <c r="R7918" i="34"/>
  <c r="R7919" i="34"/>
  <c r="R7920" i="34"/>
  <c r="R7921" i="34"/>
  <c r="R7922" i="34"/>
  <c r="R7923" i="34"/>
  <c r="R7924" i="34"/>
  <c r="R7925" i="34"/>
  <c r="R7926" i="34"/>
  <c r="R7927" i="34"/>
  <c r="R7928" i="34"/>
  <c r="R7929" i="34"/>
  <c r="R7930" i="34"/>
  <c r="R7931" i="34"/>
  <c r="R7932" i="34"/>
  <c r="R7933" i="34"/>
  <c r="R7934" i="34"/>
  <c r="R7935" i="34"/>
  <c r="R7936" i="34"/>
  <c r="R7937" i="34"/>
  <c r="R7938" i="34"/>
  <c r="R7939" i="34"/>
  <c r="R7940" i="34"/>
  <c r="R7941" i="34"/>
  <c r="R7942" i="34"/>
  <c r="R7943" i="34"/>
  <c r="R7944" i="34"/>
  <c r="R7945" i="34"/>
  <c r="R7946" i="34"/>
  <c r="R7947" i="34"/>
  <c r="R7948" i="34"/>
  <c r="R7949" i="34"/>
  <c r="R7950" i="34"/>
  <c r="R7951" i="34"/>
  <c r="R7952" i="34"/>
  <c r="R7953" i="34"/>
  <c r="R7954" i="34"/>
  <c r="R7955" i="34"/>
  <c r="R7956" i="34"/>
  <c r="R7957" i="34"/>
  <c r="R7958" i="34"/>
  <c r="R7959" i="34"/>
  <c r="R7960" i="34"/>
  <c r="R7961" i="34"/>
  <c r="R7962" i="34"/>
  <c r="R7963" i="34"/>
  <c r="R7964" i="34"/>
  <c r="R7965" i="34"/>
  <c r="R7966" i="34"/>
  <c r="R7967" i="34"/>
  <c r="R7968" i="34"/>
  <c r="R7969" i="34"/>
  <c r="R7970" i="34"/>
  <c r="R7971" i="34"/>
  <c r="R7972" i="34"/>
  <c r="R7973" i="34"/>
  <c r="R7974" i="34"/>
  <c r="R7975" i="34"/>
  <c r="R7976" i="34"/>
  <c r="R7977" i="34"/>
  <c r="R7978" i="34"/>
  <c r="R7979" i="34"/>
  <c r="R7980" i="34"/>
  <c r="R7981" i="34"/>
  <c r="R7982" i="34"/>
  <c r="R7983" i="34"/>
  <c r="R7984" i="34"/>
  <c r="R7985" i="34"/>
  <c r="R7986" i="34"/>
  <c r="R7987" i="34"/>
  <c r="R7988" i="34"/>
  <c r="R7989" i="34"/>
  <c r="R7990" i="34"/>
  <c r="R7991" i="34"/>
  <c r="R7992" i="34"/>
  <c r="R7993" i="34"/>
  <c r="R7994" i="34"/>
  <c r="R7995" i="34"/>
  <c r="R7996" i="34"/>
  <c r="R7997" i="34"/>
  <c r="R7998" i="34"/>
  <c r="R7999" i="34"/>
  <c r="R8000" i="34"/>
  <c r="R8001" i="34"/>
  <c r="R8002" i="34"/>
  <c r="R8003" i="34"/>
  <c r="R8004" i="34"/>
  <c r="R8005" i="34"/>
  <c r="R8006" i="34"/>
  <c r="R8007" i="34"/>
  <c r="R8008" i="34"/>
  <c r="R8009" i="34"/>
  <c r="R8010" i="34"/>
  <c r="R8011" i="34"/>
  <c r="R8012" i="34"/>
  <c r="R8013" i="34"/>
  <c r="R8014" i="34"/>
  <c r="R8015" i="34"/>
  <c r="R8016" i="34"/>
  <c r="R8017" i="34"/>
  <c r="R8018" i="34"/>
  <c r="R8019" i="34"/>
  <c r="R8020" i="34"/>
  <c r="R8021" i="34"/>
  <c r="R8022" i="34"/>
  <c r="R8023" i="34"/>
  <c r="R8024" i="34"/>
  <c r="R8025" i="34"/>
  <c r="R8026" i="34"/>
  <c r="R8027" i="34"/>
  <c r="R8028" i="34"/>
  <c r="R8029" i="34"/>
  <c r="R8030" i="34"/>
  <c r="R8031" i="34"/>
  <c r="R8032" i="34"/>
  <c r="R8033" i="34"/>
  <c r="R8034" i="34"/>
  <c r="R8035" i="34"/>
  <c r="R8036" i="34"/>
  <c r="R8037" i="34"/>
  <c r="R8038" i="34"/>
  <c r="R8039" i="34"/>
  <c r="R8040" i="34"/>
  <c r="R8041" i="34"/>
  <c r="R8042" i="34"/>
  <c r="R8043" i="34"/>
  <c r="R8044" i="34"/>
  <c r="R8045" i="34"/>
  <c r="R8046" i="34"/>
  <c r="R8047" i="34"/>
  <c r="R8048" i="34"/>
  <c r="R8049" i="34"/>
  <c r="R8050" i="34"/>
  <c r="R8051" i="34"/>
  <c r="R8052" i="34"/>
  <c r="R8053" i="34"/>
  <c r="R8054" i="34"/>
  <c r="R8055" i="34"/>
  <c r="R8056" i="34"/>
  <c r="R8057" i="34"/>
  <c r="R8058" i="34"/>
  <c r="R8059" i="34"/>
  <c r="R8060" i="34"/>
  <c r="R8061" i="34"/>
  <c r="R8062" i="34"/>
  <c r="R8063" i="34"/>
  <c r="R8064" i="34"/>
  <c r="R8065" i="34"/>
  <c r="R8066" i="34"/>
  <c r="R8067" i="34"/>
  <c r="R8068" i="34"/>
  <c r="R8069" i="34"/>
  <c r="R8070" i="34"/>
  <c r="R8071" i="34"/>
  <c r="R8072" i="34"/>
  <c r="R8073" i="34"/>
  <c r="R8074" i="34"/>
  <c r="R8075" i="34"/>
  <c r="R8076" i="34"/>
  <c r="R8077" i="34"/>
  <c r="R8078" i="34"/>
  <c r="R8079" i="34"/>
  <c r="R8080" i="34"/>
  <c r="R8081" i="34"/>
  <c r="R8082" i="34"/>
  <c r="R8083" i="34"/>
  <c r="R8084" i="34"/>
  <c r="R8085" i="34"/>
  <c r="R8086" i="34"/>
  <c r="R8087" i="34"/>
  <c r="R8088" i="34"/>
  <c r="R8089" i="34"/>
  <c r="R8090" i="34"/>
  <c r="R8091" i="34"/>
  <c r="R8092" i="34"/>
  <c r="R8093" i="34"/>
  <c r="R8094" i="34"/>
  <c r="R8095" i="34"/>
  <c r="R8096" i="34"/>
  <c r="R8097" i="34"/>
  <c r="R8098" i="34"/>
  <c r="R8099" i="34"/>
  <c r="R8100" i="34"/>
  <c r="R8101" i="34"/>
  <c r="R8102" i="34"/>
  <c r="R8103" i="34"/>
  <c r="R8104" i="34"/>
  <c r="R8105" i="34"/>
  <c r="R8106" i="34"/>
  <c r="R8107" i="34"/>
  <c r="R8108" i="34"/>
  <c r="R8109" i="34"/>
  <c r="R8110" i="34"/>
  <c r="R8111" i="34"/>
  <c r="R8112" i="34"/>
  <c r="R8113" i="34"/>
  <c r="R8114" i="34"/>
  <c r="R8115" i="34"/>
  <c r="R8116" i="34"/>
  <c r="R8117" i="34"/>
  <c r="R8118" i="34"/>
  <c r="R8119" i="34"/>
  <c r="R8120" i="34"/>
  <c r="R8121" i="34"/>
  <c r="R8122" i="34"/>
  <c r="R8123" i="34"/>
  <c r="R8124" i="34"/>
  <c r="R8125" i="34"/>
  <c r="R8126" i="34"/>
  <c r="R8127" i="34"/>
  <c r="R8128" i="34"/>
  <c r="R8129" i="34"/>
  <c r="R8130" i="34"/>
  <c r="R8131" i="34"/>
  <c r="R8132" i="34"/>
  <c r="R8133" i="34"/>
  <c r="R8134" i="34"/>
  <c r="R8135" i="34"/>
  <c r="R8136" i="34"/>
  <c r="R8137" i="34"/>
  <c r="R8138" i="34"/>
  <c r="R8139" i="34"/>
  <c r="R8140" i="34"/>
  <c r="R8141" i="34"/>
  <c r="R8142" i="34"/>
  <c r="R8143" i="34"/>
  <c r="R8144" i="34"/>
  <c r="R8145" i="34"/>
  <c r="R8146" i="34"/>
  <c r="R8147" i="34"/>
  <c r="R8148" i="34"/>
  <c r="R8149" i="34"/>
  <c r="R8150" i="34"/>
  <c r="R8151" i="34"/>
  <c r="R8152" i="34"/>
  <c r="R8153" i="34"/>
  <c r="R8154" i="34"/>
  <c r="R8155" i="34"/>
  <c r="R8156" i="34"/>
  <c r="R8157" i="34"/>
  <c r="R8158" i="34"/>
  <c r="R8159" i="34"/>
  <c r="R8160" i="34"/>
  <c r="R8161" i="34"/>
  <c r="R8162" i="34"/>
  <c r="R8163" i="34"/>
  <c r="R8164" i="34"/>
  <c r="R8165" i="34"/>
  <c r="R8166" i="34"/>
  <c r="R8167" i="34"/>
  <c r="R8168" i="34"/>
  <c r="R8169" i="34"/>
  <c r="R8170" i="34"/>
  <c r="R8171" i="34"/>
  <c r="R8172" i="34"/>
  <c r="R8173" i="34"/>
  <c r="R8174" i="34"/>
  <c r="R8175" i="34"/>
  <c r="R8176" i="34"/>
  <c r="R8177" i="34"/>
  <c r="R8178" i="34"/>
  <c r="R8179" i="34"/>
  <c r="R8180" i="34"/>
  <c r="R8181" i="34"/>
  <c r="R8182" i="34"/>
  <c r="R8183" i="34"/>
  <c r="R8184" i="34"/>
  <c r="R8185" i="34"/>
  <c r="R8186" i="34"/>
  <c r="R8187" i="34"/>
  <c r="R8188" i="34"/>
  <c r="R8189" i="34"/>
  <c r="R8190" i="34"/>
  <c r="R8191" i="34"/>
  <c r="R8192" i="34"/>
  <c r="R8193" i="34"/>
  <c r="R8194" i="34"/>
  <c r="R8195" i="34"/>
  <c r="R8196" i="34"/>
  <c r="R8197" i="34"/>
  <c r="R8198" i="34"/>
  <c r="R8199" i="34"/>
  <c r="R8200" i="34"/>
  <c r="R8201" i="34"/>
  <c r="R8202" i="34"/>
  <c r="R8203" i="34"/>
  <c r="R8204" i="34"/>
  <c r="R8205" i="34"/>
  <c r="R8206" i="34"/>
  <c r="R8207" i="34"/>
  <c r="R8208" i="34"/>
  <c r="R8209" i="34"/>
  <c r="R8210" i="34"/>
  <c r="R8211" i="34"/>
  <c r="R8212" i="34"/>
  <c r="R8213" i="34"/>
  <c r="R8214" i="34"/>
  <c r="R8215" i="34"/>
  <c r="R8216" i="34"/>
  <c r="R8217" i="34"/>
  <c r="R8218" i="34"/>
  <c r="R8219" i="34"/>
  <c r="R8220" i="34"/>
  <c r="R8221" i="34"/>
  <c r="R8222" i="34"/>
  <c r="R8223" i="34"/>
  <c r="R8224" i="34"/>
  <c r="R8225" i="34"/>
  <c r="R8226" i="34"/>
  <c r="R8227" i="34"/>
  <c r="R8228" i="34"/>
  <c r="R8229" i="34"/>
  <c r="R8230" i="34"/>
  <c r="R8231" i="34"/>
  <c r="R8232" i="34"/>
  <c r="R8233" i="34"/>
  <c r="R8234" i="34"/>
  <c r="R8235" i="34"/>
  <c r="R8236" i="34"/>
  <c r="R8237" i="34"/>
  <c r="R8238" i="34"/>
  <c r="R8239" i="34"/>
  <c r="R8240" i="34"/>
  <c r="R8241" i="34"/>
  <c r="R8242" i="34"/>
  <c r="R8243" i="34"/>
  <c r="R8244" i="34"/>
  <c r="R8245" i="34"/>
  <c r="R8246" i="34"/>
  <c r="R8247" i="34"/>
  <c r="R8248" i="34"/>
  <c r="R8249" i="34"/>
  <c r="R8250" i="34"/>
  <c r="R8251" i="34"/>
  <c r="R8252" i="34"/>
  <c r="R8253" i="34"/>
  <c r="R8254" i="34"/>
  <c r="R8255" i="34"/>
  <c r="R8256" i="34"/>
  <c r="R8257" i="34"/>
  <c r="R8258" i="34"/>
  <c r="R8259" i="34"/>
  <c r="R8260" i="34"/>
  <c r="R8261" i="34"/>
  <c r="R8262" i="34"/>
  <c r="R8263" i="34"/>
  <c r="R8264" i="34"/>
  <c r="R8265" i="34"/>
  <c r="R8266" i="34"/>
  <c r="R8267" i="34"/>
  <c r="R8268" i="34"/>
  <c r="R8269" i="34"/>
  <c r="R8270" i="34"/>
  <c r="R8271" i="34"/>
  <c r="R8272" i="34"/>
  <c r="R8273" i="34"/>
  <c r="R8274" i="34"/>
  <c r="R8275" i="34"/>
  <c r="R8276" i="34"/>
  <c r="R8277" i="34"/>
  <c r="R8278" i="34"/>
  <c r="R8279" i="34"/>
  <c r="R8280" i="34"/>
  <c r="R8281" i="34"/>
  <c r="R8282" i="34"/>
  <c r="R8283" i="34"/>
  <c r="R8284" i="34"/>
  <c r="R8285" i="34"/>
  <c r="R8286" i="34"/>
  <c r="R8287" i="34"/>
  <c r="R8288" i="34"/>
  <c r="R8289" i="34"/>
  <c r="R8290" i="34"/>
  <c r="R8291" i="34"/>
  <c r="R8292" i="34"/>
  <c r="R8293" i="34"/>
  <c r="R8294" i="34"/>
  <c r="R8295" i="34"/>
  <c r="R8296" i="34"/>
  <c r="R8297" i="34"/>
  <c r="R8298" i="34"/>
  <c r="R8299" i="34"/>
  <c r="R8300" i="34"/>
  <c r="R8301" i="34"/>
  <c r="R8302" i="34"/>
  <c r="R8303" i="34"/>
  <c r="R8304" i="34"/>
  <c r="R8305" i="34"/>
  <c r="R8306" i="34"/>
  <c r="R8307" i="34"/>
  <c r="R8308" i="34"/>
  <c r="R8309" i="34"/>
  <c r="R8310" i="34"/>
  <c r="R8311" i="34"/>
  <c r="R8312" i="34"/>
  <c r="R8313" i="34"/>
  <c r="R8314" i="34"/>
  <c r="R8315" i="34"/>
  <c r="R8316" i="34"/>
  <c r="R8317" i="34"/>
  <c r="R8318" i="34"/>
  <c r="R8319" i="34"/>
  <c r="R8320" i="34"/>
  <c r="R8321" i="34"/>
  <c r="R8322" i="34"/>
  <c r="R8323" i="34"/>
  <c r="R8324" i="34"/>
  <c r="R8325" i="34"/>
  <c r="R8326" i="34"/>
  <c r="R8327" i="34"/>
  <c r="R8328" i="34"/>
  <c r="R8329" i="34"/>
  <c r="R8330" i="34"/>
  <c r="R8331" i="34"/>
  <c r="R8332" i="34"/>
  <c r="R8333" i="34"/>
  <c r="R8334" i="34"/>
  <c r="R8335" i="34"/>
  <c r="R8336" i="34"/>
  <c r="R8337" i="34"/>
  <c r="R8338" i="34"/>
  <c r="R8339" i="34"/>
  <c r="R8340" i="34"/>
  <c r="R8341" i="34"/>
  <c r="R8342" i="34"/>
  <c r="R8343" i="34"/>
  <c r="R8344" i="34"/>
  <c r="R8345" i="34"/>
  <c r="R8346" i="34"/>
  <c r="R8347" i="34"/>
  <c r="R8348" i="34"/>
  <c r="R8349" i="34"/>
  <c r="R8350" i="34"/>
  <c r="R8351" i="34"/>
  <c r="R8352" i="34"/>
  <c r="R8353" i="34"/>
  <c r="R8354" i="34"/>
  <c r="R8355" i="34"/>
  <c r="R8356" i="34"/>
  <c r="R8357" i="34"/>
  <c r="R8358" i="34"/>
  <c r="R8359" i="34"/>
  <c r="R8360" i="34"/>
  <c r="R8361" i="34"/>
  <c r="R8362" i="34"/>
  <c r="R8363" i="34"/>
  <c r="R8364" i="34"/>
  <c r="R8365" i="34"/>
  <c r="R8366" i="34"/>
  <c r="R8367" i="34"/>
  <c r="R8368" i="34"/>
  <c r="R8369" i="34"/>
  <c r="R8370" i="34"/>
  <c r="R8371" i="34"/>
  <c r="R8372" i="34"/>
  <c r="R8373" i="34"/>
  <c r="R8374" i="34"/>
  <c r="R8375" i="34"/>
  <c r="R8376" i="34"/>
  <c r="R8377" i="34"/>
  <c r="R8378" i="34"/>
  <c r="R8379" i="34"/>
  <c r="R8380" i="34"/>
  <c r="R8381" i="34"/>
  <c r="R8382" i="34"/>
  <c r="R8383" i="34"/>
  <c r="R8384" i="34"/>
  <c r="R8385" i="34"/>
  <c r="R8386" i="34"/>
  <c r="R8387" i="34"/>
  <c r="R8388" i="34"/>
  <c r="R8389" i="34"/>
  <c r="R8390" i="34"/>
  <c r="R8391" i="34"/>
  <c r="R8392" i="34"/>
  <c r="R8393" i="34"/>
  <c r="R8394" i="34"/>
  <c r="R8395" i="34"/>
  <c r="R8396" i="34"/>
  <c r="R8397" i="34"/>
  <c r="R8398" i="34"/>
  <c r="R8399" i="34"/>
  <c r="R8400" i="34"/>
  <c r="R8401" i="34"/>
  <c r="R8402" i="34"/>
  <c r="R8403" i="34"/>
  <c r="R8404" i="34"/>
  <c r="R8405" i="34"/>
  <c r="R8406" i="34"/>
  <c r="R8407" i="34"/>
  <c r="R8408" i="34"/>
  <c r="R8409" i="34"/>
  <c r="R8410" i="34"/>
  <c r="R8411" i="34"/>
  <c r="R8412" i="34"/>
  <c r="R8413" i="34"/>
  <c r="R8414" i="34"/>
  <c r="R8415" i="34"/>
  <c r="R8416" i="34"/>
  <c r="R8417" i="34"/>
  <c r="R8418" i="34"/>
  <c r="R8419" i="34"/>
  <c r="R8420" i="34"/>
  <c r="R8421" i="34"/>
  <c r="R8422" i="34"/>
  <c r="R8423" i="34"/>
  <c r="R8424" i="34"/>
  <c r="R8425" i="34"/>
  <c r="R8426" i="34"/>
  <c r="R8427" i="34"/>
  <c r="R8428" i="34"/>
  <c r="R8429" i="34"/>
  <c r="R8430" i="34"/>
  <c r="R8431" i="34"/>
  <c r="R8432" i="34"/>
  <c r="R8433" i="34"/>
  <c r="R8434" i="34"/>
  <c r="R8435" i="34"/>
  <c r="R8436" i="34"/>
  <c r="R8437" i="34"/>
  <c r="R8438" i="34"/>
  <c r="R8439" i="34"/>
  <c r="R8440" i="34"/>
  <c r="R8441" i="34"/>
  <c r="R8442" i="34"/>
  <c r="R8443" i="34"/>
  <c r="R8444" i="34"/>
  <c r="R8445" i="34"/>
  <c r="R8446" i="34"/>
  <c r="R8447" i="34"/>
  <c r="R8448" i="34"/>
  <c r="R8449" i="34"/>
  <c r="R8450" i="34"/>
  <c r="R8451" i="34"/>
  <c r="R8452" i="34"/>
  <c r="R8453" i="34"/>
  <c r="R8454" i="34"/>
  <c r="R8455" i="34"/>
  <c r="R8456" i="34"/>
  <c r="R8457" i="34"/>
  <c r="R8458" i="34"/>
  <c r="R8459" i="34"/>
  <c r="R8460" i="34"/>
  <c r="R8461" i="34"/>
  <c r="R8462" i="34"/>
  <c r="R8463" i="34"/>
  <c r="R8464" i="34"/>
  <c r="R8465" i="34"/>
  <c r="R8466" i="34"/>
  <c r="R8467" i="34"/>
  <c r="R8468" i="34"/>
  <c r="R8469" i="34"/>
  <c r="R8470" i="34"/>
  <c r="R8471" i="34"/>
  <c r="R8472" i="34"/>
  <c r="R8473" i="34"/>
  <c r="R8474" i="34"/>
  <c r="R8475" i="34"/>
  <c r="R8476" i="34"/>
  <c r="R8477" i="34"/>
  <c r="R8478" i="34"/>
  <c r="R8479" i="34"/>
  <c r="R8480" i="34"/>
  <c r="R8481" i="34"/>
  <c r="R8482" i="34"/>
  <c r="R8483" i="34"/>
  <c r="R8484" i="34"/>
  <c r="R8485" i="34"/>
  <c r="R8486" i="34"/>
  <c r="R8487" i="34"/>
  <c r="R8488" i="34"/>
  <c r="R8489" i="34"/>
  <c r="R8490" i="34"/>
  <c r="R8491" i="34"/>
  <c r="R8492" i="34"/>
  <c r="R8493" i="34"/>
  <c r="R8494" i="34"/>
  <c r="R8495" i="34"/>
  <c r="R8496" i="34"/>
  <c r="R8497" i="34"/>
  <c r="R8498" i="34"/>
  <c r="R8499" i="34"/>
  <c r="R8500" i="34"/>
  <c r="R8501" i="34"/>
  <c r="R8502" i="34"/>
  <c r="R8503" i="34"/>
  <c r="R8504" i="34"/>
  <c r="R8505" i="34"/>
  <c r="R8506" i="34"/>
  <c r="R8507" i="34"/>
  <c r="R8508" i="34"/>
  <c r="R8509" i="34"/>
  <c r="R8510" i="34"/>
  <c r="R8511" i="34"/>
  <c r="R8512" i="34"/>
  <c r="R8513" i="34"/>
  <c r="R8514" i="34"/>
  <c r="R8515" i="34"/>
  <c r="R8516" i="34"/>
  <c r="R8517" i="34"/>
  <c r="R8518" i="34"/>
  <c r="R8519" i="34"/>
  <c r="R8520" i="34"/>
  <c r="R8521" i="34"/>
  <c r="R8522" i="34"/>
  <c r="R8523" i="34"/>
  <c r="R8524" i="34"/>
  <c r="R8525" i="34"/>
  <c r="R8526" i="34"/>
  <c r="R8527" i="34"/>
  <c r="R8528" i="34"/>
  <c r="R8529" i="34"/>
  <c r="R8530" i="34"/>
  <c r="R8531" i="34"/>
  <c r="R8532" i="34"/>
  <c r="R8533" i="34"/>
  <c r="R8534" i="34"/>
  <c r="R8535" i="34"/>
  <c r="R8536" i="34"/>
  <c r="R8537" i="34"/>
  <c r="R8538" i="34"/>
  <c r="R8539" i="34"/>
  <c r="R8540" i="34"/>
  <c r="R8541" i="34"/>
  <c r="R8542" i="34"/>
  <c r="R8543" i="34"/>
  <c r="R8544" i="34"/>
  <c r="R8545" i="34"/>
  <c r="R8546" i="34"/>
  <c r="R8547" i="34"/>
  <c r="R8548" i="34"/>
  <c r="R8549" i="34"/>
  <c r="R8550" i="34"/>
  <c r="R8551" i="34"/>
  <c r="R8552" i="34"/>
  <c r="R8553" i="34"/>
  <c r="R8554" i="34"/>
  <c r="R8555" i="34"/>
  <c r="R8556" i="34"/>
  <c r="R8557" i="34"/>
  <c r="R8558" i="34"/>
  <c r="R8559" i="34"/>
  <c r="R8560" i="34"/>
  <c r="R8561" i="34"/>
  <c r="R8562" i="34"/>
  <c r="R8563" i="34"/>
  <c r="R8564" i="34"/>
  <c r="R8565" i="34"/>
  <c r="R8566" i="34"/>
  <c r="R8567" i="34"/>
  <c r="R8568" i="34"/>
  <c r="R8569" i="34"/>
  <c r="R8570" i="34"/>
  <c r="R8571" i="34"/>
  <c r="R8572" i="34"/>
  <c r="R8573" i="34"/>
  <c r="R8574" i="34"/>
  <c r="R8575" i="34"/>
  <c r="R8576" i="34"/>
  <c r="R8577" i="34"/>
  <c r="R8578" i="34"/>
  <c r="R8579" i="34"/>
  <c r="R8580" i="34"/>
  <c r="R8581" i="34"/>
  <c r="R8582" i="34"/>
  <c r="R8583" i="34"/>
  <c r="R8584" i="34"/>
  <c r="R8585" i="34"/>
  <c r="R8586" i="34"/>
  <c r="R8587" i="34"/>
  <c r="R8588" i="34"/>
  <c r="R8589" i="34"/>
  <c r="R8590" i="34"/>
  <c r="R8591" i="34"/>
  <c r="R8592" i="34"/>
  <c r="R8593" i="34"/>
  <c r="R8594" i="34"/>
  <c r="R8595" i="34"/>
  <c r="R8596" i="34"/>
  <c r="R8597" i="34"/>
  <c r="R8598" i="34"/>
  <c r="R8599" i="34"/>
  <c r="R8600" i="34"/>
  <c r="R8601" i="34"/>
  <c r="R8602" i="34"/>
  <c r="R8603" i="34"/>
  <c r="R8604" i="34"/>
  <c r="R8605" i="34"/>
  <c r="R8606" i="34"/>
  <c r="R8607" i="34"/>
  <c r="R8608" i="34"/>
  <c r="R8609" i="34"/>
  <c r="R8610" i="34"/>
  <c r="R8611" i="34"/>
  <c r="R8612" i="34"/>
  <c r="R8613" i="34"/>
  <c r="R8614" i="34"/>
  <c r="R8615" i="34"/>
  <c r="R8616" i="34"/>
  <c r="R8617" i="34"/>
  <c r="R8618" i="34"/>
  <c r="R8619" i="34"/>
  <c r="R8620" i="34"/>
  <c r="R8621" i="34"/>
  <c r="R8622" i="34"/>
  <c r="R8623" i="34"/>
  <c r="R8624" i="34"/>
  <c r="R8625" i="34"/>
  <c r="R8626" i="34"/>
  <c r="R8627" i="34"/>
  <c r="R8628" i="34"/>
  <c r="R8629" i="34"/>
  <c r="R8630" i="34"/>
  <c r="R8631" i="34"/>
  <c r="R8632" i="34"/>
  <c r="R8633" i="34"/>
  <c r="R8634" i="34"/>
  <c r="R8635" i="34"/>
  <c r="R8636" i="34"/>
  <c r="R8637" i="34"/>
  <c r="R8638" i="34"/>
  <c r="R8639" i="34"/>
  <c r="R8640" i="34"/>
  <c r="R8641" i="34"/>
  <c r="R8642" i="34"/>
  <c r="R8643" i="34"/>
  <c r="R8644" i="34"/>
  <c r="R8645" i="34"/>
  <c r="R8646" i="34"/>
  <c r="R8647" i="34"/>
  <c r="R8648" i="34"/>
  <c r="R8649" i="34"/>
  <c r="R8650" i="34"/>
  <c r="R8651" i="34"/>
  <c r="R8652" i="34"/>
  <c r="R8653" i="34"/>
  <c r="R8654" i="34"/>
  <c r="R8655" i="34"/>
  <c r="R8656" i="34"/>
  <c r="R8657" i="34"/>
  <c r="R8658" i="34"/>
  <c r="R8659" i="34"/>
  <c r="R8660" i="34"/>
  <c r="R8661" i="34"/>
  <c r="R8662" i="34"/>
  <c r="R8663" i="34"/>
  <c r="R8664" i="34"/>
  <c r="R8665" i="34"/>
  <c r="R8666" i="34"/>
  <c r="R8667" i="34"/>
  <c r="R8668" i="34"/>
  <c r="R8669" i="34"/>
  <c r="R8670" i="34"/>
  <c r="R8671" i="34"/>
  <c r="R8672" i="34"/>
  <c r="R8673" i="34"/>
  <c r="R8674" i="34"/>
  <c r="R8675" i="34"/>
  <c r="R8676" i="34"/>
  <c r="R8677" i="34"/>
  <c r="R8678" i="34"/>
  <c r="R8679" i="34"/>
  <c r="R8680" i="34"/>
  <c r="R8681" i="34"/>
  <c r="R8682" i="34"/>
  <c r="R8683" i="34"/>
  <c r="R8684" i="34"/>
  <c r="R8685" i="34"/>
  <c r="R8686" i="34"/>
  <c r="R8687" i="34"/>
  <c r="R8688" i="34"/>
  <c r="R8689" i="34"/>
  <c r="R8690" i="34"/>
  <c r="R8691" i="34"/>
  <c r="R8692" i="34"/>
  <c r="R8693" i="34"/>
  <c r="R8694" i="34"/>
  <c r="R8695" i="34"/>
  <c r="R8696" i="34"/>
  <c r="R8697" i="34"/>
  <c r="R8698" i="34"/>
  <c r="R8699" i="34"/>
  <c r="R8700" i="34"/>
  <c r="R8701" i="34"/>
  <c r="R8702" i="34"/>
  <c r="R8703" i="34"/>
  <c r="R8704" i="34"/>
  <c r="R8705" i="34"/>
  <c r="R8706" i="34"/>
  <c r="R8707" i="34"/>
  <c r="R8708" i="34"/>
  <c r="R8709" i="34"/>
  <c r="R8710" i="34"/>
  <c r="R8711" i="34"/>
  <c r="R8712" i="34"/>
  <c r="R8713" i="34"/>
  <c r="R8714" i="34"/>
  <c r="R8715" i="34"/>
  <c r="R8716" i="34"/>
  <c r="R8717" i="34"/>
  <c r="R8718" i="34"/>
  <c r="R8719" i="34"/>
  <c r="R8720" i="34"/>
  <c r="R8721" i="34"/>
  <c r="R8722" i="34"/>
  <c r="R8723" i="34"/>
  <c r="R8724" i="34"/>
  <c r="R8725" i="34"/>
  <c r="R8726" i="34"/>
  <c r="R8727" i="34"/>
  <c r="R8728" i="34"/>
  <c r="R8729" i="34"/>
  <c r="R8730" i="34"/>
  <c r="R8731" i="34"/>
  <c r="R8732" i="34"/>
  <c r="R8733" i="34"/>
  <c r="R8734" i="34"/>
  <c r="R8735" i="34"/>
  <c r="R8736" i="34"/>
  <c r="R8737" i="34"/>
  <c r="R8738" i="34"/>
  <c r="R8739" i="34"/>
  <c r="R8740" i="34"/>
  <c r="R8741" i="34"/>
  <c r="R8742" i="34"/>
  <c r="R8743" i="34"/>
  <c r="R8744" i="34"/>
  <c r="R8745" i="34"/>
  <c r="R8746" i="34"/>
  <c r="R8747" i="34"/>
  <c r="R8748" i="34"/>
  <c r="R8749" i="34"/>
  <c r="R8750" i="34"/>
  <c r="R8751" i="34"/>
  <c r="R8752" i="34"/>
  <c r="R8753" i="34"/>
  <c r="R8754" i="34"/>
  <c r="R8755" i="34"/>
  <c r="R8756" i="34"/>
  <c r="R8757" i="34"/>
  <c r="R8758" i="34"/>
  <c r="R8759" i="34"/>
  <c r="R8760" i="34"/>
  <c r="R8761" i="34"/>
  <c r="R8762" i="34"/>
  <c r="R8763" i="34"/>
  <c r="R8764" i="34"/>
  <c r="R8765" i="34"/>
  <c r="R8766" i="34"/>
  <c r="R8767" i="34"/>
  <c r="R8768" i="34"/>
  <c r="R8769" i="34"/>
  <c r="R8770" i="34"/>
  <c r="R8771" i="34"/>
  <c r="R8772" i="34"/>
  <c r="R8773" i="34"/>
  <c r="R8774" i="34"/>
  <c r="R8775" i="34"/>
  <c r="R8776" i="34"/>
  <c r="R8777" i="34"/>
  <c r="R8778" i="34"/>
  <c r="R8779" i="34"/>
  <c r="R8780" i="34"/>
  <c r="R8781" i="34"/>
  <c r="R8782" i="34"/>
  <c r="R8783" i="34"/>
  <c r="R8784" i="34"/>
  <c r="R8785" i="34"/>
  <c r="R8786" i="34"/>
  <c r="R8787" i="34"/>
  <c r="R8788" i="34"/>
  <c r="R8789" i="34"/>
  <c r="R8790" i="34"/>
  <c r="R8791" i="34"/>
  <c r="R8792" i="34"/>
  <c r="R8793" i="34"/>
  <c r="R8794" i="34"/>
  <c r="R8795" i="34"/>
  <c r="R8796" i="34"/>
  <c r="R8797" i="34"/>
  <c r="R8798" i="34"/>
  <c r="R8799" i="34"/>
  <c r="R8800" i="34"/>
  <c r="R8801" i="34"/>
  <c r="R8802" i="34"/>
  <c r="R8803" i="34"/>
  <c r="R8804" i="34"/>
  <c r="R8805" i="34"/>
  <c r="R8806" i="34"/>
  <c r="R8807" i="34"/>
  <c r="R8808" i="34"/>
  <c r="R8809" i="34"/>
  <c r="R8810" i="34"/>
  <c r="R8811" i="34"/>
  <c r="R8812" i="34"/>
  <c r="R8813" i="34"/>
  <c r="R8814" i="34"/>
  <c r="R8815" i="34"/>
  <c r="R8816" i="34"/>
  <c r="R8817" i="34"/>
  <c r="R8818" i="34"/>
  <c r="R8819" i="34"/>
  <c r="R8820" i="34"/>
  <c r="R8821" i="34"/>
  <c r="R8822" i="34"/>
  <c r="R8823" i="34"/>
  <c r="R8824" i="34"/>
  <c r="R8825" i="34"/>
  <c r="R8826" i="34"/>
  <c r="R8827" i="34"/>
  <c r="R8828" i="34"/>
  <c r="R8829" i="34"/>
  <c r="R8830" i="34"/>
  <c r="R8831" i="34"/>
  <c r="R8832" i="34"/>
  <c r="R8833" i="34"/>
  <c r="R8834" i="34"/>
  <c r="R8835" i="34"/>
  <c r="R8836" i="34"/>
  <c r="R8837" i="34"/>
  <c r="R8838" i="34"/>
  <c r="R8839" i="34"/>
  <c r="R8840" i="34"/>
  <c r="R8841" i="34"/>
  <c r="R8842" i="34"/>
  <c r="R8843" i="34"/>
  <c r="R8844" i="34"/>
  <c r="R8845" i="34"/>
  <c r="R8846" i="34"/>
  <c r="R8847" i="34"/>
  <c r="R8848" i="34"/>
  <c r="R8849" i="34"/>
  <c r="R8850" i="34"/>
  <c r="R8851" i="34"/>
  <c r="R8852" i="34"/>
  <c r="R8853" i="34"/>
  <c r="R8854" i="34"/>
  <c r="R8855" i="34"/>
  <c r="R8856" i="34"/>
  <c r="R8857" i="34"/>
  <c r="R8858" i="34"/>
  <c r="R8859" i="34"/>
  <c r="R8860" i="34"/>
  <c r="R8861" i="34"/>
  <c r="R8862" i="34"/>
  <c r="R8863" i="34"/>
  <c r="R8864" i="34"/>
  <c r="R8865" i="34"/>
  <c r="R8866" i="34"/>
  <c r="R8867" i="34"/>
  <c r="R8868" i="34"/>
  <c r="R8869" i="34"/>
  <c r="R8870" i="34"/>
  <c r="R8871" i="34"/>
  <c r="R8872" i="34"/>
  <c r="R8873" i="34"/>
  <c r="R8874" i="34"/>
  <c r="R8875" i="34"/>
  <c r="R8876" i="34"/>
  <c r="R8877" i="34"/>
  <c r="R8878" i="34"/>
  <c r="R8879" i="34"/>
  <c r="R8880" i="34"/>
  <c r="R8881" i="34"/>
  <c r="R8882" i="34"/>
  <c r="R8883" i="34"/>
  <c r="R8884" i="34"/>
  <c r="R8885" i="34"/>
  <c r="R8886" i="34"/>
  <c r="R8887" i="34"/>
  <c r="R8888" i="34"/>
  <c r="R8889" i="34"/>
  <c r="R8890" i="34"/>
  <c r="R8891" i="34"/>
  <c r="R8892" i="34"/>
  <c r="R8893" i="34"/>
  <c r="R8894" i="34"/>
  <c r="R8895" i="34"/>
  <c r="R8896" i="34"/>
  <c r="R8897" i="34"/>
  <c r="R8898" i="34"/>
  <c r="R8899" i="34"/>
  <c r="R8900" i="34"/>
  <c r="R8901" i="34"/>
  <c r="R8902" i="34"/>
  <c r="R8903" i="34"/>
  <c r="R8904" i="34"/>
  <c r="R8905" i="34"/>
  <c r="R8906" i="34"/>
  <c r="R8907" i="34"/>
  <c r="R8908" i="34"/>
  <c r="R8909" i="34"/>
  <c r="R8910" i="34"/>
  <c r="R8911" i="34"/>
  <c r="R8912" i="34"/>
  <c r="R8913" i="34"/>
  <c r="R8914" i="34"/>
  <c r="R8915" i="34"/>
  <c r="R8916" i="34"/>
  <c r="R8917" i="34"/>
  <c r="R8918" i="34"/>
  <c r="R8919" i="34"/>
  <c r="R8920" i="34"/>
  <c r="R8921" i="34"/>
  <c r="R8922" i="34"/>
  <c r="R8923" i="34"/>
  <c r="R8924" i="34"/>
  <c r="R8925" i="34"/>
  <c r="R8926" i="34"/>
  <c r="R8927" i="34"/>
  <c r="R8928" i="34"/>
  <c r="R8929" i="34"/>
  <c r="R8930" i="34"/>
  <c r="R8931" i="34"/>
  <c r="R8932" i="34"/>
  <c r="R8933" i="34"/>
  <c r="R8934" i="34"/>
  <c r="R8935" i="34"/>
  <c r="R8936" i="34"/>
  <c r="R8937" i="34"/>
  <c r="R8938" i="34"/>
  <c r="R8939" i="34"/>
  <c r="R8940" i="34"/>
  <c r="R8941" i="34"/>
  <c r="R8942" i="34"/>
  <c r="R8943" i="34"/>
  <c r="R8944" i="34"/>
  <c r="R8945" i="34"/>
  <c r="R8946" i="34"/>
  <c r="R8947" i="34"/>
  <c r="R8948" i="34"/>
  <c r="R8949" i="34"/>
  <c r="R8950" i="34"/>
  <c r="R8951" i="34"/>
  <c r="R8952" i="34"/>
  <c r="R8953" i="34"/>
  <c r="R8954" i="34"/>
  <c r="R8955" i="34"/>
  <c r="R8956" i="34"/>
  <c r="R8957" i="34"/>
  <c r="R8958" i="34"/>
  <c r="R8959" i="34"/>
  <c r="R8960" i="34"/>
  <c r="R8961" i="34"/>
  <c r="R8962" i="34"/>
  <c r="R8963" i="34"/>
  <c r="R8964" i="34"/>
  <c r="R8965" i="34"/>
  <c r="R8966" i="34"/>
  <c r="R8967" i="34"/>
  <c r="R8968" i="34"/>
  <c r="R8969" i="34"/>
  <c r="R8970" i="34"/>
  <c r="R8971" i="34"/>
  <c r="R8972" i="34"/>
  <c r="R8973" i="34"/>
  <c r="R8974" i="34"/>
  <c r="R8975" i="34"/>
  <c r="R8976" i="34"/>
  <c r="R8977" i="34"/>
  <c r="R8978" i="34"/>
  <c r="R8979" i="34"/>
  <c r="R8980" i="34"/>
  <c r="R8981" i="34"/>
  <c r="R8982" i="34"/>
  <c r="R8983" i="34"/>
  <c r="R8984" i="34"/>
  <c r="R8985" i="34"/>
  <c r="R8986" i="34"/>
  <c r="R8987" i="34"/>
  <c r="R8988" i="34"/>
  <c r="R8989" i="34"/>
  <c r="R8990" i="34"/>
  <c r="R8991" i="34"/>
  <c r="R8992" i="34"/>
  <c r="R8993" i="34"/>
  <c r="R8994" i="34"/>
  <c r="R8995" i="34"/>
  <c r="R8996" i="34"/>
  <c r="R8997" i="34"/>
  <c r="R8998" i="34"/>
  <c r="R8999" i="34"/>
  <c r="R9000" i="34"/>
  <c r="R9001" i="34"/>
  <c r="R9002" i="34"/>
  <c r="R9003" i="34"/>
  <c r="R9004" i="34"/>
  <c r="R9005" i="34"/>
  <c r="R9006" i="34"/>
  <c r="R9007" i="34"/>
  <c r="R9008" i="34"/>
  <c r="R9009" i="34"/>
  <c r="R9010" i="34"/>
  <c r="R9011" i="34"/>
  <c r="R9012" i="34"/>
  <c r="R9013" i="34"/>
  <c r="R9014" i="34"/>
  <c r="R9015" i="34"/>
  <c r="R9016" i="34"/>
  <c r="R9017" i="34"/>
  <c r="R9018" i="34"/>
  <c r="R9019" i="34"/>
  <c r="R9020" i="34"/>
  <c r="R9021" i="34"/>
  <c r="R9022" i="34"/>
  <c r="R9023" i="34"/>
  <c r="R9024" i="34"/>
  <c r="R9025" i="34"/>
  <c r="R9026" i="34"/>
  <c r="R9027" i="34"/>
  <c r="R9028" i="34"/>
  <c r="R9029" i="34"/>
  <c r="R9030" i="34"/>
  <c r="R9031" i="34"/>
  <c r="R9032" i="34"/>
  <c r="R9033" i="34"/>
  <c r="R9034" i="34"/>
  <c r="R9035" i="34"/>
  <c r="R9036" i="34"/>
  <c r="R9037" i="34"/>
  <c r="R9038" i="34"/>
  <c r="R9039" i="34"/>
  <c r="R9040" i="34"/>
  <c r="R9041" i="34"/>
  <c r="R9042" i="34"/>
  <c r="R9043" i="34"/>
  <c r="R9044" i="34"/>
  <c r="R9045" i="34"/>
  <c r="R9046" i="34"/>
  <c r="R9047" i="34"/>
  <c r="R9048" i="34"/>
  <c r="R9049" i="34"/>
  <c r="R9050" i="34"/>
  <c r="R9051" i="34"/>
  <c r="R9052" i="34"/>
  <c r="R9053" i="34"/>
  <c r="R9054" i="34"/>
  <c r="R9055" i="34"/>
  <c r="R9056" i="34"/>
  <c r="R9057" i="34"/>
  <c r="R9058" i="34"/>
  <c r="R9059" i="34"/>
  <c r="R9060" i="34"/>
  <c r="R9061" i="34"/>
  <c r="R9062" i="34"/>
  <c r="R9063" i="34"/>
  <c r="R9064" i="34"/>
  <c r="R9065" i="34"/>
  <c r="R9066" i="34"/>
  <c r="R9067" i="34"/>
  <c r="R9068" i="34"/>
  <c r="R9069" i="34"/>
  <c r="R9070" i="34"/>
  <c r="R9071" i="34"/>
  <c r="R9072" i="34"/>
  <c r="R9073" i="34"/>
  <c r="R9074" i="34"/>
  <c r="R9075" i="34"/>
  <c r="R9076" i="34"/>
  <c r="R9077" i="34"/>
  <c r="R9078" i="34"/>
  <c r="R9079" i="34"/>
  <c r="R9080" i="34"/>
  <c r="R9081" i="34"/>
  <c r="R9082" i="34"/>
  <c r="R9083" i="34"/>
  <c r="R9084" i="34"/>
  <c r="R9085" i="34"/>
  <c r="R9086" i="34"/>
  <c r="R9087" i="34"/>
  <c r="R9088" i="34"/>
  <c r="R9089" i="34"/>
  <c r="R9090" i="34"/>
  <c r="R9091" i="34"/>
  <c r="R9092" i="34"/>
  <c r="R9093" i="34"/>
  <c r="R9094" i="34"/>
  <c r="R9095" i="34"/>
  <c r="R9096" i="34"/>
  <c r="R9097" i="34"/>
  <c r="R9098" i="34"/>
  <c r="R9099" i="34"/>
  <c r="R9100" i="34"/>
  <c r="R9101" i="34"/>
  <c r="R9102" i="34"/>
  <c r="R9103" i="34"/>
  <c r="R9104" i="34"/>
  <c r="R9105" i="34"/>
  <c r="R9106" i="34"/>
  <c r="R9107" i="34"/>
  <c r="R9108" i="34"/>
  <c r="R9109" i="34"/>
  <c r="R9110" i="34"/>
  <c r="R9111" i="34"/>
  <c r="R9112" i="34"/>
  <c r="R9113" i="34"/>
  <c r="R9114" i="34"/>
  <c r="R9115" i="34"/>
  <c r="R9116" i="34"/>
  <c r="R9117" i="34"/>
  <c r="R9118" i="34"/>
  <c r="R9119" i="34"/>
  <c r="R9120" i="34"/>
  <c r="R9121" i="34"/>
  <c r="R9122" i="34"/>
  <c r="R9123" i="34"/>
  <c r="R9124" i="34"/>
  <c r="R9125" i="34"/>
  <c r="R9126" i="34"/>
  <c r="R9127" i="34"/>
  <c r="R9128" i="34"/>
  <c r="R9129" i="34"/>
  <c r="R9130" i="34"/>
  <c r="R9131" i="34"/>
  <c r="R9132" i="34"/>
  <c r="R9133" i="34"/>
  <c r="R9134" i="34"/>
  <c r="R9135" i="34"/>
  <c r="R9136" i="34"/>
  <c r="R9137" i="34"/>
  <c r="R9138" i="34"/>
  <c r="R9139" i="34"/>
  <c r="R9140" i="34"/>
  <c r="R9141" i="34"/>
  <c r="R9142" i="34"/>
  <c r="R9143" i="34"/>
  <c r="R9144" i="34"/>
  <c r="R9145" i="34"/>
  <c r="R9146" i="34"/>
  <c r="R9147" i="34"/>
  <c r="R9148" i="34"/>
  <c r="R9149" i="34"/>
  <c r="R9150" i="34"/>
  <c r="R9151" i="34"/>
  <c r="R9152" i="34"/>
  <c r="R9153" i="34"/>
  <c r="R9154" i="34"/>
  <c r="R9155" i="34"/>
  <c r="R9156" i="34"/>
  <c r="R9157" i="34"/>
  <c r="R9158" i="34"/>
  <c r="R9159" i="34"/>
  <c r="R9160" i="34"/>
  <c r="R9161" i="34"/>
  <c r="R9162" i="34"/>
  <c r="R9163" i="34"/>
  <c r="R9164" i="34"/>
  <c r="R9165" i="34"/>
  <c r="R9166" i="34"/>
  <c r="R9167" i="34"/>
  <c r="R9168" i="34"/>
  <c r="R9169" i="34"/>
  <c r="R9170" i="34"/>
  <c r="R9171" i="34"/>
  <c r="R9172" i="34"/>
  <c r="R9173" i="34"/>
  <c r="R9174" i="34"/>
  <c r="R9175" i="34"/>
  <c r="R9176" i="34"/>
  <c r="R9177" i="34"/>
  <c r="R9178" i="34"/>
  <c r="R9179" i="34"/>
  <c r="R9180" i="34"/>
  <c r="R9181" i="34"/>
  <c r="R9182" i="34"/>
  <c r="R9183" i="34"/>
  <c r="R9184" i="34"/>
  <c r="R9185" i="34"/>
  <c r="R9186" i="34"/>
  <c r="R9187" i="34"/>
  <c r="R9188" i="34"/>
  <c r="R9189" i="34"/>
  <c r="R9190" i="34"/>
  <c r="R9191" i="34"/>
  <c r="R9192" i="34"/>
  <c r="R9193" i="34"/>
  <c r="R9194" i="34"/>
  <c r="R9195" i="34"/>
  <c r="R9196" i="34"/>
  <c r="R9197" i="34"/>
  <c r="R9198" i="34"/>
  <c r="R9199" i="34"/>
  <c r="R9200" i="34"/>
  <c r="R9201" i="34"/>
  <c r="R9202" i="34"/>
  <c r="R9203" i="34"/>
  <c r="R9204" i="34"/>
  <c r="R9205" i="34"/>
  <c r="R9206" i="34"/>
  <c r="R9207" i="34"/>
  <c r="R9208" i="34"/>
  <c r="R9209" i="34"/>
  <c r="R9210" i="34"/>
  <c r="R9211" i="34"/>
  <c r="R9212" i="34"/>
  <c r="R9213" i="34"/>
  <c r="R9214" i="34"/>
  <c r="R9215" i="34"/>
  <c r="R9216" i="34"/>
  <c r="R9217" i="34"/>
  <c r="R9218" i="34"/>
  <c r="R9219" i="34"/>
  <c r="R9220" i="34"/>
  <c r="R9221" i="34"/>
  <c r="R9222" i="34"/>
  <c r="R9223" i="34"/>
  <c r="R9224" i="34"/>
  <c r="R9225" i="34"/>
  <c r="R9226" i="34"/>
  <c r="R9227" i="34"/>
  <c r="R9228" i="34"/>
  <c r="R9229" i="34"/>
  <c r="R9230" i="34"/>
  <c r="R9231" i="34"/>
  <c r="R9232" i="34"/>
  <c r="R9233" i="34"/>
  <c r="R9234" i="34"/>
  <c r="R9235" i="34"/>
  <c r="R9236" i="34"/>
  <c r="R9237" i="34"/>
  <c r="R9238" i="34"/>
  <c r="R9239" i="34"/>
  <c r="R9240" i="34"/>
  <c r="R9241" i="34"/>
  <c r="R9242" i="34"/>
  <c r="R9243" i="34"/>
  <c r="R9244" i="34"/>
  <c r="R9245" i="34"/>
  <c r="R9246" i="34"/>
  <c r="R9247" i="34"/>
  <c r="R9248" i="34"/>
  <c r="R9249" i="34"/>
  <c r="R9250" i="34"/>
  <c r="R9251" i="34"/>
  <c r="R9252" i="34"/>
  <c r="R9253" i="34"/>
  <c r="R9254" i="34"/>
  <c r="R9255" i="34"/>
  <c r="R9256" i="34"/>
  <c r="R9257" i="34"/>
  <c r="R9258" i="34"/>
  <c r="R9259" i="34"/>
  <c r="R9260" i="34"/>
  <c r="R9261" i="34"/>
  <c r="R9262" i="34"/>
  <c r="R9263" i="34"/>
  <c r="R9264" i="34"/>
  <c r="R9265" i="34"/>
  <c r="R9266" i="34"/>
  <c r="R9267" i="34"/>
  <c r="R9268" i="34"/>
  <c r="R9269" i="34"/>
  <c r="R9270" i="34"/>
  <c r="R9271" i="34"/>
  <c r="R9272" i="34"/>
  <c r="R9273" i="34"/>
  <c r="R9274" i="34"/>
  <c r="R9275" i="34"/>
  <c r="R9276" i="34"/>
  <c r="R9277" i="34"/>
  <c r="R9278" i="34"/>
  <c r="R9279" i="34"/>
  <c r="R9280" i="34"/>
  <c r="R9281" i="34"/>
  <c r="R9282" i="34"/>
  <c r="R9283" i="34"/>
  <c r="R9284" i="34"/>
  <c r="R9285" i="34"/>
  <c r="R9286" i="34"/>
  <c r="R9287" i="34"/>
  <c r="R9288" i="34"/>
  <c r="R9289" i="34"/>
  <c r="R9290" i="34"/>
  <c r="R9291" i="34"/>
  <c r="R9292" i="34"/>
  <c r="R9293" i="34"/>
  <c r="R9294" i="34"/>
  <c r="R9295" i="34"/>
  <c r="R9296" i="34"/>
  <c r="R9297" i="34"/>
  <c r="R9298" i="34"/>
  <c r="R9299" i="34"/>
  <c r="R9300" i="34"/>
  <c r="R9301" i="34"/>
  <c r="R9302" i="34"/>
  <c r="R9303" i="34"/>
  <c r="R9304" i="34"/>
  <c r="R9305" i="34"/>
  <c r="R9306" i="34"/>
  <c r="R9307" i="34"/>
  <c r="R9308" i="34"/>
  <c r="R9309" i="34"/>
  <c r="R9310" i="34"/>
  <c r="R9311" i="34"/>
  <c r="R9312" i="34"/>
  <c r="R9313" i="34"/>
  <c r="R9314" i="34"/>
  <c r="R9315" i="34"/>
  <c r="R9316" i="34"/>
  <c r="R9317" i="34"/>
  <c r="R9318" i="34"/>
  <c r="R9319" i="34"/>
  <c r="R9320" i="34"/>
  <c r="R9321" i="34"/>
  <c r="R9322" i="34"/>
  <c r="R9323" i="34"/>
  <c r="R9324" i="34"/>
  <c r="R9325" i="34"/>
  <c r="R9326" i="34"/>
  <c r="R9327" i="34"/>
  <c r="R9328" i="34"/>
  <c r="R9329" i="34"/>
  <c r="R9330" i="34"/>
  <c r="R9331" i="34"/>
  <c r="R9332" i="34"/>
  <c r="R9333" i="34"/>
  <c r="R9334" i="34"/>
  <c r="R9335" i="34"/>
  <c r="R9336" i="34"/>
  <c r="R9337" i="34"/>
  <c r="R9338" i="34"/>
  <c r="R9339" i="34"/>
  <c r="R9340" i="34"/>
  <c r="R9341" i="34"/>
  <c r="R9342" i="34"/>
  <c r="R9343" i="34"/>
  <c r="R9344" i="34"/>
  <c r="R9345" i="34"/>
  <c r="R9346" i="34"/>
  <c r="R9347" i="34"/>
  <c r="R9348" i="34"/>
  <c r="R9349" i="34"/>
  <c r="R9350" i="34"/>
  <c r="R9351" i="34"/>
  <c r="R9352" i="34"/>
  <c r="R9353" i="34"/>
  <c r="R9354" i="34"/>
  <c r="R9355" i="34"/>
  <c r="R9356" i="34"/>
  <c r="R9357" i="34"/>
  <c r="R9358" i="34"/>
  <c r="R9359" i="34"/>
  <c r="R9360" i="34"/>
  <c r="R9361" i="34"/>
  <c r="R9362" i="34"/>
  <c r="R9363" i="34"/>
  <c r="R9364" i="34"/>
  <c r="R9365" i="34"/>
  <c r="R9366" i="34"/>
  <c r="R9367" i="34"/>
  <c r="R9368" i="34"/>
  <c r="R9369" i="34"/>
  <c r="R9370" i="34"/>
  <c r="R9371" i="34"/>
  <c r="R9372" i="34"/>
  <c r="R9373" i="34"/>
  <c r="R9374" i="34"/>
  <c r="R9375" i="34"/>
  <c r="R9376" i="34"/>
  <c r="R9377" i="34"/>
  <c r="R9378" i="34"/>
  <c r="R9379" i="34"/>
  <c r="R9380" i="34"/>
  <c r="R9381" i="34"/>
  <c r="R9382" i="34"/>
  <c r="R9383" i="34"/>
  <c r="R9384" i="34"/>
  <c r="R9385" i="34"/>
  <c r="R9386" i="34"/>
  <c r="R9387" i="34"/>
  <c r="R9388" i="34"/>
  <c r="R9389" i="34"/>
  <c r="R9390" i="34"/>
  <c r="R9391" i="34"/>
  <c r="R9392" i="34"/>
  <c r="R9393" i="34"/>
  <c r="R9394" i="34"/>
  <c r="R9395" i="34"/>
  <c r="R9396" i="34"/>
  <c r="R9397" i="34"/>
  <c r="R9398" i="34"/>
  <c r="R9399" i="34"/>
  <c r="R9400" i="34"/>
  <c r="R9401" i="34"/>
  <c r="R9402" i="34"/>
  <c r="R9403" i="34"/>
  <c r="R9404" i="34"/>
  <c r="R9405" i="34"/>
  <c r="R9406" i="34"/>
  <c r="R9407" i="34"/>
  <c r="R9408" i="34"/>
  <c r="R9409" i="34"/>
  <c r="R9410" i="34"/>
  <c r="R9411" i="34"/>
  <c r="R9412" i="34"/>
  <c r="R9413" i="34"/>
  <c r="R9414" i="34"/>
  <c r="R9415" i="34"/>
  <c r="R9416" i="34"/>
  <c r="R9417" i="34"/>
  <c r="R9418" i="34"/>
  <c r="R9419" i="34"/>
  <c r="R9420" i="34"/>
  <c r="R9421" i="34"/>
  <c r="R9422" i="34"/>
  <c r="R9423" i="34"/>
  <c r="R9424" i="34"/>
  <c r="R9425" i="34"/>
  <c r="R9426" i="34"/>
  <c r="R9427" i="34"/>
  <c r="R9428" i="34"/>
  <c r="R9429" i="34"/>
  <c r="R9430" i="34"/>
  <c r="R9431" i="34"/>
  <c r="R9432" i="34"/>
  <c r="R9433" i="34"/>
  <c r="R9434" i="34"/>
  <c r="R9435" i="34"/>
  <c r="R9436" i="34"/>
  <c r="R9437" i="34"/>
  <c r="R9438" i="34"/>
  <c r="R9439" i="34"/>
  <c r="R9440" i="34"/>
  <c r="R9441" i="34"/>
  <c r="R9442" i="34"/>
  <c r="R9443" i="34"/>
  <c r="R9444" i="34"/>
  <c r="R9445" i="34"/>
  <c r="R9446" i="34"/>
  <c r="R9447" i="34"/>
  <c r="R9448" i="34"/>
  <c r="R9449" i="34"/>
  <c r="R9450" i="34"/>
  <c r="R9451" i="34"/>
  <c r="R9452" i="34"/>
  <c r="R9453" i="34"/>
  <c r="R9454" i="34"/>
  <c r="R9455" i="34"/>
  <c r="R9456" i="34"/>
  <c r="R9457" i="34"/>
  <c r="R9458" i="34"/>
  <c r="R9459" i="34"/>
  <c r="R9460" i="34"/>
  <c r="R9461" i="34"/>
  <c r="R9462" i="34"/>
  <c r="R9463" i="34"/>
  <c r="R9464" i="34"/>
  <c r="R9465" i="34"/>
  <c r="R9466" i="34"/>
  <c r="R9467" i="34"/>
  <c r="R9468" i="34"/>
  <c r="R9469" i="34"/>
  <c r="R9470" i="34"/>
  <c r="R9471" i="34"/>
  <c r="R9472" i="34"/>
  <c r="R9473" i="34"/>
  <c r="R9474" i="34"/>
  <c r="R9475" i="34"/>
  <c r="R9476" i="34"/>
  <c r="R9477" i="34"/>
  <c r="R9478" i="34"/>
  <c r="R9479" i="34"/>
  <c r="R9480" i="34"/>
  <c r="R9481" i="34"/>
  <c r="R9482" i="34"/>
  <c r="R9483" i="34"/>
  <c r="R9484" i="34"/>
  <c r="R9485" i="34"/>
  <c r="R9486" i="34"/>
  <c r="R9487" i="34"/>
  <c r="R9488" i="34"/>
  <c r="R9489" i="34"/>
  <c r="R9490" i="34"/>
  <c r="R9491" i="34"/>
  <c r="R9492" i="34"/>
  <c r="R9493" i="34"/>
  <c r="R9494" i="34"/>
  <c r="R9495" i="34"/>
  <c r="R9496" i="34"/>
  <c r="R9497" i="34"/>
  <c r="R9498" i="34"/>
  <c r="R9499" i="34"/>
  <c r="R9500" i="34"/>
  <c r="R9501" i="34"/>
  <c r="R9502" i="34"/>
  <c r="R9503" i="34"/>
  <c r="R9504" i="34"/>
  <c r="R9505" i="34"/>
  <c r="R9506" i="34"/>
  <c r="R9507" i="34"/>
  <c r="R9508" i="34"/>
  <c r="R9509" i="34"/>
  <c r="R9510" i="34"/>
  <c r="R9511" i="34"/>
  <c r="R9512" i="34"/>
  <c r="R9513" i="34"/>
  <c r="R9514" i="34"/>
  <c r="R9515" i="34"/>
  <c r="R9516" i="34"/>
  <c r="R9517" i="34"/>
  <c r="R9518" i="34"/>
  <c r="R9519" i="34"/>
  <c r="R9520" i="34"/>
  <c r="R9521" i="34"/>
  <c r="R9522" i="34"/>
  <c r="R9523" i="34"/>
  <c r="R9524" i="34"/>
  <c r="R9525" i="34"/>
  <c r="R9526" i="34"/>
  <c r="R9527" i="34"/>
  <c r="R9528" i="34"/>
  <c r="R9529" i="34"/>
  <c r="R9530" i="34"/>
  <c r="R9531" i="34"/>
  <c r="R9532" i="34"/>
  <c r="R9533" i="34"/>
  <c r="R9534" i="34"/>
  <c r="R9535" i="34"/>
  <c r="R9536" i="34"/>
  <c r="R9537" i="34"/>
  <c r="R9538" i="34"/>
  <c r="R9539" i="34"/>
  <c r="R9540" i="34"/>
  <c r="R9541" i="34"/>
  <c r="R9542" i="34"/>
  <c r="R9543" i="34"/>
  <c r="R9544" i="34"/>
  <c r="R9545" i="34"/>
  <c r="R9546" i="34"/>
  <c r="R9547" i="34"/>
  <c r="R9548" i="34"/>
  <c r="R9549" i="34"/>
  <c r="R9550" i="34"/>
  <c r="R9551" i="34"/>
  <c r="R9552" i="34"/>
  <c r="R9553" i="34"/>
  <c r="R9554" i="34"/>
  <c r="R9555" i="34"/>
  <c r="R9556" i="34"/>
  <c r="R9557" i="34"/>
  <c r="R9558" i="34"/>
  <c r="R9559" i="34"/>
  <c r="R9560" i="34"/>
  <c r="R9561" i="34"/>
  <c r="R9562" i="34"/>
  <c r="R9563" i="34"/>
  <c r="R9564" i="34"/>
  <c r="R9565" i="34"/>
  <c r="R9566" i="34"/>
  <c r="R9567" i="34"/>
  <c r="R9568" i="34"/>
  <c r="R9569" i="34"/>
  <c r="R9570" i="34"/>
  <c r="R9571" i="34"/>
  <c r="R9572" i="34"/>
  <c r="R9573" i="34"/>
  <c r="R9574" i="34"/>
  <c r="R9575" i="34"/>
  <c r="R9576" i="34"/>
  <c r="R9577" i="34"/>
  <c r="R9578" i="34"/>
  <c r="R9579" i="34"/>
  <c r="R9580" i="34"/>
  <c r="R9581" i="34"/>
  <c r="R9582" i="34"/>
  <c r="R9583" i="34"/>
  <c r="R9584" i="34"/>
  <c r="R9585" i="34"/>
  <c r="R9586" i="34"/>
  <c r="R9587" i="34"/>
  <c r="R9588" i="34"/>
  <c r="R9589" i="34"/>
  <c r="R9590" i="34"/>
  <c r="R9591" i="34"/>
  <c r="R9592" i="34"/>
  <c r="R9593" i="34"/>
  <c r="R9594" i="34"/>
  <c r="R9595" i="34"/>
  <c r="R9596" i="34"/>
  <c r="R9597" i="34"/>
  <c r="R9598" i="34"/>
  <c r="R9599" i="34"/>
  <c r="R9600" i="34"/>
  <c r="R9601" i="34"/>
  <c r="R9602" i="34"/>
  <c r="R9603" i="34"/>
  <c r="R9604" i="34"/>
  <c r="R9605" i="34"/>
  <c r="R9606" i="34"/>
  <c r="R9607" i="34"/>
  <c r="R9608" i="34"/>
  <c r="R9609" i="34"/>
  <c r="R9610" i="34"/>
  <c r="R9611" i="34"/>
  <c r="R9612" i="34"/>
  <c r="R9613" i="34"/>
  <c r="R9614" i="34"/>
  <c r="R9615" i="34"/>
  <c r="R9616" i="34"/>
  <c r="R9617" i="34"/>
  <c r="R9618" i="34"/>
  <c r="R9619" i="34"/>
  <c r="R9620" i="34"/>
  <c r="R9621" i="34"/>
  <c r="R9622" i="34"/>
  <c r="R9623" i="34"/>
  <c r="R9624" i="34"/>
  <c r="R9625" i="34"/>
  <c r="R9626" i="34"/>
  <c r="R9627" i="34"/>
  <c r="R9628" i="34"/>
  <c r="R9629" i="34"/>
  <c r="R9630" i="34"/>
  <c r="R9631" i="34"/>
  <c r="R9632" i="34"/>
  <c r="R9633" i="34"/>
  <c r="R9634" i="34"/>
  <c r="R9635" i="34"/>
  <c r="R9636" i="34"/>
  <c r="R9637" i="34"/>
  <c r="R9638" i="34"/>
  <c r="R9639" i="34"/>
  <c r="R9640" i="34"/>
  <c r="R9641" i="34"/>
  <c r="R9642" i="34"/>
  <c r="R9643" i="34"/>
  <c r="R9644" i="34"/>
  <c r="R9645" i="34"/>
  <c r="R9646" i="34"/>
  <c r="R9647" i="34"/>
  <c r="R9648" i="34"/>
  <c r="R9649" i="34"/>
  <c r="R9650" i="34"/>
  <c r="R9651" i="34"/>
  <c r="R9652" i="34"/>
  <c r="R9653" i="34"/>
  <c r="R9654" i="34"/>
  <c r="R9655" i="34"/>
  <c r="R9656" i="34"/>
  <c r="R9657" i="34"/>
  <c r="R9658" i="34"/>
  <c r="R9659" i="34"/>
  <c r="R9660" i="34"/>
  <c r="R9661" i="34"/>
  <c r="R9662" i="34"/>
  <c r="R9663" i="34"/>
  <c r="R9664" i="34"/>
  <c r="R9665" i="34"/>
  <c r="R9666" i="34"/>
  <c r="R9667" i="34"/>
  <c r="R9668" i="34"/>
  <c r="R9669" i="34"/>
  <c r="R9670" i="34"/>
  <c r="R9671" i="34"/>
  <c r="R9672" i="34"/>
  <c r="R9673" i="34"/>
  <c r="R9674" i="34"/>
  <c r="R9675" i="34"/>
  <c r="R9676" i="34"/>
  <c r="R9677" i="34"/>
  <c r="R9678" i="34"/>
  <c r="R9679" i="34"/>
  <c r="R9680" i="34"/>
  <c r="R9681" i="34"/>
  <c r="R9682" i="34"/>
  <c r="R9683" i="34"/>
  <c r="R9684" i="34"/>
  <c r="R9685" i="34"/>
  <c r="R9686" i="34"/>
  <c r="R9687" i="34"/>
  <c r="R9688" i="34"/>
  <c r="R9689" i="34"/>
  <c r="R9690" i="34"/>
  <c r="R9691" i="34"/>
  <c r="R9692" i="34"/>
  <c r="R9693" i="34"/>
  <c r="R9694" i="34"/>
  <c r="R9695" i="34"/>
  <c r="R9696" i="34"/>
  <c r="R9697" i="34"/>
  <c r="R9698" i="34"/>
  <c r="R9699" i="34"/>
  <c r="R9700" i="34"/>
  <c r="R9701" i="34"/>
  <c r="R9702" i="34"/>
  <c r="R9703" i="34"/>
  <c r="R9704" i="34"/>
  <c r="R9705" i="34"/>
  <c r="R9706" i="34"/>
  <c r="R9707" i="34"/>
  <c r="R9708" i="34"/>
  <c r="R9709" i="34"/>
  <c r="R9710" i="34"/>
  <c r="R9711" i="34"/>
  <c r="R9712" i="34"/>
  <c r="R9713" i="34"/>
  <c r="R9714" i="34"/>
  <c r="R9715" i="34"/>
  <c r="R9716" i="34"/>
  <c r="R9717" i="34"/>
  <c r="R9718" i="34"/>
  <c r="R9719" i="34"/>
  <c r="R9720" i="34"/>
  <c r="R9721" i="34"/>
  <c r="R9722" i="34"/>
  <c r="R9723" i="34"/>
  <c r="R9724" i="34"/>
  <c r="R9725" i="34"/>
  <c r="R9726" i="34"/>
  <c r="R9727" i="34"/>
  <c r="R9728" i="34"/>
  <c r="R9729" i="34"/>
  <c r="R9730" i="34"/>
  <c r="R9731" i="34"/>
  <c r="R9732" i="34"/>
  <c r="R9733" i="34"/>
  <c r="R9734" i="34"/>
  <c r="R9735" i="34"/>
  <c r="R9736" i="34"/>
  <c r="R9737" i="34"/>
  <c r="R9738" i="34"/>
  <c r="R9739" i="34"/>
  <c r="R9740" i="34"/>
  <c r="R9741" i="34"/>
  <c r="R9742" i="34"/>
  <c r="R9743" i="34"/>
  <c r="R9744" i="34"/>
  <c r="R9745" i="34"/>
  <c r="R9746" i="34"/>
  <c r="R9747" i="34"/>
  <c r="R9748" i="34"/>
  <c r="R9749" i="34"/>
  <c r="R9750" i="34"/>
  <c r="R9751" i="34"/>
  <c r="R9752" i="34"/>
  <c r="R9753" i="34"/>
  <c r="R9754" i="34"/>
  <c r="R9755" i="34"/>
  <c r="R9756" i="34"/>
  <c r="R9757" i="34"/>
  <c r="R9758" i="34"/>
  <c r="R9759" i="34"/>
  <c r="R9760" i="34"/>
  <c r="R9761" i="34"/>
  <c r="R9762" i="34"/>
  <c r="R9763" i="34"/>
  <c r="R9764" i="34"/>
  <c r="R9765" i="34"/>
  <c r="R9766" i="34"/>
  <c r="R9767" i="34"/>
  <c r="R9768" i="34"/>
  <c r="R9769" i="34"/>
  <c r="R9770" i="34"/>
  <c r="R9771" i="34"/>
  <c r="R9772" i="34"/>
  <c r="R9773" i="34"/>
  <c r="R9774" i="34"/>
  <c r="R9775" i="34"/>
  <c r="R9776" i="34"/>
  <c r="R9777" i="34"/>
  <c r="R9778" i="34"/>
  <c r="R9779" i="34"/>
  <c r="R9780" i="34"/>
  <c r="R9781" i="34"/>
  <c r="R9782" i="34"/>
  <c r="R9783" i="34"/>
  <c r="R9784" i="34"/>
  <c r="R9785" i="34"/>
  <c r="R9786" i="34"/>
  <c r="R9787" i="34"/>
  <c r="R9788" i="34"/>
  <c r="R9789" i="34"/>
  <c r="R9790" i="34"/>
  <c r="R9791" i="34"/>
  <c r="R9792" i="34"/>
  <c r="R9793" i="34"/>
  <c r="R9794" i="34"/>
  <c r="R9795" i="34"/>
  <c r="R9796" i="34"/>
  <c r="R9797" i="34"/>
  <c r="R9798" i="34"/>
  <c r="R9799" i="34"/>
  <c r="R9800" i="34"/>
  <c r="R9801" i="34"/>
  <c r="R9802" i="34"/>
  <c r="R9803" i="34"/>
  <c r="R9804" i="34"/>
  <c r="R9805" i="34"/>
  <c r="R9806" i="34"/>
  <c r="R9807" i="34"/>
  <c r="R9808" i="34"/>
  <c r="R9809" i="34"/>
  <c r="R9810" i="34"/>
  <c r="R9811" i="34"/>
  <c r="R9812" i="34"/>
  <c r="R9813" i="34"/>
  <c r="R9814" i="34"/>
  <c r="R9815" i="34"/>
  <c r="R9816" i="34"/>
  <c r="R9817" i="34"/>
  <c r="R9818" i="34"/>
  <c r="R9819" i="34"/>
  <c r="R9820" i="34"/>
  <c r="R9821" i="34"/>
  <c r="R9822" i="34"/>
  <c r="R9823" i="34"/>
  <c r="R9824" i="34"/>
  <c r="R9825" i="34"/>
  <c r="R9826" i="34"/>
  <c r="R9827" i="34"/>
  <c r="R9828" i="34"/>
  <c r="R9829" i="34"/>
  <c r="R9830" i="34"/>
  <c r="R9831" i="34"/>
  <c r="R9832" i="34"/>
  <c r="R9833" i="34"/>
  <c r="R9834" i="34"/>
  <c r="R9835" i="34"/>
  <c r="R9836" i="34"/>
  <c r="R9837" i="34"/>
  <c r="R9838" i="34"/>
  <c r="R9839" i="34"/>
  <c r="R9840" i="34"/>
  <c r="R9841" i="34"/>
  <c r="R9842" i="34"/>
  <c r="R9843" i="34"/>
  <c r="R9844" i="34"/>
  <c r="R9845" i="34"/>
  <c r="R9846" i="34"/>
  <c r="R9847" i="34"/>
  <c r="R9848" i="34"/>
  <c r="R9849" i="34"/>
  <c r="R9850" i="34"/>
  <c r="R9851" i="34"/>
  <c r="R9852" i="34"/>
  <c r="R9853" i="34"/>
  <c r="R9854" i="34"/>
  <c r="R9855" i="34"/>
  <c r="R9856" i="34"/>
  <c r="R9857" i="34"/>
  <c r="R9858" i="34"/>
  <c r="R9859" i="34"/>
  <c r="R9860" i="34"/>
  <c r="R9861" i="34"/>
  <c r="R9862" i="34"/>
  <c r="R9863" i="34"/>
  <c r="R9864" i="34"/>
  <c r="R9865" i="34"/>
  <c r="R9866" i="34"/>
  <c r="R9867" i="34"/>
  <c r="R9868" i="34"/>
  <c r="R9869" i="34"/>
  <c r="R9870" i="34"/>
  <c r="R9871" i="34"/>
  <c r="R9872" i="34"/>
  <c r="R9873" i="34"/>
  <c r="R9874" i="34"/>
  <c r="R9875" i="34"/>
  <c r="R9876" i="34"/>
  <c r="R9877" i="34"/>
  <c r="R9878" i="34"/>
  <c r="R9879" i="34"/>
  <c r="R9880" i="34"/>
  <c r="R9881" i="34"/>
  <c r="R9882" i="34"/>
  <c r="R9883" i="34"/>
  <c r="R9884" i="34"/>
  <c r="R9885" i="34"/>
  <c r="R9886" i="34"/>
  <c r="R9887" i="34"/>
  <c r="R9888" i="34"/>
  <c r="R9889" i="34"/>
  <c r="R9890" i="34"/>
  <c r="R9891" i="34"/>
  <c r="R9892" i="34"/>
  <c r="R9893" i="34"/>
  <c r="R9894" i="34"/>
  <c r="R9895" i="34"/>
  <c r="R9896" i="34"/>
  <c r="R9897" i="34"/>
  <c r="R9898" i="34"/>
  <c r="R9899" i="34"/>
  <c r="R9900" i="34"/>
  <c r="R9901" i="34"/>
  <c r="R9902" i="34"/>
  <c r="R9903" i="34"/>
  <c r="R9904" i="34"/>
  <c r="R9905" i="34"/>
  <c r="R9906" i="34"/>
  <c r="R9907" i="34"/>
  <c r="R9908" i="34"/>
  <c r="R9909" i="34"/>
  <c r="R9910" i="34"/>
  <c r="R9911" i="34"/>
  <c r="R9912" i="34"/>
  <c r="R9913" i="34"/>
  <c r="R9914" i="34"/>
  <c r="R9915" i="34"/>
  <c r="R9916" i="34"/>
  <c r="R9917" i="34"/>
  <c r="R9918" i="34"/>
  <c r="R9919" i="34"/>
  <c r="R9920" i="34"/>
  <c r="R9921" i="34"/>
  <c r="R9922" i="34"/>
  <c r="R9923" i="34"/>
  <c r="R9924" i="34"/>
  <c r="R9925" i="34"/>
  <c r="R9926" i="34"/>
  <c r="R9927" i="34"/>
  <c r="R9928" i="34"/>
  <c r="R9929" i="34"/>
  <c r="R9930" i="34"/>
  <c r="R9931" i="34"/>
  <c r="R9932" i="34"/>
  <c r="R9933" i="34"/>
  <c r="R9934" i="34"/>
  <c r="R9935" i="34"/>
  <c r="R9936" i="34"/>
  <c r="R9937" i="34"/>
  <c r="R9938" i="34"/>
  <c r="R9939" i="34"/>
  <c r="R9940" i="34"/>
  <c r="R9941" i="34"/>
  <c r="R9942" i="34"/>
  <c r="R9943" i="34"/>
  <c r="R9944" i="34"/>
  <c r="R9945" i="34"/>
  <c r="R9946" i="34"/>
  <c r="R9947" i="34"/>
  <c r="R9948" i="34"/>
  <c r="R9949" i="34"/>
  <c r="R9950" i="34"/>
  <c r="R9951" i="34"/>
  <c r="R9952" i="34"/>
  <c r="R9953" i="34"/>
  <c r="R9954" i="34"/>
  <c r="R9955" i="34"/>
  <c r="R9956" i="34"/>
  <c r="R9957" i="34"/>
  <c r="R9958" i="34"/>
  <c r="R9959" i="34"/>
  <c r="R9960" i="34"/>
  <c r="R9961" i="34"/>
  <c r="R9962" i="34"/>
  <c r="R9963" i="34"/>
  <c r="R9964" i="34"/>
  <c r="R9965" i="34"/>
  <c r="R9966" i="34"/>
  <c r="R9967" i="34"/>
  <c r="R9968" i="34"/>
  <c r="R9969" i="34"/>
  <c r="R9970" i="34"/>
  <c r="R9971" i="34"/>
  <c r="R9972" i="34"/>
  <c r="R9973" i="34"/>
  <c r="R9974" i="34"/>
  <c r="R9975" i="34"/>
  <c r="R9976" i="34"/>
  <c r="R9977" i="34"/>
  <c r="R9978" i="34"/>
  <c r="R9979" i="34"/>
  <c r="R9980" i="34"/>
  <c r="R9981" i="34"/>
  <c r="R9982" i="34"/>
  <c r="R9983" i="34"/>
  <c r="R9984" i="34"/>
  <c r="R9985" i="34"/>
  <c r="R9986" i="34"/>
  <c r="R9987" i="34"/>
  <c r="R9988" i="34"/>
  <c r="R9989" i="34"/>
  <c r="R9990" i="34"/>
  <c r="R9991" i="34"/>
  <c r="R9992" i="34"/>
  <c r="R9993" i="34"/>
  <c r="R9994" i="34"/>
  <c r="R9995" i="34"/>
  <c r="R9996" i="34"/>
  <c r="R9997" i="34"/>
  <c r="R9998" i="34"/>
  <c r="R9999" i="34"/>
  <c r="R10000" i="34"/>
  <c r="R10001" i="34"/>
  <c r="R10002" i="34"/>
  <c r="R10003" i="34"/>
  <c r="R10004" i="34"/>
  <c r="R10005" i="34"/>
  <c r="R10006" i="34"/>
  <c r="R10007" i="34"/>
  <c r="R10008" i="34"/>
  <c r="R10009" i="34"/>
  <c r="R10010" i="34"/>
  <c r="R10011" i="34"/>
  <c r="R10012" i="34"/>
  <c r="R10013" i="34"/>
  <c r="R10014" i="34"/>
  <c r="R10015" i="34"/>
  <c r="R10016" i="34"/>
  <c r="R10017" i="34"/>
  <c r="R10018" i="34"/>
  <c r="R10019" i="34"/>
  <c r="R10020" i="34"/>
  <c r="R10021" i="34"/>
  <c r="R10022" i="34"/>
  <c r="R10023" i="34"/>
  <c r="R10024" i="34"/>
  <c r="R10025" i="34"/>
  <c r="R10026" i="34"/>
  <c r="R10027" i="34"/>
  <c r="R10028" i="34"/>
  <c r="R10029" i="34"/>
  <c r="R10030" i="34"/>
  <c r="R10031" i="34"/>
  <c r="R10032" i="34"/>
  <c r="R10033" i="34"/>
  <c r="R10034" i="34"/>
  <c r="R10035" i="34"/>
  <c r="R10036" i="34"/>
  <c r="R10037" i="34"/>
  <c r="R10038" i="34"/>
  <c r="R10039" i="34"/>
  <c r="R10040" i="34"/>
  <c r="R10041" i="34"/>
  <c r="R10042" i="34"/>
  <c r="R10043" i="34"/>
  <c r="R10044" i="34"/>
  <c r="R10045" i="34"/>
  <c r="R10046" i="34"/>
  <c r="R10047" i="34"/>
  <c r="R10048" i="34"/>
  <c r="R10049" i="34"/>
  <c r="R10050" i="34"/>
  <c r="R10051" i="34"/>
  <c r="R10052" i="34"/>
  <c r="R10053" i="34"/>
  <c r="R10054" i="34"/>
  <c r="R10055" i="34"/>
  <c r="R10056" i="34"/>
  <c r="R10057" i="34"/>
  <c r="R10058" i="34"/>
  <c r="R10059" i="34"/>
  <c r="R10060" i="34"/>
  <c r="R10061" i="34"/>
  <c r="R10062" i="34"/>
  <c r="R10063" i="34"/>
  <c r="R10064" i="34"/>
  <c r="R10065" i="34"/>
  <c r="R10066" i="34"/>
  <c r="R10067" i="34"/>
  <c r="R10068" i="34"/>
  <c r="R10069" i="34"/>
  <c r="R10070" i="34"/>
  <c r="R10071" i="34"/>
  <c r="R10072" i="34"/>
  <c r="R10073" i="34"/>
  <c r="R10074" i="34"/>
  <c r="R10075" i="34"/>
  <c r="R10076" i="34"/>
  <c r="R10077" i="34"/>
  <c r="R10078" i="34"/>
  <c r="R10079" i="34"/>
  <c r="R10080" i="34"/>
  <c r="R10081" i="34"/>
  <c r="R10082" i="34"/>
  <c r="R10083" i="34"/>
  <c r="R10084" i="34"/>
  <c r="R10085" i="34"/>
  <c r="R10086" i="34"/>
  <c r="R10087" i="34"/>
  <c r="R10088" i="34"/>
  <c r="R10089" i="34"/>
  <c r="R10090" i="34"/>
  <c r="R10091" i="34"/>
  <c r="R10092" i="34"/>
  <c r="R10093" i="34"/>
  <c r="R10094" i="34"/>
  <c r="R10095" i="34"/>
  <c r="R10096" i="34"/>
  <c r="R10097" i="34"/>
  <c r="R10098" i="34"/>
  <c r="R10099" i="34"/>
  <c r="R10100" i="34"/>
  <c r="R10101" i="34"/>
  <c r="R10102" i="34"/>
  <c r="R10103" i="34"/>
  <c r="R10104" i="34"/>
  <c r="R10105" i="34"/>
  <c r="R10106" i="34"/>
  <c r="R10107" i="34"/>
  <c r="R10108" i="34"/>
  <c r="R10109" i="34"/>
  <c r="R10110" i="34"/>
  <c r="R10111" i="34"/>
  <c r="R10112" i="34"/>
  <c r="R10113" i="34"/>
  <c r="R10114" i="34"/>
  <c r="R10115" i="34"/>
  <c r="R10116" i="34"/>
  <c r="R10117" i="34"/>
  <c r="R10118" i="34"/>
  <c r="R10119" i="34"/>
  <c r="R10120" i="34"/>
  <c r="R10121" i="34"/>
  <c r="R10122" i="34"/>
  <c r="R10123" i="34"/>
  <c r="R10124" i="34"/>
  <c r="R10125" i="34"/>
  <c r="R10126" i="34"/>
  <c r="R10127" i="34"/>
  <c r="R10128" i="34"/>
  <c r="R10129" i="34"/>
  <c r="R10130" i="34"/>
  <c r="R10131" i="34"/>
  <c r="R10132" i="34"/>
  <c r="R10133" i="34"/>
  <c r="R10134" i="34"/>
  <c r="R10135" i="34"/>
  <c r="R10136" i="34"/>
  <c r="R10137" i="34"/>
  <c r="R10138" i="34"/>
  <c r="R10139" i="34"/>
  <c r="R10140" i="34"/>
  <c r="R10141" i="34"/>
  <c r="R10142" i="34"/>
  <c r="R10143" i="34"/>
  <c r="R10144" i="34"/>
  <c r="R10145" i="34"/>
  <c r="R10146" i="34"/>
  <c r="R10147" i="34"/>
  <c r="R10148" i="34"/>
  <c r="R10149" i="34"/>
  <c r="R10150" i="34"/>
  <c r="R10151" i="34"/>
  <c r="R10152" i="34"/>
  <c r="R10153" i="34"/>
  <c r="R10154" i="34"/>
  <c r="R10155" i="34"/>
  <c r="R10156" i="34"/>
  <c r="R10157" i="34"/>
  <c r="R10158" i="34"/>
  <c r="R10159" i="34"/>
  <c r="R10160" i="34"/>
  <c r="R10161" i="34"/>
  <c r="R10162" i="34"/>
  <c r="R10163" i="34"/>
  <c r="R10164" i="34"/>
  <c r="R10165" i="34"/>
  <c r="R10166" i="34"/>
  <c r="R10167" i="34"/>
  <c r="R10168" i="34"/>
  <c r="R10169" i="34"/>
  <c r="R10170" i="34"/>
  <c r="R10171" i="34"/>
  <c r="R10172" i="34"/>
  <c r="R10173" i="34"/>
  <c r="R10174" i="34"/>
  <c r="R10175" i="34"/>
  <c r="R10176" i="34"/>
  <c r="R10177" i="34"/>
  <c r="R10178" i="34"/>
  <c r="R10179" i="34"/>
  <c r="R10180" i="34"/>
  <c r="R10181" i="34"/>
  <c r="R10182" i="34"/>
  <c r="R10183" i="34"/>
  <c r="R10184" i="34"/>
  <c r="R10185" i="34"/>
  <c r="R10186" i="34"/>
  <c r="R10187" i="34"/>
  <c r="R10188" i="34"/>
  <c r="R10189" i="34"/>
  <c r="R10190" i="34"/>
  <c r="R10191" i="34"/>
  <c r="R10192" i="34"/>
  <c r="R10193" i="34"/>
  <c r="R10194" i="34"/>
  <c r="R10195" i="34"/>
  <c r="R10196" i="34"/>
  <c r="R10197" i="34"/>
  <c r="R10198" i="34"/>
  <c r="R10199" i="34"/>
  <c r="R10200" i="34"/>
  <c r="R10201" i="34"/>
  <c r="R10202" i="34"/>
  <c r="R10203" i="34"/>
  <c r="R10204" i="34"/>
  <c r="R10205" i="34"/>
  <c r="R10206" i="34"/>
  <c r="R10207" i="34"/>
  <c r="R10208" i="34"/>
  <c r="R10209" i="34"/>
  <c r="R10210" i="34"/>
  <c r="R10211" i="34"/>
  <c r="R10212" i="34"/>
  <c r="R10213" i="34"/>
  <c r="R10214" i="34"/>
  <c r="R10215" i="34"/>
  <c r="R10216" i="34"/>
  <c r="R10217" i="34"/>
  <c r="R10218" i="34"/>
  <c r="R10219" i="34"/>
  <c r="R10220" i="34"/>
  <c r="R10221" i="34"/>
  <c r="R10222" i="34"/>
  <c r="R10223" i="34"/>
  <c r="R10224" i="34"/>
  <c r="R10225" i="34"/>
  <c r="R10226" i="34"/>
  <c r="R10227" i="34"/>
  <c r="R10228" i="34"/>
  <c r="R10229" i="34"/>
  <c r="R10230" i="34"/>
  <c r="R10231" i="34"/>
  <c r="R10232" i="34"/>
  <c r="R10233" i="34"/>
  <c r="R10234" i="34"/>
  <c r="R10235" i="34"/>
  <c r="R10236" i="34"/>
  <c r="R10237" i="34"/>
  <c r="R10238" i="34"/>
  <c r="R10239" i="34"/>
  <c r="R10240" i="34"/>
  <c r="R10241" i="34"/>
  <c r="R10242" i="34"/>
  <c r="R10243" i="34"/>
  <c r="R10244" i="34"/>
  <c r="R10245" i="34"/>
  <c r="R10246" i="34"/>
  <c r="R10247" i="34"/>
  <c r="R10248" i="34"/>
  <c r="R10249" i="34"/>
  <c r="R10250" i="34"/>
  <c r="R10251" i="34"/>
  <c r="R10252" i="34"/>
  <c r="R10253" i="34"/>
  <c r="R10254" i="34"/>
  <c r="R10255" i="34"/>
  <c r="R10256" i="34"/>
  <c r="R10257" i="34"/>
  <c r="R10258" i="34"/>
  <c r="R10259" i="34"/>
  <c r="R10260" i="34"/>
  <c r="R10261" i="34"/>
  <c r="R10262" i="34"/>
  <c r="R10263" i="34"/>
  <c r="R10264" i="34"/>
  <c r="R10265" i="34"/>
  <c r="R10266" i="34"/>
  <c r="R10267" i="34"/>
  <c r="R10268" i="34"/>
  <c r="R10269" i="34"/>
  <c r="R10270" i="34"/>
  <c r="R10271" i="34"/>
  <c r="R10272" i="34"/>
  <c r="R10273" i="34"/>
  <c r="R10274" i="34"/>
  <c r="R10275" i="34"/>
  <c r="R10276" i="34"/>
  <c r="R10277" i="34"/>
  <c r="R10278" i="34"/>
  <c r="R10279" i="34"/>
  <c r="R10280" i="34"/>
  <c r="R10281" i="34"/>
  <c r="R10282" i="34"/>
  <c r="R10283" i="34"/>
  <c r="R10284" i="34"/>
  <c r="R10285" i="34"/>
  <c r="R10286" i="34"/>
  <c r="R10287" i="34"/>
  <c r="R10288" i="34"/>
  <c r="R10289" i="34"/>
  <c r="R10290" i="34"/>
  <c r="R10291" i="34"/>
  <c r="R10292" i="34"/>
  <c r="R10293" i="34"/>
  <c r="R10294" i="34"/>
  <c r="R10295" i="34"/>
  <c r="R10296" i="34"/>
  <c r="R10297" i="34"/>
  <c r="R10298" i="34"/>
  <c r="R10299" i="34"/>
  <c r="R10300" i="34"/>
  <c r="R10301" i="34"/>
  <c r="R10302" i="34"/>
  <c r="R10303" i="34"/>
  <c r="R10304" i="34"/>
  <c r="R10305" i="34"/>
  <c r="R10306" i="34"/>
  <c r="R10307" i="34"/>
  <c r="R10308" i="34"/>
  <c r="R10309" i="34"/>
  <c r="R10310" i="34"/>
  <c r="R10311" i="34"/>
  <c r="R10312" i="34"/>
  <c r="R10313" i="34"/>
  <c r="R10314" i="34"/>
  <c r="R10315" i="34"/>
  <c r="R10316" i="34"/>
  <c r="R10317" i="34"/>
  <c r="R10318" i="34"/>
  <c r="R10319" i="34"/>
  <c r="R10320" i="34"/>
  <c r="R10321" i="34"/>
  <c r="R10322" i="34"/>
  <c r="R10323" i="34"/>
  <c r="R10324" i="34"/>
  <c r="R10325" i="34"/>
  <c r="R10326" i="34"/>
  <c r="R10327" i="34"/>
  <c r="R10328" i="34"/>
  <c r="R10329" i="34"/>
  <c r="R10330" i="34"/>
  <c r="R10331" i="34"/>
  <c r="R10332" i="34"/>
  <c r="R10333" i="34"/>
  <c r="R10334" i="34"/>
  <c r="R10335" i="34"/>
  <c r="R10336" i="34"/>
  <c r="R10337" i="34"/>
  <c r="R10338" i="34"/>
  <c r="R10339" i="34"/>
  <c r="R10340" i="34"/>
  <c r="R10341" i="34"/>
  <c r="R10342" i="34"/>
  <c r="R10343" i="34"/>
  <c r="R10344" i="34"/>
  <c r="R10345" i="34"/>
  <c r="R10346" i="34"/>
  <c r="R10347" i="34"/>
  <c r="R10348" i="34"/>
  <c r="R10349" i="34"/>
  <c r="R10350" i="34"/>
  <c r="R10351" i="34"/>
  <c r="R10352" i="34"/>
  <c r="R10353" i="34"/>
  <c r="R10354" i="34"/>
  <c r="R10355" i="34"/>
  <c r="R10356" i="34"/>
  <c r="R10357" i="34"/>
  <c r="R10358" i="34"/>
  <c r="R10359" i="34"/>
  <c r="R10360" i="34"/>
  <c r="R10361" i="34"/>
  <c r="R10362" i="34"/>
  <c r="R10363" i="34"/>
  <c r="R10364" i="34"/>
  <c r="R10365" i="34"/>
  <c r="R10366" i="34"/>
  <c r="R10367" i="34"/>
  <c r="R10368" i="34"/>
  <c r="R10369" i="34"/>
  <c r="R10370" i="34"/>
  <c r="R10371" i="34"/>
  <c r="R10372" i="34"/>
  <c r="R10373" i="34"/>
  <c r="R10374" i="34"/>
  <c r="R10375" i="34"/>
  <c r="R10376" i="34"/>
  <c r="R10377" i="34"/>
  <c r="R10378" i="34"/>
  <c r="R10379" i="34"/>
  <c r="R10380" i="34"/>
  <c r="R10381" i="34"/>
  <c r="R10382" i="34"/>
  <c r="R10383" i="34"/>
  <c r="R10384" i="34"/>
  <c r="R10385" i="34"/>
  <c r="R10386" i="34"/>
  <c r="R10387" i="34"/>
  <c r="R10388" i="34"/>
  <c r="R10389" i="34"/>
  <c r="R10390" i="34"/>
  <c r="R10391" i="34"/>
  <c r="R10392" i="34"/>
  <c r="R10393" i="34"/>
  <c r="R10394" i="34"/>
  <c r="R10395" i="34"/>
  <c r="R10396" i="34"/>
  <c r="R10397" i="34"/>
  <c r="R10398" i="34"/>
  <c r="R10399" i="34"/>
  <c r="R10400" i="34"/>
  <c r="R10401" i="34"/>
  <c r="R10402" i="34"/>
  <c r="R10403" i="34"/>
  <c r="R10404" i="34"/>
  <c r="R10405" i="34"/>
  <c r="R10406" i="34"/>
  <c r="R10407" i="34"/>
  <c r="R10408" i="34"/>
  <c r="R10409" i="34"/>
  <c r="R10410" i="34"/>
  <c r="R10411" i="34"/>
  <c r="R10412" i="34"/>
  <c r="R10413" i="34"/>
  <c r="R10414" i="34"/>
  <c r="R10415" i="34"/>
  <c r="R10416" i="34"/>
  <c r="R10417" i="34"/>
  <c r="R10418" i="34"/>
  <c r="R10419" i="34"/>
  <c r="R10420" i="34"/>
  <c r="R10421" i="34"/>
  <c r="R10422" i="34"/>
  <c r="R10423" i="34"/>
  <c r="R10424" i="34"/>
  <c r="R10425" i="34"/>
  <c r="R10426" i="34"/>
  <c r="R10427" i="34"/>
  <c r="R10428" i="34"/>
  <c r="R10429" i="34"/>
  <c r="R10430" i="34"/>
  <c r="R10431" i="34"/>
  <c r="R10432" i="34"/>
  <c r="R10433" i="34"/>
  <c r="R10434" i="34"/>
  <c r="R10435" i="34"/>
  <c r="R10436" i="34"/>
  <c r="R10437" i="34"/>
  <c r="R10438" i="34"/>
  <c r="R10439" i="34"/>
  <c r="R10440" i="34"/>
  <c r="R10441" i="34"/>
  <c r="R10442" i="34"/>
  <c r="R10443" i="34"/>
  <c r="R10444" i="34"/>
  <c r="R10445" i="34"/>
  <c r="R10446" i="34"/>
  <c r="R10447" i="34"/>
  <c r="R10448" i="34"/>
  <c r="R10449" i="34"/>
  <c r="R10450" i="34"/>
  <c r="R10451" i="34"/>
  <c r="R10452" i="34"/>
  <c r="R10453" i="34"/>
  <c r="R10454" i="34"/>
  <c r="R10455" i="34"/>
  <c r="R10456" i="34"/>
  <c r="R10457" i="34"/>
  <c r="R10458" i="34"/>
  <c r="R10459" i="34"/>
  <c r="R10460" i="34"/>
  <c r="R10461" i="34"/>
  <c r="R10462" i="34"/>
  <c r="R10463" i="34"/>
  <c r="R10464" i="34"/>
  <c r="R10465" i="34"/>
  <c r="R10466" i="34"/>
  <c r="R10467" i="34"/>
  <c r="R10468" i="34"/>
  <c r="R10469" i="34"/>
  <c r="R10470" i="34"/>
  <c r="R10471" i="34"/>
  <c r="R10472" i="34"/>
  <c r="R10473" i="34"/>
  <c r="R10474" i="34"/>
  <c r="R10475" i="34"/>
  <c r="R10476" i="34"/>
  <c r="R10477" i="34"/>
  <c r="R10478" i="34"/>
  <c r="R10479" i="34"/>
  <c r="R10480" i="34"/>
  <c r="R10481" i="34"/>
  <c r="R10482" i="34"/>
  <c r="R10483" i="34"/>
  <c r="R10484" i="34"/>
  <c r="R10485" i="34"/>
  <c r="R10486" i="34"/>
  <c r="R10487" i="34"/>
  <c r="R10488" i="34"/>
  <c r="R10489" i="34"/>
  <c r="R10490" i="34"/>
  <c r="R10491" i="34"/>
  <c r="R10492" i="34"/>
  <c r="R10493" i="34"/>
  <c r="R10494" i="34"/>
  <c r="R10495" i="34"/>
  <c r="R10496" i="34"/>
  <c r="R10497" i="34"/>
  <c r="R10498" i="34"/>
  <c r="R10499" i="34"/>
  <c r="R10500" i="34"/>
  <c r="R10501" i="34"/>
  <c r="R10502" i="34"/>
  <c r="R10503" i="34"/>
  <c r="R10504" i="34"/>
  <c r="R10505" i="34"/>
  <c r="R10506" i="34"/>
  <c r="R10507" i="34"/>
  <c r="R10508" i="34"/>
  <c r="R10509" i="34"/>
  <c r="R10510" i="34"/>
  <c r="R10511" i="34"/>
  <c r="R10512" i="34"/>
  <c r="R10513" i="34"/>
  <c r="R10514" i="34"/>
  <c r="R10515" i="34"/>
  <c r="R10516" i="34"/>
  <c r="R10517" i="34"/>
  <c r="R10518" i="34"/>
  <c r="R10519" i="34"/>
  <c r="R10520" i="34"/>
  <c r="R10521" i="34"/>
  <c r="R10522" i="34"/>
  <c r="R10523" i="34"/>
  <c r="R10524" i="34"/>
  <c r="R10525" i="34"/>
  <c r="R10526" i="34"/>
  <c r="R10527" i="34"/>
  <c r="R10528" i="34"/>
  <c r="R10529" i="34"/>
  <c r="R10530" i="34"/>
  <c r="R10531" i="34"/>
  <c r="R10532" i="34"/>
  <c r="R10533" i="34"/>
  <c r="R10534" i="34"/>
  <c r="R10535" i="34"/>
  <c r="R10536" i="34"/>
  <c r="R10537" i="34"/>
  <c r="R10538" i="34"/>
  <c r="R10539" i="34"/>
  <c r="R10540" i="34"/>
  <c r="R10541" i="34"/>
  <c r="R10542" i="34"/>
  <c r="R10543" i="34"/>
  <c r="R10544" i="34"/>
  <c r="R10545" i="34"/>
  <c r="R10546" i="34"/>
  <c r="R10547" i="34"/>
  <c r="R10548" i="34"/>
  <c r="R10549" i="34"/>
  <c r="R10550" i="34"/>
  <c r="R10551" i="34"/>
  <c r="R10552" i="34"/>
  <c r="R10553" i="34"/>
  <c r="R10554" i="34"/>
  <c r="R10555" i="34"/>
  <c r="R10556" i="34"/>
  <c r="R10557" i="34"/>
  <c r="R10558" i="34"/>
  <c r="R10559" i="34"/>
  <c r="R10560" i="34"/>
  <c r="R10561" i="34"/>
  <c r="R10562" i="34"/>
  <c r="R10563" i="34"/>
  <c r="R10564" i="34"/>
  <c r="R10565" i="34"/>
  <c r="R10566" i="34"/>
  <c r="R10567" i="34"/>
  <c r="R10568" i="34"/>
  <c r="R10569" i="34"/>
  <c r="R10570" i="34"/>
  <c r="R10571" i="34"/>
  <c r="R10572" i="34"/>
  <c r="R10573" i="34"/>
  <c r="R10574" i="34"/>
  <c r="R10575" i="34"/>
  <c r="R10576" i="34"/>
  <c r="R10577" i="34"/>
  <c r="R10578" i="34"/>
  <c r="R10579" i="34"/>
  <c r="R10580" i="34"/>
  <c r="R10581" i="34"/>
  <c r="R10582" i="34"/>
  <c r="R10583" i="34"/>
  <c r="R10584" i="34"/>
  <c r="R10585" i="34"/>
  <c r="R10586" i="34"/>
  <c r="R10587" i="34"/>
  <c r="R10588" i="34"/>
  <c r="R10589" i="34"/>
  <c r="R10590" i="34"/>
  <c r="R10591" i="34"/>
  <c r="R10592" i="34"/>
  <c r="R10593" i="34"/>
  <c r="R10594" i="34"/>
  <c r="R10595" i="34"/>
  <c r="R10596" i="34"/>
  <c r="R10597" i="34"/>
  <c r="R10598" i="34"/>
  <c r="R10599" i="34"/>
  <c r="R10600" i="34"/>
  <c r="R10601" i="34"/>
  <c r="R10602" i="34"/>
  <c r="R10603" i="34"/>
  <c r="R10604" i="34"/>
  <c r="R10605" i="34"/>
  <c r="R10606" i="34"/>
  <c r="R10607" i="34"/>
  <c r="R10608" i="34"/>
  <c r="R10609" i="34"/>
  <c r="R10610" i="34"/>
  <c r="R10611" i="34"/>
  <c r="R10612" i="34"/>
  <c r="R10613" i="34"/>
  <c r="R10614" i="34"/>
  <c r="R10615" i="34"/>
  <c r="R10616" i="34"/>
  <c r="R10617" i="34"/>
  <c r="R10618" i="34"/>
  <c r="R10619" i="34"/>
  <c r="R10620" i="34"/>
  <c r="R10621" i="34"/>
  <c r="R10622" i="34"/>
  <c r="R10623" i="34"/>
  <c r="R10624" i="34"/>
  <c r="R10625" i="34"/>
  <c r="R10626" i="34"/>
  <c r="R10627" i="34"/>
  <c r="R10628" i="34"/>
  <c r="R10629" i="34"/>
  <c r="R10630" i="34"/>
  <c r="R10631" i="34"/>
  <c r="R10632" i="34"/>
  <c r="R10633" i="34"/>
  <c r="R10634" i="34"/>
  <c r="R10635" i="34"/>
  <c r="R10636" i="34"/>
  <c r="R10637" i="34"/>
  <c r="R10638" i="34"/>
  <c r="R10639" i="34"/>
  <c r="R10640" i="34"/>
  <c r="R10641" i="34"/>
  <c r="R10642" i="34"/>
  <c r="R10643" i="34"/>
  <c r="R10644" i="34"/>
  <c r="R10645" i="34"/>
  <c r="R10646" i="34"/>
  <c r="R10647" i="34"/>
  <c r="R10648" i="34"/>
  <c r="R10649" i="34"/>
  <c r="R10650" i="34"/>
  <c r="R10651" i="34"/>
  <c r="R10652" i="34"/>
  <c r="R10653" i="34"/>
  <c r="R10654" i="34"/>
  <c r="R10655" i="34"/>
  <c r="R10656" i="34"/>
  <c r="R10657" i="34"/>
  <c r="R10658" i="34"/>
  <c r="R10659" i="34"/>
  <c r="R10660" i="34"/>
  <c r="R10661" i="34"/>
  <c r="R10662" i="34"/>
  <c r="R10663" i="34"/>
  <c r="R10664" i="34"/>
  <c r="R10665" i="34"/>
  <c r="R10666" i="34"/>
  <c r="R10667" i="34"/>
  <c r="R10668" i="34"/>
  <c r="R10669" i="34"/>
  <c r="R10670" i="34"/>
  <c r="R10671" i="34"/>
  <c r="R10672" i="34"/>
  <c r="R10673" i="34"/>
  <c r="R10674" i="34"/>
  <c r="R10675" i="34"/>
  <c r="R10676" i="34"/>
  <c r="R10677" i="34"/>
  <c r="R10678" i="34"/>
  <c r="R10679" i="34"/>
  <c r="R10680" i="34"/>
  <c r="R10681" i="34"/>
  <c r="R10682" i="34"/>
  <c r="R10683" i="34"/>
  <c r="R10684" i="34"/>
  <c r="R10685" i="34"/>
  <c r="R10686" i="34"/>
  <c r="R10687" i="34"/>
  <c r="R10688" i="34"/>
  <c r="R10689" i="34"/>
  <c r="R10690" i="34"/>
  <c r="R10691" i="34"/>
  <c r="R10692" i="34"/>
  <c r="R10693" i="34"/>
  <c r="R10694" i="34"/>
  <c r="R10695" i="34"/>
  <c r="R10696" i="34"/>
  <c r="R10697" i="34"/>
  <c r="R10698" i="34"/>
  <c r="R10699" i="34"/>
  <c r="R10700" i="34"/>
  <c r="R10701" i="34"/>
  <c r="R10702" i="34"/>
  <c r="R10703" i="34"/>
  <c r="R10704" i="34"/>
  <c r="R10705" i="34"/>
  <c r="R10706" i="34"/>
  <c r="R10707" i="34"/>
  <c r="R10708" i="34"/>
  <c r="R10709" i="34"/>
  <c r="R10710" i="34"/>
  <c r="R10711" i="34"/>
  <c r="R10712" i="34"/>
  <c r="R10713" i="34"/>
  <c r="R10714" i="34"/>
  <c r="R10715" i="34"/>
  <c r="R10716" i="34"/>
  <c r="R10717" i="34"/>
  <c r="R10718" i="34"/>
  <c r="R10719" i="34"/>
  <c r="R10720" i="34"/>
  <c r="R10721" i="34"/>
  <c r="R10722" i="34"/>
  <c r="R10723" i="34"/>
  <c r="R10724" i="34"/>
  <c r="R10725" i="34"/>
  <c r="R10726" i="34"/>
  <c r="R10727" i="34"/>
  <c r="R10728" i="34"/>
  <c r="R10729" i="34"/>
  <c r="R10730" i="34"/>
  <c r="R10731" i="34"/>
  <c r="R10732" i="34"/>
  <c r="R10733" i="34"/>
  <c r="R10734" i="34"/>
  <c r="R10735" i="34"/>
  <c r="R10736" i="34"/>
  <c r="R10737" i="34"/>
  <c r="R10738" i="34"/>
  <c r="R10739" i="34"/>
  <c r="R10740" i="34"/>
  <c r="R10741" i="34"/>
  <c r="R10742" i="34"/>
  <c r="R10743" i="34"/>
  <c r="R10744" i="34"/>
  <c r="R10745" i="34"/>
  <c r="R10746" i="34"/>
  <c r="R10747" i="34"/>
  <c r="R10748" i="34"/>
  <c r="R10749" i="34"/>
  <c r="R10750" i="34"/>
  <c r="R10751" i="34"/>
  <c r="R10752" i="34"/>
  <c r="R10753" i="34"/>
  <c r="R10754" i="34"/>
  <c r="R10755" i="34"/>
  <c r="R10756" i="34"/>
  <c r="R10757" i="34"/>
  <c r="R10758" i="34"/>
  <c r="R10759" i="34"/>
  <c r="R10760" i="34"/>
  <c r="R10761" i="34"/>
  <c r="R10762" i="34"/>
  <c r="R10763" i="34"/>
  <c r="R10764" i="34"/>
  <c r="R10765" i="34"/>
  <c r="R10766" i="34"/>
  <c r="R10767" i="34"/>
  <c r="R10768" i="34"/>
  <c r="R10769" i="34"/>
  <c r="R10770" i="34"/>
  <c r="R10771" i="34"/>
  <c r="R10772" i="34"/>
  <c r="R10773" i="34"/>
  <c r="R10774" i="34"/>
  <c r="R10775" i="34"/>
  <c r="R10776" i="34"/>
  <c r="R10777" i="34"/>
  <c r="R10778" i="34"/>
  <c r="R10779" i="34"/>
  <c r="R10780" i="34"/>
  <c r="R10781" i="34"/>
  <c r="R10782" i="34"/>
  <c r="R10783" i="34"/>
  <c r="R10784" i="34"/>
  <c r="R10785" i="34"/>
  <c r="R10786" i="34"/>
  <c r="R10787" i="34"/>
  <c r="R10788" i="34"/>
  <c r="R10789" i="34"/>
  <c r="R10790" i="34"/>
  <c r="R10791" i="34"/>
  <c r="R10792" i="34"/>
  <c r="R10793" i="34"/>
  <c r="R10794" i="34"/>
  <c r="R10795" i="34"/>
  <c r="R10796" i="34"/>
  <c r="R10797" i="34"/>
  <c r="R10798" i="34"/>
  <c r="R10799" i="34"/>
  <c r="R10800" i="34"/>
  <c r="R10801" i="34"/>
  <c r="R10802" i="34"/>
  <c r="R10803" i="34"/>
  <c r="R10804" i="34"/>
  <c r="R10805" i="34"/>
  <c r="R10806" i="34"/>
  <c r="R10807" i="34"/>
  <c r="R10808" i="34"/>
  <c r="R10809" i="34"/>
  <c r="R10810" i="34"/>
  <c r="R10811" i="34"/>
  <c r="R10812" i="34"/>
  <c r="R10813" i="34"/>
  <c r="R10814" i="34"/>
  <c r="R10815" i="34"/>
  <c r="R10816" i="34"/>
  <c r="R10817" i="34"/>
  <c r="R10818" i="34"/>
  <c r="R10819" i="34"/>
  <c r="R10820" i="34"/>
  <c r="R10821" i="34"/>
  <c r="R10822" i="34"/>
  <c r="R10823" i="34"/>
  <c r="R10824" i="34"/>
  <c r="R10825" i="34"/>
  <c r="R10826" i="34"/>
  <c r="R10827" i="34"/>
  <c r="R10828" i="34"/>
  <c r="R10829" i="34"/>
  <c r="R10830" i="34"/>
  <c r="R10831" i="34"/>
  <c r="R10832" i="34"/>
  <c r="R10833" i="34"/>
  <c r="R10834" i="34"/>
  <c r="R10835" i="34"/>
  <c r="R10836" i="34"/>
  <c r="R10837" i="34"/>
  <c r="R10838" i="34"/>
  <c r="R10839" i="34"/>
  <c r="R10840" i="34"/>
  <c r="R10841" i="34"/>
  <c r="R10842" i="34"/>
  <c r="R10843" i="34"/>
  <c r="R10844" i="34"/>
  <c r="R10845" i="34"/>
  <c r="R10846" i="34"/>
  <c r="R10847" i="34"/>
  <c r="R10848" i="34"/>
  <c r="R10849" i="34"/>
  <c r="R10850" i="34"/>
  <c r="R10851" i="34"/>
  <c r="R10852" i="34"/>
  <c r="R10853" i="34"/>
  <c r="R10854" i="34"/>
  <c r="R10855" i="34"/>
  <c r="R10856" i="34"/>
  <c r="R10857" i="34"/>
  <c r="R10858" i="34"/>
  <c r="R10859" i="34"/>
  <c r="R10860" i="34"/>
  <c r="R10861" i="34"/>
  <c r="R10862" i="34"/>
  <c r="R10863" i="34"/>
  <c r="R10864" i="34"/>
  <c r="R10865" i="34"/>
  <c r="R10866" i="34"/>
  <c r="R10867" i="34"/>
  <c r="R10868" i="34"/>
  <c r="R10869" i="34"/>
  <c r="R10870" i="34"/>
  <c r="R10871" i="34"/>
  <c r="R10872" i="34"/>
  <c r="R10873" i="34"/>
  <c r="R10874" i="34"/>
  <c r="R10875" i="34"/>
  <c r="R10876" i="34"/>
  <c r="R10877" i="34"/>
  <c r="R10878" i="34"/>
  <c r="R10879" i="34"/>
  <c r="R10880" i="34"/>
  <c r="R10881" i="34"/>
  <c r="R10882" i="34"/>
  <c r="R10883" i="34"/>
  <c r="R10884" i="34"/>
  <c r="R10885" i="34"/>
  <c r="R10886" i="34"/>
  <c r="R10887" i="34"/>
  <c r="R10888" i="34"/>
  <c r="R10889" i="34"/>
  <c r="R10890" i="34"/>
  <c r="R10891" i="34"/>
  <c r="R10892" i="34"/>
  <c r="R10893" i="34"/>
  <c r="R10894" i="34"/>
  <c r="R10895" i="34"/>
  <c r="R10896" i="34"/>
  <c r="R10897" i="34"/>
  <c r="R10898" i="34"/>
  <c r="R10899" i="34"/>
  <c r="R10900" i="34"/>
  <c r="R10901" i="34"/>
  <c r="R10902" i="34"/>
  <c r="R10903" i="34"/>
  <c r="R10904" i="34"/>
  <c r="R10905" i="34"/>
  <c r="R10906" i="34"/>
  <c r="R10907" i="34"/>
  <c r="R10908" i="34"/>
  <c r="R10909" i="34"/>
  <c r="R10910" i="34"/>
  <c r="R10911" i="34"/>
  <c r="R10912" i="34"/>
  <c r="R10913" i="34"/>
  <c r="R10914" i="34"/>
  <c r="R10915" i="34"/>
  <c r="R10916" i="34"/>
  <c r="R10917" i="34"/>
  <c r="R10918" i="34"/>
  <c r="R10919" i="34"/>
  <c r="R10920" i="34"/>
  <c r="R10921" i="34"/>
  <c r="R10922" i="34"/>
  <c r="R10923" i="34"/>
  <c r="R10924" i="34"/>
  <c r="R10925" i="34"/>
  <c r="R10926" i="34"/>
  <c r="R10927" i="34"/>
  <c r="R10928" i="34"/>
  <c r="R10929" i="34"/>
  <c r="R10930" i="34"/>
  <c r="R10931" i="34"/>
  <c r="R10932" i="34"/>
  <c r="R10933" i="34"/>
  <c r="R10934" i="34"/>
  <c r="R10935" i="34"/>
  <c r="R10936" i="34"/>
  <c r="R10937" i="34"/>
  <c r="R10938" i="34"/>
  <c r="R10939" i="34"/>
  <c r="R10940" i="34"/>
  <c r="R10941" i="34"/>
  <c r="R10942" i="34"/>
  <c r="R10943" i="34"/>
  <c r="R10944" i="34"/>
  <c r="R10945" i="34"/>
  <c r="R10946" i="34"/>
  <c r="R10947" i="34"/>
  <c r="R10948" i="34"/>
  <c r="R10949" i="34"/>
  <c r="R10950" i="34"/>
  <c r="R10951" i="34"/>
  <c r="R10952" i="34"/>
  <c r="R10953" i="34"/>
  <c r="R10954" i="34"/>
  <c r="R10955" i="34"/>
  <c r="R10956" i="34"/>
  <c r="R10957" i="34"/>
  <c r="R10958" i="34"/>
  <c r="R10959" i="34"/>
  <c r="R10960" i="34"/>
  <c r="R10961" i="34"/>
  <c r="R10962" i="34"/>
  <c r="R10963" i="34"/>
  <c r="R10964" i="34"/>
  <c r="R10965" i="34"/>
  <c r="R10966" i="34"/>
  <c r="R10967" i="34"/>
  <c r="R10968" i="34"/>
  <c r="R10969" i="34"/>
  <c r="R10970" i="34"/>
  <c r="R10971" i="34"/>
  <c r="R10972" i="34"/>
  <c r="R10973" i="34"/>
  <c r="R10974" i="34"/>
  <c r="R10975" i="34"/>
  <c r="R10976" i="34"/>
  <c r="R10977" i="34"/>
  <c r="R10978" i="34"/>
  <c r="R10979" i="34"/>
  <c r="R10980" i="34"/>
  <c r="R10981" i="34"/>
  <c r="R10982" i="34"/>
  <c r="R10983" i="34"/>
  <c r="R10984" i="34"/>
  <c r="R10985" i="34"/>
  <c r="R10986" i="34"/>
  <c r="R10987" i="34"/>
  <c r="R10988" i="34"/>
  <c r="R10989" i="34"/>
  <c r="R10990" i="34"/>
  <c r="R10991" i="34"/>
  <c r="R10992" i="34"/>
  <c r="R10993" i="34"/>
  <c r="R10994" i="34"/>
  <c r="R10995" i="34"/>
  <c r="R10996" i="34"/>
  <c r="R10997" i="34"/>
  <c r="R10998" i="34"/>
  <c r="R10999" i="34"/>
  <c r="R11000" i="34"/>
  <c r="R11001" i="34"/>
  <c r="R11002" i="34"/>
  <c r="R11003" i="34"/>
  <c r="R11004" i="34"/>
  <c r="R11005" i="34"/>
  <c r="R11006" i="34"/>
  <c r="R11007" i="34"/>
  <c r="R11008" i="34"/>
  <c r="R11009" i="34"/>
  <c r="R11010" i="34"/>
  <c r="R11011" i="34"/>
  <c r="R11012" i="34"/>
  <c r="R11013" i="34"/>
  <c r="R11014" i="34"/>
  <c r="R11015" i="34"/>
  <c r="R11016" i="34"/>
  <c r="R11017" i="34"/>
  <c r="R11018" i="34"/>
  <c r="R11019" i="34"/>
  <c r="R11020" i="34"/>
  <c r="R11021" i="34"/>
  <c r="R11022" i="34"/>
  <c r="R11023" i="34"/>
  <c r="R11024" i="34"/>
  <c r="R11025" i="34"/>
  <c r="R11026" i="34"/>
  <c r="R11027" i="34"/>
  <c r="R11028" i="34"/>
  <c r="R11029" i="34"/>
  <c r="R11030" i="34"/>
  <c r="R11031" i="34"/>
  <c r="R11032" i="34"/>
  <c r="R11033" i="34"/>
  <c r="R11034" i="34"/>
  <c r="R11035" i="34"/>
  <c r="R11036" i="34"/>
  <c r="R11037" i="34"/>
  <c r="R11038" i="34"/>
  <c r="R11039" i="34"/>
  <c r="R11040" i="34"/>
  <c r="R11041" i="34"/>
  <c r="R11042" i="34"/>
  <c r="R11043" i="34"/>
  <c r="R11044" i="34"/>
  <c r="R11045" i="34"/>
  <c r="R11046" i="34"/>
  <c r="R11047" i="34"/>
  <c r="R11048" i="34"/>
  <c r="R11049" i="34"/>
  <c r="R11050" i="34"/>
  <c r="R11051" i="34"/>
  <c r="R11052" i="34"/>
  <c r="R11053" i="34"/>
  <c r="R11054" i="34"/>
  <c r="R11055" i="34"/>
  <c r="R11056" i="34"/>
  <c r="R11057" i="34"/>
  <c r="R11058" i="34"/>
  <c r="R11059" i="34"/>
  <c r="R11060" i="34"/>
  <c r="R11061" i="34"/>
  <c r="R11062" i="34"/>
  <c r="R11063" i="34"/>
  <c r="R11064" i="34"/>
  <c r="R11065" i="34"/>
  <c r="R11066" i="34"/>
  <c r="R11067" i="34"/>
  <c r="R11068" i="34"/>
  <c r="R11069" i="34"/>
  <c r="R11070" i="34"/>
  <c r="R11071" i="34"/>
  <c r="R11072" i="34"/>
  <c r="R11073" i="34"/>
  <c r="R11074" i="34"/>
  <c r="R11075" i="34"/>
  <c r="R11076" i="34"/>
  <c r="R11077" i="34"/>
  <c r="R11078" i="34"/>
  <c r="R11079" i="34"/>
  <c r="R11080" i="34"/>
  <c r="R11081" i="34"/>
  <c r="R11082" i="34"/>
  <c r="R11083" i="34"/>
  <c r="R11084" i="34"/>
  <c r="R11085" i="34"/>
  <c r="R11086" i="34"/>
  <c r="R11087" i="34"/>
  <c r="R11088" i="34"/>
  <c r="R11089" i="34"/>
  <c r="R11090" i="34"/>
  <c r="R11091" i="34"/>
  <c r="R11092" i="34"/>
  <c r="R11093" i="34"/>
  <c r="R11094" i="34"/>
  <c r="R11095" i="34"/>
  <c r="R11096" i="34"/>
  <c r="R11097" i="34"/>
  <c r="R11098" i="34"/>
  <c r="R11099" i="34"/>
  <c r="R11100" i="34"/>
  <c r="R11101" i="34"/>
  <c r="R11102" i="34"/>
  <c r="R11103" i="34"/>
  <c r="R11104" i="34"/>
  <c r="R11105" i="34"/>
  <c r="R11106" i="34"/>
  <c r="R11107" i="34"/>
  <c r="R11108" i="34"/>
  <c r="R11109" i="34"/>
  <c r="R11110" i="34"/>
  <c r="R11111" i="34"/>
  <c r="R11112" i="34"/>
  <c r="R11113" i="34"/>
  <c r="R11114" i="34"/>
  <c r="R11115" i="34"/>
  <c r="R11116" i="34"/>
  <c r="R11117" i="34"/>
  <c r="R11118" i="34"/>
  <c r="R11119" i="34"/>
  <c r="R11120" i="34"/>
  <c r="R11121" i="34"/>
  <c r="R11122" i="34"/>
  <c r="R11123" i="34"/>
  <c r="R11124" i="34"/>
  <c r="R11125" i="34"/>
  <c r="R11126" i="34"/>
  <c r="R11127" i="34"/>
  <c r="R11128" i="34"/>
  <c r="R11129" i="34"/>
  <c r="R11130" i="34"/>
  <c r="R11131" i="34"/>
  <c r="R11132" i="34"/>
  <c r="R11133" i="34"/>
  <c r="R11134" i="34"/>
  <c r="R11135" i="34"/>
  <c r="R11136" i="34"/>
  <c r="R11137" i="34"/>
  <c r="R11138" i="34"/>
  <c r="R11139" i="34"/>
  <c r="R11140" i="34"/>
  <c r="R11141" i="34"/>
  <c r="R11142" i="34"/>
  <c r="R11143" i="34"/>
  <c r="R11144" i="34"/>
  <c r="R11145" i="34"/>
  <c r="R11146" i="34"/>
  <c r="R11147" i="34"/>
  <c r="R11148" i="34"/>
  <c r="R11149" i="34"/>
  <c r="R11150" i="34"/>
  <c r="R11151" i="34"/>
  <c r="R11152" i="34"/>
  <c r="R11153" i="34"/>
  <c r="R11154" i="34"/>
  <c r="R11155" i="34"/>
  <c r="R11156" i="34"/>
  <c r="R11157" i="34"/>
  <c r="R11158" i="34"/>
  <c r="R11159" i="34"/>
  <c r="R11160" i="34"/>
  <c r="R11161" i="34"/>
  <c r="R11162" i="34"/>
  <c r="R11163" i="34"/>
  <c r="R11164" i="34"/>
  <c r="R11165" i="34"/>
  <c r="R11166" i="34"/>
  <c r="R11167" i="34"/>
  <c r="R11168" i="34"/>
  <c r="R11169" i="34"/>
  <c r="R11170" i="34"/>
  <c r="R11171" i="34"/>
  <c r="R11172" i="34"/>
  <c r="R11173" i="34"/>
  <c r="R11174" i="34"/>
  <c r="R11175" i="34"/>
  <c r="R11176" i="34"/>
  <c r="R11177" i="34"/>
  <c r="R11178" i="34"/>
  <c r="R11179" i="34"/>
  <c r="R11180" i="34"/>
  <c r="R11181" i="34"/>
  <c r="R11182" i="34"/>
  <c r="R11183" i="34"/>
  <c r="R11184" i="34"/>
  <c r="R11185" i="34"/>
  <c r="R11186" i="34"/>
  <c r="R11187" i="34"/>
  <c r="R11188" i="34"/>
  <c r="R11189" i="34"/>
  <c r="R11190" i="34"/>
  <c r="R11191" i="34"/>
  <c r="R11192" i="34"/>
  <c r="R11193" i="34"/>
  <c r="R11194" i="34"/>
  <c r="R11195" i="34"/>
  <c r="R11196" i="34"/>
  <c r="R11197" i="34"/>
  <c r="R11198" i="34"/>
  <c r="R11199" i="34"/>
  <c r="R11200" i="34"/>
  <c r="R11201" i="34"/>
  <c r="R11202" i="34"/>
  <c r="R11203" i="34"/>
  <c r="R11204" i="34"/>
  <c r="R11205" i="34"/>
  <c r="R11206" i="34"/>
  <c r="R11207" i="34"/>
  <c r="R11208" i="34"/>
  <c r="R11209" i="34"/>
  <c r="R11210" i="34"/>
  <c r="R11211" i="34"/>
  <c r="R11212" i="34"/>
  <c r="R11213" i="34"/>
  <c r="R11214" i="34"/>
  <c r="R11215" i="34"/>
  <c r="R11216" i="34"/>
  <c r="R11217" i="34"/>
  <c r="R11218" i="34"/>
  <c r="R11219" i="34"/>
  <c r="R11220" i="34"/>
  <c r="R11221" i="34"/>
  <c r="R11222" i="34"/>
  <c r="R11223" i="34"/>
  <c r="R11224" i="34"/>
  <c r="R11225" i="34"/>
  <c r="R11226" i="34"/>
  <c r="R11227" i="34"/>
  <c r="R11228" i="34"/>
  <c r="R11229" i="34"/>
  <c r="R11230" i="34"/>
  <c r="R11231" i="34"/>
  <c r="R11232" i="34"/>
  <c r="R11233" i="34"/>
  <c r="R11234" i="34"/>
  <c r="R11235" i="34"/>
  <c r="R11236" i="34"/>
  <c r="R11237" i="34"/>
  <c r="R11238" i="34"/>
  <c r="R11239" i="34"/>
  <c r="R11240" i="34"/>
  <c r="R11241" i="34"/>
  <c r="R11242" i="34"/>
  <c r="R11243" i="34"/>
  <c r="R11244" i="34"/>
  <c r="R11245" i="34"/>
  <c r="R11246" i="34"/>
  <c r="R11247" i="34"/>
  <c r="R11248" i="34"/>
  <c r="R11249" i="34"/>
  <c r="R11250" i="34"/>
  <c r="R11251" i="34"/>
  <c r="R11252" i="34"/>
  <c r="R11253" i="34"/>
  <c r="R11254" i="34"/>
  <c r="R11255" i="34"/>
  <c r="R11256" i="34"/>
  <c r="R11257" i="34"/>
  <c r="R11258" i="34"/>
  <c r="R11259" i="34"/>
  <c r="R11260" i="34"/>
  <c r="R11261" i="34"/>
  <c r="R11262" i="34"/>
  <c r="R11263" i="34"/>
  <c r="R11264" i="34"/>
  <c r="R11265" i="34"/>
  <c r="R11266" i="34"/>
  <c r="R11267" i="34"/>
  <c r="R11268" i="34"/>
  <c r="R11269" i="34"/>
  <c r="R11270" i="34"/>
  <c r="R11271" i="34"/>
  <c r="R11272" i="34"/>
  <c r="R11273" i="34"/>
  <c r="R11274" i="34"/>
  <c r="R11275" i="34"/>
  <c r="R11276" i="34"/>
  <c r="R11277" i="34"/>
  <c r="R11278" i="34"/>
  <c r="R11279" i="34"/>
  <c r="R11280" i="34"/>
  <c r="R11281" i="34"/>
  <c r="R11282" i="34"/>
  <c r="R11283" i="34"/>
  <c r="R11284" i="34"/>
  <c r="R11285" i="34"/>
  <c r="R11286" i="34"/>
  <c r="R11287" i="34"/>
  <c r="R11288" i="34"/>
  <c r="R11289" i="34"/>
  <c r="R11290" i="34"/>
  <c r="R11291" i="34"/>
  <c r="R11292" i="34"/>
  <c r="R11293" i="34"/>
  <c r="R11294" i="34"/>
  <c r="R11295" i="34"/>
  <c r="R11296" i="34"/>
  <c r="R11297" i="34"/>
  <c r="R11298" i="34"/>
  <c r="R11299" i="34"/>
  <c r="R11300" i="34"/>
  <c r="R11301" i="34"/>
  <c r="R11302" i="34"/>
  <c r="R11303" i="34"/>
  <c r="R11304" i="34"/>
  <c r="R11305" i="34"/>
  <c r="R11306" i="34"/>
  <c r="R11307" i="34"/>
  <c r="R11308" i="34"/>
  <c r="R11309" i="34"/>
  <c r="R11310" i="34"/>
  <c r="R11311" i="34"/>
  <c r="R11312" i="34"/>
  <c r="R11313" i="34"/>
  <c r="R11314" i="34"/>
  <c r="R11315" i="34"/>
  <c r="R11316" i="34"/>
  <c r="R11317" i="34"/>
  <c r="R11318" i="34"/>
  <c r="R11319" i="34"/>
  <c r="R11320" i="34"/>
  <c r="R11321" i="34"/>
  <c r="R11322" i="34"/>
  <c r="R11323" i="34"/>
  <c r="R11324" i="34"/>
  <c r="R11325" i="34"/>
  <c r="R11326" i="34"/>
  <c r="R11327" i="34"/>
  <c r="R11328" i="34"/>
  <c r="R11329" i="34"/>
  <c r="R11330" i="34"/>
  <c r="R11331" i="34"/>
  <c r="R11332" i="34"/>
  <c r="R11333" i="34"/>
  <c r="R11334" i="34"/>
  <c r="R11335" i="34"/>
  <c r="R11336" i="34"/>
  <c r="R11337" i="34"/>
  <c r="R11338" i="34"/>
  <c r="R11339" i="34"/>
  <c r="R11340" i="34"/>
  <c r="R11341" i="34"/>
  <c r="R11342" i="34"/>
  <c r="R11343" i="34"/>
  <c r="R11344" i="34"/>
  <c r="R11345" i="34"/>
  <c r="R11346" i="34"/>
  <c r="R11347" i="34"/>
  <c r="R11348" i="34"/>
  <c r="R11349" i="34"/>
  <c r="R11350" i="34"/>
  <c r="R11351" i="34"/>
  <c r="R11352" i="34"/>
  <c r="R11353" i="34"/>
  <c r="R11354" i="34"/>
  <c r="R11355" i="34"/>
  <c r="R11356" i="34"/>
  <c r="R11357" i="34"/>
  <c r="R11358" i="34"/>
  <c r="R11359" i="34"/>
  <c r="R11360" i="34"/>
  <c r="R11361" i="34"/>
  <c r="R11362" i="34"/>
  <c r="R11363" i="34"/>
  <c r="R11364" i="34"/>
  <c r="R11365" i="34"/>
  <c r="R11366" i="34"/>
  <c r="R11367" i="34"/>
  <c r="R11368" i="34"/>
  <c r="R11369" i="34"/>
  <c r="R11370" i="34"/>
  <c r="R11371" i="34"/>
  <c r="R11372" i="34"/>
  <c r="R11373" i="34"/>
  <c r="R11374" i="34"/>
  <c r="R11375" i="34"/>
  <c r="R11376" i="34"/>
  <c r="R11377" i="34"/>
  <c r="R11378" i="34"/>
  <c r="R11379" i="34"/>
  <c r="R11380" i="34"/>
  <c r="R11381" i="34"/>
  <c r="R11382" i="34"/>
  <c r="R11383" i="34"/>
  <c r="R11384" i="34"/>
  <c r="R11385" i="34"/>
  <c r="R11386" i="34"/>
  <c r="R11387" i="34"/>
  <c r="R11388" i="34"/>
  <c r="R11389" i="34"/>
  <c r="R11390" i="34"/>
  <c r="R11391" i="34"/>
  <c r="R11392" i="34"/>
  <c r="R11393" i="34"/>
  <c r="R11394" i="34"/>
  <c r="R11395" i="34"/>
  <c r="R11396" i="34"/>
  <c r="R11397" i="34"/>
  <c r="R11398" i="34"/>
  <c r="R11399" i="34"/>
  <c r="R11400" i="34"/>
  <c r="R11401" i="34"/>
  <c r="R11402" i="34"/>
  <c r="R11403" i="34"/>
  <c r="R11404" i="34"/>
  <c r="R11405" i="34"/>
  <c r="R11406" i="34"/>
  <c r="R11407" i="34"/>
  <c r="R11408" i="34"/>
  <c r="R11409" i="34"/>
  <c r="R11410" i="34"/>
  <c r="R11411" i="34"/>
  <c r="R11412" i="34"/>
  <c r="R11413" i="34"/>
  <c r="R11414" i="34"/>
  <c r="R11415" i="34"/>
  <c r="R11416" i="34"/>
  <c r="R11417" i="34"/>
  <c r="R11418" i="34"/>
  <c r="R11419" i="34"/>
  <c r="R11420" i="34"/>
  <c r="R11421" i="34"/>
  <c r="R11422" i="34"/>
  <c r="R11423" i="34"/>
  <c r="R11424" i="34"/>
  <c r="R11425" i="34"/>
  <c r="R11426" i="34"/>
  <c r="R11427" i="34"/>
  <c r="R11428" i="34"/>
  <c r="R11429" i="34"/>
  <c r="R11430" i="34"/>
  <c r="R11431" i="34"/>
  <c r="R11432" i="34"/>
  <c r="R11433" i="34"/>
  <c r="R11434" i="34"/>
  <c r="R11435" i="34"/>
  <c r="R11436" i="34"/>
  <c r="R11437" i="34"/>
  <c r="R11438" i="34"/>
  <c r="R11439" i="34"/>
  <c r="R11440" i="34"/>
  <c r="R11441" i="34"/>
  <c r="R11442" i="34"/>
  <c r="R11443" i="34"/>
  <c r="R11444" i="34"/>
  <c r="R11445" i="34"/>
  <c r="R11446" i="34"/>
  <c r="R11447" i="34"/>
  <c r="R11448" i="34"/>
  <c r="R11449" i="34"/>
  <c r="R11450" i="34"/>
  <c r="R11451" i="34"/>
  <c r="R11452" i="34"/>
  <c r="R11453" i="34"/>
  <c r="R11454" i="34"/>
  <c r="R11455" i="34"/>
  <c r="R11456" i="34"/>
  <c r="R11457" i="34"/>
  <c r="R11458" i="34"/>
  <c r="R11459" i="34"/>
  <c r="R11460" i="34"/>
  <c r="R11461" i="34"/>
  <c r="R11462" i="34"/>
  <c r="R11463" i="34"/>
  <c r="R11464" i="34"/>
  <c r="R11465" i="34"/>
  <c r="R11466" i="34"/>
  <c r="R11467" i="34"/>
  <c r="R11468" i="34"/>
  <c r="R11469" i="34"/>
  <c r="R11470" i="34"/>
  <c r="R11471" i="34"/>
  <c r="R11472" i="34"/>
  <c r="R11473" i="34"/>
  <c r="R11474" i="34"/>
  <c r="R11475" i="34"/>
  <c r="R11476" i="34"/>
  <c r="R11477" i="34"/>
  <c r="R11478" i="34"/>
  <c r="R11479" i="34"/>
  <c r="R11480" i="34"/>
  <c r="R11481" i="34"/>
  <c r="R11482" i="34"/>
  <c r="R11483" i="34"/>
  <c r="R11484" i="34"/>
  <c r="R11485" i="34"/>
  <c r="R11486" i="34"/>
  <c r="R11487" i="34"/>
  <c r="R11488" i="34"/>
  <c r="R11489" i="34"/>
  <c r="R11490" i="34"/>
  <c r="R11491" i="34"/>
  <c r="R11492" i="34"/>
  <c r="R11493" i="34"/>
  <c r="R11494" i="34"/>
  <c r="R11495" i="34"/>
  <c r="R11496" i="34"/>
  <c r="R11497" i="34"/>
  <c r="R11498" i="34"/>
  <c r="R11499" i="34"/>
  <c r="R11500" i="34"/>
  <c r="R11501" i="34"/>
  <c r="R11502" i="34"/>
  <c r="R11503" i="34"/>
  <c r="R11504" i="34"/>
  <c r="R11505" i="34"/>
  <c r="R11506" i="34"/>
  <c r="R11507" i="34"/>
  <c r="R11508" i="34"/>
  <c r="R11509" i="34"/>
  <c r="R11510" i="34"/>
  <c r="R11511" i="34"/>
  <c r="R11512" i="34"/>
  <c r="R11513" i="34"/>
  <c r="R11514" i="34"/>
  <c r="R11515" i="34"/>
  <c r="R11516" i="34"/>
  <c r="R11517" i="34"/>
  <c r="R11518" i="34"/>
  <c r="R11519" i="34"/>
  <c r="R11520" i="34"/>
  <c r="R11521" i="34"/>
  <c r="R11522" i="34"/>
  <c r="R11523" i="34"/>
  <c r="R11524" i="34"/>
  <c r="R11525" i="34"/>
  <c r="R11526" i="34"/>
  <c r="R11527" i="34"/>
  <c r="R11528" i="34"/>
  <c r="R11529" i="34"/>
  <c r="R11530" i="34"/>
  <c r="R11531" i="34"/>
  <c r="R11532" i="34"/>
  <c r="R11533" i="34"/>
  <c r="R11534" i="34"/>
  <c r="R11535" i="34"/>
  <c r="R11536" i="34"/>
  <c r="R11537" i="34"/>
  <c r="R11538" i="34"/>
  <c r="R11539" i="34"/>
  <c r="R11540" i="34"/>
  <c r="R11541" i="34"/>
  <c r="R11542" i="34"/>
  <c r="R11543" i="34"/>
  <c r="R11544" i="34"/>
  <c r="R11545" i="34"/>
  <c r="R11546" i="34"/>
  <c r="R11547" i="34"/>
  <c r="R11548" i="34"/>
  <c r="R11549" i="34"/>
  <c r="R11550" i="34"/>
  <c r="R11551" i="34"/>
  <c r="R11552" i="34"/>
  <c r="R11553" i="34"/>
  <c r="R11554" i="34"/>
  <c r="R11555" i="34"/>
  <c r="R11556" i="34"/>
  <c r="R11557" i="34"/>
  <c r="R11558" i="34"/>
  <c r="R11559" i="34"/>
  <c r="R11560" i="34"/>
  <c r="R11561" i="34"/>
  <c r="R11562" i="34"/>
  <c r="R11563" i="34"/>
  <c r="R11564" i="34"/>
  <c r="R11565" i="34"/>
  <c r="R11566" i="34"/>
  <c r="R11567" i="34"/>
  <c r="R11568" i="34"/>
  <c r="R11569" i="34"/>
  <c r="R11570" i="34"/>
  <c r="R11571" i="34"/>
  <c r="R11572" i="34"/>
  <c r="R11573" i="34"/>
  <c r="R11574" i="34"/>
  <c r="R11575" i="34"/>
  <c r="R11576" i="34"/>
  <c r="R11577" i="34"/>
  <c r="R11578" i="34"/>
  <c r="R11579" i="34"/>
  <c r="R11580" i="34"/>
  <c r="R11581" i="34"/>
  <c r="R11582" i="34"/>
  <c r="R11583" i="34"/>
  <c r="R11584" i="34"/>
  <c r="R11585" i="34"/>
  <c r="R11586" i="34"/>
  <c r="R11587" i="34"/>
  <c r="R11588" i="34"/>
  <c r="R11589" i="34"/>
  <c r="R11590" i="34"/>
  <c r="R11591" i="34"/>
  <c r="R11592" i="34"/>
  <c r="R11593" i="34"/>
  <c r="R11594" i="34"/>
  <c r="R11595" i="34"/>
  <c r="R11596" i="34"/>
  <c r="R11597" i="34"/>
  <c r="R11598" i="34"/>
  <c r="R11599" i="34"/>
  <c r="R11600" i="34"/>
  <c r="R11601" i="34"/>
  <c r="R11602" i="34"/>
  <c r="R11603" i="34"/>
  <c r="R11604" i="34"/>
  <c r="R11605" i="34"/>
  <c r="R11606" i="34"/>
  <c r="R11607" i="34"/>
  <c r="R11608" i="34"/>
  <c r="R11609" i="34"/>
  <c r="R11610" i="34"/>
  <c r="R11611" i="34"/>
  <c r="R11612" i="34"/>
  <c r="R11613" i="34"/>
  <c r="R11614" i="34"/>
  <c r="R11615" i="34"/>
  <c r="R11616" i="34"/>
  <c r="R11617" i="34"/>
  <c r="R11618" i="34"/>
  <c r="R11619" i="34"/>
  <c r="R11620" i="34"/>
  <c r="R11621" i="34"/>
  <c r="R11622" i="34"/>
  <c r="R11623" i="34"/>
  <c r="R11624" i="34"/>
  <c r="R11625" i="34"/>
  <c r="R11626" i="34"/>
  <c r="R11627" i="34"/>
  <c r="R11628" i="34"/>
  <c r="R11629" i="34"/>
  <c r="R11630" i="34"/>
  <c r="R11631" i="34"/>
  <c r="R11632" i="34"/>
  <c r="R11633" i="34"/>
  <c r="R11634" i="34"/>
  <c r="R11635" i="34"/>
  <c r="R11636" i="34"/>
  <c r="R11637" i="34"/>
  <c r="R11638" i="34"/>
  <c r="R11639" i="34"/>
  <c r="R11640" i="34"/>
  <c r="R11641" i="34"/>
  <c r="R11642" i="34"/>
  <c r="R11643" i="34"/>
  <c r="R11644" i="34"/>
  <c r="R11645" i="34"/>
  <c r="R11646" i="34"/>
  <c r="R11647" i="34"/>
  <c r="R11648" i="34"/>
  <c r="R11649" i="34"/>
  <c r="R11650" i="34"/>
  <c r="R11651" i="34"/>
  <c r="R11652" i="34"/>
  <c r="R11653" i="34"/>
  <c r="R11654" i="34"/>
  <c r="R11655" i="34"/>
  <c r="R11656" i="34"/>
  <c r="R11657" i="34"/>
  <c r="R11658" i="34"/>
  <c r="R11659" i="34"/>
  <c r="R11660" i="34"/>
  <c r="R11661" i="34"/>
  <c r="R11662" i="34"/>
  <c r="R11663" i="34"/>
  <c r="R11664" i="34"/>
  <c r="R11665" i="34"/>
  <c r="R11666" i="34"/>
  <c r="R11667" i="34"/>
  <c r="R11668" i="34"/>
  <c r="R11669" i="34"/>
  <c r="R11670" i="34"/>
  <c r="R11671" i="34"/>
  <c r="R11672" i="34"/>
  <c r="R11673" i="34"/>
  <c r="R11674" i="34"/>
  <c r="R11675" i="34"/>
  <c r="R11676" i="34"/>
  <c r="R11677" i="34"/>
  <c r="R11678" i="34"/>
  <c r="R11679" i="34"/>
  <c r="R11680" i="34"/>
  <c r="R11681" i="34"/>
  <c r="R11682" i="34"/>
  <c r="R11683" i="34"/>
  <c r="R11684" i="34"/>
  <c r="R11685" i="34"/>
  <c r="R11686" i="34"/>
  <c r="R11687" i="34"/>
  <c r="R11688" i="34"/>
  <c r="R11689" i="34"/>
  <c r="R11690" i="34"/>
  <c r="R11691" i="34"/>
  <c r="R11692" i="34"/>
  <c r="R11693" i="34"/>
  <c r="R11694" i="34"/>
  <c r="R11695" i="34"/>
  <c r="R11696" i="34"/>
  <c r="R11697" i="34"/>
  <c r="R11698" i="34"/>
  <c r="R11699" i="34"/>
  <c r="R11700" i="34"/>
  <c r="R11701" i="34"/>
  <c r="R11702" i="34"/>
  <c r="R11703" i="34"/>
  <c r="R11704" i="34"/>
  <c r="R11705" i="34"/>
  <c r="R11706" i="34"/>
  <c r="R11707" i="34"/>
  <c r="R11708" i="34"/>
  <c r="R11709" i="34"/>
  <c r="R11710" i="34"/>
  <c r="R11711" i="34"/>
  <c r="R11712" i="34"/>
  <c r="R11713" i="34"/>
  <c r="R11714" i="34"/>
  <c r="R11715" i="34"/>
  <c r="R11716" i="34"/>
  <c r="R11717" i="34"/>
  <c r="R11718" i="34"/>
  <c r="R11719" i="34"/>
  <c r="R11720" i="34"/>
  <c r="R11721" i="34"/>
  <c r="R11722" i="34"/>
  <c r="R11723" i="34"/>
  <c r="R11724" i="34"/>
  <c r="R11725" i="34"/>
  <c r="R11726" i="34"/>
  <c r="R11727" i="34"/>
  <c r="R11728" i="34"/>
  <c r="R11729" i="34"/>
  <c r="R11730" i="34"/>
  <c r="R11731" i="34"/>
  <c r="R11732" i="34"/>
  <c r="R11733" i="34"/>
  <c r="R11734" i="34"/>
  <c r="R11735" i="34"/>
  <c r="R11736" i="34"/>
  <c r="R11737" i="34"/>
  <c r="R11738" i="34"/>
  <c r="R11739" i="34"/>
  <c r="R11740" i="34"/>
  <c r="R11741" i="34"/>
  <c r="R11742" i="34"/>
  <c r="R11743" i="34"/>
  <c r="R11744" i="34"/>
  <c r="R11745" i="34"/>
  <c r="R11746" i="34"/>
  <c r="R11747" i="34"/>
  <c r="R11748" i="34"/>
  <c r="R11749" i="34"/>
  <c r="R11750" i="34"/>
  <c r="R11751" i="34"/>
  <c r="R11752" i="34"/>
  <c r="R11753" i="34"/>
  <c r="R11754" i="34"/>
  <c r="R11755" i="34"/>
  <c r="R11756" i="34"/>
  <c r="R11757" i="34"/>
  <c r="R11758" i="34"/>
  <c r="R11759" i="34"/>
  <c r="R11760" i="34"/>
  <c r="R11761" i="34"/>
  <c r="R11762" i="34"/>
  <c r="R11763" i="34"/>
  <c r="R11764" i="34"/>
  <c r="R11765" i="34"/>
  <c r="R11766" i="34"/>
  <c r="R11767" i="34"/>
  <c r="R11768" i="34"/>
  <c r="R11769" i="34"/>
  <c r="R11770" i="34"/>
  <c r="R11771" i="34"/>
  <c r="R11772" i="34"/>
  <c r="R11773" i="34"/>
  <c r="R11774" i="34"/>
  <c r="R11775" i="34"/>
  <c r="R11776" i="34"/>
  <c r="R11777" i="34"/>
  <c r="R11778" i="34"/>
  <c r="R11779" i="34"/>
  <c r="R11780" i="34"/>
  <c r="R11781" i="34"/>
  <c r="R11782" i="34"/>
  <c r="R11783" i="34"/>
  <c r="R11784" i="34"/>
  <c r="R11785" i="34"/>
  <c r="R11786" i="34"/>
  <c r="R11787" i="34"/>
  <c r="R11788" i="34"/>
  <c r="R11789" i="34"/>
  <c r="R11790" i="34"/>
  <c r="R11791" i="34"/>
  <c r="R11792" i="34"/>
  <c r="R11793" i="34"/>
  <c r="R11794" i="34"/>
  <c r="R11795" i="34"/>
  <c r="R11796" i="34"/>
  <c r="R11797" i="34"/>
  <c r="R11798" i="34"/>
  <c r="R11799" i="34"/>
  <c r="R11800" i="34"/>
  <c r="R11801" i="34"/>
  <c r="R11802" i="34"/>
  <c r="R11803" i="34"/>
  <c r="R11804" i="34"/>
  <c r="R11805" i="34"/>
  <c r="R11806" i="34"/>
  <c r="R11807" i="34"/>
  <c r="R11808" i="34"/>
  <c r="R11809" i="34"/>
  <c r="R11810" i="34"/>
  <c r="R11811" i="34"/>
  <c r="R11812" i="34"/>
  <c r="R11813" i="34"/>
  <c r="R11814" i="34"/>
  <c r="R11815" i="34"/>
  <c r="R11816" i="34"/>
  <c r="R11817" i="34"/>
  <c r="R11818" i="34"/>
  <c r="R11819" i="34"/>
  <c r="R11820" i="34"/>
  <c r="R11821" i="34"/>
  <c r="R11822" i="34"/>
  <c r="R11823" i="34"/>
  <c r="R11824" i="34"/>
  <c r="R11825" i="34"/>
  <c r="R11826" i="34"/>
  <c r="R11827" i="34"/>
  <c r="R11828" i="34"/>
  <c r="R11829" i="34"/>
  <c r="R11830" i="34"/>
  <c r="R11831" i="34"/>
  <c r="R11832" i="34"/>
  <c r="R11833" i="34"/>
  <c r="R11834" i="34"/>
  <c r="R11835" i="34"/>
  <c r="R11836" i="34"/>
  <c r="R11837" i="34"/>
  <c r="R11838" i="34"/>
  <c r="R11839" i="34"/>
  <c r="R11840" i="34"/>
  <c r="R11841" i="34"/>
  <c r="R11842" i="34"/>
  <c r="R11843" i="34"/>
  <c r="R11844" i="34"/>
  <c r="R11845" i="34"/>
  <c r="R11846" i="34"/>
  <c r="R11847" i="34"/>
  <c r="R11848" i="34"/>
  <c r="R11849" i="34"/>
  <c r="R11850" i="34"/>
  <c r="R11851" i="34"/>
  <c r="R11852" i="34"/>
  <c r="R11853" i="34"/>
  <c r="R11854" i="34"/>
  <c r="R11855" i="34"/>
  <c r="R11856" i="34"/>
  <c r="R11857" i="34"/>
  <c r="R11858" i="34"/>
  <c r="R11859" i="34"/>
  <c r="R11860" i="34"/>
  <c r="R11861" i="34"/>
  <c r="R11862" i="34"/>
  <c r="R11863" i="34"/>
  <c r="R11864" i="34"/>
  <c r="R11865" i="34"/>
  <c r="R11866" i="34"/>
  <c r="R11867" i="34"/>
  <c r="R11868" i="34"/>
  <c r="R11869" i="34"/>
  <c r="R11870" i="34"/>
  <c r="R11871" i="34"/>
  <c r="R11872" i="34"/>
  <c r="R11873" i="34"/>
  <c r="R11874" i="34"/>
  <c r="R11875" i="34"/>
  <c r="R11876" i="34"/>
  <c r="R11877" i="34"/>
  <c r="R11878" i="34"/>
  <c r="R11879" i="34"/>
  <c r="R11880" i="34"/>
  <c r="R11881" i="34"/>
  <c r="R11882" i="34"/>
  <c r="R11883" i="34"/>
  <c r="R11884" i="34"/>
  <c r="R11885" i="34"/>
  <c r="R11886" i="34"/>
  <c r="R11887" i="34"/>
  <c r="R11888" i="34"/>
  <c r="R11889" i="34"/>
  <c r="R11890" i="34"/>
  <c r="R11891" i="34"/>
  <c r="R11892" i="34"/>
  <c r="R11893" i="34"/>
  <c r="R11894" i="34"/>
  <c r="R11895" i="34"/>
  <c r="R11896" i="34"/>
  <c r="R11897" i="34"/>
  <c r="R11898" i="34"/>
  <c r="R11899" i="34"/>
  <c r="R11900" i="34"/>
  <c r="R11901" i="34"/>
  <c r="R11902" i="34"/>
  <c r="R11903" i="34"/>
  <c r="R11904" i="34"/>
  <c r="R11905" i="34"/>
  <c r="R11906" i="34"/>
  <c r="R11907" i="34"/>
  <c r="R11908" i="34"/>
  <c r="R11909" i="34"/>
  <c r="R11910" i="34"/>
  <c r="R11911" i="34"/>
  <c r="R11912" i="34"/>
  <c r="R11913" i="34"/>
  <c r="R11914" i="34"/>
  <c r="R11915" i="34"/>
  <c r="R11916" i="34"/>
  <c r="R11917" i="34"/>
  <c r="R11918" i="34"/>
  <c r="R11919" i="34"/>
  <c r="R11920" i="34"/>
  <c r="R11921" i="34"/>
  <c r="R11922" i="34"/>
  <c r="R11923" i="34"/>
  <c r="R11924" i="34"/>
  <c r="R11925" i="34"/>
  <c r="R11926" i="34"/>
  <c r="R11927" i="34"/>
  <c r="R11928" i="34"/>
  <c r="R11929" i="34"/>
  <c r="R11930" i="34"/>
  <c r="R11931" i="34"/>
  <c r="R11932" i="34"/>
  <c r="R11933" i="34"/>
  <c r="R11934" i="34"/>
  <c r="R11935" i="34"/>
  <c r="R11936" i="34"/>
  <c r="R11937" i="34"/>
  <c r="R11938" i="34"/>
  <c r="R11939" i="34"/>
  <c r="R11940" i="34"/>
  <c r="R11941" i="34"/>
  <c r="R11942" i="34"/>
  <c r="R11943" i="34"/>
  <c r="R11944" i="34"/>
  <c r="R11945" i="34"/>
  <c r="R11946" i="34"/>
  <c r="R11947" i="34"/>
  <c r="R11948" i="34"/>
  <c r="R11949" i="34"/>
  <c r="R11950" i="34"/>
  <c r="R11951" i="34"/>
  <c r="R11952" i="34"/>
  <c r="R11953" i="34"/>
  <c r="R11954" i="34"/>
  <c r="R11955" i="34"/>
  <c r="R11956" i="34"/>
  <c r="R11957" i="34"/>
  <c r="R11958" i="34"/>
  <c r="R11959" i="34"/>
  <c r="R11960" i="34"/>
  <c r="R11961" i="34"/>
  <c r="R11962" i="34"/>
  <c r="R11963" i="34"/>
  <c r="R11964" i="34"/>
  <c r="R11965" i="34"/>
  <c r="R11966" i="34"/>
  <c r="R11967" i="34"/>
  <c r="R11968" i="34"/>
  <c r="R11969" i="34"/>
  <c r="R11970" i="34"/>
  <c r="R11971" i="34"/>
  <c r="R11972" i="34"/>
  <c r="R11973" i="34"/>
  <c r="R11974" i="34"/>
  <c r="R11975" i="34"/>
  <c r="R11976" i="34"/>
  <c r="R11977" i="34"/>
  <c r="R11978" i="34"/>
  <c r="R11979" i="34"/>
  <c r="R11980" i="34"/>
  <c r="R11981" i="34"/>
  <c r="R11982" i="34"/>
  <c r="R11983" i="34"/>
  <c r="R11984" i="34"/>
  <c r="R11985" i="34"/>
  <c r="R11986" i="34"/>
  <c r="R11987" i="34"/>
  <c r="R11988" i="34"/>
  <c r="R11989" i="34"/>
  <c r="R11990" i="34"/>
  <c r="R11991" i="34"/>
  <c r="R11992" i="34"/>
  <c r="R11993" i="34"/>
  <c r="R11994" i="34"/>
  <c r="R11995" i="34"/>
  <c r="R11996" i="34"/>
  <c r="R11997" i="34"/>
  <c r="R11998" i="34"/>
  <c r="R11999" i="34"/>
  <c r="R12000" i="34"/>
  <c r="R12001" i="34"/>
  <c r="R12002" i="34"/>
  <c r="R12003" i="34"/>
  <c r="R12004" i="34"/>
  <c r="R12005" i="34"/>
  <c r="R12006" i="34"/>
  <c r="R12007" i="34"/>
  <c r="R12008" i="34"/>
  <c r="R12009" i="34"/>
  <c r="R12010" i="34"/>
  <c r="R12011" i="34"/>
  <c r="R12012" i="34"/>
  <c r="R12013" i="34"/>
  <c r="R12014" i="34"/>
  <c r="R12015" i="34"/>
  <c r="R12016" i="34"/>
  <c r="R12017" i="34"/>
  <c r="R12018" i="34"/>
  <c r="R12019" i="34"/>
  <c r="R12020" i="34"/>
  <c r="R12021" i="34"/>
  <c r="R12022" i="34"/>
  <c r="R12023" i="34"/>
  <c r="R12024" i="34"/>
  <c r="R12025" i="34"/>
  <c r="R12026" i="34"/>
  <c r="R12027" i="34"/>
  <c r="R12028" i="34"/>
  <c r="R12029" i="34"/>
  <c r="R12030" i="34"/>
  <c r="R12031" i="34"/>
  <c r="R12032" i="34"/>
  <c r="R12033" i="34"/>
  <c r="R12034" i="34"/>
  <c r="R12035" i="34"/>
  <c r="R12036" i="34"/>
  <c r="R12037" i="34"/>
  <c r="R12038" i="34"/>
  <c r="R12039" i="34"/>
  <c r="R12040" i="34"/>
  <c r="R12041" i="34"/>
  <c r="R12042" i="34"/>
  <c r="R12043" i="34"/>
  <c r="R12044" i="34"/>
  <c r="R12045" i="34"/>
  <c r="R12046" i="34"/>
  <c r="R12047" i="34"/>
  <c r="R12048" i="34"/>
  <c r="R12049" i="34"/>
  <c r="R12050" i="34"/>
  <c r="R12051" i="34"/>
  <c r="R12052" i="34"/>
  <c r="R12053" i="34"/>
  <c r="R12054" i="34"/>
  <c r="R12055" i="34"/>
  <c r="R12056" i="34"/>
  <c r="R12057" i="34"/>
  <c r="R12058" i="34"/>
  <c r="R12059" i="34"/>
  <c r="R12060" i="34"/>
  <c r="R12061" i="34"/>
  <c r="R12062" i="34"/>
  <c r="R12063" i="34"/>
  <c r="R12064" i="34"/>
  <c r="R12065" i="34"/>
  <c r="R12066" i="34"/>
  <c r="R12067" i="34"/>
  <c r="R12068" i="34"/>
  <c r="R12069" i="34"/>
  <c r="R12070" i="34"/>
  <c r="R12071" i="34"/>
  <c r="R12072" i="34"/>
  <c r="R12073" i="34"/>
  <c r="R12074" i="34"/>
  <c r="R12075" i="34"/>
  <c r="R12076" i="34"/>
  <c r="R12077" i="34"/>
  <c r="R12078" i="34"/>
  <c r="R12079" i="34"/>
  <c r="R12080" i="34"/>
  <c r="R12081" i="34"/>
  <c r="R12082" i="34"/>
  <c r="R12083" i="34"/>
  <c r="R12084" i="34"/>
  <c r="R12085" i="34"/>
  <c r="R12086" i="34"/>
  <c r="R12087" i="34"/>
  <c r="R12088" i="34"/>
  <c r="R12089" i="34"/>
  <c r="R12090" i="34"/>
  <c r="R12091" i="34"/>
  <c r="R12092" i="34"/>
  <c r="R12093" i="34"/>
  <c r="R12094" i="34"/>
  <c r="R12095" i="34"/>
  <c r="R12096" i="34"/>
  <c r="R12097" i="34"/>
  <c r="R12098" i="34"/>
  <c r="R12099" i="34"/>
  <c r="R12100" i="34"/>
  <c r="R12101" i="34"/>
  <c r="R12102" i="34"/>
  <c r="R12103" i="34"/>
  <c r="R12104" i="34"/>
  <c r="R12105" i="34"/>
  <c r="R12106" i="34"/>
  <c r="R12107" i="34"/>
  <c r="R12108" i="34"/>
  <c r="R12109" i="34"/>
  <c r="R12110" i="34"/>
  <c r="R12111" i="34"/>
  <c r="R12112" i="34"/>
  <c r="R12113" i="34"/>
  <c r="R12114" i="34"/>
  <c r="R12115" i="34"/>
  <c r="R12116" i="34"/>
  <c r="R12117" i="34"/>
  <c r="R12118" i="34"/>
  <c r="R12119" i="34"/>
  <c r="R12120" i="34"/>
  <c r="R12121" i="34"/>
  <c r="R12122" i="34"/>
  <c r="R12123" i="34"/>
  <c r="R12124" i="34"/>
  <c r="R12125" i="34"/>
  <c r="R12126" i="34"/>
  <c r="R12127" i="34"/>
  <c r="R12128" i="34"/>
  <c r="R12129" i="34"/>
  <c r="R12130" i="34"/>
  <c r="R12131" i="34"/>
  <c r="R12132" i="34"/>
  <c r="R12133" i="34"/>
  <c r="R12134" i="34"/>
  <c r="R12135" i="34"/>
  <c r="R12136" i="34"/>
  <c r="R12137" i="34"/>
  <c r="R12138" i="34"/>
  <c r="R12139" i="34"/>
  <c r="R12140" i="34"/>
  <c r="R12141" i="34"/>
  <c r="R12142" i="34"/>
  <c r="R12143" i="34"/>
  <c r="R12144" i="34"/>
  <c r="R12145" i="34"/>
  <c r="R12146" i="34"/>
  <c r="R12147" i="34"/>
  <c r="R12148" i="34"/>
  <c r="R12149" i="34"/>
  <c r="R12150" i="34"/>
  <c r="R12151" i="34"/>
  <c r="R12152" i="34"/>
  <c r="R12153" i="34"/>
  <c r="R12154" i="34"/>
  <c r="R12155" i="34"/>
  <c r="R12156" i="34"/>
  <c r="R12157" i="34"/>
  <c r="R12158" i="34"/>
  <c r="R12159" i="34"/>
  <c r="R12160" i="34"/>
  <c r="R12161" i="34"/>
  <c r="R12162" i="34"/>
  <c r="R12163" i="34"/>
  <c r="R12164" i="34"/>
  <c r="R12165" i="34"/>
  <c r="R12166" i="34"/>
  <c r="R12167" i="34"/>
  <c r="R12168" i="34"/>
  <c r="R12169" i="34"/>
  <c r="R12170" i="34"/>
  <c r="R12171" i="34"/>
  <c r="R12172" i="34"/>
  <c r="R12173" i="34"/>
  <c r="R12174" i="34"/>
  <c r="R12175" i="34"/>
  <c r="R12176" i="34"/>
  <c r="R12177" i="34"/>
  <c r="R12178" i="34"/>
  <c r="R12179" i="34"/>
  <c r="R12180" i="34"/>
  <c r="R12181" i="34"/>
  <c r="R12182" i="34"/>
  <c r="R12183" i="34"/>
  <c r="R12184" i="34"/>
  <c r="R12185" i="34"/>
  <c r="R12186" i="34"/>
  <c r="R12187" i="34"/>
  <c r="R12188" i="34"/>
  <c r="R12189" i="34"/>
  <c r="R12190" i="34"/>
  <c r="R12191" i="34"/>
  <c r="R12192" i="34"/>
  <c r="R12193" i="34"/>
  <c r="R12194" i="34"/>
  <c r="R12195" i="34"/>
  <c r="R12196" i="34"/>
  <c r="R12197" i="34"/>
  <c r="R12198" i="34"/>
  <c r="R12199" i="34"/>
  <c r="R12200" i="34"/>
  <c r="R12201" i="34"/>
  <c r="R12202" i="34"/>
  <c r="R12203" i="34"/>
  <c r="R12204" i="34"/>
  <c r="R12205" i="34"/>
  <c r="R12206" i="34"/>
  <c r="R12207" i="34"/>
  <c r="R12208" i="34"/>
  <c r="R12209" i="34"/>
  <c r="R12210" i="34"/>
  <c r="R12211" i="34"/>
  <c r="R12212" i="34"/>
  <c r="R12213" i="34"/>
  <c r="R12214" i="34"/>
  <c r="R12215" i="34"/>
  <c r="R12216" i="34"/>
  <c r="R12217" i="34"/>
  <c r="R12218" i="34"/>
  <c r="R12219" i="34"/>
  <c r="R12220" i="34"/>
  <c r="R12221" i="34"/>
  <c r="R12222" i="34"/>
  <c r="R12223" i="34"/>
  <c r="R12224" i="34"/>
  <c r="R12225" i="34"/>
  <c r="R12226" i="34"/>
  <c r="R12227" i="34"/>
  <c r="R12228" i="34"/>
  <c r="R12229" i="34"/>
  <c r="R12230" i="34"/>
  <c r="R12231" i="34"/>
  <c r="R12232" i="34"/>
  <c r="R12233" i="34"/>
  <c r="R12234" i="34"/>
  <c r="R12235" i="34"/>
  <c r="R12236" i="34"/>
  <c r="R12237" i="34"/>
  <c r="R12238" i="34"/>
  <c r="R12239" i="34"/>
  <c r="R12240" i="34"/>
  <c r="R12241" i="34"/>
  <c r="R12242" i="34"/>
  <c r="R12243" i="34"/>
  <c r="R12244" i="34"/>
  <c r="R12245" i="34"/>
  <c r="R12246" i="34"/>
  <c r="R12247" i="34"/>
  <c r="R12248" i="34"/>
  <c r="R12249" i="34"/>
  <c r="R12250" i="34"/>
  <c r="R12251" i="34"/>
  <c r="R12252" i="34"/>
  <c r="R12253" i="34"/>
  <c r="R12254" i="34"/>
  <c r="R12255" i="34"/>
  <c r="R12256" i="34"/>
  <c r="R12257" i="34"/>
  <c r="R12258" i="34"/>
  <c r="R12259" i="34"/>
  <c r="R12260" i="34"/>
  <c r="R12261" i="34"/>
  <c r="R12262" i="34"/>
  <c r="R12263" i="34"/>
  <c r="R12264" i="34"/>
  <c r="R12265" i="34"/>
  <c r="R12266" i="34"/>
  <c r="R12267" i="34"/>
  <c r="R12268" i="34"/>
  <c r="R12269" i="34"/>
  <c r="R12270" i="34"/>
  <c r="R12271" i="34"/>
  <c r="R12272" i="34"/>
  <c r="R12273" i="34"/>
  <c r="R12274" i="34"/>
  <c r="R12275" i="34"/>
  <c r="R12276" i="34"/>
  <c r="R12277" i="34"/>
  <c r="R12278" i="34"/>
  <c r="R12279" i="34"/>
  <c r="R12280" i="34"/>
  <c r="R12281" i="34"/>
  <c r="R12282" i="34"/>
  <c r="R12283" i="34"/>
  <c r="R12284" i="34"/>
  <c r="R12285" i="34"/>
  <c r="R12286" i="34"/>
  <c r="R12287" i="34"/>
  <c r="R12288" i="34"/>
  <c r="R12289" i="34"/>
  <c r="R12290" i="34"/>
  <c r="R12291" i="34"/>
  <c r="R12292" i="34"/>
  <c r="R12293" i="34"/>
  <c r="R12294" i="34"/>
  <c r="R12295" i="34"/>
  <c r="R12296" i="34"/>
  <c r="R12297" i="34"/>
  <c r="R12298" i="34"/>
  <c r="R12299" i="34"/>
  <c r="R12300" i="34"/>
  <c r="R12301" i="34"/>
  <c r="R12302" i="34"/>
  <c r="R12303" i="34"/>
  <c r="R12304" i="34"/>
  <c r="R12305" i="34"/>
  <c r="R12306" i="34"/>
  <c r="R12307" i="34"/>
  <c r="R12308" i="34"/>
  <c r="R12309" i="34"/>
  <c r="R12310" i="34"/>
  <c r="R12311" i="34"/>
  <c r="R12312" i="34"/>
  <c r="R12313" i="34"/>
  <c r="R12314" i="34"/>
  <c r="R12315" i="34"/>
  <c r="R12316" i="34"/>
  <c r="R12317" i="34"/>
  <c r="R12318" i="34"/>
  <c r="R12319" i="34"/>
  <c r="R12320" i="34"/>
  <c r="R12321" i="34"/>
  <c r="R12322" i="34"/>
  <c r="R12323" i="34"/>
  <c r="R12324" i="34"/>
  <c r="R12325" i="34"/>
  <c r="R12326" i="34"/>
  <c r="R12327" i="34"/>
  <c r="R12328" i="34"/>
  <c r="R12329" i="34"/>
  <c r="R12330" i="34"/>
  <c r="R12331" i="34"/>
  <c r="R12332" i="34"/>
  <c r="R12333" i="34"/>
  <c r="R12334" i="34"/>
  <c r="R12335" i="34"/>
  <c r="R12336" i="34"/>
  <c r="R12337" i="34"/>
  <c r="R12338" i="34"/>
  <c r="R12339" i="34"/>
  <c r="R12340" i="34"/>
  <c r="R12341" i="34"/>
  <c r="R12342" i="34"/>
  <c r="R12343" i="34"/>
  <c r="R12344" i="34"/>
  <c r="R12345" i="34"/>
  <c r="R12346" i="34"/>
  <c r="R12347" i="34"/>
  <c r="R12348" i="34"/>
  <c r="R12349" i="34"/>
  <c r="R12350" i="34"/>
  <c r="R12351" i="34"/>
  <c r="R12352" i="34"/>
  <c r="R12353" i="34"/>
  <c r="R12354" i="34"/>
  <c r="R12355" i="34"/>
  <c r="R12356" i="34"/>
  <c r="R12357" i="34"/>
  <c r="R12358" i="34"/>
  <c r="R12359" i="34"/>
  <c r="R12360" i="34"/>
  <c r="R12361" i="34"/>
  <c r="R12362" i="34"/>
  <c r="R12363" i="34"/>
  <c r="R12364" i="34"/>
  <c r="R12365" i="34"/>
  <c r="R12366" i="34"/>
  <c r="R12367" i="34"/>
  <c r="R12368" i="34"/>
  <c r="R12369" i="34"/>
  <c r="R12370" i="34"/>
  <c r="R12371" i="34"/>
  <c r="R12372" i="34"/>
  <c r="R12373" i="34"/>
  <c r="R12374" i="34"/>
  <c r="R12375" i="34"/>
  <c r="R12376" i="34"/>
  <c r="R12377" i="34"/>
  <c r="R12378" i="34"/>
  <c r="R12379" i="34"/>
  <c r="R12380" i="34"/>
  <c r="R12381" i="34"/>
  <c r="R12382" i="34"/>
  <c r="R12383" i="34"/>
  <c r="R12384" i="34"/>
  <c r="R12385" i="34"/>
  <c r="R12386" i="34"/>
  <c r="R12387" i="34"/>
  <c r="R12388" i="34"/>
  <c r="R12389" i="34"/>
  <c r="R12390" i="34"/>
  <c r="R12391" i="34"/>
  <c r="R12392" i="34"/>
  <c r="R12393" i="34"/>
  <c r="R12394" i="34"/>
  <c r="R12395" i="34"/>
  <c r="R12396" i="34"/>
  <c r="R12397" i="34"/>
  <c r="R12398" i="34"/>
  <c r="R12399" i="34"/>
  <c r="R12400" i="34"/>
  <c r="R12401" i="34"/>
  <c r="R12402" i="34"/>
  <c r="R12403" i="34"/>
  <c r="R12404" i="34"/>
  <c r="R12405" i="34"/>
  <c r="R12406" i="34"/>
  <c r="R12407" i="34"/>
  <c r="R12408" i="34"/>
  <c r="R12409" i="34"/>
  <c r="R12410" i="34"/>
  <c r="R12411" i="34"/>
  <c r="R12412" i="34"/>
  <c r="R12413" i="34"/>
  <c r="R12414" i="34"/>
  <c r="R12415" i="34"/>
  <c r="R12416" i="34"/>
  <c r="R12417" i="34"/>
  <c r="R12418" i="34"/>
  <c r="R12419" i="34"/>
  <c r="R12420" i="34"/>
  <c r="R12421" i="34"/>
  <c r="R12422" i="34"/>
  <c r="R12423" i="34"/>
  <c r="R12424" i="34"/>
  <c r="R12425" i="34"/>
  <c r="R12426" i="34"/>
  <c r="R12427" i="34"/>
  <c r="R12428" i="34"/>
  <c r="R12429" i="34"/>
  <c r="R12430" i="34"/>
  <c r="R12431" i="34"/>
  <c r="R12432" i="34"/>
  <c r="R12433" i="34"/>
  <c r="R12434" i="34"/>
  <c r="R12435" i="34"/>
  <c r="R12436" i="34"/>
  <c r="R12437" i="34"/>
  <c r="R12438" i="34"/>
  <c r="R12439" i="34"/>
  <c r="R12440" i="34"/>
  <c r="R12441" i="34"/>
  <c r="R12442" i="34"/>
  <c r="R12443" i="34"/>
  <c r="R12444" i="34"/>
  <c r="R12445" i="34"/>
  <c r="R12446" i="34"/>
  <c r="R12447" i="34"/>
  <c r="R12448" i="34"/>
  <c r="R12449" i="34"/>
  <c r="R12450" i="34"/>
  <c r="R12451" i="34"/>
  <c r="R12452" i="34"/>
  <c r="R12453" i="34"/>
  <c r="R12454" i="34"/>
  <c r="R12455" i="34"/>
  <c r="R12456" i="34"/>
  <c r="R12457" i="34"/>
  <c r="R12458" i="34"/>
  <c r="R12459" i="34"/>
  <c r="R12460" i="34"/>
  <c r="R12461" i="34"/>
  <c r="R12462" i="34"/>
  <c r="R12463" i="34"/>
  <c r="R12464" i="34"/>
  <c r="R12465" i="34"/>
  <c r="R12466" i="34"/>
  <c r="R12467" i="34"/>
  <c r="R12468" i="34"/>
  <c r="R12469" i="34"/>
  <c r="R12470" i="34"/>
  <c r="R12471" i="34"/>
  <c r="R12472" i="34"/>
  <c r="R12473" i="34"/>
  <c r="R12474" i="34"/>
  <c r="R12475" i="34"/>
  <c r="R12476" i="34"/>
  <c r="R12477" i="34"/>
  <c r="R12478" i="34"/>
  <c r="R12479" i="34"/>
  <c r="R12480" i="34"/>
  <c r="R12481" i="34"/>
  <c r="R12482" i="34"/>
  <c r="R12483" i="34"/>
  <c r="R12484" i="34"/>
  <c r="R12485" i="34"/>
  <c r="R12486" i="34"/>
  <c r="R12487" i="34"/>
  <c r="R12488" i="34"/>
  <c r="R12489" i="34"/>
  <c r="R12490" i="34"/>
  <c r="R12491" i="34"/>
  <c r="R12492" i="34"/>
  <c r="R12493" i="34"/>
  <c r="R12494" i="34"/>
  <c r="R12495" i="34"/>
  <c r="R12496" i="34"/>
  <c r="R12497" i="34"/>
  <c r="R12498" i="34"/>
  <c r="R12499" i="34"/>
  <c r="R12500" i="34"/>
  <c r="R12501" i="34"/>
  <c r="R12502" i="34"/>
  <c r="R12503" i="34"/>
  <c r="R12504" i="34"/>
  <c r="R12505" i="34"/>
  <c r="R12506" i="34"/>
  <c r="R12507" i="34"/>
  <c r="R12508" i="34"/>
  <c r="R12509" i="34"/>
  <c r="R12510" i="34"/>
  <c r="R12511" i="34"/>
  <c r="R12512" i="34"/>
  <c r="R12513" i="34"/>
  <c r="R12514" i="34"/>
  <c r="R12515" i="34"/>
  <c r="R12516" i="34"/>
  <c r="R12517" i="34"/>
  <c r="R12518" i="34"/>
  <c r="R12519" i="34"/>
  <c r="R12520" i="34"/>
  <c r="R12521" i="34"/>
  <c r="R12522" i="34"/>
  <c r="R12523" i="34"/>
  <c r="R12524" i="34"/>
  <c r="R12525" i="34"/>
  <c r="R12526" i="34"/>
  <c r="R12527" i="34"/>
  <c r="R12528" i="34"/>
  <c r="R12529" i="34"/>
  <c r="R12530" i="34"/>
  <c r="R12531" i="34"/>
  <c r="R12532" i="34"/>
  <c r="R12533" i="34"/>
  <c r="R12534" i="34"/>
  <c r="R12535" i="34"/>
  <c r="R12536" i="34"/>
  <c r="R12537" i="34"/>
  <c r="R12538" i="34"/>
  <c r="R12539" i="34"/>
  <c r="R12540" i="34"/>
  <c r="R12541" i="34"/>
  <c r="R12542" i="34"/>
  <c r="R12543" i="34"/>
  <c r="R12544" i="34"/>
  <c r="R12545" i="34"/>
  <c r="R12546" i="34"/>
  <c r="R12547" i="34"/>
  <c r="R12548" i="34"/>
  <c r="R12549" i="34"/>
  <c r="R12550" i="34"/>
  <c r="R12551" i="34"/>
  <c r="R12552" i="34"/>
  <c r="R12553" i="34"/>
  <c r="R12554" i="34"/>
  <c r="R12555" i="34"/>
  <c r="R12556" i="34"/>
  <c r="R12557" i="34"/>
  <c r="R12558" i="34"/>
  <c r="R12559" i="34"/>
  <c r="R12560" i="34"/>
  <c r="R12561" i="34"/>
  <c r="R12562" i="34"/>
  <c r="R12563" i="34"/>
  <c r="R12564" i="34"/>
  <c r="R12565" i="34"/>
  <c r="R12566" i="34"/>
  <c r="R12567" i="34"/>
  <c r="R12568" i="34"/>
  <c r="R12569" i="34"/>
  <c r="R12570" i="34"/>
  <c r="R12571" i="34"/>
  <c r="R12572" i="34"/>
  <c r="R12573" i="34"/>
  <c r="R12574" i="34"/>
  <c r="R12575" i="34"/>
  <c r="R12576" i="34"/>
  <c r="R12577" i="34"/>
  <c r="R12578" i="34"/>
  <c r="R12579" i="34"/>
  <c r="R12580" i="34"/>
  <c r="R12581" i="34"/>
  <c r="R12582" i="34"/>
  <c r="R12583" i="34"/>
  <c r="R12584" i="34"/>
  <c r="R12585" i="34"/>
  <c r="R12586" i="34"/>
  <c r="R12587" i="34"/>
  <c r="R12588" i="34"/>
  <c r="R12589" i="34"/>
  <c r="R12590" i="34"/>
  <c r="R12591" i="34"/>
  <c r="R12592" i="34"/>
  <c r="R12593" i="34"/>
  <c r="R12594" i="34"/>
  <c r="R12595" i="34"/>
  <c r="R12596" i="34"/>
  <c r="R12597" i="34"/>
  <c r="R12598" i="34"/>
  <c r="R12599" i="34"/>
  <c r="R12600" i="34"/>
  <c r="R12601" i="34"/>
  <c r="R12602" i="34"/>
  <c r="R12603" i="34"/>
  <c r="R12604" i="34"/>
  <c r="R12605" i="34"/>
  <c r="R12606" i="34"/>
  <c r="R12607" i="34"/>
  <c r="R12608" i="34"/>
  <c r="R12609" i="34"/>
  <c r="R12610" i="34"/>
  <c r="R12611" i="34"/>
  <c r="R12612" i="34"/>
  <c r="R12613" i="34"/>
  <c r="R12614" i="34"/>
  <c r="R12615" i="34"/>
  <c r="R12616" i="34"/>
  <c r="R12617" i="34"/>
  <c r="R12618" i="34"/>
  <c r="R12619" i="34"/>
  <c r="R12620" i="34"/>
  <c r="R12621" i="34"/>
  <c r="R12622" i="34"/>
  <c r="R12623" i="34"/>
  <c r="R12624" i="34"/>
  <c r="R12625" i="34"/>
  <c r="R12626" i="34"/>
  <c r="R12627" i="34"/>
  <c r="R12628" i="34"/>
  <c r="R12629" i="34"/>
  <c r="R12630" i="34"/>
  <c r="R12631" i="34"/>
  <c r="R12632" i="34"/>
  <c r="R12633" i="34"/>
  <c r="R12634" i="34"/>
  <c r="R12635" i="34"/>
  <c r="R12636" i="34"/>
  <c r="R12637" i="34"/>
  <c r="R12638" i="34"/>
  <c r="R12639" i="34"/>
  <c r="R12640" i="34"/>
  <c r="R12641" i="34"/>
  <c r="R12642" i="34"/>
  <c r="R12643" i="34"/>
  <c r="R12644" i="34"/>
  <c r="R12645" i="34"/>
  <c r="R12646" i="34"/>
  <c r="R12647" i="34"/>
  <c r="R12648" i="34"/>
  <c r="R12649" i="34"/>
  <c r="R12650" i="34"/>
  <c r="R12651" i="34"/>
  <c r="R12652" i="34"/>
  <c r="R12653" i="34"/>
  <c r="R12654" i="34"/>
  <c r="R12655" i="34"/>
  <c r="R12656" i="34"/>
  <c r="R12657" i="34"/>
  <c r="R12658" i="34"/>
  <c r="R12659" i="34"/>
  <c r="R12660" i="34"/>
  <c r="R12661" i="34"/>
  <c r="R12662" i="34"/>
  <c r="R12663" i="34"/>
  <c r="R12664" i="34"/>
  <c r="R12665" i="34"/>
  <c r="R12666" i="34"/>
  <c r="R12667" i="34"/>
  <c r="R12668" i="34"/>
  <c r="R12669" i="34"/>
  <c r="R12670" i="34"/>
  <c r="R12671" i="34"/>
  <c r="R12672" i="34"/>
  <c r="R12673" i="34"/>
  <c r="R12674" i="34"/>
  <c r="R12675" i="34"/>
  <c r="R12676" i="34"/>
  <c r="R12677" i="34"/>
  <c r="R12678" i="34"/>
  <c r="R12679" i="34"/>
  <c r="R12680" i="34"/>
  <c r="R12681" i="34"/>
  <c r="R12682" i="34"/>
  <c r="R12683" i="34"/>
  <c r="R12684" i="34"/>
  <c r="R12685" i="34"/>
  <c r="R12686" i="34"/>
  <c r="R12687" i="34"/>
  <c r="R12688" i="34"/>
  <c r="R12689" i="34"/>
  <c r="R12690" i="34"/>
  <c r="R12691" i="34"/>
  <c r="R12692" i="34"/>
  <c r="R12693" i="34"/>
  <c r="R12694" i="34"/>
  <c r="R12695" i="34"/>
  <c r="R12696" i="34"/>
  <c r="R12697" i="34"/>
  <c r="R12698" i="34"/>
  <c r="R12699" i="34"/>
  <c r="R12700" i="34"/>
  <c r="R12701" i="34"/>
  <c r="R12702" i="34"/>
  <c r="R12703" i="34"/>
  <c r="R12704" i="34"/>
  <c r="R12705" i="34"/>
  <c r="R12706" i="34"/>
  <c r="R12707" i="34"/>
  <c r="R12708" i="34"/>
  <c r="R12709" i="34"/>
  <c r="R12710" i="34"/>
  <c r="R12711" i="34"/>
  <c r="R12712" i="34"/>
  <c r="R12713" i="34"/>
  <c r="R12714" i="34"/>
  <c r="R12715" i="34"/>
  <c r="R12716" i="34"/>
  <c r="R12717" i="34"/>
  <c r="R12718" i="34"/>
  <c r="R12719" i="34"/>
  <c r="R12720" i="34"/>
  <c r="R12721" i="34"/>
  <c r="R12722" i="34"/>
  <c r="R12723" i="34"/>
  <c r="R12724" i="34"/>
  <c r="R12725" i="34"/>
  <c r="R12726" i="34"/>
  <c r="R12727" i="34"/>
  <c r="R12728" i="34"/>
  <c r="R12729" i="34"/>
  <c r="R12730" i="34"/>
  <c r="R12731" i="34"/>
  <c r="R12732" i="34"/>
  <c r="R12733" i="34"/>
  <c r="R12734" i="34"/>
  <c r="R12735" i="34"/>
  <c r="R12736" i="34"/>
  <c r="R12737" i="34"/>
  <c r="R12738" i="34"/>
  <c r="R12739" i="34"/>
  <c r="R12740" i="34"/>
  <c r="R12741" i="34"/>
  <c r="R12742" i="34"/>
  <c r="R12743" i="34"/>
  <c r="R12744" i="34"/>
  <c r="R12745" i="34"/>
  <c r="R12746" i="34"/>
  <c r="R12747" i="34"/>
  <c r="R12748" i="34"/>
  <c r="R12749" i="34"/>
  <c r="R12750" i="34"/>
  <c r="R12751" i="34"/>
  <c r="R12752" i="34"/>
  <c r="R12753" i="34"/>
  <c r="R12754" i="34"/>
  <c r="R12755" i="34"/>
  <c r="R12756" i="34"/>
  <c r="R12757" i="34"/>
  <c r="R12758" i="34"/>
  <c r="R12759" i="34"/>
  <c r="R12760" i="34"/>
  <c r="R12761" i="34"/>
  <c r="R12762" i="34"/>
  <c r="R12763" i="34"/>
  <c r="R12764" i="34"/>
  <c r="R12765" i="34"/>
  <c r="R12766" i="34"/>
  <c r="R12767" i="34"/>
  <c r="R12768" i="34"/>
  <c r="R12769" i="34"/>
  <c r="R12770" i="34"/>
  <c r="R12771" i="34"/>
  <c r="R12772" i="34"/>
  <c r="R12773" i="34"/>
  <c r="R12774" i="34"/>
  <c r="R12775" i="34"/>
  <c r="R12776" i="34"/>
  <c r="R12777" i="34"/>
  <c r="R12778" i="34"/>
  <c r="R12779" i="34"/>
  <c r="R12780" i="34"/>
  <c r="R12781" i="34"/>
  <c r="R12782" i="34"/>
  <c r="R12783" i="34"/>
  <c r="R12784" i="34"/>
  <c r="R12785" i="34"/>
  <c r="R12786" i="34"/>
  <c r="R12787" i="34"/>
  <c r="R12788" i="34"/>
  <c r="R12789" i="34"/>
  <c r="R12790" i="34"/>
  <c r="R12791" i="34"/>
  <c r="R12792" i="34"/>
  <c r="R12793" i="34"/>
  <c r="R12794" i="34"/>
  <c r="R12795" i="34"/>
  <c r="R12796" i="34"/>
  <c r="R12797" i="34"/>
  <c r="R12798" i="34"/>
  <c r="R12799" i="34"/>
  <c r="R12800" i="34"/>
  <c r="R12801" i="34"/>
  <c r="R12802" i="34"/>
  <c r="R12803" i="34"/>
  <c r="R12804" i="34"/>
  <c r="R12805" i="34"/>
  <c r="R12806" i="34"/>
  <c r="R12807" i="34"/>
  <c r="R12808" i="34"/>
  <c r="R12809" i="34"/>
  <c r="R12810" i="34"/>
  <c r="R12811" i="34"/>
  <c r="R12812" i="34"/>
  <c r="R12813" i="34"/>
  <c r="R12814" i="34"/>
  <c r="R12815" i="34"/>
  <c r="R12816" i="34"/>
  <c r="R12817" i="34"/>
  <c r="R12818" i="34"/>
  <c r="R12819" i="34"/>
  <c r="R12820" i="34"/>
  <c r="R12821" i="34"/>
  <c r="R12822" i="34"/>
  <c r="R12823" i="34"/>
  <c r="R12824" i="34"/>
  <c r="R12825" i="34"/>
  <c r="R12826" i="34"/>
  <c r="R12827" i="34"/>
  <c r="R12828" i="34"/>
  <c r="R12829" i="34"/>
  <c r="R12830" i="34"/>
  <c r="R12831" i="34"/>
  <c r="R12832" i="34"/>
  <c r="R12833" i="34"/>
  <c r="R12834" i="34"/>
  <c r="R12835" i="34"/>
  <c r="R12836" i="34"/>
  <c r="R12837" i="34"/>
  <c r="R12838" i="34"/>
  <c r="R12839" i="34"/>
  <c r="R12840" i="34"/>
  <c r="R12841" i="34"/>
  <c r="R12842" i="34"/>
  <c r="R12843" i="34"/>
  <c r="R12844" i="34"/>
  <c r="R12845" i="34"/>
  <c r="R12846" i="34"/>
  <c r="R12847" i="34"/>
  <c r="R12848" i="34"/>
  <c r="R12849" i="34"/>
  <c r="R12850" i="34"/>
  <c r="R12851" i="34"/>
  <c r="R12852" i="34"/>
  <c r="R12853" i="34"/>
  <c r="R12854" i="34"/>
  <c r="R12855" i="34"/>
  <c r="R12856" i="34"/>
  <c r="R12857" i="34"/>
  <c r="R12858" i="34"/>
  <c r="R12859" i="34"/>
  <c r="R12860" i="34"/>
  <c r="R12861" i="34"/>
  <c r="R12862" i="34"/>
  <c r="R12863" i="34"/>
  <c r="R12864" i="34"/>
  <c r="R12865" i="34"/>
  <c r="R12866" i="34"/>
  <c r="R12867" i="34"/>
  <c r="R12868" i="34"/>
  <c r="R12869" i="34"/>
  <c r="R12870" i="34"/>
  <c r="R12871" i="34"/>
  <c r="R12872" i="34"/>
  <c r="R12873" i="34"/>
  <c r="R12874" i="34"/>
  <c r="R12875" i="34"/>
  <c r="R12876" i="34"/>
  <c r="R12877" i="34"/>
  <c r="R12878" i="34"/>
  <c r="R12879" i="34"/>
  <c r="R12880" i="34"/>
  <c r="R12881" i="34"/>
  <c r="R12882" i="34"/>
  <c r="R12883" i="34"/>
  <c r="R12884" i="34"/>
  <c r="R12885" i="34"/>
  <c r="R12886" i="34"/>
  <c r="R12887" i="34"/>
  <c r="R12888" i="34"/>
  <c r="R12889" i="34"/>
  <c r="R12890" i="34"/>
  <c r="R12891" i="34"/>
  <c r="R12892" i="34"/>
  <c r="R12893" i="34"/>
  <c r="R12894" i="34"/>
  <c r="R12895" i="34"/>
  <c r="R12896" i="34"/>
  <c r="R12897" i="34"/>
  <c r="R12898" i="34"/>
  <c r="R12899" i="34"/>
  <c r="R12900" i="34"/>
  <c r="R12901" i="34"/>
  <c r="R12902" i="34"/>
  <c r="R12903" i="34"/>
  <c r="R12904" i="34"/>
  <c r="R12905" i="34"/>
  <c r="R12906" i="34"/>
  <c r="R12907" i="34"/>
  <c r="R12908" i="34"/>
  <c r="R12909" i="34"/>
  <c r="R12910" i="34"/>
  <c r="R12911" i="34"/>
  <c r="R12912" i="34"/>
  <c r="R12913" i="34"/>
  <c r="R12914" i="34"/>
  <c r="R12915" i="34"/>
  <c r="R12916" i="34"/>
  <c r="R12917" i="34"/>
  <c r="R12918" i="34"/>
  <c r="R12919" i="34"/>
  <c r="R12920" i="34"/>
  <c r="R12921" i="34"/>
  <c r="R12922" i="34"/>
  <c r="R12923" i="34"/>
  <c r="R12924" i="34"/>
  <c r="R12925" i="34"/>
  <c r="R12926" i="34"/>
  <c r="R12927" i="34"/>
  <c r="R12928" i="34"/>
  <c r="R12929" i="34"/>
  <c r="R12930" i="34"/>
  <c r="R12931" i="34"/>
  <c r="R12932" i="34"/>
  <c r="R12933" i="34"/>
  <c r="R12934" i="34"/>
  <c r="R12935" i="34"/>
  <c r="R12936" i="34"/>
  <c r="R12937" i="34"/>
  <c r="R12938" i="34"/>
  <c r="R12939" i="34"/>
  <c r="R12940" i="34"/>
  <c r="R12941" i="34"/>
  <c r="R12942" i="34"/>
  <c r="R12943" i="34"/>
  <c r="R12944" i="34"/>
  <c r="R12945" i="34"/>
  <c r="R12946" i="34"/>
  <c r="R12947" i="34"/>
  <c r="R12948" i="34"/>
  <c r="R12949" i="34"/>
  <c r="R12950" i="34"/>
  <c r="R12951" i="34"/>
  <c r="R12952" i="34"/>
  <c r="R12953" i="34"/>
  <c r="R12954" i="34"/>
  <c r="R12955" i="34"/>
  <c r="R12956" i="34"/>
  <c r="R12957" i="34"/>
  <c r="R12958" i="34"/>
  <c r="R12959" i="34"/>
  <c r="R12960" i="34"/>
  <c r="R12961" i="34"/>
  <c r="R12962" i="34"/>
  <c r="R12963" i="34"/>
  <c r="R12964" i="34"/>
  <c r="R12965" i="34"/>
  <c r="R12966" i="34"/>
  <c r="R12967" i="34"/>
  <c r="R12968" i="34"/>
  <c r="R12969" i="34"/>
  <c r="R12970" i="34"/>
  <c r="R12971" i="34"/>
  <c r="R12972" i="34"/>
  <c r="R12973" i="34"/>
  <c r="R12974" i="34"/>
  <c r="R12975" i="34"/>
  <c r="R12976" i="34"/>
  <c r="R12977" i="34"/>
  <c r="R12978" i="34"/>
  <c r="R12979" i="34"/>
  <c r="R12980" i="34"/>
  <c r="R12981" i="34"/>
  <c r="R12982" i="34"/>
  <c r="R12983" i="34"/>
  <c r="R12984" i="34"/>
  <c r="R12985" i="34"/>
  <c r="R12986" i="34"/>
  <c r="R12987" i="34"/>
  <c r="R12988" i="34"/>
  <c r="R12989" i="34"/>
  <c r="R12990" i="34"/>
  <c r="R12991" i="34"/>
  <c r="R12992" i="34"/>
  <c r="R12993" i="34"/>
  <c r="R12994" i="34"/>
  <c r="R12995" i="34"/>
  <c r="R12996" i="34"/>
  <c r="R12997" i="34"/>
  <c r="R12998" i="34"/>
  <c r="R12999" i="34"/>
  <c r="R13000" i="34"/>
  <c r="R13001" i="34"/>
  <c r="R13002" i="34"/>
  <c r="R13003" i="34"/>
  <c r="R13004" i="34"/>
  <c r="R13005" i="34"/>
  <c r="R13006" i="34"/>
  <c r="R13007" i="34"/>
  <c r="R13008" i="34"/>
  <c r="R13009" i="34"/>
  <c r="R13010" i="34"/>
  <c r="R13011" i="34"/>
  <c r="R13012" i="34"/>
  <c r="R13013" i="34"/>
  <c r="R13014" i="34"/>
  <c r="R13015" i="34"/>
  <c r="R13016" i="34"/>
  <c r="R13017" i="34"/>
  <c r="R13018" i="34"/>
  <c r="R13019" i="34"/>
  <c r="R13020" i="34"/>
  <c r="R13021" i="34"/>
  <c r="R13022" i="34"/>
  <c r="R13023" i="34"/>
  <c r="R13024" i="34"/>
  <c r="R13025" i="34"/>
  <c r="R13026" i="34"/>
  <c r="R13027" i="34"/>
  <c r="R13028" i="34"/>
  <c r="R13029" i="34"/>
  <c r="R13030" i="34"/>
  <c r="R13031" i="34"/>
  <c r="R13032" i="34"/>
  <c r="R13033" i="34"/>
  <c r="R13034" i="34"/>
  <c r="R13035" i="34"/>
  <c r="R13036" i="34"/>
  <c r="R13037" i="34"/>
  <c r="R13038" i="34"/>
  <c r="R13039" i="34"/>
  <c r="R13040" i="34"/>
  <c r="R13041" i="34"/>
  <c r="R13042" i="34"/>
  <c r="R13043" i="34"/>
  <c r="R13044" i="34"/>
  <c r="R13045" i="34"/>
  <c r="R13046" i="34"/>
  <c r="R13047" i="34"/>
  <c r="R13048" i="34"/>
  <c r="R13049" i="34"/>
  <c r="R13050" i="34"/>
  <c r="R13051" i="34"/>
  <c r="R13052" i="34"/>
  <c r="R13053" i="34"/>
  <c r="R13054" i="34"/>
  <c r="R13055" i="34"/>
  <c r="R13056" i="34"/>
  <c r="R13057" i="34"/>
  <c r="R13058" i="34"/>
  <c r="R13059" i="34"/>
  <c r="R13060" i="34"/>
  <c r="R13061" i="34"/>
  <c r="R13062" i="34"/>
  <c r="R13063" i="34"/>
  <c r="R13064" i="34"/>
  <c r="R13065" i="34"/>
  <c r="R13066" i="34"/>
  <c r="R13067" i="34"/>
  <c r="R13068" i="34"/>
  <c r="R13069" i="34"/>
  <c r="R13070" i="34"/>
  <c r="R13071" i="34"/>
  <c r="R13072" i="34"/>
  <c r="R13073" i="34"/>
  <c r="R13074" i="34"/>
  <c r="R13075" i="34"/>
  <c r="R13076" i="34"/>
  <c r="R13077" i="34"/>
  <c r="R13078" i="34"/>
  <c r="R13079" i="34"/>
  <c r="R13080" i="34"/>
  <c r="R13081" i="34"/>
  <c r="R13082" i="34"/>
  <c r="R13083" i="34"/>
  <c r="R13084" i="34"/>
  <c r="R13085" i="34"/>
  <c r="R13086" i="34"/>
  <c r="R13087" i="34"/>
  <c r="R13088" i="34"/>
  <c r="R13089" i="34"/>
  <c r="R13090" i="34"/>
  <c r="R13091" i="34"/>
  <c r="R13092" i="34"/>
  <c r="R13093" i="34"/>
  <c r="R13094" i="34"/>
  <c r="R13095" i="34"/>
  <c r="R13096" i="34"/>
  <c r="R13097" i="34"/>
  <c r="R13098" i="34"/>
  <c r="R13099" i="34"/>
  <c r="R13100" i="34"/>
  <c r="R13101" i="34"/>
  <c r="R13102" i="34"/>
  <c r="R13103" i="34"/>
  <c r="R13104" i="34"/>
  <c r="R13105" i="34"/>
  <c r="R13106" i="34"/>
  <c r="R13107" i="34"/>
  <c r="R13108" i="34"/>
  <c r="R13109" i="34"/>
  <c r="R13110" i="34"/>
  <c r="R13111" i="34"/>
  <c r="R13112" i="34"/>
  <c r="R13113" i="34"/>
  <c r="R13114" i="34"/>
  <c r="R13115" i="34"/>
  <c r="R13116" i="34"/>
  <c r="R13117" i="34"/>
  <c r="R13118" i="34"/>
  <c r="R13119" i="34"/>
  <c r="R13120" i="34"/>
  <c r="R13121" i="34"/>
  <c r="R13122" i="34"/>
  <c r="R13123" i="34"/>
  <c r="R13124" i="34"/>
  <c r="R13125" i="34"/>
  <c r="R13126" i="34"/>
  <c r="R13127" i="34"/>
  <c r="R13128" i="34"/>
  <c r="R13129" i="34"/>
  <c r="R13130" i="34"/>
  <c r="R13131" i="34"/>
  <c r="R13132" i="34"/>
  <c r="R13133" i="34"/>
  <c r="R13134" i="34"/>
  <c r="R13135" i="34"/>
  <c r="R13136" i="34"/>
  <c r="R13137" i="34"/>
  <c r="R13138" i="34"/>
  <c r="R13139" i="34"/>
  <c r="R13140" i="34"/>
  <c r="R13141" i="34"/>
  <c r="R13142" i="34"/>
  <c r="R13143" i="34"/>
  <c r="R13144" i="34"/>
  <c r="R13145" i="34"/>
  <c r="R13146" i="34"/>
  <c r="R13147" i="34"/>
  <c r="R13148" i="34"/>
  <c r="R13149" i="34"/>
  <c r="R13150" i="34"/>
  <c r="R13151" i="34"/>
  <c r="R13152" i="34"/>
  <c r="R13153" i="34"/>
  <c r="R13154" i="34"/>
  <c r="R13155" i="34"/>
  <c r="R13156" i="34"/>
  <c r="R13157" i="34"/>
  <c r="R13158" i="34"/>
  <c r="R13159" i="34"/>
  <c r="R13160" i="34"/>
  <c r="R13161" i="34"/>
  <c r="R13162" i="34"/>
  <c r="R13163" i="34"/>
  <c r="R13164" i="34"/>
  <c r="R13165" i="34"/>
  <c r="R13166" i="34"/>
  <c r="R13167" i="34"/>
  <c r="R13168" i="34"/>
  <c r="R13169" i="34"/>
  <c r="R13170" i="34"/>
  <c r="R13171" i="34"/>
  <c r="R13172" i="34"/>
  <c r="R13173" i="34"/>
  <c r="R13174" i="34"/>
  <c r="R13175" i="34"/>
  <c r="R13176" i="34"/>
  <c r="R13177" i="34"/>
  <c r="R13178" i="34"/>
  <c r="R13179" i="34"/>
  <c r="R13180" i="34"/>
  <c r="R13181" i="34"/>
  <c r="R13182" i="34"/>
  <c r="R13183" i="34"/>
  <c r="R13184" i="34"/>
  <c r="R13185" i="34"/>
  <c r="R13186" i="34"/>
  <c r="R13187" i="34"/>
  <c r="R13188" i="34"/>
  <c r="R13189" i="34"/>
  <c r="R13190" i="34"/>
  <c r="R13191" i="34"/>
  <c r="R13192" i="34"/>
  <c r="R13193" i="34"/>
  <c r="R13194" i="34"/>
  <c r="R13195" i="34"/>
  <c r="R13196" i="34"/>
  <c r="R13197" i="34"/>
  <c r="R13198" i="34"/>
  <c r="R13199" i="34"/>
  <c r="R13200" i="34"/>
  <c r="R13201" i="34"/>
  <c r="R13202" i="34"/>
  <c r="R13203" i="34"/>
  <c r="R13204" i="34"/>
  <c r="R13205" i="34"/>
  <c r="R13206" i="34"/>
  <c r="R13207" i="34"/>
  <c r="R13208" i="34"/>
  <c r="R13209" i="34"/>
  <c r="R13210" i="34"/>
  <c r="R13211" i="34"/>
  <c r="R13212" i="34"/>
  <c r="R13213" i="34"/>
  <c r="R13214" i="34"/>
  <c r="R13215" i="34"/>
  <c r="R13216" i="34"/>
  <c r="R13217" i="34"/>
  <c r="R13218" i="34"/>
  <c r="R13219" i="34"/>
  <c r="R13220" i="34"/>
  <c r="R13221" i="34"/>
  <c r="R13222" i="34"/>
  <c r="R13223" i="34"/>
  <c r="R13224" i="34"/>
  <c r="R13225" i="34"/>
  <c r="R13226" i="34"/>
  <c r="R13227" i="34"/>
  <c r="R13228" i="34"/>
  <c r="R13229" i="34"/>
  <c r="R13230" i="34"/>
  <c r="R13231" i="34"/>
  <c r="R13232" i="34"/>
  <c r="R13233" i="34"/>
  <c r="R13234" i="34"/>
  <c r="R13235" i="34"/>
  <c r="R13236" i="34"/>
  <c r="R13237" i="34"/>
  <c r="R13238" i="34"/>
  <c r="R13239" i="34"/>
  <c r="R13240" i="34"/>
  <c r="R13241" i="34"/>
  <c r="R13242" i="34"/>
  <c r="R13243" i="34"/>
  <c r="R13244" i="34"/>
  <c r="R13245" i="34"/>
  <c r="R13246" i="34"/>
  <c r="R13247" i="34"/>
  <c r="R13248" i="34"/>
  <c r="R13249" i="34"/>
  <c r="R13250" i="34"/>
  <c r="R13251" i="34"/>
  <c r="R13252" i="34"/>
  <c r="R13253" i="34"/>
  <c r="R13254" i="34"/>
  <c r="R13255" i="34"/>
  <c r="R13256" i="34"/>
  <c r="R13257" i="34"/>
  <c r="R13258" i="34"/>
  <c r="R13259" i="34"/>
  <c r="R13260" i="34"/>
  <c r="R13261" i="34"/>
  <c r="R13262" i="34"/>
  <c r="R13263" i="34"/>
  <c r="R13264" i="34"/>
  <c r="R13265" i="34"/>
  <c r="R13266" i="34"/>
  <c r="R13267" i="34"/>
  <c r="R13268" i="34"/>
  <c r="R13269" i="34"/>
  <c r="R13270" i="34"/>
  <c r="R13271" i="34"/>
  <c r="R13272" i="34"/>
  <c r="R13273" i="34"/>
  <c r="R13274" i="34"/>
  <c r="R13275" i="34"/>
  <c r="R13276" i="34"/>
  <c r="R13277" i="34"/>
  <c r="R13278" i="34"/>
  <c r="R13279" i="34"/>
  <c r="R13280" i="34"/>
  <c r="R13281" i="34"/>
  <c r="R13282" i="34"/>
  <c r="R13283" i="34"/>
  <c r="R13284" i="34"/>
  <c r="R13285" i="34"/>
  <c r="R13286" i="34"/>
  <c r="R13287" i="34"/>
  <c r="R13288" i="34"/>
  <c r="R13289" i="34"/>
  <c r="R13290" i="34"/>
  <c r="R13291" i="34"/>
  <c r="R13292" i="34"/>
  <c r="R13293" i="34"/>
  <c r="R13294" i="34"/>
  <c r="R13295" i="34"/>
  <c r="R13296" i="34"/>
  <c r="R13297" i="34"/>
  <c r="R13298" i="34"/>
  <c r="R13299" i="34"/>
  <c r="R13300" i="34"/>
  <c r="R13301" i="34"/>
  <c r="R13302" i="34"/>
  <c r="R13303" i="34"/>
  <c r="R13304" i="34"/>
  <c r="R13305" i="34"/>
  <c r="R13306" i="34"/>
  <c r="R13307" i="34"/>
  <c r="R13308" i="34"/>
  <c r="R13309" i="34"/>
  <c r="R13310" i="34"/>
  <c r="R13311" i="34"/>
  <c r="R13312" i="34"/>
  <c r="R13313" i="34"/>
  <c r="R13314" i="34"/>
  <c r="R13315" i="34"/>
  <c r="R13316" i="34"/>
  <c r="R13317" i="34"/>
  <c r="R13318" i="34"/>
  <c r="R13319" i="34"/>
  <c r="R13320" i="34"/>
  <c r="R13321" i="34"/>
  <c r="R13322" i="34"/>
  <c r="R13323" i="34"/>
  <c r="R13324" i="34"/>
  <c r="R13325" i="34"/>
  <c r="R13326" i="34"/>
  <c r="R13327" i="34"/>
  <c r="R13328" i="34"/>
  <c r="R13329" i="34"/>
  <c r="R13330" i="34"/>
  <c r="R13331" i="34"/>
  <c r="R13332" i="34"/>
  <c r="R13333" i="34"/>
  <c r="R13334" i="34"/>
  <c r="R13335" i="34"/>
  <c r="R13336" i="34"/>
  <c r="R13337" i="34"/>
  <c r="R13338" i="34"/>
  <c r="R13339" i="34"/>
  <c r="R13340" i="34"/>
  <c r="R13341" i="34"/>
  <c r="R13342" i="34"/>
  <c r="R13343" i="34"/>
  <c r="R13344" i="34"/>
  <c r="R13345" i="34"/>
  <c r="R13346" i="34"/>
  <c r="R13347" i="34"/>
  <c r="R13348" i="34"/>
  <c r="R13349" i="34"/>
  <c r="R13350" i="34"/>
  <c r="R13351" i="34"/>
  <c r="R13352" i="34"/>
  <c r="R13353" i="34"/>
  <c r="R13354" i="34"/>
  <c r="R13355" i="34"/>
  <c r="R13356" i="34"/>
  <c r="R13357" i="34"/>
  <c r="R13358" i="34"/>
  <c r="R13359" i="34"/>
  <c r="R13360" i="34"/>
  <c r="R13361" i="34"/>
  <c r="R13362" i="34"/>
  <c r="R13363" i="34"/>
  <c r="R13364" i="34"/>
  <c r="R13365" i="34"/>
  <c r="R13366" i="34"/>
  <c r="R13367" i="34"/>
  <c r="R13368" i="34"/>
  <c r="R13369" i="34"/>
  <c r="R13370" i="34"/>
  <c r="R13371" i="34"/>
  <c r="R13372" i="34"/>
  <c r="R13373" i="34"/>
  <c r="R13374" i="34"/>
  <c r="R13375" i="34"/>
  <c r="R13376" i="34"/>
  <c r="R13377" i="34"/>
  <c r="R13378" i="34"/>
  <c r="R13379" i="34"/>
  <c r="R13380" i="34"/>
  <c r="R13381" i="34"/>
  <c r="R13382" i="34"/>
  <c r="R13383" i="34"/>
  <c r="R13384" i="34"/>
  <c r="R13385" i="34"/>
  <c r="R13386" i="34"/>
  <c r="R13387" i="34"/>
  <c r="R13388" i="34"/>
  <c r="R13389" i="34"/>
  <c r="R13390" i="34"/>
  <c r="R13391" i="34"/>
  <c r="R13392" i="34"/>
  <c r="R13393" i="34"/>
  <c r="R13394" i="34"/>
  <c r="R13395" i="34"/>
  <c r="R13396" i="34"/>
  <c r="R13397" i="34"/>
  <c r="R13398" i="34"/>
  <c r="R13399" i="34"/>
  <c r="R13400" i="34"/>
  <c r="R13401" i="34"/>
  <c r="R13402" i="34"/>
  <c r="R13403" i="34"/>
  <c r="R13404" i="34"/>
  <c r="R13405" i="34"/>
  <c r="R13406" i="34"/>
  <c r="R13407" i="34"/>
  <c r="R13408" i="34"/>
  <c r="R13409" i="34"/>
  <c r="R13410" i="34"/>
  <c r="R13411" i="34"/>
  <c r="R13412" i="34"/>
  <c r="R13413" i="34"/>
  <c r="R13414" i="34"/>
  <c r="R13415" i="34"/>
  <c r="R13416" i="34"/>
  <c r="R13417" i="34"/>
  <c r="R13418" i="34"/>
  <c r="R13419" i="34"/>
  <c r="R13420" i="34"/>
  <c r="R13421" i="34"/>
  <c r="R13422" i="34"/>
  <c r="R13423" i="34"/>
  <c r="R13424" i="34"/>
  <c r="R13425" i="34"/>
  <c r="R13426" i="34"/>
  <c r="R13427" i="34"/>
  <c r="R13428" i="34"/>
  <c r="R13429" i="34"/>
  <c r="R13430" i="34"/>
  <c r="R13431" i="34"/>
  <c r="R13432" i="34"/>
  <c r="R13433" i="34"/>
  <c r="R13434" i="34"/>
  <c r="R13435" i="34"/>
  <c r="R13436" i="34"/>
  <c r="R13437" i="34"/>
  <c r="R13438" i="34"/>
  <c r="R13439" i="34"/>
  <c r="R13440" i="34"/>
  <c r="R13441" i="34"/>
  <c r="R13442" i="34"/>
  <c r="R13443" i="34"/>
  <c r="R13444" i="34"/>
  <c r="R13445" i="34"/>
  <c r="R13446" i="34"/>
  <c r="R13447" i="34"/>
  <c r="R13448" i="34"/>
  <c r="R13449" i="34"/>
  <c r="R13450" i="34"/>
  <c r="R13451" i="34"/>
  <c r="R13452" i="34"/>
  <c r="R13453" i="34"/>
  <c r="R13454" i="34"/>
  <c r="R13455" i="34"/>
  <c r="R13456" i="34"/>
  <c r="R13457" i="34"/>
  <c r="R13458" i="34"/>
  <c r="R13459" i="34"/>
  <c r="R13460" i="34"/>
  <c r="R13461" i="34"/>
  <c r="R13462" i="34"/>
  <c r="R13463" i="34"/>
  <c r="R13464" i="34"/>
  <c r="R13465" i="34"/>
  <c r="R13466" i="34"/>
  <c r="R13467" i="34"/>
  <c r="R13468" i="34"/>
  <c r="R13469" i="34"/>
  <c r="R13470" i="34"/>
  <c r="R13471" i="34"/>
  <c r="R13472" i="34"/>
  <c r="R13473" i="34"/>
  <c r="R13474" i="34"/>
  <c r="R13475" i="34"/>
  <c r="R13476" i="34"/>
  <c r="R13477" i="34"/>
  <c r="R13478" i="34"/>
  <c r="R13479" i="34"/>
  <c r="R13480" i="34"/>
  <c r="R13481" i="34"/>
  <c r="R13482" i="34"/>
  <c r="R13483" i="34"/>
  <c r="R13484" i="34"/>
  <c r="R13485" i="34"/>
  <c r="R13486" i="34"/>
  <c r="R13487" i="34"/>
  <c r="R13488" i="34"/>
  <c r="R13489" i="34"/>
  <c r="R13490" i="34"/>
  <c r="R13491" i="34"/>
  <c r="R13492" i="34"/>
  <c r="R13493" i="34"/>
  <c r="R13494" i="34"/>
  <c r="R13495" i="34"/>
  <c r="R13496" i="34"/>
  <c r="R13497" i="34"/>
  <c r="R13498" i="34"/>
  <c r="R13499" i="34"/>
  <c r="R13500" i="34"/>
  <c r="R13501" i="34"/>
  <c r="R13502" i="34"/>
  <c r="R13503" i="34"/>
  <c r="R13504" i="34"/>
  <c r="R13505" i="34"/>
  <c r="R13506" i="34"/>
  <c r="R13507" i="34"/>
  <c r="R13508" i="34"/>
  <c r="R13509" i="34"/>
  <c r="R13510" i="34"/>
  <c r="R13511" i="34"/>
  <c r="R13512" i="34"/>
  <c r="R13513" i="34"/>
  <c r="R13514" i="34"/>
  <c r="R13515" i="34"/>
  <c r="R13516" i="34"/>
  <c r="R13517" i="34"/>
  <c r="R13518" i="34"/>
  <c r="R13519" i="34"/>
  <c r="R13520" i="34"/>
  <c r="R13521" i="34"/>
  <c r="R13522" i="34"/>
  <c r="R13523" i="34"/>
  <c r="R13524" i="34"/>
  <c r="R13525" i="34"/>
  <c r="R13526" i="34"/>
  <c r="R13527" i="34"/>
  <c r="R13528" i="34"/>
  <c r="R13529" i="34"/>
  <c r="R13530" i="34"/>
  <c r="R13531" i="34"/>
  <c r="R13532" i="34"/>
  <c r="R13533" i="34"/>
  <c r="R13534" i="34"/>
  <c r="R13535" i="34"/>
  <c r="R13536" i="34"/>
  <c r="R13537" i="34"/>
  <c r="R13538" i="34"/>
  <c r="R13539" i="34"/>
  <c r="R13540" i="34"/>
  <c r="R13541" i="34"/>
  <c r="R13542" i="34"/>
  <c r="R13543" i="34"/>
  <c r="R13544" i="34"/>
  <c r="R13545" i="34"/>
  <c r="R13546" i="34"/>
  <c r="R13547" i="34"/>
  <c r="R13548" i="34"/>
  <c r="R13549" i="34"/>
  <c r="R13550" i="34"/>
  <c r="R13551" i="34"/>
  <c r="R13552" i="34"/>
  <c r="R13553" i="34"/>
  <c r="R13554" i="34"/>
  <c r="R13555" i="34"/>
  <c r="R13556" i="34"/>
  <c r="R13557" i="34"/>
  <c r="R13558" i="34"/>
  <c r="R13559" i="34"/>
  <c r="R13560" i="34"/>
  <c r="R13561" i="34"/>
  <c r="R13562" i="34"/>
  <c r="R13563" i="34"/>
  <c r="R13564" i="34"/>
  <c r="R13565" i="34"/>
  <c r="R13566" i="34"/>
  <c r="R13567" i="34"/>
  <c r="R13568" i="34"/>
  <c r="R13569" i="34"/>
  <c r="R13570" i="34"/>
  <c r="R13571" i="34"/>
  <c r="R13572" i="34"/>
  <c r="R13573" i="34"/>
  <c r="R13574" i="34"/>
  <c r="R13575" i="34"/>
  <c r="R13576" i="34"/>
  <c r="R13577" i="34"/>
  <c r="R13578" i="34"/>
  <c r="R13579" i="34"/>
  <c r="R13580" i="34"/>
  <c r="R13581" i="34"/>
  <c r="R13582" i="34"/>
  <c r="R13583" i="34"/>
  <c r="R13584" i="34"/>
  <c r="R13585" i="34"/>
  <c r="R13586" i="34"/>
  <c r="R13587" i="34"/>
  <c r="R13588" i="34"/>
  <c r="R13589" i="34"/>
  <c r="R13590" i="34"/>
  <c r="R13591" i="34"/>
  <c r="R13592" i="34"/>
  <c r="R13593" i="34"/>
  <c r="R13594" i="34"/>
  <c r="R13595" i="34"/>
  <c r="R13596" i="34"/>
  <c r="R13597" i="34"/>
  <c r="R13598" i="34"/>
  <c r="R13599" i="34"/>
  <c r="R13600" i="34"/>
  <c r="R13601" i="34"/>
  <c r="R13602" i="34"/>
  <c r="R13603" i="34"/>
  <c r="R13604" i="34"/>
  <c r="R13605" i="34"/>
  <c r="R13606" i="34"/>
  <c r="R13607" i="34"/>
  <c r="R13608" i="34"/>
  <c r="R13609" i="34"/>
  <c r="R13610" i="34"/>
  <c r="R13611" i="34"/>
  <c r="R13612" i="34"/>
  <c r="R13613" i="34"/>
  <c r="R13614" i="34"/>
  <c r="R13615" i="34"/>
  <c r="R13616" i="34"/>
  <c r="R13617" i="34"/>
  <c r="R13618" i="34"/>
  <c r="R13619" i="34"/>
  <c r="R13620" i="34"/>
  <c r="R13621" i="34"/>
  <c r="R13622" i="34"/>
  <c r="R13623" i="34"/>
  <c r="R13624" i="34"/>
  <c r="R13625" i="34"/>
  <c r="R13626" i="34"/>
  <c r="R13627" i="34"/>
  <c r="R13628" i="34"/>
  <c r="R13629" i="34"/>
  <c r="R13630" i="34"/>
  <c r="R13631" i="34"/>
  <c r="R13632" i="34"/>
  <c r="R13633" i="34"/>
  <c r="R13634" i="34"/>
  <c r="R13635" i="34"/>
  <c r="R13636" i="34"/>
  <c r="R13637" i="34"/>
  <c r="R13638" i="34"/>
  <c r="R13639" i="34"/>
  <c r="R13640" i="34"/>
  <c r="R13641" i="34"/>
  <c r="R13642" i="34"/>
  <c r="R13643" i="34"/>
  <c r="R13644" i="34"/>
  <c r="R13645" i="34"/>
  <c r="R13646" i="34"/>
  <c r="R13647" i="34"/>
  <c r="R13648" i="34"/>
  <c r="R13649" i="34"/>
  <c r="R13650" i="34"/>
  <c r="R13651" i="34"/>
  <c r="R13652" i="34"/>
  <c r="R13653" i="34"/>
  <c r="R13654" i="34"/>
  <c r="R13655" i="34"/>
  <c r="R13656" i="34"/>
  <c r="R13657" i="34"/>
  <c r="R13658" i="34"/>
  <c r="R13659" i="34"/>
  <c r="R13660" i="34"/>
  <c r="R13661" i="34"/>
  <c r="R13662" i="34"/>
  <c r="R13663" i="34"/>
  <c r="R13664" i="34"/>
  <c r="R13665" i="34"/>
  <c r="R13666" i="34"/>
  <c r="R13667" i="34"/>
  <c r="R13668" i="34"/>
  <c r="R13669" i="34"/>
  <c r="R13670" i="34"/>
  <c r="R13671" i="34"/>
  <c r="R13672" i="34"/>
  <c r="R13673" i="34"/>
  <c r="R13674" i="34"/>
  <c r="R13675" i="34"/>
  <c r="R13676" i="34"/>
  <c r="R13677" i="34"/>
  <c r="R13678" i="34"/>
  <c r="R13679" i="34"/>
  <c r="R13680" i="34"/>
  <c r="R13681" i="34"/>
  <c r="R13682" i="34"/>
  <c r="R13683" i="34"/>
  <c r="R13684" i="34"/>
  <c r="R13685" i="34"/>
  <c r="R13686" i="34"/>
  <c r="R13687" i="34"/>
  <c r="R13688" i="34"/>
  <c r="R13689" i="34"/>
  <c r="R13690" i="34"/>
  <c r="R13691" i="34"/>
  <c r="R13692" i="34"/>
  <c r="R13693" i="34"/>
  <c r="R13694" i="34"/>
  <c r="R13695" i="34"/>
  <c r="R13696" i="34"/>
  <c r="R13697" i="34"/>
  <c r="R13698" i="34"/>
  <c r="R13699" i="34"/>
  <c r="R13700" i="34"/>
  <c r="R13701" i="34"/>
  <c r="R13702" i="34"/>
  <c r="R13703" i="34"/>
  <c r="R13704" i="34"/>
  <c r="R13705" i="34"/>
  <c r="R13706" i="34"/>
  <c r="R13707" i="34"/>
  <c r="R13708" i="34"/>
  <c r="R13709" i="34"/>
  <c r="R13710" i="34"/>
  <c r="R13711" i="34"/>
  <c r="R13712" i="34"/>
  <c r="R13713" i="34"/>
  <c r="R13714" i="34"/>
  <c r="R13715" i="34"/>
  <c r="R13716" i="34"/>
  <c r="R13717" i="34"/>
  <c r="R13718" i="34"/>
  <c r="R13719" i="34"/>
  <c r="R13720" i="34"/>
  <c r="R13721" i="34"/>
  <c r="R13722" i="34"/>
  <c r="R13723" i="34"/>
  <c r="R13724" i="34"/>
  <c r="R13725" i="34"/>
  <c r="R13726" i="34"/>
  <c r="R13727" i="34"/>
  <c r="R13728" i="34"/>
  <c r="R13729" i="34"/>
  <c r="R13730" i="34"/>
  <c r="R13731" i="34"/>
  <c r="R13732" i="34"/>
  <c r="R13733" i="34"/>
  <c r="R13734" i="34"/>
  <c r="R13735" i="34"/>
  <c r="R13736" i="34"/>
  <c r="R13737" i="34"/>
  <c r="R13738" i="34"/>
  <c r="R13739" i="34"/>
  <c r="R13740" i="34"/>
  <c r="R13741" i="34"/>
  <c r="R13742" i="34"/>
  <c r="R13743" i="34"/>
  <c r="R13744" i="34"/>
  <c r="R13745" i="34"/>
  <c r="R13746" i="34"/>
  <c r="R13747" i="34"/>
  <c r="R13748" i="34"/>
  <c r="R13749" i="34"/>
  <c r="R13750" i="34"/>
  <c r="R13751" i="34"/>
  <c r="R13752" i="34"/>
  <c r="R13753" i="34"/>
  <c r="R13754" i="34"/>
  <c r="R13755" i="34"/>
  <c r="R13756" i="34"/>
  <c r="R13757" i="34"/>
  <c r="R13758" i="34"/>
  <c r="R13759" i="34"/>
  <c r="R13760" i="34"/>
  <c r="R13761" i="34"/>
  <c r="R13762" i="34"/>
  <c r="R13763" i="34"/>
  <c r="R13764" i="34"/>
  <c r="R13765" i="34"/>
  <c r="R13766" i="34"/>
  <c r="R13767" i="34"/>
  <c r="R13768" i="34"/>
  <c r="R13769" i="34"/>
  <c r="R13770" i="34"/>
  <c r="R13771" i="34"/>
  <c r="R13772" i="34"/>
  <c r="R13773" i="34"/>
  <c r="R13774" i="34"/>
  <c r="R13775" i="34"/>
  <c r="R13776" i="34"/>
  <c r="R13777" i="34"/>
  <c r="R13778" i="34"/>
  <c r="R13779" i="34"/>
  <c r="R13780" i="34"/>
  <c r="R13781" i="34"/>
  <c r="R13782" i="34"/>
  <c r="R13783" i="34"/>
  <c r="R13784" i="34"/>
  <c r="R13785" i="34"/>
  <c r="R13786" i="34"/>
  <c r="R13787" i="34"/>
  <c r="R13788" i="34"/>
  <c r="R13789" i="34"/>
  <c r="R13790" i="34"/>
  <c r="R13791" i="34"/>
  <c r="R13792" i="34"/>
  <c r="R13793" i="34"/>
  <c r="R13794" i="34"/>
  <c r="R13795" i="34"/>
  <c r="R13796" i="34"/>
  <c r="R13797" i="34"/>
  <c r="R13798" i="34"/>
  <c r="R13799" i="34"/>
  <c r="R13800" i="34"/>
  <c r="R13801" i="34"/>
  <c r="R13802" i="34"/>
  <c r="R13803" i="34"/>
  <c r="R13804" i="34"/>
  <c r="R13805" i="34"/>
  <c r="R13806" i="34"/>
  <c r="R13807" i="34"/>
  <c r="R13808" i="34"/>
  <c r="R13809" i="34"/>
  <c r="R13810" i="34"/>
  <c r="R13811" i="34"/>
  <c r="R13812" i="34"/>
  <c r="R13813" i="34"/>
  <c r="R13814" i="34"/>
  <c r="R13815" i="34"/>
  <c r="R13816" i="34"/>
  <c r="R13817" i="34"/>
  <c r="R13818" i="34"/>
  <c r="R13819" i="34"/>
  <c r="R13820" i="34"/>
  <c r="R13821" i="34"/>
  <c r="R13822" i="34"/>
  <c r="R13823" i="34"/>
  <c r="R13824" i="34"/>
  <c r="R13825" i="34"/>
  <c r="R13826" i="34"/>
  <c r="R13827" i="34"/>
  <c r="R13828" i="34"/>
  <c r="R13829" i="34"/>
  <c r="R13830" i="34"/>
  <c r="R13831" i="34"/>
  <c r="R13832" i="34"/>
  <c r="R13833" i="34"/>
  <c r="R13834" i="34"/>
  <c r="R13835" i="34"/>
  <c r="R13836" i="34"/>
  <c r="R13837" i="34"/>
  <c r="R13838" i="34"/>
  <c r="R13839" i="34"/>
  <c r="R13840" i="34"/>
  <c r="R13841" i="34"/>
  <c r="R13842" i="34"/>
  <c r="R13843" i="34"/>
  <c r="R13844" i="34"/>
  <c r="R13845" i="34"/>
  <c r="R13846" i="34"/>
  <c r="R13847" i="34"/>
  <c r="R13848" i="34"/>
  <c r="R13849" i="34"/>
  <c r="R13850" i="34"/>
  <c r="R13851" i="34"/>
  <c r="R13852" i="34"/>
  <c r="R13853" i="34"/>
  <c r="R13854" i="34"/>
  <c r="R13855" i="34"/>
  <c r="R13856" i="34"/>
  <c r="R13857" i="34"/>
  <c r="R13858" i="34"/>
  <c r="R13859" i="34"/>
  <c r="R13860" i="34"/>
  <c r="R13861" i="34"/>
  <c r="R13862" i="34"/>
  <c r="R13863" i="34"/>
  <c r="R13864" i="34"/>
  <c r="R13865" i="34"/>
  <c r="R13866" i="34"/>
  <c r="R13867" i="34"/>
  <c r="R13868" i="34"/>
  <c r="R13869" i="34"/>
  <c r="R13870" i="34"/>
  <c r="R13871" i="34"/>
  <c r="R13872" i="34"/>
  <c r="R13873" i="34"/>
  <c r="R13874" i="34"/>
  <c r="R13875" i="34"/>
  <c r="R13876" i="34"/>
  <c r="R13877" i="34"/>
  <c r="R13878" i="34"/>
  <c r="R13879" i="34"/>
  <c r="R13880" i="34"/>
  <c r="R13881" i="34"/>
  <c r="R13882" i="34"/>
  <c r="R13883" i="34"/>
  <c r="R13884" i="34"/>
  <c r="R13885" i="34"/>
  <c r="R13886" i="34"/>
  <c r="R13887" i="34"/>
  <c r="R13888" i="34"/>
  <c r="R13889" i="34"/>
  <c r="R13890" i="34"/>
  <c r="R13891" i="34"/>
  <c r="R13892" i="34"/>
  <c r="R13893" i="34"/>
  <c r="R13894" i="34"/>
  <c r="R13895" i="34"/>
  <c r="R13896" i="34"/>
  <c r="R13897" i="34"/>
  <c r="R13898" i="34"/>
  <c r="R13899" i="34"/>
  <c r="R13900" i="34"/>
  <c r="R13901" i="34"/>
  <c r="R13902" i="34"/>
  <c r="R13903" i="34"/>
  <c r="R13904" i="34"/>
  <c r="R13905" i="34"/>
  <c r="R13906" i="34"/>
  <c r="R13907" i="34"/>
  <c r="R13908" i="34"/>
  <c r="R13909" i="34"/>
  <c r="R13910" i="34"/>
  <c r="R13911" i="34"/>
  <c r="R13912" i="34"/>
  <c r="R13913" i="34"/>
  <c r="R13914" i="34"/>
  <c r="R13915" i="34"/>
  <c r="R13916" i="34"/>
  <c r="R13917" i="34"/>
  <c r="R13918" i="34"/>
  <c r="R13919" i="34"/>
  <c r="R13920" i="34"/>
  <c r="R13921" i="34"/>
  <c r="R13922" i="34"/>
  <c r="R13923" i="34"/>
  <c r="R13924" i="34"/>
  <c r="R13925" i="34"/>
  <c r="R13926" i="34"/>
  <c r="R13927" i="34"/>
  <c r="R13928" i="34"/>
  <c r="R13929" i="34"/>
  <c r="R13930" i="34"/>
  <c r="R13931" i="34"/>
  <c r="R13932" i="34"/>
  <c r="R13933" i="34"/>
  <c r="R13934" i="34"/>
  <c r="R13935" i="34"/>
  <c r="R13936" i="34"/>
  <c r="R13937" i="34"/>
  <c r="R13938" i="34"/>
  <c r="R13939" i="34"/>
  <c r="R13940" i="34"/>
  <c r="R13941" i="34"/>
  <c r="R13942" i="34"/>
  <c r="R13943" i="34"/>
  <c r="R13944" i="34"/>
  <c r="R13945" i="34"/>
  <c r="R13946" i="34"/>
  <c r="R13947" i="34"/>
  <c r="R13948" i="34"/>
  <c r="R13949" i="34"/>
  <c r="R13950" i="34"/>
  <c r="R13951" i="34"/>
  <c r="R13952" i="34"/>
  <c r="R13953" i="34"/>
  <c r="R13954" i="34"/>
  <c r="R13955" i="34"/>
  <c r="R13956" i="34"/>
  <c r="R13957" i="34"/>
  <c r="R13958" i="34"/>
  <c r="R13959" i="34"/>
  <c r="R13960" i="34"/>
  <c r="R13961" i="34"/>
  <c r="R13962" i="34"/>
  <c r="R13963" i="34"/>
  <c r="R13964" i="34"/>
  <c r="R13965" i="34"/>
  <c r="R13966" i="34"/>
  <c r="R13967" i="34"/>
  <c r="R13968" i="34"/>
  <c r="R13969" i="34"/>
  <c r="R13970" i="34"/>
  <c r="R13971" i="34"/>
  <c r="R13972" i="34"/>
  <c r="R13973" i="34"/>
  <c r="R13974" i="34"/>
  <c r="R13975" i="34"/>
  <c r="R13976" i="34"/>
  <c r="R13977" i="34"/>
  <c r="R13978" i="34"/>
  <c r="R13979" i="34"/>
  <c r="R13980" i="34"/>
  <c r="R13981" i="34"/>
  <c r="R13982" i="34"/>
  <c r="R13983" i="34"/>
  <c r="R13984" i="34"/>
  <c r="R13985" i="34"/>
  <c r="R13986" i="34"/>
  <c r="R13987" i="34"/>
  <c r="R13988" i="34"/>
  <c r="R13989" i="34"/>
  <c r="R13990" i="34"/>
  <c r="R13991" i="34"/>
  <c r="R13992" i="34"/>
  <c r="R13993" i="34"/>
  <c r="R13994" i="34"/>
  <c r="R13995" i="34"/>
  <c r="R13996" i="34"/>
  <c r="R13997" i="34"/>
  <c r="R13998" i="34"/>
  <c r="R13999" i="34"/>
  <c r="R14000" i="34"/>
  <c r="R14001" i="34"/>
  <c r="R14002" i="34"/>
  <c r="R14003" i="34"/>
  <c r="R14004" i="34"/>
  <c r="R14005" i="34"/>
  <c r="R14006" i="34"/>
  <c r="R14007" i="34"/>
  <c r="R14008" i="34"/>
  <c r="R14009" i="34"/>
  <c r="R14010" i="34"/>
  <c r="R14011" i="34"/>
  <c r="R14012" i="34"/>
  <c r="R14013" i="34"/>
  <c r="R14014" i="34"/>
  <c r="R14015" i="34"/>
  <c r="R14016" i="34"/>
  <c r="R14017" i="34"/>
  <c r="R14018" i="34"/>
  <c r="R14019" i="34"/>
  <c r="R14020" i="34"/>
  <c r="R14021" i="34"/>
  <c r="R14022" i="34"/>
  <c r="R14023" i="34"/>
  <c r="R14024" i="34"/>
  <c r="R14025" i="34"/>
  <c r="R14026" i="34"/>
  <c r="R14027" i="34"/>
  <c r="R14028" i="34"/>
  <c r="R14029" i="34"/>
  <c r="R14030" i="34"/>
  <c r="R14031" i="34"/>
  <c r="R14032" i="34"/>
  <c r="R14033" i="34"/>
  <c r="R14034" i="34"/>
  <c r="R14035" i="34"/>
  <c r="R14036" i="34"/>
  <c r="R14037" i="34"/>
  <c r="R14038" i="34"/>
  <c r="R14039" i="34"/>
  <c r="R14040" i="34"/>
  <c r="R14041" i="34"/>
  <c r="R14042" i="34"/>
  <c r="R14043" i="34"/>
  <c r="R14044" i="34"/>
  <c r="R14045" i="34"/>
  <c r="R14046" i="34"/>
  <c r="R14047" i="34"/>
  <c r="R14048" i="34"/>
  <c r="R14049" i="34"/>
  <c r="R14050" i="34"/>
  <c r="R14051" i="34"/>
  <c r="R14052" i="34"/>
  <c r="R14053" i="34"/>
  <c r="R14054" i="34"/>
  <c r="R14055" i="34"/>
  <c r="R14056" i="34"/>
  <c r="R14057" i="34"/>
  <c r="R14058" i="34"/>
  <c r="R14059" i="34"/>
  <c r="R14060" i="34"/>
  <c r="R14061" i="34"/>
  <c r="R14062" i="34"/>
  <c r="R14063" i="34"/>
  <c r="R14064" i="34"/>
  <c r="R14065" i="34"/>
  <c r="R14066" i="34"/>
  <c r="R14067" i="34"/>
  <c r="R14068" i="34"/>
  <c r="R14069" i="34"/>
  <c r="R14070" i="34"/>
  <c r="R14071" i="34"/>
  <c r="R14072" i="34"/>
  <c r="R14073" i="34"/>
  <c r="R14074" i="34"/>
  <c r="R14075" i="34"/>
  <c r="R14076" i="34"/>
  <c r="R14077" i="34"/>
  <c r="R14078" i="34"/>
  <c r="R14079" i="34"/>
  <c r="R14080" i="34"/>
  <c r="R14081" i="34"/>
  <c r="R14082" i="34"/>
  <c r="R14083" i="34"/>
  <c r="R14084" i="34"/>
  <c r="R14085" i="34"/>
  <c r="R14086" i="34"/>
  <c r="R14087" i="34"/>
  <c r="R14088" i="34"/>
  <c r="R14089" i="34"/>
  <c r="R14090" i="34"/>
  <c r="R14091" i="34"/>
  <c r="R14092" i="34"/>
  <c r="R14093" i="34"/>
  <c r="R14094" i="34"/>
  <c r="R14095" i="34"/>
  <c r="R14096" i="34"/>
  <c r="R14097" i="34"/>
  <c r="R14098" i="34"/>
  <c r="R14099" i="34"/>
  <c r="R14100" i="34"/>
  <c r="R14101" i="34"/>
  <c r="R14102" i="34"/>
  <c r="R14103" i="34"/>
  <c r="R14104" i="34"/>
  <c r="R14105" i="34"/>
  <c r="R14106" i="34"/>
  <c r="R14107" i="34"/>
  <c r="R14108" i="34"/>
  <c r="R14109" i="34"/>
  <c r="R14110" i="34"/>
  <c r="R14111" i="34"/>
  <c r="R14112" i="34"/>
  <c r="R14113" i="34"/>
  <c r="R14114" i="34"/>
  <c r="R14115" i="34"/>
  <c r="R14116" i="34"/>
  <c r="R14117" i="34"/>
  <c r="R14118" i="34"/>
  <c r="R14119" i="34"/>
  <c r="R14120" i="34"/>
  <c r="R14121" i="34"/>
  <c r="R14122" i="34"/>
  <c r="R14123" i="34"/>
  <c r="R14124" i="34"/>
  <c r="R14125" i="34"/>
  <c r="R14126" i="34"/>
  <c r="R14127" i="34"/>
  <c r="R14128" i="34"/>
  <c r="R14129" i="34"/>
  <c r="R14130" i="34"/>
  <c r="R14131" i="34"/>
  <c r="R14132" i="34"/>
  <c r="R14133" i="34"/>
  <c r="R14134" i="34"/>
  <c r="R14135" i="34"/>
  <c r="R14136" i="34"/>
  <c r="R14137" i="34"/>
  <c r="R14138" i="34"/>
  <c r="R14139" i="34"/>
  <c r="R14140" i="34"/>
  <c r="R14141" i="34"/>
  <c r="R14142" i="34"/>
  <c r="R14143" i="34"/>
  <c r="R14144" i="34"/>
  <c r="R14145" i="34"/>
  <c r="R14146" i="34"/>
  <c r="R14147" i="34"/>
  <c r="R14148" i="34"/>
  <c r="R14149" i="34"/>
  <c r="R14150" i="34"/>
  <c r="R14151" i="34"/>
  <c r="R14152" i="34"/>
  <c r="R14153" i="34"/>
  <c r="R14154" i="34"/>
  <c r="R14155" i="34"/>
  <c r="R14156" i="34"/>
  <c r="R14157" i="34"/>
  <c r="R14158" i="34"/>
  <c r="R14159" i="34"/>
  <c r="R14160" i="34"/>
  <c r="R14161" i="34"/>
  <c r="R14162" i="34"/>
  <c r="R14163" i="34"/>
  <c r="R14164" i="34"/>
  <c r="R14165" i="34"/>
  <c r="R14166" i="34"/>
  <c r="R14167" i="34"/>
  <c r="R14168" i="34"/>
  <c r="R14169" i="34"/>
  <c r="R14170" i="34"/>
  <c r="R14171" i="34"/>
  <c r="R14172" i="34"/>
  <c r="R14173" i="34"/>
  <c r="R14174" i="34"/>
  <c r="R14175" i="34"/>
  <c r="R14176" i="34"/>
  <c r="R14177" i="34"/>
  <c r="R14178" i="34"/>
  <c r="R14179" i="34"/>
  <c r="R14180" i="34"/>
  <c r="R14181" i="34"/>
  <c r="R14182" i="34"/>
  <c r="R14183" i="34"/>
  <c r="R14184" i="34"/>
  <c r="R14185" i="34"/>
  <c r="R14186" i="34"/>
  <c r="R14187" i="34"/>
  <c r="R14188" i="34"/>
  <c r="R14189" i="34"/>
  <c r="R14190" i="34"/>
  <c r="R14191" i="34"/>
  <c r="R14192" i="34"/>
  <c r="R14193" i="34"/>
  <c r="R14194" i="34"/>
  <c r="R14195" i="34"/>
  <c r="R14196" i="34"/>
  <c r="R14197" i="34"/>
  <c r="R14198" i="34"/>
  <c r="R14199" i="34"/>
  <c r="R14200" i="34"/>
  <c r="R14201" i="34"/>
  <c r="R14202" i="34"/>
  <c r="R14203" i="34"/>
  <c r="R14204" i="34"/>
  <c r="R14205" i="34"/>
  <c r="R14206" i="34"/>
  <c r="R14207" i="34"/>
  <c r="R14208" i="34"/>
  <c r="R14209" i="34"/>
  <c r="R14210" i="34"/>
  <c r="R14211" i="34"/>
  <c r="R14212" i="34"/>
  <c r="R14213" i="34"/>
  <c r="R14214" i="34"/>
  <c r="R14215" i="34"/>
  <c r="R14216" i="34"/>
  <c r="R14217" i="34"/>
  <c r="R14218" i="34"/>
  <c r="R14219" i="34"/>
  <c r="R14220" i="34"/>
  <c r="R14221" i="34"/>
  <c r="R14222" i="34"/>
  <c r="R14223" i="34"/>
  <c r="R14224" i="34"/>
  <c r="R14225" i="34"/>
  <c r="R14226" i="34"/>
  <c r="R14227" i="34"/>
  <c r="R14228" i="34"/>
  <c r="R14229" i="34"/>
  <c r="R14230" i="34"/>
  <c r="R14231" i="34"/>
  <c r="R14232" i="34"/>
  <c r="R14233" i="34"/>
  <c r="R14234" i="34"/>
  <c r="R14235" i="34"/>
  <c r="R14236" i="34"/>
  <c r="R14237" i="34"/>
  <c r="R14238" i="34"/>
  <c r="R14239" i="34"/>
  <c r="R14240" i="34"/>
  <c r="R14241" i="34"/>
  <c r="R14242" i="34"/>
  <c r="R14243" i="34"/>
  <c r="R14244" i="34"/>
  <c r="R14245" i="34"/>
  <c r="R14246" i="34"/>
  <c r="R14247" i="34"/>
  <c r="R14248" i="34"/>
  <c r="R14249" i="34"/>
  <c r="R14250" i="34"/>
  <c r="R14251" i="34"/>
  <c r="R14252" i="34"/>
  <c r="R14253" i="34"/>
  <c r="R14254" i="34"/>
  <c r="R14255" i="34"/>
  <c r="R14256" i="34"/>
  <c r="R14257" i="34"/>
  <c r="R14258" i="34"/>
  <c r="R14259" i="34"/>
  <c r="R14260" i="34"/>
  <c r="R14261" i="34"/>
  <c r="R14262" i="34"/>
  <c r="R14263" i="34"/>
  <c r="R14264" i="34"/>
  <c r="R14265" i="34"/>
  <c r="R14266" i="34"/>
  <c r="R14267" i="34"/>
  <c r="R14268" i="34"/>
  <c r="R14269" i="34"/>
  <c r="R14270" i="34"/>
  <c r="R14271" i="34"/>
  <c r="R14272" i="34"/>
  <c r="R14273" i="34"/>
  <c r="R14274" i="34"/>
  <c r="R14275" i="34"/>
  <c r="R14276" i="34"/>
  <c r="R14277" i="34"/>
  <c r="R14278" i="34"/>
  <c r="R14279" i="34"/>
  <c r="R14280" i="34"/>
  <c r="R14281" i="34"/>
  <c r="R14282" i="34"/>
  <c r="R14283" i="34"/>
  <c r="R14284" i="34"/>
  <c r="R14285" i="34"/>
  <c r="R14286" i="34"/>
  <c r="R14287" i="34"/>
  <c r="R14288" i="34"/>
  <c r="R14289" i="34"/>
  <c r="R14290" i="34"/>
  <c r="R14291" i="34"/>
  <c r="R14292" i="34"/>
  <c r="R14293" i="34"/>
  <c r="R14294" i="34"/>
  <c r="R14295" i="34"/>
  <c r="R14296" i="34"/>
  <c r="R14297" i="34"/>
  <c r="R14298" i="34"/>
  <c r="R14299" i="34"/>
  <c r="R14300" i="34"/>
  <c r="R14301" i="34"/>
  <c r="R14302" i="34"/>
  <c r="R14303" i="34"/>
  <c r="R14304" i="34"/>
  <c r="R14305" i="34"/>
  <c r="R14306" i="34"/>
  <c r="R14307" i="34"/>
  <c r="R14308" i="34"/>
  <c r="R14309" i="34"/>
  <c r="R14310" i="34"/>
  <c r="R14311" i="34"/>
  <c r="R14312" i="34"/>
  <c r="R14313" i="34"/>
  <c r="R14314" i="34"/>
  <c r="R14315" i="34"/>
  <c r="R14316" i="34"/>
  <c r="R14317" i="34"/>
  <c r="R14318" i="34"/>
  <c r="R14319" i="34"/>
  <c r="R14320" i="34"/>
  <c r="R14321" i="34"/>
  <c r="R14322" i="34"/>
  <c r="R14323" i="34"/>
  <c r="R14324" i="34"/>
  <c r="R14325" i="34"/>
  <c r="R14326" i="34"/>
  <c r="R14327" i="34"/>
  <c r="R14328" i="34"/>
  <c r="R14329" i="34"/>
  <c r="R14330" i="34"/>
  <c r="R14331" i="34"/>
  <c r="R14332" i="34"/>
  <c r="R14333" i="34"/>
  <c r="R14334" i="34"/>
  <c r="R14335" i="34"/>
  <c r="R14336" i="34"/>
  <c r="R14337" i="34"/>
  <c r="R14338" i="34"/>
  <c r="R14339" i="34"/>
  <c r="R14340" i="34"/>
  <c r="R14341" i="34"/>
  <c r="R14342" i="34"/>
  <c r="R14343" i="34"/>
  <c r="R14344" i="34"/>
  <c r="R14345" i="34"/>
  <c r="R14346" i="34"/>
  <c r="R14347" i="34"/>
  <c r="R14348" i="34"/>
  <c r="R14349" i="34"/>
  <c r="R14350" i="34"/>
  <c r="R14351" i="34"/>
  <c r="R14352" i="34"/>
  <c r="R14353" i="34"/>
  <c r="R14354" i="34"/>
  <c r="R14355" i="34"/>
  <c r="R14356" i="34"/>
  <c r="R14357" i="34"/>
  <c r="R14358" i="34"/>
  <c r="R14359" i="34"/>
  <c r="R14360" i="34"/>
  <c r="R14361" i="34"/>
  <c r="R14362" i="34"/>
  <c r="R14363" i="34"/>
  <c r="R14364" i="34"/>
  <c r="R14365" i="34"/>
  <c r="R14366" i="34"/>
  <c r="R14367" i="34"/>
  <c r="R14368" i="34"/>
  <c r="R14369" i="34"/>
  <c r="R14370" i="34"/>
  <c r="R14371" i="34"/>
  <c r="R14372" i="34"/>
  <c r="R14373" i="34"/>
  <c r="R14374" i="34"/>
  <c r="R14375" i="34"/>
  <c r="R14376" i="34"/>
  <c r="R14377" i="34"/>
  <c r="R14378" i="34"/>
  <c r="R14379" i="34"/>
  <c r="R14380" i="34"/>
  <c r="R14381" i="34"/>
  <c r="R14382" i="34"/>
  <c r="R14383" i="34"/>
  <c r="R14384" i="34"/>
  <c r="R14385" i="34"/>
  <c r="R14386" i="34"/>
  <c r="R14387" i="34"/>
  <c r="R14388" i="34"/>
  <c r="R14389" i="34"/>
  <c r="R14390" i="34"/>
  <c r="R14391" i="34"/>
  <c r="R14392" i="34"/>
  <c r="R14393" i="34"/>
  <c r="R14394" i="34"/>
  <c r="R14395" i="34"/>
  <c r="R14396" i="34"/>
  <c r="R14397" i="34"/>
  <c r="R14398" i="34"/>
  <c r="R14399" i="34"/>
  <c r="R14400" i="34"/>
  <c r="R14401" i="34"/>
  <c r="R14402" i="34"/>
  <c r="R14403" i="34"/>
  <c r="R14404" i="34"/>
  <c r="R14405" i="34"/>
  <c r="R14406" i="34"/>
  <c r="R14407" i="34"/>
  <c r="R14408" i="34"/>
  <c r="R14409" i="34"/>
  <c r="R14410" i="34"/>
  <c r="R14411" i="34"/>
  <c r="R14412" i="34"/>
  <c r="R14413" i="34"/>
  <c r="R14414" i="34"/>
  <c r="R14415" i="34"/>
  <c r="R14416" i="34"/>
  <c r="R14417" i="34"/>
  <c r="R14418" i="34"/>
  <c r="R14419" i="34"/>
  <c r="R14420" i="34"/>
  <c r="R14421" i="34"/>
  <c r="R14422" i="34"/>
  <c r="R14423" i="34"/>
  <c r="R14424" i="34"/>
  <c r="R14425" i="34"/>
  <c r="R14426" i="34"/>
  <c r="R14427" i="34"/>
  <c r="R14428" i="34"/>
  <c r="R14429" i="34"/>
  <c r="R14430" i="34"/>
  <c r="R14431" i="34"/>
  <c r="R14432" i="34"/>
  <c r="R14433" i="34"/>
  <c r="R14434" i="34"/>
  <c r="R14435" i="34"/>
  <c r="R14436" i="34"/>
  <c r="R14437" i="34"/>
  <c r="R14438" i="34"/>
  <c r="R14439" i="34"/>
  <c r="R14440" i="34"/>
  <c r="R14441" i="34"/>
  <c r="R14442" i="34"/>
  <c r="R14443" i="34"/>
  <c r="R14444" i="34"/>
  <c r="R14445" i="34"/>
  <c r="R14446" i="34"/>
  <c r="R14447" i="34"/>
  <c r="R14448" i="34"/>
  <c r="R14449" i="34"/>
  <c r="R14450" i="34"/>
  <c r="R14451" i="34"/>
  <c r="R14452" i="34"/>
  <c r="R14453" i="34"/>
  <c r="R14454" i="34"/>
  <c r="R14455" i="34"/>
  <c r="R14456" i="34"/>
  <c r="R14457" i="34"/>
  <c r="R14458" i="34"/>
  <c r="R14459" i="34"/>
  <c r="R14460" i="34"/>
  <c r="R14461" i="34"/>
  <c r="R14462" i="34"/>
  <c r="R14463" i="34"/>
  <c r="R14464" i="34"/>
  <c r="R14465" i="34"/>
  <c r="R14466" i="34"/>
  <c r="R14467" i="34"/>
  <c r="R14468" i="34"/>
  <c r="R14469" i="34"/>
  <c r="R14470" i="34"/>
  <c r="R14471" i="34"/>
  <c r="R14472" i="34"/>
  <c r="R14473" i="34"/>
  <c r="R14474" i="34"/>
  <c r="R14475" i="34"/>
  <c r="R14476" i="34"/>
  <c r="R14477" i="34"/>
  <c r="R14478" i="34"/>
  <c r="R14479" i="34"/>
  <c r="R14480" i="34"/>
  <c r="R14481" i="34"/>
  <c r="R14482" i="34"/>
  <c r="R14483" i="34"/>
  <c r="R14484" i="34"/>
  <c r="R14485" i="34"/>
  <c r="R14486" i="34"/>
  <c r="R14487" i="34"/>
  <c r="R14488" i="34"/>
  <c r="R14489" i="34"/>
  <c r="R14490" i="34"/>
  <c r="R14491" i="34"/>
  <c r="R14492" i="34"/>
  <c r="R14493" i="34"/>
  <c r="R14494" i="34"/>
  <c r="R14495" i="34"/>
  <c r="R14496" i="34"/>
  <c r="R14497" i="34"/>
  <c r="R14498" i="34"/>
  <c r="R14499" i="34"/>
  <c r="R14500" i="34"/>
  <c r="R14501" i="34"/>
  <c r="R14502" i="34"/>
  <c r="R14503" i="34"/>
  <c r="R14504" i="34"/>
  <c r="R14505" i="34"/>
  <c r="R14506" i="34"/>
  <c r="R14507" i="34"/>
  <c r="R14508" i="34"/>
  <c r="R14509" i="34"/>
  <c r="R14510" i="34"/>
  <c r="R14511" i="34"/>
  <c r="R14512" i="34"/>
  <c r="R14513" i="34"/>
  <c r="R14514" i="34"/>
  <c r="R14515" i="34"/>
  <c r="R14516" i="34"/>
  <c r="R14517" i="34"/>
  <c r="R14518" i="34"/>
  <c r="R14519" i="34"/>
  <c r="R14520" i="34"/>
  <c r="R14521" i="34"/>
  <c r="R14522" i="34"/>
  <c r="R14523" i="34"/>
  <c r="R14524" i="34"/>
  <c r="R14525" i="34"/>
  <c r="R14526" i="34"/>
  <c r="R14527" i="34"/>
  <c r="R14528" i="34"/>
  <c r="R14529" i="34"/>
  <c r="R14530" i="34"/>
  <c r="R14531" i="34"/>
  <c r="R14532" i="34"/>
  <c r="R14533" i="34"/>
  <c r="R14534" i="34"/>
  <c r="R14535" i="34"/>
  <c r="R14536" i="34"/>
  <c r="R14537" i="34"/>
  <c r="R14538" i="34"/>
  <c r="R14539" i="34"/>
  <c r="R14540" i="34"/>
  <c r="R14541" i="34"/>
  <c r="R14542" i="34"/>
  <c r="R14543" i="34"/>
  <c r="R14544" i="34"/>
  <c r="R14545" i="34"/>
  <c r="R14546" i="34"/>
  <c r="R14547" i="34"/>
  <c r="R14548" i="34"/>
  <c r="R14549" i="34"/>
  <c r="R14550" i="34"/>
  <c r="R14551" i="34"/>
  <c r="R14552" i="34"/>
  <c r="R14553" i="34"/>
  <c r="R14554" i="34"/>
  <c r="R14555" i="34"/>
  <c r="R14556" i="34"/>
  <c r="R14557" i="34"/>
  <c r="R14558" i="34"/>
  <c r="R14559" i="34"/>
  <c r="R14560" i="34"/>
  <c r="R14561" i="34"/>
  <c r="R14562" i="34"/>
  <c r="R14563" i="34"/>
  <c r="R14564" i="34"/>
  <c r="R14565" i="34"/>
  <c r="R14566" i="34"/>
  <c r="R14567" i="34"/>
  <c r="R14568" i="34"/>
  <c r="R14569" i="34"/>
  <c r="R14570" i="34"/>
  <c r="R14571" i="34"/>
  <c r="R14572" i="34"/>
  <c r="R14573" i="34"/>
  <c r="R14574" i="34"/>
  <c r="R14575" i="34"/>
  <c r="R14576" i="34"/>
  <c r="R14577" i="34"/>
  <c r="R14578" i="34"/>
  <c r="R14579" i="34"/>
  <c r="R14580" i="34"/>
  <c r="R14581" i="34"/>
  <c r="R14582" i="34"/>
  <c r="R14583" i="34"/>
  <c r="R14584" i="34"/>
  <c r="R14585" i="34"/>
  <c r="R14586" i="34"/>
  <c r="R14587" i="34"/>
  <c r="R14588" i="34"/>
  <c r="R14589" i="34"/>
  <c r="R14590" i="34"/>
  <c r="R14591" i="34"/>
  <c r="R14592" i="34"/>
  <c r="R14593" i="34"/>
  <c r="R14594" i="34"/>
  <c r="R14595" i="34"/>
  <c r="R14596" i="34"/>
  <c r="R14597" i="34"/>
  <c r="R14598" i="34"/>
  <c r="R14599" i="34"/>
  <c r="R14600" i="34"/>
  <c r="R14601" i="34"/>
  <c r="R14602" i="34"/>
  <c r="R14603" i="34"/>
  <c r="R14604" i="34"/>
  <c r="R14605" i="34"/>
  <c r="R14606" i="34"/>
  <c r="R14607" i="34"/>
  <c r="R14608" i="34"/>
  <c r="R14609" i="34"/>
  <c r="R14610" i="34"/>
  <c r="R14611" i="34"/>
  <c r="R14612" i="34"/>
  <c r="R14613" i="34"/>
  <c r="R14614" i="34"/>
  <c r="R14615" i="34"/>
  <c r="R14616" i="34"/>
  <c r="R14617" i="34"/>
  <c r="R14618" i="34"/>
  <c r="R14619" i="34"/>
  <c r="R14620" i="34"/>
  <c r="R14621" i="34"/>
  <c r="R14622" i="34"/>
  <c r="R14623" i="34"/>
  <c r="R14624" i="34"/>
  <c r="R14625" i="34"/>
  <c r="R14626" i="34"/>
  <c r="R14627" i="34"/>
  <c r="R14628" i="34"/>
  <c r="R14629" i="34"/>
  <c r="R14630" i="34"/>
  <c r="R14631" i="34"/>
  <c r="R14632" i="34"/>
  <c r="R14633" i="34"/>
  <c r="R14634" i="34"/>
  <c r="R14635" i="34"/>
  <c r="R14636" i="34"/>
  <c r="R14637" i="34"/>
  <c r="R14638" i="34"/>
  <c r="R14639" i="34"/>
  <c r="R14640" i="34"/>
  <c r="R14641" i="34"/>
  <c r="R14642" i="34"/>
  <c r="R14643" i="34"/>
  <c r="R14644" i="34"/>
  <c r="R14645" i="34"/>
  <c r="R14646" i="34"/>
  <c r="R14647" i="34"/>
  <c r="R14648" i="34"/>
  <c r="R14649" i="34"/>
  <c r="R14650" i="34"/>
  <c r="R14651" i="34"/>
  <c r="R14652" i="34"/>
  <c r="R14653" i="34"/>
  <c r="R14654" i="34"/>
  <c r="R14655" i="34"/>
  <c r="R14656" i="34"/>
  <c r="R14657" i="34"/>
  <c r="R14658" i="34"/>
  <c r="R14659" i="34"/>
  <c r="R14660" i="34"/>
  <c r="R14661" i="34"/>
  <c r="R14662" i="34"/>
  <c r="R14663" i="34"/>
  <c r="R14664" i="34"/>
  <c r="R14665" i="34"/>
  <c r="R14666" i="34"/>
  <c r="R14667" i="34"/>
  <c r="R14668" i="34"/>
  <c r="R14669" i="34"/>
  <c r="R14670" i="34"/>
  <c r="R14671" i="34"/>
  <c r="R14672" i="34"/>
  <c r="R14673" i="34"/>
  <c r="R14674" i="34"/>
  <c r="R14675" i="34"/>
  <c r="R14676" i="34"/>
  <c r="R14677" i="34"/>
  <c r="R14678" i="34"/>
  <c r="R14679" i="34"/>
  <c r="R14680" i="34"/>
  <c r="R14681" i="34"/>
  <c r="R14682" i="34"/>
  <c r="R14683" i="34"/>
  <c r="R14684" i="34"/>
  <c r="R14685" i="34"/>
  <c r="R14686" i="34"/>
  <c r="R14687" i="34"/>
  <c r="R14688" i="34"/>
  <c r="R14689" i="34"/>
  <c r="R14690" i="34"/>
  <c r="R14691" i="34"/>
  <c r="R14692" i="34"/>
  <c r="R14693" i="34"/>
  <c r="R14694" i="34"/>
  <c r="R14695" i="34"/>
  <c r="R14696" i="34"/>
  <c r="R14697" i="34"/>
  <c r="R14698" i="34"/>
  <c r="R14699" i="34"/>
  <c r="R14700" i="34"/>
  <c r="R14701" i="34"/>
  <c r="R14702" i="34"/>
  <c r="R14703" i="34"/>
  <c r="R14704" i="34"/>
  <c r="R14705" i="34"/>
  <c r="R14706" i="34"/>
  <c r="R14707" i="34"/>
  <c r="R14708" i="34"/>
  <c r="R14709" i="34"/>
  <c r="R14710" i="34"/>
  <c r="R14711" i="34"/>
  <c r="R14712" i="34"/>
  <c r="R14713" i="34"/>
  <c r="R14714" i="34"/>
  <c r="R14715" i="34"/>
  <c r="R14716" i="34"/>
  <c r="R14717" i="34"/>
  <c r="R14718" i="34"/>
  <c r="R14719" i="34"/>
  <c r="R14720" i="34"/>
  <c r="R14721" i="34"/>
  <c r="R14722" i="34"/>
  <c r="R14723" i="34"/>
  <c r="R14724" i="34"/>
  <c r="R14725" i="34"/>
  <c r="R14726" i="34"/>
  <c r="R14727" i="34"/>
  <c r="R14728" i="34"/>
  <c r="R14729" i="34"/>
  <c r="R14730" i="34"/>
  <c r="R14731" i="34"/>
  <c r="R14732" i="34"/>
  <c r="R14733" i="34"/>
  <c r="R14734" i="34"/>
  <c r="R14735" i="34"/>
  <c r="R14736" i="34"/>
  <c r="R14737" i="34"/>
  <c r="R14738" i="34"/>
  <c r="R14739" i="34"/>
  <c r="R14740" i="34"/>
  <c r="R14741" i="34"/>
  <c r="R14742" i="34"/>
  <c r="R14743" i="34"/>
  <c r="R14744" i="34"/>
  <c r="R14745" i="34"/>
  <c r="R14746" i="34"/>
  <c r="R14747" i="34"/>
  <c r="R14748" i="34"/>
  <c r="R14749" i="34"/>
  <c r="R14750" i="34"/>
  <c r="R14751" i="34"/>
  <c r="R14752" i="34"/>
  <c r="R14753" i="34"/>
  <c r="R14754" i="34"/>
  <c r="R14755" i="34"/>
  <c r="R14756" i="34"/>
  <c r="R14757" i="34"/>
  <c r="R14758" i="34"/>
  <c r="R14759" i="34"/>
  <c r="R14760" i="34"/>
  <c r="R14761" i="34"/>
  <c r="R14762" i="34"/>
  <c r="R14763" i="34"/>
  <c r="R14764" i="34"/>
  <c r="R14765" i="34"/>
  <c r="R14766" i="34"/>
  <c r="R14767" i="34"/>
  <c r="R14768" i="34"/>
  <c r="R14769" i="34"/>
  <c r="R14770" i="34"/>
  <c r="R14771" i="34"/>
  <c r="R14772" i="34"/>
  <c r="R14773" i="34"/>
  <c r="R14774" i="34"/>
  <c r="R14775" i="34"/>
  <c r="R14776" i="34"/>
  <c r="R14777" i="34"/>
  <c r="R14778" i="34"/>
  <c r="R14779" i="34"/>
  <c r="R14780" i="34"/>
  <c r="R14781" i="34"/>
  <c r="R14782" i="34"/>
  <c r="R14783" i="34"/>
  <c r="R14784" i="34"/>
  <c r="R14785" i="34"/>
  <c r="R14786" i="34"/>
  <c r="R14787" i="34"/>
  <c r="R14788" i="34"/>
  <c r="R14789" i="34"/>
  <c r="R14790" i="34"/>
  <c r="R14791" i="34"/>
  <c r="R14792" i="34"/>
  <c r="R14793" i="34"/>
  <c r="R14794" i="34"/>
  <c r="R14795" i="34"/>
  <c r="R14796" i="34"/>
  <c r="R14797" i="34"/>
  <c r="R14798" i="34"/>
  <c r="R14799" i="34"/>
  <c r="R14800" i="34"/>
  <c r="R14801" i="34"/>
  <c r="R14802" i="34"/>
  <c r="R14803" i="34"/>
  <c r="R14804" i="34"/>
  <c r="R14805" i="34"/>
  <c r="R14806" i="34"/>
  <c r="R14807" i="34"/>
  <c r="R14808" i="34"/>
  <c r="R14809" i="34"/>
  <c r="R14810" i="34"/>
  <c r="R14811" i="34"/>
  <c r="R14812" i="34"/>
  <c r="R14813" i="34"/>
  <c r="R14814" i="34"/>
  <c r="R14815" i="34"/>
  <c r="R14816" i="34"/>
  <c r="R14817" i="34"/>
  <c r="R14818" i="34"/>
  <c r="R14819" i="34"/>
  <c r="R14820" i="34"/>
  <c r="R14821" i="34"/>
  <c r="R14822" i="34"/>
  <c r="R14823" i="34"/>
  <c r="R14824" i="34"/>
  <c r="R14825" i="34"/>
  <c r="R14826" i="34"/>
  <c r="R14827" i="34"/>
  <c r="R14828" i="34"/>
  <c r="R14829" i="34"/>
  <c r="R14830" i="34"/>
  <c r="R14831" i="34"/>
  <c r="R14832" i="34"/>
  <c r="R14833" i="34"/>
  <c r="R14834" i="34"/>
  <c r="R14835" i="34"/>
  <c r="R14836" i="34"/>
  <c r="R14837" i="34"/>
  <c r="R14838" i="34"/>
  <c r="R14839" i="34"/>
  <c r="R14840" i="34"/>
  <c r="R14841" i="34"/>
  <c r="R14842" i="34"/>
  <c r="R14843" i="34"/>
  <c r="R14844" i="34"/>
  <c r="R14845" i="34"/>
  <c r="R14846" i="34"/>
  <c r="R14847" i="34"/>
  <c r="R14848" i="34"/>
  <c r="R14849" i="34"/>
  <c r="R14850" i="34"/>
  <c r="R14851" i="34"/>
  <c r="R14852" i="34"/>
  <c r="R14853" i="34"/>
  <c r="R14854" i="34"/>
  <c r="R14855" i="34"/>
  <c r="R14856" i="34"/>
  <c r="R14857" i="34"/>
  <c r="R14858" i="34"/>
  <c r="R14859" i="34"/>
  <c r="R14860" i="34"/>
  <c r="R14861" i="34"/>
  <c r="R14862" i="34"/>
  <c r="R14863" i="34"/>
  <c r="R14864" i="34"/>
  <c r="R14865" i="34"/>
  <c r="R14866" i="34"/>
  <c r="R14867" i="34"/>
  <c r="R14868" i="34"/>
  <c r="R14869" i="34"/>
  <c r="R14870" i="34"/>
  <c r="R14871" i="34"/>
  <c r="R14872" i="34"/>
  <c r="R14873" i="34"/>
  <c r="R14874" i="34"/>
  <c r="R14875" i="34"/>
  <c r="R14876" i="34"/>
  <c r="R14877" i="34"/>
  <c r="R14878" i="34"/>
  <c r="R14879" i="34"/>
  <c r="R14880" i="34"/>
  <c r="R14881" i="34"/>
  <c r="R14882" i="34"/>
  <c r="R14883" i="34"/>
  <c r="R14884" i="34"/>
  <c r="R14885" i="34"/>
  <c r="R14886" i="34"/>
  <c r="R14887" i="34"/>
  <c r="R14888" i="34"/>
  <c r="R14889" i="34"/>
  <c r="R14890" i="34"/>
  <c r="R14891" i="34"/>
  <c r="R14892" i="34"/>
  <c r="R14893" i="34"/>
  <c r="R14894" i="34"/>
  <c r="R14895" i="34"/>
  <c r="R14896" i="34"/>
  <c r="R14897" i="34"/>
  <c r="R14898" i="34"/>
  <c r="R14899" i="34"/>
  <c r="R14900" i="34"/>
  <c r="R14901" i="34"/>
  <c r="R14902" i="34"/>
  <c r="R14903" i="34"/>
  <c r="R14904" i="34"/>
  <c r="R14905" i="34"/>
  <c r="R14906" i="34"/>
  <c r="R14907" i="34"/>
  <c r="R14908" i="34"/>
  <c r="R14909" i="34"/>
  <c r="R14910" i="34"/>
  <c r="R14911" i="34"/>
  <c r="R14912" i="34"/>
  <c r="R14913" i="34"/>
  <c r="R14914" i="34"/>
  <c r="R14915" i="34"/>
  <c r="R14916" i="34"/>
  <c r="R14917" i="34"/>
  <c r="R14918" i="34"/>
  <c r="R14919" i="34"/>
  <c r="R14920" i="34"/>
  <c r="R14921" i="34"/>
  <c r="R14922" i="34"/>
  <c r="R14923" i="34"/>
  <c r="R14924" i="34"/>
  <c r="R14925" i="34"/>
  <c r="R14926" i="34"/>
  <c r="R14927" i="34"/>
  <c r="R14928" i="34"/>
  <c r="R14929" i="34"/>
  <c r="R14930" i="34"/>
  <c r="R14931" i="34"/>
  <c r="R14932" i="34"/>
  <c r="R14933" i="34"/>
  <c r="R14934" i="34"/>
  <c r="R14935" i="34"/>
  <c r="R14936" i="34"/>
  <c r="R14937" i="34"/>
  <c r="R14938" i="34"/>
  <c r="R14939" i="34"/>
  <c r="R14940" i="34"/>
  <c r="R14941" i="34"/>
  <c r="R14942" i="34"/>
  <c r="R14943" i="34"/>
  <c r="R14944" i="34"/>
  <c r="R14945" i="34"/>
  <c r="R14946" i="34"/>
  <c r="R14947" i="34"/>
  <c r="R14948" i="34"/>
  <c r="R14949" i="34"/>
  <c r="R14950" i="34"/>
  <c r="R14951" i="34"/>
  <c r="R14952" i="34"/>
  <c r="R14953" i="34"/>
  <c r="R14954" i="34"/>
  <c r="R14955" i="34"/>
  <c r="R14956" i="34"/>
  <c r="R14957" i="34"/>
  <c r="R14958" i="34"/>
  <c r="R14959" i="34"/>
  <c r="R14960" i="34"/>
  <c r="R14961" i="34"/>
  <c r="R14962" i="34"/>
  <c r="R14963" i="34"/>
  <c r="R14964" i="34"/>
  <c r="R14965" i="34"/>
  <c r="R14966" i="34"/>
  <c r="R14967" i="34"/>
  <c r="R14968" i="34"/>
  <c r="R14969" i="34"/>
  <c r="R14970" i="34"/>
  <c r="R14971" i="34"/>
  <c r="R14972" i="34"/>
  <c r="R14973" i="34"/>
  <c r="R14974" i="34"/>
  <c r="R14975" i="34"/>
  <c r="R14976" i="34"/>
  <c r="R14977" i="34"/>
  <c r="R14978" i="34"/>
  <c r="R14979" i="34"/>
  <c r="R14980" i="34"/>
  <c r="R14981" i="34"/>
  <c r="R14982" i="34"/>
  <c r="R14983" i="34"/>
  <c r="R14984" i="34"/>
  <c r="R14985" i="34"/>
  <c r="R14986" i="34"/>
  <c r="R14987" i="34"/>
  <c r="R14988" i="34"/>
  <c r="R14989" i="34"/>
  <c r="R14990" i="34"/>
  <c r="R14991" i="34"/>
  <c r="R14992" i="34"/>
  <c r="R14993" i="34"/>
  <c r="R14994" i="34"/>
  <c r="R14995" i="34"/>
  <c r="R14996" i="34"/>
  <c r="R14997" i="34"/>
  <c r="R14998" i="34"/>
  <c r="R14999" i="34"/>
  <c r="R15000" i="34"/>
  <c r="R15001" i="34"/>
  <c r="R15002" i="34"/>
  <c r="R15003" i="34"/>
  <c r="R15004" i="34"/>
  <c r="R15005" i="34"/>
  <c r="R15006" i="34"/>
  <c r="R15007" i="34"/>
  <c r="R15008" i="34"/>
  <c r="R15009" i="34"/>
  <c r="R15010" i="34"/>
  <c r="R15011" i="34"/>
  <c r="R15012" i="34"/>
  <c r="R15013" i="34"/>
  <c r="R15014" i="34"/>
  <c r="R15015" i="34"/>
  <c r="R15016" i="34"/>
  <c r="R15017" i="34"/>
  <c r="R15018" i="34"/>
  <c r="R15019" i="34"/>
  <c r="R15020" i="34"/>
  <c r="R15021" i="34"/>
  <c r="R15022" i="34"/>
  <c r="R15023" i="34"/>
  <c r="R15024" i="34"/>
  <c r="R15025" i="34"/>
  <c r="R15026" i="34"/>
  <c r="R15027" i="34"/>
  <c r="R15028" i="34"/>
  <c r="R15029" i="34"/>
  <c r="R15030" i="34"/>
  <c r="R15031" i="34"/>
  <c r="R15032" i="34"/>
  <c r="R15033" i="34"/>
  <c r="R15034" i="34"/>
  <c r="R15035" i="34"/>
  <c r="R15036" i="34"/>
  <c r="R15037" i="34"/>
  <c r="R15038" i="34"/>
  <c r="R15039" i="34"/>
  <c r="R15040" i="34"/>
  <c r="R15041" i="34"/>
  <c r="R15042" i="34"/>
  <c r="R15043" i="34"/>
  <c r="R15044" i="34"/>
  <c r="R15045" i="34"/>
  <c r="R15046" i="34"/>
  <c r="R15047" i="34"/>
  <c r="R15048" i="34"/>
  <c r="R15049" i="34"/>
  <c r="R15050" i="34"/>
  <c r="R15051" i="34"/>
  <c r="R15052" i="34"/>
  <c r="R15053" i="34"/>
  <c r="R15054" i="34"/>
  <c r="R15055" i="34"/>
  <c r="R15056" i="34"/>
  <c r="R15057" i="34"/>
  <c r="R15058" i="34"/>
  <c r="R15059" i="34"/>
  <c r="R15060" i="34"/>
  <c r="R15061" i="34"/>
  <c r="R15062" i="34"/>
  <c r="R15063" i="34"/>
  <c r="R15064" i="34"/>
  <c r="R15065" i="34"/>
  <c r="R15066" i="34"/>
  <c r="R15067" i="34"/>
  <c r="R15068" i="34"/>
  <c r="R15069" i="34"/>
  <c r="R15070" i="34"/>
  <c r="R15071" i="34"/>
  <c r="R15072" i="34"/>
  <c r="R15073" i="34"/>
  <c r="R15074" i="34"/>
  <c r="R15075" i="34"/>
  <c r="R15076" i="34"/>
  <c r="R15077" i="34"/>
  <c r="R15078" i="34"/>
  <c r="R15079" i="34"/>
  <c r="R15080" i="34"/>
  <c r="R15081" i="34"/>
  <c r="R15082" i="34"/>
  <c r="R15083" i="34"/>
  <c r="R15084" i="34"/>
  <c r="R15085" i="34"/>
  <c r="R15086" i="34"/>
  <c r="R15087" i="34"/>
  <c r="R15088" i="34"/>
  <c r="R15089" i="34"/>
  <c r="R15090" i="34"/>
  <c r="R15091" i="34"/>
  <c r="R15092" i="34"/>
  <c r="R15093" i="34"/>
  <c r="R15094" i="34"/>
  <c r="R15095" i="34"/>
  <c r="R15096" i="34"/>
  <c r="R15097" i="34"/>
  <c r="R15098" i="34"/>
  <c r="R15099" i="34"/>
  <c r="R15100" i="34"/>
  <c r="R15101" i="34"/>
  <c r="R15102" i="34"/>
  <c r="R15103" i="34"/>
  <c r="R15104" i="34"/>
  <c r="R15105" i="34"/>
  <c r="R15106" i="34"/>
  <c r="R15107" i="34"/>
  <c r="R15108" i="34"/>
  <c r="R15109" i="34"/>
  <c r="R15110" i="34"/>
  <c r="R15111" i="34"/>
  <c r="R15112" i="34"/>
  <c r="R15113" i="34"/>
  <c r="R15114" i="34"/>
  <c r="R15115" i="34"/>
  <c r="R15116" i="34"/>
  <c r="R15117" i="34"/>
  <c r="R15118" i="34"/>
  <c r="R15119" i="34"/>
  <c r="R15120" i="34"/>
  <c r="R15121" i="34"/>
  <c r="R15122" i="34"/>
  <c r="R15123" i="34"/>
  <c r="R15124" i="34"/>
  <c r="R15125" i="34"/>
  <c r="R15126" i="34"/>
  <c r="R15127" i="34"/>
  <c r="R15128" i="34"/>
  <c r="R15129" i="34"/>
  <c r="R15130" i="34"/>
  <c r="R15131" i="34"/>
  <c r="R15132" i="34"/>
  <c r="R15133" i="34"/>
  <c r="R15134" i="34"/>
  <c r="R15135" i="34"/>
  <c r="R15136" i="34"/>
  <c r="R15137" i="34"/>
  <c r="R15138" i="34"/>
  <c r="R15139" i="34"/>
  <c r="R15140" i="34"/>
  <c r="R15141" i="34"/>
  <c r="R15142" i="34"/>
  <c r="R15143" i="34"/>
  <c r="R15144" i="34"/>
  <c r="R15145" i="34"/>
  <c r="R15146" i="34"/>
  <c r="R15147" i="34"/>
  <c r="R15148" i="34"/>
  <c r="R15149" i="34"/>
  <c r="R15150" i="34"/>
  <c r="R15151" i="34"/>
  <c r="R15152" i="34"/>
  <c r="R15153" i="34"/>
  <c r="R15154" i="34"/>
  <c r="R15155" i="34"/>
  <c r="R15156" i="34"/>
  <c r="R15157" i="34"/>
  <c r="R15158" i="34"/>
  <c r="R15159" i="34"/>
  <c r="R15160" i="34"/>
  <c r="R15161" i="34"/>
  <c r="R15162" i="34"/>
  <c r="R15163" i="34"/>
  <c r="R15164" i="34"/>
  <c r="R15165" i="34"/>
  <c r="R15166" i="34"/>
  <c r="R15167" i="34"/>
  <c r="R15168" i="34"/>
  <c r="R15169" i="34"/>
  <c r="R15170" i="34"/>
  <c r="R15171" i="34"/>
  <c r="R15172" i="34"/>
  <c r="R15173" i="34"/>
  <c r="R15174" i="34"/>
  <c r="R15175" i="34"/>
  <c r="R15176" i="34"/>
  <c r="R15177" i="34"/>
  <c r="R15178" i="34"/>
  <c r="R15179" i="34"/>
  <c r="R15180" i="34"/>
  <c r="R15181" i="34"/>
  <c r="R15182" i="34"/>
  <c r="R15183" i="34"/>
  <c r="R15184" i="34"/>
  <c r="R15185" i="34"/>
  <c r="R15186" i="34"/>
  <c r="R15187" i="34"/>
  <c r="R15188" i="34"/>
  <c r="R15189" i="34"/>
  <c r="R15190" i="34"/>
  <c r="R15191" i="34"/>
  <c r="R15192" i="34"/>
  <c r="R15193" i="34"/>
  <c r="R15194" i="34"/>
  <c r="R15195" i="34"/>
  <c r="R15196" i="34"/>
  <c r="R15197" i="34"/>
  <c r="R15198" i="34"/>
  <c r="R15199" i="34"/>
  <c r="R15200" i="34"/>
  <c r="R15201" i="34"/>
  <c r="R15202" i="34"/>
  <c r="R15203" i="34"/>
  <c r="R15204" i="34"/>
  <c r="R15205" i="34"/>
  <c r="R15206" i="34"/>
  <c r="R15207" i="34"/>
  <c r="R15208" i="34"/>
  <c r="R15209" i="34"/>
  <c r="R15210" i="34"/>
  <c r="R15211" i="34"/>
  <c r="R15212" i="34"/>
  <c r="R15213" i="34"/>
  <c r="R15214" i="34"/>
  <c r="R15215" i="34"/>
  <c r="R15216" i="34"/>
  <c r="R15217" i="34"/>
  <c r="R15218" i="34"/>
  <c r="R15219" i="34"/>
  <c r="R15220" i="34"/>
  <c r="R15221" i="34"/>
  <c r="R15222" i="34"/>
  <c r="R15223" i="34"/>
  <c r="R15224" i="34"/>
  <c r="R15225" i="34"/>
  <c r="R15226" i="34"/>
  <c r="R15227" i="34"/>
  <c r="R15228" i="34"/>
  <c r="R15229" i="34"/>
  <c r="R15230" i="34"/>
  <c r="R15231" i="34"/>
  <c r="R15232" i="34"/>
  <c r="R15233" i="34"/>
  <c r="R15234" i="34"/>
  <c r="R15235" i="34"/>
  <c r="R15236" i="34"/>
  <c r="R15237" i="34"/>
  <c r="R15238" i="34"/>
  <c r="R15239" i="34"/>
  <c r="R15240" i="34"/>
  <c r="R15241" i="34"/>
  <c r="R15242" i="34"/>
  <c r="R15243" i="34"/>
  <c r="R15244" i="34"/>
  <c r="R15245" i="34"/>
  <c r="R15246" i="34"/>
  <c r="R15247" i="34"/>
  <c r="R15248" i="34"/>
  <c r="R15249" i="34"/>
  <c r="R15250" i="34"/>
  <c r="R15251" i="34"/>
  <c r="R15252" i="34"/>
  <c r="R15253" i="34"/>
  <c r="R15254" i="34"/>
  <c r="R15255" i="34"/>
  <c r="R15256" i="34"/>
  <c r="R15257" i="34"/>
  <c r="R15258" i="34"/>
  <c r="R15259" i="34"/>
  <c r="R15260" i="34"/>
  <c r="R15261" i="34"/>
  <c r="R15262" i="34"/>
  <c r="R15263" i="34"/>
  <c r="R15264" i="34"/>
  <c r="R15265" i="34"/>
  <c r="R15266" i="34"/>
  <c r="R15267" i="34"/>
  <c r="R15268" i="34"/>
  <c r="R15269" i="34"/>
  <c r="R15270" i="34"/>
  <c r="R15271" i="34"/>
  <c r="R15272" i="34"/>
  <c r="R15273" i="34"/>
  <c r="R15274" i="34"/>
  <c r="R15275" i="34"/>
  <c r="R15276" i="34"/>
  <c r="R15277" i="34"/>
  <c r="R15278" i="34"/>
  <c r="R15279" i="34"/>
  <c r="R15280" i="34"/>
  <c r="R15281" i="34"/>
  <c r="R15282" i="34"/>
  <c r="R15283" i="34"/>
  <c r="R15284" i="34"/>
  <c r="R15285" i="34"/>
  <c r="R15286" i="34"/>
  <c r="R15287" i="34"/>
  <c r="R15288" i="34"/>
  <c r="R15289" i="34"/>
  <c r="R15290" i="34"/>
  <c r="R15291" i="34"/>
  <c r="R15292" i="34"/>
  <c r="R15293" i="34"/>
  <c r="R15294" i="34"/>
  <c r="R15295" i="34"/>
  <c r="R15296" i="34"/>
  <c r="R15297" i="34"/>
  <c r="R15298" i="34"/>
  <c r="R15299" i="34"/>
  <c r="R15300" i="34"/>
  <c r="R15301" i="34"/>
  <c r="R15302" i="34"/>
  <c r="R15303" i="34"/>
  <c r="R15304" i="34"/>
  <c r="R15305" i="34"/>
  <c r="R15306" i="34"/>
  <c r="R15307" i="34"/>
  <c r="R15308" i="34"/>
  <c r="R15309" i="34"/>
  <c r="R15310" i="34"/>
  <c r="R15311" i="34"/>
  <c r="R15312" i="34"/>
  <c r="R15313" i="34"/>
  <c r="R15314" i="34"/>
  <c r="R15315" i="34"/>
  <c r="R15316" i="34"/>
  <c r="R15317" i="34"/>
  <c r="R15318" i="34"/>
  <c r="R15319" i="34"/>
  <c r="R15320" i="34"/>
  <c r="R15321" i="34"/>
  <c r="R15322" i="34"/>
  <c r="R15323" i="34"/>
  <c r="R15324" i="34"/>
  <c r="R15325" i="34"/>
  <c r="R15326" i="34"/>
  <c r="R15327" i="34"/>
  <c r="R15328" i="34"/>
  <c r="R15329" i="34"/>
  <c r="R15330" i="34"/>
  <c r="R15331" i="34"/>
  <c r="R15332" i="34"/>
  <c r="R15333" i="34"/>
  <c r="R15334" i="34"/>
  <c r="R15335" i="34"/>
  <c r="R15336" i="34"/>
  <c r="R15337" i="34"/>
  <c r="R15338" i="34"/>
  <c r="R15339" i="34"/>
  <c r="R15340" i="34"/>
  <c r="R15341" i="34"/>
  <c r="R15342" i="34"/>
  <c r="R15343" i="34"/>
  <c r="R15344" i="34"/>
  <c r="R15345" i="34"/>
  <c r="R15346" i="34"/>
  <c r="R2" i="34"/>
  <c r="O3" i="34"/>
  <c r="O4" i="34"/>
  <c r="O5" i="34"/>
  <c r="O6" i="34"/>
  <c r="O7" i="34"/>
  <c r="O8" i="34"/>
  <c r="O9" i="34"/>
  <c r="O10" i="34"/>
  <c r="O11" i="34"/>
  <c r="O12" i="34"/>
  <c r="O13" i="34"/>
  <c r="O14" i="34"/>
  <c r="O15" i="34"/>
  <c r="O16" i="34"/>
  <c r="O17" i="34"/>
  <c r="O18" i="34"/>
  <c r="O19" i="34"/>
  <c r="O20" i="34"/>
  <c r="O21" i="34"/>
  <c r="O22" i="34"/>
  <c r="O23" i="34"/>
  <c r="O24" i="34"/>
  <c r="O25" i="34"/>
  <c r="O26" i="34"/>
  <c r="O27" i="34"/>
  <c r="O28" i="34"/>
  <c r="O29" i="34"/>
  <c r="O30" i="34"/>
  <c r="O31" i="34"/>
  <c r="O32" i="34"/>
  <c r="O33" i="34"/>
  <c r="O34" i="34"/>
  <c r="O35" i="34"/>
  <c r="O36" i="34"/>
  <c r="O37" i="34"/>
  <c r="O38" i="34"/>
  <c r="O39" i="34"/>
  <c r="O40" i="34"/>
  <c r="O41" i="34"/>
  <c r="O42" i="34"/>
  <c r="O43" i="34"/>
  <c r="O44" i="34"/>
  <c r="O45" i="34"/>
  <c r="O46" i="34"/>
  <c r="O47" i="34"/>
  <c r="O48" i="34"/>
  <c r="O49" i="34"/>
  <c r="O50" i="34"/>
  <c r="O51" i="34"/>
  <c r="O52" i="34"/>
  <c r="O53" i="34"/>
  <c r="O54" i="34"/>
  <c r="O55" i="34"/>
  <c r="O56" i="34"/>
  <c r="O57" i="34"/>
  <c r="O58" i="34"/>
  <c r="O59" i="34"/>
  <c r="O60" i="34"/>
  <c r="O61" i="34"/>
  <c r="O62" i="34"/>
  <c r="O63" i="34"/>
  <c r="O64" i="34"/>
  <c r="O65" i="34"/>
  <c r="O66" i="34"/>
  <c r="O67" i="34"/>
  <c r="O68" i="34"/>
  <c r="O69" i="34"/>
  <c r="O70" i="34"/>
  <c r="O71" i="34"/>
  <c r="O72" i="34"/>
  <c r="O73" i="34"/>
  <c r="O74" i="34"/>
  <c r="O75" i="34"/>
  <c r="O76" i="34"/>
  <c r="O77" i="34"/>
  <c r="O78" i="34"/>
  <c r="O79" i="34"/>
  <c r="O80" i="34"/>
  <c r="O81" i="34"/>
  <c r="O82" i="34"/>
  <c r="O83" i="34"/>
  <c r="O84" i="34"/>
  <c r="O85" i="34"/>
  <c r="O86" i="34"/>
  <c r="O87" i="34"/>
  <c r="O88" i="34"/>
  <c r="O89" i="34"/>
  <c r="O90" i="34"/>
  <c r="O91" i="34"/>
  <c r="O92" i="34"/>
  <c r="O93" i="34"/>
  <c r="O94" i="34"/>
  <c r="O95" i="34"/>
  <c r="O96" i="34"/>
  <c r="O97" i="34"/>
  <c r="O98" i="34"/>
  <c r="O99" i="34"/>
  <c r="O100" i="34"/>
  <c r="O101" i="34"/>
  <c r="O102" i="34"/>
  <c r="O103" i="34"/>
  <c r="O104" i="34"/>
  <c r="O105" i="34"/>
  <c r="O106" i="34"/>
  <c r="O107" i="34"/>
  <c r="O108" i="34"/>
  <c r="O109" i="34"/>
  <c r="O110" i="34"/>
  <c r="O111" i="34"/>
  <c r="O112" i="34"/>
  <c r="O113" i="34"/>
  <c r="O114" i="34"/>
  <c r="O115" i="34"/>
  <c r="O116" i="34"/>
  <c r="O117" i="34"/>
  <c r="O118" i="34"/>
  <c r="O119" i="34"/>
  <c r="O120" i="34"/>
  <c r="O121" i="34"/>
  <c r="O122" i="34"/>
  <c r="O123" i="34"/>
  <c r="O124" i="34"/>
  <c r="O125" i="34"/>
  <c r="O126" i="34"/>
  <c r="O127" i="34"/>
  <c r="O128" i="34"/>
  <c r="O129" i="34"/>
  <c r="O130" i="34"/>
  <c r="O131" i="34"/>
  <c r="O132" i="34"/>
  <c r="O133" i="34"/>
  <c r="O134" i="34"/>
  <c r="O135" i="34"/>
  <c r="O136" i="34"/>
  <c r="O137" i="34"/>
  <c r="O138" i="34"/>
  <c r="O139" i="34"/>
  <c r="O140" i="34"/>
  <c r="O141" i="34"/>
  <c r="O142" i="34"/>
  <c r="O143" i="34"/>
  <c r="O144" i="34"/>
  <c r="O145" i="34"/>
  <c r="O146" i="34"/>
  <c r="O147" i="34"/>
  <c r="O148" i="34"/>
  <c r="O149" i="34"/>
  <c r="O150" i="34"/>
  <c r="O151" i="34"/>
  <c r="O152" i="34"/>
  <c r="O153" i="34"/>
  <c r="O154" i="34"/>
  <c r="O155" i="34"/>
  <c r="O156" i="34"/>
  <c r="O157" i="34"/>
  <c r="O158" i="34"/>
  <c r="O159" i="34"/>
  <c r="O160" i="34"/>
  <c r="O161" i="34"/>
  <c r="O162" i="34"/>
  <c r="O163" i="34"/>
  <c r="O164" i="34"/>
  <c r="O165" i="34"/>
  <c r="O166" i="34"/>
  <c r="O167" i="34"/>
  <c r="O168" i="34"/>
  <c r="O169" i="34"/>
  <c r="O170" i="34"/>
  <c r="O171" i="34"/>
  <c r="O172" i="34"/>
  <c r="O173" i="34"/>
  <c r="O174" i="34"/>
  <c r="O175" i="34"/>
  <c r="O176" i="34"/>
  <c r="O177" i="34"/>
  <c r="O178" i="34"/>
  <c r="O179" i="34"/>
  <c r="O180" i="34"/>
  <c r="O181" i="34"/>
  <c r="O182" i="34"/>
  <c r="O183" i="34"/>
  <c r="O184" i="34"/>
  <c r="O185" i="34"/>
  <c r="O186" i="34"/>
  <c r="O187" i="34"/>
  <c r="O188" i="34"/>
  <c r="O189" i="34"/>
  <c r="O190" i="34"/>
  <c r="O191" i="34"/>
  <c r="O192" i="34"/>
  <c r="O193" i="34"/>
  <c r="O194" i="34"/>
  <c r="O195" i="34"/>
  <c r="O196" i="34"/>
  <c r="O197" i="34"/>
  <c r="O198" i="34"/>
  <c r="O199" i="34"/>
  <c r="O200" i="34"/>
  <c r="O201" i="34"/>
  <c r="O202" i="34"/>
  <c r="O203" i="34"/>
  <c r="O204" i="34"/>
  <c r="O205" i="34"/>
  <c r="O206" i="34"/>
  <c r="O207" i="34"/>
  <c r="O208" i="34"/>
  <c r="O209" i="34"/>
  <c r="O210" i="34"/>
  <c r="O211" i="34"/>
  <c r="O212" i="34"/>
  <c r="O213" i="34"/>
  <c r="O214" i="34"/>
  <c r="O215" i="34"/>
  <c r="O216" i="34"/>
  <c r="O217" i="34"/>
  <c r="O218" i="34"/>
  <c r="O219" i="34"/>
  <c r="O220" i="34"/>
  <c r="O221" i="34"/>
  <c r="O222" i="34"/>
  <c r="O223" i="34"/>
  <c r="O224" i="34"/>
  <c r="O225" i="34"/>
  <c r="O226" i="34"/>
  <c r="O227" i="34"/>
  <c r="O228" i="34"/>
  <c r="O229" i="34"/>
  <c r="O230" i="34"/>
  <c r="O231" i="34"/>
  <c r="O232" i="34"/>
  <c r="O233" i="34"/>
  <c r="O234" i="34"/>
  <c r="O235" i="34"/>
  <c r="O236" i="34"/>
  <c r="O237" i="34"/>
  <c r="O238" i="34"/>
  <c r="O239" i="34"/>
  <c r="O240" i="34"/>
  <c r="O241" i="34"/>
  <c r="O242" i="34"/>
  <c r="O243" i="34"/>
  <c r="O244" i="34"/>
  <c r="O245" i="34"/>
  <c r="O246" i="34"/>
  <c r="O247" i="34"/>
  <c r="O248" i="34"/>
  <c r="O249" i="34"/>
  <c r="O250" i="34"/>
  <c r="O251" i="34"/>
  <c r="O252" i="34"/>
  <c r="O253" i="34"/>
  <c r="O254" i="34"/>
  <c r="O255" i="34"/>
  <c r="O256" i="34"/>
  <c r="O257" i="34"/>
  <c r="O258" i="34"/>
  <c r="O259" i="34"/>
  <c r="O260" i="34"/>
  <c r="O261" i="34"/>
  <c r="O262" i="34"/>
  <c r="O263" i="34"/>
  <c r="O264" i="34"/>
  <c r="O265" i="34"/>
  <c r="O266" i="34"/>
  <c r="O267" i="34"/>
  <c r="O268" i="34"/>
  <c r="O269" i="34"/>
  <c r="O270" i="34"/>
  <c r="O271" i="34"/>
  <c r="O272" i="34"/>
  <c r="O273" i="34"/>
  <c r="O274" i="34"/>
  <c r="O275" i="34"/>
  <c r="O276" i="34"/>
  <c r="O277" i="34"/>
  <c r="O278" i="34"/>
  <c r="O279" i="34"/>
  <c r="O280" i="34"/>
  <c r="O281" i="34"/>
  <c r="O282" i="34"/>
  <c r="O283" i="34"/>
  <c r="O284" i="34"/>
  <c r="O285" i="34"/>
  <c r="O286" i="34"/>
  <c r="O287" i="34"/>
  <c r="O288" i="34"/>
  <c r="O289" i="34"/>
  <c r="O290" i="34"/>
  <c r="O291" i="34"/>
  <c r="O292" i="34"/>
  <c r="O293" i="34"/>
  <c r="O294" i="34"/>
  <c r="O295" i="34"/>
  <c r="O296" i="34"/>
  <c r="O297" i="34"/>
  <c r="O298" i="34"/>
  <c r="O299" i="34"/>
  <c r="O300" i="34"/>
  <c r="O301" i="34"/>
  <c r="O302" i="34"/>
  <c r="O303" i="34"/>
  <c r="O304" i="34"/>
  <c r="O305" i="34"/>
  <c r="O306" i="34"/>
  <c r="O307" i="34"/>
  <c r="O308" i="34"/>
  <c r="O309" i="34"/>
  <c r="O310" i="34"/>
  <c r="O311" i="34"/>
  <c r="O312" i="34"/>
  <c r="O313" i="34"/>
  <c r="O314" i="34"/>
  <c r="O315" i="34"/>
  <c r="O316" i="34"/>
  <c r="O317" i="34"/>
  <c r="O318" i="34"/>
  <c r="O319" i="34"/>
  <c r="O320" i="34"/>
  <c r="O321" i="34"/>
  <c r="O322" i="34"/>
  <c r="O323" i="34"/>
  <c r="O324" i="34"/>
  <c r="O325" i="34"/>
  <c r="O326" i="34"/>
  <c r="O327" i="34"/>
  <c r="O328" i="34"/>
  <c r="O329" i="34"/>
  <c r="O330" i="34"/>
  <c r="O331" i="34"/>
  <c r="O332" i="34"/>
  <c r="O333" i="34"/>
  <c r="O334" i="34"/>
  <c r="O335" i="34"/>
  <c r="O336" i="34"/>
  <c r="O337" i="34"/>
  <c r="O338" i="34"/>
  <c r="O339" i="34"/>
  <c r="O340" i="34"/>
  <c r="O341" i="34"/>
  <c r="O342" i="34"/>
  <c r="O343" i="34"/>
  <c r="O344" i="34"/>
  <c r="O345" i="34"/>
  <c r="O346" i="34"/>
  <c r="O347" i="34"/>
  <c r="O348" i="34"/>
  <c r="O349" i="34"/>
  <c r="O350" i="34"/>
  <c r="O351" i="34"/>
  <c r="O352" i="34"/>
  <c r="O353" i="34"/>
  <c r="O354" i="34"/>
  <c r="O355" i="34"/>
  <c r="O356" i="34"/>
  <c r="O357" i="34"/>
  <c r="O358" i="34"/>
  <c r="O359" i="34"/>
  <c r="O360" i="34"/>
  <c r="O361" i="34"/>
  <c r="O362" i="34"/>
  <c r="O363" i="34"/>
  <c r="O364" i="34"/>
  <c r="O365" i="34"/>
  <c r="O366" i="34"/>
  <c r="O367" i="34"/>
  <c r="O368" i="34"/>
  <c r="O369" i="34"/>
  <c r="O370" i="34"/>
  <c r="O371" i="34"/>
  <c r="O372" i="34"/>
  <c r="O373" i="34"/>
  <c r="O374" i="34"/>
  <c r="O375" i="34"/>
  <c r="O376" i="34"/>
  <c r="O377" i="34"/>
  <c r="O378" i="34"/>
  <c r="O379" i="34"/>
  <c r="O380" i="34"/>
  <c r="O381" i="34"/>
  <c r="O382" i="34"/>
  <c r="O383" i="34"/>
  <c r="O384" i="34"/>
  <c r="O385" i="34"/>
  <c r="O386" i="34"/>
  <c r="O387" i="34"/>
  <c r="O388" i="34"/>
  <c r="O389" i="34"/>
  <c r="O390" i="34"/>
  <c r="O391" i="34"/>
  <c r="O392" i="34"/>
  <c r="O393" i="34"/>
  <c r="O394" i="34"/>
  <c r="O395" i="34"/>
  <c r="O396" i="34"/>
  <c r="O397" i="34"/>
  <c r="O398" i="34"/>
  <c r="O399" i="34"/>
  <c r="O400" i="34"/>
  <c r="O401" i="34"/>
  <c r="O402" i="34"/>
  <c r="O403" i="34"/>
  <c r="O404" i="34"/>
  <c r="O405" i="34"/>
  <c r="O406" i="34"/>
  <c r="O407" i="34"/>
  <c r="O408" i="34"/>
  <c r="O409" i="34"/>
  <c r="O410" i="34"/>
  <c r="O411" i="34"/>
  <c r="O412" i="34"/>
  <c r="O413" i="34"/>
  <c r="O414" i="34"/>
  <c r="O415" i="34"/>
  <c r="O416" i="34"/>
  <c r="O417" i="34"/>
  <c r="O418" i="34"/>
  <c r="O419" i="34"/>
  <c r="O420" i="34"/>
  <c r="O421" i="34"/>
  <c r="O422" i="34"/>
  <c r="O423" i="34"/>
  <c r="O424" i="34"/>
  <c r="O425" i="34"/>
  <c r="O426" i="34"/>
  <c r="O427" i="34"/>
  <c r="O428" i="34"/>
  <c r="O429" i="34"/>
  <c r="O430" i="34"/>
  <c r="O431" i="34"/>
  <c r="O432" i="34"/>
  <c r="O433" i="34"/>
  <c r="O434" i="34"/>
  <c r="O435" i="34"/>
  <c r="O436" i="34"/>
  <c r="O437" i="34"/>
  <c r="O438" i="34"/>
  <c r="O439" i="34"/>
  <c r="O440" i="34"/>
  <c r="O441" i="34"/>
  <c r="O442" i="34"/>
  <c r="O443" i="34"/>
  <c r="O444" i="34"/>
  <c r="O445" i="34"/>
  <c r="O446" i="34"/>
  <c r="O447" i="34"/>
  <c r="O448" i="34"/>
  <c r="O449" i="34"/>
  <c r="O450" i="34"/>
  <c r="O451" i="34"/>
  <c r="O452" i="34"/>
  <c r="O453" i="34"/>
  <c r="O454" i="34"/>
  <c r="O455" i="34"/>
  <c r="O456" i="34"/>
  <c r="O457" i="34"/>
  <c r="O458" i="34"/>
  <c r="O459" i="34"/>
  <c r="O460" i="34"/>
  <c r="O461" i="34"/>
  <c r="O462" i="34"/>
  <c r="O463" i="34"/>
  <c r="O464" i="34"/>
  <c r="O465" i="34"/>
  <c r="O466" i="34"/>
  <c r="O467" i="34"/>
  <c r="O468" i="34"/>
  <c r="O469" i="34"/>
  <c r="O470" i="34"/>
  <c r="O471" i="34"/>
  <c r="O472" i="34"/>
  <c r="O473" i="34"/>
  <c r="O474" i="34"/>
  <c r="O475" i="34"/>
  <c r="O476" i="34"/>
  <c r="O477" i="34"/>
  <c r="O478" i="34"/>
  <c r="O479" i="34"/>
  <c r="O480" i="34"/>
  <c r="O481" i="34"/>
  <c r="O482" i="34"/>
  <c r="O483" i="34"/>
  <c r="O484" i="34"/>
  <c r="O485" i="34"/>
  <c r="O486" i="34"/>
  <c r="O487" i="34"/>
  <c r="O488" i="34"/>
  <c r="O489" i="34"/>
  <c r="O490" i="34"/>
  <c r="O491" i="34"/>
  <c r="O492" i="34"/>
  <c r="O493" i="34"/>
  <c r="O494" i="34"/>
  <c r="O495" i="34"/>
  <c r="O496" i="34"/>
  <c r="O497" i="34"/>
  <c r="O498" i="34"/>
  <c r="O499" i="34"/>
  <c r="O500" i="34"/>
  <c r="O501" i="34"/>
  <c r="O502" i="34"/>
  <c r="O503" i="34"/>
  <c r="O504" i="34"/>
  <c r="O505" i="34"/>
  <c r="O506" i="34"/>
  <c r="O507" i="34"/>
  <c r="O508" i="34"/>
  <c r="O509" i="34"/>
  <c r="O510" i="34"/>
  <c r="O511" i="34"/>
  <c r="O512" i="34"/>
  <c r="O513" i="34"/>
  <c r="O514" i="34"/>
  <c r="O515" i="34"/>
  <c r="O516" i="34"/>
  <c r="O517" i="34"/>
  <c r="O518" i="34"/>
  <c r="O519" i="34"/>
  <c r="O520" i="34"/>
  <c r="O521" i="34"/>
  <c r="O522" i="34"/>
  <c r="O523" i="34"/>
  <c r="O524" i="34"/>
  <c r="O525" i="34"/>
  <c r="O526" i="34"/>
  <c r="O527" i="34"/>
  <c r="O528" i="34"/>
  <c r="O529" i="34"/>
  <c r="O530" i="34"/>
  <c r="O531" i="34"/>
  <c r="O532" i="34"/>
  <c r="O533" i="34"/>
  <c r="O534" i="34"/>
  <c r="O535" i="34"/>
  <c r="O536" i="34"/>
  <c r="O537" i="34"/>
  <c r="O538" i="34"/>
  <c r="O539" i="34"/>
  <c r="O540" i="34"/>
  <c r="O541" i="34"/>
  <c r="O542" i="34"/>
  <c r="O543" i="34"/>
  <c r="O544" i="34"/>
  <c r="O545" i="34"/>
  <c r="O546" i="34"/>
  <c r="O547" i="34"/>
  <c r="O548" i="34"/>
  <c r="O549" i="34"/>
  <c r="O550" i="34"/>
  <c r="O551" i="34"/>
  <c r="O552" i="34"/>
  <c r="O553" i="34"/>
  <c r="O554" i="34"/>
  <c r="O555" i="34"/>
  <c r="O556" i="34"/>
  <c r="O557" i="34"/>
  <c r="O558" i="34"/>
  <c r="O559" i="34"/>
  <c r="O560" i="34"/>
  <c r="O561" i="34"/>
  <c r="O562" i="34"/>
  <c r="O563" i="34"/>
  <c r="O564" i="34"/>
  <c r="O565" i="34"/>
  <c r="O566" i="34"/>
  <c r="O567" i="34"/>
  <c r="O568" i="34"/>
  <c r="O569" i="34"/>
  <c r="O570" i="34"/>
  <c r="O571" i="34"/>
  <c r="O572" i="34"/>
  <c r="O573" i="34"/>
  <c r="O574" i="34"/>
  <c r="O575" i="34"/>
  <c r="O576" i="34"/>
  <c r="O577" i="34"/>
  <c r="O578" i="34"/>
  <c r="O579" i="34"/>
  <c r="O580" i="34"/>
  <c r="O581" i="34"/>
  <c r="O582" i="34"/>
  <c r="O583" i="34"/>
  <c r="O584" i="34"/>
  <c r="O585" i="34"/>
  <c r="O586" i="34"/>
  <c r="O587" i="34"/>
  <c r="O588" i="34"/>
  <c r="O589" i="34"/>
  <c r="O590" i="34"/>
  <c r="O591" i="34"/>
  <c r="O592" i="34"/>
  <c r="O593" i="34"/>
  <c r="O594" i="34"/>
  <c r="O595" i="34"/>
  <c r="O596" i="34"/>
  <c r="O597" i="34"/>
  <c r="O598" i="34"/>
  <c r="O599" i="34"/>
  <c r="O600" i="34"/>
  <c r="O601" i="34"/>
  <c r="O602" i="34"/>
  <c r="O603" i="34"/>
  <c r="O604" i="34"/>
  <c r="O605" i="34"/>
  <c r="O606" i="34"/>
  <c r="O607" i="34"/>
  <c r="O608" i="34"/>
  <c r="O609" i="34"/>
  <c r="O610" i="34"/>
  <c r="O611" i="34"/>
  <c r="O612" i="34"/>
  <c r="O613" i="34"/>
  <c r="O614" i="34"/>
  <c r="O615" i="34"/>
  <c r="O616" i="34"/>
  <c r="O617" i="34"/>
  <c r="O618" i="34"/>
  <c r="O619" i="34"/>
  <c r="O620" i="34"/>
  <c r="O621" i="34"/>
  <c r="O622" i="34"/>
  <c r="O623" i="34"/>
  <c r="O624" i="34"/>
  <c r="O625" i="34"/>
  <c r="O626" i="34"/>
  <c r="O627" i="34"/>
  <c r="O628" i="34"/>
  <c r="O629" i="34"/>
  <c r="O630" i="34"/>
  <c r="O631" i="34"/>
  <c r="O632" i="34"/>
  <c r="O633" i="34"/>
  <c r="O634" i="34"/>
  <c r="O635" i="34"/>
  <c r="O636" i="34"/>
  <c r="O637" i="34"/>
  <c r="O638" i="34"/>
  <c r="O639" i="34"/>
  <c r="O640" i="34"/>
  <c r="O641" i="34"/>
  <c r="O642" i="34"/>
  <c r="O643" i="34"/>
  <c r="O644" i="34"/>
  <c r="O645" i="34"/>
  <c r="O646" i="34"/>
  <c r="O647" i="34"/>
  <c r="O648" i="34"/>
  <c r="O649" i="34"/>
  <c r="O650" i="34"/>
  <c r="O651" i="34"/>
  <c r="O652" i="34"/>
  <c r="O653" i="34"/>
  <c r="O654" i="34"/>
  <c r="O655" i="34"/>
  <c r="O656" i="34"/>
  <c r="O657" i="34"/>
  <c r="O658" i="34"/>
  <c r="O659" i="34"/>
  <c r="O660" i="34"/>
  <c r="O661" i="34"/>
  <c r="O662" i="34"/>
  <c r="O663" i="34"/>
  <c r="O664" i="34"/>
  <c r="O665" i="34"/>
  <c r="O666" i="34"/>
  <c r="O667" i="34"/>
  <c r="O668" i="34"/>
  <c r="O669" i="34"/>
  <c r="O670" i="34"/>
  <c r="O671" i="34"/>
  <c r="O672" i="34"/>
  <c r="O673" i="34"/>
  <c r="O674" i="34"/>
  <c r="O675" i="34"/>
  <c r="O676" i="34"/>
  <c r="O677" i="34"/>
  <c r="O678" i="34"/>
  <c r="O679" i="34"/>
  <c r="O680" i="34"/>
  <c r="O681" i="34"/>
  <c r="O682" i="34"/>
  <c r="O683" i="34"/>
  <c r="O684" i="34"/>
  <c r="O685" i="34"/>
  <c r="O686" i="34"/>
  <c r="O687" i="34"/>
  <c r="O688" i="34"/>
  <c r="O689" i="34"/>
  <c r="O690" i="34"/>
  <c r="O691" i="34"/>
  <c r="O692" i="34"/>
  <c r="O693" i="34"/>
  <c r="O694" i="34"/>
  <c r="O695" i="34"/>
  <c r="O696" i="34"/>
  <c r="O697" i="34"/>
  <c r="O698" i="34"/>
  <c r="O699" i="34"/>
  <c r="O700" i="34"/>
  <c r="O701" i="34"/>
  <c r="O702" i="34"/>
  <c r="O703" i="34"/>
  <c r="O704" i="34"/>
  <c r="O705" i="34"/>
  <c r="O706" i="34"/>
  <c r="O707" i="34"/>
  <c r="O708" i="34"/>
  <c r="O709" i="34"/>
  <c r="O710" i="34"/>
  <c r="O711" i="34"/>
  <c r="O712" i="34"/>
  <c r="O713" i="34"/>
  <c r="O714" i="34"/>
  <c r="O715" i="34"/>
  <c r="O716" i="34"/>
  <c r="O717" i="34"/>
  <c r="O718" i="34"/>
  <c r="O719" i="34"/>
  <c r="O720" i="34"/>
  <c r="O721" i="34"/>
  <c r="O722" i="34"/>
  <c r="O723" i="34"/>
  <c r="O724" i="34"/>
  <c r="O725" i="34"/>
  <c r="O726" i="34"/>
  <c r="O727" i="34"/>
  <c r="O728" i="34"/>
  <c r="O729" i="34"/>
  <c r="O730" i="34"/>
  <c r="O731" i="34"/>
  <c r="O732" i="34"/>
  <c r="O733" i="34"/>
  <c r="O734" i="34"/>
  <c r="O735" i="34"/>
  <c r="O736" i="34"/>
  <c r="O737" i="34"/>
  <c r="O738" i="34"/>
  <c r="O739" i="34"/>
  <c r="O740" i="34"/>
  <c r="O741" i="34"/>
  <c r="O742" i="34"/>
  <c r="O743" i="34"/>
  <c r="O744" i="34"/>
  <c r="O745" i="34"/>
  <c r="O746" i="34"/>
  <c r="O747" i="34"/>
  <c r="O748" i="34"/>
  <c r="O749" i="34"/>
  <c r="O750" i="34"/>
  <c r="O751" i="34"/>
  <c r="O752" i="34"/>
  <c r="O753" i="34"/>
  <c r="O754" i="34"/>
  <c r="O755" i="34"/>
  <c r="O756" i="34"/>
  <c r="O757" i="34"/>
  <c r="O758" i="34"/>
  <c r="O759" i="34"/>
  <c r="O760" i="34"/>
  <c r="O761" i="34"/>
  <c r="O762" i="34"/>
  <c r="O763" i="34"/>
  <c r="O764" i="34"/>
  <c r="O765" i="34"/>
  <c r="O766" i="34"/>
  <c r="O767" i="34"/>
  <c r="O768" i="34"/>
  <c r="O769" i="34"/>
  <c r="O770" i="34"/>
  <c r="O771" i="34"/>
  <c r="O772" i="34"/>
  <c r="O773" i="34"/>
  <c r="O774" i="34"/>
  <c r="O775" i="34"/>
  <c r="O776" i="34"/>
  <c r="O777" i="34"/>
  <c r="O778" i="34"/>
  <c r="O779" i="34"/>
  <c r="O780" i="34"/>
  <c r="O781" i="34"/>
  <c r="O782" i="34"/>
  <c r="O783" i="34"/>
  <c r="O784" i="34"/>
  <c r="O785" i="34"/>
  <c r="O786" i="34"/>
  <c r="O787" i="34"/>
  <c r="O788" i="34"/>
  <c r="O789" i="34"/>
  <c r="O790" i="34"/>
  <c r="O791" i="34"/>
  <c r="O792" i="34"/>
  <c r="O793" i="34"/>
  <c r="O794" i="34"/>
  <c r="O795" i="34"/>
  <c r="O796" i="34"/>
  <c r="O797" i="34"/>
  <c r="O798" i="34"/>
  <c r="O799" i="34"/>
  <c r="O800" i="34"/>
  <c r="O801" i="34"/>
  <c r="O802" i="34"/>
  <c r="O803" i="34"/>
  <c r="O804" i="34"/>
  <c r="O805" i="34"/>
  <c r="O806" i="34"/>
  <c r="O807" i="34"/>
  <c r="O808" i="34"/>
  <c r="O809" i="34"/>
  <c r="O810" i="34"/>
  <c r="O811" i="34"/>
  <c r="O812" i="34"/>
  <c r="O813" i="34"/>
  <c r="O814" i="34"/>
  <c r="O815" i="34"/>
  <c r="O816" i="34"/>
  <c r="O817" i="34"/>
  <c r="O818" i="34"/>
  <c r="O819" i="34"/>
  <c r="O820" i="34"/>
  <c r="O821" i="34"/>
  <c r="O822" i="34"/>
  <c r="O823" i="34"/>
  <c r="O824" i="34"/>
  <c r="O825" i="34"/>
  <c r="O826" i="34"/>
  <c r="O827" i="34"/>
  <c r="O828" i="34"/>
  <c r="O829" i="34"/>
  <c r="O830" i="34"/>
  <c r="O831" i="34"/>
  <c r="O832" i="34"/>
  <c r="O833" i="34"/>
  <c r="O834" i="34"/>
  <c r="O835" i="34"/>
  <c r="O836" i="34"/>
  <c r="O837" i="34"/>
  <c r="O838" i="34"/>
  <c r="O839" i="34"/>
  <c r="O840" i="34"/>
  <c r="O841" i="34"/>
  <c r="O842" i="34"/>
  <c r="O843" i="34"/>
  <c r="O844" i="34"/>
  <c r="O845" i="34"/>
  <c r="O846" i="34"/>
  <c r="O847" i="34"/>
  <c r="O848" i="34"/>
  <c r="O849" i="34"/>
  <c r="O850" i="34"/>
  <c r="O851" i="34"/>
  <c r="O852" i="34"/>
  <c r="O853" i="34"/>
  <c r="O854" i="34"/>
  <c r="O855" i="34"/>
  <c r="O856" i="34"/>
  <c r="O857" i="34"/>
  <c r="O858" i="34"/>
  <c r="O859" i="34"/>
  <c r="O860" i="34"/>
  <c r="O861" i="34"/>
  <c r="O862" i="34"/>
  <c r="O863" i="34"/>
  <c r="O864" i="34"/>
  <c r="O865" i="34"/>
  <c r="O866" i="34"/>
  <c r="O867" i="34"/>
  <c r="O868" i="34"/>
  <c r="O869" i="34"/>
  <c r="O870" i="34"/>
  <c r="O871" i="34"/>
  <c r="O872" i="34"/>
  <c r="O873" i="34"/>
  <c r="O874" i="34"/>
  <c r="O875" i="34"/>
  <c r="O876" i="34"/>
  <c r="O877" i="34"/>
  <c r="O878" i="34"/>
  <c r="O879" i="34"/>
  <c r="O880" i="34"/>
  <c r="O881" i="34"/>
  <c r="O882" i="34"/>
  <c r="O883" i="34"/>
  <c r="O884" i="34"/>
  <c r="O885" i="34"/>
  <c r="O886" i="34"/>
  <c r="O887" i="34"/>
  <c r="O888" i="34"/>
  <c r="O889" i="34"/>
  <c r="O890" i="34"/>
  <c r="O891" i="34"/>
  <c r="O892" i="34"/>
  <c r="O893" i="34"/>
  <c r="O894" i="34"/>
  <c r="O895" i="34"/>
  <c r="O896" i="34"/>
  <c r="O897" i="34"/>
  <c r="O898" i="34"/>
  <c r="O899" i="34"/>
  <c r="O900" i="34"/>
  <c r="O901" i="34"/>
  <c r="O902" i="34"/>
  <c r="O903" i="34"/>
  <c r="O904" i="34"/>
  <c r="O905" i="34"/>
  <c r="O906" i="34"/>
  <c r="O907" i="34"/>
  <c r="O908" i="34"/>
  <c r="O909" i="34"/>
  <c r="O910" i="34"/>
  <c r="O911" i="34"/>
  <c r="O912" i="34"/>
  <c r="O913" i="34"/>
  <c r="O914" i="34"/>
  <c r="O915" i="34"/>
  <c r="O916" i="34"/>
  <c r="O917" i="34"/>
  <c r="O918" i="34"/>
  <c r="O919" i="34"/>
  <c r="O920" i="34"/>
  <c r="O921" i="34"/>
  <c r="O922" i="34"/>
  <c r="O923" i="34"/>
  <c r="O924" i="34"/>
  <c r="O925" i="34"/>
  <c r="O926" i="34"/>
  <c r="O927" i="34"/>
  <c r="O928" i="34"/>
  <c r="O929" i="34"/>
  <c r="O930" i="34"/>
  <c r="O931" i="34"/>
  <c r="O932" i="34"/>
  <c r="O933" i="34"/>
  <c r="O934" i="34"/>
  <c r="O935" i="34"/>
  <c r="O936" i="34"/>
  <c r="O937" i="34"/>
  <c r="O938" i="34"/>
  <c r="O939" i="34"/>
  <c r="O940" i="34"/>
  <c r="O941" i="34"/>
  <c r="O942" i="34"/>
  <c r="O943" i="34"/>
  <c r="O944" i="34"/>
  <c r="O945" i="34"/>
  <c r="O946" i="34"/>
  <c r="O947" i="34"/>
  <c r="O948" i="34"/>
  <c r="O949" i="34"/>
  <c r="O950" i="34"/>
  <c r="O951" i="34"/>
  <c r="O952" i="34"/>
  <c r="O953" i="34"/>
  <c r="O954" i="34"/>
  <c r="O955" i="34"/>
  <c r="O956" i="34"/>
  <c r="O957" i="34"/>
  <c r="O958" i="34"/>
  <c r="O959" i="34"/>
  <c r="O960" i="34"/>
  <c r="O961" i="34"/>
  <c r="O962" i="34"/>
  <c r="O963" i="34"/>
  <c r="O964" i="34"/>
  <c r="O965" i="34"/>
  <c r="O966" i="34"/>
  <c r="O967" i="34"/>
  <c r="O968" i="34"/>
  <c r="O969" i="34"/>
  <c r="O970" i="34"/>
  <c r="O971" i="34"/>
  <c r="O972" i="34"/>
  <c r="O973" i="34"/>
  <c r="O974" i="34"/>
  <c r="O975" i="34"/>
  <c r="O976" i="34"/>
  <c r="O977" i="34"/>
  <c r="O978" i="34"/>
  <c r="O979" i="34"/>
  <c r="O980" i="34"/>
  <c r="O981" i="34"/>
  <c r="O982" i="34"/>
  <c r="O983" i="34"/>
  <c r="O984" i="34"/>
  <c r="O985" i="34"/>
  <c r="O986" i="34"/>
  <c r="O987" i="34"/>
  <c r="O988" i="34"/>
  <c r="O989" i="34"/>
  <c r="O990" i="34"/>
  <c r="O991" i="34"/>
  <c r="O992" i="34"/>
  <c r="O993" i="34"/>
  <c r="O994" i="34"/>
  <c r="O995" i="34"/>
  <c r="O996" i="34"/>
  <c r="O997" i="34"/>
  <c r="O998" i="34"/>
  <c r="O999" i="34"/>
  <c r="O1000" i="34"/>
  <c r="O1001" i="34"/>
  <c r="O1002" i="34"/>
  <c r="O1003" i="34"/>
  <c r="O1004" i="34"/>
  <c r="O1005" i="34"/>
  <c r="O1006" i="34"/>
  <c r="O1007" i="34"/>
  <c r="O1008" i="34"/>
  <c r="O1009" i="34"/>
  <c r="O1010" i="34"/>
  <c r="O1011" i="34"/>
  <c r="O1012" i="34"/>
  <c r="O1013" i="34"/>
  <c r="O1014" i="34"/>
  <c r="O1015" i="34"/>
  <c r="O1016" i="34"/>
  <c r="O1017" i="34"/>
  <c r="O1018" i="34"/>
  <c r="O1019" i="34"/>
  <c r="O1020" i="34"/>
  <c r="O1021" i="34"/>
  <c r="O1022" i="34"/>
  <c r="O1023" i="34"/>
  <c r="O1024" i="34"/>
  <c r="O1025" i="34"/>
  <c r="O1026" i="34"/>
  <c r="O1027" i="34"/>
  <c r="O1028" i="34"/>
  <c r="O1029" i="34"/>
  <c r="O1030" i="34"/>
  <c r="O1031" i="34"/>
  <c r="O1032" i="34"/>
  <c r="O1033" i="34"/>
  <c r="O1034" i="34"/>
  <c r="O1035" i="34"/>
  <c r="O1036" i="34"/>
  <c r="O1037" i="34"/>
  <c r="O1038" i="34"/>
  <c r="O1039" i="34"/>
  <c r="O1040" i="34"/>
  <c r="O1041" i="34"/>
  <c r="O1042" i="34"/>
  <c r="O1043" i="34"/>
  <c r="O1044" i="34"/>
  <c r="O1045" i="34"/>
  <c r="O1046" i="34"/>
  <c r="O1047" i="34"/>
  <c r="O1048" i="34"/>
  <c r="O1049" i="34"/>
  <c r="O1050" i="34"/>
  <c r="O1051" i="34"/>
  <c r="O1052" i="34"/>
  <c r="O1053" i="34"/>
  <c r="O1054" i="34"/>
  <c r="O1055" i="34"/>
  <c r="O1056" i="34"/>
  <c r="O1057" i="34"/>
  <c r="O1058" i="34"/>
  <c r="O1059" i="34"/>
  <c r="O1060" i="34"/>
  <c r="O1061" i="34"/>
  <c r="O1062" i="34"/>
  <c r="O1063" i="34"/>
  <c r="O1064" i="34"/>
  <c r="O1065" i="34"/>
  <c r="O1066" i="34"/>
  <c r="O1067" i="34"/>
  <c r="O1068" i="34"/>
  <c r="O1069" i="34"/>
  <c r="O1070" i="34"/>
  <c r="O1071" i="34"/>
  <c r="O1072" i="34"/>
  <c r="O1073" i="34"/>
  <c r="O1074" i="34"/>
  <c r="O1075" i="34"/>
  <c r="O1076" i="34"/>
  <c r="O1077" i="34"/>
  <c r="O1078" i="34"/>
  <c r="O1079" i="34"/>
  <c r="O1080" i="34"/>
  <c r="O1081" i="34"/>
  <c r="O1082" i="34"/>
  <c r="O1083" i="34"/>
  <c r="O1084" i="34"/>
  <c r="O1085" i="34"/>
  <c r="O1086" i="34"/>
  <c r="O1087" i="34"/>
  <c r="O1088" i="34"/>
  <c r="O1089" i="34"/>
  <c r="O1090" i="34"/>
  <c r="O1091" i="34"/>
  <c r="O1092" i="34"/>
  <c r="O1093" i="34"/>
  <c r="O1094" i="34"/>
  <c r="O1095" i="34"/>
  <c r="O1096" i="34"/>
  <c r="O1097" i="34"/>
  <c r="O1098" i="34"/>
  <c r="O1099" i="34"/>
  <c r="O1100" i="34"/>
  <c r="O1101" i="34"/>
  <c r="O1102" i="34"/>
  <c r="O1103" i="34"/>
  <c r="O1104" i="34"/>
  <c r="O1105" i="34"/>
  <c r="O1106" i="34"/>
  <c r="O1107" i="34"/>
  <c r="O1108" i="34"/>
  <c r="O1109" i="34"/>
  <c r="O1110" i="34"/>
  <c r="O1111" i="34"/>
  <c r="O1112" i="34"/>
  <c r="O1113" i="34"/>
  <c r="O1114" i="34"/>
  <c r="O1115" i="34"/>
  <c r="O1116" i="34"/>
  <c r="O1117" i="34"/>
  <c r="O1118" i="34"/>
  <c r="O1119" i="34"/>
  <c r="O1120" i="34"/>
  <c r="O1121" i="34"/>
  <c r="O1122" i="34"/>
  <c r="O1123" i="34"/>
  <c r="O1124" i="34"/>
  <c r="O1125" i="34"/>
  <c r="O1126" i="34"/>
  <c r="O1127" i="34"/>
  <c r="O1128" i="34"/>
  <c r="O1129" i="34"/>
  <c r="O1130" i="34"/>
  <c r="O1131" i="34"/>
  <c r="O1132" i="34"/>
  <c r="O1133" i="34"/>
  <c r="O1134" i="34"/>
  <c r="O1135" i="34"/>
  <c r="O1136" i="34"/>
  <c r="O1137" i="34"/>
  <c r="O1138" i="34"/>
  <c r="O1139" i="34"/>
  <c r="O1140" i="34"/>
  <c r="O1141" i="34"/>
  <c r="O1142" i="34"/>
  <c r="O1143" i="34"/>
  <c r="O1144" i="34"/>
  <c r="O1145" i="34"/>
  <c r="O1146" i="34"/>
  <c r="O1147" i="34"/>
  <c r="O1148" i="34"/>
  <c r="O1149" i="34"/>
  <c r="O1150" i="34"/>
  <c r="O1151" i="34"/>
  <c r="O1152" i="34"/>
  <c r="O1153" i="34"/>
  <c r="O1154" i="34"/>
  <c r="O1155" i="34"/>
  <c r="O1156" i="34"/>
  <c r="O1157" i="34"/>
  <c r="O1158" i="34"/>
  <c r="O1159" i="34"/>
  <c r="O1160" i="34"/>
  <c r="O1161" i="34"/>
  <c r="O1162" i="34"/>
  <c r="O1163" i="34"/>
  <c r="O1164" i="34"/>
  <c r="O1165" i="34"/>
  <c r="O1166" i="34"/>
  <c r="O1167" i="34"/>
  <c r="O1168" i="34"/>
  <c r="O1169" i="34"/>
  <c r="O1170" i="34"/>
  <c r="O1171" i="34"/>
  <c r="O1172" i="34"/>
  <c r="O1173" i="34"/>
  <c r="O1174" i="34"/>
  <c r="O1175" i="34"/>
  <c r="O1176" i="34"/>
  <c r="O1177" i="34"/>
  <c r="O1178" i="34"/>
  <c r="O1179" i="34"/>
  <c r="O1180" i="34"/>
  <c r="O1181" i="34"/>
  <c r="O1182" i="34"/>
  <c r="O1183" i="34"/>
  <c r="O1184" i="34"/>
  <c r="O1185" i="34"/>
  <c r="O1186" i="34"/>
  <c r="O1187" i="34"/>
  <c r="O1188" i="34"/>
  <c r="O1189" i="34"/>
  <c r="O1190" i="34"/>
  <c r="O1191" i="34"/>
  <c r="O1192" i="34"/>
  <c r="O1193" i="34"/>
  <c r="O1194" i="34"/>
  <c r="O1195" i="34"/>
  <c r="O1196" i="34"/>
  <c r="O1197" i="34"/>
  <c r="O1198" i="34"/>
  <c r="O1199" i="34"/>
  <c r="O1200" i="34"/>
  <c r="O1201" i="34"/>
  <c r="O1202" i="34"/>
  <c r="O1203" i="34"/>
  <c r="O1204" i="34"/>
  <c r="O1205" i="34"/>
  <c r="O1206" i="34"/>
  <c r="O1207" i="34"/>
  <c r="O1208" i="34"/>
  <c r="O1209" i="34"/>
  <c r="O1210" i="34"/>
  <c r="O1211" i="34"/>
  <c r="O1212" i="34"/>
  <c r="O1213" i="34"/>
  <c r="O1214" i="34"/>
  <c r="O1215" i="34"/>
  <c r="O1216" i="34"/>
  <c r="O1217" i="34"/>
  <c r="O1218" i="34"/>
  <c r="O1219" i="34"/>
  <c r="O1220" i="34"/>
  <c r="O1221" i="34"/>
  <c r="O1222" i="34"/>
  <c r="O1223" i="34"/>
  <c r="O1224" i="34"/>
  <c r="O1225" i="34"/>
  <c r="O1226" i="34"/>
  <c r="O1227" i="34"/>
  <c r="O1228" i="34"/>
  <c r="O1229" i="34"/>
  <c r="O1230" i="34"/>
  <c r="O1231" i="34"/>
  <c r="O1232" i="34"/>
  <c r="O1233" i="34"/>
  <c r="O1234" i="34"/>
  <c r="O1235" i="34"/>
  <c r="O1236" i="34"/>
  <c r="O1237" i="34"/>
  <c r="O1238" i="34"/>
  <c r="O1239" i="34"/>
  <c r="O1240" i="34"/>
  <c r="O1241" i="34"/>
  <c r="O1242" i="34"/>
  <c r="O1243" i="34"/>
  <c r="O1244" i="34"/>
  <c r="O1245" i="34"/>
  <c r="O1246" i="34"/>
  <c r="O1247" i="34"/>
  <c r="O1248" i="34"/>
  <c r="O1249" i="34"/>
  <c r="O1250" i="34"/>
  <c r="O1251" i="34"/>
  <c r="O1252" i="34"/>
  <c r="O1253" i="34"/>
  <c r="O1254" i="34"/>
  <c r="O1255" i="34"/>
  <c r="O1256" i="34"/>
  <c r="O1257" i="34"/>
  <c r="O1258" i="34"/>
  <c r="O1259" i="34"/>
  <c r="O1260" i="34"/>
  <c r="O1261" i="34"/>
  <c r="O1262" i="34"/>
  <c r="O1263" i="34"/>
  <c r="O1264" i="34"/>
  <c r="O1265" i="34"/>
  <c r="O1266" i="34"/>
  <c r="O1267" i="34"/>
  <c r="O1268" i="34"/>
  <c r="O1269" i="34"/>
  <c r="O1270" i="34"/>
  <c r="O1271" i="34"/>
  <c r="O1272" i="34"/>
  <c r="O1273" i="34"/>
  <c r="O1274" i="34"/>
  <c r="O1275" i="34"/>
  <c r="O1276" i="34"/>
  <c r="O1277" i="34"/>
  <c r="O1278" i="34"/>
  <c r="O1279" i="34"/>
  <c r="O1280" i="34"/>
  <c r="O1281" i="34"/>
  <c r="O1282" i="34"/>
  <c r="O1283" i="34"/>
  <c r="O1284" i="34"/>
  <c r="O1285" i="34"/>
  <c r="O1286" i="34"/>
  <c r="O1287" i="34"/>
  <c r="O1288" i="34"/>
  <c r="O1289" i="34"/>
  <c r="O1290" i="34"/>
  <c r="O1291" i="34"/>
  <c r="O1292" i="34"/>
  <c r="O1293" i="34"/>
  <c r="O1294" i="34"/>
  <c r="O1295" i="34"/>
  <c r="O1296" i="34"/>
  <c r="O1297" i="34"/>
  <c r="O1298" i="34"/>
  <c r="O1299" i="34"/>
  <c r="O1300" i="34"/>
  <c r="O1301" i="34"/>
  <c r="O1302" i="34"/>
  <c r="O1303" i="34"/>
  <c r="O1304" i="34"/>
  <c r="O1305" i="34"/>
  <c r="O1306" i="34"/>
  <c r="O1307" i="34"/>
  <c r="O1308" i="34"/>
  <c r="O1309" i="34"/>
  <c r="O1310" i="34"/>
  <c r="O1311" i="34"/>
  <c r="O1312" i="34"/>
  <c r="O1313" i="34"/>
  <c r="O1314" i="34"/>
  <c r="O1315" i="34"/>
  <c r="O1316" i="34"/>
  <c r="O1317" i="34"/>
  <c r="O1318" i="34"/>
  <c r="O1319" i="34"/>
  <c r="O1320" i="34"/>
  <c r="O1321" i="34"/>
  <c r="O1322" i="34"/>
  <c r="O1323" i="34"/>
  <c r="O1324" i="34"/>
  <c r="O1325" i="34"/>
  <c r="O1326" i="34"/>
  <c r="O1327" i="34"/>
  <c r="O1328" i="34"/>
  <c r="O1329" i="34"/>
  <c r="O1330" i="34"/>
  <c r="O1331" i="34"/>
  <c r="O1332" i="34"/>
  <c r="O1333" i="34"/>
  <c r="O1334" i="34"/>
  <c r="O1335" i="34"/>
  <c r="O1336" i="34"/>
  <c r="O1337" i="34"/>
  <c r="O1338" i="34"/>
  <c r="O1339" i="34"/>
  <c r="O1340" i="34"/>
  <c r="O1341" i="34"/>
  <c r="O1342" i="34"/>
  <c r="O1343" i="34"/>
  <c r="O1344" i="34"/>
  <c r="O1345" i="34"/>
  <c r="O1346" i="34"/>
  <c r="O1347" i="34"/>
  <c r="O1348" i="34"/>
  <c r="O1349" i="34"/>
  <c r="O1350" i="34"/>
  <c r="O1351" i="34"/>
  <c r="O1352" i="34"/>
  <c r="O1353" i="34"/>
  <c r="O1354" i="34"/>
  <c r="O1355" i="34"/>
  <c r="O1356" i="34"/>
  <c r="O1357" i="34"/>
  <c r="O1358" i="34"/>
  <c r="O1359" i="34"/>
  <c r="O1360" i="34"/>
  <c r="O1361" i="34"/>
  <c r="O1362" i="34"/>
  <c r="O1363" i="34"/>
  <c r="O1364" i="34"/>
  <c r="O1365" i="34"/>
  <c r="O1366" i="34"/>
  <c r="O1367" i="34"/>
  <c r="O1368" i="34"/>
  <c r="O1369" i="34"/>
  <c r="O1370" i="34"/>
  <c r="O1371" i="34"/>
  <c r="O1372" i="34"/>
  <c r="O1373" i="34"/>
  <c r="O1374" i="34"/>
  <c r="O1375" i="34"/>
  <c r="O1376" i="34"/>
  <c r="O1377" i="34"/>
  <c r="O1378" i="34"/>
  <c r="O1379" i="34"/>
  <c r="O1380" i="34"/>
  <c r="O1381" i="34"/>
  <c r="O1382" i="34"/>
  <c r="O1383" i="34"/>
  <c r="O1384" i="34"/>
  <c r="O1385" i="34"/>
  <c r="O1386" i="34"/>
  <c r="O1387" i="34"/>
  <c r="O1388" i="34"/>
  <c r="O1389" i="34"/>
  <c r="O1390" i="34"/>
  <c r="O1391" i="34"/>
  <c r="O1392" i="34"/>
  <c r="O1393" i="34"/>
  <c r="O1394" i="34"/>
  <c r="O1395" i="34"/>
  <c r="O1396" i="34"/>
  <c r="O1397" i="34"/>
  <c r="O1398" i="34"/>
  <c r="O1399" i="34"/>
  <c r="O1400" i="34"/>
  <c r="O1401" i="34"/>
  <c r="O1402" i="34"/>
  <c r="O1403" i="34"/>
  <c r="O1404" i="34"/>
  <c r="O1405" i="34"/>
  <c r="O1406" i="34"/>
  <c r="O1407" i="34"/>
  <c r="O1408" i="34"/>
  <c r="O1409" i="34"/>
  <c r="O1410" i="34"/>
  <c r="O1411" i="34"/>
  <c r="O1412" i="34"/>
  <c r="O1413" i="34"/>
  <c r="O1414" i="34"/>
  <c r="O1415" i="34"/>
  <c r="O1416" i="34"/>
  <c r="O1417" i="34"/>
  <c r="O1418" i="34"/>
  <c r="O1419" i="34"/>
  <c r="O1420" i="34"/>
  <c r="O1421" i="34"/>
  <c r="O1422" i="34"/>
  <c r="O1423" i="34"/>
  <c r="O1424" i="34"/>
  <c r="O1425" i="34"/>
  <c r="O1426" i="34"/>
  <c r="O1427" i="34"/>
  <c r="O1428" i="34"/>
  <c r="O1429" i="34"/>
  <c r="O1430" i="34"/>
  <c r="O1431" i="34"/>
  <c r="O1432" i="34"/>
  <c r="O1433" i="34"/>
  <c r="O1434" i="34"/>
  <c r="O1435" i="34"/>
  <c r="O1436" i="34"/>
  <c r="O1437" i="34"/>
  <c r="O1438" i="34"/>
  <c r="O1439" i="34"/>
  <c r="O1440" i="34"/>
  <c r="O1441" i="34"/>
  <c r="O1442" i="34"/>
  <c r="O1443" i="34"/>
  <c r="O1444" i="34"/>
  <c r="O1445" i="34"/>
  <c r="O1446" i="34"/>
  <c r="O1447" i="34"/>
  <c r="O1448" i="34"/>
  <c r="O1449" i="34"/>
  <c r="O1450" i="34"/>
  <c r="O1451" i="34"/>
  <c r="O1452" i="34"/>
  <c r="O1453" i="34"/>
  <c r="O1454" i="34"/>
  <c r="O1455" i="34"/>
  <c r="O1456" i="34"/>
  <c r="O1457" i="34"/>
  <c r="O1458" i="34"/>
  <c r="O1459" i="34"/>
  <c r="O1460" i="34"/>
  <c r="O1461" i="34"/>
  <c r="O1462" i="34"/>
  <c r="O1463" i="34"/>
  <c r="O1464" i="34"/>
  <c r="O1465" i="34"/>
  <c r="O1466" i="34"/>
  <c r="O1467" i="34"/>
  <c r="O1468" i="34"/>
  <c r="O1469" i="34"/>
  <c r="O1470" i="34"/>
  <c r="O1471" i="34"/>
  <c r="O1472" i="34"/>
  <c r="O1473" i="34"/>
  <c r="O1474" i="34"/>
  <c r="O1475" i="34"/>
  <c r="O1476" i="34"/>
  <c r="O1477" i="34"/>
  <c r="O1478" i="34"/>
  <c r="O1479" i="34"/>
  <c r="O1480" i="34"/>
  <c r="O1481" i="34"/>
  <c r="O1482" i="34"/>
  <c r="O1483" i="34"/>
  <c r="O1484" i="34"/>
  <c r="O1485" i="34"/>
  <c r="O1486" i="34"/>
  <c r="O1487" i="34"/>
  <c r="O1488" i="34"/>
  <c r="O1489" i="34"/>
  <c r="O1490" i="34"/>
  <c r="O1491" i="34"/>
  <c r="O1492" i="34"/>
  <c r="O1493" i="34"/>
  <c r="O1494" i="34"/>
  <c r="O1495" i="34"/>
  <c r="O1496" i="34"/>
  <c r="O1497" i="34"/>
  <c r="O1498" i="34"/>
  <c r="O1499" i="34"/>
  <c r="O1500" i="34"/>
  <c r="O1501" i="34"/>
  <c r="O1502" i="34"/>
  <c r="O1503" i="34"/>
  <c r="O1504" i="34"/>
  <c r="O1505" i="34"/>
  <c r="O1506" i="34"/>
  <c r="O1507" i="34"/>
  <c r="O1508" i="34"/>
  <c r="O1509" i="34"/>
  <c r="O1510" i="34"/>
  <c r="O1511" i="34"/>
  <c r="O1512" i="34"/>
  <c r="O1513" i="34"/>
  <c r="O1514" i="34"/>
  <c r="O1515" i="34"/>
  <c r="O1516" i="34"/>
  <c r="O1517" i="34"/>
  <c r="O1518" i="34"/>
  <c r="O1519" i="34"/>
  <c r="O1520" i="34"/>
  <c r="O1521" i="34"/>
  <c r="O1522" i="34"/>
  <c r="O1523" i="34"/>
  <c r="O1524" i="34"/>
  <c r="O1525" i="34"/>
  <c r="O1526" i="34"/>
  <c r="O1527" i="34"/>
  <c r="O1528" i="34"/>
  <c r="O1529" i="34"/>
  <c r="O1530" i="34"/>
  <c r="O1531" i="34"/>
  <c r="O1532" i="34"/>
  <c r="O1533" i="34"/>
  <c r="O1534" i="34"/>
  <c r="O1535" i="34"/>
  <c r="O1536" i="34"/>
  <c r="O1537" i="34"/>
  <c r="O1538" i="34"/>
  <c r="O1539" i="34"/>
  <c r="O1540" i="34"/>
  <c r="O1541" i="34"/>
  <c r="O1542" i="34"/>
  <c r="O1543" i="34"/>
  <c r="O1544" i="34"/>
  <c r="O1545" i="34"/>
  <c r="O1546" i="34"/>
  <c r="O1547" i="34"/>
  <c r="O1548" i="34"/>
  <c r="O1549" i="34"/>
  <c r="O1550" i="34"/>
  <c r="O1551" i="34"/>
  <c r="O1552" i="34"/>
  <c r="O1553" i="34"/>
  <c r="O1554" i="34"/>
  <c r="O1555" i="34"/>
  <c r="O1556" i="34"/>
  <c r="O1557" i="34"/>
  <c r="O1558" i="34"/>
  <c r="O1559" i="34"/>
  <c r="O1560" i="34"/>
  <c r="O1561" i="34"/>
  <c r="O1562" i="34"/>
  <c r="O1563" i="34"/>
  <c r="O1564" i="34"/>
  <c r="O1565" i="34"/>
  <c r="O1566" i="34"/>
  <c r="O1567" i="34"/>
  <c r="O1568" i="34"/>
  <c r="O1569" i="34"/>
  <c r="O1570" i="34"/>
  <c r="O1571" i="34"/>
  <c r="O1572" i="34"/>
  <c r="O1573" i="34"/>
  <c r="O1574" i="34"/>
  <c r="O1575" i="34"/>
  <c r="O1576" i="34"/>
  <c r="O1577" i="34"/>
  <c r="O1578" i="34"/>
  <c r="O1579" i="34"/>
  <c r="O1580" i="34"/>
  <c r="O1581" i="34"/>
  <c r="O1582" i="34"/>
  <c r="O1583" i="34"/>
  <c r="O1584" i="34"/>
  <c r="O1585" i="34"/>
  <c r="O1586" i="34"/>
  <c r="O1587" i="34"/>
  <c r="O1588" i="34"/>
  <c r="O1589" i="34"/>
  <c r="O1590" i="34"/>
  <c r="O1591" i="34"/>
  <c r="O1592" i="34"/>
  <c r="O1593" i="34"/>
  <c r="O1594" i="34"/>
  <c r="O1595" i="34"/>
  <c r="O1596" i="34"/>
  <c r="O1597" i="34"/>
  <c r="O1598" i="34"/>
  <c r="O1599" i="34"/>
  <c r="O1600" i="34"/>
  <c r="O1601" i="34"/>
  <c r="O1602" i="34"/>
  <c r="O1603" i="34"/>
  <c r="O1604" i="34"/>
  <c r="O1605" i="34"/>
  <c r="O1606" i="34"/>
  <c r="O1607" i="34"/>
  <c r="O1608" i="34"/>
  <c r="O1609" i="34"/>
  <c r="O1610" i="34"/>
  <c r="O1611" i="34"/>
  <c r="O1612" i="34"/>
  <c r="O1613" i="34"/>
  <c r="O1614" i="34"/>
  <c r="O1615" i="34"/>
  <c r="O1616" i="34"/>
  <c r="O1617" i="34"/>
  <c r="O1618" i="34"/>
  <c r="O1619" i="34"/>
  <c r="O1620" i="34"/>
  <c r="O1621" i="34"/>
  <c r="O1622" i="34"/>
  <c r="O1623" i="34"/>
  <c r="O1624" i="34"/>
  <c r="O1625" i="34"/>
  <c r="O1626" i="34"/>
  <c r="O1627" i="34"/>
  <c r="O1628" i="34"/>
  <c r="O1629" i="34"/>
  <c r="O1630" i="34"/>
  <c r="O1631" i="34"/>
  <c r="O1632" i="34"/>
  <c r="O1633" i="34"/>
  <c r="O1634" i="34"/>
  <c r="O1635" i="34"/>
  <c r="O1636" i="34"/>
  <c r="O1637" i="34"/>
  <c r="O1638" i="34"/>
  <c r="O1639" i="34"/>
  <c r="O1640" i="34"/>
  <c r="O1641" i="34"/>
  <c r="O1642" i="34"/>
  <c r="O1643" i="34"/>
  <c r="O1644" i="34"/>
  <c r="O1645" i="34"/>
  <c r="O1646" i="34"/>
  <c r="O1647" i="34"/>
  <c r="O1648" i="34"/>
  <c r="O1649" i="34"/>
  <c r="O1650" i="34"/>
  <c r="O1651" i="34"/>
  <c r="O1652" i="34"/>
  <c r="O1653" i="34"/>
  <c r="O1654" i="34"/>
  <c r="O1655" i="34"/>
  <c r="O1656" i="34"/>
  <c r="O1657" i="34"/>
  <c r="O1658" i="34"/>
  <c r="O1659" i="34"/>
  <c r="O1660" i="34"/>
  <c r="O1661" i="34"/>
  <c r="O1662" i="34"/>
  <c r="O1663" i="34"/>
  <c r="O1664" i="34"/>
  <c r="O1665" i="34"/>
  <c r="O1666" i="34"/>
  <c r="O1667" i="34"/>
  <c r="O1668" i="34"/>
  <c r="O1669" i="34"/>
  <c r="O1670" i="34"/>
  <c r="O1671" i="34"/>
  <c r="O1672" i="34"/>
  <c r="O1673" i="34"/>
  <c r="O1674" i="34"/>
  <c r="O1675" i="34"/>
  <c r="O1676" i="34"/>
  <c r="O1677" i="34"/>
  <c r="O1678" i="34"/>
  <c r="O1679" i="34"/>
  <c r="O1680" i="34"/>
  <c r="O1681" i="34"/>
  <c r="O1682" i="34"/>
  <c r="O1683" i="34"/>
  <c r="O1684" i="34"/>
  <c r="O1685" i="34"/>
  <c r="O1686" i="34"/>
  <c r="O1687" i="34"/>
  <c r="O1688" i="34"/>
  <c r="O1689" i="34"/>
  <c r="O1690" i="34"/>
  <c r="O1691" i="34"/>
  <c r="O1692" i="34"/>
  <c r="O1693" i="34"/>
  <c r="O1694" i="34"/>
  <c r="O1695" i="34"/>
  <c r="O1696" i="34"/>
  <c r="O1697" i="34"/>
  <c r="O1698" i="34"/>
  <c r="O1699" i="34"/>
  <c r="O1700" i="34"/>
  <c r="O1701" i="34"/>
  <c r="O1702" i="34"/>
  <c r="O1703" i="34"/>
  <c r="O1704" i="34"/>
  <c r="O1705" i="34"/>
  <c r="O1706" i="34"/>
  <c r="O1707" i="34"/>
  <c r="O1708" i="34"/>
  <c r="O1709" i="34"/>
  <c r="O1710" i="34"/>
  <c r="O1711" i="34"/>
  <c r="O1712" i="34"/>
  <c r="O1713" i="34"/>
  <c r="O1714" i="34"/>
  <c r="O1715" i="34"/>
  <c r="O1716" i="34"/>
  <c r="O1717" i="34"/>
  <c r="O1718" i="34"/>
  <c r="O1719" i="34"/>
  <c r="O1720" i="34"/>
  <c r="O1721" i="34"/>
  <c r="O1722" i="34"/>
  <c r="O1723" i="34"/>
  <c r="O1724" i="34"/>
  <c r="O1725" i="34"/>
  <c r="O1726" i="34"/>
  <c r="O1727" i="34"/>
  <c r="O1728" i="34"/>
  <c r="O1729" i="34"/>
  <c r="O1730" i="34"/>
  <c r="O1731" i="34"/>
  <c r="O1732" i="34"/>
  <c r="O1733" i="34"/>
  <c r="O1734" i="34"/>
  <c r="O1735" i="34"/>
  <c r="O1736" i="34"/>
  <c r="O1737" i="34"/>
  <c r="O1738" i="34"/>
  <c r="O1739" i="34"/>
  <c r="O1740" i="34"/>
  <c r="O1741" i="34"/>
  <c r="O1742" i="34"/>
  <c r="O1743" i="34"/>
  <c r="O1744" i="34"/>
  <c r="O1745" i="34"/>
  <c r="O1746" i="34"/>
  <c r="O1747" i="34"/>
  <c r="O1748" i="34"/>
  <c r="O1749" i="34"/>
  <c r="O1750" i="34"/>
  <c r="O1751" i="34"/>
  <c r="O1752" i="34"/>
  <c r="O1753" i="34"/>
  <c r="O1754" i="34"/>
  <c r="O1755" i="34"/>
  <c r="O1756" i="34"/>
  <c r="O1757" i="34"/>
  <c r="O1758" i="34"/>
  <c r="O1759" i="34"/>
  <c r="O1760" i="34"/>
  <c r="O1761" i="34"/>
  <c r="O1762" i="34"/>
  <c r="O1763" i="34"/>
  <c r="O1764" i="34"/>
  <c r="O1765" i="34"/>
  <c r="O1766" i="34"/>
  <c r="O1767" i="34"/>
  <c r="O1768" i="34"/>
  <c r="O1769" i="34"/>
  <c r="O1770" i="34"/>
  <c r="O1771" i="34"/>
  <c r="O1772" i="34"/>
  <c r="O1773" i="34"/>
  <c r="O1774" i="34"/>
  <c r="O1775" i="34"/>
  <c r="O1776" i="34"/>
  <c r="O1777" i="34"/>
  <c r="O1778" i="34"/>
  <c r="O1779" i="34"/>
  <c r="O1780" i="34"/>
  <c r="O1781" i="34"/>
  <c r="O1782" i="34"/>
  <c r="O1783" i="34"/>
  <c r="O1784" i="34"/>
  <c r="O1785" i="34"/>
  <c r="O1786" i="34"/>
  <c r="O1787" i="34"/>
  <c r="O1788" i="34"/>
  <c r="O1789" i="34"/>
  <c r="O1790" i="34"/>
  <c r="O1791" i="34"/>
  <c r="O1792" i="34"/>
  <c r="O1793" i="34"/>
  <c r="O1794" i="34"/>
  <c r="O1795" i="34"/>
  <c r="O1796" i="34"/>
  <c r="O1797" i="34"/>
  <c r="O1798" i="34"/>
  <c r="O1799" i="34"/>
  <c r="O1800" i="34"/>
  <c r="O1801" i="34"/>
  <c r="O1802" i="34"/>
  <c r="O1803" i="34"/>
  <c r="O1804" i="34"/>
  <c r="O1805" i="34"/>
  <c r="O1806" i="34"/>
  <c r="O1807" i="34"/>
  <c r="O1808" i="34"/>
  <c r="O1809" i="34"/>
  <c r="O1810" i="34"/>
  <c r="O1811" i="34"/>
  <c r="O1812" i="34"/>
  <c r="O1813" i="34"/>
  <c r="O1814" i="34"/>
  <c r="O1815" i="34"/>
  <c r="O1816" i="34"/>
  <c r="O1817" i="34"/>
  <c r="O1818" i="34"/>
  <c r="O1819" i="34"/>
  <c r="O1820" i="34"/>
  <c r="O1821" i="34"/>
  <c r="O1822" i="34"/>
  <c r="O1823" i="34"/>
  <c r="O1824" i="34"/>
  <c r="O1825" i="34"/>
  <c r="O1826" i="34"/>
  <c r="O1827" i="34"/>
  <c r="O1828" i="34"/>
  <c r="O1829" i="34"/>
  <c r="O1830" i="34"/>
  <c r="O1831" i="34"/>
  <c r="O1832" i="34"/>
  <c r="O1833" i="34"/>
  <c r="O1834" i="34"/>
  <c r="O1835" i="34"/>
  <c r="O1836" i="34"/>
  <c r="O1837" i="34"/>
  <c r="O1838" i="34"/>
  <c r="O1839" i="34"/>
  <c r="O1840" i="34"/>
  <c r="O1841" i="34"/>
  <c r="O1842" i="34"/>
  <c r="O1843" i="34"/>
  <c r="O1844" i="34"/>
  <c r="O1845" i="34"/>
  <c r="O1846" i="34"/>
  <c r="O1847" i="34"/>
  <c r="O1848" i="34"/>
  <c r="O1849" i="34"/>
  <c r="O1850" i="34"/>
  <c r="O1851" i="34"/>
  <c r="O1852" i="34"/>
  <c r="O1853" i="34"/>
  <c r="O1854" i="34"/>
  <c r="O1855" i="34"/>
  <c r="O1856" i="34"/>
  <c r="O1857" i="34"/>
  <c r="O1858" i="34"/>
  <c r="O1859" i="34"/>
  <c r="O1860" i="34"/>
  <c r="O1861" i="34"/>
  <c r="O1862" i="34"/>
  <c r="O1863" i="34"/>
  <c r="O1864" i="34"/>
  <c r="O1865" i="34"/>
  <c r="O1866" i="34"/>
  <c r="O1867" i="34"/>
  <c r="O1868" i="34"/>
  <c r="O1869" i="34"/>
  <c r="O1870" i="34"/>
  <c r="O1871" i="34"/>
  <c r="O1872" i="34"/>
  <c r="O1873" i="34"/>
  <c r="O1874" i="34"/>
  <c r="O1875" i="34"/>
  <c r="O1876" i="34"/>
  <c r="O1877" i="34"/>
  <c r="O1878" i="34"/>
  <c r="O1879" i="34"/>
  <c r="O1880" i="34"/>
  <c r="O1881" i="34"/>
  <c r="O1882" i="34"/>
  <c r="O1883" i="34"/>
  <c r="O1884" i="34"/>
  <c r="O1885" i="34"/>
  <c r="O1886" i="34"/>
  <c r="O1887" i="34"/>
  <c r="O1888" i="34"/>
  <c r="O1889" i="34"/>
  <c r="O1890" i="34"/>
  <c r="O1891" i="34"/>
  <c r="O1892" i="34"/>
  <c r="O1893" i="34"/>
  <c r="O1894" i="34"/>
  <c r="O1895" i="34"/>
  <c r="O1896" i="34"/>
  <c r="O1897" i="34"/>
  <c r="O1898" i="34"/>
  <c r="O1899" i="34"/>
  <c r="O1900" i="34"/>
  <c r="O1901" i="34"/>
  <c r="O1902" i="34"/>
  <c r="O1903" i="34"/>
  <c r="O1904" i="34"/>
  <c r="O1905" i="34"/>
  <c r="O1906" i="34"/>
  <c r="O1907" i="34"/>
  <c r="O1908" i="34"/>
  <c r="O1909" i="34"/>
  <c r="O1910" i="34"/>
  <c r="O1911" i="34"/>
  <c r="O1912" i="34"/>
  <c r="O1913" i="34"/>
  <c r="O1914" i="34"/>
  <c r="O1915" i="34"/>
  <c r="O1916" i="34"/>
  <c r="O1917" i="34"/>
  <c r="O1918" i="34"/>
  <c r="O1919" i="34"/>
  <c r="O1920" i="34"/>
  <c r="O1921" i="34"/>
  <c r="O1922" i="34"/>
  <c r="O1923" i="34"/>
  <c r="O1924" i="34"/>
  <c r="O1925" i="34"/>
  <c r="O1926" i="34"/>
  <c r="O1927" i="34"/>
  <c r="O1928" i="34"/>
  <c r="O1929" i="34"/>
  <c r="O1930" i="34"/>
  <c r="O1931" i="34"/>
  <c r="O1932" i="34"/>
  <c r="O1933" i="34"/>
  <c r="O1934" i="34"/>
  <c r="O1935" i="34"/>
  <c r="O1936" i="34"/>
  <c r="O1937" i="34"/>
  <c r="O1938" i="34"/>
  <c r="O1939" i="34"/>
  <c r="O1940" i="34"/>
  <c r="O1941" i="34"/>
  <c r="O1942" i="34"/>
  <c r="O1943" i="34"/>
  <c r="O1944" i="34"/>
  <c r="O1945" i="34"/>
  <c r="O1946" i="34"/>
  <c r="O1947" i="34"/>
  <c r="O1948" i="34"/>
  <c r="O1949" i="34"/>
  <c r="O1950" i="34"/>
  <c r="O1951" i="34"/>
  <c r="O1952" i="34"/>
  <c r="O1953" i="34"/>
  <c r="O1954" i="34"/>
  <c r="O1955" i="34"/>
  <c r="O1956" i="34"/>
  <c r="O1957" i="34"/>
  <c r="O1958" i="34"/>
  <c r="O1959" i="34"/>
  <c r="O1960" i="34"/>
  <c r="O1961" i="34"/>
  <c r="O1962" i="34"/>
  <c r="O1963" i="34"/>
  <c r="O1964" i="34"/>
  <c r="O1965" i="34"/>
  <c r="O1966" i="34"/>
  <c r="O1967" i="34"/>
  <c r="O1968" i="34"/>
  <c r="O1969" i="34"/>
  <c r="O1970" i="34"/>
  <c r="O1971" i="34"/>
  <c r="O1972" i="34"/>
  <c r="O1973" i="34"/>
  <c r="O1974" i="34"/>
  <c r="O1975" i="34"/>
  <c r="O1976" i="34"/>
  <c r="O1977" i="34"/>
  <c r="O1978" i="34"/>
  <c r="O1979" i="34"/>
  <c r="O1980" i="34"/>
  <c r="O1981" i="34"/>
  <c r="O1982" i="34"/>
  <c r="O1983" i="34"/>
  <c r="O1984" i="34"/>
  <c r="O1985" i="34"/>
  <c r="O1986" i="34"/>
  <c r="O1987" i="34"/>
  <c r="O1988" i="34"/>
  <c r="O1989" i="34"/>
  <c r="O1990" i="34"/>
  <c r="O1991" i="34"/>
  <c r="O1992" i="34"/>
  <c r="O1993" i="34"/>
  <c r="O1994" i="34"/>
  <c r="O1995" i="34"/>
  <c r="O1996" i="34"/>
  <c r="O1997" i="34"/>
  <c r="O1998" i="34"/>
  <c r="O1999" i="34"/>
  <c r="O2000" i="34"/>
  <c r="O2001" i="34"/>
  <c r="O2002" i="34"/>
  <c r="O2003" i="34"/>
  <c r="O2004" i="34"/>
  <c r="O2005" i="34"/>
  <c r="O2006" i="34"/>
  <c r="O2007" i="34"/>
  <c r="O2008" i="34"/>
  <c r="O2009" i="34"/>
  <c r="O2010" i="34"/>
  <c r="O2011" i="34"/>
  <c r="O2012" i="34"/>
  <c r="O2013" i="34"/>
  <c r="O2014" i="34"/>
  <c r="O2015" i="34"/>
  <c r="O2016" i="34"/>
  <c r="O2017" i="34"/>
  <c r="O2018" i="34"/>
  <c r="O2019" i="34"/>
  <c r="O2020" i="34"/>
  <c r="O2021" i="34"/>
  <c r="O2022" i="34"/>
  <c r="O2023" i="34"/>
  <c r="O2024" i="34"/>
  <c r="O2025" i="34"/>
  <c r="O2026" i="34"/>
  <c r="O2027" i="34"/>
  <c r="O2028" i="34"/>
  <c r="O2029" i="34"/>
  <c r="O2030" i="34"/>
  <c r="O2031" i="34"/>
  <c r="O2032" i="34"/>
  <c r="O2033" i="34"/>
  <c r="O2034" i="34"/>
  <c r="O2035" i="34"/>
  <c r="O2036" i="34"/>
  <c r="O2037" i="34"/>
  <c r="O2038" i="34"/>
  <c r="O2039" i="34"/>
  <c r="O2040" i="34"/>
  <c r="O2041" i="34"/>
  <c r="O2042" i="34"/>
  <c r="O2043" i="34"/>
  <c r="O2044" i="34"/>
  <c r="O2045" i="34"/>
  <c r="O2046" i="34"/>
  <c r="O2047" i="34"/>
  <c r="O2048" i="34"/>
  <c r="O2049" i="34"/>
  <c r="O2050" i="34"/>
  <c r="O2051" i="34"/>
  <c r="O2052" i="34"/>
  <c r="O2053" i="34"/>
  <c r="O2054" i="34"/>
  <c r="O2055" i="34"/>
  <c r="O2056" i="34"/>
  <c r="O2057" i="34"/>
  <c r="O2058" i="34"/>
  <c r="O2059" i="34"/>
  <c r="O2060" i="34"/>
  <c r="O2061" i="34"/>
  <c r="O2062" i="34"/>
  <c r="O2063" i="34"/>
  <c r="O2064" i="34"/>
  <c r="O2065" i="34"/>
  <c r="O2066" i="34"/>
  <c r="O2067" i="34"/>
  <c r="O2068" i="34"/>
  <c r="O2069" i="34"/>
  <c r="O2070" i="34"/>
  <c r="O2071" i="34"/>
  <c r="O2072" i="34"/>
  <c r="O2073" i="34"/>
  <c r="O2074" i="34"/>
  <c r="O2075" i="34"/>
  <c r="O2076" i="34"/>
  <c r="O2077" i="34"/>
  <c r="O2078" i="34"/>
  <c r="O2079" i="34"/>
  <c r="O2080" i="34"/>
  <c r="O2081" i="34"/>
  <c r="O2082" i="34"/>
  <c r="O2083" i="34"/>
  <c r="O2084" i="34"/>
  <c r="O2085" i="34"/>
  <c r="O2086" i="34"/>
  <c r="O2087" i="34"/>
  <c r="O2088" i="34"/>
  <c r="O2089" i="34"/>
  <c r="O2090" i="34"/>
  <c r="O2091" i="34"/>
  <c r="O2092" i="34"/>
  <c r="O2093" i="34"/>
  <c r="O2094" i="34"/>
  <c r="O2095" i="34"/>
  <c r="O2096" i="34"/>
  <c r="O2097" i="34"/>
  <c r="O2098" i="34"/>
  <c r="O2099" i="34"/>
  <c r="O2100" i="34"/>
  <c r="O2101" i="34"/>
  <c r="O2102" i="34"/>
  <c r="O2103" i="34"/>
  <c r="O2104" i="34"/>
  <c r="O2105" i="34"/>
  <c r="O2106" i="34"/>
  <c r="O2107" i="34"/>
  <c r="O2108" i="34"/>
  <c r="O2109" i="34"/>
  <c r="O2110" i="34"/>
  <c r="O2111" i="34"/>
  <c r="O2112" i="34"/>
  <c r="O2113" i="34"/>
  <c r="O2114" i="34"/>
  <c r="O2115" i="34"/>
  <c r="O2116" i="34"/>
  <c r="O2117" i="34"/>
  <c r="O2118" i="34"/>
  <c r="O2119" i="34"/>
  <c r="O2120" i="34"/>
  <c r="O2121" i="34"/>
  <c r="O2122" i="34"/>
  <c r="O2123" i="34"/>
  <c r="O2124" i="34"/>
  <c r="O2125" i="34"/>
  <c r="O2126" i="34"/>
  <c r="O2127" i="34"/>
  <c r="O2128" i="34"/>
  <c r="O2129" i="34"/>
  <c r="O2130" i="34"/>
  <c r="O2131" i="34"/>
  <c r="O2132" i="34"/>
  <c r="O2133" i="34"/>
  <c r="O2134" i="34"/>
  <c r="O2135" i="34"/>
  <c r="O2136" i="34"/>
  <c r="O2137" i="34"/>
  <c r="O2138" i="34"/>
  <c r="O2139" i="34"/>
  <c r="O2140" i="34"/>
  <c r="O2141" i="34"/>
  <c r="O2142" i="34"/>
  <c r="O2143" i="34"/>
  <c r="O2144" i="34"/>
  <c r="O2145" i="34"/>
  <c r="O2146" i="34"/>
  <c r="O2147" i="34"/>
  <c r="O2148" i="34"/>
  <c r="O2149" i="34"/>
  <c r="O2150" i="34"/>
  <c r="O2151" i="34"/>
  <c r="O2152" i="34"/>
  <c r="O2153" i="34"/>
  <c r="O2154" i="34"/>
  <c r="O2155" i="34"/>
  <c r="O2156" i="34"/>
  <c r="O2157" i="34"/>
  <c r="O2158" i="34"/>
  <c r="O2159" i="34"/>
  <c r="O2160" i="34"/>
  <c r="O2161" i="34"/>
  <c r="O2162" i="34"/>
  <c r="O2163" i="34"/>
  <c r="O2164" i="34"/>
  <c r="O2165" i="34"/>
  <c r="O2166" i="34"/>
  <c r="O2167" i="34"/>
  <c r="O2168" i="34"/>
  <c r="O2169" i="34"/>
  <c r="O2170" i="34"/>
  <c r="O2171" i="34"/>
  <c r="O2172" i="34"/>
  <c r="O2173" i="34"/>
  <c r="O2174" i="34"/>
  <c r="O2175" i="34"/>
  <c r="O2176" i="34"/>
  <c r="O2177" i="34"/>
  <c r="O2178" i="34"/>
  <c r="O2179" i="34"/>
  <c r="O2180" i="34"/>
  <c r="O2181" i="34"/>
  <c r="O2182" i="34"/>
  <c r="O2183" i="34"/>
  <c r="O2184" i="34"/>
  <c r="O2185" i="34"/>
  <c r="O2186" i="34"/>
  <c r="O2187" i="34"/>
  <c r="O2188" i="34"/>
  <c r="O2189" i="34"/>
  <c r="O2190" i="34"/>
  <c r="O2191" i="34"/>
  <c r="O2192" i="34"/>
  <c r="O2193" i="34"/>
  <c r="O2194" i="34"/>
  <c r="O2195" i="34"/>
  <c r="O2196" i="34"/>
  <c r="O2197" i="34"/>
  <c r="O2198" i="34"/>
  <c r="O2199" i="34"/>
  <c r="O2200" i="34"/>
  <c r="O2201" i="34"/>
  <c r="O2202" i="34"/>
  <c r="O2203" i="34"/>
  <c r="O2204" i="34"/>
  <c r="O2205" i="34"/>
  <c r="O2206" i="34"/>
  <c r="O2207" i="34"/>
  <c r="O2208" i="34"/>
  <c r="O2209" i="34"/>
  <c r="O2210" i="34"/>
  <c r="O2211" i="34"/>
  <c r="O2212" i="34"/>
  <c r="O2213" i="34"/>
  <c r="O2214" i="34"/>
  <c r="O2215" i="34"/>
  <c r="O2216" i="34"/>
  <c r="O2217" i="34"/>
  <c r="O2218" i="34"/>
  <c r="O2219" i="34"/>
  <c r="O2220" i="34"/>
  <c r="O2221" i="34"/>
  <c r="O2222" i="34"/>
  <c r="O2223" i="34"/>
  <c r="O2224" i="34"/>
  <c r="O2225" i="34"/>
  <c r="O2226" i="34"/>
  <c r="O2227" i="34"/>
  <c r="O2228" i="34"/>
  <c r="O2229" i="34"/>
  <c r="O2230" i="34"/>
  <c r="O2231" i="34"/>
  <c r="O2232" i="34"/>
  <c r="O2233" i="34"/>
  <c r="O2234" i="34"/>
  <c r="O2235" i="34"/>
  <c r="O2236" i="34"/>
  <c r="O2237" i="34"/>
  <c r="O2238" i="34"/>
  <c r="O2239" i="34"/>
  <c r="O2240" i="34"/>
  <c r="O2241" i="34"/>
  <c r="O2242" i="34"/>
  <c r="O2243" i="34"/>
  <c r="O2244" i="34"/>
  <c r="O2245" i="34"/>
  <c r="O2246" i="34"/>
  <c r="O2247" i="34"/>
  <c r="O2248" i="34"/>
  <c r="O2249" i="34"/>
  <c r="O2250" i="34"/>
  <c r="O2251" i="34"/>
  <c r="O2252" i="34"/>
  <c r="O2253" i="34"/>
  <c r="O2254" i="34"/>
  <c r="O2255" i="34"/>
  <c r="O2256" i="34"/>
  <c r="O2257" i="34"/>
  <c r="O2258" i="34"/>
  <c r="O2259" i="34"/>
  <c r="O2260" i="34"/>
  <c r="O2261" i="34"/>
  <c r="O2262" i="34"/>
  <c r="O2263" i="34"/>
  <c r="O2264" i="34"/>
  <c r="O2265" i="34"/>
  <c r="O2266" i="34"/>
  <c r="O2267" i="34"/>
  <c r="O2268" i="34"/>
  <c r="O2269" i="34"/>
  <c r="O2270" i="34"/>
  <c r="O2271" i="34"/>
  <c r="O2272" i="34"/>
  <c r="O2273" i="34"/>
  <c r="O2274" i="34"/>
  <c r="O2275" i="34"/>
  <c r="O2276" i="34"/>
  <c r="O2277" i="34"/>
  <c r="O2278" i="34"/>
  <c r="O2279" i="34"/>
  <c r="O2280" i="34"/>
  <c r="O2281" i="34"/>
  <c r="O2282" i="34"/>
  <c r="O2283" i="34"/>
  <c r="O2284" i="34"/>
  <c r="O2285" i="34"/>
  <c r="O2286" i="34"/>
  <c r="O2287" i="34"/>
  <c r="O2288" i="34"/>
  <c r="O2289" i="34"/>
  <c r="O2290" i="34"/>
  <c r="O2291" i="34"/>
  <c r="O2292" i="34"/>
  <c r="O2293" i="34"/>
  <c r="O2294" i="34"/>
  <c r="O2295" i="34"/>
  <c r="O2296" i="34"/>
  <c r="O2297" i="34"/>
  <c r="O2298" i="34"/>
  <c r="O2299" i="34"/>
  <c r="O2300" i="34"/>
  <c r="O2301" i="34"/>
  <c r="O2302" i="34"/>
  <c r="O2303" i="34"/>
  <c r="O2304" i="34"/>
  <c r="O2305" i="34"/>
  <c r="O2306" i="34"/>
  <c r="O2307" i="34"/>
  <c r="O2308" i="34"/>
  <c r="O2309" i="34"/>
  <c r="O2310" i="34"/>
  <c r="O2311" i="34"/>
  <c r="O2312" i="34"/>
  <c r="O2313" i="34"/>
  <c r="O2314" i="34"/>
  <c r="O2315" i="34"/>
  <c r="O2316" i="34"/>
  <c r="O2317" i="34"/>
  <c r="O2318" i="34"/>
  <c r="O2319" i="34"/>
  <c r="O2320" i="34"/>
  <c r="O2321" i="34"/>
  <c r="O2322" i="34"/>
  <c r="O2323" i="34"/>
  <c r="O2324" i="34"/>
  <c r="O2325" i="34"/>
  <c r="O2326" i="34"/>
  <c r="O2327" i="34"/>
  <c r="O2328" i="34"/>
  <c r="O2329" i="34"/>
  <c r="O2330" i="34"/>
  <c r="O2331" i="34"/>
  <c r="O2332" i="34"/>
  <c r="O2333" i="34"/>
  <c r="O2334" i="34"/>
  <c r="O2335" i="34"/>
  <c r="O2336" i="34"/>
  <c r="O2337" i="34"/>
  <c r="O2338" i="34"/>
  <c r="O2339" i="34"/>
  <c r="O2340" i="34"/>
  <c r="O2341" i="34"/>
  <c r="O2342" i="34"/>
  <c r="O2343" i="34"/>
  <c r="O2344" i="34"/>
  <c r="O2345" i="34"/>
  <c r="O2346" i="34"/>
  <c r="O2347" i="34"/>
  <c r="O2348" i="34"/>
  <c r="O2349" i="34"/>
  <c r="O2350" i="34"/>
  <c r="O2351" i="34"/>
  <c r="O2352" i="34"/>
  <c r="O2353" i="34"/>
  <c r="O2354" i="34"/>
  <c r="O2355" i="34"/>
  <c r="O2356" i="34"/>
  <c r="O2357" i="34"/>
  <c r="O2358" i="34"/>
  <c r="O2359" i="34"/>
  <c r="O2360" i="34"/>
  <c r="O2361" i="34"/>
  <c r="O2362" i="34"/>
  <c r="O2363" i="34"/>
  <c r="O2364" i="34"/>
  <c r="O2365" i="34"/>
  <c r="O2366" i="34"/>
  <c r="O2367" i="34"/>
  <c r="O2368" i="34"/>
  <c r="O2369" i="34"/>
  <c r="O2370" i="34"/>
  <c r="O2371" i="34"/>
  <c r="O2372" i="34"/>
  <c r="O2373" i="34"/>
  <c r="O2374" i="34"/>
  <c r="O2375" i="34"/>
  <c r="O2376" i="34"/>
  <c r="O2377" i="34"/>
  <c r="O2378" i="34"/>
  <c r="O2379" i="34"/>
  <c r="O2380" i="34"/>
  <c r="O2381" i="34"/>
  <c r="O2382" i="34"/>
  <c r="O2383" i="34"/>
  <c r="O2384" i="34"/>
  <c r="O2385" i="34"/>
  <c r="O2386" i="34"/>
  <c r="O2387" i="34"/>
  <c r="O2388" i="34"/>
  <c r="O2389" i="34"/>
  <c r="O2390" i="34"/>
  <c r="O2391" i="34"/>
  <c r="O2392" i="34"/>
  <c r="O2393" i="34"/>
  <c r="O2394" i="34"/>
  <c r="O2395" i="34"/>
  <c r="O2396" i="34"/>
  <c r="O2397" i="34"/>
  <c r="O2398" i="34"/>
  <c r="O2399" i="34"/>
  <c r="O2400" i="34"/>
  <c r="O2401" i="34"/>
  <c r="O2402" i="34"/>
  <c r="O2403" i="34"/>
  <c r="O2404" i="34"/>
  <c r="O2405" i="34"/>
  <c r="O2406" i="34"/>
  <c r="O2407" i="34"/>
  <c r="O2408" i="34"/>
  <c r="O2409" i="34"/>
  <c r="O2410" i="34"/>
  <c r="O2411" i="34"/>
  <c r="O2412" i="34"/>
  <c r="O2413" i="34"/>
  <c r="O2414" i="34"/>
  <c r="O2415" i="34"/>
  <c r="O2416" i="34"/>
  <c r="O2417" i="34"/>
  <c r="O2418" i="34"/>
  <c r="O2419" i="34"/>
  <c r="O2420" i="34"/>
  <c r="O2421" i="34"/>
  <c r="O2422" i="34"/>
  <c r="O2423" i="34"/>
  <c r="O2424" i="34"/>
  <c r="O2425" i="34"/>
  <c r="O2426" i="34"/>
  <c r="O2427" i="34"/>
  <c r="O2428" i="34"/>
  <c r="O2429" i="34"/>
  <c r="O2430" i="34"/>
  <c r="O2431" i="34"/>
  <c r="O2432" i="34"/>
  <c r="O2433" i="34"/>
  <c r="O2434" i="34"/>
  <c r="O2435" i="34"/>
  <c r="O2436" i="34"/>
  <c r="O2437" i="34"/>
  <c r="O2438" i="34"/>
  <c r="O2439" i="34"/>
  <c r="O2440" i="34"/>
  <c r="O2441" i="34"/>
  <c r="O2442" i="34"/>
  <c r="O2443" i="34"/>
  <c r="O2444" i="34"/>
  <c r="O2445" i="34"/>
  <c r="O2446" i="34"/>
  <c r="O2447" i="34"/>
  <c r="O2448" i="34"/>
  <c r="O2449" i="34"/>
  <c r="O2450" i="34"/>
  <c r="O2451" i="34"/>
  <c r="O2452" i="34"/>
  <c r="O2453" i="34"/>
  <c r="O2454" i="34"/>
  <c r="O2455" i="34"/>
  <c r="O2456" i="34"/>
  <c r="O2457" i="34"/>
  <c r="O2458" i="34"/>
  <c r="O2459" i="34"/>
  <c r="O2460" i="34"/>
  <c r="O2461" i="34"/>
  <c r="O2462" i="34"/>
  <c r="O2463" i="34"/>
  <c r="O2464" i="34"/>
  <c r="O2465" i="34"/>
  <c r="O2466" i="34"/>
  <c r="O2467" i="34"/>
  <c r="O2468" i="34"/>
  <c r="O2469" i="34"/>
  <c r="O2470" i="34"/>
  <c r="O2471" i="34"/>
  <c r="O2472" i="34"/>
  <c r="O2473" i="34"/>
  <c r="O2474" i="34"/>
  <c r="O2475" i="34"/>
  <c r="O2476" i="34"/>
  <c r="O2477" i="34"/>
  <c r="O2478" i="34"/>
  <c r="O2479" i="34"/>
  <c r="O2480" i="34"/>
  <c r="O2481" i="34"/>
  <c r="O2482" i="34"/>
  <c r="O2483" i="34"/>
  <c r="O2484" i="34"/>
  <c r="O2485" i="34"/>
  <c r="O2486" i="34"/>
  <c r="O2487" i="34"/>
  <c r="O2488" i="34"/>
  <c r="O2489" i="34"/>
  <c r="O2490" i="34"/>
  <c r="O2491" i="34"/>
  <c r="O2492" i="34"/>
  <c r="O2493" i="34"/>
  <c r="O2494" i="34"/>
  <c r="O2495" i="34"/>
  <c r="O2496" i="34"/>
  <c r="O2497" i="34"/>
  <c r="O2498" i="34"/>
  <c r="O2499" i="34"/>
  <c r="O2500" i="34"/>
  <c r="O2501" i="34"/>
  <c r="O2502" i="34"/>
  <c r="O2503" i="34"/>
  <c r="O2504" i="34"/>
  <c r="O2505" i="34"/>
  <c r="O2506" i="34"/>
  <c r="O2507" i="34"/>
  <c r="O2508" i="34"/>
  <c r="O2509" i="34"/>
  <c r="O2510" i="34"/>
  <c r="O2511" i="34"/>
  <c r="O2512" i="34"/>
  <c r="O2513" i="34"/>
  <c r="O2514" i="34"/>
  <c r="O2515" i="34"/>
  <c r="O2516" i="34"/>
  <c r="O2517" i="34"/>
  <c r="O2518" i="34"/>
  <c r="O2519" i="34"/>
  <c r="O2520" i="34"/>
  <c r="O2521" i="34"/>
  <c r="O2522" i="34"/>
  <c r="O2523" i="34"/>
  <c r="O2524" i="34"/>
  <c r="O2525" i="34"/>
  <c r="O2526" i="34"/>
  <c r="O2527" i="34"/>
  <c r="O2528" i="34"/>
  <c r="O2529" i="34"/>
  <c r="O2530" i="34"/>
  <c r="O2531" i="34"/>
  <c r="O2532" i="34"/>
  <c r="O2533" i="34"/>
  <c r="O2534" i="34"/>
  <c r="O2535" i="34"/>
  <c r="O2536" i="34"/>
  <c r="O2537" i="34"/>
  <c r="O2538" i="34"/>
  <c r="O2539" i="34"/>
  <c r="O2540" i="34"/>
  <c r="O2541" i="34"/>
  <c r="O2542" i="34"/>
  <c r="O2543" i="34"/>
  <c r="O2544" i="34"/>
  <c r="O2545" i="34"/>
  <c r="O2546" i="34"/>
  <c r="O2547" i="34"/>
  <c r="O2548" i="34"/>
  <c r="O2549" i="34"/>
  <c r="O2550" i="34"/>
  <c r="O2551" i="34"/>
  <c r="O2552" i="34"/>
  <c r="O2553" i="34"/>
  <c r="O2554" i="34"/>
  <c r="O2555" i="34"/>
  <c r="O2556" i="34"/>
  <c r="O2557" i="34"/>
  <c r="O2558" i="34"/>
  <c r="O2559" i="34"/>
  <c r="O2560" i="34"/>
  <c r="O2561" i="34"/>
  <c r="O2562" i="34"/>
  <c r="O2563" i="34"/>
  <c r="O2564" i="34"/>
  <c r="O2565" i="34"/>
  <c r="O2566" i="34"/>
  <c r="O2567" i="34"/>
  <c r="O2568" i="34"/>
  <c r="O2569" i="34"/>
  <c r="O2570" i="34"/>
  <c r="O2571" i="34"/>
  <c r="O2572" i="34"/>
  <c r="O2573" i="34"/>
  <c r="O2574" i="34"/>
  <c r="O2575" i="34"/>
  <c r="O2576" i="34"/>
  <c r="O2577" i="34"/>
  <c r="O2578" i="34"/>
  <c r="O2579" i="34"/>
  <c r="O2580" i="34"/>
  <c r="O2581" i="34"/>
  <c r="O2582" i="34"/>
  <c r="O2583" i="34"/>
  <c r="O2584" i="34"/>
  <c r="O2585" i="34"/>
  <c r="O2586" i="34"/>
  <c r="O2587" i="34"/>
  <c r="O2588" i="34"/>
  <c r="O2589" i="34"/>
  <c r="O2590" i="34"/>
  <c r="O2591" i="34"/>
  <c r="O2592" i="34"/>
  <c r="O2593" i="34"/>
  <c r="O2594" i="34"/>
  <c r="O2595" i="34"/>
  <c r="O2596" i="34"/>
  <c r="O2597" i="34"/>
  <c r="O2598" i="34"/>
  <c r="O2599" i="34"/>
  <c r="O2600" i="34"/>
  <c r="O2601" i="34"/>
  <c r="O2602" i="34"/>
  <c r="O2603" i="34"/>
  <c r="O2604" i="34"/>
  <c r="O2605" i="34"/>
  <c r="O2606" i="34"/>
  <c r="O2607" i="34"/>
  <c r="O2608" i="34"/>
  <c r="O2609" i="34"/>
  <c r="O2610" i="34"/>
  <c r="O2611" i="34"/>
  <c r="O2612" i="34"/>
  <c r="O2613" i="34"/>
  <c r="O2614" i="34"/>
  <c r="O2615" i="34"/>
  <c r="O2616" i="34"/>
  <c r="O2617" i="34"/>
  <c r="O2618" i="34"/>
  <c r="O2619" i="34"/>
  <c r="O2620" i="34"/>
  <c r="O2621" i="34"/>
  <c r="O2622" i="34"/>
  <c r="O2623" i="34"/>
  <c r="O2624" i="34"/>
  <c r="O2625" i="34"/>
  <c r="O2626" i="34"/>
  <c r="O2627" i="34"/>
  <c r="O2628" i="34"/>
  <c r="O2629" i="34"/>
  <c r="O2630" i="34"/>
  <c r="O2631" i="34"/>
  <c r="O2632" i="34"/>
  <c r="O2633" i="34"/>
  <c r="O2634" i="34"/>
  <c r="O2635" i="34"/>
  <c r="O2636" i="34"/>
  <c r="O2637" i="34"/>
  <c r="O2638" i="34"/>
  <c r="O2639" i="34"/>
  <c r="O2640" i="34"/>
  <c r="O2641" i="34"/>
  <c r="O2642" i="34"/>
  <c r="O2643" i="34"/>
  <c r="O2644" i="34"/>
  <c r="O2645" i="34"/>
  <c r="O2646" i="34"/>
  <c r="O2647" i="34"/>
  <c r="O2648" i="34"/>
  <c r="O2649" i="34"/>
  <c r="O2650" i="34"/>
  <c r="O2651" i="34"/>
  <c r="O2652" i="34"/>
  <c r="O2653" i="34"/>
  <c r="O2654" i="34"/>
  <c r="O2655" i="34"/>
  <c r="O2656" i="34"/>
  <c r="O2657" i="34"/>
  <c r="O2658" i="34"/>
  <c r="O2659" i="34"/>
  <c r="O2660" i="34"/>
  <c r="O2661" i="34"/>
  <c r="O2662" i="34"/>
  <c r="O2663" i="34"/>
  <c r="O2664" i="34"/>
  <c r="O2665" i="34"/>
  <c r="O2666" i="34"/>
  <c r="O2667" i="34"/>
  <c r="O2668" i="34"/>
  <c r="O2669" i="34"/>
  <c r="O2670" i="34"/>
  <c r="O2671" i="34"/>
  <c r="O2672" i="34"/>
  <c r="O2673" i="34"/>
  <c r="O2674" i="34"/>
  <c r="O2675" i="34"/>
  <c r="O2676" i="34"/>
  <c r="O2677" i="34"/>
  <c r="O2678" i="34"/>
  <c r="O2679" i="34"/>
  <c r="O2680" i="34"/>
  <c r="O2681" i="34"/>
  <c r="O2682" i="34"/>
  <c r="O2683" i="34"/>
  <c r="O2684" i="34"/>
  <c r="O2685" i="34"/>
  <c r="O2686" i="34"/>
  <c r="O2687" i="34"/>
  <c r="O2688" i="34"/>
  <c r="O2689" i="34"/>
  <c r="O2690" i="34"/>
  <c r="O2691" i="34"/>
  <c r="O2692" i="34"/>
  <c r="O2693" i="34"/>
  <c r="O2694" i="34"/>
  <c r="O2695" i="34"/>
  <c r="O2696" i="34"/>
  <c r="O2697" i="34"/>
  <c r="O2698" i="34"/>
  <c r="O2699" i="34"/>
  <c r="O2700" i="34"/>
  <c r="O2701" i="34"/>
  <c r="O2702" i="34"/>
  <c r="O2703" i="34"/>
  <c r="O2704" i="34"/>
  <c r="O2705" i="34"/>
  <c r="O2706" i="34"/>
  <c r="O2707" i="34"/>
  <c r="O2708" i="34"/>
  <c r="O2709" i="34"/>
  <c r="O2710" i="34"/>
  <c r="O2711" i="34"/>
  <c r="O2712" i="34"/>
  <c r="O2713" i="34"/>
  <c r="O2714" i="34"/>
  <c r="O2715" i="34"/>
  <c r="O2716" i="34"/>
  <c r="O2717" i="34"/>
  <c r="O2718" i="34"/>
  <c r="O2719" i="34"/>
  <c r="O2720" i="34"/>
  <c r="O2721" i="34"/>
  <c r="O2722" i="34"/>
  <c r="O2723" i="34"/>
  <c r="O2724" i="34"/>
  <c r="O2725" i="34"/>
  <c r="O2726" i="34"/>
  <c r="O2727" i="34"/>
  <c r="O2728" i="34"/>
  <c r="O2729" i="34"/>
  <c r="O2730" i="34"/>
  <c r="O2731" i="34"/>
  <c r="O2732" i="34"/>
  <c r="O2733" i="34"/>
  <c r="O2734" i="34"/>
  <c r="O2735" i="34"/>
  <c r="O2736" i="34"/>
  <c r="O2737" i="34"/>
  <c r="O2738" i="34"/>
  <c r="O2739" i="34"/>
  <c r="O2740" i="34"/>
  <c r="O2741" i="34"/>
  <c r="O2742" i="34"/>
  <c r="O2743" i="34"/>
  <c r="O2744" i="34"/>
  <c r="O2745" i="34"/>
  <c r="O2746" i="34"/>
  <c r="O2747" i="34"/>
  <c r="O2748" i="34"/>
  <c r="O2749" i="34"/>
  <c r="O2750" i="34"/>
  <c r="O2751" i="34"/>
  <c r="O2752" i="34"/>
  <c r="O2753" i="34"/>
  <c r="O2754" i="34"/>
  <c r="O2755" i="34"/>
  <c r="O2756" i="34"/>
  <c r="O2757" i="34"/>
  <c r="O2758" i="34"/>
  <c r="O2759" i="34"/>
  <c r="O2760" i="34"/>
  <c r="O2761" i="34"/>
  <c r="O2762" i="34"/>
  <c r="O2763" i="34"/>
  <c r="O2764" i="34"/>
  <c r="O2765" i="34"/>
  <c r="O2766" i="34"/>
  <c r="O2767" i="34"/>
  <c r="O2768" i="34"/>
  <c r="O2769" i="34"/>
  <c r="O2770" i="34"/>
  <c r="O2771" i="34"/>
  <c r="O2772" i="34"/>
  <c r="O2773" i="34"/>
  <c r="O2774" i="34"/>
  <c r="O2775" i="34"/>
  <c r="O2776" i="34"/>
  <c r="O2777" i="34"/>
  <c r="O2778" i="34"/>
  <c r="O2779" i="34"/>
  <c r="O2780" i="34"/>
  <c r="O2781" i="34"/>
  <c r="O2782" i="34"/>
  <c r="O2783" i="34"/>
  <c r="O2784" i="34"/>
  <c r="O2785" i="34"/>
  <c r="O2786" i="34"/>
  <c r="O2787" i="34"/>
  <c r="O2788" i="34"/>
  <c r="O2789" i="34"/>
  <c r="O2790" i="34"/>
  <c r="O2791" i="34"/>
  <c r="O2792" i="34"/>
  <c r="O2793" i="34"/>
  <c r="O2794" i="34"/>
  <c r="O2795" i="34"/>
  <c r="O2796" i="34"/>
  <c r="O2797" i="34"/>
  <c r="O2798" i="34"/>
  <c r="O2799" i="34"/>
  <c r="O2800" i="34"/>
  <c r="O2801" i="34"/>
  <c r="O2802" i="34"/>
  <c r="O2803" i="34"/>
  <c r="O2804" i="34"/>
  <c r="O2805" i="34"/>
  <c r="O2806" i="34"/>
  <c r="O2807" i="34"/>
  <c r="O2808" i="34"/>
  <c r="O2809" i="34"/>
  <c r="O2810" i="34"/>
  <c r="O2811" i="34"/>
  <c r="O2812" i="34"/>
  <c r="O2813" i="34"/>
  <c r="O2814" i="34"/>
  <c r="O2815" i="34"/>
  <c r="O2816" i="34"/>
  <c r="O2817" i="34"/>
  <c r="O2818" i="34"/>
  <c r="O2819" i="34"/>
  <c r="O2820" i="34"/>
  <c r="O2821" i="34"/>
  <c r="O2822" i="34"/>
  <c r="O2823" i="34"/>
  <c r="O2824" i="34"/>
  <c r="O2825" i="34"/>
  <c r="O2826" i="34"/>
  <c r="O2827" i="34"/>
  <c r="O2828" i="34"/>
  <c r="O2829" i="34"/>
  <c r="O2830" i="34"/>
  <c r="O2831" i="34"/>
  <c r="O2832" i="34"/>
  <c r="O2833" i="34"/>
  <c r="O2834" i="34"/>
  <c r="O2835" i="34"/>
  <c r="O2836" i="34"/>
  <c r="O2837" i="34"/>
  <c r="O2838" i="34"/>
  <c r="O2839" i="34"/>
  <c r="O2840" i="34"/>
  <c r="O2841" i="34"/>
  <c r="O2842" i="34"/>
  <c r="O2843" i="34"/>
  <c r="O2844" i="34"/>
  <c r="O2845" i="34"/>
  <c r="O2846" i="34"/>
  <c r="O2847" i="34"/>
  <c r="O2848" i="34"/>
  <c r="O2849" i="34"/>
  <c r="O2850" i="34"/>
  <c r="O2851" i="34"/>
  <c r="O2852" i="34"/>
  <c r="O2853" i="34"/>
  <c r="O2854" i="34"/>
  <c r="O2855" i="34"/>
  <c r="O2856" i="34"/>
  <c r="O2857" i="34"/>
  <c r="O2858" i="34"/>
  <c r="O2859" i="34"/>
  <c r="O2860" i="34"/>
  <c r="O2861" i="34"/>
  <c r="O2862" i="34"/>
  <c r="O2863" i="34"/>
  <c r="O2864" i="34"/>
  <c r="O2865" i="34"/>
  <c r="O2866" i="34"/>
  <c r="O2867" i="34"/>
  <c r="O2868" i="34"/>
  <c r="O2869" i="34"/>
  <c r="O2870" i="34"/>
  <c r="O2871" i="34"/>
  <c r="O2872" i="34"/>
  <c r="O2873" i="34"/>
  <c r="O2874" i="34"/>
  <c r="O2875" i="34"/>
  <c r="O2876" i="34"/>
  <c r="O2877" i="34"/>
  <c r="O2878" i="34"/>
  <c r="O2879" i="34"/>
  <c r="O2880" i="34"/>
  <c r="O2881" i="34"/>
  <c r="O2882" i="34"/>
  <c r="O2883" i="34"/>
  <c r="O2884" i="34"/>
  <c r="O2885" i="34"/>
  <c r="O2886" i="34"/>
  <c r="O2887" i="34"/>
  <c r="O2888" i="34"/>
  <c r="O2889" i="34"/>
  <c r="O2890" i="34"/>
  <c r="O2891" i="34"/>
  <c r="O2892" i="34"/>
  <c r="O2893" i="34"/>
  <c r="O2894" i="34"/>
  <c r="O2895" i="34"/>
  <c r="O2896" i="34"/>
  <c r="O2897" i="34"/>
  <c r="O2898" i="34"/>
  <c r="O2899" i="34"/>
  <c r="O2900" i="34"/>
  <c r="O2901" i="34"/>
  <c r="O2902" i="34"/>
  <c r="O2903" i="34"/>
  <c r="O2904" i="34"/>
  <c r="O2905" i="34"/>
  <c r="O2906" i="34"/>
  <c r="O2907" i="34"/>
  <c r="O2908" i="34"/>
  <c r="O2909" i="34"/>
  <c r="O2910" i="34"/>
  <c r="O2911" i="34"/>
  <c r="O2912" i="34"/>
  <c r="O2913" i="34"/>
  <c r="O2914" i="34"/>
  <c r="O2915" i="34"/>
  <c r="O2916" i="34"/>
  <c r="O2917" i="34"/>
  <c r="O2918" i="34"/>
  <c r="O2919" i="34"/>
  <c r="O2920" i="34"/>
  <c r="O2921" i="34"/>
  <c r="O2922" i="34"/>
  <c r="O2923" i="34"/>
  <c r="O2924" i="34"/>
  <c r="O2925" i="34"/>
  <c r="O2926" i="34"/>
  <c r="O2927" i="34"/>
  <c r="O2928" i="34"/>
  <c r="O2929" i="34"/>
  <c r="O2930" i="34"/>
  <c r="O2931" i="34"/>
  <c r="O2932" i="34"/>
  <c r="O2933" i="34"/>
  <c r="O2934" i="34"/>
  <c r="O2935" i="34"/>
  <c r="O2936" i="34"/>
  <c r="O2937" i="34"/>
  <c r="O2938" i="34"/>
  <c r="O2939" i="34"/>
  <c r="O2940" i="34"/>
  <c r="O2941" i="34"/>
  <c r="O2942" i="34"/>
  <c r="O2943" i="34"/>
  <c r="O2944" i="34"/>
  <c r="O2945" i="34"/>
  <c r="O2946" i="34"/>
  <c r="O2947" i="34"/>
  <c r="O2948" i="34"/>
  <c r="O2949" i="34"/>
  <c r="O2950" i="34"/>
  <c r="O2951" i="34"/>
  <c r="O2952" i="34"/>
  <c r="O2953" i="34"/>
  <c r="O2954" i="34"/>
  <c r="O2955" i="34"/>
  <c r="O2956" i="34"/>
  <c r="O2957" i="34"/>
  <c r="O2958" i="34"/>
  <c r="O2959" i="34"/>
  <c r="O2960" i="34"/>
  <c r="O2961" i="34"/>
  <c r="O2962" i="34"/>
  <c r="O2963" i="34"/>
  <c r="O2964" i="34"/>
  <c r="O2965" i="34"/>
  <c r="O2966" i="34"/>
  <c r="O2967" i="34"/>
  <c r="O2968" i="34"/>
  <c r="O2969" i="34"/>
  <c r="O2970" i="34"/>
  <c r="O2971" i="34"/>
  <c r="O2972" i="34"/>
  <c r="O2973" i="34"/>
  <c r="O2974" i="34"/>
  <c r="O2975" i="34"/>
  <c r="O2976" i="34"/>
  <c r="O2977" i="34"/>
  <c r="O2978" i="34"/>
  <c r="O2979" i="34"/>
  <c r="O2980" i="34"/>
  <c r="O2981" i="34"/>
  <c r="O2982" i="34"/>
  <c r="O2983" i="34"/>
  <c r="O2984" i="34"/>
  <c r="O2985" i="34"/>
  <c r="O2986" i="34"/>
  <c r="O2987" i="34"/>
  <c r="O2988" i="34"/>
  <c r="O2989" i="34"/>
  <c r="O2990" i="34"/>
  <c r="O2991" i="34"/>
  <c r="O2992" i="34"/>
  <c r="O2993" i="34"/>
  <c r="O2994" i="34"/>
  <c r="O2995" i="34"/>
  <c r="O2996" i="34"/>
  <c r="O2997" i="34"/>
  <c r="O2998" i="34"/>
  <c r="O2999" i="34"/>
  <c r="O3000" i="34"/>
  <c r="O3001" i="34"/>
  <c r="O3002" i="34"/>
  <c r="O3003" i="34"/>
  <c r="O3004" i="34"/>
  <c r="O3005" i="34"/>
  <c r="O3006" i="34"/>
  <c r="O3007" i="34"/>
  <c r="O3008" i="34"/>
  <c r="O3009" i="34"/>
  <c r="O3010" i="34"/>
  <c r="O3011" i="34"/>
  <c r="O3012" i="34"/>
  <c r="O3013" i="34"/>
  <c r="O3014" i="34"/>
  <c r="O3015" i="34"/>
  <c r="O3016" i="34"/>
  <c r="O3017" i="34"/>
  <c r="O3018" i="34"/>
  <c r="O3019" i="34"/>
  <c r="O3020" i="34"/>
  <c r="O3021" i="34"/>
  <c r="O3022" i="34"/>
  <c r="O3023" i="34"/>
  <c r="O3024" i="34"/>
  <c r="O3025" i="34"/>
  <c r="O3026" i="34"/>
  <c r="O3027" i="34"/>
  <c r="O3028" i="34"/>
  <c r="O3029" i="34"/>
  <c r="O3030" i="34"/>
  <c r="O3031" i="34"/>
  <c r="O3032" i="34"/>
  <c r="O3033" i="34"/>
  <c r="O3034" i="34"/>
  <c r="O3035" i="34"/>
  <c r="O3036" i="34"/>
  <c r="O3037" i="34"/>
  <c r="O3038" i="34"/>
  <c r="O3039" i="34"/>
  <c r="O3040" i="34"/>
  <c r="O3041" i="34"/>
  <c r="O3042" i="34"/>
  <c r="O3043" i="34"/>
  <c r="O3044" i="34"/>
  <c r="O3045" i="34"/>
  <c r="O3046" i="34"/>
  <c r="O3047" i="34"/>
  <c r="O3048" i="34"/>
  <c r="O3049" i="34"/>
  <c r="O3050" i="34"/>
  <c r="O3051" i="34"/>
  <c r="O3052" i="34"/>
  <c r="O3053" i="34"/>
  <c r="O3054" i="34"/>
  <c r="O3055" i="34"/>
  <c r="O3056" i="34"/>
  <c r="O3057" i="34"/>
  <c r="O3058" i="34"/>
  <c r="O3059" i="34"/>
  <c r="O3060" i="34"/>
  <c r="O3061" i="34"/>
  <c r="O3062" i="34"/>
  <c r="O3063" i="34"/>
  <c r="O3064" i="34"/>
  <c r="O3065" i="34"/>
  <c r="O3066" i="34"/>
  <c r="O3067" i="34"/>
  <c r="O3068" i="34"/>
  <c r="O3069" i="34"/>
  <c r="O3070" i="34"/>
  <c r="O3071" i="34"/>
  <c r="O3072" i="34"/>
  <c r="O3073" i="34"/>
  <c r="O3074" i="34"/>
  <c r="O3075" i="34"/>
  <c r="O3076" i="34"/>
  <c r="O3077" i="34"/>
  <c r="O3078" i="34"/>
  <c r="O3079" i="34"/>
  <c r="O3080" i="34"/>
  <c r="O3081" i="34"/>
  <c r="O3082" i="34"/>
  <c r="O3083" i="34"/>
  <c r="O3084" i="34"/>
  <c r="O3085" i="34"/>
  <c r="O3086" i="34"/>
  <c r="O3087" i="34"/>
  <c r="O3088" i="34"/>
  <c r="O3089" i="34"/>
  <c r="O3090" i="34"/>
  <c r="O3091" i="34"/>
  <c r="O3092" i="34"/>
  <c r="O3093" i="34"/>
  <c r="O3094" i="34"/>
  <c r="O3095" i="34"/>
  <c r="O3096" i="34"/>
  <c r="O3097" i="34"/>
  <c r="O3098" i="34"/>
  <c r="O3099" i="34"/>
  <c r="O3100" i="34"/>
  <c r="O3101" i="34"/>
  <c r="O3102" i="34"/>
  <c r="O3103" i="34"/>
  <c r="O3104" i="34"/>
  <c r="O3105" i="34"/>
  <c r="O3106" i="34"/>
  <c r="O3107" i="34"/>
  <c r="O3108" i="34"/>
  <c r="O3109" i="34"/>
  <c r="O3110" i="34"/>
  <c r="O3111" i="34"/>
  <c r="O3112" i="34"/>
  <c r="O3113" i="34"/>
  <c r="O3114" i="34"/>
  <c r="O3115" i="34"/>
  <c r="O3116" i="34"/>
  <c r="O3117" i="34"/>
  <c r="O3118" i="34"/>
  <c r="O3119" i="34"/>
  <c r="O3120" i="34"/>
  <c r="O3121" i="34"/>
  <c r="O3122" i="34"/>
  <c r="O3123" i="34"/>
  <c r="O3124" i="34"/>
  <c r="O3125" i="34"/>
  <c r="O3126" i="34"/>
  <c r="O3127" i="34"/>
  <c r="O3128" i="34"/>
  <c r="O3129" i="34"/>
  <c r="O3130" i="34"/>
  <c r="O3131" i="34"/>
  <c r="O3132" i="34"/>
  <c r="O3133" i="34"/>
  <c r="O3134" i="34"/>
  <c r="O3135" i="34"/>
  <c r="O3136" i="34"/>
  <c r="O3137" i="34"/>
  <c r="O3138" i="34"/>
  <c r="O3139" i="34"/>
  <c r="O3140" i="34"/>
  <c r="O3141" i="34"/>
  <c r="O3142" i="34"/>
  <c r="O3143" i="34"/>
  <c r="O3144" i="34"/>
  <c r="O3145" i="34"/>
  <c r="O3146" i="34"/>
  <c r="O3147" i="34"/>
  <c r="O3148" i="34"/>
  <c r="O3149" i="34"/>
  <c r="O3150" i="34"/>
  <c r="O3151" i="34"/>
  <c r="O3152" i="34"/>
  <c r="O3153" i="34"/>
  <c r="O3154" i="34"/>
  <c r="O3155" i="34"/>
  <c r="O3156" i="34"/>
  <c r="O3157" i="34"/>
  <c r="O3158" i="34"/>
  <c r="O3159" i="34"/>
  <c r="O3160" i="34"/>
  <c r="O3161" i="34"/>
  <c r="O3162" i="34"/>
  <c r="O3163" i="34"/>
  <c r="O3164" i="34"/>
  <c r="O3165" i="34"/>
  <c r="O3166" i="34"/>
  <c r="O3167" i="34"/>
  <c r="O3168" i="34"/>
  <c r="O3169" i="34"/>
  <c r="O3170" i="34"/>
  <c r="O3171" i="34"/>
  <c r="O3172" i="34"/>
  <c r="O3173" i="34"/>
  <c r="O3174" i="34"/>
  <c r="O3175" i="34"/>
  <c r="O3176" i="34"/>
  <c r="O3177" i="34"/>
  <c r="O3178" i="34"/>
  <c r="O3179" i="34"/>
  <c r="O3180" i="34"/>
  <c r="O3181" i="34"/>
  <c r="O3182" i="34"/>
  <c r="O3183" i="34"/>
  <c r="O3184" i="34"/>
  <c r="O3185" i="34"/>
  <c r="O3186" i="34"/>
  <c r="O3187" i="34"/>
  <c r="O3188" i="34"/>
  <c r="O3189" i="34"/>
  <c r="O3190" i="34"/>
  <c r="O3191" i="34"/>
  <c r="O3192" i="34"/>
  <c r="O3193" i="34"/>
  <c r="O3194" i="34"/>
  <c r="O3195" i="34"/>
  <c r="O3196" i="34"/>
  <c r="O3197" i="34"/>
  <c r="O3198" i="34"/>
  <c r="O3199" i="34"/>
  <c r="O3200" i="34"/>
  <c r="O3201" i="34"/>
  <c r="O3202" i="34"/>
  <c r="O3203" i="34"/>
  <c r="O3204" i="34"/>
  <c r="O3205" i="34"/>
  <c r="O3206" i="34"/>
  <c r="O3207" i="34"/>
  <c r="O3208" i="34"/>
  <c r="O3209" i="34"/>
  <c r="O3210" i="34"/>
  <c r="O3211" i="34"/>
  <c r="O3212" i="34"/>
  <c r="O3213" i="34"/>
  <c r="O3214" i="34"/>
  <c r="O3215" i="34"/>
  <c r="O3216" i="34"/>
  <c r="O3217" i="34"/>
  <c r="O3218" i="34"/>
  <c r="O3219" i="34"/>
  <c r="O3220" i="34"/>
  <c r="O3221" i="34"/>
  <c r="O3222" i="34"/>
  <c r="O3223" i="34"/>
  <c r="O3224" i="34"/>
  <c r="O3225" i="34"/>
  <c r="O3226" i="34"/>
  <c r="O3227" i="34"/>
  <c r="O3228" i="34"/>
  <c r="O3229" i="34"/>
  <c r="O3230" i="34"/>
  <c r="O3231" i="34"/>
  <c r="O3232" i="34"/>
  <c r="O3233" i="34"/>
  <c r="O3234" i="34"/>
  <c r="O3235" i="34"/>
  <c r="O3236" i="34"/>
  <c r="O3237" i="34"/>
  <c r="O3238" i="34"/>
  <c r="O3239" i="34"/>
  <c r="O3240" i="34"/>
  <c r="O3241" i="34"/>
  <c r="O3242" i="34"/>
  <c r="O3243" i="34"/>
  <c r="O3244" i="34"/>
  <c r="O3245" i="34"/>
  <c r="O3246" i="34"/>
  <c r="O3247" i="34"/>
  <c r="O3248" i="34"/>
  <c r="O3249" i="34"/>
  <c r="O3250" i="34"/>
  <c r="O3251" i="34"/>
  <c r="O3252" i="34"/>
  <c r="O3253" i="34"/>
  <c r="O3254" i="34"/>
  <c r="O3255" i="34"/>
  <c r="O3256" i="34"/>
  <c r="O3257" i="34"/>
  <c r="O3258" i="34"/>
  <c r="O3259" i="34"/>
  <c r="O3260" i="34"/>
  <c r="O3261" i="34"/>
  <c r="O3262" i="34"/>
  <c r="O3263" i="34"/>
  <c r="O3264" i="34"/>
  <c r="O3265" i="34"/>
  <c r="O3266" i="34"/>
  <c r="O3267" i="34"/>
  <c r="O3268" i="34"/>
  <c r="O3269" i="34"/>
  <c r="O3270" i="34"/>
  <c r="O3271" i="34"/>
  <c r="O3272" i="34"/>
  <c r="O3273" i="34"/>
  <c r="O3274" i="34"/>
  <c r="O3275" i="34"/>
  <c r="O3276" i="34"/>
  <c r="O3277" i="34"/>
  <c r="O3278" i="34"/>
  <c r="O3279" i="34"/>
  <c r="O3280" i="34"/>
  <c r="O3281" i="34"/>
  <c r="O3282" i="34"/>
  <c r="O3283" i="34"/>
  <c r="O3284" i="34"/>
  <c r="O3285" i="34"/>
  <c r="O3286" i="34"/>
  <c r="O3287" i="34"/>
  <c r="O3288" i="34"/>
  <c r="O3289" i="34"/>
  <c r="O3290" i="34"/>
  <c r="O3291" i="34"/>
  <c r="O3292" i="34"/>
  <c r="O3293" i="34"/>
  <c r="O3294" i="34"/>
  <c r="O3295" i="34"/>
  <c r="O3296" i="34"/>
  <c r="O3297" i="34"/>
  <c r="O3298" i="34"/>
  <c r="O3299" i="34"/>
  <c r="O3300" i="34"/>
  <c r="O3301" i="34"/>
  <c r="O3302" i="34"/>
  <c r="O3303" i="34"/>
  <c r="O3304" i="34"/>
  <c r="O3305" i="34"/>
  <c r="O3306" i="34"/>
  <c r="O3307" i="34"/>
  <c r="O3308" i="34"/>
  <c r="O3309" i="34"/>
  <c r="O3310" i="34"/>
  <c r="O3311" i="34"/>
  <c r="O3312" i="34"/>
  <c r="O3313" i="34"/>
  <c r="O3314" i="34"/>
  <c r="O3315" i="34"/>
  <c r="O3316" i="34"/>
  <c r="O3317" i="34"/>
  <c r="O3318" i="34"/>
  <c r="O3319" i="34"/>
  <c r="O3320" i="34"/>
  <c r="O3321" i="34"/>
  <c r="O3322" i="34"/>
  <c r="O3323" i="34"/>
  <c r="O3324" i="34"/>
  <c r="O3325" i="34"/>
  <c r="O3326" i="34"/>
  <c r="O3327" i="34"/>
  <c r="O3328" i="34"/>
  <c r="O3329" i="34"/>
  <c r="O3330" i="34"/>
  <c r="O3331" i="34"/>
  <c r="O3332" i="34"/>
  <c r="O3333" i="34"/>
  <c r="O3334" i="34"/>
  <c r="O3335" i="34"/>
  <c r="O3336" i="34"/>
  <c r="O3337" i="34"/>
  <c r="O3338" i="34"/>
  <c r="O3339" i="34"/>
  <c r="O3340" i="34"/>
  <c r="O3341" i="34"/>
  <c r="O3342" i="34"/>
  <c r="O3343" i="34"/>
  <c r="O3344" i="34"/>
  <c r="O3345" i="34"/>
  <c r="O3346" i="34"/>
  <c r="O3347" i="34"/>
  <c r="O3348" i="34"/>
  <c r="O3349" i="34"/>
  <c r="O3350" i="34"/>
  <c r="O3351" i="34"/>
  <c r="O3352" i="34"/>
  <c r="O3353" i="34"/>
  <c r="O3354" i="34"/>
  <c r="O3355" i="34"/>
  <c r="O3356" i="34"/>
  <c r="O3357" i="34"/>
  <c r="O3358" i="34"/>
  <c r="O3359" i="34"/>
  <c r="O3360" i="34"/>
  <c r="O3361" i="34"/>
  <c r="O3362" i="34"/>
  <c r="O3363" i="34"/>
  <c r="O3364" i="34"/>
  <c r="O3365" i="34"/>
  <c r="O3366" i="34"/>
  <c r="O3367" i="34"/>
  <c r="O3368" i="34"/>
  <c r="O3369" i="34"/>
  <c r="O3370" i="34"/>
  <c r="O3371" i="34"/>
  <c r="O3372" i="34"/>
  <c r="O3373" i="34"/>
  <c r="O3374" i="34"/>
  <c r="O3375" i="34"/>
  <c r="O3376" i="34"/>
  <c r="O3377" i="34"/>
  <c r="O3378" i="34"/>
  <c r="O3379" i="34"/>
  <c r="O3380" i="34"/>
  <c r="O3381" i="34"/>
  <c r="O3382" i="34"/>
  <c r="O3383" i="34"/>
  <c r="O3384" i="34"/>
  <c r="O3385" i="34"/>
  <c r="O3386" i="34"/>
  <c r="O3387" i="34"/>
  <c r="O3388" i="34"/>
  <c r="O3389" i="34"/>
  <c r="O3390" i="34"/>
  <c r="O3391" i="34"/>
  <c r="O3392" i="34"/>
  <c r="O3393" i="34"/>
  <c r="O3394" i="34"/>
  <c r="O3395" i="34"/>
  <c r="O3396" i="34"/>
  <c r="O3397" i="34"/>
  <c r="O3398" i="34"/>
  <c r="O3399" i="34"/>
  <c r="O3400" i="34"/>
  <c r="O3401" i="34"/>
  <c r="O3402" i="34"/>
  <c r="O3403" i="34"/>
  <c r="O3404" i="34"/>
  <c r="O3405" i="34"/>
  <c r="O3406" i="34"/>
  <c r="O3407" i="34"/>
  <c r="O3408" i="34"/>
  <c r="O3409" i="34"/>
  <c r="O3410" i="34"/>
  <c r="O3411" i="34"/>
  <c r="O3412" i="34"/>
  <c r="O3413" i="34"/>
  <c r="O3414" i="34"/>
  <c r="O3415" i="34"/>
  <c r="O3416" i="34"/>
  <c r="O3417" i="34"/>
  <c r="O3418" i="34"/>
  <c r="O3419" i="34"/>
  <c r="O3420" i="34"/>
  <c r="O3421" i="34"/>
  <c r="O3422" i="34"/>
  <c r="O3423" i="34"/>
  <c r="O3424" i="34"/>
  <c r="O3425" i="34"/>
  <c r="O3426" i="34"/>
  <c r="O3427" i="34"/>
  <c r="O3428" i="34"/>
  <c r="O3429" i="34"/>
  <c r="O3430" i="34"/>
  <c r="O3431" i="34"/>
  <c r="O3432" i="34"/>
  <c r="O3433" i="34"/>
  <c r="O3434" i="34"/>
  <c r="O3435" i="34"/>
  <c r="O3436" i="34"/>
  <c r="O3437" i="34"/>
  <c r="O3438" i="34"/>
  <c r="O3439" i="34"/>
  <c r="O3440" i="34"/>
  <c r="O3441" i="34"/>
  <c r="O3442" i="34"/>
  <c r="O3443" i="34"/>
  <c r="O3444" i="34"/>
  <c r="O3445" i="34"/>
  <c r="O3446" i="34"/>
  <c r="O3447" i="34"/>
  <c r="O3448" i="34"/>
  <c r="O3449" i="34"/>
  <c r="O3450" i="34"/>
  <c r="O3451" i="34"/>
  <c r="O3452" i="34"/>
  <c r="O3453" i="34"/>
  <c r="O3454" i="34"/>
  <c r="O3455" i="34"/>
  <c r="O3456" i="34"/>
  <c r="O3457" i="34"/>
  <c r="O3458" i="34"/>
  <c r="O3459" i="34"/>
  <c r="O3460" i="34"/>
  <c r="O3461" i="34"/>
  <c r="O3462" i="34"/>
  <c r="O3463" i="34"/>
  <c r="O3464" i="34"/>
  <c r="O3465" i="34"/>
  <c r="O3466" i="34"/>
  <c r="O3467" i="34"/>
  <c r="O3468" i="34"/>
  <c r="O3469" i="34"/>
  <c r="O3470" i="34"/>
  <c r="O3471" i="34"/>
  <c r="O3472" i="34"/>
  <c r="O3473" i="34"/>
  <c r="O3474" i="34"/>
  <c r="O3475" i="34"/>
  <c r="O3476" i="34"/>
  <c r="O3477" i="34"/>
  <c r="O3478" i="34"/>
  <c r="O3479" i="34"/>
  <c r="O3480" i="34"/>
  <c r="O3481" i="34"/>
  <c r="O3482" i="34"/>
  <c r="O3483" i="34"/>
  <c r="O3484" i="34"/>
  <c r="O3485" i="34"/>
  <c r="O3486" i="34"/>
  <c r="O3487" i="34"/>
  <c r="O3488" i="34"/>
  <c r="O3489" i="34"/>
  <c r="O3490" i="34"/>
  <c r="O3491" i="34"/>
  <c r="O3492" i="34"/>
  <c r="O3493" i="34"/>
  <c r="O3494" i="34"/>
  <c r="O3495" i="34"/>
  <c r="O3496" i="34"/>
  <c r="O3497" i="34"/>
  <c r="O3498" i="34"/>
  <c r="O3499" i="34"/>
  <c r="O3500" i="34"/>
  <c r="O3501" i="34"/>
  <c r="O3502" i="34"/>
  <c r="O3503" i="34"/>
  <c r="O3504" i="34"/>
  <c r="O3505" i="34"/>
  <c r="O3506" i="34"/>
  <c r="O3507" i="34"/>
  <c r="O3508" i="34"/>
  <c r="O3509" i="34"/>
  <c r="O3510" i="34"/>
  <c r="O3511" i="34"/>
  <c r="O3512" i="34"/>
  <c r="O3513" i="34"/>
  <c r="O3514" i="34"/>
  <c r="O3515" i="34"/>
  <c r="O3516" i="34"/>
  <c r="O3517" i="34"/>
  <c r="O3518" i="34"/>
  <c r="O3519" i="34"/>
  <c r="O3520" i="34"/>
  <c r="O3521" i="34"/>
  <c r="O3522" i="34"/>
  <c r="O3523" i="34"/>
  <c r="O3524" i="34"/>
  <c r="O3525" i="34"/>
  <c r="O3526" i="34"/>
  <c r="O3527" i="34"/>
  <c r="O3528" i="34"/>
  <c r="O3529" i="34"/>
  <c r="O3530" i="34"/>
  <c r="O3531" i="34"/>
  <c r="O3532" i="34"/>
  <c r="O3533" i="34"/>
  <c r="O3534" i="34"/>
  <c r="O3535" i="34"/>
  <c r="O3536" i="34"/>
  <c r="O3537" i="34"/>
  <c r="O3538" i="34"/>
  <c r="O3539" i="34"/>
  <c r="O3540" i="34"/>
  <c r="O3541" i="34"/>
  <c r="O3542" i="34"/>
  <c r="O3543" i="34"/>
  <c r="O3544" i="34"/>
  <c r="O3545" i="34"/>
  <c r="O3546" i="34"/>
  <c r="O3547" i="34"/>
  <c r="O3548" i="34"/>
  <c r="O3549" i="34"/>
  <c r="O3550" i="34"/>
  <c r="O3551" i="34"/>
  <c r="O3552" i="34"/>
  <c r="O3553" i="34"/>
  <c r="O3554" i="34"/>
  <c r="O3555" i="34"/>
  <c r="O3556" i="34"/>
  <c r="O3557" i="34"/>
  <c r="O3558" i="34"/>
  <c r="O3559" i="34"/>
  <c r="O3560" i="34"/>
  <c r="O3561" i="34"/>
  <c r="O3562" i="34"/>
  <c r="O3563" i="34"/>
  <c r="O3564" i="34"/>
  <c r="O3565" i="34"/>
  <c r="O3566" i="34"/>
  <c r="O3567" i="34"/>
  <c r="O3568" i="34"/>
  <c r="O3569" i="34"/>
  <c r="O3570" i="34"/>
  <c r="O3571" i="34"/>
  <c r="O3572" i="34"/>
  <c r="O3573" i="34"/>
  <c r="O3574" i="34"/>
  <c r="O3575" i="34"/>
  <c r="O3576" i="34"/>
  <c r="O3577" i="34"/>
  <c r="O3578" i="34"/>
  <c r="O3579" i="34"/>
  <c r="O3580" i="34"/>
  <c r="O3581" i="34"/>
  <c r="O3582" i="34"/>
  <c r="O3583" i="34"/>
  <c r="O3584" i="34"/>
  <c r="O3585" i="34"/>
  <c r="O3586" i="34"/>
  <c r="O3587" i="34"/>
  <c r="O3588" i="34"/>
  <c r="O3589" i="34"/>
  <c r="O3590" i="34"/>
  <c r="O3591" i="34"/>
  <c r="O3592" i="34"/>
  <c r="O3593" i="34"/>
  <c r="O3594" i="34"/>
  <c r="O3595" i="34"/>
  <c r="O3596" i="34"/>
  <c r="O3597" i="34"/>
  <c r="O3598" i="34"/>
  <c r="O3599" i="34"/>
  <c r="O3600" i="34"/>
  <c r="O3601" i="34"/>
  <c r="O3602" i="34"/>
  <c r="O3603" i="34"/>
  <c r="O3604" i="34"/>
  <c r="O3605" i="34"/>
  <c r="O3606" i="34"/>
  <c r="O3607" i="34"/>
  <c r="O3608" i="34"/>
  <c r="O3609" i="34"/>
  <c r="O3610" i="34"/>
  <c r="O3611" i="34"/>
  <c r="O3612" i="34"/>
  <c r="O3613" i="34"/>
  <c r="O3614" i="34"/>
  <c r="O3615" i="34"/>
  <c r="O3616" i="34"/>
  <c r="O3617" i="34"/>
  <c r="O3618" i="34"/>
  <c r="O3619" i="34"/>
  <c r="O3620" i="34"/>
  <c r="O3621" i="34"/>
  <c r="O3622" i="34"/>
  <c r="O3623" i="34"/>
  <c r="O3624" i="34"/>
  <c r="O3625" i="34"/>
  <c r="O3626" i="34"/>
  <c r="O3627" i="34"/>
  <c r="O3628" i="34"/>
  <c r="O3629" i="34"/>
  <c r="O3630" i="34"/>
  <c r="O3631" i="34"/>
  <c r="O3632" i="34"/>
  <c r="O3633" i="34"/>
  <c r="O3634" i="34"/>
  <c r="O3635" i="34"/>
  <c r="O3636" i="34"/>
  <c r="O3637" i="34"/>
  <c r="O3638" i="34"/>
  <c r="O3639" i="34"/>
  <c r="O3640" i="34"/>
  <c r="O3641" i="34"/>
  <c r="O3642" i="34"/>
  <c r="O3643" i="34"/>
  <c r="O3644" i="34"/>
  <c r="O3645" i="34"/>
  <c r="O3646" i="34"/>
  <c r="O3647" i="34"/>
  <c r="O3648" i="34"/>
  <c r="O3649" i="34"/>
  <c r="O3650" i="34"/>
  <c r="O3651" i="34"/>
  <c r="O3652" i="34"/>
  <c r="O3653" i="34"/>
  <c r="O3654" i="34"/>
  <c r="O3655" i="34"/>
  <c r="O3656" i="34"/>
  <c r="O3657" i="34"/>
  <c r="O3658" i="34"/>
  <c r="O3659" i="34"/>
  <c r="O3660" i="34"/>
  <c r="O3661" i="34"/>
  <c r="O3662" i="34"/>
  <c r="O3663" i="34"/>
  <c r="O3664" i="34"/>
  <c r="O3665" i="34"/>
  <c r="O3666" i="34"/>
  <c r="O3667" i="34"/>
  <c r="O3668" i="34"/>
  <c r="O3669" i="34"/>
  <c r="O3670" i="34"/>
  <c r="O3671" i="34"/>
  <c r="O3672" i="34"/>
  <c r="O3673" i="34"/>
  <c r="O3674" i="34"/>
  <c r="O3675" i="34"/>
  <c r="O3676" i="34"/>
  <c r="O3677" i="34"/>
  <c r="O3678" i="34"/>
  <c r="O3679" i="34"/>
  <c r="O3680" i="34"/>
  <c r="O3681" i="34"/>
  <c r="O3682" i="34"/>
  <c r="O3683" i="34"/>
  <c r="O3684" i="34"/>
  <c r="O3685" i="34"/>
  <c r="O3686" i="34"/>
  <c r="O3687" i="34"/>
  <c r="O3688" i="34"/>
  <c r="O3689" i="34"/>
  <c r="O3690" i="34"/>
  <c r="O3691" i="34"/>
  <c r="O3692" i="34"/>
  <c r="O3693" i="34"/>
  <c r="O3694" i="34"/>
  <c r="O3695" i="34"/>
  <c r="O3696" i="34"/>
  <c r="O3697" i="34"/>
  <c r="O3698" i="34"/>
  <c r="O3699" i="34"/>
  <c r="O3700" i="34"/>
  <c r="O3701" i="34"/>
  <c r="O3702" i="34"/>
  <c r="O3703" i="34"/>
  <c r="O3704" i="34"/>
  <c r="O3705" i="34"/>
  <c r="O3706" i="34"/>
  <c r="O3707" i="34"/>
  <c r="O3708" i="34"/>
  <c r="O3709" i="34"/>
  <c r="O3710" i="34"/>
  <c r="O3711" i="34"/>
  <c r="O3712" i="34"/>
  <c r="O3713" i="34"/>
  <c r="O3714" i="34"/>
  <c r="O3715" i="34"/>
  <c r="O3716" i="34"/>
  <c r="O3717" i="34"/>
  <c r="O3718" i="34"/>
  <c r="O3719" i="34"/>
  <c r="O3720" i="34"/>
  <c r="O3721" i="34"/>
  <c r="O3722" i="34"/>
  <c r="O3723" i="34"/>
  <c r="O3724" i="34"/>
  <c r="O3725" i="34"/>
  <c r="O3726" i="34"/>
  <c r="O3727" i="34"/>
  <c r="O3728" i="34"/>
  <c r="O3729" i="34"/>
  <c r="O3730" i="34"/>
  <c r="O3731" i="34"/>
  <c r="O3732" i="34"/>
  <c r="O3733" i="34"/>
  <c r="O3734" i="34"/>
  <c r="O3735" i="34"/>
  <c r="O3736" i="34"/>
  <c r="O3737" i="34"/>
  <c r="O3738" i="34"/>
  <c r="O3739" i="34"/>
  <c r="O3740" i="34"/>
  <c r="O3741" i="34"/>
  <c r="O3742" i="34"/>
  <c r="O3743" i="34"/>
  <c r="O3744" i="34"/>
  <c r="O3745" i="34"/>
  <c r="O3746" i="34"/>
  <c r="O3747" i="34"/>
  <c r="O3748" i="34"/>
  <c r="O3749" i="34"/>
  <c r="O3750" i="34"/>
  <c r="O3751" i="34"/>
  <c r="O3752" i="34"/>
  <c r="O3753" i="34"/>
  <c r="O3754" i="34"/>
  <c r="O3755" i="34"/>
  <c r="O3756" i="34"/>
  <c r="O3757" i="34"/>
  <c r="O3758" i="34"/>
  <c r="O3759" i="34"/>
  <c r="O3760" i="34"/>
  <c r="O3761" i="34"/>
  <c r="O3762" i="34"/>
  <c r="O3763" i="34"/>
  <c r="O3764" i="34"/>
  <c r="O3765" i="34"/>
  <c r="O3766" i="34"/>
  <c r="O3767" i="34"/>
  <c r="O3768" i="34"/>
  <c r="O3769" i="34"/>
  <c r="O3770" i="34"/>
  <c r="O3771" i="34"/>
  <c r="O3772" i="34"/>
  <c r="O3773" i="34"/>
  <c r="O3774" i="34"/>
  <c r="O3775" i="34"/>
  <c r="O3776" i="34"/>
  <c r="O3777" i="34"/>
  <c r="O3778" i="34"/>
  <c r="O3779" i="34"/>
  <c r="O3780" i="34"/>
  <c r="O3781" i="34"/>
  <c r="O3782" i="34"/>
  <c r="O3783" i="34"/>
  <c r="O3784" i="34"/>
  <c r="O3785" i="34"/>
  <c r="O3786" i="34"/>
  <c r="O3787" i="34"/>
  <c r="O3788" i="34"/>
  <c r="O3789" i="34"/>
  <c r="O3790" i="34"/>
  <c r="O3791" i="34"/>
  <c r="O3792" i="34"/>
  <c r="O3793" i="34"/>
  <c r="O3794" i="34"/>
  <c r="O3795" i="34"/>
  <c r="O3796" i="34"/>
  <c r="O3797" i="34"/>
  <c r="O3798" i="34"/>
  <c r="O3799" i="34"/>
  <c r="O3800" i="34"/>
  <c r="O3801" i="34"/>
  <c r="O3802" i="34"/>
  <c r="O3803" i="34"/>
  <c r="O3804" i="34"/>
  <c r="O3805" i="34"/>
  <c r="O3806" i="34"/>
  <c r="O3807" i="34"/>
  <c r="O3808" i="34"/>
  <c r="O3809" i="34"/>
  <c r="O3810" i="34"/>
  <c r="O3811" i="34"/>
  <c r="O3812" i="34"/>
  <c r="O3813" i="34"/>
  <c r="O3814" i="34"/>
  <c r="O3815" i="34"/>
  <c r="O3816" i="34"/>
  <c r="O3817" i="34"/>
  <c r="O3818" i="34"/>
  <c r="O3819" i="34"/>
  <c r="O3820" i="34"/>
  <c r="O3821" i="34"/>
  <c r="O3822" i="34"/>
  <c r="O3823" i="34"/>
  <c r="O3824" i="34"/>
  <c r="O3825" i="34"/>
  <c r="O3826" i="34"/>
  <c r="O3827" i="34"/>
  <c r="O3828" i="34"/>
  <c r="O3829" i="34"/>
  <c r="O3830" i="34"/>
  <c r="O3831" i="34"/>
  <c r="O3832" i="34"/>
  <c r="O3833" i="34"/>
  <c r="O3834" i="34"/>
  <c r="O3835" i="34"/>
  <c r="O3836" i="34"/>
  <c r="O3837" i="34"/>
  <c r="O3838" i="34"/>
  <c r="O3839" i="34"/>
  <c r="O3840" i="34"/>
  <c r="O3841" i="34"/>
  <c r="O3842" i="34"/>
  <c r="O3843" i="34"/>
  <c r="O3844" i="34"/>
  <c r="O3845" i="34"/>
  <c r="O3846" i="34"/>
  <c r="O3847" i="34"/>
  <c r="O3848" i="34"/>
  <c r="O3849" i="34"/>
  <c r="O3850" i="34"/>
  <c r="O3851" i="34"/>
  <c r="O3852" i="34"/>
  <c r="O3853" i="34"/>
  <c r="O3854" i="34"/>
  <c r="O3855" i="34"/>
  <c r="O3856" i="34"/>
  <c r="O3857" i="34"/>
  <c r="O3858" i="34"/>
  <c r="O3859" i="34"/>
  <c r="O3860" i="34"/>
  <c r="O3861" i="34"/>
  <c r="O3862" i="34"/>
  <c r="O3863" i="34"/>
  <c r="O3864" i="34"/>
  <c r="O3865" i="34"/>
  <c r="O3866" i="34"/>
  <c r="O3867" i="34"/>
  <c r="O3868" i="34"/>
  <c r="O3869" i="34"/>
  <c r="O3870" i="34"/>
  <c r="O3871" i="34"/>
  <c r="O3872" i="34"/>
  <c r="O3873" i="34"/>
  <c r="O3874" i="34"/>
  <c r="O3875" i="34"/>
  <c r="O3876" i="34"/>
  <c r="O3877" i="34"/>
  <c r="O3878" i="34"/>
  <c r="O3879" i="34"/>
  <c r="O3880" i="34"/>
  <c r="O3881" i="34"/>
  <c r="O3882" i="34"/>
  <c r="O3883" i="34"/>
  <c r="O3884" i="34"/>
  <c r="O3885" i="34"/>
  <c r="O3886" i="34"/>
  <c r="O3887" i="34"/>
  <c r="O3888" i="34"/>
  <c r="O3889" i="34"/>
  <c r="O3890" i="34"/>
  <c r="O3891" i="34"/>
  <c r="O3892" i="34"/>
  <c r="O3893" i="34"/>
  <c r="O3894" i="34"/>
  <c r="O3895" i="34"/>
  <c r="O3896" i="34"/>
  <c r="O3897" i="34"/>
  <c r="O3898" i="34"/>
  <c r="O3899" i="34"/>
  <c r="O3900" i="34"/>
  <c r="O3901" i="34"/>
  <c r="O3902" i="34"/>
  <c r="O3903" i="34"/>
  <c r="O3904" i="34"/>
  <c r="O3905" i="34"/>
  <c r="O3906" i="34"/>
  <c r="O3907" i="34"/>
  <c r="O3908" i="34"/>
  <c r="O3909" i="34"/>
  <c r="O3910" i="34"/>
  <c r="O3911" i="34"/>
  <c r="O3912" i="34"/>
  <c r="O3913" i="34"/>
  <c r="O3914" i="34"/>
  <c r="O3915" i="34"/>
  <c r="O3916" i="34"/>
  <c r="O3917" i="34"/>
  <c r="O3918" i="34"/>
  <c r="O3919" i="34"/>
  <c r="O3920" i="34"/>
  <c r="O3921" i="34"/>
  <c r="O3922" i="34"/>
  <c r="O3923" i="34"/>
  <c r="O3924" i="34"/>
  <c r="O3925" i="34"/>
  <c r="O3926" i="34"/>
  <c r="O3927" i="34"/>
  <c r="O3928" i="34"/>
  <c r="O3929" i="34"/>
  <c r="O3930" i="34"/>
  <c r="O3931" i="34"/>
  <c r="O3932" i="34"/>
  <c r="O3933" i="34"/>
  <c r="O3934" i="34"/>
  <c r="O3935" i="34"/>
  <c r="O3936" i="34"/>
  <c r="O3937" i="34"/>
  <c r="O3938" i="34"/>
  <c r="O3939" i="34"/>
  <c r="O3940" i="34"/>
  <c r="O3941" i="34"/>
  <c r="O3942" i="34"/>
  <c r="O3943" i="34"/>
  <c r="O3944" i="34"/>
  <c r="O3945" i="34"/>
  <c r="O3946" i="34"/>
  <c r="O3947" i="34"/>
  <c r="O3948" i="34"/>
  <c r="O3949" i="34"/>
  <c r="O3950" i="34"/>
  <c r="O3951" i="34"/>
  <c r="O3952" i="34"/>
  <c r="O3953" i="34"/>
  <c r="O3954" i="34"/>
  <c r="O3955" i="34"/>
  <c r="O3956" i="34"/>
  <c r="O3957" i="34"/>
  <c r="O3958" i="34"/>
  <c r="O3959" i="34"/>
  <c r="O3960" i="34"/>
  <c r="O3961" i="34"/>
  <c r="O3962" i="34"/>
  <c r="O3963" i="34"/>
  <c r="O3964" i="34"/>
  <c r="O3965" i="34"/>
  <c r="O3966" i="34"/>
  <c r="O3967" i="34"/>
  <c r="O3968" i="34"/>
  <c r="O3969" i="34"/>
  <c r="O3970" i="34"/>
  <c r="O3971" i="34"/>
  <c r="O3972" i="34"/>
  <c r="O3973" i="34"/>
  <c r="O3974" i="34"/>
  <c r="O3975" i="34"/>
  <c r="O3976" i="34"/>
  <c r="O3977" i="34"/>
  <c r="O3978" i="34"/>
  <c r="O3979" i="34"/>
  <c r="O3980" i="34"/>
  <c r="O3981" i="34"/>
  <c r="O3982" i="34"/>
  <c r="O3983" i="34"/>
  <c r="O3984" i="34"/>
  <c r="O3985" i="34"/>
  <c r="O3986" i="34"/>
  <c r="O3987" i="34"/>
  <c r="O3988" i="34"/>
  <c r="O3989" i="34"/>
  <c r="O3990" i="34"/>
  <c r="O3991" i="34"/>
  <c r="O3992" i="34"/>
  <c r="O3993" i="34"/>
  <c r="O3994" i="34"/>
  <c r="O3995" i="34"/>
  <c r="O3996" i="34"/>
  <c r="O3997" i="34"/>
  <c r="O3998" i="34"/>
  <c r="O3999" i="34"/>
  <c r="O4000" i="34"/>
  <c r="O4001" i="34"/>
  <c r="O4002" i="34"/>
  <c r="O4003" i="34"/>
  <c r="O4004" i="34"/>
  <c r="O4005" i="34"/>
  <c r="O4006" i="34"/>
  <c r="O4007" i="34"/>
  <c r="O4008" i="34"/>
  <c r="O4009" i="34"/>
  <c r="O4010" i="34"/>
  <c r="O4011" i="34"/>
  <c r="O4012" i="34"/>
  <c r="O4013" i="34"/>
  <c r="O4014" i="34"/>
  <c r="O4015" i="34"/>
  <c r="O4016" i="34"/>
  <c r="O4017" i="34"/>
  <c r="O4018" i="34"/>
  <c r="O4019" i="34"/>
  <c r="O4020" i="34"/>
  <c r="O4021" i="34"/>
  <c r="O4022" i="34"/>
  <c r="O4023" i="34"/>
  <c r="O4024" i="34"/>
  <c r="O4025" i="34"/>
  <c r="O4026" i="34"/>
  <c r="O4027" i="34"/>
  <c r="O4028" i="34"/>
  <c r="O4029" i="34"/>
  <c r="O4030" i="34"/>
  <c r="O4031" i="34"/>
  <c r="O4032" i="34"/>
  <c r="O4033" i="34"/>
  <c r="O4034" i="34"/>
  <c r="O4035" i="34"/>
  <c r="O4036" i="34"/>
  <c r="O4037" i="34"/>
  <c r="O4038" i="34"/>
  <c r="O4039" i="34"/>
  <c r="O4040" i="34"/>
  <c r="O4041" i="34"/>
  <c r="O4042" i="34"/>
  <c r="O4043" i="34"/>
  <c r="O4044" i="34"/>
  <c r="O4045" i="34"/>
  <c r="O4046" i="34"/>
  <c r="O4047" i="34"/>
  <c r="O4048" i="34"/>
  <c r="O4049" i="34"/>
  <c r="O4050" i="34"/>
  <c r="O4051" i="34"/>
  <c r="O4052" i="34"/>
  <c r="O4053" i="34"/>
  <c r="O4054" i="34"/>
  <c r="O4055" i="34"/>
  <c r="O4056" i="34"/>
  <c r="O4057" i="34"/>
  <c r="O4058" i="34"/>
  <c r="O4059" i="34"/>
  <c r="O4060" i="34"/>
  <c r="O4061" i="34"/>
  <c r="O4062" i="34"/>
  <c r="O4063" i="34"/>
  <c r="O4064" i="34"/>
  <c r="O4065" i="34"/>
  <c r="O4066" i="34"/>
  <c r="O4067" i="34"/>
  <c r="O4068" i="34"/>
  <c r="O4069" i="34"/>
  <c r="O4070" i="34"/>
  <c r="O4071" i="34"/>
  <c r="O4072" i="34"/>
  <c r="O4073" i="34"/>
  <c r="O4074" i="34"/>
  <c r="O4075" i="34"/>
  <c r="O4076" i="34"/>
  <c r="O4077" i="34"/>
  <c r="O4078" i="34"/>
  <c r="O4079" i="34"/>
  <c r="O4080" i="34"/>
  <c r="O4081" i="34"/>
  <c r="O4082" i="34"/>
  <c r="O4083" i="34"/>
  <c r="O4084" i="34"/>
  <c r="O4085" i="34"/>
  <c r="O4086" i="34"/>
  <c r="O4087" i="34"/>
  <c r="O4088" i="34"/>
  <c r="O4089" i="34"/>
  <c r="O4090" i="34"/>
  <c r="O4091" i="34"/>
  <c r="O4092" i="34"/>
  <c r="O4093" i="34"/>
  <c r="O4094" i="34"/>
  <c r="O4095" i="34"/>
  <c r="O4096" i="34"/>
  <c r="O4097" i="34"/>
  <c r="O4098" i="34"/>
  <c r="O4099" i="34"/>
  <c r="O4100" i="34"/>
  <c r="O4101" i="34"/>
  <c r="O4102" i="34"/>
  <c r="O4103" i="34"/>
  <c r="O4104" i="34"/>
  <c r="O4105" i="34"/>
  <c r="O4106" i="34"/>
  <c r="O4107" i="34"/>
  <c r="O4108" i="34"/>
  <c r="O4109" i="34"/>
  <c r="O4110" i="34"/>
  <c r="O4111" i="34"/>
  <c r="O4112" i="34"/>
  <c r="O4113" i="34"/>
  <c r="O4114" i="34"/>
  <c r="O4115" i="34"/>
  <c r="O4116" i="34"/>
  <c r="O4117" i="34"/>
  <c r="O4118" i="34"/>
  <c r="O4119" i="34"/>
  <c r="O4120" i="34"/>
  <c r="O4121" i="34"/>
  <c r="O4122" i="34"/>
  <c r="O4123" i="34"/>
  <c r="O4124" i="34"/>
  <c r="O4125" i="34"/>
  <c r="O4126" i="34"/>
  <c r="O4127" i="34"/>
  <c r="O4128" i="34"/>
  <c r="O4129" i="34"/>
  <c r="O4130" i="34"/>
  <c r="O4131" i="34"/>
  <c r="O4132" i="34"/>
  <c r="O4133" i="34"/>
  <c r="O4134" i="34"/>
  <c r="O4135" i="34"/>
  <c r="O4136" i="34"/>
  <c r="O4137" i="34"/>
  <c r="O4138" i="34"/>
  <c r="O4139" i="34"/>
  <c r="O4140" i="34"/>
  <c r="O4141" i="34"/>
  <c r="O4142" i="34"/>
  <c r="O4143" i="34"/>
  <c r="O4144" i="34"/>
  <c r="O4145" i="34"/>
  <c r="O4146" i="34"/>
  <c r="O4147" i="34"/>
  <c r="O4148" i="34"/>
  <c r="O4149" i="34"/>
  <c r="O4150" i="34"/>
  <c r="O4151" i="34"/>
  <c r="O4152" i="34"/>
  <c r="O4153" i="34"/>
  <c r="O4154" i="34"/>
  <c r="O4155" i="34"/>
  <c r="O4156" i="34"/>
  <c r="O4157" i="34"/>
  <c r="O4158" i="34"/>
  <c r="O4159" i="34"/>
  <c r="O4160" i="34"/>
  <c r="O4161" i="34"/>
  <c r="O4162" i="34"/>
  <c r="O4163" i="34"/>
  <c r="O4164" i="34"/>
  <c r="O4165" i="34"/>
  <c r="O4166" i="34"/>
  <c r="O4167" i="34"/>
  <c r="O4168" i="34"/>
  <c r="O4169" i="34"/>
  <c r="O4170" i="34"/>
  <c r="O4171" i="34"/>
  <c r="O4172" i="34"/>
  <c r="O4173" i="34"/>
  <c r="O4174" i="34"/>
  <c r="O4175" i="34"/>
  <c r="O4176" i="34"/>
  <c r="O4177" i="34"/>
  <c r="O4178" i="34"/>
  <c r="O4179" i="34"/>
  <c r="O4180" i="34"/>
  <c r="O4181" i="34"/>
  <c r="O4182" i="34"/>
  <c r="O4183" i="34"/>
  <c r="O4184" i="34"/>
  <c r="O4185" i="34"/>
  <c r="O4186" i="34"/>
  <c r="O4187" i="34"/>
  <c r="O4188" i="34"/>
  <c r="O4189" i="34"/>
  <c r="O4190" i="34"/>
  <c r="O4191" i="34"/>
  <c r="O4192" i="34"/>
  <c r="O4193" i="34"/>
  <c r="O4194" i="34"/>
  <c r="O4195" i="34"/>
  <c r="O4196" i="34"/>
  <c r="O4197" i="34"/>
  <c r="O4198" i="34"/>
  <c r="O4199" i="34"/>
  <c r="O4200" i="34"/>
  <c r="O4201" i="34"/>
  <c r="O4202" i="34"/>
  <c r="O4203" i="34"/>
  <c r="O4204" i="34"/>
  <c r="O4205" i="34"/>
  <c r="O4206" i="34"/>
  <c r="O4207" i="34"/>
  <c r="O4208" i="34"/>
  <c r="O4209" i="34"/>
  <c r="O4210" i="34"/>
  <c r="O4211" i="34"/>
  <c r="O4212" i="34"/>
  <c r="O4213" i="34"/>
  <c r="O4214" i="34"/>
  <c r="O4215" i="34"/>
  <c r="O4216" i="34"/>
  <c r="O4217" i="34"/>
  <c r="O4218" i="34"/>
  <c r="O4219" i="34"/>
  <c r="O4220" i="34"/>
  <c r="O4221" i="34"/>
  <c r="O4222" i="34"/>
  <c r="O4223" i="34"/>
  <c r="O4224" i="34"/>
  <c r="O4225" i="34"/>
  <c r="O4226" i="34"/>
  <c r="O4227" i="34"/>
  <c r="O4228" i="34"/>
  <c r="O4229" i="34"/>
  <c r="O4230" i="34"/>
  <c r="O4231" i="34"/>
  <c r="O4232" i="34"/>
  <c r="O4233" i="34"/>
  <c r="O4234" i="34"/>
  <c r="O4235" i="34"/>
  <c r="O4236" i="34"/>
  <c r="O4237" i="34"/>
  <c r="O4238" i="34"/>
  <c r="O4239" i="34"/>
  <c r="O4240" i="34"/>
  <c r="O4241" i="34"/>
  <c r="O4242" i="34"/>
  <c r="O4243" i="34"/>
  <c r="O4244" i="34"/>
  <c r="O4245" i="34"/>
  <c r="O4246" i="34"/>
  <c r="O4247" i="34"/>
  <c r="O4248" i="34"/>
  <c r="O4249" i="34"/>
  <c r="O4250" i="34"/>
  <c r="O4251" i="34"/>
  <c r="O4252" i="34"/>
  <c r="O4253" i="34"/>
  <c r="O4254" i="34"/>
  <c r="O4255" i="34"/>
  <c r="O4256" i="34"/>
  <c r="O4257" i="34"/>
  <c r="O4258" i="34"/>
  <c r="O4259" i="34"/>
  <c r="O4260" i="34"/>
  <c r="O4261" i="34"/>
  <c r="O4262" i="34"/>
  <c r="O4263" i="34"/>
  <c r="O4264" i="34"/>
  <c r="O4265" i="34"/>
  <c r="O4266" i="34"/>
  <c r="O4267" i="34"/>
  <c r="O4268" i="34"/>
  <c r="O4269" i="34"/>
  <c r="O4270" i="34"/>
  <c r="O4271" i="34"/>
  <c r="O4272" i="34"/>
  <c r="O4273" i="34"/>
  <c r="O4274" i="34"/>
  <c r="O4275" i="34"/>
  <c r="O4276" i="34"/>
  <c r="O4277" i="34"/>
  <c r="O4278" i="34"/>
  <c r="O4279" i="34"/>
  <c r="O4280" i="34"/>
  <c r="O4281" i="34"/>
  <c r="O4282" i="34"/>
  <c r="O4283" i="34"/>
  <c r="O4284" i="34"/>
  <c r="O4285" i="34"/>
  <c r="O4286" i="34"/>
  <c r="O4287" i="34"/>
  <c r="O4288" i="34"/>
  <c r="O4289" i="34"/>
  <c r="O4290" i="34"/>
  <c r="O4291" i="34"/>
  <c r="O4292" i="34"/>
  <c r="O4293" i="34"/>
  <c r="O4294" i="34"/>
  <c r="O4295" i="34"/>
  <c r="O4296" i="34"/>
  <c r="O4297" i="34"/>
  <c r="O4298" i="34"/>
  <c r="O4299" i="34"/>
  <c r="O4300" i="34"/>
  <c r="O4301" i="34"/>
  <c r="O4302" i="34"/>
  <c r="O4303" i="34"/>
  <c r="O4304" i="34"/>
  <c r="O4305" i="34"/>
  <c r="O4306" i="34"/>
  <c r="O4307" i="34"/>
  <c r="O4308" i="34"/>
  <c r="O4309" i="34"/>
  <c r="O4310" i="34"/>
  <c r="O4311" i="34"/>
  <c r="O4312" i="34"/>
  <c r="O4313" i="34"/>
  <c r="O4314" i="34"/>
  <c r="O4315" i="34"/>
  <c r="O4316" i="34"/>
  <c r="O4317" i="34"/>
  <c r="O4318" i="34"/>
  <c r="O4319" i="34"/>
  <c r="O4320" i="34"/>
  <c r="O4321" i="34"/>
  <c r="O4322" i="34"/>
  <c r="O4323" i="34"/>
  <c r="O4324" i="34"/>
  <c r="O4325" i="34"/>
  <c r="O4326" i="34"/>
  <c r="O4327" i="34"/>
  <c r="O4328" i="34"/>
  <c r="O4329" i="34"/>
  <c r="O4330" i="34"/>
  <c r="O4331" i="34"/>
  <c r="O4332" i="34"/>
  <c r="O4333" i="34"/>
  <c r="O4334" i="34"/>
  <c r="O4335" i="34"/>
  <c r="O4336" i="34"/>
  <c r="O4337" i="34"/>
  <c r="O4338" i="34"/>
  <c r="O4339" i="34"/>
  <c r="O4340" i="34"/>
  <c r="O4341" i="34"/>
  <c r="O4342" i="34"/>
  <c r="O4343" i="34"/>
  <c r="O4344" i="34"/>
  <c r="O4345" i="34"/>
  <c r="O4346" i="34"/>
  <c r="O4347" i="34"/>
  <c r="O4348" i="34"/>
  <c r="O4349" i="34"/>
  <c r="O4350" i="34"/>
  <c r="O4351" i="34"/>
  <c r="O4352" i="34"/>
  <c r="O4353" i="34"/>
  <c r="O4354" i="34"/>
  <c r="O4355" i="34"/>
  <c r="O4356" i="34"/>
  <c r="O4357" i="34"/>
  <c r="O4358" i="34"/>
  <c r="O4359" i="34"/>
  <c r="O4360" i="34"/>
  <c r="O4361" i="34"/>
  <c r="O4362" i="34"/>
  <c r="O4363" i="34"/>
  <c r="O4364" i="34"/>
  <c r="O4365" i="34"/>
  <c r="O4366" i="34"/>
  <c r="O4367" i="34"/>
  <c r="O4368" i="34"/>
  <c r="O4369" i="34"/>
  <c r="O4370" i="34"/>
  <c r="O4371" i="34"/>
  <c r="O4372" i="34"/>
  <c r="O4373" i="34"/>
  <c r="O4374" i="34"/>
  <c r="O4375" i="34"/>
  <c r="O4376" i="34"/>
  <c r="O4377" i="34"/>
  <c r="O4378" i="34"/>
  <c r="O4379" i="34"/>
  <c r="O4380" i="34"/>
  <c r="O4381" i="34"/>
  <c r="O4382" i="34"/>
  <c r="O4383" i="34"/>
  <c r="O4384" i="34"/>
  <c r="O4385" i="34"/>
  <c r="O4386" i="34"/>
  <c r="O4387" i="34"/>
  <c r="O4388" i="34"/>
  <c r="O4389" i="34"/>
  <c r="O4390" i="34"/>
  <c r="O4391" i="34"/>
  <c r="O4392" i="34"/>
  <c r="O4393" i="34"/>
  <c r="O4394" i="34"/>
  <c r="O4395" i="34"/>
  <c r="O4396" i="34"/>
  <c r="O4397" i="34"/>
  <c r="O4398" i="34"/>
  <c r="O4399" i="34"/>
  <c r="O4400" i="34"/>
  <c r="O4401" i="34"/>
  <c r="O4402" i="34"/>
  <c r="O4403" i="34"/>
  <c r="O4404" i="34"/>
  <c r="O4405" i="34"/>
  <c r="O4406" i="34"/>
  <c r="O4407" i="34"/>
  <c r="O4408" i="34"/>
  <c r="O4409" i="34"/>
  <c r="O4410" i="34"/>
  <c r="O4411" i="34"/>
  <c r="O4412" i="34"/>
  <c r="O4413" i="34"/>
  <c r="O4414" i="34"/>
  <c r="O4415" i="34"/>
  <c r="O4416" i="34"/>
  <c r="O4417" i="34"/>
  <c r="O4418" i="34"/>
  <c r="O4419" i="34"/>
  <c r="O4420" i="34"/>
  <c r="O4421" i="34"/>
  <c r="O4422" i="34"/>
  <c r="O4423" i="34"/>
  <c r="O4424" i="34"/>
  <c r="O4425" i="34"/>
  <c r="O4426" i="34"/>
  <c r="O4427" i="34"/>
  <c r="O4428" i="34"/>
  <c r="O4429" i="34"/>
  <c r="O4430" i="34"/>
  <c r="O4431" i="34"/>
  <c r="O4432" i="34"/>
  <c r="O4433" i="34"/>
  <c r="O4434" i="34"/>
  <c r="O4435" i="34"/>
  <c r="O4436" i="34"/>
  <c r="O4437" i="34"/>
  <c r="O4438" i="34"/>
  <c r="O4439" i="34"/>
  <c r="O4440" i="34"/>
  <c r="O4441" i="34"/>
  <c r="O4442" i="34"/>
  <c r="O4443" i="34"/>
  <c r="O4444" i="34"/>
  <c r="O4445" i="34"/>
  <c r="O4446" i="34"/>
  <c r="O4447" i="34"/>
  <c r="O4448" i="34"/>
  <c r="O4449" i="34"/>
  <c r="O4450" i="34"/>
  <c r="O4451" i="34"/>
  <c r="O4452" i="34"/>
  <c r="O4453" i="34"/>
  <c r="O4454" i="34"/>
  <c r="O4455" i="34"/>
  <c r="O4456" i="34"/>
  <c r="O4457" i="34"/>
  <c r="O4458" i="34"/>
  <c r="O4459" i="34"/>
  <c r="O4460" i="34"/>
  <c r="O4461" i="34"/>
  <c r="O4462" i="34"/>
  <c r="O4463" i="34"/>
  <c r="O4464" i="34"/>
  <c r="O4465" i="34"/>
  <c r="O4466" i="34"/>
  <c r="O4467" i="34"/>
  <c r="O4468" i="34"/>
  <c r="O4469" i="34"/>
  <c r="O4470" i="34"/>
  <c r="O4471" i="34"/>
  <c r="O4472" i="34"/>
  <c r="O4473" i="34"/>
  <c r="O4474" i="34"/>
  <c r="O4475" i="34"/>
  <c r="O4476" i="34"/>
  <c r="O4477" i="34"/>
  <c r="O4478" i="34"/>
  <c r="O4479" i="34"/>
  <c r="O4480" i="34"/>
  <c r="O4481" i="34"/>
  <c r="O4482" i="34"/>
  <c r="O4483" i="34"/>
  <c r="O4484" i="34"/>
  <c r="O4485" i="34"/>
  <c r="O4486" i="34"/>
  <c r="O4487" i="34"/>
  <c r="O4488" i="34"/>
  <c r="O4489" i="34"/>
  <c r="O4490" i="34"/>
  <c r="O4491" i="34"/>
  <c r="O4492" i="34"/>
  <c r="O4493" i="34"/>
  <c r="O4494" i="34"/>
  <c r="O4495" i="34"/>
  <c r="O4496" i="34"/>
  <c r="O4497" i="34"/>
  <c r="O4498" i="34"/>
  <c r="O4499" i="34"/>
  <c r="O4500" i="34"/>
  <c r="O4501" i="34"/>
  <c r="O4502" i="34"/>
  <c r="O4503" i="34"/>
  <c r="O4504" i="34"/>
  <c r="O4505" i="34"/>
  <c r="O4506" i="34"/>
  <c r="O4507" i="34"/>
  <c r="O4508" i="34"/>
  <c r="O4509" i="34"/>
  <c r="O4510" i="34"/>
  <c r="O4511" i="34"/>
  <c r="O4512" i="34"/>
  <c r="O4513" i="34"/>
  <c r="O4514" i="34"/>
  <c r="O4515" i="34"/>
  <c r="O4516" i="34"/>
  <c r="O4517" i="34"/>
  <c r="O4518" i="34"/>
  <c r="O4519" i="34"/>
  <c r="O4520" i="34"/>
  <c r="O4521" i="34"/>
  <c r="O4522" i="34"/>
  <c r="O4523" i="34"/>
  <c r="O4524" i="34"/>
  <c r="O4525" i="34"/>
  <c r="O4526" i="34"/>
  <c r="O4527" i="34"/>
  <c r="O4528" i="34"/>
  <c r="O4529" i="34"/>
  <c r="O4530" i="34"/>
  <c r="O4531" i="34"/>
  <c r="O4532" i="34"/>
  <c r="O4533" i="34"/>
  <c r="O4534" i="34"/>
  <c r="O4535" i="34"/>
  <c r="O4536" i="34"/>
  <c r="O4537" i="34"/>
  <c r="O4538" i="34"/>
  <c r="O4539" i="34"/>
  <c r="O4540" i="34"/>
  <c r="O4541" i="34"/>
  <c r="O4542" i="34"/>
  <c r="O4543" i="34"/>
  <c r="O4544" i="34"/>
  <c r="O4545" i="34"/>
  <c r="O4546" i="34"/>
  <c r="O4547" i="34"/>
  <c r="O4548" i="34"/>
  <c r="O4549" i="34"/>
  <c r="O4550" i="34"/>
  <c r="O4551" i="34"/>
  <c r="O4552" i="34"/>
  <c r="O4553" i="34"/>
  <c r="O4554" i="34"/>
  <c r="O4555" i="34"/>
  <c r="O4556" i="34"/>
  <c r="O4557" i="34"/>
  <c r="O4558" i="34"/>
  <c r="O4559" i="34"/>
  <c r="O4560" i="34"/>
  <c r="O4561" i="34"/>
  <c r="O4562" i="34"/>
  <c r="O4563" i="34"/>
  <c r="O4564" i="34"/>
  <c r="O4565" i="34"/>
  <c r="O4566" i="34"/>
  <c r="O4567" i="34"/>
  <c r="O4568" i="34"/>
  <c r="O4569" i="34"/>
  <c r="O4570" i="34"/>
  <c r="O4571" i="34"/>
  <c r="O4572" i="34"/>
  <c r="O4573" i="34"/>
  <c r="O4574" i="34"/>
  <c r="O4575" i="34"/>
  <c r="O4576" i="34"/>
  <c r="O4577" i="34"/>
  <c r="O4578" i="34"/>
  <c r="O4579" i="34"/>
  <c r="O4580" i="34"/>
  <c r="O4581" i="34"/>
  <c r="O4582" i="34"/>
  <c r="O4583" i="34"/>
  <c r="O4584" i="34"/>
  <c r="O4585" i="34"/>
  <c r="O4586" i="34"/>
  <c r="O4587" i="34"/>
  <c r="O4588" i="34"/>
  <c r="O4589" i="34"/>
  <c r="O4590" i="34"/>
  <c r="O4591" i="34"/>
  <c r="O4592" i="34"/>
  <c r="O4593" i="34"/>
  <c r="O4594" i="34"/>
  <c r="O4595" i="34"/>
  <c r="O4596" i="34"/>
  <c r="O4597" i="34"/>
  <c r="O4598" i="34"/>
  <c r="O4599" i="34"/>
  <c r="O4600" i="34"/>
  <c r="O4601" i="34"/>
  <c r="O4602" i="34"/>
  <c r="O4603" i="34"/>
  <c r="O4604" i="34"/>
  <c r="O4605" i="34"/>
  <c r="O4606" i="34"/>
  <c r="O4607" i="34"/>
  <c r="O4608" i="34"/>
  <c r="O4609" i="34"/>
  <c r="O4610" i="34"/>
  <c r="O4611" i="34"/>
  <c r="O4612" i="34"/>
  <c r="O4613" i="34"/>
  <c r="O4614" i="34"/>
  <c r="O4615" i="34"/>
  <c r="O4616" i="34"/>
  <c r="O4617" i="34"/>
  <c r="O4618" i="34"/>
  <c r="O4619" i="34"/>
  <c r="O4620" i="34"/>
  <c r="O4621" i="34"/>
  <c r="O4622" i="34"/>
  <c r="O4623" i="34"/>
  <c r="O4624" i="34"/>
  <c r="O4625" i="34"/>
  <c r="O4626" i="34"/>
  <c r="O4627" i="34"/>
  <c r="O4628" i="34"/>
  <c r="O4629" i="34"/>
  <c r="O4630" i="34"/>
  <c r="O4631" i="34"/>
  <c r="O4632" i="34"/>
  <c r="O4633" i="34"/>
  <c r="O4634" i="34"/>
  <c r="O4635" i="34"/>
  <c r="O4636" i="34"/>
  <c r="O4637" i="34"/>
  <c r="O4638" i="34"/>
  <c r="O4639" i="34"/>
  <c r="O4640" i="34"/>
  <c r="O4641" i="34"/>
  <c r="O4642" i="34"/>
  <c r="O4643" i="34"/>
  <c r="O4644" i="34"/>
  <c r="O4645" i="34"/>
  <c r="O4646" i="34"/>
  <c r="O4647" i="34"/>
  <c r="O4648" i="34"/>
  <c r="O4649" i="34"/>
  <c r="O4650" i="34"/>
  <c r="O4651" i="34"/>
  <c r="O4652" i="34"/>
  <c r="O4653" i="34"/>
  <c r="O4654" i="34"/>
  <c r="O4655" i="34"/>
  <c r="O4656" i="34"/>
  <c r="O4657" i="34"/>
  <c r="O4658" i="34"/>
  <c r="O4659" i="34"/>
  <c r="O4660" i="34"/>
  <c r="O4661" i="34"/>
  <c r="O4662" i="34"/>
  <c r="O4663" i="34"/>
  <c r="O4664" i="34"/>
  <c r="O4665" i="34"/>
  <c r="O4666" i="34"/>
  <c r="O4667" i="34"/>
  <c r="O4668" i="34"/>
  <c r="O4669" i="34"/>
  <c r="O4670" i="34"/>
  <c r="O4671" i="34"/>
  <c r="O4672" i="34"/>
  <c r="O4673" i="34"/>
  <c r="O4674" i="34"/>
  <c r="O4675" i="34"/>
  <c r="O4676" i="34"/>
  <c r="O4677" i="34"/>
  <c r="O4678" i="34"/>
  <c r="O4679" i="34"/>
  <c r="O4680" i="34"/>
  <c r="O4681" i="34"/>
  <c r="O4682" i="34"/>
  <c r="O4683" i="34"/>
  <c r="O4684" i="34"/>
  <c r="O4685" i="34"/>
  <c r="O4686" i="34"/>
  <c r="O4687" i="34"/>
  <c r="O4688" i="34"/>
  <c r="O4689" i="34"/>
  <c r="O4690" i="34"/>
  <c r="O4691" i="34"/>
  <c r="O4692" i="34"/>
  <c r="O4693" i="34"/>
  <c r="O4694" i="34"/>
  <c r="O4695" i="34"/>
  <c r="O4696" i="34"/>
  <c r="O4697" i="34"/>
  <c r="O4698" i="34"/>
  <c r="O4699" i="34"/>
  <c r="O4700" i="34"/>
  <c r="O4701" i="34"/>
  <c r="O4702" i="34"/>
  <c r="O4703" i="34"/>
  <c r="O4704" i="34"/>
  <c r="O4705" i="34"/>
  <c r="O4706" i="34"/>
  <c r="O4707" i="34"/>
  <c r="O4708" i="34"/>
  <c r="O4709" i="34"/>
  <c r="O4710" i="34"/>
  <c r="O4711" i="34"/>
  <c r="O4712" i="34"/>
  <c r="O4713" i="34"/>
  <c r="O4714" i="34"/>
  <c r="O4715" i="34"/>
  <c r="O4716" i="34"/>
  <c r="O4717" i="34"/>
  <c r="O4718" i="34"/>
  <c r="O4719" i="34"/>
  <c r="O4720" i="34"/>
  <c r="O4721" i="34"/>
  <c r="O4722" i="34"/>
  <c r="O4723" i="34"/>
  <c r="O4724" i="34"/>
  <c r="O4725" i="34"/>
  <c r="O4726" i="34"/>
  <c r="O4727" i="34"/>
  <c r="O4728" i="34"/>
  <c r="O4729" i="34"/>
  <c r="O4730" i="34"/>
  <c r="O4731" i="34"/>
  <c r="O4732" i="34"/>
  <c r="O4733" i="34"/>
  <c r="O4734" i="34"/>
  <c r="O4735" i="34"/>
  <c r="O4736" i="34"/>
  <c r="O4737" i="34"/>
  <c r="O4738" i="34"/>
  <c r="O4739" i="34"/>
  <c r="O4740" i="34"/>
  <c r="O4741" i="34"/>
  <c r="O4742" i="34"/>
  <c r="O4743" i="34"/>
  <c r="O4744" i="34"/>
  <c r="O4745" i="34"/>
  <c r="O4746" i="34"/>
  <c r="O4747" i="34"/>
  <c r="O4748" i="34"/>
  <c r="O4749" i="34"/>
  <c r="O4750" i="34"/>
  <c r="O4751" i="34"/>
  <c r="O4752" i="34"/>
  <c r="O4753" i="34"/>
  <c r="O4754" i="34"/>
  <c r="O4755" i="34"/>
  <c r="O4756" i="34"/>
  <c r="O4757" i="34"/>
  <c r="O4758" i="34"/>
  <c r="O4759" i="34"/>
  <c r="O4760" i="34"/>
  <c r="O4761" i="34"/>
  <c r="O4762" i="34"/>
  <c r="O4763" i="34"/>
  <c r="O4764" i="34"/>
  <c r="O4765" i="34"/>
  <c r="O4766" i="34"/>
  <c r="O4767" i="34"/>
  <c r="O4768" i="34"/>
  <c r="O4769" i="34"/>
  <c r="O4770" i="34"/>
  <c r="O4771" i="34"/>
  <c r="O4772" i="34"/>
  <c r="O4773" i="34"/>
  <c r="O4774" i="34"/>
  <c r="O4775" i="34"/>
  <c r="O4776" i="34"/>
  <c r="O4777" i="34"/>
  <c r="O4778" i="34"/>
  <c r="O4779" i="34"/>
  <c r="O4780" i="34"/>
  <c r="O4781" i="34"/>
  <c r="O4782" i="34"/>
  <c r="O4783" i="34"/>
  <c r="O4784" i="34"/>
  <c r="O4785" i="34"/>
  <c r="O4786" i="34"/>
  <c r="O4787" i="34"/>
  <c r="O4788" i="34"/>
  <c r="O4789" i="34"/>
  <c r="O4790" i="34"/>
  <c r="O4791" i="34"/>
  <c r="O4792" i="34"/>
  <c r="O4793" i="34"/>
  <c r="O4794" i="34"/>
  <c r="O4795" i="34"/>
  <c r="O4796" i="34"/>
  <c r="O4797" i="34"/>
  <c r="O4798" i="34"/>
  <c r="O4799" i="34"/>
  <c r="O4800" i="34"/>
  <c r="O4801" i="34"/>
  <c r="O4802" i="34"/>
  <c r="O4803" i="34"/>
  <c r="O4804" i="34"/>
  <c r="O4805" i="34"/>
  <c r="O4806" i="34"/>
  <c r="O4807" i="34"/>
  <c r="O4808" i="34"/>
  <c r="O4809" i="34"/>
  <c r="O4810" i="34"/>
  <c r="O4811" i="34"/>
  <c r="O4812" i="34"/>
  <c r="O4813" i="34"/>
  <c r="O4814" i="34"/>
  <c r="O4815" i="34"/>
  <c r="O4816" i="34"/>
  <c r="O4817" i="34"/>
  <c r="O4818" i="34"/>
  <c r="O4819" i="34"/>
  <c r="O4820" i="34"/>
  <c r="O4821" i="34"/>
  <c r="O4822" i="34"/>
  <c r="O4823" i="34"/>
  <c r="O4824" i="34"/>
  <c r="O4825" i="34"/>
  <c r="O4826" i="34"/>
  <c r="O4827" i="34"/>
  <c r="O4828" i="34"/>
  <c r="O4829" i="34"/>
  <c r="O4830" i="34"/>
  <c r="O4831" i="34"/>
  <c r="O4832" i="34"/>
  <c r="O4833" i="34"/>
  <c r="O4834" i="34"/>
  <c r="O4835" i="34"/>
  <c r="O4836" i="34"/>
  <c r="O4837" i="34"/>
  <c r="O4838" i="34"/>
  <c r="O4839" i="34"/>
  <c r="O4840" i="34"/>
  <c r="O4841" i="34"/>
  <c r="O4842" i="34"/>
  <c r="O4843" i="34"/>
  <c r="O4844" i="34"/>
  <c r="O4845" i="34"/>
  <c r="O4846" i="34"/>
  <c r="O4847" i="34"/>
  <c r="O4848" i="34"/>
  <c r="O4849" i="34"/>
  <c r="O4850" i="34"/>
  <c r="O4851" i="34"/>
  <c r="O4852" i="34"/>
  <c r="O4853" i="34"/>
  <c r="O4854" i="34"/>
  <c r="O4855" i="34"/>
  <c r="O4856" i="34"/>
  <c r="O4857" i="34"/>
  <c r="O4858" i="34"/>
  <c r="O4859" i="34"/>
  <c r="O4860" i="34"/>
  <c r="O4861" i="34"/>
  <c r="O4862" i="34"/>
  <c r="O4863" i="34"/>
  <c r="O4864" i="34"/>
  <c r="O4865" i="34"/>
  <c r="O4866" i="34"/>
  <c r="O4867" i="34"/>
  <c r="O4868" i="34"/>
  <c r="O4869" i="34"/>
  <c r="O4870" i="34"/>
  <c r="O4871" i="34"/>
  <c r="O4872" i="34"/>
  <c r="O4873" i="34"/>
  <c r="O4874" i="34"/>
  <c r="O4875" i="34"/>
  <c r="O4876" i="34"/>
  <c r="O4877" i="34"/>
  <c r="O4878" i="34"/>
  <c r="O4879" i="34"/>
  <c r="O4880" i="34"/>
  <c r="O4881" i="34"/>
  <c r="O4882" i="34"/>
  <c r="O4883" i="34"/>
  <c r="O4884" i="34"/>
  <c r="O4885" i="34"/>
  <c r="O4886" i="34"/>
  <c r="O4887" i="34"/>
  <c r="O4888" i="34"/>
  <c r="O4889" i="34"/>
  <c r="O4890" i="34"/>
  <c r="O4891" i="34"/>
  <c r="O4892" i="34"/>
  <c r="O4893" i="34"/>
  <c r="O4894" i="34"/>
  <c r="O4895" i="34"/>
  <c r="O4896" i="34"/>
  <c r="O4897" i="34"/>
  <c r="O4898" i="34"/>
  <c r="O4899" i="34"/>
  <c r="O4900" i="34"/>
  <c r="O4901" i="34"/>
  <c r="O4902" i="34"/>
  <c r="O4903" i="34"/>
  <c r="O4904" i="34"/>
  <c r="O4905" i="34"/>
  <c r="O4906" i="34"/>
  <c r="O4907" i="34"/>
  <c r="O4908" i="34"/>
  <c r="O4909" i="34"/>
  <c r="O4910" i="34"/>
  <c r="O4911" i="34"/>
  <c r="O4912" i="34"/>
  <c r="O4913" i="34"/>
  <c r="O4914" i="34"/>
  <c r="O4915" i="34"/>
  <c r="O4916" i="34"/>
  <c r="O4917" i="34"/>
  <c r="O4918" i="34"/>
  <c r="O4919" i="34"/>
  <c r="O4920" i="34"/>
  <c r="O4921" i="34"/>
  <c r="O4922" i="34"/>
  <c r="O4923" i="34"/>
  <c r="O4924" i="34"/>
  <c r="O4925" i="34"/>
  <c r="O4926" i="34"/>
  <c r="O4927" i="34"/>
  <c r="O4928" i="34"/>
  <c r="O4929" i="34"/>
  <c r="O4930" i="34"/>
  <c r="O4931" i="34"/>
  <c r="O4932" i="34"/>
  <c r="O4933" i="34"/>
  <c r="O4934" i="34"/>
  <c r="O4935" i="34"/>
  <c r="O4936" i="34"/>
  <c r="O4937" i="34"/>
  <c r="O4938" i="34"/>
  <c r="O4939" i="34"/>
  <c r="O4940" i="34"/>
  <c r="O4941" i="34"/>
  <c r="O4942" i="34"/>
  <c r="O4943" i="34"/>
  <c r="O4944" i="34"/>
  <c r="O4945" i="34"/>
  <c r="O4946" i="34"/>
  <c r="O4947" i="34"/>
  <c r="O4948" i="34"/>
  <c r="O4949" i="34"/>
  <c r="O4950" i="34"/>
  <c r="O4951" i="34"/>
  <c r="O4952" i="34"/>
  <c r="O4953" i="34"/>
  <c r="O4954" i="34"/>
  <c r="O4955" i="34"/>
  <c r="O4956" i="34"/>
  <c r="O4957" i="34"/>
  <c r="O4958" i="34"/>
  <c r="O4959" i="34"/>
  <c r="O4960" i="34"/>
  <c r="O4961" i="34"/>
  <c r="O4962" i="34"/>
  <c r="O4963" i="34"/>
  <c r="O4964" i="34"/>
  <c r="O4965" i="34"/>
  <c r="O4966" i="34"/>
  <c r="O4967" i="34"/>
  <c r="O4968" i="34"/>
  <c r="O4969" i="34"/>
  <c r="O4970" i="34"/>
  <c r="O4971" i="34"/>
  <c r="O4972" i="34"/>
  <c r="O4973" i="34"/>
  <c r="O4974" i="34"/>
  <c r="O4975" i="34"/>
  <c r="O4976" i="34"/>
  <c r="O4977" i="34"/>
  <c r="O4978" i="34"/>
  <c r="O4979" i="34"/>
  <c r="O4980" i="34"/>
  <c r="O4981" i="34"/>
  <c r="O4982" i="34"/>
  <c r="O4983" i="34"/>
  <c r="O4984" i="34"/>
  <c r="O4985" i="34"/>
  <c r="O4986" i="34"/>
  <c r="O4987" i="34"/>
  <c r="O4988" i="34"/>
  <c r="O4989" i="34"/>
  <c r="O4990" i="34"/>
  <c r="O4991" i="34"/>
  <c r="O4992" i="34"/>
  <c r="O4993" i="34"/>
  <c r="O4994" i="34"/>
  <c r="O4995" i="34"/>
  <c r="O4996" i="34"/>
  <c r="O4997" i="34"/>
  <c r="O4998" i="34"/>
  <c r="O4999" i="34"/>
  <c r="O5000" i="34"/>
  <c r="O5001" i="34"/>
  <c r="O5002" i="34"/>
  <c r="O5003" i="34"/>
  <c r="O5004" i="34"/>
  <c r="O5005" i="34"/>
  <c r="O5006" i="34"/>
  <c r="O5007" i="34"/>
  <c r="O5008" i="34"/>
  <c r="O5009" i="34"/>
  <c r="O5010" i="34"/>
  <c r="O5011" i="34"/>
  <c r="O5012" i="34"/>
  <c r="O5013" i="34"/>
  <c r="O5014" i="34"/>
  <c r="O5015" i="34"/>
  <c r="O5016" i="34"/>
  <c r="O5017" i="34"/>
  <c r="O5018" i="34"/>
  <c r="O5019" i="34"/>
  <c r="O5020" i="34"/>
  <c r="O5021" i="34"/>
  <c r="O5022" i="34"/>
  <c r="O5023" i="34"/>
  <c r="O5024" i="34"/>
  <c r="O5025" i="34"/>
  <c r="O5026" i="34"/>
  <c r="O5027" i="34"/>
  <c r="O5028" i="34"/>
  <c r="O5029" i="34"/>
  <c r="O5030" i="34"/>
  <c r="O5031" i="34"/>
  <c r="O5032" i="34"/>
  <c r="O5033" i="34"/>
  <c r="O5034" i="34"/>
  <c r="O5035" i="34"/>
  <c r="O5036" i="34"/>
  <c r="O5037" i="34"/>
  <c r="O5038" i="34"/>
  <c r="O5039" i="34"/>
  <c r="O5040" i="34"/>
  <c r="O5041" i="34"/>
  <c r="O5042" i="34"/>
  <c r="O5043" i="34"/>
  <c r="O5044" i="34"/>
  <c r="O5045" i="34"/>
  <c r="O5046" i="34"/>
  <c r="O5047" i="34"/>
  <c r="O5048" i="34"/>
  <c r="O5049" i="34"/>
  <c r="O5050" i="34"/>
  <c r="O5051" i="34"/>
  <c r="O5052" i="34"/>
  <c r="O5053" i="34"/>
  <c r="O5054" i="34"/>
  <c r="O5055" i="34"/>
  <c r="O5056" i="34"/>
  <c r="O5057" i="34"/>
  <c r="O5058" i="34"/>
  <c r="O5059" i="34"/>
  <c r="O5060" i="34"/>
  <c r="O5061" i="34"/>
  <c r="O5062" i="34"/>
  <c r="O5063" i="34"/>
  <c r="O5064" i="34"/>
  <c r="O5065" i="34"/>
  <c r="O5066" i="34"/>
  <c r="O5067" i="34"/>
  <c r="O5068" i="34"/>
  <c r="O5069" i="34"/>
  <c r="O5070" i="34"/>
  <c r="O5071" i="34"/>
  <c r="O5072" i="34"/>
  <c r="O5073" i="34"/>
  <c r="O5074" i="34"/>
  <c r="O5075" i="34"/>
  <c r="O5076" i="34"/>
  <c r="O5077" i="34"/>
  <c r="O5078" i="34"/>
  <c r="O5079" i="34"/>
  <c r="O5080" i="34"/>
  <c r="O5081" i="34"/>
  <c r="O5082" i="34"/>
  <c r="O5083" i="34"/>
  <c r="O5084" i="34"/>
  <c r="O5085" i="34"/>
  <c r="O5086" i="34"/>
  <c r="O5087" i="34"/>
  <c r="O5088" i="34"/>
  <c r="O5089" i="34"/>
  <c r="O5090" i="34"/>
  <c r="O5091" i="34"/>
  <c r="O5092" i="34"/>
  <c r="O5093" i="34"/>
  <c r="O5094" i="34"/>
  <c r="O5095" i="34"/>
  <c r="O5096" i="34"/>
  <c r="O5097" i="34"/>
  <c r="O5098" i="34"/>
  <c r="O5099" i="34"/>
  <c r="O5100" i="34"/>
  <c r="O5101" i="34"/>
  <c r="O5102" i="34"/>
  <c r="O5103" i="34"/>
  <c r="O5104" i="34"/>
  <c r="O5105" i="34"/>
  <c r="O5106" i="34"/>
  <c r="O5107" i="34"/>
  <c r="O5108" i="34"/>
  <c r="O5109" i="34"/>
  <c r="O5110" i="34"/>
  <c r="O5111" i="34"/>
  <c r="O5112" i="34"/>
  <c r="O5113" i="34"/>
  <c r="O5114" i="34"/>
  <c r="O5115" i="34"/>
  <c r="O5116" i="34"/>
  <c r="O5117" i="34"/>
  <c r="O5118" i="34"/>
  <c r="O5119" i="34"/>
  <c r="O5120" i="34"/>
  <c r="O5121" i="34"/>
  <c r="O5122" i="34"/>
  <c r="O5123" i="34"/>
  <c r="O5124" i="34"/>
  <c r="O5125" i="34"/>
  <c r="O5126" i="34"/>
  <c r="O5127" i="34"/>
  <c r="O5128" i="34"/>
  <c r="O5129" i="34"/>
  <c r="O5130" i="34"/>
  <c r="O5131" i="34"/>
  <c r="O5132" i="34"/>
  <c r="O5133" i="34"/>
  <c r="O5134" i="34"/>
  <c r="O5135" i="34"/>
  <c r="O5136" i="34"/>
  <c r="O5137" i="34"/>
  <c r="O5138" i="34"/>
  <c r="O5139" i="34"/>
  <c r="O5140" i="34"/>
  <c r="O5141" i="34"/>
  <c r="O5142" i="34"/>
  <c r="O5143" i="34"/>
  <c r="O5144" i="34"/>
  <c r="O5145" i="34"/>
  <c r="O5146" i="34"/>
  <c r="O5147" i="34"/>
  <c r="O5148" i="34"/>
  <c r="O5149" i="34"/>
  <c r="O5150" i="34"/>
  <c r="O5151" i="34"/>
  <c r="O5152" i="34"/>
  <c r="O5153" i="34"/>
  <c r="O5154" i="34"/>
  <c r="O5155" i="34"/>
  <c r="O5156" i="34"/>
  <c r="O5157" i="34"/>
  <c r="O5158" i="34"/>
  <c r="O5159" i="34"/>
  <c r="O5160" i="34"/>
  <c r="O5161" i="34"/>
  <c r="O5162" i="34"/>
  <c r="O5163" i="34"/>
  <c r="O5164" i="34"/>
  <c r="O5165" i="34"/>
  <c r="O5166" i="34"/>
  <c r="O5167" i="34"/>
  <c r="O5168" i="34"/>
  <c r="O5169" i="34"/>
  <c r="O5170" i="34"/>
  <c r="O5171" i="34"/>
  <c r="O5172" i="34"/>
  <c r="O5173" i="34"/>
  <c r="O5174" i="34"/>
  <c r="O5175" i="34"/>
  <c r="O5176" i="34"/>
  <c r="O5177" i="34"/>
  <c r="O5178" i="34"/>
  <c r="O5179" i="34"/>
  <c r="O5180" i="34"/>
  <c r="O5181" i="34"/>
  <c r="O5182" i="34"/>
  <c r="O5183" i="34"/>
  <c r="O5184" i="34"/>
  <c r="O5185" i="34"/>
  <c r="O5186" i="34"/>
  <c r="O5187" i="34"/>
  <c r="O5188" i="34"/>
  <c r="O5189" i="34"/>
  <c r="O5190" i="34"/>
  <c r="O5191" i="34"/>
  <c r="O5192" i="34"/>
  <c r="O5193" i="34"/>
  <c r="O5194" i="34"/>
  <c r="O5195" i="34"/>
  <c r="O5196" i="34"/>
  <c r="O5197" i="34"/>
  <c r="O5198" i="34"/>
  <c r="O5199" i="34"/>
  <c r="O5200" i="34"/>
  <c r="O5201" i="34"/>
  <c r="O5202" i="34"/>
  <c r="O5203" i="34"/>
  <c r="O5204" i="34"/>
  <c r="O5205" i="34"/>
  <c r="O5206" i="34"/>
  <c r="O5207" i="34"/>
  <c r="O5208" i="34"/>
  <c r="O5209" i="34"/>
  <c r="O5210" i="34"/>
  <c r="O5211" i="34"/>
  <c r="O5212" i="34"/>
  <c r="O5213" i="34"/>
  <c r="O5214" i="34"/>
  <c r="O5215" i="34"/>
  <c r="O5216" i="34"/>
  <c r="O5217" i="34"/>
  <c r="O5218" i="34"/>
  <c r="O5219" i="34"/>
  <c r="O5220" i="34"/>
  <c r="O5221" i="34"/>
  <c r="O5222" i="34"/>
  <c r="O5223" i="34"/>
  <c r="O5224" i="34"/>
  <c r="O5225" i="34"/>
  <c r="O5226" i="34"/>
  <c r="O5227" i="34"/>
  <c r="O5228" i="34"/>
  <c r="O5229" i="34"/>
  <c r="O5230" i="34"/>
  <c r="O5231" i="34"/>
  <c r="O5232" i="34"/>
  <c r="O5233" i="34"/>
  <c r="O5234" i="34"/>
  <c r="O5235" i="34"/>
  <c r="O5236" i="34"/>
  <c r="O5237" i="34"/>
  <c r="O5238" i="34"/>
  <c r="O5239" i="34"/>
  <c r="O5240" i="34"/>
  <c r="O5241" i="34"/>
  <c r="O5242" i="34"/>
  <c r="O5243" i="34"/>
  <c r="O5244" i="34"/>
  <c r="O5245" i="34"/>
  <c r="O5246" i="34"/>
  <c r="O5247" i="34"/>
  <c r="O5248" i="34"/>
  <c r="O5249" i="34"/>
  <c r="O5250" i="34"/>
  <c r="O5251" i="34"/>
  <c r="O5252" i="34"/>
  <c r="O5253" i="34"/>
  <c r="O5254" i="34"/>
  <c r="O5255" i="34"/>
  <c r="O5256" i="34"/>
  <c r="O5257" i="34"/>
  <c r="O5258" i="34"/>
  <c r="O5259" i="34"/>
  <c r="O5260" i="34"/>
  <c r="O5261" i="34"/>
  <c r="O5262" i="34"/>
  <c r="O5263" i="34"/>
  <c r="O5264" i="34"/>
  <c r="O5265" i="34"/>
  <c r="O5266" i="34"/>
  <c r="O5267" i="34"/>
  <c r="O5268" i="34"/>
  <c r="O5269" i="34"/>
  <c r="O5270" i="34"/>
  <c r="O5271" i="34"/>
  <c r="O5272" i="34"/>
  <c r="O5273" i="34"/>
  <c r="O5274" i="34"/>
  <c r="O5275" i="34"/>
  <c r="O5276" i="34"/>
  <c r="O5277" i="34"/>
  <c r="O5278" i="34"/>
  <c r="O5279" i="34"/>
  <c r="O5280" i="34"/>
  <c r="O5281" i="34"/>
  <c r="O5282" i="34"/>
  <c r="O5283" i="34"/>
  <c r="O5284" i="34"/>
  <c r="O5285" i="34"/>
  <c r="O5286" i="34"/>
  <c r="O5287" i="34"/>
  <c r="O5288" i="34"/>
  <c r="O5289" i="34"/>
  <c r="O5290" i="34"/>
  <c r="O5291" i="34"/>
  <c r="O5292" i="34"/>
  <c r="O5293" i="34"/>
  <c r="O5294" i="34"/>
  <c r="O5295" i="34"/>
  <c r="O5296" i="34"/>
  <c r="O5297" i="34"/>
  <c r="O5298" i="34"/>
  <c r="O5299" i="34"/>
  <c r="O5300" i="34"/>
  <c r="O5301" i="34"/>
  <c r="O5302" i="34"/>
  <c r="O5303" i="34"/>
  <c r="O5304" i="34"/>
  <c r="O5305" i="34"/>
  <c r="O5306" i="34"/>
  <c r="O5307" i="34"/>
  <c r="O5308" i="34"/>
  <c r="O5309" i="34"/>
  <c r="O5310" i="34"/>
  <c r="O5311" i="34"/>
  <c r="O5312" i="34"/>
  <c r="O5313" i="34"/>
  <c r="O5314" i="34"/>
  <c r="O5315" i="34"/>
  <c r="O5316" i="34"/>
  <c r="O5317" i="34"/>
  <c r="O5318" i="34"/>
  <c r="O5319" i="34"/>
  <c r="O5320" i="34"/>
  <c r="O5321" i="34"/>
  <c r="O5322" i="34"/>
  <c r="O5323" i="34"/>
  <c r="O5324" i="34"/>
  <c r="O5325" i="34"/>
  <c r="O5326" i="34"/>
  <c r="O5327" i="34"/>
  <c r="O5328" i="34"/>
  <c r="O5329" i="34"/>
  <c r="O5330" i="34"/>
  <c r="O5331" i="34"/>
  <c r="O5332" i="34"/>
  <c r="O5333" i="34"/>
  <c r="O5334" i="34"/>
  <c r="O5335" i="34"/>
  <c r="O5336" i="34"/>
  <c r="O5337" i="34"/>
  <c r="O5338" i="34"/>
  <c r="O5339" i="34"/>
  <c r="O5340" i="34"/>
  <c r="O5341" i="34"/>
  <c r="O5342" i="34"/>
  <c r="O5343" i="34"/>
  <c r="O5344" i="34"/>
  <c r="O5345" i="34"/>
  <c r="O5346" i="34"/>
  <c r="O5347" i="34"/>
  <c r="O5348" i="34"/>
  <c r="O5349" i="34"/>
  <c r="O5350" i="34"/>
  <c r="O5351" i="34"/>
  <c r="O5352" i="34"/>
  <c r="O5353" i="34"/>
  <c r="O5354" i="34"/>
  <c r="O5355" i="34"/>
  <c r="O5356" i="34"/>
  <c r="O5357" i="34"/>
  <c r="O5358" i="34"/>
  <c r="O5359" i="34"/>
  <c r="O5360" i="34"/>
  <c r="O5361" i="34"/>
  <c r="O5362" i="34"/>
  <c r="O5363" i="34"/>
  <c r="O5364" i="34"/>
  <c r="O5365" i="34"/>
  <c r="O5366" i="34"/>
  <c r="O5367" i="34"/>
  <c r="O5368" i="34"/>
  <c r="O5369" i="34"/>
  <c r="O5370" i="34"/>
  <c r="O5371" i="34"/>
  <c r="O5372" i="34"/>
  <c r="O5373" i="34"/>
  <c r="O5374" i="34"/>
  <c r="O5375" i="34"/>
  <c r="O5376" i="34"/>
  <c r="O5377" i="34"/>
  <c r="O5378" i="34"/>
  <c r="O5379" i="34"/>
  <c r="O5380" i="34"/>
  <c r="O5381" i="34"/>
  <c r="O5382" i="34"/>
  <c r="O5383" i="34"/>
  <c r="O5384" i="34"/>
  <c r="O5385" i="34"/>
  <c r="O5386" i="34"/>
  <c r="O5387" i="34"/>
  <c r="O5388" i="34"/>
  <c r="O5389" i="34"/>
  <c r="O5390" i="34"/>
  <c r="O5391" i="34"/>
  <c r="O5392" i="34"/>
  <c r="O5393" i="34"/>
  <c r="O5394" i="34"/>
  <c r="O5395" i="34"/>
  <c r="O5396" i="34"/>
  <c r="O5397" i="34"/>
  <c r="O5398" i="34"/>
  <c r="O5399" i="34"/>
  <c r="O5400" i="34"/>
  <c r="O5401" i="34"/>
  <c r="O5402" i="34"/>
  <c r="O5403" i="34"/>
  <c r="O5404" i="34"/>
  <c r="O5405" i="34"/>
  <c r="O5406" i="34"/>
  <c r="O5407" i="34"/>
  <c r="O5408" i="34"/>
  <c r="O5409" i="34"/>
  <c r="O5410" i="34"/>
  <c r="O5411" i="34"/>
  <c r="O5412" i="34"/>
  <c r="O5413" i="34"/>
  <c r="O5414" i="34"/>
  <c r="O5415" i="34"/>
  <c r="O5416" i="34"/>
  <c r="O5417" i="34"/>
  <c r="O5418" i="34"/>
  <c r="O5419" i="34"/>
  <c r="O5420" i="34"/>
  <c r="O5421" i="34"/>
  <c r="O5422" i="34"/>
  <c r="O5423" i="34"/>
  <c r="O5424" i="34"/>
  <c r="O5425" i="34"/>
  <c r="O5426" i="34"/>
  <c r="O5427" i="34"/>
  <c r="O5428" i="34"/>
  <c r="O5429" i="34"/>
  <c r="O5430" i="34"/>
  <c r="O5431" i="34"/>
  <c r="O5432" i="34"/>
  <c r="O5433" i="34"/>
  <c r="O5434" i="34"/>
  <c r="O5435" i="34"/>
  <c r="O5436" i="34"/>
  <c r="O5437" i="34"/>
  <c r="O5438" i="34"/>
  <c r="O5439" i="34"/>
  <c r="O5440" i="34"/>
  <c r="O5441" i="34"/>
  <c r="O5442" i="34"/>
  <c r="O5443" i="34"/>
  <c r="O5444" i="34"/>
  <c r="O5445" i="34"/>
  <c r="O5446" i="34"/>
  <c r="O5447" i="34"/>
  <c r="O5448" i="34"/>
  <c r="O5449" i="34"/>
  <c r="O5450" i="34"/>
  <c r="O5451" i="34"/>
  <c r="O5452" i="34"/>
  <c r="O5453" i="34"/>
  <c r="O5454" i="34"/>
  <c r="O5455" i="34"/>
  <c r="O5456" i="34"/>
  <c r="O5457" i="34"/>
  <c r="O5458" i="34"/>
  <c r="O5459" i="34"/>
  <c r="O5460" i="34"/>
  <c r="O5461" i="34"/>
  <c r="O5462" i="34"/>
  <c r="O5463" i="34"/>
  <c r="O5464" i="34"/>
  <c r="O5465" i="34"/>
  <c r="O5466" i="34"/>
  <c r="O5467" i="34"/>
  <c r="O5468" i="34"/>
  <c r="O5469" i="34"/>
  <c r="O5470" i="34"/>
  <c r="O5471" i="34"/>
  <c r="O5472" i="34"/>
  <c r="O5473" i="34"/>
  <c r="O5474" i="34"/>
  <c r="O5475" i="34"/>
  <c r="O5476" i="34"/>
  <c r="O5477" i="34"/>
  <c r="O5478" i="34"/>
  <c r="O5479" i="34"/>
  <c r="O5480" i="34"/>
  <c r="O5481" i="34"/>
  <c r="O5482" i="34"/>
  <c r="O5483" i="34"/>
  <c r="O5484" i="34"/>
  <c r="O5485" i="34"/>
  <c r="O5486" i="34"/>
  <c r="O5487" i="34"/>
  <c r="O5488" i="34"/>
  <c r="O5489" i="34"/>
  <c r="O5490" i="34"/>
  <c r="O5491" i="34"/>
  <c r="O5492" i="34"/>
  <c r="O5493" i="34"/>
  <c r="O5494" i="34"/>
  <c r="O5495" i="34"/>
  <c r="O5496" i="34"/>
  <c r="O5497" i="34"/>
  <c r="O5498" i="34"/>
  <c r="O5499" i="34"/>
  <c r="O5500" i="34"/>
  <c r="O5501" i="34"/>
  <c r="O5502" i="34"/>
  <c r="O5503" i="34"/>
  <c r="O5504" i="34"/>
  <c r="O5505" i="34"/>
  <c r="O5506" i="34"/>
  <c r="O5507" i="34"/>
  <c r="O5508" i="34"/>
  <c r="O5509" i="34"/>
  <c r="O5510" i="34"/>
  <c r="O5511" i="34"/>
  <c r="O5512" i="34"/>
  <c r="O5513" i="34"/>
  <c r="O5514" i="34"/>
  <c r="O5515" i="34"/>
  <c r="O5516" i="34"/>
  <c r="O5517" i="34"/>
  <c r="O5518" i="34"/>
  <c r="O5519" i="34"/>
  <c r="O5520" i="34"/>
  <c r="O5521" i="34"/>
  <c r="O5522" i="34"/>
  <c r="O5523" i="34"/>
  <c r="O5524" i="34"/>
  <c r="O5525" i="34"/>
  <c r="O5526" i="34"/>
  <c r="O5527" i="34"/>
  <c r="O5528" i="34"/>
  <c r="O5529" i="34"/>
  <c r="O5530" i="34"/>
  <c r="O5531" i="34"/>
  <c r="O5532" i="34"/>
  <c r="O5533" i="34"/>
  <c r="O5534" i="34"/>
  <c r="O5535" i="34"/>
  <c r="O5536" i="34"/>
  <c r="O5537" i="34"/>
  <c r="O5538" i="34"/>
  <c r="O5539" i="34"/>
  <c r="O5540" i="34"/>
  <c r="O5541" i="34"/>
  <c r="O5542" i="34"/>
  <c r="O5543" i="34"/>
  <c r="O5544" i="34"/>
  <c r="O5545" i="34"/>
  <c r="O5546" i="34"/>
  <c r="O5547" i="34"/>
  <c r="O5548" i="34"/>
  <c r="O5549" i="34"/>
  <c r="O5550" i="34"/>
  <c r="O5551" i="34"/>
  <c r="O5552" i="34"/>
  <c r="O5553" i="34"/>
  <c r="O5554" i="34"/>
  <c r="O5555" i="34"/>
  <c r="O5556" i="34"/>
  <c r="O5557" i="34"/>
  <c r="O5558" i="34"/>
  <c r="O5559" i="34"/>
  <c r="O5560" i="34"/>
  <c r="O5561" i="34"/>
  <c r="O5562" i="34"/>
  <c r="O5563" i="34"/>
  <c r="O5564" i="34"/>
  <c r="O5565" i="34"/>
  <c r="O5566" i="34"/>
  <c r="O5567" i="34"/>
  <c r="O5568" i="34"/>
  <c r="O5569" i="34"/>
  <c r="O5570" i="34"/>
  <c r="O5571" i="34"/>
  <c r="O5572" i="34"/>
  <c r="O5573" i="34"/>
  <c r="O5574" i="34"/>
  <c r="O5575" i="34"/>
  <c r="O5576" i="34"/>
  <c r="O5577" i="34"/>
  <c r="O5578" i="34"/>
  <c r="O5579" i="34"/>
  <c r="O5580" i="34"/>
  <c r="O5581" i="34"/>
  <c r="O5582" i="34"/>
  <c r="O5583" i="34"/>
  <c r="O5584" i="34"/>
  <c r="O5585" i="34"/>
  <c r="O5586" i="34"/>
  <c r="O5587" i="34"/>
  <c r="O5588" i="34"/>
  <c r="O5589" i="34"/>
  <c r="O5590" i="34"/>
  <c r="O5591" i="34"/>
  <c r="O5592" i="34"/>
  <c r="O5593" i="34"/>
  <c r="O5594" i="34"/>
  <c r="O5595" i="34"/>
  <c r="O5596" i="34"/>
  <c r="O5597" i="34"/>
  <c r="O5598" i="34"/>
  <c r="O5599" i="34"/>
  <c r="O5600" i="34"/>
  <c r="O5601" i="34"/>
  <c r="O5602" i="34"/>
  <c r="O5603" i="34"/>
  <c r="O5604" i="34"/>
  <c r="O5605" i="34"/>
  <c r="O5606" i="34"/>
  <c r="O5607" i="34"/>
  <c r="O5608" i="34"/>
  <c r="O5609" i="34"/>
  <c r="O5610" i="34"/>
  <c r="O5611" i="34"/>
  <c r="O5612" i="34"/>
  <c r="O5613" i="34"/>
  <c r="O5614" i="34"/>
  <c r="O5615" i="34"/>
  <c r="O5616" i="34"/>
  <c r="O5617" i="34"/>
  <c r="O5618" i="34"/>
  <c r="O5619" i="34"/>
  <c r="O5620" i="34"/>
  <c r="O5621" i="34"/>
  <c r="O5622" i="34"/>
  <c r="O5623" i="34"/>
  <c r="O5624" i="34"/>
  <c r="O5625" i="34"/>
  <c r="O5626" i="34"/>
  <c r="O5627" i="34"/>
  <c r="O5628" i="34"/>
  <c r="O5629" i="34"/>
  <c r="O5630" i="34"/>
  <c r="O5631" i="34"/>
  <c r="O5632" i="34"/>
  <c r="O5633" i="34"/>
  <c r="O5634" i="34"/>
  <c r="O5635" i="34"/>
  <c r="O5636" i="34"/>
  <c r="O5637" i="34"/>
  <c r="O5638" i="34"/>
  <c r="O5639" i="34"/>
  <c r="O5640" i="34"/>
  <c r="O5641" i="34"/>
  <c r="O5642" i="34"/>
  <c r="O5643" i="34"/>
  <c r="O5644" i="34"/>
  <c r="O5645" i="34"/>
  <c r="O5646" i="34"/>
  <c r="O5647" i="34"/>
  <c r="O5648" i="34"/>
  <c r="O5649" i="34"/>
  <c r="O5650" i="34"/>
  <c r="O5651" i="34"/>
  <c r="O5652" i="34"/>
  <c r="O5653" i="34"/>
  <c r="O5654" i="34"/>
  <c r="O5655" i="34"/>
  <c r="O5656" i="34"/>
  <c r="O5657" i="34"/>
  <c r="O5658" i="34"/>
  <c r="O5659" i="34"/>
  <c r="O5660" i="34"/>
  <c r="O5661" i="34"/>
  <c r="O5662" i="34"/>
  <c r="O5663" i="34"/>
  <c r="O5664" i="34"/>
  <c r="O5665" i="34"/>
  <c r="O5666" i="34"/>
  <c r="O5667" i="34"/>
  <c r="O5668" i="34"/>
  <c r="O5669" i="34"/>
  <c r="O5670" i="34"/>
  <c r="O5671" i="34"/>
  <c r="O5672" i="34"/>
  <c r="O5673" i="34"/>
  <c r="O5674" i="34"/>
  <c r="O5675" i="34"/>
  <c r="O5676" i="34"/>
  <c r="O5677" i="34"/>
  <c r="O5678" i="34"/>
  <c r="O5679" i="34"/>
  <c r="O5680" i="34"/>
  <c r="O5681" i="34"/>
  <c r="O5682" i="34"/>
  <c r="O5683" i="34"/>
  <c r="O5684" i="34"/>
  <c r="O5685" i="34"/>
  <c r="O5686" i="34"/>
  <c r="O5687" i="34"/>
  <c r="O5688" i="34"/>
  <c r="O5689" i="34"/>
  <c r="O5690" i="34"/>
  <c r="O5691" i="34"/>
  <c r="O5692" i="34"/>
  <c r="O5693" i="34"/>
  <c r="O5694" i="34"/>
  <c r="O5695" i="34"/>
  <c r="O5696" i="34"/>
  <c r="O5697" i="34"/>
  <c r="O5698" i="34"/>
  <c r="O5699" i="34"/>
  <c r="O5700" i="34"/>
  <c r="O5701" i="34"/>
  <c r="O5702" i="34"/>
  <c r="O5703" i="34"/>
  <c r="O5704" i="34"/>
  <c r="O5705" i="34"/>
  <c r="O5706" i="34"/>
  <c r="O5707" i="34"/>
  <c r="O5708" i="34"/>
  <c r="O5709" i="34"/>
  <c r="O5710" i="34"/>
  <c r="O5711" i="34"/>
  <c r="O5712" i="34"/>
  <c r="O5713" i="34"/>
  <c r="O5714" i="34"/>
  <c r="O5715" i="34"/>
  <c r="O5716" i="34"/>
  <c r="O5717" i="34"/>
  <c r="O5718" i="34"/>
  <c r="O5719" i="34"/>
  <c r="O5720" i="34"/>
  <c r="O5721" i="34"/>
  <c r="O5722" i="34"/>
  <c r="O5723" i="34"/>
  <c r="O5724" i="34"/>
  <c r="O5725" i="34"/>
  <c r="O5726" i="34"/>
  <c r="O5727" i="34"/>
  <c r="O5728" i="34"/>
  <c r="O5729" i="34"/>
  <c r="O5730" i="34"/>
  <c r="O5731" i="34"/>
  <c r="O5732" i="34"/>
  <c r="O5733" i="34"/>
  <c r="O5734" i="34"/>
  <c r="O5735" i="34"/>
  <c r="O5736" i="34"/>
  <c r="O5737" i="34"/>
  <c r="O5738" i="34"/>
  <c r="O5739" i="34"/>
  <c r="O5740" i="34"/>
  <c r="O5741" i="34"/>
  <c r="O5742" i="34"/>
  <c r="O5743" i="34"/>
  <c r="O5744" i="34"/>
  <c r="O5745" i="34"/>
  <c r="O5746" i="34"/>
  <c r="O5747" i="34"/>
  <c r="O5748" i="34"/>
  <c r="O5749" i="34"/>
  <c r="O5750" i="34"/>
  <c r="O5751" i="34"/>
  <c r="O5752" i="34"/>
  <c r="O5753" i="34"/>
  <c r="O5754" i="34"/>
  <c r="O5755" i="34"/>
  <c r="O5756" i="34"/>
  <c r="O5757" i="34"/>
  <c r="O5758" i="34"/>
  <c r="O5759" i="34"/>
  <c r="O5760" i="34"/>
  <c r="O5761" i="34"/>
  <c r="O5762" i="34"/>
  <c r="O5763" i="34"/>
  <c r="O5764" i="34"/>
  <c r="O5765" i="34"/>
  <c r="O5766" i="34"/>
  <c r="O5767" i="34"/>
  <c r="O5768" i="34"/>
  <c r="O5769" i="34"/>
  <c r="O5770" i="34"/>
  <c r="O5771" i="34"/>
  <c r="O5772" i="34"/>
  <c r="O5773" i="34"/>
  <c r="O5774" i="34"/>
  <c r="O5775" i="34"/>
  <c r="O5776" i="34"/>
  <c r="O5777" i="34"/>
  <c r="O5778" i="34"/>
  <c r="O5779" i="34"/>
  <c r="O5780" i="34"/>
  <c r="O5781" i="34"/>
  <c r="O5782" i="34"/>
  <c r="O5783" i="34"/>
  <c r="O5784" i="34"/>
  <c r="O5785" i="34"/>
  <c r="O5786" i="34"/>
  <c r="O5787" i="34"/>
  <c r="O5788" i="34"/>
  <c r="O5789" i="34"/>
  <c r="O5790" i="34"/>
  <c r="O5791" i="34"/>
  <c r="O5792" i="34"/>
  <c r="O5793" i="34"/>
  <c r="O5794" i="34"/>
  <c r="O5795" i="34"/>
  <c r="O5796" i="34"/>
  <c r="O5797" i="34"/>
  <c r="O5798" i="34"/>
  <c r="O5799" i="34"/>
  <c r="O5800" i="34"/>
  <c r="O5801" i="34"/>
  <c r="O5802" i="34"/>
  <c r="O5803" i="34"/>
  <c r="O5804" i="34"/>
  <c r="O5805" i="34"/>
  <c r="O5806" i="34"/>
  <c r="O5807" i="34"/>
  <c r="O5808" i="34"/>
  <c r="O5809" i="34"/>
  <c r="O5810" i="34"/>
  <c r="O5811" i="34"/>
  <c r="O5812" i="34"/>
  <c r="O5813" i="34"/>
  <c r="O5814" i="34"/>
  <c r="O5815" i="34"/>
  <c r="O5816" i="34"/>
  <c r="O5817" i="34"/>
  <c r="O5818" i="34"/>
  <c r="O5819" i="34"/>
  <c r="O5820" i="34"/>
  <c r="O5821" i="34"/>
  <c r="O5822" i="34"/>
  <c r="O5823" i="34"/>
  <c r="O5824" i="34"/>
  <c r="O5825" i="34"/>
  <c r="O5826" i="34"/>
  <c r="O5827" i="34"/>
  <c r="O5828" i="34"/>
  <c r="O5829" i="34"/>
  <c r="O5830" i="34"/>
  <c r="O5831" i="34"/>
  <c r="O5832" i="34"/>
  <c r="O5833" i="34"/>
  <c r="O5834" i="34"/>
  <c r="O5835" i="34"/>
  <c r="O5836" i="34"/>
  <c r="O5837" i="34"/>
  <c r="O5838" i="34"/>
  <c r="O5839" i="34"/>
  <c r="O5840" i="34"/>
  <c r="O5841" i="34"/>
  <c r="O5842" i="34"/>
  <c r="O5843" i="34"/>
  <c r="O5844" i="34"/>
  <c r="O5845" i="34"/>
  <c r="O5846" i="34"/>
  <c r="O5847" i="34"/>
  <c r="O5848" i="34"/>
  <c r="O5849" i="34"/>
  <c r="O5850" i="34"/>
  <c r="O5851" i="34"/>
  <c r="O5852" i="34"/>
  <c r="O5853" i="34"/>
  <c r="O5854" i="34"/>
  <c r="O5855" i="34"/>
  <c r="O5856" i="34"/>
  <c r="O5857" i="34"/>
  <c r="O5858" i="34"/>
  <c r="O5859" i="34"/>
  <c r="O5860" i="34"/>
  <c r="O5861" i="34"/>
  <c r="O5862" i="34"/>
  <c r="O5863" i="34"/>
  <c r="O5864" i="34"/>
  <c r="O5865" i="34"/>
  <c r="O5866" i="34"/>
  <c r="O5867" i="34"/>
  <c r="O5868" i="34"/>
  <c r="O5869" i="34"/>
  <c r="O5870" i="34"/>
  <c r="O5871" i="34"/>
  <c r="O5872" i="34"/>
  <c r="O5873" i="34"/>
  <c r="O5874" i="34"/>
  <c r="O5875" i="34"/>
  <c r="O5876" i="34"/>
  <c r="O5877" i="34"/>
  <c r="O5878" i="34"/>
  <c r="O5879" i="34"/>
  <c r="O5880" i="34"/>
  <c r="O5881" i="34"/>
  <c r="O5882" i="34"/>
  <c r="O5883" i="34"/>
  <c r="O5884" i="34"/>
  <c r="O5885" i="34"/>
  <c r="O5886" i="34"/>
  <c r="O5887" i="34"/>
  <c r="O5888" i="34"/>
  <c r="O5889" i="34"/>
  <c r="O5890" i="34"/>
  <c r="O5891" i="34"/>
  <c r="O5892" i="34"/>
  <c r="O5893" i="34"/>
  <c r="O5894" i="34"/>
  <c r="O5895" i="34"/>
  <c r="O5896" i="34"/>
  <c r="O5897" i="34"/>
  <c r="O5898" i="34"/>
  <c r="O5899" i="34"/>
  <c r="O5900" i="34"/>
  <c r="O5901" i="34"/>
  <c r="O5902" i="34"/>
  <c r="O5903" i="34"/>
  <c r="O5904" i="34"/>
  <c r="O5905" i="34"/>
  <c r="O5906" i="34"/>
  <c r="O5907" i="34"/>
  <c r="O5908" i="34"/>
  <c r="O5909" i="34"/>
  <c r="O5910" i="34"/>
  <c r="O5911" i="34"/>
  <c r="O5912" i="34"/>
  <c r="O5913" i="34"/>
  <c r="O5914" i="34"/>
  <c r="O5915" i="34"/>
  <c r="O5916" i="34"/>
  <c r="O5917" i="34"/>
  <c r="O5918" i="34"/>
  <c r="O5919" i="34"/>
  <c r="O5920" i="34"/>
  <c r="O5921" i="34"/>
  <c r="O5922" i="34"/>
  <c r="O5923" i="34"/>
  <c r="O5924" i="34"/>
  <c r="O5925" i="34"/>
  <c r="O5926" i="34"/>
  <c r="O5927" i="34"/>
  <c r="O5928" i="34"/>
  <c r="O5929" i="34"/>
  <c r="O5930" i="34"/>
  <c r="O5931" i="34"/>
  <c r="O5932" i="34"/>
  <c r="O5933" i="34"/>
  <c r="O5934" i="34"/>
  <c r="O5935" i="34"/>
  <c r="O5936" i="34"/>
  <c r="O5937" i="34"/>
  <c r="O5938" i="34"/>
  <c r="O5939" i="34"/>
  <c r="O5940" i="34"/>
  <c r="O5941" i="34"/>
  <c r="O5942" i="34"/>
  <c r="O5943" i="34"/>
  <c r="O5944" i="34"/>
  <c r="O5945" i="34"/>
  <c r="O5946" i="34"/>
  <c r="O5947" i="34"/>
  <c r="O5948" i="34"/>
  <c r="O5949" i="34"/>
  <c r="O5950" i="34"/>
  <c r="O5951" i="34"/>
  <c r="O5952" i="34"/>
  <c r="O5953" i="34"/>
  <c r="O5954" i="34"/>
  <c r="O5955" i="34"/>
  <c r="O5956" i="34"/>
  <c r="O5957" i="34"/>
  <c r="O5958" i="34"/>
  <c r="O5959" i="34"/>
  <c r="O5960" i="34"/>
  <c r="O5961" i="34"/>
  <c r="O5962" i="34"/>
  <c r="O5963" i="34"/>
  <c r="O5964" i="34"/>
  <c r="O5965" i="34"/>
  <c r="O5966" i="34"/>
  <c r="O5967" i="34"/>
  <c r="O5968" i="34"/>
  <c r="O5969" i="34"/>
  <c r="O5970" i="34"/>
  <c r="O5971" i="34"/>
  <c r="O5972" i="34"/>
  <c r="O5973" i="34"/>
  <c r="O5974" i="34"/>
  <c r="O5975" i="34"/>
  <c r="O5976" i="34"/>
  <c r="O5977" i="34"/>
  <c r="O5978" i="34"/>
  <c r="O5979" i="34"/>
  <c r="O5980" i="34"/>
  <c r="O5981" i="34"/>
  <c r="O5982" i="34"/>
  <c r="O5983" i="34"/>
  <c r="O5984" i="34"/>
  <c r="O5985" i="34"/>
  <c r="O5986" i="34"/>
  <c r="O5987" i="34"/>
  <c r="O5988" i="34"/>
  <c r="O5989" i="34"/>
  <c r="O5990" i="34"/>
  <c r="O5991" i="34"/>
  <c r="O5992" i="34"/>
  <c r="O5993" i="34"/>
  <c r="O5994" i="34"/>
  <c r="O5995" i="34"/>
  <c r="O5996" i="34"/>
  <c r="O5997" i="34"/>
  <c r="O5998" i="34"/>
  <c r="O5999" i="34"/>
  <c r="O6000" i="34"/>
  <c r="O6001" i="34"/>
  <c r="O6002" i="34"/>
  <c r="O6003" i="34"/>
  <c r="O6004" i="34"/>
  <c r="O6005" i="34"/>
  <c r="O6006" i="34"/>
  <c r="O6007" i="34"/>
  <c r="O6008" i="34"/>
  <c r="O6009" i="34"/>
  <c r="O6010" i="34"/>
  <c r="O6011" i="34"/>
  <c r="O6012" i="34"/>
  <c r="O6013" i="34"/>
  <c r="O6014" i="34"/>
  <c r="O6015" i="34"/>
  <c r="O6016" i="34"/>
  <c r="O6017" i="34"/>
  <c r="O6018" i="34"/>
  <c r="O6019" i="34"/>
  <c r="O6020" i="34"/>
  <c r="O6021" i="34"/>
  <c r="O6022" i="34"/>
  <c r="O6023" i="34"/>
  <c r="O6024" i="34"/>
  <c r="O6025" i="34"/>
  <c r="O6026" i="34"/>
  <c r="O6027" i="34"/>
  <c r="O6028" i="34"/>
  <c r="O6029" i="34"/>
  <c r="O6030" i="34"/>
  <c r="O6031" i="34"/>
  <c r="O6032" i="34"/>
  <c r="O6033" i="34"/>
  <c r="O6034" i="34"/>
  <c r="O6035" i="34"/>
  <c r="O6036" i="34"/>
  <c r="O6037" i="34"/>
  <c r="O6038" i="34"/>
  <c r="O6039" i="34"/>
  <c r="O6040" i="34"/>
  <c r="O6041" i="34"/>
  <c r="O6042" i="34"/>
  <c r="O6043" i="34"/>
  <c r="O6044" i="34"/>
  <c r="O6045" i="34"/>
  <c r="O6046" i="34"/>
  <c r="O6047" i="34"/>
  <c r="O6048" i="34"/>
  <c r="O6049" i="34"/>
  <c r="O6050" i="34"/>
  <c r="O6051" i="34"/>
  <c r="O6052" i="34"/>
  <c r="O6053" i="34"/>
  <c r="O6054" i="34"/>
  <c r="O6055" i="34"/>
  <c r="O6056" i="34"/>
  <c r="O6057" i="34"/>
  <c r="O6058" i="34"/>
  <c r="O6059" i="34"/>
  <c r="O6060" i="34"/>
  <c r="O6061" i="34"/>
  <c r="O6062" i="34"/>
  <c r="O6063" i="34"/>
  <c r="O6064" i="34"/>
  <c r="O6065" i="34"/>
  <c r="O6066" i="34"/>
  <c r="O6067" i="34"/>
  <c r="O6068" i="34"/>
  <c r="O6069" i="34"/>
  <c r="O6070" i="34"/>
  <c r="O6071" i="34"/>
  <c r="O6072" i="34"/>
  <c r="O6073" i="34"/>
  <c r="O6074" i="34"/>
  <c r="O6075" i="34"/>
  <c r="O6076" i="34"/>
  <c r="O6077" i="34"/>
  <c r="O6078" i="34"/>
  <c r="O6079" i="34"/>
  <c r="O6080" i="34"/>
  <c r="O6081" i="34"/>
  <c r="O6082" i="34"/>
  <c r="O6083" i="34"/>
  <c r="O6084" i="34"/>
  <c r="O6085" i="34"/>
  <c r="O6086" i="34"/>
  <c r="O6087" i="34"/>
  <c r="O6088" i="34"/>
  <c r="O6089" i="34"/>
  <c r="O6090" i="34"/>
  <c r="O6091" i="34"/>
  <c r="O6092" i="34"/>
  <c r="O6093" i="34"/>
  <c r="O6094" i="34"/>
  <c r="O6095" i="34"/>
  <c r="O6096" i="34"/>
  <c r="O6097" i="34"/>
  <c r="O6098" i="34"/>
  <c r="O6099" i="34"/>
  <c r="O6100" i="34"/>
  <c r="O6101" i="34"/>
  <c r="O6102" i="34"/>
  <c r="O6103" i="34"/>
  <c r="O6104" i="34"/>
  <c r="O6105" i="34"/>
  <c r="O6106" i="34"/>
  <c r="O6107" i="34"/>
  <c r="O6108" i="34"/>
  <c r="O6109" i="34"/>
  <c r="O6110" i="34"/>
  <c r="O6111" i="34"/>
  <c r="O6112" i="34"/>
  <c r="O6113" i="34"/>
  <c r="O6114" i="34"/>
  <c r="O6115" i="34"/>
  <c r="O6116" i="34"/>
  <c r="O6117" i="34"/>
  <c r="O6118" i="34"/>
  <c r="O6119" i="34"/>
  <c r="O6120" i="34"/>
  <c r="O6121" i="34"/>
  <c r="O6122" i="34"/>
  <c r="O6123" i="34"/>
  <c r="O6124" i="34"/>
  <c r="O6125" i="34"/>
  <c r="O6126" i="34"/>
  <c r="O6127" i="34"/>
  <c r="O6128" i="34"/>
  <c r="O6129" i="34"/>
  <c r="O6130" i="34"/>
  <c r="O6131" i="34"/>
  <c r="O6132" i="34"/>
  <c r="O6133" i="34"/>
  <c r="O6134" i="34"/>
  <c r="O6135" i="34"/>
  <c r="O6136" i="34"/>
  <c r="O6137" i="34"/>
  <c r="O6138" i="34"/>
  <c r="O6139" i="34"/>
  <c r="O6140" i="34"/>
  <c r="O6141" i="34"/>
  <c r="O6142" i="34"/>
  <c r="O6143" i="34"/>
  <c r="O6144" i="34"/>
  <c r="O6145" i="34"/>
  <c r="O6146" i="34"/>
  <c r="O6147" i="34"/>
  <c r="O6148" i="34"/>
  <c r="O6149" i="34"/>
  <c r="O6150" i="34"/>
  <c r="O6151" i="34"/>
  <c r="O6152" i="34"/>
  <c r="O6153" i="34"/>
  <c r="O6154" i="34"/>
  <c r="O6155" i="34"/>
  <c r="O6156" i="34"/>
  <c r="O6157" i="34"/>
  <c r="O6158" i="34"/>
  <c r="O6159" i="34"/>
  <c r="O6160" i="34"/>
  <c r="O6161" i="34"/>
  <c r="O6162" i="34"/>
  <c r="O6163" i="34"/>
  <c r="O6164" i="34"/>
  <c r="O6165" i="34"/>
  <c r="O6166" i="34"/>
  <c r="O6167" i="34"/>
  <c r="O6168" i="34"/>
  <c r="O6169" i="34"/>
  <c r="O6170" i="34"/>
  <c r="O6171" i="34"/>
  <c r="O6172" i="34"/>
  <c r="O6173" i="34"/>
  <c r="O6174" i="34"/>
  <c r="O6175" i="34"/>
  <c r="O6176" i="34"/>
  <c r="O6177" i="34"/>
  <c r="O6178" i="34"/>
  <c r="O6179" i="34"/>
  <c r="O6180" i="34"/>
  <c r="O6181" i="34"/>
  <c r="O6182" i="34"/>
  <c r="O6183" i="34"/>
  <c r="O6184" i="34"/>
  <c r="O6185" i="34"/>
  <c r="O6186" i="34"/>
  <c r="O6187" i="34"/>
  <c r="O6188" i="34"/>
  <c r="O6189" i="34"/>
  <c r="O6190" i="34"/>
  <c r="O6191" i="34"/>
  <c r="O6192" i="34"/>
  <c r="O6193" i="34"/>
  <c r="O6194" i="34"/>
  <c r="O6195" i="34"/>
  <c r="O6196" i="34"/>
  <c r="O6197" i="34"/>
  <c r="O6198" i="34"/>
  <c r="O6199" i="34"/>
  <c r="O6200" i="34"/>
  <c r="O6201" i="34"/>
  <c r="O6202" i="34"/>
  <c r="O6203" i="34"/>
  <c r="O6204" i="34"/>
  <c r="O6205" i="34"/>
  <c r="O6206" i="34"/>
  <c r="O6207" i="34"/>
  <c r="O6208" i="34"/>
  <c r="O6209" i="34"/>
  <c r="O6210" i="34"/>
  <c r="O6211" i="34"/>
  <c r="O6212" i="34"/>
  <c r="O6213" i="34"/>
  <c r="O6214" i="34"/>
  <c r="O6215" i="34"/>
  <c r="O6216" i="34"/>
  <c r="O6217" i="34"/>
  <c r="O6218" i="34"/>
  <c r="O6219" i="34"/>
  <c r="O6220" i="34"/>
  <c r="O6221" i="34"/>
  <c r="O6222" i="34"/>
  <c r="O6223" i="34"/>
  <c r="O6224" i="34"/>
  <c r="O6225" i="34"/>
  <c r="O6226" i="34"/>
  <c r="O6227" i="34"/>
  <c r="O6228" i="34"/>
  <c r="O6229" i="34"/>
  <c r="O6230" i="34"/>
  <c r="O6231" i="34"/>
  <c r="O6232" i="34"/>
  <c r="O6233" i="34"/>
  <c r="O6234" i="34"/>
  <c r="O6235" i="34"/>
  <c r="O6236" i="34"/>
  <c r="O6237" i="34"/>
  <c r="O6238" i="34"/>
  <c r="O6239" i="34"/>
  <c r="O6240" i="34"/>
  <c r="O6241" i="34"/>
  <c r="O6242" i="34"/>
  <c r="O6243" i="34"/>
  <c r="O6244" i="34"/>
  <c r="O6245" i="34"/>
  <c r="O6246" i="34"/>
  <c r="O6247" i="34"/>
  <c r="O6248" i="34"/>
  <c r="O6249" i="34"/>
  <c r="O6250" i="34"/>
  <c r="O6251" i="34"/>
  <c r="O6252" i="34"/>
  <c r="O6253" i="34"/>
  <c r="O6254" i="34"/>
  <c r="O6255" i="34"/>
  <c r="O6256" i="34"/>
  <c r="O6257" i="34"/>
  <c r="O6258" i="34"/>
  <c r="O6259" i="34"/>
  <c r="O6260" i="34"/>
  <c r="O6261" i="34"/>
  <c r="O6262" i="34"/>
  <c r="O6263" i="34"/>
  <c r="O6264" i="34"/>
  <c r="O6265" i="34"/>
  <c r="O6266" i="34"/>
  <c r="O6267" i="34"/>
  <c r="O6268" i="34"/>
  <c r="O6269" i="34"/>
  <c r="O6270" i="34"/>
  <c r="O6271" i="34"/>
  <c r="O6272" i="34"/>
  <c r="O6273" i="34"/>
  <c r="O6274" i="34"/>
  <c r="O6275" i="34"/>
  <c r="O6276" i="34"/>
  <c r="O6277" i="34"/>
  <c r="O6278" i="34"/>
  <c r="O6279" i="34"/>
  <c r="O6280" i="34"/>
  <c r="O6281" i="34"/>
  <c r="O6282" i="34"/>
  <c r="O6283" i="34"/>
  <c r="O6284" i="34"/>
  <c r="O6285" i="34"/>
  <c r="O6286" i="34"/>
  <c r="O6287" i="34"/>
  <c r="O6288" i="34"/>
  <c r="O6289" i="34"/>
  <c r="O6290" i="34"/>
  <c r="O6291" i="34"/>
  <c r="O6292" i="34"/>
  <c r="O6293" i="34"/>
  <c r="O6294" i="34"/>
  <c r="O6295" i="34"/>
  <c r="O6296" i="34"/>
  <c r="O6297" i="34"/>
  <c r="O6298" i="34"/>
  <c r="O6299" i="34"/>
  <c r="O6300" i="34"/>
  <c r="O6301" i="34"/>
  <c r="O6302" i="34"/>
  <c r="O6303" i="34"/>
  <c r="O6304" i="34"/>
  <c r="O6305" i="34"/>
  <c r="O6306" i="34"/>
  <c r="O6307" i="34"/>
  <c r="O6308" i="34"/>
  <c r="O6309" i="34"/>
  <c r="O6310" i="34"/>
  <c r="O6311" i="34"/>
  <c r="O6312" i="34"/>
  <c r="O6313" i="34"/>
  <c r="O6314" i="34"/>
  <c r="O6315" i="34"/>
  <c r="O6316" i="34"/>
  <c r="O6317" i="34"/>
  <c r="O6318" i="34"/>
  <c r="O6319" i="34"/>
  <c r="O6320" i="34"/>
  <c r="O6321" i="34"/>
  <c r="O6322" i="34"/>
  <c r="O6323" i="34"/>
  <c r="O6324" i="34"/>
  <c r="O6325" i="34"/>
  <c r="O6326" i="34"/>
  <c r="O6327" i="34"/>
  <c r="O6328" i="34"/>
  <c r="O6329" i="34"/>
  <c r="O6330" i="34"/>
  <c r="O6331" i="34"/>
  <c r="O6332" i="34"/>
  <c r="O6333" i="34"/>
  <c r="O6334" i="34"/>
  <c r="O6335" i="34"/>
  <c r="O6336" i="34"/>
  <c r="O6337" i="34"/>
  <c r="O6338" i="34"/>
  <c r="O6339" i="34"/>
  <c r="O6340" i="34"/>
  <c r="O6341" i="34"/>
  <c r="O6342" i="34"/>
  <c r="O6343" i="34"/>
  <c r="O6344" i="34"/>
  <c r="O6345" i="34"/>
  <c r="O6346" i="34"/>
  <c r="O6347" i="34"/>
  <c r="O6348" i="34"/>
  <c r="O6349" i="34"/>
  <c r="O6350" i="34"/>
  <c r="O6351" i="34"/>
  <c r="O6352" i="34"/>
  <c r="O6353" i="34"/>
  <c r="O6354" i="34"/>
  <c r="O6355" i="34"/>
  <c r="O6356" i="34"/>
  <c r="O6357" i="34"/>
  <c r="O6358" i="34"/>
  <c r="O6359" i="34"/>
  <c r="O6360" i="34"/>
  <c r="O6361" i="34"/>
  <c r="O6362" i="34"/>
  <c r="O6363" i="34"/>
  <c r="O6364" i="34"/>
  <c r="O6365" i="34"/>
  <c r="O6366" i="34"/>
  <c r="O6367" i="34"/>
  <c r="O6368" i="34"/>
  <c r="O6369" i="34"/>
  <c r="O6370" i="34"/>
  <c r="O6371" i="34"/>
  <c r="O6372" i="34"/>
  <c r="O6373" i="34"/>
  <c r="O6374" i="34"/>
  <c r="O6375" i="34"/>
  <c r="O6376" i="34"/>
  <c r="O6377" i="34"/>
  <c r="O6378" i="34"/>
  <c r="O6379" i="34"/>
  <c r="O6380" i="34"/>
  <c r="O6381" i="34"/>
  <c r="O6382" i="34"/>
  <c r="O6383" i="34"/>
  <c r="O6384" i="34"/>
  <c r="O6385" i="34"/>
  <c r="O6386" i="34"/>
  <c r="O6387" i="34"/>
  <c r="O6388" i="34"/>
  <c r="O6389" i="34"/>
  <c r="O6390" i="34"/>
  <c r="O6391" i="34"/>
  <c r="O6392" i="34"/>
  <c r="O6393" i="34"/>
  <c r="O6394" i="34"/>
  <c r="O6395" i="34"/>
  <c r="O6396" i="34"/>
  <c r="O6397" i="34"/>
  <c r="O6398" i="34"/>
  <c r="O6399" i="34"/>
  <c r="O6400" i="34"/>
  <c r="O6401" i="34"/>
  <c r="O6402" i="34"/>
  <c r="O6403" i="34"/>
  <c r="O6404" i="34"/>
  <c r="O6405" i="34"/>
  <c r="O6406" i="34"/>
  <c r="O6407" i="34"/>
  <c r="O6408" i="34"/>
  <c r="O6409" i="34"/>
  <c r="O6410" i="34"/>
  <c r="O6411" i="34"/>
  <c r="O6412" i="34"/>
  <c r="O6413" i="34"/>
  <c r="O6414" i="34"/>
  <c r="O6415" i="34"/>
  <c r="O6416" i="34"/>
  <c r="O6417" i="34"/>
  <c r="O6418" i="34"/>
  <c r="O6419" i="34"/>
  <c r="O6420" i="34"/>
  <c r="O6421" i="34"/>
  <c r="O6422" i="34"/>
  <c r="O6423" i="34"/>
  <c r="O6424" i="34"/>
  <c r="O6425" i="34"/>
  <c r="O6426" i="34"/>
  <c r="O6427" i="34"/>
  <c r="O6428" i="34"/>
  <c r="O6429" i="34"/>
  <c r="O6430" i="34"/>
  <c r="O6431" i="34"/>
  <c r="O6432" i="34"/>
  <c r="O6433" i="34"/>
  <c r="O6434" i="34"/>
  <c r="O6435" i="34"/>
  <c r="O6436" i="34"/>
  <c r="O6437" i="34"/>
  <c r="O6438" i="34"/>
  <c r="O6439" i="34"/>
  <c r="O6440" i="34"/>
  <c r="O6441" i="34"/>
  <c r="O6442" i="34"/>
  <c r="O6443" i="34"/>
  <c r="O6444" i="34"/>
  <c r="O6445" i="34"/>
  <c r="O6446" i="34"/>
  <c r="O6447" i="34"/>
  <c r="O6448" i="34"/>
  <c r="O6449" i="34"/>
  <c r="O6450" i="34"/>
  <c r="O6451" i="34"/>
  <c r="O6452" i="34"/>
  <c r="O6453" i="34"/>
  <c r="O6454" i="34"/>
  <c r="O6455" i="34"/>
  <c r="O6456" i="34"/>
  <c r="O6457" i="34"/>
  <c r="O6458" i="34"/>
  <c r="O6459" i="34"/>
  <c r="O6460" i="34"/>
  <c r="O6461" i="34"/>
  <c r="O6462" i="34"/>
  <c r="O6463" i="34"/>
  <c r="O6464" i="34"/>
  <c r="O6465" i="34"/>
  <c r="O6466" i="34"/>
  <c r="O6467" i="34"/>
  <c r="O6468" i="34"/>
  <c r="O6469" i="34"/>
  <c r="O6470" i="34"/>
  <c r="O6471" i="34"/>
  <c r="O6472" i="34"/>
  <c r="O6473" i="34"/>
  <c r="O6474" i="34"/>
  <c r="O6475" i="34"/>
  <c r="O6476" i="34"/>
  <c r="O6477" i="34"/>
  <c r="O6478" i="34"/>
  <c r="O6479" i="34"/>
  <c r="O6480" i="34"/>
  <c r="O6481" i="34"/>
  <c r="O6482" i="34"/>
  <c r="O6483" i="34"/>
  <c r="O6484" i="34"/>
  <c r="O6485" i="34"/>
  <c r="O6486" i="34"/>
  <c r="O6487" i="34"/>
  <c r="O6488" i="34"/>
  <c r="O6489" i="34"/>
  <c r="O6490" i="34"/>
  <c r="O6491" i="34"/>
  <c r="O6492" i="34"/>
  <c r="O6493" i="34"/>
  <c r="O6494" i="34"/>
  <c r="O6495" i="34"/>
  <c r="O6496" i="34"/>
  <c r="O6497" i="34"/>
  <c r="O6498" i="34"/>
  <c r="O6499" i="34"/>
  <c r="O6500" i="34"/>
  <c r="O6501" i="34"/>
  <c r="O6502" i="34"/>
  <c r="O6503" i="34"/>
  <c r="O6504" i="34"/>
  <c r="O6505" i="34"/>
  <c r="O6506" i="34"/>
  <c r="O6507" i="34"/>
  <c r="O6508" i="34"/>
  <c r="O6509" i="34"/>
  <c r="O6510" i="34"/>
  <c r="O6511" i="34"/>
  <c r="O6512" i="34"/>
  <c r="O6513" i="34"/>
  <c r="O6514" i="34"/>
  <c r="O6515" i="34"/>
  <c r="O6516" i="34"/>
  <c r="O6517" i="34"/>
  <c r="O6518" i="34"/>
  <c r="O6519" i="34"/>
  <c r="O6520" i="34"/>
  <c r="O6521" i="34"/>
  <c r="O6522" i="34"/>
  <c r="O6523" i="34"/>
  <c r="O6524" i="34"/>
  <c r="O6525" i="34"/>
  <c r="O6526" i="34"/>
  <c r="O6527" i="34"/>
  <c r="O6528" i="34"/>
  <c r="O6529" i="34"/>
  <c r="O6530" i="34"/>
  <c r="O6531" i="34"/>
  <c r="O6532" i="34"/>
  <c r="O6533" i="34"/>
  <c r="O6534" i="34"/>
  <c r="O6535" i="34"/>
  <c r="O6536" i="34"/>
  <c r="O6537" i="34"/>
  <c r="O6538" i="34"/>
  <c r="O6539" i="34"/>
  <c r="O6540" i="34"/>
  <c r="O6541" i="34"/>
  <c r="O6542" i="34"/>
  <c r="O6543" i="34"/>
  <c r="O6544" i="34"/>
  <c r="O6545" i="34"/>
  <c r="O6546" i="34"/>
  <c r="O6547" i="34"/>
  <c r="O6548" i="34"/>
  <c r="O6549" i="34"/>
  <c r="O6550" i="34"/>
  <c r="O6551" i="34"/>
  <c r="O6552" i="34"/>
  <c r="O6553" i="34"/>
  <c r="O6554" i="34"/>
  <c r="O6555" i="34"/>
  <c r="O6556" i="34"/>
  <c r="O6557" i="34"/>
  <c r="O6558" i="34"/>
  <c r="O6559" i="34"/>
  <c r="O6560" i="34"/>
  <c r="O6561" i="34"/>
  <c r="O6562" i="34"/>
  <c r="O6563" i="34"/>
  <c r="O6564" i="34"/>
  <c r="O6565" i="34"/>
  <c r="O6566" i="34"/>
  <c r="O6567" i="34"/>
  <c r="O6568" i="34"/>
  <c r="O6569" i="34"/>
  <c r="O6570" i="34"/>
  <c r="O6571" i="34"/>
  <c r="O6572" i="34"/>
  <c r="O6573" i="34"/>
  <c r="O6574" i="34"/>
  <c r="O6575" i="34"/>
  <c r="O6576" i="34"/>
  <c r="O6577" i="34"/>
  <c r="O6578" i="34"/>
  <c r="O6579" i="34"/>
  <c r="O6580" i="34"/>
  <c r="O6581" i="34"/>
  <c r="O6582" i="34"/>
  <c r="O6583" i="34"/>
  <c r="O6584" i="34"/>
  <c r="O6585" i="34"/>
  <c r="O6586" i="34"/>
  <c r="O6587" i="34"/>
  <c r="O6588" i="34"/>
  <c r="O6589" i="34"/>
  <c r="O6590" i="34"/>
  <c r="O6591" i="34"/>
  <c r="O6592" i="34"/>
  <c r="O6593" i="34"/>
  <c r="O6594" i="34"/>
  <c r="O6595" i="34"/>
  <c r="O6596" i="34"/>
  <c r="O6597" i="34"/>
  <c r="O6598" i="34"/>
  <c r="O6599" i="34"/>
  <c r="O6600" i="34"/>
  <c r="O6601" i="34"/>
  <c r="O6602" i="34"/>
  <c r="O6603" i="34"/>
  <c r="O6604" i="34"/>
  <c r="O6605" i="34"/>
  <c r="O6606" i="34"/>
  <c r="O6607" i="34"/>
  <c r="O6608" i="34"/>
  <c r="O6609" i="34"/>
  <c r="O6610" i="34"/>
  <c r="O6611" i="34"/>
  <c r="O6612" i="34"/>
  <c r="O6613" i="34"/>
  <c r="O6614" i="34"/>
  <c r="O6615" i="34"/>
  <c r="O6616" i="34"/>
  <c r="O6617" i="34"/>
  <c r="O6618" i="34"/>
  <c r="O6619" i="34"/>
  <c r="O6620" i="34"/>
  <c r="O6621" i="34"/>
  <c r="O6622" i="34"/>
  <c r="O6623" i="34"/>
  <c r="O6624" i="34"/>
  <c r="O6625" i="34"/>
  <c r="O6626" i="34"/>
  <c r="O6627" i="34"/>
  <c r="O6628" i="34"/>
  <c r="O6629" i="34"/>
  <c r="O6630" i="34"/>
  <c r="O6631" i="34"/>
  <c r="O6632" i="34"/>
  <c r="O6633" i="34"/>
  <c r="O6634" i="34"/>
  <c r="O6635" i="34"/>
  <c r="O6636" i="34"/>
  <c r="O6637" i="34"/>
  <c r="O6638" i="34"/>
  <c r="O6639" i="34"/>
  <c r="O6640" i="34"/>
  <c r="O6641" i="34"/>
  <c r="O6642" i="34"/>
  <c r="O6643" i="34"/>
  <c r="O6644" i="34"/>
  <c r="O6645" i="34"/>
  <c r="O6646" i="34"/>
  <c r="O6647" i="34"/>
  <c r="O6648" i="34"/>
  <c r="O6649" i="34"/>
  <c r="O6650" i="34"/>
  <c r="O6651" i="34"/>
  <c r="O6652" i="34"/>
  <c r="O6653" i="34"/>
  <c r="O6654" i="34"/>
  <c r="O6655" i="34"/>
  <c r="O6656" i="34"/>
  <c r="O6657" i="34"/>
  <c r="O6658" i="34"/>
  <c r="O6659" i="34"/>
  <c r="O6660" i="34"/>
  <c r="O6661" i="34"/>
  <c r="O6662" i="34"/>
  <c r="O6663" i="34"/>
  <c r="O6664" i="34"/>
  <c r="O6665" i="34"/>
  <c r="O6666" i="34"/>
  <c r="O6667" i="34"/>
  <c r="O6668" i="34"/>
  <c r="O6669" i="34"/>
  <c r="O6670" i="34"/>
  <c r="O6671" i="34"/>
  <c r="O6672" i="34"/>
  <c r="O6673" i="34"/>
  <c r="O6674" i="34"/>
  <c r="O6675" i="34"/>
  <c r="O6676" i="34"/>
  <c r="O6677" i="34"/>
  <c r="O6678" i="34"/>
  <c r="O6679" i="34"/>
  <c r="O6680" i="34"/>
  <c r="O6681" i="34"/>
  <c r="O6682" i="34"/>
  <c r="O6683" i="34"/>
  <c r="O6684" i="34"/>
  <c r="O6685" i="34"/>
  <c r="O6686" i="34"/>
  <c r="O6687" i="34"/>
  <c r="O6688" i="34"/>
  <c r="O6689" i="34"/>
  <c r="O6690" i="34"/>
  <c r="O6691" i="34"/>
  <c r="O6692" i="34"/>
  <c r="O6693" i="34"/>
  <c r="O6694" i="34"/>
  <c r="O6695" i="34"/>
  <c r="O6696" i="34"/>
  <c r="O6697" i="34"/>
  <c r="O6698" i="34"/>
  <c r="O6699" i="34"/>
  <c r="O6700" i="34"/>
  <c r="O6701" i="34"/>
  <c r="O6702" i="34"/>
  <c r="O6703" i="34"/>
  <c r="O6704" i="34"/>
  <c r="O6705" i="34"/>
  <c r="O6706" i="34"/>
  <c r="O6707" i="34"/>
  <c r="O6708" i="34"/>
  <c r="O6709" i="34"/>
  <c r="O6710" i="34"/>
  <c r="O6711" i="34"/>
  <c r="O6712" i="34"/>
  <c r="O6713" i="34"/>
  <c r="O6714" i="34"/>
  <c r="O6715" i="34"/>
  <c r="O6716" i="34"/>
  <c r="O6717" i="34"/>
  <c r="O6718" i="34"/>
  <c r="O6719" i="34"/>
  <c r="O6720" i="34"/>
  <c r="O6721" i="34"/>
  <c r="O6722" i="34"/>
  <c r="O6723" i="34"/>
  <c r="O6724" i="34"/>
  <c r="O6725" i="34"/>
  <c r="O6726" i="34"/>
  <c r="O6727" i="34"/>
  <c r="O6728" i="34"/>
  <c r="O6729" i="34"/>
  <c r="O6730" i="34"/>
  <c r="O6731" i="34"/>
  <c r="O6732" i="34"/>
  <c r="O6733" i="34"/>
  <c r="O6734" i="34"/>
  <c r="O6735" i="34"/>
  <c r="O6736" i="34"/>
  <c r="O6737" i="34"/>
  <c r="O6738" i="34"/>
  <c r="O6739" i="34"/>
  <c r="O6740" i="34"/>
  <c r="O6741" i="34"/>
  <c r="O6742" i="34"/>
  <c r="O6743" i="34"/>
  <c r="O6744" i="34"/>
  <c r="O6745" i="34"/>
  <c r="O6746" i="34"/>
  <c r="O6747" i="34"/>
  <c r="O6748" i="34"/>
  <c r="O6749" i="34"/>
  <c r="O6750" i="34"/>
  <c r="O6751" i="34"/>
  <c r="O6752" i="34"/>
  <c r="O6753" i="34"/>
  <c r="O6754" i="34"/>
  <c r="O6755" i="34"/>
  <c r="O6756" i="34"/>
  <c r="O6757" i="34"/>
  <c r="O6758" i="34"/>
  <c r="O6759" i="34"/>
  <c r="O6760" i="34"/>
  <c r="O6761" i="34"/>
  <c r="O6762" i="34"/>
  <c r="O6763" i="34"/>
  <c r="O6764" i="34"/>
  <c r="O6765" i="34"/>
  <c r="O6766" i="34"/>
  <c r="O6767" i="34"/>
  <c r="O6768" i="34"/>
  <c r="O6769" i="34"/>
  <c r="O6770" i="34"/>
  <c r="O6771" i="34"/>
  <c r="O6772" i="34"/>
  <c r="O6773" i="34"/>
  <c r="O6774" i="34"/>
  <c r="O6775" i="34"/>
  <c r="O6776" i="34"/>
  <c r="O6777" i="34"/>
  <c r="O6778" i="34"/>
  <c r="O6779" i="34"/>
  <c r="O6780" i="34"/>
  <c r="O6781" i="34"/>
  <c r="O6782" i="34"/>
  <c r="O6783" i="34"/>
  <c r="O6784" i="34"/>
  <c r="O6785" i="34"/>
  <c r="O6786" i="34"/>
  <c r="O6787" i="34"/>
  <c r="O6788" i="34"/>
  <c r="O6789" i="34"/>
  <c r="O6790" i="34"/>
  <c r="O6791" i="34"/>
  <c r="O6792" i="34"/>
  <c r="O6793" i="34"/>
  <c r="O6794" i="34"/>
  <c r="O6795" i="34"/>
  <c r="O6796" i="34"/>
  <c r="O6797" i="34"/>
  <c r="O6798" i="34"/>
  <c r="O6799" i="34"/>
  <c r="O6800" i="34"/>
  <c r="O6801" i="34"/>
  <c r="O6802" i="34"/>
  <c r="O6803" i="34"/>
  <c r="O6804" i="34"/>
  <c r="O6805" i="34"/>
  <c r="O6806" i="34"/>
  <c r="O6807" i="34"/>
  <c r="O6808" i="34"/>
  <c r="O6809" i="34"/>
  <c r="O6810" i="34"/>
  <c r="O6811" i="34"/>
  <c r="O6812" i="34"/>
  <c r="O6813" i="34"/>
  <c r="O6814" i="34"/>
  <c r="O6815" i="34"/>
  <c r="O6816" i="34"/>
  <c r="O6817" i="34"/>
  <c r="O6818" i="34"/>
  <c r="O6819" i="34"/>
  <c r="O6820" i="34"/>
  <c r="O6821" i="34"/>
  <c r="O6822" i="34"/>
  <c r="O6823" i="34"/>
  <c r="O6824" i="34"/>
  <c r="O6825" i="34"/>
  <c r="O6826" i="34"/>
  <c r="O6827" i="34"/>
  <c r="O6828" i="34"/>
  <c r="O6829" i="34"/>
  <c r="O6830" i="34"/>
  <c r="O6831" i="34"/>
  <c r="O6832" i="34"/>
  <c r="O6833" i="34"/>
  <c r="O6834" i="34"/>
  <c r="O6835" i="34"/>
  <c r="O6836" i="34"/>
  <c r="O6837" i="34"/>
  <c r="O6838" i="34"/>
  <c r="O6839" i="34"/>
  <c r="O6840" i="34"/>
  <c r="O6841" i="34"/>
  <c r="O6842" i="34"/>
  <c r="O6843" i="34"/>
  <c r="O6844" i="34"/>
  <c r="O6845" i="34"/>
  <c r="O6846" i="34"/>
  <c r="O6847" i="34"/>
  <c r="O6848" i="34"/>
  <c r="O6849" i="34"/>
  <c r="O6850" i="34"/>
  <c r="O6851" i="34"/>
  <c r="O6852" i="34"/>
  <c r="O6853" i="34"/>
  <c r="O6854" i="34"/>
  <c r="O6855" i="34"/>
  <c r="O6856" i="34"/>
  <c r="O6857" i="34"/>
  <c r="O6858" i="34"/>
  <c r="O6859" i="34"/>
  <c r="O6860" i="34"/>
  <c r="O6861" i="34"/>
  <c r="O6862" i="34"/>
  <c r="O6863" i="34"/>
  <c r="O6864" i="34"/>
  <c r="O6865" i="34"/>
  <c r="O6866" i="34"/>
  <c r="O6867" i="34"/>
  <c r="O6868" i="34"/>
  <c r="O6869" i="34"/>
  <c r="O6870" i="34"/>
  <c r="O6871" i="34"/>
  <c r="O6872" i="34"/>
  <c r="O6873" i="34"/>
  <c r="O6874" i="34"/>
  <c r="O6875" i="34"/>
  <c r="O6876" i="34"/>
  <c r="O6877" i="34"/>
  <c r="O6878" i="34"/>
  <c r="O6879" i="34"/>
  <c r="O6880" i="34"/>
  <c r="O6881" i="34"/>
  <c r="O6882" i="34"/>
  <c r="O6883" i="34"/>
  <c r="O6884" i="34"/>
  <c r="O6885" i="34"/>
  <c r="O6886" i="34"/>
  <c r="O6887" i="34"/>
  <c r="O6888" i="34"/>
  <c r="O6889" i="34"/>
  <c r="O6890" i="34"/>
  <c r="O6891" i="34"/>
  <c r="O6892" i="34"/>
  <c r="O6893" i="34"/>
  <c r="O6894" i="34"/>
  <c r="O6895" i="34"/>
  <c r="O6896" i="34"/>
  <c r="O6897" i="34"/>
  <c r="O6898" i="34"/>
  <c r="O6899" i="34"/>
  <c r="O6900" i="34"/>
  <c r="O6901" i="34"/>
  <c r="O6902" i="34"/>
  <c r="O6903" i="34"/>
  <c r="O6904" i="34"/>
  <c r="O6905" i="34"/>
  <c r="O6906" i="34"/>
  <c r="O6907" i="34"/>
  <c r="O6908" i="34"/>
  <c r="O6909" i="34"/>
  <c r="O6910" i="34"/>
  <c r="O6911" i="34"/>
  <c r="O6912" i="34"/>
  <c r="O6913" i="34"/>
  <c r="O6914" i="34"/>
  <c r="O6915" i="34"/>
  <c r="O6916" i="34"/>
  <c r="O6917" i="34"/>
  <c r="O6918" i="34"/>
  <c r="O6919" i="34"/>
  <c r="O6920" i="34"/>
  <c r="O6921" i="34"/>
  <c r="O6922" i="34"/>
  <c r="O6923" i="34"/>
  <c r="O6924" i="34"/>
  <c r="O6925" i="34"/>
  <c r="O6926" i="34"/>
  <c r="O6927" i="34"/>
  <c r="O6928" i="34"/>
  <c r="O6929" i="34"/>
  <c r="O6930" i="34"/>
  <c r="O6931" i="34"/>
  <c r="O6932" i="34"/>
  <c r="O6933" i="34"/>
  <c r="O6934" i="34"/>
  <c r="O6935" i="34"/>
  <c r="O6936" i="34"/>
  <c r="O6937" i="34"/>
  <c r="O6938" i="34"/>
  <c r="O6939" i="34"/>
  <c r="O6940" i="34"/>
  <c r="O6941" i="34"/>
  <c r="O6942" i="34"/>
  <c r="O6943" i="34"/>
  <c r="O6944" i="34"/>
  <c r="O6945" i="34"/>
  <c r="O6946" i="34"/>
  <c r="O6947" i="34"/>
  <c r="O6948" i="34"/>
  <c r="O6949" i="34"/>
  <c r="O6950" i="34"/>
  <c r="O6951" i="34"/>
  <c r="O6952" i="34"/>
  <c r="O6953" i="34"/>
  <c r="O6954" i="34"/>
  <c r="O6955" i="34"/>
  <c r="O6956" i="34"/>
  <c r="O6957" i="34"/>
  <c r="O6958" i="34"/>
  <c r="O6959" i="34"/>
  <c r="O6960" i="34"/>
  <c r="O6961" i="34"/>
  <c r="O6962" i="34"/>
  <c r="O6963" i="34"/>
  <c r="O6964" i="34"/>
  <c r="O6965" i="34"/>
  <c r="O6966" i="34"/>
  <c r="O6967" i="34"/>
  <c r="O6968" i="34"/>
  <c r="O6969" i="34"/>
  <c r="O6970" i="34"/>
  <c r="O6971" i="34"/>
  <c r="O6972" i="34"/>
  <c r="O6973" i="34"/>
  <c r="O6974" i="34"/>
  <c r="O6975" i="34"/>
  <c r="O6976" i="34"/>
  <c r="O6977" i="34"/>
  <c r="O6978" i="34"/>
  <c r="O6979" i="34"/>
  <c r="O6980" i="34"/>
  <c r="O6981" i="34"/>
  <c r="O6982" i="34"/>
  <c r="O6983" i="34"/>
  <c r="O6984" i="34"/>
  <c r="O6985" i="34"/>
  <c r="O6986" i="34"/>
  <c r="O6987" i="34"/>
  <c r="O6988" i="34"/>
  <c r="O6989" i="34"/>
  <c r="O6990" i="34"/>
  <c r="O6991" i="34"/>
  <c r="O6992" i="34"/>
  <c r="O6993" i="34"/>
  <c r="O6994" i="34"/>
  <c r="O6995" i="34"/>
  <c r="O6996" i="34"/>
  <c r="O6997" i="34"/>
  <c r="O6998" i="34"/>
  <c r="O6999" i="34"/>
  <c r="O7000" i="34"/>
  <c r="O7001" i="34"/>
  <c r="O7002" i="34"/>
  <c r="O7003" i="34"/>
  <c r="O7004" i="34"/>
  <c r="O7005" i="34"/>
  <c r="O7006" i="34"/>
  <c r="O7007" i="34"/>
  <c r="O7008" i="34"/>
  <c r="O7009" i="34"/>
  <c r="O7010" i="34"/>
  <c r="O7011" i="34"/>
  <c r="O7012" i="34"/>
  <c r="O7013" i="34"/>
  <c r="O7014" i="34"/>
  <c r="O7015" i="34"/>
  <c r="O7016" i="34"/>
  <c r="O7017" i="34"/>
  <c r="O7018" i="34"/>
  <c r="O7019" i="34"/>
  <c r="O7020" i="34"/>
  <c r="O7021" i="34"/>
  <c r="O7022" i="34"/>
  <c r="O7023" i="34"/>
  <c r="O7024" i="34"/>
  <c r="O7025" i="34"/>
  <c r="O7026" i="34"/>
  <c r="O7027" i="34"/>
  <c r="O7028" i="34"/>
  <c r="O7029" i="34"/>
  <c r="O7030" i="34"/>
  <c r="O7031" i="34"/>
  <c r="O7032" i="34"/>
  <c r="O7033" i="34"/>
  <c r="O7034" i="34"/>
  <c r="O7035" i="34"/>
  <c r="O7036" i="34"/>
  <c r="O7037" i="34"/>
  <c r="O7038" i="34"/>
  <c r="O7039" i="34"/>
  <c r="O7040" i="34"/>
  <c r="O7041" i="34"/>
  <c r="O7042" i="34"/>
  <c r="O7043" i="34"/>
  <c r="O7044" i="34"/>
  <c r="O7045" i="34"/>
  <c r="O7046" i="34"/>
  <c r="O7047" i="34"/>
  <c r="O7048" i="34"/>
  <c r="O7049" i="34"/>
  <c r="O7050" i="34"/>
  <c r="O7051" i="34"/>
  <c r="O7052" i="34"/>
  <c r="O7053" i="34"/>
  <c r="O7054" i="34"/>
  <c r="O7055" i="34"/>
  <c r="O7056" i="34"/>
  <c r="O7057" i="34"/>
  <c r="O7058" i="34"/>
  <c r="O7059" i="34"/>
  <c r="O7060" i="34"/>
  <c r="O7061" i="34"/>
  <c r="O7062" i="34"/>
  <c r="O7063" i="34"/>
  <c r="O7064" i="34"/>
  <c r="O7065" i="34"/>
  <c r="O7066" i="34"/>
  <c r="O7067" i="34"/>
  <c r="O7068" i="34"/>
  <c r="O7069" i="34"/>
  <c r="O7070" i="34"/>
  <c r="O7071" i="34"/>
  <c r="O7072" i="34"/>
  <c r="O7073" i="34"/>
  <c r="O7074" i="34"/>
  <c r="O7075" i="34"/>
  <c r="O7076" i="34"/>
  <c r="O7077" i="34"/>
  <c r="O7078" i="34"/>
  <c r="O7079" i="34"/>
  <c r="O7080" i="34"/>
  <c r="O7081" i="34"/>
  <c r="O7082" i="34"/>
  <c r="O7083" i="34"/>
  <c r="O7084" i="34"/>
  <c r="O7085" i="34"/>
  <c r="O7086" i="34"/>
  <c r="O7087" i="34"/>
  <c r="O7088" i="34"/>
  <c r="O7089" i="34"/>
  <c r="O7090" i="34"/>
  <c r="O7091" i="34"/>
  <c r="O7092" i="34"/>
  <c r="O7093" i="34"/>
  <c r="O7094" i="34"/>
  <c r="O7095" i="34"/>
  <c r="O7096" i="34"/>
  <c r="O7097" i="34"/>
  <c r="O7098" i="34"/>
  <c r="O7099" i="34"/>
  <c r="O7100" i="34"/>
  <c r="O7101" i="34"/>
  <c r="O7102" i="34"/>
  <c r="O7103" i="34"/>
  <c r="O7104" i="34"/>
  <c r="O7105" i="34"/>
  <c r="O7106" i="34"/>
  <c r="O7107" i="34"/>
  <c r="O7108" i="34"/>
  <c r="O7109" i="34"/>
  <c r="O7110" i="34"/>
  <c r="O7111" i="34"/>
  <c r="O7112" i="34"/>
  <c r="O7113" i="34"/>
  <c r="O7114" i="34"/>
  <c r="O7115" i="34"/>
  <c r="O7116" i="34"/>
  <c r="O7117" i="34"/>
  <c r="O7118" i="34"/>
  <c r="O7119" i="34"/>
  <c r="O7120" i="34"/>
  <c r="O7121" i="34"/>
  <c r="O7122" i="34"/>
  <c r="O7123" i="34"/>
  <c r="O7124" i="34"/>
  <c r="O7125" i="34"/>
  <c r="O7126" i="34"/>
  <c r="O7127" i="34"/>
  <c r="O7128" i="34"/>
  <c r="O7129" i="34"/>
  <c r="O7130" i="34"/>
  <c r="O7131" i="34"/>
  <c r="O7132" i="34"/>
  <c r="O7133" i="34"/>
  <c r="O7134" i="34"/>
  <c r="O7135" i="34"/>
  <c r="O7136" i="34"/>
  <c r="O7137" i="34"/>
  <c r="O7138" i="34"/>
  <c r="O7139" i="34"/>
  <c r="O7140" i="34"/>
  <c r="O7141" i="34"/>
  <c r="O7142" i="34"/>
  <c r="O7143" i="34"/>
  <c r="O7144" i="34"/>
  <c r="O7145" i="34"/>
  <c r="O7146" i="34"/>
  <c r="O7147" i="34"/>
  <c r="O7148" i="34"/>
  <c r="O7149" i="34"/>
  <c r="O7150" i="34"/>
  <c r="O7151" i="34"/>
  <c r="O7152" i="34"/>
  <c r="O7153" i="34"/>
  <c r="O7154" i="34"/>
  <c r="O7155" i="34"/>
  <c r="O7156" i="34"/>
  <c r="O7157" i="34"/>
  <c r="O7158" i="34"/>
  <c r="O7159" i="34"/>
  <c r="O7160" i="34"/>
  <c r="O7161" i="34"/>
  <c r="O7162" i="34"/>
  <c r="O7163" i="34"/>
  <c r="O7164" i="34"/>
  <c r="O7165" i="34"/>
  <c r="O7166" i="34"/>
  <c r="O7167" i="34"/>
  <c r="O7168" i="34"/>
  <c r="O7169" i="34"/>
  <c r="O7170" i="34"/>
  <c r="O7171" i="34"/>
  <c r="O7172" i="34"/>
  <c r="O7173" i="34"/>
  <c r="O7174" i="34"/>
  <c r="O7175" i="34"/>
  <c r="O7176" i="34"/>
  <c r="O7177" i="34"/>
  <c r="O7178" i="34"/>
  <c r="O7179" i="34"/>
  <c r="O7180" i="34"/>
  <c r="O7181" i="34"/>
  <c r="O7182" i="34"/>
  <c r="O7183" i="34"/>
  <c r="O7184" i="34"/>
  <c r="O7185" i="34"/>
  <c r="O7186" i="34"/>
  <c r="O7187" i="34"/>
  <c r="O7188" i="34"/>
  <c r="O7189" i="34"/>
  <c r="O7190" i="34"/>
  <c r="O7191" i="34"/>
  <c r="O7192" i="34"/>
  <c r="O7193" i="34"/>
  <c r="O7194" i="34"/>
  <c r="O7195" i="34"/>
  <c r="O7196" i="34"/>
  <c r="O7197" i="34"/>
  <c r="O7198" i="34"/>
  <c r="O7199" i="34"/>
  <c r="O7200" i="34"/>
  <c r="O7201" i="34"/>
  <c r="O7202" i="34"/>
  <c r="O7203" i="34"/>
  <c r="O7204" i="34"/>
  <c r="O7205" i="34"/>
  <c r="O7206" i="34"/>
  <c r="O7207" i="34"/>
  <c r="O7208" i="34"/>
  <c r="O7209" i="34"/>
  <c r="O7210" i="34"/>
  <c r="O7211" i="34"/>
  <c r="O7212" i="34"/>
  <c r="O7213" i="34"/>
  <c r="O7214" i="34"/>
  <c r="O7215" i="34"/>
  <c r="O7216" i="34"/>
  <c r="O7217" i="34"/>
  <c r="O7218" i="34"/>
  <c r="O7219" i="34"/>
  <c r="O7220" i="34"/>
  <c r="O7221" i="34"/>
  <c r="O7222" i="34"/>
  <c r="O7223" i="34"/>
  <c r="O7224" i="34"/>
  <c r="O7225" i="34"/>
  <c r="O7226" i="34"/>
  <c r="O7227" i="34"/>
  <c r="O7228" i="34"/>
  <c r="O7229" i="34"/>
  <c r="O7230" i="34"/>
  <c r="O7231" i="34"/>
  <c r="O7232" i="34"/>
  <c r="O7233" i="34"/>
  <c r="O7234" i="34"/>
  <c r="O7235" i="34"/>
  <c r="O7236" i="34"/>
  <c r="O7237" i="34"/>
  <c r="O7238" i="34"/>
  <c r="O7239" i="34"/>
  <c r="O7240" i="34"/>
  <c r="O7241" i="34"/>
  <c r="O7242" i="34"/>
  <c r="O7243" i="34"/>
  <c r="O7244" i="34"/>
  <c r="O7245" i="34"/>
  <c r="O7246" i="34"/>
  <c r="O7247" i="34"/>
  <c r="O7248" i="34"/>
  <c r="O7249" i="34"/>
  <c r="O7250" i="34"/>
  <c r="O7251" i="34"/>
  <c r="O7252" i="34"/>
  <c r="O7253" i="34"/>
  <c r="O7254" i="34"/>
  <c r="O7255" i="34"/>
  <c r="O7256" i="34"/>
  <c r="O7257" i="34"/>
  <c r="O7258" i="34"/>
  <c r="O7259" i="34"/>
  <c r="O7260" i="34"/>
  <c r="O7261" i="34"/>
  <c r="O7262" i="34"/>
  <c r="O7263" i="34"/>
  <c r="O7264" i="34"/>
  <c r="O7265" i="34"/>
  <c r="O7266" i="34"/>
  <c r="O7267" i="34"/>
  <c r="O7268" i="34"/>
  <c r="O7269" i="34"/>
  <c r="O7270" i="34"/>
  <c r="O7271" i="34"/>
  <c r="O7272" i="34"/>
  <c r="O7273" i="34"/>
  <c r="O7274" i="34"/>
  <c r="O7275" i="34"/>
  <c r="O7276" i="34"/>
  <c r="O7277" i="34"/>
  <c r="O7278" i="34"/>
  <c r="O7279" i="34"/>
  <c r="O7280" i="34"/>
  <c r="O7281" i="34"/>
  <c r="O7282" i="34"/>
  <c r="O7283" i="34"/>
  <c r="O7284" i="34"/>
  <c r="O7285" i="34"/>
  <c r="O7286" i="34"/>
  <c r="O7287" i="34"/>
  <c r="O7288" i="34"/>
  <c r="O7289" i="34"/>
  <c r="O7290" i="34"/>
  <c r="O7291" i="34"/>
  <c r="O7292" i="34"/>
  <c r="O7293" i="34"/>
  <c r="O7294" i="34"/>
  <c r="O7295" i="34"/>
  <c r="O7296" i="34"/>
  <c r="O7297" i="34"/>
  <c r="O7298" i="34"/>
  <c r="O7299" i="34"/>
  <c r="O7300" i="34"/>
  <c r="O7301" i="34"/>
  <c r="O7302" i="34"/>
  <c r="O7303" i="34"/>
  <c r="O7304" i="34"/>
  <c r="O7305" i="34"/>
  <c r="O7306" i="34"/>
  <c r="O7307" i="34"/>
  <c r="O7308" i="34"/>
  <c r="O7309" i="34"/>
  <c r="O7310" i="34"/>
  <c r="O7311" i="34"/>
  <c r="O7312" i="34"/>
  <c r="O7313" i="34"/>
  <c r="O7314" i="34"/>
  <c r="O7315" i="34"/>
  <c r="O7316" i="34"/>
  <c r="O7317" i="34"/>
  <c r="O7318" i="34"/>
  <c r="O7319" i="34"/>
  <c r="O7320" i="34"/>
  <c r="O7321" i="34"/>
  <c r="O7322" i="34"/>
  <c r="O7323" i="34"/>
  <c r="O7324" i="34"/>
  <c r="O7325" i="34"/>
  <c r="O7326" i="34"/>
  <c r="O7327" i="34"/>
  <c r="O7328" i="34"/>
  <c r="O7329" i="34"/>
  <c r="O7330" i="34"/>
  <c r="O7331" i="34"/>
  <c r="O7332" i="34"/>
  <c r="O7333" i="34"/>
  <c r="O7334" i="34"/>
  <c r="O7335" i="34"/>
  <c r="O7336" i="34"/>
  <c r="O7337" i="34"/>
  <c r="O7338" i="34"/>
  <c r="O7339" i="34"/>
  <c r="O7340" i="34"/>
  <c r="O7341" i="34"/>
  <c r="O7342" i="34"/>
  <c r="O7343" i="34"/>
  <c r="O7344" i="34"/>
  <c r="O7345" i="34"/>
  <c r="O7346" i="34"/>
  <c r="O7347" i="34"/>
  <c r="O7348" i="34"/>
  <c r="O7349" i="34"/>
  <c r="O7350" i="34"/>
  <c r="O7351" i="34"/>
  <c r="O7352" i="34"/>
  <c r="O7353" i="34"/>
  <c r="O7354" i="34"/>
  <c r="O7355" i="34"/>
  <c r="O7356" i="34"/>
  <c r="O7357" i="34"/>
  <c r="O7358" i="34"/>
  <c r="O7359" i="34"/>
  <c r="O7360" i="34"/>
  <c r="O7361" i="34"/>
  <c r="O7362" i="34"/>
  <c r="O7363" i="34"/>
  <c r="O7364" i="34"/>
  <c r="O7365" i="34"/>
  <c r="O7366" i="34"/>
  <c r="O7367" i="34"/>
  <c r="O7368" i="34"/>
  <c r="O7369" i="34"/>
  <c r="O7370" i="34"/>
  <c r="O7371" i="34"/>
  <c r="O7372" i="34"/>
  <c r="O7373" i="34"/>
  <c r="O7374" i="34"/>
  <c r="O7375" i="34"/>
  <c r="O7376" i="34"/>
  <c r="O7377" i="34"/>
  <c r="O7378" i="34"/>
  <c r="O7379" i="34"/>
  <c r="O7380" i="34"/>
  <c r="O7381" i="34"/>
  <c r="O7382" i="34"/>
  <c r="O7383" i="34"/>
  <c r="O7384" i="34"/>
  <c r="O7385" i="34"/>
  <c r="O7386" i="34"/>
  <c r="O7387" i="34"/>
  <c r="O7388" i="34"/>
  <c r="O7389" i="34"/>
  <c r="O7390" i="34"/>
  <c r="O7391" i="34"/>
  <c r="O7392" i="34"/>
  <c r="O7393" i="34"/>
  <c r="O7394" i="34"/>
  <c r="O7395" i="34"/>
  <c r="O7396" i="34"/>
  <c r="O7397" i="34"/>
  <c r="O7398" i="34"/>
  <c r="O7399" i="34"/>
  <c r="O7400" i="34"/>
  <c r="O7401" i="34"/>
  <c r="O7402" i="34"/>
  <c r="O7403" i="34"/>
  <c r="O7404" i="34"/>
  <c r="O7405" i="34"/>
  <c r="O7406" i="34"/>
  <c r="O7407" i="34"/>
  <c r="O7408" i="34"/>
  <c r="O7409" i="34"/>
  <c r="O7410" i="34"/>
  <c r="O7411" i="34"/>
  <c r="O7412" i="34"/>
  <c r="O7413" i="34"/>
  <c r="O7414" i="34"/>
  <c r="O7415" i="34"/>
  <c r="O7416" i="34"/>
  <c r="O7417" i="34"/>
  <c r="O7418" i="34"/>
  <c r="O7419" i="34"/>
  <c r="O7420" i="34"/>
  <c r="O7421" i="34"/>
  <c r="O7422" i="34"/>
  <c r="O7423" i="34"/>
  <c r="O7424" i="34"/>
  <c r="O7425" i="34"/>
  <c r="O7426" i="34"/>
  <c r="O7427" i="34"/>
  <c r="O7428" i="34"/>
  <c r="O7429" i="34"/>
  <c r="O7430" i="34"/>
  <c r="O7431" i="34"/>
  <c r="O7432" i="34"/>
  <c r="O7433" i="34"/>
  <c r="O7434" i="34"/>
  <c r="O7435" i="34"/>
  <c r="O7436" i="34"/>
  <c r="O7437" i="34"/>
  <c r="O7438" i="34"/>
  <c r="O7439" i="34"/>
  <c r="O7440" i="34"/>
  <c r="O7441" i="34"/>
  <c r="O7442" i="34"/>
  <c r="O7443" i="34"/>
  <c r="O7444" i="34"/>
  <c r="O7445" i="34"/>
  <c r="O7446" i="34"/>
  <c r="O7447" i="34"/>
  <c r="O7448" i="34"/>
  <c r="O7449" i="34"/>
  <c r="O7450" i="34"/>
  <c r="O7451" i="34"/>
  <c r="O7452" i="34"/>
  <c r="O7453" i="34"/>
  <c r="O7454" i="34"/>
  <c r="O7455" i="34"/>
  <c r="O7456" i="34"/>
  <c r="O7457" i="34"/>
  <c r="O7458" i="34"/>
  <c r="O7459" i="34"/>
  <c r="O7460" i="34"/>
  <c r="O7461" i="34"/>
  <c r="O7462" i="34"/>
  <c r="O7463" i="34"/>
  <c r="O7464" i="34"/>
  <c r="O7465" i="34"/>
  <c r="O7466" i="34"/>
  <c r="O7467" i="34"/>
  <c r="O7468" i="34"/>
  <c r="O7469" i="34"/>
  <c r="O7470" i="34"/>
  <c r="O7471" i="34"/>
  <c r="O7472" i="34"/>
  <c r="O7473" i="34"/>
  <c r="O7474" i="34"/>
  <c r="O7475" i="34"/>
  <c r="O7476" i="34"/>
  <c r="O7477" i="34"/>
  <c r="O7478" i="34"/>
  <c r="O7479" i="34"/>
  <c r="O7480" i="34"/>
  <c r="O7481" i="34"/>
  <c r="O7482" i="34"/>
  <c r="O7483" i="34"/>
  <c r="O7484" i="34"/>
  <c r="O7485" i="34"/>
  <c r="O7486" i="34"/>
  <c r="O7487" i="34"/>
  <c r="O7488" i="34"/>
  <c r="O7489" i="34"/>
  <c r="O7490" i="34"/>
  <c r="O7491" i="34"/>
  <c r="O7492" i="34"/>
  <c r="O7493" i="34"/>
  <c r="O7494" i="34"/>
  <c r="O7495" i="34"/>
  <c r="O7496" i="34"/>
  <c r="O7497" i="34"/>
  <c r="O7498" i="34"/>
  <c r="O7499" i="34"/>
  <c r="O7500" i="34"/>
  <c r="O7501" i="34"/>
  <c r="O7502" i="34"/>
  <c r="O7503" i="34"/>
  <c r="O7504" i="34"/>
  <c r="O7505" i="34"/>
  <c r="O7506" i="34"/>
  <c r="O7507" i="34"/>
  <c r="O7508" i="34"/>
  <c r="O7509" i="34"/>
  <c r="O7510" i="34"/>
  <c r="O7511" i="34"/>
  <c r="O7512" i="34"/>
  <c r="O7513" i="34"/>
  <c r="O7514" i="34"/>
  <c r="O7515" i="34"/>
  <c r="O7516" i="34"/>
  <c r="O7517" i="34"/>
  <c r="O7518" i="34"/>
  <c r="O7519" i="34"/>
  <c r="O7520" i="34"/>
  <c r="O7521" i="34"/>
  <c r="O7522" i="34"/>
  <c r="O7523" i="34"/>
  <c r="O7524" i="34"/>
  <c r="O7525" i="34"/>
  <c r="O7526" i="34"/>
  <c r="O7527" i="34"/>
  <c r="O7528" i="34"/>
  <c r="O7529" i="34"/>
  <c r="O7530" i="34"/>
  <c r="O7531" i="34"/>
  <c r="O7532" i="34"/>
  <c r="O7533" i="34"/>
  <c r="O7534" i="34"/>
  <c r="O7535" i="34"/>
  <c r="O7536" i="34"/>
  <c r="O7537" i="34"/>
  <c r="O7538" i="34"/>
  <c r="O7539" i="34"/>
  <c r="O7540" i="34"/>
  <c r="O7541" i="34"/>
  <c r="O7542" i="34"/>
  <c r="O7543" i="34"/>
  <c r="O7544" i="34"/>
  <c r="O7545" i="34"/>
  <c r="O7546" i="34"/>
  <c r="O7547" i="34"/>
  <c r="O7548" i="34"/>
  <c r="O7549" i="34"/>
  <c r="O7550" i="34"/>
  <c r="O7551" i="34"/>
  <c r="O7552" i="34"/>
  <c r="O7553" i="34"/>
  <c r="O7554" i="34"/>
  <c r="O7555" i="34"/>
  <c r="O7556" i="34"/>
  <c r="O7557" i="34"/>
  <c r="O7558" i="34"/>
  <c r="O7559" i="34"/>
  <c r="O7560" i="34"/>
  <c r="O7561" i="34"/>
  <c r="O7562" i="34"/>
  <c r="O7563" i="34"/>
  <c r="O7564" i="34"/>
  <c r="O7565" i="34"/>
  <c r="O7566" i="34"/>
  <c r="O7567" i="34"/>
  <c r="O7568" i="34"/>
  <c r="O7569" i="34"/>
  <c r="O7570" i="34"/>
  <c r="O7571" i="34"/>
  <c r="O7572" i="34"/>
  <c r="O7573" i="34"/>
  <c r="O7574" i="34"/>
  <c r="O7575" i="34"/>
  <c r="O7576" i="34"/>
  <c r="O7577" i="34"/>
  <c r="O7578" i="34"/>
  <c r="O7579" i="34"/>
  <c r="O7580" i="34"/>
  <c r="O7581" i="34"/>
  <c r="O7582" i="34"/>
  <c r="O7583" i="34"/>
  <c r="O7584" i="34"/>
  <c r="O7585" i="34"/>
  <c r="O7586" i="34"/>
  <c r="O7587" i="34"/>
  <c r="O7588" i="34"/>
  <c r="O7589" i="34"/>
  <c r="O7590" i="34"/>
  <c r="O7591" i="34"/>
  <c r="O7592" i="34"/>
  <c r="O7593" i="34"/>
  <c r="O7594" i="34"/>
  <c r="O7595" i="34"/>
  <c r="O7596" i="34"/>
  <c r="O7597" i="34"/>
  <c r="O7598" i="34"/>
  <c r="O7599" i="34"/>
  <c r="O7600" i="34"/>
  <c r="O7601" i="34"/>
  <c r="O7602" i="34"/>
  <c r="O7603" i="34"/>
  <c r="O7604" i="34"/>
  <c r="O7605" i="34"/>
  <c r="O7606" i="34"/>
  <c r="O7607" i="34"/>
  <c r="O7608" i="34"/>
  <c r="O7609" i="34"/>
  <c r="O7610" i="34"/>
  <c r="O7611" i="34"/>
  <c r="O7612" i="34"/>
  <c r="O7613" i="34"/>
  <c r="O7614" i="34"/>
  <c r="O7615" i="34"/>
  <c r="O7616" i="34"/>
  <c r="O7617" i="34"/>
  <c r="O7618" i="34"/>
  <c r="O7619" i="34"/>
  <c r="O7620" i="34"/>
  <c r="O7621" i="34"/>
  <c r="O7622" i="34"/>
  <c r="O7623" i="34"/>
  <c r="O7624" i="34"/>
  <c r="O7625" i="34"/>
  <c r="O7626" i="34"/>
  <c r="O7627" i="34"/>
  <c r="O7628" i="34"/>
  <c r="O7629" i="34"/>
  <c r="O7630" i="34"/>
  <c r="O7631" i="34"/>
  <c r="O7632" i="34"/>
  <c r="O7633" i="34"/>
  <c r="O7634" i="34"/>
  <c r="O7635" i="34"/>
  <c r="O7636" i="34"/>
  <c r="O7637" i="34"/>
  <c r="O7638" i="34"/>
  <c r="O7639" i="34"/>
  <c r="O7640" i="34"/>
  <c r="O7641" i="34"/>
  <c r="O7642" i="34"/>
  <c r="O7643" i="34"/>
  <c r="O7644" i="34"/>
  <c r="O7645" i="34"/>
  <c r="O7646" i="34"/>
  <c r="O7647" i="34"/>
  <c r="O7648" i="34"/>
  <c r="O7649" i="34"/>
  <c r="O7650" i="34"/>
  <c r="O7651" i="34"/>
  <c r="O7652" i="34"/>
  <c r="O7653" i="34"/>
  <c r="O7654" i="34"/>
  <c r="O7655" i="34"/>
  <c r="O7656" i="34"/>
  <c r="O7657" i="34"/>
  <c r="O7658" i="34"/>
  <c r="O7659" i="34"/>
  <c r="O7660" i="34"/>
  <c r="O7661" i="34"/>
  <c r="O7662" i="34"/>
  <c r="O7663" i="34"/>
  <c r="O7664" i="34"/>
  <c r="O7665" i="34"/>
  <c r="O7666" i="34"/>
  <c r="O7667" i="34"/>
  <c r="O7668" i="34"/>
  <c r="O7669" i="34"/>
  <c r="O7670" i="34"/>
  <c r="O7671" i="34"/>
  <c r="O7672" i="34"/>
  <c r="O7673" i="34"/>
  <c r="O7674" i="34"/>
  <c r="O7675" i="34"/>
  <c r="O7676" i="34"/>
  <c r="O7677" i="34"/>
  <c r="O7678" i="34"/>
  <c r="O7679" i="34"/>
  <c r="O7680" i="34"/>
  <c r="O7681" i="34"/>
  <c r="O7682" i="34"/>
  <c r="O7683" i="34"/>
  <c r="O7684" i="34"/>
  <c r="O7685" i="34"/>
  <c r="O7686" i="34"/>
  <c r="O7687" i="34"/>
  <c r="O7688" i="34"/>
  <c r="O7689" i="34"/>
  <c r="O7690" i="34"/>
  <c r="O7691" i="34"/>
  <c r="O7692" i="34"/>
  <c r="O7693" i="34"/>
  <c r="O7694" i="34"/>
  <c r="O7695" i="34"/>
  <c r="O7696" i="34"/>
  <c r="O7697" i="34"/>
  <c r="O7698" i="34"/>
  <c r="O7699" i="34"/>
  <c r="O7700" i="34"/>
  <c r="O7701" i="34"/>
  <c r="O7702" i="34"/>
  <c r="O7703" i="34"/>
  <c r="O7704" i="34"/>
  <c r="O7705" i="34"/>
  <c r="O7706" i="34"/>
  <c r="O7707" i="34"/>
  <c r="O7708" i="34"/>
  <c r="O7709" i="34"/>
  <c r="O7710" i="34"/>
  <c r="O7711" i="34"/>
  <c r="O7712" i="34"/>
  <c r="O7713" i="34"/>
  <c r="O7714" i="34"/>
  <c r="O7715" i="34"/>
  <c r="O7716" i="34"/>
  <c r="O7717" i="34"/>
  <c r="O7718" i="34"/>
  <c r="O7719" i="34"/>
  <c r="O7720" i="34"/>
  <c r="O7721" i="34"/>
  <c r="O7722" i="34"/>
  <c r="O7723" i="34"/>
  <c r="O7724" i="34"/>
  <c r="O7725" i="34"/>
  <c r="O7726" i="34"/>
  <c r="O7727" i="34"/>
  <c r="O7728" i="34"/>
  <c r="O7729" i="34"/>
  <c r="O7730" i="34"/>
  <c r="O7731" i="34"/>
  <c r="O7732" i="34"/>
  <c r="O7733" i="34"/>
  <c r="O7734" i="34"/>
  <c r="O7735" i="34"/>
  <c r="O7736" i="34"/>
  <c r="O7737" i="34"/>
  <c r="O7738" i="34"/>
  <c r="O7739" i="34"/>
  <c r="O7740" i="34"/>
  <c r="O7741" i="34"/>
  <c r="O7742" i="34"/>
  <c r="O7743" i="34"/>
  <c r="O7744" i="34"/>
  <c r="O7745" i="34"/>
  <c r="O7746" i="34"/>
  <c r="O7747" i="34"/>
  <c r="O7748" i="34"/>
  <c r="O7749" i="34"/>
  <c r="O7750" i="34"/>
  <c r="O7751" i="34"/>
  <c r="O7752" i="34"/>
  <c r="O7753" i="34"/>
  <c r="O7754" i="34"/>
  <c r="O7755" i="34"/>
  <c r="O7756" i="34"/>
  <c r="O7757" i="34"/>
  <c r="O7758" i="34"/>
  <c r="O7759" i="34"/>
  <c r="O7760" i="34"/>
  <c r="O7761" i="34"/>
  <c r="O7762" i="34"/>
  <c r="O7763" i="34"/>
  <c r="O7764" i="34"/>
  <c r="O7765" i="34"/>
  <c r="O7766" i="34"/>
  <c r="O7767" i="34"/>
  <c r="O7768" i="34"/>
  <c r="O7769" i="34"/>
  <c r="O7770" i="34"/>
  <c r="O7771" i="34"/>
  <c r="O7772" i="34"/>
  <c r="O7773" i="34"/>
  <c r="O7774" i="34"/>
  <c r="O7775" i="34"/>
  <c r="O7776" i="34"/>
  <c r="O7777" i="34"/>
  <c r="O7778" i="34"/>
  <c r="O7779" i="34"/>
  <c r="O7780" i="34"/>
  <c r="O7781" i="34"/>
  <c r="O7782" i="34"/>
  <c r="O7783" i="34"/>
  <c r="O7784" i="34"/>
  <c r="O7785" i="34"/>
  <c r="O7786" i="34"/>
  <c r="O7787" i="34"/>
  <c r="O7788" i="34"/>
  <c r="O7789" i="34"/>
  <c r="O7790" i="34"/>
  <c r="O7791" i="34"/>
  <c r="O7792" i="34"/>
  <c r="O7793" i="34"/>
  <c r="O7794" i="34"/>
  <c r="O7795" i="34"/>
  <c r="O7796" i="34"/>
  <c r="O7797" i="34"/>
  <c r="O7798" i="34"/>
  <c r="O7799" i="34"/>
  <c r="O7800" i="34"/>
  <c r="O7801" i="34"/>
  <c r="O7802" i="34"/>
  <c r="O7803" i="34"/>
  <c r="O7804" i="34"/>
  <c r="O7805" i="34"/>
  <c r="O7806" i="34"/>
  <c r="O7807" i="34"/>
  <c r="O7808" i="34"/>
  <c r="O7809" i="34"/>
  <c r="O7810" i="34"/>
  <c r="O7811" i="34"/>
  <c r="O7812" i="34"/>
  <c r="O7813" i="34"/>
  <c r="O7814" i="34"/>
  <c r="O7815" i="34"/>
  <c r="O7816" i="34"/>
  <c r="O7817" i="34"/>
  <c r="O7818" i="34"/>
  <c r="O7819" i="34"/>
  <c r="O7820" i="34"/>
  <c r="O7821" i="34"/>
  <c r="O7822" i="34"/>
  <c r="O7823" i="34"/>
  <c r="O7824" i="34"/>
  <c r="O7825" i="34"/>
  <c r="O7826" i="34"/>
  <c r="O7827" i="34"/>
  <c r="O7828" i="34"/>
  <c r="O7829" i="34"/>
  <c r="O7830" i="34"/>
  <c r="O7831" i="34"/>
  <c r="O7832" i="34"/>
  <c r="O7833" i="34"/>
  <c r="O7834" i="34"/>
  <c r="O7835" i="34"/>
  <c r="O7836" i="34"/>
  <c r="O7837" i="34"/>
  <c r="O7838" i="34"/>
  <c r="O7839" i="34"/>
  <c r="O7840" i="34"/>
  <c r="O7841" i="34"/>
  <c r="O7842" i="34"/>
  <c r="O7843" i="34"/>
  <c r="O7844" i="34"/>
  <c r="O7845" i="34"/>
  <c r="O7846" i="34"/>
  <c r="O7847" i="34"/>
  <c r="O7848" i="34"/>
  <c r="O7849" i="34"/>
  <c r="O7850" i="34"/>
  <c r="O7851" i="34"/>
  <c r="O7852" i="34"/>
  <c r="O7853" i="34"/>
  <c r="O7854" i="34"/>
  <c r="O7855" i="34"/>
  <c r="O7856" i="34"/>
  <c r="O7857" i="34"/>
  <c r="O7858" i="34"/>
  <c r="O7859" i="34"/>
  <c r="O7860" i="34"/>
  <c r="O7861" i="34"/>
  <c r="O7862" i="34"/>
  <c r="O7863" i="34"/>
  <c r="O7864" i="34"/>
  <c r="O7865" i="34"/>
  <c r="O7866" i="34"/>
  <c r="O7867" i="34"/>
  <c r="O7868" i="34"/>
  <c r="O7869" i="34"/>
  <c r="O7870" i="34"/>
  <c r="O7871" i="34"/>
  <c r="O7872" i="34"/>
  <c r="O7873" i="34"/>
  <c r="O7874" i="34"/>
  <c r="O7875" i="34"/>
  <c r="O7876" i="34"/>
  <c r="O7877" i="34"/>
  <c r="O7878" i="34"/>
  <c r="O7879" i="34"/>
  <c r="O7880" i="34"/>
  <c r="O7881" i="34"/>
  <c r="O7882" i="34"/>
  <c r="O7883" i="34"/>
  <c r="O7884" i="34"/>
  <c r="O7885" i="34"/>
  <c r="O7886" i="34"/>
  <c r="O7887" i="34"/>
  <c r="O7888" i="34"/>
  <c r="O7889" i="34"/>
  <c r="O7890" i="34"/>
  <c r="O7891" i="34"/>
  <c r="O7892" i="34"/>
  <c r="O7893" i="34"/>
  <c r="O7894" i="34"/>
  <c r="O7895" i="34"/>
  <c r="O7896" i="34"/>
  <c r="O7897" i="34"/>
  <c r="O7898" i="34"/>
  <c r="O7899" i="34"/>
  <c r="O7900" i="34"/>
  <c r="O7901" i="34"/>
  <c r="O7902" i="34"/>
  <c r="O7903" i="34"/>
  <c r="O7904" i="34"/>
  <c r="O7905" i="34"/>
  <c r="O7906" i="34"/>
  <c r="O7907" i="34"/>
  <c r="O7908" i="34"/>
  <c r="O7909" i="34"/>
  <c r="O7910" i="34"/>
  <c r="O7911" i="34"/>
  <c r="O7912" i="34"/>
  <c r="O7913" i="34"/>
  <c r="O7914" i="34"/>
  <c r="O7915" i="34"/>
  <c r="O7916" i="34"/>
  <c r="O7917" i="34"/>
  <c r="O7918" i="34"/>
  <c r="O7919" i="34"/>
  <c r="O7920" i="34"/>
  <c r="O7921" i="34"/>
  <c r="O7922" i="34"/>
  <c r="O7923" i="34"/>
  <c r="O7924" i="34"/>
  <c r="O7925" i="34"/>
  <c r="O7926" i="34"/>
  <c r="O7927" i="34"/>
  <c r="O7928" i="34"/>
  <c r="O7929" i="34"/>
  <c r="O7930" i="34"/>
  <c r="O7931" i="34"/>
  <c r="O7932" i="34"/>
  <c r="O7933" i="34"/>
  <c r="O7934" i="34"/>
  <c r="O7935" i="34"/>
  <c r="O7936" i="34"/>
  <c r="O7937" i="34"/>
  <c r="O7938" i="34"/>
  <c r="O7939" i="34"/>
  <c r="O7940" i="34"/>
  <c r="O7941" i="34"/>
  <c r="O7942" i="34"/>
  <c r="O7943" i="34"/>
  <c r="O7944" i="34"/>
  <c r="O7945" i="34"/>
  <c r="O7946" i="34"/>
  <c r="O7947" i="34"/>
  <c r="O7948" i="34"/>
  <c r="O7949" i="34"/>
  <c r="O7950" i="34"/>
  <c r="O7951" i="34"/>
  <c r="O7952" i="34"/>
  <c r="O7953" i="34"/>
  <c r="O7954" i="34"/>
  <c r="O7955" i="34"/>
  <c r="O7956" i="34"/>
  <c r="O7957" i="34"/>
  <c r="O7958" i="34"/>
  <c r="O7959" i="34"/>
  <c r="O7960" i="34"/>
  <c r="O7961" i="34"/>
  <c r="O7962" i="34"/>
  <c r="O7963" i="34"/>
  <c r="O7964" i="34"/>
  <c r="O7965" i="34"/>
  <c r="O7966" i="34"/>
  <c r="O7967" i="34"/>
  <c r="O7968" i="34"/>
  <c r="O7969" i="34"/>
  <c r="O7970" i="34"/>
  <c r="O7971" i="34"/>
  <c r="O7972" i="34"/>
  <c r="O7973" i="34"/>
  <c r="O7974" i="34"/>
  <c r="O7975" i="34"/>
  <c r="O7976" i="34"/>
  <c r="O7977" i="34"/>
  <c r="O7978" i="34"/>
  <c r="O7979" i="34"/>
  <c r="O7980" i="34"/>
  <c r="O7981" i="34"/>
  <c r="O7982" i="34"/>
  <c r="O7983" i="34"/>
  <c r="O7984" i="34"/>
  <c r="O7985" i="34"/>
  <c r="O7986" i="34"/>
  <c r="O7987" i="34"/>
  <c r="O7988" i="34"/>
  <c r="O7989" i="34"/>
  <c r="O7990" i="34"/>
  <c r="O7991" i="34"/>
  <c r="O7992" i="34"/>
  <c r="O7993" i="34"/>
  <c r="O7994" i="34"/>
  <c r="O7995" i="34"/>
  <c r="O7996" i="34"/>
  <c r="O7997" i="34"/>
  <c r="O7998" i="34"/>
  <c r="O7999" i="34"/>
  <c r="O8000" i="34"/>
  <c r="O8001" i="34"/>
  <c r="O8002" i="34"/>
  <c r="O8003" i="34"/>
  <c r="O8004" i="34"/>
  <c r="O8005" i="34"/>
  <c r="O8006" i="34"/>
  <c r="O8007" i="34"/>
  <c r="O8008" i="34"/>
  <c r="O8009" i="34"/>
  <c r="O8010" i="34"/>
  <c r="O8011" i="34"/>
  <c r="O8012" i="34"/>
  <c r="O8013" i="34"/>
  <c r="O8014" i="34"/>
  <c r="O8015" i="34"/>
  <c r="O8016" i="34"/>
  <c r="O8017" i="34"/>
  <c r="O8018" i="34"/>
  <c r="O8019" i="34"/>
  <c r="O8020" i="34"/>
  <c r="O8021" i="34"/>
  <c r="O8022" i="34"/>
  <c r="O8023" i="34"/>
  <c r="O8024" i="34"/>
  <c r="O8025" i="34"/>
  <c r="O8026" i="34"/>
  <c r="O8027" i="34"/>
  <c r="O8028" i="34"/>
  <c r="O8029" i="34"/>
  <c r="O8030" i="34"/>
  <c r="O8031" i="34"/>
  <c r="O8032" i="34"/>
  <c r="O8033" i="34"/>
  <c r="O8034" i="34"/>
  <c r="O8035" i="34"/>
  <c r="O8036" i="34"/>
  <c r="O8037" i="34"/>
  <c r="O8038" i="34"/>
  <c r="O8039" i="34"/>
  <c r="O8040" i="34"/>
  <c r="O8041" i="34"/>
  <c r="O8042" i="34"/>
  <c r="O8043" i="34"/>
  <c r="O8044" i="34"/>
  <c r="O8045" i="34"/>
  <c r="O8046" i="34"/>
  <c r="O8047" i="34"/>
  <c r="O8048" i="34"/>
  <c r="O8049" i="34"/>
  <c r="O8050" i="34"/>
  <c r="O8051" i="34"/>
  <c r="O8052" i="34"/>
  <c r="O8053" i="34"/>
  <c r="O8054" i="34"/>
  <c r="O8055" i="34"/>
  <c r="O8056" i="34"/>
  <c r="O8057" i="34"/>
  <c r="O8058" i="34"/>
  <c r="O8059" i="34"/>
  <c r="O8060" i="34"/>
  <c r="O8061" i="34"/>
  <c r="O8062" i="34"/>
  <c r="O8063" i="34"/>
  <c r="O8064" i="34"/>
  <c r="O8065" i="34"/>
  <c r="O8066" i="34"/>
  <c r="O8067" i="34"/>
  <c r="O8068" i="34"/>
  <c r="O8069" i="34"/>
  <c r="O8070" i="34"/>
  <c r="O8071" i="34"/>
  <c r="O8072" i="34"/>
  <c r="O8073" i="34"/>
  <c r="O8074" i="34"/>
  <c r="O8075" i="34"/>
  <c r="O8076" i="34"/>
  <c r="O8077" i="34"/>
  <c r="O8078" i="34"/>
  <c r="O8079" i="34"/>
  <c r="O8080" i="34"/>
  <c r="O8081" i="34"/>
  <c r="O8082" i="34"/>
  <c r="O8083" i="34"/>
  <c r="O8084" i="34"/>
  <c r="O8085" i="34"/>
  <c r="O8086" i="34"/>
  <c r="O8087" i="34"/>
  <c r="O8088" i="34"/>
  <c r="O8089" i="34"/>
  <c r="O8090" i="34"/>
  <c r="O8091" i="34"/>
  <c r="O8092" i="34"/>
  <c r="O8093" i="34"/>
  <c r="O8094" i="34"/>
  <c r="O8095" i="34"/>
  <c r="O8096" i="34"/>
  <c r="O8097" i="34"/>
  <c r="O8098" i="34"/>
  <c r="O8099" i="34"/>
  <c r="O8100" i="34"/>
  <c r="O8101" i="34"/>
  <c r="O8102" i="34"/>
  <c r="O8103" i="34"/>
  <c r="O8104" i="34"/>
  <c r="O8105" i="34"/>
  <c r="O8106" i="34"/>
  <c r="O8107" i="34"/>
  <c r="O8108" i="34"/>
  <c r="O8109" i="34"/>
  <c r="O8110" i="34"/>
  <c r="O8111" i="34"/>
  <c r="O8112" i="34"/>
  <c r="O8113" i="34"/>
  <c r="O8114" i="34"/>
  <c r="O8115" i="34"/>
  <c r="O8116" i="34"/>
  <c r="O8117" i="34"/>
  <c r="O8118" i="34"/>
  <c r="O8119" i="34"/>
  <c r="O8120" i="34"/>
  <c r="O8121" i="34"/>
  <c r="O8122" i="34"/>
  <c r="O8123" i="34"/>
  <c r="O8124" i="34"/>
  <c r="O8125" i="34"/>
  <c r="O8126" i="34"/>
  <c r="O8127" i="34"/>
  <c r="O8128" i="34"/>
  <c r="O8129" i="34"/>
  <c r="O8130" i="34"/>
  <c r="O8131" i="34"/>
  <c r="O8132" i="34"/>
  <c r="O8133" i="34"/>
  <c r="O8134" i="34"/>
  <c r="O8135" i="34"/>
  <c r="O8136" i="34"/>
  <c r="O8137" i="34"/>
  <c r="O8138" i="34"/>
  <c r="O8139" i="34"/>
  <c r="O8140" i="34"/>
  <c r="O8141" i="34"/>
  <c r="O8142" i="34"/>
  <c r="O8143" i="34"/>
  <c r="O8144" i="34"/>
  <c r="O8145" i="34"/>
  <c r="O8146" i="34"/>
  <c r="O8147" i="34"/>
  <c r="O8148" i="34"/>
  <c r="O8149" i="34"/>
  <c r="O8150" i="34"/>
  <c r="O8151" i="34"/>
  <c r="O8152" i="34"/>
  <c r="O8153" i="34"/>
  <c r="O8154" i="34"/>
  <c r="O8155" i="34"/>
  <c r="O8156" i="34"/>
  <c r="O8157" i="34"/>
  <c r="O8158" i="34"/>
  <c r="O8159" i="34"/>
  <c r="O8160" i="34"/>
  <c r="O8161" i="34"/>
  <c r="O8162" i="34"/>
  <c r="O8163" i="34"/>
  <c r="O8164" i="34"/>
  <c r="O8165" i="34"/>
  <c r="O8166" i="34"/>
  <c r="O8167" i="34"/>
  <c r="O8168" i="34"/>
  <c r="O8169" i="34"/>
  <c r="O8170" i="34"/>
  <c r="O8171" i="34"/>
  <c r="O8172" i="34"/>
  <c r="O8173" i="34"/>
  <c r="O8174" i="34"/>
  <c r="O8175" i="34"/>
  <c r="O8176" i="34"/>
  <c r="O8177" i="34"/>
  <c r="O8178" i="34"/>
  <c r="O8179" i="34"/>
  <c r="O8180" i="34"/>
  <c r="O8181" i="34"/>
  <c r="O8182" i="34"/>
  <c r="O8183" i="34"/>
  <c r="O8184" i="34"/>
  <c r="O8185" i="34"/>
  <c r="O8186" i="34"/>
  <c r="O8187" i="34"/>
  <c r="O8188" i="34"/>
  <c r="O8189" i="34"/>
  <c r="O8190" i="34"/>
  <c r="O8191" i="34"/>
  <c r="O8192" i="34"/>
  <c r="O8193" i="34"/>
  <c r="O8194" i="34"/>
  <c r="O8195" i="34"/>
  <c r="O8196" i="34"/>
  <c r="O8197" i="34"/>
  <c r="O8198" i="34"/>
  <c r="O8199" i="34"/>
  <c r="O8200" i="34"/>
  <c r="O8201" i="34"/>
  <c r="O8202" i="34"/>
  <c r="O8203" i="34"/>
  <c r="O8204" i="34"/>
  <c r="O8205" i="34"/>
  <c r="O8206" i="34"/>
  <c r="O8207" i="34"/>
  <c r="O8208" i="34"/>
  <c r="O8209" i="34"/>
  <c r="O8210" i="34"/>
  <c r="O8211" i="34"/>
  <c r="O8212" i="34"/>
  <c r="O8213" i="34"/>
  <c r="O8214" i="34"/>
  <c r="O8215" i="34"/>
  <c r="O8216" i="34"/>
  <c r="O8217" i="34"/>
  <c r="O8218" i="34"/>
  <c r="O8219" i="34"/>
  <c r="O8220" i="34"/>
  <c r="O8221" i="34"/>
  <c r="O8222" i="34"/>
  <c r="O8223" i="34"/>
  <c r="O8224" i="34"/>
  <c r="O8225" i="34"/>
  <c r="O8226" i="34"/>
  <c r="O8227" i="34"/>
  <c r="O8228" i="34"/>
  <c r="O8229" i="34"/>
  <c r="O8230" i="34"/>
  <c r="O8231" i="34"/>
  <c r="O8232" i="34"/>
  <c r="O8233" i="34"/>
  <c r="O8234" i="34"/>
  <c r="O8235" i="34"/>
  <c r="O8236" i="34"/>
  <c r="O8237" i="34"/>
  <c r="O8238" i="34"/>
  <c r="O8239" i="34"/>
  <c r="O8240" i="34"/>
  <c r="O8241" i="34"/>
  <c r="O8242" i="34"/>
  <c r="O8243" i="34"/>
  <c r="O8244" i="34"/>
  <c r="O8245" i="34"/>
  <c r="O8246" i="34"/>
  <c r="O8247" i="34"/>
  <c r="O8248" i="34"/>
  <c r="O8249" i="34"/>
  <c r="O8250" i="34"/>
  <c r="O8251" i="34"/>
  <c r="O8252" i="34"/>
  <c r="O8253" i="34"/>
  <c r="O8254" i="34"/>
  <c r="O8255" i="34"/>
  <c r="O8256" i="34"/>
  <c r="O8257" i="34"/>
  <c r="O8258" i="34"/>
  <c r="O8259" i="34"/>
  <c r="O8260" i="34"/>
  <c r="O8261" i="34"/>
  <c r="O8262" i="34"/>
  <c r="O8263" i="34"/>
  <c r="O8264" i="34"/>
  <c r="O8265" i="34"/>
  <c r="O8266" i="34"/>
  <c r="O8267" i="34"/>
  <c r="O8268" i="34"/>
  <c r="O8269" i="34"/>
  <c r="O8270" i="34"/>
  <c r="O8271" i="34"/>
  <c r="O8272" i="34"/>
  <c r="O8273" i="34"/>
  <c r="O8274" i="34"/>
  <c r="O8275" i="34"/>
  <c r="O8276" i="34"/>
  <c r="O8277" i="34"/>
  <c r="O8278" i="34"/>
  <c r="O8279" i="34"/>
  <c r="O8280" i="34"/>
  <c r="O8281" i="34"/>
  <c r="O8282" i="34"/>
  <c r="O8283" i="34"/>
  <c r="O8284" i="34"/>
  <c r="O8285" i="34"/>
  <c r="O8286" i="34"/>
  <c r="O8287" i="34"/>
  <c r="O8288" i="34"/>
  <c r="O8289" i="34"/>
  <c r="O8290" i="34"/>
  <c r="O8291" i="34"/>
  <c r="O8292" i="34"/>
  <c r="O8293" i="34"/>
  <c r="O8294" i="34"/>
  <c r="O8295" i="34"/>
  <c r="O8296" i="34"/>
  <c r="O8297" i="34"/>
  <c r="O8298" i="34"/>
  <c r="O8299" i="34"/>
  <c r="O8300" i="34"/>
  <c r="O8301" i="34"/>
  <c r="O8302" i="34"/>
  <c r="O8303" i="34"/>
  <c r="O8304" i="34"/>
  <c r="O8305" i="34"/>
  <c r="O8306" i="34"/>
  <c r="O8307" i="34"/>
  <c r="O8308" i="34"/>
  <c r="O8309" i="34"/>
  <c r="O8310" i="34"/>
  <c r="O8311" i="34"/>
  <c r="O8312" i="34"/>
  <c r="O8313" i="34"/>
  <c r="O8314" i="34"/>
  <c r="O8315" i="34"/>
  <c r="O8316" i="34"/>
  <c r="O8317" i="34"/>
  <c r="O8318" i="34"/>
  <c r="O8319" i="34"/>
  <c r="O8320" i="34"/>
  <c r="O8321" i="34"/>
  <c r="O8322" i="34"/>
  <c r="O8323" i="34"/>
  <c r="O8324" i="34"/>
  <c r="O8325" i="34"/>
  <c r="O8326" i="34"/>
  <c r="O8327" i="34"/>
  <c r="O8328" i="34"/>
  <c r="O8329" i="34"/>
  <c r="O8330" i="34"/>
  <c r="O8331" i="34"/>
  <c r="O8332" i="34"/>
  <c r="O8333" i="34"/>
  <c r="O8334" i="34"/>
  <c r="O8335" i="34"/>
  <c r="O8336" i="34"/>
  <c r="O8337" i="34"/>
  <c r="O8338" i="34"/>
  <c r="O8339" i="34"/>
  <c r="O8340" i="34"/>
  <c r="O8341" i="34"/>
  <c r="O8342" i="34"/>
  <c r="O8343" i="34"/>
  <c r="O8344" i="34"/>
  <c r="O8345" i="34"/>
  <c r="O8346" i="34"/>
  <c r="O8347" i="34"/>
  <c r="O8348" i="34"/>
  <c r="O8349" i="34"/>
  <c r="O8350" i="34"/>
  <c r="O8351" i="34"/>
  <c r="O8352" i="34"/>
  <c r="O8353" i="34"/>
  <c r="O8354" i="34"/>
  <c r="O8355" i="34"/>
  <c r="O8356" i="34"/>
  <c r="O8357" i="34"/>
  <c r="O8358" i="34"/>
  <c r="O8359" i="34"/>
  <c r="O8360" i="34"/>
  <c r="O8361" i="34"/>
  <c r="O8362" i="34"/>
  <c r="O8363" i="34"/>
  <c r="O8364" i="34"/>
  <c r="O8365" i="34"/>
  <c r="O8366" i="34"/>
  <c r="O8367" i="34"/>
  <c r="O8368" i="34"/>
  <c r="O8369" i="34"/>
  <c r="O8370" i="34"/>
  <c r="O8371" i="34"/>
  <c r="O8372" i="34"/>
  <c r="O8373" i="34"/>
  <c r="O8374" i="34"/>
  <c r="O8375" i="34"/>
  <c r="O8376" i="34"/>
  <c r="O8377" i="34"/>
  <c r="O8378" i="34"/>
  <c r="O8379" i="34"/>
  <c r="O8380" i="34"/>
  <c r="O8381" i="34"/>
  <c r="O8382" i="34"/>
  <c r="O8383" i="34"/>
  <c r="O8384" i="34"/>
  <c r="O8385" i="34"/>
  <c r="O8386" i="34"/>
  <c r="O8387" i="34"/>
  <c r="O8388" i="34"/>
  <c r="O8389" i="34"/>
  <c r="O8390" i="34"/>
  <c r="O8391" i="34"/>
  <c r="O8392" i="34"/>
  <c r="O8393" i="34"/>
  <c r="O8394" i="34"/>
  <c r="O8395" i="34"/>
  <c r="O8396" i="34"/>
  <c r="O8397" i="34"/>
  <c r="O8398" i="34"/>
  <c r="O8399" i="34"/>
  <c r="O8400" i="34"/>
  <c r="O8401" i="34"/>
  <c r="O8402" i="34"/>
  <c r="O8403" i="34"/>
  <c r="O8404" i="34"/>
  <c r="O8405" i="34"/>
  <c r="O8406" i="34"/>
  <c r="O8407" i="34"/>
  <c r="O8408" i="34"/>
  <c r="O8409" i="34"/>
  <c r="O8410" i="34"/>
  <c r="O8411" i="34"/>
  <c r="O8412" i="34"/>
  <c r="O8413" i="34"/>
  <c r="O8414" i="34"/>
  <c r="O8415" i="34"/>
  <c r="O8416" i="34"/>
  <c r="O8417" i="34"/>
  <c r="O8418" i="34"/>
  <c r="O8419" i="34"/>
  <c r="O8420" i="34"/>
  <c r="O8421" i="34"/>
  <c r="O8422" i="34"/>
  <c r="O8423" i="34"/>
  <c r="O8424" i="34"/>
  <c r="O8425" i="34"/>
  <c r="O8426" i="34"/>
  <c r="O8427" i="34"/>
  <c r="O8428" i="34"/>
  <c r="O8429" i="34"/>
  <c r="O8430" i="34"/>
  <c r="O8431" i="34"/>
  <c r="O8432" i="34"/>
  <c r="O8433" i="34"/>
  <c r="O8434" i="34"/>
  <c r="O8435" i="34"/>
  <c r="O8436" i="34"/>
  <c r="O8437" i="34"/>
  <c r="O8438" i="34"/>
  <c r="O8439" i="34"/>
  <c r="O8440" i="34"/>
  <c r="O8441" i="34"/>
  <c r="O8442" i="34"/>
  <c r="O8443" i="34"/>
  <c r="O8444" i="34"/>
  <c r="O8445" i="34"/>
  <c r="O8446" i="34"/>
  <c r="O8447" i="34"/>
  <c r="O8448" i="34"/>
  <c r="O8449" i="34"/>
  <c r="O8450" i="34"/>
  <c r="O8451" i="34"/>
  <c r="O8452" i="34"/>
  <c r="O8453" i="34"/>
  <c r="O8454" i="34"/>
  <c r="O8455" i="34"/>
  <c r="O8456" i="34"/>
  <c r="O8457" i="34"/>
  <c r="O8458" i="34"/>
  <c r="O8459" i="34"/>
  <c r="O8460" i="34"/>
  <c r="O8461" i="34"/>
  <c r="O8462" i="34"/>
  <c r="O8463" i="34"/>
  <c r="O8464" i="34"/>
  <c r="O8465" i="34"/>
  <c r="O8466" i="34"/>
  <c r="O8467" i="34"/>
  <c r="O8468" i="34"/>
  <c r="O8469" i="34"/>
  <c r="O8470" i="34"/>
  <c r="O8471" i="34"/>
  <c r="O8472" i="34"/>
  <c r="O8473" i="34"/>
  <c r="O8474" i="34"/>
  <c r="O8475" i="34"/>
  <c r="O8476" i="34"/>
  <c r="O8477" i="34"/>
  <c r="O8478" i="34"/>
  <c r="O8479" i="34"/>
  <c r="O8480" i="34"/>
  <c r="O8481" i="34"/>
  <c r="O8482" i="34"/>
  <c r="O8483" i="34"/>
  <c r="O8484" i="34"/>
  <c r="O8485" i="34"/>
  <c r="O8486" i="34"/>
  <c r="O8487" i="34"/>
  <c r="O8488" i="34"/>
  <c r="O8489" i="34"/>
  <c r="O8490" i="34"/>
  <c r="O8491" i="34"/>
  <c r="O8492" i="34"/>
  <c r="O8493" i="34"/>
  <c r="O8494" i="34"/>
  <c r="O8495" i="34"/>
  <c r="O8496" i="34"/>
  <c r="O8497" i="34"/>
  <c r="O8498" i="34"/>
  <c r="O8499" i="34"/>
  <c r="O8500" i="34"/>
  <c r="O8501" i="34"/>
  <c r="O8502" i="34"/>
  <c r="O8503" i="34"/>
  <c r="O8504" i="34"/>
  <c r="O8505" i="34"/>
  <c r="O8506" i="34"/>
  <c r="O8507" i="34"/>
  <c r="O8508" i="34"/>
  <c r="O8509" i="34"/>
  <c r="O8510" i="34"/>
  <c r="O8511" i="34"/>
  <c r="O8512" i="34"/>
  <c r="O8513" i="34"/>
  <c r="O8514" i="34"/>
  <c r="O8515" i="34"/>
  <c r="O8516" i="34"/>
  <c r="O8517" i="34"/>
  <c r="O8518" i="34"/>
  <c r="O8519" i="34"/>
  <c r="O8520" i="34"/>
  <c r="O8521" i="34"/>
  <c r="O8522" i="34"/>
  <c r="O8523" i="34"/>
  <c r="O8524" i="34"/>
  <c r="O8525" i="34"/>
  <c r="O8526" i="34"/>
  <c r="O8527" i="34"/>
  <c r="O8528" i="34"/>
  <c r="O8529" i="34"/>
  <c r="O8530" i="34"/>
  <c r="O8531" i="34"/>
  <c r="O8532" i="34"/>
  <c r="O8533" i="34"/>
  <c r="O8534" i="34"/>
  <c r="O8535" i="34"/>
  <c r="O8536" i="34"/>
  <c r="O8537" i="34"/>
  <c r="O8538" i="34"/>
  <c r="O8539" i="34"/>
  <c r="O8540" i="34"/>
  <c r="O8541" i="34"/>
  <c r="O8542" i="34"/>
  <c r="O8543" i="34"/>
  <c r="O8544" i="34"/>
  <c r="O8545" i="34"/>
  <c r="O8546" i="34"/>
  <c r="O8547" i="34"/>
  <c r="O8548" i="34"/>
  <c r="O8549" i="34"/>
  <c r="O8550" i="34"/>
  <c r="O8551" i="34"/>
  <c r="O8552" i="34"/>
  <c r="O8553" i="34"/>
  <c r="O8554" i="34"/>
  <c r="O8555" i="34"/>
  <c r="O8556" i="34"/>
  <c r="O8557" i="34"/>
  <c r="O8558" i="34"/>
  <c r="O8559" i="34"/>
  <c r="O8560" i="34"/>
  <c r="O8561" i="34"/>
  <c r="O8562" i="34"/>
  <c r="O8563" i="34"/>
  <c r="O8564" i="34"/>
  <c r="O8565" i="34"/>
  <c r="O8566" i="34"/>
  <c r="O8567" i="34"/>
  <c r="O8568" i="34"/>
  <c r="O8569" i="34"/>
  <c r="O8570" i="34"/>
  <c r="O8571" i="34"/>
  <c r="O8572" i="34"/>
  <c r="O8573" i="34"/>
  <c r="O8574" i="34"/>
  <c r="O8575" i="34"/>
  <c r="O8576" i="34"/>
  <c r="O8577" i="34"/>
  <c r="O8578" i="34"/>
  <c r="O8579" i="34"/>
  <c r="O8580" i="34"/>
  <c r="O8581" i="34"/>
  <c r="O8582" i="34"/>
  <c r="O8583" i="34"/>
  <c r="O8584" i="34"/>
  <c r="O8585" i="34"/>
  <c r="O8586" i="34"/>
  <c r="O8587" i="34"/>
  <c r="O8588" i="34"/>
  <c r="O8589" i="34"/>
  <c r="O8590" i="34"/>
  <c r="O8591" i="34"/>
  <c r="O8592" i="34"/>
  <c r="O8593" i="34"/>
  <c r="O8594" i="34"/>
  <c r="O8595" i="34"/>
  <c r="O8596" i="34"/>
  <c r="O8597" i="34"/>
  <c r="O8598" i="34"/>
  <c r="O8599" i="34"/>
  <c r="O8600" i="34"/>
  <c r="O8601" i="34"/>
  <c r="O8602" i="34"/>
  <c r="O8603" i="34"/>
  <c r="O8604" i="34"/>
  <c r="O8605" i="34"/>
  <c r="O8606" i="34"/>
  <c r="O8607" i="34"/>
  <c r="O8608" i="34"/>
  <c r="O8609" i="34"/>
  <c r="O8610" i="34"/>
  <c r="O8611" i="34"/>
  <c r="O8612" i="34"/>
  <c r="O8613" i="34"/>
  <c r="O8614" i="34"/>
  <c r="O8615" i="34"/>
  <c r="O8616" i="34"/>
  <c r="O8617" i="34"/>
  <c r="O8618" i="34"/>
  <c r="O8619" i="34"/>
  <c r="O8620" i="34"/>
  <c r="O8621" i="34"/>
  <c r="O8622" i="34"/>
  <c r="O8623" i="34"/>
  <c r="O8624" i="34"/>
  <c r="O8625" i="34"/>
  <c r="O8626" i="34"/>
  <c r="O8627" i="34"/>
  <c r="O8628" i="34"/>
  <c r="O8629" i="34"/>
  <c r="O8630" i="34"/>
  <c r="O8631" i="34"/>
  <c r="O8632" i="34"/>
  <c r="O8633" i="34"/>
  <c r="O8634" i="34"/>
  <c r="O8635" i="34"/>
  <c r="O8636" i="34"/>
  <c r="O8637" i="34"/>
  <c r="O8638" i="34"/>
  <c r="O8639" i="34"/>
  <c r="O8640" i="34"/>
  <c r="O8641" i="34"/>
  <c r="O8642" i="34"/>
  <c r="O8643" i="34"/>
  <c r="O8644" i="34"/>
  <c r="O8645" i="34"/>
  <c r="O8646" i="34"/>
  <c r="O8647" i="34"/>
  <c r="O8648" i="34"/>
  <c r="O8649" i="34"/>
  <c r="O8650" i="34"/>
  <c r="O8651" i="34"/>
  <c r="O8652" i="34"/>
  <c r="O8653" i="34"/>
  <c r="O8654" i="34"/>
  <c r="O8655" i="34"/>
  <c r="O8656" i="34"/>
  <c r="O8657" i="34"/>
  <c r="O8658" i="34"/>
  <c r="O8659" i="34"/>
  <c r="O8660" i="34"/>
  <c r="O8661" i="34"/>
  <c r="O8662" i="34"/>
  <c r="O8663" i="34"/>
  <c r="O8664" i="34"/>
  <c r="O8665" i="34"/>
  <c r="O8666" i="34"/>
  <c r="O8667" i="34"/>
  <c r="O8668" i="34"/>
  <c r="O8669" i="34"/>
  <c r="O8670" i="34"/>
  <c r="O8671" i="34"/>
  <c r="O8672" i="34"/>
  <c r="O8673" i="34"/>
  <c r="O8674" i="34"/>
  <c r="O8675" i="34"/>
  <c r="O8676" i="34"/>
  <c r="O8677" i="34"/>
  <c r="O8678" i="34"/>
  <c r="O8679" i="34"/>
  <c r="O8680" i="34"/>
  <c r="O8681" i="34"/>
  <c r="O8682" i="34"/>
  <c r="O8683" i="34"/>
  <c r="O8684" i="34"/>
  <c r="O8685" i="34"/>
  <c r="O8686" i="34"/>
  <c r="O8687" i="34"/>
  <c r="O8688" i="34"/>
  <c r="O8689" i="34"/>
  <c r="O8690" i="34"/>
  <c r="O8691" i="34"/>
  <c r="O8692" i="34"/>
  <c r="O8693" i="34"/>
  <c r="O8694" i="34"/>
  <c r="O8695" i="34"/>
  <c r="O8696" i="34"/>
  <c r="O8697" i="34"/>
  <c r="O8698" i="34"/>
  <c r="O8699" i="34"/>
  <c r="O8700" i="34"/>
  <c r="O8701" i="34"/>
  <c r="O8702" i="34"/>
  <c r="O8703" i="34"/>
  <c r="O8704" i="34"/>
  <c r="O8705" i="34"/>
  <c r="O8706" i="34"/>
  <c r="O8707" i="34"/>
  <c r="O8708" i="34"/>
  <c r="O8709" i="34"/>
  <c r="O8710" i="34"/>
  <c r="O8711" i="34"/>
  <c r="O8712" i="34"/>
  <c r="O8713" i="34"/>
  <c r="O8714" i="34"/>
  <c r="O8715" i="34"/>
  <c r="O8716" i="34"/>
  <c r="O8717" i="34"/>
  <c r="O8718" i="34"/>
  <c r="O8719" i="34"/>
  <c r="O8720" i="34"/>
  <c r="O8721" i="34"/>
  <c r="O8722" i="34"/>
  <c r="O8723" i="34"/>
  <c r="O8724" i="34"/>
  <c r="O8725" i="34"/>
  <c r="O8726" i="34"/>
  <c r="O8727" i="34"/>
  <c r="O8728" i="34"/>
  <c r="O8729" i="34"/>
  <c r="O8730" i="34"/>
  <c r="O8731" i="34"/>
  <c r="O8732" i="34"/>
  <c r="O8733" i="34"/>
  <c r="O8734" i="34"/>
  <c r="O8735" i="34"/>
  <c r="O8736" i="34"/>
  <c r="O8737" i="34"/>
  <c r="O8738" i="34"/>
  <c r="O8739" i="34"/>
  <c r="O8740" i="34"/>
  <c r="O8741" i="34"/>
  <c r="O8742" i="34"/>
  <c r="O8743" i="34"/>
  <c r="O8744" i="34"/>
  <c r="O8745" i="34"/>
  <c r="O8746" i="34"/>
  <c r="O8747" i="34"/>
  <c r="O8748" i="34"/>
  <c r="O8749" i="34"/>
  <c r="O8750" i="34"/>
  <c r="O8751" i="34"/>
  <c r="O8752" i="34"/>
  <c r="O8753" i="34"/>
  <c r="O8754" i="34"/>
  <c r="O8755" i="34"/>
  <c r="O8756" i="34"/>
  <c r="O8757" i="34"/>
  <c r="O8758" i="34"/>
  <c r="O8759" i="34"/>
  <c r="O8760" i="34"/>
  <c r="O8761" i="34"/>
  <c r="O8762" i="34"/>
  <c r="O8763" i="34"/>
  <c r="O8764" i="34"/>
  <c r="O8765" i="34"/>
  <c r="O8766" i="34"/>
  <c r="O8767" i="34"/>
  <c r="O8768" i="34"/>
  <c r="O8769" i="34"/>
  <c r="O8770" i="34"/>
  <c r="O8771" i="34"/>
  <c r="O8772" i="34"/>
  <c r="O8773" i="34"/>
  <c r="O8774" i="34"/>
  <c r="O8775" i="34"/>
  <c r="O8776" i="34"/>
  <c r="O8777" i="34"/>
  <c r="O8778" i="34"/>
  <c r="O8779" i="34"/>
  <c r="O8780" i="34"/>
  <c r="O8781" i="34"/>
  <c r="O8782" i="34"/>
  <c r="O8783" i="34"/>
  <c r="O8784" i="34"/>
  <c r="O8785" i="34"/>
  <c r="O8786" i="34"/>
  <c r="O8787" i="34"/>
  <c r="O8788" i="34"/>
  <c r="O8789" i="34"/>
  <c r="O8790" i="34"/>
  <c r="O8791" i="34"/>
  <c r="O8792" i="34"/>
  <c r="O8793" i="34"/>
  <c r="O8794" i="34"/>
  <c r="O8795" i="34"/>
  <c r="O8796" i="34"/>
  <c r="O8797" i="34"/>
  <c r="O8798" i="34"/>
  <c r="O8799" i="34"/>
  <c r="O8800" i="34"/>
  <c r="O8801" i="34"/>
  <c r="O8802" i="34"/>
  <c r="O8803" i="34"/>
  <c r="O8804" i="34"/>
  <c r="O8805" i="34"/>
  <c r="O8806" i="34"/>
  <c r="O8807" i="34"/>
  <c r="O8808" i="34"/>
  <c r="O8809" i="34"/>
  <c r="O8810" i="34"/>
  <c r="O8811" i="34"/>
  <c r="O8812" i="34"/>
  <c r="O8813" i="34"/>
  <c r="O8814" i="34"/>
  <c r="O8815" i="34"/>
  <c r="O8816" i="34"/>
  <c r="O8817" i="34"/>
  <c r="O8818" i="34"/>
  <c r="O8819" i="34"/>
  <c r="O8820" i="34"/>
  <c r="O8821" i="34"/>
  <c r="O8822" i="34"/>
  <c r="O8823" i="34"/>
  <c r="O8824" i="34"/>
  <c r="O8825" i="34"/>
  <c r="O8826" i="34"/>
  <c r="O8827" i="34"/>
  <c r="O8828" i="34"/>
  <c r="O8829" i="34"/>
  <c r="O8830" i="34"/>
  <c r="O8831" i="34"/>
  <c r="O8832" i="34"/>
  <c r="O8833" i="34"/>
  <c r="O8834" i="34"/>
  <c r="O8835" i="34"/>
  <c r="O8836" i="34"/>
  <c r="O8837" i="34"/>
  <c r="O8838" i="34"/>
  <c r="O8839" i="34"/>
  <c r="O8840" i="34"/>
  <c r="O8841" i="34"/>
  <c r="O8842" i="34"/>
  <c r="O8843" i="34"/>
  <c r="O8844" i="34"/>
  <c r="O8845" i="34"/>
  <c r="O8846" i="34"/>
  <c r="O8847" i="34"/>
  <c r="O8848" i="34"/>
  <c r="O8849" i="34"/>
  <c r="O8850" i="34"/>
  <c r="O8851" i="34"/>
  <c r="O8852" i="34"/>
  <c r="O8853" i="34"/>
  <c r="O8854" i="34"/>
  <c r="O8855" i="34"/>
  <c r="O8856" i="34"/>
  <c r="O8857" i="34"/>
  <c r="O8858" i="34"/>
  <c r="O8859" i="34"/>
  <c r="O8860" i="34"/>
  <c r="O8861" i="34"/>
  <c r="O8862" i="34"/>
  <c r="O8863" i="34"/>
  <c r="O8864" i="34"/>
  <c r="O8865" i="34"/>
  <c r="O8866" i="34"/>
  <c r="O8867" i="34"/>
  <c r="O8868" i="34"/>
  <c r="O8869" i="34"/>
  <c r="O8870" i="34"/>
  <c r="O8871" i="34"/>
  <c r="O8872" i="34"/>
  <c r="O8873" i="34"/>
  <c r="O8874" i="34"/>
  <c r="O8875" i="34"/>
  <c r="O8876" i="34"/>
  <c r="O8877" i="34"/>
  <c r="O8878" i="34"/>
  <c r="O8879" i="34"/>
  <c r="O8880" i="34"/>
  <c r="O8881" i="34"/>
  <c r="O8882" i="34"/>
  <c r="O8883" i="34"/>
  <c r="O8884" i="34"/>
  <c r="O8885" i="34"/>
  <c r="O8886" i="34"/>
  <c r="O8887" i="34"/>
  <c r="O8888" i="34"/>
  <c r="O8889" i="34"/>
  <c r="O8890" i="34"/>
  <c r="O8891" i="34"/>
  <c r="O8892" i="34"/>
  <c r="O8893" i="34"/>
  <c r="O8894" i="34"/>
  <c r="O8895" i="34"/>
  <c r="O8896" i="34"/>
  <c r="O8897" i="34"/>
  <c r="O8898" i="34"/>
  <c r="O8899" i="34"/>
  <c r="O8900" i="34"/>
  <c r="O8901" i="34"/>
  <c r="O8902" i="34"/>
  <c r="O8903" i="34"/>
  <c r="O8904" i="34"/>
  <c r="O8905" i="34"/>
  <c r="O8906" i="34"/>
  <c r="O8907" i="34"/>
  <c r="O8908" i="34"/>
  <c r="O8909" i="34"/>
  <c r="O8910" i="34"/>
  <c r="O8911" i="34"/>
  <c r="O8912" i="34"/>
  <c r="O8913" i="34"/>
  <c r="O8914" i="34"/>
  <c r="O8915" i="34"/>
  <c r="O8916" i="34"/>
  <c r="O8917" i="34"/>
  <c r="O8918" i="34"/>
  <c r="O8919" i="34"/>
  <c r="O8920" i="34"/>
  <c r="O8921" i="34"/>
  <c r="O8922" i="34"/>
  <c r="O8923" i="34"/>
  <c r="O8924" i="34"/>
  <c r="O8925" i="34"/>
  <c r="O8926" i="34"/>
  <c r="O8927" i="34"/>
  <c r="O8928" i="34"/>
  <c r="O8929" i="34"/>
  <c r="O8930" i="34"/>
  <c r="O8931" i="34"/>
  <c r="O8932" i="34"/>
  <c r="O8933" i="34"/>
  <c r="O8934" i="34"/>
  <c r="O8935" i="34"/>
  <c r="O8936" i="34"/>
  <c r="O8937" i="34"/>
  <c r="O8938" i="34"/>
  <c r="O8939" i="34"/>
  <c r="O8940" i="34"/>
  <c r="O8941" i="34"/>
  <c r="O8942" i="34"/>
  <c r="O8943" i="34"/>
  <c r="O8944" i="34"/>
  <c r="O8945" i="34"/>
  <c r="O8946" i="34"/>
  <c r="O8947" i="34"/>
  <c r="O8948" i="34"/>
  <c r="O8949" i="34"/>
  <c r="O8950" i="34"/>
  <c r="O8951" i="34"/>
  <c r="O8952" i="34"/>
  <c r="O8953" i="34"/>
  <c r="O8954" i="34"/>
  <c r="O8955" i="34"/>
  <c r="O8956" i="34"/>
  <c r="O8957" i="34"/>
  <c r="O8958" i="34"/>
  <c r="O8959" i="34"/>
  <c r="O8960" i="34"/>
  <c r="O8961" i="34"/>
  <c r="O8962" i="34"/>
  <c r="O8963" i="34"/>
  <c r="O8964" i="34"/>
  <c r="O8965" i="34"/>
  <c r="O8966" i="34"/>
  <c r="O8967" i="34"/>
  <c r="O8968" i="34"/>
  <c r="O8969" i="34"/>
  <c r="O8970" i="34"/>
  <c r="O8971" i="34"/>
  <c r="O8972" i="34"/>
  <c r="O8973" i="34"/>
  <c r="O8974" i="34"/>
  <c r="O8975" i="34"/>
  <c r="O8976" i="34"/>
  <c r="O8977" i="34"/>
  <c r="O8978" i="34"/>
  <c r="O8979" i="34"/>
  <c r="O8980" i="34"/>
  <c r="O8981" i="34"/>
  <c r="O8982" i="34"/>
  <c r="O8983" i="34"/>
  <c r="O8984" i="34"/>
  <c r="O8985" i="34"/>
  <c r="O8986" i="34"/>
  <c r="O8987" i="34"/>
  <c r="O8988" i="34"/>
  <c r="O8989" i="34"/>
  <c r="O8990" i="34"/>
  <c r="O8991" i="34"/>
  <c r="O8992" i="34"/>
  <c r="O8993" i="34"/>
  <c r="O8994" i="34"/>
  <c r="O8995" i="34"/>
  <c r="O8996" i="34"/>
  <c r="O8997" i="34"/>
  <c r="O8998" i="34"/>
  <c r="O8999" i="34"/>
  <c r="O9000" i="34"/>
  <c r="O9001" i="34"/>
  <c r="O9002" i="34"/>
  <c r="O9003" i="34"/>
  <c r="O9004" i="34"/>
  <c r="O9005" i="34"/>
  <c r="O9006" i="34"/>
  <c r="O9007" i="34"/>
  <c r="O9008" i="34"/>
  <c r="O9009" i="34"/>
  <c r="O9010" i="34"/>
  <c r="O9011" i="34"/>
  <c r="O9012" i="34"/>
  <c r="O9013" i="34"/>
  <c r="O9014" i="34"/>
  <c r="O9015" i="34"/>
  <c r="O9016" i="34"/>
  <c r="O9017" i="34"/>
  <c r="O9018" i="34"/>
  <c r="O9019" i="34"/>
  <c r="O9020" i="34"/>
  <c r="O9021" i="34"/>
  <c r="O9022" i="34"/>
  <c r="O9023" i="34"/>
  <c r="O9024" i="34"/>
  <c r="O9025" i="34"/>
  <c r="O9026" i="34"/>
  <c r="O9027" i="34"/>
  <c r="O9028" i="34"/>
  <c r="O9029" i="34"/>
  <c r="O9030" i="34"/>
  <c r="O9031" i="34"/>
  <c r="O9032" i="34"/>
  <c r="O9033" i="34"/>
  <c r="O9034" i="34"/>
  <c r="O9035" i="34"/>
  <c r="O9036" i="34"/>
  <c r="O9037" i="34"/>
  <c r="O9038" i="34"/>
  <c r="O9039" i="34"/>
  <c r="O9040" i="34"/>
  <c r="O9041" i="34"/>
  <c r="O9042" i="34"/>
  <c r="O9043" i="34"/>
  <c r="O9044" i="34"/>
  <c r="O9045" i="34"/>
  <c r="O9046" i="34"/>
  <c r="O9047" i="34"/>
  <c r="O9048" i="34"/>
  <c r="O9049" i="34"/>
  <c r="O9050" i="34"/>
  <c r="O9051" i="34"/>
  <c r="O9052" i="34"/>
  <c r="O9053" i="34"/>
  <c r="O9054" i="34"/>
  <c r="O9055" i="34"/>
  <c r="O9056" i="34"/>
  <c r="O9057" i="34"/>
  <c r="O9058" i="34"/>
  <c r="O9059" i="34"/>
  <c r="O9060" i="34"/>
  <c r="O9061" i="34"/>
  <c r="O9062" i="34"/>
  <c r="O9063" i="34"/>
  <c r="O9064" i="34"/>
  <c r="O9065" i="34"/>
  <c r="O9066" i="34"/>
  <c r="O9067" i="34"/>
  <c r="O9068" i="34"/>
  <c r="O9069" i="34"/>
  <c r="O9070" i="34"/>
  <c r="O9071" i="34"/>
  <c r="O9072" i="34"/>
  <c r="O9073" i="34"/>
  <c r="O9074" i="34"/>
  <c r="O9075" i="34"/>
  <c r="O9076" i="34"/>
  <c r="O9077" i="34"/>
  <c r="O9078" i="34"/>
  <c r="O9079" i="34"/>
  <c r="O9080" i="34"/>
  <c r="O9081" i="34"/>
  <c r="O9082" i="34"/>
  <c r="O9083" i="34"/>
  <c r="O9084" i="34"/>
  <c r="O9085" i="34"/>
  <c r="O9086" i="34"/>
  <c r="O9087" i="34"/>
  <c r="O9088" i="34"/>
  <c r="O9089" i="34"/>
  <c r="O9090" i="34"/>
  <c r="O9091" i="34"/>
  <c r="O9092" i="34"/>
  <c r="O9093" i="34"/>
  <c r="O9094" i="34"/>
  <c r="O9095" i="34"/>
  <c r="O9096" i="34"/>
  <c r="O9097" i="34"/>
  <c r="O9098" i="34"/>
  <c r="O9099" i="34"/>
  <c r="O9100" i="34"/>
  <c r="O9101" i="34"/>
  <c r="O9102" i="34"/>
  <c r="O9103" i="34"/>
  <c r="O9104" i="34"/>
  <c r="O9105" i="34"/>
  <c r="O9106" i="34"/>
  <c r="O9107" i="34"/>
  <c r="O9108" i="34"/>
  <c r="O9109" i="34"/>
  <c r="O9110" i="34"/>
  <c r="O9111" i="34"/>
  <c r="O9112" i="34"/>
  <c r="O9113" i="34"/>
  <c r="O9114" i="34"/>
  <c r="O9115" i="34"/>
  <c r="O9116" i="34"/>
  <c r="O9117" i="34"/>
  <c r="O9118" i="34"/>
  <c r="O9119" i="34"/>
  <c r="O9120" i="34"/>
  <c r="O9121" i="34"/>
  <c r="O9122" i="34"/>
  <c r="O9123" i="34"/>
  <c r="O9124" i="34"/>
  <c r="O9125" i="34"/>
  <c r="O9126" i="34"/>
  <c r="O9127" i="34"/>
  <c r="O9128" i="34"/>
  <c r="O9129" i="34"/>
  <c r="O9130" i="34"/>
  <c r="O9131" i="34"/>
  <c r="O9132" i="34"/>
  <c r="O9133" i="34"/>
  <c r="O9134" i="34"/>
  <c r="O9135" i="34"/>
  <c r="O9136" i="34"/>
  <c r="O9137" i="34"/>
  <c r="O9138" i="34"/>
  <c r="O9139" i="34"/>
  <c r="O9140" i="34"/>
  <c r="O9141" i="34"/>
  <c r="O9142" i="34"/>
  <c r="O9143" i="34"/>
  <c r="O9144" i="34"/>
  <c r="O9145" i="34"/>
  <c r="O9146" i="34"/>
  <c r="O9147" i="34"/>
  <c r="O9148" i="34"/>
  <c r="O9149" i="34"/>
  <c r="O9150" i="34"/>
  <c r="O9151" i="34"/>
  <c r="O9152" i="34"/>
  <c r="O9153" i="34"/>
  <c r="O9154" i="34"/>
  <c r="O9155" i="34"/>
  <c r="O9156" i="34"/>
  <c r="O9157" i="34"/>
  <c r="O9158" i="34"/>
  <c r="O9159" i="34"/>
  <c r="O9160" i="34"/>
  <c r="O9161" i="34"/>
  <c r="O9162" i="34"/>
  <c r="O9163" i="34"/>
  <c r="O9164" i="34"/>
  <c r="O9165" i="34"/>
  <c r="O9166" i="34"/>
  <c r="O9167" i="34"/>
  <c r="O9168" i="34"/>
  <c r="O9169" i="34"/>
  <c r="O9170" i="34"/>
  <c r="O9171" i="34"/>
  <c r="O9172" i="34"/>
  <c r="O9173" i="34"/>
  <c r="O9174" i="34"/>
  <c r="O9175" i="34"/>
  <c r="O9176" i="34"/>
  <c r="O9177" i="34"/>
  <c r="O9178" i="34"/>
  <c r="O9179" i="34"/>
  <c r="O9180" i="34"/>
  <c r="O9181" i="34"/>
  <c r="O9182" i="34"/>
  <c r="O9183" i="34"/>
  <c r="O9184" i="34"/>
  <c r="O9185" i="34"/>
  <c r="O9186" i="34"/>
  <c r="O9187" i="34"/>
  <c r="O9188" i="34"/>
  <c r="O9189" i="34"/>
  <c r="O9190" i="34"/>
  <c r="O9191" i="34"/>
  <c r="O9192" i="34"/>
  <c r="O9193" i="34"/>
  <c r="O9194" i="34"/>
  <c r="O9195" i="34"/>
  <c r="O9196" i="34"/>
  <c r="O9197" i="34"/>
  <c r="O9198" i="34"/>
  <c r="O9199" i="34"/>
  <c r="O9200" i="34"/>
  <c r="O9201" i="34"/>
  <c r="O9202" i="34"/>
  <c r="O9203" i="34"/>
  <c r="O9204" i="34"/>
  <c r="O9205" i="34"/>
  <c r="O9206" i="34"/>
  <c r="O9207" i="34"/>
  <c r="O9208" i="34"/>
  <c r="O9209" i="34"/>
  <c r="O9210" i="34"/>
  <c r="O9211" i="34"/>
  <c r="O9212" i="34"/>
  <c r="O9213" i="34"/>
  <c r="O9214" i="34"/>
  <c r="O9215" i="34"/>
  <c r="O9216" i="34"/>
  <c r="O9217" i="34"/>
  <c r="O9218" i="34"/>
  <c r="O9219" i="34"/>
  <c r="O9220" i="34"/>
  <c r="O9221" i="34"/>
  <c r="O9222" i="34"/>
  <c r="O9223" i="34"/>
  <c r="O9224" i="34"/>
  <c r="O9225" i="34"/>
  <c r="O9226" i="34"/>
  <c r="O9227" i="34"/>
  <c r="O9228" i="34"/>
  <c r="O9229" i="34"/>
  <c r="O9230" i="34"/>
  <c r="O9231" i="34"/>
  <c r="O9232" i="34"/>
  <c r="O9233" i="34"/>
  <c r="O9234" i="34"/>
  <c r="O9235" i="34"/>
  <c r="O9236" i="34"/>
  <c r="O9237" i="34"/>
  <c r="O9238" i="34"/>
  <c r="O9239" i="34"/>
  <c r="O9240" i="34"/>
  <c r="O9241" i="34"/>
  <c r="O9242" i="34"/>
  <c r="O9243" i="34"/>
  <c r="O9244" i="34"/>
  <c r="O9245" i="34"/>
  <c r="O9246" i="34"/>
  <c r="O9247" i="34"/>
  <c r="O9248" i="34"/>
  <c r="O9249" i="34"/>
  <c r="O9250" i="34"/>
  <c r="O9251" i="34"/>
  <c r="O9252" i="34"/>
  <c r="O9253" i="34"/>
  <c r="O9254" i="34"/>
  <c r="O9255" i="34"/>
  <c r="O9256" i="34"/>
  <c r="O9257" i="34"/>
  <c r="O9258" i="34"/>
  <c r="O9259" i="34"/>
  <c r="O9260" i="34"/>
  <c r="O9261" i="34"/>
  <c r="O9262" i="34"/>
  <c r="O9263" i="34"/>
  <c r="O9264" i="34"/>
  <c r="O9265" i="34"/>
  <c r="O9266" i="34"/>
  <c r="O9267" i="34"/>
  <c r="O9268" i="34"/>
  <c r="O9269" i="34"/>
  <c r="O9270" i="34"/>
  <c r="O9271" i="34"/>
  <c r="O9272" i="34"/>
  <c r="O9273" i="34"/>
  <c r="O9274" i="34"/>
  <c r="O9275" i="34"/>
  <c r="O9276" i="34"/>
  <c r="O9277" i="34"/>
  <c r="O9278" i="34"/>
  <c r="O9279" i="34"/>
  <c r="O9280" i="34"/>
  <c r="O9281" i="34"/>
  <c r="O9282" i="34"/>
  <c r="O9283" i="34"/>
  <c r="O9284" i="34"/>
  <c r="O9285" i="34"/>
  <c r="O9286" i="34"/>
  <c r="O9287" i="34"/>
  <c r="O9288" i="34"/>
  <c r="O9289" i="34"/>
  <c r="O9290" i="34"/>
  <c r="O9291" i="34"/>
  <c r="O9292" i="34"/>
  <c r="O9293" i="34"/>
  <c r="O9294" i="34"/>
  <c r="O9295" i="34"/>
  <c r="O9296" i="34"/>
  <c r="O9297" i="34"/>
  <c r="O9298" i="34"/>
  <c r="O9299" i="34"/>
  <c r="O9300" i="34"/>
  <c r="O9301" i="34"/>
  <c r="O9302" i="34"/>
  <c r="O9303" i="34"/>
  <c r="O9304" i="34"/>
  <c r="O9305" i="34"/>
  <c r="O9306" i="34"/>
  <c r="O9307" i="34"/>
  <c r="O9308" i="34"/>
  <c r="O9309" i="34"/>
  <c r="O9310" i="34"/>
  <c r="O9311" i="34"/>
  <c r="O9312" i="34"/>
  <c r="O9313" i="34"/>
  <c r="O9314" i="34"/>
  <c r="O9315" i="34"/>
  <c r="O9316" i="34"/>
  <c r="O9317" i="34"/>
  <c r="O9318" i="34"/>
  <c r="O9319" i="34"/>
  <c r="O9320" i="34"/>
  <c r="O9321" i="34"/>
  <c r="O9322" i="34"/>
  <c r="O9323" i="34"/>
  <c r="O9324" i="34"/>
  <c r="O9325" i="34"/>
  <c r="O9326" i="34"/>
  <c r="O9327" i="34"/>
  <c r="O9328" i="34"/>
  <c r="O9329" i="34"/>
  <c r="O9330" i="34"/>
  <c r="O9331" i="34"/>
  <c r="O9332" i="34"/>
  <c r="O9333" i="34"/>
  <c r="O9334" i="34"/>
  <c r="O9335" i="34"/>
  <c r="O9336" i="34"/>
  <c r="O9337" i="34"/>
  <c r="O9338" i="34"/>
  <c r="O9339" i="34"/>
  <c r="O9340" i="34"/>
  <c r="O9341" i="34"/>
  <c r="O9342" i="34"/>
  <c r="O9343" i="34"/>
  <c r="O9344" i="34"/>
  <c r="O9345" i="34"/>
  <c r="O9346" i="34"/>
  <c r="O9347" i="34"/>
  <c r="O9348" i="34"/>
  <c r="O9349" i="34"/>
  <c r="O9350" i="34"/>
  <c r="O9351" i="34"/>
  <c r="O9352" i="34"/>
  <c r="O9353" i="34"/>
  <c r="O9354" i="34"/>
  <c r="O9355" i="34"/>
  <c r="O9356" i="34"/>
  <c r="O9357" i="34"/>
  <c r="O9358" i="34"/>
  <c r="O9359" i="34"/>
  <c r="O9360" i="34"/>
  <c r="O9361" i="34"/>
  <c r="O9362" i="34"/>
  <c r="O9363" i="34"/>
  <c r="O9364" i="34"/>
  <c r="O9365" i="34"/>
  <c r="O9366" i="34"/>
  <c r="O9367" i="34"/>
  <c r="O9368" i="34"/>
  <c r="O9369" i="34"/>
  <c r="O9370" i="34"/>
  <c r="O9371" i="34"/>
  <c r="O9372" i="34"/>
  <c r="O9373" i="34"/>
  <c r="O9374" i="34"/>
  <c r="O9375" i="34"/>
  <c r="O9376" i="34"/>
  <c r="O9377" i="34"/>
  <c r="O9378" i="34"/>
  <c r="O9379" i="34"/>
  <c r="O9380" i="34"/>
  <c r="O9381" i="34"/>
  <c r="O9382" i="34"/>
  <c r="O9383" i="34"/>
  <c r="O9384" i="34"/>
  <c r="O9385" i="34"/>
  <c r="O9386" i="34"/>
  <c r="O9387" i="34"/>
  <c r="O9388" i="34"/>
  <c r="O9389" i="34"/>
  <c r="O9390" i="34"/>
  <c r="O9391" i="34"/>
  <c r="O9392" i="34"/>
  <c r="O9393" i="34"/>
  <c r="O9394" i="34"/>
  <c r="O9395" i="34"/>
  <c r="O9396" i="34"/>
  <c r="O9397" i="34"/>
  <c r="O9398" i="34"/>
  <c r="O9399" i="34"/>
  <c r="O9400" i="34"/>
  <c r="O9401" i="34"/>
  <c r="O9402" i="34"/>
  <c r="O9403" i="34"/>
  <c r="O9404" i="34"/>
  <c r="O9405" i="34"/>
  <c r="O9406" i="34"/>
  <c r="O9407" i="34"/>
  <c r="O9408" i="34"/>
  <c r="O9409" i="34"/>
  <c r="O9410" i="34"/>
  <c r="O9411" i="34"/>
  <c r="O9412" i="34"/>
  <c r="O9413" i="34"/>
  <c r="O9414" i="34"/>
  <c r="O9415" i="34"/>
  <c r="O9416" i="34"/>
  <c r="O9417" i="34"/>
  <c r="O9418" i="34"/>
  <c r="O9419" i="34"/>
  <c r="O9420" i="34"/>
  <c r="O9421" i="34"/>
  <c r="O9422" i="34"/>
  <c r="O9423" i="34"/>
  <c r="O9424" i="34"/>
  <c r="O9425" i="34"/>
  <c r="O9426" i="34"/>
  <c r="O9427" i="34"/>
  <c r="O9428" i="34"/>
  <c r="O9429" i="34"/>
  <c r="O9430" i="34"/>
  <c r="O9431" i="34"/>
  <c r="O9432" i="34"/>
  <c r="O9433" i="34"/>
  <c r="O9434" i="34"/>
  <c r="O9435" i="34"/>
  <c r="O9436" i="34"/>
  <c r="O9437" i="34"/>
  <c r="O9438" i="34"/>
  <c r="O9439" i="34"/>
  <c r="O9440" i="34"/>
  <c r="O9441" i="34"/>
  <c r="O9442" i="34"/>
  <c r="O9443" i="34"/>
  <c r="O9444" i="34"/>
  <c r="O9445" i="34"/>
  <c r="O9446" i="34"/>
  <c r="O9447" i="34"/>
  <c r="O9448" i="34"/>
  <c r="O9449" i="34"/>
  <c r="O9450" i="34"/>
  <c r="O9451" i="34"/>
  <c r="O9452" i="34"/>
  <c r="O9453" i="34"/>
  <c r="O9454" i="34"/>
  <c r="O9455" i="34"/>
  <c r="O9456" i="34"/>
  <c r="O9457" i="34"/>
  <c r="O9458" i="34"/>
  <c r="O9459" i="34"/>
  <c r="O9460" i="34"/>
  <c r="O9461" i="34"/>
  <c r="O9462" i="34"/>
  <c r="O9463" i="34"/>
  <c r="O9464" i="34"/>
  <c r="O9465" i="34"/>
  <c r="O9466" i="34"/>
  <c r="O9467" i="34"/>
  <c r="O9468" i="34"/>
  <c r="O9469" i="34"/>
  <c r="O9470" i="34"/>
  <c r="O9471" i="34"/>
  <c r="O9472" i="34"/>
  <c r="O9473" i="34"/>
  <c r="O9474" i="34"/>
  <c r="O9475" i="34"/>
  <c r="O9476" i="34"/>
  <c r="O9477" i="34"/>
  <c r="O9478" i="34"/>
  <c r="O9479" i="34"/>
  <c r="O9480" i="34"/>
  <c r="O9481" i="34"/>
  <c r="O9482" i="34"/>
  <c r="O9483" i="34"/>
  <c r="O9484" i="34"/>
  <c r="O9485" i="34"/>
  <c r="O9486" i="34"/>
  <c r="O9487" i="34"/>
  <c r="O9488" i="34"/>
  <c r="O9489" i="34"/>
  <c r="O9490" i="34"/>
  <c r="O9491" i="34"/>
  <c r="O9492" i="34"/>
  <c r="O9493" i="34"/>
  <c r="O9494" i="34"/>
  <c r="O9495" i="34"/>
  <c r="O9496" i="34"/>
  <c r="O9497" i="34"/>
  <c r="O9498" i="34"/>
  <c r="O9499" i="34"/>
  <c r="O9500" i="34"/>
  <c r="O9501" i="34"/>
  <c r="O9502" i="34"/>
  <c r="O9503" i="34"/>
  <c r="O9504" i="34"/>
  <c r="O9505" i="34"/>
  <c r="O9506" i="34"/>
  <c r="O9507" i="34"/>
  <c r="O9508" i="34"/>
  <c r="O9509" i="34"/>
  <c r="O9510" i="34"/>
  <c r="O9511" i="34"/>
  <c r="O9512" i="34"/>
  <c r="O9513" i="34"/>
  <c r="O9514" i="34"/>
  <c r="O9515" i="34"/>
  <c r="O9516" i="34"/>
  <c r="O9517" i="34"/>
  <c r="O9518" i="34"/>
  <c r="O9519" i="34"/>
  <c r="O9520" i="34"/>
  <c r="O9521" i="34"/>
  <c r="O9522" i="34"/>
  <c r="O9523" i="34"/>
  <c r="O9524" i="34"/>
  <c r="O9525" i="34"/>
  <c r="O9526" i="34"/>
  <c r="O9527" i="34"/>
  <c r="O9528" i="34"/>
  <c r="O9529" i="34"/>
  <c r="O9530" i="34"/>
  <c r="O9531" i="34"/>
  <c r="O9532" i="34"/>
  <c r="O9533" i="34"/>
  <c r="O9534" i="34"/>
  <c r="O9535" i="34"/>
  <c r="O9536" i="34"/>
  <c r="O9537" i="34"/>
  <c r="O9538" i="34"/>
  <c r="O9539" i="34"/>
  <c r="O9540" i="34"/>
  <c r="O9541" i="34"/>
  <c r="O9542" i="34"/>
  <c r="O9543" i="34"/>
  <c r="O9544" i="34"/>
  <c r="O9545" i="34"/>
  <c r="O9546" i="34"/>
  <c r="O9547" i="34"/>
  <c r="O9548" i="34"/>
  <c r="O9549" i="34"/>
  <c r="O9550" i="34"/>
  <c r="O9551" i="34"/>
  <c r="O9552" i="34"/>
  <c r="O9553" i="34"/>
  <c r="O9554" i="34"/>
  <c r="O9555" i="34"/>
  <c r="O9556" i="34"/>
  <c r="O9557" i="34"/>
  <c r="O9558" i="34"/>
  <c r="O9559" i="34"/>
  <c r="O9560" i="34"/>
  <c r="O9561" i="34"/>
  <c r="O9562" i="34"/>
  <c r="O9563" i="34"/>
  <c r="O9564" i="34"/>
  <c r="O9565" i="34"/>
  <c r="O9566" i="34"/>
  <c r="O9567" i="34"/>
  <c r="O9568" i="34"/>
  <c r="O9569" i="34"/>
  <c r="O9570" i="34"/>
  <c r="O9571" i="34"/>
  <c r="O9572" i="34"/>
  <c r="O9573" i="34"/>
  <c r="O9574" i="34"/>
  <c r="O9575" i="34"/>
  <c r="O9576" i="34"/>
  <c r="O9577" i="34"/>
  <c r="O9578" i="34"/>
  <c r="O9579" i="34"/>
  <c r="O9580" i="34"/>
  <c r="O9581" i="34"/>
  <c r="O9582" i="34"/>
  <c r="O9583" i="34"/>
  <c r="O9584" i="34"/>
  <c r="O9585" i="34"/>
  <c r="O9586" i="34"/>
  <c r="O9587" i="34"/>
  <c r="O9588" i="34"/>
  <c r="O9589" i="34"/>
  <c r="O9590" i="34"/>
  <c r="O9591" i="34"/>
  <c r="O9592" i="34"/>
  <c r="O9593" i="34"/>
  <c r="O9594" i="34"/>
  <c r="O9595" i="34"/>
  <c r="O9596" i="34"/>
  <c r="O9597" i="34"/>
  <c r="O9598" i="34"/>
  <c r="O9599" i="34"/>
  <c r="O9600" i="34"/>
  <c r="O9601" i="34"/>
  <c r="O9602" i="34"/>
  <c r="O9603" i="34"/>
  <c r="O9604" i="34"/>
  <c r="O9605" i="34"/>
  <c r="O9606" i="34"/>
  <c r="O9607" i="34"/>
  <c r="O9608" i="34"/>
  <c r="O9609" i="34"/>
  <c r="O9610" i="34"/>
  <c r="O9611" i="34"/>
  <c r="O9612" i="34"/>
  <c r="O9613" i="34"/>
  <c r="O9614" i="34"/>
  <c r="O9615" i="34"/>
  <c r="O9616" i="34"/>
  <c r="O9617" i="34"/>
  <c r="O9618" i="34"/>
  <c r="O9619" i="34"/>
  <c r="O9620" i="34"/>
  <c r="O9621" i="34"/>
  <c r="O9622" i="34"/>
  <c r="O9623" i="34"/>
  <c r="O9624" i="34"/>
  <c r="O9625" i="34"/>
  <c r="O9626" i="34"/>
  <c r="O9627" i="34"/>
  <c r="O9628" i="34"/>
  <c r="O9629" i="34"/>
  <c r="O9630" i="34"/>
  <c r="O9631" i="34"/>
  <c r="O9632" i="34"/>
  <c r="O9633" i="34"/>
  <c r="O9634" i="34"/>
  <c r="O9635" i="34"/>
  <c r="O9636" i="34"/>
  <c r="O9637" i="34"/>
  <c r="O9638" i="34"/>
  <c r="O9639" i="34"/>
  <c r="O9640" i="34"/>
  <c r="O9641" i="34"/>
  <c r="O9642" i="34"/>
  <c r="O9643" i="34"/>
  <c r="O9644" i="34"/>
  <c r="O9645" i="34"/>
  <c r="O9646" i="34"/>
  <c r="O9647" i="34"/>
  <c r="O9648" i="34"/>
  <c r="O9649" i="34"/>
  <c r="O9650" i="34"/>
  <c r="O9651" i="34"/>
  <c r="O9652" i="34"/>
  <c r="O9653" i="34"/>
  <c r="O9654" i="34"/>
  <c r="O9655" i="34"/>
  <c r="O9656" i="34"/>
  <c r="O9657" i="34"/>
  <c r="O9658" i="34"/>
  <c r="O9659" i="34"/>
  <c r="O9660" i="34"/>
  <c r="O9661" i="34"/>
  <c r="O9662" i="34"/>
  <c r="O9663" i="34"/>
  <c r="O9664" i="34"/>
  <c r="O9665" i="34"/>
  <c r="O9666" i="34"/>
  <c r="O9667" i="34"/>
  <c r="O9668" i="34"/>
  <c r="O9669" i="34"/>
  <c r="O9670" i="34"/>
  <c r="O9671" i="34"/>
  <c r="O9672" i="34"/>
  <c r="O9673" i="34"/>
  <c r="O9674" i="34"/>
  <c r="O9675" i="34"/>
  <c r="O9676" i="34"/>
  <c r="O9677" i="34"/>
  <c r="O9678" i="34"/>
  <c r="O9679" i="34"/>
  <c r="O9680" i="34"/>
  <c r="O9681" i="34"/>
  <c r="O9682" i="34"/>
  <c r="O9683" i="34"/>
  <c r="O9684" i="34"/>
  <c r="O9685" i="34"/>
  <c r="O9686" i="34"/>
  <c r="O9687" i="34"/>
  <c r="O9688" i="34"/>
  <c r="O9689" i="34"/>
  <c r="O9690" i="34"/>
  <c r="O9691" i="34"/>
  <c r="O9692" i="34"/>
  <c r="O9693" i="34"/>
  <c r="O9694" i="34"/>
  <c r="O9695" i="34"/>
  <c r="O9696" i="34"/>
  <c r="O9697" i="34"/>
  <c r="O9698" i="34"/>
  <c r="O9699" i="34"/>
  <c r="O9700" i="34"/>
  <c r="O9701" i="34"/>
  <c r="O9702" i="34"/>
  <c r="O9703" i="34"/>
  <c r="O9704" i="34"/>
  <c r="O9705" i="34"/>
  <c r="O9706" i="34"/>
  <c r="O9707" i="34"/>
  <c r="O9708" i="34"/>
  <c r="O9709" i="34"/>
  <c r="O9710" i="34"/>
  <c r="O9711" i="34"/>
  <c r="O9712" i="34"/>
  <c r="O9713" i="34"/>
  <c r="O9714" i="34"/>
  <c r="O9715" i="34"/>
  <c r="O9716" i="34"/>
  <c r="O9717" i="34"/>
  <c r="O9718" i="34"/>
  <c r="O9719" i="34"/>
  <c r="O9720" i="34"/>
  <c r="O9721" i="34"/>
  <c r="O9722" i="34"/>
  <c r="O9723" i="34"/>
  <c r="O9724" i="34"/>
  <c r="O9725" i="34"/>
  <c r="O9726" i="34"/>
  <c r="O9727" i="34"/>
  <c r="O9728" i="34"/>
  <c r="O9729" i="34"/>
  <c r="O9730" i="34"/>
  <c r="O9731" i="34"/>
  <c r="O9732" i="34"/>
  <c r="O9733" i="34"/>
  <c r="O9734" i="34"/>
  <c r="O9735" i="34"/>
  <c r="O9736" i="34"/>
  <c r="O9737" i="34"/>
  <c r="O9738" i="34"/>
  <c r="O9739" i="34"/>
  <c r="O9740" i="34"/>
  <c r="O9741" i="34"/>
  <c r="O9742" i="34"/>
  <c r="O9743" i="34"/>
  <c r="O9744" i="34"/>
  <c r="O9745" i="34"/>
  <c r="O9746" i="34"/>
  <c r="O9747" i="34"/>
  <c r="O9748" i="34"/>
  <c r="O9749" i="34"/>
  <c r="O9750" i="34"/>
  <c r="O9751" i="34"/>
  <c r="O9752" i="34"/>
  <c r="O9753" i="34"/>
  <c r="O9754" i="34"/>
  <c r="O9755" i="34"/>
  <c r="O9756" i="34"/>
  <c r="O9757" i="34"/>
  <c r="O9758" i="34"/>
  <c r="O9759" i="34"/>
  <c r="O9760" i="34"/>
  <c r="O9761" i="34"/>
  <c r="O9762" i="34"/>
  <c r="O9763" i="34"/>
  <c r="O9764" i="34"/>
  <c r="O9765" i="34"/>
  <c r="O9766" i="34"/>
  <c r="O9767" i="34"/>
  <c r="O9768" i="34"/>
  <c r="O9769" i="34"/>
  <c r="O9770" i="34"/>
  <c r="O9771" i="34"/>
  <c r="O9772" i="34"/>
  <c r="O9773" i="34"/>
  <c r="O9774" i="34"/>
  <c r="O9775" i="34"/>
  <c r="O9776" i="34"/>
  <c r="O9777" i="34"/>
  <c r="O9778" i="34"/>
  <c r="O9779" i="34"/>
  <c r="O9780" i="34"/>
  <c r="O9781" i="34"/>
  <c r="O9782" i="34"/>
  <c r="O9783" i="34"/>
  <c r="O9784" i="34"/>
  <c r="O9785" i="34"/>
  <c r="O9786" i="34"/>
  <c r="O9787" i="34"/>
  <c r="O9788" i="34"/>
  <c r="O9789" i="34"/>
  <c r="O9790" i="34"/>
  <c r="O9791" i="34"/>
  <c r="O9792" i="34"/>
  <c r="O9793" i="34"/>
  <c r="O9794" i="34"/>
  <c r="O9795" i="34"/>
  <c r="O9796" i="34"/>
  <c r="O9797" i="34"/>
  <c r="O9798" i="34"/>
  <c r="O9799" i="34"/>
  <c r="O9800" i="34"/>
  <c r="O9801" i="34"/>
  <c r="O9802" i="34"/>
  <c r="O9803" i="34"/>
  <c r="O9804" i="34"/>
  <c r="O9805" i="34"/>
  <c r="O9806" i="34"/>
  <c r="O9807" i="34"/>
  <c r="O9808" i="34"/>
  <c r="O9809" i="34"/>
  <c r="O9810" i="34"/>
  <c r="O9811" i="34"/>
  <c r="O9812" i="34"/>
  <c r="O9813" i="34"/>
  <c r="O9814" i="34"/>
  <c r="O9815" i="34"/>
  <c r="O9816" i="34"/>
  <c r="O9817" i="34"/>
  <c r="O9818" i="34"/>
  <c r="O9819" i="34"/>
  <c r="O9820" i="34"/>
  <c r="O9821" i="34"/>
  <c r="O9822" i="34"/>
  <c r="O9823" i="34"/>
  <c r="O9824" i="34"/>
  <c r="O9825" i="34"/>
  <c r="O9826" i="34"/>
  <c r="O9827" i="34"/>
  <c r="O9828" i="34"/>
  <c r="O9829" i="34"/>
  <c r="O9830" i="34"/>
  <c r="O9831" i="34"/>
  <c r="O9832" i="34"/>
  <c r="O9833" i="34"/>
  <c r="O9834" i="34"/>
  <c r="O9835" i="34"/>
  <c r="O9836" i="34"/>
  <c r="O9837" i="34"/>
  <c r="O9838" i="34"/>
  <c r="O9839" i="34"/>
  <c r="O9840" i="34"/>
  <c r="O9841" i="34"/>
  <c r="O9842" i="34"/>
  <c r="O9843" i="34"/>
  <c r="O9844" i="34"/>
  <c r="O9845" i="34"/>
  <c r="O9846" i="34"/>
  <c r="O9847" i="34"/>
  <c r="O9848" i="34"/>
  <c r="O9849" i="34"/>
  <c r="O9850" i="34"/>
  <c r="O9851" i="34"/>
  <c r="O9852" i="34"/>
  <c r="O9853" i="34"/>
  <c r="O9854" i="34"/>
  <c r="O9855" i="34"/>
  <c r="O9856" i="34"/>
  <c r="O9857" i="34"/>
  <c r="O9858" i="34"/>
  <c r="O9859" i="34"/>
  <c r="O9860" i="34"/>
  <c r="O9861" i="34"/>
  <c r="O9862" i="34"/>
  <c r="O9863" i="34"/>
  <c r="O9864" i="34"/>
  <c r="O9865" i="34"/>
  <c r="O9866" i="34"/>
  <c r="O9867" i="34"/>
  <c r="O9868" i="34"/>
  <c r="O9869" i="34"/>
  <c r="O9870" i="34"/>
  <c r="O9871" i="34"/>
  <c r="O9872" i="34"/>
  <c r="O9873" i="34"/>
  <c r="O9874" i="34"/>
  <c r="O9875" i="34"/>
  <c r="O9876" i="34"/>
  <c r="O9877" i="34"/>
  <c r="O9878" i="34"/>
  <c r="O9879" i="34"/>
  <c r="O9880" i="34"/>
  <c r="O9881" i="34"/>
  <c r="O9882" i="34"/>
  <c r="O9883" i="34"/>
  <c r="O9884" i="34"/>
  <c r="O9885" i="34"/>
  <c r="O9886" i="34"/>
  <c r="O9887" i="34"/>
  <c r="O9888" i="34"/>
  <c r="O9889" i="34"/>
  <c r="O9890" i="34"/>
  <c r="O9891" i="34"/>
  <c r="O9892" i="34"/>
  <c r="O9893" i="34"/>
  <c r="O9894" i="34"/>
  <c r="O9895" i="34"/>
  <c r="O9896" i="34"/>
  <c r="O9897" i="34"/>
  <c r="O9898" i="34"/>
  <c r="O9899" i="34"/>
  <c r="O9900" i="34"/>
  <c r="O9901" i="34"/>
  <c r="O9902" i="34"/>
  <c r="O9903" i="34"/>
  <c r="O9904" i="34"/>
  <c r="O9905" i="34"/>
  <c r="O9906" i="34"/>
  <c r="O9907" i="34"/>
  <c r="O9908" i="34"/>
  <c r="O9909" i="34"/>
  <c r="O9910" i="34"/>
  <c r="O9911" i="34"/>
  <c r="O9912" i="34"/>
  <c r="O9913" i="34"/>
  <c r="O9914" i="34"/>
  <c r="O9915" i="34"/>
  <c r="O9916" i="34"/>
  <c r="O9917" i="34"/>
  <c r="O9918" i="34"/>
  <c r="O9919" i="34"/>
  <c r="O9920" i="34"/>
  <c r="O9921" i="34"/>
  <c r="O9922" i="34"/>
  <c r="O9923" i="34"/>
  <c r="O9924" i="34"/>
  <c r="O9925" i="34"/>
  <c r="O9926" i="34"/>
  <c r="O9927" i="34"/>
  <c r="O9928" i="34"/>
  <c r="O9929" i="34"/>
  <c r="O9930" i="34"/>
  <c r="O9931" i="34"/>
  <c r="O9932" i="34"/>
  <c r="O9933" i="34"/>
  <c r="O9934" i="34"/>
  <c r="O9935" i="34"/>
  <c r="O9936" i="34"/>
  <c r="O9937" i="34"/>
  <c r="O9938" i="34"/>
  <c r="O9939" i="34"/>
  <c r="O9940" i="34"/>
  <c r="O9941" i="34"/>
  <c r="O9942" i="34"/>
  <c r="O9943" i="34"/>
  <c r="O9944" i="34"/>
  <c r="O9945" i="34"/>
  <c r="O9946" i="34"/>
  <c r="O9947" i="34"/>
  <c r="O9948" i="34"/>
  <c r="O9949" i="34"/>
  <c r="O9950" i="34"/>
  <c r="O9951" i="34"/>
  <c r="O9952" i="34"/>
  <c r="O9953" i="34"/>
  <c r="O9954" i="34"/>
  <c r="O9955" i="34"/>
  <c r="O9956" i="34"/>
  <c r="O9957" i="34"/>
  <c r="O9958" i="34"/>
  <c r="O9959" i="34"/>
  <c r="O9960" i="34"/>
  <c r="O9961" i="34"/>
  <c r="O9962" i="34"/>
  <c r="O9963" i="34"/>
  <c r="O9964" i="34"/>
  <c r="O9965" i="34"/>
  <c r="O9966" i="34"/>
  <c r="O9967" i="34"/>
  <c r="O9968" i="34"/>
  <c r="O9969" i="34"/>
  <c r="O9970" i="34"/>
  <c r="O9971" i="34"/>
  <c r="O9972" i="34"/>
  <c r="O9973" i="34"/>
  <c r="O9974" i="34"/>
  <c r="O9975" i="34"/>
  <c r="O9976" i="34"/>
  <c r="O9977" i="34"/>
  <c r="O9978" i="34"/>
  <c r="O9979" i="34"/>
  <c r="O9980" i="34"/>
  <c r="O9981" i="34"/>
  <c r="O9982" i="34"/>
  <c r="O9983" i="34"/>
  <c r="O9984" i="34"/>
  <c r="O9985" i="34"/>
  <c r="O9986" i="34"/>
  <c r="O9987" i="34"/>
  <c r="O9988" i="34"/>
  <c r="O9989" i="34"/>
  <c r="O9990" i="34"/>
  <c r="O9991" i="34"/>
  <c r="O9992" i="34"/>
  <c r="O9993" i="34"/>
  <c r="O9994" i="34"/>
  <c r="O9995" i="34"/>
  <c r="O9996" i="34"/>
  <c r="O9997" i="34"/>
  <c r="O9998" i="34"/>
  <c r="O9999" i="34"/>
  <c r="O10000" i="34"/>
  <c r="O10001" i="34"/>
  <c r="O10002" i="34"/>
  <c r="O10003" i="34"/>
  <c r="O10004" i="34"/>
  <c r="O10005" i="34"/>
  <c r="O10006" i="34"/>
  <c r="O10007" i="34"/>
  <c r="O10008" i="34"/>
  <c r="O10009" i="34"/>
  <c r="O10010" i="34"/>
  <c r="O10011" i="34"/>
  <c r="O10012" i="34"/>
  <c r="O10013" i="34"/>
  <c r="O10014" i="34"/>
  <c r="O10015" i="34"/>
  <c r="O10016" i="34"/>
  <c r="O10017" i="34"/>
  <c r="O10018" i="34"/>
  <c r="O10019" i="34"/>
  <c r="O10020" i="34"/>
  <c r="O10021" i="34"/>
  <c r="O10022" i="34"/>
  <c r="O10023" i="34"/>
  <c r="O10024" i="34"/>
  <c r="O10025" i="34"/>
  <c r="O10026" i="34"/>
  <c r="O10027" i="34"/>
  <c r="O10028" i="34"/>
  <c r="O10029" i="34"/>
  <c r="O10030" i="34"/>
  <c r="O10031" i="34"/>
  <c r="O10032" i="34"/>
  <c r="O10033" i="34"/>
  <c r="O10034" i="34"/>
  <c r="O10035" i="34"/>
  <c r="O10036" i="34"/>
  <c r="O10037" i="34"/>
  <c r="O10038" i="34"/>
  <c r="O10039" i="34"/>
  <c r="O10040" i="34"/>
  <c r="O10041" i="34"/>
  <c r="O10042" i="34"/>
  <c r="O10043" i="34"/>
  <c r="O10044" i="34"/>
  <c r="O10045" i="34"/>
  <c r="O10046" i="34"/>
  <c r="O10047" i="34"/>
  <c r="O10048" i="34"/>
  <c r="O10049" i="34"/>
  <c r="O10050" i="34"/>
  <c r="O10051" i="34"/>
  <c r="O10052" i="34"/>
  <c r="O10053" i="34"/>
  <c r="O10054" i="34"/>
  <c r="O10055" i="34"/>
  <c r="O10056" i="34"/>
  <c r="O10057" i="34"/>
  <c r="O10058" i="34"/>
  <c r="O10059" i="34"/>
  <c r="O10060" i="34"/>
  <c r="O10061" i="34"/>
  <c r="O10062" i="34"/>
  <c r="O10063" i="34"/>
  <c r="O10064" i="34"/>
  <c r="O10065" i="34"/>
  <c r="O10066" i="34"/>
  <c r="O10067" i="34"/>
  <c r="O10068" i="34"/>
  <c r="O10069" i="34"/>
  <c r="O10070" i="34"/>
  <c r="O10071" i="34"/>
  <c r="O10072" i="34"/>
  <c r="O10073" i="34"/>
  <c r="O10074" i="34"/>
  <c r="O10075" i="34"/>
  <c r="O10076" i="34"/>
  <c r="O10077" i="34"/>
  <c r="O10078" i="34"/>
  <c r="O10079" i="34"/>
  <c r="O10080" i="34"/>
  <c r="O10081" i="34"/>
  <c r="O10082" i="34"/>
  <c r="O10083" i="34"/>
  <c r="O10084" i="34"/>
  <c r="O10085" i="34"/>
  <c r="O10086" i="34"/>
  <c r="O10087" i="34"/>
  <c r="O10088" i="34"/>
  <c r="O10089" i="34"/>
  <c r="O10090" i="34"/>
  <c r="O10091" i="34"/>
  <c r="O10092" i="34"/>
  <c r="O10093" i="34"/>
  <c r="O10094" i="34"/>
  <c r="O10095" i="34"/>
  <c r="O10096" i="34"/>
  <c r="O10097" i="34"/>
  <c r="O10098" i="34"/>
  <c r="O10099" i="34"/>
  <c r="O10100" i="34"/>
  <c r="O10101" i="34"/>
  <c r="O10102" i="34"/>
  <c r="O10103" i="34"/>
  <c r="O10104" i="34"/>
  <c r="O10105" i="34"/>
  <c r="O10106" i="34"/>
  <c r="O10107" i="34"/>
  <c r="O10108" i="34"/>
  <c r="O10109" i="34"/>
  <c r="O10110" i="34"/>
  <c r="O10111" i="34"/>
  <c r="O10112" i="34"/>
  <c r="O10113" i="34"/>
  <c r="O10114" i="34"/>
  <c r="O10115" i="34"/>
  <c r="O10116" i="34"/>
  <c r="O10117" i="34"/>
  <c r="O10118" i="34"/>
  <c r="O10119" i="34"/>
  <c r="O10120" i="34"/>
  <c r="O10121" i="34"/>
  <c r="O10122" i="34"/>
  <c r="O10123" i="34"/>
  <c r="O10124" i="34"/>
  <c r="O10125" i="34"/>
  <c r="O10126" i="34"/>
  <c r="O10127" i="34"/>
  <c r="O10128" i="34"/>
  <c r="O10129" i="34"/>
  <c r="O10130" i="34"/>
  <c r="O10131" i="34"/>
  <c r="O10132" i="34"/>
  <c r="O10133" i="34"/>
  <c r="O10134" i="34"/>
  <c r="O10135" i="34"/>
  <c r="O10136" i="34"/>
  <c r="O10137" i="34"/>
  <c r="O10138" i="34"/>
  <c r="O10139" i="34"/>
  <c r="O10140" i="34"/>
  <c r="O10141" i="34"/>
  <c r="O10142" i="34"/>
  <c r="O10143" i="34"/>
  <c r="O10144" i="34"/>
  <c r="O10145" i="34"/>
  <c r="O10146" i="34"/>
  <c r="O10147" i="34"/>
  <c r="O10148" i="34"/>
  <c r="O10149" i="34"/>
  <c r="O10150" i="34"/>
  <c r="O10151" i="34"/>
  <c r="O10152" i="34"/>
  <c r="O10153" i="34"/>
  <c r="O10154" i="34"/>
  <c r="O10155" i="34"/>
  <c r="O10156" i="34"/>
  <c r="O10157" i="34"/>
  <c r="O10158" i="34"/>
  <c r="O10159" i="34"/>
  <c r="O10160" i="34"/>
  <c r="O10161" i="34"/>
  <c r="O10162" i="34"/>
  <c r="O10163" i="34"/>
  <c r="O10164" i="34"/>
  <c r="O10165" i="34"/>
  <c r="O10166" i="34"/>
  <c r="O10167" i="34"/>
  <c r="O10168" i="34"/>
  <c r="O10169" i="34"/>
  <c r="O10170" i="34"/>
  <c r="O10171" i="34"/>
  <c r="O10172" i="34"/>
  <c r="O10173" i="34"/>
  <c r="O10174" i="34"/>
  <c r="O10175" i="34"/>
  <c r="O10176" i="34"/>
  <c r="O10177" i="34"/>
  <c r="O10178" i="34"/>
  <c r="O10179" i="34"/>
  <c r="O10180" i="34"/>
  <c r="O10181" i="34"/>
  <c r="O10182" i="34"/>
  <c r="O10183" i="34"/>
  <c r="O10184" i="34"/>
  <c r="O10185" i="34"/>
  <c r="O10186" i="34"/>
  <c r="O10187" i="34"/>
  <c r="O10188" i="34"/>
  <c r="O10189" i="34"/>
  <c r="O10190" i="34"/>
  <c r="O10191" i="34"/>
  <c r="O10192" i="34"/>
  <c r="O10193" i="34"/>
  <c r="O10194" i="34"/>
  <c r="O10195" i="34"/>
  <c r="O10196" i="34"/>
  <c r="O10197" i="34"/>
  <c r="O10198" i="34"/>
  <c r="O10199" i="34"/>
  <c r="O10200" i="34"/>
  <c r="O10201" i="34"/>
  <c r="O10202" i="34"/>
  <c r="O10203" i="34"/>
  <c r="O10204" i="34"/>
  <c r="O10205" i="34"/>
  <c r="O10206" i="34"/>
  <c r="O10207" i="34"/>
  <c r="O10208" i="34"/>
  <c r="O10209" i="34"/>
  <c r="O10210" i="34"/>
  <c r="O10211" i="34"/>
  <c r="O10212" i="34"/>
  <c r="O10213" i="34"/>
  <c r="O10214" i="34"/>
  <c r="O10215" i="34"/>
  <c r="O10216" i="34"/>
  <c r="O10217" i="34"/>
  <c r="O10218" i="34"/>
  <c r="O10219" i="34"/>
  <c r="O10220" i="34"/>
  <c r="O10221" i="34"/>
  <c r="O10222" i="34"/>
  <c r="O10223" i="34"/>
  <c r="O10224" i="34"/>
  <c r="O10225" i="34"/>
  <c r="O10226" i="34"/>
  <c r="O10227" i="34"/>
  <c r="O10228" i="34"/>
  <c r="O10229" i="34"/>
  <c r="O10230" i="34"/>
  <c r="O10231" i="34"/>
  <c r="O10232" i="34"/>
  <c r="O10233" i="34"/>
  <c r="O10234" i="34"/>
  <c r="O10235" i="34"/>
  <c r="O10236" i="34"/>
  <c r="O10237" i="34"/>
  <c r="O10238" i="34"/>
  <c r="O10239" i="34"/>
  <c r="O10240" i="34"/>
  <c r="O10241" i="34"/>
  <c r="O10242" i="34"/>
  <c r="O10243" i="34"/>
  <c r="O10244" i="34"/>
  <c r="O10245" i="34"/>
  <c r="O10246" i="34"/>
  <c r="O10247" i="34"/>
  <c r="O10248" i="34"/>
  <c r="O10249" i="34"/>
  <c r="O10250" i="34"/>
  <c r="O10251" i="34"/>
  <c r="O10252" i="34"/>
  <c r="O10253" i="34"/>
  <c r="O10254" i="34"/>
  <c r="O10255" i="34"/>
  <c r="O10256" i="34"/>
  <c r="O10257" i="34"/>
  <c r="O10258" i="34"/>
  <c r="O10259" i="34"/>
  <c r="O10260" i="34"/>
  <c r="O10261" i="34"/>
  <c r="O10262" i="34"/>
  <c r="O10263" i="34"/>
  <c r="O10264" i="34"/>
  <c r="O10265" i="34"/>
  <c r="O10266" i="34"/>
  <c r="O10267" i="34"/>
  <c r="O10268" i="34"/>
  <c r="O10269" i="34"/>
  <c r="O10270" i="34"/>
  <c r="O10271" i="34"/>
  <c r="O10272" i="34"/>
  <c r="O10273" i="34"/>
  <c r="O10274" i="34"/>
  <c r="O10275" i="34"/>
  <c r="O10276" i="34"/>
  <c r="O10277" i="34"/>
  <c r="O10278" i="34"/>
  <c r="O10279" i="34"/>
  <c r="O10280" i="34"/>
  <c r="O10281" i="34"/>
  <c r="O10282" i="34"/>
  <c r="O10283" i="34"/>
  <c r="O10284" i="34"/>
  <c r="O10285" i="34"/>
  <c r="O10286" i="34"/>
  <c r="O10287" i="34"/>
  <c r="O10288" i="34"/>
  <c r="O10289" i="34"/>
  <c r="O10290" i="34"/>
  <c r="O10291" i="34"/>
  <c r="O10292" i="34"/>
  <c r="O10293" i="34"/>
  <c r="O10294" i="34"/>
  <c r="O10295" i="34"/>
  <c r="O10296" i="34"/>
  <c r="O10297" i="34"/>
  <c r="O10298" i="34"/>
  <c r="O10299" i="34"/>
  <c r="O10300" i="34"/>
  <c r="O10301" i="34"/>
  <c r="O10302" i="34"/>
  <c r="O10303" i="34"/>
  <c r="O10304" i="34"/>
  <c r="O10305" i="34"/>
  <c r="O10306" i="34"/>
  <c r="O10307" i="34"/>
  <c r="O10308" i="34"/>
  <c r="O10309" i="34"/>
  <c r="O10310" i="34"/>
  <c r="O10311" i="34"/>
  <c r="O10312" i="34"/>
  <c r="O10313" i="34"/>
  <c r="O10314" i="34"/>
  <c r="O10315" i="34"/>
  <c r="O10316" i="34"/>
  <c r="O10317" i="34"/>
  <c r="O10318" i="34"/>
  <c r="O10319" i="34"/>
  <c r="O10320" i="34"/>
  <c r="O10321" i="34"/>
  <c r="O10322" i="34"/>
  <c r="O10323" i="34"/>
  <c r="O10324" i="34"/>
  <c r="O10325" i="34"/>
  <c r="O10326" i="34"/>
  <c r="O10327" i="34"/>
  <c r="O10328" i="34"/>
  <c r="O10329" i="34"/>
  <c r="O10330" i="34"/>
  <c r="O10331" i="34"/>
  <c r="O10332" i="34"/>
  <c r="O10333" i="34"/>
  <c r="O10334" i="34"/>
  <c r="O10335" i="34"/>
  <c r="O10336" i="34"/>
  <c r="O10337" i="34"/>
  <c r="O10338" i="34"/>
  <c r="O10339" i="34"/>
  <c r="O10340" i="34"/>
  <c r="O10341" i="34"/>
  <c r="O10342" i="34"/>
  <c r="O10343" i="34"/>
  <c r="O10344" i="34"/>
  <c r="O10345" i="34"/>
  <c r="O10346" i="34"/>
  <c r="O10347" i="34"/>
  <c r="O10348" i="34"/>
  <c r="O10349" i="34"/>
  <c r="O10350" i="34"/>
  <c r="O10351" i="34"/>
  <c r="O10352" i="34"/>
  <c r="O10353" i="34"/>
  <c r="O10354" i="34"/>
  <c r="O10355" i="34"/>
  <c r="O10356" i="34"/>
  <c r="O10357" i="34"/>
  <c r="O10358" i="34"/>
  <c r="O10359" i="34"/>
  <c r="O10360" i="34"/>
  <c r="O10361" i="34"/>
  <c r="O10362" i="34"/>
  <c r="O10363" i="34"/>
  <c r="O10364" i="34"/>
  <c r="O10365" i="34"/>
  <c r="O10366" i="34"/>
  <c r="O10367" i="34"/>
  <c r="O10368" i="34"/>
  <c r="O10369" i="34"/>
  <c r="O10370" i="34"/>
  <c r="O10371" i="34"/>
  <c r="O10372" i="34"/>
  <c r="O10373" i="34"/>
  <c r="O10374" i="34"/>
  <c r="O10375" i="34"/>
  <c r="O10376" i="34"/>
  <c r="O10377" i="34"/>
  <c r="O10378" i="34"/>
  <c r="O10379" i="34"/>
  <c r="O10380" i="34"/>
  <c r="O10381" i="34"/>
  <c r="O10382" i="34"/>
  <c r="O10383" i="34"/>
  <c r="O10384" i="34"/>
  <c r="O10385" i="34"/>
  <c r="O10386" i="34"/>
  <c r="O10387" i="34"/>
  <c r="O10388" i="34"/>
  <c r="O10389" i="34"/>
  <c r="O10390" i="34"/>
  <c r="O10391" i="34"/>
  <c r="O10392" i="34"/>
  <c r="O10393" i="34"/>
  <c r="O10394" i="34"/>
  <c r="O10395" i="34"/>
  <c r="O10396" i="34"/>
  <c r="O10397" i="34"/>
  <c r="O10398" i="34"/>
  <c r="O10399" i="34"/>
  <c r="O10400" i="34"/>
  <c r="O10401" i="34"/>
  <c r="O10402" i="34"/>
  <c r="O10403" i="34"/>
  <c r="O10404" i="34"/>
  <c r="O10405" i="34"/>
  <c r="O10406" i="34"/>
  <c r="O10407" i="34"/>
  <c r="O10408" i="34"/>
  <c r="O10409" i="34"/>
  <c r="O10410" i="34"/>
  <c r="O10411" i="34"/>
  <c r="O10412" i="34"/>
  <c r="O10413" i="34"/>
  <c r="O10414" i="34"/>
  <c r="O10415" i="34"/>
  <c r="O10416" i="34"/>
  <c r="O10417" i="34"/>
  <c r="O10418" i="34"/>
  <c r="O10419" i="34"/>
  <c r="O10420" i="34"/>
  <c r="O10421" i="34"/>
  <c r="O10422" i="34"/>
  <c r="O10423" i="34"/>
  <c r="O10424" i="34"/>
  <c r="O10425" i="34"/>
  <c r="O10426" i="34"/>
  <c r="O10427" i="34"/>
  <c r="O10428" i="34"/>
  <c r="O10429" i="34"/>
  <c r="O10430" i="34"/>
  <c r="O10431" i="34"/>
  <c r="O10432" i="34"/>
  <c r="O10433" i="34"/>
  <c r="O10434" i="34"/>
  <c r="O10435" i="34"/>
  <c r="O10436" i="34"/>
  <c r="O10437" i="34"/>
  <c r="O10438" i="34"/>
  <c r="O10439" i="34"/>
  <c r="O10440" i="34"/>
  <c r="O10441" i="34"/>
  <c r="O10442" i="34"/>
  <c r="O10443" i="34"/>
  <c r="O10444" i="34"/>
  <c r="O10445" i="34"/>
  <c r="O10446" i="34"/>
  <c r="O10447" i="34"/>
  <c r="O10448" i="34"/>
  <c r="O10449" i="34"/>
  <c r="O10450" i="34"/>
  <c r="O10451" i="34"/>
  <c r="O10452" i="34"/>
  <c r="O10453" i="34"/>
  <c r="O10454" i="34"/>
  <c r="O10455" i="34"/>
  <c r="O10456" i="34"/>
  <c r="O10457" i="34"/>
  <c r="O10458" i="34"/>
  <c r="O10459" i="34"/>
  <c r="O10460" i="34"/>
  <c r="O10461" i="34"/>
  <c r="O10462" i="34"/>
  <c r="O10463" i="34"/>
  <c r="O10464" i="34"/>
  <c r="O10465" i="34"/>
  <c r="O10466" i="34"/>
  <c r="O10467" i="34"/>
  <c r="O10468" i="34"/>
  <c r="O10469" i="34"/>
  <c r="O10470" i="34"/>
  <c r="O10471" i="34"/>
  <c r="O10472" i="34"/>
  <c r="O10473" i="34"/>
  <c r="O10474" i="34"/>
  <c r="O10475" i="34"/>
  <c r="O10476" i="34"/>
  <c r="O10477" i="34"/>
  <c r="O10478" i="34"/>
  <c r="O10479" i="34"/>
  <c r="O10480" i="34"/>
  <c r="O10481" i="34"/>
  <c r="O10482" i="34"/>
  <c r="O10483" i="34"/>
  <c r="O10484" i="34"/>
  <c r="O10485" i="34"/>
  <c r="O10486" i="34"/>
  <c r="O10487" i="34"/>
  <c r="O10488" i="34"/>
  <c r="O10489" i="34"/>
  <c r="O10490" i="34"/>
  <c r="O10491" i="34"/>
  <c r="O10492" i="34"/>
  <c r="O10493" i="34"/>
  <c r="O10494" i="34"/>
  <c r="O10495" i="34"/>
  <c r="O10496" i="34"/>
  <c r="O10497" i="34"/>
  <c r="O10498" i="34"/>
  <c r="O10499" i="34"/>
  <c r="O10500" i="34"/>
  <c r="O10501" i="34"/>
  <c r="O10502" i="34"/>
  <c r="O10503" i="34"/>
  <c r="O10504" i="34"/>
  <c r="O10505" i="34"/>
  <c r="O10506" i="34"/>
  <c r="O10507" i="34"/>
  <c r="O10508" i="34"/>
  <c r="O10509" i="34"/>
  <c r="O10510" i="34"/>
  <c r="O10511" i="34"/>
  <c r="O10512" i="34"/>
  <c r="O10513" i="34"/>
  <c r="O10514" i="34"/>
  <c r="O10515" i="34"/>
  <c r="O10516" i="34"/>
  <c r="O10517" i="34"/>
  <c r="O10518" i="34"/>
  <c r="O10519" i="34"/>
  <c r="O10520" i="34"/>
  <c r="O10521" i="34"/>
  <c r="O10522" i="34"/>
  <c r="O10523" i="34"/>
  <c r="O10524" i="34"/>
  <c r="O10525" i="34"/>
  <c r="O10526" i="34"/>
  <c r="O10527" i="34"/>
  <c r="O10528" i="34"/>
  <c r="O10529" i="34"/>
  <c r="O10530" i="34"/>
  <c r="O10531" i="34"/>
  <c r="O10532" i="34"/>
  <c r="O10533" i="34"/>
  <c r="O10534" i="34"/>
  <c r="O10535" i="34"/>
  <c r="O10536" i="34"/>
  <c r="O10537" i="34"/>
  <c r="O10538" i="34"/>
  <c r="O10539" i="34"/>
  <c r="O10540" i="34"/>
  <c r="O10541" i="34"/>
  <c r="O10542" i="34"/>
  <c r="O10543" i="34"/>
  <c r="O10544" i="34"/>
  <c r="O10545" i="34"/>
  <c r="O10546" i="34"/>
  <c r="O10547" i="34"/>
  <c r="O10548" i="34"/>
  <c r="O10549" i="34"/>
  <c r="O10550" i="34"/>
  <c r="O10551" i="34"/>
  <c r="O10552" i="34"/>
  <c r="O10553" i="34"/>
  <c r="O10554" i="34"/>
  <c r="O10555" i="34"/>
  <c r="O10556" i="34"/>
  <c r="O10557" i="34"/>
  <c r="O10558" i="34"/>
  <c r="O10559" i="34"/>
  <c r="O10560" i="34"/>
  <c r="O10561" i="34"/>
  <c r="O10562" i="34"/>
  <c r="O10563" i="34"/>
  <c r="O10564" i="34"/>
  <c r="O10565" i="34"/>
  <c r="O10566" i="34"/>
  <c r="O10567" i="34"/>
  <c r="O10568" i="34"/>
  <c r="O10569" i="34"/>
  <c r="O10570" i="34"/>
  <c r="O10571" i="34"/>
  <c r="O10572" i="34"/>
  <c r="O10573" i="34"/>
  <c r="O10574" i="34"/>
  <c r="O10575" i="34"/>
  <c r="O10576" i="34"/>
  <c r="O10577" i="34"/>
  <c r="O10578" i="34"/>
  <c r="O10579" i="34"/>
  <c r="O10580" i="34"/>
  <c r="O10581" i="34"/>
  <c r="O10582" i="34"/>
  <c r="O10583" i="34"/>
  <c r="O10584" i="34"/>
  <c r="O10585" i="34"/>
  <c r="O10586" i="34"/>
  <c r="O10587" i="34"/>
  <c r="O10588" i="34"/>
  <c r="O10589" i="34"/>
  <c r="O10590" i="34"/>
  <c r="O10591" i="34"/>
  <c r="O10592" i="34"/>
  <c r="O10593" i="34"/>
  <c r="O10594" i="34"/>
  <c r="O10595" i="34"/>
  <c r="O10596" i="34"/>
  <c r="O10597" i="34"/>
  <c r="O10598" i="34"/>
  <c r="O10599" i="34"/>
  <c r="O10600" i="34"/>
  <c r="O10601" i="34"/>
  <c r="O10602" i="34"/>
  <c r="O10603" i="34"/>
  <c r="O10604" i="34"/>
  <c r="O10605" i="34"/>
  <c r="O10606" i="34"/>
  <c r="O10607" i="34"/>
  <c r="O10608" i="34"/>
  <c r="O10609" i="34"/>
  <c r="O10610" i="34"/>
  <c r="O10611" i="34"/>
  <c r="O10612" i="34"/>
  <c r="O10613" i="34"/>
  <c r="O10614" i="34"/>
  <c r="O10615" i="34"/>
  <c r="O10616" i="34"/>
  <c r="O10617" i="34"/>
  <c r="O10618" i="34"/>
  <c r="O10619" i="34"/>
  <c r="O10620" i="34"/>
  <c r="O10621" i="34"/>
  <c r="O10622" i="34"/>
  <c r="O10623" i="34"/>
  <c r="O10624" i="34"/>
  <c r="O10625" i="34"/>
  <c r="O10626" i="34"/>
  <c r="O10627" i="34"/>
  <c r="O10628" i="34"/>
  <c r="O10629" i="34"/>
  <c r="O10630" i="34"/>
  <c r="O10631" i="34"/>
  <c r="O10632" i="34"/>
  <c r="O10633" i="34"/>
  <c r="O10634" i="34"/>
  <c r="O10635" i="34"/>
  <c r="O10636" i="34"/>
  <c r="O10637" i="34"/>
  <c r="O10638" i="34"/>
  <c r="O10639" i="34"/>
  <c r="O10640" i="34"/>
  <c r="O10641" i="34"/>
  <c r="O10642" i="34"/>
  <c r="O10643" i="34"/>
  <c r="O10644" i="34"/>
  <c r="O10645" i="34"/>
  <c r="O10646" i="34"/>
  <c r="O10647" i="34"/>
  <c r="O10648" i="34"/>
  <c r="O10649" i="34"/>
  <c r="O10650" i="34"/>
  <c r="O10651" i="34"/>
  <c r="O10652" i="34"/>
  <c r="O10653" i="34"/>
  <c r="O10654" i="34"/>
  <c r="O10655" i="34"/>
  <c r="O10656" i="34"/>
  <c r="O10657" i="34"/>
  <c r="O10658" i="34"/>
  <c r="O10659" i="34"/>
  <c r="O10660" i="34"/>
  <c r="O10661" i="34"/>
  <c r="O10662" i="34"/>
  <c r="O10663" i="34"/>
  <c r="O10664" i="34"/>
  <c r="O10665" i="34"/>
  <c r="O10666" i="34"/>
  <c r="O10667" i="34"/>
  <c r="O10668" i="34"/>
  <c r="O10669" i="34"/>
  <c r="O10670" i="34"/>
  <c r="O10671" i="34"/>
  <c r="O10672" i="34"/>
  <c r="O10673" i="34"/>
  <c r="O10674" i="34"/>
  <c r="O10675" i="34"/>
  <c r="O10676" i="34"/>
  <c r="O10677" i="34"/>
  <c r="O10678" i="34"/>
  <c r="O10679" i="34"/>
  <c r="O10680" i="34"/>
  <c r="O10681" i="34"/>
  <c r="O10682" i="34"/>
  <c r="O10683" i="34"/>
  <c r="O10684" i="34"/>
  <c r="O10685" i="34"/>
  <c r="O10686" i="34"/>
  <c r="O10687" i="34"/>
  <c r="O10688" i="34"/>
  <c r="O10689" i="34"/>
  <c r="O10690" i="34"/>
  <c r="O10691" i="34"/>
  <c r="O10692" i="34"/>
  <c r="O10693" i="34"/>
  <c r="O10694" i="34"/>
  <c r="O10695" i="34"/>
  <c r="O10696" i="34"/>
  <c r="O10697" i="34"/>
  <c r="O10698" i="34"/>
  <c r="O10699" i="34"/>
  <c r="O10700" i="34"/>
  <c r="O10701" i="34"/>
  <c r="O10702" i="34"/>
  <c r="O10703" i="34"/>
  <c r="O10704" i="34"/>
  <c r="O10705" i="34"/>
  <c r="O10706" i="34"/>
  <c r="O10707" i="34"/>
  <c r="O10708" i="34"/>
  <c r="O10709" i="34"/>
  <c r="O10710" i="34"/>
  <c r="O10711" i="34"/>
  <c r="O10712" i="34"/>
  <c r="O10713" i="34"/>
  <c r="O10714" i="34"/>
  <c r="O10715" i="34"/>
  <c r="O10716" i="34"/>
  <c r="O10717" i="34"/>
  <c r="O10718" i="34"/>
  <c r="O10719" i="34"/>
  <c r="O10720" i="34"/>
  <c r="O10721" i="34"/>
  <c r="O10722" i="34"/>
  <c r="O10723" i="34"/>
  <c r="O10724" i="34"/>
  <c r="O10725" i="34"/>
  <c r="O10726" i="34"/>
  <c r="O10727" i="34"/>
  <c r="O10728" i="34"/>
  <c r="O10729" i="34"/>
  <c r="O10730" i="34"/>
  <c r="O10731" i="34"/>
  <c r="O10732" i="34"/>
  <c r="O10733" i="34"/>
  <c r="O10734" i="34"/>
  <c r="O10735" i="34"/>
  <c r="O10736" i="34"/>
  <c r="O10737" i="34"/>
  <c r="O10738" i="34"/>
  <c r="O10739" i="34"/>
  <c r="O10740" i="34"/>
  <c r="O10741" i="34"/>
  <c r="O10742" i="34"/>
  <c r="O10743" i="34"/>
  <c r="O10744" i="34"/>
  <c r="O10745" i="34"/>
  <c r="O10746" i="34"/>
  <c r="O10747" i="34"/>
  <c r="O10748" i="34"/>
  <c r="O10749" i="34"/>
  <c r="O10750" i="34"/>
  <c r="O10751" i="34"/>
  <c r="O10752" i="34"/>
  <c r="O10753" i="34"/>
  <c r="O10754" i="34"/>
  <c r="O10755" i="34"/>
  <c r="O10756" i="34"/>
  <c r="O10757" i="34"/>
  <c r="O10758" i="34"/>
  <c r="O10759" i="34"/>
  <c r="O10760" i="34"/>
  <c r="O10761" i="34"/>
  <c r="O10762" i="34"/>
  <c r="O10763" i="34"/>
  <c r="O10764" i="34"/>
  <c r="O10765" i="34"/>
  <c r="O10766" i="34"/>
  <c r="O10767" i="34"/>
  <c r="O10768" i="34"/>
  <c r="O10769" i="34"/>
  <c r="O10770" i="34"/>
  <c r="O10771" i="34"/>
  <c r="O10772" i="34"/>
  <c r="O10773" i="34"/>
  <c r="O10774" i="34"/>
  <c r="O10775" i="34"/>
  <c r="O10776" i="34"/>
  <c r="O10777" i="34"/>
  <c r="O10778" i="34"/>
  <c r="O10779" i="34"/>
  <c r="O10780" i="34"/>
  <c r="O10781" i="34"/>
  <c r="O10782" i="34"/>
  <c r="O10783" i="34"/>
  <c r="O10784" i="34"/>
  <c r="O10785" i="34"/>
  <c r="O10786" i="34"/>
  <c r="O10787" i="34"/>
  <c r="O10788" i="34"/>
  <c r="O10789" i="34"/>
  <c r="O10790" i="34"/>
  <c r="O10791" i="34"/>
  <c r="O10792" i="34"/>
  <c r="O10793" i="34"/>
  <c r="O10794" i="34"/>
  <c r="O10795" i="34"/>
  <c r="O10796" i="34"/>
  <c r="O10797" i="34"/>
  <c r="O10798" i="34"/>
  <c r="O10799" i="34"/>
  <c r="O10800" i="34"/>
  <c r="O10801" i="34"/>
  <c r="O10802" i="34"/>
  <c r="O10803" i="34"/>
  <c r="O10804" i="34"/>
  <c r="O10805" i="34"/>
  <c r="O10806" i="34"/>
  <c r="O10807" i="34"/>
  <c r="O10808" i="34"/>
  <c r="O10809" i="34"/>
  <c r="O10810" i="34"/>
  <c r="O10811" i="34"/>
  <c r="O10812" i="34"/>
  <c r="O10813" i="34"/>
  <c r="O10814" i="34"/>
  <c r="O10815" i="34"/>
  <c r="O10816" i="34"/>
  <c r="O10817" i="34"/>
  <c r="O10818" i="34"/>
  <c r="O10819" i="34"/>
  <c r="O10820" i="34"/>
  <c r="O10821" i="34"/>
  <c r="O10822" i="34"/>
  <c r="O10823" i="34"/>
  <c r="O10824" i="34"/>
  <c r="O10825" i="34"/>
  <c r="O10826" i="34"/>
  <c r="O10827" i="34"/>
  <c r="O10828" i="34"/>
  <c r="O10829" i="34"/>
  <c r="O10830" i="34"/>
  <c r="O10831" i="34"/>
  <c r="O10832" i="34"/>
  <c r="O10833" i="34"/>
  <c r="O10834" i="34"/>
  <c r="O10835" i="34"/>
  <c r="O10836" i="34"/>
  <c r="O10837" i="34"/>
  <c r="O10838" i="34"/>
  <c r="O10839" i="34"/>
  <c r="O10840" i="34"/>
  <c r="O10841" i="34"/>
  <c r="O10842" i="34"/>
  <c r="O10843" i="34"/>
  <c r="O10844" i="34"/>
  <c r="O10845" i="34"/>
  <c r="O10846" i="34"/>
  <c r="O10847" i="34"/>
  <c r="O10848" i="34"/>
  <c r="O10849" i="34"/>
  <c r="O10850" i="34"/>
  <c r="O10851" i="34"/>
  <c r="O10852" i="34"/>
  <c r="O10853" i="34"/>
  <c r="O10854" i="34"/>
  <c r="O10855" i="34"/>
  <c r="O10856" i="34"/>
  <c r="O10857" i="34"/>
  <c r="O10858" i="34"/>
  <c r="O10859" i="34"/>
  <c r="O10860" i="34"/>
  <c r="O10861" i="34"/>
  <c r="O10862" i="34"/>
  <c r="O10863" i="34"/>
  <c r="O10864" i="34"/>
  <c r="O10865" i="34"/>
  <c r="O10866" i="34"/>
  <c r="O10867" i="34"/>
  <c r="O10868" i="34"/>
  <c r="O10869" i="34"/>
  <c r="O10870" i="34"/>
  <c r="O10871" i="34"/>
  <c r="O10872" i="34"/>
  <c r="O10873" i="34"/>
  <c r="O10874" i="34"/>
  <c r="O10875" i="34"/>
  <c r="O10876" i="34"/>
  <c r="O10877" i="34"/>
  <c r="O10878" i="34"/>
  <c r="O10879" i="34"/>
  <c r="O10880" i="34"/>
  <c r="O10881" i="34"/>
  <c r="O10882" i="34"/>
  <c r="O10883" i="34"/>
  <c r="O10884" i="34"/>
  <c r="O10885" i="34"/>
  <c r="O10886" i="34"/>
  <c r="O10887" i="34"/>
  <c r="O10888" i="34"/>
  <c r="O10889" i="34"/>
  <c r="O10890" i="34"/>
  <c r="O10891" i="34"/>
  <c r="O10892" i="34"/>
  <c r="O10893" i="34"/>
  <c r="O10894" i="34"/>
  <c r="O10895" i="34"/>
  <c r="O10896" i="34"/>
  <c r="O10897" i="34"/>
  <c r="O10898" i="34"/>
  <c r="O10899" i="34"/>
  <c r="O10900" i="34"/>
  <c r="O10901" i="34"/>
  <c r="O10902" i="34"/>
  <c r="O10903" i="34"/>
  <c r="O10904" i="34"/>
  <c r="O10905" i="34"/>
  <c r="O10906" i="34"/>
  <c r="O10907" i="34"/>
  <c r="O10908" i="34"/>
  <c r="O10909" i="34"/>
  <c r="O10910" i="34"/>
  <c r="O10911" i="34"/>
  <c r="O10912" i="34"/>
  <c r="O10913" i="34"/>
  <c r="O10914" i="34"/>
  <c r="O10915" i="34"/>
  <c r="O10916" i="34"/>
  <c r="O10917" i="34"/>
  <c r="O10918" i="34"/>
  <c r="O10919" i="34"/>
  <c r="O10920" i="34"/>
  <c r="O10921" i="34"/>
  <c r="O10922" i="34"/>
  <c r="O10923" i="34"/>
  <c r="O10924" i="34"/>
  <c r="O10925" i="34"/>
  <c r="O10926" i="34"/>
  <c r="O10927" i="34"/>
  <c r="O10928" i="34"/>
  <c r="O10929" i="34"/>
  <c r="O10930" i="34"/>
  <c r="O10931" i="34"/>
  <c r="O10932" i="34"/>
  <c r="O10933" i="34"/>
  <c r="O10934" i="34"/>
  <c r="O10935" i="34"/>
  <c r="O10936" i="34"/>
  <c r="O10937" i="34"/>
  <c r="O10938" i="34"/>
  <c r="O10939" i="34"/>
  <c r="O10940" i="34"/>
  <c r="O10941" i="34"/>
  <c r="O10942" i="34"/>
  <c r="O10943" i="34"/>
  <c r="O10944" i="34"/>
  <c r="O10945" i="34"/>
  <c r="O10946" i="34"/>
  <c r="O10947" i="34"/>
  <c r="O10948" i="34"/>
  <c r="O10949" i="34"/>
  <c r="O10950" i="34"/>
  <c r="O10951" i="34"/>
  <c r="O10952" i="34"/>
  <c r="O10953" i="34"/>
  <c r="O10954" i="34"/>
  <c r="O10955" i="34"/>
  <c r="O10956" i="34"/>
  <c r="O10957" i="34"/>
  <c r="O10958" i="34"/>
  <c r="O10959" i="34"/>
  <c r="O10960" i="34"/>
  <c r="O10961" i="34"/>
  <c r="O10962" i="34"/>
  <c r="O10963" i="34"/>
  <c r="O10964" i="34"/>
  <c r="O10965" i="34"/>
  <c r="O10966" i="34"/>
  <c r="O10967" i="34"/>
  <c r="O10968" i="34"/>
  <c r="O10969" i="34"/>
  <c r="O10970" i="34"/>
  <c r="O10971" i="34"/>
  <c r="O10972" i="34"/>
  <c r="O10973" i="34"/>
  <c r="O10974" i="34"/>
  <c r="O10975" i="34"/>
  <c r="O10976" i="34"/>
  <c r="O10977" i="34"/>
  <c r="O10978" i="34"/>
  <c r="O10979" i="34"/>
  <c r="O10980" i="34"/>
  <c r="O10981" i="34"/>
  <c r="O10982" i="34"/>
  <c r="O10983" i="34"/>
  <c r="O10984" i="34"/>
  <c r="O10985" i="34"/>
  <c r="O10986" i="34"/>
  <c r="O10987" i="34"/>
  <c r="O10988" i="34"/>
  <c r="O10989" i="34"/>
  <c r="O10990" i="34"/>
  <c r="O10991" i="34"/>
  <c r="O10992" i="34"/>
  <c r="O10993" i="34"/>
  <c r="O10994" i="34"/>
  <c r="O10995" i="34"/>
  <c r="O10996" i="34"/>
  <c r="O10997" i="34"/>
  <c r="O10998" i="34"/>
  <c r="O10999" i="34"/>
  <c r="O11000" i="34"/>
  <c r="O11001" i="34"/>
  <c r="O11002" i="34"/>
  <c r="O11003" i="34"/>
  <c r="O11004" i="34"/>
  <c r="O11005" i="34"/>
  <c r="O11006" i="34"/>
  <c r="O11007" i="34"/>
  <c r="O11008" i="34"/>
  <c r="O11009" i="34"/>
  <c r="O11010" i="34"/>
  <c r="O11011" i="34"/>
  <c r="O11012" i="34"/>
  <c r="O11013" i="34"/>
  <c r="O11014" i="34"/>
  <c r="O11015" i="34"/>
  <c r="O11016" i="34"/>
  <c r="O11017" i="34"/>
  <c r="O11018" i="34"/>
  <c r="O11019" i="34"/>
  <c r="O11020" i="34"/>
  <c r="O11021" i="34"/>
  <c r="O11022" i="34"/>
  <c r="O11023" i="34"/>
  <c r="O11024" i="34"/>
  <c r="O11025" i="34"/>
  <c r="O11026" i="34"/>
  <c r="O11027" i="34"/>
  <c r="O11028" i="34"/>
  <c r="O11029" i="34"/>
  <c r="O11030" i="34"/>
  <c r="O11031" i="34"/>
  <c r="O11032" i="34"/>
  <c r="O11033" i="34"/>
  <c r="O11034" i="34"/>
  <c r="O11035" i="34"/>
  <c r="O11036" i="34"/>
  <c r="O11037" i="34"/>
  <c r="O11038" i="34"/>
  <c r="O11039" i="34"/>
  <c r="O11040" i="34"/>
  <c r="O11041" i="34"/>
  <c r="O11042" i="34"/>
  <c r="O11043" i="34"/>
  <c r="O11044" i="34"/>
  <c r="O11045" i="34"/>
  <c r="O11046" i="34"/>
  <c r="O11047" i="34"/>
  <c r="O11048" i="34"/>
  <c r="O11049" i="34"/>
  <c r="O11050" i="34"/>
  <c r="O11051" i="34"/>
  <c r="O11052" i="34"/>
  <c r="O11053" i="34"/>
  <c r="O11054" i="34"/>
  <c r="O11055" i="34"/>
  <c r="O11056" i="34"/>
  <c r="O11057" i="34"/>
  <c r="O11058" i="34"/>
  <c r="O11059" i="34"/>
  <c r="O11060" i="34"/>
  <c r="O11061" i="34"/>
  <c r="O11062" i="34"/>
  <c r="O11063" i="34"/>
  <c r="O11064" i="34"/>
  <c r="O11065" i="34"/>
  <c r="O11066" i="34"/>
  <c r="O11067" i="34"/>
  <c r="O11068" i="34"/>
  <c r="O11069" i="34"/>
  <c r="O11070" i="34"/>
  <c r="O11071" i="34"/>
  <c r="O11072" i="34"/>
  <c r="O11073" i="34"/>
  <c r="O11074" i="34"/>
  <c r="O11075" i="34"/>
  <c r="O11076" i="34"/>
  <c r="O11077" i="34"/>
  <c r="O11078" i="34"/>
  <c r="O11079" i="34"/>
  <c r="O11080" i="34"/>
  <c r="O11081" i="34"/>
  <c r="O11082" i="34"/>
  <c r="O11083" i="34"/>
  <c r="O11084" i="34"/>
  <c r="O11085" i="34"/>
  <c r="O11086" i="34"/>
  <c r="O11087" i="34"/>
  <c r="O11088" i="34"/>
  <c r="O11089" i="34"/>
  <c r="O11090" i="34"/>
  <c r="O11091" i="34"/>
  <c r="O11092" i="34"/>
  <c r="O11093" i="34"/>
  <c r="O11094" i="34"/>
  <c r="O11095" i="34"/>
  <c r="O11096" i="34"/>
  <c r="O11097" i="34"/>
  <c r="O11098" i="34"/>
  <c r="O11099" i="34"/>
  <c r="O11100" i="34"/>
  <c r="O11101" i="34"/>
  <c r="O11102" i="34"/>
  <c r="O11103" i="34"/>
  <c r="O11104" i="34"/>
  <c r="O11105" i="34"/>
  <c r="O11106" i="34"/>
  <c r="O11107" i="34"/>
  <c r="O11108" i="34"/>
  <c r="O11109" i="34"/>
  <c r="O11110" i="34"/>
  <c r="O11111" i="34"/>
  <c r="O11112" i="34"/>
  <c r="O11113" i="34"/>
  <c r="O11114" i="34"/>
  <c r="O11115" i="34"/>
  <c r="O11116" i="34"/>
  <c r="O11117" i="34"/>
  <c r="O11118" i="34"/>
  <c r="O11119" i="34"/>
  <c r="O11120" i="34"/>
  <c r="O11121" i="34"/>
  <c r="O11122" i="34"/>
  <c r="O11123" i="34"/>
  <c r="O11124" i="34"/>
  <c r="O11125" i="34"/>
  <c r="O11126" i="34"/>
  <c r="O11127" i="34"/>
  <c r="O11128" i="34"/>
  <c r="O11129" i="34"/>
  <c r="O11130" i="34"/>
  <c r="O11131" i="34"/>
  <c r="O11132" i="34"/>
  <c r="O11133" i="34"/>
  <c r="O11134" i="34"/>
  <c r="O11135" i="34"/>
  <c r="O11136" i="34"/>
  <c r="O11137" i="34"/>
  <c r="O11138" i="34"/>
  <c r="O11139" i="34"/>
  <c r="O11140" i="34"/>
  <c r="O11141" i="34"/>
  <c r="O11142" i="34"/>
  <c r="O11143" i="34"/>
  <c r="O11144" i="34"/>
  <c r="O11145" i="34"/>
  <c r="O11146" i="34"/>
  <c r="O11147" i="34"/>
  <c r="O11148" i="34"/>
  <c r="O11149" i="34"/>
  <c r="O11150" i="34"/>
  <c r="O11151" i="34"/>
  <c r="O11152" i="34"/>
  <c r="O11153" i="34"/>
  <c r="O11154" i="34"/>
  <c r="O11155" i="34"/>
  <c r="O11156" i="34"/>
  <c r="O11157" i="34"/>
  <c r="O11158" i="34"/>
  <c r="O11159" i="34"/>
  <c r="O11160" i="34"/>
  <c r="O11161" i="34"/>
  <c r="O11162" i="34"/>
  <c r="O11163" i="34"/>
  <c r="O11164" i="34"/>
  <c r="O11165" i="34"/>
  <c r="O11166" i="34"/>
  <c r="O11167" i="34"/>
  <c r="O11168" i="34"/>
  <c r="O11169" i="34"/>
  <c r="O11170" i="34"/>
  <c r="O11171" i="34"/>
  <c r="O11172" i="34"/>
  <c r="O11173" i="34"/>
  <c r="O11174" i="34"/>
  <c r="O11175" i="34"/>
  <c r="O11176" i="34"/>
  <c r="O11177" i="34"/>
  <c r="O11178" i="34"/>
  <c r="O11179" i="34"/>
  <c r="O11180" i="34"/>
  <c r="O11181" i="34"/>
  <c r="O11182" i="34"/>
  <c r="O11183" i="34"/>
  <c r="O11184" i="34"/>
  <c r="O11185" i="34"/>
  <c r="O11186" i="34"/>
  <c r="O11187" i="34"/>
  <c r="O11188" i="34"/>
  <c r="O11189" i="34"/>
  <c r="O11190" i="34"/>
  <c r="O11191" i="34"/>
  <c r="O11192" i="34"/>
  <c r="O11193" i="34"/>
  <c r="O11194" i="34"/>
  <c r="O11195" i="34"/>
  <c r="O11196" i="34"/>
  <c r="O11197" i="34"/>
  <c r="O11198" i="34"/>
  <c r="O11199" i="34"/>
  <c r="O11200" i="34"/>
  <c r="O11201" i="34"/>
  <c r="O11202" i="34"/>
  <c r="O11203" i="34"/>
  <c r="O11204" i="34"/>
  <c r="O11205" i="34"/>
  <c r="O11206" i="34"/>
  <c r="O11207" i="34"/>
  <c r="O11208" i="34"/>
  <c r="O11209" i="34"/>
  <c r="O11210" i="34"/>
  <c r="O11211" i="34"/>
  <c r="O11212" i="34"/>
  <c r="O11213" i="34"/>
  <c r="O11214" i="34"/>
  <c r="O11215" i="34"/>
  <c r="O11216" i="34"/>
  <c r="O11217" i="34"/>
  <c r="O11218" i="34"/>
  <c r="O11219" i="34"/>
  <c r="O11220" i="34"/>
  <c r="O11221" i="34"/>
  <c r="O11222" i="34"/>
  <c r="O11223" i="34"/>
  <c r="O11224" i="34"/>
  <c r="O11225" i="34"/>
  <c r="O11226" i="34"/>
  <c r="O11227" i="34"/>
  <c r="O11228" i="34"/>
  <c r="O11229" i="34"/>
  <c r="O11230" i="34"/>
  <c r="O11231" i="34"/>
  <c r="O11232" i="34"/>
  <c r="O11233" i="34"/>
  <c r="O11234" i="34"/>
  <c r="O11235" i="34"/>
  <c r="O11236" i="34"/>
  <c r="O11237" i="34"/>
  <c r="O11238" i="34"/>
  <c r="O11239" i="34"/>
  <c r="O11240" i="34"/>
  <c r="O11241" i="34"/>
  <c r="O11242" i="34"/>
  <c r="O11243" i="34"/>
  <c r="O11244" i="34"/>
  <c r="O11245" i="34"/>
  <c r="O11246" i="34"/>
  <c r="O11247" i="34"/>
  <c r="O11248" i="34"/>
  <c r="O11249" i="34"/>
  <c r="O11250" i="34"/>
  <c r="O11251" i="34"/>
  <c r="O11252" i="34"/>
  <c r="O11253" i="34"/>
  <c r="O11254" i="34"/>
  <c r="O11255" i="34"/>
  <c r="O11256" i="34"/>
  <c r="O11257" i="34"/>
  <c r="O11258" i="34"/>
  <c r="O11259" i="34"/>
  <c r="O11260" i="34"/>
  <c r="O11261" i="34"/>
  <c r="O11262" i="34"/>
  <c r="O11263" i="34"/>
  <c r="O11264" i="34"/>
  <c r="O11265" i="34"/>
  <c r="O11266" i="34"/>
  <c r="O11267" i="34"/>
  <c r="O11268" i="34"/>
  <c r="O11269" i="34"/>
  <c r="O11270" i="34"/>
  <c r="O11271" i="34"/>
  <c r="O11272" i="34"/>
  <c r="O11273" i="34"/>
  <c r="O11274" i="34"/>
  <c r="O11275" i="34"/>
  <c r="O11276" i="34"/>
  <c r="O11277" i="34"/>
  <c r="O11278" i="34"/>
  <c r="O11279" i="34"/>
  <c r="O11280" i="34"/>
  <c r="O11281" i="34"/>
  <c r="O11282" i="34"/>
  <c r="O11283" i="34"/>
  <c r="O11284" i="34"/>
  <c r="O11285" i="34"/>
  <c r="O11286" i="34"/>
  <c r="O11287" i="34"/>
  <c r="O11288" i="34"/>
  <c r="O11289" i="34"/>
  <c r="O11290" i="34"/>
  <c r="O11291" i="34"/>
  <c r="O11292" i="34"/>
  <c r="O11293" i="34"/>
  <c r="O11294" i="34"/>
  <c r="O11295" i="34"/>
  <c r="O11296" i="34"/>
  <c r="O11297" i="34"/>
  <c r="O11298" i="34"/>
  <c r="O11299" i="34"/>
  <c r="O11300" i="34"/>
  <c r="O11301" i="34"/>
  <c r="O11302" i="34"/>
  <c r="O11303" i="34"/>
  <c r="O11304" i="34"/>
  <c r="O11305" i="34"/>
  <c r="O11306" i="34"/>
  <c r="O11307" i="34"/>
  <c r="O11308" i="34"/>
  <c r="O11309" i="34"/>
  <c r="O11310" i="34"/>
  <c r="O11311" i="34"/>
  <c r="O11312" i="34"/>
  <c r="O11313" i="34"/>
  <c r="O11314" i="34"/>
  <c r="O11315" i="34"/>
  <c r="O11316" i="34"/>
  <c r="O11317" i="34"/>
  <c r="O11318" i="34"/>
  <c r="O11319" i="34"/>
  <c r="O11320" i="34"/>
  <c r="O11321" i="34"/>
  <c r="O11322" i="34"/>
  <c r="O11323" i="34"/>
  <c r="O11324" i="34"/>
  <c r="O11325" i="34"/>
  <c r="O11326" i="34"/>
  <c r="O11327" i="34"/>
  <c r="O11328" i="34"/>
  <c r="O11329" i="34"/>
  <c r="O11330" i="34"/>
  <c r="O11331" i="34"/>
  <c r="O11332" i="34"/>
  <c r="O11333" i="34"/>
  <c r="O11334" i="34"/>
  <c r="O11335" i="34"/>
  <c r="O11336" i="34"/>
  <c r="O11337" i="34"/>
  <c r="O11338" i="34"/>
  <c r="O11339" i="34"/>
  <c r="O11340" i="34"/>
  <c r="O11341" i="34"/>
  <c r="O11342" i="34"/>
  <c r="O11343" i="34"/>
  <c r="O11344" i="34"/>
  <c r="O11345" i="34"/>
  <c r="O11346" i="34"/>
  <c r="O11347" i="34"/>
  <c r="O11348" i="34"/>
  <c r="O11349" i="34"/>
  <c r="O11350" i="34"/>
  <c r="O11351" i="34"/>
  <c r="O11352" i="34"/>
  <c r="O11353" i="34"/>
  <c r="O11354" i="34"/>
  <c r="O11355" i="34"/>
  <c r="O11356" i="34"/>
  <c r="O11357" i="34"/>
  <c r="O11358" i="34"/>
  <c r="O11359" i="34"/>
  <c r="O11360" i="34"/>
  <c r="O11361" i="34"/>
  <c r="O11362" i="34"/>
  <c r="O11363" i="34"/>
  <c r="O11364" i="34"/>
  <c r="O11365" i="34"/>
  <c r="O11366" i="34"/>
  <c r="O11367" i="34"/>
  <c r="O11368" i="34"/>
  <c r="O11369" i="34"/>
  <c r="O11370" i="34"/>
  <c r="O11371" i="34"/>
  <c r="O11372" i="34"/>
  <c r="O11373" i="34"/>
  <c r="O11374" i="34"/>
  <c r="O11375" i="34"/>
  <c r="O11376" i="34"/>
  <c r="O11377" i="34"/>
  <c r="O11378" i="34"/>
  <c r="O11379" i="34"/>
  <c r="O11380" i="34"/>
  <c r="O11381" i="34"/>
  <c r="O11382" i="34"/>
  <c r="O11383" i="34"/>
  <c r="O11384" i="34"/>
  <c r="O11385" i="34"/>
  <c r="O11386" i="34"/>
  <c r="O11387" i="34"/>
  <c r="O11388" i="34"/>
  <c r="O11389" i="34"/>
  <c r="O11390" i="34"/>
  <c r="O11391" i="34"/>
  <c r="O11392" i="34"/>
  <c r="O11393" i="34"/>
  <c r="O11394" i="34"/>
  <c r="O11395" i="34"/>
  <c r="O11396" i="34"/>
  <c r="O11397" i="34"/>
  <c r="O11398" i="34"/>
  <c r="O11399" i="34"/>
  <c r="O11400" i="34"/>
  <c r="O11401" i="34"/>
  <c r="O11402" i="34"/>
  <c r="O11403" i="34"/>
  <c r="O11404" i="34"/>
  <c r="O11405" i="34"/>
  <c r="O11406" i="34"/>
  <c r="O11407" i="34"/>
  <c r="O11408" i="34"/>
  <c r="O11409" i="34"/>
  <c r="O11410" i="34"/>
  <c r="O11411" i="34"/>
  <c r="O11412" i="34"/>
  <c r="O11413" i="34"/>
  <c r="O11414" i="34"/>
  <c r="O11415" i="34"/>
  <c r="O11416" i="34"/>
  <c r="O11417" i="34"/>
  <c r="O11418" i="34"/>
  <c r="O11419" i="34"/>
  <c r="O11420" i="34"/>
  <c r="O11421" i="34"/>
  <c r="O11422" i="34"/>
  <c r="O11423" i="34"/>
  <c r="O11424" i="34"/>
  <c r="O11425" i="34"/>
  <c r="O11426" i="34"/>
  <c r="O11427" i="34"/>
  <c r="O11428" i="34"/>
  <c r="O11429" i="34"/>
  <c r="O11430" i="34"/>
  <c r="O11431" i="34"/>
  <c r="O11432" i="34"/>
  <c r="O11433" i="34"/>
  <c r="O11434" i="34"/>
  <c r="O11435" i="34"/>
  <c r="O11436" i="34"/>
  <c r="O11437" i="34"/>
  <c r="O11438" i="34"/>
  <c r="O11439" i="34"/>
  <c r="O11440" i="34"/>
  <c r="O11441" i="34"/>
  <c r="O11442" i="34"/>
  <c r="O11443" i="34"/>
  <c r="O11444" i="34"/>
  <c r="O11445" i="34"/>
  <c r="O11446" i="34"/>
  <c r="O11447" i="34"/>
  <c r="O11448" i="34"/>
  <c r="O11449" i="34"/>
  <c r="O11450" i="34"/>
  <c r="O11451" i="34"/>
  <c r="O11452" i="34"/>
  <c r="O11453" i="34"/>
  <c r="O11454" i="34"/>
  <c r="O11455" i="34"/>
  <c r="O11456" i="34"/>
  <c r="O11457" i="34"/>
  <c r="O11458" i="34"/>
  <c r="O11459" i="34"/>
  <c r="O11460" i="34"/>
  <c r="O11461" i="34"/>
  <c r="O11462" i="34"/>
  <c r="O11463" i="34"/>
  <c r="O11464" i="34"/>
  <c r="O11465" i="34"/>
  <c r="O11466" i="34"/>
  <c r="O11467" i="34"/>
  <c r="O11468" i="34"/>
  <c r="O11469" i="34"/>
  <c r="O11470" i="34"/>
  <c r="O11471" i="34"/>
  <c r="O11472" i="34"/>
  <c r="O11473" i="34"/>
  <c r="O11474" i="34"/>
  <c r="O11475" i="34"/>
  <c r="O11476" i="34"/>
  <c r="O11477" i="34"/>
  <c r="O11478" i="34"/>
  <c r="O11479" i="34"/>
  <c r="O11480" i="34"/>
  <c r="O11481" i="34"/>
  <c r="O11482" i="34"/>
  <c r="O11483" i="34"/>
  <c r="O11484" i="34"/>
  <c r="O11485" i="34"/>
  <c r="O11486" i="34"/>
  <c r="O11487" i="34"/>
  <c r="O11488" i="34"/>
  <c r="O11489" i="34"/>
  <c r="O11490" i="34"/>
  <c r="O11491" i="34"/>
  <c r="O11492" i="34"/>
  <c r="O11493" i="34"/>
  <c r="O11494" i="34"/>
  <c r="O11495" i="34"/>
  <c r="O11496" i="34"/>
  <c r="O11497" i="34"/>
  <c r="O11498" i="34"/>
  <c r="O11499" i="34"/>
  <c r="O11500" i="34"/>
  <c r="O11501" i="34"/>
  <c r="O11502" i="34"/>
  <c r="O11503" i="34"/>
  <c r="O11504" i="34"/>
  <c r="O11505" i="34"/>
  <c r="O11506" i="34"/>
  <c r="O11507" i="34"/>
  <c r="O11508" i="34"/>
  <c r="O11509" i="34"/>
  <c r="O11510" i="34"/>
  <c r="O11511" i="34"/>
  <c r="O11512" i="34"/>
  <c r="O11513" i="34"/>
  <c r="O11514" i="34"/>
  <c r="O11515" i="34"/>
  <c r="O11516" i="34"/>
  <c r="O11517" i="34"/>
  <c r="O11518" i="34"/>
  <c r="O11519" i="34"/>
  <c r="O11520" i="34"/>
  <c r="O11521" i="34"/>
  <c r="O11522" i="34"/>
  <c r="O11523" i="34"/>
  <c r="O11524" i="34"/>
  <c r="O11525" i="34"/>
  <c r="O11526" i="34"/>
  <c r="O11527" i="34"/>
  <c r="O11528" i="34"/>
  <c r="O11529" i="34"/>
  <c r="O11530" i="34"/>
  <c r="O11531" i="34"/>
  <c r="O11532" i="34"/>
  <c r="O11533" i="34"/>
  <c r="O11534" i="34"/>
  <c r="O11535" i="34"/>
  <c r="O11536" i="34"/>
  <c r="O11537" i="34"/>
  <c r="O11538" i="34"/>
  <c r="O11539" i="34"/>
  <c r="O11540" i="34"/>
  <c r="O11541" i="34"/>
  <c r="O11542" i="34"/>
  <c r="O11543" i="34"/>
  <c r="O11544" i="34"/>
  <c r="O11545" i="34"/>
  <c r="O11546" i="34"/>
  <c r="O11547" i="34"/>
  <c r="O11548" i="34"/>
  <c r="O11549" i="34"/>
  <c r="O11550" i="34"/>
  <c r="O11551" i="34"/>
  <c r="O11552" i="34"/>
  <c r="O11553" i="34"/>
  <c r="O11554" i="34"/>
  <c r="O11555" i="34"/>
  <c r="O11556" i="34"/>
  <c r="O11557" i="34"/>
  <c r="O11558" i="34"/>
  <c r="O11559" i="34"/>
  <c r="O11560" i="34"/>
  <c r="O11561" i="34"/>
  <c r="O11562" i="34"/>
  <c r="O11563" i="34"/>
  <c r="O11564" i="34"/>
  <c r="O11565" i="34"/>
  <c r="O11566" i="34"/>
  <c r="O11567" i="34"/>
  <c r="O11568" i="34"/>
  <c r="O11569" i="34"/>
  <c r="O11570" i="34"/>
  <c r="O11571" i="34"/>
  <c r="O11572" i="34"/>
  <c r="O11573" i="34"/>
  <c r="O11574" i="34"/>
  <c r="O11575" i="34"/>
  <c r="O11576" i="34"/>
  <c r="O11577" i="34"/>
  <c r="O11578" i="34"/>
  <c r="O11579" i="34"/>
  <c r="O11580" i="34"/>
  <c r="O11581" i="34"/>
  <c r="O11582" i="34"/>
  <c r="O11583" i="34"/>
  <c r="O11584" i="34"/>
  <c r="O11585" i="34"/>
  <c r="O11586" i="34"/>
  <c r="O11587" i="34"/>
  <c r="O11588" i="34"/>
  <c r="O11589" i="34"/>
  <c r="O11590" i="34"/>
  <c r="O11591" i="34"/>
  <c r="O11592" i="34"/>
  <c r="O11593" i="34"/>
  <c r="O11594" i="34"/>
  <c r="O11595" i="34"/>
  <c r="O11596" i="34"/>
  <c r="O11597" i="34"/>
  <c r="O11598" i="34"/>
  <c r="O11599" i="34"/>
  <c r="O11600" i="34"/>
  <c r="O11601" i="34"/>
  <c r="O11602" i="34"/>
  <c r="O11603" i="34"/>
  <c r="O11604" i="34"/>
  <c r="O11605" i="34"/>
  <c r="O11606" i="34"/>
  <c r="O11607" i="34"/>
  <c r="O11608" i="34"/>
  <c r="O11609" i="34"/>
  <c r="O11610" i="34"/>
  <c r="O11611" i="34"/>
  <c r="O11612" i="34"/>
  <c r="O11613" i="34"/>
  <c r="O11614" i="34"/>
  <c r="O11615" i="34"/>
  <c r="O11616" i="34"/>
  <c r="O11617" i="34"/>
  <c r="O11618" i="34"/>
  <c r="O11619" i="34"/>
  <c r="O11620" i="34"/>
  <c r="O11621" i="34"/>
  <c r="O11622" i="34"/>
  <c r="O11623" i="34"/>
  <c r="O11624" i="34"/>
  <c r="O11625" i="34"/>
  <c r="O11626" i="34"/>
  <c r="O11627" i="34"/>
  <c r="O11628" i="34"/>
  <c r="O11629" i="34"/>
  <c r="O11630" i="34"/>
  <c r="O11631" i="34"/>
  <c r="O11632" i="34"/>
  <c r="O11633" i="34"/>
  <c r="O11634" i="34"/>
  <c r="O11635" i="34"/>
  <c r="O11636" i="34"/>
  <c r="O11637" i="34"/>
  <c r="O11638" i="34"/>
  <c r="O11639" i="34"/>
  <c r="O11640" i="34"/>
  <c r="O11641" i="34"/>
  <c r="O11642" i="34"/>
  <c r="O11643" i="34"/>
  <c r="O11644" i="34"/>
  <c r="O11645" i="34"/>
  <c r="O11646" i="34"/>
  <c r="O11647" i="34"/>
  <c r="O11648" i="34"/>
  <c r="O11649" i="34"/>
  <c r="O11650" i="34"/>
  <c r="O11651" i="34"/>
  <c r="O11652" i="34"/>
  <c r="O11653" i="34"/>
  <c r="O11654" i="34"/>
  <c r="O11655" i="34"/>
  <c r="O11656" i="34"/>
  <c r="O11657" i="34"/>
  <c r="O11658" i="34"/>
  <c r="O11659" i="34"/>
  <c r="O11660" i="34"/>
  <c r="O11661" i="34"/>
  <c r="O11662" i="34"/>
  <c r="O11663" i="34"/>
  <c r="O11664" i="34"/>
  <c r="O11665" i="34"/>
  <c r="O11666" i="34"/>
  <c r="O11667" i="34"/>
  <c r="O11668" i="34"/>
  <c r="O11669" i="34"/>
  <c r="O11670" i="34"/>
  <c r="O11671" i="34"/>
  <c r="O11672" i="34"/>
  <c r="O11673" i="34"/>
  <c r="O11674" i="34"/>
  <c r="O11675" i="34"/>
  <c r="O11676" i="34"/>
  <c r="O11677" i="34"/>
  <c r="O11678" i="34"/>
  <c r="O11679" i="34"/>
  <c r="O11680" i="34"/>
  <c r="O11681" i="34"/>
  <c r="O11682" i="34"/>
  <c r="O11683" i="34"/>
  <c r="O11684" i="34"/>
  <c r="O11685" i="34"/>
  <c r="O11686" i="34"/>
  <c r="O11687" i="34"/>
  <c r="O11688" i="34"/>
  <c r="O11689" i="34"/>
  <c r="O11690" i="34"/>
  <c r="O11691" i="34"/>
  <c r="O11692" i="34"/>
  <c r="O11693" i="34"/>
  <c r="O11694" i="34"/>
  <c r="O11695" i="34"/>
  <c r="O11696" i="34"/>
  <c r="O11697" i="34"/>
  <c r="O11698" i="34"/>
  <c r="O11699" i="34"/>
  <c r="O11700" i="34"/>
  <c r="O11701" i="34"/>
  <c r="O11702" i="34"/>
  <c r="O11703" i="34"/>
  <c r="O11704" i="34"/>
  <c r="O11705" i="34"/>
  <c r="O11706" i="34"/>
  <c r="O11707" i="34"/>
  <c r="O11708" i="34"/>
  <c r="O11709" i="34"/>
  <c r="O11710" i="34"/>
  <c r="O11711" i="34"/>
  <c r="O11712" i="34"/>
  <c r="O11713" i="34"/>
  <c r="O11714" i="34"/>
  <c r="O11715" i="34"/>
  <c r="O11716" i="34"/>
  <c r="O11717" i="34"/>
  <c r="O11718" i="34"/>
  <c r="O11719" i="34"/>
  <c r="O11720" i="34"/>
  <c r="O11721" i="34"/>
  <c r="O11722" i="34"/>
  <c r="O11723" i="34"/>
  <c r="O11724" i="34"/>
  <c r="O11725" i="34"/>
  <c r="O11726" i="34"/>
  <c r="O11727" i="34"/>
  <c r="O11728" i="34"/>
  <c r="O11729" i="34"/>
  <c r="O11730" i="34"/>
  <c r="O11731" i="34"/>
  <c r="O11732" i="34"/>
  <c r="O11733" i="34"/>
  <c r="O11734" i="34"/>
  <c r="O11735" i="34"/>
  <c r="O11736" i="34"/>
  <c r="O11737" i="34"/>
  <c r="O11738" i="34"/>
  <c r="O11739" i="34"/>
  <c r="O11740" i="34"/>
  <c r="O11741" i="34"/>
  <c r="O11742" i="34"/>
  <c r="O11743" i="34"/>
  <c r="O11744" i="34"/>
  <c r="O11745" i="34"/>
  <c r="O11746" i="34"/>
  <c r="O11747" i="34"/>
  <c r="O11748" i="34"/>
  <c r="O11749" i="34"/>
  <c r="O11750" i="34"/>
  <c r="O11751" i="34"/>
  <c r="O11752" i="34"/>
  <c r="O11753" i="34"/>
  <c r="O11754" i="34"/>
  <c r="O11755" i="34"/>
  <c r="O11756" i="34"/>
  <c r="O11757" i="34"/>
  <c r="O11758" i="34"/>
  <c r="O11759" i="34"/>
  <c r="O11760" i="34"/>
  <c r="O11761" i="34"/>
  <c r="O11762" i="34"/>
  <c r="O11763" i="34"/>
  <c r="O11764" i="34"/>
  <c r="O11765" i="34"/>
  <c r="O11766" i="34"/>
  <c r="O11767" i="34"/>
  <c r="O11768" i="34"/>
  <c r="O11769" i="34"/>
  <c r="O11770" i="34"/>
  <c r="O11771" i="34"/>
  <c r="O11772" i="34"/>
  <c r="O11773" i="34"/>
  <c r="O11774" i="34"/>
  <c r="O11775" i="34"/>
  <c r="O11776" i="34"/>
  <c r="O11777" i="34"/>
  <c r="O11778" i="34"/>
  <c r="O11779" i="34"/>
  <c r="O11780" i="34"/>
  <c r="O11781" i="34"/>
  <c r="O11782" i="34"/>
  <c r="O11783" i="34"/>
  <c r="O11784" i="34"/>
  <c r="O11785" i="34"/>
  <c r="O11786" i="34"/>
  <c r="O11787" i="34"/>
  <c r="O11788" i="34"/>
  <c r="O11789" i="34"/>
  <c r="O11790" i="34"/>
  <c r="O11791" i="34"/>
  <c r="O11792" i="34"/>
  <c r="O11793" i="34"/>
  <c r="O11794" i="34"/>
  <c r="O11795" i="34"/>
  <c r="O11796" i="34"/>
  <c r="O11797" i="34"/>
  <c r="O11798" i="34"/>
  <c r="O11799" i="34"/>
  <c r="O11800" i="34"/>
  <c r="O11801" i="34"/>
  <c r="O11802" i="34"/>
  <c r="O11803" i="34"/>
  <c r="O11804" i="34"/>
  <c r="O11805" i="34"/>
  <c r="O11806" i="34"/>
  <c r="O11807" i="34"/>
  <c r="O11808" i="34"/>
  <c r="O11809" i="34"/>
  <c r="O11810" i="34"/>
  <c r="O11811" i="34"/>
  <c r="O11812" i="34"/>
  <c r="O11813" i="34"/>
  <c r="O11814" i="34"/>
  <c r="O11815" i="34"/>
  <c r="O11816" i="34"/>
  <c r="O11817" i="34"/>
  <c r="O11818" i="34"/>
  <c r="O11819" i="34"/>
  <c r="O11820" i="34"/>
  <c r="O11821" i="34"/>
  <c r="O11822" i="34"/>
  <c r="O11823" i="34"/>
  <c r="O11824" i="34"/>
  <c r="O11825" i="34"/>
  <c r="O11826" i="34"/>
  <c r="O11827" i="34"/>
  <c r="O11828" i="34"/>
  <c r="O11829" i="34"/>
  <c r="O11830" i="34"/>
  <c r="O11831" i="34"/>
  <c r="O11832" i="34"/>
  <c r="O11833" i="34"/>
  <c r="O11834" i="34"/>
  <c r="O11835" i="34"/>
  <c r="O11836" i="34"/>
  <c r="O11837" i="34"/>
  <c r="O11838" i="34"/>
  <c r="O11839" i="34"/>
  <c r="O11840" i="34"/>
  <c r="O11841" i="34"/>
  <c r="O11842" i="34"/>
  <c r="O11843" i="34"/>
  <c r="O11844" i="34"/>
  <c r="O11845" i="34"/>
  <c r="O11846" i="34"/>
  <c r="O11847" i="34"/>
  <c r="O11848" i="34"/>
  <c r="O11849" i="34"/>
  <c r="O11850" i="34"/>
  <c r="O11851" i="34"/>
  <c r="O11852" i="34"/>
  <c r="O11853" i="34"/>
  <c r="O11854" i="34"/>
  <c r="O11855" i="34"/>
  <c r="O11856" i="34"/>
  <c r="O11857" i="34"/>
  <c r="O11858" i="34"/>
  <c r="O11859" i="34"/>
  <c r="O11860" i="34"/>
  <c r="O11861" i="34"/>
  <c r="O11862" i="34"/>
  <c r="O11863" i="34"/>
  <c r="O11864" i="34"/>
  <c r="O11865" i="34"/>
  <c r="O11866" i="34"/>
  <c r="O11867" i="34"/>
  <c r="O11868" i="34"/>
  <c r="O11869" i="34"/>
  <c r="O11870" i="34"/>
  <c r="O11871" i="34"/>
  <c r="O11872" i="34"/>
  <c r="O11873" i="34"/>
  <c r="O11874" i="34"/>
  <c r="O11875" i="34"/>
  <c r="O11876" i="34"/>
  <c r="O11877" i="34"/>
  <c r="O11878" i="34"/>
  <c r="O11879" i="34"/>
  <c r="O11880" i="34"/>
  <c r="O11881" i="34"/>
  <c r="O11882" i="34"/>
  <c r="O11883" i="34"/>
  <c r="O11884" i="34"/>
  <c r="O11885" i="34"/>
  <c r="O11886" i="34"/>
  <c r="O11887" i="34"/>
  <c r="O11888" i="34"/>
  <c r="O11889" i="34"/>
  <c r="O11890" i="34"/>
  <c r="O11891" i="34"/>
  <c r="O11892" i="34"/>
  <c r="O11893" i="34"/>
  <c r="O11894" i="34"/>
  <c r="O11895" i="34"/>
  <c r="O11896" i="34"/>
  <c r="O11897" i="34"/>
  <c r="O11898" i="34"/>
  <c r="O11899" i="34"/>
  <c r="O11900" i="34"/>
  <c r="O11901" i="34"/>
  <c r="O11902" i="34"/>
  <c r="O11903" i="34"/>
  <c r="O11904" i="34"/>
  <c r="O11905" i="34"/>
  <c r="O11906" i="34"/>
  <c r="O11907" i="34"/>
  <c r="O11908" i="34"/>
  <c r="O11909" i="34"/>
  <c r="O11910" i="34"/>
  <c r="O11911" i="34"/>
  <c r="O11912" i="34"/>
  <c r="O11913" i="34"/>
  <c r="O11914" i="34"/>
  <c r="O11915" i="34"/>
  <c r="O11916" i="34"/>
  <c r="O11917" i="34"/>
  <c r="O11918" i="34"/>
  <c r="O11919" i="34"/>
  <c r="O11920" i="34"/>
  <c r="O11921" i="34"/>
  <c r="O11922" i="34"/>
  <c r="O11923" i="34"/>
  <c r="O11924" i="34"/>
  <c r="O11925" i="34"/>
  <c r="O11926" i="34"/>
  <c r="O11927" i="34"/>
  <c r="O11928" i="34"/>
  <c r="O11929" i="34"/>
  <c r="O11930" i="34"/>
  <c r="O11931" i="34"/>
  <c r="O11932" i="34"/>
  <c r="O11933" i="34"/>
  <c r="O11934" i="34"/>
  <c r="O11935" i="34"/>
  <c r="O11936" i="34"/>
  <c r="O11937" i="34"/>
  <c r="O11938" i="34"/>
  <c r="O11939" i="34"/>
  <c r="O11940" i="34"/>
  <c r="O11941" i="34"/>
  <c r="O11942" i="34"/>
  <c r="O11943" i="34"/>
  <c r="O11944" i="34"/>
  <c r="O11945" i="34"/>
  <c r="O11946" i="34"/>
  <c r="O11947" i="34"/>
  <c r="O11948" i="34"/>
  <c r="O11949" i="34"/>
  <c r="O11950" i="34"/>
  <c r="O11951" i="34"/>
  <c r="O11952" i="34"/>
  <c r="O11953" i="34"/>
  <c r="O11954" i="34"/>
  <c r="O11955" i="34"/>
  <c r="O11956" i="34"/>
  <c r="O11957" i="34"/>
  <c r="O11958" i="34"/>
  <c r="O11959" i="34"/>
  <c r="O11960" i="34"/>
  <c r="O11961" i="34"/>
  <c r="O11962" i="34"/>
  <c r="O11963" i="34"/>
  <c r="O11964" i="34"/>
  <c r="O11965" i="34"/>
  <c r="O11966" i="34"/>
  <c r="O11967" i="34"/>
  <c r="O11968" i="34"/>
  <c r="O11969" i="34"/>
  <c r="O11970" i="34"/>
  <c r="O11971" i="34"/>
  <c r="O11972" i="34"/>
  <c r="O11973" i="34"/>
  <c r="O11974" i="34"/>
  <c r="O11975" i="34"/>
  <c r="O11976" i="34"/>
  <c r="O11977" i="34"/>
  <c r="O11978" i="34"/>
  <c r="O11979" i="34"/>
  <c r="O11980" i="34"/>
  <c r="O11981" i="34"/>
  <c r="O11982" i="34"/>
  <c r="O11983" i="34"/>
  <c r="O11984" i="34"/>
  <c r="O11985" i="34"/>
  <c r="O11986" i="34"/>
  <c r="O11987" i="34"/>
  <c r="O11988" i="34"/>
  <c r="O11989" i="34"/>
  <c r="O11990" i="34"/>
  <c r="O11991" i="34"/>
  <c r="O11992" i="34"/>
  <c r="O11993" i="34"/>
  <c r="O11994" i="34"/>
  <c r="O11995" i="34"/>
  <c r="O11996" i="34"/>
  <c r="O11997" i="34"/>
  <c r="O11998" i="34"/>
  <c r="O11999" i="34"/>
  <c r="O12000" i="34"/>
  <c r="O12001" i="34"/>
  <c r="O12002" i="34"/>
  <c r="O12003" i="34"/>
  <c r="O12004" i="34"/>
  <c r="O12005" i="34"/>
  <c r="O12006" i="34"/>
  <c r="O12007" i="34"/>
  <c r="O12008" i="34"/>
  <c r="O12009" i="34"/>
  <c r="O12010" i="34"/>
  <c r="O12011" i="34"/>
  <c r="O12012" i="34"/>
  <c r="O12013" i="34"/>
  <c r="O12014" i="34"/>
  <c r="O12015" i="34"/>
  <c r="O12016" i="34"/>
  <c r="O12017" i="34"/>
  <c r="O12018" i="34"/>
  <c r="O12019" i="34"/>
  <c r="O12020" i="34"/>
  <c r="O12021" i="34"/>
  <c r="O12022" i="34"/>
  <c r="O12023" i="34"/>
  <c r="O12024" i="34"/>
  <c r="O12025" i="34"/>
  <c r="O12026" i="34"/>
  <c r="O12027" i="34"/>
  <c r="O12028" i="34"/>
  <c r="O12029" i="34"/>
  <c r="O12030" i="34"/>
  <c r="O12031" i="34"/>
  <c r="O12032" i="34"/>
  <c r="O12033" i="34"/>
  <c r="O12034" i="34"/>
  <c r="O12035" i="34"/>
  <c r="O12036" i="34"/>
  <c r="O12037" i="34"/>
  <c r="O12038" i="34"/>
  <c r="O12039" i="34"/>
  <c r="O12040" i="34"/>
  <c r="O12041" i="34"/>
  <c r="O12042" i="34"/>
  <c r="O12043" i="34"/>
  <c r="O12044" i="34"/>
  <c r="O12045" i="34"/>
  <c r="O12046" i="34"/>
  <c r="O12047" i="34"/>
  <c r="O12048" i="34"/>
  <c r="O12049" i="34"/>
  <c r="O12050" i="34"/>
  <c r="O12051" i="34"/>
  <c r="O12052" i="34"/>
  <c r="O12053" i="34"/>
  <c r="O12054" i="34"/>
  <c r="O12055" i="34"/>
  <c r="O12056" i="34"/>
  <c r="O12057" i="34"/>
  <c r="O12058" i="34"/>
  <c r="O12059" i="34"/>
  <c r="O12060" i="34"/>
  <c r="O12061" i="34"/>
  <c r="O12062" i="34"/>
  <c r="O12063" i="34"/>
  <c r="O12064" i="34"/>
  <c r="O12065" i="34"/>
  <c r="O12066" i="34"/>
  <c r="O12067" i="34"/>
  <c r="O12068" i="34"/>
  <c r="O12069" i="34"/>
  <c r="O12070" i="34"/>
  <c r="O12071" i="34"/>
  <c r="O12072" i="34"/>
  <c r="O12073" i="34"/>
  <c r="O12074" i="34"/>
  <c r="O12075" i="34"/>
  <c r="O12076" i="34"/>
  <c r="O12077" i="34"/>
  <c r="O12078" i="34"/>
  <c r="O12079" i="34"/>
  <c r="O12080" i="34"/>
  <c r="O12081" i="34"/>
  <c r="O12082" i="34"/>
  <c r="O12083" i="34"/>
  <c r="O12084" i="34"/>
  <c r="O12085" i="34"/>
  <c r="O12086" i="34"/>
  <c r="O12087" i="34"/>
  <c r="O12088" i="34"/>
  <c r="O12089" i="34"/>
  <c r="O12090" i="34"/>
  <c r="O12091" i="34"/>
  <c r="O12092" i="34"/>
  <c r="O12093" i="34"/>
  <c r="O12094" i="34"/>
  <c r="O12095" i="34"/>
  <c r="O12096" i="34"/>
  <c r="O12097" i="34"/>
  <c r="O12098" i="34"/>
  <c r="O12099" i="34"/>
  <c r="O12100" i="34"/>
  <c r="O12101" i="34"/>
  <c r="O12102" i="34"/>
  <c r="O12103" i="34"/>
  <c r="O12104" i="34"/>
  <c r="O12105" i="34"/>
  <c r="O12106" i="34"/>
  <c r="O12107" i="34"/>
  <c r="O12108" i="34"/>
  <c r="O12109" i="34"/>
  <c r="O12110" i="34"/>
  <c r="O12111" i="34"/>
  <c r="O12112" i="34"/>
  <c r="O12113" i="34"/>
  <c r="O12114" i="34"/>
  <c r="O12115" i="34"/>
  <c r="O12116" i="34"/>
  <c r="O12117" i="34"/>
  <c r="O12118" i="34"/>
  <c r="O12119" i="34"/>
  <c r="O12120" i="34"/>
  <c r="O12121" i="34"/>
  <c r="O12122" i="34"/>
  <c r="O12123" i="34"/>
  <c r="O12124" i="34"/>
  <c r="O12125" i="34"/>
  <c r="O12126" i="34"/>
  <c r="O12127" i="34"/>
  <c r="O12128" i="34"/>
  <c r="O12129" i="34"/>
  <c r="O12130" i="34"/>
  <c r="O12131" i="34"/>
  <c r="O12132" i="34"/>
  <c r="O12133" i="34"/>
  <c r="O12134" i="34"/>
  <c r="O12135" i="34"/>
  <c r="O12136" i="34"/>
  <c r="O12137" i="34"/>
  <c r="O12138" i="34"/>
  <c r="O12139" i="34"/>
  <c r="O12140" i="34"/>
  <c r="O12141" i="34"/>
  <c r="O12142" i="34"/>
  <c r="O12143" i="34"/>
  <c r="O12144" i="34"/>
  <c r="O12145" i="34"/>
  <c r="O12146" i="34"/>
  <c r="O12147" i="34"/>
  <c r="O12148" i="34"/>
  <c r="O12149" i="34"/>
  <c r="O12150" i="34"/>
  <c r="O12151" i="34"/>
  <c r="O12152" i="34"/>
  <c r="O12153" i="34"/>
  <c r="O12154" i="34"/>
  <c r="O12155" i="34"/>
  <c r="O12156" i="34"/>
  <c r="O12157" i="34"/>
  <c r="O12158" i="34"/>
  <c r="O12159" i="34"/>
  <c r="O12160" i="34"/>
  <c r="O12161" i="34"/>
  <c r="O12162" i="34"/>
  <c r="O12163" i="34"/>
  <c r="O12164" i="34"/>
  <c r="O12165" i="34"/>
  <c r="O12166" i="34"/>
  <c r="O12167" i="34"/>
  <c r="O12168" i="34"/>
  <c r="O12169" i="34"/>
  <c r="O12170" i="34"/>
  <c r="O12171" i="34"/>
  <c r="O12172" i="34"/>
  <c r="O12173" i="34"/>
  <c r="O12174" i="34"/>
  <c r="O12175" i="34"/>
  <c r="O12176" i="34"/>
  <c r="O12177" i="34"/>
  <c r="O12178" i="34"/>
  <c r="O12179" i="34"/>
  <c r="O12180" i="34"/>
  <c r="O12181" i="34"/>
  <c r="O12182" i="34"/>
  <c r="O12183" i="34"/>
  <c r="O12184" i="34"/>
  <c r="O12185" i="34"/>
  <c r="O12186" i="34"/>
  <c r="O12187" i="34"/>
  <c r="O12188" i="34"/>
  <c r="O12189" i="34"/>
  <c r="O12190" i="34"/>
  <c r="O12191" i="34"/>
  <c r="O12192" i="34"/>
  <c r="O12193" i="34"/>
  <c r="O12194" i="34"/>
  <c r="O12195" i="34"/>
  <c r="O12196" i="34"/>
  <c r="O12197" i="34"/>
  <c r="O12198" i="34"/>
  <c r="O12199" i="34"/>
  <c r="O12200" i="34"/>
  <c r="O12201" i="34"/>
  <c r="O12202" i="34"/>
  <c r="O12203" i="34"/>
  <c r="O12204" i="34"/>
  <c r="O12205" i="34"/>
  <c r="O12206" i="34"/>
  <c r="O12207" i="34"/>
  <c r="O12208" i="34"/>
  <c r="O12209" i="34"/>
  <c r="O12210" i="34"/>
  <c r="O12211" i="34"/>
  <c r="O12212" i="34"/>
  <c r="O12213" i="34"/>
  <c r="O12214" i="34"/>
  <c r="O12215" i="34"/>
  <c r="O12216" i="34"/>
  <c r="O12217" i="34"/>
  <c r="O12218" i="34"/>
  <c r="O12219" i="34"/>
  <c r="O12220" i="34"/>
  <c r="O12221" i="34"/>
  <c r="O12222" i="34"/>
  <c r="O12223" i="34"/>
  <c r="O12224" i="34"/>
  <c r="O12225" i="34"/>
  <c r="O12226" i="34"/>
  <c r="O12227" i="34"/>
  <c r="O12228" i="34"/>
  <c r="O12229" i="34"/>
  <c r="O12230" i="34"/>
  <c r="O12231" i="34"/>
  <c r="O12232" i="34"/>
  <c r="O12233" i="34"/>
  <c r="O12234" i="34"/>
  <c r="O12235" i="34"/>
  <c r="O12236" i="34"/>
  <c r="O12237" i="34"/>
  <c r="O12238" i="34"/>
  <c r="O12239" i="34"/>
  <c r="O12240" i="34"/>
  <c r="O12241" i="34"/>
  <c r="O12242" i="34"/>
  <c r="O12243" i="34"/>
  <c r="O12244" i="34"/>
  <c r="O12245" i="34"/>
  <c r="O12246" i="34"/>
  <c r="O12247" i="34"/>
  <c r="O12248" i="34"/>
  <c r="O12249" i="34"/>
  <c r="O12250" i="34"/>
  <c r="O12251" i="34"/>
  <c r="O12252" i="34"/>
  <c r="O12253" i="34"/>
  <c r="O12254" i="34"/>
  <c r="O12255" i="34"/>
  <c r="O12256" i="34"/>
  <c r="O12257" i="34"/>
  <c r="O12258" i="34"/>
  <c r="O12259" i="34"/>
  <c r="O12260" i="34"/>
  <c r="O12261" i="34"/>
  <c r="O12262" i="34"/>
  <c r="O12263" i="34"/>
  <c r="O12264" i="34"/>
  <c r="O12265" i="34"/>
  <c r="O12266" i="34"/>
  <c r="O12267" i="34"/>
  <c r="O12268" i="34"/>
  <c r="O12269" i="34"/>
  <c r="O12270" i="34"/>
  <c r="O12271" i="34"/>
  <c r="O12272" i="34"/>
  <c r="O12273" i="34"/>
  <c r="O12274" i="34"/>
  <c r="O12275" i="34"/>
  <c r="O12276" i="34"/>
  <c r="O12277" i="34"/>
  <c r="O12278" i="34"/>
  <c r="O12279" i="34"/>
  <c r="O12280" i="34"/>
  <c r="O12281" i="34"/>
  <c r="O12282" i="34"/>
  <c r="O12283" i="34"/>
  <c r="O12284" i="34"/>
  <c r="O12285" i="34"/>
  <c r="O12286" i="34"/>
  <c r="O12287" i="34"/>
  <c r="O12288" i="34"/>
  <c r="O12289" i="34"/>
  <c r="O12290" i="34"/>
  <c r="O12291" i="34"/>
  <c r="O12292" i="34"/>
  <c r="O12293" i="34"/>
  <c r="O12294" i="34"/>
  <c r="O12295" i="34"/>
  <c r="O12296" i="34"/>
  <c r="O12297" i="34"/>
  <c r="O12298" i="34"/>
  <c r="O12299" i="34"/>
  <c r="O12300" i="34"/>
  <c r="O12301" i="34"/>
  <c r="O12302" i="34"/>
  <c r="O12303" i="34"/>
  <c r="O12304" i="34"/>
  <c r="O12305" i="34"/>
  <c r="O12306" i="34"/>
  <c r="O12307" i="34"/>
  <c r="O12308" i="34"/>
  <c r="O12309" i="34"/>
  <c r="O12310" i="34"/>
  <c r="O12311" i="34"/>
  <c r="O12312" i="34"/>
  <c r="O12313" i="34"/>
  <c r="O12314" i="34"/>
  <c r="O12315" i="34"/>
  <c r="O12316" i="34"/>
  <c r="O12317" i="34"/>
  <c r="O12318" i="34"/>
  <c r="O12319" i="34"/>
  <c r="O12320" i="34"/>
  <c r="O12321" i="34"/>
  <c r="O12322" i="34"/>
  <c r="O12323" i="34"/>
  <c r="O12324" i="34"/>
  <c r="O12325" i="34"/>
  <c r="O12326" i="34"/>
  <c r="O12327" i="34"/>
  <c r="O12328" i="34"/>
  <c r="O12329" i="34"/>
  <c r="O12330" i="34"/>
  <c r="O12331" i="34"/>
  <c r="O12332" i="34"/>
  <c r="O12333" i="34"/>
  <c r="O12334" i="34"/>
  <c r="O12335" i="34"/>
  <c r="O12336" i="34"/>
  <c r="O12337" i="34"/>
  <c r="O12338" i="34"/>
  <c r="O12339" i="34"/>
  <c r="O12340" i="34"/>
  <c r="O12341" i="34"/>
  <c r="O12342" i="34"/>
  <c r="O12343" i="34"/>
  <c r="O12344" i="34"/>
  <c r="O12345" i="34"/>
  <c r="O12346" i="34"/>
  <c r="O12347" i="34"/>
  <c r="O12348" i="34"/>
  <c r="O12349" i="34"/>
  <c r="O12350" i="34"/>
  <c r="O12351" i="34"/>
  <c r="O12352" i="34"/>
  <c r="O12353" i="34"/>
  <c r="O12354" i="34"/>
  <c r="O12355" i="34"/>
  <c r="O12356" i="34"/>
  <c r="O12357" i="34"/>
  <c r="O12358" i="34"/>
  <c r="O12359" i="34"/>
  <c r="O12360" i="34"/>
  <c r="O12361" i="34"/>
  <c r="O12362" i="34"/>
  <c r="O12363" i="34"/>
  <c r="O12364" i="34"/>
  <c r="O12365" i="34"/>
  <c r="O12366" i="34"/>
  <c r="O12367" i="34"/>
  <c r="O12368" i="34"/>
  <c r="O12369" i="34"/>
  <c r="O12370" i="34"/>
  <c r="O12371" i="34"/>
  <c r="O12372" i="34"/>
  <c r="O12373" i="34"/>
  <c r="O12374" i="34"/>
  <c r="O12375" i="34"/>
  <c r="O12376" i="34"/>
  <c r="O12377" i="34"/>
  <c r="O12378" i="34"/>
  <c r="O12379" i="34"/>
  <c r="O12380" i="34"/>
  <c r="O12381" i="34"/>
  <c r="O12382" i="34"/>
  <c r="O12383" i="34"/>
  <c r="O12384" i="34"/>
  <c r="O12385" i="34"/>
  <c r="O12386" i="34"/>
  <c r="O12387" i="34"/>
  <c r="O12388" i="34"/>
  <c r="O12389" i="34"/>
  <c r="O12390" i="34"/>
  <c r="O12391" i="34"/>
  <c r="O12392" i="34"/>
  <c r="O12393" i="34"/>
  <c r="O12394" i="34"/>
  <c r="O12395" i="34"/>
  <c r="O12396" i="34"/>
  <c r="O12397" i="34"/>
  <c r="O12398" i="34"/>
  <c r="O12399" i="34"/>
  <c r="O12400" i="34"/>
  <c r="O12401" i="34"/>
  <c r="O12402" i="34"/>
  <c r="O12403" i="34"/>
  <c r="O12404" i="34"/>
  <c r="O12405" i="34"/>
  <c r="O12406" i="34"/>
  <c r="O12407" i="34"/>
  <c r="O12408" i="34"/>
  <c r="O12409" i="34"/>
  <c r="O12410" i="34"/>
  <c r="O12411" i="34"/>
  <c r="O12412" i="34"/>
  <c r="O12413" i="34"/>
  <c r="O12414" i="34"/>
  <c r="O12415" i="34"/>
  <c r="O12416" i="34"/>
  <c r="O12417" i="34"/>
  <c r="O12418" i="34"/>
  <c r="O12419" i="34"/>
  <c r="O12420" i="34"/>
  <c r="O12421" i="34"/>
  <c r="O12422" i="34"/>
  <c r="O12423" i="34"/>
  <c r="O12424" i="34"/>
  <c r="O12425" i="34"/>
  <c r="O12426" i="34"/>
  <c r="O12427" i="34"/>
  <c r="O12428" i="34"/>
  <c r="O12429" i="34"/>
  <c r="O12430" i="34"/>
  <c r="O12431" i="34"/>
  <c r="O12432" i="34"/>
  <c r="O12433" i="34"/>
  <c r="O12434" i="34"/>
  <c r="O12435" i="34"/>
  <c r="O12436" i="34"/>
  <c r="O12437" i="34"/>
  <c r="O12438" i="34"/>
  <c r="O12439" i="34"/>
  <c r="O12440" i="34"/>
  <c r="O12441" i="34"/>
  <c r="O12442" i="34"/>
  <c r="O12443" i="34"/>
  <c r="O12444" i="34"/>
  <c r="O12445" i="34"/>
  <c r="O12446" i="34"/>
  <c r="O12447" i="34"/>
  <c r="O12448" i="34"/>
  <c r="O12449" i="34"/>
  <c r="O12450" i="34"/>
  <c r="O12451" i="34"/>
  <c r="O12452" i="34"/>
  <c r="O12453" i="34"/>
  <c r="O12454" i="34"/>
  <c r="O12455" i="34"/>
  <c r="O12456" i="34"/>
  <c r="O12457" i="34"/>
  <c r="O12458" i="34"/>
  <c r="O12459" i="34"/>
  <c r="O12460" i="34"/>
  <c r="O12461" i="34"/>
  <c r="O12462" i="34"/>
  <c r="O12463" i="34"/>
  <c r="O12464" i="34"/>
  <c r="O12465" i="34"/>
  <c r="O12466" i="34"/>
  <c r="O12467" i="34"/>
  <c r="O12468" i="34"/>
  <c r="O12469" i="34"/>
  <c r="O12470" i="34"/>
  <c r="O12471" i="34"/>
  <c r="O12472" i="34"/>
  <c r="O12473" i="34"/>
  <c r="O12474" i="34"/>
  <c r="O12475" i="34"/>
  <c r="O12476" i="34"/>
  <c r="O12477" i="34"/>
  <c r="O12478" i="34"/>
  <c r="O12479" i="34"/>
  <c r="O12480" i="34"/>
  <c r="O12481" i="34"/>
  <c r="O12482" i="34"/>
  <c r="O12483" i="34"/>
  <c r="O12484" i="34"/>
  <c r="O12485" i="34"/>
  <c r="O12486" i="34"/>
  <c r="O12487" i="34"/>
  <c r="O12488" i="34"/>
  <c r="O12489" i="34"/>
  <c r="O12490" i="34"/>
  <c r="O12491" i="34"/>
  <c r="O12492" i="34"/>
  <c r="O12493" i="34"/>
  <c r="O12494" i="34"/>
  <c r="O12495" i="34"/>
  <c r="O12496" i="34"/>
  <c r="O12497" i="34"/>
  <c r="O12498" i="34"/>
  <c r="O12499" i="34"/>
  <c r="O12500" i="34"/>
  <c r="O12501" i="34"/>
  <c r="O12502" i="34"/>
  <c r="O12503" i="34"/>
  <c r="O12504" i="34"/>
  <c r="O12505" i="34"/>
  <c r="O12506" i="34"/>
  <c r="O12507" i="34"/>
  <c r="O12508" i="34"/>
  <c r="O12509" i="34"/>
  <c r="O12510" i="34"/>
  <c r="O12511" i="34"/>
  <c r="O12512" i="34"/>
  <c r="O12513" i="34"/>
  <c r="O12514" i="34"/>
  <c r="O12515" i="34"/>
  <c r="O12516" i="34"/>
  <c r="O12517" i="34"/>
  <c r="O12518" i="34"/>
  <c r="O12519" i="34"/>
  <c r="O12520" i="34"/>
  <c r="O12521" i="34"/>
  <c r="O12522" i="34"/>
  <c r="O12523" i="34"/>
  <c r="O12524" i="34"/>
  <c r="O12525" i="34"/>
  <c r="O12526" i="34"/>
  <c r="O12527" i="34"/>
  <c r="O12528" i="34"/>
  <c r="O12529" i="34"/>
  <c r="O12530" i="34"/>
  <c r="O12531" i="34"/>
  <c r="O12532" i="34"/>
  <c r="O12533" i="34"/>
  <c r="O12534" i="34"/>
  <c r="O12535" i="34"/>
  <c r="O12536" i="34"/>
  <c r="O12537" i="34"/>
  <c r="O12538" i="34"/>
  <c r="O12539" i="34"/>
  <c r="O12540" i="34"/>
  <c r="O12541" i="34"/>
  <c r="O12542" i="34"/>
  <c r="O12543" i="34"/>
  <c r="O12544" i="34"/>
  <c r="O12545" i="34"/>
  <c r="O12546" i="34"/>
  <c r="O12547" i="34"/>
  <c r="O12548" i="34"/>
  <c r="O12549" i="34"/>
  <c r="O12550" i="34"/>
  <c r="O12551" i="34"/>
  <c r="O12552" i="34"/>
  <c r="O12553" i="34"/>
  <c r="O12554" i="34"/>
  <c r="O12555" i="34"/>
  <c r="O12556" i="34"/>
  <c r="O12557" i="34"/>
  <c r="O12558" i="34"/>
  <c r="O12559" i="34"/>
  <c r="O12560" i="34"/>
  <c r="O12561" i="34"/>
  <c r="O12562" i="34"/>
  <c r="O12563" i="34"/>
  <c r="O12564" i="34"/>
  <c r="O12565" i="34"/>
  <c r="O12566" i="34"/>
  <c r="O12567" i="34"/>
  <c r="O12568" i="34"/>
  <c r="O12569" i="34"/>
  <c r="O12570" i="34"/>
  <c r="O12571" i="34"/>
  <c r="O12572" i="34"/>
  <c r="O12573" i="34"/>
  <c r="O12574" i="34"/>
  <c r="O12575" i="34"/>
  <c r="O12576" i="34"/>
  <c r="O12577" i="34"/>
  <c r="O12578" i="34"/>
  <c r="O12579" i="34"/>
  <c r="O12580" i="34"/>
  <c r="O12581" i="34"/>
  <c r="O12582" i="34"/>
  <c r="O12583" i="34"/>
  <c r="O12584" i="34"/>
  <c r="O12585" i="34"/>
  <c r="O12586" i="34"/>
  <c r="O12587" i="34"/>
  <c r="O12588" i="34"/>
  <c r="O12589" i="34"/>
  <c r="O12590" i="34"/>
  <c r="O12591" i="34"/>
  <c r="O12592" i="34"/>
  <c r="O12593" i="34"/>
  <c r="O12594" i="34"/>
  <c r="O12595" i="34"/>
  <c r="O12596" i="34"/>
  <c r="O12597" i="34"/>
  <c r="O12598" i="34"/>
  <c r="O12599" i="34"/>
  <c r="O12600" i="34"/>
  <c r="O12601" i="34"/>
  <c r="O12602" i="34"/>
  <c r="O12603" i="34"/>
  <c r="O12604" i="34"/>
  <c r="O12605" i="34"/>
  <c r="O12606" i="34"/>
  <c r="O12607" i="34"/>
  <c r="O12608" i="34"/>
  <c r="O12609" i="34"/>
  <c r="O12610" i="34"/>
  <c r="O12611" i="34"/>
  <c r="O12612" i="34"/>
  <c r="O12613" i="34"/>
  <c r="O12614" i="34"/>
  <c r="O12615" i="34"/>
  <c r="O12616" i="34"/>
  <c r="O12617" i="34"/>
  <c r="O12618" i="34"/>
  <c r="O12619" i="34"/>
  <c r="O12620" i="34"/>
  <c r="O12621" i="34"/>
  <c r="O12622" i="34"/>
  <c r="O12623" i="34"/>
  <c r="O12624" i="34"/>
  <c r="O12625" i="34"/>
  <c r="O12626" i="34"/>
  <c r="O12627" i="34"/>
  <c r="O12628" i="34"/>
  <c r="O12629" i="34"/>
  <c r="O12630" i="34"/>
  <c r="O12631" i="34"/>
  <c r="O12632" i="34"/>
  <c r="O12633" i="34"/>
  <c r="O12634" i="34"/>
  <c r="O12635" i="34"/>
  <c r="O12636" i="34"/>
  <c r="O12637" i="34"/>
  <c r="O12638" i="34"/>
  <c r="O12639" i="34"/>
  <c r="O12640" i="34"/>
  <c r="O12641" i="34"/>
  <c r="O12642" i="34"/>
  <c r="O12643" i="34"/>
  <c r="O12644" i="34"/>
  <c r="O12645" i="34"/>
  <c r="O12646" i="34"/>
  <c r="O12647" i="34"/>
  <c r="O12648" i="34"/>
  <c r="O12649" i="34"/>
  <c r="O12650" i="34"/>
  <c r="O12651" i="34"/>
  <c r="O12652" i="34"/>
  <c r="O12653" i="34"/>
  <c r="O12654" i="34"/>
  <c r="O12655" i="34"/>
  <c r="O12656" i="34"/>
  <c r="O12657" i="34"/>
  <c r="O12658" i="34"/>
  <c r="O12659" i="34"/>
  <c r="O12660" i="34"/>
  <c r="O12661" i="34"/>
  <c r="O12662" i="34"/>
  <c r="O12663" i="34"/>
  <c r="O12664" i="34"/>
  <c r="O12665" i="34"/>
  <c r="O12666" i="34"/>
  <c r="O12667" i="34"/>
  <c r="O12668" i="34"/>
  <c r="O12669" i="34"/>
  <c r="O12670" i="34"/>
  <c r="O12671" i="34"/>
  <c r="O12672" i="34"/>
  <c r="O12673" i="34"/>
  <c r="O12674" i="34"/>
  <c r="O12675" i="34"/>
  <c r="O12676" i="34"/>
  <c r="O12677" i="34"/>
  <c r="O12678" i="34"/>
  <c r="O12679" i="34"/>
  <c r="O12680" i="34"/>
  <c r="O12681" i="34"/>
  <c r="O12682" i="34"/>
  <c r="O12683" i="34"/>
  <c r="O12684" i="34"/>
  <c r="O12685" i="34"/>
  <c r="O12686" i="34"/>
  <c r="O12687" i="34"/>
  <c r="O12688" i="34"/>
  <c r="O12689" i="34"/>
  <c r="O12690" i="34"/>
  <c r="O12691" i="34"/>
  <c r="O12692" i="34"/>
  <c r="O12693" i="34"/>
  <c r="O12694" i="34"/>
  <c r="O12695" i="34"/>
  <c r="O12696" i="34"/>
  <c r="O12697" i="34"/>
  <c r="O12698" i="34"/>
  <c r="O12699" i="34"/>
  <c r="O12700" i="34"/>
  <c r="O12701" i="34"/>
  <c r="O12702" i="34"/>
  <c r="O12703" i="34"/>
  <c r="O12704" i="34"/>
  <c r="O12705" i="34"/>
  <c r="O12706" i="34"/>
  <c r="O12707" i="34"/>
  <c r="O12708" i="34"/>
  <c r="O12709" i="34"/>
  <c r="O12710" i="34"/>
  <c r="O12711" i="34"/>
  <c r="O12712" i="34"/>
  <c r="O12713" i="34"/>
  <c r="O12714" i="34"/>
  <c r="O12715" i="34"/>
  <c r="O12716" i="34"/>
  <c r="O12717" i="34"/>
  <c r="O12718" i="34"/>
  <c r="O12719" i="34"/>
  <c r="O12720" i="34"/>
  <c r="O12721" i="34"/>
  <c r="O12722" i="34"/>
  <c r="O12723" i="34"/>
  <c r="O12724" i="34"/>
  <c r="O12725" i="34"/>
  <c r="O12726" i="34"/>
  <c r="O12727" i="34"/>
  <c r="O12728" i="34"/>
  <c r="O12729" i="34"/>
  <c r="O12730" i="34"/>
  <c r="O12731" i="34"/>
  <c r="O12732" i="34"/>
  <c r="O12733" i="34"/>
  <c r="O12734" i="34"/>
  <c r="O12735" i="34"/>
  <c r="O12736" i="34"/>
  <c r="O12737" i="34"/>
  <c r="O12738" i="34"/>
  <c r="O12739" i="34"/>
  <c r="O12740" i="34"/>
  <c r="O12741" i="34"/>
  <c r="O12742" i="34"/>
  <c r="O12743" i="34"/>
  <c r="O12744" i="34"/>
  <c r="O12745" i="34"/>
  <c r="O12746" i="34"/>
  <c r="O12747" i="34"/>
  <c r="O12748" i="34"/>
  <c r="O12749" i="34"/>
  <c r="O12750" i="34"/>
  <c r="O12751" i="34"/>
  <c r="O12752" i="34"/>
  <c r="O12753" i="34"/>
  <c r="O12754" i="34"/>
  <c r="O12755" i="34"/>
  <c r="O12756" i="34"/>
  <c r="O12757" i="34"/>
  <c r="O12758" i="34"/>
  <c r="O12759" i="34"/>
  <c r="O12760" i="34"/>
  <c r="O12761" i="34"/>
  <c r="O12762" i="34"/>
  <c r="O12763" i="34"/>
  <c r="O12764" i="34"/>
  <c r="O12765" i="34"/>
  <c r="O12766" i="34"/>
  <c r="O12767" i="34"/>
  <c r="O12768" i="34"/>
  <c r="O12769" i="34"/>
  <c r="O12770" i="34"/>
  <c r="O12771" i="34"/>
  <c r="O12772" i="34"/>
  <c r="O12773" i="34"/>
  <c r="O12774" i="34"/>
  <c r="O12775" i="34"/>
  <c r="O12776" i="34"/>
  <c r="O12777" i="34"/>
  <c r="O12778" i="34"/>
  <c r="O12779" i="34"/>
  <c r="O12780" i="34"/>
  <c r="O12781" i="34"/>
  <c r="O12782" i="34"/>
  <c r="O12783" i="34"/>
  <c r="O12784" i="34"/>
  <c r="O12785" i="34"/>
  <c r="O12786" i="34"/>
  <c r="O12787" i="34"/>
  <c r="O12788" i="34"/>
  <c r="O12789" i="34"/>
  <c r="O12790" i="34"/>
  <c r="O12791" i="34"/>
  <c r="O12792" i="34"/>
  <c r="O12793" i="34"/>
  <c r="O12794" i="34"/>
  <c r="O12795" i="34"/>
  <c r="O12796" i="34"/>
  <c r="O12797" i="34"/>
  <c r="O12798" i="34"/>
  <c r="O12799" i="34"/>
  <c r="O12800" i="34"/>
  <c r="O12801" i="34"/>
  <c r="O12802" i="34"/>
  <c r="O12803" i="34"/>
  <c r="O12804" i="34"/>
  <c r="O12805" i="34"/>
  <c r="O12806" i="34"/>
  <c r="O12807" i="34"/>
  <c r="O12808" i="34"/>
  <c r="O12809" i="34"/>
  <c r="O12810" i="34"/>
  <c r="O12811" i="34"/>
  <c r="O12812" i="34"/>
  <c r="O12813" i="34"/>
  <c r="O12814" i="34"/>
  <c r="O12815" i="34"/>
  <c r="O12816" i="34"/>
  <c r="O12817" i="34"/>
  <c r="O12818" i="34"/>
  <c r="O12819" i="34"/>
  <c r="O12820" i="34"/>
  <c r="O12821" i="34"/>
  <c r="O12822" i="34"/>
  <c r="O12823" i="34"/>
  <c r="O12824" i="34"/>
  <c r="O12825" i="34"/>
  <c r="O12826" i="34"/>
  <c r="O12827" i="34"/>
  <c r="O12828" i="34"/>
  <c r="O12829" i="34"/>
  <c r="O12830" i="34"/>
  <c r="O12831" i="34"/>
  <c r="O12832" i="34"/>
  <c r="O12833" i="34"/>
  <c r="O12834" i="34"/>
  <c r="O12835" i="34"/>
  <c r="O12836" i="34"/>
  <c r="O12837" i="34"/>
  <c r="O12838" i="34"/>
  <c r="O12839" i="34"/>
  <c r="O12840" i="34"/>
  <c r="O12841" i="34"/>
  <c r="O12842" i="34"/>
  <c r="O12843" i="34"/>
  <c r="O12844" i="34"/>
  <c r="O12845" i="34"/>
  <c r="O12846" i="34"/>
  <c r="O12847" i="34"/>
  <c r="O12848" i="34"/>
  <c r="O12849" i="34"/>
  <c r="O12850" i="34"/>
  <c r="O12851" i="34"/>
  <c r="O12852" i="34"/>
  <c r="O12853" i="34"/>
  <c r="O12854" i="34"/>
  <c r="O12855" i="34"/>
  <c r="O12856" i="34"/>
  <c r="O12857" i="34"/>
  <c r="O12858" i="34"/>
  <c r="O12859" i="34"/>
  <c r="O12860" i="34"/>
  <c r="O12861" i="34"/>
  <c r="O12862" i="34"/>
  <c r="O12863" i="34"/>
  <c r="O12864" i="34"/>
  <c r="O12865" i="34"/>
  <c r="O12866" i="34"/>
  <c r="O12867" i="34"/>
  <c r="O12868" i="34"/>
  <c r="O12869" i="34"/>
  <c r="O12870" i="34"/>
  <c r="O12871" i="34"/>
  <c r="O12872" i="34"/>
  <c r="O12873" i="34"/>
  <c r="O12874" i="34"/>
  <c r="O12875" i="34"/>
  <c r="O12876" i="34"/>
  <c r="O12877" i="34"/>
  <c r="O12878" i="34"/>
  <c r="O12879" i="34"/>
  <c r="O12880" i="34"/>
  <c r="O12881" i="34"/>
  <c r="O12882" i="34"/>
  <c r="O12883" i="34"/>
  <c r="O12884" i="34"/>
  <c r="O12885" i="34"/>
  <c r="O12886" i="34"/>
  <c r="O12887" i="34"/>
  <c r="O12888" i="34"/>
  <c r="O12889" i="34"/>
  <c r="O12890" i="34"/>
  <c r="O12891" i="34"/>
  <c r="O12892" i="34"/>
  <c r="O12893" i="34"/>
  <c r="O12894" i="34"/>
  <c r="O12895" i="34"/>
  <c r="O12896" i="34"/>
  <c r="O12897" i="34"/>
  <c r="O12898" i="34"/>
  <c r="O12899" i="34"/>
  <c r="O12900" i="34"/>
  <c r="O12901" i="34"/>
  <c r="O12902" i="34"/>
  <c r="O12903" i="34"/>
  <c r="O12904" i="34"/>
  <c r="O12905" i="34"/>
  <c r="O12906" i="34"/>
  <c r="O12907" i="34"/>
  <c r="O12908" i="34"/>
  <c r="O12909" i="34"/>
  <c r="O12910" i="34"/>
  <c r="O12911" i="34"/>
  <c r="O12912" i="34"/>
  <c r="O12913" i="34"/>
  <c r="O12914" i="34"/>
  <c r="O12915" i="34"/>
  <c r="O12916" i="34"/>
  <c r="O12917" i="34"/>
  <c r="O12918" i="34"/>
  <c r="O12919" i="34"/>
  <c r="O12920" i="34"/>
  <c r="O12921" i="34"/>
  <c r="O12922" i="34"/>
  <c r="O12923" i="34"/>
  <c r="O12924" i="34"/>
  <c r="O12925" i="34"/>
  <c r="O12926" i="34"/>
  <c r="O12927" i="34"/>
  <c r="O12928" i="34"/>
  <c r="O12929" i="34"/>
  <c r="O12930" i="34"/>
  <c r="O12931" i="34"/>
  <c r="O12932" i="34"/>
  <c r="O12933" i="34"/>
  <c r="O12934" i="34"/>
  <c r="O12935" i="34"/>
  <c r="O12936" i="34"/>
  <c r="O12937" i="34"/>
  <c r="O12938" i="34"/>
  <c r="O12939" i="34"/>
  <c r="O12940" i="34"/>
  <c r="O12941" i="34"/>
  <c r="O12942" i="34"/>
  <c r="O12943" i="34"/>
  <c r="O12944" i="34"/>
  <c r="O12945" i="34"/>
  <c r="O12946" i="34"/>
  <c r="O12947" i="34"/>
  <c r="O12948" i="34"/>
  <c r="O12949" i="34"/>
  <c r="O12950" i="34"/>
  <c r="O12951" i="34"/>
  <c r="O12952" i="34"/>
  <c r="O12953" i="34"/>
  <c r="O12954" i="34"/>
  <c r="O12955" i="34"/>
  <c r="O12956" i="34"/>
  <c r="O12957" i="34"/>
  <c r="O12958" i="34"/>
  <c r="O12959" i="34"/>
  <c r="O12960" i="34"/>
  <c r="O12961" i="34"/>
  <c r="O12962" i="34"/>
  <c r="O12963" i="34"/>
  <c r="O12964" i="34"/>
  <c r="O12965" i="34"/>
  <c r="O12966" i="34"/>
  <c r="O12967" i="34"/>
  <c r="O12968" i="34"/>
  <c r="O12969" i="34"/>
  <c r="O12970" i="34"/>
  <c r="O12971" i="34"/>
  <c r="O12972" i="34"/>
  <c r="O12973" i="34"/>
  <c r="O12974" i="34"/>
  <c r="O12975" i="34"/>
  <c r="O12976" i="34"/>
  <c r="O12977" i="34"/>
  <c r="O12978" i="34"/>
  <c r="O12979" i="34"/>
  <c r="O12980" i="34"/>
  <c r="O12981" i="34"/>
  <c r="O12982" i="34"/>
  <c r="O12983" i="34"/>
  <c r="O12984" i="34"/>
  <c r="O12985" i="34"/>
  <c r="O12986" i="34"/>
  <c r="O12987" i="34"/>
  <c r="O12988" i="34"/>
  <c r="O12989" i="34"/>
  <c r="O12990" i="34"/>
  <c r="O12991" i="34"/>
  <c r="O12992" i="34"/>
  <c r="O12993" i="34"/>
  <c r="O12994" i="34"/>
  <c r="O12995" i="34"/>
  <c r="O12996" i="34"/>
  <c r="O12997" i="34"/>
  <c r="O12998" i="34"/>
  <c r="O12999" i="34"/>
  <c r="O13000" i="34"/>
  <c r="O13001" i="34"/>
  <c r="O13002" i="34"/>
  <c r="O13003" i="34"/>
  <c r="O13004" i="34"/>
  <c r="O13005" i="34"/>
  <c r="O13006" i="34"/>
  <c r="O13007" i="34"/>
  <c r="O13008" i="34"/>
  <c r="O13009" i="34"/>
  <c r="O13010" i="34"/>
  <c r="O13011" i="34"/>
  <c r="O13012" i="34"/>
  <c r="O13013" i="34"/>
  <c r="O13014" i="34"/>
  <c r="O13015" i="34"/>
  <c r="O13016" i="34"/>
  <c r="O13017" i="34"/>
  <c r="O13018" i="34"/>
  <c r="O13019" i="34"/>
  <c r="O13020" i="34"/>
  <c r="O13021" i="34"/>
  <c r="O13022" i="34"/>
  <c r="O13023" i="34"/>
  <c r="O13024" i="34"/>
  <c r="O13025" i="34"/>
  <c r="O13026" i="34"/>
  <c r="O13027" i="34"/>
  <c r="O13028" i="34"/>
  <c r="O13029" i="34"/>
  <c r="O13030" i="34"/>
  <c r="O13031" i="34"/>
  <c r="O13032" i="34"/>
  <c r="O13033" i="34"/>
  <c r="O13034" i="34"/>
  <c r="O13035" i="34"/>
  <c r="O13036" i="34"/>
  <c r="O13037" i="34"/>
  <c r="O13038" i="34"/>
  <c r="O13039" i="34"/>
  <c r="O13040" i="34"/>
  <c r="O13041" i="34"/>
  <c r="O13042" i="34"/>
  <c r="O13043" i="34"/>
  <c r="O13044" i="34"/>
  <c r="O13045" i="34"/>
  <c r="O13046" i="34"/>
  <c r="O13047" i="34"/>
  <c r="O13048" i="34"/>
  <c r="O13049" i="34"/>
  <c r="O13050" i="34"/>
  <c r="O13051" i="34"/>
  <c r="O13052" i="34"/>
  <c r="O13053" i="34"/>
  <c r="O13054" i="34"/>
  <c r="O13055" i="34"/>
  <c r="O13056" i="34"/>
  <c r="O13057" i="34"/>
  <c r="O13058" i="34"/>
  <c r="O13059" i="34"/>
  <c r="O13060" i="34"/>
  <c r="O13061" i="34"/>
  <c r="O13062" i="34"/>
  <c r="O13063" i="34"/>
  <c r="O13064" i="34"/>
  <c r="O13065" i="34"/>
  <c r="O13066" i="34"/>
  <c r="O13067" i="34"/>
  <c r="O13068" i="34"/>
  <c r="O13069" i="34"/>
  <c r="O13070" i="34"/>
  <c r="O13071" i="34"/>
  <c r="O13072" i="34"/>
  <c r="O13073" i="34"/>
  <c r="O13074" i="34"/>
  <c r="O13075" i="34"/>
  <c r="O13076" i="34"/>
  <c r="O13077" i="34"/>
  <c r="O13078" i="34"/>
  <c r="O13079" i="34"/>
  <c r="O13080" i="34"/>
  <c r="O13081" i="34"/>
  <c r="O13082" i="34"/>
  <c r="O13083" i="34"/>
  <c r="O13084" i="34"/>
  <c r="O13085" i="34"/>
  <c r="O13086" i="34"/>
  <c r="O13087" i="34"/>
  <c r="O13088" i="34"/>
  <c r="O13089" i="34"/>
  <c r="O13090" i="34"/>
  <c r="O13091" i="34"/>
  <c r="O13092" i="34"/>
  <c r="O13093" i="34"/>
  <c r="O13094" i="34"/>
  <c r="O13095" i="34"/>
  <c r="O13096" i="34"/>
  <c r="O13097" i="34"/>
  <c r="O13098" i="34"/>
  <c r="O13099" i="34"/>
  <c r="O13100" i="34"/>
  <c r="O13101" i="34"/>
  <c r="O13102" i="34"/>
  <c r="O13103" i="34"/>
  <c r="O13104" i="34"/>
  <c r="O13105" i="34"/>
  <c r="O13106" i="34"/>
  <c r="O13107" i="34"/>
  <c r="O13108" i="34"/>
  <c r="O13109" i="34"/>
  <c r="O13110" i="34"/>
  <c r="O13111" i="34"/>
  <c r="O13112" i="34"/>
  <c r="O13113" i="34"/>
  <c r="O13114" i="34"/>
  <c r="O13115" i="34"/>
  <c r="O13116" i="34"/>
  <c r="O13117" i="34"/>
  <c r="O13118" i="34"/>
  <c r="O13119" i="34"/>
  <c r="O13120" i="34"/>
  <c r="O13121" i="34"/>
  <c r="O13122" i="34"/>
  <c r="O13123" i="34"/>
  <c r="O13124" i="34"/>
  <c r="O13125" i="34"/>
  <c r="O13126" i="34"/>
  <c r="O13127" i="34"/>
  <c r="O13128" i="34"/>
  <c r="O13129" i="34"/>
  <c r="O13130" i="34"/>
  <c r="O13131" i="34"/>
  <c r="O13132" i="34"/>
  <c r="O13133" i="34"/>
  <c r="O13134" i="34"/>
  <c r="O13135" i="34"/>
  <c r="O13136" i="34"/>
  <c r="O13137" i="34"/>
  <c r="O13138" i="34"/>
  <c r="O13139" i="34"/>
  <c r="O13140" i="34"/>
  <c r="O13141" i="34"/>
  <c r="O13142" i="34"/>
  <c r="O13143" i="34"/>
  <c r="O13144" i="34"/>
  <c r="O13145" i="34"/>
  <c r="O13146" i="34"/>
  <c r="O13147" i="34"/>
  <c r="O13148" i="34"/>
  <c r="O13149" i="34"/>
  <c r="O13150" i="34"/>
  <c r="O13151" i="34"/>
  <c r="O13152" i="34"/>
  <c r="O13153" i="34"/>
  <c r="O13154" i="34"/>
  <c r="O13155" i="34"/>
  <c r="O13156" i="34"/>
  <c r="O13157" i="34"/>
  <c r="O13158" i="34"/>
  <c r="O13159" i="34"/>
  <c r="O13160" i="34"/>
  <c r="O13161" i="34"/>
  <c r="O13162" i="34"/>
  <c r="O13163" i="34"/>
  <c r="O13164" i="34"/>
  <c r="O13165" i="34"/>
  <c r="O13166" i="34"/>
  <c r="O13167" i="34"/>
  <c r="O13168" i="34"/>
  <c r="O13169" i="34"/>
  <c r="O13170" i="34"/>
  <c r="O13171" i="34"/>
  <c r="O13172" i="34"/>
  <c r="O13173" i="34"/>
  <c r="O13174" i="34"/>
  <c r="O13175" i="34"/>
  <c r="O13176" i="34"/>
  <c r="O13177" i="34"/>
  <c r="O13178" i="34"/>
  <c r="O13179" i="34"/>
  <c r="O13180" i="34"/>
  <c r="O13181" i="34"/>
  <c r="O13182" i="34"/>
  <c r="O13183" i="34"/>
  <c r="O13184" i="34"/>
  <c r="O13185" i="34"/>
  <c r="O13186" i="34"/>
  <c r="O13187" i="34"/>
  <c r="O13188" i="34"/>
  <c r="O13189" i="34"/>
  <c r="O13190" i="34"/>
  <c r="O13191" i="34"/>
  <c r="O13192" i="34"/>
  <c r="O13193" i="34"/>
  <c r="O13194" i="34"/>
  <c r="O13195" i="34"/>
  <c r="O13196" i="34"/>
  <c r="O13197" i="34"/>
  <c r="O13198" i="34"/>
  <c r="O13199" i="34"/>
  <c r="O13200" i="34"/>
  <c r="O13201" i="34"/>
  <c r="O13202" i="34"/>
  <c r="O13203" i="34"/>
  <c r="O13204" i="34"/>
  <c r="O13205" i="34"/>
  <c r="O13206" i="34"/>
  <c r="O13207" i="34"/>
  <c r="O13208" i="34"/>
  <c r="O13209" i="34"/>
  <c r="O13210" i="34"/>
  <c r="O13211" i="34"/>
  <c r="O13212" i="34"/>
  <c r="O13213" i="34"/>
  <c r="O13214" i="34"/>
  <c r="O13215" i="34"/>
  <c r="O13216" i="34"/>
  <c r="O13217" i="34"/>
  <c r="O13218" i="34"/>
  <c r="O13219" i="34"/>
  <c r="O13220" i="34"/>
  <c r="O13221" i="34"/>
  <c r="O13222" i="34"/>
  <c r="O13223" i="34"/>
  <c r="O13224" i="34"/>
  <c r="O13225" i="34"/>
  <c r="O13226" i="34"/>
  <c r="O13227" i="34"/>
  <c r="O13228" i="34"/>
  <c r="O13229" i="34"/>
  <c r="O13230" i="34"/>
  <c r="O13231" i="34"/>
  <c r="O13232" i="34"/>
  <c r="O13233" i="34"/>
  <c r="O13234" i="34"/>
  <c r="O13235" i="34"/>
  <c r="O13236" i="34"/>
  <c r="O13237" i="34"/>
  <c r="O13238" i="34"/>
  <c r="O13239" i="34"/>
  <c r="O13240" i="34"/>
  <c r="O13241" i="34"/>
  <c r="O13242" i="34"/>
  <c r="O13243" i="34"/>
  <c r="O13244" i="34"/>
  <c r="O13245" i="34"/>
  <c r="O13246" i="34"/>
  <c r="O13247" i="34"/>
  <c r="O13248" i="34"/>
  <c r="O13249" i="34"/>
  <c r="O13250" i="34"/>
  <c r="O13251" i="34"/>
  <c r="O13252" i="34"/>
  <c r="O13253" i="34"/>
  <c r="O13254" i="34"/>
  <c r="O13255" i="34"/>
  <c r="O13256" i="34"/>
  <c r="O13257" i="34"/>
  <c r="O13258" i="34"/>
  <c r="O13259" i="34"/>
  <c r="O13260" i="34"/>
  <c r="O13261" i="34"/>
  <c r="O13262" i="34"/>
  <c r="O13263" i="34"/>
  <c r="O13264" i="34"/>
  <c r="O13265" i="34"/>
  <c r="O13266" i="34"/>
  <c r="O13267" i="34"/>
  <c r="O13268" i="34"/>
  <c r="O13269" i="34"/>
  <c r="O13270" i="34"/>
  <c r="O13271" i="34"/>
  <c r="O13272" i="34"/>
  <c r="O13273" i="34"/>
  <c r="O13274" i="34"/>
  <c r="O13275" i="34"/>
  <c r="O13276" i="34"/>
  <c r="O13277" i="34"/>
  <c r="O13278" i="34"/>
  <c r="O13279" i="34"/>
  <c r="O13280" i="34"/>
  <c r="O13281" i="34"/>
  <c r="O13282" i="34"/>
  <c r="O13283" i="34"/>
  <c r="O13284" i="34"/>
  <c r="O13285" i="34"/>
  <c r="O13286" i="34"/>
  <c r="O13287" i="34"/>
  <c r="O13288" i="34"/>
  <c r="O13289" i="34"/>
  <c r="O13290" i="34"/>
  <c r="O13291" i="34"/>
  <c r="O13292" i="34"/>
  <c r="O13293" i="34"/>
  <c r="O13294" i="34"/>
  <c r="O13295" i="34"/>
  <c r="O13296" i="34"/>
  <c r="O13297" i="34"/>
  <c r="O13298" i="34"/>
  <c r="O13299" i="34"/>
  <c r="O13300" i="34"/>
  <c r="O13301" i="34"/>
  <c r="O13302" i="34"/>
  <c r="O13303" i="34"/>
  <c r="O13304" i="34"/>
  <c r="O13305" i="34"/>
  <c r="O13306" i="34"/>
  <c r="O13307" i="34"/>
  <c r="O13308" i="34"/>
  <c r="O13309" i="34"/>
  <c r="O13310" i="34"/>
  <c r="O13311" i="34"/>
  <c r="O13312" i="34"/>
  <c r="O13313" i="34"/>
  <c r="O13314" i="34"/>
  <c r="O13315" i="34"/>
  <c r="O13316" i="34"/>
  <c r="O13317" i="34"/>
  <c r="O13318" i="34"/>
  <c r="O13319" i="34"/>
  <c r="O13320" i="34"/>
  <c r="O13321" i="34"/>
  <c r="O13322" i="34"/>
  <c r="O13323" i="34"/>
  <c r="O13324" i="34"/>
  <c r="O13325" i="34"/>
  <c r="O13326" i="34"/>
  <c r="O13327" i="34"/>
  <c r="O13328" i="34"/>
  <c r="O13329" i="34"/>
  <c r="O13330" i="34"/>
  <c r="O13331" i="34"/>
  <c r="O13332" i="34"/>
  <c r="O13333" i="34"/>
  <c r="O13334" i="34"/>
  <c r="O13335" i="34"/>
  <c r="O13336" i="34"/>
  <c r="O13337" i="34"/>
  <c r="O13338" i="34"/>
  <c r="O13339" i="34"/>
  <c r="O13340" i="34"/>
  <c r="O13341" i="34"/>
  <c r="O13342" i="34"/>
  <c r="O13343" i="34"/>
  <c r="O13344" i="34"/>
  <c r="O13345" i="34"/>
  <c r="O13346" i="34"/>
  <c r="O13347" i="34"/>
  <c r="O13348" i="34"/>
  <c r="O13349" i="34"/>
  <c r="O13350" i="34"/>
  <c r="O13351" i="34"/>
  <c r="O13352" i="34"/>
  <c r="O13353" i="34"/>
  <c r="O13354" i="34"/>
  <c r="O13355" i="34"/>
  <c r="O13356" i="34"/>
  <c r="O13357" i="34"/>
  <c r="O13358" i="34"/>
  <c r="O13359" i="34"/>
  <c r="O13360" i="34"/>
  <c r="O13361" i="34"/>
  <c r="O13362" i="34"/>
  <c r="O13363" i="34"/>
  <c r="O13364" i="34"/>
  <c r="O13365" i="34"/>
  <c r="O13366" i="34"/>
  <c r="O13367" i="34"/>
  <c r="O13368" i="34"/>
  <c r="O13369" i="34"/>
  <c r="O13370" i="34"/>
  <c r="O13371" i="34"/>
  <c r="O13372" i="34"/>
  <c r="O13373" i="34"/>
  <c r="O13374" i="34"/>
  <c r="O13375" i="34"/>
  <c r="O13376" i="34"/>
  <c r="O13377" i="34"/>
  <c r="O13378" i="34"/>
  <c r="O13379" i="34"/>
  <c r="O13380" i="34"/>
  <c r="O13381" i="34"/>
  <c r="O13382" i="34"/>
  <c r="O13383" i="34"/>
  <c r="O13384" i="34"/>
  <c r="O13385" i="34"/>
  <c r="O13386" i="34"/>
  <c r="O13387" i="34"/>
  <c r="O13388" i="34"/>
  <c r="O13389" i="34"/>
  <c r="O13390" i="34"/>
  <c r="O13391" i="34"/>
  <c r="O13392" i="34"/>
  <c r="O13393" i="34"/>
  <c r="O13394" i="34"/>
  <c r="O13395" i="34"/>
  <c r="O13396" i="34"/>
  <c r="O13397" i="34"/>
  <c r="O13398" i="34"/>
  <c r="O13399" i="34"/>
  <c r="O13400" i="34"/>
  <c r="O13401" i="34"/>
  <c r="O13402" i="34"/>
  <c r="O13403" i="34"/>
  <c r="O13404" i="34"/>
  <c r="O13405" i="34"/>
  <c r="O13406" i="34"/>
  <c r="O13407" i="34"/>
  <c r="O13408" i="34"/>
  <c r="O13409" i="34"/>
  <c r="O13410" i="34"/>
  <c r="O13411" i="34"/>
  <c r="O13412" i="34"/>
  <c r="O13413" i="34"/>
  <c r="O13414" i="34"/>
  <c r="O13415" i="34"/>
  <c r="O13416" i="34"/>
  <c r="O13417" i="34"/>
  <c r="O13418" i="34"/>
  <c r="O13419" i="34"/>
  <c r="O13420" i="34"/>
  <c r="O13421" i="34"/>
  <c r="O13422" i="34"/>
  <c r="O13423" i="34"/>
  <c r="O13424" i="34"/>
  <c r="O13425" i="34"/>
  <c r="O13426" i="34"/>
  <c r="O13427" i="34"/>
  <c r="O13428" i="34"/>
  <c r="O13429" i="34"/>
  <c r="O13430" i="34"/>
  <c r="O13431" i="34"/>
  <c r="O13432" i="34"/>
  <c r="O13433" i="34"/>
  <c r="O13434" i="34"/>
  <c r="O13435" i="34"/>
  <c r="O13436" i="34"/>
  <c r="O13437" i="34"/>
  <c r="O13438" i="34"/>
  <c r="O13439" i="34"/>
  <c r="O13440" i="34"/>
  <c r="O13441" i="34"/>
  <c r="O13442" i="34"/>
  <c r="O13443" i="34"/>
  <c r="O13444" i="34"/>
  <c r="O13445" i="34"/>
  <c r="O13446" i="34"/>
  <c r="O13447" i="34"/>
  <c r="O13448" i="34"/>
  <c r="O13449" i="34"/>
  <c r="O13450" i="34"/>
  <c r="O13451" i="34"/>
  <c r="O13452" i="34"/>
  <c r="O13453" i="34"/>
  <c r="O13454" i="34"/>
  <c r="O13455" i="34"/>
  <c r="O13456" i="34"/>
  <c r="O13457" i="34"/>
  <c r="O13458" i="34"/>
  <c r="O13459" i="34"/>
  <c r="O13460" i="34"/>
  <c r="O13461" i="34"/>
  <c r="O13462" i="34"/>
  <c r="O13463" i="34"/>
  <c r="O13464" i="34"/>
  <c r="O13465" i="34"/>
  <c r="O13466" i="34"/>
  <c r="O13467" i="34"/>
  <c r="O13468" i="34"/>
  <c r="O13469" i="34"/>
  <c r="O13470" i="34"/>
  <c r="O13471" i="34"/>
  <c r="O13472" i="34"/>
  <c r="O13473" i="34"/>
  <c r="O13474" i="34"/>
  <c r="O13475" i="34"/>
  <c r="O13476" i="34"/>
  <c r="O13477" i="34"/>
  <c r="O13478" i="34"/>
  <c r="O13479" i="34"/>
  <c r="O13480" i="34"/>
  <c r="O13481" i="34"/>
  <c r="O13482" i="34"/>
  <c r="O13483" i="34"/>
  <c r="O13484" i="34"/>
  <c r="O13485" i="34"/>
  <c r="O13486" i="34"/>
  <c r="O13487" i="34"/>
  <c r="O13488" i="34"/>
  <c r="O13489" i="34"/>
  <c r="O13490" i="34"/>
  <c r="O13491" i="34"/>
  <c r="O13492" i="34"/>
  <c r="O13493" i="34"/>
  <c r="O13494" i="34"/>
  <c r="O13495" i="34"/>
  <c r="O13496" i="34"/>
  <c r="O13497" i="34"/>
  <c r="O13498" i="34"/>
  <c r="O13499" i="34"/>
  <c r="O13500" i="34"/>
  <c r="O13501" i="34"/>
  <c r="O13502" i="34"/>
  <c r="O13503" i="34"/>
  <c r="O13504" i="34"/>
  <c r="O13505" i="34"/>
  <c r="O13506" i="34"/>
  <c r="O13507" i="34"/>
  <c r="O13508" i="34"/>
  <c r="O13509" i="34"/>
  <c r="O13510" i="34"/>
  <c r="O13511" i="34"/>
  <c r="O13512" i="34"/>
  <c r="O13513" i="34"/>
  <c r="O13514" i="34"/>
  <c r="O13515" i="34"/>
  <c r="O13516" i="34"/>
  <c r="O13517" i="34"/>
  <c r="O13518" i="34"/>
  <c r="O13519" i="34"/>
  <c r="O13520" i="34"/>
  <c r="O13521" i="34"/>
  <c r="O13522" i="34"/>
  <c r="O13523" i="34"/>
  <c r="O13524" i="34"/>
  <c r="O13525" i="34"/>
  <c r="O13526" i="34"/>
  <c r="O13527" i="34"/>
  <c r="O13528" i="34"/>
  <c r="O13529" i="34"/>
  <c r="O13530" i="34"/>
  <c r="O13531" i="34"/>
  <c r="O13532" i="34"/>
  <c r="O13533" i="34"/>
  <c r="O13534" i="34"/>
  <c r="O13535" i="34"/>
  <c r="O13536" i="34"/>
  <c r="O13537" i="34"/>
  <c r="O13538" i="34"/>
  <c r="O13539" i="34"/>
  <c r="O13540" i="34"/>
  <c r="O13541" i="34"/>
  <c r="O13542" i="34"/>
  <c r="O13543" i="34"/>
  <c r="O13544" i="34"/>
  <c r="O13545" i="34"/>
  <c r="O13546" i="34"/>
  <c r="O13547" i="34"/>
  <c r="O13548" i="34"/>
  <c r="O13549" i="34"/>
  <c r="O13550" i="34"/>
  <c r="O13551" i="34"/>
  <c r="O13552" i="34"/>
  <c r="O13553" i="34"/>
  <c r="O13554" i="34"/>
  <c r="O13555" i="34"/>
  <c r="O13556" i="34"/>
  <c r="O13557" i="34"/>
  <c r="O13558" i="34"/>
  <c r="O13559" i="34"/>
  <c r="O13560" i="34"/>
  <c r="O13561" i="34"/>
  <c r="O13562" i="34"/>
  <c r="O13563" i="34"/>
  <c r="O13564" i="34"/>
  <c r="O13565" i="34"/>
  <c r="O13566" i="34"/>
  <c r="O13567" i="34"/>
  <c r="O13568" i="34"/>
  <c r="O13569" i="34"/>
  <c r="O13570" i="34"/>
  <c r="O13571" i="34"/>
  <c r="O13572" i="34"/>
  <c r="O13573" i="34"/>
  <c r="O13574" i="34"/>
  <c r="O13575" i="34"/>
  <c r="O13576" i="34"/>
  <c r="O13577" i="34"/>
  <c r="O13578" i="34"/>
  <c r="O13579" i="34"/>
  <c r="O13580" i="34"/>
  <c r="O13581" i="34"/>
  <c r="O13582" i="34"/>
  <c r="O13583" i="34"/>
  <c r="O13584" i="34"/>
  <c r="O13585" i="34"/>
  <c r="O13586" i="34"/>
  <c r="O13587" i="34"/>
  <c r="O13588" i="34"/>
  <c r="O13589" i="34"/>
  <c r="O13590" i="34"/>
  <c r="O13591" i="34"/>
  <c r="O13592" i="34"/>
  <c r="O13593" i="34"/>
  <c r="O13594" i="34"/>
  <c r="O13595" i="34"/>
  <c r="O13596" i="34"/>
  <c r="O13597" i="34"/>
  <c r="O13598" i="34"/>
  <c r="O13599" i="34"/>
  <c r="O13600" i="34"/>
  <c r="O13601" i="34"/>
  <c r="O13602" i="34"/>
  <c r="O13603" i="34"/>
  <c r="O13604" i="34"/>
  <c r="O13605" i="34"/>
  <c r="O13606" i="34"/>
  <c r="O13607" i="34"/>
  <c r="O13608" i="34"/>
  <c r="O13609" i="34"/>
  <c r="O13610" i="34"/>
  <c r="O13611" i="34"/>
  <c r="O13612" i="34"/>
  <c r="O13613" i="34"/>
  <c r="O13614" i="34"/>
  <c r="O13615" i="34"/>
  <c r="O13616" i="34"/>
  <c r="O13617" i="34"/>
  <c r="O13618" i="34"/>
  <c r="O13619" i="34"/>
  <c r="O13620" i="34"/>
  <c r="O13621" i="34"/>
  <c r="O13622" i="34"/>
  <c r="O13623" i="34"/>
  <c r="O13624" i="34"/>
  <c r="O13625" i="34"/>
  <c r="O13626" i="34"/>
  <c r="O13627" i="34"/>
  <c r="O13628" i="34"/>
  <c r="O13629" i="34"/>
  <c r="O13630" i="34"/>
  <c r="O13631" i="34"/>
  <c r="O13632" i="34"/>
  <c r="O13633" i="34"/>
  <c r="O13634" i="34"/>
  <c r="O13635" i="34"/>
  <c r="O13636" i="34"/>
  <c r="O13637" i="34"/>
  <c r="O13638" i="34"/>
  <c r="O13639" i="34"/>
  <c r="O13640" i="34"/>
  <c r="O13641" i="34"/>
  <c r="O13642" i="34"/>
  <c r="O13643" i="34"/>
  <c r="O13644" i="34"/>
  <c r="O13645" i="34"/>
  <c r="O13646" i="34"/>
  <c r="O13647" i="34"/>
  <c r="O13648" i="34"/>
  <c r="O13649" i="34"/>
  <c r="O13650" i="34"/>
  <c r="O13651" i="34"/>
  <c r="O13652" i="34"/>
  <c r="O13653" i="34"/>
  <c r="O13654" i="34"/>
  <c r="O13655" i="34"/>
  <c r="O13656" i="34"/>
  <c r="O13657" i="34"/>
  <c r="O13658" i="34"/>
  <c r="O13659" i="34"/>
  <c r="O13660" i="34"/>
  <c r="O13661" i="34"/>
  <c r="O13662" i="34"/>
  <c r="O13663" i="34"/>
  <c r="O13664" i="34"/>
  <c r="O13665" i="34"/>
  <c r="O13666" i="34"/>
  <c r="O13667" i="34"/>
  <c r="O13668" i="34"/>
  <c r="O13669" i="34"/>
  <c r="O13670" i="34"/>
  <c r="O13671" i="34"/>
  <c r="O13672" i="34"/>
  <c r="O13673" i="34"/>
  <c r="O13674" i="34"/>
  <c r="O13675" i="34"/>
  <c r="O13676" i="34"/>
  <c r="O13677" i="34"/>
  <c r="O13678" i="34"/>
  <c r="O13679" i="34"/>
  <c r="O13680" i="34"/>
  <c r="O13681" i="34"/>
  <c r="O13682" i="34"/>
  <c r="O13683" i="34"/>
  <c r="O13684" i="34"/>
  <c r="O13685" i="34"/>
  <c r="O13686" i="34"/>
  <c r="O13687" i="34"/>
  <c r="O13688" i="34"/>
  <c r="O13689" i="34"/>
  <c r="O13690" i="34"/>
  <c r="O13691" i="34"/>
  <c r="O13692" i="34"/>
  <c r="O13693" i="34"/>
  <c r="O13694" i="34"/>
  <c r="O13695" i="34"/>
  <c r="O13696" i="34"/>
  <c r="O13697" i="34"/>
  <c r="O13698" i="34"/>
  <c r="O13699" i="34"/>
  <c r="O13700" i="34"/>
  <c r="O13701" i="34"/>
  <c r="O13702" i="34"/>
  <c r="O13703" i="34"/>
  <c r="O13704" i="34"/>
  <c r="O13705" i="34"/>
  <c r="O13706" i="34"/>
  <c r="O13707" i="34"/>
  <c r="O13708" i="34"/>
  <c r="O13709" i="34"/>
  <c r="O13710" i="34"/>
  <c r="O13711" i="34"/>
  <c r="O13712" i="34"/>
  <c r="O13713" i="34"/>
  <c r="O13714" i="34"/>
  <c r="O13715" i="34"/>
  <c r="O13716" i="34"/>
  <c r="O13717" i="34"/>
  <c r="O13718" i="34"/>
  <c r="O13719" i="34"/>
  <c r="O13720" i="34"/>
  <c r="O13721" i="34"/>
  <c r="O13722" i="34"/>
  <c r="O13723" i="34"/>
  <c r="O13724" i="34"/>
  <c r="O13725" i="34"/>
  <c r="O13726" i="34"/>
  <c r="O13727" i="34"/>
  <c r="O13728" i="34"/>
  <c r="O13729" i="34"/>
  <c r="O13730" i="34"/>
  <c r="O13731" i="34"/>
  <c r="O13732" i="34"/>
  <c r="O13733" i="34"/>
  <c r="O13734" i="34"/>
  <c r="O13735" i="34"/>
  <c r="O13736" i="34"/>
  <c r="O13737" i="34"/>
  <c r="O13738" i="34"/>
  <c r="O13739" i="34"/>
  <c r="O13740" i="34"/>
  <c r="O13741" i="34"/>
  <c r="O13742" i="34"/>
  <c r="O13743" i="34"/>
  <c r="O13744" i="34"/>
  <c r="O13745" i="34"/>
  <c r="O13746" i="34"/>
  <c r="O13747" i="34"/>
  <c r="O13748" i="34"/>
  <c r="O13749" i="34"/>
  <c r="O13750" i="34"/>
  <c r="O13751" i="34"/>
  <c r="O13752" i="34"/>
  <c r="O13753" i="34"/>
  <c r="O13754" i="34"/>
  <c r="O13755" i="34"/>
  <c r="O13756" i="34"/>
  <c r="O13757" i="34"/>
  <c r="O13758" i="34"/>
  <c r="O13759" i="34"/>
  <c r="O13760" i="34"/>
  <c r="O13761" i="34"/>
  <c r="O13762" i="34"/>
  <c r="O13763" i="34"/>
  <c r="O13764" i="34"/>
  <c r="O13765" i="34"/>
  <c r="O13766" i="34"/>
  <c r="O13767" i="34"/>
  <c r="O13768" i="34"/>
  <c r="O13769" i="34"/>
  <c r="O13770" i="34"/>
  <c r="O13771" i="34"/>
  <c r="O13772" i="34"/>
  <c r="O13773" i="34"/>
  <c r="O13774" i="34"/>
  <c r="O13775" i="34"/>
  <c r="O13776" i="34"/>
  <c r="O13777" i="34"/>
  <c r="O13778" i="34"/>
  <c r="O13779" i="34"/>
  <c r="O13780" i="34"/>
  <c r="O13781" i="34"/>
  <c r="O13782" i="34"/>
  <c r="O13783" i="34"/>
  <c r="O13784" i="34"/>
  <c r="O13785" i="34"/>
  <c r="O13786" i="34"/>
  <c r="O13787" i="34"/>
  <c r="O13788" i="34"/>
  <c r="O13789" i="34"/>
  <c r="O13790" i="34"/>
  <c r="O13791" i="34"/>
  <c r="O13792" i="34"/>
  <c r="O13793" i="34"/>
  <c r="O13794" i="34"/>
  <c r="O13795" i="34"/>
  <c r="O13796" i="34"/>
  <c r="O13797" i="34"/>
  <c r="O13798" i="34"/>
  <c r="O13799" i="34"/>
  <c r="O13800" i="34"/>
  <c r="O13801" i="34"/>
  <c r="O13802" i="34"/>
  <c r="O13803" i="34"/>
  <c r="O13804" i="34"/>
  <c r="O13805" i="34"/>
  <c r="O13806" i="34"/>
  <c r="O13807" i="34"/>
  <c r="O13808" i="34"/>
  <c r="O13809" i="34"/>
  <c r="O13810" i="34"/>
  <c r="O13811" i="34"/>
  <c r="O13812" i="34"/>
  <c r="O13813" i="34"/>
  <c r="O13814" i="34"/>
  <c r="O13815" i="34"/>
  <c r="O13816" i="34"/>
  <c r="O13817" i="34"/>
  <c r="O13818" i="34"/>
  <c r="O13819" i="34"/>
  <c r="O13820" i="34"/>
  <c r="O13821" i="34"/>
  <c r="O13822" i="34"/>
  <c r="O13823" i="34"/>
  <c r="O13824" i="34"/>
  <c r="O13825" i="34"/>
  <c r="O13826" i="34"/>
  <c r="O13827" i="34"/>
  <c r="O13828" i="34"/>
  <c r="O13829" i="34"/>
  <c r="O13830" i="34"/>
  <c r="O13831" i="34"/>
  <c r="O13832" i="34"/>
  <c r="O13833" i="34"/>
  <c r="O13834" i="34"/>
  <c r="O13835" i="34"/>
  <c r="O13836" i="34"/>
  <c r="O13837" i="34"/>
  <c r="O13838" i="34"/>
  <c r="O13839" i="34"/>
  <c r="O13840" i="34"/>
  <c r="O13841" i="34"/>
  <c r="O13842" i="34"/>
  <c r="O13843" i="34"/>
  <c r="O13844" i="34"/>
  <c r="O13845" i="34"/>
  <c r="O13846" i="34"/>
  <c r="O13847" i="34"/>
  <c r="O13848" i="34"/>
  <c r="O13849" i="34"/>
  <c r="O13850" i="34"/>
  <c r="O13851" i="34"/>
  <c r="O13852" i="34"/>
  <c r="O13853" i="34"/>
  <c r="O13854" i="34"/>
  <c r="O13855" i="34"/>
  <c r="O13856" i="34"/>
  <c r="O13857" i="34"/>
  <c r="O13858" i="34"/>
  <c r="O13859" i="34"/>
  <c r="O13860" i="34"/>
  <c r="O13861" i="34"/>
  <c r="O13862" i="34"/>
  <c r="O13863" i="34"/>
  <c r="O13864" i="34"/>
  <c r="O13865" i="34"/>
  <c r="O13866" i="34"/>
  <c r="O13867" i="34"/>
  <c r="O13868" i="34"/>
  <c r="O13869" i="34"/>
  <c r="O13870" i="34"/>
  <c r="O13871" i="34"/>
  <c r="O13872" i="34"/>
  <c r="O13873" i="34"/>
  <c r="O13874" i="34"/>
  <c r="O13875" i="34"/>
  <c r="O13876" i="34"/>
  <c r="O13877" i="34"/>
  <c r="O13878" i="34"/>
  <c r="O13879" i="34"/>
  <c r="O13880" i="34"/>
  <c r="O13881" i="34"/>
  <c r="O13882" i="34"/>
  <c r="O13883" i="34"/>
  <c r="O13884" i="34"/>
  <c r="O13885" i="34"/>
  <c r="O13886" i="34"/>
  <c r="O13887" i="34"/>
  <c r="O13888" i="34"/>
  <c r="O13889" i="34"/>
  <c r="O13890" i="34"/>
  <c r="O13891" i="34"/>
  <c r="O13892" i="34"/>
  <c r="O13893" i="34"/>
  <c r="O13894" i="34"/>
  <c r="O13895" i="34"/>
  <c r="O13896" i="34"/>
  <c r="O13897" i="34"/>
  <c r="O13898" i="34"/>
  <c r="O13899" i="34"/>
  <c r="O13900" i="34"/>
  <c r="O13901" i="34"/>
  <c r="O13902" i="34"/>
  <c r="O13903" i="34"/>
  <c r="O13904" i="34"/>
  <c r="O13905" i="34"/>
  <c r="O13906" i="34"/>
  <c r="O13907" i="34"/>
  <c r="O13908" i="34"/>
  <c r="O13909" i="34"/>
  <c r="O13910" i="34"/>
  <c r="O13911" i="34"/>
  <c r="O13912" i="34"/>
  <c r="O13913" i="34"/>
  <c r="O13914" i="34"/>
  <c r="O13915" i="34"/>
  <c r="O13916" i="34"/>
  <c r="O13917" i="34"/>
  <c r="O13918" i="34"/>
  <c r="O13919" i="34"/>
  <c r="O13920" i="34"/>
  <c r="O13921" i="34"/>
  <c r="O13922" i="34"/>
  <c r="O13923" i="34"/>
  <c r="O13924" i="34"/>
  <c r="O13925" i="34"/>
  <c r="O13926" i="34"/>
  <c r="O13927" i="34"/>
  <c r="O13928" i="34"/>
  <c r="O13929" i="34"/>
  <c r="O13930" i="34"/>
  <c r="O13931" i="34"/>
  <c r="O13932" i="34"/>
  <c r="O13933" i="34"/>
  <c r="O13934" i="34"/>
  <c r="O13935" i="34"/>
  <c r="O13936" i="34"/>
  <c r="O13937" i="34"/>
  <c r="O13938" i="34"/>
  <c r="O13939" i="34"/>
  <c r="O13940" i="34"/>
  <c r="O13941" i="34"/>
  <c r="O13942" i="34"/>
  <c r="O13943" i="34"/>
  <c r="O13944" i="34"/>
  <c r="O13945" i="34"/>
  <c r="O13946" i="34"/>
  <c r="O13947" i="34"/>
  <c r="O13948" i="34"/>
  <c r="O13949" i="34"/>
  <c r="O13950" i="34"/>
  <c r="O13951" i="34"/>
  <c r="O13952" i="34"/>
  <c r="O13953" i="34"/>
  <c r="O13954" i="34"/>
  <c r="O13955" i="34"/>
  <c r="O13956" i="34"/>
  <c r="O13957" i="34"/>
  <c r="O13958" i="34"/>
  <c r="O13959" i="34"/>
  <c r="O13960" i="34"/>
  <c r="O13961" i="34"/>
  <c r="O13962" i="34"/>
  <c r="O13963" i="34"/>
  <c r="O13964" i="34"/>
  <c r="O13965" i="34"/>
  <c r="O13966" i="34"/>
  <c r="O13967" i="34"/>
  <c r="O13968" i="34"/>
  <c r="O13969" i="34"/>
  <c r="O13970" i="34"/>
  <c r="O13971" i="34"/>
  <c r="O13972" i="34"/>
  <c r="O13973" i="34"/>
  <c r="O13974" i="34"/>
  <c r="O13975" i="34"/>
  <c r="O13976" i="34"/>
  <c r="O13977" i="34"/>
  <c r="O13978" i="34"/>
  <c r="O13979" i="34"/>
  <c r="O13980" i="34"/>
  <c r="O13981" i="34"/>
  <c r="O13982" i="34"/>
  <c r="O13983" i="34"/>
  <c r="O13984" i="34"/>
  <c r="O13985" i="34"/>
  <c r="O13986" i="34"/>
  <c r="O13987" i="34"/>
  <c r="O13988" i="34"/>
  <c r="O13989" i="34"/>
  <c r="O13990" i="34"/>
  <c r="O13991" i="34"/>
  <c r="O13992" i="34"/>
  <c r="O13993" i="34"/>
  <c r="O13994" i="34"/>
  <c r="O13995" i="34"/>
  <c r="O13996" i="34"/>
  <c r="O13997" i="34"/>
  <c r="O13998" i="34"/>
  <c r="O13999" i="34"/>
  <c r="O14000" i="34"/>
  <c r="O14001" i="34"/>
  <c r="O14002" i="34"/>
  <c r="O14003" i="34"/>
  <c r="O14004" i="34"/>
  <c r="O14005" i="34"/>
  <c r="O14006" i="34"/>
  <c r="O14007" i="34"/>
  <c r="O14008" i="34"/>
  <c r="O14009" i="34"/>
  <c r="O14010" i="34"/>
  <c r="O14011" i="34"/>
  <c r="O14012" i="34"/>
  <c r="O14013" i="34"/>
  <c r="O14014" i="34"/>
  <c r="O14015" i="34"/>
  <c r="O14016" i="34"/>
  <c r="O14017" i="34"/>
  <c r="O14018" i="34"/>
  <c r="O14019" i="34"/>
  <c r="O14020" i="34"/>
  <c r="O14021" i="34"/>
  <c r="O14022" i="34"/>
  <c r="O14023" i="34"/>
  <c r="O14024" i="34"/>
  <c r="O14025" i="34"/>
  <c r="O14026" i="34"/>
  <c r="O14027" i="34"/>
  <c r="O14028" i="34"/>
  <c r="O14029" i="34"/>
  <c r="O14030" i="34"/>
  <c r="O14031" i="34"/>
  <c r="O14032" i="34"/>
  <c r="O14033" i="34"/>
  <c r="O14034" i="34"/>
  <c r="O14035" i="34"/>
  <c r="O14036" i="34"/>
  <c r="O14037" i="34"/>
  <c r="O14038" i="34"/>
  <c r="O14039" i="34"/>
  <c r="O14040" i="34"/>
  <c r="O14041" i="34"/>
  <c r="O14042" i="34"/>
  <c r="O14043" i="34"/>
  <c r="O14044" i="34"/>
  <c r="O14045" i="34"/>
  <c r="O14046" i="34"/>
  <c r="O14047" i="34"/>
  <c r="O14048" i="34"/>
  <c r="O14049" i="34"/>
  <c r="O14050" i="34"/>
  <c r="O14051" i="34"/>
  <c r="O14052" i="34"/>
  <c r="O14053" i="34"/>
  <c r="O14054" i="34"/>
  <c r="O14055" i="34"/>
  <c r="O14056" i="34"/>
  <c r="O14057" i="34"/>
  <c r="O14058" i="34"/>
  <c r="O14059" i="34"/>
  <c r="O14060" i="34"/>
  <c r="O14061" i="34"/>
  <c r="O14062" i="34"/>
  <c r="O14063" i="34"/>
  <c r="O14064" i="34"/>
  <c r="O14065" i="34"/>
  <c r="O14066" i="34"/>
  <c r="O14067" i="34"/>
  <c r="O14068" i="34"/>
  <c r="O14069" i="34"/>
  <c r="O14070" i="34"/>
  <c r="O14071" i="34"/>
  <c r="O14072" i="34"/>
  <c r="O14073" i="34"/>
  <c r="O14074" i="34"/>
  <c r="O14075" i="34"/>
  <c r="O14076" i="34"/>
  <c r="O14077" i="34"/>
  <c r="O14078" i="34"/>
  <c r="O14079" i="34"/>
  <c r="O14080" i="34"/>
  <c r="O14081" i="34"/>
  <c r="O14082" i="34"/>
  <c r="O14083" i="34"/>
  <c r="O14084" i="34"/>
  <c r="O14085" i="34"/>
  <c r="O14086" i="34"/>
  <c r="O14087" i="34"/>
  <c r="O14088" i="34"/>
  <c r="O14089" i="34"/>
  <c r="O14090" i="34"/>
  <c r="O14091" i="34"/>
  <c r="O14092" i="34"/>
  <c r="O14093" i="34"/>
  <c r="O14094" i="34"/>
  <c r="O14095" i="34"/>
  <c r="O14096" i="34"/>
  <c r="O14097" i="34"/>
  <c r="O14098" i="34"/>
  <c r="O14099" i="34"/>
  <c r="O14100" i="34"/>
  <c r="O14101" i="34"/>
  <c r="O14102" i="34"/>
  <c r="O14103" i="34"/>
  <c r="O14104" i="34"/>
  <c r="O14105" i="34"/>
  <c r="O14106" i="34"/>
  <c r="O14107" i="34"/>
  <c r="O14108" i="34"/>
  <c r="O14109" i="34"/>
  <c r="O14110" i="34"/>
  <c r="O14111" i="34"/>
  <c r="O14112" i="34"/>
  <c r="O14113" i="34"/>
  <c r="O14114" i="34"/>
  <c r="O14115" i="34"/>
  <c r="O14116" i="34"/>
  <c r="O14117" i="34"/>
  <c r="O14118" i="34"/>
  <c r="O14119" i="34"/>
  <c r="O14120" i="34"/>
  <c r="O14121" i="34"/>
  <c r="O14122" i="34"/>
  <c r="O14123" i="34"/>
  <c r="O14124" i="34"/>
  <c r="O14125" i="34"/>
  <c r="O14126" i="34"/>
  <c r="O14127" i="34"/>
  <c r="O14128" i="34"/>
  <c r="O14129" i="34"/>
  <c r="O14130" i="34"/>
  <c r="O14131" i="34"/>
  <c r="O14132" i="34"/>
  <c r="O14133" i="34"/>
  <c r="O14134" i="34"/>
  <c r="O14135" i="34"/>
  <c r="O14136" i="34"/>
  <c r="O14137" i="34"/>
  <c r="O14138" i="34"/>
  <c r="O14139" i="34"/>
  <c r="O14140" i="34"/>
  <c r="O14141" i="34"/>
  <c r="O14142" i="34"/>
  <c r="O14143" i="34"/>
  <c r="O14144" i="34"/>
  <c r="O14145" i="34"/>
  <c r="O14146" i="34"/>
  <c r="O14147" i="34"/>
  <c r="O14148" i="34"/>
  <c r="O14149" i="34"/>
  <c r="O14150" i="34"/>
  <c r="O14151" i="34"/>
  <c r="O14152" i="34"/>
  <c r="O14153" i="34"/>
  <c r="O14154" i="34"/>
  <c r="O14155" i="34"/>
  <c r="O14156" i="34"/>
  <c r="O14157" i="34"/>
  <c r="O14158" i="34"/>
  <c r="O14159" i="34"/>
  <c r="O14160" i="34"/>
  <c r="O14161" i="34"/>
  <c r="O14162" i="34"/>
  <c r="O14163" i="34"/>
  <c r="O14164" i="34"/>
  <c r="O14165" i="34"/>
  <c r="O14166" i="34"/>
  <c r="O14167" i="34"/>
  <c r="O14168" i="34"/>
  <c r="O14169" i="34"/>
  <c r="O14170" i="34"/>
  <c r="O14171" i="34"/>
  <c r="O14172" i="34"/>
  <c r="O14173" i="34"/>
  <c r="O14174" i="34"/>
  <c r="O14175" i="34"/>
  <c r="O14176" i="34"/>
  <c r="O14177" i="34"/>
  <c r="O14178" i="34"/>
  <c r="O14179" i="34"/>
  <c r="O14180" i="34"/>
  <c r="O14181" i="34"/>
  <c r="O14182" i="34"/>
  <c r="O14183" i="34"/>
  <c r="O14184" i="34"/>
  <c r="O14185" i="34"/>
  <c r="O14186" i="34"/>
  <c r="O14187" i="34"/>
  <c r="O14188" i="34"/>
  <c r="O14189" i="34"/>
  <c r="O14190" i="34"/>
  <c r="O14191" i="34"/>
  <c r="O14192" i="34"/>
  <c r="O14193" i="34"/>
  <c r="O14194" i="34"/>
  <c r="O14195" i="34"/>
  <c r="O14196" i="34"/>
  <c r="O14197" i="34"/>
  <c r="O14198" i="34"/>
  <c r="O14199" i="34"/>
  <c r="O14200" i="34"/>
  <c r="O14201" i="34"/>
  <c r="O14202" i="34"/>
  <c r="O14203" i="34"/>
  <c r="O14204" i="34"/>
  <c r="O14205" i="34"/>
  <c r="O14206" i="34"/>
  <c r="O14207" i="34"/>
  <c r="O14208" i="34"/>
  <c r="O14209" i="34"/>
  <c r="O14210" i="34"/>
  <c r="O14211" i="34"/>
  <c r="O14212" i="34"/>
  <c r="O14213" i="34"/>
  <c r="O14214" i="34"/>
  <c r="O14215" i="34"/>
  <c r="O14216" i="34"/>
  <c r="O14217" i="34"/>
  <c r="O14218" i="34"/>
  <c r="O14219" i="34"/>
  <c r="O14220" i="34"/>
  <c r="O14221" i="34"/>
  <c r="O14222" i="34"/>
  <c r="O14223" i="34"/>
  <c r="O14224" i="34"/>
  <c r="O14225" i="34"/>
  <c r="O14226" i="34"/>
  <c r="O14227" i="34"/>
  <c r="O14228" i="34"/>
  <c r="O14229" i="34"/>
  <c r="O14230" i="34"/>
  <c r="O14231" i="34"/>
  <c r="O14232" i="34"/>
  <c r="O14233" i="34"/>
  <c r="O14234" i="34"/>
  <c r="O14235" i="34"/>
  <c r="O14236" i="34"/>
  <c r="O14237" i="34"/>
  <c r="O14238" i="34"/>
  <c r="O14239" i="34"/>
  <c r="O14240" i="34"/>
  <c r="O14241" i="34"/>
  <c r="O14242" i="34"/>
  <c r="O14243" i="34"/>
  <c r="O14244" i="34"/>
  <c r="O14245" i="34"/>
  <c r="O14246" i="34"/>
  <c r="O14247" i="34"/>
  <c r="O14248" i="34"/>
  <c r="O14249" i="34"/>
  <c r="O14250" i="34"/>
  <c r="O14251" i="34"/>
  <c r="O14252" i="34"/>
  <c r="O14253" i="34"/>
  <c r="O14254" i="34"/>
  <c r="O14255" i="34"/>
  <c r="O14256" i="34"/>
  <c r="O14257" i="34"/>
  <c r="O14258" i="34"/>
  <c r="O14259" i="34"/>
  <c r="O14260" i="34"/>
  <c r="O14261" i="34"/>
  <c r="O14262" i="34"/>
  <c r="O14263" i="34"/>
  <c r="O14264" i="34"/>
  <c r="O14265" i="34"/>
  <c r="O14266" i="34"/>
  <c r="O14267" i="34"/>
  <c r="O14268" i="34"/>
  <c r="O14269" i="34"/>
  <c r="O14270" i="34"/>
  <c r="O14271" i="34"/>
  <c r="O14272" i="34"/>
  <c r="O14273" i="34"/>
  <c r="O14274" i="34"/>
  <c r="O14275" i="34"/>
  <c r="O14276" i="34"/>
  <c r="O14277" i="34"/>
  <c r="O14278" i="34"/>
  <c r="O14279" i="34"/>
  <c r="O14280" i="34"/>
  <c r="O14281" i="34"/>
  <c r="O14282" i="34"/>
  <c r="O14283" i="34"/>
  <c r="O14284" i="34"/>
  <c r="O14285" i="34"/>
  <c r="O14286" i="34"/>
  <c r="O14287" i="34"/>
  <c r="O14288" i="34"/>
  <c r="O14289" i="34"/>
  <c r="O14290" i="34"/>
  <c r="O14291" i="34"/>
  <c r="O14292" i="34"/>
  <c r="O14293" i="34"/>
  <c r="O14294" i="34"/>
  <c r="O14295" i="34"/>
  <c r="O14296" i="34"/>
  <c r="O14297" i="34"/>
  <c r="O14298" i="34"/>
  <c r="O14299" i="34"/>
  <c r="O14300" i="34"/>
  <c r="O14301" i="34"/>
  <c r="O14302" i="34"/>
  <c r="O14303" i="34"/>
  <c r="O14304" i="34"/>
  <c r="O14305" i="34"/>
  <c r="O14306" i="34"/>
  <c r="O14307" i="34"/>
  <c r="O14308" i="34"/>
  <c r="O14309" i="34"/>
  <c r="O14310" i="34"/>
  <c r="O14311" i="34"/>
  <c r="O14312" i="34"/>
  <c r="O14313" i="34"/>
  <c r="O14314" i="34"/>
  <c r="O14315" i="34"/>
  <c r="O14316" i="34"/>
  <c r="O14317" i="34"/>
  <c r="O14318" i="34"/>
  <c r="O14319" i="34"/>
  <c r="O14320" i="34"/>
  <c r="O14321" i="34"/>
  <c r="O14322" i="34"/>
  <c r="O14323" i="34"/>
  <c r="O14324" i="34"/>
  <c r="O14325" i="34"/>
  <c r="O14326" i="34"/>
  <c r="O14327" i="34"/>
  <c r="O14328" i="34"/>
  <c r="O14329" i="34"/>
  <c r="O14330" i="34"/>
  <c r="O14331" i="34"/>
  <c r="O14332" i="34"/>
  <c r="O14333" i="34"/>
  <c r="O14334" i="34"/>
  <c r="O14335" i="34"/>
  <c r="O14336" i="34"/>
  <c r="O14337" i="34"/>
  <c r="O14338" i="34"/>
  <c r="O14339" i="34"/>
  <c r="O14340" i="34"/>
  <c r="O14341" i="34"/>
  <c r="O14342" i="34"/>
  <c r="O14343" i="34"/>
  <c r="O14344" i="34"/>
  <c r="O14345" i="34"/>
  <c r="O14346" i="34"/>
  <c r="O14347" i="34"/>
  <c r="O14348" i="34"/>
  <c r="O14349" i="34"/>
  <c r="O14350" i="34"/>
  <c r="O14351" i="34"/>
  <c r="O14352" i="34"/>
  <c r="O14353" i="34"/>
  <c r="O14354" i="34"/>
  <c r="O14355" i="34"/>
  <c r="O14356" i="34"/>
  <c r="O14357" i="34"/>
  <c r="O14358" i="34"/>
  <c r="O14359" i="34"/>
  <c r="O14360" i="34"/>
  <c r="O14361" i="34"/>
  <c r="O14362" i="34"/>
  <c r="O14363" i="34"/>
  <c r="O14364" i="34"/>
  <c r="O14365" i="34"/>
  <c r="O14366" i="34"/>
  <c r="O14367" i="34"/>
  <c r="O14368" i="34"/>
  <c r="O14369" i="34"/>
  <c r="O14370" i="34"/>
  <c r="O14371" i="34"/>
  <c r="O14372" i="34"/>
  <c r="O14373" i="34"/>
  <c r="O14374" i="34"/>
  <c r="O14375" i="34"/>
  <c r="O14376" i="34"/>
  <c r="O14377" i="34"/>
  <c r="O14378" i="34"/>
  <c r="O14379" i="34"/>
  <c r="O14380" i="34"/>
  <c r="O14381" i="34"/>
  <c r="O14382" i="34"/>
  <c r="O14383" i="34"/>
  <c r="O14384" i="34"/>
  <c r="O14385" i="34"/>
  <c r="O14386" i="34"/>
  <c r="O14387" i="34"/>
  <c r="O14388" i="34"/>
  <c r="O14389" i="34"/>
  <c r="O14390" i="34"/>
  <c r="O14391" i="34"/>
  <c r="O14392" i="34"/>
  <c r="O14393" i="34"/>
  <c r="O14394" i="34"/>
  <c r="O14395" i="34"/>
  <c r="O14396" i="34"/>
  <c r="O14397" i="34"/>
  <c r="O14398" i="34"/>
  <c r="O14399" i="34"/>
  <c r="O14400" i="34"/>
  <c r="O14401" i="34"/>
  <c r="O14402" i="34"/>
  <c r="O14403" i="34"/>
  <c r="O14404" i="34"/>
  <c r="O14405" i="34"/>
  <c r="O14406" i="34"/>
  <c r="O14407" i="34"/>
  <c r="O14408" i="34"/>
  <c r="O14409" i="34"/>
  <c r="O14410" i="34"/>
  <c r="O14411" i="34"/>
  <c r="O14412" i="34"/>
  <c r="O14413" i="34"/>
  <c r="O14414" i="34"/>
  <c r="O14415" i="34"/>
  <c r="O14416" i="34"/>
  <c r="O14417" i="34"/>
  <c r="O14418" i="34"/>
  <c r="O14419" i="34"/>
  <c r="O14420" i="34"/>
  <c r="O14421" i="34"/>
  <c r="O14422" i="34"/>
  <c r="O14423" i="34"/>
  <c r="O14424" i="34"/>
  <c r="O14425" i="34"/>
  <c r="O14426" i="34"/>
  <c r="O14427" i="34"/>
  <c r="O14428" i="34"/>
  <c r="O14429" i="34"/>
  <c r="O14430" i="34"/>
  <c r="O14431" i="34"/>
  <c r="O14432" i="34"/>
  <c r="O14433" i="34"/>
  <c r="O14434" i="34"/>
  <c r="O14435" i="34"/>
  <c r="O14436" i="34"/>
  <c r="O14437" i="34"/>
  <c r="O14438" i="34"/>
  <c r="O14439" i="34"/>
  <c r="O14440" i="34"/>
  <c r="O14441" i="34"/>
  <c r="O14442" i="34"/>
  <c r="O14443" i="34"/>
  <c r="O14444" i="34"/>
  <c r="O14445" i="34"/>
  <c r="O14446" i="34"/>
  <c r="O14447" i="34"/>
  <c r="O14448" i="34"/>
  <c r="O14449" i="34"/>
  <c r="O14450" i="34"/>
  <c r="O14451" i="34"/>
  <c r="O14452" i="34"/>
  <c r="O14453" i="34"/>
  <c r="O14454" i="34"/>
  <c r="O14455" i="34"/>
  <c r="O14456" i="34"/>
  <c r="O14457" i="34"/>
  <c r="O14458" i="34"/>
  <c r="O14459" i="34"/>
  <c r="O14460" i="34"/>
  <c r="O14461" i="34"/>
  <c r="O14462" i="34"/>
  <c r="O14463" i="34"/>
  <c r="O14464" i="34"/>
  <c r="O14465" i="34"/>
  <c r="O14466" i="34"/>
  <c r="O14467" i="34"/>
  <c r="O14468" i="34"/>
  <c r="O14469" i="34"/>
  <c r="O14470" i="34"/>
  <c r="O14471" i="34"/>
  <c r="O14472" i="34"/>
  <c r="O14473" i="34"/>
  <c r="O14474" i="34"/>
  <c r="O14475" i="34"/>
  <c r="O14476" i="34"/>
  <c r="O14477" i="34"/>
  <c r="O14478" i="34"/>
  <c r="O14479" i="34"/>
  <c r="O14480" i="34"/>
  <c r="O14481" i="34"/>
  <c r="O14482" i="34"/>
  <c r="O14483" i="34"/>
  <c r="O14484" i="34"/>
  <c r="O14485" i="34"/>
  <c r="O14486" i="34"/>
  <c r="O14487" i="34"/>
  <c r="O14488" i="34"/>
  <c r="O14489" i="34"/>
  <c r="O14490" i="34"/>
  <c r="O14491" i="34"/>
  <c r="O14492" i="34"/>
  <c r="O14493" i="34"/>
  <c r="O14494" i="34"/>
  <c r="O14495" i="34"/>
  <c r="O14496" i="34"/>
  <c r="O14497" i="34"/>
  <c r="O14498" i="34"/>
  <c r="O14499" i="34"/>
  <c r="O14500" i="34"/>
  <c r="O14501" i="34"/>
  <c r="O14502" i="34"/>
  <c r="O14503" i="34"/>
  <c r="O14504" i="34"/>
  <c r="O14505" i="34"/>
  <c r="O14506" i="34"/>
  <c r="O14507" i="34"/>
  <c r="O14508" i="34"/>
  <c r="O14509" i="34"/>
  <c r="O14510" i="34"/>
  <c r="O14511" i="34"/>
  <c r="O14512" i="34"/>
  <c r="O14513" i="34"/>
  <c r="O14514" i="34"/>
  <c r="O14515" i="34"/>
  <c r="O14516" i="34"/>
  <c r="O14517" i="34"/>
  <c r="O14518" i="34"/>
  <c r="O14519" i="34"/>
  <c r="O14520" i="34"/>
  <c r="O14521" i="34"/>
  <c r="O14522" i="34"/>
  <c r="O14523" i="34"/>
  <c r="O14524" i="34"/>
  <c r="O14525" i="34"/>
  <c r="O14526" i="34"/>
  <c r="O14527" i="34"/>
  <c r="O14528" i="34"/>
  <c r="O14529" i="34"/>
  <c r="O14530" i="34"/>
  <c r="O14531" i="34"/>
  <c r="O14532" i="34"/>
  <c r="O14533" i="34"/>
  <c r="O14534" i="34"/>
  <c r="O14535" i="34"/>
  <c r="O14536" i="34"/>
  <c r="O14537" i="34"/>
  <c r="O14538" i="34"/>
  <c r="O14539" i="34"/>
  <c r="O14540" i="34"/>
  <c r="O14541" i="34"/>
  <c r="O14542" i="34"/>
  <c r="O14543" i="34"/>
  <c r="O14544" i="34"/>
  <c r="O14545" i="34"/>
  <c r="O14546" i="34"/>
  <c r="O14547" i="34"/>
  <c r="O14548" i="34"/>
  <c r="O14549" i="34"/>
  <c r="O14550" i="34"/>
  <c r="O14551" i="34"/>
  <c r="O14552" i="34"/>
  <c r="O14553" i="34"/>
  <c r="O14554" i="34"/>
  <c r="O14555" i="34"/>
  <c r="O14556" i="34"/>
  <c r="O14557" i="34"/>
  <c r="O14558" i="34"/>
  <c r="O14559" i="34"/>
  <c r="O14560" i="34"/>
  <c r="O14561" i="34"/>
  <c r="O14562" i="34"/>
  <c r="O14563" i="34"/>
  <c r="O14564" i="34"/>
  <c r="O14565" i="34"/>
  <c r="O14566" i="34"/>
  <c r="O14567" i="34"/>
  <c r="O14568" i="34"/>
  <c r="O14569" i="34"/>
  <c r="O14570" i="34"/>
  <c r="O14571" i="34"/>
  <c r="O14572" i="34"/>
  <c r="O14573" i="34"/>
  <c r="O14574" i="34"/>
  <c r="O14575" i="34"/>
  <c r="O14576" i="34"/>
  <c r="O14577" i="34"/>
  <c r="O14578" i="34"/>
  <c r="O14579" i="34"/>
  <c r="O14580" i="34"/>
  <c r="O14581" i="34"/>
  <c r="O14582" i="34"/>
  <c r="O14583" i="34"/>
  <c r="O14584" i="34"/>
  <c r="O14585" i="34"/>
  <c r="O14586" i="34"/>
  <c r="O14587" i="34"/>
  <c r="O14588" i="34"/>
  <c r="O14589" i="34"/>
  <c r="O14590" i="34"/>
  <c r="O14591" i="34"/>
  <c r="O14592" i="34"/>
  <c r="O14593" i="34"/>
  <c r="O14594" i="34"/>
  <c r="O14595" i="34"/>
  <c r="O14596" i="34"/>
  <c r="O14597" i="34"/>
  <c r="O14598" i="34"/>
  <c r="O14599" i="34"/>
  <c r="O14600" i="34"/>
  <c r="O14601" i="34"/>
  <c r="O14602" i="34"/>
  <c r="O14603" i="34"/>
  <c r="O14604" i="34"/>
  <c r="O14605" i="34"/>
  <c r="O14606" i="34"/>
  <c r="O14607" i="34"/>
  <c r="O14608" i="34"/>
  <c r="O14609" i="34"/>
  <c r="O14610" i="34"/>
  <c r="O14611" i="34"/>
  <c r="O14612" i="34"/>
  <c r="O14613" i="34"/>
  <c r="O14614" i="34"/>
  <c r="O14615" i="34"/>
  <c r="O14616" i="34"/>
  <c r="O14617" i="34"/>
  <c r="O14618" i="34"/>
  <c r="O14619" i="34"/>
  <c r="O14620" i="34"/>
  <c r="O14621" i="34"/>
  <c r="O14622" i="34"/>
  <c r="O14623" i="34"/>
  <c r="O14624" i="34"/>
  <c r="O14625" i="34"/>
  <c r="O14626" i="34"/>
  <c r="O14627" i="34"/>
  <c r="O14628" i="34"/>
  <c r="O14629" i="34"/>
  <c r="O14630" i="34"/>
  <c r="O14631" i="34"/>
  <c r="O14632" i="34"/>
  <c r="O14633" i="34"/>
  <c r="O14634" i="34"/>
  <c r="O14635" i="34"/>
  <c r="O14636" i="34"/>
  <c r="O14637" i="34"/>
  <c r="O14638" i="34"/>
  <c r="O14639" i="34"/>
  <c r="O14640" i="34"/>
  <c r="O14641" i="34"/>
  <c r="O14642" i="34"/>
  <c r="O14643" i="34"/>
  <c r="O14644" i="34"/>
  <c r="O14645" i="34"/>
  <c r="O14646" i="34"/>
  <c r="O14647" i="34"/>
  <c r="O14648" i="34"/>
  <c r="O14649" i="34"/>
  <c r="O14650" i="34"/>
  <c r="O14651" i="34"/>
  <c r="O14652" i="34"/>
  <c r="O14653" i="34"/>
  <c r="O14654" i="34"/>
  <c r="O14655" i="34"/>
  <c r="O14656" i="34"/>
  <c r="O14657" i="34"/>
  <c r="O14658" i="34"/>
  <c r="O14659" i="34"/>
  <c r="O14660" i="34"/>
  <c r="O14661" i="34"/>
  <c r="O14662" i="34"/>
  <c r="O14663" i="34"/>
  <c r="O14664" i="34"/>
  <c r="O14665" i="34"/>
  <c r="O14666" i="34"/>
  <c r="O14667" i="34"/>
  <c r="O14668" i="34"/>
  <c r="O14669" i="34"/>
  <c r="O14670" i="34"/>
  <c r="O14671" i="34"/>
  <c r="O14672" i="34"/>
  <c r="O14673" i="34"/>
  <c r="O14674" i="34"/>
  <c r="O14675" i="34"/>
  <c r="O14676" i="34"/>
  <c r="O14677" i="34"/>
  <c r="O14678" i="34"/>
  <c r="O14679" i="34"/>
  <c r="O14680" i="34"/>
  <c r="O14681" i="34"/>
  <c r="O14682" i="34"/>
  <c r="O14683" i="34"/>
  <c r="O14684" i="34"/>
  <c r="O14685" i="34"/>
  <c r="O14686" i="34"/>
  <c r="O14687" i="34"/>
  <c r="O14688" i="34"/>
  <c r="O14689" i="34"/>
  <c r="O14690" i="34"/>
  <c r="O14691" i="34"/>
  <c r="O14692" i="34"/>
  <c r="O14693" i="34"/>
  <c r="O14694" i="34"/>
  <c r="O14695" i="34"/>
  <c r="O14696" i="34"/>
  <c r="O14697" i="34"/>
  <c r="O14698" i="34"/>
  <c r="O14699" i="34"/>
  <c r="O14700" i="34"/>
  <c r="O14701" i="34"/>
  <c r="O14702" i="34"/>
  <c r="O14703" i="34"/>
  <c r="O14704" i="34"/>
  <c r="O14705" i="34"/>
  <c r="O14706" i="34"/>
  <c r="O14707" i="34"/>
  <c r="O14708" i="34"/>
  <c r="O14709" i="34"/>
  <c r="O14710" i="34"/>
  <c r="O14711" i="34"/>
  <c r="O14712" i="34"/>
  <c r="O14713" i="34"/>
  <c r="O14714" i="34"/>
  <c r="O14715" i="34"/>
  <c r="O14716" i="34"/>
  <c r="O14717" i="34"/>
  <c r="O14718" i="34"/>
  <c r="O14719" i="34"/>
  <c r="O14720" i="34"/>
  <c r="O14721" i="34"/>
  <c r="O14722" i="34"/>
  <c r="O14723" i="34"/>
  <c r="O14724" i="34"/>
  <c r="O14725" i="34"/>
  <c r="O14726" i="34"/>
  <c r="O14727" i="34"/>
  <c r="O14728" i="34"/>
  <c r="O14729" i="34"/>
  <c r="O14730" i="34"/>
  <c r="O14731" i="34"/>
  <c r="O14732" i="34"/>
  <c r="O14733" i="34"/>
  <c r="O14734" i="34"/>
  <c r="O14735" i="34"/>
  <c r="O14736" i="34"/>
  <c r="O14737" i="34"/>
  <c r="O14738" i="34"/>
  <c r="O14739" i="34"/>
  <c r="O14740" i="34"/>
  <c r="O14741" i="34"/>
  <c r="O14742" i="34"/>
  <c r="O14743" i="34"/>
  <c r="O14744" i="34"/>
  <c r="O14745" i="34"/>
  <c r="O14746" i="34"/>
  <c r="O14747" i="34"/>
  <c r="O14748" i="34"/>
  <c r="O14749" i="34"/>
  <c r="O14750" i="34"/>
  <c r="O14751" i="34"/>
  <c r="O14752" i="34"/>
  <c r="O14753" i="34"/>
  <c r="O14754" i="34"/>
  <c r="O14755" i="34"/>
  <c r="O14756" i="34"/>
  <c r="O14757" i="34"/>
  <c r="O14758" i="34"/>
  <c r="O14759" i="34"/>
  <c r="O14760" i="34"/>
  <c r="O14761" i="34"/>
  <c r="O14762" i="34"/>
  <c r="O14763" i="34"/>
  <c r="O14764" i="34"/>
  <c r="O14765" i="34"/>
  <c r="O14766" i="34"/>
  <c r="O14767" i="34"/>
  <c r="O14768" i="34"/>
  <c r="O14769" i="34"/>
  <c r="O14770" i="34"/>
  <c r="O14771" i="34"/>
  <c r="O14772" i="34"/>
  <c r="O14773" i="34"/>
  <c r="O14774" i="34"/>
  <c r="O14775" i="34"/>
  <c r="O14776" i="34"/>
  <c r="O14777" i="34"/>
  <c r="O14778" i="34"/>
  <c r="O14779" i="34"/>
  <c r="O14780" i="34"/>
  <c r="O14781" i="34"/>
  <c r="O14782" i="34"/>
  <c r="O14783" i="34"/>
  <c r="O14784" i="34"/>
  <c r="O14785" i="34"/>
  <c r="O14786" i="34"/>
  <c r="O14787" i="34"/>
  <c r="O14788" i="34"/>
  <c r="O14789" i="34"/>
  <c r="O14790" i="34"/>
  <c r="O14791" i="34"/>
  <c r="O14792" i="34"/>
  <c r="O14793" i="34"/>
  <c r="O14794" i="34"/>
  <c r="O14795" i="34"/>
  <c r="O14796" i="34"/>
  <c r="O14797" i="34"/>
  <c r="O14798" i="34"/>
  <c r="O14799" i="34"/>
  <c r="O14800" i="34"/>
  <c r="O14801" i="34"/>
  <c r="O14802" i="34"/>
  <c r="O14803" i="34"/>
  <c r="O14804" i="34"/>
  <c r="O14805" i="34"/>
  <c r="O14806" i="34"/>
  <c r="O14807" i="34"/>
  <c r="O14808" i="34"/>
  <c r="O14809" i="34"/>
  <c r="O14810" i="34"/>
  <c r="O14811" i="34"/>
  <c r="O14812" i="34"/>
  <c r="O14813" i="34"/>
  <c r="O14814" i="34"/>
  <c r="O14815" i="34"/>
  <c r="O14816" i="34"/>
  <c r="O14817" i="34"/>
  <c r="O14818" i="34"/>
  <c r="O14819" i="34"/>
  <c r="O14820" i="34"/>
  <c r="O14821" i="34"/>
  <c r="O14822" i="34"/>
  <c r="O14823" i="34"/>
  <c r="O14824" i="34"/>
  <c r="O14825" i="34"/>
  <c r="O14826" i="34"/>
  <c r="O14827" i="34"/>
  <c r="O14828" i="34"/>
  <c r="O14829" i="34"/>
  <c r="O14830" i="34"/>
  <c r="O14831" i="34"/>
  <c r="O14832" i="34"/>
  <c r="O14833" i="34"/>
  <c r="O14834" i="34"/>
  <c r="O14835" i="34"/>
  <c r="O14836" i="34"/>
  <c r="O14837" i="34"/>
  <c r="O14838" i="34"/>
  <c r="O14839" i="34"/>
  <c r="O14840" i="34"/>
  <c r="O14841" i="34"/>
  <c r="O14842" i="34"/>
  <c r="O14843" i="34"/>
  <c r="O14844" i="34"/>
  <c r="O14845" i="34"/>
  <c r="O14846" i="34"/>
  <c r="O14847" i="34"/>
  <c r="O14848" i="34"/>
  <c r="O14849" i="34"/>
  <c r="O14850" i="34"/>
  <c r="O14851" i="34"/>
  <c r="O14852" i="34"/>
  <c r="O14853" i="34"/>
  <c r="O14854" i="34"/>
  <c r="O14855" i="34"/>
  <c r="O14856" i="34"/>
  <c r="O14857" i="34"/>
  <c r="O14858" i="34"/>
  <c r="O14859" i="34"/>
  <c r="O14860" i="34"/>
  <c r="O14861" i="34"/>
  <c r="O14862" i="34"/>
  <c r="O14863" i="34"/>
  <c r="O14864" i="34"/>
  <c r="O14865" i="34"/>
  <c r="O14866" i="34"/>
  <c r="O14867" i="34"/>
  <c r="O14868" i="34"/>
  <c r="O14869" i="34"/>
  <c r="O14870" i="34"/>
  <c r="O14871" i="34"/>
  <c r="O14872" i="34"/>
  <c r="O14873" i="34"/>
  <c r="O14874" i="34"/>
  <c r="O14875" i="34"/>
  <c r="O14876" i="34"/>
  <c r="O14877" i="34"/>
  <c r="O14878" i="34"/>
  <c r="O14879" i="34"/>
  <c r="O14880" i="34"/>
  <c r="O14881" i="34"/>
  <c r="O14882" i="34"/>
  <c r="O14883" i="34"/>
  <c r="O14884" i="34"/>
  <c r="O14885" i="34"/>
  <c r="O14886" i="34"/>
  <c r="O14887" i="34"/>
  <c r="O14888" i="34"/>
  <c r="O14889" i="34"/>
  <c r="O14890" i="34"/>
  <c r="O14891" i="34"/>
  <c r="O14892" i="34"/>
  <c r="O14893" i="34"/>
  <c r="O14894" i="34"/>
  <c r="O14895" i="34"/>
  <c r="O14896" i="34"/>
  <c r="O14897" i="34"/>
  <c r="O14898" i="34"/>
  <c r="O14899" i="34"/>
  <c r="O14900" i="34"/>
  <c r="O14901" i="34"/>
  <c r="O14902" i="34"/>
  <c r="O14903" i="34"/>
  <c r="O14904" i="34"/>
  <c r="O14905" i="34"/>
  <c r="O14906" i="34"/>
  <c r="O14907" i="34"/>
  <c r="O14908" i="34"/>
  <c r="O14909" i="34"/>
  <c r="O14910" i="34"/>
  <c r="O14911" i="34"/>
  <c r="O14912" i="34"/>
  <c r="O14913" i="34"/>
  <c r="O14914" i="34"/>
  <c r="O14915" i="34"/>
  <c r="O14916" i="34"/>
  <c r="O14917" i="34"/>
  <c r="O14918" i="34"/>
  <c r="O14919" i="34"/>
  <c r="O14920" i="34"/>
  <c r="O14921" i="34"/>
  <c r="O14922" i="34"/>
  <c r="O14923" i="34"/>
  <c r="O14924" i="34"/>
  <c r="O14925" i="34"/>
  <c r="O14926" i="34"/>
  <c r="O14927" i="34"/>
  <c r="O14928" i="34"/>
  <c r="O14929" i="34"/>
  <c r="O14930" i="34"/>
  <c r="O14931" i="34"/>
  <c r="O14932" i="34"/>
  <c r="O14933" i="34"/>
  <c r="O14934" i="34"/>
  <c r="O14935" i="34"/>
  <c r="O14936" i="34"/>
  <c r="O14937" i="34"/>
  <c r="O14938" i="34"/>
  <c r="O14939" i="34"/>
  <c r="O14940" i="34"/>
  <c r="O14941" i="34"/>
  <c r="O14942" i="34"/>
  <c r="O14943" i="34"/>
  <c r="O14944" i="34"/>
  <c r="O14945" i="34"/>
  <c r="O14946" i="34"/>
  <c r="O14947" i="34"/>
  <c r="O14948" i="34"/>
  <c r="O14949" i="34"/>
  <c r="O14950" i="34"/>
  <c r="O14951" i="34"/>
  <c r="O14952" i="34"/>
  <c r="O14953" i="34"/>
  <c r="O14954" i="34"/>
  <c r="O14955" i="34"/>
  <c r="O14956" i="34"/>
  <c r="O14957" i="34"/>
  <c r="O14958" i="34"/>
  <c r="O14959" i="34"/>
  <c r="O14960" i="34"/>
  <c r="O14961" i="34"/>
  <c r="O14962" i="34"/>
  <c r="O14963" i="34"/>
  <c r="O14964" i="34"/>
  <c r="O14965" i="34"/>
  <c r="O14966" i="34"/>
  <c r="O14967" i="34"/>
  <c r="O14968" i="34"/>
  <c r="O14969" i="34"/>
  <c r="O14970" i="34"/>
  <c r="O14971" i="34"/>
  <c r="O14972" i="34"/>
  <c r="O14973" i="34"/>
  <c r="O14974" i="34"/>
  <c r="O14975" i="34"/>
  <c r="O14976" i="34"/>
  <c r="O14977" i="34"/>
  <c r="O14978" i="34"/>
  <c r="O14979" i="34"/>
  <c r="O14980" i="34"/>
  <c r="O14981" i="34"/>
  <c r="O14982" i="34"/>
  <c r="O14983" i="34"/>
  <c r="O14984" i="34"/>
  <c r="O14985" i="34"/>
  <c r="O14986" i="34"/>
  <c r="O14987" i="34"/>
  <c r="O14988" i="34"/>
  <c r="O14989" i="34"/>
  <c r="O14990" i="34"/>
  <c r="O14991" i="34"/>
  <c r="O14992" i="34"/>
  <c r="O14993" i="34"/>
  <c r="O14994" i="34"/>
  <c r="O14995" i="34"/>
  <c r="O14996" i="34"/>
  <c r="O14997" i="34"/>
  <c r="O14998" i="34"/>
  <c r="O14999" i="34"/>
  <c r="O15000" i="34"/>
  <c r="O15001" i="34"/>
  <c r="O15002" i="34"/>
  <c r="O15003" i="34"/>
  <c r="O15004" i="34"/>
  <c r="O15005" i="34"/>
  <c r="O15006" i="34"/>
  <c r="O15007" i="34"/>
  <c r="O15008" i="34"/>
  <c r="O15009" i="34"/>
  <c r="O15010" i="34"/>
  <c r="O15011" i="34"/>
  <c r="O15012" i="34"/>
  <c r="O15013" i="34"/>
  <c r="O15014" i="34"/>
  <c r="O15015" i="34"/>
  <c r="O15016" i="34"/>
  <c r="O15017" i="34"/>
  <c r="O15018" i="34"/>
  <c r="O15019" i="34"/>
  <c r="O15020" i="34"/>
  <c r="O15021" i="34"/>
  <c r="O15022" i="34"/>
  <c r="O15023" i="34"/>
  <c r="O15024" i="34"/>
  <c r="O15025" i="34"/>
  <c r="O15026" i="34"/>
  <c r="O15027" i="34"/>
  <c r="O15028" i="34"/>
  <c r="O15029" i="34"/>
  <c r="O15030" i="34"/>
  <c r="O15031" i="34"/>
  <c r="O15032" i="34"/>
  <c r="O15033" i="34"/>
  <c r="O15034" i="34"/>
  <c r="O15035" i="34"/>
  <c r="O15036" i="34"/>
  <c r="O15037" i="34"/>
  <c r="O15038" i="34"/>
  <c r="O15039" i="34"/>
  <c r="O15040" i="34"/>
  <c r="O15041" i="34"/>
  <c r="O15042" i="34"/>
  <c r="O15043" i="34"/>
  <c r="O15044" i="34"/>
  <c r="O15045" i="34"/>
  <c r="O15046" i="34"/>
  <c r="O15047" i="34"/>
  <c r="O15048" i="34"/>
  <c r="O15049" i="34"/>
  <c r="O15050" i="34"/>
  <c r="O15051" i="34"/>
  <c r="O15052" i="34"/>
  <c r="O15053" i="34"/>
  <c r="O15054" i="34"/>
  <c r="O15055" i="34"/>
  <c r="O15056" i="34"/>
  <c r="O15057" i="34"/>
  <c r="O15058" i="34"/>
  <c r="O15059" i="34"/>
  <c r="O15060" i="34"/>
  <c r="O15061" i="34"/>
  <c r="O15062" i="34"/>
  <c r="O15063" i="34"/>
  <c r="O15064" i="34"/>
  <c r="O15065" i="34"/>
  <c r="O15066" i="34"/>
  <c r="O15067" i="34"/>
  <c r="O15068" i="34"/>
  <c r="O15069" i="34"/>
  <c r="O15070" i="34"/>
  <c r="O15071" i="34"/>
  <c r="O15072" i="34"/>
  <c r="O15073" i="34"/>
  <c r="O15074" i="34"/>
  <c r="O15075" i="34"/>
  <c r="O15076" i="34"/>
  <c r="O15077" i="34"/>
  <c r="O15078" i="34"/>
  <c r="O15079" i="34"/>
  <c r="O15080" i="34"/>
  <c r="O15081" i="34"/>
  <c r="O15082" i="34"/>
  <c r="O15083" i="34"/>
  <c r="O15084" i="34"/>
  <c r="O15085" i="34"/>
  <c r="O15086" i="34"/>
  <c r="O15087" i="34"/>
  <c r="O15088" i="34"/>
  <c r="O15089" i="34"/>
  <c r="O15090" i="34"/>
  <c r="O15091" i="34"/>
  <c r="O15092" i="34"/>
  <c r="O15093" i="34"/>
  <c r="O15094" i="34"/>
  <c r="O15095" i="34"/>
  <c r="O15096" i="34"/>
  <c r="O15097" i="34"/>
  <c r="O15098" i="34"/>
  <c r="O15099" i="34"/>
  <c r="O15100" i="34"/>
  <c r="O15101" i="34"/>
  <c r="O15102" i="34"/>
  <c r="O15103" i="34"/>
  <c r="O15104" i="34"/>
  <c r="O15105" i="34"/>
  <c r="O15106" i="34"/>
  <c r="O15107" i="34"/>
  <c r="O15108" i="34"/>
  <c r="O15109" i="34"/>
  <c r="O15110" i="34"/>
  <c r="O15111" i="34"/>
  <c r="O15112" i="34"/>
  <c r="O15113" i="34"/>
  <c r="O15114" i="34"/>
  <c r="O15115" i="34"/>
  <c r="O15116" i="34"/>
  <c r="O15117" i="34"/>
  <c r="O15118" i="34"/>
  <c r="O15119" i="34"/>
  <c r="O15120" i="34"/>
  <c r="O15121" i="34"/>
  <c r="O15122" i="34"/>
  <c r="O15123" i="34"/>
  <c r="O15124" i="34"/>
  <c r="O15125" i="34"/>
  <c r="O15126" i="34"/>
  <c r="O15127" i="34"/>
  <c r="O15128" i="34"/>
  <c r="O15129" i="34"/>
  <c r="O15130" i="34"/>
  <c r="O15131" i="34"/>
  <c r="O15132" i="34"/>
  <c r="O15133" i="34"/>
  <c r="O15134" i="34"/>
  <c r="O15135" i="34"/>
  <c r="O15136" i="34"/>
  <c r="O15137" i="34"/>
  <c r="O15138" i="34"/>
  <c r="O15139" i="34"/>
  <c r="O15140" i="34"/>
  <c r="O15141" i="34"/>
  <c r="O15142" i="34"/>
  <c r="O15143" i="34"/>
  <c r="O15144" i="34"/>
  <c r="O15145" i="34"/>
  <c r="O15146" i="34"/>
  <c r="O15147" i="34"/>
  <c r="O15148" i="34"/>
  <c r="O15149" i="34"/>
  <c r="O15150" i="34"/>
  <c r="O15151" i="34"/>
  <c r="O15152" i="34"/>
  <c r="O15153" i="34"/>
  <c r="O15154" i="34"/>
  <c r="O15155" i="34"/>
  <c r="O15156" i="34"/>
  <c r="O15157" i="34"/>
  <c r="O15158" i="34"/>
  <c r="O15159" i="34"/>
  <c r="O15160" i="34"/>
  <c r="O15161" i="34"/>
  <c r="O15162" i="34"/>
  <c r="O15163" i="34"/>
  <c r="O15164" i="34"/>
  <c r="O15165" i="34"/>
  <c r="O15166" i="34"/>
  <c r="O15167" i="34"/>
  <c r="O15168" i="34"/>
  <c r="O15169" i="34"/>
  <c r="O15170" i="34"/>
  <c r="O15171" i="34"/>
  <c r="O15172" i="34"/>
  <c r="O15173" i="34"/>
  <c r="O15174" i="34"/>
  <c r="O15175" i="34"/>
  <c r="O15176" i="34"/>
  <c r="O15177" i="34"/>
  <c r="O15178" i="34"/>
  <c r="O15179" i="34"/>
  <c r="O15180" i="34"/>
  <c r="O15181" i="34"/>
  <c r="O15182" i="34"/>
  <c r="O15183" i="34"/>
  <c r="O15184" i="34"/>
  <c r="O15185" i="34"/>
  <c r="O15186" i="34"/>
  <c r="O15187" i="34"/>
  <c r="O15188" i="34"/>
  <c r="O15189" i="34"/>
  <c r="O15190" i="34"/>
  <c r="O15191" i="34"/>
  <c r="O15192" i="34"/>
  <c r="O15193" i="34"/>
  <c r="O15194" i="34"/>
  <c r="O15195" i="34"/>
  <c r="O15196" i="34"/>
  <c r="O15197" i="34"/>
  <c r="O15198" i="34"/>
  <c r="O15199" i="34"/>
  <c r="O15200" i="34"/>
  <c r="O15201" i="34"/>
  <c r="O15202" i="34"/>
  <c r="O15203" i="34"/>
  <c r="O15204" i="34"/>
  <c r="O15205" i="34"/>
  <c r="O15206" i="34"/>
  <c r="O15207" i="34"/>
  <c r="O15208" i="34"/>
  <c r="O15209" i="34"/>
  <c r="O15210" i="34"/>
  <c r="O15211" i="34"/>
  <c r="O15212" i="34"/>
  <c r="O15213" i="34"/>
  <c r="O15214" i="34"/>
  <c r="O15215" i="34"/>
  <c r="O15216" i="34"/>
  <c r="O15217" i="34"/>
  <c r="O15218" i="34"/>
  <c r="O15219" i="34"/>
  <c r="O15220" i="34"/>
  <c r="O15221" i="34"/>
  <c r="O15222" i="34"/>
  <c r="O15223" i="34"/>
  <c r="O15224" i="34"/>
  <c r="O15225" i="34"/>
  <c r="O15226" i="34"/>
  <c r="O15227" i="34"/>
  <c r="O15228" i="34"/>
  <c r="O15229" i="34"/>
  <c r="O15230" i="34"/>
  <c r="O15231" i="34"/>
  <c r="O15232" i="34"/>
  <c r="O15233" i="34"/>
  <c r="O15234" i="34"/>
  <c r="O15235" i="34"/>
  <c r="O15236" i="34"/>
  <c r="O15237" i="34"/>
  <c r="O15238" i="34"/>
  <c r="O15239" i="34"/>
  <c r="O15240" i="34"/>
  <c r="O15241" i="34"/>
  <c r="O15242" i="34"/>
  <c r="O15243" i="34"/>
  <c r="O15244" i="34"/>
  <c r="O15245" i="34"/>
  <c r="O15246" i="34"/>
  <c r="O15247" i="34"/>
  <c r="O15248" i="34"/>
  <c r="O15249" i="34"/>
  <c r="O15250" i="34"/>
  <c r="O15251" i="34"/>
  <c r="O15252" i="34"/>
  <c r="O15253" i="34"/>
  <c r="O15254" i="34"/>
  <c r="O15255" i="34"/>
  <c r="O15256" i="34"/>
  <c r="O15257" i="34"/>
  <c r="O15258" i="34"/>
  <c r="O15259" i="34"/>
  <c r="O15260" i="34"/>
  <c r="O15261" i="34"/>
  <c r="O15262" i="34"/>
  <c r="O15263" i="34"/>
  <c r="O15264" i="34"/>
  <c r="O15265" i="34"/>
  <c r="O15266" i="34"/>
  <c r="O15267" i="34"/>
  <c r="O15268" i="34"/>
  <c r="O15269" i="34"/>
  <c r="O15270" i="34"/>
  <c r="O15271" i="34"/>
  <c r="O15272" i="34"/>
  <c r="O15273" i="34"/>
  <c r="O15274" i="34"/>
  <c r="O15275" i="34"/>
  <c r="O15276" i="34"/>
  <c r="O15277" i="34"/>
  <c r="O15278" i="34"/>
  <c r="O15279" i="34"/>
  <c r="O15280" i="34"/>
  <c r="O15281" i="34"/>
  <c r="O15282" i="34"/>
  <c r="O15283" i="34"/>
  <c r="O15284" i="34"/>
  <c r="O15285" i="34"/>
  <c r="O15286" i="34"/>
  <c r="O15287" i="34"/>
  <c r="O15288" i="34"/>
  <c r="O15289" i="34"/>
  <c r="O15290" i="34"/>
  <c r="O15291" i="34"/>
  <c r="O15292" i="34"/>
  <c r="O15293" i="34"/>
  <c r="O15294" i="34"/>
  <c r="O15295" i="34"/>
  <c r="O15296" i="34"/>
  <c r="O15297" i="34"/>
  <c r="O15298" i="34"/>
  <c r="O15299" i="34"/>
  <c r="O15300" i="34"/>
  <c r="O15301" i="34"/>
  <c r="O15302" i="34"/>
  <c r="O15303" i="34"/>
  <c r="O15304" i="34"/>
  <c r="O15305" i="34"/>
  <c r="O15306" i="34"/>
  <c r="O15307" i="34"/>
  <c r="O15308" i="34"/>
  <c r="O15309" i="34"/>
  <c r="O15310" i="34"/>
  <c r="O15311" i="34"/>
  <c r="O15312" i="34"/>
  <c r="O15313" i="34"/>
  <c r="O15314" i="34"/>
  <c r="O15315" i="34"/>
  <c r="O15316" i="34"/>
  <c r="O15317" i="34"/>
  <c r="O15318" i="34"/>
  <c r="O15319" i="34"/>
  <c r="O15320" i="34"/>
  <c r="O15321" i="34"/>
  <c r="O15322" i="34"/>
  <c r="O15323" i="34"/>
  <c r="O15324" i="34"/>
  <c r="O15325" i="34"/>
  <c r="O15326" i="34"/>
  <c r="O15327" i="34"/>
  <c r="O15328" i="34"/>
  <c r="O15329" i="34"/>
  <c r="O15330" i="34"/>
  <c r="O15331" i="34"/>
  <c r="O15332" i="34"/>
  <c r="O15333" i="34"/>
  <c r="O15334" i="34"/>
  <c r="O15335" i="34"/>
  <c r="O15336" i="34"/>
  <c r="O15337" i="34"/>
  <c r="O15338" i="34"/>
  <c r="O15339" i="34"/>
  <c r="O15340" i="34"/>
  <c r="O15341" i="34"/>
  <c r="O15342" i="34"/>
  <c r="O15343" i="34"/>
  <c r="O15344" i="34"/>
  <c r="O15345" i="34"/>
  <c r="O15346" i="34"/>
  <c r="O2" i="34"/>
  <c r="E3" i="34"/>
  <c r="E4" i="34"/>
  <c r="E5" i="34"/>
  <c r="E6" i="34"/>
  <c r="E7" i="34"/>
  <c r="E8" i="34"/>
  <c r="E9" i="34"/>
  <c r="E10" i="34"/>
  <c r="E11" i="34"/>
  <c r="E12" i="34"/>
  <c r="E13" i="34"/>
  <c r="E14" i="34"/>
  <c r="E15" i="34"/>
  <c r="E16" i="34"/>
  <c r="E17" i="34"/>
  <c r="E18" i="34"/>
  <c r="E19" i="34"/>
  <c r="E20" i="34"/>
  <c r="E21" i="34"/>
  <c r="E22" i="34"/>
  <c r="E23" i="34"/>
  <c r="E24" i="34"/>
  <c r="E25" i="34"/>
  <c r="E26" i="34"/>
  <c r="E27" i="34"/>
  <c r="E28" i="34"/>
  <c r="E29" i="34"/>
  <c r="E30" i="34"/>
  <c r="E31" i="34"/>
  <c r="E32" i="34"/>
  <c r="E33" i="34"/>
  <c r="E34" i="34"/>
  <c r="E35" i="34"/>
  <c r="E36" i="34"/>
  <c r="E37" i="34"/>
  <c r="E38" i="34"/>
  <c r="E39" i="34"/>
  <c r="E40" i="34"/>
  <c r="E41" i="34"/>
  <c r="E42" i="34"/>
  <c r="E43" i="34"/>
  <c r="E44" i="34"/>
  <c r="E45" i="34"/>
  <c r="E46" i="34"/>
  <c r="E47" i="34"/>
  <c r="E48" i="34"/>
  <c r="E49" i="34"/>
  <c r="E50" i="34"/>
  <c r="E51" i="34"/>
  <c r="E52" i="34"/>
  <c r="E53" i="34"/>
  <c r="E54" i="34"/>
  <c r="E55" i="34"/>
  <c r="E56" i="34"/>
  <c r="E57" i="34"/>
  <c r="E58" i="34"/>
  <c r="E59" i="34"/>
  <c r="E60" i="34"/>
  <c r="E61" i="34"/>
  <c r="E62" i="34"/>
  <c r="E63" i="34"/>
  <c r="E64" i="34"/>
  <c r="E65" i="34"/>
  <c r="E66" i="34"/>
  <c r="E67" i="34"/>
  <c r="E68" i="34"/>
  <c r="E69" i="34"/>
  <c r="E70" i="34"/>
  <c r="E71" i="34"/>
  <c r="E72" i="34"/>
  <c r="E73" i="34"/>
  <c r="E74" i="34"/>
  <c r="E75" i="34"/>
  <c r="E76" i="34"/>
  <c r="E77" i="34"/>
  <c r="E78" i="34"/>
  <c r="E79" i="34"/>
  <c r="E80" i="34"/>
  <c r="E81" i="34"/>
  <c r="E82" i="34"/>
  <c r="E83" i="34"/>
  <c r="E84" i="34"/>
  <c r="E85" i="34"/>
  <c r="E86" i="34"/>
  <c r="E87" i="34"/>
  <c r="E88" i="34"/>
  <c r="E89" i="34"/>
  <c r="E90" i="34"/>
  <c r="E91" i="34"/>
  <c r="E92" i="34"/>
  <c r="E93" i="34"/>
  <c r="E94" i="34"/>
  <c r="E95" i="34"/>
  <c r="E96" i="34"/>
  <c r="E97" i="34"/>
  <c r="E98" i="34"/>
  <c r="E99" i="34"/>
  <c r="E100" i="34"/>
  <c r="E101" i="34"/>
  <c r="E102" i="34"/>
  <c r="E103" i="34"/>
  <c r="E104" i="34"/>
  <c r="E105" i="34"/>
  <c r="E106" i="34"/>
  <c r="E107" i="34"/>
  <c r="E108" i="34"/>
  <c r="E109" i="34"/>
  <c r="E110" i="34"/>
  <c r="E111" i="34"/>
  <c r="E112" i="34"/>
  <c r="E113" i="34"/>
  <c r="E114" i="34"/>
  <c r="E115" i="34"/>
  <c r="E116" i="34"/>
  <c r="E117" i="34"/>
  <c r="E118" i="34"/>
  <c r="E119" i="34"/>
  <c r="E120" i="34"/>
  <c r="E121" i="34"/>
  <c r="E122" i="34"/>
  <c r="E123" i="34"/>
  <c r="E124" i="34"/>
  <c r="E125" i="34"/>
  <c r="E126" i="34"/>
  <c r="E127" i="34"/>
  <c r="E128" i="34"/>
  <c r="E129" i="34"/>
  <c r="E130" i="34"/>
  <c r="E131" i="34"/>
  <c r="E132" i="34"/>
  <c r="E133" i="34"/>
  <c r="E134" i="34"/>
  <c r="E135" i="34"/>
  <c r="E136" i="34"/>
  <c r="E137" i="34"/>
  <c r="E138" i="34"/>
  <c r="E139" i="34"/>
  <c r="E140" i="34"/>
  <c r="E141" i="34"/>
  <c r="E142" i="34"/>
  <c r="E143" i="34"/>
  <c r="E144" i="34"/>
  <c r="E145" i="34"/>
  <c r="E146" i="34"/>
  <c r="E147" i="34"/>
  <c r="E148" i="34"/>
  <c r="E149" i="34"/>
  <c r="E150" i="34"/>
  <c r="E151" i="34"/>
  <c r="E152" i="34"/>
  <c r="E153" i="34"/>
  <c r="E154" i="34"/>
  <c r="E155" i="34"/>
  <c r="E156" i="34"/>
  <c r="E157" i="34"/>
  <c r="E158" i="34"/>
  <c r="E159" i="34"/>
  <c r="E160" i="34"/>
  <c r="E161" i="34"/>
  <c r="E162" i="34"/>
  <c r="E163" i="34"/>
  <c r="E164" i="34"/>
  <c r="E165" i="34"/>
  <c r="E166" i="34"/>
  <c r="E167" i="34"/>
  <c r="E168" i="34"/>
  <c r="E169" i="34"/>
  <c r="E170" i="34"/>
  <c r="E171" i="34"/>
  <c r="E172" i="34"/>
  <c r="E173" i="34"/>
  <c r="E174" i="34"/>
  <c r="E175" i="34"/>
  <c r="E176" i="34"/>
  <c r="E177" i="34"/>
  <c r="E178" i="34"/>
  <c r="E179" i="34"/>
  <c r="E180" i="34"/>
  <c r="E181" i="34"/>
  <c r="E182" i="34"/>
  <c r="E183" i="34"/>
  <c r="E184" i="34"/>
  <c r="E185" i="34"/>
  <c r="E186" i="34"/>
  <c r="E187" i="34"/>
  <c r="E188" i="34"/>
  <c r="E189" i="34"/>
  <c r="E190" i="34"/>
  <c r="E191" i="34"/>
  <c r="E192" i="34"/>
  <c r="E193" i="34"/>
  <c r="E194" i="34"/>
  <c r="E195" i="34"/>
  <c r="E196" i="34"/>
  <c r="E197" i="34"/>
  <c r="E198" i="34"/>
  <c r="E199" i="34"/>
  <c r="E200" i="34"/>
  <c r="E201" i="34"/>
  <c r="E202" i="34"/>
  <c r="E203" i="34"/>
  <c r="E204" i="34"/>
  <c r="E205" i="34"/>
  <c r="E206" i="34"/>
  <c r="E207" i="34"/>
  <c r="E208" i="34"/>
  <c r="E209" i="34"/>
  <c r="E210" i="34"/>
  <c r="E211" i="34"/>
  <c r="E212" i="34"/>
  <c r="E213" i="34"/>
  <c r="E214" i="34"/>
  <c r="E215" i="34"/>
  <c r="E216" i="34"/>
  <c r="E217" i="34"/>
  <c r="E218" i="34"/>
  <c r="E219" i="34"/>
  <c r="E220" i="34"/>
  <c r="E221" i="34"/>
  <c r="E222" i="34"/>
  <c r="E223" i="34"/>
  <c r="E224" i="34"/>
  <c r="E225" i="34"/>
  <c r="E226" i="34"/>
  <c r="E227" i="34"/>
  <c r="E228" i="34"/>
  <c r="E229" i="34"/>
  <c r="E230" i="34"/>
  <c r="E231" i="34"/>
  <c r="E232" i="34"/>
  <c r="E233" i="34"/>
  <c r="E234" i="34"/>
  <c r="E235" i="34"/>
  <c r="E236" i="34"/>
  <c r="E237" i="34"/>
  <c r="E238" i="34"/>
  <c r="E239" i="34"/>
  <c r="E240" i="34"/>
  <c r="E241" i="34"/>
  <c r="E242" i="34"/>
  <c r="E243" i="34"/>
  <c r="E244" i="34"/>
  <c r="E245" i="34"/>
  <c r="E246" i="34"/>
  <c r="E247" i="34"/>
  <c r="E248" i="34"/>
  <c r="E249" i="34"/>
  <c r="E250" i="34"/>
  <c r="E251" i="34"/>
  <c r="E252" i="34"/>
  <c r="E253" i="34"/>
  <c r="E254" i="34"/>
  <c r="E255" i="34"/>
  <c r="E256" i="34"/>
  <c r="E257" i="34"/>
  <c r="E258" i="34"/>
  <c r="E259" i="34"/>
  <c r="E260" i="34"/>
  <c r="E261" i="34"/>
  <c r="E262" i="34"/>
  <c r="E263" i="34"/>
  <c r="E264" i="34"/>
  <c r="E265" i="34"/>
  <c r="E266" i="34"/>
  <c r="E267" i="34"/>
  <c r="E268" i="34"/>
  <c r="E269" i="34"/>
  <c r="E270" i="34"/>
  <c r="E271" i="34"/>
  <c r="E272" i="34"/>
  <c r="E273" i="34"/>
  <c r="E274" i="34"/>
  <c r="E275" i="34"/>
  <c r="E276" i="34"/>
  <c r="E277" i="34"/>
  <c r="E278" i="34"/>
  <c r="E279" i="34"/>
  <c r="E280" i="34"/>
  <c r="E281" i="34"/>
  <c r="E282" i="34"/>
  <c r="E283" i="34"/>
  <c r="E284" i="34"/>
  <c r="E285" i="34"/>
  <c r="E286" i="34"/>
  <c r="E287" i="34"/>
  <c r="E288" i="34"/>
  <c r="E289" i="34"/>
  <c r="E290" i="34"/>
  <c r="E291" i="34"/>
  <c r="E292" i="34"/>
  <c r="E293" i="34"/>
  <c r="E294" i="34"/>
  <c r="E295" i="34"/>
  <c r="E296" i="34"/>
  <c r="E297" i="34"/>
  <c r="E298" i="34"/>
  <c r="E299" i="34"/>
  <c r="E300" i="34"/>
  <c r="E301" i="34"/>
  <c r="E302" i="34"/>
  <c r="E303" i="34"/>
  <c r="E304" i="34"/>
  <c r="E305" i="34"/>
  <c r="E306" i="34"/>
  <c r="E307" i="34"/>
  <c r="E308" i="34"/>
  <c r="E309" i="34"/>
  <c r="E310" i="34"/>
  <c r="E311" i="34"/>
  <c r="E312" i="34"/>
  <c r="E313" i="34"/>
  <c r="E314" i="34"/>
  <c r="E315" i="34"/>
  <c r="E316" i="34"/>
  <c r="E317" i="34"/>
  <c r="E318" i="34"/>
  <c r="E319" i="34"/>
  <c r="E320" i="34"/>
  <c r="E321" i="34"/>
  <c r="E322" i="34"/>
  <c r="E323" i="34"/>
  <c r="E324" i="34"/>
  <c r="E325" i="34"/>
  <c r="E326" i="34"/>
  <c r="E327" i="34"/>
  <c r="E328" i="34"/>
  <c r="E329" i="34"/>
  <c r="E330" i="34"/>
  <c r="E331" i="34"/>
  <c r="E332" i="34"/>
  <c r="E333" i="34"/>
  <c r="E334" i="34"/>
  <c r="E335" i="34"/>
  <c r="E336" i="34"/>
  <c r="E337" i="34"/>
  <c r="E338" i="34"/>
  <c r="E339" i="34"/>
  <c r="E340" i="34"/>
  <c r="E341" i="34"/>
  <c r="E342" i="34"/>
  <c r="E343" i="34"/>
  <c r="E344" i="34"/>
  <c r="E345" i="34"/>
  <c r="E346" i="34"/>
  <c r="E347" i="34"/>
  <c r="E348" i="34"/>
  <c r="E349" i="34"/>
  <c r="E350" i="34"/>
  <c r="E351" i="34"/>
  <c r="E352" i="34"/>
  <c r="E353" i="34"/>
  <c r="E354" i="34"/>
  <c r="E355" i="34"/>
  <c r="E356" i="34"/>
  <c r="E357" i="34"/>
  <c r="E358" i="34"/>
  <c r="E359" i="34"/>
  <c r="E360" i="34"/>
  <c r="E361" i="34"/>
  <c r="E362" i="34"/>
  <c r="E363" i="34"/>
  <c r="E364" i="34"/>
  <c r="E365" i="34"/>
  <c r="E366" i="34"/>
  <c r="E367" i="34"/>
  <c r="E368" i="34"/>
  <c r="E369" i="34"/>
  <c r="E370" i="34"/>
  <c r="E371" i="34"/>
  <c r="E372" i="34"/>
  <c r="E373" i="34"/>
  <c r="E374" i="34"/>
  <c r="E375" i="34"/>
  <c r="E376" i="34"/>
  <c r="E377" i="34"/>
  <c r="E378" i="34"/>
  <c r="E379" i="34"/>
  <c r="E380" i="34"/>
  <c r="E381" i="34"/>
  <c r="E382" i="34"/>
  <c r="E383" i="34"/>
  <c r="E384" i="34"/>
  <c r="E385" i="34"/>
  <c r="E386" i="34"/>
  <c r="E387" i="34"/>
  <c r="E388" i="34"/>
  <c r="E389" i="34"/>
  <c r="E390" i="34"/>
  <c r="E391" i="34"/>
  <c r="E392" i="34"/>
  <c r="E393" i="34"/>
  <c r="E394" i="34"/>
  <c r="E395" i="34"/>
  <c r="E396" i="34"/>
  <c r="E397" i="34"/>
  <c r="E398" i="34"/>
  <c r="E399" i="34"/>
  <c r="E400" i="34"/>
  <c r="E401" i="34"/>
  <c r="E402" i="34"/>
  <c r="E403" i="34"/>
  <c r="E404" i="34"/>
  <c r="E405" i="34"/>
  <c r="E406" i="34"/>
  <c r="E407" i="34"/>
  <c r="E408" i="34"/>
  <c r="E409" i="34"/>
  <c r="E410" i="34"/>
  <c r="E411" i="34"/>
  <c r="E412" i="34"/>
  <c r="E413" i="34"/>
  <c r="E414" i="34"/>
  <c r="E415" i="34"/>
  <c r="E416" i="34"/>
  <c r="E417" i="34"/>
  <c r="E418" i="34"/>
  <c r="E419" i="34"/>
  <c r="E420" i="34"/>
  <c r="E421" i="34"/>
  <c r="E422" i="34"/>
  <c r="E423" i="34"/>
  <c r="E424" i="34"/>
  <c r="E425" i="34"/>
  <c r="E426" i="34"/>
  <c r="E427" i="34"/>
  <c r="E428" i="34"/>
  <c r="E429" i="34"/>
  <c r="E430" i="34"/>
  <c r="E431" i="34"/>
  <c r="E432" i="34"/>
  <c r="E433" i="34"/>
  <c r="E434" i="34"/>
  <c r="E435" i="34"/>
  <c r="E436" i="34"/>
  <c r="E437" i="34"/>
  <c r="E438" i="34"/>
  <c r="E439" i="34"/>
  <c r="E440" i="34"/>
  <c r="E441" i="34"/>
  <c r="E442" i="34"/>
  <c r="E443" i="34"/>
  <c r="E444" i="34"/>
  <c r="E445" i="34"/>
  <c r="E446" i="34"/>
  <c r="E447" i="34"/>
  <c r="E448" i="34"/>
  <c r="E449" i="34"/>
  <c r="E450" i="34"/>
  <c r="E451" i="34"/>
  <c r="E452" i="34"/>
  <c r="E453" i="34"/>
  <c r="E454" i="34"/>
  <c r="E455" i="34"/>
  <c r="E456" i="34"/>
  <c r="E457" i="34"/>
  <c r="E458" i="34"/>
  <c r="E459" i="34"/>
  <c r="E460" i="34"/>
  <c r="E461" i="34"/>
  <c r="E462" i="34"/>
  <c r="E463" i="34"/>
  <c r="E464" i="34"/>
  <c r="E465" i="34"/>
  <c r="E466" i="34"/>
  <c r="E467" i="34"/>
  <c r="E468" i="34"/>
  <c r="E469" i="34"/>
  <c r="E470" i="34"/>
  <c r="E471" i="34"/>
  <c r="E472" i="34"/>
  <c r="E473" i="34"/>
  <c r="E474" i="34"/>
  <c r="E475" i="34"/>
  <c r="E476" i="34"/>
  <c r="E477" i="34"/>
  <c r="E478" i="34"/>
  <c r="E479" i="34"/>
  <c r="E480" i="34"/>
  <c r="E481" i="34"/>
  <c r="E482" i="34"/>
  <c r="E483" i="34"/>
  <c r="E484" i="34"/>
  <c r="E485" i="34"/>
  <c r="E486" i="34"/>
  <c r="E487" i="34"/>
  <c r="E488" i="34"/>
  <c r="E489" i="34"/>
  <c r="E490" i="34"/>
  <c r="E491" i="34"/>
  <c r="E492" i="34"/>
  <c r="E493" i="34"/>
  <c r="E494" i="34"/>
  <c r="E495" i="34"/>
  <c r="E496" i="34"/>
  <c r="E497" i="34"/>
  <c r="E498" i="34"/>
  <c r="E499" i="34"/>
  <c r="E500" i="34"/>
  <c r="E501" i="34"/>
  <c r="E502" i="34"/>
  <c r="E503" i="34"/>
  <c r="E504" i="34"/>
  <c r="E505" i="34"/>
  <c r="E506" i="34"/>
  <c r="E507" i="34"/>
  <c r="E508" i="34"/>
  <c r="E509" i="34"/>
  <c r="E510" i="34"/>
  <c r="E511" i="34"/>
  <c r="E512" i="34"/>
  <c r="E513" i="34"/>
  <c r="E514" i="34"/>
  <c r="E515" i="34"/>
  <c r="E516" i="34"/>
  <c r="E517" i="34"/>
  <c r="E518" i="34"/>
  <c r="E519" i="34"/>
  <c r="E520" i="34"/>
  <c r="E521" i="34"/>
  <c r="E522" i="34"/>
  <c r="E523" i="34"/>
  <c r="E524" i="34"/>
  <c r="E525" i="34"/>
  <c r="E526" i="34"/>
  <c r="E527" i="34"/>
  <c r="E528" i="34"/>
  <c r="E529" i="34"/>
  <c r="E530" i="34"/>
  <c r="E531" i="34"/>
  <c r="E532" i="34"/>
  <c r="E533" i="34"/>
  <c r="E534" i="34"/>
  <c r="E535" i="34"/>
  <c r="E536" i="34"/>
  <c r="E537" i="34"/>
  <c r="E538" i="34"/>
  <c r="E539" i="34"/>
  <c r="E540" i="34"/>
  <c r="E541" i="34"/>
  <c r="E542" i="34"/>
  <c r="E543" i="34"/>
  <c r="E544" i="34"/>
  <c r="E545" i="34"/>
  <c r="E546" i="34"/>
  <c r="E547" i="34"/>
  <c r="E548" i="34"/>
  <c r="E549" i="34"/>
  <c r="E550" i="34"/>
  <c r="E551" i="34"/>
  <c r="E552" i="34"/>
  <c r="E553" i="34"/>
  <c r="E554" i="34"/>
  <c r="E555" i="34"/>
  <c r="E556" i="34"/>
  <c r="E557" i="34"/>
  <c r="E558" i="34"/>
  <c r="E559" i="34"/>
  <c r="E560" i="34"/>
  <c r="E561" i="34"/>
  <c r="E562" i="34"/>
  <c r="E563" i="34"/>
  <c r="E564" i="34"/>
  <c r="E565" i="34"/>
  <c r="E566" i="34"/>
  <c r="E567" i="34"/>
  <c r="E568" i="34"/>
  <c r="E569" i="34"/>
  <c r="E570" i="34"/>
  <c r="E571" i="34"/>
  <c r="E572" i="34"/>
  <c r="E573" i="34"/>
  <c r="E574" i="34"/>
  <c r="E575" i="34"/>
  <c r="E576" i="34"/>
  <c r="E577" i="34"/>
  <c r="E578" i="34"/>
  <c r="E579" i="34"/>
  <c r="E580" i="34"/>
  <c r="E581" i="34"/>
  <c r="E582" i="34"/>
  <c r="E583" i="34"/>
  <c r="E584" i="34"/>
  <c r="E585" i="34"/>
  <c r="E586" i="34"/>
  <c r="E587" i="34"/>
  <c r="E588" i="34"/>
  <c r="E589" i="34"/>
  <c r="E590" i="34"/>
  <c r="E591" i="34"/>
  <c r="E592" i="34"/>
  <c r="E593" i="34"/>
  <c r="E594" i="34"/>
  <c r="E595" i="34"/>
  <c r="E596" i="34"/>
  <c r="E597" i="34"/>
  <c r="E598" i="34"/>
  <c r="E599" i="34"/>
  <c r="E600" i="34"/>
  <c r="E601" i="34"/>
  <c r="E602" i="34"/>
  <c r="E603" i="34"/>
  <c r="E604" i="34"/>
  <c r="E605" i="34"/>
  <c r="E606" i="34"/>
  <c r="E607" i="34"/>
  <c r="E608" i="34"/>
  <c r="E609" i="34"/>
  <c r="E610" i="34"/>
  <c r="E611" i="34"/>
  <c r="E612" i="34"/>
  <c r="E613" i="34"/>
  <c r="E614" i="34"/>
  <c r="E615" i="34"/>
  <c r="E616" i="34"/>
  <c r="E617" i="34"/>
  <c r="E618" i="34"/>
  <c r="E619" i="34"/>
  <c r="E620" i="34"/>
  <c r="E621" i="34"/>
  <c r="E622" i="34"/>
  <c r="E623" i="34"/>
  <c r="E624" i="34"/>
  <c r="E625" i="34"/>
  <c r="E626" i="34"/>
  <c r="E627" i="34"/>
  <c r="E628" i="34"/>
  <c r="E629" i="34"/>
  <c r="E630" i="34"/>
  <c r="E631" i="34"/>
  <c r="E632" i="34"/>
  <c r="E633" i="34"/>
  <c r="E634" i="34"/>
  <c r="E635" i="34"/>
  <c r="E636" i="34"/>
  <c r="E637" i="34"/>
  <c r="E638" i="34"/>
  <c r="E639" i="34"/>
  <c r="E640" i="34"/>
  <c r="E641" i="34"/>
  <c r="E642" i="34"/>
  <c r="E643" i="34"/>
  <c r="E644" i="34"/>
  <c r="E645" i="34"/>
  <c r="E646" i="34"/>
  <c r="E647" i="34"/>
  <c r="E648" i="34"/>
  <c r="E649" i="34"/>
  <c r="E650" i="34"/>
  <c r="E651" i="34"/>
  <c r="E652" i="34"/>
  <c r="E653" i="34"/>
  <c r="E654" i="34"/>
  <c r="E655" i="34"/>
  <c r="E656" i="34"/>
  <c r="E657" i="34"/>
  <c r="E658" i="34"/>
  <c r="E659" i="34"/>
  <c r="E660" i="34"/>
  <c r="E661" i="34"/>
  <c r="E662" i="34"/>
  <c r="E663" i="34"/>
  <c r="E664" i="34"/>
  <c r="E665" i="34"/>
  <c r="E666" i="34"/>
  <c r="E667" i="34"/>
  <c r="E668" i="34"/>
  <c r="E669" i="34"/>
  <c r="E670" i="34"/>
  <c r="E671" i="34"/>
  <c r="E672" i="34"/>
  <c r="E673" i="34"/>
  <c r="E674" i="34"/>
  <c r="E675" i="34"/>
  <c r="E676" i="34"/>
  <c r="E677" i="34"/>
  <c r="E678" i="34"/>
  <c r="E679" i="34"/>
  <c r="E680" i="34"/>
  <c r="E681" i="34"/>
  <c r="E682" i="34"/>
  <c r="E683" i="34"/>
  <c r="E684" i="34"/>
  <c r="E685" i="34"/>
  <c r="E686" i="34"/>
  <c r="E687" i="34"/>
  <c r="E688" i="34"/>
  <c r="E689" i="34"/>
  <c r="E690" i="34"/>
  <c r="E691" i="34"/>
  <c r="E692" i="34"/>
  <c r="E693" i="34"/>
  <c r="E694" i="34"/>
  <c r="E695" i="34"/>
  <c r="E696" i="34"/>
  <c r="E697" i="34"/>
  <c r="E698" i="34"/>
  <c r="E699" i="34"/>
  <c r="E700" i="34"/>
  <c r="E701" i="34"/>
  <c r="E702" i="34"/>
  <c r="E703" i="34"/>
  <c r="E704" i="34"/>
  <c r="E705" i="34"/>
  <c r="E706" i="34"/>
  <c r="E707" i="34"/>
  <c r="E708" i="34"/>
  <c r="E709" i="34"/>
  <c r="E710" i="34"/>
  <c r="E711" i="34"/>
  <c r="E712" i="34"/>
  <c r="E713" i="34"/>
  <c r="E714" i="34"/>
  <c r="E715" i="34"/>
  <c r="E716" i="34"/>
  <c r="E717" i="34"/>
  <c r="E718" i="34"/>
  <c r="E719" i="34"/>
  <c r="E720" i="34"/>
  <c r="E721" i="34"/>
  <c r="E722" i="34"/>
  <c r="E723" i="34"/>
  <c r="E724" i="34"/>
  <c r="E725" i="34"/>
  <c r="E726" i="34"/>
  <c r="E727" i="34"/>
  <c r="E728" i="34"/>
  <c r="E729" i="34"/>
  <c r="E730" i="34"/>
  <c r="E731" i="34"/>
  <c r="E732" i="34"/>
  <c r="E733" i="34"/>
  <c r="E734" i="34"/>
  <c r="E735" i="34"/>
  <c r="E736" i="34"/>
  <c r="E737" i="34"/>
  <c r="E738" i="34"/>
  <c r="E739" i="34"/>
  <c r="E740" i="34"/>
  <c r="E741" i="34"/>
  <c r="E742" i="34"/>
  <c r="E743" i="34"/>
  <c r="E744" i="34"/>
  <c r="E745" i="34"/>
  <c r="E746" i="34"/>
  <c r="E747" i="34"/>
  <c r="E748" i="34"/>
  <c r="E749" i="34"/>
  <c r="E750" i="34"/>
  <c r="E751" i="34"/>
  <c r="E752" i="34"/>
  <c r="E753" i="34"/>
  <c r="E754" i="34"/>
  <c r="E755" i="34"/>
  <c r="E756" i="34"/>
  <c r="E757" i="34"/>
  <c r="E758" i="34"/>
  <c r="E759" i="34"/>
  <c r="E760" i="34"/>
  <c r="E761" i="34"/>
  <c r="E762" i="34"/>
  <c r="E763" i="34"/>
  <c r="E764" i="34"/>
  <c r="E765" i="34"/>
  <c r="E766" i="34"/>
  <c r="E767" i="34"/>
  <c r="E768" i="34"/>
  <c r="E769" i="34"/>
  <c r="E770" i="34"/>
  <c r="E771" i="34"/>
  <c r="E772" i="34"/>
  <c r="E773" i="34"/>
  <c r="E774" i="34"/>
  <c r="E775" i="34"/>
  <c r="E776" i="34"/>
  <c r="E777" i="34"/>
  <c r="E778" i="34"/>
  <c r="E779" i="34"/>
  <c r="E780" i="34"/>
  <c r="E781" i="34"/>
  <c r="E782" i="34"/>
  <c r="E783" i="34"/>
  <c r="E784" i="34"/>
  <c r="E785" i="34"/>
  <c r="E786" i="34"/>
  <c r="E787" i="34"/>
  <c r="E788" i="34"/>
  <c r="E789" i="34"/>
  <c r="E790" i="34"/>
  <c r="E791" i="34"/>
  <c r="E792" i="34"/>
  <c r="E793" i="34"/>
  <c r="E794" i="34"/>
  <c r="E795" i="34"/>
  <c r="E796" i="34"/>
  <c r="E797" i="34"/>
  <c r="E798" i="34"/>
  <c r="E799" i="34"/>
  <c r="E800" i="34"/>
  <c r="E801" i="34"/>
  <c r="E802" i="34"/>
  <c r="E803" i="34"/>
  <c r="E804" i="34"/>
  <c r="E805" i="34"/>
  <c r="E806" i="34"/>
  <c r="E807" i="34"/>
  <c r="E808" i="34"/>
  <c r="E809" i="34"/>
  <c r="E810" i="34"/>
  <c r="E811" i="34"/>
  <c r="E812" i="34"/>
  <c r="E813" i="34"/>
  <c r="E814" i="34"/>
  <c r="E815" i="34"/>
  <c r="E816" i="34"/>
  <c r="E817" i="34"/>
  <c r="E818" i="34"/>
  <c r="E819" i="34"/>
  <c r="E820" i="34"/>
  <c r="E821" i="34"/>
  <c r="E822" i="34"/>
  <c r="E823" i="34"/>
  <c r="E824" i="34"/>
  <c r="E825" i="34"/>
  <c r="E826" i="34"/>
  <c r="E827" i="34"/>
  <c r="E828" i="34"/>
  <c r="E829" i="34"/>
  <c r="E830" i="34"/>
  <c r="E831" i="34"/>
  <c r="E832" i="34"/>
  <c r="E833" i="34"/>
  <c r="E834" i="34"/>
  <c r="E835" i="34"/>
  <c r="E836" i="34"/>
  <c r="E837" i="34"/>
  <c r="E838" i="34"/>
  <c r="E839" i="34"/>
  <c r="E840" i="34"/>
  <c r="E841" i="34"/>
  <c r="E842" i="34"/>
  <c r="E843" i="34"/>
  <c r="E844" i="34"/>
  <c r="E845" i="34"/>
  <c r="E846" i="34"/>
  <c r="E847" i="34"/>
  <c r="E848" i="34"/>
  <c r="E849" i="34"/>
  <c r="E850" i="34"/>
  <c r="E851" i="34"/>
  <c r="E852" i="34"/>
  <c r="E853" i="34"/>
  <c r="E854" i="34"/>
  <c r="E855" i="34"/>
  <c r="E856" i="34"/>
  <c r="E857" i="34"/>
  <c r="E858" i="34"/>
  <c r="E859" i="34"/>
  <c r="E860" i="34"/>
  <c r="E861" i="34"/>
  <c r="E862" i="34"/>
  <c r="E863" i="34"/>
  <c r="E864" i="34"/>
  <c r="E865" i="34"/>
  <c r="E866" i="34"/>
  <c r="E867" i="34"/>
  <c r="E868" i="34"/>
  <c r="E869" i="34"/>
  <c r="E870" i="34"/>
  <c r="E871" i="34"/>
  <c r="E872" i="34"/>
  <c r="E873" i="34"/>
  <c r="E874" i="34"/>
  <c r="E875" i="34"/>
  <c r="E876" i="34"/>
  <c r="E877" i="34"/>
  <c r="E878" i="34"/>
  <c r="E879" i="34"/>
  <c r="E880" i="34"/>
  <c r="E881" i="34"/>
  <c r="E882" i="34"/>
  <c r="E883" i="34"/>
  <c r="E884" i="34"/>
  <c r="E885" i="34"/>
  <c r="E886" i="34"/>
  <c r="E887" i="34"/>
  <c r="E888" i="34"/>
  <c r="E889" i="34"/>
  <c r="E890" i="34"/>
  <c r="E891" i="34"/>
  <c r="E892" i="34"/>
  <c r="E893" i="34"/>
  <c r="E894" i="34"/>
  <c r="E895" i="34"/>
  <c r="E896" i="34"/>
  <c r="E897" i="34"/>
  <c r="E898" i="34"/>
  <c r="E899" i="34"/>
  <c r="E900" i="34"/>
  <c r="E901" i="34"/>
  <c r="E902" i="34"/>
  <c r="E903" i="34"/>
  <c r="E904" i="34"/>
  <c r="E905" i="34"/>
  <c r="E906" i="34"/>
  <c r="E907" i="34"/>
  <c r="E908" i="34"/>
  <c r="E909" i="34"/>
  <c r="E910" i="34"/>
  <c r="E911" i="34"/>
  <c r="E912" i="34"/>
  <c r="E913" i="34"/>
  <c r="E914" i="34"/>
  <c r="E915" i="34"/>
  <c r="E916" i="34"/>
  <c r="E917" i="34"/>
  <c r="E918" i="34"/>
  <c r="E919" i="34"/>
  <c r="E920" i="34"/>
  <c r="E921" i="34"/>
  <c r="E922" i="34"/>
  <c r="E923" i="34"/>
  <c r="E924" i="34"/>
  <c r="E925" i="34"/>
  <c r="E926" i="34"/>
  <c r="E927" i="34"/>
  <c r="E928" i="34"/>
  <c r="E929" i="34"/>
  <c r="E930" i="34"/>
  <c r="E931" i="34"/>
  <c r="E932" i="34"/>
  <c r="E933" i="34"/>
  <c r="E934" i="34"/>
  <c r="E935" i="34"/>
  <c r="E936" i="34"/>
  <c r="E937" i="34"/>
  <c r="E938" i="34"/>
  <c r="E939" i="34"/>
  <c r="E940" i="34"/>
  <c r="E941" i="34"/>
  <c r="E942" i="34"/>
  <c r="E943" i="34"/>
  <c r="E944" i="34"/>
  <c r="E945" i="34"/>
  <c r="E946" i="34"/>
  <c r="E947" i="34"/>
  <c r="E948" i="34"/>
  <c r="E949" i="34"/>
  <c r="E950" i="34"/>
  <c r="E951" i="34"/>
  <c r="E952" i="34"/>
  <c r="E953" i="34"/>
  <c r="E954" i="34"/>
  <c r="E955" i="34"/>
  <c r="E956" i="34"/>
  <c r="E957" i="34"/>
  <c r="E958" i="34"/>
  <c r="E959" i="34"/>
  <c r="E960" i="34"/>
  <c r="E961" i="34"/>
  <c r="E962" i="34"/>
  <c r="E963" i="34"/>
  <c r="E964" i="34"/>
  <c r="E965" i="34"/>
  <c r="E966" i="34"/>
  <c r="E967" i="34"/>
  <c r="E968" i="34"/>
  <c r="E969" i="34"/>
  <c r="E970" i="34"/>
  <c r="E971" i="34"/>
  <c r="E972" i="34"/>
  <c r="E973" i="34"/>
  <c r="E974" i="34"/>
  <c r="E975" i="34"/>
  <c r="E976" i="34"/>
  <c r="E977" i="34"/>
  <c r="E978" i="34"/>
  <c r="E979" i="34"/>
  <c r="E980" i="34"/>
  <c r="E981" i="34"/>
  <c r="E982" i="34"/>
  <c r="E983" i="34"/>
  <c r="E984" i="34"/>
  <c r="E985" i="34"/>
  <c r="E986" i="34"/>
  <c r="E987" i="34"/>
  <c r="E988" i="34"/>
  <c r="E989" i="34"/>
  <c r="E990" i="34"/>
  <c r="E991" i="34"/>
  <c r="E992" i="34"/>
  <c r="E993" i="34"/>
  <c r="E994" i="34"/>
  <c r="E995" i="34"/>
  <c r="E996" i="34"/>
  <c r="E997" i="34"/>
  <c r="E998" i="34"/>
  <c r="E999" i="34"/>
  <c r="E1000" i="34"/>
  <c r="E1001" i="34"/>
  <c r="E1002" i="34"/>
  <c r="E1003" i="34"/>
  <c r="E1004" i="34"/>
  <c r="E1005" i="34"/>
  <c r="E1006" i="34"/>
  <c r="E1007" i="34"/>
  <c r="E1008" i="34"/>
  <c r="E1009" i="34"/>
  <c r="E1010" i="34"/>
  <c r="E1011" i="34"/>
  <c r="E1012" i="34"/>
  <c r="E1013" i="34"/>
  <c r="E1014" i="34"/>
  <c r="E1015" i="34"/>
  <c r="E1016" i="34"/>
  <c r="E1017" i="34"/>
  <c r="E1018" i="34"/>
  <c r="E1019" i="34"/>
  <c r="E1020" i="34"/>
  <c r="E1021" i="34"/>
  <c r="E1022" i="34"/>
  <c r="E1023" i="34"/>
  <c r="E1024" i="34"/>
  <c r="E1025" i="34"/>
  <c r="E1026" i="34"/>
  <c r="E1027" i="34"/>
  <c r="E1028" i="34"/>
  <c r="E1029" i="34"/>
  <c r="E1030" i="34"/>
  <c r="E1031" i="34"/>
  <c r="E1032" i="34"/>
  <c r="E1033" i="34"/>
  <c r="E1034" i="34"/>
  <c r="E1035" i="34"/>
  <c r="E1036" i="34"/>
  <c r="E1037" i="34"/>
  <c r="E1038" i="34"/>
  <c r="E1039" i="34"/>
  <c r="E1040" i="34"/>
  <c r="E1041" i="34"/>
  <c r="E1042" i="34"/>
  <c r="E1043" i="34"/>
  <c r="E1044" i="34"/>
  <c r="E1045" i="34"/>
  <c r="E1046" i="34"/>
  <c r="E1047" i="34"/>
  <c r="E1048" i="34"/>
  <c r="E1049" i="34"/>
  <c r="E1050" i="34"/>
  <c r="E1051" i="34"/>
  <c r="E1052" i="34"/>
  <c r="E1053" i="34"/>
  <c r="E1054" i="34"/>
  <c r="E1055" i="34"/>
  <c r="E1056" i="34"/>
  <c r="E1057" i="34"/>
  <c r="E1058" i="34"/>
  <c r="E1059" i="34"/>
  <c r="E1060" i="34"/>
  <c r="E1061" i="34"/>
  <c r="E1062" i="34"/>
  <c r="E1063" i="34"/>
  <c r="E1064" i="34"/>
  <c r="E1065" i="34"/>
  <c r="E1066" i="34"/>
  <c r="E1067" i="34"/>
  <c r="E1068" i="34"/>
  <c r="E1069" i="34"/>
  <c r="E1070" i="34"/>
  <c r="E1071" i="34"/>
  <c r="E1072" i="34"/>
  <c r="E1073" i="34"/>
  <c r="E1074" i="34"/>
  <c r="E1075" i="34"/>
  <c r="E1076" i="34"/>
  <c r="E1077" i="34"/>
  <c r="E1078" i="34"/>
  <c r="E1079" i="34"/>
  <c r="E1080" i="34"/>
  <c r="E1081" i="34"/>
  <c r="E1082" i="34"/>
  <c r="E1083" i="34"/>
  <c r="E1084" i="34"/>
  <c r="E1085" i="34"/>
  <c r="E1086" i="34"/>
  <c r="E1087" i="34"/>
  <c r="E1088" i="34"/>
  <c r="E1089" i="34"/>
  <c r="E1090" i="34"/>
  <c r="E1091" i="34"/>
  <c r="E1092" i="34"/>
  <c r="E1093" i="34"/>
  <c r="E1094" i="34"/>
  <c r="E1095" i="34"/>
  <c r="E1096" i="34"/>
  <c r="E1097" i="34"/>
  <c r="E1098" i="34"/>
  <c r="E1099" i="34"/>
  <c r="E1100" i="34"/>
  <c r="E1101" i="34"/>
  <c r="E1102" i="34"/>
  <c r="E1103" i="34"/>
  <c r="E1104" i="34"/>
  <c r="E1105" i="34"/>
  <c r="E1106" i="34"/>
  <c r="E1107" i="34"/>
  <c r="E1108" i="34"/>
  <c r="E1109" i="34"/>
  <c r="E1110" i="34"/>
  <c r="E1111" i="34"/>
  <c r="E1112" i="34"/>
  <c r="E1113" i="34"/>
  <c r="E1114" i="34"/>
  <c r="E1115" i="34"/>
  <c r="E1116" i="34"/>
  <c r="E1117" i="34"/>
  <c r="E1118" i="34"/>
  <c r="E1119" i="34"/>
  <c r="E1120" i="34"/>
  <c r="E1121" i="34"/>
  <c r="E1122" i="34"/>
  <c r="E1123" i="34"/>
  <c r="E1124" i="34"/>
  <c r="E1125" i="34"/>
  <c r="E1126" i="34"/>
  <c r="E1127" i="34"/>
  <c r="E1128" i="34"/>
  <c r="E1129" i="34"/>
  <c r="E1130" i="34"/>
  <c r="E1131" i="34"/>
  <c r="E1132" i="34"/>
  <c r="E1133" i="34"/>
  <c r="E1134" i="34"/>
  <c r="E1135" i="34"/>
  <c r="E1136" i="34"/>
  <c r="E1137" i="34"/>
  <c r="E1138" i="34"/>
  <c r="E1139" i="34"/>
  <c r="E1140" i="34"/>
  <c r="E1141" i="34"/>
  <c r="E1142" i="34"/>
  <c r="E1143" i="34"/>
  <c r="E1144" i="34"/>
  <c r="E1145" i="34"/>
  <c r="E1146" i="34"/>
  <c r="E1147" i="34"/>
  <c r="E1148" i="34"/>
  <c r="E1149" i="34"/>
  <c r="E1150" i="34"/>
  <c r="E1151" i="34"/>
  <c r="E1152" i="34"/>
  <c r="E1153" i="34"/>
  <c r="E1154" i="34"/>
  <c r="E1155" i="34"/>
  <c r="E1156" i="34"/>
  <c r="E1157" i="34"/>
  <c r="E1158" i="34"/>
  <c r="E1159" i="34"/>
  <c r="E1160" i="34"/>
  <c r="E1161" i="34"/>
  <c r="E1162" i="34"/>
  <c r="E1163" i="34"/>
  <c r="E1164" i="34"/>
  <c r="E1165" i="34"/>
  <c r="E1166" i="34"/>
  <c r="E1167" i="34"/>
  <c r="E1168" i="34"/>
  <c r="E1169" i="34"/>
  <c r="E1170" i="34"/>
  <c r="E1171" i="34"/>
  <c r="E1172" i="34"/>
  <c r="E1173" i="34"/>
  <c r="E1174" i="34"/>
  <c r="E1175" i="34"/>
  <c r="E1176" i="34"/>
  <c r="E1177" i="34"/>
  <c r="E1178" i="34"/>
  <c r="E1179" i="34"/>
  <c r="E1180" i="34"/>
  <c r="E1181" i="34"/>
  <c r="E1182" i="34"/>
  <c r="E1183" i="34"/>
  <c r="E1184" i="34"/>
  <c r="E1185" i="34"/>
  <c r="E1186" i="34"/>
  <c r="E1187" i="34"/>
  <c r="E1188" i="34"/>
  <c r="E1189" i="34"/>
  <c r="E1190" i="34"/>
  <c r="E1191" i="34"/>
  <c r="E1192" i="34"/>
  <c r="E1193" i="34"/>
  <c r="E1194" i="34"/>
  <c r="E1195" i="34"/>
  <c r="E1196" i="34"/>
  <c r="E1197" i="34"/>
  <c r="E1198" i="34"/>
  <c r="E1199" i="34"/>
  <c r="E1200" i="34"/>
  <c r="E1201" i="34"/>
  <c r="E1202" i="34"/>
  <c r="E1203" i="34"/>
  <c r="E1204" i="34"/>
  <c r="E1205" i="34"/>
  <c r="E1206" i="34"/>
  <c r="E1207" i="34"/>
  <c r="E1208" i="34"/>
  <c r="E1209" i="34"/>
  <c r="E1210" i="34"/>
  <c r="E1211" i="34"/>
  <c r="E1212" i="34"/>
  <c r="E1213" i="34"/>
  <c r="E1214" i="34"/>
  <c r="E1215" i="34"/>
  <c r="E1216" i="34"/>
  <c r="E1217" i="34"/>
  <c r="E1218" i="34"/>
  <c r="E1219" i="34"/>
  <c r="E1220" i="34"/>
  <c r="E1221" i="34"/>
  <c r="E1222" i="34"/>
  <c r="E1223" i="34"/>
  <c r="E1224" i="34"/>
  <c r="E1225" i="34"/>
  <c r="E1226" i="34"/>
  <c r="E1227" i="34"/>
  <c r="E1228" i="34"/>
  <c r="E1229" i="34"/>
  <c r="E1230" i="34"/>
  <c r="E1231" i="34"/>
  <c r="E1232" i="34"/>
  <c r="E1233" i="34"/>
  <c r="E1234" i="34"/>
  <c r="E1235" i="34"/>
  <c r="E1236" i="34"/>
  <c r="E1237" i="34"/>
  <c r="E1238" i="34"/>
  <c r="E1239" i="34"/>
  <c r="E1240" i="34"/>
  <c r="E1241" i="34"/>
  <c r="E1242" i="34"/>
  <c r="E1243" i="34"/>
  <c r="E1244" i="34"/>
  <c r="E1245" i="34"/>
  <c r="E1246" i="34"/>
  <c r="E1247" i="34"/>
  <c r="E1248" i="34"/>
  <c r="E1249" i="34"/>
  <c r="E1250" i="34"/>
  <c r="E1251" i="34"/>
  <c r="E1252" i="34"/>
  <c r="E1253" i="34"/>
  <c r="E1254" i="34"/>
  <c r="E1255" i="34"/>
  <c r="E1256" i="34"/>
  <c r="E1257" i="34"/>
  <c r="E1258" i="34"/>
  <c r="E1259" i="34"/>
  <c r="E1260" i="34"/>
  <c r="E1261" i="34"/>
  <c r="E1262" i="34"/>
  <c r="E1263" i="34"/>
  <c r="E1264" i="34"/>
  <c r="E1265" i="34"/>
  <c r="E1266" i="34"/>
  <c r="E1267" i="34"/>
  <c r="E1268" i="34"/>
  <c r="E1269" i="34"/>
  <c r="E1270" i="34"/>
  <c r="E1271" i="34"/>
  <c r="E1272" i="34"/>
  <c r="E1273" i="34"/>
  <c r="E1274" i="34"/>
  <c r="E1275" i="34"/>
  <c r="E1276" i="34"/>
  <c r="E1277" i="34"/>
  <c r="E1278" i="34"/>
  <c r="E1279" i="34"/>
  <c r="E1280" i="34"/>
  <c r="E1281" i="34"/>
  <c r="E1282" i="34"/>
  <c r="E1283" i="34"/>
  <c r="E1284" i="34"/>
  <c r="E1285" i="34"/>
  <c r="E1286" i="34"/>
  <c r="E1287" i="34"/>
  <c r="E1288" i="34"/>
  <c r="E1289" i="34"/>
  <c r="E1290" i="34"/>
  <c r="E1291" i="34"/>
  <c r="E1292" i="34"/>
  <c r="E1293" i="34"/>
  <c r="E1294" i="34"/>
  <c r="E1295" i="34"/>
  <c r="E1296" i="34"/>
  <c r="E1297" i="34"/>
  <c r="E1298" i="34"/>
  <c r="E1299" i="34"/>
  <c r="E1300" i="34"/>
  <c r="E1301" i="34"/>
  <c r="E1302" i="34"/>
  <c r="E1303" i="34"/>
  <c r="E1304" i="34"/>
  <c r="E1305" i="34"/>
  <c r="E1306" i="34"/>
  <c r="E1307" i="34"/>
  <c r="E1308" i="34"/>
  <c r="E1309" i="34"/>
  <c r="E1310" i="34"/>
  <c r="E1311" i="34"/>
  <c r="E1312" i="34"/>
  <c r="E1313" i="34"/>
  <c r="E1314" i="34"/>
  <c r="E1315" i="34"/>
  <c r="E1316" i="34"/>
  <c r="E1317" i="34"/>
  <c r="E1318" i="34"/>
  <c r="E1319" i="34"/>
  <c r="E1320" i="34"/>
  <c r="E1321" i="34"/>
  <c r="E1322" i="34"/>
  <c r="E1323" i="34"/>
  <c r="E1324" i="34"/>
  <c r="E1325" i="34"/>
  <c r="E1326" i="34"/>
  <c r="E1327" i="34"/>
  <c r="E1328" i="34"/>
  <c r="E1329" i="34"/>
  <c r="E1330" i="34"/>
  <c r="E1331" i="34"/>
  <c r="E1332" i="34"/>
  <c r="E1333" i="34"/>
  <c r="E1334" i="34"/>
  <c r="E1335" i="34"/>
  <c r="E1336" i="34"/>
  <c r="E1337" i="34"/>
  <c r="E1338" i="34"/>
  <c r="E1339" i="34"/>
  <c r="E1340" i="34"/>
  <c r="E1341" i="34"/>
  <c r="E1342" i="34"/>
  <c r="E1343" i="34"/>
  <c r="E1344" i="34"/>
  <c r="E1345" i="34"/>
  <c r="E1346" i="34"/>
  <c r="E1347" i="34"/>
  <c r="E1348" i="34"/>
  <c r="E1349" i="34"/>
  <c r="E1350" i="34"/>
  <c r="E1351" i="34"/>
  <c r="E1352" i="34"/>
  <c r="E1353" i="34"/>
  <c r="E1354" i="34"/>
  <c r="E1355" i="34"/>
  <c r="E1356" i="34"/>
  <c r="E1357" i="34"/>
  <c r="E1358" i="34"/>
  <c r="E1359" i="34"/>
  <c r="E1360" i="34"/>
  <c r="E1361" i="34"/>
  <c r="E1362" i="34"/>
  <c r="E1363" i="34"/>
  <c r="E1364" i="34"/>
  <c r="E1365" i="34"/>
  <c r="E1366" i="34"/>
  <c r="E1367" i="34"/>
  <c r="E1368" i="34"/>
  <c r="E1369" i="34"/>
  <c r="E1370" i="34"/>
  <c r="E1371" i="34"/>
  <c r="E1372" i="34"/>
  <c r="E1373" i="34"/>
  <c r="E1374" i="34"/>
  <c r="E1375" i="34"/>
  <c r="E1376" i="34"/>
  <c r="E1377" i="34"/>
  <c r="E1378" i="34"/>
  <c r="E1379" i="34"/>
  <c r="E1380" i="34"/>
  <c r="E1381" i="34"/>
  <c r="E1382" i="34"/>
  <c r="E1383" i="34"/>
  <c r="E1384" i="34"/>
  <c r="E1385" i="34"/>
  <c r="E1386" i="34"/>
  <c r="E1387" i="34"/>
  <c r="E1388" i="34"/>
  <c r="E1389" i="34"/>
  <c r="E1390" i="34"/>
  <c r="E1391" i="34"/>
  <c r="E1392" i="34"/>
  <c r="E1393" i="34"/>
  <c r="E1394" i="34"/>
  <c r="E1395" i="34"/>
  <c r="E1396" i="34"/>
  <c r="E1397" i="34"/>
  <c r="E1398" i="34"/>
  <c r="E1399" i="34"/>
  <c r="E1400" i="34"/>
  <c r="E1401" i="34"/>
  <c r="E1402" i="34"/>
  <c r="E1403" i="34"/>
  <c r="E1404" i="34"/>
  <c r="E1405" i="34"/>
  <c r="E1406" i="34"/>
  <c r="E1407" i="34"/>
  <c r="E1408" i="34"/>
  <c r="E1409" i="34"/>
  <c r="E1410" i="34"/>
  <c r="E1411" i="34"/>
  <c r="E1412" i="34"/>
  <c r="E1413" i="34"/>
  <c r="E1414" i="34"/>
  <c r="E1415" i="34"/>
  <c r="E1416" i="34"/>
  <c r="E1417" i="34"/>
  <c r="E1418" i="34"/>
  <c r="E1419" i="34"/>
  <c r="E1420" i="34"/>
  <c r="E1421" i="34"/>
  <c r="E1422" i="34"/>
  <c r="E1423" i="34"/>
  <c r="E1424" i="34"/>
  <c r="E1425" i="34"/>
  <c r="E1426" i="34"/>
  <c r="E1427" i="34"/>
  <c r="E1428" i="34"/>
  <c r="E1429" i="34"/>
  <c r="E1430" i="34"/>
  <c r="E1431" i="34"/>
  <c r="E1432" i="34"/>
  <c r="E1433" i="34"/>
  <c r="E1434" i="34"/>
  <c r="E1435" i="34"/>
  <c r="E1436" i="34"/>
  <c r="E1437" i="34"/>
  <c r="E1438" i="34"/>
  <c r="E1439" i="34"/>
  <c r="E1440" i="34"/>
  <c r="E1441" i="34"/>
  <c r="E1442" i="34"/>
  <c r="E1443" i="34"/>
  <c r="E1444" i="34"/>
  <c r="E1445" i="34"/>
  <c r="E1446" i="34"/>
  <c r="E1447" i="34"/>
  <c r="E1448" i="34"/>
  <c r="E1449" i="34"/>
  <c r="E1450" i="34"/>
  <c r="E1451" i="34"/>
  <c r="E1452" i="34"/>
  <c r="E1453" i="34"/>
  <c r="E1454" i="34"/>
  <c r="E1455" i="34"/>
  <c r="E1456" i="34"/>
  <c r="E1457" i="34"/>
  <c r="E1458" i="34"/>
  <c r="E1459" i="34"/>
  <c r="E1460" i="34"/>
  <c r="E1461" i="34"/>
  <c r="E1462" i="34"/>
  <c r="E1463" i="34"/>
  <c r="E1464" i="34"/>
  <c r="E1465" i="34"/>
  <c r="E1466" i="34"/>
  <c r="E1467" i="34"/>
  <c r="E1468" i="34"/>
  <c r="E1469" i="34"/>
  <c r="E1470" i="34"/>
  <c r="E1471" i="34"/>
  <c r="E1472" i="34"/>
  <c r="E1473" i="34"/>
  <c r="E1474" i="34"/>
  <c r="E1475" i="34"/>
  <c r="E1476" i="34"/>
  <c r="E1477" i="34"/>
  <c r="E1478" i="34"/>
  <c r="E1479" i="34"/>
  <c r="E1480" i="34"/>
  <c r="E1481" i="34"/>
  <c r="E1482" i="34"/>
  <c r="E1483" i="34"/>
  <c r="E1484" i="34"/>
  <c r="E1485" i="34"/>
  <c r="E1486" i="34"/>
  <c r="E1487" i="34"/>
  <c r="E1488" i="34"/>
  <c r="E1489" i="34"/>
  <c r="E1490" i="34"/>
  <c r="E1491" i="34"/>
  <c r="E1492" i="34"/>
  <c r="E1493" i="34"/>
  <c r="E1494" i="34"/>
  <c r="E1495" i="34"/>
  <c r="E1496" i="34"/>
  <c r="E1497" i="34"/>
  <c r="E1498" i="34"/>
  <c r="E1499" i="34"/>
  <c r="E1500" i="34"/>
  <c r="E1501" i="34"/>
  <c r="E1502" i="34"/>
  <c r="E1503" i="34"/>
  <c r="E1504" i="34"/>
  <c r="E1505" i="34"/>
  <c r="E1506" i="34"/>
  <c r="E1507" i="34"/>
  <c r="E1508" i="34"/>
  <c r="E1509" i="34"/>
  <c r="E1510" i="34"/>
  <c r="E1511" i="34"/>
  <c r="E1512" i="34"/>
  <c r="E1513" i="34"/>
  <c r="E1514" i="34"/>
  <c r="E1515" i="34"/>
  <c r="E1516" i="34"/>
  <c r="E1517" i="34"/>
  <c r="E1518" i="34"/>
  <c r="E1519" i="34"/>
  <c r="E1520" i="34"/>
  <c r="E1521" i="34"/>
  <c r="E1522" i="34"/>
  <c r="E1523" i="34"/>
  <c r="E1524" i="34"/>
  <c r="E1525" i="34"/>
  <c r="E1526" i="34"/>
  <c r="E1527" i="34"/>
  <c r="E1528" i="34"/>
  <c r="E1529" i="34"/>
  <c r="E1530" i="34"/>
  <c r="E1531" i="34"/>
  <c r="E1532" i="34"/>
  <c r="E1533" i="34"/>
  <c r="E1534" i="34"/>
  <c r="E1535" i="34"/>
  <c r="E1536" i="34"/>
  <c r="E1537" i="34"/>
  <c r="E1538" i="34"/>
  <c r="E1539" i="34"/>
  <c r="E1540" i="34"/>
  <c r="E1541" i="34"/>
  <c r="E1542" i="34"/>
  <c r="E1543" i="34"/>
  <c r="E1544" i="34"/>
  <c r="E1545" i="34"/>
  <c r="E1546" i="34"/>
  <c r="E1547" i="34"/>
  <c r="E1548" i="34"/>
  <c r="E1549" i="34"/>
  <c r="E1550" i="34"/>
  <c r="E1551" i="34"/>
  <c r="E1552" i="34"/>
  <c r="E1553" i="34"/>
  <c r="E1554" i="34"/>
  <c r="E1555" i="34"/>
  <c r="E1556" i="34"/>
  <c r="E1557" i="34"/>
  <c r="E1558" i="34"/>
  <c r="E1559" i="34"/>
  <c r="E1560" i="34"/>
  <c r="E1561" i="34"/>
  <c r="E1562" i="34"/>
  <c r="E1563" i="34"/>
  <c r="E1564" i="34"/>
  <c r="E1565" i="34"/>
  <c r="E1566" i="34"/>
  <c r="E1567" i="34"/>
  <c r="E1568" i="34"/>
  <c r="E1569" i="34"/>
  <c r="E1570" i="34"/>
  <c r="E1571" i="34"/>
  <c r="E1572" i="34"/>
  <c r="E1573" i="34"/>
  <c r="E1574" i="34"/>
  <c r="E1575" i="34"/>
  <c r="E1576" i="34"/>
  <c r="E1577" i="34"/>
  <c r="E1578" i="34"/>
  <c r="E1579" i="34"/>
  <c r="E1580" i="34"/>
  <c r="E1581" i="34"/>
  <c r="E1582" i="34"/>
  <c r="E1583" i="34"/>
  <c r="E1584" i="34"/>
  <c r="E1585" i="34"/>
  <c r="E1586" i="34"/>
  <c r="E1587" i="34"/>
  <c r="E1588" i="34"/>
  <c r="E1589" i="34"/>
  <c r="E1590" i="34"/>
  <c r="E1591" i="34"/>
  <c r="E1592" i="34"/>
  <c r="E1593" i="34"/>
  <c r="E1594" i="34"/>
  <c r="E1595" i="34"/>
  <c r="E1596" i="34"/>
  <c r="E1597" i="34"/>
  <c r="E1598" i="34"/>
  <c r="E1599" i="34"/>
  <c r="E1600" i="34"/>
  <c r="E1601" i="34"/>
  <c r="E1602" i="34"/>
  <c r="E1603" i="34"/>
  <c r="E1604" i="34"/>
  <c r="E1605" i="34"/>
  <c r="E1606" i="34"/>
  <c r="E1607" i="34"/>
  <c r="E1608" i="34"/>
  <c r="E1609" i="34"/>
  <c r="E1610" i="34"/>
  <c r="E1611" i="34"/>
  <c r="E1612" i="34"/>
  <c r="E1613" i="34"/>
  <c r="E1614" i="34"/>
  <c r="E1615" i="34"/>
  <c r="E1616" i="34"/>
  <c r="E1617" i="34"/>
  <c r="E1618" i="34"/>
  <c r="E1619" i="34"/>
  <c r="E1620" i="34"/>
  <c r="E1621" i="34"/>
  <c r="E1622" i="34"/>
  <c r="E1623" i="34"/>
  <c r="E1624" i="34"/>
  <c r="E1625" i="34"/>
  <c r="E1626" i="34"/>
  <c r="E1627" i="34"/>
  <c r="E1628" i="34"/>
  <c r="E1629" i="34"/>
  <c r="E1630" i="34"/>
  <c r="E1631" i="34"/>
  <c r="E1632" i="34"/>
  <c r="E1633" i="34"/>
  <c r="E1634" i="34"/>
  <c r="E1635" i="34"/>
  <c r="E1636" i="34"/>
  <c r="E1637" i="34"/>
  <c r="E1638" i="34"/>
  <c r="E1639" i="34"/>
  <c r="E1640" i="34"/>
  <c r="E1641" i="34"/>
  <c r="E1642" i="34"/>
  <c r="E1643" i="34"/>
  <c r="E1644" i="34"/>
  <c r="E1645" i="34"/>
  <c r="E1646" i="34"/>
  <c r="E1647" i="34"/>
  <c r="E1648" i="34"/>
  <c r="E1649" i="34"/>
  <c r="E1650" i="34"/>
  <c r="E1651" i="34"/>
  <c r="E1652" i="34"/>
  <c r="E1653" i="34"/>
  <c r="E1654" i="34"/>
  <c r="E1655" i="34"/>
  <c r="E1656" i="34"/>
  <c r="E1657" i="34"/>
  <c r="E1658" i="34"/>
  <c r="E1659" i="34"/>
  <c r="E1660" i="34"/>
  <c r="E1661" i="34"/>
  <c r="E1662" i="34"/>
  <c r="E1663" i="34"/>
  <c r="E1664" i="34"/>
  <c r="E1665" i="34"/>
  <c r="E1666" i="34"/>
  <c r="E1667" i="34"/>
  <c r="E1668" i="34"/>
  <c r="E1669" i="34"/>
  <c r="E1670" i="34"/>
  <c r="E1671" i="34"/>
  <c r="E1672" i="34"/>
  <c r="E1673" i="34"/>
  <c r="E1674" i="34"/>
  <c r="E1675" i="34"/>
  <c r="E1676" i="34"/>
  <c r="E1677" i="34"/>
  <c r="E1678" i="34"/>
  <c r="E1679" i="34"/>
  <c r="E1680" i="34"/>
  <c r="E1681" i="34"/>
  <c r="E1682" i="34"/>
  <c r="E1683" i="34"/>
  <c r="E1684" i="34"/>
  <c r="E1685" i="34"/>
  <c r="E1686" i="34"/>
  <c r="E1687" i="34"/>
  <c r="E1688" i="34"/>
  <c r="E1689" i="34"/>
  <c r="E1690" i="34"/>
  <c r="E1691" i="34"/>
  <c r="E1692" i="34"/>
  <c r="E1693" i="34"/>
  <c r="E1694" i="34"/>
  <c r="E1695" i="34"/>
  <c r="E1696" i="34"/>
  <c r="E1697" i="34"/>
  <c r="E1698" i="34"/>
  <c r="E1699" i="34"/>
  <c r="E1700" i="34"/>
  <c r="E1701" i="34"/>
  <c r="E1702" i="34"/>
  <c r="E1703" i="34"/>
  <c r="E1704" i="34"/>
  <c r="E1705" i="34"/>
  <c r="E1706" i="34"/>
  <c r="E1707" i="34"/>
  <c r="E1708" i="34"/>
  <c r="E1709" i="34"/>
  <c r="E1710" i="34"/>
  <c r="E1711" i="34"/>
  <c r="E1712" i="34"/>
  <c r="E1713" i="34"/>
  <c r="E1714" i="34"/>
  <c r="E1715" i="34"/>
  <c r="E1716" i="34"/>
  <c r="E1717" i="34"/>
  <c r="E1718" i="34"/>
  <c r="E1719" i="34"/>
  <c r="E1720" i="34"/>
  <c r="E1721" i="34"/>
  <c r="E1722" i="34"/>
  <c r="E1723" i="34"/>
  <c r="E1724" i="34"/>
  <c r="E1725" i="34"/>
  <c r="E1726" i="34"/>
  <c r="E1727" i="34"/>
  <c r="E1728" i="34"/>
  <c r="E1729" i="34"/>
  <c r="E1730" i="34"/>
  <c r="E1731" i="34"/>
  <c r="E1732" i="34"/>
  <c r="E1733" i="34"/>
  <c r="E1734" i="34"/>
  <c r="E1735" i="34"/>
  <c r="E1736" i="34"/>
  <c r="E1737" i="34"/>
  <c r="E1738" i="34"/>
  <c r="E1739" i="34"/>
  <c r="E1740" i="34"/>
  <c r="E1741" i="34"/>
  <c r="E1742" i="34"/>
  <c r="E1743" i="34"/>
  <c r="E1744" i="34"/>
  <c r="E1745" i="34"/>
  <c r="E1746" i="34"/>
  <c r="E1747" i="34"/>
  <c r="E1748" i="34"/>
  <c r="E1749" i="34"/>
  <c r="E1750" i="34"/>
  <c r="E1751" i="34"/>
  <c r="E1752" i="34"/>
  <c r="E1753" i="34"/>
  <c r="E1754" i="34"/>
  <c r="E1755" i="34"/>
  <c r="E1756" i="34"/>
  <c r="E1757" i="34"/>
  <c r="E1758" i="34"/>
  <c r="E1759" i="34"/>
  <c r="E1760" i="34"/>
  <c r="E1761" i="34"/>
  <c r="E1762" i="34"/>
  <c r="E1763" i="34"/>
  <c r="E1764" i="34"/>
  <c r="E1765" i="34"/>
  <c r="E1766" i="34"/>
  <c r="E1767" i="34"/>
  <c r="E1768" i="34"/>
  <c r="E1769" i="34"/>
  <c r="E1770" i="34"/>
  <c r="E1771" i="34"/>
  <c r="E1772" i="34"/>
  <c r="E1773" i="34"/>
  <c r="E1774" i="34"/>
  <c r="E1775" i="34"/>
  <c r="E1776" i="34"/>
  <c r="E1777" i="34"/>
  <c r="E1778" i="34"/>
  <c r="E1779" i="34"/>
  <c r="E1780" i="34"/>
  <c r="E1781" i="34"/>
  <c r="E1782" i="34"/>
  <c r="E1783" i="34"/>
  <c r="E1784" i="34"/>
  <c r="E1785" i="34"/>
  <c r="E1786" i="34"/>
  <c r="E1787" i="34"/>
  <c r="E1788" i="34"/>
  <c r="E1789" i="34"/>
  <c r="E1790" i="34"/>
  <c r="E1791" i="34"/>
  <c r="E1792" i="34"/>
  <c r="E1793" i="34"/>
  <c r="E1794" i="34"/>
  <c r="E1795" i="34"/>
  <c r="E1796" i="34"/>
  <c r="E1797" i="34"/>
  <c r="E1798" i="34"/>
  <c r="E1799" i="34"/>
  <c r="E1800" i="34"/>
  <c r="E1801" i="34"/>
  <c r="E1802" i="34"/>
  <c r="E1803" i="34"/>
  <c r="E1804" i="34"/>
  <c r="E1805" i="34"/>
  <c r="E1806" i="34"/>
  <c r="E1807" i="34"/>
  <c r="E1808" i="34"/>
  <c r="E1809" i="34"/>
  <c r="E1810" i="34"/>
  <c r="E1811" i="34"/>
  <c r="E1812" i="34"/>
  <c r="E1813" i="34"/>
  <c r="E1814" i="34"/>
  <c r="E1815" i="34"/>
  <c r="E1816" i="34"/>
  <c r="E1817" i="34"/>
  <c r="E1818" i="34"/>
  <c r="E1819" i="34"/>
  <c r="E1820" i="34"/>
  <c r="E1821" i="34"/>
  <c r="E1822" i="34"/>
  <c r="E1823" i="34"/>
  <c r="E1824" i="34"/>
  <c r="E1825" i="34"/>
  <c r="E1826" i="34"/>
  <c r="E1827" i="34"/>
  <c r="E1828" i="34"/>
  <c r="E1829" i="34"/>
  <c r="E1830" i="34"/>
  <c r="E1831" i="34"/>
  <c r="E1832" i="34"/>
  <c r="E1833" i="34"/>
  <c r="E1834" i="34"/>
  <c r="E1835" i="34"/>
  <c r="E1836" i="34"/>
  <c r="E1837" i="34"/>
  <c r="E1838" i="34"/>
  <c r="E1839" i="34"/>
  <c r="E1840" i="34"/>
  <c r="E1841" i="34"/>
  <c r="E1842" i="34"/>
  <c r="E1843" i="34"/>
  <c r="E1844" i="34"/>
  <c r="E1845" i="34"/>
  <c r="E1846" i="34"/>
  <c r="E1847" i="34"/>
  <c r="E1848" i="34"/>
  <c r="E1849" i="34"/>
  <c r="E1850" i="34"/>
  <c r="E1851" i="34"/>
  <c r="E1852" i="34"/>
  <c r="E1853" i="34"/>
  <c r="E1854" i="34"/>
  <c r="E1855" i="34"/>
  <c r="E1856" i="34"/>
  <c r="E1857" i="34"/>
  <c r="E1858" i="34"/>
  <c r="E1859" i="34"/>
  <c r="E1860" i="34"/>
  <c r="E1861" i="34"/>
  <c r="E1862" i="34"/>
  <c r="E1863" i="34"/>
  <c r="E1864" i="34"/>
  <c r="E1865" i="34"/>
  <c r="E1866" i="34"/>
  <c r="E1867" i="34"/>
  <c r="E1868" i="34"/>
  <c r="E1869" i="34"/>
  <c r="E1870" i="34"/>
  <c r="E1871" i="34"/>
  <c r="E1872" i="34"/>
  <c r="E1873" i="34"/>
  <c r="E1874" i="34"/>
  <c r="E1875" i="34"/>
  <c r="E1876" i="34"/>
  <c r="E1877" i="34"/>
  <c r="E1878" i="34"/>
  <c r="E1879" i="34"/>
  <c r="E1880" i="34"/>
  <c r="E1881" i="34"/>
  <c r="E1882" i="34"/>
  <c r="E1883" i="34"/>
  <c r="E1884" i="34"/>
  <c r="E1885" i="34"/>
  <c r="E1886" i="34"/>
  <c r="E1887" i="34"/>
  <c r="E1888" i="34"/>
  <c r="E1889" i="34"/>
  <c r="E1890" i="34"/>
  <c r="E1891" i="34"/>
  <c r="E1892" i="34"/>
  <c r="E1893" i="34"/>
  <c r="E1894" i="34"/>
  <c r="E1895" i="34"/>
  <c r="E1896" i="34"/>
  <c r="E1897" i="34"/>
  <c r="E1898" i="34"/>
  <c r="E1899" i="34"/>
  <c r="E1900" i="34"/>
  <c r="E1901" i="34"/>
  <c r="E1902" i="34"/>
  <c r="E1903" i="34"/>
  <c r="E1904" i="34"/>
  <c r="E1905" i="34"/>
  <c r="E1906" i="34"/>
  <c r="E1907" i="34"/>
  <c r="E1908" i="34"/>
  <c r="E1909" i="34"/>
  <c r="E1910" i="34"/>
  <c r="E1911" i="34"/>
  <c r="E1912" i="34"/>
  <c r="E1913" i="34"/>
  <c r="E1914" i="34"/>
  <c r="E1915" i="34"/>
  <c r="E1916" i="34"/>
  <c r="E1917" i="34"/>
  <c r="E1918" i="34"/>
  <c r="E1919" i="34"/>
  <c r="E1920" i="34"/>
  <c r="E1921" i="34"/>
  <c r="E1922" i="34"/>
  <c r="E1923" i="34"/>
  <c r="E1924" i="34"/>
  <c r="E1925" i="34"/>
  <c r="E1926" i="34"/>
  <c r="E1927" i="34"/>
  <c r="E1928" i="34"/>
  <c r="E1929" i="34"/>
  <c r="E1930" i="34"/>
  <c r="E1931" i="34"/>
  <c r="E1932" i="34"/>
  <c r="E1933" i="34"/>
  <c r="E1934" i="34"/>
  <c r="E1935" i="34"/>
  <c r="E1936" i="34"/>
  <c r="E1937" i="34"/>
  <c r="E1938" i="34"/>
  <c r="E1939" i="34"/>
  <c r="E1940" i="34"/>
  <c r="E1941" i="34"/>
  <c r="E1942" i="34"/>
  <c r="E1943" i="34"/>
  <c r="E1944" i="34"/>
  <c r="E1945" i="34"/>
  <c r="E1946" i="34"/>
  <c r="E1947" i="34"/>
  <c r="E1948" i="34"/>
  <c r="E1949" i="34"/>
  <c r="E1950" i="34"/>
  <c r="E1951" i="34"/>
  <c r="E1952" i="34"/>
  <c r="E1953" i="34"/>
  <c r="E1954" i="34"/>
  <c r="E1955" i="34"/>
  <c r="E1956" i="34"/>
  <c r="E1957" i="34"/>
  <c r="E1958" i="34"/>
  <c r="E1959" i="34"/>
  <c r="E1960" i="34"/>
  <c r="E1961" i="34"/>
  <c r="E1962" i="34"/>
  <c r="E1963" i="34"/>
  <c r="E1964" i="34"/>
  <c r="E1965" i="34"/>
  <c r="E1966" i="34"/>
  <c r="E1967" i="34"/>
  <c r="E1968" i="34"/>
  <c r="E1969" i="34"/>
  <c r="E1970" i="34"/>
  <c r="E1971" i="34"/>
  <c r="E1972" i="34"/>
  <c r="E1973" i="34"/>
  <c r="E1974" i="34"/>
  <c r="E1975" i="34"/>
  <c r="E1976" i="34"/>
  <c r="E1977" i="34"/>
  <c r="E1978" i="34"/>
  <c r="E1979" i="34"/>
  <c r="E1980" i="34"/>
  <c r="E1981" i="34"/>
  <c r="E1982" i="34"/>
  <c r="E1983" i="34"/>
  <c r="E1984" i="34"/>
  <c r="E1985" i="34"/>
  <c r="E1986" i="34"/>
  <c r="E1987" i="34"/>
  <c r="E1988" i="34"/>
  <c r="E1989" i="34"/>
  <c r="E1990" i="34"/>
  <c r="E1991" i="34"/>
  <c r="E1992" i="34"/>
  <c r="E1993" i="34"/>
  <c r="E1994" i="34"/>
  <c r="E1995" i="34"/>
  <c r="E1996" i="34"/>
  <c r="E1997" i="34"/>
  <c r="E1998" i="34"/>
  <c r="E1999" i="34"/>
  <c r="E2000" i="34"/>
  <c r="E2001" i="34"/>
  <c r="E2002" i="34"/>
  <c r="E2003" i="34"/>
  <c r="E2004" i="34"/>
  <c r="E2005" i="34"/>
  <c r="E2006" i="34"/>
  <c r="E2007" i="34"/>
  <c r="E2008" i="34"/>
  <c r="E2009" i="34"/>
  <c r="E2010" i="34"/>
  <c r="E2011" i="34"/>
  <c r="E2012" i="34"/>
  <c r="E2013" i="34"/>
  <c r="E2014" i="34"/>
  <c r="E2015" i="34"/>
  <c r="E2016" i="34"/>
  <c r="E2017" i="34"/>
  <c r="E2018" i="34"/>
  <c r="E2019" i="34"/>
  <c r="E2020" i="34"/>
  <c r="E2021" i="34"/>
  <c r="E2022" i="34"/>
  <c r="E2023" i="34"/>
  <c r="E2024" i="34"/>
  <c r="E2025" i="34"/>
  <c r="E2026" i="34"/>
  <c r="E2027" i="34"/>
  <c r="E2028" i="34"/>
  <c r="E2029" i="34"/>
  <c r="E2030" i="34"/>
  <c r="E2031" i="34"/>
  <c r="E2032" i="34"/>
  <c r="E2033" i="34"/>
  <c r="E2034" i="34"/>
  <c r="E2035" i="34"/>
  <c r="E2036" i="34"/>
  <c r="E2037" i="34"/>
  <c r="E2038" i="34"/>
  <c r="E2039" i="34"/>
  <c r="E2040" i="34"/>
  <c r="E2041" i="34"/>
  <c r="E2042" i="34"/>
  <c r="E2043" i="34"/>
  <c r="E2044" i="34"/>
  <c r="E2045" i="34"/>
  <c r="E2046" i="34"/>
  <c r="E2047" i="34"/>
  <c r="E2048" i="34"/>
  <c r="E2049" i="34"/>
  <c r="E2050" i="34"/>
  <c r="E2051" i="34"/>
  <c r="E2052" i="34"/>
  <c r="E2053" i="34"/>
  <c r="E2054" i="34"/>
  <c r="E2055" i="34"/>
  <c r="E2056" i="34"/>
  <c r="E2057" i="34"/>
  <c r="E2058" i="34"/>
  <c r="E2059" i="34"/>
  <c r="E2060" i="34"/>
  <c r="E2061" i="34"/>
  <c r="E2062" i="34"/>
  <c r="E2063" i="34"/>
  <c r="E2064" i="34"/>
  <c r="E2065" i="34"/>
  <c r="E2066" i="34"/>
  <c r="E2067" i="34"/>
  <c r="E2068" i="34"/>
  <c r="E2069" i="34"/>
  <c r="E2070" i="34"/>
  <c r="E2071" i="34"/>
  <c r="E2072" i="34"/>
  <c r="E2073" i="34"/>
  <c r="E2074" i="34"/>
  <c r="E2075" i="34"/>
  <c r="E2076" i="34"/>
  <c r="E2077" i="34"/>
  <c r="E2078" i="34"/>
  <c r="E2079" i="34"/>
  <c r="E2080" i="34"/>
  <c r="E2081" i="34"/>
  <c r="E2082" i="34"/>
  <c r="E2083" i="34"/>
  <c r="E2084" i="34"/>
  <c r="E2085" i="34"/>
  <c r="E2086" i="34"/>
  <c r="E2087" i="34"/>
  <c r="E2088" i="34"/>
  <c r="E2089" i="34"/>
  <c r="E2090" i="34"/>
  <c r="E2091" i="34"/>
  <c r="E2092" i="34"/>
  <c r="E2093" i="34"/>
  <c r="E2094" i="34"/>
  <c r="E2095" i="34"/>
  <c r="E2096" i="34"/>
  <c r="E2097" i="34"/>
  <c r="E2098" i="34"/>
  <c r="E2099" i="34"/>
  <c r="E2100" i="34"/>
  <c r="E2101" i="34"/>
  <c r="E2102" i="34"/>
  <c r="E2103" i="34"/>
  <c r="E2104" i="34"/>
  <c r="E2105" i="34"/>
  <c r="E2106" i="34"/>
  <c r="E2107" i="34"/>
  <c r="E2108" i="34"/>
  <c r="E2109" i="34"/>
  <c r="E2110" i="34"/>
  <c r="E2111" i="34"/>
  <c r="E2112" i="34"/>
  <c r="E2113" i="34"/>
  <c r="E2114" i="34"/>
  <c r="E2115" i="34"/>
  <c r="E2116" i="34"/>
  <c r="E2117" i="34"/>
  <c r="E2118" i="34"/>
  <c r="E2119" i="34"/>
  <c r="E2120" i="34"/>
  <c r="E2121" i="34"/>
  <c r="E2122" i="34"/>
  <c r="E2123" i="34"/>
  <c r="E2124" i="34"/>
  <c r="E2125" i="34"/>
  <c r="E2126" i="34"/>
  <c r="E2127" i="34"/>
  <c r="E2128" i="34"/>
  <c r="E2129" i="34"/>
  <c r="E2130" i="34"/>
  <c r="E2131" i="34"/>
  <c r="E2132" i="34"/>
  <c r="E2133" i="34"/>
  <c r="E2134" i="34"/>
  <c r="E2135" i="34"/>
  <c r="E2136" i="34"/>
  <c r="E2137" i="34"/>
  <c r="E2138" i="34"/>
  <c r="E2139" i="34"/>
  <c r="E2140" i="34"/>
  <c r="E2141" i="34"/>
  <c r="E2142" i="34"/>
  <c r="E2143" i="34"/>
  <c r="E2144" i="34"/>
  <c r="E2145" i="34"/>
  <c r="E2146" i="34"/>
  <c r="E2147" i="34"/>
  <c r="E2148" i="34"/>
  <c r="E2149" i="34"/>
  <c r="E2150" i="34"/>
  <c r="E2151" i="34"/>
  <c r="E2152" i="34"/>
  <c r="E2153" i="34"/>
  <c r="E2154" i="34"/>
  <c r="E2155" i="34"/>
  <c r="E2156" i="34"/>
  <c r="E2157" i="34"/>
  <c r="E2158" i="34"/>
  <c r="E2159" i="34"/>
  <c r="E2160" i="34"/>
  <c r="E2161" i="34"/>
  <c r="E2162" i="34"/>
  <c r="E2163" i="34"/>
  <c r="E2164" i="34"/>
  <c r="E2165" i="34"/>
  <c r="E2166" i="34"/>
  <c r="E2167" i="34"/>
  <c r="E2168" i="34"/>
  <c r="E2169" i="34"/>
  <c r="E2170" i="34"/>
  <c r="E2171" i="34"/>
  <c r="E2172" i="34"/>
  <c r="E2173" i="34"/>
  <c r="E2174" i="34"/>
  <c r="E2175" i="34"/>
  <c r="E2176" i="34"/>
  <c r="E2177" i="34"/>
  <c r="E2178" i="34"/>
  <c r="E2179" i="34"/>
  <c r="E2180" i="34"/>
  <c r="E2181" i="34"/>
  <c r="E2182" i="34"/>
  <c r="E2183" i="34"/>
  <c r="E2184" i="34"/>
  <c r="E2185" i="34"/>
  <c r="E2186" i="34"/>
  <c r="E2187" i="34"/>
  <c r="E2188" i="34"/>
  <c r="E2189" i="34"/>
  <c r="E2190" i="34"/>
  <c r="E2191" i="34"/>
  <c r="E2192" i="34"/>
  <c r="E2193" i="34"/>
  <c r="E2194" i="34"/>
  <c r="E2195" i="34"/>
  <c r="E2196" i="34"/>
  <c r="E2197" i="34"/>
  <c r="E2198" i="34"/>
  <c r="E2199" i="34"/>
  <c r="E2200" i="34"/>
  <c r="E2201" i="34"/>
  <c r="E2202" i="34"/>
  <c r="E2203" i="34"/>
  <c r="E2204" i="34"/>
  <c r="E2205" i="34"/>
  <c r="E2206" i="34"/>
  <c r="E2207" i="34"/>
  <c r="E2208" i="34"/>
  <c r="E2209" i="34"/>
  <c r="E2210" i="34"/>
  <c r="E2211" i="34"/>
  <c r="E2212" i="34"/>
  <c r="E2213" i="34"/>
  <c r="E2214" i="34"/>
  <c r="E2215" i="34"/>
  <c r="E2216" i="34"/>
  <c r="E2217" i="34"/>
  <c r="E2218" i="34"/>
  <c r="E2219" i="34"/>
  <c r="E2220" i="34"/>
  <c r="E2221" i="34"/>
  <c r="E2222" i="34"/>
  <c r="E2223" i="34"/>
  <c r="E2224" i="34"/>
  <c r="E2225" i="34"/>
  <c r="E2226" i="34"/>
  <c r="E2227" i="34"/>
  <c r="E2228" i="34"/>
  <c r="E2229" i="34"/>
  <c r="E2230" i="34"/>
  <c r="E2231" i="34"/>
  <c r="E2232" i="34"/>
  <c r="E2233" i="34"/>
  <c r="E2234" i="34"/>
  <c r="E2235" i="34"/>
  <c r="E2236" i="34"/>
  <c r="E2237" i="34"/>
  <c r="E2238" i="34"/>
  <c r="E2239" i="34"/>
  <c r="E2240" i="34"/>
  <c r="E2241" i="34"/>
  <c r="E2242" i="34"/>
  <c r="E2243" i="34"/>
  <c r="E2244" i="34"/>
  <c r="E2245" i="34"/>
  <c r="E2246" i="34"/>
  <c r="E2247" i="34"/>
  <c r="E2248" i="34"/>
  <c r="E2249" i="34"/>
  <c r="E2250" i="34"/>
  <c r="E2251" i="34"/>
  <c r="E2252" i="34"/>
  <c r="E2253" i="34"/>
  <c r="E2254" i="34"/>
  <c r="E2255" i="34"/>
  <c r="E2256" i="34"/>
  <c r="E2257" i="34"/>
  <c r="E2258" i="34"/>
  <c r="E2259" i="34"/>
  <c r="E2260" i="34"/>
  <c r="E2261" i="34"/>
  <c r="E2262" i="34"/>
  <c r="E2263" i="34"/>
  <c r="E2264" i="34"/>
  <c r="E2265" i="34"/>
  <c r="E2266" i="34"/>
  <c r="E2267" i="34"/>
  <c r="E2268" i="34"/>
  <c r="E2269" i="34"/>
  <c r="E2270" i="34"/>
  <c r="E2271" i="34"/>
  <c r="E2272" i="34"/>
  <c r="E2273" i="34"/>
  <c r="E2274" i="34"/>
  <c r="E2275" i="34"/>
  <c r="E2276" i="34"/>
  <c r="E2277" i="34"/>
  <c r="E2278" i="34"/>
  <c r="E2279" i="34"/>
  <c r="E2280" i="34"/>
  <c r="E2281" i="34"/>
  <c r="E2282" i="34"/>
  <c r="E2283" i="34"/>
  <c r="E2284" i="34"/>
  <c r="E2285" i="34"/>
  <c r="E2286" i="34"/>
  <c r="E2287" i="34"/>
  <c r="E2288" i="34"/>
  <c r="E2289" i="34"/>
  <c r="E2290" i="34"/>
  <c r="E2291" i="34"/>
  <c r="E2292" i="34"/>
  <c r="E2293" i="34"/>
  <c r="E2294" i="34"/>
  <c r="E2295" i="34"/>
  <c r="E2296" i="34"/>
  <c r="E2297" i="34"/>
  <c r="E2298" i="34"/>
  <c r="E2299" i="34"/>
  <c r="E2300" i="34"/>
  <c r="E2301" i="34"/>
  <c r="E2302" i="34"/>
  <c r="E2303" i="34"/>
  <c r="E2304" i="34"/>
  <c r="E2305" i="34"/>
  <c r="E2306" i="34"/>
  <c r="E2307" i="34"/>
  <c r="E2308" i="34"/>
  <c r="E2309" i="34"/>
  <c r="E2310" i="34"/>
  <c r="E2311" i="34"/>
  <c r="E2312" i="34"/>
  <c r="E2313" i="34"/>
  <c r="E2314" i="34"/>
  <c r="E2315" i="34"/>
  <c r="E2316" i="34"/>
  <c r="E2317" i="34"/>
  <c r="E2318" i="34"/>
  <c r="E2319" i="34"/>
  <c r="E2320" i="34"/>
  <c r="E2321" i="34"/>
  <c r="E2322" i="34"/>
  <c r="E2323" i="34"/>
  <c r="E2324" i="34"/>
  <c r="E2325" i="34"/>
  <c r="E2326" i="34"/>
  <c r="E2327" i="34"/>
  <c r="E2328" i="34"/>
  <c r="E2329" i="34"/>
  <c r="E2330" i="34"/>
  <c r="E2331" i="34"/>
  <c r="E2332" i="34"/>
  <c r="E2333" i="34"/>
  <c r="E2334" i="34"/>
  <c r="E2335" i="34"/>
  <c r="E2336" i="34"/>
  <c r="E2337" i="34"/>
  <c r="E2338" i="34"/>
  <c r="E2339" i="34"/>
  <c r="E2340" i="34"/>
  <c r="E2341" i="34"/>
  <c r="E2342" i="34"/>
  <c r="E2343" i="34"/>
  <c r="E2344" i="34"/>
  <c r="E2345" i="34"/>
  <c r="E2346" i="34"/>
  <c r="E2347" i="34"/>
  <c r="E2348" i="34"/>
  <c r="E2349" i="34"/>
  <c r="E2350" i="34"/>
  <c r="E2351" i="34"/>
  <c r="E2352" i="34"/>
  <c r="E2353" i="34"/>
  <c r="E2354" i="34"/>
  <c r="E2355" i="34"/>
  <c r="E2356" i="34"/>
  <c r="E2357" i="34"/>
  <c r="E2358" i="34"/>
  <c r="E2359" i="34"/>
  <c r="E2360" i="34"/>
  <c r="E2361" i="34"/>
  <c r="E2362" i="34"/>
  <c r="E2363" i="34"/>
  <c r="E2364" i="34"/>
  <c r="E2365" i="34"/>
  <c r="E2366" i="34"/>
  <c r="E2367" i="34"/>
  <c r="E2368" i="34"/>
  <c r="E2369" i="34"/>
  <c r="E2370" i="34"/>
  <c r="E2371" i="34"/>
  <c r="E2372" i="34"/>
  <c r="E2373" i="34"/>
  <c r="E2374" i="34"/>
  <c r="E2375" i="34"/>
  <c r="E2376" i="34"/>
  <c r="E2377" i="34"/>
  <c r="E2378" i="34"/>
  <c r="E2379" i="34"/>
  <c r="E2380" i="34"/>
  <c r="E2381" i="34"/>
  <c r="E2382" i="34"/>
  <c r="E2383" i="34"/>
  <c r="E2384" i="34"/>
  <c r="E2385" i="34"/>
  <c r="E2386" i="34"/>
  <c r="E2387" i="34"/>
  <c r="E2388" i="34"/>
  <c r="E2389" i="34"/>
  <c r="E2390" i="34"/>
  <c r="E2391" i="34"/>
  <c r="E2392" i="34"/>
  <c r="E2393" i="34"/>
  <c r="E2394" i="34"/>
  <c r="E2395" i="34"/>
  <c r="E2396" i="34"/>
  <c r="E2397" i="34"/>
  <c r="E2398" i="34"/>
  <c r="E2399" i="34"/>
  <c r="E2400" i="34"/>
  <c r="E2401" i="34"/>
  <c r="E2402" i="34"/>
  <c r="E2403" i="34"/>
  <c r="E2404" i="34"/>
  <c r="E2405" i="34"/>
  <c r="E2406" i="34"/>
  <c r="E2407" i="34"/>
  <c r="E2408" i="34"/>
  <c r="E2409" i="34"/>
  <c r="E2410" i="34"/>
  <c r="E2411" i="34"/>
  <c r="E2412" i="34"/>
  <c r="E2413" i="34"/>
  <c r="E2414" i="34"/>
  <c r="E2415" i="34"/>
  <c r="E2416" i="34"/>
  <c r="E2417" i="34"/>
  <c r="E2418" i="34"/>
  <c r="E2419" i="34"/>
  <c r="E2420" i="34"/>
  <c r="E2421" i="34"/>
  <c r="E2422" i="34"/>
  <c r="E2423" i="34"/>
  <c r="E2424" i="34"/>
  <c r="E2425" i="34"/>
  <c r="E2426" i="34"/>
  <c r="E2427" i="34"/>
  <c r="E2428" i="34"/>
  <c r="E2429" i="34"/>
  <c r="E2430" i="34"/>
  <c r="E2431" i="34"/>
  <c r="E2432" i="34"/>
  <c r="E2433" i="34"/>
  <c r="E2434" i="34"/>
  <c r="E2435" i="34"/>
  <c r="E2436" i="34"/>
  <c r="E2437" i="34"/>
  <c r="E2438" i="34"/>
  <c r="E2439" i="34"/>
  <c r="E2440" i="34"/>
  <c r="E2441" i="34"/>
  <c r="E2442" i="34"/>
  <c r="E2443" i="34"/>
  <c r="E2444" i="34"/>
  <c r="E2445" i="34"/>
  <c r="E2446" i="34"/>
  <c r="E2447" i="34"/>
  <c r="E2448" i="34"/>
  <c r="E2449" i="34"/>
  <c r="E2450" i="34"/>
  <c r="E2451" i="34"/>
  <c r="E2452" i="34"/>
  <c r="E2453" i="34"/>
  <c r="E2454" i="34"/>
  <c r="E2455" i="34"/>
  <c r="E2456" i="34"/>
  <c r="E2457" i="34"/>
  <c r="E2458" i="34"/>
  <c r="E2459" i="34"/>
  <c r="E2460" i="34"/>
  <c r="E2461" i="34"/>
  <c r="E2462" i="34"/>
  <c r="E2463" i="34"/>
  <c r="E2464" i="34"/>
  <c r="E2465" i="34"/>
  <c r="E2466" i="34"/>
  <c r="E2467" i="34"/>
  <c r="E2468" i="34"/>
  <c r="E2469" i="34"/>
  <c r="E2470" i="34"/>
  <c r="E2471" i="34"/>
  <c r="E2472" i="34"/>
  <c r="E2473" i="34"/>
  <c r="E2474" i="34"/>
  <c r="E2475" i="34"/>
  <c r="E2476" i="34"/>
  <c r="E2477" i="34"/>
  <c r="E2478" i="34"/>
  <c r="E2479" i="34"/>
  <c r="E2480" i="34"/>
  <c r="E2481" i="34"/>
  <c r="E2482" i="34"/>
  <c r="E2483" i="34"/>
  <c r="E2484" i="34"/>
  <c r="E2485" i="34"/>
  <c r="E2486" i="34"/>
  <c r="E2487" i="34"/>
  <c r="E2488" i="34"/>
  <c r="E2489" i="34"/>
  <c r="E2490" i="34"/>
  <c r="E2491" i="34"/>
  <c r="E2492" i="34"/>
  <c r="E2493" i="34"/>
  <c r="E2494" i="34"/>
  <c r="E2495" i="34"/>
  <c r="E2496" i="34"/>
  <c r="E2497" i="34"/>
  <c r="E2498" i="34"/>
  <c r="E2499" i="34"/>
  <c r="E2500" i="34"/>
  <c r="E2501" i="34"/>
  <c r="E2502" i="34"/>
  <c r="E2503" i="34"/>
  <c r="E2504" i="34"/>
  <c r="E2505" i="34"/>
  <c r="E2506" i="34"/>
  <c r="E2507" i="34"/>
  <c r="E2508" i="34"/>
  <c r="E2509" i="34"/>
  <c r="E2510" i="34"/>
  <c r="E2511" i="34"/>
  <c r="E2512" i="34"/>
  <c r="E2513" i="34"/>
  <c r="E2514" i="34"/>
  <c r="E2515" i="34"/>
  <c r="E2516" i="34"/>
  <c r="E2517" i="34"/>
  <c r="E2518" i="34"/>
  <c r="E2519" i="34"/>
  <c r="E2520" i="34"/>
  <c r="E2521" i="34"/>
  <c r="E2522" i="34"/>
  <c r="E2523" i="34"/>
  <c r="E2524" i="34"/>
  <c r="E2525" i="34"/>
  <c r="E2526" i="34"/>
  <c r="E2527" i="34"/>
  <c r="E2528" i="34"/>
  <c r="E2529" i="34"/>
  <c r="E2530" i="34"/>
  <c r="E2531" i="34"/>
  <c r="E2532" i="34"/>
  <c r="E2533" i="34"/>
  <c r="E2534" i="34"/>
  <c r="E2535" i="34"/>
  <c r="E2536" i="34"/>
  <c r="E2537" i="34"/>
  <c r="E2538" i="34"/>
  <c r="E2539" i="34"/>
  <c r="E2540" i="34"/>
  <c r="E2541" i="34"/>
  <c r="E2542" i="34"/>
  <c r="E2543" i="34"/>
  <c r="E2544" i="34"/>
  <c r="E2545" i="34"/>
  <c r="E2546" i="34"/>
  <c r="E2547" i="34"/>
  <c r="E2548" i="34"/>
  <c r="E2549" i="34"/>
  <c r="E2550" i="34"/>
  <c r="E2551" i="34"/>
  <c r="E2552" i="34"/>
  <c r="E2553" i="34"/>
  <c r="E2554" i="34"/>
  <c r="E2555" i="34"/>
  <c r="E2556" i="34"/>
  <c r="E2557" i="34"/>
  <c r="E2558" i="34"/>
  <c r="E2559" i="34"/>
  <c r="E2560" i="34"/>
  <c r="E2561" i="34"/>
  <c r="E2562" i="34"/>
  <c r="E2563" i="34"/>
  <c r="E2564" i="34"/>
  <c r="E2565" i="34"/>
  <c r="E2566" i="34"/>
  <c r="E2567" i="34"/>
  <c r="E2568" i="34"/>
  <c r="E2569" i="34"/>
  <c r="E2570" i="34"/>
  <c r="E2571" i="34"/>
  <c r="E2572" i="34"/>
  <c r="E2573" i="34"/>
  <c r="E2574" i="34"/>
  <c r="E2575" i="34"/>
  <c r="E2576" i="34"/>
  <c r="E2577" i="34"/>
  <c r="E2578" i="34"/>
  <c r="E2579" i="34"/>
  <c r="E2580" i="34"/>
  <c r="E2581" i="34"/>
  <c r="E2582" i="34"/>
  <c r="E2583" i="34"/>
  <c r="E2584" i="34"/>
  <c r="E2585" i="34"/>
  <c r="E2586" i="34"/>
  <c r="E2587" i="34"/>
  <c r="E2588" i="34"/>
  <c r="E2589" i="34"/>
  <c r="E2590" i="34"/>
  <c r="E2591" i="34"/>
  <c r="E2592" i="34"/>
  <c r="E2593" i="34"/>
  <c r="E2594" i="34"/>
  <c r="E2595" i="34"/>
  <c r="E2596" i="34"/>
  <c r="E2597" i="34"/>
  <c r="E2598" i="34"/>
  <c r="E2599" i="34"/>
  <c r="E2600" i="34"/>
  <c r="E2601" i="34"/>
  <c r="E2602" i="34"/>
  <c r="E2603" i="34"/>
  <c r="E2604" i="34"/>
  <c r="E2605" i="34"/>
  <c r="E2606" i="34"/>
  <c r="E2607" i="34"/>
  <c r="E2608" i="34"/>
  <c r="E2609" i="34"/>
  <c r="E2610" i="34"/>
  <c r="E2611" i="34"/>
  <c r="E2612" i="34"/>
  <c r="E2613" i="34"/>
  <c r="E2614" i="34"/>
  <c r="E2615" i="34"/>
  <c r="E2616" i="34"/>
  <c r="E2617" i="34"/>
  <c r="E2618" i="34"/>
  <c r="E2619" i="34"/>
  <c r="E2620" i="34"/>
  <c r="E2621" i="34"/>
  <c r="E2622" i="34"/>
  <c r="E2623" i="34"/>
  <c r="E2624" i="34"/>
  <c r="E2625" i="34"/>
  <c r="E2626" i="34"/>
  <c r="E2627" i="34"/>
  <c r="E2628" i="34"/>
  <c r="E2629" i="34"/>
  <c r="E2630" i="34"/>
  <c r="E2631" i="34"/>
  <c r="E2632" i="34"/>
  <c r="E2633" i="34"/>
  <c r="E2634" i="34"/>
  <c r="E2635" i="34"/>
  <c r="E2636" i="34"/>
  <c r="E2637" i="34"/>
  <c r="E2638" i="34"/>
  <c r="E2639" i="34"/>
  <c r="E2640" i="34"/>
  <c r="E2641" i="34"/>
  <c r="E2642" i="34"/>
  <c r="E2643" i="34"/>
  <c r="E2644" i="34"/>
  <c r="E2645" i="34"/>
  <c r="E2646" i="34"/>
  <c r="E2647" i="34"/>
  <c r="E2648" i="34"/>
  <c r="E2649" i="34"/>
  <c r="E2650" i="34"/>
  <c r="E2651" i="34"/>
  <c r="E2652" i="34"/>
  <c r="E2653" i="34"/>
  <c r="E2654" i="34"/>
  <c r="E2655" i="34"/>
  <c r="E2656" i="34"/>
  <c r="E2657" i="34"/>
  <c r="E2658" i="34"/>
  <c r="E2659" i="34"/>
  <c r="E2660" i="34"/>
  <c r="E2661" i="34"/>
  <c r="E2662" i="34"/>
  <c r="E2663" i="34"/>
  <c r="E2664" i="34"/>
  <c r="E2665" i="34"/>
  <c r="E2666" i="34"/>
  <c r="E2667" i="34"/>
  <c r="E2668" i="34"/>
  <c r="E2669" i="34"/>
  <c r="E2670" i="34"/>
  <c r="E2671" i="34"/>
  <c r="E2672" i="34"/>
  <c r="E2673" i="34"/>
  <c r="E2674" i="34"/>
  <c r="E2675" i="34"/>
  <c r="E2676" i="34"/>
  <c r="E2677" i="34"/>
  <c r="E2678" i="34"/>
  <c r="E2679" i="34"/>
  <c r="E2680" i="34"/>
  <c r="E2681" i="34"/>
  <c r="E2682" i="34"/>
  <c r="E2683" i="34"/>
  <c r="E2684" i="34"/>
  <c r="E2685" i="34"/>
  <c r="E2686" i="34"/>
  <c r="E2687" i="34"/>
  <c r="E2688" i="34"/>
  <c r="E2689" i="34"/>
  <c r="E2690" i="34"/>
  <c r="E2691" i="34"/>
  <c r="E2692" i="34"/>
  <c r="E2693" i="34"/>
  <c r="E2694" i="34"/>
  <c r="E2695" i="34"/>
  <c r="E2696" i="34"/>
  <c r="E2697" i="34"/>
  <c r="E2698" i="34"/>
  <c r="E2699" i="34"/>
  <c r="E2700" i="34"/>
  <c r="E2701" i="34"/>
  <c r="E2702" i="34"/>
  <c r="E2703" i="34"/>
  <c r="E2704" i="34"/>
  <c r="E2705" i="34"/>
  <c r="E2706" i="34"/>
  <c r="E2707" i="34"/>
  <c r="E2708" i="34"/>
  <c r="E2709" i="34"/>
  <c r="E2710" i="34"/>
  <c r="E2711" i="34"/>
  <c r="E2712" i="34"/>
  <c r="E2713" i="34"/>
  <c r="E2714" i="34"/>
  <c r="E2715" i="34"/>
  <c r="E2716" i="34"/>
  <c r="E2717" i="34"/>
  <c r="E2718" i="34"/>
  <c r="E2719" i="34"/>
  <c r="E2720" i="34"/>
  <c r="E2721" i="34"/>
  <c r="E2722" i="34"/>
  <c r="E2723" i="34"/>
  <c r="E2724" i="34"/>
  <c r="E2725" i="34"/>
  <c r="E2726" i="34"/>
  <c r="E2727" i="34"/>
  <c r="E2728" i="34"/>
  <c r="E2729" i="34"/>
  <c r="E2730" i="34"/>
  <c r="E2731" i="34"/>
  <c r="E2732" i="34"/>
  <c r="E2733" i="34"/>
  <c r="E2734" i="34"/>
  <c r="E2735" i="34"/>
  <c r="E2736" i="34"/>
  <c r="E2737" i="34"/>
  <c r="E2738" i="34"/>
  <c r="E2739" i="34"/>
  <c r="E2740" i="34"/>
  <c r="E2741" i="34"/>
  <c r="E2742" i="34"/>
  <c r="E2743" i="34"/>
  <c r="E2744" i="34"/>
  <c r="E2745" i="34"/>
  <c r="E2746" i="34"/>
  <c r="E2747" i="34"/>
  <c r="E2748" i="34"/>
  <c r="E2749" i="34"/>
  <c r="E2750" i="34"/>
  <c r="E2751" i="34"/>
  <c r="E2752" i="34"/>
  <c r="E2753" i="34"/>
  <c r="E2754" i="34"/>
  <c r="E2755" i="34"/>
  <c r="E2756" i="34"/>
  <c r="E2757" i="34"/>
  <c r="E2758" i="34"/>
  <c r="E2759" i="34"/>
  <c r="E2760" i="34"/>
  <c r="E2761" i="34"/>
  <c r="E2762" i="34"/>
  <c r="E2763" i="34"/>
  <c r="E2764" i="34"/>
  <c r="E2765" i="34"/>
  <c r="E2766" i="34"/>
  <c r="E2767" i="34"/>
  <c r="E2768" i="34"/>
  <c r="E2769" i="34"/>
  <c r="E2770" i="34"/>
  <c r="E2771" i="34"/>
  <c r="E2772" i="34"/>
  <c r="E2773" i="34"/>
  <c r="E2774" i="34"/>
  <c r="E2775" i="34"/>
  <c r="E2776" i="34"/>
  <c r="E2777" i="34"/>
  <c r="E2778" i="34"/>
  <c r="E2779" i="34"/>
  <c r="E2780" i="34"/>
  <c r="E2781" i="34"/>
  <c r="E2782" i="34"/>
  <c r="E2783" i="34"/>
  <c r="E2784" i="34"/>
  <c r="E2785" i="34"/>
  <c r="E2786" i="34"/>
  <c r="E2787" i="34"/>
  <c r="E2788" i="34"/>
  <c r="E2789" i="34"/>
  <c r="E2790" i="34"/>
  <c r="E2791" i="34"/>
  <c r="E2792" i="34"/>
  <c r="E2793" i="34"/>
  <c r="E2794" i="34"/>
  <c r="E2795" i="34"/>
  <c r="E2796" i="34"/>
  <c r="E2797" i="34"/>
  <c r="E2798" i="34"/>
  <c r="E2799" i="34"/>
  <c r="E2800" i="34"/>
  <c r="E2801" i="34"/>
  <c r="E2802" i="34"/>
  <c r="E2803" i="34"/>
  <c r="E2804" i="34"/>
  <c r="E2805" i="34"/>
  <c r="E2806" i="34"/>
  <c r="E2807" i="34"/>
  <c r="E2808" i="34"/>
  <c r="E2809" i="34"/>
  <c r="E2810" i="34"/>
  <c r="E2811" i="34"/>
  <c r="E2812" i="34"/>
  <c r="E2813" i="34"/>
  <c r="E2814" i="34"/>
  <c r="E2815" i="34"/>
  <c r="E2816" i="34"/>
  <c r="E2817" i="34"/>
  <c r="E2818" i="34"/>
  <c r="E2819" i="34"/>
  <c r="E2820" i="34"/>
  <c r="E2821" i="34"/>
  <c r="E2822" i="34"/>
  <c r="E2823" i="34"/>
  <c r="E2824" i="34"/>
  <c r="E2825" i="34"/>
  <c r="E2826" i="34"/>
  <c r="E2827" i="34"/>
  <c r="E2828" i="34"/>
  <c r="E2829" i="34"/>
  <c r="E2830" i="34"/>
  <c r="E2831" i="34"/>
  <c r="E2832" i="34"/>
  <c r="E2833" i="34"/>
  <c r="E2834" i="34"/>
  <c r="E2835" i="34"/>
  <c r="E2836" i="34"/>
  <c r="E2837" i="34"/>
  <c r="E2838" i="34"/>
  <c r="E2839" i="34"/>
  <c r="E2840" i="34"/>
  <c r="E2841" i="34"/>
  <c r="E2842" i="34"/>
  <c r="E2843" i="34"/>
  <c r="E2844" i="34"/>
  <c r="E2845" i="34"/>
  <c r="E2846" i="34"/>
  <c r="E2847" i="34"/>
  <c r="E2848" i="34"/>
  <c r="E2849" i="34"/>
  <c r="E2850" i="34"/>
  <c r="E2851" i="34"/>
  <c r="E2852" i="34"/>
  <c r="E2853" i="34"/>
  <c r="E2854" i="34"/>
  <c r="E2855" i="34"/>
  <c r="E2856" i="34"/>
  <c r="E2857" i="34"/>
  <c r="E2858" i="34"/>
  <c r="E2859" i="34"/>
  <c r="E2860" i="34"/>
  <c r="E2861" i="34"/>
  <c r="E2862" i="34"/>
  <c r="E2863" i="34"/>
  <c r="E2864" i="34"/>
  <c r="E2865" i="34"/>
  <c r="E2866" i="34"/>
  <c r="E2867" i="34"/>
  <c r="E2868" i="34"/>
  <c r="E2869" i="34"/>
  <c r="E2870" i="34"/>
  <c r="E2871" i="34"/>
  <c r="E2872" i="34"/>
  <c r="E2873" i="34"/>
  <c r="E2874" i="34"/>
  <c r="E2875" i="34"/>
  <c r="E2876" i="34"/>
  <c r="E2877" i="34"/>
  <c r="E2878" i="34"/>
  <c r="E2879" i="34"/>
  <c r="E2880" i="34"/>
  <c r="E2881" i="34"/>
  <c r="E2882" i="34"/>
  <c r="E2883" i="34"/>
  <c r="E2884" i="34"/>
  <c r="E2885" i="34"/>
  <c r="E2886" i="34"/>
  <c r="E2887" i="34"/>
  <c r="E2888" i="34"/>
  <c r="E2889" i="34"/>
  <c r="E2890" i="34"/>
  <c r="E2891" i="34"/>
  <c r="E2892" i="34"/>
  <c r="E2893" i="34"/>
  <c r="E2894" i="34"/>
  <c r="E2895" i="34"/>
  <c r="E2896" i="34"/>
  <c r="E2897" i="34"/>
  <c r="E2898" i="34"/>
  <c r="E2899" i="34"/>
  <c r="E2900" i="34"/>
  <c r="E2901" i="34"/>
  <c r="E2902" i="34"/>
  <c r="E2903" i="34"/>
  <c r="E2904" i="34"/>
  <c r="E2905" i="34"/>
  <c r="E2906" i="34"/>
  <c r="E2907" i="34"/>
  <c r="E2908" i="34"/>
  <c r="E2909" i="34"/>
  <c r="E2910" i="34"/>
  <c r="E2911" i="34"/>
  <c r="E2912" i="34"/>
  <c r="E2913" i="34"/>
  <c r="E2914" i="34"/>
  <c r="E2915" i="34"/>
  <c r="E2916" i="34"/>
  <c r="E2917" i="34"/>
  <c r="E2918" i="34"/>
  <c r="E2919" i="34"/>
  <c r="E2920" i="34"/>
  <c r="E2921" i="34"/>
  <c r="E2922" i="34"/>
  <c r="E2923" i="34"/>
  <c r="E2924" i="34"/>
  <c r="E2925" i="34"/>
  <c r="E2926" i="34"/>
  <c r="E2927" i="34"/>
  <c r="E2928" i="34"/>
  <c r="E2929" i="34"/>
  <c r="E2930" i="34"/>
  <c r="E2931" i="34"/>
  <c r="E2932" i="34"/>
  <c r="E2933" i="34"/>
  <c r="E2934" i="34"/>
  <c r="E2935" i="34"/>
  <c r="E2936" i="34"/>
  <c r="E2937" i="34"/>
  <c r="E2938" i="34"/>
  <c r="E2939" i="34"/>
  <c r="E2940" i="34"/>
  <c r="E2941" i="34"/>
  <c r="E2942" i="34"/>
  <c r="E2943" i="34"/>
  <c r="E2944" i="34"/>
  <c r="E2945" i="34"/>
  <c r="E2946" i="34"/>
  <c r="E2947" i="34"/>
  <c r="E2948" i="34"/>
  <c r="E2949" i="34"/>
  <c r="E2950" i="34"/>
  <c r="E2951" i="34"/>
  <c r="E2952" i="34"/>
  <c r="E2953" i="34"/>
  <c r="E2954" i="34"/>
  <c r="E2955" i="34"/>
  <c r="E2956" i="34"/>
  <c r="E2957" i="34"/>
  <c r="E2958" i="34"/>
  <c r="E2959" i="34"/>
  <c r="E2960" i="34"/>
  <c r="E2961" i="34"/>
  <c r="E2962" i="34"/>
  <c r="E2963" i="34"/>
  <c r="E2964" i="34"/>
  <c r="E2965" i="34"/>
  <c r="E2966" i="34"/>
  <c r="E2967" i="34"/>
  <c r="E2968" i="34"/>
  <c r="E2969" i="34"/>
  <c r="E2970" i="34"/>
  <c r="E2971" i="34"/>
  <c r="E2972" i="34"/>
  <c r="E2973" i="34"/>
  <c r="E2974" i="34"/>
  <c r="E2975" i="34"/>
  <c r="E2976" i="34"/>
  <c r="E2977" i="34"/>
  <c r="E2978" i="34"/>
  <c r="E2979" i="34"/>
  <c r="E2980" i="34"/>
  <c r="E2981" i="34"/>
  <c r="E2982" i="34"/>
  <c r="E2983" i="34"/>
  <c r="E2984" i="34"/>
  <c r="E2985" i="34"/>
  <c r="E2986" i="34"/>
  <c r="E2987" i="34"/>
  <c r="E2988" i="34"/>
  <c r="E2989" i="34"/>
  <c r="E2990" i="34"/>
  <c r="E2991" i="34"/>
  <c r="E2992" i="34"/>
  <c r="E2993" i="34"/>
  <c r="E2994" i="34"/>
  <c r="E2995" i="34"/>
  <c r="E2996" i="34"/>
  <c r="E2997" i="34"/>
  <c r="E2998" i="34"/>
  <c r="E2999" i="34"/>
  <c r="E3000" i="34"/>
  <c r="E3001" i="34"/>
  <c r="E3002" i="34"/>
  <c r="E3003" i="34"/>
  <c r="E3004" i="34"/>
  <c r="E3005" i="34"/>
  <c r="E3006" i="34"/>
  <c r="E3007" i="34"/>
  <c r="E3008" i="34"/>
  <c r="E3009" i="34"/>
  <c r="E3010" i="34"/>
  <c r="E3011" i="34"/>
  <c r="E3012" i="34"/>
  <c r="E3013" i="34"/>
  <c r="E3014" i="34"/>
  <c r="E3015" i="34"/>
  <c r="E3016" i="34"/>
  <c r="E3017" i="34"/>
  <c r="E3018" i="34"/>
  <c r="E3019" i="34"/>
  <c r="E3020" i="34"/>
  <c r="E3021" i="34"/>
  <c r="E3022" i="34"/>
  <c r="E3023" i="34"/>
  <c r="E3024" i="34"/>
  <c r="E3025" i="34"/>
  <c r="E3026" i="34"/>
  <c r="E3027" i="34"/>
  <c r="E3028" i="34"/>
  <c r="E3029" i="34"/>
  <c r="E3030" i="34"/>
  <c r="E3031" i="34"/>
  <c r="E3032" i="34"/>
  <c r="E3033" i="34"/>
  <c r="E3034" i="34"/>
  <c r="E3035" i="34"/>
  <c r="E3036" i="34"/>
  <c r="E3037" i="34"/>
  <c r="E3038" i="34"/>
  <c r="E3039" i="34"/>
  <c r="E3040" i="34"/>
  <c r="E3041" i="34"/>
  <c r="E3042" i="34"/>
  <c r="E3043" i="34"/>
  <c r="E3044" i="34"/>
  <c r="E3045" i="34"/>
  <c r="E3046" i="34"/>
  <c r="E3047" i="34"/>
  <c r="E3048" i="34"/>
  <c r="E3049" i="34"/>
  <c r="E3050" i="34"/>
  <c r="E3051" i="34"/>
  <c r="E3052" i="34"/>
  <c r="E3053" i="34"/>
  <c r="E3054" i="34"/>
  <c r="E3055" i="34"/>
  <c r="E3056" i="34"/>
  <c r="E3057" i="34"/>
  <c r="E3058" i="34"/>
  <c r="E3059" i="34"/>
  <c r="E3060" i="34"/>
  <c r="E3061" i="34"/>
  <c r="E3062" i="34"/>
  <c r="E3063" i="34"/>
  <c r="E3064" i="34"/>
  <c r="E3065" i="34"/>
  <c r="E3066" i="34"/>
  <c r="E3067" i="34"/>
  <c r="E3068" i="34"/>
  <c r="E3069" i="34"/>
  <c r="E3070" i="34"/>
  <c r="E3071" i="34"/>
  <c r="E3072" i="34"/>
  <c r="E3073" i="34"/>
  <c r="E3074" i="34"/>
  <c r="E3075" i="34"/>
  <c r="E3076" i="34"/>
  <c r="E3077" i="34"/>
  <c r="E3078" i="34"/>
  <c r="E3079" i="34"/>
  <c r="E3080" i="34"/>
  <c r="E3081" i="34"/>
  <c r="E3082" i="34"/>
  <c r="E3083" i="34"/>
  <c r="E3084" i="34"/>
  <c r="E3085" i="34"/>
  <c r="E3086" i="34"/>
  <c r="E3087" i="34"/>
  <c r="E3088" i="34"/>
  <c r="E3089" i="34"/>
  <c r="E3090" i="34"/>
  <c r="E3091" i="34"/>
  <c r="E3092" i="34"/>
  <c r="E3093" i="34"/>
  <c r="E3094" i="34"/>
  <c r="E3095" i="34"/>
  <c r="E3096" i="34"/>
  <c r="E3097" i="34"/>
  <c r="E3098" i="34"/>
  <c r="E3099" i="34"/>
  <c r="E3100" i="34"/>
  <c r="E3101" i="34"/>
  <c r="E3102" i="34"/>
  <c r="E3103" i="34"/>
  <c r="E3104" i="34"/>
  <c r="E3105" i="34"/>
  <c r="E3106" i="34"/>
  <c r="E3107" i="34"/>
  <c r="E3108" i="34"/>
  <c r="E3109" i="34"/>
  <c r="E3110" i="34"/>
  <c r="E3111" i="34"/>
  <c r="E3112" i="34"/>
  <c r="E3113" i="34"/>
  <c r="E3114" i="34"/>
  <c r="E3115" i="34"/>
  <c r="E3116" i="34"/>
  <c r="E3117" i="34"/>
  <c r="E3118" i="34"/>
  <c r="E3119" i="34"/>
  <c r="E3120" i="34"/>
  <c r="E3121" i="34"/>
  <c r="E3122" i="34"/>
  <c r="E3123" i="34"/>
  <c r="E3124" i="34"/>
  <c r="E3125" i="34"/>
  <c r="E3126" i="34"/>
  <c r="E3127" i="34"/>
  <c r="E3128" i="34"/>
  <c r="E3129" i="34"/>
  <c r="E3130" i="34"/>
  <c r="E3131" i="34"/>
  <c r="E3132" i="34"/>
  <c r="E3133" i="34"/>
  <c r="E3134" i="34"/>
  <c r="E3135" i="34"/>
  <c r="E3136" i="34"/>
  <c r="E3137" i="34"/>
  <c r="E3138" i="34"/>
  <c r="E3139" i="34"/>
  <c r="E3140" i="34"/>
  <c r="E3141" i="34"/>
  <c r="E3142" i="34"/>
  <c r="E3143" i="34"/>
  <c r="E3144" i="34"/>
  <c r="E3145" i="34"/>
  <c r="E3146" i="34"/>
  <c r="E3147" i="34"/>
  <c r="E3148" i="34"/>
  <c r="E3149" i="34"/>
  <c r="E3150" i="34"/>
  <c r="E3151" i="34"/>
  <c r="E3152" i="34"/>
  <c r="E3153" i="34"/>
  <c r="E3154" i="34"/>
  <c r="E3155" i="34"/>
  <c r="E3156" i="34"/>
  <c r="E3157" i="34"/>
  <c r="E3158" i="34"/>
  <c r="E3159" i="34"/>
  <c r="E3160" i="34"/>
  <c r="E3161" i="34"/>
  <c r="E3162" i="34"/>
  <c r="E3163" i="34"/>
  <c r="E3164" i="34"/>
  <c r="E3165" i="34"/>
  <c r="E3166" i="34"/>
  <c r="E3167" i="34"/>
  <c r="E3168" i="34"/>
  <c r="E3169" i="34"/>
  <c r="E3170" i="34"/>
  <c r="E3171" i="34"/>
  <c r="E3172" i="34"/>
  <c r="E3173" i="34"/>
  <c r="E3174" i="34"/>
  <c r="E3175" i="34"/>
  <c r="E3176" i="34"/>
  <c r="E3177" i="34"/>
  <c r="E3178" i="34"/>
  <c r="E3179" i="34"/>
  <c r="E3180" i="34"/>
  <c r="E3181" i="34"/>
  <c r="E3182" i="34"/>
  <c r="E3183" i="34"/>
  <c r="E3184" i="34"/>
  <c r="E3185" i="34"/>
  <c r="E3186" i="34"/>
  <c r="E3187" i="34"/>
  <c r="E3188" i="34"/>
  <c r="E3189" i="34"/>
  <c r="E3190" i="34"/>
  <c r="E3191" i="34"/>
  <c r="E3192" i="34"/>
  <c r="E3193" i="34"/>
  <c r="E3194" i="34"/>
  <c r="E3195" i="34"/>
  <c r="E3196" i="34"/>
  <c r="E3197" i="34"/>
  <c r="E3198" i="34"/>
  <c r="E3199" i="34"/>
  <c r="E3200" i="34"/>
  <c r="E3201" i="34"/>
  <c r="E3202" i="34"/>
  <c r="E3203" i="34"/>
  <c r="E3204" i="34"/>
  <c r="E3205" i="34"/>
  <c r="E3206" i="34"/>
  <c r="E3207" i="34"/>
  <c r="E3208" i="34"/>
  <c r="E3209" i="34"/>
  <c r="E3210" i="34"/>
  <c r="E3211" i="34"/>
  <c r="E3212" i="34"/>
  <c r="E3213" i="34"/>
  <c r="E3214" i="34"/>
  <c r="E3215" i="34"/>
  <c r="E3216" i="34"/>
  <c r="E3217" i="34"/>
  <c r="E3218" i="34"/>
  <c r="E3219" i="34"/>
  <c r="E3220" i="34"/>
  <c r="E3221" i="34"/>
  <c r="E3222" i="34"/>
  <c r="E3223" i="34"/>
  <c r="E3224" i="34"/>
  <c r="E3225" i="34"/>
  <c r="E3226" i="34"/>
  <c r="E3227" i="34"/>
  <c r="E3228" i="34"/>
  <c r="E3229" i="34"/>
  <c r="E3230" i="34"/>
  <c r="E3231" i="34"/>
  <c r="E3232" i="34"/>
  <c r="E3233" i="34"/>
  <c r="E3234" i="34"/>
  <c r="E3235" i="34"/>
  <c r="E3236" i="34"/>
  <c r="E3237" i="34"/>
  <c r="E3238" i="34"/>
  <c r="E3239" i="34"/>
  <c r="E3240" i="34"/>
  <c r="E3241" i="34"/>
  <c r="E3242" i="34"/>
  <c r="E3243" i="34"/>
  <c r="E3244" i="34"/>
  <c r="E3245" i="34"/>
  <c r="E3246" i="34"/>
  <c r="E3247" i="34"/>
  <c r="E3248" i="34"/>
  <c r="E3249" i="34"/>
  <c r="E3250" i="34"/>
  <c r="E3251" i="34"/>
  <c r="E3252" i="34"/>
  <c r="E3253" i="34"/>
  <c r="E3254" i="34"/>
  <c r="E3255" i="34"/>
  <c r="E3256" i="34"/>
  <c r="E3257" i="34"/>
  <c r="E3258" i="34"/>
  <c r="E3259" i="34"/>
  <c r="E3260" i="34"/>
  <c r="E3261" i="34"/>
  <c r="E3262" i="34"/>
  <c r="E3263" i="34"/>
  <c r="E3264" i="34"/>
  <c r="E3265" i="34"/>
  <c r="E3266" i="34"/>
  <c r="E3267" i="34"/>
  <c r="E3268" i="34"/>
  <c r="E3269" i="34"/>
  <c r="E3270" i="34"/>
  <c r="E3271" i="34"/>
  <c r="E3272" i="34"/>
  <c r="E3273" i="34"/>
  <c r="E3274" i="34"/>
  <c r="E3275" i="34"/>
  <c r="E3276" i="34"/>
  <c r="E3277" i="34"/>
  <c r="E3278" i="34"/>
  <c r="E3279" i="34"/>
  <c r="E3280" i="34"/>
  <c r="E3281" i="34"/>
  <c r="E3282" i="34"/>
  <c r="E3283" i="34"/>
  <c r="E3284" i="34"/>
  <c r="E3285" i="34"/>
  <c r="E3286" i="34"/>
  <c r="E3287" i="34"/>
  <c r="E3288" i="34"/>
  <c r="E3289" i="34"/>
  <c r="E3290" i="34"/>
  <c r="E3291" i="34"/>
  <c r="E3292" i="34"/>
  <c r="E3293" i="34"/>
  <c r="E3294" i="34"/>
  <c r="E3295" i="34"/>
  <c r="E3296" i="34"/>
  <c r="E3297" i="34"/>
  <c r="E3298" i="34"/>
  <c r="E3299" i="34"/>
  <c r="E3300" i="34"/>
  <c r="E3301" i="34"/>
  <c r="E3302" i="34"/>
  <c r="E3303" i="34"/>
  <c r="E3304" i="34"/>
  <c r="E3305" i="34"/>
  <c r="E3306" i="34"/>
  <c r="E3307" i="34"/>
  <c r="E3308" i="34"/>
  <c r="E3309" i="34"/>
  <c r="E3310" i="34"/>
  <c r="E3311" i="34"/>
  <c r="E3312" i="34"/>
  <c r="E3313" i="34"/>
  <c r="E3314" i="34"/>
  <c r="E3315" i="34"/>
  <c r="E3316" i="34"/>
  <c r="E3317" i="34"/>
  <c r="E3318" i="34"/>
  <c r="E3319" i="34"/>
  <c r="E3320" i="34"/>
  <c r="E3321" i="34"/>
  <c r="E3322" i="34"/>
  <c r="E3323" i="34"/>
  <c r="E3324" i="34"/>
  <c r="E3325" i="34"/>
  <c r="E3326" i="34"/>
  <c r="E3327" i="34"/>
  <c r="E3328" i="34"/>
  <c r="E3329" i="34"/>
  <c r="E3330" i="34"/>
  <c r="E3331" i="34"/>
  <c r="E3332" i="34"/>
  <c r="E3333" i="34"/>
  <c r="E3334" i="34"/>
  <c r="E3335" i="34"/>
  <c r="E3336" i="34"/>
  <c r="E3337" i="34"/>
  <c r="E3338" i="34"/>
  <c r="E3339" i="34"/>
  <c r="E3340" i="34"/>
  <c r="E3341" i="34"/>
  <c r="E3342" i="34"/>
  <c r="E3343" i="34"/>
  <c r="E3344" i="34"/>
  <c r="E3345" i="34"/>
  <c r="E3346" i="34"/>
  <c r="E3347" i="34"/>
  <c r="E3348" i="34"/>
  <c r="E3349" i="34"/>
  <c r="E3350" i="34"/>
  <c r="E3351" i="34"/>
  <c r="E3352" i="34"/>
  <c r="E3353" i="34"/>
  <c r="E3354" i="34"/>
  <c r="E3355" i="34"/>
  <c r="E3356" i="34"/>
  <c r="E3357" i="34"/>
  <c r="E3358" i="34"/>
  <c r="E3359" i="34"/>
  <c r="E3360" i="34"/>
  <c r="E3361" i="34"/>
  <c r="E3362" i="34"/>
  <c r="E3363" i="34"/>
  <c r="E3364" i="34"/>
  <c r="E3365" i="34"/>
  <c r="E3366" i="34"/>
  <c r="E3367" i="34"/>
  <c r="E3368" i="34"/>
  <c r="E3369" i="34"/>
  <c r="E3370" i="34"/>
  <c r="E3371" i="34"/>
  <c r="E3372" i="34"/>
  <c r="E3373" i="34"/>
  <c r="E3374" i="34"/>
  <c r="E3375" i="34"/>
  <c r="E3376" i="34"/>
  <c r="E3377" i="34"/>
  <c r="E3378" i="34"/>
  <c r="E3379" i="34"/>
  <c r="E3380" i="34"/>
  <c r="E3381" i="34"/>
  <c r="E3382" i="34"/>
  <c r="E3383" i="34"/>
  <c r="E3384" i="34"/>
  <c r="E3385" i="34"/>
  <c r="E3386" i="34"/>
  <c r="E3387" i="34"/>
  <c r="E3388" i="34"/>
  <c r="E3389" i="34"/>
  <c r="E3390" i="34"/>
  <c r="E3391" i="34"/>
  <c r="E3392" i="34"/>
  <c r="E3393" i="34"/>
  <c r="E3394" i="34"/>
  <c r="E3395" i="34"/>
  <c r="E3396" i="34"/>
  <c r="E3397" i="34"/>
  <c r="E3398" i="34"/>
  <c r="E3399" i="34"/>
  <c r="E3400" i="34"/>
  <c r="E3401" i="34"/>
  <c r="E3402" i="34"/>
  <c r="E3403" i="34"/>
  <c r="E3404" i="34"/>
  <c r="E3405" i="34"/>
  <c r="E3406" i="34"/>
  <c r="E3407" i="34"/>
  <c r="E3408" i="34"/>
  <c r="E3409" i="34"/>
  <c r="E3410" i="34"/>
  <c r="E3411" i="34"/>
  <c r="E3412" i="34"/>
  <c r="E3413" i="34"/>
  <c r="E3414" i="34"/>
  <c r="E3415" i="34"/>
  <c r="E3416" i="34"/>
  <c r="E3417" i="34"/>
  <c r="E3418" i="34"/>
  <c r="E3419" i="34"/>
  <c r="E3420" i="34"/>
  <c r="E3421" i="34"/>
  <c r="E3422" i="34"/>
  <c r="E3423" i="34"/>
  <c r="E3424" i="34"/>
  <c r="E3425" i="34"/>
  <c r="E3426" i="34"/>
  <c r="E3427" i="34"/>
  <c r="E3428" i="34"/>
  <c r="E3429" i="34"/>
  <c r="E3430" i="34"/>
  <c r="E3431" i="34"/>
  <c r="E3432" i="34"/>
  <c r="E3433" i="34"/>
  <c r="E3434" i="34"/>
  <c r="E3435" i="34"/>
  <c r="E3436" i="34"/>
  <c r="E3437" i="34"/>
  <c r="E3438" i="34"/>
  <c r="E3439" i="34"/>
  <c r="E3440" i="34"/>
  <c r="E3441" i="34"/>
  <c r="E3442" i="34"/>
  <c r="E3443" i="34"/>
  <c r="E3444" i="34"/>
  <c r="E3445" i="34"/>
  <c r="E3446" i="34"/>
  <c r="E3447" i="34"/>
  <c r="E3448" i="34"/>
  <c r="E3449" i="34"/>
  <c r="E3450" i="34"/>
  <c r="E3451" i="34"/>
  <c r="E3452" i="34"/>
  <c r="E3453" i="34"/>
  <c r="E3454" i="34"/>
  <c r="E3455" i="34"/>
  <c r="E3456" i="34"/>
  <c r="E3457" i="34"/>
  <c r="E3458" i="34"/>
  <c r="E3459" i="34"/>
  <c r="E3460" i="34"/>
  <c r="E3461" i="34"/>
  <c r="E3462" i="34"/>
  <c r="E3463" i="34"/>
  <c r="E3464" i="34"/>
  <c r="E3465" i="34"/>
  <c r="E3466" i="34"/>
  <c r="E3467" i="34"/>
  <c r="E3468" i="34"/>
  <c r="E3469" i="34"/>
  <c r="E3470" i="34"/>
  <c r="E3471" i="34"/>
  <c r="E3472" i="34"/>
  <c r="E3473" i="34"/>
  <c r="E3474" i="34"/>
  <c r="E3475" i="34"/>
  <c r="E3476" i="34"/>
  <c r="E3477" i="34"/>
  <c r="E3478" i="34"/>
  <c r="E3479" i="34"/>
  <c r="E3480" i="34"/>
  <c r="E3481" i="34"/>
  <c r="E3482" i="34"/>
  <c r="E3483" i="34"/>
  <c r="E3484" i="34"/>
  <c r="E3485" i="34"/>
  <c r="E3486" i="34"/>
  <c r="E3487" i="34"/>
  <c r="E3488" i="34"/>
  <c r="E3489" i="34"/>
  <c r="E3490" i="34"/>
  <c r="E3491" i="34"/>
  <c r="E3492" i="34"/>
  <c r="E3493" i="34"/>
  <c r="E3494" i="34"/>
  <c r="E3495" i="34"/>
  <c r="E3496" i="34"/>
  <c r="E3497" i="34"/>
  <c r="E3498" i="34"/>
  <c r="E3499" i="34"/>
  <c r="E3500" i="34"/>
  <c r="E3501" i="34"/>
  <c r="E3502" i="34"/>
  <c r="E3503" i="34"/>
  <c r="E3504" i="34"/>
  <c r="E3505" i="34"/>
  <c r="E3506" i="34"/>
  <c r="E3507" i="34"/>
  <c r="E3508" i="34"/>
  <c r="E3509" i="34"/>
  <c r="E3510" i="34"/>
  <c r="E3511" i="34"/>
  <c r="E3512" i="34"/>
  <c r="E3513" i="34"/>
  <c r="E3514" i="34"/>
  <c r="E3515" i="34"/>
  <c r="E3516" i="34"/>
  <c r="E3517" i="34"/>
  <c r="E3518" i="34"/>
  <c r="E3519" i="34"/>
  <c r="E3520" i="34"/>
  <c r="E3521" i="34"/>
  <c r="E3522" i="34"/>
  <c r="E3523" i="34"/>
  <c r="E3524" i="34"/>
  <c r="E3525" i="34"/>
  <c r="E3526" i="34"/>
  <c r="E3527" i="34"/>
  <c r="E3528" i="34"/>
  <c r="E3529" i="34"/>
  <c r="E3530" i="34"/>
  <c r="E3531" i="34"/>
  <c r="E3532" i="34"/>
  <c r="E3533" i="34"/>
  <c r="E3534" i="34"/>
  <c r="E3535" i="34"/>
  <c r="E3536" i="34"/>
  <c r="E3537" i="34"/>
  <c r="E3538" i="34"/>
  <c r="E3539" i="34"/>
  <c r="E3540" i="34"/>
  <c r="E3541" i="34"/>
  <c r="E3542" i="34"/>
  <c r="E3543" i="34"/>
  <c r="E3544" i="34"/>
  <c r="E3545" i="34"/>
  <c r="E3546" i="34"/>
  <c r="E3547" i="34"/>
  <c r="E3548" i="34"/>
  <c r="E3549" i="34"/>
  <c r="E3550" i="34"/>
  <c r="E3551" i="34"/>
  <c r="E3552" i="34"/>
  <c r="E3553" i="34"/>
  <c r="E3554" i="34"/>
  <c r="E3555" i="34"/>
  <c r="E3556" i="34"/>
  <c r="E3557" i="34"/>
  <c r="E3558" i="34"/>
  <c r="E3559" i="34"/>
  <c r="E3560" i="34"/>
  <c r="E3561" i="34"/>
  <c r="E3562" i="34"/>
  <c r="E3563" i="34"/>
  <c r="E3564" i="34"/>
  <c r="E3565" i="34"/>
  <c r="E3566" i="34"/>
  <c r="E3567" i="34"/>
  <c r="E3568" i="34"/>
  <c r="E3569" i="34"/>
  <c r="E3570" i="34"/>
  <c r="E3571" i="34"/>
  <c r="E3572" i="34"/>
  <c r="E3573" i="34"/>
  <c r="E3574" i="34"/>
  <c r="E3575" i="34"/>
  <c r="E3576" i="34"/>
  <c r="E3577" i="34"/>
  <c r="E3578" i="34"/>
  <c r="E3579" i="34"/>
  <c r="E3580" i="34"/>
  <c r="E3581" i="34"/>
  <c r="E3582" i="34"/>
  <c r="E3583" i="34"/>
  <c r="E3584" i="34"/>
  <c r="E3585" i="34"/>
  <c r="E3586" i="34"/>
  <c r="E3587" i="34"/>
  <c r="E3588" i="34"/>
  <c r="E3589" i="34"/>
  <c r="E3590" i="34"/>
  <c r="E3591" i="34"/>
  <c r="E3592" i="34"/>
  <c r="E3593" i="34"/>
  <c r="E3594" i="34"/>
  <c r="E3595" i="34"/>
  <c r="E3596" i="34"/>
  <c r="E3597" i="34"/>
  <c r="E3598" i="34"/>
  <c r="E3599" i="34"/>
  <c r="E3600" i="34"/>
  <c r="E3601" i="34"/>
  <c r="E3602" i="34"/>
  <c r="E3603" i="34"/>
  <c r="E3604" i="34"/>
  <c r="E3605" i="34"/>
  <c r="E3606" i="34"/>
  <c r="E3607" i="34"/>
  <c r="E3608" i="34"/>
  <c r="E3609" i="34"/>
  <c r="E3610" i="34"/>
  <c r="E3611" i="34"/>
  <c r="E3612" i="34"/>
  <c r="E3613" i="34"/>
  <c r="E3614" i="34"/>
  <c r="E3615" i="34"/>
  <c r="E3616" i="34"/>
  <c r="E3617" i="34"/>
  <c r="E3618" i="34"/>
  <c r="E3619" i="34"/>
  <c r="E3620" i="34"/>
  <c r="E3621" i="34"/>
  <c r="E3622" i="34"/>
  <c r="E3623" i="34"/>
  <c r="E3624" i="34"/>
  <c r="E3625" i="34"/>
  <c r="E3626" i="34"/>
  <c r="E3627" i="34"/>
  <c r="E3628" i="34"/>
  <c r="E3629" i="34"/>
  <c r="E3630" i="34"/>
  <c r="E3631" i="34"/>
  <c r="E3632" i="34"/>
  <c r="E3633" i="34"/>
  <c r="E3634" i="34"/>
  <c r="E3635" i="34"/>
  <c r="E3636" i="34"/>
  <c r="E3637" i="34"/>
  <c r="E3638" i="34"/>
  <c r="E3639" i="34"/>
  <c r="E3640" i="34"/>
  <c r="E3641" i="34"/>
  <c r="E3642" i="34"/>
  <c r="E3643" i="34"/>
  <c r="E3644" i="34"/>
  <c r="E3645" i="34"/>
  <c r="E3646" i="34"/>
  <c r="E3647" i="34"/>
  <c r="E3648" i="34"/>
  <c r="E3649" i="34"/>
  <c r="E3650" i="34"/>
  <c r="E3651" i="34"/>
  <c r="E3652" i="34"/>
  <c r="E3653" i="34"/>
  <c r="E3654" i="34"/>
  <c r="E3655" i="34"/>
  <c r="E3656" i="34"/>
  <c r="E3657" i="34"/>
  <c r="E3658" i="34"/>
  <c r="E3659" i="34"/>
  <c r="E3660" i="34"/>
  <c r="E3661" i="34"/>
  <c r="E3662" i="34"/>
  <c r="E3663" i="34"/>
  <c r="E3664" i="34"/>
  <c r="E3665" i="34"/>
  <c r="E3666" i="34"/>
  <c r="E3667" i="34"/>
  <c r="E3668" i="34"/>
  <c r="E3669" i="34"/>
  <c r="E3670" i="34"/>
  <c r="E3671" i="34"/>
  <c r="E3672" i="34"/>
  <c r="E3673" i="34"/>
  <c r="E3674" i="34"/>
  <c r="E3675" i="34"/>
  <c r="E3676" i="34"/>
  <c r="E3677" i="34"/>
  <c r="E3678" i="34"/>
  <c r="E3679" i="34"/>
  <c r="E3680" i="34"/>
  <c r="E3681" i="34"/>
  <c r="E3682" i="34"/>
  <c r="E3683" i="34"/>
  <c r="E3684" i="34"/>
  <c r="E3685" i="34"/>
  <c r="E3686" i="34"/>
  <c r="E3687" i="34"/>
  <c r="E3688" i="34"/>
  <c r="E3689" i="34"/>
  <c r="E3690" i="34"/>
  <c r="E3691" i="34"/>
  <c r="E3692" i="34"/>
  <c r="E3693" i="34"/>
  <c r="E3694" i="34"/>
  <c r="E3695" i="34"/>
  <c r="E3696" i="34"/>
  <c r="E3697" i="34"/>
  <c r="E3698" i="34"/>
  <c r="E3699" i="34"/>
  <c r="E3700" i="34"/>
  <c r="E3701" i="34"/>
  <c r="E3702" i="34"/>
  <c r="E3703" i="34"/>
  <c r="E3704" i="34"/>
  <c r="E3705" i="34"/>
  <c r="E3706" i="34"/>
  <c r="E3707" i="34"/>
  <c r="E3708" i="34"/>
  <c r="E3709" i="34"/>
  <c r="E3710" i="34"/>
  <c r="E3711" i="34"/>
  <c r="E3712" i="34"/>
  <c r="E3713" i="34"/>
  <c r="E3714" i="34"/>
  <c r="E3715" i="34"/>
  <c r="E3716" i="34"/>
  <c r="E3717" i="34"/>
  <c r="E3718" i="34"/>
  <c r="E3719" i="34"/>
  <c r="E3720" i="34"/>
  <c r="E3721" i="34"/>
  <c r="E3722" i="34"/>
  <c r="E3723" i="34"/>
  <c r="E3724" i="34"/>
  <c r="E3725" i="34"/>
  <c r="E3726" i="34"/>
  <c r="E3727" i="34"/>
  <c r="E3728" i="34"/>
  <c r="E3729" i="34"/>
  <c r="E3730" i="34"/>
  <c r="E3731" i="34"/>
  <c r="E3732" i="34"/>
  <c r="E3733" i="34"/>
  <c r="E3734" i="34"/>
  <c r="E3735" i="34"/>
  <c r="E3736" i="34"/>
  <c r="E3737" i="34"/>
  <c r="E3738" i="34"/>
  <c r="E3739" i="34"/>
  <c r="E3740" i="34"/>
  <c r="E3741" i="34"/>
  <c r="E3742" i="34"/>
  <c r="E3743" i="34"/>
  <c r="E3744" i="34"/>
  <c r="E3745" i="34"/>
  <c r="E3746" i="34"/>
  <c r="E3747" i="34"/>
  <c r="E3748" i="34"/>
  <c r="E3749" i="34"/>
  <c r="E3750" i="34"/>
  <c r="E3751" i="34"/>
  <c r="E3752" i="34"/>
  <c r="E3753" i="34"/>
  <c r="E3754" i="34"/>
  <c r="E3755" i="34"/>
  <c r="E3756" i="34"/>
  <c r="E3757" i="34"/>
  <c r="E3758" i="34"/>
  <c r="E3759" i="34"/>
  <c r="E3760" i="34"/>
  <c r="E3761" i="34"/>
  <c r="E3762" i="34"/>
  <c r="E3763" i="34"/>
  <c r="E3764" i="34"/>
  <c r="E3765" i="34"/>
  <c r="E3766" i="34"/>
  <c r="E3767" i="34"/>
  <c r="E3768" i="34"/>
  <c r="E3769" i="34"/>
  <c r="E3770" i="34"/>
  <c r="E3771" i="34"/>
  <c r="E3772" i="34"/>
  <c r="E3773" i="34"/>
  <c r="E3774" i="34"/>
  <c r="E3775" i="34"/>
  <c r="E3776" i="34"/>
  <c r="E3777" i="34"/>
  <c r="E3778" i="34"/>
  <c r="E3779" i="34"/>
  <c r="E3780" i="34"/>
  <c r="E3781" i="34"/>
  <c r="E3782" i="34"/>
  <c r="E3783" i="34"/>
  <c r="E3784" i="34"/>
  <c r="E3785" i="34"/>
  <c r="E3786" i="34"/>
  <c r="E3787" i="34"/>
  <c r="E3788" i="34"/>
  <c r="E3789" i="34"/>
  <c r="E3790" i="34"/>
  <c r="E3791" i="34"/>
  <c r="E3792" i="34"/>
  <c r="E3793" i="34"/>
  <c r="E3794" i="34"/>
  <c r="E3795" i="34"/>
  <c r="E3796" i="34"/>
  <c r="E3797" i="34"/>
  <c r="E3798" i="34"/>
  <c r="E3799" i="34"/>
  <c r="E3800" i="34"/>
  <c r="E3801" i="34"/>
  <c r="E3802" i="34"/>
  <c r="E3803" i="34"/>
  <c r="E3804" i="34"/>
  <c r="E3805" i="34"/>
  <c r="E3806" i="34"/>
  <c r="E3807" i="34"/>
  <c r="E3808" i="34"/>
  <c r="E3809" i="34"/>
  <c r="E3810" i="34"/>
  <c r="E3811" i="34"/>
  <c r="E3812" i="34"/>
  <c r="E3813" i="34"/>
  <c r="E3814" i="34"/>
  <c r="E3815" i="34"/>
  <c r="E3816" i="34"/>
  <c r="E3817" i="34"/>
  <c r="E3818" i="34"/>
  <c r="E3819" i="34"/>
  <c r="E3820" i="34"/>
  <c r="E3821" i="34"/>
  <c r="E3822" i="34"/>
  <c r="E3823" i="34"/>
  <c r="E3824" i="34"/>
  <c r="E3825" i="34"/>
  <c r="E3826" i="34"/>
  <c r="E3827" i="34"/>
  <c r="E3828" i="34"/>
  <c r="E3829" i="34"/>
  <c r="E3830" i="34"/>
  <c r="E3831" i="34"/>
  <c r="E3832" i="34"/>
  <c r="E3833" i="34"/>
  <c r="E3834" i="34"/>
  <c r="E3835" i="34"/>
  <c r="E3836" i="34"/>
  <c r="E3837" i="34"/>
  <c r="E3838" i="34"/>
  <c r="E3839" i="34"/>
  <c r="E3840" i="34"/>
  <c r="E3841" i="34"/>
  <c r="E3842" i="34"/>
  <c r="E3843" i="34"/>
  <c r="E3844" i="34"/>
  <c r="E3845" i="34"/>
  <c r="E3846" i="34"/>
  <c r="E3847" i="34"/>
  <c r="E3848" i="34"/>
  <c r="E3849" i="34"/>
  <c r="E3850" i="34"/>
  <c r="E3851" i="34"/>
  <c r="E3852" i="34"/>
  <c r="E3853" i="34"/>
  <c r="E3854" i="34"/>
  <c r="E3855" i="34"/>
  <c r="E3856" i="34"/>
  <c r="E3857" i="34"/>
  <c r="E3858" i="34"/>
  <c r="E3859" i="34"/>
  <c r="E3860" i="34"/>
  <c r="E3861" i="34"/>
  <c r="E3862" i="34"/>
  <c r="E3863" i="34"/>
  <c r="E3864" i="34"/>
  <c r="E3865" i="34"/>
  <c r="E3866" i="34"/>
  <c r="E3867" i="34"/>
  <c r="E3868" i="34"/>
  <c r="E3869" i="34"/>
  <c r="E3870" i="34"/>
  <c r="E3871" i="34"/>
  <c r="E3872" i="34"/>
  <c r="E3873" i="34"/>
  <c r="E3874" i="34"/>
  <c r="E3875" i="34"/>
  <c r="E3876" i="34"/>
  <c r="E3877" i="34"/>
  <c r="E3878" i="34"/>
  <c r="E3879" i="34"/>
  <c r="E3880" i="34"/>
  <c r="E3881" i="34"/>
  <c r="E3882" i="34"/>
  <c r="E3883" i="34"/>
  <c r="E3884" i="34"/>
  <c r="E3885" i="34"/>
  <c r="E3886" i="34"/>
  <c r="E3887" i="34"/>
  <c r="E3888" i="34"/>
  <c r="E3889" i="34"/>
  <c r="E3890" i="34"/>
  <c r="E3891" i="34"/>
  <c r="E3892" i="34"/>
  <c r="E3893" i="34"/>
  <c r="E3894" i="34"/>
  <c r="E3895" i="34"/>
  <c r="E3896" i="34"/>
  <c r="E3897" i="34"/>
  <c r="E3898" i="34"/>
  <c r="E3899" i="34"/>
  <c r="E3900" i="34"/>
  <c r="E3901" i="34"/>
  <c r="E3902" i="34"/>
  <c r="E3903" i="34"/>
  <c r="E3904" i="34"/>
  <c r="E3905" i="34"/>
  <c r="E3906" i="34"/>
  <c r="E3907" i="34"/>
  <c r="E3908" i="34"/>
  <c r="E3909" i="34"/>
  <c r="E3910" i="34"/>
  <c r="E3911" i="34"/>
  <c r="E3912" i="34"/>
  <c r="E3913" i="34"/>
  <c r="E3914" i="34"/>
  <c r="E3915" i="34"/>
  <c r="E3916" i="34"/>
  <c r="E3917" i="34"/>
  <c r="E3918" i="34"/>
  <c r="E3919" i="34"/>
  <c r="E3920" i="34"/>
  <c r="E3921" i="34"/>
  <c r="E3922" i="34"/>
  <c r="E3923" i="34"/>
  <c r="E3924" i="34"/>
  <c r="E3925" i="34"/>
  <c r="E3926" i="34"/>
  <c r="E3927" i="34"/>
  <c r="E3928" i="34"/>
  <c r="E3929" i="34"/>
  <c r="E3930" i="34"/>
  <c r="E3931" i="34"/>
  <c r="E3932" i="34"/>
  <c r="E3933" i="34"/>
  <c r="E3934" i="34"/>
  <c r="E3935" i="34"/>
  <c r="E3936" i="34"/>
  <c r="E3937" i="34"/>
  <c r="E3938" i="34"/>
  <c r="E3939" i="34"/>
  <c r="E3940" i="34"/>
  <c r="E3941" i="34"/>
  <c r="E3942" i="34"/>
  <c r="E3943" i="34"/>
  <c r="E3944" i="34"/>
  <c r="E3945" i="34"/>
  <c r="E3946" i="34"/>
  <c r="E3947" i="34"/>
  <c r="E3948" i="34"/>
  <c r="E3949" i="34"/>
  <c r="E3950" i="34"/>
  <c r="E3951" i="34"/>
  <c r="E3952" i="34"/>
  <c r="E3953" i="34"/>
  <c r="E3954" i="34"/>
  <c r="E3955" i="34"/>
  <c r="E3956" i="34"/>
  <c r="E3957" i="34"/>
  <c r="E3958" i="34"/>
  <c r="E3959" i="34"/>
  <c r="E3960" i="34"/>
  <c r="E3961" i="34"/>
  <c r="E3962" i="34"/>
  <c r="E3963" i="34"/>
  <c r="E3964" i="34"/>
  <c r="E3965" i="34"/>
  <c r="E3966" i="34"/>
  <c r="E3967" i="34"/>
  <c r="E3968" i="34"/>
  <c r="E3969" i="34"/>
  <c r="E3970" i="34"/>
  <c r="E3971" i="34"/>
  <c r="E3972" i="34"/>
  <c r="E3973" i="34"/>
  <c r="E3974" i="34"/>
  <c r="E3975" i="34"/>
  <c r="E3976" i="34"/>
  <c r="E3977" i="34"/>
  <c r="E3978" i="34"/>
  <c r="E3979" i="34"/>
  <c r="E3980" i="34"/>
  <c r="E3981" i="34"/>
  <c r="E3982" i="34"/>
  <c r="E3983" i="34"/>
  <c r="E3984" i="34"/>
  <c r="E3985" i="34"/>
  <c r="E3986" i="34"/>
  <c r="E3987" i="34"/>
  <c r="E3988" i="34"/>
  <c r="E3989" i="34"/>
  <c r="E3990" i="34"/>
  <c r="E3991" i="34"/>
  <c r="E3992" i="34"/>
  <c r="E3993" i="34"/>
  <c r="E3994" i="34"/>
  <c r="E3995" i="34"/>
  <c r="E3996" i="34"/>
  <c r="E3997" i="34"/>
  <c r="E3998" i="34"/>
  <c r="E3999" i="34"/>
  <c r="E4000" i="34"/>
  <c r="E4001" i="34"/>
  <c r="E4002" i="34"/>
  <c r="E4003" i="34"/>
  <c r="E4004" i="34"/>
  <c r="E4005" i="34"/>
  <c r="E4006" i="34"/>
  <c r="E4007" i="34"/>
  <c r="E4008" i="34"/>
  <c r="E4009" i="34"/>
  <c r="E4010" i="34"/>
  <c r="E4011" i="34"/>
  <c r="E4012" i="34"/>
  <c r="E4013" i="34"/>
  <c r="E4014" i="34"/>
  <c r="E4015" i="34"/>
  <c r="E4016" i="34"/>
  <c r="E4017" i="34"/>
  <c r="E4018" i="34"/>
  <c r="E4019" i="34"/>
  <c r="E4020" i="34"/>
  <c r="E4021" i="34"/>
  <c r="E4022" i="34"/>
  <c r="E4023" i="34"/>
  <c r="E4024" i="34"/>
  <c r="E4025" i="34"/>
  <c r="E4026" i="34"/>
  <c r="E4027" i="34"/>
  <c r="E4028" i="34"/>
  <c r="E4029" i="34"/>
  <c r="E4030" i="34"/>
  <c r="E4031" i="34"/>
  <c r="E4032" i="34"/>
  <c r="E4033" i="34"/>
  <c r="E4034" i="34"/>
  <c r="E4035" i="34"/>
  <c r="E4036" i="34"/>
  <c r="E4037" i="34"/>
  <c r="E4038" i="34"/>
  <c r="E4039" i="34"/>
  <c r="E4040" i="34"/>
  <c r="E4041" i="34"/>
  <c r="E4042" i="34"/>
  <c r="E4043" i="34"/>
  <c r="E4044" i="34"/>
  <c r="E4045" i="34"/>
  <c r="E4046" i="34"/>
  <c r="E4047" i="34"/>
  <c r="E4048" i="34"/>
  <c r="E4049" i="34"/>
  <c r="E4050" i="34"/>
  <c r="E4051" i="34"/>
  <c r="E4052" i="34"/>
  <c r="E4053" i="34"/>
  <c r="E4054" i="34"/>
  <c r="E4055" i="34"/>
  <c r="E4056" i="34"/>
  <c r="E4057" i="34"/>
  <c r="E4058" i="34"/>
  <c r="E4059" i="34"/>
  <c r="E4060" i="34"/>
  <c r="E4061" i="34"/>
  <c r="E4062" i="34"/>
  <c r="E4063" i="34"/>
  <c r="E4064" i="34"/>
  <c r="E4065" i="34"/>
  <c r="E4066" i="34"/>
  <c r="E4067" i="34"/>
  <c r="E4068" i="34"/>
  <c r="E4069" i="34"/>
  <c r="E4070" i="34"/>
  <c r="E4071" i="34"/>
  <c r="E4072" i="34"/>
  <c r="E4073" i="34"/>
  <c r="E4074" i="34"/>
  <c r="E4075" i="34"/>
  <c r="E4076" i="34"/>
  <c r="E4077" i="34"/>
  <c r="E4078" i="34"/>
  <c r="E4079" i="34"/>
  <c r="E4080" i="34"/>
  <c r="E4081" i="34"/>
  <c r="E4082" i="34"/>
  <c r="E4083" i="34"/>
  <c r="E4084" i="34"/>
  <c r="E4085" i="34"/>
  <c r="E4086" i="34"/>
  <c r="E4087" i="34"/>
  <c r="E4088" i="34"/>
  <c r="E4089" i="34"/>
  <c r="E4090" i="34"/>
  <c r="E4091" i="34"/>
  <c r="E4092" i="34"/>
  <c r="E4093" i="34"/>
  <c r="E4094" i="34"/>
  <c r="E4095" i="34"/>
  <c r="E4096" i="34"/>
  <c r="E4097" i="34"/>
  <c r="E4098" i="34"/>
  <c r="E4099" i="34"/>
  <c r="E4100" i="34"/>
  <c r="E4101" i="34"/>
  <c r="E4102" i="34"/>
  <c r="E4103" i="34"/>
  <c r="E4104" i="34"/>
  <c r="E4105" i="34"/>
  <c r="E4106" i="34"/>
  <c r="E4107" i="34"/>
  <c r="E4108" i="34"/>
  <c r="E4109" i="34"/>
  <c r="E4110" i="34"/>
  <c r="E4111" i="34"/>
  <c r="E4112" i="34"/>
  <c r="E4113" i="34"/>
  <c r="E4114" i="34"/>
  <c r="E4115" i="34"/>
  <c r="E4116" i="34"/>
  <c r="E4117" i="34"/>
  <c r="E4118" i="34"/>
  <c r="E4119" i="34"/>
  <c r="E4120" i="34"/>
  <c r="E4121" i="34"/>
  <c r="E4122" i="34"/>
  <c r="E4123" i="34"/>
  <c r="E4124" i="34"/>
  <c r="E4125" i="34"/>
  <c r="E4126" i="34"/>
  <c r="E4127" i="34"/>
  <c r="E4128" i="34"/>
  <c r="E4129" i="34"/>
  <c r="E4130" i="34"/>
  <c r="E4131" i="34"/>
  <c r="E4132" i="34"/>
  <c r="E4133" i="34"/>
  <c r="E4134" i="34"/>
  <c r="E4135" i="34"/>
  <c r="E4136" i="34"/>
  <c r="E4137" i="34"/>
  <c r="E4138" i="34"/>
  <c r="E4139" i="34"/>
  <c r="E4140" i="34"/>
  <c r="E4141" i="34"/>
  <c r="E4142" i="34"/>
  <c r="E4143" i="34"/>
  <c r="E4144" i="34"/>
  <c r="E4145" i="34"/>
  <c r="E4146" i="34"/>
  <c r="E4147" i="34"/>
  <c r="E4148" i="34"/>
  <c r="E4149" i="34"/>
  <c r="E4150" i="34"/>
  <c r="E4151" i="34"/>
  <c r="E4152" i="34"/>
  <c r="E4153" i="34"/>
  <c r="E4154" i="34"/>
  <c r="E4155" i="34"/>
  <c r="E4156" i="34"/>
  <c r="E4157" i="34"/>
  <c r="E4158" i="34"/>
  <c r="E4159" i="34"/>
  <c r="E4160" i="34"/>
  <c r="E4161" i="34"/>
  <c r="E4162" i="34"/>
  <c r="E4163" i="34"/>
  <c r="E4164" i="34"/>
  <c r="E4165" i="34"/>
  <c r="E4166" i="34"/>
  <c r="E4167" i="34"/>
  <c r="E4168" i="34"/>
  <c r="E4169" i="34"/>
  <c r="E4170" i="34"/>
  <c r="E4171" i="34"/>
  <c r="E4172" i="34"/>
  <c r="E4173" i="34"/>
  <c r="E4174" i="34"/>
  <c r="E4175" i="34"/>
  <c r="E4176" i="34"/>
  <c r="E4177" i="34"/>
  <c r="E4178" i="34"/>
  <c r="E4179" i="34"/>
  <c r="E4180" i="34"/>
  <c r="E4181" i="34"/>
  <c r="E4182" i="34"/>
  <c r="E4183" i="34"/>
  <c r="E4184" i="34"/>
  <c r="E4185" i="34"/>
  <c r="E4186" i="34"/>
  <c r="E4187" i="34"/>
  <c r="E4188" i="34"/>
  <c r="E4189" i="34"/>
  <c r="E4190" i="34"/>
  <c r="E4191" i="34"/>
  <c r="E4192" i="34"/>
  <c r="E4193" i="34"/>
  <c r="E4194" i="34"/>
  <c r="E4195" i="34"/>
  <c r="E4196" i="34"/>
  <c r="E4197" i="34"/>
  <c r="E4198" i="34"/>
  <c r="E4199" i="34"/>
  <c r="E4200" i="34"/>
  <c r="E4201" i="34"/>
  <c r="E4202" i="34"/>
  <c r="E4203" i="34"/>
  <c r="E4204" i="34"/>
  <c r="E4205" i="34"/>
  <c r="E4206" i="34"/>
  <c r="E4207" i="34"/>
  <c r="E4208" i="34"/>
  <c r="E4209" i="34"/>
  <c r="E4210" i="34"/>
  <c r="E4211" i="34"/>
  <c r="E4212" i="34"/>
  <c r="E4213" i="34"/>
  <c r="E4214" i="34"/>
  <c r="E4215" i="34"/>
  <c r="E4216" i="34"/>
  <c r="E4217" i="34"/>
  <c r="E4218" i="34"/>
  <c r="E4219" i="34"/>
  <c r="E4220" i="34"/>
  <c r="E4221" i="34"/>
  <c r="E4222" i="34"/>
  <c r="E4223" i="34"/>
  <c r="E4224" i="34"/>
  <c r="E4225" i="34"/>
  <c r="E4226" i="34"/>
  <c r="E4227" i="34"/>
  <c r="E4228" i="34"/>
  <c r="E4229" i="34"/>
  <c r="E4230" i="34"/>
  <c r="E4231" i="34"/>
  <c r="E4232" i="34"/>
  <c r="E4233" i="34"/>
  <c r="E4234" i="34"/>
  <c r="E4235" i="34"/>
  <c r="E4236" i="34"/>
  <c r="E4237" i="34"/>
  <c r="E4238" i="34"/>
  <c r="E4239" i="34"/>
  <c r="E4240" i="34"/>
  <c r="E4241" i="34"/>
  <c r="E4242" i="34"/>
  <c r="E4243" i="34"/>
  <c r="E4244" i="34"/>
  <c r="E4245" i="34"/>
  <c r="E4246" i="34"/>
  <c r="E4247" i="34"/>
  <c r="E4248" i="34"/>
  <c r="E4249" i="34"/>
  <c r="E4250" i="34"/>
  <c r="E4251" i="34"/>
  <c r="E4252" i="34"/>
  <c r="E4253" i="34"/>
  <c r="E4254" i="34"/>
  <c r="E4255" i="34"/>
  <c r="E4256" i="34"/>
  <c r="E4257" i="34"/>
  <c r="E4258" i="34"/>
  <c r="E4259" i="34"/>
  <c r="E4260" i="34"/>
  <c r="E4261" i="34"/>
  <c r="E4262" i="34"/>
  <c r="E4263" i="34"/>
  <c r="E4264" i="34"/>
  <c r="E4265" i="34"/>
  <c r="E4266" i="34"/>
  <c r="E4267" i="34"/>
  <c r="E4268" i="34"/>
  <c r="E4269" i="34"/>
  <c r="E4270" i="34"/>
  <c r="E4271" i="34"/>
  <c r="E4272" i="34"/>
  <c r="E4273" i="34"/>
  <c r="E4274" i="34"/>
  <c r="E4275" i="34"/>
  <c r="E4276" i="34"/>
  <c r="E4277" i="34"/>
  <c r="E4278" i="34"/>
  <c r="E4279" i="34"/>
  <c r="E4280" i="34"/>
  <c r="E4281" i="34"/>
  <c r="E4282" i="34"/>
  <c r="E4283" i="34"/>
  <c r="E4284" i="34"/>
  <c r="E4285" i="34"/>
  <c r="E4286" i="34"/>
  <c r="E4287" i="34"/>
  <c r="E4288" i="34"/>
  <c r="E4289" i="34"/>
  <c r="E4290" i="34"/>
  <c r="E4291" i="34"/>
  <c r="E4292" i="34"/>
  <c r="E4293" i="34"/>
  <c r="E4294" i="34"/>
  <c r="E4295" i="34"/>
  <c r="E4296" i="34"/>
  <c r="E4297" i="34"/>
  <c r="E4298" i="34"/>
  <c r="E4299" i="34"/>
  <c r="E4300" i="34"/>
  <c r="E4301" i="34"/>
  <c r="E4302" i="34"/>
  <c r="E4303" i="34"/>
  <c r="E4304" i="34"/>
  <c r="E4305" i="34"/>
  <c r="E4306" i="34"/>
  <c r="E4307" i="34"/>
  <c r="E4308" i="34"/>
  <c r="E4309" i="34"/>
  <c r="E4310" i="34"/>
  <c r="E4311" i="34"/>
  <c r="E4312" i="34"/>
  <c r="E4313" i="34"/>
  <c r="E4314" i="34"/>
  <c r="E4315" i="34"/>
  <c r="E4316" i="34"/>
  <c r="E4317" i="34"/>
  <c r="E4318" i="34"/>
  <c r="E4319" i="34"/>
  <c r="E4320" i="34"/>
  <c r="E4321" i="34"/>
  <c r="E4322" i="34"/>
  <c r="E4323" i="34"/>
  <c r="E4324" i="34"/>
  <c r="E4325" i="34"/>
  <c r="E4326" i="34"/>
  <c r="E4327" i="34"/>
  <c r="E4328" i="34"/>
  <c r="E4329" i="34"/>
  <c r="E4330" i="34"/>
  <c r="E4331" i="34"/>
  <c r="E4332" i="34"/>
  <c r="E4333" i="34"/>
  <c r="E4334" i="34"/>
  <c r="E4335" i="34"/>
  <c r="E4336" i="34"/>
  <c r="E4337" i="34"/>
  <c r="E4338" i="34"/>
  <c r="E4339" i="34"/>
  <c r="E4340" i="34"/>
  <c r="E4341" i="34"/>
  <c r="E4342" i="34"/>
  <c r="E4343" i="34"/>
  <c r="E4344" i="34"/>
  <c r="E4345" i="34"/>
  <c r="E4346" i="34"/>
  <c r="E4347" i="34"/>
  <c r="E4348" i="34"/>
  <c r="E4349" i="34"/>
  <c r="E4350" i="34"/>
  <c r="E4351" i="34"/>
  <c r="E4352" i="34"/>
  <c r="E4353" i="34"/>
  <c r="E4354" i="34"/>
  <c r="E4355" i="34"/>
  <c r="E4356" i="34"/>
  <c r="E4357" i="34"/>
  <c r="E4358" i="34"/>
  <c r="E4359" i="34"/>
  <c r="E4360" i="34"/>
  <c r="E4361" i="34"/>
  <c r="E4362" i="34"/>
  <c r="E4363" i="34"/>
  <c r="E4364" i="34"/>
  <c r="E4365" i="34"/>
  <c r="E4366" i="34"/>
  <c r="E4367" i="34"/>
  <c r="E4368" i="34"/>
  <c r="E4369" i="34"/>
  <c r="E4370" i="34"/>
  <c r="E4371" i="34"/>
  <c r="E4372" i="34"/>
  <c r="E4373" i="34"/>
  <c r="E4374" i="34"/>
  <c r="E4375" i="34"/>
  <c r="E4376" i="34"/>
  <c r="E4377" i="34"/>
  <c r="E4378" i="34"/>
  <c r="E4379" i="34"/>
  <c r="E4380" i="34"/>
  <c r="E4381" i="34"/>
  <c r="E4382" i="34"/>
  <c r="E4383" i="34"/>
  <c r="E4384" i="34"/>
  <c r="E4385" i="34"/>
  <c r="E4386" i="34"/>
  <c r="E4387" i="34"/>
  <c r="E4388" i="34"/>
  <c r="E4389" i="34"/>
  <c r="E4390" i="34"/>
  <c r="E4391" i="34"/>
  <c r="E4392" i="34"/>
  <c r="E4393" i="34"/>
  <c r="E4394" i="34"/>
  <c r="E4395" i="34"/>
  <c r="E4396" i="34"/>
  <c r="E4397" i="34"/>
  <c r="E4398" i="34"/>
  <c r="E4399" i="34"/>
  <c r="E4400" i="34"/>
  <c r="E4401" i="34"/>
  <c r="E4402" i="34"/>
  <c r="E4403" i="34"/>
  <c r="E4404" i="34"/>
  <c r="E4405" i="34"/>
  <c r="E4406" i="34"/>
  <c r="E4407" i="34"/>
  <c r="E4408" i="34"/>
  <c r="E4409" i="34"/>
  <c r="E4410" i="34"/>
  <c r="E4411" i="34"/>
  <c r="E4412" i="34"/>
  <c r="E4413" i="34"/>
  <c r="E4414" i="34"/>
  <c r="E4415" i="34"/>
  <c r="E4416" i="34"/>
  <c r="E4417" i="34"/>
  <c r="E4418" i="34"/>
  <c r="E4419" i="34"/>
  <c r="E4420" i="34"/>
  <c r="E4421" i="34"/>
  <c r="E4422" i="34"/>
  <c r="E4423" i="34"/>
  <c r="E4424" i="34"/>
  <c r="E4425" i="34"/>
  <c r="E4426" i="34"/>
  <c r="E4427" i="34"/>
  <c r="E4428" i="34"/>
  <c r="E4429" i="34"/>
  <c r="E4430" i="34"/>
  <c r="E4431" i="34"/>
  <c r="E4432" i="34"/>
  <c r="E4433" i="34"/>
  <c r="E4434" i="34"/>
  <c r="E4435" i="34"/>
  <c r="E4436" i="34"/>
  <c r="E4437" i="34"/>
  <c r="E4438" i="34"/>
  <c r="E4439" i="34"/>
  <c r="E4440" i="34"/>
  <c r="E4441" i="34"/>
  <c r="E4442" i="34"/>
  <c r="E4443" i="34"/>
  <c r="E4444" i="34"/>
  <c r="E4445" i="34"/>
  <c r="E4446" i="34"/>
  <c r="E4447" i="34"/>
  <c r="E4448" i="34"/>
  <c r="E4449" i="34"/>
  <c r="E4450" i="34"/>
  <c r="E4451" i="34"/>
  <c r="E4452" i="34"/>
  <c r="E4453" i="34"/>
  <c r="E4454" i="34"/>
  <c r="E4455" i="34"/>
  <c r="E4456" i="34"/>
  <c r="E4457" i="34"/>
  <c r="E4458" i="34"/>
  <c r="E4459" i="34"/>
  <c r="E4460" i="34"/>
  <c r="E4461" i="34"/>
  <c r="E4462" i="34"/>
  <c r="E4463" i="34"/>
  <c r="E4464" i="34"/>
  <c r="E4465" i="34"/>
  <c r="E4466" i="34"/>
  <c r="E4467" i="34"/>
  <c r="E4468" i="34"/>
  <c r="E4469" i="34"/>
  <c r="E4470" i="34"/>
  <c r="E4471" i="34"/>
  <c r="E4472" i="34"/>
  <c r="E4473" i="34"/>
  <c r="E4474" i="34"/>
  <c r="E4475" i="34"/>
  <c r="E4476" i="34"/>
  <c r="E4477" i="34"/>
  <c r="E4478" i="34"/>
  <c r="E4479" i="34"/>
  <c r="E4480" i="34"/>
  <c r="E4481" i="34"/>
  <c r="E4482" i="34"/>
  <c r="E4483" i="34"/>
  <c r="E4484" i="34"/>
  <c r="E4485" i="34"/>
  <c r="E4486" i="34"/>
  <c r="E4487" i="34"/>
  <c r="E4488" i="34"/>
  <c r="E4489" i="34"/>
  <c r="E4490" i="34"/>
  <c r="E4491" i="34"/>
  <c r="E4492" i="34"/>
  <c r="E4493" i="34"/>
  <c r="E4494" i="34"/>
  <c r="E4495" i="34"/>
  <c r="E4496" i="34"/>
  <c r="E4497" i="34"/>
  <c r="E4498" i="34"/>
  <c r="E4499" i="34"/>
  <c r="E4500" i="34"/>
  <c r="E4501" i="34"/>
  <c r="E4502" i="34"/>
  <c r="E4503" i="34"/>
  <c r="E4504" i="34"/>
  <c r="E4505" i="34"/>
  <c r="E4506" i="34"/>
  <c r="E4507" i="34"/>
  <c r="E4508" i="34"/>
  <c r="E4509" i="34"/>
  <c r="E4510" i="34"/>
  <c r="E4511" i="34"/>
  <c r="E4512" i="34"/>
  <c r="E4513" i="34"/>
  <c r="E4514" i="34"/>
  <c r="E4515" i="34"/>
  <c r="E4516" i="34"/>
  <c r="E4517" i="34"/>
  <c r="E4518" i="34"/>
  <c r="E4519" i="34"/>
  <c r="E4520" i="34"/>
  <c r="E4521" i="34"/>
  <c r="E4522" i="34"/>
  <c r="E4523" i="34"/>
  <c r="E4524" i="34"/>
  <c r="E4525" i="34"/>
  <c r="E4526" i="34"/>
  <c r="E4527" i="34"/>
  <c r="E4528" i="34"/>
  <c r="E4529" i="34"/>
  <c r="E4530" i="34"/>
  <c r="E4531" i="34"/>
  <c r="E4532" i="34"/>
  <c r="E4533" i="34"/>
  <c r="E4534" i="34"/>
  <c r="E4535" i="34"/>
  <c r="E4536" i="34"/>
  <c r="E4537" i="34"/>
  <c r="E4538" i="34"/>
  <c r="E4539" i="34"/>
  <c r="E4540" i="34"/>
  <c r="E4541" i="34"/>
  <c r="E4542" i="34"/>
  <c r="E4543" i="34"/>
  <c r="E4544" i="34"/>
  <c r="E4545" i="34"/>
  <c r="E4546" i="34"/>
  <c r="E4547" i="34"/>
  <c r="E4548" i="34"/>
  <c r="E4549" i="34"/>
  <c r="E4550" i="34"/>
  <c r="E4551" i="34"/>
  <c r="E4552" i="34"/>
  <c r="E4553" i="34"/>
  <c r="E4554" i="34"/>
  <c r="E4555" i="34"/>
  <c r="E4556" i="34"/>
  <c r="E4557" i="34"/>
  <c r="E4558" i="34"/>
  <c r="E4559" i="34"/>
  <c r="E4560" i="34"/>
  <c r="E4561" i="34"/>
  <c r="E4562" i="34"/>
  <c r="E4563" i="34"/>
  <c r="E4564" i="34"/>
  <c r="E4565" i="34"/>
  <c r="E4566" i="34"/>
  <c r="E4567" i="34"/>
  <c r="E4568" i="34"/>
  <c r="E4569" i="34"/>
  <c r="E4570" i="34"/>
  <c r="E4571" i="34"/>
  <c r="E4572" i="34"/>
  <c r="E4573" i="34"/>
  <c r="E4574" i="34"/>
  <c r="E4575" i="34"/>
  <c r="E4576" i="34"/>
  <c r="E4577" i="34"/>
  <c r="E4578" i="34"/>
  <c r="E4579" i="34"/>
  <c r="E4580" i="34"/>
  <c r="E4581" i="34"/>
  <c r="E4582" i="34"/>
  <c r="E4583" i="34"/>
  <c r="E4584" i="34"/>
  <c r="E4585" i="34"/>
  <c r="E4586" i="34"/>
  <c r="E4587" i="34"/>
  <c r="E4588" i="34"/>
  <c r="E4589" i="34"/>
  <c r="E4590" i="34"/>
  <c r="E4591" i="34"/>
  <c r="E4592" i="34"/>
  <c r="E4593" i="34"/>
  <c r="E4594" i="34"/>
  <c r="E4595" i="34"/>
  <c r="E4596" i="34"/>
  <c r="E4597" i="34"/>
  <c r="E4598" i="34"/>
  <c r="E4599" i="34"/>
  <c r="E4600" i="34"/>
  <c r="E4601" i="34"/>
  <c r="E4602" i="34"/>
  <c r="E4603" i="34"/>
  <c r="E4604" i="34"/>
  <c r="E4605" i="34"/>
  <c r="E4606" i="34"/>
  <c r="E4607" i="34"/>
  <c r="E4608" i="34"/>
  <c r="E4609" i="34"/>
  <c r="E4610" i="34"/>
  <c r="E4611" i="34"/>
  <c r="E4612" i="34"/>
  <c r="E4613" i="34"/>
  <c r="E4614" i="34"/>
  <c r="E4615" i="34"/>
  <c r="E4616" i="34"/>
  <c r="E4617" i="34"/>
  <c r="E4618" i="34"/>
  <c r="E4619" i="34"/>
  <c r="E4620" i="34"/>
  <c r="E4621" i="34"/>
  <c r="E4622" i="34"/>
  <c r="E4623" i="34"/>
  <c r="E4624" i="34"/>
  <c r="E4625" i="34"/>
  <c r="E4626" i="34"/>
  <c r="E4627" i="34"/>
  <c r="E4628" i="34"/>
  <c r="E4629" i="34"/>
  <c r="E4630" i="34"/>
  <c r="E4631" i="34"/>
  <c r="E4632" i="34"/>
  <c r="E4633" i="34"/>
  <c r="E4634" i="34"/>
  <c r="E4635" i="34"/>
  <c r="E4636" i="34"/>
  <c r="E4637" i="34"/>
  <c r="E4638" i="34"/>
  <c r="E4639" i="34"/>
  <c r="E4640" i="34"/>
  <c r="E4641" i="34"/>
  <c r="E4642" i="34"/>
  <c r="E4643" i="34"/>
  <c r="E4644" i="34"/>
  <c r="E4645" i="34"/>
  <c r="E4646" i="34"/>
  <c r="E4647" i="34"/>
  <c r="E4648" i="34"/>
  <c r="E4649" i="34"/>
  <c r="E4650" i="34"/>
  <c r="E4651" i="34"/>
  <c r="E4652" i="34"/>
  <c r="E4653" i="34"/>
  <c r="E4654" i="34"/>
  <c r="E4655" i="34"/>
  <c r="E4656" i="34"/>
  <c r="E4657" i="34"/>
  <c r="E4658" i="34"/>
  <c r="E4659" i="34"/>
  <c r="E4660" i="34"/>
  <c r="E4661" i="34"/>
  <c r="E4662" i="34"/>
  <c r="E4663" i="34"/>
  <c r="E4664" i="34"/>
  <c r="E4665" i="34"/>
  <c r="E4666" i="34"/>
  <c r="E4667" i="34"/>
  <c r="E4668" i="34"/>
  <c r="E4669" i="34"/>
  <c r="E4670" i="34"/>
  <c r="E4671" i="34"/>
  <c r="E4672" i="34"/>
  <c r="E4673" i="34"/>
  <c r="E4674" i="34"/>
  <c r="E4675" i="34"/>
  <c r="E4676" i="34"/>
  <c r="E4677" i="34"/>
  <c r="E4678" i="34"/>
  <c r="E4679" i="34"/>
  <c r="E4680" i="34"/>
  <c r="E4681" i="34"/>
  <c r="E4682" i="34"/>
  <c r="E4683" i="34"/>
  <c r="E4684" i="34"/>
  <c r="E4685" i="34"/>
  <c r="E4686" i="34"/>
  <c r="E4687" i="34"/>
  <c r="E4688" i="34"/>
  <c r="E4689" i="34"/>
  <c r="E4690" i="34"/>
  <c r="E4691" i="34"/>
  <c r="E4692" i="34"/>
  <c r="E4693" i="34"/>
  <c r="E4694" i="34"/>
  <c r="E4695" i="34"/>
  <c r="E4696" i="34"/>
  <c r="E4697" i="34"/>
  <c r="E4698" i="34"/>
  <c r="E4699" i="34"/>
  <c r="E4700" i="34"/>
  <c r="E4701" i="34"/>
  <c r="E4702" i="34"/>
  <c r="E4703" i="34"/>
  <c r="E4704" i="34"/>
  <c r="E4705" i="34"/>
  <c r="E4706" i="34"/>
  <c r="E4707" i="34"/>
  <c r="E4708" i="34"/>
  <c r="E4709" i="34"/>
  <c r="E4710" i="34"/>
  <c r="E4711" i="34"/>
  <c r="E4712" i="34"/>
  <c r="E4713" i="34"/>
  <c r="E4714" i="34"/>
  <c r="E4715" i="34"/>
  <c r="E4716" i="34"/>
  <c r="E4717" i="34"/>
  <c r="E4718" i="34"/>
  <c r="E4719" i="34"/>
  <c r="E4720" i="34"/>
  <c r="E4721" i="34"/>
  <c r="E4722" i="34"/>
  <c r="E4723" i="34"/>
  <c r="E4724" i="34"/>
  <c r="E4725" i="34"/>
  <c r="E4726" i="34"/>
  <c r="E4727" i="34"/>
  <c r="E4728" i="34"/>
  <c r="E4729" i="34"/>
  <c r="E4730" i="34"/>
  <c r="E4731" i="34"/>
  <c r="E4732" i="34"/>
  <c r="E4733" i="34"/>
  <c r="E4734" i="34"/>
  <c r="E4735" i="34"/>
  <c r="E4736" i="34"/>
  <c r="E4737" i="34"/>
  <c r="E4738" i="34"/>
  <c r="E4739" i="34"/>
  <c r="E4740" i="34"/>
  <c r="E4741" i="34"/>
  <c r="E4742" i="34"/>
  <c r="E4743" i="34"/>
  <c r="E4744" i="34"/>
  <c r="E4745" i="34"/>
  <c r="E4746" i="34"/>
  <c r="E4747" i="34"/>
  <c r="E4748" i="34"/>
  <c r="E4749" i="34"/>
  <c r="E4750" i="34"/>
  <c r="E4751" i="34"/>
  <c r="E4752" i="34"/>
  <c r="E4753" i="34"/>
  <c r="E4754" i="34"/>
  <c r="E4755" i="34"/>
  <c r="E4756" i="34"/>
  <c r="E4757" i="34"/>
  <c r="E4758" i="34"/>
  <c r="E4759" i="34"/>
  <c r="E4760" i="34"/>
  <c r="E4761" i="34"/>
  <c r="E4762" i="34"/>
  <c r="E4763" i="34"/>
  <c r="E4764" i="34"/>
  <c r="E4765" i="34"/>
  <c r="E4766" i="34"/>
  <c r="E4767" i="34"/>
  <c r="E4768" i="34"/>
  <c r="E4769" i="34"/>
  <c r="E4770" i="34"/>
  <c r="E4771" i="34"/>
  <c r="E4772" i="34"/>
  <c r="E4773" i="34"/>
  <c r="E4774" i="34"/>
  <c r="E4775" i="34"/>
  <c r="E4776" i="34"/>
  <c r="E4777" i="34"/>
  <c r="E4778" i="34"/>
  <c r="E4779" i="34"/>
  <c r="E4780" i="34"/>
  <c r="E4781" i="34"/>
  <c r="E4782" i="34"/>
  <c r="E4783" i="34"/>
  <c r="E4784" i="34"/>
  <c r="E4785" i="34"/>
  <c r="E4786" i="34"/>
  <c r="E4787" i="34"/>
  <c r="E4788" i="34"/>
  <c r="E4789" i="34"/>
  <c r="E4790" i="34"/>
  <c r="E4791" i="34"/>
  <c r="E4792" i="34"/>
  <c r="E4793" i="34"/>
  <c r="E4794" i="34"/>
  <c r="E4795" i="34"/>
  <c r="E4796" i="34"/>
  <c r="E4797" i="34"/>
  <c r="E4798" i="34"/>
  <c r="E4799" i="34"/>
  <c r="E4800" i="34"/>
  <c r="E4801" i="34"/>
  <c r="E4802" i="34"/>
  <c r="E4803" i="34"/>
  <c r="E4804" i="34"/>
  <c r="E4805" i="34"/>
  <c r="E4806" i="34"/>
  <c r="E4807" i="34"/>
  <c r="E4808" i="34"/>
  <c r="E4809" i="34"/>
  <c r="E4810" i="34"/>
  <c r="E4811" i="34"/>
  <c r="E4812" i="34"/>
  <c r="E4813" i="34"/>
  <c r="E4814" i="34"/>
  <c r="E4815" i="34"/>
  <c r="E4816" i="34"/>
  <c r="E4817" i="34"/>
  <c r="E4818" i="34"/>
  <c r="E4819" i="34"/>
  <c r="E4820" i="34"/>
  <c r="E4821" i="34"/>
  <c r="E4822" i="34"/>
  <c r="E4823" i="34"/>
  <c r="E4824" i="34"/>
  <c r="E4825" i="34"/>
  <c r="E4826" i="34"/>
  <c r="E4827" i="34"/>
  <c r="E4828" i="34"/>
  <c r="E4829" i="34"/>
  <c r="E4830" i="34"/>
  <c r="E4831" i="34"/>
  <c r="E4832" i="34"/>
  <c r="E4833" i="34"/>
  <c r="E4834" i="34"/>
  <c r="E4835" i="34"/>
  <c r="E4836" i="34"/>
  <c r="E4837" i="34"/>
  <c r="E4838" i="34"/>
  <c r="E4839" i="34"/>
  <c r="E4840" i="34"/>
  <c r="E4841" i="34"/>
  <c r="E4842" i="34"/>
  <c r="E4843" i="34"/>
  <c r="E4844" i="34"/>
  <c r="E4845" i="34"/>
  <c r="E4846" i="34"/>
  <c r="E4847" i="34"/>
  <c r="E4848" i="34"/>
  <c r="E4849" i="34"/>
  <c r="E4850" i="34"/>
  <c r="E4851" i="34"/>
  <c r="E4852" i="34"/>
  <c r="E4853" i="34"/>
  <c r="E4854" i="34"/>
  <c r="E4855" i="34"/>
  <c r="E4856" i="34"/>
  <c r="E4857" i="34"/>
  <c r="E4858" i="34"/>
  <c r="E4859" i="34"/>
  <c r="E4860" i="34"/>
  <c r="E4861" i="34"/>
  <c r="E4862" i="34"/>
  <c r="E4863" i="34"/>
  <c r="E4864" i="34"/>
  <c r="E4865" i="34"/>
  <c r="E4866" i="34"/>
  <c r="E4867" i="34"/>
  <c r="E4868" i="34"/>
  <c r="E4869" i="34"/>
  <c r="E4870" i="34"/>
  <c r="E4871" i="34"/>
  <c r="E4872" i="34"/>
  <c r="E4873" i="34"/>
  <c r="E4874" i="34"/>
  <c r="E4875" i="34"/>
  <c r="E4876" i="34"/>
  <c r="E4877" i="34"/>
  <c r="E4878" i="34"/>
  <c r="E4879" i="34"/>
  <c r="E4880" i="34"/>
  <c r="E4881" i="34"/>
  <c r="E4882" i="34"/>
  <c r="E4883" i="34"/>
  <c r="E4884" i="34"/>
  <c r="E4885" i="34"/>
  <c r="E4886" i="34"/>
  <c r="E4887" i="34"/>
  <c r="E4888" i="34"/>
  <c r="E4889" i="34"/>
  <c r="E4890" i="34"/>
  <c r="E4891" i="34"/>
  <c r="E4892" i="34"/>
  <c r="E4893" i="34"/>
  <c r="E4894" i="34"/>
  <c r="E4895" i="34"/>
  <c r="E4896" i="34"/>
  <c r="E4897" i="34"/>
  <c r="E4898" i="34"/>
  <c r="E4899" i="34"/>
  <c r="E4900" i="34"/>
  <c r="E4901" i="34"/>
  <c r="E4902" i="34"/>
  <c r="E4903" i="34"/>
  <c r="E4904" i="34"/>
  <c r="E4905" i="34"/>
  <c r="E4906" i="34"/>
  <c r="E4907" i="34"/>
  <c r="E4908" i="34"/>
  <c r="E4909" i="34"/>
  <c r="E4910" i="34"/>
  <c r="E4911" i="34"/>
  <c r="E4912" i="34"/>
  <c r="E4913" i="34"/>
  <c r="E4914" i="34"/>
  <c r="E4915" i="34"/>
  <c r="E4916" i="34"/>
  <c r="E4917" i="34"/>
  <c r="E4918" i="34"/>
  <c r="E4919" i="34"/>
  <c r="E4920" i="34"/>
  <c r="E4921" i="34"/>
  <c r="E4922" i="34"/>
  <c r="E4923" i="34"/>
  <c r="E4924" i="34"/>
  <c r="E4925" i="34"/>
  <c r="E4926" i="34"/>
  <c r="E4927" i="34"/>
  <c r="E4928" i="34"/>
  <c r="E4929" i="34"/>
  <c r="E4930" i="34"/>
  <c r="E4931" i="34"/>
  <c r="E4932" i="34"/>
  <c r="E4933" i="34"/>
  <c r="E4934" i="34"/>
  <c r="E4935" i="34"/>
  <c r="E4936" i="34"/>
  <c r="E4937" i="34"/>
  <c r="E4938" i="34"/>
  <c r="E4939" i="34"/>
  <c r="E4940" i="34"/>
  <c r="E4941" i="34"/>
  <c r="E4942" i="34"/>
  <c r="E4943" i="34"/>
  <c r="E4944" i="34"/>
  <c r="E4945" i="34"/>
  <c r="E4946" i="34"/>
  <c r="E4947" i="34"/>
  <c r="E4948" i="34"/>
  <c r="E4949" i="34"/>
  <c r="E4950" i="34"/>
  <c r="E4951" i="34"/>
  <c r="E4952" i="34"/>
  <c r="E4953" i="34"/>
  <c r="E4954" i="34"/>
  <c r="E4955" i="34"/>
  <c r="E4956" i="34"/>
  <c r="E4957" i="34"/>
  <c r="E4958" i="34"/>
  <c r="E4959" i="34"/>
  <c r="E4960" i="34"/>
  <c r="E4961" i="34"/>
  <c r="E4962" i="34"/>
  <c r="E4963" i="34"/>
  <c r="E4964" i="34"/>
  <c r="E4965" i="34"/>
  <c r="E4966" i="34"/>
  <c r="E4967" i="34"/>
  <c r="E4968" i="34"/>
  <c r="E4969" i="34"/>
  <c r="E4970" i="34"/>
  <c r="E4971" i="34"/>
  <c r="E4972" i="34"/>
  <c r="E4973" i="34"/>
  <c r="E4974" i="34"/>
  <c r="E4975" i="34"/>
  <c r="E4976" i="34"/>
  <c r="E4977" i="34"/>
  <c r="E4978" i="34"/>
  <c r="E4979" i="34"/>
  <c r="E4980" i="34"/>
  <c r="E4981" i="34"/>
  <c r="E4982" i="34"/>
  <c r="E4983" i="34"/>
  <c r="E4984" i="34"/>
  <c r="E4985" i="34"/>
  <c r="E4986" i="34"/>
  <c r="E4987" i="34"/>
  <c r="E4988" i="34"/>
  <c r="E4989" i="34"/>
  <c r="E4990" i="34"/>
  <c r="E4991" i="34"/>
  <c r="E4992" i="34"/>
  <c r="E4993" i="34"/>
  <c r="E4994" i="34"/>
  <c r="E4995" i="34"/>
  <c r="E4996" i="34"/>
  <c r="E4997" i="34"/>
  <c r="E4998" i="34"/>
  <c r="E4999" i="34"/>
  <c r="E5000" i="34"/>
  <c r="E5001" i="34"/>
  <c r="E5002" i="34"/>
  <c r="E5003" i="34"/>
  <c r="E5004" i="34"/>
  <c r="E5005" i="34"/>
  <c r="E5006" i="34"/>
  <c r="E5007" i="34"/>
  <c r="E5008" i="34"/>
  <c r="E5009" i="34"/>
  <c r="E5010" i="34"/>
  <c r="E5011" i="34"/>
  <c r="E5012" i="34"/>
  <c r="E5013" i="34"/>
  <c r="E5014" i="34"/>
  <c r="E5015" i="34"/>
  <c r="E5016" i="34"/>
  <c r="E5017" i="34"/>
  <c r="E5018" i="34"/>
  <c r="E5019" i="34"/>
  <c r="E5020" i="34"/>
  <c r="E5021" i="34"/>
  <c r="E5022" i="34"/>
  <c r="E5023" i="34"/>
  <c r="E5024" i="34"/>
  <c r="E5025" i="34"/>
  <c r="E5026" i="34"/>
  <c r="E5027" i="34"/>
  <c r="E5028" i="34"/>
  <c r="E5029" i="34"/>
  <c r="E5030" i="34"/>
  <c r="E5031" i="34"/>
  <c r="E5032" i="34"/>
  <c r="E5033" i="34"/>
  <c r="E5034" i="34"/>
  <c r="E5035" i="34"/>
  <c r="E5036" i="34"/>
  <c r="E5037" i="34"/>
  <c r="E5038" i="34"/>
  <c r="E5039" i="34"/>
  <c r="E5040" i="34"/>
  <c r="E5041" i="34"/>
  <c r="E5042" i="34"/>
  <c r="E5043" i="34"/>
  <c r="E5044" i="34"/>
  <c r="E5045" i="34"/>
  <c r="E5046" i="34"/>
  <c r="E5047" i="34"/>
  <c r="E5048" i="34"/>
  <c r="E5049" i="34"/>
  <c r="E5050" i="34"/>
  <c r="E5051" i="34"/>
  <c r="E5052" i="34"/>
  <c r="E5053" i="34"/>
  <c r="E5054" i="34"/>
  <c r="E5055" i="34"/>
  <c r="E5056" i="34"/>
  <c r="E5057" i="34"/>
  <c r="E5058" i="34"/>
  <c r="E5059" i="34"/>
  <c r="E5060" i="34"/>
  <c r="E5061" i="34"/>
  <c r="E5062" i="34"/>
  <c r="E5063" i="34"/>
  <c r="E5064" i="34"/>
  <c r="E5065" i="34"/>
  <c r="E5066" i="34"/>
  <c r="E5067" i="34"/>
  <c r="E5068" i="34"/>
  <c r="E5069" i="34"/>
  <c r="E5070" i="34"/>
  <c r="E5071" i="34"/>
  <c r="E5072" i="34"/>
  <c r="E5073" i="34"/>
  <c r="E5074" i="34"/>
  <c r="E5075" i="34"/>
  <c r="E5076" i="34"/>
  <c r="E5077" i="34"/>
  <c r="E5078" i="34"/>
  <c r="E5079" i="34"/>
  <c r="E5080" i="34"/>
  <c r="E5081" i="34"/>
  <c r="E5082" i="34"/>
  <c r="E5083" i="34"/>
  <c r="E5084" i="34"/>
  <c r="E5085" i="34"/>
  <c r="E5086" i="34"/>
  <c r="E5087" i="34"/>
  <c r="E5088" i="34"/>
  <c r="E5089" i="34"/>
  <c r="E5090" i="34"/>
  <c r="E5091" i="34"/>
  <c r="E5092" i="34"/>
  <c r="E5093" i="34"/>
  <c r="E5094" i="34"/>
  <c r="E5095" i="34"/>
  <c r="E5096" i="34"/>
  <c r="E5097" i="34"/>
  <c r="E5098" i="34"/>
  <c r="E5099" i="34"/>
  <c r="E5100" i="34"/>
  <c r="E5101" i="34"/>
  <c r="E5102" i="34"/>
  <c r="E5103" i="34"/>
  <c r="E5104" i="34"/>
  <c r="E5105" i="34"/>
  <c r="E5106" i="34"/>
  <c r="E5107" i="34"/>
  <c r="E5108" i="34"/>
  <c r="E5109" i="34"/>
  <c r="E5110" i="34"/>
  <c r="E5111" i="34"/>
  <c r="E5112" i="34"/>
  <c r="E5113" i="34"/>
  <c r="E5114" i="34"/>
  <c r="E5115" i="34"/>
  <c r="E5116" i="34"/>
  <c r="E5117" i="34"/>
  <c r="E5118" i="34"/>
  <c r="E5119" i="34"/>
  <c r="E5120" i="34"/>
  <c r="E5121" i="34"/>
  <c r="E5122" i="34"/>
  <c r="E5123" i="34"/>
  <c r="E5124" i="34"/>
  <c r="E5125" i="34"/>
  <c r="E5126" i="34"/>
  <c r="E5127" i="34"/>
  <c r="E5128" i="34"/>
  <c r="E5129" i="34"/>
  <c r="E5130" i="34"/>
  <c r="E5131" i="34"/>
  <c r="E5132" i="34"/>
  <c r="E5133" i="34"/>
  <c r="E5134" i="34"/>
  <c r="E5135" i="34"/>
  <c r="E5136" i="34"/>
  <c r="E5137" i="34"/>
  <c r="E5138" i="34"/>
  <c r="E5139" i="34"/>
  <c r="E5140" i="34"/>
  <c r="E5141" i="34"/>
  <c r="E5142" i="34"/>
  <c r="E5143" i="34"/>
  <c r="E5144" i="34"/>
  <c r="E5145" i="34"/>
  <c r="E5146" i="34"/>
  <c r="E5147" i="34"/>
  <c r="E5148" i="34"/>
  <c r="E5149" i="34"/>
  <c r="E5150" i="34"/>
  <c r="E5151" i="34"/>
  <c r="E5152" i="34"/>
  <c r="E5153" i="34"/>
  <c r="E5154" i="34"/>
  <c r="E5155" i="34"/>
  <c r="E5156" i="34"/>
  <c r="E5157" i="34"/>
  <c r="E5158" i="34"/>
  <c r="E5159" i="34"/>
  <c r="E5160" i="34"/>
  <c r="E5161" i="34"/>
  <c r="E5162" i="34"/>
  <c r="E5163" i="34"/>
  <c r="E5164" i="34"/>
  <c r="E5165" i="34"/>
  <c r="E5166" i="34"/>
  <c r="E5167" i="34"/>
  <c r="E5168" i="34"/>
  <c r="E5169" i="34"/>
  <c r="E5170" i="34"/>
  <c r="E5171" i="34"/>
  <c r="E5172" i="34"/>
  <c r="E5173" i="34"/>
  <c r="E5174" i="34"/>
  <c r="E5175" i="34"/>
  <c r="E5176" i="34"/>
  <c r="E5177" i="34"/>
  <c r="E5178" i="34"/>
  <c r="E5179" i="34"/>
  <c r="E5180" i="34"/>
  <c r="E5181" i="34"/>
  <c r="E5182" i="34"/>
  <c r="E5183" i="34"/>
  <c r="E5184" i="34"/>
  <c r="E5185" i="34"/>
  <c r="E5186" i="34"/>
  <c r="E5187" i="34"/>
  <c r="E5188" i="34"/>
  <c r="E5189" i="34"/>
  <c r="E5190" i="34"/>
  <c r="E5191" i="34"/>
  <c r="E5192" i="34"/>
  <c r="E5193" i="34"/>
  <c r="E5194" i="34"/>
  <c r="E5195" i="34"/>
  <c r="E5196" i="34"/>
  <c r="E5197" i="34"/>
  <c r="E5198" i="34"/>
  <c r="E5199" i="34"/>
  <c r="E5200" i="34"/>
  <c r="E5201" i="34"/>
  <c r="E5202" i="34"/>
  <c r="E5203" i="34"/>
  <c r="E5204" i="34"/>
  <c r="E5205" i="34"/>
  <c r="E5206" i="34"/>
  <c r="E5207" i="34"/>
  <c r="E5208" i="34"/>
  <c r="E5209" i="34"/>
  <c r="E5210" i="34"/>
  <c r="E5211" i="34"/>
  <c r="E5212" i="34"/>
  <c r="E5213" i="34"/>
  <c r="E5214" i="34"/>
  <c r="E5215" i="34"/>
  <c r="E5216" i="34"/>
  <c r="E5217" i="34"/>
  <c r="E5218" i="34"/>
  <c r="E5219" i="34"/>
  <c r="E5220" i="34"/>
  <c r="E5221" i="34"/>
  <c r="E5222" i="34"/>
  <c r="E5223" i="34"/>
  <c r="E5224" i="34"/>
  <c r="E5225" i="34"/>
  <c r="E5226" i="34"/>
  <c r="E5227" i="34"/>
  <c r="E5228" i="34"/>
  <c r="E5229" i="34"/>
  <c r="E5230" i="34"/>
  <c r="E5231" i="34"/>
  <c r="E5232" i="34"/>
  <c r="E5233" i="34"/>
  <c r="E5234" i="34"/>
  <c r="E5235" i="34"/>
  <c r="E5236" i="34"/>
  <c r="E5237" i="34"/>
  <c r="E5238" i="34"/>
  <c r="E5239" i="34"/>
  <c r="E5240" i="34"/>
  <c r="E5241" i="34"/>
  <c r="E5242" i="34"/>
  <c r="E5243" i="34"/>
  <c r="E5244" i="34"/>
  <c r="E5245" i="34"/>
  <c r="E5246" i="34"/>
  <c r="E5247" i="34"/>
  <c r="E5248" i="34"/>
  <c r="E5249" i="34"/>
  <c r="E5250" i="34"/>
  <c r="E5251" i="34"/>
  <c r="E5252" i="34"/>
  <c r="E5253" i="34"/>
  <c r="E5254" i="34"/>
  <c r="E5255" i="34"/>
  <c r="E5256" i="34"/>
  <c r="E5257" i="34"/>
  <c r="E5258" i="34"/>
  <c r="E5259" i="34"/>
  <c r="E5260" i="34"/>
  <c r="E5261" i="34"/>
  <c r="E5262" i="34"/>
  <c r="E5263" i="34"/>
  <c r="E5264" i="34"/>
  <c r="E5265" i="34"/>
  <c r="E5266" i="34"/>
  <c r="E5267" i="34"/>
  <c r="E5268" i="34"/>
  <c r="E5269" i="34"/>
  <c r="E5270" i="34"/>
  <c r="E5271" i="34"/>
  <c r="E5272" i="34"/>
  <c r="E5273" i="34"/>
  <c r="E5274" i="34"/>
  <c r="E5275" i="34"/>
  <c r="E5276" i="34"/>
  <c r="E5277" i="34"/>
  <c r="E5278" i="34"/>
  <c r="E5279" i="34"/>
  <c r="E5280" i="34"/>
  <c r="E5281" i="34"/>
  <c r="E5282" i="34"/>
  <c r="E5283" i="34"/>
  <c r="E5284" i="34"/>
  <c r="E5285" i="34"/>
  <c r="E5286" i="34"/>
  <c r="E5287" i="34"/>
  <c r="E5288" i="34"/>
  <c r="E5289" i="34"/>
  <c r="E5290" i="34"/>
  <c r="E5291" i="34"/>
  <c r="E5292" i="34"/>
  <c r="E5293" i="34"/>
  <c r="E5294" i="34"/>
  <c r="E5295" i="34"/>
  <c r="E5296" i="34"/>
  <c r="E5297" i="34"/>
  <c r="E5298" i="34"/>
  <c r="E5299" i="34"/>
  <c r="E5300" i="34"/>
  <c r="E5301" i="34"/>
  <c r="E5302" i="34"/>
  <c r="E5303" i="34"/>
  <c r="E5304" i="34"/>
  <c r="E5305" i="34"/>
  <c r="E5306" i="34"/>
  <c r="E5307" i="34"/>
  <c r="E5308" i="34"/>
  <c r="E5309" i="34"/>
  <c r="E5310" i="34"/>
  <c r="E5311" i="34"/>
  <c r="E5312" i="34"/>
  <c r="E5313" i="34"/>
  <c r="E5314" i="34"/>
  <c r="E5315" i="34"/>
  <c r="E5316" i="34"/>
  <c r="E5317" i="34"/>
  <c r="E5318" i="34"/>
  <c r="E5319" i="34"/>
  <c r="E5320" i="34"/>
  <c r="E5321" i="34"/>
  <c r="E5322" i="34"/>
  <c r="E5323" i="34"/>
  <c r="E5324" i="34"/>
  <c r="E5325" i="34"/>
  <c r="E5326" i="34"/>
  <c r="E5327" i="34"/>
  <c r="E5328" i="34"/>
  <c r="E5329" i="34"/>
  <c r="E5330" i="34"/>
  <c r="E5331" i="34"/>
  <c r="E5332" i="34"/>
  <c r="E5333" i="34"/>
  <c r="E5334" i="34"/>
  <c r="E5335" i="34"/>
  <c r="E5336" i="34"/>
  <c r="E5337" i="34"/>
  <c r="E5338" i="34"/>
  <c r="E5339" i="34"/>
  <c r="E5340" i="34"/>
  <c r="E5341" i="34"/>
  <c r="E5342" i="34"/>
  <c r="E5343" i="34"/>
  <c r="E5344" i="34"/>
  <c r="E5345" i="34"/>
  <c r="E5346" i="34"/>
  <c r="E5347" i="34"/>
  <c r="E5348" i="34"/>
  <c r="E5349" i="34"/>
  <c r="E5350" i="34"/>
  <c r="E5351" i="34"/>
  <c r="E5352" i="34"/>
  <c r="E5353" i="34"/>
  <c r="E5354" i="34"/>
  <c r="E5355" i="34"/>
  <c r="E5356" i="34"/>
  <c r="E5357" i="34"/>
  <c r="E5358" i="34"/>
  <c r="E5359" i="34"/>
  <c r="E5360" i="34"/>
  <c r="E5361" i="34"/>
  <c r="E5362" i="34"/>
  <c r="E5363" i="34"/>
  <c r="E5364" i="34"/>
  <c r="E5365" i="34"/>
  <c r="E5366" i="34"/>
  <c r="E5367" i="34"/>
  <c r="E5368" i="34"/>
  <c r="E5369" i="34"/>
  <c r="E5370" i="34"/>
  <c r="E5371" i="34"/>
  <c r="E5372" i="34"/>
  <c r="E5373" i="34"/>
  <c r="E5374" i="34"/>
  <c r="E5375" i="34"/>
  <c r="E5376" i="34"/>
  <c r="E5377" i="34"/>
  <c r="E5378" i="34"/>
  <c r="E5379" i="34"/>
  <c r="E5380" i="34"/>
  <c r="E5381" i="34"/>
  <c r="E5382" i="34"/>
  <c r="E5383" i="34"/>
  <c r="E5384" i="34"/>
  <c r="E5385" i="34"/>
  <c r="E5386" i="34"/>
  <c r="E5387" i="34"/>
  <c r="E5388" i="34"/>
  <c r="E5389" i="34"/>
  <c r="E5390" i="34"/>
  <c r="E5391" i="34"/>
  <c r="E5392" i="34"/>
  <c r="E5393" i="34"/>
  <c r="E5394" i="34"/>
  <c r="E5395" i="34"/>
  <c r="E5396" i="34"/>
  <c r="E5397" i="34"/>
  <c r="E5398" i="34"/>
  <c r="E5399" i="34"/>
  <c r="E5400" i="34"/>
  <c r="E5401" i="34"/>
  <c r="E5402" i="34"/>
  <c r="E5403" i="34"/>
  <c r="E5404" i="34"/>
  <c r="E5405" i="34"/>
  <c r="E5406" i="34"/>
  <c r="E5407" i="34"/>
  <c r="E5408" i="34"/>
  <c r="E5409" i="34"/>
  <c r="E5410" i="34"/>
  <c r="E5411" i="34"/>
  <c r="E5412" i="34"/>
  <c r="E5413" i="34"/>
  <c r="E5414" i="34"/>
  <c r="E5415" i="34"/>
  <c r="E5416" i="34"/>
  <c r="E5417" i="34"/>
  <c r="E5418" i="34"/>
  <c r="E5419" i="34"/>
  <c r="E5420" i="34"/>
  <c r="E5421" i="34"/>
  <c r="E5422" i="34"/>
  <c r="E5423" i="34"/>
  <c r="E5424" i="34"/>
  <c r="E5425" i="34"/>
  <c r="E5426" i="34"/>
  <c r="E5427" i="34"/>
  <c r="E5428" i="34"/>
  <c r="E5429" i="34"/>
  <c r="E5430" i="34"/>
  <c r="E5431" i="34"/>
  <c r="E5432" i="34"/>
  <c r="E5433" i="34"/>
  <c r="E5434" i="34"/>
  <c r="E5435" i="34"/>
  <c r="E5436" i="34"/>
  <c r="E5437" i="34"/>
  <c r="E5438" i="34"/>
  <c r="E5439" i="34"/>
  <c r="E5440" i="34"/>
  <c r="E5441" i="34"/>
  <c r="E5442" i="34"/>
  <c r="E5443" i="34"/>
  <c r="E5444" i="34"/>
  <c r="E5445" i="34"/>
  <c r="E5446" i="34"/>
  <c r="E5447" i="34"/>
  <c r="E5448" i="34"/>
  <c r="E5449" i="34"/>
  <c r="E5450" i="34"/>
  <c r="E5451" i="34"/>
  <c r="E5452" i="34"/>
  <c r="E5453" i="34"/>
  <c r="E5454" i="34"/>
  <c r="E5455" i="34"/>
  <c r="E5456" i="34"/>
  <c r="E5457" i="34"/>
  <c r="E5458" i="34"/>
  <c r="E5459" i="34"/>
  <c r="E5460" i="34"/>
  <c r="E5461" i="34"/>
  <c r="E5462" i="34"/>
  <c r="E5463" i="34"/>
  <c r="E5464" i="34"/>
  <c r="E5465" i="34"/>
  <c r="E5466" i="34"/>
  <c r="E5467" i="34"/>
  <c r="E5468" i="34"/>
  <c r="E5469" i="34"/>
  <c r="E5470" i="34"/>
  <c r="E5471" i="34"/>
  <c r="E5472" i="34"/>
  <c r="E5473" i="34"/>
  <c r="E5474" i="34"/>
  <c r="E5475" i="34"/>
  <c r="E5476" i="34"/>
  <c r="E5477" i="34"/>
  <c r="E5478" i="34"/>
  <c r="E5479" i="34"/>
  <c r="E5480" i="34"/>
  <c r="E5481" i="34"/>
  <c r="E5482" i="34"/>
  <c r="E5483" i="34"/>
  <c r="E5484" i="34"/>
  <c r="E5485" i="34"/>
  <c r="E5486" i="34"/>
  <c r="E5487" i="34"/>
  <c r="E5488" i="34"/>
  <c r="E5489" i="34"/>
  <c r="E5490" i="34"/>
  <c r="E5491" i="34"/>
  <c r="E5492" i="34"/>
  <c r="E5493" i="34"/>
  <c r="E5494" i="34"/>
  <c r="E5495" i="34"/>
  <c r="E5496" i="34"/>
  <c r="E5497" i="34"/>
  <c r="E5498" i="34"/>
  <c r="E5499" i="34"/>
  <c r="E5500" i="34"/>
  <c r="E5501" i="34"/>
  <c r="E5502" i="34"/>
  <c r="E5503" i="34"/>
  <c r="E5504" i="34"/>
  <c r="E5505" i="34"/>
  <c r="E5506" i="34"/>
  <c r="E5507" i="34"/>
  <c r="E5508" i="34"/>
  <c r="E5509" i="34"/>
  <c r="E5510" i="34"/>
  <c r="E5511" i="34"/>
  <c r="E5512" i="34"/>
  <c r="E5513" i="34"/>
  <c r="E5514" i="34"/>
  <c r="E5515" i="34"/>
  <c r="E5516" i="34"/>
  <c r="E5517" i="34"/>
  <c r="E5518" i="34"/>
  <c r="E5519" i="34"/>
  <c r="E5520" i="34"/>
  <c r="E5521" i="34"/>
  <c r="E5522" i="34"/>
  <c r="E5523" i="34"/>
  <c r="E5524" i="34"/>
  <c r="E5525" i="34"/>
  <c r="E5526" i="34"/>
  <c r="E5527" i="34"/>
  <c r="E5528" i="34"/>
  <c r="E5529" i="34"/>
  <c r="E5530" i="34"/>
  <c r="E5531" i="34"/>
  <c r="E5532" i="34"/>
  <c r="E5533" i="34"/>
  <c r="E5534" i="34"/>
  <c r="E5535" i="34"/>
  <c r="E5536" i="34"/>
  <c r="E5537" i="34"/>
  <c r="E5538" i="34"/>
  <c r="E5539" i="34"/>
  <c r="E5540" i="34"/>
  <c r="E5541" i="34"/>
  <c r="E5542" i="34"/>
  <c r="E5543" i="34"/>
  <c r="E5544" i="34"/>
  <c r="E5545" i="34"/>
  <c r="E5546" i="34"/>
  <c r="E5547" i="34"/>
  <c r="E5548" i="34"/>
  <c r="E5549" i="34"/>
  <c r="E5550" i="34"/>
  <c r="E5551" i="34"/>
  <c r="E5552" i="34"/>
  <c r="E5553" i="34"/>
  <c r="E5554" i="34"/>
  <c r="E5555" i="34"/>
  <c r="E5556" i="34"/>
  <c r="E5557" i="34"/>
  <c r="E5558" i="34"/>
  <c r="E5559" i="34"/>
  <c r="E5560" i="34"/>
  <c r="E5561" i="34"/>
  <c r="E5562" i="34"/>
  <c r="E5563" i="34"/>
  <c r="E5564" i="34"/>
  <c r="E5565" i="34"/>
  <c r="E5566" i="34"/>
  <c r="E5567" i="34"/>
  <c r="E5568" i="34"/>
  <c r="E5569" i="34"/>
  <c r="E5570" i="34"/>
  <c r="E5571" i="34"/>
  <c r="E5572" i="34"/>
  <c r="E5573" i="34"/>
  <c r="E5574" i="34"/>
  <c r="E5575" i="34"/>
  <c r="E5576" i="34"/>
  <c r="E5577" i="34"/>
  <c r="E5578" i="34"/>
  <c r="E5579" i="34"/>
  <c r="E5580" i="34"/>
  <c r="E5581" i="34"/>
  <c r="E5582" i="34"/>
  <c r="E5583" i="34"/>
  <c r="E5584" i="34"/>
  <c r="E5585" i="34"/>
  <c r="E5586" i="34"/>
  <c r="E5587" i="34"/>
  <c r="E5588" i="34"/>
  <c r="E5589" i="34"/>
  <c r="E5590" i="34"/>
  <c r="E5591" i="34"/>
  <c r="E5592" i="34"/>
  <c r="E5593" i="34"/>
  <c r="E5594" i="34"/>
  <c r="E5595" i="34"/>
  <c r="E5596" i="34"/>
  <c r="E5597" i="34"/>
  <c r="E5598" i="34"/>
  <c r="E5599" i="34"/>
  <c r="E5600" i="34"/>
  <c r="E5601" i="34"/>
  <c r="E5602" i="34"/>
  <c r="E5603" i="34"/>
  <c r="E5604" i="34"/>
  <c r="E5605" i="34"/>
  <c r="E5606" i="34"/>
  <c r="E5607" i="34"/>
  <c r="E5608" i="34"/>
  <c r="E5609" i="34"/>
  <c r="E5610" i="34"/>
  <c r="E5611" i="34"/>
  <c r="E5612" i="34"/>
  <c r="E5613" i="34"/>
  <c r="E5614" i="34"/>
  <c r="E5615" i="34"/>
  <c r="E5616" i="34"/>
  <c r="E5617" i="34"/>
  <c r="E5618" i="34"/>
  <c r="E5619" i="34"/>
  <c r="E5620" i="34"/>
  <c r="E5621" i="34"/>
  <c r="E5622" i="34"/>
  <c r="E5623" i="34"/>
  <c r="E5624" i="34"/>
  <c r="E5625" i="34"/>
  <c r="E5626" i="34"/>
  <c r="E5627" i="34"/>
  <c r="E5628" i="34"/>
  <c r="E5629" i="34"/>
  <c r="E5630" i="34"/>
  <c r="E5631" i="34"/>
  <c r="E5632" i="34"/>
  <c r="E5633" i="34"/>
  <c r="E5634" i="34"/>
  <c r="E5635" i="34"/>
  <c r="E5636" i="34"/>
  <c r="E5637" i="34"/>
  <c r="E5638" i="34"/>
  <c r="E5639" i="34"/>
  <c r="E5640" i="34"/>
  <c r="E5641" i="34"/>
  <c r="E5642" i="34"/>
  <c r="E5643" i="34"/>
  <c r="E5644" i="34"/>
  <c r="E5645" i="34"/>
  <c r="E5646" i="34"/>
  <c r="E5647" i="34"/>
  <c r="E5648" i="34"/>
  <c r="E5649" i="34"/>
  <c r="E5650" i="34"/>
  <c r="E5651" i="34"/>
  <c r="E5652" i="34"/>
  <c r="E5653" i="34"/>
  <c r="E5654" i="34"/>
  <c r="E5655" i="34"/>
  <c r="E5656" i="34"/>
  <c r="E5657" i="34"/>
  <c r="E5658" i="34"/>
  <c r="E5659" i="34"/>
  <c r="E5660" i="34"/>
  <c r="E5661" i="34"/>
  <c r="E5662" i="34"/>
  <c r="E5663" i="34"/>
  <c r="E5664" i="34"/>
  <c r="E5665" i="34"/>
  <c r="E5666" i="34"/>
  <c r="E5667" i="34"/>
  <c r="E5668" i="34"/>
  <c r="E5669" i="34"/>
  <c r="E5670" i="34"/>
  <c r="E5671" i="34"/>
  <c r="E5672" i="34"/>
  <c r="E5673" i="34"/>
  <c r="E5674" i="34"/>
  <c r="E5675" i="34"/>
  <c r="E5676" i="34"/>
  <c r="E5677" i="34"/>
  <c r="E5678" i="34"/>
  <c r="E5679" i="34"/>
  <c r="E5680" i="34"/>
  <c r="E5681" i="34"/>
  <c r="E5682" i="34"/>
  <c r="E5683" i="34"/>
  <c r="E5684" i="34"/>
  <c r="E5685" i="34"/>
  <c r="E5686" i="34"/>
  <c r="E5687" i="34"/>
  <c r="E5688" i="34"/>
  <c r="E5689" i="34"/>
  <c r="E5690" i="34"/>
  <c r="E5691" i="34"/>
  <c r="E5692" i="34"/>
  <c r="E5693" i="34"/>
  <c r="E5694" i="34"/>
  <c r="E5695" i="34"/>
  <c r="E5696" i="34"/>
  <c r="E5697" i="34"/>
  <c r="E5698" i="34"/>
  <c r="E5699" i="34"/>
  <c r="E5700" i="34"/>
  <c r="E5701" i="34"/>
  <c r="E5702" i="34"/>
  <c r="E5703" i="34"/>
  <c r="E5704" i="34"/>
  <c r="E5705" i="34"/>
  <c r="E5706" i="34"/>
  <c r="E5707" i="34"/>
  <c r="E5708" i="34"/>
  <c r="E5709" i="34"/>
  <c r="E5710" i="34"/>
  <c r="E5711" i="34"/>
  <c r="E5712" i="34"/>
  <c r="E5713" i="34"/>
  <c r="E5714" i="34"/>
  <c r="E5715" i="34"/>
  <c r="E5716" i="34"/>
  <c r="E5717" i="34"/>
  <c r="E5718" i="34"/>
  <c r="E5719" i="34"/>
  <c r="E5720" i="34"/>
  <c r="E5721" i="34"/>
  <c r="E5722" i="34"/>
  <c r="E5723" i="34"/>
  <c r="E5724" i="34"/>
  <c r="E5725" i="34"/>
  <c r="E5726" i="34"/>
  <c r="E5727" i="34"/>
  <c r="E5728" i="34"/>
  <c r="E5729" i="34"/>
  <c r="E5730" i="34"/>
  <c r="E5731" i="34"/>
  <c r="E5732" i="34"/>
  <c r="E5733" i="34"/>
  <c r="E5734" i="34"/>
  <c r="E5735" i="34"/>
  <c r="E5736" i="34"/>
  <c r="E5737" i="34"/>
  <c r="E5738" i="34"/>
  <c r="E5739" i="34"/>
  <c r="E5740" i="34"/>
  <c r="E5741" i="34"/>
  <c r="E5742" i="34"/>
  <c r="E5743" i="34"/>
  <c r="E5744" i="34"/>
  <c r="E5745" i="34"/>
  <c r="E5746" i="34"/>
  <c r="E5747" i="34"/>
  <c r="E5748" i="34"/>
  <c r="E5749" i="34"/>
  <c r="E5750" i="34"/>
  <c r="E5751" i="34"/>
  <c r="E5752" i="34"/>
  <c r="E5753" i="34"/>
  <c r="E5754" i="34"/>
  <c r="E5755" i="34"/>
  <c r="E5756" i="34"/>
  <c r="E5757" i="34"/>
  <c r="E5758" i="34"/>
  <c r="E5759" i="34"/>
  <c r="E5760" i="34"/>
  <c r="E5761" i="34"/>
  <c r="E5762" i="34"/>
  <c r="E5763" i="34"/>
  <c r="E5764" i="34"/>
  <c r="E5765" i="34"/>
  <c r="E5766" i="34"/>
  <c r="E5767" i="34"/>
  <c r="E5768" i="34"/>
  <c r="E5769" i="34"/>
  <c r="E5770" i="34"/>
  <c r="E5771" i="34"/>
  <c r="E5772" i="34"/>
  <c r="E5773" i="34"/>
  <c r="E5774" i="34"/>
  <c r="E5775" i="34"/>
  <c r="E5776" i="34"/>
  <c r="E5777" i="34"/>
  <c r="E5778" i="34"/>
  <c r="E5779" i="34"/>
  <c r="E5780" i="34"/>
  <c r="E5781" i="34"/>
  <c r="E5782" i="34"/>
  <c r="E5783" i="34"/>
  <c r="E5784" i="34"/>
  <c r="E5785" i="34"/>
  <c r="E5786" i="34"/>
  <c r="E5787" i="34"/>
  <c r="E5788" i="34"/>
  <c r="E5789" i="34"/>
  <c r="E5790" i="34"/>
  <c r="E5791" i="34"/>
  <c r="E5792" i="34"/>
  <c r="E5793" i="34"/>
  <c r="E5794" i="34"/>
  <c r="E5795" i="34"/>
  <c r="E5796" i="34"/>
  <c r="E5797" i="34"/>
  <c r="E5798" i="34"/>
  <c r="E5799" i="34"/>
  <c r="E5800" i="34"/>
  <c r="E5801" i="34"/>
  <c r="E5802" i="34"/>
  <c r="E5803" i="34"/>
  <c r="E5804" i="34"/>
  <c r="E5805" i="34"/>
  <c r="E5806" i="34"/>
  <c r="E5807" i="34"/>
  <c r="E5808" i="34"/>
  <c r="E5809" i="34"/>
  <c r="E5810" i="34"/>
  <c r="E5811" i="34"/>
  <c r="E5812" i="34"/>
  <c r="E5813" i="34"/>
  <c r="E5814" i="34"/>
  <c r="E5815" i="34"/>
  <c r="E5816" i="34"/>
  <c r="E5817" i="34"/>
  <c r="E5818" i="34"/>
  <c r="E5819" i="34"/>
  <c r="E5820" i="34"/>
  <c r="E5821" i="34"/>
  <c r="E5822" i="34"/>
  <c r="E5823" i="34"/>
  <c r="E5824" i="34"/>
  <c r="E5825" i="34"/>
  <c r="E5826" i="34"/>
  <c r="E5827" i="34"/>
  <c r="E5828" i="34"/>
  <c r="E5829" i="34"/>
  <c r="E5830" i="34"/>
  <c r="E5831" i="34"/>
  <c r="E5832" i="34"/>
  <c r="E5833" i="34"/>
  <c r="E5834" i="34"/>
  <c r="E5835" i="34"/>
  <c r="E5836" i="34"/>
  <c r="E5837" i="34"/>
  <c r="E5838" i="34"/>
  <c r="E5839" i="34"/>
  <c r="E5840" i="34"/>
  <c r="E5841" i="34"/>
  <c r="E5842" i="34"/>
  <c r="E5843" i="34"/>
  <c r="E5844" i="34"/>
  <c r="E5845" i="34"/>
  <c r="E5846" i="34"/>
  <c r="E5847" i="34"/>
  <c r="E5848" i="34"/>
  <c r="E5849" i="34"/>
  <c r="E5850" i="34"/>
  <c r="E5851" i="34"/>
  <c r="E5852" i="34"/>
  <c r="E5853" i="34"/>
  <c r="E5854" i="34"/>
  <c r="E5855" i="34"/>
  <c r="E5856" i="34"/>
  <c r="E5857" i="34"/>
  <c r="E5858" i="34"/>
  <c r="E5859" i="34"/>
  <c r="E5860" i="34"/>
  <c r="E5861" i="34"/>
  <c r="E5862" i="34"/>
  <c r="E5863" i="34"/>
  <c r="E5864" i="34"/>
  <c r="E5865" i="34"/>
  <c r="E5866" i="34"/>
  <c r="E5867" i="34"/>
  <c r="E5868" i="34"/>
  <c r="E5869" i="34"/>
  <c r="E5870" i="34"/>
  <c r="E5871" i="34"/>
  <c r="E5872" i="34"/>
  <c r="E5873" i="34"/>
  <c r="E5874" i="34"/>
  <c r="E5875" i="34"/>
  <c r="E5876" i="34"/>
  <c r="E5877" i="34"/>
  <c r="E5878" i="34"/>
  <c r="E5879" i="34"/>
  <c r="E5880" i="34"/>
  <c r="E5881" i="34"/>
  <c r="E5882" i="34"/>
  <c r="E5883" i="34"/>
  <c r="E5884" i="34"/>
  <c r="E5885" i="34"/>
  <c r="E5886" i="34"/>
  <c r="E5887" i="34"/>
  <c r="E5888" i="34"/>
  <c r="E5889" i="34"/>
  <c r="E5890" i="34"/>
  <c r="E5891" i="34"/>
  <c r="E5892" i="34"/>
  <c r="E5893" i="34"/>
  <c r="E5894" i="34"/>
  <c r="E5895" i="34"/>
  <c r="E5896" i="34"/>
  <c r="E5897" i="34"/>
  <c r="E5898" i="34"/>
  <c r="E5899" i="34"/>
  <c r="E5900" i="34"/>
  <c r="E5901" i="34"/>
  <c r="E5902" i="34"/>
  <c r="E5903" i="34"/>
  <c r="E5904" i="34"/>
  <c r="E5905" i="34"/>
  <c r="E5906" i="34"/>
  <c r="E5907" i="34"/>
  <c r="E5908" i="34"/>
  <c r="E5909" i="34"/>
  <c r="E5910" i="34"/>
  <c r="E5911" i="34"/>
  <c r="E5912" i="34"/>
  <c r="E5913" i="34"/>
  <c r="E5914" i="34"/>
  <c r="E5915" i="34"/>
  <c r="E5916" i="34"/>
  <c r="E5917" i="34"/>
  <c r="E5918" i="34"/>
  <c r="E5919" i="34"/>
  <c r="E5920" i="34"/>
  <c r="E5921" i="34"/>
  <c r="E5922" i="34"/>
  <c r="E5923" i="34"/>
  <c r="E5924" i="34"/>
  <c r="E5925" i="34"/>
  <c r="E5926" i="34"/>
  <c r="E5927" i="34"/>
  <c r="E5928" i="34"/>
  <c r="E5929" i="34"/>
  <c r="E5930" i="34"/>
  <c r="E5931" i="34"/>
  <c r="E5932" i="34"/>
  <c r="E5933" i="34"/>
  <c r="E5934" i="34"/>
  <c r="E5935" i="34"/>
  <c r="E5936" i="34"/>
  <c r="E5937" i="34"/>
  <c r="E5938" i="34"/>
  <c r="E5939" i="34"/>
  <c r="E5940" i="34"/>
  <c r="E5941" i="34"/>
  <c r="E5942" i="34"/>
  <c r="E5943" i="34"/>
  <c r="E5944" i="34"/>
  <c r="E5945" i="34"/>
  <c r="E5946" i="34"/>
  <c r="E5947" i="34"/>
  <c r="E5948" i="34"/>
  <c r="E5949" i="34"/>
  <c r="E5950" i="34"/>
  <c r="E5951" i="34"/>
  <c r="E5952" i="34"/>
  <c r="E5953" i="34"/>
  <c r="E5954" i="34"/>
  <c r="E5955" i="34"/>
  <c r="E5956" i="34"/>
  <c r="E5957" i="34"/>
  <c r="E5958" i="34"/>
  <c r="E5959" i="34"/>
  <c r="E5960" i="34"/>
  <c r="E5961" i="34"/>
  <c r="E5962" i="34"/>
  <c r="E5963" i="34"/>
  <c r="E5964" i="34"/>
  <c r="E5965" i="34"/>
  <c r="E5966" i="34"/>
  <c r="E5967" i="34"/>
  <c r="E5968" i="34"/>
  <c r="E5969" i="34"/>
  <c r="E5970" i="34"/>
  <c r="E5971" i="34"/>
  <c r="E5972" i="34"/>
  <c r="E5973" i="34"/>
  <c r="E5974" i="34"/>
  <c r="E5975" i="34"/>
  <c r="E5976" i="34"/>
  <c r="E5977" i="34"/>
  <c r="E5978" i="34"/>
  <c r="E5979" i="34"/>
  <c r="E5980" i="34"/>
  <c r="E5981" i="34"/>
  <c r="E5982" i="34"/>
  <c r="E5983" i="34"/>
  <c r="E5984" i="34"/>
  <c r="E5985" i="34"/>
  <c r="E5986" i="34"/>
  <c r="E5987" i="34"/>
  <c r="E5988" i="34"/>
  <c r="E5989" i="34"/>
  <c r="E5990" i="34"/>
  <c r="E5991" i="34"/>
  <c r="E5992" i="34"/>
  <c r="E5993" i="34"/>
  <c r="E5994" i="34"/>
  <c r="E5995" i="34"/>
  <c r="E5996" i="34"/>
  <c r="E5997" i="34"/>
  <c r="E5998" i="34"/>
  <c r="E5999" i="34"/>
  <c r="E6000" i="34"/>
  <c r="E6001" i="34"/>
  <c r="E6002" i="34"/>
  <c r="E6003" i="34"/>
  <c r="E6004" i="34"/>
  <c r="E6005" i="34"/>
  <c r="E6006" i="34"/>
  <c r="E6007" i="34"/>
  <c r="E6008" i="34"/>
  <c r="E6009" i="34"/>
  <c r="E6010" i="34"/>
  <c r="E6011" i="34"/>
  <c r="E6012" i="34"/>
  <c r="E6013" i="34"/>
  <c r="E6014" i="34"/>
  <c r="E6015" i="34"/>
  <c r="E6016" i="34"/>
  <c r="E6017" i="34"/>
  <c r="E6018" i="34"/>
  <c r="E6019" i="34"/>
  <c r="E6020" i="34"/>
  <c r="E6021" i="34"/>
  <c r="E6022" i="34"/>
  <c r="E6023" i="34"/>
  <c r="E6024" i="34"/>
  <c r="E6025" i="34"/>
  <c r="E6026" i="34"/>
  <c r="E6027" i="34"/>
  <c r="E6028" i="34"/>
  <c r="E6029" i="34"/>
  <c r="E6030" i="34"/>
  <c r="E6031" i="34"/>
  <c r="E6032" i="34"/>
  <c r="E6033" i="34"/>
  <c r="E6034" i="34"/>
  <c r="E6035" i="34"/>
  <c r="E6036" i="34"/>
  <c r="E6037" i="34"/>
  <c r="E6038" i="34"/>
  <c r="E6039" i="34"/>
  <c r="E6040" i="34"/>
  <c r="E6041" i="34"/>
  <c r="E6042" i="34"/>
  <c r="E6043" i="34"/>
  <c r="E6044" i="34"/>
  <c r="E6045" i="34"/>
  <c r="E6046" i="34"/>
  <c r="E6047" i="34"/>
  <c r="E6048" i="34"/>
  <c r="E6049" i="34"/>
  <c r="E6050" i="34"/>
  <c r="E6051" i="34"/>
  <c r="E6052" i="34"/>
  <c r="E6053" i="34"/>
  <c r="E6054" i="34"/>
  <c r="E6055" i="34"/>
  <c r="E6056" i="34"/>
  <c r="E6057" i="34"/>
  <c r="E6058" i="34"/>
  <c r="E6059" i="34"/>
  <c r="E6060" i="34"/>
  <c r="E6061" i="34"/>
  <c r="E6062" i="34"/>
  <c r="E6063" i="34"/>
  <c r="E6064" i="34"/>
  <c r="E6065" i="34"/>
  <c r="E6066" i="34"/>
  <c r="E6067" i="34"/>
  <c r="E6068" i="34"/>
  <c r="E6069" i="34"/>
  <c r="E6070" i="34"/>
  <c r="E6071" i="34"/>
  <c r="E6072" i="34"/>
  <c r="E6073" i="34"/>
  <c r="E6074" i="34"/>
  <c r="E6075" i="34"/>
  <c r="E6076" i="34"/>
  <c r="E6077" i="34"/>
  <c r="E6078" i="34"/>
  <c r="E6079" i="34"/>
  <c r="E6080" i="34"/>
  <c r="E6081" i="34"/>
  <c r="E6082" i="34"/>
  <c r="E6083" i="34"/>
  <c r="E6084" i="34"/>
  <c r="E6085" i="34"/>
  <c r="E6086" i="34"/>
  <c r="E6087" i="34"/>
  <c r="E6088" i="34"/>
  <c r="E6089" i="34"/>
  <c r="E6090" i="34"/>
  <c r="E6091" i="34"/>
  <c r="E6092" i="34"/>
  <c r="E6093" i="34"/>
  <c r="E6094" i="34"/>
  <c r="E6095" i="34"/>
  <c r="E6096" i="34"/>
  <c r="E6097" i="34"/>
  <c r="E6098" i="34"/>
  <c r="E6099" i="34"/>
  <c r="E6100" i="34"/>
  <c r="E6101" i="34"/>
  <c r="E6102" i="34"/>
  <c r="E6103" i="34"/>
  <c r="E6104" i="34"/>
  <c r="E6105" i="34"/>
  <c r="E6106" i="34"/>
  <c r="E6107" i="34"/>
  <c r="E6108" i="34"/>
  <c r="E6109" i="34"/>
  <c r="E6110" i="34"/>
  <c r="E6111" i="34"/>
  <c r="E6112" i="34"/>
  <c r="E6113" i="34"/>
  <c r="E6114" i="34"/>
  <c r="E6115" i="34"/>
  <c r="E6116" i="34"/>
  <c r="E6117" i="34"/>
  <c r="E6118" i="34"/>
  <c r="E6119" i="34"/>
  <c r="E6120" i="34"/>
  <c r="E6121" i="34"/>
  <c r="E6122" i="34"/>
  <c r="E6123" i="34"/>
  <c r="E6124" i="34"/>
  <c r="E6125" i="34"/>
  <c r="E6126" i="34"/>
  <c r="E6127" i="34"/>
  <c r="E6128" i="34"/>
  <c r="E6129" i="34"/>
  <c r="E6130" i="34"/>
  <c r="E6131" i="34"/>
  <c r="E6132" i="34"/>
  <c r="E6133" i="34"/>
  <c r="E6134" i="34"/>
  <c r="E6135" i="34"/>
  <c r="E6136" i="34"/>
  <c r="E6137" i="34"/>
  <c r="E6138" i="34"/>
  <c r="E6139" i="34"/>
  <c r="E6140" i="34"/>
  <c r="E6141" i="34"/>
  <c r="E6142" i="34"/>
  <c r="E6143" i="34"/>
  <c r="E6144" i="34"/>
  <c r="E6145" i="34"/>
  <c r="E6146" i="34"/>
  <c r="E6147" i="34"/>
  <c r="E6148" i="34"/>
  <c r="E6149" i="34"/>
  <c r="E6150" i="34"/>
  <c r="E6151" i="34"/>
  <c r="E6152" i="34"/>
  <c r="E6153" i="34"/>
  <c r="E6154" i="34"/>
  <c r="E6155" i="34"/>
  <c r="E6156" i="34"/>
  <c r="E6157" i="34"/>
  <c r="E6158" i="34"/>
  <c r="E6159" i="34"/>
  <c r="E6160" i="34"/>
  <c r="E6161" i="34"/>
  <c r="E6162" i="34"/>
  <c r="E6163" i="34"/>
  <c r="E6164" i="34"/>
  <c r="E6165" i="34"/>
  <c r="E6166" i="34"/>
  <c r="E6167" i="34"/>
  <c r="E6168" i="34"/>
  <c r="E6169" i="34"/>
  <c r="E6170" i="34"/>
  <c r="E6171" i="34"/>
  <c r="E6172" i="34"/>
  <c r="E6173" i="34"/>
  <c r="E6174" i="34"/>
  <c r="E6175" i="34"/>
  <c r="E6176" i="34"/>
  <c r="E6177" i="34"/>
  <c r="E6178" i="34"/>
  <c r="E6179" i="34"/>
  <c r="E6180" i="34"/>
  <c r="E6181" i="34"/>
  <c r="E6182" i="34"/>
  <c r="E6183" i="34"/>
  <c r="E6184" i="34"/>
  <c r="E6185" i="34"/>
  <c r="E6186" i="34"/>
  <c r="E6187" i="34"/>
  <c r="E6188" i="34"/>
  <c r="E6189" i="34"/>
  <c r="E6190" i="34"/>
  <c r="E6191" i="34"/>
  <c r="E6192" i="34"/>
  <c r="E6193" i="34"/>
  <c r="E6194" i="34"/>
  <c r="E6195" i="34"/>
  <c r="E6196" i="34"/>
  <c r="E6197" i="34"/>
  <c r="E6198" i="34"/>
  <c r="E6199" i="34"/>
  <c r="E6200" i="34"/>
  <c r="E6201" i="34"/>
  <c r="E6202" i="34"/>
  <c r="E6203" i="34"/>
  <c r="E6204" i="34"/>
  <c r="E6205" i="34"/>
  <c r="E6206" i="34"/>
  <c r="E6207" i="34"/>
  <c r="E6208" i="34"/>
  <c r="E6209" i="34"/>
  <c r="E6210" i="34"/>
  <c r="E6211" i="34"/>
  <c r="E6212" i="34"/>
  <c r="E6213" i="34"/>
  <c r="E6214" i="34"/>
  <c r="E6215" i="34"/>
  <c r="E6216" i="34"/>
  <c r="E6217" i="34"/>
  <c r="E6218" i="34"/>
  <c r="E6219" i="34"/>
  <c r="E6220" i="34"/>
  <c r="E6221" i="34"/>
  <c r="E6222" i="34"/>
  <c r="E6223" i="34"/>
  <c r="E6224" i="34"/>
  <c r="E6225" i="34"/>
  <c r="E6226" i="34"/>
  <c r="E6227" i="34"/>
  <c r="E6228" i="34"/>
  <c r="E6229" i="34"/>
  <c r="E6230" i="34"/>
  <c r="E6231" i="34"/>
  <c r="E6232" i="34"/>
  <c r="E6233" i="34"/>
  <c r="E6234" i="34"/>
  <c r="E6235" i="34"/>
  <c r="E6236" i="34"/>
  <c r="E6237" i="34"/>
  <c r="E6238" i="34"/>
  <c r="E6239" i="34"/>
  <c r="E6240" i="34"/>
  <c r="E6241" i="34"/>
  <c r="E6242" i="34"/>
  <c r="E6243" i="34"/>
  <c r="E6244" i="34"/>
  <c r="E6245" i="34"/>
  <c r="E6246" i="34"/>
  <c r="E6247" i="34"/>
  <c r="E6248" i="34"/>
  <c r="E6249" i="34"/>
  <c r="E6250" i="34"/>
  <c r="E6251" i="34"/>
  <c r="E6252" i="34"/>
  <c r="E6253" i="34"/>
  <c r="E6254" i="34"/>
  <c r="E6255" i="34"/>
  <c r="E6256" i="34"/>
  <c r="E6257" i="34"/>
  <c r="E6258" i="34"/>
  <c r="E6259" i="34"/>
  <c r="E6260" i="34"/>
  <c r="E6261" i="34"/>
  <c r="E6262" i="34"/>
  <c r="E6263" i="34"/>
  <c r="E6264" i="34"/>
  <c r="E6265" i="34"/>
  <c r="E6266" i="34"/>
  <c r="E6267" i="34"/>
  <c r="E6268" i="34"/>
  <c r="E6269" i="34"/>
  <c r="E6270" i="34"/>
  <c r="E6271" i="34"/>
  <c r="E6272" i="34"/>
  <c r="E6273" i="34"/>
  <c r="E6274" i="34"/>
  <c r="E6275" i="34"/>
  <c r="E6276" i="34"/>
  <c r="E6277" i="34"/>
  <c r="E6278" i="34"/>
  <c r="E6279" i="34"/>
  <c r="E6280" i="34"/>
  <c r="E6281" i="34"/>
  <c r="E6282" i="34"/>
  <c r="E6283" i="34"/>
  <c r="E6284" i="34"/>
  <c r="E6285" i="34"/>
  <c r="E6286" i="34"/>
  <c r="E6287" i="34"/>
  <c r="E6288" i="34"/>
  <c r="E6289" i="34"/>
  <c r="E6290" i="34"/>
  <c r="E6291" i="34"/>
  <c r="E6292" i="34"/>
  <c r="E6293" i="34"/>
  <c r="E6294" i="34"/>
  <c r="E6295" i="34"/>
  <c r="E6296" i="34"/>
  <c r="E6297" i="34"/>
  <c r="E6298" i="34"/>
  <c r="E6299" i="34"/>
  <c r="E6300" i="34"/>
  <c r="E6301" i="34"/>
  <c r="E6302" i="34"/>
  <c r="E6303" i="34"/>
  <c r="E6304" i="34"/>
  <c r="E6305" i="34"/>
  <c r="E6306" i="34"/>
  <c r="E6307" i="34"/>
  <c r="E6308" i="34"/>
  <c r="E6309" i="34"/>
  <c r="E6310" i="34"/>
  <c r="E6311" i="34"/>
  <c r="E6312" i="34"/>
  <c r="E6313" i="34"/>
  <c r="E6314" i="34"/>
  <c r="E6315" i="34"/>
  <c r="E6316" i="34"/>
  <c r="E6317" i="34"/>
  <c r="E6318" i="34"/>
  <c r="E6319" i="34"/>
  <c r="E6320" i="34"/>
  <c r="E6321" i="34"/>
  <c r="E6322" i="34"/>
  <c r="E6323" i="34"/>
  <c r="E6324" i="34"/>
  <c r="E6325" i="34"/>
  <c r="E6326" i="34"/>
  <c r="E6327" i="34"/>
  <c r="E6328" i="34"/>
  <c r="E6329" i="34"/>
  <c r="E6330" i="34"/>
  <c r="E6331" i="34"/>
  <c r="E6332" i="34"/>
  <c r="E6333" i="34"/>
  <c r="E6334" i="34"/>
  <c r="E6335" i="34"/>
  <c r="E6336" i="34"/>
  <c r="E6337" i="34"/>
  <c r="E6338" i="34"/>
  <c r="E6339" i="34"/>
  <c r="E6340" i="34"/>
  <c r="E6341" i="34"/>
  <c r="E6342" i="34"/>
  <c r="E6343" i="34"/>
  <c r="E6344" i="34"/>
  <c r="E6345" i="34"/>
  <c r="E6346" i="34"/>
  <c r="E6347" i="34"/>
  <c r="E6348" i="34"/>
  <c r="E6349" i="34"/>
  <c r="E6350" i="34"/>
  <c r="E6351" i="34"/>
  <c r="E6352" i="34"/>
  <c r="E6353" i="34"/>
  <c r="E6354" i="34"/>
  <c r="E6355" i="34"/>
  <c r="E6356" i="34"/>
  <c r="E6357" i="34"/>
  <c r="E6358" i="34"/>
  <c r="E6359" i="34"/>
  <c r="E6360" i="34"/>
  <c r="E6361" i="34"/>
  <c r="E6362" i="34"/>
  <c r="E6363" i="34"/>
  <c r="E6364" i="34"/>
  <c r="E6365" i="34"/>
  <c r="E6366" i="34"/>
  <c r="E6367" i="34"/>
  <c r="E6368" i="34"/>
  <c r="E6369" i="34"/>
  <c r="E6370" i="34"/>
  <c r="E6371" i="34"/>
  <c r="E6372" i="34"/>
  <c r="E6373" i="34"/>
  <c r="E6374" i="34"/>
  <c r="E6375" i="34"/>
  <c r="E6376" i="34"/>
  <c r="E6377" i="34"/>
  <c r="E6378" i="34"/>
  <c r="E6379" i="34"/>
  <c r="E6380" i="34"/>
  <c r="E6381" i="34"/>
  <c r="E6382" i="34"/>
  <c r="E6383" i="34"/>
  <c r="E6384" i="34"/>
  <c r="E6385" i="34"/>
  <c r="E6386" i="34"/>
  <c r="E6387" i="34"/>
  <c r="E6388" i="34"/>
  <c r="E6389" i="34"/>
  <c r="E6390" i="34"/>
  <c r="E6391" i="34"/>
  <c r="E6392" i="34"/>
  <c r="E6393" i="34"/>
  <c r="E6394" i="34"/>
  <c r="E6395" i="34"/>
  <c r="E6396" i="34"/>
  <c r="E6397" i="34"/>
  <c r="E6398" i="34"/>
  <c r="E6399" i="34"/>
  <c r="E6400" i="34"/>
  <c r="E6401" i="34"/>
  <c r="E6402" i="34"/>
  <c r="E6403" i="34"/>
  <c r="E6404" i="34"/>
  <c r="E6405" i="34"/>
  <c r="E6406" i="34"/>
  <c r="E6407" i="34"/>
  <c r="E6408" i="34"/>
  <c r="E6409" i="34"/>
  <c r="E6410" i="34"/>
  <c r="E6411" i="34"/>
  <c r="E6412" i="34"/>
  <c r="E6413" i="34"/>
  <c r="E6414" i="34"/>
  <c r="E6415" i="34"/>
  <c r="E6416" i="34"/>
  <c r="E6417" i="34"/>
  <c r="E6418" i="34"/>
  <c r="E6419" i="34"/>
  <c r="E6420" i="34"/>
  <c r="E6421" i="34"/>
  <c r="E6422" i="34"/>
  <c r="E6423" i="34"/>
  <c r="E6424" i="34"/>
  <c r="E6425" i="34"/>
  <c r="E6426" i="34"/>
  <c r="E6427" i="34"/>
  <c r="E6428" i="34"/>
  <c r="E6429" i="34"/>
  <c r="E6430" i="34"/>
  <c r="E6431" i="34"/>
  <c r="E6432" i="34"/>
  <c r="E6433" i="34"/>
  <c r="E6434" i="34"/>
  <c r="E6435" i="34"/>
  <c r="E6436" i="34"/>
  <c r="E6437" i="34"/>
  <c r="E6438" i="34"/>
  <c r="E6439" i="34"/>
  <c r="E6440" i="34"/>
  <c r="E6441" i="34"/>
  <c r="E6442" i="34"/>
  <c r="E6443" i="34"/>
  <c r="E6444" i="34"/>
  <c r="E6445" i="34"/>
  <c r="E6446" i="34"/>
  <c r="E6447" i="34"/>
  <c r="E6448" i="34"/>
  <c r="E6449" i="34"/>
  <c r="E6450" i="34"/>
  <c r="E6451" i="34"/>
  <c r="E6452" i="34"/>
  <c r="E6453" i="34"/>
  <c r="E6454" i="34"/>
  <c r="E6455" i="34"/>
  <c r="E6456" i="34"/>
  <c r="E6457" i="34"/>
  <c r="E6458" i="34"/>
  <c r="E6459" i="34"/>
  <c r="E6460" i="34"/>
  <c r="E6461" i="34"/>
  <c r="E6462" i="34"/>
  <c r="E6463" i="34"/>
  <c r="E6464" i="34"/>
  <c r="E6465" i="34"/>
  <c r="E6466" i="34"/>
  <c r="E6467" i="34"/>
  <c r="E6468" i="34"/>
  <c r="E6469" i="34"/>
  <c r="E6470" i="34"/>
  <c r="E6471" i="34"/>
  <c r="E6472" i="34"/>
  <c r="E6473" i="34"/>
  <c r="E6474" i="34"/>
  <c r="E6475" i="34"/>
  <c r="E6476" i="34"/>
  <c r="E6477" i="34"/>
  <c r="E6478" i="34"/>
  <c r="E6479" i="34"/>
  <c r="E6480" i="34"/>
  <c r="E6481" i="34"/>
  <c r="E6482" i="34"/>
  <c r="E6483" i="34"/>
  <c r="E6484" i="34"/>
  <c r="E6485" i="34"/>
  <c r="E6486" i="34"/>
  <c r="E6487" i="34"/>
  <c r="E6488" i="34"/>
  <c r="E6489" i="34"/>
  <c r="E6490" i="34"/>
  <c r="E6491" i="34"/>
  <c r="E6492" i="34"/>
  <c r="E6493" i="34"/>
  <c r="E6494" i="34"/>
  <c r="E6495" i="34"/>
  <c r="E6496" i="34"/>
  <c r="E6497" i="34"/>
  <c r="E6498" i="34"/>
  <c r="E6499" i="34"/>
  <c r="E6500" i="34"/>
  <c r="E6501" i="34"/>
  <c r="E6502" i="34"/>
  <c r="E6503" i="34"/>
  <c r="E6504" i="34"/>
  <c r="E6505" i="34"/>
  <c r="E6506" i="34"/>
  <c r="E6507" i="34"/>
  <c r="E6508" i="34"/>
  <c r="E6509" i="34"/>
  <c r="E6510" i="34"/>
  <c r="E6511" i="34"/>
  <c r="E6512" i="34"/>
  <c r="E6513" i="34"/>
  <c r="E6514" i="34"/>
  <c r="E6515" i="34"/>
  <c r="E6516" i="34"/>
  <c r="E6517" i="34"/>
  <c r="E6518" i="34"/>
  <c r="E6519" i="34"/>
  <c r="E6520" i="34"/>
  <c r="E6521" i="34"/>
  <c r="E6522" i="34"/>
  <c r="E6523" i="34"/>
  <c r="E6524" i="34"/>
  <c r="E6525" i="34"/>
  <c r="E6526" i="34"/>
  <c r="E6527" i="34"/>
  <c r="E6528" i="34"/>
  <c r="E6529" i="34"/>
  <c r="E6530" i="34"/>
  <c r="E6531" i="34"/>
  <c r="E6532" i="34"/>
  <c r="E6533" i="34"/>
  <c r="E6534" i="34"/>
  <c r="E6535" i="34"/>
  <c r="E6536" i="34"/>
  <c r="E6537" i="34"/>
  <c r="E6538" i="34"/>
  <c r="E6539" i="34"/>
  <c r="E6540" i="34"/>
  <c r="E6541" i="34"/>
  <c r="E6542" i="34"/>
  <c r="E6543" i="34"/>
  <c r="E6544" i="34"/>
  <c r="E6545" i="34"/>
  <c r="E6546" i="34"/>
  <c r="E6547" i="34"/>
  <c r="E6548" i="34"/>
  <c r="E6549" i="34"/>
  <c r="E6550" i="34"/>
  <c r="E6551" i="34"/>
  <c r="E6552" i="34"/>
  <c r="E6553" i="34"/>
  <c r="E6554" i="34"/>
  <c r="E6555" i="34"/>
  <c r="E6556" i="34"/>
  <c r="E6557" i="34"/>
  <c r="E6558" i="34"/>
  <c r="E6559" i="34"/>
  <c r="E6560" i="34"/>
  <c r="E6561" i="34"/>
  <c r="E6562" i="34"/>
  <c r="E6563" i="34"/>
  <c r="E6564" i="34"/>
  <c r="E6565" i="34"/>
  <c r="E6566" i="34"/>
  <c r="E6567" i="34"/>
  <c r="E6568" i="34"/>
  <c r="E6569" i="34"/>
  <c r="E6570" i="34"/>
  <c r="E6571" i="34"/>
  <c r="E6572" i="34"/>
  <c r="E6573" i="34"/>
  <c r="E6574" i="34"/>
  <c r="E6575" i="34"/>
  <c r="E6576" i="34"/>
  <c r="E6577" i="34"/>
  <c r="E6578" i="34"/>
  <c r="E6579" i="34"/>
  <c r="E6580" i="34"/>
  <c r="E6581" i="34"/>
  <c r="E6582" i="34"/>
  <c r="E6583" i="34"/>
  <c r="E6584" i="34"/>
  <c r="E6585" i="34"/>
  <c r="E6586" i="34"/>
  <c r="E6587" i="34"/>
  <c r="E6588" i="34"/>
  <c r="E6589" i="34"/>
  <c r="E6590" i="34"/>
  <c r="E6591" i="34"/>
  <c r="E6592" i="34"/>
  <c r="E6593" i="34"/>
  <c r="E6594" i="34"/>
  <c r="E6595" i="34"/>
  <c r="E6596" i="34"/>
  <c r="E6597" i="34"/>
  <c r="E6598" i="34"/>
  <c r="E6599" i="34"/>
  <c r="E6600" i="34"/>
  <c r="E6601" i="34"/>
  <c r="E6602" i="34"/>
  <c r="E6603" i="34"/>
  <c r="E6604" i="34"/>
  <c r="E6605" i="34"/>
  <c r="E6606" i="34"/>
  <c r="E6607" i="34"/>
  <c r="E6608" i="34"/>
  <c r="E6609" i="34"/>
  <c r="E6610" i="34"/>
  <c r="E6611" i="34"/>
  <c r="E6612" i="34"/>
  <c r="E6613" i="34"/>
  <c r="E6614" i="34"/>
  <c r="E6615" i="34"/>
  <c r="E6616" i="34"/>
  <c r="E6617" i="34"/>
  <c r="E6618" i="34"/>
  <c r="E6619" i="34"/>
  <c r="E6620" i="34"/>
  <c r="E6621" i="34"/>
  <c r="E6622" i="34"/>
  <c r="E6623" i="34"/>
  <c r="E6624" i="34"/>
  <c r="E6625" i="34"/>
  <c r="E6626" i="34"/>
  <c r="E6627" i="34"/>
  <c r="E6628" i="34"/>
  <c r="E6629" i="34"/>
  <c r="E6630" i="34"/>
  <c r="E6631" i="34"/>
  <c r="E6632" i="34"/>
  <c r="E6633" i="34"/>
  <c r="E6634" i="34"/>
  <c r="E6635" i="34"/>
  <c r="E6636" i="34"/>
  <c r="E6637" i="34"/>
  <c r="E6638" i="34"/>
  <c r="E6639" i="34"/>
  <c r="E6640" i="34"/>
  <c r="E6641" i="34"/>
  <c r="E6642" i="34"/>
  <c r="E6643" i="34"/>
  <c r="E6644" i="34"/>
  <c r="E6645" i="34"/>
  <c r="E6646" i="34"/>
  <c r="E6647" i="34"/>
  <c r="E6648" i="34"/>
  <c r="E6649" i="34"/>
  <c r="E6650" i="34"/>
  <c r="E6651" i="34"/>
  <c r="E6652" i="34"/>
  <c r="E6653" i="34"/>
  <c r="E6654" i="34"/>
  <c r="E6655" i="34"/>
  <c r="E6656" i="34"/>
  <c r="E6657" i="34"/>
  <c r="E6658" i="34"/>
  <c r="E6659" i="34"/>
  <c r="E6660" i="34"/>
  <c r="E6661" i="34"/>
  <c r="E6662" i="34"/>
  <c r="E6663" i="34"/>
  <c r="E6664" i="34"/>
  <c r="E6665" i="34"/>
  <c r="E6666" i="34"/>
  <c r="E6667" i="34"/>
  <c r="E6668" i="34"/>
  <c r="E6669" i="34"/>
  <c r="E6670" i="34"/>
  <c r="E6671" i="34"/>
  <c r="E6672" i="34"/>
  <c r="E6673" i="34"/>
  <c r="E6674" i="34"/>
  <c r="E6675" i="34"/>
  <c r="E6676" i="34"/>
  <c r="E6677" i="34"/>
  <c r="E6678" i="34"/>
  <c r="E6679" i="34"/>
  <c r="E6680" i="34"/>
  <c r="E6681" i="34"/>
  <c r="E6682" i="34"/>
  <c r="E6683" i="34"/>
  <c r="E6684" i="34"/>
  <c r="E6685" i="34"/>
  <c r="E6686" i="34"/>
  <c r="E6687" i="34"/>
  <c r="E6688" i="34"/>
  <c r="E6689" i="34"/>
  <c r="E6690" i="34"/>
  <c r="E6691" i="34"/>
  <c r="E6692" i="34"/>
  <c r="E6693" i="34"/>
  <c r="E6694" i="34"/>
  <c r="E6695" i="34"/>
  <c r="E6696" i="34"/>
  <c r="E6697" i="34"/>
  <c r="E6698" i="34"/>
  <c r="E6699" i="34"/>
  <c r="E6700" i="34"/>
  <c r="E6701" i="34"/>
  <c r="E6702" i="34"/>
  <c r="E6703" i="34"/>
  <c r="E6704" i="34"/>
  <c r="E6705" i="34"/>
  <c r="E6706" i="34"/>
  <c r="E6707" i="34"/>
  <c r="E6708" i="34"/>
  <c r="E6709" i="34"/>
  <c r="E6710" i="34"/>
  <c r="E6711" i="34"/>
  <c r="E6712" i="34"/>
  <c r="E6713" i="34"/>
  <c r="E6714" i="34"/>
  <c r="E6715" i="34"/>
  <c r="E6716" i="34"/>
  <c r="E6717" i="34"/>
  <c r="E6718" i="34"/>
  <c r="E6719" i="34"/>
  <c r="E6720" i="34"/>
  <c r="E6721" i="34"/>
  <c r="E6722" i="34"/>
  <c r="E6723" i="34"/>
  <c r="E6724" i="34"/>
  <c r="E6725" i="34"/>
  <c r="E6726" i="34"/>
  <c r="E6727" i="34"/>
  <c r="E6728" i="34"/>
  <c r="E6729" i="34"/>
  <c r="E6730" i="34"/>
  <c r="E6731" i="34"/>
  <c r="E6732" i="34"/>
  <c r="E6733" i="34"/>
  <c r="E6734" i="34"/>
  <c r="E6735" i="34"/>
  <c r="E6736" i="34"/>
  <c r="E6737" i="34"/>
  <c r="E6738" i="34"/>
  <c r="E6739" i="34"/>
  <c r="E6740" i="34"/>
  <c r="E6741" i="34"/>
  <c r="E6742" i="34"/>
  <c r="E6743" i="34"/>
  <c r="E6744" i="34"/>
  <c r="E6745" i="34"/>
  <c r="E6746" i="34"/>
  <c r="E6747" i="34"/>
  <c r="E6748" i="34"/>
  <c r="E6749" i="34"/>
  <c r="E6750" i="34"/>
  <c r="E6751" i="34"/>
  <c r="E6752" i="34"/>
  <c r="E6753" i="34"/>
  <c r="E6754" i="34"/>
  <c r="E6755" i="34"/>
  <c r="E6756" i="34"/>
  <c r="E6757" i="34"/>
  <c r="E6758" i="34"/>
  <c r="E6759" i="34"/>
  <c r="E6760" i="34"/>
  <c r="E6761" i="34"/>
  <c r="E6762" i="34"/>
  <c r="E6763" i="34"/>
  <c r="E6764" i="34"/>
  <c r="E6765" i="34"/>
  <c r="E6766" i="34"/>
  <c r="E6767" i="34"/>
  <c r="E6768" i="34"/>
  <c r="E6769" i="34"/>
  <c r="E6770" i="34"/>
  <c r="E6771" i="34"/>
  <c r="E6772" i="34"/>
  <c r="E6773" i="34"/>
  <c r="E6774" i="34"/>
  <c r="E6775" i="34"/>
  <c r="E6776" i="34"/>
  <c r="E6777" i="34"/>
  <c r="E6778" i="34"/>
  <c r="E6779" i="34"/>
  <c r="E6780" i="34"/>
  <c r="E6781" i="34"/>
  <c r="E6782" i="34"/>
  <c r="E6783" i="34"/>
  <c r="E6784" i="34"/>
  <c r="E6785" i="34"/>
  <c r="E6786" i="34"/>
  <c r="E6787" i="34"/>
  <c r="E6788" i="34"/>
  <c r="E6789" i="34"/>
  <c r="E6790" i="34"/>
  <c r="E6791" i="34"/>
  <c r="E6792" i="34"/>
  <c r="E6793" i="34"/>
  <c r="E6794" i="34"/>
  <c r="E6795" i="34"/>
  <c r="E6796" i="34"/>
  <c r="E6797" i="34"/>
  <c r="E6798" i="34"/>
  <c r="E6799" i="34"/>
  <c r="E6800" i="34"/>
  <c r="E6801" i="34"/>
  <c r="E6802" i="34"/>
  <c r="E6803" i="34"/>
  <c r="E6804" i="34"/>
  <c r="E6805" i="34"/>
  <c r="E6806" i="34"/>
  <c r="E6807" i="34"/>
  <c r="E6808" i="34"/>
  <c r="E6809" i="34"/>
  <c r="E6810" i="34"/>
  <c r="E6811" i="34"/>
  <c r="E6812" i="34"/>
  <c r="E6813" i="34"/>
  <c r="E6814" i="34"/>
  <c r="E6815" i="34"/>
  <c r="E6816" i="34"/>
  <c r="E6817" i="34"/>
  <c r="E6818" i="34"/>
  <c r="E6819" i="34"/>
  <c r="E6820" i="34"/>
  <c r="E6821" i="34"/>
  <c r="E6822" i="34"/>
  <c r="E6823" i="34"/>
  <c r="E6824" i="34"/>
  <c r="E6825" i="34"/>
  <c r="E6826" i="34"/>
  <c r="E6827" i="34"/>
  <c r="E6828" i="34"/>
  <c r="E6829" i="34"/>
  <c r="E6830" i="34"/>
  <c r="E6831" i="34"/>
  <c r="E6832" i="34"/>
  <c r="E6833" i="34"/>
  <c r="E6834" i="34"/>
  <c r="E6835" i="34"/>
  <c r="E6836" i="34"/>
  <c r="E6837" i="34"/>
  <c r="E6838" i="34"/>
  <c r="E6839" i="34"/>
  <c r="E6840" i="34"/>
  <c r="E6841" i="34"/>
  <c r="E6842" i="34"/>
  <c r="E6843" i="34"/>
  <c r="E6844" i="34"/>
  <c r="E6845" i="34"/>
  <c r="E6846" i="34"/>
  <c r="E6847" i="34"/>
  <c r="E6848" i="34"/>
  <c r="E6849" i="34"/>
  <c r="E6850" i="34"/>
  <c r="E6851" i="34"/>
  <c r="E6852" i="34"/>
  <c r="E6853" i="34"/>
  <c r="E6854" i="34"/>
  <c r="E6855" i="34"/>
  <c r="E6856" i="34"/>
  <c r="E6857" i="34"/>
  <c r="E6858" i="34"/>
  <c r="E6859" i="34"/>
  <c r="E6860" i="34"/>
  <c r="E6861" i="34"/>
  <c r="E6862" i="34"/>
  <c r="E6863" i="34"/>
  <c r="E6864" i="34"/>
  <c r="E6865" i="34"/>
  <c r="E6866" i="34"/>
  <c r="E6867" i="34"/>
  <c r="E6868" i="34"/>
  <c r="E6869" i="34"/>
  <c r="E6870" i="34"/>
  <c r="E6871" i="34"/>
  <c r="E6872" i="34"/>
  <c r="E6873" i="34"/>
  <c r="E6874" i="34"/>
  <c r="E6875" i="34"/>
  <c r="E6876" i="34"/>
  <c r="E6877" i="34"/>
  <c r="E6878" i="34"/>
  <c r="E6879" i="34"/>
  <c r="E6880" i="34"/>
  <c r="E6881" i="34"/>
  <c r="E6882" i="34"/>
  <c r="E6883" i="34"/>
  <c r="E6884" i="34"/>
  <c r="E6885" i="34"/>
  <c r="E6886" i="34"/>
  <c r="E6887" i="34"/>
  <c r="E6888" i="34"/>
  <c r="E6889" i="34"/>
  <c r="E6890" i="34"/>
  <c r="E6891" i="34"/>
  <c r="E6892" i="34"/>
  <c r="E6893" i="34"/>
  <c r="E6894" i="34"/>
  <c r="E6895" i="34"/>
  <c r="E6896" i="34"/>
  <c r="E6897" i="34"/>
  <c r="E6898" i="34"/>
  <c r="E6899" i="34"/>
  <c r="E6900" i="34"/>
  <c r="E6901" i="34"/>
  <c r="E6902" i="34"/>
  <c r="E6903" i="34"/>
  <c r="E6904" i="34"/>
  <c r="E6905" i="34"/>
  <c r="E6906" i="34"/>
  <c r="E6907" i="34"/>
  <c r="E6908" i="34"/>
  <c r="E6909" i="34"/>
  <c r="E6910" i="34"/>
  <c r="E6911" i="34"/>
  <c r="E6912" i="34"/>
  <c r="E6913" i="34"/>
  <c r="E6914" i="34"/>
  <c r="E6915" i="34"/>
  <c r="E6916" i="34"/>
  <c r="E6917" i="34"/>
  <c r="E6918" i="34"/>
  <c r="E6919" i="34"/>
  <c r="E6920" i="34"/>
  <c r="E6921" i="34"/>
  <c r="E6922" i="34"/>
  <c r="E6923" i="34"/>
  <c r="E6924" i="34"/>
  <c r="E6925" i="34"/>
  <c r="E6926" i="34"/>
  <c r="E6927" i="34"/>
  <c r="E6928" i="34"/>
  <c r="E6929" i="34"/>
  <c r="E6930" i="34"/>
  <c r="E6931" i="34"/>
  <c r="E6932" i="34"/>
  <c r="E6933" i="34"/>
  <c r="E6934" i="34"/>
  <c r="E6935" i="34"/>
  <c r="E6936" i="34"/>
  <c r="E6937" i="34"/>
  <c r="E6938" i="34"/>
  <c r="E6939" i="34"/>
  <c r="E6940" i="34"/>
  <c r="E6941" i="34"/>
  <c r="E6942" i="34"/>
  <c r="E6943" i="34"/>
  <c r="E6944" i="34"/>
  <c r="E6945" i="34"/>
  <c r="E6946" i="34"/>
  <c r="E6947" i="34"/>
  <c r="E6948" i="34"/>
  <c r="E6949" i="34"/>
  <c r="E6950" i="34"/>
  <c r="E6951" i="34"/>
  <c r="E6952" i="34"/>
  <c r="E6953" i="34"/>
  <c r="E6954" i="34"/>
  <c r="E6955" i="34"/>
  <c r="E6956" i="34"/>
  <c r="E6957" i="34"/>
  <c r="E6958" i="34"/>
  <c r="E6959" i="34"/>
  <c r="E6960" i="34"/>
  <c r="E6961" i="34"/>
  <c r="E6962" i="34"/>
  <c r="E6963" i="34"/>
  <c r="E6964" i="34"/>
  <c r="E6965" i="34"/>
  <c r="E6966" i="34"/>
  <c r="E6967" i="34"/>
  <c r="E6968" i="34"/>
  <c r="E6969" i="34"/>
  <c r="E6970" i="34"/>
  <c r="E6971" i="34"/>
  <c r="E6972" i="34"/>
  <c r="E6973" i="34"/>
  <c r="E6974" i="34"/>
  <c r="E6975" i="34"/>
  <c r="E6976" i="34"/>
  <c r="E6977" i="34"/>
  <c r="E6978" i="34"/>
  <c r="E6979" i="34"/>
  <c r="E6980" i="34"/>
  <c r="E6981" i="34"/>
  <c r="E6982" i="34"/>
  <c r="E6983" i="34"/>
  <c r="E6984" i="34"/>
  <c r="E6985" i="34"/>
  <c r="E6986" i="34"/>
  <c r="E6987" i="34"/>
  <c r="E6988" i="34"/>
  <c r="E6989" i="34"/>
  <c r="E6990" i="34"/>
  <c r="E6991" i="34"/>
  <c r="E6992" i="34"/>
  <c r="E6993" i="34"/>
  <c r="E6994" i="34"/>
  <c r="E6995" i="34"/>
  <c r="E6996" i="34"/>
  <c r="E6997" i="34"/>
  <c r="E6998" i="34"/>
  <c r="E6999" i="34"/>
  <c r="E7000" i="34"/>
  <c r="E7001" i="34"/>
  <c r="E7002" i="34"/>
  <c r="E7003" i="34"/>
  <c r="E7004" i="34"/>
  <c r="E7005" i="34"/>
  <c r="E7006" i="34"/>
  <c r="E7007" i="34"/>
  <c r="E7008" i="34"/>
  <c r="E7009" i="34"/>
  <c r="E7010" i="34"/>
  <c r="E7011" i="34"/>
  <c r="E7012" i="34"/>
  <c r="E7013" i="34"/>
  <c r="E7014" i="34"/>
  <c r="E7015" i="34"/>
  <c r="E7016" i="34"/>
  <c r="E7017" i="34"/>
  <c r="E7018" i="34"/>
  <c r="E7019" i="34"/>
  <c r="E7020" i="34"/>
  <c r="E7021" i="34"/>
  <c r="E7022" i="34"/>
  <c r="E7023" i="34"/>
  <c r="E7024" i="34"/>
  <c r="E7025" i="34"/>
  <c r="E7026" i="34"/>
  <c r="E7027" i="34"/>
  <c r="E7028" i="34"/>
  <c r="E7029" i="34"/>
  <c r="E7030" i="34"/>
  <c r="E7031" i="34"/>
  <c r="E7032" i="34"/>
  <c r="E7033" i="34"/>
  <c r="E7034" i="34"/>
  <c r="E7035" i="34"/>
  <c r="E7036" i="34"/>
  <c r="E7037" i="34"/>
  <c r="E7038" i="34"/>
  <c r="E7039" i="34"/>
  <c r="E7040" i="34"/>
  <c r="E7041" i="34"/>
  <c r="E7042" i="34"/>
  <c r="E7043" i="34"/>
  <c r="E7044" i="34"/>
  <c r="E7045" i="34"/>
  <c r="E7046" i="34"/>
  <c r="E7047" i="34"/>
  <c r="E7048" i="34"/>
  <c r="E7049" i="34"/>
  <c r="E7050" i="34"/>
  <c r="E7051" i="34"/>
  <c r="E7052" i="34"/>
  <c r="E7053" i="34"/>
  <c r="E7054" i="34"/>
  <c r="E7055" i="34"/>
  <c r="E7056" i="34"/>
  <c r="E7057" i="34"/>
  <c r="E7058" i="34"/>
  <c r="E7059" i="34"/>
  <c r="E7060" i="34"/>
  <c r="E7061" i="34"/>
  <c r="E7062" i="34"/>
  <c r="E7063" i="34"/>
  <c r="E7064" i="34"/>
  <c r="E7065" i="34"/>
  <c r="E7066" i="34"/>
  <c r="E7067" i="34"/>
  <c r="E7068" i="34"/>
  <c r="E7069" i="34"/>
  <c r="E7070" i="34"/>
  <c r="E7071" i="34"/>
  <c r="E7072" i="34"/>
  <c r="E7073" i="34"/>
  <c r="E7074" i="34"/>
  <c r="E7075" i="34"/>
  <c r="E7076" i="34"/>
  <c r="E7077" i="34"/>
  <c r="E7078" i="34"/>
  <c r="E7079" i="34"/>
  <c r="E7080" i="34"/>
  <c r="E7081" i="34"/>
  <c r="E7082" i="34"/>
  <c r="E7083" i="34"/>
  <c r="E7084" i="34"/>
  <c r="E7085" i="34"/>
  <c r="E7086" i="34"/>
  <c r="E7087" i="34"/>
  <c r="E7088" i="34"/>
  <c r="E7089" i="34"/>
  <c r="E7090" i="34"/>
  <c r="E7091" i="34"/>
  <c r="E7092" i="34"/>
  <c r="E7093" i="34"/>
  <c r="E7094" i="34"/>
  <c r="E7095" i="34"/>
  <c r="E7096" i="34"/>
  <c r="E7097" i="34"/>
  <c r="E7098" i="34"/>
  <c r="E7099" i="34"/>
  <c r="E7100" i="34"/>
  <c r="E7101" i="34"/>
  <c r="E7102" i="34"/>
  <c r="E7103" i="34"/>
  <c r="E7104" i="34"/>
  <c r="E7105" i="34"/>
  <c r="E7106" i="34"/>
  <c r="E7107" i="34"/>
  <c r="E7108" i="34"/>
  <c r="E7109" i="34"/>
  <c r="E7110" i="34"/>
  <c r="E7111" i="34"/>
  <c r="E7112" i="34"/>
  <c r="E7113" i="34"/>
  <c r="E7114" i="34"/>
  <c r="E7115" i="34"/>
  <c r="E7116" i="34"/>
  <c r="E7117" i="34"/>
  <c r="E7118" i="34"/>
  <c r="E7119" i="34"/>
  <c r="E7120" i="34"/>
  <c r="E7121" i="34"/>
  <c r="E7122" i="34"/>
  <c r="E7123" i="34"/>
  <c r="E7124" i="34"/>
  <c r="E7125" i="34"/>
  <c r="E7126" i="34"/>
  <c r="E7127" i="34"/>
  <c r="E7128" i="34"/>
  <c r="E7129" i="34"/>
  <c r="E7130" i="34"/>
  <c r="E7131" i="34"/>
  <c r="E7132" i="34"/>
  <c r="E7133" i="34"/>
  <c r="E7134" i="34"/>
  <c r="E7135" i="34"/>
  <c r="E7136" i="34"/>
  <c r="E7137" i="34"/>
  <c r="E7138" i="34"/>
  <c r="E7139" i="34"/>
  <c r="E7140" i="34"/>
  <c r="E7141" i="34"/>
  <c r="E7142" i="34"/>
  <c r="E7143" i="34"/>
  <c r="E7144" i="34"/>
  <c r="E7145" i="34"/>
  <c r="E7146" i="34"/>
  <c r="E7147" i="34"/>
  <c r="E7148" i="34"/>
  <c r="E7149" i="34"/>
  <c r="E7150" i="34"/>
  <c r="E7151" i="34"/>
  <c r="E7152" i="34"/>
  <c r="E7153" i="34"/>
  <c r="E7154" i="34"/>
  <c r="E7155" i="34"/>
  <c r="E7156" i="34"/>
  <c r="E7157" i="34"/>
  <c r="E7158" i="34"/>
  <c r="E7159" i="34"/>
  <c r="E7160" i="34"/>
  <c r="E7161" i="34"/>
  <c r="E7162" i="34"/>
  <c r="E7163" i="34"/>
  <c r="E7164" i="34"/>
  <c r="E7165" i="34"/>
  <c r="E7166" i="34"/>
  <c r="E7167" i="34"/>
  <c r="E7168" i="34"/>
  <c r="E7169" i="34"/>
  <c r="E7170" i="34"/>
  <c r="E7171" i="34"/>
  <c r="E7172" i="34"/>
  <c r="E7173" i="34"/>
  <c r="E7174" i="34"/>
  <c r="E7175" i="34"/>
  <c r="E7176" i="34"/>
  <c r="E7177" i="34"/>
  <c r="E7178" i="34"/>
  <c r="E7179" i="34"/>
  <c r="E7180" i="34"/>
  <c r="E7181" i="34"/>
  <c r="E7182" i="34"/>
  <c r="E7183" i="34"/>
  <c r="E7184" i="34"/>
  <c r="E7185" i="34"/>
  <c r="E7186" i="34"/>
  <c r="E7187" i="34"/>
  <c r="E7188" i="34"/>
  <c r="E7189" i="34"/>
  <c r="E7190" i="34"/>
  <c r="E7191" i="34"/>
  <c r="E7192" i="34"/>
  <c r="E7193" i="34"/>
  <c r="E7194" i="34"/>
  <c r="E7195" i="34"/>
  <c r="E7196" i="34"/>
  <c r="E7197" i="34"/>
  <c r="E7198" i="34"/>
  <c r="E7199" i="34"/>
  <c r="E7200" i="34"/>
  <c r="E7201" i="34"/>
  <c r="E7202" i="34"/>
  <c r="E7203" i="34"/>
  <c r="E7204" i="34"/>
  <c r="E7205" i="34"/>
  <c r="E7206" i="34"/>
  <c r="E7207" i="34"/>
  <c r="E7208" i="34"/>
  <c r="E7209" i="34"/>
  <c r="E7210" i="34"/>
  <c r="E7211" i="34"/>
  <c r="E7212" i="34"/>
  <c r="E7213" i="34"/>
  <c r="E7214" i="34"/>
  <c r="E7215" i="34"/>
  <c r="E7216" i="34"/>
  <c r="E7217" i="34"/>
  <c r="E7218" i="34"/>
  <c r="E7219" i="34"/>
  <c r="E7220" i="34"/>
  <c r="E7221" i="34"/>
  <c r="E7222" i="34"/>
  <c r="E7223" i="34"/>
  <c r="E7224" i="34"/>
  <c r="E7225" i="34"/>
  <c r="E7226" i="34"/>
  <c r="E7227" i="34"/>
  <c r="E7228" i="34"/>
  <c r="E7229" i="34"/>
  <c r="E7230" i="34"/>
  <c r="E7231" i="34"/>
  <c r="E7232" i="34"/>
  <c r="E7233" i="34"/>
  <c r="E7234" i="34"/>
  <c r="E7235" i="34"/>
  <c r="E7236" i="34"/>
  <c r="E7237" i="34"/>
  <c r="E7238" i="34"/>
  <c r="E7239" i="34"/>
  <c r="E7240" i="34"/>
  <c r="E7241" i="34"/>
  <c r="E7242" i="34"/>
  <c r="E7243" i="34"/>
  <c r="E7244" i="34"/>
  <c r="E7245" i="34"/>
  <c r="E7246" i="34"/>
  <c r="E7247" i="34"/>
  <c r="E7248" i="34"/>
  <c r="E7249" i="34"/>
  <c r="E7250" i="34"/>
  <c r="E7251" i="34"/>
  <c r="E7252" i="34"/>
  <c r="E7253" i="34"/>
  <c r="E7254" i="34"/>
  <c r="E7255" i="34"/>
  <c r="E7256" i="34"/>
  <c r="E7257" i="34"/>
  <c r="E7258" i="34"/>
  <c r="E7259" i="34"/>
  <c r="E7260" i="34"/>
  <c r="E7261" i="34"/>
  <c r="E7262" i="34"/>
  <c r="E7263" i="34"/>
  <c r="E7264" i="34"/>
  <c r="E7265" i="34"/>
  <c r="E7266" i="34"/>
  <c r="E7267" i="34"/>
  <c r="E7268" i="34"/>
  <c r="E7269" i="34"/>
  <c r="E7270" i="34"/>
  <c r="E7271" i="34"/>
  <c r="E7272" i="34"/>
  <c r="E7273" i="34"/>
  <c r="E7274" i="34"/>
  <c r="E7275" i="34"/>
  <c r="E7276" i="34"/>
  <c r="E7277" i="34"/>
  <c r="E7278" i="34"/>
  <c r="E7279" i="34"/>
  <c r="E7280" i="34"/>
  <c r="E7281" i="34"/>
  <c r="E7282" i="34"/>
  <c r="E7283" i="34"/>
  <c r="E7284" i="34"/>
  <c r="E7285" i="34"/>
  <c r="E7286" i="34"/>
  <c r="E7287" i="34"/>
  <c r="E7288" i="34"/>
  <c r="E7289" i="34"/>
  <c r="E7290" i="34"/>
  <c r="E7291" i="34"/>
  <c r="E7292" i="34"/>
  <c r="E7293" i="34"/>
  <c r="E7294" i="34"/>
  <c r="E7295" i="34"/>
  <c r="E7296" i="34"/>
  <c r="E7297" i="34"/>
  <c r="E7298" i="34"/>
  <c r="E7299" i="34"/>
  <c r="E7300" i="34"/>
  <c r="E7301" i="34"/>
  <c r="E7302" i="34"/>
  <c r="E7303" i="34"/>
  <c r="E7304" i="34"/>
  <c r="E7305" i="34"/>
  <c r="E7306" i="34"/>
  <c r="E7307" i="34"/>
  <c r="E7308" i="34"/>
  <c r="E7309" i="34"/>
  <c r="E7310" i="34"/>
  <c r="E7311" i="34"/>
  <c r="E7312" i="34"/>
  <c r="E7313" i="34"/>
  <c r="E7314" i="34"/>
  <c r="E7315" i="34"/>
  <c r="E7316" i="34"/>
  <c r="E7317" i="34"/>
  <c r="E7318" i="34"/>
  <c r="E7319" i="34"/>
  <c r="E7320" i="34"/>
  <c r="E7321" i="34"/>
  <c r="E7322" i="34"/>
  <c r="E7323" i="34"/>
  <c r="E7324" i="34"/>
  <c r="E7325" i="34"/>
  <c r="E7326" i="34"/>
  <c r="E7327" i="34"/>
  <c r="E7328" i="34"/>
  <c r="E7329" i="34"/>
  <c r="E7330" i="34"/>
  <c r="E7331" i="34"/>
  <c r="E7332" i="34"/>
  <c r="E7333" i="34"/>
  <c r="E7334" i="34"/>
  <c r="E7335" i="34"/>
  <c r="E7336" i="34"/>
  <c r="E7337" i="34"/>
  <c r="E7338" i="34"/>
  <c r="E7339" i="34"/>
  <c r="E7340" i="34"/>
  <c r="E7341" i="34"/>
  <c r="E7342" i="34"/>
  <c r="E7343" i="34"/>
  <c r="E7344" i="34"/>
  <c r="E7345" i="34"/>
  <c r="E7346" i="34"/>
  <c r="E7347" i="34"/>
  <c r="E7348" i="34"/>
  <c r="E7349" i="34"/>
  <c r="E7350" i="34"/>
  <c r="E7351" i="34"/>
  <c r="E7352" i="34"/>
  <c r="E7353" i="34"/>
  <c r="E7354" i="34"/>
  <c r="E7355" i="34"/>
  <c r="E7356" i="34"/>
  <c r="E7357" i="34"/>
  <c r="E7358" i="34"/>
  <c r="E7359" i="34"/>
  <c r="E7360" i="34"/>
  <c r="E7361" i="34"/>
  <c r="E7362" i="34"/>
  <c r="E7363" i="34"/>
  <c r="E7364" i="34"/>
  <c r="E7365" i="34"/>
  <c r="E7366" i="34"/>
  <c r="E7367" i="34"/>
  <c r="E7368" i="34"/>
  <c r="E7369" i="34"/>
  <c r="E7370" i="34"/>
  <c r="E7371" i="34"/>
  <c r="E7372" i="34"/>
  <c r="E7373" i="34"/>
  <c r="E7374" i="34"/>
  <c r="E7375" i="34"/>
  <c r="E7376" i="34"/>
  <c r="E7377" i="34"/>
  <c r="E7378" i="34"/>
  <c r="E7379" i="34"/>
  <c r="E7380" i="34"/>
  <c r="E7381" i="34"/>
  <c r="E7382" i="34"/>
  <c r="E7383" i="34"/>
  <c r="E7384" i="34"/>
  <c r="E7385" i="34"/>
  <c r="E7386" i="34"/>
  <c r="E7387" i="34"/>
  <c r="E7388" i="34"/>
  <c r="E7389" i="34"/>
  <c r="E7390" i="34"/>
  <c r="E7391" i="34"/>
  <c r="E7392" i="34"/>
  <c r="E7393" i="34"/>
  <c r="E7394" i="34"/>
  <c r="E7395" i="34"/>
  <c r="E7396" i="34"/>
  <c r="E7397" i="34"/>
  <c r="E7398" i="34"/>
  <c r="E7399" i="34"/>
  <c r="E7400" i="34"/>
  <c r="E7401" i="34"/>
  <c r="E7402" i="34"/>
  <c r="E7403" i="34"/>
  <c r="E7404" i="34"/>
  <c r="E7405" i="34"/>
  <c r="E7406" i="34"/>
  <c r="E7407" i="34"/>
  <c r="E7408" i="34"/>
  <c r="E7409" i="34"/>
  <c r="E7410" i="34"/>
  <c r="E7411" i="34"/>
  <c r="E7412" i="34"/>
  <c r="E7413" i="34"/>
  <c r="E7414" i="34"/>
  <c r="E7415" i="34"/>
  <c r="E7416" i="34"/>
  <c r="E7417" i="34"/>
  <c r="E7418" i="34"/>
  <c r="E7419" i="34"/>
  <c r="E7420" i="34"/>
  <c r="E7421" i="34"/>
  <c r="E7422" i="34"/>
  <c r="E7423" i="34"/>
  <c r="E7424" i="34"/>
  <c r="E7425" i="34"/>
  <c r="E7426" i="34"/>
  <c r="E7427" i="34"/>
  <c r="E7428" i="34"/>
  <c r="E7429" i="34"/>
  <c r="E7430" i="34"/>
  <c r="E7431" i="34"/>
  <c r="E7432" i="34"/>
  <c r="E7433" i="34"/>
  <c r="E7434" i="34"/>
  <c r="E7435" i="34"/>
  <c r="E7436" i="34"/>
  <c r="E7437" i="34"/>
  <c r="E7438" i="34"/>
  <c r="E7439" i="34"/>
  <c r="E7440" i="34"/>
  <c r="E7441" i="34"/>
  <c r="E7442" i="34"/>
  <c r="E7443" i="34"/>
  <c r="E7444" i="34"/>
  <c r="E7445" i="34"/>
  <c r="E7446" i="34"/>
  <c r="E7447" i="34"/>
  <c r="E7448" i="34"/>
  <c r="E7449" i="34"/>
  <c r="E7450" i="34"/>
  <c r="E7451" i="34"/>
  <c r="E7452" i="34"/>
  <c r="E7453" i="34"/>
  <c r="E7454" i="34"/>
  <c r="E7455" i="34"/>
  <c r="E7456" i="34"/>
  <c r="E7457" i="34"/>
  <c r="E7458" i="34"/>
  <c r="E7459" i="34"/>
  <c r="E7460" i="34"/>
  <c r="E7461" i="34"/>
  <c r="E7462" i="34"/>
  <c r="E7463" i="34"/>
  <c r="E7464" i="34"/>
  <c r="E7465" i="34"/>
  <c r="E7466" i="34"/>
  <c r="E7467" i="34"/>
  <c r="E7468" i="34"/>
  <c r="E7469" i="34"/>
  <c r="E7470" i="34"/>
  <c r="E7471" i="34"/>
  <c r="E7472" i="34"/>
  <c r="E7473" i="34"/>
  <c r="E7474" i="34"/>
  <c r="E7475" i="34"/>
  <c r="E7476" i="34"/>
  <c r="E7477" i="34"/>
  <c r="E7478" i="34"/>
  <c r="E7479" i="34"/>
  <c r="E7480" i="34"/>
  <c r="E7481" i="34"/>
  <c r="E7482" i="34"/>
  <c r="E7483" i="34"/>
  <c r="E7484" i="34"/>
  <c r="E7485" i="34"/>
  <c r="E7486" i="34"/>
  <c r="E7487" i="34"/>
  <c r="E7488" i="34"/>
  <c r="E7489" i="34"/>
  <c r="E7490" i="34"/>
  <c r="E7491" i="34"/>
  <c r="E7492" i="34"/>
  <c r="E7493" i="34"/>
  <c r="E7494" i="34"/>
  <c r="E7495" i="34"/>
  <c r="E7496" i="34"/>
  <c r="E7497" i="34"/>
  <c r="E7498" i="34"/>
  <c r="E7499" i="34"/>
  <c r="E7500" i="34"/>
  <c r="E7501" i="34"/>
  <c r="E7502" i="34"/>
  <c r="E7503" i="34"/>
  <c r="E7504" i="34"/>
  <c r="E7505" i="34"/>
  <c r="E7506" i="34"/>
  <c r="E7507" i="34"/>
  <c r="E7508" i="34"/>
  <c r="E7509" i="34"/>
  <c r="E7510" i="34"/>
  <c r="E7511" i="34"/>
  <c r="E7512" i="34"/>
  <c r="E7513" i="34"/>
  <c r="E7514" i="34"/>
  <c r="E7515" i="34"/>
  <c r="E7516" i="34"/>
  <c r="E7517" i="34"/>
  <c r="E7518" i="34"/>
  <c r="E7519" i="34"/>
  <c r="E7520" i="34"/>
  <c r="E7521" i="34"/>
  <c r="E7522" i="34"/>
  <c r="E7523" i="34"/>
  <c r="E7524" i="34"/>
  <c r="E7525" i="34"/>
  <c r="E7526" i="34"/>
  <c r="E7527" i="34"/>
  <c r="E7528" i="34"/>
  <c r="E7529" i="34"/>
  <c r="E7530" i="34"/>
  <c r="E7531" i="34"/>
  <c r="E7532" i="34"/>
  <c r="E7533" i="34"/>
  <c r="E7534" i="34"/>
  <c r="E7535" i="34"/>
  <c r="E7536" i="34"/>
  <c r="E7537" i="34"/>
  <c r="E7538" i="34"/>
  <c r="E7539" i="34"/>
  <c r="E7540" i="34"/>
  <c r="E7541" i="34"/>
  <c r="E7542" i="34"/>
  <c r="E7543" i="34"/>
  <c r="E7544" i="34"/>
  <c r="E7545" i="34"/>
  <c r="E7546" i="34"/>
  <c r="E7547" i="34"/>
  <c r="E7548" i="34"/>
  <c r="E7549" i="34"/>
  <c r="E7550" i="34"/>
  <c r="E7551" i="34"/>
  <c r="E7552" i="34"/>
  <c r="E7553" i="34"/>
  <c r="E7554" i="34"/>
  <c r="E7555" i="34"/>
  <c r="E7556" i="34"/>
  <c r="E7557" i="34"/>
  <c r="E7558" i="34"/>
  <c r="E7559" i="34"/>
  <c r="E7560" i="34"/>
  <c r="E7561" i="34"/>
  <c r="E7562" i="34"/>
  <c r="E7563" i="34"/>
  <c r="E7564" i="34"/>
  <c r="E7565" i="34"/>
  <c r="E7566" i="34"/>
  <c r="E7567" i="34"/>
  <c r="E7568" i="34"/>
  <c r="E7569" i="34"/>
  <c r="E7570" i="34"/>
  <c r="E7571" i="34"/>
  <c r="E7572" i="34"/>
  <c r="E7573" i="34"/>
  <c r="E7574" i="34"/>
  <c r="E7575" i="34"/>
  <c r="E7576" i="34"/>
  <c r="E7577" i="34"/>
  <c r="E7578" i="34"/>
  <c r="E7579" i="34"/>
  <c r="E7580" i="34"/>
  <c r="E7581" i="34"/>
  <c r="E7582" i="34"/>
  <c r="E7583" i="34"/>
  <c r="E7584" i="34"/>
  <c r="E7585" i="34"/>
  <c r="E7586" i="34"/>
  <c r="E7587" i="34"/>
  <c r="E7588" i="34"/>
  <c r="E7589" i="34"/>
  <c r="E7590" i="34"/>
  <c r="E7591" i="34"/>
  <c r="E7592" i="34"/>
  <c r="E7593" i="34"/>
  <c r="E7594" i="34"/>
  <c r="E7595" i="34"/>
  <c r="E7596" i="34"/>
  <c r="E7597" i="34"/>
  <c r="E7598" i="34"/>
  <c r="E7599" i="34"/>
  <c r="E7600" i="34"/>
  <c r="E7601" i="34"/>
  <c r="E7602" i="34"/>
  <c r="E7603" i="34"/>
  <c r="E7604" i="34"/>
  <c r="E7605" i="34"/>
  <c r="E7606" i="34"/>
  <c r="E7607" i="34"/>
  <c r="E7608" i="34"/>
  <c r="E7609" i="34"/>
  <c r="E7610" i="34"/>
  <c r="E7611" i="34"/>
  <c r="E7612" i="34"/>
  <c r="E7613" i="34"/>
  <c r="E7614" i="34"/>
  <c r="E7615" i="34"/>
  <c r="E7616" i="34"/>
  <c r="E7617" i="34"/>
  <c r="E7618" i="34"/>
  <c r="E7619" i="34"/>
  <c r="E7620" i="34"/>
  <c r="E7621" i="34"/>
  <c r="E7622" i="34"/>
  <c r="E7623" i="34"/>
  <c r="E7624" i="34"/>
  <c r="E7625" i="34"/>
  <c r="E7626" i="34"/>
  <c r="E7627" i="34"/>
  <c r="E7628" i="34"/>
  <c r="E7629" i="34"/>
  <c r="E7630" i="34"/>
  <c r="E7631" i="34"/>
  <c r="E7632" i="34"/>
  <c r="E7633" i="34"/>
  <c r="E7634" i="34"/>
  <c r="E7635" i="34"/>
  <c r="E7636" i="34"/>
  <c r="E7637" i="34"/>
  <c r="E7638" i="34"/>
  <c r="E7639" i="34"/>
  <c r="E7640" i="34"/>
  <c r="E7641" i="34"/>
  <c r="E7642" i="34"/>
  <c r="E7643" i="34"/>
  <c r="E7644" i="34"/>
  <c r="E7645" i="34"/>
  <c r="E7646" i="34"/>
  <c r="E7647" i="34"/>
  <c r="E7648" i="34"/>
  <c r="E7649" i="34"/>
  <c r="E7650" i="34"/>
  <c r="E7651" i="34"/>
  <c r="E7652" i="34"/>
  <c r="E7653" i="34"/>
  <c r="E7654" i="34"/>
  <c r="E7655" i="34"/>
  <c r="E7656" i="34"/>
  <c r="E7657" i="34"/>
  <c r="E7658" i="34"/>
  <c r="E7659" i="34"/>
  <c r="E7660" i="34"/>
  <c r="E7661" i="34"/>
  <c r="E7662" i="34"/>
  <c r="E7663" i="34"/>
  <c r="E7664" i="34"/>
  <c r="E7665" i="34"/>
  <c r="E7666" i="34"/>
  <c r="E7667" i="34"/>
  <c r="E7668" i="34"/>
  <c r="E7669" i="34"/>
  <c r="E7670" i="34"/>
  <c r="E7671" i="34"/>
  <c r="E7672" i="34"/>
  <c r="E7673" i="34"/>
  <c r="E7674" i="34"/>
  <c r="E7675" i="34"/>
  <c r="E7676" i="34"/>
  <c r="E7677" i="34"/>
  <c r="E7678" i="34"/>
  <c r="E7679" i="34"/>
  <c r="E7680" i="34"/>
  <c r="E7681" i="34"/>
  <c r="E7682" i="34"/>
  <c r="E7683" i="34"/>
  <c r="E7684" i="34"/>
  <c r="E7685" i="34"/>
  <c r="E7686" i="34"/>
  <c r="E7687" i="34"/>
  <c r="E7688" i="34"/>
  <c r="E7689" i="34"/>
  <c r="E7690" i="34"/>
  <c r="E7691" i="34"/>
  <c r="E7692" i="34"/>
  <c r="E7693" i="34"/>
  <c r="E7694" i="34"/>
  <c r="E7695" i="34"/>
  <c r="E7696" i="34"/>
  <c r="E7697" i="34"/>
  <c r="E7698" i="34"/>
  <c r="E7699" i="34"/>
  <c r="E7700" i="34"/>
  <c r="E7701" i="34"/>
  <c r="E7702" i="34"/>
  <c r="E7703" i="34"/>
  <c r="E7704" i="34"/>
  <c r="E7705" i="34"/>
  <c r="E7706" i="34"/>
  <c r="E7707" i="34"/>
  <c r="E7708" i="34"/>
  <c r="E7709" i="34"/>
  <c r="E7710" i="34"/>
  <c r="E7711" i="34"/>
  <c r="E7712" i="34"/>
  <c r="E7713" i="34"/>
  <c r="E7714" i="34"/>
  <c r="E7715" i="34"/>
  <c r="E7716" i="34"/>
  <c r="E7717" i="34"/>
  <c r="E7718" i="34"/>
  <c r="E7719" i="34"/>
  <c r="E7720" i="34"/>
  <c r="E7721" i="34"/>
  <c r="E7722" i="34"/>
  <c r="E7723" i="34"/>
  <c r="E7724" i="34"/>
  <c r="E7725" i="34"/>
  <c r="E7726" i="34"/>
  <c r="E7727" i="34"/>
  <c r="E7728" i="34"/>
  <c r="E7729" i="34"/>
  <c r="E7730" i="34"/>
  <c r="E7731" i="34"/>
  <c r="E7732" i="34"/>
  <c r="E7733" i="34"/>
  <c r="E7734" i="34"/>
  <c r="E7735" i="34"/>
  <c r="E7736" i="34"/>
  <c r="E7737" i="34"/>
  <c r="E7738" i="34"/>
  <c r="E7739" i="34"/>
  <c r="E7740" i="34"/>
  <c r="E7741" i="34"/>
  <c r="E7742" i="34"/>
  <c r="E7743" i="34"/>
  <c r="E7744" i="34"/>
  <c r="E7745" i="34"/>
  <c r="E7746" i="34"/>
  <c r="E7747" i="34"/>
  <c r="E7748" i="34"/>
  <c r="E7749" i="34"/>
  <c r="E7750" i="34"/>
  <c r="E7751" i="34"/>
  <c r="E7752" i="34"/>
  <c r="E7753" i="34"/>
  <c r="E7754" i="34"/>
  <c r="E7755" i="34"/>
  <c r="E7756" i="34"/>
  <c r="E7757" i="34"/>
  <c r="E7758" i="34"/>
  <c r="E7759" i="34"/>
  <c r="E7760" i="34"/>
  <c r="E7761" i="34"/>
  <c r="E7762" i="34"/>
  <c r="E7763" i="34"/>
  <c r="E7764" i="34"/>
  <c r="E7765" i="34"/>
  <c r="E7766" i="34"/>
  <c r="E7767" i="34"/>
  <c r="E7768" i="34"/>
  <c r="E7769" i="34"/>
  <c r="E7770" i="34"/>
  <c r="E7771" i="34"/>
  <c r="E7772" i="34"/>
  <c r="E7773" i="34"/>
  <c r="E7774" i="34"/>
  <c r="E7775" i="34"/>
  <c r="E7776" i="34"/>
  <c r="E7777" i="34"/>
  <c r="E7778" i="34"/>
  <c r="E7779" i="34"/>
  <c r="E7780" i="34"/>
  <c r="E7781" i="34"/>
  <c r="E7782" i="34"/>
  <c r="E7783" i="34"/>
  <c r="E7784" i="34"/>
  <c r="E7785" i="34"/>
  <c r="E7786" i="34"/>
  <c r="E7787" i="34"/>
  <c r="E7788" i="34"/>
  <c r="E7789" i="34"/>
  <c r="E7790" i="34"/>
  <c r="E7791" i="34"/>
  <c r="E7792" i="34"/>
  <c r="E7793" i="34"/>
  <c r="E7794" i="34"/>
  <c r="E7795" i="34"/>
  <c r="E7796" i="34"/>
  <c r="E7797" i="34"/>
  <c r="E7798" i="34"/>
  <c r="E7799" i="34"/>
  <c r="E7800" i="34"/>
  <c r="E7801" i="34"/>
  <c r="E7802" i="34"/>
  <c r="E7803" i="34"/>
  <c r="E7804" i="34"/>
  <c r="E7805" i="34"/>
  <c r="E7806" i="34"/>
  <c r="E7807" i="34"/>
  <c r="E7808" i="34"/>
  <c r="E7809" i="34"/>
  <c r="E7810" i="34"/>
  <c r="E7811" i="34"/>
  <c r="E7812" i="34"/>
  <c r="E7813" i="34"/>
  <c r="E7814" i="34"/>
  <c r="E7815" i="34"/>
  <c r="E7816" i="34"/>
  <c r="E7817" i="34"/>
  <c r="E7818" i="34"/>
  <c r="E7819" i="34"/>
  <c r="E7820" i="34"/>
  <c r="E7821" i="34"/>
  <c r="E7822" i="34"/>
  <c r="E7823" i="34"/>
  <c r="E7824" i="34"/>
  <c r="E7825" i="34"/>
  <c r="E7826" i="34"/>
  <c r="E7827" i="34"/>
  <c r="E7828" i="34"/>
  <c r="E7829" i="34"/>
  <c r="E7830" i="34"/>
  <c r="E7831" i="34"/>
  <c r="E7832" i="34"/>
  <c r="E7833" i="34"/>
  <c r="E7834" i="34"/>
  <c r="E7835" i="34"/>
  <c r="E7836" i="34"/>
  <c r="E7837" i="34"/>
  <c r="E7838" i="34"/>
  <c r="E7839" i="34"/>
  <c r="E7840" i="34"/>
  <c r="E7841" i="34"/>
  <c r="E7842" i="34"/>
  <c r="E7843" i="34"/>
  <c r="E7844" i="34"/>
  <c r="E7845" i="34"/>
  <c r="E7846" i="34"/>
  <c r="E7847" i="34"/>
  <c r="E7848" i="34"/>
  <c r="E7849" i="34"/>
  <c r="E7850" i="34"/>
  <c r="E7851" i="34"/>
  <c r="E7852" i="34"/>
  <c r="E7853" i="34"/>
  <c r="E7854" i="34"/>
  <c r="E7855" i="34"/>
  <c r="E7856" i="34"/>
  <c r="E7857" i="34"/>
  <c r="E7858" i="34"/>
  <c r="E7859" i="34"/>
  <c r="E7860" i="34"/>
  <c r="E7861" i="34"/>
  <c r="E7862" i="34"/>
  <c r="E7863" i="34"/>
  <c r="E7864" i="34"/>
  <c r="E7865" i="34"/>
  <c r="E7866" i="34"/>
  <c r="E7867" i="34"/>
  <c r="E7868" i="34"/>
  <c r="E7869" i="34"/>
  <c r="E7870" i="34"/>
  <c r="E7871" i="34"/>
  <c r="E7872" i="34"/>
  <c r="E7873" i="34"/>
  <c r="E7874" i="34"/>
  <c r="E7875" i="34"/>
  <c r="E7876" i="34"/>
  <c r="E7877" i="34"/>
  <c r="E7878" i="34"/>
  <c r="E7879" i="34"/>
  <c r="E7880" i="34"/>
  <c r="E7881" i="34"/>
  <c r="E7882" i="34"/>
  <c r="E7883" i="34"/>
  <c r="E7884" i="34"/>
  <c r="E7885" i="34"/>
  <c r="E7886" i="34"/>
  <c r="E7887" i="34"/>
  <c r="E7888" i="34"/>
  <c r="E7889" i="34"/>
  <c r="E7890" i="34"/>
  <c r="E7891" i="34"/>
  <c r="E7892" i="34"/>
  <c r="E7893" i="34"/>
  <c r="E7894" i="34"/>
  <c r="E7895" i="34"/>
  <c r="E7896" i="34"/>
  <c r="E7897" i="34"/>
  <c r="E7898" i="34"/>
  <c r="E7899" i="34"/>
  <c r="E7900" i="34"/>
  <c r="E7901" i="34"/>
  <c r="E7902" i="34"/>
  <c r="E7903" i="34"/>
  <c r="E7904" i="34"/>
  <c r="E7905" i="34"/>
  <c r="E7906" i="34"/>
  <c r="E7907" i="34"/>
  <c r="E7908" i="34"/>
  <c r="E7909" i="34"/>
  <c r="E7910" i="34"/>
  <c r="E7911" i="34"/>
  <c r="E7912" i="34"/>
  <c r="E7913" i="34"/>
  <c r="E7914" i="34"/>
  <c r="E7915" i="34"/>
  <c r="E7916" i="34"/>
  <c r="E7917" i="34"/>
  <c r="E7918" i="34"/>
  <c r="E7919" i="34"/>
  <c r="E7920" i="34"/>
  <c r="E7921" i="34"/>
  <c r="E7922" i="34"/>
  <c r="E7923" i="34"/>
  <c r="E7924" i="34"/>
  <c r="E7925" i="34"/>
  <c r="E7926" i="34"/>
  <c r="E7927" i="34"/>
  <c r="E7928" i="34"/>
  <c r="E7929" i="34"/>
  <c r="E7930" i="34"/>
  <c r="E7931" i="34"/>
  <c r="E7932" i="34"/>
  <c r="E7933" i="34"/>
  <c r="E7934" i="34"/>
  <c r="E7935" i="34"/>
  <c r="E7936" i="34"/>
  <c r="E7937" i="34"/>
  <c r="E7938" i="34"/>
  <c r="E7939" i="34"/>
  <c r="E7940" i="34"/>
  <c r="E7941" i="34"/>
  <c r="E7942" i="34"/>
  <c r="E7943" i="34"/>
  <c r="E7944" i="34"/>
  <c r="E7945" i="34"/>
  <c r="E7946" i="34"/>
  <c r="E7947" i="34"/>
  <c r="E7948" i="34"/>
  <c r="E7949" i="34"/>
  <c r="E7950" i="34"/>
  <c r="E7951" i="34"/>
  <c r="E7952" i="34"/>
  <c r="E7953" i="34"/>
  <c r="E7954" i="34"/>
  <c r="E7955" i="34"/>
  <c r="E7956" i="34"/>
  <c r="E7957" i="34"/>
  <c r="E7958" i="34"/>
  <c r="E7959" i="34"/>
  <c r="E7960" i="34"/>
  <c r="E7961" i="34"/>
  <c r="E7962" i="34"/>
  <c r="E7963" i="34"/>
  <c r="E7964" i="34"/>
  <c r="E7965" i="34"/>
  <c r="E7966" i="34"/>
  <c r="E7967" i="34"/>
  <c r="E7968" i="34"/>
  <c r="E7969" i="34"/>
  <c r="E7970" i="34"/>
  <c r="E7971" i="34"/>
  <c r="E7972" i="34"/>
  <c r="E7973" i="34"/>
  <c r="E7974" i="34"/>
  <c r="E7975" i="34"/>
  <c r="E7976" i="34"/>
  <c r="E7977" i="34"/>
  <c r="E7978" i="34"/>
  <c r="E7979" i="34"/>
  <c r="E7980" i="34"/>
  <c r="E7981" i="34"/>
  <c r="E7982" i="34"/>
  <c r="E7983" i="34"/>
  <c r="E7984" i="34"/>
  <c r="E7985" i="34"/>
  <c r="E7986" i="34"/>
  <c r="E7987" i="34"/>
  <c r="E7988" i="34"/>
  <c r="E7989" i="34"/>
  <c r="E7990" i="34"/>
  <c r="E7991" i="34"/>
  <c r="E7992" i="34"/>
  <c r="E7993" i="34"/>
  <c r="E7994" i="34"/>
  <c r="E7995" i="34"/>
  <c r="E7996" i="34"/>
  <c r="E7997" i="34"/>
  <c r="E7998" i="34"/>
  <c r="E7999" i="34"/>
  <c r="E8000" i="34"/>
  <c r="E8001" i="34"/>
  <c r="E8002" i="34"/>
  <c r="E8003" i="34"/>
  <c r="E8004" i="34"/>
  <c r="E8005" i="34"/>
  <c r="E8006" i="34"/>
  <c r="E8007" i="34"/>
  <c r="E8008" i="34"/>
  <c r="E8009" i="34"/>
  <c r="E8010" i="34"/>
  <c r="E8011" i="34"/>
  <c r="E8012" i="34"/>
  <c r="E8013" i="34"/>
  <c r="E8014" i="34"/>
  <c r="E8015" i="34"/>
  <c r="E8016" i="34"/>
  <c r="E8017" i="34"/>
  <c r="E8018" i="34"/>
  <c r="E8019" i="34"/>
  <c r="E8020" i="34"/>
  <c r="E8021" i="34"/>
  <c r="E8022" i="34"/>
  <c r="E8023" i="34"/>
  <c r="E8024" i="34"/>
  <c r="E8025" i="34"/>
  <c r="E8026" i="34"/>
  <c r="E8027" i="34"/>
  <c r="E8028" i="34"/>
  <c r="E8029" i="34"/>
  <c r="E8030" i="34"/>
  <c r="E8031" i="34"/>
  <c r="E8032" i="34"/>
  <c r="E8033" i="34"/>
  <c r="E8034" i="34"/>
  <c r="E8035" i="34"/>
  <c r="E8036" i="34"/>
  <c r="E8037" i="34"/>
  <c r="E8038" i="34"/>
  <c r="E8039" i="34"/>
  <c r="E8040" i="34"/>
  <c r="E8041" i="34"/>
  <c r="E8042" i="34"/>
  <c r="E8043" i="34"/>
  <c r="E8044" i="34"/>
  <c r="E8045" i="34"/>
  <c r="E8046" i="34"/>
  <c r="E8047" i="34"/>
  <c r="E8048" i="34"/>
  <c r="E8049" i="34"/>
  <c r="E8050" i="34"/>
  <c r="E8051" i="34"/>
  <c r="E8052" i="34"/>
  <c r="E8053" i="34"/>
  <c r="E8054" i="34"/>
  <c r="E8055" i="34"/>
  <c r="E8056" i="34"/>
  <c r="E8057" i="34"/>
  <c r="E8058" i="34"/>
  <c r="E8059" i="34"/>
  <c r="E8060" i="34"/>
  <c r="E8061" i="34"/>
  <c r="E8062" i="34"/>
  <c r="E8063" i="34"/>
  <c r="E8064" i="34"/>
  <c r="E8065" i="34"/>
  <c r="E8066" i="34"/>
  <c r="E8067" i="34"/>
  <c r="E8068" i="34"/>
  <c r="E8069" i="34"/>
  <c r="E8070" i="34"/>
  <c r="E8071" i="34"/>
  <c r="E8072" i="34"/>
  <c r="E8073" i="34"/>
  <c r="E8074" i="34"/>
  <c r="E8075" i="34"/>
  <c r="E8076" i="34"/>
  <c r="E8077" i="34"/>
  <c r="E8078" i="34"/>
  <c r="E8079" i="34"/>
  <c r="E8080" i="34"/>
  <c r="E8081" i="34"/>
  <c r="E8082" i="34"/>
  <c r="E8083" i="34"/>
  <c r="E8084" i="34"/>
  <c r="E8085" i="34"/>
  <c r="E8086" i="34"/>
  <c r="E8087" i="34"/>
  <c r="E8088" i="34"/>
  <c r="E8089" i="34"/>
  <c r="E8090" i="34"/>
  <c r="E8091" i="34"/>
  <c r="E8092" i="34"/>
  <c r="E8093" i="34"/>
  <c r="E8094" i="34"/>
  <c r="E8095" i="34"/>
  <c r="E8096" i="34"/>
  <c r="E8097" i="34"/>
  <c r="E8098" i="34"/>
  <c r="E8099" i="34"/>
  <c r="E8100" i="34"/>
  <c r="E8101" i="34"/>
  <c r="E8102" i="34"/>
  <c r="E8103" i="34"/>
  <c r="E8104" i="34"/>
  <c r="E8105" i="34"/>
  <c r="E8106" i="34"/>
  <c r="E8107" i="34"/>
  <c r="E8108" i="34"/>
  <c r="E8109" i="34"/>
  <c r="E8110" i="34"/>
  <c r="E8111" i="34"/>
  <c r="E8112" i="34"/>
  <c r="E8113" i="34"/>
  <c r="E8114" i="34"/>
  <c r="E8115" i="34"/>
  <c r="E8116" i="34"/>
  <c r="E8117" i="34"/>
  <c r="E8118" i="34"/>
  <c r="E8119" i="34"/>
  <c r="E8120" i="34"/>
  <c r="E8121" i="34"/>
  <c r="E8122" i="34"/>
  <c r="E8123" i="34"/>
  <c r="E8124" i="34"/>
  <c r="E8125" i="34"/>
  <c r="E8126" i="34"/>
  <c r="E8127" i="34"/>
  <c r="E8128" i="34"/>
  <c r="E8129" i="34"/>
  <c r="E8130" i="34"/>
  <c r="E8131" i="34"/>
  <c r="E8132" i="34"/>
  <c r="E8133" i="34"/>
  <c r="E8134" i="34"/>
  <c r="E8135" i="34"/>
  <c r="E8136" i="34"/>
  <c r="E8137" i="34"/>
  <c r="E8138" i="34"/>
  <c r="E8139" i="34"/>
  <c r="E8140" i="34"/>
  <c r="E8141" i="34"/>
  <c r="E8142" i="34"/>
  <c r="E8143" i="34"/>
  <c r="E8144" i="34"/>
  <c r="E8145" i="34"/>
  <c r="E8146" i="34"/>
  <c r="E8147" i="34"/>
  <c r="E8148" i="34"/>
  <c r="E8149" i="34"/>
  <c r="E8150" i="34"/>
  <c r="E8151" i="34"/>
  <c r="E8152" i="34"/>
  <c r="E8153" i="34"/>
  <c r="E8154" i="34"/>
  <c r="E8155" i="34"/>
  <c r="E8156" i="34"/>
  <c r="E8157" i="34"/>
  <c r="E8158" i="34"/>
  <c r="E8159" i="34"/>
  <c r="E8160" i="34"/>
  <c r="E8161" i="34"/>
  <c r="E8162" i="34"/>
  <c r="E8163" i="34"/>
  <c r="E8164" i="34"/>
  <c r="E8165" i="34"/>
  <c r="E8166" i="34"/>
  <c r="E8167" i="34"/>
  <c r="E8168" i="34"/>
  <c r="E8169" i="34"/>
  <c r="E8170" i="34"/>
  <c r="E8171" i="34"/>
  <c r="E8172" i="34"/>
  <c r="E8173" i="34"/>
  <c r="E8174" i="34"/>
  <c r="E8175" i="34"/>
  <c r="E8176" i="34"/>
  <c r="E8177" i="34"/>
  <c r="E8178" i="34"/>
  <c r="E8179" i="34"/>
  <c r="E8180" i="34"/>
  <c r="E8181" i="34"/>
  <c r="E8182" i="34"/>
  <c r="E8183" i="34"/>
  <c r="E8184" i="34"/>
  <c r="E8185" i="34"/>
  <c r="E8186" i="34"/>
  <c r="E8187" i="34"/>
  <c r="E8188" i="34"/>
  <c r="E8189" i="34"/>
  <c r="E8190" i="34"/>
  <c r="E8191" i="34"/>
  <c r="E8192" i="34"/>
  <c r="E8193" i="34"/>
  <c r="E8194" i="34"/>
  <c r="E8195" i="34"/>
  <c r="E8196" i="34"/>
  <c r="E8197" i="34"/>
  <c r="E8198" i="34"/>
  <c r="E8199" i="34"/>
  <c r="E8200" i="34"/>
  <c r="E8201" i="34"/>
  <c r="E8202" i="34"/>
  <c r="E8203" i="34"/>
  <c r="E8204" i="34"/>
  <c r="E8205" i="34"/>
  <c r="E8206" i="34"/>
  <c r="E8207" i="34"/>
  <c r="E8208" i="34"/>
  <c r="E8209" i="34"/>
  <c r="E8210" i="34"/>
  <c r="E8211" i="34"/>
  <c r="E8212" i="34"/>
  <c r="E8213" i="34"/>
  <c r="E8214" i="34"/>
  <c r="E8215" i="34"/>
  <c r="E8216" i="34"/>
  <c r="E8217" i="34"/>
  <c r="E8218" i="34"/>
  <c r="E8219" i="34"/>
  <c r="E8220" i="34"/>
  <c r="E8221" i="34"/>
  <c r="E8222" i="34"/>
  <c r="E8223" i="34"/>
  <c r="E8224" i="34"/>
  <c r="E8225" i="34"/>
  <c r="E8226" i="34"/>
  <c r="E8227" i="34"/>
  <c r="E8228" i="34"/>
  <c r="E8229" i="34"/>
  <c r="E8230" i="34"/>
  <c r="E8231" i="34"/>
  <c r="E8232" i="34"/>
  <c r="E8233" i="34"/>
  <c r="E8234" i="34"/>
  <c r="E8235" i="34"/>
  <c r="E8236" i="34"/>
  <c r="E8237" i="34"/>
  <c r="E8238" i="34"/>
  <c r="E8239" i="34"/>
  <c r="E8240" i="34"/>
  <c r="E8241" i="34"/>
  <c r="E8242" i="34"/>
  <c r="E8243" i="34"/>
  <c r="E8244" i="34"/>
  <c r="E8245" i="34"/>
  <c r="E8246" i="34"/>
  <c r="E8247" i="34"/>
  <c r="E8248" i="34"/>
  <c r="E8249" i="34"/>
  <c r="E8250" i="34"/>
  <c r="E8251" i="34"/>
  <c r="E8252" i="34"/>
  <c r="E8253" i="34"/>
  <c r="E8254" i="34"/>
  <c r="E8255" i="34"/>
  <c r="E8256" i="34"/>
  <c r="E8257" i="34"/>
  <c r="E8258" i="34"/>
  <c r="E8259" i="34"/>
  <c r="E8260" i="34"/>
  <c r="E8261" i="34"/>
  <c r="E8262" i="34"/>
  <c r="E8263" i="34"/>
  <c r="E8264" i="34"/>
  <c r="E8265" i="34"/>
  <c r="E8266" i="34"/>
  <c r="E8267" i="34"/>
  <c r="E8268" i="34"/>
  <c r="E8269" i="34"/>
  <c r="E8270" i="34"/>
  <c r="E8271" i="34"/>
  <c r="E8272" i="34"/>
  <c r="E8273" i="34"/>
  <c r="E8274" i="34"/>
  <c r="E8275" i="34"/>
  <c r="E8276" i="34"/>
  <c r="E8277" i="34"/>
  <c r="E8278" i="34"/>
  <c r="E8279" i="34"/>
  <c r="E8280" i="34"/>
  <c r="E8281" i="34"/>
  <c r="E8282" i="34"/>
  <c r="E8283" i="34"/>
  <c r="E8284" i="34"/>
  <c r="E8285" i="34"/>
  <c r="E8286" i="34"/>
  <c r="E8287" i="34"/>
  <c r="E8288" i="34"/>
  <c r="E8289" i="34"/>
  <c r="E8290" i="34"/>
  <c r="E8291" i="34"/>
  <c r="E8292" i="34"/>
  <c r="E8293" i="34"/>
  <c r="E8294" i="34"/>
  <c r="E8295" i="34"/>
  <c r="E8296" i="34"/>
  <c r="E8297" i="34"/>
  <c r="E8298" i="34"/>
  <c r="E8299" i="34"/>
  <c r="E8300" i="34"/>
  <c r="E8301" i="34"/>
  <c r="E8302" i="34"/>
  <c r="E8303" i="34"/>
  <c r="E8304" i="34"/>
  <c r="E8305" i="34"/>
  <c r="E8306" i="34"/>
  <c r="E8307" i="34"/>
  <c r="E8308" i="34"/>
  <c r="E8309" i="34"/>
  <c r="E8310" i="34"/>
  <c r="E8311" i="34"/>
  <c r="E8312" i="34"/>
  <c r="E8313" i="34"/>
  <c r="E8314" i="34"/>
  <c r="E8315" i="34"/>
  <c r="E8316" i="34"/>
  <c r="E8317" i="34"/>
  <c r="E8318" i="34"/>
  <c r="E8319" i="34"/>
  <c r="E8320" i="34"/>
  <c r="E8321" i="34"/>
  <c r="E8322" i="34"/>
  <c r="E8323" i="34"/>
  <c r="E8324" i="34"/>
  <c r="E8325" i="34"/>
  <c r="E8326" i="34"/>
  <c r="E8327" i="34"/>
  <c r="E8328" i="34"/>
  <c r="E8329" i="34"/>
  <c r="E8330" i="34"/>
  <c r="E8331" i="34"/>
  <c r="E8332" i="34"/>
  <c r="E8333" i="34"/>
  <c r="E8334" i="34"/>
  <c r="E8335" i="34"/>
  <c r="E8336" i="34"/>
  <c r="E8337" i="34"/>
  <c r="E8338" i="34"/>
  <c r="E8339" i="34"/>
  <c r="E8340" i="34"/>
  <c r="E8341" i="34"/>
  <c r="E8342" i="34"/>
  <c r="E8343" i="34"/>
  <c r="E8344" i="34"/>
  <c r="E8345" i="34"/>
  <c r="E8346" i="34"/>
  <c r="E8347" i="34"/>
  <c r="E8348" i="34"/>
  <c r="E8349" i="34"/>
  <c r="E8350" i="34"/>
  <c r="E8351" i="34"/>
  <c r="E8352" i="34"/>
  <c r="E8353" i="34"/>
  <c r="E8354" i="34"/>
  <c r="E8355" i="34"/>
  <c r="E8356" i="34"/>
  <c r="E8357" i="34"/>
  <c r="E8358" i="34"/>
  <c r="E8359" i="34"/>
  <c r="E8360" i="34"/>
  <c r="E8361" i="34"/>
  <c r="E8362" i="34"/>
  <c r="E8363" i="34"/>
  <c r="E8364" i="34"/>
  <c r="E8365" i="34"/>
  <c r="E8366" i="34"/>
  <c r="E8367" i="34"/>
  <c r="E8368" i="34"/>
  <c r="E8369" i="34"/>
  <c r="E8370" i="34"/>
  <c r="E8371" i="34"/>
  <c r="E8372" i="34"/>
  <c r="E8373" i="34"/>
  <c r="E8374" i="34"/>
  <c r="E8375" i="34"/>
  <c r="E8376" i="34"/>
  <c r="E8377" i="34"/>
  <c r="E8378" i="34"/>
  <c r="E8379" i="34"/>
  <c r="E8380" i="34"/>
  <c r="E8381" i="34"/>
  <c r="E8382" i="34"/>
  <c r="E8383" i="34"/>
  <c r="E8384" i="34"/>
  <c r="E8385" i="34"/>
  <c r="E8386" i="34"/>
  <c r="E8387" i="34"/>
  <c r="E8388" i="34"/>
  <c r="E8389" i="34"/>
  <c r="E8390" i="34"/>
  <c r="E8391" i="34"/>
  <c r="E8392" i="34"/>
  <c r="E8393" i="34"/>
  <c r="E8394" i="34"/>
  <c r="E8395" i="34"/>
  <c r="E8396" i="34"/>
  <c r="E8397" i="34"/>
  <c r="E8398" i="34"/>
  <c r="E8399" i="34"/>
  <c r="E8400" i="34"/>
  <c r="E8401" i="34"/>
  <c r="E8402" i="34"/>
  <c r="E8403" i="34"/>
  <c r="E8404" i="34"/>
  <c r="E8405" i="34"/>
  <c r="E8406" i="34"/>
  <c r="E8407" i="34"/>
  <c r="E8408" i="34"/>
  <c r="E8409" i="34"/>
  <c r="E8410" i="34"/>
  <c r="E8411" i="34"/>
  <c r="E8412" i="34"/>
  <c r="E8413" i="34"/>
  <c r="E8414" i="34"/>
  <c r="E8415" i="34"/>
  <c r="E8416" i="34"/>
  <c r="E8417" i="34"/>
  <c r="E8418" i="34"/>
  <c r="E8419" i="34"/>
  <c r="E8420" i="34"/>
  <c r="E8421" i="34"/>
  <c r="E8422" i="34"/>
  <c r="E8423" i="34"/>
  <c r="E8424" i="34"/>
  <c r="E8425" i="34"/>
  <c r="E8426" i="34"/>
  <c r="E8427" i="34"/>
  <c r="E8428" i="34"/>
  <c r="E8429" i="34"/>
  <c r="E8430" i="34"/>
  <c r="E8431" i="34"/>
  <c r="E8432" i="34"/>
  <c r="E8433" i="34"/>
  <c r="E8434" i="34"/>
  <c r="E8435" i="34"/>
  <c r="E8436" i="34"/>
  <c r="E8437" i="34"/>
  <c r="E8438" i="34"/>
  <c r="E8439" i="34"/>
  <c r="E8440" i="34"/>
  <c r="E8441" i="34"/>
  <c r="E8442" i="34"/>
  <c r="E8443" i="34"/>
  <c r="E8444" i="34"/>
  <c r="E8445" i="34"/>
  <c r="E8446" i="34"/>
  <c r="E8447" i="34"/>
  <c r="E8448" i="34"/>
  <c r="E8449" i="34"/>
  <c r="E8450" i="34"/>
  <c r="E8451" i="34"/>
  <c r="E8452" i="34"/>
  <c r="E8453" i="34"/>
  <c r="E8454" i="34"/>
  <c r="E8455" i="34"/>
  <c r="E8456" i="34"/>
  <c r="E8457" i="34"/>
  <c r="E8458" i="34"/>
  <c r="E8459" i="34"/>
  <c r="E8460" i="34"/>
  <c r="E8461" i="34"/>
  <c r="E8462" i="34"/>
  <c r="E8463" i="34"/>
  <c r="E8464" i="34"/>
  <c r="E8465" i="34"/>
  <c r="E8466" i="34"/>
  <c r="E8467" i="34"/>
  <c r="E8468" i="34"/>
  <c r="E8469" i="34"/>
  <c r="E8470" i="34"/>
  <c r="E8471" i="34"/>
  <c r="E8472" i="34"/>
  <c r="E8473" i="34"/>
  <c r="E8474" i="34"/>
  <c r="E8475" i="34"/>
  <c r="E8476" i="34"/>
  <c r="E8477" i="34"/>
  <c r="E8478" i="34"/>
  <c r="E8479" i="34"/>
  <c r="E8480" i="34"/>
  <c r="E8481" i="34"/>
  <c r="E8482" i="34"/>
  <c r="E8483" i="34"/>
  <c r="E8484" i="34"/>
  <c r="E8485" i="34"/>
  <c r="E8486" i="34"/>
  <c r="E8487" i="34"/>
  <c r="E8488" i="34"/>
  <c r="E8489" i="34"/>
  <c r="E8490" i="34"/>
  <c r="E8491" i="34"/>
  <c r="E8492" i="34"/>
  <c r="E8493" i="34"/>
  <c r="E8494" i="34"/>
  <c r="E8495" i="34"/>
  <c r="E8496" i="34"/>
  <c r="E8497" i="34"/>
  <c r="E8498" i="34"/>
  <c r="E8499" i="34"/>
  <c r="E8500" i="34"/>
  <c r="E8501" i="34"/>
  <c r="E8502" i="34"/>
  <c r="E8503" i="34"/>
  <c r="E8504" i="34"/>
  <c r="E8505" i="34"/>
  <c r="E8506" i="34"/>
  <c r="E8507" i="34"/>
  <c r="E8508" i="34"/>
  <c r="E8509" i="34"/>
  <c r="E8510" i="34"/>
  <c r="E8511" i="34"/>
  <c r="E8512" i="34"/>
  <c r="E8513" i="34"/>
  <c r="E8514" i="34"/>
  <c r="E8515" i="34"/>
  <c r="E8516" i="34"/>
  <c r="E8517" i="34"/>
  <c r="E8518" i="34"/>
  <c r="E8519" i="34"/>
  <c r="E8520" i="34"/>
  <c r="E8521" i="34"/>
  <c r="E8522" i="34"/>
  <c r="E8523" i="34"/>
  <c r="E8524" i="34"/>
  <c r="E8525" i="34"/>
  <c r="E8526" i="34"/>
  <c r="E8527" i="34"/>
  <c r="E8528" i="34"/>
  <c r="E8529" i="34"/>
  <c r="E8530" i="34"/>
  <c r="E8531" i="34"/>
  <c r="E8532" i="34"/>
  <c r="E8533" i="34"/>
  <c r="E8534" i="34"/>
  <c r="E8535" i="34"/>
  <c r="E8536" i="34"/>
  <c r="E8537" i="34"/>
  <c r="E8538" i="34"/>
  <c r="E8539" i="34"/>
  <c r="E8540" i="34"/>
  <c r="E8541" i="34"/>
  <c r="E8542" i="34"/>
  <c r="E8543" i="34"/>
  <c r="E8544" i="34"/>
  <c r="E8545" i="34"/>
  <c r="E8546" i="34"/>
  <c r="E8547" i="34"/>
  <c r="E8548" i="34"/>
  <c r="E8549" i="34"/>
  <c r="E8550" i="34"/>
  <c r="E8551" i="34"/>
  <c r="E8552" i="34"/>
  <c r="E8553" i="34"/>
  <c r="E8554" i="34"/>
  <c r="E8555" i="34"/>
  <c r="E8556" i="34"/>
  <c r="E8557" i="34"/>
  <c r="E8558" i="34"/>
  <c r="E8559" i="34"/>
  <c r="E8560" i="34"/>
  <c r="E8561" i="34"/>
  <c r="E8562" i="34"/>
  <c r="E8563" i="34"/>
  <c r="E8564" i="34"/>
  <c r="E8565" i="34"/>
  <c r="E8566" i="34"/>
  <c r="E8567" i="34"/>
  <c r="E8568" i="34"/>
  <c r="E8569" i="34"/>
  <c r="E8570" i="34"/>
  <c r="E8571" i="34"/>
  <c r="E8572" i="34"/>
  <c r="E8573" i="34"/>
  <c r="E8574" i="34"/>
  <c r="E8575" i="34"/>
  <c r="E8576" i="34"/>
  <c r="E8577" i="34"/>
  <c r="E8578" i="34"/>
  <c r="E8579" i="34"/>
  <c r="E8580" i="34"/>
  <c r="E8581" i="34"/>
  <c r="E8582" i="34"/>
  <c r="E8583" i="34"/>
  <c r="E8584" i="34"/>
  <c r="E8585" i="34"/>
  <c r="E8586" i="34"/>
  <c r="E8587" i="34"/>
  <c r="E8588" i="34"/>
  <c r="E8589" i="34"/>
  <c r="E8590" i="34"/>
  <c r="E8591" i="34"/>
  <c r="E8592" i="34"/>
  <c r="E8593" i="34"/>
  <c r="E8594" i="34"/>
  <c r="E8595" i="34"/>
  <c r="E8596" i="34"/>
  <c r="E8597" i="34"/>
  <c r="E8598" i="34"/>
  <c r="E8599" i="34"/>
  <c r="E8600" i="34"/>
  <c r="E8601" i="34"/>
  <c r="E8602" i="34"/>
  <c r="E8603" i="34"/>
  <c r="E8604" i="34"/>
  <c r="E8605" i="34"/>
  <c r="E8606" i="34"/>
  <c r="E8607" i="34"/>
  <c r="E8608" i="34"/>
  <c r="E8609" i="34"/>
  <c r="E8610" i="34"/>
  <c r="E8611" i="34"/>
  <c r="E8612" i="34"/>
  <c r="E8613" i="34"/>
  <c r="E8614" i="34"/>
  <c r="E8615" i="34"/>
  <c r="E8616" i="34"/>
  <c r="E8617" i="34"/>
  <c r="E8618" i="34"/>
  <c r="E8619" i="34"/>
  <c r="E8620" i="34"/>
  <c r="E8621" i="34"/>
  <c r="E8622" i="34"/>
  <c r="E8623" i="34"/>
  <c r="E8624" i="34"/>
  <c r="E8625" i="34"/>
  <c r="E8626" i="34"/>
  <c r="E8627" i="34"/>
  <c r="E8628" i="34"/>
  <c r="E8629" i="34"/>
  <c r="E8630" i="34"/>
  <c r="E8631" i="34"/>
  <c r="E8632" i="34"/>
  <c r="E8633" i="34"/>
  <c r="E8634" i="34"/>
  <c r="E8635" i="34"/>
  <c r="E8636" i="34"/>
  <c r="E8637" i="34"/>
  <c r="E8638" i="34"/>
  <c r="E8639" i="34"/>
  <c r="E8640" i="34"/>
  <c r="E8641" i="34"/>
  <c r="E8642" i="34"/>
  <c r="E8643" i="34"/>
  <c r="E8644" i="34"/>
  <c r="E8645" i="34"/>
  <c r="E8646" i="34"/>
  <c r="E8647" i="34"/>
  <c r="E8648" i="34"/>
  <c r="E8649" i="34"/>
  <c r="E8650" i="34"/>
  <c r="E8651" i="34"/>
  <c r="E8652" i="34"/>
  <c r="E8653" i="34"/>
  <c r="E8654" i="34"/>
  <c r="E8655" i="34"/>
  <c r="E8656" i="34"/>
  <c r="E8657" i="34"/>
  <c r="E8658" i="34"/>
  <c r="E8659" i="34"/>
  <c r="E8660" i="34"/>
  <c r="E8661" i="34"/>
  <c r="E8662" i="34"/>
  <c r="E8663" i="34"/>
  <c r="E8664" i="34"/>
  <c r="E8665" i="34"/>
  <c r="E8666" i="34"/>
  <c r="E8667" i="34"/>
  <c r="E8668" i="34"/>
  <c r="E8669" i="34"/>
  <c r="E8670" i="34"/>
  <c r="E8671" i="34"/>
  <c r="E8672" i="34"/>
  <c r="E8673" i="34"/>
  <c r="E8674" i="34"/>
  <c r="E8675" i="34"/>
  <c r="E8676" i="34"/>
  <c r="E8677" i="34"/>
  <c r="E8678" i="34"/>
  <c r="E8679" i="34"/>
  <c r="E8680" i="34"/>
  <c r="E8681" i="34"/>
  <c r="E8682" i="34"/>
  <c r="E8683" i="34"/>
  <c r="E8684" i="34"/>
  <c r="E8685" i="34"/>
  <c r="E8686" i="34"/>
  <c r="E8687" i="34"/>
  <c r="E8688" i="34"/>
  <c r="E8689" i="34"/>
  <c r="E8690" i="34"/>
  <c r="E8691" i="34"/>
  <c r="E8692" i="34"/>
  <c r="E8693" i="34"/>
  <c r="E8694" i="34"/>
  <c r="E8695" i="34"/>
  <c r="E8696" i="34"/>
  <c r="E8697" i="34"/>
  <c r="E8698" i="34"/>
  <c r="E8699" i="34"/>
  <c r="E8700" i="34"/>
  <c r="E8701" i="34"/>
  <c r="E8702" i="34"/>
  <c r="E8703" i="34"/>
  <c r="E8704" i="34"/>
  <c r="E8705" i="34"/>
  <c r="E8706" i="34"/>
  <c r="E8707" i="34"/>
  <c r="E8708" i="34"/>
  <c r="E8709" i="34"/>
  <c r="E8710" i="34"/>
  <c r="E8711" i="34"/>
  <c r="E8712" i="34"/>
  <c r="E8713" i="34"/>
  <c r="E8714" i="34"/>
  <c r="E8715" i="34"/>
  <c r="E8716" i="34"/>
  <c r="E8717" i="34"/>
  <c r="E8718" i="34"/>
  <c r="E8719" i="34"/>
  <c r="E8720" i="34"/>
  <c r="E8721" i="34"/>
  <c r="E8722" i="34"/>
  <c r="E8723" i="34"/>
  <c r="E8724" i="34"/>
  <c r="E8725" i="34"/>
  <c r="E8726" i="34"/>
  <c r="E8727" i="34"/>
  <c r="E8728" i="34"/>
  <c r="E8729" i="34"/>
  <c r="E8730" i="34"/>
  <c r="E8731" i="34"/>
  <c r="E8732" i="34"/>
  <c r="E8733" i="34"/>
  <c r="E8734" i="34"/>
  <c r="E8735" i="34"/>
  <c r="E8736" i="34"/>
  <c r="E8737" i="34"/>
  <c r="E8738" i="34"/>
  <c r="E8739" i="34"/>
  <c r="E8740" i="34"/>
  <c r="E8741" i="34"/>
  <c r="E8742" i="34"/>
  <c r="E8743" i="34"/>
  <c r="E8744" i="34"/>
  <c r="E8745" i="34"/>
  <c r="E8746" i="34"/>
  <c r="E8747" i="34"/>
  <c r="E8748" i="34"/>
  <c r="E8749" i="34"/>
  <c r="E8750" i="34"/>
  <c r="E8751" i="34"/>
  <c r="E8752" i="34"/>
  <c r="E8753" i="34"/>
  <c r="E8754" i="34"/>
  <c r="E8755" i="34"/>
  <c r="E8756" i="34"/>
  <c r="E8757" i="34"/>
  <c r="E8758" i="34"/>
  <c r="E8759" i="34"/>
  <c r="E8760" i="34"/>
  <c r="E8761" i="34"/>
  <c r="E8762" i="34"/>
  <c r="E8763" i="34"/>
  <c r="E8764" i="34"/>
  <c r="E8765" i="34"/>
  <c r="E8766" i="34"/>
  <c r="E8767" i="34"/>
  <c r="E8768" i="34"/>
  <c r="E8769" i="34"/>
  <c r="E8770" i="34"/>
  <c r="E8771" i="34"/>
  <c r="E8772" i="34"/>
  <c r="E8773" i="34"/>
  <c r="E8774" i="34"/>
  <c r="E8775" i="34"/>
  <c r="E8776" i="34"/>
  <c r="E8777" i="34"/>
  <c r="E8778" i="34"/>
  <c r="E8779" i="34"/>
  <c r="E8780" i="34"/>
  <c r="E8781" i="34"/>
  <c r="E8782" i="34"/>
  <c r="E8783" i="34"/>
  <c r="E8784" i="34"/>
  <c r="E8785" i="34"/>
  <c r="E8786" i="34"/>
  <c r="E8787" i="34"/>
  <c r="E8788" i="34"/>
  <c r="E8789" i="34"/>
  <c r="E8790" i="34"/>
  <c r="E8791" i="34"/>
  <c r="E8792" i="34"/>
  <c r="E8793" i="34"/>
  <c r="E8794" i="34"/>
  <c r="E8795" i="34"/>
  <c r="E8796" i="34"/>
  <c r="E8797" i="34"/>
  <c r="E8798" i="34"/>
  <c r="E8799" i="34"/>
  <c r="E8800" i="34"/>
  <c r="E8801" i="34"/>
  <c r="E8802" i="34"/>
  <c r="E8803" i="34"/>
  <c r="E8804" i="34"/>
  <c r="E8805" i="34"/>
  <c r="E8806" i="34"/>
  <c r="E8807" i="34"/>
  <c r="E8808" i="34"/>
  <c r="E8809" i="34"/>
  <c r="E8810" i="34"/>
  <c r="E8811" i="34"/>
  <c r="E8812" i="34"/>
  <c r="E8813" i="34"/>
  <c r="E8814" i="34"/>
  <c r="E8815" i="34"/>
  <c r="E8816" i="34"/>
  <c r="E8817" i="34"/>
  <c r="E8818" i="34"/>
  <c r="E8819" i="34"/>
  <c r="E8820" i="34"/>
  <c r="E8821" i="34"/>
  <c r="E8822" i="34"/>
  <c r="E8823" i="34"/>
  <c r="E8824" i="34"/>
  <c r="E8825" i="34"/>
  <c r="E8826" i="34"/>
  <c r="E8827" i="34"/>
  <c r="E8828" i="34"/>
  <c r="E8829" i="34"/>
  <c r="E8830" i="34"/>
  <c r="E8831" i="34"/>
  <c r="E8832" i="34"/>
  <c r="E8833" i="34"/>
  <c r="E8834" i="34"/>
  <c r="E8835" i="34"/>
  <c r="E8836" i="34"/>
  <c r="E8837" i="34"/>
  <c r="E8838" i="34"/>
  <c r="E8839" i="34"/>
  <c r="E8840" i="34"/>
  <c r="E8841" i="34"/>
  <c r="E8842" i="34"/>
  <c r="E8843" i="34"/>
  <c r="E8844" i="34"/>
  <c r="E8845" i="34"/>
  <c r="E8846" i="34"/>
  <c r="E8847" i="34"/>
  <c r="E8848" i="34"/>
  <c r="E8849" i="34"/>
  <c r="E8850" i="34"/>
  <c r="E8851" i="34"/>
  <c r="E8852" i="34"/>
  <c r="E8853" i="34"/>
  <c r="E8854" i="34"/>
  <c r="E8855" i="34"/>
  <c r="E8856" i="34"/>
  <c r="E8857" i="34"/>
  <c r="E8858" i="34"/>
  <c r="E8859" i="34"/>
  <c r="E8860" i="34"/>
  <c r="E8861" i="34"/>
  <c r="E8862" i="34"/>
  <c r="E8863" i="34"/>
  <c r="E8864" i="34"/>
  <c r="E8865" i="34"/>
  <c r="E8866" i="34"/>
  <c r="E8867" i="34"/>
  <c r="E8868" i="34"/>
  <c r="E8869" i="34"/>
  <c r="E8870" i="34"/>
  <c r="E8871" i="34"/>
  <c r="E8872" i="34"/>
  <c r="E8873" i="34"/>
  <c r="E8874" i="34"/>
  <c r="E8875" i="34"/>
  <c r="E8876" i="34"/>
  <c r="E8877" i="34"/>
  <c r="E8878" i="34"/>
  <c r="E8879" i="34"/>
  <c r="E8880" i="34"/>
  <c r="E8881" i="34"/>
  <c r="E8882" i="34"/>
  <c r="E8883" i="34"/>
  <c r="E8884" i="34"/>
  <c r="E8885" i="34"/>
  <c r="E8886" i="34"/>
  <c r="E8887" i="34"/>
  <c r="E8888" i="34"/>
  <c r="E8889" i="34"/>
  <c r="E8890" i="34"/>
  <c r="E8891" i="34"/>
  <c r="E8892" i="34"/>
  <c r="E8893" i="34"/>
  <c r="E8894" i="34"/>
  <c r="E8895" i="34"/>
  <c r="E8896" i="34"/>
  <c r="E8897" i="34"/>
  <c r="E8898" i="34"/>
  <c r="E8899" i="34"/>
  <c r="E8900" i="34"/>
  <c r="E8901" i="34"/>
  <c r="E8902" i="34"/>
  <c r="E8903" i="34"/>
  <c r="E8904" i="34"/>
  <c r="E8905" i="34"/>
  <c r="E8906" i="34"/>
  <c r="E8907" i="34"/>
  <c r="E8908" i="34"/>
  <c r="E8909" i="34"/>
  <c r="E8910" i="34"/>
  <c r="E8911" i="34"/>
  <c r="E8912" i="34"/>
  <c r="E8913" i="34"/>
  <c r="E8914" i="34"/>
  <c r="E8915" i="34"/>
  <c r="E8916" i="34"/>
  <c r="E8917" i="34"/>
  <c r="E8918" i="34"/>
  <c r="E8919" i="34"/>
  <c r="E8920" i="34"/>
  <c r="E8921" i="34"/>
  <c r="E8922" i="34"/>
  <c r="E8923" i="34"/>
  <c r="E8924" i="34"/>
  <c r="E8925" i="34"/>
  <c r="E8926" i="34"/>
  <c r="E8927" i="34"/>
  <c r="E8928" i="34"/>
  <c r="E8929" i="34"/>
  <c r="E8930" i="34"/>
  <c r="E8931" i="34"/>
  <c r="E8932" i="34"/>
  <c r="E8933" i="34"/>
  <c r="E8934" i="34"/>
  <c r="E8935" i="34"/>
  <c r="E8936" i="34"/>
  <c r="E8937" i="34"/>
  <c r="E8938" i="34"/>
  <c r="E8939" i="34"/>
  <c r="E8940" i="34"/>
  <c r="E8941" i="34"/>
  <c r="E8942" i="34"/>
  <c r="E8943" i="34"/>
  <c r="E8944" i="34"/>
  <c r="E8945" i="34"/>
  <c r="E8946" i="34"/>
  <c r="E8947" i="34"/>
  <c r="E8948" i="34"/>
  <c r="E8949" i="34"/>
  <c r="E8950" i="34"/>
  <c r="E8951" i="34"/>
  <c r="E8952" i="34"/>
  <c r="E8953" i="34"/>
  <c r="E8954" i="34"/>
  <c r="E8955" i="34"/>
  <c r="E8956" i="34"/>
  <c r="E8957" i="34"/>
  <c r="E8958" i="34"/>
  <c r="E8959" i="34"/>
  <c r="E8960" i="34"/>
  <c r="E8961" i="34"/>
  <c r="E8962" i="34"/>
  <c r="E8963" i="34"/>
  <c r="E8964" i="34"/>
  <c r="E8965" i="34"/>
  <c r="E8966" i="34"/>
  <c r="E8967" i="34"/>
  <c r="E8968" i="34"/>
  <c r="E8969" i="34"/>
  <c r="E8970" i="34"/>
  <c r="E8971" i="34"/>
  <c r="E8972" i="34"/>
  <c r="E8973" i="34"/>
  <c r="E8974" i="34"/>
  <c r="E8975" i="34"/>
  <c r="E8976" i="34"/>
  <c r="E8977" i="34"/>
  <c r="E8978" i="34"/>
  <c r="E8979" i="34"/>
  <c r="E8980" i="34"/>
  <c r="E8981" i="34"/>
  <c r="E8982" i="34"/>
  <c r="E8983" i="34"/>
  <c r="E8984" i="34"/>
  <c r="E8985" i="34"/>
  <c r="E8986" i="34"/>
  <c r="E8987" i="34"/>
  <c r="E8988" i="34"/>
  <c r="E8989" i="34"/>
  <c r="E8990" i="34"/>
  <c r="E8991" i="34"/>
  <c r="E8992" i="34"/>
  <c r="E8993" i="34"/>
  <c r="E8994" i="34"/>
  <c r="E8995" i="34"/>
  <c r="E8996" i="34"/>
  <c r="E8997" i="34"/>
  <c r="E8998" i="34"/>
  <c r="E8999" i="34"/>
  <c r="E9000" i="34"/>
  <c r="E9001" i="34"/>
  <c r="E9002" i="34"/>
  <c r="E9003" i="34"/>
  <c r="E9004" i="34"/>
  <c r="E9005" i="34"/>
  <c r="E9006" i="34"/>
  <c r="E9007" i="34"/>
  <c r="E9008" i="34"/>
  <c r="E9009" i="34"/>
  <c r="E9010" i="34"/>
  <c r="E9011" i="34"/>
  <c r="E9012" i="34"/>
  <c r="E9013" i="34"/>
  <c r="E9014" i="34"/>
  <c r="E9015" i="34"/>
  <c r="E9016" i="34"/>
  <c r="E9017" i="34"/>
  <c r="E9018" i="34"/>
  <c r="E9019" i="34"/>
  <c r="E9020" i="34"/>
  <c r="E9021" i="34"/>
  <c r="E9022" i="34"/>
  <c r="E9023" i="34"/>
  <c r="E9024" i="34"/>
  <c r="E9025" i="34"/>
  <c r="E9026" i="34"/>
  <c r="E9027" i="34"/>
  <c r="E9028" i="34"/>
  <c r="E9029" i="34"/>
  <c r="E9030" i="34"/>
  <c r="E9031" i="34"/>
  <c r="E9032" i="34"/>
  <c r="E9033" i="34"/>
  <c r="E9034" i="34"/>
  <c r="E9035" i="34"/>
  <c r="E9036" i="34"/>
  <c r="E9037" i="34"/>
  <c r="E9038" i="34"/>
  <c r="E9039" i="34"/>
  <c r="E9040" i="34"/>
  <c r="E9041" i="34"/>
  <c r="E9042" i="34"/>
  <c r="E9043" i="34"/>
  <c r="E9044" i="34"/>
  <c r="E9045" i="34"/>
  <c r="E9046" i="34"/>
  <c r="E9047" i="34"/>
  <c r="E9048" i="34"/>
  <c r="E9049" i="34"/>
  <c r="E9050" i="34"/>
  <c r="E9051" i="34"/>
  <c r="E9052" i="34"/>
  <c r="E9053" i="34"/>
  <c r="E9054" i="34"/>
  <c r="E9055" i="34"/>
  <c r="E9056" i="34"/>
  <c r="E9057" i="34"/>
  <c r="E9058" i="34"/>
  <c r="E9059" i="34"/>
  <c r="E9060" i="34"/>
  <c r="E9061" i="34"/>
  <c r="E9062" i="34"/>
  <c r="E9063" i="34"/>
  <c r="E9064" i="34"/>
  <c r="E9065" i="34"/>
  <c r="E9066" i="34"/>
  <c r="E9067" i="34"/>
  <c r="E9068" i="34"/>
  <c r="E9069" i="34"/>
  <c r="E9070" i="34"/>
  <c r="E9071" i="34"/>
  <c r="E9072" i="34"/>
  <c r="E9073" i="34"/>
  <c r="E9074" i="34"/>
  <c r="E9075" i="34"/>
  <c r="E9076" i="34"/>
  <c r="E9077" i="34"/>
  <c r="E9078" i="34"/>
  <c r="E9079" i="34"/>
  <c r="E9080" i="34"/>
  <c r="E9081" i="34"/>
  <c r="E9082" i="34"/>
  <c r="E9083" i="34"/>
  <c r="E9084" i="34"/>
  <c r="E9085" i="34"/>
  <c r="E9086" i="34"/>
  <c r="E9087" i="34"/>
  <c r="E9088" i="34"/>
  <c r="E9089" i="34"/>
  <c r="E9090" i="34"/>
  <c r="E9091" i="34"/>
  <c r="E9092" i="34"/>
  <c r="E9093" i="34"/>
  <c r="E9094" i="34"/>
  <c r="E9095" i="34"/>
  <c r="E9096" i="34"/>
  <c r="E9097" i="34"/>
  <c r="E9098" i="34"/>
  <c r="E9099" i="34"/>
  <c r="E9100" i="34"/>
  <c r="E9101" i="34"/>
  <c r="E9102" i="34"/>
  <c r="E9103" i="34"/>
  <c r="E9104" i="34"/>
  <c r="E9105" i="34"/>
  <c r="E9106" i="34"/>
  <c r="E9107" i="34"/>
  <c r="E9108" i="34"/>
  <c r="E9109" i="34"/>
  <c r="E9110" i="34"/>
  <c r="E9111" i="34"/>
  <c r="E9112" i="34"/>
  <c r="E9113" i="34"/>
  <c r="E9114" i="34"/>
  <c r="E9115" i="34"/>
  <c r="E9116" i="34"/>
  <c r="E9117" i="34"/>
  <c r="E9118" i="34"/>
  <c r="E9119" i="34"/>
  <c r="E9120" i="34"/>
  <c r="E9121" i="34"/>
  <c r="E9122" i="34"/>
  <c r="E9123" i="34"/>
  <c r="E9124" i="34"/>
  <c r="E9125" i="34"/>
  <c r="E9126" i="34"/>
  <c r="E9127" i="34"/>
  <c r="E9128" i="34"/>
  <c r="E9129" i="34"/>
  <c r="E9130" i="34"/>
  <c r="E9131" i="34"/>
  <c r="E9132" i="34"/>
  <c r="E9133" i="34"/>
  <c r="E9134" i="34"/>
  <c r="E9135" i="34"/>
  <c r="E9136" i="34"/>
  <c r="E9137" i="34"/>
  <c r="E9138" i="34"/>
  <c r="E9139" i="34"/>
  <c r="E9140" i="34"/>
  <c r="E9141" i="34"/>
  <c r="E9142" i="34"/>
  <c r="E9143" i="34"/>
  <c r="E9144" i="34"/>
  <c r="E9145" i="34"/>
  <c r="E9146" i="34"/>
  <c r="E9147" i="34"/>
  <c r="E9148" i="34"/>
  <c r="E9149" i="34"/>
  <c r="E9150" i="34"/>
  <c r="E9151" i="34"/>
  <c r="E9152" i="34"/>
  <c r="E9153" i="34"/>
  <c r="E9154" i="34"/>
  <c r="E9155" i="34"/>
  <c r="E9156" i="34"/>
  <c r="E9157" i="34"/>
  <c r="E9158" i="34"/>
  <c r="E9159" i="34"/>
  <c r="E9160" i="34"/>
  <c r="E9161" i="34"/>
  <c r="E9162" i="34"/>
  <c r="E9163" i="34"/>
  <c r="E9164" i="34"/>
  <c r="E9165" i="34"/>
  <c r="E9166" i="34"/>
  <c r="E9167" i="34"/>
  <c r="E9168" i="34"/>
  <c r="E9169" i="34"/>
  <c r="E9170" i="34"/>
  <c r="E9171" i="34"/>
  <c r="E9172" i="34"/>
  <c r="E9173" i="34"/>
  <c r="E9174" i="34"/>
  <c r="E9175" i="34"/>
  <c r="E9176" i="34"/>
  <c r="E9177" i="34"/>
  <c r="E9178" i="34"/>
  <c r="E9179" i="34"/>
  <c r="E9180" i="34"/>
  <c r="E9181" i="34"/>
  <c r="E9182" i="34"/>
  <c r="E9183" i="34"/>
  <c r="E9184" i="34"/>
  <c r="E9185" i="34"/>
  <c r="E9186" i="34"/>
  <c r="E9187" i="34"/>
  <c r="E9188" i="34"/>
  <c r="E9189" i="34"/>
  <c r="E9190" i="34"/>
  <c r="E9191" i="34"/>
  <c r="E9192" i="34"/>
  <c r="E9193" i="34"/>
  <c r="E9194" i="34"/>
  <c r="E9195" i="34"/>
  <c r="E9196" i="34"/>
  <c r="E9197" i="34"/>
  <c r="E9198" i="34"/>
  <c r="E9199" i="34"/>
  <c r="E9200" i="34"/>
  <c r="E9201" i="34"/>
  <c r="E9202" i="34"/>
  <c r="E9203" i="34"/>
  <c r="E9204" i="34"/>
  <c r="E9205" i="34"/>
  <c r="E9206" i="34"/>
  <c r="E9207" i="34"/>
  <c r="E9208" i="34"/>
  <c r="E9209" i="34"/>
  <c r="E9210" i="34"/>
  <c r="E9211" i="34"/>
  <c r="E9212" i="34"/>
  <c r="E9213" i="34"/>
  <c r="E9214" i="34"/>
  <c r="E9215" i="34"/>
  <c r="E9216" i="34"/>
  <c r="E9217" i="34"/>
  <c r="E9218" i="34"/>
  <c r="E9219" i="34"/>
  <c r="E9220" i="34"/>
  <c r="E9221" i="34"/>
  <c r="E9222" i="34"/>
  <c r="E9223" i="34"/>
  <c r="E9224" i="34"/>
  <c r="E9225" i="34"/>
  <c r="E9226" i="34"/>
  <c r="E9227" i="34"/>
  <c r="E9228" i="34"/>
  <c r="E9229" i="34"/>
  <c r="E9230" i="34"/>
  <c r="E9231" i="34"/>
  <c r="E9232" i="34"/>
  <c r="E9233" i="34"/>
  <c r="E9234" i="34"/>
  <c r="E9235" i="34"/>
  <c r="E9236" i="34"/>
  <c r="E9237" i="34"/>
  <c r="E9238" i="34"/>
  <c r="E9239" i="34"/>
  <c r="E9240" i="34"/>
  <c r="E9241" i="34"/>
  <c r="E9242" i="34"/>
  <c r="E9243" i="34"/>
  <c r="E9244" i="34"/>
  <c r="E9245" i="34"/>
  <c r="E9246" i="34"/>
  <c r="E9247" i="34"/>
  <c r="E9248" i="34"/>
  <c r="E9249" i="34"/>
  <c r="E9250" i="34"/>
  <c r="E9251" i="34"/>
  <c r="E9252" i="34"/>
  <c r="E9253" i="34"/>
  <c r="E9254" i="34"/>
  <c r="E9255" i="34"/>
  <c r="E9256" i="34"/>
  <c r="E9257" i="34"/>
  <c r="E9258" i="34"/>
  <c r="E9259" i="34"/>
  <c r="E9260" i="34"/>
  <c r="E9261" i="34"/>
  <c r="E9262" i="34"/>
  <c r="E9263" i="34"/>
  <c r="E9264" i="34"/>
  <c r="E9265" i="34"/>
  <c r="E9266" i="34"/>
  <c r="E9267" i="34"/>
  <c r="E9268" i="34"/>
  <c r="E9269" i="34"/>
  <c r="E9270" i="34"/>
  <c r="E9271" i="34"/>
  <c r="E9272" i="34"/>
  <c r="E9273" i="34"/>
  <c r="E9274" i="34"/>
  <c r="E9275" i="34"/>
  <c r="E9276" i="34"/>
  <c r="E9277" i="34"/>
  <c r="E9278" i="34"/>
  <c r="E9279" i="34"/>
  <c r="E9280" i="34"/>
  <c r="E9281" i="34"/>
  <c r="E9282" i="34"/>
  <c r="E9283" i="34"/>
  <c r="E9284" i="34"/>
  <c r="E9285" i="34"/>
  <c r="E9286" i="34"/>
  <c r="E9287" i="34"/>
  <c r="E9288" i="34"/>
  <c r="E9289" i="34"/>
  <c r="E9290" i="34"/>
  <c r="E9291" i="34"/>
  <c r="E9292" i="34"/>
  <c r="E9293" i="34"/>
  <c r="E9294" i="34"/>
  <c r="E9295" i="34"/>
  <c r="E9296" i="34"/>
  <c r="E9297" i="34"/>
  <c r="E9298" i="34"/>
  <c r="E9299" i="34"/>
  <c r="E9300" i="34"/>
  <c r="E9301" i="34"/>
  <c r="E9302" i="34"/>
  <c r="E9303" i="34"/>
  <c r="E9304" i="34"/>
  <c r="E9305" i="34"/>
  <c r="E9306" i="34"/>
  <c r="E9307" i="34"/>
  <c r="E9308" i="34"/>
  <c r="E9309" i="34"/>
  <c r="E9310" i="34"/>
  <c r="E9311" i="34"/>
  <c r="E9312" i="34"/>
  <c r="E9313" i="34"/>
  <c r="E9314" i="34"/>
  <c r="E9315" i="34"/>
  <c r="E9316" i="34"/>
  <c r="E9317" i="34"/>
  <c r="E9318" i="34"/>
  <c r="E9319" i="34"/>
  <c r="E9320" i="34"/>
  <c r="E9321" i="34"/>
  <c r="E9322" i="34"/>
  <c r="E9323" i="34"/>
  <c r="E9324" i="34"/>
  <c r="E9325" i="34"/>
  <c r="E9326" i="34"/>
  <c r="E9327" i="34"/>
  <c r="E9328" i="34"/>
  <c r="E9329" i="34"/>
  <c r="E9330" i="34"/>
  <c r="E9331" i="34"/>
  <c r="E9332" i="34"/>
  <c r="E9333" i="34"/>
  <c r="E9334" i="34"/>
  <c r="E9335" i="34"/>
  <c r="E9336" i="34"/>
  <c r="E9337" i="34"/>
  <c r="E9338" i="34"/>
  <c r="E9339" i="34"/>
  <c r="E9340" i="34"/>
  <c r="E9341" i="34"/>
  <c r="E9342" i="34"/>
  <c r="E9343" i="34"/>
  <c r="E9344" i="34"/>
  <c r="E9345" i="34"/>
  <c r="E9346" i="34"/>
  <c r="E9347" i="34"/>
  <c r="E9348" i="34"/>
  <c r="E9349" i="34"/>
  <c r="E9350" i="34"/>
  <c r="E9351" i="34"/>
  <c r="E9352" i="34"/>
  <c r="E9353" i="34"/>
  <c r="E9354" i="34"/>
  <c r="E9355" i="34"/>
  <c r="E9356" i="34"/>
  <c r="E9357" i="34"/>
  <c r="E9358" i="34"/>
  <c r="E9359" i="34"/>
  <c r="E9360" i="34"/>
  <c r="E9361" i="34"/>
  <c r="E9362" i="34"/>
  <c r="E9363" i="34"/>
  <c r="E9364" i="34"/>
  <c r="E9365" i="34"/>
  <c r="E9366" i="34"/>
  <c r="E9367" i="34"/>
  <c r="E9368" i="34"/>
  <c r="E9369" i="34"/>
  <c r="E9370" i="34"/>
  <c r="E9371" i="34"/>
  <c r="E9372" i="34"/>
  <c r="E9373" i="34"/>
  <c r="E9374" i="34"/>
  <c r="E9375" i="34"/>
  <c r="E9376" i="34"/>
  <c r="E9377" i="34"/>
  <c r="E9378" i="34"/>
  <c r="E9379" i="34"/>
  <c r="E9380" i="34"/>
  <c r="E9381" i="34"/>
  <c r="E9382" i="34"/>
  <c r="E9383" i="34"/>
  <c r="E9384" i="34"/>
  <c r="E9385" i="34"/>
  <c r="E9386" i="34"/>
  <c r="E9387" i="34"/>
  <c r="E9388" i="34"/>
  <c r="E9389" i="34"/>
  <c r="E9390" i="34"/>
  <c r="E9391" i="34"/>
  <c r="E9392" i="34"/>
  <c r="E9393" i="34"/>
  <c r="E9394" i="34"/>
  <c r="E9395" i="34"/>
  <c r="E9396" i="34"/>
  <c r="E9397" i="34"/>
  <c r="E9398" i="34"/>
  <c r="E9399" i="34"/>
  <c r="E9400" i="34"/>
  <c r="E9401" i="34"/>
  <c r="E9402" i="34"/>
  <c r="E9403" i="34"/>
  <c r="E9404" i="34"/>
  <c r="E9405" i="34"/>
  <c r="E9406" i="34"/>
  <c r="E9407" i="34"/>
  <c r="E9408" i="34"/>
  <c r="E9409" i="34"/>
  <c r="E9410" i="34"/>
  <c r="E9411" i="34"/>
  <c r="E9412" i="34"/>
  <c r="E9413" i="34"/>
  <c r="E9414" i="34"/>
  <c r="E9415" i="34"/>
  <c r="E9416" i="34"/>
  <c r="E9417" i="34"/>
  <c r="E9418" i="34"/>
  <c r="E9419" i="34"/>
  <c r="E9420" i="34"/>
  <c r="E9421" i="34"/>
  <c r="E9422" i="34"/>
  <c r="E9423" i="34"/>
  <c r="E9424" i="34"/>
  <c r="E9425" i="34"/>
  <c r="E9426" i="34"/>
  <c r="E9427" i="34"/>
  <c r="E9428" i="34"/>
  <c r="E9429" i="34"/>
  <c r="E9430" i="34"/>
  <c r="E9431" i="34"/>
  <c r="E9432" i="34"/>
  <c r="E9433" i="34"/>
  <c r="E9434" i="34"/>
  <c r="E9435" i="34"/>
  <c r="E9436" i="34"/>
  <c r="E9437" i="34"/>
  <c r="E9438" i="34"/>
  <c r="E9439" i="34"/>
  <c r="E9440" i="34"/>
  <c r="E9441" i="34"/>
  <c r="E9442" i="34"/>
  <c r="E9443" i="34"/>
  <c r="E9444" i="34"/>
  <c r="E9445" i="34"/>
  <c r="E9446" i="34"/>
  <c r="E9447" i="34"/>
  <c r="E9448" i="34"/>
  <c r="E9449" i="34"/>
  <c r="E9450" i="34"/>
  <c r="E9451" i="34"/>
  <c r="E9452" i="34"/>
  <c r="E9453" i="34"/>
  <c r="E9454" i="34"/>
  <c r="E9455" i="34"/>
  <c r="E9456" i="34"/>
  <c r="E9457" i="34"/>
  <c r="E9458" i="34"/>
  <c r="E9459" i="34"/>
  <c r="E9460" i="34"/>
  <c r="E9461" i="34"/>
  <c r="E9462" i="34"/>
  <c r="E9463" i="34"/>
  <c r="E9464" i="34"/>
  <c r="E9465" i="34"/>
  <c r="E9466" i="34"/>
  <c r="E9467" i="34"/>
  <c r="E9468" i="34"/>
  <c r="E9469" i="34"/>
  <c r="E9470" i="34"/>
  <c r="E9471" i="34"/>
  <c r="E9472" i="34"/>
  <c r="E9473" i="34"/>
  <c r="E9474" i="34"/>
  <c r="E9475" i="34"/>
  <c r="E9476" i="34"/>
  <c r="E9477" i="34"/>
  <c r="E9478" i="34"/>
  <c r="E9479" i="34"/>
  <c r="E9480" i="34"/>
  <c r="E9481" i="34"/>
  <c r="E9482" i="34"/>
  <c r="E9483" i="34"/>
  <c r="E9484" i="34"/>
  <c r="E9485" i="34"/>
  <c r="E9486" i="34"/>
  <c r="E9487" i="34"/>
  <c r="E9488" i="34"/>
  <c r="E9489" i="34"/>
  <c r="E9490" i="34"/>
  <c r="E9491" i="34"/>
  <c r="E9492" i="34"/>
  <c r="E9493" i="34"/>
  <c r="E9494" i="34"/>
  <c r="E9495" i="34"/>
  <c r="E9496" i="34"/>
  <c r="E9497" i="34"/>
  <c r="E9498" i="34"/>
  <c r="E9499" i="34"/>
  <c r="E9500" i="34"/>
  <c r="E9501" i="34"/>
  <c r="E9502" i="34"/>
  <c r="E9503" i="34"/>
  <c r="E9504" i="34"/>
  <c r="E9505" i="34"/>
  <c r="E9506" i="34"/>
  <c r="E9507" i="34"/>
  <c r="E9508" i="34"/>
  <c r="E9509" i="34"/>
  <c r="E9510" i="34"/>
  <c r="E9511" i="34"/>
  <c r="E9512" i="34"/>
  <c r="E9513" i="34"/>
  <c r="E9514" i="34"/>
  <c r="E9515" i="34"/>
  <c r="E9516" i="34"/>
  <c r="E9517" i="34"/>
  <c r="E9518" i="34"/>
  <c r="E9519" i="34"/>
  <c r="E9520" i="34"/>
  <c r="E9521" i="34"/>
  <c r="E9522" i="34"/>
  <c r="E9523" i="34"/>
  <c r="E9524" i="34"/>
  <c r="E9525" i="34"/>
  <c r="E9526" i="34"/>
  <c r="E9527" i="34"/>
  <c r="E9528" i="34"/>
  <c r="E9529" i="34"/>
  <c r="E9530" i="34"/>
  <c r="E9531" i="34"/>
  <c r="E9532" i="34"/>
  <c r="E9533" i="34"/>
  <c r="E9534" i="34"/>
  <c r="E9535" i="34"/>
  <c r="E9536" i="34"/>
  <c r="E9537" i="34"/>
  <c r="E9538" i="34"/>
  <c r="E9539" i="34"/>
  <c r="E9540" i="34"/>
  <c r="E9541" i="34"/>
  <c r="E9542" i="34"/>
  <c r="E9543" i="34"/>
  <c r="E9544" i="34"/>
  <c r="E9545" i="34"/>
  <c r="E9546" i="34"/>
  <c r="E9547" i="34"/>
  <c r="E9548" i="34"/>
  <c r="E9549" i="34"/>
  <c r="E9550" i="34"/>
  <c r="E9551" i="34"/>
  <c r="E9552" i="34"/>
  <c r="E9553" i="34"/>
  <c r="E9554" i="34"/>
  <c r="E9555" i="34"/>
  <c r="E9556" i="34"/>
  <c r="E9557" i="34"/>
  <c r="E9558" i="34"/>
  <c r="E9559" i="34"/>
  <c r="E9560" i="34"/>
  <c r="E9561" i="34"/>
  <c r="E9562" i="34"/>
  <c r="E9563" i="34"/>
  <c r="E9564" i="34"/>
  <c r="E9565" i="34"/>
  <c r="E9566" i="34"/>
  <c r="E9567" i="34"/>
  <c r="E9568" i="34"/>
  <c r="E9569" i="34"/>
  <c r="E9570" i="34"/>
  <c r="E9571" i="34"/>
  <c r="E9572" i="34"/>
  <c r="E9573" i="34"/>
  <c r="E9574" i="34"/>
  <c r="E9575" i="34"/>
  <c r="E9576" i="34"/>
  <c r="E9577" i="34"/>
  <c r="E9578" i="34"/>
  <c r="E9579" i="34"/>
  <c r="E9580" i="34"/>
  <c r="E9581" i="34"/>
  <c r="E9582" i="34"/>
  <c r="E9583" i="34"/>
  <c r="E9584" i="34"/>
  <c r="E9585" i="34"/>
  <c r="E9586" i="34"/>
  <c r="E9587" i="34"/>
  <c r="E9588" i="34"/>
  <c r="E9589" i="34"/>
  <c r="E9590" i="34"/>
  <c r="E9591" i="34"/>
  <c r="E9592" i="34"/>
  <c r="E9593" i="34"/>
  <c r="E9594" i="34"/>
  <c r="E9595" i="34"/>
  <c r="E9596" i="34"/>
  <c r="E9597" i="34"/>
  <c r="E9598" i="34"/>
  <c r="E9599" i="34"/>
  <c r="E9600" i="34"/>
  <c r="E9601" i="34"/>
  <c r="E9602" i="34"/>
  <c r="E9603" i="34"/>
  <c r="E9604" i="34"/>
  <c r="E9605" i="34"/>
  <c r="E9606" i="34"/>
  <c r="E9607" i="34"/>
  <c r="E9608" i="34"/>
  <c r="E9609" i="34"/>
  <c r="E9610" i="34"/>
  <c r="E9611" i="34"/>
  <c r="E9612" i="34"/>
  <c r="E9613" i="34"/>
  <c r="E9614" i="34"/>
  <c r="E9615" i="34"/>
  <c r="E9616" i="34"/>
  <c r="E9617" i="34"/>
  <c r="E9618" i="34"/>
  <c r="E9619" i="34"/>
  <c r="E9620" i="34"/>
  <c r="E9621" i="34"/>
  <c r="E9622" i="34"/>
  <c r="E9623" i="34"/>
  <c r="E9624" i="34"/>
  <c r="E9625" i="34"/>
  <c r="E9626" i="34"/>
  <c r="E9627" i="34"/>
  <c r="E9628" i="34"/>
  <c r="E9629" i="34"/>
  <c r="E9630" i="34"/>
  <c r="E9631" i="34"/>
  <c r="E9632" i="34"/>
  <c r="E9633" i="34"/>
  <c r="E9634" i="34"/>
  <c r="E9635" i="34"/>
  <c r="E9636" i="34"/>
  <c r="E9637" i="34"/>
  <c r="E9638" i="34"/>
  <c r="E9639" i="34"/>
  <c r="E9640" i="34"/>
  <c r="E9641" i="34"/>
  <c r="E9642" i="34"/>
  <c r="E9643" i="34"/>
  <c r="E9644" i="34"/>
  <c r="E9645" i="34"/>
  <c r="E9646" i="34"/>
  <c r="E9647" i="34"/>
  <c r="E9648" i="34"/>
  <c r="E9649" i="34"/>
  <c r="E9650" i="34"/>
  <c r="E9651" i="34"/>
  <c r="E9652" i="34"/>
  <c r="E9653" i="34"/>
  <c r="E9654" i="34"/>
  <c r="E9655" i="34"/>
  <c r="E9656" i="34"/>
  <c r="E9657" i="34"/>
  <c r="E9658" i="34"/>
  <c r="E9659" i="34"/>
  <c r="E9660" i="34"/>
  <c r="E9661" i="34"/>
  <c r="E9662" i="34"/>
  <c r="E9663" i="34"/>
  <c r="E9664" i="34"/>
  <c r="E9665" i="34"/>
  <c r="E9666" i="34"/>
  <c r="E9667" i="34"/>
  <c r="E9668" i="34"/>
  <c r="E9669" i="34"/>
  <c r="E9670" i="34"/>
  <c r="E9671" i="34"/>
  <c r="E9672" i="34"/>
  <c r="E9673" i="34"/>
  <c r="E9674" i="34"/>
  <c r="E9675" i="34"/>
  <c r="E9676" i="34"/>
  <c r="E9677" i="34"/>
  <c r="E9678" i="34"/>
  <c r="E9679" i="34"/>
  <c r="E9680" i="34"/>
  <c r="E9681" i="34"/>
  <c r="E9682" i="34"/>
  <c r="E9683" i="34"/>
  <c r="E9684" i="34"/>
  <c r="E9685" i="34"/>
  <c r="E9686" i="34"/>
  <c r="E9687" i="34"/>
  <c r="E9688" i="34"/>
  <c r="E9689" i="34"/>
  <c r="E9690" i="34"/>
  <c r="E9691" i="34"/>
  <c r="E9692" i="34"/>
  <c r="E9693" i="34"/>
  <c r="E9694" i="34"/>
  <c r="E9695" i="34"/>
  <c r="E9696" i="34"/>
  <c r="E9697" i="34"/>
  <c r="E9698" i="34"/>
  <c r="E9699" i="34"/>
  <c r="E9700" i="34"/>
  <c r="E9701" i="34"/>
  <c r="E9702" i="34"/>
  <c r="E9703" i="34"/>
  <c r="E9704" i="34"/>
  <c r="E9705" i="34"/>
  <c r="E9706" i="34"/>
  <c r="E9707" i="34"/>
  <c r="E9708" i="34"/>
  <c r="E9709" i="34"/>
  <c r="E9710" i="34"/>
  <c r="E9711" i="34"/>
  <c r="E9712" i="34"/>
  <c r="E9713" i="34"/>
  <c r="E9714" i="34"/>
  <c r="E9715" i="34"/>
  <c r="E9716" i="34"/>
  <c r="E9717" i="34"/>
  <c r="E9718" i="34"/>
  <c r="E9719" i="34"/>
  <c r="E9720" i="34"/>
  <c r="E9721" i="34"/>
  <c r="E9722" i="34"/>
  <c r="E9723" i="34"/>
  <c r="E9724" i="34"/>
  <c r="E9725" i="34"/>
  <c r="E9726" i="34"/>
  <c r="E9727" i="34"/>
  <c r="E9728" i="34"/>
  <c r="E9729" i="34"/>
  <c r="E9730" i="34"/>
  <c r="E9731" i="34"/>
  <c r="E9732" i="34"/>
  <c r="E9733" i="34"/>
  <c r="E9734" i="34"/>
  <c r="E9735" i="34"/>
  <c r="E9736" i="34"/>
  <c r="E9737" i="34"/>
  <c r="E9738" i="34"/>
  <c r="E9739" i="34"/>
  <c r="E9740" i="34"/>
  <c r="E9741" i="34"/>
  <c r="E9742" i="34"/>
  <c r="E9743" i="34"/>
  <c r="E9744" i="34"/>
  <c r="E9745" i="34"/>
  <c r="E9746" i="34"/>
  <c r="E9747" i="34"/>
  <c r="E9748" i="34"/>
  <c r="E9749" i="34"/>
  <c r="E9750" i="34"/>
  <c r="E9751" i="34"/>
  <c r="E9752" i="34"/>
  <c r="E9753" i="34"/>
  <c r="E9754" i="34"/>
  <c r="E9755" i="34"/>
  <c r="E9756" i="34"/>
  <c r="E9757" i="34"/>
  <c r="E9758" i="34"/>
  <c r="E9759" i="34"/>
  <c r="E9760" i="34"/>
  <c r="E9761" i="34"/>
  <c r="E9762" i="34"/>
  <c r="E9763" i="34"/>
  <c r="E9764" i="34"/>
  <c r="E9765" i="34"/>
  <c r="E9766" i="34"/>
  <c r="E9767" i="34"/>
  <c r="E9768" i="34"/>
  <c r="E9769" i="34"/>
  <c r="E9770" i="34"/>
  <c r="E9771" i="34"/>
  <c r="E9772" i="34"/>
  <c r="E9773" i="34"/>
  <c r="E9774" i="34"/>
  <c r="E9775" i="34"/>
  <c r="E9776" i="34"/>
  <c r="E9777" i="34"/>
  <c r="E9778" i="34"/>
  <c r="E9779" i="34"/>
  <c r="E9780" i="34"/>
  <c r="E9781" i="34"/>
  <c r="E9782" i="34"/>
  <c r="E9783" i="34"/>
  <c r="E9784" i="34"/>
  <c r="E9785" i="34"/>
  <c r="E9786" i="34"/>
  <c r="E9787" i="34"/>
  <c r="E9788" i="34"/>
  <c r="E9789" i="34"/>
  <c r="E9790" i="34"/>
  <c r="E9791" i="34"/>
  <c r="E9792" i="34"/>
  <c r="E9793" i="34"/>
  <c r="E9794" i="34"/>
  <c r="E9795" i="34"/>
  <c r="E9796" i="34"/>
  <c r="E9797" i="34"/>
  <c r="E9798" i="34"/>
  <c r="E9799" i="34"/>
  <c r="E9800" i="34"/>
  <c r="E9801" i="34"/>
  <c r="E9802" i="34"/>
  <c r="E9803" i="34"/>
  <c r="E9804" i="34"/>
  <c r="E9805" i="34"/>
  <c r="E9806" i="34"/>
  <c r="E9807" i="34"/>
  <c r="E9808" i="34"/>
  <c r="E9809" i="34"/>
  <c r="E9810" i="34"/>
  <c r="E9811" i="34"/>
  <c r="E9812" i="34"/>
  <c r="E9813" i="34"/>
  <c r="E9814" i="34"/>
  <c r="E9815" i="34"/>
  <c r="E9816" i="34"/>
  <c r="E9817" i="34"/>
  <c r="E9818" i="34"/>
  <c r="E9819" i="34"/>
  <c r="E9820" i="34"/>
  <c r="E9821" i="34"/>
  <c r="E9822" i="34"/>
  <c r="E9823" i="34"/>
  <c r="E9824" i="34"/>
  <c r="E9825" i="34"/>
  <c r="E9826" i="34"/>
  <c r="E9827" i="34"/>
  <c r="E9828" i="34"/>
  <c r="E9829" i="34"/>
  <c r="E9830" i="34"/>
  <c r="E9831" i="34"/>
  <c r="E9832" i="34"/>
  <c r="E9833" i="34"/>
  <c r="E9834" i="34"/>
  <c r="E9835" i="34"/>
  <c r="E9836" i="34"/>
  <c r="E9837" i="34"/>
  <c r="E9838" i="34"/>
  <c r="E9839" i="34"/>
  <c r="E9840" i="34"/>
  <c r="E9841" i="34"/>
  <c r="E9842" i="34"/>
  <c r="E9843" i="34"/>
  <c r="E9844" i="34"/>
  <c r="E9845" i="34"/>
  <c r="E9846" i="34"/>
  <c r="E9847" i="34"/>
  <c r="E9848" i="34"/>
  <c r="E9849" i="34"/>
  <c r="E9850" i="34"/>
  <c r="E9851" i="34"/>
  <c r="E9852" i="34"/>
  <c r="E9853" i="34"/>
  <c r="E9854" i="34"/>
  <c r="E9855" i="34"/>
  <c r="E9856" i="34"/>
  <c r="E9857" i="34"/>
  <c r="E9858" i="34"/>
  <c r="E9859" i="34"/>
  <c r="E9860" i="34"/>
  <c r="E9861" i="34"/>
  <c r="E9862" i="34"/>
  <c r="E9863" i="34"/>
  <c r="E9864" i="34"/>
  <c r="E9865" i="34"/>
  <c r="E9866" i="34"/>
  <c r="E9867" i="34"/>
  <c r="E9868" i="34"/>
  <c r="E9869" i="34"/>
  <c r="E9870" i="34"/>
  <c r="E9871" i="34"/>
  <c r="E9872" i="34"/>
  <c r="E9873" i="34"/>
  <c r="E9874" i="34"/>
  <c r="E9875" i="34"/>
  <c r="E9876" i="34"/>
  <c r="E9877" i="34"/>
  <c r="E9878" i="34"/>
  <c r="E9879" i="34"/>
  <c r="E9880" i="34"/>
  <c r="E9881" i="34"/>
  <c r="E9882" i="34"/>
  <c r="E9883" i="34"/>
  <c r="E9884" i="34"/>
  <c r="E9885" i="34"/>
  <c r="E9886" i="34"/>
  <c r="E9887" i="34"/>
  <c r="E9888" i="34"/>
  <c r="E9889" i="34"/>
  <c r="E9890" i="34"/>
  <c r="E9891" i="34"/>
  <c r="E9892" i="34"/>
  <c r="E9893" i="34"/>
  <c r="E9894" i="34"/>
  <c r="E9895" i="34"/>
  <c r="E9896" i="34"/>
  <c r="E9897" i="34"/>
  <c r="E9898" i="34"/>
  <c r="E9899" i="34"/>
  <c r="E9900" i="34"/>
  <c r="E9901" i="34"/>
  <c r="E9902" i="34"/>
  <c r="E9903" i="34"/>
  <c r="E9904" i="34"/>
  <c r="E9905" i="34"/>
  <c r="E9906" i="34"/>
  <c r="E9907" i="34"/>
  <c r="E9908" i="34"/>
  <c r="E9909" i="34"/>
  <c r="E9910" i="34"/>
  <c r="E9911" i="34"/>
  <c r="E9912" i="34"/>
  <c r="E9913" i="34"/>
  <c r="E9914" i="34"/>
  <c r="E9915" i="34"/>
  <c r="E9916" i="34"/>
  <c r="E9917" i="34"/>
  <c r="E9918" i="34"/>
  <c r="E9919" i="34"/>
  <c r="E9920" i="34"/>
  <c r="E9921" i="34"/>
  <c r="E9922" i="34"/>
  <c r="E9923" i="34"/>
  <c r="E9924" i="34"/>
  <c r="E9925" i="34"/>
  <c r="E9926" i="34"/>
  <c r="E9927" i="34"/>
  <c r="E9928" i="34"/>
  <c r="E9929" i="34"/>
  <c r="E9930" i="34"/>
  <c r="E9931" i="34"/>
  <c r="E9932" i="34"/>
  <c r="E9933" i="34"/>
  <c r="E9934" i="34"/>
  <c r="E9935" i="34"/>
  <c r="E9936" i="34"/>
  <c r="E9937" i="34"/>
  <c r="E9938" i="34"/>
  <c r="E9939" i="34"/>
  <c r="E9940" i="34"/>
  <c r="E9941" i="34"/>
  <c r="E9942" i="34"/>
  <c r="E9943" i="34"/>
  <c r="E9944" i="34"/>
  <c r="E9945" i="34"/>
  <c r="E9946" i="34"/>
  <c r="E9947" i="34"/>
  <c r="E9948" i="34"/>
  <c r="E9949" i="34"/>
  <c r="E9950" i="34"/>
  <c r="E9951" i="34"/>
  <c r="E9952" i="34"/>
  <c r="E9953" i="34"/>
  <c r="E9954" i="34"/>
  <c r="E9955" i="34"/>
  <c r="E9956" i="34"/>
  <c r="E9957" i="34"/>
  <c r="E9958" i="34"/>
  <c r="E9959" i="34"/>
  <c r="E9960" i="34"/>
  <c r="E9961" i="34"/>
  <c r="E9962" i="34"/>
  <c r="E9963" i="34"/>
  <c r="E9964" i="34"/>
  <c r="E9965" i="34"/>
  <c r="E9966" i="34"/>
  <c r="E9967" i="34"/>
  <c r="E9968" i="34"/>
  <c r="E9969" i="34"/>
  <c r="E9970" i="34"/>
  <c r="E9971" i="34"/>
  <c r="E9972" i="34"/>
  <c r="E9973" i="34"/>
  <c r="E9974" i="34"/>
  <c r="E9975" i="34"/>
  <c r="E9976" i="34"/>
  <c r="E9977" i="34"/>
  <c r="E9978" i="34"/>
  <c r="E9979" i="34"/>
  <c r="E9980" i="34"/>
  <c r="E9981" i="34"/>
  <c r="E9982" i="34"/>
  <c r="E9983" i="34"/>
  <c r="E9984" i="34"/>
  <c r="E9985" i="34"/>
  <c r="E9986" i="34"/>
  <c r="E9987" i="34"/>
  <c r="E9988" i="34"/>
  <c r="E9989" i="34"/>
  <c r="E9990" i="34"/>
  <c r="E9991" i="34"/>
  <c r="E9992" i="34"/>
  <c r="E9993" i="34"/>
  <c r="E9994" i="34"/>
  <c r="E9995" i="34"/>
  <c r="E9996" i="34"/>
  <c r="E9997" i="34"/>
  <c r="E9998" i="34"/>
  <c r="E9999" i="34"/>
  <c r="E10000" i="34"/>
  <c r="E10001" i="34"/>
  <c r="E10002" i="34"/>
  <c r="E10003" i="34"/>
  <c r="E10004" i="34"/>
  <c r="E10005" i="34"/>
  <c r="E10006" i="34"/>
  <c r="E10007" i="34"/>
  <c r="E10008" i="34"/>
  <c r="E10009" i="34"/>
  <c r="E10010" i="34"/>
  <c r="E10011" i="34"/>
  <c r="E10012" i="34"/>
  <c r="E10013" i="34"/>
  <c r="E10014" i="34"/>
  <c r="E10015" i="34"/>
  <c r="E10016" i="34"/>
  <c r="E10017" i="34"/>
  <c r="E10018" i="34"/>
  <c r="E10019" i="34"/>
  <c r="E10020" i="34"/>
  <c r="E10021" i="34"/>
  <c r="E10022" i="34"/>
  <c r="E10023" i="34"/>
  <c r="E10024" i="34"/>
  <c r="E10025" i="34"/>
  <c r="E10026" i="34"/>
  <c r="E10027" i="34"/>
  <c r="E10028" i="34"/>
  <c r="E10029" i="34"/>
  <c r="E10030" i="34"/>
  <c r="E10031" i="34"/>
  <c r="E10032" i="34"/>
  <c r="E10033" i="34"/>
  <c r="E10034" i="34"/>
  <c r="E10035" i="34"/>
  <c r="E10036" i="34"/>
  <c r="E10037" i="34"/>
  <c r="E10038" i="34"/>
  <c r="E10039" i="34"/>
  <c r="E10040" i="34"/>
  <c r="E10041" i="34"/>
  <c r="E10042" i="34"/>
  <c r="E10043" i="34"/>
  <c r="E10044" i="34"/>
  <c r="E10045" i="34"/>
  <c r="E10046" i="34"/>
  <c r="E10047" i="34"/>
  <c r="E10048" i="34"/>
  <c r="E10049" i="34"/>
  <c r="E10050" i="34"/>
  <c r="E10051" i="34"/>
  <c r="E10052" i="34"/>
  <c r="E10053" i="34"/>
  <c r="E10054" i="34"/>
  <c r="E10055" i="34"/>
  <c r="E10056" i="34"/>
  <c r="E10057" i="34"/>
  <c r="E10058" i="34"/>
  <c r="E10059" i="34"/>
  <c r="E10060" i="34"/>
  <c r="E10061" i="34"/>
  <c r="E10062" i="34"/>
  <c r="E10063" i="34"/>
  <c r="E10064" i="34"/>
  <c r="E10065" i="34"/>
  <c r="E10066" i="34"/>
  <c r="E10067" i="34"/>
  <c r="E10068" i="34"/>
  <c r="E10069" i="34"/>
  <c r="E10070" i="34"/>
  <c r="E10071" i="34"/>
  <c r="E10072" i="34"/>
  <c r="E10073" i="34"/>
  <c r="E10074" i="34"/>
  <c r="E10075" i="34"/>
  <c r="E10076" i="34"/>
  <c r="E10077" i="34"/>
  <c r="E10078" i="34"/>
  <c r="E10079" i="34"/>
  <c r="E10080" i="34"/>
  <c r="E10081" i="34"/>
  <c r="E10082" i="34"/>
  <c r="E10083" i="34"/>
  <c r="E10084" i="34"/>
  <c r="E10085" i="34"/>
  <c r="E10086" i="34"/>
  <c r="E10087" i="34"/>
  <c r="E10088" i="34"/>
  <c r="E10089" i="34"/>
  <c r="E10090" i="34"/>
  <c r="E10091" i="34"/>
  <c r="E10092" i="34"/>
  <c r="E10093" i="34"/>
  <c r="E10094" i="34"/>
  <c r="E10095" i="34"/>
  <c r="E10096" i="34"/>
  <c r="E10097" i="34"/>
  <c r="E10098" i="34"/>
  <c r="E10099" i="34"/>
  <c r="E10100" i="34"/>
  <c r="E10101" i="34"/>
  <c r="E10102" i="34"/>
  <c r="E10103" i="34"/>
  <c r="E10104" i="34"/>
  <c r="E10105" i="34"/>
  <c r="E10106" i="34"/>
  <c r="E10107" i="34"/>
  <c r="E10108" i="34"/>
  <c r="E10109" i="34"/>
  <c r="E10110" i="34"/>
  <c r="E10111" i="34"/>
  <c r="E10112" i="34"/>
  <c r="E10113" i="34"/>
  <c r="E10114" i="34"/>
  <c r="E10115" i="34"/>
  <c r="E10116" i="34"/>
  <c r="E10117" i="34"/>
  <c r="E10118" i="34"/>
  <c r="E10119" i="34"/>
  <c r="E10120" i="34"/>
  <c r="E10121" i="34"/>
  <c r="E10122" i="34"/>
  <c r="E10123" i="34"/>
  <c r="E10124" i="34"/>
  <c r="E10125" i="34"/>
  <c r="E10126" i="34"/>
  <c r="E10127" i="34"/>
  <c r="E10128" i="34"/>
  <c r="E10129" i="34"/>
  <c r="E10130" i="34"/>
  <c r="E10131" i="34"/>
  <c r="E10132" i="34"/>
  <c r="E10133" i="34"/>
  <c r="E10134" i="34"/>
  <c r="E10135" i="34"/>
  <c r="E10136" i="34"/>
  <c r="E10137" i="34"/>
  <c r="E10138" i="34"/>
  <c r="E10139" i="34"/>
  <c r="E10140" i="34"/>
  <c r="E10141" i="34"/>
  <c r="E10142" i="34"/>
  <c r="E10143" i="34"/>
  <c r="E10144" i="34"/>
  <c r="E10145" i="34"/>
  <c r="E10146" i="34"/>
  <c r="E10147" i="34"/>
  <c r="E10148" i="34"/>
  <c r="E10149" i="34"/>
  <c r="E10150" i="34"/>
  <c r="E10151" i="34"/>
  <c r="E10152" i="34"/>
  <c r="E10153" i="34"/>
  <c r="E10154" i="34"/>
  <c r="E10155" i="34"/>
  <c r="E10156" i="34"/>
  <c r="E10157" i="34"/>
  <c r="E10158" i="34"/>
  <c r="E10159" i="34"/>
  <c r="E10160" i="34"/>
  <c r="E10161" i="34"/>
  <c r="E10162" i="34"/>
  <c r="E10163" i="34"/>
  <c r="E10164" i="34"/>
  <c r="E10165" i="34"/>
  <c r="E10166" i="34"/>
  <c r="E10167" i="34"/>
  <c r="E10168" i="34"/>
  <c r="E10169" i="34"/>
  <c r="E10170" i="34"/>
  <c r="E10171" i="34"/>
  <c r="E10172" i="34"/>
  <c r="E10173" i="34"/>
  <c r="E10174" i="34"/>
  <c r="E10175" i="34"/>
  <c r="E10176" i="34"/>
  <c r="E10177" i="34"/>
  <c r="E10178" i="34"/>
  <c r="E10179" i="34"/>
  <c r="E10180" i="34"/>
  <c r="E10181" i="34"/>
  <c r="E10182" i="34"/>
  <c r="E10183" i="34"/>
  <c r="E10184" i="34"/>
  <c r="E10185" i="34"/>
  <c r="E10186" i="34"/>
  <c r="E10187" i="34"/>
  <c r="E10188" i="34"/>
  <c r="E10189" i="34"/>
  <c r="E10190" i="34"/>
  <c r="E10191" i="34"/>
  <c r="E10192" i="34"/>
  <c r="E10193" i="34"/>
  <c r="E10194" i="34"/>
  <c r="E10195" i="34"/>
  <c r="E10196" i="34"/>
  <c r="E10197" i="34"/>
  <c r="E10198" i="34"/>
  <c r="E10199" i="34"/>
  <c r="E10200" i="34"/>
  <c r="E10201" i="34"/>
  <c r="E10202" i="34"/>
  <c r="E10203" i="34"/>
  <c r="E10204" i="34"/>
  <c r="E10205" i="34"/>
  <c r="E10206" i="34"/>
  <c r="E10207" i="34"/>
  <c r="E10208" i="34"/>
  <c r="E10209" i="34"/>
  <c r="E10210" i="34"/>
  <c r="E10211" i="34"/>
  <c r="E10212" i="34"/>
  <c r="E10213" i="34"/>
  <c r="E10214" i="34"/>
  <c r="E10215" i="34"/>
  <c r="E10216" i="34"/>
  <c r="E10217" i="34"/>
  <c r="E10218" i="34"/>
  <c r="E10219" i="34"/>
  <c r="E10220" i="34"/>
  <c r="E10221" i="34"/>
  <c r="E10222" i="34"/>
  <c r="E10223" i="34"/>
  <c r="E10224" i="34"/>
  <c r="E10225" i="34"/>
  <c r="E10226" i="34"/>
  <c r="E10227" i="34"/>
  <c r="E10228" i="34"/>
  <c r="E10229" i="34"/>
  <c r="E10230" i="34"/>
  <c r="E10231" i="34"/>
  <c r="E10232" i="34"/>
  <c r="E10233" i="34"/>
  <c r="E10234" i="34"/>
  <c r="E10235" i="34"/>
  <c r="E10236" i="34"/>
  <c r="E10237" i="34"/>
  <c r="E10238" i="34"/>
  <c r="E10239" i="34"/>
  <c r="E10240" i="34"/>
  <c r="E10241" i="34"/>
  <c r="E10242" i="34"/>
  <c r="E10243" i="34"/>
  <c r="E10244" i="34"/>
  <c r="E10245" i="34"/>
  <c r="E10246" i="34"/>
  <c r="E10247" i="34"/>
  <c r="E10248" i="34"/>
  <c r="E10249" i="34"/>
  <c r="E10250" i="34"/>
  <c r="E10251" i="34"/>
  <c r="E10252" i="34"/>
  <c r="E10253" i="34"/>
  <c r="E10254" i="34"/>
  <c r="E10255" i="34"/>
  <c r="E10256" i="34"/>
  <c r="E10257" i="34"/>
  <c r="E10258" i="34"/>
  <c r="E10259" i="34"/>
  <c r="E10260" i="34"/>
  <c r="E10261" i="34"/>
  <c r="E10262" i="34"/>
  <c r="E10263" i="34"/>
  <c r="E10264" i="34"/>
  <c r="E10265" i="34"/>
  <c r="E10266" i="34"/>
  <c r="E10267" i="34"/>
  <c r="E10268" i="34"/>
  <c r="E10269" i="34"/>
  <c r="E10270" i="34"/>
  <c r="E10271" i="34"/>
  <c r="E10272" i="34"/>
  <c r="E10273" i="34"/>
  <c r="E10274" i="34"/>
  <c r="E10275" i="34"/>
  <c r="E10276" i="34"/>
  <c r="E10277" i="34"/>
  <c r="E10278" i="34"/>
  <c r="E10279" i="34"/>
  <c r="E10280" i="34"/>
  <c r="E10281" i="34"/>
  <c r="E10282" i="34"/>
  <c r="E10283" i="34"/>
  <c r="E10284" i="34"/>
  <c r="E10285" i="34"/>
  <c r="E10286" i="34"/>
  <c r="E10287" i="34"/>
  <c r="E10288" i="34"/>
  <c r="E10289" i="34"/>
  <c r="E10290" i="34"/>
  <c r="E10291" i="34"/>
  <c r="E10292" i="34"/>
  <c r="E10293" i="34"/>
  <c r="E10294" i="34"/>
  <c r="E10295" i="34"/>
  <c r="E10296" i="34"/>
  <c r="E10297" i="34"/>
  <c r="E10298" i="34"/>
  <c r="E10299" i="34"/>
  <c r="E10300" i="34"/>
  <c r="E10301" i="34"/>
  <c r="E10302" i="34"/>
  <c r="E10303" i="34"/>
  <c r="E10304" i="34"/>
  <c r="E10305" i="34"/>
  <c r="E10306" i="34"/>
  <c r="E10307" i="34"/>
  <c r="E10308" i="34"/>
  <c r="E10309" i="34"/>
  <c r="E10310" i="34"/>
  <c r="E10311" i="34"/>
  <c r="E10312" i="34"/>
  <c r="E10313" i="34"/>
  <c r="E10314" i="34"/>
  <c r="E10315" i="34"/>
  <c r="E10316" i="34"/>
  <c r="E10317" i="34"/>
  <c r="E10318" i="34"/>
  <c r="E10319" i="34"/>
  <c r="E10320" i="34"/>
  <c r="E10321" i="34"/>
  <c r="E10322" i="34"/>
  <c r="E10323" i="34"/>
  <c r="E10324" i="34"/>
  <c r="E10325" i="34"/>
  <c r="E10326" i="34"/>
  <c r="E10327" i="34"/>
  <c r="E10328" i="34"/>
  <c r="E10329" i="34"/>
  <c r="E10330" i="34"/>
  <c r="E10331" i="34"/>
  <c r="E10332" i="34"/>
  <c r="E10333" i="34"/>
  <c r="E10334" i="34"/>
  <c r="E10335" i="34"/>
  <c r="E10336" i="34"/>
  <c r="E10337" i="34"/>
  <c r="E10338" i="34"/>
  <c r="E10339" i="34"/>
  <c r="E10340" i="34"/>
  <c r="E10341" i="34"/>
  <c r="E10342" i="34"/>
  <c r="E10343" i="34"/>
  <c r="E10344" i="34"/>
  <c r="E10345" i="34"/>
  <c r="E10346" i="34"/>
  <c r="E10347" i="34"/>
  <c r="E10348" i="34"/>
  <c r="E10349" i="34"/>
  <c r="E10350" i="34"/>
  <c r="E10351" i="34"/>
  <c r="E10352" i="34"/>
  <c r="E10353" i="34"/>
  <c r="E10354" i="34"/>
  <c r="E10355" i="34"/>
  <c r="E10356" i="34"/>
  <c r="E10357" i="34"/>
  <c r="E10358" i="34"/>
  <c r="E10359" i="34"/>
  <c r="E10360" i="34"/>
  <c r="E10361" i="34"/>
  <c r="E10362" i="34"/>
  <c r="E10363" i="34"/>
  <c r="E10364" i="34"/>
  <c r="E10365" i="34"/>
  <c r="E10366" i="34"/>
  <c r="E10367" i="34"/>
  <c r="E10368" i="34"/>
  <c r="E10369" i="34"/>
  <c r="E10370" i="34"/>
  <c r="E10371" i="34"/>
  <c r="E10372" i="34"/>
  <c r="E10373" i="34"/>
  <c r="E10374" i="34"/>
  <c r="E10375" i="34"/>
  <c r="E10376" i="34"/>
  <c r="E10377" i="34"/>
  <c r="E10378" i="34"/>
  <c r="E10379" i="34"/>
  <c r="E10380" i="34"/>
  <c r="E10381" i="34"/>
  <c r="E10382" i="34"/>
  <c r="E10383" i="34"/>
  <c r="E10384" i="34"/>
  <c r="E10385" i="34"/>
  <c r="E10386" i="34"/>
  <c r="E10387" i="34"/>
  <c r="E10388" i="34"/>
  <c r="E10389" i="34"/>
  <c r="E10390" i="34"/>
  <c r="E10391" i="34"/>
  <c r="E10392" i="34"/>
  <c r="E10393" i="34"/>
  <c r="E10394" i="34"/>
  <c r="E10395" i="34"/>
  <c r="E10396" i="34"/>
  <c r="E10397" i="34"/>
  <c r="E10398" i="34"/>
  <c r="E10399" i="34"/>
  <c r="E10400" i="34"/>
  <c r="E10401" i="34"/>
  <c r="E10402" i="34"/>
  <c r="E10403" i="34"/>
  <c r="E10404" i="34"/>
  <c r="E10405" i="34"/>
  <c r="E10406" i="34"/>
  <c r="E10407" i="34"/>
  <c r="E10408" i="34"/>
  <c r="E10409" i="34"/>
  <c r="E10410" i="34"/>
  <c r="E10411" i="34"/>
  <c r="E10412" i="34"/>
  <c r="E10413" i="34"/>
  <c r="E10414" i="34"/>
  <c r="E10415" i="34"/>
  <c r="E10416" i="34"/>
  <c r="E10417" i="34"/>
  <c r="E10418" i="34"/>
  <c r="E10419" i="34"/>
  <c r="E10420" i="34"/>
  <c r="E10421" i="34"/>
  <c r="E10422" i="34"/>
  <c r="E10423" i="34"/>
  <c r="E10424" i="34"/>
  <c r="E10425" i="34"/>
  <c r="E10426" i="34"/>
  <c r="E10427" i="34"/>
  <c r="E10428" i="34"/>
  <c r="E10429" i="34"/>
  <c r="E10430" i="34"/>
  <c r="E10431" i="34"/>
  <c r="E10432" i="34"/>
  <c r="E10433" i="34"/>
  <c r="E10434" i="34"/>
  <c r="E10435" i="34"/>
  <c r="E10436" i="34"/>
  <c r="E10437" i="34"/>
  <c r="E10438" i="34"/>
  <c r="E10439" i="34"/>
  <c r="E10440" i="34"/>
  <c r="E10441" i="34"/>
  <c r="E10442" i="34"/>
  <c r="E10443" i="34"/>
  <c r="E10444" i="34"/>
  <c r="E10445" i="34"/>
  <c r="E10446" i="34"/>
  <c r="E10447" i="34"/>
  <c r="E10448" i="34"/>
  <c r="E10449" i="34"/>
  <c r="E10450" i="34"/>
  <c r="E10451" i="34"/>
  <c r="E10452" i="34"/>
  <c r="E10453" i="34"/>
  <c r="E10454" i="34"/>
  <c r="E10455" i="34"/>
  <c r="E10456" i="34"/>
  <c r="E10457" i="34"/>
  <c r="E10458" i="34"/>
  <c r="E10459" i="34"/>
  <c r="E10460" i="34"/>
  <c r="E10461" i="34"/>
  <c r="E10462" i="34"/>
  <c r="E10463" i="34"/>
  <c r="E10464" i="34"/>
  <c r="E10465" i="34"/>
  <c r="E10466" i="34"/>
  <c r="E10467" i="34"/>
  <c r="E10468" i="34"/>
  <c r="E10469" i="34"/>
  <c r="E10470" i="34"/>
  <c r="E10471" i="34"/>
  <c r="E10472" i="34"/>
  <c r="E10473" i="34"/>
  <c r="E10474" i="34"/>
  <c r="E10475" i="34"/>
  <c r="E10476" i="34"/>
  <c r="E10477" i="34"/>
  <c r="E10478" i="34"/>
  <c r="E10479" i="34"/>
  <c r="E10480" i="34"/>
  <c r="E10481" i="34"/>
  <c r="E10482" i="34"/>
  <c r="E10483" i="34"/>
  <c r="E10484" i="34"/>
  <c r="E10485" i="34"/>
  <c r="E10486" i="34"/>
  <c r="E10487" i="34"/>
  <c r="E10488" i="34"/>
  <c r="E10489" i="34"/>
  <c r="E10490" i="34"/>
  <c r="E10491" i="34"/>
  <c r="E10492" i="34"/>
  <c r="E10493" i="34"/>
  <c r="E10494" i="34"/>
  <c r="E10495" i="34"/>
  <c r="E10496" i="34"/>
  <c r="E10497" i="34"/>
  <c r="E10498" i="34"/>
  <c r="E10499" i="34"/>
  <c r="E10500" i="34"/>
  <c r="E10501" i="34"/>
  <c r="E10502" i="34"/>
  <c r="E10503" i="34"/>
  <c r="E10504" i="34"/>
  <c r="E10505" i="34"/>
  <c r="E10506" i="34"/>
  <c r="E10507" i="34"/>
  <c r="E10508" i="34"/>
  <c r="E10509" i="34"/>
  <c r="E10510" i="34"/>
  <c r="E10511" i="34"/>
  <c r="E10512" i="34"/>
  <c r="E10513" i="34"/>
  <c r="E10514" i="34"/>
  <c r="E10515" i="34"/>
  <c r="E10516" i="34"/>
  <c r="E10517" i="34"/>
  <c r="E10518" i="34"/>
  <c r="E10519" i="34"/>
  <c r="E10520" i="34"/>
  <c r="E10521" i="34"/>
  <c r="E10522" i="34"/>
  <c r="E10523" i="34"/>
  <c r="E10524" i="34"/>
  <c r="E10525" i="34"/>
  <c r="E10526" i="34"/>
  <c r="E10527" i="34"/>
  <c r="E10528" i="34"/>
  <c r="E10529" i="34"/>
  <c r="E10530" i="34"/>
  <c r="E10531" i="34"/>
  <c r="E10532" i="34"/>
  <c r="E10533" i="34"/>
  <c r="E10534" i="34"/>
  <c r="E10535" i="34"/>
  <c r="E10536" i="34"/>
  <c r="E10537" i="34"/>
  <c r="E10538" i="34"/>
  <c r="E10539" i="34"/>
  <c r="E10540" i="34"/>
  <c r="E10541" i="34"/>
  <c r="E10542" i="34"/>
  <c r="E10543" i="34"/>
  <c r="E10544" i="34"/>
  <c r="E10545" i="34"/>
  <c r="E10546" i="34"/>
  <c r="E10547" i="34"/>
  <c r="E10548" i="34"/>
  <c r="E10549" i="34"/>
  <c r="E10550" i="34"/>
  <c r="E10551" i="34"/>
  <c r="E10552" i="34"/>
  <c r="E10553" i="34"/>
  <c r="E10554" i="34"/>
  <c r="E10555" i="34"/>
  <c r="E10556" i="34"/>
  <c r="E10557" i="34"/>
  <c r="E10558" i="34"/>
  <c r="E10559" i="34"/>
  <c r="E10560" i="34"/>
  <c r="E10561" i="34"/>
  <c r="E10562" i="34"/>
  <c r="E10563" i="34"/>
  <c r="E10564" i="34"/>
  <c r="E10565" i="34"/>
  <c r="E10566" i="34"/>
  <c r="E10567" i="34"/>
  <c r="E10568" i="34"/>
  <c r="E10569" i="34"/>
  <c r="E10570" i="34"/>
  <c r="E10571" i="34"/>
  <c r="E10572" i="34"/>
  <c r="E10573" i="34"/>
  <c r="E10574" i="34"/>
  <c r="E10575" i="34"/>
  <c r="E10576" i="34"/>
  <c r="E10577" i="34"/>
  <c r="E10578" i="34"/>
  <c r="E10579" i="34"/>
  <c r="E10580" i="34"/>
  <c r="E10581" i="34"/>
  <c r="E10582" i="34"/>
  <c r="E10583" i="34"/>
  <c r="E10584" i="34"/>
  <c r="E10585" i="34"/>
  <c r="E10586" i="34"/>
  <c r="E10587" i="34"/>
  <c r="E10588" i="34"/>
  <c r="E10589" i="34"/>
  <c r="E10590" i="34"/>
  <c r="E10591" i="34"/>
  <c r="E10592" i="34"/>
  <c r="E10593" i="34"/>
  <c r="E10594" i="34"/>
  <c r="E10595" i="34"/>
  <c r="E10596" i="34"/>
  <c r="E10597" i="34"/>
  <c r="E10598" i="34"/>
  <c r="E10599" i="34"/>
  <c r="E10600" i="34"/>
  <c r="E10601" i="34"/>
  <c r="E10602" i="34"/>
  <c r="E10603" i="34"/>
  <c r="E10604" i="34"/>
  <c r="E10605" i="34"/>
  <c r="E10606" i="34"/>
  <c r="E10607" i="34"/>
  <c r="E10608" i="34"/>
  <c r="E10609" i="34"/>
  <c r="E10610" i="34"/>
  <c r="E10611" i="34"/>
  <c r="E10612" i="34"/>
  <c r="E10613" i="34"/>
  <c r="E10614" i="34"/>
  <c r="E10615" i="34"/>
  <c r="E10616" i="34"/>
  <c r="E10617" i="34"/>
  <c r="E10618" i="34"/>
  <c r="E10619" i="34"/>
  <c r="E10620" i="34"/>
  <c r="E10621" i="34"/>
  <c r="E10622" i="34"/>
  <c r="E10623" i="34"/>
  <c r="E10624" i="34"/>
  <c r="E10625" i="34"/>
  <c r="E10626" i="34"/>
  <c r="E10627" i="34"/>
  <c r="E10628" i="34"/>
  <c r="E10629" i="34"/>
  <c r="E10630" i="34"/>
  <c r="E10631" i="34"/>
  <c r="E10632" i="34"/>
  <c r="E10633" i="34"/>
  <c r="E10634" i="34"/>
  <c r="E10635" i="34"/>
  <c r="E10636" i="34"/>
  <c r="E10637" i="34"/>
  <c r="E10638" i="34"/>
  <c r="E10639" i="34"/>
  <c r="E10640" i="34"/>
  <c r="E10641" i="34"/>
  <c r="E10642" i="34"/>
  <c r="E10643" i="34"/>
  <c r="E10644" i="34"/>
  <c r="E10645" i="34"/>
  <c r="E10646" i="34"/>
  <c r="E10647" i="34"/>
  <c r="E10648" i="34"/>
  <c r="E10649" i="34"/>
  <c r="E10650" i="34"/>
  <c r="E10651" i="34"/>
  <c r="E10652" i="34"/>
  <c r="E10653" i="34"/>
  <c r="E10654" i="34"/>
  <c r="E10655" i="34"/>
  <c r="E10656" i="34"/>
  <c r="E10657" i="34"/>
  <c r="E10658" i="34"/>
  <c r="E10659" i="34"/>
  <c r="E10660" i="34"/>
  <c r="E10661" i="34"/>
  <c r="E10662" i="34"/>
  <c r="E10663" i="34"/>
  <c r="E10664" i="34"/>
  <c r="E10665" i="34"/>
  <c r="E10666" i="34"/>
  <c r="E10667" i="34"/>
  <c r="E10668" i="34"/>
  <c r="E10669" i="34"/>
  <c r="E10670" i="34"/>
  <c r="E10671" i="34"/>
  <c r="E10672" i="34"/>
  <c r="E10673" i="34"/>
  <c r="E10674" i="34"/>
  <c r="E10675" i="34"/>
  <c r="E10676" i="34"/>
  <c r="E10677" i="34"/>
  <c r="E10678" i="34"/>
  <c r="E10679" i="34"/>
  <c r="E10680" i="34"/>
  <c r="E10681" i="34"/>
  <c r="E10682" i="34"/>
  <c r="E10683" i="34"/>
  <c r="E10684" i="34"/>
  <c r="E10685" i="34"/>
  <c r="E10686" i="34"/>
  <c r="E10687" i="34"/>
  <c r="E10688" i="34"/>
  <c r="E10689" i="34"/>
  <c r="E10690" i="34"/>
  <c r="E10691" i="34"/>
  <c r="E10692" i="34"/>
  <c r="E10693" i="34"/>
  <c r="E10694" i="34"/>
  <c r="E10695" i="34"/>
  <c r="E10696" i="34"/>
  <c r="E10697" i="34"/>
  <c r="E10698" i="34"/>
  <c r="E10699" i="34"/>
  <c r="E10700" i="34"/>
  <c r="E10701" i="34"/>
  <c r="E10702" i="34"/>
  <c r="E10703" i="34"/>
  <c r="E10704" i="34"/>
  <c r="E10705" i="34"/>
  <c r="E10706" i="34"/>
  <c r="E10707" i="34"/>
  <c r="E10708" i="34"/>
  <c r="E10709" i="34"/>
  <c r="E10710" i="34"/>
  <c r="E10711" i="34"/>
  <c r="E10712" i="34"/>
  <c r="E10713" i="34"/>
  <c r="E10714" i="34"/>
  <c r="E10715" i="34"/>
  <c r="E10716" i="34"/>
  <c r="E10717" i="34"/>
  <c r="E10718" i="34"/>
  <c r="E10719" i="34"/>
  <c r="E10720" i="34"/>
  <c r="E10721" i="34"/>
  <c r="E10722" i="34"/>
  <c r="E10723" i="34"/>
  <c r="E10724" i="34"/>
  <c r="E10725" i="34"/>
  <c r="E10726" i="34"/>
  <c r="E10727" i="34"/>
  <c r="E10728" i="34"/>
  <c r="E10729" i="34"/>
  <c r="E10730" i="34"/>
  <c r="E10731" i="34"/>
  <c r="E10732" i="34"/>
  <c r="E10733" i="34"/>
  <c r="E10734" i="34"/>
  <c r="E10735" i="34"/>
  <c r="E10736" i="34"/>
  <c r="E10737" i="34"/>
  <c r="E10738" i="34"/>
  <c r="E10739" i="34"/>
  <c r="E10740" i="34"/>
  <c r="E10741" i="34"/>
  <c r="E10742" i="34"/>
  <c r="E10743" i="34"/>
  <c r="E10744" i="34"/>
  <c r="E10745" i="34"/>
  <c r="E10746" i="34"/>
  <c r="E10747" i="34"/>
  <c r="E10748" i="34"/>
  <c r="E10749" i="34"/>
  <c r="E10750" i="34"/>
  <c r="E10751" i="34"/>
  <c r="E10752" i="34"/>
  <c r="E10753" i="34"/>
  <c r="E10754" i="34"/>
  <c r="E10755" i="34"/>
  <c r="E10756" i="34"/>
  <c r="E10757" i="34"/>
  <c r="E10758" i="34"/>
  <c r="E10759" i="34"/>
  <c r="E10760" i="34"/>
  <c r="E10761" i="34"/>
  <c r="E10762" i="34"/>
  <c r="E10763" i="34"/>
  <c r="E10764" i="34"/>
  <c r="E10765" i="34"/>
  <c r="E10766" i="34"/>
  <c r="E10767" i="34"/>
  <c r="E10768" i="34"/>
  <c r="E10769" i="34"/>
  <c r="E10770" i="34"/>
  <c r="E10771" i="34"/>
  <c r="E10772" i="34"/>
  <c r="E10773" i="34"/>
  <c r="E10774" i="34"/>
  <c r="E10775" i="34"/>
  <c r="E10776" i="34"/>
  <c r="E10777" i="34"/>
  <c r="E10778" i="34"/>
  <c r="E10779" i="34"/>
  <c r="E10780" i="34"/>
  <c r="E10781" i="34"/>
  <c r="E10782" i="34"/>
  <c r="E10783" i="34"/>
  <c r="E10784" i="34"/>
  <c r="E10785" i="34"/>
  <c r="E10786" i="34"/>
  <c r="E10787" i="34"/>
  <c r="E10788" i="34"/>
  <c r="E10789" i="34"/>
  <c r="E10790" i="34"/>
  <c r="E10791" i="34"/>
  <c r="E10792" i="34"/>
  <c r="E10793" i="34"/>
  <c r="E10794" i="34"/>
  <c r="E10795" i="34"/>
  <c r="E10796" i="34"/>
  <c r="E10797" i="34"/>
  <c r="E10798" i="34"/>
  <c r="E10799" i="34"/>
  <c r="E10800" i="34"/>
  <c r="E10801" i="34"/>
  <c r="E10802" i="34"/>
  <c r="E10803" i="34"/>
  <c r="E10804" i="34"/>
  <c r="E10805" i="34"/>
  <c r="E10806" i="34"/>
  <c r="E10807" i="34"/>
  <c r="E10808" i="34"/>
  <c r="E10809" i="34"/>
  <c r="E10810" i="34"/>
  <c r="E10811" i="34"/>
  <c r="E10812" i="34"/>
  <c r="E10813" i="34"/>
  <c r="E10814" i="34"/>
  <c r="E10815" i="34"/>
  <c r="E10816" i="34"/>
  <c r="E10817" i="34"/>
  <c r="E10818" i="34"/>
  <c r="E10819" i="34"/>
  <c r="E10820" i="34"/>
  <c r="E10821" i="34"/>
  <c r="E10822" i="34"/>
  <c r="E10823" i="34"/>
  <c r="E10824" i="34"/>
  <c r="E10825" i="34"/>
  <c r="E10826" i="34"/>
  <c r="E10827" i="34"/>
  <c r="E10828" i="34"/>
  <c r="E10829" i="34"/>
  <c r="E10830" i="34"/>
  <c r="E10831" i="34"/>
  <c r="E10832" i="34"/>
  <c r="E10833" i="34"/>
  <c r="E10834" i="34"/>
  <c r="E10835" i="34"/>
  <c r="E10836" i="34"/>
  <c r="E10837" i="34"/>
  <c r="E10838" i="34"/>
  <c r="E10839" i="34"/>
  <c r="E10840" i="34"/>
  <c r="E10841" i="34"/>
  <c r="E10842" i="34"/>
  <c r="E10843" i="34"/>
  <c r="E10844" i="34"/>
  <c r="E10845" i="34"/>
  <c r="E10846" i="34"/>
  <c r="E10847" i="34"/>
  <c r="E10848" i="34"/>
  <c r="E10849" i="34"/>
  <c r="E10850" i="34"/>
  <c r="E10851" i="34"/>
  <c r="E10852" i="34"/>
  <c r="E10853" i="34"/>
  <c r="E10854" i="34"/>
  <c r="E10855" i="34"/>
  <c r="E10856" i="34"/>
  <c r="E10857" i="34"/>
  <c r="E10858" i="34"/>
  <c r="E10859" i="34"/>
  <c r="E10860" i="34"/>
  <c r="E10861" i="34"/>
  <c r="E10862" i="34"/>
  <c r="E10863" i="34"/>
  <c r="E10864" i="34"/>
  <c r="E10865" i="34"/>
  <c r="E10866" i="34"/>
  <c r="E10867" i="34"/>
  <c r="E10868" i="34"/>
  <c r="E10869" i="34"/>
  <c r="E10870" i="34"/>
  <c r="E10871" i="34"/>
  <c r="E10872" i="34"/>
  <c r="E10873" i="34"/>
  <c r="E10874" i="34"/>
  <c r="E10875" i="34"/>
  <c r="E10876" i="34"/>
  <c r="E10877" i="34"/>
  <c r="E10878" i="34"/>
  <c r="E10879" i="34"/>
  <c r="E10880" i="34"/>
  <c r="E10881" i="34"/>
  <c r="E10882" i="34"/>
  <c r="E10883" i="34"/>
  <c r="E10884" i="34"/>
  <c r="E10885" i="34"/>
  <c r="E10886" i="34"/>
  <c r="E10887" i="34"/>
  <c r="E10888" i="34"/>
  <c r="E10889" i="34"/>
  <c r="E10890" i="34"/>
  <c r="E10891" i="34"/>
  <c r="E10892" i="34"/>
  <c r="E10893" i="34"/>
  <c r="E10894" i="34"/>
  <c r="E10895" i="34"/>
  <c r="E10896" i="34"/>
  <c r="E10897" i="34"/>
  <c r="E10898" i="34"/>
  <c r="E10899" i="34"/>
  <c r="E10900" i="34"/>
  <c r="E10901" i="34"/>
  <c r="E10902" i="34"/>
  <c r="E10903" i="34"/>
  <c r="E10904" i="34"/>
  <c r="E10905" i="34"/>
  <c r="E10906" i="34"/>
  <c r="E10907" i="34"/>
  <c r="E10908" i="34"/>
  <c r="E10909" i="34"/>
  <c r="E10910" i="34"/>
  <c r="E10911" i="34"/>
  <c r="E10912" i="34"/>
  <c r="E10913" i="34"/>
  <c r="E10914" i="34"/>
  <c r="E10915" i="34"/>
  <c r="E10916" i="34"/>
  <c r="E10917" i="34"/>
  <c r="E10918" i="34"/>
  <c r="E10919" i="34"/>
  <c r="E10920" i="34"/>
  <c r="E10921" i="34"/>
  <c r="E10922" i="34"/>
  <c r="E10923" i="34"/>
  <c r="E10924" i="34"/>
  <c r="E10925" i="34"/>
  <c r="E10926" i="34"/>
  <c r="E10927" i="34"/>
  <c r="E10928" i="34"/>
  <c r="E10929" i="34"/>
  <c r="E10930" i="34"/>
  <c r="E10931" i="34"/>
  <c r="E10932" i="34"/>
  <c r="E10933" i="34"/>
  <c r="E10934" i="34"/>
  <c r="E10935" i="34"/>
  <c r="E10936" i="34"/>
  <c r="E10937" i="34"/>
  <c r="E10938" i="34"/>
  <c r="E10939" i="34"/>
  <c r="E10940" i="34"/>
  <c r="E10941" i="34"/>
  <c r="E10942" i="34"/>
  <c r="E10943" i="34"/>
  <c r="E10944" i="34"/>
  <c r="E10945" i="34"/>
  <c r="E10946" i="34"/>
  <c r="E10947" i="34"/>
  <c r="E10948" i="34"/>
  <c r="E10949" i="34"/>
  <c r="E10950" i="34"/>
  <c r="E10951" i="34"/>
  <c r="E10952" i="34"/>
  <c r="E10953" i="34"/>
  <c r="E10954" i="34"/>
  <c r="E10955" i="34"/>
  <c r="E10956" i="34"/>
  <c r="E10957" i="34"/>
  <c r="E10958" i="34"/>
  <c r="E10959" i="34"/>
  <c r="E10960" i="34"/>
  <c r="E10961" i="34"/>
  <c r="E10962" i="34"/>
  <c r="E10963" i="34"/>
  <c r="E10964" i="34"/>
  <c r="E10965" i="34"/>
  <c r="E10966" i="34"/>
  <c r="E10967" i="34"/>
  <c r="E10968" i="34"/>
  <c r="E10969" i="34"/>
  <c r="E10970" i="34"/>
  <c r="E10971" i="34"/>
  <c r="E10972" i="34"/>
  <c r="E10973" i="34"/>
  <c r="E10974" i="34"/>
  <c r="E10975" i="34"/>
  <c r="E10976" i="34"/>
  <c r="E10977" i="34"/>
  <c r="E10978" i="34"/>
  <c r="E10979" i="34"/>
  <c r="E10980" i="34"/>
  <c r="E10981" i="34"/>
  <c r="E10982" i="34"/>
  <c r="E10983" i="34"/>
  <c r="E10984" i="34"/>
  <c r="E10985" i="34"/>
  <c r="E10986" i="34"/>
  <c r="E10987" i="34"/>
  <c r="E10988" i="34"/>
  <c r="E10989" i="34"/>
  <c r="E10990" i="34"/>
  <c r="E10991" i="34"/>
  <c r="E10992" i="34"/>
  <c r="E10993" i="34"/>
  <c r="E10994" i="34"/>
  <c r="E10995" i="34"/>
  <c r="E10996" i="34"/>
  <c r="E10997" i="34"/>
  <c r="E10998" i="34"/>
  <c r="E10999" i="34"/>
  <c r="E11000" i="34"/>
  <c r="E11001" i="34"/>
  <c r="E11002" i="34"/>
  <c r="E11003" i="34"/>
  <c r="E11004" i="34"/>
  <c r="E11005" i="34"/>
  <c r="E11006" i="34"/>
  <c r="E11007" i="34"/>
  <c r="E11008" i="34"/>
  <c r="E11009" i="34"/>
  <c r="E11010" i="34"/>
  <c r="E11011" i="34"/>
  <c r="E11012" i="34"/>
  <c r="E11013" i="34"/>
  <c r="E11014" i="34"/>
  <c r="E11015" i="34"/>
  <c r="E11016" i="34"/>
  <c r="E11017" i="34"/>
  <c r="E11018" i="34"/>
  <c r="E11019" i="34"/>
  <c r="E11020" i="34"/>
  <c r="E11021" i="34"/>
  <c r="E11022" i="34"/>
  <c r="E11023" i="34"/>
  <c r="E11024" i="34"/>
  <c r="E11025" i="34"/>
  <c r="E11026" i="34"/>
  <c r="E11027" i="34"/>
  <c r="E11028" i="34"/>
  <c r="E11029" i="34"/>
  <c r="E11030" i="34"/>
  <c r="E11031" i="34"/>
  <c r="E11032" i="34"/>
  <c r="E11033" i="34"/>
  <c r="E11034" i="34"/>
  <c r="E11035" i="34"/>
  <c r="E11036" i="34"/>
  <c r="E11037" i="34"/>
  <c r="E11038" i="34"/>
  <c r="E11039" i="34"/>
  <c r="E11040" i="34"/>
  <c r="E11041" i="34"/>
  <c r="E11042" i="34"/>
  <c r="E11043" i="34"/>
  <c r="E11044" i="34"/>
  <c r="E11045" i="34"/>
  <c r="E11046" i="34"/>
  <c r="E11047" i="34"/>
  <c r="E11048" i="34"/>
  <c r="E11049" i="34"/>
  <c r="E11050" i="34"/>
  <c r="E11051" i="34"/>
  <c r="E11052" i="34"/>
  <c r="E11053" i="34"/>
  <c r="E11054" i="34"/>
  <c r="E11055" i="34"/>
  <c r="E11056" i="34"/>
  <c r="E11057" i="34"/>
  <c r="E11058" i="34"/>
  <c r="E11059" i="34"/>
  <c r="E11060" i="34"/>
  <c r="E11061" i="34"/>
  <c r="E11062" i="34"/>
  <c r="E11063" i="34"/>
  <c r="E11064" i="34"/>
  <c r="E11065" i="34"/>
  <c r="E11066" i="34"/>
  <c r="E11067" i="34"/>
  <c r="E11068" i="34"/>
  <c r="E11069" i="34"/>
  <c r="E11070" i="34"/>
  <c r="E11071" i="34"/>
  <c r="E11072" i="34"/>
  <c r="E11073" i="34"/>
  <c r="E11074" i="34"/>
  <c r="E11075" i="34"/>
  <c r="E11076" i="34"/>
  <c r="E11077" i="34"/>
  <c r="E11078" i="34"/>
  <c r="E11079" i="34"/>
  <c r="E11080" i="34"/>
  <c r="E11081" i="34"/>
  <c r="E11082" i="34"/>
  <c r="E11083" i="34"/>
  <c r="E11084" i="34"/>
  <c r="E11085" i="34"/>
  <c r="E11086" i="34"/>
  <c r="E11087" i="34"/>
  <c r="E11088" i="34"/>
  <c r="E11089" i="34"/>
  <c r="E11090" i="34"/>
  <c r="E11091" i="34"/>
  <c r="E11092" i="34"/>
  <c r="E11093" i="34"/>
  <c r="E11094" i="34"/>
  <c r="E11095" i="34"/>
  <c r="E11096" i="34"/>
  <c r="E11097" i="34"/>
  <c r="E11098" i="34"/>
  <c r="E11099" i="34"/>
  <c r="E11100" i="34"/>
  <c r="E11101" i="34"/>
  <c r="E11102" i="34"/>
  <c r="E11103" i="34"/>
  <c r="E11104" i="34"/>
  <c r="E11105" i="34"/>
  <c r="E11106" i="34"/>
  <c r="E11107" i="34"/>
  <c r="E11108" i="34"/>
  <c r="E11109" i="34"/>
  <c r="E11110" i="34"/>
  <c r="E11111" i="34"/>
  <c r="E11112" i="34"/>
  <c r="E11113" i="34"/>
  <c r="E11114" i="34"/>
  <c r="E11115" i="34"/>
  <c r="E11116" i="34"/>
  <c r="E11117" i="34"/>
  <c r="E11118" i="34"/>
  <c r="E11119" i="34"/>
  <c r="E11120" i="34"/>
  <c r="E11121" i="34"/>
  <c r="E11122" i="34"/>
  <c r="E11123" i="34"/>
  <c r="E11124" i="34"/>
  <c r="E11125" i="34"/>
  <c r="E11126" i="34"/>
  <c r="E11127" i="34"/>
  <c r="E11128" i="34"/>
  <c r="E11129" i="34"/>
  <c r="E11130" i="34"/>
  <c r="E11131" i="34"/>
  <c r="E11132" i="34"/>
  <c r="E11133" i="34"/>
  <c r="E11134" i="34"/>
  <c r="E11135" i="34"/>
  <c r="E11136" i="34"/>
  <c r="E11137" i="34"/>
  <c r="E11138" i="34"/>
  <c r="E11139" i="34"/>
  <c r="E11140" i="34"/>
  <c r="E11141" i="34"/>
  <c r="E11142" i="34"/>
  <c r="E11143" i="34"/>
  <c r="E11144" i="34"/>
  <c r="E11145" i="34"/>
  <c r="E11146" i="34"/>
  <c r="E11147" i="34"/>
  <c r="E11148" i="34"/>
  <c r="E11149" i="34"/>
  <c r="E11150" i="34"/>
  <c r="E11151" i="34"/>
  <c r="E11152" i="34"/>
  <c r="E11153" i="34"/>
  <c r="E11154" i="34"/>
  <c r="E11155" i="34"/>
  <c r="E11156" i="34"/>
  <c r="E11157" i="34"/>
  <c r="E11158" i="34"/>
  <c r="E11159" i="34"/>
  <c r="E11160" i="34"/>
  <c r="E11161" i="34"/>
  <c r="E11162" i="34"/>
  <c r="E11163" i="34"/>
  <c r="E11164" i="34"/>
  <c r="E11165" i="34"/>
  <c r="E11166" i="34"/>
  <c r="E11167" i="34"/>
  <c r="E11168" i="34"/>
  <c r="E11169" i="34"/>
  <c r="E11170" i="34"/>
  <c r="E11171" i="34"/>
  <c r="E11172" i="34"/>
  <c r="E11173" i="34"/>
  <c r="E11174" i="34"/>
  <c r="E11175" i="34"/>
  <c r="E11176" i="34"/>
  <c r="E11177" i="34"/>
  <c r="E11178" i="34"/>
  <c r="E11179" i="34"/>
  <c r="E11180" i="34"/>
  <c r="E11181" i="34"/>
  <c r="E11182" i="34"/>
  <c r="E11183" i="34"/>
  <c r="E11184" i="34"/>
  <c r="E11185" i="34"/>
  <c r="E11186" i="34"/>
  <c r="E11187" i="34"/>
  <c r="E11188" i="34"/>
  <c r="E11189" i="34"/>
  <c r="E11190" i="34"/>
  <c r="E11191" i="34"/>
  <c r="E11192" i="34"/>
  <c r="E11193" i="34"/>
  <c r="E11194" i="34"/>
  <c r="E11195" i="34"/>
  <c r="E11196" i="34"/>
  <c r="E11197" i="34"/>
  <c r="E11198" i="34"/>
  <c r="E11199" i="34"/>
  <c r="E11200" i="34"/>
  <c r="E11201" i="34"/>
  <c r="E11202" i="34"/>
  <c r="E11203" i="34"/>
  <c r="E11204" i="34"/>
  <c r="E11205" i="34"/>
  <c r="E11206" i="34"/>
  <c r="E11207" i="34"/>
  <c r="E11208" i="34"/>
  <c r="E11209" i="34"/>
  <c r="E11210" i="34"/>
  <c r="E11211" i="34"/>
  <c r="E11212" i="34"/>
  <c r="E11213" i="34"/>
  <c r="E11214" i="34"/>
  <c r="E11215" i="34"/>
  <c r="E11216" i="34"/>
  <c r="E11217" i="34"/>
  <c r="E11218" i="34"/>
  <c r="E11219" i="34"/>
  <c r="E11220" i="34"/>
  <c r="E11221" i="34"/>
  <c r="E11222" i="34"/>
  <c r="E11223" i="34"/>
  <c r="E11224" i="34"/>
  <c r="E11225" i="34"/>
  <c r="E11226" i="34"/>
  <c r="E11227" i="34"/>
  <c r="E11228" i="34"/>
  <c r="E11229" i="34"/>
  <c r="E11230" i="34"/>
  <c r="E11231" i="34"/>
  <c r="E11232" i="34"/>
  <c r="E11233" i="34"/>
  <c r="E11234" i="34"/>
  <c r="E11235" i="34"/>
  <c r="E11236" i="34"/>
  <c r="E11237" i="34"/>
  <c r="E11238" i="34"/>
  <c r="E11239" i="34"/>
  <c r="E11240" i="34"/>
  <c r="E11241" i="34"/>
  <c r="E11242" i="34"/>
  <c r="E11243" i="34"/>
  <c r="E11244" i="34"/>
  <c r="E11245" i="34"/>
  <c r="E11246" i="34"/>
  <c r="E11247" i="34"/>
  <c r="E11248" i="34"/>
  <c r="E11249" i="34"/>
  <c r="E11250" i="34"/>
  <c r="E11251" i="34"/>
  <c r="E11252" i="34"/>
  <c r="E11253" i="34"/>
  <c r="E11254" i="34"/>
  <c r="E11255" i="34"/>
  <c r="E11256" i="34"/>
  <c r="E11257" i="34"/>
  <c r="E11258" i="34"/>
  <c r="E11259" i="34"/>
  <c r="E11260" i="34"/>
  <c r="E11261" i="34"/>
  <c r="E11262" i="34"/>
  <c r="E11263" i="34"/>
  <c r="E11264" i="34"/>
  <c r="E11265" i="34"/>
  <c r="E11266" i="34"/>
  <c r="E11267" i="34"/>
  <c r="E11268" i="34"/>
  <c r="E11269" i="34"/>
  <c r="E11270" i="34"/>
  <c r="E11271" i="34"/>
  <c r="E11272" i="34"/>
  <c r="E11273" i="34"/>
  <c r="E11274" i="34"/>
  <c r="E11275" i="34"/>
  <c r="E11276" i="34"/>
  <c r="E11277" i="34"/>
  <c r="E11278" i="34"/>
  <c r="E11279" i="34"/>
  <c r="E11280" i="34"/>
  <c r="E11281" i="34"/>
  <c r="E11282" i="34"/>
  <c r="E11283" i="34"/>
  <c r="E11284" i="34"/>
  <c r="E11285" i="34"/>
  <c r="E11286" i="34"/>
  <c r="E11287" i="34"/>
  <c r="E11288" i="34"/>
  <c r="E11289" i="34"/>
  <c r="E11290" i="34"/>
  <c r="E11291" i="34"/>
  <c r="E11292" i="34"/>
  <c r="E11293" i="34"/>
  <c r="E11294" i="34"/>
  <c r="E11295" i="34"/>
  <c r="E11296" i="34"/>
  <c r="E11297" i="34"/>
  <c r="E11298" i="34"/>
  <c r="E11299" i="34"/>
  <c r="E11300" i="34"/>
  <c r="E11301" i="34"/>
  <c r="E11302" i="34"/>
  <c r="E11303" i="34"/>
  <c r="E11304" i="34"/>
  <c r="E11305" i="34"/>
  <c r="E11306" i="34"/>
  <c r="E11307" i="34"/>
  <c r="E11308" i="34"/>
  <c r="E11309" i="34"/>
  <c r="E11310" i="34"/>
  <c r="E11311" i="34"/>
  <c r="E11312" i="34"/>
  <c r="E11313" i="34"/>
  <c r="E11314" i="34"/>
  <c r="E11315" i="34"/>
  <c r="E11316" i="34"/>
  <c r="E11317" i="34"/>
  <c r="E11318" i="34"/>
  <c r="E11319" i="34"/>
  <c r="E11320" i="34"/>
  <c r="E11321" i="34"/>
  <c r="E11322" i="34"/>
  <c r="E11323" i="34"/>
  <c r="E11324" i="34"/>
  <c r="E11325" i="34"/>
  <c r="E11326" i="34"/>
  <c r="E11327" i="34"/>
  <c r="E11328" i="34"/>
  <c r="E11329" i="34"/>
  <c r="E11330" i="34"/>
  <c r="E11331" i="34"/>
  <c r="E11332" i="34"/>
  <c r="E11333" i="34"/>
  <c r="E11334" i="34"/>
  <c r="E11335" i="34"/>
  <c r="E11336" i="34"/>
  <c r="E11337" i="34"/>
  <c r="E11338" i="34"/>
  <c r="E11339" i="34"/>
  <c r="E11340" i="34"/>
  <c r="E11341" i="34"/>
  <c r="E11342" i="34"/>
  <c r="E11343" i="34"/>
  <c r="E11344" i="34"/>
  <c r="E11345" i="34"/>
  <c r="E11346" i="34"/>
  <c r="E11347" i="34"/>
  <c r="E11348" i="34"/>
  <c r="E11349" i="34"/>
  <c r="E11350" i="34"/>
  <c r="E11351" i="34"/>
  <c r="E11352" i="34"/>
  <c r="E11353" i="34"/>
  <c r="E11354" i="34"/>
  <c r="E11355" i="34"/>
  <c r="E11356" i="34"/>
  <c r="E11357" i="34"/>
  <c r="E11358" i="34"/>
  <c r="E11359" i="34"/>
  <c r="E11360" i="34"/>
  <c r="E11361" i="34"/>
  <c r="E11362" i="34"/>
  <c r="E11363" i="34"/>
  <c r="E11364" i="34"/>
  <c r="E11365" i="34"/>
  <c r="E11366" i="34"/>
  <c r="E11367" i="34"/>
  <c r="E11368" i="34"/>
  <c r="E11369" i="34"/>
  <c r="E11370" i="34"/>
  <c r="E11371" i="34"/>
  <c r="E11372" i="34"/>
  <c r="E11373" i="34"/>
  <c r="E11374" i="34"/>
  <c r="E11375" i="34"/>
  <c r="E11376" i="34"/>
  <c r="E11377" i="34"/>
  <c r="E11378" i="34"/>
  <c r="E11379" i="34"/>
  <c r="E11380" i="34"/>
  <c r="E11381" i="34"/>
  <c r="E11382" i="34"/>
  <c r="E11383" i="34"/>
  <c r="E11384" i="34"/>
  <c r="E11385" i="34"/>
  <c r="E11386" i="34"/>
  <c r="E11387" i="34"/>
  <c r="E11388" i="34"/>
  <c r="E11389" i="34"/>
  <c r="E11390" i="34"/>
  <c r="E11391" i="34"/>
  <c r="E11392" i="34"/>
  <c r="E11393" i="34"/>
  <c r="E11394" i="34"/>
  <c r="E11395" i="34"/>
  <c r="E11396" i="34"/>
  <c r="E11397" i="34"/>
  <c r="E11398" i="34"/>
  <c r="E11399" i="34"/>
  <c r="E11400" i="34"/>
  <c r="E11401" i="34"/>
  <c r="E11402" i="34"/>
  <c r="E11403" i="34"/>
  <c r="E11404" i="34"/>
  <c r="E11405" i="34"/>
  <c r="E11406" i="34"/>
  <c r="E11407" i="34"/>
  <c r="E11408" i="34"/>
  <c r="E11409" i="34"/>
  <c r="E11410" i="34"/>
  <c r="E11411" i="34"/>
  <c r="E11412" i="34"/>
  <c r="E11413" i="34"/>
  <c r="E11414" i="34"/>
  <c r="E11415" i="34"/>
  <c r="E11416" i="34"/>
  <c r="E11417" i="34"/>
  <c r="E11418" i="34"/>
  <c r="E11419" i="34"/>
  <c r="E11420" i="34"/>
  <c r="E11421" i="34"/>
  <c r="E11422" i="34"/>
  <c r="E11423" i="34"/>
  <c r="E11424" i="34"/>
  <c r="E11425" i="34"/>
  <c r="E11426" i="34"/>
  <c r="E11427" i="34"/>
  <c r="E11428" i="34"/>
  <c r="E11429" i="34"/>
  <c r="E11430" i="34"/>
  <c r="E11431" i="34"/>
  <c r="E11432" i="34"/>
  <c r="E11433" i="34"/>
  <c r="E11434" i="34"/>
  <c r="E11435" i="34"/>
  <c r="E11436" i="34"/>
  <c r="E11437" i="34"/>
  <c r="E11438" i="34"/>
  <c r="E11439" i="34"/>
  <c r="E11440" i="34"/>
  <c r="E11441" i="34"/>
  <c r="E11442" i="34"/>
  <c r="E11443" i="34"/>
  <c r="E11444" i="34"/>
  <c r="E11445" i="34"/>
  <c r="E11446" i="34"/>
  <c r="E11447" i="34"/>
  <c r="E11448" i="34"/>
  <c r="E11449" i="34"/>
  <c r="E11450" i="34"/>
  <c r="E11451" i="34"/>
  <c r="E11452" i="34"/>
  <c r="E11453" i="34"/>
  <c r="E11454" i="34"/>
  <c r="E11455" i="34"/>
  <c r="E11456" i="34"/>
  <c r="E11457" i="34"/>
  <c r="E11458" i="34"/>
  <c r="E11459" i="34"/>
  <c r="E11460" i="34"/>
  <c r="E11461" i="34"/>
  <c r="E11462" i="34"/>
  <c r="E11463" i="34"/>
  <c r="E11464" i="34"/>
  <c r="E11465" i="34"/>
  <c r="E11466" i="34"/>
  <c r="E11467" i="34"/>
  <c r="E11468" i="34"/>
  <c r="E11469" i="34"/>
  <c r="E11470" i="34"/>
  <c r="E11471" i="34"/>
  <c r="E11472" i="34"/>
  <c r="E11473" i="34"/>
  <c r="E11474" i="34"/>
  <c r="E11475" i="34"/>
  <c r="E11476" i="34"/>
  <c r="E11477" i="34"/>
  <c r="E11478" i="34"/>
  <c r="E11479" i="34"/>
  <c r="E11480" i="34"/>
  <c r="E11481" i="34"/>
  <c r="E11482" i="34"/>
  <c r="E11483" i="34"/>
  <c r="E11484" i="34"/>
  <c r="E11485" i="34"/>
  <c r="E11486" i="34"/>
  <c r="E11487" i="34"/>
  <c r="E11488" i="34"/>
  <c r="E11489" i="34"/>
  <c r="E11490" i="34"/>
  <c r="E11491" i="34"/>
  <c r="E11492" i="34"/>
  <c r="E11493" i="34"/>
  <c r="E11494" i="34"/>
  <c r="E11495" i="34"/>
  <c r="E11496" i="34"/>
  <c r="E11497" i="34"/>
  <c r="E11498" i="34"/>
  <c r="E11499" i="34"/>
  <c r="E11500" i="34"/>
  <c r="E11501" i="34"/>
  <c r="E11502" i="34"/>
  <c r="E11503" i="34"/>
  <c r="E11504" i="34"/>
  <c r="E11505" i="34"/>
  <c r="E11506" i="34"/>
  <c r="E11507" i="34"/>
  <c r="E11508" i="34"/>
  <c r="E11509" i="34"/>
  <c r="E11510" i="34"/>
  <c r="E11511" i="34"/>
  <c r="E11512" i="34"/>
  <c r="E11513" i="34"/>
  <c r="E11514" i="34"/>
  <c r="E11515" i="34"/>
  <c r="E11516" i="34"/>
  <c r="E11517" i="34"/>
  <c r="E11518" i="34"/>
  <c r="E11519" i="34"/>
  <c r="E11520" i="34"/>
  <c r="E11521" i="34"/>
  <c r="E11522" i="34"/>
  <c r="E11523" i="34"/>
  <c r="E11524" i="34"/>
  <c r="E11525" i="34"/>
  <c r="E11526" i="34"/>
  <c r="E11527" i="34"/>
  <c r="E11528" i="34"/>
  <c r="E11529" i="34"/>
  <c r="E11530" i="34"/>
  <c r="E11531" i="34"/>
  <c r="E11532" i="34"/>
  <c r="E11533" i="34"/>
  <c r="E11534" i="34"/>
  <c r="E11535" i="34"/>
  <c r="E11536" i="34"/>
  <c r="E11537" i="34"/>
  <c r="E11538" i="34"/>
  <c r="E11539" i="34"/>
  <c r="E11540" i="34"/>
  <c r="E11541" i="34"/>
  <c r="E11542" i="34"/>
  <c r="E11543" i="34"/>
  <c r="E11544" i="34"/>
  <c r="E11545" i="34"/>
  <c r="E11546" i="34"/>
  <c r="E11547" i="34"/>
  <c r="E11548" i="34"/>
  <c r="E11549" i="34"/>
  <c r="E11550" i="34"/>
  <c r="E11551" i="34"/>
  <c r="E11552" i="34"/>
  <c r="E11553" i="34"/>
  <c r="E11554" i="34"/>
  <c r="E11555" i="34"/>
  <c r="E11556" i="34"/>
  <c r="E11557" i="34"/>
  <c r="E11558" i="34"/>
  <c r="E11559" i="34"/>
  <c r="E11560" i="34"/>
  <c r="E11561" i="34"/>
  <c r="E11562" i="34"/>
  <c r="E11563" i="34"/>
  <c r="E11564" i="34"/>
  <c r="E11565" i="34"/>
  <c r="E11566" i="34"/>
  <c r="E11567" i="34"/>
  <c r="E11568" i="34"/>
  <c r="E11569" i="34"/>
  <c r="E11570" i="34"/>
  <c r="E11571" i="34"/>
  <c r="E11572" i="34"/>
  <c r="E11573" i="34"/>
  <c r="E11574" i="34"/>
  <c r="E11575" i="34"/>
  <c r="E11576" i="34"/>
  <c r="E11577" i="34"/>
  <c r="E11578" i="34"/>
  <c r="E11579" i="34"/>
  <c r="E11580" i="34"/>
  <c r="E11581" i="34"/>
  <c r="E11582" i="34"/>
  <c r="E11583" i="34"/>
  <c r="E11584" i="34"/>
  <c r="E11585" i="34"/>
  <c r="E11586" i="34"/>
  <c r="E11587" i="34"/>
  <c r="E11588" i="34"/>
  <c r="E11589" i="34"/>
  <c r="E11590" i="34"/>
  <c r="E11591" i="34"/>
  <c r="E11592" i="34"/>
  <c r="E11593" i="34"/>
  <c r="E11594" i="34"/>
  <c r="E11595" i="34"/>
  <c r="E11596" i="34"/>
  <c r="E11597" i="34"/>
  <c r="E11598" i="34"/>
  <c r="E11599" i="34"/>
  <c r="E11600" i="34"/>
  <c r="E11601" i="34"/>
  <c r="E11602" i="34"/>
  <c r="E11603" i="34"/>
  <c r="E11604" i="34"/>
  <c r="E11605" i="34"/>
  <c r="E11606" i="34"/>
  <c r="E11607" i="34"/>
  <c r="E11608" i="34"/>
  <c r="E11609" i="34"/>
  <c r="E11610" i="34"/>
  <c r="E11611" i="34"/>
  <c r="E11612" i="34"/>
  <c r="E11613" i="34"/>
  <c r="E11614" i="34"/>
  <c r="E11615" i="34"/>
  <c r="E11616" i="34"/>
  <c r="E11617" i="34"/>
  <c r="E11618" i="34"/>
  <c r="E11619" i="34"/>
  <c r="E11620" i="34"/>
  <c r="E11621" i="34"/>
  <c r="E11622" i="34"/>
  <c r="E11623" i="34"/>
  <c r="E11624" i="34"/>
  <c r="E11625" i="34"/>
  <c r="E11626" i="34"/>
  <c r="E11627" i="34"/>
  <c r="E11628" i="34"/>
  <c r="E11629" i="34"/>
  <c r="E11630" i="34"/>
  <c r="E11631" i="34"/>
  <c r="E11632" i="34"/>
  <c r="E11633" i="34"/>
  <c r="E11634" i="34"/>
  <c r="E11635" i="34"/>
  <c r="E11636" i="34"/>
  <c r="E11637" i="34"/>
  <c r="E11638" i="34"/>
  <c r="E11639" i="34"/>
  <c r="E11640" i="34"/>
  <c r="E11641" i="34"/>
  <c r="E11642" i="34"/>
  <c r="E11643" i="34"/>
  <c r="E11644" i="34"/>
  <c r="E11645" i="34"/>
  <c r="E11646" i="34"/>
  <c r="E11647" i="34"/>
  <c r="E11648" i="34"/>
  <c r="E11649" i="34"/>
  <c r="E11650" i="34"/>
  <c r="E11651" i="34"/>
  <c r="E11652" i="34"/>
  <c r="E11653" i="34"/>
  <c r="E11654" i="34"/>
  <c r="E11655" i="34"/>
  <c r="E11656" i="34"/>
  <c r="E11657" i="34"/>
  <c r="E11658" i="34"/>
  <c r="E11659" i="34"/>
  <c r="E11660" i="34"/>
  <c r="E11661" i="34"/>
  <c r="E11662" i="34"/>
  <c r="E11663" i="34"/>
  <c r="E11664" i="34"/>
  <c r="E11665" i="34"/>
  <c r="E11666" i="34"/>
  <c r="E11667" i="34"/>
  <c r="E11668" i="34"/>
  <c r="E11669" i="34"/>
  <c r="E11670" i="34"/>
  <c r="E11671" i="34"/>
  <c r="E11672" i="34"/>
  <c r="E11673" i="34"/>
  <c r="E11674" i="34"/>
  <c r="E11675" i="34"/>
  <c r="E11676" i="34"/>
  <c r="E11677" i="34"/>
  <c r="E11678" i="34"/>
  <c r="E11679" i="34"/>
  <c r="E11680" i="34"/>
  <c r="E11681" i="34"/>
  <c r="E11682" i="34"/>
  <c r="E11683" i="34"/>
  <c r="E11684" i="34"/>
  <c r="E11685" i="34"/>
  <c r="E11686" i="34"/>
  <c r="E11687" i="34"/>
  <c r="E11688" i="34"/>
  <c r="E11689" i="34"/>
  <c r="E11690" i="34"/>
  <c r="E11691" i="34"/>
  <c r="E11692" i="34"/>
  <c r="E11693" i="34"/>
  <c r="E11694" i="34"/>
  <c r="E11695" i="34"/>
  <c r="E11696" i="34"/>
  <c r="E11697" i="34"/>
  <c r="E11698" i="34"/>
  <c r="E11699" i="34"/>
  <c r="E11700" i="34"/>
  <c r="E11701" i="34"/>
  <c r="E11702" i="34"/>
  <c r="E11703" i="34"/>
  <c r="E11704" i="34"/>
  <c r="E11705" i="34"/>
  <c r="E11706" i="34"/>
  <c r="E11707" i="34"/>
  <c r="E11708" i="34"/>
  <c r="E11709" i="34"/>
  <c r="E11710" i="34"/>
  <c r="E11711" i="34"/>
  <c r="E11712" i="34"/>
  <c r="E11713" i="34"/>
  <c r="E11714" i="34"/>
  <c r="E11715" i="34"/>
  <c r="E11716" i="34"/>
  <c r="E11717" i="34"/>
  <c r="E11718" i="34"/>
  <c r="E11719" i="34"/>
  <c r="E11720" i="34"/>
  <c r="E11721" i="34"/>
  <c r="E11722" i="34"/>
  <c r="E11723" i="34"/>
  <c r="E11724" i="34"/>
  <c r="E11725" i="34"/>
  <c r="E11726" i="34"/>
  <c r="E11727" i="34"/>
  <c r="E11728" i="34"/>
  <c r="E11729" i="34"/>
  <c r="E11730" i="34"/>
  <c r="E11731" i="34"/>
  <c r="E11732" i="34"/>
  <c r="E11733" i="34"/>
  <c r="E11734" i="34"/>
  <c r="E11735" i="34"/>
  <c r="E11736" i="34"/>
  <c r="E11737" i="34"/>
  <c r="E11738" i="34"/>
  <c r="E11739" i="34"/>
  <c r="E11740" i="34"/>
  <c r="E11741" i="34"/>
  <c r="E11742" i="34"/>
  <c r="E11743" i="34"/>
  <c r="E11744" i="34"/>
  <c r="E11745" i="34"/>
  <c r="E11746" i="34"/>
  <c r="E11747" i="34"/>
  <c r="E11748" i="34"/>
  <c r="E11749" i="34"/>
  <c r="E11750" i="34"/>
  <c r="E11751" i="34"/>
  <c r="E11752" i="34"/>
  <c r="E11753" i="34"/>
  <c r="E11754" i="34"/>
  <c r="E11755" i="34"/>
  <c r="E11756" i="34"/>
  <c r="E11757" i="34"/>
  <c r="E11758" i="34"/>
  <c r="E11759" i="34"/>
  <c r="E11760" i="34"/>
  <c r="E11761" i="34"/>
  <c r="E11762" i="34"/>
  <c r="E11763" i="34"/>
  <c r="E11764" i="34"/>
  <c r="E11765" i="34"/>
  <c r="E11766" i="34"/>
  <c r="E11767" i="34"/>
  <c r="E11768" i="34"/>
  <c r="E11769" i="34"/>
  <c r="E11770" i="34"/>
  <c r="E11771" i="34"/>
  <c r="E11772" i="34"/>
  <c r="E11773" i="34"/>
  <c r="E11774" i="34"/>
  <c r="E11775" i="34"/>
  <c r="E11776" i="34"/>
  <c r="E11777" i="34"/>
  <c r="E11778" i="34"/>
  <c r="E11779" i="34"/>
  <c r="E11780" i="34"/>
  <c r="E11781" i="34"/>
  <c r="E11782" i="34"/>
  <c r="E11783" i="34"/>
  <c r="E11784" i="34"/>
  <c r="E11785" i="34"/>
  <c r="E11786" i="34"/>
  <c r="E11787" i="34"/>
  <c r="E11788" i="34"/>
  <c r="E11789" i="34"/>
  <c r="E11790" i="34"/>
  <c r="E11791" i="34"/>
  <c r="E11792" i="34"/>
  <c r="E11793" i="34"/>
  <c r="E11794" i="34"/>
  <c r="E11795" i="34"/>
  <c r="E11796" i="34"/>
  <c r="E11797" i="34"/>
  <c r="E11798" i="34"/>
  <c r="E11799" i="34"/>
  <c r="E11800" i="34"/>
  <c r="E11801" i="34"/>
  <c r="E11802" i="34"/>
  <c r="E11803" i="34"/>
  <c r="E11804" i="34"/>
  <c r="E11805" i="34"/>
  <c r="E11806" i="34"/>
  <c r="E11807" i="34"/>
  <c r="E11808" i="34"/>
  <c r="E11809" i="34"/>
  <c r="E11810" i="34"/>
  <c r="E11811" i="34"/>
  <c r="E11812" i="34"/>
  <c r="E11813" i="34"/>
  <c r="E11814" i="34"/>
  <c r="E11815" i="34"/>
  <c r="E11816" i="34"/>
  <c r="E11817" i="34"/>
  <c r="E11818" i="34"/>
  <c r="E11819" i="34"/>
  <c r="E11820" i="34"/>
  <c r="E11821" i="34"/>
  <c r="E11822" i="34"/>
  <c r="E11823" i="34"/>
  <c r="E11824" i="34"/>
  <c r="E11825" i="34"/>
  <c r="E11826" i="34"/>
  <c r="E11827" i="34"/>
  <c r="E11828" i="34"/>
  <c r="E11829" i="34"/>
  <c r="E11830" i="34"/>
  <c r="E11831" i="34"/>
  <c r="E11832" i="34"/>
  <c r="E11833" i="34"/>
  <c r="E11834" i="34"/>
  <c r="E11835" i="34"/>
  <c r="E11836" i="34"/>
  <c r="E11837" i="34"/>
  <c r="E11838" i="34"/>
  <c r="E11839" i="34"/>
  <c r="E11840" i="34"/>
  <c r="E11841" i="34"/>
  <c r="E11842" i="34"/>
  <c r="E11843" i="34"/>
  <c r="E11844" i="34"/>
  <c r="E11845" i="34"/>
  <c r="E11846" i="34"/>
  <c r="E11847" i="34"/>
  <c r="E11848" i="34"/>
  <c r="E11849" i="34"/>
  <c r="E11850" i="34"/>
  <c r="E11851" i="34"/>
  <c r="E11852" i="34"/>
  <c r="E11853" i="34"/>
  <c r="E11854" i="34"/>
  <c r="E11855" i="34"/>
  <c r="E11856" i="34"/>
  <c r="E11857" i="34"/>
  <c r="E11858" i="34"/>
  <c r="E11859" i="34"/>
  <c r="E11860" i="34"/>
  <c r="E11861" i="34"/>
  <c r="E11862" i="34"/>
  <c r="E11863" i="34"/>
  <c r="E11864" i="34"/>
  <c r="E11865" i="34"/>
  <c r="E11866" i="34"/>
  <c r="E11867" i="34"/>
  <c r="E11868" i="34"/>
  <c r="E11869" i="34"/>
  <c r="E11870" i="34"/>
  <c r="E11871" i="34"/>
  <c r="E11872" i="34"/>
  <c r="E11873" i="34"/>
  <c r="E11874" i="34"/>
  <c r="E11875" i="34"/>
  <c r="E11876" i="34"/>
  <c r="E11877" i="34"/>
  <c r="E11878" i="34"/>
  <c r="E11879" i="34"/>
  <c r="E11880" i="34"/>
  <c r="E11881" i="34"/>
  <c r="E11882" i="34"/>
  <c r="E11883" i="34"/>
  <c r="E11884" i="34"/>
  <c r="E11885" i="34"/>
  <c r="E11886" i="34"/>
  <c r="E11887" i="34"/>
  <c r="E11888" i="34"/>
  <c r="E11889" i="34"/>
  <c r="E11890" i="34"/>
  <c r="E11891" i="34"/>
  <c r="E11892" i="34"/>
  <c r="E11893" i="34"/>
  <c r="E11894" i="34"/>
  <c r="E11895" i="34"/>
  <c r="E11896" i="34"/>
  <c r="E11897" i="34"/>
  <c r="E11898" i="34"/>
  <c r="E11899" i="34"/>
  <c r="E11900" i="34"/>
  <c r="E11901" i="34"/>
  <c r="E11902" i="34"/>
  <c r="E11903" i="34"/>
  <c r="E11904" i="34"/>
  <c r="E11905" i="34"/>
  <c r="E11906" i="34"/>
  <c r="E11907" i="34"/>
  <c r="E11908" i="34"/>
  <c r="E11909" i="34"/>
  <c r="E11910" i="34"/>
  <c r="E11911" i="34"/>
  <c r="E11912" i="34"/>
  <c r="E11913" i="34"/>
  <c r="E11914" i="34"/>
  <c r="E11915" i="34"/>
  <c r="E11916" i="34"/>
  <c r="E11917" i="34"/>
  <c r="E11918" i="34"/>
  <c r="E11919" i="34"/>
  <c r="E11920" i="34"/>
  <c r="E11921" i="34"/>
  <c r="E11922" i="34"/>
  <c r="E11923" i="34"/>
  <c r="E11924" i="34"/>
  <c r="E11925" i="34"/>
  <c r="E11926" i="34"/>
  <c r="E11927" i="34"/>
  <c r="E11928" i="34"/>
  <c r="E11929" i="34"/>
  <c r="E11930" i="34"/>
  <c r="E11931" i="34"/>
  <c r="E11932" i="34"/>
  <c r="E11933" i="34"/>
  <c r="E11934" i="34"/>
  <c r="E11935" i="34"/>
  <c r="E11936" i="34"/>
  <c r="E11937" i="34"/>
  <c r="E11938" i="34"/>
  <c r="E11939" i="34"/>
  <c r="E11940" i="34"/>
  <c r="E11941" i="34"/>
  <c r="E11942" i="34"/>
  <c r="E11943" i="34"/>
  <c r="E11944" i="34"/>
  <c r="E11945" i="34"/>
  <c r="E11946" i="34"/>
  <c r="E11947" i="34"/>
  <c r="E11948" i="34"/>
  <c r="E11949" i="34"/>
  <c r="E11950" i="34"/>
  <c r="E11951" i="34"/>
  <c r="E11952" i="34"/>
  <c r="E11953" i="34"/>
  <c r="E11954" i="34"/>
  <c r="E11955" i="34"/>
  <c r="E11956" i="34"/>
  <c r="E11957" i="34"/>
  <c r="E11958" i="34"/>
  <c r="E11959" i="34"/>
  <c r="E11960" i="34"/>
  <c r="E11961" i="34"/>
  <c r="E11962" i="34"/>
  <c r="E11963" i="34"/>
  <c r="E11964" i="34"/>
  <c r="E11965" i="34"/>
  <c r="E11966" i="34"/>
  <c r="E11967" i="34"/>
  <c r="E11968" i="34"/>
  <c r="E11969" i="34"/>
  <c r="E11970" i="34"/>
  <c r="E11971" i="34"/>
  <c r="E11972" i="34"/>
  <c r="E11973" i="34"/>
  <c r="E11974" i="34"/>
  <c r="E11975" i="34"/>
  <c r="E11976" i="34"/>
  <c r="E11977" i="34"/>
  <c r="E11978" i="34"/>
  <c r="E11979" i="34"/>
  <c r="E11980" i="34"/>
  <c r="E11981" i="34"/>
  <c r="E11982" i="34"/>
  <c r="E11983" i="34"/>
  <c r="E11984" i="34"/>
  <c r="E11985" i="34"/>
  <c r="E11986" i="34"/>
  <c r="E11987" i="34"/>
  <c r="E11988" i="34"/>
  <c r="E11989" i="34"/>
  <c r="E11990" i="34"/>
  <c r="E11991" i="34"/>
  <c r="E11992" i="34"/>
  <c r="E11993" i="34"/>
  <c r="E11994" i="34"/>
  <c r="E11995" i="34"/>
  <c r="E11996" i="34"/>
  <c r="E11997" i="34"/>
  <c r="E11998" i="34"/>
  <c r="E11999" i="34"/>
  <c r="E12000" i="34"/>
  <c r="E12001" i="34"/>
  <c r="E12002" i="34"/>
  <c r="E12003" i="34"/>
  <c r="E12004" i="34"/>
  <c r="E12005" i="34"/>
  <c r="E12006" i="34"/>
  <c r="E12007" i="34"/>
  <c r="E12008" i="34"/>
  <c r="E12009" i="34"/>
  <c r="E12010" i="34"/>
  <c r="E12011" i="34"/>
  <c r="E12012" i="34"/>
  <c r="E12013" i="34"/>
  <c r="E12014" i="34"/>
  <c r="E12015" i="34"/>
  <c r="E12016" i="34"/>
  <c r="E12017" i="34"/>
  <c r="E12018" i="34"/>
  <c r="E12019" i="34"/>
  <c r="E12020" i="34"/>
  <c r="E12021" i="34"/>
  <c r="E12022" i="34"/>
  <c r="E12023" i="34"/>
  <c r="E12024" i="34"/>
  <c r="E12025" i="34"/>
  <c r="E12026" i="34"/>
  <c r="E12027" i="34"/>
  <c r="E12028" i="34"/>
  <c r="E12029" i="34"/>
  <c r="E12030" i="34"/>
  <c r="E12031" i="34"/>
  <c r="E12032" i="34"/>
  <c r="E12033" i="34"/>
  <c r="E12034" i="34"/>
  <c r="E12035" i="34"/>
  <c r="E12036" i="34"/>
  <c r="E12037" i="34"/>
  <c r="E12038" i="34"/>
  <c r="E12039" i="34"/>
  <c r="E12040" i="34"/>
  <c r="E12041" i="34"/>
  <c r="E12042" i="34"/>
  <c r="E12043" i="34"/>
  <c r="E12044" i="34"/>
  <c r="E12045" i="34"/>
  <c r="E12046" i="34"/>
  <c r="E12047" i="34"/>
  <c r="E12048" i="34"/>
  <c r="E12049" i="34"/>
  <c r="E12050" i="34"/>
  <c r="E12051" i="34"/>
  <c r="E12052" i="34"/>
  <c r="E12053" i="34"/>
  <c r="E12054" i="34"/>
  <c r="E12055" i="34"/>
  <c r="E12056" i="34"/>
  <c r="E12057" i="34"/>
  <c r="E12058" i="34"/>
  <c r="E12059" i="34"/>
  <c r="E12060" i="34"/>
  <c r="E12061" i="34"/>
  <c r="E12062" i="34"/>
  <c r="E12063" i="34"/>
  <c r="E12064" i="34"/>
  <c r="E12065" i="34"/>
  <c r="E12066" i="34"/>
  <c r="E12067" i="34"/>
  <c r="E12068" i="34"/>
  <c r="E12069" i="34"/>
  <c r="E12070" i="34"/>
  <c r="E12071" i="34"/>
  <c r="E12072" i="34"/>
  <c r="E12073" i="34"/>
  <c r="E12074" i="34"/>
  <c r="E12075" i="34"/>
  <c r="E12076" i="34"/>
  <c r="E12077" i="34"/>
  <c r="E12078" i="34"/>
  <c r="E12079" i="34"/>
  <c r="E12080" i="34"/>
  <c r="E12081" i="34"/>
  <c r="E12082" i="34"/>
  <c r="E12083" i="34"/>
  <c r="E12084" i="34"/>
  <c r="E12085" i="34"/>
  <c r="E12086" i="34"/>
  <c r="E12087" i="34"/>
  <c r="E12088" i="34"/>
  <c r="E12089" i="34"/>
  <c r="E12090" i="34"/>
  <c r="E12091" i="34"/>
  <c r="E12092" i="34"/>
  <c r="E12093" i="34"/>
  <c r="E12094" i="34"/>
  <c r="E12095" i="34"/>
  <c r="E12096" i="34"/>
  <c r="E12097" i="34"/>
  <c r="E12098" i="34"/>
  <c r="E12099" i="34"/>
  <c r="E12100" i="34"/>
  <c r="E12101" i="34"/>
  <c r="E12102" i="34"/>
  <c r="E12103" i="34"/>
  <c r="E12104" i="34"/>
  <c r="E12105" i="34"/>
  <c r="E12106" i="34"/>
  <c r="E12107" i="34"/>
  <c r="E12108" i="34"/>
  <c r="E12109" i="34"/>
  <c r="E12110" i="34"/>
  <c r="E12111" i="34"/>
  <c r="E12112" i="34"/>
  <c r="E12113" i="34"/>
  <c r="E12114" i="34"/>
  <c r="E12115" i="34"/>
  <c r="E12116" i="34"/>
  <c r="E12117" i="34"/>
  <c r="E12118" i="34"/>
  <c r="E12119" i="34"/>
  <c r="E12120" i="34"/>
  <c r="E12121" i="34"/>
  <c r="E12122" i="34"/>
  <c r="E12123" i="34"/>
  <c r="E12124" i="34"/>
  <c r="E12125" i="34"/>
  <c r="E12126" i="34"/>
  <c r="E12127" i="34"/>
  <c r="E12128" i="34"/>
  <c r="E12129" i="34"/>
  <c r="E12130" i="34"/>
  <c r="E12131" i="34"/>
  <c r="E12132" i="34"/>
  <c r="E12133" i="34"/>
  <c r="E12134" i="34"/>
  <c r="E12135" i="34"/>
  <c r="E12136" i="34"/>
  <c r="E12137" i="34"/>
  <c r="E12138" i="34"/>
  <c r="E12139" i="34"/>
  <c r="E12140" i="34"/>
  <c r="E12141" i="34"/>
  <c r="E12142" i="34"/>
  <c r="E12143" i="34"/>
  <c r="E12144" i="34"/>
  <c r="E12145" i="34"/>
  <c r="E12146" i="34"/>
  <c r="E12147" i="34"/>
  <c r="E12148" i="34"/>
  <c r="E12149" i="34"/>
  <c r="E12150" i="34"/>
  <c r="E12151" i="34"/>
  <c r="E12152" i="34"/>
  <c r="E12153" i="34"/>
  <c r="E12154" i="34"/>
  <c r="E12155" i="34"/>
  <c r="E12156" i="34"/>
  <c r="E12157" i="34"/>
  <c r="E12158" i="34"/>
  <c r="E12159" i="34"/>
  <c r="E12160" i="34"/>
  <c r="E12161" i="34"/>
  <c r="E12162" i="34"/>
  <c r="E12163" i="34"/>
  <c r="E12164" i="34"/>
  <c r="E12165" i="34"/>
  <c r="E12166" i="34"/>
  <c r="E12167" i="34"/>
  <c r="E12168" i="34"/>
  <c r="E12169" i="34"/>
  <c r="E12170" i="34"/>
  <c r="E12171" i="34"/>
  <c r="E12172" i="34"/>
  <c r="E12173" i="34"/>
  <c r="E12174" i="34"/>
  <c r="E12175" i="34"/>
  <c r="E12176" i="34"/>
  <c r="E12177" i="34"/>
  <c r="E12178" i="34"/>
  <c r="E12179" i="34"/>
  <c r="E12180" i="34"/>
  <c r="E12181" i="34"/>
  <c r="E12182" i="34"/>
  <c r="E12183" i="34"/>
  <c r="E12184" i="34"/>
  <c r="E12185" i="34"/>
  <c r="E12186" i="34"/>
  <c r="E12187" i="34"/>
  <c r="E12188" i="34"/>
  <c r="E12189" i="34"/>
  <c r="E12190" i="34"/>
  <c r="E12191" i="34"/>
  <c r="E12192" i="34"/>
  <c r="E12193" i="34"/>
  <c r="E12194" i="34"/>
  <c r="E12195" i="34"/>
  <c r="E12196" i="34"/>
  <c r="E12197" i="34"/>
  <c r="E12198" i="34"/>
  <c r="E12199" i="34"/>
  <c r="E12200" i="34"/>
  <c r="E12201" i="34"/>
  <c r="E12202" i="34"/>
  <c r="E12203" i="34"/>
  <c r="E12204" i="34"/>
  <c r="E12205" i="34"/>
  <c r="E12206" i="34"/>
  <c r="E12207" i="34"/>
  <c r="E12208" i="34"/>
  <c r="E12209" i="34"/>
  <c r="E12210" i="34"/>
  <c r="E12211" i="34"/>
  <c r="E12212" i="34"/>
  <c r="E12213" i="34"/>
  <c r="E12214" i="34"/>
  <c r="E12215" i="34"/>
  <c r="E12216" i="34"/>
  <c r="E12217" i="34"/>
  <c r="E12218" i="34"/>
  <c r="E12219" i="34"/>
  <c r="E12220" i="34"/>
  <c r="E12221" i="34"/>
  <c r="E12222" i="34"/>
  <c r="E12223" i="34"/>
  <c r="E12224" i="34"/>
  <c r="E12225" i="34"/>
  <c r="E12226" i="34"/>
  <c r="E12227" i="34"/>
  <c r="E12228" i="34"/>
  <c r="E12229" i="34"/>
  <c r="E12230" i="34"/>
  <c r="E12231" i="34"/>
  <c r="E12232" i="34"/>
  <c r="E12233" i="34"/>
  <c r="E12234" i="34"/>
  <c r="E12235" i="34"/>
  <c r="E12236" i="34"/>
  <c r="E12237" i="34"/>
  <c r="E12238" i="34"/>
  <c r="E12239" i="34"/>
  <c r="E12240" i="34"/>
  <c r="E12241" i="34"/>
  <c r="E12242" i="34"/>
  <c r="E12243" i="34"/>
  <c r="E12244" i="34"/>
  <c r="E12245" i="34"/>
  <c r="E12246" i="34"/>
  <c r="E12247" i="34"/>
  <c r="E12248" i="34"/>
  <c r="E12249" i="34"/>
  <c r="E12250" i="34"/>
  <c r="E12251" i="34"/>
  <c r="E12252" i="34"/>
  <c r="E12253" i="34"/>
  <c r="E12254" i="34"/>
  <c r="E12255" i="34"/>
  <c r="E12256" i="34"/>
  <c r="E12257" i="34"/>
  <c r="E12258" i="34"/>
  <c r="E12259" i="34"/>
  <c r="E12260" i="34"/>
  <c r="E12261" i="34"/>
  <c r="E12262" i="34"/>
  <c r="E12263" i="34"/>
  <c r="E12264" i="34"/>
  <c r="E12265" i="34"/>
  <c r="E12266" i="34"/>
  <c r="E12267" i="34"/>
  <c r="E12268" i="34"/>
  <c r="E12269" i="34"/>
  <c r="E12270" i="34"/>
  <c r="E12271" i="34"/>
  <c r="E12272" i="34"/>
  <c r="E12273" i="34"/>
  <c r="E12274" i="34"/>
  <c r="E12275" i="34"/>
  <c r="E12276" i="34"/>
  <c r="E12277" i="34"/>
  <c r="E12278" i="34"/>
  <c r="E12279" i="34"/>
  <c r="E12280" i="34"/>
  <c r="E12281" i="34"/>
  <c r="E12282" i="34"/>
  <c r="E12283" i="34"/>
  <c r="E12284" i="34"/>
  <c r="E12285" i="34"/>
  <c r="E12286" i="34"/>
  <c r="E12287" i="34"/>
  <c r="E12288" i="34"/>
  <c r="E12289" i="34"/>
  <c r="E12290" i="34"/>
  <c r="E12291" i="34"/>
  <c r="E12292" i="34"/>
  <c r="E12293" i="34"/>
  <c r="E12294" i="34"/>
  <c r="E12295" i="34"/>
  <c r="E12296" i="34"/>
  <c r="E12297" i="34"/>
  <c r="E12298" i="34"/>
  <c r="E12299" i="34"/>
  <c r="E12300" i="34"/>
  <c r="E12301" i="34"/>
  <c r="E12302" i="34"/>
  <c r="E12303" i="34"/>
  <c r="E12304" i="34"/>
  <c r="E12305" i="34"/>
  <c r="E12306" i="34"/>
  <c r="E12307" i="34"/>
  <c r="E12308" i="34"/>
  <c r="E12309" i="34"/>
  <c r="E12310" i="34"/>
  <c r="E12311" i="34"/>
  <c r="E12312" i="34"/>
  <c r="E12313" i="34"/>
  <c r="E12314" i="34"/>
  <c r="E12315" i="34"/>
  <c r="E12316" i="34"/>
  <c r="E12317" i="34"/>
  <c r="E12318" i="34"/>
  <c r="E12319" i="34"/>
  <c r="E12320" i="34"/>
  <c r="E12321" i="34"/>
  <c r="E12322" i="34"/>
  <c r="E12323" i="34"/>
  <c r="E12324" i="34"/>
  <c r="E12325" i="34"/>
  <c r="E12326" i="34"/>
  <c r="E12327" i="34"/>
  <c r="E12328" i="34"/>
  <c r="E12329" i="34"/>
  <c r="E12330" i="34"/>
  <c r="E12331" i="34"/>
  <c r="E12332" i="34"/>
  <c r="E12333" i="34"/>
  <c r="E12334" i="34"/>
  <c r="E12335" i="34"/>
  <c r="E12336" i="34"/>
  <c r="E12337" i="34"/>
  <c r="E12338" i="34"/>
  <c r="E12339" i="34"/>
  <c r="E12340" i="34"/>
  <c r="E12341" i="34"/>
  <c r="E12342" i="34"/>
  <c r="E12343" i="34"/>
  <c r="E12344" i="34"/>
  <c r="E12345" i="34"/>
  <c r="E12346" i="34"/>
  <c r="E12347" i="34"/>
  <c r="E12348" i="34"/>
  <c r="E12349" i="34"/>
  <c r="E12350" i="34"/>
  <c r="E12351" i="34"/>
  <c r="E12352" i="34"/>
  <c r="E12353" i="34"/>
  <c r="E12354" i="34"/>
  <c r="E12355" i="34"/>
  <c r="E12356" i="34"/>
  <c r="E12357" i="34"/>
  <c r="E12358" i="34"/>
  <c r="E12359" i="34"/>
  <c r="E12360" i="34"/>
  <c r="E12361" i="34"/>
  <c r="E12362" i="34"/>
  <c r="E12363" i="34"/>
  <c r="E12364" i="34"/>
  <c r="E12365" i="34"/>
  <c r="E12366" i="34"/>
  <c r="E12367" i="34"/>
  <c r="E12368" i="34"/>
  <c r="E12369" i="34"/>
  <c r="E12370" i="34"/>
  <c r="E12371" i="34"/>
  <c r="E12372" i="34"/>
  <c r="E12373" i="34"/>
  <c r="E12374" i="34"/>
  <c r="E12375" i="34"/>
  <c r="E12376" i="34"/>
  <c r="E12377" i="34"/>
  <c r="E12378" i="34"/>
  <c r="E12379" i="34"/>
  <c r="E12380" i="34"/>
  <c r="E12381" i="34"/>
  <c r="E12382" i="34"/>
  <c r="E12383" i="34"/>
  <c r="E12384" i="34"/>
  <c r="E12385" i="34"/>
  <c r="E12386" i="34"/>
  <c r="E12387" i="34"/>
  <c r="E12388" i="34"/>
  <c r="E12389" i="34"/>
  <c r="E12390" i="34"/>
  <c r="E12391" i="34"/>
  <c r="E12392" i="34"/>
  <c r="E12393" i="34"/>
  <c r="E12394" i="34"/>
  <c r="E12395" i="34"/>
  <c r="E12396" i="34"/>
  <c r="E12397" i="34"/>
  <c r="E12398" i="34"/>
  <c r="E12399" i="34"/>
  <c r="E12400" i="34"/>
  <c r="E12401" i="34"/>
  <c r="E12402" i="34"/>
  <c r="E12403" i="34"/>
  <c r="E12404" i="34"/>
  <c r="E12405" i="34"/>
  <c r="E12406" i="34"/>
  <c r="E12407" i="34"/>
  <c r="E12408" i="34"/>
  <c r="E12409" i="34"/>
  <c r="E12410" i="34"/>
  <c r="E12411" i="34"/>
  <c r="E12412" i="34"/>
  <c r="E12413" i="34"/>
  <c r="E12414" i="34"/>
  <c r="E12415" i="34"/>
  <c r="E12416" i="34"/>
  <c r="E12417" i="34"/>
  <c r="E12418" i="34"/>
  <c r="E12419" i="34"/>
  <c r="E12420" i="34"/>
  <c r="E12421" i="34"/>
  <c r="E12422" i="34"/>
  <c r="E12423" i="34"/>
  <c r="E12424" i="34"/>
  <c r="E12425" i="34"/>
  <c r="E12426" i="34"/>
  <c r="E12427" i="34"/>
  <c r="E12428" i="34"/>
  <c r="E12429" i="34"/>
  <c r="E12430" i="34"/>
  <c r="E12431" i="34"/>
  <c r="E12432" i="34"/>
  <c r="E12433" i="34"/>
  <c r="E12434" i="34"/>
  <c r="E12435" i="34"/>
  <c r="E12436" i="34"/>
  <c r="E12437" i="34"/>
  <c r="E12438" i="34"/>
  <c r="E12439" i="34"/>
  <c r="E12440" i="34"/>
  <c r="E12441" i="34"/>
  <c r="E12442" i="34"/>
  <c r="E12443" i="34"/>
  <c r="E12444" i="34"/>
  <c r="E12445" i="34"/>
  <c r="E12446" i="34"/>
  <c r="E12447" i="34"/>
  <c r="E12448" i="34"/>
  <c r="E12449" i="34"/>
  <c r="E12450" i="34"/>
  <c r="E12451" i="34"/>
  <c r="E12452" i="34"/>
  <c r="E12453" i="34"/>
  <c r="E12454" i="34"/>
  <c r="E12455" i="34"/>
  <c r="E12456" i="34"/>
  <c r="E12457" i="34"/>
  <c r="E12458" i="34"/>
  <c r="E12459" i="34"/>
  <c r="E12460" i="34"/>
  <c r="E12461" i="34"/>
  <c r="E12462" i="34"/>
  <c r="E12463" i="34"/>
  <c r="E12464" i="34"/>
  <c r="E12465" i="34"/>
  <c r="E12466" i="34"/>
  <c r="E12467" i="34"/>
  <c r="E12468" i="34"/>
  <c r="E12469" i="34"/>
  <c r="E12470" i="34"/>
  <c r="E12471" i="34"/>
  <c r="E12472" i="34"/>
  <c r="E12473" i="34"/>
  <c r="E12474" i="34"/>
  <c r="E12475" i="34"/>
  <c r="E12476" i="34"/>
  <c r="E12477" i="34"/>
  <c r="E12478" i="34"/>
  <c r="E12479" i="34"/>
  <c r="E12480" i="34"/>
  <c r="E12481" i="34"/>
  <c r="E12482" i="34"/>
  <c r="E12483" i="34"/>
  <c r="E12484" i="34"/>
  <c r="E12485" i="34"/>
  <c r="E12486" i="34"/>
  <c r="E12487" i="34"/>
  <c r="E12488" i="34"/>
  <c r="E12489" i="34"/>
  <c r="E12490" i="34"/>
  <c r="E12491" i="34"/>
  <c r="E12492" i="34"/>
  <c r="E12493" i="34"/>
  <c r="E12494" i="34"/>
  <c r="E12495" i="34"/>
  <c r="E12496" i="34"/>
  <c r="E12497" i="34"/>
  <c r="E12498" i="34"/>
  <c r="E12499" i="34"/>
  <c r="E12500" i="34"/>
  <c r="E12501" i="34"/>
  <c r="E12502" i="34"/>
  <c r="E12503" i="34"/>
  <c r="E12504" i="34"/>
  <c r="E12505" i="34"/>
  <c r="E12506" i="34"/>
  <c r="E12507" i="34"/>
  <c r="E12508" i="34"/>
  <c r="E12509" i="34"/>
  <c r="E12510" i="34"/>
  <c r="E12511" i="34"/>
  <c r="E12512" i="34"/>
  <c r="E12513" i="34"/>
  <c r="E12514" i="34"/>
  <c r="E12515" i="34"/>
  <c r="E12516" i="34"/>
  <c r="E12517" i="34"/>
  <c r="E12518" i="34"/>
  <c r="E12519" i="34"/>
  <c r="E12520" i="34"/>
  <c r="E12521" i="34"/>
  <c r="E12522" i="34"/>
  <c r="E12523" i="34"/>
  <c r="E12524" i="34"/>
  <c r="E12525" i="34"/>
  <c r="E12526" i="34"/>
  <c r="E12527" i="34"/>
  <c r="E12528" i="34"/>
  <c r="E12529" i="34"/>
  <c r="E12530" i="34"/>
  <c r="E12531" i="34"/>
  <c r="E12532" i="34"/>
  <c r="E12533" i="34"/>
  <c r="E12534" i="34"/>
  <c r="E12535" i="34"/>
  <c r="E12536" i="34"/>
  <c r="E12537" i="34"/>
  <c r="E12538" i="34"/>
  <c r="E12539" i="34"/>
  <c r="E12540" i="34"/>
  <c r="E12541" i="34"/>
  <c r="E12542" i="34"/>
  <c r="E12543" i="34"/>
  <c r="E12544" i="34"/>
  <c r="E12545" i="34"/>
  <c r="E12546" i="34"/>
  <c r="E12547" i="34"/>
  <c r="E12548" i="34"/>
  <c r="E12549" i="34"/>
  <c r="E12550" i="34"/>
  <c r="E12551" i="34"/>
  <c r="E12552" i="34"/>
  <c r="E12553" i="34"/>
  <c r="E12554" i="34"/>
  <c r="E12555" i="34"/>
  <c r="E12556" i="34"/>
  <c r="E12557" i="34"/>
  <c r="E12558" i="34"/>
  <c r="E12559" i="34"/>
  <c r="E12560" i="34"/>
  <c r="E12561" i="34"/>
  <c r="E12562" i="34"/>
  <c r="E12563" i="34"/>
  <c r="E12564" i="34"/>
  <c r="E12565" i="34"/>
  <c r="E12566" i="34"/>
  <c r="E12567" i="34"/>
  <c r="E12568" i="34"/>
  <c r="E12569" i="34"/>
  <c r="E12570" i="34"/>
  <c r="E12571" i="34"/>
  <c r="E12572" i="34"/>
  <c r="E12573" i="34"/>
  <c r="E12574" i="34"/>
  <c r="E12575" i="34"/>
  <c r="E12576" i="34"/>
  <c r="E12577" i="34"/>
  <c r="E12578" i="34"/>
  <c r="E12579" i="34"/>
  <c r="E12580" i="34"/>
  <c r="E12581" i="34"/>
  <c r="E12582" i="34"/>
  <c r="E12583" i="34"/>
  <c r="E12584" i="34"/>
  <c r="E12585" i="34"/>
  <c r="E12586" i="34"/>
  <c r="E12587" i="34"/>
  <c r="E12588" i="34"/>
  <c r="E12589" i="34"/>
  <c r="E12590" i="34"/>
  <c r="E12591" i="34"/>
  <c r="E12592" i="34"/>
  <c r="E12593" i="34"/>
  <c r="E12594" i="34"/>
  <c r="E12595" i="34"/>
  <c r="E12596" i="34"/>
  <c r="E12597" i="34"/>
  <c r="E12598" i="34"/>
  <c r="E12599" i="34"/>
  <c r="E12600" i="34"/>
  <c r="E12601" i="34"/>
  <c r="E12602" i="34"/>
  <c r="E12603" i="34"/>
  <c r="E12604" i="34"/>
  <c r="E12605" i="34"/>
  <c r="E12606" i="34"/>
  <c r="E12607" i="34"/>
  <c r="E12608" i="34"/>
  <c r="E12609" i="34"/>
  <c r="E12610" i="34"/>
  <c r="E12611" i="34"/>
  <c r="E12612" i="34"/>
  <c r="E12613" i="34"/>
  <c r="E12614" i="34"/>
  <c r="E12615" i="34"/>
  <c r="E12616" i="34"/>
  <c r="E12617" i="34"/>
  <c r="E12618" i="34"/>
  <c r="E12619" i="34"/>
  <c r="E12620" i="34"/>
  <c r="E12621" i="34"/>
  <c r="E12622" i="34"/>
  <c r="E12623" i="34"/>
  <c r="E12624" i="34"/>
  <c r="E12625" i="34"/>
  <c r="E12626" i="34"/>
  <c r="E12627" i="34"/>
  <c r="E12628" i="34"/>
  <c r="E12629" i="34"/>
  <c r="E12630" i="34"/>
  <c r="E12631" i="34"/>
  <c r="E12632" i="34"/>
  <c r="E12633" i="34"/>
  <c r="E12634" i="34"/>
  <c r="E12635" i="34"/>
  <c r="E12636" i="34"/>
  <c r="E12637" i="34"/>
  <c r="E12638" i="34"/>
  <c r="E12639" i="34"/>
  <c r="E12640" i="34"/>
  <c r="E12641" i="34"/>
  <c r="E12642" i="34"/>
  <c r="E12643" i="34"/>
  <c r="E12644" i="34"/>
  <c r="E12645" i="34"/>
  <c r="E12646" i="34"/>
  <c r="E12647" i="34"/>
  <c r="E12648" i="34"/>
  <c r="E12649" i="34"/>
  <c r="E12650" i="34"/>
  <c r="E12651" i="34"/>
  <c r="E12652" i="34"/>
  <c r="E12653" i="34"/>
  <c r="E12654" i="34"/>
  <c r="E12655" i="34"/>
  <c r="E12656" i="34"/>
  <c r="E12657" i="34"/>
  <c r="E12658" i="34"/>
  <c r="E12659" i="34"/>
  <c r="E12660" i="34"/>
  <c r="E12661" i="34"/>
  <c r="E12662" i="34"/>
  <c r="E12663" i="34"/>
  <c r="E12664" i="34"/>
  <c r="E12665" i="34"/>
  <c r="E12666" i="34"/>
  <c r="E12667" i="34"/>
  <c r="E12668" i="34"/>
  <c r="E12669" i="34"/>
  <c r="E12670" i="34"/>
  <c r="E12671" i="34"/>
  <c r="E12672" i="34"/>
  <c r="E12673" i="34"/>
  <c r="E12674" i="34"/>
  <c r="E12675" i="34"/>
  <c r="E12676" i="34"/>
  <c r="E12677" i="34"/>
  <c r="E12678" i="34"/>
  <c r="E12679" i="34"/>
  <c r="E12680" i="34"/>
  <c r="E12681" i="34"/>
  <c r="E12682" i="34"/>
  <c r="E12683" i="34"/>
  <c r="E12684" i="34"/>
  <c r="E12685" i="34"/>
  <c r="E12686" i="34"/>
  <c r="E12687" i="34"/>
  <c r="E12688" i="34"/>
  <c r="E12689" i="34"/>
  <c r="E12690" i="34"/>
  <c r="E12691" i="34"/>
  <c r="E12692" i="34"/>
  <c r="E12693" i="34"/>
  <c r="E12694" i="34"/>
  <c r="E12695" i="34"/>
  <c r="E12696" i="34"/>
  <c r="E12697" i="34"/>
  <c r="E12698" i="34"/>
  <c r="E12699" i="34"/>
  <c r="E12700" i="34"/>
  <c r="E12701" i="34"/>
  <c r="E12702" i="34"/>
  <c r="E12703" i="34"/>
  <c r="E12704" i="34"/>
  <c r="E12705" i="34"/>
  <c r="E12706" i="34"/>
  <c r="E12707" i="34"/>
  <c r="E12708" i="34"/>
  <c r="E12709" i="34"/>
  <c r="E12710" i="34"/>
  <c r="E12711" i="34"/>
  <c r="E12712" i="34"/>
  <c r="E12713" i="34"/>
  <c r="E12714" i="34"/>
  <c r="E12715" i="34"/>
  <c r="E12716" i="34"/>
  <c r="E12717" i="34"/>
  <c r="E12718" i="34"/>
  <c r="E12719" i="34"/>
  <c r="E12720" i="34"/>
  <c r="E12721" i="34"/>
  <c r="E12722" i="34"/>
  <c r="E12723" i="34"/>
  <c r="E12724" i="34"/>
  <c r="E12725" i="34"/>
  <c r="E12726" i="34"/>
  <c r="E12727" i="34"/>
  <c r="E12728" i="34"/>
  <c r="E12729" i="34"/>
  <c r="E12730" i="34"/>
  <c r="E12731" i="34"/>
  <c r="E12732" i="34"/>
  <c r="E12733" i="34"/>
  <c r="E12734" i="34"/>
  <c r="E12735" i="34"/>
  <c r="E12736" i="34"/>
  <c r="E12737" i="34"/>
  <c r="E12738" i="34"/>
  <c r="E12739" i="34"/>
  <c r="E12740" i="34"/>
  <c r="E12741" i="34"/>
  <c r="E12742" i="34"/>
  <c r="E12743" i="34"/>
  <c r="E12744" i="34"/>
  <c r="E12745" i="34"/>
  <c r="E12746" i="34"/>
  <c r="E12747" i="34"/>
  <c r="E12748" i="34"/>
  <c r="E12749" i="34"/>
  <c r="E12750" i="34"/>
  <c r="E12751" i="34"/>
  <c r="E12752" i="34"/>
  <c r="E12753" i="34"/>
  <c r="E12754" i="34"/>
  <c r="E12755" i="34"/>
  <c r="E12756" i="34"/>
  <c r="E12757" i="34"/>
  <c r="E12758" i="34"/>
  <c r="E12759" i="34"/>
  <c r="E12760" i="34"/>
  <c r="E12761" i="34"/>
  <c r="E12762" i="34"/>
  <c r="E12763" i="34"/>
  <c r="E12764" i="34"/>
  <c r="E12765" i="34"/>
  <c r="E12766" i="34"/>
  <c r="E12767" i="34"/>
  <c r="E12768" i="34"/>
  <c r="E12769" i="34"/>
  <c r="E12770" i="34"/>
  <c r="E12771" i="34"/>
  <c r="E12772" i="34"/>
  <c r="E12773" i="34"/>
  <c r="E12774" i="34"/>
  <c r="E12775" i="34"/>
  <c r="E12776" i="34"/>
  <c r="E12777" i="34"/>
  <c r="E12778" i="34"/>
  <c r="E12779" i="34"/>
  <c r="E12780" i="34"/>
  <c r="E12781" i="34"/>
  <c r="E12782" i="34"/>
  <c r="E12783" i="34"/>
  <c r="E12784" i="34"/>
  <c r="E12785" i="34"/>
  <c r="E12786" i="34"/>
  <c r="E12787" i="34"/>
  <c r="E12788" i="34"/>
  <c r="E12789" i="34"/>
  <c r="E12790" i="34"/>
  <c r="E12791" i="34"/>
  <c r="E12792" i="34"/>
  <c r="E12793" i="34"/>
  <c r="E12794" i="34"/>
  <c r="E12795" i="34"/>
  <c r="E12796" i="34"/>
  <c r="E12797" i="34"/>
  <c r="E12798" i="34"/>
  <c r="E12799" i="34"/>
  <c r="E12800" i="34"/>
  <c r="E12801" i="34"/>
  <c r="E12802" i="34"/>
  <c r="E12803" i="34"/>
  <c r="E12804" i="34"/>
  <c r="E12805" i="34"/>
  <c r="E12806" i="34"/>
  <c r="E12807" i="34"/>
  <c r="E12808" i="34"/>
  <c r="E12809" i="34"/>
  <c r="E12810" i="34"/>
  <c r="E12811" i="34"/>
  <c r="E12812" i="34"/>
  <c r="E12813" i="34"/>
  <c r="E12814" i="34"/>
  <c r="E12815" i="34"/>
  <c r="E12816" i="34"/>
  <c r="E12817" i="34"/>
  <c r="E12818" i="34"/>
  <c r="E12819" i="34"/>
  <c r="E12820" i="34"/>
  <c r="E12821" i="34"/>
  <c r="E12822" i="34"/>
  <c r="E12823" i="34"/>
  <c r="E12824" i="34"/>
  <c r="E12825" i="34"/>
  <c r="E12826" i="34"/>
  <c r="E12827" i="34"/>
  <c r="E12828" i="34"/>
  <c r="E12829" i="34"/>
  <c r="E12830" i="34"/>
  <c r="E12831" i="34"/>
  <c r="E12832" i="34"/>
  <c r="E12833" i="34"/>
  <c r="E12834" i="34"/>
  <c r="E12835" i="34"/>
  <c r="E12836" i="34"/>
  <c r="E12837" i="34"/>
  <c r="E12838" i="34"/>
  <c r="E12839" i="34"/>
  <c r="E12840" i="34"/>
  <c r="E12841" i="34"/>
  <c r="E12842" i="34"/>
  <c r="E12843" i="34"/>
  <c r="E12844" i="34"/>
  <c r="E12845" i="34"/>
  <c r="E12846" i="34"/>
  <c r="E12847" i="34"/>
  <c r="E12848" i="34"/>
  <c r="E12849" i="34"/>
  <c r="E12850" i="34"/>
  <c r="E12851" i="34"/>
  <c r="E12852" i="34"/>
  <c r="E12853" i="34"/>
  <c r="E12854" i="34"/>
  <c r="E12855" i="34"/>
  <c r="E12856" i="34"/>
  <c r="E12857" i="34"/>
  <c r="E12858" i="34"/>
  <c r="E12859" i="34"/>
  <c r="E12860" i="34"/>
  <c r="E12861" i="34"/>
  <c r="E12862" i="34"/>
  <c r="E12863" i="34"/>
  <c r="E12864" i="34"/>
  <c r="E12865" i="34"/>
  <c r="E12866" i="34"/>
  <c r="E12867" i="34"/>
  <c r="E12868" i="34"/>
  <c r="E12869" i="34"/>
  <c r="E12870" i="34"/>
  <c r="E12871" i="34"/>
  <c r="E12872" i="34"/>
  <c r="E12873" i="34"/>
  <c r="E12874" i="34"/>
  <c r="E12875" i="34"/>
  <c r="E12876" i="34"/>
  <c r="E12877" i="34"/>
  <c r="E12878" i="34"/>
  <c r="E12879" i="34"/>
  <c r="E12880" i="34"/>
  <c r="E12881" i="34"/>
  <c r="E12882" i="34"/>
  <c r="E12883" i="34"/>
  <c r="E12884" i="34"/>
  <c r="E12885" i="34"/>
  <c r="E12886" i="34"/>
  <c r="E12887" i="34"/>
  <c r="E12888" i="34"/>
  <c r="E12889" i="34"/>
  <c r="E12890" i="34"/>
  <c r="E12891" i="34"/>
  <c r="E12892" i="34"/>
  <c r="E12893" i="34"/>
  <c r="E12894" i="34"/>
  <c r="E12895" i="34"/>
  <c r="E12896" i="34"/>
  <c r="E12897" i="34"/>
  <c r="E12898" i="34"/>
  <c r="E12899" i="34"/>
  <c r="E12900" i="34"/>
  <c r="E12901" i="34"/>
  <c r="E12902" i="34"/>
  <c r="E12903" i="34"/>
  <c r="E12904" i="34"/>
  <c r="E12905" i="34"/>
  <c r="E12906" i="34"/>
  <c r="E12907" i="34"/>
  <c r="E12908" i="34"/>
  <c r="E12909" i="34"/>
  <c r="E12910" i="34"/>
  <c r="E12911" i="34"/>
  <c r="E12912" i="34"/>
  <c r="E12913" i="34"/>
  <c r="E12914" i="34"/>
  <c r="E12915" i="34"/>
  <c r="E12916" i="34"/>
  <c r="E12917" i="34"/>
  <c r="E12918" i="34"/>
  <c r="E12919" i="34"/>
  <c r="E12920" i="34"/>
  <c r="E12921" i="34"/>
  <c r="E12922" i="34"/>
  <c r="E12923" i="34"/>
  <c r="E12924" i="34"/>
  <c r="E12925" i="34"/>
  <c r="E12926" i="34"/>
  <c r="E12927" i="34"/>
  <c r="E12928" i="34"/>
  <c r="E12929" i="34"/>
  <c r="E12930" i="34"/>
  <c r="E12931" i="34"/>
  <c r="E12932" i="34"/>
  <c r="E12933" i="34"/>
  <c r="E12934" i="34"/>
  <c r="E12935" i="34"/>
  <c r="E12936" i="34"/>
  <c r="E12937" i="34"/>
  <c r="E12938" i="34"/>
  <c r="E12939" i="34"/>
  <c r="E12940" i="34"/>
  <c r="E12941" i="34"/>
  <c r="E12942" i="34"/>
  <c r="E12943" i="34"/>
  <c r="E12944" i="34"/>
  <c r="E12945" i="34"/>
  <c r="E12946" i="34"/>
  <c r="E12947" i="34"/>
  <c r="E12948" i="34"/>
  <c r="E12949" i="34"/>
  <c r="E12950" i="34"/>
  <c r="E12951" i="34"/>
  <c r="E12952" i="34"/>
  <c r="E12953" i="34"/>
  <c r="E12954" i="34"/>
  <c r="E12955" i="34"/>
  <c r="E12956" i="34"/>
  <c r="E12957" i="34"/>
  <c r="E12958" i="34"/>
  <c r="E12959" i="34"/>
  <c r="E12960" i="34"/>
  <c r="E12961" i="34"/>
  <c r="E12962" i="34"/>
  <c r="E12963" i="34"/>
  <c r="E12964" i="34"/>
  <c r="E12965" i="34"/>
  <c r="E12966" i="34"/>
  <c r="E12967" i="34"/>
  <c r="E12968" i="34"/>
  <c r="E12969" i="34"/>
  <c r="E12970" i="34"/>
  <c r="E12971" i="34"/>
  <c r="E12972" i="34"/>
  <c r="E12973" i="34"/>
  <c r="E12974" i="34"/>
  <c r="E12975" i="34"/>
  <c r="E12976" i="34"/>
  <c r="E12977" i="34"/>
  <c r="E12978" i="34"/>
  <c r="E12979" i="34"/>
  <c r="E12980" i="34"/>
  <c r="E12981" i="34"/>
  <c r="E12982" i="34"/>
  <c r="E12983" i="34"/>
  <c r="E12984" i="34"/>
  <c r="E12985" i="34"/>
  <c r="E12986" i="34"/>
  <c r="E12987" i="34"/>
  <c r="E12988" i="34"/>
  <c r="E12989" i="34"/>
  <c r="E12990" i="34"/>
  <c r="E12991" i="34"/>
  <c r="E12992" i="34"/>
  <c r="E12993" i="34"/>
  <c r="E12994" i="34"/>
  <c r="E12995" i="34"/>
  <c r="E12996" i="34"/>
  <c r="E12997" i="34"/>
  <c r="E12998" i="34"/>
  <c r="E12999" i="34"/>
  <c r="E13000" i="34"/>
  <c r="E13001" i="34"/>
  <c r="E13002" i="34"/>
  <c r="E13003" i="34"/>
  <c r="E13004" i="34"/>
  <c r="E13005" i="34"/>
  <c r="E13006" i="34"/>
  <c r="E13007" i="34"/>
  <c r="E13008" i="34"/>
  <c r="E13009" i="34"/>
  <c r="E13010" i="34"/>
  <c r="E13011" i="34"/>
  <c r="E13012" i="34"/>
  <c r="E13013" i="34"/>
  <c r="E13014" i="34"/>
  <c r="E13015" i="34"/>
  <c r="E13016" i="34"/>
  <c r="E13017" i="34"/>
  <c r="E13018" i="34"/>
  <c r="E13019" i="34"/>
  <c r="E13020" i="34"/>
  <c r="E13021" i="34"/>
  <c r="E13022" i="34"/>
  <c r="E13023" i="34"/>
  <c r="E13024" i="34"/>
  <c r="E13025" i="34"/>
  <c r="E13026" i="34"/>
  <c r="E13027" i="34"/>
  <c r="E13028" i="34"/>
  <c r="E13029" i="34"/>
  <c r="E13030" i="34"/>
  <c r="E13031" i="34"/>
  <c r="E13032" i="34"/>
  <c r="E13033" i="34"/>
  <c r="E13034" i="34"/>
  <c r="E13035" i="34"/>
  <c r="E13036" i="34"/>
  <c r="E13037" i="34"/>
  <c r="E13038" i="34"/>
  <c r="E13039" i="34"/>
  <c r="E13040" i="34"/>
  <c r="E13041" i="34"/>
  <c r="E13042" i="34"/>
  <c r="E13043" i="34"/>
  <c r="E13044" i="34"/>
  <c r="E13045" i="34"/>
  <c r="E13046" i="34"/>
  <c r="E13047" i="34"/>
  <c r="E13048" i="34"/>
  <c r="E13049" i="34"/>
  <c r="E13050" i="34"/>
  <c r="E13051" i="34"/>
  <c r="E13052" i="34"/>
  <c r="E13053" i="34"/>
  <c r="E13054" i="34"/>
  <c r="E13055" i="34"/>
  <c r="E13056" i="34"/>
  <c r="E13057" i="34"/>
  <c r="E13058" i="34"/>
  <c r="E13059" i="34"/>
  <c r="E13060" i="34"/>
  <c r="E13061" i="34"/>
  <c r="E13062" i="34"/>
  <c r="E13063" i="34"/>
  <c r="E13064" i="34"/>
  <c r="E13065" i="34"/>
  <c r="E13066" i="34"/>
  <c r="E13067" i="34"/>
  <c r="E13068" i="34"/>
  <c r="E13069" i="34"/>
  <c r="E13070" i="34"/>
  <c r="E13071" i="34"/>
  <c r="E13072" i="34"/>
  <c r="E13073" i="34"/>
  <c r="E13074" i="34"/>
  <c r="E13075" i="34"/>
  <c r="E13076" i="34"/>
  <c r="E13077" i="34"/>
  <c r="E13078" i="34"/>
  <c r="E13079" i="34"/>
  <c r="E13080" i="34"/>
  <c r="E13081" i="34"/>
  <c r="E13082" i="34"/>
  <c r="E13083" i="34"/>
  <c r="E13084" i="34"/>
  <c r="E13085" i="34"/>
  <c r="E13086" i="34"/>
  <c r="E13087" i="34"/>
  <c r="E13088" i="34"/>
  <c r="E13089" i="34"/>
  <c r="E13090" i="34"/>
  <c r="E13091" i="34"/>
  <c r="E13092" i="34"/>
  <c r="E13093" i="34"/>
  <c r="E13094" i="34"/>
  <c r="E13095" i="34"/>
  <c r="E13096" i="34"/>
  <c r="E13097" i="34"/>
  <c r="E13098" i="34"/>
  <c r="E13099" i="34"/>
  <c r="E13100" i="34"/>
  <c r="E13101" i="34"/>
  <c r="E13102" i="34"/>
  <c r="E13103" i="34"/>
  <c r="E13104" i="34"/>
  <c r="E13105" i="34"/>
  <c r="E13106" i="34"/>
  <c r="E13107" i="34"/>
  <c r="E13108" i="34"/>
  <c r="E13109" i="34"/>
  <c r="E13110" i="34"/>
  <c r="E13111" i="34"/>
  <c r="E13112" i="34"/>
  <c r="E13113" i="34"/>
  <c r="E13114" i="34"/>
  <c r="E13115" i="34"/>
  <c r="E13116" i="34"/>
  <c r="E13117" i="34"/>
  <c r="E13118" i="34"/>
  <c r="E13119" i="34"/>
  <c r="E13120" i="34"/>
  <c r="E13121" i="34"/>
  <c r="E13122" i="34"/>
  <c r="E13123" i="34"/>
  <c r="E13124" i="34"/>
  <c r="E13125" i="34"/>
  <c r="E13126" i="34"/>
  <c r="E13127" i="34"/>
  <c r="E13128" i="34"/>
  <c r="E13129" i="34"/>
  <c r="E13130" i="34"/>
  <c r="E13131" i="34"/>
  <c r="E13132" i="34"/>
  <c r="E13133" i="34"/>
  <c r="E13134" i="34"/>
  <c r="E13135" i="34"/>
  <c r="E13136" i="34"/>
  <c r="E13137" i="34"/>
  <c r="E13138" i="34"/>
  <c r="E13139" i="34"/>
  <c r="E13140" i="34"/>
  <c r="E13141" i="34"/>
  <c r="E13142" i="34"/>
  <c r="E13143" i="34"/>
  <c r="E13144" i="34"/>
  <c r="E13145" i="34"/>
  <c r="E13146" i="34"/>
  <c r="E13147" i="34"/>
  <c r="E13148" i="34"/>
  <c r="E13149" i="34"/>
  <c r="E13150" i="34"/>
  <c r="E13151" i="34"/>
  <c r="E13152" i="34"/>
  <c r="E13153" i="34"/>
  <c r="E13154" i="34"/>
  <c r="E13155" i="34"/>
  <c r="E13156" i="34"/>
  <c r="E13157" i="34"/>
  <c r="E13158" i="34"/>
  <c r="E13159" i="34"/>
  <c r="E13160" i="34"/>
  <c r="E13161" i="34"/>
  <c r="E13162" i="34"/>
  <c r="E13163" i="34"/>
  <c r="E13164" i="34"/>
  <c r="E13165" i="34"/>
  <c r="E13166" i="34"/>
  <c r="E13167" i="34"/>
  <c r="E13168" i="34"/>
  <c r="E13169" i="34"/>
  <c r="E13170" i="34"/>
  <c r="E13171" i="34"/>
  <c r="E13172" i="34"/>
  <c r="E13173" i="34"/>
  <c r="E13174" i="34"/>
  <c r="E13175" i="34"/>
  <c r="E13176" i="34"/>
  <c r="E13177" i="34"/>
  <c r="E13178" i="34"/>
  <c r="E13179" i="34"/>
  <c r="E13180" i="34"/>
  <c r="E13181" i="34"/>
  <c r="E13182" i="34"/>
  <c r="E13183" i="34"/>
  <c r="E13184" i="34"/>
  <c r="E13185" i="34"/>
  <c r="E13186" i="34"/>
  <c r="E13187" i="34"/>
  <c r="E13188" i="34"/>
  <c r="E13189" i="34"/>
  <c r="E13190" i="34"/>
  <c r="E13191" i="34"/>
  <c r="E13192" i="34"/>
  <c r="E13193" i="34"/>
  <c r="E13194" i="34"/>
  <c r="E13195" i="34"/>
  <c r="E13196" i="34"/>
  <c r="E13197" i="34"/>
  <c r="E13198" i="34"/>
  <c r="E13199" i="34"/>
  <c r="E13200" i="34"/>
  <c r="E13201" i="34"/>
  <c r="E13202" i="34"/>
  <c r="E13203" i="34"/>
  <c r="E13204" i="34"/>
  <c r="E13205" i="34"/>
  <c r="E13206" i="34"/>
  <c r="E13207" i="34"/>
  <c r="E13208" i="34"/>
  <c r="E13209" i="34"/>
  <c r="E13210" i="34"/>
  <c r="E13211" i="34"/>
  <c r="E13212" i="34"/>
  <c r="E13213" i="34"/>
  <c r="E13214" i="34"/>
  <c r="E13215" i="34"/>
  <c r="E13216" i="34"/>
  <c r="E13217" i="34"/>
  <c r="E13218" i="34"/>
  <c r="E13219" i="34"/>
  <c r="E13220" i="34"/>
  <c r="E13221" i="34"/>
  <c r="E13222" i="34"/>
  <c r="E13223" i="34"/>
  <c r="E13224" i="34"/>
  <c r="E13225" i="34"/>
  <c r="E13226" i="34"/>
  <c r="E13227" i="34"/>
  <c r="E13228" i="34"/>
  <c r="E13229" i="34"/>
  <c r="E13230" i="34"/>
  <c r="E13231" i="34"/>
  <c r="E13232" i="34"/>
  <c r="E13233" i="34"/>
  <c r="E13234" i="34"/>
  <c r="E13235" i="34"/>
  <c r="E13236" i="34"/>
  <c r="E13237" i="34"/>
  <c r="E13238" i="34"/>
  <c r="E13239" i="34"/>
  <c r="E13240" i="34"/>
  <c r="E13241" i="34"/>
  <c r="E13242" i="34"/>
  <c r="E13243" i="34"/>
  <c r="E13244" i="34"/>
  <c r="E13245" i="34"/>
  <c r="E13246" i="34"/>
  <c r="E13247" i="34"/>
  <c r="E13248" i="34"/>
  <c r="E13249" i="34"/>
  <c r="E13250" i="34"/>
  <c r="E13251" i="34"/>
  <c r="E13252" i="34"/>
  <c r="E13253" i="34"/>
  <c r="E13254" i="34"/>
  <c r="E13255" i="34"/>
  <c r="E13256" i="34"/>
  <c r="E13257" i="34"/>
  <c r="E13258" i="34"/>
  <c r="E13259" i="34"/>
  <c r="E13260" i="34"/>
  <c r="E13261" i="34"/>
  <c r="E13262" i="34"/>
  <c r="E13263" i="34"/>
  <c r="E13264" i="34"/>
  <c r="E13265" i="34"/>
  <c r="E13266" i="34"/>
  <c r="E13267" i="34"/>
  <c r="E13268" i="34"/>
  <c r="E13269" i="34"/>
  <c r="E13270" i="34"/>
  <c r="E13271" i="34"/>
  <c r="E13272" i="34"/>
  <c r="E13273" i="34"/>
  <c r="E13274" i="34"/>
  <c r="E13275" i="34"/>
  <c r="E13276" i="34"/>
  <c r="E13277" i="34"/>
  <c r="E13278" i="34"/>
  <c r="E13279" i="34"/>
  <c r="E13280" i="34"/>
  <c r="E13281" i="34"/>
  <c r="E13282" i="34"/>
  <c r="E13283" i="34"/>
  <c r="E13284" i="34"/>
  <c r="E13285" i="34"/>
  <c r="E13286" i="34"/>
  <c r="E13287" i="34"/>
  <c r="E13288" i="34"/>
  <c r="E13289" i="34"/>
  <c r="E13290" i="34"/>
  <c r="E13291" i="34"/>
  <c r="E13292" i="34"/>
  <c r="E13293" i="34"/>
  <c r="E13294" i="34"/>
  <c r="E13295" i="34"/>
  <c r="E13296" i="34"/>
  <c r="E13297" i="34"/>
  <c r="E13298" i="34"/>
  <c r="E13299" i="34"/>
  <c r="E13300" i="34"/>
  <c r="E13301" i="34"/>
  <c r="E13302" i="34"/>
  <c r="E13303" i="34"/>
  <c r="E13304" i="34"/>
  <c r="E13305" i="34"/>
  <c r="E13306" i="34"/>
  <c r="E13307" i="34"/>
  <c r="E13308" i="34"/>
  <c r="E13309" i="34"/>
  <c r="E13310" i="34"/>
  <c r="E13311" i="34"/>
  <c r="E13312" i="34"/>
  <c r="E13313" i="34"/>
  <c r="E13314" i="34"/>
  <c r="E13315" i="34"/>
  <c r="E13316" i="34"/>
  <c r="E13317" i="34"/>
  <c r="E13318" i="34"/>
  <c r="E13319" i="34"/>
  <c r="E13320" i="34"/>
  <c r="E13321" i="34"/>
  <c r="E13322" i="34"/>
  <c r="E13323" i="34"/>
  <c r="E13324" i="34"/>
  <c r="E13325" i="34"/>
  <c r="E13326" i="34"/>
  <c r="E13327" i="34"/>
  <c r="E13328" i="34"/>
  <c r="E13329" i="34"/>
  <c r="E13330" i="34"/>
  <c r="E13331" i="34"/>
  <c r="E13332" i="34"/>
  <c r="E13333" i="34"/>
  <c r="E13334" i="34"/>
  <c r="E13335" i="34"/>
  <c r="E13336" i="34"/>
  <c r="E13337" i="34"/>
  <c r="E13338" i="34"/>
  <c r="E13339" i="34"/>
  <c r="E13340" i="34"/>
  <c r="E13341" i="34"/>
  <c r="E13342" i="34"/>
  <c r="E13343" i="34"/>
  <c r="E13344" i="34"/>
  <c r="E13345" i="34"/>
  <c r="E13346" i="34"/>
  <c r="E13347" i="34"/>
  <c r="E13348" i="34"/>
  <c r="E13349" i="34"/>
  <c r="E13350" i="34"/>
  <c r="E13351" i="34"/>
  <c r="E13352" i="34"/>
  <c r="E13353" i="34"/>
  <c r="E13354" i="34"/>
  <c r="E13355" i="34"/>
  <c r="E13356" i="34"/>
  <c r="E13357" i="34"/>
  <c r="E13358" i="34"/>
  <c r="E13359" i="34"/>
  <c r="E13360" i="34"/>
  <c r="E13361" i="34"/>
  <c r="E13362" i="34"/>
  <c r="E13363" i="34"/>
  <c r="E13364" i="34"/>
  <c r="E13365" i="34"/>
  <c r="E13366" i="34"/>
  <c r="E13367" i="34"/>
  <c r="E13368" i="34"/>
  <c r="E13369" i="34"/>
  <c r="E13370" i="34"/>
  <c r="E13371" i="34"/>
  <c r="E13372" i="34"/>
  <c r="E13373" i="34"/>
  <c r="E13374" i="34"/>
  <c r="E13375" i="34"/>
  <c r="E13376" i="34"/>
  <c r="E13377" i="34"/>
  <c r="E13378" i="34"/>
  <c r="E13379" i="34"/>
  <c r="E13380" i="34"/>
  <c r="E13381" i="34"/>
  <c r="E13382" i="34"/>
  <c r="E13383" i="34"/>
  <c r="E13384" i="34"/>
  <c r="E13385" i="34"/>
  <c r="E13386" i="34"/>
  <c r="E13387" i="34"/>
  <c r="E13388" i="34"/>
  <c r="E13389" i="34"/>
  <c r="E13390" i="34"/>
  <c r="E13391" i="34"/>
  <c r="E13392" i="34"/>
  <c r="E13393" i="34"/>
  <c r="E13394" i="34"/>
  <c r="E13395" i="34"/>
  <c r="E13396" i="34"/>
  <c r="E13397" i="34"/>
  <c r="E13398" i="34"/>
  <c r="E13399" i="34"/>
  <c r="E13400" i="34"/>
  <c r="E13401" i="34"/>
  <c r="E13402" i="34"/>
  <c r="E13403" i="34"/>
  <c r="E13404" i="34"/>
  <c r="E13405" i="34"/>
  <c r="E13406" i="34"/>
  <c r="E13407" i="34"/>
  <c r="E13408" i="34"/>
  <c r="E13409" i="34"/>
  <c r="E13410" i="34"/>
  <c r="E13411" i="34"/>
  <c r="E13412" i="34"/>
  <c r="E13413" i="34"/>
  <c r="E13414" i="34"/>
  <c r="E13415" i="34"/>
  <c r="E13416" i="34"/>
  <c r="E13417" i="34"/>
  <c r="E13418" i="34"/>
  <c r="E13419" i="34"/>
  <c r="E13420" i="34"/>
  <c r="E13421" i="34"/>
  <c r="E13422" i="34"/>
  <c r="E13423" i="34"/>
  <c r="E13424" i="34"/>
  <c r="E13425" i="34"/>
  <c r="E13426" i="34"/>
  <c r="E13427" i="34"/>
  <c r="E13428" i="34"/>
  <c r="E13429" i="34"/>
  <c r="E13430" i="34"/>
  <c r="E13431" i="34"/>
  <c r="E13432" i="34"/>
  <c r="E13433" i="34"/>
  <c r="E13434" i="34"/>
  <c r="E13435" i="34"/>
  <c r="E13436" i="34"/>
  <c r="E13437" i="34"/>
  <c r="E13438" i="34"/>
  <c r="E13439" i="34"/>
  <c r="E13440" i="34"/>
  <c r="E13441" i="34"/>
  <c r="E13442" i="34"/>
  <c r="E13443" i="34"/>
  <c r="E13444" i="34"/>
  <c r="E13445" i="34"/>
  <c r="E13446" i="34"/>
  <c r="E13447" i="34"/>
  <c r="E13448" i="34"/>
  <c r="E13449" i="34"/>
  <c r="E13450" i="34"/>
  <c r="E13451" i="34"/>
  <c r="E13452" i="34"/>
  <c r="E13453" i="34"/>
  <c r="E13454" i="34"/>
  <c r="E13455" i="34"/>
  <c r="E13456" i="34"/>
  <c r="E13457" i="34"/>
  <c r="E13458" i="34"/>
  <c r="E13459" i="34"/>
  <c r="E13460" i="34"/>
  <c r="E13461" i="34"/>
  <c r="E13462" i="34"/>
  <c r="E13463" i="34"/>
  <c r="E13464" i="34"/>
  <c r="E13465" i="34"/>
  <c r="E13466" i="34"/>
  <c r="E13467" i="34"/>
  <c r="E13468" i="34"/>
  <c r="E13469" i="34"/>
  <c r="E13470" i="34"/>
  <c r="E13471" i="34"/>
  <c r="E13472" i="34"/>
  <c r="E13473" i="34"/>
  <c r="E13474" i="34"/>
  <c r="E13475" i="34"/>
  <c r="E13476" i="34"/>
  <c r="E13477" i="34"/>
  <c r="E13478" i="34"/>
  <c r="E13479" i="34"/>
  <c r="E13480" i="34"/>
  <c r="E13481" i="34"/>
  <c r="E13482" i="34"/>
  <c r="E13483" i="34"/>
  <c r="E13484" i="34"/>
  <c r="E13485" i="34"/>
  <c r="E13486" i="34"/>
  <c r="E13487" i="34"/>
  <c r="E13488" i="34"/>
  <c r="E13489" i="34"/>
  <c r="E13490" i="34"/>
  <c r="E13491" i="34"/>
  <c r="E13492" i="34"/>
  <c r="E13493" i="34"/>
  <c r="E13494" i="34"/>
  <c r="E13495" i="34"/>
  <c r="E13496" i="34"/>
  <c r="E13497" i="34"/>
  <c r="E13498" i="34"/>
  <c r="E13499" i="34"/>
  <c r="E13500" i="34"/>
  <c r="E13501" i="34"/>
  <c r="E13502" i="34"/>
  <c r="E13503" i="34"/>
  <c r="E13504" i="34"/>
  <c r="E13505" i="34"/>
  <c r="E13506" i="34"/>
  <c r="E13507" i="34"/>
  <c r="E13508" i="34"/>
  <c r="E13509" i="34"/>
  <c r="E13510" i="34"/>
  <c r="E13511" i="34"/>
  <c r="E13512" i="34"/>
  <c r="E13513" i="34"/>
  <c r="E13514" i="34"/>
  <c r="E13515" i="34"/>
  <c r="E13516" i="34"/>
  <c r="E13517" i="34"/>
  <c r="E13518" i="34"/>
  <c r="E13519" i="34"/>
  <c r="E13520" i="34"/>
  <c r="E13521" i="34"/>
  <c r="E13522" i="34"/>
  <c r="E13523" i="34"/>
  <c r="E13524" i="34"/>
  <c r="E13525" i="34"/>
  <c r="E13526" i="34"/>
  <c r="E13527" i="34"/>
  <c r="E13528" i="34"/>
  <c r="E13529" i="34"/>
  <c r="E13530" i="34"/>
  <c r="E13531" i="34"/>
  <c r="E13532" i="34"/>
  <c r="E13533" i="34"/>
  <c r="E13534" i="34"/>
  <c r="E13535" i="34"/>
  <c r="E13536" i="34"/>
  <c r="E13537" i="34"/>
  <c r="E13538" i="34"/>
  <c r="E13539" i="34"/>
  <c r="E13540" i="34"/>
  <c r="E13541" i="34"/>
  <c r="E13542" i="34"/>
  <c r="E13543" i="34"/>
  <c r="E13544" i="34"/>
  <c r="E13545" i="34"/>
  <c r="E13546" i="34"/>
  <c r="E13547" i="34"/>
  <c r="E13548" i="34"/>
  <c r="E13549" i="34"/>
  <c r="E13550" i="34"/>
  <c r="E13551" i="34"/>
  <c r="E13552" i="34"/>
  <c r="E13553" i="34"/>
  <c r="E13554" i="34"/>
  <c r="E13555" i="34"/>
  <c r="E13556" i="34"/>
  <c r="E13557" i="34"/>
  <c r="E13558" i="34"/>
  <c r="E13559" i="34"/>
  <c r="E13560" i="34"/>
  <c r="E13561" i="34"/>
  <c r="E13562" i="34"/>
  <c r="E13563" i="34"/>
  <c r="E13564" i="34"/>
  <c r="E13565" i="34"/>
  <c r="E13566" i="34"/>
  <c r="E13567" i="34"/>
  <c r="E13568" i="34"/>
  <c r="E13569" i="34"/>
  <c r="E13570" i="34"/>
  <c r="E13571" i="34"/>
  <c r="E13572" i="34"/>
  <c r="E13573" i="34"/>
  <c r="E13574" i="34"/>
  <c r="E13575" i="34"/>
  <c r="E13576" i="34"/>
  <c r="E13577" i="34"/>
  <c r="E13578" i="34"/>
  <c r="E13579" i="34"/>
  <c r="E13580" i="34"/>
  <c r="E13581" i="34"/>
  <c r="E13582" i="34"/>
  <c r="E13583" i="34"/>
  <c r="E13584" i="34"/>
  <c r="E13585" i="34"/>
  <c r="E13586" i="34"/>
  <c r="E13587" i="34"/>
  <c r="E13588" i="34"/>
  <c r="E13589" i="34"/>
  <c r="E13590" i="34"/>
  <c r="E13591" i="34"/>
  <c r="E13592" i="34"/>
  <c r="E13593" i="34"/>
  <c r="E13594" i="34"/>
  <c r="E13595" i="34"/>
  <c r="E13596" i="34"/>
  <c r="E13597" i="34"/>
  <c r="E13598" i="34"/>
  <c r="E13599" i="34"/>
  <c r="E13600" i="34"/>
  <c r="E13601" i="34"/>
  <c r="E13602" i="34"/>
  <c r="E13603" i="34"/>
  <c r="E13604" i="34"/>
  <c r="E13605" i="34"/>
  <c r="E13606" i="34"/>
  <c r="E13607" i="34"/>
  <c r="E13608" i="34"/>
  <c r="E13609" i="34"/>
  <c r="E13610" i="34"/>
  <c r="E13611" i="34"/>
  <c r="E13612" i="34"/>
  <c r="E13613" i="34"/>
  <c r="E13614" i="34"/>
  <c r="E13615" i="34"/>
  <c r="E13616" i="34"/>
  <c r="E13617" i="34"/>
  <c r="E13618" i="34"/>
  <c r="E13619" i="34"/>
  <c r="E13620" i="34"/>
  <c r="E13621" i="34"/>
  <c r="E13622" i="34"/>
  <c r="E13623" i="34"/>
  <c r="E13624" i="34"/>
  <c r="E13625" i="34"/>
  <c r="E13626" i="34"/>
  <c r="E13627" i="34"/>
  <c r="E13628" i="34"/>
  <c r="E13629" i="34"/>
  <c r="E13630" i="34"/>
  <c r="E13631" i="34"/>
  <c r="E13632" i="34"/>
  <c r="E13633" i="34"/>
  <c r="E13634" i="34"/>
  <c r="E13635" i="34"/>
  <c r="E13636" i="34"/>
  <c r="E13637" i="34"/>
  <c r="E13638" i="34"/>
  <c r="E13639" i="34"/>
  <c r="E13640" i="34"/>
  <c r="E13641" i="34"/>
  <c r="E13642" i="34"/>
  <c r="E13643" i="34"/>
  <c r="E13644" i="34"/>
  <c r="E13645" i="34"/>
  <c r="E13646" i="34"/>
  <c r="E13647" i="34"/>
  <c r="E13648" i="34"/>
  <c r="E13649" i="34"/>
  <c r="E13650" i="34"/>
  <c r="E13651" i="34"/>
  <c r="E13652" i="34"/>
  <c r="E13653" i="34"/>
  <c r="E13654" i="34"/>
  <c r="E13655" i="34"/>
  <c r="E13656" i="34"/>
  <c r="E13657" i="34"/>
  <c r="E13658" i="34"/>
  <c r="E13659" i="34"/>
  <c r="E13660" i="34"/>
  <c r="E13661" i="34"/>
  <c r="E13662" i="34"/>
  <c r="E13663" i="34"/>
  <c r="E13664" i="34"/>
  <c r="E13665" i="34"/>
  <c r="E13666" i="34"/>
  <c r="E13667" i="34"/>
  <c r="E13668" i="34"/>
  <c r="E13669" i="34"/>
  <c r="E13670" i="34"/>
  <c r="E13671" i="34"/>
  <c r="E13672" i="34"/>
  <c r="E13673" i="34"/>
  <c r="E13674" i="34"/>
  <c r="E13675" i="34"/>
  <c r="E13676" i="34"/>
  <c r="E13677" i="34"/>
  <c r="E13678" i="34"/>
  <c r="E13679" i="34"/>
  <c r="E13680" i="34"/>
  <c r="E13681" i="34"/>
  <c r="E13682" i="34"/>
  <c r="E13683" i="34"/>
  <c r="E13684" i="34"/>
  <c r="E13685" i="34"/>
  <c r="E13686" i="34"/>
  <c r="E13687" i="34"/>
  <c r="E13688" i="34"/>
  <c r="E13689" i="34"/>
  <c r="E13690" i="34"/>
  <c r="E13691" i="34"/>
  <c r="E13692" i="34"/>
  <c r="E13693" i="34"/>
  <c r="E13694" i="34"/>
  <c r="E13695" i="34"/>
  <c r="E13696" i="34"/>
  <c r="E13697" i="34"/>
  <c r="E13698" i="34"/>
  <c r="E13699" i="34"/>
  <c r="E13700" i="34"/>
  <c r="E13701" i="34"/>
  <c r="E13702" i="34"/>
  <c r="E13703" i="34"/>
  <c r="E13704" i="34"/>
  <c r="E13705" i="34"/>
  <c r="E13706" i="34"/>
  <c r="E13707" i="34"/>
  <c r="E13708" i="34"/>
  <c r="E13709" i="34"/>
  <c r="E13710" i="34"/>
  <c r="E13711" i="34"/>
  <c r="E13712" i="34"/>
  <c r="E13713" i="34"/>
  <c r="E13714" i="34"/>
  <c r="E13715" i="34"/>
  <c r="E13716" i="34"/>
  <c r="E13717" i="34"/>
  <c r="E13718" i="34"/>
  <c r="E13719" i="34"/>
  <c r="E13720" i="34"/>
  <c r="E13721" i="34"/>
  <c r="E13722" i="34"/>
  <c r="E13723" i="34"/>
  <c r="E13724" i="34"/>
  <c r="E13725" i="34"/>
  <c r="E13726" i="34"/>
  <c r="E13727" i="34"/>
  <c r="E13728" i="34"/>
  <c r="E13729" i="34"/>
  <c r="E13730" i="34"/>
  <c r="E13731" i="34"/>
  <c r="E13732" i="34"/>
  <c r="E13733" i="34"/>
  <c r="E13734" i="34"/>
  <c r="E13735" i="34"/>
  <c r="E13736" i="34"/>
  <c r="E13737" i="34"/>
  <c r="E13738" i="34"/>
  <c r="E13739" i="34"/>
  <c r="E13740" i="34"/>
  <c r="E13741" i="34"/>
  <c r="E13742" i="34"/>
  <c r="E13743" i="34"/>
  <c r="E13744" i="34"/>
  <c r="E13745" i="34"/>
  <c r="E13746" i="34"/>
  <c r="E13747" i="34"/>
  <c r="E13748" i="34"/>
  <c r="E13749" i="34"/>
  <c r="E13750" i="34"/>
  <c r="E13751" i="34"/>
  <c r="E13752" i="34"/>
  <c r="E13753" i="34"/>
  <c r="E13754" i="34"/>
  <c r="E13755" i="34"/>
  <c r="E13756" i="34"/>
  <c r="E13757" i="34"/>
  <c r="E13758" i="34"/>
  <c r="E13759" i="34"/>
  <c r="E13760" i="34"/>
  <c r="E13761" i="34"/>
  <c r="E13762" i="34"/>
  <c r="E13763" i="34"/>
  <c r="E13764" i="34"/>
  <c r="E13765" i="34"/>
  <c r="E13766" i="34"/>
  <c r="E13767" i="34"/>
  <c r="E13768" i="34"/>
  <c r="E13769" i="34"/>
  <c r="E13770" i="34"/>
  <c r="E13771" i="34"/>
  <c r="E13772" i="34"/>
  <c r="E13773" i="34"/>
  <c r="E13774" i="34"/>
  <c r="E13775" i="34"/>
  <c r="E13776" i="34"/>
  <c r="E13777" i="34"/>
  <c r="E13778" i="34"/>
  <c r="E13779" i="34"/>
  <c r="E13780" i="34"/>
  <c r="E13781" i="34"/>
  <c r="E13782" i="34"/>
  <c r="E13783" i="34"/>
  <c r="E13784" i="34"/>
  <c r="E13785" i="34"/>
  <c r="E13786" i="34"/>
  <c r="E13787" i="34"/>
  <c r="E13788" i="34"/>
  <c r="E13789" i="34"/>
  <c r="E13790" i="34"/>
  <c r="E13791" i="34"/>
  <c r="E13792" i="34"/>
  <c r="E13793" i="34"/>
  <c r="E13794" i="34"/>
  <c r="E13795" i="34"/>
  <c r="E13796" i="34"/>
  <c r="E13797" i="34"/>
  <c r="E13798" i="34"/>
  <c r="E13799" i="34"/>
  <c r="E13800" i="34"/>
  <c r="E13801" i="34"/>
  <c r="E13802" i="34"/>
  <c r="E13803" i="34"/>
  <c r="E13804" i="34"/>
  <c r="E13805" i="34"/>
  <c r="E13806" i="34"/>
  <c r="E13807" i="34"/>
  <c r="E13808" i="34"/>
  <c r="E13809" i="34"/>
  <c r="E13810" i="34"/>
  <c r="E13811" i="34"/>
  <c r="E13812" i="34"/>
  <c r="E13813" i="34"/>
  <c r="E13814" i="34"/>
  <c r="E13815" i="34"/>
  <c r="E13816" i="34"/>
  <c r="E13817" i="34"/>
  <c r="E13818" i="34"/>
  <c r="E13819" i="34"/>
  <c r="E13820" i="34"/>
  <c r="E13821" i="34"/>
  <c r="E13822" i="34"/>
  <c r="E13823" i="34"/>
  <c r="E13824" i="34"/>
  <c r="E13825" i="34"/>
  <c r="E13826" i="34"/>
  <c r="E13827" i="34"/>
  <c r="E13828" i="34"/>
  <c r="E13829" i="34"/>
  <c r="E13830" i="34"/>
  <c r="E13831" i="34"/>
  <c r="E13832" i="34"/>
  <c r="E13833" i="34"/>
  <c r="E13834" i="34"/>
  <c r="E13835" i="34"/>
  <c r="E13836" i="34"/>
  <c r="E13837" i="34"/>
  <c r="E13838" i="34"/>
  <c r="E13839" i="34"/>
  <c r="E13840" i="34"/>
  <c r="E13841" i="34"/>
  <c r="E13842" i="34"/>
  <c r="E13843" i="34"/>
  <c r="E13844" i="34"/>
  <c r="E13845" i="34"/>
  <c r="E13846" i="34"/>
  <c r="E13847" i="34"/>
  <c r="E13848" i="34"/>
  <c r="E13849" i="34"/>
  <c r="E13850" i="34"/>
  <c r="E13851" i="34"/>
  <c r="E13852" i="34"/>
  <c r="E13853" i="34"/>
  <c r="E13854" i="34"/>
  <c r="E13855" i="34"/>
  <c r="E13856" i="34"/>
  <c r="E13857" i="34"/>
  <c r="E13858" i="34"/>
  <c r="E13859" i="34"/>
  <c r="E13860" i="34"/>
  <c r="E13861" i="34"/>
  <c r="E13862" i="34"/>
  <c r="E13863" i="34"/>
  <c r="E13864" i="34"/>
  <c r="E13865" i="34"/>
  <c r="E13866" i="34"/>
  <c r="E13867" i="34"/>
  <c r="E13868" i="34"/>
  <c r="E13869" i="34"/>
  <c r="E13870" i="34"/>
  <c r="E13871" i="34"/>
  <c r="E13872" i="34"/>
  <c r="E13873" i="34"/>
  <c r="E13874" i="34"/>
  <c r="E13875" i="34"/>
  <c r="E13876" i="34"/>
  <c r="E13877" i="34"/>
  <c r="E13878" i="34"/>
  <c r="E13879" i="34"/>
  <c r="E13880" i="34"/>
  <c r="E13881" i="34"/>
  <c r="E13882" i="34"/>
  <c r="E13883" i="34"/>
  <c r="E13884" i="34"/>
  <c r="E13885" i="34"/>
  <c r="E13886" i="34"/>
  <c r="E13887" i="34"/>
  <c r="E13888" i="34"/>
  <c r="E13889" i="34"/>
  <c r="E13890" i="34"/>
  <c r="E13891" i="34"/>
  <c r="E13892" i="34"/>
  <c r="E13893" i="34"/>
  <c r="E13894" i="34"/>
  <c r="E13895" i="34"/>
  <c r="E13896" i="34"/>
  <c r="E13897" i="34"/>
  <c r="E13898" i="34"/>
  <c r="E13899" i="34"/>
  <c r="E13900" i="34"/>
  <c r="E13901" i="34"/>
  <c r="E13902" i="34"/>
  <c r="E13903" i="34"/>
  <c r="E13904" i="34"/>
  <c r="E13905" i="34"/>
  <c r="E13906" i="34"/>
  <c r="E13907" i="34"/>
  <c r="E13908" i="34"/>
  <c r="E13909" i="34"/>
  <c r="E13910" i="34"/>
  <c r="E13911" i="34"/>
  <c r="E13912" i="34"/>
  <c r="E13913" i="34"/>
  <c r="E13914" i="34"/>
  <c r="E13915" i="34"/>
  <c r="E13916" i="34"/>
  <c r="E13917" i="34"/>
  <c r="E13918" i="34"/>
  <c r="E13919" i="34"/>
  <c r="E13920" i="34"/>
  <c r="E13921" i="34"/>
  <c r="E13922" i="34"/>
  <c r="E13923" i="34"/>
  <c r="E13924" i="34"/>
  <c r="E13925" i="34"/>
  <c r="E13926" i="34"/>
  <c r="E13927" i="34"/>
  <c r="E13928" i="34"/>
  <c r="E13929" i="34"/>
  <c r="E13930" i="34"/>
  <c r="E13931" i="34"/>
  <c r="E13932" i="34"/>
  <c r="E13933" i="34"/>
  <c r="E13934" i="34"/>
  <c r="E13935" i="34"/>
  <c r="E13936" i="34"/>
  <c r="E13937" i="34"/>
  <c r="E13938" i="34"/>
  <c r="E13939" i="34"/>
  <c r="E13940" i="34"/>
  <c r="E13941" i="34"/>
  <c r="E13942" i="34"/>
  <c r="E13943" i="34"/>
  <c r="E13944" i="34"/>
  <c r="E13945" i="34"/>
  <c r="E13946" i="34"/>
  <c r="E13947" i="34"/>
  <c r="E13948" i="34"/>
  <c r="E13949" i="34"/>
  <c r="E13950" i="34"/>
  <c r="E13951" i="34"/>
  <c r="E13952" i="34"/>
  <c r="E13953" i="34"/>
  <c r="E13954" i="34"/>
  <c r="E13955" i="34"/>
  <c r="E13956" i="34"/>
  <c r="E13957" i="34"/>
  <c r="E13958" i="34"/>
  <c r="E13959" i="34"/>
  <c r="E13960" i="34"/>
  <c r="E13961" i="34"/>
  <c r="E13962" i="34"/>
  <c r="E13963" i="34"/>
  <c r="E13964" i="34"/>
  <c r="E13965" i="34"/>
  <c r="E13966" i="34"/>
  <c r="E13967" i="34"/>
  <c r="E13968" i="34"/>
  <c r="E13969" i="34"/>
  <c r="E13970" i="34"/>
  <c r="E13971" i="34"/>
  <c r="E13972" i="34"/>
  <c r="E13973" i="34"/>
  <c r="E13974" i="34"/>
  <c r="E13975" i="34"/>
  <c r="E13976" i="34"/>
  <c r="E13977" i="34"/>
  <c r="E13978" i="34"/>
  <c r="E13979" i="34"/>
  <c r="E13980" i="34"/>
  <c r="E13981" i="34"/>
  <c r="E13982" i="34"/>
  <c r="E13983" i="34"/>
  <c r="E13984" i="34"/>
  <c r="E13985" i="34"/>
  <c r="E13986" i="34"/>
  <c r="E13987" i="34"/>
  <c r="E13988" i="34"/>
  <c r="E13989" i="34"/>
  <c r="E13990" i="34"/>
  <c r="E13991" i="34"/>
  <c r="E13992" i="34"/>
  <c r="E13993" i="34"/>
  <c r="E13994" i="34"/>
  <c r="E13995" i="34"/>
  <c r="E13996" i="34"/>
  <c r="E13997" i="34"/>
  <c r="E13998" i="34"/>
  <c r="E13999" i="34"/>
  <c r="E14000" i="34"/>
  <c r="E14001" i="34"/>
  <c r="E14002" i="34"/>
  <c r="E14003" i="34"/>
  <c r="E14004" i="34"/>
  <c r="E14005" i="34"/>
  <c r="E14006" i="34"/>
  <c r="E14007" i="34"/>
  <c r="E14008" i="34"/>
  <c r="E14009" i="34"/>
  <c r="E14010" i="34"/>
  <c r="E14011" i="34"/>
  <c r="E14012" i="34"/>
  <c r="E14013" i="34"/>
  <c r="E14014" i="34"/>
  <c r="E14015" i="34"/>
  <c r="E14016" i="34"/>
  <c r="E14017" i="34"/>
  <c r="E14018" i="34"/>
  <c r="E14019" i="34"/>
  <c r="E14020" i="34"/>
  <c r="E14021" i="34"/>
  <c r="E14022" i="34"/>
  <c r="E14023" i="34"/>
  <c r="E14024" i="34"/>
  <c r="E14025" i="34"/>
  <c r="E14026" i="34"/>
  <c r="E14027" i="34"/>
  <c r="E14028" i="34"/>
  <c r="E14029" i="34"/>
  <c r="E14030" i="34"/>
  <c r="E14031" i="34"/>
  <c r="E14032" i="34"/>
  <c r="E14033" i="34"/>
  <c r="E14034" i="34"/>
  <c r="E14035" i="34"/>
  <c r="E14036" i="34"/>
  <c r="E14037" i="34"/>
  <c r="E14038" i="34"/>
  <c r="E14039" i="34"/>
  <c r="E14040" i="34"/>
  <c r="E14041" i="34"/>
  <c r="E14042" i="34"/>
  <c r="E14043" i="34"/>
  <c r="E14044" i="34"/>
  <c r="E14045" i="34"/>
  <c r="E14046" i="34"/>
  <c r="E14047" i="34"/>
  <c r="E14048" i="34"/>
  <c r="E14049" i="34"/>
  <c r="E14050" i="34"/>
  <c r="E14051" i="34"/>
  <c r="E14052" i="34"/>
  <c r="E14053" i="34"/>
  <c r="E14054" i="34"/>
  <c r="E14055" i="34"/>
  <c r="E14056" i="34"/>
  <c r="E14057" i="34"/>
  <c r="E14058" i="34"/>
  <c r="E14059" i="34"/>
  <c r="E14060" i="34"/>
  <c r="E14061" i="34"/>
  <c r="E14062" i="34"/>
  <c r="E14063" i="34"/>
  <c r="E14064" i="34"/>
  <c r="E14065" i="34"/>
  <c r="E14066" i="34"/>
  <c r="E14067" i="34"/>
  <c r="E14068" i="34"/>
  <c r="E14069" i="34"/>
  <c r="E14070" i="34"/>
  <c r="E14071" i="34"/>
  <c r="E14072" i="34"/>
  <c r="E14073" i="34"/>
  <c r="E14074" i="34"/>
  <c r="E14075" i="34"/>
  <c r="E14076" i="34"/>
  <c r="E14077" i="34"/>
  <c r="E14078" i="34"/>
  <c r="E14079" i="34"/>
  <c r="E14080" i="34"/>
  <c r="E14081" i="34"/>
  <c r="E14082" i="34"/>
  <c r="E14083" i="34"/>
  <c r="E14084" i="34"/>
  <c r="E14085" i="34"/>
  <c r="E14086" i="34"/>
  <c r="E14087" i="34"/>
  <c r="E14088" i="34"/>
  <c r="E14089" i="34"/>
  <c r="E14090" i="34"/>
  <c r="E14091" i="34"/>
  <c r="E14092" i="34"/>
  <c r="E14093" i="34"/>
  <c r="E14094" i="34"/>
  <c r="E14095" i="34"/>
  <c r="E14096" i="34"/>
  <c r="E14097" i="34"/>
  <c r="E14098" i="34"/>
  <c r="E14099" i="34"/>
  <c r="E14100" i="34"/>
  <c r="E14101" i="34"/>
  <c r="E14102" i="34"/>
  <c r="E14103" i="34"/>
  <c r="E14104" i="34"/>
  <c r="E14105" i="34"/>
  <c r="E14106" i="34"/>
  <c r="E14107" i="34"/>
  <c r="E14108" i="34"/>
  <c r="E14109" i="34"/>
  <c r="E14110" i="34"/>
  <c r="E14111" i="34"/>
  <c r="E14112" i="34"/>
  <c r="E14113" i="34"/>
  <c r="E14114" i="34"/>
  <c r="E14115" i="34"/>
  <c r="E14116" i="34"/>
  <c r="E14117" i="34"/>
  <c r="E14118" i="34"/>
  <c r="E14119" i="34"/>
  <c r="E14120" i="34"/>
  <c r="E14121" i="34"/>
  <c r="E14122" i="34"/>
  <c r="E14123" i="34"/>
  <c r="E14124" i="34"/>
  <c r="E14125" i="34"/>
  <c r="E14126" i="34"/>
  <c r="E14127" i="34"/>
  <c r="E14128" i="34"/>
  <c r="E14129" i="34"/>
  <c r="E14130" i="34"/>
  <c r="E14131" i="34"/>
  <c r="E14132" i="34"/>
  <c r="E14133" i="34"/>
  <c r="E14134" i="34"/>
  <c r="E14135" i="34"/>
  <c r="E14136" i="34"/>
  <c r="E14137" i="34"/>
  <c r="E14138" i="34"/>
  <c r="E14139" i="34"/>
  <c r="E14140" i="34"/>
  <c r="E14141" i="34"/>
  <c r="E14142" i="34"/>
  <c r="E14143" i="34"/>
  <c r="E14144" i="34"/>
  <c r="E14145" i="34"/>
  <c r="E14146" i="34"/>
  <c r="E14147" i="34"/>
  <c r="E14148" i="34"/>
  <c r="E14149" i="34"/>
  <c r="E14150" i="34"/>
  <c r="E14151" i="34"/>
  <c r="E14152" i="34"/>
  <c r="E14153" i="34"/>
  <c r="E14154" i="34"/>
  <c r="E14155" i="34"/>
  <c r="E14156" i="34"/>
  <c r="E14157" i="34"/>
  <c r="E14158" i="34"/>
  <c r="E14159" i="34"/>
  <c r="E14160" i="34"/>
  <c r="E14161" i="34"/>
  <c r="E14162" i="34"/>
  <c r="E14163" i="34"/>
  <c r="E14164" i="34"/>
  <c r="E14165" i="34"/>
  <c r="E14166" i="34"/>
  <c r="E14167" i="34"/>
  <c r="E14168" i="34"/>
  <c r="E14169" i="34"/>
  <c r="E14170" i="34"/>
  <c r="E14171" i="34"/>
  <c r="E14172" i="34"/>
  <c r="E14173" i="34"/>
  <c r="E14174" i="34"/>
  <c r="E14175" i="34"/>
  <c r="E14176" i="34"/>
  <c r="E14177" i="34"/>
  <c r="E14178" i="34"/>
  <c r="E14179" i="34"/>
  <c r="E14180" i="34"/>
  <c r="E14181" i="34"/>
  <c r="E14182" i="34"/>
  <c r="E14183" i="34"/>
  <c r="E14184" i="34"/>
  <c r="E14185" i="34"/>
  <c r="E14186" i="34"/>
  <c r="E14187" i="34"/>
  <c r="E14188" i="34"/>
  <c r="E14189" i="34"/>
  <c r="E14190" i="34"/>
  <c r="E14191" i="34"/>
  <c r="E14192" i="34"/>
  <c r="E14193" i="34"/>
  <c r="E14194" i="34"/>
  <c r="E14195" i="34"/>
  <c r="E14196" i="34"/>
  <c r="E14197" i="34"/>
  <c r="E14198" i="34"/>
  <c r="E14199" i="34"/>
  <c r="E14200" i="34"/>
  <c r="E14201" i="34"/>
  <c r="E14202" i="34"/>
  <c r="E14203" i="34"/>
  <c r="E14204" i="34"/>
  <c r="E14205" i="34"/>
  <c r="E14206" i="34"/>
  <c r="E14207" i="34"/>
  <c r="E14208" i="34"/>
  <c r="E14209" i="34"/>
  <c r="E14210" i="34"/>
  <c r="E14211" i="34"/>
  <c r="E14212" i="34"/>
  <c r="E14213" i="34"/>
  <c r="E14214" i="34"/>
  <c r="E14215" i="34"/>
  <c r="E14216" i="34"/>
  <c r="E14217" i="34"/>
  <c r="E14218" i="34"/>
  <c r="E14219" i="34"/>
  <c r="E14220" i="34"/>
  <c r="E14221" i="34"/>
  <c r="E14222" i="34"/>
  <c r="E14223" i="34"/>
  <c r="E14224" i="34"/>
  <c r="E14225" i="34"/>
  <c r="E14226" i="34"/>
  <c r="E14227" i="34"/>
  <c r="E14228" i="34"/>
  <c r="E14229" i="34"/>
  <c r="E14230" i="34"/>
  <c r="E14231" i="34"/>
  <c r="E14232" i="34"/>
  <c r="E14233" i="34"/>
  <c r="E14234" i="34"/>
  <c r="E14235" i="34"/>
  <c r="E14236" i="34"/>
  <c r="E14237" i="34"/>
  <c r="E14238" i="34"/>
  <c r="E14239" i="34"/>
  <c r="E14240" i="34"/>
  <c r="E14241" i="34"/>
  <c r="E14242" i="34"/>
  <c r="E14243" i="34"/>
  <c r="E14244" i="34"/>
  <c r="E14245" i="34"/>
  <c r="E14246" i="34"/>
  <c r="E14247" i="34"/>
  <c r="E14248" i="34"/>
  <c r="E14249" i="34"/>
  <c r="E14250" i="34"/>
  <c r="E14251" i="34"/>
  <c r="E14252" i="34"/>
  <c r="E14253" i="34"/>
  <c r="E14254" i="34"/>
  <c r="E14255" i="34"/>
  <c r="E14256" i="34"/>
  <c r="E14257" i="34"/>
  <c r="E14258" i="34"/>
  <c r="E14259" i="34"/>
  <c r="E14260" i="34"/>
  <c r="E14261" i="34"/>
  <c r="E14262" i="34"/>
  <c r="E14263" i="34"/>
  <c r="E14264" i="34"/>
  <c r="E14265" i="34"/>
  <c r="E14266" i="34"/>
  <c r="E14267" i="34"/>
  <c r="E14268" i="34"/>
  <c r="E14269" i="34"/>
  <c r="E14270" i="34"/>
  <c r="E14271" i="34"/>
  <c r="E14272" i="34"/>
  <c r="E14273" i="34"/>
  <c r="E14274" i="34"/>
  <c r="E14275" i="34"/>
  <c r="E14276" i="34"/>
  <c r="E14277" i="34"/>
  <c r="E14278" i="34"/>
  <c r="E14279" i="34"/>
  <c r="E14280" i="34"/>
  <c r="E14281" i="34"/>
  <c r="E14282" i="34"/>
  <c r="E14283" i="34"/>
  <c r="E14284" i="34"/>
  <c r="E14285" i="34"/>
  <c r="E14286" i="34"/>
  <c r="E14287" i="34"/>
  <c r="E14288" i="34"/>
  <c r="E14289" i="34"/>
  <c r="E14290" i="34"/>
  <c r="E14291" i="34"/>
  <c r="E14292" i="34"/>
  <c r="E14293" i="34"/>
  <c r="E14294" i="34"/>
  <c r="E14295" i="34"/>
  <c r="E14296" i="34"/>
  <c r="E14297" i="34"/>
  <c r="E14298" i="34"/>
  <c r="E14299" i="34"/>
  <c r="E14300" i="34"/>
  <c r="E14301" i="34"/>
  <c r="E14302" i="34"/>
  <c r="E14303" i="34"/>
  <c r="E14304" i="34"/>
  <c r="E14305" i="34"/>
  <c r="E14306" i="34"/>
  <c r="E14307" i="34"/>
  <c r="E14308" i="34"/>
  <c r="E14309" i="34"/>
  <c r="E14310" i="34"/>
  <c r="E14311" i="34"/>
  <c r="E14312" i="34"/>
  <c r="E14313" i="34"/>
  <c r="E14314" i="34"/>
  <c r="E14315" i="34"/>
  <c r="E14316" i="34"/>
  <c r="E14317" i="34"/>
  <c r="E14318" i="34"/>
  <c r="E14319" i="34"/>
  <c r="E14320" i="34"/>
  <c r="E14321" i="34"/>
  <c r="E14322" i="34"/>
  <c r="E14323" i="34"/>
  <c r="E14324" i="34"/>
  <c r="E14325" i="34"/>
  <c r="E14326" i="34"/>
  <c r="E14327" i="34"/>
  <c r="E14328" i="34"/>
  <c r="E14329" i="34"/>
  <c r="E14330" i="34"/>
  <c r="E14331" i="34"/>
  <c r="E14332" i="34"/>
  <c r="E14333" i="34"/>
  <c r="E14334" i="34"/>
  <c r="E14335" i="34"/>
  <c r="E14336" i="34"/>
  <c r="E14337" i="34"/>
  <c r="E14338" i="34"/>
  <c r="E14339" i="34"/>
  <c r="E14340" i="34"/>
  <c r="E14341" i="34"/>
  <c r="E14342" i="34"/>
  <c r="E14343" i="34"/>
  <c r="E14344" i="34"/>
  <c r="E14345" i="34"/>
  <c r="E14346" i="34"/>
  <c r="E14347" i="34"/>
  <c r="E14348" i="34"/>
  <c r="E14349" i="34"/>
  <c r="E14350" i="34"/>
  <c r="E14351" i="34"/>
  <c r="E14352" i="34"/>
  <c r="E14353" i="34"/>
  <c r="E14354" i="34"/>
  <c r="E14355" i="34"/>
  <c r="E14356" i="34"/>
  <c r="E14357" i="34"/>
  <c r="E14358" i="34"/>
  <c r="E14359" i="34"/>
  <c r="E14360" i="34"/>
  <c r="E14361" i="34"/>
  <c r="E14362" i="34"/>
  <c r="E14363" i="34"/>
  <c r="E14364" i="34"/>
  <c r="E14365" i="34"/>
  <c r="E14366" i="34"/>
  <c r="E14367" i="34"/>
  <c r="E14368" i="34"/>
  <c r="E14369" i="34"/>
  <c r="E14370" i="34"/>
  <c r="E14371" i="34"/>
  <c r="E14372" i="34"/>
  <c r="E14373" i="34"/>
  <c r="E14374" i="34"/>
  <c r="E14375" i="34"/>
  <c r="E14376" i="34"/>
  <c r="E14377" i="34"/>
  <c r="E14378" i="34"/>
  <c r="E14379" i="34"/>
  <c r="E14380" i="34"/>
  <c r="E14381" i="34"/>
  <c r="E14382" i="34"/>
  <c r="E14383" i="34"/>
  <c r="E14384" i="34"/>
  <c r="E14385" i="34"/>
  <c r="E14386" i="34"/>
  <c r="E14387" i="34"/>
  <c r="E14388" i="34"/>
  <c r="E14389" i="34"/>
  <c r="E14390" i="34"/>
  <c r="E14391" i="34"/>
  <c r="E14392" i="34"/>
  <c r="E14393" i="34"/>
  <c r="E14394" i="34"/>
  <c r="E14395" i="34"/>
  <c r="E14396" i="34"/>
  <c r="E14397" i="34"/>
  <c r="E14398" i="34"/>
  <c r="E14399" i="34"/>
  <c r="E14400" i="34"/>
  <c r="E14401" i="34"/>
  <c r="E14402" i="34"/>
  <c r="E14403" i="34"/>
  <c r="E14404" i="34"/>
  <c r="E14405" i="34"/>
  <c r="E14406" i="34"/>
  <c r="E14407" i="34"/>
  <c r="E14408" i="34"/>
  <c r="E14409" i="34"/>
  <c r="E14410" i="34"/>
  <c r="E14411" i="34"/>
  <c r="E14412" i="34"/>
  <c r="E14413" i="34"/>
  <c r="E14414" i="34"/>
  <c r="E14415" i="34"/>
  <c r="E14416" i="34"/>
  <c r="E14417" i="34"/>
  <c r="E14418" i="34"/>
  <c r="E14419" i="34"/>
  <c r="E14420" i="34"/>
  <c r="E14421" i="34"/>
  <c r="E14422" i="34"/>
  <c r="E14423" i="34"/>
  <c r="E14424" i="34"/>
  <c r="E14425" i="34"/>
  <c r="E14426" i="34"/>
  <c r="E14427" i="34"/>
  <c r="E14428" i="34"/>
  <c r="E14429" i="34"/>
  <c r="E14430" i="34"/>
  <c r="E14431" i="34"/>
  <c r="E14432" i="34"/>
  <c r="E14433" i="34"/>
  <c r="E14434" i="34"/>
  <c r="E14435" i="34"/>
  <c r="E14436" i="34"/>
  <c r="E14437" i="34"/>
  <c r="E14438" i="34"/>
  <c r="E14439" i="34"/>
  <c r="E14440" i="34"/>
  <c r="E14441" i="34"/>
  <c r="E14442" i="34"/>
  <c r="E14443" i="34"/>
  <c r="E14444" i="34"/>
  <c r="E14445" i="34"/>
  <c r="E14446" i="34"/>
  <c r="E14447" i="34"/>
  <c r="E14448" i="34"/>
  <c r="E14449" i="34"/>
  <c r="E14450" i="34"/>
  <c r="E14451" i="34"/>
  <c r="E14452" i="34"/>
  <c r="E14453" i="34"/>
  <c r="E14454" i="34"/>
  <c r="E14455" i="34"/>
  <c r="E14456" i="34"/>
  <c r="E14457" i="34"/>
  <c r="E14458" i="34"/>
  <c r="E14459" i="34"/>
  <c r="E14460" i="34"/>
  <c r="E14461" i="34"/>
  <c r="E14462" i="34"/>
  <c r="E14463" i="34"/>
  <c r="E14464" i="34"/>
  <c r="E14465" i="34"/>
  <c r="E14466" i="34"/>
  <c r="E14467" i="34"/>
  <c r="E14468" i="34"/>
  <c r="E14469" i="34"/>
  <c r="E14470" i="34"/>
  <c r="E14471" i="34"/>
  <c r="E14472" i="34"/>
  <c r="E14473" i="34"/>
  <c r="E14474" i="34"/>
  <c r="E14475" i="34"/>
  <c r="E14476" i="34"/>
  <c r="E14477" i="34"/>
  <c r="E14478" i="34"/>
  <c r="E14479" i="34"/>
  <c r="E14480" i="34"/>
  <c r="E14481" i="34"/>
  <c r="E14482" i="34"/>
  <c r="E14483" i="34"/>
  <c r="E14484" i="34"/>
  <c r="E14485" i="34"/>
  <c r="E14486" i="34"/>
  <c r="E14487" i="34"/>
  <c r="E14488" i="34"/>
  <c r="E14489" i="34"/>
  <c r="E14490" i="34"/>
  <c r="E14491" i="34"/>
  <c r="E14492" i="34"/>
  <c r="E14493" i="34"/>
  <c r="E14494" i="34"/>
  <c r="E14495" i="34"/>
  <c r="E14496" i="34"/>
  <c r="E14497" i="34"/>
  <c r="E14498" i="34"/>
  <c r="E14499" i="34"/>
  <c r="E14500" i="34"/>
  <c r="E14501" i="34"/>
  <c r="E14502" i="34"/>
  <c r="E14503" i="34"/>
  <c r="E14504" i="34"/>
  <c r="E14505" i="34"/>
  <c r="E14506" i="34"/>
  <c r="E14507" i="34"/>
  <c r="E14508" i="34"/>
  <c r="E14509" i="34"/>
  <c r="E14510" i="34"/>
  <c r="E14511" i="34"/>
  <c r="E14512" i="34"/>
  <c r="E14513" i="34"/>
  <c r="E14514" i="34"/>
  <c r="E14515" i="34"/>
  <c r="E14516" i="34"/>
  <c r="E14517" i="34"/>
  <c r="E14518" i="34"/>
  <c r="E14519" i="34"/>
  <c r="E14520" i="34"/>
  <c r="E14521" i="34"/>
  <c r="E14522" i="34"/>
  <c r="E14523" i="34"/>
  <c r="E14524" i="34"/>
  <c r="E14525" i="34"/>
  <c r="E14526" i="34"/>
  <c r="E14527" i="34"/>
  <c r="E14528" i="34"/>
  <c r="E14529" i="34"/>
  <c r="E14530" i="34"/>
  <c r="E14531" i="34"/>
  <c r="E14532" i="34"/>
  <c r="E14533" i="34"/>
  <c r="E14534" i="34"/>
  <c r="E14535" i="34"/>
  <c r="E14536" i="34"/>
  <c r="E14537" i="34"/>
  <c r="E14538" i="34"/>
  <c r="E14539" i="34"/>
  <c r="E14540" i="34"/>
  <c r="E14541" i="34"/>
  <c r="E14542" i="34"/>
  <c r="E14543" i="34"/>
  <c r="E14544" i="34"/>
  <c r="E14545" i="34"/>
  <c r="E14546" i="34"/>
  <c r="E14547" i="34"/>
  <c r="E14548" i="34"/>
  <c r="E14549" i="34"/>
  <c r="E14550" i="34"/>
  <c r="E14551" i="34"/>
  <c r="E14552" i="34"/>
  <c r="E14553" i="34"/>
  <c r="E14554" i="34"/>
  <c r="E14555" i="34"/>
  <c r="E14556" i="34"/>
  <c r="E14557" i="34"/>
  <c r="E14558" i="34"/>
  <c r="E14559" i="34"/>
  <c r="E14560" i="34"/>
  <c r="E14561" i="34"/>
  <c r="E14562" i="34"/>
  <c r="E14563" i="34"/>
  <c r="E14564" i="34"/>
  <c r="E14565" i="34"/>
  <c r="E14566" i="34"/>
  <c r="E14567" i="34"/>
  <c r="E14568" i="34"/>
  <c r="E14569" i="34"/>
  <c r="E14570" i="34"/>
  <c r="E14571" i="34"/>
  <c r="E14572" i="34"/>
  <c r="E14573" i="34"/>
  <c r="E14574" i="34"/>
  <c r="E14575" i="34"/>
  <c r="E14576" i="34"/>
  <c r="E14577" i="34"/>
  <c r="E14578" i="34"/>
  <c r="E14579" i="34"/>
  <c r="E14580" i="34"/>
  <c r="E14581" i="34"/>
  <c r="E14582" i="34"/>
  <c r="E14583" i="34"/>
  <c r="E14584" i="34"/>
  <c r="E14585" i="34"/>
  <c r="E14586" i="34"/>
  <c r="E14587" i="34"/>
  <c r="E14588" i="34"/>
  <c r="E14589" i="34"/>
  <c r="E14590" i="34"/>
  <c r="E14591" i="34"/>
  <c r="E14592" i="34"/>
  <c r="E14593" i="34"/>
  <c r="E14594" i="34"/>
  <c r="E14595" i="34"/>
  <c r="E14596" i="34"/>
  <c r="E14597" i="34"/>
  <c r="E14598" i="34"/>
  <c r="E14599" i="34"/>
  <c r="E14600" i="34"/>
  <c r="E14601" i="34"/>
  <c r="E14602" i="34"/>
  <c r="E14603" i="34"/>
  <c r="E14604" i="34"/>
  <c r="E14605" i="34"/>
  <c r="E14606" i="34"/>
  <c r="E14607" i="34"/>
  <c r="E14608" i="34"/>
  <c r="E14609" i="34"/>
  <c r="E14610" i="34"/>
  <c r="E14611" i="34"/>
  <c r="E14612" i="34"/>
  <c r="E14613" i="34"/>
  <c r="E14614" i="34"/>
  <c r="E14615" i="34"/>
  <c r="E14616" i="34"/>
  <c r="E14617" i="34"/>
  <c r="E14618" i="34"/>
  <c r="E14619" i="34"/>
  <c r="E14620" i="34"/>
  <c r="E14621" i="34"/>
  <c r="E14622" i="34"/>
  <c r="E14623" i="34"/>
  <c r="E14624" i="34"/>
  <c r="E14625" i="34"/>
  <c r="E14626" i="34"/>
  <c r="E14627" i="34"/>
  <c r="E14628" i="34"/>
  <c r="E14629" i="34"/>
  <c r="E14630" i="34"/>
  <c r="E14631" i="34"/>
  <c r="E14632" i="34"/>
  <c r="E14633" i="34"/>
  <c r="E14634" i="34"/>
  <c r="E14635" i="34"/>
  <c r="E14636" i="34"/>
  <c r="E14637" i="34"/>
  <c r="E14638" i="34"/>
  <c r="E14639" i="34"/>
  <c r="E14640" i="34"/>
  <c r="E14641" i="34"/>
  <c r="E14642" i="34"/>
  <c r="E14643" i="34"/>
  <c r="E14644" i="34"/>
  <c r="E14645" i="34"/>
  <c r="E14646" i="34"/>
  <c r="E14647" i="34"/>
  <c r="E14648" i="34"/>
  <c r="E14649" i="34"/>
  <c r="E14650" i="34"/>
  <c r="E14651" i="34"/>
  <c r="E14652" i="34"/>
  <c r="E14653" i="34"/>
  <c r="E14654" i="34"/>
  <c r="E14655" i="34"/>
  <c r="E14656" i="34"/>
  <c r="E14657" i="34"/>
  <c r="E14658" i="34"/>
  <c r="E14659" i="34"/>
  <c r="E14660" i="34"/>
  <c r="E14661" i="34"/>
  <c r="E14662" i="34"/>
  <c r="E14663" i="34"/>
  <c r="E14664" i="34"/>
  <c r="E14665" i="34"/>
  <c r="E14666" i="34"/>
  <c r="E14667" i="34"/>
  <c r="E14668" i="34"/>
  <c r="E14669" i="34"/>
  <c r="E14670" i="34"/>
  <c r="E14671" i="34"/>
  <c r="E14672" i="34"/>
  <c r="E14673" i="34"/>
  <c r="E14674" i="34"/>
  <c r="E14675" i="34"/>
  <c r="E14676" i="34"/>
  <c r="E14677" i="34"/>
  <c r="E14678" i="34"/>
  <c r="E14679" i="34"/>
  <c r="E14680" i="34"/>
  <c r="E14681" i="34"/>
  <c r="E14682" i="34"/>
  <c r="E14683" i="34"/>
  <c r="E14684" i="34"/>
  <c r="E14685" i="34"/>
  <c r="E14686" i="34"/>
  <c r="E14687" i="34"/>
  <c r="E14688" i="34"/>
  <c r="E14689" i="34"/>
  <c r="E14690" i="34"/>
  <c r="E14691" i="34"/>
  <c r="E14692" i="34"/>
  <c r="E14693" i="34"/>
  <c r="E14694" i="34"/>
  <c r="E14695" i="34"/>
  <c r="E14696" i="34"/>
  <c r="E14697" i="34"/>
  <c r="E14698" i="34"/>
  <c r="E14699" i="34"/>
  <c r="E14700" i="34"/>
  <c r="E14701" i="34"/>
  <c r="E14702" i="34"/>
  <c r="E14703" i="34"/>
  <c r="E14704" i="34"/>
  <c r="E14705" i="34"/>
  <c r="E14706" i="34"/>
  <c r="E14707" i="34"/>
  <c r="E14708" i="34"/>
  <c r="E14709" i="34"/>
  <c r="E14710" i="34"/>
  <c r="E14711" i="34"/>
  <c r="E14712" i="34"/>
  <c r="E14713" i="34"/>
  <c r="E14714" i="34"/>
  <c r="E14715" i="34"/>
  <c r="E14716" i="34"/>
  <c r="E14717" i="34"/>
  <c r="E14718" i="34"/>
  <c r="E14719" i="34"/>
  <c r="E14720" i="34"/>
  <c r="E14721" i="34"/>
  <c r="E14722" i="34"/>
  <c r="E14723" i="34"/>
  <c r="E14724" i="34"/>
  <c r="E14725" i="34"/>
  <c r="E14726" i="34"/>
  <c r="E14727" i="34"/>
  <c r="E14728" i="34"/>
  <c r="E14729" i="34"/>
  <c r="E14730" i="34"/>
  <c r="E14731" i="34"/>
  <c r="E14732" i="34"/>
  <c r="E14733" i="34"/>
  <c r="E14734" i="34"/>
  <c r="E14735" i="34"/>
  <c r="E14736" i="34"/>
  <c r="E14737" i="34"/>
  <c r="E14738" i="34"/>
  <c r="E14739" i="34"/>
  <c r="E14740" i="34"/>
  <c r="E14741" i="34"/>
  <c r="E14742" i="34"/>
  <c r="E14743" i="34"/>
  <c r="E14744" i="34"/>
  <c r="E14745" i="34"/>
  <c r="E14746" i="34"/>
  <c r="E14747" i="34"/>
  <c r="E14748" i="34"/>
  <c r="E14749" i="34"/>
  <c r="E14750" i="34"/>
  <c r="E14751" i="34"/>
  <c r="E14752" i="34"/>
  <c r="E14753" i="34"/>
  <c r="E14754" i="34"/>
  <c r="E14755" i="34"/>
  <c r="E14756" i="34"/>
  <c r="E14757" i="34"/>
  <c r="E14758" i="34"/>
  <c r="E14759" i="34"/>
  <c r="E14760" i="34"/>
  <c r="E14761" i="34"/>
  <c r="E14762" i="34"/>
  <c r="E14763" i="34"/>
  <c r="E14764" i="34"/>
  <c r="E14765" i="34"/>
  <c r="E14766" i="34"/>
  <c r="E14767" i="34"/>
  <c r="E14768" i="34"/>
  <c r="E14769" i="34"/>
  <c r="E14770" i="34"/>
  <c r="E14771" i="34"/>
  <c r="E14772" i="34"/>
  <c r="E14773" i="34"/>
  <c r="E14774" i="34"/>
  <c r="E14775" i="34"/>
  <c r="E14776" i="34"/>
  <c r="E14777" i="34"/>
  <c r="E14778" i="34"/>
  <c r="E14779" i="34"/>
  <c r="E14780" i="34"/>
  <c r="E14781" i="34"/>
  <c r="E14782" i="34"/>
  <c r="E14783" i="34"/>
  <c r="E14784" i="34"/>
  <c r="E14785" i="34"/>
  <c r="E14786" i="34"/>
  <c r="E14787" i="34"/>
  <c r="E14788" i="34"/>
  <c r="E14789" i="34"/>
  <c r="E14790" i="34"/>
  <c r="E14791" i="34"/>
  <c r="E14792" i="34"/>
  <c r="E14793" i="34"/>
  <c r="E14794" i="34"/>
  <c r="E14795" i="34"/>
  <c r="E14796" i="34"/>
  <c r="E14797" i="34"/>
  <c r="E14798" i="34"/>
  <c r="E14799" i="34"/>
  <c r="E14800" i="34"/>
  <c r="E14801" i="34"/>
  <c r="E14802" i="34"/>
  <c r="E14803" i="34"/>
  <c r="E14804" i="34"/>
  <c r="E14805" i="34"/>
  <c r="E14806" i="34"/>
  <c r="E14807" i="34"/>
  <c r="E14808" i="34"/>
  <c r="E14809" i="34"/>
  <c r="E14810" i="34"/>
  <c r="E14811" i="34"/>
  <c r="E14812" i="34"/>
  <c r="E14813" i="34"/>
  <c r="E14814" i="34"/>
  <c r="E14815" i="34"/>
  <c r="E14816" i="34"/>
  <c r="E14817" i="34"/>
  <c r="E14818" i="34"/>
  <c r="E14819" i="34"/>
  <c r="E14820" i="34"/>
  <c r="E14821" i="34"/>
  <c r="E14822" i="34"/>
  <c r="E14823" i="34"/>
  <c r="E14824" i="34"/>
  <c r="E14825" i="34"/>
  <c r="E14826" i="34"/>
  <c r="E14827" i="34"/>
  <c r="E14828" i="34"/>
  <c r="E14829" i="34"/>
  <c r="E14830" i="34"/>
  <c r="E14831" i="34"/>
  <c r="E14832" i="34"/>
  <c r="E14833" i="34"/>
  <c r="E14834" i="34"/>
  <c r="E14835" i="34"/>
  <c r="E14836" i="34"/>
  <c r="E14837" i="34"/>
  <c r="E14838" i="34"/>
  <c r="E14839" i="34"/>
  <c r="E14840" i="34"/>
  <c r="E14841" i="34"/>
  <c r="E14842" i="34"/>
  <c r="E14843" i="34"/>
  <c r="E14844" i="34"/>
  <c r="E14845" i="34"/>
  <c r="E14846" i="34"/>
  <c r="E14847" i="34"/>
  <c r="E14848" i="34"/>
  <c r="E14849" i="34"/>
  <c r="E14850" i="34"/>
  <c r="E14851" i="34"/>
  <c r="E14852" i="34"/>
  <c r="E14853" i="34"/>
  <c r="E14854" i="34"/>
  <c r="E14855" i="34"/>
  <c r="E14856" i="34"/>
  <c r="E14857" i="34"/>
  <c r="E14858" i="34"/>
  <c r="E14859" i="34"/>
  <c r="E14860" i="34"/>
  <c r="E14861" i="34"/>
  <c r="E14862" i="34"/>
  <c r="E14863" i="34"/>
  <c r="E14864" i="34"/>
  <c r="E14865" i="34"/>
  <c r="E14866" i="34"/>
  <c r="E14867" i="34"/>
  <c r="E14868" i="34"/>
  <c r="E14869" i="34"/>
  <c r="E14870" i="34"/>
  <c r="E14871" i="34"/>
  <c r="E14872" i="34"/>
  <c r="E14873" i="34"/>
  <c r="E14874" i="34"/>
  <c r="E14875" i="34"/>
  <c r="E14876" i="34"/>
  <c r="E14877" i="34"/>
  <c r="E14878" i="34"/>
  <c r="E14879" i="34"/>
  <c r="E14880" i="34"/>
  <c r="E14881" i="34"/>
  <c r="E14882" i="34"/>
  <c r="E14883" i="34"/>
  <c r="E14884" i="34"/>
  <c r="E14885" i="34"/>
  <c r="E14886" i="34"/>
  <c r="E14887" i="34"/>
  <c r="E14888" i="34"/>
  <c r="E14889" i="34"/>
  <c r="E14890" i="34"/>
  <c r="E14891" i="34"/>
  <c r="E14892" i="34"/>
  <c r="E14893" i="34"/>
  <c r="E14894" i="34"/>
  <c r="E14895" i="34"/>
  <c r="E14896" i="34"/>
  <c r="E14897" i="34"/>
  <c r="E14898" i="34"/>
  <c r="E14899" i="34"/>
  <c r="E14900" i="34"/>
  <c r="E14901" i="34"/>
  <c r="E14902" i="34"/>
  <c r="E14903" i="34"/>
  <c r="E14904" i="34"/>
  <c r="E14905" i="34"/>
  <c r="E14906" i="34"/>
  <c r="E14907" i="34"/>
  <c r="E14908" i="34"/>
  <c r="E14909" i="34"/>
  <c r="E14910" i="34"/>
  <c r="E14911" i="34"/>
  <c r="E14912" i="34"/>
  <c r="E14913" i="34"/>
  <c r="E14914" i="34"/>
  <c r="E14915" i="34"/>
  <c r="E14916" i="34"/>
  <c r="E14917" i="34"/>
  <c r="E14918" i="34"/>
  <c r="E14919" i="34"/>
  <c r="E14920" i="34"/>
  <c r="E14921" i="34"/>
  <c r="E14922" i="34"/>
  <c r="E14923" i="34"/>
  <c r="E14924" i="34"/>
  <c r="E14925" i="34"/>
  <c r="E14926" i="34"/>
  <c r="E14927" i="34"/>
  <c r="E14928" i="34"/>
  <c r="E14929" i="34"/>
  <c r="E14930" i="34"/>
  <c r="E14931" i="34"/>
  <c r="E14932" i="34"/>
  <c r="E14933" i="34"/>
  <c r="E14934" i="34"/>
  <c r="E14935" i="34"/>
  <c r="E14936" i="34"/>
  <c r="E14937" i="34"/>
  <c r="E14938" i="34"/>
  <c r="E14939" i="34"/>
  <c r="E14940" i="34"/>
  <c r="E14941" i="34"/>
  <c r="E14942" i="34"/>
  <c r="E14943" i="34"/>
  <c r="E14944" i="34"/>
  <c r="E14945" i="34"/>
  <c r="E14946" i="34"/>
  <c r="E14947" i="34"/>
  <c r="E14948" i="34"/>
  <c r="E14949" i="34"/>
  <c r="E14950" i="34"/>
  <c r="E14951" i="34"/>
  <c r="E14952" i="34"/>
  <c r="E14953" i="34"/>
  <c r="E14954" i="34"/>
  <c r="E14955" i="34"/>
  <c r="E14956" i="34"/>
  <c r="E14957" i="34"/>
  <c r="E14958" i="34"/>
  <c r="E14959" i="34"/>
  <c r="E14960" i="34"/>
  <c r="E14961" i="34"/>
  <c r="E14962" i="34"/>
  <c r="E14963" i="34"/>
  <c r="E14964" i="34"/>
  <c r="E14965" i="34"/>
  <c r="E14966" i="34"/>
  <c r="E14967" i="34"/>
  <c r="E14968" i="34"/>
  <c r="E14969" i="34"/>
  <c r="E14970" i="34"/>
  <c r="E14971" i="34"/>
  <c r="E14972" i="34"/>
  <c r="E14973" i="34"/>
  <c r="E14974" i="34"/>
  <c r="E14975" i="34"/>
  <c r="E14976" i="34"/>
  <c r="E14977" i="34"/>
  <c r="E14978" i="34"/>
  <c r="E14979" i="34"/>
  <c r="E14980" i="34"/>
  <c r="E14981" i="34"/>
  <c r="E14982" i="34"/>
  <c r="E14983" i="34"/>
  <c r="E14984" i="34"/>
  <c r="E14985" i="34"/>
  <c r="E14986" i="34"/>
  <c r="E14987" i="34"/>
  <c r="E14988" i="34"/>
  <c r="E14989" i="34"/>
  <c r="E14990" i="34"/>
  <c r="E14991" i="34"/>
  <c r="E14992" i="34"/>
  <c r="E14993" i="34"/>
  <c r="E14994" i="34"/>
  <c r="E14995" i="34"/>
  <c r="E14996" i="34"/>
  <c r="E14997" i="34"/>
  <c r="E14998" i="34"/>
  <c r="E14999" i="34"/>
  <c r="E15000" i="34"/>
  <c r="E15001" i="34"/>
  <c r="E15002" i="34"/>
  <c r="E15003" i="34"/>
  <c r="E15004" i="34"/>
  <c r="E15005" i="34"/>
  <c r="E15006" i="34"/>
  <c r="E15007" i="34"/>
  <c r="E15008" i="34"/>
  <c r="E15009" i="34"/>
  <c r="E15010" i="34"/>
  <c r="E15011" i="34"/>
  <c r="E15012" i="34"/>
  <c r="E15013" i="34"/>
  <c r="E15014" i="34"/>
  <c r="E15015" i="34"/>
  <c r="E15016" i="34"/>
  <c r="E15017" i="34"/>
  <c r="E15018" i="34"/>
  <c r="E15019" i="34"/>
  <c r="E15020" i="34"/>
  <c r="E15021" i="34"/>
  <c r="E15022" i="34"/>
  <c r="E15023" i="34"/>
  <c r="E15024" i="34"/>
  <c r="E15025" i="34"/>
  <c r="E15026" i="34"/>
  <c r="E15027" i="34"/>
  <c r="E15028" i="34"/>
  <c r="E15029" i="34"/>
  <c r="E15030" i="34"/>
  <c r="E15031" i="34"/>
  <c r="E15032" i="34"/>
  <c r="E15033" i="34"/>
  <c r="E15034" i="34"/>
  <c r="E15035" i="34"/>
  <c r="E15036" i="34"/>
  <c r="E15037" i="34"/>
  <c r="E15038" i="34"/>
  <c r="E15039" i="34"/>
  <c r="E15040" i="34"/>
  <c r="E15041" i="34"/>
  <c r="E15042" i="34"/>
  <c r="E15043" i="34"/>
  <c r="E15044" i="34"/>
  <c r="E15045" i="34"/>
  <c r="E15046" i="34"/>
  <c r="E15047" i="34"/>
  <c r="E15048" i="34"/>
  <c r="E15049" i="34"/>
  <c r="E15050" i="34"/>
  <c r="E15051" i="34"/>
  <c r="E15052" i="34"/>
  <c r="E15053" i="34"/>
  <c r="E15054" i="34"/>
  <c r="E15055" i="34"/>
  <c r="E15056" i="34"/>
  <c r="E15057" i="34"/>
  <c r="E15058" i="34"/>
  <c r="E15059" i="34"/>
  <c r="E15060" i="34"/>
  <c r="E15061" i="34"/>
  <c r="E15062" i="34"/>
  <c r="E15063" i="34"/>
  <c r="E15064" i="34"/>
  <c r="E15065" i="34"/>
  <c r="E15066" i="34"/>
  <c r="E15067" i="34"/>
  <c r="E15068" i="34"/>
  <c r="E15069" i="34"/>
  <c r="E15070" i="34"/>
  <c r="E15071" i="34"/>
  <c r="E15072" i="34"/>
  <c r="E15073" i="34"/>
  <c r="E15074" i="34"/>
  <c r="E15075" i="34"/>
  <c r="E15076" i="34"/>
  <c r="E15077" i="34"/>
  <c r="E15078" i="34"/>
  <c r="E15079" i="34"/>
  <c r="E15080" i="34"/>
  <c r="E15081" i="34"/>
  <c r="E15082" i="34"/>
  <c r="E15083" i="34"/>
  <c r="E15084" i="34"/>
  <c r="E15085" i="34"/>
  <c r="E15086" i="34"/>
  <c r="E15087" i="34"/>
  <c r="E15088" i="34"/>
  <c r="E15089" i="34"/>
  <c r="E15090" i="34"/>
  <c r="E15091" i="34"/>
  <c r="E15092" i="34"/>
  <c r="E15093" i="34"/>
  <c r="E15094" i="34"/>
  <c r="E15095" i="34"/>
  <c r="E15096" i="34"/>
  <c r="E15097" i="34"/>
  <c r="E15098" i="34"/>
  <c r="E15099" i="34"/>
  <c r="E15100" i="34"/>
  <c r="E15101" i="34"/>
  <c r="E15102" i="34"/>
  <c r="E15103" i="34"/>
  <c r="E15104" i="34"/>
  <c r="E15105" i="34"/>
  <c r="E15106" i="34"/>
  <c r="E15107" i="34"/>
  <c r="E15108" i="34"/>
  <c r="E15109" i="34"/>
  <c r="E15110" i="34"/>
  <c r="E15111" i="34"/>
  <c r="E15112" i="34"/>
  <c r="E15113" i="34"/>
  <c r="E15114" i="34"/>
  <c r="E15115" i="34"/>
  <c r="E15116" i="34"/>
  <c r="E15117" i="34"/>
  <c r="E15118" i="34"/>
  <c r="E15119" i="34"/>
  <c r="E15120" i="34"/>
  <c r="E15121" i="34"/>
  <c r="E15122" i="34"/>
  <c r="E15123" i="34"/>
  <c r="E15124" i="34"/>
  <c r="E15125" i="34"/>
  <c r="E15126" i="34"/>
  <c r="E15127" i="34"/>
  <c r="E15128" i="34"/>
  <c r="E15129" i="34"/>
  <c r="E15130" i="34"/>
  <c r="E15131" i="34"/>
  <c r="E15132" i="34"/>
  <c r="E15133" i="34"/>
  <c r="E15134" i="34"/>
  <c r="E15135" i="34"/>
  <c r="E15136" i="34"/>
  <c r="E15137" i="34"/>
  <c r="E15138" i="34"/>
  <c r="E15139" i="34"/>
  <c r="E15140" i="34"/>
  <c r="E15141" i="34"/>
  <c r="E15142" i="34"/>
  <c r="E15143" i="34"/>
  <c r="E15144" i="34"/>
  <c r="E15145" i="34"/>
  <c r="E15146" i="34"/>
  <c r="E15147" i="34"/>
  <c r="E15148" i="34"/>
  <c r="E15149" i="34"/>
  <c r="E15150" i="34"/>
  <c r="E15151" i="34"/>
  <c r="E15152" i="34"/>
  <c r="E15153" i="34"/>
  <c r="E15154" i="34"/>
  <c r="E15155" i="34"/>
  <c r="E15156" i="34"/>
  <c r="E15157" i="34"/>
  <c r="E15158" i="34"/>
  <c r="E15159" i="34"/>
  <c r="E15160" i="34"/>
  <c r="E15161" i="34"/>
  <c r="E15162" i="34"/>
  <c r="E15163" i="34"/>
  <c r="E15164" i="34"/>
  <c r="E15165" i="34"/>
  <c r="E15166" i="34"/>
  <c r="E15167" i="34"/>
  <c r="E15168" i="34"/>
  <c r="E15169" i="34"/>
  <c r="E15170" i="34"/>
  <c r="E15171" i="34"/>
  <c r="E15172" i="34"/>
  <c r="E15173" i="34"/>
  <c r="E15174" i="34"/>
  <c r="E15175" i="34"/>
  <c r="E15176" i="34"/>
  <c r="E15177" i="34"/>
  <c r="E15178" i="34"/>
  <c r="E15179" i="34"/>
  <c r="E15180" i="34"/>
  <c r="E15181" i="34"/>
  <c r="E15182" i="34"/>
  <c r="E15183" i="34"/>
  <c r="E15184" i="34"/>
  <c r="E15185" i="34"/>
  <c r="E15186" i="34"/>
  <c r="E15187" i="34"/>
  <c r="E15188" i="34"/>
  <c r="E15189" i="34"/>
  <c r="E15190" i="34"/>
  <c r="E15191" i="34"/>
  <c r="E15192" i="34"/>
  <c r="E15193" i="34"/>
  <c r="E15194" i="34"/>
  <c r="E15195" i="34"/>
  <c r="E15196" i="34"/>
  <c r="E15197" i="34"/>
  <c r="E15198" i="34"/>
  <c r="E15199" i="34"/>
  <c r="E15200" i="34"/>
  <c r="E15201" i="34"/>
  <c r="E15202" i="34"/>
  <c r="E15203" i="34"/>
  <c r="E15204" i="34"/>
  <c r="E15205" i="34"/>
  <c r="E15206" i="34"/>
  <c r="E15207" i="34"/>
  <c r="E15208" i="34"/>
  <c r="E15209" i="34"/>
  <c r="E15210" i="34"/>
  <c r="E15211" i="34"/>
  <c r="E15212" i="34"/>
  <c r="E15213" i="34"/>
  <c r="E15214" i="34"/>
  <c r="E15215" i="34"/>
  <c r="E15216" i="34"/>
  <c r="E15217" i="34"/>
  <c r="E15218" i="34"/>
  <c r="E15219" i="34"/>
  <c r="E15220" i="34"/>
  <c r="E15221" i="34"/>
  <c r="E15222" i="34"/>
  <c r="E15223" i="34"/>
  <c r="E15224" i="34"/>
  <c r="E15225" i="34"/>
  <c r="E15226" i="34"/>
  <c r="E15227" i="34"/>
  <c r="E15228" i="34"/>
  <c r="E15229" i="34"/>
  <c r="E15230" i="34"/>
  <c r="E15231" i="34"/>
  <c r="E15232" i="34"/>
  <c r="E15233" i="34"/>
  <c r="E15234" i="34"/>
  <c r="E15235" i="34"/>
  <c r="E15236" i="34"/>
  <c r="E15237" i="34"/>
  <c r="E15238" i="34"/>
  <c r="E15239" i="34"/>
  <c r="E15240" i="34"/>
  <c r="E15241" i="34"/>
  <c r="E15242" i="34"/>
  <c r="E15243" i="34"/>
  <c r="E15244" i="34"/>
  <c r="E15245" i="34"/>
  <c r="E15246" i="34"/>
  <c r="E15247" i="34"/>
  <c r="E15248" i="34"/>
  <c r="E15249" i="34"/>
  <c r="E15250" i="34"/>
  <c r="E15251" i="34"/>
  <c r="E15252" i="34"/>
  <c r="E15253" i="34"/>
  <c r="E15254" i="34"/>
  <c r="E15255" i="34"/>
  <c r="E15256" i="34"/>
  <c r="E15257" i="34"/>
  <c r="E15258" i="34"/>
  <c r="E15259" i="34"/>
  <c r="E15260" i="34"/>
  <c r="E15261" i="34"/>
  <c r="E15262" i="34"/>
  <c r="E15263" i="34"/>
  <c r="E15264" i="34"/>
  <c r="E15265" i="34"/>
  <c r="E15266" i="34"/>
  <c r="E15267" i="34"/>
  <c r="E15268" i="34"/>
  <c r="E15269" i="34"/>
  <c r="E15270" i="34"/>
  <c r="E15271" i="34"/>
  <c r="E15272" i="34"/>
  <c r="E15273" i="34"/>
  <c r="E15274" i="34"/>
  <c r="E15275" i="34"/>
  <c r="E15276" i="34"/>
  <c r="E15277" i="34"/>
  <c r="E15278" i="34"/>
  <c r="E15279" i="34"/>
  <c r="E15280" i="34"/>
  <c r="E15281" i="34"/>
  <c r="E15282" i="34"/>
  <c r="E15283" i="34"/>
  <c r="E15284" i="34"/>
  <c r="E15285" i="34"/>
  <c r="E15286" i="34"/>
  <c r="E15287" i="34"/>
  <c r="E15288" i="34"/>
  <c r="E15289" i="34"/>
  <c r="E15290" i="34"/>
  <c r="E15291" i="34"/>
  <c r="E15292" i="34"/>
  <c r="E15293" i="34"/>
  <c r="E15294" i="34"/>
  <c r="E15295" i="34"/>
  <c r="E15296" i="34"/>
  <c r="E15297" i="34"/>
  <c r="E15298" i="34"/>
  <c r="E15299" i="34"/>
  <c r="E15300" i="34"/>
  <c r="E15301" i="34"/>
  <c r="E15302" i="34"/>
  <c r="E15303" i="34"/>
  <c r="E15304" i="34"/>
  <c r="E15305" i="34"/>
  <c r="E15306" i="34"/>
  <c r="E15307" i="34"/>
  <c r="E15308" i="34"/>
  <c r="E15309" i="34"/>
  <c r="E15310" i="34"/>
  <c r="E15311" i="34"/>
  <c r="E15312" i="34"/>
  <c r="E15313" i="34"/>
  <c r="E15314" i="34"/>
  <c r="E15315" i="34"/>
  <c r="E15316" i="34"/>
  <c r="E15317" i="34"/>
  <c r="E15318" i="34"/>
  <c r="E15319" i="34"/>
  <c r="E15320" i="34"/>
  <c r="E15321" i="34"/>
  <c r="E15322" i="34"/>
  <c r="E15323" i="34"/>
  <c r="E15324" i="34"/>
  <c r="E15325" i="34"/>
  <c r="E15326" i="34"/>
  <c r="E15327" i="34"/>
  <c r="E15328" i="34"/>
  <c r="E15329" i="34"/>
  <c r="E15330" i="34"/>
  <c r="E15331" i="34"/>
  <c r="E15332" i="34"/>
  <c r="E15333" i="34"/>
  <c r="E15334" i="34"/>
  <c r="E15335" i="34"/>
  <c r="E15336" i="34"/>
  <c r="E15337" i="34"/>
  <c r="E15338" i="34"/>
  <c r="E15339" i="34"/>
  <c r="E15340" i="34"/>
  <c r="E15341" i="34"/>
  <c r="E15342" i="34"/>
  <c r="E15343" i="34"/>
  <c r="E15344" i="34"/>
  <c r="E15345" i="34"/>
  <c r="E2" i="34"/>
  <c r="G3" i="34"/>
  <c r="G4" i="34"/>
  <c r="G5" i="34"/>
  <c r="G6" i="34"/>
  <c r="G7" i="34"/>
  <c r="G8" i="34"/>
  <c r="G9" i="34"/>
  <c r="G10" i="34"/>
  <c r="G11" i="34"/>
  <c r="G12" i="34"/>
  <c r="G13" i="34"/>
  <c r="G14" i="34"/>
  <c r="G15" i="34"/>
  <c r="G16" i="34"/>
  <c r="G17" i="34"/>
  <c r="G18" i="34"/>
  <c r="G19" i="34"/>
  <c r="G20" i="34"/>
  <c r="G21" i="34"/>
  <c r="G22" i="34"/>
  <c r="G23" i="34"/>
  <c r="G24" i="34"/>
  <c r="G25" i="34"/>
  <c r="G26" i="34"/>
  <c r="G27" i="34"/>
  <c r="G28" i="34"/>
  <c r="G29" i="34"/>
  <c r="G30" i="34"/>
  <c r="G31" i="34"/>
  <c r="G32" i="34"/>
  <c r="G33" i="34"/>
  <c r="G34" i="34"/>
  <c r="G35" i="34"/>
  <c r="G36" i="34"/>
  <c r="G37" i="34"/>
  <c r="G38" i="34"/>
  <c r="G39" i="34"/>
  <c r="G40" i="34"/>
  <c r="G41" i="34"/>
  <c r="G42" i="34"/>
  <c r="G43" i="34"/>
  <c r="G44" i="34"/>
  <c r="G45" i="34"/>
  <c r="G46" i="34"/>
  <c r="G47" i="34"/>
  <c r="G48" i="34"/>
  <c r="G49" i="34"/>
  <c r="G50" i="34"/>
  <c r="G51" i="34"/>
  <c r="G52" i="34"/>
  <c r="G53" i="34"/>
  <c r="G54" i="34"/>
  <c r="G55" i="34"/>
  <c r="G56" i="34"/>
  <c r="G57" i="34"/>
  <c r="G58" i="34"/>
  <c r="G59" i="34"/>
  <c r="G60" i="34"/>
  <c r="G61" i="34"/>
  <c r="G62" i="34"/>
  <c r="G63" i="34"/>
  <c r="G64" i="34"/>
  <c r="G65" i="34"/>
  <c r="G66" i="34"/>
  <c r="G67" i="34"/>
  <c r="G68" i="34"/>
  <c r="G69" i="34"/>
  <c r="G70" i="34"/>
  <c r="G71" i="34"/>
  <c r="G72" i="34"/>
  <c r="G73" i="34"/>
  <c r="G74" i="34"/>
  <c r="G75" i="34"/>
  <c r="G76" i="34"/>
  <c r="G77" i="34"/>
  <c r="G78" i="34"/>
  <c r="G79" i="34"/>
  <c r="G80" i="34"/>
  <c r="G81" i="34"/>
  <c r="G82" i="34"/>
  <c r="G83" i="34"/>
  <c r="G84" i="34"/>
  <c r="G85" i="34"/>
  <c r="G86" i="34"/>
  <c r="G87" i="34"/>
  <c r="G88" i="34"/>
  <c r="G89" i="34"/>
  <c r="G90" i="34"/>
  <c r="G91" i="34"/>
  <c r="G92" i="34"/>
  <c r="G93" i="34"/>
  <c r="G94" i="34"/>
  <c r="G95" i="34"/>
  <c r="G96" i="34"/>
  <c r="G97" i="34"/>
  <c r="G98" i="34"/>
  <c r="G99" i="34"/>
  <c r="G100" i="34"/>
  <c r="G101" i="34"/>
  <c r="G102" i="34"/>
  <c r="G103" i="34"/>
  <c r="G104" i="34"/>
  <c r="G105" i="34"/>
  <c r="G106" i="34"/>
  <c r="G107" i="34"/>
  <c r="G108" i="34"/>
  <c r="G109" i="34"/>
  <c r="G110" i="34"/>
  <c r="G111" i="34"/>
  <c r="G112" i="34"/>
  <c r="G113" i="34"/>
  <c r="G114" i="34"/>
  <c r="G115" i="34"/>
  <c r="G116" i="34"/>
  <c r="G117" i="34"/>
  <c r="G118" i="34"/>
  <c r="G119" i="34"/>
  <c r="G120" i="34"/>
  <c r="G121" i="34"/>
  <c r="G122" i="34"/>
  <c r="G123" i="34"/>
  <c r="G124" i="34"/>
  <c r="G125" i="34"/>
  <c r="G126" i="34"/>
  <c r="G127" i="34"/>
  <c r="G128" i="34"/>
  <c r="G129" i="34"/>
  <c r="G130" i="34"/>
  <c r="G131" i="34"/>
  <c r="G132" i="34"/>
  <c r="G133" i="34"/>
  <c r="G134" i="34"/>
  <c r="G135" i="34"/>
  <c r="G136" i="34"/>
  <c r="G137" i="34"/>
  <c r="G138" i="34"/>
  <c r="G139" i="34"/>
  <c r="G140" i="34"/>
  <c r="G141" i="34"/>
  <c r="G142" i="34"/>
  <c r="G143" i="34"/>
  <c r="G144" i="34"/>
  <c r="G145" i="34"/>
  <c r="G146" i="34"/>
  <c r="G147" i="34"/>
  <c r="G148" i="34"/>
  <c r="G149" i="34"/>
  <c r="G150" i="34"/>
  <c r="G151" i="34"/>
  <c r="G152" i="34"/>
  <c r="G153" i="34"/>
  <c r="G154" i="34"/>
  <c r="G155" i="34"/>
  <c r="G156" i="34"/>
  <c r="G157" i="34"/>
  <c r="G158" i="34"/>
  <c r="G159" i="34"/>
  <c r="G160" i="34"/>
  <c r="G161" i="34"/>
  <c r="G162" i="34"/>
  <c r="G163" i="34"/>
  <c r="G164" i="34"/>
  <c r="G165" i="34"/>
  <c r="G166" i="34"/>
  <c r="G167" i="34"/>
  <c r="G168" i="34"/>
  <c r="G169" i="34"/>
  <c r="G170" i="34"/>
  <c r="G171" i="34"/>
  <c r="G172" i="34"/>
  <c r="G173" i="34"/>
  <c r="G174" i="34"/>
  <c r="G175" i="34"/>
  <c r="G176" i="34"/>
  <c r="G177" i="34"/>
  <c r="G178" i="34"/>
  <c r="G179" i="34"/>
  <c r="G180" i="34"/>
  <c r="G181" i="34"/>
  <c r="G182" i="34"/>
  <c r="G183" i="34"/>
  <c r="G184" i="34"/>
  <c r="G185" i="34"/>
  <c r="G186" i="34"/>
  <c r="G187" i="34"/>
  <c r="G188" i="34"/>
  <c r="G189" i="34"/>
  <c r="G190" i="34"/>
  <c r="G191" i="34"/>
  <c r="G192" i="34"/>
  <c r="G193" i="34"/>
  <c r="G194" i="34"/>
  <c r="G195" i="34"/>
  <c r="G196" i="34"/>
  <c r="G197" i="34"/>
  <c r="G198" i="34"/>
  <c r="G199" i="34"/>
  <c r="G200" i="34"/>
  <c r="G201" i="34"/>
  <c r="G202" i="34"/>
  <c r="G203" i="34"/>
  <c r="G204" i="34"/>
  <c r="G205" i="34"/>
  <c r="G206" i="34"/>
  <c r="G207" i="34"/>
  <c r="G208" i="34"/>
  <c r="G209" i="34"/>
  <c r="G210" i="34"/>
  <c r="G211" i="34"/>
  <c r="G212" i="34"/>
  <c r="G213" i="34"/>
  <c r="G214" i="34"/>
  <c r="G215" i="34"/>
  <c r="G216" i="34"/>
  <c r="G217" i="34"/>
  <c r="G218" i="34"/>
  <c r="G219" i="34"/>
  <c r="G220" i="34"/>
  <c r="G221" i="34"/>
  <c r="G222" i="34"/>
  <c r="G223" i="34"/>
  <c r="G224" i="34"/>
  <c r="G225" i="34"/>
  <c r="G226" i="34"/>
  <c r="G227" i="34"/>
  <c r="G228" i="34"/>
  <c r="G229" i="34"/>
  <c r="G230" i="34"/>
  <c r="G231" i="34"/>
  <c r="G232" i="34"/>
  <c r="G233" i="34"/>
  <c r="G234" i="34"/>
  <c r="G235" i="34"/>
  <c r="G236" i="34"/>
  <c r="G237" i="34"/>
  <c r="G238" i="34"/>
  <c r="G239" i="34"/>
  <c r="G240" i="34"/>
  <c r="G241" i="34"/>
  <c r="G242" i="34"/>
  <c r="G243" i="34"/>
  <c r="G244" i="34"/>
  <c r="G245" i="34"/>
  <c r="G246" i="34"/>
  <c r="G247" i="34"/>
  <c r="G248" i="34"/>
  <c r="G249" i="34"/>
  <c r="G250" i="34"/>
  <c r="G251" i="34"/>
  <c r="G252" i="34"/>
  <c r="G253" i="34"/>
  <c r="G254" i="34"/>
  <c r="G255" i="34"/>
  <c r="G256" i="34"/>
  <c r="G257" i="34"/>
  <c r="G258" i="34"/>
  <c r="G259" i="34"/>
  <c r="G260" i="34"/>
  <c r="G261" i="34"/>
  <c r="G262" i="34"/>
  <c r="G263" i="34"/>
  <c r="G264" i="34"/>
  <c r="G265" i="34"/>
  <c r="G266" i="34"/>
  <c r="G267" i="34"/>
  <c r="G268" i="34"/>
  <c r="G269" i="34"/>
  <c r="G270" i="34"/>
  <c r="G271" i="34"/>
  <c r="G272" i="34"/>
  <c r="G273" i="34"/>
  <c r="G274" i="34"/>
  <c r="G275" i="34"/>
  <c r="G276" i="34"/>
  <c r="G277" i="34"/>
  <c r="G278" i="34"/>
  <c r="G279" i="34"/>
  <c r="G280" i="34"/>
  <c r="G281" i="34"/>
  <c r="G282" i="34"/>
  <c r="G283" i="34"/>
  <c r="G284" i="34"/>
  <c r="G285" i="34"/>
  <c r="G286" i="34"/>
  <c r="G287" i="34"/>
  <c r="G288" i="34"/>
  <c r="G289" i="34"/>
  <c r="G290" i="34"/>
  <c r="G291" i="34"/>
  <c r="G292" i="34"/>
  <c r="G293" i="34"/>
  <c r="G294" i="34"/>
  <c r="G295" i="34"/>
  <c r="G296" i="34"/>
  <c r="G297" i="34"/>
  <c r="G298" i="34"/>
  <c r="G299" i="34"/>
  <c r="G300" i="34"/>
  <c r="G301" i="34"/>
  <c r="G302" i="34"/>
  <c r="G303" i="34"/>
  <c r="G304" i="34"/>
  <c r="G305" i="34"/>
  <c r="G306" i="34"/>
  <c r="G307" i="34"/>
  <c r="G308" i="34"/>
  <c r="G309" i="34"/>
  <c r="G310" i="34"/>
  <c r="G311" i="34"/>
  <c r="G312" i="34"/>
  <c r="G313" i="34"/>
  <c r="G314" i="34"/>
  <c r="G315" i="34"/>
  <c r="G316" i="34"/>
  <c r="G317" i="34"/>
  <c r="G318" i="34"/>
  <c r="G319" i="34"/>
  <c r="G320" i="34"/>
  <c r="G321" i="34"/>
  <c r="G322" i="34"/>
  <c r="G323" i="34"/>
  <c r="G324" i="34"/>
  <c r="G325" i="34"/>
  <c r="G326" i="34"/>
  <c r="G327" i="34"/>
  <c r="G328" i="34"/>
  <c r="G329" i="34"/>
  <c r="G330" i="34"/>
  <c r="G331" i="34"/>
  <c r="G332" i="34"/>
  <c r="G333" i="34"/>
  <c r="G334" i="34"/>
  <c r="G335" i="34"/>
  <c r="G336" i="34"/>
  <c r="G337" i="34"/>
  <c r="G338" i="34"/>
  <c r="G339" i="34"/>
  <c r="G340" i="34"/>
  <c r="G341" i="34"/>
  <c r="G342" i="34"/>
  <c r="G343" i="34"/>
  <c r="G344" i="34"/>
  <c r="G345" i="34"/>
  <c r="G346" i="34"/>
  <c r="G347" i="34"/>
  <c r="G348" i="34"/>
  <c r="G349" i="34"/>
  <c r="G350" i="34"/>
  <c r="G351" i="34"/>
  <c r="G352" i="34"/>
  <c r="G353" i="34"/>
  <c r="G354" i="34"/>
  <c r="G355" i="34"/>
  <c r="G356" i="34"/>
  <c r="G357" i="34"/>
  <c r="G358" i="34"/>
  <c r="G359" i="34"/>
  <c r="G360" i="34"/>
  <c r="G361" i="34"/>
  <c r="G362" i="34"/>
  <c r="G363" i="34"/>
  <c r="G364" i="34"/>
  <c r="G365" i="34"/>
  <c r="G366" i="34"/>
  <c r="G367" i="34"/>
  <c r="G368" i="34"/>
  <c r="G369" i="34"/>
  <c r="G370" i="34"/>
  <c r="G371" i="34"/>
  <c r="G372" i="34"/>
  <c r="G373" i="34"/>
  <c r="G374" i="34"/>
  <c r="G375" i="34"/>
  <c r="G376" i="34"/>
  <c r="G377" i="34"/>
  <c r="G378" i="34"/>
  <c r="G379" i="34"/>
  <c r="G380" i="34"/>
  <c r="G381" i="34"/>
  <c r="G382" i="34"/>
  <c r="G383" i="34"/>
  <c r="G384" i="34"/>
  <c r="G385" i="34"/>
  <c r="G386" i="34"/>
  <c r="G387" i="34"/>
  <c r="G388" i="34"/>
  <c r="G389" i="34"/>
  <c r="G390" i="34"/>
  <c r="G391" i="34"/>
  <c r="G392" i="34"/>
  <c r="G393" i="34"/>
  <c r="G394" i="34"/>
  <c r="G395" i="34"/>
  <c r="G396" i="34"/>
  <c r="G397" i="34"/>
  <c r="G398" i="34"/>
  <c r="G399" i="34"/>
  <c r="G400" i="34"/>
  <c r="G401" i="34"/>
  <c r="G402" i="34"/>
  <c r="G403" i="34"/>
  <c r="G404" i="34"/>
  <c r="G405" i="34"/>
  <c r="G406" i="34"/>
  <c r="G407" i="34"/>
  <c r="G408" i="34"/>
  <c r="G409" i="34"/>
  <c r="G410" i="34"/>
  <c r="G411" i="34"/>
  <c r="G412" i="34"/>
  <c r="G413" i="34"/>
  <c r="G414" i="34"/>
  <c r="G415" i="34"/>
  <c r="G416" i="34"/>
  <c r="G417" i="34"/>
  <c r="G418" i="34"/>
  <c r="G419" i="34"/>
  <c r="G420" i="34"/>
  <c r="G421" i="34"/>
  <c r="G422" i="34"/>
  <c r="G423" i="34"/>
  <c r="G424" i="34"/>
  <c r="G425" i="34"/>
  <c r="G426" i="34"/>
  <c r="G427" i="34"/>
  <c r="G428" i="34"/>
  <c r="G429" i="34"/>
  <c r="G430" i="34"/>
  <c r="G431" i="34"/>
  <c r="G432" i="34"/>
  <c r="G433" i="34"/>
  <c r="G434" i="34"/>
  <c r="G435" i="34"/>
  <c r="G436" i="34"/>
  <c r="G437" i="34"/>
  <c r="G438" i="34"/>
  <c r="G439" i="34"/>
  <c r="G440" i="34"/>
  <c r="G441" i="34"/>
  <c r="G442" i="34"/>
  <c r="G443" i="34"/>
  <c r="G444" i="34"/>
  <c r="G445" i="34"/>
  <c r="G446" i="34"/>
  <c r="G447" i="34"/>
  <c r="G448" i="34"/>
  <c r="G449" i="34"/>
  <c r="G450" i="34"/>
  <c r="G451" i="34"/>
  <c r="G452" i="34"/>
  <c r="G453" i="34"/>
  <c r="G454" i="34"/>
  <c r="G455" i="34"/>
  <c r="G456" i="34"/>
  <c r="G457" i="34"/>
  <c r="G458" i="34"/>
  <c r="G459" i="34"/>
  <c r="G460" i="34"/>
  <c r="G461" i="34"/>
  <c r="G462" i="34"/>
  <c r="G463" i="34"/>
  <c r="G464" i="34"/>
  <c r="G465" i="34"/>
  <c r="G466" i="34"/>
  <c r="G467" i="34"/>
  <c r="G468" i="34"/>
  <c r="G469" i="34"/>
  <c r="G470" i="34"/>
  <c r="G471" i="34"/>
  <c r="G472" i="34"/>
  <c r="G473" i="34"/>
  <c r="G474" i="34"/>
  <c r="G475" i="34"/>
  <c r="G476" i="34"/>
  <c r="G477" i="34"/>
  <c r="G478" i="34"/>
  <c r="G479" i="34"/>
  <c r="G480" i="34"/>
  <c r="G481" i="34"/>
  <c r="G482" i="34"/>
  <c r="G483" i="34"/>
  <c r="G484" i="34"/>
  <c r="G485" i="34"/>
  <c r="G486" i="34"/>
  <c r="G487" i="34"/>
  <c r="G488" i="34"/>
  <c r="G489" i="34"/>
  <c r="G490" i="34"/>
  <c r="G491" i="34"/>
  <c r="G492" i="34"/>
  <c r="G493" i="34"/>
  <c r="G494" i="34"/>
  <c r="G495" i="34"/>
  <c r="G496" i="34"/>
  <c r="G497" i="34"/>
  <c r="G498" i="34"/>
  <c r="G499" i="34"/>
  <c r="G500" i="34"/>
  <c r="G501" i="34"/>
  <c r="G502" i="34"/>
  <c r="G503" i="34"/>
  <c r="G504" i="34"/>
  <c r="G505" i="34"/>
  <c r="G506" i="34"/>
  <c r="G507" i="34"/>
  <c r="G508" i="34"/>
  <c r="G509" i="34"/>
  <c r="G510" i="34"/>
  <c r="G511" i="34"/>
  <c r="G512" i="34"/>
  <c r="G513" i="34"/>
  <c r="G514" i="34"/>
  <c r="G515" i="34"/>
  <c r="G516" i="34"/>
  <c r="G517" i="34"/>
  <c r="G518" i="34"/>
  <c r="G519" i="34"/>
  <c r="G520" i="34"/>
  <c r="G521" i="34"/>
  <c r="G522" i="34"/>
  <c r="G523" i="34"/>
  <c r="G524" i="34"/>
  <c r="G525" i="34"/>
  <c r="G526" i="34"/>
  <c r="G527" i="34"/>
  <c r="G528" i="34"/>
  <c r="G529" i="34"/>
  <c r="G530" i="34"/>
  <c r="G531" i="34"/>
  <c r="G532" i="34"/>
  <c r="G533" i="34"/>
  <c r="G534" i="34"/>
  <c r="G535" i="34"/>
  <c r="G536" i="34"/>
  <c r="G537" i="34"/>
  <c r="G538" i="34"/>
  <c r="G539" i="34"/>
  <c r="G540" i="34"/>
  <c r="G541" i="34"/>
  <c r="G542" i="34"/>
  <c r="G543" i="34"/>
  <c r="G544" i="34"/>
  <c r="G545" i="34"/>
  <c r="G546" i="34"/>
  <c r="G547" i="34"/>
  <c r="G548" i="34"/>
  <c r="G549" i="34"/>
  <c r="G550" i="34"/>
  <c r="G551" i="34"/>
  <c r="G552" i="34"/>
  <c r="G553" i="34"/>
  <c r="G554" i="34"/>
  <c r="G555" i="34"/>
  <c r="G556" i="34"/>
  <c r="G557" i="34"/>
  <c r="G558" i="34"/>
  <c r="G559" i="34"/>
  <c r="G560" i="34"/>
  <c r="G561" i="34"/>
  <c r="G562" i="34"/>
  <c r="G563" i="34"/>
  <c r="G564" i="34"/>
  <c r="G565" i="34"/>
  <c r="G566" i="34"/>
  <c r="G567" i="34"/>
  <c r="G568" i="34"/>
  <c r="G569" i="34"/>
  <c r="G570" i="34"/>
  <c r="G571" i="34"/>
  <c r="G572" i="34"/>
  <c r="G573" i="34"/>
  <c r="G574" i="34"/>
  <c r="G575" i="34"/>
  <c r="G576" i="34"/>
  <c r="G577" i="34"/>
  <c r="G578" i="34"/>
  <c r="G579" i="34"/>
  <c r="G580" i="34"/>
  <c r="G581" i="34"/>
  <c r="G582" i="34"/>
  <c r="G583" i="34"/>
  <c r="G584" i="34"/>
  <c r="G585" i="34"/>
  <c r="G586" i="34"/>
  <c r="G587" i="34"/>
  <c r="G588" i="34"/>
  <c r="G589" i="34"/>
  <c r="G590" i="34"/>
  <c r="G591" i="34"/>
  <c r="G592" i="34"/>
  <c r="G593" i="34"/>
  <c r="G594" i="34"/>
  <c r="G595" i="34"/>
  <c r="G596" i="34"/>
  <c r="G597" i="34"/>
  <c r="G598" i="34"/>
  <c r="G599" i="34"/>
  <c r="G600" i="34"/>
  <c r="G601" i="34"/>
  <c r="G602" i="34"/>
  <c r="G603" i="34"/>
  <c r="G604" i="34"/>
  <c r="G605" i="34"/>
  <c r="G606" i="34"/>
  <c r="G607" i="34"/>
  <c r="G608" i="34"/>
  <c r="G609" i="34"/>
  <c r="G610" i="34"/>
  <c r="G611" i="34"/>
  <c r="G612" i="34"/>
  <c r="G613" i="34"/>
  <c r="G614" i="34"/>
  <c r="G615" i="34"/>
  <c r="G616" i="34"/>
  <c r="G617" i="34"/>
  <c r="G618" i="34"/>
  <c r="G619" i="34"/>
  <c r="G620" i="34"/>
  <c r="G621" i="34"/>
  <c r="G622" i="34"/>
  <c r="G623" i="34"/>
  <c r="G624" i="34"/>
  <c r="G625" i="34"/>
  <c r="G626" i="34"/>
  <c r="G627" i="34"/>
  <c r="G628" i="34"/>
  <c r="G629" i="34"/>
  <c r="G630" i="34"/>
  <c r="G631" i="34"/>
  <c r="G632" i="34"/>
  <c r="G633" i="34"/>
  <c r="G634" i="34"/>
  <c r="G635" i="34"/>
  <c r="G636" i="34"/>
  <c r="G637" i="34"/>
  <c r="G638" i="34"/>
  <c r="G639" i="34"/>
  <c r="G640" i="34"/>
  <c r="G641" i="34"/>
  <c r="G642" i="34"/>
  <c r="G643" i="34"/>
  <c r="G644" i="34"/>
  <c r="G645" i="34"/>
  <c r="G646" i="34"/>
  <c r="G647" i="34"/>
  <c r="G648" i="34"/>
  <c r="G649" i="34"/>
  <c r="G650" i="34"/>
  <c r="G651" i="34"/>
  <c r="G652" i="34"/>
  <c r="G653" i="34"/>
  <c r="G654" i="34"/>
  <c r="G655" i="34"/>
  <c r="G656" i="34"/>
  <c r="G657" i="34"/>
  <c r="G658" i="34"/>
  <c r="G659" i="34"/>
  <c r="G660" i="34"/>
  <c r="G661" i="34"/>
  <c r="G662" i="34"/>
  <c r="G663" i="34"/>
  <c r="G664" i="34"/>
  <c r="G665" i="34"/>
  <c r="G666" i="34"/>
  <c r="G667" i="34"/>
  <c r="G668" i="34"/>
  <c r="G669" i="34"/>
  <c r="G670" i="34"/>
  <c r="G671" i="34"/>
  <c r="G672" i="34"/>
  <c r="G673" i="34"/>
  <c r="G674" i="34"/>
  <c r="G675" i="34"/>
  <c r="G676" i="34"/>
  <c r="G677" i="34"/>
  <c r="G678" i="34"/>
  <c r="G679" i="34"/>
  <c r="G680" i="34"/>
  <c r="G681" i="34"/>
  <c r="G682" i="34"/>
  <c r="G683" i="34"/>
  <c r="G684" i="34"/>
  <c r="G685" i="34"/>
  <c r="G686" i="34"/>
  <c r="G687" i="34"/>
  <c r="G688" i="34"/>
  <c r="G689" i="34"/>
  <c r="G690" i="34"/>
  <c r="G691" i="34"/>
  <c r="G692" i="34"/>
  <c r="G693" i="34"/>
  <c r="G694" i="34"/>
  <c r="G695" i="34"/>
  <c r="G696" i="34"/>
  <c r="G697" i="34"/>
  <c r="G698" i="34"/>
  <c r="G699" i="34"/>
  <c r="G700" i="34"/>
  <c r="G701" i="34"/>
  <c r="G702" i="34"/>
  <c r="G703" i="34"/>
  <c r="G704" i="34"/>
  <c r="G705" i="34"/>
  <c r="G706" i="34"/>
  <c r="G707" i="34"/>
  <c r="G708" i="34"/>
  <c r="G709" i="34"/>
  <c r="G710" i="34"/>
  <c r="G711" i="34"/>
  <c r="G712" i="34"/>
  <c r="G713" i="34"/>
  <c r="G714" i="34"/>
  <c r="G715" i="34"/>
  <c r="G716" i="34"/>
  <c r="G717" i="34"/>
  <c r="G718" i="34"/>
  <c r="G719" i="34"/>
  <c r="G720" i="34"/>
  <c r="G721" i="34"/>
  <c r="G722" i="34"/>
  <c r="G723" i="34"/>
  <c r="G724" i="34"/>
  <c r="G725" i="34"/>
  <c r="G726" i="34"/>
  <c r="G727" i="34"/>
  <c r="G728" i="34"/>
  <c r="G729" i="34"/>
  <c r="G730" i="34"/>
  <c r="G731" i="34"/>
  <c r="G732" i="34"/>
  <c r="G733" i="34"/>
  <c r="G734" i="34"/>
  <c r="G735" i="34"/>
  <c r="G736" i="34"/>
  <c r="G737" i="34"/>
  <c r="G738" i="34"/>
  <c r="G739" i="34"/>
  <c r="G740" i="34"/>
  <c r="G741" i="34"/>
  <c r="G742" i="34"/>
  <c r="G743" i="34"/>
  <c r="G744" i="34"/>
  <c r="G745" i="34"/>
  <c r="G746" i="34"/>
  <c r="G747" i="34"/>
  <c r="G748" i="34"/>
  <c r="G749" i="34"/>
  <c r="G750" i="34"/>
  <c r="G751" i="34"/>
  <c r="G752" i="34"/>
  <c r="G753" i="34"/>
  <c r="G754" i="34"/>
  <c r="G755" i="34"/>
  <c r="G756" i="34"/>
  <c r="G757" i="34"/>
  <c r="G758" i="34"/>
  <c r="G759" i="34"/>
  <c r="G760" i="34"/>
  <c r="G761" i="34"/>
  <c r="G762" i="34"/>
  <c r="G763" i="34"/>
  <c r="G764" i="34"/>
  <c r="G765" i="34"/>
  <c r="G766" i="34"/>
  <c r="G767" i="34"/>
  <c r="G768" i="34"/>
  <c r="G769" i="34"/>
  <c r="G770" i="34"/>
  <c r="G771" i="34"/>
  <c r="G772" i="34"/>
  <c r="G773" i="34"/>
  <c r="G774" i="34"/>
  <c r="G775" i="34"/>
  <c r="G776" i="34"/>
  <c r="G777" i="34"/>
  <c r="G778" i="34"/>
  <c r="G779" i="34"/>
  <c r="G780" i="34"/>
  <c r="G781" i="34"/>
  <c r="G782" i="34"/>
  <c r="G783" i="34"/>
  <c r="G784" i="34"/>
  <c r="G785" i="34"/>
  <c r="G786" i="34"/>
  <c r="G787" i="34"/>
  <c r="G788" i="34"/>
  <c r="G789" i="34"/>
  <c r="G790" i="34"/>
  <c r="G791" i="34"/>
  <c r="G792" i="34"/>
  <c r="G793" i="34"/>
  <c r="G794" i="34"/>
  <c r="G795" i="34"/>
  <c r="G796" i="34"/>
  <c r="G797" i="34"/>
  <c r="G798" i="34"/>
  <c r="G799" i="34"/>
  <c r="G800" i="34"/>
  <c r="G801" i="34"/>
  <c r="G802" i="34"/>
  <c r="G803" i="34"/>
  <c r="G804" i="34"/>
  <c r="G805" i="34"/>
  <c r="G806" i="34"/>
  <c r="G807" i="34"/>
  <c r="G808" i="34"/>
  <c r="G809" i="34"/>
  <c r="G810" i="34"/>
  <c r="G811" i="34"/>
  <c r="G812" i="34"/>
  <c r="G813" i="34"/>
  <c r="G814" i="34"/>
  <c r="G815" i="34"/>
  <c r="G816" i="34"/>
  <c r="G817" i="34"/>
  <c r="G818" i="34"/>
  <c r="G819" i="34"/>
  <c r="G820" i="34"/>
  <c r="G821" i="34"/>
  <c r="G822" i="34"/>
  <c r="G823" i="34"/>
  <c r="G824" i="34"/>
  <c r="G825" i="34"/>
  <c r="G826" i="34"/>
  <c r="G827" i="34"/>
  <c r="G828" i="34"/>
  <c r="G829" i="34"/>
  <c r="G830" i="34"/>
  <c r="G831" i="34"/>
  <c r="G832" i="34"/>
  <c r="G833" i="34"/>
  <c r="G834" i="34"/>
  <c r="G835" i="34"/>
  <c r="G836" i="34"/>
  <c r="G837" i="34"/>
  <c r="G838" i="34"/>
  <c r="G839" i="34"/>
  <c r="G840" i="34"/>
  <c r="G841" i="34"/>
  <c r="G842" i="34"/>
  <c r="G843" i="34"/>
  <c r="G844" i="34"/>
  <c r="G845" i="34"/>
  <c r="G846" i="34"/>
  <c r="G847" i="34"/>
  <c r="G848" i="34"/>
  <c r="G849" i="34"/>
  <c r="G850" i="34"/>
  <c r="G851" i="34"/>
  <c r="G852" i="34"/>
  <c r="G853" i="34"/>
  <c r="G854" i="34"/>
  <c r="G855" i="34"/>
  <c r="G856" i="34"/>
  <c r="G857" i="34"/>
  <c r="G858" i="34"/>
  <c r="G859" i="34"/>
  <c r="G860" i="34"/>
  <c r="G861" i="34"/>
  <c r="G862" i="34"/>
  <c r="G863" i="34"/>
  <c r="G864" i="34"/>
  <c r="G865" i="34"/>
  <c r="G866" i="34"/>
  <c r="G867" i="34"/>
  <c r="G868" i="34"/>
  <c r="G869" i="34"/>
  <c r="G870" i="34"/>
  <c r="G871" i="34"/>
  <c r="G872" i="34"/>
  <c r="G873" i="34"/>
  <c r="G874" i="34"/>
  <c r="G875" i="34"/>
  <c r="G876" i="34"/>
  <c r="G877" i="34"/>
  <c r="G878" i="34"/>
  <c r="G879" i="34"/>
  <c r="G880" i="34"/>
  <c r="G881" i="34"/>
  <c r="G882" i="34"/>
  <c r="G883" i="34"/>
  <c r="G884" i="34"/>
  <c r="G885" i="34"/>
  <c r="G886" i="34"/>
  <c r="G887" i="34"/>
  <c r="G888" i="34"/>
  <c r="G889" i="34"/>
  <c r="G890" i="34"/>
  <c r="G891" i="34"/>
  <c r="G892" i="34"/>
  <c r="G893" i="34"/>
  <c r="G894" i="34"/>
  <c r="G895" i="34"/>
  <c r="G896" i="34"/>
  <c r="G897" i="34"/>
  <c r="G898" i="34"/>
  <c r="G899" i="34"/>
  <c r="G900" i="34"/>
  <c r="G901" i="34"/>
  <c r="G902" i="34"/>
  <c r="G903" i="34"/>
  <c r="G904" i="34"/>
  <c r="G905" i="34"/>
  <c r="G906" i="34"/>
  <c r="G907" i="34"/>
  <c r="G908" i="34"/>
  <c r="G909" i="34"/>
  <c r="G910" i="34"/>
  <c r="G911" i="34"/>
  <c r="G912" i="34"/>
  <c r="G913" i="34"/>
  <c r="G914" i="34"/>
  <c r="G915" i="34"/>
  <c r="G916" i="34"/>
  <c r="G917" i="34"/>
  <c r="G918" i="34"/>
  <c r="G919" i="34"/>
  <c r="G920" i="34"/>
  <c r="G921" i="34"/>
  <c r="G922" i="34"/>
  <c r="G923" i="34"/>
  <c r="G924" i="34"/>
  <c r="G925" i="34"/>
  <c r="G926" i="34"/>
  <c r="G927" i="34"/>
  <c r="G928" i="34"/>
  <c r="G929" i="34"/>
  <c r="G930" i="34"/>
  <c r="G931" i="34"/>
  <c r="G932" i="34"/>
  <c r="G933" i="34"/>
  <c r="G934" i="34"/>
  <c r="G935" i="34"/>
  <c r="G936" i="34"/>
  <c r="G937" i="34"/>
  <c r="G938" i="34"/>
  <c r="G939" i="34"/>
  <c r="G940" i="34"/>
  <c r="G941" i="34"/>
  <c r="G942" i="34"/>
  <c r="G943" i="34"/>
  <c r="G944" i="34"/>
  <c r="G945" i="34"/>
  <c r="G946" i="34"/>
  <c r="G947" i="34"/>
  <c r="G948" i="34"/>
  <c r="G949" i="34"/>
  <c r="G950" i="34"/>
  <c r="G951" i="34"/>
  <c r="G952" i="34"/>
  <c r="G953" i="34"/>
  <c r="G954" i="34"/>
  <c r="G955" i="34"/>
  <c r="G956" i="34"/>
  <c r="G957" i="34"/>
  <c r="G958" i="34"/>
  <c r="G959" i="34"/>
  <c r="G960" i="34"/>
  <c r="G961" i="34"/>
  <c r="G962" i="34"/>
  <c r="G963" i="34"/>
  <c r="G964" i="34"/>
  <c r="G965" i="34"/>
  <c r="G966" i="34"/>
  <c r="G967" i="34"/>
  <c r="G968" i="34"/>
  <c r="G969" i="34"/>
  <c r="G970" i="34"/>
  <c r="G971" i="34"/>
  <c r="G972" i="34"/>
  <c r="G973" i="34"/>
  <c r="G974" i="34"/>
  <c r="G975" i="34"/>
  <c r="G976" i="34"/>
  <c r="G977" i="34"/>
  <c r="G978" i="34"/>
  <c r="G979" i="34"/>
  <c r="G980" i="34"/>
  <c r="G981" i="34"/>
  <c r="G982" i="34"/>
  <c r="G983" i="34"/>
  <c r="G984" i="34"/>
  <c r="G985" i="34"/>
  <c r="G986" i="34"/>
  <c r="G987" i="34"/>
  <c r="G988" i="34"/>
  <c r="G989" i="34"/>
  <c r="G990" i="34"/>
  <c r="G991" i="34"/>
  <c r="G992" i="34"/>
  <c r="G993" i="34"/>
  <c r="G994" i="34"/>
  <c r="G995" i="34"/>
  <c r="G996" i="34"/>
  <c r="G997" i="34"/>
  <c r="G998" i="34"/>
  <c r="G999" i="34"/>
  <c r="G1000" i="34"/>
  <c r="G1001" i="34"/>
  <c r="G1002" i="34"/>
  <c r="G1003" i="34"/>
  <c r="G1004" i="34"/>
  <c r="G1005" i="34"/>
  <c r="G1006" i="34"/>
  <c r="G1007" i="34"/>
  <c r="G1008" i="34"/>
  <c r="G1009" i="34"/>
  <c r="G1010" i="34"/>
  <c r="G1011" i="34"/>
  <c r="G1012" i="34"/>
  <c r="G1013" i="34"/>
  <c r="G1014" i="34"/>
  <c r="G1015" i="34"/>
  <c r="G1016" i="34"/>
  <c r="G1017" i="34"/>
  <c r="G1018" i="34"/>
  <c r="G1019" i="34"/>
  <c r="G1020" i="34"/>
  <c r="G1021" i="34"/>
  <c r="G1022" i="34"/>
  <c r="G1023" i="34"/>
  <c r="G1024" i="34"/>
  <c r="G1025" i="34"/>
  <c r="G1026" i="34"/>
  <c r="G1027" i="34"/>
  <c r="G1028" i="34"/>
  <c r="G1029" i="34"/>
  <c r="G1030" i="34"/>
  <c r="G1031" i="34"/>
  <c r="G1032" i="34"/>
  <c r="G1033" i="34"/>
  <c r="G1034" i="34"/>
  <c r="G1035" i="34"/>
  <c r="G1036" i="34"/>
  <c r="G1037" i="34"/>
  <c r="G1038" i="34"/>
  <c r="G1039" i="34"/>
  <c r="G1040" i="34"/>
  <c r="G1041" i="34"/>
  <c r="G1042" i="34"/>
  <c r="G1043" i="34"/>
  <c r="G1044" i="34"/>
  <c r="G1045" i="34"/>
  <c r="G1046" i="34"/>
  <c r="G1047" i="34"/>
  <c r="G1048" i="34"/>
  <c r="G1049" i="34"/>
  <c r="G1050" i="34"/>
  <c r="G1051" i="34"/>
  <c r="G1052" i="34"/>
  <c r="G1053" i="34"/>
  <c r="G1054" i="34"/>
  <c r="G1055" i="34"/>
  <c r="G1056" i="34"/>
  <c r="G1057" i="34"/>
  <c r="G1058" i="34"/>
  <c r="G1059" i="34"/>
  <c r="G1060" i="34"/>
  <c r="G1061" i="34"/>
  <c r="G1062" i="34"/>
  <c r="G1063" i="34"/>
  <c r="G1064" i="34"/>
  <c r="G1065" i="34"/>
  <c r="G1066" i="34"/>
  <c r="G1067" i="34"/>
  <c r="G1068" i="34"/>
  <c r="G1069" i="34"/>
  <c r="G1070" i="34"/>
  <c r="G1071" i="34"/>
  <c r="G1072" i="34"/>
  <c r="G1073" i="34"/>
  <c r="G1074" i="34"/>
  <c r="G1075" i="34"/>
  <c r="G1076" i="34"/>
  <c r="G1077" i="34"/>
  <c r="G1078" i="34"/>
  <c r="G1079" i="34"/>
  <c r="G1080" i="34"/>
  <c r="G1081" i="34"/>
  <c r="G1082" i="34"/>
  <c r="G1083" i="34"/>
  <c r="G1084" i="34"/>
  <c r="G1085" i="34"/>
  <c r="G1086" i="34"/>
  <c r="G1087" i="34"/>
  <c r="G1088" i="34"/>
  <c r="G1089" i="34"/>
  <c r="G1090" i="34"/>
  <c r="G1091" i="34"/>
  <c r="G1092" i="34"/>
  <c r="G1093" i="34"/>
  <c r="G1094" i="34"/>
  <c r="G1095" i="34"/>
  <c r="G1096" i="34"/>
  <c r="G1097" i="34"/>
  <c r="G1098" i="34"/>
  <c r="G1099" i="34"/>
  <c r="G1100" i="34"/>
  <c r="G1101" i="34"/>
  <c r="G1102" i="34"/>
  <c r="G1103" i="34"/>
  <c r="G1104" i="34"/>
  <c r="G1105" i="34"/>
  <c r="G1106" i="34"/>
  <c r="G1107" i="34"/>
  <c r="G1108" i="34"/>
  <c r="G1109" i="34"/>
  <c r="G1110" i="34"/>
  <c r="G1111" i="34"/>
  <c r="G1112" i="34"/>
  <c r="G1113" i="34"/>
  <c r="G1114" i="34"/>
  <c r="G1115" i="34"/>
  <c r="G1116" i="34"/>
  <c r="G1117" i="34"/>
  <c r="G1118" i="34"/>
  <c r="G1119" i="34"/>
  <c r="G1120" i="34"/>
  <c r="G1121" i="34"/>
  <c r="G1122" i="34"/>
  <c r="G1123" i="34"/>
  <c r="G1124" i="34"/>
  <c r="G1125" i="34"/>
  <c r="G1126" i="34"/>
  <c r="G1127" i="34"/>
  <c r="G1128" i="34"/>
  <c r="G1129" i="34"/>
  <c r="G1130" i="34"/>
  <c r="G1131" i="34"/>
  <c r="G1132" i="34"/>
  <c r="G1133" i="34"/>
  <c r="G1134" i="34"/>
  <c r="G1135" i="34"/>
  <c r="G1136" i="34"/>
  <c r="G1137" i="34"/>
  <c r="G1138" i="34"/>
  <c r="G1139" i="34"/>
  <c r="G1140" i="34"/>
  <c r="G1141" i="34"/>
  <c r="G1142" i="34"/>
  <c r="G1143" i="34"/>
  <c r="G1144" i="34"/>
  <c r="G1145" i="34"/>
  <c r="G1146" i="34"/>
  <c r="G1147" i="34"/>
  <c r="G1148" i="34"/>
  <c r="G1149" i="34"/>
  <c r="G1150" i="34"/>
  <c r="G1151" i="34"/>
  <c r="G1152" i="34"/>
  <c r="G1153" i="34"/>
  <c r="G1154" i="34"/>
  <c r="G1155" i="34"/>
  <c r="G1156" i="34"/>
  <c r="G1157" i="34"/>
  <c r="G1158" i="34"/>
  <c r="G1159" i="34"/>
  <c r="G1160" i="34"/>
  <c r="G1161" i="34"/>
  <c r="G1162" i="34"/>
  <c r="G1163" i="34"/>
  <c r="G1164" i="34"/>
  <c r="G1165" i="34"/>
  <c r="G1166" i="34"/>
  <c r="G1167" i="34"/>
  <c r="G1168" i="34"/>
  <c r="G1169" i="34"/>
  <c r="G1170" i="34"/>
  <c r="G1171" i="34"/>
  <c r="G1172" i="34"/>
  <c r="G1173" i="34"/>
  <c r="G1174" i="34"/>
  <c r="G1175" i="34"/>
  <c r="G1176" i="34"/>
  <c r="G1177" i="34"/>
  <c r="G1178" i="34"/>
  <c r="G1179" i="34"/>
  <c r="G1180" i="34"/>
  <c r="G1181" i="34"/>
  <c r="G1182" i="34"/>
  <c r="G1183" i="34"/>
  <c r="G1184" i="34"/>
  <c r="G1185" i="34"/>
  <c r="G1186" i="34"/>
  <c r="G1187" i="34"/>
  <c r="G1188" i="34"/>
  <c r="G1189" i="34"/>
  <c r="G1190" i="34"/>
  <c r="G1191" i="34"/>
  <c r="G1192" i="34"/>
  <c r="G1193" i="34"/>
  <c r="G1194" i="34"/>
  <c r="G1195" i="34"/>
  <c r="G1196" i="34"/>
  <c r="G1197" i="34"/>
  <c r="G1198" i="34"/>
  <c r="G1199" i="34"/>
  <c r="G1200" i="34"/>
  <c r="G1201" i="34"/>
  <c r="G1202" i="34"/>
  <c r="G1203" i="34"/>
  <c r="G1204" i="34"/>
  <c r="G1205" i="34"/>
  <c r="G1206" i="34"/>
  <c r="G1207" i="34"/>
  <c r="G1208" i="34"/>
  <c r="G1209" i="34"/>
  <c r="G1210" i="34"/>
  <c r="G1211" i="34"/>
  <c r="G1212" i="34"/>
  <c r="G1213" i="34"/>
  <c r="G1214" i="34"/>
  <c r="G1215" i="34"/>
  <c r="G1216" i="34"/>
  <c r="G1217" i="34"/>
  <c r="G1218" i="34"/>
  <c r="G1219" i="34"/>
  <c r="G1220" i="34"/>
  <c r="G1221" i="34"/>
  <c r="G1222" i="34"/>
  <c r="G1223" i="34"/>
  <c r="G1224" i="34"/>
  <c r="G1225" i="34"/>
  <c r="G1226" i="34"/>
  <c r="G1227" i="34"/>
  <c r="G1228" i="34"/>
  <c r="G1229" i="34"/>
  <c r="G1230" i="34"/>
  <c r="G1231" i="34"/>
  <c r="G1232" i="34"/>
  <c r="G1233" i="34"/>
  <c r="G1234" i="34"/>
  <c r="G1235" i="34"/>
  <c r="G1236" i="34"/>
  <c r="G1237" i="34"/>
  <c r="G1238" i="34"/>
  <c r="G1239" i="34"/>
  <c r="G1240" i="34"/>
  <c r="G1241" i="34"/>
  <c r="G1242" i="34"/>
  <c r="G1243" i="34"/>
  <c r="G1244" i="34"/>
  <c r="G1245" i="34"/>
  <c r="G1246" i="34"/>
  <c r="G1247" i="34"/>
  <c r="G1248" i="34"/>
  <c r="G1249" i="34"/>
  <c r="G1250" i="34"/>
  <c r="G1251" i="34"/>
  <c r="G1252" i="34"/>
  <c r="G1253" i="34"/>
  <c r="G1254" i="34"/>
  <c r="G1255" i="34"/>
  <c r="G1256" i="34"/>
  <c r="G1257" i="34"/>
  <c r="G1258" i="34"/>
  <c r="G1259" i="34"/>
  <c r="G1260" i="34"/>
  <c r="G1261" i="34"/>
  <c r="G1262" i="34"/>
  <c r="G1263" i="34"/>
  <c r="G1264" i="34"/>
  <c r="G1265" i="34"/>
  <c r="G1266" i="34"/>
  <c r="G1267" i="34"/>
  <c r="G1268" i="34"/>
  <c r="G1269" i="34"/>
  <c r="G1270" i="34"/>
  <c r="G1271" i="34"/>
  <c r="G1272" i="34"/>
  <c r="G1273" i="34"/>
  <c r="G1274" i="34"/>
  <c r="G1275" i="34"/>
  <c r="G1276" i="34"/>
  <c r="G1277" i="34"/>
  <c r="G1278" i="34"/>
  <c r="G1279" i="34"/>
  <c r="G1280" i="34"/>
  <c r="G1281" i="34"/>
  <c r="G1282" i="34"/>
  <c r="G1283" i="34"/>
  <c r="G1284" i="34"/>
  <c r="G1285" i="34"/>
  <c r="G1286" i="34"/>
  <c r="G1287" i="34"/>
  <c r="G1288" i="34"/>
  <c r="G1289" i="34"/>
  <c r="G1290" i="34"/>
  <c r="G1291" i="34"/>
  <c r="G1292" i="34"/>
  <c r="G1293" i="34"/>
  <c r="G1294" i="34"/>
  <c r="G1295" i="34"/>
  <c r="G1296" i="34"/>
  <c r="G1297" i="34"/>
  <c r="G1298" i="34"/>
  <c r="G1299" i="34"/>
  <c r="G1300" i="34"/>
  <c r="G1301" i="34"/>
  <c r="G1302" i="34"/>
  <c r="G1303" i="34"/>
  <c r="G1304" i="34"/>
  <c r="G1305" i="34"/>
  <c r="G1306" i="34"/>
  <c r="G1307" i="34"/>
  <c r="G1308" i="34"/>
  <c r="G1309" i="34"/>
  <c r="G1310" i="34"/>
  <c r="G1311" i="34"/>
  <c r="G1312" i="34"/>
  <c r="G1313" i="34"/>
  <c r="G1314" i="34"/>
  <c r="G1315" i="34"/>
  <c r="G1316" i="34"/>
  <c r="G1317" i="34"/>
  <c r="G1318" i="34"/>
  <c r="G1319" i="34"/>
  <c r="G1320" i="34"/>
  <c r="G1321" i="34"/>
  <c r="G1322" i="34"/>
  <c r="G1323" i="34"/>
  <c r="G1324" i="34"/>
  <c r="G1325" i="34"/>
  <c r="G1326" i="34"/>
  <c r="G1327" i="34"/>
  <c r="G1328" i="34"/>
  <c r="G1329" i="34"/>
  <c r="G1330" i="34"/>
  <c r="G1331" i="34"/>
  <c r="G1332" i="34"/>
  <c r="G1333" i="34"/>
  <c r="G1334" i="34"/>
  <c r="G1335" i="34"/>
  <c r="G1336" i="34"/>
  <c r="G1337" i="34"/>
  <c r="G1338" i="34"/>
  <c r="G1339" i="34"/>
  <c r="G1340" i="34"/>
  <c r="G1341" i="34"/>
  <c r="G1342" i="34"/>
  <c r="G1343" i="34"/>
  <c r="G1344" i="34"/>
  <c r="G1345" i="34"/>
  <c r="G1346" i="34"/>
  <c r="G1347" i="34"/>
  <c r="G1348" i="34"/>
  <c r="G1349" i="34"/>
  <c r="G1350" i="34"/>
  <c r="G1351" i="34"/>
  <c r="G1352" i="34"/>
  <c r="G1353" i="34"/>
  <c r="G1354" i="34"/>
  <c r="G1355" i="34"/>
  <c r="G1356" i="34"/>
  <c r="G1357" i="34"/>
  <c r="G1358" i="34"/>
  <c r="G1359" i="34"/>
  <c r="G1360" i="34"/>
  <c r="G1361" i="34"/>
  <c r="G1362" i="34"/>
  <c r="G1363" i="34"/>
  <c r="G1364" i="34"/>
  <c r="G1365" i="34"/>
  <c r="G1366" i="34"/>
  <c r="G1367" i="34"/>
  <c r="G1368" i="34"/>
  <c r="G1369" i="34"/>
  <c r="G1370" i="34"/>
  <c r="G1371" i="34"/>
  <c r="G1372" i="34"/>
  <c r="G1373" i="34"/>
  <c r="G1374" i="34"/>
  <c r="G1375" i="34"/>
  <c r="G1376" i="34"/>
  <c r="G1377" i="34"/>
  <c r="G1378" i="34"/>
  <c r="G1379" i="34"/>
  <c r="G1380" i="34"/>
  <c r="G1381" i="34"/>
  <c r="G1382" i="34"/>
  <c r="G1383" i="34"/>
  <c r="G1384" i="34"/>
  <c r="G1385" i="34"/>
  <c r="G1386" i="34"/>
  <c r="G1387" i="34"/>
  <c r="G1388" i="34"/>
  <c r="G1389" i="34"/>
  <c r="G1390" i="34"/>
  <c r="G1391" i="34"/>
  <c r="G1392" i="34"/>
  <c r="G1393" i="34"/>
  <c r="G1394" i="34"/>
  <c r="G1395" i="34"/>
  <c r="G1396" i="34"/>
  <c r="G1397" i="34"/>
  <c r="G1398" i="34"/>
  <c r="G1399" i="34"/>
  <c r="G1400" i="34"/>
  <c r="G1401" i="34"/>
  <c r="G1402" i="34"/>
  <c r="G1403" i="34"/>
  <c r="G1404" i="34"/>
  <c r="G1405" i="34"/>
  <c r="G1406" i="34"/>
  <c r="G1407" i="34"/>
  <c r="G1408" i="34"/>
  <c r="G1409" i="34"/>
  <c r="G1410" i="34"/>
  <c r="G1411" i="34"/>
  <c r="G1412" i="34"/>
  <c r="G1413" i="34"/>
  <c r="G1414" i="34"/>
  <c r="G1415" i="34"/>
  <c r="G1416" i="34"/>
  <c r="G1417" i="34"/>
  <c r="G1418" i="34"/>
  <c r="G1419" i="34"/>
  <c r="G1420" i="34"/>
  <c r="G1421" i="34"/>
  <c r="G1422" i="34"/>
  <c r="G1423" i="34"/>
  <c r="G1424" i="34"/>
  <c r="G1425" i="34"/>
  <c r="G1426" i="34"/>
  <c r="G1427" i="34"/>
  <c r="G1428" i="34"/>
  <c r="G1429" i="34"/>
  <c r="G1430" i="34"/>
  <c r="G1431" i="34"/>
  <c r="G1432" i="34"/>
  <c r="G1433" i="34"/>
  <c r="G1434" i="34"/>
  <c r="G1435" i="34"/>
  <c r="G1436" i="34"/>
  <c r="G1437" i="34"/>
  <c r="G1438" i="34"/>
  <c r="G1439" i="34"/>
  <c r="G1440" i="34"/>
  <c r="G1441" i="34"/>
  <c r="G1442" i="34"/>
  <c r="G1443" i="34"/>
  <c r="G1444" i="34"/>
  <c r="G1445" i="34"/>
  <c r="G1446" i="34"/>
  <c r="G1447" i="34"/>
  <c r="G1448" i="34"/>
  <c r="G1449" i="34"/>
  <c r="G1450" i="34"/>
  <c r="G1451" i="34"/>
  <c r="G1452" i="34"/>
  <c r="G1453" i="34"/>
  <c r="G1454" i="34"/>
  <c r="G1455" i="34"/>
  <c r="G1456" i="34"/>
  <c r="G1457" i="34"/>
  <c r="G1458" i="34"/>
  <c r="G1459" i="34"/>
  <c r="G1460" i="34"/>
  <c r="G1461" i="34"/>
  <c r="G1462" i="34"/>
  <c r="G1463" i="34"/>
  <c r="G1464" i="34"/>
  <c r="G1465" i="34"/>
  <c r="G1466" i="34"/>
  <c r="G1467" i="34"/>
  <c r="G1468" i="34"/>
  <c r="G1469" i="34"/>
  <c r="G1470" i="34"/>
  <c r="G1471" i="34"/>
  <c r="G1472" i="34"/>
  <c r="G1473" i="34"/>
  <c r="G1474" i="34"/>
  <c r="G1475" i="34"/>
  <c r="G1476" i="34"/>
  <c r="G1477" i="34"/>
  <c r="G1478" i="34"/>
  <c r="G1479" i="34"/>
  <c r="G1480" i="34"/>
  <c r="G1481" i="34"/>
  <c r="G1482" i="34"/>
  <c r="G1483" i="34"/>
  <c r="G1484" i="34"/>
  <c r="G1485" i="34"/>
  <c r="G1486" i="34"/>
  <c r="G1487" i="34"/>
  <c r="G1488" i="34"/>
  <c r="G1489" i="34"/>
  <c r="G1490" i="34"/>
  <c r="G1491" i="34"/>
  <c r="G1492" i="34"/>
  <c r="G1493" i="34"/>
  <c r="G1494" i="34"/>
  <c r="G1495" i="34"/>
  <c r="G1496" i="34"/>
  <c r="G1497" i="34"/>
  <c r="G1498" i="34"/>
  <c r="G1499" i="34"/>
  <c r="G1500" i="34"/>
  <c r="G1501" i="34"/>
  <c r="G1502" i="34"/>
  <c r="G1503" i="34"/>
  <c r="G1504" i="34"/>
  <c r="G1505" i="34"/>
  <c r="G1506" i="34"/>
  <c r="G1507" i="34"/>
  <c r="G1508" i="34"/>
  <c r="G1509" i="34"/>
  <c r="G1510" i="34"/>
  <c r="G1511" i="34"/>
  <c r="G1512" i="34"/>
  <c r="G1513" i="34"/>
  <c r="G1514" i="34"/>
  <c r="G1515" i="34"/>
  <c r="G1516" i="34"/>
  <c r="G1517" i="34"/>
  <c r="G1518" i="34"/>
  <c r="G1519" i="34"/>
  <c r="G1520" i="34"/>
  <c r="G1521" i="34"/>
  <c r="G1522" i="34"/>
  <c r="G1523" i="34"/>
  <c r="G1524" i="34"/>
  <c r="G1525" i="34"/>
  <c r="G1526" i="34"/>
  <c r="G1527" i="34"/>
  <c r="G1528" i="34"/>
  <c r="G1529" i="34"/>
  <c r="G1530" i="34"/>
  <c r="G1531" i="34"/>
  <c r="G1532" i="34"/>
  <c r="G1533" i="34"/>
  <c r="G1534" i="34"/>
  <c r="G1535" i="34"/>
  <c r="G1536" i="34"/>
  <c r="G1537" i="34"/>
  <c r="G1538" i="34"/>
  <c r="G1539" i="34"/>
  <c r="G1540" i="34"/>
  <c r="G1541" i="34"/>
  <c r="G1542" i="34"/>
  <c r="G1543" i="34"/>
  <c r="G1544" i="34"/>
  <c r="G1545" i="34"/>
  <c r="G1546" i="34"/>
  <c r="G1547" i="34"/>
  <c r="G1548" i="34"/>
  <c r="G1549" i="34"/>
  <c r="G1550" i="34"/>
  <c r="G1551" i="34"/>
  <c r="G1552" i="34"/>
  <c r="G1553" i="34"/>
  <c r="G1554" i="34"/>
  <c r="G1555" i="34"/>
  <c r="G1556" i="34"/>
  <c r="G1557" i="34"/>
  <c r="G1558" i="34"/>
  <c r="G1559" i="34"/>
  <c r="G1560" i="34"/>
  <c r="G1561" i="34"/>
  <c r="G1562" i="34"/>
  <c r="G1563" i="34"/>
  <c r="G1564" i="34"/>
  <c r="G1565" i="34"/>
  <c r="G1566" i="34"/>
  <c r="G1567" i="34"/>
  <c r="G1568" i="34"/>
  <c r="G1569" i="34"/>
  <c r="G1570" i="34"/>
  <c r="G1571" i="34"/>
  <c r="G1572" i="34"/>
  <c r="G1573" i="34"/>
  <c r="G1574" i="34"/>
  <c r="G1575" i="34"/>
  <c r="G1576" i="34"/>
  <c r="G1577" i="34"/>
  <c r="G1578" i="34"/>
  <c r="G1579" i="34"/>
  <c r="G1580" i="34"/>
  <c r="G1581" i="34"/>
  <c r="G1582" i="34"/>
  <c r="G1583" i="34"/>
  <c r="G1584" i="34"/>
  <c r="G1585" i="34"/>
  <c r="G1586" i="34"/>
  <c r="G1587" i="34"/>
  <c r="G1588" i="34"/>
  <c r="G1589" i="34"/>
  <c r="G1590" i="34"/>
  <c r="G1591" i="34"/>
  <c r="G1592" i="34"/>
  <c r="G1593" i="34"/>
  <c r="G1594" i="34"/>
  <c r="G1595" i="34"/>
  <c r="G1596" i="34"/>
  <c r="G1597" i="34"/>
  <c r="G1598" i="34"/>
  <c r="G1599" i="34"/>
  <c r="G1600" i="34"/>
  <c r="G1601" i="34"/>
  <c r="G1602" i="34"/>
  <c r="G1603" i="34"/>
  <c r="G1604" i="34"/>
  <c r="G1605" i="34"/>
  <c r="G1606" i="34"/>
  <c r="G1607" i="34"/>
  <c r="G1608" i="34"/>
  <c r="G1609" i="34"/>
  <c r="G1610" i="34"/>
  <c r="G1611" i="34"/>
  <c r="G1612" i="34"/>
  <c r="G1613" i="34"/>
  <c r="G1614" i="34"/>
  <c r="G1615" i="34"/>
  <c r="G1616" i="34"/>
  <c r="G1617" i="34"/>
  <c r="G1618" i="34"/>
  <c r="G1619" i="34"/>
  <c r="G1620" i="34"/>
  <c r="G1621" i="34"/>
  <c r="G1622" i="34"/>
  <c r="G1623" i="34"/>
  <c r="G1624" i="34"/>
  <c r="G1625" i="34"/>
  <c r="G1626" i="34"/>
  <c r="G1627" i="34"/>
  <c r="G1628" i="34"/>
  <c r="G1629" i="34"/>
  <c r="G1630" i="34"/>
  <c r="G1631" i="34"/>
  <c r="G1632" i="34"/>
  <c r="G1633" i="34"/>
  <c r="G1634" i="34"/>
  <c r="G1635" i="34"/>
  <c r="G1636" i="34"/>
  <c r="G1637" i="34"/>
  <c r="G1638" i="34"/>
  <c r="G1639" i="34"/>
  <c r="G1640" i="34"/>
  <c r="G1641" i="34"/>
  <c r="G1642" i="34"/>
  <c r="G1643" i="34"/>
  <c r="G1644" i="34"/>
  <c r="G1645" i="34"/>
  <c r="G1646" i="34"/>
  <c r="G1647" i="34"/>
  <c r="G1648" i="34"/>
  <c r="G1649" i="34"/>
  <c r="G1650" i="34"/>
  <c r="G1651" i="34"/>
  <c r="G1652" i="34"/>
  <c r="G1653" i="34"/>
  <c r="G1654" i="34"/>
  <c r="G1655" i="34"/>
  <c r="G1656" i="34"/>
  <c r="G1657" i="34"/>
  <c r="G1658" i="34"/>
  <c r="G1659" i="34"/>
  <c r="G1660" i="34"/>
  <c r="G1661" i="34"/>
  <c r="G1662" i="34"/>
  <c r="G1663" i="34"/>
  <c r="G1664" i="34"/>
  <c r="G1665" i="34"/>
  <c r="G1666" i="34"/>
  <c r="G1667" i="34"/>
  <c r="G1668" i="34"/>
  <c r="G1669" i="34"/>
  <c r="G1670" i="34"/>
  <c r="G1671" i="34"/>
  <c r="G1672" i="34"/>
  <c r="G1673" i="34"/>
  <c r="G1674" i="34"/>
  <c r="G1675" i="34"/>
  <c r="G1676" i="34"/>
  <c r="G1677" i="34"/>
  <c r="G1678" i="34"/>
  <c r="G1679" i="34"/>
  <c r="G1680" i="34"/>
  <c r="G1681" i="34"/>
  <c r="G1682" i="34"/>
  <c r="G1683" i="34"/>
  <c r="G1684" i="34"/>
  <c r="G1685" i="34"/>
  <c r="G1686" i="34"/>
  <c r="G1687" i="34"/>
  <c r="G1688" i="34"/>
  <c r="G1689" i="34"/>
  <c r="G1690" i="34"/>
  <c r="G1691" i="34"/>
  <c r="G1692" i="34"/>
  <c r="G1693" i="34"/>
  <c r="G1694" i="34"/>
  <c r="G1695" i="34"/>
  <c r="G1696" i="34"/>
  <c r="G1697" i="34"/>
  <c r="G1698" i="34"/>
  <c r="G1699" i="34"/>
  <c r="G1700" i="34"/>
  <c r="G1701" i="34"/>
  <c r="G1702" i="34"/>
  <c r="G1703" i="34"/>
  <c r="G1704" i="34"/>
  <c r="G1705" i="34"/>
  <c r="G1706" i="34"/>
  <c r="G1707" i="34"/>
  <c r="G1708" i="34"/>
  <c r="G1709" i="34"/>
  <c r="G1710" i="34"/>
  <c r="G1711" i="34"/>
  <c r="G1712" i="34"/>
  <c r="G1713" i="34"/>
  <c r="G1714" i="34"/>
  <c r="G1715" i="34"/>
  <c r="G1716" i="34"/>
  <c r="G1717" i="34"/>
  <c r="G1718" i="34"/>
  <c r="G1719" i="34"/>
  <c r="G1720" i="34"/>
  <c r="G1721" i="34"/>
  <c r="G1722" i="34"/>
  <c r="G1723" i="34"/>
  <c r="G1724" i="34"/>
  <c r="G1725" i="34"/>
  <c r="G1726" i="34"/>
  <c r="G1727" i="34"/>
  <c r="G1728" i="34"/>
  <c r="G1729" i="34"/>
  <c r="G1730" i="34"/>
  <c r="G1731" i="34"/>
  <c r="G1732" i="34"/>
  <c r="G1733" i="34"/>
  <c r="G1734" i="34"/>
  <c r="G1735" i="34"/>
  <c r="G1736" i="34"/>
  <c r="G1737" i="34"/>
  <c r="G1738" i="34"/>
  <c r="G1739" i="34"/>
  <c r="G1740" i="34"/>
  <c r="G1741" i="34"/>
  <c r="G1742" i="34"/>
  <c r="G1743" i="34"/>
  <c r="G1744" i="34"/>
  <c r="G1745" i="34"/>
  <c r="G1746" i="34"/>
  <c r="G1747" i="34"/>
  <c r="G1748" i="34"/>
  <c r="G1749" i="34"/>
  <c r="G1750" i="34"/>
  <c r="G1751" i="34"/>
  <c r="G1752" i="34"/>
  <c r="G1753" i="34"/>
  <c r="G1754" i="34"/>
  <c r="G1755" i="34"/>
  <c r="G1756" i="34"/>
  <c r="G1757" i="34"/>
  <c r="G1758" i="34"/>
  <c r="G1759" i="34"/>
  <c r="G1760" i="34"/>
  <c r="G1761" i="34"/>
  <c r="G1762" i="34"/>
  <c r="G1763" i="34"/>
  <c r="G1764" i="34"/>
  <c r="G1765" i="34"/>
  <c r="G1766" i="34"/>
  <c r="G1767" i="34"/>
  <c r="G1768" i="34"/>
  <c r="G1769" i="34"/>
  <c r="G1770" i="34"/>
  <c r="G1771" i="34"/>
  <c r="G1772" i="34"/>
  <c r="G1773" i="34"/>
  <c r="G1774" i="34"/>
  <c r="G1775" i="34"/>
  <c r="G1776" i="34"/>
  <c r="G1777" i="34"/>
  <c r="G1778" i="34"/>
  <c r="G1779" i="34"/>
  <c r="G1780" i="34"/>
  <c r="G1781" i="34"/>
  <c r="G1782" i="34"/>
  <c r="G1783" i="34"/>
  <c r="G1784" i="34"/>
  <c r="G1785" i="34"/>
  <c r="G1786" i="34"/>
  <c r="G1787" i="34"/>
  <c r="G1788" i="34"/>
  <c r="G1789" i="34"/>
  <c r="G1790" i="34"/>
  <c r="G1791" i="34"/>
  <c r="G1792" i="34"/>
  <c r="G1793" i="34"/>
  <c r="G1794" i="34"/>
  <c r="G1795" i="34"/>
  <c r="G1796" i="34"/>
  <c r="G1797" i="34"/>
  <c r="G1798" i="34"/>
  <c r="G1799" i="34"/>
  <c r="G1800" i="34"/>
  <c r="G1801" i="34"/>
  <c r="G1802" i="34"/>
  <c r="G1803" i="34"/>
  <c r="G1804" i="34"/>
  <c r="G1805" i="34"/>
  <c r="G1806" i="34"/>
  <c r="G1807" i="34"/>
  <c r="G1808" i="34"/>
  <c r="G1809" i="34"/>
  <c r="G1810" i="34"/>
  <c r="G1811" i="34"/>
  <c r="G1812" i="34"/>
  <c r="G1813" i="34"/>
  <c r="G1814" i="34"/>
  <c r="G1815" i="34"/>
  <c r="G1816" i="34"/>
  <c r="G1817" i="34"/>
  <c r="G1818" i="34"/>
  <c r="G1819" i="34"/>
  <c r="G1820" i="34"/>
  <c r="G1821" i="34"/>
  <c r="G1822" i="34"/>
  <c r="G1823" i="34"/>
  <c r="G1824" i="34"/>
  <c r="G1825" i="34"/>
  <c r="G1826" i="34"/>
  <c r="G1827" i="34"/>
  <c r="G1828" i="34"/>
  <c r="G1829" i="34"/>
  <c r="G1830" i="34"/>
  <c r="G1831" i="34"/>
  <c r="G1832" i="34"/>
  <c r="G1833" i="34"/>
  <c r="G1834" i="34"/>
  <c r="G1835" i="34"/>
  <c r="G1836" i="34"/>
  <c r="G1837" i="34"/>
  <c r="G1838" i="34"/>
  <c r="G1839" i="34"/>
  <c r="G1840" i="34"/>
  <c r="G1841" i="34"/>
  <c r="G1842" i="34"/>
  <c r="G1843" i="34"/>
  <c r="G1844" i="34"/>
  <c r="G1845" i="34"/>
  <c r="G1846" i="34"/>
  <c r="G1847" i="34"/>
  <c r="G1848" i="34"/>
  <c r="G1849" i="34"/>
  <c r="G1850" i="34"/>
  <c r="G1851" i="34"/>
  <c r="G1852" i="34"/>
  <c r="G1853" i="34"/>
  <c r="G1854" i="34"/>
  <c r="G1855" i="34"/>
  <c r="G1856" i="34"/>
  <c r="G1857" i="34"/>
  <c r="G1858" i="34"/>
  <c r="G1859" i="34"/>
  <c r="G1860" i="34"/>
  <c r="G1861" i="34"/>
  <c r="G1862" i="34"/>
  <c r="G1863" i="34"/>
  <c r="G1864" i="34"/>
  <c r="G1865" i="34"/>
  <c r="G1866" i="34"/>
  <c r="G1867" i="34"/>
  <c r="G1868" i="34"/>
  <c r="G1869" i="34"/>
  <c r="G1870" i="34"/>
  <c r="G1871" i="34"/>
  <c r="G1872" i="34"/>
  <c r="G1873" i="34"/>
  <c r="G1874" i="34"/>
  <c r="G1875" i="34"/>
  <c r="G1876" i="34"/>
  <c r="G1877" i="34"/>
  <c r="G1878" i="34"/>
  <c r="G1879" i="34"/>
  <c r="G1880" i="34"/>
  <c r="G1881" i="34"/>
  <c r="G1882" i="34"/>
  <c r="G1883" i="34"/>
  <c r="G1884" i="34"/>
  <c r="G1885" i="34"/>
  <c r="G1886" i="34"/>
  <c r="G1887" i="34"/>
  <c r="G1888" i="34"/>
  <c r="G1889" i="34"/>
  <c r="G1890" i="34"/>
  <c r="G1891" i="34"/>
  <c r="G1892" i="34"/>
  <c r="G1893" i="34"/>
  <c r="G1894" i="34"/>
  <c r="G1895" i="34"/>
  <c r="G1896" i="34"/>
  <c r="G1897" i="34"/>
  <c r="G1898" i="34"/>
  <c r="G1899" i="34"/>
  <c r="G1900" i="34"/>
  <c r="G1901" i="34"/>
  <c r="G1902" i="34"/>
  <c r="G1903" i="34"/>
  <c r="G1904" i="34"/>
  <c r="G1905" i="34"/>
  <c r="G1906" i="34"/>
  <c r="G1907" i="34"/>
  <c r="G1908" i="34"/>
  <c r="G1909" i="34"/>
  <c r="G1910" i="34"/>
  <c r="G1911" i="34"/>
  <c r="G1912" i="34"/>
  <c r="G1913" i="34"/>
  <c r="G1914" i="34"/>
  <c r="G1915" i="34"/>
  <c r="G1916" i="34"/>
  <c r="G1917" i="34"/>
  <c r="G1918" i="34"/>
  <c r="G1919" i="34"/>
  <c r="G1920" i="34"/>
  <c r="G1921" i="34"/>
  <c r="G1922" i="34"/>
  <c r="G1923" i="34"/>
  <c r="G1924" i="34"/>
  <c r="G1925" i="34"/>
  <c r="G1926" i="34"/>
  <c r="G1927" i="34"/>
  <c r="G1928" i="34"/>
  <c r="G1929" i="34"/>
  <c r="G1930" i="34"/>
  <c r="G1931" i="34"/>
  <c r="G1932" i="34"/>
  <c r="G1933" i="34"/>
  <c r="G1934" i="34"/>
  <c r="G1935" i="34"/>
  <c r="G1936" i="34"/>
  <c r="G1937" i="34"/>
  <c r="G1938" i="34"/>
  <c r="G1939" i="34"/>
  <c r="G1940" i="34"/>
  <c r="G1941" i="34"/>
  <c r="G1942" i="34"/>
  <c r="G1943" i="34"/>
  <c r="G1944" i="34"/>
  <c r="G1945" i="34"/>
  <c r="G1946" i="34"/>
  <c r="G1947" i="34"/>
  <c r="G1948" i="34"/>
  <c r="G1949" i="34"/>
  <c r="G1950" i="34"/>
  <c r="G1951" i="34"/>
  <c r="G1952" i="34"/>
  <c r="G1953" i="34"/>
  <c r="G1954" i="34"/>
  <c r="G1955" i="34"/>
  <c r="G1956" i="34"/>
  <c r="G1957" i="34"/>
  <c r="G1958" i="34"/>
  <c r="G1959" i="34"/>
  <c r="G1960" i="34"/>
  <c r="G1961" i="34"/>
  <c r="G1962" i="34"/>
  <c r="G1963" i="34"/>
  <c r="G1964" i="34"/>
  <c r="G1965" i="34"/>
  <c r="G1966" i="34"/>
  <c r="G1967" i="34"/>
  <c r="G1968" i="34"/>
  <c r="G1969" i="34"/>
  <c r="G1970" i="34"/>
  <c r="G1971" i="34"/>
  <c r="G1972" i="34"/>
  <c r="G1973" i="34"/>
  <c r="G1974" i="34"/>
  <c r="G1975" i="34"/>
  <c r="G1976" i="34"/>
  <c r="G1977" i="34"/>
  <c r="G1978" i="34"/>
  <c r="G1979" i="34"/>
  <c r="G1980" i="34"/>
  <c r="G1981" i="34"/>
  <c r="G1982" i="34"/>
  <c r="G1983" i="34"/>
  <c r="G1984" i="34"/>
  <c r="G1985" i="34"/>
  <c r="G1986" i="34"/>
  <c r="G1987" i="34"/>
  <c r="G1988" i="34"/>
  <c r="G1989" i="34"/>
  <c r="G1990" i="34"/>
  <c r="G1991" i="34"/>
  <c r="G1992" i="34"/>
  <c r="G1993" i="34"/>
  <c r="G1994" i="34"/>
  <c r="G1995" i="34"/>
  <c r="G1996" i="34"/>
  <c r="G1997" i="34"/>
  <c r="G1998" i="34"/>
  <c r="G1999" i="34"/>
  <c r="G2000" i="34"/>
  <c r="G2001" i="34"/>
  <c r="G2002" i="34"/>
  <c r="G2003" i="34"/>
  <c r="G2004" i="34"/>
  <c r="G2005" i="34"/>
  <c r="G2006" i="34"/>
  <c r="G2007" i="34"/>
  <c r="G2008" i="34"/>
  <c r="G2009" i="34"/>
  <c r="G2010" i="34"/>
  <c r="G2011" i="34"/>
  <c r="G2012" i="34"/>
  <c r="G2013" i="34"/>
  <c r="G2014" i="34"/>
  <c r="G2015" i="34"/>
  <c r="G2016" i="34"/>
  <c r="G2017" i="34"/>
  <c r="G2018" i="34"/>
  <c r="G2019" i="34"/>
  <c r="G2020" i="34"/>
  <c r="G2021" i="34"/>
  <c r="G2022" i="34"/>
  <c r="G2023" i="34"/>
  <c r="G2024" i="34"/>
  <c r="G2025" i="34"/>
  <c r="G2026" i="34"/>
  <c r="G2027" i="34"/>
  <c r="G2028" i="34"/>
  <c r="G2029" i="34"/>
  <c r="G2030" i="34"/>
  <c r="G2031" i="34"/>
  <c r="G2032" i="34"/>
  <c r="G2033" i="34"/>
  <c r="G2034" i="34"/>
  <c r="G2035" i="34"/>
  <c r="G2036" i="34"/>
  <c r="G2037" i="34"/>
  <c r="G2038" i="34"/>
  <c r="G2039" i="34"/>
  <c r="G2040" i="34"/>
  <c r="G2041" i="34"/>
  <c r="G2042" i="34"/>
  <c r="G2043" i="34"/>
  <c r="G2044" i="34"/>
  <c r="G2045" i="34"/>
  <c r="G2046" i="34"/>
  <c r="G2047" i="34"/>
  <c r="G2048" i="34"/>
  <c r="G2049" i="34"/>
  <c r="G2050" i="34"/>
  <c r="G2051" i="34"/>
  <c r="G2052" i="34"/>
  <c r="G2053" i="34"/>
  <c r="G2054" i="34"/>
  <c r="G2055" i="34"/>
  <c r="G2056" i="34"/>
  <c r="G2057" i="34"/>
  <c r="G2058" i="34"/>
  <c r="G2059" i="34"/>
  <c r="G2060" i="34"/>
  <c r="G2061" i="34"/>
  <c r="G2062" i="34"/>
  <c r="G2063" i="34"/>
  <c r="G2064" i="34"/>
  <c r="G2065" i="34"/>
  <c r="G2066" i="34"/>
  <c r="G2067" i="34"/>
  <c r="G2068" i="34"/>
  <c r="G2069" i="34"/>
  <c r="G2070" i="34"/>
  <c r="G2071" i="34"/>
  <c r="G2072" i="34"/>
  <c r="G2073" i="34"/>
  <c r="G2074" i="34"/>
  <c r="G2075" i="34"/>
  <c r="G2076" i="34"/>
  <c r="G2077" i="34"/>
  <c r="G2078" i="34"/>
  <c r="G2079" i="34"/>
  <c r="G2080" i="34"/>
  <c r="G2081" i="34"/>
  <c r="G2082" i="34"/>
  <c r="G2083" i="34"/>
  <c r="G2084" i="34"/>
  <c r="G2085" i="34"/>
  <c r="G2086" i="34"/>
  <c r="G2087" i="34"/>
  <c r="G2088" i="34"/>
  <c r="G2089" i="34"/>
  <c r="G2090" i="34"/>
  <c r="G2091" i="34"/>
  <c r="G2092" i="34"/>
  <c r="G2093" i="34"/>
  <c r="G2094" i="34"/>
  <c r="G2095" i="34"/>
  <c r="G2096" i="34"/>
  <c r="G2097" i="34"/>
  <c r="G2098" i="34"/>
  <c r="G2099" i="34"/>
  <c r="G2100" i="34"/>
  <c r="G2101" i="34"/>
  <c r="G2102" i="34"/>
  <c r="G2103" i="34"/>
  <c r="G2104" i="34"/>
  <c r="G2105" i="34"/>
  <c r="G2106" i="34"/>
  <c r="G2107" i="34"/>
  <c r="G2108" i="34"/>
  <c r="G2109" i="34"/>
  <c r="G2110" i="34"/>
  <c r="G2111" i="34"/>
  <c r="G2112" i="34"/>
  <c r="G2113" i="34"/>
  <c r="G2114" i="34"/>
  <c r="G2115" i="34"/>
  <c r="G2116" i="34"/>
  <c r="G2117" i="34"/>
  <c r="G2118" i="34"/>
  <c r="G2119" i="34"/>
  <c r="G2120" i="34"/>
  <c r="G2121" i="34"/>
  <c r="G2122" i="34"/>
  <c r="G2123" i="34"/>
  <c r="G2124" i="34"/>
  <c r="G2125" i="34"/>
  <c r="G2126" i="34"/>
  <c r="G2127" i="34"/>
  <c r="G2128" i="34"/>
  <c r="G2129" i="34"/>
  <c r="G2130" i="34"/>
  <c r="G2131" i="34"/>
  <c r="G2132" i="34"/>
  <c r="G2133" i="34"/>
  <c r="G2134" i="34"/>
  <c r="G2135" i="34"/>
  <c r="G2136" i="34"/>
  <c r="G2137" i="34"/>
  <c r="G2138" i="34"/>
  <c r="G2139" i="34"/>
  <c r="G2140" i="34"/>
  <c r="G2141" i="34"/>
  <c r="G2142" i="34"/>
  <c r="G2143" i="34"/>
  <c r="G2144" i="34"/>
  <c r="G2145" i="34"/>
  <c r="G2146" i="34"/>
  <c r="G2147" i="34"/>
  <c r="G2148" i="34"/>
  <c r="G2149" i="34"/>
  <c r="G2150" i="34"/>
  <c r="G2151" i="34"/>
  <c r="G2152" i="34"/>
  <c r="G2153" i="34"/>
  <c r="G2154" i="34"/>
  <c r="G2155" i="34"/>
  <c r="G2156" i="34"/>
  <c r="G2157" i="34"/>
  <c r="G2158" i="34"/>
  <c r="G2159" i="34"/>
  <c r="G2160" i="34"/>
  <c r="G2161" i="34"/>
  <c r="G2162" i="34"/>
  <c r="G2163" i="34"/>
  <c r="G2164" i="34"/>
  <c r="G2165" i="34"/>
  <c r="G2166" i="34"/>
  <c r="G2167" i="34"/>
  <c r="G2168" i="34"/>
  <c r="G2169" i="34"/>
  <c r="G2170" i="34"/>
  <c r="G2171" i="34"/>
  <c r="G2172" i="34"/>
  <c r="G2173" i="34"/>
  <c r="G2174" i="34"/>
  <c r="G2175" i="34"/>
  <c r="G2176" i="34"/>
  <c r="G2177" i="34"/>
  <c r="G2178" i="34"/>
  <c r="G2179" i="34"/>
  <c r="G2180" i="34"/>
  <c r="G2181" i="34"/>
  <c r="G2182" i="34"/>
  <c r="G2183" i="34"/>
  <c r="G2184" i="34"/>
  <c r="G2185" i="34"/>
  <c r="G2186" i="34"/>
  <c r="G2187" i="34"/>
  <c r="G2188" i="34"/>
  <c r="G2189" i="34"/>
  <c r="G2190" i="34"/>
  <c r="G2191" i="34"/>
  <c r="G2192" i="34"/>
  <c r="G2193" i="34"/>
  <c r="G2194" i="34"/>
  <c r="G2195" i="34"/>
  <c r="G2196" i="34"/>
  <c r="G2197" i="34"/>
  <c r="G2198" i="34"/>
  <c r="G2199" i="34"/>
  <c r="G2200" i="34"/>
  <c r="G2201" i="34"/>
  <c r="G2202" i="34"/>
  <c r="G2203" i="34"/>
  <c r="G2204" i="34"/>
  <c r="G2205" i="34"/>
  <c r="G2206" i="34"/>
  <c r="G2207" i="34"/>
  <c r="G2208" i="34"/>
  <c r="G2209" i="34"/>
  <c r="G2210" i="34"/>
  <c r="G2211" i="34"/>
  <c r="G2212" i="34"/>
  <c r="G2213" i="34"/>
  <c r="G2214" i="34"/>
  <c r="G2215" i="34"/>
  <c r="G2216" i="34"/>
  <c r="G2217" i="34"/>
  <c r="G2218" i="34"/>
  <c r="G2219" i="34"/>
  <c r="G2220" i="34"/>
  <c r="G2221" i="34"/>
  <c r="G2222" i="34"/>
  <c r="G2223" i="34"/>
  <c r="G2224" i="34"/>
  <c r="G2225" i="34"/>
  <c r="G2226" i="34"/>
  <c r="G2227" i="34"/>
  <c r="G2228" i="34"/>
  <c r="G2229" i="34"/>
  <c r="G2230" i="34"/>
  <c r="G2231" i="34"/>
  <c r="G2232" i="34"/>
  <c r="G2233" i="34"/>
  <c r="G2234" i="34"/>
  <c r="G2235" i="34"/>
  <c r="G2236" i="34"/>
  <c r="G2237" i="34"/>
  <c r="G2238" i="34"/>
  <c r="G2239" i="34"/>
  <c r="G2240" i="34"/>
  <c r="G2241" i="34"/>
  <c r="G2242" i="34"/>
  <c r="G2243" i="34"/>
  <c r="G2244" i="34"/>
  <c r="G2245" i="34"/>
  <c r="G2246" i="34"/>
  <c r="G2247" i="34"/>
  <c r="G2248" i="34"/>
  <c r="G2249" i="34"/>
  <c r="G2250" i="34"/>
  <c r="G2251" i="34"/>
  <c r="G2252" i="34"/>
  <c r="G2253" i="34"/>
  <c r="G2254" i="34"/>
  <c r="G2255" i="34"/>
  <c r="G2256" i="34"/>
  <c r="G2257" i="34"/>
  <c r="G2258" i="34"/>
  <c r="G2259" i="34"/>
  <c r="G2260" i="34"/>
  <c r="G2261" i="34"/>
  <c r="G2262" i="34"/>
  <c r="G2263" i="34"/>
  <c r="G2264" i="34"/>
  <c r="G2265" i="34"/>
  <c r="G2266" i="34"/>
  <c r="G2267" i="34"/>
  <c r="G2268" i="34"/>
  <c r="G2269" i="34"/>
  <c r="G2270" i="34"/>
  <c r="G2271" i="34"/>
  <c r="G2272" i="34"/>
  <c r="G2273" i="34"/>
  <c r="G2274" i="34"/>
  <c r="G2275" i="34"/>
  <c r="G2276" i="34"/>
  <c r="G2277" i="34"/>
  <c r="G2278" i="34"/>
  <c r="G2279" i="34"/>
  <c r="G2280" i="34"/>
  <c r="G2281" i="34"/>
  <c r="G2282" i="34"/>
  <c r="G2283" i="34"/>
  <c r="G2284" i="34"/>
  <c r="G2285" i="34"/>
  <c r="G2286" i="34"/>
  <c r="G2287" i="34"/>
  <c r="G2288" i="34"/>
  <c r="G2289" i="34"/>
  <c r="G2290" i="34"/>
  <c r="G2291" i="34"/>
  <c r="G2292" i="34"/>
  <c r="G2293" i="34"/>
  <c r="G2294" i="34"/>
  <c r="G2295" i="34"/>
  <c r="G2296" i="34"/>
  <c r="G2297" i="34"/>
  <c r="G2298" i="34"/>
  <c r="G2299" i="34"/>
  <c r="G2300" i="34"/>
  <c r="G2301" i="34"/>
  <c r="G2302" i="34"/>
  <c r="G2303" i="34"/>
  <c r="G2304" i="34"/>
  <c r="G2305" i="34"/>
  <c r="G2306" i="34"/>
  <c r="G2307" i="34"/>
  <c r="G2308" i="34"/>
  <c r="G2309" i="34"/>
  <c r="G2310" i="34"/>
  <c r="G2311" i="34"/>
  <c r="G2312" i="34"/>
  <c r="G2313" i="34"/>
  <c r="G2314" i="34"/>
  <c r="G2315" i="34"/>
  <c r="G2316" i="34"/>
  <c r="G2317" i="34"/>
  <c r="G2318" i="34"/>
  <c r="G2319" i="34"/>
  <c r="G2320" i="34"/>
  <c r="G2321" i="34"/>
  <c r="G2322" i="34"/>
  <c r="G2323" i="34"/>
  <c r="G2324" i="34"/>
  <c r="G2325" i="34"/>
  <c r="G2326" i="34"/>
  <c r="G2327" i="34"/>
  <c r="G2328" i="34"/>
  <c r="G2329" i="34"/>
  <c r="G2330" i="34"/>
  <c r="G2331" i="34"/>
  <c r="G2332" i="34"/>
  <c r="G2333" i="34"/>
  <c r="G2334" i="34"/>
  <c r="G2335" i="34"/>
  <c r="G2336" i="34"/>
  <c r="G2337" i="34"/>
  <c r="G2338" i="34"/>
  <c r="G2339" i="34"/>
  <c r="G2340" i="34"/>
  <c r="G2341" i="34"/>
  <c r="G2342" i="34"/>
  <c r="G2343" i="34"/>
  <c r="G2344" i="34"/>
  <c r="G2345" i="34"/>
  <c r="G2346" i="34"/>
  <c r="G2347" i="34"/>
  <c r="G2348" i="34"/>
  <c r="G2349" i="34"/>
  <c r="G2350" i="34"/>
  <c r="G2351" i="34"/>
  <c r="G2352" i="34"/>
  <c r="G2353" i="34"/>
  <c r="G2354" i="34"/>
  <c r="G2355" i="34"/>
  <c r="G2356" i="34"/>
  <c r="G2357" i="34"/>
  <c r="G2358" i="34"/>
  <c r="G2359" i="34"/>
  <c r="G2360" i="34"/>
  <c r="G2361" i="34"/>
  <c r="G2362" i="34"/>
  <c r="G2363" i="34"/>
  <c r="G2364" i="34"/>
  <c r="G2365" i="34"/>
  <c r="G2366" i="34"/>
  <c r="G2367" i="34"/>
  <c r="G2368" i="34"/>
  <c r="G2369" i="34"/>
  <c r="G2370" i="34"/>
  <c r="G2371" i="34"/>
  <c r="G2372" i="34"/>
  <c r="G2373" i="34"/>
  <c r="G2374" i="34"/>
  <c r="G2375" i="34"/>
  <c r="G2376" i="34"/>
  <c r="G2377" i="34"/>
  <c r="G2378" i="34"/>
  <c r="G2379" i="34"/>
  <c r="G2380" i="34"/>
  <c r="G2381" i="34"/>
  <c r="G2382" i="34"/>
  <c r="G2383" i="34"/>
  <c r="G2384" i="34"/>
  <c r="G2385" i="34"/>
  <c r="G2386" i="34"/>
  <c r="G2387" i="34"/>
  <c r="G2388" i="34"/>
  <c r="G2389" i="34"/>
  <c r="G2390" i="34"/>
  <c r="G2391" i="34"/>
  <c r="G2392" i="34"/>
  <c r="G2393" i="34"/>
  <c r="G2394" i="34"/>
  <c r="G2395" i="34"/>
  <c r="G2396" i="34"/>
  <c r="G2397" i="34"/>
  <c r="G2398" i="34"/>
  <c r="G2399" i="34"/>
  <c r="G2400" i="34"/>
  <c r="G2401" i="34"/>
  <c r="G2402" i="34"/>
  <c r="G2403" i="34"/>
  <c r="G2404" i="34"/>
  <c r="G2405" i="34"/>
  <c r="G2406" i="34"/>
  <c r="G2407" i="34"/>
  <c r="G2408" i="34"/>
  <c r="G2409" i="34"/>
  <c r="G2410" i="34"/>
  <c r="G2411" i="34"/>
  <c r="G2412" i="34"/>
  <c r="G2413" i="34"/>
  <c r="G2414" i="34"/>
  <c r="G2415" i="34"/>
  <c r="G2416" i="34"/>
  <c r="G2417" i="34"/>
  <c r="G2418" i="34"/>
  <c r="G2419" i="34"/>
  <c r="G2420" i="34"/>
  <c r="G2421" i="34"/>
  <c r="G2422" i="34"/>
  <c r="G2423" i="34"/>
  <c r="G2424" i="34"/>
  <c r="G2425" i="34"/>
  <c r="G2426" i="34"/>
  <c r="G2427" i="34"/>
  <c r="G2428" i="34"/>
  <c r="G2429" i="34"/>
  <c r="G2430" i="34"/>
  <c r="G2431" i="34"/>
  <c r="G2432" i="34"/>
  <c r="G2433" i="34"/>
  <c r="G2434" i="34"/>
  <c r="G2435" i="34"/>
  <c r="G2436" i="34"/>
  <c r="G2437" i="34"/>
  <c r="G2438" i="34"/>
  <c r="G2439" i="34"/>
  <c r="G2440" i="34"/>
  <c r="G2441" i="34"/>
  <c r="G2442" i="34"/>
  <c r="G2443" i="34"/>
  <c r="G2444" i="34"/>
  <c r="G2445" i="34"/>
  <c r="G2446" i="34"/>
  <c r="G2447" i="34"/>
  <c r="G2448" i="34"/>
  <c r="G2449" i="34"/>
  <c r="G2450" i="34"/>
  <c r="G2451" i="34"/>
  <c r="G2452" i="34"/>
  <c r="G2453" i="34"/>
  <c r="G2454" i="34"/>
  <c r="G2455" i="34"/>
  <c r="G2456" i="34"/>
  <c r="G2457" i="34"/>
  <c r="G2458" i="34"/>
  <c r="G2459" i="34"/>
  <c r="G2460" i="34"/>
  <c r="G2461" i="34"/>
  <c r="G2462" i="34"/>
  <c r="G2463" i="34"/>
  <c r="G2464" i="34"/>
  <c r="G2465" i="34"/>
  <c r="G2466" i="34"/>
  <c r="G2467" i="34"/>
  <c r="G2468" i="34"/>
  <c r="G2469" i="34"/>
  <c r="G2470" i="34"/>
  <c r="G2471" i="34"/>
  <c r="G2472" i="34"/>
  <c r="G2473" i="34"/>
  <c r="G2474" i="34"/>
  <c r="G2475" i="34"/>
  <c r="G2476" i="34"/>
  <c r="G2477" i="34"/>
  <c r="G2478" i="34"/>
  <c r="G2479" i="34"/>
  <c r="G2480" i="34"/>
  <c r="G2481" i="34"/>
  <c r="G2482" i="34"/>
  <c r="G2483" i="34"/>
  <c r="G2484" i="34"/>
  <c r="G2485" i="34"/>
  <c r="G2486" i="34"/>
  <c r="G2487" i="34"/>
  <c r="G2488" i="34"/>
  <c r="G2489" i="34"/>
  <c r="G2490" i="34"/>
  <c r="G2491" i="34"/>
  <c r="G2492" i="34"/>
  <c r="G2493" i="34"/>
  <c r="G2494" i="34"/>
  <c r="G2495" i="34"/>
  <c r="G2496" i="34"/>
  <c r="G2497" i="34"/>
  <c r="G2498" i="34"/>
  <c r="G2499" i="34"/>
  <c r="G2500" i="34"/>
  <c r="G2501" i="34"/>
  <c r="G2502" i="34"/>
  <c r="G2503" i="34"/>
  <c r="G2504" i="34"/>
  <c r="G2505" i="34"/>
  <c r="G2506" i="34"/>
  <c r="G2507" i="34"/>
  <c r="G2508" i="34"/>
  <c r="G2509" i="34"/>
  <c r="G2510" i="34"/>
  <c r="G2511" i="34"/>
  <c r="G2512" i="34"/>
  <c r="G2513" i="34"/>
  <c r="G2514" i="34"/>
  <c r="G2515" i="34"/>
  <c r="G2516" i="34"/>
  <c r="G2517" i="34"/>
  <c r="G2518" i="34"/>
  <c r="G2519" i="34"/>
  <c r="G2520" i="34"/>
  <c r="G2521" i="34"/>
  <c r="G2522" i="34"/>
  <c r="G2523" i="34"/>
  <c r="G2524" i="34"/>
  <c r="G2525" i="34"/>
  <c r="G2526" i="34"/>
  <c r="G2527" i="34"/>
  <c r="G2528" i="34"/>
  <c r="G2529" i="34"/>
  <c r="G2530" i="34"/>
  <c r="G2531" i="34"/>
  <c r="G2532" i="34"/>
  <c r="G2533" i="34"/>
  <c r="G2534" i="34"/>
  <c r="G2535" i="34"/>
  <c r="G2536" i="34"/>
  <c r="G2537" i="34"/>
  <c r="G2538" i="34"/>
  <c r="G2539" i="34"/>
  <c r="G2540" i="34"/>
  <c r="G2541" i="34"/>
  <c r="G2542" i="34"/>
  <c r="G2543" i="34"/>
  <c r="G2544" i="34"/>
  <c r="G2545" i="34"/>
  <c r="G2546" i="34"/>
  <c r="G2547" i="34"/>
  <c r="G2548" i="34"/>
  <c r="G2549" i="34"/>
  <c r="G2550" i="34"/>
  <c r="G2551" i="34"/>
  <c r="G2552" i="34"/>
  <c r="G2553" i="34"/>
  <c r="G2554" i="34"/>
  <c r="G2555" i="34"/>
  <c r="G2556" i="34"/>
  <c r="G2557" i="34"/>
  <c r="G2558" i="34"/>
  <c r="G2559" i="34"/>
  <c r="G2560" i="34"/>
  <c r="G2561" i="34"/>
  <c r="G2562" i="34"/>
  <c r="G2563" i="34"/>
  <c r="G2564" i="34"/>
  <c r="G2565" i="34"/>
  <c r="G2566" i="34"/>
  <c r="G2567" i="34"/>
  <c r="G2568" i="34"/>
  <c r="G2569" i="34"/>
  <c r="G2570" i="34"/>
  <c r="G2571" i="34"/>
  <c r="G2572" i="34"/>
  <c r="G2573" i="34"/>
  <c r="G2574" i="34"/>
  <c r="G2575" i="34"/>
  <c r="G2576" i="34"/>
  <c r="G2577" i="34"/>
  <c r="G2578" i="34"/>
  <c r="G2579" i="34"/>
  <c r="G2580" i="34"/>
  <c r="G2581" i="34"/>
  <c r="G2582" i="34"/>
  <c r="G2583" i="34"/>
  <c r="G2584" i="34"/>
  <c r="G2585" i="34"/>
  <c r="G2586" i="34"/>
  <c r="G2587" i="34"/>
  <c r="G2588" i="34"/>
  <c r="G2589" i="34"/>
  <c r="G2590" i="34"/>
  <c r="G2591" i="34"/>
  <c r="G2592" i="34"/>
  <c r="G2593" i="34"/>
  <c r="G2594" i="34"/>
  <c r="G2595" i="34"/>
  <c r="G2596" i="34"/>
  <c r="G2597" i="34"/>
  <c r="G2598" i="34"/>
  <c r="G2599" i="34"/>
  <c r="G2600" i="34"/>
  <c r="G2601" i="34"/>
  <c r="G2602" i="34"/>
  <c r="G2603" i="34"/>
  <c r="G2604" i="34"/>
  <c r="G2605" i="34"/>
  <c r="G2606" i="34"/>
  <c r="G2607" i="34"/>
  <c r="G2608" i="34"/>
  <c r="G2609" i="34"/>
  <c r="G2610" i="34"/>
  <c r="G2611" i="34"/>
  <c r="G2612" i="34"/>
  <c r="G2613" i="34"/>
  <c r="G2614" i="34"/>
  <c r="G2615" i="34"/>
  <c r="G2616" i="34"/>
  <c r="G2617" i="34"/>
  <c r="G2618" i="34"/>
  <c r="G2619" i="34"/>
  <c r="G2620" i="34"/>
  <c r="G2621" i="34"/>
  <c r="G2622" i="34"/>
  <c r="G2623" i="34"/>
  <c r="G2624" i="34"/>
  <c r="G2625" i="34"/>
  <c r="G2626" i="34"/>
  <c r="G2627" i="34"/>
  <c r="G2628" i="34"/>
  <c r="G2629" i="34"/>
  <c r="G2630" i="34"/>
  <c r="G2631" i="34"/>
  <c r="G2632" i="34"/>
  <c r="G2633" i="34"/>
  <c r="G2634" i="34"/>
  <c r="G2635" i="34"/>
  <c r="G2636" i="34"/>
  <c r="G2637" i="34"/>
  <c r="G2638" i="34"/>
  <c r="G2639" i="34"/>
  <c r="G2640" i="34"/>
  <c r="G2641" i="34"/>
  <c r="G2642" i="34"/>
  <c r="G2643" i="34"/>
  <c r="G2644" i="34"/>
  <c r="G2645" i="34"/>
  <c r="G2646" i="34"/>
  <c r="G2647" i="34"/>
  <c r="G2648" i="34"/>
  <c r="G2649" i="34"/>
  <c r="G2650" i="34"/>
  <c r="G2651" i="34"/>
  <c r="G2652" i="34"/>
  <c r="G2653" i="34"/>
  <c r="G2654" i="34"/>
  <c r="G2655" i="34"/>
  <c r="G2656" i="34"/>
  <c r="G2657" i="34"/>
  <c r="G2658" i="34"/>
  <c r="G2659" i="34"/>
  <c r="G2660" i="34"/>
  <c r="G2661" i="34"/>
  <c r="G2662" i="34"/>
  <c r="G2663" i="34"/>
  <c r="G2664" i="34"/>
  <c r="G2665" i="34"/>
  <c r="G2666" i="34"/>
  <c r="G2667" i="34"/>
  <c r="G2668" i="34"/>
  <c r="G2669" i="34"/>
  <c r="G2670" i="34"/>
  <c r="G2671" i="34"/>
  <c r="G2672" i="34"/>
  <c r="G2673" i="34"/>
  <c r="G2674" i="34"/>
  <c r="G2675" i="34"/>
  <c r="G2676" i="34"/>
  <c r="G2677" i="34"/>
  <c r="G2678" i="34"/>
  <c r="G2679" i="34"/>
  <c r="G2680" i="34"/>
  <c r="G2681" i="34"/>
  <c r="G2682" i="34"/>
  <c r="G2683" i="34"/>
  <c r="G2684" i="34"/>
  <c r="G2685" i="34"/>
  <c r="G2686" i="34"/>
  <c r="G2687" i="34"/>
  <c r="G2688" i="34"/>
  <c r="G2689" i="34"/>
  <c r="G2690" i="34"/>
  <c r="G2691" i="34"/>
  <c r="G2692" i="34"/>
  <c r="G2693" i="34"/>
  <c r="G2694" i="34"/>
  <c r="G2695" i="34"/>
  <c r="G2696" i="34"/>
  <c r="G2697" i="34"/>
  <c r="G2698" i="34"/>
  <c r="G2699" i="34"/>
  <c r="G2700" i="34"/>
  <c r="G2701" i="34"/>
  <c r="G2702" i="34"/>
  <c r="G2703" i="34"/>
  <c r="G2704" i="34"/>
  <c r="G2705" i="34"/>
  <c r="G2706" i="34"/>
  <c r="G2707" i="34"/>
  <c r="G2708" i="34"/>
  <c r="G2709" i="34"/>
  <c r="G2710" i="34"/>
  <c r="G2711" i="34"/>
  <c r="G2712" i="34"/>
  <c r="G2713" i="34"/>
  <c r="G2714" i="34"/>
  <c r="G2715" i="34"/>
  <c r="G2716" i="34"/>
  <c r="G2717" i="34"/>
  <c r="G2718" i="34"/>
  <c r="G2719" i="34"/>
  <c r="G2720" i="34"/>
  <c r="G2721" i="34"/>
  <c r="G2722" i="34"/>
  <c r="G2723" i="34"/>
  <c r="G2724" i="34"/>
  <c r="G2725" i="34"/>
  <c r="G2726" i="34"/>
  <c r="G2727" i="34"/>
  <c r="G2728" i="34"/>
  <c r="G2729" i="34"/>
  <c r="G2730" i="34"/>
  <c r="G2731" i="34"/>
  <c r="G2732" i="34"/>
  <c r="G2733" i="34"/>
  <c r="G2734" i="34"/>
  <c r="G2735" i="34"/>
  <c r="G2736" i="34"/>
  <c r="G2737" i="34"/>
  <c r="G2738" i="34"/>
  <c r="G2739" i="34"/>
  <c r="G2740" i="34"/>
  <c r="G2741" i="34"/>
  <c r="G2742" i="34"/>
  <c r="G2743" i="34"/>
  <c r="G2744" i="34"/>
  <c r="G2745" i="34"/>
  <c r="G2746" i="34"/>
  <c r="G2747" i="34"/>
  <c r="G2748" i="34"/>
  <c r="G2749" i="34"/>
  <c r="G2750" i="34"/>
  <c r="G2751" i="34"/>
  <c r="G2752" i="34"/>
  <c r="G2753" i="34"/>
  <c r="G2754" i="34"/>
  <c r="G2755" i="34"/>
  <c r="G2756" i="34"/>
  <c r="G2757" i="34"/>
  <c r="G2758" i="34"/>
  <c r="G2759" i="34"/>
  <c r="G2760" i="34"/>
  <c r="G2761" i="34"/>
  <c r="G2762" i="34"/>
  <c r="G2763" i="34"/>
  <c r="G2764" i="34"/>
  <c r="G2765" i="34"/>
  <c r="G2766" i="34"/>
  <c r="G2767" i="34"/>
  <c r="G2768" i="34"/>
  <c r="G2769" i="34"/>
  <c r="G2770" i="34"/>
  <c r="G2771" i="34"/>
  <c r="G2772" i="34"/>
  <c r="G2773" i="34"/>
  <c r="G2774" i="34"/>
  <c r="G2775" i="34"/>
  <c r="G2776" i="34"/>
  <c r="G2777" i="34"/>
  <c r="G2778" i="34"/>
  <c r="G2779" i="34"/>
  <c r="G2780" i="34"/>
  <c r="G2781" i="34"/>
  <c r="G2782" i="34"/>
  <c r="G2783" i="34"/>
  <c r="G2784" i="34"/>
  <c r="G2785" i="34"/>
  <c r="G2786" i="34"/>
  <c r="G2787" i="34"/>
  <c r="G2788" i="34"/>
  <c r="G2789" i="34"/>
  <c r="G2790" i="34"/>
  <c r="G2791" i="34"/>
  <c r="G2792" i="34"/>
  <c r="G2793" i="34"/>
  <c r="G2794" i="34"/>
  <c r="G2795" i="34"/>
  <c r="G2796" i="34"/>
  <c r="G2797" i="34"/>
  <c r="G2798" i="34"/>
  <c r="G2799" i="34"/>
  <c r="G2800" i="34"/>
  <c r="G2801" i="34"/>
  <c r="G2802" i="34"/>
  <c r="G2803" i="34"/>
  <c r="G2804" i="34"/>
  <c r="G2805" i="34"/>
  <c r="G2806" i="34"/>
  <c r="G2807" i="34"/>
  <c r="G2808" i="34"/>
  <c r="G2809" i="34"/>
  <c r="G2810" i="34"/>
  <c r="G2811" i="34"/>
  <c r="G2812" i="34"/>
  <c r="G2813" i="34"/>
  <c r="G2814" i="34"/>
  <c r="G2815" i="34"/>
  <c r="G2816" i="34"/>
  <c r="G2817" i="34"/>
  <c r="G2818" i="34"/>
  <c r="G2819" i="34"/>
  <c r="G2820" i="34"/>
  <c r="G2821" i="34"/>
  <c r="G2822" i="34"/>
  <c r="G2823" i="34"/>
  <c r="G2824" i="34"/>
  <c r="G2825" i="34"/>
  <c r="G2826" i="34"/>
  <c r="G2827" i="34"/>
  <c r="G2828" i="34"/>
  <c r="G2829" i="34"/>
  <c r="G2830" i="34"/>
  <c r="G2831" i="34"/>
  <c r="G2832" i="34"/>
  <c r="G2833" i="34"/>
  <c r="G2834" i="34"/>
  <c r="G2835" i="34"/>
  <c r="G2836" i="34"/>
  <c r="G2837" i="34"/>
  <c r="G2838" i="34"/>
  <c r="G2839" i="34"/>
  <c r="G2840" i="34"/>
  <c r="G2841" i="34"/>
  <c r="G2842" i="34"/>
  <c r="G2843" i="34"/>
  <c r="G2844" i="34"/>
  <c r="G2845" i="34"/>
  <c r="G2846" i="34"/>
  <c r="G2847" i="34"/>
  <c r="G2848" i="34"/>
  <c r="G2849" i="34"/>
  <c r="G2850" i="34"/>
  <c r="G2851" i="34"/>
  <c r="G2852" i="34"/>
  <c r="G2853" i="34"/>
  <c r="G2854" i="34"/>
  <c r="G2855" i="34"/>
  <c r="G2856" i="34"/>
  <c r="G2857" i="34"/>
  <c r="G2858" i="34"/>
  <c r="G2859" i="34"/>
  <c r="G2860" i="34"/>
  <c r="G2861" i="34"/>
  <c r="G2862" i="34"/>
  <c r="G2863" i="34"/>
  <c r="G2864" i="34"/>
  <c r="G2865" i="34"/>
  <c r="G2866" i="34"/>
  <c r="G2867" i="34"/>
  <c r="G2868" i="34"/>
  <c r="G2869" i="34"/>
  <c r="G2870" i="34"/>
  <c r="G2871" i="34"/>
  <c r="G2872" i="34"/>
  <c r="G2873" i="34"/>
  <c r="G2874" i="34"/>
  <c r="G2875" i="34"/>
  <c r="G2876" i="34"/>
  <c r="G2877" i="34"/>
  <c r="G2878" i="34"/>
  <c r="G2879" i="34"/>
  <c r="G2880" i="34"/>
  <c r="G2881" i="34"/>
  <c r="G2882" i="34"/>
  <c r="G2883" i="34"/>
  <c r="G2884" i="34"/>
  <c r="G2885" i="34"/>
  <c r="G2886" i="34"/>
  <c r="G2887" i="34"/>
  <c r="G2888" i="34"/>
  <c r="G2889" i="34"/>
  <c r="G2890" i="34"/>
  <c r="G2891" i="34"/>
  <c r="G2892" i="34"/>
  <c r="G2893" i="34"/>
  <c r="G2894" i="34"/>
  <c r="G2895" i="34"/>
  <c r="G2896" i="34"/>
  <c r="G2897" i="34"/>
  <c r="G2898" i="34"/>
  <c r="G2899" i="34"/>
  <c r="G2900" i="34"/>
  <c r="G2901" i="34"/>
  <c r="G2902" i="34"/>
  <c r="G2903" i="34"/>
  <c r="G2904" i="34"/>
  <c r="G2905" i="34"/>
  <c r="G2906" i="34"/>
  <c r="G2907" i="34"/>
  <c r="G2908" i="34"/>
  <c r="G2909" i="34"/>
  <c r="G2910" i="34"/>
  <c r="G2911" i="34"/>
  <c r="G2912" i="34"/>
  <c r="G2913" i="34"/>
  <c r="G2914" i="34"/>
  <c r="G2915" i="34"/>
  <c r="G2916" i="34"/>
  <c r="G2917" i="34"/>
  <c r="G2918" i="34"/>
  <c r="G2919" i="34"/>
  <c r="G2920" i="34"/>
  <c r="G2921" i="34"/>
  <c r="G2922" i="34"/>
  <c r="G2923" i="34"/>
  <c r="G2924" i="34"/>
  <c r="G2925" i="34"/>
  <c r="G2926" i="34"/>
  <c r="G2927" i="34"/>
  <c r="G2928" i="34"/>
  <c r="G2929" i="34"/>
  <c r="G2930" i="34"/>
  <c r="G2931" i="34"/>
  <c r="G2932" i="34"/>
  <c r="G2933" i="34"/>
  <c r="G2934" i="34"/>
  <c r="G2935" i="34"/>
  <c r="G2936" i="34"/>
  <c r="G2937" i="34"/>
  <c r="G2938" i="34"/>
  <c r="G2939" i="34"/>
  <c r="G2940" i="34"/>
  <c r="G2941" i="34"/>
  <c r="G2942" i="34"/>
  <c r="G2943" i="34"/>
  <c r="G2944" i="34"/>
  <c r="G2945" i="34"/>
  <c r="G2946" i="34"/>
  <c r="G2947" i="34"/>
  <c r="G2948" i="34"/>
  <c r="G2949" i="34"/>
  <c r="G2950" i="34"/>
  <c r="G2951" i="34"/>
  <c r="G2952" i="34"/>
  <c r="G2953" i="34"/>
  <c r="G2954" i="34"/>
  <c r="G2955" i="34"/>
  <c r="G2956" i="34"/>
  <c r="G2957" i="34"/>
  <c r="G2958" i="34"/>
  <c r="G2959" i="34"/>
  <c r="G2960" i="34"/>
  <c r="G2961" i="34"/>
  <c r="G2962" i="34"/>
  <c r="G2963" i="34"/>
  <c r="G2964" i="34"/>
  <c r="G2965" i="34"/>
  <c r="G2966" i="34"/>
  <c r="G2967" i="34"/>
  <c r="G2968" i="34"/>
  <c r="G2969" i="34"/>
  <c r="G2970" i="34"/>
  <c r="G2971" i="34"/>
  <c r="G2972" i="34"/>
  <c r="G2973" i="34"/>
  <c r="G2974" i="34"/>
  <c r="G2975" i="34"/>
  <c r="G2976" i="34"/>
  <c r="G2977" i="34"/>
  <c r="G2978" i="34"/>
  <c r="G2979" i="34"/>
  <c r="G2980" i="34"/>
  <c r="G2981" i="34"/>
  <c r="G2982" i="34"/>
  <c r="G2983" i="34"/>
  <c r="G2984" i="34"/>
  <c r="G2985" i="34"/>
  <c r="G2986" i="34"/>
  <c r="G2987" i="34"/>
  <c r="G2988" i="34"/>
  <c r="G2989" i="34"/>
  <c r="G2990" i="34"/>
  <c r="G2991" i="34"/>
  <c r="G2992" i="34"/>
  <c r="G2993" i="34"/>
  <c r="G2994" i="34"/>
  <c r="G2995" i="34"/>
  <c r="G2996" i="34"/>
  <c r="G2997" i="34"/>
  <c r="G2998" i="34"/>
  <c r="G2999" i="34"/>
  <c r="G3000" i="34"/>
  <c r="G3001" i="34"/>
  <c r="G3002" i="34"/>
  <c r="G3003" i="34"/>
  <c r="G3004" i="34"/>
  <c r="G3005" i="34"/>
  <c r="G3006" i="34"/>
  <c r="G3007" i="34"/>
  <c r="G3008" i="34"/>
  <c r="G3009" i="34"/>
  <c r="G3010" i="34"/>
  <c r="G3011" i="34"/>
  <c r="G3012" i="34"/>
  <c r="G3013" i="34"/>
  <c r="G3014" i="34"/>
  <c r="G3015" i="34"/>
  <c r="G3016" i="34"/>
  <c r="G3017" i="34"/>
  <c r="G3018" i="34"/>
  <c r="G3019" i="34"/>
  <c r="G3020" i="34"/>
  <c r="G3021" i="34"/>
  <c r="G3022" i="34"/>
  <c r="G3023" i="34"/>
  <c r="G3024" i="34"/>
  <c r="G3025" i="34"/>
  <c r="G3026" i="34"/>
  <c r="G3027" i="34"/>
  <c r="G3028" i="34"/>
  <c r="G3029" i="34"/>
  <c r="G3030" i="34"/>
  <c r="G3031" i="34"/>
  <c r="G3032" i="34"/>
  <c r="G3033" i="34"/>
  <c r="G3034" i="34"/>
  <c r="G3035" i="34"/>
  <c r="G3036" i="34"/>
  <c r="G3037" i="34"/>
  <c r="G3038" i="34"/>
  <c r="G3039" i="34"/>
  <c r="G3040" i="34"/>
  <c r="G3041" i="34"/>
  <c r="G3042" i="34"/>
  <c r="G3043" i="34"/>
  <c r="G3044" i="34"/>
  <c r="G3045" i="34"/>
  <c r="G3046" i="34"/>
  <c r="G3047" i="34"/>
  <c r="G3048" i="34"/>
  <c r="G3049" i="34"/>
  <c r="G3050" i="34"/>
  <c r="G3051" i="34"/>
  <c r="G3052" i="34"/>
  <c r="G3053" i="34"/>
  <c r="G3054" i="34"/>
  <c r="G3055" i="34"/>
  <c r="G3056" i="34"/>
  <c r="G3057" i="34"/>
  <c r="G3058" i="34"/>
  <c r="G3059" i="34"/>
  <c r="G3060" i="34"/>
  <c r="G3061" i="34"/>
  <c r="G3062" i="34"/>
  <c r="G3063" i="34"/>
  <c r="G3064" i="34"/>
  <c r="G3065" i="34"/>
  <c r="G3066" i="34"/>
  <c r="G3067" i="34"/>
  <c r="G3068" i="34"/>
  <c r="G3069" i="34"/>
  <c r="G3070" i="34"/>
  <c r="G3071" i="34"/>
  <c r="G3072" i="34"/>
  <c r="G3073" i="34"/>
  <c r="G3074" i="34"/>
  <c r="G3075" i="34"/>
  <c r="G3076" i="34"/>
  <c r="G3077" i="34"/>
  <c r="G3078" i="34"/>
  <c r="G3079" i="34"/>
  <c r="G3080" i="34"/>
  <c r="G3081" i="34"/>
  <c r="G3082" i="34"/>
  <c r="G3083" i="34"/>
  <c r="G3084" i="34"/>
  <c r="G3085" i="34"/>
  <c r="G3086" i="34"/>
  <c r="G3087" i="34"/>
  <c r="G3088" i="34"/>
  <c r="G3089" i="34"/>
  <c r="G3090" i="34"/>
  <c r="G3091" i="34"/>
  <c r="G3092" i="34"/>
  <c r="G3093" i="34"/>
  <c r="G3094" i="34"/>
  <c r="G3095" i="34"/>
  <c r="G3096" i="34"/>
  <c r="G3097" i="34"/>
  <c r="G3098" i="34"/>
  <c r="G3099" i="34"/>
  <c r="G3100" i="34"/>
  <c r="G3101" i="34"/>
  <c r="G3102" i="34"/>
  <c r="G3103" i="34"/>
  <c r="G3104" i="34"/>
  <c r="G3105" i="34"/>
  <c r="G3106" i="34"/>
  <c r="G3107" i="34"/>
  <c r="G3108" i="34"/>
  <c r="G3109" i="34"/>
  <c r="G3110" i="34"/>
  <c r="G3111" i="34"/>
  <c r="G3112" i="34"/>
  <c r="G3113" i="34"/>
  <c r="G3114" i="34"/>
  <c r="G3115" i="34"/>
  <c r="G3116" i="34"/>
  <c r="G3117" i="34"/>
  <c r="G3118" i="34"/>
  <c r="G3119" i="34"/>
  <c r="G3120" i="34"/>
  <c r="G3121" i="34"/>
  <c r="G3122" i="34"/>
  <c r="G3123" i="34"/>
  <c r="G3124" i="34"/>
  <c r="G3125" i="34"/>
  <c r="G3126" i="34"/>
  <c r="G3127" i="34"/>
  <c r="G3128" i="34"/>
  <c r="G3129" i="34"/>
  <c r="G3130" i="34"/>
  <c r="G3131" i="34"/>
  <c r="G3132" i="34"/>
  <c r="G3133" i="34"/>
  <c r="G3134" i="34"/>
  <c r="G3135" i="34"/>
  <c r="G3136" i="34"/>
  <c r="G3137" i="34"/>
  <c r="G3138" i="34"/>
  <c r="G3139" i="34"/>
  <c r="G3140" i="34"/>
  <c r="G3141" i="34"/>
  <c r="G3142" i="34"/>
  <c r="G3143" i="34"/>
  <c r="G3144" i="34"/>
  <c r="G3145" i="34"/>
  <c r="G3146" i="34"/>
  <c r="G3147" i="34"/>
  <c r="G3148" i="34"/>
  <c r="G3149" i="34"/>
  <c r="G3150" i="34"/>
  <c r="G3151" i="34"/>
  <c r="G3152" i="34"/>
  <c r="G3153" i="34"/>
  <c r="G3154" i="34"/>
  <c r="G3155" i="34"/>
  <c r="G3156" i="34"/>
  <c r="G3157" i="34"/>
  <c r="G3158" i="34"/>
  <c r="G3159" i="34"/>
  <c r="G3160" i="34"/>
  <c r="G3161" i="34"/>
  <c r="G3162" i="34"/>
  <c r="G3163" i="34"/>
  <c r="G3164" i="34"/>
  <c r="G3165" i="34"/>
  <c r="G3166" i="34"/>
  <c r="G3167" i="34"/>
  <c r="G3168" i="34"/>
  <c r="G3169" i="34"/>
  <c r="G3170" i="34"/>
  <c r="G3171" i="34"/>
  <c r="G3172" i="34"/>
  <c r="G3173" i="34"/>
  <c r="G3174" i="34"/>
  <c r="G3175" i="34"/>
  <c r="G3176" i="34"/>
  <c r="G3177" i="34"/>
  <c r="G3178" i="34"/>
  <c r="G3179" i="34"/>
  <c r="G3180" i="34"/>
  <c r="G3181" i="34"/>
  <c r="G3182" i="34"/>
  <c r="G3183" i="34"/>
  <c r="G3184" i="34"/>
  <c r="G3185" i="34"/>
  <c r="G3186" i="34"/>
  <c r="G3187" i="34"/>
  <c r="G3188" i="34"/>
  <c r="G3189" i="34"/>
  <c r="G3190" i="34"/>
  <c r="G3191" i="34"/>
  <c r="G3192" i="34"/>
  <c r="G3193" i="34"/>
  <c r="G3194" i="34"/>
  <c r="G3195" i="34"/>
  <c r="G3196" i="34"/>
  <c r="G3197" i="34"/>
  <c r="G3198" i="34"/>
  <c r="G3199" i="34"/>
  <c r="G3200" i="34"/>
  <c r="G3201" i="34"/>
  <c r="G3202" i="34"/>
  <c r="G3203" i="34"/>
  <c r="G3204" i="34"/>
  <c r="G3205" i="34"/>
  <c r="G3206" i="34"/>
  <c r="G3207" i="34"/>
  <c r="G3208" i="34"/>
  <c r="G3209" i="34"/>
  <c r="G3210" i="34"/>
  <c r="G3211" i="34"/>
  <c r="G3212" i="34"/>
  <c r="G3213" i="34"/>
  <c r="G3214" i="34"/>
  <c r="G3215" i="34"/>
  <c r="G3216" i="34"/>
  <c r="G3217" i="34"/>
  <c r="G3218" i="34"/>
  <c r="G3219" i="34"/>
  <c r="G3220" i="34"/>
  <c r="G3221" i="34"/>
  <c r="G3222" i="34"/>
  <c r="G3223" i="34"/>
  <c r="G3224" i="34"/>
  <c r="G3225" i="34"/>
  <c r="G3226" i="34"/>
  <c r="G3227" i="34"/>
  <c r="G3228" i="34"/>
  <c r="G3229" i="34"/>
  <c r="G3230" i="34"/>
  <c r="G3231" i="34"/>
  <c r="G3232" i="34"/>
  <c r="G3233" i="34"/>
  <c r="G3234" i="34"/>
  <c r="G3235" i="34"/>
  <c r="G3236" i="34"/>
  <c r="G3237" i="34"/>
  <c r="G3238" i="34"/>
  <c r="G3239" i="34"/>
  <c r="G3240" i="34"/>
  <c r="G3241" i="34"/>
  <c r="G3242" i="34"/>
  <c r="G3243" i="34"/>
  <c r="G3244" i="34"/>
  <c r="G3245" i="34"/>
  <c r="G3246" i="34"/>
  <c r="G3247" i="34"/>
  <c r="G3248" i="34"/>
  <c r="G3249" i="34"/>
  <c r="G3250" i="34"/>
  <c r="G3251" i="34"/>
  <c r="G3252" i="34"/>
  <c r="G3253" i="34"/>
  <c r="G3254" i="34"/>
  <c r="G3255" i="34"/>
  <c r="G3256" i="34"/>
  <c r="G3257" i="34"/>
  <c r="G3258" i="34"/>
  <c r="G3259" i="34"/>
  <c r="G3260" i="34"/>
  <c r="G3261" i="34"/>
  <c r="G3262" i="34"/>
  <c r="G3263" i="34"/>
  <c r="G3264" i="34"/>
  <c r="G3265" i="34"/>
  <c r="G3266" i="34"/>
  <c r="G3267" i="34"/>
  <c r="G3268" i="34"/>
  <c r="G3269" i="34"/>
  <c r="G3270" i="34"/>
  <c r="G3271" i="34"/>
  <c r="G3272" i="34"/>
  <c r="G3273" i="34"/>
  <c r="G3274" i="34"/>
  <c r="G3275" i="34"/>
  <c r="G3276" i="34"/>
  <c r="G3277" i="34"/>
  <c r="G3278" i="34"/>
  <c r="G3279" i="34"/>
  <c r="G3280" i="34"/>
  <c r="G3281" i="34"/>
  <c r="G3282" i="34"/>
  <c r="G3283" i="34"/>
  <c r="G3284" i="34"/>
  <c r="G3285" i="34"/>
  <c r="G3286" i="34"/>
  <c r="G3287" i="34"/>
  <c r="G3288" i="34"/>
  <c r="G3289" i="34"/>
  <c r="G3290" i="34"/>
  <c r="G3291" i="34"/>
  <c r="G3292" i="34"/>
  <c r="G3293" i="34"/>
  <c r="G3294" i="34"/>
  <c r="G3295" i="34"/>
  <c r="G3296" i="34"/>
  <c r="G3297" i="34"/>
  <c r="G3298" i="34"/>
  <c r="G3299" i="34"/>
  <c r="G3300" i="34"/>
  <c r="G3301" i="34"/>
  <c r="G3302" i="34"/>
  <c r="G3303" i="34"/>
  <c r="G3304" i="34"/>
  <c r="G3305" i="34"/>
  <c r="G3306" i="34"/>
  <c r="G3307" i="34"/>
  <c r="G3308" i="34"/>
  <c r="G3309" i="34"/>
  <c r="G3310" i="34"/>
  <c r="G3311" i="34"/>
  <c r="G3312" i="34"/>
  <c r="G3313" i="34"/>
  <c r="G3314" i="34"/>
  <c r="G3315" i="34"/>
  <c r="G3316" i="34"/>
  <c r="G3317" i="34"/>
  <c r="G3318" i="34"/>
  <c r="G3319" i="34"/>
  <c r="G3320" i="34"/>
  <c r="G3321" i="34"/>
  <c r="G3322" i="34"/>
  <c r="G3323" i="34"/>
  <c r="G3324" i="34"/>
  <c r="G3325" i="34"/>
  <c r="G3326" i="34"/>
  <c r="G3327" i="34"/>
  <c r="G3328" i="34"/>
  <c r="G3329" i="34"/>
  <c r="G3330" i="34"/>
  <c r="G3331" i="34"/>
  <c r="G3332" i="34"/>
  <c r="G3333" i="34"/>
  <c r="G3334" i="34"/>
  <c r="G3335" i="34"/>
  <c r="G3336" i="34"/>
  <c r="G3337" i="34"/>
  <c r="G3338" i="34"/>
  <c r="G3339" i="34"/>
  <c r="G3340" i="34"/>
  <c r="G3341" i="34"/>
  <c r="G3342" i="34"/>
  <c r="G3343" i="34"/>
  <c r="G3344" i="34"/>
  <c r="G3345" i="34"/>
  <c r="G3346" i="34"/>
  <c r="G3347" i="34"/>
  <c r="G3348" i="34"/>
  <c r="G3349" i="34"/>
  <c r="G3350" i="34"/>
  <c r="G3351" i="34"/>
  <c r="G3352" i="34"/>
  <c r="G3353" i="34"/>
  <c r="G3354" i="34"/>
  <c r="G3355" i="34"/>
  <c r="G3356" i="34"/>
  <c r="G3357" i="34"/>
  <c r="G3358" i="34"/>
  <c r="G3359" i="34"/>
  <c r="G3360" i="34"/>
  <c r="G3361" i="34"/>
  <c r="G3362" i="34"/>
  <c r="G3363" i="34"/>
  <c r="G3364" i="34"/>
  <c r="G3365" i="34"/>
  <c r="G3366" i="34"/>
  <c r="G3367" i="34"/>
  <c r="G3368" i="34"/>
  <c r="G3369" i="34"/>
  <c r="G3370" i="34"/>
  <c r="G3371" i="34"/>
  <c r="G3372" i="34"/>
  <c r="G3373" i="34"/>
  <c r="G3374" i="34"/>
  <c r="G3375" i="34"/>
  <c r="G3376" i="34"/>
  <c r="G3377" i="34"/>
  <c r="G3378" i="34"/>
  <c r="G3379" i="34"/>
  <c r="G3380" i="34"/>
  <c r="G3381" i="34"/>
  <c r="G3382" i="34"/>
  <c r="G3383" i="34"/>
  <c r="G3384" i="34"/>
  <c r="G3385" i="34"/>
  <c r="G3386" i="34"/>
  <c r="G3387" i="34"/>
  <c r="G3388" i="34"/>
  <c r="G3389" i="34"/>
  <c r="G3390" i="34"/>
  <c r="G3391" i="34"/>
  <c r="G3392" i="34"/>
  <c r="G3393" i="34"/>
  <c r="G3394" i="34"/>
  <c r="G3395" i="34"/>
  <c r="G3396" i="34"/>
  <c r="G3397" i="34"/>
  <c r="G3398" i="34"/>
  <c r="G3399" i="34"/>
  <c r="G3400" i="34"/>
  <c r="G3401" i="34"/>
  <c r="G3402" i="34"/>
  <c r="G3403" i="34"/>
  <c r="G3404" i="34"/>
  <c r="G3405" i="34"/>
  <c r="G3406" i="34"/>
  <c r="G3407" i="34"/>
  <c r="G3408" i="34"/>
  <c r="G3409" i="34"/>
  <c r="G3410" i="34"/>
  <c r="G3411" i="34"/>
  <c r="G3412" i="34"/>
  <c r="G3413" i="34"/>
  <c r="G3414" i="34"/>
  <c r="G3415" i="34"/>
  <c r="G3416" i="34"/>
  <c r="G3417" i="34"/>
  <c r="G3418" i="34"/>
  <c r="G3419" i="34"/>
  <c r="G3420" i="34"/>
  <c r="G3421" i="34"/>
  <c r="G3422" i="34"/>
  <c r="G3423" i="34"/>
  <c r="G3424" i="34"/>
  <c r="G3425" i="34"/>
  <c r="G3426" i="34"/>
  <c r="G3427" i="34"/>
  <c r="G3428" i="34"/>
  <c r="G3429" i="34"/>
  <c r="G3430" i="34"/>
  <c r="G3431" i="34"/>
  <c r="G3432" i="34"/>
  <c r="G3433" i="34"/>
  <c r="G3434" i="34"/>
  <c r="G3435" i="34"/>
  <c r="G3436" i="34"/>
  <c r="G3437" i="34"/>
  <c r="G3438" i="34"/>
  <c r="G3439" i="34"/>
  <c r="G3440" i="34"/>
  <c r="G3441" i="34"/>
  <c r="G3442" i="34"/>
  <c r="G3443" i="34"/>
  <c r="G3444" i="34"/>
  <c r="G3445" i="34"/>
  <c r="G3446" i="34"/>
  <c r="G3447" i="34"/>
  <c r="G3448" i="34"/>
  <c r="G3449" i="34"/>
  <c r="G3450" i="34"/>
  <c r="G3451" i="34"/>
  <c r="G3452" i="34"/>
  <c r="G3453" i="34"/>
  <c r="G3454" i="34"/>
  <c r="G3455" i="34"/>
  <c r="G3456" i="34"/>
  <c r="G3457" i="34"/>
  <c r="G3458" i="34"/>
  <c r="G3459" i="34"/>
  <c r="G3460" i="34"/>
  <c r="G3461" i="34"/>
  <c r="G3462" i="34"/>
  <c r="G3463" i="34"/>
  <c r="G3464" i="34"/>
  <c r="G3465" i="34"/>
  <c r="G3466" i="34"/>
  <c r="G3467" i="34"/>
  <c r="G3468" i="34"/>
  <c r="G3469" i="34"/>
  <c r="G3470" i="34"/>
  <c r="G3471" i="34"/>
  <c r="G3472" i="34"/>
  <c r="G3473" i="34"/>
  <c r="G3474" i="34"/>
  <c r="G3475" i="34"/>
  <c r="G3476" i="34"/>
  <c r="G3477" i="34"/>
  <c r="G3478" i="34"/>
  <c r="G3479" i="34"/>
  <c r="G3480" i="34"/>
  <c r="G3481" i="34"/>
  <c r="G3482" i="34"/>
  <c r="G3483" i="34"/>
  <c r="G3484" i="34"/>
  <c r="G3485" i="34"/>
  <c r="G3486" i="34"/>
  <c r="G3487" i="34"/>
  <c r="G3488" i="34"/>
  <c r="G3489" i="34"/>
  <c r="G3490" i="34"/>
  <c r="G3491" i="34"/>
  <c r="G3492" i="34"/>
  <c r="G3493" i="34"/>
  <c r="G3494" i="34"/>
  <c r="G3495" i="34"/>
  <c r="G3496" i="34"/>
  <c r="G3497" i="34"/>
  <c r="G3498" i="34"/>
  <c r="G3499" i="34"/>
  <c r="G3500" i="34"/>
  <c r="G3501" i="34"/>
  <c r="G3502" i="34"/>
  <c r="G3503" i="34"/>
  <c r="G3504" i="34"/>
  <c r="G3505" i="34"/>
  <c r="G3506" i="34"/>
  <c r="G3507" i="34"/>
  <c r="G3508" i="34"/>
  <c r="G3509" i="34"/>
  <c r="G3510" i="34"/>
  <c r="G3511" i="34"/>
  <c r="G3512" i="34"/>
  <c r="G3513" i="34"/>
  <c r="G3514" i="34"/>
  <c r="G3515" i="34"/>
  <c r="G3516" i="34"/>
  <c r="G3517" i="34"/>
  <c r="G3518" i="34"/>
  <c r="G3519" i="34"/>
  <c r="G3520" i="34"/>
  <c r="G3521" i="34"/>
  <c r="G3522" i="34"/>
  <c r="G3523" i="34"/>
  <c r="G3524" i="34"/>
  <c r="G3525" i="34"/>
  <c r="G3526" i="34"/>
  <c r="G3527" i="34"/>
  <c r="G3528" i="34"/>
  <c r="G3529" i="34"/>
  <c r="G3530" i="34"/>
  <c r="G3531" i="34"/>
  <c r="G3532" i="34"/>
  <c r="G3533" i="34"/>
  <c r="G3534" i="34"/>
  <c r="G3535" i="34"/>
  <c r="G3536" i="34"/>
  <c r="G3537" i="34"/>
  <c r="G3538" i="34"/>
  <c r="G3539" i="34"/>
  <c r="G3540" i="34"/>
  <c r="G3541" i="34"/>
  <c r="G3542" i="34"/>
  <c r="G3543" i="34"/>
  <c r="G3544" i="34"/>
  <c r="G3545" i="34"/>
  <c r="G3546" i="34"/>
  <c r="G3547" i="34"/>
  <c r="G3548" i="34"/>
  <c r="G3549" i="34"/>
  <c r="G3550" i="34"/>
  <c r="G3551" i="34"/>
  <c r="G3552" i="34"/>
  <c r="G3553" i="34"/>
  <c r="G3554" i="34"/>
  <c r="G3555" i="34"/>
  <c r="G3556" i="34"/>
  <c r="G3557" i="34"/>
  <c r="G3558" i="34"/>
  <c r="G3559" i="34"/>
  <c r="G3560" i="34"/>
  <c r="G3561" i="34"/>
  <c r="G3562" i="34"/>
  <c r="G3563" i="34"/>
  <c r="G3564" i="34"/>
  <c r="G3565" i="34"/>
  <c r="G3566" i="34"/>
  <c r="G3567" i="34"/>
  <c r="G3568" i="34"/>
  <c r="G3569" i="34"/>
  <c r="G3570" i="34"/>
  <c r="G3571" i="34"/>
  <c r="G3572" i="34"/>
  <c r="G3573" i="34"/>
  <c r="G3574" i="34"/>
  <c r="G3575" i="34"/>
  <c r="G3576" i="34"/>
  <c r="G3577" i="34"/>
  <c r="G3578" i="34"/>
  <c r="G3579" i="34"/>
  <c r="G3580" i="34"/>
  <c r="G3581" i="34"/>
  <c r="G3582" i="34"/>
  <c r="G3583" i="34"/>
  <c r="G3584" i="34"/>
  <c r="G3585" i="34"/>
  <c r="G3586" i="34"/>
  <c r="G3587" i="34"/>
  <c r="G3588" i="34"/>
  <c r="G3589" i="34"/>
  <c r="G3590" i="34"/>
  <c r="G3591" i="34"/>
  <c r="G3592" i="34"/>
  <c r="G3593" i="34"/>
  <c r="G3594" i="34"/>
  <c r="G3595" i="34"/>
  <c r="G3596" i="34"/>
  <c r="G3597" i="34"/>
  <c r="G3598" i="34"/>
  <c r="G3599" i="34"/>
  <c r="G3600" i="34"/>
  <c r="G3601" i="34"/>
  <c r="G3602" i="34"/>
  <c r="G3603" i="34"/>
  <c r="G3604" i="34"/>
  <c r="G3605" i="34"/>
  <c r="G3606" i="34"/>
  <c r="G3607" i="34"/>
  <c r="G3608" i="34"/>
  <c r="G3609" i="34"/>
  <c r="G3610" i="34"/>
  <c r="G3611" i="34"/>
  <c r="G3612" i="34"/>
  <c r="G3613" i="34"/>
  <c r="G3614" i="34"/>
  <c r="G3615" i="34"/>
  <c r="G3616" i="34"/>
  <c r="G3617" i="34"/>
  <c r="G3618" i="34"/>
  <c r="G3619" i="34"/>
  <c r="G3620" i="34"/>
  <c r="G3621" i="34"/>
  <c r="G3622" i="34"/>
  <c r="G3623" i="34"/>
  <c r="G3624" i="34"/>
  <c r="G3625" i="34"/>
  <c r="G3626" i="34"/>
  <c r="G3627" i="34"/>
  <c r="G3628" i="34"/>
  <c r="G3629" i="34"/>
  <c r="G3630" i="34"/>
  <c r="G3631" i="34"/>
  <c r="G3632" i="34"/>
  <c r="G3633" i="34"/>
  <c r="G3634" i="34"/>
  <c r="G3635" i="34"/>
  <c r="G3636" i="34"/>
  <c r="G3637" i="34"/>
  <c r="G3638" i="34"/>
  <c r="G3639" i="34"/>
  <c r="G3640" i="34"/>
  <c r="G3641" i="34"/>
  <c r="G3642" i="34"/>
  <c r="G3643" i="34"/>
  <c r="G3644" i="34"/>
  <c r="G3645" i="34"/>
  <c r="G3646" i="34"/>
  <c r="G3647" i="34"/>
  <c r="G3648" i="34"/>
  <c r="G3649" i="34"/>
  <c r="G3650" i="34"/>
  <c r="G3651" i="34"/>
  <c r="G3652" i="34"/>
  <c r="G3653" i="34"/>
  <c r="G3654" i="34"/>
  <c r="G3655" i="34"/>
  <c r="G3656" i="34"/>
  <c r="G3657" i="34"/>
  <c r="G3658" i="34"/>
  <c r="G3659" i="34"/>
  <c r="G3660" i="34"/>
  <c r="G3661" i="34"/>
  <c r="G3662" i="34"/>
  <c r="G3663" i="34"/>
  <c r="G3664" i="34"/>
  <c r="G3665" i="34"/>
  <c r="G3666" i="34"/>
  <c r="G3667" i="34"/>
  <c r="G3668" i="34"/>
  <c r="G3669" i="34"/>
  <c r="G3670" i="34"/>
  <c r="G3671" i="34"/>
  <c r="G3672" i="34"/>
  <c r="G3673" i="34"/>
  <c r="G3674" i="34"/>
  <c r="G3675" i="34"/>
  <c r="G3676" i="34"/>
  <c r="G3677" i="34"/>
  <c r="G3678" i="34"/>
  <c r="G3679" i="34"/>
  <c r="G3680" i="34"/>
  <c r="G3681" i="34"/>
  <c r="G3682" i="34"/>
  <c r="G3683" i="34"/>
  <c r="G3684" i="34"/>
  <c r="G3685" i="34"/>
  <c r="G3686" i="34"/>
  <c r="G3687" i="34"/>
  <c r="G3688" i="34"/>
  <c r="G3689" i="34"/>
  <c r="G3690" i="34"/>
  <c r="G3691" i="34"/>
  <c r="G3692" i="34"/>
  <c r="G3693" i="34"/>
  <c r="G3694" i="34"/>
  <c r="G3695" i="34"/>
  <c r="G3696" i="34"/>
  <c r="G3697" i="34"/>
  <c r="G3698" i="34"/>
  <c r="G3699" i="34"/>
  <c r="G3700" i="34"/>
  <c r="G3701" i="34"/>
  <c r="G3702" i="34"/>
  <c r="G3703" i="34"/>
  <c r="G3704" i="34"/>
  <c r="G3705" i="34"/>
  <c r="G3706" i="34"/>
  <c r="G3707" i="34"/>
  <c r="G3708" i="34"/>
  <c r="G3709" i="34"/>
  <c r="G3710" i="34"/>
  <c r="G3711" i="34"/>
  <c r="G3712" i="34"/>
  <c r="G3713" i="34"/>
  <c r="G3714" i="34"/>
  <c r="G3715" i="34"/>
  <c r="G3716" i="34"/>
  <c r="G3717" i="34"/>
  <c r="G3718" i="34"/>
  <c r="G3719" i="34"/>
  <c r="G3720" i="34"/>
  <c r="G3721" i="34"/>
  <c r="G3722" i="34"/>
  <c r="G3723" i="34"/>
  <c r="G3724" i="34"/>
  <c r="G3725" i="34"/>
  <c r="G3726" i="34"/>
  <c r="G3727" i="34"/>
  <c r="G3728" i="34"/>
  <c r="G3729" i="34"/>
  <c r="G3730" i="34"/>
  <c r="G3731" i="34"/>
  <c r="G3732" i="34"/>
  <c r="G3733" i="34"/>
  <c r="G3734" i="34"/>
  <c r="G3735" i="34"/>
  <c r="G3736" i="34"/>
  <c r="G3737" i="34"/>
  <c r="G3738" i="34"/>
  <c r="G3739" i="34"/>
  <c r="G3740" i="34"/>
  <c r="G3741" i="34"/>
  <c r="G3742" i="34"/>
  <c r="G3743" i="34"/>
  <c r="G3744" i="34"/>
  <c r="G3745" i="34"/>
  <c r="G3746" i="34"/>
  <c r="G3747" i="34"/>
  <c r="G3748" i="34"/>
  <c r="G3749" i="34"/>
  <c r="G3750" i="34"/>
  <c r="G3751" i="34"/>
  <c r="G3752" i="34"/>
  <c r="G3753" i="34"/>
  <c r="G3754" i="34"/>
  <c r="G3755" i="34"/>
  <c r="G3756" i="34"/>
  <c r="G3757" i="34"/>
  <c r="G3758" i="34"/>
  <c r="G3759" i="34"/>
  <c r="G3760" i="34"/>
  <c r="G3761" i="34"/>
  <c r="G3762" i="34"/>
  <c r="G3763" i="34"/>
  <c r="G3764" i="34"/>
  <c r="G3765" i="34"/>
  <c r="G3766" i="34"/>
  <c r="G3767" i="34"/>
  <c r="G3768" i="34"/>
  <c r="G3769" i="34"/>
  <c r="G3770" i="34"/>
  <c r="G3771" i="34"/>
  <c r="G3772" i="34"/>
  <c r="G3773" i="34"/>
  <c r="G3774" i="34"/>
  <c r="G3775" i="34"/>
  <c r="G3776" i="34"/>
  <c r="G3777" i="34"/>
  <c r="G3778" i="34"/>
  <c r="G3779" i="34"/>
  <c r="G3780" i="34"/>
  <c r="G3781" i="34"/>
  <c r="G3782" i="34"/>
  <c r="G3783" i="34"/>
  <c r="G3784" i="34"/>
  <c r="G3785" i="34"/>
  <c r="G3786" i="34"/>
  <c r="G3787" i="34"/>
  <c r="G3788" i="34"/>
  <c r="G3789" i="34"/>
  <c r="G3790" i="34"/>
  <c r="G3791" i="34"/>
  <c r="G3792" i="34"/>
  <c r="G3793" i="34"/>
  <c r="G3794" i="34"/>
  <c r="G3795" i="34"/>
  <c r="G3796" i="34"/>
  <c r="G3797" i="34"/>
  <c r="G3798" i="34"/>
  <c r="G3799" i="34"/>
  <c r="G3800" i="34"/>
  <c r="G3801" i="34"/>
  <c r="G3802" i="34"/>
  <c r="G3803" i="34"/>
  <c r="G3804" i="34"/>
  <c r="G3805" i="34"/>
  <c r="G3806" i="34"/>
  <c r="G3807" i="34"/>
  <c r="G3808" i="34"/>
  <c r="G3809" i="34"/>
  <c r="G3810" i="34"/>
  <c r="G3811" i="34"/>
  <c r="G3812" i="34"/>
  <c r="G3813" i="34"/>
  <c r="G3814" i="34"/>
  <c r="G3815" i="34"/>
  <c r="G3816" i="34"/>
  <c r="G3817" i="34"/>
  <c r="G3818" i="34"/>
  <c r="G3819" i="34"/>
  <c r="G3820" i="34"/>
  <c r="G3821" i="34"/>
  <c r="G3822" i="34"/>
  <c r="G3823" i="34"/>
  <c r="G3824" i="34"/>
  <c r="G3825" i="34"/>
  <c r="G3826" i="34"/>
  <c r="G3827" i="34"/>
  <c r="G3828" i="34"/>
  <c r="G3829" i="34"/>
  <c r="G3830" i="34"/>
  <c r="G3831" i="34"/>
  <c r="G3832" i="34"/>
  <c r="G3833" i="34"/>
  <c r="G3834" i="34"/>
  <c r="G3835" i="34"/>
  <c r="G3836" i="34"/>
  <c r="G3837" i="34"/>
  <c r="G3838" i="34"/>
  <c r="G3839" i="34"/>
  <c r="G3840" i="34"/>
  <c r="G3841" i="34"/>
  <c r="G3842" i="34"/>
  <c r="G3843" i="34"/>
  <c r="G3844" i="34"/>
  <c r="G3845" i="34"/>
  <c r="G3846" i="34"/>
  <c r="G3847" i="34"/>
  <c r="G3848" i="34"/>
  <c r="G3849" i="34"/>
  <c r="G3850" i="34"/>
  <c r="G3851" i="34"/>
  <c r="G3852" i="34"/>
  <c r="G3853" i="34"/>
  <c r="G3854" i="34"/>
  <c r="G3855" i="34"/>
  <c r="G3856" i="34"/>
  <c r="G3857" i="34"/>
  <c r="G3858" i="34"/>
  <c r="G3859" i="34"/>
  <c r="G3860" i="34"/>
  <c r="G3861" i="34"/>
  <c r="G3862" i="34"/>
  <c r="G3863" i="34"/>
  <c r="G3864" i="34"/>
  <c r="G3865" i="34"/>
  <c r="G3866" i="34"/>
  <c r="G3867" i="34"/>
  <c r="G3868" i="34"/>
  <c r="G3869" i="34"/>
  <c r="G3870" i="34"/>
  <c r="G3871" i="34"/>
  <c r="G3872" i="34"/>
  <c r="G3873" i="34"/>
  <c r="G3874" i="34"/>
  <c r="G3875" i="34"/>
  <c r="G3876" i="34"/>
  <c r="G3877" i="34"/>
  <c r="G3878" i="34"/>
  <c r="G3879" i="34"/>
  <c r="G3880" i="34"/>
  <c r="G3881" i="34"/>
  <c r="G3882" i="34"/>
  <c r="G3883" i="34"/>
  <c r="G3884" i="34"/>
  <c r="G3885" i="34"/>
  <c r="G3886" i="34"/>
  <c r="G3887" i="34"/>
  <c r="G3888" i="34"/>
  <c r="G3889" i="34"/>
  <c r="G3890" i="34"/>
  <c r="G3891" i="34"/>
  <c r="G3892" i="34"/>
  <c r="G3893" i="34"/>
  <c r="G3894" i="34"/>
  <c r="G3895" i="34"/>
  <c r="G3896" i="34"/>
  <c r="G3897" i="34"/>
  <c r="G3898" i="34"/>
  <c r="G3899" i="34"/>
  <c r="G3900" i="34"/>
  <c r="G3901" i="34"/>
  <c r="G3902" i="34"/>
  <c r="G3903" i="34"/>
  <c r="G3904" i="34"/>
  <c r="G3905" i="34"/>
  <c r="G3906" i="34"/>
  <c r="G3907" i="34"/>
  <c r="G3908" i="34"/>
  <c r="G3909" i="34"/>
  <c r="G3910" i="34"/>
  <c r="G3911" i="34"/>
  <c r="G3912" i="34"/>
  <c r="G3913" i="34"/>
  <c r="G3914" i="34"/>
  <c r="G3915" i="34"/>
  <c r="G3916" i="34"/>
  <c r="G3917" i="34"/>
  <c r="G3918" i="34"/>
  <c r="G3919" i="34"/>
  <c r="G3920" i="34"/>
  <c r="G3921" i="34"/>
  <c r="G3922" i="34"/>
  <c r="G3923" i="34"/>
  <c r="G3924" i="34"/>
  <c r="G3925" i="34"/>
  <c r="G3926" i="34"/>
  <c r="G3927" i="34"/>
  <c r="G3928" i="34"/>
  <c r="G3929" i="34"/>
  <c r="G3930" i="34"/>
  <c r="G3931" i="34"/>
  <c r="G3932" i="34"/>
  <c r="G3933" i="34"/>
  <c r="G3934" i="34"/>
  <c r="G3935" i="34"/>
  <c r="G3936" i="34"/>
  <c r="G3937" i="34"/>
  <c r="G3938" i="34"/>
  <c r="G3939" i="34"/>
  <c r="G3940" i="34"/>
  <c r="G3941" i="34"/>
  <c r="G3942" i="34"/>
  <c r="G3943" i="34"/>
  <c r="G3944" i="34"/>
  <c r="G3945" i="34"/>
  <c r="G3946" i="34"/>
  <c r="G3947" i="34"/>
  <c r="G3948" i="34"/>
  <c r="G3949" i="34"/>
  <c r="G3950" i="34"/>
  <c r="G3951" i="34"/>
  <c r="G3952" i="34"/>
  <c r="G3953" i="34"/>
  <c r="G3954" i="34"/>
  <c r="G3955" i="34"/>
  <c r="G3956" i="34"/>
  <c r="G3957" i="34"/>
  <c r="G3958" i="34"/>
  <c r="G3959" i="34"/>
  <c r="G3960" i="34"/>
  <c r="G3961" i="34"/>
  <c r="G3962" i="34"/>
  <c r="G3963" i="34"/>
  <c r="G3964" i="34"/>
  <c r="G3965" i="34"/>
  <c r="G3966" i="34"/>
  <c r="G3967" i="34"/>
  <c r="G3968" i="34"/>
  <c r="G3969" i="34"/>
  <c r="G3970" i="34"/>
  <c r="G3971" i="34"/>
  <c r="G3972" i="34"/>
  <c r="G3973" i="34"/>
  <c r="G3974" i="34"/>
  <c r="G3975" i="34"/>
  <c r="G3976" i="34"/>
  <c r="G3977" i="34"/>
  <c r="G3978" i="34"/>
  <c r="G3979" i="34"/>
  <c r="G3980" i="34"/>
  <c r="G3981" i="34"/>
  <c r="G3982" i="34"/>
  <c r="G3983" i="34"/>
  <c r="G3984" i="34"/>
  <c r="G3985" i="34"/>
  <c r="G3986" i="34"/>
  <c r="G3987" i="34"/>
  <c r="G3988" i="34"/>
  <c r="G3989" i="34"/>
  <c r="G3990" i="34"/>
  <c r="G3991" i="34"/>
  <c r="G3992" i="34"/>
  <c r="G3993" i="34"/>
  <c r="G3994" i="34"/>
  <c r="G3995" i="34"/>
  <c r="G3996" i="34"/>
  <c r="G3997" i="34"/>
  <c r="G3998" i="34"/>
  <c r="G3999" i="34"/>
  <c r="G4000" i="34"/>
  <c r="G4001" i="34"/>
  <c r="G4002" i="34"/>
  <c r="G4003" i="34"/>
  <c r="G4004" i="34"/>
  <c r="G4005" i="34"/>
  <c r="G4006" i="34"/>
  <c r="G4007" i="34"/>
  <c r="G4008" i="34"/>
  <c r="G4009" i="34"/>
  <c r="G4010" i="34"/>
  <c r="G4011" i="34"/>
  <c r="G4012" i="34"/>
  <c r="G4013" i="34"/>
  <c r="G4014" i="34"/>
  <c r="G4015" i="34"/>
  <c r="G4016" i="34"/>
  <c r="G4017" i="34"/>
  <c r="G4018" i="34"/>
  <c r="G4019" i="34"/>
  <c r="G4020" i="34"/>
  <c r="G4021" i="34"/>
  <c r="G4022" i="34"/>
  <c r="G4023" i="34"/>
  <c r="G4024" i="34"/>
  <c r="G4025" i="34"/>
  <c r="G4026" i="34"/>
  <c r="G4027" i="34"/>
  <c r="G4028" i="34"/>
  <c r="G4029" i="34"/>
  <c r="G4030" i="34"/>
  <c r="G4031" i="34"/>
  <c r="G4032" i="34"/>
  <c r="G4033" i="34"/>
  <c r="G4034" i="34"/>
  <c r="G4035" i="34"/>
  <c r="G4036" i="34"/>
  <c r="G4037" i="34"/>
  <c r="G4038" i="34"/>
  <c r="G4039" i="34"/>
  <c r="G4040" i="34"/>
  <c r="G4041" i="34"/>
  <c r="G4042" i="34"/>
  <c r="G4043" i="34"/>
  <c r="G4044" i="34"/>
  <c r="G4045" i="34"/>
  <c r="G4046" i="34"/>
  <c r="G4047" i="34"/>
  <c r="G4048" i="34"/>
  <c r="G4049" i="34"/>
  <c r="G4050" i="34"/>
  <c r="G4051" i="34"/>
  <c r="G4052" i="34"/>
  <c r="G4053" i="34"/>
  <c r="G4054" i="34"/>
  <c r="G4055" i="34"/>
  <c r="G4056" i="34"/>
  <c r="G4057" i="34"/>
  <c r="G4058" i="34"/>
  <c r="G4059" i="34"/>
  <c r="G4060" i="34"/>
  <c r="G4061" i="34"/>
  <c r="G4062" i="34"/>
  <c r="G4063" i="34"/>
  <c r="G4064" i="34"/>
  <c r="G4065" i="34"/>
  <c r="G4066" i="34"/>
  <c r="G4067" i="34"/>
  <c r="G4068" i="34"/>
  <c r="G4069" i="34"/>
  <c r="G4070" i="34"/>
  <c r="G4071" i="34"/>
  <c r="G4072" i="34"/>
  <c r="G4073" i="34"/>
  <c r="G4074" i="34"/>
  <c r="G4075" i="34"/>
  <c r="G4076" i="34"/>
  <c r="G4077" i="34"/>
  <c r="G4078" i="34"/>
  <c r="G4079" i="34"/>
  <c r="G4080" i="34"/>
  <c r="G4081" i="34"/>
  <c r="G4082" i="34"/>
  <c r="G4083" i="34"/>
  <c r="G4084" i="34"/>
  <c r="G4085" i="34"/>
  <c r="G4086" i="34"/>
  <c r="G4087" i="34"/>
  <c r="G4088" i="34"/>
  <c r="G4089" i="34"/>
  <c r="G4090" i="34"/>
  <c r="G4091" i="34"/>
  <c r="G4092" i="34"/>
  <c r="G4093" i="34"/>
  <c r="G4094" i="34"/>
  <c r="G4095" i="34"/>
  <c r="G4096" i="34"/>
  <c r="G4097" i="34"/>
  <c r="G4098" i="34"/>
  <c r="G4099" i="34"/>
  <c r="G4100" i="34"/>
  <c r="G4101" i="34"/>
  <c r="G4102" i="34"/>
  <c r="G4103" i="34"/>
  <c r="G4104" i="34"/>
  <c r="G4105" i="34"/>
  <c r="G4106" i="34"/>
  <c r="G4107" i="34"/>
  <c r="G4108" i="34"/>
  <c r="G4109" i="34"/>
  <c r="G4110" i="34"/>
  <c r="G4111" i="34"/>
  <c r="G4112" i="34"/>
  <c r="G4113" i="34"/>
  <c r="G4114" i="34"/>
  <c r="G4115" i="34"/>
  <c r="G4116" i="34"/>
  <c r="G4117" i="34"/>
  <c r="G4118" i="34"/>
  <c r="G4119" i="34"/>
  <c r="G4120" i="34"/>
  <c r="G4121" i="34"/>
  <c r="G4122" i="34"/>
  <c r="G4123" i="34"/>
  <c r="G4124" i="34"/>
  <c r="G4125" i="34"/>
  <c r="G4126" i="34"/>
  <c r="G4127" i="34"/>
  <c r="G4128" i="34"/>
  <c r="G4129" i="34"/>
  <c r="G4130" i="34"/>
  <c r="G4131" i="34"/>
  <c r="G4132" i="34"/>
  <c r="G4133" i="34"/>
  <c r="G4134" i="34"/>
  <c r="G4135" i="34"/>
  <c r="G4136" i="34"/>
  <c r="G4137" i="34"/>
  <c r="G4138" i="34"/>
  <c r="G4139" i="34"/>
  <c r="G4140" i="34"/>
  <c r="G4141" i="34"/>
  <c r="G4142" i="34"/>
  <c r="G4143" i="34"/>
  <c r="G4144" i="34"/>
  <c r="G4145" i="34"/>
  <c r="G4146" i="34"/>
  <c r="G4147" i="34"/>
  <c r="G4148" i="34"/>
  <c r="G4149" i="34"/>
  <c r="G4150" i="34"/>
  <c r="G4151" i="34"/>
  <c r="G4152" i="34"/>
  <c r="G4153" i="34"/>
  <c r="G4154" i="34"/>
  <c r="G4155" i="34"/>
  <c r="G4156" i="34"/>
  <c r="G4157" i="34"/>
  <c r="G4158" i="34"/>
  <c r="G4159" i="34"/>
  <c r="G4160" i="34"/>
  <c r="G4161" i="34"/>
  <c r="G4162" i="34"/>
  <c r="G4163" i="34"/>
  <c r="G4164" i="34"/>
  <c r="G4165" i="34"/>
  <c r="G4166" i="34"/>
  <c r="G4167" i="34"/>
  <c r="G4168" i="34"/>
  <c r="G4169" i="34"/>
  <c r="G4170" i="34"/>
  <c r="G4171" i="34"/>
  <c r="G4172" i="34"/>
  <c r="G4173" i="34"/>
  <c r="G4174" i="34"/>
  <c r="G4175" i="34"/>
  <c r="G4176" i="34"/>
  <c r="G4177" i="34"/>
  <c r="G4178" i="34"/>
  <c r="G4179" i="34"/>
  <c r="G4180" i="34"/>
  <c r="G4181" i="34"/>
  <c r="G4182" i="34"/>
  <c r="G4183" i="34"/>
  <c r="G4184" i="34"/>
  <c r="G4185" i="34"/>
  <c r="G4186" i="34"/>
  <c r="G4187" i="34"/>
  <c r="G4188" i="34"/>
  <c r="G4189" i="34"/>
  <c r="G4190" i="34"/>
  <c r="G4191" i="34"/>
  <c r="G4192" i="34"/>
  <c r="G4193" i="34"/>
  <c r="G4194" i="34"/>
  <c r="G4195" i="34"/>
  <c r="G4196" i="34"/>
  <c r="G4197" i="34"/>
  <c r="G4198" i="34"/>
  <c r="G4199" i="34"/>
  <c r="G4200" i="34"/>
  <c r="G4201" i="34"/>
  <c r="G4202" i="34"/>
  <c r="G4203" i="34"/>
  <c r="G4204" i="34"/>
  <c r="G4205" i="34"/>
  <c r="G4206" i="34"/>
  <c r="G4207" i="34"/>
  <c r="G4208" i="34"/>
  <c r="G4209" i="34"/>
  <c r="G4210" i="34"/>
  <c r="G4211" i="34"/>
  <c r="G4212" i="34"/>
  <c r="G4213" i="34"/>
  <c r="G4214" i="34"/>
  <c r="G4215" i="34"/>
  <c r="G4216" i="34"/>
  <c r="G4217" i="34"/>
  <c r="G4218" i="34"/>
  <c r="G4219" i="34"/>
  <c r="G4220" i="34"/>
  <c r="G4221" i="34"/>
  <c r="G4222" i="34"/>
  <c r="G4223" i="34"/>
  <c r="G4224" i="34"/>
  <c r="G4225" i="34"/>
  <c r="G4226" i="34"/>
  <c r="G4227" i="34"/>
  <c r="G4228" i="34"/>
  <c r="G4229" i="34"/>
  <c r="G4230" i="34"/>
  <c r="G4231" i="34"/>
  <c r="G4232" i="34"/>
  <c r="G4233" i="34"/>
  <c r="G4234" i="34"/>
  <c r="G4235" i="34"/>
  <c r="G4236" i="34"/>
  <c r="G4237" i="34"/>
  <c r="G4238" i="34"/>
  <c r="G4239" i="34"/>
  <c r="G4240" i="34"/>
  <c r="G4241" i="34"/>
  <c r="G4242" i="34"/>
  <c r="G4243" i="34"/>
  <c r="G4244" i="34"/>
  <c r="G4245" i="34"/>
  <c r="G4246" i="34"/>
  <c r="G4247" i="34"/>
  <c r="G4248" i="34"/>
  <c r="G4249" i="34"/>
  <c r="G4250" i="34"/>
  <c r="G4251" i="34"/>
  <c r="G4252" i="34"/>
  <c r="G4253" i="34"/>
  <c r="G4254" i="34"/>
  <c r="G4255" i="34"/>
  <c r="G4256" i="34"/>
  <c r="G4257" i="34"/>
  <c r="G4258" i="34"/>
  <c r="G4259" i="34"/>
  <c r="G4260" i="34"/>
  <c r="G4261" i="34"/>
  <c r="G4262" i="34"/>
  <c r="G4263" i="34"/>
  <c r="G4264" i="34"/>
  <c r="G4265" i="34"/>
  <c r="G4266" i="34"/>
  <c r="G4267" i="34"/>
  <c r="G4268" i="34"/>
  <c r="G4269" i="34"/>
  <c r="G4270" i="34"/>
  <c r="G4271" i="34"/>
  <c r="G4272" i="34"/>
  <c r="G4273" i="34"/>
  <c r="G4274" i="34"/>
  <c r="G4275" i="34"/>
  <c r="G4276" i="34"/>
  <c r="G4277" i="34"/>
  <c r="G4278" i="34"/>
  <c r="G4279" i="34"/>
  <c r="G4280" i="34"/>
  <c r="G4281" i="34"/>
  <c r="G4282" i="34"/>
  <c r="G4283" i="34"/>
  <c r="G4284" i="34"/>
  <c r="G4285" i="34"/>
  <c r="G4286" i="34"/>
  <c r="G4287" i="34"/>
  <c r="G4288" i="34"/>
  <c r="G4289" i="34"/>
  <c r="G4290" i="34"/>
  <c r="G4291" i="34"/>
  <c r="G4292" i="34"/>
  <c r="G4293" i="34"/>
  <c r="G4294" i="34"/>
  <c r="G4295" i="34"/>
  <c r="G4296" i="34"/>
  <c r="G4297" i="34"/>
  <c r="G4298" i="34"/>
  <c r="G4299" i="34"/>
  <c r="G4300" i="34"/>
  <c r="G4301" i="34"/>
  <c r="G4302" i="34"/>
  <c r="G4303" i="34"/>
  <c r="G4304" i="34"/>
  <c r="G4305" i="34"/>
  <c r="G4306" i="34"/>
  <c r="G4307" i="34"/>
  <c r="G4308" i="34"/>
  <c r="G4309" i="34"/>
  <c r="G4310" i="34"/>
  <c r="G4311" i="34"/>
  <c r="G4312" i="34"/>
  <c r="G4313" i="34"/>
  <c r="G4314" i="34"/>
  <c r="G4315" i="34"/>
  <c r="G4316" i="34"/>
  <c r="G4317" i="34"/>
  <c r="G4318" i="34"/>
  <c r="G4319" i="34"/>
  <c r="G4320" i="34"/>
  <c r="G4321" i="34"/>
  <c r="G4322" i="34"/>
  <c r="G4323" i="34"/>
  <c r="G4324" i="34"/>
  <c r="G4325" i="34"/>
  <c r="G4326" i="34"/>
  <c r="G4327" i="34"/>
  <c r="G4328" i="34"/>
  <c r="G4329" i="34"/>
  <c r="G4330" i="34"/>
  <c r="G4331" i="34"/>
  <c r="G4332" i="34"/>
  <c r="G4333" i="34"/>
  <c r="G4334" i="34"/>
  <c r="G4335" i="34"/>
  <c r="G4336" i="34"/>
  <c r="G4337" i="34"/>
  <c r="G4338" i="34"/>
  <c r="G4339" i="34"/>
  <c r="G4340" i="34"/>
  <c r="G4341" i="34"/>
  <c r="G4342" i="34"/>
  <c r="G4343" i="34"/>
  <c r="G4344" i="34"/>
  <c r="G4345" i="34"/>
  <c r="G4346" i="34"/>
  <c r="G4347" i="34"/>
  <c r="G4348" i="34"/>
  <c r="G4349" i="34"/>
  <c r="G4350" i="34"/>
  <c r="G4351" i="34"/>
  <c r="G4352" i="34"/>
  <c r="G4353" i="34"/>
  <c r="G4354" i="34"/>
  <c r="G4355" i="34"/>
  <c r="G4356" i="34"/>
  <c r="G4357" i="34"/>
  <c r="G4358" i="34"/>
  <c r="G4359" i="34"/>
  <c r="G4360" i="34"/>
  <c r="G4361" i="34"/>
  <c r="G4362" i="34"/>
  <c r="G4363" i="34"/>
  <c r="G4364" i="34"/>
  <c r="G4365" i="34"/>
  <c r="G4366" i="34"/>
  <c r="G4367" i="34"/>
  <c r="G4368" i="34"/>
  <c r="G4369" i="34"/>
  <c r="G4370" i="34"/>
  <c r="G4371" i="34"/>
  <c r="G4372" i="34"/>
  <c r="G4373" i="34"/>
  <c r="G4374" i="34"/>
  <c r="G4375" i="34"/>
  <c r="G4376" i="34"/>
  <c r="G4377" i="34"/>
  <c r="G4378" i="34"/>
  <c r="G4379" i="34"/>
  <c r="G4380" i="34"/>
  <c r="G4381" i="34"/>
  <c r="G4382" i="34"/>
  <c r="G4383" i="34"/>
  <c r="G4384" i="34"/>
  <c r="G4385" i="34"/>
  <c r="G4386" i="34"/>
  <c r="G4387" i="34"/>
  <c r="G4388" i="34"/>
  <c r="G4389" i="34"/>
  <c r="G4390" i="34"/>
  <c r="G4391" i="34"/>
  <c r="G4392" i="34"/>
  <c r="G4393" i="34"/>
  <c r="G4394" i="34"/>
  <c r="G4395" i="34"/>
  <c r="G4396" i="34"/>
  <c r="G4397" i="34"/>
  <c r="G4398" i="34"/>
  <c r="G4399" i="34"/>
  <c r="G4400" i="34"/>
  <c r="G4401" i="34"/>
  <c r="G4402" i="34"/>
  <c r="G4403" i="34"/>
  <c r="G4404" i="34"/>
  <c r="G4405" i="34"/>
  <c r="G4406" i="34"/>
  <c r="G4407" i="34"/>
  <c r="G4408" i="34"/>
  <c r="G4409" i="34"/>
  <c r="G4410" i="34"/>
  <c r="G4411" i="34"/>
  <c r="G4412" i="34"/>
  <c r="G4413" i="34"/>
  <c r="G4414" i="34"/>
  <c r="G4415" i="34"/>
  <c r="G4416" i="34"/>
  <c r="G4417" i="34"/>
  <c r="G4418" i="34"/>
  <c r="G4419" i="34"/>
  <c r="G4420" i="34"/>
  <c r="G4421" i="34"/>
  <c r="G4422" i="34"/>
  <c r="G4423" i="34"/>
  <c r="G4424" i="34"/>
  <c r="G4425" i="34"/>
  <c r="G4426" i="34"/>
  <c r="G4427" i="34"/>
  <c r="G4428" i="34"/>
  <c r="G4429" i="34"/>
  <c r="G4430" i="34"/>
  <c r="G4431" i="34"/>
  <c r="G4432" i="34"/>
  <c r="G4433" i="34"/>
  <c r="G4434" i="34"/>
  <c r="G4435" i="34"/>
  <c r="G4436" i="34"/>
  <c r="G4437" i="34"/>
  <c r="G4438" i="34"/>
  <c r="G4439" i="34"/>
  <c r="G4440" i="34"/>
  <c r="G4441" i="34"/>
  <c r="G4442" i="34"/>
  <c r="G4443" i="34"/>
  <c r="G4444" i="34"/>
  <c r="G4445" i="34"/>
  <c r="G4446" i="34"/>
  <c r="G4447" i="34"/>
  <c r="G4448" i="34"/>
  <c r="G4449" i="34"/>
  <c r="G4450" i="34"/>
  <c r="G4451" i="34"/>
  <c r="G4452" i="34"/>
  <c r="G4453" i="34"/>
  <c r="G4454" i="34"/>
  <c r="G4455" i="34"/>
  <c r="G4456" i="34"/>
  <c r="G4457" i="34"/>
  <c r="G4458" i="34"/>
  <c r="G4459" i="34"/>
  <c r="G4460" i="34"/>
  <c r="G4461" i="34"/>
  <c r="G4462" i="34"/>
  <c r="G4463" i="34"/>
  <c r="G4464" i="34"/>
  <c r="G4465" i="34"/>
  <c r="G4466" i="34"/>
  <c r="G4467" i="34"/>
  <c r="G4468" i="34"/>
  <c r="G4469" i="34"/>
  <c r="G4470" i="34"/>
  <c r="G4471" i="34"/>
  <c r="G4472" i="34"/>
  <c r="G4473" i="34"/>
  <c r="G4474" i="34"/>
  <c r="G4475" i="34"/>
  <c r="G4476" i="34"/>
  <c r="G4477" i="34"/>
  <c r="G4478" i="34"/>
  <c r="G4479" i="34"/>
  <c r="G4480" i="34"/>
  <c r="G4481" i="34"/>
  <c r="G4482" i="34"/>
  <c r="G4483" i="34"/>
  <c r="G4484" i="34"/>
  <c r="G4485" i="34"/>
  <c r="G4486" i="34"/>
  <c r="G4487" i="34"/>
  <c r="G4488" i="34"/>
  <c r="G4489" i="34"/>
  <c r="G4490" i="34"/>
  <c r="G4491" i="34"/>
  <c r="G4492" i="34"/>
  <c r="G4493" i="34"/>
  <c r="G4494" i="34"/>
  <c r="G4495" i="34"/>
  <c r="G4496" i="34"/>
  <c r="G4497" i="34"/>
  <c r="G4498" i="34"/>
  <c r="G4499" i="34"/>
  <c r="G4500" i="34"/>
  <c r="G4501" i="34"/>
  <c r="G4502" i="34"/>
  <c r="G4503" i="34"/>
  <c r="G4504" i="34"/>
  <c r="G4505" i="34"/>
  <c r="G4506" i="34"/>
  <c r="G4507" i="34"/>
  <c r="G4508" i="34"/>
  <c r="G4509" i="34"/>
  <c r="G4510" i="34"/>
  <c r="G4511" i="34"/>
  <c r="G4512" i="34"/>
  <c r="G4513" i="34"/>
  <c r="G4514" i="34"/>
  <c r="G4515" i="34"/>
  <c r="G4516" i="34"/>
  <c r="G4517" i="34"/>
  <c r="G4518" i="34"/>
  <c r="G4519" i="34"/>
  <c r="G4520" i="34"/>
  <c r="G4521" i="34"/>
  <c r="G4522" i="34"/>
  <c r="G4523" i="34"/>
  <c r="G4524" i="34"/>
  <c r="G4525" i="34"/>
  <c r="G4526" i="34"/>
  <c r="G4527" i="34"/>
  <c r="G4528" i="34"/>
  <c r="G4529" i="34"/>
  <c r="G4530" i="34"/>
  <c r="G4531" i="34"/>
  <c r="G4532" i="34"/>
  <c r="G4533" i="34"/>
  <c r="G4534" i="34"/>
  <c r="G4535" i="34"/>
  <c r="G4536" i="34"/>
  <c r="G4537" i="34"/>
  <c r="G4538" i="34"/>
  <c r="G4539" i="34"/>
  <c r="G4540" i="34"/>
  <c r="G4541" i="34"/>
  <c r="G4542" i="34"/>
  <c r="G4543" i="34"/>
  <c r="G4544" i="34"/>
  <c r="G4545" i="34"/>
  <c r="G4546" i="34"/>
  <c r="G4547" i="34"/>
  <c r="G4548" i="34"/>
  <c r="G4549" i="34"/>
  <c r="G4550" i="34"/>
  <c r="G4551" i="34"/>
  <c r="G4552" i="34"/>
  <c r="G4553" i="34"/>
  <c r="G4554" i="34"/>
  <c r="G4555" i="34"/>
  <c r="G4556" i="34"/>
  <c r="G4557" i="34"/>
  <c r="G4558" i="34"/>
  <c r="G4559" i="34"/>
  <c r="G4560" i="34"/>
  <c r="G4561" i="34"/>
  <c r="G4562" i="34"/>
  <c r="G4563" i="34"/>
  <c r="G4564" i="34"/>
  <c r="G4565" i="34"/>
  <c r="G4566" i="34"/>
  <c r="G4567" i="34"/>
  <c r="G4568" i="34"/>
  <c r="G4569" i="34"/>
  <c r="G4570" i="34"/>
  <c r="G4571" i="34"/>
  <c r="G4572" i="34"/>
  <c r="G4573" i="34"/>
  <c r="G4574" i="34"/>
  <c r="G4575" i="34"/>
  <c r="G4576" i="34"/>
  <c r="G4577" i="34"/>
  <c r="G4578" i="34"/>
  <c r="G4579" i="34"/>
  <c r="G4580" i="34"/>
  <c r="G4581" i="34"/>
  <c r="G4582" i="34"/>
  <c r="G4583" i="34"/>
  <c r="G4584" i="34"/>
  <c r="G4585" i="34"/>
  <c r="G4586" i="34"/>
  <c r="G4587" i="34"/>
  <c r="G4588" i="34"/>
  <c r="G4589" i="34"/>
  <c r="G4590" i="34"/>
  <c r="G4591" i="34"/>
  <c r="G4592" i="34"/>
  <c r="G4593" i="34"/>
  <c r="G4594" i="34"/>
  <c r="G4595" i="34"/>
  <c r="G4596" i="34"/>
  <c r="G4597" i="34"/>
  <c r="G4598" i="34"/>
  <c r="G4599" i="34"/>
  <c r="G4600" i="34"/>
  <c r="G4601" i="34"/>
  <c r="G4602" i="34"/>
  <c r="G4603" i="34"/>
  <c r="G4604" i="34"/>
  <c r="G4605" i="34"/>
  <c r="G4606" i="34"/>
  <c r="G4607" i="34"/>
  <c r="G4608" i="34"/>
  <c r="G4609" i="34"/>
  <c r="G4610" i="34"/>
  <c r="G4611" i="34"/>
  <c r="G4612" i="34"/>
  <c r="G4613" i="34"/>
  <c r="G4614" i="34"/>
  <c r="G4615" i="34"/>
  <c r="G4616" i="34"/>
  <c r="G4617" i="34"/>
  <c r="G4618" i="34"/>
  <c r="G4619" i="34"/>
  <c r="G4620" i="34"/>
  <c r="G4621" i="34"/>
  <c r="G4622" i="34"/>
  <c r="G4623" i="34"/>
  <c r="G4624" i="34"/>
  <c r="G4625" i="34"/>
  <c r="G4626" i="34"/>
  <c r="G4627" i="34"/>
  <c r="G4628" i="34"/>
  <c r="G4629" i="34"/>
  <c r="G4630" i="34"/>
  <c r="G4631" i="34"/>
  <c r="G4632" i="34"/>
  <c r="G4633" i="34"/>
  <c r="G4634" i="34"/>
  <c r="G4635" i="34"/>
  <c r="G4636" i="34"/>
  <c r="G4637" i="34"/>
  <c r="G4638" i="34"/>
  <c r="G4639" i="34"/>
  <c r="G4640" i="34"/>
  <c r="G4641" i="34"/>
  <c r="G4642" i="34"/>
  <c r="G4643" i="34"/>
  <c r="G4644" i="34"/>
  <c r="G4645" i="34"/>
  <c r="G4646" i="34"/>
  <c r="G4647" i="34"/>
  <c r="G4648" i="34"/>
  <c r="G4649" i="34"/>
  <c r="G4650" i="34"/>
  <c r="G4651" i="34"/>
  <c r="G4652" i="34"/>
  <c r="G4653" i="34"/>
  <c r="G4654" i="34"/>
  <c r="G4655" i="34"/>
  <c r="G4656" i="34"/>
  <c r="G4657" i="34"/>
  <c r="G4658" i="34"/>
  <c r="G4659" i="34"/>
  <c r="G4660" i="34"/>
  <c r="G4661" i="34"/>
  <c r="G4662" i="34"/>
  <c r="G4663" i="34"/>
  <c r="G4664" i="34"/>
  <c r="G4665" i="34"/>
  <c r="G4666" i="34"/>
  <c r="G4667" i="34"/>
  <c r="G4668" i="34"/>
  <c r="G4669" i="34"/>
  <c r="G4670" i="34"/>
  <c r="G4671" i="34"/>
  <c r="G4672" i="34"/>
  <c r="G4673" i="34"/>
  <c r="G4674" i="34"/>
  <c r="G4675" i="34"/>
  <c r="G4676" i="34"/>
  <c r="G4677" i="34"/>
  <c r="G4678" i="34"/>
  <c r="G4679" i="34"/>
  <c r="G4680" i="34"/>
  <c r="G4681" i="34"/>
  <c r="G4682" i="34"/>
  <c r="G4683" i="34"/>
  <c r="G4684" i="34"/>
  <c r="G4685" i="34"/>
  <c r="G4686" i="34"/>
  <c r="G4687" i="34"/>
  <c r="G4688" i="34"/>
  <c r="G4689" i="34"/>
  <c r="G4690" i="34"/>
  <c r="G4691" i="34"/>
  <c r="G4692" i="34"/>
  <c r="G4693" i="34"/>
  <c r="G4694" i="34"/>
  <c r="G4695" i="34"/>
  <c r="G4696" i="34"/>
  <c r="G4697" i="34"/>
  <c r="G4698" i="34"/>
  <c r="G4699" i="34"/>
  <c r="G4700" i="34"/>
  <c r="G4701" i="34"/>
  <c r="G4702" i="34"/>
  <c r="G4703" i="34"/>
  <c r="G4704" i="34"/>
  <c r="G4705" i="34"/>
  <c r="G4706" i="34"/>
  <c r="G4707" i="34"/>
  <c r="G4708" i="34"/>
  <c r="G4709" i="34"/>
  <c r="G4710" i="34"/>
  <c r="G4711" i="34"/>
  <c r="G4712" i="34"/>
  <c r="G4713" i="34"/>
  <c r="G4714" i="34"/>
  <c r="G4715" i="34"/>
  <c r="G4716" i="34"/>
  <c r="G4717" i="34"/>
  <c r="G4718" i="34"/>
  <c r="G4719" i="34"/>
  <c r="G4720" i="34"/>
  <c r="G4721" i="34"/>
  <c r="G4722" i="34"/>
  <c r="G4723" i="34"/>
  <c r="G4724" i="34"/>
  <c r="G4725" i="34"/>
  <c r="G4726" i="34"/>
  <c r="G4727" i="34"/>
  <c r="G4728" i="34"/>
  <c r="G4729" i="34"/>
  <c r="G4730" i="34"/>
  <c r="G4731" i="34"/>
  <c r="G4732" i="34"/>
  <c r="G4733" i="34"/>
  <c r="G4734" i="34"/>
  <c r="G4735" i="34"/>
  <c r="G4736" i="34"/>
  <c r="G4737" i="34"/>
  <c r="G4738" i="34"/>
  <c r="G4739" i="34"/>
  <c r="G4740" i="34"/>
  <c r="G4741" i="34"/>
  <c r="G4742" i="34"/>
  <c r="G4743" i="34"/>
  <c r="G4744" i="34"/>
  <c r="G4745" i="34"/>
  <c r="G4746" i="34"/>
  <c r="G4747" i="34"/>
  <c r="G4748" i="34"/>
  <c r="G4749" i="34"/>
  <c r="G4750" i="34"/>
  <c r="G4751" i="34"/>
  <c r="G4752" i="34"/>
  <c r="G4753" i="34"/>
  <c r="G4754" i="34"/>
  <c r="G4755" i="34"/>
  <c r="G4756" i="34"/>
  <c r="G4757" i="34"/>
  <c r="G4758" i="34"/>
  <c r="G4759" i="34"/>
  <c r="G4760" i="34"/>
  <c r="G4761" i="34"/>
  <c r="G4762" i="34"/>
  <c r="G4763" i="34"/>
  <c r="G4764" i="34"/>
  <c r="G4765" i="34"/>
  <c r="G4766" i="34"/>
  <c r="G4767" i="34"/>
  <c r="G4768" i="34"/>
  <c r="G4769" i="34"/>
  <c r="G4770" i="34"/>
  <c r="G4771" i="34"/>
  <c r="G4772" i="34"/>
  <c r="G4773" i="34"/>
  <c r="G4774" i="34"/>
  <c r="G4775" i="34"/>
  <c r="G4776" i="34"/>
  <c r="G4777" i="34"/>
  <c r="G4778" i="34"/>
  <c r="G4779" i="34"/>
  <c r="G4780" i="34"/>
  <c r="G4781" i="34"/>
  <c r="G4782" i="34"/>
  <c r="G4783" i="34"/>
  <c r="G4784" i="34"/>
  <c r="G4785" i="34"/>
  <c r="G4786" i="34"/>
  <c r="G4787" i="34"/>
  <c r="G4788" i="34"/>
  <c r="G4789" i="34"/>
  <c r="G4790" i="34"/>
  <c r="G4791" i="34"/>
  <c r="G4792" i="34"/>
  <c r="G4793" i="34"/>
  <c r="G4794" i="34"/>
  <c r="G4795" i="34"/>
  <c r="G4796" i="34"/>
  <c r="G4797" i="34"/>
  <c r="G4798" i="34"/>
  <c r="G4799" i="34"/>
  <c r="G4800" i="34"/>
  <c r="G4801" i="34"/>
  <c r="G4802" i="34"/>
  <c r="G4803" i="34"/>
  <c r="G4804" i="34"/>
  <c r="G4805" i="34"/>
  <c r="G4806" i="34"/>
  <c r="G4807" i="34"/>
  <c r="G4808" i="34"/>
  <c r="G4809" i="34"/>
  <c r="G4810" i="34"/>
  <c r="G4811" i="34"/>
  <c r="G4812" i="34"/>
  <c r="G4813" i="34"/>
  <c r="G4814" i="34"/>
  <c r="G4815" i="34"/>
  <c r="G4816" i="34"/>
  <c r="G4817" i="34"/>
  <c r="G4818" i="34"/>
  <c r="G4819" i="34"/>
  <c r="G4820" i="34"/>
  <c r="G4821" i="34"/>
  <c r="G4822" i="34"/>
  <c r="G4823" i="34"/>
  <c r="G4824" i="34"/>
  <c r="G4825" i="34"/>
  <c r="G4826" i="34"/>
  <c r="G4827" i="34"/>
  <c r="G4828" i="34"/>
  <c r="G4829" i="34"/>
  <c r="G4830" i="34"/>
  <c r="G4831" i="34"/>
  <c r="G4832" i="34"/>
  <c r="G4833" i="34"/>
  <c r="G4834" i="34"/>
  <c r="G4835" i="34"/>
  <c r="G4836" i="34"/>
  <c r="G4837" i="34"/>
  <c r="G4838" i="34"/>
  <c r="G4839" i="34"/>
  <c r="G4840" i="34"/>
  <c r="G4841" i="34"/>
  <c r="G4842" i="34"/>
  <c r="G4843" i="34"/>
  <c r="G4844" i="34"/>
  <c r="G4845" i="34"/>
  <c r="G4846" i="34"/>
  <c r="G4847" i="34"/>
  <c r="G4848" i="34"/>
  <c r="G4849" i="34"/>
  <c r="G4850" i="34"/>
  <c r="G4851" i="34"/>
  <c r="G4852" i="34"/>
  <c r="G4853" i="34"/>
  <c r="G4854" i="34"/>
  <c r="G4855" i="34"/>
  <c r="G4856" i="34"/>
  <c r="G4857" i="34"/>
  <c r="G4858" i="34"/>
  <c r="G4859" i="34"/>
  <c r="G4860" i="34"/>
  <c r="G4861" i="34"/>
  <c r="G4862" i="34"/>
  <c r="G4863" i="34"/>
  <c r="G4864" i="34"/>
  <c r="G4865" i="34"/>
  <c r="G4866" i="34"/>
  <c r="G4867" i="34"/>
  <c r="G4868" i="34"/>
  <c r="G4869" i="34"/>
  <c r="G4870" i="34"/>
  <c r="G4871" i="34"/>
  <c r="G4872" i="34"/>
  <c r="G4873" i="34"/>
  <c r="G4874" i="34"/>
  <c r="G4875" i="34"/>
  <c r="G4876" i="34"/>
  <c r="G4877" i="34"/>
  <c r="G4878" i="34"/>
  <c r="G4879" i="34"/>
  <c r="G4880" i="34"/>
  <c r="G4881" i="34"/>
  <c r="G4882" i="34"/>
  <c r="G4883" i="34"/>
  <c r="G4884" i="34"/>
  <c r="G4885" i="34"/>
  <c r="G4886" i="34"/>
  <c r="G4887" i="34"/>
  <c r="G4888" i="34"/>
  <c r="G4889" i="34"/>
  <c r="G4890" i="34"/>
  <c r="G4891" i="34"/>
  <c r="G4892" i="34"/>
  <c r="G4893" i="34"/>
  <c r="G4894" i="34"/>
  <c r="G4895" i="34"/>
  <c r="G4896" i="34"/>
  <c r="G4897" i="34"/>
  <c r="G4898" i="34"/>
  <c r="G4899" i="34"/>
  <c r="G4900" i="34"/>
  <c r="G4901" i="34"/>
  <c r="G4902" i="34"/>
  <c r="G4903" i="34"/>
  <c r="G4904" i="34"/>
  <c r="G4905" i="34"/>
  <c r="G4906" i="34"/>
  <c r="G4907" i="34"/>
  <c r="G4908" i="34"/>
  <c r="G4909" i="34"/>
  <c r="G4910" i="34"/>
  <c r="G4911" i="34"/>
  <c r="G4912" i="34"/>
  <c r="G4913" i="34"/>
  <c r="G4914" i="34"/>
  <c r="G4915" i="34"/>
  <c r="G4916" i="34"/>
  <c r="G4917" i="34"/>
  <c r="G4918" i="34"/>
  <c r="G4919" i="34"/>
  <c r="G4920" i="34"/>
  <c r="G4921" i="34"/>
  <c r="G4922" i="34"/>
  <c r="G4923" i="34"/>
  <c r="G4924" i="34"/>
  <c r="G4925" i="34"/>
  <c r="G4926" i="34"/>
  <c r="G4927" i="34"/>
  <c r="G4928" i="34"/>
  <c r="G4929" i="34"/>
  <c r="G4930" i="34"/>
  <c r="G4931" i="34"/>
  <c r="G4932" i="34"/>
  <c r="G4933" i="34"/>
  <c r="G4934" i="34"/>
  <c r="G4935" i="34"/>
  <c r="G4936" i="34"/>
  <c r="G4937" i="34"/>
  <c r="G4938" i="34"/>
  <c r="G4939" i="34"/>
  <c r="G4940" i="34"/>
  <c r="G4941" i="34"/>
  <c r="G4942" i="34"/>
  <c r="G4943" i="34"/>
  <c r="G4944" i="34"/>
  <c r="G4945" i="34"/>
  <c r="G4946" i="34"/>
  <c r="G4947" i="34"/>
  <c r="G4948" i="34"/>
  <c r="G4949" i="34"/>
  <c r="G4950" i="34"/>
  <c r="G4951" i="34"/>
  <c r="G4952" i="34"/>
  <c r="G4953" i="34"/>
  <c r="G4954" i="34"/>
  <c r="G4955" i="34"/>
  <c r="G4956" i="34"/>
  <c r="G4957" i="34"/>
  <c r="G4958" i="34"/>
  <c r="G4959" i="34"/>
  <c r="G4960" i="34"/>
  <c r="G4961" i="34"/>
  <c r="G4962" i="34"/>
  <c r="G4963" i="34"/>
  <c r="G4964" i="34"/>
  <c r="G4965" i="34"/>
  <c r="G4966" i="34"/>
  <c r="G4967" i="34"/>
  <c r="G4968" i="34"/>
  <c r="G4969" i="34"/>
  <c r="G4970" i="34"/>
  <c r="G4971" i="34"/>
  <c r="G4972" i="34"/>
  <c r="G4973" i="34"/>
  <c r="G4974" i="34"/>
  <c r="G4975" i="34"/>
  <c r="G4976" i="34"/>
  <c r="G4977" i="34"/>
  <c r="G4978" i="34"/>
  <c r="G4979" i="34"/>
  <c r="G4980" i="34"/>
  <c r="G4981" i="34"/>
  <c r="G4982" i="34"/>
  <c r="G4983" i="34"/>
  <c r="G4984" i="34"/>
  <c r="G4985" i="34"/>
  <c r="G4986" i="34"/>
  <c r="G4987" i="34"/>
  <c r="G4988" i="34"/>
  <c r="G4989" i="34"/>
  <c r="G4990" i="34"/>
  <c r="G4991" i="34"/>
  <c r="G4992" i="34"/>
  <c r="G4993" i="34"/>
  <c r="G4994" i="34"/>
  <c r="G4995" i="34"/>
  <c r="G4996" i="34"/>
  <c r="G4997" i="34"/>
  <c r="G4998" i="34"/>
  <c r="G4999" i="34"/>
  <c r="G5000" i="34"/>
  <c r="G5001" i="34"/>
  <c r="G5002" i="34"/>
  <c r="G5003" i="34"/>
  <c r="G5004" i="34"/>
  <c r="G5005" i="34"/>
  <c r="G5006" i="34"/>
  <c r="G5007" i="34"/>
  <c r="G5008" i="34"/>
  <c r="G5009" i="34"/>
  <c r="G5010" i="34"/>
  <c r="G5011" i="34"/>
  <c r="G5012" i="34"/>
  <c r="G5013" i="34"/>
  <c r="G5014" i="34"/>
  <c r="G5015" i="34"/>
  <c r="G5016" i="34"/>
  <c r="G5017" i="34"/>
  <c r="G5018" i="34"/>
  <c r="G5019" i="34"/>
  <c r="G5020" i="34"/>
  <c r="G5021" i="34"/>
  <c r="G5022" i="34"/>
  <c r="G5023" i="34"/>
  <c r="G5024" i="34"/>
  <c r="G5025" i="34"/>
  <c r="G5026" i="34"/>
  <c r="G5027" i="34"/>
  <c r="G5028" i="34"/>
  <c r="G5029" i="34"/>
  <c r="G5030" i="34"/>
  <c r="G5031" i="34"/>
  <c r="G5032" i="34"/>
  <c r="G5033" i="34"/>
  <c r="G5034" i="34"/>
  <c r="G5035" i="34"/>
  <c r="G5036" i="34"/>
  <c r="G5037" i="34"/>
  <c r="G5038" i="34"/>
  <c r="G5039" i="34"/>
  <c r="G5040" i="34"/>
  <c r="G5041" i="34"/>
  <c r="G5042" i="34"/>
  <c r="G5043" i="34"/>
  <c r="G5044" i="34"/>
  <c r="G5045" i="34"/>
  <c r="G5046" i="34"/>
  <c r="G5047" i="34"/>
  <c r="G5048" i="34"/>
  <c r="G5049" i="34"/>
  <c r="G5050" i="34"/>
  <c r="G5051" i="34"/>
  <c r="G5052" i="34"/>
  <c r="G5053" i="34"/>
  <c r="G5054" i="34"/>
  <c r="G5055" i="34"/>
  <c r="G5056" i="34"/>
  <c r="G5057" i="34"/>
  <c r="G5058" i="34"/>
  <c r="G5059" i="34"/>
  <c r="G5060" i="34"/>
  <c r="G5061" i="34"/>
  <c r="G5062" i="34"/>
  <c r="G5063" i="34"/>
  <c r="G5064" i="34"/>
  <c r="G5065" i="34"/>
  <c r="G5066" i="34"/>
  <c r="G5067" i="34"/>
  <c r="G5068" i="34"/>
  <c r="G5069" i="34"/>
  <c r="G5070" i="34"/>
  <c r="G5071" i="34"/>
  <c r="G5072" i="34"/>
  <c r="G5073" i="34"/>
  <c r="G5074" i="34"/>
  <c r="G5075" i="34"/>
  <c r="G5076" i="34"/>
  <c r="G5077" i="34"/>
  <c r="G5078" i="34"/>
  <c r="G5079" i="34"/>
  <c r="G5080" i="34"/>
  <c r="G5081" i="34"/>
  <c r="G5082" i="34"/>
  <c r="G5083" i="34"/>
  <c r="G5084" i="34"/>
  <c r="G5085" i="34"/>
  <c r="G5086" i="34"/>
  <c r="G5087" i="34"/>
  <c r="G5088" i="34"/>
  <c r="G5089" i="34"/>
  <c r="G5090" i="34"/>
  <c r="G5091" i="34"/>
  <c r="G5092" i="34"/>
  <c r="G5093" i="34"/>
  <c r="G5094" i="34"/>
  <c r="G5095" i="34"/>
  <c r="G5096" i="34"/>
  <c r="G5097" i="34"/>
  <c r="G5098" i="34"/>
  <c r="G5099" i="34"/>
  <c r="G5100" i="34"/>
  <c r="G5101" i="34"/>
  <c r="G5102" i="34"/>
  <c r="G5103" i="34"/>
  <c r="G5104" i="34"/>
  <c r="G5105" i="34"/>
  <c r="G5106" i="34"/>
  <c r="G5107" i="34"/>
  <c r="G5108" i="34"/>
  <c r="G5109" i="34"/>
  <c r="G5110" i="34"/>
  <c r="G5111" i="34"/>
  <c r="G5112" i="34"/>
  <c r="G5113" i="34"/>
  <c r="G5114" i="34"/>
  <c r="G5115" i="34"/>
  <c r="G5116" i="34"/>
  <c r="G5117" i="34"/>
  <c r="G5118" i="34"/>
  <c r="G5119" i="34"/>
  <c r="G5120" i="34"/>
  <c r="G5121" i="34"/>
  <c r="G5122" i="34"/>
  <c r="G5123" i="34"/>
  <c r="G5124" i="34"/>
  <c r="G5125" i="34"/>
  <c r="G5126" i="34"/>
  <c r="G5127" i="34"/>
  <c r="G5128" i="34"/>
  <c r="G5129" i="34"/>
  <c r="G5130" i="34"/>
  <c r="G5131" i="34"/>
  <c r="G5132" i="34"/>
  <c r="G5133" i="34"/>
  <c r="G5134" i="34"/>
  <c r="G5135" i="34"/>
  <c r="G5136" i="34"/>
  <c r="G5137" i="34"/>
  <c r="G5138" i="34"/>
  <c r="G5139" i="34"/>
  <c r="G5140" i="34"/>
  <c r="G5141" i="34"/>
  <c r="G5142" i="34"/>
  <c r="G5143" i="34"/>
  <c r="G5144" i="34"/>
  <c r="G5145" i="34"/>
  <c r="G5146" i="34"/>
  <c r="G5147" i="34"/>
  <c r="G5148" i="34"/>
  <c r="G5149" i="34"/>
  <c r="G5150" i="34"/>
  <c r="G5151" i="34"/>
  <c r="G5152" i="34"/>
  <c r="G5153" i="34"/>
  <c r="G5154" i="34"/>
  <c r="G5155" i="34"/>
  <c r="G5156" i="34"/>
  <c r="G5157" i="34"/>
  <c r="G5158" i="34"/>
  <c r="G5159" i="34"/>
  <c r="G5160" i="34"/>
  <c r="G5161" i="34"/>
  <c r="G5162" i="34"/>
  <c r="G5163" i="34"/>
  <c r="G5164" i="34"/>
  <c r="G5165" i="34"/>
  <c r="G5166" i="34"/>
  <c r="G5167" i="34"/>
  <c r="G5168" i="34"/>
  <c r="G5169" i="34"/>
  <c r="G5170" i="34"/>
  <c r="G5171" i="34"/>
  <c r="G5172" i="34"/>
  <c r="G5173" i="34"/>
  <c r="G5174" i="34"/>
  <c r="G5175" i="34"/>
  <c r="G5176" i="34"/>
  <c r="G5177" i="34"/>
  <c r="G5178" i="34"/>
  <c r="G5179" i="34"/>
  <c r="G5180" i="34"/>
  <c r="G5181" i="34"/>
  <c r="G5182" i="34"/>
  <c r="G5183" i="34"/>
  <c r="G5184" i="34"/>
  <c r="G5185" i="34"/>
  <c r="G5186" i="34"/>
  <c r="G5187" i="34"/>
  <c r="G5188" i="34"/>
  <c r="G5189" i="34"/>
  <c r="G5190" i="34"/>
  <c r="G5191" i="34"/>
  <c r="G5192" i="34"/>
  <c r="G5193" i="34"/>
  <c r="G5194" i="34"/>
  <c r="G5195" i="34"/>
  <c r="G5196" i="34"/>
  <c r="G5197" i="34"/>
  <c r="G5198" i="34"/>
  <c r="G5199" i="34"/>
  <c r="G5200" i="34"/>
  <c r="G5201" i="34"/>
  <c r="G5202" i="34"/>
  <c r="G5203" i="34"/>
  <c r="G5204" i="34"/>
  <c r="G5205" i="34"/>
  <c r="G5206" i="34"/>
  <c r="G5207" i="34"/>
  <c r="G5208" i="34"/>
  <c r="G5209" i="34"/>
  <c r="G5210" i="34"/>
  <c r="G5211" i="34"/>
  <c r="G5212" i="34"/>
  <c r="G5213" i="34"/>
  <c r="G5214" i="34"/>
  <c r="G5215" i="34"/>
  <c r="G5216" i="34"/>
  <c r="G5217" i="34"/>
  <c r="G5218" i="34"/>
  <c r="G5219" i="34"/>
  <c r="G5220" i="34"/>
  <c r="G5221" i="34"/>
  <c r="G5222" i="34"/>
  <c r="G5223" i="34"/>
  <c r="G5224" i="34"/>
  <c r="G5225" i="34"/>
  <c r="G5226" i="34"/>
  <c r="G5227" i="34"/>
  <c r="G5228" i="34"/>
  <c r="G5229" i="34"/>
  <c r="G5230" i="34"/>
  <c r="G5231" i="34"/>
  <c r="G5232" i="34"/>
  <c r="G5233" i="34"/>
  <c r="G5234" i="34"/>
  <c r="G5235" i="34"/>
  <c r="G5236" i="34"/>
  <c r="G5237" i="34"/>
  <c r="G5238" i="34"/>
  <c r="G5239" i="34"/>
  <c r="G5240" i="34"/>
  <c r="G5241" i="34"/>
  <c r="G5242" i="34"/>
  <c r="G5243" i="34"/>
  <c r="G5244" i="34"/>
  <c r="G5245" i="34"/>
  <c r="G5246" i="34"/>
  <c r="G5247" i="34"/>
  <c r="G5248" i="34"/>
  <c r="G5249" i="34"/>
  <c r="G5250" i="34"/>
  <c r="G5251" i="34"/>
  <c r="G5252" i="34"/>
  <c r="G5253" i="34"/>
  <c r="G5254" i="34"/>
  <c r="G5255" i="34"/>
  <c r="G5256" i="34"/>
  <c r="G5257" i="34"/>
  <c r="G5258" i="34"/>
  <c r="G5259" i="34"/>
  <c r="G5260" i="34"/>
  <c r="G5261" i="34"/>
  <c r="G5262" i="34"/>
  <c r="G5263" i="34"/>
  <c r="G5264" i="34"/>
  <c r="G5265" i="34"/>
  <c r="G5266" i="34"/>
  <c r="G5267" i="34"/>
  <c r="G5268" i="34"/>
  <c r="G5269" i="34"/>
  <c r="G5270" i="34"/>
  <c r="G5271" i="34"/>
  <c r="G5272" i="34"/>
  <c r="G5273" i="34"/>
  <c r="G5274" i="34"/>
  <c r="G5275" i="34"/>
  <c r="G5276" i="34"/>
  <c r="G5277" i="34"/>
  <c r="G5278" i="34"/>
  <c r="G5279" i="34"/>
  <c r="G5280" i="34"/>
  <c r="G5281" i="34"/>
  <c r="G5282" i="34"/>
  <c r="G5283" i="34"/>
  <c r="G5284" i="34"/>
  <c r="G5285" i="34"/>
  <c r="G5286" i="34"/>
  <c r="G5287" i="34"/>
  <c r="G5288" i="34"/>
  <c r="G5289" i="34"/>
  <c r="G5290" i="34"/>
  <c r="G5291" i="34"/>
  <c r="G5292" i="34"/>
  <c r="G5293" i="34"/>
  <c r="G5294" i="34"/>
  <c r="G5295" i="34"/>
  <c r="G5296" i="34"/>
  <c r="G5297" i="34"/>
  <c r="G5298" i="34"/>
  <c r="G5299" i="34"/>
  <c r="G5300" i="34"/>
  <c r="G5301" i="34"/>
  <c r="G5302" i="34"/>
  <c r="G5303" i="34"/>
  <c r="G5304" i="34"/>
  <c r="G5305" i="34"/>
  <c r="G5306" i="34"/>
  <c r="G5307" i="34"/>
  <c r="G5308" i="34"/>
  <c r="G5309" i="34"/>
  <c r="G5310" i="34"/>
  <c r="G5311" i="34"/>
  <c r="G5312" i="34"/>
  <c r="G5313" i="34"/>
  <c r="G5314" i="34"/>
  <c r="G5315" i="34"/>
  <c r="G5316" i="34"/>
  <c r="G5317" i="34"/>
  <c r="G5318" i="34"/>
  <c r="G5319" i="34"/>
  <c r="G5320" i="34"/>
  <c r="G5321" i="34"/>
  <c r="G5322" i="34"/>
  <c r="G5323" i="34"/>
  <c r="G5324" i="34"/>
  <c r="G5325" i="34"/>
  <c r="G5326" i="34"/>
  <c r="G5327" i="34"/>
  <c r="G5328" i="34"/>
  <c r="G5329" i="34"/>
  <c r="G5330" i="34"/>
  <c r="G5331" i="34"/>
  <c r="G5332" i="34"/>
  <c r="G5333" i="34"/>
  <c r="G5334" i="34"/>
  <c r="G5335" i="34"/>
  <c r="G5336" i="34"/>
  <c r="G5337" i="34"/>
  <c r="G5338" i="34"/>
  <c r="G5339" i="34"/>
  <c r="G5340" i="34"/>
  <c r="G5341" i="34"/>
  <c r="G5342" i="34"/>
  <c r="G5343" i="34"/>
  <c r="G5344" i="34"/>
  <c r="G5345" i="34"/>
  <c r="G5346" i="34"/>
  <c r="G5347" i="34"/>
  <c r="G5348" i="34"/>
  <c r="G5349" i="34"/>
  <c r="G5350" i="34"/>
  <c r="G5351" i="34"/>
  <c r="G5352" i="34"/>
  <c r="G5353" i="34"/>
  <c r="G5354" i="34"/>
  <c r="G5355" i="34"/>
  <c r="G5356" i="34"/>
  <c r="G5357" i="34"/>
  <c r="G5358" i="34"/>
  <c r="G5359" i="34"/>
  <c r="G5360" i="34"/>
  <c r="G5361" i="34"/>
  <c r="G5362" i="34"/>
  <c r="G5363" i="34"/>
  <c r="G5364" i="34"/>
  <c r="G5365" i="34"/>
  <c r="G5366" i="34"/>
  <c r="G5367" i="34"/>
  <c r="G5368" i="34"/>
  <c r="G5369" i="34"/>
  <c r="G5370" i="34"/>
  <c r="G5371" i="34"/>
  <c r="G5372" i="34"/>
  <c r="G5373" i="34"/>
  <c r="G5374" i="34"/>
  <c r="G5375" i="34"/>
  <c r="G5376" i="34"/>
  <c r="G5377" i="34"/>
  <c r="G5378" i="34"/>
  <c r="G5379" i="34"/>
  <c r="G5380" i="34"/>
  <c r="G5381" i="34"/>
  <c r="G5382" i="34"/>
  <c r="G5383" i="34"/>
  <c r="G5384" i="34"/>
  <c r="G5385" i="34"/>
  <c r="G5386" i="34"/>
  <c r="G5387" i="34"/>
  <c r="G5388" i="34"/>
  <c r="G5389" i="34"/>
  <c r="G5390" i="34"/>
  <c r="G5391" i="34"/>
  <c r="G5392" i="34"/>
  <c r="G5393" i="34"/>
  <c r="G5394" i="34"/>
  <c r="G5395" i="34"/>
  <c r="G5396" i="34"/>
  <c r="G5397" i="34"/>
  <c r="G5398" i="34"/>
  <c r="G5399" i="34"/>
  <c r="G5400" i="34"/>
  <c r="G5401" i="34"/>
  <c r="G5402" i="34"/>
  <c r="G5403" i="34"/>
  <c r="G5404" i="34"/>
  <c r="G5405" i="34"/>
  <c r="G5406" i="34"/>
  <c r="G5407" i="34"/>
  <c r="G5408" i="34"/>
  <c r="G5409" i="34"/>
  <c r="G5410" i="34"/>
  <c r="G5411" i="34"/>
  <c r="G5412" i="34"/>
  <c r="G5413" i="34"/>
  <c r="G5414" i="34"/>
  <c r="G5415" i="34"/>
  <c r="G5416" i="34"/>
  <c r="G5417" i="34"/>
  <c r="G5418" i="34"/>
  <c r="G5419" i="34"/>
  <c r="G5420" i="34"/>
  <c r="G5421" i="34"/>
  <c r="G5422" i="34"/>
  <c r="G5423" i="34"/>
  <c r="G5424" i="34"/>
  <c r="G5425" i="34"/>
  <c r="G5426" i="34"/>
  <c r="G5427" i="34"/>
  <c r="G5428" i="34"/>
  <c r="G5429" i="34"/>
  <c r="G5430" i="34"/>
  <c r="G5431" i="34"/>
  <c r="G5432" i="34"/>
  <c r="G5433" i="34"/>
  <c r="G5434" i="34"/>
  <c r="G5435" i="34"/>
  <c r="G5436" i="34"/>
  <c r="G5437" i="34"/>
  <c r="G5438" i="34"/>
  <c r="G5439" i="34"/>
  <c r="G5440" i="34"/>
  <c r="G5441" i="34"/>
  <c r="G5442" i="34"/>
  <c r="G5443" i="34"/>
  <c r="G5444" i="34"/>
  <c r="G5445" i="34"/>
  <c r="G5446" i="34"/>
  <c r="G5447" i="34"/>
  <c r="G5448" i="34"/>
  <c r="G5449" i="34"/>
  <c r="G5450" i="34"/>
  <c r="G5451" i="34"/>
  <c r="G5452" i="34"/>
  <c r="G5453" i="34"/>
  <c r="G5454" i="34"/>
  <c r="G5455" i="34"/>
  <c r="G5456" i="34"/>
  <c r="G5457" i="34"/>
  <c r="G5458" i="34"/>
  <c r="G5459" i="34"/>
  <c r="G5460" i="34"/>
  <c r="G5461" i="34"/>
  <c r="G5462" i="34"/>
  <c r="G5463" i="34"/>
  <c r="G5464" i="34"/>
  <c r="G5465" i="34"/>
  <c r="G5466" i="34"/>
  <c r="G5467" i="34"/>
  <c r="G5468" i="34"/>
  <c r="G5469" i="34"/>
  <c r="G5470" i="34"/>
  <c r="G5471" i="34"/>
  <c r="G5472" i="34"/>
  <c r="G5473" i="34"/>
  <c r="G5474" i="34"/>
  <c r="G5475" i="34"/>
  <c r="G5476" i="34"/>
  <c r="G5477" i="34"/>
  <c r="G5478" i="34"/>
  <c r="G5479" i="34"/>
  <c r="G5480" i="34"/>
  <c r="G5481" i="34"/>
  <c r="G5482" i="34"/>
  <c r="G5483" i="34"/>
  <c r="G5484" i="34"/>
  <c r="G5485" i="34"/>
  <c r="G5486" i="34"/>
  <c r="G5487" i="34"/>
  <c r="G5488" i="34"/>
  <c r="G5489" i="34"/>
  <c r="G5490" i="34"/>
  <c r="G5491" i="34"/>
  <c r="G5492" i="34"/>
  <c r="G5493" i="34"/>
  <c r="G5494" i="34"/>
  <c r="G5495" i="34"/>
  <c r="G5496" i="34"/>
  <c r="G5497" i="34"/>
  <c r="G5498" i="34"/>
  <c r="G5499" i="34"/>
  <c r="G5500" i="34"/>
  <c r="G5501" i="34"/>
  <c r="G5502" i="34"/>
  <c r="G5503" i="34"/>
  <c r="G5504" i="34"/>
  <c r="G5505" i="34"/>
  <c r="G5506" i="34"/>
  <c r="G5507" i="34"/>
  <c r="G5508" i="34"/>
  <c r="G5509" i="34"/>
  <c r="G5510" i="34"/>
  <c r="G5511" i="34"/>
  <c r="G5512" i="34"/>
  <c r="G5513" i="34"/>
  <c r="G5514" i="34"/>
  <c r="G5515" i="34"/>
  <c r="G5516" i="34"/>
  <c r="G5517" i="34"/>
  <c r="G5518" i="34"/>
  <c r="G5519" i="34"/>
  <c r="G5520" i="34"/>
  <c r="G5521" i="34"/>
  <c r="G5522" i="34"/>
  <c r="G5523" i="34"/>
  <c r="G5524" i="34"/>
  <c r="G5525" i="34"/>
  <c r="G5526" i="34"/>
  <c r="G5527" i="34"/>
  <c r="G5528" i="34"/>
  <c r="G5529" i="34"/>
  <c r="G5530" i="34"/>
  <c r="G5531" i="34"/>
  <c r="G5532" i="34"/>
  <c r="G5533" i="34"/>
  <c r="G5534" i="34"/>
  <c r="G5535" i="34"/>
  <c r="G5536" i="34"/>
  <c r="G5537" i="34"/>
  <c r="G5538" i="34"/>
  <c r="G5539" i="34"/>
  <c r="G5540" i="34"/>
  <c r="G5541" i="34"/>
  <c r="G5542" i="34"/>
  <c r="G5543" i="34"/>
  <c r="G5544" i="34"/>
  <c r="G5545" i="34"/>
  <c r="G5546" i="34"/>
  <c r="G5547" i="34"/>
  <c r="G5548" i="34"/>
  <c r="G5549" i="34"/>
  <c r="G5550" i="34"/>
  <c r="G5551" i="34"/>
  <c r="G5552" i="34"/>
  <c r="G5553" i="34"/>
  <c r="G5554" i="34"/>
  <c r="G5555" i="34"/>
  <c r="G5556" i="34"/>
  <c r="G5557" i="34"/>
  <c r="G5558" i="34"/>
  <c r="G5559" i="34"/>
  <c r="G5560" i="34"/>
  <c r="G5561" i="34"/>
  <c r="G5562" i="34"/>
  <c r="G5563" i="34"/>
  <c r="G5564" i="34"/>
  <c r="G5565" i="34"/>
  <c r="G5566" i="34"/>
  <c r="G5567" i="34"/>
  <c r="G5568" i="34"/>
  <c r="G5569" i="34"/>
  <c r="G5570" i="34"/>
  <c r="G5571" i="34"/>
  <c r="G5572" i="34"/>
  <c r="G5573" i="34"/>
  <c r="G5574" i="34"/>
  <c r="G5575" i="34"/>
  <c r="G5576" i="34"/>
  <c r="G5577" i="34"/>
  <c r="G5578" i="34"/>
  <c r="G5579" i="34"/>
  <c r="G5580" i="34"/>
  <c r="G5581" i="34"/>
  <c r="G5582" i="34"/>
  <c r="G5583" i="34"/>
  <c r="G5584" i="34"/>
  <c r="G5585" i="34"/>
  <c r="G5586" i="34"/>
  <c r="G5587" i="34"/>
  <c r="G5588" i="34"/>
  <c r="G5589" i="34"/>
  <c r="G5590" i="34"/>
  <c r="G5591" i="34"/>
  <c r="G5592" i="34"/>
  <c r="G5593" i="34"/>
  <c r="G5594" i="34"/>
  <c r="G5595" i="34"/>
  <c r="G5596" i="34"/>
  <c r="G5597" i="34"/>
  <c r="G5598" i="34"/>
  <c r="G5599" i="34"/>
  <c r="G5600" i="34"/>
  <c r="G5601" i="34"/>
  <c r="G5602" i="34"/>
  <c r="G5603" i="34"/>
  <c r="G5604" i="34"/>
  <c r="G5605" i="34"/>
  <c r="G5606" i="34"/>
  <c r="G5607" i="34"/>
  <c r="G5608" i="34"/>
  <c r="G5609" i="34"/>
  <c r="G5610" i="34"/>
  <c r="G5611" i="34"/>
  <c r="G5612" i="34"/>
  <c r="G5613" i="34"/>
  <c r="G5614" i="34"/>
  <c r="G5615" i="34"/>
  <c r="G5616" i="34"/>
  <c r="G5617" i="34"/>
  <c r="G5618" i="34"/>
  <c r="G5619" i="34"/>
  <c r="G5620" i="34"/>
  <c r="G5621" i="34"/>
  <c r="G5622" i="34"/>
  <c r="G5623" i="34"/>
  <c r="G5624" i="34"/>
  <c r="G5625" i="34"/>
  <c r="G5626" i="34"/>
  <c r="G5627" i="34"/>
  <c r="G5628" i="34"/>
  <c r="G5629" i="34"/>
  <c r="G5630" i="34"/>
  <c r="G5631" i="34"/>
  <c r="G5632" i="34"/>
  <c r="G5633" i="34"/>
  <c r="G5634" i="34"/>
  <c r="G5635" i="34"/>
  <c r="G5636" i="34"/>
  <c r="G5637" i="34"/>
  <c r="G5638" i="34"/>
  <c r="G5639" i="34"/>
  <c r="G5640" i="34"/>
  <c r="G5641" i="34"/>
  <c r="G5642" i="34"/>
  <c r="G5643" i="34"/>
  <c r="G5644" i="34"/>
  <c r="G5645" i="34"/>
  <c r="G5646" i="34"/>
  <c r="G5647" i="34"/>
  <c r="G5648" i="34"/>
  <c r="G5649" i="34"/>
  <c r="G5650" i="34"/>
  <c r="G5651" i="34"/>
  <c r="G5652" i="34"/>
  <c r="G5653" i="34"/>
  <c r="G5654" i="34"/>
  <c r="G5655" i="34"/>
  <c r="G5656" i="34"/>
  <c r="G5657" i="34"/>
  <c r="G5658" i="34"/>
  <c r="G5659" i="34"/>
  <c r="G5660" i="34"/>
  <c r="G5661" i="34"/>
  <c r="G5662" i="34"/>
  <c r="G5663" i="34"/>
  <c r="G5664" i="34"/>
  <c r="G5665" i="34"/>
  <c r="G5666" i="34"/>
  <c r="G5667" i="34"/>
  <c r="G5668" i="34"/>
  <c r="G5669" i="34"/>
  <c r="G5670" i="34"/>
  <c r="G5671" i="34"/>
  <c r="G5672" i="34"/>
  <c r="G5673" i="34"/>
  <c r="G5674" i="34"/>
  <c r="G5675" i="34"/>
  <c r="G5676" i="34"/>
  <c r="G5677" i="34"/>
  <c r="G5678" i="34"/>
  <c r="G5679" i="34"/>
  <c r="G5680" i="34"/>
  <c r="G5681" i="34"/>
  <c r="G5682" i="34"/>
  <c r="G5683" i="34"/>
  <c r="G5684" i="34"/>
  <c r="G5685" i="34"/>
  <c r="G5686" i="34"/>
  <c r="G5687" i="34"/>
  <c r="G5688" i="34"/>
  <c r="G5689" i="34"/>
  <c r="G5690" i="34"/>
  <c r="G5691" i="34"/>
  <c r="G5692" i="34"/>
  <c r="G5693" i="34"/>
  <c r="G5694" i="34"/>
  <c r="G5695" i="34"/>
  <c r="G5696" i="34"/>
  <c r="G5697" i="34"/>
  <c r="G5698" i="34"/>
  <c r="G5699" i="34"/>
  <c r="G5700" i="34"/>
  <c r="G5701" i="34"/>
  <c r="G5702" i="34"/>
  <c r="G5703" i="34"/>
  <c r="G5704" i="34"/>
  <c r="G5705" i="34"/>
  <c r="G5706" i="34"/>
  <c r="G5707" i="34"/>
  <c r="G5708" i="34"/>
  <c r="G5709" i="34"/>
  <c r="G5710" i="34"/>
  <c r="G5711" i="34"/>
  <c r="G5712" i="34"/>
  <c r="G5713" i="34"/>
  <c r="G5714" i="34"/>
  <c r="G5715" i="34"/>
  <c r="G5716" i="34"/>
  <c r="G5717" i="34"/>
  <c r="G5718" i="34"/>
  <c r="G5719" i="34"/>
  <c r="G5720" i="34"/>
  <c r="G5721" i="34"/>
  <c r="G5722" i="34"/>
  <c r="G5723" i="34"/>
  <c r="G5724" i="34"/>
  <c r="G5725" i="34"/>
  <c r="G5726" i="34"/>
  <c r="G5727" i="34"/>
  <c r="G5728" i="34"/>
  <c r="G5729" i="34"/>
  <c r="G5730" i="34"/>
  <c r="G5731" i="34"/>
  <c r="G5732" i="34"/>
  <c r="G5733" i="34"/>
  <c r="G5734" i="34"/>
  <c r="G5735" i="34"/>
  <c r="G5736" i="34"/>
  <c r="G5737" i="34"/>
  <c r="G5738" i="34"/>
  <c r="G5739" i="34"/>
  <c r="G5740" i="34"/>
  <c r="G5741" i="34"/>
  <c r="G5742" i="34"/>
  <c r="G5743" i="34"/>
  <c r="G5744" i="34"/>
  <c r="G5745" i="34"/>
  <c r="G5746" i="34"/>
  <c r="G5747" i="34"/>
  <c r="G5748" i="34"/>
  <c r="G5749" i="34"/>
  <c r="G5750" i="34"/>
  <c r="G5751" i="34"/>
  <c r="G5752" i="34"/>
  <c r="G5753" i="34"/>
  <c r="G5754" i="34"/>
  <c r="G5755" i="34"/>
  <c r="G5756" i="34"/>
  <c r="G5757" i="34"/>
  <c r="G5758" i="34"/>
  <c r="G5759" i="34"/>
  <c r="G5760" i="34"/>
  <c r="G5761" i="34"/>
  <c r="G5762" i="34"/>
  <c r="G5763" i="34"/>
  <c r="G5764" i="34"/>
  <c r="G5765" i="34"/>
  <c r="G5766" i="34"/>
  <c r="G5767" i="34"/>
  <c r="G5768" i="34"/>
  <c r="G5769" i="34"/>
  <c r="G5770" i="34"/>
  <c r="G5771" i="34"/>
  <c r="G5772" i="34"/>
  <c r="G5773" i="34"/>
  <c r="G5774" i="34"/>
  <c r="G5775" i="34"/>
  <c r="G5776" i="34"/>
  <c r="G5777" i="34"/>
  <c r="G5778" i="34"/>
  <c r="G5779" i="34"/>
  <c r="G5780" i="34"/>
  <c r="G5781" i="34"/>
  <c r="G5782" i="34"/>
  <c r="G5783" i="34"/>
  <c r="G5784" i="34"/>
  <c r="G5785" i="34"/>
  <c r="G5786" i="34"/>
  <c r="G5787" i="34"/>
  <c r="G5788" i="34"/>
  <c r="G5789" i="34"/>
  <c r="G5790" i="34"/>
  <c r="G5791" i="34"/>
  <c r="G5792" i="34"/>
  <c r="G5793" i="34"/>
  <c r="G5794" i="34"/>
  <c r="G5795" i="34"/>
  <c r="G5796" i="34"/>
  <c r="G5797" i="34"/>
  <c r="G5798" i="34"/>
  <c r="G5799" i="34"/>
  <c r="G5800" i="34"/>
  <c r="G5801" i="34"/>
  <c r="G5802" i="34"/>
  <c r="G5803" i="34"/>
  <c r="G5804" i="34"/>
  <c r="G5805" i="34"/>
  <c r="G5806" i="34"/>
  <c r="G5807" i="34"/>
  <c r="G5808" i="34"/>
  <c r="G5809" i="34"/>
  <c r="G5810" i="34"/>
  <c r="G5811" i="34"/>
  <c r="G5812" i="34"/>
  <c r="G5813" i="34"/>
  <c r="G5814" i="34"/>
  <c r="G5815" i="34"/>
  <c r="G5816" i="34"/>
  <c r="G5817" i="34"/>
  <c r="G5818" i="34"/>
  <c r="G5819" i="34"/>
  <c r="G5820" i="34"/>
  <c r="G5821" i="34"/>
  <c r="G5822" i="34"/>
  <c r="G5823" i="34"/>
  <c r="G5824" i="34"/>
  <c r="G5825" i="34"/>
  <c r="G5826" i="34"/>
  <c r="G5827" i="34"/>
  <c r="G5828" i="34"/>
  <c r="G5829" i="34"/>
  <c r="G5830" i="34"/>
  <c r="G5831" i="34"/>
  <c r="G5832" i="34"/>
  <c r="G5833" i="34"/>
  <c r="G5834" i="34"/>
  <c r="G5835" i="34"/>
  <c r="G5836" i="34"/>
  <c r="G5837" i="34"/>
  <c r="G5838" i="34"/>
  <c r="G5839" i="34"/>
  <c r="G5840" i="34"/>
  <c r="G5841" i="34"/>
  <c r="G5842" i="34"/>
  <c r="G5843" i="34"/>
  <c r="G5844" i="34"/>
  <c r="G5845" i="34"/>
  <c r="G5846" i="34"/>
  <c r="G5847" i="34"/>
  <c r="G5848" i="34"/>
  <c r="G5849" i="34"/>
  <c r="G5850" i="34"/>
  <c r="G5851" i="34"/>
  <c r="G5852" i="34"/>
  <c r="G5853" i="34"/>
  <c r="G5854" i="34"/>
  <c r="G5855" i="34"/>
  <c r="G5856" i="34"/>
  <c r="G5857" i="34"/>
  <c r="G5858" i="34"/>
  <c r="G5859" i="34"/>
  <c r="G5860" i="34"/>
  <c r="G5861" i="34"/>
  <c r="G5862" i="34"/>
  <c r="G5863" i="34"/>
  <c r="G5864" i="34"/>
  <c r="G5865" i="34"/>
  <c r="G5866" i="34"/>
  <c r="G5867" i="34"/>
  <c r="G5868" i="34"/>
  <c r="G5869" i="34"/>
  <c r="G5870" i="34"/>
  <c r="G5871" i="34"/>
  <c r="G5872" i="34"/>
  <c r="G5873" i="34"/>
  <c r="G5874" i="34"/>
  <c r="G5875" i="34"/>
  <c r="G5876" i="34"/>
  <c r="G5877" i="34"/>
  <c r="G5878" i="34"/>
  <c r="G5879" i="34"/>
  <c r="G5880" i="34"/>
  <c r="G5881" i="34"/>
  <c r="G5882" i="34"/>
  <c r="G5883" i="34"/>
  <c r="G5884" i="34"/>
  <c r="G5885" i="34"/>
  <c r="G5886" i="34"/>
  <c r="G5887" i="34"/>
  <c r="G5888" i="34"/>
  <c r="G5889" i="34"/>
  <c r="G5890" i="34"/>
  <c r="G5891" i="34"/>
  <c r="G5892" i="34"/>
  <c r="G5893" i="34"/>
  <c r="G5894" i="34"/>
  <c r="G5895" i="34"/>
  <c r="G5896" i="34"/>
  <c r="G5897" i="34"/>
  <c r="G5898" i="34"/>
  <c r="G5899" i="34"/>
  <c r="G5900" i="34"/>
  <c r="G5901" i="34"/>
  <c r="G5902" i="34"/>
  <c r="G5903" i="34"/>
  <c r="G5904" i="34"/>
  <c r="G5905" i="34"/>
  <c r="G5906" i="34"/>
  <c r="G5907" i="34"/>
  <c r="G5908" i="34"/>
  <c r="G5909" i="34"/>
  <c r="G5910" i="34"/>
  <c r="G5911" i="34"/>
  <c r="G5912" i="34"/>
  <c r="G5913" i="34"/>
  <c r="G5914" i="34"/>
  <c r="G5915" i="34"/>
  <c r="G5916" i="34"/>
  <c r="G5917" i="34"/>
  <c r="G5918" i="34"/>
  <c r="G5919" i="34"/>
  <c r="G5920" i="34"/>
  <c r="G5921" i="34"/>
  <c r="G5922" i="34"/>
  <c r="G5923" i="34"/>
  <c r="G5924" i="34"/>
  <c r="G5925" i="34"/>
  <c r="G5926" i="34"/>
  <c r="G5927" i="34"/>
  <c r="G5928" i="34"/>
  <c r="G5929" i="34"/>
  <c r="G5930" i="34"/>
  <c r="G5931" i="34"/>
  <c r="G5932" i="34"/>
  <c r="G5933" i="34"/>
  <c r="G5934" i="34"/>
  <c r="G5935" i="34"/>
  <c r="G5936" i="34"/>
  <c r="G5937" i="34"/>
  <c r="G5938" i="34"/>
  <c r="G5939" i="34"/>
  <c r="G5940" i="34"/>
  <c r="G5941" i="34"/>
  <c r="G5942" i="34"/>
  <c r="G5943" i="34"/>
  <c r="G5944" i="34"/>
  <c r="G5945" i="34"/>
  <c r="G5946" i="34"/>
  <c r="G5947" i="34"/>
  <c r="G5948" i="34"/>
  <c r="G5949" i="34"/>
  <c r="G5950" i="34"/>
  <c r="G5951" i="34"/>
  <c r="G5952" i="34"/>
  <c r="G5953" i="34"/>
  <c r="G5954" i="34"/>
  <c r="G5955" i="34"/>
  <c r="G5956" i="34"/>
  <c r="G5957" i="34"/>
  <c r="G5958" i="34"/>
  <c r="G5959" i="34"/>
  <c r="G5960" i="34"/>
  <c r="G5961" i="34"/>
  <c r="G5962" i="34"/>
  <c r="G5963" i="34"/>
  <c r="G5964" i="34"/>
  <c r="G5965" i="34"/>
  <c r="G5966" i="34"/>
  <c r="G5967" i="34"/>
  <c r="G5968" i="34"/>
  <c r="G5969" i="34"/>
  <c r="G5970" i="34"/>
  <c r="G5971" i="34"/>
  <c r="G5972" i="34"/>
  <c r="G5973" i="34"/>
  <c r="G5974" i="34"/>
  <c r="G5975" i="34"/>
  <c r="G5976" i="34"/>
  <c r="G5977" i="34"/>
  <c r="G5978" i="34"/>
  <c r="G5979" i="34"/>
  <c r="G5980" i="34"/>
  <c r="G5981" i="34"/>
  <c r="G5982" i="34"/>
  <c r="G5983" i="34"/>
  <c r="G5984" i="34"/>
  <c r="G5985" i="34"/>
  <c r="G5986" i="34"/>
  <c r="G5987" i="34"/>
  <c r="G5988" i="34"/>
  <c r="G5989" i="34"/>
  <c r="G5990" i="34"/>
  <c r="G5991" i="34"/>
  <c r="G5992" i="34"/>
  <c r="G5993" i="34"/>
  <c r="G5994" i="34"/>
  <c r="G5995" i="34"/>
  <c r="G5996" i="34"/>
  <c r="G5997" i="34"/>
  <c r="G5998" i="34"/>
  <c r="G5999" i="34"/>
  <c r="G6000" i="34"/>
  <c r="G6001" i="34"/>
  <c r="G6002" i="34"/>
  <c r="G6003" i="34"/>
  <c r="G6004" i="34"/>
  <c r="G6005" i="34"/>
  <c r="G6006" i="34"/>
  <c r="G6007" i="34"/>
  <c r="G6008" i="34"/>
  <c r="G6009" i="34"/>
  <c r="G6010" i="34"/>
  <c r="G6011" i="34"/>
  <c r="G6012" i="34"/>
  <c r="G6013" i="34"/>
  <c r="G6014" i="34"/>
  <c r="G6015" i="34"/>
  <c r="G6016" i="34"/>
  <c r="G6017" i="34"/>
  <c r="G6018" i="34"/>
  <c r="G6019" i="34"/>
  <c r="G6020" i="34"/>
  <c r="G6021" i="34"/>
  <c r="G6022" i="34"/>
  <c r="G6023" i="34"/>
  <c r="G6024" i="34"/>
  <c r="G6025" i="34"/>
  <c r="G6026" i="34"/>
  <c r="G6027" i="34"/>
  <c r="G6028" i="34"/>
  <c r="G6029" i="34"/>
  <c r="G6030" i="34"/>
  <c r="G6031" i="34"/>
  <c r="G6032" i="34"/>
  <c r="G6033" i="34"/>
  <c r="G6034" i="34"/>
  <c r="G6035" i="34"/>
  <c r="G6036" i="34"/>
  <c r="G6037" i="34"/>
  <c r="G6038" i="34"/>
  <c r="G6039" i="34"/>
  <c r="G6040" i="34"/>
  <c r="G6041" i="34"/>
  <c r="G6042" i="34"/>
  <c r="G6043" i="34"/>
  <c r="G6044" i="34"/>
  <c r="G6045" i="34"/>
  <c r="G6046" i="34"/>
  <c r="G6047" i="34"/>
  <c r="G6048" i="34"/>
  <c r="G6049" i="34"/>
  <c r="G6050" i="34"/>
  <c r="G6051" i="34"/>
  <c r="G6052" i="34"/>
  <c r="G6053" i="34"/>
  <c r="G6054" i="34"/>
  <c r="G6055" i="34"/>
  <c r="G6056" i="34"/>
  <c r="G6057" i="34"/>
  <c r="G6058" i="34"/>
  <c r="G6059" i="34"/>
  <c r="G6060" i="34"/>
  <c r="G6061" i="34"/>
  <c r="G6062" i="34"/>
  <c r="G6063" i="34"/>
  <c r="G6064" i="34"/>
  <c r="G6065" i="34"/>
  <c r="G6066" i="34"/>
  <c r="G6067" i="34"/>
  <c r="G6068" i="34"/>
  <c r="G6069" i="34"/>
  <c r="G6070" i="34"/>
  <c r="G6071" i="34"/>
  <c r="G6072" i="34"/>
  <c r="G6073" i="34"/>
  <c r="G6074" i="34"/>
  <c r="G6075" i="34"/>
  <c r="G6076" i="34"/>
  <c r="G6077" i="34"/>
  <c r="G6078" i="34"/>
  <c r="G6079" i="34"/>
  <c r="G6080" i="34"/>
  <c r="G6081" i="34"/>
  <c r="G6082" i="34"/>
  <c r="G6083" i="34"/>
  <c r="G6084" i="34"/>
  <c r="G6085" i="34"/>
  <c r="G6086" i="34"/>
  <c r="G6087" i="34"/>
  <c r="G6088" i="34"/>
  <c r="G6089" i="34"/>
  <c r="G6090" i="34"/>
  <c r="G6091" i="34"/>
  <c r="G6092" i="34"/>
  <c r="G6093" i="34"/>
  <c r="G6094" i="34"/>
  <c r="G6095" i="34"/>
  <c r="G6096" i="34"/>
  <c r="G6097" i="34"/>
  <c r="G6098" i="34"/>
  <c r="G6099" i="34"/>
  <c r="G6100" i="34"/>
  <c r="G6101" i="34"/>
  <c r="G6102" i="34"/>
  <c r="G6103" i="34"/>
  <c r="G6104" i="34"/>
  <c r="G6105" i="34"/>
  <c r="G6106" i="34"/>
  <c r="G6107" i="34"/>
  <c r="G6108" i="34"/>
  <c r="G6109" i="34"/>
  <c r="G6110" i="34"/>
  <c r="G6111" i="34"/>
  <c r="G6112" i="34"/>
  <c r="G6113" i="34"/>
  <c r="G6114" i="34"/>
  <c r="G6115" i="34"/>
  <c r="G6116" i="34"/>
  <c r="G6117" i="34"/>
  <c r="G6118" i="34"/>
  <c r="G6119" i="34"/>
  <c r="G6120" i="34"/>
  <c r="G6121" i="34"/>
  <c r="G6122" i="34"/>
  <c r="G6123" i="34"/>
  <c r="G6124" i="34"/>
  <c r="G6125" i="34"/>
  <c r="G6126" i="34"/>
  <c r="G6127" i="34"/>
  <c r="G6128" i="34"/>
  <c r="G6129" i="34"/>
  <c r="G6130" i="34"/>
  <c r="G6131" i="34"/>
  <c r="G6132" i="34"/>
  <c r="G6133" i="34"/>
  <c r="G6134" i="34"/>
  <c r="G6135" i="34"/>
  <c r="G6136" i="34"/>
  <c r="G6137" i="34"/>
  <c r="G6138" i="34"/>
  <c r="G6139" i="34"/>
  <c r="G6140" i="34"/>
  <c r="G6141" i="34"/>
  <c r="G6142" i="34"/>
  <c r="G6143" i="34"/>
  <c r="G6144" i="34"/>
  <c r="G6145" i="34"/>
  <c r="G6146" i="34"/>
  <c r="G6147" i="34"/>
  <c r="G6148" i="34"/>
  <c r="G6149" i="34"/>
  <c r="G6150" i="34"/>
  <c r="G6151" i="34"/>
  <c r="G6152" i="34"/>
  <c r="G6153" i="34"/>
  <c r="G6154" i="34"/>
  <c r="G6155" i="34"/>
  <c r="G6156" i="34"/>
  <c r="G6157" i="34"/>
  <c r="G6158" i="34"/>
  <c r="G6159" i="34"/>
  <c r="G6160" i="34"/>
  <c r="G6161" i="34"/>
  <c r="G6162" i="34"/>
  <c r="G6163" i="34"/>
  <c r="G6164" i="34"/>
  <c r="G6165" i="34"/>
  <c r="G6166" i="34"/>
  <c r="G6167" i="34"/>
  <c r="G6168" i="34"/>
  <c r="G6169" i="34"/>
  <c r="G6170" i="34"/>
  <c r="G6171" i="34"/>
  <c r="G6172" i="34"/>
  <c r="G6173" i="34"/>
  <c r="G6174" i="34"/>
  <c r="G6175" i="34"/>
  <c r="G6176" i="34"/>
  <c r="G6177" i="34"/>
  <c r="G6178" i="34"/>
  <c r="G6179" i="34"/>
  <c r="G6180" i="34"/>
  <c r="G6181" i="34"/>
  <c r="G6182" i="34"/>
  <c r="G6183" i="34"/>
  <c r="G6184" i="34"/>
  <c r="G6185" i="34"/>
  <c r="G6186" i="34"/>
  <c r="G6187" i="34"/>
  <c r="G6188" i="34"/>
  <c r="G6189" i="34"/>
  <c r="G6190" i="34"/>
  <c r="G6191" i="34"/>
  <c r="G6192" i="34"/>
  <c r="G6193" i="34"/>
  <c r="G6194" i="34"/>
  <c r="G6195" i="34"/>
  <c r="G6196" i="34"/>
  <c r="G6197" i="34"/>
  <c r="G6198" i="34"/>
  <c r="G6199" i="34"/>
  <c r="G6200" i="34"/>
  <c r="G6201" i="34"/>
  <c r="G6202" i="34"/>
  <c r="G6203" i="34"/>
  <c r="G6204" i="34"/>
  <c r="G6205" i="34"/>
  <c r="G6206" i="34"/>
  <c r="G6207" i="34"/>
  <c r="G6208" i="34"/>
  <c r="G6209" i="34"/>
  <c r="G6210" i="34"/>
  <c r="G6211" i="34"/>
  <c r="G6212" i="34"/>
  <c r="G6213" i="34"/>
  <c r="G6214" i="34"/>
  <c r="G6215" i="34"/>
  <c r="G6216" i="34"/>
  <c r="G6217" i="34"/>
  <c r="G6218" i="34"/>
  <c r="G6219" i="34"/>
  <c r="G6220" i="34"/>
  <c r="G6221" i="34"/>
  <c r="G6222" i="34"/>
  <c r="G6223" i="34"/>
  <c r="G6224" i="34"/>
  <c r="G6225" i="34"/>
  <c r="G6226" i="34"/>
  <c r="G6227" i="34"/>
  <c r="G6228" i="34"/>
  <c r="G6229" i="34"/>
  <c r="G6230" i="34"/>
  <c r="G6231" i="34"/>
  <c r="G6232" i="34"/>
  <c r="G6233" i="34"/>
  <c r="G6234" i="34"/>
  <c r="G6235" i="34"/>
  <c r="G6236" i="34"/>
  <c r="G6237" i="34"/>
  <c r="G6238" i="34"/>
  <c r="G6239" i="34"/>
  <c r="G6240" i="34"/>
  <c r="G6241" i="34"/>
  <c r="G6242" i="34"/>
  <c r="G6243" i="34"/>
  <c r="G6244" i="34"/>
  <c r="G6245" i="34"/>
  <c r="G6246" i="34"/>
  <c r="G6247" i="34"/>
  <c r="G6248" i="34"/>
  <c r="G6249" i="34"/>
  <c r="G6250" i="34"/>
  <c r="G6251" i="34"/>
  <c r="G6252" i="34"/>
  <c r="G6253" i="34"/>
  <c r="G6254" i="34"/>
  <c r="G6255" i="34"/>
  <c r="G6256" i="34"/>
  <c r="G6257" i="34"/>
  <c r="G6258" i="34"/>
  <c r="G6259" i="34"/>
  <c r="G6260" i="34"/>
  <c r="G6261" i="34"/>
  <c r="G6262" i="34"/>
  <c r="G6263" i="34"/>
  <c r="G6264" i="34"/>
  <c r="G6265" i="34"/>
  <c r="G6266" i="34"/>
  <c r="G6267" i="34"/>
  <c r="G6268" i="34"/>
  <c r="G6269" i="34"/>
  <c r="G6270" i="34"/>
  <c r="G6271" i="34"/>
  <c r="G6272" i="34"/>
  <c r="G6273" i="34"/>
  <c r="G6274" i="34"/>
  <c r="G6275" i="34"/>
  <c r="G6276" i="34"/>
  <c r="G6277" i="34"/>
  <c r="G6278" i="34"/>
  <c r="G6279" i="34"/>
  <c r="G6280" i="34"/>
  <c r="G6281" i="34"/>
  <c r="G6282" i="34"/>
  <c r="G6283" i="34"/>
  <c r="G6284" i="34"/>
  <c r="G6285" i="34"/>
  <c r="G6286" i="34"/>
  <c r="G6287" i="34"/>
  <c r="G6288" i="34"/>
  <c r="G6289" i="34"/>
  <c r="G6290" i="34"/>
  <c r="G6291" i="34"/>
  <c r="G6292" i="34"/>
  <c r="G6293" i="34"/>
  <c r="G6294" i="34"/>
  <c r="G6295" i="34"/>
  <c r="G6296" i="34"/>
  <c r="G6297" i="34"/>
  <c r="G6298" i="34"/>
  <c r="G6299" i="34"/>
  <c r="G6300" i="34"/>
  <c r="G6301" i="34"/>
  <c r="G6302" i="34"/>
  <c r="G6303" i="34"/>
  <c r="G6304" i="34"/>
  <c r="G6305" i="34"/>
  <c r="G6306" i="34"/>
  <c r="G6307" i="34"/>
  <c r="G6308" i="34"/>
  <c r="G6309" i="34"/>
  <c r="G6310" i="34"/>
  <c r="G6311" i="34"/>
  <c r="G6312" i="34"/>
  <c r="G6313" i="34"/>
  <c r="G6314" i="34"/>
  <c r="G6315" i="34"/>
  <c r="G6316" i="34"/>
  <c r="G6317" i="34"/>
  <c r="G6318" i="34"/>
  <c r="G6319" i="34"/>
  <c r="G6320" i="34"/>
  <c r="G6321" i="34"/>
  <c r="G6322" i="34"/>
  <c r="G6323" i="34"/>
  <c r="G6324" i="34"/>
  <c r="G6325" i="34"/>
  <c r="G6326" i="34"/>
  <c r="G6327" i="34"/>
  <c r="G6328" i="34"/>
  <c r="G6329" i="34"/>
  <c r="G6330" i="34"/>
  <c r="G6331" i="34"/>
  <c r="G6332" i="34"/>
  <c r="G6333" i="34"/>
  <c r="G6334" i="34"/>
  <c r="G6335" i="34"/>
  <c r="G6336" i="34"/>
  <c r="G6337" i="34"/>
  <c r="G6338" i="34"/>
  <c r="G6339" i="34"/>
  <c r="G6340" i="34"/>
  <c r="G6341" i="34"/>
  <c r="G6342" i="34"/>
  <c r="G6343" i="34"/>
  <c r="G6344" i="34"/>
  <c r="G6345" i="34"/>
  <c r="G6346" i="34"/>
  <c r="G6347" i="34"/>
  <c r="G6348" i="34"/>
  <c r="G6349" i="34"/>
  <c r="G6350" i="34"/>
  <c r="G6351" i="34"/>
  <c r="G6352" i="34"/>
  <c r="G6353" i="34"/>
  <c r="G6354" i="34"/>
  <c r="G6355" i="34"/>
  <c r="G6356" i="34"/>
  <c r="G6357" i="34"/>
  <c r="G6358" i="34"/>
  <c r="G6359" i="34"/>
  <c r="G6360" i="34"/>
  <c r="G6361" i="34"/>
  <c r="G6362" i="34"/>
  <c r="G6363" i="34"/>
  <c r="G6364" i="34"/>
  <c r="G6365" i="34"/>
  <c r="G6366" i="34"/>
  <c r="G6367" i="34"/>
  <c r="G6368" i="34"/>
  <c r="G6369" i="34"/>
  <c r="G6370" i="34"/>
  <c r="G6371" i="34"/>
  <c r="G6372" i="34"/>
  <c r="G6373" i="34"/>
  <c r="G6374" i="34"/>
  <c r="G6375" i="34"/>
  <c r="G6376" i="34"/>
  <c r="G6377" i="34"/>
  <c r="G6378" i="34"/>
  <c r="G6379" i="34"/>
  <c r="G6380" i="34"/>
  <c r="G6381" i="34"/>
  <c r="G6382" i="34"/>
  <c r="G6383" i="34"/>
  <c r="G6384" i="34"/>
  <c r="G6385" i="34"/>
  <c r="G6386" i="34"/>
  <c r="G6387" i="34"/>
  <c r="G6388" i="34"/>
  <c r="G6389" i="34"/>
  <c r="G6390" i="34"/>
  <c r="G6391" i="34"/>
  <c r="G6392" i="34"/>
  <c r="G6393" i="34"/>
  <c r="G6394" i="34"/>
  <c r="G6395" i="34"/>
  <c r="G6396" i="34"/>
  <c r="G6397" i="34"/>
  <c r="G6398" i="34"/>
  <c r="G6399" i="34"/>
  <c r="G6400" i="34"/>
  <c r="G6401" i="34"/>
  <c r="G6402" i="34"/>
  <c r="G6403" i="34"/>
  <c r="G6404" i="34"/>
  <c r="G6405" i="34"/>
  <c r="G6406" i="34"/>
  <c r="G6407" i="34"/>
  <c r="G6408" i="34"/>
  <c r="G6409" i="34"/>
  <c r="G6410" i="34"/>
  <c r="G6411" i="34"/>
  <c r="G6412" i="34"/>
  <c r="G6413" i="34"/>
  <c r="G6414" i="34"/>
  <c r="G6415" i="34"/>
  <c r="G6416" i="34"/>
  <c r="G6417" i="34"/>
  <c r="G6418" i="34"/>
  <c r="G6419" i="34"/>
  <c r="G6420" i="34"/>
  <c r="G6421" i="34"/>
  <c r="G6422" i="34"/>
  <c r="G6423" i="34"/>
  <c r="G6424" i="34"/>
  <c r="G6425" i="34"/>
  <c r="G6426" i="34"/>
  <c r="G6427" i="34"/>
  <c r="G6428" i="34"/>
  <c r="G6429" i="34"/>
  <c r="G6430" i="34"/>
  <c r="G6431" i="34"/>
  <c r="G6432" i="34"/>
  <c r="G6433" i="34"/>
  <c r="G6434" i="34"/>
  <c r="G6435" i="34"/>
  <c r="G6436" i="34"/>
  <c r="G6437" i="34"/>
  <c r="G6438" i="34"/>
  <c r="G6439" i="34"/>
  <c r="G6440" i="34"/>
  <c r="G6441" i="34"/>
  <c r="G6442" i="34"/>
  <c r="G6443" i="34"/>
  <c r="G6444" i="34"/>
  <c r="G6445" i="34"/>
  <c r="G6446" i="34"/>
  <c r="G6447" i="34"/>
  <c r="G6448" i="34"/>
  <c r="G6449" i="34"/>
  <c r="G6450" i="34"/>
  <c r="G6451" i="34"/>
  <c r="G6452" i="34"/>
  <c r="G6453" i="34"/>
  <c r="G6454" i="34"/>
  <c r="G6455" i="34"/>
  <c r="G6456" i="34"/>
  <c r="G6457" i="34"/>
  <c r="G6458" i="34"/>
  <c r="G6459" i="34"/>
  <c r="G6460" i="34"/>
  <c r="G6461" i="34"/>
  <c r="G6462" i="34"/>
  <c r="G6463" i="34"/>
  <c r="G6464" i="34"/>
  <c r="G6465" i="34"/>
  <c r="G6466" i="34"/>
  <c r="G6467" i="34"/>
  <c r="G6468" i="34"/>
  <c r="G6469" i="34"/>
  <c r="G6470" i="34"/>
  <c r="G6471" i="34"/>
  <c r="G6472" i="34"/>
  <c r="G6473" i="34"/>
  <c r="G6474" i="34"/>
  <c r="G6475" i="34"/>
  <c r="G6476" i="34"/>
  <c r="G6477" i="34"/>
  <c r="G6478" i="34"/>
  <c r="G6479" i="34"/>
  <c r="G6480" i="34"/>
  <c r="G6481" i="34"/>
  <c r="G6482" i="34"/>
  <c r="G6483" i="34"/>
  <c r="G6484" i="34"/>
  <c r="G6485" i="34"/>
  <c r="G6486" i="34"/>
  <c r="G6487" i="34"/>
  <c r="G6488" i="34"/>
  <c r="G6489" i="34"/>
  <c r="G6490" i="34"/>
  <c r="G6491" i="34"/>
  <c r="G6492" i="34"/>
  <c r="G6493" i="34"/>
  <c r="G6494" i="34"/>
  <c r="G6495" i="34"/>
  <c r="G6496" i="34"/>
  <c r="G6497" i="34"/>
  <c r="G6498" i="34"/>
  <c r="G6499" i="34"/>
  <c r="G6500" i="34"/>
  <c r="G6501" i="34"/>
  <c r="G6502" i="34"/>
  <c r="G6503" i="34"/>
  <c r="G6504" i="34"/>
  <c r="G6505" i="34"/>
  <c r="G6506" i="34"/>
  <c r="G6507" i="34"/>
  <c r="G6508" i="34"/>
  <c r="G6509" i="34"/>
  <c r="G6510" i="34"/>
  <c r="G6511" i="34"/>
  <c r="G6512" i="34"/>
  <c r="G6513" i="34"/>
  <c r="G6514" i="34"/>
  <c r="G6515" i="34"/>
  <c r="G6516" i="34"/>
  <c r="G6517" i="34"/>
  <c r="G6518" i="34"/>
  <c r="G6519" i="34"/>
  <c r="G6520" i="34"/>
  <c r="G6521" i="34"/>
  <c r="G6522" i="34"/>
  <c r="G6523" i="34"/>
  <c r="G6524" i="34"/>
  <c r="G6525" i="34"/>
  <c r="G6526" i="34"/>
  <c r="G6527" i="34"/>
  <c r="G6528" i="34"/>
  <c r="G6529" i="34"/>
  <c r="G6530" i="34"/>
  <c r="G6531" i="34"/>
  <c r="G6532" i="34"/>
  <c r="G6533" i="34"/>
  <c r="G6534" i="34"/>
  <c r="G6535" i="34"/>
  <c r="G6536" i="34"/>
  <c r="G6537" i="34"/>
  <c r="G6538" i="34"/>
  <c r="G6539" i="34"/>
  <c r="G6540" i="34"/>
  <c r="G6541" i="34"/>
  <c r="G6542" i="34"/>
  <c r="G6543" i="34"/>
  <c r="G6544" i="34"/>
  <c r="G6545" i="34"/>
  <c r="G6546" i="34"/>
  <c r="G6547" i="34"/>
  <c r="G6548" i="34"/>
  <c r="G6549" i="34"/>
  <c r="G6550" i="34"/>
  <c r="G6551" i="34"/>
  <c r="G6552" i="34"/>
  <c r="G6553" i="34"/>
  <c r="G6554" i="34"/>
  <c r="G6555" i="34"/>
  <c r="G6556" i="34"/>
  <c r="G6557" i="34"/>
  <c r="G6558" i="34"/>
  <c r="G6559" i="34"/>
  <c r="G6560" i="34"/>
  <c r="G6561" i="34"/>
  <c r="G6562" i="34"/>
  <c r="G6563" i="34"/>
  <c r="G6564" i="34"/>
  <c r="G6565" i="34"/>
  <c r="G6566" i="34"/>
  <c r="G6567" i="34"/>
  <c r="G6568" i="34"/>
  <c r="G6569" i="34"/>
  <c r="G6570" i="34"/>
  <c r="G6571" i="34"/>
  <c r="G6572" i="34"/>
  <c r="G6573" i="34"/>
  <c r="G6574" i="34"/>
  <c r="G6575" i="34"/>
  <c r="G6576" i="34"/>
  <c r="G6577" i="34"/>
  <c r="G6578" i="34"/>
  <c r="G6579" i="34"/>
  <c r="G6580" i="34"/>
  <c r="G6581" i="34"/>
  <c r="G6582" i="34"/>
  <c r="G6583" i="34"/>
  <c r="G6584" i="34"/>
  <c r="G6585" i="34"/>
  <c r="G6586" i="34"/>
  <c r="G6587" i="34"/>
  <c r="G6588" i="34"/>
  <c r="G6589" i="34"/>
  <c r="G6590" i="34"/>
  <c r="G6591" i="34"/>
  <c r="G6592" i="34"/>
  <c r="G6593" i="34"/>
  <c r="G6594" i="34"/>
  <c r="G6595" i="34"/>
  <c r="G6596" i="34"/>
  <c r="G6597" i="34"/>
  <c r="G6598" i="34"/>
  <c r="G6599" i="34"/>
  <c r="G6600" i="34"/>
  <c r="G6601" i="34"/>
  <c r="G6602" i="34"/>
  <c r="G6603" i="34"/>
  <c r="G6604" i="34"/>
  <c r="G6605" i="34"/>
  <c r="G6606" i="34"/>
  <c r="G6607" i="34"/>
  <c r="G6608" i="34"/>
  <c r="G6609" i="34"/>
  <c r="G6610" i="34"/>
  <c r="G6611" i="34"/>
  <c r="G6612" i="34"/>
  <c r="G6613" i="34"/>
  <c r="G6614" i="34"/>
  <c r="G6615" i="34"/>
  <c r="G6616" i="34"/>
  <c r="G6617" i="34"/>
  <c r="G6618" i="34"/>
  <c r="G6619" i="34"/>
  <c r="G6620" i="34"/>
  <c r="G6621" i="34"/>
  <c r="G6622" i="34"/>
  <c r="G6623" i="34"/>
  <c r="G6624" i="34"/>
  <c r="G6625" i="34"/>
  <c r="G6626" i="34"/>
  <c r="G6627" i="34"/>
  <c r="G6628" i="34"/>
  <c r="G6629" i="34"/>
  <c r="G6630" i="34"/>
  <c r="G6631" i="34"/>
  <c r="G6632" i="34"/>
  <c r="G6633" i="34"/>
  <c r="G6634" i="34"/>
  <c r="G6635" i="34"/>
  <c r="G6636" i="34"/>
  <c r="G6637" i="34"/>
  <c r="G6638" i="34"/>
  <c r="G6639" i="34"/>
  <c r="G6640" i="34"/>
  <c r="G6641" i="34"/>
  <c r="G6642" i="34"/>
  <c r="G6643" i="34"/>
  <c r="G6644" i="34"/>
  <c r="G6645" i="34"/>
  <c r="G6646" i="34"/>
  <c r="G6647" i="34"/>
  <c r="G6648" i="34"/>
  <c r="G6649" i="34"/>
  <c r="G6650" i="34"/>
  <c r="G6651" i="34"/>
  <c r="G6652" i="34"/>
  <c r="G6653" i="34"/>
  <c r="G6654" i="34"/>
  <c r="G6655" i="34"/>
  <c r="G6656" i="34"/>
  <c r="G6657" i="34"/>
  <c r="G6658" i="34"/>
  <c r="G6659" i="34"/>
  <c r="G6660" i="34"/>
  <c r="G6661" i="34"/>
  <c r="G6662" i="34"/>
  <c r="G6663" i="34"/>
  <c r="G6664" i="34"/>
  <c r="G6665" i="34"/>
  <c r="G6666" i="34"/>
  <c r="G6667" i="34"/>
  <c r="G6668" i="34"/>
  <c r="G6669" i="34"/>
  <c r="G6670" i="34"/>
  <c r="G6671" i="34"/>
  <c r="G6672" i="34"/>
  <c r="G6673" i="34"/>
  <c r="G6674" i="34"/>
  <c r="G6675" i="34"/>
  <c r="G6676" i="34"/>
  <c r="G6677" i="34"/>
  <c r="G6678" i="34"/>
  <c r="G6679" i="34"/>
  <c r="G6680" i="34"/>
  <c r="G6681" i="34"/>
  <c r="G6682" i="34"/>
  <c r="G6683" i="34"/>
  <c r="G6684" i="34"/>
  <c r="G6685" i="34"/>
  <c r="G6686" i="34"/>
  <c r="G6687" i="34"/>
  <c r="G6688" i="34"/>
  <c r="G6689" i="34"/>
  <c r="G6690" i="34"/>
  <c r="G6691" i="34"/>
  <c r="G6692" i="34"/>
  <c r="G6693" i="34"/>
  <c r="G6694" i="34"/>
  <c r="G6695" i="34"/>
  <c r="G6696" i="34"/>
  <c r="G6697" i="34"/>
  <c r="G6698" i="34"/>
  <c r="G6699" i="34"/>
  <c r="G6700" i="34"/>
  <c r="G6701" i="34"/>
  <c r="G6702" i="34"/>
  <c r="G6703" i="34"/>
  <c r="G6704" i="34"/>
  <c r="G6705" i="34"/>
  <c r="G6706" i="34"/>
  <c r="G6707" i="34"/>
  <c r="G6708" i="34"/>
  <c r="G6709" i="34"/>
  <c r="G6710" i="34"/>
  <c r="G6711" i="34"/>
  <c r="G6712" i="34"/>
  <c r="G6713" i="34"/>
  <c r="G6714" i="34"/>
  <c r="G6715" i="34"/>
  <c r="G6716" i="34"/>
  <c r="G6717" i="34"/>
  <c r="G6718" i="34"/>
  <c r="G6719" i="34"/>
  <c r="G6720" i="34"/>
  <c r="G6721" i="34"/>
  <c r="G6722" i="34"/>
  <c r="G6723" i="34"/>
  <c r="G6724" i="34"/>
  <c r="G6725" i="34"/>
  <c r="G6726" i="34"/>
  <c r="G6727" i="34"/>
  <c r="G6728" i="34"/>
  <c r="G6729" i="34"/>
  <c r="G6730" i="34"/>
  <c r="G6731" i="34"/>
  <c r="G6732" i="34"/>
  <c r="G6733" i="34"/>
  <c r="G6734" i="34"/>
  <c r="G6735" i="34"/>
  <c r="G6736" i="34"/>
  <c r="G6737" i="34"/>
  <c r="G6738" i="34"/>
  <c r="G6739" i="34"/>
  <c r="G6740" i="34"/>
  <c r="G6741" i="34"/>
  <c r="G6742" i="34"/>
  <c r="G6743" i="34"/>
  <c r="G6744" i="34"/>
  <c r="G6745" i="34"/>
  <c r="G6746" i="34"/>
  <c r="G6747" i="34"/>
  <c r="G6748" i="34"/>
  <c r="G6749" i="34"/>
  <c r="G6750" i="34"/>
  <c r="G6751" i="34"/>
  <c r="G6752" i="34"/>
  <c r="G6753" i="34"/>
  <c r="G6754" i="34"/>
  <c r="G6755" i="34"/>
  <c r="G6756" i="34"/>
  <c r="G6757" i="34"/>
  <c r="G6758" i="34"/>
  <c r="G6759" i="34"/>
  <c r="G6760" i="34"/>
  <c r="G6761" i="34"/>
  <c r="G6762" i="34"/>
  <c r="G6763" i="34"/>
  <c r="G6764" i="34"/>
  <c r="G6765" i="34"/>
  <c r="G6766" i="34"/>
  <c r="G6767" i="34"/>
  <c r="G6768" i="34"/>
  <c r="G6769" i="34"/>
  <c r="G6770" i="34"/>
  <c r="G6771" i="34"/>
  <c r="G6772" i="34"/>
  <c r="G6773" i="34"/>
  <c r="G6774" i="34"/>
  <c r="G6775" i="34"/>
  <c r="G6776" i="34"/>
  <c r="G6777" i="34"/>
  <c r="G6778" i="34"/>
  <c r="G6779" i="34"/>
  <c r="G6780" i="34"/>
  <c r="G6781" i="34"/>
  <c r="G6782" i="34"/>
  <c r="G6783" i="34"/>
  <c r="G6784" i="34"/>
  <c r="G6785" i="34"/>
  <c r="G6786" i="34"/>
  <c r="G6787" i="34"/>
  <c r="G6788" i="34"/>
  <c r="G6789" i="34"/>
  <c r="G6790" i="34"/>
  <c r="G6791" i="34"/>
  <c r="G6792" i="34"/>
  <c r="G6793" i="34"/>
  <c r="G6794" i="34"/>
  <c r="G6795" i="34"/>
  <c r="G6796" i="34"/>
  <c r="G6797" i="34"/>
  <c r="G6798" i="34"/>
  <c r="G6799" i="34"/>
  <c r="G6800" i="34"/>
  <c r="G6801" i="34"/>
  <c r="G6802" i="34"/>
  <c r="G6803" i="34"/>
  <c r="G6804" i="34"/>
  <c r="G6805" i="34"/>
  <c r="G6806" i="34"/>
  <c r="G6807" i="34"/>
  <c r="G6808" i="34"/>
  <c r="G6809" i="34"/>
  <c r="G6810" i="34"/>
  <c r="G6811" i="34"/>
  <c r="G6812" i="34"/>
  <c r="G6813" i="34"/>
  <c r="G6814" i="34"/>
  <c r="G6815" i="34"/>
  <c r="G6816" i="34"/>
  <c r="G6817" i="34"/>
  <c r="G6818" i="34"/>
  <c r="G6819" i="34"/>
  <c r="G6820" i="34"/>
  <c r="G6821" i="34"/>
  <c r="G6822" i="34"/>
  <c r="G6823" i="34"/>
  <c r="G6824" i="34"/>
  <c r="G6825" i="34"/>
  <c r="G6826" i="34"/>
  <c r="G6827" i="34"/>
  <c r="G6828" i="34"/>
  <c r="G6829" i="34"/>
  <c r="G6830" i="34"/>
  <c r="G6831" i="34"/>
  <c r="G6832" i="34"/>
  <c r="G6833" i="34"/>
  <c r="G6834" i="34"/>
  <c r="G6835" i="34"/>
  <c r="G6836" i="34"/>
  <c r="G6837" i="34"/>
  <c r="G6838" i="34"/>
  <c r="G6839" i="34"/>
  <c r="G6840" i="34"/>
  <c r="G6841" i="34"/>
  <c r="G6842" i="34"/>
  <c r="G6843" i="34"/>
  <c r="G6844" i="34"/>
  <c r="G6845" i="34"/>
  <c r="G6846" i="34"/>
  <c r="G6847" i="34"/>
  <c r="G6848" i="34"/>
  <c r="G6849" i="34"/>
  <c r="G6850" i="34"/>
  <c r="G6851" i="34"/>
  <c r="G6852" i="34"/>
  <c r="G6853" i="34"/>
  <c r="G6854" i="34"/>
  <c r="G6855" i="34"/>
  <c r="G6856" i="34"/>
  <c r="G6857" i="34"/>
  <c r="G6858" i="34"/>
  <c r="G6859" i="34"/>
  <c r="G6860" i="34"/>
  <c r="G6861" i="34"/>
  <c r="G6862" i="34"/>
  <c r="G6863" i="34"/>
  <c r="G6864" i="34"/>
  <c r="G6865" i="34"/>
  <c r="G6866" i="34"/>
  <c r="G6867" i="34"/>
  <c r="G6868" i="34"/>
  <c r="G6869" i="34"/>
  <c r="G6870" i="34"/>
  <c r="G6871" i="34"/>
  <c r="G6872" i="34"/>
  <c r="G6873" i="34"/>
  <c r="G6874" i="34"/>
  <c r="G6875" i="34"/>
  <c r="G6876" i="34"/>
  <c r="G6877" i="34"/>
  <c r="G6878" i="34"/>
  <c r="G6879" i="34"/>
  <c r="G6880" i="34"/>
  <c r="G6881" i="34"/>
  <c r="G6882" i="34"/>
  <c r="G6883" i="34"/>
  <c r="G6884" i="34"/>
  <c r="G6885" i="34"/>
  <c r="G6886" i="34"/>
  <c r="G6887" i="34"/>
  <c r="G6888" i="34"/>
  <c r="G6889" i="34"/>
  <c r="G6890" i="34"/>
  <c r="G6891" i="34"/>
  <c r="G6892" i="34"/>
  <c r="G6893" i="34"/>
  <c r="G6894" i="34"/>
  <c r="G6895" i="34"/>
  <c r="G6896" i="34"/>
  <c r="G6897" i="34"/>
  <c r="G6898" i="34"/>
  <c r="G6899" i="34"/>
  <c r="G6900" i="34"/>
  <c r="G6901" i="34"/>
  <c r="G6902" i="34"/>
  <c r="G6903" i="34"/>
  <c r="G6904" i="34"/>
  <c r="G6905" i="34"/>
  <c r="G6906" i="34"/>
  <c r="G6907" i="34"/>
  <c r="G6908" i="34"/>
  <c r="G6909" i="34"/>
  <c r="G6910" i="34"/>
  <c r="G6911" i="34"/>
  <c r="G6912" i="34"/>
  <c r="G6913" i="34"/>
  <c r="G6914" i="34"/>
  <c r="G6915" i="34"/>
  <c r="G6916" i="34"/>
  <c r="G6917" i="34"/>
  <c r="G6918" i="34"/>
  <c r="G6919" i="34"/>
  <c r="G6920" i="34"/>
  <c r="G6921" i="34"/>
  <c r="G6922" i="34"/>
  <c r="G6923" i="34"/>
  <c r="G6924" i="34"/>
  <c r="G6925" i="34"/>
  <c r="G6926" i="34"/>
  <c r="G6927" i="34"/>
  <c r="G6928" i="34"/>
  <c r="G6929" i="34"/>
  <c r="G6930" i="34"/>
  <c r="G6931" i="34"/>
  <c r="G6932" i="34"/>
  <c r="G6933" i="34"/>
  <c r="G6934" i="34"/>
  <c r="G6935" i="34"/>
  <c r="G6936" i="34"/>
  <c r="G6937" i="34"/>
  <c r="G6938" i="34"/>
  <c r="G6939" i="34"/>
  <c r="G6940" i="34"/>
  <c r="G6941" i="34"/>
  <c r="G6942" i="34"/>
  <c r="G6943" i="34"/>
  <c r="G6944" i="34"/>
  <c r="G6945" i="34"/>
  <c r="G6946" i="34"/>
  <c r="G6947" i="34"/>
  <c r="G6948" i="34"/>
  <c r="G6949" i="34"/>
  <c r="G6950" i="34"/>
  <c r="G6951" i="34"/>
  <c r="G6952" i="34"/>
  <c r="G6953" i="34"/>
  <c r="G6954" i="34"/>
  <c r="G6955" i="34"/>
  <c r="G6956" i="34"/>
  <c r="G6957" i="34"/>
  <c r="G6958" i="34"/>
  <c r="G6959" i="34"/>
  <c r="G6960" i="34"/>
  <c r="G6961" i="34"/>
  <c r="G6962" i="34"/>
  <c r="G6963" i="34"/>
  <c r="G6964" i="34"/>
  <c r="G6965" i="34"/>
  <c r="G6966" i="34"/>
  <c r="G6967" i="34"/>
  <c r="G6968" i="34"/>
  <c r="G6969" i="34"/>
  <c r="G6970" i="34"/>
  <c r="G6971" i="34"/>
  <c r="G6972" i="34"/>
  <c r="G6973" i="34"/>
  <c r="G6974" i="34"/>
  <c r="G6975" i="34"/>
  <c r="G6976" i="34"/>
  <c r="G6977" i="34"/>
  <c r="G6978" i="34"/>
  <c r="G6979" i="34"/>
  <c r="G6980" i="34"/>
  <c r="G6981" i="34"/>
  <c r="G6982" i="34"/>
  <c r="G6983" i="34"/>
  <c r="G6984" i="34"/>
  <c r="G6985" i="34"/>
  <c r="G6986" i="34"/>
  <c r="G6987" i="34"/>
  <c r="G6988" i="34"/>
  <c r="G6989" i="34"/>
  <c r="G6990" i="34"/>
  <c r="G6991" i="34"/>
  <c r="G6992" i="34"/>
  <c r="G6993" i="34"/>
  <c r="G6994" i="34"/>
  <c r="G6995" i="34"/>
  <c r="G6996" i="34"/>
  <c r="G6997" i="34"/>
  <c r="G6998" i="34"/>
  <c r="G6999" i="34"/>
  <c r="G7000" i="34"/>
  <c r="G7001" i="34"/>
  <c r="G7002" i="34"/>
  <c r="G7003" i="34"/>
  <c r="G7004" i="34"/>
  <c r="G7005" i="34"/>
  <c r="G7006" i="34"/>
  <c r="G7007" i="34"/>
  <c r="G7008" i="34"/>
  <c r="G7009" i="34"/>
  <c r="G7010" i="34"/>
  <c r="G7011" i="34"/>
  <c r="G7012" i="34"/>
  <c r="G7013" i="34"/>
  <c r="G7014" i="34"/>
  <c r="G7015" i="34"/>
  <c r="G7016" i="34"/>
  <c r="G7017" i="34"/>
  <c r="G7018" i="34"/>
  <c r="G7019" i="34"/>
  <c r="G7020" i="34"/>
  <c r="G7021" i="34"/>
  <c r="G7022" i="34"/>
  <c r="G7023" i="34"/>
  <c r="G7024" i="34"/>
  <c r="G7025" i="34"/>
  <c r="G7026" i="34"/>
  <c r="G7027" i="34"/>
  <c r="G7028" i="34"/>
  <c r="G7029" i="34"/>
  <c r="G7030" i="34"/>
  <c r="G7031" i="34"/>
  <c r="G7032" i="34"/>
  <c r="G7033" i="34"/>
  <c r="G7034" i="34"/>
  <c r="G7035" i="34"/>
  <c r="G7036" i="34"/>
  <c r="G7037" i="34"/>
  <c r="G7038" i="34"/>
  <c r="G7039" i="34"/>
  <c r="G7040" i="34"/>
  <c r="G7041" i="34"/>
  <c r="G7042" i="34"/>
  <c r="G7043" i="34"/>
  <c r="G7044" i="34"/>
  <c r="G7045" i="34"/>
  <c r="G7046" i="34"/>
  <c r="G7047" i="34"/>
  <c r="G7048" i="34"/>
  <c r="G7049" i="34"/>
  <c r="G7050" i="34"/>
  <c r="G7051" i="34"/>
  <c r="G7052" i="34"/>
  <c r="G7053" i="34"/>
  <c r="G7054" i="34"/>
  <c r="G7055" i="34"/>
  <c r="G7056" i="34"/>
  <c r="G7057" i="34"/>
  <c r="G7058" i="34"/>
  <c r="G7059" i="34"/>
  <c r="G7060" i="34"/>
  <c r="G7061" i="34"/>
  <c r="G7062" i="34"/>
  <c r="G7063" i="34"/>
  <c r="G7064" i="34"/>
  <c r="G7065" i="34"/>
  <c r="G7066" i="34"/>
  <c r="G7067" i="34"/>
  <c r="G7068" i="34"/>
  <c r="G7069" i="34"/>
  <c r="G7070" i="34"/>
  <c r="G7071" i="34"/>
  <c r="G7072" i="34"/>
  <c r="G7073" i="34"/>
  <c r="G7074" i="34"/>
  <c r="G7075" i="34"/>
  <c r="G7076" i="34"/>
  <c r="G7077" i="34"/>
  <c r="G7078" i="34"/>
  <c r="G7079" i="34"/>
  <c r="G7080" i="34"/>
  <c r="G7081" i="34"/>
  <c r="G7082" i="34"/>
  <c r="G7083" i="34"/>
  <c r="G7084" i="34"/>
  <c r="G7085" i="34"/>
  <c r="G7086" i="34"/>
  <c r="G7087" i="34"/>
  <c r="G7088" i="34"/>
  <c r="G7089" i="34"/>
  <c r="G7090" i="34"/>
  <c r="G7091" i="34"/>
  <c r="G7092" i="34"/>
  <c r="G7093" i="34"/>
  <c r="G7094" i="34"/>
  <c r="G7095" i="34"/>
  <c r="G7096" i="34"/>
  <c r="G7097" i="34"/>
  <c r="G7098" i="34"/>
  <c r="G7099" i="34"/>
  <c r="G7100" i="34"/>
  <c r="G7101" i="34"/>
  <c r="G7102" i="34"/>
  <c r="G7103" i="34"/>
  <c r="G7104" i="34"/>
  <c r="G7105" i="34"/>
  <c r="G7106" i="34"/>
  <c r="G7107" i="34"/>
  <c r="G7108" i="34"/>
  <c r="G7109" i="34"/>
  <c r="G7110" i="34"/>
  <c r="G7111" i="34"/>
  <c r="G7112" i="34"/>
  <c r="G7113" i="34"/>
  <c r="G7114" i="34"/>
  <c r="G7115" i="34"/>
  <c r="G7116" i="34"/>
  <c r="G7117" i="34"/>
  <c r="G7118" i="34"/>
  <c r="G7119" i="34"/>
  <c r="G7120" i="34"/>
  <c r="G7121" i="34"/>
  <c r="G7122" i="34"/>
  <c r="G7123" i="34"/>
  <c r="G7124" i="34"/>
  <c r="G7125" i="34"/>
  <c r="G7126" i="34"/>
  <c r="G7127" i="34"/>
  <c r="G7128" i="34"/>
  <c r="G7129" i="34"/>
  <c r="G7130" i="34"/>
  <c r="G7131" i="34"/>
  <c r="G7132" i="34"/>
  <c r="G7133" i="34"/>
  <c r="G7134" i="34"/>
  <c r="G7135" i="34"/>
  <c r="G7136" i="34"/>
  <c r="G7137" i="34"/>
  <c r="G7138" i="34"/>
  <c r="G7139" i="34"/>
  <c r="G7140" i="34"/>
  <c r="G7141" i="34"/>
  <c r="G7142" i="34"/>
  <c r="G7143" i="34"/>
  <c r="G7144" i="34"/>
  <c r="G7145" i="34"/>
  <c r="G7146" i="34"/>
  <c r="G7147" i="34"/>
  <c r="G7148" i="34"/>
  <c r="G7149" i="34"/>
  <c r="G7150" i="34"/>
  <c r="G7151" i="34"/>
  <c r="G7152" i="34"/>
  <c r="G7153" i="34"/>
  <c r="G7154" i="34"/>
  <c r="G7155" i="34"/>
  <c r="G7156" i="34"/>
  <c r="G7157" i="34"/>
  <c r="G7158" i="34"/>
  <c r="G7159" i="34"/>
  <c r="G7160" i="34"/>
  <c r="G7161" i="34"/>
  <c r="G7162" i="34"/>
  <c r="G7163" i="34"/>
  <c r="G7164" i="34"/>
  <c r="G7165" i="34"/>
  <c r="G7166" i="34"/>
  <c r="G7167" i="34"/>
  <c r="G7168" i="34"/>
  <c r="G7169" i="34"/>
  <c r="G7170" i="34"/>
  <c r="G7171" i="34"/>
  <c r="G7172" i="34"/>
  <c r="G7173" i="34"/>
  <c r="G7174" i="34"/>
  <c r="G7175" i="34"/>
  <c r="G7176" i="34"/>
  <c r="G7177" i="34"/>
  <c r="G7178" i="34"/>
  <c r="G7179" i="34"/>
  <c r="G7180" i="34"/>
  <c r="G7181" i="34"/>
  <c r="G7182" i="34"/>
  <c r="G7183" i="34"/>
  <c r="G7184" i="34"/>
  <c r="G7185" i="34"/>
  <c r="G7186" i="34"/>
  <c r="G7187" i="34"/>
  <c r="G7188" i="34"/>
  <c r="G7189" i="34"/>
  <c r="G7190" i="34"/>
  <c r="G7191" i="34"/>
  <c r="G7192" i="34"/>
  <c r="G7193" i="34"/>
  <c r="G7194" i="34"/>
  <c r="G7195" i="34"/>
  <c r="G7196" i="34"/>
  <c r="G7197" i="34"/>
  <c r="G7198" i="34"/>
  <c r="G7199" i="34"/>
  <c r="G7200" i="34"/>
  <c r="G7201" i="34"/>
  <c r="G7202" i="34"/>
  <c r="G7203" i="34"/>
  <c r="G7204" i="34"/>
  <c r="G7205" i="34"/>
  <c r="G7206" i="34"/>
  <c r="G7207" i="34"/>
  <c r="G7208" i="34"/>
  <c r="G7209" i="34"/>
  <c r="G7210" i="34"/>
  <c r="G7211" i="34"/>
  <c r="G7212" i="34"/>
  <c r="G7213" i="34"/>
  <c r="G7214" i="34"/>
  <c r="G7215" i="34"/>
  <c r="G7216" i="34"/>
  <c r="G7217" i="34"/>
  <c r="G7218" i="34"/>
  <c r="G7219" i="34"/>
  <c r="G7220" i="34"/>
  <c r="G7221" i="34"/>
  <c r="G7222" i="34"/>
  <c r="G7223" i="34"/>
  <c r="G7224" i="34"/>
  <c r="G7225" i="34"/>
  <c r="G7226" i="34"/>
  <c r="G7227" i="34"/>
  <c r="G7228" i="34"/>
  <c r="G7229" i="34"/>
  <c r="G7230" i="34"/>
  <c r="G7231" i="34"/>
  <c r="G7232" i="34"/>
  <c r="G7233" i="34"/>
  <c r="G7234" i="34"/>
  <c r="G7235" i="34"/>
  <c r="G7236" i="34"/>
  <c r="G7237" i="34"/>
  <c r="G7238" i="34"/>
  <c r="G7239" i="34"/>
  <c r="G7240" i="34"/>
  <c r="G7241" i="34"/>
  <c r="G7242" i="34"/>
  <c r="G7243" i="34"/>
  <c r="G7244" i="34"/>
  <c r="G7245" i="34"/>
  <c r="G7246" i="34"/>
  <c r="G7247" i="34"/>
  <c r="G7248" i="34"/>
  <c r="G7249" i="34"/>
  <c r="G7250" i="34"/>
  <c r="G7251" i="34"/>
  <c r="G7252" i="34"/>
  <c r="G7253" i="34"/>
  <c r="G7254" i="34"/>
  <c r="G7255" i="34"/>
  <c r="G7256" i="34"/>
  <c r="G7257" i="34"/>
  <c r="G7258" i="34"/>
  <c r="G7259" i="34"/>
  <c r="G7260" i="34"/>
  <c r="G7261" i="34"/>
  <c r="G7262" i="34"/>
  <c r="G7263" i="34"/>
  <c r="G7264" i="34"/>
  <c r="G7265" i="34"/>
  <c r="G7266" i="34"/>
  <c r="G7267" i="34"/>
  <c r="G7268" i="34"/>
  <c r="G7269" i="34"/>
  <c r="G7270" i="34"/>
  <c r="G7271" i="34"/>
  <c r="G7272" i="34"/>
  <c r="G7273" i="34"/>
  <c r="G7274" i="34"/>
  <c r="G7275" i="34"/>
  <c r="G7276" i="34"/>
  <c r="G7277" i="34"/>
  <c r="G7278" i="34"/>
  <c r="G7279" i="34"/>
  <c r="G7280" i="34"/>
  <c r="G7281" i="34"/>
  <c r="G7282" i="34"/>
  <c r="G7283" i="34"/>
  <c r="G7284" i="34"/>
  <c r="G7285" i="34"/>
  <c r="G7286" i="34"/>
  <c r="G7287" i="34"/>
  <c r="G7288" i="34"/>
  <c r="G7289" i="34"/>
  <c r="G7290" i="34"/>
  <c r="G7291" i="34"/>
  <c r="G7292" i="34"/>
  <c r="G7293" i="34"/>
  <c r="G7294" i="34"/>
  <c r="G7295" i="34"/>
  <c r="G7296" i="34"/>
  <c r="G7297" i="34"/>
  <c r="G7298" i="34"/>
  <c r="G7299" i="34"/>
  <c r="G7300" i="34"/>
  <c r="G7301" i="34"/>
  <c r="G7302" i="34"/>
  <c r="G7303" i="34"/>
  <c r="G7304" i="34"/>
  <c r="G7305" i="34"/>
  <c r="G7306" i="34"/>
  <c r="G7307" i="34"/>
  <c r="G7308" i="34"/>
  <c r="G7309" i="34"/>
  <c r="G7310" i="34"/>
  <c r="G7311" i="34"/>
  <c r="G7312" i="34"/>
  <c r="G7313" i="34"/>
  <c r="G7314" i="34"/>
  <c r="G7315" i="34"/>
  <c r="G7316" i="34"/>
  <c r="G7317" i="34"/>
  <c r="G7318" i="34"/>
  <c r="G7319" i="34"/>
  <c r="G7320" i="34"/>
  <c r="G7321" i="34"/>
  <c r="G7322" i="34"/>
  <c r="G7323" i="34"/>
  <c r="G7324" i="34"/>
  <c r="G7325" i="34"/>
  <c r="G7326" i="34"/>
  <c r="G7327" i="34"/>
  <c r="G7328" i="34"/>
  <c r="G7329" i="34"/>
  <c r="G7330" i="34"/>
  <c r="G7331" i="34"/>
  <c r="G7332" i="34"/>
  <c r="G7333" i="34"/>
  <c r="G7334" i="34"/>
  <c r="G7335" i="34"/>
  <c r="G7336" i="34"/>
  <c r="G7337" i="34"/>
  <c r="G7338" i="34"/>
  <c r="G7339" i="34"/>
  <c r="G7340" i="34"/>
  <c r="G7341" i="34"/>
  <c r="G7342" i="34"/>
  <c r="G7343" i="34"/>
  <c r="G7344" i="34"/>
  <c r="G7345" i="34"/>
  <c r="G7346" i="34"/>
  <c r="G7347" i="34"/>
  <c r="G7348" i="34"/>
  <c r="G7349" i="34"/>
  <c r="G7350" i="34"/>
  <c r="G7351" i="34"/>
  <c r="G7352" i="34"/>
  <c r="G7353" i="34"/>
  <c r="G7354" i="34"/>
  <c r="G7355" i="34"/>
  <c r="G7356" i="34"/>
  <c r="G7357" i="34"/>
  <c r="G7358" i="34"/>
  <c r="G7359" i="34"/>
  <c r="G7360" i="34"/>
  <c r="G7361" i="34"/>
  <c r="G7362" i="34"/>
  <c r="G7363" i="34"/>
  <c r="G7364" i="34"/>
  <c r="G7365" i="34"/>
  <c r="G7366" i="34"/>
  <c r="G7367" i="34"/>
  <c r="G7368" i="34"/>
  <c r="G7369" i="34"/>
  <c r="G7370" i="34"/>
  <c r="G7371" i="34"/>
  <c r="G7372" i="34"/>
  <c r="G7373" i="34"/>
  <c r="G7374" i="34"/>
  <c r="G7375" i="34"/>
  <c r="G7376" i="34"/>
  <c r="G7377" i="34"/>
  <c r="G7378" i="34"/>
  <c r="G7379" i="34"/>
  <c r="G7380" i="34"/>
  <c r="G7381" i="34"/>
  <c r="G7382" i="34"/>
  <c r="G7383" i="34"/>
  <c r="G7384" i="34"/>
  <c r="G7385" i="34"/>
  <c r="G7386" i="34"/>
  <c r="G7387" i="34"/>
  <c r="G7388" i="34"/>
  <c r="G7389" i="34"/>
  <c r="G7390" i="34"/>
  <c r="G7391" i="34"/>
  <c r="G7392" i="34"/>
  <c r="G7393" i="34"/>
  <c r="G7394" i="34"/>
  <c r="G7395" i="34"/>
  <c r="G7396" i="34"/>
  <c r="G7397" i="34"/>
  <c r="G7398" i="34"/>
  <c r="G7399" i="34"/>
  <c r="G7400" i="34"/>
  <c r="G7401" i="34"/>
  <c r="G7402" i="34"/>
  <c r="G7403" i="34"/>
  <c r="G7404" i="34"/>
  <c r="G7405" i="34"/>
  <c r="G7406" i="34"/>
  <c r="G7407" i="34"/>
  <c r="G7408" i="34"/>
  <c r="G7409" i="34"/>
  <c r="G7410" i="34"/>
  <c r="G7411" i="34"/>
  <c r="G7412" i="34"/>
  <c r="G7413" i="34"/>
  <c r="G7414" i="34"/>
  <c r="G7415" i="34"/>
  <c r="G7416" i="34"/>
  <c r="G7417" i="34"/>
  <c r="G7418" i="34"/>
  <c r="G7419" i="34"/>
  <c r="G7420" i="34"/>
  <c r="G7421" i="34"/>
  <c r="G7422" i="34"/>
  <c r="G7423" i="34"/>
  <c r="G7424" i="34"/>
  <c r="G7425" i="34"/>
  <c r="G7426" i="34"/>
  <c r="G7427" i="34"/>
  <c r="G7428" i="34"/>
  <c r="G7429" i="34"/>
  <c r="G7430" i="34"/>
  <c r="G7431" i="34"/>
  <c r="G7432" i="34"/>
  <c r="G7433" i="34"/>
  <c r="G7434" i="34"/>
  <c r="G7435" i="34"/>
  <c r="G7436" i="34"/>
  <c r="G7437" i="34"/>
  <c r="G7438" i="34"/>
  <c r="G7439" i="34"/>
  <c r="G7440" i="34"/>
  <c r="G7441" i="34"/>
  <c r="G7442" i="34"/>
  <c r="G7443" i="34"/>
  <c r="G7444" i="34"/>
  <c r="G7445" i="34"/>
  <c r="G7446" i="34"/>
  <c r="G7447" i="34"/>
  <c r="G7448" i="34"/>
  <c r="G7449" i="34"/>
  <c r="G7450" i="34"/>
  <c r="G7451" i="34"/>
  <c r="G7452" i="34"/>
  <c r="G7453" i="34"/>
  <c r="G7454" i="34"/>
  <c r="G7455" i="34"/>
  <c r="G7456" i="34"/>
  <c r="G7457" i="34"/>
  <c r="G7458" i="34"/>
  <c r="G7459" i="34"/>
  <c r="G7460" i="34"/>
  <c r="G7461" i="34"/>
  <c r="G7462" i="34"/>
  <c r="G7463" i="34"/>
  <c r="G7464" i="34"/>
  <c r="G7465" i="34"/>
  <c r="G7466" i="34"/>
  <c r="G7467" i="34"/>
  <c r="G7468" i="34"/>
  <c r="G7469" i="34"/>
  <c r="G7470" i="34"/>
  <c r="G7471" i="34"/>
  <c r="G7472" i="34"/>
  <c r="G7473" i="34"/>
  <c r="G7474" i="34"/>
  <c r="G7475" i="34"/>
  <c r="G7476" i="34"/>
  <c r="G7477" i="34"/>
  <c r="G7478" i="34"/>
  <c r="G7479" i="34"/>
  <c r="G7480" i="34"/>
  <c r="G7481" i="34"/>
  <c r="G7482" i="34"/>
  <c r="G7483" i="34"/>
  <c r="G7484" i="34"/>
  <c r="G7485" i="34"/>
  <c r="G7486" i="34"/>
  <c r="G7487" i="34"/>
  <c r="G7488" i="34"/>
  <c r="G7489" i="34"/>
  <c r="G7490" i="34"/>
  <c r="G7491" i="34"/>
  <c r="G7492" i="34"/>
  <c r="G7493" i="34"/>
  <c r="G7494" i="34"/>
  <c r="G7495" i="34"/>
  <c r="G7496" i="34"/>
  <c r="G7497" i="34"/>
  <c r="G7498" i="34"/>
  <c r="G7499" i="34"/>
  <c r="G7500" i="34"/>
  <c r="G7501" i="34"/>
  <c r="G7502" i="34"/>
  <c r="G7503" i="34"/>
  <c r="G7504" i="34"/>
  <c r="G7505" i="34"/>
  <c r="G7506" i="34"/>
  <c r="G7507" i="34"/>
  <c r="G7508" i="34"/>
  <c r="G7509" i="34"/>
  <c r="G7510" i="34"/>
  <c r="G7511" i="34"/>
  <c r="G7512" i="34"/>
  <c r="G7513" i="34"/>
  <c r="G7514" i="34"/>
  <c r="G7515" i="34"/>
  <c r="G7516" i="34"/>
  <c r="G7517" i="34"/>
  <c r="G7518" i="34"/>
  <c r="G7519" i="34"/>
  <c r="G7520" i="34"/>
  <c r="G7521" i="34"/>
  <c r="G7522" i="34"/>
  <c r="G7523" i="34"/>
  <c r="G7524" i="34"/>
  <c r="G7525" i="34"/>
  <c r="G7526" i="34"/>
  <c r="G7527" i="34"/>
  <c r="G7528" i="34"/>
  <c r="G7529" i="34"/>
  <c r="G7530" i="34"/>
  <c r="G7531" i="34"/>
  <c r="G7532" i="34"/>
  <c r="G7533" i="34"/>
  <c r="G7534" i="34"/>
  <c r="G7535" i="34"/>
  <c r="G7536" i="34"/>
  <c r="G7537" i="34"/>
  <c r="G7538" i="34"/>
  <c r="G7539" i="34"/>
  <c r="G7540" i="34"/>
  <c r="G7541" i="34"/>
  <c r="G7542" i="34"/>
  <c r="G7543" i="34"/>
  <c r="G7544" i="34"/>
  <c r="G7545" i="34"/>
  <c r="G7546" i="34"/>
  <c r="G7547" i="34"/>
  <c r="G7548" i="34"/>
  <c r="G7549" i="34"/>
  <c r="G7550" i="34"/>
  <c r="G7551" i="34"/>
  <c r="G7552" i="34"/>
  <c r="G7553" i="34"/>
  <c r="G7554" i="34"/>
  <c r="G7555" i="34"/>
  <c r="G7556" i="34"/>
  <c r="G7557" i="34"/>
  <c r="G7558" i="34"/>
  <c r="G7559" i="34"/>
  <c r="G7560" i="34"/>
  <c r="G7561" i="34"/>
  <c r="G7562" i="34"/>
  <c r="G7563" i="34"/>
  <c r="G7564" i="34"/>
  <c r="G7565" i="34"/>
  <c r="G7566" i="34"/>
  <c r="G7567" i="34"/>
  <c r="G7568" i="34"/>
  <c r="G7569" i="34"/>
  <c r="G7570" i="34"/>
  <c r="G7571" i="34"/>
  <c r="G7572" i="34"/>
  <c r="G7573" i="34"/>
  <c r="G7574" i="34"/>
  <c r="G7575" i="34"/>
  <c r="G7576" i="34"/>
  <c r="G7577" i="34"/>
  <c r="G7578" i="34"/>
  <c r="G7579" i="34"/>
  <c r="G7580" i="34"/>
  <c r="G7581" i="34"/>
  <c r="G7582" i="34"/>
  <c r="G7583" i="34"/>
  <c r="G7584" i="34"/>
  <c r="G7585" i="34"/>
  <c r="G7586" i="34"/>
  <c r="G7587" i="34"/>
  <c r="G7588" i="34"/>
  <c r="G7589" i="34"/>
  <c r="G7590" i="34"/>
  <c r="G7591" i="34"/>
  <c r="G7592" i="34"/>
  <c r="G7593" i="34"/>
  <c r="G7594" i="34"/>
  <c r="G7595" i="34"/>
  <c r="G7596" i="34"/>
  <c r="G7597" i="34"/>
  <c r="G7598" i="34"/>
  <c r="G7599" i="34"/>
  <c r="G7600" i="34"/>
  <c r="G7601" i="34"/>
  <c r="G7602" i="34"/>
  <c r="G7603" i="34"/>
  <c r="G7604" i="34"/>
  <c r="G7605" i="34"/>
  <c r="G7606" i="34"/>
  <c r="G7607" i="34"/>
  <c r="G7608" i="34"/>
  <c r="G7609" i="34"/>
  <c r="G7610" i="34"/>
  <c r="G7611" i="34"/>
  <c r="G7612" i="34"/>
  <c r="G7613" i="34"/>
  <c r="G7614" i="34"/>
  <c r="G7615" i="34"/>
  <c r="G7616" i="34"/>
  <c r="G7617" i="34"/>
  <c r="G7618" i="34"/>
  <c r="G7619" i="34"/>
  <c r="G7620" i="34"/>
  <c r="G7621" i="34"/>
  <c r="G7622" i="34"/>
  <c r="G7623" i="34"/>
  <c r="G7624" i="34"/>
  <c r="G7625" i="34"/>
  <c r="G7626" i="34"/>
  <c r="G7627" i="34"/>
  <c r="G7628" i="34"/>
  <c r="G7629" i="34"/>
  <c r="G7630" i="34"/>
  <c r="G7631" i="34"/>
  <c r="G7632" i="34"/>
  <c r="G7633" i="34"/>
  <c r="G7634" i="34"/>
  <c r="G7635" i="34"/>
  <c r="G7636" i="34"/>
  <c r="G7637" i="34"/>
  <c r="G7638" i="34"/>
  <c r="G7639" i="34"/>
  <c r="G7640" i="34"/>
  <c r="G7641" i="34"/>
  <c r="G7642" i="34"/>
  <c r="G7643" i="34"/>
  <c r="G7644" i="34"/>
  <c r="G7645" i="34"/>
  <c r="G7646" i="34"/>
  <c r="G7647" i="34"/>
  <c r="G7648" i="34"/>
  <c r="G7649" i="34"/>
  <c r="G7650" i="34"/>
  <c r="G7651" i="34"/>
  <c r="G7652" i="34"/>
  <c r="G7653" i="34"/>
  <c r="G7654" i="34"/>
  <c r="G7655" i="34"/>
  <c r="G7656" i="34"/>
  <c r="G7657" i="34"/>
  <c r="G7658" i="34"/>
  <c r="G7659" i="34"/>
  <c r="G7660" i="34"/>
  <c r="G7661" i="34"/>
  <c r="G7662" i="34"/>
  <c r="G7663" i="34"/>
  <c r="G7664" i="34"/>
  <c r="G7665" i="34"/>
  <c r="G7666" i="34"/>
  <c r="G7667" i="34"/>
  <c r="G7668" i="34"/>
  <c r="G7669" i="34"/>
  <c r="G7670" i="34"/>
  <c r="G7671" i="34"/>
  <c r="G7672" i="34"/>
  <c r="G7673" i="34"/>
  <c r="G7674" i="34"/>
  <c r="G7675" i="34"/>
  <c r="G7676" i="34"/>
  <c r="G7677" i="34"/>
  <c r="G7678" i="34"/>
  <c r="G7679" i="34"/>
  <c r="G7680" i="34"/>
  <c r="G7681" i="34"/>
  <c r="G7682" i="34"/>
  <c r="G7683" i="34"/>
  <c r="G7684" i="34"/>
  <c r="G7685" i="34"/>
  <c r="G7686" i="34"/>
  <c r="G7687" i="34"/>
  <c r="G7688" i="34"/>
  <c r="G7689" i="34"/>
  <c r="G7690" i="34"/>
  <c r="G7691" i="34"/>
  <c r="G7692" i="34"/>
  <c r="G7693" i="34"/>
  <c r="G7694" i="34"/>
  <c r="G7695" i="34"/>
  <c r="G7696" i="34"/>
  <c r="G7697" i="34"/>
  <c r="G7698" i="34"/>
  <c r="G7699" i="34"/>
  <c r="G7700" i="34"/>
  <c r="G7701" i="34"/>
  <c r="G7702" i="34"/>
  <c r="G7703" i="34"/>
  <c r="G7704" i="34"/>
  <c r="G7705" i="34"/>
  <c r="G7706" i="34"/>
  <c r="G7707" i="34"/>
  <c r="G7708" i="34"/>
  <c r="G7709" i="34"/>
  <c r="G7710" i="34"/>
  <c r="G7711" i="34"/>
  <c r="G7712" i="34"/>
  <c r="G7713" i="34"/>
  <c r="G7714" i="34"/>
  <c r="G7715" i="34"/>
  <c r="G7716" i="34"/>
  <c r="G7717" i="34"/>
  <c r="G7718" i="34"/>
  <c r="G7719" i="34"/>
  <c r="G7720" i="34"/>
  <c r="G7721" i="34"/>
  <c r="G7722" i="34"/>
  <c r="G7723" i="34"/>
  <c r="G7724" i="34"/>
  <c r="G7725" i="34"/>
  <c r="G7726" i="34"/>
  <c r="G7727" i="34"/>
  <c r="G7728" i="34"/>
  <c r="G7729" i="34"/>
  <c r="G7730" i="34"/>
  <c r="G7731" i="34"/>
  <c r="G7732" i="34"/>
  <c r="G7733" i="34"/>
  <c r="G7734" i="34"/>
  <c r="G7735" i="34"/>
  <c r="G7736" i="34"/>
  <c r="G7737" i="34"/>
  <c r="G7738" i="34"/>
  <c r="G7739" i="34"/>
  <c r="G7740" i="34"/>
  <c r="G7741" i="34"/>
  <c r="G7742" i="34"/>
  <c r="G7743" i="34"/>
  <c r="G7744" i="34"/>
  <c r="G7745" i="34"/>
  <c r="G7746" i="34"/>
  <c r="G7747" i="34"/>
  <c r="G7748" i="34"/>
  <c r="G7749" i="34"/>
  <c r="G7750" i="34"/>
  <c r="G7751" i="34"/>
  <c r="G7752" i="34"/>
  <c r="G7753" i="34"/>
  <c r="G7754" i="34"/>
  <c r="G7755" i="34"/>
  <c r="G7756" i="34"/>
  <c r="G7757" i="34"/>
  <c r="G7758" i="34"/>
  <c r="G7759" i="34"/>
  <c r="G7760" i="34"/>
  <c r="G7761" i="34"/>
  <c r="G7762" i="34"/>
  <c r="G7763" i="34"/>
  <c r="G7764" i="34"/>
  <c r="G7765" i="34"/>
  <c r="G7766" i="34"/>
  <c r="G7767" i="34"/>
  <c r="G7768" i="34"/>
  <c r="G7769" i="34"/>
  <c r="G7770" i="34"/>
  <c r="G7771" i="34"/>
  <c r="G7772" i="34"/>
  <c r="G7773" i="34"/>
  <c r="G7774" i="34"/>
  <c r="G7775" i="34"/>
  <c r="G7776" i="34"/>
  <c r="G7777" i="34"/>
  <c r="G7778" i="34"/>
  <c r="G7779" i="34"/>
  <c r="G7780" i="34"/>
  <c r="G7781" i="34"/>
  <c r="G7782" i="34"/>
  <c r="G7783" i="34"/>
  <c r="G7784" i="34"/>
  <c r="G7785" i="34"/>
  <c r="G7786" i="34"/>
  <c r="G7787" i="34"/>
  <c r="G7788" i="34"/>
  <c r="G7789" i="34"/>
  <c r="G7790" i="34"/>
  <c r="G7791" i="34"/>
  <c r="G7792" i="34"/>
  <c r="G7793" i="34"/>
  <c r="G7794" i="34"/>
  <c r="G7795" i="34"/>
  <c r="G7796" i="34"/>
  <c r="G7797" i="34"/>
  <c r="G7798" i="34"/>
  <c r="G7799" i="34"/>
  <c r="G7800" i="34"/>
  <c r="G7801" i="34"/>
  <c r="G7802" i="34"/>
  <c r="G7803" i="34"/>
  <c r="G7804" i="34"/>
  <c r="G7805" i="34"/>
  <c r="G7806" i="34"/>
  <c r="G7807" i="34"/>
  <c r="G7808" i="34"/>
  <c r="G7809" i="34"/>
  <c r="G7810" i="34"/>
  <c r="G7811" i="34"/>
  <c r="G7812" i="34"/>
  <c r="G7813" i="34"/>
  <c r="G7814" i="34"/>
  <c r="G7815" i="34"/>
  <c r="G7816" i="34"/>
  <c r="G7817" i="34"/>
  <c r="G7818" i="34"/>
  <c r="G7819" i="34"/>
  <c r="G7820" i="34"/>
  <c r="G7821" i="34"/>
  <c r="G7822" i="34"/>
  <c r="G7823" i="34"/>
  <c r="G7824" i="34"/>
  <c r="G7825" i="34"/>
  <c r="G7826" i="34"/>
  <c r="G7827" i="34"/>
  <c r="G7828" i="34"/>
  <c r="G7829" i="34"/>
  <c r="G7830" i="34"/>
  <c r="G7831" i="34"/>
  <c r="G7832" i="34"/>
  <c r="G7833" i="34"/>
  <c r="G7834" i="34"/>
  <c r="G7835" i="34"/>
  <c r="G7836" i="34"/>
  <c r="G7837" i="34"/>
  <c r="G7838" i="34"/>
  <c r="G7839" i="34"/>
  <c r="G7840" i="34"/>
  <c r="G7841" i="34"/>
  <c r="G7842" i="34"/>
  <c r="G7843" i="34"/>
  <c r="G7844" i="34"/>
  <c r="G7845" i="34"/>
  <c r="G7846" i="34"/>
  <c r="G7847" i="34"/>
  <c r="G7848" i="34"/>
  <c r="G7849" i="34"/>
  <c r="G7850" i="34"/>
  <c r="G7851" i="34"/>
  <c r="G7852" i="34"/>
  <c r="G7853" i="34"/>
  <c r="G7854" i="34"/>
  <c r="G7855" i="34"/>
  <c r="G7856" i="34"/>
  <c r="G7857" i="34"/>
  <c r="G7858" i="34"/>
  <c r="G7859" i="34"/>
  <c r="G7860" i="34"/>
  <c r="G7861" i="34"/>
  <c r="G7862" i="34"/>
  <c r="G7863" i="34"/>
  <c r="G7864" i="34"/>
  <c r="G7865" i="34"/>
  <c r="G7866" i="34"/>
  <c r="G7867" i="34"/>
  <c r="G7868" i="34"/>
  <c r="G7869" i="34"/>
  <c r="G7870" i="34"/>
  <c r="G7871" i="34"/>
  <c r="G7872" i="34"/>
  <c r="G7873" i="34"/>
  <c r="G7874" i="34"/>
  <c r="G7875" i="34"/>
  <c r="G7876" i="34"/>
  <c r="G7877" i="34"/>
  <c r="G7878" i="34"/>
  <c r="G7879" i="34"/>
  <c r="G7880" i="34"/>
  <c r="G7881" i="34"/>
  <c r="G7882" i="34"/>
  <c r="G7883" i="34"/>
  <c r="G7884" i="34"/>
  <c r="G7885" i="34"/>
  <c r="G7886" i="34"/>
  <c r="G7887" i="34"/>
  <c r="G7888" i="34"/>
  <c r="G7889" i="34"/>
  <c r="G7890" i="34"/>
  <c r="G7891" i="34"/>
  <c r="G7892" i="34"/>
  <c r="G7893" i="34"/>
  <c r="G7894" i="34"/>
  <c r="G7895" i="34"/>
  <c r="G7896" i="34"/>
  <c r="G7897" i="34"/>
  <c r="G7898" i="34"/>
  <c r="G7899" i="34"/>
  <c r="G7900" i="34"/>
  <c r="G7901" i="34"/>
  <c r="G7902" i="34"/>
  <c r="G7903" i="34"/>
  <c r="G7904" i="34"/>
  <c r="G7905" i="34"/>
  <c r="G7906" i="34"/>
  <c r="G7907" i="34"/>
  <c r="G7908" i="34"/>
  <c r="G7909" i="34"/>
  <c r="G7910" i="34"/>
  <c r="G7911" i="34"/>
  <c r="G7912" i="34"/>
  <c r="G7913" i="34"/>
  <c r="G7914" i="34"/>
  <c r="G7915" i="34"/>
  <c r="G7916" i="34"/>
  <c r="G7917" i="34"/>
  <c r="G7918" i="34"/>
  <c r="G7919" i="34"/>
  <c r="G7920" i="34"/>
  <c r="G7921" i="34"/>
  <c r="G7922" i="34"/>
  <c r="G7923" i="34"/>
  <c r="G7924" i="34"/>
  <c r="G7925" i="34"/>
  <c r="G7926" i="34"/>
  <c r="G7927" i="34"/>
  <c r="G7928" i="34"/>
  <c r="G7929" i="34"/>
  <c r="G7930" i="34"/>
  <c r="G7931" i="34"/>
  <c r="G7932" i="34"/>
  <c r="G7933" i="34"/>
  <c r="G7934" i="34"/>
  <c r="G7935" i="34"/>
  <c r="G7936" i="34"/>
  <c r="G7937" i="34"/>
  <c r="G7938" i="34"/>
  <c r="G7939" i="34"/>
  <c r="G7940" i="34"/>
  <c r="G7941" i="34"/>
  <c r="G7942" i="34"/>
  <c r="G7943" i="34"/>
  <c r="G7944" i="34"/>
  <c r="G7945" i="34"/>
  <c r="G7946" i="34"/>
  <c r="G7947" i="34"/>
  <c r="G7948" i="34"/>
  <c r="G7949" i="34"/>
  <c r="G7950" i="34"/>
  <c r="G7951" i="34"/>
  <c r="G7952" i="34"/>
  <c r="G7953" i="34"/>
  <c r="G7954" i="34"/>
  <c r="G7955" i="34"/>
  <c r="G7956" i="34"/>
  <c r="G7957" i="34"/>
  <c r="G7958" i="34"/>
  <c r="G7959" i="34"/>
  <c r="G7960" i="34"/>
  <c r="G7961" i="34"/>
  <c r="G7962" i="34"/>
  <c r="G7963" i="34"/>
  <c r="G7964" i="34"/>
  <c r="G7965" i="34"/>
  <c r="G7966" i="34"/>
  <c r="G7967" i="34"/>
  <c r="G7968" i="34"/>
  <c r="G7969" i="34"/>
  <c r="G7970" i="34"/>
  <c r="G7971" i="34"/>
  <c r="G7972" i="34"/>
  <c r="G7973" i="34"/>
  <c r="G7974" i="34"/>
  <c r="G7975" i="34"/>
  <c r="G7976" i="34"/>
  <c r="G7977" i="34"/>
  <c r="G7978" i="34"/>
  <c r="G7979" i="34"/>
  <c r="G7980" i="34"/>
  <c r="G7981" i="34"/>
  <c r="G7982" i="34"/>
  <c r="G7983" i="34"/>
  <c r="G7984" i="34"/>
  <c r="G7985" i="34"/>
  <c r="G7986" i="34"/>
  <c r="G7987" i="34"/>
  <c r="G7988" i="34"/>
  <c r="G7989" i="34"/>
  <c r="G7990" i="34"/>
  <c r="G7991" i="34"/>
  <c r="G7992" i="34"/>
  <c r="G7993" i="34"/>
  <c r="G7994" i="34"/>
  <c r="G7995" i="34"/>
  <c r="G7996" i="34"/>
  <c r="G7997" i="34"/>
  <c r="G7998" i="34"/>
  <c r="G7999" i="34"/>
  <c r="G8000" i="34"/>
  <c r="G8001" i="34"/>
  <c r="G8002" i="34"/>
  <c r="G8003" i="34"/>
  <c r="G8004" i="34"/>
  <c r="G8005" i="34"/>
  <c r="G8006" i="34"/>
  <c r="G8007" i="34"/>
  <c r="G8008" i="34"/>
  <c r="G8009" i="34"/>
  <c r="G8010" i="34"/>
  <c r="G8011" i="34"/>
  <c r="G8012" i="34"/>
  <c r="G8013" i="34"/>
  <c r="G8014" i="34"/>
  <c r="G8015" i="34"/>
  <c r="G8016" i="34"/>
  <c r="G8017" i="34"/>
  <c r="G8018" i="34"/>
  <c r="G8019" i="34"/>
  <c r="G8020" i="34"/>
  <c r="G8021" i="34"/>
  <c r="G8022" i="34"/>
  <c r="G8023" i="34"/>
  <c r="G8024" i="34"/>
  <c r="G8025" i="34"/>
  <c r="G8026" i="34"/>
  <c r="G8027" i="34"/>
  <c r="G8028" i="34"/>
  <c r="G8029" i="34"/>
  <c r="G8030" i="34"/>
  <c r="G8031" i="34"/>
  <c r="G8032" i="34"/>
  <c r="G8033" i="34"/>
  <c r="G8034" i="34"/>
  <c r="G8035" i="34"/>
  <c r="G8036" i="34"/>
  <c r="G8037" i="34"/>
  <c r="G8038" i="34"/>
  <c r="G8039" i="34"/>
  <c r="G8040" i="34"/>
  <c r="G8041" i="34"/>
  <c r="G8042" i="34"/>
  <c r="G8043" i="34"/>
  <c r="G8044" i="34"/>
  <c r="G8045" i="34"/>
  <c r="G8046" i="34"/>
  <c r="G8047" i="34"/>
  <c r="G8048" i="34"/>
  <c r="G8049" i="34"/>
  <c r="G8050" i="34"/>
  <c r="G8051" i="34"/>
  <c r="G8052" i="34"/>
  <c r="G8053" i="34"/>
  <c r="G8054" i="34"/>
  <c r="G8055" i="34"/>
  <c r="G8056" i="34"/>
  <c r="G8057" i="34"/>
  <c r="G8058" i="34"/>
  <c r="G8059" i="34"/>
  <c r="G8060" i="34"/>
  <c r="G8061" i="34"/>
  <c r="G8062" i="34"/>
  <c r="G8063" i="34"/>
  <c r="G8064" i="34"/>
  <c r="G8065" i="34"/>
  <c r="G8066" i="34"/>
  <c r="G8067" i="34"/>
  <c r="G8068" i="34"/>
  <c r="G8069" i="34"/>
  <c r="G8070" i="34"/>
  <c r="G8071" i="34"/>
  <c r="G8072" i="34"/>
  <c r="G8073" i="34"/>
  <c r="G8074" i="34"/>
  <c r="G8075" i="34"/>
  <c r="G8076" i="34"/>
  <c r="G8077" i="34"/>
  <c r="G8078" i="34"/>
  <c r="G8079" i="34"/>
  <c r="G8080" i="34"/>
  <c r="G8081" i="34"/>
  <c r="G8082" i="34"/>
  <c r="G8083" i="34"/>
  <c r="G8084" i="34"/>
  <c r="G8085" i="34"/>
  <c r="G8086" i="34"/>
  <c r="G8087" i="34"/>
  <c r="G8088" i="34"/>
  <c r="G8089" i="34"/>
  <c r="G8090" i="34"/>
  <c r="G8091" i="34"/>
  <c r="G8092" i="34"/>
  <c r="G8093" i="34"/>
  <c r="G8094" i="34"/>
  <c r="G8095" i="34"/>
  <c r="G8096" i="34"/>
  <c r="G8097" i="34"/>
  <c r="G8098" i="34"/>
  <c r="G8099" i="34"/>
  <c r="G8100" i="34"/>
  <c r="G8101" i="34"/>
  <c r="G8102" i="34"/>
  <c r="G8103" i="34"/>
  <c r="G8104" i="34"/>
  <c r="G8105" i="34"/>
  <c r="G8106" i="34"/>
  <c r="G8107" i="34"/>
  <c r="G8108" i="34"/>
  <c r="G8109" i="34"/>
  <c r="G8110" i="34"/>
  <c r="G8111" i="34"/>
  <c r="G8112" i="34"/>
  <c r="G8113" i="34"/>
  <c r="G8114" i="34"/>
  <c r="G8115" i="34"/>
  <c r="G8116" i="34"/>
  <c r="G8117" i="34"/>
  <c r="G8118" i="34"/>
  <c r="G8119" i="34"/>
  <c r="G8120" i="34"/>
  <c r="G8121" i="34"/>
  <c r="G8122" i="34"/>
  <c r="G8123" i="34"/>
  <c r="G8124" i="34"/>
  <c r="G8125" i="34"/>
  <c r="G8126" i="34"/>
  <c r="G8127" i="34"/>
  <c r="G8128" i="34"/>
  <c r="G8129" i="34"/>
  <c r="G8130" i="34"/>
  <c r="G8131" i="34"/>
  <c r="G8132" i="34"/>
  <c r="G8133" i="34"/>
  <c r="G8134" i="34"/>
  <c r="G8135" i="34"/>
  <c r="G8136" i="34"/>
  <c r="G8137" i="34"/>
  <c r="G8138" i="34"/>
  <c r="G8139" i="34"/>
  <c r="G8140" i="34"/>
  <c r="G8141" i="34"/>
  <c r="G8142" i="34"/>
  <c r="G8143" i="34"/>
  <c r="G8144" i="34"/>
  <c r="G8145" i="34"/>
  <c r="G8146" i="34"/>
  <c r="G8147" i="34"/>
  <c r="G8148" i="34"/>
  <c r="G8149" i="34"/>
  <c r="G8150" i="34"/>
  <c r="G8151" i="34"/>
  <c r="G8152" i="34"/>
  <c r="G8153" i="34"/>
  <c r="G8154" i="34"/>
  <c r="G8155" i="34"/>
  <c r="G8156" i="34"/>
  <c r="G8157" i="34"/>
  <c r="G8158" i="34"/>
  <c r="G8159" i="34"/>
  <c r="G8160" i="34"/>
  <c r="G8161" i="34"/>
  <c r="G8162" i="34"/>
  <c r="G8163" i="34"/>
  <c r="G8164" i="34"/>
  <c r="G8165" i="34"/>
  <c r="G8166" i="34"/>
  <c r="G8167" i="34"/>
  <c r="G8168" i="34"/>
  <c r="G8169" i="34"/>
  <c r="G8170" i="34"/>
  <c r="G8171" i="34"/>
  <c r="G8172" i="34"/>
  <c r="G8173" i="34"/>
  <c r="G8174" i="34"/>
  <c r="G8175" i="34"/>
  <c r="G8176" i="34"/>
  <c r="G8177" i="34"/>
  <c r="G8178" i="34"/>
  <c r="G8179" i="34"/>
  <c r="G8180" i="34"/>
  <c r="G8181" i="34"/>
  <c r="G8182" i="34"/>
  <c r="G8183" i="34"/>
  <c r="G8184" i="34"/>
  <c r="G8185" i="34"/>
  <c r="G8186" i="34"/>
  <c r="G8187" i="34"/>
  <c r="G8188" i="34"/>
  <c r="G8189" i="34"/>
  <c r="G8190" i="34"/>
  <c r="G8191" i="34"/>
  <c r="G8192" i="34"/>
  <c r="G8193" i="34"/>
  <c r="G8194" i="34"/>
  <c r="G8195" i="34"/>
  <c r="G8196" i="34"/>
  <c r="G8197" i="34"/>
  <c r="G8198" i="34"/>
  <c r="G8199" i="34"/>
  <c r="G8200" i="34"/>
  <c r="G8201" i="34"/>
  <c r="G8202" i="34"/>
  <c r="G8203" i="34"/>
  <c r="G8204" i="34"/>
  <c r="G8205" i="34"/>
  <c r="G8206" i="34"/>
  <c r="G8207" i="34"/>
  <c r="G8208" i="34"/>
  <c r="G8209" i="34"/>
  <c r="G8210" i="34"/>
  <c r="G8211" i="34"/>
  <c r="G8212" i="34"/>
  <c r="G8213" i="34"/>
  <c r="G8214" i="34"/>
  <c r="G8215" i="34"/>
  <c r="G8216" i="34"/>
  <c r="G8217" i="34"/>
  <c r="G8218" i="34"/>
  <c r="G8219" i="34"/>
  <c r="G8220" i="34"/>
  <c r="G8221" i="34"/>
  <c r="G8222" i="34"/>
  <c r="G8223" i="34"/>
  <c r="G8224" i="34"/>
  <c r="G8225" i="34"/>
  <c r="G8226" i="34"/>
  <c r="G8227" i="34"/>
  <c r="G8228" i="34"/>
  <c r="G8229" i="34"/>
  <c r="G8230" i="34"/>
  <c r="G8231" i="34"/>
  <c r="G8232" i="34"/>
  <c r="G8233" i="34"/>
  <c r="G8234" i="34"/>
  <c r="G8235" i="34"/>
  <c r="G8236" i="34"/>
  <c r="G8237" i="34"/>
  <c r="G8238" i="34"/>
  <c r="G8239" i="34"/>
  <c r="G8240" i="34"/>
  <c r="G8241" i="34"/>
  <c r="G8242" i="34"/>
  <c r="G8243" i="34"/>
  <c r="G8244" i="34"/>
  <c r="G8245" i="34"/>
  <c r="G8246" i="34"/>
  <c r="G8247" i="34"/>
  <c r="G8248" i="34"/>
  <c r="G8249" i="34"/>
  <c r="G8250" i="34"/>
  <c r="G8251" i="34"/>
  <c r="G8252" i="34"/>
  <c r="G8253" i="34"/>
  <c r="G8254" i="34"/>
  <c r="G8255" i="34"/>
  <c r="G8256" i="34"/>
  <c r="G8257" i="34"/>
  <c r="G8258" i="34"/>
  <c r="G8259" i="34"/>
  <c r="G8260" i="34"/>
  <c r="G8261" i="34"/>
  <c r="G8262" i="34"/>
  <c r="G8263" i="34"/>
  <c r="G8264" i="34"/>
  <c r="G8265" i="34"/>
  <c r="G8266" i="34"/>
  <c r="G8267" i="34"/>
  <c r="G8268" i="34"/>
  <c r="G8269" i="34"/>
  <c r="G8270" i="34"/>
  <c r="G8271" i="34"/>
  <c r="G8272" i="34"/>
  <c r="G8273" i="34"/>
  <c r="G8274" i="34"/>
  <c r="G8275" i="34"/>
  <c r="G8276" i="34"/>
  <c r="G8277" i="34"/>
  <c r="G8278" i="34"/>
  <c r="G8279" i="34"/>
  <c r="G8280" i="34"/>
  <c r="G8281" i="34"/>
  <c r="G8282" i="34"/>
  <c r="G8283" i="34"/>
  <c r="G8284" i="34"/>
  <c r="G8285" i="34"/>
  <c r="G8286" i="34"/>
  <c r="G8287" i="34"/>
  <c r="G8288" i="34"/>
  <c r="G8289" i="34"/>
  <c r="G8290" i="34"/>
  <c r="G8291" i="34"/>
  <c r="G8292" i="34"/>
  <c r="G8293" i="34"/>
  <c r="G8294" i="34"/>
  <c r="G8295" i="34"/>
  <c r="G8296" i="34"/>
  <c r="G8297" i="34"/>
  <c r="G8298" i="34"/>
  <c r="G8299" i="34"/>
  <c r="G8300" i="34"/>
  <c r="G8301" i="34"/>
  <c r="G8302" i="34"/>
  <c r="G8303" i="34"/>
  <c r="G8304" i="34"/>
  <c r="G8305" i="34"/>
  <c r="G8306" i="34"/>
  <c r="G8307" i="34"/>
  <c r="G8308" i="34"/>
  <c r="G8309" i="34"/>
  <c r="G8310" i="34"/>
  <c r="G8311" i="34"/>
  <c r="G8312" i="34"/>
  <c r="G8313" i="34"/>
  <c r="G8314" i="34"/>
  <c r="G8315" i="34"/>
  <c r="G8316" i="34"/>
  <c r="G8317" i="34"/>
  <c r="G8318" i="34"/>
  <c r="G8319" i="34"/>
  <c r="G8320" i="34"/>
  <c r="G8321" i="34"/>
  <c r="G8322" i="34"/>
  <c r="G8323" i="34"/>
  <c r="G8324" i="34"/>
  <c r="G8325" i="34"/>
  <c r="G8326" i="34"/>
  <c r="G8327" i="34"/>
  <c r="G8328" i="34"/>
  <c r="G8329" i="34"/>
  <c r="G8330" i="34"/>
  <c r="G8331" i="34"/>
  <c r="G8332" i="34"/>
  <c r="G8333" i="34"/>
  <c r="G8334" i="34"/>
  <c r="G8335" i="34"/>
  <c r="G8336" i="34"/>
  <c r="G8337" i="34"/>
  <c r="G8338" i="34"/>
  <c r="G8339" i="34"/>
  <c r="G8340" i="34"/>
  <c r="G8341" i="34"/>
  <c r="G8342" i="34"/>
  <c r="G8343" i="34"/>
  <c r="G8344" i="34"/>
  <c r="G8345" i="34"/>
  <c r="G8346" i="34"/>
  <c r="G8347" i="34"/>
  <c r="G8348" i="34"/>
  <c r="G8349" i="34"/>
  <c r="G8350" i="34"/>
  <c r="G8351" i="34"/>
  <c r="G8352" i="34"/>
  <c r="G8353" i="34"/>
  <c r="G8354" i="34"/>
  <c r="G8355" i="34"/>
  <c r="G8356" i="34"/>
  <c r="G8357" i="34"/>
  <c r="G8358" i="34"/>
  <c r="G8359" i="34"/>
  <c r="G8360" i="34"/>
  <c r="G8361" i="34"/>
  <c r="G8362" i="34"/>
  <c r="G8363" i="34"/>
  <c r="G8364" i="34"/>
  <c r="G8365" i="34"/>
  <c r="G8366" i="34"/>
  <c r="G8367" i="34"/>
  <c r="G8368" i="34"/>
  <c r="G8369" i="34"/>
  <c r="G8370" i="34"/>
  <c r="G8371" i="34"/>
  <c r="G8372" i="34"/>
  <c r="G8373" i="34"/>
  <c r="G8374" i="34"/>
  <c r="G8375" i="34"/>
  <c r="G8376" i="34"/>
  <c r="G8377" i="34"/>
  <c r="G8378" i="34"/>
  <c r="G8379" i="34"/>
  <c r="G8380" i="34"/>
  <c r="G8381" i="34"/>
  <c r="G8382" i="34"/>
  <c r="G8383" i="34"/>
  <c r="G8384" i="34"/>
  <c r="G8385" i="34"/>
  <c r="G8386" i="34"/>
  <c r="G8387" i="34"/>
  <c r="G8388" i="34"/>
  <c r="G8389" i="34"/>
  <c r="G8390" i="34"/>
  <c r="G8391" i="34"/>
  <c r="G8392" i="34"/>
  <c r="G8393" i="34"/>
  <c r="G8394" i="34"/>
  <c r="G8395" i="34"/>
  <c r="G8396" i="34"/>
  <c r="G8397" i="34"/>
  <c r="G8398" i="34"/>
  <c r="G8399" i="34"/>
  <c r="G8400" i="34"/>
  <c r="G8401" i="34"/>
  <c r="G8402" i="34"/>
  <c r="G8403" i="34"/>
  <c r="G8404" i="34"/>
  <c r="G8405" i="34"/>
  <c r="G8406" i="34"/>
  <c r="G8407" i="34"/>
  <c r="G8408" i="34"/>
  <c r="G8409" i="34"/>
  <c r="G8410" i="34"/>
  <c r="G8411" i="34"/>
  <c r="G8412" i="34"/>
  <c r="G8413" i="34"/>
  <c r="G8414" i="34"/>
  <c r="G8415" i="34"/>
  <c r="G8416" i="34"/>
  <c r="G8417" i="34"/>
  <c r="G8418" i="34"/>
  <c r="G8419" i="34"/>
  <c r="G8420" i="34"/>
  <c r="G8421" i="34"/>
  <c r="G8422" i="34"/>
  <c r="G8423" i="34"/>
  <c r="G8424" i="34"/>
  <c r="G8425" i="34"/>
  <c r="G8426" i="34"/>
  <c r="G8427" i="34"/>
  <c r="G8428" i="34"/>
  <c r="G8429" i="34"/>
  <c r="G8430" i="34"/>
  <c r="G8431" i="34"/>
  <c r="G8432" i="34"/>
  <c r="G8433" i="34"/>
  <c r="G8434" i="34"/>
  <c r="G8435" i="34"/>
  <c r="G8436" i="34"/>
  <c r="G8437" i="34"/>
  <c r="G8438" i="34"/>
  <c r="G8439" i="34"/>
  <c r="G8440" i="34"/>
  <c r="G8441" i="34"/>
  <c r="G8442" i="34"/>
  <c r="G8443" i="34"/>
  <c r="G8444" i="34"/>
  <c r="G8445" i="34"/>
  <c r="G8446" i="34"/>
  <c r="G8447" i="34"/>
  <c r="G8448" i="34"/>
  <c r="G8449" i="34"/>
  <c r="G8450" i="34"/>
  <c r="G8451" i="34"/>
  <c r="G8452" i="34"/>
  <c r="G8453" i="34"/>
  <c r="G8454" i="34"/>
  <c r="G8455" i="34"/>
  <c r="G8456" i="34"/>
  <c r="G8457" i="34"/>
  <c r="G8458" i="34"/>
  <c r="G8459" i="34"/>
  <c r="G8460" i="34"/>
  <c r="G8461" i="34"/>
  <c r="G8462" i="34"/>
  <c r="G8463" i="34"/>
  <c r="G8464" i="34"/>
  <c r="G8465" i="34"/>
  <c r="G8466" i="34"/>
  <c r="G8467" i="34"/>
  <c r="G8468" i="34"/>
  <c r="G8469" i="34"/>
  <c r="G8470" i="34"/>
  <c r="G8471" i="34"/>
  <c r="G8472" i="34"/>
  <c r="G8473" i="34"/>
  <c r="G8474" i="34"/>
  <c r="G8475" i="34"/>
  <c r="G8476" i="34"/>
  <c r="G8477" i="34"/>
  <c r="G8478" i="34"/>
  <c r="G8479" i="34"/>
  <c r="G8480" i="34"/>
  <c r="G8481" i="34"/>
  <c r="G8482" i="34"/>
  <c r="G8483" i="34"/>
  <c r="G8484" i="34"/>
  <c r="G8485" i="34"/>
  <c r="G8486" i="34"/>
  <c r="G8487" i="34"/>
  <c r="G8488" i="34"/>
  <c r="G8489" i="34"/>
  <c r="G8490" i="34"/>
  <c r="G8491" i="34"/>
  <c r="G8492" i="34"/>
  <c r="G8493" i="34"/>
  <c r="G8494" i="34"/>
  <c r="G8495" i="34"/>
  <c r="G8496" i="34"/>
  <c r="G8497" i="34"/>
  <c r="G8498" i="34"/>
  <c r="G8499" i="34"/>
  <c r="G8500" i="34"/>
  <c r="G8501" i="34"/>
  <c r="G8502" i="34"/>
  <c r="G8503" i="34"/>
  <c r="G8504" i="34"/>
  <c r="G8505" i="34"/>
  <c r="G8506" i="34"/>
  <c r="G8507" i="34"/>
  <c r="G8508" i="34"/>
  <c r="G8509" i="34"/>
  <c r="G8510" i="34"/>
  <c r="G8511" i="34"/>
  <c r="G8512" i="34"/>
  <c r="G8513" i="34"/>
  <c r="G8514" i="34"/>
  <c r="G8515" i="34"/>
  <c r="G8516" i="34"/>
  <c r="G8517" i="34"/>
  <c r="G8518" i="34"/>
  <c r="G8519" i="34"/>
  <c r="G8520" i="34"/>
  <c r="G8521" i="34"/>
  <c r="G8522" i="34"/>
  <c r="G8523" i="34"/>
  <c r="G8524" i="34"/>
  <c r="G8525" i="34"/>
  <c r="G8526" i="34"/>
  <c r="G8527" i="34"/>
  <c r="G8528" i="34"/>
  <c r="G8529" i="34"/>
  <c r="G8530" i="34"/>
  <c r="G8531" i="34"/>
  <c r="G8532" i="34"/>
  <c r="G8533" i="34"/>
  <c r="G8534" i="34"/>
  <c r="G8535" i="34"/>
  <c r="G8536" i="34"/>
  <c r="G8537" i="34"/>
  <c r="G8538" i="34"/>
  <c r="G8539" i="34"/>
  <c r="G8540" i="34"/>
  <c r="G8541" i="34"/>
  <c r="G8542" i="34"/>
  <c r="G8543" i="34"/>
  <c r="G8544" i="34"/>
  <c r="G8545" i="34"/>
  <c r="G8546" i="34"/>
  <c r="G8547" i="34"/>
  <c r="G8548" i="34"/>
  <c r="G8549" i="34"/>
  <c r="G8550" i="34"/>
  <c r="G8551" i="34"/>
  <c r="G8552" i="34"/>
  <c r="G8553" i="34"/>
  <c r="G8554" i="34"/>
  <c r="G8555" i="34"/>
  <c r="G8556" i="34"/>
  <c r="G8557" i="34"/>
  <c r="G8558" i="34"/>
  <c r="G8559" i="34"/>
  <c r="G8560" i="34"/>
  <c r="G8561" i="34"/>
  <c r="G8562" i="34"/>
  <c r="G8563" i="34"/>
  <c r="G8564" i="34"/>
  <c r="G8565" i="34"/>
  <c r="G8566" i="34"/>
  <c r="G8567" i="34"/>
  <c r="G8568" i="34"/>
  <c r="G8569" i="34"/>
  <c r="G8570" i="34"/>
  <c r="G8571" i="34"/>
  <c r="G8572" i="34"/>
  <c r="G8573" i="34"/>
  <c r="G8574" i="34"/>
  <c r="G8575" i="34"/>
  <c r="G8576" i="34"/>
  <c r="G8577" i="34"/>
  <c r="G8578" i="34"/>
  <c r="G8579" i="34"/>
  <c r="G8580" i="34"/>
  <c r="G8581" i="34"/>
  <c r="G8582" i="34"/>
  <c r="G8583" i="34"/>
  <c r="G8584" i="34"/>
  <c r="G8585" i="34"/>
  <c r="G8586" i="34"/>
  <c r="G8587" i="34"/>
  <c r="G8588" i="34"/>
  <c r="G8589" i="34"/>
  <c r="G8590" i="34"/>
  <c r="G8591" i="34"/>
  <c r="G8592" i="34"/>
  <c r="G8593" i="34"/>
  <c r="G8594" i="34"/>
  <c r="G8595" i="34"/>
  <c r="G8596" i="34"/>
  <c r="G8597" i="34"/>
  <c r="G8598" i="34"/>
  <c r="G8599" i="34"/>
  <c r="G8600" i="34"/>
  <c r="G8601" i="34"/>
  <c r="G8602" i="34"/>
  <c r="G8603" i="34"/>
  <c r="G8604" i="34"/>
  <c r="G8605" i="34"/>
  <c r="G8606" i="34"/>
  <c r="G8607" i="34"/>
  <c r="G8608" i="34"/>
  <c r="G8609" i="34"/>
  <c r="G8610" i="34"/>
  <c r="G8611" i="34"/>
  <c r="G8612" i="34"/>
  <c r="G8613" i="34"/>
  <c r="G8614" i="34"/>
  <c r="G8615" i="34"/>
  <c r="G8616" i="34"/>
  <c r="G8617" i="34"/>
  <c r="G8618" i="34"/>
  <c r="G8619" i="34"/>
  <c r="G8620" i="34"/>
  <c r="G8621" i="34"/>
  <c r="G8622" i="34"/>
  <c r="G8623" i="34"/>
  <c r="G8624" i="34"/>
  <c r="G8625" i="34"/>
  <c r="G8626" i="34"/>
  <c r="G8627" i="34"/>
  <c r="G8628" i="34"/>
  <c r="G8629" i="34"/>
  <c r="G8630" i="34"/>
  <c r="G8631" i="34"/>
  <c r="G8632" i="34"/>
  <c r="G8633" i="34"/>
  <c r="G8634" i="34"/>
  <c r="G8635" i="34"/>
  <c r="G8636" i="34"/>
  <c r="G8637" i="34"/>
  <c r="G8638" i="34"/>
  <c r="G8639" i="34"/>
  <c r="G8640" i="34"/>
  <c r="G8641" i="34"/>
  <c r="G8642" i="34"/>
  <c r="G8643" i="34"/>
  <c r="G8644" i="34"/>
  <c r="G8645" i="34"/>
  <c r="G8646" i="34"/>
  <c r="G8647" i="34"/>
  <c r="G8648" i="34"/>
  <c r="G8649" i="34"/>
  <c r="G8650" i="34"/>
  <c r="G8651" i="34"/>
  <c r="G8652" i="34"/>
  <c r="G8653" i="34"/>
  <c r="G8654" i="34"/>
  <c r="G8655" i="34"/>
  <c r="G8656" i="34"/>
  <c r="G8657" i="34"/>
  <c r="G8658" i="34"/>
  <c r="G8659" i="34"/>
  <c r="G8660" i="34"/>
  <c r="G8661" i="34"/>
  <c r="G8662" i="34"/>
  <c r="G8663" i="34"/>
  <c r="G8664" i="34"/>
  <c r="G8665" i="34"/>
  <c r="G8666" i="34"/>
  <c r="G8667" i="34"/>
  <c r="G8668" i="34"/>
  <c r="G8669" i="34"/>
  <c r="G8670" i="34"/>
  <c r="G8671" i="34"/>
  <c r="G8672" i="34"/>
  <c r="G8673" i="34"/>
  <c r="G8674" i="34"/>
  <c r="G8675" i="34"/>
  <c r="G8676" i="34"/>
  <c r="G8677" i="34"/>
  <c r="G8678" i="34"/>
  <c r="G8679" i="34"/>
  <c r="G8680" i="34"/>
  <c r="G8681" i="34"/>
  <c r="G8682" i="34"/>
  <c r="G8683" i="34"/>
  <c r="G8684" i="34"/>
  <c r="G8685" i="34"/>
  <c r="G8686" i="34"/>
  <c r="G8687" i="34"/>
  <c r="G8688" i="34"/>
  <c r="G8689" i="34"/>
  <c r="G8690" i="34"/>
  <c r="G8691" i="34"/>
  <c r="G8692" i="34"/>
  <c r="G8693" i="34"/>
  <c r="G8694" i="34"/>
  <c r="G8695" i="34"/>
  <c r="G8696" i="34"/>
  <c r="G8697" i="34"/>
  <c r="G8698" i="34"/>
  <c r="G8699" i="34"/>
  <c r="G8700" i="34"/>
  <c r="G8701" i="34"/>
  <c r="G8702" i="34"/>
  <c r="G8703" i="34"/>
  <c r="G8704" i="34"/>
  <c r="G8705" i="34"/>
  <c r="G8706" i="34"/>
  <c r="G8707" i="34"/>
  <c r="G8708" i="34"/>
  <c r="G8709" i="34"/>
  <c r="G8710" i="34"/>
  <c r="G8711" i="34"/>
  <c r="G8712" i="34"/>
  <c r="G8713" i="34"/>
  <c r="G8714" i="34"/>
  <c r="G8715" i="34"/>
  <c r="G8716" i="34"/>
  <c r="G8717" i="34"/>
  <c r="G8718" i="34"/>
  <c r="G8719" i="34"/>
  <c r="G8720" i="34"/>
  <c r="G8721" i="34"/>
  <c r="G8722" i="34"/>
  <c r="G8723" i="34"/>
  <c r="G8724" i="34"/>
  <c r="G8725" i="34"/>
  <c r="G8726" i="34"/>
  <c r="G8727" i="34"/>
  <c r="G8728" i="34"/>
  <c r="G8729" i="34"/>
  <c r="G8730" i="34"/>
  <c r="G8731" i="34"/>
  <c r="G8732" i="34"/>
  <c r="G8733" i="34"/>
  <c r="G8734" i="34"/>
  <c r="G8735" i="34"/>
  <c r="G8736" i="34"/>
  <c r="G8737" i="34"/>
  <c r="G8738" i="34"/>
  <c r="G8739" i="34"/>
  <c r="G8740" i="34"/>
  <c r="G8741" i="34"/>
  <c r="G8742" i="34"/>
  <c r="G8743" i="34"/>
  <c r="G8744" i="34"/>
  <c r="G8745" i="34"/>
  <c r="G8746" i="34"/>
  <c r="G8747" i="34"/>
  <c r="G8748" i="34"/>
  <c r="G8749" i="34"/>
  <c r="G8750" i="34"/>
  <c r="G8751" i="34"/>
  <c r="G8752" i="34"/>
  <c r="G8753" i="34"/>
  <c r="G8754" i="34"/>
  <c r="G8755" i="34"/>
  <c r="G8756" i="34"/>
  <c r="G8757" i="34"/>
  <c r="G8758" i="34"/>
  <c r="G8759" i="34"/>
  <c r="G8760" i="34"/>
  <c r="G8761" i="34"/>
  <c r="G8762" i="34"/>
  <c r="G8763" i="34"/>
  <c r="G8764" i="34"/>
  <c r="G8765" i="34"/>
  <c r="G8766" i="34"/>
  <c r="G8767" i="34"/>
  <c r="G8768" i="34"/>
  <c r="G8769" i="34"/>
  <c r="G8770" i="34"/>
  <c r="G8771" i="34"/>
  <c r="G8772" i="34"/>
  <c r="G8773" i="34"/>
  <c r="G8774" i="34"/>
  <c r="G8775" i="34"/>
  <c r="G8776" i="34"/>
  <c r="G8777" i="34"/>
  <c r="G8778" i="34"/>
  <c r="G8779" i="34"/>
  <c r="G8780" i="34"/>
  <c r="G8781" i="34"/>
  <c r="G8782" i="34"/>
  <c r="G8783" i="34"/>
  <c r="G8784" i="34"/>
  <c r="G8785" i="34"/>
  <c r="G8786" i="34"/>
  <c r="G8787" i="34"/>
  <c r="G8788" i="34"/>
  <c r="G8789" i="34"/>
  <c r="G8790" i="34"/>
  <c r="G8791" i="34"/>
  <c r="G8792" i="34"/>
  <c r="G8793" i="34"/>
  <c r="G8794" i="34"/>
  <c r="G8795" i="34"/>
  <c r="G8796" i="34"/>
  <c r="G8797" i="34"/>
  <c r="G8798" i="34"/>
  <c r="G8799" i="34"/>
  <c r="G8800" i="34"/>
  <c r="G8801" i="34"/>
  <c r="G8802" i="34"/>
  <c r="G8803" i="34"/>
  <c r="G8804" i="34"/>
  <c r="G8805" i="34"/>
  <c r="G8806" i="34"/>
  <c r="G8807" i="34"/>
  <c r="G8808" i="34"/>
  <c r="G8809" i="34"/>
  <c r="G8810" i="34"/>
  <c r="G8811" i="34"/>
  <c r="G8812" i="34"/>
  <c r="G8813" i="34"/>
  <c r="G8814" i="34"/>
  <c r="G8815" i="34"/>
  <c r="G8816" i="34"/>
  <c r="G8817" i="34"/>
  <c r="G8818" i="34"/>
  <c r="G8819" i="34"/>
  <c r="G8820" i="34"/>
  <c r="G8821" i="34"/>
  <c r="G8822" i="34"/>
  <c r="G8823" i="34"/>
  <c r="G8824" i="34"/>
  <c r="G8825" i="34"/>
  <c r="G8826" i="34"/>
  <c r="G8827" i="34"/>
  <c r="G8828" i="34"/>
  <c r="G8829" i="34"/>
  <c r="G8830" i="34"/>
  <c r="G8831" i="34"/>
  <c r="G8832" i="34"/>
  <c r="G8833" i="34"/>
  <c r="G8834" i="34"/>
  <c r="G8835" i="34"/>
  <c r="G8836" i="34"/>
  <c r="G8837" i="34"/>
  <c r="G8838" i="34"/>
  <c r="G8839" i="34"/>
  <c r="G8840" i="34"/>
  <c r="G8841" i="34"/>
  <c r="G8842" i="34"/>
  <c r="G8843" i="34"/>
  <c r="G8844" i="34"/>
  <c r="G8845" i="34"/>
  <c r="G8846" i="34"/>
  <c r="G8847" i="34"/>
  <c r="G8848" i="34"/>
  <c r="G8849" i="34"/>
  <c r="G8850" i="34"/>
  <c r="G8851" i="34"/>
  <c r="G8852" i="34"/>
  <c r="G8853" i="34"/>
  <c r="G8854" i="34"/>
  <c r="G8855" i="34"/>
  <c r="G8856" i="34"/>
  <c r="G8857" i="34"/>
  <c r="G8858" i="34"/>
  <c r="G8859" i="34"/>
  <c r="G8860" i="34"/>
  <c r="G8861" i="34"/>
  <c r="G8862" i="34"/>
  <c r="G8863" i="34"/>
  <c r="G8864" i="34"/>
  <c r="G8865" i="34"/>
  <c r="G8866" i="34"/>
  <c r="G8867" i="34"/>
  <c r="G8868" i="34"/>
  <c r="G8869" i="34"/>
  <c r="G8870" i="34"/>
  <c r="G8871" i="34"/>
  <c r="G8872" i="34"/>
  <c r="G8873" i="34"/>
  <c r="G8874" i="34"/>
  <c r="G8875" i="34"/>
  <c r="G8876" i="34"/>
  <c r="G8877" i="34"/>
  <c r="G8878" i="34"/>
  <c r="G8879" i="34"/>
  <c r="G8880" i="34"/>
  <c r="G8881" i="34"/>
  <c r="G8882" i="34"/>
  <c r="G8883" i="34"/>
  <c r="G8884" i="34"/>
  <c r="G8885" i="34"/>
  <c r="G8886" i="34"/>
  <c r="G8887" i="34"/>
  <c r="G8888" i="34"/>
  <c r="G8889" i="34"/>
  <c r="G8890" i="34"/>
  <c r="G8891" i="34"/>
  <c r="G8892" i="34"/>
  <c r="G8893" i="34"/>
  <c r="G8894" i="34"/>
  <c r="G8895" i="34"/>
  <c r="G8896" i="34"/>
  <c r="G8897" i="34"/>
  <c r="G8898" i="34"/>
  <c r="G8899" i="34"/>
  <c r="G8900" i="34"/>
  <c r="G8901" i="34"/>
  <c r="G8902" i="34"/>
  <c r="G8903" i="34"/>
  <c r="G8904" i="34"/>
  <c r="G8905" i="34"/>
  <c r="G8906" i="34"/>
  <c r="G8907" i="34"/>
  <c r="G8908" i="34"/>
  <c r="G8909" i="34"/>
  <c r="G8910" i="34"/>
  <c r="G8911" i="34"/>
  <c r="G8912" i="34"/>
  <c r="G8913" i="34"/>
  <c r="G8914" i="34"/>
  <c r="G8915" i="34"/>
  <c r="G8916" i="34"/>
  <c r="G8917" i="34"/>
  <c r="G8918" i="34"/>
  <c r="G8919" i="34"/>
  <c r="G8920" i="34"/>
  <c r="G8921" i="34"/>
  <c r="G8922" i="34"/>
  <c r="G8923" i="34"/>
  <c r="G8924" i="34"/>
  <c r="G8925" i="34"/>
  <c r="G8926" i="34"/>
  <c r="G8927" i="34"/>
  <c r="G8928" i="34"/>
  <c r="G8929" i="34"/>
  <c r="G8930" i="34"/>
  <c r="G8931" i="34"/>
  <c r="G8932" i="34"/>
  <c r="G8933" i="34"/>
  <c r="G8934" i="34"/>
  <c r="G8935" i="34"/>
  <c r="G8936" i="34"/>
  <c r="G8937" i="34"/>
  <c r="G8938" i="34"/>
  <c r="G8939" i="34"/>
  <c r="G8940" i="34"/>
  <c r="G8941" i="34"/>
  <c r="G8942" i="34"/>
  <c r="G8943" i="34"/>
  <c r="G8944" i="34"/>
  <c r="G8945" i="34"/>
  <c r="G8946" i="34"/>
  <c r="G8947" i="34"/>
  <c r="G8948" i="34"/>
  <c r="G8949" i="34"/>
  <c r="G8950" i="34"/>
  <c r="G8951" i="34"/>
  <c r="G8952" i="34"/>
  <c r="G8953" i="34"/>
  <c r="G8954" i="34"/>
  <c r="G8955" i="34"/>
  <c r="G8956" i="34"/>
  <c r="G8957" i="34"/>
  <c r="G8958" i="34"/>
  <c r="G8959" i="34"/>
  <c r="G8960" i="34"/>
  <c r="G8961" i="34"/>
  <c r="G8962" i="34"/>
  <c r="G8963" i="34"/>
  <c r="G8964" i="34"/>
  <c r="G8965" i="34"/>
  <c r="G8966" i="34"/>
  <c r="G8967" i="34"/>
  <c r="G8968" i="34"/>
  <c r="G8969" i="34"/>
  <c r="G8970" i="34"/>
  <c r="G8971" i="34"/>
  <c r="G8972" i="34"/>
  <c r="G8973" i="34"/>
  <c r="G8974" i="34"/>
  <c r="G8975" i="34"/>
  <c r="G8976" i="34"/>
  <c r="G8977" i="34"/>
  <c r="G8978" i="34"/>
  <c r="G8979" i="34"/>
  <c r="G8980" i="34"/>
  <c r="G8981" i="34"/>
  <c r="G8982" i="34"/>
  <c r="G8983" i="34"/>
  <c r="G8984" i="34"/>
  <c r="G8985" i="34"/>
  <c r="G8986" i="34"/>
  <c r="G8987" i="34"/>
  <c r="G8988" i="34"/>
  <c r="G8989" i="34"/>
  <c r="G8990" i="34"/>
  <c r="G8991" i="34"/>
  <c r="G8992" i="34"/>
  <c r="G8993" i="34"/>
  <c r="G8994" i="34"/>
  <c r="G8995" i="34"/>
  <c r="G8996" i="34"/>
  <c r="G8997" i="34"/>
  <c r="G8998" i="34"/>
  <c r="G8999" i="34"/>
  <c r="G9000" i="34"/>
  <c r="G9001" i="34"/>
  <c r="G9002" i="34"/>
  <c r="G9003" i="34"/>
  <c r="G9004" i="34"/>
  <c r="G9005" i="34"/>
  <c r="G9006" i="34"/>
  <c r="G9007" i="34"/>
  <c r="G9008" i="34"/>
  <c r="G9009" i="34"/>
  <c r="G9010" i="34"/>
  <c r="G9011" i="34"/>
  <c r="G9012" i="34"/>
  <c r="G9013" i="34"/>
  <c r="G9014" i="34"/>
  <c r="G9015" i="34"/>
  <c r="G9016" i="34"/>
  <c r="G9017" i="34"/>
  <c r="G9018" i="34"/>
  <c r="G9019" i="34"/>
  <c r="G9020" i="34"/>
  <c r="G9021" i="34"/>
  <c r="G9022" i="34"/>
  <c r="G9023" i="34"/>
  <c r="G9024" i="34"/>
  <c r="G9025" i="34"/>
  <c r="G9026" i="34"/>
  <c r="G9027" i="34"/>
  <c r="G9028" i="34"/>
  <c r="G9029" i="34"/>
  <c r="G9030" i="34"/>
  <c r="G9031" i="34"/>
  <c r="G9032" i="34"/>
  <c r="G9033" i="34"/>
  <c r="G9034" i="34"/>
  <c r="G9035" i="34"/>
  <c r="G9036" i="34"/>
  <c r="G9037" i="34"/>
  <c r="G9038" i="34"/>
  <c r="G9039" i="34"/>
  <c r="G9040" i="34"/>
  <c r="G9041" i="34"/>
  <c r="G9042" i="34"/>
  <c r="G9043" i="34"/>
  <c r="G9044" i="34"/>
  <c r="G9045" i="34"/>
  <c r="G9046" i="34"/>
  <c r="G9047" i="34"/>
  <c r="G9048" i="34"/>
  <c r="G9049" i="34"/>
  <c r="G9050" i="34"/>
  <c r="G9051" i="34"/>
  <c r="G9052" i="34"/>
  <c r="G9053" i="34"/>
  <c r="G9054" i="34"/>
  <c r="G9055" i="34"/>
  <c r="G9056" i="34"/>
  <c r="G9057" i="34"/>
  <c r="G9058" i="34"/>
  <c r="G9059" i="34"/>
  <c r="G9060" i="34"/>
  <c r="G9061" i="34"/>
  <c r="G9062" i="34"/>
  <c r="G9063" i="34"/>
  <c r="G9064" i="34"/>
  <c r="G9065" i="34"/>
  <c r="G9066" i="34"/>
  <c r="G9067" i="34"/>
  <c r="G9068" i="34"/>
  <c r="G9069" i="34"/>
  <c r="G9070" i="34"/>
  <c r="G9071" i="34"/>
  <c r="G9072" i="34"/>
  <c r="G9073" i="34"/>
  <c r="G9074" i="34"/>
  <c r="G9075" i="34"/>
  <c r="G9076" i="34"/>
  <c r="G9077" i="34"/>
  <c r="G9078" i="34"/>
  <c r="G9079" i="34"/>
  <c r="G9080" i="34"/>
  <c r="G9081" i="34"/>
  <c r="G9082" i="34"/>
  <c r="G9083" i="34"/>
  <c r="G9084" i="34"/>
  <c r="G9085" i="34"/>
  <c r="G9086" i="34"/>
  <c r="G9087" i="34"/>
  <c r="G9088" i="34"/>
  <c r="G9089" i="34"/>
  <c r="G9090" i="34"/>
  <c r="G9091" i="34"/>
  <c r="G9092" i="34"/>
  <c r="G9093" i="34"/>
  <c r="G9094" i="34"/>
  <c r="G9095" i="34"/>
  <c r="G9096" i="34"/>
  <c r="G9097" i="34"/>
  <c r="G9098" i="34"/>
  <c r="G9099" i="34"/>
  <c r="G9100" i="34"/>
  <c r="G9101" i="34"/>
  <c r="G9102" i="34"/>
  <c r="G9103" i="34"/>
  <c r="G9104" i="34"/>
  <c r="G9105" i="34"/>
  <c r="G9106" i="34"/>
  <c r="G9107" i="34"/>
  <c r="G9108" i="34"/>
  <c r="G9109" i="34"/>
  <c r="G9110" i="34"/>
  <c r="G9111" i="34"/>
  <c r="G9112" i="34"/>
  <c r="G9113" i="34"/>
  <c r="G9114" i="34"/>
  <c r="G9115" i="34"/>
  <c r="G9116" i="34"/>
  <c r="G9117" i="34"/>
  <c r="G9118" i="34"/>
  <c r="G9119" i="34"/>
  <c r="G9120" i="34"/>
  <c r="G9121" i="34"/>
  <c r="G9122" i="34"/>
  <c r="G9123" i="34"/>
  <c r="G9124" i="34"/>
  <c r="G9125" i="34"/>
  <c r="G9126" i="34"/>
  <c r="G9127" i="34"/>
  <c r="G9128" i="34"/>
  <c r="G9129" i="34"/>
  <c r="G9130" i="34"/>
  <c r="G9131" i="34"/>
  <c r="G9132" i="34"/>
  <c r="G9133" i="34"/>
  <c r="G9134" i="34"/>
  <c r="G9135" i="34"/>
  <c r="G9136" i="34"/>
  <c r="G9137" i="34"/>
  <c r="G9138" i="34"/>
  <c r="G9139" i="34"/>
  <c r="G9140" i="34"/>
  <c r="G9141" i="34"/>
  <c r="G9142" i="34"/>
  <c r="G9143" i="34"/>
  <c r="G9144" i="34"/>
  <c r="G9145" i="34"/>
  <c r="G9146" i="34"/>
  <c r="G9147" i="34"/>
  <c r="G9148" i="34"/>
  <c r="G9149" i="34"/>
  <c r="G9150" i="34"/>
  <c r="G9151" i="34"/>
  <c r="G9152" i="34"/>
  <c r="G9153" i="34"/>
  <c r="G9154" i="34"/>
  <c r="G9155" i="34"/>
  <c r="G9156" i="34"/>
  <c r="G9157" i="34"/>
  <c r="G9158" i="34"/>
  <c r="G9159" i="34"/>
  <c r="G9160" i="34"/>
  <c r="G9161" i="34"/>
  <c r="G9162" i="34"/>
  <c r="G9163" i="34"/>
  <c r="G9164" i="34"/>
  <c r="G9165" i="34"/>
  <c r="G9166" i="34"/>
  <c r="G9167" i="34"/>
  <c r="G9168" i="34"/>
  <c r="G9169" i="34"/>
  <c r="G9170" i="34"/>
  <c r="G9171" i="34"/>
  <c r="G9172" i="34"/>
  <c r="G9173" i="34"/>
  <c r="G9174" i="34"/>
  <c r="G9175" i="34"/>
  <c r="G9176" i="34"/>
  <c r="G9177" i="34"/>
  <c r="G9178" i="34"/>
  <c r="G9179" i="34"/>
  <c r="G9180" i="34"/>
  <c r="G9181" i="34"/>
  <c r="G9182" i="34"/>
  <c r="G9183" i="34"/>
  <c r="G9184" i="34"/>
  <c r="G9185" i="34"/>
  <c r="G9186" i="34"/>
  <c r="G9187" i="34"/>
  <c r="G9188" i="34"/>
  <c r="G9189" i="34"/>
  <c r="G9190" i="34"/>
  <c r="G9191" i="34"/>
  <c r="G9192" i="34"/>
  <c r="G9193" i="34"/>
  <c r="G9194" i="34"/>
  <c r="G9195" i="34"/>
  <c r="G9196" i="34"/>
  <c r="G9197" i="34"/>
  <c r="G9198" i="34"/>
  <c r="G9199" i="34"/>
  <c r="G9200" i="34"/>
  <c r="G9201" i="34"/>
  <c r="G9202" i="34"/>
  <c r="G9203" i="34"/>
  <c r="G9204" i="34"/>
  <c r="G9205" i="34"/>
  <c r="G9206" i="34"/>
  <c r="G9207" i="34"/>
  <c r="G9208" i="34"/>
  <c r="G9209" i="34"/>
  <c r="G9210" i="34"/>
  <c r="G9211" i="34"/>
  <c r="G9212" i="34"/>
  <c r="G9213" i="34"/>
  <c r="G9214" i="34"/>
  <c r="G9215" i="34"/>
  <c r="G9216" i="34"/>
  <c r="G9217" i="34"/>
  <c r="G9218" i="34"/>
  <c r="G9219" i="34"/>
  <c r="G9220" i="34"/>
  <c r="G9221" i="34"/>
  <c r="G9222" i="34"/>
  <c r="G9223" i="34"/>
  <c r="G9224" i="34"/>
  <c r="G9225" i="34"/>
  <c r="G9226" i="34"/>
  <c r="G9227" i="34"/>
  <c r="G9228" i="34"/>
  <c r="G9229" i="34"/>
  <c r="G9230" i="34"/>
  <c r="G9231" i="34"/>
  <c r="G9232" i="34"/>
  <c r="G9233" i="34"/>
  <c r="G9234" i="34"/>
  <c r="G9235" i="34"/>
  <c r="G9236" i="34"/>
  <c r="G9237" i="34"/>
  <c r="G9238" i="34"/>
  <c r="G9239" i="34"/>
  <c r="G9240" i="34"/>
  <c r="G9241" i="34"/>
  <c r="G9242" i="34"/>
  <c r="G9243" i="34"/>
  <c r="G9244" i="34"/>
  <c r="G9245" i="34"/>
  <c r="G9246" i="34"/>
  <c r="G9247" i="34"/>
  <c r="G9248" i="34"/>
  <c r="G9249" i="34"/>
  <c r="G9250" i="34"/>
  <c r="G9251" i="34"/>
  <c r="G9252" i="34"/>
  <c r="G9253" i="34"/>
  <c r="G9254" i="34"/>
  <c r="G9255" i="34"/>
  <c r="G9256" i="34"/>
  <c r="G9257" i="34"/>
  <c r="G9258" i="34"/>
  <c r="G9259" i="34"/>
  <c r="G9260" i="34"/>
  <c r="G9261" i="34"/>
  <c r="G9262" i="34"/>
  <c r="G9263" i="34"/>
  <c r="G9264" i="34"/>
  <c r="G9265" i="34"/>
  <c r="G9266" i="34"/>
  <c r="G9267" i="34"/>
  <c r="G9268" i="34"/>
  <c r="G9269" i="34"/>
  <c r="G9270" i="34"/>
  <c r="G9271" i="34"/>
  <c r="G9272" i="34"/>
  <c r="G9273" i="34"/>
  <c r="G9274" i="34"/>
  <c r="G9275" i="34"/>
  <c r="G9276" i="34"/>
  <c r="G9277" i="34"/>
  <c r="G9278" i="34"/>
  <c r="G9279" i="34"/>
  <c r="G9280" i="34"/>
  <c r="G9281" i="34"/>
  <c r="G9282" i="34"/>
  <c r="G9283" i="34"/>
  <c r="G9284" i="34"/>
  <c r="G9285" i="34"/>
  <c r="G9286" i="34"/>
  <c r="G9287" i="34"/>
  <c r="G9288" i="34"/>
  <c r="G9289" i="34"/>
  <c r="G9290" i="34"/>
  <c r="G9291" i="34"/>
  <c r="G9292" i="34"/>
  <c r="G9293" i="34"/>
  <c r="G9294" i="34"/>
  <c r="G9295" i="34"/>
  <c r="G9296" i="34"/>
  <c r="G9297" i="34"/>
  <c r="G9298" i="34"/>
  <c r="G9299" i="34"/>
  <c r="G9300" i="34"/>
  <c r="G9301" i="34"/>
  <c r="G9302" i="34"/>
  <c r="G9303" i="34"/>
  <c r="G9304" i="34"/>
  <c r="G9305" i="34"/>
  <c r="G9306" i="34"/>
  <c r="G9307" i="34"/>
  <c r="G9308" i="34"/>
  <c r="G9309" i="34"/>
  <c r="G9310" i="34"/>
  <c r="G9311" i="34"/>
  <c r="G9312" i="34"/>
  <c r="G9313" i="34"/>
  <c r="G9314" i="34"/>
  <c r="G9315" i="34"/>
  <c r="G9316" i="34"/>
  <c r="G9317" i="34"/>
  <c r="G9318" i="34"/>
  <c r="G9319" i="34"/>
  <c r="G9320" i="34"/>
  <c r="G9321" i="34"/>
  <c r="G9322" i="34"/>
  <c r="G9323" i="34"/>
  <c r="G9324" i="34"/>
  <c r="G9325" i="34"/>
  <c r="G9326" i="34"/>
  <c r="G9327" i="34"/>
  <c r="G9328" i="34"/>
  <c r="G9329" i="34"/>
  <c r="G9330" i="34"/>
  <c r="G9331" i="34"/>
  <c r="G9332" i="34"/>
  <c r="G9333" i="34"/>
  <c r="G9334" i="34"/>
  <c r="G9335" i="34"/>
  <c r="G9336" i="34"/>
  <c r="G9337" i="34"/>
  <c r="G9338" i="34"/>
  <c r="G9339" i="34"/>
  <c r="G9340" i="34"/>
  <c r="G9341" i="34"/>
  <c r="G9342" i="34"/>
  <c r="G9343" i="34"/>
  <c r="G9344" i="34"/>
  <c r="G9345" i="34"/>
  <c r="G9346" i="34"/>
  <c r="G9347" i="34"/>
  <c r="G9348" i="34"/>
  <c r="G9349" i="34"/>
  <c r="G9350" i="34"/>
  <c r="G9351" i="34"/>
  <c r="G9352" i="34"/>
  <c r="G9353" i="34"/>
  <c r="G9354" i="34"/>
  <c r="G9355" i="34"/>
  <c r="G9356" i="34"/>
  <c r="G9357" i="34"/>
  <c r="G9358" i="34"/>
  <c r="G9359" i="34"/>
  <c r="G9360" i="34"/>
  <c r="G9361" i="34"/>
  <c r="G9362" i="34"/>
  <c r="G9363" i="34"/>
  <c r="G9364" i="34"/>
  <c r="G9365" i="34"/>
  <c r="G9366" i="34"/>
  <c r="G9367" i="34"/>
  <c r="G9368" i="34"/>
  <c r="G9369" i="34"/>
  <c r="G9370" i="34"/>
  <c r="G9371" i="34"/>
  <c r="G9372" i="34"/>
  <c r="G9373" i="34"/>
  <c r="G9374" i="34"/>
  <c r="G9375" i="34"/>
  <c r="G9376" i="34"/>
  <c r="G9377" i="34"/>
  <c r="G9378" i="34"/>
  <c r="G9379" i="34"/>
  <c r="G9380" i="34"/>
  <c r="G9381" i="34"/>
  <c r="G9382" i="34"/>
  <c r="G9383" i="34"/>
  <c r="G9384" i="34"/>
  <c r="G9385" i="34"/>
  <c r="G9386" i="34"/>
  <c r="G9387" i="34"/>
  <c r="G9388" i="34"/>
  <c r="G9389" i="34"/>
  <c r="G9390" i="34"/>
  <c r="G9391" i="34"/>
  <c r="G9392" i="34"/>
  <c r="G9393" i="34"/>
  <c r="G9394" i="34"/>
  <c r="G9395" i="34"/>
  <c r="G9396" i="34"/>
  <c r="G9397" i="34"/>
  <c r="G9398" i="34"/>
  <c r="G9399" i="34"/>
  <c r="G9400" i="34"/>
  <c r="G9401" i="34"/>
  <c r="G9402" i="34"/>
  <c r="G9403" i="34"/>
  <c r="G9404" i="34"/>
  <c r="G9405" i="34"/>
  <c r="G9406" i="34"/>
  <c r="G9407" i="34"/>
  <c r="G9408" i="34"/>
  <c r="G9409" i="34"/>
  <c r="G9410" i="34"/>
  <c r="G9411" i="34"/>
  <c r="G9412" i="34"/>
  <c r="G9413" i="34"/>
  <c r="G9414" i="34"/>
  <c r="G9415" i="34"/>
  <c r="G9416" i="34"/>
  <c r="G9417" i="34"/>
  <c r="G9418" i="34"/>
  <c r="G9419" i="34"/>
  <c r="G9420" i="34"/>
  <c r="G9421" i="34"/>
  <c r="G9422" i="34"/>
  <c r="G9423" i="34"/>
  <c r="G9424" i="34"/>
  <c r="G9425" i="34"/>
  <c r="G9426" i="34"/>
  <c r="G9427" i="34"/>
  <c r="G9428" i="34"/>
  <c r="G9429" i="34"/>
  <c r="G9430" i="34"/>
  <c r="G9431" i="34"/>
  <c r="G9432" i="34"/>
  <c r="G9433" i="34"/>
  <c r="G9434" i="34"/>
  <c r="G9435" i="34"/>
  <c r="G9436" i="34"/>
  <c r="G9437" i="34"/>
  <c r="G9438" i="34"/>
  <c r="G9439" i="34"/>
  <c r="G9440" i="34"/>
  <c r="G9441" i="34"/>
  <c r="G9442" i="34"/>
  <c r="G9443" i="34"/>
  <c r="G9444" i="34"/>
  <c r="G9445" i="34"/>
  <c r="G9446" i="34"/>
  <c r="G9447" i="34"/>
  <c r="G9448" i="34"/>
  <c r="G9449" i="34"/>
  <c r="G9450" i="34"/>
  <c r="G9451" i="34"/>
  <c r="G9452" i="34"/>
  <c r="G9453" i="34"/>
  <c r="G9454" i="34"/>
  <c r="G9455" i="34"/>
  <c r="G9456" i="34"/>
  <c r="G9457" i="34"/>
  <c r="G9458" i="34"/>
  <c r="G9459" i="34"/>
  <c r="G9460" i="34"/>
  <c r="G9461" i="34"/>
  <c r="G9462" i="34"/>
  <c r="G9463" i="34"/>
  <c r="G9464" i="34"/>
  <c r="G9465" i="34"/>
  <c r="G9466" i="34"/>
  <c r="G9467" i="34"/>
  <c r="G9468" i="34"/>
  <c r="G9469" i="34"/>
  <c r="G9470" i="34"/>
  <c r="G9471" i="34"/>
  <c r="G9472" i="34"/>
  <c r="G9473" i="34"/>
  <c r="G9474" i="34"/>
  <c r="G9475" i="34"/>
  <c r="G9476" i="34"/>
  <c r="G9477" i="34"/>
  <c r="G9478" i="34"/>
  <c r="G9479" i="34"/>
  <c r="G9480" i="34"/>
  <c r="G9481" i="34"/>
  <c r="G9482" i="34"/>
  <c r="G9483" i="34"/>
  <c r="G9484" i="34"/>
  <c r="G9485" i="34"/>
  <c r="G9486" i="34"/>
  <c r="G9487" i="34"/>
  <c r="G9488" i="34"/>
  <c r="G9489" i="34"/>
  <c r="G9490" i="34"/>
  <c r="G9491" i="34"/>
  <c r="G9492" i="34"/>
  <c r="G9493" i="34"/>
  <c r="G9494" i="34"/>
  <c r="G9495" i="34"/>
  <c r="G9496" i="34"/>
  <c r="G9497" i="34"/>
  <c r="G9498" i="34"/>
  <c r="G9499" i="34"/>
  <c r="G9500" i="34"/>
  <c r="G9501" i="34"/>
  <c r="G9502" i="34"/>
  <c r="G9503" i="34"/>
  <c r="G9504" i="34"/>
  <c r="G9505" i="34"/>
  <c r="G9506" i="34"/>
  <c r="G9507" i="34"/>
  <c r="G9508" i="34"/>
  <c r="G9509" i="34"/>
  <c r="G9510" i="34"/>
  <c r="G9511" i="34"/>
  <c r="G9512" i="34"/>
  <c r="G9513" i="34"/>
  <c r="G9514" i="34"/>
  <c r="G9515" i="34"/>
  <c r="G9516" i="34"/>
  <c r="G9517" i="34"/>
  <c r="G9518" i="34"/>
  <c r="G9519" i="34"/>
  <c r="G9520" i="34"/>
  <c r="G9521" i="34"/>
  <c r="G9522" i="34"/>
  <c r="G9523" i="34"/>
  <c r="G9524" i="34"/>
  <c r="G9525" i="34"/>
  <c r="G9526" i="34"/>
  <c r="G9527" i="34"/>
  <c r="G9528" i="34"/>
  <c r="G9529" i="34"/>
  <c r="G9530" i="34"/>
  <c r="G9531" i="34"/>
  <c r="G9532" i="34"/>
  <c r="G9533" i="34"/>
  <c r="G9534" i="34"/>
  <c r="G9535" i="34"/>
  <c r="G9536" i="34"/>
  <c r="G9537" i="34"/>
  <c r="G9538" i="34"/>
  <c r="G9539" i="34"/>
  <c r="G9540" i="34"/>
  <c r="G9541" i="34"/>
  <c r="G9542" i="34"/>
  <c r="G9543" i="34"/>
  <c r="G9544" i="34"/>
  <c r="G9545" i="34"/>
  <c r="G9546" i="34"/>
  <c r="G9547" i="34"/>
  <c r="G9548" i="34"/>
  <c r="G9549" i="34"/>
  <c r="G9550" i="34"/>
  <c r="G9551" i="34"/>
  <c r="G9552" i="34"/>
  <c r="G9553" i="34"/>
  <c r="G9554" i="34"/>
  <c r="G9555" i="34"/>
  <c r="G9556" i="34"/>
  <c r="G9557" i="34"/>
  <c r="G9558" i="34"/>
  <c r="G9559" i="34"/>
  <c r="G9560" i="34"/>
  <c r="G9561" i="34"/>
  <c r="G9562" i="34"/>
  <c r="G9563" i="34"/>
  <c r="G9564" i="34"/>
  <c r="G9565" i="34"/>
  <c r="G9566" i="34"/>
  <c r="G9567" i="34"/>
  <c r="G9568" i="34"/>
  <c r="G9569" i="34"/>
  <c r="G9570" i="34"/>
  <c r="G9571" i="34"/>
  <c r="G9572" i="34"/>
  <c r="G9573" i="34"/>
  <c r="G9574" i="34"/>
  <c r="G9575" i="34"/>
  <c r="G9576" i="34"/>
  <c r="G9577" i="34"/>
  <c r="G9578" i="34"/>
  <c r="G9579" i="34"/>
  <c r="G9580" i="34"/>
  <c r="G9581" i="34"/>
  <c r="G9582" i="34"/>
  <c r="G9583" i="34"/>
  <c r="G9584" i="34"/>
  <c r="G9585" i="34"/>
  <c r="G9586" i="34"/>
  <c r="G9587" i="34"/>
  <c r="G9588" i="34"/>
  <c r="G9589" i="34"/>
  <c r="G9590" i="34"/>
  <c r="G9591" i="34"/>
  <c r="G9592" i="34"/>
  <c r="G9593" i="34"/>
  <c r="G9594" i="34"/>
  <c r="G9595" i="34"/>
  <c r="G9596" i="34"/>
  <c r="G9597" i="34"/>
  <c r="G9598" i="34"/>
  <c r="G9599" i="34"/>
  <c r="G9600" i="34"/>
  <c r="G9601" i="34"/>
  <c r="G9602" i="34"/>
  <c r="G9603" i="34"/>
  <c r="G9604" i="34"/>
  <c r="G9605" i="34"/>
  <c r="G9606" i="34"/>
  <c r="G9607" i="34"/>
  <c r="G9608" i="34"/>
  <c r="G9609" i="34"/>
  <c r="G9610" i="34"/>
  <c r="G9611" i="34"/>
  <c r="G9612" i="34"/>
  <c r="G9613" i="34"/>
  <c r="G9614" i="34"/>
  <c r="G9615" i="34"/>
  <c r="G9616" i="34"/>
  <c r="G9617" i="34"/>
  <c r="G9618" i="34"/>
  <c r="G9619" i="34"/>
  <c r="G9620" i="34"/>
  <c r="G9621" i="34"/>
  <c r="G9622" i="34"/>
  <c r="G9623" i="34"/>
  <c r="G9624" i="34"/>
  <c r="G9625" i="34"/>
  <c r="G9626" i="34"/>
  <c r="G9627" i="34"/>
  <c r="G9628" i="34"/>
  <c r="G9629" i="34"/>
  <c r="G9630" i="34"/>
  <c r="G9631" i="34"/>
  <c r="G9632" i="34"/>
  <c r="G9633" i="34"/>
  <c r="G9634" i="34"/>
  <c r="G9635" i="34"/>
  <c r="G9636" i="34"/>
  <c r="G9637" i="34"/>
  <c r="G9638" i="34"/>
  <c r="G9639" i="34"/>
  <c r="G9640" i="34"/>
  <c r="G9641" i="34"/>
  <c r="G9642" i="34"/>
  <c r="G9643" i="34"/>
  <c r="G9644" i="34"/>
  <c r="G9645" i="34"/>
  <c r="G9646" i="34"/>
  <c r="G9647" i="34"/>
  <c r="G9648" i="34"/>
  <c r="G9649" i="34"/>
  <c r="G9650" i="34"/>
  <c r="G9651" i="34"/>
  <c r="G9652" i="34"/>
  <c r="G9653" i="34"/>
  <c r="G9654" i="34"/>
  <c r="G9655" i="34"/>
  <c r="G9656" i="34"/>
  <c r="G9657" i="34"/>
  <c r="G9658" i="34"/>
  <c r="G9659" i="34"/>
  <c r="G9660" i="34"/>
  <c r="G9661" i="34"/>
  <c r="G9662" i="34"/>
  <c r="G9663" i="34"/>
  <c r="G9664" i="34"/>
  <c r="G9665" i="34"/>
  <c r="G9666" i="34"/>
  <c r="G9667" i="34"/>
  <c r="G9668" i="34"/>
  <c r="G9669" i="34"/>
  <c r="G9670" i="34"/>
  <c r="G9671" i="34"/>
  <c r="G9672" i="34"/>
  <c r="G9673" i="34"/>
  <c r="G9674" i="34"/>
  <c r="G9675" i="34"/>
  <c r="G9676" i="34"/>
  <c r="G9677" i="34"/>
  <c r="G9678" i="34"/>
  <c r="G9679" i="34"/>
  <c r="G9680" i="34"/>
  <c r="G9681" i="34"/>
  <c r="G9682" i="34"/>
  <c r="G9683" i="34"/>
  <c r="G9684" i="34"/>
  <c r="G9685" i="34"/>
  <c r="G9686" i="34"/>
  <c r="G9687" i="34"/>
  <c r="G9688" i="34"/>
  <c r="G9689" i="34"/>
  <c r="G9690" i="34"/>
  <c r="G9691" i="34"/>
  <c r="G9692" i="34"/>
  <c r="G9693" i="34"/>
  <c r="G9694" i="34"/>
  <c r="G9695" i="34"/>
  <c r="G9696" i="34"/>
  <c r="G9697" i="34"/>
  <c r="G9698" i="34"/>
  <c r="G9699" i="34"/>
  <c r="G9700" i="34"/>
  <c r="G9701" i="34"/>
  <c r="G9702" i="34"/>
  <c r="G9703" i="34"/>
  <c r="G9704" i="34"/>
  <c r="G9705" i="34"/>
  <c r="G9706" i="34"/>
  <c r="G9707" i="34"/>
  <c r="G9708" i="34"/>
  <c r="G9709" i="34"/>
  <c r="G9710" i="34"/>
  <c r="G9711" i="34"/>
  <c r="G9712" i="34"/>
  <c r="G9713" i="34"/>
  <c r="G9714" i="34"/>
  <c r="G9715" i="34"/>
  <c r="G9716" i="34"/>
  <c r="G9717" i="34"/>
  <c r="G9718" i="34"/>
  <c r="G9719" i="34"/>
  <c r="G9720" i="34"/>
  <c r="G9721" i="34"/>
  <c r="G9722" i="34"/>
  <c r="G9723" i="34"/>
  <c r="G9724" i="34"/>
  <c r="G9725" i="34"/>
  <c r="G9726" i="34"/>
  <c r="G9727" i="34"/>
  <c r="G9728" i="34"/>
  <c r="G9729" i="34"/>
  <c r="G9730" i="34"/>
  <c r="G9731" i="34"/>
  <c r="G9732" i="34"/>
  <c r="G9733" i="34"/>
  <c r="G9734" i="34"/>
  <c r="G9735" i="34"/>
  <c r="G9736" i="34"/>
  <c r="G9737" i="34"/>
  <c r="G9738" i="34"/>
  <c r="G9739" i="34"/>
  <c r="G9740" i="34"/>
  <c r="G9741" i="34"/>
  <c r="G9742" i="34"/>
  <c r="G9743" i="34"/>
  <c r="G9744" i="34"/>
  <c r="G9745" i="34"/>
  <c r="G9746" i="34"/>
  <c r="G9747" i="34"/>
  <c r="G9748" i="34"/>
  <c r="G9749" i="34"/>
  <c r="G9750" i="34"/>
  <c r="G9751" i="34"/>
  <c r="G9752" i="34"/>
  <c r="G9753" i="34"/>
  <c r="G9754" i="34"/>
  <c r="G9755" i="34"/>
  <c r="G9756" i="34"/>
  <c r="G9757" i="34"/>
  <c r="G9758" i="34"/>
  <c r="G9759" i="34"/>
  <c r="G9760" i="34"/>
  <c r="G9761" i="34"/>
  <c r="G9762" i="34"/>
  <c r="G9763" i="34"/>
  <c r="G9764" i="34"/>
  <c r="G9765" i="34"/>
  <c r="G9766" i="34"/>
  <c r="G9767" i="34"/>
  <c r="G9768" i="34"/>
  <c r="G9769" i="34"/>
  <c r="G9770" i="34"/>
  <c r="G9771" i="34"/>
  <c r="G9772" i="34"/>
  <c r="G9773" i="34"/>
  <c r="G9774" i="34"/>
  <c r="G9775" i="34"/>
  <c r="G9776" i="34"/>
  <c r="G9777" i="34"/>
  <c r="G9778" i="34"/>
  <c r="G9779" i="34"/>
  <c r="G9780" i="34"/>
  <c r="G9781" i="34"/>
  <c r="G9782" i="34"/>
  <c r="G9783" i="34"/>
  <c r="G9784" i="34"/>
  <c r="G9785" i="34"/>
  <c r="G9786" i="34"/>
  <c r="G9787" i="34"/>
  <c r="G9788" i="34"/>
  <c r="G9789" i="34"/>
  <c r="G9790" i="34"/>
  <c r="G9791" i="34"/>
  <c r="G9792" i="34"/>
  <c r="G9793" i="34"/>
  <c r="G9794" i="34"/>
  <c r="G9795" i="34"/>
  <c r="G9796" i="34"/>
  <c r="G9797" i="34"/>
  <c r="G9798" i="34"/>
  <c r="G9799" i="34"/>
  <c r="G9800" i="34"/>
  <c r="G9801" i="34"/>
  <c r="G9802" i="34"/>
  <c r="G9803" i="34"/>
  <c r="G9804" i="34"/>
  <c r="G9805" i="34"/>
  <c r="G9806" i="34"/>
  <c r="G9807" i="34"/>
  <c r="G9808" i="34"/>
  <c r="G9809" i="34"/>
  <c r="G9810" i="34"/>
  <c r="G9811" i="34"/>
  <c r="G9812" i="34"/>
  <c r="G9813" i="34"/>
  <c r="G9814" i="34"/>
  <c r="G9815" i="34"/>
  <c r="G9816" i="34"/>
  <c r="G9817" i="34"/>
  <c r="G9818" i="34"/>
  <c r="G9819" i="34"/>
  <c r="G9820" i="34"/>
  <c r="G9821" i="34"/>
  <c r="G9822" i="34"/>
  <c r="G9823" i="34"/>
  <c r="G9824" i="34"/>
  <c r="G9825" i="34"/>
  <c r="G9826" i="34"/>
  <c r="G9827" i="34"/>
  <c r="G9828" i="34"/>
  <c r="G9829" i="34"/>
  <c r="G9830" i="34"/>
  <c r="G9831" i="34"/>
  <c r="G9832" i="34"/>
  <c r="G9833" i="34"/>
  <c r="G9834" i="34"/>
  <c r="G9835" i="34"/>
  <c r="G9836" i="34"/>
  <c r="G9837" i="34"/>
  <c r="G9838" i="34"/>
  <c r="G9839" i="34"/>
  <c r="G9840" i="34"/>
  <c r="G9841" i="34"/>
  <c r="G9842" i="34"/>
  <c r="G9843" i="34"/>
  <c r="G9844" i="34"/>
  <c r="G9845" i="34"/>
  <c r="G9846" i="34"/>
  <c r="G9847" i="34"/>
  <c r="G9848" i="34"/>
  <c r="G9849" i="34"/>
  <c r="G9850" i="34"/>
  <c r="G9851" i="34"/>
  <c r="G9852" i="34"/>
  <c r="G9853" i="34"/>
  <c r="G9854" i="34"/>
  <c r="G9855" i="34"/>
  <c r="G9856" i="34"/>
  <c r="G9857" i="34"/>
  <c r="G9858" i="34"/>
  <c r="G9859" i="34"/>
  <c r="G9860" i="34"/>
  <c r="G9861" i="34"/>
  <c r="G9862" i="34"/>
  <c r="G9863" i="34"/>
  <c r="G9864" i="34"/>
  <c r="G9865" i="34"/>
  <c r="G9866" i="34"/>
  <c r="G9867" i="34"/>
  <c r="G9868" i="34"/>
  <c r="G9869" i="34"/>
  <c r="G9870" i="34"/>
  <c r="G9871" i="34"/>
  <c r="G9872" i="34"/>
  <c r="G9873" i="34"/>
  <c r="G9874" i="34"/>
  <c r="G9875" i="34"/>
  <c r="G9876" i="34"/>
  <c r="G9877" i="34"/>
  <c r="G9878" i="34"/>
  <c r="G9879" i="34"/>
  <c r="G9880" i="34"/>
  <c r="G9881" i="34"/>
  <c r="G9882" i="34"/>
  <c r="G9883" i="34"/>
  <c r="G9884" i="34"/>
  <c r="G9885" i="34"/>
  <c r="G9886" i="34"/>
  <c r="G9887" i="34"/>
  <c r="G9888" i="34"/>
  <c r="G9889" i="34"/>
  <c r="G9890" i="34"/>
  <c r="G9891" i="34"/>
  <c r="G9892" i="34"/>
  <c r="G9893" i="34"/>
  <c r="G9894" i="34"/>
  <c r="G9895" i="34"/>
  <c r="G9896" i="34"/>
  <c r="G9897" i="34"/>
  <c r="G9898" i="34"/>
  <c r="G9899" i="34"/>
  <c r="G9900" i="34"/>
  <c r="G9901" i="34"/>
  <c r="G9902" i="34"/>
  <c r="G9903" i="34"/>
  <c r="G9904" i="34"/>
  <c r="G9905" i="34"/>
  <c r="G9906" i="34"/>
  <c r="G9907" i="34"/>
  <c r="G9908" i="34"/>
  <c r="G9909" i="34"/>
  <c r="G9910" i="34"/>
  <c r="G9911" i="34"/>
  <c r="G9912" i="34"/>
  <c r="G9913" i="34"/>
  <c r="G9914" i="34"/>
  <c r="G9915" i="34"/>
  <c r="G9916" i="34"/>
  <c r="G9917" i="34"/>
  <c r="G9918" i="34"/>
  <c r="G9919" i="34"/>
  <c r="G9920" i="34"/>
  <c r="G9921" i="34"/>
  <c r="G9922" i="34"/>
  <c r="G9923" i="34"/>
  <c r="G9924" i="34"/>
  <c r="G9925" i="34"/>
  <c r="G9926" i="34"/>
  <c r="G9927" i="34"/>
  <c r="G9928" i="34"/>
  <c r="G9929" i="34"/>
  <c r="G9930" i="34"/>
  <c r="G9931" i="34"/>
  <c r="G9932" i="34"/>
  <c r="G9933" i="34"/>
  <c r="G9934" i="34"/>
  <c r="G9935" i="34"/>
  <c r="G9936" i="34"/>
  <c r="G9937" i="34"/>
  <c r="G9938" i="34"/>
  <c r="G9939" i="34"/>
  <c r="G9940" i="34"/>
  <c r="G9941" i="34"/>
  <c r="G9942" i="34"/>
  <c r="G9943" i="34"/>
  <c r="G9944" i="34"/>
  <c r="G9945" i="34"/>
  <c r="G9946" i="34"/>
  <c r="G9947" i="34"/>
  <c r="G9948" i="34"/>
  <c r="G9949" i="34"/>
  <c r="G9950" i="34"/>
  <c r="G9951" i="34"/>
  <c r="G9952" i="34"/>
  <c r="G9953" i="34"/>
  <c r="G9954" i="34"/>
  <c r="G9955" i="34"/>
  <c r="G9956" i="34"/>
  <c r="G9957" i="34"/>
  <c r="G9958" i="34"/>
  <c r="G9959" i="34"/>
  <c r="G9960" i="34"/>
  <c r="G9961" i="34"/>
  <c r="G9962" i="34"/>
  <c r="G9963" i="34"/>
  <c r="G9964" i="34"/>
  <c r="G9965" i="34"/>
  <c r="G9966" i="34"/>
  <c r="G9967" i="34"/>
  <c r="G9968" i="34"/>
  <c r="G9969" i="34"/>
  <c r="G9970" i="34"/>
  <c r="G9971" i="34"/>
  <c r="G9972" i="34"/>
  <c r="G9973" i="34"/>
  <c r="G9974" i="34"/>
  <c r="G9975" i="34"/>
  <c r="G9976" i="34"/>
  <c r="G9977" i="34"/>
  <c r="G9978" i="34"/>
  <c r="G9979" i="34"/>
  <c r="G9980" i="34"/>
  <c r="G9981" i="34"/>
  <c r="G9982" i="34"/>
  <c r="G9983" i="34"/>
  <c r="G9984" i="34"/>
  <c r="G9985" i="34"/>
  <c r="G9986" i="34"/>
  <c r="G9987" i="34"/>
  <c r="G9988" i="34"/>
  <c r="G9989" i="34"/>
  <c r="G9990" i="34"/>
  <c r="G9991" i="34"/>
  <c r="G9992" i="34"/>
  <c r="G9993" i="34"/>
  <c r="G9994" i="34"/>
  <c r="G9995" i="34"/>
  <c r="G9996" i="34"/>
  <c r="G9997" i="34"/>
  <c r="G9998" i="34"/>
  <c r="G9999" i="34"/>
  <c r="G10000" i="34"/>
  <c r="G10001" i="34"/>
  <c r="G10002" i="34"/>
  <c r="G10003" i="34"/>
  <c r="G10004" i="34"/>
  <c r="G10005" i="34"/>
  <c r="G10006" i="34"/>
  <c r="G10007" i="34"/>
  <c r="G10008" i="34"/>
  <c r="G10009" i="34"/>
  <c r="G10010" i="34"/>
  <c r="G10011" i="34"/>
  <c r="G10012" i="34"/>
  <c r="G10013" i="34"/>
  <c r="G10014" i="34"/>
  <c r="G10015" i="34"/>
  <c r="G10016" i="34"/>
  <c r="G10017" i="34"/>
  <c r="G10018" i="34"/>
  <c r="G10019" i="34"/>
  <c r="G10020" i="34"/>
  <c r="G10021" i="34"/>
  <c r="G10022" i="34"/>
  <c r="G10023" i="34"/>
  <c r="G10024" i="34"/>
  <c r="G10025" i="34"/>
  <c r="G10026" i="34"/>
  <c r="G10027" i="34"/>
  <c r="G10028" i="34"/>
  <c r="G10029" i="34"/>
  <c r="G10030" i="34"/>
  <c r="G10031" i="34"/>
  <c r="G10032" i="34"/>
  <c r="G10033" i="34"/>
  <c r="G10034" i="34"/>
  <c r="G10035" i="34"/>
  <c r="G10036" i="34"/>
  <c r="G10037" i="34"/>
  <c r="G10038" i="34"/>
  <c r="G10039" i="34"/>
  <c r="G10040" i="34"/>
  <c r="G10041" i="34"/>
  <c r="G10042" i="34"/>
  <c r="G10043" i="34"/>
  <c r="G10044" i="34"/>
  <c r="G10045" i="34"/>
  <c r="G10046" i="34"/>
  <c r="G10047" i="34"/>
  <c r="G10048" i="34"/>
  <c r="G10049" i="34"/>
  <c r="G10050" i="34"/>
  <c r="G10051" i="34"/>
  <c r="G10052" i="34"/>
  <c r="G10053" i="34"/>
  <c r="G10054" i="34"/>
  <c r="G10055" i="34"/>
  <c r="G10056" i="34"/>
  <c r="G10057" i="34"/>
  <c r="G10058" i="34"/>
  <c r="G10059" i="34"/>
  <c r="G10060" i="34"/>
  <c r="G10061" i="34"/>
  <c r="G10062" i="34"/>
  <c r="G10063" i="34"/>
  <c r="G10064" i="34"/>
  <c r="G10065" i="34"/>
  <c r="G10066" i="34"/>
  <c r="G10067" i="34"/>
  <c r="G10068" i="34"/>
  <c r="G10069" i="34"/>
  <c r="G10070" i="34"/>
  <c r="G10071" i="34"/>
  <c r="G10072" i="34"/>
  <c r="G10073" i="34"/>
  <c r="G10074" i="34"/>
  <c r="G10075" i="34"/>
  <c r="G10076" i="34"/>
  <c r="G10077" i="34"/>
  <c r="G10078" i="34"/>
  <c r="G10079" i="34"/>
  <c r="G10080" i="34"/>
  <c r="G10081" i="34"/>
  <c r="G10082" i="34"/>
  <c r="G10083" i="34"/>
  <c r="G10084" i="34"/>
  <c r="G10085" i="34"/>
  <c r="G10086" i="34"/>
  <c r="G10087" i="34"/>
  <c r="G10088" i="34"/>
  <c r="G10089" i="34"/>
  <c r="G10090" i="34"/>
  <c r="G10091" i="34"/>
  <c r="G10092" i="34"/>
  <c r="G10093" i="34"/>
  <c r="G10094" i="34"/>
  <c r="G10095" i="34"/>
  <c r="G10096" i="34"/>
  <c r="G10097" i="34"/>
  <c r="G10098" i="34"/>
  <c r="G10099" i="34"/>
  <c r="G10100" i="34"/>
  <c r="G10101" i="34"/>
  <c r="G10102" i="34"/>
  <c r="G10103" i="34"/>
  <c r="G10104" i="34"/>
  <c r="G10105" i="34"/>
  <c r="G10106" i="34"/>
  <c r="G10107" i="34"/>
  <c r="G10108" i="34"/>
  <c r="G10109" i="34"/>
  <c r="G10110" i="34"/>
  <c r="G10111" i="34"/>
  <c r="G10112" i="34"/>
  <c r="G10113" i="34"/>
  <c r="G10114" i="34"/>
  <c r="G10115" i="34"/>
  <c r="G10116" i="34"/>
  <c r="G10117" i="34"/>
  <c r="G10118" i="34"/>
  <c r="G10119" i="34"/>
  <c r="G10120" i="34"/>
  <c r="G10121" i="34"/>
  <c r="G10122" i="34"/>
  <c r="G10123" i="34"/>
  <c r="G10124" i="34"/>
  <c r="G10125" i="34"/>
  <c r="G10126" i="34"/>
  <c r="G10127" i="34"/>
  <c r="G10128" i="34"/>
  <c r="G10129" i="34"/>
  <c r="G10130" i="34"/>
  <c r="G10131" i="34"/>
  <c r="G10132" i="34"/>
  <c r="G10133" i="34"/>
  <c r="G10134" i="34"/>
  <c r="G10135" i="34"/>
  <c r="G10136" i="34"/>
  <c r="G10137" i="34"/>
  <c r="G10138" i="34"/>
  <c r="G10139" i="34"/>
  <c r="G10140" i="34"/>
  <c r="G10141" i="34"/>
  <c r="G10142" i="34"/>
  <c r="G10143" i="34"/>
  <c r="G10144" i="34"/>
  <c r="G10145" i="34"/>
  <c r="G10146" i="34"/>
  <c r="G10147" i="34"/>
  <c r="G10148" i="34"/>
  <c r="G10149" i="34"/>
  <c r="G10150" i="34"/>
  <c r="G10151" i="34"/>
  <c r="G10152" i="34"/>
  <c r="G10153" i="34"/>
  <c r="G10154" i="34"/>
  <c r="G10155" i="34"/>
  <c r="G10156" i="34"/>
  <c r="G10157" i="34"/>
  <c r="G10158" i="34"/>
  <c r="G10159" i="34"/>
  <c r="G10160" i="34"/>
  <c r="G10161" i="34"/>
  <c r="G10162" i="34"/>
  <c r="G10163" i="34"/>
  <c r="G10164" i="34"/>
  <c r="G10165" i="34"/>
  <c r="G10166" i="34"/>
  <c r="G10167" i="34"/>
  <c r="G10168" i="34"/>
  <c r="G10169" i="34"/>
  <c r="G10170" i="34"/>
  <c r="G10171" i="34"/>
  <c r="G10172" i="34"/>
  <c r="G10173" i="34"/>
  <c r="G10174" i="34"/>
  <c r="G10175" i="34"/>
  <c r="G10176" i="34"/>
  <c r="G10177" i="34"/>
  <c r="G10178" i="34"/>
  <c r="G10179" i="34"/>
  <c r="G10180" i="34"/>
  <c r="G10181" i="34"/>
  <c r="G10182" i="34"/>
  <c r="G10183" i="34"/>
  <c r="G10184" i="34"/>
  <c r="G10185" i="34"/>
  <c r="G10186" i="34"/>
  <c r="G10187" i="34"/>
  <c r="G10188" i="34"/>
  <c r="G10189" i="34"/>
  <c r="G10190" i="34"/>
  <c r="G10191" i="34"/>
  <c r="G10192" i="34"/>
  <c r="G10193" i="34"/>
  <c r="G10194" i="34"/>
  <c r="G10195" i="34"/>
  <c r="G10196" i="34"/>
  <c r="G10197" i="34"/>
  <c r="G10198" i="34"/>
  <c r="G10199" i="34"/>
  <c r="G10200" i="34"/>
  <c r="G10201" i="34"/>
  <c r="G10202" i="34"/>
  <c r="G10203" i="34"/>
  <c r="G10204" i="34"/>
  <c r="G10205" i="34"/>
  <c r="G10206" i="34"/>
  <c r="G10207" i="34"/>
  <c r="G10208" i="34"/>
  <c r="G10209" i="34"/>
  <c r="G10210" i="34"/>
  <c r="G10211" i="34"/>
  <c r="G10212" i="34"/>
  <c r="G10213" i="34"/>
  <c r="G10214" i="34"/>
  <c r="G10215" i="34"/>
  <c r="G10216" i="34"/>
  <c r="G10217" i="34"/>
  <c r="G10218" i="34"/>
  <c r="G10219" i="34"/>
  <c r="G10220" i="34"/>
  <c r="G10221" i="34"/>
  <c r="G10222" i="34"/>
  <c r="G10223" i="34"/>
  <c r="G10224" i="34"/>
  <c r="G10225" i="34"/>
  <c r="G10226" i="34"/>
  <c r="G10227" i="34"/>
  <c r="G10228" i="34"/>
  <c r="G10229" i="34"/>
  <c r="G10230" i="34"/>
  <c r="G10231" i="34"/>
  <c r="G10232" i="34"/>
  <c r="G10233" i="34"/>
  <c r="G10234" i="34"/>
  <c r="G10235" i="34"/>
  <c r="G10236" i="34"/>
  <c r="G10237" i="34"/>
  <c r="G10238" i="34"/>
  <c r="G10239" i="34"/>
  <c r="G10240" i="34"/>
  <c r="G10241" i="34"/>
  <c r="G10242" i="34"/>
  <c r="G10243" i="34"/>
  <c r="G10244" i="34"/>
  <c r="G10245" i="34"/>
  <c r="G10246" i="34"/>
  <c r="G10247" i="34"/>
  <c r="G10248" i="34"/>
  <c r="G10249" i="34"/>
  <c r="G10250" i="34"/>
  <c r="G10251" i="34"/>
  <c r="G10252" i="34"/>
  <c r="G10253" i="34"/>
  <c r="G10254" i="34"/>
  <c r="G10255" i="34"/>
  <c r="G10256" i="34"/>
  <c r="G10257" i="34"/>
  <c r="G10258" i="34"/>
  <c r="G10259" i="34"/>
  <c r="G10260" i="34"/>
  <c r="G10261" i="34"/>
  <c r="G10262" i="34"/>
  <c r="G10263" i="34"/>
  <c r="G10264" i="34"/>
  <c r="G10265" i="34"/>
  <c r="G10266" i="34"/>
  <c r="G10267" i="34"/>
  <c r="G10268" i="34"/>
  <c r="G10269" i="34"/>
  <c r="G10270" i="34"/>
  <c r="G10271" i="34"/>
  <c r="G10272" i="34"/>
  <c r="G10273" i="34"/>
  <c r="G10274" i="34"/>
  <c r="G10275" i="34"/>
  <c r="G10276" i="34"/>
  <c r="G10277" i="34"/>
  <c r="G10278" i="34"/>
  <c r="G10279" i="34"/>
  <c r="G10280" i="34"/>
  <c r="G10281" i="34"/>
  <c r="G10282" i="34"/>
  <c r="G10283" i="34"/>
  <c r="G10284" i="34"/>
  <c r="G10285" i="34"/>
  <c r="G10286" i="34"/>
  <c r="G10287" i="34"/>
  <c r="G10288" i="34"/>
  <c r="G10289" i="34"/>
  <c r="G10290" i="34"/>
  <c r="G10291" i="34"/>
  <c r="G10292" i="34"/>
  <c r="G10293" i="34"/>
  <c r="G10294" i="34"/>
  <c r="G10295" i="34"/>
  <c r="G10296" i="34"/>
  <c r="G10297" i="34"/>
  <c r="G10298" i="34"/>
  <c r="G10299" i="34"/>
  <c r="G10300" i="34"/>
  <c r="G10301" i="34"/>
  <c r="G10302" i="34"/>
  <c r="G10303" i="34"/>
  <c r="G10304" i="34"/>
  <c r="G10305" i="34"/>
  <c r="G10306" i="34"/>
  <c r="G10307" i="34"/>
  <c r="G10308" i="34"/>
  <c r="G10309" i="34"/>
  <c r="G10310" i="34"/>
  <c r="G10311" i="34"/>
  <c r="G10312" i="34"/>
  <c r="G10313" i="34"/>
  <c r="G10314" i="34"/>
  <c r="G10315" i="34"/>
  <c r="G10316" i="34"/>
  <c r="G10317" i="34"/>
  <c r="G10318" i="34"/>
  <c r="G10319" i="34"/>
  <c r="G10320" i="34"/>
  <c r="G10321" i="34"/>
  <c r="G10322" i="34"/>
  <c r="G10323" i="34"/>
  <c r="G10324" i="34"/>
  <c r="G10325" i="34"/>
  <c r="G10326" i="34"/>
  <c r="G10327" i="34"/>
  <c r="G10328" i="34"/>
  <c r="G10329" i="34"/>
  <c r="G10330" i="34"/>
  <c r="G10331" i="34"/>
  <c r="G10332" i="34"/>
  <c r="G10333" i="34"/>
  <c r="G10334" i="34"/>
  <c r="G10335" i="34"/>
  <c r="G10336" i="34"/>
  <c r="G10337" i="34"/>
  <c r="G10338" i="34"/>
  <c r="G10339" i="34"/>
  <c r="G10340" i="34"/>
  <c r="G10341" i="34"/>
  <c r="G10342" i="34"/>
  <c r="G10343" i="34"/>
  <c r="G10344" i="34"/>
  <c r="G10345" i="34"/>
  <c r="G10346" i="34"/>
  <c r="G10347" i="34"/>
  <c r="G10348" i="34"/>
  <c r="G10349" i="34"/>
  <c r="G10350" i="34"/>
  <c r="G10351" i="34"/>
  <c r="G10352" i="34"/>
  <c r="G10353" i="34"/>
  <c r="G10354" i="34"/>
  <c r="G10355" i="34"/>
  <c r="G10356" i="34"/>
  <c r="G10357" i="34"/>
  <c r="G10358" i="34"/>
  <c r="G10359" i="34"/>
  <c r="G10360" i="34"/>
  <c r="G10361" i="34"/>
  <c r="G10362" i="34"/>
  <c r="G10363" i="34"/>
  <c r="G10364" i="34"/>
  <c r="G10365" i="34"/>
  <c r="G10366" i="34"/>
  <c r="G10367" i="34"/>
  <c r="G10368" i="34"/>
  <c r="G10369" i="34"/>
  <c r="G10370" i="34"/>
  <c r="G10371" i="34"/>
  <c r="G10372" i="34"/>
  <c r="G10373" i="34"/>
  <c r="G10374" i="34"/>
  <c r="G10375" i="34"/>
  <c r="G10376" i="34"/>
  <c r="G10377" i="34"/>
  <c r="G10378" i="34"/>
  <c r="G10379" i="34"/>
  <c r="G10380" i="34"/>
  <c r="G10381" i="34"/>
  <c r="G10382" i="34"/>
  <c r="G10383" i="34"/>
  <c r="G10384" i="34"/>
  <c r="G10385" i="34"/>
  <c r="G10386" i="34"/>
  <c r="G10387" i="34"/>
  <c r="G10388" i="34"/>
  <c r="G10389" i="34"/>
  <c r="G10390" i="34"/>
  <c r="G10391" i="34"/>
  <c r="G10392" i="34"/>
  <c r="G10393" i="34"/>
  <c r="G10394" i="34"/>
  <c r="G10395" i="34"/>
  <c r="G10396" i="34"/>
  <c r="G10397" i="34"/>
  <c r="G10398" i="34"/>
  <c r="G10399" i="34"/>
  <c r="G10400" i="34"/>
  <c r="G10401" i="34"/>
  <c r="G10402" i="34"/>
  <c r="G10403" i="34"/>
  <c r="G10404" i="34"/>
  <c r="G10405" i="34"/>
  <c r="G10406" i="34"/>
  <c r="G10407" i="34"/>
  <c r="G10408" i="34"/>
  <c r="G10409" i="34"/>
  <c r="G10410" i="34"/>
  <c r="G10411" i="34"/>
  <c r="G10412" i="34"/>
  <c r="G10413" i="34"/>
  <c r="G10414" i="34"/>
  <c r="G10415" i="34"/>
  <c r="G10416" i="34"/>
  <c r="G10417" i="34"/>
  <c r="G10418" i="34"/>
  <c r="G10419" i="34"/>
  <c r="G10420" i="34"/>
  <c r="G10421" i="34"/>
  <c r="G10422" i="34"/>
  <c r="G10423" i="34"/>
  <c r="G10424" i="34"/>
  <c r="G10425" i="34"/>
  <c r="G10426" i="34"/>
  <c r="G10427" i="34"/>
  <c r="G10428" i="34"/>
  <c r="G10429" i="34"/>
  <c r="G10430" i="34"/>
  <c r="G10431" i="34"/>
  <c r="G10432" i="34"/>
  <c r="G10433" i="34"/>
  <c r="G10434" i="34"/>
  <c r="G10435" i="34"/>
  <c r="G10436" i="34"/>
  <c r="G10437" i="34"/>
  <c r="G10438" i="34"/>
  <c r="G10439" i="34"/>
  <c r="G10440" i="34"/>
  <c r="G10441" i="34"/>
  <c r="G10442" i="34"/>
  <c r="G10443" i="34"/>
  <c r="G10444" i="34"/>
  <c r="G10445" i="34"/>
  <c r="G10446" i="34"/>
  <c r="G10447" i="34"/>
  <c r="G10448" i="34"/>
  <c r="G10449" i="34"/>
  <c r="G10450" i="34"/>
  <c r="G10451" i="34"/>
  <c r="G10452" i="34"/>
  <c r="G10453" i="34"/>
  <c r="G10454" i="34"/>
  <c r="G10455" i="34"/>
  <c r="G10456" i="34"/>
  <c r="G10457" i="34"/>
  <c r="G10458" i="34"/>
  <c r="G10459" i="34"/>
  <c r="G10460" i="34"/>
  <c r="G10461" i="34"/>
  <c r="G10462" i="34"/>
  <c r="G10463" i="34"/>
  <c r="G10464" i="34"/>
  <c r="G10465" i="34"/>
  <c r="G10466" i="34"/>
  <c r="G10467" i="34"/>
  <c r="G10468" i="34"/>
  <c r="G10469" i="34"/>
  <c r="G10470" i="34"/>
  <c r="G10471" i="34"/>
  <c r="G10472" i="34"/>
  <c r="G10473" i="34"/>
  <c r="G10474" i="34"/>
  <c r="G10475" i="34"/>
  <c r="G10476" i="34"/>
  <c r="G10477" i="34"/>
  <c r="G10478" i="34"/>
  <c r="G10479" i="34"/>
  <c r="G10480" i="34"/>
  <c r="G10481" i="34"/>
  <c r="G10482" i="34"/>
  <c r="G10483" i="34"/>
  <c r="G10484" i="34"/>
  <c r="G10485" i="34"/>
  <c r="G10486" i="34"/>
  <c r="G10487" i="34"/>
  <c r="G10488" i="34"/>
  <c r="G10489" i="34"/>
  <c r="G10490" i="34"/>
  <c r="G10491" i="34"/>
  <c r="G10492" i="34"/>
  <c r="G10493" i="34"/>
  <c r="G10494" i="34"/>
  <c r="G10495" i="34"/>
  <c r="G10496" i="34"/>
  <c r="G10497" i="34"/>
  <c r="G10498" i="34"/>
  <c r="G10499" i="34"/>
  <c r="G10500" i="34"/>
  <c r="G10501" i="34"/>
  <c r="G10502" i="34"/>
  <c r="G10503" i="34"/>
  <c r="G10504" i="34"/>
  <c r="G10505" i="34"/>
  <c r="G10506" i="34"/>
  <c r="G10507" i="34"/>
  <c r="G10508" i="34"/>
  <c r="G10509" i="34"/>
  <c r="G10510" i="34"/>
  <c r="G10511" i="34"/>
  <c r="G10512" i="34"/>
  <c r="G10513" i="34"/>
  <c r="G10514" i="34"/>
  <c r="G10515" i="34"/>
  <c r="G10516" i="34"/>
  <c r="G10517" i="34"/>
  <c r="G10518" i="34"/>
  <c r="G10519" i="34"/>
  <c r="G10520" i="34"/>
  <c r="G10521" i="34"/>
  <c r="G10522" i="34"/>
  <c r="G10523" i="34"/>
  <c r="G10524" i="34"/>
  <c r="G10525" i="34"/>
  <c r="G10526" i="34"/>
  <c r="G10527" i="34"/>
  <c r="G10528" i="34"/>
  <c r="G10529" i="34"/>
  <c r="G10530" i="34"/>
  <c r="G10531" i="34"/>
  <c r="G10532" i="34"/>
  <c r="G10533" i="34"/>
  <c r="G10534" i="34"/>
  <c r="G10535" i="34"/>
  <c r="G10536" i="34"/>
  <c r="G10537" i="34"/>
  <c r="G10538" i="34"/>
  <c r="G10539" i="34"/>
  <c r="G10540" i="34"/>
  <c r="G10541" i="34"/>
  <c r="G10542" i="34"/>
  <c r="G10543" i="34"/>
  <c r="G10544" i="34"/>
  <c r="G10545" i="34"/>
  <c r="G10546" i="34"/>
  <c r="G10547" i="34"/>
  <c r="G10548" i="34"/>
  <c r="G10549" i="34"/>
  <c r="G10550" i="34"/>
  <c r="G10551" i="34"/>
  <c r="G10552" i="34"/>
  <c r="G10553" i="34"/>
  <c r="G10554" i="34"/>
  <c r="G10555" i="34"/>
  <c r="G10556" i="34"/>
  <c r="G10557" i="34"/>
  <c r="G10558" i="34"/>
  <c r="G10559" i="34"/>
  <c r="G10560" i="34"/>
  <c r="G10561" i="34"/>
  <c r="G10562" i="34"/>
  <c r="G10563" i="34"/>
  <c r="G10564" i="34"/>
  <c r="G10565" i="34"/>
  <c r="G10566" i="34"/>
  <c r="G10567" i="34"/>
  <c r="G10568" i="34"/>
  <c r="G10569" i="34"/>
  <c r="G10570" i="34"/>
  <c r="G10571" i="34"/>
  <c r="G10572" i="34"/>
  <c r="G10573" i="34"/>
  <c r="G10574" i="34"/>
  <c r="G10575" i="34"/>
  <c r="G10576" i="34"/>
  <c r="G10577" i="34"/>
  <c r="G10578" i="34"/>
  <c r="G10579" i="34"/>
  <c r="G10580" i="34"/>
  <c r="G10581" i="34"/>
  <c r="G10582" i="34"/>
  <c r="G10583" i="34"/>
  <c r="G10584" i="34"/>
  <c r="G10585" i="34"/>
  <c r="G10586" i="34"/>
  <c r="G10587" i="34"/>
  <c r="G10588" i="34"/>
  <c r="G10589" i="34"/>
  <c r="G10590" i="34"/>
  <c r="G10591" i="34"/>
  <c r="G10592" i="34"/>
  <c r="G10593" i="34"/>
  <c r="G10594" i="34"/>
  <c r="G10595" i="34"/>
  <c r="G10596" i="34"/>
  <c r="G10597" i="34"/>
  <c r="G10598" i="34"/>
  <c r="G10599" i="34"/>
  <c r="G10600" i="34"/>
  <c r="G10601" i="34"/>
  <c r="G10602" i="34"/>
  <c r="G10603" i="34"/>
  <c r="G10604" i="34"/>
  <c r="G10605" i="34"/>
  <c r="G10606" i="34"/>
  <c r="G10607" i="34"/>
  <c r="G10608" i="34"/>
  <c r="G10609" i="34"/>
  <c r="G10610" i="34"/>
  <c r="G10611" i="34"/>
  <c r="G10612" i="34"/>
  <c r="G10613" i="34"/>
  <c r="G10614" i="34"/>
  <c r="G10615" i="34"/>
  <c r="G10616" i="34"/>
  <c r="G10617" i="34"/>
  <c r="G10618" i="34"/>
  <c r="G10619" i="34"/>
  <c r="G10620" i="34"/>
  <c r="G10621" i="34"/>
  <c r="G10622" i="34"/>
  <c r="G10623" i="34"/>
  <c r="G10624" i="34"/>
  <c r="G10625" i="34"/>
  <c r="G10626" i="34"/>
  <c r="G10627" i="34"/>
  <c r="G10628" i="34"/>
  <c r="G10629" i="34"/>
  <c r="G10630" i="34"/>
  <c r="G10631" i="34"/>
  <c r="G10632" i="34"/>
  <c r="G10633" i="34"/>
  <c r="G10634" i="34"/>
  <c r="G10635" i="34"/>
  <c r="G10636" i="34"/>
  <c r="G10637" i="34"/>
  <c r="G10638" i="34"/>
  <c r="G10639" i="34"/>
  <c r="G10640" i="34"/>
  <c r="G10641" i="34"/>
  <c r="G10642" i="34"/>
  <c r="G10643" i="34"/>
  <c r="G10644" i="34"/>
  <c r="G10645" i="34"/>
  <c r="G10646" i="34"/>
  <c r="G10647" i="34"/>
  <c r="G10648" i="34"/>
  <c r="G10649" i="34"/>
  <c r="G10650" i="34"/>
  <c r="G10651" i="34"/>
  <c r="G10652" i="34"/>
  <c r="G10653" i="34"/>
  <c r="G10654" i="34"/>
  <c r="G10655" i="34"/>
  <c r="G10656" i="34"/>
  <c r="G10657" i="34"/>
  <c r="G10658" i="34"/>
  <c r="G10659" i="34"/>
  <c r="G10660" i="34"/>
  <c r="G10661" i="34"/>
  <c r="G10662" i="34"/>
  <c r="G10663" i="34"/>
  <c r="G10664" i="34"/>
  <c r="G10665" i="34"/>
  <c r="G10666" i="34"/>
  <c r="G10667" i="34"/>
  <c r="G10668" i="34"/>
  <c r="G10669" i="34"/>
  <c r="G10670" i="34"/>
  <c r="G10671" i="34"/>
  <c r="G10672" i="34"/>
  <c r="G10673" i="34"/>
  <c r="G10674" i="34"/>
  <c r="G10675" i="34"/>
  <c r="G10676" i="34"/>
  <c r="G10677" i="34"/>
  <c r="G10678" i="34"/>
  <c r="G10679" i="34"/>
  <c r="G10680" i="34"/>
  <c r="G10681" i="34"/>
  <c r="G10682" i="34"/>
  <c r="G10683" i="34"/>
  <c r="G10684" i="34"/>
  <c r="G10685" i="34"/>
  <c r="G10686" i="34"/>
  <c r="G10687" i="34"/>
  <c r="G10688" i="34"/>
  <c r="G10689" i="34"/>
  <c r="G10690" i="34"/>
  <c r="G10691" i="34"/>
  <c r="G10692" i="34"/>
  <c r="G10693" i="34"/>
  <c r="G10694" i="34"/>
  <c r="G10695" i="34"/>
  <c r="G10696" i="34"/>
  <c r="G10697" i="34"/>
  <c r="G10698" i="34"/>
  <c r="G10699" i="34"/>
  <c r="G10700" i="34"/>
  <c r="G10701" i="34"/>
  <c r="G10702" i="34"/>
  <c r="G10703" i="34"/>
  <c r="G10704" i="34"/>
  <c r="G10705" i="34"/>
  <c r="G10706" i="34"/>
  <c r="G10707" i="34"/>
  <c r="G10708" i="34"/>
  <c r="G10709" i="34"/>
  <c r="G10710" i="34"/>
  <c r="G10711" i="34"/>
  <c r="G10712" i="34"/>
  <c r="G10713" i="34"/>
  <c r="G10714" i="34"/>
  <c r="G10715" i="34"/>
  <c r="G10716" i="34"/>
  <c r="G10717" i="34"/>
  <c r="G10718" i="34"/>
  <c r="G10719" i="34"/>
  <c r="G10720" i="34"/>
  <c r="G10721" i="34"/>
  <c r="G10722" i="34"/>
  <c r="G10723" i="34"/>
  <c r="G10724" i="34"/>
  <c r="G10725" i="34"/>
  <c r="G10726" i="34"/>
  <c r="G10727" i="34"/>
  <c r="G10728" i="34"/>
  <c r="G10729" i="34"/>
  <c r="G10730" i="34"/>
  <c r="G10731" i="34"/>
  <c r="G10732" i="34"/>
  <c r="G10733" i="34"/>
  <c r="G10734" i="34"/>
  <c r="G10735" i="34"/>
  <c r="G10736" i="34"/>
  <c r="G10737" i="34"/>
  <c r="G10738" i="34"/>
  <c r="G10739" i="34"/>
  <c r="G10740" i="34"/>
  <c r="G10741" i="34"/>
  <c r="G10742" i="34"/>
  <c r="G10743" i="34"/>
  <c r="G10744" i="34"/>
  <c r="G10745" i="34"/>
  <c r="G10746" i="34"/>
  <c r="G10747" i="34"/>
  <c r="G10748" i="34"/>
  <c r="G10749" i="34"/>
  <c r="G10750" i="34"/>
  <c r="G10751" i="34"/>
  <c r="G10752" i="34"/>
  <c r="G10753" i="34"/>
  <c r="G10754" i="34"/>
  <c r="G10755" i="34"/>
  <c r="G10756" i="34"/>
  <c r="G10757" i="34"/>
  <c r="G10758" i="34"/>
  <c r="G10759" i="34"/>
  <c r="G10760" i="34"/>
  <c r="G10761" i="34"/>
  <c r="G10762" i="34"/>
  <c r="G10763" i="34"/>
  <c r="G10764" i="34"/>
  <c r="G10765" i="34"/>
  <c r="G10766" i="34"/>
  <c r="G10767" i="34"/>
  <c r="G10768" i="34"/>
  <c r="G10769" i="34"/>
  <c r="G10770" i="34"/>
  <c r="G10771" i="34"/>
  <c r="G10772" i="34"/>
  <c r="G10773" i="34"/>
  <c r="G10774" i="34"/>
  <c r="G10775" i="34"/>
  <c r="G10776" i="34"/>
  <c r="G10777" i="34"/>
  <c r="G10778" i="34"/>
  <c r="G10779" i="34"/>
  <c r="G10780" i="34"/>
  <c r="G10781" i="34"/>
  <c r="G10782" i="34"/>
  <c r="G10783" i="34"/>
  <c r="G10784" i="34"/>
  <c r="G10785" i="34"/>
  <c r="G10786" i="34"/>
  <c r="G10787" i="34"/>
  <c r="G10788" i="34"/>
  <c r="G10789" i="34"/>
  <c r="G10790" i="34"/>
  <c r="G10791" i="34"/>
  <c r="G10792" i="34"/>
  <c r="G10793" i="34"/>
  <c r="G10794" i="34"/>
  <c r="G10795" i="34"/>
  <c r="G10796" i="34"/>
  <c r="G10797" i="34"/>
  <c r="G10798" i="34"/>
  <c r="G10799" i="34"/>
  <c r="G10800" i="34"/>
  <c r="G10801" i="34"/>
  <c r="G10802" i="34"/>
  <c r="G10803" i="34"/>
  <c r="G10804" i="34"/>
  <c r="G10805" i="34"/>
  <c r="G10806" i="34"/>
  <c r="G10807" i="34"/>
  <c r="G10808" i="34"/>
  <c r="G10809" i="34"/>
  <c r="G10810" i="34"/>
  <c r="G10811" i="34"/>
  <c r="G10812" i="34"/>
  <c r="G10813" i="34"/>
  <c r="G10814" i="34"/>
  <c r="G10815" i="34"/>
  <c r="G10816" i="34"/>
  <c r="G10817" i="34"/>
  <c r="G10818" i="34"/>
  <c r="G10819" i="34"/>
  <c r="G10820" i="34"/>
  <c r="G10821" i="34"/>
  <c r="G10822" i="34"/>
  <c r="G10823" i="34"/>
  <c r="G10824" i="34"/>
  <c r="G10825" i="34"/>
  <c r="G10826" i="34"/>
  <c r="G10827" i="34"/>
  <c r="G10828" i="34"/>
  <c r="G10829" i="34"/>
  <c r="G10830" i="34"/>
  <c r="G10831" i="34"/>
  <c r="G10832" i="34"/>
  <c r="G10833" i="34"/>
  <c r="G10834" i="34"/>
  <c r="G10835" i="34"/>
  <c r="G10836" i="34"/>
  <c r="G10837" i="34"/>
  <c r="G10838" i="34"/>
  <c r="G10839" i="34"/>
  <c r="G10840" i="34"/>
  <c r="G10841" i="34"/>
  <c r="G10842" i="34"/>
  <c r="G10843" i="34"/>
  <c r="G10844" i="34"/>
  <c r="G10845" i="34"/>
  <c r="G10846" i="34"/>
  <c r="G10847" i="34"/>
  <c r="G10848" i="34"/>
  <c r="G10849" i="34"/>
  <c r="G10850" i="34"/>
  <c r="G10851" i="34"/>
  <c r="G10852" i="34"/>
  <c r="G10853" i="34"/>
  <c r="G10854" i="34"/>
  <c r="G10855" i="34"/>
  <c r="G10856" i="34"/>
  <c r="G10857" i="34"/>
  <c r="G10858" i="34"/>
  <c r="G10859" i="34"/>
  <c r="G10860" i="34"/>
  <c r="G10861" i="34"/>
  <c r="G10862" i="34"/>
  <c r="G10863" i="34"/>
  <c r="G10864" i="34"/>
  <c r="G10865" i="34"/>
  <c r="G10866" i="34"/>
  <c r="G10867" i="34"/>
  <c r="G10868" i="34"/>
  <c r="G10869" i="34"/>
  <c r="G10870" i="34"/>
  <c r="G10871" i="34"/>
  <c r="G10872" i="34"/>
  <c r="G10873" i="34"/>
  <c r="G10874" i="34"/>
  <c r="G10875" i="34"/>
  <c r="G10876" i="34"/>
  <c r="G10877" i="34"/>
  <c r="G10878" i="34"/>
  <c r="G10879" i="34"/>
  <c r="G10880" i="34"/>
  <c r="G10881" i="34"/>
  <c r="G10882" i="34"/>
  <c r="G10883" i="34"/>
  <c r="G10884" i="34"/>
  <c r="G10885" i="34"/>
  <c r="G10886" i="34"/>
  <c r="G10887" i="34"/>
  <c r="G10888" i="34"/>
  <c r="G10889" i="34"/>
  <c r="G10890" i="34"/>
  <c r="G10891" i="34"/>
  <c r="G10892" i="34"/>
  <c r="G10893" i="34"/>
  <c r="G10894" i="34"/>
  <c r="G10895" i="34"/>
  <c r="G10896" i="34"/>
  <c r="G10897" i="34"/>
  <c r="G10898" i="34"/>
  <c r="G10899" i="34"/>
  <c r="G10900" i="34"/>
  <c r="G10901" i="34"/>
  <c r="G10902" i="34"/>
  <c r="G10903" i="34"/>
  <c r="G10904" i="34"/>
  <c r="G10905" i="34"/>
  <c r="G10906" i="34"/>
  <c r="G10907" i="34"/>
  <c r="G10908" i="34"/>
  <c r="G10909" i="34"/>
  <c r="G10910" i="34"/>
  <c r="G10911" i="34"/>
  <c r="G10912" i="34"/>
  <c r="G10913" i="34"/>
  <c r="G10914" i="34"/>
  <c r="G10915" i="34"/>
  <c r="G10916" i="34"/>
  <c r="G10917" i="34"/>
  <c r="G10918" i="34"/>
  <c r="G10919" i="34"/>
  <c r="G10920" i="34"/>
  <c r="G10921" i="34"/>
  <c r="G10922" i="34"/>
  <c r="G10923" i="34"/>
  <c r="G10924" i="34"/>
  <c r="G10925" i="34"/>
  <c r="G10926" i="34"/>
  <c r="G10927" i="34"/>
  <c r="G10928" i="34"/>
  <c r="G10929" i="34"/>
  <c r="G10930" i="34"/>
  <c r="G10931" i="34"/>
  <c r="G10932" i="34"/>
  <c r="G10933" i="34"/>
  <c r="G10934" i="34"/>
  <c r="G10935" i="34"/>
  <c r="G10936" i="34"/>
  <c r="G10937" i="34"/>
  <c r="G10938" i="34"/>
  <c r="G10939" i="34"/>
  <c r="G10940" i="34"/>
  <c r="G10941" i="34"/>
  <c r="G10942" i="34"/>
  <c r="G10943" i="34"/>
  <c r="G10944" i="34"/>
  <c r="G10945" i="34"/>
  <c r="G10946" i="34"/>
  <c r="G10947" i="34"/>
  <c r="G10948" i="34"/>
  <c r="G10949" i="34"/>
  <c r="G10950" i="34"/>
  <c r="G10951" i="34"/>
  <c r="G10952" i="34"/>
  <c r="G10953" i="34"/>
  <c r="G10954" i="34"/>
  <c r="G10955" i="34"/>
  <c r="G10956" i="34"/>
  <c r="G10957" i="34"/>
  <c r="G10958" i="34"/>
  <c r="G10959" i="34"/>
  <c r="G10960" i="34"/>
  <c r="G10961" i="34"/>
  <c r="G10962" i="34"/>
  <c r="G10963" i="34"/>
  <c r="G10964" i="34"/>
  <c r="G10965" i="34"/>
  <c r="G10966" i="34"/>
  <c r="G10967" i="34"/>
  <c r="G10968" i="34"/>
  <c r="G10969" i="34"/>
  <c r="G10970" i="34"/>
  <c r="G10971" i="34"/>
  <c r="G10972" i="34"/>
  <c r="G10973" i="34"/>
  <c r="G10974" i="34"/>
  <c r="G10975" i="34"/>
  <c r="G10976" i="34"/>
  <c r="G10977" i="34"/>
  <c r="G10978" i="34"/>
  <c r="G10979" i="34"/>
  <c r="G10980" i="34"/>
  <c r="G10981" i="34"/>
  <c r="G10982" i="34"/>
  <c r="G10983" i="34"/>
  <c r="G10984" i="34"/>
  <c r="G10985" i="34"/>
  <c r="G10986" i="34"/>
  <c r="G10987" i="34"/>
  <c r="G10988" i="34"/>
  <c r="G10989" i="34"/>
  <c r="G10990" i="34"/>
  <c r="G10991" i="34"/>
  <c r="G10992" i="34"/>
  <c r="G10993" i="34"/>
  <c r="G10994" i="34"/>
  <c r="G10995" i="34"/>
  <c r="G10996" i="34"/>
  <c r="G10997" i="34"/>
  <c r="G10998" i="34"/>
  <c r="G10999" i="34"/>
  <c r="G11000" i="34"/>
  <c r="G11001" i="34"/>
  <c r="G11002" i="34"/>
  <c r="G11003" i="34"/>
  <c r="G11004" i="34"/>
  <c r="G11005" i="34"/>
  <c r="G11006" i="34"/>
  <c r="G11007" i="34"/>
  <c r="G11008" i="34"/>
  <c r="G11009" i="34"/>
  <c r="G11010" i="34"/>
  <c r="G11011" i="34"/>
  <c r="G11012" i="34"/>
  <c r="G11013" i="34"/>
  <c r="G11014" i="34"/>
  <c r="G11015" i="34"/>
  <c r="G11016" i="34"/>
  <c r="G11017" i="34"/>
  <c r="G11018" i="34"/>
  <c r="G11019" i="34"/>
  <c r="G11020" i="34"/>
  <c r="G11021" i="34"/>
  <c r="G11022" i="34"/>
  <c r="G11023" i="34"/>
  <c r="G11024" i="34"/>
  <c r="G11025" i="34"/>
  <c r="G11026" i="34"/>
  <c r="G11027" i="34"/>
  <c r="G11028" i="34"/>
  <c r="G11029" i="34"/>
  <c r="G11030" i="34"/>
  <c r="G11031" i="34"/>
  <c r="G11032" i="34"/>
  <c r="G11033" i="34"/>
  <c r="G11034" i="34"/>
  <c r="G11035" i="34"/>
  <c r="G11036" i="34"/>
  <c r="G11037" i="34"/>
  <c r="G11038" i="34"/>
  <c r="G11039" i="34"/>
  <c r="G11040" i="34"/>
  <c r="G11041" i="34"/>
  <c r="G11042" i="34"/>
  <c r="G11043" i="34"/>
  <c r="G11044" i="34"/>
  <c r="G11045" i="34"/>
  <c r="G11046" i="34"/>
  <c r="G11047" i="34"/>
  <c r="G11048" i="34"/>
  <c r="G11049" i="34"/>
  <c r="G11050" i="34"/>
  <c r="G11051" i="34"/>
  <c r="G11052" i="34"/>
  <c r="G11053" i="34"/>
  <c r="G11054" i="34"/>
  <c r="G11055" i="34"/>
  <c r="G11056" i="34"/>
  <c r="G11057" i="34"/>
  <c r="G11058" i="34"/>
  <c r="G11059" i="34"/>
  <c r="G11060" i="34"/>
  <c r="G11061" i="34"/>
  <c r="G11062" i="34"/>
  <c r="G11063" i="34"/>
  <c r="G11064" i="34"/>
  <c r="G11065" i="34"/>
  <c r="G11066" i="34"/>
  <c r="G11067" i="34"/>
  <c r="G11068" i="34"/>
  <c r="G11069" i="34"/>
  <c r="G11070" i="34"/>
  <c r="G11071" i="34"/>
  <c r="G11072" i="34"/>
  <c r="G11073" i="34"/>
  <c r="G11074" i="34"/>
  <c r="G11075" i="34"/>
  <c r="G11076" i="34"/>
  <c r="G11077" i="34"/>
  <c r="G11078" i="34"/>
  <c r="G11079" i="34"/>
  <c r="G11080" i="34"/>
  <c r="G11081" i="34"/>
  <c r="G11082" i="34"/>
  <c r="G11083" i="34"/>
  <c r="G11084" i="34"/>
  <c r="G11085" i="34"/>
  <c r="G11086" i="34"/>
  <c r="G11087" i="34"/>
  <c r="G11088" i="34"/>
  <c r="G11089" i="34"/>
  <c r="G11090" i="34"/>
  <c r="G11091" i="34"/>
  <c r="G11092" i="34"/>
  <c r="G11093" i="34"/>
  <c r="G11094" i="34"/>
  <c r="G11095" i="34"/>
  <c r="G11096" i="34"/>
  <c r="G11097" i="34"/>
  <c r="G11098" i="34"/>
  <c r="G11099" i="34"/>
  <c r="G11100" i="34"/>
  <c r="G11101" i="34"/>
  <c r="G11102" i="34"/>
  <c r="G11103" i="34"/>
  <c r="G11104" i="34"/>
  <c r="G11105" i="34"/>
  <c r="G11106" i="34"/>
  <c r="G11107" i="34"/>
  <c r="G11108" i="34"/>
  <c r="G11109" i="34"/>
  <c r="G11110" i="34"/>
  <c r="G11111" i="34"/>
  <c r="G11112" i="34"/>
  <c r="G11113" i="34"/>
  <c r="G11114" i="34"/>
  <c r="G11115" i="34"/>
  <c r="G11116" i="34"/>
  <c r="G11117" i="34"/>
  <c r="G11118" i="34"/>
  <c r="G11119" i="34"/>
  <c r="G11120" i="34"/>
  <c r="G11121" i="34"/>
  <c r="G11122" i="34"/>
  <c r="G11123" i="34"/>
  <c r="G11124" i="34"/>
  <c r="G11125" i="34"/>
  <c r="G11126" i="34"/>
  <c r="G11127" i="34"/>
  <c r="G11128" i="34"/>
  <c r="G11129" i="34"/>
  <c r="G11130" i="34"/>
  <c r="G11131" i="34"/>
  <c r="G11132" i="34"/>
  <c r="G11133" i="34"/>
  <c r="G11134" i="34"/>
  <c r="G11135" i="34"/>
  <c r="G11136" i="34"/>
  <c r="G11137" i="34"/>
  <c r="G11138" i="34"/>
  <c r="G11139" i="34"/>
  <c r="G11140" i="34"/>
  <c r="G11141" i="34"/>
  <c r="G11142" i="34"/>
  <c r="G11143" i="34"/>
  <c r="G11144" i="34"/>
  <c r="G11145" i="34"/>
  <c r="G11146" i="34"/>
  <c r="G11147" i="34"/>
  <c r="G11148" i="34"/>
  <c r="G11149" i="34"/>
  <c r="G11150" i="34"/>
  <c r="G11151" i="34"/>
  <c r="G11152" i="34"/>
  <c r="G11153" i="34"/>
  <c r="G11154" i="34"/>
  <c r="G11155" i="34"/>
  <c r="G11156" i="34"/>
  <c r="G11157" i="34"/>
  <c r="G11158" i="34"/>
  <c r="G11159" i="34"/>
  <c r="G11160" i="34"/>
  <c r="G11161" i="34"/>
  <c r="G11162" i="34"/>
  <c r="G11163" i="34"/>
  <c r="G11164" i="34"/>
  <c r="G11165" i="34"/>
  <c r="G11166" i="34"/>
  <c r="G11167" i="34"/>
  <c r="G11168" i="34"/>
  <c r="G11169" i="34"/>
  <c r="G11170" i="34"/>
  <c r="G11171" i="34"/>
  <c r="G11172" i="34"/>
  <c r="G11173" i="34"/>
  <c r="G11174" i="34"/>
  <c r="G11175" i="34"/>
  <c r="G11176" i="34"/>
  <c r="G11177" i="34"/>
  <c r="G11178" i="34"/>
  <c r="G11179" i="34"/>
  <c r="G11180" i="34"/>
  <c r="G11181" i="34"/>
  <c r="G11182" i="34"/>
  <c r="G11183" i="34"/>
  <c r="G11184" i="34"/>
  <c r="G11185" i="34"/>
  <c r="G11186" i="34"/>
  <c r="G11187" i="34"/>
  <c r="G11188" i="34"/>
  <c r="G11189" i="34"/>
  <c r="G11190" i="34"/>
  <c r="G11191" i="34"/>
  <c r="G11192" i="34"/>
  <c r="G11193" i="34"/>
  <c r="G11194" i="34"/>
  <c r="G11195" i="34"/>
  <c r="G11196" i="34"/>
  <c r="G11197" i="34"/>
  <c r="G11198" i="34"/>
  <c r="G11199" i="34"/>
  <c r="G11200" i="34"/>
  <c r="G11201" i="34"/>
  <c r="G11202" i="34"/>
  <c r="G11203" i="34"/>
  <c r="G11204" i="34"/>
  <c r="G11205" i="34"/>
  <c r="G11206" i="34"/>
  <c r="G11207" i="34"/>
  <c r="G11208" i="34"/>
  <c r="G11209" i="34"/>
  <c r="G11210" i="34"/>
  <c r="G11211" i="34"/>
  <c r="G11212" i="34"/>
  <c r="G11213" i="34"/>
  <c r="G11214" i="34"/>
  <c r="G11215" i="34"/>
  <c r="G11216" i="34"/>
  <c r="G11217" i="34"/>
  <c r="G11218" i="34"/>
  <c r="G11219" i="34"/>
  <c r="G11220" i="34"/>
  <c r="G11221" i="34"/>
  <c r="G11222" i="34"/>
  <c r="G11223" i="34"/>
  <c r="G11224" i="34"/>
  <c r="G11225" i="34"/>
  <c r="G11226" i="34"/>
  <c r="G11227" i="34"/>
  <c r="G11228" i="34"/>
  <c r="G11229" i="34"/>
  <c r="G11230" i="34"/>
  <c r="G11231" i="34"/>
  <c r="G11232" i="34"/>
  <c r="G11233" i="34"/>
  <c r="G11234" i="34"/>
  <c r="G11235" i="34"/>
  <c r="G11236" i="34"/>
  <c r="G11237" i="34"/>
  <c r="G11238" i="34"/>
  <c r="G11239" i="34"/>
  <c r="G11240" i="34"/>
  <c r="G11241" i="34"/>
  <c r="G11242" i="34"/>
  <c r="G11243" i="34"/>
  <c r="G11244" i="34"/>
  <c r="G11245" i="34"/>
  <c r="G11246" i="34"/>
  <c r="G11247" i="34"/>
  <c r="G11248" i="34"/>
  <c r="G11249" i="34"/>
  <c r="G11250" i="34"/>
  <c r="G11251" i="34"/>
  <c r="G11252" i="34"/>
  <c r="G11253" i="34"/>
  <c r="G11254" i="34"/>
  <c r="G11255" i="34"/>
  <c r="G11256" i="34"/>
  <c r="G11257" i="34"/>
  <c r="G11258" i="34"/>
  <c r="G11259" i="34"/>
  <c r="G11260" i="34"/>
  <c r="G11261" i="34"/>
  <c r="G11262" i="34"/>
  <c r="G11263" i="34"/>
  <c r="G11264" i="34"/>
  <c r="G11265" i="34"/>
  <c r="G11266" i="34"/>
  <c r="G11267" i="34"/>
  <c r="G11268" i="34"/>
  <c r="G11269" i="34"/>
  <c r="G11270" i="34"/>
  <c r="G11271" i="34"/>
  <c r="G11272" i="34"/>
  <c r="G11273" i="34"/>
  <c r="G11274" i="34"/>
  <c r="G11275" i="34"/>
  <c r="G11276" i="34"/>
  <c r="G11277" i="34"/>
  <c r="G11278" i="34"/>
  <c r="G11279" i="34"/>
  <c r="G11280" i="34"/>
  <c r="G11281" i="34"/>
  <c r="G11282" i="34"/>
  <c r="G11283" i="34"/>
  <c r="G11284" i="34"/>
  <c r="G11285" i="34"/>
  <c r="G11286" i="34"/>
  <c r="G11287" i="34"/>
  <c r="G11288" i="34"/>
  <c r="G11289" i="34"/>
  <c r="G11290" i="34"/>
  <c r="G11291" i="34"/>
  <c r="G11292" i="34"/>
  <c r="G11293" i="34"/>
  <c r="G11294" i="34"/>
  <c r="G11295" i="34"/>
  <c r="G11296" i="34"/>
  <c r="G11297" i="34"/>
  <c r="G11298" i="34"/>
  <c r="G11299" i="34"/>
  <c r="G11300" i="34"/>
  <c r="G11301" i="34"/>
  <c r="G11302" i="34"/>
  <c r="G11303" i="34"/>
  <c r="G11304" i="34"/>
  <c r="G11305" i="34"/>
  <c r="G11306" i="34"/>
  <c r="G11307" i="34"/>
  <c r="G11308" i="34"/>
  <c r="G11309" i="34"/>
  <c r="G11310" i="34"/>
  <c r="G11311" i="34"/>
  <c r="G11312" i="34"/>
  <c r="G11313" i="34"/>
  <c r="G11314" i="34"/>
  <c r="G11315" i="34"/>
  <c r="G11316" i="34"/>
  <c r="G11317" i="34"/>
  <c r="G11318" i="34"/>
  <c r="G11319" i="34"/>
  <c r="G11320" i="34"/>
  <c r="G11321" i="34"/>
  <c r="G11322" i="34"/>
  <c r="G11323" i="34"/>
  <c r="G11324" i="34"/>
  <c r="G11325" i="34"/>
  <c r="G11326" i="34"/>
  <c r="G11327" i="34"/>
  <c r="G11328" i="34"/>
  <c r="G11329" i="34"/>
  <c r="G11330" i="34"/>
  <c r="G11331" i="34"/>
  <c r="G11332" i="34"/>
  <c r="G11333" i="34"/>
  <c r="G11334" i="34"/>
  <c r="G11335" i="34"/>
  <c r="G11336" i="34"/>
  <c r="G11337" i="34"/>
  <c r="G11338" i="34"/>
  <c r="G11339" i="34"/>
  <c r="G11340" i="34"/>
  <c r="G11341" i="34"/>
  <c r="G11342" i="34"/>
  <c r="G11343" i="34"/>
  <c r="G11344" i="34"/>
  <c r="G11345" i="34"/>
  <c r="G11346" i="34"/>
  <c r="G11347" i="34"/>
  <c r="G11348" i="34"/>
  <c r="G11349" i="34"/>
  <c r="G11350" i="34"/>
  <c r="G11351" i="34"/>
  <c r="G11352" i="34"/>
  <c r="G11353" i="34"/>
  <c r="G11354" i="34"/>
  <c r="G11355" i="34"/>
  <c r="G11356" i="34"/>
  <c r="G11357" i="34"/>
  <c r="G11358" i="34"/>
  <c r="G11359" i="34"/>
  <c r="G11360" i="34"/>
  <c r="G11361" i="34"/>
  <c r="G11362" i="34"/>
  <c r="G11363" i="34"/>
  <c r="G11364" i="34"/>
  <c r="G11365" i="34"/>
  <c r="G11366" i="34"/>
  <c r="G11367" i="34"/>
  <c r="G11368" i="34"/>
  <c r="G11369" i="34"/>
  <c r="G11370" i="34"/>
  <c r="G11371" i="34"/>
  <c r="G11372" i="34"/>
  <c r="G11373" i="34"/>
  <c r="G11374" i="34"/>
  <c r="G11375" i="34"/>
  <c r="G11376" i="34"/>
  <c r="G11377" i="34"/>
  <c r="G11378" i="34"/>
  <c r="G11379" i="34"/>
  <c r="G11380" i="34"/>
  <c r="G11381" i="34"/>
  <c r="G11382" i="34"/>
  <c r="G11383" i="34"/>
  <c r="G11384" i="34"/>
  <c r="G11385" i="34"/>
  <c r="G11386" i="34"/>
  <c r="G11387" i="34"/>
  <c r="G11388" i="34"/>
  <c r="G11389" i="34"/>
  <c r="G11390" i="34"/>
  <c r="G11391" i="34"/>
  <c r="G11392" i="34"/>
  <c r="G11393" i="34"/>
  <c r="G11394" i="34"/>
  <c r="G11395" i="34"/>
  <c r="G11396" i="34"/>
  <c r="G11397" i="34"/>
  <c r="G11398" i="34"/>
  <c r="G11399" i="34"/>
  <c r="G11400" i="34"/>
  <c r="G11401" i="34"/>
  <c r="G11402" i="34"/>
  <c r="G11403" i="34"/>
  <c r="G11404" i="34"/>
  <c r="G11405" i="34"/>
  <c r="G11406" i="34"/>
  <c r="G11407" i="34"/>
  <c r="G11408" i="34"/>
  <c r="G11409" i="34"/>
  <c r="G11410" i="34"/>
  <c r="G11411" i="34"/>
  <c r="G11412" i="34"/>
  <c r="G11413" i="34"/>
  <c r="G11414" i="34"/>
  <c r="G11415" i="34"/>
  <c r="G11416" i="34"/>
  <c r="G11417" i="34"/>
  <c r="G11418" i="34"/>
  <c r="G11419" i="34"/>
  <c r="G11420" i="34"/>
  <c r="G11421" i="34"/>
  <c r="G11422" i="34"/>
  <c r="G11423" i="34"/>
  <c r="G11424" i="34"/>
  <c r="G11425" i="34"/>
  <c r="G11426" i="34"/>
  <c r="G11427" i="34"/>
  <c r="G11428" i="34"/>
  <c r="G11429" i="34"/>
  <c r="G11430" i="34"/>
  <c r="G11431" i="34"/>
  <c r="G11432" i="34"/>
  <c r="G11433" i="34"/>
  <c r="G11434" i="34"/>
  <c r="G11435" i="34"/>
  <c r="G11436" i="34"/>
  <c r="G11437" i="34"/>
  <c r="G11438" i="34"/>
  <c r="G11439" i="34"/>
  <c r="G11440" i="34"/>
  <c r="G11441" i="34"/>
  <c r="G11442" i="34"/>
  <c r="G11443" i="34"/>
  <c r="G11444" i="34"/>
  <c r="G11445" i="34"/>
  <c r="G11446" i="34"/>
  <c r="G11447" i="34"/>
  <c r="G11448" i="34"/>
  <c r="G11449" i="34"/>
  <c r="G11450" i="34"/>
  <c r="G11451" i="34"/>
  <c r="G11452" i="34"/>
  <c r="G11453" i="34"/>
  <c r="G11454" i="34"/>
  <c r="G11455" i="34"/>
  <c r="G11456" i="34"/>
  <c r="G11457" i="34"/>
  <c r="G11458" i="34"/>
  <c r="G11459" i="34"/>
  <c r="G11460" i="34"/>
  <c r="G11461" i="34"/>
  <c r="G11462" i="34"/>
  <c r="G11463" i="34"/>
  <c r="G11464" i="34"/>
  <c r="G11465" i="34"/>
  <c r="G11466" i="34"/>
  <c r="G11467" i="34"/>
  <c r="G11468" i="34"/>
  <c r="G11469" i="34"/>
  <c r="G11470" i="34"/>
  <c r="G11471" i="34"/>
  <c r="G11472" i="34"/>
  <c r="G11473" i="34"/>
  <c r="G11474" i="34"/>
  <c r="G11475" i="34"/>
  <c r="G11476" i="34"/>
  <c r="G11477" i="34"/>
  <c r="G11478" i="34"/>
  <c r="G11479" i="34"/>
  <c r="G11480" i="34"/>
  <c r="G11481" i="34"/>
  <c r="G11482" i="34"/>
  <c r="G11483" i="34"/>
  <c r="G11484" i="34"/>
  <c r="G11485" i="34"/>
  <c r="G11486" i="34"/>
  <c r="G11487" i="34"/>
  <c r="G11488" i="34"/>
  <c r="G11489" i="34"/>
  <c r="G11490" i="34"/>
  <c r="G11491" i="34"/>
  <c r="G11492" i="34"/>
  <c r="G11493" i="34"/>
  <c r="G11494" i="34"/>
  <c r="G11495" i="34"/>
  <c r="G11496" i="34"/>
  <c r="G11497" i="34"/>
  <c r="G11498" i="34"/>
  <c r="G11499" i="34"/>
  <c r="G11500" i="34"/>
  <c r="G11501" i="34"/>
  <c r="G11502" i="34"/>
  <c r="G11503" i="34"/>
  <c r="G11504" i="34"/>
  <c r="G11505" i="34"/>
  <c r="G11506" i="34"/>
  <c r="G11507" i="34"/>
  <c r="G11508" i="34"/>
  <c r="G11509" i="34"/>
  <c r="G11510" i="34"/>
  <c r="G11511" i="34"/>
  <c r="G11512" i="34"/>
  <c r="G11513" i="34"/>
  <c r="G11514" i="34"/>
  <c r="G11515" i="34"/>
  <c r="G11516" i="34"/>
  <c r="G11517" i="34"/>
  <c r="G11518" i="34"/>
  <c r="G11519" i="34"/>
  <c r="G11520" i="34"/>
  <c r="G11521" i="34"/>
  <c r="G11522" i="34"/>
  <c r="G11523" i="34"/>
  <c r="G11524" i="34"/>
  <c r="G11525" i="34"/>
  <c r="G11526" i="34"/>
  <c r="G11527" i="34"/>
  <c r="G11528" i="34"/>
  <c r="G11529" i="34"/>
  <c r="G11530" i="34"/>
  <c r="G11531" i="34"/>
  <c r="G11532" i="34"/>
  <c r="G11533" i="34"/>
  <c r="G11534" i="34"/>
  <c r="G11535" i="34"/>
  <c r="G11536" i="34"/>
  <c r="G11537" i="34"/>
  <c r="G11538" i="34"/>
  <c r="G11539" i="34"/>
  <c r="G11540" i="34"/>
  <c r="G11541" i="34"/>
  <c r="G11542" i="34"/>
  <c r="G11543" i="34"/>
  <c r="G11544" i="34"/>
  <c r="G11545" i="34"/>
  <c r="G11546" i="34"/>
  <c r="G11547" i="34"/>
  <c r="G11548" i="34"/>
  <c r="G11549" i="34"/>
  <c r="G11550" i="34"/>
  <c r="G11551" i="34"/>
  <c r="G11552" i="34"/>
  <c r="G11553" i="34"/>
  <c r="G11554" i="34"/>
  <c r="G11555" i="34"/>
  <c r="G11556" i="34"/>
  <c r="G11557" i="34"/>
  <c r="G11558" i="34"/>
  <c r="G11559" i="34"/>
  <c r="G11560" i="34"/>
  <c r="G11561" i="34"/>
  <c r="G11562" i="34"/>
  <c r="G11563" i="34"/>
  <c r="G11564" i="34"/>
  <c r="G11565" i="34"/>
  <c r="G11566" i="34"/>
  <c r="G11567" i="34"/>
  <c r="G11568" i="34"/>
  <c r="G11569" i="34"/>
  <c r="G11570" i="34"/>
  <c r="G11571" i="34"/>
  <c r="G11572" i="34"/>
  <c r="G11573" i="34"/>
  <c r="G11574" i="34"/>
  <c r="G11575" i="34"/>
  <c r="G11576" i="34"/>
  <c r="G11577" i="34"/>
  <c r="G11578" i="34"/>
  <c r="G11579" i="34"/>
  <c r="G11580" i="34"/>
  <c r="G11581" i="34"/>
  <c r="G11582" i="34"/>
  <c r="G11583" i="34"/>
  <c r="G11584" i="34"/>
  <c r="G11585" i="34"/>
  <c r="G11586" i="34"/>
  <c r="G11587" i="34"/>
  <c r="G11588" i="34"/>
  <c r="G11589" i="34"/>
  <c r="G11590" i="34"/>
  <c r="G11591" i="34"/>
  <c r="G11592" i="34"/>
  <c r="G11593" i="34"/>
  <c r="G11594" i="34"/>
  <c r="G11595" i="34"/>
  <c r="G11596" i="34"/>
  <c r="G11597" i="34"/>
  <c r="G11598" i="34"/>
  <c r="G11599" i="34"/>
  <c r="G11600" i="34"/>
  <c r="G11601" i="34"/>
  <c r="G11602" i="34"/>
  <c r="G11603" i="34"/>
  <c r="G11604" i="34"/>
  <c r="G11605" i="34"/>
  <c r="G11606" i="34"/>
  <c r="G11607" i="34"/>
  <c r="G11608" i="34"/>
  <c r="G11609" i="34"/>
  <c r="G11610" i="34"/>
  <c r="G11611" i="34"/>
  <c r="G11612" i="34"/>
  <c r="G11613" i="34"/>
  <c r="G11614" i="34"/>
  <c r="G11615" i="34"/>
  <c r="G11616" i="34"/>
  <c r="G11617" i="34"/>
  <c r="G11618" i="34"/>
  <c r="G11619" i="34"/>
  <c r="G11620" i="34"/>
  <c r="G11621" i="34"/>
  <c r="G11622" i="34"/>
  <c r="G11623" i="34"/>
  <c r="G11624" i="34"/>
  <c r="G11625" i="34"/>
  <c r="G11626" i="34"/>
  <c r="G11627" i="34"/>
  <c r="G11628" i="34"/>
  <c r="G11629" i="34"/>
  <c r="G11630" i="34"/>
  <c r="G11631" i="34"/>
  <c r="G11632" i="34"/>
  <c r="G11633" i="34"/>
  <c r="G11634" i="34"/>
  <c r="G11635" i="34"/>
  <c r="G11636" i="34"/>
  <c r="G11637" i="34"/>
  <c r="G11638" i="34"/>
  <c r="G11639" i="34"/>
  <c r="G11640" i="34"/>
  <c r="G11641" i="34"/>
  <c r="G11642" i="34"/>
  <c r="G11643" i="34"/>
  <c r="G11644" i="34"/>
  <c r="G11645" i="34"/>
  <c r="G11646" i="34"/>
  <c r="G11647" i="34"/>
  <c r="G11648" i="34"/>
  <c r="G11649" i="34"/>
  <c r="G11650" i="34"/>
  <c r="G11651" i="34"/>
  <c r="G11652" i="34"/>
  <c r="G11653" i="34"/>
  <c r="G11654" i="34"/>
  <c r="G11655" i="34"/>
  <c r="G11656" i="34"/>
  <c r="G11657" i="34"/>
  <c r="G11658" i="34"/>
  <c r="G11659" i="34"/>
  <c r="G11660" i="34"/>
  <c r="G11661" i="34"/>
  <c r="G11662" i="34"/>
  <c r="G11663" i="34"/>
  <c r="G11664" i="34"/>
  <c r="G11665" i="34"/>
  <c r="G11666" i="34"/>
  <c r="G11667" i="34"/>
  <c r="G11668" i="34"/>
  <c r="G11669" i="34"/>
  <c r="G11670" i="34"/>
  <c r="G11671" i="34"/>
  <c r="G11672" i="34"/>
  <c r="G11673" i="34"/>
  <c r="G11674" i="34"/>
  <c r="G11675" i="34"/>
  <c r="G11676" i="34"/>
  <c r="G11677" i="34"/>
  <c r="G11678" i="34"/>
  <c r="G11679" i="34"/>
  <c r="G11680" i="34"/>
  <c r="G11681" i="34"/>
  <c r="G11682" i="34"/>
  <c r="G11683" i="34"/>
  <c r="G11684" i="34"/>
  <c r="G11685" i="34"/>
  <c r="G11686" i="34"/>
  <c r="G11687" i="34"/>
  <c r="G11688" i="34"/>
  <c r="G11689" i="34"/>
  <c r="G11690" i="34"/>
  <c r="G11691" i="34"/>
  <c r="G11692" i="34"/>
  <c r="G11693" i="34"/>
  <c r="G11694" i="34"/>
  <c r="G11695" i="34"/>
  <c r="G11696" i="34"/>
  <c r="G11697" i="34"/>
  <c r="G11698" i="34"/>
  <c r="G11699" i="34"/>
  <c r="G11700" i="34"/>
  <c r="G11701" i="34"/>
  <c r="G11702" i="34"/>
  <c r="G11703" i="34"/>
  <c r="G11704" i="34"/>
  <c r="G11705" i="34"/>
  <c r="G11706" i="34"/>
  <c r="G11707" i="34"/>
  <c r="G11708" i="34"/>
  <c r="G11709" i="34"/>
  <c r="G11710" i="34"/>
  <c r="G11711" i="34"/>
  <c r="G11712" i="34"/>
  <c r="G11713" i="34"/>
  <c r="G11714" i="34"/>
  <c r="G11715" i="34"/>
  <c r="G11716" i="34"/>
  <c r="G11717" i="34"/>
  <c r="G11718" i="34"/>
  <c r="G11719" i="34"/>
  <c r="G11720" i="34"/>
  <c r="G11721" i="34"/>
  <c r="G11722" i="34"/>
  <c r="G11723" i="34"/>
  <c r="G11724" i="34"/>
  <c r="G11725" i="34"/>
  <c r="G11726" i="34"/>
  <c r="G11727" i="34"/>
  <c r="G11728" i="34"/>
  <c r="G11729" i="34"/>
  <c r="G11730" i="34"/>
  <c r="G11731" i="34"/>
  <c r="G11732" i="34"/>
  <c r="G11733" i="34"/>
  <c r="G11734" i="34"/>
  <c r="G11735" i="34"/>
  <c r="G11736" i="34"/>
  <c r="G11737" i="34"/>
  <c r="G11738" i="34"/>
  <c r="G11739" i="34"/>
  <c r="G11740" i="34"/>
  <c r="G11741" i="34"/>
  <c r="G11742" i="34"/>
  <c r="G11743" i="34"/>
  <c r="G11744" i="34"/>
  <c r="G11745" i="34"/>
  <c r="G11746" i="34"/>
  <c r="G11747" i="34"/>
  <c r="G11748" i="34"/>
  <c r="G11749" i="34"/>
  <c r="G11750" i="34"/>
  <c r="G11751" i="34"/>
  <c r="G11752" i="34"/>
  <c r="G11753" i="34"/>
  <c r="G11754" i="34"/>
  <c r="G11755" i="34"/>
  <c r="G11756" i="34"/>
  <c r="G11757" i="34"/>
  <c r="G11758" i="34"/>
  <c r="G11759" i="34"/>
  <c r="G11760" i="34"/>
  <c r="G11761" i="34"/>
  <c r="G11762" i="34"/>
  <c r="G11763" i="34"/>
  <c r="G11764" i="34"/>
  <c r="G11765" i="34"/>
  <c r="G11766" i="34"/>
  <c r="G11767" i="34"/>
  <c r="G11768" i="34"/>
  <c r="G11769" i="34"/>
  <c r="G11770" i="34"/>
  <c r="G11771" i="34"/>
  <c r="G11772" i="34"/>
  <c r="G11773" i="34"/>
  <c r="G11774" i="34"/>
  <c r="G11775" i="34"/>
  <c r="G11776" i="34"/>
  <c r="G11777" i="34"/>
  <c r="G11778" i="34"/>
  <c r="G11779" i="34"/>
  <c r="G11780" i="34"/>
  <c r="G11781" i="34"/>
  <c r="G11782" i="34"/>
  <c r="G11783" i="34"/>
  <c r="G11784" i="34"/>
  <c r="G11785" i="34"/>
  <c r="G11786" i="34"/>
  <c r="G11787" i="34"/>
  <c r="G11788" i="34"/>
  <c r="G11789" i="34"/>
  <c r="G11790" i="34"/>
  <c r="G11791" i="34"/>
  <c r="G11792" i="34"/>
  <c r="G11793" i="34"/>
  <c r="G11794" i="34"/>
  <c r="G11795" i="34"/>
  <c r="G11796" i="34"/>
  <c r="G11797" i="34"/>
  <c r="G11798" i="34"/>
  <c r="G11799" i="34"/>
  <c r="G11800" i="34"/>
  <c r="G11801" i="34"/>
  <c r="G11802" i="34"/>
  <c r="G11803" i="34"/>
  <c r="G11804" i="34"/>
  <c r="G11805" i="34"/>
  <c r="G11806" i="34"/>
  <c r="G11807" i="34"/>
  <c r="G11808" i="34"/>
  <c r="G11809" i="34"/>
  <c r="G11810" i="34"/>
  <c r="G11811" i="34"/>
  <c r="G11812" i="34"/>
  <c r="G11813" i="34"/>
  <c r="G11814" i="34"/>
  <c r="G11815" i="34"/>
  <c r="G11816" i="34"/>
  <c r="G11817" i="34"/>
  <c r="G11818" i="34"/>
  <c r="G11819" i="34"/>
  <c r="G11820" i="34"/>
  <c r="G11821" i="34"/>
  <c r="G11822" i="34"/>
  <c r="G11823" i="34"/>
  <c r="G11824" i="34"/>
  <c r="G11825" i="34"/>
  <c r="G11826" i="34"/>
  <c r="G11827" i="34"/>
  <c r="G11828" i="34"/>
  <c r="G11829" i="34"/>
  <c r="G11830" i="34"/>
  <c r="G11831" i="34"/>
  <c r="G11832" i="34"/>
  <c r="G11833" i="34"/>
  <c r="G11834" i="34"/>
  <c r="G11835" i="34"/>
  <c r="G11836" i="34"/>
  <c r="G11837" i="34"/>
  <c r="G11838" i="34"/>
  <c r="G11839" i="34"/>
  <c r="G11840" i="34"/>
  <c r="G11841" i="34"/>
  <c r="G11842" i="34"/>
  <c r="G11843" i="34"/>
  <c r="G11844" i="34"/>
  <c r="G11845" i="34"/>
  <c r="G11846" i="34"/>
  <c r="G11847" i="34"/>
  <c r="G11848" i="34"/>
  <c r="G11849" i="34"/>
  <c r="G11850" i="34"/>
  <c r="G11851" i="34"/>
  <c r="G11852" i="34"/>
  <c r="G11853" i="34"/>
  <c r="G11854" i="34"/>
  <c r="G11855" i="34"/>
  <c r="G11856" i="34"/>
  <c r="G11857" i="34"/>
  <c r="G11858" i="34"/>
  <c r="G11859" i="34"/>
  <c r="G11860" i="34"/>
  <c r="G11861" i="34"/>
  <c r="G11862" i="34"/>
  <c r="G11863" i="34"/>
  <c r="G11864" i="34"/>
  <c r="G11865" i="34"/>
  <c r="G11866" i="34"/>
  <c r="G11867" i="34"/>
  <c r="G11868" i="34"/>
  <c r="G11869" i="34"/>
  <c r="G11870" i="34"/>
  <c r="G11871" i="34"/>
  <c r="G11872" i="34"/>
  <c r="G11873" i="34"/>
  <c r="G11874" i="34"/>
  <c r="G11875" i="34"/>
  <c r="G11876" i="34"/>
  <c r="G11877" i="34"/>
  <c r="G11878" i="34"/>
  <c r="G11879" i="34"/>
  <c r="G11880" i="34"/>
  <c r="G11881" i="34"/>
  <c r="G11882" i="34"/>
  <c r="G11883" i="34"/>
  <c r="G11884" i="34"/>
  <c r="G11885" i="34"/>
  <c r="G11886" i="34"/>
  <c r="G11887" i="34"/>
  <c r="G11888" i="34"/>
  <c r="G11889" i="34"/>
  <c r="G11890" i="34"/>
  <c r="G11891" i="34"/>
  <c r="G11892" i="34"/>
  <c r="G11893" i="34"/>
  <c r="G11894" i="34"/>
  <c r="G11895" i="34"/>
  <c r="G11896" i="34"/>
  <c r="G11897" i="34"/>
  <c r="G11898" i="34"/>
  <c r="G11899" i="34"/>
  <c r="G11900" i="34"/>
  <c r="G11901" i="34"/>
  <c r="G11902" i="34"/>
  <c r="G11903" i="34"/>
  <c r="G11904" i="34"/>
  <c r="G11905" i="34"/>
  <c r="G11906" i="34"/>
  <c r="G11907" i="34"/>
  <c r="G11908" i="34"/>
  <c r="G11909" i="34"/>
  <c r="G11910" i="34"/>
  <c r="G11911" i="34"/>
  <c r="G11912" i="34"/>
  <c r="G11913" i="34"/>
  <c r="G11914" i="34"/>
  <c r="G11915" i="34"/>
  <c r="G11916" i="34"/>
  <c r="G11917" i="34"/>
  <c r="G11918" i="34"/>
  <c r="G11919" i="34"/>
  <c r="G11920" i="34"/>
  <c r="G11921" i="34"/>
  <c r="G11922" i="34"/>
  <c r="G11923" i="34"/>
  <c r="G11924" i="34"/>
  <c r="G11925" i="34"/>
  <c r="G11926" i="34"/>
  <c r="G11927" i="34"/>
  <c r="G11928" i="34"/>
  <c r="G11929" i="34"/>
  <c r="G11930" i="34"/>
  <c r="G11931" i="34"/>
  <c r="G11932" i="34"/>
  <c r="G11933" i="34"/>
  <c r="G11934" i="34"/>
  <c r="G11935" i="34"/>
  <c r="G11936" i="34"/>
  <c r="G11937" i="34"/>
  <c r="G11938" i="34"/>
  <c r="G11939" i="34"/>
  <c r="G11940" i="34"/>
  <c r="G11941" i="34"/>
  <c r="G11942" i="34"/>
  <c r="G11943" i="34"/>
  <c r="G11944" i="34"/>
  <c r="G11945" i="34"/>
  <c r="G11946" i="34"/>
  <c r="G11947" i="34"/>
  <c r="G11948" i="34"/>
  <c r="G11949" i="34"/>
  <c r="G11950" i="34"/>
  <c r="G11951" i="34"/>
  <c r="G11952" i="34"/>
  <c r="G11953" i="34"/>
  <c r="G11954" i="34"/>
  <c r="G11955" i="34"/>
  <c r="G11956" i="34"/>
  <c r="G11957" i="34"/>
  <c r="G11958" i="34"/>
  <c r="G11959" i="34"/>
  <c r="G11960" i="34"/>
  <c r="G11961" i="34"/>
  <c r="G11962" i="34"/>
  <c r="G11963" i="34"/>
  <c r="G11964" i="34"/>
  <c r="G11965" i="34"/>
  <c r="G11966" i="34"/>
  <c r="G11967" i="34"/>
  <c r="G11968" i="34"/>
  <c r="G11969" i="34"/>
  <c r="G11970" i="34"/>
  <c r="G11971" i="34"/>
  <c r="G11972" i="34"/>
  <c r="G11973" i="34"/>
  <c r="G11974" i="34"/>
  <c r="G11975" i="34"/>
  <c r="G11976" i="34"/>
  <c r="G11977" i="34"/>
  <c r="G11978" i="34"/>
  <c r="G11979" i="34"/>
  <c r="G11980" i="34"/>
  <c r="G11981" i="34"/>
  <c r="G11982" i="34"/>
  <c r="G11983" i="34"/>
  <c r="G11984" i="34"/>
  <c r="G11985" i="34"/>
  <c r="G11986" i="34"/>
  <c r="G11987" i="34"/>
  <c r="G11988" i="34"/>
  <c r="G11989" i="34"/>
  <c r="G11990" i="34"/>
  <c r="G11991" i="34"/>
  <c r="G11992" i="34"/>
  <c r="G11993" i="34"/>
  <c r="G11994" i="34"/>
  <c r="G11995" i="34"/>
  <c r="G11996" i="34"/>
  <c r="G11997" i="34"/>
  <c r="G11998" i="34"/>
  <c r="G11999" i="34"/>
  <c r="G12000" i="34"/>
  <c r="G12001" i="34"/>
  <c r="G12002" i="34"/>
  <c r="G12003" i="34"/>
  <c r="G12004" i="34"/>
  <c r="G12005" i="34"/>
  <c r="G12006" i="34"/>
  <c r="G12007" i="34"/>
  <c r="G12008" i="34"/>
  <c r="G12009" i="34"/>
  <c r="G12010" i="34"/>
  <c r="G12011" i="34"/>
  <c r="G12012" i="34"/>
  <c r="G12013" i="34"/>
  <c r="G12014" i="34"/>
  <c r="G12015" i="34"/>
  <c r="G12016" i="34"/>
  <c r="G12017" i="34"/>
  <c r="G12018" i="34"/>
  <c r="G12019" i="34"/>
  <c r="G12020" i="34"/>
  <c r="G12021" i="34"/>
  <c r="G12022" i="34"/>
  <c r="G12023" i="34"/>
  <c r="G12024" i="34"/>
  <c r="G12025" i="34"/>
  <c r="G12026" i="34"/>
  <c r="G12027" i="34"/>
  <c r="G12028" i="34"/>
  <c r="G12029" i="34"/>
  <c r="G12030" i="34"/>
  <c r="G12031" i="34"/>
  <c r="G12032" i="34"/>
  <c r="G12033" i="34"/>
  <c r="G12034" i="34"/>
  <c r="G12035" i="34"/>
  <c r="G12036" i="34"/>
  <c r="G12037" i="34"/>
  <c r="G12038" i="34"/>
  <c r="G12039" i="34"/>
  <c r="G12040" i="34"/>
  <c r="G12041" i="34"/>
  <c r="G12042" i="34"/>
  <c r="G12043" i="34"/>
  <c r="G12044" i="34"/>
  <c r="G12045" i="34"/>
  <c r="G12046" i="34"/>
  <c r="G12047" i="34"/>
  <c r="G12048" i="34"/>
  <c r="G12049" i="34"/>
  <c r="G12050" i="34"/>
  <c r="G12051" i="34"/>
  <c r="G12052" i="34"/>
  <c r="G12053" i="34"/>
  <c r="G12054" i="34"/>
  <c r="G12055" i="34"/>
  <c r="G12056" i="34"/>
  <c r="G12057" i="34"/>
  <c r="G12058" i="34"/>
  <c r="G12059" i="34"/>
  <c r="G12060" i="34"/>
  <c r="G12061" i="34"/>
  <c r="G12062" i="34"/>
  <c r="G12063" i="34"/>
  <c r="G12064" i="34"/>
  <c r="G12065" i="34"/>
  <c r="G12066" i="34"/>
  <c r="G12067" i="34"/>
  <c r="G12068" i="34"/>
  <c r="G12069" i="34"/>
  <c r="G12070" i="34"/>
  <c r="G12071" i="34"/>
  <c r="G12072" i="34"/>
  <c r="G12073" i="34"/>
  <c r="G12074" i="34"/>
  <c r="G12075" i="34"/>
  <c r="G12076" i="34"/>
  <c r="G12077" i="34"/>
  <c r="G12078" i="34"/>
  <c r="G12079" i="34"/>
  <c r="G12080" i="34"/>
  <c r="G12081" i="34"/>
  <c r="G12082" i="34"/>
  <c r="G12083" i="34"/>
  <c r="G12084" i="34"/>
  <c r="G12085" i="34"/>
  <c r="G12086" i="34"/>
  <c r="G12087" i="34"/>
  <c r="G12088" i="34"/>
  <c r="G12089" i="34"/>
  <c r="G12090" i="34"/>
  <c r="G12091" i="34"/>
  <c r="G12092" i="34"/>
  <c r="G12093" i="34"/>
  <c r="G12094" i="34"/>
  <c r="G12095" i="34"/>
  <c r="G12096" i="34"/>
  <c r="G12097" i="34"/>
  <c r="G12098" i="34"/>
  <c r="G12099" i="34"/>
  <c r="G12100" i="34"/>
  <c r="G12101" i="34"/>
  <c r="G12102" i="34"/>
  <c r="G12103" i="34"/>
  <c r="G12104" i="34"/>
  <c r="G12105" i="34"/>
  <c r="G12106" i="34"/>
  <c r="G12107" i="34"/>
  <c r="G12108" i="34"/>
  <c r="G12109" i="34"/>
  <c r="G12110" i="34"/>
  <c r="G12111" i="34"/>
  <c r="G12112" i="34"/>
  <c r="G12113" i="34"/>
  <c r="G12114" i="34"/>
  <c r="G12115" i="34"/>
  <c r="G12116" i="34"/>
  <c r="G12117" i="34"/>
  <c r="G12118" i="34"/>
  <c r="G12119" i="34"/>
  <c r="G12120" i="34"/>
  <c r="G12121" i="34"/>
  <c r="G12122" i="34"/>
  <c r="G12123" i="34"/>
  <c r="G12124" i="34"/>
  <c r="G12125" i="34"/>
  <c r="G12126" i="34"/>
  <c r="G12127" i="34"/>
  <c r="G12128" i="34"/>
  <c r="G12129" i="34"/>
  <c r="G12130" i="34"/>
  <c r="G12131" i="34"/>
  <c r="G12132" i="34"/>
  <c r="G12133" i="34"/>
  <c r="G12134" i="34"/>
  <c r="G12135" i="34"/>
  <c r="G12136" i="34"/>
  <c r="G12137" i="34"/>
  <c r="G12138" i="34"/>
  <c r="G12139" i="34"/>
  <c r="G12140" i="34"/>
  <c r="G12141" i="34"/>
  <c r="G12142" i="34"/>
  <c r="G12143" i="34"/>
  <c r="G12144" i="34"/>
  <c r="G12145" i="34"/>
  <c r="G12146" i="34"/>
  <c r="G12147" i="34"/>
  <c r="G12148" i="34"/>
  <c r="G12149" i="34"/>
  <c r="G12150" i="34"/>
  <c r="G12151" i="34"/>
  <c r="G12152" i="34"/>
  <c r="G12153" i="34"/>
  <c r="G12154" i="34"/>
  <c r="G12155" i="34"/>
  <c r="G12156" i="34"/>
  <c r="G12157" i="34"/>
  <c r="G12158" i="34"/>
  <c r="G12159" i="34"/>
  <c r="G12160" i="34"/>
  <c r="G12161" i="34"/>
  <c r="G12162" i="34"/>
  <c r="G12163" i="34"/>
  <c r="G12164" i="34"/>
  <c r="G12165" i="34"/>
  <c r="G12166" i="34"/>
  <c r="G12167" i="34"/>
  <c r="G12168" i="34"/>
  <c r="G12169" i="34"/>
  <c r="G12170" i="34"/>
  <c r="G12171" i="34"/>
  <c r="G12172" i="34"/>
  <c r="G12173" i="34"/>
  <c r="G12174" i="34"/>
  <c r="G12175" i="34"/>
  <c r="G12176" i="34"/>
  <c r="G12177" i="34"/>
  <c r="G12178" i="34"/>
  <c r="G12179" i="34"/>
  <c r="G12180" i="34"/>
  <c r="G12181" i="34"/>
  <c r="G12182" i="34"/>
  <c r="G12183" i="34"/>
  <c r="G12184" i="34"/>
  <c r="G12185" i="34"/>
  <c r="G12186" i="34"/>
  <c r="G12187" i="34"/>
  <c r="G12188" i="34"/>
  <c r="G12189" i="34"/>
  <c r="G12190" i="34"/>
  <c r="G12191" i="34"/>
  <c r="G12192" i="34"/>
  <c r="G12193" i="34"/>
  <c r="G12194" i="34"/>
  <c r="G12195" i="34"/>
  <c r="G12196" i="34"/>
  <c r="G12197" i="34"/>
  <c r="G12198" i="34"/>
  <c r="G12199" i="34"/>
  <c r="G12200" i="34"/>
  <c r="G12201" i="34"/>
  <c r="G12202" i="34"/>
  <c r="G12203" i="34"/>
  <c r="G12204" i="34"/>
  <c r="G12205" i="34"/>
  <c r="G12206" i="34"/>
  <c r="G12207" i="34"/>
  <c r="G12208" i="34"/>
  <c r="G12209" i="34"/>
  <c r="G12210" i="34"/>
  <c r="G12211" i="34"/>
  <c r="G12212" i="34"/>
  <c r="G12213" i="34"/>
  <c r="G12214" i="34"/>
  <c r="G12215" i="34"/>
  <c r="G12216" i="34"/>
  <c r="G12217" i="34"/>
  <c r="G12218" i="34"/>
  <c r="G12219" i="34"/>
  <c r="G12220" i="34"/>
  <c r="G12221" i="34"/>
  <c r="G12222" i="34"/>
  <c r="G12223" i="34"/>
  <c r="G12224" i="34"/>
  <c r="G12225" i="34"/>
  <c r="G12226" i="34"/>
  <c r="G12227" i="34"/>
  <c r="G12228" i="34"/>
  <c r="G12229" i="34"/>
  <c r="G12230" i="34"/>
  <c r="G12231" i="34"/>
  <c r="G12232" i="34"/>
  <c r="G12233" i="34"/>
  <c r="G12234" i="34"/>
  <c r="G12235" i="34"/>
  <c r="G12236" i="34"/>
  <c r="G12237" i="34"/>
  <c r="G12238" i="34"/>
  <c r="G12239" i="34"/>
  <c r="G12240" i="34"/>
  <c r="G12241" i="34"/>
  <c r="G12242" i="34"/>
  <c r="G12243" i="34"/>
  <c r="G12244" i="34"/>
  <c r="G12245" i="34"/>
  <c r="G12246" i="34"/>
  <c r="G12247" i="34"/>
  <c r="G12248" i="34"/>
  <c r="G12249" i="34"/>
  <c r="G12250" i="34"/>
  <c r="G12251" i="34"/>
  <c r="G12252" i="34"/>
  <c r="G12253" i="34"/>
  <c r="G12254" i="34"/>
  <c r="G12255" i="34"/>
  <c r="G12256" i="34"/>
  <c r="G12257" i="34"/>
  <c r="G12258" i="34"/>
  <c r="G12259" i="34"/>
  <c r="G12260" i="34"/>
  <c r="G12261" i="34"/>
  <c r="G12262" i="34"/>
  <c r="G12263" i="34"/>
  <c r="G12264" i="34"/>
  <c r="G12265" i="34"/>
  <c r="G12266" i="34"/>
  <c r="G12267" i="34"/>
  <c r="G12268" i="34"/>
  <c r="G12269" i="34"/>
  <c r="G12270" i="34"/>
  <c r="G12271" i="34"/>
  <c r="G12272" i="34"/>
  <c r="G12273" i="34"/>
  <c r="G12274" i="34"/>
  <c r="G12275" i="34"/>
  <c r="G12276" i="34"/>
  <c r="G12277" i="34"/>
  <c r="G12278" i="34"/>
  <c r="G12279" i="34"/>
  <c r="G12280" i="34"/>
  <c r="G12281" i="34"/>
  <c r="G12282" i="34"/>
  <c r="G12283" i="34"/>
  <c r="G12284" i="34"/>
  <c r="G12285" i="34"/>
  <c r="G12286" i="34"/>
  <c r="G12287" i="34"/>
  <c r="G12288" i="34"/>
  <c r="G12289" i="34"/>
  <c r="G12290" i="34"/>
  <c r="G12291" i="34"/>
  <c r="G12292" i="34"/>
  <c r="G12293" i="34"/>
  <c r="G12294" i="34"/>
  <c r="G12295" i="34"/>
  <c r="G12296" i="34"/>
  <c r="G12297" i="34"/>
  <c r="G12298" i="34"/>
  <c r="G12299" i="34"/>
  <c r="G12300" i="34"/>
  <c r="G12301" i="34"/>
  <c r="G12302" i="34"/>
  <c r="G12303" i="34"/>
  <c r="G12304" i="34"/>
  <c r="G12305" i="34"/>
  <c r="G12306" i="34"/>
  <c r="G12307" i="34"/>
  <c r="G12308" i="34"/>
  <c r="G12309" i="34"/>
  <c r="G12310" i="34"/>
  <c r="G12311" i="34"/>
  <c r="G12312" i="34"/>
  <c r="G12313" i="34"/>
  <c r="G12314" i="34"/>
  <c r="G12315" i="34"/>
  <c r="G12316" i="34"/>
  <c r="G12317" i="34"/>
  <c r="G12318" i="34"/>
  <c r="G12319" i="34"/>
  <c r="G12320" i="34"/>
  <c r="G12321" i="34"/>
  <c r="G12322" i="34"/>
  <c r="G12323" i="34"/>
  <c r="G12324" i="34"/>
  <c r="G12325" i="34"/>
  <c r="G12326" i="34"/>
  <c r="G12327" i="34"/>
  <c r="G12328" i="34"/>
  <c r="G12329" i="34"/>
  <c r="G12330" i="34"/>
  <c r="G12331" i="34"/>
  <c r="G12332" i="34"/>
  <c r="G12333" i="34"/>
  <c r="G12334" i="34"/>
  <c r="G12335" i="34"/>
  <c r="G12336" i="34"/>
  <c r="G12337" i="34"/>
  <c r="G12338" i="34"/>
  <c r="G12339" i="34"/>
  <c r="G12340" i="34"/>
  <c r="G12341" i="34"/>
  <c r="G12342" i="34"/>
  <c r="G12343" i="34"/>
  <c r="G12344" i="34"/>
  <c r="G12345" i="34"/>
  <c r="G12346" i="34"/>
  <c r="G12347" i="34"/>
  <c r="G12348" i="34"/>
  <c r="G12349" i="34"/>
  <c r="G12350" i="34"/>
  <c r="G12351" i="34"/>
  <c r="G12352" i="34"/>
  <c r="G12353" i="34"/>
  <c r="G12354" i="34"/>
  <c r="G12355" i="34"/>
  <c r="G12356" i="34"/>
  <c r="G12357" i="34"/>
  <c r="G12358" i="34"/>
  <c r="G12359" i="34"/>
  <c r="G12360" i="34"/>
  <c r="G12361" i="34"/>
  <c r="G12362" i="34"/>
  <c r="G12363" i="34"/>
  <c r="G12364" i="34"/>
  <c r="G12365" i="34"/>
  <c r="G12366" i="34"/>
  <c r="G12367" i="34"/>
  <c r="G12368" i="34"/>
  <c r="G12369" i="34"/>
  <c r="G12370" i="34"/>
  <c r="G12371" i="34"/>
  <c r="G12372" i="34"/>
  <c r="G12373" i="34"/>
  <c r="G12374" i="34"/>
  <c r="G12375" i="34"/>
  <c r="G12376" i="34"/>
  <c r="G12377" i="34"/>
  <c r="G12378" i="34"/>
  <c r="G12379" i="34"/>
  <c r="G12380" i="34"/>
  <c r="G12381" i="34"/>
  <c r="G12382" i="34"/>
  <c r="G12383" i="34"/>
  <c r="G12384" i="34"/>
  <c r="G12385" i="34"/>
  <c r="G12386" i="34"/>
  <c r="G12387" i="34"/>
  <c r="G12388" i="34"/>
  <c r="G12389" i="34"/>
  <c r="G12390" i="34"/>
  <c r="G12391" i="34"/>
  <c r="G12392" i="34"/>
  <c r="G12393" i="34"/>
  <c r="G12394" i="34"/>
  <c r="G12395" i="34"/>
  <c r="G12396" i="34"/>
  <c r="G12397" i="34"/>
  <c r="G12398" i="34"/>
  <c r="G12399" i="34"/>
  <c r="G12400" i="34"/>
  <c r="G12401" i="34"/>
  <c r="G12402" i="34"/>
  <c r="G12403" i="34"/>
  <c r="G12404" i="34"/>
  <c r="G12405" i="34"/>
  <c r="G12406" i="34"/>
  <c r="G12407" i="34"/>
  <c r="G12408" i="34"/>
  <c r="G12409" i="34"/>
  <c r="G12410" i="34"/>
  <c r="G12411" i="34"/>
  <c r="G12412" i="34"/>
  <c r="G12413" i="34"/>
  <c r="G12414" i="34"/>
  <c r="G12415" i="34"/>
  <c r="G12416" i="34"/>
  <c r="G12417" i="34"/>
  <c r="G12418" i="34"/>
  <c r="G12419" i="34"/>
  <c r="G12420" i="34"/>
  <c r="G12421" i="34"/>
  <c r="G12422" i="34"/>
  <c r="G12423" i="34"/>
  <c r="G12424" i="34"/>
  <c r="G12425" i="34"/>
  <c r="G12426" i="34"/>
  <c r="G12427" i="34"/>
  <c r="G12428" i="34"/>
  <c r="G12429" i="34"/>
  <c r="G12430" i="34"/>
  <c r="G12431" i="34"/>
  <c r="G12432" i="34"/>
  <c r="G12433" i="34"/>
  <c r="G12434" i="34"/>
  <c r="G12435" i="34"/>
  <c r="G12436" i="34"/>
  <c r="G12437" i="34"/>
  <c r="G12438" i="34"/>
  <c r="G12439" i="34"/>
  <c r="G12440" i="34"/>
  <c r="G12441" i="34"/>
  <c r="G12442" i="34"/>
  <c r="G12443" i="34"/>
  <c r="G12444" i="34"/>
  <c r="G12445" i="34"/>
  <c r="G12446" i="34"/>
  <c r="G12447" i="34"/>
  <c r="G12448" i="34"/>
  <c r="G12449" i="34"/>
  <c r="G12450" i="34"/>
  <c r="G12451" i="34"/>
  <c r="G12452" i="34"/>
  <c r="G12453" i="34"/>
  <c r="G12454" i="34"/>
  <c r="G12455" i="34"/>
  <c r="G12456" i="34"/>
  <c r="G12457" i="34"/>
  <c r="G12458" i="34"/>
  <c r="G12459" i="34"/>
  <c r="G12460" i="34"/>
  <c r="G12461" i="34"/>
  <c r="G12462" i="34"/>
  <c r="G12463" i="34"/>
  <c r="G12464" i="34"/>
  <c r="G12465" i="34"/>
  <c r="G12466" i="34"/>
  <c r="G12467" i="34"/>
  <c r="G12468" i="34"/>
  <c r="G12469" i="34"/>
  <c r="G12470" i="34"/>
  <c r="G12471" i="34"/>
  <c r="G12472" i="34"/>
  <c r="G12473" i="34"/>
  <c r="G12474" i="34"/>
  <c r="G12475" i="34"/>
  <c r="G12476" i="34"/>
  <c r="G12477" i="34"/>
  <c r="G12478" i="34"/>
  <c r="G12479" i="34"/>
  <c r="G12480" i="34"/>
  <c r="G12481" i="34"/>
  <c r="G12482" i="34"/>
  <c r="G12483" i="34"/>
  <c r="G12484" i="34"/>
  <c r="G12485" i="34"/>
  <c r="G12486" i="34"/>
  <c r="G12487" i="34"/>
  <c r="G12488" i="34"/>
  <c r="G12489" i="34"/>
  <c r="G12490" i="34"/>
  <c r="G12491" i="34"/>
  <c r="G12492" i="34"/>
  <c r="G12493" i="34"/>
  <c r="G12494" i="34"/>
  <c r="G12495" i="34"/>
  <c r="G12496" i="34"/>
  <c r="G12497" i="34"/>
  <c r="G12498" i="34"/>
  <c r="G12499" i="34"/>
  <c r="G12500" i="34"/>
  <c r="G12501" i="34"/>
  <c r="G12502" i="34"/>
  <c r="G12503" i="34"/>
  <c r="G12504" i="34"/>
  <c r="G12505" i="34"/>
  <c r="G12506" i="34"/>
  <c r="G12507" i="34"/>
  <c r="G12508" i="34"/>
  <c r="G12509" i="34"/>
  <c r="G12510" i="34"/>
  <c r="G12511" i="34"/>
  <c r="G12512" i="34"/>
  <c r="G12513" i="34"/>
  <c r="G12514" i="34"/>
  <c r="G12515" i="34"/>
  <c r="G12516" i="34"/>
  <c r="G12517" i="34"/>
  <c r="G12518" i="34"/>
  <c r="G12519" i="34"/>
  <c r="G12520" i="34"/>
  <c r="G12521" i="34"/>
  <c r="G12522" i="34"/>
  <c r="G12523" i="34"/>
  <c r="G12524" i="34"/>
  <c r="G12525" i="34"/>
  <c r="G12526" i="34"/>
  <c r="G12527" i="34"/>
  <c r="G12528" i="34"/>
  <c r="G12529" i="34"/>
  <c r="G12530" i="34"/>
  <c r="G12531" i="34"/>
  <c r="G12532" i="34"/>
  <c r="G12533" i="34"/>
  <c r="G12534" i="34"/>
  <c r="G12535" i="34"/>
  <c r="G12536" i="34"/>
  <c r="G12537" i="34"/>
  <c r="G12538" i="34"/>
  <c r="G12539" i="34"/>
  <c r="G12540" i="34"/>
  <c r="G12541" i="34"/>
  <c r="G12542" i="34"/>
  <c r="G12543" i="34"/>
  <c r="G12544" i="34"/>
  <c r="G12545" i="34"/>
  <c r="G12546" i="34"/>
  <c r="G12547" i="34"/>
  <c r="G12548" i="34"/>
  <c r="G12549" i="34"/>
  <c r="G12550" i="34"/>
  <c r="G12551" i="34"/>
  <c r="G12552" i="34"/>
  <c r="G12553" i="34"/>
  <c r="G12554" i="34"/>
  <c r="G12555" i="34"/>
  <c r="G12556" i="34"/>
  <c r="G12557" i="34"/>
  <c r="G12558" i="34"/>
  <c r="G12559" i="34"/>
  <c r="G12560" i="34"/>
  <c r="G12561" i="34"/>
  <c r="G12562" i="34"/>
  <c r="G12563" i="34"/>
  <c r="G12564" i="34"/>
  <c r="G12565" i="34"/>
  <c r="G12566" i="34"/>
  <c r="G12567" i="34"/>
  <c r="G12568" i="34"/>
  <c r="G12569" i="34"/>
  <c r="G12570" i="34"/>
  <c r="G12571" i="34"/>
  <c r="G12572" i="34"/>
  <c r="G12573" i="34"/>
  <c r="G12574" i="34"/>
  <c r="G12575" i="34"/>
  <c r="G12576" i="34"/>
  <c r="G12577" i="34"/>
  <c r="G12578" i="34"/>
  <c r="G12579" i="34"/>
  <c r="G12580" i="34"/>
  <c r="G12581" i="34"/>
  <c r="G12582" i="34"/>
  <c r="G12583" i="34"/>
  <c r="G12584" i="34"/>
  <c r="G12585" i="34"/>
  <c r="G12586" i="34"/>
  <c r="G12587" i="34"/>
  <c r="G12588" i="34"/>
  <c r="G12589" i="34"/>
  <c r="G12590" i="34"/>
  <c r="G12591" i="34"/>
  <c r="G12592" i="34"/>
  <c r="G12593" i="34"/>
  <c r="G12594" i="34"/>
  <c r="G12595" i="34"/>
  <c r="G12596" i="34"/>
  <c r="G12597" i="34"/>
  <c r="G12598" i="34"/>
  <c r="G12599" i="34"/>
  <c r="G12600" i="34"/>
  <c r="G12601" i="34"/>
  <c r="G12602" i="34"/>
  <c r="G12603" i="34"/>
  <c r="G12604" i="34"/>
  <c r="G12605" i="34"/>
  <c r="G12606" i="34"/>
  <c r="G12607" i="34"/>
  <c r="G12608" i="34"/>
  <c r="G12609" i="34"/>
  <c r="G12610" i="34"/>
  <c r="G12611" i="34"/>
  <c r="G12612" i="34"/>
  <c r="G12613" i="34"/>
  <c r="G12614" i="34"/>
  <c r="G12615" i="34"/>
  <c r="G12616" i="34"/>
  <c r="G12617" i="34"/>
  <c r="G12618" i="34"/>
  <c r="G12619" i="34"/>
  <c r="G12620" i="34"/>
  <c r="G12621" i="34"/>
  <c r="G12622" i="34"/>
  <c r="G12623" i="34"/>
  <c r="G12624" i="34"/>
  <c r="G12625" i="34"/>
  <c r="G12626" i="34"/>
  <c r="G12627" i="34"/>
  <c r="G12628" i="34"/>
  <c r="G12629" i="34"/>
  <c r="G12630" i="34"/>
  <c r="G12631" i="34"/>
  <c r="G12632" i="34"/>
  <c r="G12633" i="34"/>
  <c r="G12634" i="34"/>
  <c r="G12635" i="34"/>
  <c r="G12636" i="34"/>
  <c r="G12637" i="34"/>
  <c r="G12638" i="34"/>
  <c r="G12639" i="34"/>
  <c r="G12640" i="34"/>
  <c r="G12641" i="34"/>
  <c r="G12642" i="34"/>
  <c r="G12643" i="34"/>
  <c r="G12644" i="34"/>
  <c r="G12645" i="34"/>
  <c r="G12646" i="34"/>
  <c r="G12647" i="34"/>
  <c r="G12648" i="34"/>
  <c r="G12649" i="34"/>
  <c r="G12650" i="34"/>
  <c r="G12651" i="34"/>
  <c r="G12652" i="34"/>
  <c r="G12653" i="34"/>
  <c r="G12654" i="34"/>
  <c r="G12655" i="34"/>
  <c r="G12656" i="34"/>
  <c r="G12657" i="34"/>
  <c r="G12658" i="34"/>
  <c r="G12659" i="34"/>
  <c r="G12660" i="34"/>
  <c r="G12661" i="34"/>
  <c r="G12662" i="34"/>
  <c r="G12663" i="34"/>
  <c r="G12664" i="34"/>
  <c r="G12665" i="34"/>
  <c r="G12666" i="34"/>
  <c r="G12667" i="34"/>
  <c r="G12668" i="34"/>
  <c r="G12669" i="34"/>
  <c r="G12670" i="34"/>
  <c r="G12671" i="34"/>
  <c r="G12672" i="34"/>
  <c r="G12673" i="34"/>
  <c r="G12674" i="34"/>
  <c r="G12675" i="34"/>
  <c r="G12676" i="34"/>
  <c r="G12677" i="34"/>
  <c r="G12678" i="34"/>
  <c r="G12679" i="34"/>
  <c r="G12680" i="34"/>
  <c r="G12681" i="34"/>
  <c r="G12682" i="34"/>
  <c r="G12683" i="34"/>
  <c r="G12684" i="34"/>
  <c r="G12685" i="34"/>
  <c r="G12686" i="34"/>
  <c r="G12687" i="34"/>
  <c r="G12688" i="34"/>
  <c r="G12689" i="34"/>
  <c r="G12690" i="34"/>
  <c r="G12691" i="34"/>
  <c r="G12692" i="34"/>
  <c r="G12693" i="34"/>
  <c r="G12694" i="34"/>
  <c r="G12695" i="34"/>
  <c r="G12696" i="34"/>
  <c r="G12697" i="34"/>
  <c r="G12698" i="34"/>
  <c r="G12699" i="34"/>
  <c r="G12700" i="34"/>
  <c r="G12701" i="34"/>
  <c r="G12702" i="34"/>
  <c r="G12703" i="34"/>
  <c r="G12704" i="34"/>
  <c r="G12705" i="34"/>
  <c r="G12706" i="34"/>
  <c r="G12707" i="34"/>
  <c r="G12708" i="34"/>
  <c r="G12709" i="34"/>
  <c r="G12710" i="34"/>
  <c r="G12711" i="34"/>
  <c r="G12712" i="34"/>
  <c r="G12713" i="34"/>
  <c r="G12714" i="34"/>
  <c r="G12715" i="34"/>
  <c r="G12716" i="34"/>
  <c r="G12717" i="34"/>
  <c r="G12718" i="34"/>
  <c r="G12719" i="34"/>
  <c r="G12720" i="34"/>
  <c r="G12721" i="34"/>
  <c r="G12722" i="34"/>
  <c r="G12723" i="34"/>
  <c r="G12724" i="34"/>
  <c r="G12725" i="34"/>
  <c r="G12726" i="34"/>
  <c r="G12727" i="34"/>
  <c r="G12728" i="34"/>
  <c r="G12729" i="34"/>
  <c r="G12730" i="34"/>
  <c r="G12731" i="34"/>
  <c r="G12732" i="34"/>
  <c r="G12733" i="34"/>
  <c r="G12734" i="34"/>
  <c r="G12735" i="34"/>
  <c r="G12736" i="34"/>
  <c r="G12737" i="34"/>
  <c r="G12738" i="34"/>
  <c r="G12739" i="34"/>
  <c r="G12740" i="34"/>
  <c r="G12741" i="34"/>
  <c r="G12742" i="34"/>
  <c r="G12743" i="34"/>
  <c r="G12744" i="34"/>
  <c r="G12745" i="34"/>
  <c r="G12746" i="34"/>
  <c r="G12747" i="34"/>
  <c r="G12748" i="34"/>
  <c r="G12749" i="34"/>
  <c r="G12750" i="34"/>
  <c r="G12751" i="34"/>
  <c r="G12752" i="34"/>
  <c r="G12753" i="34"/>
  <c r="G12754" i="34"/>
  <c r="G12755" i="34"/>
  <c r="G12756" i="34"/>
  <c r="G12757" i="34"/>
  <c r="G12758" i="34"/>
  <c r="G12759" i="34"/>
  <c r="G12760" i="34"/>
  <c r="G12761" i="34"/>
  <c r="G12762" i="34"/>
  <c r="G12763" i="34"/>
  <c r="G12764" i="34"/>
  <c r="G12765" i="34"/>
  <c r="G12766" i="34"/>
  <c r="G12767" i="34"/>
  <c r="G12768" i="34"/>
  <c r="G12769" i="34"/>
  <c r="G12770" i="34"/>
  <c r="G12771" i="34"/>
  <c r="G12772" i="34"/>
  <c r="G12773" i="34"/>
  <c r="G12774" i="34"/>
  <c r="G12775" i="34"/>
  <c r="G12776" i="34"/>
  <c r="G12777" i="34"/>
  <c r="G12778" i="34"/>
  <c r="G12779" i="34"/>
  <c r="G12780" i="34"/>
  <c r="G12781" i="34"/>
  <c r="G12782" i="34"/>
  <c r="G12783" i="34"/>
  <c r="G12784" i="34"/>
  <c r="G12785" i="34"/>
  <c r="G12786" i="34"/>
  <c r="G12787" i="34"/>
  <c r="G12788" i="34"/>
  <c r="G12789" i="34"/>
  <c r="G12790" i="34"/>
  <c r="G12791" i="34"/>
  <c r="G12792" i="34"/>
  <c r="G12793" i="34"/>
  <c r="G12794" i="34"/>
  <c r="G12795" i="34"/>
  <c r="G12796" i="34"/>
  <c r="G12797" i="34"/>
  <c r="G12798" i="34"/>
  <c r="G12799" i="34"/>
  <c r="G12800" i="34"/>
  <c r="G12801" i="34"/>
  <c r="G12802" i="34"/>
  <c r="G12803" i="34"/>
  <c r="G12804" i="34"/>
  <c r="G12805" i="34"/>
  <c r="G12806" i="34"/>
  <c r="G12807" i="34"/>
  <c r="G12808" i="34"/>
  <c r="G12809" i="34"/>
  <c r="G12810" i="34"/>
  <c r="G12811" i="34"/>
  <c r="G12812" i="34"/>
  <c r="G12813" i="34"/>
  <c r="G12814" i="34"/>
  <c r="G12815" i="34"/>
  <c r="G12816" i="34"/>
  <c r="G12817" i="34"/>
  <c r="G12818" i="34"/>
  <c r="G12819" i="34"/>
  <c r="G12820" i="34"/>
  <c r="G12821" i="34"/>
  <c r="G12822" i="34"/>
  <c r="G12823" i="34"/>
  <c r="G12824" i="34"/>
  <c r="G12825" i="34"/>
  <c r="G12826" i="34"/>
  <c r="G12827" i="34"/>
  <c r="G12828" i="34"/>
  <c r="G12829" i="34"/>
  <c r="G12830" i="34"/>
  <c r="G12831" i="34"/>
  <c r="G12832" i="34"/>
  <c r="G12833" i="34"/>
  <c r="G12834" i="34"/>
  <c r="G12835" i="34"/>
  <c r="G12836" i="34"/>
  <c r="G12837" i="34"/>
  <c r="G12838" i="34"/>
  <c r="G12839" i="34"/>
  <c r="G12840" i="34"/>
  <c r="G12841" i="34"/>
  <c r="G12842" i="34"/>
  <c r="G12843" i="34"/>
  <c r="G12844" i="34"/>
  <c r="G12845" i="34"/>
  <c r="G12846" i="34"/>
  <c r="G12847" i="34"/>
  <c r="G12848" i="34"/>
  <c r="G12849" i="34"/>
  <c r="G12850" i="34"/>
  <c r="G12851" i="34"/>
  <c r="G12852" i="34"/>
  <c r="G12853" i="34"/>
  <c r="G12854" i="34"/>
  <c r="G12855" i="34"/>
  <c r="G12856" i="34"/>
  <c r="G12857" i="34"/>
  <c r="G12858" i="34"/>
  <c r="G12859" i="34"/>
  <c r="G12860" i="34"/>
  <c r="G12861" i="34"/>
  <c r="G12862" i="34"/>
  <c r="G12863" i="34"/>
  <c r="G12864" i="34"/>
  <c r="G12865" i="34"/>
  <c r="G12866" i="34"/>
  <c r="G12867" i="34"/>
  <c r="G12868" i="34"/>
  <c r="G12869" i="34"/>
  <c r="G12870" i="34"/>
  <c r="G12871" i="34"/>
  <c r="G12872" i="34"/>
  <c r="G12873" i="34"/>
  <c r="G12874" i="34"/>
  <c r="G12875" i="34"/>
  <c r="G12876" i="34"/>
  <c r="G12877" i="34"/>
  <c r="G12878" i="34"/>
  <c r="G12879" i="34"/>
  <c r="G12880" i="34"/>
  <c r="G12881" i="34"/>
  <c r="G12882" i="34"/>
  <c r="G12883" i="34"/>
  <c r="G12884" i="34"/>
  <c r="G12885" i="34"/>
  <c r="G12886" i="34"/>
  <c r="G12887" i="34"/>
  <c r="G12888" i="34"/>
  <c r="G12889" i="34"/>
  <c r="G12890" i="34"/>
  <c r="G12891" i="34"/>
  <c r="G12892" i="34"/>
  <c r="G12893" i="34"/>
  <c r="G12894" i="34"/>
  <c r="G12895" i="34"/>
  <c r="G12896" i="34"/>
  <c r="G12897" i="34"/>
  <c r="G12898" i="34"/>
  <c r="G12899" i="34"/>
  <c r="G12900" i="34"/>
  <c r="G12901" i="34"/>
  <c r="G12902" i="34"/>
  <c r="G12903" i="34"/>
  <c r="G12904" i="34"/>
  <c r="G12905" i="34"/>
  <c r="G12906" i="34"/>
  <c r="G12907" i="34"/>
  <c r="G12908" i="34"/>
  <c r="G12909" i="34"/>
  <c r="G12910" i="34"/>
  <c r="G12911" i="34"/>
  <c r="G12912" i="34"/>
  <c r="G12913" i="34"/>
  <c r="G12914" i="34"/>
  <c r="G12915" i="34"/>
  <c r="G12916" i="34"/>
  <c r="G12917" i="34"/>
  <c r="G12918" i="34"/>
  <c r="G12919" i="34"/>
  <c r="G12920" i="34"/>
  <c r="G12921" i="34"/>
  <c r="G12922" i="34"/>
  <c r="G12923" i="34"/>
  <c r="G12924" i="34"/>
  <c r="G12925" i="34"/>
  <c r="G12926" i="34"/>
  <c r="G12927" i="34"/>
  <c r="G12928" i="34"/>
  <c r="G12929" i="34"/>
  <c r="G12930" i="34"/>
  <c r="G12931" i="34"/>
  <c r="G12932" i="34"/>
  <c r="G12933" i="34"/>
  <c r="G12934" i="34"/>
  <c r="G12935" i="34"/>
  <c r="G12936" i="34"/>
  <c r="G12937" i="34"/>
  <c r="G12938" i="34"/>
  <c r="G12939" i="34"/>
  <c r="G12940" i="34"/>
  <c r="G12941" i="34"/>
  <c r="G12942" i="34"/>
  <c r="G12943" i="34"/>
  <c r="G12944" i="34"/>
  <c r="G12945" i="34"/>
  <c r="G12946" i="34"/>
  <c r="G12947" i="34"/>
  <c r="G12948" i="34"/>
  <c r="G12949" i="34"/>
  <c r="G12950" i="34"/>
  <c r="G12951" i="34"/>
  <c r="G12952" i="34"/>
  <c r="G12953" i="34"/>
  <c r="G12954" i="34"/>
  <c r="G12955" i="34"/>
  <c r="G12956" i="34"/>
  <c r="G12957" i="34"/>
  <c r="G12958" i="34"/>
  <c r="G12959" i="34"/>
  <c r="G12960" i="34"/>
  <c r="G12961" i="34"/>
  <c r="G12962" i="34"/>
  <c r="G12963" i="34"/>
  <c r="G12964" i="34"/>
  <c r="G12965" i="34"/>
  <c r="G12966" i="34"/>
  <c r="G12967" i="34"/>
  <c r="G12968" i="34"/>
  <c r="G12969" i="34"/>
  <c r="G12970" i="34"/>
  <c r="G12971" i="34"/>
  <c r="G12972" i="34"/>
  <c r="G12973" i="34"/>
  <c r="G12974" i="34"/>
  <c r="G12975" i="34"/>
  <c r="G12976" i="34"/>
  <c r="G12977" i="34"/>
  <c r="G12978" i="34"/>
  <c r="G12979" i="34"/>
  <c r="G12980" i="34"/>
  <c r="G12981" i="34"/>
  <c r="G12982" i="34"/>
  <c r="G12983" i="34"/>
  <c r="G12984" i="34"/>
  <c r="G12985" i="34"/>
  <c r="G12986" i="34"/>
  <c r="G12987" i="34"/>
  <c r="G12988" i="34"/>
  <c r="G12989" i="34"/>
  <c r="G12990" i="34"/>
  <c r="G12991" i="34"/>
  <c r="G12992" i="34"/>
  <c r="G12993" i="34"/>
  <c r="G12994" i="34"/>
  <c r="G12995" i="34"/>
  <c r="G12996" i="34"/>
  <c r="G12997" i="34"/>
  <c r="G12998" i="34"/>
  <c r="G12999" i="34"/>
  <c r="G13000" i="34"/>
  <c r="G13001" i="34"/>
  <c r="G13002" i="34"/>
  <c r="G13003" i="34"/>
  <c r="G13004" i="34"/>
  <c r="G13005" i="34"/>
  <c r="G13006" i="34"/>
  <c r="G13007" i="34"/>
  <c r="G13008" i="34"/>
  <c r="G13009" i="34"/>
  <c r="G13010" i="34"/>
  <c r="G13011" i="34"/>
  <c r="G13012" i="34"/>
  <c r="G13013" i="34"/>
  <c r="G13014" i="34"/>
  <c r="G13015" i="34"/>
  <c r="G13016" i="34"/>
  <c r="G13017" i="34"/>
  <c r="G13018" i="34"/>
  <c r="G13019" i="34"/>
  <c r="G13020" i="34"/>
  <c r="G13021" i="34"/>
  <c r="G13022" i="34"/>
  <c r="G13023" i="34"/>
  <c r="G13024" i="34"/>
  <c r="G13025" i="34"/>
  <c r="G13026" i="34"/>
  <c r="G13027" i="34"/>
  <c r="G13028" i="34"/>
  <c r="G13029" i="34"/>
  <c r="G13030" i="34"/>
  <c r="G13031" i="34"/>
  <c r="G13032" i="34"/>
  <c r="G13033" i="34"/>
  <c r="G13034" i="34"/>
  <c r="G13035" i="34"/>
  <c r="G13036" i="34"/>
  <c r="G13037" i="34"/>
  <c r="G13038" i="34"/>
  <c r="G13039" i="34"/>
  <c r="G13040" i="34"/>
  <c r="G13041" i="34"/>
  <c r="G13042" i="34"/>
  <c r="G13043" i="34"/>
  <c r="G13044" i="34"/>
  <c r="G13045" i="34"/>
  <c r="G13046" i="34"/>
  <c r="G13047" i="34"/>
  <c r="G13048" i="34"/>
  <c r="G13049" i="34"/>
  <c r="G13050" i="34"/>
  <c r="G13051" i="34"/>
  <c r="G13052" i="34"/>
  <c r="G13053" i="34"/>
  <c r="G13054" i="34"/>
  <c r="G13055" i="34"/>
  <c r="G13056" i="34"/>
  <c r="G13057" i="34"/>
  <c r="G13058" i="34"/>
  <c r="G13059" i="34"/>
  <c r="G13060" i="34"/>
  <c r="G13061" i="34"/>
  <c r="G13062" i="34"/>
  <c r="G13063" i="34"/>
  <c r="G13064" i="34"/>
  <c r="G13065" i="34"/>
  <c r="G13066" i="34"/>
  <c r="G13067" i="34"/>
  <c r="G13068" i="34"/>
  <c r="G13069" i="34"/>
  <c r="G13070" i="34"/>
  <c r="G13071" i="34"/>
  <c r="G13072" i="34"/>
  <c r="G13073" i="34"/>
  <c r="G13074" i="34"/>
  <c r="G13075" i="34"/>
  <c r="G13076" i="34"/>
  <c r="G13077" i="34"/>
  <c r="G13078" i="34"/>
  <c r="G13079" i="34"/>
  <c r="G13080" i="34"/>
  <c r="G13081" i="34"/>
  <c r="G13082" i="34"/>
  <c r="G13083" i="34"/>
  <c r="G13084" i="34"/>
  <c r="G13085" i="34"/>
  <c r="G13086" i="34"/>
  <c r="G13087" i="34"/>
  <c r="G13088" i="34"/>
  <c r="G13089" i="34"/>
  <c r="G13090" i="34"/>
  <c r="G13091" i="34"/>
  <c r="G13092" i="34"/>
  <c r="G13093" i="34"/>
  <c r="G13094" i="34"/>
  <c r="G13095" i="34"/>
  <c r="G13096" i="34"/>
  <c r="G13097" i="34"/>
  <c r="G13098" i="34"/>
  <c r="G13099" i="34"/>
  <c r="G13100" i="34"/>
  <c r="G13101" i="34"/>
  <c r="G13102" i="34"/>
  <c r="G13103" i="34"/>
  <c r="G13104" i="34"/>
  <c r="G13105" i="34"/>
  <c r="G13106" i="34"/>
  <c r="G13107" i="34"/>
  <c r="G13108" i="34"/>
  <c r="G13109" i="34"/>
  <c r="G13110" i="34"/>
  <c r="G13111" i="34"/>
  <c r="G13112" i="34"/>
  <c r="G13113" i="34"/>
  <c r="G13114" i="34"/>
  <c r="G13115" i="34"/>
  <c r="G13116" i="34"/>
  <c r="G13117" i="34"/>
  <c r="G13118" i="34"/>
  <c r="G13119" i="34"/>
  <c r="G13120" i="34"/>
  <c r="G13121" i="34"/>
  <c r="G13122" i="34"/>
  <c r="G13123" i="34"/>
  <c r="G13124" i="34"/>
  <c r="G13125" i="34"/>
  <c r="G13126" i="34"/>
  <c r="G13127" i="34"/>
  <c r="G13128" i="34"/>
  <c r="G13129" i="34"/>
  <c r="G13130" i="34"/>
  <c r="G13131" i="34"/>
  <c r="G13132" i="34"/>
  <c r="G13133" i="34"/>
  <c r="G13134" i="34"/>
  <c r="G13135" i="34"/>
  <c r="G13136" i="34"/>
  <c r="G13137" i="34"/>
  <c r="G13138" i="34"/>
  <c r="G13139" i="34"/>
  <c r="G13140" i="34"/>
  <c r="G13141" i="34"/>
  <c r="G13142" i="34"/>
  <c r="G13143" i="34"/>
  <c r="G13144" i="34"/>
  <c r="G13145" i="34"/>
  <c r="G13146" i="34"/>
  <c r="G13147" i="34"/>
  <c r="G13148" i="34"/>
  <c r="G13149" i="34"/>
  <c r="G13150" i="34"/>
  <c r="G13151" i="34"/>
  <c r="G13152" i="34"/>
  <c r="G13153" i="34"/>
  <c r="G13154" i="34"/>
  <c r="G13155" i="34"/>
  <c r="G13156" i="34"/>
  <c r="G13157" i="34"/>
  <c r="G13158" i="34"/>
  <c r="G13159" i="34"/>
  <c r="G13160" i="34"/>
  <c r="G13161" i="34"/>
  <c r="G13162" i="34"/>
  <c r="G13163" i="34"/>
  <c r="G13164" i="34"/>
  <c r="G13165" i="34"/>
  <c r="G13166" i="34"/>
  <c r="G13167" i="34"/>
  <c r="G13168" i="34"/>
  <c r="G13169" i="34"/>
  <c r="G13170" i="34"/>
  <c r="G13171" i="34"/>
  <c r="G13172" i="34"/>
  <c r="G13173" i="34"/>
  <c r="G13174" i="34"/>
  <c r="G13175" i="34"/>
  <c r="G13176" i="34"/>
  <c r="G13177" i="34"/>
  <c r="G13178" i="34"/>
  <c r="G13179" i="34"/>
  <c r="G13180" i="34"/>
  <c r="G13181" i="34"/>
  <c r="G13182" i="34"/>
  <c r="G13183" i="34"/>
  <c r="G13184" i="34"/>
  <c r="G13185" i="34"/>
  <c r="G13186" i="34"/>
  <c r="G13187" i="34"/>
  <c r="G13188" i="34"/>
  <c r="G13189" i="34"/>
  <c r="G13190" i="34"/>
  <c r="G13191" i="34"/>
  <c r="G13192" i="34"/>
  <c r="G13193" i="34"/>
  <c r="G13194" i="34"/>
  <c r="G13195" i="34"/>
  <c r="G13196" i="34"/>
  <c r="G13197" i="34"/>
  <c r="G13198" i="34"/>
  <c r="G13199" i="34"/>
  <c r="G13200" i="34"/>
  <c r="G13201" i="34"/>
  <c r="G13202" i="34"/>
  <c r="G13203" i="34"/>
  <c r="G13204" i="34"/>
  <c r="G13205" i="34"/>
  <c r="G13206" i="34"/>
  <c r="G13207" i="34"/>
  <c r="G13208" i="34"/>
  <c r="G13209" i="34"/>
  <c r="G13210" i="34"/>
  <c r="G13211" i="34"/>
  <c r="G13212" i="34"/>
  <c r="G13213" i="34"/>
  <c r="G13214" i="34"/>
  <c r="G13215" i="34"/>
  <c r="G13216" i="34"/>
  <c r="G13217" i="34"/>
  <c r="G13218" i="34"/>
  <c r="G13219" i="34"/>
  <c r="G13220" i="34"/>
  <c r="G13221" i="34"/>
  <c r="G13222" i="34"/>
  <c r="G13223" i="34"/>
  <c r="G13224" i="34"/>
  <c r="G13225" i="34"/>
  <c r="G13226" i="34"/>
  <c r="G13227" i="34"/>
  <c r="G13228" i="34"/>
  <c r="G13229" i="34"/>
  <c r="G13230" i="34"/>
  <c r="G13231" i="34"/>
  <c r="G13232" i="34"/>
  <c r="G13233" i="34"/>
  <c r="G13234" i="34"/>
  <c r="G13235" i="34"/>
  <c r="G13236" i="34"/>
  <c r="G13237" i="34"/>
  <c r="G13238" i="34"/>
  <c r="G13239" i="34"/>
  <c r="G13240" i="34"/>
  <c r="G13241" i="34"/>
  <c r="G13242" i="34"/>
  <c r="G13243" i="34"/>
  <c r="G13244" i="34"/>
  <c r="G13245" i="34"/>
  <c r="G13246" i="34"/>
  <c r="G13247" i="34"/>
  <c r="G13248" i="34"/>
  <c r="G13249" i="34"/>
  <c r="G13250" i="34"/>
  <c r="G13251" i="34"/>
  <c r="G13252" i="34"/>
  <c r="G13253" i="34"/>
  <c r="G13254" i="34"/>
  <c r="G13255" i="34"/>
  <c r="G13256" i="34"/>
  <c r="G13257" i="34"/>
  <c r="G13258" i="34"/>
  <c r="G13259" i="34"/>
  <c r="G13260" i="34"/>
  <c r="G13261" i="34"/>
  <c r="G13262" i="34"/>
  <c r="G13263" i="34"/>
  <c r="G13264" i="34"/>
  <c r="G13265" i="34"/>
  <c r="G13266" i="34"/>
  <c r="G13267" i="34"/>
  <c r="G13268" i="34"/>
  <c r="G13269" i="34"/>
  <c r="G13270" i="34"/>
  <c r="G13271" i="34"/>
  <c r="G13272" i="34"/>
  <c r="G13273" i="34"/>
  <c r="G13274" i="34"/>
  <c r="G13275" i="34"/>
  <c r="G13276" i="34"/>
  <c r="G13277" i="34"/>
  <c r="G13278" i="34"/>
  <c r="G13279" i="34"/>
  <c r="G13280" i="34"/>
  <c r="G13281" i="34"/>
  <c r="G13282" i="34"/>
  <c r="G13283" i="34"/>
  <c r="G13284" i="34"/>
  <c r="G13285" i="34"/>
  <c r="G13286" i="34"/>
  <c r="G13287" i="34"/>
  <c r="G13288" i="34"/>
  <c r="G13289" i="34"/>
  <c r="G13290" i="34"/>
  <c r="G13291" i="34"/>
  <c r="G13292" i="34"/>
  <c r="G13293" i="34"/>
  <c r="G13294" i="34"/>
  <c r="G13295" i="34"/>
  <c r="G13296" i="34"/>
  <c r="G13297" i="34"/>
  <c r="G13298" i="34"/>
  <c r="G13299" i="34"/>
  <c r="G13300" i="34"/>
  <c r="G13301" i="34"/>
  <c r="G13302" i="34"/>
  <c r="G13303" i="34"/>
  <c r="G13304" i="34"/>
  <c r="G13305" i="34"/>
  <c r="G13306" i="34"/>
  <c r="G13307" i="34"/>
  <c r="G13308" i="34"/>
  <c r="G13309" i="34"/>
  <c r="G13310" i="34"/>
  <c r="G13311" i="34"/>
  <c r="G13312" i="34"/>
  <c r="G13313" i="34"/>
  <c r="G13314" i="34"/>
  <c r="G13315" i="34"/>
  <c r="G13316" i="34"/>
  <c r="G13317" i="34"/>
  <c r="G13318" i="34"/>
  <c r="G13319" i="34"/>
  <c r="G13320" i="34"/>
  <c r="G13321" i="34"/>
  <c r="G13322" i="34"/>
  <c r="G13323" i="34"/>
  <c r="G13324" i="34"/>
  <c r="G13325" i="34"/>
  <c r="G13326" i="34"/>
  <c r="G13327" i="34"/>
  <c r="G13328" i="34"/>
  <c r="G13329" i="34"/>
  <c r="G13330" i="34"/>
  <c r="G13331" i="34"/>
  <c r="G13332" i="34"/>
  <c r="G13333" i="34"/>
  <c r="G13334" i="34"/>
  <c r="G13335" i="34"/>
  <c r="G13336" i="34"/>
  <c r="G13337" i="34"/>
  <c r="G13338" i="34"/>
  <c r="G13339" i="34"/>
  <c r="G13340" i="34"/>
  <c r="G13341" i="34"/>
  <c r="G13342" i="34"/>
  <c r="G13343" i="34"/>
  <c r="G13344" i="34"/>
  <c r="G13345" i="34"/>
  <c r="G13346" i="34"/>
  <c r="G13347" i="34"/>
  <c r="G13348" i="34"/>
  <c r="G13349" i="34"/>
  <c r="G13350" i="34"/>
  <c r="G13351" i="34"/>
  <c r="G13352" i="34"/>
  <c r="G13353" i="34"/>
  <c r="G13354" i="34"/>
  <c r="G13355" i="34"/>
  <c r="G13356" i="34"/>
  <c r="G13357" i="34"/>
  <c r="G13358" i="34"/>
  <c r="G13359" i="34"/>
  <c r="G13360" i="34"/>
  <c r="G13361" i="34"/>
  <c r="G13362" i="34"/>
  <c r="G13363" i="34"/>
  <c r="G13364" i="34"/>
  <c r="G13365" i="34"/>
  <c r="G13366" i="34"/>
  <c r="G13367" i="34"/>
  <c r="G13368" i="34"/>
  <c r="G13369" i="34"/>
  <c r="G13370" i="34"/>
  <c r="G13371" i="34"/>
  <c r="G13372" i="34"/>
  <c r="G13373" i="34"/>
  <c r="G13374" i="34"/>
  <c r="G13375" i="34"/>
  <c r="G13376" i="34"/>
  <c r="G13377" i="34"/>
  <c r="G13378" i="34"/>
  <c r="G13379" i="34"/>
  <c r="G13380" i="34"/>
  <c r="G13381" i="34"/>
  <c r="G13382" i="34"/>
  <c r="G13383" i="34"/>
  <c r="G13384" i="34"/>
  <c r="G13385" i="34"/>
  <c r="G13386" i="34"/>
  <c r="G13387" i="34"/>
  <c r="G13388" i="34"/>
  <c r="G13389" i="34"/>
  <c r="G13390" i="34"/>
  <c r="G13391" i="34"/>
  <c r="G13392" i="34"/>
  <c r="G13393" i="34"/>
  <c r="G13394" i="34"/>
  <c r="G13395" i="34"/>
  <c r="G13396" i="34"/>
  <c r="G13397" i="34"/>
  <c r="G13398" i="34"/>
  <c r="G13399" i="34"/>
  <c r="G13400" i="34"/>
  <c r="G13401" i="34"/>
  <c r="G13402" i="34"/>
  <c r="G13403" i="34"/>
  <c r="G13404" i="34"/>
  <c r="G13405" i="34"/>
  <c r="G13406" i="34"/>
  <c r="G13407" i="34"/>
  <c r="G13408" i="34"/>
  <c r="G13409" i="34"/>
  <c r="G13410" i="34"/>
  <c r="G13411" i="34"/>
  <c r="G13412" i="34"/>
  <c r="G13413" i="34"/>
  <c r="G13414" i="34"/>
  <c r="G13415" i="34"/>
  <c r="G13416" i="34"/>
  <c r="G13417" i="34"/>
  <c r="G13418" i="34"/>
  <c r="G13419" i="34"/>
  <c r="G13420" i="34"/>
  <c r="G13421" i="34"/>
  <c r="G13422" i="34"/>
  <c r="G13423" i="34"/>
  <c r="G13424" i="34"/>
  <c r="G13425" i="34"/>
  <c r="G13426" i="34"/>
  <c r="G13427" i="34"/>
  <c r="G13428" i="34"/>
  <c r="G13429" i="34"/>
  <c r="G13430" i="34"/>
  <c r="G13431" i="34"/>
  <c r="G13432" i="34"/>
  <c r="G13433" i="34"/>
  <c r="G13434" i="34"/>
  <c r="G13435" i="34"/>
  <c r="G13436" i="34"/>
  <c r="G13437" i="34"/>
  <c r="G13438" i="34"/>
  <c r="G13439" i="34"/>
  <c r="G13440" i="34"/>
  <c r="G13441" i="34"/>
  <c r="G13442" i="34"/>
  <c r="G13443" i="34"/>
  <c r="G13444" i="34"/>
  <c r="G13445" i="34"/>
  <c r="G13446" i="34"/>
  <c r="G13447" i="34"/>
  <c r="G13448" i="34"/>
  <c r="G13449" i="34"/>
  <c r="G13450" i="34"/>
  <c r="G13451" i="34"/>
  <c r="G13452" i="34"/>
  <c r="G13453" i="34"/>
  <c r="G13454" i="34"/>
  <c r="G13455" i="34"/>
  <c r="G13456" i="34"/>
  <c r="G13457" i="34"/>
  <c r="G13458" i="34"/>
  <c r="G13459" i="34"/>
  <c r="G13460" i="34"/>
  <c r="G13461" i="34"/>
  <c r="G13462" i="34"/>
  <c r="G13463" i="34"/>
  <c r="G13464" i="34"/>
  <c r="G13465" i="34"/>
  <c r="G13466" i="34"/>
  <c r="G13467" i="34"/>
  <c r="G13468" i="34"/>
  <c r="G13469" i="34"/>
  <c r="G13470" i="34"/>
  <c r="G13471" i="34"/>
  <c r="G13472" i="34"/>
  <c r="G13473" i="34"/>
  <c r="G13474" i="34"/>
  <c r="G13475" i="34"/>
  <c r="G13476" i="34"/>
  <c r="G13477" i="34"/>
  <c r="G13478" i="34"/>
  <c r="G13479" i="34"/>
  <c r="G13480" i="34"/>
  <c r="G13481" i="34"/>
  <c r="G13482" i="34"/>
  <c r="G13483" i="34"/>
  <c r="G13484" i="34"/>
  <c r="G13485" i="34"/>
  <c r="G13486" i="34"/>
  <c r="G13487" i="34"/>
  <c r="G13488" i="34"/>
  <c r="G13489" i="34"/>
  <c r="G13490" i="34"/>
  <c r="G13491" i="34"/>
  <c r="G13492" i="34"/>
  <c r="G13493" i="34"/>
  <c r="G13494" i="34"/>
  <c r="G13495" i="34"/>
  <c r="G13496" i="34"/>
  <c r="G13497" i="34"/>
  <c r="G13498" i="34"/>
  <c r="G13499" i="34"/>
  <c r="G13500" i="34"/>
  <c r="G13501" i="34"/>
  <c r="G13502" i="34"/>
  <c r="G13503" i="34"/>
  <c r="G13504" i="34"/>
  <c r="G13505" i="34"/>
  <c r="G13506" i="34"/>
  <c r="G13507" i="34"/>
  <c r="G13508" i="34"/>
  <c r="G13509" i="34"/>
  <c r="G13510" i="34"/>
  <c r="G13511" i="34"/>
  <c r="G13512" i="34"/>
  <c r="G13513" i="34"/>
  <c r="G13514" i="34"/>
  <c r="G13515" i="34"/>
  <c r="G13516" i="34"/>
  <c r="G13517" i="34"/>
  <c r="G13518" i="34"/>
  <c r="G13519" i="34"/>
  <c r="G13520" i="34"/>
  <c r="G13521" i="34"/>
  <c r="G13522" i="34"/>
  <c r="G13523" i="34"/>
  <c r="G13524" i="34"/>
  <c r="G13525" i="34"/>
  <c r="G13526" i="34"/>
  <c r="G13527" i="34"/>
  <c r="G13528" i="34"/>
  <c r="G13529" i="34"/>
  <c r="G13530" i="34"/>
  <c r="G13531" i="34"/>
  <c r="G13532" i="34"/>
  <c r="G13533" i="34"/>
  <c r="G13534" i="34"/>
  <c r="G13535" i="34"/>
  <c r="G13536" i="34"/>
  <c r="G13537" i="34"/>
  <c r="G13538" i="34"/>
  <c r="G13539" i="34"/>
  <c r="G13540" i="34"/>
  <c r="G13541" i="34"/>
  <c r="G13542" i="34"/>
  <c r="G13543" i="34"/>
  <c r="G13544" i="34"/>
  <c r="G13545" i="34"/>
  <c r="G13546" i="34"/>
  <c r="G13547" i="34"/>
  <c r="G13548" i="34"/>
  <c r="G13549" i="34"/>
  <c r="G13550" i="34"/>
  <c r="G13551" i="34"/>
  <c r="G13552" i="34"/>
  <c r="G13553" i="34"/>
  <c r="G13554" i="34"/>
  <c r="G13555" i="34"/>
  <c r="G13556" i="34"/>
  <c r="G13557" i="34"/>
  <c r="G13558" i="34"/>
  <c r="G13559" i="34"/>
  <c r="G13560" i="34"/>
  <c r="G13561" i="34"/>
  <c r="G13562" i="34"/>
  <c r="G13563" i="34"/>
  <c r="G13564" i="34"/>
  <c r="G13565" i="34"/>
  <c r="G13566" i="34"/>
  <c r="G13567" i="34"/>
  <c r="G13568" i="34"/>
  <c r="G13569" i="34"/>
  <c r="G13570" i="34"/>
  <c r="G13571" i="34"/>
  <c r="G13572" i="34"/>
  <c r="G13573" i="34"/>
  <c r="G13574" i="34"/>
  <c r="G13575" i="34"/>
  <c r="G13576" i="34"/>
  <c r="G13577" i="34"/>
  <c r="G13578" i="34"/>
  <c r="G13579" i="34"/>
  <c r="G13580" i="34"/>
  <c r="G13581" i="34"/>
  <c r="G13582" i="34"/>
  <c r="G13583" i="34"/>
  <c r="G13584" i="34"/>
  <c r="G13585" i="34"/>
  <c r="G13586" i="34"/>
  <c r="G13587" i="34"/>
  <c r="G13588" i="34"/>
  <c r="G13589" i="34"/>
  <c r="G13590" i="34"/>
  <c r="G13591" i="34"/>
  <c r="G13592" i="34"/>
  <c r="G13593" i="34"/>
  <c r="G13594" i="34"/>
  <c r="G13595" i="34"/>
  <c r="G13596" i="34"/>
  <c r="G13597" i="34"/>
  <c r="G13598" i="34"/>
  <c r="G13599" i="34"/>
  <c r="G13600" i="34"/>
  <c r="G13601" i="34"/>
  <c r="G13602" i="34"/>
  <c r="G13603" i="34"/>
  <c r="G13604" i="34"/>
  <c r="G13605" i="34"/>
  <c r="G13606" i="34"/>
  <c r="G13607" i="34"/>
  <c r="G13608" i="34"/>
  <c r="G13609" i="34"/>
  <c r="G13610" i="34"/>
  <c r="G13611" i="34"/>
  <c r="G13612" i="34"/>
  <c r="G13613" i="34"/>
  <c r="G13614" i="34"/>
  <c r="G13615" i="34"/>
  <c r="G13616" i="34"/>
  <c r="G13617" i="34"/>
  <c r="G13618" i="34"/>
  <c r="G13619" i="34"/>
  <c r="G13620" i="34"/>
  <c r="G13621" i="34"/>
  <c r="G13622" i="34"/>
  <c r="G13623" i="34"/>
  <c r="G13624" i="34"/>
  <c r="G13625" i="34"/>
  <c r="G13626" i="34"/>
  <c r="G13627" i="34"/>
  <c r="G13628" i="34"/>
  <c r="G13629" i="34"/>
  <c r="G13630" i="34"/>
  <c r="G13631" i="34"/>
  <c r="G13632" i="34"/>
  <c r="G13633" i="34"/>
  <c r="G13634" i="34"/>
  <c r="G13635" i="34"/>
  <c r="G13636" i="34"/>
  <c r="G13637" i="34"/>
  <c r="G13638" i="34"/>
  <c r="G13639" i="34"/>
  <c r="G13640" i="34"/>
  <c r="G13641" i="34"/>
  <c r="G13642" i="34"/>
  <c r="G13643" i="34"/>
  <c r="G13644" i="34"/>
  <c r="G13645" i="34"/>
  <c r="G13646" i="34"/>
  <c r="G13647" i="34"/>
  <c r="G13648" i="34"/>
  <c r="G13649" i="34"/>
  <c r="G13650" i="34"/>
  <c r="G13651" i="34"/>
  <c r="G13652" i="34"/>
  <c r="G13653" i="34"/>
  <c r="G13654" i="34"/>
  <c r="G13655" i="34"/>
  <c r="G13656" i="34"/>
  <c r="G13657" i="34"/>
  <c r="G13658" i="34"/>
  <c r="G13659" i="34"/>
  <c r="G13660" i="34"/>
  <c r="G13661" i="34"/>
  <c r="G13662" i="34"/>
  <c r="G13663" i="34"/>
  <c r="G13664" i="34"/>
  <c r="G13665" i="34"/>
  <c r="G13666" i="34"/>
  <c r="G13667" i="34"/>
  <c r="G13668" i="34"/>
  <c r="G13669" i="34"/>
  <c r="G13670" i="34"/>
  <c r="G13671" i="34"/>
  <c r="G13672" i="34"/>
  <c r="G13673" i="34"/>
  <c r="G13674" i="34"/>
  <c r="G13675" i="34"/>
  <c r="G13676" i="34"/>
  <c r="G13677" i="34"/>
  <c r="G13678" i="34"/>
  <c r="G13679" i="34"/>
  <c r="G13680" i="34"/>
  <c r="G13681" i="34"/>
  <c r="G13682" i="34"/>
  <c r="G13683" i="34"/>
  <c r="G13684" i="34"/>
  <c r="G13685" i="34"/>
  <c r="G13686" i="34"/>
  <c r="G13687" i="34"/>
  <c r="G13688" i="34"/>
  <c r="G13689" i="34"/>
  <c r="G13690" i="34"/>
  <c r="G13691" i="34"/>
  <c r="G13692" i="34"/>
  <c r="G13693" i="34"/>
  <c r="G13694" i="34"/>
  <c r="G13695" i="34"/>
  <c r="G13696" i="34"/>
  <c r="G13697" i="34"/>
  <c r="G13698" i="34"/>
  <c r="G13699" i="34"/>
  <c r="G13700" i="34"/>
  <c r="G13701" i="34"/>
  <c r="G13702" i="34"/>
  <c r="G13703" i="34"/>
  <c r="G13704" i="34"/>
  <c r="G13705" i="34"/>
  <c r="G13706" i="34"/>
  <c r="G13707" i="34"/>
  <c r="G13708" i="34"/>
  <c r="G13709" i="34"/>
  <c r="G13710" i="34"/>
  <c r="G13711" i="34"/>
  <c r="G13712" i="34"/>
  <c r="G13713" i="34"/>
  <c r="G13714" i="34"/>
  <c r="G13715" i="34"/>
  <c r="G13716" i="34"/>
  <c r="G13717" i="34"/>
  <c r="G13718" i="34"/>
  <c r="G13719" i="34"/>
  <c r="G13720" i="34"/>
  <c r="G13721" i="34"/>
  <c r="G13722" i="34"/>
  <c r="G13723" i="34"/>
  <c r="G13724" i="34"/>
  <c r="G13725" i="34"/>
  <c r="G13726" i="34"/>
  <c r="G13727" i="34"/>
  <c r="G13728" i="34"/>
  <c r="G13729" i="34"/>
  <c r="G13730" i="34"/>
  <c r="G13731" i="34"/>
  <c r="G13732" i="34"/>
  <c r="G13733" i="34"/>
  <c r="G13734" i="34"/>
  <c r="G13735" i="34"/>
  <c r="G13736" i="34"/>
  <c r="G13737" i="34"/>
  <c r="G13738" i="34"/>
  <c r="G13739" i="34"/>
  <c r="G13740" i="34"/>
  <c r="G13741" i="34"/>
  <c r="G13742" i="34"/>
  <c r="G13743" i="34"/>
  <c r="G13744" i="34"/>
  <c r="G13745" i="34"/>
  <c r="G13746" i="34"/>
  <c r="G13747" i="34"/>
  <c r="G13748" i="34"/>
  <c r="G13749" i="34"/>
  <c r="G13750" i="34"/>
  <c r="G13751" i="34"/>
  <c r="G13752" i="34"/>
  <c r="G13753" i="34"/>
  <c r="G13754" i="34"/>
  <c r="G13755" i="34"/>
  <c r="G13756" i="34"/>
  <c r="G13757" i="34"/>
  <c r="G13758" i="34"/>
  <c r="G13759" i="34"/>
  <c r="G13760" i="34"/>
  <c r="G13761" i="34"/>
  <c r="G13762" i="34"/>
  <c r="G13763" i="34"/>
  <c r="G13764" i="34"/>
  <c r="G13765" i="34"/>
  <c r="G13766" i="34"/>
  <c r="G13767" i="34"/>
  <c r="G13768" i="34"/>
  <c r="G13769" i="34"/>
  <c r="G13770" i="34"/>
  <c r="G13771" i="34"/>
  <c r="G13772" i="34"/>
  <c r="G13773" i="34"/>
  <c r="G13774" i="34"/>
  <c r="G13775" i="34"/>
  <c r="G13776" i="34"/>
  <c r="G13777" i="34"/>
  <c r="G13778" i="34"/>
  <c r="G13779" i="34"/>
  <c r="G13780" i="34"/>
  <c r="G13781" i="34"/>
  <c r="G13782" i="34"/>
  <c r="G13783" i="34"/>
  <c r="G13784" i="34"/>
  <c r="G13785" i="34"/>
  <c r="G13786" i="34"/>
  <c r="G13787" i="34"/>
  <c r="G13788" i="34"/>
  <c r="G13789" i="34"/>
  <c r="G13790" i="34"/>
  <c r="G13791" i="34"/>
  <c r="G13792" i="34"/>
  <c r="G13793" i="34"/>
  <c r="G13794" i="34"/>
  <c r="G13795" i="34"/>
  <c r="G13796" i="34"/>
  <c r="G13797" i="34"/>
  <c r="G13798" i="34"/>
  <c r="G13799" i="34"/>
  <c r="G13800" i="34"/>
  <c r="G13801" i="34"/>
  <c r="G13802" i="34"/>
  <c r="G13803" i="34"/>
  <c r="G13804" i="34"/>
  <c r="G13805" i="34"/>
  <c r="G13806" i="34"/>
  <c r="G13807" i="34"/>
  <c r="G13808" i="34"/>
  <c r="G13809" i="34"/>
  <c r="G13810" i="34"/>
  <c r="G13811" i="34"/>
  <c r="G13812" i="34"/>
  <c r="G13813" i="34"/>
  <c r="G13814" i="34"/>
  <c r="G13815" i="34"/>
  <c r="G13816" i="34"/>
  <c r="G13817" i="34"/>
  <c r="G13818" i="34"/>
  <c r="G13819" i="34"/>
  <c r="G13820" i="34"/>
  <c r="G13821" i="34"/>
  <c r="G13822" i="34"/>
  <c r="G13823" i="34"/>
  <c r="G13824" i="34"/>
  <c r="G13825" i="34"/>
  <c r="G13826" i="34"/>
  <c r="G13827" i="34"/>
  <c r="G13828" i="34"/>
  <c r="G13829" i="34"/>
  <c r="G13830" i="34"/>
  <c r="G13831" i="34"/>
  <c r="G13832" i="34"/>
  <c r="G13833" i="34"/>
  <c r="G13834" i="34"/>
  <c r="G13835" i="34"/>
  <c r="G13836" i="34"/>
  <c r="G13837" i="34"/>
  <c r="G13838" i="34"/>
  <c r="G13839" i="34"/>
  <c r="G13840" i="34"/>
  <c r="G13841" i="34"/>
  <c r="G13842" i="34"/>
  <c r="G13843" i="34"/>
  <c r="G13844" i="34"/>
  <c r="G13845" i="34"/>
  <c r="G13846" i="34"/>
  <c r="G13847" i="34"/>
  <c r="G13848" i="34"/>
  <c r="G13849" i="34"/>
  <c r="G13850" i="34"/>
  <c r="G13851" i="34"/>
  <c r="G13852" i="34"/>
  <c r="G13853" i="34"/>
  <c r="G13854" i="34"/>
  <c r="G13855" i="34"/>
  <c r="G13856" i="34"/>
  <c r="G13857" i="34"/>
  <c r="G13858" i="34"/>
  <c r="G13859" i="34"/>
  <c r="G13860" i="34"/>
  <c r="G13861" i="34"/>
  <c r="G13862" i="34"/>
  <c r="G13863" i="34"/>
  <c r="G13864" i="34"/>
  <c r="G13865" i="34"/>
  <c r="G13866" i="34"/>
  <c r="G13867" i="34"/>
  <c r="G13868" i="34"/>
  <c r="G13869" i="34"/>
  <c r="G13870" i="34"/>
  <c r="G13871" i="34"/>
  <c r="G13872" i="34"/>
  <c r="G13873" i="34"/>
  <c r="G13874" i="34"/>
  <c r="G13875" i="34"/>
  <c r="G13876" i="34"/>
  <c r="G13877" i="34"/>
  <c r="G13878" i="34"/>
  <c r="G13879" i="34"/>
  <c r="G13880" i="34"/>
  <c r="G13881" i="34"/>
  <c r="G13882" i="34"/>
  <c r="G13883" i="34"/>
  <c r="G13884" i="34"/>
  <c r="G13885" i="34"/>
  <c r="G13886" i="34"/>
  <c r="G13887" i="34"/>
  <c r="G13888" i="34"/>
  <c r="G13889" i="34"/>
  <c r="G13890" i="34"/>
  <c r="G13891" i="34"/>
  <c r="G13892" i="34"/>
  <c r="G13893" i="34"/>
  <c r="G13894" i="34"/>
  <c r="G13895" i="34"/>
  <c r="G13896" i="34"/>
  <c r="G13897" i="34"/>
  <c r="G13898" i="34"/>
  <c r="G13899" i="34"/>
  <c r="G13900" i="34"/>
  <c r="G13901" i="34"/>
  <c r="G13902" i="34"/>
  <c r="G13903" i="34"/>
  <c r="G13904" i="34"/>
  <c r="G13905" i="34"/>
  <c r="G13906" i="34"/>
  <c r="G13907" i="34"/>
  <c r="G13908" i="34"/>
  <c r="G13909" i="34"/>
  <c r="G13910" i="34"/>
  <c r="G13911" i="34"/>
  <c r="G13912" i="34"/>
  <c r="G13913" i="34"/>
  <c r="G13914" i="34"/>
  <c r="G13915" i="34"/>
  <c r="G13916" i="34"/>
  <c r="G13917" i="34"/>
  <c r="G13918" i="34"/>
  <c r="G13919" i="34"/>
  <c r="G13920" i="34"/>
  <c r="G13921" i="34"/>
  <c r="G13922" i="34"/>
  <c r="G13923" i="34"/>
  <c r="G13924" i="34"/>
  <c r="G13925" i="34"/>
  <c r="G13926" i="34"/>
  <c r="G13927" i="34"/>
  <c r="G13928" i="34"/>
  <c r="G13929" i="34"/>
  <c r="G13930" i="34"/>
  <c r="G13931" i="34"/>
  <c r="G13932" i="34"/>
  <c r="G13933" i="34"/>
  <c r="G13934" i="34"/>
  <c r="G13935" i="34"/>
  <c r="G13936" i="34"/>
  <c r="G13937" i="34"/>
  <c r="G13938" i="34"/>
  <c r="G13939" i="34"/>
  <c r="G13940" i="34"/>
  <c r="G13941" i="34"/>
  <c r="G13942" i="34"/>
  <c r="G13943" i="34"/>
  <c r="G13944" i="34"/>
  <c r="G13945" i="34"/>
  <c r="G13946" i="34"/>
  <c r="G13947" i="34"/>
  <c r="G13948" i="34"/>
  <c r="G13949" i="34"/>
  <c r="G13950" i="34"/>
  <c r="G13951" i="34"/>
  <c r="G13952" i="34"/>
  <c r="G13953" i="34"/>
  <c r="G13954" i="34"/>
  <c r="G13955" i="34"/>
  <c r="G13956" i="34"/>
  <c r="G13957" i="34"/>
  <c r="G13958" i="34"/>
  <c r="G13959" i="34"/>
  <c r="G13960" i="34"/>
  <c r="G13961" i="34"/>
  <c r="G13962" i="34"/>
  <c r="G13963" i="34"/>
  <c r="G13964" i="34"/>
  <c r="G13965" i="34"/>
  <c r="G13966" i="34"/>
  <c r="G13967" i="34"/>
  <c r="G13968" i="34"/>
  <c r="G13969" i="34"/>
  <c r="G13970" i="34"/>
  <c r="G13971" i="34"/>
  <c r="G13972" i="34"/>
  <c r="G13973" i="34"/>
  <c r="G13974" i="34"/>
  <c r="G13975" i="34"/>
  <c r="G13976" i="34"/>
  <c r="G13977" i="34"/>
  <c r="G13978" i="34"/>
  <c r="G13979" i="34"/>
  <c r="G13980" i="34"/>
  <c r="G13981" i="34"/>
  <c r="G13982" i="34"/>
  <c r="G13983" i="34"/>
  <c r="G13984" i="34"/>
  <c r="G13985" i="34"/>
  <c r="G13986" i="34"/>
  <c r="G13987" i="34"/>
  <c r="G13988" i="34"/>
  <c r="G13989" i="34"/>
  <c r="G13990" i="34"/>
  <c r="G13991" i="34"/>
  <c r="G13992" i="34"/>
  <c r="G13993" i="34"/>
  <c r="G13994" i="34"/>
  <c r="G13995" i="34"/>
  <c r="G13996" i="34"/>
  <c r="G13997" i="34"/>
  <c r="G13998" i="34"/>
  <c r="G13999" i="34"/>
  <c r="G14000" i="34"/>
  <c r="G14001" i="34"/>
  <c r="G14002" i="34"/>
  <c r="G14003" i="34"/>
  <c r="G14004" i="34"/>
  <c r="G14005" i="34"/>
  <c r="G14006" i="34"/>
  <c r="G14007" i="34"/>
  <c r="G14008" i="34"/>
  <c r="G14009" i="34"/>
  <c r="G14010" i="34"/>
  <c r="G14011" i="34"/>
  <c r="G14012" i="34"/>
  <c r="G14013" i="34"/>
  <c r="G14014" i="34"/>
  <c r="G14015" i="34"/>
  <c r="G14016" i="34"/>
  <c r="G14017" i="34"/>
  <c r="G14018" i="34"/>
  <c r="G14019" i="34"/>
  <c r="G14020" i="34"/>
  <c r="G14021" i="34"/>
  <c r="G14022" i="34"/>
  <c r="G14023" i="34"/>
  <c r="G14024" i="34"/>
  <c r="G14025" i="34"/>
  <c r="G14026" i="34"/>
  <c r="G14027" i="34"/>
  <c r="G14028" i="34"/>
  <c r="G14029" i="34"/>
  <c r="G14030" i="34"/>
  <c r="G14031" i="34"/>
  <c r="G14032" i="34"/>
  <c r="G14033" i="34"/>
  <c r="G14034" i="34"/>
  <c r="G14035" i="34"/>
  <c r="G14036" i="34"/>
  <c r="G14037" i="34"/>
  <c r="G14038" i="34"/>
  <c r="G14039" i="34"/>
  <c r="G14040" i="34"/>
  <c r="G14041" i="34"/>
  <c r="G14042" i="34"/>
  <c r="G14043" i="34"/>
  <c r="G14044" i="34"/>
  <c r="G14045" i="34"/>
  <c r="G14046" i="34"/>
  <c r="G14047" i="34"/>
  <c r="G14048" i="34"/>
  <c r="G14049" i="34"/>
  <c r="G14050" i="34"/>
  <c r="G14051" i="34"/>
  <c r="G14052" i="34"/>
  <c r="G14053" i="34"/>
  <c r="G14054" i="34"/>
  <c r="G14055" i="34"/>
  <c r="G14056" i="34"/>
  <c r="G14057" i="34"/>
  <c r="G14058" i="34"/>
  <c r="G14059" i="34"/>
  <c r="G14060" i="34"/>
  <c r="G14061" i="34"/>
  <c r="G14062" i="34"/>
  <c r="G14063" i="34"/>
  <c r="G14064" i="34"/>
  <c r="G14065" i="34"/>
  <c r="G14066" i="34"/>
  <c r="G14067" i="34"/>
  <c r="G14068" i="34"/>
  <c r="G14069" i="34"/>
  <c r="G14070" i="34"/>
  <c r="G14071" i="34"/>
  <c r="G14072" i="34"/>
  <c r="G14073" i="34"/>
  <c r="G14074" i="34"/>
  <c r="G14075" i="34"/>
  <c r="G14076" i="34"/>
  <c r="G14077" i="34"/>
  <c r="G14078" i="34"/>
  <c r="G14079" i="34"/>
  <c r="G14080" i="34"/>
  <c r="G14081" i="34"/>
  <c r="G14082" i="34"/>
  <c r="G14083" i="34"/>
  <c r="G14084" i="34"/>
  <c r="G14085" i="34"/>
  <c r="G14086" i="34"/>
  <c r="G14087" i="34"/>
  <c r="G14088" i="34"/>
  <c r="G14089" i="34"/>
  <c r="G14090" i="34"/>
  <c r="G14091" i="34"/>
  <c r="G14092" i="34"/>
  <c r="G14093" i="34"/>
  <c r="G14094" i="34"/>
  <c r="G14095" i="34"/>
  <c r="G14096" i="34"/>
  <c r="G14097" i="34"/>
  <c r="G14098" i="34"/>
  <c r="G14099" i="34"/>
  <c r="G14100" i="34"/>
  <c r="G14101" i="34"/>
  <c r="G14102" i="34"/>
  <c r="G14103" i="34"/>
  <c r="G14104" i="34"/>
  <c r="G14105" i="34"/>
  <c r="G14106" i="34"/>
  <c r="G14107" i="34"/>
  <c r="G14108" i="34"/>
  <c r="G14109" i="34"/>
  <c r="G14110" i="34"/>
  <c r="G14111" i="34"/>
  <c r="G14112" i="34"/>
  <c r="G14113" i="34"/>
  <c r="G14114" i="34"/>
  <c r="G14115" i="34"/>
  <c r="G14116" i="34"/>
  <c r="G14117" i="34"/>
  <c r="G14118" i="34"/>
  <c r="G14119" i="34"/>
  <c r="G14120" i="34"/>
  <c r="G14121" i="34"/>
  <c r="G14122" i="34"/>
  <c r="G14123" i="34"/>
  <c r="G14124" i="34"/>
  <c r="G14125" i="34"/>
  <c r="G14126" i="34"/>
  <c r="G14127" i="34"/>
  <c r="G14128" i="34"/>
  <c r="G14129" i="34"/>
  <c r="G14130" i="34"/>
  <c r="G14131" i="34"/>
  <c r="G14132" i="34"/>
  <c r="G14133" i="34"/>
  <c r="G14134" i="34"/>
  <c r="G14135" i="34"/>
  <c r="G14136" i="34"/>
  <c r="G14137" i="34"/>
  <c r="G14138" i="34"/>
  <c r="G14139" i="34"/>
  <c r="G14140" i="34"/>
  <c r="G14141" i="34"/>
  <c r="G14142" i="34"/>
  <c r="G14143" i="34"/>
  <c r="G14144" i="34"/>
  <c r="G14145" i="34"/>
  <c r="G14146" i="34"/>
  <c r="G14147" i="34"/>
  <c r="G14148" i="34"/>
  <c r="G14149" i="34"/>
  <c r="G14150" i="34"/>
  <c r="G14151" i="34"/>
  <c r="G14152" i="34"/>
  <c r="G14153" i="34"/>
  <c r="G14154" i="34"/>
  <c r="G14155" i="34"/>
  <c r="G14156" i="34"/>
  <c r="G14157" i="34"/>
  <c r="G14158" i="34"/>
  <c r="G14159" i="34"/>
  <c r="G14160" i="34"/>
  <c r="G14161" i="34"/>
  <c r="G14162" i="34"/>
  <c r="G14163" i="34"/>
  <c r="G14164" i="34"/>
  <c r="G14165" i="34"/>
  <c r="G14166" i="34"/>
  <c r="G14167" i="34"/>
  <c r="G14168" i="34"/>
  <c r="G14169" i="34"/>
  <c r="G14170" i="34"/>
  <c r="G14171" i="34"/>
  <c r="G14172" i="34"/>
  <c r="G14173" i="34"/>
  <c r="G14174" i="34"/>
  <c r="G14175" i="34"/>
  <c r="G14176" i="34"/>
  <c r="G14177" i="34"/>
  <c r="G14178" i="34"/>
  <c r="G14179" i="34"/>
  <c r="G14180" i="34"/>
  <c r="G14181" i="34"/>
  <c r="G14182" i="34"/>
  <c r="G14183" i="34"/>
  <c r="G14184" i="34"/>
  <c r="G14185" i="34"/>
  <c r="G14186" i="34"/>
  <c r="G14187" i="34"/>
  <c r="G14188" i="34"/>
  <c r="G14189" i="34"/>
  <c r="G14190" i="34"/>
  <c r="G14191" i="34"/>
  <c r="G14192" i="34"/>
  <c r="G14193" i="34"/>
  <c r="G14194" i="34"/>
  <c r="G14195" i="34"/>
  <c r="G14196" i="34"/>
  <c r="G14197" i="34"/>
  <c r="G14198" i="34"/>
  <c r="G14199" i="34"/>
  <c r="G14200" i="34"/>
  <c r="G14201" i="34"/>
  <c r="G14202" i="34"/>
  <c r="G14203" i="34"/>
  <c r="G14204" i="34"/>
  <c r="G14205" i="34"/>
  <c r="G14206" i="34"/>
  <c r="G14207" i="34"/>
  <c r="G14208" i="34"/>
  <c r="G14209" i="34"/>
  <c r="G14210" i="34"/>
  <c r="G14211" i="34"/>
  <c r="G14212" i="34"/>
  <c r="G14213" i="34"/>
  <c r="G14214" i="34"/>
  <c r="G14215" i="34"/>
  <c r="G14216" i="34"/>
  <c r="G14217" i="34"/>
  <c r="G14218" i="34"/>
  <c r="G14219" i="34"/>
  <c r="G14220" i="34"/>
  <c r="G14221" i="34"/>
  <c r="G14222" i="34"/>
  <c r="G14223" i="34"/>
  <c r="G14224" i="34"/>
  <c r="G14225" i="34"/>
  <c r="G14226" i="34"/>
  <c r="G14227" i="34"/>
  <c r="G14228" i="34"/>
  <c r="G14229" i="34"/>
  <c r="G14230" i="34"/>
  <c r="G14231" i="34"/>
  <c r="G14232" i="34"/>
  <c r="G14233" i="34"/>
  <c r="G14234" i="34"/>
  <c r="G14235" i="34"/>
  <c r="G14236" i="34"/>
  <c r="G14237" i="34"/>
  <c r="G14238" i="34"/>
  <c r="G14239" i="34"/>
  <c r="G14240" i="34"/>
  <c r="G14241" i="34"/>
  <c r="G14242" i="34"/>
  <c r="G14243" i="34"/>
  <c r="G14244" i="34"/>
  <c r="G14245" i="34"/>
  <c r="G14246" i="34"/>
  <c r="G14247" i="34"/>
  <c r="G14248" i="34"/>
  <c r="G14249" i="34"/>
  <c r="G14250" i="34"/>
  <c r="G14251" i="34"/>
  <c r="G14252" i="34"/>
  <c r="G14253" i="34"/>
  <c r="G14254" i="34"/>
  <c r="G14255" i="34"/>
  <c r="G14256" i="34"/>
  <c r="G14257" i="34"/>
  <c r="G14258" i="34"/>
  <c r="G14259" i="34"/>
  <c r="G14260" i="34"/>
  <c r="G14261" i="34"/>
  <c r="G14262" i="34"/>
  <c r="G14263" i="34"/>
  <c r="G14264" i="34"/>
  <c r="G14265" i="34"/>
  <c r="G14266" i="34"/>
  <c r="G14267" i="34"/>
  <c r="G14268" i="34"/>
  <c r="G14269" i="34"/>
  <c r="G14270" i="34"/>
  <c r="G14271" i="34"/>
  <c r="G14272" i="34"/>
  <c r="G14273" i="34"/>
  <c r="G14274" i="34"/>
  <c r="G14275" i="34"/>
  <c r="G14276" i="34"/>
  <c r="G14277" i="34"/>
  <c r="G14278" i="34"/>
  <c r="G14279" i="34"/>
  <c r="G14280" i="34"/>
  <c r="G14281" i="34"/>
  <c r="G14282" i="34"/>
  <c r="G14283" i="34"/>
  <c r="G14284" i="34"/>
  <c r="G14285" i="34"/>
  <c r="G14286" i="34"/>
  <c r="G14287" i="34"/>
  <c r="G14288" i="34"/>
  <c r="G14289" i="34"/>
  <c r="G14290" i="34"/>
  <c r="G14291" i="34"/>
  <c r="G14292" i="34"/>
  <c r="G14293" i="34"/>
  <c r="G14294" i="34"/>
  <c r="G14295" i="34"/>
  <c r="G14296" i="34"/>
  <c r="G14297" i="34"/>
  <c r="G14298" i="34"/>
  <c r="G14299" i="34"/>
  <c r="G14300" i="34"/>
  <c r="G14301" i="34"/>
  <c r="G14302" i="34"/>
  <c r="G14303" i="34"/>
  <c r="G14304" i="34"/>
  <c r="G14305" i="34"/>
  <c r="G14306" i="34"/>
  <c r="G14307" i="34"/>
  <c r="G14308" i="34"/>
  <c r="G14309" i="34"/>
  <c r="G14310" i="34"/>
  <c r="G14311" i="34"/>
  <c r="G14312" i="34"/>
  <c r="G14313" i="34"/>
  <c r="G14314" i="34"/>
  <c r="G14315" i="34"/>
  <c r="G14316" i="34"/>
  <c r="G14317" i="34"/>
  <c r="G14318" i="34"/>
  <c r="G14319" i="34"/>
  <c r="G14320" i="34"/>
  <c r="G14321" i="34"/>
  <c r="G14322" i="34"/>
  <c r="G14323" i="34"/>
  <c r="G14324" i="34"/>
  <c r="G14325" i="34"/>
  <c r="G14326" i="34"/>
  <c r="G14327" i="34"/>
  <c r="G14328" i="34"/>
  <c r="G14329" i="34"/>
  <c r="G14330" i="34"/>
  <c r="G14331" i="34"/>
  <c r="G14332" i="34"/>
  <c r="G14333" i="34"/>
  <c r="G14334" i="34"/>
  <c r="G14335" i="34"/>
  <c r="G14336" i="34"/>
  <c r="G14337" i="34"/>
  <c r="G14338" i="34"/>
  <c r="G14339" i="34"/>
  <c r="G14340" i="34"/>
  <c r="G14341" i="34"/>
  <c r="G14342" i="34"/>
  <c r="G14343" i="34"/>
  <c r="G14344" i="34"/>
  <c r="G14345" i="34"/>
  <c r="G14346" i="34"/>
  <c r="G14347" i="34"/>
  <c r="G14348" i="34"/>
  <c r="G14349" i="34"/>
  <c r="G14350" i="34"/>
  <c r="G14351" i="34"/>
  <c r="G14352" i="34"/>
  <c r="G14353" i="34"/>
  <c r="G14354" i="34"/>
  <c r="G14355" i="34"/>
  <c r="G14356" i="34"/>
  <c r="G14357" i="34"/>
  <c r="G14358" i="34"/>
  <c r="G14359" i="34"/>
  <c r="G14360" i="34"/>
  <c r="G14361" i="34"/>
  <c r="G14362" i="34"/>
  <c r="G14363" i="34"/>
  <c r="G14364" i="34"/>
  <c r="G14365" i="34"/>
  <c r="G14366" i="34"/>
  <c r="G14367" i="34"/>
  <c r="G14368" i="34"/>
  <c r="G14369" i="34"/>
  <c r="G14370" i="34"/>
  <c r="G14371" i="34"/>
  <c r="G14372" i="34"/>
  <c r="G14373" i="34"/>
  <c r="G14374" i="34"/>
  <c r="G14375" i="34"/>
  <c r="G14376" i="34"/>
  <c r="G14377" i="34"/>
  <c r="G14378" i="34"/>
  <c r="G14379" i="34"/>
  <c r="G14380" i="34"/>
  <c r="G14381" i="34"/>
  <c r="G14382" i="34"/>
  <c r="G14383" i="34"/>
  <c r="G14384" i="34"/>
  <c r="G14385" i="34"/>
  <c r="G14386" i="34"/>
  <c r="G14387" i="34"/>
  <c r="G14388" i="34"/>
  <c r="G14389" i="34"/>
  <c r="G14390" i="34"/>
  <c r="G14391" i="34"/>
  <c r="G14392" i="34"/>
  <c r="G14393" i="34"/>
  <c r="G14394" i="34"/>
  <c r="G14395" i="34"/>
  <c r="G14396" i="34"/>
  <c r="G14397" i="34"/>
  <c r="G14398" i="34"/>
  <c r="G14399" i="34"/>
  <c r="G14400" i="34"/>
  <c r="G14401" i="34"/>
  <c r="G14402" i="34"/>
  <c r="G14403" i="34"/>
  <c r="G14404" i="34"/>
  <c r="G14405" i="34"/>
  <c r="G14406" i="34"/>
  <c r="G14407" i="34"/>
  <c r="G14408" i="34"/>
  <c r="G14409" i="34"/>
  <c r="G14410" i="34"/>
  <c r="G14411" i="34"/>
  <c r="G14412" i="34"/>
  <c r="G14413" i="34"/>
  <c r="G14414" i="34"/>
  <c r="G14415" i="34"/>
  <c r="G14416" i="34"/>
  <c r="G14417" i="34"/>
  <c r="G14418" i="34"/>
  <c r="G14419" i="34"/>
  <c r="G14420" i="34"/>
  <c r="G14421" i="34"/>
  <c r="G14422" i="34"/>
  <c r="G14423" i="34"/>
  <c r="G14424" i="34"/>
  <c r="G14425" i="34"/>
  <c r="G14426" i="34"/>
  <c r="G14427" i="34"/>
  <c r="G14428" i="34"/>
  <c r="G14429" i="34"/>
  <c r="G14430" i="34"/>
  <c r="G14431" i="34"/>
  <c r="G14432" i="34"/>
  <c r="G14433" i="34"/>
  <c r="G14434" i="34"/>
  <c r="G14435" i="34"/>
  <c r="G14436" i="34"/>
  <c r="G14437" i="34"/>
  <c r="G14438" i="34"/>
  <c r="G14439" i="34"/>
  <c r="G14440" i="34"/>
  <c r="G14441" i="34"/>
  <c r="G14442" i="34"/>
  <c r="G14443" i="34"/>
  <c r="G14444" i="34"/>
  <c r="G14445" i="34"/>
  <c r="G14446" i="34"/>
  <c r="G14447" i="34"/>
  <c r="G14448" i="34"/>
  <c r="G14449" i="34"/>
  <c r="G14450" i="34"/>
  <c r="G14451" i="34"/>
  <c r="G14452" i="34"/>
  <c r="G14453" i="34"/>
  <c r="G14454" i="34"/>
  <c r="G14455" i="34"/>
  <c r="G14456" i="34"/>
  <c r="G14457" i="34"/>
  <c r="G14458" i="34"/>
  <c r="G14459" i="34"/>
  <c r="G14460" i="34"/>
  <c r="G14461" i="34"/>
  <c r="G14462" i="34"/>
  <c r="G14463" i="34"/>
  <c r="G14464" i="34"/>
  <c r="G14465" i="34"/>
  <c r="G14466" i="34"/>
  <c r="G14467" i="34"/>
  <c r="G14468" i="34"/>
  <c r="G14469" i="34"/>
  <c r="G14470" i="34"/>
  <c r="G14471" i="34"/>
  <c r="G14472" i="34"/>
  <c r="G14473" i="34"/>
  <c r="G14474" i="34"/>
  <c r="G14475" i="34"/>
  <c r="G14476" i="34"/>
  <c r="G14477" i="34"/>
  <c r="G14478" i="34"/>
  <c r="G14479" i="34"/>
  <c r="G14480" i="34"/>
  <c r="G14481" i="34"/>
  <c r="G14482" i="34"/>
  <c r="G14483" i="34"/>
  <c r="G14484" i="34"/>
  <c r="G14485" i="34"/>
  <c r="G14486" i="34"/>
  <c r="G14487" i="34"/>
  <c r="G14488" i="34"/>
  <c r="G14489" i="34"/>
  <c r="G14490" i="34"/>
  <c r="G14491" i="34"/>
  <c r="G14492" i="34"/>
  <c r="G14493" i="34"/>
  <c r="G14494" i="34"/>
  <c r="G14495" i="34"/>
  <c r="G14496" i="34"/>
  <c r="G14497" i="34"/>
  <c r="G14498" i="34"/>
  <c r="G14499" i="34"/>
  <c r="G14500" i="34"/>
  <c r="G14501" i="34"/>
  <c r="G14502" i="34"/>
  <c r="G14503" i="34"/>
  <c r="G14504" i="34"/>
  <c r="G14505" i="34"/>
  <c r="G14506" i="34"/>
  <c r="G14507" i="34"/>
  <c r="G14508" i="34"/>
  <c r="G14509" i="34"/>
  <c r="G14510" i="34"/>
  <c r="G14511" i="34"/>
  <c r="G14512" i="34"/>
  <c r="G14513" i="34"/>
  <c r="G14514" i="34"/>
  <c r="G14515" i="34"/>
  <c r="G14516" i="34"/>
  <c r="G14517" i="34"/>
  <c r="G14518" i="34"/>
  <c r="G14519" i="34"/>
  <c r="G14520" i="34"/>
  <c r="G14521" i="34"/>
  <c r="G14522" i="34"/>
  <c r="G14523" i="34"/>
  <c r="G14524" i="34"/>
  <c r="G14525" i="34"/>
  <c r="G14526" i="34"/>
  <c r="G14527" i="34"/>
  <c r="G14528" i="34"/>
  <c r="G14529" i="34"/>
  <c r="G14530" i="34"/>
  <c r="G14531" i="34"/>
  <c r="G14532" i="34"/>
  <c r="G14533" i="34"/>
  <c r="G14534" i="34"/>
  <c r="G14535" i="34"/>
  <c r="G14536" i="34"/>
  <c r="G14537" i="34"/>
  <c r="G14538" i="34"/>
  <c r="G14539" i="34"/>
  <c r="G14540" i="34"/>
  <c r="G14541" i="34"/>
  <c r="G14542" i="34"/>
  <c r="G14543" i="34"/>
  <c r="G14544" i="34"/>
  <c r="G14545" i="34"/>
  <c r="G14546" i="34"/>
  <c r="G14547" i="34"/>
  <c r="G14548" i="34"/>
  <c r="G14549" i="34"/>
  <c r="G14550" i="34"/>
  <c r="G14551" i="34"/>
  <c r="G14552" i="34"/>
  <c r="G14553" i="34"/>
  <c r="G14554" i="34"/>
  <c r="G14555" i="34"/>
  <c r="G14556" i="34"/>
  <c r="G14557" i="34"/>
  <c r="G14558" i="34"/>
  <c r="G14559" i="34"/>
  <c r="G14560" i="34"/>
  <c r="G14561" i="34"/>
  <c r="G14562" i="34"/>
  <c r="G14563" i="34"/>
  <c r="G14564" i="34"/>
  <c r="G14565" i="34"/>
  <c r="G14566" i="34"/>
  <c r="G14567" i="34"/>
  <c r="G14568" i="34"/>
  <c r="G14569" i="34"/>
  <c r="G14570" i="34"/>
  <c r="G14571" i="34"/>
  <c r="G14572" i="34"/>
  <c r="G14573" i="34"/>
  <c r="G14574" i="34"/>
  <c r="G14575" i="34"/>
  <c r="G14576" i="34"/>
  <c r="G14577" i="34"/>
  <c r="G14578" i="34"/>
  <c r="G14579" i="34"/>
  <c r="G14580" i="34"/>
  <c r="G14581" i="34"/>
  <c r="G14582" i="34"/>
  <c r="G14583" i="34"/>
  <c r="G14584" i="34"/>
  <c r="G14585" i="34"/>
  <c r="G14586" i="34"/>
  <c r="G14587" i="34"/>
  <c r="G14588" i="34"/>
  <c r="G14589" i="34"/>
  <c r="G14590" i="34"/>
  <c r="G14591" i="34"/>
  <c r="G14592" i="34"/>
  <c r="G14593" i="34"/>
  <c r="G14594" i="34"/>
  <c r="G14595" i="34"/>
  <c r="G14596" i="34"/>
  <c r="G14597" i="34"/>
  <c r="G14598" i="34"/>
  <c r="G14599" i="34"/>
  <c r="G14600" i="34"/>
  <c r="G14601" i="34"/>
  <c r="G14602" i="34"/>
  <c r="G14603" i="34"/>
  <c r="G14604" i="34"/>
  <c r="G14605" i="34"/>
  <c r="G14606" i="34"/>
  <c r="G14607" i="34"/>
  <c r="G14608" i="34"/>
  <c r="G14609" i="34"/>
  <c r="G14610" i="34"/>
  <c r="G14611" i="34"/>
  <c r="G14612" i="34"/>
  <c r="G14613" i="34"/>
  <c r="G14614" i="34"/>
  <c r="G14615" i="34"/>
  <c r="G14616" i="34"/>
  <c r="G14617" i="34"/>
  <c r="G14618" i="34"/>
  <c r="G14619" i="34"/>
  <c r="G14620" i="34"/>
  <c r="G14621" i="34"/>
  <c r="G14622" i="34"/>
  <c r="G14623" i="34"/>
  <c r="G14624" i="34"/>
  <c r="G14625" i="34"/>
  <c r="G14626" i="34"/>
  <c r="G14627" i="34"/>
  <c r="G14628" i="34"/>
  <c r="G14629" i="34"/>
  <c r="G14630" i="34"/>
  <c r="G14631" i="34"/>
  <c r="G14632" i="34"/>
  <c r="G14633" i="34"/>
  <c r="G14634" i="34"/>
  <c r="G14635" i="34"/>
  <c r="G14636" i="34"/>
  <c r="G14637" i="34"/>
  <c r="G14638" i="34"/>
  <c r="G14639" i="34"/>
  <c r="G14640" i="34"/>
  <c r="G14641" i="34"/>
  <c r="G14642" i="34"/>
  <c r="G14643" i="34"/>
  <c r="G14644" i="34"/>
  <c r="G14645" i="34"/>
  <c r="G14646" i="34"/>
  <c r="G14647" i="34"/>
  <c r="G14648" i="34"/>
  <c r="G14649" i="34"/>
  <c r="G14650" i="34"/>
  <c r="G14651" i="34"/>
  <c r="G14652" i="34"/>
  <c r="G14653" i="34"/>
  <c r="G14654" i="34"/>
  <c r="G14655" i="34"/>
  <c r="G14656" i="34"/>
  <c r="G14657" i="34"/>
  <c r="G14658" i="34"/>
  <c r="G14659" i="34"/>
  <c r="G14660" i="34"/>
  <c r="G14661" i="34"/>
  <c r="G14662" i="34"/>
  <c r="G14663" i="34"/>
  <c r="G14664" i="34"/>
  <c r="G14665" i="34"/>
  <c r="G14666" i="34"/>
  <c r="G14667" i="34"/>
  <c r="G14668" i="34"/>
  <c r="G14669" i="34"/>
  <c r="G14670" i="34"/>
  <c r="G14671" i="34"/>
  <c r="G14672" i="34"/>
  <c r="G14673" i="34"/>
  <c r="G14674" i="34"/>
  <c r="G14675" i="34"/>
  <c r="G14676" i="34"/>
  <c r="G14677" i="34"/>
  <c r="G14678" i="34"/>
  <c r="G14679" i="34"/>
  <c r="G14680" i="34"/>
  <c r="G14681" i="34"/>
  <c r="G14682" i="34"/>
  <c r="G14683" i="34"/>
  <c r="G14684" i="34"/>
  <c r="G14685" i="34"/>
  <c r="G14686" i="34"/>
  <c r="G14687" i="34"/>
  <c r="G14688" i="34"/>
  <c r="G14689" i="34"/>
  <c r="G14690" i="34"/>
  <c r="G14691" i="34"/>
  <c r="G14692" i="34"/>
  <c r="G14693" i="34"/>
  <c r="G14694" i="34"/>
  <c r="G14695" i="34"/>
  <c r="G14696" i="34"/>
  <c r="G14697" i="34"/>
  <c r="G14698" i="34"/>
  <c r="G14699" i="34"/>
  <c r="G14700" i="34"/>
  <c r="G14701" i="34"/>
  <c r="G14702" i="34"/>
  <c r="G14703" i="34"/>
  <c r="G14704" i="34"/>
  <c r="G14705" i="34"/>
  <c r="G14706" i="34"/>
  <c r="G14707" i="34"/>
  <c r="G14708" i="34"/>
  <c r="G14709" i="34"/>
  <c r="G14710" i="34"/>
  <c r="G14711" i="34"/>
  <c r="G14712" i="34"/>
  <c r="G14713" i="34"/>
  <c r="G14714" i="34"/>
  <c r="G14715" i="34"/>
  <c r="G14716" i="34"/>
  <c r="G14717" i="34"/>
  <c r="G14718" i="34"/>
  <c r="G14719" i="34"/>
  <c r="G14720" i="34"/>
  <c r="G14721" i="34"/>
  <c r="G14722" i="34"/>
  <c r="G14723" i="34"/>
  <c r="G14724" i="34"/>
  <c r="G14725" i="34"/>
  <c r="G14726" i="34"/>
  <c r="G14727" i="34"/>
  <c r="G14728" i="34"/>
  <c r="G14729" i="34"/>
  <c r="G14730" i="34"/>
  <c r="G14731" i="34"/>
  <c r="G14732" i="34"/>
  <c r="G14733" i="34"/>
  <c r="G14734" i="34"/>
  <c r="G14735" i="34"/>
  <c r="G14736" i="34"/>
  <c r="G14737" i="34"/>
  <c r="G14738" i="34"/>
  <c r="G14739" i="34"/>
  <c r="G14740" i="34"/>
  <c r="G14741" i="34"/>
  <c r="G14742" i="34"/>
  <c r="G14743" i="34"/>
  <c r="G14744" i="34"/>
  <c r="G14745" i="34"/>
  <c r="G14746" i="34"/>
  <c r="G14747" i="34"/>
  <c r="G14748" i="34"/>
  <c r="G14749" i="34"/>
  <c r="G14750" i="34"/>
  <c r="G14751" i="34"/>
  <c r="G14752" i="34"/>
  <c r="G14753" i="34"/>
  <c r="G14754" i="34"/>
  <c r="G14755" i="34"/>
  <c r="G14756" i="34"/>
  <c r="G14757" i="34"/>
  <c r="G14758" i="34"/>
  <c r="G14759" i="34"/>
  <c r="G14760" i="34"/>
  <c r="G14761" i="34"/>
  <c r="G14762" i="34"/>
  <c r="G14763" i="34"/>
  <c r="G14764" i="34"/>
  <c r="G14765" i="34"/>
  <c r="G14766" i="34"/>
  <c r="G14767" i="34"/>
  <c r="G14768" i="34"/>
  <c r="G14769" i="34"/>
  <c r="G14770" i="34"/>
  <c r="G14771" i="34"/>
  <c r="G14772" i="34"/>
  <c r="G14773" i="34"/>
  <c r="G14774" i="34"/>
  <c r="G14775" i="34"/>
  <c r="G14776" i="34"/>
  <c r="G14777" i="34"/>
  <c r="G14778" i="34"/>
  <c r="G14779" i="34"/>
  <c r="G14780" i="34"/>
  <c r="G14781" i="34"/>
  <c r="G14782" i="34"/>
  <c r="G14783" i="34"/>
  <c r="G14784" i="34"/>
  <c r="G14785" i="34"/>
  <c r="G14786" i="34"/>
  <c r="G14787" i="34"/>
  <c r="G14788" i="34"/>
  <c r="G14789" i="34"/>
  <c r="G14790" i="34"/>
  <c r="G14791" i="34"/>
  <c r="G14792" i="34"/>
  <c r="G14793" i="34"/>
  <c r="G14794" i="34"/>
  <c r="G14795" i="34"/>
  <c r="G14796" i="34"/>
  <c r="G14797" i="34"/>
  <c r="G14798" i="34"/>
  <c r="G14799" i="34"/>
  <c r="G14800" i="34"/>
  <c r="G14801" i="34"/>
  <c r="G14802" i="34"/>
  <c r="G14803" i="34"/>
  <c r="G14804" i="34"/>
  <c r="G14805" i="34"/>
  <c r="G14806" i="34"/>
  <c r="G14807" i="34"/>
  <c r="G14808" i="34"/>
  <c r="G14809" i="34"/>
  <c r="G14810" i="34"/>
  <c r="G14811" i="34"/>
  <c r="G14812" i="34"/>
  <c r="G14813" i="34"/>
  <c r="G14814" i="34"/>
  <c r="G14815" i="34"/>
  <c r="G14816" i="34"/>
  <c r="G14817" i="34"/>
  <c r="G14818" i="34"/>
  <c r="G14819" i="34"/>
  <c r="G14820" i="34"/>
  <c r="G14821" i="34"/>
  <c r="G14822" i="34"/>
  <c r="G14823" i="34"/>
  <c r="G14824" i="34"/>
  <c r="G14825" i="34"/>
  <c r="G14826" i="34"/>
  <c r="G14827" i="34"/>
  <c r="G14828" i="34"/>
  <c r="G14829" i="34"/>
  <c r="G14830" i="34"/>
  <c r="G14831" i="34"/>
  <c r="G14832" i="34"/>
  <c r="G14833" i="34"/>
  <c r="G14834" i="34"/>
  <c r="G14835" i="34"/>
  <c r="G14836" i="34"/>
  <c r="G14837" i="34"/>
  <c r="G14838" i="34"/>
  <c r="G14839" i="34"/>
  <c r="G14840" i="34"/>
  <c r="G14841" i="34"/>
  <c r="G14842" i="34"/>
  <c r="G14843" i="34"/>
  <c r="G14844" i="34"/>
  <c r="G14845" i="34"/>
  <c r="G14846" i="34"/>
  <c r="G14847" i="34"/>
  <c r="G14848" i="34"/>
  <c r="G14849" i="34"/>
  <c r="G14850" i="34"/>
  <c r="G14851" i="34"/>
  <c r="G14852" i="34"/>
  <c r="G14853" i="34"/>
  <c r="G14854" i="34"/>
  <c r="G14855" i="34"/>
  <c r="G14856" i="34"/>
  <c r="G14857" i="34"/>
  <c r="G14858" i="34"/>
  <c r="G14859" i="34"/>
  <c r="G14860" i="34"/>
  <c r="G14861" i="34"/>
  <c r="G14862" i="34"/>
  <c r="G14863" i="34"/>
  <c r="G14864" i="34"/>
  <c r="G14865" i="34"/>
  <c r="G14866" i="34"/>
  <c r="G14867" i="34"/>
  <c r="G14868" i="34"/>
  <c r="G14869" i="34"/>
  <c r="G14870" i="34"/>
  <c r="G14871" i="34"/>
  <c r="G14872" i="34"/>
  <c r="G14873" i="34"/>
  <c r="G14874" i="34"/>
  <c r="G14875" i="34"/>
  <c r="G14876" i="34"/>
  <c r="G14877" i="34"/>
  <c r="G14878" i="34"/>
  <c r="G14879" i="34"/>
  <c r="G14880" i="34"/>
  <c r="G14881" i="34"/>
  <c r="G14882" i="34"/>
  <c r="G14883" i="34"/>
  <c r="G14884" i="34"/>
  <c r="G14885" i="34"/>
  <c r="G14886" i="34"/>
  <c r="G14887" i="34"/>
  <c r="G14888" i="34"/>
  <c r="G14889" i="34"/>
  <c r="G14890" i="34"/>
  <c r="G14891" i="34"/>
  <c r="G14892" i="34"/>
  <c r="G14893" i="34"/>
  <c r="G14894" i="34"/>
  <c r="G14895" i="34"/>
  <c r="G14896" i="34"/>
  <c r="G14897" i="34"/>
  <c r="G14898" i="34"/>
  <c r="G14899" i="34"/>
  <c r="G14900" i="34"/>
  <c r="G14901" i="34"/>
  <c r="G14902" i="34"/>
  <c r="G14903" i="34"/>
  <c r="G14904" i="34"/>
  <c r="G14905" i="34"/>
  <c r="G14906" i="34"/>
  <c r="G14907" i="34"/>
  <c r="G14908" i="34"/>
  <c r="G14909" i="34"/>
  <c r="G14910" i="34"/>
  <c r="G14911" i="34"/>
  <c r="G14912" i="34"/>
  <c r="G14913" i="34"/>
  <c r="G14914" i="34"/>
  <c r="G14915" i="34"/>
  <c r="G14916" i="34"/>
  <c r="G14917" i="34"/>
  <c r="G14918" i="34"/>
  <c r="G14919" i="34"/>
  <c r="G14920" i="34"/>
  <c r="G14921" i="34"/>
  <c r="G14922" i="34"/>
  <c r="G14923" i="34"/>
  <c r="G14924" i="34"/>
  <c r="G14925" i="34"/>
  <c r="G14926" i="34"/>
  <c r="G14927" i="34"/>
  <c r="G14928" i="34"/>
  <c r="G14929" i="34"/>
  <c r="G14930" i="34"/>
  <c r="G14931" i="34"/>
  <c r="G14932" i="34"/>
  <c r="G14933" i="34"/>
  <c r="G14934" i="34"/>
  <c r="G14935" i="34"/>
  <c r="G14936" i="34"/>
  <c r="G14937" i="34"/>
  <c r="G14938" i="34"/>
  <c r="G14939" i="34"/>
  <c r="G14940" i="34"/>
  <c r="G14941" i="34"/>
  <c r="G14942" i="34"/>
  <c r="G14943" i="34"/>
  <c r="G14944" i="34"/>
  <c r="G14945" i="34"/>
  <c r="G14946" i="34"/>
  <c r="G14947" i="34"/>
  <c r="G14948" i="34"/>
  <c r="G14949" i="34"/>
  <c r="G14950" i="34"/>
  <c r="G14951" i="34"/>
  <c r="G14952" i="34"/>
  <c r="G14953" i="34"/>
  <c r="G14954" i="34"/>
  <c r="G14955" i="34"/>
  <c r="G14956" i="34"/>
  <c r="G14957" i="34"/>
  <c r="G14958" i="34"/>
  <c r="G14959" i="34"/>
  <c r="G14960" i="34"/>
  <c r="G14961" i="34"/>
  <c r="G14962" i="34"/>
  <c r="G14963" i="34"/>
  <c r="G14964" i="34"/>
  <c r="G14965" i="34"/>
  <c r="G14966" i="34"/>
  <c r="G14967" i="34"/>
  <c r="G14968" i="34"/>
  <c r="G14969" i="34"/>
  <c r="G14970" i="34"/>
  <c r="G14971" i="34"/>
  <c r="G14972" i="34"/>
  <c r="G14973" i="34"/>
  <c r="G14974" i="34"/>
  <c r="G14975" i="34"/>
  <c r="G14976" i="34"/>
  <c r="G14977" i="34"/>
  <c r="G14978" i="34"/>
  <c r="G14979" i="34"/>
  <c r="G14980" i="34"/>
  <c r="G14981" i="34"/>
  <c r="G14982" i="34"/>
  <c r="G14983" i="34"/>
  <c r="G14984" i="34"/>
  <c r="G14985" i="34"/>
  <c r="G14986" i="34"/>
  <c r="G14987" i="34"/>
  <c r="G14988" i="34"/>
  <c r="G14989" i="34"/>
  <c r="G14990" i="34"/>
  <c r="G14991" i="34"/>
  <c r="G14992" i="34"/>
  <c r="G14993" i="34"/>
  <c r="G14994" i="34"/>
  <c r="G14995" i="34"/>
  <c r="G14996" i="34"/>
  <c r="G14997" i="34"/>
  <c r="G14998" i="34"/>
  <c r="G14999" i="34"/>
  <c r="G15000" i="34"/>
  <c r="G15001" i="34"/>
  <c r="G15002" i="34"/>
  <c r="G15003" i="34"/>
  <c r="G15004" i="34"/>
  <c r="G15005" i="34"/>
  <c r="G15006" i="34"/>
  <c r="G15007" i="34"/>
  <c r="G15008" i="34"/>
  <c r="G15009" i="34"/>
  <c r="G15010" i="34"/>
  <c r="G15011" i="34"/>
  <c r="G15012" i="34"/>
  <c r="G15013" i="34"/>
  <c r="G15014" i="34"/>
  <c r="G15015" i="34"/>
  <c r="G15016" i="34"/>
  <c r="G15017" i="34"/>
  <c r="G15018" i="34"/>
  <c r="G15019" i="34"/>
  <c r="G15020" i="34"/>
  <c r="G15021" i="34"/>
  <c r="G15022" i="34"/>
  <c r="G15023" i="34"/>
  <c r="G15024" i="34"/>
  <c r="G15025" i="34"/>
  <c r="G15026" i="34"/>
  <c r="G15027" i="34"/>
  <c r="G15028" i="34"/>
  <c r="G15029" i="34"/>
  <c r="G15030" i="34"/>
  <c r="G15031" i="34"/>
  <c r="G15032" i="34"/>
  <c r="G15033" i="34"/>
  <c r="G15034" i="34"/>
  <c r="G15035" i="34"/>
  <c r="G15036" i="34"/>
  <c r="G15037" i="34"/>
  <c r="G15038" i="34"/>
  <c r="G15039" i="34"/>
  <c r="G15040" i="34"/>
  <c r="G15041" i="34"/>
  <c r="G15042" i="34"/>
  <c r="G15043" i="34"/>
  <c r="G15044" i="34"/>
  <c r="G15045" i="34"/>
  <c r="G15046" i="34"/>
  <c r="G15047" i="34"/>
  <c r="G15048" i="34"/>
  <c r="G15049" i="34"/>
  <c r="G15050" i="34"/>
  <c r="G15051" i="34"/>
  <c r="G15052" i="34"/>
  <c r="G15053" i="34"/>
  <c r="G15054" i="34"/>
  <c r="G15055" i="34"/>
  <c r="G15056" i="34"/>
  <c r="G15057" i="34"/>
  <c r="G15058" i="34"/>
  <c r="G15059" i="34"/>
  <c r="G15060" i="34"/>
  <c r="G15061" i="34"/>
  <c r="G15062" i="34"/>
  <c r="G15063" i="34"/>
  <c r="G15064" i="34"/>
  <c r="G15065" i="34"/>
  <c r="G15066" i="34"/>
  <c r="G15067" i="34"/>
  <c r="G15068" i="34"/>
  <c r="G15069" i="34"/>
  <c r="G15070" i="34"/>
  <c r="G15071" i="34"/>
  <c r="G15072" i="34"/>
  <c r="G15073" i="34"/>
  <c r="G15074" i="34"/>
  <c r="G15075" i="34"/>
  <c r="G15076" i="34"/>
  <c r="G15077" i="34"/>
  <c r="G15078" i="34"/>
  <c r="G15079" i="34"/>
  <c r="G15080" i="34"/>
  <c r="G15081" i="34"/>
  <c r="G15082" i="34"/>
  <c r="G15083" i="34"/>
  <c r="G15084" i="34"/>
  <c r="G15085" i="34"/>
  <c r="G15086" i="34"/>
  <c r="G15087" i="34"/>
  <c r="G15088" i="34"/>
  <c r="G15089" i="34"/>
  <c r="G15090" i="34"/>
  <c r="G15091" i="34"/>
  <c r="G15092" i="34"/>
  <c r="G15093" i="34"/>
  <c r="G15094" i="34"/>
  <c r="G15095" i="34"/>
  <c r="G15096" i="34"/>
  <c r="G15097" i="34"/>
  <c r="G15098" i="34"/>
  <c r="G15099" i="34"/>
  <c r="G15100" i="34"/>
  <c r="G15101" i="34"/>
  <c r="G15102" i="34"/>
  <c r="G15103" i="34"/>
  <c r="G15104" i="34"/>
  <c r="G15105" i="34"/>
  <c r="G15106" i="34"/>
  <c r="G15107" i="34"/>
  <c r="G15108" i="34"/>
  <c r="G15109" i="34"/>
  <c r="G15110" i="34"/>
  <c r="G15111" i="34"/>
  <c r="G15112" i="34"/>
  <c r="G15113" i="34"/>
  <c r="G15114" i="34"/>
  <c r="G15115" i="34"/>
  <c r="G15116" i="34"/>
  <c r="G15117" i="34"/>
  <c r="G15118" i="34"/>
  <c r="G15119" i="34"/>
  <c r="G15120" i="34"/>
  <c r="G15121" i="34"/>
  <c r="G15122" i="34"/>
  <c r="G15123" i="34"/>
  <c r="G15124" i="34"/>
  <c r="G15125" i="34"/>
  <c r="G15126" i="34"/>
  <c r="G15127" i="34"/>
  <c r="G15128" i="34"/>
  <c r="G15129" i="34"/>
  <c r="G15130" i="34"/>
  <c r="G15131" i="34"/>
  <c r="G15132" i="34"/>
  <c r="G15133" i="34"/>
  <c r="G15134" i="34"/>
  <c r="G15135" i="34"/>
  <c r="G15136" i="34"/>
  <c r="G15137" i="34"/>
  <c r="G15138" i="34"/>
  <c r="G15139" i="34"/>
  <c r="G15140" i="34"/>
  <c r="G15141" i="34"/>
  <c r="G15142" i="34"/>
  <c r="G15143" i="34"/>
  <c r="G15144" i="34"/>
  <c r="G15145" i="34"/>
  <c r="G15146" i="34"/>
  <c r="G15147" i="34"/>
  <c r="G15148" i="34"/>
  <c r="G15149" i="34"/>
  <c r="G15150" i="34"/>
  <c r="G15151" i="34"/>
  <c r="G15152" i="34"/>
  <c r="G15153" i="34"/>
  <c r="G15154" i="34"/>
  <c r="G15155" i="34"/>
  <c r="G15156" i="34"/>
  <c r="G15157" i="34"/>
  <c r="G15158" i="34"/>
  <c r="G15159" i="34"/>
  <c r="G15160" i="34"/>
  <c r="G15161" i="34"/>
  <c r="G15162" i="34"/>
  <c r="G15163" i="34"/>
  <c r="G15164" i="34"/>
  <c r="G15165" i="34"/>
  <c r="G15166" i="34"/>
  <c r="G15167" i="34"/>
  <c r="G15168" i="34"/>
  <c r="G15169" i="34"/>
  <c r="G15170" i="34"/>
  <c r="G15171" i="34"/>
  <c r="G15172" i="34"/>
  <c r="G15173" i="34"/>
  <c r="G15174" i="34"/>
  <c r="G15175" i="34"/>
  <c r="G15176" i="34"/>
  <c r="G15177" i="34"/>
  <c r="G15178" i="34"/>
  <c r="G15179" i="34"/>
  <c r="G15180" i="34"/>
  <c r="G15181" i="34"/>
  <c r="G15182" i="34"/>
  <c r="G15183" i="34"/>
  <c r="G15184" i="34"/>
  <c r="G15185" i="34"/>
  <c r="G15186" i="34"/>
  <c r="G15187" i="34"/>
  <c r="G15188" i="34"/>
  <c r="G15189" i="34"/>
  <c r="G15190" i="34"/>
  <c r="G15191" i="34"/>
  <c r="G15192" i="34"/>
  <c r="G15193" i="34"/>
  <c r="G15194" i="34"/>
  <c r="G15195" i="34"/>
  <c r="G15196" i="34"/>
  <c r="G15197" i="34"/>
  <c r="G15198" i="34"/>
  <c r="G15199" i="34"/>
  <c r="G15200" i="34"/>
  <c r="G15201" i="34"/>
  <c r="G15202" i="34"/>
  <c r="G15203" i="34"/>
  <c r="G15204" i="34"/>
  <c r="G15205" i="34"/>
  <c r="G15206" i="34"/>
  <c r="G15207" i="34"/>
  <c r="G15208" i="34"/>
  <c r="G15209" i="34"/>
  <c r="G15210" i="34"/>
  <c r="G15211" i="34"/>
  <c r="G15212" i="34"/>
  <c r="G15213" i="34"/>
  <c r="G15214" i="34"/>
  <c r="G15215" i="34"/>
  <c r="G15216" i="34"/>
  <c r="G15217" i="34"/>
  <c r="G15218" i="34"/>
  <c r="G15219" i="34"/>
  <c r="G15220" i="34"/>
  <c r="G15221" i="34"/>
  <c r="G15222" i="34"/>
  <c r="G15223" i="34"/>
  <c r="G15224" i="34"/>
  <c r="G15225" i="34"/>
  <c r="G15226" i="34"/>
  <c r="G15227" i="34"/>
  <c r="G15228" i="34"/>
  <c r="G15229" i="34"/>
  <c r="G15230" i="34"/>
  <c r="G15231" i="34"/>
  <c r="G15232" i="34"/>
  <c r="G15233" i="34"/>
  <c r="G15234" i="34"/>
  <c r="G15235" i="34"/>
  <c r="G15236" i="34"/>
  <c r="G15237" i="34"/>
  <c r="G15238" i="34"/>
  <c r="G15239" i="34"/>
  <c r="G15240" i="34"/>
  <c r="G15241" i="34"/>
  <c r="G15242" i="34"/>
  <c r="G15243" i="34"/>
  <c r="G15244" i="34"/>
  <c r="G15245" i="34"/>
  <c r="G15246" i="34"/>
  <c r="G15247" i="34"/>
  <c r="G15248" i="34"/>
  <c r="G15249" i="34"/>
  <c r="G15250" i="34"/>
  <c r="G15251" i="34"/>
  <c r="G15252" i="34"/>
  <c r="G15253" i="34"/>
  <c r="G15254" i="34"/>
  <c r="G15255" i="34"/>
  <c r="G15256" i="34"/>
  <c r="G15257" i="34"/>
  <c r="G15258" i="34"/>
  <c r="G15259" i="34"/>
  <c r="G15260" i="34"/>
  <c r="G15261" i="34"/>
  <c r="G15262" i="34"/>
  <c r="G15263" i="34"/>
  <c r="G15264" i="34"/>
  <c r="G15265" i="34"/>
  <c r="G15266" i="34"/>
  <c r="G15267" i="34"/>
  <c r="G15268" i="34"/>
  <c r="G15269" i="34"/>
  <c r="G15270" i="34"/>
  <c r="G15271" i="34"/>
  <c r="G15272" i="34"/>
  <c r="G15273" i="34"/>
  <c r="G15274" i="34"/>
  <c r="G15275" i="34"/>
  <c r="G15276" i="34"/>
  <c r="G15277" i="34"/>
  <c r="G15278" i="34"/>
  <c r="G15279" i="34"/>
  <c r="G15280" i="34"/>
  <c r="G15281" i="34"/>
  <c r="G15282" i="34"/>
  <c r="G15283" i="34"/>
  <c r="G15284" i="34"/>
  <c r="G15285" i="34"/>
  <c r="G15286" i="34"/>
  <c r="G15287" i="34"/>
  <c r="G15288" i="34"/>
  <c r="G15289" i="34"/>
  <c r="G15290" i="34"/>
  <c r="G15291" i="34"/>
  <c r="G15292" i="34"/>
  <c r="G15293" i="34"/>
  <c r="G15294" i="34"/>
  <c r="G15295" i="34"/>
  <c r="G15296" i="34"/>
  <c r="G15297" i="34"/>
  <c r="G15298" i="34"/>
  <c r="G15299" i="34"/>
  <c r="G15300" i="34"/>
  <c r="G15301" i="34"/>
  <c r="G15302" i="34"/>
  <c r="G15303" i="34"/>
  <c r="G15304" i="34"/>
  <c r="G15305" i="34"/>
  <c r="G15306" i="34"/>
  <c r="G15307" i="34"/>
  <c r="G15308" i="34"/>
  <c r="G15309" i="34"/>
  <c r="G15310" i="34"/>
  <c r="G15311" i="34"/>
  <c r="G15312" i="34"/>
  <c r="G15313" i="34"/>
  <c r="G15314" i="34"/>
  <c r="G15315" i="34"/>
  <c r="G15316" i="34"/>
  <c r="G15317" i="34"/>
  <c r="G15318" i="34"/>
  <c r="G15319" i="34"/>
  <c r="G15320" i="34"/>
  <c r="G15321" i="34"/>
  <c r="G15322" i="34"/>
  <c r="G15323" i="34"/>
  <c r="G15324" i="34"/>
  <c r="G15325" i="34"/>
  <c r="G15326" i="34"/>
  <c r="G15327" i="34"/>
  <c r="G15328" i="34"/>
  <c r="G15329" i="34"/>
  <c r="G15330" i="34"/>
  <c r="G15331" i="34"/>
  <c r="G15332" i="34"/>
  <c r="G15333" i="34"/>
  <c r="G15334" i="34"/>
  <c r="G15335" i="34"/>
  <c r="G15336" i="34"/>
  <c r="G15337" i="34"/>
  <c r="G15338" i="34"/>
  <c r="G15339" i="34"/>
  <c r="G15340" i="34"/>
  <c r="G15341" i="34"/>
  <c r="G15342" i="34"/>
  <c r="G15343" i="34"/>
  <c r="G15344" i="34"/>
  <c r="G15345" i="34"/>
  <c r="G15346" i="34"/>
  <c r="G2" i="34"/>
  <c r="Q3" i="34"/>
  <c r="Q4" i="34"/>
  <c r="Q5" i="34"/>
  <c r="Q6" i="34"/>
  <c r="Q7" i="34"/>
  <c r="Q8" i="34"/>
  <c r="Q9" i="34"/>
  <c r="Q10" i="34"/>
  <c r="Q11" i="34"/>
  <c r="Q12" i="34"/>
  <c r="Q13" i="34"/>
  <c r="Q14" i="34"/>
  <c r="Q15" i="34"/>
  <c r="Q16" i="34"/>
  <c r="Q17" i="34"/>
  <c r="Q18" i="34"/>
  <c r="Q19" i="34"/>
  <c r="Q20" i="34"/>
  <c r="Q21" i="34"/>
  <c r="Q22" i="34"/>
  <c r="Q23" i="34"/>
  <c r="Q24" i="34"/>
  <c r="Q25" i="34"/>
  <c r="Q26" i="34"/>
  <c r="Q27" i="34"/>
  <c r="Q28" i="34"/>
  <c r="Q29" i="34"/>
  <c r="Q30" i="34"/>
  <c r="Q31" i="34"/>
  <c r="Q32" i="34"/>
  <c r="Q33" i="34"/>
  <c r="Q34" i="34"/>
  <c r="Q35" i="34"/>
  <c r="Q36" i="34"/>
  <c r="Q37" i="34"/>
  <c r="Q38" i="34"/>
  <c r="Q39" i="34"/>
  <c r="Q40" i="34"/>
  <c r="Q41" i="34"/>
  <c r="Q42" i="34"/>
  <c r="Q43" i="34"/>
  <c r="Q44" i="34"/>
  <c r="Q45" i="34"/>
  <c r="Q46" i="34"/>
  <c r="Q47" i="34"/>
  <c r="Q48" i="34"/>
  <c r="Q49" i="34"/>
  <c r="Q50" i="34"/>
  <c r="Q51" i="34"/>
  <c r="Q52" i="34"/>
  <c r="Q53" i="34"/>
  <c r="Q54" i="34"/>
  <c r="Q55" i="34"/>
  <c r="Q56" i="34"/>
  <c r="Q57" i="34"/>
  <c r="Q58" i="34"/>
  <c r="Q59" i="34"/>
  <c r="Q60" i="34"/>
  <c r="Q61" i="34"/>
  <c r="Q62" i="34"/>
  <c r="Q63" i="34"/>
  <c r="Q64" i="34"/>
  <c r="Q65" i="34"/>
  <c r="Q66" i="34"/>
  <c r="Q67" i="34"/>
  <c r="Q68" i="34"/>
  <c r="Q69" i="34"/>
  <c r="Q70" i="34"/>
  <c r="Q71" i="34"/>
  <c r="Q72" i="34"/>
  <c r="Q73" i="34"/>
  <c r="Q74" i="34"/>
  <c r="Q75" i="34"/>
  <c r="Q76" i="34"/>
  <c r="Q77" i="34"/>
  <c r="Q78" i="34"/>
  <c r="Q79" i="34"/>
  <c r="Q80" i="34"/>
  <c r="Q81" i="34"/>
  <c r="Q82" i="34"/>
  <c r="Q83" i="34"/>
  <c r="Q84" i="34"/>
  <c r="Q85" i="34"/>
  <c r="Q86" i="34"/>
  <c r="Q87" i="34"/>
  <c r="Q88" i="34"/>
  <c r="Q89" i="34"/>
  <c r="Q90" i="34"/>
  <c r="Q91" i="34"/>
  <c r="Q92" i="34"/>
  <c r="Q93" i="34"/>
  <c r="Q94" i="34"/>
  <c r="Q95" i="34"/>
  <c r="Q96" i="34"/>
  <c r="Q97" i="34"/>
  <c r="Q98" i="34"/>
  <c r="Q99" i="34"/>
  <c r="Q100" i="34"/>
  <c r="Q101" i="34"/>
  <c r="Q102" i="34"/>
  <c r="Q103" i="34"/>
  <c r="Q104" i="34"/>
  <c r="Q105" i="34"/>
  <c r="Q106" i="34"/>
  <c r="Q107" i="34"/>
  <c r="Q108" i="34"/>
  <c r="Q109" i="34"/>
  <c r="Q110" i="34"/>
  <c r="Q111" i="34"/>
  <c r="Q112" i="34"/>
  <c r="Q113" i="34"/>
  <c r="Q114" i="34"/>
  <c r="Q115" i="34"/>
  <c r="Q116" i="34"/>
  <c r="Q117" i="34"/>
  <c r="Q118" i="34"/>
  <c r="Q119" i="34"/>
  <c r="Q120" i="34"/>
  <c r="Q121" i="34"/>
  <c r="Q122" i="34"/>
  <c r="Q123" i="34"/>
  <c r="Q124" i="34"/>
  <c r="Q125" i="34"/>
  <c r="Q126" i="34"/>
  <c r="Q127" i="34"/>
  <c r="Q128" i="34"/>
  <c r="Q129" i="34"/>
  <c r="Q130" i="34"/>
  <c r="Q131" i="34"/>
  <c r="Q132" i="34"/>
  <c r="Q133" i="34"/>
  <c r="Q134" i="34"/>
  <c r="Q135" i="34"/>
  <c r="Q136" i="34"/>
  <c r="Q137" i="34"/>
  <c r="Q138" i="34"/>
  <c r="Q139" i="34"/>
  <c r="Q140" i="34"/>
  <c r="Q141" i="34"/>
  <c r="Q142" i="34"/>
  <c r="Q143" i="34"/>
  <c r="Q144" i="34"/>
  <c r="Q145" i="34"/>
  <c r="Q146" i="34"/>
  <c r="Q147" i="34"/>
  <c r="Q148" i="34"/>
  <c r="Q149" i="34"/>
  <c r="Q150" i="34"/>
  <c r="Q151" i="34"/>
  <c r="Q152" i="34"/>
  <c r="Q153" i="34"/>
  <c r="Q154" i="34"/>
  <c r="Q155" i="34"/>
  <c r="Q156" i="34"/>
  <c r="Q157" i="34"/>
  <c r="Q158" i="34"/>
  <c r="Q159" i="34"/>
  <c r="Q160" i="34"/>
  <c r="Q161" i="34"/>
  <c r="Q162" i="34"/>
  <c r="Q163" i="34"/>
  <c r="Q164" i="34"/>
  <c r="Q165" i="34"/>
  <c r="Q166" i="34"/>
  <c r="Q167" i="34"/>
  <c r="Q168" i="34"/>
  <c r="Q169" i="34"/>
  <c r="Q170" i="34"/>
  <c r="Q171" i="34"/>
  <c r="Q172" i="34"/>
  <c r="Q173" i="34"/>
  <c r="Q174" i="34"/>
  <c r="Q175" i="34"/>
  <c r="Q176" i="34"/>
  <c r="Q177" i="34"/>
  <c r="Q178" i="34"/>
  <c r="Q179" i="34"/>
  <c r="Q180" i="34"/>
  <c r="Q181" i="34"/>
  <c r="Q182" i="34"/>
  <c r="Q183" i="34"/>
  <c r="Q184" i="34"/>
  <c r="Q185" i="34"/>
  <c r="Q186" i="34"/>
  <c r="Q187" i="34"/>
  <c r="Q188" i="34"/>
  <c r="Q189" i="34"/>
  <c r="Q190" i="34"/>
  <c r="Q191" i="34"/>
  <c r="Q192" i="34"/>
  <c r="Q193" i="34"/>
  <c r="Q194" i="34"/>
  <c r="Q195" i="34"/>
  <c r="Q196" i="34"/>
  <c r="Q197" i="34"/>
  <c r="Q198" i="34"/>
  <c r="Q199" i="34"/>
  <c r="Q200" i="34"/>
  <c r="Q201" i="34"/>
  <c r="Q202" i="34"/>
  <c r="Q203" i="34"/>
  <c r="Q204" i="34"/>
  <c r="Q205" i="34"/>
  <c r="Q206" i="34"/>
  <c r="Q207" i="34"/>
  <c r="Q208" i="34"/>
  <c r="Q209" i="34"/>
  <c r="Q210" i="34"/>
  <c r="Q211" i="34"/>
  <c r="Q212" i="34"/>
  <c r="Q213" i="34"/>
  <c r="Q214" i="34"/>
  <c r="Q215" i="34"/>
  <c r="Q216" i="34"/>
  <c r="Q217" i="34"/>
  <c r="Q218" i="34"/>
  <c r="Q219" i="34"/>
  <c r="Q220" i="34"/>
  <c r="Q221" i="34"/>
  <c r="Q222" i="34"/>
  <c r="Q223" i="34"/>
  <c r="Q224" i="34"/>
  <c r="Q225" i="34"/>
  <c r="Q226" i="34"/>
  <c r="Q227" i="34"/>
  <c r="Q228" i="34"/>
  <c r="Q229" i="34"/>
  <c r="Q230" i="34"/>
  <c r="Q231" i="34"/>
  <c r="Q232" i="34"/>
  <c r="Q233" i="34"/>
  <c r="Q234" i="34"/>
  <c r="Q235" i="34"/>
  <c r="Q236" i="34"/>
  <c r="Q237" i="34"/>
  <c r="Q238" i="34"/>
  <c r="Q239" i="34"/>
  <c r="Q240" i="34"/>
  <c r="Q241" i="34"/>
  <c r="Q242" i="34"/>
  <c r="Q243" i="34"/>
  <c r="Q244" i="34"/>
  <c r="Q245" i="34"/>
  <c r="Q246" i="34"/>
  <c r="Q247" i="34"/>
  <c r="Q248" i="34"/>
  <c r="Q249" i="34"/>
  <c r="Q250" i="34"/>
  <c r="Q251" i="34"/>
  <c r="Q252" i="34"/>
  <c r="Q253" i="34"/>
  <c r="Q254" i="34"/>
  <c r="Q255" i="34"/>
  <c r="Q256" i="34"/>
  <c r="Q257" i="34"/>
  <c r="Q258" i="34"/>
  <c r="Q259" i="34"/>
  <c r="Q260" i="34"/>
  <c r="Q261" i="34"/>
  <c r="Q262" i="34"/>
  <c r="Q263" i="34"/>
  <c r="Q264" i="34"/>
  <c r="Q265" i="34"/>
  <c r="Q266" i="34"/>
  <c r="Q267" i="34"/>
  <c r="Q268" i="34"/>
  <c r="Q269" i="34"/>
  <c r="Q270" i="34"/>
  <c r="Q271" i="34"/>
  <c r="Q272" i="34"/>
  <c r="Q273" i="34"/>
  <c r="Q274" i="34"/>
  <c r="Q275" i="34"/>
  <c r="Q276" i="34"/>
  <c r="Q277" i="34"/>
  <c r="Q278" i="34"/>
  <c r="Q279" i="34"/>
  <c r="Q280" i="34"/>
  <c r="Q281" i="34"/>
  <c r="Q282" i="34"/>
  <c r="Q283" i="34"/>
  <c r="Q284" i="34"/>
  <c r="Q285" i="34"/>
  <c r="Q286" i="34"/>
  <c r="Q287" i="34"/>
  <c r="Q288" i="34"/>
  <c r="Q289" i="34"/>
  <c r="Q290" i="34"/>
  <c r="Q291" i="34"/>
  <c r="Q292" i="34"/>
  <c r="Q293" i="34"/>
  <c r="Q294" i="34"/>
  <c r="Q295" i="34"/>
  <c r="Q296" i="34"/>
  <c r="Q297" i="34"/>
  <c r="Q298" i="34"/>
  <c r="Q299" i="34"/>
  <c r="Q300" i="34"/>
  <c r="Q301" i="34"/>
  <c r="Q302" i="34"/>
  <c r="Q303" i="34"/>
  <c r="Q304" i="34"/>
  <c r="Q305" i="34"/>
  <c r="Q306" i="34"/>
  <c r="Q307" i="34"/>
  <c r="Q308" i="34"/>
  <c r="Q309" i="34"/>
  <c r="Q310" i="34"/>
  <c r="Q311" i="34"/>
  <c r="Q312" i="34"/>
  <c r="Q313" i="34"/>
  <c r="Q314" i="34"/>
  <c r="Q315" i="34"/>
  <c r="Q316" i="34"/>
  <c r="Q317" i="34"/>
  <c r="Q318" i="34"/>
  <c r="Q319" i="34"/>
  <c r="Q320" i="34"/>
  <c r="Q321" i="34"/>
  <c r="Q322" i="34"/>
  <c r="Q323" i="34"/>
  <c r="Q324" i="34"/>
  <c r="Q325" i="34"/>
  <c r="Q326" i="34"/>
  <c r="Q327" i="34"/>
  <c r="Q328" i="34"/>
  <c r="Q329" i="34"/>
  <c r="Q330" i="34"/>
  <c r="Q331" i="34"/>
  <c r="Q332" i="34"/>
  <c r="Q333" i="34"/>
  <c r="Q334" i="34"/>
  <c r="Q335" i="34"/>
  <c r="Q336" i="34"/>
  <c r="Q337" i="34"/>
  <c r="Q338" i="34"/>
  <c r="Q339" i="34"/>
  <c r="Q340" i="34"/>
  <c r="Q341" i="34"/>
  <c r="Q342" i="34"/>
  <c r="Q343" i="34"/>
  <c r="Q344" i="34"/>
  <c r="Q345" i="34"/>
  <c r="Q346" i="34"/>
  <c r="Q347" i="34"/>
  <c r="Q348" i="34"/>
  <c r="Q349" i="34"/>
  <c r="Q350" i="34"/>
  <c r="Q351" i="34"/>
  <c r="Q352" i="34"/>
  <c r="Q353" i="34"/>
  <c r="Q354" i="34"/>
  <c r="Q355" i="34"/>
  <c r="Q356" i="34"/>
  <c r="Q357" i="34"/>
  <c r="Q358" i="34"/>
  <c r="Q359" i="34"/>
  <c r="Q360" i="34"/>
  <c r="Q361" i="34"/>
  <c r="Q362" i="34"/>
  <c r="Q363" i="34"/>
  <c r="Q364" i="34"/>
  <c r="Q365" i="34"/>
  <c r="Q366" i="34"/>
  <c r="Q367" i="34"/>
  <c r="Q368" i="34"/>
  <c r="Q369" i="34"/>
  <c r="Q370" i="34"/>
  <c r="Q371" i="34"/>
  <c r="Q372" i="34"/>
  <c r="Q373" i="34"/>
  <c r="Q374" i="34"/>
  <c r="Q375" i="34"/>
  <c r="Q376" i="34"/>
  <c r="Q377" i="34"/>
  <c r="Q378" i="34"/>
  <c r="Q379" i="34"/>
  <c r="Q380" i="34"/>
  <c r="Q381" i="34"/>
  <c r="Q382" i="34"/>
  <c r="Q383" i="34"/>
  <c r="Q384" i="34"/>
  <c r="Q385" i="34"/>
  <c r="Q386" i="34"/>
  <c r="Q387" i="34"/>
  <c r="Q388" i="34"/>
  <c r="Q389" i="34"/>
  <c r="Q390" i="34"/>
  <c r="Q391" i="34"/>
  <c r="Q392" i="34"/>
  <c r="Q393" i="34"/>
  <c r="Q394" i="34"/>
  <c r="Q395" i="34"/>
  <c r="Q396" i="34"/>
  <c r="Q397" i="34"/>
  <c r="Q398" i="34"/>
  <c r="Q399" i="34"/>
  <c r="Q400" i="34"/>
  <c r="Q401" i="34"/>
  <c r="Q402" i="34"/>
  <c r="Q403" i="34"/>
  <c r="Q404" i="34"/>
  <c r="Q405" i="34"/>
  <c r="Q406" i="34"/>
  <c r="Q407" i="34"/>
  <c r="Q408" i="34"/>
  <c r="Q409" i="34"/>
  <c r="Q410" i="34"/>
  <c r="Q411" i="34"/>
  <c r="Q412" i="34"/>
  <c r="Q413" i="34"/>
  <c r="Q414" i="34"/>
  <c r="Q415" i="34"/>
  <c r="Q416" i="34"/>
  <c r="Q417" i="34"/>
  <c r="Q418" i="34"/>
  <c r="Q419" i="34"/>
  <c r="Q420" i="34"/>
  <c r="Q421" i="34"/>
  <c r="Q422" i="34"/>
  <c r="Q423" i="34"/>
  <c r="Q424" i="34"/>
  <c r="Q425" i="34"/>
  <c r="Q426" i="34"/>
  <c r="Q427" i="34"/>
  <c r="Q428" i="34"/>
  <c r="Q429" i="34"/>
  <c r="Q430" i="34"/>
  <c r="Q431" i="34"/>
  <c r="Q432" i="34"/>
  <c r="Q433" i="34"/>
  <c r="Q434" i="34"/>
  <c r="Q435" i="34"/>
  <c r="Q436" i="34"/>
  <c r="Q437" i="34"/>
  <c r="Q438" i="34"/>
  <c r="Q439" i="34"/>
  <c r="Q440" i="34"/>
  <c r="Q441" i="34"/>
  <c r="Q442" i="34"/>
  <c r="Q443" i="34"/>
  <c r="Q444" i="34"/>
  <c r="Q445" i="34"/>
  <c r="Q446" i="34"/>
  <c r="Q447" i="34"/>
  <c r="Q448" i="34"/>
  <c r="Q449" i="34"/>
  <c r="Q450" i="34"/>
  <c r="Q451" i="34"/>
  <c r="Q452" i="34"/>
  <c r="Q453" i="34"/>
  <c r="Q454" i="34"/>
  <c r="Q455" i="34"/>
  <c r="Q456" i="34"/>
  <c r="Q457" i="34"/>
  <c r="Q458" i="34"/>
  <c r="Q459" i="34"/>
  <c r="Q460" i="34"/>
  <c r="Q461" i="34"/>
  <c r="Q462" i="34"/>
  <c r="Q463" i="34"/>
  <c r="Q464" i="34"/>
  <c r="Q465" i="34"/>
  <c r="Q466" i="34"/>
  <c r="Q467" i="34"/>
  <c r="Q468" i="34"/>
  <c r="Q469" i="34"/>
  <c r="Q470" i="34"/>
  <c r="Q471" i="34"/>
  <c r="Q472" i="34"/>
  <c r="Q473" i="34"/>
  <c r="Q474" i="34"/>
  <c r="Q475" i="34"/>
  <c r="Q476" i="34"/>
  <c r="Q477" i="34"/>
  <c r="Q478" i="34"/>
  <c r="Q479" i="34"/>
  <c r="Q480" i="34"/>
  <c r="Q481" i="34"/>
  <c r="Q482" i="34"/>
  <c r="Q483" i="34"/>
  <c r="Q484" i="34"/>
  <c r="Q485" i="34"/>
  <c r="Q486" i="34"/>
  <c r="Q487" i="34"/>
  <c r="Q488" i="34"/>
  <c r="Q489" i="34"/>
  <c r="Q490" i="34"/>
  <c r="Q491" i="34"/>
  <c r="Q492" i="34"/>
  <c r="Q493" i="34"/>
  <c r="Q494" i="34"/>
  <c r="Q495" i="34"/>
  <c r="Q496" i="34"/>
  <c r="Q497" i="34"/>
  <c r="Q498" i="34"/>
  <c r="Q499" i="34"/>
  <c r="Q500" i="34"/>
  <c r="Q501" i="34"/>
  <c r="Q502" i="34"/>
  <c r="Q503" i="34"/>
  <c r="Q504" i="34"/>
  <c r="Q505" i="34"/>
  <c r="Q506" i="34"/>
  <c r="Q507" i="34"/>
  <c r="Q508" i="34"/>
  <c r="Q509" i="34"/>
  <c r="Q510" i="34"/>
  <c r="Q511" i="34"/>
  <c r="Q512" i="34"/>
  <c r="Q513" i="34"/>
  <c r="Q514" i="34"/>
  <c r="Q515" i="34"/>
  <c r="Q516" i="34"/>
  <c r="Q517" i="34"/>
  <c r="Q518" i="34"/>
  <c r="Q519" i="34"/>
  <c r="Q520" i="34"/>
  <c r="Q521" i="34"/>
  <c r="Q522" i="34"/>
  <c r="Q523" i="34"/>
  <c r="Q524" i="34"/>
  <c r="Q525" i="34"/>
  <c r="Q526" i="34"/>
  <c r="Q527" i="34"/>
  <c r="Q528" i="34"/>
  <c r="Q529" i="34"/>
  <c r="Q530" i="34"/>
  <c r="Q531" i="34"/>
  <c r="Q532" i="34"/>
  <c r="Q533" i="34"/>
  <c r="Q534" i="34"/>
  <c r="Q535" i="34"/>
  <c r="Q536" i="34"/>
  <c r="Q537" i="34"/>
  <c r="Q538" i="34"/>
  <c r="Q539" i="34"/>
  <c r="Q540" i="34"/>
  <c r="Q541" i="34"/>
  <c r="Q542" i="34"/>
  <c r="Q543" i="34"/>
  <c r="Q544" i="34"/>
  <c r="Q545" i="34"/>
  <c r="Q546" i="34"/>
  <c r="Q547" i="34"/>
  <c r="Q548" i="34"/>
  <c r="Q549" i="34"/>
  <c r="Q550" i="34"/>
  <c r="Q551" i="34"/>
  <c r="Q552" i="34"/>
  <c r="Q553" i="34"/>
  <c r="Q554" i="34"/>
  <c r="Q555" i="34"/>
  <c r="Q556" i="34"/>
  <c r="Q557" i="34"/>
  <c r="Q558" i="34"/>
  <c r="Q559" i="34"/>
  <c r="Q560" i="34"/>
  <c r="Q561" i="34"/>
  <c r="Q562" i="34"/>
  <c r="Q563" i="34"/>
  <c r="Q564" i="34"/>
  <c r="Q565" i="34"/>
  <c r="Q566" i="34"/>
  <c r="Q567" i="34"/>
  <c r="Q568" i="34"/>
  <c r="Q569" i="34"/>
  <c r="Q570" i="34"/>
  <c r="Q571" i="34"/>
  <c r="Q572" i="34"/>
  <c r="Q573" i="34"/>
  <c r="Q574" i="34"/>
  <c r="Q575" i="34"/>
  <c r="Q576" i="34"/>
  <c r="Q577" i="34"/>
  <c r="Q578" i="34"/>
  <c r="Q579" i="34"/>
  <c r="Q580" i="34"/>
  <c r="Q581" i="34"/>
  <c r="Q582" i="34"/>
  <c r="Q583" i="34"/>
  <c r="Q584" i="34"/>
  <c r="Q585" i="34"/>
  <c r="Q586" i="34"/>
  <c r="Q587" i="34"/>
  <c r="Q588" i="34"/>
  <c r="Q589" i="34"/>
  <c r="Q590" i="34"/>
  <c r="Q591" i="34"/>
  <c r="Q592" i="34"/>
  <c r="Q593" i="34"/>
  <c r="Q594" i="34"/>
  <c r="Q595" i="34"/>
  <c r="Q596" i="34"/>
  <c r="Q597" i="34"/>
  <c r="Q598" i="34"/>
  <c r="Q599" i="34"/>
  <c r="Q600" i="34"/>
  <c r="Q601" i="34"/>
  <c r="Q602" i="34"/>
  <c r="Q603" i="34"/>
  <c r="Q604" i="34"/>
  <c r="Q605" i="34"/>
  <c r="Q606" i="34"/>
  <c r="Q607" i="34"/>
  <c r="Q608" i="34"/>
  <c r="Q609" i="34"/>
  <c r="Q610" i="34"/>
  <c r="Q611" i="34"/>
  <c r="Q612" i="34"/>
  <c r="Q613" i="34"/>
  <c r="Q614" i="34"/>
  <c r="Q615" i="34"/>
  <c r="Q616" i="34"/>
  <c r="Q617" i="34"/>
  <c r="Q618" i="34"/>
  <c r="Q619" i="34"/>
  <c r="Q620" i="34"/>
  <c r="Q621" i="34"/>
  <c r="Q622" i="34"/>
  <c r="Q623" i="34"/>
  <c r="Q624" i="34"/>
  <c r="Q625" i="34"/>
  <c r="Q626" i="34"/>
  <c r="Q627" i="34"/>
  <c r="Q628" i="34"/>
  <c r="Q629" i="34"/>
  <c r="Q630" i="34"/>
  <c r="Q631" i="34"/>
  <c r="Q632" i="34"/>
  <c r="Q633" i="34"/>
  <c r="Q634" i="34"/>
  <c r="Q635" i="34"/>
  <c r="Q636" i="34"/>
  <c r="Q637" i="34"/>
  <c r="Q638" i="34"/>
  <c r="Q639" i="34"/>
  <c r="Q640" i="34"/>
  <c r="Q641" i="34"/>
  <c r="Q642" i="34"/>
  <c r="Q643" i="34"/>
  <c r="Q644" i="34"/>
  <c r="Q645" i="34"/>
  <c r="Q646" i="34"/>
  <c r="Q647" i="34"/>
  <c r="Q648" i="34"/>
  <c r="Q649" i="34"/>
  <c r="Q650" i="34"/>
  <c r="Q651" i="34"/>
  <c r="Q652" i="34"/>
  <c r="Q653" i="34"/>
  <c r="Q654" i="34"/>
  <c r="Q655" i="34"/>
  <c r="Q656" i="34"/>
  <c r="Q657" i="34"/>
  <c r="Q658" i="34"/>
  <c r="Q659" i="34"/>
  <c r="Q660" i="34"/>
  <c r="Q661" i="34"/>
  <c r="Q662" i="34"/>
  <c r="Q663" i="34"/>
  <c r="Q664" i="34"/>
  <c r="Q665" i="34"/>
  <c r="Q666" i="34"/>
  <c r="Q667" i="34"/>
  <c r="Q668" i="34"/>
  <c r="Q669" i="34"/>
  <c r="Q670" i="34"/>
  <c r="Q671" i="34"/>
  <c r="Q672" i="34"/>
  <c r="Q673" i="34"/>
  <c r="Q674" i="34"/>
  <c r="Q675" i="34"/>
  <c r="Q676" i="34"/>
  <c r="Q677" i="34"/>
  <c r="Q678" i="34"/>
  <c r="Q679" i="34"/>
  <c r="Q680" i="34"/>
  <c r="Q681" i="34"/>
  <c r="Q682" i="34"/>
  <c r="Q683" i="34"/>
  <c r="Q684" i="34"/>
  <c r="Q685" i="34"/>
  <c r="Q686" i="34"/>
  <c r="Q687" i="34"/>
  <c r="Q688" i="34"/>
  <c r="Q689" i="34"/>
  <c r="Q690" i="34"/>
  <c r="Q691" i="34"/>
  <c r="Q692" i="34"/>
  <c r="Q693" i="34"/>
  <c r="Q694" i="34"/>
  <c r="Q695" i="34"/>
  <c r="Q696" i="34"/>
  <c r="Q697" i="34"/>
  <c r="Q698" i="34"/>
  <c r="Q699" i="34"/>
  <c r="Q700" i="34"/>
  <c r="Q701" i="34"/>
  <c r="Q702" i="34"/>
  <c r="Q703" i="34"/>
  <c r="Q704" i="34"/>
  <c r="Q705" i="34"/>
  <c r="Q706" i="34"/>
  <c r="Q707" i="34"/>
  <c r="Q708" i="34"/>
  <c r="Q709" i="34"/>
  <c r="Q710" i="34"/>
  <c r="Q711" i="34"/>
  <c r="Q712" i="34"/>
  <c r="Q713" i="34"/>
  <c r="Q714" i="34"/>
  <c r="Q715" i="34"/>
  <c r="Q716" i="34"/>
  <c r="Q717" i="34"/>
  <c r="Q718" i="34"/>
  <c r="Q719" i="34"/>
  <c r="Q720" i="34"/>
  <c r="Q721" i="34"/>
  <c r="Q722" i="34"/>
  <c r="Q723" i="34"/>
  <c r="Q724" i="34"/>
  <c r="Q725" i="34"/>
  <c r="Q726" i="34"/>
  <c r="Q727" i="34"/>
  <c r="Q728" i="34"/>
  <c r="Q729" i="34"/>
  <c r="Q730" i="34"/>
  <c r="Q731" i="34"/>
  <c r="Q732" i="34"/>
  <c r="Q733" i="34"/>
  <c r="Q734" i="34"/>
  <c r="Q735" i="34"/>
  <c r="Q736" i="34"/>
  <c r="Q737" i="34"/>
  <c r="Q738" i="34"/>
  <c r="Q739" i="34"/>
  <c r="Q740" i="34"/>
  <c r="Q741" i="34"/>
  <c r="Q742" i="34"/>
  <c r="Q743" i="34"/>
  <c r="Q744" i="34"/>
  <c r="Q745" i="34"/>
  <c r="Q746" i="34"/>
  <c r="Q747" i="34"/>
  <c r="Q748" i="34"/>
  <c r="Q749" i="34"/>
  <c r="Q750" i="34"/>
  <c r="Q751" i="34"/>
  <c r="Q752" i="34"/>
  <c r="Q753" i="34"/>
  <c r="Q754" i="34"/>
  <c r="Q755" i="34"/>
  <c r="Q756" i="34"/>
  <c r="Q757" i="34"/>
  <c r="Q758" i="34"/>
  <c r="Q759" i="34"/>
  <c r="Q760" i="34"/>
  <c r="Q761" i="34"/>
  <c r="Q762" i="34"/>
  <c r="Q763" i="34"/>
  <c r="Q764" i="34"/>
  <c r="Q765" i="34"/>
  <c r="Q766" i="34"/>
  <c r="Q767" i="34"/>
  <c r="Q768" i="34"/>
  <c r="Q769" i="34"/>
  <c r="Q770" i="34"/>
  <c r="Q771" i="34"/>
  <c r="Q772" i="34"/>
  <c r="Q773" i="34"/>
  <c r="Q774" i="34"/>
  <c r="Q775" i="34"/>
  <c r="Q776" i="34"/>
  <c r="Q777" i="34"/>
  <c r="Q778" i="34"/>
  <c r="Q779" i="34"/>
  <c r="Q780" i="34"/>
  <c r="Q781" i="34"/>
  <c r="Q782" i="34"/>
  <c r="Q783" i="34"/>
  <c r="Q784" i="34"/>
  <c r="Q785" i="34"/>
  <c r="Q786" i="34"/>
  <c r="Q787" i="34"/>
  <c r="Q788" i="34"/>
  <c r="Q789" i="34"/>
  <c r="Q790" i="34"/>
  <c r="Q791" i="34"/>
  <c r="Q792" i="34"/>
  <c r="Q793" i="34"/>
  <c r="Q794" i="34"/>
  <c r="Q795" i="34"/>
  <c r="Q796" i="34"/>
  <c r="Q797" i="34"/>
  <c r="Q798" i="34"/>
  <c r="Q799" i="34"/>
  <c r="Q800" i="34"/>
  <c r="Q801" i="34"/>
  <c r="Q802" i="34"/>
  <c r="Q803" i="34"/>
  <c r="Q804" i="34"/>
  <c r="Q805" i="34"/>
  <c r="Q806" i="34"/>
  <c r="Q807" i="34"/>
  <c r="Q808" i="34"/>
  <c r="Q809" i="34"/>
  <c r="Q810" i="34"/>
  <c r="Q811" i="34"/>
  <c r="Q812" i="34"/>
  <c r="Q813" i="34"/>
  <c r="Q814" i="34"/>
  <c r="Q815" i="34"/>
  <c r="Q816" i="34"/>
  <c r="Q817" i="34"/>
  <c r="Q818" i="34"/>
  <c r="Q819" i="34"/>
  <c r="Q820" i="34"/>
  <c r="Q821" i="34"/>
  <c r="Q822" i="34"/>
  <c r="Q823" i="34"/>
  <c r="Q824" i="34"/>
  <c r="Q825" i="34"/>
  <c r="Q826" i="34"/>
  <c r="Q827" i="34"/>
  <c r="Q828" i="34"/>
  <c r="Q829" i="34"/>
  <c r="Q830" i="34"/>
  <c r="Q831" i="34"/>
  <c r="Q832" i="34"/>
  <c r="Q833" i="34"/>
  <c r="Q834" i="34"/>
  <c r="Q835" i="34"/>
  <c r="Q836" i="34"/>
  <c r="Q837" i="34"/>
  <c r="Q838" i="34"/>
  <c r="Q839" i="34"/>
  <c r="Q840" i="34"/>
  <c r="Q841" i="34"/>
  <c r="Q842" i="34"/>
  <c r="Q843" i="34"/>
  <c r="Q844" i="34"/>
  <c r="Q845" i="34"/>
  <c r="Q846" i="34"/>
  <c r="Q847" i="34"/>
  <c r="Q848" i="34"/>
  <c r="Q849" i="34"/>
  <c r="Q850" i="34"/>
  <c r="Q851" i="34"/>
  <c r="Q852" i="34"/>
  <c r="Q853" i="34"/>
  <c r="Q854" i="34"/>
  <c r="Q855" i="34"/>
  <c r="Q856" i="34"/>
  <c r="Q857" i="34"/>
  <c r="Q858" i="34"/>
  <c r="Q859" i="34"/>
  <c r="Q860" i="34"/>
  <c r="Q861" i="34"/>
  <c r="Q862" i="34"/>
  <c r="Q863" i="34"/>
  <c r="Q864" i="34"/>
  <c r="Q865" i="34"/>
  <c r="Q866" i="34"/>
  <c r="Q867" i="34"/>
  <c r="Q868" i="34"/>
  <c r="Q869" i="34"/>
  <c r="Q870" i="34"/>
  <c r="Q871" i="34"/>
  <c r="Q872" i="34"/>
  <c r="Q873" i="34"/>
  <c r="Q874" i="34"/>
  <c r="Q875" i="34"/>
  <c r="Q876" i="34"/>
  <c r="Q877" i="34"/>
  <c r="Q878" i="34"/>
  <c r="Q879" i="34"/>
  <c r="Q880" i="34"/>
  <c r="Q881" i="34"/>
  <c r="Q882" i="34"/>
  <c r="Q883" i="34"/>
  <c r="Q884" i="34"/>
  <c r="Q885" i="34"/>
  <c r="Q886" i="34"/>
  <c r="Q887" i="34"/>
  <c r="Q888" i="34"/>
  <c r="Q889" i="34"/>
  <c r="Q890" i="34"/>
  <c r="Q891" i="34"/>
  <c r="Q892" i="34"/>
  <c r="Q893" i="34"/>
  <c r="Q894" i="34"/>
  <c r="Q895" i="34"/>
  <c r="Q896" i="34"/>
  <c r="Q897" i="34"/>
  <c r="Q898" i="34"/>
  <c r="Q899" i="34"/>
  <c r="Q900" i="34"/>
  <c r="Q901" i="34"/>
  <c r="Q902" i="34"/>
  <c r="Q903" i="34"/>
  <c r="Q904" i="34"/>
  <c r="Q905" i="34"/>
  <c r="Q906" i="34"/>
  <c r="Q907" i="34"/>
  <c r="Q908" i="34"/>
  <c r="Q909" i="34"/>
  <c r="Q910" i="34"/>
  <c r="Q911" i="34"/>
  <c r="Q912" i="34"/>
  <c r="Q913" i="34"/>
  <c r="Q914" i="34"/>
  <c r="Q915" i="34"/>
  <c r="Q916" i="34"/>
  <c r="Q917" i="34"/>
  <c r="Q918" i="34"/>
  <c r="Q919" i="34"/>
  <c r="Q920" i="34"/>
  <c r="Q921" i="34"/>
  <c r="Q922" i="34"/>
  <c r="Q923" i="34"/>
  <c r="Q924" i="34"/>
  <c r="Q925" i="34"/>
  <c r="Q926" i="34"/>
  <c r="Q927" i="34"/>
  <c r="Q928" i="34"/>
  <c r="Q929" i="34"/>
  <c r="Q930" i="34"/>
  <c r="Q931" i="34"/>
  <c r="Q932" i="34"/>
  <c r="Q933" i="34"/>
  <c r="Q934" i="34"/>
  <c r="Q935" i="34"/>
  <c r="Q936" i="34"/>
  <c r="Q937" i="34"/>
  <c r="Q938" i="34"/>
  <c r="Q939" i="34"/>
  <c r="Q940" i="34"/>
  <c r="Q941" i="34"/>
  <c r="Q942" i="34"/>
  <c r="Q943" i="34"/>
  <c r="Q944" i="34"/>
  <c r="Q945" i="34"/>
  <c r="Q946" i="34"/>
  <c r="Q947" i="34"/>
  <c r="Q948" i="34"/>
  <c r="Q949" i="34"/>
  <c r="Q950" i="34"/>
  <c r="Q951" i="34"/>
  <c r="Q952" i="34"/>
  <c r="Q953" i="34"/>
  <c r="Q954" i="34"/>
  <c r="Q955" i="34"/>
  <c r="Q956" i="34"/>
  <c r="Q957" i="34"/>
  <c r="Q958" i="34"/>
  <c r="Q959" i="34"/>
  <c r="Q960" i="34"/>
  <c r="Q961" i="34"/>
  <c r="Q962" i="34"/>
  <c r="Q963" i="34"/>
  <c r="Q964" i="34"/>
  <c r="Q965" i="34"/>
  <c r="Q966" i="34"/>
  <c r="Q967" i="34"/>
  <c r="Q968" i="34"/>
  <c r="Q969" i="34"/>
  <c r="Q970" i="34"/>
  <c r="Q971" i="34"/>
  <c r="Q972" i="34"/>
  <c r="Q973" i="34"/>
  <c r="Q974" i="34"/>
  <c r="Q975" i="34"/>
  <c r="Q976" i="34"/>
  <c r="Q977" i="34"/>
  <c r="Q978" i="34"/>
  <c r="Q979" i="34"/>
  <c r="Q980" i="34"/>
  <c r="Q981" i="34"/>
  <c r="Q982" i="34"/>
  <c r="Q983" i="34"/>
  <c r="Q984" i="34"/>
  <c r="Q985" i="34"/>
  <c r="Q986" i="34"/>
  <c r="Q987" i="34"/>
  <c r="Q988" i="34"/>
  <c r="Q989" i="34"/>
  <c r="Q990" i="34"/>
  <c r="Q991" i="34"/>
  <c r="Q992" i="34"/>
  <c r="Q993" i="34"/>
  <c r="Q994" i="34"/>
  <c r="Q995" i="34"/>
  <c r="Q996" i="34"/>
  <c r="Q997" i="34"/>
  <c r="Q998" i="34"/>
  <c r="Q999" i="34"/>
  <c r="Q1000" i="34"/>
  <c r="Q1001" i="34"/>
  <c r="Q1002" i="34"/>
  <c r="Q1003" i="34"/>
  <c r="Q1004" i="34"/>
  <c r="Q1005" i="34"/>
  <c r="Q1006" i="34"/>
  <c r="Q1007" i="34"/>
  <c r="Q1008" i="34"/>
  <c r="Q1009" i="34"/>
  <c r="Q1010" i="34"/>
  <c r="Q1011" i="34"/>
  <c r="Q1012" i="34"/>
  <c r="Q1013" i="34"/>
  <c r="Q1014" i="34"/>
  <c r="Q1015" i="34"/>
  <c r="Q1016" i="34"/>
  <c r="Q1017" i="34"/>
  <c r="Q1018" i="34"/>
  <c r="Q1019" i="34"/>
  <c r="Q1020" i="34"/>
  <c r="Q1021" i="34"/>
  <c r="Q1022" i="34"/>
  <c r="Q1023" i="34"/>
  <c r="Q1024" i="34"/>
  <c r="Q1025" i="34"/>
  <c r="Q1026" i="34"/>
  <c r="Q1027" i="34"/>
  <c r="Q1028" i="34"/>
  <c r="Q1029" i="34"/>
  <c r="Q1030" i="34"/>
  <c r="Q1031" i="34"/>
  <c r="Q1032" i="34"/>
  <c r="Q1033" i="34"/>
  <c r="Q1034" i="34"/>
  <c r="Q1035" i="34"/>
  <c r="Q1036" i="34"/>
  <c r="Q1037" i="34"/>
  <c r="Q1038" i="34"/>
  <c r="Q1039" i="34"/>
  <c r="Q1040" i="34"/>
  <c r="Q1041" i="34"/>
  <c r="Q1042" i="34"/>
  <c r="Q1043" i="34"/>
  <c r="Q1044" i="34"/>
  <c r="Q1045" i="34"/>
  <c r="Q1046" i="34"/>
  <c r="Q1047" i="34"/>
  <c r="Q1048" i="34"/>
  <c r="Q1049" i="34"/>
  <c r="Q1050" i="34"/>
  <c r="Q1051" i="34"/>
  <c r="Q1052" i="34"/>
  <c r="Q1053" i="34"/>
  <c r="Q1054" i="34"/>
  <c r="Q1055" i="34"/>
  <c r="Q1056" i="34"/>
  <c r="Q1057" i="34"/>
  <c r="Q1058" i="34"/>
  <c r="Q1059" i="34"/>
  <c r="Q1060" i="34"/>
  <c r="Q1061" i="34"/>
  <c r="Q1062" i="34"/>
  <c r="Q1063" i="34"/>
  <c r="Q1064" i="34"/>
  <c r="Q1065" i="34"/>
  <c r="Q1066" i="34"/>
  <c r="Q1067" i="34"/>
  <c r="Q1068" i="34"/>
  <c r="Q1069" i="34"/>
  <c r="Q1070" i="34"/>
  <c r="Q1071" i="34"/>
  <c r="Q1072" i="34"/>
  <c r="Q1073" i="34"/>
  <c r="Q1074" i="34"/>
  <c r="Q1075" i="34"/>
  <c r="Q1076" i="34"/>
  <c r="Q1077" i="34"/>
  <c r="Q1078" i="34"/>
  <c r="Q1079" i="34"/>
  <c r="Q1080" i="34"/>
  <c r="Q1081" i="34"/>
  <c r="Q1082" i="34"/>
  <c r="Q1083" i="34"/>
  <c r="Q1084" i="34"/>
  <c r="Q1085" i="34"/>
  <c r="Q1086" i="34"/>
  <c r="Q1087" i="34"/>
  <c r="Q1088" i="34"/>
  <c r="Q1089" i="34"/>
  <c r="Q1090" i="34"/>
  <c r="Q1091" i="34"/>
  <c r="Q1092" i="34"/>
  <c r="Q1093" i="34"/>
  <c r="Q1094" i="34"/>
  <c r="Q1095" i="34"/>
  <c r="Q1096" i="34"/>
  <c r="Q1097" i="34"/>
  <c r="Q1098" i="34"/>
  <c r="Q1099" i="34"/>
  <c r="Q1100" i="34"/>
  <c r="Q1101" i="34"/>
  <c r="Q1102" i="34"/>
  <c r="Q1103" i="34"/>
  <c r="Q1104" i="34"/>
  <c r="Q1105" i="34"/>
  <c r="Q1106" i="34"/>
  <c r="Q1107" i="34"/>
  <c r="Q1108" i="34"/>
  <c r="Q1109" i="34"/>
  <c r="Q1110" i="34"/>
  <c r="Q1111" i="34"/>
  <c r="Q1112" i="34"/>
  <c r="Q1113" i="34"/>
  <c r="Q1114" i="34"/>
  <c r="Q1115" i="34"/>
  <c r="Q1116" i="34"/>
  <c r="Q1117" i="34"/>
  <c r="Q1118" i="34"/>
  <c r="Q1119" i="34"/>
  <c r="Q1120" i="34"/>
  <c r="Q1121" i="34"/>
  <c r="Q1122" i="34"/>
  <c r="Q1123" i="34"/>
  <c r="Q1124" i="34"/>
  <c r="Q1125" i="34"/>
  <c r="Q1126" i="34"/>
  <c r="Q1127" i="34"/>
  <c r="Q1128" i="34"/>
  <c r="Q1129" i="34"/>
  <c r="Q1130" i="34"/>
  <c r="Q1131" i="34"/>
  <c r="Q1132" i="34"/>
  <c r="Q1133" i="34"/>
  <c r="Q1134" i="34"/>
  <c r="Q1135" i="34"/>
  <c r="Q1136" i="34"/>
  <c r="Q1137" i="34"/>
  <c r="Q1138" i="34"/>
  <c r="Q1139" i="34"/>
  <c r="Q1140" i="34"/>
  <c r="Q1141" i="34"/>
  <c r="Q1142" i="34"/>
  <c r="Q1143" i="34"/>
  <c r="Q1144" i="34"/>
  <c r="Q1145" i="34"/>
  <c r="Q1146" i="34"/>
  <c r="Q1147" i="34"/>
  <c r="Q1148" i="34"/>
  <c r="Q1149" i="34"/>
  <c r="Q1150" i="34"/>
  <c r="Q1151" i="34"/>
  <c r="Q1152" i="34"/>
  <c r="Q1153" i="34"/>
  <c r="Q1154" i="34"/>
  <c r="Q1155" i="34"/>
  <c r="Q1156" i="34"/>
  <c r="Q1157" i="34"/>
  <c r="Q1158" i="34"/>
  <c r="Q1159" i="34"/>
  <c r="Q1160" i="34"/>
  <c r="Q1161" i="34"/>
  <c r="Q1162" i="34"/>
  <c r="Q1163" i="34"/>
  <c r="Q1164" i="34"/>
  <c r="Q1165" i="34"/>
  <c r="Q1166" i="34"/>
  <c r="Q1167" i="34"/>
  <c r="Q1168" i="34"/>
  <c r="Q1169" i="34"/>
  <c r="Q1170" i="34"/>
  <c r="Q1171" i="34"/>
  <c r="Q1172" i="34"/>
  <c r="Q1173" i="34"/>
  <c r="Q1174" i="34"/>
  <c r="Q1175" i="34"/>
  <c r="Q1176" i="34"/>
  <c r="Q1177" i="34"/>
  <c r="Q1178" i="34"/>
  <c r="Q1179" i="34"/>
  <c r="Q1180" i="34"/>
  <c r="Q1181" i="34"/>
  <c r="Q1182" i="34"/>
  <c r="Q1183" i="34"/>
  <c r="Q1184" i="34"/>
  <c r="Q1185" i="34"/>
  <c r="Q1186" i="34"/>
  <c r="Q1187" i="34"/>
  <c r="Q1188" i="34"/>
  <c r="Q1189" i="34"/>
  <c r="Q1190" i="34"/>
  <c r="Q1191" i="34"/>
  <c r="Q1192" i="34"/>
  <c r="Q1193" i="34"/>
  <c r="Q1194" i="34"/>
  <c r="Q1195" i="34"/>
  <c r="Q1196" i="34"/>
  <c r="Q1197" i="34"/>
  <c r="Q1198" i="34"/>
  <c r="Q1199" i="34"/>
  <c r="Q1200" i="34"/>
  <c r="Q1201" i="34"/>
  <c r="Q1202" i="34"/>
  <c r="Q1203" i="34"/>
  <c r="Q1204" i="34"/>
  <c r="Q1205" i="34"/>
  <c r="Q1206" i="34"/>
  <c r="Q1207" i="34"/>
  <c r="Q1208" i="34"/>
  <c r="Q1209" i="34"/>
  <c r="Q1210" i="34"/>
  <c r="Q1211" i="34"/>
  <c r="Q1212" i="34"/>
  <c r="Q1213" i="34"/>
  <c r="Q1214" i="34"/>
  <c r="Q1215" i="34"/>
  <c r="Q1216" i="34"/>
  <c r="Q1217" i="34"/>
  <c r="Q1218" i="34"/>
  <c r="Q1219" i="34"/>
  <c r="Q1220" i="34"/>
  <c r="Q1221" i="34"/>
  <c r="Q1222" i="34"/>
  <c r="Q1223" i="34"/>
  <c r="Q1224" i="34"/>
  <c r="Q1225" i="34"/>
  <c r="Q1226" i="34"/>
  <c r="Q1227" i="34"/>
  <c r="Q1228" i="34"/>
  <c r="Q1229" i="34"/>
  <c r="Q1230" i="34"/>
  <c r="Q1231" i="34"/>
  <c r="Q1232" i="34"/>
  <c r="Q1233" i="34"/>
  <c r="Q1234" i="34"/>
  <c r="Q1235" i="34"/>
  <c r="Q1236" i="34"/>
  <c r="Q1237" i="34"/>
  <c r="Q1238" i="34"/>
  <c r="Q1239" i="34"/>
  <c r="Q1240" i="34"/>
  <c r="Q1241" i="34"/>
  <c r="Q1242" i="34"/>
  <c r="Q1243" i="34"/>
  <c r="Q1244" i="34"/>
  <c r="Q1245" i="34"/>
  <c r="Q1246" i="34"/>
  <c r="Q1247" i="34"/>
  <c r="Q1248" i="34"/>
  <c r="Q1249" i="34"/>
  <c r="Q1250" i="34"/>
  <c r="Q1251" i="34"/>
  <c r="Q1252" i="34"/>
  <c r="Q1253" i="34"/>
  <c r="Q1254" i="34"/>
  <c r="Q1255" i="34"/>
  <c r="Q1256" i="34"/>
  <c r="Q1257" i="34"/>
  <c r="Q1258" i="34"/>
  <c r="Q1259" i="34"/>
  <c r="Q1260" i="34"/>
  <c r="Q1261" i="34"/>
  <c r="Q1262" i="34"/>
  <c r="Q1263" i="34"/>
  <c r="Q1264" i="34"/>
  <c r="Q1265" i="34"/>
  <c r="Q1266" i="34"/>
  <c r="Q1267" i="34"/>
  <c r="Q1268" i="34"/>
  <c r="Q1269" i="34"/>
  <c r="Q1270" i="34"/>
  <c r="Q1271" i="34"/>
  <c r="Q1272" i="34"/>
  <c r="Q1273" i="34"/>
  <c r="Q1274" i="34"/>
  <c r="Q1275" i="34"/>
  <c r="Q1276" i="34"/>
  <c r="Q1277" i="34"/>
  <c r="Q1278" i="34"/>
  <c r="Q1279" i="34"/>
  <c r="Q1280" i="34"/>
  <c r="Q1281" i="34"/>
  <c r="Q1282" i="34"/>
  <c r="Q1283" i="34"/>
  <c r="Q1284" i="34"/>
  <c r="Q1285" i="34"/>
  <c r="Q1286" i="34"/>
  <c r="Q1287" i="34"/>
  <c r="Q1288" i="34"/>
  <c r="Q1289" i="34"/>
  <c r="Q1290" i="34"/>
  <c r="Q1291" i="34"/>
  <c r="Q1292" i="34"/>
  <c r="Q1293" i="34"/>
  <c r="Q1294" i="34"/>
  <c r="Q1295" i="34"/>
  <c r="Q1296" i="34"/>
  <c r="Q1297" i="34"/>
  <c r="Q1298" i="34"/>
  <c r="Q1299" i="34"/>
  <c r="Q1300" i="34"/>
  <c r="Q1301" i="34"/>
  <c r="Q1302" i="34"/>
  <c r="Q1303" i="34"/>
  <c r="Q1304" i="34"/>
  <c r="Q1305" i="34"/>
  <c r="Q1306" i="34"/>
  <c r="Q1307" i="34"/>
  <c r="Q1308" i="34"/>
  <c r="Q1309" i="34"/>
  <c r="Q1310" i="34"/>
  <c r="Q1311" i="34"/>
  <c r="Q1312" i="34"/>
  <c r="Q1313" i="34"/>
  <c r="Q1314" i="34"/>
  <c r="Q1315" i="34"/>
  <c r="Q1316" i="34"/>
  <c r="Q1317" i="34"/>
  <c r="Q1318" i="34"/>
  <c r="Q1319" i="34"/>
  <c r="Q1320" i="34"/>
  <c r="Q1321" i="34"/>
  <c r="Q1322" i="34"/>
  <c r="Q1323" i="34"/>
  <c r="Q1324" i="34"/>
  <c r="Q1325" i="34"/>
  <c r="Q1326" i="34"/>
  <c r="Q1327" i="34"/>
  <c r="Q1328" i="34"/>
  <c r="Q1329" i="34"/>
  <c r="Q1330" i="34"/>
  <c r="Q1331" i="34"/>
  <c r="Q1332" i="34"/>
  <c r="Q1333" i="34"/>
  <c r="Q1334" i="34"/>
  <c r="Q1335" i="34"/>
  <c r="Q1336" i="34"/>
  <c r="Q1337" i="34"/>
  <c r="Q1338" i="34"/>
  <c r="Q1339" i="34"/>
  <c r="Q1340" i="34"/>
  <c r="Q1341" i="34"/>
  <c r="Q1342" i="34"/>
  <c r="Q1343" i="34"/>
  <c r="Q1344" i="34"/>
  <c r="Q1345" i="34"/>
  <c r="Q1346" i="34"/>
  <c r="Q1347" i="34"/>
  <c r="Q1348" i="34"/>
  <c r="Q1349" i="34"/>
  <c r="Q1350" i="34"/>
  <c r="Q1351" i="34"/>
  <c r="Q1352" i="34"/>
  <c r="Q1353" i="34"/>
  <c r="Q1354" i="34"/>
  <c r="Q1355" i="34"/>
  <c r="Q1356" i="34"/>
  <c r="Q1357" i="34"/>
  <c r="Q1358" i="34"/>
  <c r="Q1359" i="34"/>
  <c r="Q1360" i="34"/>
  <c r="Q1361" i="34"/>
  <c r="Q1362" i="34"/>
  <c r="Q1363" i="34"/>
  <c r="Q1364" i="34"/>
  <c r="Q1365" i="34"/>
  <c r="Q1366" i="34"/>
  <c r="Q1367" i="34"/>
  <c r="Q1368" i="34"/>
  <c r="Q1369" i="34"/>
  <c r="Q1370" i="34"/>
  <c r="Q1371" i="34"/>
  <c r="Q1372" i="34"/>
  <c r="Q1373" i="34"/>
  <c r="Q1374" i="34"/>
  <c r="Q1375" i="34"/>
  <c r="Q1376" i="34"/>
  <c r="Q1377" i="34"/>
  <c r="Q1378" i="34"/>
  <c r="Q1379" i="34"/>
  <c r="Q1380" i="34"/>
  <c r="Q1381" i="34"/>
  <c r="Q1382" i="34"/>
  <c r="Q1383" i="34"/>
  <c r="Q1384" i="34"/>
  <c r="Q1385" i="34"/>
  <c r="Q1386" i="34"/>
  <c r="Q1387" i="34"/>
  <c r="Q1388" i="34"/>
  <c r="Q1389" i="34"/>
  <c r="Q1390" i="34"/>
  <c r="Q1391" i="34"/>
  <c r="Q1392" i="34"/>
  <c r="Q1393" i="34"/>
  <c r="Q1394" i="34"/>
  <c r="Q1395" i="34"/>
  <c r="Q1396" i="34"/>
  <c r="Q1397" i="34"/>
  <c r="Q1398" i="34"/>
  <c r="Q1399" i="34"/>
  <c r="Q1400" i="34"/>
  <c r="Q1401" i="34"/>
  <c r="Q1402" i="34"/>
  <c r="Q1403" i="34"/>
  <c r="Q1404" i="34"/>
  <c r="Q1405" i="34"/>
  <c r="Q1406" i="34"/>
  <c r="Q1407" i="34"/>
  <c r="Q1408" i="34"/>
  <c r="Q1409" i="34"/>
  <c r="Q1410" i="34"/>
  <c r="Q1411" i="34"/>
  <c r="Q1412" i="34"/>
  <c r="Q1413" i="34"/>
  <c r="Q1414" i="34"/>
  <c r="Q1415" i="34"/>
  <c r="Q1416" i="34"/>
  <c r="Q1417" i="34"/>
  <c r="Q1418" i="34"/>
  <c r="Q1419" i="34"/>
  <c r="Q1420" i="34"/>
  <c r="Q1421" i="34"/>
  <c r="Q1422" i="34"/>
  <c r="Q1423" i="34"/>
  <c r="Q1424" i="34"/>
  <c r="Q1425" i="34"/>
  <c r="Q1426" i="34"/>
  <c r="Q1427" i="34"/>
  <c r="Q1428" i="34"/>
  <c r="Q1429" i="34"/>
  <c r="Q1430" i="34"/>
  <c r="Q1431" i="34"/>
  <c r="Q1432" i="34"/>
  <c r="Q1433" i="34"/>
  <c r="Q1434" i="34"/>
  <c r="Q1435" i="34"/>
  <c r="Q1436" i="34"/>
  <c r="Q1437" i="34"/>
  <c r="Q1438" i="34"/>
  <c r="Q1439" i="34"/>
  <c r="Q1440" i="34"/>
  <c r="Q1441" i="34"/>
  <c r="Q1442" i="34"/>
  <c r="Q1443" i="34"/>
  <c r="Q1444" i="34"/>
  <c r="Q1445" i="34"/>
  <c r="Q1446" i="34"/>
  <c r="Q1447" i="34"/>
  <c r="Q1448" i="34"/>
  <c r="Q1449" i="34"/>
  <c r="Q1450" i="34"/>
  <c r="Q1451" i="34"/>
  <c r="Q1452" i="34"/>
  <c r="Q1453" i="34"/>
  <c r="Q1454" i="34"/>
  <c r="Q1455" i="34"/>
  <c r="Q1456" i="34"/>
  <c r="Q1457" i="34"/>
  <c r="Q1458" i="34"/>
  <c r="Q1459" i="34"/>
  <c r="Q1460" i="34"/>
  <c r="Q1461" i="34"/>
  <c r="Q1462" i="34"/>
  <c r="Q1463" i="34"/>
  <c r="Q1464" i="34"/>
  <c r="Q1465" i="34"/>
  <c r="Q1466" i="34"/>
  <c r="Q1467" i="34"/>
  <c r="Q1468" i="34"/>
  <c r="Q1469" i="34"/>
  <c r="Q1470" i="34"/>
  <c r="Q1471" i="34"/>
  <c r="Q1472" i="34"/>
  <c r="Q1473" i="34"/>
  <c r="Q1474" i="34"/>
  <c r="Q1475" i="34"/>
  <c r="Q1476" i="34"/>
  <c r="Q1477" i="34"/>
  <c r="Q1478" i="34"/>
  <c r="Q1479" i="34"/>
  <c r="Q1480" i="34"/>
  <c r="Q1481" i="34"/>
  <c r="Q1482" i="34"/>
  <c r="Q1483" i="34"/>
  <c r="Q1484" i="34"/>
  <c r="Q1485" i="34"/>
  <c r="Q1486" i="34"/>
  <c r="Q1487" i="34"/>
  <c r="Q1488" i="34"/>
  <c r="Q1489" i="34"/>
  <c r="Q1490" i="34"/>
  <c r="Q1491" i="34"/>
  <c r="Q1492" i="34"/>
  <c r="Q1493" i="34"/>
  <c r="Q1494" i="34"/>
  <c r="Q1495" i="34"/>
  <c r="Q1496" i="34"/>
  <c r="Q1497" i="34"/>
  <c r="Q1498" i="34"/>
  <c r="Q1499" i="34"/>
  <c r="Q1500" i="34"/>
  <c r="Q1501" i="34"/>
  <c r="Q1502" i="34"/>
  <c r="Q1503" i="34"/>
  <c r="Q1504" i="34"/>
  <c r="Q1505" i="34"/>
  <c r="Q1506" i="34"/>
  <c r="Q1507" i="34"/>
  <c r="Q1508" i="34"/>
  <c r="Q1509" i="34"/>
  <c r="Q1510" i="34"/>
  <c r="Q1511" i="34"/>
  <c r="Q1512" i="34"/>
  <c r="Q1513" i="34"/>
  <c r="Q1514" i="34"/>
  <c r="Q1515" i="34"/>
  <c r="Q1516" i="34"/>
  <c r="Q1517" i="34"/>
  <c r="Q1518" i="34"/>
  <c r="Q1519" i="34"/>
  <c r="Q1520" i="34"/>
  <c r="Q1521" i="34"/>
  <c r="Q1522" i="34"/>
  <c r="Q1523" i="34"/>
  <c r="Q1524" i="34"/>
  <c r="Q1525" i="34"/>
  <c r="Q1526" i="34"/>
  <c r="Q1527" i="34"/>
  <c r="Q1528" i="34"/>
  <c r="Q1529" i="34"/>
  <c r="Q1530" i="34"/>
  <c r="Q1531" i="34"/>
  <c r="Q1532" i="34"/>
  <c r="Q1533" i="34"/>
  <c r="Q1534" i="34"/>
  <c r="Q1535" i="34"/>
  <c r="Q1536" i="34"/>
  <c r="Q1537" i="34"/>
  <c r="Q1538" i="34"/>
  <c r="Q1539" i="34"/>
  <c r="Q1540" i="34"/>
  <c r="Q1541" i="34"/>
  <c r="Q1542" i="34"/>
  <c r="Q1543" i="34"/>
  <c r="Q1544" i="34"/>
  <c r="Q1545" i="34"/>
  <c r="Q1546" i="34"/>
  <c r="Q1547" i="34"/>
  <c r="Q1548" i="34"/>
  <c r="Q1549" i="34"/>
  <c r="Q1550" i="34"/>
  <c r="Q1551" i="34"/>
  <c r="Q1552" i="34"/>
  <c r="Q1553" i="34"/>
  <c r="Q1554" i="34"/>
  <c r="Q1555" i="34"/>
  <c r="Q1556" i="34"/>
  <c r="Q1557" i="34"/>
  <c r="Q1558" i="34"/>
  <c r="Q1559" i="34"/>
  <c r="Q1560" i="34"/>
  <c r="Q1561" i="34"/>
  <c r="Q1562" i="34"/>
  <c r="Q1563" i="34"/>
  <c r="Q1564" i="34"/>
  <c r="Q1565" i="34"/>
  <c r="Q1566" i="34"/>
  <c r="Q1567" i="34"/>
  <c r="Q1568" i="34"/>
  <c r="Q1569" i="34"/>
  <c r="Q1570" i="34"/>
  <c r="Q1571" i="34"/>
  <c r="Q1572" i="34"/>
  <c r="Q1573" i="34"/>
  <c r="Q1574" i="34"/>
  <c r="Q1575" i="34"/>
  <c r="Q1576" i="34"/>
  <c r="Q1577" i="34"/>
  <c r="Q1578" i="34"/>
  <c r="Q1579" i="34"/>
  <c r="Q1580" i="34"/>
  <c r="Q1581" i="34"/>
  <c r="Q1582" i="34"/>
  <c r="Q1583" i="34"/>
  <c r="Q1584" i="34"/>
  <c r="Q1585" i="34"/>
  <c r="Q1586" i="34"/>
  <c r="Q1587" i="34"/>
  <c r="Q1588" i="34"/>
  <c r="Q1589" i="34"/>
  <c r="Q1590" i="34"/>
  <c r="Q1591" i="34"/>
  <c r="Q1592" i="34"/>
  <c r="Q1593" i="34"/>
  <c r="Q1594" i="34"/>
  <c r="Q1595" i="34"/>
  <c r="Q1596" i="34"/>
  <c r="Q1597" i="34"/>
  <c r="Q1598" i="34"/>
  <c r="Q1599" i="34"/>
  <c r="Q1600" i="34"/>
  <c r="Q1601" i="34"/>
  <c r="Q1602" i="34"/>
  <c r="Q1603" i="34"/>
  <c r="Q1604" i="34"/>
  <c r="Q1605" i="34"/>
  <c r="Q1606" i="34"/>
  <c r="Q1607" i="34"/>
  <c r="Q1608" i="34"/>
  <c r="Q1609" i="34"/>
  <c r="Q1610" i="34"/>
  <c r="Q1611" i="34"/>
  <c r="Q1612" i="34"/>
  <c r="Q1613" i="34"/>
  <c r="Q1614" i="34"/>
  <c r="Q1615" i="34"/>
  <c r="Q1616" i="34"/>
  <c r="Q1617" i="34"/>
  <c r="Q1618" i="34"/>
  <c r="Q1619" i="34"/>
  <c r="Q1620" i="34"/>
  <c r="Q1621" i="34"/>
  <c r="Q1622" i="34"/>
  <c r="Q1623" i="34"/>
  <c r="Q1624" i="34"/>
  <c r="Q1625" i="34"/>
  <c r="Q1626" i="34"/>
  <c r="Q1627" i="34"/>
  <c r="Q1628" i="34"/>
  <c r="Q1629" i="34"/>
  <c r="Q1630" i="34"/>
  <c r="Q1631" i="34"/>
  <c r="Q1632" i="34"/>
  <c r="Q1633" i="34"/>
  <c r="Q1634" i="34"/>
  <c r="Q1635" i="34"/>
  <c r="Q1636" i="34"/>
  <c r="Q1637" i="34"/>
  <c r="Q1638" i="34"/>
  <c r="Q1639" i="34"/>
  <c r="Q1640" i="34"/>
  <c r="Q1641" i="34"/>
  <c r="Q1642" i="34"/>
  <c r="Q1643" i="34"/>
  <c r="Q1644" i="34"/>
  <c r="Q1645" i="34"/>
  <c r="Q1646" i="34"/>
  <c r="Q1647" i="34"/>
  <c r="Q1648" i="34"/>
  <c r="Q1649" i="34"/>
  <c r="Q1650" i="34"/>
  <c r="Q1651" i="34"/>
  <c r="Q1652" i="34"/>
  <c r="Q1653" i="34"/>
  <c r="Q1654" i="34"/>
  <c r="Q1655" i="34"/>
  <c r="Q1656" i="34"/>
  <c r="Q1657" i="34"/>
  <c r="Q1658" i="34"/>
  <c r="Q1659" i="34"/>
  <c r="Q1660" i="34"/>
  <c r="Q1661" i="34"/>
  <c r="Q1662" i="34"/>
  <c r="Q1663" i="34"/>
  <c r="Q1664" i="34"/>
  <c r="Q1665" i="34"/>
  <c r="Q1666" i="34"/>
  <c r="Q1667" i="34"/>
  <c r="Q1668" i="34"/>
  <c r="Q1669" i="34"/>
  <c r="Q1670" i="34"/>
  <c r="Q1671" i="34"/>
  <c r="Q1672" i="34"/>
  <c r="Q1673" i="34"/>
  <c r="Q1674" i="34"/>
  <c r="Q1675" i="34"/>
  <c r="Q1676" i="34"/>
  <c r="Q1677" i="34"/>
  <c r="Q1678" i="34"/>
  <c r="Q1679" i="34"/>
  <c r="Q1680" i="34"/>
  <c r="Q1681" i="34"/>
  <c r="Q1682" i="34"/>
  <c r="Q1683" i="34"/>
  <c r="Q1684" i="34"/>
  <c r="Q1685" i="34"/>
  <c r="Q1686" i="34"/>
  <c r="Q1687" i="34"/>
  <c r="Q1688" i="34"/>
  <c r="Q1689" i="34"/>
  <c r="Q1690" i="34"/>
  <c r="Q1691" i="34"/>
  <c r="Q1692" i="34"/>
  <c r="Q1693" i="34"/>
  <c r="Q1694" i="34"/>
  <c r="Q1695" i="34"/>
  <c r="Q1696" i="34"/>
  <c r="Q1697" i="34"/>
  <c r="Q1698" i="34"/>
  <c r="Q1699" i="34"/>
  <c r="Q1700" i="34"/>
  <c r="Q1701" i="34"/>
  <c r="Q1702" i="34"/>
  <c r="Q1703" i="34"/>
  <c r="Q1704" i="34"/>
  <c r="Q1705" i="34"/>
  <c r="Q1706" i="34"/>
  <c r="Q1707" i="34"/>
  <c r="Q1708" i="34"/>
  <c r="Q1709" i="34"/>
  <c r="Q1710" i="34"/>
  <c r="Q1711" i="34"/>
  <c r="Q1712" i="34"/>
  <c r="Q1713" i="34"/>
  <c r="Q1714" i="34"/>
  <c r="Q1715" i="34"/>
  <c r="Q1716" i="34"/>
  <c r="Q1717" i="34"/>
  <c r="Q1718" i="34"/>
  <c r="Q1719" i="34"/>
  <c r="Q1720" i="34"/>
  <c r="Q1721" i="34"/>
  <c r="Q1722" i="34"/>
  <c r="Q1723" i="34"/>
  <c r="Q1724" i="34"/>
  <c r="Q1725" i="34"/>
  <c r="Q1726" i="34"/>
  <c r="Q1727" i="34"/>
  <c r="Q1728" i="34"/>
  <c r="Q1729" i="34"/>
  <c r="Q1730" i="34"/>
  <c r="Q1731" i="34"/>
  <c r="Q1732" i="34"/>
  <c r="Q1733" i="34"/>
  <c r="Q1734" i="34"/>
  <c r="Q1735" i="34"/>
  <c r="Q1736" i="34"/>
  <c r="Q1737" i="34"/>
  <c r="Q1738" i="34"/>
  <c r="Q1739" i="34"/>
  <c r="Q1740" i="34"/>
  <c r="Q1741" i="34"/>
  <c r="Q1742" i="34"/>
  <c r="Q1743" i="34"/>
  <c r="Q1744" i="34"/>
  <c r="Q1745" i="34"/>
  <c r="Q1746" i="34"/>
  <c r="Q1747" i="34"/>
  <c r="Q1748" i="34"/>
  <c r="Q1749" i="34"/>
  <c r="Q1750" i="34"/>
  <c r="Q1751" i="34"/>
  <c r="Q1752" i="34"/>
  <c r="Q1753" i="34"/>
  <c r="Q1754" i="34"/>
  <c r="Q1755" i="34"/>
  <c r="Q1756" i="34"/>
  <c r="Q1757" i="34"/>
  <c r="Q1758" i="34"/>
  <c r="Q1759" i="34"/>
  <c r="Q1760" i="34"/>
  <c r="Q1761" i="34"/>
  <c r="Q1762" i="34"/>
  <c r="Q1763" i="34"/>
  <c r="Q1764" i="34"/>
  <c r="Q1765" i="34"/>
  <c r="Q1766" i="34"/>
  <c r="Q1767" i="34"/>
  <c r="Q1768" i="34"/>
  <c r="Q1769" i="34"/>
  <c r="Q1770" i="34"/>
  <c r="Q1771" i="34"/>
  <c r="Q1772" i="34"/>
  <c r="Q1773" i="34"/>
  <c r="Q1774" i="34"/>
  <c r="Q1775" i="34"/>
  <c r="Q1776" i="34"/>
  <c r="Q1777" i="34"/>
  <c r="Q1778" i="34"/>
  <c r="Q1779" i="34"/>
  <c r="Q1780" i="34"/>
  <c r="Q1781" i="34"/>
  <c r="Q1782" i="34"/>
  <c r="Q1783" i="34"/>
  <c r="Q1784" i="34"/>
  <c r="Q1785" i="34"/>
  <c r="Q1786" i="34"/>
  <c r="Q1787" i="34"/>
  <c r="Q1788" i="34"/>
  <c r="Q1789" i="34"/>
  <c r="Q1790" i="34"/>
  <c r="Q1791" i="34"/>
  <c r="Q1792" i="34"/>
  <c r="Q1793" i="34"/>
  <c r="Q1794" i="34"/>
  <c r="Q1795" i="34"/>
  <c r="Q1796" i="34"/>
  <c r="Q1797" i="34"/>
  <c r="Q1798" i="34"/>
  <c r="Q1799" i="34"/>
  <c r="Q1800" i="34"/>
  <c r="Q1801" i="34"/>
  <c r="Q1802" i="34"/>
  <c r="Q1803" i="34"/>
  <c r="Q1804" i="34"/>
  <c r="Q1805" i="34"/>
  <c r="Q1806" i="34"/>
  <c r="Q1807" i="34"/>
  <c r="Q1808" i="34"/>
  <c r="Q1809" i="34"/>
  <c r="Q1810" i="34"/>
  <c r="Q1811" i="34"/>
  <c r="Q1812" i="34"/>
  <c r="Q1813" i="34"/>
  <c r="Q1814" i="34"/>
  <c r="Q1815" i="34"/>
  <c r="Q1816" i="34"/>
  <c r="Q1817" i="34"/>
  <c r="Q1818" i="34"/>
  <c r="Q1819" i="34"/>
  <c r="Q1820" i="34"/>
  <c r="Q1821" i="34"/>
  <c r="Q1822" i="34"/>
  <c r="Q1823" i="34"/>
  <c r="Q1824" i="34"/>
  <c r="Q1825" i="34"/>
  <c r="Q1826" i="34"/>
  <c r="Q1827" i="34"/>
  <c r="Q1828" i="34"/>
  <c r="Q1829" i="34"/>
  <c r="Q1830" i="34"/>
  <c r="Q1831" i="34"/>
  <c r="Q1832" i="34"/>
  <c r="Q1833" i="34"/>
  <c r="Q1834" i="34"/>
  <c r="Q1835" i="34"/>
  <c r="Q1836" i="34"/>
  <c r="Q1837" i="34"/>
  <c r="Q1838" i="34"/>
  <c r="Q1839" i="34"/>
  <c r="Q1840" i="34"/>
  <c r="Q1841" i="34"/>
  <c r="Q1842" i="34"/>
  <c r="Q1843" i="34"/>
  <c r="Q1844" i="34"/>
  <c r="Q1845" i="34"/>
  <c r="Q1846" i="34"/>
  <c r="Q1847" i="34"/>
  <c r="Q1848" i="34"/>
  <c r="Q1849" i="34"/>
  <c r="Q1850" i="34"/>
  <c r="Q1851" i="34"/>
  <c r="Q1852" i="34"/>
  <c r="Q1853" i="34"/>
  <c r="Q1854" i="34"/>
  <c r="Q1855" i="34"/>
  <c r="Q1856" i="34"/>
  <c r="Q1857" i="34"/>
  <c r="Q1858" i="34"/>
  <c r="Q1859" i="34"/>
  <c r="Q1860" i="34"/>
  <c r="Q1861" i="34"/>
  <c r="Q1862" i="34"/>
  <c r="Q1863" i="34"/>
  <c r="Q1864" i="34"/>
  <c r="Q1865" i="34"/>
  <c r="Q1866" i="34"/>
  <c r="Q1867" i="34"/>
  <c r="Q1868" i="34"/>
  <c r="Q1869" i="34"/>
  <c r="Q1870" i="34"/>
  <c r="Q1871" i="34"/>
  <c r="Q1872" i="34"/>
  <c r="Q1873" i="34"/>
  <c r="Q1874" i="34"/>
  <c r="Q1875" i="34"/>
  <c r="Q1876" i="34"/>
  <c r="Q1877" i="34"/>
  <c r="Q1878" i="34"/>
  <c r="Q1879" i="34"/>
  <c r="Q1880" i="34"/>
  <c r="Q1881" i="34"/>
  <c r="Q1882" i="34"/>
  <c r="Q1883" i="34"/>
  <c r="Q1884" i="34"/>
  <c r="Q1885" i="34"/>
  <c r="Q1886" i="34"/>
  <c r="Q1887" i="34"/>
  <c r="Q1888" i="34"/>
  <c r="Q1889" i="34"/>
  <c r="Q1890" i="34"/>
  <c r="Q1891" i="34"/>
  <c r="Q1892" i="34"/>
  <c r="Q1893" i="34"/>
  <c r="Q1894" i="34"/>
  <c r="Q1895" i="34"/>
  <c r="Q1896" i="34"/>
  <c r="Q1897" i="34"/>
  <c r="Q1898" i="34"/>
  <c r="Q1899" i="34"/>
  <c r="Q1900" i="34"/>
  <c r="Q1901" i="34"/>
  <c r="Q1902" i="34"/>
  <c r="Q1903" i="34"/>
  <c r="Q1904" i="34"/>
  <c r="Q1905" i="34"/>
  <c r="Q1906" i="34"/>
  <c r="Q1907" i="34"/>
  <c r="Q1908" i="34"/>
  <c r="Q1909" i="34"/>
  <c r="Q1910" i="34"/>
  <c r="Q1911" i="34"/>
  <c r="Q1912" i="34"/>
  <c r="Q1913" i="34"/>
  <c r="Q1914" i="34"/>
  <c r="Q1915" i="34"/>
  <c r="Q1916" i="34"/>
  <c r="Q1917" i="34"/>
  <c r="Q1918" i="34"/>
  <c r="Q1919" i="34"/>
  <c r="Q1920" i="34"/>
  <c r="Q1921" i="34"/>
  <c r="Q1922" i="34"/>
  <c r="Q1923" i="34"/>
  <c r="Q1924" i="34"/>
  <c r="Q1925" i="34"/>
  <c r="Q1926" i="34"/>
  <c r="Q1927" i="34"/>
  <c r="Q1928" i="34"/>
  <c r="Q1929" i="34"/>
  <c r="Q1930" i="34"/>
  <c r="Q1931" i="34"/>
  <c r="Q1932" i="34"/>
  <c r="Q1933" i="34"/>
  <c r="Q1934" i="34"/>
  <c r="Q1935" i="34"/>
  <c r="Q1936" i="34"/>
  <c r="Q1937" i="34"/>
  <c r="Q1938" i="34"/>
  <c r="Q1939" i="34"/>
  <c r="Q1940" i="34"/>
  <c r="Q1941" i="34"/>
  <c r="Q1942" i="34"/>
  <c r="Q1943" i="34"/>
  <c r="Q1944" i="34"/>
  <c r="Q1945" i="34"/>
  <c r="Q1946" i="34"/>
  <c r="Q1947" i="34"/>
  <c r="Q1948" i="34"/>
  <c r="Q1949" i="34"/>
  <c r="Q1950" i="34"/>
  <c r="Q1951" i="34"/>
  <c r="Q1952" i="34"/>
  <c r="Q1953" i="34"/>
  <c r="Q1954" i="34"/>
  <c r="Q1955" i="34"/>
  <c r="Q1956" i="34"/>
  <c r="Q1957" i="34"/>
  <c r="Q1958" i="34"/>
  <c r="Q1959" i="34"/>
  <c r="Q1960" i="34"/>
  <c r="Q1961" i="34"/>
  <c r="Q1962" i="34"/>
  <c r="Q1963" i="34"/>
  <c r="Q1964" i="34"/>
  <c r="Q1965" i="34"/>
  <c r="Q1966" i="34"/>
  <c r="Q1967" i="34"/>
  <c r="Q1968" i="34"/>
  <c r="Q1969" i="34"/>
  <c r="Q1970" i="34"/>
  <c r="Q1971" i="34"/>
  <c r="Q1972" i="34"/>
  <c r="Q1973" i="34"/>
  <c r="Q1974" i="34"/>
  <c r="Q1975" i="34"/>
  <c r="Q1976" i="34"/>
  <c r="Q1977" i="34"/>
  <c r="Q1978" i="34"/>
  <c r="Q1979" i="34"/>
  <c r="Q1980" i="34"/>
  <c r="Q1981" i="34"/>
  <c r="Q1982" i="34"/>
  <c r="Q1983" i="34"/>
  <c r="Q1984" i="34"/>
  <c r="Q1985" i="34"/>
  <c r="Q1986" i="34"/>
  <c r="Q1987" i="34"/>
  <c r="Q1988" i="34"/>
  <c r="Q1989" i="34"/>
  <c r="Q1990" i="34"/>
  <c r="Q1991" i="34"/>
  <c r="Q1992" i="34"/>
  <c r="Q1993" i="34"/>
  <c r="Q1994" i="34"/>
  <c r="Q1995" i="34"/>
  <c r="Q1996" i="34"/>
  <c r="Q1997" i="34"/>
  <c r="Q1998" i="34"/>
  <c r="Q1999" i="34"/>
  <c r="Q2000" i="34"/>
  <c r="Q2001" i="34"/>
  <c r="Q2002" i="34"/>
  <c r="Q2003" i="34"/>
  <c r="Q2004" i="34"/>
  <c r="Q2005" i="34"/>
  <c r="Q2006" i="34"/>
  <c r="Q2007" i="34"/>
  <c r="Q2008" i="34"/>
  <c r="Q2009" i="34"/>
  <c r="Q2010" i="34"/>
  <c r="Q2011" i="34"/>
  <c r="Q2012" i="34"/>
  <c r="Q2013" i="34"/>
  <c r="Q2014" i="34"/>
  <c r="Q2015" i="34"/>
  <c r="Q2016" i="34"/>
  <c r="Q2017" i="34"/>
  <c r="Q2018" i="34"/>
  <c r="Q2019" i="34"/>
  <c r="Q2020" i="34"/>
  <c r="Q2021" i="34"/>
  <c r="Q2022" i="34"/>
  <c r="Q2023" i="34"/>
  <c r="Q2024" i="34"/>
  <c r="Q2025" i="34"/>
  <c r="Q2026" i="34"/>
  <c r="Q2027" i="34"/>
  <c r="Q2028" i="34"/>
  <c r="Q2029" i="34"/>
  <c r="Q2030" i="34"/>
  <c r="Q2031" i="34"/>
  <c r="Q2032" i="34"/>
  <c r="Q2033" i="34"/>
  <c r="Q2034" i="34"/>
  <c r="Q2035" i="34"/>
  <c r="Q2036" i="34"/>
  <c r="Q2037" i="34"/>
  <c r="Q2038" i="34"/>
  <c r="Q2039" i="34"/>
  <c r="Q2040" i="34"/>
  <c r="Q2041" i="34"/>
  <c r="Q2042" i="34"/>
  <c r="Q2043" i="34"/>
  <c r="Q2044" i="34"/>
  <c r="Q2045" i="34"/>
  <c r="Q2046" i="34"/>
  <c r="Q2047" i="34"/>
  <c r="Q2048" i="34"/>
  <c r="Q2049" i="34"/>
  <c r="Q2050" i="34"/>
  <c r="Q2051" i="34"/>
  <c r="Q2052" i="34"/>
  <c r="Q2053" i="34"/>
  <c r="Q2054" i="34"/>
  <c r="Q2055" i="34"/>
  <c r="Q2056" i="34"/>
  <c r="Q2057" i="34"/>
  <c r="Q2058" i="34"/>
  <c r="Q2059" i="34"/>
  <c r="Q2060" i="34"/>
  <c r="Q2061" i="34"/>
  <c r="Q2062" i="34"/>
  <c r="Q2063" i="34"/>
  <c r="Q2064" i="34"/>
  <c r="Q2065" i="34"/>
  <c r="Q2066" i="34"/>
  <c r="Q2067" i="34"/>
  <c r="Q2068" i="34"/>
  <c r="Q2069" i="34"/>
  <c r="Q2070" i="34"/>
  <c r="Q2071" i="34"/>
  <c r="Q2072" i="34"/>
  <c r="Q2073" i="34"/>
  <c r="Q2074" i="34"/>
  <c r="Q2075" i="34"/>
  <c r="Q2076" i="34"/>
  <c r="Q2077" i="34"/>
  <c r="Q2078" i="34"/>
  <c r="Q2079" i="34"/>
  <c r="Q2080" i="34"/>
  <c r="Q2081" i="34"/>
  <c r="Q2082" i="34"/>
  <c r="Q2083" i="34"/>
  <c r="Q2084" i="34"/>
  <c r="Q2085" i="34"/>
  <c r="Q2086" i="34"/>
  <c r="Q2087" i="34"/>
  <c r="Q2088" i="34"/>
  <c r="Q2089" i="34"/>
  <c r="Q2090" i="34"/>
  <c r="Q2091" i="34"/>
  <c r="Q2092" i="34"/>
  <c r="Q2093" i="34"/>
  <c r="Q2094" i="34"/>
  <c r="Q2095" i="34"/>
  <c r="Q2096" i="34"/>
  <c r="Q2097" i="34"/>
  <c r="Q2098" i="34"/>
  <c r="Q2099" i="34"/>
  <c r="Q2100" i="34"/>
  <c r="Q2101" i="34"/>
  <c r="Q2102" i="34"/>
  <c r="Q2103" i="34"/>
  <c r="Q2104" i="34"/>
  <c r="Q2105" i="34"/>
  <c r="Q2106" i="34"/>
  <c r="Q2107" i="34"/>
  <c r="Q2108" i="34"/>
  <c r="Q2109" i="34"/>
  <c r="Q2110" i="34"/>
  <c r="Q2111" i="34"/>
  <c r="Q2112" i="34"/>
  <c r="Q2113" i="34"/>
  <c r="Q2114" i="34"/>
  <c r="Q2115" i="34"/>
  <c r="Q2116" i="34"/>
  <c r="Q2117" i="34"/>
  <c r="Q2118" i="34"/>
  <c r="Q2119" i="34"/>
  <c r="Q2120" i="34"/>
  <c r="Q2121" i="34"/>
  <c r="Q2122" i="34"/>
  <c r="Q2123" i="34"/>
  <c r="Q2124" i="34"/>
  <c r="Q2125" i="34"/>
  <c r="Q2126" i="34"/>
  <c r="Q2127" i="34"/>
  <c r="Q2128" i="34"/>
  <c r="Q2129" i="34"/>
  <c r="Q2130" i="34"/>
  <c r="Q2131" i="34"/>
  <c r="Q2132" i="34"/>
  <c r="Q2133" i="34"/>
  <c r="Q2134" i="34"/>
  <c r="Q2135" i="34"/>
  <c r="Q2136" i="34"/>
  <c r="Q2137" i="34"/>
  <c r="Q2138" i="34"/>
  <c r="Q2139" i="34"/>
  <c r="Q2140" i="34"/>
  <c r="Q2141" i="34"/>
  <c r="Q2142" i="34"/>
  <c r="Q2143" i="34"/>
  <c r="Q2144" i="34"/>
  <c r="Q2145" i="34"/>
  <c r="Q2146" i="34"/>
  <c r="Q2147" i="34"/>
  <c r="Q2148" i="34"/>
  <c r="Q2149" i="34"/>
  <c r="Q2150" i="34"/>
  <c r="Q2151" i="34"/>
  <c r="Q2152" i="34"/>
  <c r="Q2153" i="34"/>
  <c r="Q2154" i="34"/>
  <c r="Q2155" i="34"/>
  <c r="Q2156" i="34"/>
  <c r="Q2157" i="34"/>
  <c r="Q2158" i="34"/>
  <c r="Q2159" i="34"/>
  <c r="Q2160" i="34"/>
  <c r="Q2161" i="34"/>
  <c r="Q2162" i="34"/>
  <c r="Q2163" i="34"/>
  <c r="Q2164" i="34"/>
  <c r="Q2165" i="34"/>
  <c r="Q2166" i="34"/>
  <c r="Q2167" i="34"/>
  <c r="Q2168" i="34"/>
  <c r="Q2169" i="34"/>
  <c r="Q2170" i="34"/>
  <c r="Q2171" i="34"/>
  <c r="Q2172" i="34"/>
  <c r="Q2173" i="34"/>
  <c r="Q2174" i="34"/>
  <c r="Q2175" i="34"/>
  <c r="Q2176" i="34"/>
  <c r="Q2177" i="34"/>
  <c r="Q2178" i="34"/>
  <c r="Q2179" i="34"/>
  <c r="Q2180" i="34"/>
  <c r="Q2181" i="34"/>
  <c r="Q2182" i="34"/>
  <c r="Q2183" i="34"/>
  <c r="Q2184" i="34"/>
  <c r="Q2185" i="34"/>
  <c r="Q2186" i="34"/>
  <c r="Q2187" i="34"/>
  <c r="Q2188" i="34"/>
  <c r="Q2189" i="34"/>
  <c r="Q2190" i="34"/>
  <c r="Q2191" i="34"/>
  <c r="Q2192" i="34"/>
  <c r="Q2193" i="34"/>
  <c r="Q2194" i="34"/>
  <c r="Q2195" i="34"/>
  <c r="Q2196" i="34"/>
  <c r="Q2197" i="34"/>
  <c r="Q2198" i="34"/>
  <c r="Q2199" i="34"/>
  <c r="Q2200" i="34"/>
  <c r="Q2201" i="34"/>
  <c r="Q2202" i="34"/>
  <c r="Q2203" i="34"/>
  <c r="Q2204" i="34"/>
  <c r="Q2205" i="34"/>
  <c r="Q2206" i="34"/>
  <c r="Q2207" i="34"/>
  <c r="Q2208" i="34"/>
  <c r="Q2209" i="34"/>
  <c r="Q2210" i="34"/>
  <c r="Q2211" i="34"/>
  <c r="Q2212" i="34"/>
  <c r="Q2213" i="34"/>
  <c r="Q2214" i="34"/>
  <c r="Q2215" i="34"/>
  <c r="Q2216" i="34"/>
  <c r="Q2217" i="34"/>
  <c r="Q2218" i="34"/>
  <c r="Q2219" i="34"/>
  <c r="Q2220" i="34"/>
  <c r="Q2221" i="34"/>
  <c r="Q2222" i="34"/>
  <c r="Q2223" i="34"/>
  <c r="Q2224" i="34"/>
  <c r="Q2225" i="34"/>
  <c r="Q2226" i="34"/>
  <c r="Q2227" i="34"/>
  <c r="Q2228" i="34"/>
  <c r="Q2229" i="34"/>
  <c r="Q2230" i="34"/>
  <c r="Q2231" i="34"/>
  <c r="Q2232" i="34"/>
  <c r="Q2233" i="34"/>
  <c r="Q2234" i="34"/>
  <c r="Q2235" i="34"/>
  <c r="Q2236" i="34"/>
  <c r="Q2237" i="34"/>
  <c r="Q2238" i="34"/>
  <c r="Q2239" i="34"/>
  <c r="Q2240" i="34"/>
  <c r="Q2241" i="34"/>
  <c r="Q2242" i="34"/>
  <c r="Q2243" i="34"/>
  <c r="Q2244" i="34"/>
  <c r="Q2245" i="34"/>
  <c r="Q2246" i="34"/>
  <c r="Q2247" i="34"/>
  <c r="Q2248" i="34"/>
  <c r="Q2249" i="34"/>
  <c r="Q2250" i="34"/>
  <c r="Q2251" i="34"/>
  <c r="Q2252" i="34"/>
  <c r="Q2253" i="34"/>
  <c r="Q2254" i="34"/>
  <c r="Q2255" i="34"/>
  <c r="Q2256" i="34"/>
  <c r="Q2257" i="34"/>
  <c r="Q2258" i="34"/>
  <c r="Q2259" i="34"/>
  <c r="Q2260" i="34"/>
  <c r="Q2261" i="34"/>
  <c r="Q2262" i="34"/>
  <c r="Q2263" i="34"/>
  <c r="Q2264" i="34"/>
  <c r="Q2265" i="34"/>
  <c r="Q2266" i="34"/>
  <c r="Q2267" i="34"/>
  <c r="Q2268" i="34"/>
  <c r="Q2269" i="34"/>
  <c r="Q2270" i="34"/>
  <c r="Q2271" i="34"/>
  <c r="Q2272" i="34"/>
  <c r="Q2273" i="34"/>
  <c r="Q2274" i="34"/>
  <c r="Q2275" i="34"/>
  <c r="Q2276" i="34"/>
  <c r="Q2277" i="34"/>
  <c r="Q2278" i="34"/>
  <c r="Q2279" i="34"/>
  <c r="Q2280" i="34"/>
  <c r="Q2281" i="34"/>
  <c r="Q2282" i="34"/>
  <c r="Q2283" i="34"/>
  <c r="Q2284" i="34"/>
  <c r="Q2285" i="34"/>
  <c r="Q2286" i="34"/>
  <c r="Q2287" i="34"/>
  <c r="Q2288" i="34"/>
  <c r="Q2289" i="34"/>
  <c r="Q2290" i="34"/>
  <c r="Q2291" i="34"/>
  <c r="Q2292" i="34"/>
  <c r="Q2293" i="34"/>
  <c r="Q2294" i="34"/>
  <c r="Q2295" i="34"/>
  <c r="Q2296" i="34"/>
  <c r="Q2297" i="34"/>
  <c r="Q2298" i="34"/>
  <c r="Q2299" i="34"/>
  <c r="Q2300" i="34"/>
  <c r="Q2301" i="34"/>
  <c r="Q2302" i="34"/>
  <c r="Q2303" i="34"/>
  <c r="Q2304" i="34"/>
  <c r="Q2305" i="34"/>
  <c r="Q2306" i="34"/>
  <c r="Q2307" i="34"/>
  <c r="Q2308" i="34"/>
  <c r="Q2309" i="34"/>
  <c r="Q2310" i="34"/>
  <c r="Q2311" i="34"/>
  <c r="Q2312" i="34"/>
  <c r="Q2313" i="34"/>
  <c r="Q2314" i="34"/>
  <c r="Q2315" i="34"/>
  <c r="Q2316" i="34"/>
  <c r="Q2317" i="34"/>
  <c r="Q2318" i="34"/>
  <c r="Q2319" i="34"/>
  <c r="Q2320" i="34"/>
  <c r="Q2321" i="34"/>
  <c r="Q2322" i="34"/>
  <c r="Q2323" i="34"/>
  <c r="Q2324" i="34"/>
  <c r="Q2325" i="34"/>
  <c r="Q2326" i="34"/>
  <c r="Q2327" i="34"/>
  <c r="Q2328" i="34"/>
  <c r="Q2329" i="34"/>
  <c r="Q2330" i="34"/>
  <c r="Q2331" i="34"/>
  <c r="Q2332" i="34"/>
  <c r="Q2333" i="34"/>
  <c r="Q2334" i="34"/>
  <c r="Q2335" i="34"/>
  <c r="Q2336" i="34"/>
  <c r="Q2337" i="34"/>
  <c r="Q2338" i="34"/>
  <c r="Q2339" i="34"/>
  <c r="Q2340" i="34"/>
  <c r="Q2341" i="34"/>
  <c r="Q2342" i="34"/>
  <c r="Q2343" i="34"/>
  <c r="Q2344" i="34"/>
  <c r="Q2345" i="34"/>
  <c r="Q2346" i="34"/>
  <c r="Q2347" i="34"/>
  <c r="Q2348" i="34"/>
  <c r="Q2349" i="34"/>
  <c r="Q2350" i="34"/>
  <c r="Q2351" i="34"/>
  <c r="Q2352" i="34"/>
  <c r="Q2353" i="34"/>
  <c r="Q2354" i="34"/>
  <c r="Q2355" i="34"/>
  <c r="Q2356" i="34"/>
  <c r="Q2357" i="34"/>
  <c r="Q2358" i="34"/>
  <c r="Q2359" i="34"/>
  <c r="Q2360" i="34"/>
  <c r="Q2361" i="34"/>
  <c r="Q2362" i="34"/>
  <c r="Q2363" i="34"/>
  <c r="Q2364" i="34"/>
  <c r="Q2365" i="34"/>
  <c r="Q2366" i="34"/>
  <c r="Q2367" i="34"/>
  <c r="Q2368" i="34"/>
  <c r="Q2369" i="34"/>
  <c r="Q2370" i="34"/>
  <c r="Q2371" i="34"/>
  <c r="Q2372" i="34"/>
  <c r="Q2373" i="34"/>
  <c r="Q2374" i="34"/>
  <c r="Q2375" i="34"/>
  <c r="Q2376" i="34"/>
  <c r="Q2377" i="34"/>
  <c r="Q2378" i="34"/>
  <c r="Q2379" i="34"/>
  <c r="Q2380" i="34"/>
  <c r="Q2381" i="34"/>
  <c r="Q2382" i="34"/>
  <c r="Q2383" i="34"/>
  <c r="Q2384" i="34"/>
  <c r="Q2385" i="34"/>
  <c r="Q2386" i="34"/>
  <c r="Q2387" i="34"/>
  <c r="Q2388" i="34"/>
  <c r="Q2389" i="34"/>
  <c r="Q2390" i="34"/>
  <c r="Q2391" i="34"/>
  <c r="Q2392" i="34"/>
  <c r="Q2393" i="34"/>
  <c r="Q2394" i="34"/>
  <c r="Q2395" i="34"/>
  <c r="Q2396" i="34"/>
  <c r="Q2397" i="34"/>
  <c r="Q2398" i="34"/>
  <c r="Q2399" i="34"/>
  <c r="Q2400" i="34"/>
  <c r="Q2401" i="34"/>
  <c r="Q2402" i="34"/>
  <c r="Q2403" i="34"/>
  <c r="Q2404" i="34"/>
  <c r="Q2405" i="34"/>
  <c r="Q2406" i="34"/>
  <c r="Q2407" i="34"/>
  <c r="Q2408" i="34"/>
  <c r="Q2409" i="34"/>
  <c r="Q2410" i="34"/>
  <c r="Q2411" i="34"/>
  <c r="Q2412" i="34"/>
  <c r="Q2413" i="34"/>
  <c r="Q2414" i="34"/>
  <c r="Q2415" i="34"/>
  <c r="Q2416" i="34"/>
  <c r="Q2417" i="34"/>
  <c r="Q2418" i="34"/>
  <c r="Q2419" i="34"/>
  <c r="Q2420" i="34"/>
  <c r="Q2421" i="34"/>
  <c r="Q2422" i="34"/>
  <c r="Q2423" i="34"/>
  <c r="Q2424" i="34"/>
  <c r="Q2425" i="34"/>
  <c r="Q2426" i="34"/>
  <c r="Q2427" i="34"/>
  <c r="Q2428" i="34"/>
  <c r="Q2429" i="34"/>
  <c r="Q2430" i="34"/>
  <c r="Q2431" i="34"/>
  <c r="Q2432" i="34"/>
  <c r="Q2433" i="34"/>
  <c r="Q2434" i="34"/>
  <c r="Q2435" i="34"/>
  <c r="Q2436" i="34"/>
  <c r="Q2437" i="34"/>
  <c r="Q2438" i="34"/>
  <c r="Q2439" i="34"/>
  <c r="Q2440" i="34"/>
  <c r="Q2441" i="34"/>
  <c r="Q2442" i="34"/>
  <c r="Q2443" i="34"/>
  <c r="Q2444" i="34"/>
  <c r="Q2445" i="34"/>
  <c r="Q2446" i="34"/>
  <c r="Q2447" i="34"/>
  <c r="Q2448" i="34"/>
  <c r="Q2449" i="34"/>
  <c r="Q2450" i="34"/>
  <c r="Q2451" i="34"/>
  <c r="Q2452" i="34"/>
  <c r="Q2453" i="34"/>
  <c r="Q2454" i="34"/>
  <c r="Q2455" i="34"/>
  <c r="Q2456" i="34"/>
  <c r="Q2457" i="34"/>
  <c r="Q2458" i="34"/>
  <c r="Q2459" i="34"/>
  <c r="Q2460" i="34"/>
  <c r="Q2461" i="34"/>
  <c r="Q2462" i="34"/>
  <c r="Q2463" i="34"/>
  <c r="Q2464" i="34"/>
  <c r="Q2465" i="34"/>
  <c r="Q2466" i="34"/>
  <c r="Q2467" i="34"/>
  <c r="Q2468" i="34"/>
  <c r="Q2469" i="34"/>
  <c r="Q2470" i="34"/>
  <c r="Q2471" i="34"/>
  <c r="Q2472" i="34"/>
  <c r="Q2473" i="34"/>
  <c r="Q2474" i="34"/>
  <c r="Q2475" i="34"/>
  <c r="Q2476" i="34"/>
  <c r="Q2477" i="34"/>
  <c r="Q2478" i="34"/>
  <c r="Q2479" i="34"/>
  <c r="Q2480" i="34"/>
  <c r="Q2481" i="34"/>
  <c r="Q2482" i="34"/>
  <c r="Q2483" i="34"/>
  <c r="Q2484" i="34"/>
  <c r="Q2485" i="34"/>
  <c r="Q2486" i="34"/>
  <c r="Q2487" i="34"/>
  <c r="Q2488" i="34"/>
  <c r="Q2489" i="34"/>
  <c r="Q2490" i="34"/>
  <c r="Q2491" i="34"/>
  <c r="Q2492" i="34"/>
  <c r="Q2493" i="34"/>
  <c r="Q2494" i="34"/>
  <c r="Q2495" i="34"/>
  <c r="Q2496" i="34"/>
  <c r="Q2497" i="34"/>
  <c r="Q2498" i="34"/>
  <c r="Q2499" i="34"/>
  <c r="Q2500" i="34"/>
  <c r="Q2501" i="34"/>
  <c r="Q2502" i="34"/>
  <c r="Q2503" i="34"/>
  <c r="Q2504" i="34"/>
  <c r="Q2505" i="34"/>
  <c r="Q2506" i="34"/>
  <c r="Q2507" i="34"/>
  <c r="Q2508" i="34"/>
  <c r="Q2509" i="34"/>
  <c r="Q2510" i="34"/>
  <c r="Q2511" i="34"/>
  <c r="Q2512" i="34"/>
  <c r="Q2513" i="34"/>
  <c r="Q2514" i="34"/>
  <c r="Q2515" i="34"/>
  <c r="Q2516" i="34"/>
  <c r="Q2517" i="34"/>
  <c r="Q2518" i="34"/>
  <c r="Q2519" i="34"/>
  <c r="Q2520" i="34"/>
  <c r="Q2521" i="34"/>
  <c r="Q2522" i="34"/>
  <c r="Q2523" i="34"/>
  <c r="Q2524" i="34"/>
  <c r="Q2525" i="34"/>
  <c r="Q2526" i="34"/>
  <c r="Q2527" i="34"/>
  <c r="Q2528" i="34"/>
  <c r="Q2529" i="34"/>
  <c r="Q2530" i="34"/>
  <c r="Q2531" i="34"/>
  <c r="Q2532" i="34"/>
  <c r="Q2533" i="34"/>
  <c r="Q2534" i="34"/>
  <c r="Q2535" i="34"/>
  <c r="Q2536" i="34"/>
  <c r="Q2537" i="34"/>
  <c r="Q2538" i="34"/>
  <c r="Q2539" i="34"/>
  <c r="Q2540" i="34"/>
  <c r="Q2541" i="34"/>
  <c r="Q2542" i="34"/>
  <c r="Q2543" i="34"/>
  <c r="Q2544" i="34"/>
  <c r="Q2545" i="34"/>
  <c r="Q2546" i="34"/>
  <c r="Q2547" i="34"/>
  <c r="Q2548" i="34"/>
  <c r="Q2549" i="34"/>
  <c r="Q2550" i="34"/>
  <c r="Q2551" i="34"/>
  <c r="Q2552" i="34"/>
  <c r="Q2553" i="34"/>
  <c r="Q2554" i="34"/>
  <c r="Q2555" i="34"/>
  <c r="Q2556" i="34"/>
  <c r="Q2557" i="34"/>
  <c r="Q2558" i="34"/>
  <c r="Q2559" i="34"/>
  <c r="Q2560" i="34"/>
  <c r="Q2561" i="34"/>
  <c r="Q2562" i="34"/>
  <c r="Q2563" i="34"/>
  <c r="Q2564" i="34"/>
  <c r="Q2565" i="34"/>
  <c r="Q2566" i="34"/>
  <c r="Q2567" i="34"/>
  <c r="Q2568" i="34"/>
  <c r="Q2569" i="34"/>
  <c r="Q2570" i="34"/>
  <c r="Q2571" i="34"/>
  <c r="Q2572" i="34"/>
  <c r="Q2573" i="34"/>
  <c r="Q2574" i="34"/>
  <c r="Q2575" i="34"/>
  <c r="Q2576" i="34"/>
  <c r="Q2577" i="34"/>
  <c r="Q2578" i="34"/>
  <c r="Q2579" i="34"/>
  <c r="Q2580" i="34"/>
  <c r="Q2581" i="34"/>
  <c r="Q2582" i="34"/>
  <c r="Q2583" i="34"/>
  <c r="Q2584" i="34"/>
  <c r="Q2585" i="34"/>
  <c r="Q2586" i="34"/>
  <c r="Q2587" i="34"/>
  <c r="Q2588" i="34"/>
  <c r="Q2589" i="34"/>
  <c r="Q2590" i="34"/>
  <c r="Q2591" i="34"/>
  <c r="Q2592" i="34"/>
  <c r="Q2593" i="34"/>
  <c r="Q2594" i="34"/>
  <c r="Q2595" i="34"/>
  <c r="Q2596" i="34"/>
  <c r="Q2597" i="34"/>
  <c r="Q2598" i="34"/>
  <c r="Q2599" i="34"/>
  <c r="Q2600" i="34"/>
  <c r="Q2601" i="34"/>
  <c r="Q2602" i="34"/>
  <c r="Q2603" i="34"/>
  <c r="Q2604" i="34"/>
  <c r="Q2605" i="34"/>
  <c r="Q2606" i="34"/>
  <c r="Q2607" i="34"/>
  <c r="Q2608" i="34"/>
  <c r="Q2609" i="34"/>
  <c r="Q2610" i="34"/>
  <c r="Q2611" i="34"/>
  <c r="Q2612" i="34"/>
  <c r="Q2613" i="34"/>
  <c r="Q2614" i="34"/>
  <c r="Q2615" i="34"/>
  <c r="Q2616" i="34"/>
  <c r="Q2617" i="34"/>
  <c r="Q2618" i="34"/>
  <c r="Q2619" i="34"/>
  <c r="Q2620" i="34"/>
  <c r="Q2621" i="34"/>
  <c r="Q2622" i="34"/>
  <c r="Q2623" i="34"/>
  <c r="Q2624" i="34"/>
  <c r="Q2625" i="34"/>
  <c r="Q2626" i="34"/>
  <c r="Q2627" i="34"/>
  <c r="Q2628" i="34"/>
  <c r="Q2629" i="34"/>
  <c r="Q2630" i="34"/>
  <c r="Q2631" i="34"/>
  <c r="Q2632" i="34"/>
  <c r="Q2633" i="34"/>
  <c r="Q2634" i="34"/>
  <c r="Q2635" i="34"/>
  <c r="Q2636" i="34"/>
  <c r="Q2637" i="34"/>
  <c r="Q2638" i="34"/>
  <c r="Q2639" i="34"/>
  <c r="Q2640" i="34"/>
  <c r="Q2641" i="34"/>
  <c r="Q2642" i="34"/>
  <c r="Q2643" i="34"/>
  <c r="Q2644" i="34"/>
  <c r="Q2645" i="34"/>
  <c r="Q2646" i="34"/>
  <c r="Q2647" i="34"/>
  <c r="Q2648" i="34"/>
  <c r="Q2649" i="34"/>
  <c r="Q2650" i="34"/>
  <c r="Q2651" i="34"/>
  <c r="Q2652" i="34"/>
  <c r="Q2653" i="34"/>
  <c r="Q2654" i="34"/>
  <c r="Q2655" i="34"/>
  <c r="Q2656" i="34"/>
  <c r="Q2657" i="34"/>
  <c r="Q2658" i="34"/>
  <c r="Q2659" i="34"/>
  <c r="Q2660" i="34"/>
  <c r="Q2661" i="34"/>
  <c r="Q2662" i="34"/>
  <c r="Q2663" i="34"/>
  <c r="Q2664" i="34"/>
  <c r="Q2665" i="34"/>
  <c r="Q2666" i="34"/>
  <c r="Q2667" i="34"/>
  <c r="Q2668" i="34"/>
  <c r="Q2669" i="34"/>
  <c r="Q2670" i="34"/>
  <c r="Q2671" i="34"/>
  <c r="Q2672" i="34"/>
  <c r="Q2673" i="34"/>
  <c r="Q2674" i="34"/>
  <c r="Q2675" i="34"/>
  <c r="Q2676" i="34"/>
  <c r="Q2677" i="34"/>
  <c r="Q2678" i="34"/>
  <c r="Q2679" i="34"/>
  <c r="Q2680" i="34"/>
  <c r="Q2681" i="34"/>
  <c r="Q2682" i="34"/>
  <c r="Q2683" i="34"/>
  <c r="Q2684" i="34"/>
  <c r="Q2685" i="34"/>
  <c r="Q2686" i="34"/>
  <c r="Q2687" i="34"/>
  <c r="Q2688" i="34"/>
  <c r="Q2689" i="34"/>
  <c r="Q2690" i="34"/>
  <c r="Q2691" i="34"/>
  <c r="Q2692" i="34"/>
  <c r="Q2693" i="34"/>
  <c r="Q2694" i="34"/>
  <c r="Q2695" i="34"/>
  <c r="Q2696" i="34"/>
  <c r="Q2697" i="34"/>
  <c r="Q2698" i="34"/>
  <c r="Q2699" i="34"/>
  <c r="Q2700" i="34"/>
  <c r="Q2701" i="34"/>
  <c r="Q2702" i="34"/>
  <c r="Q2703" i="34"/>
  <c r="Q2704" i="34"/>
  <c r="Q2705" i="34"/>
  <c r="Q2706" i="34"/>
  <c r="Q2707" i="34"/>
  <c r="Q2708" i="34"/>
  <c r="Q2709" i="34"/>
  <c r="Q2710" i="34"/>
  <c r="Q2711" i="34"/>
  <c r="Q2712" i="34"/>
  <c r="Q2713" i="34"/>
  <c r="Q2714" i="34"/>
  <c r="Q2715" i="34"/>
  <c r="Q2716" i="34"/>
  <c r="Q2717" i="34"/>
  <c r="Q2718" i="34"/>
  <c r="Q2719" i="34"/>
  <c r="Q2720" i="34"/>
  <c r="Q2721" i="34"/>
  <c r="Q2722" i="34"/>
  <c r="Q2723" i="34"/>
  <c r="Q2724" i="34"/>
  <c r="Q2725" i="34"/>
  <c r="Q2726" i="34"/>
  <c r="Q2727" i="34"/>
  <c r="Q2728" i="34"/>
  <c r="Q2729" i="34"/>
  <c r="Q2730" i="34"/>
  <c r="Q2731" i="34"/>
  <c r="Q2732" i="34"/>
  <c r="Q2733" i="34"/>
  <c r="Q2734" i="34"/>
  <c r="Q2735" i="34"/>
  <c r="Q2736" i="34"/>
  <c r="Q2737" i="34"/>
  <c r="Q2738" i="34"/>
  <c r="Q2739" i="34"/>
  <c r="Q2740" i="34"/>
  <c r="Q2741" i="34"/>
  <c r="Q2742" i="34"/>
  <c r="Q2743" i="34"/>
  <c r="Q2744" i="34"/>
  <c r="Q2745" i="34"/>
  <c r="Q2746" i="34"/>
  <c r="Q2747" i="34"/>
  <c r="Q2748" i="34"/>
  <c r="Q2749" i="34"/>
  <c r="Q2750" i="34"/>
  <c r="Q2751" i="34"/>
  <c r="Q2752" i="34"/>
  <c r="Q2753" i="34"/>
  <c r="Q2754" i="34"/>
  <c r="Q2755" i="34"/>
  <c r="Q2756" i="34"/>
  <c r="Q2757" i="34"/>
  <c r="Q2758" i="34"/>
  <c r="Q2759" i="34"/>
  <c r="Q2760" i="34"/>
  <c r="Q2761" i="34"/>
  <c r="Q2762" i="34"/>
  <c r="Q2763" i="34"/>
  <c r="Q2764" i="34"/>
  <c r="Q2765" i="34"/>
  <c r="Q2766" i="34"/>
  <c r="Q2767" i="34"/>
  <c r="Q2768" i="34"/>
  <c r="Q2769" i="34"/>
  <c r="Q2770" i="34"/>
  <c r="Q2771" i="34"/>
  <c r="Q2772" i="34"/>
  <c r="Q2773" i="34"/>
  <c r="Q2774" i="34"/>
  <c r="Q2775" i="34"/>
  <c r="Q2776" i="34"/>
  <c r="Q2777" i="34"/>
  <c r="Q2778" i="34"/>
  <c r="Q2779" i="34"/>
  <c r="Q2780" i="34"/>
  <c r="Q2781" i="34"/>
  <c r="Q2782" i="34"/>
  <c r="Q2783" i="34"/>
  <c r="Q2784" i="34"/>
  <c r="Q2785" i="34"/>
  <c r="Q2786" i="34"/>
  <c r="Q2787" i="34"/>
  <c r="Q2788" i="34"/>
  <c r="Q2789" i="34"/>
  <c r="Q2790" i="34"/>
  <c r="Q2791" i="34"/>
  <c r="Q2792" i="34"/>
  <c r="Q2793" i="34"/>
  <c r="Q2794" i="34"/>
  <c r="Q2795" i="34"/>
  <c r="Q2796" i="34"/>
  <c r="Q2797" i="34"/>
  <c r="Q2798" i="34"/>
  <c r="Q2799" i="34"/>
  <c r="Q2800" i="34"/>
  <c r="Q2801" i="34"/>
  <c r="Q2802" i="34"/>
  <c r="Q2803" i="34"/>
  <c r="Q2804" i="34"/>
  <c r="Q2805" i="34"/>
  <c r="Q2806" i="34"/>
  <c r="Q2807" i="34"/>
  <c r="Q2808" i="34"/>
  <c r="Q2809" i="34"/>
  <c r="Q2810" i="34"/>
  <c r="Q2811" i="34"/>
  <c r="Q2812" i="34"/>
  <c r="Q2813" i="34"/>
  <c r="Q2814" i="34"/>
  <c r="Q2815" i="34"/>
  <c r="Q2816" i="34"/>
  <c r="Q2817" i="34"/>
  <c r="Q2818" i="34"/>
  <c r="Q2819" i="34"/>
  <c r="Q2820" i="34"/>
  <c r="Q2821" i="34"/>
  <c r="Q2822" i="34"/>
  <c r="Q2823" i="34"/>
  <c r="Q2824" i="34"/>
  <c r="Q2825" i="34"/>
  <c r="Q2826" i="34"/>
  <c r="Q2827" i="34"/>
  <c r="Q2828" i="34"/>
  <c r="Q2829" i="34"/>
  <c r="Q2830" i="34"/>
  <c r="Q2831" i="34"/>
  <c r="Q2832" i="34"/>
  <c r="Q2833" i="34"/>
  <c r="Q2834" i="34"/>
  <c r="Q2835" i="34"/>
  <c r="Q2836" i="34"/>
  <c r="Q2837" i="34"/>
  <c r="Q2838" i="34"/>
  <c r="Q2839" i="34"/>
  <c r="Q2840" i="34"/>
  <c r="Q2841" i="34"/>
  <c r="Q2842" i="34"/>
  <c r="Q2843" i="34"/>
  <c r="Q2844" i="34"/>
  <c r="Q2845" i="34"/>
  <c r="Q2846" i="34"/>
  <c r="Q2847" i="34"/>
  <c r="Q2848" i="34"/>
  <c r="Q2849" i="34"/>
  <c r="Q2850" i="34"/>
  <c r="Q2851" i="34"/>
  <c r="Q2852" i="34"/>
  <c r="Q2853" i="34"/>
  <c r="Q2854" i="34"/>
  <c r="Q2855" i="34"/>
  <c r="Q2856" i="34"/>
  <c r="Q2857" i="34"/>
  <c r="Q2858" i="34"/>
  <c r="Q2859" i="34"/>
  <c r="Q2860" i="34"/>
  <c r="Q2861" i="34"/>
  <c r="Q2862" i="34"/>
  <c r="Q2863" i="34"/>
  <c r="Q2864" i="34"/>
  <c r="Q2865" i="34"/>
  <c r="Q2866" i="34"/>
  <c r="Q2867" i="34"/>
  <c r="Q2868" i="34"/>
  <c r="Q2869" i="34"/>
  <c r="Q2870" i="34"/>
  <c r="Q2871" i="34"/>
  <c r="Q2872" i="34"/>
  <c r="Q2873" i="34"/>
  <c r="Q2874" i="34"/>
  <c r="Q2875" i="34"/>
  <c r="Q2876" i="34"/>
  <c r="Q2877" i="34"/>
  <c r="Q2878" i="34"/>
  <c r="Q2879" i="34"/>
  <c r="Q2880" i="34"/>
  <c r="Q2881" i="34"/>
  <c r="Q2882" i="34"/>
  <c r="Q2883" i="34"/>
  <c r="Q2884" i="34"/>
  <c r="Q2885" i="34"/>
  <c r="Q2886" i="34"/>
  <c r="Q2887" i="34"/>
  <c r="Q2888" i="34"/>
  <c r="Q2889" i="34"/>
  <c r="Q2890" i="34"/>
  <c r="Q2891" i="34"/>
  <c r="Q2892" i="34"/>
  <c r="Q2893" i="34"/>
  <c r="Q2894" i="34"/>
  <c r="Q2895" i="34"/>
  <c r="Q2896" i="34"/>
  <c r="Q2897" i="34"/>
  <c r="Q2898" i="34"/>
  <c r="Q2899" i="34"/>
  <c r="Q2900" i="34"/>
  <c r="Q2901" i="34"/>
  <c r="Q2902" i="34"/>
  <c r="Q2903" i="34"/>
  <c r="Q2904" i="34"/>
  <c r="Q2905" i="34"/>
  <c r="Q2906" i="34"/>
  <c r="Q2907" i="34"/>
  <c r="Q2908" i="34"/>
  <c r="Q2909" i="34"/>
  <c r="Q2910" i="34"/>
  <c r="Q2911" i="34"/>
  <c r="Q2912" i="34"/>
  <c r="Q2913" i="34"/>
  <c r="Q2914" i="34"/>
  <c r="Q2915" i="34"/>
  <c r="Q2916" i="34"/>
  <c r="Q2917" i="34"/>
  <c r="Q2918" i="34"/>
  <c r="Q2919" i="34"/>
  <c r="Q2920" i="34"/>
  <c r="Q2921" i="34"/>
  <c r="Q2922" i="34"/>
  <c r="Q2923" i="34"/>
  <c r="Q2924" i="34"/>
  <c r="Q2925" i="34"/>
  <c r="Q2926" i="34"/>
  <c r="Q2927" i="34"/>
  <c r="Q2928" i="34"/>
  <c r="Q2929" i="34"/>
  <c r="Q2930" i="34"/>
  <c r="Q2931" i="34"/>
  <c r="Q2932" i="34"/>
  <c r="Q2933" i="34"/>
  <c r="Q2934" i="34"/>
  <c r="Q2935" i="34"/>
  <c r="Q2936" i="34"/>
  <c r="Q2937" i="34"/>
  <c r="Q2938" i="34"/>
  <c r="Q2939" i="34"/>
  <c r="Q2940" i="34"/>
  <c r="Q2941" i="34"/>
  <c r="Q2942" i="34"/>
  <c r="Q2943" i="34"/>
  <c r="Q2944" i="34"/>
  <c r="Q2945" i="34"/>
  <c r="Q2946" i="34"/>
  <c r="Q2947" i="34"/>
  <c r="Q2948" i="34"/>
  <c r="Q2949" i="34"/>
  <c r="Q2950" i="34"/>
  <c r="Q2951" i="34"/>
  <c r="Q2952" i="34"/>
  <c r="Q2953" i="34"/>
  <c r="Q2954" i="34"/>
  <c r="Q2955" i="34"/>
  <c r="Q2956" i="34"/>
  <c r="Q2957" i="34"/>
  <c r="Q2958" i="34"/>
  <c r="Q2959" i="34"/>
  <c r="Q2960" i="34"/>
  <c r="Q2961" i="34"/>
  <c r="Q2962" i="34"/>
  <c r="Q2963" i="34"/>
  <c r="Q2964" i="34"/>
  <c r="Q2965" i="34"/>
  <c r="Q2966" i="34"/>
  <c r="Q2967" i="34"/>
  <c r="Q2968" i="34"/>
  <c r="Q2969" i="34"/>
  <c r="Q2970" i="34"/>
  <c r="Q2971" i="34"/>
  <c r="Q2972" i="34"/>
  <c r="Q2973" i="34"/>
  <c r="Q2974" i="34"/>
  <c r="Q2975" i="34"/>
  <c r="Q2976" i="34"/>
  <c r="Q2977" i="34"/>
  <c r="Q2978" i="34"/>
  <c r="Q2979" i="34"/>
  <c r="Q2980" i="34"/>
  <c r="Q2981" i="34"/>
  <c r="Q2982" i="34"/>
  <c r="Q2983" i="34"/>
  <c r="Q2984" i="34"/>
  <c r="Q2985" i="34"/>
  <c r="Q2986" i="34"/>
  <c r="Q2987" i="34"/>
  <c r="Q2988" i="34"/>
  <c r="Q2989" i="34"/>
  <c r="Q2990" i="34"/>
  <c r="Q2991" i="34"/>
  <c r="Q2992" i="34"/>
  <c r="Q2993" i="34"/>
  <c r="Q2994" i="34"/>
  <c r="Q2995" i="34"/>
  <c r="Q2996" i="34"/>
  <c r="Q2997" i="34"/>
  <c r="Q2998" i="34"/>
  <c r="Q2999" i="34"/>
  <c r="Q3000" i="34"/>
  <c r="Q3001" i="34"/>
  <c r="Q3002" i="34"/>
  <c r="Q3003" i="34"/>
  <c r="Q3004" i="34"/>
  <c r="Q3005" i="34"/>
  <c r="Q3006" i="34"/>
  <c r="Q3007" i="34"/>
  <c r="Q3008" i="34"/>
  <c r="Q3009" i="34"/>
  <c r="Q3010" i="34"/>
  <c r="Q3011" i="34"/>
  <c r="Q3012" i="34"/>
  <c r="Q3013" i="34"/>
  <c r="Q3014" i="34"/>
  <c r="Q3015" i="34"/>
  <c r="Q3016" i="34"/>
  <c r="Q3017" i="34"/>
  <c r="Q3018" i="34"/>
  <c r="Q3019" i="34"/>
  <c r="Q3020" i="34"/>
  <c r="Q3021" i="34"/>
  <c r="Q3022" i="34"/>
  <c r="Q3023" i="34"/>
  <c r="Q3024" i="34"/>
  <c r="Q3025" i="34"/>
  <c r="Q3026" i="34"/>
  <c r="Q3027" i="34"/>
  <c r="Q3028" i="34"/>
  <c r="Q3029" i="34"/>
  <c r="Q3030" i="34"/>
  <c r="Q3031" i="34"/>
  <c r="Q3032" i="34"/>
  <c r="Q3033" i="34"/>
  <c r="Q3034" i="34"/>
  <c r="Q3035" i="34"/>
  <c r="Q3036" i="34"/>
  <c r="Q3037" i="34"/>
  <c r="Q3038" i="34"/>
  <c r="Q3039" i="34"/>
  <c r="Q3040" i="34"/>
  <c r="Q3041" i="34"/>
  <c r="Q3042" i="34"/>
  <c r="Q3043" i="34"/>
  <c r="Q3044" i="34"/>
  <c r="Q3045" i="34"/>
  <c r="Q3046" i="34"/>
  <c r="Q3047" i="34"/>
  <c r="Q3048" i="34"/>
  <c r="Q3049" i="34"/>
  <c r="Q3050" i="34"/>
  <c r="Q3051" i="34"/>
  <c r="Q3052" i="34"/>
  <c r="Q3053" i="34"/>
  <c r="Q3054" i="34"/>
  <c r="Q3055" i="34"/>
  <c r="Q3056" i="34"/>
  <c r="Q3057" i="34"/>
  <c r="Q3058" i="34"/>
  <c r="Q3059" i="34"/>
  <c r="Q3060" i="34"/>
  <c r="Q3061" i="34"/>
  <c r="Q3062" i="34"/>
  <c r="Q3063" i="34"/>
  <c r="Q3064" i="34"/>
  <c r="Q3065" i="34"/>
  <c r="Q3066" i="34"/>
  <c r="Q3067" i="34"/>
  <c r="Q3068" i="34"/>
  <c r="Q3069" i="34"/>
  <c r="Q3070" i="34"/>
  <c r="Q3071" i="34"/>
  <c r="Q3072" i="34"/>
  <c r="Q3073" i="34"/>
  <c r="Q3074" i="34"/>
  <c r="Q3075" i="34"/>
  <c r="Q3076" i="34"/>
  <c r="Q3077" i="34"/>
  <c r="Q3078" i="34"/>
  <c r="Q3079" i="34"/>
  <c r="Q3080" i="34"/>
  <c r="Q3081" i="34"/>
  <c r="Q3082" i="34"/>
  <c r="Q3083" i="34"/>
  <c r="Q3084" i="34"/>
  <c r="Q3085" i="34"/>
  <c r="Q3086" i="34"/>
  <c r="Q3087" i="34"/>
  <c r="Q3088" i="34"/>
  <c r="Q3089" i="34"/>
  <c r="Q3090" i="34"/>
  <c r="Q3091" i="34"/>
  <c r="Q3092" i="34"/>
  <c r="Q3093" i="34"/>
  <c r="Q3094" i="34"/>
  <c r="Q3095" i="34"/>
  <c r="Q3096" i="34"/>
  <c r="Q3097" i="34"/>
  <c r="Q3098" i="34"/>
  <c r="Q3099" i="34"/>
  <c r="Q3100" i="34"/>
  <c r="Q3101" i="34"/>
  <c r="Q3102" i="34"/>
  <c r="Q3103" i="34"/>
  <c r="Q3104" i="34"/>
  <c r="Q3105" i="34"/>
  <c r="Q3106" i="34"/>
  <c r="Q3107" i="34"/>
  <c r="Q3108" i="34"/>
  <c r="Q3109" i="34"/>
  <c r="Q3110" i="34"/>
  <c r="Q3111" i="34"/>
  <c r="Q3112" i="34"/>
  <c r="Q3113" i="34"/>
  <c r="Q3114" i="34"/>
  <c r="Q3115" i="34"/>
  <c r="Q3116" i="34"/>
  <c r="Q3117" i="34"/>
  <c r="Q3118" i="34"/>
  <c r="Q3119" i="34"/>
  <c r="Q3120" i="34"/>
  <c r="Q3121" i="34"/>
  <c r="Q3122" i="34"/>
  <c r="Q3123" i="34"/>
  <c r="Q3124" i="34"/>
  <c r="Q3125" i="34"/>
  <c r="Q3126" i="34"/>
  <c r="Q3127" i="34"/>
  <c r="Q3128" i="34"/>
  <c r="Q3129" i="34"/>
  <c r="Q3130" i="34"/>
  <c r="Q3131" i="34"/>
  <c r="Q3132" i="34"/>
  <c r="Q3133" i="34"/>
  <c r="Q3134" i="34"/>
  <c r="Q3135" i="34"/>
  <c r="Q3136" i="34"/>
  <c r="Q3137" i="34"/>
  <c r="Q3138" i="34"/>
  <c r="Q3139" i="34"/>
  <c r="Q3140" i="34"/>
  <c r="Q3141" i="34"/>
  <c r="Q3142" i="34"/>
  <c r="Q3143" i="34"/>
  <c r="Q3144" i="34"/>
  <c r="Q3145" i="34"/>
  <c r="Q3146" i="34"/>
  <c r="Q3147" i="34"/>
  <c r="Q3148" i="34"/>
  <c r="Q3149" i="34"/>
  <c r="Q3150" i="34"/>
  <c r="Q3151" i="34"/>
  <c r="Q3152" i="34"/>
  <c r="Q3153" i="34"/>
  <c r="Q3154" i="34"/>
  <c r="Q3155" i="34"/>
  <c r="Q3156" i="34"/>
  <c r="Q3157" i="34"/>
  <c r="Q3158" i="34"/>
  <c r="Q3159" i="34"/>
  <c r="Q3160" i="34"/>
  <c r="Q3161" i="34"/>
  <c r="Q3162" i="34"/>
  <c r="Q3163" i="34"/>
  <c r="Q3164" i="34"/>
  <c r="Q3165" i="34"/>
  <c r="Q3166" i="34"/>
  <c r="Q3167" i="34"/>
  <c r="Q3168" i="34"/>
  <c r="Q3169" i="34"/>
  <c r="Q3170" i="34"/>
  <c r="Q3171" i="34"/>
  <c r="Q3172" i="34"/>
  <c r="Q3173" i="34"/>
  <c r="Q3174" i="34"/>
  <c r="Q3175" i="34"/>
  <c r="Q3176" i="34"/>
  <c r="Q3177" i="34"/>
  <c r="Q3178" i="34"/>
  <c r="Q3179" i="34"/>
  <c r="Q3180" i="34"/>
  <c r="Q3181" i="34"/>
  <c r="Q3182" i="34"/>
  <c r="Q3183" i="34"/>
  <c r="Q3184" i="34"/>
  <c r="Q3185" i="34"/>
  <c r="Q3186" i="34"/>
  <c r="Q3187" i="34"/>
  <c r="Q3188" i="34"/>
  <c r="Q3189" i="34"/>
  <c r="Q3190" i="34"/>
  <c r="Q3191" i="34"/>
  <c r="Q3192" i="34"/>
  <c r="Q3193" i="34"/>
  <c r="Q3194" i="34"/>
  <c r="Q3195" i="34"/>
  <c r="Q3196" i="34"/>
  <c r="Q3197" i="34"/>
  <c r="Q3198" i="34"/>
  <c r="Q3199" i="34"/>
  <c r="Q3200" i="34"/>
  <c r="Q3201" i="34"/>
  <c r="Q3202" i="34"/>
  <c r="Q3203" i="34"/>
  <c r="Q3204" i="34"/>
  <c r="Q3205" i="34"/>
  <c r="Q3206" i="34"/>
  <c r="Q3207" i="34"/>
  <c r="Q3208" i="34"/>
  <c r="Q3209" i="34"/>
  <c r="Q3210" i="34"/>
  <c r="Q3211" i="34"/>
  <c r="Q3212" i="34"/>
  <c r="Q3213" i="34"/>
  <c r="Q3214" i="34"/>
  <c r="Q3215" i="34"/>
  <c r="Q3216" i="34"/>
  <c r="Q3217" i="34"/>
  <c r="Q3218" i="34"/>
  <c r="Q3219" i="34"/>
  <c r="Q3220" i="34"/>
  <c r="Q3221" i="34"/>
  <c r="Q3222" i="34"/>
  <c r="Q3223" i="34"/>
  <c r="Q3224" i="34"/>
  <c r="Q3225" i="34"/>
  <c r="Q3226" i="34"/>
  <c r="Q3227" i="34"/>
  <c r="Q3228" i="34"/>
  <c r="Q3229" i="34"/>
  <c r="Q3230" i="34"/>
  <c r="Q3231" i="34"/>
  <c r="Q3232" i="34"/>
  <c r="Q3233" i="34"/>
  <c r="Q3234" i="34"/>
  <c r="Q3235" i="34"/>
  <c r="Q3236" i="34"/>
  <c r="Q3237" i="34"/>
  <c r="Q3238" i="34"/>
  <c r="Q3239" i="34"/>
  <c r="Q3240" i="34"/>
  <c r="Q3241" i="34"/>
  <c r="Q3242" i="34"/>
  <c r="Q3243" i="34"/>
  <c r="Q3244" i="34"/>
  <c r="Q3245" i="34"/>
  <c r="Q3246" i="34"/>
  <c r="Q3247" i="34"/>
  <c r="Q3248" i="34"/>
  <c r="Q3249" i="34"/>
  <c r="Q3250" i="34"/>
  <c r="Q3251" i="34"/>
  <c r="Q3252" i="34"/>
  <c r="Q3253" i="34"/>
  <c r="Q3254" i="34"/>
  <c r="Q3255" i="34"/>
  <c r="Q3256" i="34"/>
  <c r="Q3257" i="34"/>
  <c r="Q3258" i="34"/>
  <c r="Q3259" i="34"/>
  <c r="Q3260" i="34"/>
  <c r="Q3261" i="34"/>
  <c r="Q3262" i="34"/>
  <c r="Q3263" i="34"/>
  <c r="Q3264" i="34"/>
  <c r="Q3265" i="34"/>
  <c r="Q3266" i="34"/>
  <c r="Q3267" i="34"/>
  <c r="Q3268" i="34"/>
  <c r="Q3269" i="34"/>
  <c r="Q3270" i="34"/>
  <c r="Q3271" i="34"/>
  <c r="Q3272" i="34"/>
  <c r="Q3273" i="34"/>
  <c r="Q3274" i="34"/>
  <c r="Q3275" i="34"/>
  <c r="Q3276" i="34"/>
  <c r="Q3277" i="34"/>
  <c r="Q3278" i="34"/>
  <c r="Q3279" i="34"/>
  <c r="Q3280" i="34"/>
  <c r="Q3281" i="34"/>
  <c r="Q3282" i="34"/>
  <c r="Q3283" i="34"/>
  <c r="Q3284" i="34"/>
  <c r="Q3285" i="34"/>
  <c r="Q3286" i="34"/>
  <c r="Q3287" i="34"/>
  <c r="Q3288" i="34"/>
  <c r="Q3289" i="34"/>
  <c r="Q3290" i="34"/>
  <c r="Q3291" i="34"/>
  <c r="Q3292" i="34"/>
  <c r="Q3293" i="34"/>
  <c r="Q3294" i="34"/>
  <c r="Q3295" i="34"/>
  <c r="Q3296" i="34"/>
  <c r="Q3297" i="34"/>
  <c r="Q3298" i="34"/>
  <c r="Q3299" i="34"/>
  <c r="Q3300" i="34"/>
  <c r="Q3301" i="34"/>
  <c r="Q3302" i="34"/>
  <c r="Q3303" i="34"/>
  <c r="Q3304" i="34"/>
  <c r="Q3305" i="34"/>
  <c r="Q3306" i="34"/>
  <c r="Q3307" i="34"/>
  <c r="Q3308" i="34"/>
  <c r="Q3309" i="34"/>
  <c r="Q3310" i="34"/>
  <c r="Q3311" i="34"/>
  <c r="Q3312" i="34"/>
  <c r="Q3313" i="34"/>
  <c r="Q3314" i="34"/>
  <c r="Q3315" i="34"/>
  <c r="Q3316" i="34"/>
  <c r="Q3317" i="34"/>
  <c r="Q3318" i="34"/>
  <c r="Q3319" i="34"/>
  <c r="Q3320" i="34"/>
  <c r="Q3321" i="34"/>
  <c r="Q3322" i="34"/>
  <c r="Q3323" i="34"/>
  <c r="Q3324" i="34"/>
  <c r="Q3325" i="34"/>
  <c r="Q3326" i="34"/>
  <c r="Q3327" i="34"/>
  <c r="Q3328" i="34"/>
  <c r="Q3329" i="34"/>
  <c r="Q3330" i="34"/>
  <c r="Q3331" i="34"/>
  <c r="Q3332" i="34"/>
  <c r="Q3333" i="34"/>
  <c r="Q3334" i="34"/>
  <c r="Q3335" i="34"/>
  <c r="Q3336" i="34"/>
  <c r="Q3337" i="34"/>
  <c r="Q3338" i="34"/>
  <c r="Q3339" i="34"/>
  <c r="Q3340" i="34"/>
  <c r="Q3341" i="34"/>
  <c r="Q3342" i="34"/>
  <c r="Q3343" i="34"/>
  <c r="Q3344" i="34"/>
  <c r="Q3345" i="34"/>
  <c r="Q3346" i="34"/>
  <c r="Q3347" i="34"/>
  <c r="Q3348" i="34"/>
  <c r="Q3349" i="34"/>
  <c r="Q3350" i="34"/>
  <c r="Q3351" i="34"/>
  <c r="Q3352" i="34"/>
  <c r="Q3353" i="34"/>
  <c r="Q3354" i="34"/>
  <c r="Q3355" i="34"/>
  <c r="Q3356" i="34"/>
  <c r="Q3357" i="34"/>
  <c r="Q3358" i="34"/>
  <c r="Q3359" i="34"/>
  <c r="Q3360" i="34"/>
  <c r="Q3361" i="34"/>
  <c r="Q3362" i="34"/>
  <c r="Q3363" i="34"/>
  <c r="Q3364" i="34"/>
  <c r="Q3365" i="34"/>
  <c r="Q3366" i="34"/>
  <c r="Q3367" i="34"/>
  <c r="Q3368" i="34"/>
  <c r="Q3369" i="34"/>
  <c r="Q3370" i="34"/>
  <c r="Q3371" i="34"/>
  <c r="Q3372" i="34"/>
  <c r="Q3373" i="34"/>
  <c r="Q3374" i="34"/>
  <c r="Q3375" i="34"/>
  <c r="Q3376" i="34"/>
  <c r="Q3377" i="34"/>
  <c r="Q3378" i="34"/>
  <c r="Q3379" i="34"/>
  <c r="Q3380" i="34"/>
  <c r="Q3381" i="34"/>
  <c r="Q3382" i="34"/>
  <c r="Q3383" i="34"/>
  <c r="Q3384" i="34"/>
  <c r="Q3385" i="34"/>
  <c r="Q3386" i="34"/>
  <c r="Q3387" i="34"/>
  <c r="Q3388" i="34"/>
  <c r="Q3389" i="34"/>
  <c r="Q3390" i="34"/>
  <c r="Q3391" i="34"/>
  <c r="Q3392" i="34"/>
  <c r="Q3393" i="34"/>
  <c r="Q3394" i="34"/>
  <c r="Q3395" i="34"/>
  <c r="Q3396" i="34"/>
  <c r="Q3397" i="34"/>
  <c r="Q3398" i="34"/>
  <c r="Q3399" i="34"/>
  <c r="Q3400" i="34"/>
  <c r="Q3401" i="34"/>
  <c r="Q3402" i="34"/>
  <c r="Q3403" i="34"/>
  <c r="Q3404" i="34"/>
  <c r="Q3405" i="34"/>
  <c r="Q3406" i="34"/>
  <c r="Q3407" i="34"/>
  <c r="Q3408" i="34"/>
  <c r="Q3409" i="34"/>
  <c r="Q3410" i="34"/>
  <c r="Q3411" i="34"/>
  <c r="Q3412" i="34"/>
  <c r="Q3413" i="34"/>
  <c r="Q3414" i="34"/>
  <c r="Q3415" i="34"/>
  <c r="Q3416" i="34"/>
  <c r="Q3417" i="34"/>
  <c r="Q3418" i="34"/>
  <c r="Q3419" i="34"/>
  <c r="Q3420" i="34"/>
  <c r="Q3421" i="34"/>
  <c r="Q3422" i="34"/>
  <c r="Q3423" i="34"/>
  <c r="Q3424" i="34"/>
  <c r="Q3425" i="34"/>
  <c r="Q3426" i="34"/>
  <c r="Q3427" i="34"/>
  <c r="Q3428" i="34"/>
  <c r="Q3429" i="34"/>
  <c r="Q3430" i="34"/>
  <c r="Q3431" i="34"/>
  <c r="Q3432" i="34"/>
  <c r="Q3433" i="34"/>
  <c r="Q3434" i="34"/>
  <c r="Q3435" i="34"/>
  <c r="Q3436" i="34"/>
  <c r="Q3437" i="34"/>
  <c r="Q3438" i="34"/>
  <c r="Q3439" i="34"/>
  <c r="Q3440" i="34"/>
  <c r="Q3441" i="34"/>
  <c r="Q3442" i="34"/>
  <c r="Q3443" i="34"/>
  <c r="Q3444" i="34"/>
  <c r="Q3445" i="34"/>
  <c r="Q3446" i="34"/>
  <c r="Q3447" i="34"/>
  <c r="Q3448" i="34"/>
  <c r="Q3449" i="34"/>
  <c r="Q3450" i="34"/>
  <c r="Q3451" i="34"/>
  <c r="Q3452" i="34"/>
  <c r="Q3453" i="34"/>
  <c r="Q3454" i="34"/>
  <c r="Q3455" i="34"/>
  <c r="Q3456" i="34"/>
  <c r="Q3457" i="34"/>
  <c r="Q3458" i="34"/>
  <c r="Q3459" i="34"/>
  <c r="Q3460" i="34"/>
  <c r="Q3461" i="34"/>
  <c r="Q3462" i="34"/>
  <c r="Q3463" i="34"/>
  <c r="Q3464" i="34"/>
  <c r="Q3465" i="34"/>
  <c r="Q3466" i="34"/>
  <c r="Q3467" i="34"/>
  <c r="Q3468" i="34"/>
  <c r="Q3469" i="34"/>
  <c r="Q3470" i="34"/>
  <c r="Q3471" i="34"/>
  <c r="Q3472" i="34"/>
  <c r="Q3473" i="34"/>
  <c r="Q3474" i="34"/>
  <c r="Q3475" i="34"/>
  <c r="Q3476" i="34"/>
  <c r="Q3477" i="34"/>
  <c r="Q3478" i="34"/>
  <c r="Q3479" i="34"/>
  <c r="Q3480" i="34"/>
  <c r="Q3481" i="34"/>
  <c r="Q3482" i="34"/>
  <c r="Q3483" i="34"/>
  <c r="Q3484" i="34"/>
  <c r="Q3485" i="34"/>
  <c r="Q3486" i="34"/>
  <c r="Q3487" i="34"/>
  <c r="Q3488" i="34"/>
  <c r="Q3489" i="34"/>
  <c r="Q3490" i="34"/>
  <c r="Q3491" i="34"/>
  <c r="Q3492" i="34"/>
  <c r="Q3493" i="34"/>
  <c r="Q3494" i="34"/>
  <c r="Q3495" i="34"/>
  <c r="Q3496" i="34"/>
  <c r="Q3497" i="34"/>
  <c r="Q3498" i="34"/>
  <c r="Q3499" i="34"/>
  <c r="Q3500" i="34"/>
  <c r="Q3501" i="34"/>
  <c r="Q3502" i="34"/>
  <c r="Q3503" i="34"/>
  <c r="Q3504" i="34"/>
  <c r="Q3505" i="34"/>
  <c r="Q3506" i="34"/>
  <c r="Q3507" i="34"/>
  <c r="Q3508" i="34"/>
  <c r="Q3509" i="34"/>
  <c r="Q3510" i="34"/>
  <c r="Q3511" i="34"/>
  <c r="Q3512" i="34"/>
  <c r="Q3513" i="34"/>
  <c r="Q3514" i="34"/>
  <c r="Q3515" i="34"/>
  <c r="Q3516" i="34"/>
  <c r="Q3517" i="34"/>
  <c r="Q3518" i="34"/>
  <c r="Q3519" i="34"/>
  <c r="Q3520" i="34"/>
  <c r="Q3521" i="34"/>
  <c r="Q3522" i="34"/>
  <c r="Q3523" i="34"/>
  <c r="Q3524" i="34"/>
  <c r="Q3525" i="34"/>
  <c r="Q3526" i="34"/>
  <c r="Q3527" i="34"/>
  <c r="Q3528" i="34"/>
  <c r="Q3529" i="34"/>
  <c r="Q3530" i="34"/>
  <c r="Q3531" i="34"/>
  <c r="Q3532" i="34"/>
  <c r="Q3533" i="34"/>
  <c r="Q3534" i="34"/>
  <c r="Q3535" i="34"/>
  <c r="Q3536" i="34"/>
  <c r="Q3537" i="34"/>
  <c r="Q3538" i="34"/>
  <c r="Q3539" i="34"/>
  <c r="Q3540" i="34"/>
  <c r="Q3541" i="34"/>
  <c r="Q3542" i="34"/>
  <c r="Q3543" i="34"/>
  <c r="Q3544" i="34"/>
  <c r="Q3545" i="34"/>
  <c r="Q3546" i="34"/>
  <c r="Q3547" i="34"/>
  <c r="Q3548" i="34"/>
  <c r="Q3549" i="34"/>
  <c r="Q3550" i="34"/>
  <c r="Q3551" i="34"/>
  <c r="Q3552" i="34"/>
  <c r="Q3553" i="34"/>
  <c r="Q3554" i="34"/>
  <c r="Q3555" i="34"/>
  <c r="Q3556" i="34"/>
  <c r="Q3557" i="34"/>
  <c r="Q3558" i="34"/>
  <c r="Q3559" i="34"/>
  <c r="Q3560" i="34"/>
  <c r="Q3561" i="34"/>
  <c r="Q3562" i="34"/>
  <c r="Q3563" i="34"/>
  <c r="Q3564" i="34"/>
  <c r="Q3565" i="34"/>
  <c r="Q3566" i="34"/>
  <c r="Q3567" i="34"/>
  <c r="Q3568" i="34"/>
  <c r="Q3569" i="34"/>
  <c r="Q3570" i="34"/>
  <c r="Q3571" i="34"/>
  <c r="Q3572" i="34"/>
  <c r="Q3573" i="34"/>
  <c r="Q3574" i="34"/>
  <c r="Q3575" i="34"/>
  <c r="Q3576" i="34"/>
  <c r="Q3577" i="34"/>
  <c r="Q3578" i="34"/>
  <c r="Q3579" i="34"/>
  <c r="Q3580" i="34"/>
  <c r="Q3581" i="34"/>
  <c r="Q3582" i="34"/>
  <c r="Q3583" i="34"/>
  <c r="Q3584" i="34"/>
  <c r="Q3585" i="34"/>
  <c r="Q3586" i="34"/>
  <c r="Q3587" i="34"/>
  <c r="Q3588" i="34"/>
  <c r="Q3589" i="34"/>
  <c r="Q3590" i="34"/>
  <c r="Q3591" i="34"/>
  <c r="Q3592" i="34"/>
  <c r="Q3593" i="34"/>
  <c r="Q3594" i="34"/>
  <c r="Q3595" i="34"/>
  <c r="Q3596" i="34"/>
  <c r="Q3597" i="34"/>
  <c r="Q3598" i="34"/>
  <c r="Q3599" i="34"/>
  <c r="Q3600" i="34"/>
  <c r="Q3601" i="34"/>
  <c r="Q3602" i="34"/>
  <c r="Q3603" i="34"/>
  <c r="Q3604" i="34"/>
  <c r="Q3605" i="34"/>
  <c r="Q3606" i="34"/>
  <c r="Q3607" i="34"/>
  <c r="Q3608" i="34"/>
  <c r="Q3609" i="34"/>
  <c r="Q3610" i="34"/>
  <c r="Q3611" i="34"/>
  <c r="Q3612" i="34"/>
  <c r="Q3613" i="34"/>
  <c r="Q3614" i="34"/>
  <c r="Q3615" i="34"/>
  <c r="Q3616" i="34"/>
  <c r="Q3617" i="34"/>
  <c r="Q3618" i="34"/>
  <c r="Q3619" i="34"/>
  <c r="Q3620" i="34"/>
  <c r="Q3621" i="34"/>
  <c r="Q3622" i="34"/>
  <c r="Q3623" i="34"/>
  <c r="Q3624" i="34"/>
  <c r="Q3625" i="34"/>
  <c r="Q3626" i="34"/>
  <c r="Q3627" i="34"/>
  <c r="Q3628" i="34"/>
  <c r="Q3629" i="34"/>
  <c r="Q3630" i="34"/>
  <c r="Q3631" i="34"/>
  <c r="Q3632" i="34"/>
  <c r="Q3633" i="34"/>
  <c r="Q3634" i="34"/>
  <c r="Q3635" i="34"/>
  <c r="Q3636" i="34"/>
  <c r="Q3637" i="34"/>
  <c r="Q3638" i="34"/>
  <c r="Q3639" i="34"/>
  <c r="Q3640" i="34"/>
  <c r="Q3641" i="34"/>
  <c r="Q3642" i="34"/>
  <c r="Q3643" i="34"/>
  <c r="Q3644" i="34"/>
  <c r="Q3645" i="34"/>
  <c r="Q3646" i="34"/>
  <c r="Q3647" i="34"/>
  <c r="Q3648" i="34"/>
  <c r="Q3649" i="34"/>
  <c r="Q3650" i="34"/>
  <c r="Q3651" i="34"/>
  <c r="Q3652" i="34"/>
  <c r="Q3653" i="34"/>
  <c r="Q3654" i="34"/>
  <c r="Q3655" i="34"/>
  <c r="Q3656" i="34"/>
  <c r="Q3657" i="34"/>
  <c r="Q3658" i="34"/>
  <c r="Q3659" i="34"/>
  <c r="Q3660" i="34"/>
  <c r="Q3661" i="34"/>
  <c r="Q3662" i="34"/>
  <c r="Q3663" i="34"/>
  <c r="Q3664" i="34"/>
  <c r="Q3665" i="34"/>
  <c r="Q3666" i="34"/>
  <c r="Q3667" i="34"/>
  <c r="Q3668" i="34"/>
  <c r="Q3669" i="34"/>
  <c r="Q3670" i="34"/>
  <c r="Q3671" i="34"/>
  <c r="Q3672" i="34"/>
  <c r="Q3673" i="34"/>
  <c r="Q3674" i="34"/>
  <c r="Q3675" i="34"/>
  <c r="Q3676" i="34"/>
  <c r="Q3677" i="34"/>
  <c r="Q3678" i="34"/>
  <c r="Q3679" i="34"/>
  <c r="Q3680" i="34"/>
  <c r="Q3681" i="34"/>
  <c r="Q3682" i="34"/>
  <c r="Q3683" i="34"/>
  <c r="Q3684" i="34"/>
  <c r="Q3685" i="34"/>
  <c r="Q3686" i="34"/>
  <c r="Q3687" i="34"/>
  <c r="Q3688" i="34"/>
  <c r="Q3689" i="34"/>
  <c r="Q3690" i="34"/>
  <c r="Q3691" i="34"/>
  <c r="Q3692" i="34"/>
  <c r="Q3693" i="34"/>
  <c r="Q3694" i="34"/>
  <c r="Q3695" i="34"/>
  <c r="Q3696" i="34"/>
  <c r="Q3697" i="34"/>
  <c r="Q3698" i="34"/>
  <c r="Q3699" i="34"/>
  <c r="Q3700" i="34"/>
  <c r="Q3701" i="34"/>
  <c r="Q3702" i="34"/>
  <c r="Q3703" i="34"/>
  <c r="Q3704" i="34"/>
  <c r="Q3705" i="34"/>
  <c r="Q3706" i="34"/>
  <c r="Q3707" i="34"/>
  <c r="Q3708" i="34"/>
  <c r="Q3709" i="34"/>
  <c r="Q3710" i="34"/>
  <c r="Q3711" i="34"/>
  <c r="Q3712" i="34"/>
  <c r="Q3713" i="34"/>
  <c r="Q3714" i="34"/>
  <c r="Q3715" i="34"/>
  <c r="Q3716" i="34"/>
  <c r="Q3717" i="34"/>
  <c r="Q3718" i="34"/>
  <c r="Q3719" i="34"/>
  <c r="Q3720" i="34"/>
  <c r="Q3721" i="34"/>
  <c r="Q3722" i="34"/>
  <c r="Q3723" i="34"/>
  <c r="Q3724" i="34"/>
  <c r="Q3725" i="34"/>
  <c r="Q3726" i="34"/>
  <c r="Q3727" i="34"/>
  <c r="Q3728" i="34"/>
  <c r="Q3729" i="34"/>
  <c r="Q3730" i="34"/>
  <c r="Q3731" i="34"/>
  <c r="Q3732" i="34"/>
  <c r="Q3733" i="34"/>
  <c r="Q3734" i="34"/>
  <c r="Q3735" i="34"/>
  <c r="Q3736" i="34"/>
  <c r="Q3737" i="34"/>
  <c r="Q3738" i="34"/>
  <c r="Q3739" i="34"/>
  <c r="Q3740" i="34"/>
  <c r="Q3741" i="34"/>
  <c r="Q3742" i="34"/>
  <c r="Q3743" i="34"/>
  <c r="Q3744" i="34"/>
  <c r="Q3745" i="34"/>
  <c r="Q3746" i="34"/>
  <c r="Q3747" i="34"/>
  <c r="Q3748" i="34"/>
  <c r="Q3749" i="34"/>
  <c r="Q3750" i="34"/>
  <c r="Q3751" i="34"/>
  <c r="Q3752" i="34"/>
  <c r="Q3753" i="34"/>
  <c r="Q3754" i="34"/>
  <c r="Q3755" i="34"/>
  <c r="Q3756" i="34"/>
  <c r="Q3757" i="34"/>
  <c r="Q3758" i="34"/>
  <c r="Q3759" i="34"/>
  <c r="Q3760" i="34"/>
  <c r="Q3761" i="34"/>
  <c r="Q3762" i="34"/>
  <c r="Q3763" i="34"/>
  <c r="Q3764" i="34"/>
  <c r="Q3765" i="34"/>
  <c r="Q3766" i="34"/>
  <c r="Q3767" i="34"/>
  <c r="Q3768" i="34"/>
  <c r="Q3769" i="34"/>
  <c r="Q3770" i="34"/>
  <c r="Q3771" i="34"/>
  <c r="Q3772" i="34"/>
  <c r="Q3773" i="34"/>
  <c r="Q3774" i="34"/>
  <c r="Q3775" i="34"/>
  <c r="Q3776" i="34"/>
  <c r="Q3777" i="34"/>
  <c r="Q3778" i="34"/>
  <c r="Q3779" i="34"/>
  <c r="Q3780" i="34"/>
  <c r="Q3781" i="34"/>
  <c r="Q3782" i="34"/>
  <c r="Q3783" i="34"/>
  <c r="Q3784" i="34"/>
  <c r="Q3785" i="34"/>
  <c r="Q3786" i="34"/>
  <c r="Q3787" i="34"/>
  <c r="Q3788" i="34"/>
  <c r="Q3789" i="34"/>
  <c r="Q3790" i="34"/>
  <c r="Q3791" i="34"/>
  <c r="Q3792" i="34"/>
  <c r="Q3793" i="34"/>
  <c r="Q3794" i="34"/>
  <c r="Q3795" i="34"/>
  <c r="Q3796" i="34"/>
  <c r="Q3797" i="34"/>
  <c r="Q3798" i="34"/>
  <c r="Q3799" i="34"/>
  <c r="Q3800" i="34"/>
  <c r="Q3801" i="34"/>
  <c r="Q3802" i="34"/>
  <c r="Q3803" i="34"/>
  <c r="Q3804" i="34"/>
  <c r="Q3805" i="34"/>
  <c r="Q3806" i="34"/>
  <c r="Q3807" i="34"/>
  <c r="Q3808" i="34"/>
  <c r="Q3809" i="34"/>
  <c r="Q3810" i="34"/>
  <c r="Q3811" i="34"/>
  <c r="Q3812" i="34"/>
  <c r="Q3813" i="34"/>
  <c r="Q3814" i="34"/>
  <c r="Q3815" i="34"/>
  <c r="Q3816" i="34"/>
  <c r="Q3817" i="34"/>
  <c r="Q3818" i="34"/>
  <c r="Q3819" i="34"/>
  <c r="Q3820" i="34"/>
  <c r="Q3821" i="34"/>
  <c r="Q3822" i="34"/>
  <c r="Q3823" i="34"/>
  <c r="Q3824" i="34"/>
  <c r="Q3825" i="34"/>
  <c r="Q3826" i="34"/>
  <c r="Q3827" i="34"/>
  <c r="Q3828" i="34"/>
  <c r="Q3829" i="34"/>
  <c r="Q3830" i="34"/>
  <c r="Q3831" i="34"/>
  <c r="Q3832" i="34"/>
  <c r="Q3833" i="34"/>
  <c r="Q3834" i="34"/>
  <c r="Q3835" i="34"/>
  <c r="Q3836" i="34"/>
  <c r="Q3837" i="34"/>
  <c r="Q3838" i="34"/>
  <c r="Q3839" i="34"/>
  <c r="Q3840" i="34"/>
  <c r="Q3841" i="34"/>
  <c r="Q3842" i="34"/>
  <c r="Q3843" i="34"/>
  <c r="Q3844" i="34"/>
  <c r="Q3845" i="34"/>
  <c r="Q3846" i="34"/>
  <c r="Q3847" i="34"/>
  <c r="Q3848" i="34"/>
  <c r="Q3849" i="34"/>
  <c r="Q3850" i="34"/>
  <c r="Q3851" i="34"/>
  <c r="Q3852" i="34"/>
  <c r="Q3853" i="34"/>
  <c r="Q3854" i="34"/>
  <c r="Q3855" i="34"/>
  <c r="Q3856" i="34"/>
  <c r="Q3857" i="34"/>
  <c r="Q3858" i="34"/>
  <c r="Q3859" i="34"/>
  <c r="Q3860" i="34"/>
  <c r="Q3861" i="34"/>
  <c r="Q3862" i="34"/>
  <c r="Q3863" i="34"/>
  <c r="Q3864" i="34"/>
  <c r="Q3865" i="34"/>
  <c r="Q3866" i="34"/>
  <c r="Q3867" i="34"/>
  <c r="Q3868" i="34"/>
  <c r="Q3869" i="34"/>
  <c r="Q3870" i="34"/>
  <c r="Q3871" i="34"/>
  <c r="Q3872" i="34"/>
  <c r="Q3873" i="34"/>
  <c r="Q3874" i="34"/>
  <c r="Q3875" i="34"/>
  <c r="Q3876" i="34"/>
  <c r="Q3877" i="34"/>
  <c r="Q3878" i="34"/>
  <c r="Q3879" i="34"/>
  <c r="Q3880" i="34"/>
  <c r="Q3881" i="34"/>
  <c r="Q3882" i="34"/>
  <c r="Q3883" i="34"/>
  <c r="Q3884" i="34"/>
  <c r="Q3885" i="34"/>
  <c r="Q3886" i="34"/>
  <c r="Q3887" i="34"/>
  <c r="Q3888" i="34"/>
  <c r="Q3889" i="34"/>
  <c r="Q3890" i="34"/>
  <c r="Q3891" i="34"/>
  <c r="Q3892" i="34"/>
  <c r="Q3893" i="34"/>
  <c r="Q3894" i="34"/>
  <c r="Q3895" i="34"/>
  <c r="Q3896" i="34"/>
  <c r="Q3897" i="34"/>
  <c r="Q3898" i="34"/>
  <c r="Q3899" i="34"/>
  <c r="Q3900" i="34"/>
  <c r="Q3901" i="34"/>
  <c r="Q3902" i="34"/>
  <c r="Q3903" i="34"/>
  <c r="Q3904" i="34"/>
  <c r="Q3905" i="34"/>
  <c r="Q3906" i="34"/>
  <c r="Q3907" i="34"/>
  <c r="Q3908" i="34"/>
  <c r="Q3909" i="34"/>
  <c r="Q3910" i="34"/>
  <c r="Q3911" i="34"/>
  <c r="Q3912" i="34"/>
  <c r="Q3913" i="34"/>
  <c r="Q3914" i="34"/>
  <c r="Q3915" i="34"/>
  <c r="Q3916" i="34"/>
  <c r="Q3917" i="34"/>
  <c r="Q3918" i="34"/>
  <c r="Q3919" i="34"/>
  <c r="Q3920" i="34"/>
  <c r="Q3921" i="34"/>
  <c r="Q3922" i="34"/>
  <c r="Q3923" i="34"/>
  <c r="Q3924" i="34"/>
  <c r="Q3925" i="34"/>
  <c r="Q3926" i="34"/>
  <c r="Q3927" i="34"/>
  <c r="Q3928" i="34"/>
  <c r="Q3929" i="34"/>
  <c r="Q3930" i="34"/>
  <c r="Q3931" i="34"/>
  <c r="Q3932" i="34"/>
  <c r="Q3933" i="34"/>
  <c r="Q3934" i="34"/>
  <c r="Q3935" i="34"/>
  <c r="Q3936" i="34"/>
  <c r="Q3937" i="34"/>
  <c r="Q3938" i="34"/>
  <c r="Q3939" i="34"/>
  <c r="Q3940" i="34"/>
  <c r="Q3941" i="34"/>
  <c r="Q3942" i="34"/>
  <c r="Q3943" i="34"/>
  <c r="Q3944" i="34"/>
  <c r="Q3945" i="34"/>
  <c r="Q3946" i="34"/>
  <c r="Q3947" i="34"/>
  <c r="Q3948" i="34"/>
  <c r="Q3949" i="34"/>
  <c r="Q3950" i="34"/>
  <c r="Q3951" i="34"/>
  <c r="Q3952" i="34"/>
  <c r="Q3953" i="34"/>
  <c r="Q3954" i="34"/>
  <c r="Q3955" i="34"/>
  <c r="Q3956" i="34"/>
  <c r="Q3957" i="34"/>
  <c r="Q3958" i="34"/>
  <c r="Q3959" i="34"/>
  <c r="Q3960" i="34"/>
  <c r="Q3961" i="34"/>
  <c r="Q3962" i="34"/>
  <c r="Q3963" i="34"/>
  <c r="Q3964" i="34"/>
  <c r="Q3965" i="34"/>
  <c r="Q3966" i="34"/>
  <c r="Q3967" i="34"/>
  <c r="Q3968" i="34"/>
  <c r="Q3969" i="34"/>
  <c r="Q3970" i="34"/>
  <c r="Q3971" i="34"/>
  <c r="Q3972" i="34"/>
  <c r="Q3973" i="34"/>
  <c r="Q3974" i="34"/>
  <c r="Q3975" i="34"/>
  <c r="Q3976" i="34"/>
  <c r="Q3977" i="34"/>
  <c r="Q3978" i="34"/>
  <c r="Q3979" i="34"/>
  <c r="Q3980" i="34"/>
  <c r="Q3981" i="34"/>
  <c r="Q3982" i="34"/>
  <c r="Q3983" i="34"/>
  <c r="Q3984" i="34"/>
  <c r="Q3985" i="34"/>
  <c r="Q3986" i="34"/>
  <c r="Q3987" i="34"/>
  <c r="Q3988" i="34"/>
  <c r="Q3989" i="34"/>
  <c r="Q3990" i="34"/>
  <c r="Q3991" i="34"/>
  <c r="Q3992" i="34"/>
  <c r="Q3993" i="34"/>
  <c r="Q3994" i="34"/>
  <c r="Q3995" i="34"/>
  <c r="Q3996" i="34"/>
  <c r="Q3997" i="34"/>
  <c r="Q3998" i="34"/>
  <c r="Q3999" i="34"/>
  <c r="Q4000" i="34"/>
  <c r="Q4001" i="34"/>
  <c r="Q4002" i="34"/>
  <c r="Q4003" i="34"/>
  <c r="Q4004" i="34"/>
  <c r="Q4005" i="34"/>
  <c r="Q4006" i="34"/>
  <c r="Q4007" i="34"/>
  <c r="Q4008" i="34"/>
  <c r="Q4009" i="34"/>
  <c r="Q4010" i="34"/>
  <c r="Q4011" i="34"/>
  <c r="Q4012" i="34"/>
  <c r="Q4013" i="34"/>
  <c r="Q4014" i="34"/>
  <c r="Q4015" i="34"/>
  <c r="Q4016" i="34"/>
  <c r="Q4017" i="34"/>
  <c r="Q4018" i="34"/>
  <c r="Q4019" i="34"/>
  <c r="Q4020" i="34"/>
  <c r="Q4021" i="34"/>
  <c r="Q4022" i="34"/>
  <c r="Q4023" i="34"/>
  <c r="Q4024" i="34"/>
  <c r="Q4025" i="34"/>
  <c r="Q4026" i="34"/>
  <c r="Q4027" i="34"/>
  <c r="Q4028" i="34"/>
  <c r="Q4029" i="34"/>
  <c r="Q4030" i="34"/>
  <c r="Q4031" i="34"/>
  <c r="Q4032" i="34"/>
  <c r="Q4033" i="34"/>
  <c r="Q4034" i="34"/>
  <c r="Q4035" i="34"/>
  <c r="Q4036" i="34"/>
  <c r="Q4037" i="34"/>
  <c r="Q4038" i="34"/>
  <c r="Q4039" i="34"/>
  <c r="Q4040" i="34"/>
  <c r="Q4041" i="34"/>
  <c r="Q4042" i="34"/>
  <c r="Q4043" i="34"/>
  <c r="Q4044" i="34"/>
  <c r="Q4045" i="34"/>
  <c r="Q4046" i="34"/>
  <c r="Q4047" i="34"/>
  <c r="Q4048" i="34"/>
  <c r="Q4049" i="34"/>
  <c r="Q4050" i="34"/>
  <c r="Q4051" i="34"/>
  <c r="Q4052" i="34"/>
  <c r="Q4053" i="34"/>
  <c r="Q4054" i="34"/>
  <c r="Q4055" i="34"/>
  <c r="Q4056" i="34"/>
  <c r="Q4057" i="34"/>
  <c r="Q4058" i="34"/>
  <c r="Q4059" i="34"/>
  <c r="Q4060" i="34"/>
  <c r="Q4061" i="34"/>
  <c r="Q4062" i="34"/>
  <c r="Q4063" i="34"/>
  <c r="Q4064" i="34"/>
  <c r="Q4065" i="34"/>
  <c r="Q4066" i="34"/>
  <c r="Q4067" i="34"/>
  <c r="Q4068" i="34"/>
  <c r="Q4069" i="34"/>
  <c r="Q4070" i="34"/>
  <c r="Q4071" i="34"/>
  <c r="Q4072" i="34"/>
  <c r="Q4073" i="34"/>
  <c r="Q4074" i="34"/>
  <c r="Q4075" i="34"/>
  <c r="Q4076" i="34"/>
  <c r="Q4077" i="34"/>
  <c r="Q4078" i="34"/>
  <c r="Q4079" i="34"/>
  <c r="Q4080" i="34"/>
  <c r="Q4081" i="34"/>
  <c r="Q4082" i="34"/>
  <c r="Q4083" i="34"/>
  <c r="Q4084" i="34"/>
  <c r="Q4085" i="34"/>
  <c r="Q4086" i="34"/>
  <c r="Q4087" i="34"/>
  <c r="Q4088" i="34"/>
  <c r="Q4089" i="34"/>
  <c r="Q4090" i="34"/>
  <c r="Q4091" i="34"/>
  <c r="Q4092" i="34"/>
  <c r="Q4093" i="34"/>
  <c r="Q4094" i="34"/>
  <c r="Q4095" i="34"/>
  <c r="Q4096" i="34"/>
  <c r="Q4097" i="34"/>
  <c r="Q4098" i="34"/>
  <c r="Q4099" i="34"/>
  <c r="Q4100" i="34"/>
  <c r="Q4101" i="34"/>
  <c r="Q4102" i="34"/>
  <c r="Q4103" i="34"/>
  <c r="Q4104" i="34"/>
  <c r="Q4105" i="34"/>
  <c r="Q4106" i="34"/>
  <c r="Q4107" i="34"/>
  <c r="Q4108" i="34"/>
  <c r="Q4109" i="34"/>
  <c r="Q4110" i="34"/>
  <c r="Q4111" i="34"/>
  <c r="Q4112" i="34"/>
  <c r="Q4113" i="34"/>
  <c r="Q4114" i="34"/>
  <c r="Q4115" i="34"/>
  <c r="Q4116" i="34"/>
  <c r="Q4117" i="34"/>
  <c r="Q4118" i="34"/>
  <c r="Q4119" i="34"/>
  <c r="Q4120" i="34"/>
  <c r="Q4121" i="34"/>
  <c r="Q4122" i="34"/>
  <c r="Q4123" i="34"/>
  <c r="Q4124" i="34"/>
  <c r="Q4125" i="34"/>
  <c r="Q4126" i="34"/>
  <c r="Q4127" i="34"/>
  <c r="Q4128" i="34"/>
  <c r="Q4129" i="34"/>
  <c r="Q4130" i="34"/>
  <c r="Q4131" i="34"/>
  <c r="Q4132" i="34"/>
  <c r="Q4133" i="34"/>
  <c r="Q4134" i="34"/>
  <c r="Q4135" i="34"/>
  <c r="Q4136" i="34"/>
  <c r="Q4137" i="34"/>
  <c r="Q4138" i="34"/>
  <c r="Q4139" i="34"/>
  <c r="Q4140" i="34"/>
  <c r="Q4141" i="34"/>
  <c r="Q4142" i="34"/>
  <c r="Q4143" i="34"/>
  <c r="Q4144" i="34"/>
  <c r="Q4145" i="34"/>
  <c r="Q4146" i="34"/>
  <c r="Q4147" i="34"/>
  <c r="Q4148" i="34"/>
  <c r="Q4149" i="34"/>
  <c r="Q4150" i="34"/>
  <c r="Q4151" i="34"/>
  <c r="Q4152" i="34"/>
  <c r="Q4153" i="34"/>
  <c r="Q4154" i="34"/>
  <c r="Q4155" i="34"/>
  <c r="Q4156" i="34"/>
  <c r="Q4157" i="34"/>
  <c r="Q4158" i="34"/>
  <c r="Q4159" i="34"/>
  <c r="Q4160" i="34"/>
  <c r="Q4161" i="34"/>
  <c r="Q4162" i="34"/>
  <c r="Q4163" i="34"/>
  <c r="Q4164" i="34"/>
  <c r="Q4165" i="34"/>
  <c r="Q4166" i="34"/>
  <c r="Q4167" i="34"/>
  <c r="Q4168" i="34"/>
  <c r="Q4169" i="34"/>
  <c r="Q4170" i="34"/>
  <c r="Q4171" i="34"/>
  <c r="Q4172" i="34"/>
  <c r="Q4173" i="34"/>
  <c r="Q4174" i="34"/>
  <c r="Q4175" i="34"/>
  <c r="Q4176" i="34"/>
  <c r="Q4177" i="34"/>
  <c r="Q4178" i="34"/>
  <c r="Q4179" i="34"/>
  <c r="Q4180" i="34"/>
  <c r="Q4181" i="34"/>
  <c r="Q4182" i="34"/>
  <c r="Q4183" i="34"/>
  <c r="Q4184" i="34"/>
  <c r="Q4185" i="34"/>
  <c r="Q4186" i="34"/>
  <c r="Q4187" i="34"/>
  <c r="Q4188" i="34"/>
  <c r="Q4189" i="34"/>
  <c r="Q4190" i="34"/>
  <c r="Q4191" i="34"/>
  <c r="Q4192" i="34"/>
  <c r="Q4193" i="34"/>
  <c r="Q4194" i="34"/>
  <c r="Q4195" i="34"/>
  <c r="Q4196" i="34"/>
  <c r="Q4197" i="34"/>
  <c r="Q4198" i="34"/>
  <c r="Q4199" i="34"/>
  <c r="Q4200" i="34"/>
  <c r="Q4201" i="34"/>
  <c r="Q4202" i="34"/>
  <c r="Q4203" i="34"/>
  <c r="Q4204" i="34"/>
  <c r="Q4205" i="34"/>
  <c r="Q4206" i="34"/>
  <c r="Q4207" i="34"/>
  <c r="Q4208" i="34"/>
  <c r="Q4209" i="34"/>
  <c r="Q4210" i="34"/>
  <c r="Q4211" i="34"/>
  <c r="Q4212" i="34"/>
  <c r="Q4213" i="34"/>
  <c r="Q4214" i="34"/>
  <c r="Q4215" i="34"/>
  <c r="Q4216" i="34"/>
  <c r="Q4217" i="34"/>
  <c r="Q4218" i="34"/>
  <c r="Q4219" i="34"/>
  <c r="Q4220" i="34"/>
  <c r="Q4221" i="34"/>
  <c r="Q4222" i="34"/>
  <c r="Q4223" i="34"/>
  <c r="Q4224" i="34"/>
  <c r="Q4225" i="34"/>
  <c r="Q4226" i="34"/>
  <c r="Q4227" i="34"/>
  <c r="Q4228" i="34"/>
  <c r="Q4229" i="34"/>
  <c r="Q4230" i="34"/>
  <c r="Q4231" i="34"/>
  <c r="Q4232" i="34"/>
  <c r="Q4233" i="34"/>
  <c r="Q4234" i="34"/>
  <c r="Q4235" i="34"/>
  <c r="Q4236" i="34"/>
  <c r="Q4237" i="34"/>
  <c r="Q4238" i="34"/>
  <c r="Q4239" i="34"/>
  <c r="Q4240" i="34"/>
  <c r="Q4241" i="34"/>
  <c r="Q4242" i="34"/>
  <c r="Q4243" i="34"/>
  <c r="Q4244" i="34"/>
  <c r="Q4245" i="34"/>
  <c r="Q4246" i="34"/>
  <c r="Q4247" i="34"/>
  <c r="Q4248" i="34"/>
  <c r="Q4249" i="34"/>
  <c r="Q4250" i="34"/>
  <c r="Q4251" i="34"/>
  <c r="Q4252" i="34"/>
  <c r="Q4253" i="34"/>
  <c r="Q4254" i="34"/>
  <c r="Q4255" i="34"/>
  <c r="Q4256" i="34"/>
  <c r="Q4257" i="34"/>
  <c r="Q4258" i="34"/>
  <c r="Q4259" i="34"/>
  <c r="Q4260" i="34"/>
  <c r="Q4261" i="34"/>
  <c r="Q4262" i="34"/>
  <c r="Q4263" i="34"/>
  <c r="Q4264" i="34"/>
  <c r="Q4265" i="34"/>
  <c r="Q4266" i="34"/>
  <c r="Q4267" i="34"/>
  <c r="Q4268" i="34"/>
  <c r="Q4269" i="34"/>
  <c r="Q4270" i="34"/>
  <c r="Q4271" i="34"/>
  <c r="Q4272" i="34"/>
  <c r="Q4273" i="34"/>
  <c r="Q4274" i="34"/>
  <c r="Q4275" i="34"/>
  <c r="Q4276" i="34"/>
  <c r="Q4277" i="34"/>
  <c r="Q4278" i="34"/>
  <c r="Q4279" i="34"/>
  <c r="Q4280" i="34"/>
  <c r="Q4281" i="34"/>
  <c r="Q4282" i="34"/>
  <c r="Q4283" i="34"/>
  <c r="Q4284" i="34"/>
  <c r="Q4285" i="34"/>
  <c r="Q4286" i="34"/>
  <c r="Q4287" i="34"/>
  <c r="Q4288" i="34"/>
  <c r="Q4289" i="34"/>
  <c r="Q4290" i="34"/>
  <c r="Q4291" i="34"/>
  <c r="Q4292" i="34"/>
  <c r="Q4293" i="34"/>
  <c r="Q4294" i="34"/>
  <c r="Q4295" i="34"/>
  <c r="Q4296" i="34"/>
  <c r="Q4297" i="34"/>
  <c r="Q4298" i="34"/>
  <c r="Q4299" i="34"/>
  <c r="Q4300" i="34"/>
  <c r="Q4301" i="34"/>
  <c r="Q4302" i="34"/>
  <c r="Q4303" i="34"/>
  <c r="Q4304" i="34"/>
  <c r="Q4305" i="34"/>
  <c r="Q4306" i="34"/>
  <c r="Q4307" i="34"/>
  <c r="Q4308" i="34"/>
  <c r="Q4309" i="34"/>
  <c r="Q4310" i="34"/>
  <c r="Q4311" i="34"/>
  <c r="Q4312" i="34"/>
  <c r="Q4313" i="34"/>
  <c r="Q4314" i="34"/>
  <c r="Q4315" i="34"/>
  <c r="Q4316" i="34"/>
  <c r="Q4317" i="34"/>
  <c r="Q4318" i="34"/>
  <c r="Q4319" i="34"/>
  <c r="Q4320" i="34"/>
  <c r="Q4321" i="34"/>
  <c r="Q4322" i="34"/>
  <c r="Q4323" i="34"/>
  <c r="Q4324" i="34"/>
  <c r="Q4325" i="34"/>
  <c r="Q4326" i="34"/>
  <c r="Q4327" i="34"/>
  <c r="Q4328" i="34"/>
  <c r="Q4329" i="34"/>
  <c r="Q4330" i="34"/>
  <c r="Q4331" i="34"/>
  <c r="Q4332" i="34"/>
  <c r="Q4333" i="34"/>
  <c r="Q4334" i="34"/>
  <c r="Q4335" i="34"/>
  <c r="Q4336" i="34"/>
  <c r="Q4337" i="34"/>
  <c r="Q4338" i="34"/>
  <c r="Q4339" i="34"/>
  <c r="Q4340" i="34"/>
  <c r="Q4341" i="34"/>
  <c r="Q4342" i="34"/>
  <c r="Q4343" i="34"/>
  <c r="Q4344" i="34"/>
  <c r="Q4345" i="34"/>
  <c r="Q4346" i="34"/>
  <c r="Q4347" i="34"/>
  <c r="Q4348" i="34"/>
  <c r="Q4349" i="34"/>
  <c r="Q4350" i="34"/>
  <c r="Q4351" i="34"/>
  <c r="Q4352" i="34"/>
  <c r="Q4353" i="34"/>
  <c r="Q4354" i="34"/>
  <c r="Q4355" i="34"/>
  <c r="Q4356" i="34"/>
  <c r="Q4357" i="34"/>
  <c r="Q4358" i="34"/>
  <c r="Q4359" i="34"/>
  <c r="Q4360" i="34"/>
  <c r="Q4361" i="34"/>
  <c r="Q4362" i="34"/>
  <c r="Q4363" i="34"/>
  <c r="Q4364" i="34"/>
  <c r="Q4365" i="34"/>
  <c r="Q4366" i="34"/>
  <c r="Q4367" i="34"/>
  <c r="Q4368" i="34"/>
  <c r="Q4369" i="34"/>
  <c r="Q4370" i="34"/>
  <c r="Q4371" i="34"/>
  <c r="Q4372" i="34"/>
  <c r="Q4373" i="34"/>
  <c r="Q4374" i="34"/>
  <c r="Q4375" i="34"/>
  <c r="Q4376" i="34"/>
  <c r="Q4377" i="34"/>
  <c r="Q4378" i="34"/>
  <c r="Q4379" i="34"/>
  <c r="Q4380" i="34"/>
  <c r="Q4381" i="34"/>
  <c r="Q4382" i="34"/>
  <c r="Q4383" i="34"/>
  <c r="Q4384" i="34"/>
  <c r="Q4385" i="34"/>
  <c r="Q4386" i="34"/>
  <c r="Q4387" i="34"/>
  <c r="Q4388" i="34"/>
  <c r="Q4389" i="34"/>
  <c r="Q4390" i="34"/>
  <c r="Q4391" i="34"/>
  <c r="Q4392" i="34"/>
  <c r="Q4393" i="34"/>
  <c r="Q4394" i="34"/>
  <c r="Q4395" i="34"/>
  <c r="Q4396" i="34"/>
  <c r="Q4397" i="34"/>
  <c r="Q4398" i="34"/>
  <c r="Q4399" i="34"/>
  <c r="Q4400" i="34"/>
  <c r="Q4401" i="34"/>
  <c r="Q4402" i="34"/>
  <c r="Q4403" i="34"/>
  <c r="Q4404" i="34"/>
  <c r="Q4405" i="34"/>
  <c r="Q4406" i="34"/>
  <c r="Q4407" i="34"/>
  <c r="Q4408" i="34"/>
  <c r="Q4409" i="34"/>
  <c r="Q4410" i="34"/>
  <c r="Q4411" i="34"/>
  <c r="Q4412" i="34"/>
  <c r="Q4413" i="34"/>
  <c r="Q4414" i="34"/>
  <c r="Q4415" i="34"/>
  <c r="Q4416" i="34"/>
  <c r="Q4417" i="34"/>
  <c r="Q4418" i="34"/>
  <c r="Q4419" i="34"/>
  <c r="Q4420" i="34"/>
  <c r="Q4421" i="34"/>
  <c r="Q4422" i="34"/>
  <c r="Q4423" i="34"/>
  <c r="Q4424" i="34"/>
  <c r="Q4425" i="34"/>
  <c r="Q4426" i="34"/>
  <c r="Q4427" i="34"/>
  <c r="Q4428" i="34"/>
  <c r="Q4429" i="34"/>
  <c r="Q4430" i="34"/>
  <c r="Q4431" i="34"/>
  <c r="Q4432" i="34"/>
  <c r="Q4433" i="34"/>
  <c r="Q4434" i="34"/>
  <c r="Q4435" i="34"/>
  <c r="Q4436" i="34"/>
  <c r="Q4437" i="34"/>
  <c r="Q4438" i="34"/>
  <c r="Q4439" i="34"/>
  <c r="Q4440" i="34"/>
  <c r="Q4441" i="34"/>
  <c r="Q4442" i="34"/>
  <c r="Q4443" i="34"/>
  <c r="Q4444" i="34"/>
  <c r="Q4445" i="34"/>
  <c r="Q4446" i="34"/>
  <c r="Q4447" i="34"/>
  <c r="Q4448" i="34"/>
  <c r="Q4449" i="34"/>
  <c r="Q4450" i="34"/>
  <c r="Q4451" i="34"/>
  <c r="Q4452" i="34"/>
  <c r="Q4453" i="34"/>
  <c r="Q4454" i="34"/>
  <c r="Q4455" i="34"/>
  <c r="Q4456" i="34"/>
  <c r="Q4457" i="34"/>
  <c r="Q4458" i="34"/>
  <c r="Q4459" i="34"/>
  <c r="Q4460" i="34"/>
  <c r="Q4461" i="34"/>
  <c r="Q4462" i="34"/>
  <c r="Q4463" i="34"/>
  <c r="Q4464" i="34"/>
  <c r="Q4465" i="34"/>
  <c r="Q4466" i="34"/>
  <c r="Q4467" i="34"/>
  <c r="Q4468" i="34"/>
  <c r="Q4469" i="34"/>
  <c r="Q4470" i="34"/>
  <c r="Q4471" i="34"/>
  <c r="Q4472" i="34"/>
  <c r="Q4473" i="34"/>
  <c r="Q4474" i="34"/>
  <c r="Q4475" i="34"/>
  <c r="Q4476" i="34"/>
  <c r="Q4477" i="34"/>
  <c r="Q4478" i="34"/>
  <c r="Q4479" i="34"/>
  <c r="Q4480" i="34"/>
  <c r="Q4481" i="34"/>
  <c r="Q4482" i="34"/>
  <c r="Q4483" i="34"/>
  <c r="Q4484" i="34"/>
  <c r="Q4485" i="34"/>
  <c r="Q4486" i="34"/>
  <c r="Q4487" i="34"/>
  <c r="Q4488" i="34"/>
  <c r="Q4489" i="34"/>
  <c r="Q4490" i="34"/>
  <c r="Q4491" i="34"/>
  <c r="Q4492" i="34"/>
  <c r="Q4493" i="34"/>
  <c r="Q4494" i="34"/>
  <c r="Q4495" i="34"/>
  <c r="Q4496" i="34"/>
  <c r="Q4497" i="34"/>
  <c r="Q4498" i="34"/>
  <c r="Q4499" i="34"/>
  <c r="Q4500" i="34"/>
  <c r="Q4501" i="34"/>
  <c r="Q4502" i="34"/>
  <c r="Q4503" i="34"/>
  <c r="Q4504" i="34"/>
  <c r="Q4505" i="34"/>
  <c r="Q4506" i="34"/>
  <c r="Q4507" i="34"/>
  <c r="Q4508" i="34"/>
  <c r="Q4509" i="34"/>
  <c r="Q4510" i="34"/>
  <c r="Q4511" i="34"/>
  <c r="Q4512" i="34"/>
  <c r="Q4513" i="34"/>
  <c r="Q4514" i="34"/>
  <c r="Q4515" i="34"/>
  <c r="Q4516" i="34"/>
  <c r="Q4517" i="34"/>
  <c r="Q4518" i="34"/>
  <c r="Q4519" i="34"/>
  <c r="Q4520" i="34"/>
  <c r="Q4521" i="34"/>
  <c r="Q4522" i="34"/>
  <c r="Q4523" i="34"/>
  <c r="Q4524" i="34"/>
  <c r="Q4525" i="34"/>
  <c r="Q4526" i="34"/>
  <c r="Q4527" i="34"/>
  <c r="Q4528" i="34"/>
  <c r="Q4529" i="34"/>
  <c r="Q4530" i="34"/>
  <c r="Q4531" i="34"/>
  <c r="Q4532" i="34"/>
  <c r="Q4533" i="34"/>
  <c r="Q4534" i="34"/>
  <c r="Q4535" i="34"/>
  <c r="Q4536" i="34"/>
  <c r="Q4537" i="34"/>
  <c r="Q4538" i="34"/>
  <c r="Q4539" i="34"/>
  <c r="Q4540" i="34"/>
  <c r="Q4541" i="34"/>
  <c r="Q4542" i="34"/>
  <c r="Q4543" i="34"/>
  <c r="Q4544" i="34"/>
  <c r="Q4545" i="34"/>
  <c r="Q4546" i="34"/>
  <c r="Q4547" i="34"/>
  <c r="Q4548" i="34"/>
  <c r="Q4549" i="34"/>
  <c r="Q4550" i="34"/>
  <c r="Q4551" i="34"/>
  <c r="Q4552" i="34"/>
  <c r="Q4553" i="34"/>
  <c r="Q4554" i="34"/>
  <c r="Q4555" i="34"/>
  <c r="Q4556" i="34"/>
  <c r="Q4557" i="34"/>
  <c r="Q4558" i="34"/>
  <c r="Q4559" i="34"/>
  <c r="Q4560" i="34"/>
  <c r="Q4561" i="34"/>
  <c r="Q4562" i="34"/>
  <c r="Q4563" i="34"/>
  <c r="Q4564" i="34"/>
  <c r="Q4565" i="34"/>
  <c r="Q4566" i="34"/>
  <c r="Q4567" i="34"/>
  <c r="Q4568" i="34"/>
  <c r="Q4569" i="34"/>
  <c r="Q4570" i="34"/>
  <c r="Q4571" i="34"/>
  <c r="Q4572" i="34"/>
  <c r="Q4573" i="34"/>
  <c r="Q4574" i="34"/>
  <c r="Q4575" i="34"/>
  <c r="Q4576" i="34"/>
  <c r="Q4577" i="34"/>
  <c r="Q4578" i="34"/>
  <c r="Q4579" i="34"/>
  <c r="Q4580" i="34"/>
  <c r="Q4581" i="34"/>
  <c r="Q4582" i="34"/>
  <c r="Q4583" i="34"/>
  <c r="Q4584" i="34"/>
  <c r="Q4585" i="34"/>
  <c r="Q4586" i="34"/>
  <c r="Q4587" i="34"/>
  <c r="Q4588" i="34"/>
  <c r="Q4589" i="34"/>
  <c r="Q4590" i="34"/>
  <c r="Q4591" i="34"/>
  <c r="Q4592" i="34"/>
  <c r="Q4593" i="34"/>
  <c r="Q4594" i="34"/>
  <c r="Q4595" i="34"/>
  <c r="Q4596" i="34"/>
  <c r="Q4597" i="34"/>
  <c r="Q4598" i="34"/>
  <c r="Q4599" i="34"/>
  <c r="Q4600" i="34"/>
  <c r="Q4601" i="34"/>
  <c r="Q4602" i="34"/>
  <c r="Q4603" i="34"/>
  <c r="Q4604" i="34"/>
  <c r="Q4605" i="34"/>
  <c r="Q4606" i="34"/>
  <c r="Q4607" i="34"/>
  <c r="Q4608" i="34"/>
  <c r="Q4609" i="34"/>
  <c r="Q4610" i="34"/>
  <c r="Q4611" i="34"/>
  <c r="Q4612" i="34"/>
  <c r="Q4613" i="34"/>
  <c r="Q4614" i="34"/>
  <c r="Q4615" i="34"/>
  <c r="Q4616" i="34"/>
  <c r="Q4617" i="34"/>
  <c r="Q4618" i="34"/>
  <c r="Q4619" i="34"/>
  <c r="Q4620" i="34"/>
  <c r="Q4621" i="34"/>
  <c r="Q4622" i="34"/>
  <c r="Q4623" i="34"/>
  <c r="Q4624" i="34"/>
  <c r="Q4625" i="34"/>
  <c r="Q4626" i="34"/>
  <c r="Q4627" i="34"/>
  <c r="Q4628" i="34"/>
  <c r="Q4629" i="34"/>
  <c r="Q4630" i="34"/>
  <c r="Q4631" i="34"/>
  <c r="Q4632" i="34"/>
  <c r="Q4633" i="34"/>
  <c r="Q4634" i="34"/>
  <c r="Q4635" i="34"/>
  <c r="Q4636" i="34"/>
  <c r="Q4637" i="34"/>
  <c r="Q4638" i="34"/>
  <c r="Q4639" i="34"/>
  <c r="Q4640" i="34"/>
  <c r="Q4641" i="34"/>
  <c r="Q4642" i="34"/>
  <c r="Q4643" i="34"/>
  <c r="Q4644" i="34"/>
  <c r="Q4645" i="34"/>
  <c r="Q4646" i="34"/>
  <c r="Q4647" i="34"/>
  <c r="Q4648" i="34"/>
  <c r="Q4649" i="34"/>
  <c r="Q4650" i="34"/>
  <c r="Q4651" i="34"/>
  <c r="Q4652" i="34"/>
  <c r="Q4653" i="34"/>
  <c r="Q4654" i="34"/>
  <c r="Q4655" i="34"/>
  <c r="Q4656" i="34"/>
  <c r="Q4657" i="34"/>
  <c r="Q4658" i="34"/>
  <c r="Q4659" i="34"/>
  <c r="Q4660" i="34"/>
  <c r="Q4661" i="34"/>
  <c r="Q4662" i="34"/>
  <c r="Q4663" i="34"/>
  <c r="Q4664" i="34"/>
  <c r="Q4665" i="34"/>
  <c r="Q4666" i="34"/>
  <c r="Q4667" i="34"/>
  <c r="Q4668" i="34"/>
  <c r="Q4669" i="34"/>
  <c r="Q4670" i="34"/>
  <c r="Q4671" i="34"/>
  <c r="Q4672" i="34"/>
  <c r="Q4673" i="34"/>
  <c r="Q4674" i="34"/>
  <c r="Q4675" i="34"/>
  <c r="Q4676" i="34"/>
  <c r="Q4677" i="34"/>
  <c r="Q4678" i="34"/>
  <c r="Q4679" i="34"/>
  <c r="Q4680" i="34"/>
  <c r="Q4681" i="34"/>
  <c r="Q4682" i="34"/>
  <c r="Q4683" i="34"/>
  <c r="Q4684" i="34"/>
  <c r="Q4685" i="34"/>
  <c r="Q4686" i="34"/>
  <c r="Q4687" i="34"/>
  <c r="Q4688" i="34"/>
  <c r="Q4689" i="34"/>
  <c r="Q4690" i="34"/>
  <c r="Q4691" i="34"/>
  <c r="Q4692" i="34"/>
  <c r="Q4693" i="34"/>
  <c r="Q4694" i="34"/>
  <c r="Q4695" i="34"/>
  <c r="Q4696" i="34"/>
  <c r="Q4697" i="34"/>
  <c r="Q4698" i="34"/>
  <c r="Q4699" i="34"/>
  <c r="Q4700" i="34"/>
  <c r="Q4701" i="34"/>
  <c r="Q4702" i="34"/>
  <c r="Q4703" i="34"/>
  <c r="Q4704" i="34"/>
  <c r="Q4705" i="34"/>
  <c r="Q4706" i="34"/>
  <c r="Q4707" i="34"/>
  <c r="Q4708" i="34"/>
  <c r="Q4709" i="34"/>
  <c r="Q4710" i="34"/>
  <c r="Q4711" i="34"/>
  <c r="Q4712" i="34"/>
  <c r="Q4713" i="34"/>
  <c r="Q4714" i="34"/>
  <c r="Q4715" i="34"/>
  <c r="Q4716" i="34"/>
  <c r="Q4717" i="34"/>
  <c r="Q4718" i="34"/>
  <c r="Q4719" i="34"/>
  <c r="Q4720" i="34"/>
  <c r="Q4721" i="34"/>
  <c r="Q4722" i="34"/>
  <c r="Q4723" i="34"/>
  <c r="Q4724" i="34"/>
  <c r="Q4725" i="34"/>
  <c r="Q4726" i="34"/>
  <c r="Q4727" i="34"/>
  <c r="Q4728" i="34"/>
  <c r="Q4729" i="34"/>
  <c r="Q4730" i="34"/>
  <c r="Q4731" i="34"/>
  <c r="Q4732" i="34"/>
  <c r="Q4733" i="34"/>
  <c r="Q4734" i="34"/>
  <c r="Q4735" i="34"/>
  <c r="Q4736" i="34"/>
  <c r="Q4737" i="34"/>
  <c r="Q4738" i="34"/>
  <c r="Q4739" i="34"/>
  <c r="Q4740" i="34"/>
  <c r="Q4741" i="34"/>
  <c r="Q4742" i="34"/>
  <c r="Q4743" i="34"/>
  <c r="Q4744" i="34"/>
  <c r="Q4745" i="34"/>
  <c r="Q4746" i="34"/>
  <c r="Q4747" i="34"/>
  <c r="Q4748" i="34"/>
  <c r="Q4749" i="34"/>
  <c r="Q4750" i="34"/>
  <c r="Q4751" i="34"/>
  <c r="Q4752" i="34"/>
  <c r="Q4753" i="34"/>
  <c r="Q4754" i="34"/>
  <c r="Q4755" i="34"/>
  <c r="Q4756" i="34"/>
  <c r="Q4757" i="34"/>
  <c r="Q4758" i="34"/>
  <c r="Q4759" i="34"/>
  <c r="Q4760" i="34"/>
  <c r="Q4761" i="34"/>
  <c r="Q4762" i="34"/>
  <c r="Q4763" i="34"/>
  <c r="Q4764" i="34"/>
  <c r="Q4765" i="34"/>
  <c r="Q4766" i="34"/>
  <c r="Q4767" i="34"/>
  <c r="Q4768" i="34"/>
  <c r="Q4769" i="34"/>
  <c r="Q4770" i="34"/>
  <c r="Q4771" i="34"/>
  <c r="Q4772" i="34"/>
  <c r="Q4773" i="34"/>
  <c r="Q4774" i="34"/>
  <c r="Q4775" i="34"/>
  <c r="Q4776" i="34"/>
  <c r="Q4777" i="34"/>
  <c r="Q4778" i="34"/>
  <c r="Q4779" i="34"/>
  <c r="Q4780" i="34"/>
  <c r="Q4781" i="34"/>
  <c r="Q4782" i="34"/>
  <c r="Q4783" i="34"/>
  <c r="Q4784" i="34"/>
  <c r="Q4785" i="34"/>
  <c r="Q4786" i="34"/>
  <c r="Q4787" i="34"/>
  <c r="Q4788" i="34"/>
  <c r="Q4789" i="34"/>
  <c r="Q4790" i="34"/>
  <c r="Q4791" i="34"/>
  <c r="Q4792" i="34"/>
  <c r="Q4793" i="34"/>
  <c r="Q4794" i="34"/>
  <c r="Q4795" i="34"/>
  <c r="Q4796" i="34"/>
  <c r="Q4797" i="34"/>
  <c r="Q4798" i="34"/>
  <c r="Q4799" i="34"/>
  <c r="Q4800" i="34"/>
  <c r="Q4801" i="34"/>
  <c r="Q4802" i="34"/>
  <c r="Q4803" i="34"/>
  <c r="Q4804" i="34"/>
  <c r="Q4805" i="34"/>
  <c r="Q4806" i="34"/>
  <c r="Q4807" i="34"/>
  <c r="Q4808" i="34"/>
  <c r="Q4809" i="34"/>
  <c r="Q4810" i="34"/>
  <c r="Q4811" i="34"/>
  <c r="Q4812" i="34"/>
  <c r="Q4813" i="34"/>
  <c r="Q4814" i="34"/>
  <c r="Q4815" i="34"/>
  <c r="Q4816" i="34"/>
  <c r="Q4817" i="34"/>
  <c r="Q4818" i="34"/>
  <c r="Q4819" i="34"/>
  <c r="Q4820" i="34"/>
  <c r="Q4821" i="34"/>
  <c r="Q4822" i="34"/>
  <c r="Q4823" i="34"/>
  <c r="Q4824" i="34"/>
  <c r="Q4825" i="34"/>
  <c r="Q4826" i="34"/>
  <c r="Q4827" i="34"/>
  <c r="Q4828" i="34"/>
  <c r="Q4829" i="34"/>
  <c r="Q4830" i="34"/>
  <c r="Q4831" i="34"/>
  <c r="Q4832" i="34"/>
  <c r="Q4833" i="34"/>
  <c r="Q4834" i="34"/>
  <c r="Q4835" i="34"/>
  <c r="Q4836" i="34"/>
  <c r="Q4837" i="34"/>
  <c r="Q4838" i="34"/>
  <c r="Q4839" i="34"/>
  <c r="Q4840" i="34"/>
  <c r="Q4841" i="34"/>
  <c r="Q4842" i="34"/>
  <c r="Q4843" i="34"/>
  <c r="Q4844" i="34"/>
  <c r="Q4845" i="34"/>
  <c r="Q4846" i="34"/>
  <c r="Q4847" i="34"/>
  <c r="Q4848" i="34"/>
  <c r="Q4849" i="34"/>
  <c r="Q4850" i="34"/>
  <c r="Q4851" i="34"/>
  <c r="Q4852" i="34"/>
  <c r="Q4853" i="34"/>
  <c r="Q4854" i="34"/>
  <c r="Q4855" i="34"/>
  <c r="Q4856" i="34"/>
  <c r="Q4857" i="34"/>
  <c r="Q4858" i="34"/>
  <c r="Q4859" i="34"/>
  <c r="Q4860" i="34"/>
  <c r="Q4861" i="34"/>
  <c r="Q4862" i="34"/>
  <c r="Q4863" i="34"/>
  <c r="Q4864" i="34"/>
  <c r="Q4865" i="34"/>
  <c r="Q4866" i="34"/>
  <c r="Q4867" i="34"/>
  <c r="Q4868" i="34"/>
  <c r="Q4869" i="34"/>
  <c r="Q4870" i="34"/>
  <c r="Q4871" i="34"/>
  <c r="Q4872" i="34"/>
  <c r="Q4873" i="34"/>
  <c r="Q4874" i="34"/>
  <c r="Q4875" i="34"/>
  <c r="Q4876" i="34"/>
  <c r="Q4877" i="34"/>
  <c r="Q4878" i="34"/>
  <c r="Q4879" i="34"/>
  <c r="Q4880" i="34"/>
  <c r="Q4881" i="34"/>
  <c r="Q4882" i="34"/>
  <c r="Q4883" i="34"/>
  <c r="Q4884" i="34"/>
  <c r="Q4885" i="34"/>
  <c r="Q4886" i="34"/>
  <c r="Q4887" i="34"/>
  <c r="Q4888" i="34"/>
  <c r="Q4889" i="34"/>
  <c r="Q4890" i="34"/>
  <c r="Q4891" i="34"/>
  <c r="Q4892" i="34"/>
  <c r="Q4893" i="34"/>
  <c r="Q4894" i="34"/>
  <c r="Q4895" i="34"/>
  <c r="Q4896" i="34"/>
  <c r="Q4897" i="34"/>
  <c r="Q4898" i="34"/>
  <c r="Q4899" i="34"/>
  <c r="Q4900" i="34"/>
  <c r="Q4901" i="34"/>
  <c r="Q4902" i="34"/>
  <c r="Q4903" i="34"/>
  <c r="Q4904" i="34"/>
  <c r="Q4905" i="34"/>
  <c r="Q4906" i="34"/>
  <c r="Q4907" i="34"/>
  <c r="Q4908" i="34"/>
  <c r="Q4909" i="34"/>
  <c r="Q4910" i="34"/>
  <c r="Q4911" i="34"/>
  <c r="Q4912" i="34"/>
  <c r="Q4913" i="34"/>
  <c r="Q4914" i="34"/>
  <c r="Q4915" i="34"/>
  <c r="Q4916" i="34"/>
  <c r="Q4917" i="34"/>
  <c r="Q4918" i="34"/>
  <c r="Q4919" i="34"/>
  <c r="Q4920" i="34"/>
  <c r="Q4921" i="34"/>
  <c r="Q4922" i="34"/>
  <c r="Q4923" i="34"/>
  <c r="Q4924" i="34"/>
  <c r="Q4925" i="34"/>
  <c r="Q4926" i="34"/>
  <c r="Q4927" i="34"/>
  <c r="Q4928" i="34"/>
  <c r="Q4929" i="34"/>
  <c r="Q4930" i="34"/>
  <c r="Q4931" i="34"/>
  <c r="Q4932" i="34"/>
  <c r="Q4933" i="34"/>
  <c r="Q4934" i="34"/>
  <c r="Q4935" i="34"/>
  <c r="Q4936" i="34"/>
  <c r="Q4937" i="34"/>
  <c r="Q4938" i="34"/>
  <c r="Q4939" i="34"/>
  <c r="Q4940" i="34"/>
  <c r="Q4941" i="34"/>
  <c r="Q4942" i="34"/>
  <c r="Q4943" i="34"/>
  <c r="Q4944" i="34"/>
  <c r="Q4945" i="34"/>
  <c r="Q4946" i="34"/>
  <c r="Q4947" i="34"/>
  <c r="Q4948" i="34"/>
  <c r="Q4949" i="34"/>
  <c r="Q4950" i="34"/>
  <c r="Q4951" i="34"/>
  <c r="Q4952" i="34"/>
  <c r="Q4953" i="34"/>
  <c r="Q4954" i="34"/>
  <c r="Q4955" i="34"/>
  <c r="Q4956" i="34"/>
  <c r="Q4957" i="34"/>
  <c r="Q4958" i="34"/>
  <c r="Q4959" i="34"/>
  <c r="Q4960" i="34"/>
  <c r="Q4961" i="34"/>
  <c r="Q4962" i="34"/>
  <c r="Q4963" i="34"/>
  <c r="Q4964" i="34"/>
  <c r="Q4965" i="34"/>
  <c r="Q4966" i="34"/>
  <c r="Q4967" i="34"/>
  <c r="Q4968" i="34"/>
  <c r="Q4969" i="34"/>
  <c r="Q4970" i="34"/>
  <c r="Q4971" i="34"/>
  <c r="Q4972" i="34"/>
  <c r="Q4973" i="34"/>
  <c r="Q4974" i="34"/>
  <c r="Q4975" i="34"/>
  <c r="Q4976" i="34"/>
  <c r="Q4977" i="34"/>
  <c r="Q4978" i="34"/>
  <c r="Q4979" i="34"/>
  <c r="Q4980" i="34"/>
  <c r="Q4981" i="34"/>
  <c r="Q4982" i="34"/>
  <c r="Q4983" i="34"/>
  <c r="Q4984" i="34"/>
  <c r="Q4985" i="34"/>
  <c r="Q4986" i="34"/>
  <c r="Q4987" i="34"/>
  <c r="Q4988" i="34"/>
  <c r="Q4989" i="34"/>
  <c r="Q4990" i="34"/>
  <c r="Q4991" i="34"/>
  <c r="Q4992" i="34"/>
  <c r="Q4993" i="34"/>
  <c r="Q4994" i="34"/>
  <c r="Q4995" i="34"/>
  <c r="Q4996" i="34"/>
  <c r="Q4997" i="34"/>
  <c r="Q4998" i="34"/>
  <c r="Q4999" i="34"/>
  <c r="Q5000" i="34"/>
  <c r="Q5001" i="34"/>
  <c r="Q5002" i="34"/>
  <c r="Q5003" i="34"/>
  <c r="Q5004" i="34"/>
  <c r="Q5005" i="34"/>
  <c r="Q5006" i="34"/>
  <c r="Q5007" i="34"/>
  <c r="Q5008" i="34"/>
  <c r="Q5009" i="34"/>
  <c r="Q5010" i="34"/>
  <c r="Q5011" i="34"/>
  <c r="Q5012" i="34"/>
  <c r="Q5013" i="34"/>
  <c r="Q5014" i="34"/>
  <c r="Q5015" i="34"/>
  <c r="Q5016" i="34"/>
  <c r="Q5017" i="34"/>
  <c r="Q5018" i="34"/>
  <c r="Q5019" i="34"/>
  <c r="Q5020" i="34"/>
  <c r="Q5021" i="34"/>
  <c r="Q5022" i="34"/>
  <c r="Q5023" i="34"/>
  <c r="Q5024" i="34"/>
  <c r="Q5025" i="34"/>
  <c r="Q5026" i="34"/>
  <c r="Q5027" i="34"/>
  <c r="Q5028" i="34"/>
  <c r="Q5029" i="34"/>
  <c r="Q5030" i="34"/>
  <c r="Q5031" i="34"/>
  <c r="Q5032" i="34"/>
  <c r="Q5033" i="34"/>
  <c r="Q5034" i="34"/>
  <c r="Q5035" i="34"/>
  <c r="Q5036" i="34"/>
  <c r="Q5037" i="34"/>
  <c r="Q5038" i="34"/>
  <c r="Q5039" i="34"/>
  <c r="Q5040" i="34"/>
  <c r="Q5041" i="34"/>
  <c r="Q5042" i="34"/>
  <c r="Q5043" i="34"/>
  <c r="Q5044" i="34"/>
  <c r="Q5045" i="34"/>
  <c r="Q5046" i="34"/>
  <c r="Q5047" i="34"/>
  <c r="Q5048" i="34"/>
  <c r="Q5049" i="34"/>
  <c r="Q5050" i="34"/>
  <c r="Q5051" i="34"/>
  <c r="Q5052" i="34"/>
  <c r="Q5053" i="34"/>
  <c r="Q5054" i="34"/>
  <c r="Q5055" i="34"/>
  <c r="Q5056" i="34"/>
  <c r="Q5057" i="34"/>
  <c r="Q5058" i="34"/>
  <c r="Q5059" i="34"/>
  <c r="Q5060" i="34"/>
  <c r="Q5061" i="34"/>
  <c r="Q5062" i="34"/>
  <c r="Q5063" i="34"/>
  <c r="Q5064" i="34"/>
  <c r="Q5065" i="34"/>
  <c r="Q5066" i="34"/>
  <c r="Q5067" i="34"/>
  <c r="Q5068" i="34"/>
  <c r="Q5069" i="34"/>
  <c r="Q5070" i="34"/>
  <c r="Q5071" i="34"/>
  <c r="Q5072" i="34"/>
  <c r="Q5073" i="34"/>
  <c r="Q5074" i="34"/>
  <c r="Q5075" i="34"/>
  <c r="Q5076" i="34"/>
  <c r="Q5077" i="34"/>
  <c r="Q5078" i="34"/>
  <c r="Q5079" i="34"/>
  <c r="Q5080" i="34"/>
  <c r="Q5081" i="34"/>
  <c r="Q5082" i="34"/>
  <c r="Q5083" i="34"/>
  <c r="Q5084" i="34"/>
  <c r="Q5085" i="34"/>
  <c r="Q5086" i="34"/>
  <c r="Q5087" i="34"/>
  <c r="Q5088" i="34"/>
  <c r="Q5089" i="34"/>
  <c r="Q5090" i="34"/>
  <c r="Q5091" i="34"/>
  <c r="Q5092" i="34"/>
  <c r="Q5093" i="34"/>
  <c r="Q5094" i="34"/>
  <c r="Q5095" i="34"/>
  <c r="Q5096" i="34"/>
  <c r="Q5097" i="34"/>
  <c r="Q5098" i="34"/>
  <c r="Q5099" i="34"/>
  <c r="Q5100" i="34"/>
  <c r="Q5101" i="34"/>
  <c r="Q5102" i="34"/>
  <c r="Q5103" i="34"/>
  <c r="Q5104" i="34"/>
  <c r="Q5105" i="34"/>
  <c r="Q5106" i="34"/>
  <c r="Q5107" i="34"/>
  <c r="Q5108" i="34"/>
  <c r="Q5109" i="34"/>
  <c r="Q5110" i="34"/>
  <c r="Q5111" i="34"/>
  <c r="Q5112" i="34"/>
  <c r="Q5113" i="34"/>
  <c r="Q5114" i="34"/>
  <c r="Q5115" i="34"/>
  <c r="Q5116" i="34"/>
  <c r="Q5117" i="34"/>
  <c r="Q5118" i="34"/>
  <c r="Q5119" i="34"/>
  <c r="Q5120" i="34"/>
  <c r="Q5121" i="34"/>
  <c r="Q5122" i="34"/>
  <c r="Q5123" i="34"/>
  <c r="Q5124" i="34"/>
  <c r="Q5125" i="34"/>
  <c r="Q5126" i="34"/>
  <c r="Q5127" i="34"/>
  <c r="Q5128" i="34"/>
  <c r="Q5129" i="34"/>
  <c r="Q5130" i="34"/>
  <c r="Q5131" i="34"/>
  <c r="Q5132" i="34"/>
  <c r="Q5133" i="34"/>
  <c r="Q5134" i="34"/>
  <c r="Q5135" i="34"/>
  <c r="Q5136" i="34"/>
  <c r="Q5137" i="34"/>
  <c r="Q5138" i="34"/>
  <c r="Q5139" i="34"/>
  <c r="Q5140" i="34"/>
  <c r="Q5141" i="34"/>
  <c r="Q5142" i="34"/>
  <c r="Q5143" i="34"/>
  <c r="Q5144" i="34"/>
  <c r="Q5145" i="34"/>
  <c r="Q5146" i="34"/>
  <c r="Q5147" i="34"/>
  <c r="Q5148" i="34"/>
  <c r="Q5149" i="34"/>
  <c r="Q5150" i="34"/>
  <c r="Q5151" i="34"/>
  <c r="Q5152" i="34"/>
  <c r="Q5153" i="34"/>
  <c r="Q5154" i="34"/>
  <c r="Q5155" i="34"/>
  <c r="Q5156" i="34"/>
  <c r="Q5157" i="34"/>
  <c r="Q5158" i="34"/>
  <c r="Q5159" i="34"/>
  <c r="Q5160" i="34"/>
  <c r="Q5161" i="34"/>
  <c r="Q5162" i="34"/>
  <c r="Q5163" i="34"/>
  <c r="Q5164" i="34"/>
  <c r="Q5165" i="34"/>
  <c r="Q5166" i="34"/>
  <c r="Q5167" i="34"/>
  <c r="Q5168" i="34"/>
  <c r="Q5169" i="34"/>
  <c r="Q5170" i="34"/>
  <c r="Q5171" i="34"/>
  <c r="Q5172" i="34"/>
  <c r="Q5173" i="34"/>
  <c r="Q5174" i="34"/>
  <c r="Q5175" i="34"/>
  <c r="Q5176" i="34"/>
  <c r="Q5177" i="34"/>
  <c r="Q5178" i="34"/>
  <c r="Q5179" i="34"/>
  <c r="Q5180" i="34"/>
  <c r="Q5181" i="34"/>
  <c r="Q5182" i="34"/>
  <c r="Q5183" i="34"/>
  <c r="Q5184" i="34"/>
  <c r="Q5185" i="34"/>
  <c r="Q5186" i="34"/>
  <c r="Q5187" i="34"/>
  <c r="Q5188" i="34"/>
  <c r="Q5189" i="34"/>
  <c r="Q5190" i="34"/>
  <c r="Q5191" i="34"/>
  <c r="Q5192" i="34"/>
  <c r="Q5193" i="34"/>
  <c r="Q5194" i="34"/>
  <c r="Q5195" i="34"/>
  <c r="Q5196" i="34"/>
  <c r="Q5197" i="34"/>
  <c r="Q5198" i="34"/>
  <c r="Q5199" i="34"/>
  <c r="Q5200" i="34"/>
  <c r="Q5201" i="34"/>
  <c r="Q5202" i="34"/>
  <c r="Q5203" i="34"/>
  <c r="Q5204" i="34"/>
  <c r="Q5205" i="34"/>
  <c r="Q5206" i="34"/>
  <c r="Q5207" i="34"/>
  <c r="Q5208" i="34"/>
  <c r="Q5209" i="34"/>
  <c r="Q5210" i="34"/>
  <c r="Q5211" i="34"/>
  <c r="Q5212" i="34"/>
  <c r="Q5213" i="34"/>
  <c r="Q5214" i="34"/>
  <c r="Q5215" i="34"/>
  <c r="Q5216" i="34"/>
  <c r="Q5217" i="34"/>
  <c r="Q5218" i="34"/>
  <c r="Q5219" i="34"/>
  <c r="Q5220" i="34"/>
  <c r="Q5221" i="34"/>
  <c r="Q5222" i="34"/>
  <c r="Q5223" i="34"/>
  <c r="Q5224" i="34"/>
  <c r="Q5225" i="34"/>
  <c r="Q5226" i="34"/>
  <c r="Q5227" i="34"/>
  <c r="Q5228" i="34"/>
  <c r="Q5229" i="34"/>
  <c r="Q5230" i="34"/>
  <c r="Q5231" i="34"/>
  <c r="Q5232" i="34"/>
  <c r="Q5233" i="34"/>
  <c r="Q5234" i="34"/>
  <c r="Q5235" i="34"/>
  <c r="Q5236" i="34"/>
  <c r="Q5237" i="34"/>
  <c r="Q5238" i="34"/>
  <c r="Q5239" i="34"/>
  <c r="Q5240" i="34"/>
  <c r="Q5241" i="34"/>
  <c r="Q5242" i="34"/>
  <c r="Q5243" i="34"/>
  <c r="Q5244" i="34"/>
  <c r="Q5245" i="34"/>
  <c r="Q5246" i="34"/>
  <c r="Q5247" i="34"/>
  <c r="Q5248" i="34"/>
  <c r="Q5249" i="34"/>
  <c r="Q5250" i="34"/>
  <c r="Q5251" i="34"/>
  <c r="Q5252" i="34"/>
  <c r="Q5253" i="34"/>
  <c r="Q5254" i="34"/>
  <c r="Q5255" i="34"/>
  <c r="Q5256" i="34"/>
  <c r="Q5257" i="34"/>
  <c r="Q5258" i="34"/>
  <c r="Q5259" i="34"/>
  <c r="Q5260" i="34"/>
  <c r="Q5261" i="34"/>
  <c r="Q5262" i="34"/>
  <c r="Q5263" i="34"/>
  <c r="Q5264" i="34"/>
  <c r="Q5265" i="34"/>
  <c r="Q5266" i="34"/>
  <c r="Q5267" i="34"/>
  <c r="Q5268" i="34"/>
  <c r="Q5269" i="34"/>
  <c r="Q5270" i="34"/>
  <c r="Q5271" i="34"/>
  <c r="Q5272" i="34"/>
  <c r="Q5273" i="34"/>
  <c r="Q5274" i="34"/>
  <c r="Q5275" i="34"/>
  <c r="Q5276" i="34"/>
  <c r="Q5277" i="34"/>
  <c r="Q5278" i="34"/>
  <c r="Q5279" i="34"/>
  <c r="Q5280" i="34"/>
  <c r="Q5281" i="34"/>
  <c r="Q5282" i="34"/>
  <c r="Q5283" i="34"/>
  <c r="Q5284" i="34"/>
  <c r="Q5285" i="34"/>
  <c r="Q5286" i="34"/>
  <c r="Q5287" i="34"/>
  <c r="Q5288" i="34"/>
  <c r="Q5289" i="34"/>
  <c r="Q5290" i="34"/>
  <c r="Q5291" i="34"/>
  <c r="Q5292" i="34"/>
  <c r="Q5293" i="34"/>
  <c r="Q5294" i="34"/>
  <c r="Q5295" i="34"/>
  <c r="Q5296" i="34"/>
  <c r="Q5297" i="34"/>
  <c r="Q5298" i="34"/>
  <c r="Q5299" i="34"/>
  <c r="Q5300" i="34"/>
  <c r="Q5301" i="34"/>
  <c r="Q5302" i="34"/>
  <c r="Q5303" i="34"/>
  <c r="Q5304" i="34"/>
  <c r="Q5305" i="34"/>
  <c r="Q5306" i="34"/>
  <c r="Q5307" i="34"/>
  <c r="Q5308" i="34"/>
  <c r="Q5309" i="34"/>
  <c r="Q5310" i="34"/>
  <c r="Q5311" i="34"/>
  <c r="Q5312" i="34"/>
  <c r="Q5313" i="34"/>
  <c r="Q5314" i="34"/>
  <c r="Q5315" i="34"/>
  <c r="Q5316" i="34"/>
  <c r="Q5317" i="34"/>
  <c r="Q5318" i="34"/>
  <c r="Q5319" i="34"/>
  <c r="Q5320" i="34"/>
  <c r="Q5321" i="34"/>
  <c r="Q5322" i="34"/>
  <c r="Q5323" i="34"/>
  <c r="Q5324" i="34"/>
  <c r="Q5325" i="34"/>
  <c r="Q5326" i="34"/>
  <c r="Q5327" i="34"/>
  <c r="Q5328" i="34"/>
  <c r="Q5329" i="34"/>
  <c r="Q5330" i="34"/>
  <c r="Q5331" i="34"/>
  <c r="Q5332" i="34"/>
  <c r="Q5333" i="34"/>
  <c r="Q5334" i="34"/>
  <c r="Q5335" i="34"/>
  <c r="Q5336" i="34"/>
  <c r="Q5337" i="34"/>
  <c r="Q5338" i="34"/>
  <c r="Q5339" i="34"/>
  <c r="Q5340" i="34"/>
  <c r="Q5341" i="34"/>
  <c r="Q5342" i="34"/>
  <c r="Q5343" i="34"/>
  <c r="Q5344" i="34"/>
  <c r="Q5345" i="34"/>
  <c r="Q5346" i="34"/>
  <c r="Q5347" i="34"/>
  <c r="Q5348" i="34"/>
  <c r="Q5349" i="34"/>
  <c r="Q5350" i="34"/>
  <c r="Q5351" i="34"/>
  <c r="Q5352" i="34"/>
  <c r="Q5353" i="34"/>
  <c r="Q5354" i="34"/>
  <c r="Q5355" i="34"/>
  <c r="Q5356" i="34"/>
  <c r="Q5357" i="34"/>
  <c r="Q5358" i="34"/>
  <c r="Q5359" i="34"/>
  <c r="Q5360" i="34"/>
  <c r="Q5361" i="34"/>
  <c r="Q5362" i="34"/>
  <c r="Q5363" i="34"/>
  <c r="Q5364" i="34"/>
  <c r="Q5365" i="34"/>
  <c r="Q5366" i="34"/>
  <c r="Q5367" i="34"/>
  <c r="Q5368" i="34"/>
  <c r="Q5369" i="34"/>
  <c r="Q5370" i="34"/>
  <c r="Q5371" i="34"/>
  <c r="Q5372" i="34"/>
  <c r="Q5373" i="34"/>
  <c r="Q5374" i="34"/>
  <c r="Q5375" i="34"/>
  <c r="Q5376" i="34"/>
  <c r="Q5377" i="34"/>
  <c r="Q5378" i="34"/>
  <c r="Q5379" i="34"/>
  <c r="Q5380" i="34"/>
  <c r="Q5381" i="34"/>
  <c r="Q5382" i="34"/>
  <c r="Q5383" i="34"/>
  <c r="Q5384" i="34"/>
  <c r="Q5385" i="34"/>
  <c r="Q5386" i="34"/>
  <c r="Q5387" i="34"/>
  <c r="Q5388" i="34"/>
  <c r="Q5389" i="34"/>
  <c r="Q5390" i="34"/>
  <c r="Q5391" i="34"/>
  <c r="Q5392" i="34"/>
  <c r="Q5393" i="34"/>
  <c r="Q5394" i="34"/>
  <c r="Q5395" i="34"/>
  <c r="Q5396" i="34"/>
  <c r="Q5397" i="34"/>
  <c r="Q5398" i="34"/>
  <c r="Q5399" i="34"/>
  <c r="Q5400" i="34"/>
  <c r="Q5401" i="34"/>
  <c r="Q5402" i="34"/>
  <c r="Q5403" i="34"/>
  <c r="Q5404" i="34"/>
  <c r="Q5405" i="34"/>
  <c r="Q5406" i="34"/>
  <c r="Q5407" i="34"/>
  <c r="Q5408" i="34"/>
  <c r="Q5409" i="34"/>
  <c r="Q5410" i="34"/>
  <c r="Q5411" i="34"/>
  <c r="Q5412" i="34"/>
  <c r="Q5413" i="34"/>
  <c r="Q5414" i="34"/>
  <c r="Q5415" i="34"/>
  <c r="Q5416" i="34"/>
  <c r="Q5417" i="34"/>
  <c r="Q5418" i="34"/>
  <c r="Q5419" i="34"/>
  <c r="Q5420" i="34"/>
  <c r="Q5421" i="34"/>
  <c r="Q5422" i="34"/>
  <c r="Q5423" i="34"/>
  <c r="Q5424" i="34"/>
  <c r="Q5425" i="34"/>
  <c r="Q5426" i="34"/>
  <c r="Q5427" i="34"/>
  <c r="Q5428" i="34"/>
  <c r="Q5429" i="34"/>
  <c r="Q5430" i="34"/>
  <c r="Q5431" i="34"/>
  <c r="Q5432" i="34"/>
  <c r="Q5433" i="34"/>
  <c r="Q5434" i="34"/>
  <c r="Q5435" i="34"/>
  <c r="Q5436" i="34"/>
  <c r="Q5437" i="34"/>
  <c r="Q5438" i="34"/>
  <c r="Q5439" i="34"/>
  <c r="Q5440" i="34"/>
  <c r="Q5441" i="34"/>
  <c r="Q5442" i="34"/>
  <c r="Q5443" i="34"/>
  <c r="Q5444" i="34"/>
  <c r="Q5445" i="34"/>
  <c r="Q5446" i="34"/>
  <c r="Q5447" i="34"/>
  <c r="Q5448" i="34"/>
  <c r="Q5449" i="34"/>
  <c r="Q5450" i="34"/>
  <c r="Q5451" i="34"/>
  <c r="Q5452" i="34"/>
  <c r="Q5453" i="34"/>
  <c r="Q5454" i="34"/>
  <c r="Q5455" i="34"/>
  <c r="Q5456" i="34"/>
  <c r="Q5457" i="34"/>
  <c r="Q5458" i="34"/>
  <c r="Q5459" i="34"/>
  <c r="Q5460" i="34"/>
  <c r="Q5461" i="34"/>
  <c r="Q5462" i="34"/>
  <c r="Q5463" i="34"/>
  <c r="Q5464" i="34"/>
  <c r="Q5465" i="34"/>
  <c r="Q5466" i="34"/>
  <c r="Q5467" i="34"/>
  <c r="Q5468" i="34"/>
  <c r="Q5469" i="34"/>
  <c r="Q5470" i="34"/>
  <c r="Q5471" i="34"/>
  <c r="Q5472" i="34"/>
  <c r="Q5473" i="34"/>
  <c r="Q5474" i="34"/>
  <c r="Q5475" i="34"/>
  <c r="Q5476" i="34"/>
  <c r="Q5477" i="34"/>
  <c r="Q5478" i="34"/>
  <c r="Q5479" i="34"/>
  <c r="Q5480" i="34"/>
  <c r="Q5481" i="34"/>
  <c r="Q5482" i="34"/>
  <c r="Q5483" i="34"/>
  <c r="Q5484" i="34"/>
  <c r="Q5485" i="34"/>
  <c r="Q5486" i="34"/>
  <c r="Q5487" i="34"/>
  <c r="Q5488" i="34"/>
  <c r="Q5489" i="34"/>
  <c r="Q5490" i="34"/>
  <c r="Q5491" i="34"/>
  <c r="Q5492" i="34"/>
  <c r="Q5493" i="34"/>
  <c r="Q5494" i="34"/>
  <c r="Q5495" i="34"/>
  <c r="Q5496" i="34"/>
  <c r="Q5497" i="34"/>
  <c r="Q5498" i="34"/>
  <c r="Q5499" i="34"/>
  <c r="Q5500" i="34"/>
  <c r="Q5501" i="34"/>
  <c r="Q5502" i="34"/>
  <c r="Q5503" i="34"/>
  <c r="Q5504" i="34"/>
  <c r="Q5505" i="34"/>
  <c r="Q5506" i="34"/>
  <c r="Q5507" i="34"/>
  <c r="Q5508" i="34"/>
  <c r="Q5509" i="34"/>
  <c r="Q5510" i="34"/>
  <c r="Q5511" i="34"/>
  <c r="Q5512" i="34"/>
  <c r="Q5513" i="34"/>
  <c r="Q5514" i="34"/>
  <c r="Q5515" i="34"/>
  <c r="Q5516" i="34"/>
  <c r="Q5517" i="34"/>
  <c r="Q5518" i="34"/>
  <c r="Q5519" i="34"/>
  <c r="Q5520" i="34"/>
  <c r="Q5521" i="34"/>
  <c r="Q5522" i="34"/>
  <c r="Q5523" i="34"/>
  <c r="Q5524" i="34"/>
  <c r="Q5525" i="34"/>
  <c r="Q5526" i="34"/>
  <c r="Q5527" i="34"/>
  <c r="Q5528" i="34"/>
  <c r="Q5529" i="34"/>
  <c r="Q5530" i="34"/>
  <c r="Q5531" i="34"/>
  <c r="Q5532" i="34"/>
  <c r="Q5533" i="34"/>
  <c r="Q5534" i="34"/>
  <c r="Q5535" i="34"/>
  <c r="Q5536" i="34"/>
  <c r="Q5537" i="34"/>
  <c r="Q5538" i="34"/>
  <c r="Q5539" i="34"/>
  <c r="Q5540" i="34"/>
  <c r="Q5541" i="34"/>
  <c r="Q5542" i="34"/>
  <c r="Q5543" i="34"/>
  <c r="Q5544" i="34"/>
  <c r="Q5545" i="34"/>
  <c r="Q5546" i="34"/>
  <c r="Q5547" i="34"/>
  <c r="Q5548" i="34"/>
  <c r="Q5549" i="34"/>
  <c r="Q5550" i="34"/>
  <c r="Q5551" i="34"/>
  <c r="Q5552" i="34"/>
  <c r="Q5553" i="34"/>
  <c r="Q5554" i="34"/>
  <c r="Q5555" i="34"/>
  <c r="Q5556" i="34"/>
  <c r="Q5557" i="34"/>
  <c r="Q5558" i="34"/>
  <c r="Q5559" i="34"/>
  <c r="Q5560" i="34"/>
  <c r="Q5561" i="34"/>
  <c r="Q5562" i="34"/>
  <c r="Q5563" i="34"/>
  <c r="Q5564" i="34"/>
  <c r="Q5565" i="34"/>
  <c r="Q5566" i="34"/>
  <c r="Q5567" i="34"/>
  <c r="Q5568" i="34"/>
  <c r="Q5569" i="34"/>
  <c r="Q5570" i="34"/>
  <c r="Q5571" i="34"/>
  <c r="Q5572" i="34"/>
  <c r="Q5573" i="34"/>
  <c r="Q5574" i="34"/>
  <c r="Q5575" i="34"/>
  <c r="Q5576" i="34"/>
  <c r="Q5577" i="34"/>
  <c r="Q5578" i="34"/>
  <c r="Q5579" i="34"/>
  <c r="Q5580" i="34"/>
  <c r="Q5581" i="34"/>
  <c r="Q5582" i="34"/>
  <c r="Q5583" i="34"/>
  <c r="Q5584" i="34"/>
  <c r="Q5585" i="34"/>
  <c r="Q5586" i="34"/>
  <c r="Q5587" i="34"/>
  <c r="Q5588" i="34"/>
  <c r="Q5589" i="34"/>
  <c r="Q5590" i="34"/>
  <c r="Q5591" i="34"/>
  <c r="Q5592" i="34"/>
  <c r="Q5593" i="34"/>
  <c r="Q5594" i="34"/>
  <c r="Q5595" i="34"/>
  <c r="Q5596" i="34"/>
  <c r="Q5597" i="34"/>
  <c r="Q5598" i="34"/>
  <c r="Q5599" i="34"/>
  <c r="Q5600" i="34"/>
  <c r="Q5601" i="34"/>
  <c r="Q5602" i="34"/>
  <c r="Q5603" i="34"/>
  <c r="Q5604" i="34"/>
  <c r="Q5605" i="34"/>
  <c r="Q5606" i="34"/>
  <c r="Q5607" i="34"/>
  <c r="Q5608" i="34"/>
  <c r="Q5609" i="34"/>
  <c r="Q5610" i="34"/>
  <c r="Q5611" i="34"/>
  <c r="Q5612" i="34"/>
  <c r="Q5613" i="34"/>
  <c r="Q5614" i="34"/>
  <c r="Q5615" i="34"/>
  <c r="Q5616" i="34"/>
  <c r="Q5617" i="34"/>
  <c r="Q5618" i="34"/>
  <c r="Q5619" i="34"/>
  <c r="Q5620" i="34"/>
  <c r="Q5621" i="34"/>
  <c r="Q5622" i="34"/>
  <c r="Q5623" i="34"/>
  <c r="Q5624" i="34"/>
  <c r="Q5625" i="34"/>
  <c r="Q5626" i="34"/>
  <c r="Q5627" i="34"/>
  <c r="Q5628" i="34"/>
  <c r="Q5629" i="34"/>
  <c r="Q5630" i="34"/>
  <c r="Q5631" i="34"/>
  <c r="Q5632" i="34"/>
  <c r="Q5633" i="34"/>
  <c r="Q5634" i="34"/>
  <c r="Q5635" i="34"/>
  <c r="Q5636" i="34"/>
  <c r="Q5637" i="34"/>
  <c r="Q5638" i="34"/>
  <c r="Q5639" i="34"/>
  <c r="Q5640" i="34"/>
  <c r="Q5641" i="34"/>
  <c r="Q5642" i="34"/>
  <c r="Q5643" i="34"/>
  <c r="Q5644" i="34"/>
  <c r="Q5645" i="34"/>
  <c r="Q5646" i="34"/>
  <c r="Q5647" i="34"/>
  <c r="Q5648" i="34"/>
  <c r="Q5649" i="34"/>
  <c r="Q5650" i="34"/>
  <c r="Q5651" i="34"/>
  <c r="Q5652" i="34"/>
  <c r="Q5653" i="34"/>
  <c r="Q5654" i="34"/>
  <c r="Q5655" i="34"/>
  <c r="Q5656" i="34"/>
  <c r="Q5657" i="34"/>
  <c r="Q5658" i="34"/>
  <c r="Q5659" i="34"/>
  <c r="Q5660" i="34"/>
  <c r="Q5661" i="34"/>
  <c r="Q5662" i="34"/>
  <c r="Q5663" i="34"/>
  <c r="Q5664" i="34"/>
  <c r="Q5665" i="34"/>
  <c r="Q5666" i="34"/>
  <c r="Q5667" i="34"/>
  <c r="Q5668" i="34"/>
  <c r="Q5669" i="34"/>
  <c r="Q5670" i="34"/>
  <c r="Q5671" i="34"/>
  <c r="Q5672" i="34"/>
  <c r="Q5673" i="34"/>
  <c r="Q5674" i="34"/>
  <c r="Q5675" i="34"/>
  <c r="Q5676" i="34"/>
  <c r="Q5677" i="34"/>
  <c r="Q5678" i="34"/>
  <c r="Q5679" i="34"/>
  <c r="Q5680" i="34"/>
  <c r="Q5681" i="34"/>
  <c r="Q5682" i="34"/>
  <c r="Q5683" i="34"/>
  <c r="Q5684" i="34"/>
  <c r="Q5685" i="34"/>
  <c r="Q5686" i="34"/>
  <c r="Q5687" i="34"/>
  <c r="Q5688" i="34"/>
  <c r="Q5689" i="34"/>
  <c r="Q5690" i="34"/>
  <c r="Q5691" i="34"/>
  <c r="Q5692" i="34"/>
  <c r="Q5693" i="34"/>
  <c r="Q5694" i="34"/>
  <c r="Q5695" i="34"/>
  <c r="Q5696" i="34"/>
  <c r="Q5697" i="34"/>
  <c r="Q5698" i="34"/>
  <c r="Q5699" i="34"/>
  <c r="Q5700" i="34"/>
  <c r="Q5701" i="34"/>
  <c r="Q5702" i="34"/>
  <c r="Q5703" i="34"/>
  <c r="Q5704" i="34"/>
  <c r="Q5705" i="34"/>
  <c r="Q5706" i="34"/>
  <c r="Q5707" i="34"/>
  <c r="Q5708" i="34"/>
  <c r="Q5709" i="34"/>
  <c r="Q5710" i="34"/>
  <c r="Q5711" i="34"/>
  <c r="Q5712" i="34"/>
  <c r="Q5713" i="34"/>
  <c r="Q5714" i="34"/>
  <c r="Q5715" i="34"/>
  <c r="Q5716" i="34"/>
  <c r="Q5717" i="34"/>
  <c r="Q5718" i="34"/>
  <c r="Q5719" i="34"/>
  <c r="Q5720" i="34"/>
  <c r="Q5721" i="34"/>
  <c r="Q5722" i="34"/>
  <c r="Q5723" i="34"/>
  <c r="Q5724" i="34"/>
  <c r="Q5725" i="34"/>
  <c r="Q5726" i="34"/>
  <c r="Q5727" i="34"/>
  <c r="Q5728" i="34"/>
  <c r="Q5729" i="34"/>
  <c r="Q5730" i="34"/>
  <c r="Q5731" i="34"/>
  <c r="Q5732" i="34"/>
  <c r="Q5733" i="34"/>
  <c r="Q5734" i="34"/>
  <c r="Q5735" i="34"/>
  <c r="Q5736" i="34"/>
  <c r="Q5737" i="34"/>
  <c r="Q5738" i="34"/>
  <c r="Q5739" i="34"/>
  <c r="Q5740" i="34"/>
  <c r="Q5741" i="34"/>
  <c r="Q5742" i="34"/>
  <c r="Q5743" i="34"/>
  <c r="Q5744" i="34"/>
  <c r="Q5745" i="34"/>
  <c r="Q5746" i="34"/>
  <c r="Q5747" i="34"/>
  <c r="Q5748" i="34"/>
  <c r="Q5749" i="34"/>
  <c r="Q5750" i="34"/>
  <c r="Q5751" i="34"/>
  <c r="Q5752" i="34"/>
  <c r="Q5753" i="34"/>
  <c r="Q5754" i="34"/>
  <c r="Q5755" i="34"/>
  <c r="Q5756" i="34"/>
  <c r="Q5757" i="34"/>
  <c r="Q5758" i="34"/>
  <c r="Q5759" i="34"/>
  <c r="Q5760" i="34"/>
  <c r="Q5761" i="34"/>
  <c r="Q5762" i="34"/>
  <c r="Q5763" i="34"/>
  <c r="Q5764" i="34"/>
  <c r="Q5765" i="34"/>
  <c r="Q5766" i="34"/>
  <c r="Q5767" i="34"/>
  <c r="Q5768" i="34"/>
  <c r="Q5769" i="34"/>
  <c r="Q5770" i="34"/>
  <c r="Q5771" i="34"/>
  <c r="Q5772" i="34"/>
  <c r="Q5773" i="34"/>
  <c r="Q5774" i="34"/>
  <c r="Q5775" i="34"/>
  <c r="Q5776" i="34"/>
  <c r="Q5777" i="34"/>
  <c r="Q5778" i="34"/>
  <c r="Q5779" i="34"/>
  <c r="Q5780" i="34"/>
  <c r="Q5781" i="34"/>
  <c r="Q5782" i="34"/>
  <c r="Q5783" i="34"/>
  <c r="Q5784" i="34"/>
  <c r="Q5785" i="34"/>
  <c r="Q5786" i="34"/>
  <c r="Q5787" i="34"/>
  <c r="Q5788" i="34"/>
  <c r="Q5789" i="34"/>
  <c r="Q5790" i="34"/>
  <c r="Q5791" i="34"/>
  <c r="Q5792" i="34"/>
  <c r="Q5793" i="34"/>
  <c r="Q5794" i="34"/>
  <c r="Q5795" i="34"/>
  <c r="Q5796" i="34"/>
  <c r="Q5797" i="34"/>
  <c r="Q5798" i="34"/>
  <c r="Q5799" i="34"/>
  <c r="Q5800" i="34"/>
  <c r="Q5801" i="34"/>
  <c r="Q5802" i="34"/>
  <c r="Q5803" i="34"/>
  <c r="Q5804" i="34"/>
  <c r="Q5805" i="34"/>
  <c r="Q5806" i="34"/>
  <c r="Q5807" i="34"/>
  <c r="Q5808" i="34"/>
  <c r="Q5809" i="34"/>
  <c r="Q5810" i="34"/>
  <c r="Q5811" i="34"/>
  <c r="Q5812" i="34"/>
  <c r="Q5813" i="34"/>
  <c r="Q5814" i="34"/>
  <c r="Q5815" i="34"/>
  <c r="Q5816" i="34"/>
  <c r="Q5817" i="34"/>
  <c r="Q5818" i="34"/>
  <c r="Q5819" i="34"/>
  <c r="Q5820" i="34"/>
  <c r="Q5821" i="34"/>
  <c r="Q5822" i="34"/>
  <c r="Q5823" i="34"/>
  <c r="Q5824" i="34"/>
  <c r="Q5825" i="34"/>
  <c r="Q5826" i="34"/>
  <c r="Q5827" i="34"/>
  <c r="Q5828" i="34"/>
  <c r="Q5829" i="34"/>
  <c r="Q5830" i="34"/>
  <c r="Q5831" i="34"/>
  <c r="Q5832" i="34"/>
  <c r="Q5833" i="34"/>
  <c r="Q5834" i="34"/>
  <c r="Q5835" i="34"/>
  <c r="Q5836" i="34"/>
  <c r="Q5837" i="34"/>
  <c r="Q5838" i="34"/>
  <c r="Q5839" i="34"/>
  <c r="Q5840" i="34"/>
  <c r="Q5841" i="34"/>
  <c r="Q5842" i="34"/>
  <c r="Q5843" i="34"/>
  <c r="Q5844" i="34"/>
  <c r="Q5845" i="34"/>
  <c r="Q5846" i="34"/>
  <c r="Q5847" i="34"/>
  <c r="Q5848" i="34"/>
  <c r="Q5849" i="34"/>
  <c r="Q5850" i="34"/>
  <c r="Q5851" i="34"/>
  <c r="Q5852" i="34"/>
  <c r="Q5853" i="34"/>
  <c r="Q5854" i="34"/>
  <c r="Q5855" i="34"/>
  <c r="Q5856" i="34"/>
  <c r="Q5857" i="34"/>
  <c r="Q5858" i="34"/>
  <c r="Q5859" i="34"/>
  <c r="Q5860" i="34"/>
  <c r="Q5861" i="34"/>
  <c r="Q5862" i="34"/>
  <c r="Q5863" i="34"/>
  <c r="Q5864" i="34"/>
  <c r="Q5865" i="34"/>
  <c r="Q5866" i="34"/>
  <c r="Q5867" i="34"/>
  <c r="Q5868" i="34"/>
  <c r="Q5869" i="34"/>
  <c r="Q5870" i="34"/>
  <c r="Q5871" i="34"/>
  <c r="Q5872" i="34"/>
  <c r="Q5873" i="34"/>
  <c r="Q5874" i="34"/>
  <c r="Q5875" i="34"/>
  <c r="Q5876" i="34"/>
  <c r="Q5877" i="34"/>
  <c r="Q5878" i="34"/>
  <c r="Q5879" i="34"/>
  <c r="Q5880" i="34"/>
  <c r="Q5881" i="34"/>
  <c r="Q5882" i="34"/>
  <c r="Q5883" i="34"/>
  <c r="Q5884" i="34"/>
  <c r="Q5885" i="34"/>
  <c r="Q5886" i="34"/>
  <c r="Q5887" i="34"/>
  <c r="Q5888" i="34"/>
  <c r="Q5889" i="34"/>
  <c r="Q5890" i="34"/>
  <c r="Q5891" i="34"/>
  <c r="Q5892" i="34"/>
  <c r="Q5893" i="34"/>
  <c r="Q5894" i="34"/>
  <c r="Q5895" i="34"/>
  <c r="Q5896" i="34"/>
  <c r="Q5897" i="34"/>
  <c r="Q5898" i="34"/>
  <c r="Q5899" i="34"/>
  <c r="Q5900" i="34"/>
  <c r="Q5901" i="34"/>
  <c r="Q5902" i="34"/>
  <c r="Q5903" i="34"/>
  <c r="Q5904" i="34"/>
  <c r="Q5905" i="34"/>
  <c r="Q5906" i="34"/>
  <c r="Q5907" i="34"/>
  <c r="Q5908" i="34"/>
  <c r="Q5909" i="34"/>
  <c r="Q5910" i="34"/>
  <c r="Q5911" i="34"/>
  <c r="Q5912" i="34"/>
  <c r="Q5913" i="34"/>
  <c r="Q5914" i="34"/>
  <c r="Q5915" i="34"/>
  <c r="Q5916" i="34"/>
  <c r="Q5917" i="34"/>
  <c r="Q5918" i="34"/>
  <c r="Q5919" i="34"/>
  <c r="Q5920" i="34"/>
  <c r="Q5921" i="34"/>
  <c r="Q5922" i="34"/>
  <c r="Q5923" i="34"/>
  <c r="Q5924" i="34"/>
  <c r="Q5925" i="34"/>
  <c r="Q5926" i="34"/>
  <c r="Q5927" i="34"/>
  <c r="Q5928" i="34"/>
  <c r="Q5929" i="34"/>
  <c r="Q5930" i="34"/>
  <c r="Q5931" i="34"/>
  <c r="Q5932" i="34"/>
  <c r="Q5933" i="34"/>
  <c r="Q5934" i="34"/>
  <c r="Q5935" i="34"/>
  <c r="Q5936" i="34"/>
  <c r="Q5937" i="34"/>
  <c r="Q5938" i="34"/>
  <c r="Q5939" i="34"/>
  <c r="Q5940" i="34"/>
  <c r="Q5941" i="34"/>
  <c r="Q5942" i="34"/>
  <c r="Q5943" i="34"/>
  <c r="Q5944" i="34"/>
  <c r="Q5945" i="34"/>
  <c r="Q5946" i="34"/>
  <c r="Q5947" i="34"/>
  <c r="Q5948" i="34"/>
  <c r="Q5949" i="34"/>
  <c r="Q5950" i="34"/>
  <c r="Q5951" i="34"/>
  <c r="Q5952" i="34"/>
  <c r="Q5953" i="34"/>
  <c r="Q5954" i="34"/>
  <c r="Q5955" i="34"/>
  <c r="Q5956" i="34"/>
  <c r="Q5957" i="34"/>
  <c r="Q5958" i="34"/>
  <c r="Q5959" i="34"/>
  <c r="Q5960" i="34"/>
  <c r="Q5961" i="34"/>
  <c r="Q5962" i="34"/>
  <c r="Q5963" i="34"/>
  <c r="Q5964" i="34"/>
  <c r="Q5965" i="34"/>
  <c r="Q5966" i="34"/>
  <c r="Q5967" i="34"/>
  <c r="Q5968" i="34"/>
  <c r="Q5969" i="34"/>
  <c r="Q5970" i="34"/>
  <c r="Q5971" i="34"/>
  <c r="Q5972" i="34"/>
  <c r="Q5973" i="34"/>
  <c r="Q5974" i="34"/>
  <c r="Q5975" i="34"/>
  <c r="Q5976" i="34"/>
  <c r="Q5977" i="34"/>
  <c r="Q5978" i="34"/>
  <c r="Q5979" i="34"/>
  <c r="Q5980" i="34"/>
  <c r="Q5981" i="34"/>
  <c r="Q5982" i="34"/>
  <c r="Q5983" i="34"/>
  <c r="Q5984" i="34"/>
  <c r="Q5985" i="34"/>
  <c r="Q5986" i="34"/>
  <c r="Q5987" i="34"/>
  <c r="Q5988" i="34"/>
  <c r="Q5989" i="34"/>
  <c r="Q5990" i="34"/>
  <c r="Q5991" i="34"/>
  <c r="Q5992" i="34"/>
  <c r="Q5993" i="34"/>
  <c r="Q5994" i="34"/>
  <c r="Q5995" i="34"/>
  <c r="Q5996" i="34"/>
  <c r="Q5997" i="34"/>
  <c r="Q5998" i="34"/>
  <c r="Q5999" i="34"/>
  <c r="Q6000" i="34"/>
  <c r="Q6001" i="34"/>
  <c r="Q6002" i="34"/>
  <c r="Q6003" i="34"/>
  <c r="Q6004" i="34"/>
  <c r="Q6005" i="34"/>
  <c r="Q6006" i="34"/>
  <c r="Q6007" i="34"/>
  <c r="Q6008" i="34"/>
  <c r="Q6009" i="34"/>
  <c r="Q6010" i="34"/>
  <c r="Q6011" i="34"/>
  <c r="Q6012" i="34"/>
  <c r="Q6013" i="34"/>
  <c r="Q6014" i="34"/>
  <c r="Q6015" i="34"/>
  <c r="Q6016" i="34"/>
  <c r="Q6017" i="34"/>
  <c r="Q6018" i="34"/>
  <c r="Q6019" i="34"/>
  <c r="Q6020" i="34"/>
  <c r="Q6021" i="34"/>
  <c r="Q6022" i="34"/>
  <c r="Q6023" i="34"/>
  <c r="Q6024" i="34"/>
  <c r="Q6025" i="34"/>
  <c r="Q6026" i="34"/>
  <c r="Q6027" i="34"/>
  <c r="Q6028" i="34"/>
  <c r="Q6029" i="34"/>
  <c r="Q6030" i="34"/>
  <c r="Q6031" i="34"/>
  <c r="Q6032" i="34"/>
  <c r="Q6033" i="34"/>
  <c r="Q6034" i="34"/>
  <c r="Q6035" i="34"/>
  <c r="Q6036" i="34"/>
  <c r="Q6037" i="34"/>
  <c r="Q6038" i="34"/>
  <c r="Q6039" i="34"/>
  <c r="Q6040" i="34"/>
  <c r="Q6041" i="34"/>
  <c r="Q6042" i="34"/>
  <c r="Q6043" i="34"/>
  <c r="Q6044" i="34"/>
  <c r="Q6045" i="34"/>
  <c r="Q6046" i="34"/>
  <c r="Q6047" i="34"/>
  <c r="Q6048" i="34"/>
  <c r="Q6049" i="34"/>
  <c r="Q6050" i="34"/>
  <c r="Q6051" i="34"/>
  <c r="Q6052" i="34"/>
  <c r="Q6053" i="34"/>
  <c r="Q6054" i="34"/>
  <c r="Q6055" i="34"/>
  <c r="Q6056" i="34"/>
  <c r="Q6057" i="34"/>
  <c r="Q6058" i="34"/>
  <c r="Q6059" i="34"/>
  <c r="Q6060" i="34"/>
  <c r="Q6061" i="34"/>
  <c r="Q6062" i="34"/>
  <c r="Q6063" i="34"/>
  <c r="Q6064" i="34"/>
  <c r="Q6065" i="34"/>
  <c r="Q6066" i="34"/>
  <c r="Q6067" i="34"/>
  <c r="Q6068" i="34"/>
  <c r="Q6069" i="34"/>
  <c r="Q6070" i="34"/>
  <c r="Q6071" i="34"/>
  <c r="Q6072" i="34"/>
  <c r="Q6073" i="34"/>
  <c r="Q6074" i="34"/>
  <c r="Q6075" i="34"/>
  <c r="Q6076" i="34"/>
  <c r="Q6077" i="34"/>
  <c r="Q6078" i="34"/>
  <c r="Q6079" i="34"/>
  <c r="Q6080" i="34"/>
  <c r="Q6081" i="34"/>
  <c r="Q6082" i="34"/>
  <c r="Q6083" i="34"/>
  <c r="Q6084" i="34"/>
  <c r="Q6085" i="34"/>
  <c r="Q6086" i="34"/>
  <c r="Q6087" i="34"/>
  <c r="Q6088" i="34"/>
  <c r="Q6089" i="34"/>
  <c r="Q6090" i="34"/>
  <c r="Q6091" i="34"/>
  <c r="Q6092" i="34"/>
  <c r="Q6093" i="34"/>
  <c r="Q6094" i="34"/>
  <c r="Q6095" i="34"/>
  <c r="Q6096" i="34"/>
  <c r="Q6097" i="34"/>
  <c r="Q6098" i="34"/>
  <c r="Q6099" i="34"/>
  <c r="Q6100" i="34"/>
  <c r="Q6101" i="34"/>
  <c r="Q6102" i="34"/>
  <c r="Q6103" i="34"/>
  <c r="Q6104" i="34"/>
  <c r="Q6105" i="34"/>
  <c r="Q6106" i="34"/>
  <c r="Q6107" i="34"/>
  <c r="Q6108" i="34"/>
  <c r="Q6109" i="34"/>
  <c r="Q6110" i="34"/>
  <c r="Q6111" i="34"/>
  <c r="Q6112" i="34"/>
  <c r="Q6113" i="34"/>
  <c r="Q6114" i="34"/>
  <c r="Q6115" i="34"/>
  <c r="Q6116" i="34"/>
  <c r="Q6117" i="34"/>
  <c r="Q6118" i="34"/>
  <c r="Q6119" i="34"/>
  <c r="Q6120" i="34"/>
  <c r="Q6121" i="34"/>
  <c r="Q6122" i="34"/>
  <c r="Q6123" i="34"/>
  <c r="Q6124" i="34"/>
  <c r="Q6125" i="34"/>
  <c r="Q6126" i="34"/>
  <c r="Q6127" i="34"/>
  <c r="Q6128" i="34"/>
  <c r="Q6129" i="34"/>
  <c r="Q6130" i="34"/>
  <c r="Q6131" i="34"/>
  <c r="Q6132" i="34"/>
  <c r="Q6133" i="34"/>
  <c r="Q6134" i="34"/>
  <c r="Q6135" i="34"/>
  <c r="Q6136" i="34"/>
  <c r="Q6137" i="34"/>
  <c r="Q6138" i="34"/>
  <c r="Q6139" i="34"/>
  <c r="Q6140" i="34"/>
  <c r="Q6141" i="34"/>
  <c r="Q6142" i="34"/>
  <c r="Q6143" i="34"/>
  <c r="Q6144" i="34"/>
  <c r="Q6145" i="34"/>
  <c r="Q6146" i="34"/>
  <c r="Q6147" i="34"/>
  <c r="Q6148" i="34"/>
  <c r="Q6149" i="34"/>
  <c r="Q6150" i="34"/>
  <c r="Q6151" i="34"/>
  <c r="Q6152" i="34"/>
  <c r="Q6153" i="34"/>
  <c r="Q6154" i="34"/>
  <c r="Q6155" i="34"/>
  <c r="Q6156" i="34"/>
  <c r="Q6157" i="34"/>
  <c r="Q6158" i="34"/>
  <c r="Q6159" i="34"/>
  <c r="Q6160" i="34"/>
  <c r="Q6161" i="34"/>
  <c r="Q6162" i="34"/>
  <c r="Q6163" i="34"/>
  <c r="Q6164" i="34"/>
  <c r="Q6165" i="34"/>
  <c r="Q6166" i="34"/>
  <c r="Q6167" i="34"/>
  <c r="Q6168" i="34"/>
  <c r="Q6169" i="34"/>
  <c r="Q6170" i="34"/>
  <c r="Q6171" i="34"/>
  <c r="Q6172" i="34"/>
  <c r="Q6173" i="34"/>
  <c r="Q6174" i="34"/>
  <c r="Q6175" i="34"/>
  <c r="Q6176" i="34"/>
  <c r="Q6177" i="34"/>
  <c r="Q6178" i="34"/>
  <c r="Q6179" i="34"/>
  <c r="Q6180" i="34"/>
  <c r="Q6181" i="34"/>
  <c r="Q6182" i="34"/>
  <c r="Q6183" i="34"/>
  <c r="Q6184" i="34"/>
  <c r="Q6185" i="34"/>
  <c r="Q6186" i="34"/>
  <c r="Q6187" i="34"/>
  <c r="Q6188" i="34"/>
  <c r="Q6189" i="34"/>
  <c r="Q6190" i="34"/>
  <c r="Q6191" i="34"/>
  <c r="Q6192" i="34"/>
  <c r="Q6193" i="34"/>
  <c r="Q6194" i="34"/>
  <c r="Q6195" i="34"/>
  <c r="Q6196" i="34"/>
  <c r="Q6197" i="34"/>
  <c r="Q6198" i="34"/>
  <c r="Q6199" i="34"/>
  <c r="Q6200" i="34"/>
  <c r="Q6201" i="34"/>
  <c r="Q6202" i="34"/>
  <c r="Q6203" i="34"/>
  <c r="Q6204" i="34"/>
  <c r="Q6205" i="34"/>
  <c r="Q6206" i="34"/>
  <c r="Q6207" i="34"/>
  <c r="Q6208" i="34"/>
  <c r="Q6209" i="34"/>
  <c r="Q6210" i="34"/>
  <c r="Q6211" i="34"/>
  <c r="Q6212" i="34"/>
  <c r="Q6213" i="34"/>
  <c r="Q6214" i="34"/>
  <c r="Q6215" i="34"/>
  <c r="Q6216" i="34"/>
  <c r="Q6217" i="34"/>
  <c r="Q6218" i="34"/>
  <c r="Q6219" i="34"/>
  <c r="Q6220" i="34"/>
  <c r="Q6221" i="34"/>
  <c r="Q6222" i="34"/>
  <c r="Q6223" i="34"/>
  <c r="Q6224" i="34"/>
  <c r="Q6225" i="34"/>
  <c r="Q6226" i="34"/>
  <c r="Q6227" i="34"/>
  <c r="Q6228" i="34"/>
  <c r="Q6229" i="34"/>
  <c r="Q6230" i="34"/>
  <c r="Q6231" i="34"/>
  <c r="Q6232" i="34"/>
  <c r="Q6233" i="34"/>
  <c r="Q6234" i="34"/>
  <c r="Q6235" i="34"/>
  <c r="Q6236" i="34"/>
  <c r="Q6237" i="34"/>
  <c r="Q6238" i="34"/>
  <c r="Q6239" i="34"/>
  <c r="Q6240" i="34"/>
  <c r="Q6241" i="34"/>
  <c r="Q6242" i="34"/>
  <c r="Q6243" i="34"/>
  <c r="Q6244" i="34"/>
  <c r="Q6245" i="34"/>
  <c r="Q6246" i="34"/>
  <c r="Q6247" i="34"/>
  <c r="Q6248" i="34"/>
  <c r="Q6249" i="34"/>
  <c r="Q6250" i="34"/>
  <c r="Q6251" i="34"/>
  <c r="Q6252" i="34"/>
  <c r="Q6253" i="34"/>
  <c r="Q6254" i="34"/>
  <c r="Q6255" i="34"/>
  <c r="Q6256" i="34"/>
  <c r="Q6257" i="34"/>
  <c r="Q6258" i="34"/>
  <c r="Q6259" i="34"/>
  <c r="Q6260" i="34"/>
  <c r="Q6261" i="34"/>
  <c r="Q6262" i="34"/>
  <c r="Q6263" i="34"/>
  <c r="Q6264" i="34"/>
  <c r="Q6265" i="34"/>
  <c r="Q6266" i="34"/>
  <c r="Q6267" i="34"/>
  <c r="Q6268" i="34"/>
  <c r="Q6269" i="34"/>
  <c r="Q6270" i="34"/>
  <c r="Q6271" i="34"/>
  <c r="Q6272" i="34"/>
  <c r="Q6273" i="34"/>
  <c r="Q6274" i="34"/>
  <c r="Q6275" i="34"/>
  <c r="Q6276" i="34"/>
  <c r="Q6277" i="34"/>
  <c r="Q6278" i="34"/>
  <c r="Q6279" i="34"/>
  <c r="Q6280" i="34"/>
  <c r="Q6281" i="34"/>
  <c r="Q6282" i="34"/>
  <c r="Q6283" i="34"/>
  <c r="Q6284" i="34"/>
  <c r="Q6285" i="34"/>
  <c r="Q6286" i="34"/>
  <c r="Q6287" i="34"/>
  <c r="Q6288" i="34"/>
  <c r="Q6289" i="34"/>
  <c r="Q6290" i="34"/>
  <c r="Q6291" i="34"/>
  <c r="Q6292" i="34"/>
  <c r="Q6293" i="34"/>
  <c r="Q6294" i="34"/>
  <c r="Q6295" i="34"/>
  <c r="Q6296" i="34"/>
  <c r="Q6297" i="34"/>
  <c r="Q6298" i="34"/>
  <c r="Q6299" i="34"/>
  <c r="Q6300" i="34"/>
  <c r="Q6301" i="34"/>
  <c r="Q6302" i="34"/>
  <c r="Q6303" i="34"/>
  <c r="Q6304" i="34"/>
  <c r="Q6305" i="34"/>
  <c r="Q6306" i="34"/>
  <c r="Q6307" i="34"/>
  <c r="Q6308" i="34"/>
  <c r="Q6309" i="34"/>
  <c r="Q6310" i="34"/>
  <c r="Q6311" i="34"/>
  <c r="Q6312" i="34"/>
  <c r="Q6313" i="34"/>
  <c r="Q6314" i="34"/>
  <c r="Q6315" i="34"/>
  <c r="Q6316" i="34"/>
  <c r="Q6317" i="34"/>
  <c r="Q6318" i="34"/>
  <c r="Q6319" i="34"/>
  <c r="Q6320" i="34"/>
  <c r="Q6321" i="34"/>
  <c r="Q6322" i="34"/>
  <c r="Q6323" i="34"/>
  <c r="Q6324" i="34"/>
  <c r="Q6325" i="34"/>
  <c r="Q6326" i="34"/>
  <c r="Q6327" i="34"/>
  <c r="Q6328" i="34"/>
  <c r="Q6329" i="34"/>
  <c r="Q6330" i="34"/>
  <c r="Q6331" i="34"/>
  <c r="Q6332" i="34"/>
  <c r="Q6333" i="34"/>
  <c r="Q6334" i="34"/>
  <c r="Q6335" i="34"/>
  <c r="Q6336" i="34"/>
  <c r="Q6337" i="34"/>
  <c r="Q6338" i="34"/>
  <c r="Q6339" i="34"/>
  <c r="Q6340" i="34"/>
  <c r="Q6341" i="34"/>
  <c r="Q6342" i="34"/>
  <c r="Q6343" i="34"/>
  <c r="Q6344" i="34"/>
  <c r="Q6345" i="34"/>
  <c r="Q6346" i="34"/>
  <c r="Q6347" i="34"/>
  <c r="Q6348" i="34"/>
  <c r="Q6349" i="34"/>
  <c r="Q6350" i="34"/>
  <c r="Q6351" i="34"/>
  <c r="Q6352" i="34"/>
  <c r="Q6353" i="34"/>
  <c r="Q6354" i="34"/>
  <c r="Q6355" i="34"/>
  <c r="Q6356" i="34"/>
  <c r="Q6357" i="34"/>
  <c r="Q6358" i="34"/>
  <c r="Q6359" i="34"/>
  <c r="Q6360" i="34"/>
  <c r="Q6361" i="34"/>
  <c r="Q6362" i="34"/>
  <c r="Q6363" i="34"/>
  <c r="Q6364" i="34"/>
  <c r="Q6365" i="34"/>
  <c r="Q6366" i="34"/>
  <c r="Q6367" i="34"/>
  <c r="Q6368" i="34"/>
  <c r="Q6369" i="34"/>
  <c r="Q6370" i="34"/>
  <c r="Q6371" i="34"/>
  <c r="Q6372" i="34"/>
  <c r="Q6373" i="34"/>
  <c r="Q6374" i="34"/>
  <c r="Q6375" i="34"/>
  <c r="Q6376" i="34"/>
  <c r="Q6377" i="34"/>
  <c r="Q6378" i="34"/>
  <c r="Q6379" i="34"/>
  <c r="Q6380" i="34"/>
  <c r="Q6381" i="34"/>
  <c r="Q6382" i="34"/>
  <c r="Q6383" i="34"/>
  <c r="Q6384" i="34"/>
  <c r="Q6385" i="34"/>
  <c r="Q6386" i="34"/>
  <c r="Q6387" i="34"/>
  <c r="Q6388" i="34"/>
  <c r="Q6389" i="34"/>
  <c r="Q6390" i="34"/>
  <c r="Q6391" i="34"/>
  <c r="Q6392" i="34"/>
  <c r="Q6393" i="34"/>
  <c r="Q6394" i="34"/>
  <c r="Q6395" i="34"/>
  <c r="Q6396" i="34"/>
  <c r="Q6397" i="34"/>
  <c r="Q6398" i="34"/>
  <c r="Q6399" i="34"/>
  <c r="Q6400" i="34"/>
  <c r="Q6401" i="34"/>
  <c r="Q6402" i="34"/>
  <c r="Q6403" i="34"/>
  <c r="Q6404" i="34"/>
  <c r="Q6405" i="34"/>
  <c r="Q6406" i="34"/>
  <c r="Q6407" i="34"/>
  <c r="Q6408" i="34"/>
  <c r="Q6409" i="34"/>
  <c r="Q6410" i="34"/>
  <c r="Q6411" i="34"/>
  <c r="Q6412" i="34"/>
  <c r="Q6413" i="34"/>
  <c r="Q6414" i="34"/>
  <c r="Q6415" i="34"/>
  <c r="Q6416" i="34"/>
  <c r="Q6417" i="34"/>
  <c r="Q6418" i="34"/>
  <c r="Q6419" i="34"/>
  <c r="Q6420" i="34"/>
  <c r="Q6421" i="34"/>
  <c r="Q6422" i="34"/>
  <c r="Q6423" i="34"/>
  <c r="Q6424" i="34"/>
  <c r="Q6425" i="34"/>
  <c r="Q6426" i="34"/>
  <c r="Q6427" i="34"/>
  <c r="Q6428" i="34"/>
  <c r="Q6429" i="34"/>
  <c r="Q6430" i="34"/>
  <c r="Q6431" i="34"/>
  <c r="Q6432" i="34"/>
  <c r="Q6433" i="34"/>
  <c r="Q6434" i="34"/>
  <c r="Q6435" i="34"/>
  <c r="Q6436" i="34"/>
  <c r="Q6437" i="34"/>
  <c r="Q6438" i="34"/>
  <c r="Q6439" i="34"/>
  <c r="Q6440" i="34"/>
  <c r="Q6441" i="34"/>
  <c r="Q6442" i="34"/>
  <c r="Q6443" i="34"/>
  <c r="Q6444" i="34"/>
  <c r="Q6445" i="34"/>
  <c r="Q6446" i="34"/>
  <c r="Q6447" i="34"/>
  <c r="Q6448" i="34"/>
  <c r="Q6449" i="34"/>
  <c r="Q6450" i="34"/>
  <c r="Q6451" i="34"/>
  <c r="Q6452" i="34"/>
  <c r="Q6453" i="34"/>
  <c r="Q6454" i="34"/>
  <c r="Q6455" i="34"/>
  <c r="Q6456" i="34"/>
  <c r="Q6457" i="34"/>
  <c r="Q6458" i="34"/>
  <c r="Q6459" i="34"/>
  <c r="Q6460" i="34"/>
  <c r="Q6461" i="34"/>
  <c r="Q6462" i="34"/>
  <c r="Q6463" i="34"/>
  <c r="Q6464" i="34"/>
  <c r="Q6465" i="34"/>
  <c r="Q6466" i="34"/>
  <c r="Q6467" i="34"/>
  <c r="Q6468" i="34"/>
  <c r="Q6469" i="34"/>
  <c r="Q6470" i="34"/>
  <c r="Q6471" i="34"/>
  <c r="Q6472" i="34"/>
  <c r="Q6473" i="34"/>
  <c r="Q6474" i="34"/>
  <c r="Q6475" i="34"/>
  <c r="Q6476" i="34"/>
  <c r="Q6477" i="34"/>
  <c r="Q6478" i="34"/>
  <c r="Q6479" i="34"/>
  <c r="Q6480" i="34"/>
  <c r="Q6481" i="34"/>
  <c r="Q6482" i="34"/>
  <c r="Q6483" i="34"/>
  <c r="Q6484" i="34"/>
  <c r="Q6485" i="34"/>
  <c r="Q6486" i="34"/>
  <c r="Q6487" i="34"/>
  <c r="Q6488" i="34"/>
  <c r="Q6489" i="34"/>
  <c r="Q6490" i="34"/>
  <c r="Q6491" i="34"/>
  <c r="Q6492" i="34"/>
  <c r="Q6493" i="34"/>
  <c r="Q6494" i="34"/>
  <c r="Q6495" i="34"/>
  <c r="Q6496" i="34"/>
  <c r="Q6497" i="34"/>
  <c r="Q6498" i="34"/>
  <c r="Q6499" i="34"/>
  <c r="Q6500" i="34"/>
  <c r="Q6501" i="34"/>
  <c r="Q6502" i="34"/>
  <c r="Q6503" i="34"/>
  <c r="Q6504" i="34"/>
  <c r="Q6505" i="34"/>
  <c r="Q6506" i="34"/>
  <c r="Q6507" i="34"/>
  <c r="Q6508" i="34"/>
  <c r="Q6509" i="34"/>
  <c r="Q6510" i="34"/>
  <c r="Q6511" i="34"/>
  <c r="Q6512" i="34"/>
  <c r="Q6513" i="34"/>
  <c r="Q6514" i="34"/>
  <c r="Q6515" i="34"/>
  <c r="Q6516" i="34"/>
  <c r="Q6517" i="34"/>
  <c r="Q6518" i="34"/>
  <c r="Q6519" i="34"/>
  <c r="Q6520" i="34"/>
  <c r="Q6521" i="34"/>
  <c r="Q6522" i="34"/>
  <c r="Q6523" i="34"/>
  <c r="Q6524" i="34"/>
  <c r="Q6525" i="34"/>
  <c r="Q6526" i="34"/>
  <c r="Q6527" i="34"/>
  <c r="Q6528" i="34"/>
  <c r="Q6529" i="34"/>
  <c r="Q6530" i="34"/>
  <c r="Q6531" i="34"/>
  <c r="Q6532" i="34"/>
  <c r="Q6533" i="34"/>
  <c r="Q6534" i="34"/>
  <c r="Q6535" i="34"/>
  <c r="Q6536" i="34"/>
  <c r="Q6537" i="34"/>
  <c r="Q6538" i="34"/>
  <c r="Q6539" i="34"/>
  <c r="Q6540" i="34"/>
  <c r="Q6541" i="34"/>
  <c r="Q6542" i="34"/>
  <c r="Q6543" i="34"/>
  <c r="Q6544" i="34"/>
  <c r="Q6545" i="34"/>
  <c r="Q6546" i="34"/>
  <c r="Q6547" i="34"/>
  <c r="Q6548" i="34"/>
  <c r="Q6549" i="34"/>
  <c r="Q6550" i="34"/>
  <c r="Q6551" i="34"/>
  <c r="Q6552" i="34"/>
  <c r="Q6553" i="34"/>
  <c r="Q6554" i="34"/>
  <c r="Q6555" i="34"/>
  <c r="Q6556" i="34"/>
  <c r="Q6557" i="34"/>
  <c r="Q6558" i="34"/>
  <c r="Q6559" i="34"/>
  <c r="Q6560" i="34"/>
  <c r="Q6561" i="34"/>
  <c r="Q6562" i="34"/>
  <c r="Q6563" i="34"/>
  <c r="Q6564" i="34"/>
  <c r="Q6565" i="34"/>
  <c r="Q6566" i="34"/>
  <c r="Q6567" i="34"/>
  <c r="Q6568" i="34"/>
  <c r="Q6569" i="34"/>
  <c r="Q6570" i="34"/>
  <c r="Q6571" i="34"/>
  <c r="Q6572" i="34"/>
  <c r="Q6573" i="34"/>
  <c r="Q6574" i="34"/>
  <c r="Q6575" i="34"/>
  <c r="Q6576" i="34"/>
  <c r="Q6577" i="34"/>
  <c r="Q6578" i="34"/>
  <c r="Q6579" i="34"/>
  <c r="Q6580" i="34"/>
  <c r="Q6581" i="34"/>
  <c r="Q6582" i="34"/>
  <c r="Q6583" i="34"/>
  <c r="Q6584" i="34"/>
  <c r="Q6585" i="34"/>
  <c r="Q6586" i="34"/>
  <c r="Q6587" i="34"/>
  <c r="Q6588" i="34"/>
  <c r="Q6589" i="34"/>
  <c r="Q6590" i="34"/>
  <c r="Q6591" i="34"/>
  <c r="Q6592" i="34"/>
  <c r="Q6593" i="34"/>
  <c r="Q6594" i="34"/>
  <c r="Q6595" i="34"/>
  <c r="Q6596" i="34"/>
  <c r="Q6597" i="34"/>
  <c r="Q6598" i="34"/>
  <c r="Q6599" i="34"/>
  <c r="Q6600" i="34"/>
  <c r="Q6601" i="34"/>
  <c r="Q6602" i="34"/>
  <c r="Q6603" i="34"/>
  <c r="Q6604" i="34"/>
  <c r="Q6605" i="34"/>
  <c r="Q6606" i="34"/>
  <c r="Q6607" i="34"/>
  <c r="Q6608" i="34"/>
  <c r="Q6609" i="34"/>
  <c r="Q6610" i="34"/>
  <c r="Q6611" i="34"/>
  <c r="Q6612" i="34"/>
  <c r="Q6613" i="34"/>
  <c r="Q6614" i="34"/>
  <c r="Q6615" i="34"/>
  <c r="Q6616" i="34"/>
  <c r="Q6617" i="34"/>
  <c r="Q6618" i="34"/>
  <c r="Q6619" i="34"/>
  <c r="Q6620" i="34"/>
  <c r="Q6621" i="34"/>
  <c r="Q6622" i="34"/>
  <c r="Q6623" i="34"/>
  <c r="Q6624" i="34"/>
  <c r="Q6625" i="34"/>
  <c r="Q6626" i="34"/>
  <c r="Q6627" i="34"/>
  <c r="Q6628" i="34"/>
  <c r="Q6629" i="34"/>
  <c r="Q6630" i="34"/>
  <c r="Q6631" i="34"/>
  <c r="Q6632" i="34"/>
  <c r="Q6633" i="34"/>
  <c r="Q6634" i="34"/>
  <c r="Q6635" i="34"/>
  <c r="Q6636" i="34"/>
  <c r="Q6637" i="34"/>
  <c r="Q6638" i="34"/>
  <c r="Q6639" i="34"/>
  <c r="Q6640" i="34"/>
  <c r="Q6641" i="34"/>
  <c r="Q6642" i="34"/>
  <c r="Q6643" i="34"/>
  <c r="Q6644" i="34"/>
  <c r="Q6645" i="34"/>
  <c r="Q6646" i="34"/>
  <c r="Q6647" i="34"/>
  <c r="Q6648" i="34"/>
  <c r="Q6649" i="34"/>
  <c r="Q6650" i="34"/>
  <c r="Q6651" i="34"/>
  <c r="Q6652" i="34"/>
  <c r="Q6653" i="34"/>
  <c r="Q6654" i="34"/>
  <c r="Q6655" i="34"/>
  <c r="Q6656" i="34"/>
  <c r="Q6657" i="34"/>
  <c r="Q6658" i="34"/>
  <c r="Q6659" i="34"/>
  <c r="Q6660" i="34"/>
  <c r="Q6661" i="34"/>
  <c r="Q6662" i="34"/>
  <c r="Q6663" i="34"/>
  <c r="Q6664" i="34"/>
  <c r="Q6665" i="34"/>
  <c r="Q6666" i="34"/>
  <c r="Q6667" i="34"/>
  <c r="Q6668" i="34"/>
  <c r="Q6669" i="34"/>
  <c r="Q6670" i="34"/>
  <c r="Q6671" i="34"/>
  <c r="Q6672" i="34"/>
  <c r="Q6673" i="34"/>
  <c r="Q6674" i="34"/>
  <c r="Q6675" i="34"/>
  <c r="Q6676" i="34"/>
  <c r="Q6677" i="34"/>
  <c r="Q6678" i="34"/>
  <c r="Q6679" i="34"/>
  <c r="Q6680" i="34"/>
  <c r="Q6681" i="34"/>
  <c r="Q6682" i="34"/>
  <c r="Q6683" i="34"/>
  <c r="Q6684" i="34"/>
  <c r="Q6685" i="34"/>
  <c r="Q6686" i="34"/>
  <c r="Q6687" i="34"/>
  <c r="Q6688" i="34"/>
  <c r="Q6689" i="34"/>
  <c r="Q6690" i="34"/>
  <c r="Q6691" i="34"/>
  <c r="Q6692" i="34"/>
  <c r="Q6693" i="34"/>
  <c r="Q6694" i="34"/>
  <c r="Q6695" i="34"/>
  <c r="Q6696" i="34"/>
  <c r="Q6697" i="34"/>
  <c r="Q6698" i="34"/>
  <c r="Q6699" i="34"/>
  <c r="Q6700" i="34"/>
  <c r="Q6701" i="34"/>
  <c r="Q6702" i="34"/>
  <c r="Q6703" i="34"/>
  <c r="Q6704" i="34"/>
  <c r="Q6705" i="34"/>
  <c r="Q6706" i="34"/>
  <c r="Q6707" i="34"/>
  <c r="Q6708" i="34"/>
  <c r="Q6709" i="34"/>
  <c r="Q6710" i="34"/>
  <c r="Q6711" i="34"/>
  <c r="Q6712" i="34"/>
  <c r="Q6713" i="34"/>
  <c r="Q6714" i="34"/>
  <c r="Q6715" i="34"/>
  <c r="Q6716" i="34"/>
  <c r="Q6717" i="34"/>
  <c r="Q6718" i="34"/>
  <c r="Q6719" i="34"/>
  <c r="Q6720" i="34"/>
  <c r="Q6721" i="34"/>
  <c r="Q6722" i="34"/>
  <c r="Q6723" i="34"/>
  <c r="Q6724" i="34"/>
  <c r="Q6725" i="34"/>
  <c r="Q6726" i="34"/>
  <c r="Q6727" i="34"/>
  <c r="Q6728" i="34"/>
  <c r="Q6729" i="34"/>
  <c r="Q6730" i="34"/>
  <c r="Q6731" i="34"/>
  <c r="Q6732" i="34"/>
  <c r="Q6733" i="34"/>
  <c r="Q6734" i="34"/>
  <c r="Q6735" i="34"/>
  <c r="Q6736" i="34"/>
  <c r="Q6737" i="34"/>
  <c r="Q6738" i="34"/>
  <c r="Q6739" i="34"/>
  <c r="Q6740" i="34"/>
  <c r="Q6741" i="34"/>
  <c r="Q6742" i="34"/>
  <c r="Q6743" i="34"/>
  <c r="Q6744" i="34"/>
  <c r="Q6745" i="34"/>
  <c r="Q6746" i="34"/>
  <c r="Q6747" i="34"/>
  <c r="Q6748" i="34"/>
  <c r="Q6749" i="34"/>
  <c r="Q6750" i="34"/>
  <c r="Q6751" i="34"/>
  <c r="Q6752" i="34"/>
  <c r="Q6753" i="34"/>
  <c r="Q6754" i="34"/>
  <c r="Q6755" i="34"/>
  <c r="Q6756" i="34"/>
  <c r="Q6757" i="34"/>
  <c r="Q6758" i="34"/>
  <c r="Q6759" i="34"/>
  <c r="Q6760" i="34"/>
  <c r="Q6761" i="34"/>
  <c r="Q6762" i="34"/>
  <c r="Q6763" i="34"/>
  <c r="Q6764" i="34"/>
  <c r="Q6765" i="34"/>
  <c r="Q6766" i="34"/>
  <c r="Q6767" i="34"/>
  <c r="Q6768" i="34"/>
  <c r="Q6769" i="34"/>
  <c r="Q6770" i="34"/>
  <c r="Q6771" i="34"/>
  <c r="Q6772" i="34"/>
  <c r="Q6773" i="34"/>
  <c r="Q6774" i="34"/>
  <c r="Q6775" i="34"/>
  <c r="Q6776" i="34"/>
  <c r="Q6777" i="34"/>
  <c r="Q6778" i="34"/>
  <c r="Q6779" i="34"/>
  <c r="Q6780" i="34"/>
  <c r="Q6781" i="34"/>
  <c r="Q6782" i="34"/>
  <c r="Q6783" i="34"/>
  <c r="Q6784" i="34"/>
  <c r="Q6785" i="34"/>
  <c r="Q6786" i="34"/>
  <c r="Q6787" i="34"/>
  <c r="Q6788" i="34"/>
  <c r="Q6789" i="34"/>
  <c r="Q6790" i="34"/>
  <c r="Q6791" i="34"/>
  <c r="Q6792" i="34"/>
  <c r="Q6793" i="34"/>
  <c r="Q6794" i="34"/>
  <c r="Q6795" i="34"/>
  <c r="Q6796" i="34"/>
  <c r="Q6797" i="34"/>
  <c r="Q6798" i="34"/>
  <c r="Q6799" i="34"/>
  <c r="Q6800" i="34"/>
  <c r="Q6801" i="34"/>
  <c r="Q6802" i="34"/>
  <c r="Q6803" i="34"/>
  <c r="Q6804" i="34"/>
  <c r="Q6805" i="34"/>
  <c r="Q6806" i="34"/>
  <c r="Q6807" i="34"/>
  <c r="Q6808" i="34"/>
  <c r="Q6809" i="34"/>
  <c r="Q6810" i="34"/>
  <c r="Q6811" i="34"/>
  <c r="Q6812" i="34"/>
  <c r="Q6813" i="34"/>
  <c r="Q6814" i="34"/>
  <c r="Q6815" i="34"/>
  <c r="Q6816" i="34"/>
  <c r="Q6817" i="34"/>
  <c r="Q6818" i="34"/>
  <c r="Q6819" i="34"/>
  <c r="Q6820" i="34"/>
  <c r="Q6821" i="34"/>
  <c r="Q6822" i="34"/>
  <c r="Q6823" i="34"/>
  <c r="Q6824" i="34"/>
  <c r="Q6825" i="34"/>
  <c r="Q6826" i="34"/>
  <c r="Q6827" i="34"/>
  <c r="Q6828" i="34"/>
  <c r="Q6829" i="34"/>
  <c r="Q6830" i="34"/>
  <c r="Q6831" i="34"/>
  <c r="Q6832" i="34"/>
  <c r="Q6833" i="34"/>
  <c r="Q6834" i="34"/>
  <c r="Q6835" i="34"/>
  <c r="Q6836" i="34"/>
  <c r="Q6837" i="34"/>
  <c r="Q6838" i="34"/>
  <c r="Q6839" i="34"/>
  <c r="Q6840" i="34"/>
  <c r="Q6841" i="34"/>
  <c r="Q6842" i="34"/>
  <c r="Q6843" i="34"/>
  <c r="Q6844" i="34"/>
  <c r="Q6845" i="34"/>
  <c r="Q6846" i="34"/>
  <c r="Q6847" i="34"/>
  <c r="Q6848" i="34"/>
  <c r="Q6849" i="34"/>
  <c r="Q6850" i="34"/>
  <c r="Q6851" i="34"/>
  <c r="Q6852" i="34"/>
  <c r="Q6853" i="34"/>
  <c r="Q6854" i="34"/>
  <c r="Q6855" i="34"/>
  <c r="Q6856" i="34"/>
  <c r="Q6857" i="34"/>
  <c r="Q6858" i="34"/>
  <c r="Q6859" i="34"/>
  <c r="Q6860" i="34"/>
  <c r="Q6861" i="34"/>
  <c r="Q6862" i="34"/>
  <c r="Q6863" i="34"/>
  <c r="Q6864" i="34"/>
  <c r="Q6865" i="34"/>
  <c r="Q6866" i="34"/>
  <c r="Q6867" i="34"/>
  <c r="Q6868" i="34"/>
  <c r="Q6869" i="34"/>
  <c r="Q6870" i="34"/>
  <c r="Q6871" i="34"/>
  <c r="Q6872" i="34"/>
  <c r="Q6873" i="34"/>
  <c r="Q6874" i="34"/>
  <c r="Q6875" i="34"/>
  <c r="Q6876" i="34"/>
  <c r="Q6877" i="34"/>
  <c r="Q6878" i="34"/>
  <c r="Q6879" i="34"/>
  <c r="Q6880" i="34"/>
  <c r="Q6881" i="34"/>
  <c r="Q6882" i="34"/>
  <c r="Q6883" i="34"/>
  <c r="Q6884" i="34"/>
  <c r="Q6885" i="34"/>
  <c r="Q6886" i="34"/>
  <c r="Q6887" i="34"/>
  <c r="Q6888" i="34"/>
  <c r="Q6889" i="34"/>
  <c r="Q6890" i="34"/>
  <c r="Q6891" i="34"/>
  <c r="Q6892" i="34"/>
  <c r="Q6893" i="34"/>
  <c r="Q6894" i="34"/>
  <c r="Q6895" i="34"/>
  <c r="Q6896" i="34"/>
  <c r="Q6897" i="34"/>
  <c r="Q6898" i="34"/>
  <c r="Q6899" i="34"/>
  <c r="Q6900" i="34"/>
  <c r="Q6901" i="34"/>
  <c r="Q6902" i="34"/>
  <c r="Q6903" i="34"/>
  <c r="Q6904" i="34"/>
  <c r="Q6905" i="34"/>
  <c r="Q6906" i="34"/>
  <c r="Q6907" i="34"/>
  <c r="Q6908" i="34"/>
  <c r="Q6909" i="34"/>
  <c r="Q6910" i="34"/>
  <c r="Q6911" i="34"/>
  <c r="Q6912" i="34"/>
  <c r="Q6913" i="34"/>
  <c r="Q6914" i="34"/>
  <c r="Q6915" i="34"/>
  <c r="Q6916" i="34"/>
  <c r="Q6917" i="34"/>
  <c r="Q6918" i="34"/>
  <c r="Q6919" i="34"/>
  <c r="Q6920" i="34"/>
  <c r="Q6921" i="34"/>
  <c r="Q6922" i="34"/>
  <c r="Q6923" i="34"/>
  <c r="Q6924" i="34"/>
  <c r="Q6925" i="34"/>
  <c r="Q6926" i="34"/>
  <c r="Q6927" i="34"/>
  <c r="Q6928" i="34"/>
  <c r="Q6929" i="34"/>
  <c r="Q6930" i="34"/>
  <c r="Q6931" i="34"/>
  <c r="Q6932" i="34"/>
  <c r="Q6933" i="34"/>
  <c r="Q6934" i="34"/>
  <c r="Q6935" i="34"/>
  <c r="Q6936" i="34"/>
  <c r="Q6937" i="34"/>
  <c r="Q6938" i="34"/>
  <c r="Q6939" i="34"/>
  <c r="Q6940" i="34"/>
  <c r="Q6941" i="34"/>
  <c r="Q6942" i="34"/>
  <c r="Q6943" i="34"/>
  <c r="Q6944" i="34"/>
  <c r="Q6945" i="34"/>
  <c r="Q6946" i="34"/>
  <c r="Q6947" i="34"/>
  <c r="Q6948" i="34"/>
  <c r="Q6949" i="34"/>
  <c r="Q6950" i="34"/>
  <c r="Q6951" i="34"/>
  <c r="Q6952" i="34"/>
  <c r="Q6953" i="34"/>
  <c r="Q6954" i="34"/>
  <c r="Q6955" i="34"/>
  <c r="Q6956" i="34"/>
  <c r="Q6957" i="34"/>
  <c r="Q6958" i="34"/>
  <c r="Q6959" i="34"/>
  <c r="Q6960" i="34"/>
  <c r="Q6961" i="34"/>
  <c r="Q6962" i="34"/>
  <c r="Q6963" i="34"/>
  <c r="Q6964" i="34"/>
  <c r="Q6965" i="34"/>
  <c r="Q6966" i="34"/>
  <c r="Q6967" i="34"/>
  <c r="Q6968" i="34"/>
  <c r="Q6969" i="34"/>
  <c r="Q6970" i="34"/>
  <c r="Q6971" i="34"/>
  <c r="Q6972" i="34"/>
  <c r="Q6973" i="34"/>
  <c r="Q6974" i="34"/>
  <c r="Q6975" i="34"/>
  <c r="Q6976" i="34"/>
  <c r="Q6977" i="34"/>
  <c r="Q6978" i="34"/>
  <c r="Q6979" i="34"/>
  <c r="Q6980" i="34"/>
  <c r="Q6981" i="34"/>
  <c r="Q6982" i="34"/>
  <c r="Q6983" i="34"/>
  <c r="Q6984" i="34"/>
  <c r="Q6985" i="34"/>
  <c r="Q6986" i="34"/>
  <c r="Q6987" i="34"/>
  <c r="Q6988" i="34"/>
  <c r="Q6989" i="34"/>
  <c r="Q6990" i="34"/>
  <c r="Q6991" i="34"/>
  <c r="Q6992" i="34"/>
  <c r="Q6993" i="34"/>
  <c r="Q6994" i="34"/>
  <c r="Q6995" i="34"/>
  <c r="Q6996" i="34"/>
  <c r="Q6997" i="34"/>
  <c r="Q6998" i="34"/>
  <c r="Q6999" i="34"/>
  <c r="Q7000" i="34"/>
  <c r="Q7001" i="34"/>
  <c r="Q7002" i="34"/>
  <c r="Q7003" i="34"/>
  <c r="Q7004" i="34"/>
  <c r="Q7005" i="34"/>
  <c r="Q7006" i="34"/>
  <c r="Q7007" i="34"/>
  <c r="Q7008" i="34"/>
  <c r="Q7009" i="34"/>
  <c r="Q7010" i="34"/>
  <c r="Q7011" i="34"/>
  <c r="Q7012" i="34"/>
  <c r="Q7013" i="34"/>
  <c r="Q7014" i="34"/>
  <c r="Q7015" i="34"/>
  <c r="Q7016" i="34"/>
  <c r="Q7017" i="34"/>
  <c r="Q7018" i="34"/>
  <c r="Q7019" i="34"/>
  <c r="Q7020" i="34"/>
  <c r="Q7021" i="34"/>
  <c r="Q7022" i="34"/>
  <c r="Q7023" i="34"/>
  <c r="Q7024" i="34"/>
  <c r="Q7025" i="34"/>
  <c r="Q7026" i="34"/>
  <c r="Q7027" i="34"/>
  <c r="Q7028" i="34"/>
  <c r="Q7029" i="34"/>
  <c r="Q7030" i="34"/>
  <c r="Q7031" i="34"/>
  <c r="Q7032" i="34"/>
  <c r="Q7033" i="34"/>
  <c r="Q7034" i="34"/>
  <c r="Q7035" i="34"/>
  <c r="Q7036" i="34"/>
  <c r="Q7037" i="34"/>
  <c r="Q7038" i="34"/>
  <c r="Q7039" i="34"/>
  <c r="Q7040" i="34"/>
  <c r="Q7041" i="34"/>
  <c r="Q7042" i="34"/>
  <c r="Q7043" i="34"/>
  <c r="Q7044" i="34"/>
  <c r="Q7045" i="34"/>
  <c r="Q7046" i="34"/>
  <c r="Q7047" i="34"/>
  <c r="Q7048" i="34"/>
  <c r="Q7049" i="34"/>
  <c r="Q7050" i="34"/>
  <c r="Q7051" i="34"/>
  <c r="Q7052" i="34"/>
  <c r="Q7053" i="34"/>
  <c r="Q7054" i="34"/>
  <c r="Q7055" i="34"/>
  <c r="Q7056" i="34"/>
  <c r="Q7057" i="34"/>
  <c r="Q7058" i="34"/>
  <c r="Q7059" i="34"/>
  <c r="Q7060" i="34"/>
  <c r="Q7061" i="34"/>
  <c r="Q7062" i="34"/>
  <c r="Q7063" i="34"/>
  <c r="Q7064" i="34"/>
  <c r="Q7065" i="34"/>
  <c r="Q7066" i="34"/>
  <c r="Q7067" i="34"/>
  <c r="Q7068" i="34"/>
  <c r="Q7069" i="34"/>
  <c r="Q7070" i="34"/>
  <c r="Q7071" i="34"/>
  <c r="Q7072" i="34"/>
  <c r="Q7073" i="34"/>
  <c r="Q7074" i="34"/>
  <c r="Q7075" i="34"/>
  <c r="Q7076" i="34"/>
  <c r="Q7077" i="34"/>
  <c r="Q7078" i="34"/>
  <c r="Q7079" i="34"/>
  <c r="Q7080" i="34"/>
  <c r="Q7081" i="34"/>
  <c r="Q7082" i="34"/>
  <c r="Q7083" i="34"/>
  <c r="Q7084" i="34"/>
  <c r="Q7085" i="34"/>
  <c r="Q7086" i="34"/>
  <c r="Q7087" i="34"/>
  <c r="Q7088" i="34"/>
  <c r="Q7089" i="34"/>
  <c r="Q7090" i="34"/>
  <c r="Q7091" i="34"/>
  <c r="Q7092" i="34"/>
  <c r="Q7093" i="34"/>
  <c r="Q7094" i="34"/>
  <c r="Q7095" i="34"/>
  <c r="Q7096" i="34"/>
  <c r="Q7097" i="34"/>
  <c r="Q7098" i="34"/>
  <c r="Q7099" i="34"/>
  <c r="Q7100" i="34"/>
  <c r="Q7101" i="34"/>
  <c r="Q7102" i="34"/>
  <c r="Q7103" i="34"/>
  <c r="Q7104" i="34"/>
  <c r="Q7105" i="34"/>
  <c r="Q7106" i="34"/>
  <c r="Q7107" i="34"/>
  <c r="Q7108" i="34"/>
  <c r="Q7109" i="34"/>
  <c r="Q7110" i="34"/>
  <c r="Q7111" i="34"/>
  <c r="Q7112" i="34"/>
  <c r="Q7113" i="34"/>
  <c r="Q7114" i="34"/>
  <c r="Q7115" i="34"/>
  <c r="Q7116" i="34"/>
  <c r="Q7117" i="34"/>
  <c r="Q7118" i="34"/>
  <c r="Q7119" i="34"/>
  <c r="Q7120" i="34"/>
  <c r="Q7121" i="34"/>
  <c r="Q7122" i="34"/>
  <c r="Q7123" i="34"/>
  <c r="Q7124" i="34"/>
  <c r="Q7125" i="34"/>
  <c r="Q7126" i="34"/>
  <c r="Q7127" i="34"/>
  <c r="Q7128" i="34"/>
  <c r="Q7129" i="34"/>
  <c r="Q7130" i="34"/>
  <c r="Q7131" i="34"/>
  <c r="Q7132" i="34"/>
  <c r="Q7133" i="34"/>
  <c r="Q7134" i="34"/>
  <c r="Q7135" i="34"/>
  <c r="Q7136" i="34"/>
  <c r="Q7137" i="34"/>
  <c r="Q7138" i="34"/>
  <c r="Q7139" i="34"/>
  <c r="Q7140" i="34"/>
  <c r="Q7141" i="34"/>
  <c r="Q7142" i="34"/>
  <c r="Q7143" i="34"/>
  <c r="Q7144" i="34"/>
  <c r="Q7145" i="34"/>
  <c r="Q7146" i="34"/>
  <c r="Q7147" i="34"/>
  <c r="Q7148" i="34"/>
  <c r="Q7149" i="34"/>
  <c r="Q7150" i="34"/>
  <c r="Q7151" i="34"/>
  <c r="Q7152" i="34"/>
  <c r="Q7153" i="34"/>
  <c r="Q7154" i="34"/>
  <c r="Q7155" i="34"/>
  <c r="Q7156" i="34"/>
  <c r="Q7157" i="34"/>
  <c r="Q7158" i="34"/>
  <c r="Q7159" i="34"/>
  <c r="Q7160" i="34"/>
  <c r="Q7161" i="34"/>
  <c r="Q7162" i="34"/>
  <c r="Q7163" i="34"/>
  <c r="Q7164" i="34"/>
  <c r="Q7165" i="34"/>
  <c r="Q7166" i="34"/>
  <c r="Q7167" i="34"/>
  <c r="Q7168" i="34"/>
  <c r="Q7169" i="34"/>
  <c r="Q7170" i="34"/>
  <c r="Q7171" i="34"/>
  <c r="Q7172" i="34"/>
  <c r="Q7173" i="34"/>
  <c r="Q7174" i="34"/>
  <c r="Q7175" i="34"/>
  <c r="Q7176" i="34"/>
  <c r="Q7177" i="34"/>
  <c r="Q7178" i="34"/>
  <c r="Q7179" i="34"/>
  <c r="Q7180" i="34"/>
  <c r="Q7181" i="34"/>
  <c r="Q7182" i="34"/>
  <c r="Q7183" i="34"/>
  <c r="Q7184" i="34"/>
  <c r="Q7185" i="34"/>
  <c r="Q7186" i="34"/>
  <c r="Q7187" i="34"/>
  <c r="Q7188" i="34"/>
  <c r="Q7189" i="34"/>
  <c r="Q7190" i="34"/>
  <c r="Q7191" i="34"/>
  <c r="Q7192" i="34"/>
  <c r="Q7193" i="34"/>
  <c r="Q7194" i="34"/>
  <c r="Q7195" i="34"/>
  <c r="Q7196" i="34"/>
  <c r="Q7197" i="34"/>
  <c r="Q7198" i="34"/>
  <c r="Q7199" i="34"/>
  <c r="Q7200" i="34"/>
  <c r="Q7201" i="34"/>
  <c r="Q7202" i="34"/>
  <c r="Q7203" i="34"/>
  <c r="Q7204" i="34"/>
  <c r="Q7205" i="34"/>
  <c r="Q7206" i="34"/>
  <c r="Q7207" i="34"/>
  <c r="Q7208" i="34"/>
  <c r="Q7209" i="34"/>
  <c r="Q7210" i="34"/>
  <c r="Q7211" i="34"/>
  <c r="Q7212" i="34"/>
  <c r="Q7213" i="34"/>
  <c r="Q7214" i="34"/>
  <c r="Q7215" i="34"/>
  <c r="Q7216" i="34"/>
  <c r="Q7217" i="34"/>
  <c r="Q7218" i="34"/>
  <c r="Q7219" i="34"/>
  <c r="Q7220" i="34"/>
  <c r="Q7221" i="34"/>
  <c r="Q7222" i="34"/>
  <c r="Q7223" i="34"/>
  <c r="Q7224" i="34"/>
  <c r="Q7225" i="34"/>
  <c r="Q7226" i="34"/>
  <c r="Q7227" i="34"/>
  <c r="Q7228" i="34"/>
  <c r="Q7229" i="34"/>
  <c r="Q7230" i="34"/>
  <c r="Q7231" i="34"/>
  <c r="Q7232" i="34"/>
  <c r="Q7233" i="34"/>
  <c r="Q7234" i="34"/>
  <c r="Q7235" i="34"/>
  <c r="Q7236" i="34"/>
  <c r="Q7237" i="34"/>
  <c r="Q7238" i="34"/>
  <c r="Q7239" i="34"/>
  <c r="Q7240" i="34"/>
  <c r="Q7241" i="34"/>
  <c r="Q7242" i="34"/>
  <c r="Q7243" i="34"/>
  <c r="Q7244" i="34"/>
  <c r="Q7245" i="34"/>
  <c r="Q7246" i="34"/>
  <c r="Q7247" i="34"/>
  <c r="Q7248" i="34"/>
  <c r="Q7249" i="34"/>
  <c r="Q7250" i="34"/>
  <c r="Q7251" i="34"/>
  <c r="Q7252" i="34"/>
  <c r="Q7253" i="34"/>
  <c r="Q7254" i="34"/>
  <c r="Q7255" i="34"/>
  <c r="Q7256" i="34"/>
  <c r="Q7257" i="34"/>
  <c r="Q7258" i="34"/>
  <c r="Q7259" i="34"/>
  <c r="Q7260" i="34"/>
  <c r="Q7261" i="34"/>
  <c r="Q7262" i="34"/>
  <c r="Q7263" i="34"/>
  <c r="Q7264" i="34"/>
  <c r="Q7265" i="34"/>
  <c r="Q7266" i="34"/>
  <c r="Q7267" i="34"/>
  <c r="Q7268" i="34"/>
  <c r="Q7269" i="34"/>
  <c r="Q7270" i="34"/>
  <c r="Q7271" i="34"/>
  <c r="Q7272" i="34"/>
  <c r="Q7273" i="34"/>
  <c r="Q7274" i="34"/>
  <c r="Q7275" i="34"/>
  <c r="Q7276" i="34"/>
  <c r="Q7277" i="34"/>
  <c r="Q7278" i="34"/>
  <c r="Q7279" i="34"/>
  <c r="Q7280" i="34"/>
  <c r="Q7281" i="34"/>
  <c r="Q7282" i="34"/>
  <c r="Q7283" i="34"/>
  <c r="Q7284" i="34"/>
  <c r="Q7285" i="34"/>
  <c r="Q7286" i="34"/>
  <c r="Q7287" i="34"/>
  <c r="Q7288" i="34"/>
  <c r="Q7289" i="34"/>
  <c r="Q7290" i="34"/>
  <c r="Q7291" i="34"/>
  <c r="Q7292" i="34"/>
  <c r="Q7293" i="34"/>
  <c r="Q7294" i="34"/>
  <c r="Q7295" i="34"/>
  <c r="Q7296" i="34"/>
  <c r="Q7297" i="34"/>
  <c r="Q7298" i="34"/>
  <c r="Q7299" i="34"/>
  <c r="Q7300" i="34"/>
  <c r="Q7301" i="34"/>
  <c r="Q7302" i="34"/>
  <c r="Q7303" i="34"/>
  <c r="Q7304" i="34"/>
  <c r="Q7305" i="34"/>
  <c r="Q7306" i="34"/>
  <c r="Q7307" i="34"/>
  <c r="Q7308" i="34"/>
  <c r="Q7309" i="34"/>
  <c r="Q7310" i="34"/>
  <c r="Q7311" i="34"/>
  <c r="Q7312" i="34"/>
  <c r="Q7313" i="34"/>
  <c r="Q7314" i="34"/>
  <c r="Q7315" i="34"/>
  <c r="Q7316" i="34"/>
  <c r="Q7317" i="34"/>
  <c r="Q7318" i="34"/>
  <c r="Q7319" i="34"/>
  <c r="Q7320" i="34"/>
  <c r="Q7321" i="34"/>
  <c r="Q7322" i="34"/>
  <c r="Q7323" i="34"/>
  <c r="Q7324" i="34"/>
  <c r="Q7325" i="34"/>
  <c r="Q7326" i="34"/>
  <c r="Q7327" i="34"/>
  <c r="Q7328" i="34"/>
  <c r="Q7329" i="34"/>
  <c r="Q7330" i="34"/>
  <c r="Q7331" i="34"/>
  <c r="Q7332" i="34"/>
  <c r="Q7333" i="34"/>
  <c r="Q7334" i="34"/>
  <c r="Q7335" i="34"/>
  <c r="Q7336" i="34"/>
  <c r="Q7337" i="34"/>
  <c r="Q7338" i="34"/>
  <c r="Q7339" i="34"/>
  <c r="Q7340" i="34"/>
  <c r="Q7341" i="34"/>
  <c r="Q7342" i="34"/>
  <c r="Q7343" i="34"/>
  <c r="Q7344" i="34"/>
  <c r="Q7345" i="34"/>
  <c r="Q7346" i="34"/>
  <c r="Q7347" i="34"/>
  <c r="Q7348" i="34"/>
  <c r="Q7349" i="34"/>
  <c r="Q7350" i="34"/>
  <c r="Q7351" i="34"/>
  <c r="Q7352" i="34"/>
  <c r="Q7353" i="34"/>
  <c r="Q7354" i="34"/>
  <c r="Q7355" i="34"/>
  <c r="Q7356" i="34"/>
  <c r="Q7357" i="34"/>
  <c r="Q7358" i="34"/>
  <c r="Q7359" i="34"/>
  <c r="Q7360" i="34"/>
  <c r="Q7361" i="34"/>
  <c r="Q7362" i="34"/>
  <c r="Q7363" i="34"/>
  <c r="Q7364" i="34"/>
  <c r="Q7365" i="34"/>
  <c r="Q7366" i="34"/>
  <c r="Q7367" i="34"/>
  <c r="Q7368" i="34"/>
  <c r="Q7369" i="34"/>
  <c r="Q7370" i="34"/>
  <c r="Q7371" i="34"/>
  <c r="Q7372" i="34"/>
  <c r="Q7373" i="34"/>
  <c r="Q7374" i="34"/>
  <c r="Q7375" i="34"/>
  <c r="Q7376" i="34"/>
  <c r="Q7377" i="34"/>
  <c r="Q7378" i="34"/>
  <c r="Q7379" i="34"/>
  <c r="Q7380" i="34"/>
  <c r="Q7381" i="34"/>
  <c r="Q7382" i="34"/>
  <c r="Q7383" i="34"/>
  <c r="Q7384" i="34"/>
  <c r="Q7385" i="34"/>
  <c r="Q7386" i="34"/>
  <c r="Q7387" i="34"/>
  <c r="Q7388" i="34"/>
  <c r="Q7389" i="34"/>
  <c r="Q7390" i="34"/>
  <c r="Q7391" i="34"/>
  <c r="Q7392" i="34"/>
  <c r="Q7393" i="34"/>
  <c r="Q7394" i="34"/>
  <c r="Q7395" i="34"/>
  <c r="Q7396" i="34"/>
  <c r="Q7397" i="34"/>
  <c r="Q7398" i="34"/>
  <c r="Q7399" i="34"/>
  <c r="Q7400" i="34"/>
  <c r="Q7401" i="34"/>
  <c r="Q7402" i="34"/>
  <c r="Q7403" i="34"/>
  <c r="Q7404" i="34"/>
  <c r="Q7405" i="34"/>
  <c r="Q7406" i="34"/>
  <c r="Q7407" i="34"/>
  <c r="Q7408" i="34"/>
  <c r="Q7409" i="34"/>
  <c r="Q7410" i="34"/>
  <c r="Q7411" i="34"/>
  <c r="Q7412" i="34"/>
  <c r="Q7413" i="34"/>
  <c r="Q7414" i="34"/>
  <c r="Q7415" i="34"/>
  <c r="Q7416" i="34"/>
  <c r="Q7417" i="34"/>
  <c r="Q7418" i="34"/>
  <c r="Q7419" i="34"/>
  <c r="Q7420" i="34"/>
  <c r="Q7421" i="34"/>
  <c r="Q7422" i="34"/>
  <c r="Q7423" i="34"/>
  <c r="Q7424" i="34"/>
  <c r="Q7425" i="34"/>
  <c r="Q7426" i="34"/>
  <c r="Q7427" i="34"/>
  <c r="Q7428" i="34"/>
  <c r="Q7429" i="34"/>
  <c r="Q7430" i="34"/>
  <c r="Q7431" i="34"/>
  <c r="Q7432" i="34"/>
  <c r="Q7433" i="34"/>
  <c r="Q7434" i="34"/>
  <c r="Q7435" i="34"/>
  <c r="Q7436" i="34"/>
  <c r="Q7437" i="34"/>
  <c r="Q7438" i="34"/>
  <c r="Q7439" i="34"/>
  <c r="Q7440" i="34"/>
  <c r="Q7441" i="34"/>
  <c r="Q7442" i="34"/>
  <c r="Q7443" i="34"/>
  <c r="Q7444" i="34"/>
  <c r="Q7445" i="34"/>
  <c r="Q7446" i="34"/>
  <c r="Q7447" i="34"/>
  <c r="Q7448" i="34"/>
  <c r="Q7449" i="34"/>
  <c r="Q7450" i="34"/>
  <c r="Q7451" i="34"/>
  <c r="Q7452" i="34"/>
  <c r="Q7453" i="34"/>
  <c r="Q7454" i="34"/>
  <c r="Q7455" i="34"/>
  <c r="Q7456" i="34"/>
  <c r="Q7457" i="34"/>
  <c r="Q7458" i="34"/>
  <c r="Q7459" i="34"/>
  <c r="Q7460" i="34"/>
  <c r="Q7461" i="34"/>
  <c r="Q7462" i="34"/>
  <c r="Q7463" i="34"/>
  <c r="Q7464" i="34"/>
  <c r="Q7465" i="34"/>
  <c r="Q7466" i="34"/>
  <c r="Q7467" i="34"/>
  <c r="Q7468" i="34"/>
  <c r="Q7469" i="34"/>
  <c r="Q7470" i="34"/>
  <c r="Q7471" i="34"/>
  <c r="Q7472" i="34"/>
  <c r="Q7473" i="34"/>
  <c r="Q7474" i="34"/>
  <c r="Q7475" i="34"/>
  <c r="Q7476" i="34"/>
  <c r="Q7477" i="34"/>
  <c r="Q7478" i="34"/>
  <c r="Q7479" i="34"/>
  <c r="Q7480" i="34"/>
  <c r="Q7481" i="34"/>
  <c r="Q7482" i="34"/>
  <c r="Q7483" i="34"/>
  <c r="Q7484" i="34"/>
  <c r="Q7485" i="34"/>
  <c r="Q7486" i="34"/>
  <c r="Q7487" i="34"/>
  <c r="Q7488" i="34"/>
  <c r="Q7489" i="34"/>
  <c r="Q7490" i="34"/>
  <c r="Q7491" i="34"/>
  <c r="Q7492" i="34"/>
  <c r="Q7493" i="34"/>
  <c r="Q7494" i="34"/>
  <c r="Q7495" i="34"/>
  <c r="Q7496" i="34"/>
  <c r="Q7497" i="34"/>
  <c r="Q7498" i="34"/>
  <c r="Q7499" i="34"/>
  <c r="Q7500" i="34"/>
  <c r="Q7501" i="34"/>
  <c r="Q7502" i="34"/>
  <c r="Q7503" i="34"/>
  <c r="Q7504" i="34"/>
  <c r="Q7505" i="34"/>
  <c r="Q7506" i="34"/>
  <c r="Q7507" i="34"/>
  <c r="Q7508" i="34"/>
  <c r="Q7509" i="34"/>
  <c r="Q7510" i="34"/>
  <c r="Q7511" i="34"/>
  <c r="Q7512" i="34"/>
  <c r="Q7513" i="34"/>
  <c r="Q7514" i="34"/>
  <c r="Q7515" i="34"/>
  <c r="Q7516" i="34"/>
  <c r="Q7517" i="34"/>
  <c r="Q7518" i="34"/>
  <c r="Q7519" i="34"/>
  <c r="Q7520" i="34"/>
  <c r="Q7521" i="34"/>
  <c r="Q7522" i="34"/>
  <c r="Q7523" i="34"/>
  <c r="Q7524" i="34"/>
  <c r="Q7525" i="34"/>
  <c r="Q7526" i="34"/>
  <c r="Q7527" i="34"/>
  <c r="Q7528" i="34"/>
  <c r="Q7529" i="34"/>
  <c r="Q7530" i="34"/>
  <c r="Q7531" i="34"/>
  <c r="Q7532" i="34"/>
  <c r="Q7533" i="34"/>
  <c r="Q7534" i="34"/>
  <c r="Q7535" i="34"/>
  <c r="Q7536" i="34"/>
  <c r="Q7537" i="34"/>
  <c r="Q7538" i="34"/>
  <c r="Q7539" i="34"/>
  <c r="Q7540" i="34"/>
  <c r="Q7541" i="34"/>
  <c r="Q7542" i="34"/>
  <c r="Q7543" i="34"/>
  <c r="Q7544" i="34"/>
  <c r="Q7545" i="34"/>
  <c r="Q7546" i="34"/>
  <c r="Q7547" i="34"/>
  <c r="Q7548" i="34"/>
  <c r="Q7549" i="34"/>
  <c r="Q7550" i="34"/>
  <c r="Q7551" i="34"/>
  <c r="Q7552" i="34"/>
  <c r="Q7553" i="34"/>
  <c r="Q7554" i="34"/>
  <c r="Q7555" i="34"/>
  <c r="Q7556" i="34"/>
  <c r="Q7557" i="34"/>
  <c r="Q7558" i="34"/>
  <c r="Q7559" i="34"/>
  <c r="Q7560" i="34"/>
  <c r="Q7561" i="34"/>
  <c r="Q7562" i="34"/>
  <c r="Q7563" i="34"/>
  <c r="Q7564" i="34"/>
  <c r="Q7565" i="34"/>
  <c r="Q7566" i="34"/>
  <c r="Q7567" i="34"/>
  <c r="Q7568" i="34"/>
  <c r="Q7569" i="34"/>
  <c r="Q7570" i="34"/>
  <c r="Q7571" i="34"/>
  <c r="Q7572" i="34"/>
  <c r="Q7573" i="34"/>
  <c r="Q7574" i="34"/>
  <c r="Q7575" i="34"/>
  <c r="Q7576" i="34"/>
  <c r="Q7577" i="34"/>
  <c r="Q7578" i="34"/>
  <c r="Q7579" i="34"/>
  <c r="Q7580" i="34"/>
  <c r="Q7581" i="34"/>
  <c r="Q7582" i="34"/>
  <c r="Q7583" i="34"/>
  <c r="Q7584" i="34"/>
  <c r="Q7585" i="34"/>
  <c r="Q7586" i="34"/>
  <c r="Q7587" i="34"/>
  <c r="Q7588" i="34"/>
  <c r="Q7589" i="34"/>
  <c r="Q7590" i="34"/>
  <c r="Q7591" i="34"/>
  <c r="Q7592" i="34"/>
  <c r="Q7593" i="34"/>
  <c r="Q7594" i="34"/>
  <c r="Q7595" i="34"/>
  <c r="Q7596" i="34"/>
  <c r="Q7597" i="34"/>
  <c r="Q7598" i="34"/>
  <c r="Q7599" i="34"/>
  <c r="Q7600" i="34"/>
  <c r="Q7601" i="34"/>
  <c r="Q7602" i="34"/>
  <c r="Q7603" i="34"/>
  <c r="Q7604" i="34"/>
  <c r="Q7605" i="34"/>
  <c r="Q7606" i="34"/>
  <c r="Q7607" i="34"/>
  <c r="Q7608" i="34"/>
  <c r="Q7609" i="34"/>
  <c r="Q7610" i="34"/>
  <c r="Q7611" i="34"/>
  <c r="Q7612" i="34"/>
  <c r="Q7613" i="34"/>
  <c r="Q7614" i="34"/>
  <c r="Q7615" i="34"/>
  <c r="Q7616" i="34"/>
  <c r="Q7617" i="34"/>
  <c r="Q7618" i="34"/>
  <c r="Q7619" i="34"/>
  <c r="Q7620" i="34"/>
  <c r="Q7621" i="34"/>
  <c r="Q7622" i="34"/>
  <c r="Q7623" i="34"/>
  <c r="Q7624" i="34"/>
  <c r="Q7625" i="34"/>
  <c r="Q7626" i="34"/>
  <c r="Q7627" i="34"/>
  <c r="Q7628" i="34"/>
  <c r="Q7629" i="34"/>
  <c r="Q7630" i="34"/>
  <c r="Q7631" i="34"/>
  <c r="Q7632" i="34"/>
  <c r="Q7633" i="34"/>
  <c r="Q7634" i="34"/>
  <c r="Q7635" i="34"/>
  <c r="Q7636" i="34"/>
  <c r="Q7637" i="34"/>
  <c r="Q7638" i="34"/>
  <c r="Q7639" i="34"/>
  <c r="Q7640" i="34"/>
  <c r="Q7641" i="34"/>
  <c r="Q7642" i="34"/>
  <c r="Q7643" i="34"/>
  <c r="Q7644" i="34"/>
  <c r="Q7645" i="34"/>
  <c r="Q7646" i="34"/>
  <c r="Q7647" i="34"/>
  <c r="Q7648" i="34"/>
  <c r="Q7649" i="34"/>
  <c r="Q7650" i="34"/>
  <c r="Q7651" i="34"/>
  <c r="Q7652" i="34"/>
  <c r="Q7653" i="34"/>
  <c r="Q7654" i="34"/>
  <c r="Q7655" i="34"/>
  <c r="Q7656" i="34"/>
  <c r="Q7657" i="34"/>
  <c r="Q7658" i="34"/>
  <c r="Q7659" i="34"/>
  <c r="Q7660" i="34"/>
  <c r="Q7661" i="34"/>
  <c r="Q7662" i="34"/>
  <c r="Q7663" i="34"/>
  <c r="Q7664" i="34"/>
  <c r="Q7665" i="34"/>
  <c r="Q7666" i="34"/>
  <c r="Q7667" i="34"/>
  <c r="Q7668" i="34"/>
  <c r="Q7669" i="34"/>
  <c r="Q7670" i="34"/>
  <c r="Q7671" i="34"/>
  <c r="Q7672" i="34"/>
  <c r="Q7673" i="34"/>
  <c r="Q7674" i="34"/>
  <c r="Q7675" i="34"/>
  <c r="Q7676" i="34"/>
  <c r="Q7677" i="34"/>
  <c r="Q7678" i="34"/>
  <c r="Q7679" i="34"/>
  <c r="Q7680" i="34"/>
  <c r="Q7681" i="34"/>
  <c r="Q7682" i="34"/>
  <c r="Q7683" i="34"/>
  <c r="Q7684" i="34"/>
  <c r="Q7685" i="34"/>
  <c r="Q7686" i="34"/>
  <c r="Q7687" i="34"/>
  <c r="Q7688" i="34"/>
  <c r="Q7689" i="34"/>
  <c r="Q7690" i="34"/>
  <c r="Q7691" i="34"/>
  <c r="Q7692" i="34"/>
  <c r="Q7693" i="34"/>
  <c r="Q7694" i="34"/>
  <c r="Q7695" i="34"/>
  <c r="Q7696" i="34"/>
  <c r="Q7697" i="34"/>
  <c r="Q7698" i="34"/>
  <c r="Q7699" i="34"/>
  <c r="Q7700" i="34"/>
  <c r="Q7701" i="34"/>
  <c r="Q7702" i="34"/>
  <c r="Q7703" i="34"/>
  <c r="Q7704" i="34"/>
  <c r="Q7705" i="34"/>
  <c r="Q7706" i="34"/>
  <c r="Q7707" i="34"/>
  <c r="Q7708" i="34"/>
  <c r="Q7709" i="34"/>
  <c r="Q7710" i="34"/>
  <c r="Q7711" i="34"/>
  <c r="Q7712" i="34"/>
  <c r="Q7713" i="34"/>
  <c r="Q7714" i="34"/>
  <c r="Q7715" i="34"/>
  <c r="Q7716" i="34"/>
  <c r="Q7717" i="34"/>
  <c r="Q7718" i="34"/>
  <c r="Q7719" i="34"/>
  <c r="Q7720" i="34"/>
  <c r="Q7721" i="34"/>
  <c r="Q7722" i="34"/>
  <c r="Q7723" i="34"/>
  <c r="Q7724" i="34"/>
  <c r="Q7725" i="34"/>
  <c r="Q7726" i="34"/>
  <c r="Q7727" i="34"/>
  <c r="Q7728" i="34"/>
  <c r="Q7729" i="34"/>
  <c r="Q7730" i="34"/>
  <c r="Q7731" i="34"/>
  <c r="Q7732" i="34"/>
  <c r="Q7733" i="34"/>
  <c r="Q7734" i="34"/>
  <c r="Q7735" i="34"/>
  <c r="Q7736" i="34"/>
  <c r="Q7737" i="34"/>
  <c r="Q7738" i="34"/>
  <c r="Q7739" i="34"/>
  <c r="Q7740" i="34"/>
  <c r="Q7741" i="34"/>
  <c r="Q7742" i="34"/>
  <c r="Q7743" i="34"/>
  <c r="Q7744" i="34"/>
  <c r="Q7745" i="34"/>
  <c r="Q7746" i="34"/>
  <c r="Q7747" i="34"/>
  <c r="Q7748" i="34"/>
  <c r="Q7749" i="34"/>
  <c r="Q7750" i="34"/>
  <c r="Q7751" i="34"/>
  <c r="Q7752" i="34"/>
  <c r="Q7753" i="34"/>
  <c r="Q7754" i="34"/>
  <c r="Q7755" i="34"/>
  <c r="Q7756" i="34"/>
  <c r="Q7757" i="34"/>
  <c r="Q7758" i="34"/>
  <c r="Q7759" i="34"/>
  <c r="Q7760" i="34"/>
  <c r="Q7761" i="34"/>
  <c r="Q7762" i="34"/>
  <c r="Q7763" i="34"/>
  <c r="Q7764" i="34"/>
  <c r="Q7765" i="34"/>
  <c r="Q7766" i="34"/>
  <c r="Q7767" i="34"/>
  <c r="Q7768" i="34"/>
  <c r="Q7769" i="34"/>
  <c r="Q7770" i="34"/>
  <c r="Q7771" i="34"/>
  <c r="Q7772" i="34"/>
  <c r="Q7773" i="34"/>
  <c r="Q7774" i="34"/>
  <c r="Q7775" i="34"/>
  <c r="Q7776" i="34"/>
  <c r="Q7777" i="34"/>
  <c r="Q7778" i="34"/>
  <c r="Q7779" i="34"/>
  <c r="Q7780" i="34"/>
  <c r="Q7781" i="34"/>
  <c r="Q7782" i="34"/>
  <c r="Q7783" i="34"/>
  <c r="Q7784" i="34"/>
  <c r="Q7785" i="34"/>
  <c r="Q7786" i="34"/>
  <c r="Q7787" i="34"/>
  <c r="Q7788" i="34"/>
  <c r="Q7789" i="34"/>
  <c r="Q7790" i="34"/>
  <c r="Q7791" i="34"/>
  <c r="Q7792" i="34"/>
  <c r="Q7793" i="34"/>
  <c r="Q7794" i="34"/>
  <c r="Q7795" i="34"/>
  <c r="Q7796" i="34"/>
  <c r="Q7797" i="34"/>
  <c r="Q7798" i="34"/>
  <c r="Q7799" i="34"/>
  <c r="Q7800" i="34"/>
  <c r="Q7801" i="34"/>
  <c r="Q7802" i="34"/>
  <c r="Q7803" i="34"/>
  <c r="Q7804" i="34"/>
  <c r="Q7805" i="34"/>
  <c r="Q7806" i="34"/>
  <c r="Q7807" i="34"/>
  <c r="Q7808" i="34"/>
  <c r="Q7809" i="34"/>
  <c r="Q7810" i="34"/>
  <c r="Q7811" i="34"/>
  <c r="Q7812" i="34"/>
  <c r="Q7813" i="34"/>
  <c r="Q7814" i="34"/>
  <c r="Q7815" i="34"/>
  <c r="Q7816" i="34"/>
  <c r="Q7817" i="34"/>
  <c r="Q7818" i="34"/>
  <c r="Q7819" i="34"/>
  <c r="Q7820" i="34"/>
  <c r="Q7821" i="34"/>
  <c r="Q7822" i="34"/>
  <c r="Q7823" i="34"/>
  <c r="Q7824" i="34"/>
  <c r="Q7825" i="34"/>
  <c r="Q7826" i="34"/>
  <c r="Q7827" i="34"/>
  <c r="Q7828" i="34"/>
  <c r="Q7829" i="34"/>
  <c r="Q7830" i="34"/>
  <c r="Q7831" i="34"/>
  <c r="Q7832" i="34"/>
  <c r="Q7833" i="34"/>
  <c r="Q7834" i="34"/>
  <c r="Q7835" i="34"/>
  <c r="Q7836" i="34"/>
  <c r="Q7837" i="34"/>
  <c r="Q7838" i="34"/>
  <c r="Q7839" i="34"/>
  <c r="Q7840" i="34"/>
  <c r="Q7841" i="34"/>
  <c r="Q7842" i="34"/>
  <c r="Q7843" i="34"/>
  <c r="Q7844" i="34"/>
  <c r="Q7845" i="34"/>
  <c r="Q7846" i="34"/>
  <c r="Q7847" i="34"/>
  <c r="Q7848" i="34"/>
  <c r="Q7849" i="34"/>
  <c r="Q7850" i="34"/>
  <c r="Q7851" i="34"/>
  <c r="Q7852" i="34"/>
  <c r="Q7853" i="34"/>
  <c r="Q7854" i="34"/>
  <c r="Q7855" i="34"/>
  <c r="Q7856" i="34"/>
  <c r="Q7857" i="34"/>
  <c r="Q7858" i="34"/>
  <c r="Q7859" i="34"/>
  <c r="Q7860" i="34"/>
  <c r="Q7861" i="34"/>
  <c r="Q7862" i="34"/>
  <c r="Q7863" i="34"/>
  <c r="Q7864" i="34"/>
  <c r="Q7865" i="34"/>
  <c r="Q7866" i="34"/>
  <c r="Q7867" i="34"/>
  <c r="Q7868" i="34"/>
  <c r="Q7869" i="34"/>
  <c r="Q7870" i="34"/>
  <c r="Q7871" i="34"/>
  <c r="Q7872" i="34"/>
  <c r="Q7873" i="34"/>
  <c r="Q7874" i="34"/>
  <c r="Q7875" i="34"/>
  <c r="Q7876" i="34"/>
  <c r="Q7877" i="34"/>
  <c r="Q7878" i="34"/>
  <c r="Q7879" i="34"/>
  <c r="Q7880" i="34"/>
  <c r="Q7881" i="34"/>
  <c r="Q7882" i="34"/>
  <c r="Q7883" i="34"/>
  <c r="Q7884" i="34"/>
  <c r="Q7885" i="34"/>
  <c r="Q7886" i="34"/>
  <c r="Q7887" i="34"/>
  <c r="Q7888" i="34"/>
  <c r="Q7889" i="34"/>
  <c r="Q7890" i="34"/>
  <c r="Q7891" i="34"/>
  <c r="Q7892" i="34"/>
  <c r="Q7893" i="34"/>
  <c r="Q7894" i="34"/>
  <c r="Q7895" i="34"/>
  <c r="Q7896" i="34"/>
  <c r="Q7897" i="34"/>
  <c r="Q7898" i="34"/>
  <c r="Q7899" i="34"/>
  <c r="Q7900" i="34"/>
  <c r="Q7901" i="34"/>
  <c r="Q7902" i="34"/>
  <c r="Q7903" i="34"/>
  <c r="Q7904" i="34"/>
  <c r="Q7905" i="34"/>
  <c r="Q7906" i="34"/>
  <c r="Q7907" i="34"/>
  <c r="Q7908" i="34"/>
  <c r="Q7909" i="34"/>
  <c r="Q7910" i="34"/>
  <c r="Q7911" i="34"/>
  <c r="Q7912" i="34"/>
  <c r="Q7913" i="34"/>
  <c r="Q7914" i="34"/>
  <c r="Q7915" i="34"/>
  <c r="Q7916" i="34"/>
  <c r="Q7917" i="34"/>
  <c r="Q7918" i="34"/>
  <c r="Q7919" i="34"/>
  <c r="Q7920" i="34"/>
  <c r="Q7921" i="34"/>
  <c r="Q7922" i="34"/>
  <c r="Q7923" i="34"/>
  <c r="Q7924" i="34"/>
  <c r="Q7925" i="34"/>
  <c r="Q7926" i="34"/>
  <c r="Q7927" i="34"/>
  <c r="Q7928" i="34"/>
  <c r="Q7929" i="34"/>
  <c r="Q7930" i="34"/>
  <c r="Q7931" i="34"/>
  <c r="Q7932" i="34"/>
  <c r="Q7933" i="34"/>
  <c r="Q7934" i="34"/>
  <c r="Q7935" i="34"/>
  <c r="Q7936" i="34"/>
  <c r="Q7937" i="34"/>
  <c r="Q7938" i="34"/>
  <c r="Q7939" i="34"/>
  <c r="Q7940" i="34"/>
  <c r="Q7941" i="34"/>
  <c r="Q7942" i="34"/>
  <c r="Q7943" i="34"/>
  <c r="Q7944" i="34"/>
  <c r="Q7945" i="34"/>
  <c r="Q7946" i="34"/>
  <c r="Q7947" i="34"/>
  <c r="Q7948" i="34"/>
  <c r="Q7949" i="34"/>
  <c r="Q7950" i="34"/>
  <c r="Q7951" i="34"/>
  <c r="Q7952" i="34"/>
  <c r="Q7953" i="34"/>
  <c r="Q7954" i="34"/>
  <c r="Q7955" i="34"/>
  <c r="Q7956" i="34"/>
  <c r="Q7957" i="34"/>
  <c r="Q7958" i="34"/>
  <c r="Q7959" i="34"/>
  <c r="Q7960" i="34"/>
  <c r="Q7961" i="34"/>
  <c r="Q7962" i="34"/>
  <c r="Q7963" i="34"/>
  <c r="Q7964" i="34"/>
  <c r="Q7965" i="34"/>
  <c r="Q7966" i="34"/>
  <c r="Q7967" i="34"/>
  <c r="Q7968" i="34"/>
  <c r="Q7969" i="34"/>
  <c r="Q7970" i="34"/>
  <c r="Q7971" i="34"/>
  <c r="Q7972" i="34"/>
  <c r="Q7973" i="34"/>
  <c r="Q7974" i="34"/>
  <c r="Q7975" i="34"/>
  <c r="Q7976" i="34"/>
  <c r="Q7977" i="34"/>
  <c r="Q7978" i="34"/>
  <c r="Q7979" i="34"/>
  <c r="Q7980" i="34"/>
  <c r="Q7981" i="34"/>
  <c r="Q7982" i="34"/>
  <c r="Q7983" i="34"/>
  <c r="Q7984" i="34"/>
  <c r="Q7985" i="34"/>
  <c r="Q7986" i="34"/>
  <c r="Q7987" i="34"/>
  <c r="Q7988" i="34"/>
  <c r="Q7989" i="34"/>
  <c r="Q7990" i="34"/>
  <c r="Q7991" i="34"/>
  <c r="Q7992" i="34"/>
  <c r="Q7993" i="34"/>
  <c r="Q7994" i="34"/>
  <c r="Q7995" i="34"/>
  <c r="Q7996" i="34"/>
  <c r="Q7997" i="34"/>
  <c r="Q7998" i="34"/>
  <c r="Q7999" i="34"/>
  <c r="Q8000" i="34"/>
  <c r="Q8001" i="34"/>
  <c r="Q8002" i="34"/>
  <c r="Q8003" i="34"/>
  <c r="Q8004" i="34"/>
  <c r="Q8005" i="34"/>
  <c r="Q8006" i="34"/>
  <c r="Q8007" i="34"/>
  <c r="Q8008" i="34"/>
  <c r="Q8009" i="34"/>
  <c r="Q8010" i="34"/>
  <c r="Q8011" i="34"/>
  <c r="Q8012" i="34"/>
  <c r="Q8013" i="34"/>
  <c r="Q8014" i="34"/>
  <c r="Q8015" i="34"/>
  <c r="Q8016" i="34"/>
  <c r="Q8017" i="34"/>
  <c r="Q8018" i="34"/>
  <c r="Q8019" i="34"/>
  <c r="Q8020" i="34"/>
  <c r="Q8021" i="34"/>
  <c r="Q8022" i="34"/>
  <c r="Q8023" i="34"/>
  <c r="Q8024" i="34"/>
  <c r="Q8025" i="34"/>
  <c r="Q8026" i="34"/>
  <c r="Q8027" i="34"/>
  <c r="Q8028" i="34"/>
  <c r="Q8029" i="34"/>
  <c r="Q8030" i="34"/>
  <c r="Q8031" i="34"/>
  <c r="Q8032" i="34"/>
  <c r="Q8033" i="34"/>
  <c r="Q8034" i="34"/>
  <c r="Q8035" i="34"/>
  <c r="Q8036" i="34"/>
  <c r="Q8037" i="34"/>
  <c r="Q8038" i="34"/>
  <c r="Q8039" i="34"/>
  <c r="Q8040" i="34"/>
  <c r="Q8041" i="34"/>
  <c r="Q8042" i="34"/>
  <c r="Q8043" i="34"/>
  <c r="Q8044" i="34"/>
  <c r="Q8045" i="34"/>
  <c r="Q8046" i="34"/>
  <c r="Q8047" i="34"/>
  <c r="Q8048" i="34"/>
  <c r="Q8049" i="34"/>
  <c r="Q8050" i="34"/>
  <c r="Q8051" i="34"/>
  <c r="Q8052" i="34"/>
  <c r="Q8053" i="34"/>
  <c r="Q8054" i="34"/>
  <c r="Q8055" i="34"/>
  <c r="Q8056" i="34"/>
  <c r="Q8057" i="34"/>
  <c r="Q8058" i="34"/>
  <c r="Q8059" i="34"/>
  <c r="Q8060" i="34"/>
  <c r="Q8061" i="34"/>
  <c r="Q8062" i="34"/>
  <c r="Q8063" i="34"/>
  <c r="Q8064" i="34"/>
  <c r="Q8065" i="34"/>
  <c r="Q8066" i="34"/>
  <c r="Q8067" i="34"/>
  <c r="Q8068" i="34"/>
  <c r="Q8069" i="34"/>
  <c r="Q8070" i="34"/>
  <c r="Q8071" i="34"/>
  <c r="Q8072" i="34"/>
  <c r="Q8073" i="34"/>
  <c r="Q8074" i="34"/>
  <c r="Q8075" i="34"/>
  <c r="Q8076" i="34"/>
  <c r="Q8077" i="34"/>
  <c r="Q8078" i="34"/>
  <c r="Q8079" i="34"/>
  <c r="Q8080" i="34"/>
  <c r="Q8081" i="34"/>
  <c r="Q8082" i="34"/>
  <c r="Q8083" i="34"/>
  <c r="Q8084" i="34"/>
  <c r="Q8085" i="34"/>
  <c r="Q8086" i="34"/>
  <c r="Q8087" i="34"/>
  <c r="Q8088" i="34"/>
  <c r="Q8089" i="34"/>
  <c r="Q8090" i="34"/>
  <c r="Q8091" i="34"/>
  <c r="Q8092" i="34"/>
  <c r="Q8093" i="34"/>
  <c r="Q8094" i="34"/>
  <c r="Q8095" i="34"/>
  <c r="Q8096" i="34"/>
  <c r="Q8097" i="34"/>
  <c r="Q8098" i="34"/>
  <c r="Q8099" i="34"/>
  <c r="Q8100" i="34"/>
  <c r="Q8101" i="34"/>
  <c r="Q8102" i="34"/>
  <c r="Q8103" i="34"/>
  <c r="Q8104" i="34"/>
  <c r="Q8105" i="34"/>
  <c r="Q8106" i="34"/>
  <c r="Q8107" i="34"/>
  <c r="Q8108" i="34"/>
  <c r="Q8109" i="34"/>
  <c r="Q8110" i="34"/>
  <c r="Q8111" i="34"/>
  <c r="Q8112" i="34"/>
  <c r="Q8113" i="34"/>
  <c r="Q8114" i="34"/>
  <c r="Q8115" i="34"/>
  <c r="Q8116" i="34"/>
  <c r="Q8117" i="34"/>
  <c r="Q8118" i="34"/>
  <c r="Q8119" i="34"/>
  <c r="Q8120" i="34"/>
  <c r="Q8121" i="34"/>
  <c r="Q8122" i="34"/>
  <c r="Q8123" i="34"/>
  <c r="Q8124" i="34"/>
  <c r="Q8125" i="34"/>
  <c r="Q8126" i="34"/>
  <c r="Q8127" i="34"/>
  <c r="Q8128" i="34"/>
  <c r="Q8129" i="34"/>
  <c r="Q8130" i="34"/>
  <c r="Q8131" i="34"/>
  <c r="Q8132" i="34"/>
  <c r="Q8133" i="34"/>
  <c r="Q8134" i="34"/>
  <c r="Q8135" i="34"/>
  <c r="Q8136" i="34"/>
  <c r="Q8137" i="34"/>
  <c r="Q8138" i="34"/>
  <c r="Q8139" i="34"/>
  <c r="Q8140" i="34"/>
  <c r="Q8141" i="34"/>
  <c r="Q8142" i="34"/>
  <c r="Q8143" i="34"/>
  <c r="Q8144" i="34"/>
  <c r="Q8145" i="34"/>
  <c r="Q8146" i="34"/>
  <c r="Q8147" i="34"/>
  <c r="Q8148" i="34"/>
  <c r="Q8149" i="34"/>
  <c r="Q8150" i="34"/>
  <c r="Q8151" i="34"/>
  <c r="Q8152" i="34"/>
  <c r="Q8153" i="34"/>
  <c r="Q8154" i="34"/>
  <c r="Q8155" i="34"/>
  <c r="Q8156" i="34"/>
  <c r="Q8157" i="34"/>
  <c r="Q8158" i="34"/>
  <c r="Q8159" i="34"/>
  <c r="Q8160" i="34"/>
  <c r="Q8161" i="34"/>
  <c r="Q8162" i="34"/>
  <c r="Q8163" i="34"/>
  <c r="Q8164" i="34"/>
  <c r="Q8165" i="34"/>
  <c r="Q8166" i="34"/>
  <c r="Q8167" i="34"/>
  <c r="Q8168" i="34"/>
  <c r="Q8169" i="34"/>
  <c r="Q8170" i="34"/>
  <c r="Q8171" i="34"/>
  <c r="Q8172" i="34"/>
  <c r="Q8173" i="34"/>
  <c r="Q8174" i="34"/>
  <c r="Q8175" i="34"/>
  <c r="Q8176" i="34"/>
  <c r="Q8177" i="34"/>
  <c r="Q8178" i="34"/>
  <c r="Q8179" i="34"/>
  <c r="Q8180" i="34"/>
  <c r="Q8181" i="34"/>
  <c r="Q8182" i="34"/>
  <c r="Q8183" i="34"/>
  <c r="Q8184" i="34"/>
  <c r="Q8185" i="34"/>
  <c r="Q8186" i="34"/>
  <c r="Q8187" i="34"/>
  <c r="Q8188" i="34"/>
  <c r="Q8189" i="34"/>
  <c r="Q8190" i="34"/>
  <c r="Q8191" i="34"/>
  <c r="Q8192" i="34"/>
  <c r="Q8193" i="34"/>
  <c r="Q8194" i="34"/>
  <c r="Q8195" i="34"/>
  <c r="Q8196" i="34"/>
  <c r="Q8197" i="34"/>
  <c r="Q8198" i="34"/>
  <c r="Q8199" i="34"/>
  <c r="Q8200" i="34"/>
  <c r="Q8201" i="34"/>
  <c r="Q8202" i="34"/>
  <c r="Q8203" i="34"/>
  <c r="Q8204" i="34"/>
  <c r="Q8205" i="34"/>
  <c r="Q8206" i="34"/>
  <c r="Q8207" i="34"/>
  <c r="Q8208" i="34"/>
  <c r="Q8209" i="34"/>
  <c r="Q8210" i="34"/>
  <c r="Q8211" i="34"/>
  <c r="Q8212" i="34"/>
  <c r="Q8213" i="34"/>
  <c r="Q8214" i="34"/>
  <c r="Q8215" i="34"/>
  <c r="Q8216" i="34"/>
  <c r="Q8217" i="34"/>
  <c r="Q8218" i="34"/>
  <c r="Q8219" i="34"/>
  <c r="Q8220" i="34"/>
  <c r="Q8221" i="34"/>
  <c r="Q8222" i="34"/>
  <c r="Q8223" i="34"/>
  <c r="Q8224" i="34"/>
  <c r="Q8225" i="34"/>
  <c r="Q8226" i="34"/>
  <c r="Q8227" i="34"/>
  <c r="Q8228" i="34"/>
  <c r="Q8229" i="34"/>
  <c r="Q8230" i="34"/>
  <c r="Q8231" i="34"/>
  <c r="Q8232" i="34"/>
  <c r="Q8233" i="34"/>
  <c r="Q8234" i="34"/>
  <c r="Q8235" i="34"/>
  <c r="Q8236" i="34"/>
  <c r="Q8237" i="34"/>
  <c r="Q8238" i="34"/>
  <c r="Q8239" i="34"/>
  <c r="Q8240" i="34"/>
  <c r="Q8241" i="34"/>
  <c r="Q8242" i="34"/>
  <c r="Q8243" i="34"/>
  <c r="Q8244" i="34"/>
  <c r="Q8245" i="34"/>
  <c r="Q8246" i="34"/>
  <c r="Q8247" i="34"/>
  <c r="Q8248" i="34"/>
  <c r="Q8249" i="34"/>
  <c r="Q8250" i="34"/>
  <c r="Q8251" i="34"/>
  <c r="Q8252" i="34"/>
  <c r="Q8253" i="34"/>
  <c r="Q8254" i="34"/>
  <c r="Q8255" i="34"/>
  <c r="Q8256" i="34"/>
  <c r="Q8257" i="34"/>
  <c r="Q8258" i="34"/>
  <c r="Q8259" i="34"/>
  <c r="Q8260" i="34"/>
  <c r="Q8261" i="34"/>
  <c r="Q8262" i="34"/>
  <c r="Q8263" i="34"/>
  <c r="Q8264" i="34"/>
  <c r="Q8265" i="34"/>
  <c r="Q8266" i="34"/>
  <c r="Q8267" i="34"/>
  <c r="Q8268" i="34"/>
  <c r="Q8269" i="34"/>
  <c r="Q8270" i="34"/>
  <c r="Q8271" i="34"/>
  <c r="Q8272" i="34"/>
  <c r="Q8273" i="34"/>
  <c r="Q8274" i="34"/>
  <c r="Q8275" i="34"/>
  <c r="Q8276" i="34"/>
  <c r="Q8277" i="34"/>
  <c r="Q8278" i="34"/>
  <c r="Q8279" i="34"/>
  <c r="Q8280" i="34"/>
  <c r="Q8281" i="34"/>
  <c r="Q8282" i="34"/>
  <c r="Q8283" i="34"/>
  <c r="Q8284" i="34"/>
  <c r="Q8285" i="34"/>
  <c r="Q8286" i="34"/>
  <c r="Q8287" i="34"/>
  <c r="Q8288" i="34"/>
  <c r="Q8289" i="34"/>
  <c r="Q8290" i="34"/>
  <c r="Q8291" i="34"/>
  <c r="Q8292" i="34"/>
  <c r="Q8293" i="34"/>
  <c r="Q8294" i="34"/>
  <c r="Q8295" i="34"/>
  <c r="Q8296" i="34"/>
  <c r="Q8297" i="34"/>
  <c r="Q8298" i="34"/>
  <c r="Q8299" i="34"/>
  <c r="Q8300" i="34"/>
  <c r="Q8301" i="34"/>
  <c r="Q8302" i="34"/>
  <c r="Q8303" i="34"/>
  <c r="Q8304" i="34"/>
  <c r="Q8305" i="34"/>
  <c r="Q8306" i="34"/>
  <c r="Q8307" i="34"/>
  <c r="Q8308" i="34"/>
  <c r="Q8309" i="34"/>
  <c r="Q8310" i="34"/>
  <c r="Q8311" i="34"/>
  <c r="Q8312" i="34"/>
  <c r="Q8313" i="34"/>
  <c r="Q8314" i="34"/>
  <c r="Q8315" i="34"/>
  <c r="Q8316" i="34"/>
  <c r="Q8317" i="34"/>
  <c r="Q8318" i="34"/>
  <c r="Q8319" i="34"/>
  <c r="Q8320" i="34"/>
  <c r="Q8321" i="34"/>
  <c r="Q8322" i="34"/>
  <c r="Q8323" i="34"/>
  <c r="Q8324" i="34"/>
  <c r="Q8325" i="34"/>
  <c r="Q8326" i="34"/>
  <c r="Q8327" i="34"/>
  <c r="Q8328" i="34"/>
  <c r="Q8329" i="34"/>
  <c r="Q8330" i="34"/>
  <c r="Q8331" i="34"/>
  <c r="Q8332" i="34"/>
  <c r="Q8333" i="34"/>
  <c r="Q8334" i="34"/>
  <c r="Q8335" i="34"/>
  <c r="Q8336" i="34"/>
  <c r="Q8337" i="34"/>
  <c r="Q8338" i="34"/>
  <c r="Q8339" i="34"/>
  <c r="Q8340" i="34"/>
  <c r="Q8341" i="34"/>
  <c r="Q8342" i="34"/>
  <c r="Q8343" i="34"/>
  <c r="Q8344" i="34"/>
  <c r="Q8345" i="34"/>
  <c r="Q8346" i="34"/>
  <c r="Q8347" i="34"/>
  <c r="Q8348" i="34"/>
  <c r="Q8349" i="34"/>
  <c r="Q8350" i="34"/>
  <c r="Q8351" i="34"/>
  <c r="Q8352" i="34"/>
  <c r="Q8353" i="34"/>
  <c r="Q8354" i="34"/>
  <c r="Q8355" i="34"/>
  <c r="Q8356" i="34"/>
  <c r="Q8357" i="34"/>
  <c r="Q8358" i="34"/>
  <c r="Q8359" i="34"/>
  <c r="Q8360" i="34"/>
  <c r="Q8361" i="34"/>
  <c r="Q8362" i="34"/>
  <c r="Q8363" i="34"/>
  <c r="Q8364" i="34"/>
  <c r="Q8365" i="34"/>
  <c r="Q8366" i="34"/>
  <c r="Q8367" i="34"/>
  <c r="Q8368" i="34"/>
  <c r="Q8369" i="34"/>
  <c r="Q8370" i="34"/>
  <c r="Q8371" i="34"/>
  <c r="Q8372" i="34"/>
  <c r="Q8373" i="34"/>
  <c r="Q8374" i="34"/>
  <c r="Q8375" i="34"/>
  <c r="Q8376" i="34"/>
  <c r="Q8377" i="34"/>
  <c r="Q8378" i="34"/>
  <c r="Q8379" i="34"/>
  <c r="Q8380" i="34"/>
  <c r="Q8381" i="34"/>
  <c r="Q8382" i="34"/>
  <c r="Q8383" i="34"/>
  <c r="Q8384" i="34"/>
  <c r="Q8385" i="34"/>
  <c r="Q8386" i="34"/>
  <c r="Q8387" i="34"/>
  <c r="Q8388" i="34"/>
  <c r="Q8389" i="34"/>
  <c r="Q8390" i="34"/>
  <c r="Q8391" i="34"/>
  <c r="Q8392" i="34"/>
  <c r="Q8393" i="34"/>
  <c r="Q8394" i="34"/>
  <c r="Q8395" i="34"/>
  <c r="Q8396" i="34"/>
  <c r="Q8397" i="34"/>
  <c r="Q8398" i="34"/>
  <c r="Q8399" i="34"/>
  <c r="Q8400" i="34"/>
  <c r="Q8401" i="34"/>
  <c r="Q8402" i="34"/>
  <c r="Q8403" i="34"/>
  <c r="Q8404" i="34"/>
  <c r="Q8405" i="34"/>
  <c r="Q8406" i="34"/>
  <c r="Q8407" i="34"/>
  <c r="Q8408" i="34"/>
  <c r="Q8409" i="34"/>
  <c r="Q8410" i="34"/>
  <c r="Q8411" i="34"/>
  <c r="Q8412" i="34"/>
  <c r="Q8413" i="34"/>
  <c r="Q8414" i="34"/>
  <c r="Q8415" i="34"/>
  <c r="Q8416" i="34"/>
  <c r="Q8417" i="34"/>
  <c r="Q8418" i="34"/>
  <c r="Q8419" i="34"/>
  <c r="Q8420" i="34"/>
  <c r="Q8421" i="34"/>
  <c r="Q8422" i="34"/>
  <c r="Q8423" i="34"/>
  <c r="Q8424" i="34"/>
  <c r="Q8425" i="34"/>
  <c r="Q8426" i="34"/>
  <c r="Q8427" i="34"/>
  <c r="Q8428" i="34"/>
  <c r="Q8429" i="34"/>
  <c r="Q8430" i="34"/>
  <c r="Q8431" i="34"/>
  <c r="Q8432" i="34"/>
  <c r="Q8433" i="34"/>
  <c r="Q8434" i="34"/>
  <c r="Q8435" i="34"/>
  <c r="Q8436" i="34"/>
  <c r="Q8437" i="34"/>
  <c r="Q8438" i="34"/>
  <c r="Q8439" i="34"/>
  <c r="Q8440" i="34"/>
  <c r="Q8441" i="34"/>
  <c r="Q8442" i="34"/>
  <c r="Q8443" i="34"/>
  <c r="Q8444" i="34"/>
  <c r="Q8445" i="34"/>
  <c r="Q8446" i="34"/>
  <c r="Q8447" i="34"/>
  <c r="Q8448" i="34"/>
  <c r="Q8449" i="34"/>
  <c r="Q8450" i="34"/>
  <c r="Q8451" i="34"/>
  <c r="Q8452" i="34"/>
  <c r="Q8453" i="34"/>
  <c r="Q8454" i="34"/>
  <c r="Q8455" i="34"/>
  <c r="Q8456" i="34"/>
  <c r="Q8457" i="34"/>
  <c r="Q8458" i="34"/>
  <c r="Q8459" i="34"/>
  <c r="Q8460" i="34"/>
  <c r="Q8461" i="34"/>
  <c r="Q8462" i="34"/>
  <c r="Q8463" i="34"/>
  <c r="Q8464" i="34"/>
  <c r="Q8465" i="34"/>
  <c r="Q8466" i="34"/>
  <c r="Q8467" i="34"/>
  <c r="Q8468" i="34"/>
  <c r="Q8469" i="34"/>
  <c r="Q8470" i="34"/>
  <c r="Q8471" i="34"/>
  <c r="Q8472" i="34"/>
  <c r="Q8473" i="34"/>
  <c r="Q8474" i="34"/>
  <c r="Q8475" i="34"/>
  <c r="Q8476" i="34"/>
  <c r="Q8477" i="34"/>
  <c r="Q8478" i="34"/>
  <c r="Q8479" i="34"/>
  <c r="Q8480" i="34"/>
  <c r="Q8481" i="34"/>
  <c r="Q8482" i="34"/>
  <c r="Q8483" i="34"/>
  <c r="Q8484" i="34"/>
  <c r="Q8485" i="34"/>
  <c r="Q8486" i="34"/>
  <c r="Q8487" i="34"/>
  <c r="Q8488" i="34"/>
  <c r="Q8489" i="34"/>
  <c r="Q8490" i="34"/>
  <c r="Q8491" i="34"/>
  <c r="Q8492" i="34"/>
  <c r="Q8493" i="34"/>
  <c r="Q8494" i="34"/>
  <c r="Q8495" i="34"/>
  <c r="Q8496" i="34"/>
  <c r="Q8497" i="34"/>
  <c r="Q8498" i="34"/>
  <c r="Q8499" i="34"/>
  <c r="Q8500" i="34"/>
  <c r="Q8501" i="34"/>
  <c r="Q8502" i="34"/>
  <c r="Q8503" i="34"/>
  <c r="Q8504" i="34"/>
  <c r="Q8505" i="34"/>
  <c r="Q8506" i="34"/>
  <c r="Q8507" i="34"/>
  <c r="Q8508" i="34"/>
  <c r="Q8509" i="34"/>
  <c r="Q8510" i="34"/>
  <c r="Q8511" i="34"/>
  <c r="Q8512" i="34"/>
  <c r="Q8513" i="34"/>
  <c r="Q8514" i="34"/>
  <c r="Q8515" i="34"/>
  <c r="Q8516" i="34"/>
  <c r="Q8517" i="34"/>
  <c r="Q8518" i="34"/>
  <c r="Q8519" i="34"/>
  <c r="Q8520" i="34"/>
  <c r="Q8521" i="34"/>
  <c r="Q8522" i="34"/>
  <c r="Q8523" i="34"/>
  <c r="Q8524" i="34"/>
  <c r="Q8525" i="34"/>
  <c r="Q8526" i="34"/>
  <c r="Q8527" i="34"/>
  <c r="Q8528" i="34"/>
  <c r="Q8529" i="34"/>
  <c r="Q8530" i="34"/>
  <c r="Q8531" i="34"/>
  <c r="Q8532" i="34"/>
  <c r="Q8533" i="34"/>
  <c r="Q8534" i="34"/>
  <c r="Q8535" i="34"/>
  <c r="Q8536" i="34"/>
  <c r="Q8537" i="34"/>
  <c r="Q8538" i="34"/>
  <c r="Q8539" i="34"/>
  <c r="Q8540" i="34"/>
  <c r="Q8541" i="34"/>
  <c r="Q8542" i="34"/>
  <c r="Q8543" i="34"/>
  <c r="Q8544" i="34"/>
  <c r="Q8545" i="34"/>
  <c r="Q8546" i="34"/>
  <c r="Q8547" i="34"/>
  <c r="Q8548" i="34"/>
  <c r="Q8549" i="34"/>
  <c r="Q8550" i="34"/>
  <c r="Q8551" i="34"/>
  <c r="Q8552" i="34"/>
  <c r="Q8553" i="34"/>
  <c r="Q8554" i="34"/>
  <c r="Q8555" i="34"/>
  <c r="Q8556" i="34"/>
  <c r="Q8557" i="34"/>
  <c r="Q8558" i="34"/>
  <c r="Q8559" i="34"/>
  <c r="Q8560" i="34"/>
  <c r="Q8561" i="34"/>
  <c r="Q8562" i="34"/>
  <c r="Q8563" i="34"/>
  <c r="Q8564" i="34"/>
  <c r="Q8565" i="34"/>
  <c r="Q8566" i="34"/>
  <c r="Q8567" i="34"/>
  <c r="Q8568" i="34"/>
  <c r="Q8569" i="34"/>
  <c r="Q8570" i="34"/>
  <c r="Q8571" i="34"/>
  <c r="Q8572" i="34"/>
  <c r="Q8573" i="34"/>
  <c r="Q8574" i="34"/>
  <c r="Q8575" i="34"/>
  <c r="Q8576" i="34"/>
  <c r="Q8577" i="34"/>
  <c r="Q8578" i="34"/>
  <c r="Q8579" i="34"/>
  <c r="Q8580" i="34"/>
  <c r="Q8581" i="34"/>
  <c r="Q8582" i="34"/>
  <c r="Q8583" i="34"/>
  <c r="Q8584" i="34"/>
  <c r="Q8585" i="34"/>
  <c r="Q8586" i="34"/>
  <c r="Q8587" i="34"/>
  <c r="Q8588" i="34"/>
  <c r="Q8589" i="34"/>
  <c r="Q8590" i="34"/>
  <c r="Q8591" i="34"/>
  <c r="Q8592" i="34"/>
  <c r="Q8593" i="34"/>
  <c r="Q8594" i="34"/>
  <c r="Q8595" i="34"/>
  <c r="Q8596" i="34"/>
  <c r="Q8597" i="34"/>
  <c r="Q8598" i="34"/>
  <c r="Q8599" i="34"/>
  <c r="Q8600" i="34"/>
  <c r="Q8601" i="34"/>
  <c r="Q8602" i="34"/>
  <c r="Q8603" i="34"/>
  <c r="Q8604" i="34"/>
  <c r="Q8605" i="34"/>
  <c r="Q8606" i="34"/>
  <c r="Q8607" i="34"/>
  <c r="Q8608" i="34"/>
  <c r="Q8609" i="34"/>
  <c r="Q8610" i="34"/>
  <c r="Q8611" i="34"/>
  <c r="Q8612" i="34"/>
  <c r="Q8613" i="34"/>
  <c r="Q8614" i="34"/>
  <c r="Q8615" i="34"/>
  <c r="Q8616" i="34"/>
  <c r="Q8617" i="34"/>
  <c r="Q8618" i="34"/>
  <c r="Q8619" i="34"/>
  <c r="Q8620" i="34"/>
  <c r="Q8621" i="34"/>
  <c r="Q8622" i="34"/>
  <c r="Q8623" i="34"/>
  <c r="Q8624" i="34"/>
  <c r="Q8625" i="34"/>
  <c r="Q8626" i="34"/>
  <c r="Q8627" i="34"/>
  <c r="Q8628" i="34"/>
  <c r="Q8629" i="34"/>
  <c r="Q8630" i="34"/>
  <c r="Q8631" i="34"/>
  <c r="Q8632" i="34"/>
  <c r="Q8633" i="34"/>
  <c r="Q8634" i="34"/>
  <c r="Q8635" i="34"/>
  <c r="Q8636" i="34"/>
  <c r="Q8637" i="34"/>
  <c r="Q8638" i="34"/>
  <c r="Q8639" i="34"/>
  <c r="Q8640" i="34"/>
  <c r="Q8641" i="34"/>
  <c r="Q8642" i="34"/>
  <c r="Q8643" i="34"/>
  <c r="Q8644" i="34"/>
  <c r="Q8645" i="34"/>
  <c r="Q8646" i="34"/>
  <c r="Q8647" i="34"/>
  <c r="Q8648" i="34"/>
  <c r="Q8649" i="34"/>
  <c r="Q8650" i="34"/>
  <c r="Q8651" i="34"/>
  <c r="Q8652" i="34"/>
  <c r="Q8653" i="34"/>
  <c r="Q8654" i="34"/>
  <c r="Q8655" i="34"/>
  <c r="Q8656" i="34"/>
  <c r="Q8657" i="34"/>
  <c r="Q8658" i="34"/>
  <c r="Q8659" i="34"/>
  <c r="Q8660" i="34"/>
  <c r="Q8661" i="34"/>
  <c r="Q8662" i="34"/>
  <c r="Q8663" i="34"/>
  <c r="Q8664" i="34"/>
  <c r="Q8665" i="34"/>
  <c r="Q8666" i="34"/>
  <c r="Q8667" i="34"/>
  <c r="Q8668" i="34"/>
  <c r="Q8669" i="34"/>
  <c r="Q8670" i="34"/>
  <c r="Q8671" i="34"/>
  <c r="Q8672" i="34"/>
  <c r="Q8673" i="34"/>
  <c r="Q8674" i="34"/>
  <c r="Q8675" i="34"/>
  <c r="Q8676" i="34"/>
  <c r="Q8677" i="34"/>
  <c r="Q8678" i="34"/>
  <c r="Q8679" i="34"/>
  <c r="Q8680" i="34"/>
  <c r="Q8681" i="34"/>
  <c r="Q8682" i="34"/>
  <c r="Q8683" i="34"/>
  <c r="Q8684" i="34"/>
  <c r="Q8685" i="34"/>
  <c r="Q8686" i="34"/>
  <c r="Q8687" i="34"/>
  <c r="Q8688" i="34"/>
  <c r="Q8689" i="34"/>
  <c r="Q8690" i="34"/>
  <c r="Q8691" i="34"/>
  <c r="Q8692" i="34"/>
  <c r="Q8693" i="34"/>
  <c r="Q8694" i="34"/>
  <c r="Q8695" i="34"/>
  <c r="Q8696" i="34"/>
  <c r="Q8697" i="34"/>
  <c r="Q8698" i="34"/>
  <c r="Q8699" i="34"/>
  <c r="Q8700" i="34"/>
  <c r="Q8701" i="34"/>
  <c r="Q8702" i="34"/>
  <c r="Q8703" i="34"/>
  <c r="Q8704" i="34"/>
  <c r="Q8705" i="34"/>
  <c r="Q8706" i="34"/>
  <c r="Q8707" i="34"/>
  <c r="Q8708" i="34"/>
  <c r="Q8709" i="34"/>
  <c r="Q8710" i="34"/>
  <c r="Q8711" i="34"/>
  <c r="Q8712" i="34"/>
  <c r="Q8713" i="34"/>
  <c r="Q8714" i="34"/>
  <c r="Q8715" i="34"/>
  <c r="Q8716" i="34"/>
  <c r="Q8717" i="34"/>
  <c r="Q8718" i="34"/>
  <c r="Q8719" i="34"/>
  <c r="Q8720" i="34"/>
  <c r="Q8721" i="34"/>
  <c r="Q8722" i="34"/>
  <c r="Q8723" i="34"/>
  <c r="Q8724" i="34"/>
  <c r="Q8725" i="34"/>
  <c r="Q8726" i="34"/>
  <c r="Q8727" i="34"/>
  <c r="Q8728" i="34"/>
  <c r="Q8729" i="34"/>
  <c r="Q8730" i="34"/>
  <c r="Q8731" i="34"/>
  <c r="Q8732" i="34"/>
  <c r="Q8733" i="34"/>
  <c r="Q8734" i="34"/>
  <c r="Q8735" i="34"/>
  <c r="Q8736" i="34"/>
  <c r="Q8737" i="34"/>
  <c r="Q8738" i="34"/>
  <c r="Q8739" i="34"/>
  <c r="Q8740" i="34"/>
  <c r="Q8741" i="34"/>
  <c r="Q8742" i="34"/>
  <c r="Q8743" i="34"/>
  <c r="Q8744" i="34"/>
  <c r="Q8745" i="34"/>
  <c r="Q8746" i="34"/>
  <c r="Q8747" i="34"/>
  <c r="Q8748" i="34"/>
  <c r="Q8749" i="34"/>
  <c r="Q8750" i="34"/>
  <c r="Q8751" i="34"/>
  <c r="Q8752" i="34"/>
  <c r="Q8753" i="34"/>
  <c r="Q8754" i="34"/>
  <c r="Q8755" i="34"/>
  <c r="Q8756" i="34"/>
  <c r="Q8757" i="34"/>
  <c r="Q8758" i="34"/>
  <c r="Q8759" i="34"/>
  <c r="Q8760" i="34"/>
  <c r="Q8761" i="34"/>
  <c r="Q8762" i="34"/>
  <c r="Q8763" i="34"/>
  <c r="Q8764" i="34"/>
  <c r="Q8765" i="34"/>
  <c r="Q8766" i="34"/>
  <c r="Q8767" i="34"/>
  <c r="Q8768" i="34"/>
  <c r="Q8769" i="34"/>
  <c r="Q8770" i="34"/>
  <c r="Q8771" i="34"/>
  <c r="Q8772" i="34"/>
  <c r="Q8773" i="34"/>
  <c r="Q8774" i="34"/>
  <c r="Q8775" i="34"/>
  <c r="Q8776" i="34"/>
  <c r="Q8777" i="34"/>
  <c r="Q8778" i="34"/>
  <c r="Q8779" i="34"/>
  <c r="Q8780" i="34"/>
  <c r="Q8781" i="34"/>
  <c r="Q8782" i="34"/>
  <c r="Q8783" i="34"/>
  <c r="Q8784" i="34"/>
  <c r="Q8785" i="34"/>
  <c r="Q8786" i="34"/>
  <c r="Q8787" i="34"/>
  <c r="Q8788" i="34"/>
  <c r="Q8789" i="34"/>
  <c r="Q8790" i="34"/>
  <c r="Q8791" i="34"/>
  <c r="Q8792" i="34"/>
  <c r="Q8793" i="34"/>
  <c r="Q8794" i="34"/>
  <c r="Q8795" i="34"/>
  <c r="Q8796" i="34"/>
  <c r="Q8797" i="34"/>
  <c r="Q8798" i="34"/>
  <c r="Q8799" i="34"/>
  <c r="Q8800" i="34"/>
  <c r="Q8801" i="34"/>
  <c r="Q8802" i="34"/>
  <c r="Q8803" i="34"/>
  <c r="Q8804" i="34"/>
  <c r="Q8805" i="34"/>
  <c r="Q8806" i="34"/>
  <c r="Q8807" i="34"/>
  <c r="Q8808" i="34"/>
  <c r="Q8809" i="34"/>
  <c r="Q8810" i="34"/>
  <c r="Q8811" i="34"/>
  <c r="Q8812" i="34"/>
  <c r="Q8813" i="34"/>
  <c r="Q8814" i="34"/>
  <c r="Q8815" i="34"/>
  <c r="Q8816" i="34"/>
  <c r="Q8817" i="34"/>
  <c r="Q8818" i="34"/>
  <c r="Q8819" i="34"/>
  <c r="Q8820" i="34"/>
  <c r="Q8821" i="34"/>
  <c r="Q8822" i="34"/>
  <c r="Q8823" i="34"/>
  <c r="Q8824" i="34"/>
  <c r="Q8825" i="34"/>
  <c r="Q8826" i="34"/>
  <c r="Q8827" i="34"/>
  <c r="Q8828" i="34"/>
  <c r="Q8829" i="34"/>
  <c r="Q8830" i="34"/>
  <c r="Q8831" i="34"/>
  <c r="Q8832" i="34"/>
  <c r="Q8833" i="34"/>
  <c r="Q8834" i="34"/>
  <c r="Q8835" i="34"/>
  <c r="Q8836" i="34"/>
  <c r="Q8837" i="34"/>
  <c r="Q8838" i="34"/>
  <c r="Q8839" i="34"/>
  <c r="Q8840" i="34"/>
  <c r="Q8841" i="34"/>
  <c r="Q8842" i="34"/>
  <c r="Q8843" i="34"/>
  <c r="Q8844" i="34"/>
  <c r="Q8845" i="34"/>
  <c r="Q8846" i="34"/>
  <c r="Q8847" i="34"/>
  <c r="Q8848" i="34"/>
  <c r="Q8849" i="34"/>
  <c r="Q8850" i="34"/>
  <c r="Q8851" i="34"/>
  <c r="Q8852" i="34"/>
  <c r="Q8853" i="34"/>
  <c r="Q8854" i="34"/>
  <c r="Q8855" i="34"/>
  <c r="Q8856" i="34"/>
  <c r="Q8857" i="34"/>
  <c r="Q8858" i="34"/>
  <c r="Q8859" i="34"/>
  <c r="Q8860" i="34"/>
  <c r="Q8861" i="34"/>
  <c r="Q8862" i="34"/>
  <c r="Q8863" i="34"/>
  <c r="Q8864" i="34"/>
  <c r="Q8865" i="34"/>
  <c r="Q8866" i="34"/>
  <c r="Q8867" i="34"/>
  <c r="Q8868" i="34"/>
  <c r="Q8869" i="34"/>
  <c r="Q8870" i="34"/>
  <c r="Q8871" i="34"/>
  <c r="Q8872" i="34"/>
  <c r="Q8873" i="34"/>
  <c r="Q8874" i="34"/>
  <c r="Q8875" i="34"/>
  <c r="Q8876" i="34"/>
  <c r="Q8877" i="34"/>
  <c r="Q8878" i="34"/>
  <c r="Q8879" i="34"/>
  <c r="Q8880" i="34"/>
  <c r="Q8881" i="34"/>
  <c r="Q8882" i="34"/>
  <c r="Q8883" i="34"/>
  <c r="Q8884" i="34"/>
  <c r="Q8885" i="34"/>
  <c r="Q8886" i="34"/>
  <c r="Q8887" i="34"/>
  <c r="Q8888" i="34"/>
  <c r="Q8889" i="34"/>
  <c r="Q8890" i="34"/>
  <c r="Q8891" i="34"/>
  <c r="Q8892" i="34"/>
  <c r="Q8893" i="34"/>
  <c r="Q8894" i="34"/>
  <c r="Q8895" i="34"/>
  <c r="Q8896" i="34"/>
  <c r="Q8897" i="34"/>
  <c r="Q8898" i="34"/>
  <c r="Q8899" i="34"/>
  <c r="Q8900" i="34"/>
  <c r="Q8901" i="34"/>
  <c r="Q8902" i="34"/>
  <c r="Q8903" i="34"/>
  <c r="Q8904" i="34"/>
  <c r="Q8905" i="34"/>
  <c r="Q8906" i="34"/>
  <c r="Q8907" i="34"/>
  <c r="Q8908" i="34"/>
  <c r="Q8909" i="34"/>
  <c r="Q8910" i="34"/>
  <c r="Q8911" i="34"/>
  <c r="Q8912" i="34"/>
  <c r="Q8913" i="34"/>
  <c r="Q8914" i="34"/>
  <c r="Q8915" i="34"/>
  <c r="Q8916" i="34"/>
  <c r="Q8917" i="34"/>
  <c r="Q8918" i="34"/>
  <c r="Q8919" i="34"/>
  <c r="Q8920" i="34"/>
  <c r="Q8921" i="34"/>
  <c r="Q8922" i="34"/>
  <c r="Q8923" i="34"/>
  <c r="Q8924" i="34"/>
  <c r="Q8925" i="34"/>
  <c r="Q8926" i="34"/>
  <c r="Q8927" i="34"/>
  <c r="Q8928" i="34"/>
  <c r="Q8929" i="34"/>
  <c r="Q8930" i="34"/>
  <c r="Q8931" i="34"/>
  <c r="Q8932" i="34"/>
  <c r="Q8933" i="34"/>
  <c r="Q8934" i="34"/>
  <c r="Q8935" i="34"/>
  <c r="Q8936" i="34"/>
  <c r="Q8937" i="34"/>
  <c r="Q8938" i="34"/>
  <c r="Q8939" i="34"/>
  <c r="Q8940" i="34"/>
  <c r="Q8941" i="34"/>
  <c r="Q8942" i="34"/>
  <c r="Q8943" i="34"/>
  <c r="Q8944" i="34"/>
  <c r="Q8945" i="34"/>
  <c r="Q8946" i="34"/>
  <c r="Q8947" i="34"/>
  <c r="Q8948" i="34"/>
  <c r="Q8949" i="34"/>
  <c r="Q8950" i="34"/>
  <c r="Q8951" i="34"/>
  <c r="Q8952" i="34"/>
  <c r="Q8953" i="34"/>
  <c r="Q8954" i="34"/>
  <c r="Q8955" i="34"/>
  <c r="Q8956" i="34"/>
  <c r="Q8957" i="34"/>
  <c r="Q8958" i="34"/>
  <c r="Q8959" i="34"/>
  <c r="Q8960" i="34"/>
  <c r="Q8961" i="34"/>
  <c r="Q8962" i="34"/>
  <c r="Q8963" i="34"/>
  <c r="Q8964" i="34"/>
  <c r="Q8965" i="34"/>
  <c r="Q8966" i="34"/>
  <c r="Q8967" i="34"/>
  <c r="Q8968" i="34"/>
  <c r="Q8969" i="34"/>
  <c r="Q8970" i="34"/>
  <c r="Q8971" i="34"/>
  <c r="Q8972" i="34"/>
  <c r="Q8973" i="34"/>
  <c r="Q8974" i="34"/>
  <c r="Q8975" i="34"/>
  <c r="Q8976" i="34"/>
  <c r="Q8977" i="34"/>
  <c r="Q8978" i="34"/>
  <c r="Q8979" i="34"/>
  <c r="Q8980" i="34"/>
  <c r="Q8981" i="34"/>
  <c r="Q8982" i="34"/>
  <c r="Q8983" i="34"/>
  <c r="Q8984" i="34"/>
  <c r="Q8985" i="34"/>
  <c r="Q8986" i="34"/>
  <c r="Q8987" i="34"/>
  <c r="Q8988" i="34"/>
  <c r="Q8989" i="34"/>
  <c r="Q8990" i="34"/>
  <c r="Q8991" i="34"/>
  <c r="Q8992" i="34"/>
  <c r="Q8993" i="34"/>
  <c r="Q8994" i="34"/>
  <c r="Q8995" i="34"/>
  <c r="Q8996" i="34"/>
  <c r="Q8997" i="34"/>
  <c r="Q8998" i="34"/>
  <c r="Q8999" i="34"/>
  <c r="Q9000" i="34"/>
  <c r="Q9001" i="34"/>
  <c r="Q9002" i="34"/>
  <c r="Q9003" i="34"/>
  <c r="Q9004" i="34"/>
  <c r="Q9005" i="34"/>
  <c r="Q9006" i="34"/>
  <c r="Q9007" i="34"/>
  <c r="Q9008" i="34"/>
  <c r="Q9009" i="34"/>
  <c r="Q9010" i="34"/>
  <c r="Q9011" i="34"/>
  <c r="Q9012" i="34"/>
  <c r="Q9013" i="34"/>
  <c r="Q9014" i="34"/>
  <c r="Q9015" i="34"/>
  <c r="Q9016" i="34"/>
  <c r="Q9017" i="34"/>
  <c r="Q9018" i="34"/>
  <c r="Q9019" i="34"/>
  <c r="Q9020" i="34"/>
  <c r="Q9021" i="34"/>
  <c r="Q9022" i="34"/>
  <c r="Q9023" i="34"/>
  <c r="Q9024" i="34"/>
  <c r="Q9025" i="34"/>
  <c r="Q9026" i="34"/>
  <c r="Q9027" i="34"/>
  <c r="Q9028" i="34"/>
  <c r="Q9029" i="34"/>
  <c r="Q9030" i="34"/>
  <c r="Q9031" i="34"/>
  <c r="Q9032" i="34"/>
  <c r="Q9033" i="34"/>
  <c r="Q9034" i="34"/>
  <c r="Q9035" i="34"/>
  <c r="Q9036" i="34"/>
  <c r="Q9037" i="34"/>
  <c r="Q9038" i="34"/>
  <c r="Q9039" i="34"/>
  <c r="Q9040" i="34"/>
  <c r="Q9041" i="34"/>
  <c r="Q9042" i="34"/>
  <c r="Q9043" i="34"/>
  <c r="Q9044" i="34"/>
  <c r="Q9045" i="34"/>
  <c r="Q9046" i="34"/>
  <c r="Q9047" i="34"/>
  <c r="Q9048" i="34"/>
  <c r="Q9049" i="34"/>
  <c r="Q9050" i="34"/>
  <c r="Q9051" i="34"/>
  <c r="Q9052" i="34"/>
  <c r="Q9053" i="34"/>
  <c r="Q9054" i="34"/>
  <c r="Q9055" i="34"/>
  <c r="Q9056" i="34"/>
  <c r="Q9057" i="34"/>
  <c r="Q9058" i="34"/>
  <c r="Q9059" i="34"/>
  <c r="Q9060" i="34"/>
  <c r="Q9061" i="34"/>
  <c r="Q9062" i="34"/>
  <c r="Q9063" i="34"/>
  <c r="Q9064" i="34"/>
  <c r="Q9065" i="34"/>
  <c r="Q9066" i="34"/>
  <c r="Q9067" i="34"/>
  <c r="Q9068" i="34"/>
  <c r="Q9069" i="34"/>
  <c r="Q9070" i="34"/>
  <c r="Q9071" i="34"/>
  <c r="Q9072" i="34"/>
  <c r="Q9073" i="34"/>
  <c r="Q9074" i="34"/>
  <c r="Q9075" i="34"/>
  <c r="Q9076" i="34"/>
  <c r="Q9077" i="34"/>
  <c r="Q9078" i="34"/>
  <c r="Q9079" i="34"/>
  <c r="Q9080" i="34"/>
  <c r="Q9081" i="34"/>
  <c r="Q9082" i="34"/>
  <c r="Q9083" i="34"/>
  <c r="Q9084" i="34"/>
  <c r="Q9085" i="34"/>
  <c r="Q9086" i="34"/>
  <c r="Q9087" i="34"/>
  <c r="Q9088" i="34"/>
  <c r="Q9089" i="34"/>
  <c r="Q9090" i="34"/>
  <c r="Q9091" i="34"/>
  <c r="Q9092" i="34"/>
  <c r="Q9093" i="34"/>
  <c r="Q9094" i="34"/>
  <c r="Q9095" i="34"/>
  <c r="Q9096" i="34"/>
  <c r="Q9097" i="34"/>
  <c r="Q9098" i="34"/>
  <c r="Q9099" i="34"/>
  <c r="Q9100" i="34"/>
  <c r="Q9101" i="34"/>
  <c r="Q9102" i="34"/>
  <c r="Q9103" i="34"/>
  <c r="Q9104" i="34"/>
  <c r="Q9105" i="34"/>
  <c r="Q9106" i="34"/>
  <c r="Q9107" i="34"/>
  <c r="Q9108" i="34"/>
  <c r="Q9109" i="34"/>
  <c r="Q9110" i="34"/>
  <c r="Q9111" i="34"/>
  <c r="Q9112" i="34"/>
  <c r="Q9113" i="34"/>
  <c r="Q9114" i="34"/>
  <c r="Q9115" i="34"/>
  <c r="Q9116" i="34"/>
  <c r="Q9117" i="34"/>
  <c r="Q9118" i="34"/>
  <c r="Q9119" i="34"/>
  <c r="Q9120" i="34"/>
  <c r="Q9121" i="34"/>
  <c r="Q9122" i="34"/>
  <c r="Q9123" i="34"/>
  <c r="Q9124" i="34"/>
  <c r="Q9125" i="34"/>
  <c r="Q9126" i="34"/>
  <c r="Q9127" i="34"/>
  <c r="Q9128" i="34"/>
  <c r="Q9129" i="34"/>
  <c r="Q9130" i="34"/>
  <c r="Q9131" i="34"/>
  <c r="Q9132" i="34"/>
  <c r="Q9133" i="34"/>
  <c r="Q9134" i="34"/>
  <c r="Q9135" i="34"/>
  <c r="Q9136" i="34"/>
  <c r="Q9137" i="34"/>
  <c r="Q9138" i="34"/>
  <c r="Q9139" i="34"/>
  <c r="Q9140" i="34"/>
  <c r="Q9141" i="34"/>
  <c r="Q9142" i="34"/>
  <c r="Q9143" i="34"/>
  <c r="Q9144" i="34"/>
  <c r="Q9145" i="34"/>
  <c r="Q9146" i="34"/>
  <c r="Q9147" i="34"/>
  <c r="Q9148" i="34"/>
  <c r="Q9149" i="34"/>
  <c r="Q9150" i="34"/>
  <c r="Q9151" i="34"/>
  <c r="Q9152" i="34"/>
  <c r="Q9153" i="34"/>
  <c r="Q9154" i="34"/>
  <c r="Q9155" i="34"/>
  <c r="Q9156" i="34"/>
  <c r="Q9157" i="34"/>
  <c r="Q9158" i="34"/>
  <c r="Q9159" i="34"/>
  <c r="Q9160" i="34"/>
  <c r="Q9161" i="34"/>
  <c r="Q9162" i="34"/>
  <c r="Q9163" i="34"/>
  <c r="Q9164" i="34"/>
  <c r="Q9165" i="34"/>
  <c r="Q9166" i="34"/>
  <c r="Q9167" i="34"/>
  <c r="Q9168" i="34"/>
  <c r="Q9169" i="34"/>
  <c r="Q9170" i="34"/>
  <c r="Q9171" i="34"/>
  <c r="Q9172" i="34"/>
  <c r="Q9173" i="34"/>
  <c r="Q9174" i="34"/>
  <c r="Q9175" i="34"/>
  <c r="Q9176" i="34"/>
  <c r="Q9177" i="34"/>
  <c r="Q9178" i="34"/>
  <c r="Q9179" i="34"/>
  <c r="Q9180" i="34"/>
  <c r="Q9181" i="34"/>
  <c r="Q9182" i="34"/>
  <c r="Q9183" i="34"/>
  <c r="Q9184" i="34"/>
  <c r="Q9185" i="34"/>
  <c r="Q9186" i="34"/>
  <c r="Q9187" i="34"/>
  <c r="Q9188" i="34"/>
  <c r="Q9189" i="34"/>
  <c r="Q9190" i="34"/>
  <c r="Q9191" i="34"/>
  <c r="Q9192" i="34"/>
  <c r="Q9193" i="34"/>
  <c r="Q9194" i="34"/>
  <c r="Q9195" i="34"/>
  <c r="Q9196" i="34"/>
  <c r="Q9197" i="34"/>
  <c r="Q9198" i="34"/>
  <c r="Q9199" i="34"/>
  <c r="Q9200" i="34"/>
  <c r="Q9201" i="34"/>
  <c r="Q9202" i="34"/>
  <c r="Q9203" i="34"/>
  <c r="Q9204" i="34"/>
  <c r="Q9205" i="34"/>
  <c r="Q9206" i="34"/>
  <c r="Q9207" i="34"/>
  <c r="Q9208" i="34"/>
  <c r="Q9209" i="34"/>
  <c r="Q9210" i="34"/>
  <c r="Q9211" i="34"/>
  <c r="Q9212" i="34"/>
  <c r="Q9213" i="34"/>
  <c r="Q9214" i="34"/>
  <c r="Q9215" i="34"/>
  <c r="Q9216" i="34"/>
  <c r="Q9217" i="34"/>
  <c r="Q9218" i="34"/>
  <c r="Q9219" i="34"/>
  <c r="Q9220" i="34"/>
  <c r="Q9221" i="34"/>
  <c r="Q9222" i="34"/>
  <c r="Q9223" i="34"/>
  <c r="Q9224" i="34"/>
  <c r="Q9225" i="34"/>
  <c r="Q9226" i="34"/>
  <c r="Q9227" i="34"/>
  <c r="Q9228" i="34"/>
  <c r="Q9229" i="34"/>
  <c r="Q9230" i="34"/>
  <c r="Q9231" i="34"/>
  <c r="Q9232" i="34"/>
  <c r="Q9233" i="34"/>
  <c r="Q9234" i="34"/>
  <c r="Q9235" i="34"/>
  <c r="Q9236" i="34"/>
  <c r="Q9237" i="34"/>
  <c r="Q9238" i="34"/>
  <c r="Q9239" i="34"/>
  <c r="Q9240" i="34"/>
  <c r="Q9241" i="34"/>
  <c r="Q9242" i="34"/>
  <c r="Q9243" i="34"/>
  <c r="Q9244" i="34"/>
  <c r="Q9245" i="34"/>
  <c r="Q9246" i="34"/>
  <c r="Q9247" i="34"/>
  <c r="Q9248" i="34"/>
  <c r="Q9249" i="34"/>
  <c r="Q9250" i="34"/>
  <c r="Q9251" i="34"/>
  <c r="Q9252" i="34"/>
  <c r="Q9253" i="34"/>
  <c r="Q9254" i="34"/>
  <c r="Q9255" i="34"/>
  <c r="Q9256" i="34"/>
  <c r="Q9257" i="34"/>
  <c r="Q9258" i="34"/>
  <c r="Q9259" i="34"/>
  <c r="Q9260" i="34"/>
  <c r="Q9261" i="34"/>
  <c r="Q9262" i="34"/>
  <c r="Q9263" i="34"/>
  <c r="Q9264" i="34"/>
  <c r="Q9265" i="34"/>
  <c r="Q9266" i="34"/>
  <c r="Q9267" i="34"/>
  <c r="Q9268" i="34"/>
  <c r="Q9269" i="34"/>
  <c r="Q9270" i="34"/>
  <c r="Q9271" i="34"/>
  <c r="Q9272" i="34"/>
  <c r="Q9273" i="34"/>
  <c r="Q9274" i="34"/>
  <c r="Q9275" i="34"/>
  <c r="Q9276" i="34"/>
  <c r="Q9277" i="34"/>
  <c r="Q9278" i="34"/>
  <c r="Q9279" i="34"/>
  <c r="Q9280" i="34"/>
  <c r="Q9281" i="34"/>
  <c r="Q9282" i="34"/>
  <c r="Q9283" i="34"/>
  <c r="Q9284" i="34"/>
  <c r="Q9285" i="34"/>
  <c r="Q9286" i="34"/>
  <c r="Q9287" i="34"/>
  <c r="Q9288" i="34"/>
  <c r="Q9289" i="34"/>
  <c r="Q9290" i="34"/>
  <c r="Q9291" i="34"/>
  <c r="Q9292" i="34"/>
  <c r="Q9293" i="34"/>
  <c r="Q9294" i="34"/>
  <c r="Q9295" i="34"/>
  <c r="Q9296" i="34"/>
  <c r="Q9297" i="34"/>
  <c r="Q9298" i="34"/>
  <c r="Q9299" i="34"/>
  <c r="Q9300" i="34"/>
  <c r="Q9301" i="34"/>
  <c r="Q9302" i="34"/>
  <c r="Q9303" i="34"/>
  <c r="Q9304" i="34"/>
  <c r="Q9305" i="34"/>
  <c r="Q9306" i="34"/>
  <c r="Q9307" i="34"/>
  <c r="Q9308" i="34"/>
  <c r="Q9309" i="34"/>
  <c r="Q9310" i="34"/>
  <c r="Q9311" i="34"/>
  <c r="Q9312" i="34"/>
  <c r="Q9313" i="34"/>
  <c r="Q9314" i="34"/>
  <c r="Q9315" i="34"/>
  <c r="Q9316" i="34"/>
  <c r="Q9317" i="34"/>
  <c r="Q9318" i="34"/>
  <c r="Q9319" i="34"/>
  <c r="Q9320" i="34"/>
  <c r="Q9321" i="34"/>
  <c r="Q9322" i="34"/>
  <c r="Q9323" i="34"/>
  <c r="Q9324" i="34"/>
  <c r="Q9325" i="34"/>
  <c r="Q9326" i="34"/>
  <c r="Q9327" i="34"/>
  <c r="Q9328" i="34"/>
  <c r="Q9329" i="34"/>
  <c r="Q9330" i="34"/>
  <c r="Q9331" i="34"/>
  <c r="Q9332" i="34"/>
  <c r="Q9333" i="34"/>
  <c r="Q9334" i="34"/>
  <c r="Q9335" i="34"/>
  <c r="Q9336" i="34"/>
  <c r="Q9337" i="34"/>
  <c r="Q9338" i="34"/>
  <c r="Q9339" i="34"/>
  <c r="Q9340" i="34"/>
  <c r="Q9341" i="34"/>
  <c r="Q9342" i="34"/>
  <c r="Q9343" i="34"/>
  <c r="Q9344" i="34"/>
  <c r="Q9345" i="34"/>
  <c r="Q9346" i="34"/>
  <c r="Q9347" i="34"/>
  <c r="Q9348" i="34"/>
  <c r="Q9349" i="34"/>
  <c r="Q9350" i="34"/>
  <c r="Q9351" i="34"/>
  <c r="Q9352" i="34"/>
  <c r="Q9353" i="34"/>
  <c r="Q9354" i="34"/>
  <c r="Q9355" i="34"/>
  <c r="Q9356" i="34"/>
  <c r="Q9357" i="34"/>
  <c r="Q9358" i="34"/>
  <c r="Q9359" i="34"/>
  <c r="Q9360" i="34"/>
  <c r="Q9361" i="34"/>
  <c r="Q9362" i="34"/>
  <c r="Q9363" i="34"/>
  <c r="Q9364" i="34"/>
  <c r="Q9365" i="34"/>
  <c r="Q9366" i="34"/>
  <c r="Q9367" i="34"/>
  <c r="Q9368" i="34"/>
  <c r="Q9369" i="34"/>
  <c r="Q9370" i="34"/>
  <c r="Q9371" i="34"/>
  <c r="Q9372" i="34"/>
  <c r="Q9373" i="34"/>
  <c r="Q9374" i="34"/>
  <c r="Q9375" i="34"/>
  <c r="Q9376" i="34"/>
  <c r="Q9377" i="34"/>
  <c r="Q9378" i="34"/>
  <c r="Q9379" i="34"/>
  <c r="Q9380" i="34"/>
  <c r="Q9381" i="34"/>
  <c r="Q9382" i="34"/>
  <c r="Q9383" i="34"/>
  <c r="Q9384" i="34"/>
  <c r="Q9385" i="34"/>
  <c r="Q9386" i="34"/>
  <c r="Q9387" i="34"/>
  <c r="Q9388" i="34"/>
  <c r="Q9389" i="34"/>
  <c r="Q9390" i="34"/>
  <c r="Q9391" i="34"/>
  <c r="Q9392" i="34"/>
  <c r="Q9393" i="34"/>
  <c r="Q9394" i="34"/>
  <c r="Q9395" i="34"/>
  <c r="Q9396" i="34"/>
  <c r="Q9397" i="34"/>
  <c r="Q9398" i="34"/>
  <c r="Q9399" i="34"/>
  <c r="Q9400" i="34"/>
  <c r="Q9401" i="34"/>
  <c r="Q9402" i="34"/>
  <c r="Q9403" i="34"/>
  <c r="Q9404" i="34"/>
  <c r="Q9405" i="34"/>
  <c r="Q9406" i="34"/>
  <c r="Q9407" i="34"/>
  <c r="Q9408" i="34"/>
  <c r="Q9409" i="34"/>
  <c r="Q9410" i="34"/>
  <c r="Q9411" i="34"/>
  <c r="Q9412" i="34"/>
  <c r="Q9413" i="34"/>
  <c r="Q9414" i="34"/>
  <c r="Q9415" i="34"/>
  <c r="Q9416" i="34"/>
  <c r="Q9417" i="34"/>
  <c r="Q9418" i="34"/>
  <c r="Q9419" i="34"/>
  <c r="Q9420" i="34"/>
  <c r="Q9421" i="34"/>
  <c r="Q9422" i="34"/>
  <c r="Q9423" i="34"/>
  <c r="Q9424" i="34"/>
  <c r="Q9425" i="34"/>
  <c r="Q9426" i="34"/>
  <c r="Q9427" i="34"/>
  <c r="Q9428" i="34"/>
  <c r="Q9429" i="34"/>
  <c r="Q9430" i="34"/>
  <c r="Q9431" i="34"/>
  <c r="Q9432" i="34"/>
  <c r="Q9433" i="34"/>
  <c r="Q9434" i="34"/>
  <c r="Q9435" i="34"/>
  <c r="Q9436" i="34"/>
  <c r="Q9437" i="34"/>
  <c r="Q9438" i="34"/>
  <c r="Q9439" i="34"/>
  <c r="Q9440" i="34"/>
  <c r="Q9441" i="34"/>
  <c r="Q9442" i="34"/>
  <c r="Q9443" i="34"/>
  <c r="Q9444" i="34"/>
  <c r="Q9445" i="34"/>
  <c r="Q9446" i="34"/>
  <c r="Q9447" i="34"/>
  <c r="Q9448" i="34"/>
  <c r="Q9449" i="34"/>
  <c r="Q9450" i="34"/>
  <c r="Q9451" i="34"/>
  <c r="Q9452" i="34"/>
  <c r="Q9453" i="34"/>
  <c r="Q9454" i="34"/>
  <c r="Q9455" i="34"/>
  <c r="Q9456" i="34"/>
  <c r="Q9457" i="34"/>
  <c r="Q9458" i="34"/>
  <c r="Q9459" i="34"/>
  <c r="Q9460" i="34"/>
  <c r="Q9461" i="34"/>
  <c r="Q9462" i="34"/>
  <c r="Q9463" i="34"/>
  <c r="Q9464" i="34"/>
  <c r="Q9465" i="34"/>
  <c r="Q9466" i="34"/>
  <c r="Q9467" i="34"/>
  <c r="Q9468" i="34"/>
  <c r="Q9469" i="34"/>
  <c r="Q9470" i="34"/>
  <c r="Q9471" i="34"/>
  <c r="Q9472" i="34"/>
  <c r="Q9473" i="34"/>
  <c r="Q9474" i="34"/>
  <c r="Q9475" i="34"/>
  <c r="Q9476" i="34"/>
  <c r="Q9477" i="34"/>
  <c r="Q9478" i="34"/>
  <c r="Q9479" i="34"/>
  <c r="Q9480" i="34"/>
  <c r="Q9481" i="34"/>
  <c r="Q9482" i="34"/>
  <c r="Q9483" i="34"/>
  <c r="Q9484" i="34"/>
  <c r="Q9485" i="34"/>
  <c r="Q9486" i="34"/>
  <c r="Q9487" i="34"/>
  <c r="Q9488" i="34"/>
  <c r="Q9489" i="34"/>
  <c r="Q9490" i="34"/>
  <c r="Q9491" i="34"/>
  <c r="Q9492" i="34"/>
  <c r="Q9493" i="34"/>
  <c r="Q9494" i="34"/>
  <c r="Q9495" i="34"/>
  <c r="Q9496" i="34"/>
  <c r="Q9497" i="34"/>
  <c r="Q9498" i="34"/>
  <c r="Q9499" i="34"/>
  <c r="Q9500" i="34"/>
  <c r="Q9501" i="34"/>
  <c r="Q9502" i="34"/>
  <c r="Q9503" i="34"/>
  <c r="Q9504" i="34"/>
  <c r="Q9505" i="34"/>
  <c r="Q9506" i="34"/>
  <c r="Q9507" i="34"/>
  <c r="Q9508" i="34"/>
  <c r="Q9509" i="34"/>
  <c r="Q9510" i="34"/>
  <c r="Q9511" i="34"/>
  <c r="Q9512" i="34"/>
  <c r="Q9513" i="34"/>
  <c r="Q9514" i="34"/>
  <c r="Q9515" i="34"/>
  <c r="Q9516" i="34"/>
  <c r="Q9517" i="34"/>
  <c r="Q9518" i="34"/>
  <c r="Q9519" i="34"/>
  <c r="Q9520" i="34"/>
  <c r="Q9521" i="34"/>
  <c r="Q9522" i="34"/>
  <c r="Q9523" i="34"/>
  <c r="Q9524" i="34"/>
  <c r="Q9525" i="34"/>
  <c r="Q9526" i="34"/>
  <c r="Q9527" i="34"/>
  <c r="Q9528" i="34"/>
  <c r="Q9529" i="34"/>
  <c r="Q9530" i="34"/>
  <c r="Q9531" i="34"/>
  <c r="Q9532" i="34"/>
  <c r="Q9533" i="34"/>
  <c r="Q9534" i="34"/>
  <c r="Q9535" i="34"/>
  <c r="Q9536" i="34"/>
  <c r="Q9537" i="34"/>
  <c r="Q9538" i="34"/>
  <c r="Q9539" i="34"/>
  <c r="Q9540" i="34"/>
  <c r="Q9541" i="34"/>
  <c r="Q9542" i="34"/>
  <c r="Q9543" i="34"/>
  <c r="Q9544" i="34"/>
  <c r="Q9545" i="34"/>
  <c r="Q9546" i="34"/>
  <c r="Q9547" i="34"/>
  <c r="Q9548" i="34"/>
  <c r="Q9549" i="34"/>
  <c r="Q9550" i="34"/>
  <c r="Q9551" i="34"/>
  <c r="Q9552" i="34"/>
  <c r="Q9553" i="34"/>
  <c r="Q9554" i="34"/>
  <c r="Q9555" i="34"/>
  <c r="Q9556" i="34"/>
  <c r="Q9557" i="34"/>
  <c r="Q9558" i="34"/>
  <c r="Q9559" i="34"/>
  <c r="Q9560" i="34"/>
  <c r="Q9561" i="34"/>
  <c r="Q9562" i="34"/>
  <c r="Q9563" i="34"/>
  <c r="Q9564" i="34"/>
  <c r="Q9565" i="34"/>
  <c r="Q9566" i="34"/>
  <c r="Q9567" i="34"/>
  <c r="Q9568" i="34"/>
  <c r="Q9569" i="34"/>
  <c r="Q9570" i="34"/>
  <c r="Q9571" i="34"/>
  <c r="Q9572" i="34"/>
  <c r="Q9573" i="34"/>
  <c r="Q9574" i="34"/>
  <c r="Q9575" i="34"/>
  <c r="Q9576" i="34"/>
  <c r="Q9577" i="34"/>
  <c r="Q9578" i="34"/>
  <c r="Q9579" i="34"/>
  <c r="Q9580" i="34"/>
  <c r="Q9581" i="34"/>
  <c r="Q9582" i="34"/>
  <c r="Q9583" i="34"/>
  <c r="Q9584" i="34"/>
  <c r="Q9585" i="34"/>
  <c r="Q9586" i="34"/>
  <c r="Q9587" i="34"/>
  <c r="Q9588" i="34"/>
  <c r="Q9589" i="34"/>
  <c r="Q9590" i="34"/>
  <c r="Q9591" i="34"/>
  <c r="Q9592" i="34"/>
  <c r="Q9593" i="34"/>
  <c r="Q9594" i="34"/>
  <c r="Q9595" i="34"/>
  <c r="Q9596" i="34"/>
  <c r="Q9597" i="34"/>
  <c r="Q9598" i="34"/>
  <c r="Q9599" i="34"/>
  <c r="Q9600" i="34"/>
  <c r="Q9601" i="34"/>
  <c r="Q9602" i="34"/>
  <c r="Q9603" i="34"/>
  <c r="Q9604" i="34"/>
  <c r="Q9605" i="34"/>
  <c r="Q9606" i="34"/>
  <c r="Q9607" i="34"/>
  <c r="Q9608" i="34"/>
  <c r="Q9609" i="34"/>
  <c r="Q9610" i="34"/>
  <c r="Q9611" i="34"/>
  <c r="Q9612" i="34"/>
  <c r="Q9613" i="34"/>
  <c r="Q9614" i="34"/>
  <c r="Q9615" i="34"/>
  <c r="Q9616" i="34"/>
  <c r="Q9617" i="34"/>
  <c r="Q9618" i="34"/>
  <c r="Q9619" i="34"/>
  <c r="Q9620" i="34"/>
  <c r="Q9621" i="34"/>
  <c r="Q9622" i="34"/>
  <c r="Q9623" i="34"/>
  <c r="Q9624" i="34"/>
  <c r="Q9625" i="34"/>
  <c r="Q9626" i="34"/>
  <c r="Q9627" i="34"/>
  <c r="Q9628" i="34"/>
  <c r="Q9629" i="34"/>
  <c r="Q9630" i="34"/>
  <c r="Q9631" i="34"/>
  <c r="Q9632" i="34"/>
  <c r="Q9633" i="34"/>
  <c r="Q9634" i="34"/>
  <c r="Q9635" i="34"/>
  <c r="Q9636" i="34"/>
  <c r="Q9637" i="34"/>
  <c r="Q9638" i="34"/>
  <c r="Q9639" i="34"/>
  <c r="Q9640" i="34"/>
  <c r="Q9641" i="34"/>
  <c r="Q9642" i="34"/>
  <c r="Q9643" i="34"/>
  <c r="Q9644" i="34"/>
  <c r="Q9645" i="34"/>
  <c r="Q9646" i="34"/>
  <c r="Q9647" i="34"/>
  <c r="Q9648" i="34"/>
  <c r="Q9649" i="34"/>
  <c r="Q9650" i="34"/>
  <c r="Q9651" i="34"/>
  <c r="Q9652" i="34"/>
  <c r="Q9653" i="34"/>
  <c r="Q9654" i="34"/>
  <c r="Q9655" i="34"/>
  <c r="Q9656" i="34"/>
  <c r="Q9657" i="34"/>
  <c r="Q9658" i="34"/>
  <c r="Q9659" i="34"/>
  <c r="Q9660" i="34"/>
  <c r="Q9661" i="34"/>
  <c r="Q9662" i="34"/>
  <c r="Q9663" i="34"/>
  <c r="Q9664" i="34"/>
  <c r="Q9665" i="34"/>
  <c r="Q9666" i="34"/>
  <c r="Q9667" i="34"/>
  <c r="Q9668" i="34"/>
  <c r="Q9669" i="34"/>
  <c r="Q9670" i="34"/>
  <c r="Q9671" i="34"/>
  <c r="Q9672" i="34"/>
  <c r="Q9673" i="34"/>
  <c r="Q9674" i="34"/>
  <c r="Q9675" i="34"/>
  <c r="Q9676" i="34"/>
  <c r="Q9677" i="34"/>
  <c r="Q9678" i="34"/>
  <c r="Q9679" i="34"/>
  <c r="Q9680" i="34"/>
  <c r="Q9681" i="34"/>
  <c r="Q9682" i="34"/>
  <c r="Q9683" i="34"/>
  <c r="Q9684" i="34"/>
  <c r="Q9685" i="34"/>
  <c r="Q9686" i="34"/>
  <c r="Q9687" i="34"/>
  <c r="Q9688" i="34"/>
  <c r="Q9689" i="34"/>
  <c r="Q9690" i="34"/>
  <c r="Q9691" i="34"/>
  <c r="Q9692" i="34"/>
  <c r="Q9693" i="34"/>
  <c r="Q9694" i="34"/>
  <c r="Q9695" i="34"/>
  <c r="Q9696" i="34"/>
  <c r="Q9697" i="34"/>
  <c r="Q9698" i="34"/>
  <c r="Q9699" i="34"/>
  <c r="Q9700" i="34"/>
  <c r="Q9701" i="34"/>
  <c r="Q9702" i="34"/>
  <c r="Q9703" i="34"/>
  <c r="Q9704" i="34"/>
  <c r="Q9705" i="34"/>
  <c r="Q9706" i="34"/>
  <c r="Q9707" i="34"/>
  <c r="Q9708" i="34"/>
  <c r="Q9709" i="34"/>
  <c r="Q9710" i="34"/>
  <c r="Q9711" i="34"/>
  <c r="Q9712" i="34"/>
  <c r="Q9713" i="34"/>
  <c r="Q9714" i="34"/>
  <c r="Q9715" i="34"/>
  <c r="Q9716" i="34"/>
  <c r="Q9717" i="34"/>
  <c r="Q9718" i="34"/>
  <c r="Q9719" i="34"/>
  <c r="Q9720" i="34"/>
  <c r="Q9721" i="34"/>
  <c r="Q9722" i="34"/>
  <c r="Q9723" i="34"/>
  <c r="Q9724" i="34"/>
  <c r="Q9725" i="34"/>
  <c r="Q9726" i="34"/>
  <c r="Q9727" i="34"/>
  <c r="Q9728" i="34"/>
  <c r="Q9729" i="34"/>
  <c r="Q9730" i="34"/>
  <c r="Q9731" i="34"/>
  <c r="Q9732" i="34"/>
  <c r="Q9733" i="34"/>
  <c r="Q9734" i="34"/>
  <c r="Q9735" i="34"/>
  <c r="Q9736" i="34"/>
  <c r="Q9737" i="34"/>
  <c r="Q9738" i="34"/>
  <c r="Q9739" i="34"/>
  <c r="Q9740" i="34"/>
  <c r="Q9741" i="34"/>
  <c r="Q9742" i="34"/>
  <c r="Q9743" i="34"/>
  <c r="Q9744" i="34"/>
  <c r="Q9745" i="34"/>
  <c r="Q9746" i="34"/>
  <c r="Q9747" i="34"/>
  <c r="Q9748" i="34"/>
  <c r="Q9749" i="34"/>
  <c r="Q9750" i="34"/>
  <c r="Q9751" i="34"/>
  <c r="Q9752" i="34"/>
  <c r="Q9753" i="34"/>
  <c r="Q9754" i="34"/>
  <c r="Q9755" i="34"/>
  <c r="Q9756" i="34"/>
  <c r="Q9757" i="34"/>
  <c r="Q9758" i="34"/>
  <c r="Q9759" i="34"/>
  <c r="Q9760" i="34"/>
  <c r="Q9761" i="34"/>
  <c r="Q9762" i="34"/>
  <c r="Q9763" i="34"/>
  <c r="Q9764" i="34"/>
  <c r="Q9765" i="34"/>
  <c r="Q9766" i="34"/>
  <c r="Q9767" i="34"/>
  <c r="Q9768" i="34"/>
  <c r="Q9769" i="34"/>
  <c r="Q9770" i="34"/>
  <c r="Q9771" i="34"/>
  <c r="Q9772" i="34"/>
  <c r="Q9773" i="34"/>
  <c r="Q9774" i="34"/>
  <c r="Q9775" i="34"/>
  <c r="Q9776" i="34"/>
  <c r="Q9777" i="34"/>
  <c r="Q9778" i="34"/>
  <c r="Q9779" i="34"/>
  <c r="Q9780" i="34"/>
  <c r="Q9781" i="34"/>
  <c r="Q9782" i="34"/>
  <c r="Q9783" i="34"/>
  <c r="Q9784" i="34"/>
  <c r="Q9785" i="34"/>
  <c r="Q9786" i="34"/>
  <c r="Q9787" i="34"/>
  <c r="Q9788" i="34"/>
  <c r="Q9789" i="34"/>
  <c r="Q9790" i="34"/>
  <c r="Q9791" i="34"/>
  <c r="Q9792" i="34"/>
  <c r="Q9793" i="34"/>
  <c r="Q9794" i="34"/>
  <c r="Q9795" i="34"/>
  <c r="Q9796" i="34"/>
  <c r="Q9797" i="34"/>
  <c r="Q9798" i="34"/>
  <c r="Q9799" i="34"/>
  <c r="Q9800" i="34"/>
  <c r="Q9801" i="34"/>
  <c r="Q9802" i="34"/>
  <c r="Q9803" i="34"/>
  <c r="Q9804" i="34"/>
  <c r="Q9805" i="34"/>
  <c r="Q9806" i="34"/>
  <c r="Q9807" i="34"/>
  <c r="Q9808" i="34"/>
  <c r="Q9809" i="34"/>
  <c r="Q9810" i="34"/>
  <c r="Q9811" i="34"/>
  <c r="Q9812" i="34"/>
  <c r="Q9813" i="34"/>
  <c r="Q9814" i="34"/>
  <c r="Q9815" i="34"/>
  <c r="Q9816" i="34"/>
  <c r="Q9817" i="34"/>
  <c r="Q9818" i="34"/>
  <c r="Q9819" i="34"/>
  <c r="Q9820" i="34"/>
  <c r="Q9821" i="34"/>
  <c r="Q9822" i="34"/>
  <c r="Q9823" i="34"/>
  <c r="Q9824" i="34"/>
  <c r="Q9825" i="34"/>
  <c r="Q9826" i="34"/>
  <c r="Q9827" i="34"/>
  <c r="Q9828" i="34"/>
  <c r="Q9829" i="34"/>
  <c r="Q9830" i="34"/>
  <c r="Q9831" i="34"/>
  <c r="Q9832" i="34"/>
  <c r="Q9833" i="34"/>
  <c r="Q9834" i="34"/>
  <c r="Q9835" i="34"/>
  <c r="Q9836" i="34"/>
  <c r="Q9837" i="34"/>
  <c r="Q9838" i="34"/>
  <c r="Q9839" i="34"/>
  <c r="Q9840" i="34"/>
  <c r="Q9841" i="34"/>
  <c r="Q9842" i="34"/>
  <c r="Q9843" i="34"/>
  <c r="Q9844" i="34"/>
  <c r="Q9845" i="34"/>
  <c r="Q9846" i="34"/>
  <c r="Q9847" i="34"/>
  <c r="Q9848" i="34"/>
  <c r="Q9849" i="34"/>
  <c r="Q9850" i="34"/>
  <c r="Q9851" i="34"/>
  <c r="Q9852" i="34"/>
  <c r="Q9853" i="34"/>
  <c r="Q9854" i="34"/>
  <c r="Q9855" i="34"/>
  <c r="Q9856" i="34"/>
  <c r="Q9857" i="34"/>
  <c r="Q9858" i="34"/>
  <c r="Q9859" i="34"/>
  <c r="Q9860" i="34"/>
  <c r="Q9861" i="34"/>
  <c r="Q9862" i="34"/>
  <c r="Q9863" i="34"/>
  <c r="Q9864" i="34"/>
  <c r="Q9865" i="34"/>
  <c r="Q9866" i="34"/>
  <c r="Q9867" i="34"/>
  <c r="Q9868" i="34"/>
  <c r="Q9869" i="34"/>
  <c r="Q9870" i="34"/>
  <c r="Q9871" i="34"/>
  <c r="Q9872" i="34"/>
  <c r="Q9873" i="34"/>
  <c r="Q9874" i="34"/>
  <c r="Q9875" i="34"/>
  <c r="Q9876" i="34"/>
  <c r="Q9877" i="34"/>
  <c r="Q9878" i="34"/>
  <c r="Q9879" i="34"/>
  <c r="Q9880" i="34"/>
  <c r="Q9881" i="34"/>
  <c r="Q9882" i="34"/>
  <c r="Q9883" i="34"/>
  <c r="Q9884" i="34"/>
  <c r="Q9885" i="34"/>
  <c r="Q9886" i="34"/>
  <c r="Q9887" i="34"/>
  <c r="Q9888" i="34"/>
  <c r="Q9889" i="34"/>
  <c r="Q9890" i="34"/>
  <c r="Q9891" i="34"/>
  <c r="Q9892" i="34"/>
  <c r="Q9893" i="34"/>
  <c r="Q9894" i="34"/>
  <c r="Q9895" i="34"/>
  <c r="Q9896" i="34"/>
  <c r="Q9897" i="34"/>
  <c r="Q9898" i="34"/>
  <c r="Q9899" i="34"/>
  <c r="Q9900" i="34"/>
  <c r="Q9901" i="34"/>
  <c r="Q9902" i="34"/>
  <c r="Q9903" i="34"/>
  <c r="Q9904" i="34"/>
  <c r="Q9905" i="34"/>
  <c r="Q9906" i="34"/>
  <c r="Q9907" i="34"/>
  <c r="Q9908" i="34"/>
  <c r="Q9909" i="34"/>
  <c r="Q9910" i="34"/>
  <c r="Q9911" i="34"/>
  <c r="Q9912" i="34"/>
  <c r="Q9913" i="34"/>
  <c r="Q9914" i="34"/>
  <c r="Q9915" i="34"/>
  <c r="Q9916" i="34"/>
  <c r="Q9917" i="34"/>
  <c r="Q9918" i="34"/>
  <c r="Q9919" i="34"/>
  <c r="Q9920" i="34"/>
  <c r="Q9921" i="34"/>
  <c r="Q9922" i="34"/>
  <c r="Q9923" i="34"/>
  <c r="Q9924" i="34"/>
  <c r="Q9925" i="34"/>
  <c r="Q9926" i="34"/>
  <c r="Q9927" i="34"/>
  <c r="Q9928" i="34"/>
  <c r="Q9929" i="34"/>
  <c r="Q9930" i="34"/>
  <c r="Q9931" i="34"/>
  <c r="Q9932" i="34"/>
  <c r="Q9933" i="34"/>
  <c r="Q9934" i="34"/>
  <c r="Q9935" i="34"/>
  <c r="Q9936" i="34"/>
  <c r="Q9937" i="34"/>
  <c r="Q9938" i="34"/>
  <c r="Q9939" i="34"/>
  <c r="Q9940" i="34"/>
  <c r="Q9941" i="34"/>
  <c r="Q9942" i="34"/>
  <c r="Q9943" i="34"/>
  <c r="Q9944" i="34"/>
  <c r="Q9945" i="34"/>
  <c r="Q9946" i="34"/>
  <c r="Q9947" i="34"/>
  <c r="Q9948" i="34"/>
  <c r="Q9949" i="34"/>
  <c r="Q9950" i="34"/>
  <c r="Q9951" i="34"/>
  <c r="Q9952" i="34"/>
  <c r="Q9953" i="34"/>
  <c r="Q9954" i="34"/>
  <c r="Q9955" i="34"/>
  <c r="Q9956" i="34"/>
  <c r="Q9957" i="34"/>
  <c r="Q9958" i="34"/>
  <c r="Q9959" i="34"/>
  <c r="Q9960" i="34"/>
  <c r="Q9961" i="34"/>
  <c r="Q9962" i="34"/>
  <c r="Q9963" i="34"/>
  <c r="Q9964" i="34"/>
  <c r="Q9965" i="34"/>
  <c r="Q9966" i="34"/>
  <c r="Q9967" i="34"/>
  <c r="Q9968" i="34"/>
  <c r="Q9969" i="34"/>
  <c r="Q9970" i="34"/>
  <c r="Q9971" i="34"/>
  <c r="Q9972" i="34"/>
  <c r="Q9973" i="34"/>
  <c r="Q9974" i="34"/>
  <c r="Q9975" i="34"/>
  <c r="Q9976" i="34"/>
  <c r="Q9977" i="34"/>
  <c r="Q9978" i="34"/>
  <c r="Q9979" i="34"/>
  <c r="Q9980" i="34"/>
  <c r="Q9981" i="34"/>
  <c r="Q9982" i="34"/>
  <c r="Q9983" i="34"/>
  <c r="Q9984" i="34"/>
  <c r="Q9985" i="34"/>
  <c r="Q9986" i="34"/>
  <c r="Q9987" i="34"/>
  <c r="Q9988" i="34"/>
  <c r="Q9989" i="34"/>
  <c r="Q9990" i="34"/>
  <c r="Q9991" i="34"/>
  <c r="Q9992" i="34"/>
  <c r="Q9993" i="34"/>
  <c r="Q9994" i="34"/>
  <c r="Q9995" i="34"/>
  <c r="Q9996" i="34"/>
  <c r="Q9997" i="34"/>
  <c r="Q9998" i="34"/>
  <c r="Q9999" i="34"/>
  <c r="Q10000" i="34"/>
  <c r="Q10001" i="34"/>
  <c r="Q10002" i="34"/>
  <c r="Q10003" i="34"/>
  <c r="Q10004" i="34"/>
  <c r="Q10005" i="34"/>
  <c r="Q10006" i="34"/>
  <c r="Q10007" i="34"/>
  <c r="Q10008" i="34"/>
  <c r="Q10009" i="34"/>
  <c r="Q10010" i="34"/>
  <c r="Q10011" i="34"/>
  <c r="Q10012" i="34"/>
  <c r="Q10013" i="34"/>
  <c r="Q10014" i="34"/>
  <c r="Q10015" i="34"/>
  <c r="Q10016" i="34"/>
  <c r="Q10017" i="34"/>
  <c r="Q10018" i="34"/>
  <c r="Q10019" i="34"/>
  <c r="Q10020" i="34"/>
  <c r="Q10021" i="34"/>
  <c r="Q10022" i="34"/>
  <c r="Q10023" i="34"/>
  <c r="Q10024" i="34"/>
  <c r="Q10025" i="34"/>
  <c r="Q10026" i="34"/>
  <c r="Q10027" i="34"/>
  <c r="Q10028" i="34"/>
  <c r="Q10029" i="34"/>
  <c r="Q10030" i="34"/>
  <c r="Q10031" i="34"/>
  <c r="Q10032" i="34"/>
  <c r="Q10033" i="34"/>
  <c r="Q10034" i="34"/>
  <c r="Q10035" i="34"/>
  <c r="Q10036" i="34"/>
  <c r="Q10037" i="34"/>
  <c r="Q10038" i="34"/>
  <c r="Q10039" i="34"/>
  <c r="Q10040" i="34"/>
  <c r="Q10041" i="34"/>
  <c r="Q10042" i="34"/>
  <c r="Q10043" i="34"/>
  <c r="Q10044" i="34"/>
  <c r="Q10045" i="34"/>
  <c r="Q10046" i="34"/>
  <c r="Q10047" i="34"/>
  <c r="Q10048" i="34"/>
  <c r="Q10049" i="34"/>
  <c r="Q10050" i="34"/>
  <c r="Q10051" i="34"/>
  <c r="Q10052" i="34"/>
  <c r="Q10053" i="34"/>
  <c r="Q10054" i="34"/>
  <c r="Q10055" i="34"/>
  <c r="Q10056" i="34"/>
  <c r="Q10057" i="34"/>
  <c r="Q10058" i="34"/>
  <c r="Q10059" i="34"/>
  <c r="Q10060" i="34"/>
  <c r="Q10061" i="34"/>
  <c r="Q10062" i="34"/>
  <c r="Q10063" i="34"/>
  <c r="Q10064" i="34"/>
  <c r="Q10065" i="34"/>
  <c r="Q10066" i="34"/>
  <c r="Q10067" i="34"/>
  <c r="Q10068" i="34"/>
  <c r="Q10069" i="34"/>
  <c r="Q10070" i="34"/>
  <c r="Q10071" i="34"/>
  <c r="Q10072" i="34"/>
  <c r="Q10073" i="34"/>
  <c r="Q10074" i="34"/>
  <c r="Q10075" i="34"/>
  <c r="Q10076" i="34"/>
  <c r="Q10077" i="34"/>
  <c r="Q10078" i="34"/>
  <c r="Q10079" i="34"/>
  <c r="Q10080" i="34"/>
  <c r="Q10081" i="34"/>
  <c r="Q10082" i="34"/>
  <c r="Q10083" i="34"/>
  <c r="Q10084" i="34"/>
  <c r="Q10085" i="34"/>
  <c r="Q10086" i="34"/>
  <c r="Q10087" i="34"/>
  <c r="Q10088" i="34"/>
  <c r="Q10089" i="34"/>
  <c r="Q10090" i="34"/>
  <c r="Q10091" i="34"/>
  <c r="Q10092" i="34"/>
  <c r="Q10093" i="34"/>
  <c r="Q10094" i="34"/>
  <c r="Q10095" i="34"/>
  <c r="Q10096" i="34"/>
  <c r="Q10097" i="34"/>
  <c r="Q10098" i="34"/>
  <c r="Q10099" i="34"/>
  <c r="Q10100" i="34"/>
  <c r="Q10101" i="34"/>
  <c r="Q10102" i="34"/>
  <c r="Q10103" i="34"/>
  <c r="Q10104" i="34"/>
  <c r="Q10105" i="34"/>
  <c r="Q10106" i="34"/>
  <c r="Q10107" i="34"/>
  <c r="Q10108" i="34"/>
  <c r="Q10109" i="34"/>
  <c r="Q10110" i="34"/>
  <c r="Q10111" i="34"/>
  <c r="Q10112" i="34"/>
  <c r="Q10113" i="34"/>
  <c r="Q10114" i="34"/>
  <c r="Q10115" i="34"/>
  <c r="Q10116" i="34"/>
  <c r="Q10117" i="34"/>
  <c r="Q10118" i="34"/>
  <c r="Q10119" i="34"/>
  <c r="Q10120" i="34"/>
  <c r="Q10121" i="34"/>
  <c r="Q10122" i="34"/>
  <c r="Q10123" i="34"/>
  <c r="Q10124" i="34"/>
  <c r="Q10125" i="34"/>
  <c r="Q10126" i="34"/>
  <c r="Q10127" i="34"/>
  <c r="Q10128" i="34"/>
  <c r="Q10129" i="34"/>
  <c r="Q10130" i="34"/>
  <c r="Q10131" i="34"/>
  <c r="Q10132" i="34"/>
  <c r="Q10133" i="34"/>
  <c r="Q10134" i="34"/>
  <c r="Q10135" i="34"/>
  <c r="Q10136" i="34"/>
  <c r="Q10137" i="34"/>
  <c r="Q10138" i="34"/>
  <c r="Q10139" i="34"/>
  <c r="Q10140" i="34"/>
  <c r="Q10141" i="34"/>
  <c r="Q10142" i="34"/>
  <c r="Q10143" i="34"/>
  <c r="Q10144" i="34"/>
  <c r="Q10145" i="34"/>
  <c r="Q10146" i="34"/>
  <c r="Q10147" i="34"/>
  <c r="Q10148" i="34"/>
  <c r="Q10149" i="34"/>
  <c r="Q10150" i="34"/>
  <c r="Q10151" i="34"/>
  <c r="Q10152" i="34"/>
  <c r="Q10153" i="34"/>
  <c r="Q10154" i="34"/>
  <c r="Q10155" i="34"/>
  <c r="Q10156" i="34"/>
  <c r="Q10157" i="34"/>
  <c r="Q10158" i="34"/>
  <c r="Q10159" i="34"/>
  <c r="Q10160" i="34"/>
  <c r="Q10161" i="34"/>
  <c r="Q10162" i="34"/>
  <c r="Q10163" i="34"/>
  <c r="Q10164" i="34"/>
  <c r="Q10165" i="34"/>
  <c r="Q10166" i="34"/>
  <c r="Q10167" i="34"/>
  <c r="Q10168" i="34"/>
  <c r="Q10169" i="34"/>
  <c r="Q10170" i="34"/>
  <c r="Q10171" i="34"/>
  <c r="Q10172" i="34"/>
  <c r="Q10173" i="34"/>
  <c r="Q10174" i="34"/>
  <c r="Q10175" i="34"/>
  <c r="Q10176" i="34"/>
  <c r="Q10177" i="34"/>
  <c r="Q10178" i="34"/>
  <c r="Q10179" i="34"/>
  <c r="Q10180" i="34"/>
  <c r="Q10181" i="34"/>
  <c r="Q10182" i="34"/>
  <c r="Q10183" i="34"/>
  <c r="Q10184" i="34"/>
  <c r="Q10185" i="34"/>
  <c r="Q10186" i="34"/>
  <c r="Q10187" i="34"/>
  <c r="Q10188" i="34"/>
  <c r="Q10189" i="34"/>
  <c r="Q10190" i="34"/>
  <c r="Q10191" i="34"/>
  <c r="Q10192" i="34"/>
  <c r="Q10193" i="34"/>
  <c r="Q10194" i="34"/>
  <c r="Q10195" i="34"/>
  <c r="Q10196" i="34"/>
  <c r="Q10197" i="34"/>
  <c r="Q10198" i="34"/>
  <c r="Q10199" i="34"/>
  <c r="Q10200" i="34"/>
  <c r="Q10201" i="34"/>
  <c r="Q10202" i="34"/>
  <c r="Q10203" i="34"/>
  <c r="Q10204" i="34"/>
  <c r="Q10205" i="34"/>
  <c r="Q10206" i="34"/>
  <c r="Q10207" i="34"/>
  <c r="Q10208" i="34"/>
  <c r="Q10209" i="34"/>
  <c r="Q10210" i="34"/>
  <c r="Q10211" i="34"/>
  <c r="Q10212" i="34"/>
  <c r="Q10213" i="34"/>
  <c r="Q10214" i="34"/>
  <c r="Q10215" i="34"/>
  <c r="Q10216" i="34"/>
  <c r="Q10217" i="34"/>
  <c r="Q10218" i="34"/>
  <c r="Q10219" i="34"/>
  <c r="Q10220" i="34"/>
  <c r="Q10221" i="34"/>
  <c r="Q10222" i="34"/>
  <c r="Q10223" i="34"/>
  <c r="Q10224" i="34"/>
  <c r="Q10225" i="34"/>
  <c r="Q10226" i="34"/>
  <c r="Q10227" i="34"/>
  <c r="Q10228" i="34"/>
  <c r="Q10229" i="34"/>
  <c r="Q10230" i="34"/>
  <c r="Q10231" i="34"/>
  <c r="Q10232" i="34"/>
  <c r="Q10233" i="34"/>
  <c r="Q10234" i="34"/>
  <c r="Q10235" i="34"/>
  <c r="Q10236" i="34"/>
  <c r="Q10237" i="34"/>
  <c r="Q10238" i="34"/>
  <c r="Q10239" i="34"/>
  <c r="Q10240" i="34"/>
  <c r="Q10241" i="34"/>
  <c r="Q10242" i="34"/>
  <c r="Q10243" i="34"/>
  <c r="Q10244" i="34"/>
  <c r="Q10245" i="34"/>
  <c r="Q10246" i="34"/>
  <c r="Q10247" i="34"/>
  <c r="Q10248" i="34"/>
  <c r="Q10249" i="34"/>
  <c r="Q10250" i="34"/>
  <c r="Q10251" i="34"/>
  <c r="Q10252" i="34"/>
  <c r="Q10253" i="34"/>
  <c r="Q10254" i="34"/>
  <c r="Q10255" i="34"/>
  <c r="Q10256" i="34"/>
  <c r="Q10257" i="34"/>
  <c r="Q10258" i="34"/>
  <c r="Q10259" i="34"/>
  <c r="Q10260" i="34"/>
  <c r="Q10261" i="34"/>
  <c r="Q10262" i="34"/>
  <c r="Q10263" i="34"/>
  <c r="Q10264" i="34"/>
  <c r="Q10265" i="34"/>
  <c r="Q10266" i="34"/>
  <c r="Q10267" i="34"/>
  <c r="Q10268" i="34"/>
  <c r="Q10269" i="34"/>
  <c r="Q10270" i="34"/>
  <c r="Q10271" i="34"/>
  <c r="Q10272" i="34"/>
  <c r="Q10273" i="34"/>
  <c r="Q10274" i="34"/>
  <c r="Q10275" i="34"/>
  <c r="Q10276" i="34"/>
  <c r="Q10277" i="34"/>
  <c r="Q10278" i="34"/>
  <c r="Q10279" i="34"/>
  <c r="Q10280" i="34"/>
  <c r="Q10281" i="34"/>
  <c r="Q10282" i="34"/>
  <c r="Q10283" i="34"/>
  <c r="Q10284" i="34"/>
  <c r="Q10285" i="34"/>
  <c r="Q10286" i="34"/>
  <c r="Q10287" i="34"/>
  <c r="Q10288" i="34"/>
  <c r="Q10289" i="34"/>
  <c r="Q10290" i="34"/>
  <c r="Q10291" i="34"/>
  <c r="Q10292" i="34"/>
  <c r="Q10293" i="34"/>
  <c r="Q10294" i="34"/>
  <c r="Q10295" i="34"/>
  <c r="Q10296" i="34"/>
  <c r="Q10297" i="34"/>
  <c r="Q10298" i="34"/>
  <c r="Q10299" i="34"/>
  <c r="Q10300" i="34"/>
  <c r="Q10301" i="34"/>
  <c r="Q10302" i="34"/>
  <c r="Q10303" i="34"/>
  <c r="Q10304" i="34"/>
  <c r="Q10305" i="34"/>
  <c r="Q10306" i="34"/>
  <c r="Q10307" i="34"/>
  <c r="Q10308" i="34"/>
  <c r="Q10309" i="34"/>
  <c r="Q10310" i="34"/>
  <c r="Q10311" i="34"/>
  <c r="Q10312" i="34"/>
  <c r="Q10313" i="34"/>
  <c r="Q10314" i="34"/>
  <c r="Q10315" i="34"/>
  <c r="Q10316" i="34"/>
  <c r="Q10317" i="34"/>
  <c r="Q10318" i="34"/>
  <c r="Q10319" i="34"/>
  <c r="Q10320" i="34"/>
  <c r="Q10321" i="34"/>
  <c r="Q10322" i="34"/>
  <c r="Q10323" i="34"/>
  <c r="Q10324" i="34"/>
  <c r="Q10325" i="34"/>
  <c r="Q10326" i="34"/>
  <c r="Q10327" i="34"/>
  <c r="Q10328" i="34"/>
  <c r="Q10329" i="34"/>
  <c r="Q10330" i="34"/>
  <c r="Q10331" i="34"/>
  <c r="Q10332" i="34"/>
  <c r="Q10333" i="34"/>
  <c r="Q10334" i="34"/>
  <c r="Q10335" i="34"/>
  <c r="Q10336" i="34"/>
  <c r="Q10337" i="34"/>
  <c r="Q10338" i="34"/>
  <c r="Q10339" i="34"/>
  <c r="Q10340" i="34"/>
  <c r="Q10341" i="34"/>
  <c r="Q10342" i="34"/>
  <c r="Q10343" i="34"/>
  <c r="Q10344" i="34"/>
  <c r="Q10345" i="34"/>
  <c r="Q10346" i="34"/>
  <c r="Q10347" i="34"/>
  <c r="Q10348" i="34"/>
  <c r="Q10349" i="34"/>
  <c r="Q10350" i="34"/>
  <c r="Q10351" i="34"/>
  <c r="Q10352" i="34"/>
  <c r="Q10353" i="34"/>
  <c r="Q10354" i="34"/>
  <c r="Q10355" i="34"/>
  <c r="Q10356" i="34"/>
  <c r="Q10357" i="34"/>
  <c r="Q10358" i="34"/>
  <c r="Q10359" i="34"/>
  <c r="Q10360" i="34"/>
  <c r="Q10361" i="34"/>
  <c r="Q10362" i="34"/>
  <c r="Q10363" i="34"/>
  <c r="Q10364" i="34"/>
  <c r="Q10365" i="34"/>
  <c r="Q10366" i="34"/>
  <c r="Q10367" i="34"/>
  <c r="Q10368" i="34"/>
  <c r="Q10369" i="34"/>
  <c r="Q10370" i="34"/>
  <c r="Q10371" i="34"/>
  <c r="Q10372" i="34"/>
  <c r="Q10373" i="34"/>
  <c r="Q10374" i="34"/>
  <c r="Q10375" i="34"/>
  <c r="Q10376" i="34"/>
  <c r="Q10377" i="34"/>
  <c r="Q10378" i="34"/>
  <c r="Q10379" i="34"/>
  <c r="Q10380" i="34"/>
  <c r="Q10381" i="34"/>
  <c r="Q10382" i="34"/>
  <c r="Q10383" i="34"/>
  <c r="Q10384" i="34"/>
  <c r="Q10385" i="34"/>
  <c r="Q10386" i="34"/>
  <c r="Q10387" i="34"/>
  <c r="Q10388" i="34"/>
  <c r="Q10389" i="34"/>
  <c r="Q10390" i="34"/>
  <c r="Q10391" i="34"/>
  <c r="Q10392" i="34"/>
  <c r="Q10393" i="34"/>
  <c r="Q10394" i="34"/>
  <c r="Q10395" i="34"/>
  <c r="Q10396" i="34"/>
  <c r="Q10397" i="34"/>
  <c r="Q10398" i="34"/>
  <c r="Q10399" i="34"/>
  <c r="Q10400" i="34"/>
  <c r="Q10401" i="34"/>
  <c r="Q10402" i="34"/>
  <c r="Q10403" i="34"/>
  <c r="Q10404" i="34"/>
  <c r="Q10405" i="34"/>
  <c r="Q10406" i="34"/>
  <c r="Q10407" i="34"/>
  <c r="Q10408" i="34"/>
  <c r="Q10409" i="34"/>
  <c r="Q10410" i="34"/>
  <c r="Q10411" i="34"/>
  <c r="Q10412" i="34"/>
  <c r="Q10413" i="34"/>
  <c r="Q10414" i="34"/>
  <c r="Q10415" i="34"/>
  <c r="Q10416" i="34"/>
  <c r="Q10417" i="34"/>
  <c r="Q10418" i="34"/>
  <c r="Q10419" i="34"/>
  <c r="Q10420" i="34"/>
  <c r="Q10421" i="34"/>
  <c r="Q10422" i="34"/>
  <c r="Q10423" i="34"/>
  <c r="Q10424" i="34"/>
  <c r="Q10425" i="34"/>
  <c r="Q10426" i="34"/>
  <c r="Q10427" i="34"/>
  <c r="Q10428" i="34"/>
  <c r="Q10429" i="34"/>
  <c r="Q10430" i="34"/>
  <c r="Q10431" i="34"/>
  <c r="Q10432" i="34"/>
  <c r="Q10433" i="34"/>
  <c r="Q10434" i="34"/>
  <c r="Q10435" i="34"/>
  <c r="Q10436" i="34"/>
  <c r="Q10437" i="34"/>
  <c r="Q10438" i="34"/>
  <c r="Q10439" i="34"/>
  <c r="Q10440" i="34"/>
  <c r="Q10441" i="34"/>
  <c r="Q10442" i="34"/>
  <c r="Q10443" i="34"/>
  <c r="Q10444" i="34"/>
  <c r="Q10445" i="34"/>
  <c r="Q10446" i="34"/>
  <c r="Q10447" i="34"/>
  <c r="Q10448" i="34"/>
  <c r="Q10449" i="34"/>
  <c r="Q10450" i="34"/>
  <c r="Q10451" i="34"/>
  <c r="Q10452" i="34"/>
  <c r="Q10453" i="34"/>
  <c r="Q10454" i="34"/>
  <c r="Q10455" i="34"/>
  <c r="Q10456" i="34"/>
  <c r="Q10457" i="34"/>
  <c r="Q10458" i="34"/>
  <c r="Q10459" i="34"/>
  <c r="Q10460" i="34"/>
  <c r="Q10461" i="34"/>
  <c r="Q10462" i="34"/>
  <c r="Q10463" i="34"/>
  <c r="Q10464" i="34"/>
  <c r="Q10465" i="34"/>
  <c r="Q10466" i="34"/>
  <c r="Q10467" i="34"/>
  <c r="Q10468" i="34"/>
  <c r="Q10469" i="34"/>
  <c r="Q10470" i="34"/>
  <c r="Q10471" i="34"/>
  <c r="Q10472" i="34"/>
  <c r="Q10473" i="34"/>
  <c r="Q10474" i="34"/>
  <c r="Q10475" i="34"/>
  <c r="Q10476" i="34"/>
  <c r="Q10477" i="34"/>
  <c r="Q10478" i="34"/>
  <c r="Q10479" i="34"/>
  <c r="Q10480" i="34"/>
  <c r="Q10481" i="34"/>
  <c r="Q10482" i="34"/>
  <c r="Q10483" i="34"/>
  <c r="Q10484" i="34"/>
  <c r="Q10485" i="34"/>
  <c r="Q10486" i="34"/>
  <c r="Q10487" i="34"/>
  <c r="Q10488" i="34"/>
  <c r="Q10489" i="34"/>
  <c r="Q10490" i="34"/>
  <c r="Q10491" i="34"/>
  <c r="Q10492" i="34"/>
  <c r="Q10493" i="34"/>
  <c r="Q10494" i="34"/>
  <c r="Q10495" i="34"/>
  <c r="Q10496" i="34"/>
  <c r="Q10497" i="34"/>
  <c r="Q10498" i="34"/>
  <c r="Q10499" i="34"/>
  <c r="Q10500" i="34"/>
  <c r="Q10501" i="34"/>
  <c r="Q10502" i="34"/>
  <c r="Q10503" i="34"/>
  <c r="Q10504" i="34"/>
  <c r="Q10505" i="34"/>
  <c r="Q10506" i="34"/>
  <c r="Q10507" i="34"/>
  <c r="Q10508" i="34"/>
  <c r="Q10509" i="34"/>
  <c r="Q10510" i="34"/>
  <c r="Q10511" i="34"/>
  <c r="Q10512" i="34"/>
  <c r="Q10513" i="34"/>
  <c r="Q10514" i="34"/>
  <c r="Q10515" i="34"/>
  <c r="Q10516" i="34"/>
  <c r="Q10517" i="34"/>
  <c r="Q10518" i="34"/>
  <c r="Q10519" i="34"/>
  <c r="Q10520" i="34"/>
  <c r="Q10521" i="34"/>
  <c r="Q10522" i="34"/>
  <c r="Q10523" i="34"/>
  <c r="Q10524" i="34"/>
  <c r="Q10525" i="34"/>
  <c r="Q10526" i="34"/>
  <c r="Q10527" i="34"/>
  <c r="Q10528" i="34"/>
  <c r="Q10529" i="34"/>
  <c r="Q10530" i="34"/>
  <c r="Q10531" i="34"/>
  <c r="Q10532" i="34"/>
  <c r="Q10533" i="34"/>
  <c r="Q10534" i="34"/>
  <c r="Q10535" i="34"/>
  <c r="Q10536" i="34"/>
  <c r="Q10537" i="34"/>
  <c r="Q10538" i="34"/>
  <c r="Q10539" i="34"/>
  <c r="Q10540" i="34"/>
  <c r="Q10541" i="34"/>
  <c r="Q10542" i="34"/>
  <c r="Q10543" i="34"/>
  <c r="Q10544" i="34"/>
  <c r="Q10545" i="34"/>
  <c r="Q10546" i="34"/>
  <c r="Q10547" i="34"/>
  <c r="Q10548" i="34"/>
  <c r="Q10549" i="34"/>
  <c r="Q10550" i="34"/>
  <c r="Q10551" i="34"/>
  <c r="Q10552" i="34"/>
  <c r="Q10553" i="34"/>
  <c r="Q10554" i="34"/>
  <c r="Q10555" i="34"/>
  <c r="Q10556" i="34"/>
  <c r="Q10557" i="34"/>
  <c r="Q10558" i="34"/>
  <c r="Q10559" i="34"/>
  <c r="Q10560" i="34"/>
  <c r="Q10561" i="34"/>
  <c r="Q10562" i="34"/>
  <c r="Q10563" i="34"/>
  <c r="Q10564" i="34"/>
  <c r="Q10565" i="34"/>
  <c r="Q10566" i="34"/>
  <c r="Q10567" i="34"/>
  <c r="Q10568" i="34"/>
  <c r="Q10569" i="34"/>
  <c r="Q10570" i="34"/>
  <c r="Q10571" i="34"/>
  <c r="Q10572" i="34"/>
  <c r="Q10573" i="34"/>
  <c r="Q10574" i="34"/>
  <c r="Q10575" i="34"/>
  <c r="Q10576" i="34"/>
  <c r="Q10577" i="34"/>
  <c r="Q10578" i="34"/>
  <c r="Q10579" i="34"/>
  <c r="Q10580" i="34"/>
  <c r="Q10581" i="34"/>
  <c r="Q10582" i="34"/>
  <c r="Q10583" i="34"/>
  <c r="Q10584" i="34"/>
  <c r="Q10585" i="34"/>
  <c r="Q10586" i="34"/>
  <c r="Q10587" i="34"/>
  <c r="Q10588" i="34"/>
  <c r="Q10589" i="34"/>
  <c r="Q10590" i="34"/>
  <c r="Q10591" i="34"/>
  <c r="Q10592" i="34"/>
  <c r="Q10593" i="34"/>
  <c r="Q10594" i="34"/>
  <c r="Q10595" i="34"/>
  <c r="Q10596" i="34"/>
  <c r="Q10597" i="34"/>
  <c r="Q10598" i="34"/>
  <c r="Q10599" i="34"/>
  <c r="Q10600" i="34"/>
  <c r="Q10601" i="34"/>
  <c r="Q10602" i="34"/>
  <c r="Q10603" i="34"/>
  <c r="Q10604" i="34"/>
  <c r="Q10605" i="34"/>
  <c r="Q10606" i="34"/>
  <c r="Q10607" i="34"/>
  <c r="Q10608" i="34"/>
  <c r="Q10609" i="34"/>
  <c r="Q10610" i="34"/>
  <c r="Q10611" i="34"/>
  <c r="Q10612" i="34"/>
  <c r="Q10613" i="34"/>
  <c r="Q10614" i="34"/>
  <c r="Q10615" i="34"/>
  <c r="Q10616" i="34"/>
  <c r="Q10617" i="34"/>
  <c r="Q10618" i="34"/>
  <c r="Q10619" i="34"/>
  <c r="Q10620" i="34"/>
  <c r="Q10621" i="34"/>
  <c r="Q10622" i="34"/>
  <c r="Q10623" i="34"/>
  <c r="Q10624" i="34"/>
  <c r="Q10625" i="34"/>
  <c r="Q10626" i="34"/>
  <c r="Q10627" i="34"/>
  <c r="Q10628" i="34"/>
  <c r="Q10629" i="34"/>
  <c r="Q10630" i="34"/>
  <c r="Q10631" i="34"/>
  <c r="Q10632" i="34"/>
  <c r="Q10633" i="34"/>
  <c r="Q10634" i="34"/>
  <c r="Q10635" i="34"/>
  <c r="Q10636" i="34"/>
  <c r="Q10637" i="34"/>
  <c r="Q10638" i="34"/>
  <c r="Q10639" i="34"/>
  <c r="Q10640" i="34"/>
  <c r="Q10641" i="34"/>
  <c r="Q10642" i="34"/>
  <c r="Q10643" i="34"/>
  <c r="Q10644" i="34"/>
  <c r="Q10645" i="34"/>
  <c r="Q10646" i="34"/>
  <c r="Q10647" i="34"/>
  <c r="Q10648" i="34"/>
  <c r="Q10649" i="34"/>
  <c r="Q10650" i="34"/>
  <c r="Q10651" i="34"/>
  <c r="Q10652" i="34"/>
  <c r="Q10653" i="34"/>
  <c r="Q10654" i="34"/>
  <c r="Q10655" i="34"/>
  <c r="Q10656" i="34"/>
  <c r="Q10657" i="34"/>
  <c r="Q10658" i="34"/>
  <c r="Q10659" i="34"/>
  <c r="Q10660" i="34"/>
  <c r="Q10661" i="34"/>
  <c r="Q10662" i="34"/>
  <c r="Q10663" i="34"/>
  <c r="Q10664" i="34"/>
  <c r="Q10665" i="34"/>
  <c r="Q10666" i="34"/>
  <c r="Q10667" i="34"/>
  <c r="Q10668" i="34"/>
  <c r="Q10669" i="34"/>
  <c r="Q10670" i="34"/>
  <c r="Q10671" i="34"/>
  <c r="Q10672" i="34"/>
  <c r="Q10673" i="34"/>
  <c r="Q10674" i="34"/>
  <c r="Q10675" i="34"/>
  <c r="Q10676" i="34"/>
  <c r="Q10677" i="34"/>
  <c r="Q10678" i="34"/>
  <c r="Q10679" i="34"/>
  <c r="Q10680" i="34"/>
  <c r="Q10681" i="34"/>
  <c r="Q10682" i="34"/>
  <c r="Q10683" i="34"/>
  <c r="Q10684" i="34"/>
  <c r="Q10685" i="34"/>
  <c r="Q10686" i="34"/>
  <c r="Q10687" i="34"/>
  <c r="Q10688" i="34"/>
  <c r="Q10689" i="34"/>
  <c r="Q10690" i="34"/>
  <c r="Q10691" i="34"/>
  <c r="Q10692" i="34"/>
  <c r="Q10693" i="34"/>
  <c r="Q10694" i="34"/>
  <c r="Q10695" i="34"/>
  <c r="Q10696" i="34"/>
  <c r="Q10697" i="34"/>
  <c r="Q10698" i="34"/>
  <c r="Q10699" i="34"/>
  <c r="Q10700" i="34"/>
  <c r="Q10701" i="34"/>
  <c r="Q10702" i="34"/>
  <c r="Q10703" i="34"/>
  <c r="Q10704" i="34"/>
  <c r="Q10705" i="34"/>
  <c r="Q10706" i="34"/>
  <c r="Q10707" i="34"/>
  <c r="Q10708" i="34"/>
  <c r="Q10709" i="34"/>
  <c r="Q10710" i="34"/>
  <c r="Q10711" i="34"/>
  <c r="Q10712" i="34"/>
  <c r="Q10713" i="34"/>
  <c r="Q10714" i="34"/>
  <c r="Q10715" i="34"/>
  <c r="Q10716" i="34"/>
  <c r="Q10717" i="34"/>
  <c r="Q10718" i="34"/>
  <c r="Q10719" i="34"/>
  <c r="Q10720" i="34"/>
  <c r="Q10721" i="34"/>
  <c r="Q10722" i="34"/>
  <c r="Q10723" i="34"/>
  <c r="Q10724" i="34"/>
  <c r="Q10725" i="34"/>
  <c r="Q10726" i="34"/>
  <c r="Q10727" i="34"/>
  <c r="Q10728" i="34"/>
  <c r="Q10729" i="34"/>
  <c r="Q10730" i="34"/>
  <c r="Q10731" i="34"/>
  <c r="Q10732" i="34"/>
  <c r="Q10733" i="34"/>
  <c r="Q10734" i="34"/>
  <c r="Q10735" i="34"/>
  <c r="Q10736" i="34"/>
  <c r="Q10737" i="34"/>
  <c r="Q10738" i="34"/>
  <c r="Q10739" i="34"/>
  <c r="Q10740" i="34"/>
  <c r="Q10741" i="34"/>
  <c r="Q10742" i="34"/>
  <c r="Q10743" i="34"/>
  <c r="Q10744" i="34"/>
  <c r="Q10745" i="34"/>
  <c r="Q10746" i="34"/>
  <c r="Q10747" i="34"/>
  <c r="Q10748" i="34"/>
  <c r="Q10749" i="34"/>
  <c r="Q10750" i="34"/>
  <c r="Q10751" i="34"/>
  <c r="Q10752" i="34"/>
  <c r="Q10753" i="34"/>
  <c r="Q10754" i="34"/>
  <c r="Q10755" i="34"/>
  <c r="Q10756" i="34"/>
  <c r="Q10757" i="34"/>
  <c r="Q10758" i="34"/>
  <c r="Q10759" i="34"/>
  <c r="Q10760" i="34"/>
  <c r="Q10761" i="34"/>
  <c r="Q10762" i="34"/>
  <c r="Q10763" i="34"/>
  <c r="Q10764" i="34"/>
  <c r="Q10765" i="34"/>
  <c r="Q10766" i="34"/>
  <c r="Q10767" i="34"/>
  <c r="Q10768" i="34"/>
  <c r="Q10769" i="34"/>
  <c r="Q10770" i="34"/>
  <c r="Q10771" i="34"/>
  <c r="Q10772" i="34"/>
  <c r="Q10773" i="34"/>
  <c r="Q10774" i="34"/>
  <c r="Q10775" i="34"/>
  <c r="Q10776" i="34"/>
  <c r="Q10777" i="34"/>
  <c r="Q10778" i="34"/>
  <c r="Q10779" i="34"/>
  <c r="Q10780" i="34"/>
  <c r="Q10781" i="34"/>
  <c r="Q10782" i="34"/>
  <c r="Q10783" i="34"/>
  <c r="Q10784" i="34"/>
  <c r="Q10785" i="34"/>
  <c r="Q10786" i="34"/>
  <c r="Q10787" i="34"/>
  <c r="Q10788" i="34"/>
  <c r="Q10789" i="34"/>
  <c r="Q10790" i="34"/>
  <c r="Q10791" i="34"/>
  <c r="Q10792" i="34"/>
  <c r="Q10793" i="34"/>
  <c r="Q10794" i="34"/>
  <c r="Q10795" i="34"/>
  <c r="Q10796" i="34"/>
  <c r="Q10797" i="34"/>
  <c r="Q10798" i="34"/>
  <c r="Q10799" i="34"/>
  <c r="Q10800" i="34"/>
  <c r="Q10801" i="34"/>
  <c r="Q10802" i="34"/>
  <c r="Q10803" i="34"/>
  <c r="Q10804" i="34"/>
  <c r="Q10805" i="34"/>
  <c r="Q10806" i="34"/>
  <c r="Q10807" i="34"/>
  <c r="Q10808" i="34"/>
  <c r="Q10809" i="34"/>
  <c r="Q10810" i="34"/>
  <c r="Q10811" i="34"/>
  <c r="Q10812" i="34"/>
  <c r="Q10813" i="34"/>
  <c r="Q10814" i="34"/>
  <c r="Q10815" i="34"/>
  <c r="Q10816" i="34"/>
  <c r="Q10817" i="34"/>
  <c r="Q10818" i="34"/>
  <c r="Q10819" i="34"/>
  <c r="Q10820" i="34"/>
  <c r="Q10821" i="34"/>
  <c r="Q10822" i="34"/>
  <c r="Q10823" i="34"/>
  <c r="Q10824" i="34"/>
  <c r="Q10825" i="34"/>
  <c r="Q10826" i="34"/>
  <c r="Q10827" i="34"/>
  <c r="Q10828" i="34"/>
  <c r="Q10829" i="34"/>
  <c r="Q10830" i="34"/>
  <c r="Q10831" i="34"/>
  <c r="Q10832" i="34"/>
  <c r="Q10833" i="34"/>
  <c r="Q10834" i="34"/>
  <c r="Q10835" i="34"/>
  <c r="Q10836" i="34"/>
  <c r="Q10837" i="34"/>
  <c r="Q10838" i="34"/>
  <c r="Q10839" i="34"/>
  <c r="Q10840" i="34"/>
  <c r="Q10841" i="34"/>
  <c r="Q10842" i="34"/>
  <c r="Q10843" i="34"/>
  <c r="Q10844" i="34"/>
  <c r="Q10845" i="34"/>
  <c r="Q10846" i="34"/>
  <c r="Q10847" i="34"/>
  <c r="Q10848" i="34"/>
  <c r="Q10849" i="34"/>
  <c r="Q10850" i="34"/>
  <c r="Q10851" i="34"/>
  <c r="Q10852" i="34"/>
  <c r="Q10853" i="34"/>
  <c r="Q10854" i="34"/>
  <c r="Q10855" i="34"/>
  <c r="Q10856" i="34"/>
  <c r="Q10857" i="34"/>
  <c r="Q10858" i="34"/>
  <c r="Q10859" i="34"/>
  <c r="Q10860" i="34"/>
  <c r="Q10861" i="34"/>
  <c r="Q10862" i="34"/>
  <c r="Q10863" i="34"/>
  <c r="Q10864" i="34"/>
  <c r="Q10865" i="34"/>
  <c r="Q10866" i="34"/>
  <c r="Q10867" i="34"/>
  <c r="Q10868" i="34"/>
  <c r="Q10869" i="34"/>
  <c r="Q10870" i="34"/>
  <c r="Q10871" i="34"/>
  <c r="Q10872" i="34"/>
  <c r="Q10873" i="34"/>
  <c r="Q10874" i="34"/>
  <c r="Q10875" i="34"/>
  <c r="Q10876" i="34"/>
  <c r="Q10877" i="34"/>
  <c r="Q10878" i="34"/>
  <c r="Q10879" i="34"/>
  <c r="Q10880" i="34"/>
  <c r="Q10881" i="34"/>
  <c r="Q10882" i="34"/>
  <c r="Q10883" i="34"/>
  <c r="Q10884" i="34"/>
  <c r="Q10885" i="34"/>
  <c r="Q10886" i="34"/>
  <c r="Q10887" i="34"/>
  <c r="Q10888" i="34"/>
  <c r="Q10889" i="34"/>
  <c r="Q10890" i="34"/>
  <c r="Q10891" i="34"/>
  <c r="Q10892" i="34"/>
  <c r="Q10893" i="34"/>
  <c r="Q10894" i="34"/>
  <c r="Q10895" i="34"/>
  <c r="Q10896" i="34"/>
  <c r="Q10897" i="34"/>
  <c r="Q10898" i="34"/>
  <c r="Q10899" i="34"/>
  <c r="Q10900" i="34"/>
  <c r="Q10901" i="34"/>
  <c r="Q10902" i="34"/>
  <c r="Q10903" i="34"/>
  <c r="Q10904" i="34"/>
  <c r="Q10905" i="34"/>
  <c r="Q10906" i="34"/>
  <c r="Q10907" i="34"/>
  <c r="Q10908" i="34"/>
  <c r="Q10909" i="34"/>
  <c r="Q10910" i="34"/>
  <c r="Q10911" i="34"/>
  <c r="Q10912" i="34"/>
  <c r="Q10913" i="34"/>
  <c r="Q10914" i="34"/>
  <c r="Q10915" i="34"/>
  <c r="Q10916" i="34"/>
  <c r="Q10917" i="34"/>
  <c r="Q10918" i="34"/>
  <c r="Q10919" i="34"/>
  <c r="Q10920" i="34"/>
  <c r="Q10921" i="34"/>
  <c r="Q10922" i="34"/>
  <c r="Q10923" i="34"/>
  <c r="Q10924" i="34"/>
  <c r="Q10925" i="34"/>
  <c r="Q10926" i="34"/>
  <c r="Q10927" i="34"/>
  <c r="Q10928" i="34"/>
  <c r="Q10929" i="34"/>
  <c r="Q10930" i="34"/>
  <c r="Q10931" i="34"/>
  <c r="Q10932" i="34"/>
  <c r="Q10933" i="34"/>
  <c r="Q10934" i="34"/>
  <c r="Q10935" i="34"/>
  <c r="Q10936" i="34"/>
  <c r="Q10937" i="34"/>
  <c r="Q10938" i="34"/>
  <c r="Q10939" i="34"/>
  <c r="Q10940" i="34"/>
  <c r="Q10941" i="34"/>
  <c r="Q10942" i="34"/>
  <c r="Q10943" i="34"/>
  <c r="Q10944" i="34"/>
  <c r="Q10945" i="34"/>
  <c r="Q10946" i="34"/>
  <c r="Q10947" i="34"/>
  <c r="Q10948" i="34"/>
  <c r="Q10949" i="34"/>
  <c r="Q10950" i="34"/>
  <c r="Q10951" i="34"/>
  <c r="Q10952" i="34"/>
  <c r="Q10953" i="34"/>
  <c r="Q10954" i="34"/>
  <c r="Q10955" i="34"/>
  <c r="Q10956" i="34"/>
  <c r="Q10957" i="34"/>
  <c r="Q10958" i="34"/>
  <c r="Q10959" i="34"/>
  <c r="Q10960" i="34"/>
  <c r="Q10961" i="34"/>
  <c r="Q10962" i="34"/>
  <c r="Q10963" i="34"/>
  <c r="Q10964" i="34"/>
  <c r="Q10965" i="34"/>
  <c r="Q10966" i="34"/>
  <c r="Q10967" i="34"/>
  <c r="Q10968" i="34"/>
  <c r="Q10969" i="34"/>
  <c r="Q10970" i="34"/>
  <c r="Q10971" i="34"/>
  <c r="Q10972" i="34"/>
  <c r="Q10973" i="34"/>
  <c r="Q10974" i="34"/>
  <c r="Q10975" i="34"/>
  <c r="Q10976" i="34"/>
  <c r="Q10977" i="34"/>
  <c r="Q10978" i="34"/>
  <c r="Q10979" i="34"/>
  <c r="Q10980" i="34"/>
  <c r="Q10981" i="34"/>
  <c r="Q10982" i="34"/>
  <c r="Q10983" i="34"/>
  <c r="Q10984" i="34"/>
  <c r="Q10985" i="34"/>
  <c r="Q10986" i="34"/>
  <c r="Q10987" i="34"/>
  <c r="Q10988" i="34"/>
  <c r="Q10989" i="34"/>
  <c r="Q10990" i="34"/>
  <c r="Q10991" i="34"/>
  <c r="Q10992" i="34"/>
  <c r="Q10993" i="34"/>
  <c r="Q10994" i="34"/>
  <c r="Q10995" i="34"/>
  <c r="Q10996" i="34"/>
  <c r="Q10997" i="34"/>
  <c r="Q10998" i="34"/>
  <c r="Q10999" i="34"/>
  <c r="Q11000" i="34"/>
  <c r="Q11001" i="34"/>
  <c r="Q11002" i="34"/>
  <c r="Q11003" i="34"/>
  <c r="Q11004" i="34"/>
  <c r="Q11005" i="34"/>
  <c r="Q11006" i="34"/>
  <c r="Q11007" i="34"/>
  <c r="Q11008" i="34"/>
  <c r="Q11009" i="34"/>
  <c r="Q11010" i="34"/>
  <c r="Q11011" i="34"/>
  <c r="Q11012" i="34"/>
  <c r="Q11013" i="34"/>
  <c r="Q11014" i="34"/>
  <c r="Q11015" i="34"/>
  <c r="Q11016" i="34"/>
  <c r="Q11017" i="34"/>
  <c r="Q11018" i="34"/>
  <c r="Q11019" i="34"/>
  <c r="Q11020" i="34"/>
  <c r="Q11021" i="34"/>
  <c r="Q11022" i="34"/>
  <c r="Q11023" i="34"/>
  <c r="Q11024" i="34"/>
  <c r="Q11025" i="34"/>
  <c r="Q11026" i="34"/>
  <c r="Q11027" i="34"/>
  <c r="Q11028" i="34"/>
  <c r="Q11029" i="34"/>
  <c r="Q11030" i="34"/>
  <c r="Q11031" i="34"/>
  <c r="Q11032" i="34"/>
  <c r="Q11033" i="34"/>
  <c r="Q11034" i="34"/>
  <c r="Q11035" i="34"/>
  <c r="Q11036" i="34"/>
  <c r="Q11037" i="34"/>
  <c r="Q11038" i="34"/>
  <c r="Q11039" i="34"/>
  <c r="Q11040" i="34"/>
  <c r="Q11041" i="34"/>
  <c r="Q11042" i="34"/>
  <c r="Q11043" i="34"/>
  <c r="Q11044" i="34"/>
  <c r="Q11045" i="34"/>
  <c r="Q11046" i="34"/>
  <c r="Q11047" i="34"/>
  <c r="Q11048" i="34"/>
  <c r="Q11049" i="34"/>
  <c r="Q11050" i="34"/>
  <c r="Q11051" i="34"/>
  <c r="Q11052" i="34"/>
  <c r="Q11053" i="34"/>
  <c r="Q11054" i="34"/>
  <c r="Q11055" i="34"/>
  <c r="Q11056" i="34"/>
  <c r="Q11057" i="34"/>
  <c r="Q11058" i="34"/>
  <c r="Q11059" i="34"/>
  <c r="Q11060" i="34"/>
  <c r="Q11061" i="34"/>
  <c r="Q11062" i="34"/>
  <c r="Q11063" i="34"/>
  <c r="Q11064" i="34"/>
  <c r="Q11065" i="34"/>
  <c r="Q11066" i="34"/>
  <c r="Q11067" i="34"/>
  <c r="Q11068" i="34"/>
  <c r="Q11069" i="34"/>
  <c r="Q11070" i="34"/>
  <c r="Q11071" i="34"/>
  <c r="Q11072" i="34"/>
  <c r="Q11073" i="34"/>
  <c r="Q11074" i="34"/>
  <c r="Q11075" i="34"/>
  <c r="Q11076" i="34"/>
  <c r="Q11077" i="34"/>
  <c r="Q11078" i="34"/>
  <c r="Q11079" i="34"/>
  <c r="Q11080" i="34"/>
  <c r="Q11081" i="34"/>
  <c r="Q11082" i="34"/>
  <c r="Q11083" i="34"/>
  <c r="Q11084" i="34"/>
  <c r="Q11085" i="34"/>
  <c r="Q11086" i="34"/>
  <c r="Q11087" i="34"/>
  <c r="Q11088" i="34"/>
  <c r="Q11089" i="34"/>
  <c r="Q11090" i="34"/>
  <c r="Q11091" i="34"/>
  <c r="Q11092" i="34"/>
  <c r="Q11093" i="34"/>
  <c r="Q11094" i="34"/>
  <c r="Q11095" i="34"/>
  <c r="Q11096" i="34"/>
  <c r="Q11097" i="34"/>
  <c r="Q11098" i="34"/>
  <c r="Q11099" i="34"/>
  <c r="Q11100" i="34"/>
  <c r="Q11101" i="34"/>
  <c r="Q11102" i="34"/>
  <c r="Q11103" i="34"/>
  <c r="Q11104" i="34"/>
  <c r="Q11105" i="34"/>
  <c r="Q11106" i="34"/>
  <c r="Q11107" i="34"/>
  <c r="Q11108" i="34"/>
  <c r="Q11109" i="34"/>
  <c r="Q11110" i="34"/>
  <c r="Q11111" i="34"/>
  <c r="Q11112" i="34"/>
  <c r="Q11113" i="34"/>
  <c r="Q11114" i="34"/>
  <c r="Q11115" i="34"/>
  <c r="Q11116" i="34"/>
  <c r="Q11117" i="34"/>
  <c r="Q11118" i="34"/>
  <c r="Q11119" i="34"/>
  <c r="Q11120" i="34"/>
  <c r="Q11121" i="34"/>
  <c r="Q11122" i="34"/>
  <c r="Q11123" i="34"/>
  <c r="Q11124" i="34"/>
  <c r="Q11125" i="34"/>
  <c r="Q11126" i="34"/>
  <c r="Q11127" i="34"/>
  <c r="Q11128" i="34"/>
  <c r="Q11129" i="34"/>
  <c r="Q11130" i="34"/>
  <c r="Q11131" i="34"/>
  <c r="Q11132" i="34"/>
  <c r="Q11133" i="34"/>
  <c r="Q11134" i="34"/>
  <c r="Q11135" i="34"/>
  <c r="Q11136" i="34"/>
  <c r="Q11137" i="34"/>
  <c r="Q11138" i="34"/>
  <c r="Q11139" i="34"/>
  <c r="Q11140" i="34"/>
  <c r="Q11141" i="34"/>
  <c r="Q11142" i="34"/>
  <c r="Q11143" i="34"/>
  <c r="Q11144" i="34"/>
  <c r="Q11145" i="34"/>
  <c r="Q11146" i="34"/>
  <c r="Q11147" i="34"/>
  <c r="Q11148" i="34"/>
  <c r="Q11149" i="34"/>
  <c r="Q11150" i="34"/>
  <c r="Q11151" i="34"/>
  <c r="Q11152" i="34"/>
  <c r="Q11153" i="34"/>
  <c r="Q11154" i="34"/>
  <c r="Q11155" i="34"/>
  <c r="Q11156" i="34"/>
  <c r="Q11157" i="34"/>
  <c r="Q11158" i="34"/>
  <c r="Q11159" i="34"/>
  <c r="Q11160" i="34"/>
  <c r="Q11161" i="34"/>
  <c r="Q11162" i="34"/>
  <c r="Q11163" i="34"/>
  <c r="Q11164" i="34"/>
  <c r="Q11165" i="34"/>
  <c r="Q11166" i="34"/>
  <c r="Q11167" i="34"/>
  <c r="Q11168" i="34"/>
  <c r="Q11169" i="34"/>
  <c r="Q11170" i="34"/>
  <c r="Q11171" i="34"/>
  <c r="Q11172" i="34"/>
  <c r="Q11173" i="34"/>
  <c r="Q11174" i="34"/>
  <c r="Q11175" i="34"/>
  <c r="Q11176" i="34"/>
  <c r="Q11177" i="34"/>
  <c r="Q11178" i="34"/>
  <c r="Q11179" i="34"/>
  <c r="Q11180" i="34"/>
  <c r="Q11181" i="34"/>
  <c r="Q11182" i="34"/>
  <c r="Q11183" i="34"/>
  <c r="Q11184" i="34"/>
  <c r="Q11185" i="34"/>
  <c r="Q11186" i="34"/>
  <c r="Q11187" i="34"/>
  <c r="Q11188" i="34"/>
  <c r="Q11189" i="34"/>
  <c r="Q11190" i="34"/>
  <c r="Q11191" i="34"/>
  <c r="Q11192" i="34"/>
  <c r="Q11193" i="34"/>
  <c r="Q11194" i="34"/>
  <c r="Q11195" i="34"/>
  <c r="Q11196" i="34"/>
  <c r="Q11197" i="34"/>
  <c r="Q11198" i="34"/>
  <c r="Q11199" i="34"/>
  <c r="Q11200" i="34"/>
  <c r="Q11201" i="34"/>
  <c r="Q11202" i="34"/>
  <c r="Q11203" i="34"/>
  <c r="Q11204" i="34"/>
  <c r="Q11205" i="34"/>
  <c r="Q11206" i="34"/>
  <c r="Q11207" i="34"/>
  <c r="Q11208" i="34"/>
  <c r="Q11209" i="34"/>
  <c r="Q11210" i="34"/>
  <c r="Q11211" i="34"/>
  <c r="Q11212" i="34"/>
  <c r="Q11213" i="34"/>
  <c r="Q11214" i="34"/>
  <c r="Q11215" i="34"/>
  <c r="Q11216" i="34"/>
  <c r="Q11217" i="34"/>
  <c r="Q11218" i="34"/>
  <c r="Q11219" i="34"/>
  <c r="Q11220" i="34"/>
  <c r="Q11221" i="34"/>
  <c r="Q11222" i="34"/>
  <c r="Q11223" i="34"/>
  <c r="Q11224" i="34"/>
  <c r="Q11225" i="34"/>
  <c r="Q11226" i="34"/>
  <c r="Q11227" i="34"/>
  <c r="Q11228" i="34"/>
  <c r="Q11229" i="34"/>
  <c r="Q11230" i="34"/>
  <c r="Q11231" i="34"/>
  <c r="Q11232" i="34"/>
  <c r="Q11233" i="34"/>
  <c r="Q11234" i="34"/>
  <c r="Q11235" i="34"/>
  <c r="Q11236" i="34"/>
  <c r="Q11237" i="34"/>
  <c r="Q11238" i="34"/>
  <c r="Q11239" i="34"/>
  <c r="Q11240" i="34"/>
  <c r="Q11241" i="34"/>
  <c r="Q11242" i="34"/>
  <c r="Q11243" i="34"/>
  <c r="Q11244" i="34"/>
  <c r="Q11245" i="34"/>
  <c r="Q11246" i="34"/>
  <c r="Q11247" i="34"/>
  <c r="Q11248" i="34"/>
  <c r="Q11249" i="34"/>
  <c r="Q11250" i="34"/>
  <c r="Q11251" i="34"/>
  <c r="Q11252" i="34"/>
  <c r="Q11253" i="34"/>
  <c r="Q11254" i="34"/>
  <c r="Q11255" i="34"/>
  <c r="Q11256" i="34"/>
  <c r="Q11257" i="34"/>
  <c r="Q11258" i="34"/>
  <c r="Q11259" i="34"/>
  <c r="Q11260" i="34"/>
  <c r="Q11261" i="34"/>
  <c r="Q11262" i="34"/>
  <c r="Q11263" i="34"/>
  <c r="Q11264" i="34"/>
  <c r="Q11265" i="34"/>
  <c r="Q11266" i="34"/>
  <c r="Q11267" i="34"/>
  <c r="Q11268" i="34"/>
  <c r="Q11269" i="34"/>
  <c r="Q11270" i="34"/>
  <c r="Q11271" i="34"/>
  <c r="Q11272" i="34"/>
  <c r="Q11273" i="34"/>
  <c r="Q11274" i="34"/>
  <c r="Q11275" i="34"/>
  <c r="Q11276" i="34"/>
  <c r="Q11277" i="34"/>
  <c r="Q11278" i="34"/>
  <c r="Q11279" i="34"/>
  <c r="Q11280" i="34"/>
  <c r="Q11281" i="34"/>
  <c r="Q11282" i="34"/>
  <c r="Q11283" i="34"/>
  <c r="Q11284" i="34"/>
  <c r="Q11285" i="34"/>
  <c r="Q11286" i="34"/>
  <c r="Q11287" i="34"/>
  <c r="Q11288" i="34"/>
  <c r="Q11289" i="34"/>
  <c r="Q11290" i="34"/>
  <c r="Q11291" i="34"/>
  <c r="Q11292" i="34"/>
  <c r="Q11293" i="34"/>
  <c r="Q11294" i="34"/>
  <c r="Q11295" i="34"/>
  <c r="Q11296" i="34"/>
  <c r="Q11297" i="34"/>
  <c r="Q11298" i="34"/>
  <c r="Q11299" i="34"/>
  <c r="Q11300" i="34"/>
  <c r="Q11301" i="34"/>
  <c r="Q11302" i="34"/>
  <c r="Q11303" i="34"/>
  <c r="Q11304" i="34"/>
  <c r="Q11305" i="34"/>
  <c r="Q11306" i="34"/>
  <c r="Q11307" i="34"/>
  <c r="Q11308" i="34"/>
  <c r="Q11309" i="34"/>
  <c r="Q11310" i="34"/>
  <c r="Q11311" i="34"/>
  <c r="Q11312" i="34"/>
  <c r="Q11313" i="34"/>
  <c r="Q11314" i="34"/>
  <c r="Q11315" i="34"/>
  <c r="Q11316" i="34"/>
  <c r="Q11317" i="34"/>
  <c r="Q11318" i="34"/>
  <c r="Q11319" i="34"/>
  <c r="Q11320" i="34"/>
  <c r="Q11321" i="34"/>
  <c r="Q11322" i="34"/>
  <c r="Q11323" i="34"/>
  <c r="Q11324" i="34"/>
  <c r="Q11325" i="34"/>
  <c r="Q11326" i="34"/>
  <c r="Q11327" i="34"/>
  <c r="Q11328" i="34"/>
  <c r="Q11329" i="34"/>
  <c r="Q11330" i="34"/>
  <c r="Q11331" i="34"/>
  <c r="Q11332" i="34"/>
  <c r="Q11333" i="34"/>
  <c r="Q11334" i="34"/>
  <c r="Q11335" i="34"/>
  <c r="Q11336" i="34"/>
  <c r="Q11337" i="34"/>
  <c r="Q11338" i="34"/>
  <c r="Q11339" i="34"/>
  <c r="Q11340" i="34"/>
  <c r="Q11341" i="34"/>
  <c r="Q11342" i="34"/>
  <c r="Q11343" i="34"/>
  <c r="Q11344" i="34"/>
  <c r="Q11345" i="34"/>
  <c r="Q11346" i="34"/>
  <c r="Q11347" i="34"/>
  <c r="Q11348" i="34"/>
  <c r="Q11349" i="34"/>
  <c r="Q11350" i="34"/>
  <c r="Q11351" i="34"/>
  <c r="Q11352" i="34"/>
  <c r="Q11353" i="34"/>
  <c r="Q11354" i="34"/>
  <c r="Q11355" i="34"/>
  <c r="Q11356" i="34"/>
  <c r="Q11357" i="34"/>
  <c r="Q11358" i="34"/>
  <c r="Q11359" i="34"/>
  <c r="Q11360" i="34"/>
  <c r="Q11361" i="34"/>
  <c r="Q11362" i="34"/>
  <c r="Q11363" i="34"/>
  <c r="Q11364" i="34"/>
  <c r="Q11365" i="34"/>
  <c r="Q11366" i="34"/>
  <c r="Q11367" i="34"/>
  <c r="Q11368" i="34"/>
  <c r="Q11369" i="34"/>
  <c r="Q11370" i="34"/>
  <c r="Q11371" i="34"/>
  <c r="Q11372" i="34"/>
  <c r="Q11373" i="34"/>
  <c r="Q11374" i="34"/>
  <c r="Q11375" i="34"/>
  <c r="Q11376" i="34"/>
  <c r="Q11377" i="34"/>
  <c r="Q11378" i="34"/>
  <c r="Q11379" i="34"/>
  <c r="Q11380" i="34"/>
  <c r="Q11381" i="34"/>
  <c r="Q11382" i="34"/>
  <c r="Q11383" i="34"/>
  <c r="Q11384" i="34"/>
  <c r="Q11385" i="34"/>
  <c r="Q11386" i="34"/>
  <c r="Q11387" i="34"/>
  <c r="Q11388" i="34"/>
  <c r="Q11389" i="34"/>
  <c r="Q11390" i="34"/>
  <c r="Q11391" i="34"/>
  <c r="Q11392" i="34"/>
  <c r="Q11393" i="34"/>
  <c r="Q11394" i="34"/>
  <c r="Q11395" i="34"/>
  <c r="Q11396" i="34"/>
  <c r="Q11397" i="34"/>
  <c r="Q11398" i="34"/>
  <c r="Q11399" i="34"/>
  <c r="Q11400" i="34"/>
  <c r="Q11401" i="34"/>
  <c r="Q11402" i="34"/>
  <c r="Q11403" i="34"/>
  <c r="Q11404" i="34"/>
  <c r="Q11405" i="34"/>
  <c r="Q11406" i="34"/>
  <c r="Q11407" i="34"/>
  <c r="Q11408" i="34"/>
  <c r="Q11409" i="34"/>
  <c r="Q11410" i="34"/>
  <c r="Q11411" i="34"/>
  <c r="Q11412" i="34"/>
  <c r="Q11413" i="34"/>
  <c r="Q11414" i="34"/>
  <c r="Q11415" i="34"/>
  <c r="Q11416" i="34"/>
  <c r="Q11417" i="34"/>
  <c r="Q11418" i="34"/>
  <c r="Q11419" i="34"/>
  <c r="Q11420" i="34"/>
  <c r="Q11421" i="34"/>
  <c r="Q11422" i="34"/>
  <c r="Q11423" i="34"/>
  <c r="Q11424" i="34"/>
  <c r="Q11425" i="34"/>
  <c r="Q11426" i="34"/>
  <c r="Q11427" i="34"/>
  <c r="Q11428" i="34"/>
  <c r="Q11429" i="34"/>
  <c r="Q11430" i="34"/>
  <c r="Q11431" i="34"/>
  <c r="Q11432" i="34"/>
  <c r="Q11433" i="34"/>
  <c r="Q11434" i="34"/>
  <c r="Q11435" i="34"/>
  <c r="Q11436" i="34"/>
  <c r="Q11437" i="34"/>
  <c r="Q11438" i="34"/>
  <c r="Q11439" i="34"/>
  <c r="Q11440" i="34"/>
  <c r="Q11441" i="34"/>
  <c r="Q11442" i="34"/>
  <c r="Q11443" i="34"/>
  <c r="Q11444" i="34"/>
  <c r="Q11445" i="34"/>
  <c r="Q11446" i="34"/>
  <c r="Q11447" i="34"/>
  <c r="Q11448" i="34"/>
  <c r="Q11449" i="34"/>
  <c r="Q11450" i="34"/>
  <c r="Q11451" i="34"/>
  <c r="Q11452" i="34"/>
  <c r="Q11453" i="34"/>
  <c r="Q11454" i="34"/>
  <c r="Q11455" i="34"/>
  <c r="Q11456" i="34"/>
  <c r="Q11457" i="34"/>
  <c r="Q11458" i="34"/>
  <c r="Q11459" i="34"/>
  <c r="Q11460" i="34"/>
  <c r="Q11461" i="34"/>
  <c r="Q11462" i="34"/>
  <c r="Q11463" i="34"/>
  <c r="Q11464" i="34"/>
  <c r="Q11465" i="34"/>
  <c r="Q11466" i="34"/>
  <c r="Q11467" i="34"/>
  <c r="Q11468" i="34"/>
  <c r="Q11469" i="34"/>
  <c r="Q11470" i="34"/>
  <c r="Q11471" i="34"/>
  <c r="Q11472" i="34"/>
  <c r="Q11473" i="34"/>
  <c r="Q11474" i="34"/>
  <c r="Q11475" i="34"/>
  <c r="Q11476" i="34"/>
  <c r="Q11477" i="34"/>
  <c r="Q11478" i="34"/>
  <c r="Q11479" i="34"/>
  <c r="Q11480" i="34"/>
  <c r="Q11481" i="34"/>
  <c r="Q11482" i="34"/>
  <c r="Q11483" i="34"/>
  <c r="Q11484" i="34"/>
  <c r="Q11485" i="34"/>
  <c r="Q11486" i="34"/>
  <c r="Q11487" i="34"/>
  <c r="Q11488" i="34"/>
  <c r="Q11489" i="34"/>
  <c r="Q11490" i="34"/>
  <c r="Q11491" i="34"/>
  <c r="Q11492" i="34"/>
  <c r="Q11493" i="34"/>
  <c r="Q11494" i="34"/>
  <c r="Q11495" i="34"/>
  <c r="Q11496" i="34"/>
  <c r="Q11497" i="34"/>
  <c r="Q11498" i="34"/>
  <c r="Q11499" i="34"/>
  <c r="Q11500" i="34"/>
  <c r="Q11501" i="34"/>
  <c r="Q11502" i="34"/>
  <c r="Q11503" i="34"/>
  <c r="Q11504" i="34"/>
  <c r="Q11505" i="34"/>
  <c r="Q11506" i="34"/>
  <c r="Q11507" i="34"/>
  <c r="Q11508" i="34"/>
  <c r="Q11509" i="34"/>
  <c r="Q11510" i="34"/>
  <c r="Q11511" i="34"/>
  <c r="Q11512" i="34"/>
  <c r="Q11513" i="34"/>
  <c r="Q11514" i="34"/>
  <c r="Q11515" i="34"/>
  <c r="Q11516" i="34"/>
  <c r="Q11517" i="34"/>
  <c r="Q11518" i="34"/>
  <c r="Q11519" i="34"/>
  <c r="Q11520" i="34"/>
  <c r="Q11521" i="34"/>
  <c r="Q11522" i="34"/>
  <c r="Q11523" i="34"/>
  <c r="Q11524" i="34"/>
  <c r="Q11525" i="34"/>
  <c r="Q11526" i="34"/>
  <c r="Q11527" i="34"/>
  <c r="Q11528" i="34"/>
  <c r="Q11529" i="34"/>
  <c r="Q11530" i="34"/>
  <c r="Q11531" i="34"/>
  <c r="Q11532" i="34"/>
  <c r="Q11533" i="34"/>
  <c r="Q11534" i="34"/>
  <c r="Q11535" i="34"/>
  <c r="Q11536" i="34"/>
  <c r="Q11537" i="34"/>
  <c r="Q11538" i="34"/>
  <c r="Q11539" i="34"/>
  <c r="Q11540" i="34"/>
  <c r="Q11541" i="34"/>
  <c r="Q11542" i="34"/>
  <c r="Q11543" i="34"/>
  <c r="Q11544" i="34"/>
  <c r="Q11545" i="34"/>
  <c r="Q11546" i="34"/>
  <c r="Q11547" i="34"/>
  <c r="Q11548" i="34"/>
  <c r="Q11549" i="34"/>
  <c r="Q11550" i="34"/>
  <c r="Q11551" i="34"/>
  <c r="Q11552" i="34"/>
  <c r="Q11553" i="34"/>
  <c r="Q11554" i="34"/>
  <c r="Q11555" i="34"/>
  <c r="Q11556" i="34"/>
  <c r="Q11557" i="34"/>
  <c r="Q11558" i="34"/>
  <c r="Q11559" i="34"/>
  <c r="Q11560" i="34"/>
  <c r="Q11561" i="34"/>
  <c r="Q11562" i="34"/>
  <c r="Q11563" i="34"/>
  <c r="Q11564" i="34"/>
  <c r="Q11565" i="34"/>
  <c r="Q11566" i="34"/>
  <c r="Q11567" i="34"/>
  <c r="Q11568" i="34"/>
  <c r="Q11569" i="34"/>
  <c r="Q11570" i="34"/>
  <c r="Q11571" i="34"/>
  <c r="Q11572" i="34"/>
  <c r="Q11573" i="34"/>
  <c r="Q11574" i="34"/>
  <c r="Q11575" i="34"/>
  <c r="Q11576" i="34"/>
  <c r="Q11577" i="34"/>
  <c r="Q11578" i="34"/>
  <c r="Q11579" i="34"/>
  <c r="Q11580" i="34"/>
  <c r="Q11581" i="34"/>
  <c r="Q11582" i="34"/>
  <c r="Q11583" i="34"/>
  <c r="Q11584" i="34"/>
  <c r="Q11585" i="34"/>
  <c r="Q11586" i="34"/>
  <c r="Q11587" i="34"/>
  <c r="Q11588" i="34"/>
  <c r="Q11589" i="34"/>
  <c r="Q11590" i="34"/>
  <c r="Q11591" i="34"/>
  <c r="Q11592" i="34"/>
  <c r="Q11593" i="34"/>
  <c r="Q11594" i="34"/>
  <c r="Q11595" i="34"/>
  <c r="Q11596" i="34"/>
  <c r="Q11597" i="34"/>
  <c r="Q11598" i="34"/>
  <c r="Q11599" i="34"/>
  <c r="Q11600" i="34"/>
  <c r="Q11601" i="34"/>
  <c r="Q11602" i="34"/>
  <c r="Q11603" i="34"/>
  <c r="Q11604" i="34"/>
  <c r="Q11605" i="34"/>
  <c r="Q11606" i="34"/>
  <c r="Q11607" i="34"/>
  <c r="Q11608" i="34"/>
  <c r="Q11609" i="34"/>
  <c r="Q11610" i="34"/>
  <c r="Q11611" i="34"/>
  <c r="Q11612" i="34"/>
  <c r="Q11613" i="34"/>
  <c r="Q11614" i="34"/>
  <c r="Q11615" i="34"/>
  <c r="Q11616" i="34"/>
  <c r="Q11617" i="34"/>
  <c r="Q11618" i="34"/>
  <c r="Q11619" i="34"/>
  <c r="Q11620" i="34"/>
  <c r="Q11621" i="34"/>
  <c r="Q11622" i="34"/>
  <c r="Q11623" i="34"/>
  <c r="Q11624" i="34"/>
  <c r="Q11625" i="34"/>
  <c r="Q11626" i="34"/>
  <c r="Q11627" i="34"/>
  <c r="Q11628" i="34"/>
  <c r="Q11629" i="34"/>
  <c r="Q11630" i="34"/>
  <c r="Q11631" i="34"/>
  <c r="Q11632" i="34"/>
  <c r="Q11633" i="34"/>
  <c r="Q11634" i="34"/>
  <c r="Q11635" i="34"/>
  <c r="Q11636" i="34"/>
  <c r="Q11637" i="34"/>
  <c r="Q11638" i="34"/>
  <c r="Q11639" i="34"/>
  <c r="Q11640" i="34"/>
  <c r="Q11641" i="34"/>
  <c r="Q11642" i="34"/>
  <c r="Q11643" i="34"/>
  <c r="Q11644" i="34"/>
  <c r="Q11645" i="34"/>
  <c r="Q11646" i="34"/>
  <c r="Q11647" i="34"/>
  <c r="Q11648" i="34"/>
  <c r="Q11649" i="34"/>
  <c r="Q11650" i="34"/>
  <c r="Q11651" i="34"/>
  <c r="Q11652" i="34"/>
  <c r="Q11653" i="34"/>
  <c r="Q11654" i="34"/>
  <c r="Q11655" i="34"/>
  <c r="Q11656" i="34"/>
  <c r="Q11657" i="34"/>
  <c r="Q11658" i="34"/>
  <c r="Q11659" i="34"/>
  <c r="Q11660" i="34"/>
  <c r="Q11661" i="34"/>
  <c r="Q11662" i="34"/>
  <c r="Q11663" i="34"/>
  <c r="Q11664" i="34"/>
  <c r="Q11665" i="34"/>
  <c r="Q11666" i="34"/>
  <c r="Q11667" i="34"/>
  <c r="Q11668" i="34"/>
  <c r="Q11669" i="34"/>
  <c r="Q11670" i="34"/>
  <c r="Q11671" i="34"/>
  <c r="Q11672" i="34"/>
  <c r="Q11673" i="34"/>
  <c r="Q11674" i="34"/>
  <c r="Q11675" i="34"/>
  <c r="Q11676" i="34"/>
  <c r="Q11677" i="34"/>
  <c r="Q11678" i="34"/>
  <c r="Q11679" i="34"/>
  <c r="Q11680" i="34"/>
  <c r="Q11681" i="34"/>
  <c r="Q11682" i="34"/>
  <c r="Q11683" i="34"/>
  <c r="Q11684" i="34"/>
  <c r="Q11685" i="34"/>
  <c r="Q11686" i="34"/>
  <c r="Q11687" i="34"/>
  <c r="Q11688" i="34"/>
  <c r="Q11689" i="34"/>
  <c r="Q11690" i="34"/>
  <c r="Q11691" i="34"/>
  <c r="Q11692" i="34"/>
  <c r="Q11693" i="34"/>
  <c r="Q11694" i="34"/>
  <c r="Q11695" i="34"/>
  <c r="Q11696" i="34"/>
  <c r="Q11697" i="34"/>
  <c r="Q11698" i="34"/>
  <c r="Q11699" i="34"/>
  <c r="Q11700" i="34"/>
  <c r="Q11701" i="34"/>
  <c r="Q11702" i="34"/>
  <c r="Q11703" i="34"/>
  <c r="Q11704" i="34"/>
  <c r="Q11705" i="34"/>
  <c r="Q11706" i="34"/>
  <c r="Q11707" i="34"/>
  <c r="Q11708" i="34"/>
  <c r="Q11709" i="34"/>
  <c r="Q11710" i="34"/>
  <c r="Q11711" i="34"/>
  <c r="Q11712" i="34"/>
  <c r="Q11713" i="34"/>
  <c r="Q11714" i="34"/>
  <c r="Q11715" i="34"/>
  <c r="Q11716" i="34"/>
  <c r="Q11717" i="34"/>
  <c r="Q11718" i="34"/>
  <c r="Q11719" i="34"/>
  <c r="Q11720" i="34"/>
  <c r="Q11721" i="34"/>
  <c r="Q11722" i="34"/>
  <c r="Q11723" i="34"/>
  <c r="Q11724" i="34"/>
  <c r="Q11725" i="34"/>
  <c r="Q11726" i="34"/>
  <c r="Q11727" i="34"/>
  <c r="Q11728" i="34"/>
  <c r="Q11729" i="34"/>
  <c r="Q11730" i="34"/>
  <c r="Q11731" i="34"/>
  <c r="Q11732" i="34"/>
  <c r="Q11733" i="34"/>
  <c r="Q11734" i="34"/>
  <c r="Q11735" i="34"/>
  <c r="Q11736" i="34"/>
  <c r="Q11737" i="34"/>
  <c r="Q11738" i="34"/>
  <c r="Q11739" i="34"/>
  <c r="Q11740" i="34"/>
  <c r="Q11741" i="34"/>
  <c r="Q11742" i="34"/>
  <c r="Q11743" i="34"/>
  <c r="Q11744" i="34"/>
  <c r="Q11745" i="34"/>
  <c r="Q11746" i="34"/>
  <c r="Q11747" i="34"/>
  <c r="Q11748" i="34"/>
  <c r="Q11749" i="34"/>
  <c r="Q11750" i="34"/>
  <c r="Q11751" i="34"/>
  <c r="Q11752" i="34"/>
  <c r="Q11753" i="34"/>
  <c r="Q11754" i="34"/>
  <c r="Q11755" i="34"/>
  <c r="Q11756" i="34"/>
  <c r="Q11757" i="34"/>
  <c r="Q11758" i="34"/>
  <c r="Q11759" i="34"/>
  <c r="Q11760" i="34"/>
  <c r="Q11761" i="34"/>
  <c r="Q11762" i="34"/>
  <c r="Q11763" i="34"/>
  <c r="Q11764" i="34"/>
  <c r="Q11765" i="34"/>
  <c r="Q11766" i="34"/>
  <c r="Q11767" i="34"/>
  <c r="Q11768" i="34"/>
  <c r="Q11769" i="34"/>
  <c r="Q11770" i="34"/>
  <c r="Q11771" i="34"/>
  <c r="Q11772" i="34"/>
  <c r="Q11773" i="34"/>
  <c r="Q11774" i="34"/>
  <c r="Q11775" i="34"/>
  <c r="Q11776" i="34"/>
  <c r="Q11777" i="34"/>
  <c r="Q11778" i="34"/>
  <c r="Q11779" i="34"/>
  <c r="Q11780" i="34"/>
  <c r="Q11781" i="34"/>
  <c r="Q11782" i="34"/>
  <c r="Q11783" i="34"/>
  <c r="Q11784" i="34"/>
  <c r="Q11785" i="34"/>
  <c r="Q11786" i="34"/>
  <c r="Q11787" i="34"/>
  <c r="Q11788" i="34"/>
  <c r="Q11789" i="34"/>
  <c r="Q11790" i="34"/>
  <c r="Q11791" i="34"/>
  <c r="Q11792" i="34"/>
  <c r="Q11793" i="34"/>
  <c r="Q11794" i="34"/>
  <c r="Q11795" i="34"/>
  <c r="Q11796" i="34"/>
  <c r="Q11797" i="34"/>
  <c r="Q11798" i="34"/>
  <c r="Q11799" i="34"/>
  <c r="Q11800" i="34"/>
  <c r="Q11801" i="34"/>
  <c r="Q11802" i="34"/>
  <c r="Q11803" i="34"/>
  <c r="Q11804" i="34"/>
  <c r="Q11805" i="34"/>
  <c r="Q11806" i="34"/>
  <c r="Q11807" i="34"/>
  <c r="Q11808" i="34"/>
  <c r="Q11809" i="34"/>
  <c r="Q11810" i="34"/>
  <c r="Q11811" i="34"/>
  <c r="Q11812" i="34"/>
  <c r="Q11813" i="34"/>
  <c r="Q11814" i="34"/>
  <c r="Q11815" i="34"/>
  <c r="Q11816" i="34"/>
  <c r="Q11817" i="34"/>
  <c r="Q11818" i="34"/>
  <c r="Q11819" i="34"/>
  <c r="Q11820" i="34"/>
  <c r="Q11821" i="34"/>
  <c r="Q11822" i="34"/>
  <c r="Q11823" i="34"/>
  <c r="Q11824" i="34"/>
  <c r="Q11825" i="34"/>
  <c r="Q11826" i="34"/>
  <c r="Q11827" i="34"/>
  <c r="Q11828" i="34"/>
  <c r="Q11829" i="34"/>
  <c r="Q11830" i="34"/>
  <c r="Q11831" i="34"/>
  <c r="Q11832" i="34"/>
  <c r="Q11833" i="34"/>
  <c r="Q11834" i="34"/>
  <c r="Q11835" i="34"/>
  <c r="Q11836" i="34"/>
  <c r="Q11837" i="34"/>
  <c r="Q11838" i="34"/>
  <c r="Q11839" i="34"/>
  <c r="Q11840" i="34"/>
  <c r="Q11841" i="34"/>
  <c r="Q11842" i="34"/>
  <c r="Q11843" i="34"/>
  <c r="Q11844" i="34"/>
  <c r="Q11845" i="34"/>
  <c r="Q11846" i="34"/>
  <c r="Q11847" i="34"/>
  <c r="Q11848" i="34"/>
  <c r="Q11849" i="34"/>
  <c r="Q11850" i="34"/>
  <c r="Q11851" i="34"/>
  <c r="Q11852" i="34"/>
  <c r="Q11853" i="34"/>
  <c r="Q11854" i="34"/>
  <c r="Q11855" i="34"/>
  <c r="Q11856" i="34"/>
  <c r="Q11857" i="34"/>
  <c r="Q11858" i="34"/>
  <c r="Q11859" i="34"/>
  <c r="Q11860" i="34"/>
  <c r="Q11861" i="34"/>
  <c r="Q11862" i="34"/>
  <c r="Q11863" i="34"/>
  <c r="Q11864" i="34"/>
  <c r="Q11865" i="34"/>
  <c r="Q11866" i="34"/>
  <c r="Q11867" i="34"/>
  <c r="Q11868" i="34"/>
  <c r="Q11869" i="34"/>
  <c r="Q11870" i="34"/>
  <c r="Q11871" i="34"/>
  <c r="Q11872" i="34"/>
  <c r="Q11873" i="34"/>
  <c r="Q11874" i="34"/>
  <c r="Q11875" i="34"/>
  <c r="Q11876" i="34"/>
  <c r="Q11877" i="34"/>
  <c r="Q11878" i="34"/>
  <c r="Q11879" i="34"/>
  <c r="Q11880" i="34"/>
  <c r="Q11881" i="34"/>
  <c r="Q11882" i="34"/>
  <c r="Q11883" i="34"/>
  <c r="Q11884" i="34"/>
  <c r="Q11885" i="34"/>
  <c r="Q11886" i="34"/>
  <c r="Q11887" i="34"/>
  <c r="Q11888" i="34"/>
  <c r="Q11889" i="34"/>
  <c r="Q11890" i="34"/>
  <c r="Q11891" i="34"/>
  <c r="Q11892" i="34"/>
  <c r="Q11893" i="34"/>
  <c r="Q11894" i="34"/>
  <c r="Q11895" i="34"/>
  <c r="Q11896" i="34"/>
  <c r="Q11897" i="34"/>
  <c r="Q11898" i="34"/>
  <c r="Q11899" i="34"/>
  <c r="Q11900" i="34"/>
  <c r="Q11901" i="34"/>
  <c r="Q11902" i="34"/>
  <c r="Q11903" i="34"/>
  <c r="Q11904" i="34"/>
  <c r="Q11905" i="34"/>
  <c r="Q11906" i="34"/>
  <c r="Q11907" i="34"/>
  <c r="Q11908" i="34"/>
  <c r="Q11909" i="34"/>
  <c r="Q11910" i="34"/>
  <c r="Q11911" i="34"/>
  <c r="Q11912" i="34"/>
  <c r="Q11913" i="34"/>
  <c r="Q11914" i="34"/>
  <c r="Q11915" i="34"/>
  <c r="Q11916" i="34"/>
  <c r="Q11917" i="34"/>
  <c r="Q11918" i="34"/>
  <c r="Q11919" i="34"/>
  <c r="Q11920" i="34"/>
  <c r="Q11921" i="34"/>
  <c r="Q11922" i="34"/>
  <c r="Q11923" i="34"/>
  <c r="Q11924" i="34"/>
  <c r="Q11925" i="34"/>
  <c r="Q11926" i="34"/>
  <c r="Q11927" i="34"/>
  <c r="Q11928" i="34"/>
  <c r="Q11929" i="34"/>
  <c r="Q11930" i="34"/>
  <c r="Q11931" i="34"/>
  <c r="Q11932" i="34"/>
  <c r="Q11933" i="34"/>
  <c r="Q11934" i="34"/>
  <c r="Q11935" i="34"/>
  <c r="Q11936" i="34"/>
  <c r="Q11937" i="34"/>
  <c r="Q11938" i="34"/>
  <c r="Q11939" i="34"/>
  <c r="Q11940" i="34"/>
  <c r="Q11941" i="34"/>
  <c r="Q11942" i="34"/>
  <c r="Q11943" i="34"/>
  <c r="Q11944" i="34"/>
  <c r="Q11945" i="34"/>
  <c r="Q11946" i="34"/>
  <c r="Q11947" i="34"/>
  <c r="Q11948" i="34"/>
  <c r="Q11949" i="34"/>
  <c r="Q11950" i="34"/>
  <c r="Q11951" i="34"/>
  <c r="Q11952" i="34"/>
  <c r="Q11953" i="34"/>
  <c r="Q11954" i="34"/>
  <c r="Q11955" i="34"/>
  <c r="Q11956" i="34"/>
  <c r="Q11957" i="34"/>
  <c r="Q11958" i="34"/>
  <c r="Q11959" i="34"/>
  <c r="Q11960" i="34"/>
  <c r="Q11961" i="34"/>
  <c r="Q11962" i="34"/>
  <c r="Q11963" i="34"/>
  <c r="Q11964" i="34"/>
  <c r="Q11965" i="34"/>
  <c r="Q11966" i="34"/>
  <c r="Q11967" i="34"/>
  <c r="Q11968" i="34"/>
  <c r="Q11969" i="34"/>
  <c r="Q11970" i="34"/>
  <c r="Q11971" i="34"/>
  <c r="Q11972" i="34"/>
  <c r="Q11973" i="34"/>
  <c r="Q11974" i="34"/>
  <c r="Q11975" i="34"/>
  <c r="Q11976" i="34"/>
  <c r="Q11977" i="34"/>
  <c r="Q11978" i="34"/>
  <c r="Q11979" i="34"/>
  <c r="Q11980" i="34"/>
  <c r="Q11981" i="34"/>
  <c r="Q11982" i="34"/>
  <c r="Q11983" i="34"/>
  <c r="Q11984" i="34"/>
  <c r="Q11985" i="34"/>
  <c r="Q11986" i="34"/>
  <c r="Q11987" i="34"/>
  <c r="Q11988" i="34"/>
  <c r="Q11989" i="34"/>
  <c r="Q11990" i="34"/>
  <c r="Q11991" i="34"/>
  <c r="Q11992" i="34"/>
  <c r="Q11993" i="34"/>
  <c r="Q11994" i="34"/>
  <c r="Q11995" i="34"/>
  <c r="Q11996" i="34"/>
  <c r="Q11997" i="34"/>
  <c r="Q11998" i="34"/>
  <c r="Q11999" i="34"/>
  <c r="Q12000" i="34"/>
  <c r="Q12001" i="34"/>
  <c r="Q12002" i="34"/>
  <c r="Q12003" i="34"/>
  <c r="Q12004" i="34"/>
  <c r="Q12005" i="34"/>
  <c r="Q12006" i="34"/>
  <c r="Q12007" i="34"/>
  <c r="Q12008" i="34"/>
  <c r="Q12009" i="34"/>
  <c r="Q12010" i="34"/>
  <c r="Q12011" i="34"/>
  <c r="Q12012" i="34"/>
  <c r="Q12013" i="34"/>
  <c r="Q12014" i="34"/>
  <c r="Q12015" i="34"/>
  <c r="Q12016" i="34"/>
  <c r="Q12017" i="34"/>
  <c r="Q12018" i="34"/>
  <c r="Q12019" i="34"/>
  <c r="Q12020" i="34"/>
  <c r="Q12021" i="34"/>
  <c r="Q12022" i="34"/>
  <c r="Q12023" i="34"/>
  <c r="Q12024" i="34"/>
  <c r="Q12025" i="34"/>
  <c r="Q12026" i="34"/>
  <c r="Q12027" i="34"/>
  <c r="Q12028" i="34"/>
  <c r="Q12029" i="34"/>
  <c r="Q12030" i="34"/>
  <c r="Q12031" i="34"/>
  <c r="Q12032" i="34"/>
  <c r="Q12033" i="34"/>
  <c r="Q12034" i="34"/>
  <c r="Q12035" i="34"/>
  <c r="Q12036" i="34"/>
  <c r="Q12037" i="34"/>
  <c r="Q12038" i="34"/>
  <c r="Q12039" i="34"/>
  <c r="Q12040" i="34"/>
  <c r="Q12041" i="34"/>
  <c r="Q12042" i="34"/>
  <c r="Q12043" i="34"/>
  <c r="Q12044" i="34"/>
  <c r="Q12045" i="34"/>
  <c r="Q12046" i="34"/>
  <c r="Q12047" i="34"/>
  <c r="Q12048" i="34"/>
  <c r="Q12049" i="34"/>
  <c r="Q12050" i="34"/>
  <c r="Q12051" i="34"/>
  <c r="Q12052" i="34"/>
  <c r="Q12053" i="34"/>
  <c r="Q12054" i="34"/>
  <c r="Q12055" i="34"/>
  <c r="Q12056" i="34"/>
  <c r="Q12057" i="34"/>
  <c r="Q12058" i="34"/>
  <c r="Q12059" i="34"/>
  <c r="Q12060" i="34"/>
  <c r="Q12061" i="34"/>
  <c r="Q12062" i="34"/>
  <c r="Q12063" i="34"/>
  <c r="Q12064" i="34"/>
  <c r="Q12065" i="34"/>
  <c r="Q12066" i="34"/>
  <c r="Q12067" i="34"/>
  <c r="Q12068" i="34"/>
  <c r="Q12069" i="34"/>
  <c r="Q12070" i="34"/>
  <c r="Q12071" i="34"/>
  <c r="Q12072" i="34"/>
  <c r="Q12073" i="34"/>
  <c r="Q12074" i="34"/>
  <c r="Q12075" i="34"/>
  <c r="Q12076" i="34"/>
  <c r="Q12077" i="34"/>
  <c r="Q12078" i="34"/>
  <c r="Q12079" i="34"/>
  <c r="Q12080" i="34"/>
  <c r="Q12081" i="34"/>
  <c r="Q12082" i="34"/>
  <c r="Q12083" i="34"/>
  <c r="Q12084" i="34"/>
  <c r="Q12085" i="34"/>
  <c r="Q12086" i="34"/>
  <c r="Q12087" i="34"/>
  <c r="Q12088" i="34"/>
  <c r="Q12089" i="34"/>
  <c r="Q12090" i="34"/>
  <c r="Q12091" i="34"/>
  <c r="Q12092" i="34"/>
  <c r="Q12093" i="34"/>
  <c r="Q12094" i="34"/>
  <c r="Q12095" i="34"/>
  <c r="Q12096" i="34"/>
  <c r="Q12097" i="34"/>
  <c r="Q12098" i="34"/>
  <c r="Q12099" i="34"/>
  <c r="Q12100" i="34"/>
  <c r="Q12101" i="34"/>
  <c r="Q12102" i="34"/>
  <c r="Q12103" i="34"/>
  <c r="Q12104" i="34"/>
  <c r="Q12105" i="34"/>
  <c r="Q12106" i="34"/>
  <c r="Q12107" i="34"/>
  <c r="Q12108" i="34"/>
  <c r="Q12109" i="34"/>
  <c r="Q12110" i="34"/>
  <c r="Q12111" i="34"/>
  <c r="Q12112" i="34"/>
  <c r="Q12113" i="34"/>
  <c r="Q12114" i="34"/>
  <c r="Q12115" i="34"/>
  <c r="Q12116" i="34"/>
  <c r="Q12117" i="34"/>
  <c r="Q12118" i="34"/>
  <c r="Q12119" i="34"/>
  <c r="Q12120" i="34"/>
  <c r="Q12121" i="34"/>
  <c r="Q12122" i="34"/>
  <c r="Q12123" i="34"/>
  <c r="Q12124" i="34"/>
  <c r="Q12125" i="34"/>
  <c r="Q12126" i="34"/>
  <c r="Q12127" i="34"/>
  <c r="Q12128" i="34"/>
  <c r="Q12129" i="34"/>
  <c r="Q12130" i="34"/>
  <c r="Q12131" i="34"/>
  <c r="Q12132" i="34"/>
  <c r="Q12133" i="34"/>
  <c r="Q12134" i="34"/>
  <c r="Q12135" i="34"/>
  <c r="Q12136" i="34"/>
  <c r="Q12137" i="34"/>
  <c r="Q12138" i="34"/>
  <c r="Q12139" i="34"/>
  <c r="Q12140" i="34"/>
  <c r="Q12141" i="34"/>
  <c r="Q12142" i="34"/>
  <c r="Q12143" i="34"/>
  <c r="Q12144" i="34"/>
  <c r="Q12145" i="34"/>
  <c r="Q12146" i="34"/>
  <c r="Q12147" i="34"/>
  <c r="Q12148" i="34"/>
  <c r="Q12149" i="34"/>
  <c r="Q12150" i="34"/>
  <c r="Q12151" i="34"/>
  <c r="Q12152" i="34"/>
  <c r="Q12153" i="34"/>
  <c r="Q12154" i="34"/>
  <c r="Q12155" i="34"/>
  <c r="Q12156" i="34"/>
  <c r="Q12157" i="34"/>
  <c r="Q12158" i="34"/>
  <c r="Q12159" i="34"/>
  <c r="Q12160" i="34"/>
  <c r="Q12161" i="34"/>
  <c r="Q12162" i="34"/>
  <c r="Q12163" i="34"/>
  <c r="Q12164" i="34"/>
  <c r="Q12165" i="34"/>
  <c r="Q12166" i="34"/>
  <c r="Q12167" i="34"/>
  <c r="Q12168" i="34"/>
  <c r="Q12169" i="34"/>
  <c r="Q12170" i="34"/>
  <c r="Q12171" i="34"/>
  <c r="Q12172" i="34"/>
  <c r="Q12173" i="34"/>
  <c r="Q12174" i="34"/>
  <c r="Q12175" i="34"/>
  <c r="Q12176" i="34"/>
  <c r="Q12177" i="34"/>
  <c r="Q12178" i="34"/>
  <c r="Q12179" i="34"/>
  <c r="Q12180" i="34"/>
  <c r="Q12181" i="34"/>
  <c r="Q12182" i="34"/>
  <c r="Q12183" i="34"/>
  <c r="Q12184" i="34"/>
  <c r="Q12185" i="34"/>
  <c r="Q12186" i="34"/>
  <c r="Q12187" i="34"/>
  <c r="Q12188" i="34"/>
  <c r="Q12189" i="34"/>
  <c r="Q12190" i="34"/>
  <c r="Q12191" i="34"/>
  <c r="Q12192" i="34"/>
  <c r="Q12193" i="34"/>
  <c r="Q12194" i="34"/>
  <c r="Q12195" i="34"/>
  <c r="Q12196" i="34"/>
  <c r="Q12197" i="34"/>
  <c r="Q12198" i="34"/>
  <c r="Q12199" i="34"/>
  <c r="Q12200" i="34"/>
  <c r="Q12201" i="34"/>
  <c r="Q12202" i="34"/>
  <c r="Q12203" i="34"/>
  <c r="Q12204" i="34"/>
  <c r="Q12205" i="34"/>
  <c r="Q12206" i="34"/>
  <c r="Q12207" i="34"/>
  <c r="Q12208" i="34"/>
  <c r="Q12209" i="34"/>
  <c r="Q12210" i="34"/>
  <c r="Q12211" i="34"/>
  <c r="Q12212" i="34"/>
  <c r="Q12213" i="34"/>
  <c r="Q12214" i="34"/>
  <c r="Q12215" i="34"/>
  <c r="Q12216" i="34"/>
  <c r="Q12217" i="34"/>
  <c r="Q12218" i="34"/>
  <c r="Q12219" i="34"/>
  <c r="Q12220" i="34"/>
  <c r="Q12221" i="34"/>
  <c r="Q12222" i="34"/>
  <c r="Q12223" i="34"/>
  <c r="Q12224" i="34"/>
  <c r="Q12225" i="34"/>
  <c r="Q12226" i="34"/>
  <c r="Q12227" i="34"/>
  <c r="Q12228" i="34"/>
  <c r="Q12229" i="34"/>
  <c r="Q12230" i="34"/>
  <c r="Q12231" i="34"/>
  <c r="Q12232" i="34"/>
  <c r="Q12233" i="34"/>
  <c r="Q12234" i="34"/>
  <c r="Q12235" i="34"/>
  <c r="Q12236" i="34"/>
  <c r="Q12237" i="34"/>
  <c r="Q12238" i="34"/>
  <c r="Q12239" i="34"/>
  <c r="Q12240" i="34"/>
  <c r="Q12241" i="34"/>
  <c r="Q12242" i="34"/>
  <c r="Q12243" i="34"/>
  <c r="Q12244" i="34"/>
  <c r="Q12245" i="34"/>
  <c r="Q12246" i="34"/>
  <c r="Q12247" i="34"/>
  <c r="Q12248" i="34"/>
  <c r="Q12249" i="34"/>
  <c r="Q12250" i="34"/>
  <c r="Q12251" i="34"/>
  <c r="Q12252" i="34"/>
  <c r="Q12253" i="34"/>
  <c r="Q12254" i="34"/>
  <c r="Q12255" i="34"/>
  <c r="Q12256" i="34"/>
  <c r="Q12257" i="34"/>
  <c r="Q12258" i="34"/>
  <c r="Q12259" i="34"/>
  <c r="Q12260" i="34"/>
  <c r="Q12261" i="34"/>
  <c r="Q12262" i="34"/>
  <c r="Q12263" i="34"/>
  <c r="Q12264" i="34"/>
  <c r="Q12265" i="34"/>
  <c r="Q12266" i="34"/>
  <c r="Q12267" i="34"/>
  <c r="Q12268" i="34"/>
  <c r="Q12269" i="34"/>
  <c r="Q12270" i="34"/>
  <c r="Q12271" i="34"/>
  <c r="Q12272" i="34"/>
  <c r="Q12273" i="34"/>
  <c r="Q12274" i="34"/>
  <c r="Q12275" i="34"/>
  <c r="Q12276" i="34"/>
  <c r="Q12277" i="34"/>
  <c r="Q12278" i="34"/>
  <c r="Q12279" i="34"/>
  <c r="Q12280" i="34"/>
  <c r="Q12281" i="34"/>
  <c r="Q12282" i="34"/>
  <c r="Q12283" i="34"/>
  <c r="Q12284" i="34"/>
  <c r="Q12285" i="34"/>
  <c r="Q12286" i="34"/>
  <c r="Q12287" i="34"/>
  <c r="Q12288" i="34"/>
  <c r="Q12289" i="34"/>
  <c r="Q12290" i="34"/>
  <c r="Q12291" i="34"/>
  <c r="Q12292" i="34"/>
  <c r="Q12293" i="34"/>
  <c r="Q12294" i="34"/>
  <c r="Q12295" i="34"/>
  <c r="Q12296" i="34"/>
  <c r="Q12297" i="34"/>
  <c r="Q12298" i="34"/>
  <c r="Q12299" i="34"/>
  <c r="Q12300" i="34"/>
  <c r="Q12301" i="34"/>
  <c r="Q12302" i="34"/>
  <c r="Q12303" i="34"/>
  <c r="Q12304" i="34"/>
  <c r="Q12305" i="34"/>
  <c r="Q12306" i="34"/>
  <c r="Q12307" i="34"/>
  <c r="Q12308" i="34"/>
  <c r="Q12309" i="34"/>
  <c r="Q12310" i="34"/>
  <c r="Q12311" i="34"/>
  <c r="Q12312" i="34"/>
  <c r="Q12313" i="34"/>
  <c r="Q12314" i="34"/>
  <c r="Q12315" i="34"/>
  <c r="Q12316" i="34"/>
  <c r="Q12317" i="34"/>
  <c r="Q12318" i="34"/>
  <c r="Q12319" i="34"/>
  <c r="Q12320" i="34"/>
  <c r="Q12321" i="34"/>
  <c r="Q12322" i="34"/>
  <c r="Q12323" i="34"/>
  <c r="Q12324" i="34"/>
  <c r="Q12325" i="34"/>
  <c r="Q12326" i="34"/>
  <c r="Q12327" i="34"/>
  <c r="Q12328" i="34"/>
  <c r="Q12329" i="34"/>
  <c r="Q12330" i="34"/>
  <c r="Q12331" i="34"/>
  <c r="Q12332" i="34"/>
  <c r="Q12333" i="34"/>
  <c r="Q12334" i="34"/>
  <c r="Q12335" i="34"/>
  <c r="Q12336" i="34"/>
  <c r="Q12337" i="34"/>
  <c r="Q12338" i="34"/>
  <c r="Q12339" i="34"/>
  <c r="Q12340" i="34"/>
  <c r="Q12341" i="34"/>
  <c r="Q12342" i="34"/>
  <c r="Q12343" i="34"/>
  <c r="Q12344" i="34"/>
  <c r="Q12345" i="34"/>
  <c r="Q12346" i="34"/>
  <c r="Q12347" i="34"/>
  <c r="Q12348" i="34"/>
  <c r="Q12349" i="34"/>
  <c r="Q12350" i="34"/>
  <c r="Q12351" i="34"/>
  <c r="Q12352" i="34"/>
  <c r="Q12353" i="34"/>
  <c r="Q12354" i="34"/>
  <c r="Q12355" i="34"/>
  <c r="Q12356" i="34"/>
  <c r="Q12357" i="34"/>
  <c r="Q12358" i="34"/>
  <c r="Q12359" i="34"/>
  <c r="Q12360" i="34"/>
  <c r="Q12361" i="34"/>
  <c r="Q12362" i="34"/>
  <c r="Q12363" i="34"/>
  <c r="Q12364" i="34"/>
  <c r="Q12365" i="34"/>
  <c r="Q12366" i="34"/>
  <c r="Q12367" i="34"/>
  <c r="Q12368" i="34"/>
  <c r="Q12369" i="34"/>
  <c r="Q12370" i="34"/>
  <c r="Q12371" i="34"/>
  <c r="Q12372" i="34"/>
  <c r="Q12373" i="34"/>
  <c r="Q12374" i="34"/>
  <c r="Q12375" i="34"/>
  <c r="Q12376" i="34"/>
  <c r="Q12377" i="34"/>
  <c r="Q12378" i="34"/>
  <c r="Q12379" i="34"/>
  <c r="Q12380" i="34"/>
  <c r="Q12381" i="34"/>
  <c r="Q12382" i="34"/>
  <c r="Q12383" i="34"/>
  <c r="Q12384" i="34"/>
  <c r="Q12385" i="34"/>
  <c r="Q12386" i="34"/>
  <c r="Q12387" i="34"/>
  <c r="Q12388" i="34"/>
  <c r="Q12389" i="34"/>
  <c r="Q12390" i="34"/>
  <c r="Q12391" i="34"/>
  <c r="Q12392" i="34"/>
  <c r="Q12393" i="34"/>
  <c r="Q12394" i="34"/>
  <c r="Q12395" i="34"/>
  <c r="Q12396" i="34"/>
  <c r="Q12397" i="34"/>
  <c r="Q12398" i="34"/>
  <c r="Q12399" i="34"/>
  <c r="Q12400" i="34"/>
  <c r="Q12401" i="34"/>
  <c r="Q12402" i="34"/>
  <c r="Q12403" i="34"/>
  <c r="Q12404" i="34"/>
  <c r="Q12405" i="34"/>
  <c r="Q12406" i="34"/>
  <c r="Q12407" i="34"/>
  <c r="Q12408" i="34"/>
  <c r="Q12409" i="34"/>
  <c r="Q12410" i="34"/>
  <c r="Q12411" i="34"/>
  <c r="Q12412" i="34"/>
  <c r="Q12413" i="34"/>
  <c r="Q12414" i="34"/>
  <c r="Q12415" i="34"/>
  <c r="Q12416" i="34"/>
  <c r="Q12417" i="34"/>
  <c r="Q12418" i="34"/>
  <c r="Q12419" i="34"/>
  <c r="Q12420" i="34"/>
  <c r="Q12421" i="34"/>
  <c r="Q12422" i="34"/>
  <c r="Q12423" i="34"/>
  <c r="Q12424" i="34"/>
  <c r="Q12425" i="34"/>
  <c r="Q12426" i="34"/>
  <c r="Q12427" i="34"/>
  <c r="Q12428" i="34"/>
  <c r="Q12429" i="34"/>
  <c r="Q12430" i="34"/>
  <c r="Q12431" i="34"/>
  <c r="Q12432" i="34"/>
  <c r="Q12433" i="34"/>
  <c r="Q12434" i="34"/>
  <c r="Q12435" i="34"/>
  <c r="Q12436" i="34"/>
  <c r="Q12437" i="34"/>
  <c r="Q12438" i="34"/>
  <c r="Q12439" i="34"/>
  <c r="Q12440" i="34"/>
  <c r="Q12441" i="34"/>
  <c r="Q12442" i="34"/>
  <c r="Q12443" i="34"/>
  <c r="Q12444" i="34"/>
  <c r="Q12445" i="34"/>
  <c r="Q12446" i="34"/>
  <c r="Q12447" i="34"/>
  <c r="Q12448" i="34"/>
  <c r="Q12449" i="34"/>
  <c r="Q12450" i="34"/>
  <c r="Q12451" i="34"/>
  <c r="Q12452" i="34"/>
  <c r="Q12453" i="34"/>
  <c r="Q12454" i="34"/>
  <c r="Q12455" i="34"/>
  <c r="Q12456" i="34"/>
  <c r="Q12457" i="34"/>
  <c r="Q12458" i="34"/>
  <c r="Q12459" i="34"/>
  <c r="Q12460" i="34"/>
  <c r="Q12461" i="34"/>
  <c r="Q12462" i="34"/>
  <c r="Q12463" i="34"/>
  <c r="Q12464" i="34"/>
  <c r="Q12465" i="34"/>
  <c r="Q12466" i="34"/>
  <c r="Q12467" i="34"/>
  <c r="Q12468" i="34"/>
  <c r="Q12469" i="34"/>
  <c r="Q12470" i="34"/>
  <c r="Q12471" i="34"/>
  <c r="Q12472" i="34"/>
  <c r="Q12473" i="34"/>
  <c r="Q12474" i="34"/>
  <c r="Q12475" i="34"/>
  <c r="Q12476" i="34"/>
  <c r="Q12477" i="34"/>
  <c r="Q12478" i="34"/>
  <c r="Q12479" i="34"/>
  <c r="Q12480" i="34"/>
  <c r="Q12481" i="34"/>
  <c r="Q12482" i="34"/>
  <c r="Q12483" i="34"/>
  <c r="Q12484" i="34"/>
  <c r="Q12485" i="34"/>
  <c r="Q12486" i="34"/>
  <c r="Q12487" i="34"/>
  <c r="Q12488" i="34"/>
  <c r="Q12489" i="34"/>
  <c r="Q12490" i="34"/>
  <c r="Q12491" i="34"/>
  <c r="Q12492" i="34"/>
  <c r="Q12493" i="34"/>
  <c r="Q12494" i="34"/>
  <c r="Q12495" i="34"/>
  <c r="Q12496" i="34"/>
  <c r="Q12497" i="34"/>
  <c r="Q12498" i="34"/>
  <c r="Q12499" i="34"/>
  <c r="Q12500" i="34"/>
  <c r="Q12501" i="34"/>
  <c r="Q12502" i="34"/>
  <c r="Q12503" i="34"/>
  <c r="Q12504" i="34"/>
  <c r="Q12505" i="34"/>
  <c r="Q12506" i="34"/>
  <c r="Q12507" i="34"/>
  <c r="Q12508" i="34"/>
  <c r="Q12509" i="34"/>
  <c r="Q12510" i="34"/>
  <c r="Q12511" i="34"/>
  <c r="Q12512" i="34"/>
  <c r="Q12513" i="34"/>
  <c r="Q12514" i="34"/>
  <c r="Q12515" i="34"/>
  <c r="Q12516" i="34"/>
  <c r="Q12517" i="34"/>
  <c r="Q12518" i="34"/>
  <c r="Q12519" i="34"/>
  <c r="Q12520" i="34"/>
  <c r="Q12521" i="34"/>
  <c r="Q12522" i="34"/>
  <c r="Q12523" i="34"/>
  <c r="Q12524" i="34"/>
  <c r="Q12525" i="34"/>
  <c r="Q12526" i="34"/>
  <c r="Q12527" i="34"/>
  <c r="Q12528" i="34"/>
  <c r="Q12529" i="34"/>
  <c r="Q12530" i="34"/>
  <c r="Q12531" i="34"/>
  <c r="Q12532" i="34"/>
  <c r="Q12533" i="34"/>
  <c r="Q12534" i="34"/>
  <c r="Q12535" i="34"/>
  <c r="Q12536" i="34"/>
  <c r="Q12537" i="34"/>
  <c r="Q12538" i="34"/>
  <c r="Q12539" i="34"/>
  <c r="Q12540" i="34"/>
  <c r="Q12541" i="34"/>
  <c r="Q12542" i="34"/>
  <c r="Q12543" i="34"/>
  <c r="Q12544" i="34"/>
  <c r="Q12545" i="34"/>
  <c r="Q12546" i="34"/>
  <c r="Q12547" i="34"/>
  <c r="Q12548" i="34"/>
  <c r="Q12549" i="34"/>
  <c r="Q12550" i="34"/>
  <c r="Q12551" i="34"/>
  <c r="Q12552" i="34"/>
  <c r="Q12553" i="34"/>
  <c r="Q12554" i="34"/>
  <c r="Q12555" i="34"/>
  <c r="Q12556" i="34"/>
  <c r="Q12557" i="34"/>
  <c r="Q12558" i="34"/>
  <c r="Q12559" i="34"/>
  <c r="Q12560" i="34"/>
  <c r="Q12561" i="34"/>
  <c r="Q12562" i="34"/>
  <c r="Q12563" i="34"/>
  <c r="Q12564" i="34"/>
  <c r="Q12565" i="34"/>
  <c r="Q12566" i="34"/>
  <c r="Q12567" i="34"/>
  <c r="Q12568" i="34"/>
  <c r="Q12569" i="34"/>
  <c r="Q12570" i="34"/>
  <c r="Q12571" i="34"/>
  <c r="Q12572" i="34"/>
  <c r="Q12573" i="34"/>
  <c r="Q12574" i="34"/>
  <c r="Q12575" i="34"/>
  <c r="Q12576" i="34"/>
  <c r="Q12577" i="34"/>
  <c r="Q12578" i="34"/>
  <c r="Q12579" i="34"/>
  <c r="Q12580" i="34"/>
  <c r="Q12581" i="34"/>
  <c r="Q12582" i="34"/>
  <c r="Q12583" i="34"/>
  <c r="Q12584" i="34"/>
  <c r="Q12585" i="34"/>
  <c r="Q12586" i="34"/>
  <c r="Q12587" i="34"/>
  <c r="Q12588" i="34"/>
  <c r="Q12589" i="34"/>
  <c r="Q12590" i="34"/>
  <c r="Q12591" i="34"/>
  <c r="Q12592" i="34"/>
  <c r="Q12593" i="34"/>
  <c r="Q12594" i="34"/>
  <c r="Q12595" i="34"/>
  <c r="Q12596" i="34"/>
  <c r="Q12597" i="34"/>
  <c r="Q12598" i="34"/>
  <c r="Q12599" i="34"/>
  <c r="Q12600" i="34"/>
  <c r="Q12601" i="34"/>
  <c r="Q12602" i="34"/>
  <c r="Q12603" i="34"/>
  <c r="Q12604" i="34"/>
  <c r="Q12605" i="34"/>
  <c r="Q12606" i="34"/>
  <c r="Q12607" i="34"/>
  <c r="Q12608" i="34"/>
  <c r="Q12609" i="34"/>
  <c r="Q12610" i="34"/>
  <c r="Q12611" i="34"/>
  <c r="Q12612" i="34"/>
  <c r="Q12613" i="34"/>
  <c r="Q12614" i="34"/>
  <c r="Q12615" i="34"/>
  <c r="Q12616" i="34"/>
  <c r="Q12617" i="34"/>
  <c r="Q12618" i="34"/>
  <c r="Q12619" i="34"/>
  <c r="Q12620" i="34"/>
  <c r="Q12621" i="34"/>
  <c r="Q12622" i="34"/>
  <c r="Q12623" i="34"/>
  <c r="Q12624" i="34"/>
  <c r="Q12625" i="34"/>
  <c r="Q12626" i="34"/>
  <c r="Q12627" i="34"/>
  <c r="Q12628" i="34"/>
  <c r="Q12629" i="34"/>
  <c r="Q12630" i="34"/>
  <c r="Q12631" i="34"/>
  <c r="Q12632" i="34"/>
  <c r="Q12633" i="34"/>
  <c r="Q12634" i="34"/>
  <c r="Q12635" i="34"/>
  <c r="Q12636" i="34"/>
  <c r="Q12637" i="34"/>
  <c r="Q12638" i="34"/>
  <c r="Q12639" i="34"/>
  <c r="Q12640" i="34"/>
  <c r="Q12641" i="34"/>
  <c r="Q12642" i="34"/>
  <c r="Q12643" i="34"/>
  <c r="Q12644" i="34"/>
  <c r="Q12645" i="34"/>
  <c r="Q12646" i="34"/>
  <c r="Q12647" i="34"/>
  <c r="Q12648" i="34"/>
  <c r="Q12649" i="34"/>
  <c r="Q12650" i="34"/>
  <c r="Q12651" i="34"/>
  <c r="Q12652" i="34"/>
  <c r="Q12653" i="34"/>
  <c r="Q12654" i="34"/>
  <c r="Q12655" i="34"/>
  <c r="Q12656" i="34"/>
  <c r="Q12657" i="34"/>
  <c r="Q12658" i="34"/>
  <c r="Q12659" i="34"/>
  <c r="Q12660" i="34"/>
  <c r="Q12661" i="34"/>
  <c r="Q12662" i="34"/>
  <c r="Q12663" i="34"/>
  <c r="Q12664" i="34"/>
  <c r="Q12665" i="34"/>
  <c r="Q12666" i="34"/>
  <c r="Q12667" i="34"/>
  <c r="Q12668" i="34"/>
  <c r="Q12669" i="34"/>
  <c r="Q12670" i="34"/>
  <c r="Q12671" i="34"/>
  <c r="Q12672" i="34"/>
  <c r="Q12673" i="34"/>
  <c r="Q12674" i="34"/>
  <c r="Q12675" i="34"/>
  <c r="Q12676" i="34"/>
  <c r="Q12677" i="34"/>
  <c r="Q12678" i="34"/>
  <c r="Q12679" i="34"/>
  <c r="Q12680" i="34"/>
  <c r="Q12681" i="34"/>
  <c r="Q12682" i="34"/>
  <c r="Q12683" i="34"/>
  <c r="Q12684" i="34"/>
  <c r="Q12685" i="34"/>
  <c r="Q12686" i="34"/>
  <c r="Q12687" i="34"/>
  <c r="Q12688" i="34"/>
  <c r="Q12689" i="34"/>
  <c r="Q12690" i="34"/>
  <c r="Q12691" i="34"/>
  <c r="Q12692" i="34"/>
  <c r="Q12693" i="34"/>
  <c r="Q12694" i="34"/>
  <c r="Q12695" i="34"/>
  <c r="Q12696" i="34"/>
  <c r="Q12697" i="34"/>
  <c r="Q12698" i="34"/>
  <c r="Q12699" i="34"/>
  <c r="Q12700" i="34"/>
  <c r="Q12701" i="34"/>
  <c r="Q12702" i="34"/>
  <c r="Q12703" i="34"/>
  <c r="Q12704" i="34"/>
  <c r="Q12705" i="34"/>
  <c r="Q12706" i="34"/>
  <c r="Q12707" i="34"/>
  <c r="Q12708" i="34"/>
  <c r="Q12709" i="34"/>
  <c r="Q12710" i="34"/>
  <c r="Q12711" i="34"/>
  <c r="Q12712" i="34"/>
  <c r="Q12713" i="34"/>
  <c r="Q12714" i="34"/>
  <c r="Q12715" i="34"/>
  <c r="Q12716" i="34"/>
  <c r="Q12717" i="34"/>
  <c r="Q12718" i="34"/>
  <c r="Q12719" i="34"/>
  <c r="Q12720" i="34"/>
  <c r="Q12721" i="34"/>
  <c r="Q12722" i="34"/>
  <c r="Q12723" i="34"/>
  <c r="Q12724" i="34"/>
  <c r="Q12725" i="34"/>
  <c r="Q12726" i="34"/>
  <c r="Q12727" i="34"/>
  <c r="Q12728" i="34"/>
  <c r="Q12729" i="34"/>
  <c r="Q12730" i="34"/>
  <c r="Q12731" i="34"/>
  <c r="Q12732" i="34"/>
  <c r="Q12733" i="34"/>
  <c r="Q12734" i="34"/>
  <c r="Q12735" i="34"/>
  <c r="Q12736" i="34"/>
  <c r="Q12737" i="34"/>
  <c r="Q12738" i="34"/>
  <c r="Q12739" i="34"/>
  <c r="Q12740" i="34"/>
  <c r="Q12741" i="34"/>
  <c r="Q12742" i="34"/>
  <c r="Q12743" i="34"/>
  <c r="Q12744" i="34"/>
  <c r="Q12745" i="34"/>
  <c r="Q12746" i="34"/>
  <c r="Q12747" i="34"/>
  <c r="Q12748" i="34"/>
  <c r="Q12749" i="34"/>
  <c r="Q12750" i="34"/>
  <c r="Q12751" i="34"/>
  <c r="Q12752" i="34"/>
  <c r="Q12753" i="34"/>
  <c r="Q12754" i="34"/>
  <c r="Q12755" i="34"/>
  <c r="Q12756" i="34"/>
  <c r="Q12757" i="34"/>
  <c r="Q12758" i="34"/>
  <c r="Q12759" i="34"/>
  <c r="Q12760" i="34"/>
  <c r="Q12761" i="34"/>
  <c r="Q12762" i="34"/>
  <c r="Q12763" i="34"/>
  <c r="Q12764" i="34"/>
  <c r="Q12765" i="34"/>
  <c r="Q12766" i="34"/>
  <c r="Q12767" i="34"/>
  <c r="Q12768" i="34"/>
  <c r="Q12769" i="34"/>
  <c r="Q12770" i="34"/>
  <c r="Q12771" i="34"/>
  <c r="Q12772" i="34"/>
  <c r="Q12773" i="34"/>
  <c r="Q12774" i="34"/>
  <c r="Q12775" i="34"/>
  <c r="Q12776" i="34"/>
  <c r="Q12777" i="34"/>
  <c r="Q12778" i="34"/>
  <c r="Q12779" i="34"/>
  <c r="Q12780" i="34"/>
  <c r="Q12781" i="34"/>
  <c r="Q12782" i="34"/>
  <c r="Q12783" i="34"/>
  <c r="Q12784" i="34"/>
  <c r="Q12785" i="34"/>
  <c r="Q12786" i="34"/>
  <c r="Q12787" i="34"/>
  <c r="Q12788" i="34"/>
  <c r="Q12789" i="34"/>
  <c r="Q12790" i="34"/>
  <c r="Q12791" i="34"/>
  <c r="Q12792" i="34"/>
  <c r="Q12793" i="34"/>
  <c r="Q12794" i="34"/>
  <c r="Q12795" i="34"/>
  <c r="Q12796" i="34"/>
  <c r="Q12797" i="34"/>
  <c r="Q12798" i="34"/>
  <c r="Q12799" i="34"/>
  <c r="Q12800" i="34"/>
  <c r="Q12801" i="34"/>
  <c r="Q12802" i="34"/>
  <c r="Q12803" i="34"/>
  <c r="Q12804" i="34"/>
  <c r="Q12805" i="34"/>
  <c r="Q12806" i="34"/>
  <c r="Q12807" i="34"/>
  <c r="Q12808" i="34"/>
  <c r="Q12809" i="34"/>
  <c r="Q12810" i="34"/>
  <c r="Q12811" i="34"/>
  <c r="Q12812" i="34"/>
  <c r="Q12813" i="34"/>
  <c r="Q12814" i="34"/>
  <c r="Q12815" i="34"/>
  <c r="Q12816" i="34"/>
  <c r="Q12817" i="34"/>
  <c r="Q12818" i="34"/>
  <c r="Q12819" i="34"/>
  <c r="Q12820" i="34"/>
  <c r="Q12821" i="34"/>
  <c r="Q12822" i="34"/>
  <c r="Q12823" i="34"/>
  <c r="Q12824" i="34"/>
  <c r="Q12825" i="34"/>
  <c r="Q12826" i="34"/>
  <c r="Q12827" i="34"/>
  <c r="Q12828" i="34"/>
  <c r="Q12829" i="34"/>
  <c r="Q12830" i="34"/>
  <c r="Q12831" i="34"/>
  <c r="Q12832" i="34"/>
  <c r="Q12833" i="34"/>
  <c r="Q12834" i="34"/>
  <c r="Q12835" i="34"/>
  <c r="Q12836" i="34"/>
  <c r="Q12837" i="34"/>
  <c r="Q12838" i="34"/>
  <c r="Q12839" i="34"/>
  <c r="Q12840" i="34"/>
  <c r="Q12841" i="34"/>
  <c r="Q12842" i="34"/>
  <c r="Q12843" i="34"/>
  <c r="Q12844" i="34"/>
  <c r="Q12845" i="34"/>
  <c r="Q12846" i="34"/>
  <c r="Q12847" i="34"/>
  <c r="Q12848" i="34"/>
  <c r="Q12849" i="34"/>
  <c r="Q12850" i="34"/>
  <c r="Q12851" i="34"/>
  <c r="Q12852" i="34"/>
  <c r="Q12853" i="34"/>
  <c r="Q12854" i="34"/>
  <c r="Q12855" i="34"/>
  <c r="Q12856" i="34"/>
  <c r="Q12857" i="34"/>
  <c r="Q12858" i="34"/>
  <c r="Q12859" i="34"/>
  <c r="Q12860" i="34"/>
  <c r="Q12861" i="34"/>
  <c r="Q12862" i="34"/>
  <c r="Q12863" i="34"/>
  <c r="Q12864" i="34"/>
  <c r="Q12865" i="34"/>
  <c r="Q12866" i="34"/>
  <c r="Q12867" i="34"/>
  <c r="Q12868" i="34"/>
  <c r="Q12869" i="34"/>
  <c r="Q12870" i="34"/>
  <c r="Q12871" i="34"/>
  <c r="Q12872" i="34"/>
  <c r="Q12873" i="34"/>
  <c r="Q12874" i="34"/>
  <c r="Q12875" i="34"/>
  <c r="Q12876" i="34"/>
  <c r="Q12877" i="34"/>
  <c r="Q12878" i="34"/>
  <c r="Q12879" i="34"/>
  <c r="Q12880" i="34"/>
  <c r="Q12881" i="34"/>
  <c r="Q12882" i="34"/>
  <c r="Q12883" i="34"/>
  <c r="Q12884" i="34"/>
  <c r="Q12885" i="34"/>
  <c r="Q12886" i="34"/>
  <c r="Q12887" i="34"/>
  <c r="Q12888" i="34"/>
  <c r="Q12889" i="34"/>
  <c r="Q12890" i="34"/>
  <c r="Q12891" i="34"/>
  <c r="Q12892" i="34"/>
  <c r="Q12893" i="34"/>
  <c r="Q12894" i="34"/>
  <c r="Q12895" i="34"/>
  <c r="Q12896" i="34"/>
  <c r="Q12897" i="34"/>
  <c r="Q12898" i="34"/>
  <c r="Q12899" i="34"/>
  <c r="Q12900" i="34"/>
  <c r="Q12901" i="34"/>
  <c r="Q12902" i="34"/>
  <c r="Q12903" i="34"/>
  <c r="Q12904" i="34"/>
  <c r="Q12905" i="34"/>
  <c r="Q12906" i="34"/>
  <c r="Q12907" i="34"/>
  <c r="Q12908" i="34"/>
  <c r="Q12909" i="34"/>
  <c r="Q12910" i="34"/>
  <c r="Q12911" i="34"/>
  <c r="Q12912" i="34"/>
  <c r="Q12913" i="34"/>
  <c r="Q12914" i="34"/>
  <c r="Q12915" i="34"/>
  <c r="Q12916" i="34"/>
  <c r="Q12917" i="34"/>
  <c r="Q12918" i="34"/>
  <c r="Q12919" i="34"/>
  <c r="Q12920" i="34"/>
  <c r="Q12921" i="34"/>
  <c r="Q12922" i="34"/>
  <c r="Q12923" i="34"/>
  <c r="Q12924" i="34"/>
  <c r="Q12925" i="34"/>
  <c r="Q12926" i="34"/>
  <c r="Q12927" i="34"/>
  <c r="Q12928" i="34"/>
  <c r="Q12929" i="34"/>
  <c r="Q12930" i="34"/>
  <c r="Q12931" i="34"/>
  <c r="Q12932" i="34"/>
  <c r="Q12933" i="34"/>
  <c r="Q12934" i="34"/>
  <c r="Q12935" i="34"/>
  <c r="Q12936" i="34"/>
  <c r="Q12937" i="34"/>
  <c r="Q12938" i="34"/>
  <c r="Q12939" i="34"/>
  <c r="Q12940" i="34"/>
  <c r="Q12941" i="34"/>
  <c r="Q12942" i="34"/>
  <c r="Q12943" i="34"/>
  <c r="Q12944" i="34"/>
  <c r="Q12945" i="34"/>
  <c r="Q12946" i="34"/>
  <c r="Q12947" i="34"/>
  <c r="Q12948" i="34"/>
  <c r="Q12949" i="34"/>
  <c r="Q12950" i="34"/>
  <c r="Q12951" i="34"/>
  <c r="Q12952" i="34"/>
  <c r="Q12953" i="34"/>
  <c r="Q12954" i="34"/>
  <c r="Q12955" i="34"/>
  <c r="Q12956" i="34"/>
  <c r="Q12957" i="34"/>
  <c r="Q12958" i="34"/>
  <c r="Q12959" i="34"/>
  <c r="Q12960" i="34"/>
  <c r="Q12961" i="34"/>
  <c r="Q12962" i="34"/>
  <c r="Q12963" i="34"/>
  <c r="Q12964" i="34"/>
  <c r="Q12965" i="34"/>
  <c r="Q12966" i="34"/>
  <c r="Q12967" i="34"/>
  <c r="Q12968" i="34"/>
  <c r="Q12969" i="34"/>
  <c r="Q12970" i="34"/>
  <c r="Q12971" i="34"/>
  <c r="Q12972" i="34"/>
  <c r="Q12973" i="34"/>
  <c r="Q12974" i="34"/>
  <c r="Q12975" i="34"/>
  <c r="Q12976" i="34"/>
  <c r="Q12977" i="34"/>
  <c r="Q12978" i="34"/>
  <c r="Q12979" i="34"/>
  <c r="Q12980" i="34"/>
  <c r="Q12981" i="34"/>
  <c r="Q12982" i="34"/>
  <c r="Q12983" i="34"/>
  <c r="Q12984" i="34"/>
  <c r="Q12985" i="34"/>
  <c r="Q12986" i="34"/>
  <c r="Q12987" i="34"/>
  <c r="Q12988" i="34"/>
  <c r="Q12989" i="34"/>
  <c r="Q12990" i="34"/>
  <c r="Q12991" i="34"/>
  <c r="Q12992" i="34"/>
  <c r="Q12993" i="34"/>
  <c r="Q12994" i="34"/>
  <c r="Q12995" i="34"/>
  <c r="Q12996" i="34"/>
  <c r="Q12997" i="34"/>
  <c r="Q12998" i="34"/>
  <c r="Q12999" i="34"/>
  <c r="Q13000" i="34"/>
  <c r="Q13001" i="34"/>
  <c r="Q13002" i="34"/>
  <c r="Q13003" i="34"/>
  <c r="Q13004" i="34"/>
  <c r="Q13005" i="34"/>
  <c r="Q13006" i="34"/>
  <c r="Q13007" i="34"/>
  <c r="Q13008" i="34"/>
  <c r="Q13009" i="34"/>
  <c r="Q13010" i="34"/>
  <c r="Q13011" i="34"/>
  <c r="Q13012" i="34"/>
  <c r="Q13013" i="34"/>
  <c r="Q13014" i="34"/>
  <c r="Q13015" i="34"/>
  <c r="Q13016" i="34"/>
  <c r="Q13017" i="34"/>
  <c r="Q13018" i="34"/>
  <c r="Q13019" i="34"/>
  <c r="Q13020" i="34"/>
  <c r="Q13021" i="34"/>
  <c r="Q13022" i="34"/>
  <c r="Q13023" i="34"/>
  <c r="Q13024" i="34"/>
  <c r="Q13025" i="34"/>
  <c r="Q13026" i="34"/>
  <c r="Q13027" i="34"/>
  <c r="Q13028" i="34"/>
  <c r="Q13029" i="34"/>
  <c r="Q13030" i="34"/>
  <c r="Q13031" i="34"/>
  <c r="Q13032" i="34"/>
  <c r="Q13033" i="34"/>
  <c r="Q13034" i="34"/>
  <c r="Q13035" i="34"/>
  <c r="Q13036" i="34"/>
  <c r="Q13037" i="34"/>
  <c r="Q13038" i="34"/>
  <c r="Q13039" i="34"/>
  <c r="Q13040" i="34"/>
  <c r="Q13041" i="34"/>
  <c r="Q13042" i="34"/>
  <c r="Q13043" i="34"/>
  <c r="Q13044" i="34"/>
  <c r="Q13045" i="34"/>
  <c r="Q13046" i="34"/>
  <c r="Q13047" i="34"/>
  <c r="Q13048" i="34"/>
  <c r="Q13049" i="34"/>
  <c r="Q13050" i="34"/>
  <c r="Q13051" i="34"/>
  <c r="Q13052" i="34"/>
  <c r="Q13053" i="34"/>
  <c r="Q13054" i="34"/>
  <c r="Q13055" i="34"/>
  <c r="Q13056" i="34"/>
  <c r="Q13057" i="34"/>
  <c r="Q13058" i="34"/>
  <c r="Q13059" i="34"/>
  <c r="Q13060" i="34"/>
  <c r="Q13061" i="34"/>
  <c r="Q13062" i="34"/>
  <c r="Q13063" i="34"/>
  <c r="Q13064" i="34"/>
  <c r="Q13065" i="34"/>
  <c r="Q13066" i="34"/>
  <c r="Q13067" i="34"/>
  <c r="Q13068" i="34"/>
  <c r="Q13069" i="34"/>
  <c r="Q13070" i="34"/>
  <c r="Q13071" i="34"/>
  <c r="Q13072" i="34"/>
  <c r="Q13073" i="34"/>
  <c r="Q13074" i="34"/>
  <c r="Q13075" i="34"/>
  <c r="Q13076" i="34"/>
  <c r="Q13077" i="34"/>
  <c r="Q13078" i="34"/>
  <c r="Q13079" i="34"/>
  <c r="Q13080" i="34"/>
  <c r="Q13081" i="34"/>
  <c r="Q13082" i="34"/>
  <c r="Q13083" i="34"/>
  <c r="Q13084" i="34"/>
  <c r="Q13085" i="34"/>
  <c r="Q13086" i="34"/>
  <c r="Q13087" i="34"/>
  <c r="Q13088" i="34"/>
  <c r="Q13089" i="34"/>
  <c r="Q13090" i="34"/>
  <c r="Q13091" i="34"/>
  <c r="Q13092" i="34"/>
  <c r="Q13093" i="34"/>
  <c r="Q13094" i="34"/>
  <c r="Q13095" i="34"/>
  <c r="Q13096" i="34"/>
  <c r="Q13097" i="34"/>
  <c r="Q13098" i="34"/>
  <c r="Q13099" i="34"/>
  <c r="Q13100" i="34"/>
  <c r="Q13101" i="34"/>
  <c r="Q13102" i="34"/>
  <c r="Q13103" i="34"/>
  <c r="Q13104" i="34"/>
  <c r="Q13105" i="34"/>
  <c r="Q13106" i="34"/>
  <c r="Q13107" i="34"/>
  <c r="Q13108" i="34"/>
  <c r="Q13109" i="34"/>
  <c r="Q13110" i="34"/>
  <c r="Q13111" i="34"/>
  <c r="Q13112" i="34"/>
  <c r="Q13113" i="34"/>
  <c r="Q13114" i="34"/>
  <c r="Q13115" i="34"/>
  <c r="Q13116" i="34"/>
  <c r="Q13117" i="34"/>
  <c r="Q13118" i="34"/>
  <c r="Q13119" i="34"/>
  <c r="Q13120" i="34"/>
  <c r="Q13121" i="34"/>
  <c r="Q13122" i="34"/>
  <c r="Q13123" i="34"/>
  <c r="Q13124" i="34"/>
  <c r="Q13125" i="34"/>
  <c r="Q13126" i="34"/>
  <c r="Q13127" i="34"/>
  <c r="Q13128" i="34"/>
  <c r="Q13129" i="34"/>
  <c r="Q13130" i="34"/>
  <c r="Q13131" i="34"/>
  <c r="Q13132" i="34"/>
  <c r="Q13133" i="34"/>
  <c r="Q13134" i="34"/>
  <c r="Q13135" i="34"/>
  <c r="Q13136" i="34"/>
  <c r="Q13137" i="34"/>
  <c r="Q13138" i="34"/>
  <c r="Q13139" i="34"/>
  <c r="Q13140" i="34"/>
  <c r="Q13141" i="34"/>
  <c r="Q13142" i="34"/>
  <c r="Q13143" i="34"/>
  <c r="Q13144" i="34"/>
  <c r="Q13145" i="34"/>
  <c r="Q13146" i="34"/>
  <c r="Q13147" i="34"/>
  <c r="Q13148" i="34"/>
  <c r="Q13149" i="34"/>
  <c r="Q13150" i="34"/>
  <c r="Q13151" i="34"/>
  <c r="Q13152" i="34"/>
  <c r="Q13153" i="34"/>
  <c r="Q13154" i="34"/>
  <c r="Q13155" i="34"/>
  <c r="Q13156" i="34"/>
  <c r="Q13157" i="34"/>
  <c r="Q13158" i="34"/>
  <c r="Q13159" i="34"/>
  <c r="Q13160" i="34"/>
  <c r="Q13161" i="34"/>
  <c r="Q13162" i="34"/>
  <c r="Q13163" i="34"/>
  <c r="Q13164" i="34"/>
  <c r="Q13165" i="34"/>
  <c r="Q13166" i="34"/>
  <c r="Q13167" i="34"/>
  <c r="Q13168" i="34"/>
  <c r="Q13169" i="34"/>
  <c r="Q13170" i="34"/>
  <c r="Q13171" i="34"/>
  <c r="Q13172" i="34"/>
  <c r="Q13173" i="34"/>
  <c r="Q13174" i="34"/>
  <c r="Q13175" i="34"/>
  <c r="Q13176" i="34"/>
  <c r="Q13177" i="34"/>
  <c r="Q13178" i="34"/>
  <c r="Q13179" i="34"/>
  <c r="Q13180" i="34"/>
  <c r="Q13181" i="34"/>
  <c r="Q13182" i="34"/>
  <c r="Q13183" i="34"/>
  <c r="Q13184" i="34"/>
  <c r="Q13185" i="34"/>
  <c r="Q13186" i="34"/>
  <c r="Q13187" i="34"/>
  <c r="Q13188" i="34"/>
  <c r="Q13189" i="34"/>
  <c r="Q13190" i="34"/>
  <c r="Q13191" i="34"/>
  <c r="Q13192" i="34"/>
  <c r="Q13193" i="34"/>
  <c r="Q13194" i="34"/>
  <c r="Q13195" i="34"/>
  <c r="Q13196" i="34"/>
  <c r="Q13197" i="34"/>
  <c r="Q13198" i="34"/>
  <c r="Q13199" i="34"/>
  <c r="Q13200" i="34"/>
  <c r="Q13201" i="34"/>
  <c r="Q13202" i="34"/>
  <c r="Q13203" i="34"/>
  <c r="Q13204" i="34"/>
  <c r="Q13205" i="34"/>
  <c r="Q13206" i="34"/>
  <c r="Q13207" i="34"/>
  <c r="Q13208" i="34"/>
  <c r="Q13209" i="34"/>
  <c r="Q13210" i="34"/>
  <c r="Q13211" i="34"/>
  <c r="Q13212" i="34"/>
  <c r="Q13213" i="34"/>
  <c r="Q13214" i="34"/>
  <c r="Q13215" i="34"/>
  <c r="Q13216" i="34"/>
  <c r="Q13217" i="34"/>
  <c r="Q13218" i="34"/>
  <c r="Q13219" i="34"/>
  <c r="Q13220" i="34"/>
  <c r="Q13221" i="34"/>
  <c r="Q13222" i="34"/>
  <c r="Q13223" i="34"/>
  <c r="Q13224" i="34"/>
  <c r="Q13225" i="34"/>
  <c r="Q13226" i="34"/>
  <c r="Q13227" i="34"/>
  <c r="Q13228" i="34"/>
  <c r="Q13229" i="34"/>
  <c r="Q13230" i="34"/>
  <c r="Q13231" i="34"/>
  <c r="Q13232" i="34"/>
  <c r="Q13233" i="34"/>
  <c r="Q13234" i="34"/>
  <c r="Q13235" i="34"/>
  <c r="Q13236" i="34"/>
  <c r="Q13237" i="34"/>
  <c r="Q13238" i="34"/>
  <c r="Q13239" i="34"/>
  <c r="Q13240" i="34"/>
  <c r="Q13241" i="34"/>
  <c r="Q13242" i="34"/>
  <c r="Q13243" i="34"/>
  <c r="Q13244" i="34"/>
  <c r="Q13245" i="34"/>
  <c r="Q13246" i="34"/>
  <c r="Q13247" i="34"/>
  <c r="Q13248" i="34"/>
  <c r="Q13249" i="34"/>
  <c r="Q13250" i="34"/>
  <c r="Q13251" i="34"/>
  <c r="Q13252" i="34"/>
  <c r="Q13253" i="34"/>
  <c r="Q13254" i="34"/>
  <c r="Q13255" i="34"/>
  <c r="Q13256" i="34"/>
  <c r="Q13257" i="34"/>
  <c r="Q13258" i="34"/>
  <c r="Q13259" i="34"/>
  <c r="Q13260" i="34"/>
  <c r="Q13261" i="34"/>
  <c r="Q13262" i="34"/>
  <c r="Q13263" i="34"/>
  <c r="Q13264" i="34"/>
  <c r="Q13265" i="34"/>
  <c r="Q13266" i="34"/>
  <c r="Q13267" i="34"/>
  <c r="Q13268" i="34"/>
  <c r="Q13269" i="34"/>
  <c r="Q13270" i="34"/>
  <c r="Q13271" i="34"/>
  <c r="Q13272" i="34"/>
  <c r="Q13273" i="34"/>
  <c r="Q13274" i="34"/>
  <c r="Q13275" i="34"/>
  <c r="Q13276" i="34"/>
  <c r="Q13277" i="34"/>
  <c r="Q13278" i="34"/>
  <c r="Q13279" i="34"/>
  <c r="Q13280" i="34"/>
  <c r="Q13281" i="34"/>
  <c r="Q13282" i="34"/>
  <c r="Q13283" i="34"/>
  <c r="Q13284" i="34"/>
  <c r="Q13285" i="34"/>
  <c r="Q13286" i="34"/>
  <c r="Q13287" i="34"/>
  <c r="Q13288" i="34"/>
  <c r="Q13289" i="34"/>
  <c r="Q13290" i="34"/>
  <c r="Q13291" i="34"/>
  <c r="Q13292" i="34"/>
  <c r="Q13293" i="34"/>
  <c r="Q13294" i="34"/>
  <c r="Q13295" i="34"/>
  <c r="Q13296" i="34"/>
  <c r="Q13297" i="34"/>
  <c r="Q13298" i="34"/>
  <c r="Q13299" i="34"/>
  <c r="Q13300" i="34"/>
  <c r="Q13301" i="34"/>
  <c r="Q13302" i="34"/>
  <c r="Q13303" i="34"/>
  <c r="Q13304" i="34"/>
  <c r="Q13305" i="34"/>
  <c r="Q13306" i="34"/>
  <c r="Q13307" i="34"/>
  <c r="Q13308" i="34"/>
  <c r="Q13309" i="34"/>
  <c r="Q13310" i="34"/>
  <c r="Q13311" i="34"/>
  <c r="Q13312" i="34"/>
  <c r="Q13313" i="34"/>
  <c r="Q13314" i="34"/>
  <c r="Q13315" i="34"/>
  <c r="Q13316" i="34"/>
  <c r="Q13317" i="34"/>
  <c r="Q13318" i="34"/>
  <c r="Q13319" i="34"/>
  <c r="Q13320" i="34"/>
  <c r="Q13321" i="34"/>
  <c r="Q13322" i="34"/>
  <c r="Q13323" i="34"/>
  <c r="Q13324" i="34"/>
  <c r="Q13325" i="34"/>
  <c r="Q13326" i="34"/>
  <c r="Q13327" i="34"/>
  <c r="Q13328" i="34"/>
  <c r="Q13329" i="34"/>
  <c r="Q13330" i="34"/>
  <c r="Q13331" i="34"/>
  <c r="Q13332" i="34"/>
  <c r="Q13333" i="34"/>
  <c r="Q13334" i="34"/>
  <c r="Q13335" i="34"/>
  <c r="Q13336" i="34"/>
  <c r="Q13337" i="34"/>
  <c r="Q13338" i="34"/>
  <c r="Q13339" i="34"/>
  <c r="Q13340" i="34"/>
  <c r="Q13341" i="34"/>
  <c r="Q13342" i="34"/>
  <c r="Q13343" i="34"/>
  <c r="Q13344" i="34"/>
  <c r="Q13345" i="34"/>
  <c r="Q13346" i="34"/>
  <c r="Q13347" i="34"/>
  <c r="Q13348" i="34"/>
  <c r="Q13349" i="34"/>
  <c r="Q13350" i="34"/>
  <c r="Q13351" i="34"/>
  <c r="Q13352" i="34"/>
  <c r="Q13353" i="34"/>
  <c r="Q13354" i="34"/>
  <c r="Q13355" i="34"/>
  <c r="Q13356" i="34"/>
  <c r="Q13357" i="34"/>
  <c r="Q13358" i="34"/>
  <c r="Q13359" i="34"/>
  <c r="Q13360" i="34"/>
  <c r="Q13361" i="34"/>
  <c r="Q13362" i="34"/>
  <c r="Q13363" i="34"/>
  <c r="Q13364" i="34"/>
  <c r="Q13365" i="34"/>
  <c r="Q13366" i="34"/>
  <c r="Q13367" i="34"/>
  <c r="Q13368" i="34"/>
  <c r="Q13369" i="34"/>
  <c r="Q13370" i="34"/>
  <c r="Q13371" i="34"/>
  <c r="Q13372" i="34"/>
  <c r="Q13373" i="34"/>
  <c r="Q13374" i="34"/>
  <c r="Q13375" i="34"/>
  <c r="Q13376" i="34"/>
  <c r="Q13377" i="34"/>
  <c r="Q13378" i="34"/>
  <c r="Q13379" i="34"/>
  <c r="Q13380" i="34"/>
  <c r="Q13381" i="34"/>
  <c r="Q13382" i="34"/>
  <c r="Q13383" i="34"/>
  <c r="Q13384" i="34"/>
  <c r="Q13385" i="34"/>
  <c r="Q13386" i="34"/>
  <c r="Q13387" i="34"/>
  <c r="Q13388" i="34"/>
  <c r="Q13389" i="34"/>
  <c r="Q13390" i="34"/>
  <c r="Q13391" i="34"/>
  <c r="Q13392" i="34"/>
  <c r="Q13393" i="34"/>
  <c r="Q13394" i="34"/>
  <c r="Q13395" i="34"/>
  <c r="Q13396" i="34"/>
  <c r="Q13397" i="34"/>
  <c r="Q13398" i="34"/>
  <c r="Q13399" i="34"/>
  <c r="Q13400" i="34"/>
  <c r="Q13401" i="34"/>
  <c r="Q13402" i="34"/>
  <c r="Q13403" i="34"/>
  <c r="Q13404" i="34"/>
  <c r="Q13405" i="34"/>
  <c r="Q13406" i="34"/>
  <c r="Q13407" i="34"/>
  <c r="Q13408" i="34"/>
  <c r="Q13409" i="34"/>
  <c r="Q13410" i="34"/>
  <c r="Q13411" i="34"/>
  <c r="Q13412" i="34"/>
  <c r="Q13413" i="34"/>
  <c r="Q13414" i="34"/>
  <c r="Q13415" i="34"/>
  <c r="Q13416" i="34"/>
  <c r="Q13417" i="34"/>
  <c r="Q13418" i="34"/>
  <c r="Q13419" i="34"/>
  <c r="Q13420" i="34"/>
  <c r="Q13421" i="34"/>
  <c r="Q13422" i="34"/>
  <c r="Q13423" i="34"/>
  <c r="Q13424" i="34"/>
  <c r="Q13425" i="34"/>
  <c r="Q13426" i="34"/>
  <c r="Q13427" i="34"/>
  <c r="Q13428" i="34"/>
  <c r="Q13429" i="34"/>
  <c r="Q13430" i="34"/>
  <c r="Q13431" i="34"/>
  <c r="Q13432" i="34"/>
  <c r="Q13433" i="34"/>
  <c r="Q13434" i="34"/>
  <c r="Q13435" i="34"/>
  <c r="Q13436" i="34"/>
  <c r="Q13437" i="34"/>
  <c r="Q13438" i="34"/>
  <c r="Q13439" i="34"/>
  <c r="Q13440" i="34"/>
  <c r="Q13441" i="34"/>
  <c r="Q13442" i="34"/>
  <c r="Q13443" i="34"/>
  <c r="Q13444" i="34"/>
  <c r="Q13445" i="34"/>
  <c r="Q13446" i="34"/>
  <c r="Q13447" i="34"/>
  <c r="Q13448" i="34"/>
  <c r="Q13449" i="34"/>
  <c r="Q13450" i="34"/>
  <c r="Q13451" i="34"/>
  <c r="Q13452" i="34"/>
  <c r="Q13453" i="34"/>
  <c r="Q13454" i="34"/>
  <c r="Q13455" i="34"/>
  <c r="Q13456" i="34"/>
  <c r="Q13457" i="34"/>
  <c r="Q13458" i="34"/>
  <c r="Q13459" i="34"/>
  <c r="Q13460" i="34"/>
  <c r="Q13461" i="34"/>
  <c r="Q13462" i="34"/>
  <c r="Q13463" i="34"/>
  <c r="Q13464" i="34"/>
  <c r="Q13465" i="34"/>
  <c r="Q13466" i="34"/>
  <c r="Q13467" i="34"/>
  <c r="Q13468" i="34"/>
  <c r="Q13469" i="34"/>
  <c r="Q13470" i="34"/>
  <c r="Q13471" i="34"/>
  <c r="Q13472" i="34"/>
  <c r="Q13473" i="34"/>
  <c r="Q13474" i="34"/>
  <c r="Q13475" i="34"/>
  <c r="Q13476" i="34"/>
  <c r="Q13477" i="34"/>
  <c r="Q13478" i="34"/>
  <c r="Q13479" i="34"/>
  <c r="Q13480" i="34"/>
  <c r="Q13481" i="34"/>
  <c r="Q13482" i="34"/>
  <c r="Q13483" i="34"/>
  <c r="Q13484" i="34"/>
  <c r="Q13485" i="34"/>
  <c r="Q13486" i="34"/>
  <c r="Q13487" i="34"/>
  <c r="Q13488" i="34"/>
  <c r="Q13489" i="34"/>
  <c r="Q13490" i="34"/>
  <c r="Q13491" i="34"/>
  <c r="Q13492" i="34"/>
  <c r="Q13493" i="34"/>
  <c r="Q13494" i="34"/>
  <c r="Q13495" i="34"/>
  <c r="Q13496" i="34"/>
  <c r="Q13497" i="34"/>
  <c r="Q13498" i="34"/>
  <c r="Q13499" i="34"/>
  <c r="Q13500" i="34"/>
  <c r="Q13501" i="34"/>
  <c r="Q13502" i="34"/>
  <c r="Q13503" i="34"/>
  <c r="Q13504" i="34"/>
  <c r="Q13505" i="34"/>
  <c r="Q13506" i="34"/>
  <c r="Q13507" i="34"/>
  <c r="Q13508" i="34"/>
  <c r="Q13509" i="34"/>
  <c r="Q13510" i="34"/>
  <c r="Q13511" i="34"/>
  <c r="Q13512" i="34"/>
  <c r="Q13513" i="34"/>
  <c r="Q13514" i="34"/>
  <c r="Q13515" i="34"/>
  <c r="Q13516" i="34"/>
  <c r="Q13517" i="34"/>
  <c r="Q13518" i="34"/>
  <c r="Q13519" i="34"/>
  <c r="Q13520" i="34"/>
  <c r="Q13521" i="34"/>
  <c r="Q13522" i="34"/>
  <c r="Q13523" i="34"/>
  <c r="Q13524" i="34"/>
  <c r="Q13525" i="34"/>
  <c r="Q13526" i="34"/>
  <c r="Q13527" i="34"/>
  <c r="Q13528" i="34"/>
  <c r="Q13529" i="34"/>
  <c r="Q13530" i="34"/>
  <c r="Q13531" i="34"/>
  <c r="Q13532" i="34"/>
  <c r="Q13533" i="34"/>
  <c r="Q13534" i="34"/>
  <c r="Q13535" i="34"/>
  <c r="Q13536" i="34"/>
  <c r="Q13537" i="34"/>
  <c r="Q13538" i="34"/>
  <c r="Q13539" i="34"/>
  <c r="Q13540" i="34"/>
  <c r="Q13541" i="34"/>
  <c r="Q13542" i="34"/>
  <c r="Q13543" i="34"/>
  <c r="Q13544" i="34"/>
  <c r="Q13545" i="34"/>
  <c r="Q13546" i="34"/>
  <c r="Q13547" i="34"/>
  <c r="Q13548" i="34"/>
  <c r="Q13549" i="34"/>
  <c r="Q13550" i="34"/>
  <c r="Q13551" i="34"/>
  <c r="Q13552" i="34"/>
  <c r="Q13553" i="34"/>
  <c r="Q13554" i="34"/>
  <c r="Q13555" i="34"/>
  <c r="Q13556" i="34"/>
  <c r="Q13557" i="34"/>
  <c r="Q13558" i="34"/>
  <c r="Q13559" i="34"/>
  <c r="Q13560" i="34"/>
  <c r="Q13561" i="34"/>
  <c r="Q13562" i="34"/>
  <c r="Q13563" i="34"/>
  <c r="Q13564" i="34"/>
  <c r="Q13565" i="34"/>
  <c r="Q13566" i="34"/>
  <c r="Q13567" i="34"/>
  <c r="Q13568" i="34"/>
  <c r="Q13569" i="34"/>
  <c r="Q13570" i="34"/>
  <c r="Q13571" i="34"/>
  <c r="Q13572" i="34"/>
  <c r="Q13573" i="34"/>
  <c r="Q13574" i="34"/>
  <c r="Q13575" i="34"/>
  <c r="Q13576" i="34"/>
  <c r="Q13577" i="34"/>
  <c r="Q13578" i="34"/>
  <c r="Q13579" i="34"/>
  <c r="Q13580" i="34"/>
  <c r="Q13581" i="34"/>
  <c r="Q13582" i="34"/>
  <c r="Q13583" i="34"/>
  <c r="Q13584" i="34"/>
  <c r="Q13585" i="34"/>
  <c r="Q13586" i="34"/>
  <c r="Q13587" i="34"/>
  <c r="Q13588" i="34"/>
  <c r="Q13589" i="34"/>
  <c r="Q13590" i="34"/>
  <c r="Q13591" i="34"/>
  <c r="Q13592" i="34"/>
  <c r="Q13593" i="34"/>
  <c r="Q13594" i="34"/>
  <c r="Q13595" i="34"/>
  <c r="Q13596" i="34"/>
  <c r="Q13597" i="34"/>
  <c r="Q13598" i="34"/>
  <c r="Q13599" i="34"/>
  <c r="Q13600" i="34"/>
  <c r="Q13601" i="34"/>
  <c r="Q13602" i="34"/>
  <c r="Q13603" i="34"/>
  <c r="Q13604" i="34"/>
  <c r="Q13605" i="34"/>
  <c r="Q13606" i="34"/>
  <c r="Q13607" i="34"/>
  <c r="Q13608" i="34"/>
  <c r="Q13609" i="34"/>
  <c r="Q13610" i="34"/>
  <c r="Q13611" i="34"/>
  <c r="Q13612" i="34"/>
  <c r="Q13613" i="34"/>
  <c r="Q13614" i="34"/>
  <c r="Q13615" i="34"/>
  <c r="Q13616" i="34"/>
  <c r="Q13617" i="34"/>
  <c r="Q13618" i="34"/>
  <c r="Q13619" i="34"/>
  <c r="Q13620" i="34"/>
  <c r="Q13621" i="34"/>
  <c r="Q13622" i="34"/>
  <c r="Q13623" i="34"/>
  <c r="Q13624" i="34"/>
  <c r="Q13625" i="34"/>
  <c r="Q13626" i="34"/>
  <c r="Q13627" i="34"/>
  <c r="Q13628" i="34"/>
  <c r="Q13629" i="34"/>
  <c r="Q13630" i="34"/>
  <c r="Q13631" i="34"/>
  <c r="Q13632" i="34"/>
  <c r="Q13633" i="34"/>
  <c r="Q13634" i="34"/>
  <c r="Q13635" i="34"/>
  <c r="Q13636" i="34"/>
  <c r="Q13637" i="34"/>
  <c r="Q13638" i="34"/>
  <c r="Q13639" i="34"/>
  <c r="Q13640" i="34"/>
  <c r="Q13641" i="34"/>
  <c r="Q13642" i="34"/>
  <c r="Q13643" i="34"/>
  <c r="Q13644" i="34"/>
  <c r="Q13645" i="34"/>
  <c r="Q13646" i="34"/>
  <c r="Q13647" i="34"/>
  <c r="Q13648" i="34"/>
  <c r="Q13649" i="34"/>
  <c r="Q13650" i="34"/>
  <c r="Q13651" i="34"/>
  <c r="Q13652" i="34"/>
  <c r="Q13653" i="34"/>
  <c r="Q13654" i="34"/>
  <c r="Q13655" i="34"/>
  <c r="Q13656" i="34"/>
  <c r="Q13657" i="34"/>
  <c r="Q13658" i="34"/>
  <c r="Q13659" i="34"/>
  <c r="Q13660" i="34"/>
  <c r="Q13661" i="34"/>
  <c r="Q13662" i="34"/>
  <c r="Q13663" i="34"/>
  <c r="Q13664" i="34"/>
  <c r="Q13665" i="34"/>
  <c r="Q13666" i="34"/>
  <c r="Q13667" i="34"/>
  <c r="Q13668" i="34"/>
  <c r="Q13669" i="34"/>
  <c r="Q13670" i="34"/>
  <c r="Q13671" i="34"/>
  <c r="Q13672" i="34"/>
  <c r="Q13673" i="34"/>
  <c r="Q13674" i="34"/>
  <c r="Q13675" i="34"/>
  <c r="Q13676" i="34"/>
  <c r="Q13677" i="34"/>
  <c r="Q13678" i="34"/>
  <c r="Q13679" i="34"/>
  <c r="Q13680" i="34"/>
  <c r="Q13681" i="34"/>
  <c r="Q13682" i="34"/>
  <c r="Q13683" i="34"/>
  <c r="Q13684" i="34"/>
  <c r="Q13685" i="34"/>
  <c r="Q13686" i="34"/>
  <c r="Q13687" i="34"/>
  <c r="Q13688" i="34"/>
  <c r="Q13689" i="34"/>
  <c r="Q13690" i="34"/>
  <c r="Q13691" i="34"/>
  <c r="Q13692" i="34"/>
  <c r="Q13693" i="34"/>
  <c r="Q13694" i="34"/>
  <c r="Q13695" i="34"/>
  <c r="Q13696" i="34"/>
  <c r="Q13697" i="34"/>
  <c r="Q13698" i="34"/>
  <c r="Q13699" i="34"/>
  <c r="Q13700" i="34"/>
  <c r="Q13701" i="34"/>
  <c r="Q13702" i="34"/>
  <c r="Q13703" i="34"/>
  <c r="Q13704" i="34"/>
  <c r="Q13705" i="34"/>
  <c r="Q13706" i="34"/>
  <c r="Q13707" i="34"/>
  <c r="Q13708" i="34"/>
  <c r="Q13709" i="34"/>
  <c r="Q13710" i="34"/>
  <c r="Q13711" i="34"/>
  <c r="Q13712" i="34"/>
  <c r="Q13713" i="34"/>
  <c r="Q13714" i="34"/>
  <c r="Q13715" i="34"/>
  <c r="Q13716" i="34"/>
  <c r="Q13717" i="34"/>
  <c r="Q13718" i="34"/>
  <c r="Q13719" i="34"/>
  <c r="Q13720" i="34"/>
  <c r="Q13721" i="34"/>
  <c r="Q13722" i="34"/>
  <c r="Q13723" i="34"/>
  <c r="Q13724" i="34"/>
  <c r="Q13725" i="34"/>
  <c r="Q13726" i="34"/>
  <c r="Q13727" i="34"/>
  <c r="Q13728" i="34"/>
  <c r="Q13729" i="34"/>
  <c r="Q13730" i="34"/>
  <c r="Q13731" i="34"/>
  <c r="Q13732" i="34"/>
  <c r="Q13733" i="34"/>
  <c r="Q13734" i="34"/>
  <c r="Q13735" i="34"/>
  <c r="Q13736" i="34"/>
  <c r="Q13737" i="34"/>
  <c r="Q13738" i="34"/>
  <c r="Q13739" i="34"/>
  <c r="Q13740" i="34"/>
  <c r="Q13741" i="34"/>
  <c r="Q13742" i="34"/>
  <c r="Q13743" i="34"/>
  <c r="Q13744" i="34"/>
  <c r="Q13745" i="34"/>
  <c r="Q13746" i="34"/>
  <c r="Q13747" i="34"/>
  <c r="Q13748" i="34"/>
  <c r="Q13749" i="34"/>
  <c r="Q13750" i="34"/>
  <c r="Q13751" i="34"/>
  <c r="Q13752" i="34"/>
  <c r="Q13753" i="34"/>
  <c r="Q13754" i="34"/>
  <c r="Q13755" i="34"/>
  <c r="Q13756" i="34"/>
  <c r="Q13757" i="34"/>
  <c r="Q13758" i="34"/>
  <c r="Q13759" i="34"/>
  <c r="Q13760" i="34"/>
  <c r="Q13761" i="34"/>
  <c r="Q13762" i="34"/>
  <c r="Q13763" i="34"/>
  <c r="Q13764" i="34"/>
  <c r="Q13765" i="34"/>
  <c r="Q13766" i="34"/>
  <c r="Q13767" i="34"/>
  <c r="Q13768" i="34"/>
  <c r="Q13769" i="34"/>
  <c r="Q13770" i="34"/>
  <c r="Q13771" i="34"/>
  <c r="Q13772" i="34"/>
  <c r="Q13773" i="34"/>
  <c r="Q13774" i="34"/>
  <c r="Q13775" i="34"/>
  <c r="Q13776" i="34"/>
  <c r="Q13777" i="34"/>
  <c r="Q13778" i="34"/>
  <c r="Q13779" i="34"/>
  <c r="Q13780" i="34"/>
  <c r="Q13781" i="34"/>
  <c r="Q13782" i="34"/>
  <c r="Q13783" i="34"/>
  <c r="Q13784" i="34"/>
  <c r="Q13785" i="34"/>
  <c r="Q13786" i="34"/>
  <c r="Q13787" i="34"/>
  <c r="Q13788" i="34"/>
  <c r="Q13789" i="34"/>
  <c r="Q13790" i="34"/>
  <c r="Q13791" i="34"/>
  <c r="Q13792" i="34"/>
  <c r="Q13793" i="34"/>
  <c r="Q13794" i="34"/>
  <c r="Q13795" i="34"/>
  <c r="Q13796" i="34"/>
  <c r="Q13797" i="34"/>
  <c r="Q13798" i="34"/>
  <c r="Q13799" i="34"/>
  <c r="Q13800" i="34"/>
  <c r="Q13801" i="34"/>
  <c r="Q13802" i="34"/>
  <c r="Q13803" i="34"/>
  <c r="Q13804" i="34"/>
  <c r="Q13805" i="34"/>
  <c r="Q13806" i="34"/>
  <c r="Q13807" i="34"/>
  <c r="Q13808" i="34"/>
  <c r="Q13809" i="34"/>
  <c r="Q13810" i="34"/>
  <c r="Q13811" i="34"/>
  <c r="Q13812" i="34"/>
  <c r="Q13813" i="34"/>
  <c r="Q13814" i="34"/>
  <c r="Q13815" i="34"/>
  <c r="Q13816" i="34"/>
  <c r="Q13817" i="34"/>
  <c r="Q13818" i="34"/>
  <c r="Q13819" i="34"/>
  <c r="Q13820" i="34"/>
  <c r="Q13821" i="34"/>
  <c r="Q13822" i="34"/>
  <c r="Q13823" i="34"/>
  <c r="Q13824" i="34"/>
  <c r="Q13825" i="34"/>
  <c r="Q13826" i="34"/>
  <c r="Q13827" i="34"/>
  <c r="Q13828" i="34"/>
  <c r="Q13829" i="34"/>
  <c r="Q13830" i="34"/>
  <c r="Q13831" i="34"/>
  <c r="Q13832" i="34"/>
  <c r="Q13833" i="34"/>
  <c r="Q13834" i="34"/>
  <c r="Q13835" i="34"/>
  <c r="Q13836" i="34"/>
  <c r="Q13837" i="34"/>
  <c r="Q13838" i="34"/>
  <c r="Q13839" i="34"/>
  <c r="Q13840" i="34"/>
  <c r="Q13841" i="34"/>
  <c r="Q13842" i="34"/>
  <c r="Q13843" i="34"/>
  <c r="Q13844" i="34"/>
  <c r="Q13845" i="34"/>
  <c r="Q13846" i="34"/>
  <c r="Q13847" i="34"/>
  <c r="Q13848" i="34"/>
  <c r="Q13849" i="34"/>
  <c r="Q13850" i="34"/>
  <c r="Q13851" i="34"/>
  <c r="Q13852" i="34"/>
  <c r="Q13853" i="34"/>
  <c r="Q13854" i="34"/>
  <c r="Q13855" i="34"/>
  <c r="Q13856" i="34"/>
  <c r="Q13857" i="34"/>
  <c r="Q13858" i="34"/>
  <c r="Q13859" i="34"/>
  <c r="Q13860" i="34"/>
  <c r="Q13861" i="34"/>
  <c r="Q13862" i="34"/>
  <c r="Q13863" i="34"/>
  <c r="Q13864" i="34"/>
  <c r="Q13865" i="34"/>
  <c r="Q13866" i="34"/>
  <c r="Q13867" i="34"/>
  <c r="Q13868" i="34"/>
  <c r="Q13869" i="34"/>
  <c r="Q13870" i="34"/>
  <c r="Q13871" i="34"/>
  <c r="Q13872" i="34"/>
  <c r="Q13873" i="34"/>
  <c r="Q13874" i="34"/>
  <c r="Q13875" i="34"/>
  <c r="Q13876" i="34"/>
  <c r="Q13877" i="34"/>
  <c r="Q13878" i="34"/>
  <c r="Q13879" i="34"/>
  <c r="Q13880" i="34"/>
  <c r="Q13881" i="34"/>
  <c r="Q13882" i="34"/>
  <c r="Q13883" i="34"/>
  <c r="Q13884" i="34"/>
  <c r="Q13885" i="34"/>
  <c r="Q13886" i="34"/>
  <c r="Q13887" i="34"/>
  <c r="Q13888" i="34"/>
  <c r="Q13889" i="34"/>
  <c r="Q13890" i="34"/>
  <c r="Q13891" i="34"/>
  <c r="Q13892" i="34"/>
  <c r="Q13893" i="34"/>
  <c r="Q13894" i="34"/>
  <c r="Q13895" i="34"/>
  <c r="Q13896" i="34"/>
  <c r="Q13897" i="34"/>
  <c r="Q13898" i="34"/>
  <c r="Q13899" i="34"/>
  <c r="Q13900" i="34"/>
  <c r="Q13901" i="34"/>
  <c r="Q13902" i="34"/>
  <c r="Q13903" i="34"/>
  <c r="Q13904" i="34"/>
  <c r="Q13905" i="34"/>
  <c r="Q13906" i="34"/>
  <c r="Q13907" i="34"/>
  <c r="Q13908" i="34"/>
  <c r="Q13909" i="34"/>
  <c r="Q13910" i="34"/>
  <c r="Q13911" i="34"/>
  <c r="Q13912" i="34"/>
  <c r="Q13913" i="34"/>
  <c r="Q13914" i="34"/>
  <c r="Q13915" i="34"/>
  <c r="Q13916" i="34"/>
  <c r="Q13917" i="34"/>
  <c r="Q13918" i="34"/>
  <c r="Q13919" i="34"/>
  <c r="Q13920" i="34"/>
  <c r="Q13921" i="34"/>
  <c r="Q13922" i="34"/>
  <c r="Q13923" i="34"/>
  <c r="Q13924" i="34"/>
  <c r="Q13925" i="34"/>
  <c r="Q13926" i="34"/>
  <c r="Q13927" i="34"/>
  <c r="Q13928" i="34"/>
  <c r="Q13929" i="34"/>
  <c r="Q13930" i="34"/>
  <c r="Q13931" i="34"/>
  <c r="Q13932" i="34"/>
  <c r="Q13933" i="34"/>
  <c r="Q13934" i="34"/>
  <c r="Q13935" i="34"/>
  <c r="Q13936" i="34"/>
  <c r="Q13937" i="34"/>
  <c r="Q13938" i="34"/>
  <c r="Q13939" i="34"/>
  <c r="Q13940" i="34"/>
  <c r="Q13941" i="34"/>
  <c r="Q13942" i="34"/>
  <c r="Q13943" i="34"/>
  <c r="Q13944" i="34"/>
  <c r="Q13945" i="34"/>
  <c r="Q13946" i="34"/>
  <c r="Q13947" i="34"/>
  <c r="Q13948" i="34"/>
  <c r="Q13949" i="34"/>
  <c r="Q13950" i="34"/>
  <c r="Q13951" i="34"/>
  <c r="Q13952" i="34"/>
  <c r="Q13953" i="34"/>
  <c r="Q13954" i="34"/>
  <c r="Q13955" i="34"/>
  <c r="Q13956" i="34"/>
  <c r="Q13957" i="34"/>
  <c r="Q13958" i="34"/>
  <c r="Q13959" i="34"/>
  <c r="Q13960" i="34"/>
  <c r="Q13961" i="34"/>
  <c r="Q13962" i="34"/>
  <c r="Q13963" i="34"/>
  <c r="Q13964" i="34"/>
  <c r="Q13965" i="34"/>
  <c r="Q13966" i="34"/>
  <c r="Q13967" i="34"/>
  <c r="Q13968" i="34"/>
  <c r="Q13969" i="34"/>
  <c r="Q13970" i="34"/>
  <c r="Q13971" i="34"/>
  <c r="Q13972" i="34"/>
  <c r="Q13973" i="34"/>
  <c r="Q13974" i="34"/>
  <c r="Q13975" i="34"/>
  <c r="Q13976" i="34"/>
  <c r="Q13977" i="34"/>
  <c r="Q13978" i="34"/>
  <c r="Q13979" i="34"/>
  <c r="Q13980" i="34"/>
  <c r="Q13981" i="34"/>
  <c r="Q13982" i="34"/>
  <c r="Q13983" i="34"/>
  <c r="Q13984" i="34"/>
  <c r="Q13985" i="34"/>
  <c r="Q13986" i="34"/>
  <c r="Q13987" i="34"/>
  <c r="Q13988" i="34"/>
  <c r="Q13989" i="34"/>
  <c r="Q13990" i="34"/>
  <c r="Q13991" i="34"/>
  <c r="Q13992" i="34"/>
  <c r="Q13993" i="34"/>
  <c r="Q13994" i="34"/>
  <c r="Q13995" i="34"/>
  <c r="Q13996" i="34"/>
  <c r="Q13997" i="34"/>
  <c r="Q13998" i="34"/>
  <c r="Q13999" i="34"/>
  <c r="Q14000" i="34"/>
  <c r="Q14001" i="34"/>
  <c r="Q14002" i="34"/>
  <c r="Q14003" i="34"/>
  <c r="Q14004" i="34"/>
  <c r="Q14005" i="34"/>
  <c r="Q14006" i="34"/>
  <c r="Q14007" i="34"/>
  <c r="Q14008" i="34"/>
  <c r="Q14009" i="34"/>
  <c r="Q14010" i="34"/>
  <c r="Q14011" i="34"/>
  <c r="Q14012" i="34"/>
  <c r="Q14013" i="34"/>
  <c r="Q14014" i="34"/>
  <c r="Q14015" i="34"/>
  <c r="Q14016" i="34"/>
  <c r="Q14017" i="34"/>
  <c r="Q14018" i="34"/>
  <c r="Q14019" i="34"/>
  <c r="Q14020" i="34"/>
  <c r="Q14021" i="34"/>
  <c r="Q14022" i="34"/>
  <c r="Q14023" i="34"/>
  <c r="Q14024" i="34"/>
  <c r="Q14025" i="34"/>
  <c r="Q14026" i="34"/>
  <c r="Q14027" i="34"/>
  <c r="Q14028" i="34"/>
  <c r="Q14029" i="34"/>
  <c r="Q14030" i="34"/>
  <c r="Q14031" i="34"/>
  <c r="Q14032" i="34"/>
  <c r="Q14033" i="34"/>
  <c r="Q14034" i="34"/>
  <c r="Q14035" i="34"/>
  <c r="Q14036" i="34"/>
  <c r="Q14037" i="34"/>
  <c r="Q14038" i="34"/>
  <c r="Q14039" i="34"/>
  <c r="Q14040" i="34"/>
  <c r="Q14041" i="34"/>
  <c r="Q14042" i="34"/>
  <c r="Q14043" i="34"/>
  <c r="Q14044" i="34"/>
  <c r="Q14045" i="34"/>
  <c r="Q14046" i="34"/>
  <c r="Q14047" i="34"/>
  <c r="Q14048" i="34"/>
  <c r="Q14049" i="34"/>
  <c r="Q14050" i="34"/>
  <c r="Q14051" i="34"/>
  <c r="Q14052" i="34"/>
  <c r="Q14053" i="34"/>
  <c r="Q14054" i="34"/>
  <c r="Q14055" i="34"/>
  <c r="Q14056" i="34"/>
  <c r="Q14057" i="34"/>
  <c r="Q14058" i="34"/>
  <c r="Q14059" i="34"/>
  <c r="Q14060" i="34"/>
  <c r="Q14061" i="34"/>
  <c r="Q14062" i="34"/>
  <c r="Q14063" i="34"/>
  <c r="Q14064" i="34"/>
  <c r="Q14065" i="34"/>
  <c r="Q14066" i="34"/>
  <c r="Q14067" i="34"/>
  <c r="Q14068" i="34"/>
  <c r="Q14069" i="34"/>
  <c r="Q14070" i="34"/>
  <c r="Q14071" i="34"/>
  <c r="Q14072" i="34"/>
  <c r="Q14073" i="34"/>
  <c r="Q14074" i="34"/>
  <c r="Q14075" i="34"/>
  <c r="Q14076" i="34"/>
  <c r="Q14077" i="34"/>
  <c r="Q14078" i="34"/>
  <c r="Q14079" i="34"/>
  <c r="Q14080" i="34"/>
  <c r="Q14081" i="34"/>
  <c r="Q14082" i="34"/>
  <c r="Q14083" i="34"/>
  <c r="Q14084" i="34"/>
  <c r="Q14085" i="34"/>
  <c r="Q14086" i="34"/>
  <c r="Q14087" i="34"/>
  <c r="Q14088" i="34"/>
  <c r="Q14089" i="34"/>
  <c r="Q14090" i="34"/>
  <c r="Q14091" i="34"/>
  <c r="Q14092" i="34"/>
  <c r="Q14093" i="34"/>
  <c r="Q14094" i="34"/>
  <c r="Q14095" i="34"/>
  <c r="Q14096" i="34"/>
  <c r="Q14097" i="34"/>
  <c r="Q14098" i="34"/>
  <c r="Q14099" i="34"/>
  <c r="Q14100" i="34"/>
  <c r="Q14101" i="34"/>
  <c r="Q14102" i="34"/>
  <c r="Q14103" i="34"/>
  <c r="Q14104" i="34"/>
  <c r="Q14105" i="34"/>
  <c r="Q14106" i="34"/>
  <c r="Q14107" i="34"/>
  <c r="Q14108" i="34"/>
  <c r="Q14109" i="34"/>
  <c r="Q14110" i="34"/>
  <c r="Q14111" i="34"/>
  <c r="Q14112" i="34"/>
  <c r="Q14113" i="34"/>
  <c r="Q14114" i="34"/>
  <c r="Q14115" i="34"/>
  <c r="Q14116" i="34"/>
  <c r="Q14117" i="34"/>
  <c r="Q14118" i="34"/>
  <c r="Q14119" i="34"/>
  <c r="Q14120" i="34"/>
  <c r="Q14121" i="34"/>
  <c r="Q14122" i="34"/>
  <c r="Q14123" i="34"/>
  <c r="Q14124" i="34"/>
  <c r="Q14125" i="34"/>
  <c r="Q14126" i="34"/>
  <c r="Q14127" i="34"/>
  <c r="Q14128" i="34"/>
  <c r="Q14129" i="34"/>
  <c r="Q14130" i="34"/>
  <c r="Q14131" i="34"/>
  <c r="Q14132" i="34"/>
  <c r="Q14133" i="34"/>
  <c r="Q14134" i="34"/>
  <c r="Q14135" i="34"/>
  <c r="Q14136" i="34"/>
  <c r="Q14137" i="34"/>
  <c r="Q14138" i="34"/>
  <c r="Q14139" i="34"/>
  <c r="Q14140" i="34"/>
  <c r="Q14141" i="34"/>
  <c r="Q14142" i="34"/>
  <c r="Q14143" i="34"/>
  <c r="Q14144" i="34"/>
  <c r="Q14145" i="34"/>
  <c r="Q14146" i="34"/>
  <c r="Q14147" i="34"/>
  <c r="Q14148" i="34"/>
  <c r="Q14149" i="34"/>
  <c r="Q14150" i="34"/>
  <c r="Q14151" i="34"/>
  <c r="Q14152" i="34"/>
  <c r="Q14153" i="34"/>
  <c r="Q14154" i="34"/>
  <c r="Q14155" i="34"/>
  <c r="Q14156" i="34"/>
  <c r="Q14157" i="34"/>
  <c r="Q14158" i="34"/>
  <c r="Q14159" i="34"/>
  <c r="Q14160" i="34"/>
  <c r="Q14161" i="34"/>
  <c r="Q14162" i="34"/>
  <c r="Q14163" i="34"/>
  <c r="Q14164" i="34"/>
  <c r="Q14165" i="34"/>
  <c r="Q14166" i="34"/>
  <c r="Q14167" i="34"/>
  <c r="Q14168" i="34"/>
  <c r="Q14169" i="34"/>
  <c r="Q14170" i="34"/>
  <c r="Q14171" i="34"/>
  <c r="Q14172" i="34"/>
  <c r="Q14173" i="34"/>
  <c r="Q14174" i="34"/>
  <c r="Q14175" i="34"/>
  <c r="Q14176" i="34"/>
  <c r="Q14177" i="34"/>
  <c r="Q14178" i="34"/>
  <c r="Q14179" i="34"/>
  <c r="Q14180" i="34"/>
  <c r="Q14181" i="34"/>
  <c r="Q14182" i="34"/>
  <c r="Q14183" i="34"/>
  <c r="Q14184" i="34"/>
  <c r="Q14185" i="34"/>
  <c r="Q14186" i="34"/>
  <c r="Q14187" i="34"/>
  <c r="Q14188" i="34"/>
  <c r="Q14189" i="34"/>
  <c r="Q14190" i="34"/>
  <c r="Q14191" i="34"/>
  <c r="Q14192" i="34"/>
  <c r="Q14193" i="34"/>
  <c r="Q14194" i="34"/>
  <c r="Q14195" i="34"/>
  <c r="Q14196" i="34"/>
  <c r="Q14197" i="34"/>
  <c r="Q14198" i="34"/>
  <c r="Q14199" i="34"/>
  <c r="Q14200" i="34"/>
  <c r="Q14201" i="34"/>
  <c r="Q14202" i="34"/>
  <c r="Q14203" i="34"/>
  <c r="Q14204" i="34"/>
  <c r="Q14205" i="34"/>
  <c r="Q14206" i="34"/>
  <c r="Q14207" i="34"/>
  <c r="Q14208" i="34"/>
  <c r="Q14209" i="34"/>
  <c r="Q14210" i="34"/>
  <c r="Q14211" i="34"/>
  <c r="Q14212" i="34"/>
  <c r="Q14213" i="34"/>
  <c r="Q14214" i="34"/>
  <c r="Q14215" i="34"/>
  <c r="Q14216" i="34"/>
  <c r="Q14217" i="34"/>
  <c r="Q14218" i="34"/>
  <c r="Q14219" i="34"/>
  <c r="Q14220" i="34"/>
  <c r="Q14221" i="34"/>
  <c r="Q14222" i="34"/>
  <c r="Q14223" i="34"/>
  <c r="Q14224" i="34"/>
  <c r="Q14225" i="34"/>
  <c r="Q14226" i="34"/>
  <c r="Q14227" i="34"/>
  <c r="Q14228" i="34"/>
  <c r="Q14229" i="34"/>
  <c r="Q14230" i="34"/>
  <c r="Q14231" i="34"/>
  <c r="Q14232" i="34"/>
  <c r="Q14233" i="34"/>
  <c r="Q14234" i="34"/>
  <c r="Q14235" i="34"/>
  <c r="Q14236" i="34"/>
  <c r="Q14237" i="34"/>
  <c r="Q14238" i="34"/>
  <c r="Q14239" i="34"/>
  <c r="Q14240" i="34"/>
  <c r="Q14241" i="34"/>
  <c r="Q14242" i="34"/>
  <c r="Q14243" i="34"/>
  <c r="Q14244" i="34"/>
  <c r="Q14245" i="34"/>
  <c r="Q14246" i="34"/>
  <c r="Q14247" i="34"/>
  <c r="Q14248" i="34"/>
  <c r="Q14249" i="34"/>
  <c r="Q14250" i="34"/>
  <c r="Q14251" i="34"/>
  <c r="Q14252" i="34"/>
  <c r="Q14253" i="34"/>
  <c r="Q14254" i="34"/>
  <c r="Q14255" i="34"/>
  <c r="Q14256" i="34"/>
  <c r="Q14257" i="34"/>
  <c r="Q14258" i="34"/>
  <c r="Q14259" i="34"/>
  <c r="Q14260" i="34"/>
  <c r="Q14261" i="34"/>
  <c r="Q14262" i="34"/>
  <c r="Q14263" i="34"/>
  <c r="Q14264" i="34"/>
  <c r="Q14265" i="34"/>
  <c r="Q14266" i="34"/>
  <c r="Q14267" i="34"/>
  <c r="Q14268" i="34"/>
  <c r="Q14269" i="34"/>
  <c r="Q14270" i="34"/>
  <c r="Q14271" i="34"/>
  <c r="Q14272" i="34"/>
  <c r="Q14273" i="34"/>
  <c r="Q14274" i="34"/>
  <c r="Q14275" i="34"/>
  <c r="Q14276" i="34"/>
  <c r="Q14277" i="34"/>
  <c r="Q14278" i="34"/>
  <c r="Q14279" i="34"/>
  <c r="Q14280" i="34"/>
  <c r="Q14281" i="34"/>
  <c r="Q14282" i="34"/>
  <c r="Q14283" i="34"/>
  <c r="Q14284" i="34"/>
  <c r="Q14285" i="34"/>
  <c r="Q14286" i="34"/>
  <c r="Q14287" i="34"/>
  <c r="Q14288" i="34"/>
  <c r="Q14289" i="34"/>
  <c r="Q14290" i="34"/>
  <c r="Q14291" i="34"/>
  <c r="Q14292" i="34"/>
  <c r="Q14293" i="34"/>
  <c r="Q14294" i="34"/>
  <c r="Q14295" i="34"/>
  <c r="Q14296" i="34"/>
  <c r="Q14297" i="34"/>
  <c r="Q14298" i="34"/>
  <c r="Q14299" i="34"/>
  <c r="Q14300" i="34"/>
  <c r="Q14301" i="34"/>
  <c r="Q14302" i="34"/>
  <c r="Q14303" i="34"/>
  <c r="Q14304" i="34"/>
  <c r="Q14305" i="34"/>
  <c r="Q14306" i="34"/>
  <c r="Q14307" i="34"/>
  <c r="Q14308" i="34"/>
  <c r="Q14309" i="34"/>
  <c r="Q14310" i="34"/>
  <c r="Q14311" i="34"/>
  <c r="Q14312" i="34"/>
  <c r="Q14313" i="34"/>
  <c r="Q14314" i="34"/>
  <c r="Q14315" i="34"/>
  <c r="Q14316" i="34"/>
  <c r="Q14317" i="34"/>
  <c r="Q14318" i="34"/>
  <c r="Q14319" i="34"/>
  <c r="Q14320" i="34"/>
  <c r="Q14321" i="34"/>
  <c r="Q14322" i="34"/>
  <c r="Q14323" i="34"/>
  <c r="Q14324" i="34"/>
  <c r="Q14325" i="34"/>
  <c r="Q14326" i="34"/>
  <c r="Q14327" i="34"/>
  <c r="Q14328" i="34"/>
  <c r="Q14329" i="34"/>
  <c r="Q14330" i="34"/>
  <c r="Q14331" i="34"/>
  <c r="Q14332" i="34"/>
  <c r="Q14333" i="34"/>
  <c r="Q14334" i="34"/>
  <c r="Q14335" i="34"/>
  <c r="Q14336" i="34"/>
  <c r="Q14337" i="34"/>
  <c r="Q14338" i="34"/>
  <c r="Q14339" i="34"/>
  <c r="Q14340" i="34"/>
  <c r="Q14341" i="34"/>
  <c r="Q14342" i="34"/>
  <c r="Q14343" i="34"/>
  <c r="Q14344" i="34"/>
  <c r="Q14345" i="34"/>
  <c r="Q14346" i="34"/>
  <c r="Q14347" i="34"/>
  <c r="Q14348" i="34"/>
  <c r="Q14349" i="34"/>
  <c r="Q14350" i="34"/>
  <c r="Q14351" i="34"/>
  <c r="Q14352" i="34"/>
  <c r="Q14353" i="34"/>
  <c r="Q14354" i="34"/>
  <c r="Q14355" i="34"/>
  <c r="Q14356" i="34"/>
  <c r="Q14357" i="34"/>
  <c r="Q14358" i="34"/>
  <c r="Q14359" i="34"/>
  <c r="Q14360" i="34"/>
  <c r="Q14361" i="34"/>
  <c r="Q14362" i="34"/>
  <c r="Q14363" i="34"/>
  <c r="Q14364" i="34"/>
  <c r="Q14365" i="34"/>
  <c r="Q14366" i="34"/>
  <c r="Q14367" i="34"/>
  <c r="Q14368" i="34"/>
  <c r="Q14369" i="34"/>
  <c r="Q14370" i="34"/>
  <c r="Q14371" i="34"/>
  <c r="Q14372" i="34"/>
  <c r="Q14373" i="34"/>
  <c r="Q14374" i="34"/>
  <c r="Q14375" i="34"/>
  <c r="Q14376" i="34"/>
  <c r="Q14377" i="34"/>
  <c r="Q14378" i="34"/>
  <c r="Q14379" i="34"/>
  <c r="Q14380" i="34"/>
  <c r="Q14381" i="34"/>
  <c r="Q14382" i="34"/>
  <c r="Q14383" i="34"/>
  <c r="Q14384" i="34"/>
  <c r="Q14385" i="34"/>
  <c r="Q14386" i="34"/>
  <c r="Q14387" i="34"/>
  <c r="Q14388" i="34"/>
  <c r="Q14389" i="34"/>
  <c r="Q14390" i="34"/>
  <c r="Q14391" i="34"/>
  <c r="Q14392" i="34"/>
  <c r="Q14393" i="34"/>
  <c r="Q14394" i="34"/>
  <c r="Q14395" i="34"/>
  <c r="Q14396" i="34"/>
  <c r="Q14397" i="34"/>
  <c r="Q14398" i="34"/>
  <c r="Q14399" i="34"/>
  <c r="Q14400" i="34"/>
  <c r="Q14401" i="34"/>
  <c r="Q14402" i="34"/>
  <c r="Q14403" i="34"/>
  <c r="Q14404" i="34"/>
  <c r="Q14405" i="34"/>
  <c r="Q14406" i="34"/>
  <c r="Q14407" i="34"/>
  <c r="Q14408" i="34"/>
  <c r="Q14409" i="34"/>
  <c r="Q14410" i="34"/>
  <c r="Q14411" i="34"/>
  <c r="Q14412" i="34"/>
  <c r="Q14413" i="34"/>
  <c r="Q14414" i="34"/>
  <c r="Q14415" i="34"/>
  <c r="Q14416" i="34"/>
  <c r="Q14417" i="34"/>
  <c r="Q14418" i="34"/>
  <c r="Q14419" i="34"/>
  <c r="Q14420" i="34"/>
  <c r="Q14421" i="34"/>
  <c r="Q14422" i="34"/>
  <c r="Q14423" i="34"/>
  <c r="Q14424" i="34"/>
  <c r="Q14425" i="34"/>
  <c r="Q14426" i="34"/>
  <c r="Q14427" i="34"/>
  <c r="Q14428" i="34"/>
  <c r="Q14429" i="34"/>
  <c r="Q14430" i="34"/>
  <c r="Q14431" i="34"/>
  <c r="Q14432" i="34"/>
  <c r="Q14433" i="34"/>
  <c r="Q14434" i="34"/>
  <c r="Q14435" i="34"/>
  <c r="Q14436" i="34"/>
  <c r="Q14437" i="34"/>
  <c r="Q14438" i="34"/>
  <c r="Q14439" i="34"/>
  <c r="Q14440" i="34"/>
  <c r="Q14441" i="34"/>
  <c r="Q14442" i="34"/>
  <c r="Q14443" i="34"/>
  <c r="Q14444" i="34"/>
  <c r="Q14445" i="34"/>
  <c r="Q14446" i="34"/>
  <c r="Q14447" i="34"/>
  <c r="Q14448" i="34"/>
  <c r="Q14449" i="34"/>
  <c r="Q14450" i="34"/>
  <c r="Q14451" i="34"/>
  <c r="Q14452" i="34"/>
  <c r="Q14453" i="34"/>
  <c r="Q14454" i="34"/>
  <c r="Q14455" i="34"/>
  <c r="Q14456" i="34"/>
  <c r="Q14457" i="34"/>
  <c r="Q14458" i="34"/>
  <c r="Q14459" i="34"/>
  <c r="Q14460" i="34"/>
  <c r="Q14461" i="34"/>
  <c r="Q14462" i="34"/>
  <c r="Q14463" i="34"/>
  <c r="Q14464" i="34"/>
  <c r="Q14465" i="34"/>
  <c r="Q14466" i="34"/>
  <c r="Q14467" i="34"/>
  <c r="Q14468" i="34"/>
  <c r="Q14469" i="34"/>
  <c r="Q14470" i="34"/>
  <c r="Q14471" i="34"/>
  <c r="Q14472" i="34"/>
  <c r="Q14473" i="34"/>
  <c r="Q14474" i="34"/>
  <c r="Q14475" i="34"/>
  <c r="Q14476" i="34"/>
  <c r="Q14477" i="34"/>
  <c r="Q14478" i="34"/>
  <c r="Q14479" i="34"/>
  <c r="Q14480" i="34"/>
  <c r="Q14481" i="34"/>
  <c r="Q14482" i="34"/>
  <c r="Q14483" i="34"/>
  <c r="Q14484" i="34"/>
  <c r="Q14485" i="34"/>
  <c r="Q14486" i="34"/>
  <c r="Q14487" i="34"/>
  <c r="Q14488" i="34"/>
  <c r="Q14489" i="34"/>
  <c r="Q14490" i="34"/>
  <c r="Q14491" i="34"/>
  <c r="Q14492" i="34"/>
  <c r="Q14493" i="34"/>
  <c r="Q14494" i="34"/>
  <c r="Q14495" i="34"/>
  <c r="Q14496" i="34"/>
  <c r="Q14497" i="34"/>
  <c r="Q14498" i="34"/>
  <c r="Q14499" i="34"/>
  <c r="Q14500" i="34"/>
  <c r="Q14501" i="34"/>
  <c r="Q14502" i="34"/>
  <c r="Q14503" i="34"/>
  <c r="Q14504" i="34"/>
  <c r="Q14505" i="34"/>
  <c r="Q14506" i="34"/>
  <c r="Q14507" i="34"/>
  <c r="Q14508" i="34"/>
  <c r="Q14509" i="34"/>
  <c r="Q14510" i="34"/>
  <c r="Q14511" i="34"/>
  <c r="Q14512" i="34"/>
  <c r="Q14513" i="34"/>
  <c r="Q14514" i="34"/>
  <c r="Q14515" i="34"/>
  <c r="Q14516" i="34"/>
  <c r="Q14517" i="34"/>
  <c r="Q14518" i="34"/>
  <c r="Q14519" i="34"/>
  <c r="Q14520" i="34"/>
  <c r="Q14521" i="34"/>
  <c r="Q14522" i="34"/>
  <c r="Q14523" i="34"/>
  <c r="Q14524" i="34"/>
  <c r="Q14525" i="34"/>
  <c r="Q14526" i="34"/>
  <c r="Q14527" i="34"/>
  <c r="Q14528" i="34"/>
  <c r="Q14529" i="34"/>
  <c r="Q14530" i="34"/>
  <c r="Q14531" i="34"/>
  <c r="Q14532" i="34"/>
  <c r="Q14533" i="34"/>
  <c r="Q14534" i="34"/>
  <c r="Q14535" i="34"/>
  <c r="Q14536" i="34"/>
  <c r="Q14537" i="34"/>
  <c r="Q14538" i="34"/>
  <c r="Q14539" i="34"/>
  <c r="Q14540" i="34"/>
  <c r="Q14541" i="34"/>
  <c r="Q14542" i="34"/>
  <c r="Q14543" i="34"/>
  <c r="Q14544" i="34"/>
  <c r="Q14545" i="34"/>
  <c r="Q14546" i="34"/>
  <c r="Q14547" i="34"/>
  <c r="Q14548" i="34"/>
  <c r="Q14549" i="34"/>
  <c r="Q14550" i="34"/>
  <c r="Q14551" i="34"/>
  <c r="Q14552" i="34"/>
  <c r="Q14553" i="34"/>
  <c r="Q14554" i="34"/>
  <c r="Q14555" i="34"/>
  <c r="Q14556" i="34"/>
  <c r="Q14557" i="34"/>
  <c r="Q14558" i="34"/>
  <c r="Q14559" i="34"/>
  <c r="Q14560" i="34"/>
  <c r="Q14561" i="34"/>
  <c r="Q14562" i="34"/>
  <c r="Q14563" i="34"/>
  <c r="Q14564" i="34"/>
  <c r="Q14565" i="34"/>
  <c r="Q14566" i="34"/>
  <c r="Q14567" i="34"/>
  <c r="Q14568" i="34"/>
  <c r="Q14569" i="34"/>
  <c r="Q14570" i="34"/>
  <c r="Q14571" i="34"/>
  <c r="Q14572" i="34"/>
  <c r="Q14573" i="34"/>
  <c r="Q14574" i="34"/>
  <c r="Q14575" i="34"/>
  <c r="Q14576" i="34"/>
  <c r="Q14577" i="34"/>
  <c r="Q14578" i="34"/>
  <c r="Q14579" i="34"/>
  <c r="Q14580" i="34"/>
  <c r="Q14581" i="34"/>
  <c r="Q14582" i="34"/>
  <c r="Q14583" i="34"/>
  <c r="Q14584" i="34"/>
  <c r="Q14585" i="34"/>
  <c r="Q14586" i="34"/>
  <c r="Q14587" i="34"/>
  <c r="Q14588" i="34"/>
  <c r="Q14589" i="34"/>
  <c r="Q14590" i="34"/>
  <c r="Q14591" i="34"/>
  <c r="Q14592" i="34"/>
  <c r="Q14593" i="34"/>
  <c r="Q14594" i="34"/>
  <c r="Q14595" i="34"/>
  <c r="Q14596" i="34"/>
  <c r="Q14597" i="34"/>
  <c r="Q14598" i="34"/>
  <c r="Q14599" i="34"/>
  <c r="Q14600" i="34"/>
  <c r="Q14601" i="34"/>
  <c r="Q14602" i="34"/>
  <c r="Q14603" i="34"/>
  <c r="Q14604" i="34"/>
  <c r="Q14605" i="34"/>
  <c r="Q14606" i="34"/>
  <c r="Q14607" i="34"/>
  <c r="Q14608" i="34"/>
  <c r="Q14609" i="34"/>
  <c r="Q14610" i="34"/>
  <c r="Q14611" i="34"/>
  <c r="Q14612" i="34"/>
  <c r="Q14613" i="34"/>
  <c r="Q14614" i="34"/>
  <c r="Q14615" i="34"/>
  <c r="Q14616" i="34"/>
  <c r="Q14617" i="34"/>
  <c r="Q14618" i="34"/>
  <c r="Q14619" i="34"/>
  <c r="Q14620" i="34"/>
  <c r="Q14621" i="34"/>
  <c r="Q14622" i="34"/>
  <c r="Q14623" i="34"/>
  <c r="Q14624" i="34"/>
  <c r="Q14625" i="34"/>
  <c r="Q14626" i="34"/>
  <c r="Q14627" i="34"/>
  <c r="Q14628" i="34"/>
  <c r="Q14629" i="34"/>
  <c r="Q14630" i="34"/>
  <c r="Q14631" i="34"/>
  <c r="Q14632" i="34"/>
  <c r="Q14633" i="34"/>
  <c r="Q14634" i="34"/>
  <c r="Q14635" i="34"/>
  <c r="Q14636" i="34"/>
  <c r="Q14637" i="34"/>
  <c r="Q14638" i="34"/>
  <c r="Q14639" i="34"/>
  <c r="Q14640" i="34"/>
  <c r="Q14641" i="34"/>
  <c r="Q14642" i="34"/>
  <c r="Q14643" i="34"/>
  <c r="Q14644" i="34"/>
  <c r="Q14645" i="34"/>
  <c r="Q14646" i="34"/>
  <c r="Q14647" i="34"/>
  <c r="Q14648" i="34"/>
  <c r="Q14649" i="34"/>
  <c r="Q14650" i="34"/>
  <c r="Q14651" i="34"/>
  <c r="Q14652" i="34"/>
  <c r="Q14653" i="34"/>
  <c r="Q14654" i="34"/>
  <c r="Q14655" i="34"/>
  <c r="Q14656" i="34"/>
  <c r="Q14657" i="34"/>
  <c r="Q14658" i="34"/>
  <c r="Q14659" i="34"/>
  <c r="Q14660" i="34"/>
  <c r="Q14661" i="34"/>
  <c r="Q14662" i="34"/>
  <c r="Q14663" i="34"/>
  <c r="Q14664" i="34"/>
  <c r="Q14665" i="34"/>
  <c r="Q14666" i="34"/>
  <c r="Q14667" i="34"/>
  <c r="Q14668" i="34"/>
  <c r="Q14669" i="34"/>
  <c r="Q14670" i="34"/>
  <c r="Q14671" i="34"/>
  <c r="Q14672" i="34"/>
  <c r="Q14673" i="34"/>
  <c r="Q14674" i="34"/>
  <c r="Q14675" i="34"/>
  <c r="Q14676" i="34"/>
  <c r="Q14677" i="34"/>
  <c r="Q14678" i="34"/>
  <c r="Q14679" i="34"/>
  <c r="Q14680" i="34"/>
  <c r="Q14681" i="34"/>
  <c r="Q14682" i="34"/>
  <c r="Q14683" i="34"/>
  <c r="Q14684" i="34"/>
  <c r="Q14685" i="34"/>
  <c r="Q14686" i="34"/>
  <c r="Q14687" i="34"/>
  <c r="Q14688" i="34"/>
  <c r="Q14689" i="34"/>
  <c r="Q14690" i="34"/>
  <c r="Q14691" i="34"/>
  <c r="Q14692" i="34"/>
  <c r="Q14693" i="34"/>
  <c r="Q14694" i="34"/>
  <c r="Q14695" i="34"/>
  <c r="Q14696" i="34"/>
  <c r="Q14697" i="34"/>
  <c r="Q14698" i="34"/>
  <c r="Q14699" i="34"/>
  <c r="Q14700" i="34"/>
  <c r="Q14701" i="34"/>
  <c r="Q14702" i="34"/>
  <c r="Q14703" i="34"/>
  <c r="Q14704" i="34"/>
  <c r="Q14705" i="34"/>
  <c r="Q14706" i="34"/>
  <c r="Q14707" i="34"/>
  <c r="Q14708" i="34"/>
  <c r="Q14709" i="34"/>
  <c r="Q14710" i="34"/>
  <c r="Q14711" i="34"/>
  <c r="Q14712" i="34"/>
  <c r="Q14713" i="34"/>
  <c r="Q14714" i="34"/>
  <c r="Q14715" i="34"/>
  <c r="Q14716" i="34"/>
  <c r="Q14717" i="34"/>
  <c r="Q14718" i="34"/>
  <c r="Q14719" i="34"/>
  <c r="Q14720" i="34"/>
  <c r="Q14721" i="34"/>
  <c r="Q14722" i="34"/>
  <c r="Q14723" i="34"/>
  <c r="Q14724" i="34"/>
  <c r="Q14725" i="34"/>
  <c r="Q14726" i="34"/>
  <c r="Q14727" i="34"/>
  <c r="Q14728" i="34"/>
  <c r="Q14729" i="34"/>
  <c r="Q14730" i="34"/>
  <c r="Q14731" i="34"/>
  <c r="Q14732" i="34"/>
  <c r="Q14733" i="34"/>
  <c r="Q14734" i="34"/>
  <c r="Q14735" i="34"/>
  <c r="Q14736" i="34"/>
  <c r="Q14737" i="34"/>
  <c r="Q14738" i="34"/>
  <c r="Q14739" i="34"/>
  <c r="Q14740" i="34"/>
  <c r="Q14741" i="34"/>
  <c r="Q14742" i="34"/>
  <c r="Q14743" i="34"/>
  <c r="Q14744" i="34"/>
  <c r="Q14745" i="34"/>
  <c r="Q14746" i="34"/>
  <c r="Q14747" i="34"/>
  <c r="Q14748" i="34"/>
  <c r="Q14749" i="34"/>
  <c r="Q14750" i="34"/>
  <c r="Q14751" i="34"/>
  <c r="Q14752" i="34"/>
  <c r="Q14753" i="34"/>
  <c r="Q14754" i="34"/>
  <c r="Q14755" i="34"/>
  <c r="Q14756" i="34"/>
  <c r="Q14757" i="34"/>
  <c r="Q14758" i="34"/>
  <c r="Q14759" i="34"/>
  <c r="Q14760" i="34"/>
  <c r="Q14761" i="34"/>
  <c r="Q14762" i="34"/>
  <c r="Q14763" i="34"/>
  <c r="Q14764" i="34"/>
  <c r="Q14765" i="34"/>
  <c r="Q14766" i="34"/>
  <c r="Q14767" i="34"/>
  <c r="Q14768" i="34"/>
  <c r="Q14769" i="34"/>
  <c r="Q14770" i="34"/>
  <c r="Q14771" i="34"/>
  <c r="Q14772" i="34"/>
  <c r="Q14773" i="34"/>
  <c r="Q14774" i="34"/>
  <c r="Q14775" i="34"/>
  <c r="Q14776" i="34"/>
  <c r="Q14777" i="34"/>
  <c r="Q14778" i="34"/>
  <c r="Q14779" i="34"/>
  <c r="Q14780" i="34"/>
  <c r="Q14781" i="34"/>
  <c r="Q14782" i="34"/>
  <c r="Q14783" i="34"/>
  <c r="Q14784" i="34"/>
  <c r="Q14785" i="34"/>
  <c r="Q14786" i="34"/>
  <c r="Q14787" i="34"/>
  <c r="Q14788" i="34"/>
  <c r="Q14789" i="34"/>
  <c r="Q14790" i="34"/>
  <c r="Q14791" i="34"/>
  <c r="Q14792" i="34"/>
  <c r="Q14793" i="34"/>
  <c r="Q14794" i="34"/>
  <c r="Q14795" i="34"/>
  <c r="Q14796" i="34"/>
  <c r="Q14797" i="34"/>
  <c r="Q14798" i="34"/>
  <c r="Q14799" i="34"/>
  <c r="Q14800" i="34"/>
  <c r="Q14801" i="34"/>
  <c r="Q14802" i="34"/>
  <c r="Q14803" i="34"/>
  <c r="Q14804" i="34"/>
  <c r="Q14805" i="34"/>
  <c r="Q14806" i="34"/>
  <c r="Q14807" i="34"/>
  <c r="Q14808" i="34"/>
  <c r="Q14809" i="34"/>
  <c r="Q14810" i="34"/>
  <c r="Q14811" i="34"/>
  <c r="Q14812" i="34"/>
  <c r="Q14813" i="34"/>
  <c r="Q14814" i="34"/>
  <c r="Q14815" i="34"/>
  <c r="Q14816" i="34"/>
  <c r="Q14817" i="34"/>
  <c r="Q14818" i="34"/>
  <c r="Q14819" i="34"/>
  <c r="Q14820" i="34"/>
  <c r="Q14821" i="34"/>
  <c r="Q14822" i="34"/>
  <c r="Q14823" i="34"/>
  <c r="Q14824" i="34"/>
  <c r="Q14825" i="34"/>
  <c r="Q14826" i="34"/>
  <c r="Q14827" i="34"/>
  <c r="Q14828" i="34"/>
  <c r="Q14829" i="34"/>
  <c r="Q14830" i="34"/>
  <c r="Q14831" i="34"/>
  <c r="Q14832" i="34"/>
  <c r="Q14833" i="34"/>
  <c r="Q14834" i="34"/>
  <c r="Q14835" i="34"/>
  <c r="Q14836" i="34"/>
  <c r="Q14837" i="34"/>
  <c r="Q14838" i="34"/>
  <c r="Q14839" i="34"/>
  <c r="Q14840" i="34"/>
  <c r="Q14841" i="34"/>
  <c r="Q14842" i="34"/>
  <c r="Q14843" i="34"/>
  <c r="Q14844" i="34"/>
  <c r="Q14845" i="34"/>
  <c r="Q14846" i="34"/>
  <c r="Q14847" i="34"/>
  <c r="Q14848" i="34"/>
  <c r="Q14849" i="34"/>
  <c r="Q14850" i="34"/>
  <c r="Q14851" i="34"/>
  <c r="Q14852" i="34"/>
  <c r="Q14853" i="34"/>
  <c r="Q14854" i="34"/>
  <c r="Q14855" i="34"/>
  <c r="Q14856" i="34"/>
  <c r="Q14857" i="34"/>
  <c r="Q14858" i="34"/>
  <c r="Q14859" i="34"/>
  <c r="Q14860" i="34"/>
  <c r="Q14861" i="34"/>
  <c r="Q14862" i="34"/>
  <c r="Q14863" i="34"/>
  <c r="Q14864" i="34"/>
  <c r="Q14865" i="34"/>
  <c r="Q14866" i="34"/>
  <c r="Q14867" i="34"/>
  <c r="Q14868" i="34"/>
  <c r="Q14869" i="34"/>
  <c r="Q14870" i="34"/>
  <c r="Q14871" i="34"/>
  <c r="Q14872" i="34"/>
  <c r="Q14873" i="34"/>
  <c r="Q14874" i="34"/>
  <c r="Q14875" i="34"/>
  <c r="Q14876" i="34"/>
  <c r="Q14877" i="34"/>
  <c r="Q14878" i="34"/>
  <c r="Q14879" i="34"/>
  <c r="Q14880" i="34"/>
  <c r="Q14881" i="34"/>
  <c r="Q14882" i="34"/>
  <c r="Q14883" i="34"/>
  <c r="Q14884" i="34"/>
  <c r="Q14885" i="34"/>
  <c r="Q14886" i="34"/>
  <c r="Q14887" i="34"/>
  <c r="Q14888" i="34"/>
  <c r="Q14889" i="34"/>
  <c r="Q14890" i="34"/>
  <c r="Q14891" i="34"/>
  <c r="Q14892" i="34"/>
  <c r="Q14893" i="34"/>
  <c r="Q14894" i="34"/>
  <c r="Q14895" i="34"/>
  <c r="Q14896" i="34"/>
  <c r="Q14897" i="34"/>
  <c r="Q14898" i="34"/>
  <c r="Q14899" i="34"/>
  <c r="Q14900" i="34"/>
  <c r="Q14901" i="34"/>
  <c r="Q14902" i="34"/>
  <c r="Q14903" i="34"/>
  <c r="Q14904" i="34"/>
  <c r="Q14905" i="34"/>
  <c r="Q14906" i="34"/>
  <c r="Q14907" i="34"/>
  <c r="Q14908" i="34"/>
  <c r="Q14909" i="34"/>
  <c r="Q14910" i="34"/>
  <c r="Q14911" i="34"/>
  <c r="Q14912" i="34"/>
  <c r="Q14913" i="34"/>
  <c r="Q14914" i="34"/>
  <c r="Q14915" i="34"/>
  <c r="Q14916" i="34"/>
  <c r="Q14917" i="34"/>
  <c r="Q14918" i="34"/>
  <c r="Q14919" i="34"/>
  <c r="Q14920" i="34"/>
  <c r="Q14921" i="34"/>
  <c r="Q14922" i="34"/>
  <c r="Q14923" i="34"/>
  <c r="Q14924" i="34"/>
  <c r="Q14925" i="34"/>
  <c r="Q14926" i="34"/>
  <c r="Q14927" i="34"/>
  <c r="Q14928" i="34"/>
  <c r="Q14929" i="34"/>
  <c r="Q14930" i="34"/>
  <c r="Q14931" i="34"/>
  <c r="Q14932" i="34"/>
  <c r="Q14933" i="34"/>
  <c r="Q14934" i="34"/>
  <c r="Q14935" i="34"/>
  <c r="Q14936" i="34"/>
  <c r="Q14937" i="34"/>
  <c r="Q14938" i="34"/>
  <c r="Q14939" i="34"/>
  <c r="Q14940" i="34"/>
  <c r="Q14941" i="34"/>
  <c r="Q14942" i="34"/>
  <c r="Q14943" i="34"/>
  <c r="Q14944" i="34"/>
  <c r="Q14945" i="34"/>
  <c r="Q14946" i="34"/>
  <c r="Q14947" i="34"/>
  <c r="Q14948" i="34"/>
  <c r="Q14949" i="34"/>
  <c r="Q14950" i="34"/>
  <c r="Q14951" i="34"/>
  <c r="Q14952" i="34"/>
  <c r="Q14953" i="34"/>
  <c r="Q14954" i="34"/>
  <c r="Q14955" i="34"/>
  <c r="Q14956" i="34"/>
  <c r="Q14957" i="34"/>
  <c r="Q14958" i="34"/>
  <c r="Q14959" i="34"/>
  <c r="Q14960" i="34"/>
  <c r="Q14961" i="34"/>
  <c r="Q14962" i="34"/>
  <c r="Q14963" i="34"/>
  <c r="Q14964" i="34"/>
  <c r="Q14965" i="34"/>
  <c r="Q14966" i="34"/>
  <c r="Q14967" i="34"/>
  <c r="Q14968" i="34"/>
  <c r="Q14969" i="34"/>
  <c r="Q14970" i="34"/>
  <c r="Q14971" i="34"/>
  <c r="Q14972" i="34"/>
  <c r="Q14973" i="34"/>
  <c r="Q14974" i="34"/>
  <c r="Q14975" i="34"/>
  <c r="Q14976" i="34"/>
  <c r="Q14977" i="34"/>
  <c r="Q14978" i="34"/>
  <c r="Q14979" i="34"/>
  <c r="Q14980" i="34"/>
  <c r="Q14981" i="34"/>
  <c r="Q14982" i="34"/>
  <c r="Q14983" i="34"/>
  <c r="Q14984" i="34"/>
  <c r="Q14985" i="34"/>
  <c r="Q14986" i="34"/>
  <c r="Q14987" i="34"/>
  <c r="Q14988" i="34"/>
  <c r="Q14989" i="34"/>
  <c r="Q14990" i="34"/>
  <c r="Q14991" i="34"/>
  <c r="Q14992" i="34"/>
  <c r="Q14993" i="34"/>
  <c r="Q14994" i="34"/>
  <c r="Q14995" i="34"/>
  <c r="Q14996" i="34"/>
  <c r="Q14997" i="34"/>
  <c r="Q14998" i="34"/>
  <c r="Q14999" i="34"/>
  <c r="Q15000" i="34"/>
  <c r="Q15001" i="34"/>
  <c r="Q15002" i="34"/>
  <c r="Q15003" i="34"/>
  <c r="Q15004" i="34"/>
  <c r="Q15005" i="34"/>
  <c r="Q15006" i="34"/>
  <c r="Q15007" i="34"/>
  <c r="Q15008" i="34"/>
  <c r="Q15009" i="34"/>
  <c r="Q15010" i="34"/>
  <c r="Q15011" i="34"/>
  <c r="Q15012" i="34"/>
  <c r="Q15013" i="34"/>
  <c r="Q15014" i="34"/>
  <c r="Q15015" i="34"/>
  <c r="Q15016" i="34"/>
  <c r="Q15017" i="34"/>
  <c r="Q15018" i="34"/>
  <c r="Q15019" i="34"/>
  <c r="Q15020" i="34"/>
  <c r="Q15021" i="34"/>
  <c r="Q15022" i="34"/>
  <c r="Q15023" i="34"/>
  <c r="Q15024" i="34"/>
  <c r="Q15025" i="34"/>
  <c r="Q15026" i="34"/>
  <c r="Q15027" i="34"/>
  <c r="Q15028" i="34"/>
  <c r="Q15029" i="34"/>
  <c r="Q15030" i="34"/>
  <c r="Q15031" i="34"/>
  <c r="Q15032" i="34"/>
  <c r="Q15033" i="34"/>
  <c r="Q15034" i="34"/>
  <c r="Q15035" i="34"/>
  <c r="Q15036" i="34"/>
  <c r="Q15037" i="34"/>
  <c r="Q15038" i="34"/>
  <c r="Q15039" i="34"/>
  <c r="Q15040" i="34"/>
  <c r="Q15041" i="34"/>
  <c r="Q15042" i="34"/>
  <c r="Q15043" i="34"/>
  <c r="Q15044" i="34"/>
  <c r="Q15045" i="34"/>
  <c r="Q15046" i="34"/>
  <c r="Q15047" i="34"/>
  <c r="Q15048" i="34"/>
  <c r="Q15049" i="34"/>
  <c r="Q15050" i="34"/>
  <c r="Q15051" i="34"/>
  <c r="Q15052" i="34"/>
  <c r="Q15053" i="34"/>
  <c r="Q15054" i="34"/>
  <c r="Q15055" i="34"/>
  <c r="Q15056" i="34"/>
  <c r="Q15057" i="34"/>
  <c r="Q15058" i="34"/>
  <c r="Q15059" i="34"/>
  <c r="Q15060" i="34"/>
  <c r="Q15061" i="34"/>
  <c r="Q15062" i="34"/>
  <c r="Q15063" i="34"/>
  <c r="Q15064" i="34"/>
  <c r="Q15065" i="34"/>
  <c r="Q15066" i="34"/>
  <c r="Q15067" i="34"/>
  <c r="Q15068" i="34"/>
  <c r="Q15069" i="34"/>
  <c r="Q15070" i="34"/>
  <c r="Q15071" i="34"/>
  <c r="Q15072" i="34"/>
  <c r="Q15073" i="34"/>
  <c r="Q15074" i="34"/>
  <c r="Q15075" i="34"/>
  <c r="Q15076" i="34"/>
  <c r="Q15077" i="34"/>
  <c r="Q15078" i="34"/>
  <c r="Q15079" i="34"/>
  <c r="Q15080" i="34"/>
  <c r="Q15081" i="34"/>
  <c r="Q15082" i="34"/>
  <c r="Q15083" i="34"/>
  <c r="Q15084" i="34"/>
  <c r="Q15085" i="34"/>
  <c r="Q15086" i="34"/>
  <c r="Q15087" i="34"/>
  <c r="Q15088" i="34"/>
  <c r="Q15089" i="34"/>
  <c r="Q15090" i="34"/>
  <c r="Q15091" i="34"/>
  <c r="Q15092" i="34"/>
  <c r="Q15093" i="34"/>
  <c r="Q15094" i="34"/>
  <c r="Q15095" i="34"/>
  <c r="Q15096" i="34"/>
  <c r="Q15097" i="34"/>
  <c r="Q15098" i="34"/>
  <c r="Q15099" i="34"/>
  <c r="Q15100" i="34"/>
  <c r="Q15101" i="34"/>
  <c r="Q15102" i="34"/>
  <c r="Q15103" i="34"/>
  <c r="Q15104" i="34"/>
  <c r="Q15105" i="34"/>
  <c r="Q15106" i="34"/>
  <c r="Q15107" i="34"/>
  <c r="Q15108" i="34"/>
  <c r="Q15109" i="34"/>
  <c r="Q15110" i="34"/>
  <c r="Q15111" i="34"/>
  <c r="Q15112" i="34"/>
  <c r="Q15113" i="34"/>
  <c r="Q15114" i="34"/>
  <c r="Q15115" i="34"/>
  <c r="Q15116" i="34"/>
  <c r="Q15117" i="34"/>
  <c r="Q15118" i="34"/>
  <c r="Q15119" i="34"/>
  <c r="Q15120" i="34"/>
  <c r="Q15121" i="34"/>
  <c r="Q15122" i="34"/>
  <c r="Q15123" i="34"/>
  <c r="Q15124" i="34"/>
  <c r="Q15125" i="34"/>
  <c r="Q15126" i="34"/>
  <c r="Q15127" i="34"/>
  <c r="Q15128" i="34"/>
  <c r="Q15129" i="34"/>
  <c r="Q15130" i="34"/>
  <c r="Q15131" i="34"/>
  <c r="Q15132" i="34"/>
  <c r="Q15133" i="34"/>
  <c r="Q15134" i="34"/>
  <c r="Q15135" i="34"/>
  <c r="Q15136" i="34"/>
  <c r="Q15137" i="34"/>
  <c r="Q15138" i="34"/>
  <c r="Q15139" i="34"/>
  <c r="Q15140" i="34"/>
  <c r="Q15141" i="34"/>
  <c r="Q15142" i="34"/>
  <c r="Q15143" i="34"/>
  <c r="Q15144" i="34"/>
  <c r="Q15145" i="34"/>
  <c r="Q15146" i="34"/>
  <c r="Q15147" i="34"/>
  <c r="Q15148" i="34"/>
  <c r="Q15149" i="34"/>
  <c r="Q15150" i="34"/>
  <c r="Q15151" i="34"/>
  <c r="Q15152" i="34"/>
  <c r="Q15153" i="34"/>
  <c r="Q15154" i="34"/>
  <c r="Q15155" i="34"/>
  <c r="Q15156" i="34"/>
  <c r="Q15157" i="34"/>
  <c r="Q15158" i="34"/>
  <c r="Q15159" i="34"/>
  <c r="Q15160" i="34"/>
  <c r="Q15161" i="34"/>
  <c r="Q15162" i="34"/>
  <c r="Q15163" i="34"/>
  <c r="Q15164" i="34"/>
  <c r="Q15165" i="34"/>
  <c r="Q15166" i="34"/>
  <c r="Q15167" i="34"/>
  <c r="Q15168" i="34"/>
  <c r="Q15169" i="34"/>
  <c r="Q15170" i="34"/>
  <c r="Q15171" i="34"/>
  <c r="Q15172" i="34"/>
  <c r="Q15173" i="34"/>
  <c r="Q15174" i="34"/>
  <c r="Q15175" i="34"/>
  <c r="Q15176" i="34"/>
  <c r="Q15177" i="34"/>
  <c r="Q15178" i="34"/>
  <c r="Q15179" i="34"/>
  <c r="Q15180" i="34"/>
  <c r="Q15181" i="34"/>
  <c r="Q15182" i="34"/>
  <c r="Q15183" i="34"/>
  <c r="Q15184" i="34"/>
  <c r="Q15185" i="34"/>
  <c r="Q15186" i="34"/>
  <c r="Q15187" i="34"/>
  <c r="Q15188" i="34"/>
  <c r="Q15189" i="34"/>
  <c r="Q15190" i="34"/>
  <c r="Q15191" i="34"/>
  <c r="Q15192" i="34"/>
  <c r="Q15193" i="34"/>
  <c r="Q15194" i="34"/>
  <c r="Q15195" i="34"/>
  <c r="Q15196" i="34"/>
  <c r="Q15197" i="34"/>
  <c r="Q15198" i="34"/>
  <c r="Q15199" i="34"/>
  <c r="Q15200" i="34"/>
  <c r="Q15201" i="34"/>
  <c r="Q15202" i="34"/>
  <c r="Q15203" i="34"/>
  <c r="Q15204" i="34"/>
  <c r="Q15205" i="34"/>
  <c r="Q15206" i="34"/>
  <c r="Q15207" i="34"/>
  <c r="Q15208" i="34"/>
  <c r="Q15209" i="34"/>
  <c r="Q15210" i="34"/>
  <c r="Q15211" i="34"/>
  <c r="Q15212" i="34"/>
  <c r="Q15213" i="34"/>
  <c r="Q15214" i="34"/>
  <c r="Q15215" i="34"/>
  <c r="Q15216" i="34"/>
  <c r="Q15217" i="34"/>
  <c r="Q15218" i="34"/>
  <c r="Q15219" i="34"/>
  <c r="Q15220" i="34"/>
  <c r="Q15221" i="34"/>
  <c r="Q15222" i="34"/>
  <c r="Q15223" i="34"/>
  <c r="Q15224" i="34"/>
  <c r="Q15225" i="34"/>
  <c r="Q15226" i="34"/>
  <c r="Q15227" i="34"/>
  <c r="Q15228" i="34"/>
  <c r="Q15229" i="34"/>
  <c r="Q15230" i="34"/>
  <c r="Q15231" i="34"/>
  <c r="Q15232" i="34"/>
  <c r="Q15233" i="34"/>
  <c r="Q15234" i="34"/>
  <c r="Q15235" i="34"/>
  <c r="Q15236" i="34"/>
  <c r="Q15237" i="34"/>
  <c r="Q15238" i="34"/>
  <c r="Q15239" i="34"/>
  <c r="Q15240" i="34"/>
  <c r="Q15241" i="34"/>
  <c r="Q15242" i="34"/>
  <c r="Q15243" i="34"/>
  <c r="Q15244" i="34"/>
  <c r="Q15245" i="34"/>
  <c r="Q15246" i="34"/>
  <c r="Q15247" i="34"/>
  <c r="Q15248" i="34"/>
  <c r="Q15249" i="34"/>
  <c r="Q15250" i="34"/>
  <c r="Q15251" i="34"/>
  <c r="Q15252" i="34"/>
  <c r="Q15253" i="34"/>
  <c r="Q15254" i="34"/>
  <c r="Q15255" i="34"/>
  <c r="Q15256" i="34"/>
  <c r="Q15257" i="34"/>
  <c r="Q15258" i="34"/>
  <c r="Q15259" i="34"/>
  <c r="Q15260" i="34"/>
  <c r="Q15261" i="34"/>
  <c r="Q15262" i="34"/>
  <c r="Q15263" i="34"/>
  <c r="Q15264" i="34"/>
  <c r="Q15265" i="34"/>
  <c r="Q15266" i="34"/>
  <c r="Q15267" i="34"/>
  <c r="Q15268" i="34"/>
  <c r="Q15269" i="34"/>
  <c r="Q15270" i="34"/>
  <c r="Q15271" i="34"/>
  <c r="Q15272" i="34"/>
  <c r="Q15273" i="34"/>
  <c r="Q15274" i="34"/>
  <c r="Q15275" i="34"/>
  <c r="Q15276" i="34"/>
  <c r="Q15277" i="34"/>
  <c r="Q15278" i="34"/>
  <c r="Q15279" i="34"/>
  <c r="Q15280" i="34"/>
  <c r="Q15281" i="34"/>
  <c r="Q15282" i="34"/>
  <c r="Q15283" i="34"/>
  <c r="Q15284" i="34"/>
  <c r="Q15285" i="34"/>
  <c r="Q15286" i="34"/>
  <c r="Q15287" i="34"/>
  <c r="Q15288" i="34"/>
  <c r="Q15289" i="34"/>
  <c r="Q15290" i="34"/>
  <c r="Q15291" i="34"/>
  <c r="Q15292" i="34"/>
  <c r="Q15293" i="34"/>
  <c r="Q15294" i="34"/>
  <c r="Q15295" i="34"/>
  <c r="Q15296" i="34"/>
  <c r="Q15297" i="34"/>
  <c r="Q15298" i="34"/>
  <c r="Q15299" i="34"/>
  <c r="Q15300" i="34"/>
  <c r="Q15301" i="34"/>
  <c r="Q15302" i="34"/>
  <c r="Q15303" i="34"/>
  <c r="Q15304" i="34"/>
  <c r="Q15305" i="34"/>
  <c r="Q15306" i="34"/>
  <c r="Q15307" i="34"/>
  <c r="Q15308" i="34"/>
  <c r="Q15309" i="34"/>
  <c r="Q15310" i="34"/>
  <c r="Q15311" i="34"/>
  <c r="Q15312" i="34"/>
  <c r="Q15313" i="34"/>
  <c r="Q15314" i="34"/>
  <c r="Q15315" i="34"/>
  <c r="Q15316" i="34"/>
  <c r="Q15317" i="34"/>
  <c r="Q15318" i="34"/>
  <c r="Q15319" i="34"/>
  <c r="Q15320" i="34"/>
  <c r="Q15321" i="34"/>
  <c r="Q15322" i="34"/>
  <c r="Q15323" i="34"/>
  <c r="Q15324" i="34"/>
  <c r="Q15325" i="34"/>
  <c r="Q15326" i="34"/>
  <c r="Q15327" i="34"/>
  <c r="Q15328" i="34"/>
  <c r="Q15329" i="34"/>
  <c r="Q15330" i="34"/>
  <c r="Q15331" i="34"/>
  <c r="Q15332" i="34"/>
  <c r="Q15333" i="34"/>
  <c r="Q15334" i="34"/>
  <c r="Q15335" i="34"/>
  <c r="Q15336" i="34"/>
  <c r="Q15337" i="34"/>
  <c r="Q15338" i="34"/>
  <c r="Q15339" i="34"/>
  <c r="Q15340" i="34"/>
  <c r="Q15341" i="34"/>
  <c r="Q15342" i="34"/>
  <c r="Q15343" i="34"/>
  <c r="Q15344" i="34"/>
  <c r="Q15345" i="34"/>
  <c r="Q15346" i="34"/>
  <c r="Q2" i="34"/>
  <c r="P15350" i="34"/>
  <c r="D15350" i="34"/>
  <c r="F15348" i="34"/>
  <c r="H15348" i="34" s="1"/>
  <c r="P15348" i="34"/>
  <c r="D15348" i="34"/>
  <c r="I29" i="23"/>
  <c r="J29" i="23"/>
  <c r="K29" i="23"/>
  <c r="L29" i="23"/>
  <c r="M29" i="23"/>
  <c r="B29" i="23"/>
  <c r="C29" i="23"/>
  <c r="D29" i="23"/>
  <c r="E29" i="23"/>
  <c r="F29" i="23"/>
  <c r="G29" i="23"/>
  <c r="H29" i="23"/>
  <c r="A29" i="23"/>
  <c r="M25" i="23"/>
  <c r="K25" i="23"/>
  <c r="L25" i="23"/>
  <c r="J25" i="23"/>
  <c r="F10" i="33"/>
  <c r="G10" i="33"/>
  <c r="H10" i="33"/>
  <c r="E10" i="33"/>
  <c r="I4" i="32"/>
  <c r="I3" i="32"/>
  <c r="I12" i="31"/>
  <c r="H4" i="30" a="1"/>
  <c r="H5" i="30" a="1"/>
  <c r="H6" i="30" a="1"/>
  <c r="H3" i="30" a="1"/>
  <c r="J25" i="29" a="1"/>
  <c r="J26" i="29" a="1"/>
  <c r="J27" i="29" a="1"/>
  <c r="J24" i="29" a="1"/>
  <c r="J17" i="29" a="1"/>
  <c r="J15" i="29" a="1"/>
  <c r="J16" i="29" a="1"/>
  <c r="J4" i="29" a="1"/>
  <c r="J14" i="29"/>
  <c r="J5" i="29" a="1"/>
  <c r="J6" i="29" a="1"/>
  <c r="J3" i="29"/>
  <c r="J21" i="27"/>
  <c r="J22" i="27"/>
  <c r="J23" i="27"/>
  <c r="J20" i="27"/>
  <c r="H19" i="27"/>
  <c r="I30" i="26"/>
  <c r="I31" i="26"/>
  <c r="I32" i="26"/>
  <c r="I29" i="26"/>
  <c r="H35" i="26"/>
  <c r="L28" i="26" a="1"/>
  <c r="H16" i="28"/>
  <c r="H17" i="28"/>
  <c r="I3" i="19" a="1"/>
  <c r="J12" i="27"/>
  <c r="J13" i="27"/>
  <c r="J14" i="27"/>
  <c r="J11" i="27"/>
  <c r="H10" i="27"/>
  <c r="H12" i="26"/>
  <c r="L1" i="26" a="1"/>
  <c r="M9" i="25"/>
  <c r="J19" i="23"/>
  <c r="J20" i="23"/>
  <c r="J21" i="23"/>
  <c r="J18" i="23"/>
  <c r="J5" i="23"/>
  <c r="H5" i="23"/>
  <c r="H6" i="23"/>
  <c r="H7" i="23"/>
  <c r="H8" i="23"/>
  <c r="M7" i="22"/>
  <c r="D2" i="21" a="1"/>
  <c r="H8" i="19"/>
  <c r="G8" i="19"/>
  <c r="J5" i="18"/>
  <c r="K5" i="18"/>
  <c r="L5" i="18"/>
  <c r="I7" i="18"/>
  <c r="I8" i="18"/>
  <c r="J8" i="18"/>
  <c r="K8" i="18"/>
  <c r="L8" i="18"/>
  <c r="K7" i="18"/>
  <c r="L7" i="18"/>
  <c r="J7" i="18"/>
  <c r="I6" i="18"/>
  <c r="J6" i="18" s="1"/>
  <c r="K6" i="18" s="1"/>
  <c r="L6" i="18" s="1"/>
  <c r="I5" i="18"/>
  <c r="E3" i="18"/>
  <c r="E4" i="18"/>
  <c r="E5" i="18"/>
  <c r="E6" i="18"/>
  <c r="E2" i="18"/>
  <c r="D3" i="18"/>
  <c r="D4" i="18"/>
  <c r="D5" i="18"/>
  <c r="D6" i="18"/>
  <c r="D2" i="18"/>
  <c r="H3" i="17"/>
  <c r="H5" i="17"/>
  <c r="H4" i="17"/>
  <c r="C4" i="17"/>
  <c r="C5" i="17"/>
  <c r="C6" i="17"/>
  <c r="C7" i="17"/>
  <c r="C3" i="17"/>
  <c r="M20" i="15"/>
  <c r="M18" i="15"/>
  <c r="M16" i="15"/>
  <c r="G3" i="16"/>
  <c r="G4" i="16"/>
  <c r="G5" i="16"/>
  <c r="G6" i="16"/>
  <c r="G2" i="16"/>
  <c r="F3" i="16"/>
  <c r="F4" i="16"/>
  <c r="F5" i="16"/>
  <c r="F6" i="16"/>
  <c r="F2" i="16"/>
  <c r="E3" i="16"/>
  <c r="E4" i="16"/>
  <c r="E5" i="16"/>
  <c r="E6" i="16"/>
  <c r="E2" i="16"/>
  <c r="D3" i="16"/>
  <c r="D4" i="16"/>
  <c r="D5" i="16"/>
  <c r="D6" i="16"/>
  <c r="D2" i="16"/>
  <c r="C3" i="16"/>
  <c r="C4" i="16"/>
  <c r="C5" i="16"/>
  <c r="C6" i="16"/>
  <c r="C2" i="16"/>
  <c r="M22" i="15"/>
  <c r="M24" i="15"/>
  <c r="M26" i="15"/>
  <c r="M14" i="15"/>
  <c r="M12" i="15"/>
  <c r="M10" i="15"/>
  <c r="M8" i="15"/>
  <c r="M6" i="15"/>
  <c r="M4" i="15"/>
  <c r="M2" i="15"/>
  <c r="M28" i="14"/>
  <c r="M26" i="14"/>
  <c r="M24" i="14"/>
  <c r="M22" i="14"/>
  <c r="M20" i="14"/>
  <c r="M18" i="14"/>
  <c r="M16" i="14"/>
  <c r="M14" i="14"/>
  <c r="M12" i="14"/>
  <c r="M10" i="14"/>
  <c r="M8" i="14"/>
  <c r="M6" i="14"/>
  <c r="M4" i="14"/>
  <c r="M2" i="14"/>
  <c r="M16" i="13"/>
  <c r="M26" i="13"/>
  <c r="M24" i="13"/>
  <c r="M22" i="13"/>
  <c r="M20" i="13"/>
  <c r="M18" i="13"/>
  <c r="M14" i="13"/>
  <c r="M12" i="13"/>
  <c r="M10" i="13"/>
  <c r="M8" i="13"/>
  <c r="M6" i="13"/>
  <c r="Q4" i="13"/>
  <c r="Q2" i="13"/>
  <c r="N28" i="12"/>
  <c r="N26" i="12"/>
  <c r="N24" i="12"/>
  <c r="N22" i="12"/>
  <c r="N20" i="12"/>
  <c r="N18" i="12"/>
  <c r="N16" i="12"/>
  <c r="N14" i="12"/>
  <c r="N12" i="12"/>
  <c r="N10" i="12"/>
  <c r="N8" i="12"/>
  <c r="N6" i="12"/>
  <c r="N4" i="12"/>
  <c r="N2" i="12"/>
  <c r="M24" i="10"/>
  <c r="M22" i="10"/>
  <c r="F6" i="11"/>
  <c r="F4" i="11"/>
  <c r="F2" i="11"/>
  <c r="M20" i="10"/>
  <c r="M18" i="10"/>
  <c r="M16" i="10"/>
  <c r="M14" i="10"/>
  <c r="M12" i="10"/>
  <c r="M10" i="10"/>
  <c r="M8" i="10"/>
  <c r="M6" i="10"/>
  <c r="M2" i="10"/>
  <c r="M4" i="10"/>
  <c r="M28" i="9"/>
  <c r="M26" i="9"/>
  <c r="M24" i="9"/>
  <c r="M18" i="9"/>
  <c r="M14" i="9"/>
  <c r="M16" i="9"/>
  <c r="M22" i="9"/>
  <c r="M20" i="9"/>
  <c r="M12" i="9"/>
  <c r="M10" i="9"/>
  <c r="M8" i="9"/>
  <c r="M6" i="9"/>
  <c r="M4" i="9"/>
  <c r="M2" i="9"/>
  <c r="W7" i="9"/>
  <c r="W5" i="9"/>
  <c r="W3" i="9"/>
  <c r="Y2" i="5"/>
  <c r="Z2" i="5" a="1"/>
  <c r="Y4" i="5"/>
  <c r="J26" i="5"/>
  <c r="B59" i="5"/>
  <c r="H33" i="5"/>
  <c r="I33" i="5" s="1"/>
  <c r="J27" i="5"/>
  <c r="J55" i="5"/>
  <c r="J28" i="5"/>
  <c r="J34" i="5"/>
  <c r="J46" i="5"/>
  <c r="J43" i="5"/>
  <c r="J54" i="5"/>
  <c r="J30" i="5"/>
  <c r="J47" i="5"/>
  <c r="J44" i="5"/>
  <c r="J51" i="5"/>
  <c r="J41" i="5"/>
  <c r="J31" i="5"/>
  <c r="J36" i="5"/>
  <c r="J29" i="5"/>
  <c r="J48" i="5"/>
  <c r="J40" i="5"/>
  <c r="J35" i="5"/>
  <c r="J33" i="5"/>
  <c r="J45" i="5"/>
  <c r="J39" i="5"/>
  <c r="J52" i="5"/>
  <c r="J53" i="5"/>
  <c r="J50" i="5"/>
  <c r="J32" i="5"/>
  <c r="J38" i="5"/>
  <c r="J49" i="5"/>
  <c r="J37" i="5"/>
  <c r="J42" i="5"/>
  <c r="H27" i="5"/>
  <c r="I27" i="5" s="1"/>
  <c r="H55" i="5"/>
  <c r="I55" i="5" s="1"/>
  <c r="H28" i="5"/>
  <c r="I28" i="5" s="1"/>
  <c r="H34" i="5"/>
  <c r="I34" i="5" s="1"/>
  <c r="H46" i="5"/>
  <c r="I46" i="5" s="1"/>
  <c r="H43" i="5"/>
  <c r="I43" i="5" s="1"/>
  <c r="H54" i="5"/>
  <c r="I54" i="5" s="1"/>
  <c r="H30" i="5"/>
  <c r="I30" i="5" s="1"/>
  <c r="H47" i="5"/>
  <c r="I47" i="5" s="1"/>
  <c r="H44" i="5"/>
  <c r="I44" i="5" s="1"/>
  <c r="H51" i="5"/>
  <c r="I51" i="5" s="1"/>
  <c r="H41" i="5"/>
  <c r="I41" i="5" s="1"/>
  <c r="H31" i="5"/>
  <c r="I31" i="5" s="1"/>
  <c r="H36" i="5"/>
  <c r="I36" i="5" s="1"/>
  <c r="H29" i="5"/>
  <c r="I29" i="5" s="1"/>
  <c r="H48" i="5"/>
  <c r="I48" i="5" s="1"/>
  <c r="H40" i="5"/>
  <c r="I40" i="5" s="1"/>
  <c r="H35" i="5"/>
  <c r="I35" i="5" s="1"/>
  <c r="H45" i="5"/>
  <c r="I45" i="5" s="1"/>
  <c r="H39" i="5"/>
  <c r="I39" i="5" s="1"/>
  <c r="H52" i="5"/>
  <c r="I52" i="5" s="1"/>
  <c r="H53" i="5"/>
  <c r="I53" i="5" s="1"/>
  <c r="H50" i="5"/>
  <c r="I50" i="5" s="1"/>
  <c r="H26" i="5"/>
  <c r="I26" i="5" s="1"/>
  <c r="H32" i="5"/>
  <c r="I32" i="5" s="1"/>
  <c r="H38" i="5"/>
  <c r="I38" i="5" s="1"/>
  <c r="H49" i="5"/>
  <c r="I49" i="5" s="1"/>
  <c r="H37" i="5"/>
  <c r="I37" i="5" s="1"/>
  <c r="H42" i="5"/>
  <c r="I42" i="5" s="1"/>
  <c r="O4" i="2" a="1"/>
  <c r="O5" i="2" a="1"/>
  <c r="O6" i="2" a="1"/>
  <c r="O3" i="2" a="1"/>
  <c r="N4" i="2"/>
  <c r="N5" i="2"/>
  <c r="N6" i="2"/>
  <c r="N3" i="2"/>
  <c r="L6" i="2"/>
  <c r="K6" i="2"/>
  <c r="H6" i="2"/>
  <c r="G6" i="2"/>
  <c r="F6" i="2"/>
  <c r="E6" i="2"/>
  <c r="I6" i="2" s="1"/>
  <c r="L5" i="2"/>
  <c r="K5" i="2"/>
  <c r="H5" i="2"/>
  <c r="G5" i="2"/>
  <c r="F5" i="2"/>
  <c r="E5" i="2"/>
  <c r="I5" i="2" s="1"/>
  <c r="L4" i="2"/>
  <c r="K4" i="2"/>
  <c r="H4" i="2"/>
  <c r="G4" i="2"/>
  <c r="F4" i="2"/>
  <c r="E4" i="2"/>
  <c r="I4" i="2" s="1"/>
  <c r="L3" i="2"/>
  <c r="K3" i="2"/>
  <c r="H3" i="2"/>
  <c r="G3" i="2"/>
  <c r="F3" i="2"/>
  <c r="E3" i="2"/>
  <c r="I3" i="2" s="1"/>
  <c r="K28" i="1"/>
  <c r="K29" i="1"/>
  <c r="K30" i="1"/>
  <c r="K31" i="1"/>
  <c r="K32" i="1"/>
  <c r="K33" i="1"/>
  <c r="K34" i="1"/>
  <c r="K35" i="1"/>
  <c r="K36" i="1"/>
  <c r="K27" i="1"/>
  <c r="H28" i="1"/>
  <c r="H29" i="1"/>
  <c r="H30" i="1"/>
  <c r="H31" i="1"/>
  <c r="H32" i="1"/>
  <c r="H33" i="1"/>
  <c r="H34" i="1"/>
  <c r="H35" i="1"/>
  <c r="H36" i="1"/>
  <c r="H27" i="1"/>
  <c r="G28" i="1"/>
  <c r="G29" i="1"/>
  <c r="G30" i="1"/>
  <c r="G31" i="1"/>
  <c r="G32" i="1"/>
  <c r="G33" i="1"/>
  <c r="G34" i="1"/>
  <c r="G35" i="1"/>
  <c r="G36" i="1"/>
  <c r="G27" i="1"/>
  <c r="F28" i="1"/>
  <c r="F29" i="1"/>
  <c r="F30" i="1"/>
  <c r="F31" i="1"/>
  <c r="F32" i="1"/>
  <c r="F33" i="1"/>
  <c r="F34" i="1"/>
  <c r="F35" i="1"/>
  <c r="F36" i="1"/>
  <c r="F27" i="1"/>
  <c r="E28" i="1"/>
  <c r="I28" i="1" s="1"/>
  <c r="E29" i="1"/>
  <c r="I29" i="1" s="1"/>
  <c r="E30" i="1"/>
  <c r="I30" i="1" s="1"/>
  <c r="E31" i="1"/>
  <c r="I31" i="1" s="1"/>
  <c r="E32" i="1"/>
  <c r="I32" i="1" s="1"/>
  <c r="E33" i="1"/>
  <c r="I33" i="1" s="1"/>
  <c r="E34" i="1"/>
  <c r="I34" i="1" s="1"/>
  <c r="E35" i="1"/>
  <c r="I35" i="1" s="1"/>
  <c r="E36" i="1"/>
  <c r="I36" i="1" s="1"/>
  <c r="E27" i="1"/>
  <c r="I27" i="1" s="1"/>
  <c r="L18" i="1"/>
  <c r="L19" i="1"/>
  <c r="L20" i="1"/>
  <c r="L17" i="1"/>
  <c r="K18" i="1"/>
  <c r="K19" i="1"/>
  <c r="K20" i="1"/>
  <c r="K17" i="1"/>
  <c r="H18" i="1"/>
  <c r="H19" i="1"/>
  <c r="H20" i="1"/>
  <c r="G18" i="1"/>
  <c r="G19" i="1"/>
  <c r="G20" i="1"/>
  <c r="H17" i="1"/>
  <c r="G17" i="1"/>
  <c r="F18" i="1"/>
  <c r="F19" i="1"/>
  <c r="F20" i="1"/>
  <c r="F17" i="1"/>
  <c r="E18" i="1"/>
  <c r="I18" i="1" s="1"/>
  <c r="J18" i="1" s="1"/>
  <c r="E19" i="1"/>
  <c r="I19" i="1" s="1"/>
  <c r="J19" i="1" s="1"/>
  <c r="E20" i="1"/>
  <c r="I20" i="1" s="1"/>
  <c r="J20" i="1" s="1"/>
  <c r="E17" i="1"/>
  <c r="I17" i="1" s="1"/>
  <c r="J17" i="1" s="1"/>
  <c r="I2" i="26" l="1"/>
  <c r="I3" i="26"/>
  <c r="I4" i="26"/>
  <c r="I5" i="26"/>
  <c r="L9" i="18"/>
  <c r="K9" i="18"/>
  <c r="J9" i="18"/>
  <c r="I9" i="18"/>
  <c r="L27" i="5"/>
  <c r="K27" i="5" a="1"/>
  <c r="L55" i="5"/>
  <c r="K55" i="5" a="1"/>
  <c r="L28" i="5"/>
  <c r="K28" i="5" a="1"/>
  <c r="L34" i="5"/>
  <c r="K34" i="5" a="1"/>
  <c r="L46" i="5"/>
  <c r="K46" i="5" a="1"/>
  <c r="L43" i="5"/>
  <c r="K43" i="5" a="1"/>
  <c r="L54" i="5"/>
  <c r="K54" i="5" a="1"/>
  <c r="L30" i="5"/>
  <c r="K30" i="5" a="1"/>
  <c r="K47" i="5" a="1"/>
  <c r="L47" i="5"/>
  <c r="L44" i="5"/>
  <c r="K44" i="5" a="1"/>
  <c r="K51" i="5" a="1"/>
  <c r="L51" i="5"/>
  <c r="L41" i="5"/>
  <c r="K41" i="5" a="1"/>
  <c r="L31" i="5"/>
  <c r="K31" i="5" a="1"/>
  <c r="L36" i="5"/>
  <c r="K36" i="5" a="1"/>
  <c r="L29" i="5"/>
  <c r="K29" i="5" a="1"/>
  <c r="L48" i="5"/>
  <c r="K48" i="5" a="1"/>
  <c r="L40" i="5"/>
  <c r="K40" i="5" a="1"/>
  <c r="K35" i="5" a="1"/>
  <c r="L35" i="5"/>
  <c r="L45" i="5"/>
  <c r="K45" i="5" a="1"/>
  <c r="L39" i="5"/>
  <c r="K39" i="5" a="1"/>
  <c r="L52" i="5"/>
  <c r="K52" i="5" a="1"/>
  <c r="L53" i="5"/>
  <c r="K53" i="5" a="1"/>
  <c r="L50" i="5"/>
  <c r="K50" i="5" a="1"/>
  <c r="L32" i="5"/>
  <c r="K32" i="5" a="1"/>
  <c r="L38" i="5"/>
  <c r="K38" i="5" a="1"/>
  <c r="L49" i="5"/>
  <c r="K49" i="5" a="1"/>
  <c r="L37" i="5"/>
  <c r="K37" i="5" a="1"/>
  <c r="I62" i="5"/>
  <c r="K42" i="5" a="1"/>
  <c r="L42" i="5"/>
  <c r="I60" i="5"/>
  <c r="I58" i="5"/>
  <c r="L26" i="5"/>
  <c r="K26" i="5" a="1"/>
  <c r="L33" i="5"/>
  <c r="K33" i="5" a="1"/>
  <c r="J6" i="2"/>
  <c r="M6" i="2"/>
  <c r="J5" i="2"/>
  <c r="M5" i="2"/>
  <c r="J4" i="2"/>
  <c r="M4" i="2"/>
  <c r="M3" i="2"/>
  <c r="J3" i="2"/>
  <c r="O28" i="5" l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<sst xmlns="http://schemas.openxmlformats.org/spreadsheetml/2006/main" count="95115" uniqueCount="15971">
  <si>
    <t>Monday</t>
  </si>
  <si>
    <t>Tuesday</t>
  </si>
  <si>
    <t>Wednesday</t>
  </si>
  <si>
    <t>Thursday</t>
  </si>
  <si>
    <t>Friday</t>
  </si>
  <si>
    <t>Saturday</t>
  </si>
  <si>
    <t>Sunday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</si>
  <si>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</si>
  <si>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</si>
  <si>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</si>
  <si>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</si>
  <si>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</si>
  <si>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</si>
  <si>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</si>
  <si>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</si>
  <si>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</si>
  <si>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</si>
  <si>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</si>
  <si>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</si>
  <si>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Name </t>
  </si>
  <si>
    <t>sci</t>
  </si>
  <si>
    <t>maths</t>
  </si>
  <si>
    <t>his</t>
  </si>
  <si>
    <t>total</t>
  </si>
  <si>
    <t>a</t>
  </si>
  <si>
    <t>b</t>
  </si>
  <si>
    <t>c</t>
  </si>
  <si>
    <t>d</t>
  </si>
  <si>
    <t>max</t>
  </si>
  <si>
    <t xml:space="preserve">min </t>
  </si>
  <si>
    <t>avg</t>
  </si>
  <si>
    <t xml:space="preserve">percentage </t>
  </si>
  <si>
    <t>Result</t>
  </si>
  <si>
    <t>Result Or</t>
  </si>
  <si>
    <t xml:space="preserve">Result AND </t>
  </si>
  <si>
    <t xml:space="preserve">result </t>
  </si>
  <si>
    <t xml:space="preserve">total </t>
  </si>
  <si>
    <t xml:space="preserve">avg </t>
  </si>
  <si>
    <t>result and</t>
  </si>
  <si>
    <t xml:space="preserve">if ,if AND , IF OR </t>
  </si>
  <si>
    <t>NESTED IF AND  IFS FUNCTIONS</t>
  </si>
  <si>
    <t>Result and Grade</t>
  </si>
  <si>
    <t>nested IFS</t>
  </si>
  <si>
    <t xml:space="preserve">Grade Nested IF </t>
  </si>
  <si>
    <t>Employee_ID</t>
  </si>
  <si>
    <t>Employee_Name</t>
  </si>
  <si>
    <t>Department</t>
  </si>
  <si>
    <t>Region</t>
  </si>
  <si>
    <t>Join_Date</t>
  </si>
  <si>
    <t>Last_Login</t>
  </si>
  <si>
    <t>Project_Deadline</t>
  </si>
  <si>
    <t>Sales_Target</t>
  </si>
  <si>
    <t>Actual_Sales</t>
  </si>
  <si>
    <t>Profit_Percent</t>
  </si>
  <si>
    <t>Attendance_Percent</t>
  </si>
  <si>
    <t>Tasks_Completed</t>
  </si>
  <si>
    <t>Total_Tasks</t>
  </si>
  <si>
    <t>Performance_Rating</t>
  </si>
  <si>
    <t>Salary</t>
  </si>
  <si>
    <t>Bonus</t>
  </si>
  <si>
    <t>Leave_Days</t>
  </si>
  <si>
    <t>Status</t>
  </si>
  <si>
    <t>Email_Verified</t>
  </si>
  <si>
    <t>Remarks</t>
  </si>
  <si>
    <t>E001</t>
  </si>
  <si>
    <t>Aarav Mehta</t>
  </si>
  <si>
    <t>Sales</t>
  </si>
  <si>
    <t>West</t>
  </si>
  <si>
    <t>1/15/2023</t>
  </si>
  <si>
    <t>Completed</t>
  </si>
  <si>
    <t>Yes</t>
  </si>
  <si>
    <t>Excellent</t>
  </si>
  <si>
    <t>E002</t>
  </si>
  <si>
    <t>Neha Sharma</t>
  </si>
  <si>
    <t>HR</t>
  </si>
  <si>
    <t>North</t>
  </si>
  <si>
    <t>5/28/2026</t>
  </si>
  <si>
    <t>Pending</t>
  </si>
  <si>
    <t>No</t>
  </si>
  <si>
    <t>Low Performance</t>
  </si>
  <si>
    <t>E003</t>
  </si>
  <si>
    <t>Rohan Iyer</t>
  </si>
  <si>
    <t>IT</t>
  </si>
  <si>
    <t>South</t>
  </si>
  <si>
    <t>7/21/2021</t>
  </si>
  <si>
    <t>5/30/2026</t>
  </si>
  <si>
    <t>Top Performer</t>
  </si>
  <si>
    <t>E004</t>
  </si>
  <si>
    <t>Priya Nair</t>
  </si>
  <si>
    <t>Finance</t>
  </si>
  <si>
    <t>East</t>
  </si>
  <si>
    <t>4/20/2026</t>
  </si>
  <si>
    <t>Delayed</t>
  </si>
  <si>
    <t>Consistent</t>
  </si>
  <si>
    <t>E005</t>
  </si>
  <si>
    <t>Aditya Rao</t>
  </si>
  <si>
    <t>5/27/2026</t>
  </si>
  <si>
    <t>5/29/2026</t>
  </si>
  <si>
    <t>Duplicate ID</t>
  </si>
  <si>
    <t>E006</t>
  </si>
  <si>
    <t>Kavya Patel</t>
  </si>
  <si>
    <t>Marketing</t>
  </si>
  <si>
    <t>9/14/2023</t>
  </si>
  <si>
    <t>6/15/2026</t>
  </si>
  <si>
    <t>Follow Up</t>
  </si>
  <si>
    <t>E007</t>
  </si>
  <si>
    <t>Vikram Singh</t>
  </si>
  <si>
    <t>3/18/2022</t>
  </si>
  <si>
    <t>5/26/2026</t>
  </si>
  <si>
    <t>Outstanding</t>
  </si>
  <si>
    <t>E008</t>
  </si>
  <si>
    <t>Ananya Das</t>
  </si>
  <si>
    <t>8/25/2021</t>
  </si>
  <si>
    <t>Critical</t>
  </si>
  <si>
    <t>E009</t>
  </si>
  <si>
    <t>Rahul Joshi</t>
  </si>
  <si>
    <t>Good</t>
  </si>
  <si>
    <t>E010</t>
  </si>
  <si>
    <t>Simran Kaur</t>
  </si>
  <si>
    <t>6/30/2022</t>
  </si>
  <si>
    <t>5/31/2026</t>
  </si>
  <si>
    <t>E011</t>
  </si>
  <si>
    <t>Arjun Verma</t>
  </si>
  <si>
    <t>Low Attendance</t>
  </si>
  <si>
    <t>E012</t>
  </si>
  <si>
    <t>Sneha Kulkarni</t>
  </si>
  <si>
    <t>10/19/2020</t>
  </si>
  <si>
    <t>5/24/2026</t>
  </si>
  <si>
    <t>6/20/2026</t>
  </si>
  <si>
    <t>Best Employee</t>
  </si>
  <si>
    <t>E013</t>
  </si>
  <si>
    <t>Manish Gupta</t>
  </si>
  <si>
    <t>5/16/2021</t>
  </si>
  <si>
    <t>Average</t>
  </si>
  <si>
    <t>E014</t>
  </si>
  <si>
    <t>Pooja Reddy</t>
  </si>
  <si>
    <t>9/27/2022</t>
  </si>
  <si>
    <t>5/14/2026</t>
  </si>
  <si>
    <t>6/18/2026</t>
  </si>
  <si>
    <t>E015</t>
  </si>
  <si>
    <t>Karan Malhotra</t>
  </si>
  <si>
    <t>4/29/2026</t>
  </si>
  <si>
    <t>Urgent Review</t>
  </si>
  <si>
    <t>E016</t>
  </si>
  <si>
    <t>Isha Banerjee</t>
  </si>
  <si>
    <t>Very Good</t>
  </si>
  <si>
    <t>E017</t>
  </si>
  <si>
    <t>Dev Khanna</t>
  </si>
  <si>
    <t>5/15/2026</t>
  </si>
  <si>
    <t>Target Met</t>
  </si>
  <si>
    <t>E018</t>
  </si>
  <si>
    <t>Meera Pillai</t>
  </si>
  <si>
    <t>3/20/2024</t>
  </si>
  <si>
    <t>very Good</t>
  </si>
  <si>
    <t>E019</t>
  </si>
  <si>
    <t>Yash Thakur</t>
  </si>
  <si>
    <t>2/17/2023</t>
  </si>
  <si>
    <t>5/21/2026</t>
  </si>
  <si>
    <t>6/14/2026</t>
  </si>
  <si>
    <t>Stable</t>
  </si>
  <si>
    <t>E020</t>
  </si>
  <si>
    <t>Ritika Sen</t>
  </si>
  <si>
    <t>1/26/2022</t>
  </si>
  <si>
    <t>Star Performer</t>
  </si>
  <si>
    <t>6/23/2026</t>
  </si>
  <si>
    <t>6/19/2026</t>
  </si>
  <si>
    <t>5/25/2026</t>
  </si>
  <si>
    <t>5/23/2026</t>
  </si>
  <si>
    <t>5/19/2026</t>
  </si>
  <si>
    <t>Student ID</t>
  </si>
  <si>
    <t>Student Name</t>
  </si>
  <si>
    <t>Accountancy</t>
  </si>
  <si>
    <t>Business Law</t>
  </si>
  <si>
    <t>Economics</t>
  </si>
  <si>
    <t>Computer</t>
  </si>
  <si>
    <t>Total</t>
  </si>
  <si>
    <t>Percentage</t>
  </si>
  <si>
    <t>Grade</t>
  </si>
  <si>
    <t>Scholarship</t>
  </si>
  <si>
    <t>Grade (IFS)</t>
  </si>
  <si>
    <t>Scholarship Status</t>
  </si>
  <si>
    <t>Aarav Sharma</t>
  </si>
  <si>
    <t>Aditya Patil</t>
  </si>
  <si>
    <t>Akash Verma</t>
  </si>
  <si>
    <t>Ananya Deshmukh</t>
  </si>
  <si>
    <t>Aryan Kulkarni</t>
  </si>
  <si>
    <t>Aditi Joshi</t>
  </si>
  <si>
    <t>Atharv More</t>
  </si>
  <si>
    <t>Diya Shah</t>
  </si>
  <si>
    <t>Dhruv Mehta</t>
  </si>
  <si>
    <t>Ishita Singh</t>
  </si>
  <si>
    <t>Kabir Chavan</t>
  </si>
  <si>
    <t>Kavya Patil</t>
  </si>
  <si>
    <t>Krish Shah</t>
  </si>
  <si>
    <t>Manya Gupta</t>
  </si>
  <si>
    <t>Manav Joshi</t>
  </si>
  <si>
    <t>Meera Kulkarni</t>
  </si>
  <si>
    <t>Nikhil Deshmukh</t>
  </si>
  <si>
    <t>Omkar Jadhav</t>
  </si>
  <si>
    <t>Pranav More</t>
  </si>
  <si>
    <t>Riya Shah</t>
  </si>
  <si>
    <t>Rohan Patil</t>
  </si>
  <si>
    <t>Sakshi Kulkarni</t>
  </si>
  <si>
    <t>Samarth Joshi</t>
  </si>
  <si>
    <t>Shreya Deshmukh</t>
  </si>
  <si>
    <t>Siddharth Mehta</t>
  </si>
  <si>
    <t>Sneha Patil</t>
  </si>
  <si>
    <t>Tanvi Sharma</t>
  </si>
  <si>
    <t>Vedant Chavan</t>
  </si>
  <si>
    <t>Yash Kulkarni</t>
  </si>
  <si>
    <t>STU001</t>
  </si>
  <si>
    <t>STU002</t>
  </si>
  <si>
    <t>STU003</t>
  </si>
  <si>
    <t>STU004</t>
  </si>
  <si>
    <t>STU005</t>
  </si>
  <si>
    <t>STU006</t>
  </si>
  <si>
    <t>STU007</t>
  </si>
  <si>
    <t>STU008</t>
  </si>
  <si>
    <t>STU009</t>
  </si>
  <si>
    <t>STU010</t>
  </si>
  <si>
    <t>STU011</t>
  </si>
  <si>
    <t>STU012</t>
  </si>
  <si>
    <t>STU013</t>
  </si>
  <si>
    <t>STU014</t>
  </si>
  <si>
    <t>STU015</t>
  </si>
  <si>
    <t>STU016</t>
  </si>
  <si>
    <t>STU017</t>
  </si>
  <si>
    <t>STU018</t>
  </si>
  <si>
    <t>STU019</t>
  </si>
  <si>
    <t>STU020</t>
  </si>
  <si>
    <t>STU021</t>
  </si>
  <si>
    <t>STU022</t>
  </si>
  <si>
    <t>STU023</t>
  </si>
  <si>
    <t>STU024</t>
  </si>
  <si>
    <t>STU025</t>
  </si>
  <si>
    <t>STU026</t>
  </si>
  <si>
    <t>STU027</t>
  </si>
  <si>
    <t>STU028</t>
  </si>
  <si>
    <t>STU029</t>
  </si>
  <si>
    <t>STU030</t>
  </si>
  <si>
    <t>AVERAGE</t>
  </si>
  <si>
    <t>HIGHEST %</t>
  </si>
  <si>
    <t>LOWEST %</t>
  </si>
  <si>
    <t>TOTAL STUDENTS</t>
  </si>
  <si>
    <t>asc</t>
  </si>
  <si>
    <t xml:space="preserve">Gender </t>
  </si>
  <si>
    <t>Age</t>
  </si>
  <si>
    <t xml:space="preserve">Salary </t>
  </si>
  <si>
    <t>Steve</t>
  </si>
  <si>
    <t>peter</t>
  </si>
  <si>
    <t xml:space="preserve">Natasha </t>
  </si>
  <si>
    <t>Scott</t>
  </si>
  <si>
    <t>Wanda</t>
  </si>
  <si>
    <t>Male</t>
  </si>
  <si>
    <t>Female</t>
  </si>
  <si>
    <t>phone no.</t>
  </si>
  <si>
    <t>date</t>
  </si>
  <si>
    <t xml:space="preserve">Time </t>
  </si>
  <si>
    <t>e_id</t>
  </si>
  <si>
    <t xml:space="preserve">First name </t>
  </si>
  <si>
    <t xml:space="preserve">last name </t>
  </si>
  <si>
    <t>city</t>
  </si>
  <si>
    <t xml:space="preserve">steve </t>
  </si>
  <si>
    <t>roggers</t>
  </si>
  <si>
    <t>wayne</t>
  </si>
  <si>
    <t>gotham</t>
  </si>
  <si>
    <t>bruce</t>
  </si>
  <si>
    <t>rogers</t>
  </si>
  <si>
    <t>parker</t>
  </si>
  <si>
    <t>NYC</t>
  </si>
  <si>
    <t>russia</t>
  </si>
  <si>
    <t>natasha</t>
  </si>
  <si>
    <t>romanoff</t>
  </si>
  <si>
    <t xml:space="preserve">Full Name </t>
  </si>
  <si>
    <t>Email</t>
  </si>
  <si>
    <t>City pincode</t>
  </si>
  <si>
    <t>pincode</t>
  </si>
  <si>
    <t>steverog@gamil.com</t>
  </si>
  <si>
    <t>bruceway@gamil.com</t>
  </si>
  <si>
    <t>peterpar@gamil.com</t>
  </si>
  <si>
    <t>natasharom@gamil.com</t>
  </si>
  <si>
    <t>steve roggers</t>
  </si>
  <si>
    <t>bruce wayne</t>
  </si>
  <si>
    <t>peter parker</t>
  </si>
  <si>
    <t>natasha romanoff</t>
  </si>
  <si>
    <t>steve rogers</t>
  </si>
  <si>
    <t>NYC-12345</t>
  </si>
  <si>
    <t>gotham-22345</t>
  </si>
  <si>
    <t>NYC-32345</t>
  </si>
  <si>
    <t>russia-42345</t>
  </si>
  <si>
    <t>NYC-52345</t>
  </si>
  <si>
    <t>Language</t>
  </si>
  <si>
    <t>Release_Year</t>
  </si>
  <si>
    <t>Designed_By</t>
  </si>
  <si>
    <t>Type</t>
  </si>
  <si>
    <t>Python</t>
  </si>
  <si>
    <t>Guido van Rossum</t>
  </si>
  <si>
    <t>Interpreted</t>
  </si>
  <si>
    <t>JavaScript</t>
  </si>
  <si>
    <t>Brendan Eich</t>
  </si>
  <si>
    <t>C</t>
  </si>
  <si>
    <t>Dennis Ritchie</t>
  </si>
  <si>
    <t>Compiled</t>
  </si>
  <si>
    <t>Java</t>
  </si>
  <si>
    <t>James Gosling</t>
  </si>
  <si>
    <t>Ruby</t>
  </si>
  <si>
    <t>Yukihiro Matsumoto</t>
  </si>
  <si>
    <t>Yes*</t>
  </si>
  <si>
    <t>Sum Bonus of Sales department</t>
  </si>
  <si>
    <t>Sum Salary where Leave Days = 2</t>
  </si>
  <si>
    <t>Sum Actual Sales &gt; 60000</t>
  </si>
  <si>
    <t>Sum Bonus &lt; 5000</t>
  </si>
  <si>
    <t>Sum Salary &gt;= 8000</t>
  </si>
  <si>
    <t>Sum Leave Days &lt;= 2</t>
  </si>
  <si>
    <t>Sum Bonus except Finance</t>
  </si>
  <si>
    <t>Sum Salary based on value in O16</t>
  </si>
  <si>
    <t>Sum Salary greater than O18</t>
  </si>
  <si>
    <t>Sum Salary Names starting with A</t>
  </si>
  <si>
    <t>Sum Bonus whose Departments ending with "es"</t>
  </si>
  <si>
    <t>Sum Salary Whose Names containing "ra"</t>
  </si>
  <si>
    <t>Sum Salary whose Employee IDs E001–E009</t>
  </si>
  <si>
    <t>Sum Leave Days Whose Match literal match with  ”Yes*”</t>
  </si>
  <si>
    <t>Sum Bonus of Sales department using SUMIF()</t>
  </si>
  <si>
    <t>Sum Bonus of Sales department using SUMIFS()</t>
  </si>
  <si>
    <t>Sum Bonus of Sales department in West region</t>
  </si>
  <si>
    <t>Sum Salary of IT employees with 2 leave days</t>
  </si>
  <si>
    <t>Sum Actual Sales greater than 60000 for Sales department</t>
  </si>
  <si>
    <t>Sum Bonus less than 5000 in North region</t>
  </si>
  <si>
    <t>Sum Salary &gt;= 80000 for IT department</t>
  </si>
  <si>
    <t>Sum Leave Days for Email verified employees with leave &lt;= 2</t>
  </si>
  <si>
    <t>Sum Bonus in East region except Finance department</t>
  </si>
  <si>
    <t>Sum Salary based on Department (O20) and Region (P20)</t>
  </si>
  <si>
    <t>Sum Salary greater than value in O22 for Sales department</t>
  </si>
  <si>
    <t>Sum Salary of Sales employees whose names start with A</t>
  </si>
  <si>
    <t>Sum Bonus of West region departments ending with "es"</t>
  </si>
  <si>
    <t>Sum Salary of West region employees whose names contain "ra"</t>
  </si>
  <si>
    <t>Sum Bonus of Sales Department and match the literal text "Yes*" of Verified Email</t>
  </si>
  <si>
    <t>Sum Bonus where Email Verified is blank</t>
  </si>
  <si>
    <t>Sum Bonus where Email Verified is not blank</t>
  </si>
  <si>
    <t>Name</t>
  </si>
  <si>
    <t>Score</t>
  </si>
  <si>
    <t>Alice</t>
  </si>
  <si>
    <t>Pass</t>
  </si>
  <si>
    <t>Bob</t>
  </si>
  <si>
    <t>Charlie</t>
  </si>
  <si>
    <t>Absent</t>
  </si>
  <si>
    <t>David</t>
  </si>
  <si>
    <t>Emma</t>
  </si>
  <si>
    <t>Frank</t>
  </si>
  <si>
    <t>N/A</t>
  </si>
  <si>
    <t>Fail</t>
  </si>
  <si>
    <t>Grace</t>
  </si>
  <si>
    <t>Henry</t>
  </si>
  <si>
    <t>Ivy</t>
  </si>
  <si>
    <t>Jack</t>
  </si>
  <si>
    <t xml:space="preserve">COUNT </t>
  </si>
  <si>
    <t>COUNTA</t>
  </si>
  <si>
    <t xml:space="preserve">COUNTBLANK </t>
  </si>
  <si>
    <t>Count Sales department employees</t>
  </si>
  <si>
    <t>Count employees with 2 leave days</t>
  </si>
  <si>
    <t>Count Actual Sales greater than 60000</t>
  </si>
  <si>
    <t>Count Bonus less than 5000</t>
  </si>
  <si>
    <t>Count Salary &gt;=80000</t>
  </si>
  <si>
    <t>Count Leave Days &lt;= 2</t>
  </si>
  <si>
    <t>Count all except Finance</t>
  </si>
  <si>
    <t>Count Leave_Days based on value in O16</t>
  </si>
  <si>
    <t>Count Salary greater than O18</t>
  </si>
  <si>
    <t>Count names starting with A</t>
  </si>
  <si>
    <t>Count departments ending with "es"</t>
  </si>
  <si>
    <t>Count names containing "ra"</t>
  </si>
  <si>
    <t>Count Employee IDs E001–E009</t>
  </si>
  <si>
    <t>Count cells containing the literal text "Yes*</t>
  </si>
  <si>
    <t>Count employees in Sales department and West region</t>
  </si>
  <si>
    <t>Count IT employees with 2 leave days</t>
  </si>
  <si>
    <t>Count Sales employees whose Actual Sales are greater than 60000</t>
  </si>
  <si>
    <t>Count North region employees whose Bonus is less than 5000</t>
  </si>
  <si>
    <t>Count IT employees whose Salary is &gt;= 80000</t>
  </si>
  <si>
    <t>Count verified employees with Leave Days ≤ 2</t>
  </si>
  <si>
    <t>Count East region employees except Finance department</t>
  </si>
  <si>
    <t>Count employees based on Department (O16) and Region (P16)</t>
  </si>
  <si>
    <t>Count Sales employees whose names start with A</t>
  </si>
  <si>
    <t>Count West region employees whose Department ends with "es"</t>
  </si>
  <si>
    <t>Count West region employees whose names contain "ra"</t>
  </si>
  <si>
    <t>Count HR employees with Employee IDs E001–E009</t>
  </si>
  <si>
    <t>Count Sales employees whose Email Verified value is the literal text "Yes*”</t>
  </si>
  <si>
    <t>Average Actual Sales of Sales department employees</t>
  </si>
  <si>
    <t>Average Salary of employees with 2 leave days</t>
  </si>
  <si>
    <t>Average Bonus where Actual Sales are greater than 60000</t>
  </si>
  <si>
    <t>Average Salary where Bonus is less than 5000</t>
  </si>
  <si>
    <t>Average Actual Sales of employees whose Salary is ≥ 80000</t>
  </si>
  <si>
    <t>Average Bonus of employees with Leave Days ≤ 2</t>
  </si>
  <si>
    <t>Average Salary of all departments except Finance</t>
  </si>
  <si>
    <t>Average Actual Sales based on department in O16</t>
  </si>
  <si>
    <t>Average Actual Sales where Salary is greater than O18</t>
  </si>
  <si>
    <t>Average Actual Sales of employees whose names start with A</t>
  </si>
  <si>
    <t>Average Salary of departments ending with "es"</t>
  </si>
  <si>
    <t>Average Actual Sales of employees whose names contain "ra"</t>
  </si>
  <si>
    <t>Average Salary of Employee IDs E001–E009</t>
  </si>
  <si>
    <t>Average Actual Sales where Email Verified contains the literal text "Yes*"</t>
  </si>
  <si>
    <t>Average Actual Sales of Sales department employees in West region</t>
  </si>
  <si>
    <t>Average Salary of IT employees with 2 leave days</t>
  </si>
  <si>
    <t>Average Bonus of Sales employees whose Actual Sales are greater than 60000</t>
  </si>
  <si>
    <t>Average Salary of North region employees whose Bonus is less than 5000</t>
  </si>
  <si>
    <t>Average Actual Sales of IT employees whose Salary is ≥ 80000</t>
  </si>
  <si>
    <t>Average Bonus of verified employees with Leave Days ≤ 2</t>
  </si>
  <si>
    <t>Average Salary of East region employees except Finance department</t>
  </si>
  <si>
    <t>Average Actual Sales based on Department (O16) and Region (P16)</t>
  </si>
  <si>
    <t>Average Actual Sales of Sales employees whose names start with A</t>
  </si>
  <si>
    <t>Average Salary of West region employees whose Department ends with "es"</t>
  </si>
  <si>
    <t>Average Actual Sales of West region employees whose names contain "ra"</t>
  </si>
  <si>
    <t>Average Salary of HR employees with Employee IDs E001–E009</t>
  </si>
  <si>
    <t>Average Actual Sales of Sales employees whose Email Verified value is the literal text "Yes*"</t>
  </si>
  <si>
    <t>Sr No.</t>
  </si>
  <si>
    <t>Steven Roger-123212</t>
  </si>
  <si>
    <t>Natasha RomanOff-547689</t>
  </si>
  <si>
    <t>Tony Stark-347856</t>
  </si>
  <si>
    <t>Gamora-897645</t>
  </si>
  <si>
    <t>Clint Barten-452353</t>
  </si>
  <si>
    <t>LEFT</t>
  </si>
  <si>
    <t>RIGHT</t>
  </si>
  <si>
    <t>MID</t>
  </si>
  <si>
    <t>FIND</t>
  </si>
  <si>
    <t>"-</t>
  </si>
  <si>
    <t>REPT Function</t>
  </si>
  <si>
    <t>Power</t>
  </si>
  <si>
    <t>Star</t>
  </si>
  <si>
    <t>Tony</t>
  </si>
  <si>
    <t>Natasha</t>
  </si>
  <si>
    <t>SUBSTITUTE Function</t>
  </si>
  <si>
    <t>No.</t>
  </si>
  <si>
    <t>Data</t>
  </si>
  <si>
    <t>John-Smith</t>
  </si>
  <si>
    <t>Mumbai-India-400001</t>
  </si>
  <si>
    <t>Report.docx</t>
  </si>
  <si>
    <t>Product Name</t>
  </si>
  <si>
    <t>Price</t>
  </si>
  <si>
    <t>Rate %</t>
  </si>
  <si>
    <t>A</t>
  </si>
  <si>
    <t>B</t>
  </si>
  <si>
    <t>D</t>
  </si>
  <si>
    <t>E</t>
  </si>
  <si>
    <t>Rate</t>
  </si>
  <si>
    <t>Final Price Relative</t>
  </si>
  <si>
    <t>Final Price Absolute</t>
  </si>
  <si>
    <t>Hospital Doctor Duty Roster</t>
  </si>
  <si>
    <t>Day</t>
  </si>
  <si>
    <t>Dr. Smith</t>
  </si>
  <si>
    <t>Dr. Brown</t>
  </si>
  <si>
    <t>Dr. Patel</t>
  </si>
  <si>
    <t>Dr. Lee</t>
  </si>
  <si>
    <t>OPD</t>
  </si>
  <si>
    <t>ICU</t>
  </si>
  <si>
    <t>Surgery</t>
  </si>
  <si>
    <t>Emergency</t>
  </si>
  <si>
    <t>Doctor</t>
  </si>
  <si>
    <t>Student</t>
  </si>
  <si>
    <t>Marks</t>
  </si>
  <si>
    <t>F</t>
  </si>
  <si>
    <t>G</t>
  </si>
  <si>
    <t>H</t>
  </si>
  <si>
    <t>I</t>
  </si>
  <si>
    <t>J</t>
  </si>
  <si>
    <t>Bin (Upper Limit)</t>
  </si>
  <si>
    <t>Frequency</t>
  </si>
  <si>
    <t>Emp ID</t>
  </si>
  <si>
    <t>Dept ID</t>
  </si>
  <si>
    <t>D01</t>
  </si>
  <si>
    <t>D02</t>
  </si>
  <si>
    <t>Bruce</t>
  </si>
  <si>
    <t>D03</t>
  </si>
  <si>
    <t>Peter</t>
  </si>
  <si>
    <t xml:space="preserve">Emp ID </t>
  </si>
  <si>
    <t>Depatment</t>
  </si>
  <si>
    <t>Department_ID</t>
  </si>
  <si>
    <t>D001</t>
  </si>
  <si>
    <t>D002</t>
  </si>
  <si>
    <t>D003</t>
  </si>
  <si>
    <t>D004</t>
  </si>
  <si>
    <t>D005</t>
  </si>
  <si>
    <t>D006</t>
  </si>
  <si>
    <t>D007</t>
  </si>
  <si>
    <t>D008</t>
  </si>
  <si>
    <t>D009</t>
  </si>
  <si>
    <t>D010</t>
  </si>
  <si>
    <t>D011</t>
  </si>
  <si>
    <t>D012</t>
  </si>
  <si>
    <t>D013</t>
  </si>
  <si>
    <t>D014</t>
  </si>
  <si>
    <t>D015</t>
  </si>
  <si>
    <t>D016</t>
  </si>
  <si>
    <t>D017</t>
  </si>
  <si>
    <t>D018</t>
  </si>
  <si>
    <t>D019</t>
  </si>
  <si>
    <t>D020</t>
  </si>
  <si>
    <t>TABLE 1</t>
  </si>
  <si>
    <t>TABLE 2</t>
  </si>
  <si>
    <t>TABLE 3</t>
  </si>
  <si>
    <t>Hero ID</t>
  </si>
  <si>
    <t>Superhero</t>
  </si>
  <si>
    <t>Team</t>
  </si>
  <si>
    <t>Iron Man</t>
  </si>
  <si>
    <t>Avengers</t>
  </si>
  <si>
    <t>Spider-Man</t>
  </si>
  <si>
    <t>Groot</t>
  </si>
  <si>
    <t>Guardians</t>
  </si>
  <si>
    <t>Captain America</t>
  </si>
  <si>
    <t>Doctor Strange</t>
  </si>
  <si>
    <t>Loki</t>
  </si>
  <si>
    <t>Asgard</t>
  </si>
  <si>
    <t>Thor</t>
  </si>
  <si>
    <t>Black Panther</t>
  </si>
  <si>
    <t>Nick Fury</t>
  </si>
  <si>
    <t>S.H.I.E.L.D.</t>
  </si>
  <si>
    <t>Hulk</t>
  </si>
  <si>
    <t>Ant-Man</t>
  </si>
  <si>
    <t>Daredevil</t>
  </si>
  <si>
    <t>Defenders</t>
  </si>
  <si>
    <t>Black Widow</t>
  </si>
  <si>
    <t>Wasp</t>
  </si>
  <si>
    <t>Moon Knight</t>
  </si>
  <si>
    <t>Midnight Sons</t>
  </si>
  <si>
    <t>Hawkeye</t>
  </si>
  <si>
    <t>Captain Marvel</t>
  </si>
  <si>
    <t>She-Hulk</t>
  </si>
  <si>
    <t>Falcon</t>
  </si>
  <si>
    <t>Star-Lord</t>
  </si>
  <si>
    <t>Ms. Marvel</t>
  </si>
  <si>
    <t>Champions</t>
  </si>
  <si>
    <t>Winter Soldier</t>
  </si>
  <si>
    <t>Gamora</t>
  </si>
  <si>
    <t>Deadpool</t>
  </si>
  <si>
    <t>X-Force</t>
  </si>
  <si>
    <t>Scarlet Witch</t>
  </si>
  <si>
    <t>Drax</t>
  </si>
  <si>
    <t>Wolverine</t>
  </si>
  <si>
    <t>X-Men</t>
  </si>
  <si>
    <t>Vision</t>
  </si>
  <si>
    <t>Rocket</t>
  </si>
  <si>
    <t>Storm</t>
  </si>
  <si>
    <t>E100</t>
  </si>
  <si>
    <t>E021</t>
  </si>
  <si>
    <t>Ayaan Kapoor</t>
  </si>
  <si>
    <t>E022</t>
  </si>
  <si>
    <t>Diya Menon</t>
  </si>
  <si>
    <t>E023</t>
  </si>
  <si>
    <t>Siddharth Bhat</t>
  </si>
  <si>
    <t>E024</t>
  </si>
  <si>
    <t>Nisha Choudhary</t>
  </si>
  <si>
    <t>E025</t>
  </si>
  <si>
    <t>Rishi Mehra</t>
  </si>
  <si>
    <t>E026</t>
  </si>
  <si>
    <t>Tanvi Desai</t>
  </si>
  <si>
    <t>E027</t>
  </si>
  <si>
    <t>Aarush Kapoor</t>
  </si>
  <si>
    <t>E028</t>
  </si>
  <si>
    <t>Shreya Ghosh</t>
  </si>
  <si>
    <t>E029</t>
  </si>
  <si>
    <t>Harsh Vardhan</t>
  </si>
  <si>
    <t>E030</t>
  </si>
  <si>
    <t>Aditi Mishra</t>
  </si>
  <si>
    <t>E031</t>
  </si>
  <si>
    <t>Nikhil Sinha</t>
  </si>
  <si>
    <t>E032</t>
  </si>
  <si>
    <t>Sanjana Roy</t>
  </si>
  <si>
    <t>E033</t>
  </si>
  <si>
    <t>Varun Saxena</t>
  </si>
  <si>
    <t>E034</t>
  </si>
  <si>
    <t>Rhea Dutta</t>
  </si>
  <si>
    <t>E035</t>
  </si>
  <si>
    <t>Akash Tripathi</t>
  </si>
  <si>
    <t>E036</t>
  </si>
  <si>
    <t>Nandini Bose</t>
  </si>
  <si>
    <t>E037</t>
  </si>
  <si>
    <t>Chirag Jain</t>
  </si>
  <si>
    <t>E038</t>
  </si>
  <si>
    <t>Bhavna Arora</t>
  </si>
  <si>
    <t>E039</t>
  </si>
  <si>
    <t>Om Prakash</t>
  </si>
  <si>
    <t>E040</t>
  </si>
  <si>
    <t>Palak Sethi</t>
  </si>
  <si>
    <t>Incentive</t>
  </si>
  <si>
    <t>Target</t>
  </si>
  <si>
    <t>sen</t>
  </si>
  <si>
    <t>Lookup array must be sorted in ascending order</t>
  </si>
  <si>
    <t>Lookup array must be sorted in descending order</t>
  </si>
  <si>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</si>
  <si>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</si>
  <si>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</si>
  <si>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</si>
  <si>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</si>
  <si>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</si>
  <si>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</si>
  <si>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</si>
  <si>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</si>
  <si>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</si>
  <si>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</si>
  <si>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ORD100000</t>
  </si>
  <si>
    <t>Clothing</t>
  </si>
  <si>
    <t>Member</t>
  </si>
  <si>
    <t>UPI</t>
  </si>
  <si>
    <t>Pune</t>
  </si>
  <si>
    <t>ORD100001</t>
  </si>
  <si>
    <t>Electronics</t>
  </si>
  <si>
    <t>Regular</t>
  </si>
  <si>
    <t>Card</t>
  </si>
  <si>
    <t>Hyderabad</t>
  </si>
  <si>
    <t>ORD100002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</si>
  <si>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</si>
  <si>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</si>
  <si>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</si>
  <si>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</si>
  <si>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</si>
  <si>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</si>
  <si>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</si>
  <si>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</si>
  <si>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</si>
  <si>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</si>
  <si>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</si>
  <si>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</si>
  <si>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</si>
  <si>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</si>
  <si>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</si>
  <si>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</si>
  <si>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</si>
  <si>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</si>
  <si>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</si>
  <si>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</si>
  <si>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</si>
  <si>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</si>
  <si>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</si>
  <si>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</si>
  <si>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</si>
  <si>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</si>
  <si>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</si>
  <si>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</si>
  <si>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</si>
  <si>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</si>
  <si>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</si>
  <si>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</si>
  <si>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</si>
  <si>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</si>
  <si>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</si>
  <si>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</si>
  <si>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</si>
  <si>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</si>
  <si>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</si>
  <si>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</si>
  <si>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</si>
  <si>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</si>
  <si>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</si>
  <si>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</si>
  <si>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</si>
  <si>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</si>
  <si>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</si>
  <si>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</si>
  <si>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</si>
  <si>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</si>
  <si>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</si>
  <si>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</si>
  <si>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</si>
  <si>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</si>
  <si>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</si>
  <si>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</si>
  <si>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</si>
  <si>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</si>
  <si>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</si>
  <si>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</si>
  <si>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</si>
  <si>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</si>
  <si>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</si>
  <si>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</si>
  <si>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</si>
  <si>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</si>
  <si>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</si>
  <si>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</si>
  <si>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</si>
  <si>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</si>
  <si>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</si>
  <si>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</si>
  <si>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</si>
  <si>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</si>
  <si>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</si>
  <si>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</si>
  <si>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</si>
  <si>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</si>
  <si>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</si>
  <si>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</si>
  <si>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</si>
  <si>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</si>
  <si>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</si>
  <si>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</si>
  <si>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</si>
  <si>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</si>
  <si>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</si>
  <si>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</si>
  <si>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</si>
  <si>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</si>
  <si>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</si>
  <si>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</si>
  <si>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</si>
  <si>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</si>
  <si>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</si>
  <si>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</si>
  <si>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</si>
  <si>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</si>
  <si>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</si>
  <si>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</si>
  <si>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</si>
  <si>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</si>
  <si>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</si>
  <si>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</si>
  <si>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</si>
  <si>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</si>
  <si>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</si>
  <si>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</si>
  <si>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</si>
  <si>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</si>
  <si>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</si>
  <si>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</si>
  <si>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</si>
  <si>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</si>
  <si>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</si>
  <si>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</si>
  <si>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</si>
  <si>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</si>
  <si>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</si>
  <si>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</si>
  <si>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</si>
  <si>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</si>
  <si>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</si>
  <si>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</si>
  <si>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</si>
  <si>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</si>
  <si>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</si>
  <si>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</si>
  <si>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</si>
  <si>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</si>
  <si>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</si>
  <si>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</si>
  <si>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</si>
  <si>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</si>
  <si>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</si>
  <si>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</si>
  <si>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</si>
  <si>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</si>
  <si>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</si>
  <si>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</si>
  <si>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</si>
  <si>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</si>
  <si>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</si>
  <si>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</si>
  <si>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</si>
  <si>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</si>
  <si>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</si>
  <si>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</si>
  <si>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</si>
  <si>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</si>
  <si>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</si>
  <si>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</si>
  <si>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</si>
  <si>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</si>
  <si>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</si>
  <si>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</si>
  <si>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</si>
  <si>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</si>
  <si>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</si>
  <si>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</si>
  <si>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</si>
  <si>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</si>
  <si>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</si>
  <si>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</si>
  <si>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</si>
  <si>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</si>
  <si>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</si>
  <si>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</si>
  <si>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</si>
  <si>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</si>
  <si>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</si>
  <si>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</si>
  <si>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</si>
  <si>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</si>
  <si>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</si>
  <si>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</si>
  <si>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</si>
  <si>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</si>
  <si>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</si>
  <si>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</si>
  <si>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</si>
  <si>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</si>
  <si>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</si>
  <si>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</si>
  <si>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</si>
  <si>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</si>
  <si>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</si>
  <si>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</si>
  <si>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</si>
  <si>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</si>
  <si>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</si>
  <si>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</si>
  <si>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</si>
  <si>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</si>
  <si>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</si>
  <si>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</si>
  <si>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</si>
  <si>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</si>
  <si>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</si>
  <si>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</si>
  <si>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</si>
  <si>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</si>
  <si>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</si>
  <si>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</si>
  <si>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</si>
  <si>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</si>
  <si>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</si>
  <si>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</si>
  <si>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</si>
  <si>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</si>
  <si>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</si>
  <si>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</si>
  <si>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</si>
  <si>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</si>
  <si>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</si>
  <si>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</si>
  <si>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</si>
  <si>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</si>
  <si>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</si>
  <si>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</si>
  <si>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</si>
  <si>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</si>
  <si>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</si>
  <si>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</si>
  <si>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</si>
  <si>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</si>
  <si>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</si>
  <si>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</si>
  <si>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</si>
  <si>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</si>
  <si>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</si>
  <si>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</si>
  <si>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</si>
  <si>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</si>
  <si>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</si>
  <si>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</si>
  <si>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</si>
  <si>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</si>
  <si>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</si>
  <si>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</si>
  <si>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</si>
  <si>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</si>
  <si>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</si>
  <si>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</si>
  <si>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</si>
  <si>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</si>
  <si>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</si>
  <si>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</si>
  <si>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</si>
  <si>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</si>
  <si>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</si>
  <si>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</si>
  <si>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</si>
  <si>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</si>
  <si>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</si>
  <si>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</si>
  <si>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</si>
  <si>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</si>
  <si>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</si>
  <si>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</si>
  <si>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</si>
  <si>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</si>
  <si>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</si>
  <si>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</si>
  <si>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</si>
  <si>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</si>
  <si>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</si>
  <si>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</si>
  <si>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</si>
  <si>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</si>
  <si>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</si>
  <si>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</si>
  <si>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</si>
  <si>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</si>
  <si>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</si>
  <si>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</si>
  <si>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</si>
  <si>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</si>
  <si>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</si>
  <si>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</si>
  <si>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</si>
  <si>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</si>
  <si>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</si>
  <si>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</si>
  <si>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</si>
  <si>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</si>
  <si>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</si>
  <si>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</si>
  <si>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</si>
  <si>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</si>
  <si>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</si>
  <si>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</si>
  <si>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</si>
  <si>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</si>
  <si>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</si>
  <si>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</si>
  <si>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</si>
  <si>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</si>
  <si>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</si>
  <si>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</si>
  <si>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</si>
  <si>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</si>
  <si>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</si>
  <si>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</si>
  <si>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</si>
  <si>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</si>
  <si>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</si>
  <si>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</si>
  <si>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</si>
  <si>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</si>
  <si>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</si>
  <si>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</si>
  <si>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</si>
  <si>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</si>
  <si>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</si>
  <si>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</si>
  <si>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</si>
  <si>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</si>
  <si>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</si>
  <si>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</si>
  <si>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</si>
  <si>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</si>
  <si>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</si>
  <si>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</si>
  <si>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</si>
  <si>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</si>
  <si>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</si>
  <si>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</si>
  <si>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</si>
  <si>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</si>
  <si>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</si>
  <si>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</si>
  <si>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</si>
  <si>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</si>
  <si>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</si>
  <si>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</si>
  <si>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</si>
  <si>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</si>
  <si>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</si>
  <si>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</si>
  <si>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</si>
  <si>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</si>
  <si>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</si>
  <si>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</si>
  <si>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</si>
  <si>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</si>
  <si>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</si>
  <si>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</si>
  <si>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</si>
  <si>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</si>
  <si>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</si>
  <si>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</si>
  <si>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</si>
  <si>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</si>
  <si>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</si>
  <si>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</si>
  <si>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</si>
  <si>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</si>
  <si>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</si>
  <si>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</si>
  <si>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</si>
  <si>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</si>
  <si>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</si>
  <si>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</si>
  <si>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</si>
  <si>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</si>
  <si>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</si>
  <si>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</si>
  <si>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</si>
  <si>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</si>
  <si>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</si>
  <si>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</si>
  <si>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</si>
  <si>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</si>
  <si>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</si>
  <si>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</si>
  <si>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</si>
  <si>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</si>
  <si>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</si>
  <si>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</si>
  <si>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</si>
  <si>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</si>
  <si>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</si>
  <si>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</si>
  <si>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</si>
  <si>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</si>
  <si>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</si>
  <si>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</si>
  <si>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</si>
  <si>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</si>
  <si>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</si>
  <si>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</si>
  <si>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</si>
  <si>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</si>
  <si>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</si>
  <si>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</si>
  <si>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</si>
  <si>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</si>
  <si>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</si>
  <si>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</si>
  <si>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</si>
  <si>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</si>
  <si>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</si>
  <si>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</si>
  <si>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</si>
  <si>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</si>
  <si>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</si>
  <si>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</si>
  <si>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</si>
  <si>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</si>
  <si>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</si>
  <si>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</si>
  <si>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</si>
  <si>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</si>
  <si>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</si>
  <si>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</si>
  <si>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</si>
  <si>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</si>
  <si>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</si>
  <si>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</si>
  <si>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</si>
  <si>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</si>
  <si>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</si>
  <si>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</si>
  <si>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</si>
  <si>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</si>
  <si>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</si>
  <si>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</si>
  <si>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</si>
  <si>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</si>
  <si>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</si>
  <si>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</si>
  <si>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</si>
  <si>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</si>
  <si>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</si>
  <si>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</si>
  <si>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</si>
  <si>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</si>
  <si>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</si>
  <si>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</si>
  <si>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</si>
  <si>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</si>
  <si>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</si>
  <si>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</si>
  <si>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</si>
  <si>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</si>
  <si>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</si>
  <si>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</si>
  <si>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</si>
  <si>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</si>
  <si>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</si>
  <si>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</si>
  <si>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</si>
  <si>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</si>
  <si>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</si>
  <si>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</si>
  <si>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</si>
  <si>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</si>
  <si>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</si>
  <si>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</si>
  <si>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</si>
  <si>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</si>
  <si>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</si>
  <si>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</si>
  <si>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</si>
  <si>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</si>
  <si>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</si>
  <si>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</si>
  <si>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</si>
  <si>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</si>
  <si>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</si>
  <si>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</si>
  <si>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</si>
  <si>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</si>
  <si>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</si>
  <si>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</si>
  <si>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</si>
  <si>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</si>
  <si>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</si>
  <si>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</si>
  <si>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</si>
  <si>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</si>
  <si>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</si>
  <si>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</si>
  <si>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</si>
  <si>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</si>
  <si>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</si>
  <si>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</si>
  <si>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</si>
  <si>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</si>
  <si>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</si>
  <si>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</si>
  <si>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</si>
  <si>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</si>
  <si>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</si>
  <si>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</si>
  <si>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</si>
  <si>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</si>
  <si>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</si>
  <si>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</si>
  <si>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</si>
  <si>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</si>
  <si>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</si>
  <si>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</si>
  <si>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</si>
  <si>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</si>
  <si>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</si>
  <si>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</si>
  <si>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</si>
  <si>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</si>
  <si>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</si>
  <si>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</si>
  <si>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</si>
  <si>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</si>
  <si>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</si>
  <si>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</si>
  <si>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</si>
  <si>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</si>
  <si>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</si>
  <si>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</si>
  <si>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</si>
  <si>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</si>
  <si>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</si>
  <si>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</si>
  <si>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</si>
  <si>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</si>
  <si>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</si>
  <si>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</si>
  <si>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</si>
  <si>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</si>
  <si>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</si>
  <si>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</si>
  <si>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</si>
  <si>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</si>
  <si>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</si>
  <si>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</si>
  <si>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</si>
  <si>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</si>
  <si>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</si>
  <si>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</si>
  <si>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</si>
  <si>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</si>
  <si>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</si>
  <si>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</si>
  <si>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</si>
  <si>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</si>
  <si>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</si>
  <si>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</si>
  <si>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</si>
  <si>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</si>
  <si>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</si>
  <si>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</si>
  <si>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</si>
  <si>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</si>
  <si>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</si>
  <si>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</si>
  <si>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</si>
  <si>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</si>
  <si>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</si>
  <si>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</si>
  <si>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</si>
  <si>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</si>
  <si>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</si>
  <si>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</si>
  <si>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</si>
  <si>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</si>
  <si>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</si>
  <si>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</si>
  <si>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</si>
  <si>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</si>
  <si>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</si>
  <si>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</si>
  <si>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</si>
  <si>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</si>
  <si>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</si>
  <si>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</si>
  <si>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</si>
  <si>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</si>
  <si>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</si>
  <si>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</si>
  <si>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</si>
  <si>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</si>
  <si>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</si>
  <si>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</si>
  <si>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</si>
  <si>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</si>
  <si>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</si>
  <si>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</si>
  <si>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</si>
  <si>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</si>
  <si>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</si>
  <si>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</si>
  <si>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</si>
  <si>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</si>
  <si>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</si>
  <si>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</si>
  <si>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</si>
  <si>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</si>
  <si>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</si>
  <si>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</si>
  <si>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</si>
  <si>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</si>
  <si>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</si>
  <si>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</si>
  <si>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</si>
  <si>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</si>
  <si>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</si>
  <si>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</si>
  <si>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</si>
  <si>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</si>
  <si>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</si>
  <si>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</si>
  <si>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</si>
  <si>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</si>
  <si>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</si>
  <si>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</si>
  <si>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</si>
  <si>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</si>
  <si>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</si>
  <si>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</si>
  <si>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</si>
  <si>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</si>
  <si>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</si>
  <si>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</si>
  <si>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</si>
  <si>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</si>
  <si>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</si>
  <si>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</si>
  <si>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</si>
  <si>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</si>
  <si>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</si>
  <si>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</si>
  <si>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</si>
  <si>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</si>
  <si>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</si>
  <si>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</si>
  <si>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</si>
  <si>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</si>
  <si>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</si>
  <si>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</si>
  <si>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</si>
  <si>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</si>
  <si>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</si>
  <si>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</si>
  <si>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</si>
  <si>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</si>
  <si>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</si>
  <si>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</si>
  <si>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</si>
  <si>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</si>
  <si>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</si>
  <si>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</si>
  <si>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</si>
  <si>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</si>
  <si>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</si>
  <si>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</si>
  <si>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</si>
  <si>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</si>
  <si>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</si>
  <si>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</si>
  <si>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</si>
  <si>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</si>
  <si>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</si>
  <si>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</si>
  <si>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</si>
  <si>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</si>
  <si>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</si>
  <si>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</si>
  <si>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</si>
  <si>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</si>
  <si>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</si>
  <si>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</si>
  <si>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</si>
  <si>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</si>
  <si>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</si>
  <si>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</si>
  <si>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</si>
  <si>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</si>
  <si>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</si>
  <si>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</si>
  <si>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</si>
  <si>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</si>
  <si>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</si>
  <si>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</si>
  <si>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</si>
  <si>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</si>
  <si>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</si>
  <si>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</si>
  <si>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</si>
  <si>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</si>
  <si>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</si>
  <si>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</si>
  <si>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</si>
  <si>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</si>
  <si>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</si>
  <si>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</si>
  <si>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</si>
  <si>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</si>
  <si>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</si>
  <si>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</si>
  <si>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</si>
  <si>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</si>
  <si>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</si>
  <si>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</si>
  <si>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</si>
  <si>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</si>
  <si>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</si>
  <si>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</si>
  <si>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</si>
  <si>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</si>
  <si>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</si>
  <si>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</si>
  <si>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</si>
  <si>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</si>
  <si>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</si>
  <si>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</si>
  <si>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</si>
  <si>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</si>
  <si>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</si>
  <si>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</si>
  <si>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</si>
  <si>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</si>
  <si>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</si>
  <si>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</si>
  <si>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</si>
  <si>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</si>
  <si>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</si>
  <si>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</si>
  <si>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</si>
  <si>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</si>
  <si>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</si>
  <si>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</si>
  <si>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</si>
  <si>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</si>
  <si>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</si>
  <si>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</si>
  <si>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</si>
  <si>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</si>
  <si>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</si>
  <si>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</si>
  <si>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</si>
  <si>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</si>
  <si>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</si>
  <si>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</si>
  <si>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</si>
  <si>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</si>
  <si>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</si>
  <si>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</si>
  <si>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</si>
  <si>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</si>
  <si>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</si>
  <si>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</si>
  <si>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</si>
  <si>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</si>
  <si>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</si>
  <si>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</si>
  <si>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</si>
  <si>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</si>
  <si>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</si>
  <si>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</si>
  <si>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</si>
  <si>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</si>
  <si>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</si>
  <si>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</si>
  <si>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</si>
  <si>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</si>
  <si>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</si>
  <si>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</si>
  <si>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</si>
  <si>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</si>
  <si>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</si>
  <si>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</si>
  <si>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</si>
  <si>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</si>
  <si>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</si>
  <si>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</si>
  <si>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</si>
  <si>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</si>
  <si>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</si>
  <si>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</si>
  <si>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</si>
  <si>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</si>
  <si>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</si>
  <si>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</si>
  <si>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</si>
  <si>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</si>
  <si>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</si>
  <si>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</si>
  <si>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</si>
  <si>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</si>
  <si>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</si>
  <si>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</si>
  <si>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</si>
  <si>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</si>
  <si>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</si>
  <si>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</si>
  <si>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</si>
  <si>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</si>
  <si>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</si>
  <si>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</si>
  <si>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</si>
  <si>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</si>
  <si>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</si>
  <si>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</si>
  <si>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</si>
  <si>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</si>
  <si>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</si>
  <si>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</si>
  <si>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</si>
  <si>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</si>
  <si>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</si>
  <si>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</si>
  <si>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</si>
  <si>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</si>
  <si>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</si>
  <si>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</si>
  <si>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</si>
  <si>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</si>
  <si>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</si>
  <si>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</si>
  <si>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</si>
  <si>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</si>
  <si>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</si>
  <si>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</si>
  <si>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</si>
  <si>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</si>
  <si>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</si>
  <si>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</si>
  <si>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</si>
  <si>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</si>
  <si>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</si>
  <si>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</si>
  <si>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</si>
  <si>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</si>
  <si>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</si>
  <si>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</si>
  <si>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</si>
  <si>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</si>
  <si>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</si>
  <si>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</si>
  <si>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</si>
  <si>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</si>
  <si>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</si>
  <si>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</si>
  <si>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</si>
  <si>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</si>
  <si>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</si>
  <si>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</si>
  <si>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</si>
  <si>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</si>
  <si>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</si>
  <si>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</si>
  <si>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</si>
  <si>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</si>
  <si>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</si>
  <si>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</si>
  <si>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</si>
  <si>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</si>
  <si>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</si>
  <si>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</si>
  <si>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</si>
  <si>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</si>
  <si>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</si>
  <si>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</si>
  <si>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</si>
  <si>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</si>
  <si>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</si>
  <si>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</si>
  <si>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</si>
  <si>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</si>
  <si>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</si>
  <si>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</si>
  <si>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</si>
  <si>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</si>
  <si>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</si>
  <si>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</si>
  <si>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</si>
  <si>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</si>
  <si>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</si>
  <si>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</si>
  <si>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</si>
  <si>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</si>
  <si>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</si>
  <si>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</si>
  <si>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</si>
  <si>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</si>
  <si>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</si>
  <si>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</si>
  <si>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</si>
  <si>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</si>
  <si>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</si>
  <si>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</si>
  <si>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</si>
  <si>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</si>
  <si>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</si>
  <si>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</si>
  <si>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</si>
  <si>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</si>
  <si>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</si>
  <si>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</si>
  <si>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</si>
  <si>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</si>
  <si>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</si>
  <si>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</si>
  <si>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</si>
  <si>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</si>
  <si>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</si>
  <si>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</si>
  <si>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</si>
  <si>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</si>
  <si>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</si>
  <si>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</si>
  <si>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</si>
  <si>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</si>
  <si>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</si>
  <si>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</si>
  <si>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</si>
  <si>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</si>
  <si>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</si>
  <si>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</si>
  <si>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</si>
  <si>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</si>
  <si>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</si>
  <si>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</si>
  <si>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</si>
  <si>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</si>
  <si>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</si>
  <si>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</si>
  <si>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</si>
  <si>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</si>
  <si>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</si>
  <si>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</si>
  <si>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</si>
  <si>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</si>
  <si>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</si>
  <si>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</si>
  <si>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</si>
  <si>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</si>
  <si>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</si>
  <si>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</si>
  <si>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</si>
  <si>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</si>
  <si>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</si>
  <si>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</si>
  <si>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</si>
  <si>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</si>
  <si>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</si>
  <si>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</si>
  <si>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</si>
  <si>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</si>
  <si>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</si>
  <si>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</si>
  <si>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</si>
  <si>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</si>
  <si>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</si>
  <si>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</si>
  <si>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</si>
  <si>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</si>
  <si>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</si>
  <si>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</si>
  <si>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</si>
  <si>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</si>
  <si>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</si>
  <si>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</si>
  <si>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</si>
  <si>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</si>
  <si>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</si>
  <si>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</si>
  <si>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</si>
  <si>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</si>
  <si>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</si>
  <si>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</si>
  <si>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</si>
  <si>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</si>
  <si>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</si>
  <si>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</si>
  <si>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</si>
  <si>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</si>
  <si>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</si>
  <si>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</si>
  <si>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</si>
  <si>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</si>
  <si>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</si>
  <si>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</si>
  <si>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</si>
  <si>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</si>
  <si>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</si>
  <si>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</si>
  <si>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</si>
  <si>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</si>
  <si>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</si>
  <si>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</si>
  <si>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</si>
  <si>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</si>
  <si>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</si>
  <si>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</si>
  <si>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</si>
  <si>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</si>
  <si>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</si>
  <si>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</si>
  <si>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</si>
  <si>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</si>
  <si>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</si>
  <si>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</si>
  <si>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</si>
  <si>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</si>
  <si>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</si>
  <si>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</si>
  <si>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</si>
  <si>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</si>
  <si>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</si>
  <si>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</si>
  <si>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</si>
  <si>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</si>
  <si>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</si>
  <si>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</si>
  <si>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</si>
  <si>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</si>
  <si>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</si>
  <si>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</si>
  <si>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</si>
  <si>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</si>
  <si>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</si>
  <si>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</si>
  <si>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</si>
  <si>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</si>
  <si>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</si>
  <si>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</si>
  <si>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</si>
  <si>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</si>
  <si>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</si>
  <si>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</si>
  <si>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</si>
  <si>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</si>
  <si>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</si>
  <si>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</si>
  <si>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</si>
  <si>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</si>
  <si>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</si>
  <si>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</si>
  <si>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</si>
  <si>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</si>
  <si>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</si>
  <si>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</si>
  <si>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</si>
  <si>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</si>
  <si>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</si>
  <si>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</si>
  <si>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</si>
  <si>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</si>
  <si>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</si>
  <si>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</si>
  <si>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</si>
  <si>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</si>
  <si>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</si>
  <si>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</si>
  <si>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</si>
  <si>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</si>
  <si>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</si>
  <si>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</si>
  <si>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</si>
  <si>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</si>
  <si>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</si>
  <si>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</si>
  <si>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</si>
  <si>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</si>
  <si>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</si>
  <si>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</si>
  <si>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</si>
  <si>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</si>
  <si>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</si>
  <si>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</si>
  <si>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</si>
  <si>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</si>
  <si>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</si>
  <si>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</si>
  <si>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</si>
  <si>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</si>
  <si>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</si>
  <si>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</si>
  <si>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</si>
  <si>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</si>
  <si>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</si>
  <si>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</si>
  <si>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</si>
  <si>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</si>
  <si>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</si>
  <si>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</si>
  <si>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</si>
  <si>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</si>
  <si>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</si>
  <si>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</si>
  <si>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</si>
  <si>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</si>
  <si>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</si>
  <si>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</si>
  <si>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</si>
  <si>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</si>
  <si>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</si>
  <si>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</si>
  <si>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</si>
  <si>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</si>
  <si>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</si>
  <si>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</si>
  <si>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</si>
  <si>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</si>
  <si>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</si>
  <si>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</si>
  <si>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</si>
  <si>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</si>
  <si>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</si>
  <si>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</si>
  <si>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</si>
  <si>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</si>
  <si>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</si>
  <si>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</si>
  <si>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</si>
  <si>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</si>
  <si>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</si>
  <si>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</si>
  <si>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</si>
  <si>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</si>
  <si>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</si>
  <si>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</si>
  <si>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</si>
  <si>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</si>
  <si>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</si>
  <si>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</si>
  <si>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</si>
  <si>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</si>
  <si>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</si>
  <si>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</si>
  <si>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</si>
  <si>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</si>
  <si>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</si>
  <si>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</si>
  <si>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</si>
  <si>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</si>
  <si>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</si>
  <si>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</si>
  <si>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</si>
  <si>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</si>
  <si>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</si>
  <si>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</si>
  <si>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</si>
  <si>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</si>
  <si>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</si>
  <si>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</si>
  <si>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</si>
  <si>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</si>
  <si>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</si>
  <si>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</si>
  <si>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</si>
  <si>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</si>
  <si>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</si>
  <si>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</si>
  <si>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</si>
  <si>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</si>
  <si>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</si>
  <si>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</si>
  <si>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</si>
  <si>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</si>
  <si>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</si>
  <si>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</si>
  <si>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</si>
  <si>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</si>
  <si>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</si>
  <si>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</si>
  <si>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</si>
  <si>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</si>
  <si>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</si>
  <si>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</si>
  <si>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</si>
  <si>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</si>
  <si>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</si>
  <si>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</si>
  <si>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</si>
  <si>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</si>
  <si>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</si>
  <si>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</si>
  <si>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</si>
  <si>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</si>
  <si>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</si>
  <si>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</si>
  <si>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</si>
  <si>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</si>
  <si>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</si>
  <si>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</si>
  <si>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</si>
  <si>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</si>
  <si>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</si>
  <si>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</si>
  <si>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</si>
  <si>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</si>
  <si>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</si>
  <si>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</si>
  <si>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</si>
  <si>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</si>
  <si>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</si>
  <si>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</si>
  <si>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</si>
  <si>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</si>
  <si>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</si>
  <si>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</si>
  <si>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</si>
  <si>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</si>
  <si>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</si>
  <si>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</si>
  <si>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</si>
  <si>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</si>
  <si>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</si>
  <si>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</si>
  <si>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</si>
  <si>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</si>
  <si>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</si>
  <si>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</si>
  <si>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</si>
  <si>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</si>
  <si>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</si>
  <si>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</si>
  <si>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</si>
  <si>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</si>
  <si>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</si>
  <si>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</si>
  <si>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</si>
  <si>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</si>
  <si>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</si>
  <si>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</si>
  <si>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</si>
  <si>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</si>
  <si>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</si>
  <si>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</si>
  <si>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</si>
  <si>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</si>
  <si>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</si>
  <si>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</si>
  <si>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</si>
  <si>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</si>
  <si>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</si>
  <si>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</si>
  <si>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</si>
  <si>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</si>
  <si>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</si>
  <si>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</si>
  <si>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</si>
  <si>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</si>
  <si>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</si>
  <si>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</si>
  <si>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</si>
  <si>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</si>
  <si>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</si>
  <si>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</si>
  <si>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</si>
  <si>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</si>
  <si>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</si>
  <si>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</si>
  <si>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</si>
  <si>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</si>
  <si>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</si>
  <si>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</si>
  <si>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</si>
  <si>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</si>
  <si>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</si>
  <si>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</si>
  <si>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</si>
  <si>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</si>
  <si>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</si>
  <si>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</si>
  <si>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</si>
  <si>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</si>
  <si>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</si>
  <si>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</si>
  <si>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</si>
  <si>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</si>
  <si>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</si>
  <si>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</si>
  <si>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</si>
  <si>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</si>
  <si>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</si>
  <si>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</si>
  <si>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</si>
  <si>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</si>
  <si>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</si>
  <si>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</si>
  <si>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</si>
  <si>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</si>
  <si>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</si>
  <si>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</si>
  <si>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</si>
  <si>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</si>
  <si>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</si>
  <si>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</si>
  <si>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</si>
  <si>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</si>
  <si>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</si>
  <si>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</si>
  <si>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</si>
  <si>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</si>
  <si>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</si>
  <si>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</si>
  <si>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</si>
  <si>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</si>
  <si>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</si>
  <si>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</si>
  <si>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</si>
  <si>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</si>
  <si>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</si>
  <si>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</si>
  <si>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</si>
  <si>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</si>
  <si>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</si>
  <si>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</si>
  <si>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</si>
  <si>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</si>
  <si>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</si>
  <si>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</si>
  <si>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</si>
  <si>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</si>
  <si>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</si>
  <si>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</si>
  <si>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</si>
  <si>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</si>
  <si>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</si>
  <si>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</si>
  <si>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</si>
  <si>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</si>
  <si>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</si>
  <si>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</si>
  <si>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</si>
  <si>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</si>
  <si>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</si>
  <si>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</si>
  <si>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</si>
  <si>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</si>
  <si>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</si>
  <si>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</si>
  <si>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</si>
  <si>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</si>
  <si>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</si>
  <si>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</si>
  <si>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</si>
  <si>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</si>
  <si>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</si>
  <si>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</si>
  <si>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</si>
  <si>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</si>
  <si>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</si>
  <si>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</si>
  <si>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</si>
  <si>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</si>
  <si>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</si>
  <si>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</si>
  <si>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</si>
  <si>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</si>
  <si>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</si>
  <si>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</si>
  <si>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</si>
  <si>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</si>
  <si>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</si>
  <si>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</si>
  <si>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</si>
  <si>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</si>
  <si>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</si>
  <si>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</si>
  <si>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</si>
  <si>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</si>
  <si>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</si>
  <si>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</si>
  <si>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</si>
  <si>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</si>
  <si>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</si>
  <si>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</si>
  <si>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</si>
  <si>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</si>
  <si>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</si>
  <si>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</si>
  <si>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</si>
  <si>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</si>
  <si>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</si>
  <si>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</si>
  <si>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</si>
  <si>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</si>
  <si>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</si>
  <si>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</si>
  <si>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</si>
  <si>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</si>
  <si>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</si>
  <si>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</si>
  <si>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</si>
  <si>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</si>
  <si>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</si>
  <si>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</si>
  <si>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</si>
  <si>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</si>
  <si>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</si>
  <si>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</si>
  <si>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</si>
  <si>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</si>
  <si>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</si>
  <si>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</si>
  <si>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</si>
  <si>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</si>
  <si>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</si>
  <si>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</si>
  <si>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</si>
  <si>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</si>
  <si>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</si>
  <si>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</si>
  <si>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</si>
  <si>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</si>
  <si>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</si>
  <si>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</si>
  <si>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</si>
  <si>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</si>
  <si>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</si>
  <si>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</si>
  <si>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</si>
  <si>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</si>
  <si>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</si>
  <si>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</si>
  <si>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</si>
  <si>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</si>
  <si>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</si>
  <si>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</si>
  <si>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</si>
  <si>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</si>
  <si>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</si>
  <si>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</si>
  <si>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</si>
  <si>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</si>
  <si>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</si>
  <si>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</si>
  <si>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</si>
  <si>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</si>
  <si>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</si>
  <si>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</si>
  <si>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</si>
  <si>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</si>
  <si>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</si>
  <si>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</si>
  <si>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</si>
  <si>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</si>
  <si>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</si>
  <si>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</si>
  <si>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</si>
  <si>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</si>
  <si>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</si>
  <si>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</si>
  <si>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</si>
  <si>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</si>
  <si>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</si>
  <si>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</si>
  <si>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</si>
  <si>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</si>
  <si>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</si>
  <si>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</si>
  <si>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</si>
  <si>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</si>
  <si>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</si>
  <si>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</si>
  <si>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</si>
  <si>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</si>
  <si>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</si>
  <si>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</si>
  <si>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</si>
  <si>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</si>
  <si>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</si>
  <si>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</si>
  <si>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</si>
  <si>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</si>
  <si>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</si>
  <si>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</si>
  <si>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</si>
  <si>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</si>
  <si>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</si>
  <si>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</si>
  <si>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</si>
  <si>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</si>
  <si>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</si>
  <si>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</si>
  <si>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</si>
  <si>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</si>
  <si>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</si>
  <si>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</si>
  <si>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</si>
  <si>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</si>
  <si>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</si>
  <si>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</si>
  <si>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</si>
  <si>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</si>
  <si>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</si>
  <si>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</si>
  <si>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</si>
  <si>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</si>
  <si>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</si>
  <si>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</si>
  <si>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</si>
  <si>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</si>
  <si>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</si>
  <si>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</si>
  <si>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</si>
  <si>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</si>
  <si>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</si>
  <si>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</si>
  <si>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</si>
  <si>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</si>
  <si>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</si>
  <si>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</si>
  <si>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</si>
  <si>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</si>
  <si>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</si>
  <si>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</si>
  <si>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</si>
  <si>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</si>
  <si>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</si>
  <si>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</si>
  <si>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</si>
  <si>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</si>
  <si>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</si>
  <si>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</si>
  <si>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</si>
  <si>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</si>
  <si>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</si>
  <si>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</si>
  <si>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</si>
  <si>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</si>
  <si>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</si>
  <si>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</si>
  <si>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</si>
  <si>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</si>
  <si>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</si>
  <si>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</si>
  <si>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</si>
  <si>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</si>
  <si>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</si>
  <si>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</si>
  <si>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</si>
  <si>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</si>
  <si>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</si>
  <si>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</si>
  <si>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</si>
  <si>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</si>
  <si>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</si>
  <si>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</si>
  <si>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</si>
  <si>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</si>
  <si>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</si>
  <si>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</si>
  <si>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</si>
  <si>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</si>
  <si>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</si>
  <si>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</si>
  <si>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</si>
  <si>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</si>
  <si>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</si>
  <si>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</si>
  <si>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</si>
  <si>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</si>
  <si>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</si>
  <si>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</si>
  <si>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</si>
  <si>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</si>
  <si>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</si>
  <si>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</si>
  <si>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</si>
  <si>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</si>
  <si>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</si>
  <si>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</si>
  <si>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</si>
  <si>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</si>
  <si>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</si>
  <si>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</si>
  <si>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</si>
  <si>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</si>
  <si>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</si>
  <si>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</si>
  <si>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</si>
  <si>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</si>
  <si>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</si>
  <si>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</si>
  <si>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</si>
  <si>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</si>
  <si>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</si>
  <si>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</si>
  <si>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</si>
  <si>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</si>
  <si>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</si>
  <si>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</si>
  <si>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</si>
  <si>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</si>
  <si>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</si>
  <si>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</si>
  <si>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</si>
  <si>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</si>
  <si>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</si>
  <si>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</si>
  <si>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</si>
  <si>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</si>
  <si>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</si>
  <si>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</si>
  <si>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</si>
  <si>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</si>
  <si>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</si>
  <si>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</si>
  <si>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</si>
  <si>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</si>
  <si>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</si>
  <si>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</si>
  <si>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</si>
  <si>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</si>
  <si>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</si>
  <si>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</si>
  <si>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</si>
  <si>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</si>
  <si>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</si>
  <si>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</si>
  <si>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</si>
  <si>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</si>
  <si>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</si>
  <si>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</si>
  <si>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</si>
  <si>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</si>
  <si>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</si>
  <si>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</si>
  <si>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</si>
  <si>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</si>
  <si>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</si>
  <si>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</si>
  <si>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</si>
  <si>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</si>
  <si>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</si>
  <si>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</si>
  <si>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</si>
  <si>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</si>
  <si>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</si>
  <si>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</si>
  <si>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</si>
  <si>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</si>
  <si>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</si>
  <si>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</si>
  <si>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</si>
  <si>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</si>
  <si>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</si>
  <si>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</si>
  <si>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</si>
  <si>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</si>
  <si>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</si>
  <si>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</si>
  <si>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</si>
  <si>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</si>
  <si>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</si>
  <si>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</si>
  <si>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</si>
  <si>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</si>
  <si>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</si>
  <si>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</si>
  <si>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</si>
  <si>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</si>
  <si>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</si>
  <si>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</si>
  <si>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</si>
  <si>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</si>
  <si>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</si>
  <si>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</si>
  <si>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</si>
  <si>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</si>
  <si>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</si>
  <si>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</si>
  <si>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</si>
  <si>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</si>
  <si>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</si>
  <si>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</si>
  <si>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</si>
  <si>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</si>
  <si>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</si>
  <si>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</si>
  <si>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</si>
  <si>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</si>
  <si>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</si>
  <si>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</si>
  <si>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</si>
  <si>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</si>
  <si>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</si>
  <si>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</si>
  <si>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</si>
  <si>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</si>
  <si>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</si>
  <si>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</si>
  <si>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</si>
  <si>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</si>
  <si>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</si>
  <si>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</si>
  <si>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</si>
  <si>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</si>
  <si>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</si>
  <si>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</si>
  <si>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</si>
  <si>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</si>
  <si>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</si>
  <si>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</si>
  <si>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</si>
  <si>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</si>
  <si>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</si>
  <si>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</si>
  <si>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</si>
  <si>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</si>
  <si>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</si>
  <si>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</si>
  <si>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</si>
  <si>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</si>
  <si>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</si>
  <si>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</si>
  <si>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</si>
  <si>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</si>
  <si>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</si>
  <si>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</si>
  <si>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</si>
  <si>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</si>
  <si>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</si>
  <si>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</si>
  <si>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</si>
  <si>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</si>
  <si>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</si>
  <si>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</si>
  <si>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</si>
  <si>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</si>
  <si>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</si>
  <si>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</si>
  <si>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</si>
  <si>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</si>
  <si>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</si>
  <si>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</si>
  <si>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</si>
  <si>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</si>
  <si>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</si>
  <si>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</si>
  <si>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</si>
  <si>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</si>
  <si>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</si>
  <si>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</si>
  <si>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</si>
  <si>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</si>
  <si>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</si>
  <si>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</si>
  <si>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</si>
  <si>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</si>
  <si>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</si>
  <si>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</si>
  <si>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</si>
  <si>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</si>
  <si>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</si>
  <si>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</si>
  <si>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</si>
  <si>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</si>
  <si>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</si>
  <si>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</si>
  <si>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</si>
  <si>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</si>
  <si>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</si>
  <si>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</si>
  <si>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</si>
  <si>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</si>
  <si>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</si>
  <si>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</si>
  <si>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</si>
  <si>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</si>
  <si>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</si>
  <si>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</si>
  <si>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</si>
  <si>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</si>
  <si>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</si>
  <si>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</si>
  <si>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</si>
  <si>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</si>
  <si>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</si>
  <si>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</si>
  <si>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</si>
  <si>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</si>
  <si>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</si>
  <si>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</si>
  <si>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</si>
  <si>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</si>
  <si>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</si>
  <si>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</si>
  <si>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</si>
  <si>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</si>
  <si>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</si>
  <si>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</si>
  <si>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</si>
  <si>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</si>
  <si>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</si>
  <si>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</si>
  <si>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</si>
  <si>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</si>
  <si>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</si>
  <si>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</si>
  <si>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</si>
  <si>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</si>
  <si>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</si>
  <si>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</si>
  <si>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</si>
  <si>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</si>
  <si>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</si>
  <si>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</si>
  <si>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</si>
  <si>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</si>
  <si>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</si>
  <si>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</si>
  <si>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</si>
  <si>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</si>
  <si>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</si>
  <si>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</si>
  <si>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</si>
  <si>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</si>
  <si>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</si>
  <si>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</si>
  <si>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</si>
  <si>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</si>
  <si>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</si>
  <si>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</si>
  <si>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</si>
  <si>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</si>
  <si>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</si>
  <si>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</si>
  <si>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</si>
  <si>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</si>
  <si>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</si>
  <si>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</si>
  <si>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</si>
  <si>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</si>
  <si>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</si>
  <si>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</si>
  <si>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</si>
  <si>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</si>
  <si>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</si>
  <si>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</si>
  <si>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</si>
  <si>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</si>
  <si>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</si>
  <si>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</si>
  <si>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</si>
  <si>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</si>
  <si>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</si>
  <si>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</si>
  <si>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</si>
  <si>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</si>
  <si>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</si>
  <si>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</si>
  <si>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</si>
  <si>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</si>
  <si>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</si>
  <si>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</si>
  <si>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</si>
  <si>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</si>
  <si>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</si>
  <si>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</si>
  <si>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</si>
  <si>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</si>
  <si>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</si>
  <si>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</si>
  <si>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</si>
  <si>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</si>
  <si>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</si>
  <si>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</si>
  <si>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</si>
  <si>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</si>
  <si>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</si>
  <si>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</si>
  <si>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</si>
  <si>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</si>
  <si>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</si>
  <si>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</si>
  <si>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</si>
  <si>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</si>
  <si>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</si>
  <si>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</si>
  <si>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</si>
  <si>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</si>
  <si>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</si>
  <si>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</si>
  <si>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</si>
  <si>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</si>
  <si>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</si>
  <si>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</si>
  <si>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</si>
  <si>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</si>
  <si>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</si>
  <si>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</si>
  <si>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</si>
  <si>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</si>
  <si>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</si>
  <si>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</si>
  <si>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</si>
  <si>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</si>
  <si>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</si>
  <si>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</si>
  <si>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</si>
  <si>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</si>
  <si>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</si>
  <si>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</si>
  <si>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</si>
  <si>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</si>
  <si>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</si>
  <si>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</si>
  <si>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</si>
  <si>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</si>
  <si>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</si>
  <si>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</si>
  <si>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</si>
  <si>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</si>
  <si>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</si>
  <si>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</si>
  <si>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</si>
  <si>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</si>
  <si>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</si>
  <si>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</si>
  <si>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</si>
  <si>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</si>
  <si>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</si>
  <si>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</si>
  <si>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</si>
  <si>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</si>
  <si>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</si>
  <si>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</si>
  <si>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</si>
  <si>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</si>
  <si>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</si>
  <si>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</si>
  <si>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</si>
  <si>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</si>
  <si>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</si>
  <si>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</si>
  <si>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</si>
  <si>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</si>
  <si>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</si>
  <si>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</si>
  <si>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</si>
  <si>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</si>
  <si>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</si>
  <si>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</si>
  <si>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</si>
  <si>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</si>
  <si>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</si>
  <si>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</si>
  <si>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</si>
  <si>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</si>
  <si>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</si>
  <si>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</si>
  <si>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</si>
  <si>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</si>
  <si>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</si>
  <si>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</si>
  <si>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</si>
  <si>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</si>
  <si>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</si>
  <si>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</si>
  <si>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</si>
  <si>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</si>
  <si>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</si>
  <si>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</si>
  <si>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</si>
  <si>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</si>
  <si>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</si>
  <si>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</si>
  <si>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</si>
  <si>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</si>
  <si>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</si>
  <si>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</si>
  <si>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</si>
  <si>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</si>
  <si>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</si>
  <si>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</si>
  <si>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</si>
  <si>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</si>
  <si>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</si>
  <si>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</si>
  <si>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</si>
  <si>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</si>
  <si>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</si>
  <si>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</si>
  <si>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</si>
  <si>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</si>
  <si>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</si>
  <si>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</si>
  <si>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</si>
  <si>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</si>
  <si>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</si>
  <si>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</si>
  <si>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</si>
  <si>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</si>
  <si>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</si>
  <si>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</si>
  <si>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</si>
  <si>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</si>
  <si>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</si>
  <si>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</si>
  <si>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</si>
  <si>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</si>
  <si>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</si>
  <si>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</si>
  <si>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</si>
  <si>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</si>
  <si>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</si>
  <si>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</si>
  <si>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</si>
  <si>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</si>
  <si>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</si>
  <si>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</si>
  <si>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</si>
  <si>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</si>
  <si>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</si>
  <si>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</si>
  <si>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</si>
  <si>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</si>
  <si>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</si>
  <si>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</si>
  <si>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</si>
  <si>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</si>
  <si>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</si>
  <si>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</si>
  <si>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</si>
  <si>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</si>
  <si>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</si>
  <si>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</si>
  <si>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</si>
  <si>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</si>
  <si>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</si>
  <si>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</si>
  <si>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</si>
  <si>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</si>
  <si>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</si>
  <si>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</si>
  <si>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</si>
  <si>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</si>
  <si>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</si>
  <si>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</si>
  <si>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</si>
  <si>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</si>
  <si>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</si>
  <si>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</si>
  <si>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</si>
  <si>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</si>
  <si>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</si>
  <si>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</si>
  <si>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</si>
  <si>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</si>
  <si>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</si>
  <si>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</si>
  <si>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</si>
  <si>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</si>
  <si>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</si>
  <si>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</si>
  <si>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</si>
  <si>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</si>
  <si>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</si>
  <si>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</si>
  <si>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</si>
  <si>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</si>
  <si>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</si>
  <si>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</si>
  <si>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</si>
  <si>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</si>
  <si>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</si>
  <si>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</si>
  <si>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</si>
  <si>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</si>
  <si>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</si>
  <si>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</si>
  <si>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</si>
  <si>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</si>
  <si>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</si>
  <si>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</si>
  <si>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</si>
  <si>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</si>
  <si>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</si>
  <si>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</si>
  <si>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</si>
  <si>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</si>
  <si>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</si>
  <si>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</si>
  <si>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</si>
  <si>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</si>
  <si>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</si>
  <si>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</si>
  <si>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</si>
  <si>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</si>
  <si>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</si>
  <si>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</si>
  <si>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</si>
  <si>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</si>
  <si>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</si>
  <si>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</si>
  <si>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</si>
  <si>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</si>
  <si>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</si>
  <si>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</si>
  <si>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</si>
  <si>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</si>
  <si>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</si>
  <si>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</si>
  <si>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</si>
  <si>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</si>
  <si>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</si>
  <si>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</si>
  <si>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</si>
  <si>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</si>
  <si>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</si>
  <si>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</si>
  <si>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</si>
  <si>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</si>
  <si>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</si>
  <si>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</si>
  <si>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</si>
  <si>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</si>
  <si>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</si>
  <si>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</si>
  <si>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</si>
  <si>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</si>
  <si>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</si>
  <si>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</si>
  <si>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</si>
  <si>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</si>
  <si>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</si>
  <si>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</si>
  <si>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</si>
  <si>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</si>
  <si>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</si>
  <si>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</si>
  <si>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</si>
  <si>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</si>
  <si>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</si>
  <si>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</si>
  <si>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</si>
  <si>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</si>
  <si>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</si>
  <si>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</si>
  <si>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</si>
  <si>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</si>
  <si>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</si>
  <si>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</si>
  <si>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</si>
  <si>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</si>
  <si>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</si>
  <si>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</si>
  <si>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</si>
  <si>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</si>
  <si>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</si>
  <si>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</si>
  <si>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</si>
  <si>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</si>
  <si>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</si>
  <si>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</si>
  <si>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</si>
  <si>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</si>
  <si>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</si>
  <si>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</si>
  <si>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</si>
  <si>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</si>
  <si>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</si>
  <si>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</si>
  <si>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</si>
  <si>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</si>
  <si>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</si>
  <si>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</si>
  <si>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</si>
  <si>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</si>
  <si>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</si>
  <si>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</si>
  <si>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</si>
  <si>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</si>
  <si>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</si>
  <si>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</si>
  <si>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</si>
  <si>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</si>
  <si>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</si>
  <si>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</si>
  <si>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</si>
  <si>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</si>
  <si>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</si>
  <si>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</si>
  <si>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</si>
  <si>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</si>
  <si>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</si>
  <si>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</si>
  <si>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</si>
  <si>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</si>
  <si>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</si>
  <si>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</si>
  <si>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</si>
  <si>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</si>
  <si>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</si>
  <si>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</si>
  <si>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</si>
  <si>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</si>
  <si>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</si>
  <si>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</si>
  <si>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</si>
  <si>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</si>
  <si>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</si>
  <si>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</si>
  <si>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</si>
  <si>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</si>
  <si>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</si>
  <si>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</si>
  <si>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</si>
  <si>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</si>
  <si>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</si>
  <si>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</si>
  <si>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</si>
  <si>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</si>
  <si>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</si>
  <si>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</si>
  <si>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</si>
  <si>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</si>
  <si>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</si>
  <si>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</si>
  <si>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</si>
  <si>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</si>
  <si>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</si>
  <si>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</si>
  <si>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</si>
  <si>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</si>
  <si>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</si>
  <si>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</si>
  <si>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</si>
  <si>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</si>
  <si>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</si>
  <si>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</si>
  <si>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</si>
  <si>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</si>
  <si>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</si>
  <si>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</si>
  <si>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</si>
  <si>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</si>
  <si>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</si>
  <si>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</si>
  <si>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</si>
  <si>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</si>
  <si>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</si>
  <si>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</si>
  <si>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</si>
  <si>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</si>
  <si>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</si>
  <si>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</si>
  <si>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</si>
  <si>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</si>
  <si>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</si>
  <si>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</si>
  <si>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</si>
  <si>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</si>
  <si>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</si>
  <si>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</si>
  <si>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</si>
  <si>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</si>
  <si>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</si>
  <si>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</si>
  <si>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</si>
  <si>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</si>
  <si>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</si>
  <si>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</si>
  <si>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</si>
  <si>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</si>
  <si>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</si>
  <si>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</si>
  <si>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</si>
  <si>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</si>
  <si>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</si>
  <si>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</si>
  <si>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</si>
  <si>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</si>
  <si>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</si>
  <si>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</si>
  <si>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</si>
  <si>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</si>
  <si>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</si>
  <si>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</si>
  <si>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</si>
  <si>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</si>
  <si>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</si>
  <si>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</si>
  <si>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</si>
  <si>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</si>
  <si>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</si>
  <si>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</si>
  <si>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</si>
  <si>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</si>
  <si>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</si>
  <si>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</si>
  <si>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</si>
  <si>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</si>
  <si>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</si>
  <si>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</si>
  <si>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</si>
  <si>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</si>
  <si>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</si>
  <si>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</si>
  <si>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</si>
  <si>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</si>
  <si>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</si>
  <si>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</si>
  <si>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</si>
  <si>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</si>
  <si>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</si>
  <si>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</si>
  <si>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</si>
  <si>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</si>
  <si>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</si>
  <si>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</si>
  <si>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</si>
  <si>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</si>
  <si>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</si>
  <si>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</si>
  <si>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</si>
  <si>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</si>
  <si>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</si>
  <si>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</si>
  <si>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</si>
  <si>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</si>
  <si>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</si>
  <si>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</si>
  <si>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</si>
  <si>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</si>
  <si>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</si>
  <si>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</si>
  <si>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</si>
  <si>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</si>
  <si>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</si>
  <si>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</si>
  <si>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</si>
  <si>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</si>
  <si>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</si>
  <si>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</si>
  <si>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</si>
  <si>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</si>
  <si>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</si>
  <si>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</si>
  <si>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</si>
  <si>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</si>
  <si>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</si>
  <si>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</si>
  <si>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</si>
  <si>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</si>
  <si>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</si>
  <si>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</si>
  <si>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</si>
  <si>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</si>
  <si>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</si>
  <si>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</si>
  <si>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</si>
  <si>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</si>
  <si>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</si>
  <si>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</si>
  <si>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</si>
  <si>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</si>
  <si>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</si>
  <si>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</si>
  <si>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</si>
  <si>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</si>
  <si>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</si>
  <si>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</si>
  <si>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</si>
  <si>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</si>
  <si>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</si>
  <si>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</si>
  <si>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</si>
  <si>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</si>
  <si>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</si>
  <si>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</si>
  <si>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</si>
  <si>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</si>
  <si>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</si>
  <si>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</si>
  <si>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</si>
  <si>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</si>
  <si>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</si>
  <si>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</si>
  <si>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</si>
  <si>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</si>
  <si>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</si>
  <si>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</si>
  <si>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</si>
  <si>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</si>
  <si>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</si>
  <si>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</si>
  <si>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</si>
  <si>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</si>
  <si>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</si>
  <si>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</si>
  <si>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</si>
  <si>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</si>
  <si>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</si>
  <si>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</si>
  <si>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</si>
  <si>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</si>
  <si>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</si>
  <si>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</si>
  <si>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</si>
  <si>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</si>
  <si>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</si>
  <si>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</si>
  <si>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</si>
  <si>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</si>
  <si>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</si>
  <si>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</si>
  <si>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</si>
  <si>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</si>
  <si>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</si>
  <si>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</si>
  <si>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</si>
  <si>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</si>
  <si>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</si>
  <si>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</si>
  <si>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</si>
  <si>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</si>
  <si>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</si>
  <si>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</si>
  <si>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</si>
  <si>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</si>
  <si>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</si>
  <si>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</si>
  <si>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</si>
  <si>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</si>
  <si>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</si>
  <si>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</si>
  <si>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</si>
  <si>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</si>
  <si>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</si>
  <si>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</si>
  <si>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</si>
  <si>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</si>
  <si>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</si>
  <si>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</si>
  <si>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</si>
  <si>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</si>
  <si>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</si>
  <si>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</si>
  <si>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</si>
  <si>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</si>
  <si>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</si>
  <si>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</si>
  <si>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</si>
  <si>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</si>
  <si>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</si>
  <si>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</si>
  <si>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</si>
  <si>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</si>
  <si>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</si>
  <si>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</si>
  <si>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</si>
  <si>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</si>
  <si>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</si>
  <si>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</si>
  <si>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</si>
  <si>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</si>
  <si>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</si>
  <si>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</si>
  <si>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</si>
  <si>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</si>
  <si>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</si>
  <si>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</si>
  <si>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</si>
  <si>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</si>
  <si>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</si>
  <si>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</si>
  <si>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</si>
  <si>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</si>
  <si>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</si>
  <si>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</si>
  <si>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</si>
  <si>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</si>
  <si>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</si>
  <si>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</si>
  <si>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</si>
  <si>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</si>
  <si>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</si>
  <si>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</si>
  <si>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</si>
  <si>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</si>
  <si>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</si>
  <si>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</si>
  <si>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</si>
  <si>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</si>
  <si>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</si>
  <si>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</si>
  <si>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</si>
  <si>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</si>
  <si>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</si>
  <si>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</si>
  <si>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</si>
  <si>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</si>
  <si>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</si>
  <si>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</si>
  <si>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</si>
  <si>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</si>
  <si>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</si>
  <si>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</si>
  <si>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</si>
  <si>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</si>
  <si>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</si>
  <si>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</si>
  <si>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</si>
  <si>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</si>
  <si>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</si>
  <si>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</si>
  <si>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</si>
  <si>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</si>
  <si>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</si>
  <si>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</si>
  <si>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</si>
  <si>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</si>
  <si>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</si>
  <si>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</si>
  <si>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</si>
  <si>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</si>
  <si>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</si>
  <si>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</si>
  <si>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</si>
  <si>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</si>
  <si>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</si>
  <si>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</si>
  <si>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</si>
  <si>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</si>
  <si>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</si>
  <si>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</si>
  <si>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</si>
  <si>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</si>
  <si>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</si>
  <si>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</si>
  <si>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</si>
  <si>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</si>
  <si>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</si>
  <si>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</si>
  <si>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</si>
  <si>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</si>
  <si>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</si>
  <si>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</si>
  <si>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</si>
  <si>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</si>
  <si>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</si>
  <si>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</si>
  <si>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</si>
  <si>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</si>
  <si>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</si>
  <si>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</si>
  <si>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</si>
  <si>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</si>
  <si>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</si>
  <si>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</si>
  <si>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</si>
  <si>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</si>
  <si>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</si>
  <si>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</si>
  <si>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</si>
  <si>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</si>
  <si>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</si>
  <si>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</si>
  <si>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</si>
  <si>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</si>
  <si>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</si>
  <si>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</si>
  <si>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</si>
  <si>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</si>
  <si>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</si>
  <si>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</si>
  <si>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</si>
  <si>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</si>
  <si>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</si>
  <si>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</si>
  <si>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</si>
  <si>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</si>
  <si>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</si>
  <si>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</si>
  <si>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</si>
  <si>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</si>
  <si>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</si>
  <si>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</si>
  <si>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</si>
  <si>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</si>
  <si>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</si>
  <si>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</si>
  <si>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</si>
  <si>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</si>
  <si>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</si>
  <si>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</si>
  <si>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</si>
  <si>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</si>
  <si>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</si>
  <si>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</si>
  <si>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</si>
  <si>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</si>
  <si>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</si>
  <si>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</si>
  <si>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</si>
  <si>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</si>
  <si>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</si>
  <si>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</si>
  <si>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</si>
  <si>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</si>
  <si>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</si>
  <si>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</si>
  <si>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</si>
  <si>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</si>
  <si>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</si>
  <si>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</si>
  <si>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</si>
  <si>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</si>
  <si>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</si>
  <si>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</si>
  <si>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</si>
  <si>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</si>
  <si>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</si>
  <si>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</si>
  <si>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</si>
  <si>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</si>
  <si>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</si>
  <si>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</si>
  <si>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</si>
  <si>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</si>
  <si>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</si>
  <si>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</si>
  <si>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</si>
  <si>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</si>
  <si>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</si>
  <si>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</si>
  <si>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</si>
  <si>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</si>
  <si>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</si>
  <si>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</si>
  <si>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</si>
  <si>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</si>
  <si>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</si>
  <si>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</si>
  <si>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</si>
  <si>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</si>
  <si>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</si>
  <si>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</si>
  <si>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</si>
  <si>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</si>
  <si>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</si>
  <si>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</si>
  <si>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</si>
  <si>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</si>
  <si>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</si>
  <si>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</si>
  <si>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</si>
  <si>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</si>
  <si>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</si>
  <si>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</si>
  <si>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</si>
  <si>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</si>
  <si>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</si>
  <si>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</si>
  <si>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</si>
  <si>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</si>
  <si>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</si>
  <si>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</si>
  <si>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</si>
  <si>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</si>
  <si>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</si>
  <si>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</si>
  <si>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</si>
  <si>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</si>
  <si>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</si>
  <si>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</si>
  <si>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</si>
  <si>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</si>
  <si>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</si>
  <si>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</si>
  <si>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</si>
  <si>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</si>
  <si>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</si>
  <si>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</si>
  <si>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</si>
  <si>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</si>
  <si>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</si>
  <si>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</si>
  <si>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</si>
  <si>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</si>
  <si>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</si>
  <si>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</si>
  <si>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</si>
  <si>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</si>
  <si>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</si>
  <si>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</si>
  <si>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</si>
  <si>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</si>
  <si>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</si>
  <si>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</si>
  <si>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</si>
  <si>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</si>
  <si>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</si>
  <si>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</si>
  <si>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</si>
  <si>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</si>
  <si>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</si>
  <si>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</si>
  <si>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</si>
  <si>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</si>
  <si>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</si>
  <si>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</si>
  <si>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</si>
  <si>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</si>
  <si>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</si>
  <si>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</si>
  <si>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</si>
  <si>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</si>
  <si>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</si>
  <si>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</si>
  <si>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</si>
  <si>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</si>
  <si>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</si>
  <si>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</si>
  <si>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</si>
  <si>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</si>
  <si>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</si>
  <si>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</si>
  <si>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</si>
  <si>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</si>
  <si>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</si>
  <si>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</si>
  <si>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</si>
  <si>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</si>
  <si>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</si>
  <si>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</si>
  <si>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</si>
  <si>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</si>
  <si>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</si>
  <si>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</si>
  <si>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</si>
  <si>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</si>
  <si>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</si>
  <si>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</si>
  <si>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</si>
  <si>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</si>
  <si>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</si>
  <si>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</si>
  <si>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</si>
  <si>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</si>
  <si>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</si>
  <si>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</si>
  <si>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</si>
  <si>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</si>
  <si>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</si>
  <si>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</si>
  <si>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</si>
  <si>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</si>
  <si>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</si>
  <si>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</si>
  <si>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</si>
  <si>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</si>
  <si>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</si>
  <si>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</si>
  <si>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</si>
  <si>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</si>
  <si>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</si>
  <si>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</si>
  <si>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</si>
  <si>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</si>
  <si>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</si>
  <si>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</si>
  <si>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</si>
  <si>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</si>
  <si>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</si>
  <si>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</si>
  <si>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</si>
  <si>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</si>
  <si>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</si>
  <si>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</si>
  <si>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</si>
  <si>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</si>
  <si>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</si>
  <si>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</si>
  <si>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</si>
  <si>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</si>
  <si>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</si>
  <si>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</si>
  <si>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</si>
  <si>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</si>
  <si>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</si>
  <si>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</si>
  <si>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</si>
  <si>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</si>
  <si>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</si>
  <si>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</si>
  <si>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</si>
  <si>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</si>
  <si>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</si>
  <si>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</si>
  <si>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</si>
  <si>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</si>
  <si>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</si>
  <si>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</si>
  <si>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</si>
  <si>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</si>
  <si>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</si>
  <si>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</si>
  <si>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</si>
  <si>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</si>
  <si>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</si>
  <si>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</si>
  <si>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</si>
  <si>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</si>
  <si>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</si>
  <si>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</si>
  <si>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</si>
  <si>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</si>
  <si>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</si>
  <si>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</si>
  <si>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</si>
  <si>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</si>
  <si>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</si>
  <si>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</si>
  <si>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</si>
  <si>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</si>
  <si>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</si>
  <si>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</si>
  <si>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</si>
  <si>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</si>
  <si>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</si>
  <si>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</si>
  <si>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</si>
  <si>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</si>
  <si>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</si>
  <si>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</si>
  <si>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</si>
  <si>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</si>
  <si>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</si>
  <si>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</si>
  <si>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</si>
  <si>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</si>
  <si>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</si>
  <si>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</si>
  <si>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</si>
  <si>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</si>
  <si>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</si>
  <si>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</si>
  <si>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</si>
  <si>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</si>
  <si>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</si>
  <si>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</si>
  <si>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</si>
  <si>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</si>
  <si>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</si>
  <si>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</si>
  <si>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</si>
  <si>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</si>
  <si>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</si>
  <si>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</si>
  <si>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</si>
  <si>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</si>
  <si>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</si>
  <si>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</si>
  <si>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</si>
  <si>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</si>
  <si>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</si>
  <si>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</si>
  <si>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</si>
  <si>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</si>
  <si>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</si>
  <si>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</si>
  <si>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</si>
  <si>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</si>
  <si>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</si>
  <si>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</si>
  <si>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</si>
  <si>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</si>
  <si>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</si>
  <si>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</si>
  <si>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</si>
  <si>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</si>
  <si>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</si>
  <si>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</si>
  <si>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</si>
  <si>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</si>
  <si>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</si>
  <si>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</si>
  <si>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</si>
  <si>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</si>
  <si>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</si>
  <si>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</si>
  <si>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</si>
  <si>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</si>
  <si>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</si>
  <si>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</si>
  <si>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</si>
  <si>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</si>
  <si>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</si>
  <si>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</si>
  <si>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</si>
  <si>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</si>
  <si>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</si>
  <si>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</si>
  <si>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</si>
  <si>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</si>
  <si>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</si>
  <si>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</si>
  <si>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</si>
  <si>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</si>
  <si>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</si>
  <si>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</si>
  <si>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</si>
  <si>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</si>
  <si>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</si>
  <si>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</si>
  <si>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</si>
  <si>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</si>
  <si>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</si>
  <si>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</si>
  <si>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</si>
  <si>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</si>
  <si>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</si>
  <si>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</si>
  <si>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</si>
  <si>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</si>
  <si>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</si>
  <si>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</si>
  <si>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</si>
  <si>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</si>
  <si>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</si>
  <si>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</si>
  <si>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</si>
  <si>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</si>
  <si>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</si>
  <si>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</si>
  <si>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</si>
  <si>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</si>
  <si>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</si>
  <si>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</si>
  <si>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</si>
  <si>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</si>
  <si>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</si>
  <si>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</si>
  <si>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</si>
  <si>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</si>
  <si>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</si>
  <si>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</si>
  <si>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</si>
  <si>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</si>
  <si>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</si>
  <si>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</si>
  <si>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</si>
  <si>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</si>
  <si>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</si>
  <si>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</si>
  <si>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</si>
  <si>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</si>
  <si>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</si>
  <si>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</si>
  <si>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</si>
  <si>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</si>
  <si>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</si>
  <si>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</si>
  <si>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</si>
  <si>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</si>
  <si>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</si>
  <si>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</si>
  <si>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</si>
  <si>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</si>
  <si>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</si>
  <si>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</si>
  <si>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</si>
  <si>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</si>
  <si>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</si>
  <si>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</si>
  <si>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</si>
  <si>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</si>
  <si>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</si>
  <si>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</si>
  <si>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</si>
  <si>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</si>
  <si>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</si>
  <si>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</si>
  <si>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</si>
  <si>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</si>
  <si>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</si>
  <si>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</si>
  <si>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</si>
  <si>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</si>
  <si>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</si>
  <si>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</si>
  <si>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</si>
  <si>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</si>
  <si>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</si>
  <si>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</si>
  <si>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</si>
  <si>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</si>
  <si>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</si>
  <si>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</si>
  <si>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</si>
  <si>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</si>
  <si>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</si>
  <si>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</si>
  <si>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</si>
  <si>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</si>
  <si>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</si>
  <si>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</si>
  <si>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</si>
  <si>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</si>
  <si>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</si>
  <si>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</si>
  <si>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</si>
  <si>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</si>
  <si>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</si>
  <si>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</si>
  <si>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</si>
  <si>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</si>
  <si>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</si>
  <si>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</si>
  <si>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</si>
  <si>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</si>
  <si>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</si>
  <si>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</si>
  <si>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</si>
  <si>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</si>
  <si>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</si>
  <si>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</si>
  <si>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</si>
  <si>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</si>
  <si>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</si>
  <si>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</si>
  <si>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</si>
  <si>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</si>
  <si>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</si>
  <si>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</si>
  <si>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</si>
  <si>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</si>
  <si>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</si>
  <si>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</si>
  <si>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</si>
  <si>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</si>
  <si>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</si>
  <si>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</si>
  <si>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</si>
  <si>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</si>
  <si>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</si>
  <si>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</si>
  <si>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</si>
  <si>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</si>
  <si>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</si>
  <si>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</si>
  <si>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</si>
  <si>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</si>
  <si>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</si>
  <si>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</si>
  <si>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</si>
  <si>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</si>
  <si>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</si>
  <si>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</si>
  <si>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</si>
  <si>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</si>
  <si>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</si>
  <si>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</si>
  <si>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</si>
  <si>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</si>
  <si>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</si>
  <si>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</si>
  <si>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</si>
  <si>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</si>
  <si>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</si>
  <si>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</si>
  <si>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</si>
  <si>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</si>
  <si>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</si>
  <si>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</si>
  <si>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</si>
  <si>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</si>
  <si>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</si>
  <si>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</si>
  <si>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</si>
  <si>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</si>
  <si>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</si>
  <si>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</si>
  <si>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</si>
  <si>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</si>
  <si>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</si>
  <si>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</si>
  <si>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</si>
  <si>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</si>
  <si>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</si>
  <si>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</si>
  <si>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</si>
  <si>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</si>
  <si>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</si>
  <si>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</si>
  <si>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</si>
  <si>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</si>
  <si>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</si>
  <si>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</si>
  <si>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</si>
  <si>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</si>
  <si>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</si>
  <si>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</si>
  <si>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</si>
  <si>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</si>
  <si>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</si>
  <si>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</si>
  <si>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</si>
  <si>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</si>
  <si>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</si>
  <si>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</si>
  <si>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</si>
  <si>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</si>
  <si>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</si>
  <si>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</si>
  <si>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</si>
  <si>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</si>
  <si>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</si>
  <si>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</si>
  <si>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</si>
  <si>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</si>
  <si>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</si>
  <si>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</si>
  <si>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</si>
  <si>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</si>
  <si>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</si>
  <si>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</si>
  <si>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</si>
  <si>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</si>
  <si>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</si>
  <si>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</si>
  <si>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</si>
  <si>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</si>
  <si>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</si>
  <si>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</si>
  <si>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</si>
  <si>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</si>
  <si>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</si>
  <si>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</si>
  <si>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</si>
  <si>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</si>
  <si>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</si>
  <si>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</si>
  <si>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</si>
  <si>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</si>
  <si>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</si>
  <si>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</si>
  <si>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</si>
  <si>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</si>
  <si>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</si>
  <si>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</si>
  <si>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</si>
  <si>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</si>
  <si>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</si>
  <si>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</si>
  <si>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</si>
  <si>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</si>
  <si>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</si>
  <si>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</si>
  <si>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</si>
  <si>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</si>
  <si>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</si>
  <si>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</si>
  <si>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</si>
  <si>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</si>
  <si>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</si>
  <si>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</si>
  <si>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</si>
  <si>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</si>
  <si>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</si>
  <si>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</si>
  <si>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</si>
  <si>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</si>
  <si>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</si>
  <si>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</si>
  <si>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</si>
  <si>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</si>
  <si>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</si>
  <si>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</si>
  <si>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</si>
  <si>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</si>
  <si>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</si>
  <si>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</si>
  <si>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</si>
  <si>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</si>
  <si>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</si>
  <si>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</si>
  <si>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</si>
  <si>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</si>
  <si>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</si>
  <si>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</si>
  <si>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</si>
  <si>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</si>
  <si>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</si>
  <si>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</si>
  <si>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</si>
  <si>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</si>
  <si>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</si>
  <si>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</si>
  <si>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</si>
  <si>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</si>
  <si>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</si>
  <si>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</si>
  <si>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</si>
  <si>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</si>
  <si>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</si>
  <si>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</si>
  <si>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</si>
  <si>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</si>
  <si>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</si>
  <si>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</si>
  <si>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</si>
  <si>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</si>
  <si>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</si>
  <si>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</si>
  <si>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</si>
  <si>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</si>
  <si>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</si>
  <si>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</si>
  <si>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</si>
  <si>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</si>
  <si>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</si>
  <si>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</si>
  <si>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</si>
  <si>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</si>
  <si>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</si>
  <si>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</si>
  <si>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</si>
  <si>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</si>
  <si>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</si>
  <si>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</si>
  <si>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</si>
  <si>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</si>
  <si>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</si>
  <si>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</si>
  <si>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</si>
  <si>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</si>
  <si>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</si>
  <si>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</si>
  <si>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</si>
  <si>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</si>
  <si>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</si>
  <si>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</si>
  <si>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</si>
  <si>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</si>
  <si>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</si>
  <si>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</si>
  <si>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</si>
  <si>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</si>
  <si>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</si>
  <si>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</si>
  <si>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</si>
  <si>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</si>
  <si>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</si>
  <si>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</si>
  <si>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</si>
  <si>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</si>
  <si>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</si>
  <si>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</si>
  <si>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</si>
  <si>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</si>
  <si>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</si>
  <si>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</si>
  <si>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</si>
  <si>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</si>
  <si>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</si>
  <si>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</si>
  <si>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</si>
  <si>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</si>
  <si>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</si>
  <si>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</si>
  <si>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</si>
  <si>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</si>
  <si>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</si>
  <si>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</si>
  <si>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</si>
  <si>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</si>
  <si>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</si>
  <si>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</si>
  <si>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</si>
  <si>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</si>
  <si>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</si>
  <si>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</si>
  <si>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</si>
  <si>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</si>
  <si>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</si>
  <si>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</si>
  <si>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</si>
  <si>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</si>
  <si>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</si>
  <si>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</si>
  <si>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</si>
  <si>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</si>
  <si>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</si>
  <si>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</si>
  <si>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</si>
  <si>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</si>
  <si>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</si>
  <si>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</si>
  <si>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</si>
  <si>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</si>
  <si>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</si>
  <si>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</si>
  <si>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</si>
  <si>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</si>
  <si>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</si>
  <si>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</si>
  <si>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</si>
  <si>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</si>
  <si>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</si>
  <si>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</si>
  <si>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</si>
  <si>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</si>
  <si>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</si>
  <si>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</si>
  <si>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</si>
  <si>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</si>
  <si>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</si>
  <si>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</si>
  <si>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</si>
  <si>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</si>
  <si>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</si>
  <si>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</si>
  <si>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</si>
  <si>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</si>
  <si>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</si>
  <si>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</si>
  <si>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</si>
  <si>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</si>
  <si>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</si>
  <si>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</si>
  <si>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</si>
  <si>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</si>
  <si>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</si>
  <si>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</si>
  <si>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</si>
  <si>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</si>
  <si>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</si>
  <si>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</si>
  <si>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</si>
  <si>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</si>
  <si>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</si>
  <si>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</si>
  <si>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</si>
  <si>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</si>
  <si>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</si>
  <si>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</si>
  <si>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</si>
  <si>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</si>
  <si>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</si>
  <si>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</si>
  <si>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</si>
  <si>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</si>
  <si>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</si>
  <si>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</si>
  <si>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</si>
  <si>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</si>
  <si>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</si>
  <si>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</si>
  <si>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</si>
  <si>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</si>
  <si>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</si>
  <si>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</si>
  <si>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</si>
  <si>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</si>
  <si>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</si>
  <si>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</si>
  <si>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</si>
  <si>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</si>
  <si>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</si>
  <si>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</si>
  <si>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</si>
  <si>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</si>
  <si>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</si>
  <si>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</si>
  <si>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</si>
  <si>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</si>
  <si>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</si>
  <si>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</si>
  <si>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</si>
  <si>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</si>
  <si>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</si>
  <si>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</si>
  <si>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</si>
  <si>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</si>
  <si>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</si>
  <si>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</si>
  <si>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</si>
  <si>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</si>
  <si>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</si>
  <si>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</si>
  <si>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</si>
  <si>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</si>
  <si>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</si>
  <si>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</si>
  <si>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</si>
  <si>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</si>
  <si>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</si>
  <si>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</si>
  <si>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</si>
  <si>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</si>
  <si>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</si>
  <si>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</si>
  <si>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</si>
  <si>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</si>
  <si>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</si>
  <si>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</si>
  <si>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</si>
  <si>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</si>
  <si>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</si>
  <si>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</si>
  <si>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</si>
  <si>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</si>
  <si>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</si>
  <si>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</si>
  <si>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</si>
  <si>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</si>
  <si>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</si>
  <si>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</si>
  <si>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</si>
  <si>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</si>
  <si>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</si>
  <si>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</si>
  <si>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</si>
  <si>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</si>
  <si>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</si>
  <si>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</si>
  <si>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</si>
  <si>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</si>
  <si>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</si>
  <si>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</si>
  <si>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</si>
  <si>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</si>
  <si>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</si>
  <si>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</si>
  <si>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</si>
  <si>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</si>
  <si>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</si>
  <si>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</si>
  <si>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</si>
  <si>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</si>
  <si>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</si>
  <si>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</si>
  <si>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</si>
  <si>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</si>
  <si>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</si>
  <si>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</si>
  <si>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</si>
  <si>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</si>
  <si>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</si>
  <si>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</si>
  <si>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</si>
  <si>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</si>
  <si>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</si>
  <si>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</si>
  <si>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</si>
  <si>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</si>
  <si>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</si>
  <si>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</si>
  <si>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</si>
  <si>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</si>
  <si>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</si>
  <si>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</si>
  <si>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</si>
  <si>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</si>
  <si>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</si>
  <si>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</si>
  <si>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</si>
  <si>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</si>
  <si>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</si>
  <si>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</si>
  <si>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</si>
  <si>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</si>
  <si>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</si>
  <si>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</si>
  <si>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</si>
  <si>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</si>
  <si>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</si>
  <si>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</si>
  <si>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</si>
  <si>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</si>
  <si>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</si>
  <si>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</si>
  <si>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</si>
  <si>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</si>
  <si>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</si>
  <si>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</si>
  <si>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</si>
  <si>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</si>
  <si>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</si>
  <si>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</si>
  <si>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</si>
  <si>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</si>
  <si>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</si>
  <si>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</si>
  <si>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</si>
  <si>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</si>
  <si>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</si>
  <si>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</si>
  <si>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</si>
  <si>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</si>
  <si>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</si>
  <si>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</si>
  <si>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</si>
  <si>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</si>
  <si>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</si>
  <si>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</si>
  <si>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</si>
  <si>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</si>
  <si>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</si>
  <si>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</si>
  <si>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</si>
  <si>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</si>
  <si>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</si>
  <si>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</si>
  <si>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</si>
  <si>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</si>
  <si>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</si>
  <si>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</si>
  <si>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</si>
  <si>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</si>
  <si>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</si>
  <si>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</si>
  <si>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</si>
  <si>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</si>
  <si>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</si>
  <si>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</si>
  <si>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</si>
  <si>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</si>
  <si>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</si>
  <si>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</si>
  <si>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</si>
  <si>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</si>
  <si>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</si>
  <si>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</si>
  <si>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</si>
  <si>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</si>
  <si>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</si>
  <si>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</si>
  <si>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</si>
  <si>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</si>
  <si>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</si>
  <si>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</si>
  <si>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</si>
  <si>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</si>
  <si>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</si>
  <si>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</si>
  <si>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</si>
  <si>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</si>
  <si>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</si>
  <si>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</si>
  <si>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</si>
  <si>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</si>
  <si>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</si>
  <si>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</si>
  <si>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</si>
  <si>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</si>
  <si>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</si>
  <si>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</si>
  <si>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</si>
  <si>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</si>
  <si>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</si>
  <si>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</si>
  <si>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</si>
  <si>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</si>
  <si>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</si>
  <si>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</si>
  <si>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</si>
  <si>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</si>
  <si>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</si>
  <si>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</si>
  <si>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</si>
  <si>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</si>
  <si>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</si>
  <si>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</si>
  <si>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</si>
  <si>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</si>
  <si>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</si>
  <si>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</si>
  <si>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</si>
  <si>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</si>
  <si>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</si>
  <si>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</si>
  <si>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</si>
  <si>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</si>
  <si>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</si>
  <si>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</si>
  <si>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</si>
  <si>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</si>
  <si>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</si>
  <si>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</si>
  <si>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</si>
  <si>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</si>
  <si>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</si>
  <si>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</si>
  <si>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</si>
  <si>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</si>
  <si>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</si>
  <si>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</si>
  <si>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</si>
  <si>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</si>
  <si>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</si>
  <si>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</si>
  <si>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</si>
  <si>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</si>
  <si>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</si>
  <si>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</si>
  <si>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</si>
  <si>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</si>
  <si>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</si>
  <si>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</si>
  <si>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</si>
  <si>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</si>
  <si>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</si>
  <si>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</si>
  <si>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</si>
  <si>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</si>
  <si>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</si>
  <si>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</si>
  <si>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</si>
  <si>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</si>
  <si>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</si>
  <si>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</si>
  <si>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</si>
  <si>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</si>
  <si>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</si>
  <si>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</si>
  <si>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</si>
  <si>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</si>
  <si>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</si>
  <si>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</si>
  <si>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</si>
  <si>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</si>
  <si>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</si>
  <si>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</si>
  <si>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</si>
  <si>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</si>
  <si>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</si>
  <si>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</si>
  <si>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</si>
  <si>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</si>
  <si>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</si>
  <si>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</si>
  <si>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</si>
  <si>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</si>
  <si>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</si>
  <si>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</si>
  <si>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</si>
  <si>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</si>
  <si>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</si>
  <si>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</si>
  <si>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</si>
  <si>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</si>
  <si>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</si>
  <si>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</si>
  <si>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</si>
  <si>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</si>
  <si>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</si>
  <si>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</si>
  <si>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</si>
  <si>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</si>
  <si>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</si>
  <si>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</si>
  <si>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</si>
  <si>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</si>
  <si>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</si>
  <si>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</si>
  <si>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</si>
  <si>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</si>
  <si>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</si>
  <si>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</si>
  <si>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</si>
  <si>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</si>
  <si>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</si>
  <si>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</si>
  <si>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</si>
  <si>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</si>
  <si>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</si>
  <si>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</si>
  <si>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</si>
  <si>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</si>
  <si>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</si>
  <si>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</si>
  <si>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</si>
  <si>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</si>
  <si>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</si>
  <si>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</si>
  <si>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</si>
  <si>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</si>
  <si>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</si>
  <si>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</si>
  <si>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</si>
  <si>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</si>
  <si>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</si>
  <si>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</si>
  <si>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</si>
  <si>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</si>
  <si>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</si>
  <si>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</si>
  <si>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</si>
  <si>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</si>
  <si>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</si>
  <si>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</si>
  <si>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</si>
  <si>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</si>
  <si>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</si>
  <si>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</si>
  <si>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</si>
  <si>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</si>
  <si>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</si>
  <si>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</si>
  <si>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</si>
  <si>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</si>
  <si>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</si>
  <si>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</si>
  <si>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</si>
  <si>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</si>
  <si>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</si>
  <si>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</si>
  <si>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</si>
  <si>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</si>
  <si>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</si>
  <si>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</si>
  <si>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</si>
  <si>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</si>
  <si>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</si>
  <si>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</si>
  <si>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</si>
  <si>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</si>
  <si>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</si>
  <si>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</si>
  <si>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</si>
  <si>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</si>
  <si>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</si>
  <si>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</si>
  <si>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</si>
  <si>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</si>
  <si>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</si>
  <si>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</si>
  <si>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</si>
  <si>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</si>
  <si>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</si>
  <si>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</si>
  <si>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</si>
  <si>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</si>
  <si>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</si>
  <si>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</si>
  <si>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</si>
  <si>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</si>
  <si>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</si>
  <si>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</si>
  <si>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</si>
  <si>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</si>
  <si>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</si>
  <si>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</si>
  <si>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</si>
  <si>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</si>
  <si>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</si>
  <si>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</si>
  <si>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</si>
  <si>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</si>
  <si>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</si>
  <si>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</si>
  <si>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</si>
  <si>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</si>
  <si>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</si>
  <si>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</si>
  <si>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</si>
  <si>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</si>
  <si>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</si>
  <si>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</si>
  <si>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</si>
  <si>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</si>
  <si>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</si>
  <si>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</si>
  <si>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</si>
  <si>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</si>
  <si>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</si>
  <si>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</si>
  <si>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</si>
  <si>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</si>
  <si>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</si>
  <si>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</si>
  <si>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</si>
  <si>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</si>
  <si>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</si>
  <si>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</si>
  <si>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</si>
  <si>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</si>
  <si>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</si>
  <si>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</si>
  <si>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</si>
  <si>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</si>
  <si>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</si>
  <si>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</si>
  <si>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</si>
  <si>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</si>
  <si>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</si>
  <si>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</si>
  <si>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</si>
  <si>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</si>
  <si>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</si>
  <si>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</si>
  <si>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</si>
  <si>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</si>
  <si>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</si>
  <si>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</si>
  <si>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</si>
  <si>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</si>
  <si>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</si>
  <si>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</si>
  <si>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</si>
  <si>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</si>
  <si>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</si>
  <si>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</si>
  <si>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</si>
  <si>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</si>
  <si>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</si>
  <si>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</si>
  <si>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</si>
  <si>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</si>
  <si>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</si>
  <si>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</si>
  <si>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</si>
  <si>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</si>
  <si>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</si>
  <si>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</si>
  <si>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</si>
  <si>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</si>
  <si>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</si>
  <si>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</si>
  <si>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</si>
  <si>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</si>
  <si>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</si>
  <si>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</si>
  <si>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</si>
  <si>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</si>
  <si>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</si>
  <si>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</si>
  <si>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</si>
  <si>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</si>
  <si>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</si>
  <si>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</si>
  <si>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</si>
  <si>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</si>
  <si>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</si>
  <si>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</si>
  <si>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</si>
  <si>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</si>
  <si>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</si>
  <si>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</si>
  <si>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</si>
  <si>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</si>
  <si>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</si>
  <si>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</si>
  <si>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</si>
  <si>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</si>
  <si>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</si>
  <si>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</si>
  <si>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</si>
  <si>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</si>
  <si>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</si>
  <si>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</si>
  <si>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</si>
  <si>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</si>
  <si>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</si>
  <si>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</si>
  <si>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</si>
  <si>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</si>
  <si>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</si>
  <si>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</si>
  <si>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</si>
  <si>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</si>
  <si>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</si>
  <si>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</si>
  <si>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</si>
  <si>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</si>
  <si>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</si>
  <si>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</si>
  <si>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</si>
  <si>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</si>
  <si>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</si>
  <si>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</si>
  <si>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</si>
  <si>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</si>
  <si>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</si>
  <si>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</si>
  <si>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</si>
  <si>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</si>
  <si>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</si>
  <si>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</si>
  <si>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</si>
  <si>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</si>
  <si>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</si>
  <si>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</si>
  <si>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</si>
  <si>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</si>
  <si>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</si>
  <si>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</si>
  <si>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</si>
  <si>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</si>
  <si>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</si>
  <si>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</si>
  <si>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</si>
  <si>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</si>
  <si>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</si>
  <si>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</si>
  <si>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</si>
  <si>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</si>
  <si>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</si>
  <si>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</si>
  <si>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</si>
  <si>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</si>
  <si>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</si>
  <si>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</si>
  <si>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</si>
  <si>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</si>
  <si>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</si>
  <si>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</si>
  <si>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</si>
  <si>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</si>
  <si>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</si>
  <si>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</si>
  <si>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</si>
  <si>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</si>
  <si>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</si>
  <si>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</si>
  <si>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</si>
  <si>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</si>
  <si>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</si>
  <si>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</si>
  <si>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</si>
  <si>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</si>
  <si>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</si>
  <si>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</si>
  <si>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</si>
  <si>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</si>
  <si>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</si>
  <si>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</si>
  <si>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</si>
  <si>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</si>
  <si>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</si>
  <si>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</si>
  <si>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</si>
  <si>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</si>
  <si>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</si>
  <si>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</si>
  <si>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</si>
  <si>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</si>
  <si>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</si>
  <si>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</si>
  <si>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</si>
  <si>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</si>
  <si>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</si>
  <si>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</si>
  <si>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</si>
  <si>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</si>
  <si>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</si>
  <si>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</si>
  <si>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</si>
  <si>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</si>
  <si>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</si>
  <si>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</si>
  <si>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</si>
  <si>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</si>
  <si>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</si>
  <si>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</si>
  <si>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</si>
  <si>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</si>
  <si>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</si>
  <si>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</si>
  <si>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</si>
  <si>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</si>
  <si>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</si>
  <si>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</si>
  <si>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</si>
  <si>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</si>
  <si>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</si>
  <si>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</si>
  <si>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</si>
  <si>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</si>
  <si>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</si>
  <si>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</si>
  <si>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</si>
  <si>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</si>
  <si>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</si>
  <si>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</si>
  <si>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</si>
  <si>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</si>
  <si>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</si>
  <si>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</si>
  <si>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</si>
  <si>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</si>
  <si>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</si>
  <si>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</si>
  <si>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</si>
  <si>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</si>
  <si>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</si>
  <si>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</si>
  <si>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</si>
  <si>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</si>
  <si>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</si>
  <si>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</si>
  <si>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</si>
  <si>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</si>
  <si>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</si>
  <si>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</si>
  <si>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</si>
  <si>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</si>
  <si>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</si>
  <si>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</si>
  <si>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</si>
  <si>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</si>
  <si>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</si>
  <si>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</si>
  <si>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</si>
  <si>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</si>
  <si>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</si>
  <si>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</si>
  <si>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</si>
  <si>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</si>
  <si>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</si>
  <si>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</si>
  <si>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</si>
  <si>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</si>
  <si>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</si>
  <si>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</si>
  <si>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</si>
  <si>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</si>
  <si>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</si>
  <si>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</si>
  <si>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</si>
  <si>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</si>
  <si>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</si>
  <si>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</si>
  <si>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</si>
  <si>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</si>
  <si>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</si>
  <si>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</si>
  <si>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</si>
  <si>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</si>
  <si>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</si>
  <si>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</si>
  <si>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</si>
  <si>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</si>
  <si>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</si>
  <si>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</si>
  <si>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</si>
  <si>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</si>
  <si>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</si>
  <si>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</si>
  <si>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</si>
  <si>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</si>
  <si>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</si>
  <si>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</si>
  <si>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</si>
  <si>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</si>
  <si>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</si>
  <si>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</si>
  <si>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</si>
  <si>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</si>
  <si>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</si>
  <si>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</si>
  <si>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</si>
  <si>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</si>
  <si>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</si>
  <si>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</si>
  <si>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</si>
  <si>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</si>
  <si>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</si>
  <si>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</si>
  <si>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</si>
  <si>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</si>
  <si>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</si>
  <si>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</si>
  <si>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</si>
  <si>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</si>
  <si>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</si>
  <si>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</si>
  <si>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</si>
  <si>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</si>
  <si>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</si>
  <si>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</si>
  <si>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</si>
  <si>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</si>
  <si>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</si>
  <si>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</si>
  <si>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</si>
  <si>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</si>
  <si>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</si>
  <si>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</si>
  <si>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</si>
  <si>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</si>
  <si>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</si>
  <si>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</si>
  <si>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</si>
  <si>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</si>
  <si>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</si>
  <si>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</si>
  <si>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</si>
  <si>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</si>
  <si>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</si>
  <si>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</si>
  <si>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</si>
  <si>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</si>
  <si>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</si>
  <si>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</si>
  <si>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</si>
  <si>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</si>
  <si>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</si>
  <si>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</si>
  <si>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</si>
  <si>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</si>
  <si>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</si>
  <si>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</si>
  <si>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</si>
  <si>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</si>
  <si>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</si>
  <si>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</si>
  <si>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</si>
  <si>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</si>
  <si>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</si>
  <si>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</si>
  <si>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</si>
  <si>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</si>
  <si>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</si>
  <si>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</si>
  <si>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</si>
  <si>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</si>
  <si>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</si>
  <si>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</si>
  <si>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</si>
  <si>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</si>
  <si>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</si>
  <si>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</si>
  <si>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</si>
  <si>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</si>
  <si>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</si>
  <si>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</si>
  <si>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</si>
  <si>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</si>
  <si>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</si>
  <si>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</si>
  <si>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</si>
  <si>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</si>
  <si>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</si>
  <si>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</si>
  <si>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</si>
  <si>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</si>
  <si>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</si>
  <si>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</si>
  <si>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</si>
  <si>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</si>
  <si>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</si>
  <si>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</si>
  <si>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</si>
  <si>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</si>
  <si>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</si>
  <si>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</si>
  <si>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</si>
  <si>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</si>
  <si>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</si>
  <si>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</si>
  <si>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</si>
  <si>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</si>
  <si>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</si>
  <si>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</si>
  <si>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</si>
  <si>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</si>
  <si>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</si>
  <si>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</si>
  <si>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</si>
  <si>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</si>
  <si>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</si>
  <si>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</si>
  <si>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</si>
  <si>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</si>
  <si>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</si>
  <si>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</si>
  <si>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</si>
  <si>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</si>
  <si>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</si>
  <si>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</si>
  <si>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</si>
  <si>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</si>
  <si>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</si>
  <si>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</si>
  <si>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</si>
  <si>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</si>
  <si>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</si>
  <si>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</si>
  <si>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</si>
  <si>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</si>
  <si>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</si>
  <si>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</si>
  <si>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</si>
  <si>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</si>
  <si>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</si>
  <si>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</si>
  <si>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</si>
  <si>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</si>
  <si>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</si>
  <si>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</si>
  <si>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</si>
  <si>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</si>
  <si>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</si>
  <si>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</si>
  <si>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</si>
  <si>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</si>
  <si>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</si>
  <si>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</si>
  <si>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</si>
  <si>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</si>
  <si>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</si>
  <si>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</si>
  <si>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</si>
  <si>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</si>
  <si>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</si>
  <si>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</si>
  <si>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</si>
  <si>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</si>
  <si>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</si>
  <si>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</si>
  <si>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</si>
  <si>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</si>
  <si>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</si>
  <si>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</si>
  <si>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</si>
  <si>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</si>
  <si>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</si>
  <si>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</si>
  <si>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</si>
  <si>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</si>
  <si>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</si>
  <si>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</si>
  <si>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</si>
  <si>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</si>
  <si>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</si>
  <si>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</si>
  <si>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</si>
  <si>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</si>
  <si>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</si>
  <si>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</si>
  <si>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</si>
  <si>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</si>
  <si>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</si>
  <si>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</si>
  <si>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</si>
  <si>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</si>
  <si>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</si>
  <si>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</si>
  <si>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</si>
  <si>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</si>
  <si>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</si>
  <si>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</si>
  <si>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</si>
  <si>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</si>
  <si>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</si>
  <si>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</si>
  <si>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</si>
  <si>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</si>
  <si>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</si>
  <si>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</si>
  <si>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</si>
  <si>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</si>
  <si>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</si>
  <si>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</si>
  <si>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</si>
  <si>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</si>
  <si>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</si>
  <si>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</si>
  <si>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</si>
  <si>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</si>
  <si>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</si>
  <si>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</si>
  <si>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</si>
  <si>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</si>
  <si>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</si>
  <si>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</si>
  <si>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</si>
  <si>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</si>
  <si>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</si>
  <si>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</si>
  <si>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</si>
  <si>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</si>
  <si>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</si>
  <si>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</si>
  <si>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</si>
  <si>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</si>
  <si>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</si>
  <si>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</si>
  <si>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</si>
  <si>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</si>
  <si>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</si>
  <si>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</si>
  <si>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</si>
  <si>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</si>
  <si>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</si>
  <si>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</si>
  <si>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</si>
  <si>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</si>
  <si>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</si>
  <si>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</si>
  <si>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</si>
  <si>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</si>
  <si>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</si>
  <si>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</si>
  <si>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</si>
  <si>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</si>
  <si>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</si>
  <si>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</si>
  <si>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</si>
  <si>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</si>
  <si>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</si>
  <si>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</si>
  <si>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</si>
  <si>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</si>
  <si>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</si>
  <si>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</si>
  <si>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</si>
  <si>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</si>
  <si>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</si>
  <si>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</si>
  <si>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</si>
  <si>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</si>
  <si>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</si>
  <si>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</si>
  <si>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</si>
  <si>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</si>
  <si>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</si>
  <si>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</si>
  <si>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</si>
  <si>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</si>
  <si>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</si>
  <si>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</si>
  <si>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</si>
  <si>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</si>
  <si>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</si>
  <si>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</si>
  <si>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</si>
  <si>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</si>
  <si>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</si>
  <si>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</si>
  <si>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</si>
  <si>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</si>
  <si>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</si>
  <si>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</si>
  <si>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</si>
  <si>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</si>
  <si>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</si>
  <si>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</si>
  <si>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</si>
  <si>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</si>
  <si>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</si>
  <si>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</si>
  <si>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</si>
  <si>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</si>
  <si>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</si>
  <si>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</si>
  <si>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</si>
  <si>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</si>
  <si>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</si>
  <si>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</si>
  <si>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</si>
  <si>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</si>
  <si>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</si>
  <si>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</si>
  <si>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</si>
  <si>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</si>
  <si>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</si>
  <si>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</si>
  <si>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</si>
  <si>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</si>
  <si>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</si>
  <si>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</si>
  <si>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</si>
  <si>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</si>
  <si>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</si>
  <si>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</si>
  <si>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</si>
  <si>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</si>
  <si>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</si>
  <si>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</si>
  <si>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</si>
  <si>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</si>
  <si>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</si>
  <si>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</si>
  <si>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</si>
  <si>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</si>
  <si>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</si>
  <si>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</si>
  <si>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</si>
  <si>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</si>
  <si>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</si>
  <si>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</si>
  <si>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</si>
  <si>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</si>
  <si>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</si>
  <si>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</si>
  <si>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</si>
  <si>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</si>
  <si>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</si>
  <si>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</si>
  <si>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</si>
  <si>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</si>
  <si>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</si>
  <si>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</si>
  <si>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</si>
  <si>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</si>
  <si>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</si>
  <si>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</si>
  <si>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</si>
  <si>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</si>
  <si>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</si>
  <si>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</si>
  <si>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</si>
  <si>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</si>
  <si>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</si>
  <si>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</si>
  <si>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</si>
  <si>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</si>
  <si>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</si>
  <si>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</si>
  <si>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</si>
  <si>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</si>
  <si>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</si>
  <si>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</si>
  <si>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</si>
  <si>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</si>
  <si>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</si>
  <si>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</si>
  <si>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</si>
  <si>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</si>
  <si>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</si>
  <si>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</si>
  <si>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</si>
  <si>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</si>
  <si>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</si>
  <si>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</si>
  <si>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</si>
  <si>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</si>
  <si>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</si>
  <si>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</si>
  <si>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</si>
  <si>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</si>
  <si>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</si>
  <si>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</si>
  <si>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</si>
  <si>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</si>
  <si>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</si>
  <si>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</si>
  <si>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</si>
  <si>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</si>
  <si>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</si>
  <si>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</si>
  <si>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</si>
  <si>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</si>
  <si>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</si>
  <si>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</si>
  <si>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</si>
  <si>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</si>
  <si>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</si>
  <si>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</si>
  <si>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</si>
  <si>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</si>
  <si>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</si>
  <si>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</si>
  <si>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</si>
  <si>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</si>
  <si>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</si>
  <si>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</si>
  <si>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</si>
  <si>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</si>
  <si>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</si>
  <si>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</si>
  <si>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</si>
  <si>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</si>
  <si>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</si>
  <si>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</si>
  <si>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</si>
  <si>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</si>
  <si>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</si>
  <si>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</si>
  <si>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</si>
  <si>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</si>
  <si>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</si>
  <si>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</si>
  <si>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</si>
  <si>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</si>
  <si>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</si>
  <si>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</si>
  <si>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</si>
  <si>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</si>
  <si>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</si>
  <si>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</si>
  <si>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</si>
  <si>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</si>
  <si>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</si>
  <si>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</si>
  <si>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</si>
  <si>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</si>
  <si>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</si>
  <si>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</si>
  <si>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</si>
  <si>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</si>
  <si>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</si>
  <si>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</si>
  <si>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</si>
  <si>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</si>
  <si>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</si>
  <si>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</si>
  <si>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</si>
  <si>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</si>
  <si>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</si>
  <si>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</si>
  <si>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</si>
  <si>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</si>
  <si>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</si>
  <si>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</si>
  <si>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</si>
  <si>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</si>
  <si>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</si>
  <si>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</si>
  <si>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</si>
  <si>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</si>
  <si>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</si>
  <si>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</si>
  <si>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</si>
  <si>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</si>
  <si>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</si>
  <si>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</si>
  <si>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</si>
  <si>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</si>
  <si>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</si>
  <si>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</si>
  <si>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</si>
  <si>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</si>
  <si>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</si>
  <si>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</si>
  <si>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</si>
  <si>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</si>
  <si>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</si>
  <si>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</si>
  <si>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</si>
  <si>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</si>
  <si>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</si>
  <si>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</si>
  <si>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</si>
  <si>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</si>
  <si>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</si>
  <si>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</si>
  <si>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</si>
  <si>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</si>
  <si>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</si>
  <si>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</si>
  <si>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</si>
  <si>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</si>
  <si>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</si>
  <si>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</si>
  <si>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</si>
  <si>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</si>
  <si>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</si>
  <si>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</si>
  <si>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</si>
  <si>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</si>
  <si>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</si>
  <si>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</si>
  <si>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</si>
  <si>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</si>
  <si>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</si>
  <si>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</si>
  <si>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</si>
  <si>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</si>
  <si>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</si>
  <si>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</si>
  <si>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</si>
  <si>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</si>
  <si>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</si>
  <si>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</si>
  <si>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</si>
  <si>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</si>
  <si>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</si>
  <si>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</si>
  <si>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</si>
  <si>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</si>
  <si>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</si>
  <si>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</si>
  <si>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</si>
  <si>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</si>
  <si>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</si>
  <si>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</si>
  <si>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</si>
  <si>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</si>
  <si>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</si>
  <si>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</si>
  <si>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</si>
  <si>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</si>
  <si>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</si>
  <si>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</si>
  <si>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</si>
  <si>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</si>
  <si>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</si>
  <si>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</si>
  <si>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</si>
  <si>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</si>
  <si>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</si>
  <si>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</si>
  <si>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</si>
  <si>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</si>
  <si>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</si>
  <si>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</si>
  <si>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</si>
  <si>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</si>
  <si>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</si>
  <si>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</si>
  <si>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</si>
  <si>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</si>
  <si>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</si>
  <si>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</si>
  <si>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</si>
  <si>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</si>
  <si>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</si>
  <si>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</si>
  <si>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</si>
  <si>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</si>
  <si>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</si>
  <si>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</si>
  <si>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</si>
  <si>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</si>
  <si>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</si>
  <si>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</si>
  <si>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</si>
  <si>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</si>
  <si>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</si>
  <si>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</si>
  <si>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</si>
  <si>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</si>
  <si>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</si>
  <si>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</si>
  <si>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</si>
  <si>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</si>
  <si>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</si>
  <si>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</si>
  <si>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</si>
  <si>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</si>
  <si>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</si>
  <si>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</si>
  <si>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</si>
  <si>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</si>
  <si>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</si>
  <si>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</si>
  <si>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</si>
  <si>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</si>
  <si>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</si>
  <si>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</si>
  <si>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</si>
  <si>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</si>
  <si>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</si>
  <si>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</si>
  <si>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</si>
  <si>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</si>
  <si>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</si>
  <si>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</si>
  <si>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</si>
  <si>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</si>
  <si>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</si>
  <si>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</si>
  <si>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</si>
  <si>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</si>
  <si>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</si>
  <si>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</si>
  <si>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</si>
  <si>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</si>
  <si>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</si>
  <si>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</si>
  <si>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</si>
  <si>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</si>
  <si>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</si>
  <si>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</si>
  <si>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</si>
  <si>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</si>
  <si>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</si>
  <si>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</si>
  <si>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</si>
  <si>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</si>
  <si>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</si>
  <si>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</si>
  <si>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</si>
  <si>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</si>
  <si>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</si>
  <si>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</si>
  <si>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</si>
  <si>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</si>
  <si>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</si>
  <si>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</si>
  <si>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</si>
  <si>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</si>
  <si>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</si>
  <si>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</si>
  <si>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</si>
  <si>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</si>
  <si>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</si>
  <si>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</si>
  <si>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</si>
  <si>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</si>
  <si>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</si>
  <si>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</si>
  <si>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</si>
  <si>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</si>
  <si>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</si>
  <si>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</si>
  <si>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</si>
  <si>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</si>
  <si>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</si>
  <si>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</si>
  <si>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</si>
  <si>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</si>
  <si>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</si>
  <si>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</si>
  <si>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</si>
  <si>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</si>
  <si>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</si>
  <si>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</si>
  <si>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</si>
  <si>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</si>
  <si>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</si>
  <si>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</si>
  <si>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</si>
  <si>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</si>
  <si>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</si>
  <si>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</si>
  <si>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</si>
  <si>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</si>
  <si>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</si>
  <si>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</si>
  <si>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</si>
  <si>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</si>
  <si>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</si>
  <si>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</si>
  <si>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</si>
  <si>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</si>
  <si>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</si>
  <si>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</si>
  <si>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</si>
  <si>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</si>
  <si>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</si>
  <si>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</si>
  <si>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</si>
  <si>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</si>
  <si>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</si>
  <si>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</si>
  <si>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</si>
  <si>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</si>
  <si>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</si>
  <si>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</si>
  <si>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</si>
  <si>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</si>
  <si>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</si>
  <si>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</si>
  <si>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</si>
  <si>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</si>
  <si>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</si>
  <si>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</si>
  <si>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</si>
  <si>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</si>
  <si>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</si>
  <si>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</si>
  <si>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</si>
  <si>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</si>
  <si>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</si>
  <si>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</si>
  <si>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</si>
  <si>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</si>
  <si>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</si>
  <si>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</si>
  <si>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</si>
  <si>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</si>
  <si>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</si>
  <si>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</si>
  <si>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</si>
  <si>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</si>
  <si>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</si>
  <si>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</si>
  <si>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</si>
  <si>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</si>
  <si>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</si>
  <si>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</si>
  <si>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</si>
  <si>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</si>
  <si>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</si>
  <si>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</si>
  <si>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</si>
  <si>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</si>
  <si>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</si>
  <si>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</si>
  <si>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</si>
  <si>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</si>
  <si>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</si>
  <si>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</si>
  <si>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</si>
  <si>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</si>
  <si>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</si>
  <si>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</si>
  <si>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</si>
  <si>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</si>
  <si>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</si>
  <si>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</si>
  <si>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</si>
  <si>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</si>
  <si>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</si>
  <si>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</si>
  <si>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</si>
  <si>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</si>
  <si>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</si>
  <si>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</si>
  <si>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</si>
  <si>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</si>
  <si>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</si>
  <si>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</si>
  <si>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</si>
  <si>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</si>
  <si>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</si>
  <si>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</si>
  <si>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</si>
  <si>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</si>
  <si>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</si>
  <si>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</si>
  <si>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</si>
  <si>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</si>
  <si>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</si>
  <si>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</si>
  <si>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</si>
  <si>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</si>
  <si>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</si>
  <si>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</si>
  <si>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</si>
  <si>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</si>
  <si>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</si>
  <si>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</si>
  <si>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</si>
  <si>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</si>
  <si>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</si>
  <si>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</si>
  <si>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</si>
  <si>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</si>
  <si>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</si>
  <si>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</si>
  <si>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</si>
  <si>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</si>
  <si>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</si>
  <si>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</si>
  <si>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</si>
  <si>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</si>
  <si>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</si>
  <si>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</si>
  <si>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</si>
  <si>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</si>
  <si>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</si>
  <si>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</si>
  <si>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</si>
  <si>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</si>
  <si>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</si>
  <si>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</si>
  <si>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</si>
  <si>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</si>
  <si>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</si>
  <si>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</si>
  <si>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</si>
  <si>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</si>
  <si>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</si>
  <si>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</si>
  <si>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</si>
  <si>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</si>
  <si>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</si>
  <si>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</si>
  <si>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</si>
  <si>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</si>
  <si>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</si>
  <si>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</si>
  <si>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</si>
  <si>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</si>
  <si>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</si>
  <si>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</si>
  <si>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</si>
  <si>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</si>
  <si>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</si>
  <si>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</si>
  <si>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</si>
  <si>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</si>
  <si>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</si>
  <si>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</si>
  <si>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</si>
  <si>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</si>
  <si>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</si>
  <si>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</si>
  <si>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</si>
  <si>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</si>
  <si>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</si>
  <si>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</si>
  <si>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</si>
  <si>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</si>
  <si>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</si>
  <si>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</si>
  <si>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</si>
  <si>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</si>
  <si>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</si>
  <si>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</si>
  <si>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</si>
  <si>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</si>
  <si>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</si>
  <si>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</si>
  <si>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</si>
  <si>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</si>
  <si>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</si>
  <si>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</si>
  <si>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</si>
  <si>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</si>
  <si>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</si>
  <si>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</si>
  <si>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</si>
  <si>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</si>
  <si>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</si>
  <si>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</si>
  <si>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</si>
  <si>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</si>
  <si>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</si>
  <si>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</si>
  <si>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</si>
  <si>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</si>
  <si>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</si>
  <si>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</si>
  <si>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</si>
  <si>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</si>
  <si>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</si>
  <si>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</si>
  <si>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</si>
  <si>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</si>
  <si>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</si>
  <si>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</si>
  <si>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</si>
  <si>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</si>
  <si>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</si>
  <si>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</si>
  <si>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</si>
  <si>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</si>
  <si>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</si>
  <si>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</si>
  <si>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</si>
  <si>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</si>
  <si>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</si>
  <si>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</si>
  <si>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</si>
  <si>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</si>
  <si>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</si>
  <si>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</si>
  <si>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</si>
  <si>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</si>
  <si>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</si>
  <si>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</si>
  <si>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</si>
  <si>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</si>
  <si>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</si>
  <si>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</si>
  <si>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</si>
  <si>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</si>
  <si>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</si>
  <si>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</si>
  <si>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</si>
  <si>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</si>
  <si>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</si>
  <si>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</si>
  <si>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</si>
  <si>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</si>
  <si>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</si>
  <si>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</si>
  <si>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</si>
  <si>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</si>
  <si>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</si>
  <si>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</si>
  <si>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</si>
  <si>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</si>
  <si>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</si>
  <si>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</si>
  <si>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</si>
  <si>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</si>
  <si>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</si>
  <si>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</si>
  <si>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</si>
  <si>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</si>
  <si>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</si>
  <si>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</si>
  <si>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</si>
  <si>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</si>
  <si>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</si>
  <si>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</si>
  <si>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</si>
  <si>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</si>
  <si>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</si>
  <si>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</si>
  <si>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</si>
  <si>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</si>
  <si>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</si>
  <si>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</si>
  <si>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</si>
  <si>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</si>
  <si>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</si>
  <si>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</si>
  <si>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</si>
  <si>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</si>
  <si>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</si>
  <si>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</si>
  <si>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</si>
  <si>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</si>
  <si>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</si>
  <si>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</si>
  <si>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</si>
  <si>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</si>
  <si>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</si>
  <si>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</si>
  <si>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</si>
  <si>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</si>
  <si>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</si>
  <si>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</si>
  <si>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</si>
  <si>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</si>
  <si>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</si>
  <si>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</si>
  <si>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</si>
  <si>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</si>
  <si>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</si>
  <si>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</si>
  <si>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</si>
  <si>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</si>
  <si>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</si>
  <si>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</si>
  <si>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</si>
  <si>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</si>
  <si>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</si>
  <si>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</si>
  <si>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</si>
  <si>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</si>
  <si>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</si>
  <si>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</si>
  <si>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</si>
  <si>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</si>
  <si>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</si>
  <si>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</si>
  <si>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</si>
  <si>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</si>
  <si>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</si>
  <si>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</si>
  <si>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</si>
  <si>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</si>
  <si>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</si>
  <si>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</si>
  <si>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</si>
  <si>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</si>
  <si>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</si>
  <si>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</si>
  <si>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</si>
  <si>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</si>
  <si>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</si>
  <si>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</si>
  <si>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</si>
  <si>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</si>
  <si>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</si>
  <si>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</si>
  <si>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</si>
  <si>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</si>
  <si>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</si>
  <si>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</si>
  <si>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</si>
  <si>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</si>
  <si>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</si>
  <si>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</si>
  <si>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</si>
  <si>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</si>
  <si>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</si>
  <si>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</si>
  <si>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</si>
  <si>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</si>
  <si>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</si>
  <si>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</si>
  <si>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</si>
  <si>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</si>
  <si>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</si>
  <si>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</si>
  <si>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</si>
  <si>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</si>
  <si>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</si>
  <si>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</si>
  <si>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</si>
  <si>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</si>
  <si>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</si>
  <si>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</si>
  <si>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</si>
  <si>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</si>
  <si>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</si>
  <si>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</si>
  <si>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</si>
  <si>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</si>
  <si>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</si>
  <si>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</si>
  <si>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</si>
  <si>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</si>
  <si>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</si>
  <si>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</si>
  <si>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</si>
  <si>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</si>
  <si>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</si>
  <si>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</si>
  <si>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</si>
  <si>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</si>
  <si>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</si>
  <si>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</si>
  <si>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</si>
  <si>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</si>
  <si>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</si>
  <si>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</si>
  <si>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</si>
  <si>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</si>
  <si>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</si>
  <si>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</si>
  <si>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</si>
  <si>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</si>
  <si>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</si>
  <si>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</si>
  <si>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</si>
  <si>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</si>
  <si>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</si>
  <si>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</si>
  <si>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</si>
  <si>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</si>
  <si>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</si>
  <si>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</si>
  <si>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</si>
  <si>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</si>
  <si>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</si>
  <si>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</si>
  <si>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</si>
  <si>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</si>
  <si>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</si>
  <si>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</si>
  <si>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</si>
  <si>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</si>
  <si>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</si>
  <si>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</si>
  <si>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</si>
  <si>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</si>
  <si>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</si>
  <si>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</si>
  <si>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</si>
  <si>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</si>
  <si>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</si>
  <si>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</si>
  <si>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</si>
  <si>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</si>
  <si>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</si>
  <si>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</si>
  <si>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</si>
  <si>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</si>
  <si>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</si>
  <si>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</si>
  <si>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</si>
  <si>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</si>
  <si>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</si>
  <si>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</si>
  <si>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</si>
  <si>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</si>
  <si>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</si>
  <si>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</si>
  <si>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</si>
  <si>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</si>
  <si>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</si>
  <si>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</si>
  <si>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</si>
  <si>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</si>
  <si>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</si>
  <si>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</si>
  <si>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</si>
  <si>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</si>
  <si>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</si>
  <si>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</si>
  <si>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</si>
  <si>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</si>
  <si>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</si>
  <si>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</si>
  <si>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</si>
  <si>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</si>
  <si>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</si>
  <si>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</si>
  <si>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</si>
  <si>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</si>
  <si>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</si>
  <si>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</si>
  <si>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</si>
  <si>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</si>
  <si>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</si>
  <si>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</si>
  <si>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</si>
  <si>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</si>
  <si>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</si>
  <si>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</si>
  <si>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</si>
  <si>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</si>
  <si>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</si>
  <si>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</si>
  <si>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</si>
  <si>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</si>
  <si>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</si>
  <si>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</si>
  <si>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</si>
  <si>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</si>
  <si>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</si>
  <si>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</si>
  <si>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</si>
  <si>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</si>
  <si>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</si>
  <si>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</si>
  <si>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</si>
  <si>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</si>
  <si>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</si>
  <si>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</si>
  <si>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</si>
  <si>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</si>
  <si>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</si>
  <si>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</si>
  <si>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</si>
  <si>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</si>
  <si>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</si>
  <si>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</si>
  <si>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</si>
  <si>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</si>
  <si>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</si>
  <si>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</si>
  <si>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</si>
  <si>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</si>
  <si>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</si>
  <si>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</si>
  <si>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</si>
  <si>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</si>
  <si>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</si>
  <si>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</si>
  <si>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</si>
  <si>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</si>
  <si>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</si>
  <si>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</si>
  <si>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</si>
  <si>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</si>
  <si>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</si>
  <si>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</si>
  <si>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</si>
  <si>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</si>
  <si>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</si>
  <si>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</si>
  <si>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</si>
  <si>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</si>
  <si>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</si>
  <si>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</si>
  <si>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</si>
  <si>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</si>
  <si>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</si>
  <si>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</si>
  <si>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</si>
  <si>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</si>
  <si>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</si>
  <si>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</si>
  <si>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</si>
  <si>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</si>
  <si>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</si>
  <si>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</si>
  <si>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</si>
  <si>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</si>
  <si>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</si>
  <si>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</si>
  <si>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</si>
  <si>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</si>
  <si>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</si>
  <si>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</si>
  <si>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</si>
  <si>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</si>
  <si>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</si>
  <si>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</si>
  <si>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</si>
  <si>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</si>
  <si>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</si>
  <si>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</si>
  <si>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</si>
  <si>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</si>
  <si>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</si>
  <si>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</si>
  <si>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</si>
  <si>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</si>
  <si>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</si>
  <si>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</si>
  <si>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</si>
  <si>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</si>
  <si>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</si>
  <si>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</si>
  <si>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</si>
  <si>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</si>
  <si>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</si>
  <si>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</si>
  <si>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</si>
  <si>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</si>
  <si>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</si>
  <si>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</si>
  <si>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</si>
  <si>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</si>
  <si>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</si>
  <si>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</si>
  <si>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</si>
  <si>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</si>
  <si>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</si>
  <si>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</si>
  <si>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</si>
  <si>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</si>
  <si>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</si>
  <si>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</si>
  <si>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</si>
  <si>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</si>
  <si>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</si>
  <si>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</si>
  <si>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</si>
  <si>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</si>
  <si>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</si>
  <si>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</si>
  <si>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</si>
  <si>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</si>
  <si>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</si>
  <si>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</si>
  <si>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</si>
  <si>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</si>
  <si>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</si>
  <si>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</si>
  <si>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</si>
  <si>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</si>
  <si>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</si>
  <si>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</si>
  <si>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</si>
  <si>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</si>
  <si>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</si>
  <si>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</si>
  <si>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</si>
  <si>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</si>
  <si>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</si>
  <si>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</si>
  <si>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</si>
  <si>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</si>
  <si>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</si>
  <si>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</si>
  <si>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</si>
  <si>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</si>
  <si>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</si>
  <si>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</si>
  <si>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</si>
  <si>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</si>
  <si>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</si>
  <si>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</si>
  <si>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</si>
  <si>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</si>
  <si>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</si>
  <si>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</si>
  <si>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</si>
  <si>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</si>
  <si>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</si>
  <si>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</si>
  <si>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</si>
  <si>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</si>
  <si>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</si>
  <si>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</si>
  <si>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</si>
  <si>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</si>
  <si>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</si>
  <si>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</si>
  <si>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</si>
  <si>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</si>
  <si>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</si>
  <si>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</si>
  <si>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</si>
  <si>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</si>
  <si>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</si>
  <si>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</si>
  <si>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</si>
  <si>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</si>
  <si>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</si>
  <si>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</si>
  <si>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</si>
  <si>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</si>
  <si>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</si>
  <si>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</si>
  <si>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</si>
  <si>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</si>
  <si>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</si>
  <si>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</si>
  <si>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</si>
  <si>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</si>
  <si>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</si>
  <si>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</si>
  <si>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</si>
  <si>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</si>
  <si>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</si>
  <si>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</si>
  <si>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</si>
  <si>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</si>
  <si>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</si>
  <si>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</si>
  <si>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</si>
  <si>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</si>
  <si>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</si>
  <si>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</si>
  <si>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</si>
  <si>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</si>
  <si>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</si>
  <si>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</si>
  <si>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</si>
  <si>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</si>
  <si>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</si>
  <si>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</si>
  <si>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</si>
  <si>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</si>
  <si>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</si>
  <si>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</si>
  <si>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</si>
  <si>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</si>
  <si>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</si>
  <si>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</si>
  <si>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</si>
  <si>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</si>
  <si>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</si>
  <si>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</si>
  <si>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</si>
  <si>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</si>
  <si>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</si>
  <si>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</si>
  <si>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</si>
  <si>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</si>
  <si>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</si>
  <si>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</si>
  <si>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</si>
  <si>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</si>
  <si>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</si>
  <si>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</si>
  <si>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</si>
  <si>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</si>
  <si>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</si>
  <si>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</si>
  <si>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</si>
  <si>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</si>
  <si>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</si>
  <si>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</si>
  <si>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</si>
  <si>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</si>
  <si>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</si>
  <si>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</si>
  <si>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</si>
  <si>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</si>
  <si>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</si>
  <si>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</si>
  <si>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</si>
  <si>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</si>
  <si>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</si>
  <si>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</si>
  <si>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</si>
  <si>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</si>
  <si>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</si>
  <si>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</si>
  <si>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</si>
  <si>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</si>
  <si>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</si>
  <si>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</si>
  <si>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</si>
  <si>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</si>
  <si>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</si>
  <si>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</si>
  <si>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</si>
  <si>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</si>
  <si>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</si>
  <si>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</si>
  <si>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</si>
  <si>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</si>
  <si>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</si>
  <si>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</si>
  <si>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</si>
  <si>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</si>
  <si>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</si>
  <si>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</si>
  <si>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</si>
  <si>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</si>
  <si>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</si>
  <si>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</si>
  <si>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</si>
  <si>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</si>
  <si>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</si>
  <si>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</si>
  <si>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</si>
  <si>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</si>
  <si>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</si>
  <si>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</si>
  <si>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</si>
  <si>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</si>
  <si>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</si>
  <si>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</si>
  <si>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</si>
  <si>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</si>
  <si>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</si>
  <si>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</si>
  <si>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</si>
  <si>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</si>
  <si>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</si>
  <si>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</si>
  <si>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</si>
  <si>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</si>
  <si>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</si>
  <si>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</si>
  <si>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</si>
  <si>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</si>
  <si>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</si>
  <si>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</si>
  <si>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</si>
  <si>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</si>
  <si>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</si>
  <si>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</si>
  <si>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</si>
  <si>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</si>
  <si>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</si>
  <si>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</si>
  <si>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</si>
  <si>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</si>
  <si>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</si>
  <si>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</si>
  <si>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</si>
  <si>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</si>
  <si>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</si>
  <si>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</si>
  <si>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</si>
  <si>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</si>
  <si>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</si>
  <si>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</si>
  <si>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</si>
  <si>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</si>
  <si>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</si>
  <si>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</si>
  <si>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</si>
  <si>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</si>
  <si>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</si>
  <si>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</si>
  <si>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</si>
  <si>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</si>
  <si>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</si>
  <si>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</si>
  <si>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</si>
  <si>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</si>
  <si>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</si>
  <si>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</si>
  <si>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</si>
  <si>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</si>
  <si>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</si>
  <si>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</si>
  <si>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</si>
  <si>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</si>
  <si>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</si>
  <si>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</si>
  <si>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</si>
  <si>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</si>
  <si>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</si>
  <si>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</si>
  <si>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</si>
  <si>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</si>
  <si>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</si>
  <si>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</si>
  <si>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</si>
  <si>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</si>
  <si>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</si>
  <si>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</si>
  <si>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</si>
  <si>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</si>
  <si>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</si>
  <si>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</si>
  <si>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</si>
  <si>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</si>
  <si>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</si>
  <si>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</si>
  <si>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</si>
  <si>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</si>
  <si>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</si>
  <si>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</si>
  <si>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</si>
  <si>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</si>
  <si>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</si>
  <si>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</si>
  <si>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</si>
  <si>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</si>
  <si>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</si>
  <si>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</si>
  <si>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</si>
  <si>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</si>
  <si>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</si>
  <si>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</si>
  <si>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</si>
  <si>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</si>
  <si>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</si>
  <si>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</si>
  <si>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</si>
  <si>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</si>
  <si>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</si>
  <si>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</si>
  <si>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</si>
  <si>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</si>
  <si>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</si>
  <si>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</si>
  <si>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</si>
  <si>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</si>
  <si>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</si>
  <si>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</si>
  <si>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</si>
  <si>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</si>
  <si>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</si>
  <si>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</si>
  <si>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</si>
  <si>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</si>
  <si>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</si>
  <si>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</si>
  <si>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</si>
  <si>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</si>
  <si>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</si>
  <si>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</si>
  <si>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</si>
  <si>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</si>
  <si>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</si>
  <si>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</si>
  <si>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</si>
  <si>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</si>
  <si>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</si>
  <si>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</si>
  <si>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</si>
  <si>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</si>
  <si>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</si>
  <si>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</si>
  <si>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</si>
  <si>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</si>
  <si>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</si>
  <si>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</si>
  <si>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</si>
  <si>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</si>
  <si>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</si>
  <si>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</si>
  <si>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</si>
  <si>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</si>
  <si>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</si>
  <si>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</si>
  <si>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</si>
  <si>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</si>
  <si>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</si>
  <si>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</si>
  <si>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</si>
  <si>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</si>
  <si>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</si>
  <si>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</si>
  <si>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</si>
  <si>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</si>
  <si>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</si>
  <si>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</si>
  <si>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</si>
  <si>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</si>
  <si>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</si>
  <si>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</si>
  <si>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</si>
  <si>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</si>
  <si>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</si>
  <si>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</si>
  <si>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</si>
  <si>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</si>
  <si>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</si>
  <si>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</si>
  <si>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</si>
  <si>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</si>
  <si>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</si>
  <si>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</si>
  <si>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</si>
  <si>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</si>
  <si>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</si>
  <si>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</si>
  <si>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</si>
  <si>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</si>
  <si>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</si>
  <si>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</si>
  <si>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</si>
  <si>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</si>
  <si>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</si>
  <si>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</si>
  <si>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</si>
  <si>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</si>
  <si>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</si>
  <si>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</si>
  <si>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</si>
  <si>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</si>
  <si>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</si>
  <si>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</si>
  <si>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</si>
  <si>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</si>
  <si>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</si>
  <si>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</si>
  <si>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</si>
  <si>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</si>
  <si>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</si>
  <si>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</si>
  <si>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</si>
  <si>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</si>
  <si>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</si>
  <si>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</si>
  <si>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</si>
  <si>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</si>
  <si>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</si>
  <si>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</si>
  <si>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</si>
  <si>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</si>
  <si>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</si>
  <si>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</si>
  <si>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</si>
  <si>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</si>
  <si>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</si>
  <si>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</si>
  <si>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</si>
  <si>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</si>
  <si>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</si>
  <si>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</si>
  <si>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</si>
  <si>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</si>
  <si>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</si>
  <si>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</si>
  <si>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</si>
  <si>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</si>
  <si>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</si>
  <si>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</si>
  <si>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</si>
  <si>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</si>
  <si>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</si>
  <si>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</si>
  <si>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</si>
  <si>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</si>
  <si>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</si>
  <si>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</si>
  <si>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</si>
  <si>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</si>
  <si>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</si>
  <si>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</si>
  <si>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</si>
  <si>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</si>
  <si>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</si>
  <si>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</si>
  <si>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</si>
  <si>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</si>
  <si>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</si>
  <si>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</si>
  <si>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</si>
  <si>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</si>
  <si>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</si>
  <si>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</si>
  <si>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</si>
  <si>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</si>
  <si>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</si>
  <si>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</si>
  <si>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</si>
  <si>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</si>
  <si>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</si>
  <si>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</si>
  <si>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</si>
  <si>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</si>
  <si>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</si>
  <si>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</si>
  <si>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</si>
  <si>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</si>
  <si>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</si>
  <si>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</si>
  <si>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</si>
  <si>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</si>
  <si>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</si>
  <si>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</si>
  <si>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</si>
  <si>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</si>
  <si>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</si>
  <si>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</si>
  <si>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</si>
  <si>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</si>
  <si>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</si>
  <si>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</si>
  <si>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</si>
  <si>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</si>
  <si>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</si>
  <si>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</si>
  <si>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</si>
  <si>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</si>
  <si>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</si>
  <si>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</si>
  <si>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</si>
  <si>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</si>
  <si>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</si>
  <si>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</si>
  <si>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</si>
  <si>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</si>
  <si>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</si>
  <si>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</si>
  <si>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</si>
  <si>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</si>
  <si>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</si>
  <si>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</si>
  <si>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</si>
  <si>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</si>
  <si>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</si>
  <si>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</si>
  <si>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</si>
  <si>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</si>
  <si>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</si>
  <si>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</si>
  <si>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</si>
  <si>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</si>
  <si>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</si>
  <si>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</si>
  <si>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</si>
  <si>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</si>
  <si>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</si>
  <si>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</si>
  <si>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</si>
  <si>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</si>
  <si>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</si>
  <si>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</si>
  <si>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</si>
  <si>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</si>
  <si>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</si>
  <si>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</si>
  <si>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</si>
  <si>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</si>
  <si>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</si>
  <si>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</si>
  <si>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</si>
  <si>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</si>
  <si>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</si>
  <si>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</si>
  <si>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</si>
  <si>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</si>
  <si>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</si>
  <si>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</si>
  <si>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</si>
  <si>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</si>
  <si>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</si>
  <si>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</si>
  <si>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</si>
  <si>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</si>
  <si>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</si>
  <si>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</si>
  <si>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</si>
  <si>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</si>
  <si>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</si>
  <si>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</si>
  <si>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</si>
  <si>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</si>
  <si>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</si>
  <si>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</si>
  <si>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</si>
  <si>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</si>
  <si>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</si>
  <si>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</si>
  <si>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</si>
  <si>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</si>
  <si>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</si>
  <si>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</si>
  <si>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</si>
  <si>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</si>
  <si>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</si>
  <si>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</si>
  <si>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</si>
  <si>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</si>
  <si>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</si>
  <si>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</si>
  <si>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</si>
  <si>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</si>
  <si>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</si>
  <si>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</si>
  <si>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</si>
  <si>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</si>
  <si>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</si>
  <si>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</si>
  <si>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</si>
  <si>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</si>
  <si>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</si>
  <si>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</si>
  <si>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</si>
  <si>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</si>
  <si>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</si>
  <si>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</si>
  <si>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</si>
  <si>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</si>
  <si>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</si>
  <si>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</si>
  <si>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</si>
  <si>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</si>
  <si>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</si>
  <si>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</si>
  <si>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</si>
  <si>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</si>
  <si>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</si>
  <si>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</si>
  <si>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</si>
  <si>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</si>
  <si>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</si>
  <si>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</si>
  <si>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</si>
  <si>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</si>
  <si>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</si>
  <si>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</si>
  <si>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</si>
  <si>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</si>
  <si>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</si>
  <si>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</si>
  <si>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</si>
  <si>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</si>
  <si>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</si>
  <si>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</si>
  <si>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</si>
  <si>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</si>
  <si>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</si>
  <si>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</si>
  <si>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</si>
  <si>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</si>
  <si>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</si>
  <si>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</si>
  <si>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</si>
  <si>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</si>
  <si>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</si>
  <si>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</si>
  <si>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</si>
  <si>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</si>
  <si>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</si>
  <si>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</si>
  <si>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</si>
  <si>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</si>
  <si>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</si>
  <si>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</si>
  <si>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</si>
  <si>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</si>
  <si>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</si>
  <si>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</si>
  <si>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</si>
  <si>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</si>
  <si>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</si>
  <si>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</si>
  <si>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</si>
  <si>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</si>
  <si>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</si>
  <si>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</si>
  <si>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</si>
  <si>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</si>
  <si>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</si>
  <si>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</si>
  <si>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</si>
  <si>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</si>
  <si>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</si>
  <si>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</si>
  <si>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</si>
  <si>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</si>
  <si>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</si>
  <si>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</si>
  <si>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</si>
  <si>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</si>
  <si>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</si>
  <si>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</si>
  <si>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</si>
  <si>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</si>
  <si>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</si>
  <si>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</si>
  <si>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</si>
  <si>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</si>
  <si>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</si>
  <si>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</si>
  <si>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</si>
  <si>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</si>
  <si>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</si>
  <si>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</si>
  <si>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</si>
  <si>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</si>
  <si>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</si>
  <si>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</si>
  <si>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</si>
  <si>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</si>
  <si>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</si>
  <si>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</si>
  <si>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</si>
  <si>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</si>
  <si>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</si>
  <si>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</si>
  <si>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</si>
  <si>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</si>
  <si>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</si>
  <si>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</si>
  <si>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</si>
  <si>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</si>
  <si>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</si>
  <si>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</si>
  <si>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</si>
  <si>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</si>
  <si>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</si>
  <si>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</si>
  <si>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</si>
  <si>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</si>
  <si>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</si>
  <si>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</si>
  <si>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</si>
  <si>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</si>
  <si>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</si>
  <si>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</si>
  <si>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</si>
  <si>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</si>
  <si>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</si>
  <si>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</si>
  <si>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</si>
  <si>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</si>
  <si>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</si>
  <si>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</si>
  <si>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</si>
  <si>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</si>
  <si>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</si>
  <si>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</si>
  <si>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</si>
  <si>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</si>
  <si>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</si>
  <si>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</si>
  <si>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</si>
  <si>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</si>
  <si>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</si>
  <si>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</si>
  <si>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</si>
  <si>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</si>
  <si>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</si>
  <si>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</si>
  <si>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</si>
  <si>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</si>
  <si>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</si>
  <si>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</si>
  <si>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</si>
  <si>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</si>
  <si>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</si>
  <si>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</si>
  <si>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</si>
  <si>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</si>
  <si>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</si>
  <si>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</si>
  <si>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</si>
  <si>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</si>
  <si>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</si>
  <si>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</si>
  <si>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</si>
  <si>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</si>
  <si>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</si>
  <si>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</si>
  <si>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</si>
  <si>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</si>
  <si>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</si>
  <si>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</si>
  <si>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</si>
  <si>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</si>
  <si>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</si>
  <si>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</si>
  <si>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</si>
  <si>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</si>
  <si>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</si>
  <si>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</si>
  <si>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</si>
  <si>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</si>
  <si>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</si>
  <si>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</si>
  <si>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</si>
  <si>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</si>
  <si>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</si>
  <si>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</si>
  <si>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</si>
  <si>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</si>
  <si>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</si>
  <si>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</si>
  <si>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</si>
  <si>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</si>
  <si>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</si>
  <si>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</si>
  <si>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</si>
  <si>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</si>
  <si>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</si>
  <si>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</si>
  <si>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</si>
  <si>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</si>
  <si>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</si>
  <si>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</si>
  <si>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</si>
  <si>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</si>
  <si>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</si>
  <si>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</si>
  <si>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</si>
  <si>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</si>
  <si>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</si>
  <si>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</si>
  <si>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</si>
  <si>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</si>
  <si>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</si>
  <si>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</si>
  <si>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</si>
  <si>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</si>
  <si>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</si>
  <si>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</si>
  <si>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</si>
  <si>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</si>
  <si>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</si>
  <si>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</si>
  <si>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</si>
  <si>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</si>
  <si>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</si>
  <si>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</si>
  <si>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</si>
  <si>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</si>
  <si>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</si>
  <si>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</si>
  <si>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</si>
  <si>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</si>
  <si>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</si>
  <si>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</si>
  <si>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</si>
  <si>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</si>
  <si>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</si>
  <si>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</si>
  <si>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</si>
  <si>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</si>
  <si>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</si>
  <si>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</si>
  <si>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</si>
  <si>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</si>
  <si>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</si>
  <si>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</si>
  <si>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</si>
  <si>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</si>
  <si>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</si>
  <si>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</si>
  <si>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</si>
  <si>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</si>
  <si>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</si>
  <si>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</si>
  <si>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</si>
  <si>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</si>
  <si>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</si>
  <si>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</si>
  <si>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</si>
  <si>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</si>
  <si>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</si>
  <si>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</si>
  <si>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</si>
  <si>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</si>
  <si>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</si>
  <si>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</si>
  <si>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</si>
  <si>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</si>
  <si>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</si>
  <si>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</si>
  <si>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</si>
  <si>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</si>
  <si>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</si>
  <si>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</si>
  <si>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</si>
  <si>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</si>
  <si>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</si>
  <si>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</si>
  <si>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</si>
  <si>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</si>
  <si>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</si>
  <si>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</si>
  <si>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</si>
  <si>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</si>
  <si>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</si>
  <si>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</si>
  <si>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</si>
  <si>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</si>
  <si>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</si>
  <si>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</si>
  <si>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</si>
  <si>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</si>
  <si>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</si>
  <si>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</si>
  <si>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</si>
  <si>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</si>
  <si>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</si>
  <si>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</si>
  <si>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</si>
  <si>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</si>
  <si>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</si>
  <si>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</si>
  <si>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</si>
  <si>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</si>
  <si>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</si>
  <si>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</si>
  <si>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</si>
  <si>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</si>
  <si>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</si>
  <si>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</si>
  <si>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</si>
  <si>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</si>
  <si>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</si>
  <si>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</si>
  <si>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</si>
  <si>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</si>
  <si>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</si>
  <si>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</si>
  <si>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</si>
  <si>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</si>
  <si>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</si>
  <si>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</si>
  <si>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</si>
  <si>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</si>
  <si>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</si>
  <si>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</si>
  <si>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</si>
  <si>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</si>
  <si>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</si>
  <si>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</si>
  <si>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</si>
  <si>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</si>
  <si>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</si>
  <si>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</si>
  <si>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</si>
  <si>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</si>
  <si>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</si>
  <si>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</si>
  <si>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</si>
  <si>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</si>
  <si>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</si>
  <si>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</si>
  <si>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</si>
  <si>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</si>
  <si>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</si>
  <si>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</si>
  <si>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</si>
  <si>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</si>
  <si>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</si>
  <si>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</si>
  <si>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</si>
  <si>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</si>
  <si>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</si>
  <si>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</si>
  <si>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</si>
  <si>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</si>
  <si>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</si>
  <si>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</si>
  <si>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</si>
  <si>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</si>
  <si>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</si>
  <si>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</si>
  <si>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</si>
  <si>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</si>
  <si>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</si>
  <si>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</si>
  <si>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</si>
  <si>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</si>
  <si>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</si>
  <si>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</si>
  <si>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</si>
  <si>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</si>
  <si>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</si>
  <si>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</si>
  <si>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</si>
  <si>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</si>
  <si>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</si>
  <si>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</si>
  <si>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</si>
  <si>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</si>
  <si>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</si>
  <si>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</si>
  <si>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</si>
  <si>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</si>
  <si>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</si>
  <si>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</si>
  <si>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</si>
  <si>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</si>
  <si>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</si>
  <si>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</si>
  <si>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</si>
  <si>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</si>
  <si>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</si>
  <si>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</si>
  <si>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</si>
  <si>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</si>
  <si>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</si>
  <si>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</si>
  <si>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</si>
  <si>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</si>
  <si>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</si>
  <si>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</si>
  <si>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</si>
  <si>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</si>
  <si>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</si>
  <si>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</si>
  <si>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</si>
  <si>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</si>
  <si>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</si>
  <si>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</si>
  <si>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</si>
  <si>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</si>
  <si>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</si>
  <si>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</si>
  <si>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</si>
  <si>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</si>
  <si>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</si>
  <si>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</si>
  <si>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</si>
  <si>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</si>
  <si>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</si>
  <si>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</si>
  <si>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</si>
  <si>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</si>
  <si>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</si>
  <si>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</si>
  <si>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</si>
  <si>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</si>
  <si>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</si>
  <si>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</si>
  <si>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</si>
  <si>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</si>
  <si>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</si>
  <si>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</si>
  <si>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</si>
  <si>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</si>
  <si>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</si>
  <si>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</si>
  <si>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</si>
  <si>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</si>
  <si>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</si>
  <si>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</si>
  <si>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</si>
  <si>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</si>
  <si>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</si>
  <si>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</si>
  <si>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</si>
  <si>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</si>
  <si>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</si>
  <si>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</si>
  <si>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</si>
  <si>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</si>
  <si>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</si>
  <si>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</si>
  <si>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</si>
  <si>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</si>
  <si>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</si>
  <si>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</si>
  <si>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</si>
  <si>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</si>
  <si>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</si>
  <si>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</si>
  <si>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</si>
  <si>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</si>
  <si>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</si>
  <si>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</si>
  <si>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</si>
  <si>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</si>
  <si>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</si>
  <si>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</si>
  <si>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</si>
  <si>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</si>
  <si>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</si>
  <si>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</si>
  <si>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</si>
  <si>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</si>
  <si>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</si>
  <si>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</si>
  <si>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</si>
  <si>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</si>
  <si>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</si>
  <si>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</si>
  <si>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</si>
  <si>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</si>
  <si>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</si>
  <si>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</si>
  <si>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</si>
  <si>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</si>
  <si>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</si>
  <si>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</si>
  <si>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</si>
  <si>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</si>
  <si>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</si>
  <si>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</si>
  <si>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</si>
  <si>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</si>
  <si>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</si>
  <si>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</si>
  <si>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</si>
  <si>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</si>
  <si>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</si>
  <si>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</si>
  <si>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</si>
  <si>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</si>
  <si>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</si>
  <si>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</si>
  <si>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</si>
  <si>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</si>
  <si>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</si>
  <si>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</si>
  <si>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</si>
  <si>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</si>
  <si>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</si>
  <si>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</si>
  <si>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</si>
  <si>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</si>
  <si>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</si>
  <si>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</si>
  <si>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</si>
  <si>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</si>
  <si>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</si>
  <si>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</si>
  <si>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</si>
  <si>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</si>
  <si>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</si>
  <si>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</si>
  <si>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</si>
  <si>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</si>
  <si>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</si>
  <si>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</si>
  <si>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</si>
  <si>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</si>
  <si>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</si>
  <si>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</si>
  <si>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</si>
  <si>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</si>
  <si>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</si>
  <si>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</si>
  <si>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</si>
  <si>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</si>
  <si>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</si>
  <si>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</si>
  <si>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</si>
  <si>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</si>
  <si>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</si>
  <si>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</si>
  <si>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</si>
  <si>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</si>
  <si>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</si>
  <si>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</si>
  <si>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</si>
  <si>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</si>
  <si>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</si>
  <si>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</si>
  <si>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</si>
  <si>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</si>
  <si>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</si>
  <si>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</si>
  <si>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</si>
  <si>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</si>
  <si>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</si>
  <si>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</si>
  <si>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</si>
  <si>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</si>
  <si>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</si>
  <si>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</si>
  <si>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</si>
  <si>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</si>
  <si>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</si>
  <si>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</si>
  <si>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</si>
  <si>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</si>
  <si>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</si>
  <si>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</si>
  <si>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</si>
  <si>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</si>
  <si>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</si>
  <si>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</si>
  <si>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</si>
  <si>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</si>
  <si>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</si>
  <si>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</si>
  <si>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</si>
  <si>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</si>
  <si>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</si>
  <si>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</si>
  <si>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</si>
  <si>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</si>
  <si>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</si>
  <si>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</si>
  <si>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</si>
  <si>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</si>
  <si>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</si>
  <si>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</si>
  <si>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</si>
  <si>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</si>
  <si>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</si>
  <si>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</si>
  <si>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</si>
  <si>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</si>
  <si>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</si>
  <si>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</si>
  <si>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</si>
  <si>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</si>
  <si>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</si>
  <si>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</si>
  <si>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</si>
  <si>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</si>
  <si>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</si>
  <si>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</si>
  <si>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</si>
  <si>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</si>
  <si>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</si>
  <si>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</si>
  <si>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</si>
  <si>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</si>
  <si>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</si>
  <si>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</si>
  <si>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</si>
  <si>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</si>
  <si>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</si>
  <si>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</si>
  <si>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</si>
  <si>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</si>
  <si>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</si>
  <si>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</si>
  <si>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</si>
  <si>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</si>
  <si>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</si>
  <si>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</si>
  <si>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</si>
  <si>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</si>
  <si>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</si>
  <si>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</si>
  <si>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</si>
  <si>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</si>
  <si>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</si>
  <si>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</si>
  <si>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</si>
  <si>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</si>
  <si>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</si>
  <si>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</si>
  <si>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</si>
  <si>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</si>
  <si>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</si>
  <si>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</si>
  <si>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</si>
  <si>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</si>
  <si>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</si>
  <si>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</si>
  <si>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</si>
  <si>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</si>
  <si>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</si>
  <si>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</si>
  <si>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</si>
  <si>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</si>
  <si>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</si>
  <si>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</si>
  <si>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</si>
  <si>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</si>
  <si>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</si>
  <si>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</si>
  <si>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</si>
  <si>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</si>
  <si>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</si>
  <si>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</si>
  <si>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</si>
  <si>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</si>
  <si>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</si>
  <si>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</si>
  <si>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</si>
  <si>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</si>
  <si>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</si>
  <si>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</si>
  <si>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</si>
  <si>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</si>
  <si>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</si>
  <si>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</si>
  <si>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</si>
  <si>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</si>
  <si>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</si>
  <si>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</si>
  <si>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</si>
  <si>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</si>
  <si>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</si>
  <si>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</si>
  <si>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</si>
  <si>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</si>
  <si>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</si>
  <si>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</si>
  <si>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</si>
  <si>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</si>
  <si>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</si>
  <si>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</si>
  <si>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</si>
  <si>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</si>
  <si>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</si>
  <si>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</si>
  <si>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</si>
  <si>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</si>
  <si>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</si>
  <si>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</si>
  <si>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</si>
  <si>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</si>
  <si>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</si>
  <si>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</si>
  <si>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</si>
  <si>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</si>
  <si>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</si>
  <si>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</si>
  <si>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</si>
  <si>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</si>
  <si>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</si>
  <si>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</si>
  <si>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</si>
  <si>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</si>
  <si>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</si>
  <si>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</si>
  <si>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</si>
  <si>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</si>
  <si>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</si>
  <si>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</si>
  <si>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</si>
  <si>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</si>
  <si>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</si>
  <si>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</si>
  <si>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</si>
  <si>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</si>
  <si>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</si>
  <si>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</si>
  <si>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</si>
  <si>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</si>
  <si>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</si>
  <si>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</si>
  <si>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</si>
  <si>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</si>
  <si>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</si>
  <si>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</si>
  <si>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</si>
  <si>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</si>
  <si>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</si>
  <si>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</si>
  <si>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</si>
  <si>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</si>
  <si>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</si>
  <si>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</si>
  <si>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</si>
  <si>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</si>
  <si>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</si>
  <si>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</si>
  <si>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</si>
  <si>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</si>
  <si>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</si>
  <si>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</si>
  <si>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</si>
  <si>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</si>
  <si>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</si>
  <si>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</si>
  <si>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</si>
  <si>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</si>
  <si>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</si>
  <si>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</si>
  <si>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</si>
  <si>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</si>
  <si>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</si>
  <si>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</si>
  <si>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</si>
  <si>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</si>
  <si>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</si>
  <si>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</si>
  <si>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</si>
  <si>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</si>
  <si>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</si>
  <si>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</si>
  <si>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</si>
  <si>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</si>
  <si>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</si>
  <si>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</si>
  <si>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</si>
  <si>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</si>
  <si>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</si>
  <si>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</si>
  <si>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</si>
  <si>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</si>
  <si>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</si>
  <si>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</si>
  <si>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</si>
  <si>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</si>
  <si>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</si>
  <si>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</si>
  <si>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</si>
  <si>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</si>
  <si>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</si>
  <si>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</si>
  <si>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</si>
  <si>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</si>
  <si>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</si>
  <si>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</si>
  <si>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</si>
  <si>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</si>
  <si>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</si>
  <si>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</si>
  <si>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</si>
  <si>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</si>
  <si>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</si>
  <si>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</si>
  <si>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</si>
  <si>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</si>
  <si>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</si>
  <si>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</si>
  <si>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</si>
  <si>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</si>
  <si>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</si>
  <si>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</si>
  <si>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</si>
  <si>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</si>
  <si>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</si>
  <si>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</si>
  <si>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</si>
  <si>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</si>
  <si>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</si>
  <si>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</si>
  <si>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</si>
  <si>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</si>
  <si>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</si>
  <si>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</si>
  <si>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</si>
  <si>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</si>
  <si>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</si>
  <si>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</si>
  <si>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</si>
  <si>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</si>
  <si>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</si>
  <si>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</si>
  <si>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</si>
  <si>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</si>
  <si>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</si>
  <si>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</si>
  <si>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</si>
  <si>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</si>
  <si>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</si>
  <si>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</si>
  <si>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</si>
  <si>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</si>
  <si>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</si>
  <si>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</si>
  <si>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</si>
  <si>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</si>
  <si>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</si>
  <si>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</si>
  <si>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</si>
  <si>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</si>
  <si>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</si>
  <si>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</si>
  <si>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</si>
  <si>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</si>
  <si>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</si>
  <si>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</si>
  <si>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</si>
  <si>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</si>
  <si>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</si>
  <si>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</si>
  <si>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</si>
  <si>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</si>
  <si>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</si>
  <si>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</si>
  <si>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</si>
  <si>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</si>
  <si>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</si>
  <si>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</si>
  <si>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</si>
  <si>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</si>
  <si>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</si>
  <si>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</si>
  <si>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</si>
  <si>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</si>
  <si>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</si>
  <si>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</si>
  <si>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</si>
  <si>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</si>
  <si>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</si>
  <si>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</si>
  <si>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</si>
  <si>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</si>
  <si>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</si>
  <si>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</si>
  <si>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</si>
  <si>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</si>
  <si>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</si>
  <si>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</si>
  <si>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</si>
  <si>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</si>
  <si>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</si>
  <si>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</si>
  <si>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</si>
  <si>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</si>
  <si>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</si>
  <si>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</si>
  <si>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</si>
  <si>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</si>
  <si>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</si>
  <si>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</si>
  <si>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</si>
  <si>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</si>
  <si>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</si>
  <si>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</si>
  <si>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</si>
  <si>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</si>
  <si>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</si>
  <si>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</si>
  <si>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</si>
  <si>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</si>
  <si>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</si>
  <si>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</si>
  <si>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</si>
  <si>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</si>
  <si>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</si>
  <si>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</si>
  <si>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</si>
  <si>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</si>
  <si>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</si>
  <si>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</si>
  <si>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</si>
  <si>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</si>
  <si>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</si>
  <si>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</si>
  <si>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</si>
  <si>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</si>
  <si>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</si>
  <si>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</si>
  <si>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</si>
  <si>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</si>
  <si>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</si>
  <si>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</si>
  <si>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</si>
  <si>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</si>
  <si>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</si>
  <si>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</si>
  <si>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</si>
  <si>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</si>
  <si>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</si>
  <si>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</si>
  <si>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</si>
  <si>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</si>
  <si>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</si>
  <si>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</si>
  <si>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</si>
  <si>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</si>
  <si>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</si>
  <si>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</si>
  <si>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</si>
  <si>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</si>
  <si>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</si>
  <si>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</si>
  <si>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</si>
  <si>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</si>
  <si>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</si>
  <si>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</si>
  <si>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</si>
  <si>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</si>
  <si>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</si>
  <si>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</si>
  <si>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</si>
  <si>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</si>
  <si>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</si>
  <si>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</si>
  <si>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</si>
  <si>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</si>
  <si>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</si>
  <si>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</si>
  <si>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</si>
  <si>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</si>
  <si>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</si>
  <si>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</si>
  <si>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</si>
  <si>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</si>
  <si>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</si>
  <si>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</si>
  <si>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</si>
  <si>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</si>
  <si>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</si>
  <si>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</si>
  <si>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</si>
  <si>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</si>
  <si>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</si>
  <si>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</si>
  <si>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</si>
  <si>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</si>
  <si>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</si>
  <si>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</si>
  <si>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</si>
  <si>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</si>
  <si>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</si>
  <si>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</si>
  <si>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</si>
  <si>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</si>
  <si>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</si>
  <si>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</si>
  <si>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</si>
  <si>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</si>
  <si>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</si>
  <si>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</si>
  <si>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</si>
  <si>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</si>
  <si>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</si>
  <si>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</si>
  <si>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</si>
  <si>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</si>
  <si>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</si>
  <si>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</si>
  <si>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</si>
  <si>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</si>
  <si>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</si>
  <si>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</si>
  <si>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</si>
  <si>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</si>
  <si>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</si>
  <si>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</si>
  <si>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</si>
  <si>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</si>
  <si>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</si>
  <si>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</si>
  <si>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</si>
  <si>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</si>
  <si>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</si>
  <si>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</si>
  <si>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</si>
  <si>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</si>
  <si>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</si>
  <si>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</si>
  <si>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</si>
  <si>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</si>
  <si>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</si>
  <si>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</si>
  <si>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</si>
  <si>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</si>
  <si>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</si>
  <si>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</si>
  <si>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</si>
  <si>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</si>
  <si>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</si>
  <si>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</si>
  <si>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</si>
  <si>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</si>
  <si>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</si>
  <si>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</si>
  <si>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</si>
  <si>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</si>
  <si>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</si>
  <si>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</si>
  <si>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</si>
  <si>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</si>
  <si>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</si>
  <si>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</si>
  <si>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</si>
  <si>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</si>
  <si>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</si>
  <si>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</si>
  <si>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</si>
  <si>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</si>
  <si>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</si>
  <si>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</si>
  <si>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</si>
  <si>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</si>
  <si>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</si>
  <si>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</si>
  <si>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</si>
  <si>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</si>
  <si>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</si>
  <si>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</si>
  <si>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</si>
  <si>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</si>
  <si>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</si>
  <si>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</si>
  <si>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</si>
  <si>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</si>
  <si>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</si>
  <si>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</si>
  <si>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</si>
  <si>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</si>
  <si>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</si>
  <si>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</si>
  <si>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</si>
  <si>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</si>
  <si>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</si>
  <si>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</si>
  <si>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</si>
  <si>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</si>
  <si>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</si>
  <si>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</si>
  <si>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</si>
  <si>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</si>
  <si>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</si>
  <si>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</si>
  <si>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</si>
  <si>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</si>
  <si>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</si>
  <si>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</si>
  <si>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</si>
  <si>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</si>
  <si>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</si>
  <si>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</si>
  <si>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</si>
  <si>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</si>
  <si>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</si>
  <si>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</si>
  <si>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</si>
  <si>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</si>
  <si>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</si>
  <si>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</si>
  <si>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</si>
  <si>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</si>
  <si>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</si>
  <si>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</si>
  <si>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</si>
  <si>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</si>
  <si>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</si>
  <si>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</si>
  <si>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</si>
  <si>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</si>
  <si>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</si>
  <si>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</si>
  <si>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</si>
  <si>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</si>
  <si>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</si>
  <si>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</si>
  <si>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</si>
  <si>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</si>
  <si>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</si>
  <si>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</si>
  <si>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</si>
  <si>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</si>
  <si>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</si>
  <si>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</si>
  <si>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</si>
  <si>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</si>
  <si>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</si>
  <si>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</si>
  <si>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</si>
  <si>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</si>
  <si>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</si>
  <si>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</si>
  <si>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</si>
  <si>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</si>
  <si>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</si>
  <si>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</si>
  <si>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</si>
  <si>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</si>
  <si>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</si>
  <si>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</si>
  <si>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</si>
  <si>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</si>
  <si>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</si>
  <si>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</si>
  <si>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</si>
  <si>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</si>
  <si>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</si>
  <si>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</si>
  <si>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</si>
  <si>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</si>
  <si>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</si>
  <si>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</si>
  <si>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</si>
  <si>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</si>
  <si>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</si>
  <si>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</si>
  <si>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</si>
  <si>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</si>
  <si>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</si>
  <si>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</si>
  <si>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</si>
  <si>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</si>
  <si>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</si>
  <si>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</si>
  <si>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</si>
  <si>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</si>
  <si>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</si>
  <si>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</si>
  <si>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</si>
  <si>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</si>
  <si>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</si>
  <si>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</si>
  <si>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</si>
  <si>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</si>
  <si>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</si>
  <si>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</si>
  <si>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</si>
  <si>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</si>
  <si>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</si>
  <si>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</si>
  <si>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</si>
  <si>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</si>
  <si>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</si>
  <si>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</si>
  <si>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</si>
  <si>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</si>
  <si>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</si>
  <si>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</si>
  <si>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</si>
  <si>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</si>
  <si>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</si>
  <si>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</si>
  <si>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</si>
  <si>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</si>
  <si>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</si>
  <si>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</si>
  <si>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</si>
  <si>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</si>
  <si>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</si>
  <si>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</si>
  <si>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</si>
  <si>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</si>
  <si>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</si>
  <si>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</si>
  <si>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</si>
  <si>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</si>
  <si>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</si>
  <si>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</si>
  <si>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</si>
  <si>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</si>
  <si>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</si>
  <si>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</si>
  <si>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</si>
  <si>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</si>
  <si>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</si>
  <si>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</si>
  <si>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</si>
  <si>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</si>
  <si>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</si>
  <si>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</si>
  <si>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</si>
  <si>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</si>
  <si>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</si>
  <si>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</si>
  <si>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</si>
  <si>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</si>
  <si>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</si>
  <si>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</si>
  <si>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</si>
  <si>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</si>
  <si>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</si>
  <si>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</si>
  <si>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</si>
  <si>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</si>
  <si>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</si>
  <si>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</si>
  <si>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</si>
  <si>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</si>
  <si>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</si>
  <si>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</si>
  <si>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</si>
  <si>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</si>
  <si>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</si>
  <si>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</si>
  <si>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</si>
  <si>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</si>
  <si>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</si>
  <si>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</si>
  <si>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</si>
  <si>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</si>
  <si>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</si>
  <si>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</si>
  <si>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</si>
  <si>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</si>
  <si>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</si>
  <si>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</si>
  <si>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</si>
  <si>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</si>
  <si>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</si>
  <si>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</si>
  <si>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</si>
  <si>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</si>
  <si>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</si>
  <si>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</si>
  <si>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</si>
  <si>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</si>
  <si>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</si>
  <si>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</si>
  <si>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</si>
  <si>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</si>
  <si>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</si>
  <si>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</si>
  <si>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</si>
  <si>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</si>
  <si>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</si>
  <si>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</si>
  <si>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</si>
  <si>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</si>
  <si>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</si>
  <si>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</si>
  <si>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</si>
  <si>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</si>
  <si>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</si>
  <si>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</si>
  <si>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</si>
  <si>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</si>
  <si>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</si>
  <si>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</si>
  <si>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</si>
  <si>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</si>
  <si>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</si>
  <si>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</si>
  <si>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</si>
  <si>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</si>
  <si>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</si>
  <si>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</si>
  <si>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</si>
  <si>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</si>
  <si>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</si>
  <si>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</si>
  <si>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</si>
  <si>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</si>
  <si>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</si>
  <si>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</si>
  <si>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</si>
  <si>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</si>
  <si>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</si>
  <si>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</si>
  <si>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</si>
  <si>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</si>
  <si>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</si>
  <si>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</si>
  <si>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</si>
  <si>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</si>
  <si>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</si>
  <si>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</si>
  <si>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</si>
  <si>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</si>
  <si>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</si>
  <si>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</si>
  <si>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</si>
  <si>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</si>
  <si>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</si>
  <si>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</si>
  <si>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</si>
  <si>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</si>
  <si>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</si>
  <si>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</si>
  <si>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</si>
  <si>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</si>
  <si>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</si>
  <si>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</si>
  <si>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</si>
  <si>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</si>
  <si>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</si>
  <si>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</si>
  <si>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</si>
  <si>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</si>
  <si>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</si>
  <si>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</si>
  <si>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</si>
  <si>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</si>
  <si>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</si>
  <si>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</si>
  <si>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</si>
  <si>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</si>
  <si>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</si>
  <si>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</si>
  <si>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</si>
  <si>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</si>
  <si>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</si>
  <si>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</si>
  <si>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</si>
  <si>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</si>
  <si>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</si>
  <si>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</si>
  <si>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</si>
  <si>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</si>
  <si>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</si>
  <si>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</si>
  <si>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</si>
  <si>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</si>
  <si>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</si>
  <si>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</si>
  <si>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</si>
  <si>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</si>
  <si>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</si>
  <si>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</si>
  <si>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</si>
  <si>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</si>
  <si>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</si>
  <si>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</si>
  <si>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</si>
  <si>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</si>
  <si>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</si>
  <si>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</si>
  <si>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</si>
  <si>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</si>
  <si>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</si>
  <si>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</si>
  <si>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</si>
  <si>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</si>
  <si>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</si>
  <si>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</si>
  <si>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</si>
  <si>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</si>
  <si>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</si>
  <si>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</si>
  <si>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</si>
  <si>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</si>
  <si>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</si>
  <si>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</si>
  <si>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</si>
  <si>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</si>
  <si>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</si>
  <si>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</si>
  <si>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</si>
  <si>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</si>
  <si>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</si>
  <si>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</si>
  <si>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</si>
  <si>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</si>
  <si>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</si>
  <si>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</si>
  <si>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</si>
  <si>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</si>
  <si>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</si>
  <si>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</si>
  <si>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</si>
  <si>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</si>
  <si>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</si>
  <si>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</si>
  <si>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</si>
  <si>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</si>
  <si>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</si>
  <si>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</si>
  <si>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</si>
  <si>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</si>
  <si>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</si>
  <si>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</si>
  <si>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</si>
  <si>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</si>
  <si>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</si>
  <si>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</si>
  <si>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</si>
  <si>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</si>
  <si>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</si>
  <si>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</si>
  <si>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</si>
  <si>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</si>
  <si>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</si>
  <si>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</si>
  <si>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</si>
  <si>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</si>
  <si>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</si>
  <si>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</si>
  <si>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</si>
  <si>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</si>
  <si>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</si>
  <si>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</si>
  <si>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</si>
  <si>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</si>
  <si>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</si>
  <si>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</si>
  <si>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</si>
  <si>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</si>
  <si>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</si>
  <si>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</si>
  <si>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</si>
  <si>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</si>
  <si>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</si>
  <si>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</si>
  <si>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</si>
  <si>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</si>
  <si>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</si>
  <si>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</si>
  <si>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</si>
  <si>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</si>
  <si>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</si>
  <si>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</si>
  <si>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</si>
  <si>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</si>
  <si>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</si>
  <si>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</si>
  <si>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</si>
  <si>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</si>
  <si>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</si>
  <si>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</si>
  <si>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</si>
  <si>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</si>
  <si>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</si>
  <si>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</si>
  <si>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</si>
  <si>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</si>
  <si>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</si>
  <si>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</si>
  <si>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</si>
  <si>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</si>
  <si>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</si>
  <si>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</si>
  <si>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</si>
  <si>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</si>
  <si>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</si>
  <si>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</si>
  <si>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</si>
  <si>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</si>
  <si>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</si>
  <si>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</si>
  <si>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</si>
  <si>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</si>
  <si>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</si>
  <si>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</si>
  <si>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</si>
  <si>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</si>
  <si>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</si>
  <si>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</si>
  <si>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</si>
  <si>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</si>
  <si>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</si>
  <si>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</si>
  <si>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</si>
  <si>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</si>
  <si>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</si>
  <si>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</si>
  <si>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</si>
  <si>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</si>
  <si>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</si>
  <si>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</si>
  <si>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</si>
  <si>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</si>
  <si>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</si>
  <si>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</si>
  <si>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</si>
  <si>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</si>
  <si>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</si>
  <si>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</si>
  <si>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</si>
  <si>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</si>
  <si>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</si>
  <si>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</si>
  <si>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</si>
  <si>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</si>
  <si>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</si>
  <si>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</si>
  <si>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</si>
  <si>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</si>
  <si>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</si>
  <si>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</si>
  <si>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</si>
  <si>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</si>
  <si>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</si>
  <si>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</si>
  <si>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</si>
  <si>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</si>
  <si>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</si>
  <si>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</si>
  <si>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</si>
  <si>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</si>
  <si>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</si>
  <si>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</si>
  <si>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</si>
  <si>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</si>
  <si>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</si>
  <si>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</si>
  <si>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</si>
  <si>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</si>
  <si>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</si>
  <si>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</si>
  <si>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</si>
  <si>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</si>
  <si>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</si>
  <si>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</si>
  <si>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</si>
  <si>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</si>
  <si>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</si>
  <si>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</si>
  <si>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</si>
  <si>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</si>
  <si>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</si>
  <si>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</si>
  <si>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</si>
  <si>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</si>
  <si>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</si>
  <si>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</si>
  <si>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</si>
  <si>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</si>
  <si>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</si>
  <si>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</si>
  <si>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</si>
  <si>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</si>
  <si>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</si>
  <si>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</si>
  <si>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</si>
  <si>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</si>
  <si>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</si>
  <si>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</si>
  <si>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</si>
  <si>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</si>
  <si>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</si>
  <si>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</si>
  <si>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</si>
  <si>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</si>
  <si>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</si>
  <si>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</si>
  <si>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</si>
  <si>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</si>
  <si>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</si>
  <si>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</si>
  <si>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</si>
  <si>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</si>
  <si>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</si>
  <si>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</si>
  <si>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</si>
  <si>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</si>
  <si>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</si>
  <si>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</si>
  <si>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</si>
  <si>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</si>
  <si>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</si>
  <si>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</si>
  <si>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</si>
  <si>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</si>
  <si>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</si>
  <si>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</si>
  <si>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</si>
  <si>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</si>
  <si>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</si>
  <si>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</si>
  <si>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</si>
  <si>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</si>
  <si>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</si>
  <si>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</si>
  <si>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</si>
  <si>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</si>
  <si>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</si>
  <si>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</si>
  <si>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</si>
  <si>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</si>
  <si>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</si>
  <si>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</si>
  <si>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</si>
  <si>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</si>
  <si>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</si>
  <si>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</si>
  <si>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</si>
  <si>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</si>
  <si>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</si>
  <si>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</si>
  <si>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</si>
  <si>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</si>
  <si>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</si>
  <si>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</si>
  <si>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</si>
  <si>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</si>
  <si>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</si>
  <si>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</si>
  <si>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</si>
  <si>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</si>
  <si>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</si>
  <si>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</si>
  <si>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</si>
  <si>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</si>
  <si>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</si>
  <si>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</si>
  <si>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</si>
  <si>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</si>
  <si>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</si>
  <si>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</si>
  <si>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</si>
  <si>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</si>
  <si>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</si>
  <si>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</si>
  <si>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</si>
  <si>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</si>
  <si>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</si>
  <si>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</si>
  <si>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</si>
  <si>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</si>
  <si>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</si>
  <si>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</si>
  <si>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</si>
  <si>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</si>
  <si>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</si>
  <si>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</si>
  <si>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</si>
  <si>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</si>
  <si>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</si>
  <si>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</si>
  <si>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</si>
  <si>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</si>
  <si>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</si>
  <si>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</si>
  <si>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</si>
  <si>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</si>
  <si>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</si>
  <si>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</si>
  <si>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</si>
  <si>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</si>
  <si>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</si>
  <si>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</si>
  <si>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</si>
  <si>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</si>
  <si>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</si>
  <si>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</si>
  <si>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</si>
  <si>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</si>
  <si>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</si>
  <si>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</si>
  <si>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</si>
  <si>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</si>
  <si>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</si>
  <si>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</si>
  <si>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</si>
  <si>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</si>
  <si>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</si>
  <si>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</si>
  <si>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</si>
  <si>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</si>
  <si>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</si>
  <si>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</si>
  <si>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</si>
  <si>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</si>
  <si>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</si>
  <si>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</si>
  <si>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</si>
  <si>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</si>
  <si>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</si>
  <si>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</si>
  <si>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</si>
  <si>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</si>
  <si>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</si>
  <si>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</si>
  <si>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</si>
  <si>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</si>
  <si>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</si>
  <si>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</si>
  <si>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</si>
  <si>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</si>
  <si>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</si>
  <si>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</si>
  <si>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</si>
  <si>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</si>
  <si>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</si>
  <si>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</si>
  <si>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</si>
  <si>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</si>
  <si>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</si>
  <si>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</si>
  <si>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</si>
  <si>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</si>
  <si>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</si>
  <si>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</si>
  <si>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</si>
  <si>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</si>
  <si>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</si>
  <si>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</si>
  <si>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</si>
  <si>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</si>
  <si>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</si>
  <si>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</si>
  <si>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</si>
  <si>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</si>
  <si>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</si>
  <si>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</si>
  <si>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</si>
  <si>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</si>
  <si>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</si>
  <si>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</si>
  <si>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</si>
  <si>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</si>
  <si>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</si>
  <si>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</si>
  <si>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</si>
  <si>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</si>
  <si>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</si>
  <si>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</si>
  <si>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</si>
  <si>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</si>
  <si>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</si>
  <si>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</si>
  <si>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</si>
  <si>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</si>
  <si>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</si>
  <si>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</si>
  <si>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</si>
  <si>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</si>
  <si>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</si>
  <si>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</si>
  <si>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</si>
  <si>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</si>
  <si>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</si>
  <si>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</si>
  <si>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</si>
  <si>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</si>
  <si>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</si>
  <si>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</si>
  <si>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</si>
  <si>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</si>
  <si>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</si>
  <si>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</si>
  <si>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</si>
  <si>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</si>
  <si>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</si>
  <si>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</si>
  <si>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</si>
  <si>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</si>
  <si>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</si>
  <si>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</si>
  <si>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</si>
  <si>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</si>
  <si>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</si>
  <si>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</si>
  <si>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</si>
  <si>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</si>
  <si>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</si>
  <si>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</si>
  <si>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</si>
  <si>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</si>
  <si>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</si>
  <si>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</si>
  <si>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</si>
  <si>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</si>
  <si>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</si>
  <si>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</si>
  <si>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</si>
  <si>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</si>
  <si>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</si>
  <si>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</si>
  <si>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</si>
  <si>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</si>
  <si>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</si>
  <si>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</si>
  <si>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</si>
  <si>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</si>
  <si>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</si>
  <si>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</si>
  <si>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</si>
  <si>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</si>
  <si>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</si>
  <si>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</si>
  <si>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</si>
  <si>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</si>
  <si>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</si>
  <si>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</si>
  <si>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</si>
  <si>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</si>
  <si>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</si>
  <si>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</si>
  <si>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</si>
  <si>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</si>
  <si>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</si>
  <si>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</si>
  <si>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</si>
  <si>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</si>
  <si>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</si>
  <si>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</si>
  <si>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</si>
  <si>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</si>
  <si>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</si>
  <si>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</si>
  <si>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</si>
  <si>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</si>
  <si>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</si>
  <si>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</si>
  <si>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</si>
  <si>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</si>
  <si>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</si>
  <si>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</si>
  <si>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</si>
  <si>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</si>
  <si>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</si>
  <si>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</si>
  <si>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</si>
  <si>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</si>
  <si>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</si>
  <si>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</si>
  <si>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</si>
  <si>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</si>
  <si>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</si>
  <si>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</si>
  <si>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</si>
  <si>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</si>
  <si>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</si>
  <si>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</si>
  <si>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</si>
  <si>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</si>
  <si>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</si>
  <si>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</si>
  <si>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</si>
  <si>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</si>
  <si>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</si>
  <si>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</si>
  <si>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</si>
  <si>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</si>
  <si>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</si>
  <si>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</si>
  <si>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</si>
  <si>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</si>
  <si>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</si>
  <si>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</si>
  <si>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</si>
  <si>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</si>
  <si>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</si>
  <si>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</si>
  <si>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</si>
  <si>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</si>
  <si>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</si>
  <si>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</si>
  <si>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</si>
  <si>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</si>
  <si>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</si>
  <si>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</si>
  <si>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</si>
  <si>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</si>
  <si>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</si>
  <si>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</si>
  <si>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</si>
  <si>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</si>
  <si>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</si>
  <si>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</si>
  <si>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</si>
  <si>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</si>
  <si>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</si>
  <si>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</si>
  <si>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</si>
  <si>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</si>
  <si>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</si>
  <si>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</si>
  <si>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</si>
  <si>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</si>
  <si>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</si>
  <si>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</si>
  <si>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</si>
  <si>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</si>
  <si>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</si>
  <si>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</si>
  <si>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</si>
  <si>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</si>
  <si>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</si>
  <si>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</si>
  <si>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</si>
  <si>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</si>
  <si>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</si>
  <si>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</si>
  <si>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</si>
  <si>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</si>
  <si>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</si>
  <si>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</si>
  <si>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</si>
  <si>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</si>
  <si>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</si>
  <si>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</si>
  <si>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</si>
  <si>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</si>
  <si>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</si>
  <si>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</si>
  <si>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</si>
  <si>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</si>
  <si>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</si>
  <si>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</si>
  <si>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</si>
  <si>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</si>
  <si>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</si>
  <si>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</si>
  <si>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</si>
  <si>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</si>
  <si>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</si>
  <si>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</si>
  <si>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</si>
  <si>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</si>
  <si>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</si>
  <si>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</si>
  <si>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</si>
  <si>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</si>
  <si>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</si>
  <si>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</si>
  <si>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</si>
  <si>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</si>
  <si>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</si>
  <si>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</si>
  <si>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</si>
  <si>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</si>
  <si>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</si>
  <si>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</si>
  <si>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</si>
  <si>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</si>
  <si>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</si>
  <si>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</si>
  <si>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</si>
  <si>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</si>
  <si>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</si>
  <si>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</si>
  <si>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</si>
  <si>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</si>
  <si>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</si>
  <si>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</si>
  <si>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</si>
  <si>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</si>
  <si>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</si>
  <si>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</si>
  <si>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</si>
  <si>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</si>
  <si>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</si>
  <si>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</si>
  <si>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</si>
  <si>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</si>
  <si>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</si>
  <si>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</si>
  <si>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</si>
  <si>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</si>
  <si>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</si>
  <si>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</si>
  <si>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</si>
  <si>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</si>
  <si>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</si>
  <si>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</si>
  <si>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</si>
  <si>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</si>
  <si>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</si>
  <si>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</si>
  <si>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</si>
  <si>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</si>
  <si>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</si>
  <si>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</si>
  <si>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</si>
  <si>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</si>
  <si>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</si>
  <si>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</si>
  <si>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</si>
  <si>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</si>
  <si>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</si>
  <si>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</si>
  <si>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</si>
  <si>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</si>
  <si>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</si>
  <si>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</si>
  <si>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</si>
  <si>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</si>
  <si>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</si>
  <si>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</si>
  <si>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</si>
  <si>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</si>
  <si>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</si>
  <si>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</si>
  <si>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</si>
  <si>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</si>
  <si>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</si>
  <si>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</si>
  <si>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</si>
  <si>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</si>
  <si>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</si>
  <si>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</si>
  <si>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</si>
  <si>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</si>
  <si>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</si>
  <si>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</si>
  <si>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</si>
  <si>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</si>
  <si>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</si>
  <si>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</si>
  <si>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</si>
  <si>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</si>
  <si>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</si>
  <si>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</si>
  <si>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</si>
  <si>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</si>
  <si>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</si>
  <si>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</si>
  <si>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</si>
  <si>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</si>
  <si>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</si>
  <si>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</si>
  <si>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</si>
  <si>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</si>
  <si>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</si>
  <si>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</si>
  <si>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</si>
  <si>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</si>
  <si>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</si>
  <si>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</si>
  <si>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</si>
  <si>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</si>
  <si>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</si>
  <si>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</si>
  <si>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</si>
  <si>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</si>
  <si>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</si>
  <si>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</si>
  <si>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</si>
  <si>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</si>
  <si>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</si>
  <si>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</si>
  <si>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</si>
  <si>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</si>
  <si>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</si>
  <si>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</si>
  <si>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</si>
  <si>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</si>
  <si>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</si>
  <si>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</si>
  <si>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</si>
  <si>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</si>
  <si>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</si>
  <si>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</si>
  <si>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</si>
  <si>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</si>
  <si>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</si>
  <si>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</si>
  <si>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</si>
  <si>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</si>
  <si>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</si>
  <si>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</si>
  <si>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</si>
  <si>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</si>
  <si>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</si>
  <si>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</si>
  <si>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</si>
  <si>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</si>
  <si>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</si>
  <si>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</si>
  <si>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</si>
  <si>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</si>
  <si>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</si>
  <si>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</si>
  <si>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</si>
  <si>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</si>
  <si>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</si>
  <si>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</si>
  <si>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</si>
  <si>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</si>
  <si>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</si>
  <si>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</si>
  <si>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</si>
  <si>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</si>
  <si>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</si>
  <si>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</si>
  <si>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</si>
  <si>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</si>
  <si>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</si>
  <si>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</si>
  <si>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</si>
  <si>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</si>
  <si>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</si>
  <si>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</si>
  <si>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</si>
  <si>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</si>
  <si>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</si>
  <si>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</si>
  <si>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</si>
  <si>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</si>
  <si>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</si>
  <si>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</si>
  <si>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</si>
  <si>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</si>
  <si>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</si>
  <si>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</si>
  <si>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</si>
  <si>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</si>
  <si>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</si>
  <si>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</si>
  <si>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</si>
  <si>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</si>
  <si>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</si>
  <si>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</si>
  <si>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</si>
  <si>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</si>
  <si>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</si>
  <si>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</si>
  <si>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</si>
  <si>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</si>
  <si>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</si>
  <si>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</si>
  <si>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</si>
  <si>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</si>
  <si>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</si>
  <si>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</si>
  <si>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</si>
  <si>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</si>
  <si>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</si>
  <si>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</si>
  <si>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</si>
  <si>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</si>
  <si>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</si>
  <si>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</si>
  <si>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</si>
  <si>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</si>
  <si>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</si>
  <si>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</si>
  <si>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</si>
  <si>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</si>
  <si>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</si>
  <si>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</si>
  <si>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</si>
  <si>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</si>
  <si>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</si>
  <si>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</si>
  <si>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</si>
  <si>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</si>
  <si>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</si>
  <si>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</si>
  <si>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</si>
  <si>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</si>
  <si>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</si>
  <si>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</si>
  <si>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</si>
  <si>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</si>
  <si>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</si>
  <si>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</si>
  <si>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</si>
  <si>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</si>
  <si>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</si>
  <si>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</si>
  <si>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</si>
  <si>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</si>
  <si>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</si>
  <si>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</si>
  <si>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</si>
  <si>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</si>
  <si>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</si>
  <si>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</si>
  <si>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</si>
  <si>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</si>
  <si>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</si>
  <si>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</si>
  <si>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</si>
  <si>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</si>
  <si>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</si>
  <si>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</si>
  <si>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</si>
  <si>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</si>
  <si>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</si>
  <si>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</si>
  <si>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</si>
  <si>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</si>
  <si>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</si>
  <si>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</si>
  <si>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</si>
  <si>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</si>
  <si>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</si>
  <si>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</si>
  <si>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</si>
  <si>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</si>
  <si>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</si>
  <si>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</si>
  <si>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</si>
  <si>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</si>
  <si>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</si>
  <si>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</si>
  <si>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</si>
  <si>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</si>
  <si>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</si>
  <si>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</si>
  <si>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</si>
  <si>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</si>
  <si>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</si>
  <si>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</si>
  <si>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</si>
  <si>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</si>
  <si>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</si>
  <si>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</si>
  <si>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</si>
  <si>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</si>
  <si>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</si>
  <si>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</si>
  <si>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</si>
  <si>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</si>
  <si>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</si>
  <si>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</si>
  <si>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</si>
  <si>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</si>
  <si>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</si>
  <si>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</si>
  <si>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</si>
  <si>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</si>
  <si>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</si>
  <si>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</si>
  <si>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</si>
  <si>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</si>
  <si>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</si>
  <si>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</si>
  <si>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</si>
  <si>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</si>
  <si>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</si>
  <si>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</si>
  <si>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</si>
  <si>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</si>
  <si>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</si>
  <si>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</si>
  <si>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</si>
  <si>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</si>
  <si>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</si>
  <si>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</si>
  <si>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</si>
  <si>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</si>
  <si>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</si>
  <si>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</si>
  <si>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</si>
  <si>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</si>
  <si>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</si>
  <si>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</si>
  <si>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</si>
  <si>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</si>
  <si>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</si>
  <si>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</si>
  <si>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</si>
  <si>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</si>
  <si>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</si>
  <si>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</si>
  <si>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</si>
  <si>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</si>
  <si>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</si>
  <si>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</si>
  <si>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</si>
  <si>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</si>
  <si>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</si>
  <si>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</si>
  <si>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</si>
  <si>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</si>
  <si>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</si>
  <si>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</si>
  <si>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</si>
  <si>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</si>
  <si>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</si>
  <si>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</si>
  <si>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</si>
  <si>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</si>
  <si>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</si>
  <si>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</si>
  <si>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</si>
  <si>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</si>
  <si>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</si>
  <si>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</si>
  <si>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</si>
  <si>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</si>
  <si>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</si>
  <si>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</si>
  <si>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</si>
  <si>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</si>
  <si>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</si>
  <si>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</si>
  <si>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</si>
  <si>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</si>
  <si>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</si>
  <si>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</si>
  <si>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</si>
  <si>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</si>
  <si>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</si>
  <si>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</si>
  <si>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</si>
  <si>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</si>
  <si>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</si>
  <si>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</si>
  <si>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</si>
  <si>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</si>
  <si>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</si>
  <si>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</si>
  <si>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</si>
  <si>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</si>
  <si>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</si>
  <si>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</si>
  <si>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</si>
  <si>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</si>
  <si>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</si>
  <si>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</si>
  <si>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</si>
  <si>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</si>
  <si>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</si>
  <si>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</si>
  <si>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</si>
  <si>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</si>
  <si>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</si>
  <si>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</si>
  <si>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</si>
  <si>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</si>
  <si>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</si>
  <si>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</si>
  <si>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</si>
  <si>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</si>
  <si>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</si>
  <si>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</si>
  <si>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</si>
  <si>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</si>
  <si>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</si>
  <si>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</si>
  <si>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</si>
  <si>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</si>
  <si>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</si>
  <si>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</si>
  <si>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</si>
  <si>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</si>
  <si>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</si>
  <si>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</si>
  <si>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</si>
  <si>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</si>
  <si>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</si>
  <si>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</si>
  <si>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</si>
  <si>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</si>
  <si>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</si>
  <si>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</si>
  <si>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</si>
  <si>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</si>
  <si>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</si>
  <si>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</si>
  <si>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</si>
  <si>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</si>
  <si>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</si>
  <si>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</si>
  <si>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</si>
  <si>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</si>
  <si>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</si>
  <si>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</si>
  <si>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</si>
  <si>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</si>
  <si>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</si>
  <si>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</si>
  <si>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</si>
  <si>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</si>
  <si>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</si>
  <si>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</si>
  <si>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</si>
  <si>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</si>
  <si>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</si>
  <si>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</si>
  <si>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</si>
  <si>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</si>
  <si>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</si>
  <si>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</si>
  <si>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</si>
  <si>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</si>
  <si>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</si>
  <si>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</si>
  <si>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</si>
  <si>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</si>
  <si>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</si>
  <si>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</si>
  <si>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</si>
  <si>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</si>
  <si>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</si>
  <si>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</si>
  <si>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</si>
  <si>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</si>
  <si>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</si>
  <si>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</si>
  <si>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</si>
  <si>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</si>
  <si>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</si>
  <si>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</si>
  <si>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</si>
  <si>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</si>
  <si>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</si>
  <si>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</si>
  <si>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</si>
  <si>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</si>
  <si>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</si>
  <si>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</si>
  <si>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</si>
  <si>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</si>
  <si>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</si>
  <si>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</si>
  <si>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</si>
  <si>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</si>
  <si>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</si>
  <si>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</si>
  <si>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</si>
  <si>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</si>
  <si>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</si>
  <si>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</si>
  <si>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</si>
  <si>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</si>
  <si>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</si>
  <si>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</si>
  <si>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</si>
  <si>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</si>
  <si>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</si>
  <si>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</si>
  <si>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</si>
  <si>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</si>
  <si>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</si>
  <si>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</si>
  <si>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</si>
  <si>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</si>
  <si>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</si>
  <si>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</si>
  <si>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</si>
  <si>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</si>
  <si>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</si>
  <si>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</si>
  <si>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</si>
  <si>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</si>
  <si>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</si>
  <si>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</si>
  <si>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</si>
  <si>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</si>
  <si>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</si>
  <si>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</si>
  <si>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</si>
  <si>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</si>
  <si>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</si>
  <si>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</si>
  <si>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</si>
  <si>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</si>
  <si>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</si>
  <si>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</si>
  <si>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</si>
  <si>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</si>
  <si>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</si>
  <si>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</si>
  <si>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</si>
  <si>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</si>
  <si>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</si>
  <si>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</si>
  <si>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</si>
  <si>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</si>
  <si>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</si>
  <si>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</si>
  <si>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</si>
  <si>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</si>
  <si>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</si>
  <si>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</si>
  <si>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</si>
  <si>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</si>
  <si>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</si>
  <si>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</si>
  <si>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</si>
  <si>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</si>
  <si>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</si>
  <si>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</si>
  <si>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</si>
  <si>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</si>
  <si>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</si>
  <si>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</si>
  <si>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</si>
  <si>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</si>
  <si>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</si>
  <si>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</si>
  <si>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</si>
  <si>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</si>
  <si>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</si>
  <si>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</si>
  <si>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</si>
  <si>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</si>
  <si>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</si>
  <si>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</si>
  <si>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</si>
  <si>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</si>
  <si>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</si>
  <si>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</si>
  <si>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</si>
  <si>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</si>
  <si>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</si>
  <si>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</si>
  <si>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</si>
  <si>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</si>
  <si>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</si>
  <si>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</si>
  <si>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</si>
  <si>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</si>
  <si>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</si>
  <si>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</si>
  <si>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</si>
  <si>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</si>
  <si>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</si>
  <si>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</si>
  <si>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</si>
  <si>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</si>
  <si>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</si>
  <si>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</si>
  <si>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</si>
  <si>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</si>
  <si>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</si>
  <si>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</si>
  <si>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</si>
  <si>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</si>
  <si>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</si>
  <si>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</si>
  <si>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</si>
  <si>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</si>
  <si>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</si>
  <si>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</si>
  <si>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</si>
  <si>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</si>
  <si>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</si>
  <si>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</si>
  <si>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</si>
  <si>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</si>
  <si>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</si>
  <si>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</si>
  <si>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</si>
  <si>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</si>
  <si>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</si>
  <si>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</si>
  <si>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</si>
  <si>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</si>
  <si>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</si>
  <si>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</si>
  <si>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</si>
  <si>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</si>
  <si>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</si>
  <si>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</si>
  <si>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</si>
  <si>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</si>
  <si>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</si>
  <si>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</si>
  <si>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</si>
  <si>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</si>
  <si>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</si>
  <si>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</si>
  <si>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</si>
  <si>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</si>
  <si>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</si>
  <si>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</si>
  <si>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</si>
  <si>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</si>
  <si>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</si>
  <si>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</si>
  <si>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</si>
  <si>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</si>
  <si>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</si>
  <si>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</si>
  <si>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</si>
  <si>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</si>
  <si>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</si>
  <si>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</si>
  <si>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</si>
  <si>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</si>
  <si>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</si>
  <si>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</si>
  <si>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</si>
  <si>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</si>
  <si>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</si>
  <si>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</si>
  <si>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</si>
  <si>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</si>
  <si>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</si>
  <si>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</si>
  <si>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</si>
  <si>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</si>
  <si>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</si>
  <si>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</si>
  <si>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</si>
  <si>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</si>
  <si>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</si>
  <si>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</si>
  <si>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</si>
  <si>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</si>
  <si>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</si>
  <si>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</si>
  <si>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</si>
  <si>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</si>
  <si>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</si>
  <si>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</si>
  <si>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</si>
  <si>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</si>
  <si>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</si>
  <si>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</si>
  <si>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</si>
  <si>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</si>
  <si>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</si>
  <si>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</si>
  <si>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</si>
  <si>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</si>
  <si>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</si>
  <si>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</si>
  <si>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</si>
  <si>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</si>
  <si>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</si>
  <si>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</si>
  <si>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</si>
  <si>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</si>
  <si>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</si>
  <si>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</si>
  <si>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</si>
  <si>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</si>
  <si>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</si>
  <si>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</si>
  <si>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</si>
  <si>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</si>
  <si>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</si>
  <si>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</si>
  <si>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</si>
  <si>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</si>
  <si>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</si>
  <si>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</si>
  <si>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</si>
  <si>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</si>
  <si>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</si>
  <si>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</si>
  <si>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</si>
  <si>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</si>
  <si>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</si>
  <si>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</si>
  <si>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</si>
  <si>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</si>
  <si>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</si>
  <si>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</si>
  <si>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</si>
  <si>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</si>
  <si>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</si>
  <si>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</si>
  <si>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</si>
  <si>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</si>
  <si>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</si>
  <si>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</si>
  <si>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</si>
  <si>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</si>
  <si>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</si>
  <si>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</si>
  <si>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</si>
  <si>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</si>
  <si>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</si>
  <si>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</si>
  <si>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</si>
  <si>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</si>
  <si>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</si>
  <si>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</si>
  <si>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</si>
  <si>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</si>
  <si>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</si>
  <si>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</si>
  <si>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</si>
  <si>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</si>
  <si>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</si>
  <si>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</si>
  <si>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</si>
  <si>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</si>
  <si>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</si>
  <si>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</si>
  <si>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</si>
  <si>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</si>
  <si>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</si>
  <si>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</si>
  <si>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</si>
  <si>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</si>
  <si>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</si>
  <si>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</si>
  <si>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</si>
  <si>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</si>
  <si>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</si>
  <si>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</si>
  <si>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</si>
  <si>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</si>
  <si>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</si>
  <si>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</si>
  <si>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</si>
  <si>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</si>
  <si>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</si>
  <si>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</si>
  <si>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</si>
  <si>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</si>
  <si>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</si>
  <si>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</si>
  <si>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</si>
  <si>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</si>
  <si>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</si>
  <si>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</si>
  <si>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</si>
  <si>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</si>
  <si>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</si>
  <si>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</si>
  <si>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</si>
  <si>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</si>
  <si>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</si>
  <si>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</si>
  <si>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</si>
  <si>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</si>
  <si>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</si>
  <si>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</si>
  <si>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</si>
  <si>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</si>
  <si>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</si>
  <si>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</si>
  <si>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</si>
  <si>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</si>
  <si>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</si>
  <si>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</si>
  <si>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</si>
  <si>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</si>
  <si>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</si>
  <si>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</si>
  <si>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</si>
  <si>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</si>
  <si>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</si>
  <si>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</si>
  <si>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</si>
  <si>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</si>
  <si>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</si>
  <si>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</si>
  <si>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</si>
  <si>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</si>
  <si>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</si>
  <si>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</si>
  <si>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</si>
  <si>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</si>
  <si>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</si>
  <si>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</si>
  <si>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</si>
  <si>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</si>
  <si>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</si>
  <si>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</si>
  <si>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</si>
  <si>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</si>
  <si>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</si>
  <si>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</si>
  <si>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</si>
  <si>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</si>
  <si>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</si>
  <si>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</si>
  <si>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</si>
  <si>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</si>
  <si>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</si>
  <si>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</si>
  <si>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</si>
  <si>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</si>
  <si>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</si>
  <si>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</si>
  <si>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</si>
  <si>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</si>
  <si>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</si>
  <si>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</si>
  <si>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</si>
  <si>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</si>
  <si>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</si>
  <si>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</si>
  <si>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</si>
  <si>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</si>
  <si>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</si>
  <si>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</si>
  <si>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</si>
  <si>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</si>
  <si>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</si>
  <si>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</si>
  <si>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</si>
  <si>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</si>
  <si>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</si>
  <si>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</si>
  <si>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</si>
  <si>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</si>
  <si>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</si>
  <si>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</si>
  <si>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</si>
  <si>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</si>
  <si>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</si>
  <si>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</si>
  <si>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</si>
  <si>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</si>
  <si>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</si>
  <si>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</si>
  <si>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</si>
  <si>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</si>
  <si>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</si>
  <si>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</si>
  <si>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</si>
  <si>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</si>
  <si>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</si>
  <si>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</si>
  <si>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</si>
  <si>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</si>
  <si>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</si>
  <si>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</si>
  <si>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</si>
  <si>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</si>
  <si>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</si>
  <si>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</si>
  <si>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</si>
  <si>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</si>
  <si>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</si>
  <si>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</si>
  <si>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</si>
  <si>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</si>
  <si>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</si>
  <si>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</si>
  <si>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</si>
  <si>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</si>
  <si>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</si>
  <si>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</si>
  <si>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</si>
  <si>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</si>
  <si>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</si>
  <si>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</si>
  <si>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</si>
  <si>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</si>
  <si>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</si>
  <si>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</si>
  <si>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</si>
  <si>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</si>
  <si>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</si>
  <si>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</si>
  <si>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</si>
  <si>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</si>
  <si>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</si>
  <si>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</si>
  <si>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</si>
  <si>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</si>
  <si>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</si>
  <si>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</si>
  <si>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</si>
  <si>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</si>
  <si>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</si>
  <si>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</si>
  <si>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</si>
  <si>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</si>
  <si>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</si>
  <si>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</si>
  <si>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</si>
  <si>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</si>
  <si>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</si>
  <si>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</si>
  <si>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</si>
  <si>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</si>
  <si>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</si>
  <si>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</si>
  <si>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</si>
  <si>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</si>
  <si>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</si>
  <si>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</si>
  <si>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</si>
  <si>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</si>
  <si>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</si>
  <si>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</si>
  <si>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</si>
  <si>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</si>
  <si>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</si>
  <si>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</si>
  <si>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</si>
  <si>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</si>
  <si>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</si>
  <si>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</si>
  <si>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</si>
  <si>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</si>
  <si>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</si>
  <si>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</si>
  <si>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</si>
  <si>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</si>
  <si>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</si>
  <si>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</si>
  <si>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</si>
  <si>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</si>
  <si>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</si>
  <si>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</si>
  <si>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</si>
  <si>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</si>
  <si>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</si>
  <si>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</si>
  <si>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</si>
  <si>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</si>
  <si>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</si>
  <si>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</si>
  <si>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</si>
  <si>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</si>
  <si>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</si>
  <si>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</si>
  <si>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</si>
  <si>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</si>
  <si>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</si>
  <si>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</si>
  <si>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</si>
  <si>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</si>
  <si>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</si>
  <si>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</si>
  <si>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</si>
  <si>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</si>
  <si>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</si>
  <si>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</si>
  <si>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</si>
  <si>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</si>
  <si>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</si>
  <si>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</si>
  <si>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</si>
  <si>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</si>
  <si>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</si>
  <si>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</si>
  <si>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</si>
  <si>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</si>
  <si>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</si>
  <si>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</si>
  <si>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</si>
  <si>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</si>
  <si>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</si>
  <si>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</si>
  <si>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</si>
  <si>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</si>
  <si>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</si>
  <si>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</si>
  <si>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</si>
  <si>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</si>
  <si>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</si>
  <si>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</si>
  <si>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</si>
  <si>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</si>
  <si>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</si>
  <si>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</si>
  <si>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</si>
  <si>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</si>
  <si>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</si>
  <si>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</si>
  <si>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</si>
  <si>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</si>
  <si>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</si>
  <si>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</si>
  <si>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</si>
  <si>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</si>
  <si>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</si>
  <si>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</si>
  <si>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</si>
  <si>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</si>
  <si>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</si>
  <si>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</si>
  <si>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</si>
  <si>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</si>
  <si>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</si>
  <si>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</si>
  <si>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</si>
  <si>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</si>
  <si>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</si>
  <si>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</si>
  <si>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</si>
  <si>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</si>
  <si>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</si>
  <si>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</si>
  <si>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</si>
  <si>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</si>
  <si>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</si>
  <si>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</si>
  <si>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</si>
  <si>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</si>
  <si>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</si>
  <si>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</si>
  <si>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</si>
  <si>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</si>
  <si>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</si>
  <si>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</si>
  <si>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</si>
  <si>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</si>
  <si>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</si>
  <si>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</si>
  <si>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</si>
  <si>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</si>
  <si>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</si>
  <si>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</si>
  <si>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</si>
  <si>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</si>
  <si>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</si>
  <si>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</si>
  <si>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</si>
  <si>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</si>
  <si>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</si>
  <si>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</si>
  <si>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</si>
  <si>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</si>
  <si>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</si>
  <si>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</si>
  <si>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</si>
  <si>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</si>
  <si>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</si>
  <si>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</si>
  <si>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</si>
  <si>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</si>
  <si>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</si>
  <si>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</si>
  <si>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</si>
  <si>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</si>
  <si>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</si>
  <si>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</si>
  <si>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</si>
  <si>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</si>
  <si>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</si>
  <si>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</si>
  <si>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</si>
  <si>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</si>
  <si>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</si>
  <si>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</si>
  <si>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</si>
  <si>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</si>
  <si>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</si>
  <si>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</si>
  <si>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</si>
  <si>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</si>
  <si>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</si>
  <si>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</si>
  <si>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</si>
  <si>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</si>
  <si>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</si>
  <si>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</si>
  <si>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</si>
  <si>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</si>
  <si>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</si>
  <si>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</si>
  <si>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</si>
  <si>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</si>
  <si>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</si>
  <si>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</si>
  <si>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</si>
  <si>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</si>
  <si>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</si>
  <si>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</si>
  <si>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</si>
  <si>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</si>
  <si>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</si>
  <si>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</si>
  <si>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</si>
  <si>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</si>
  <si>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</si>
  <si>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</si>
  <si>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</si>
  <si>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</si>
  <si>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</si>
  <si>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</si>
  <si>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</si>
  <si>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</si>
  <si>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</si>
  <si>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</si>
  <si>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</si>
  <si>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</si>
  <si>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</si>
  <si>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</si>
  <si>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</si>
  <si>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</si>
  <si>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</si>
  <si>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</si>
  <si>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</si>
  <si>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</si>
  <si>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</si>
  <si>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</si>
  <si>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</si>
  <si>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</si>
  <si>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</si>
  <si>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</si>
  <si>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</si>
  <si>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</si>
  <si>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</si>
  <si>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</si>
  <si>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</si>
  <si>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</si>
  <si>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</si>
  <si>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</si>
  <si>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</si>
  <si>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</si>
  <si>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</si>
  <si>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</si>
  <si>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</si>
  <si>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</si>
  <si>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</si>
  <si>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</si>
  <si>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</si>
  <si>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</si>
  <si>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</si>
  <si>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</si>
  <si>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</si>
  <si>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</si>
  <si>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</si>
  <si>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</si>
  <si>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</si>
  <si>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</si>
  <si>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</si>
  <si>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</si>
  <si>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</si>
  <si>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</si>
  <si>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</si>
  <si>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</si>
  <si>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</si>
  <si>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</si>
  <si>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</si>
  <si>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</si>
  <si>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</si>
  <si>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</si>
  <si>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</si>
  <si>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</si>
  <si>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</si>
  <si>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</si>
  <si>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</si>
  <si>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</si>
  <si>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</si>
  <si>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</si>
  <si>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</si>
  <si>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</si>
  <si>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</si>
  <si>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</si>
  <si>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</si>
  <si>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</si>
  <si>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</si>
  <si>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</si>
  <si>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</si>
  <si>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</si>
  <si>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</si>
  <si>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</si>
  <si>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</si>
  <si>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</si>
  <si>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</si>
  <si>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</si>
  <si>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</si>
  <si>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</si>
  <si>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</si>
  <si>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</si>
  <si>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</si>
  <si>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</si>
  <si>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</si>
  <si>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</si>
  <si>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</si>
  <si>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</si>
  <si>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</si>
  <si>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</si>
  <si>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</si>
  <si>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</si>
  <si>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</si>
  <si>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</si>
  <si>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</si>
  <si>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</si>
  <si>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</si>
  <si>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</si>
  <si>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</si>
  <si>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</si>
  <si>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</si>
  <si>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</si>
  <si>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</si>
  <si>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</si>
  <si>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</si>
  <si>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</si>
  <si>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</si>
  <si>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</si>
  <si>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</si>
  <si>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</si>
  <si>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</si>
  <si>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</si>
  <si>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</si>
  <si>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</si>
  <si>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</si>
  <si>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</si>
  <si>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</si>
  <si>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</si>
  <si>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</si>
  <si>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</si>
  <si>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</si>
  <si>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</si>
  <si>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</si>
  <si>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</si>
  <si>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</si>
  <si>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</si>
  <si>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</si>
  <si>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</si>
  <si>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</si>
  <si>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</si>
  <si>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</si>
  <si>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</si>
  <si>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</si>
  <si>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</si>
  <si>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</si>
  <si>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</si>
  <si>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</si>
  <si>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</si>
  <si>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</si>
  <si>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</si>
  <si>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</si>
  <si>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</si>
  <si>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</si>
  <si>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</si>
  <si>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</si>
  <si>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</si>
  <si>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</si>
  <si>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</si>
  <si>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</si>
  <si>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</si>
  <si>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</si>
  <si>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</si>
  <si>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</si>
  <si>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</si>
  <si>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</si>
  <si>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</si>
  <si>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</si>
  <si>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</si>
  <si>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</si>
  <si>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</si>
  <si>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</si>
  <si>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</si>
  <si>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</si>
  <si>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</si>
  <si>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</si>
  <si>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</si>
  <si>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</si>
  <si>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</si>
  <si>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</si>
  <si>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</si>
  <si>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</si>
  <si>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</si>
  <si>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</si>
  <si>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</si>
  <si>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</si>
  <si>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</si>
  <si>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</si>
  <si>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</si>
  <si>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</si>
  <si>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</si>
  <si>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</si>
  <si>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</si>
  <si>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</si>
  <si>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</si>
  <si>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</si>
  <si>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</si>
  <si>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</si>
  <si>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</si>
  <si>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</si>
  <si>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</si>
  <si>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</si>
  <si>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</si>
  <si>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</si>
  <si>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</si>
  <si>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</si>
  <si>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</si>
  <si>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</si>
  <si>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</si>
  <si>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</si>
  <si>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</si>
  <si>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</si>
  <si>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</si>
  <si>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</si>
  <si>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</si>
  <si>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</si>
  <si>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</si>
  <si>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</si>
  <si>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</si>
  <si>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</si>
  <si>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</si>
  <si>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</si>
  <si>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</si>
  <si>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</si>
  <si>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</si>
  <si>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</si>
  <si>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</si>
  <si>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</si>
  <si>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</si>
  <si>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</si>
  <si>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</si>
  <si>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</si>
  <si>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</si>
  <si>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</si>
  <si>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</si>
  <si>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</si>
  <si>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</si>
  <si>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</si>
  <si>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</si>
  <si>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</si>
  <si>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</si>
  <si>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</si>
  <si>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</si>
  <si>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</si>
  <si>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</si>
  <si>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</si>
  <si>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</si>
  <si>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</si>
  <si>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</si>
  <si>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</si>
  <si>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</si>
  <si>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</si>
  <si>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</si>
  <si>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</si>
  <si>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</si>
  <si>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</si>
  <si>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</si>
  <si>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</si>
  <si>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</si>
  <si>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</si>
  <si>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</si>
  <si>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</si>
  <si>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</si>
  <si>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</si>
  <si>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</si>
  <si>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</si>
  <si>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</si>
  <si>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</si>
  <si>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</si>
  <si>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</si>
  <si>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</si>
  <si>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</si>
  <si>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</si>
  <si>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</si>
  <si>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</si>
  <si>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</si>
  <si>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</si>
  <si>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</si>
  <si>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</si>
  <si>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</si>
  <si>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</si>
  <si>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</si>
  <si>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</si>
  <si>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</si>
  <si>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</si>
  <si>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</si>
  <si>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</si>
  <si>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</si>
  <si>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</si>
  <si>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</si>
  <si>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</si>
  <si>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</si>
  <si>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</si>
  <si>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</si>
  <si>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</si>
  <si>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</si>
  <si>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</si>
  <si>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</si>
  <si>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</si>
  <si>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</si>
  <si>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</si>
  <si>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</si>
  <si>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</si>
  <si>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</si>
  <si>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</si>
  <si>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</si>
  <si>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</si>
  <si>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</si>
  <si>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</si>
  <si>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</si>
  <si>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</si>
  <si>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</si>
  <si>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</si>
  <si>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</si>
  <si>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</si>
  <si>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</si>
  <si>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</si>
  <si>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</si>
  <si>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</si>
  <si>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</si>
  <si>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</si>
  <si>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</si>
  <si>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</si>
  <si>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</si>
  <si>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</si>
  <si>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</si>
  <si>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</si>
  <si>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</si>
  <si>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</si>
  <si>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</si>
  <si>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</si>
  <si>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</si>
  <si>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</si>
  <si>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</si>
  <si>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</si>
  <si>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</si>
  <si>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</si>
  <si>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</si>
  <si>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</si>
  <si>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</si>
  <si>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</si>
  <si>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</si>
  <si>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</si>
  <si>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</si>
  <si>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</si>
  <si>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</si>
  <si>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</si>
  <si>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</si>
  <si>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</si>
  <si>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</si>
  <si>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</si>
  <si>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</si>
  <si>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</si>
  <si>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</si>
  <si>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</si>
  <si>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</si>
  <si>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</si>
  <si>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</si>
  <si>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</si>
  <si>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</si>
  <si>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</si>
  <si>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</si>
  <si>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</si>
  <si>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</si>
  <si>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</si>
  <si>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</si>
  <si>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</si>
  <si>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</si>
  <si>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</si>
  <si>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</si>
  <si>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</si>
  <si>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</si>
  <si>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</si>
  <si>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</si>
  <si>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</si>
  <si>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</si>
  <si>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</si>
  <si>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</si>
  <si>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</si>
  <si>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</si>
  <si>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</si>
  <si>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</si>
  <si>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</si>
  <si>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</si>
  <si>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</si>
  <si>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</si>
  <si>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</si>
  <si>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</si>
  <si>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</si>
  <si>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</si>
  <si>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</si>
  <si>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</si>
  <si>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</si>
  <si>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</si>
  <si>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</si>
  <si>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</si>
  <si>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</si>
  <si>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</si>
  <si>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</si>
  <si>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</si>
  <si>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</si>
  <si>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</si>
  <si>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</si>
  <si>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</si>
  <si>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</si>
  <si>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</si>
  <si>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</si>
  <si>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</si>
  <si>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</si>
  <si>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</si>
  <si>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</si>
  <si>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</si>
  <si>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</si>
  <si>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</si>
  <si>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</si>
  <si>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</si>
  <si>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</si>
  <si>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</si>
  <si>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</si>
  <si>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</si>
  <si>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</si>
  <si>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</si>
  <si>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</si>
  <si>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</si>
  <si>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</si>
  <si>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</si>
  <si>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</si>
  <si>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</si>
  <si>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</si>
  <si>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</si>
  <si>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</si>
  <si>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</si>
  <si>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</si>
  <si>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</si>
  <si>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</si>
  <si>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</si>
  <si>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</si>
  <si>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</si>
  <si>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</si>
  <si>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</si>
  <si>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</si>
  <si>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</si>
  <si>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</si>
  <si>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</si>
  <si>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</si>
  <si>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</si>
  <si>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</si>
  <si>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</si>
  <si>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</si>
  <si>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</si>
  <si>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</si>
  <si>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</si>
  <si>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</si>
  <si>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</si>
  <si>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</si>
  <si>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</si>
  <si>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</si>
  <si>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</si>
  <si>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</si>
  <si>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</si>
  <si>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</si>
  <si>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</si>
  <si>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</si>
  <si>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</si>
  <si>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</si>
  <si>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</si>
  <si>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</si>
  <si>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</si>
  <si>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</si>
  <si>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</si>
  <si>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</si>
  <si>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</si>
  <si>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</si>
  <si>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</si>
  <si>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</si>
  <si>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</si>
  <si>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</si>
  <si>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</si>
  <si>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</si>
  <si>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</si>
  <si>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</si>
  <si>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</si>
  <si>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</si>
  <si>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</si>
  <si>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</si>
  <si>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</si>
  <si>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</si>
  <si>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</si>
  <si>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</si>
  <si>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</si>
  <si>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</si>
  <si>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</si>
  <si>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</si>
  <si>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</si>
  <si>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</si>
  <si>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</si>
  <si>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</si>
  <si>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</si>
  <si>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</si>
  <si>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</si>
  <si>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</si>
  <si>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</si>
  <si>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</si>
  <si>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</si>
  <si>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</si>
  <si>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</si>
  <si>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</si>
  <si>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</si>
  <si>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</si>
  <si>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</si>
  <si>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</si>
  <si>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</si>
  <si>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</si>
  <si>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</si>
  <si>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</si>
  <si>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</si>
  <si>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</si>
  <si>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</si>
  <si>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</si>
  <si>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</si>
  <si>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</si>
  <si>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</si>
  <si>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</si>
  <si>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</si>
  <si>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</si>
  <si>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</si>
  <si>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</si>
  <si>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</si>
  <si>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</si>
  <si>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</si>
  <si>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</si>
  <si>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</si>
  <si>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</si>
  <si>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</si>
  <si>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</si>
  <si>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</si>
  <si>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</si>
  <si>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</si>
  <si>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</si>
  <si>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</si>
  <si>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</si>
  <si>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</si>
  <si>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</si>
  <si>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</si>
  <si>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</si>
  <si>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</si>
  <si>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</si>
  <si>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</si>
  <si>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</si>
  <si>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</si>
  <si>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</si>
  <si>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</si>
  <si>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</si>
  <si>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</si>
  <si>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</si>
  <si>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</si>
  <si>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</si>
  <si>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</si>
  <si>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</si>
  <si>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</si>
  <si>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</si>
  <si>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</si>
  <si>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</si>
  <si>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</si>
  <si>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</si>
  <si>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</si>
  <si>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</si>
  <si>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</si>
  <si>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</si>
  <si>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</si>
  <si>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</si>
  <si>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</si>
  <si>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</si>
  <si>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</si>
  <si>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</si>
  <si>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</si>
  <si>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</si>
  <si>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</si>
  <si>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</si>
  <si>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</si>
  <si>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</si>
  <si>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</si>
  <si>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</si>
  <si>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</si>
  <si>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</si>
  <si>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</si>
  <si>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</si>
  <si>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</si>
  <si>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</si>
  <si>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</si>
  <si>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</si>
  <si>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</si>
  <si>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</si>
  <si>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</si>
  <si>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</si>
  <si>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</si>
  <si>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</si>
  <si>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</si>
  <si>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</si>
  <si>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</si>
  <si>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</si>
  <si>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</si>
  <si>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</si>
  <si>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</si>
  <si>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</si>
  <si>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</si>
  <si>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</si>
  <si>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</si>
  <si>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</si>
  <si>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</si>
  <si>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</si>
  <si>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</si>
  <si>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</si>
  <si>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</si>
  <si>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</si>
  <si>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</si>
  <si>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</si>
  <si>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</si>
  <si>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</si>
  <si>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</si>
  <si>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</si>
  <si>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</si>
  <si>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</si>
  <si>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</si>
  <si>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</si>
  <si>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</si>
  <si>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</si>
  <si>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</si>
  <si>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</si>
  <si>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</si>
  <si>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</si>
  <si>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</si>
  <si>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</si>
  <si>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</si>
  <si>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</si>
  <si>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</si>
  <si>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</si>
  <si>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</si>
  <si>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</si>
  <si>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</si>
  <si>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</si>
  <si>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</si>
  <si>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</si>
  <si>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</si>
  <si>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</si>
  <si>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</si>
  <si>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</si>
  <si>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</si>
  <si>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</si>
  <si>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</si>
  <si>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</si>
  <si>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</si>
  <si>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</si>
  <si>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</si>
  <si>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</si>
  <si>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</si>
  <si>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</si>
  <si>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</si>
  <si>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</si>
  <si>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</si>
  <si>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</si>
  <si>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</si>
  <si>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</si>
  <si>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</si>
  <si>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</si>
  <si>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</si>
  <si>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</si>
  <si>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</si>
  <si>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</si>
  <si>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</si>
  <si>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</si>
  <si>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</si>
  <si>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</si>
  <si>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</si>
  <si>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</si>
  <si>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</si>
  <si>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</si>
  <si>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</si>
  <si>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</si>
  <si>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</si>
  <si>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</si>
  <si>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</si>
  <si>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</si>
  <si>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</si>
  <si>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</si>
  <si>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</si>
  <si>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</si>
  <si>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</si>
  <si>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</si>
  <si>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</si>
  <si>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</si>
  <si>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</si>
  <si>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</si>
  <si>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</si>
  <si>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</si>
  <si>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</si>
  <si>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</si>
  <si>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</si>
  <si>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</si>
  <si>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</si>
  <si>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</si>
  <si>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</si>
  <si>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</si>
  <si>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</si>
  <si>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</si>
  <si>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</si>
  <si>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</si>
  <si>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</si>
  <si>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</si>
  <si>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</si>
  <si>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</si>
  <si>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</si>
  <si>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</si>
  <si>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</si>
  <si>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</si>
  <si>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</si>
  <si>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</si>
  <si>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</si>
  <si>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</si>
  <si>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</si>
  <si>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</si>
  <si>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</si>
  <si>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</si>
  <si>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</si>
  <si>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</si>
  <si>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</si>
  <si>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</si>
  <si>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</si>
  <si>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</si>
  <si>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</si>
  <si>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</si>
  <si>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</si>
  <si>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</si>
  <si>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</si>
  <si>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</si>
  <si>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</si>
  <si>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</si>
  <si>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</si>
  <si>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</si>
  <si>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</si>
  <si>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</si>
  <si>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</si>
  <si>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</si>
  <si>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</si>
  <si>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</si>
  <si>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</si>
  <si>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</si>
  <si>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</si>
  <si>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</si>
  <si>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</si>
  <si>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</si>
  <si>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</si>
  <si>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</si>
  <si>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</si>
  <si>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</si>
  <si>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</si>
  <si>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</si>
  <si>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</si>
  <si>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</si>
  <si>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</si>
  <si>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</si>
  <si>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</si>
  <si>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</si>
  <si>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</si>
  <si>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</si>
  <si>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</si>
  <si>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</si>
  <si>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</si>
  <si>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</si>
  <si>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</si>
  <si>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</si>
  <si>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</si>
  <si>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</si>
  <si>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</si>
  <si>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</si>
  <si>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</si>
  <si>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</si>
  <si>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</si>
  <si>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</si>
  <si>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</si>
  <si>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</si>
  <si>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</si>
  <si>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</si>
  <si>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</si>
  <si>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</si>
  <si>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</si>
  <si>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</si>
  <si>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</si>
  <si>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</si>
  <si>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</si>
  <si>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</si>
  <si>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</si>
  <si>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</si>
  <si>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</si>
  <si>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</si>
  <si>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</si>
  <si>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</si>
  <si>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</si>
  <si>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</si>
  <si>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</si>
  <si>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</si>
  <si>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</si>
  <si>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</si>
  <si>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</si>
  <si>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</si>
  <si>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</si>
  <si>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</si>
  <si>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</si>
  <si>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</si>
  <si>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</si>
  <si>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</si>
  <si>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</si>
  <si>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</si>
  <si>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</si>
  <si>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</si>
  <si>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</si>
  <si>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</si>
  <si>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</si>
  <si>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</si>
  <si>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</si>
  <si>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</si>
  <si>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</si>
  <si>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</si>
  <si>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</si>
  <si>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</si>
  <si>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</si>
  <si>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</si>
  <si>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</si>
  <si>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</si>
  <si>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</si>
  <si>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</si>
  <si>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</si>
  <si>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</si>
  <si>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</si>
  <si>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</si>
  <si>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</si>
  <si>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</si>
  <si>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</si>
  <si>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</si>
  <si>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</si>
  <si>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</si>
  <si>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</si>
  <si>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</si>
  <si>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</si>
  <si>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</si>
  <si>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</si>
  <si>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</si>
  <si>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</si>
  <si>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</si>
  <si>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</si>
  <si>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</si>
  <si>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</si>
  <si>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</si>
  <si>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</si>
  <si>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</si>
  <si>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</si>
  <si>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</si>
  <si>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</si>
  <si>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</si>
  <si>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</si>
  <si>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</si>
  <si>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</si>
  <si>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</si>
  <si>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</si>
  <si>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</si>
  <si>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</si>
  <si>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</si>
  <si>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</si>
  <si>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</si>
  <si>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</si>
  <si>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</si>
  <si>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</si>
  <si>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</si>
  <si>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</si>
  <si>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</si>
  <si>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</si>
  <si>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</si>
  <si>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</si>
  <si>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</si>
  <si>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</si>
  <si>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</si>
  <si>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</si>
  <si>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</si>
  <si>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</si>
  <si>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</si>
  <si>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</si>
  <si>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</si>
  <si>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</si>
  <si>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</si>
  <si>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</si>
  <si>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</si>
  <si>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</si>
  <si>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</si>
  <si>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</si>
  <si>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</si>
  <si>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</si>
  <si>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</si>
  <si>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</si>
  <si>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</si>
  <si>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</si>
  <si>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</si>
  <si>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</si>
  <si>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</si>
  <si>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</si>
  <si>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</si>
  <si>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</si>
  <si>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</si>
  <si>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</si>
  <si>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</si>
  <si>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</si>
  <si>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</si>
  <si>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</si>
  <si>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</si>
  <si>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</si>
  <si>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</si>
  <si>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</si>
  <si>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</si>
  <si>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</si>
  <si>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</si>
  <si>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</si>
  <si>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</si>
  <si>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</si>
  <si>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</si>
  <si>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</si>
  <si>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</si>
  <si>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</si>
  <si>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</si>
  <si>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</si>
  <si>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</si>
  <si>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</si>
  <si>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</si>
  <si>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</si>
  <si>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</si>
  <si>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</si>
  <si>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</si>
  <si>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</si>
  <si>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</si>
  <si>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</si>
  <si>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</si>
  <si>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</si>
  <si>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</si>
  <si>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</si>
  <si>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</si>
  <si>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</si>
  <si>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</si>
  <si>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</si>
  <si>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</si>
  <si>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</si>
  <si>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</si>
  <si>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</si>
  <si>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</si>
  <si>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</si>
  <si>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</si>
  <si>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</si>
  <si>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</si>
  <si>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</si>
  <si>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</si>
  <si>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</si>
  <si>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</si>
  <si>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</si>
  <si>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</si>
  <si>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</si>
  <si>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</si>
  <si>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</si>
  <si>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</si>
  <si>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</si>
  <si>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</si>
  <si>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</si>
  <si>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</si>
  <si>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</si>
  <si>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</si>
  <si>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</si>
  <si>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</si>
  <si>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</si>
  <si>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</si>
  <si>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</si>
  <si>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</si>
  <si>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</si>
  <si>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</si>
  <si>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</si>
  <si>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</si>
  <si>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</si>
  <si>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</si>
  <si>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</si>
  <si>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</si>
  <si>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</si>
  <si>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</si>
  <si>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</si>
  <si>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</si>
  <si>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</si>
  <si>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</si>
  <si>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</si>
  <si>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</si>
  <si>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</si>
  <si>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</si>
  <si>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</si>
  <si>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</si>
  <si>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</si>
  <si>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</si>
  <si>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</si>
  <si>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</si>
  <si>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</si>
  <si>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</si>
  <si>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</si>
  <si>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</si>
  <si>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</si>
  <si>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</si>
  <si>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</si>
  <si>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</si>
  <si>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</si>
  <si>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</si>
  <si>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</si>
  <si>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</si>
  <si>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</si>
  <si>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</si>
  <si>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</si>
  <si>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</si>
  <si>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</si>
  <si>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</si>
  <si>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</si>
  <si>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</si>
  <si>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</si>
  <si>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</si>
  <si>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</si>
  <si>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</si>
  <si>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</si>
  <si>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</si>
  <si>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</si>
  <si>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</si>
  <si>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</si>
  <si>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</si>
  <si>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</si>
  <si>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</si>
  <si>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</si>
  <si>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</si>
  <si>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</si>
  <si>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</si>
  <si>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</si>
  <si>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</si>
  <si>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</si>
  <si>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</si>
  <si>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</si>
  <si>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</si>
  <si>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</si>
  <si>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</si>
  <si>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</si>
  <si>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</si>
  <si>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</si>
  <si>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</si>
  <si>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</si>
  <si>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</si>
  <si>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</si>
  <si>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</si>
  <si>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</si>
  <si>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</si>
  <si>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</si>
  <si>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</si>
  <si>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</si>
  <si>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</si>
  <si>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</si>
  <si>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</si>
  <si>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</si>
  <si>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</si>
  <si>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</si>
  <si>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</si>
  <si>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</si>
  <si>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</si>
  <si>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</si>
  <si>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</si>
  <si>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</si>
  <si>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</si>
  <si>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</si>
  <si>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</si>
  <si>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</si>
  <si>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</si>
  <si>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</si>
  <si>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</si>
  <si>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</si>
  <si>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</si>
  <si>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</si>
  <si>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</si>
  <si>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</si>
  <si>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</si>
  <si>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</si>
  <si>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</si>
  <si>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</si>
  <si>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</si>
  <si>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</si>
  <si>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</si>
  <si>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</si>
  <si>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</si>
  <si>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</si>
  <si>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</si>
  <si>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</si>
  <si>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</si>
  <si>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</si>
  <si>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</si>
  <si>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</si>
  <si>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</si>
  <si>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</si>
  <si>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</si>
  <si>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</si>
  <si>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</si>
  <si>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</si>
  <si>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</si>
  <si>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</si>
  <si>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</si>
  <si>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</si>
  <si>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</si>
  <si>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</si>
  <si>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</si>
  <si>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</si>
  <si>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</si>
  <si>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</si>
  <si>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</si>
  <si>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</si>
  <si>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</si>
  <si>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</si>
  <si>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</si>
  <si>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</si>
  <si>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</si>
  <si>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</si>
  <si>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</si>
  <si>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</si>
  <si>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</si>
  <si>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</si>
  <si>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</si>
  <si>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</si>
  <si>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</si>
  <si>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</si>
  <si>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</si>
  <si>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</si>
  <si>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</si>
  <si>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</si>
  <si>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</si>
  <si>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</si>
  <si>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</si>
  <si>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</si>
  <si>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</si>
  <si>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</si>
  <si>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</si>
  <si>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</si>
  <si>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</si>
  <si>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</si>
  <si>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</si>
  <si>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</si>
  <si>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</si>
  <si>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</si>
  <si>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</si>
  <si>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</si>
  <si>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</si>
  <si>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</si>
  <si>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</si>
  <si>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</si>
  <si>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</si>
  <si>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</si>
  <si>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</si>
  <si>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</si>
  <si>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</si>
  <si>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</si>
  <si>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</si>
  <si>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</si>
  <si>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</si>
  <si>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</si>
  <si>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</si>
  <si>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</si>
  <si>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</si>
  <si>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</si>
  <si>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</si>
  <si>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</si>
  <si>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</si>
  <si>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</si>
  <si>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</si>
  <si>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</si>
  <si>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</si>
  <si>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</si>
  <si>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</si>
  <si>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</si>
  <si>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</si>
  <si>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</si>
  <si>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</si>
  <si>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</si>
  <si>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</si>
  <si>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</si>
  <si>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</si>
  <si>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</si>
  <si>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</si>
  <si>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</si>
  <si>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</si>
  <si>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</si>
  <si>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</si>
  <si>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</si>
  <si>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</si>
  <si>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</si>
  <si>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</si>
  <si>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</si>
  <si>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</si>
  <si>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</si>
  <si>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</si>
  <si>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</si>
  <si>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</si>
  <si>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</si>
  <si>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</si>
  <si>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</si>
  <si>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</si>
  <si>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</si>
  <si>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</si>
  <si>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</si>
  <si>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</si>
  <si>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</si>
  <si>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</si>
  <si>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</si>
  <si>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</si>
  <si>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</si>
  <si>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</si>
  <si>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</si>
  <si>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</si>
  <si>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</si>
  <si>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</si>
  <si>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</si>
  <si>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</si>
  <si>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</si>
  <si>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</si>
  <si>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</si>
  <si>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</si>
  <si>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</si>
  <si>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</si>
  <si>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</si>
  <si>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</si>
  <si>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</si>
  <si>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</si>
  <si>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</si>
  <si>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</si>
  <si>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</si>
  <si>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</si>
  <si>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</si>
  <si>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</si>
  <si>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</si>
  <si>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</si>
  <si>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</si>
  <si>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</si>
  <si>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</si>
  <si>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</si>
  <si>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</si>
  <si>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</si>
  <si>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</si>
  <si>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</si>
  <si>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</si>
  <si>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</si>
  <si>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</si>
  <si>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</si>
  <si>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</si>
  <si>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</si>
  <si>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</si>
  <si>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</si>
  <si>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</si>
  <si>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</si>
  <si>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</si>
  <si>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</si>
  <si>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</si>
  <si>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</si>
  <si>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</si>
  <si>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</si>
  <si>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</si>
  <si>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</si>
  <si>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</si>
  <si>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</si>
  <si>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</si>
  <si>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</si>
  <si>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</si>
  <si>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</si>
  <si>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</si>
  <si>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</si>
  <si>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</si>
  <si>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</si>
  <si>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</si>
  <si>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</si>
  <si>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</si>
  <si>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</si>
  <si>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</si>
  <si>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</si>
  <si>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</si>
  <si>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</si>
  <si>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</si>
  <si>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</si>
  <si>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</si>
  <si>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</si>
  <si>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</si>
  <si>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</si>
  <si>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</si>
  <si>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</si>
  <si>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</si>
  <si>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</si>
  <si>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</si>
  <si>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</si>
  <si>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</si>
  <si>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</si>
  <si>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</si>
  <si>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</si>
  <si>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</si>
  <si>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</si>
  <si>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</si>
  <si>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</si>
  <si>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</si>
  <si>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</si>
  <si>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</si>
  <si>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</si>
  <si>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</si>
  <si>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</si>
  <si>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</si>
  <si>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</si>
  <si>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</si>
  <si>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</si>
  <si>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</si>
  <si>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</si>
  <si>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</si>
  <si>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</si>
  <si>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</si>
  <si>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</si>
  <si>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</si>
  <si>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</si>
  <si>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</si>
  <si>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</si>
  <si>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</si>
  <si>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</si>
  <si>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</si>
  <si>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</si>
  <si>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</si>
  <si>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</si>
  <si>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</si>
  <si>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</si>
  <si>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</si>
  <si>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</si>
  <si>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</si>
  <si>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</si>
  <si>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</si>
  <si>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</si>
  <si>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</si>
  <si>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</si>
  <si>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</si>
  <si>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</si>
  <si>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</si>
  <si>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</si>
  <si>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</si>
  <si>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</si>
  <si>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</si>
  <si>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</si>
  <si>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</si>
  <si>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</si>
  <si>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</si>
  <si>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</si>
  <si>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</si>
  <si>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</si>
  <si>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</si>
  <si>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</si>
  <si>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</si>
  <si>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</si>
  <si>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</si>
  <si>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</si>
  <si>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</si>
  <si>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</si>
  <si>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</si>
  <si>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</si>
  <si>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</si>
  <si>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</si>
  <si>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</si>
  <si>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</si>
  <si>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</si>
  <si>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</si>
  <si>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</si>
  <si>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</si>
  <si>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</si>
  <si>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</si>
  <si>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</si>
  <si>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</si>
  <si>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</si>
  <si>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</si>
  <si>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</si>
  <si>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</si>
  <si>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</si>
  <si>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</si>
  <si>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</si>
  <si>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</si>
  <si>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</si>
  <si>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</si>
  <si>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</si>
  <si>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</si>
  <si>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</si>
  <si>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</si>
  <si>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</si>
  <si>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</si>
  <si>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</si>
  <si>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</si>
  <si>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</si>
  <si>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</si>
  <si>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</si>
  <si>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</si>
  <si>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</si>
  <si>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</si>
  <si>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</si>
  <si>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</si>
  <si>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</si>
  <si>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</si>
  <si>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</si>
  <si>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</si>
  <si>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</si>
  <si>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</si>
  <si>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</si>
  <si>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</si>
  <si>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</si>
  <si>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</si>
  <si>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</si>
  <si>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</si>
  <si>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</si>
  <si>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</si>
  <si>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</si>
  <si>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</si>
  <si>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</si>
  <si>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</si>
  <si>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</si>
  <si>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</si>
  <si>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</si>
  <si>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</si>
  <si>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</si>
  <si>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</si>
  <si>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</si>
  <si>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</si>
  <si>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</si>
  <si>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</si>
  <si>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</si>
  <si>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</si>
  <si>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</si>
  <si>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</si>
  <si>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</si>
  <si>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</si>
  <si>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</si>
  <si>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</si>
  <si>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</si>
  <si>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</si>
  <si>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</si>
  <si>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</si>
  <si>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</si>
  <si>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</si>
  <si>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</si>
  <si>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</si>
  <si>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</si>
  <si>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</si>
  <si>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</si>
  <si>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</si>
  <si>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</si>
  <si>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</si>
  <si>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</si>
  <si>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</si>
  <si>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</si>
  <si>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</si>
  <si>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</si>
  <si>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</si>
  <si>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</si>
  <si>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</si>
  <si>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</si>
  <si>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</si>
  <si>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</si>
  <si>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</si>
  <si>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</si>
  <si>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</si>
  <si>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</si>
  <si>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</si>
  <si>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</si>
  <si>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</si>
  <si>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</si>
  <si>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</si>
  <si>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</si>
  <si>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</si>
  <si>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</si>
  <si>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</si>
  <si>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</si>
  <si>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</si>
  <si>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</si>
  <si>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</si>
  <si>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</si>
  <si>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</si>
  <si>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</si>
  <si>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</si>
  <si>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</si>
  <si>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</si>
  <si>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</si>
  <si>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</si>
  <si>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</si>
  <si>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</si>
  <si>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</si>
  <si>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</si>
  <si>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</si>
  <si>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</si>
  <si>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</si>
  <si>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</si>
  <si>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</si>
  <si>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</si>
  <si>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</si>
  <si>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</si>
  <si>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</si>
  <si>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</si>
  <si>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</si>
  <si>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</si>
  <si>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</si>
  <si>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</si>
  <si>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</si>
  <si>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</si>
  <si>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</si>
  <si>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</si>
  <si>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</si>
  <si>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</si>
  <si>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</si>
  <si>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</si>
  <si>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</si>
  <si>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</si>
  <si>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</si>
  <si>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</si>
  <si>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</si>
  <si>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</si>
  <si>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</si>
  <si>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</si>
  <si>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</si>
  <si>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</si>
  <si>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</si>
  <si>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</si>
  <si>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</si>
  <si>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</si>
  <si>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</si>
  <si>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</si>
  <si>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</si>
  <si>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</si>
  <si>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</si>
  <si>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</si>
  <si>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</si>
  <si>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</si>
  <si>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</si>
  <si>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</si>
  <si>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</si>
  <si>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</si>
  <si>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</si>
  <si>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</si>
  <si>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</si>
  <si>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</si>
  <si>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</si>
  <si>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</si>
  <si>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</si>
  <si>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</si>
  <si>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</si>
  <si>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</si>
  <si>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</si>
  <si>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</si>
  <si>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</si>
  <si>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</si>
  <si>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</si>
  <si>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</si>
  <si>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</si>
  <si>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</si>
  <si>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</si>
  <si>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</si>
  <si>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</si>
  <si>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</si>
  <si>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</si>
  <si>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</si>
  <si>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</si>
  <si>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</si>
  <si>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</si>
  <si>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</si>
  <si>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</si>
  <si>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</si>
  <si>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</si>
  <si>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</si>
  <si>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</si>
  <si>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</si>
  <si>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</si>
  <si>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</si>
  <si>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</si>
  <si>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</si>
  <si>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</si>
  <si>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</si>
  <si>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</si>
  <si>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</si>
  <si>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</si>
  <si>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</si>
  <si>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</si>
  <si>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</si>
  <si>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</si>
  <si>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</si>
  <si>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</si>
  <si>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</si>
  <si>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</si>
  <si>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</si>
  <si>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</si>
  <si>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</si>
  <si>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</si>
  <si>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</si>
  <si>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</si>
  <si>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</si>
  <si>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</si>
  <si>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</si>
  <si>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</si>
  <si>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</si>
  <si>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</si>
  <si>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</si>
  <si>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</si>
  <si>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</si>
  <si>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</si>
  <si>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</si>
  <si>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</si>
  <si>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</si>
  <si>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</si>
  <si>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</si>
  <si>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</si>
  <si>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</si>
  <si>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</si>
  <si>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</si>
  <si>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</si>
  <si>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</si>
  <si>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</si>
  <si>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</si>
  <si>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</si>
  <si>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</si>
  <si>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</si>
  <si>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</si>
  <si>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</si>
  <si>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</si>
  <si>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</si>
  <si>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</si>
  <si>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</si>
  <si>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</si>
  <si>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</si>
  <si>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</si>
  <si>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</si>
  <si>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</si>
  <si>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</si>
  <si>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</si>
  <si>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</si>
  <si>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</si>
  <si>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</si>
  <si>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</si>
  <si>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</si>
  <si>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</si>
  <si>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</si>
  <si>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</si>
  <si>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</si>
  <si>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</si>
  <si>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</si>
  <si>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</si>
  <si>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</si>
  <si>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</si>
  <si>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</si>
  <si>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</si>
  <si>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</si>
  <si>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</si>
  <si>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</si>
  <si>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</si>
  <si>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</si>
  <si>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</si>
  <si>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</si>
  <si>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</si>
  <si>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</si>
  <si>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</si>
  <si>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</si>
  <si>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</si>
  <si>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</si>
  <si>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</si>
  <si>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</si>
  <si>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</si>
  <si>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</si>
  <si>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</si>
  <si>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</si>
  <si>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</si>
  <si>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</si>
  <si>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</si>
  <si>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</si>
  <si>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</si>
  <si>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</si>
  <si>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</si>
  <si>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</si>
  <si>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</si>
  <si>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</si>
  <si>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</si>
  <si>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</si>
  <si>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</si>
  <si>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</si>
  <si>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</si>
  <si>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</si>
  <si>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</si>
  <si>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</si>
  <si>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</si>
  <si>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</si>
  <si>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</si>
  <si>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</si>
  <si>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</si>
  <si>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</si>
  <si>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</si>
  <si>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</si>
  <si>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</si>
  <si>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</si>
  <si>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</si>
  <si>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</si>
  <si>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</si>
  <si>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</si>
  <si>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</si>
  <si>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</si>
  <si>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</si>
  <si>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</si>
  <si>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</si>
  <si>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</si>
  <si>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</si>
  <si>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</si>
  <si>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</si>
  <si>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</si>
  <si>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</si>
  <si>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</si>
  <si>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</si>
  <si>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</si>
  <si>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</si>
  <si>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</si>
  <si>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</si>
  <si>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</si>
  <si>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</si>
  <si>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</si>
  <si>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</si>
  <si>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</si>
  <si>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</si>
  <si>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</si>
  <si>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</si>
  <si>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</si>
  <si>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</si>
  <si>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</si>
  <si>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</si>
  <si>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</si>
  <si>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</si>
  <si>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</si>
  <si>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</si>
  <si>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</si>
  <si>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</si>
  <si>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</si>
  <si>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</si>
  <si>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</si>
  <si>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</si>
  <si>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</si>
  <si>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</si>
  <si>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</si>
  <si>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</si>
  <si>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</si>
  <si>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</si>
  <si>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</si>
  <si>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</si>
  <si>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</si>
  <si>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</si>
  <si>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</si>
  <si>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</si>
  <si>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</si>
  <si>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</si>
  <si>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</si>
  <si>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</si>
  <si>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</si>
  <si>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</si>
  <si>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</si>
  <si>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</si>
  <si>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</si>
  <si>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</si>
  <si>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</si>
  <si>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</si>
  <si>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</si>
  <si>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</si>
  <si>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</si>
  <si>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</si>
  <si>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</si>
  <si>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</si>
  <si>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</si>
  <si>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</si>
  <si>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</si>
  <si>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</si>
  <si>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</si>
  <si>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</si>
  <si>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</si>
  <si>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</si>
  <si>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</si>
  <si>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</si>
  <si>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</si>
  <si>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</si>
  <si>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</si>
  <si>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</si>
  <si>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</si>
  <si>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</si>
  <si>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</si>
  <si>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</si>
  <si>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</si>
  <si>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</si>
  <si>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</si>
  <si>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</si>
  <si>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</si>
  <si>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</si>
  <si>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</si>
  <si>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</si>
  <si>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</si>
  <si>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</si>
  <si>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</si>
  <si>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</si>
  <si>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</si>
  <si>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</si>
  <si>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</si>
  <si>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</si>
  <si>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</si>
  <si>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</si>
  <si>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</si>
  <si>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</si>
  <si>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</si>
  <si>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</si>
  <si>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</si>
  <si>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</si>
  <si>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</si>
  <si>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</si>
  <si>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</si>
  <si>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</si>
  <si>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</si>
  <si>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</si>
  <si>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</si>
  <si>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</si>
  <si>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</si>
  <si>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</si>
  <si>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</si>
  <si>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</si>
  <si>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</si>
  <si>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</si>
  <si>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</si>
  <si>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</si>
  <si>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</si>
  <si>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</si>
  <si>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</si>
  <si>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</si>
  <si>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</si>
  <si>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</si>
  <si>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</si>
  <si>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</si>
  <si>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</si>
  <si>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</si>
  <si>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</si>
  <si>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</si>
  <si>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</si>
  <si>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</si>
  <si>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</si>
  <si>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</si>
  <si>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</si>
  <si>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</si>
  <si>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</si>
  <si>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</si>
  <si>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</si>
  <si>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</si>
  <si>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</si>
  <si>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</si>
  <si>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</si>
  <si>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</si>
  <si>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</si>
  <si>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</si>
  <si>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</si>
  <si>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</si>
  <si>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</si>
  <si>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</si>
  <si>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</si>
  <si>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</si>
  <si>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</si>
  <si>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</si>
  <si>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</si>
  <si>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</si>
  <si>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</si>
  <si>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</si>
  <si>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</si>
  <si>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</si>
  <si>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</si>
  <si>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</si>
  <si>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</si>
  <si>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</si>
  <si>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</si>
  <si>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</si>
  <si>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</si>
  <si>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</si>
  <si>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</si>
  <si>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</si>
  <si>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</si>
  <si>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</si>
  <si>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</si>
  <si>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</si>
  <si>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</si>
  <si>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</si>
  <si>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</si>
  <si>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</si>
  <si>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</si>
  <si>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</si>
  <si>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</si>
  <si>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</si>
  <si>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</si>
  <si>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</si>
  <si>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</si>
  <si>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</si>
  <si>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</si>
  <si>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</si>
  <si>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</si>
  <si>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</si>
  <si>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</si>
  <si>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</si>
  <si>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</si>
  <si>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</si>
  <si>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</si>
  <si>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</si>
  <si>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</si>
  <si>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</si>
  <si>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</si>
  <si>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</si>
  <si>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</si>
  <si>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</si>
  <si>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</si>
  <si>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</si>
  <si>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</si>
  <si>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</si>
  <si>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</si>
  <si>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</si>
  <si>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</si>
  <si>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</si>
  <si>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</si>
  <si>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</si>
  <si>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</si>
  <si>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</si>
  <si>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</si>
  <si>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</si>
  <si>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</si>
  <si>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</si>
  <si>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</si>
  <si>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</si>
  <si>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</si>
  <si>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</si>
  <si>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</si>
  <si>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</si>
  <si>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</si>
  <si>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</si>
  <si>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</si>
  <si>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</si>
  <si>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</si>
  <si>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</si>
  <si>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</si>
  <si>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</si>
  <si>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</si>
  <si>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</si>
  <si>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</si>
  <si>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</si>
  <si>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</si>
  <si>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</si>
  <si>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</si>
  <si>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</si>
  <si>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</si>
  <si>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</si>
  <si>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</si>
  <si>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</si>
  <si>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</si>
  <si>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</si>
  <si>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</si>
  <si>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</si>
  <si>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</si>
  <si>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</si>
  <si>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</si>
  <si>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</si>
  <si>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</si>
  <si>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</si>
  <si>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</si>
  <si>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</si>
  <si>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</si>
  <si>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</si>
  <si>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</si>
  <si>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</si>
  <si>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</si>
  <si>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</si>
  <si>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</si>
  <si>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</si>
  <si>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</si>
  <si>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</si>
  <si>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</si>
  <si>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</si>
  <si>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</si>
  <si>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</si>
  <si>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</si>
  <si>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</si>
  <si>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</si>
  <si>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</si>
  <si>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</si>
  <si>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</si>
  <si>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</si>
  <si>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</si>
  <si>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</si>
  <si>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</si>
  <si>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</si>
  <si>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</si>
  <si>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</si>
  <si>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</si>
  <si>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</si>
  <si>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</si>
  <si>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</si>
  <si>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</si>
  <si>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</si>
  <si>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</si>
  <si>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</si>
  <si>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</si>
  <si>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</si>
  <si>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</si>
  <si>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</si>
  <si>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</si>
  <si>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</si>
  <si>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</si>
  <si>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</si>
  <si>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</si>
  <si>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</si>
  <si>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</si>
  <si>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</si>
  <si>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</si>
  <si>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</si>
  <si>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</si>
  <si>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</si>
  <si>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</si>
  <si>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</si>
  <si>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</si>
  <si>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</si>
  <si>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</si>
  <si>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</si>
  <si>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</si>
  <si>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</si>
  <si>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</si>
  <si>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</si>
  <si>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</si>
  <si>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</si>
  <si>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</si>
  <si>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</si>
  <si>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</si>
  <si>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</si>
  <si>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</si>
  <si>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</si>
  <si>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</si>
  <si>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</si>
  <si>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</si>
  <si>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</si>
  <si>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</si>
  <si>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</si>
  <si>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</si>
  <si>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</si>
  <si>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</si>
  <si>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</si>
  <si>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</si>
  <si>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</si>
  <si>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</si>
  <si>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</si>
  <si>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</si>
  <si>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</si>
  <si>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</si>
  <si>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</si>
  <si>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</si>
  <si>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</si>
  <si>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</si>
  <si>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</si>
  <si>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</si>
  <si>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</si>
  <si>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</si>
  <si>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</si>
  <si>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</si>
  <si>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</si>
  <si>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</si>
  <si>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</si>
  <si>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</si>
  <si>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</si>
  <si>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</si>
  <si>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</si>
  <si>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</si>
  <si>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</si>
  <si>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</si>
  <si>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</si>
  <si>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</si>
  <si>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</si>
  <si>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</si>
  <si>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</si>
  <si>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</si>
  <si>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</si>
  <si>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</si>
  <si>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</si>
  <si>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</si>
  <si>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</si>
  <si>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</si>
  <si>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</si>
  <si>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</si>
  <si>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</si>
  <si>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</si>
  <si>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</si>
  <si>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</si>
  <si>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</si>
  <si>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</si>
  <si>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</si>
  <si>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</si>
  <si>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</si>
  <si>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</si>
  <si>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</si>
  <si>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</si>
  <si>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</si>
  <si>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</si>
  <si>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</si>
  <si>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</si>
  <si>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</si>
  <si>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</si>
  <si>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</si>
  <si>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</si>
  <si>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</si>
  <si>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</si>
  <si>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</si>
  <si>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</si>
  <si>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</si>
  <si>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</si>
  <si>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</si>
  <si>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</si>
  <si>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</si>
  <si>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</si>
  <si>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</si>
  <si>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</si>
  <si>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</si>
  <si>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</si>
  <si>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</si>
  <si>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</si>
  <si>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</si>
  <si>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</si>
  <si>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</si>
  <si>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</si>
  <si>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</si>
  <si>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</si>
  <si>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</si>
  <si>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</si>
  <si>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</si>
  <si>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</si>
  <si>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</si>
  <si>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</si>
  <si>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</si>
  <si>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</si>
  <si>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</si>
  <si>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</si>
  <si>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</si>
  <si>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</si>
  <si>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</si>
  <si>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</si>
  <si>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</si>
  <si>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</si>
  <si>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</si>
  <si>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</si>
  <si>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</si>
  <si>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</si>
  <si>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</si>
  <si>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</si>
  <si>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</si>
  <si>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</si>
  <si>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</si>
  <si>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</si>
  <si>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</si>
  <si>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</si>
  <si>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</si>
  <si>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</si>
  <si>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</si>
  <si>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</si>
  <si>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</si>
  <si>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</si>
  <si>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</si>
  <si>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</si>
  <si>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</si>
  <si>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</si>
  <si>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</si>
  <si>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</si>
  <si>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</si>
  <si>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</si>
  <si>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</si>
  <si>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</si>
  <si>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</si>
  <si>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</si>
  <si>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</si>
  <si>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</si>
  <si>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</si>
  <si>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</si>
  <si>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</si>
  <si>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</si>
  <si>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</si>
  <si>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</si>
  <si>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</si>
  <si>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</si>
  <si>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</si>
  <si>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</si>
  <si>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</si>
  <si>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</si>
  <si>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</si>
  <si>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</si>
  <si>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</si>
  <si>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</si>
  <si>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</si>
  <si>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</si>
  <si>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</si>
  <si>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</si>
  <si>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</si>
  <si>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</si>
  <si>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</si>
  <si>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</si>
  <si>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</si>
  <si>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</si>
  <si>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</si>
  <si>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</si>
  <si>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</si>
  <si>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</si>
  <si>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</si>
  <si>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</si>
  <si>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</si>
  <si>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</si>
  <si>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</si>
  <si>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</si>
  <si>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</si>
  <si>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</si>
  <si>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</si>
  <si>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</si>
  <si>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</si>
  <si>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</si>
  <si>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</si>
  <si>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</si>
  <si>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</si>
  <si>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</si>
  <si>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</si>
  <si>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</si>
  <si>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</si>
  <si>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</si>
  <si>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</si>
  <si>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</si>
  <si>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</si>
  <si>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</si>
  <si>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</si>
  <si>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</si>
  <si>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</si>
  <si>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</si>
  <si>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</si>
  <si>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</si>
  <si>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</si>
  <si>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</si>
  <si>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</si>
  <si>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</si>
  <si>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</si>
  <si>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</si>
  <si>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</si>
  <si>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</si>
  <si>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</si>
  <si>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</si>
  <si>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</si>
  <si>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</si>
  <si>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</si>
  <si>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</si>
  <si>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</si>
  <si>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</si>
  <si>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</si>
  <si>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</si>
  <si>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</si>
  <si>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</si>
  <si>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</si>
  <si>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</si>
  <si>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</si>
  <si>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</si>
  <si>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</si>
  <si>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</si>
  <si>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</si>
  <si>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</si>
  <si>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</si>
  <si>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</si>
  <si>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</si>
  <si>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</si>
  <si>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</si>
  <si>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</si>
  <si>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</si>
  <si>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</si>
  <si>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</si>
  <si>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</si>
  <si>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</si>
  <si>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</si>
  <si>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</si>
  <si>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</si>
  <si>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</si>
  <si>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</si>
  <si>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</si>
  <si>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</si>
  <si>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</si>
  <si>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</si>
  <si>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</si>
  <si>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</si>
  <si>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</si>
  <si>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</si>
  <si>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</si>
  <si>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</si>
  <si>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</si>
  <si>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</si>
  <si>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</si>
  <si>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</si>
  <si>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</si>
  <si>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</si>
  <si>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</si>
  <si>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</si>
  <si>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</si>
  <si>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</si>
  <si>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</si>
  <si>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</si>
  <si>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</si>
  <si>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</si>
  <si>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</si>
  <si>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</si>
  <si>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</si>
  <si>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</si>
  <si>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</si>
  <si>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</si>
  <si>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</si>
  <si>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</si>
  <si>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</si>
  <si>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</si>
  <si>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</si>
  <si>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</si>
  <si>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</si>
  <si>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</si>
  <si>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</si>
  <si>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</si>
  <si>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</si>
  <si>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</si>
  <si>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</si>
  <si>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</si>
  <si>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</si>
  <si>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</si>
  <si>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</si>
  <si>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</si>
  <si>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</si>
  <si>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</si>
  <si>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</si>
  <si>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</si>
  <si>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</si>
  <si>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</si>
  <si>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</si>
  <si>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</si>
  <si>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</si>
  <si>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</si>
  <si>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</si>
  <si>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</si>
  <si>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</si>
  <si>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</si>
  <si>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</si>
  <si>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</si>
  <si>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</si>
  <si>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</si>
  <si>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</si>
  <si>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</si>
  <si>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</si>
  <si>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</si>
  <si>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</si>
  <si>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</si>
  <si>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</si>
  <si>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</si>
  <si>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</si>
  <si>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</si>
  <si>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</si>
  <si>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</si>
  <si>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</si>
  <si>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</si>
  <si>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</si>
  <si>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</si>
  <si>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</si>
  <si>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</si>
  <si>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</si>
  <si>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</si>
  <si>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</si>
  <si>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</si>
  <si>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</si>
  <si>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</si>
  <si>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</si>
  <si>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</si>
  <si>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</si>
  <si>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</si>
  <si>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</si>
  <si>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</si>
  <si>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</si>
  <si>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</si>
  <si>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</si>
  <si>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</si>
  <si>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</si>
  <si>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</si>
  <si>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</si>
  <si>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</si>
  <si>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</si>
  <si>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</si>
  <si>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</si>
  <si>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</si>
  <si>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</si>
  <si>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</si>
  <si>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</si>
  <si>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</si>
  <si>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</si>
  <si>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</si>
  <si>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</si>
  <si>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</si>
  <si>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</si>
  <si>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</si>
  <si>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</si>
  <si>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</si>
  <si>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</si>
  <si>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</si>
  <si>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</si>
  <si>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</si>
  <si>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</si>
  <si>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</si>
  <si>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</si>
  <si>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</si>
  <si>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</si>
  <si>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</si>
  <si>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</si>
  <si>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</si>
  <si>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</si>
  <si>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</si>
  <si>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</si>
  <si>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</si>
  <si>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</si>
  <si>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</si>
  <si>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</si>
  <si>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</si>
  <si>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</si>
  <si>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</si>
  <si>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</si>
  <si>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</si>
  <si>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</si>
  <si>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</si>
  <si>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</si>
  <si>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</si>
  <si>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</si>
  <si>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</si>
  <si>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</si>
  <si>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</si>
  <si>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</si>
  <si>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</si>
  <si>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</si>
  <si>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</si>
  <si>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</si>
  <si>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</si>
  <si>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</si>
  <si>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</si>
  <si>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</si>
  <si>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</si>
  <si>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</si>
  <si>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</si>
  <si>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</si>
  <si>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</si>
  <si>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</si>
  <si>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</si>
  <si>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</si>
  <si>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</si>
  <si>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</si>
  <si>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</si>
  <si>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</si>
  <si>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</si>
  <si>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</si>
  <si>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</si>
  <si>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</si>
  <si>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</si>
  <si>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</si>
  <si>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</si>
  <si>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</si>
  <si>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</si>
  <si>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</si>
  <si>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</si>
  <si>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</si>
  <si>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</si>
  <si>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</si>
  <si>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</si>
  <si>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</si>
  <si>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</si>
  <si>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</si>
  <si>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</si>
  <si>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</si>
  <si>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</si>
  <si>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</si>
  <si>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</si>
  <si>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</si>
  <si>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</si>
  <si>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</si>
  <si>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</si>
  <si>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</si>
  <si>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</si>
  <si>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</si>
  <si>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</si>
  <si>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</si>
  <si>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</si>
  <si>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</si>
  <si>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</si>
  <si>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</si>
  <si>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</si>
  <si>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</si>
  <si>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</si>
  <si>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</si>
  <si>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</si>
  <si>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</si>
  <si>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</si>
  <si>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</si>
  <si>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</si>
  <si>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</si>
  <si>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</si>
  <si>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</si>
  <si>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</si>
  <si>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</si>
  <si>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</si>
  <si>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</si>
  <si>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</si>
  <si>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</si>
  <si>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</si>
  <si>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</si>
  <si>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</si>
  <si>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</si>
  <si>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</si>
  <si>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</si>
  <si>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</si>
  <si>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</si>
  <si>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</si>
  <si>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</si>
  <si>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</si>
  <si>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</si>
  <si>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</si>
  <si>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</si>
  <si>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</si>
  <si>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</si>
  <si>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</si>
  <si>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</si>
  <si>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</si>
  <si>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</si>
  <si>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</si>
  <si>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</si>
  <si>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</si>
  <si>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</si>
  <si>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</si>
  <si>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</si>
  <si>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</si>
  <si>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</si>
  <si>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</si>
  <si>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</si>
  <si>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</si>
  <si>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</si>
  <si>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</si>
  <si>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</si>
  <si>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</si>
  <si>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</si>
  <si>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</si>
  <si>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</si>
  <si>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</si>
  <si>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</si>
  <si>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</si>
  <si>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</si>
  <si>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</si>
  <si>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</si>
  <si>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</si>
  <si>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</si>
  <si>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</si>
  <si>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</si>
  <si>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</si>
  <si>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</si>
  <si>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</si>
  <si>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</si>
  <si>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</si>
  <si>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</si>
  <si>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</si>
  <si>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</si>
  <si>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</si>
  <si>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</si>
  <si>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</si>
  <si>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</si>
  <si>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</si>
  <si>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</si>
  <si>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</si>
  <si>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</si>
  <si>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</si>
  <si>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</si>
  <si>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</si>
  <si>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</si>
  <si>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</si>
  <si>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</si>
  <si>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</si>
  <si>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</si>
  <si>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</si>
  <si>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</si>
  <si>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</si>
  <si>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</si>
  <si>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</si>
  <si>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</si>
  <si>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</si>
  <si>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</si>
  <si>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</si>
  <si>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</si>
  <si>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</si>
  <si>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</si>
  <si>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</si>
  <si>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</si>
  <si>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</si>
  <si>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</si>
  <si>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</si>
  <si>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</si>
  <si>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</si>
  <si>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</si>
  <si>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</si>
  <si>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</si>
  <si>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</si>
  <si>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</si>
  <si>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</si>
  <si>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</si>
  <si>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</si>
  <si>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</si>
  <si>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</si>
  <si>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</si>
  <si>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</si>
  <si>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</si>
  <si>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</si>
  <si>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</si>
  <si>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</si>
  <si>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</si>
  <si>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</si>
  <si>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</si>
  <si>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</si>
  <si>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</si>
  <si>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</si>
  <si>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</si>
  <si>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</si>
  <si>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</si>
  <si>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</si>
  <si>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</si>
  <si>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</si>
  <si>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</si>
  <si>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</si>
  <si>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</si>
  <si>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</si>
  <si>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</si>
  <si>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</si>
  <si>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</si>
  <si>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</si>
  <si>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</si>
  <si>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</si>
  <si>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</si>
  <si>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</si>
  <si>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</si>
  <si>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</si>
  <si>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</si>
  <si>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</si>
  <si>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</si>
  <si>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</si>
  <si>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</si>
  <si>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</si>
  <si>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</si>
  <si>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</si>
  <si>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</si>
  <si>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</si>
  <si>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</si>
  <si>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</si>
  <si>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</si>
  <si>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</si>
  <si>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</si>
  <si>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</si>
  <si>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</si>
  <si>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</si>
  <si>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</si>
  <si>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</si>
  <si>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</si>
  <si>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</si>
  <si>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</si>
  <si>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</si>
  <si>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</si>
  <si>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</si>
  <si>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</si>
  <si>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</si>
  <si>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</si>
  <si>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</si>
  <si>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</si>
  <si>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</si>
  <si>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</si>
  <si>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</si>
  <si>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</si>
  <si>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</si>
  <si>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</si>
  <si>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</si>
  <si>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</si>
  <si>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</si>
  <si>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</si>
  <si>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</si>
  <si>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</si>
  <si>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</si>
  <si>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</si>
  <si>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</si>
  <si>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</si>
  <si>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</si>
  <si>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</si>
  <si>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</si>
  <si>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</si>
  <si>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</si>
  <si>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</si>
  <si>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</si>
  <si>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</si>
  <si>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</si>
  <si>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</si>
  <si>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</si>
  <si>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</si>
  <si>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</si>
  <si>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</si>
  <si>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</si>
  <si>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</si>
  <si>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</si>
  <si>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</si>
  <si>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</si>
  <si>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</si>
  <si>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</si>
  <si>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</si>
  <si>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</si>
  <si>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</si>
  <si>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</si>
  <si>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</si>
  <si>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</si>
  <si>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</si>
  <si>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</si>
  <si>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</si>
  <si>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</si>
  <si>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</si>
  <si>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</si>
  <si>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</si>
  <si>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</si>
  <si>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</si>
  <si>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</si>
  <si>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</si>
  <si>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</si>
  <si>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</si>
  <si>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</si>
  <si>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</si>
  <si>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</si>
  <si>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</si>
  <si>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</si>
  <si>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</si>
  <si>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</si>
  <si>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</si>
  <si>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</si>
  <si>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</si>
  <si>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</si>
  <si>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</si>
  <si>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</si>
  <si>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</si>
  <si>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</si>
  <si>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</si>
  <si>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</si>
  <si>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</si>
  <si>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</si>
  <si>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</si>
  <si>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</si>
  <si>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</si>
  <si>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</si>
  <si>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</si>
  <si>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</si>
  <si>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</si>
  <si>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</si>
  <si>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</si>
  <si>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</si>
  <si>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</si>
  <si>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</si>
  <si>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</si>
  <si>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</si>
  <si>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</si>
  <si>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</si>
  <si>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</si>
  <si>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</si>
  <si>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</si>
  <si>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</si>
  <si>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</si>
  <si>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</si>
  <si>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</si>
  <si>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</si>
  <si>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</si>
  <si>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</si>
  <si>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</si>
  <si>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</si>
  <si>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</si>
  <si>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</si>
  <si>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</si>
  <si>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</si>
  <si>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</si>
  <si>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</si>
  <si>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</si>
  <si>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</si>
  <si>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</si>
  <si>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</si>
  <si>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</si>
  <si>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</si>
  <si>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</si>
  <si>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</si>
  <si>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</si>
  <si>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</si>
  <si>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</si>
  <si>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</si>
  <si>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</si>
  <si>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</si>
  <si>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</si>
  <si>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</si>
  <si>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</si>
  <si>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</si>
  <si>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</si>
  <si>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</si>
  <si>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</si>
  <si>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</si>
  <si>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</si>
  <si>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</si>
  <si>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</si>
  <si>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</si>
  <si>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</si>
  <si>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</si>
  <si>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</si>
  <si>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</si>
  <si>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</si>
  <si>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</si>
  <si>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</si>
  <si>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</si>
  <si>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</si>
  <si>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</si>
  <si>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</si>
  <si>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</si>
  <si>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</si>
  <si>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</si>
  <si>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</si>
  <si>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</si>
  <si>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</si>
  <si>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</si>
  <si>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</si>
  <si>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</si>
  <si>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</si>
  <si>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</si>
  <si>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</si>
  <si>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</si>
  <si>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</si>
  <si>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</si>
  <si>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</si>
  <si>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</si>
  <si>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</si>
  <si>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</si>
  <si>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</si>
  <si>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</si>
  <si>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</si>
  <si>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</si>
  <si>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</si>
  <si>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</si>
  <si>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</si>
  <si>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</si>
  <si>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</si>
  <si>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</si>
  <si>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</si>
  <si>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</si>
  <si>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</si>
  <si>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</si>
  <si>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</si>
  <si>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</si>
  <si>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</si>
  <si>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</si>
  <si>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</si>
  <si>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</si>
  <si>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</si>
  <si>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</si>
  <si>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</si>
  <si>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</si>
  <si>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</si>
  <si>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</si>
  <si>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</si>
  <si>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</si>
  <si>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</si>
  <si>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</si>
  <si>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</si>
  <si>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</si>
  <si>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</si>
  <si>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</si>
  <si>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</si>
  <si>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</si>
  <si>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</si>
  <si>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</si>
  <si>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</si>
  <si>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</si>
  <si>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</si>
  <si>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</si>
  <si>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</si>
  <si>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</si>
  <si>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</si>
  <si>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</si>
  <si>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</si>
  <si>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</si>
  <si>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</si>
  <si>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</si>
  <si>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</si>
  <si>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</si>
  <si>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</si>
  <si>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</si>
  <si>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</si>
  <si>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</si>
  <si>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</si>
  <si>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</si>
  <si>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</si>
  <si>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</si>
  <si>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</si>
  <si>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</si>
  <si>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</si>
  <si>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</si>
  <si>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</si>
  <si>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</si>
  <si>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</si>
  <si>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</si>
  <si>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</si>
  <si>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</si>
  <si>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</si>
  <si>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</si>
  <si>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</si>
  <si>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</si>
  <si>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</si>
  <si>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</si>
  <si>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</si>
  <si>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</si>
  <si>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</si>
  <si>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</si>
  <si>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</si>
  <si>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</si>
  <si>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</si>
  <si>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</si>
  <si>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</si>
  <si>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</si>
  <si>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</si>
  <si>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</si>
  <si>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</si>
  <si>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</si>
  <si>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</si>
  <si>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</si>
  <si>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</si>
  <si>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</si>
  <si>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</si>
  <si>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</si>
  <si>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</si>
  <si>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</si>
  <si>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</si>
  <si>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</si>
  <si>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</si>
  <si>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</si>
  <si>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</si>
  <si>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</si>
  <si>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</si>
  <si>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</si>
  <si>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</si>
  <si>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</si>
  <si>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</si>
  <si>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</si>
  <si>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</si>
  <si>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</si>
  <si>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</si>
  <si>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</si>
  <si>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</si>
  <si>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</si>
  <si>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</si>
  <si>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</si>
  <si>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</si>
  <si>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</si>
  <si>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</si>
  <si>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</si>
  <si>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</si>
  <si>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</si>
  <si>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</si>
  <si>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</si>
  <si>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</si>
  <si>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</si>
  <si>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</si>
  <si>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</si>
  <si>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</si>
  <si>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</si>
  <si>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</si>
  <si>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</si>
  <si>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</si>
  <si>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</si>
  <si>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</si>
  <si>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</si>
  <si>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</si>
  <si>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</si>
  <si>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</si>
  <si>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</si>
  <si>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</si>
  <si>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</si>
  <si>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</si>
  <si>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</si>
  <si>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</si>
  <si>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</si>
  <si>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</si>
  <si>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</si>
  <si>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</si>
  <si>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</si>
  <si>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</si>
  <si>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</si>
  <si>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</si>
  <si>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</si>
  <si>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</si>
  <si>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</si>
  <si>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</si>
  <si>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</si>
  <si>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</si>
  <si>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</si>
  <si>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</si>
  <si>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</si>
  <si>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</si>
  <si>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</si>
  <si>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</si>
  <si>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</si>
  <si>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</si>
  <si>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</si>
  <si>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</si>
  <si>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</si>
  <si>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</si>
  <si>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</si>
  <si>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</si>
  <si>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</si>
  <si>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</si>
  <si>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</si>
  <si>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</si>
  <si>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</si>
  <si>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</si>
  <si>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</si>
  <si>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</si>
  <si>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</si>
  <si>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</si>
  <si>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</si>
  <si>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</si>
  <si>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</si>
  <si>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</si>
  <si>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</si>
  <si>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</si>
  <si>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</si>
  <si>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</si>
  <si>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</si>
  <si>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</si>
  <si>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</si>
  <si>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</si>
  <si>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</si>
  <si>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</si>
  <si>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</si>
  <si>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</si>
  <si>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</si>
  <si>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</si>
  <si>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</si>
  <si>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</si>
  <si>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</si>
  <si>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</si>
  <si>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</si>
  <si>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</si>
  <si>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</si>
  <si>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</si>
  <si>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</si>
  <si>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</si>
  <si>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</si>
  <si>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</si>
  <si>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</si>
  <si>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</si>
  <si>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</si>
  <si>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</si>
  <si>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</si>
  <si>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</si>
  <si>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</si>
  <si>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</si>
  <si>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</si>
  <si>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</si>
  <si>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</si>
  <si>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</si>
  <si>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</si>
  <si>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</si>
  <si>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</si>
  <si>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</si>
  <si>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</si>
  <si>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</si>
  <si>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</si>
  <si>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</si>
  <si>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</si>
  <si>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</si>
  <si>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</si>
  <si>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</si>
  <si>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</si>
  <si>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</si>
  <si>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</si>
  <si>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</si>
  <si>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</si>
  <si>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</si>
  <si>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</si>
  <si>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</si>
  <si>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</si>
  <si>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</si>
  <si>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</si>
  <si>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</si>
  <si>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</si>
  <si>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</si>
  <si>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</si>
  <si>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</si>
  <si>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</si>
  <si>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</si>
  <si>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</si>
  <si>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</si>
  <si>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</si>
  <si>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</si>
  <si>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</si>
  <si>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</si>
  <si>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</si>
  <si>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</si>
  <si>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</si>
  <si>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</si>
  <si>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</si>
  <si>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</si>
  <si>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</si>
  <si>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</si>
  <si>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</si>
  <si>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</si>
  <si>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</si>
  <si>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</si>
  <si>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</si>
  <si>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</si>
  <si>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</si>
  <si>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</si>
  <si>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</si>
  <si>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</si>
  <si>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</si>
  <si>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</si>
  <si>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</si>
  <si>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</si>
  <si>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</si>
  <si>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</si>
  <si>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</si>
  <si>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</si>
  <si>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</si>
  <si>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</si>
  <si>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</si>
  <si>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</si>
  <si>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</si>
  <si>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</si>
  <si>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</si>
  <si>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</si>
  <si>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</si>
  <si>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</si>
  <si>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</si>
  <si>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</si>
  <si>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</si>
  <si>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</si>
  <si>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</si>
  <si>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</si>
  <si>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</si>
  <si>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</si>
  <si>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</si>
  <si>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</si>
  <si>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</si>
  <si>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</si>
  <si>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</si>
  <si>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</si>
  <si>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</si>
  <si>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</si>
  <si>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</si>
  <si>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</si>
  <si>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</si>
  <si>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</si>
  <si>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</si>
  <si>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</si>
  <si>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</si>
  <si>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</si>
  <si>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</si>
  <si>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</si>
  <si>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</si>
  <si>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</si>
  <si>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</si>
  <si>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</si>
  <si>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</si>
  <si>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</si>
  <si>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</si>
  <si>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</si>
  <si>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</si>
  <si>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</si>
  <si>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</si>
  <si>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</si>
  <si>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</si>
  <si>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</si>
  <si>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</si>
  <si>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</si>
  <si>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</si>
  <si>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</si>
  <si>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</si>
  <si>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</si>
  <si>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</si>
  <si>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</si>
  <si>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</si>
  <si>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</si>
  <si>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</si>
  <si>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</si>
  <si>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</si>
  <si>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</si>
  <si>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</si>
  <si>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</si>
  <si>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</si>
  <si>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</si>
  <si>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</si>
  <si>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</si>
  <si>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</si>
  <si>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</si>
  <si>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</si>
  <si>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</si>
  <si>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</si>
  <si>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</si>
  <si>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</si>
  <si>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</si>
  <si>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</si>
  <si>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</si>
  <si>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</si>
  <si>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</si>
  <si>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</si>
  <si>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</si>
  <si>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</si>
  <si>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</si>
  <si>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</si>
  <si>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</si>
  <si>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</si>
  <si>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</si>
  <si>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</si>
  <si>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</si>
  <si>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</si>
  <si>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</si>
  <si>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</si>
  <si>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</si>
  <si>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</si>
  <si>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</si>
  <si>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</si>
  <si>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</si>
  <si>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</si>
  <si>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</si>
  <si>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</si>
  <si>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</si>
  <si>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</si>
  <si>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</si>
  <si>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</si>
  <si>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</si>
  <si>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</si>
  <si>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</si>
  <si>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</si>
  <si>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</si>
  <si>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</si>
  <si>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</si>
  <si>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</si>
  <si>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</si>
  <si>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</si>
  <si>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</si>
  <si>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</si>
  <si>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</si>
  <si>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</si>
  <si>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</si>
  <si>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</si>
  <si>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</si>
  <si>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</si>
  <si>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</si>
  <si>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</si>
  <si>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</si>
  <si>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</si>
  <si>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</si>
  <si>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</si>
  <si>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</si>
  <si>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</si>
  <si>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</si>
  <si>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</si>
  <si>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</si>
  <si>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</si>
  <si>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</si>
  <si>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</si>
  <si>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</si>
  <si>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</si>
  <si>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</si>
  <si>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</si>
  <si>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</si>
  <si>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</si>
  <si>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</si>
  <si>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</si>
  <si>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</si>
  <si>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</si>
  <si>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</si>
  <si>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</si>
  <si>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</si>
  <si>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</si>
  <si>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</si>
  <si>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</si>
  <si>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</si>
  <si>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</si>
  <si>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</si>
  <si>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</si>
  <si>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</si>
  <si>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</si>
  <si>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</si>
  <si>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</si>
  <si>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</si>
  <si>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</si>
  <si>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</si>
  <si>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</si>
  <si>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</si>
  <si>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</si>
  <si>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</si>
  <si>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</si>
  <si>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</si>
  <si>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</si>
  <si>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</si>
  <si>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</si>
  <si>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</si>
  <si>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</si>
  <si>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</si>
  <si>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</si>
  <si>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</si>
  <si>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</si>
  <si>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</si>
  <si>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</si>
  <si>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</si>
  <si>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</si>
  <si>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</si>
  <si>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</si>
  <si>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</si>
  <si>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</si>
  <si>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</si>
  <si>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</si>
  <si>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</si>
  <si>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</si>
  <si>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</si>
  <si>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</si>
  <si>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</si>
  <si>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</si>
  <si>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</si>
  <si>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</si>
  <si>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</si>
  <si>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</si>
  <si>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</si>
  <si>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</si>
  <si>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</si>
  <si>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</si>
  <si>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</si>
  <si>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</si>
  <si>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</si>
  <si>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</si>
  <si>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</si>
  <si>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</si>
  <si>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</si>
  <si>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</si>
  <si>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</si>
  <si>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</si>
  <si>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</si>
  <si>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</si>
  <si>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</si>
  <si>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</si>
  <si>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</si>
  <si>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</si>
  <si>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</si>
  <si>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</si>
  <si>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</si>
  <si>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</si>
  <si>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</si>
  <si>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</si>
  <si>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</si>
  <si>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</si>
  <si>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</si>
  <si>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</si>
  <si>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</si>
  <si>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</si>
  <si>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</si>
  <si>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</si>
  <si>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</si>
  <si>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</si>
  <si>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</si>
  <si>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</si>
  <si>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</si>
  <si>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</si>
  <si>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</si>
  <si>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</si>
  <si>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</si>
  <si>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</si>
  <si>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</si>
  <si>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</si>
  <si>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</si>
  <si>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</si>
  <si>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</si>
  <si>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</si>
  <si>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</si>
  <si>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</si>
  <si>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</si>
  <si>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</si>
  <si>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</si>
  <si>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</si>
  <si>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</si>
  <si>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</si>
  <si>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</si>
  <si>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</si>
  <si>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</si>
  <si>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</si>
  <si>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</si>
  <si>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</si>
  <si>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</si>
  <si>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</si>
  <si>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</si>
  <si>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</si>
  <si>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</si>
  <si>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</si>
  <si>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</si>
  <si>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</si>
  <si>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</si>
  <si>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</si>
  <si>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</si>
  <si>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</si>
  <si>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</si>
  <si>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</si>
  <si>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</si>
  <si>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</si>
  <si>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</si>
  <si>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</si>
  <si>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</si>
  <si>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</si>
  <si>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</si>
  <si>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</si>
  <si>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</si>
  <si>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</si>
  <si>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</si>
  <si>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</si>
  <si>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</si>
  <si>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</si>
  <si>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</si>
  <si>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</si>
  <si>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</si>
  <si>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</si>
  <si>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</si>
  <si>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</si>
  <si>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</si>
  <si>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</si>
  <si>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</si>
  <si>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</si>
  <si>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</si>
  <si>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</si>
  <si>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</si>
  <si>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</si>
  <si>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</si>
  <si>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</si>
  <si>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</si>
  <si>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</si>
  <si>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</si>
  <si>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</si>
  <si>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</si>
  <si>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</si>
  <si>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</si>
  <si>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</si>
  <si>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</si>
  <si>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</si>
  <si>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</si>
  <si>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</si>
  <si>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</si>
  <si>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</si>
  <si>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</si>
  <si>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</si>
  <si>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</si>
  <si>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</si>
  <si>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</si>
  <si>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</si>
  <si>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</si>
  <si>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</si>
  <si>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</si>
  <si>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</si>
  <si>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</si>
  <si>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</si>
  <si>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</si>
  <si>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</si>
  <si>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</si>
  <si>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</si>
  <si>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</si>
  <si>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</si>
  <si>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</si>
  <si>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</si>
  <si>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</si>
  <si>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</si>
  <si>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</si>
  <si>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</si>
  <si>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</si>
  <si>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</si>
  <si>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</si>
  <si>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</si>
  <si>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</si>
  <si>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</si>
  <si>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</si>
  <si>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</si>
  <si>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</si>
  <si>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</si>
  <si>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</si>
  <si>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</si>
  <si>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</si>
  <si>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</si>
  <si>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</si>
  <si>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</si>
  <si>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</si>
  <si>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</si>
  <si>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</si>
  <si>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</si>
  <si>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</si>
  <si>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</si>
  <si>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</si>
  <si>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</si>
  <si>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</si>
  <si>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</si>
  <si>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</si>
  <si>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</si>
  <si>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</si>
  <si>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</si>
  <si>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</si>
  <si>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</si>
  <si>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</si>
  <si>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</si>
  <si>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</si>
  <si>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</si>
  <si>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</si>
  <si>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</si>
  <si>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</si>
  <si>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</si>
  <si>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</si>
  <si>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</si>
  <si>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</si>
  <si>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</si>
  <si>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</si>
  <si>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</si>
  <si>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</si>
  <si>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</si>
  <si>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</si>
  <si>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</si>
  <si>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</si>
  <si>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</si>
  <si>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</si>
  <si>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</si>
  <si>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</si>
  <si>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</si>
  <si>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</si>
  <si>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</si>
  <si>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</si>
  <si>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</si>
  <si>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</si>
  <si>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</si>
  <si>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</si>
  <si>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</si>
  <si>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</si>
  <si>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</si>
  <si>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</si>
  <si>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</si>
  <si>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</si>
  <si>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</si>
  <si>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</si>
  <si>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</si>
  <si>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</si>
  <si>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</si>
  <si>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</si>
  <si>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</si>
  <si>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</si>
  <si>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</si>
  <si>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</si>
  <si>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</si>
  <si>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</si>
  <si>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</si>
  <si>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</si>
  <si>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</si>
  <si>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</si>
  <si>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</si>
  <si>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</si>
  <si>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</si>
  <si>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</si>
  <si>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</si>
  <si>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</si>
  <si>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</si>
  <si>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</si>
  <si>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</si>
  <si>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</si>
  <si>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</si>
  <si>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</si>
  <si>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</si>
  <si>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</si>
  <si>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</si>
  <si>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</si>
  <si>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</si>
  <si>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</si>
  <si>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</si>
  <si>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</si>
  <si>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</si>
  <si>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</si>
  <si>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</si>
  <si>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</si>
  <si>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</si>
  <si>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</si>
  <si>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</si>
  <si>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</si>
  <si>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</si>
  <si>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</si>
  <si>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</si>
  <si>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</si>
  <si>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</si>
  <si>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</si>
  <si>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</si>
  <si>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</si>
  <si>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</si>
  <si>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</si>
  <si>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</si>
  <si>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</si>
  <si>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</si>
  <si>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</si>
  <si>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</si>
  <si>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</si>
  <si>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</si>
  <si>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</si>
  <si>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</si>
  <si>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</si>
  <si>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</si>
  <si>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</si>
  <si>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</si>
  <si>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</si>
  <si>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</si>
  <si>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</si>
  <si>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</si>
  <si>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</si>
  <si>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</si>
  <si>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</si>
  <si>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</si>
  <si>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</si>
  <si>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</si>
  <si>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</si>
  <si>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</si>
  <si>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</si>
  <si>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</si>
  <si>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</si>
  <si>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</si>
  <si>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</si>
  <si>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</si>
  <si>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</si>
  <si>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</si>
  <si>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</si>
  <si>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</si>
  <si>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</si>
  <si>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</si>
  <si>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</si>
  <si>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</si>
  <si>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</si>
  <si>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</si>
  <si>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</si>
  <si>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</si>
  <si>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</si>
  <si>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</si>
  <si>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</si>
  <si>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</si>
  <si>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</si>
  <si>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</si>
  <si>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</si>
  <si>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</si>
  <si>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</si>
  <si>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</si>
  <si>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</si>
  <si>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</si>
  <si>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</si>
  <si>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</si>
  <si>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</si>
  <si>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</si>
  <si>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</si>
  <si>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</si>
  <si>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</si>
  <si>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</si>
  <si>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</si>
  <si>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</si>
  <si>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</si>
  <si>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</si>
  <si>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</si>
  <si>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</si>
  <si>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</si>
  <si>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</si>
  <si>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</si>
  <si>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</si>
  <si>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</si>
  <si>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</si>
  <si>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</si>
  <si>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</si>
  <si>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</si>
  <si>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</si>
  <si>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</si>
  <si>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</si>
  <si>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</si>
  <si>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</si>
  <si>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</si>
  <si>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</si>
  <si>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</si>
  <si>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</si>
  <si>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</si>
  <si>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</si>
  <si>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</si>
  <si>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</si>
  <si>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</si>
  <si>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</si>
  <si>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</si>
  <si>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</si>
  <si>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</si>
  <si>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</si>
  <si>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</si>
  <si>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</si>
  <si>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</si>
  <si>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</si>
  <si>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</si>
  <si>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</si>
  <si>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</si>
  <si>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</si>
  <si>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</si>
  <si>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</si>
  <si>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</si>
  <si>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</si>
  <si>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</si>
  <si>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</si>
  <si>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</si>
  <si>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</si>
  <si>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</si>
  <si>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</si>
  <si>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</si>
  <si>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</si>
  <si>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</si>
  <si>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</si>
  <si>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</si>
  <si>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</si>
  <si>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</si>
  <si>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</si>
  <si>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</si>
  <si>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</si>
  <si>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</si>
  <si>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</si>
  <si>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</si>
  <si>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</si>
  <si>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</si>
  <si>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</si>
  <si>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</si>
  <si>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</si>
  <si>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</si>
  <si>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</si>
  <si>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</si>
  <si>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</si>
  <si>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</si>
  <si>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</si>
  <si>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</si>
  <si>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</si>
  <si>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</si>
  <si>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</si>
  <si>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</si>
  <si>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</si>
  <si>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</si>
  <si>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</si>
  <si>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</si>
  <si>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</si>
  <si>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</si>
  <si>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</si>
  <si>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</si>
  <si>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</si>
  <si>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</si>
  <si>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</si>
  <si>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</si>
  <si>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</si>
  <si>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</si>
  <si>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</si>
  <si>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</si>
  <si>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</si>
  <si>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</si>
  <si>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</si>
  <si>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</si>
  <si>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</si>
  <si>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</si>
  <si>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</si>
  <si>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</si>
  <si>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</si>
  <si>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</si>
  <si>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</si>
  <si>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</si>
  <si>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</si>
  <si>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</si>
  <si>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</si>
  <si>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</si>
  <si>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</si>
  <si>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</si>
  <si>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</si>
  <si>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</si>
  <si>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</si>
  <si>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</si>
  <si>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</si>
  <si>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</si>
  <si>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</si>
  <si>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</si>
  <si>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</si>
  <si>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</si>
  <si>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</si>
  <si>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</si>
  <si>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</si>
  <si>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</si>
  <si>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</si>
  <si>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</si>
  <si>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</si>
  <si>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</si>
  <si>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</si>
  <si>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</si>
  <si>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</si>
  <si>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</si>
  <si>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</si>
  <si>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</si>
  <si>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</si>
  <si>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</si>
  <si>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</si>
  <si>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</si>
  <si>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</si>
  <si>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</si>
  <si>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</si>
  <si>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</si>
  <si>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</si>
  <si>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</si>
  <si>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</si>
  <si>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</si>
  <si>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</si>
  <si>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</si>
  <si>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</si>
  <si>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</si>
  <si>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</si>
  <si>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</si>
  <si>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</si>
  <si>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</si>
  <si>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</si>
  <si>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</si>
  <si>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</si>
  <si>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</si>
  <si>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</si>
  <si>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</si>
  <si>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</si>
  <si>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</si>
  <si>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</si>
  <si>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</si>
  <si>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</si>
  <si>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</si>
  <si>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</si>
  <si>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</si>
  <si>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</si>
  <si>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</si>
  <si>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</si>
  <si>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</si>
  <si>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</si>
  <si>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</si>
  <si>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</si>
  <si>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</si>
  <si>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</si>
  <si>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</si>
  <si>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</si>
  <si>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</si>
  <si>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</si>
  <si>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</si>
  <si>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</si>
  <si>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</si>
  <si>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</si>
  <si>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</si>
  <si>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</si>
  <si>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</si>
  <si>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</si>
  <si>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</si>
  <si>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</si>
  <si>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</si>
  <si>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</si>
  <si>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</si>
  <si>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</si>
  <si>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</si>
  <si>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</si>
  <si>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</si>
  <si>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</si>
  <si>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</si>
  <si>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</si>
  <si>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</si>
  <si>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</si>
  <si>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</si>
  <si>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</si>
  <si>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</si>
  <si>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</si>
  <si>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</si>
  <si>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</si>
  <si>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</si>
  <si>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</si>
  <si>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</si>
  <si>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</si>
  <si>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</si>
  <si>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</si>
  <si>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</si>
  <si>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</si>
  <si>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</si>
  <si>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</si>
  <si>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</si>
  <si>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</si>
  <si>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</si>
  <si>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</si>
  <si>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</si>
  <si>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</si>
  <si>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</si>
  <si>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</si>
  <si>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</si>
  <si>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</si>
  <si>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</si>
  <si>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</si>
  <si>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</si>
  <si>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</si>
  <si>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</si>
  <si>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</si>
  <si>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</si>
  <si>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</si>
  <si>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</si>
  <si>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</si>
  <si>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</si>
  <si>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</si>
  <si>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</si>
  <si>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</si>
  <si>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</si>
  <si>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</si>
  <si>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</si>
  <si>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</si>
  <si>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</si>
  <si>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</si>
  <si>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</si>
  <si>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</si>
  <si>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</si>
  <si>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</si>
  <si>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</si>
  <si>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</si>
  <si>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</si>
  <si>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</si>
  <si>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</si>
  <si>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</si>
  <si>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</si>
  <si>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</si>
  <si>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</si>
  <si>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</si>
  <si>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</si>
  <si>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</si>
  <si>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</si>
  <si>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</si>
  <si>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</si>
  <si>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</si>
  <si>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</si>
  <si>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</si>
  <si>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</si>
  <si>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</si>
  <si>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</si>
  <si>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</si>
  <si>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</si>
  <si>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</si>
  <si>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</si>
  <si>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</si>
  <si>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</si>
  <si>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</si>
  <si>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</si>
  <si>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</si>
  <si>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</si>
  <si>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</si>
  <si>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</si>
  <si>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</si>
  <si>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</si>
  <si>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</si>
  <si>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</si>
  <si>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</si>
  <si>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</si>
  <si>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</si>
  <si>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</si>
  <si>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</si>
  <si>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</si>
  <si>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</si>
  <si>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</si>
  <si>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</si>
  <si>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</si>
  <si>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</si>
  <si>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</si>
  <si>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</si>
  <si>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</si>
  <si>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</si>
  <si>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</si>
  <si>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</si>
  <si>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</si>
  <si>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</si>
  <si>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</si>
  <si>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</si>
  <si>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</si>
  <si>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</si>
  <si>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</si>
  <si>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</si>
  <si>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</si>
  <si>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</si>
  <si>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</si>
  <si>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</si>
  <si>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</si>
  <si>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</si>
  <si>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</si>
  <si>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</si>
  <si>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</si>
  <si>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</si>
  <si>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</si>
  <si>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</si>
  <si>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</si>
  <si>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</si>
  <si>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</si>
  <si>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</si>
  <si>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</si>
  <si>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</si>
  <si>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</si>
  <si>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</si>
  <si>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</si>
  <si>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</si>
  <si>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</si>
  <si>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</si>
  <si>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</si>
  <si>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</si>
  <si>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</si>
  <si>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</si>
  <si>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</si>
  <si>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</si>
  <si>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</si>
  <si>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</si>
  <si>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</si>
  <si>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</si>
  <si>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</si>
  <si>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</si>
  <si>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</si>
  <si>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</si>
  <si>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</si>
  <si>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</si>
  <si>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</si>
  <si>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</si>
  <si>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</si>
  <si>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</si>
  <si>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</si>
  <si>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</si>
  <si>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</si>
  <si>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</si>
  <si>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</si>
  <si>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</si>
  <si>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</si>
  <si>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</si>
  <si>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</si>
  <si>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</si>
  <si>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</si>
  <si>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</si>
  <si>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</si>
  <si>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</si>
  <si>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</si>
  <si>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</si>
  <si>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</si>
  <si>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</si>
  <si>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</si>
  <si>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</si>
  <si>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</si>
  <si>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</si>
  <si>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</si>
  <si>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</si>
  <si>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</si>
  <si>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</si>
  <si>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</si>
  <si>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</si>
  <si>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</si>
  <si>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</si>
  <si>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</si>
  <si>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</si>
  <si>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</si>
  <si>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</si>
  <si>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</si>
  <si>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</si>
  <si>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</si>
  <si>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</si>
  <si>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</si>
  <si>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</si>
  <si>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</si>
  <si>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</si>
  <si>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</si>
  <si>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</si>
  <si>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</si>
  <si>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</si>
  <si>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</si>
  <si>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</si>
  <si>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</si>
  <si>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</si>
  <si>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</si>
  <si>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</si>
  <si>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</si>
  <si>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</si>
  <si>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</si>
  <si>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</si>
  <si>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</si>
  <si>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</si>
  <si>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</si>
  <si>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</si>
  <si>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</si>
  <si>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</si>
  <si>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</si>
  <si>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</si>
  <si>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</si>
  <si>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</si>
  <si>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</si>
  <si>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</si>
  <si>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</si>
  <si>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</si>
  <si>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</si>
  <si>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</si>
  <si>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</si>
  <si>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</si>
  <si>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</si>
  <si>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</si>
  <si>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</si>
  <si>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</si>
  <si>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</si>
  <si>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</si>
  <si>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</si>
  <si>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</si>
  <si>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</si>
  <si>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</si>
  <si>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</si>
  <si>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</si>
  <si>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</si>
  <si>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</si>
  <si>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</si>
  <si>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</si>
  <si>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</si>
  <si>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</si>
  <si>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</si>
  <si>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</si>
  <si>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</si>
  <si>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</si>
  <si>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</si>
  <si>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</si>
  <si>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</si>
  <si>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</si>
  <si>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</si>
  <si>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</si>
  <si>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</si>
  <si>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</si>
  <si>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</si>
  <si>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</si>
  <si>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</si>
  <si>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</si>
  <si>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</si>
  <si>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</si>
  <si>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</si>
  <si>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</si>
  <si>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</si>
  <si>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</si>
  <si>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</si>
  <si>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</si>
  <si>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</si>
  <si>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</si>
  <si>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</si>
  <si>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</si>
  <si>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</si>
  <si>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</si>
  <si>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</si>
  <si>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</si>
  <si>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</si>
  <si>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</si>
  <si>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</si>
  <si>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</si>
  <si>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</si>
  <si>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</si>
  <si>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</si>
  <si>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</si>
  <si>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</si>
  <si>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</si>
  <si>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</si>
  <si>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</si>
  <si>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</si>
  <si>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</si>
  <si>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</si>
  <si>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</si>
  <si>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</si>
  <si>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</si>
  <si>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</si>
  <si>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</si>
  <si>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</si>
  <si>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</si>
  <si>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</si>
  <si>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</si>
  <si>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</si>
  <si>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</si>
  <si>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</si>
  <si>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</si>
  <si>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</si>
  <si>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</si>
  <si>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</si>
  <si>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</si>
  <si>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</si>
  <si>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</si>
  <si>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</si>
  <si>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</si>
  <si>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</si>
  <si>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</si>
  <si>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</si>
  <si>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</si>
  <si>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</si>
  <si>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</si>
  <si>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</si>
  <si>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</si>
  <si>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</si>
  <si>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</si>
  <si>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</si>
  <si>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</si>
  <si>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</si>
  <si>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</si>
  <si>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</si>
  <si>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</si>
  <si>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</si>
  <si>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</si>
  <si>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</si>
  <si>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</si>
  <si>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</si>
  <si>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</si>
  <si>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</si>
  <si>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</si>
  <si>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</si>
  <si>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</si>
  <si>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</si>
  <si>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</si>
  <si>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</si>
  <si>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</si>
  <si>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</si>
  <si>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</si>
  <si>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</si>
  <si>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</si>
  <si>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</si>
  <si>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</si>
  <si>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</si>
  <si>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</si>
  <si>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</si>
  <si>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</si>
  <si>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</si>
  <si>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</si>
  <si>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</si>
  <si>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</si>
  <si>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</si>
  <si>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</si>
  <si>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</si>
  <si>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</si>
  <si>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</si>
  <si>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</si>
  <si>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</si>
  <si>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</si>
  <si>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</si>
  <si>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</si>
  <si>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</si>
  <si>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</si>
  <si>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</si>
  <si>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</si>
  <si>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</si>
  <si>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</si>
  <si>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</si>
  <si>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</si>
  <si>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</si>
  <si>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</si>
  <si>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</si>
  <si>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</si>
  <si>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</si>
  <si>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</si>
  <si>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</si>
  <si>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</si>
  <si>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</si>
  <si>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</si>
  <si>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</si>
  <si>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</si>
  <si>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</si>
  <si>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</si>
  <si>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</si>
  <si>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</si>
  <si>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</si>
  <si>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</si>
  <si>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</si>
  <si>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</si>
  <si>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</si>
  <si>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</si>
  <si>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</si>
  <si>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</si>
  <si>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</si>
  <si>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</si>
  <si>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</si>
  <si>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</si>
  <si>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</si>
  <si>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</si>
  <si>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</si>
  <si>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</si>
  <si>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</si>
  <si>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</si>
  <si>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</si>
  <si>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</si>
  <si>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</si>
  <si>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</si>
  <si>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</si>
  <si>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</si>
  <si>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</si>
  <si>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</si>
  <si>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</si>
  <si>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</si>
  <si>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</si>
  <si>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</si>
  <si>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</si>
  <si>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</si>
  <si>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</si>
  <si>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</si>
  <si>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</si>
  <si>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</si>
  <si>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</si>
  <si>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</si>
  <si>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</si>
  <si>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</si>
  <si>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</si>
  <si>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</si>
  <si>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</si>
  <si>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</si>
  <si>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</si>
  <si>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</si>
  <si>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</si>
  <si>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</si>
  <si>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</si>
  <si>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</si>
  <si>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</si>
  <si>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</si>
  <si>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</si>
  <si>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</si>
  <si>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</si>
  <si>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</si>
  <si>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</si>
  <si>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</si>
  <si>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</si>
  <si>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</si>
  <si>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</si>
  <si>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</si>
  <si>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</si>
  <si>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</si>
  <si>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</si>
  <si>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</si>
  <si>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</si>
  <si>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</si>
  <si>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</si>
  <si>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</si>
  <si>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</si>
  <si>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</si>
  <si>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</si>
  <si>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</si>
  <si>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</si>
  <si>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</si>
  <si>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</si>
  <si>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</si>
  <si>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</si>
  <si>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</si>
  <si>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</si>
  <si>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</si>
  <si>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</si>
  <si>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</si>
  <si>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</si>
  <si>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</si>
  <si>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</si>
  <si>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</si>
  <si>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</si>
  <si>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</si>
  <si>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</si>
  <si>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</si>
  <si>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</si>
  <si>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</si>
  <si>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</si>
  <si>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</si>
  <si>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</si>
  <si>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</si>
  <si>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</si>
  <si>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</si>
  <si>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</si>
  <si>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</si>
  <si>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</si>
  <si>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</si>
  <si>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</si>
  <si>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</si>
  <si>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</si>
  <si>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</si>
  <si>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</si>
  <si>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</si>
  <si>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</si>
  <si>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</si>
  <si>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</si>
  <si>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</si>
  <si>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</si>
  <si>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</si>
  <si>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</si>
  <si>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</si>
  <si>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</si>
  <si>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</si>
  <si>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</si>
  <si>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</si>
  <si>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</si>
  <si>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</si>
  <si>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</si>
  <si>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</si>
  <si>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</si>
  <si>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</si>
  <si>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</si>
  <si>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</si>
  <si>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</si>
  <si>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</si>
  <si>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</si>
  <si>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</si>
  <si>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</si>
  <si>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</si>
  <si>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</si>
  <si>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</si>
  <si>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</si>
  <si>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</si>
  <si>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</si>
  <si>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</si>
  <si>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</si>
  <si>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</si>
  <si>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</si>
  <si>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</si>
  <si>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</si>
  <si>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</si>
  <si>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</si>
  <si>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</si>
  <si>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</si>
  <si>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</si>
  <si>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</si>
  <si>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</si>
  <si>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</si>
  <si>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</si>
  <si>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</si>
  <si>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</si>
  <si>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</si>
  <si>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</si>
  <si>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</si>
  <si>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</si>
  <si>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</si>
  <si>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</si>
  <si>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</si>
  <si>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</si>
  <si>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</si>
  <si>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</si>
  <si>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</si>
  <si>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</si>
  <si>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</si>
  <si>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</si>
  <si>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</si>
  <si>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</si>
  <si>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</si>
  <si>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</si>
  <si>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</si>
  <si>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</si>
  <si>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</si>
  <si>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</si>
  <si>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</si>
  <si>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</si>
  <si>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</si>
  <si>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</si>
  <si>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</si>
  <si>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</si>
  <si>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</si>
  <si>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</si>
  <si>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</si>
  <si>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</si>
  <si>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</si>
  <si>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</si>
  <si>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</si>
  <si>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</si>
  <si>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</si>
  <si>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</si>
  <si>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</si>
  <si>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</si>
  <si>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</si>
  <si>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</si>
  <si>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</si>
  <si>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</si>
  <si>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</si>
  <si>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</si>
  <si>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</si>
  <si>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</si>
  <si>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</si>
  <si>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</si>
  <si>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</si>
  <si>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</si>
  <si>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</si>
  <si>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</si>
  <si>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</si>
  <si>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</si>
  <si>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</si>
  <si>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</si>
  <si>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</si>
  <si>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</si>
  <si>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</si>
  <si>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</si>
  <si>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</si>
  <si>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</si>
  <si>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</si>
  <si>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</si>
  <si>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</si>
  <si>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</si>
  <si>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</si>
  <si>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</si>
  <si>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</si>
  <si>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</si>
  <si>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</si>
  <si>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</si>
  <si>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</si>
  <si>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</si>
  <si>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</si>
  <si>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</si>
  <si>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</si>
  <si>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</si>
  <si>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</si>
  <si>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</si>
  <si>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</si>
  <si>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</si>
  <si>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</si>
  <si>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</si>
  <si>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</si>
  <si>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</si>
  <si>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</si>
  <si>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</si>
  <si>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</si>
  <si>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</si>
  <si>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</si>
  <si>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</si>
  <si>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</si>
  <si>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</si>
  <si>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</si>
  <si>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</si>
  <si>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</si>
  <si>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</si>
  <si>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</si>
  <si>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</si>
  <si>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</si>
  <si>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</si>
  <si>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</si>
  <si>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</si>
  <si>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</si>
  <si>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</si>
  <si>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</si>
  <si>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</si>
  <si>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</si>
  <si>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</si>
  <si>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</si>
  <si>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</si>
  <si>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</si>
  <si>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</si>
  <si>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</si>
  <si>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</si>
  <si>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</si>
  <si>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</si>
  <si>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</si>
  <si>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</si>
  <si>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</si>
  <si>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</si>
  <si>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</si>
  <si>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</si>
  <si>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</si>
  <si>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</si>
  <si>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</si>
  <si>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</si>
  <si>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</si>
  <si>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</si>
  <si>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</si>
  <si>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</si>
  <si>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</si>
  <si>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</si>
  <si>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</si>
  <si>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</si>
  <si>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</si>
  <si>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</si>
  <si>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</si>
  <si>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</si>
  <si>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</si>
  <si>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</si>
  <si>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</si>
  <si>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</si>
  <si>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</si>
  <si>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</si>
  <si>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</si>
  <si>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</si>
  <si>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</si>
  <si>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</si>
  <si>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</si>
  <si>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</si>
  <si>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</si>
  <si>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</si>
  <si>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</si>
  <si>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</si>
  <si>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</si>
  <si>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</si>
  <si>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</si>
  <si>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</si>
  <si>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</si>
  <si>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</si>
  <si>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</si>
  <si>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</si>
  <si>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</si>
  <si>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</si>
  <si>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</si>
  <si>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</si>
  <si>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</si>
  <si>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</si>
  <si>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</si>
  <si>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</si>
  <si>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</si>
  <si>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</si>
  <si>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</si>
  <si>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</si>
  <si>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</si>
  <si>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</si>
  <si>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</si>
  <si>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</si>
  <si>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</si>
  <si>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</si>
  <si>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</si>
  <si>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</si>
  <si>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</si>
  <si>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</si>
  <si>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</si>
  <si>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</si>
  <si>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</si>
  <si>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</si>
  <si>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</si>
  <si>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</si>
  <si>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</si>
  <si>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</si>
  <si>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</si>
  <si>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</si>
  <si>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</si>
  <si>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</si>
  <si>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</si>
  <si>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</si>
  <si>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</si>
  <si>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</si>
  <si>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</si>
  <si>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</si>
  <si>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</si>
  <si>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</si>
  <si>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</si>
  <si>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</si>
  <si>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</si>
  <si>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</si>
  <si>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</si>
  <si>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</si>
  <si>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</si>
  <si>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</si>
  <si>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</si>
  <si>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</si>
  <si>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</si>
  <si>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</si>
  <si>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</si>
  <si>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</si>
  <si>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</si>
  <si>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</si>
  <si>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</si>
  <si>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</si>
  <si>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</si>
  <si>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</si>
  <si>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</si>
  <si>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</si>
  <si>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</si>
  <si>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</si>
  <si>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</si>
  <si>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</si>
  <si>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</si>
  <si>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</si>
  <si>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</si>
  <si>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</si>
  <si>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</si>
  <si>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</si>
  <si>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</si>
  <si>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</si>
  <si>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</si>
  <si>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</si>
  <si>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</si>
  <si>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</si>
  <si>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</si>
  <si>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</si>
  <si>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</si>
  <si>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</si>
  <si>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</si>
  <si>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</si>
  <si>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</si>
  <si>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</si>
  <si>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</si>
  <si>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</si>
  <si>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</si>
  <si>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</si>
  <si>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</si>
  <si>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</si>
  <si>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</si>
  <si>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</si>
  <si>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</si>
  <si>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</si>
  <si>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</si>
  <si>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</si>
  <si>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</si>
  <si>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</si>
  <si>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</si>
  <si>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</si>
  <si>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</si>
  <si>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</si>
  <si>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</si>
  <si>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</si>
  <si>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</si>
  <si>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</si>
  <si>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</si>
  <si>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</si>
  <si>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</si>
  <si>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</si>
  <si>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</si>
  <si>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</si>
  <si>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</si>
  <si>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</si>
  <si>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</si>
  <si>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</si>
  <si>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</si>
  <si>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</si>
  <si>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</si>
  <si>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</si>
  <si>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</si>
  <si>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</si>
  <si>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</si>
  <si>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</si>
  <si>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</si>
  <si>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</si>
  <si>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</si>
  <si>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</si>
  <si>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</si>
  <si>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</si>
  <si>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</si>
  <si>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</si>
  <si>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</si>
  <si>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</si>
  <si>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</si>
  <si>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</si>
  <si>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</si>
  <si>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</si>
  <si>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</si>
  <si>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</si>
  <si>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</si>
  <si>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</si>
  <si>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</si>
  <si>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</si>
  <si>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</si>
  <si>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</si>
  <si>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</si>
  <si>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</si>
  <si>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</si>
  <si>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</si>
  <si>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</si>
  <si>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</si>
  <si>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</si>
  <si>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</si>
  <si>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</si>
  <si>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</si>
  <si>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</si>
  <si>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</si>
  <si>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</si>
  <si>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</si>
  <si>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</si>
  <si>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</si>
  <si>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</si>
  <si>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</si>
  <si>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</si>
  <si>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</si>
  <si>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</si>
  <si>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</si>
  <si>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</si>
  <si>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</si>
  <si>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</si>
  <si>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</si>
  <si>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</si>
  <si>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</si>
  <si>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</si>
  <si>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</si>
  <si>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</si>
  <si>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</si>
  <si>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</si>
  <si>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</si>
  <si>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</si>
  <si>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</si>
  <si>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</si>
  <si>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</si>
  <si>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</si>
  <si>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</si>
  <si>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</si>
  <si>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</si>
  <si>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</si>
  <si>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</si>
  <si>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</si>
  <si>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</si>
  <si>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</si>
  <si>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</si>
  <si>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</si>
  <si>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</si>
  <si>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</si>
  <si>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</si>
  <si>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</si>
  <si>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</si>
  <si>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</si>
  <si>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</si>
  <si>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</si>
  <si>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</si>
  <si>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</si>
  <si>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</si>
  <si>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</si>
  <si>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</si>
  <si>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</si>
  <si>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</si>
  <si>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</si>
  <si>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</si>
  <si>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</si>
  <si>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</si>
  <si>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</si>
  <si>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</si>
  <si>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</si>
  <si>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</si>
  <si>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</si>
  <si>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</si>
  <si>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</si>
  <si>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</si>
  <si>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</si>
  <si>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</si>
  <si>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</si>
  <si>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</si>
  <si>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</si>
  <si>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</si>
  <si>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</si>
  <si>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</si>
  <si>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</si>
  <si>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</si>
  <si>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</si>
  <si>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</si>
  <si>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</si>
  <si>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</si>
  <si>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</si>
  <si>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</si>
  <si>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</si>
  <si>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</si>
  <si>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</si>
  <si>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</si>
  <si>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</si>
  <si>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</si>
  <si>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</si>
  <si>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</si>
  <si>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</si>
  <si>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</si>
  <si>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</si>
  <si>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</si>
  <si>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</si>
  <si>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</si>
  <si>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</si>
  <si>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</si>
  <si>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</si>
  <si>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</si>
  <si>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</si>
  <si>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</si>
  <si>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</si>
  <si>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</si>
  <si>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</si>
  <si>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</si>
  <si>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</si>
  <si>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</si>
  <si>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</si>
  <si>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</si>
  <si>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</si>
  <si>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</si>
  <si>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</si>
  <si>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</si>
  <si>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</si>
  <si>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</si>
  <si>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</si>
  <si>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</si>
  <si>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</si>
  <si>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</si>
  <si>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</si>
  <si>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</si>
  <si>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</si>
  <si>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</si>
  <si>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</si>
  <si>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</si>
  <si>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</si>
  <si>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</si>
  <si>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</si>
  <si>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</si>
  <si>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</si>
  <si>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</si>
  <si>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</si>
  <si>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</si>
  <si>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</si>
  <si>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</si>
  <si>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</si>
  <si>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</si>
  <si>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</si>
  <si>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</si>
  <si>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</si>
  <si>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</si>
  <si>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</si>
  <si>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</si>
  <si>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</si>
  <si>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</si>
  <si>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</si>
  <si>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</si>
  <si>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</si>
  <si>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</si>
  <si>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</si>
  <si>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</si>
  <si>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</si>
  <si>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</si>
  <si>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</si>
  <si>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</si>
  <si>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</si>
  <si>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</si>
  <si>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</si>
  <si>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</si>
  <si>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</si>
  <si>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</si>
  <si>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</si>
  <si>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</si>
  <si>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</si>
  <si>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</si>
  <si>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</si>
  <si>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</si>
  <si>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</si>
  <si>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</si>
  <si>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</si>
  <si>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</si>
  <si>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</si>
  <si>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</si>
  <si>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</si>
  <si>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</si>
  <si>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</si>
  <si>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</si>
  <si>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</si>
  <si>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</si>
  <si>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</si>
  <si>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</si>
  <si>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</si>
  <si>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</si>
  <si>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</si>
  <si>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</si>
  <si>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</si>
  <si>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</si>
  <si>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</si>
  <si>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</si>
  <si>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</si>
  <si>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</si>
  <si>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</si>
  <si>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</si>
  <si>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</si>
  <si>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</si>
  <si>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</si>
  <si>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</si>
  <si>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</si>
  <si>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</si>
  <si>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</si>
  <si>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</si>
  <si>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</si>
  <si>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</si>
  <si>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</si>
  <si>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</si>
  <si>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</si>
  <si>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</si>
  <si>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</si>
  <si>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</si>
  <si>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</si>
  <si>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</si>
  <si>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</si>
  <si>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</si>
  <si>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</si>
  <si>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</si>
  <si>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</si>
  <si>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</si>
  <si>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</si>
  <si>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</si>
  <si>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</si>
  <si>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</si>
  <si>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</si>
  <si>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</si>
  <si>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</si>
  <si>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</si>
  <si>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</si>
  <si>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</si>
  <si>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</si>
  <si>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</si>
  <si>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</si>
  <si>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</si>
  <si>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</si>
  <si>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</si>
  <si>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</si>
  <si>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</si>
  <si>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</si>
  <si>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</si>
  <si>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</si>
  <si>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</si>
  <si>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</si>
  <si>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</si>
  <si>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</si>
  <si>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</si>
  <si>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</si>
  <si>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</si>
  <si>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</si>
  <si>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</si>
  <si>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</si>
  <si>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</si>
  <si>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</si>
  <si>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</si>
  <si>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</si>
  <si>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</si>
  <si>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</si>
  <si>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</si>
  <si>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</si>
  <si>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</si>
  <si>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</si>
  <si>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</si>
  <si>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</si>
  <si>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</si>
  <si>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</si>
  <si>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</si>
  <si>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</si>
  <si>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</si>
  <si>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</si>
  <si>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</si>
  <si>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</si>
  <si>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</si>
  <si>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</si>
  <si>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</si>
  <si>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</si>
  <si>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</si>
  <si>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</si>
  <si>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</si>
  <si>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</si>
  <si>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</si>
  <si>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</si>
  <si>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</si>
  <si>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</si>
  <si>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</si>
  <si>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</si>
  <si>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</si>
  <si>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</si>
  <si>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</si>
  <si>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</si>
  <si>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</si>
  <si>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</si>
  <si>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</si>
  <si>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</si>
  <si>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</si>
  <si>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</si>
  <si>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</si>
  <si>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</si>
  <si>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</si>
  <si>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</si>
  <si>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</si>
  <si>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</si>
  <si>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</si>
  <si>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</si>
  <si>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</si>
  <si>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</si>
  <si>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</si>
  <si>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</si>
  <si>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</si>
  <si>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</si>
  <si>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</si>
  <si>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</si>
  <si>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</si>
  <si>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</si>
  <si>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</si>
  <si>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</si>
  <si>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</si>
  <si>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</si>
  <si>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</si>
  <si>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</si>
  <si>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</si>
  <si>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</si>
  <si>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</si>
  <si>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</si>
  <si>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</si>
  <si>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</si>
  <si>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</si>
  <si>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</si>
  <si>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</si>
  <si>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</si>
  <si>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</si>
  <si>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</si>
  <si>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</si>
  <si>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</si>
  <si>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</si>
  <si>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</si>
  <si>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</si>
  <si>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</si>
  <si>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</si>
  <si>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</si>
  <si>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</si>
  <si>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</si>
  <si>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</si>
  <si>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</si>
  <si>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</si>
  <si>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</si>
  <si>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</si>
  <si>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</si>
  <si>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</si>
  <si>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</si>
  <si>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</si>
  <si>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</si>
  <si>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</si>
  <si>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</si>
  <si>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</si>
  <si>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</si>
  <si>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</si>
  <si>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</si>
  <si>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</si>
  <si>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</si>
  <si>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</si>
  <si>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</si>
  <si>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</si>
  <si>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</si>
  <si>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</si>
  <si>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</si>
  <si>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</si>
  <si>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</si>
  <si>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</si>
  <si>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</si>
  <si>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</si>
  <si>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</si>
  <si>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</si>
  <si>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</si>
  <si>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</si>
  <si>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</si>
  <si>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</si>
  <si>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</si>
  <si>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</si>
  <si>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</si>
  <si>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</si>
  <si>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</si>
  <si>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</si>
  <si>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</si>
  <si>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</si>
  <si>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</si>
  <si>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</si>
  <si>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</si>
  <si>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</si>
  <si>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</si>
  <si>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</si>
  <si>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</si>
  <si>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</si>
  <si>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</si>
  <si>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</si>
  <si>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</si>
  <si>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</si>
  <si>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</si>
  <si>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</si>
  <si>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</si>
  <si>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</si>
  <si>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</si>
  <si>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</si>
  <si>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</si>
  <si>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</si>
  <si>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</si>
  <si>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</si>
  <si>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</si>
  <si>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</si>
  <si>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</si>
  <si>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</si>
  <si>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</si>
  <si>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</si>
  <si>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</si>
  <si>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</si>
  <si>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</si>
  <si>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</si>
  <si>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</si>
  <si>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</si>
  <si>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</si>
  <si>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</si>
  <si>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</si>
  <si>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</si>
  <si>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</si>
  <si>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</si>
  <si>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</si>
  <si>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</si>
  <si>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</si>
  <si>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</si>
  <si>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</si>
  <si>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</si>
  <si>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</si>
  <si>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</si>
  <si>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</si>
  <si>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</si>
  <si>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</si>
  <si>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</si>
  <si>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</si>
  <si>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</si>
  <si>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</si>
  <si>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</si>
  <si>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</si>
  <si>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</si>
  <si>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</si>
  <si>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</si>
  <si>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</si>
  <si>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</si>
  <si>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</si>
  <si>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</si>
  <si>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</si>
  <si>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</si>
  <si>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</si>
  <si>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</si>
  <si>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</si>
  <si>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</si>
  <si>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</si>
  <si>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</si>
  <si>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</si>
  <si>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</si>
  <si>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</si>
  <si>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</si>
  <si>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</si>
  <si>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</si>
  <si>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</si>
  <si>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</si>
  <si>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</si>
  <si>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</si>
  <si>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</si>
  <si>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</si>
  <si>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</si>
  <si>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</si>
  <si>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</si>
  <si>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</si>
  <si>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</si>
  <si>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</si>
  <si>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</si>
  <si>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</si>
  <si>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</si>
  <si>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</si>
  <si>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</si>
  <si>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</si>
  <si>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</si>
  <si>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</si>
  <si>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</si>
  <si>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</si>
  <si>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</si>
  <si>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</si>
  <si>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</si>
  <si>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</si>
  <si>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</si>
  <si>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</si>
  <si>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</si>
  <si>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</si>
  <si>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</si>
  <si>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</si>
  <si>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</si>
  <si>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</si>
  <si>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</si>
  <si>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</si>
  <si>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</si>
  <si>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</si>
  <si>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</si>
  <si>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</si>
  <si>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</si>
  <si>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</si>
  <si>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</si>
  <si>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</si>
  <si>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</si>
  <si>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</si>
  <si>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</si>
  <si>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</si>
  <si>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</si>
  <si>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</si>
  <si>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</si>
  <si>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</si>
  <si>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</si>
  <si>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</si>
  <si>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</si>
  <si>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</si>
  <si>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</si>
  <si>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</si>
  <si>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</si>
  <si>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</si>
  <si>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</si>
  <si>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</si>
  <si>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</si>
  <si>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</si>
  <si>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</si>
  <si>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</si>
  <si>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</si>
  <si>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</si>
  <si>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</si>
  <si>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</si>
  <si>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</si>
  <si>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</si>
  <si>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</si>
  <si>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</si>
  <si>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</si>
  <si>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</si>
  <si>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</si>
  <si>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</si>
  <si>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</si>
  <si>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</si>
  <si>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</si>
  <si>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</si>
  <si>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</si>
  <si>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</si>
  <si>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</si>
  <si>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</si>
  <si>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</si>
  <si>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</si>
  <si>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</si>
  <si>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</si>
  <si>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</si>
  <si>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</si>
  <si>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</si>
  <si>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</si>
  <si>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</si>
  <si>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</si>
  <si>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</si>
  <si>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</si>
  <si>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</si>
  <si>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</si>
  <si>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</si>
  <si>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</si>
  <si>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</si>
  <si>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</si>
  <si>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</si>
  <si>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</si>
  <si>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</si>
  <si>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</si>
  <si>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</si>
  <si>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</si>
  <si>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</si>
  <si>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</si>
  <si>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</si>
  <si>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</si>
  <si>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</si>
  <si>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</si>
  <si>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</si>
  <si>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</si>
  <si>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</si>
  <si>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</si>
  <si>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</si>
  <si>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</si>
  <si>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</si>
  <si>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</si>
  <si>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</si>
  <si>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</si>
  <si>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</si>
  <si>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</si>
  <si>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</si>
  <si>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</si>
  <si>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</si>
  <si>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</si>
  <si>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</si>
  <si>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</si>
  <si>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</si>
  <si>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</si>
  <si>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</si>
  <si>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</si>
  <si>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</si>
  <si>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</si>
  <si>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</si>
  <si>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</si>
  <si>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</si>
  <si>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</si>
  <si>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</si>
  <si>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</si>
  <si>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</si>
  <si>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</si>
  <si>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</si>
  <si>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</si>
  <si>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</si>
  <si>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</si>
  <si>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</si>
  <si>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</si>
  <si>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</si>
  <si>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</si>
  <si>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</si>
  <si>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</si>
  <si>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</si>
  <si>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</si>
  <si>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</si>
  <si>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</si>
  <si>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</si>
  <si>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</si>
  <si>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</si>
  <si>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</si>
  <si>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</si>
  <si>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</si>
  <si>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</si>
  <si>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</si>
  <si>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</si>
  <si>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</si>
  <si>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</si>
  <si>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</si>
  <si>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</si>
  <si>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</si>
  <si>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</si>
  <si>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</si>
  <si>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</si>
  <si>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</si>
  <si>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</si>
  <si>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</si>
  <si>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</si>
  <si>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</si>
  <si>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</si>
  <si>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</si>
  <si>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</si>
  <si>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</si>
  <si>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</si>
  <si>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</si>
  <si>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</si>
  <si>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</si>
  <si>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</si>
  <si>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</si>
  <si>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</si>
  <si>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</si>
  <si>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</si>
  <si>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</si>
  <si>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</si>
  <si>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</si>
  <si>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</si>
  <si>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</si>
  <si>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</si>
  <si>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</si>
  <si>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</si>
  <si>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</si>
  <si>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</si>
  <si>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</si>
  <si>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</si>
  <si>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</si>
  <si>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</si>
  <si>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</si>
  <si>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</si>
  <si>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</si>
  <si>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</si>
  <si>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</si>
  <si>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</si>
  <si>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</si>
  <si>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</si>
  <si>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</si>
  <si>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</si>
  <si>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</si>
  <si>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</si>
  <si>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</si>
  <si>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</si>
  <si>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</si>
  <si>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</si>
  <si>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</si>
  <si>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</si>
  <si>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</si>
  <si>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</si>
  <si>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</si>
  <si>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</si>
  <si>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</si>
  <si>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</si>
  <si>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</si>
  <si>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</si>
  <si>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</si>
  <si>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</si>
  <si>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</si>
  <si>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</si>
  <si>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</si>
  <si>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</si>
  <si>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</si>
  <si>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</si>
  <si>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</si>
  <si>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</si>
  <si>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</si>
  <si>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</si>
  <si>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</si>
  <si>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</si>
  <si>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</si>
  <si>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</si>
  <si>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</si>
  <si>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</si>
  <si>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</si>
  <si>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</si>
  <si>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</si>
  <si>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</si>
  <si>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</si>
  <si>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</si>
  <si>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</si>
  <si>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</si>
  <si>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</si>
  <si>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</si>
  <si>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</si>
  <si>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</si>
  <si>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</si>
  <si>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</si>
  <si>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</si>
  <si>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</si>
  <si>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</si>
  <si>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</si>
  <si>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</si>
  <si>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</si>
  <si>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</si>
  <si>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</si>
  <si>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</si>
  <si>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</si>
  <si>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</si>
  <si>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</si>
  <si>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</si>
  <si>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</si>
  <si>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</si>
  <si>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</si>
  <si>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</si>
  <si>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</si>
  <si>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</si>
  <si>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</si>
  <si>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</si>
  <si>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</si>
  <si>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</si>
  <si>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</si>
  <si>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</si>
  <si>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</si>
  <si>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</si>
  <si>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</si>
  <si>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</si>
  <si>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</si>
  <si>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</si>
  <si>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</si>
  <si>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</si>
  <si>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</si>
  <si>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</si>
  <si>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</si>
  <si>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</si>
  <si>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</si>
  <si>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</si>
  <si>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</si>
  <si>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</si>
  <si>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</si>
  <si>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</si>
  <si>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</si>
  <si>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</si>
  <si>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</si>
  <si>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</si>
  <si>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</si>
  <si>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</si>
  <si>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</si>
  <si>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</si>
  <si>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</si>
  <si>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</si>
  <si>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</si>
  <si>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</si>
  <si>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</si>
  <si>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</si>
  <si>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</si>
  <si>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</si>
  <si>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</si>
  <si>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</si>
  <si>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</si>
  <si>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</si>
  <si>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</si>
  <si>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</si>
  <si>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</si>
  <si>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</si>
  <si>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</si>
  <si>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</si>
  <si>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</si>
  <si>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</si>
  <si>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</si>
  <si>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</si>
  <si>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</si>
  <si>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</si>
  <si>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</si>
  <si>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</si>
  <si>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</si>
  <si>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</si>
  <si>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</si>
  <si>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</si>
  <si>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</si>
  <si>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</si>
  <si>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</si>
  <si>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</si>
  <si>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</si>
  <si>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</si>
  <si>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</si>
  <si>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</si>
  <si>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</si>
  <si>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</si>
  <si>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</si>
  <si>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</si>
  <si>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</si>
  <si>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</si>
  <si>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</si>
  <si>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</si>
  <si>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</si>
  <si>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</si>
  <si>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</si>
  <si>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</si>
  <si>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</si>
  <si>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</si>
  <si>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</si>
  <si>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</si>
  <si>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</si>
  <si>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</si>
  <si>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</si>
  <si>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</si>
  <si>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</si>
  <si>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</si>
  <si>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</si>
  <si>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</si>
  <si>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</si>
  <si>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</si>
  <si>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</si>
  <si>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</si>
  <si>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</si>
  <si>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</si>
  <si>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</si>
  <si>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</si>
  <si>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</si>
  <si>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</si>
  <si>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</si>
  <si>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</si>
  <si>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</si>
  <si>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</si>
  <si>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</si>
  <si>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</si>
  <si>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</si>
  <si>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</si>
  <si>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</si>
  <si>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</si>
  <si>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</si>
  <si>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</si>
  <si>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</si>
  <si>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</si>
  <si>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</si>
  <si>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</si>
  <si>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</si>
  <si>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</si>
  <si>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</si>
  <si>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</si>
  <si>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</si>
  <si>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</si>
  <si>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</si>
  <si>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</si>
  <si>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</si>
  <si>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</si>
  <si>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</si>
  <si>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</si>
  <si>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</si>
  <si>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</si>
  <si>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</si>
  <si>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</si>
  <si>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</si>
  <si>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</si>
  <si>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</si>
  <si>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</si>
  <si>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</si>
  <si>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</si>
  <si>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</si>
  <si>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</si>
  <si>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</si>
  <si>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</si>
  <si>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</si>
  <si>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</si>
  <si>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</si>
  <si>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</si>
  <si>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</si>
  <si>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</si>
  <si>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</si>
  <si>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</si>
  <si>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</si>
  <si>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</si>
  <si>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</si>
  <si>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</si>
  <si>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</si>
  <si>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</si>
  <si>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</si>
  <si>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</si>
  <si>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</si>
  <si>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</si>
  <si>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</si>
  <si>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</si>
  <si>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</si>
  <si>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</si>
  <si>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</si>
  <si>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</si>
  <si>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</si>
  <si>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</si>
  <si>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</si>
  <si>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</si>
  <si>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</si>
  <si>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</si>
  <si>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</si>
  <si>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</si>
  <si>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</si>
  <si>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</si>
  <si>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</si>
  <si>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</si>
  <si>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</si>
  <si>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</si>
  <si>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</si>
  <si>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</si>
  <si>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</si>
  <si>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</si>
  <si>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</si>
  <si>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</si>
  <si>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</si>
  <si>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</si>
  <si>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</si>
  <si>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</si>
  <si>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</si>
  <si>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</si>
  <si>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</si>
  <si>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</si>
  <si>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</si>
  <si>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</si>
  <si>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</si>
  <si>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</si>
  <si>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</si>
  <si>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</si>
  <si>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</si>
  <si>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</si>
  <si>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</si>
  <si>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</si>
  <si>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</si>
  <si>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</si>
  <si>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</si>
  <si>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</si>
  <si>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</si>
  <si>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</si>
  <si>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</si>
  <si>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</si>
  <si>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</si>
  <si>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</si>
  <si>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</si>
  <si>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</si>
  <si>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</si>
  <si>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</si>
  <si>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</si>
  <si>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</si>
  <si>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</si>
  <si>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</si>
  <si>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</si>
  <si>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</si>
  <si>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</si>
  <si>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</si>
  <si>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</si>
  <si>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</si>
  <si>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</si>
  <si>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</si>
  <si>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</si>
  <si>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</si>
  <si>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</si>
  <si>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</si>
  <si>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</si>
  <si>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</si>
  <si>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</si>
  <si>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</si>
  <si>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</si>
  <si>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</si>
  <si>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</si>
  <si>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</si>
  <si>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</si>
  <si>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</si>
  <si>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</si>
  <si>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</si>
  <si>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</si>
  <si>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</si>
  <si>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</si>
  <si>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</si>
  <si>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</si>
  <si>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</si>
  <si>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</si>
  <si>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</si>
  <si>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</si>
  <si>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</si>
  <si>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</si>
  <si>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</si>
  <si>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</si>
  <si>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</si>
  <si>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</si>
  <si>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</si>
  <si>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</si>
  <si>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</si>
  <si>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</si>
  <si>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</si>
  <si>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</si>
  <si>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</si>
  <si>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</si>
  <si>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</si>
  <si>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</si>
  <si>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</si>
  <si>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</si>
  <si>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</si>
  <si>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</si>
  <si>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</si>
  <si>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</si>
  <si>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</si>
  <si>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</si>
  <si>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</si>
  <si>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</si>
  <si>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</si>
  <si>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</si>
  <si>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</si>
  <si>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</si>
  <si>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</si>
  <si>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</si>
  <si>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</si>
  <si>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</si>
  <si>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</si>
  <si>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</si>
  <si>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</si>
  <si>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</si>
  <si>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</si>
  <si>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</si>
  <si>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</si>
  <si>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</si>
  <si>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</si>
  <si>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</si>
  <si>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</si>
  <si>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</si>
  <si>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</si>
  <si>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</si>
  <si>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</si>
  <si>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</si>
  <si>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</si>
  <si>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</si>
  <si>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</si>
  <si>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</si>
  <si>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</si>
  <si>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</si>
  <si>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</si>
  <si>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</si>
  <si>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</si>
  <si>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</si>
  <si>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</si>
  <si>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</si>
  <si>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</si>
  <si>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</si>
  <si>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</si>
  <si>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</si>
  <si>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</si>
  <si>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</si>
  <si>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</si>
  <si>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</si>
  <si>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</si>
  <si>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</si>
  <si>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</si>
  <si>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</si>
  <si>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</si>
  <si>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</si>
  <si>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</si>
  <si>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</si>
  <si>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</si>
  <si>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</si>
  <si>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</si>
  <si>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</si>
  <si>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</si>
  <si>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</si>
  <si>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</si>
  <si>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</si>
  <si>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</si>
  <si>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</si>
  <si>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</si>
  <si>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</si>
  <si>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</si>
  <si>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</si>
  <si>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</si>
  <si>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</si>
  <si>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</si>
  <si>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</si>
  <si>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</si>
  <si>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</si>
  <si>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</si>
  <si>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</si>
  <si>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</si>
  <si>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</si>
  <si>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</si>
  <si>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</si>
  <si>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</si>
  <si>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</si>
  <si>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</si>
  <si>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</si>
  <si>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</si>
  <si>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</si>
  <si>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</si>
  <si>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</si>
  <si>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</si>
  <si>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</si>
  <si>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</si>
  <si>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</si>
  <si>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</si>
  <si>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</si>
  <si>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</si>
  <si>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</si>
  <si>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</si>
  <si>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</si>
  <si>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</si>
  <si>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</si>
  <si>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</si>
  <si>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</si>
  <si>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</si>
  <si>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</si>
  <si>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</si>
  <si>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</si>
  <si>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</si>
  <si>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</si>
  <si>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</si>
  <si>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</si>
  <si>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</si>
  <si>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</si>
  <si>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</si>
  <si>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</si>
  <si>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</si>
  <si>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</si>
  <si>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</si>
  <si>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</si>
  <si>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</si>
  <si>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</si>
  <si>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</si>
  <si>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</si>
  <si>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</si>
  <si>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</si>
  <si>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</si>
  <si>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</si>
  <si>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</si>
  <si>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</si>
  <si>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</si>
  <si>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</si>
  <si>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</si>
  <si>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</si>
  <si>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</si>
  <si>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</si>
  <si>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</si>
  <si>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</si>
  <si>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</si>
  <si>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</si>
  <si>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</si>
  <si>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</si>
  <si>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</si>
  <si>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</si>
  <si>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</si>
  <si>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</si>
  <si>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</si>
  <si>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</si>
  <si>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</si>
  <si>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</si>
  <si>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</si>
  <si>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</si>
  <si>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</si>
  <si>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</si>
  <si>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</si>
  <si>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</si>
  <si>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</si>
  <si>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</si>
  <si>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</si>
  <si>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</si>
  <si>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</si>
  <si>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</si>
  <si>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</si>
  <si>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</si>
  <si>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</si>
  <si>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</si>
  <si>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</si>
  <si>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</si>
  <si>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</si>
  <si>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</si>
  <si>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</si>
  <si>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</si>
  <si>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</si>
  <si>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</si>
  <si>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</si>
  <si>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</si>
  <si>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</si>
  <si>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</si>
  <si>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</si>
  <si>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</si>
  <si>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</si>
  <si>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</si>
  <si>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</si>
  <si>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</si>
  <si>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</si>
  <si>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</si>
  <si>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</si>
  <si>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</si>
  <si>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</si>
  <si>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</si>
  <si>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</si>
  <si>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</si>
  <si>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</si>
  <si>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</si>
  <si>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</si>
  <si>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</si>
  <si>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</si>
  <si>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</si>
  <si>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</si>
  <si>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</si>
  <si>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</si>
  <si>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</si>
  <si>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</si>
  <si>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</si>
  <si>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</si>
  <si>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</si>
  <si>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</si>
  <si>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</si>
  <si>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</si>
  <si>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</si>
  <si>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</si>
  <si>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</si>
  <si>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</si>
  <si>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</si>
  <si>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</si>
  <si>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</si>
  <si>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</si>
  <si>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</si>
  <si>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</si>
  <si>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</si>
  <si>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</si>
  <si>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</si>
  <si>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</si>
  <si>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</si>
  <si>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</si>
  <si>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</si>
  <si>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</si>
  <si>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</si>
  <si>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</si>
  <si>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</si>
  <si>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</si>
  <si>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</si>
  <si>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</si>
  <si>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</si>
  <si>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</si>
  <si>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</si>
  <si>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</si>
  <si>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</si>
  <si>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</si>
  <si>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</si>
  <si>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</si>
  <si>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</si>
  <si>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</si>
  <si>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</si>
  <si>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</si>
  <si>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</si>
  <si>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</si>
  <si>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</si>
  <si>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</si>
  <si>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</si>
  <si>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</si>
  <si>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</si>
  <si>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</si>
  <si>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</si>
  <si>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</si>
  <si>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</si>
  <si>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</si>
  <si>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</si>
  <si>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</si>
  <si>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</si>
  <si>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</si>
  <si>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</si>
  <si>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</si>
  <si>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</si>
  <si>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</si>
  <si>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</si>
  <si>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</si>
  <si>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</si>
  <si>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</si>
  <si>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</si>
  <si>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</si>
  <si>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</si>
  <si>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</si>
  <si>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</si>
  <si>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</si>
  <si>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</si>
  <si>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</si>
  <si>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</si>
  <si>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</si>
  <si>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</si>
  <si>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</si>
  <si>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</si>
  <si>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</si>
  <si>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</si>
  <si>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</si>
  <si>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</si>
  <si>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</si>
  <si>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</si>
  <si>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</si>
  <si>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</si>
  <si>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</si>
  <si>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</si>
  <si>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</si>
  <si>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</si>
  <si>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</si>
  <si>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</si>
  <si>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</si>
  <si>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</si>
  <si>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</si>
  <si>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</si>
  <si>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</si>
  <si>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</si>
  <si>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</si>
  <si>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</si>
  <si>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</si>
  <si>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</si>
  <si>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</si>
  <si>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</si>
  <si>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</si>
  <si>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</si>
  <si>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</si>
  <si>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</si>
  <si>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</si>
  <si>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</si>
  <si>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</si>
  <si>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</si>
  <si>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</si>
  <si>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</si>
  <si>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</si>
  <si>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</si>
  <si>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</si>
  <si>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</si>
  <si>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</si>
  <si>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</si>
  <si>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</si>
  <si>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</si>
  <si>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</si>
  <si>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</si>
  <si>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</si>
  <si>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</si>
  <si>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</si>
  <si>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</si>
  <si>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</si>
  <si>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</si>
  <si>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</si>
  <si>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</si>
  <si>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</si>
  <si>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</si>
  <si>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</si>
  <si>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</si>
  <si>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</si>
  <si>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</si>
  <si>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</si>
  <si>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</si>
  <si>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</si>
  <si>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</si>
  <si>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</si>
  <si>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</si>
  <si>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</si>
  <si>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</si>
  <si>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</si>
  <si>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</si>
  <si>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</si>
  <si>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</si>
  <si>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</si>
  <si>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</si>
  <si>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</si>
  <si>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</si>
  <si>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</si>
  <si>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</si>
  <si>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</si>
  <si>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</si>
  <si>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</si>
  <si>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</si>
  <si>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</si>
  <si>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</si>
  <si>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</si>
  <si>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</si>
  <si>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</si>
  <si>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</si>
  <si>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</si>
  <si>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</si>
  <si>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</si>
  <si>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</si>
  <si>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</si>
  <si>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</si>
  <si>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</si>
  <si>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</si>
  <si>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</si>
  <si>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</si>
  <si>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</si>
  <si>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</si>
  <si>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</si>
  <si>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</si>
  <si>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</si>
  <si>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</si>
  <si>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</si>
  <si>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</si>
  <si>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</si>
  <si>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</si>
  <si>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</si>
  <si>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</si>
  <si>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</si>
  <si>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</si>
  <si>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</si>
  <si>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</si>
  <si>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</si>
  <si>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</si>
  <si>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</si>
  <si>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</si>
  <si>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</si>
  <si>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</si>
  <si>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</si>
  <si>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</si>
  <si>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</si>
  <si>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</si>
  <si>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</si>
  <si>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</si>
  <si>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</si>
  <si>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</si>
  <si>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</si>
  <si>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</si>
  <si>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</si>
  <si>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</si>
  <si>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</si>
  <si>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</si>
  <si>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</si>
  <si>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</si>
  <si>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</si>
  <si>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</si>
  <si>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</si>
  <si>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</si>
  <si>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</si>
  <si>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</si>
  <si>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</si>
  <si>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</si>
  <si>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</si>
  <si>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</si>
  <si>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</si>
  <si>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</si>
  <si>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</si>
  <si>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</si>
  <si>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</si>
  <si>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</si>
  <si>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</si>
  <si>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</si>
  <si>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</si>
  <si>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</si>
  <si>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</si>
  <si>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</si>
  <si>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</si>
  <si>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</si>
  <si>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</si>
  <si>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</si>
  <si>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</si>
  <si>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</si>
  <si>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</si>
  <si>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</si>
  <si>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</si>
  <si>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</si>
  <si>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</si>
  <si>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</si>
  <si>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</si>
  <si>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</si>
  <si>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</si>
  <si>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</si>
  <si>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</si>
  <si>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</si>
  <si>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</si>
  <si>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</si>
  <si>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</si>
  <si>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</si>
  <si>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</si>
  <si>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</si>
  <si>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</si>
  <si>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</si>
  <si>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</si>
  <si>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</si>
  <si>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</si>
  <si>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</si>
  <si>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</si>
  <si>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</si>
  <si>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</si>
  <si>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</si>
  <si>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</si>
  <si>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</si>
  <si>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</si>
  <si>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</si>
  <si>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</si>
  <si>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</si>
  <si>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</si>
  <si>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</si>
  <si>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</si>
  <si>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</si>
  <si>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</si>
  <si>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</si>
  <si>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</si>
  <si>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</si>
  <si>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</si>
  <si>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</si>
  <si>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</si>
  <si>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</si>
  <si>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</si>
  <si>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</si>
  <si>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</si>
  <si>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</si>
  <si>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</si>
  <si>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</si>
  <si>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</si>
  <si>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</si>
  <si>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</si>
  <si>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</si>
  <si>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</si>
  <si>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</si>
  <si>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</si>
  <si>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</si>
  <si>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</si>
  <si>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</si>
  <si>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</si>
  <si>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</si>
  <si>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</si>
  <si>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</si>
  <si>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</si>
  <si>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</si>
  <si>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</si>
  <si>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</si>
  <si>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</si>
  <si>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</si>
  <si>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</si>
  <si>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</si>
  <si>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</si>
  <si>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</si>
  <si>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</si>
  <si>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</si>
  <si>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</si>
  <si>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</si>
  <si>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</si>
  <si>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</si>
  <si>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</si>
  <si>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</si>
  <si>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</si>
  <si>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</si>
  <si>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</si>
  <si>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</si>
  <si>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</si>
  <si>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</si>
  <si>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</si>
  <si>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</si>
  <si>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</si>
  <si>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</si>
  <si>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</si>
  <si>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</si>
  <si>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</si>
  <si>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</si>
  <si>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</si>
  <si>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</si>
  <si>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</si>
  <si>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</si>
  <si>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</si>
  <si>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</si>
  <si>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</si>
  <si>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</si>
  <si>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</si>
  <si>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</si>
  <si>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</si>
  <si>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</si>
  <si>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</si>
  <si>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</si>
  <si>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</si>
  <si>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</si>
  <si>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</si>
  <si>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</si>
  <si>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</si>
  <si>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</si>
  <si>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</si>
  <si>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</si>
  <si>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</si>
  <si>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</si>
  <si>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</si>
  <si>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</si>
  <si>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</si>
  <si>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</si>
  <si>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</si>
  <si>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</si>
  <si>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</si>
  <si>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</si>
  <si>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</si>
  <si>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</si>
  <si>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</si>
  <si>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</si>
  <si>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</si>
  <si>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</si>
  <si>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</si>
  <si>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</si>
  <si>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</si>
  <si>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</si>
  <si>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</si>
  <si>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</si>
  <si>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</si>
  <si>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</si>
  <si>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</si>
  <si>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</si>
  <si>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</si>
  <si>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</si>
  <si>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</si>
  <si>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</si>
  <si>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</si>
  <si>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</si>
  <si>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</si>
  <si>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</si>
  <si>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</si>
  <si>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</si>
  <si>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</si>
  <si>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</si>
  <si>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</si>
  <si>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</si>
  <si>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</si>
  <si>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</si>
  <si>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TOTAL SALES</t>
  </si>
  <si>
    <t>TOTAL PROFIT</t>
  </si>
  <si>
    <t>AVG DISCOUNT</t>
  </si>
  <si>
    <t>Highest sales</t>
  </si>
  <si>
    <t>Lowest profit</t>
  </si>
  <si>
    <t>Profit status</t>
  </si>
  <si>
    <t xml:space="preserve">Discount Given </t>
  </si>
  <si>
    <t>Sales Complement</t>
  </si>
  <si>
    <t xml:space="preserve">Payment type </t>
  </si>
  <si>
    <t>Classify Profit</t>
  </si>
  <si>
    <t xml:space="preserve"> </t>
  </si>
  <si>
    <t>Discount</t>
  </si>
  <si>
    <t>categorized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</si>
</sst>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00"/>
  </numFmts>
  <fonts count="17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u/>
      <sz val="12"/>
      <color rgb="FFFF0000"/>
      <name val="Aptos Narrow (Body)"/>
    </font>
    <font>
      <sz val="12"/>
      <color rgb="FFFF0000"/>
      <name val="Aptos Narrow (Body)"/>
    </font>
    <font>
      <sz val="12"/>
      <color rgb="FFFF0000"/>
      <name val="Aptos Narrow"/>
      <family val="2"/>
      <scheme val="minor"/>
    </font>
    <font>
      <sz val="12"/>
      <color rgb="FFFFFF00"/>
      <name val="Aptos Narrow"/>
      <family val="2"/>
      <scheme val="minor"/>
    </font>
    <font>
      <sz val="12"/>
      <color theme="3" tint="0.249977111117893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1"/>
      <color rgb="FF000000"/>
      <name val="Calibri"/>
      <family val="2"/>
    </font>
    <font>
      <u/>
      <sz val="12"/>
      <color theme="1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family val="2"/>
      <scheme val="minor"/>
    </font>
    <font>
      <b/>
      <sz val="12"/>
      <color rgb="FFFF0000"/>
      <name val="Aptos Narrow"/>
      <scheme val="minor"/>
    </font>
    <font>
      <b/>
      <sz val="12"/>
      <color rgb="FFFF0000"/>
      <name val="Aptos Narrow (Body)"/>
    </font>
    <font>
      <sz val="12"/>
      <color rgb="FFFF0000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5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top"/>
    </xf>
    <xf numFmtId="1" fontId="0" fillId="0" borderId="0" xfId="0" applyNumberFormat="1"/>
    <xf numFmtId="0" fontId="2" fillId="0" borderId="0" xfId="0" applyFont="1"/>
    <xf numFmtId="0" fontId="3" fillId="0" borderId="0" xfId="0" applyFont="1" applyAlignment="1">
      <alignment horizontal="left" vertical="center"/>
    </xf>
    <xf numFmtId="14" fontId="0" fillId="0" borderId="0" xfId="0" applyNumberFormat="1" applyAlignment="1">
      <alignment horizontal="left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4" fillId="0" borderId="0" xfId="0" applyFont="1"/>
    <xf numFmtId="0" fontId="5" fillId="0" borderId="0" xfId="0" applyFont="1"/>
    <xf numFmtId="0" fontId="6" fillId="0" borderId="0" xfId="0" applyFont="1"/>
    <xf numFmtId="14" fontId="0" fillId="0" borderId="0" xfId="0" applyNumberFormat="1" applyAlignment="1">
      <alignment horizontal="left" vertical="top"/>
    </xf>
    <xf numFmtId="0" fontId="7" fillId="0" borderId="0" xfId="0" applyFont="1"/>
    <xf numFmtId="0" fontId="8" fillId="0" borderId="0" xfId="0" applyFont="1"/>
    <xf numFmtId="0" fontId="9" fillId="0" borderId="0" xfId="0" applyFont="1"/>
    <xf numFmtId="14" fontId="9" fillId="0" borderId="0" xfId="0" applyNumberFormat="1" applyFont="1"/>
    <xf numFmtId="18" fontId="9" fillId="0" borderId="0" xfId="0" applyNumberFormat="1" applyFont="1"/>
    <xf numFmtId="0" fontId="10" fillId="0" borderId="0" xfId="1" applyAlignment="1">
      <alignment horizontal="center"/>
    </xf>
    <xf numFmtId="0" fontId="0" fillId="0" borderId="1" xfId="0" applyBorder="1"/>
    <xf numFmtId="0" fontId="4" fillId="0" borderId="1" xfId="0" applyFont="1" applyBorder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9" fontId="0" fillId="0" borderId="0" xfId="0" applyNumberFormat="1"/>
    <xf numFmtId="0" fontId="1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2" fillId="0" borderId="0" xfId="0" applyFont="1" applyAlignment="1">
      <alignment horizontal="center"/>
    </xf>
    <xf numFmtId="14" fontId="0" fillId="0" borderId="0" xfId="0" applyNumberFormat="1"/>
    <xf numFmtId="0" fontId="16" fillId="0" borderId="0" xfId="0" applyFont="1"/>
    <xf numFmtId="0" fontId="0" fillId="0" borderId="2" xfId="0" applyBorder="1"/>
    <xf numFmtId="0" fontId="0" fillId="0" borderId="3" xfId="0" applyBorder="1"/>
    <xf numFmtId="0" fontId="15" fillId="0" borderId="3" xfId="0" applyFont="1" applyBorder="1"/>
    <xf numFmtId="0" fontId="14" fillId="0" borderId="3" xfId="0" applyFont="1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11" fillId="0" borderId="0" xfId="0" applyFont="1" applyBorder="1"/>
    <xf numFmtId="172" fontId="11" fillId="0" borderId="0" xfId="0" applyNumberFormat="1" applyFont="1" applyBorder="1"/>
    <xf numFmtId="0" fontId="0" fillId="0" borderId="6" xfId="0" applyBorder="1"/>
    <xf numFmtId="0" fontId="15" fillId="0" borderId="0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6" fillId="0" borderId="8" xfId="0" applyFont="1" applyBorder="1"/>
  </cellXfs>
  <cellStyles count="2">
    <cellStyle name="Hyperlink" xfId="1" builtinId="8"/>
    <cellStyle name="Normal" xfId="0" builtinId="0"/>
  </cellStyles>
  <dxfs count="36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theme="3" tint="9.9948118533890809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1" tint="0.34998626667073579"/>
        </patternFill>
      </fill>
    </dxf>
    <dxf>
      <fill>
        <patternFill>
          <bgColor theme="8" tint="0.39994506668294322"/>
        </patternFill>
      </fill>
    </dxf>
    <dxf>
      <font>
        <color theme="0"/>
      </font>
      <fill>
        <patternFill>
          <bgColor theme="3" tint="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7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2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theme="3" tint="9.9948118533890809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1" tint="0.34998626667073579"/>
        </patternFill>
      </fill>
    </dxf>
    <dxf>
      <fill>
        <patternFill>
          <bgColor theme="8" tint="0.39994506668294322"/>
        </patternFill>
      </fill>
    </dxf>
    <dxf>
      <font>
        <color theme="0"/>
      </font>
      <fill>
        <patternFill>
          <bgColor theme="3" tint="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7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2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FF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peterpar@gamil.com" TargetMode="External"/><Relationship Id="rId2" Type="http://schemas.openxmlformats.org/officeDocument/2006/relationships/hyperlink" Target="mailto:bruceway@gamil.com" TargetMode="External"/><Relationship Id="rId1" Type="http://schemas.openxmlformats.org/officeDocument/2006/relationships/hyperlink" Target="mailto:steverog@gamil.com" TargetMode="External"/><Relationship Id="rId6" Type="http://schemas.openxmlformats.org/officeDocument/2006/relationships/hyperlink" Target="mailto:bruceway@gamil.com" TargetMode="External"/><Relationship Id="rId5" Type="http://schemas.openxmlformats.org/officeDocument/2006/relationships/hyperlink" Target="mailto:steverog@gamil.com" TargetMode="External"/><Relationship Id="rId4" Type="http://schemas.openxmlformats.org/officeDocument/2006/relationships/hyperlink" Target="mailto:natasharom@gam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F8F7E-1223-4E45-9074-43E503427244}">
  <dimension ref="A1:L45"/>
  <sheetViews>
    <sheetView topLeftCell="A25" zoomScale="138" workbookViewId="0">
      <selection activeCell="A16" sqref="A16:L20"/>
    </sheetView>
  </sheetViews>
  <sheetFormatPr baseColWidth="10" defaultRowHeight="16" x14ac:dyDescent="0.2"/>
  <cols>
    <col min="3" max="3" width="10.6640625" customWidth="1"/>
    <col min="4" max="4" width="10.83203125" style="1"/>
    <col min="6" max="6" width="10.83203125" style="2"/>
    <col min="8" max="8" width="15.33203125" bestFit="1" customWidth="1"/>
    <col min="9" max="9" width="12.33203125" bestFit="1" customWidth="1"/>
    <col min="10" max="10" width="6.33203125" bestFit="1" customWidth="1"/>
  </cols>
  <sheetData>
    <row r="1" spans="1:12" x14ac:dyDescent="0.2">
      <c r="A1">
        <v>1</v>
      </c>
      <c r="B1">
        <v>1</v>
      </c>
      <c r="C1">
        <v>5</v>
      </c>
      <c r="D1" s="1" t="s">
        <v>0</v>
      </c>
      <c r="E1">
        <v>5</v>
      </c>
      <c r="F1" s="2" t="s">
        <v>7</v>
      </c>
    </row>
    <row r="2" spans="1:12" x14ac:dyDescent="0.2">
      <c r="A2">
        <v>1</v>
      </c>
      <c r="B2">
        <v>2</v>
      </c>
      <c r="C2">
        <v>10</v>
      </c>
      <c r="D2" s="1" t="s">
        <v>1</v>
      </c>
      <c r="E2">
        <v>10</v>
      </c>
      <c r="F2" s="2" t="s">
        <v>8</v>
      </c>
    </row>
    <row r="3" spans="1:12" x14ac:dyDescent="0.2">
      <c r="A3">
        <v>1</v>
      </c>
      <c r="B3">
        <v>3</v>
      </c>
      <c r="C3">
        <v>15</v>
      </c>
      <c r="D3" s="1" t="s">
        <v>2</v>
      </c>
      <c r="E3">
        <v>15</v>
      </c>
      <c r="F3" s="2" t="s">
        <v>9</v>
      </c>
    </row>
    <row r="4" spans="1:12" x14ac:dyDescent="0.2">
      <c r="A4">
        <v>1</v>
      </c>
      <c r="B4">
        <v>4</v>
      </c>
      <c r="C4">
        <v>20</v>
      </c>
      <c r="D4" s="1" t="s">
        <v>3</v>
      </c>
      <c r="E4">
        <v>20</v>
      </c>
      <c r="F4" s="2" t="s">
        <v>10</v>
      </c>
    </row>
    <row r="5" spans="1:12" x14ac:dyDescent="0.2">
      <c r="A5">
        <v>1</v>
      </c>
      <c r="B5">
        <v>5</v>
      </c>
      <c r="C5">
        <v>25</v>
      </c>
      <c r="D5" s="1" t="s">
        <v>4</v>
      </c>
      <c r="E5">
        <v>25</v>
      </c>
      <c r="F5" s="2" t="s">
        <v>11</v>
      </c>
    </row>
    <row r="6" spans="1:12" x14ac:dyDescent="0.2">
      <c r="A6">
        <v>1</v>
      </c>
      <c r="B6">
        <v>6</v>
      </c>
      <c r="C6">
        <v>30</v>
      </c>
      <c r="D6" s="1" t="s">
        <v>5</v>
      </c>
      <c r="E6">
        <v>30</v>
      </c>
      <c r="F6" s="2" t="s">
        <v>12</v>
      </c>
    </row>
    <row r="7" spans="1:12" x14ac:dyDescent="0.2">
      <c r="A7">
        <v>1</v>
      </c>
      <c r="B7">
        <v>7</v>
      </c>
      <c r="C7">
        <v>35</v>
      </c>
      <c r="D7" s="1" t="s">
        <v>6</v>
      </c>
      <c r="E7">
        <v>35</v>
      </c>
      <c r="F7" s="2" t="s">
        <v>13</v>
      </c>
    </row>
    <row r="8" spans="1:12" x14ac:dyDescent="0.2">
      <c r="A8">
        <v>1</v>
      </c>
      <c r="B8">
        <v>8</v>
      </c>
      <c r="C8">
        <v>40</v>
      </c>
      <c r="E8">
        <v>40</v>
      </c>
      <c r="F8" s="2" t="s">
        <v>14</v>
      </c>
    </row>
    <row r="9" spans="1:12" x14ac:dyDescent="0.2">
      <c r="A9">
        <v>1</v>
      </c>
      <c r="B9">
        <v>9</v>
      </c>
      <c r="C9">
        <v>45</v>
      </c>
      <c r="E9">
        <v>45</v>
      </c>
      <c r="F9" s="2" t="s">
        <v>15</v>
      </c>
    </row>
    <row r="10" spans="1:12" x14ac:dyDescent="0.2">
      <c r="A10">
        <v>1</v>
      </c>
      <c r="B10">
        <v>10</v>
      </c>
      <c r="C10">
        <v>50</v>
      </c>
      <c r="E10">
        <v>50</v>
      </c>
      <c r="F10" s="2" t="s">
        <v>16</v>
      </c>
    </row>
    <row r="11" spans="1:12" x14ac:dyDescent="0.2">
      <c r="A11">
        <v>1</v>
      </c>
      <c r="B11">
        <v>11</v>
      </c>
      <c r="C11">
        <v>55</v>
      </c>
      <c r="E11">
        <v>55</v>
      </c>
      <c r="F11" s="2" t="s">
        <v>17</v>
      </c>
    </row>
    <row r="12" spans="1:12" x14ac:dyDescent="0.2">
      <c r="A12">
        <v>1</v>
      </c>
      <c r="B12">
        <v>12</v>
      </c>
      <c r="C12">
        <v>60</v>
      </c>
      <c r="E12">
        <v>60</v>
      </c>
      <c r="F12" s="2" t="s">
        <v>18</v>
      </c>
    </row>
    <row r="14" spans="1:12" x14ac:dyDescent="0.2">
      <c r="B14" s="7" t="s">
        <v>39</v>
      </c>
    </row>
    <row r="16" spans="1:12" x14ac:dyDescent="0.2">
      <c r="A16" s="3" t="s">
        <v>19</v>
      </c>
      <c r="B16" s="3" t="s">
        <v>20</v>
      </c>
      <c r="C16" s="3" t="s">
        <v>21</v>
      </c>
      <c r="D16" s="3" t="s">
        <v>22</v>
      </c>
      <c r="E16" s="3" t="s">
        <v>23</v>
      </c>
      <c r="F16" s="4" t="s">
        <v>28</v>
      </c>
      <c r="G16" s="3" t="s">
        <v>29</v>
      </c>
      <c r="H16" s="3" t="s">
        <v>30</v>
      </c>
      <c r="I16" s="3" t="s">
        <v>31</v>
      </c>
      <c r="J16" s="3" t="s">
        <v>32</v>
      </c>
      <c r="K16" s="3" t="s">
        <v>34</v>
      </c>
      <c r="L16" s="3" t="s">
        <v>33</v>
      </c>
    </row>
    <row r="17" spans="1:12" x14ac:dyDescent="0.2">
      <c r="A17" t="s">
        <v>24</v>
      </c>
      <c r="B17">
        <v>77</v>
      </c>
      <c r="C17">
        <v>85</v>
      </c>
      <c r="D17">
        <v>74</v>
      </c>
      <c r="E17" s="3">
        <f>SUM(B17:D17)</f>
        <v>236</v>
      </c>
      <c r="F17" s="5">
        <f>MAX(B17:D17)</f>
        <v>85</v>
      </c>
      <c r="G17">
        <f>MIN(B17:D17)</f>
        <v>74</v>
      </c>
      <c r="H17" s="6">
        <f>AVERAGE(B17:D17)</f>
        <v>78.666666666666671</v>
      </c>
      <c r="I17">
        <f>E17/300*100</f>
        <v>78.666666666666657</v>
      </c>
      <c r="J17" t="str">
        <f>IF(I17&gt;=35,"pass","fail")</f>
        <v>pass</v>
      </c>
      <c r="K17" t="str">
        <f>IF(AND(B17&gt;=35,C17&gt;=35,D17&gt;=35),"PASS","FAIL")</f>
        <v>PASS</v>
      </c>
      <c r="L17" t="str">
        <f>IF(OR(B17&lt;=35,C17&lt;=35,D17&lt;=35),"Fail","Pass")</f>
        <v>Pass</v>
      </c>
    </row>
    <row r="18" spans="1:12" x14ac:dyDescent="0.2">
      <c r="A18" t="s">
        <v>25</v>
      </c>
      <c r="B18">
        <v>92</v>
      </c>
      <c r="C18">
        <v>37</v>
      </c>
      <c r="D18">
        <v>64</v>
      </c>
      <c r="E18" s="3">
        <f t="shared" ref="E18:E20" si="0">SUM(B18:D18)</f>
        <v>193</v>
      </c>
      <c r="F18" s="5">
        <f t="shared" ref="F18:F20" si="1">MAX(B18:D18)</f>
        <v>92</v>
      </c>
      <c r="G18">
        <f t="shared" ref="G18:G20" si="2">MIN(B18:D18)</f>
        <v>37</v>
      </c>
      <c r="H18" s="6">
        <f t="shared" ref="H18:H20" si="3">AVERAGE(B18:D18)</f>
        <v>64.333333333333329</v>
      </c>
      <c r="I18">
        <f t="shared" ref="I18:I20" si="4">E18/300*100</f>
        <v>64.333333333333329</v>
      </c>
      <c r="J18" t="str">
        <f t="shared" ref="J18:J20" si="5">IF(I18&gt;=35,"pass","fail")</f>
        <v>pass</v>
      </c>
      <c r="K18" t="str">
        <f t="shared" ref="K18:K20" si="6">IF(AND(B18&gt;=35,C18&gt;=35,D18&gt;=35),"PASS","FAIL")</f>
        <v>PASS</v>
      </c>
      <c r="L18" t="str">
        <f t="shared" ref="L18:L20" si="7">IF(OR(B18&lt;=35,C18&lt;=35,D18&lt;=35),"Fail","Pass")</f>
        <v>Pass</v>
      </c>
    </row>
    <row r="19" spans="1:12" x14ac:dyDescent="0.2">
      <c r="A19" t="s">
        <v>26</v>
      </c>
      <c r="B19">
        <v>13</v>
      </c>
      <c r="C19">
        <v>57</v>
      </c>
      <c r="D19">
        <v>19</v>
      </c>
      <c r="E19" s="3">
        <f t="shared" si="0"/>
        <v>89</v>
      </c>
      <c r="F19" s="5">
        <f t="shared" si="1"/>
        <v>57</v>
      </c>
      <c r="G19">
        <f t="shared" si="2"/>
        <v>13</v>
      </c>
      <c r="H19">
        <f t="shared" si="3"/>
        <v>29.666666666666668</v>
      </c>
      <c r="I19">
        <f t="shared" si="4"/>
        <v>29.666666666666668</v>
      </c>
      <c r="J19" t="str">
        <f t="shared" si="5"/>
        <v>fail</v>
      </c>
      <c r="K19" t="str">
        <f t="shared" si="6"/>
        <v>FAIL</v>
      </c>
      <c r="L19" t="str">
        <f t="shared" si="7"/>
        <v>Fail</v>
      </c>
    </row>
    <row r="20" spans="1:12" x14ac:dyDescent="0.2">
      <c r="A20" t="s">
        <v>27</v>
      </c>
      <c r="B20">
        <v>89</v>
      </c>
      <c r="C20">
        <v>8</v>
      </c>
      <c r="D20">
        <v>41</v>
      </c>
      <c r="E20" s="3">
        <f t="shared" si="0"/>
        <v>138</v>
      </c>
      <c r="F20" s="5">
        <f t="shared" si="1"/>
        <v>89</v>
      </c>
      <c r="G20">
        <f t="shared" si="2"/>
        <v>8</v>
      </c>
      <c r="H20">
        <f t="shared" si="3"/>
        <v>46</v>
      </c>
      <c r="I20">
        <f t="shared" si="4"/>
        <v>46</v>
      </c>
      <c r="J20" t="str">
        <f t="shared" si="5"/>
        <v>pass</v>
      </c>
      <c r="K20" t="str">
        <f t="shared" si="6"/>
        <v>FAIL</v>
      </c>
      <c r="L20" t="str">
        <f t="shared" si="7"/>
        <v>Fail</v>
      </c>
    </row>
    <row r="21" spans="1:12" x14ac:dyDescent="0.2">
      <c r="D21"/>
      <c r="E21" s="3"/>
      <c r="F21" s="5"/>
    </row>
    <row r="22" spans="1:12" x14ac:dyDescent="0.2">
      <c r="D22"/>
      <c r="E22" s="3"/>
      <c r="F22" s="5"/>
    </row>
    <row r="23" spans="1:12" x14ac:dyDescent="0.2">
      <c r="D23"/>
      <c r="E23" s="3"/>
      <c r="F23" s="5"/>
    </row>
    <row r="24" spans="1:12" x14ac:dyDescent="0.2">
      <c r="D24"/>
      <c r="E24" s="3"/>
      <c r="F24" s="5"/>
    </row>
    <row r="26" spans="1:12" x14ac:dyDescent="0.2">
      <c r="E26" t="s">
        <v>36</v>
      </c>
      <c r="F26" s="2" t="s">
        <v>28</v>
      </c>
      <c r="G26" t="s">
        <v>29</v>
      </c>
      <c r="H26" t="s">
        <v>37</v>
      </c>
      <c r="I26" t="s">
        <v>31</v>
      </c>
      <c r="J26" t="s">
        <v>35</v>
      </c>
      <c r="K26" t="s">
        <v>38</v>
      </c>
    </row>
    <row r="27" spans="1:12" x14ac:dyDescent="0.2">
      <c r="B27">
        <v>59</v>
      </c>
      <c r="C27">
        <v>29</v>
      </c>
      <c r="D27">
        <v>95</v>
      </c>
      <c r="E27">
        <f>SUM(B27:D27)</f>
        <v>183</v>
      </c>
      <c r="F27" s="2">
        <f>MAX(B27,C27,,D27)</f>
        <v>95</v>
      </c>
      <c r="G27">
        <f>MIN(B27,C27,D27)</f>
        <v>29</v>
      </c>
      <c r="H27">
        <f>AVERAGE(B27,C27,D27)</f>
        <v>61</v>
      </c>
      <c r="I27">
        <f>E27/300*100</f>
        <v>61</v>
      </c>
      <c r="K27" t="str">
        <f>IF(AND(B27&gt;=35,C27&gt;=35,D27&gt;=35),"pass","fail")</f>
        <v>fail</v>
      </c>
    </row>
    <row r="28" spans="1:12" x14ac:dyDescent="0.2">
      <c r="B28">
        <v>6</v>
      </c>
      <c r="C28">
        <v>69</v>
      </c>
      <c r="D28">
        <v>23</v>
      </c>
      <c r="E28">
        <f t="shared" ref="E28:E36" si="8">SUM(B28:D28)</f>
        <v>98</v>
      </c>
      <c r="F28" s="2">
        <f t="shared" ref="F28:F36" si="9">MAX(B28,C28,,D28)</f>
        <v>69</v>
      </c>
      <c r="G28">
        <f t="shared" ref="G28:G36" si="10">MIN(B28,C28,D28)</f>
        <v>6</v>
      </c>
      <c r="H28">
        <f t="shared" ref="H28:H36" si="11">AVERAGE(B28,C28,D28)</f>
        <v>32.666666666666664</v>
      </c>
      <c r="I28">
        <f t="shared" ref="I28:I36" si="12">E28/300*100</f>
        <v>32.666666666666664</v>
      </c>
      <c r="K28" t="str">
        <f t="shared" ref="K28:K36" si="13">IF(AND(B28&gt;=35,C28&gt;=35,D28&gt;=35),"pass","fail")</f>
        <v>fail</v>
      </c>
    </row>
    <row r="29" spans="1:12" x14ac:dyDescent="0.2">
      <c r="B29">
        <v>38</v>
      </c>
      <c r="C29">
        <v>27</v>
      </c>
      <c r="D29">
        <v>84</v>
      </c>
      <c r="E29">
        <f t="shared" si="8"/>
        <v>149</v>
      </c>
      <c r="F29" s="2">
        <f t="shared" si="9"/>
        <v>84</v>
      </c>
      <c r="G29">
        <f t="shared" si="10"/>
        <v>27</v>
      </c>
      <c r="H29">
        <f t="shared" si="11"/>
        <v>49.666666666666664</v>
      </c>
      <c r="I29">
        <f t="shared" si="12"/>
        <v>49.666666666666664</v>
      </c>
      <c r="K29" t="str">
        <f t="shared" si="13"/>
        <v>fail</v>
      </c>
    </row>
    <row r="30" spans="1:12" x14ac:dyDescent="0.2">
      <c r="B30">
        <v>37</v>
      </c>
      <c r="C30">
        <v>99</v>
      </c>
      <c r="D30">
        <v>57</v>
      </c>
      <c r="E30">
        <f t="shared" si="8"/>
        <v>193</v>
      </c>
      <c r="F30" s="2">
        <f t="shared" si="9"/>
        <v>99</v>
      </c>
      <c r="G30">
        <f t="shared" si="10"/>
        <v>37</v>
      </c>
      <c r="H30">
        <f t="shared" si="11"/>
        <v>64.333333333333329</v>
      </c>
      <c r="I30">
        <f t="shared" si="12"/>
        <v>64.333333333333329</v>
      </c>
      <c r="K30" t="str">
        <f t="shared" si="13"/>
        <v>pass</v>
      </c>
    </row>
    <row r="31" spans="1:12" x14ac:dyDescent="0.2">
      <c r="B31">
        <v>84</v>
      </c>
      <c r="C31">
        <v>83</v>
      </c>
      <c r="D31">
        <v>32</v>
      </c>
      <c r="E31">
        <f t="shared" si="8"/>
        <v>199</v>
      </c>
      <c r="F31" s="2">
        <f t="shared" si="9"/>
        <v>84</v>
      </c>
      <c r="G31">
        <f t="shared" si="10"/>
        <v>32</v>
      </c>
      <c r="H31">
        <f t="shared" si="11"/>
        <v>66.333333333333329</v>
      </c>
      <c r="I31">
        <f t="shared" si="12"/>
        <v>66.333333333333329</v>
      </c>
      <c r="K31" t="str">
        <f t="shared" si="13"/>
        <v>fail</v>
      </c>
    </row>
    <row r="32" spans="1:12" x14ac:dyDescent="0.2">
      <c r="B32">
        <v>55</v>
      </c>
      <c r="C32">
        <v>24</v>
      </c>
      <c r="D32">
        <v>50</v>
      </c>
      <c r="E32">
        <f t="shared" si="8"/>
        <v>129</v>
      </c>
      <c r="F32" s="2">
        <f t="shared" si="9"/>
        <v>55</v>
      </c>
      <c r="G32">
        <f t="shared" si="10"/>
        <v>24</v>
      </c>
      <c r="H32">
        <f t="shared" si="11"/>
        <v>43</v>
      </c>
      <c r="I32">
        <f t="shared" si="12"/>
        <v>43</v>
      </c>
      <c r="K32" t="str">
        <f t="shared" si="13"/>
        <v>fail</v>
      </c>
    </row>
    <row r="33" spans="2:11" x14ac:dyDescent="0.2">
      <c r="B33">
        <v>18</v>
      </c>
      <c r="C33">
        <v>11</v>
      </c>
      <c r="D33">
        <v>55</v>
      </c>
      <c r="E33">
        <f t="shared" si="8"/>
        <v>84</v>
      </c>
      <c r="F33" s="2">
        <f t="shared" si="9"/>
        <v>55</v>
      </c>
      <c r="G33">
        <f t="shared" si="10"/>
        <v>11</v>
      </c>
      <c r="H33">
        <f t="shared" si="11"/>
        <v>28</v>
      </c>
      <c r="I33">
        <f t="shared" si="12"/>
        <v>28.000000000000004</v>
      </c>
      <c r="K33" t="str">
        <f t="shared" si="13"/>
        <v>fail</v>
      </c>
    </row>
    <row r="34" spans="2:11" x14ac:dyDescent="0.2">
      <c r="B34">
        <v>30</v>
      </c>
      <c r="C34">
        <v>69</v>
      </c>
      <c r="D34">
        <v>37</v>
      </c>
      <c r="E34">
        <f t="shared" si="8"/>
        <v>136</v>
      </c>
      <c r="F34" s="2">
        <f t="shared" si="9"/>
        <v>69</v>
      </c>
      <c r="G34">
        <f t="shared" si="10"/>
        <v>30</v>
      </c>
      <c r="H34">
        <f t="shared" si="11"/>
        <v>45.333333333333336</v>
      </c>
      <c r="I34">
        <f t="shared" si="12"/>
        <v>45.333333333333329</v>
      </c>
      <c r="K34" t="str">
        <f t="shared" si="13"/>
        <v>fail</v>
      </c>
    </row>
    <row r="35" spans="2:11" x14ac:dyDescent="0.2">
      <c r="B35">
        <v>10</v>
      </c>
      <c r="C35">
        <v>10</v>
      </c>
      <c r="D35">
        <v>21</v>
      </c>
      <c r="E35">
        <f t="shared" si="8"/>
        <v>41</v>
      </c>
      <c r="F35" s="2">
        <f t="shared" si="9"/>
        <v>21</v>
      </c>
      <c r="G35">
        <f t="shared" si="10"/>
        <v>10</v>
      </c>
      <c r="H35">
        <f t="shared" si="11"/>
        <v>13.666666666666666</v>
      </c>
      <c r="I35">
        <f t="shared" si="12"/>
        <v>13.666666666666666</v>
      </c>
      <c r="K35" t="str">
        <f t="shared" si="13"/>
        <v>fail</v>
      </c>
    </row>
    <row r="36" spans="2:11" x14ac:dyDescent="0.2">
      <c r="B36">
        <v>27</v>
      </c>
      <c r="C36">
        <v>29</v>
      </c>
      <c r="D36">
        <v>23</v>
      </c>
      <c r="E36">
        <f t="shared" si="8"/>
        <v>79</v>
      </c>
      <c r="F36" s="2">
        <f t="shared" si="9"/>
        <v>29</v>
      </c>
      <c r="G36">
        <f t="shared" si="10"/>
        <v>23</v>
      </c>
      <c r="H36">
        <f t="shared" si="11"/>
        <v>26.333333333333332</v>
      </c>
      <c r="I36">
        <f t="shared" si="12"/>
        <v>26.333333333333332</v>
      </c>
      <c r="K36" t="str">
        <f t="shared" si="13"/>
        <v>fail</v>
      </c>
    </row>
    <row r="37" spans="2:11" x14ac:dyDescent="0.2">
      <c r="D37"/>
    </row>
    <row r="38" spans="2:11" x14ac:dyDescent="0.2">
      <c r="D38"/>
    </row>
    <row r="39" spans="2:11" x14ac:dyDescent="0.2">
      <c r="D39"/>
    </row>
    <row r="40" spans="2:11" x14ac:dyDescent="0.2">
      <c r="D40"/>
    </row>
    <row r="41" spans="2:11" x14ac:dyDescent="0.2">
      <c r="D41"/>
    </row>
    <row r="42" spans="2:11" x14ac:dyDescent="0.2">
      <c r="D42"/>
    </row>
    <row r="43" spans="2:11" x14ac:dyDescent="0.2">
      <c r="D43"/>
    </row>
    <row r="44" spans="2:11" x14ac:dyDescent="0.2">
      <c r="D44"/>
    </row>
    <row r="45" spans="2:11" x14ac:dyDescent="0.2">
      <c r="D45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3BABF-4102-E24F-AF9B-19F0B75BF7AE}">
  <dimension ref="A1:O6"/>
  <sheetViews>
    <sheetView zoomScale="43" zoomScaleNormal="138" workbookViewId="0">
      <selection activeCell="A8" sqref="A8"/>
    </sheetView>
  </sheetViews>
  <sheetFormatPr baseColWidth="10" defaultRowHeight="16" x14ac:dyDescent="0.2"/>
  <cols>
    <col min="1" max="1" width="10.5" customWidth="1"/>
    <col min="13" max="13" width="14.5" bestFit="1" customWidth="1"/>
    <col min="14" max="14" width="15" bestFit="1" customWidth="1"/>
  </cols>
  <sheetData>
    <row r="1" spans="1:15" ht="25" customHeight="1" x14ac:dyDescent="0.2">
      <c r="A1" s="8" t="s">
        <v>40</v>
      </c>
    </row>
    <row r="2" spans="1:15" x14ac:dyDescent="0.2">
      <c r="A2" s="3" t="s">
        <v>19</v>
      </c>
      <c r="B2" s="3" t="s">
        <v>20</v>
      </c>
      <c r="C2" s="3" t="s">
        <v>21</v>
      </c>
      <c r="D2" s="3" t="s">
        <v>22</v>
      </c>
      <c r="E2" s="3" t="s">
        <v>23</v>
      </c>
      <c r="F2" s="4" t="s">
        <v>28</v>
      </c>
      <c r="G2" s="3" t="s">
        <v>29</v>
      </c>
      <c r="H2" s="3" t="s">
        <v>30</v>
      </c>
      <c r="I2" s="3" t="s">
        <v>31</v>
      </c>
      <c r="J2" s="3" t="s">
        <v>32</v>
      </c>
      <c r="K2" s="3" t="s">
        <v>34</v>
      </c>
      <c r="L2" s="3" t="s">
        <v>33</v>
      </c>
      <c r="M2" s="3" t="s">
        <v>43</v>
      </c>
      <c r="N2" s="3" t="s">
        <v>41</v>
      </c>
      <c r="O2" s="3" t="s">
        <v>42</v>
      </c>
    </row>
    <row r="3" spans="1:15" x14ac:dyDescent="0.2">
      <c r="A3" t="s">
        <v>24</v>
      </c>
      <c r="B3">
        <v>77</v>
      </c>
      <c r="C3">
        <v>99</v>
      </c>
      <c r="D3">
        <v>99</v>
      </c>
      <c r="E3" s="3">
        <f>SUM(B3:D3)</f>
        <v>275</v>
      </c>
      <c r="F3" s="5">
        <f>MAX(B3:D3)</f>
        <v>99</v>
      </c>
      <c r="G3">
        <f>MIN(B3:D3)</f>
        <v>77</v>
      </c>
      <c r="H3" s="6">
        <f>AVERAGE(B3:D3)</f>
        <v>91.666666666666671</v>
      </c>
      <c r="I3">
        <f>E3/300*100</f>
        <v>91.666666666666657</v>
      </c>
      <c r="J3" t="str">
        <f>IF(I3&gt;=35,"pass","fail")</f>
        <v>pass</v>
      </c>
      <c r="K3" t="str">
        <f>IF(AND(B3&gt;=35,C3&gt;=35,D3&gt;=35),"PASS","FAIL")</f>
        <v>PASS</v>
      </c>
      <c r="L3" t="str">
        <f>IF(OR(B3&lt;=35,C3&lt;=35,D3&lt;=35),"Fail","Pass")</f>
        <v>Pass</v>
      </c>
      <c r="M3" t="str">
        <f>IF(I3&gt;=90,"A++",IF(I3&gt;=70,"A",IF(I3&gt;=60,"B",IF(I3&gt;=50,"C",IF(I3&gt;=40,"D","F")))))</f>
        <v>A++</v>
      </c>
      <c r="N3" t="str">
        <f>IF(M3="F","fail",M3)</f>
        <v>A++</v>
      </c>
      <c r="O3" t="str" cm="1">
        <f t="array" ref="O3">_xlfn.IFS(I3&gt;=90,"A++",I3&gt;=70,"A+",I3&gt;=60,"B",I3&gt;=50,"C",I3&gt;=40,"D",I3&lt;=40,"f")</f>
        <v>A++</v>
      </c>
    </row>
    <row r="4" spans="1:15" x14ac:dyDescent="0.2">
      <c r="A4" t="s">
        <v>25</v>
      </c>
      <c r="B4">
        <v>92</v>
      </c>
      <c r="C4">
        <v>37</v>
      </c>
      <c r="D4">
        <v>64</v>
      </c>
      <c r="E4" s="3">
        <f>SUM(B4:D4)</f>
        <v>193</v>
      </c>
      <c r="F4" s="5">
        <f>MAX(B4:D4)</f>
        <v>92</v>
      </c>
      <c r="G4">
        <f>MIN(B4:D4)</f>
        <v>37</v>
      </c>
      <c r="H4" s="6">
        <f>AVERAGE(B4:D4)</f>
        <v>64.333333333333329</v>
      </c>
      <c r="I4">
        <f t="shared" ref="I4:I6" si="0">E4/300*100</f>
        <v>64.333333333333329</v>
      </c>
      <c r="J4" t="str">
        <f t="shared" ref="J4:J6" si="1">IF(I4&gt;=35,"pass","fail")</f>
        <v>pass</v>
      </c>
      <c r="K4" t="str">
        <f>IF(AND(B4&gt;=35,C4&gt;=35,D4&gt;=35),"PASS","FAIL")</f>
        <v>PASS</v>
      </c>
      <c r="L4" t="str">
        <f>IF(OR(B4&lt;=35,C4&lt;=35,D4&lt;=35),"Fail","Pass")</f>
        <v>Pass</v>
      </c>
      <c r="M4" t="str">
        <f t="shared" ref="M4:M6" si="2">IF(I4&gt;=90,"A++",IF(I4&gt;=70,"A",IF(I4&gt;=60,"B",IF(I4&gt;=50,"C",IF(I4&gt;=40,"D","F")))))</f>
        <v>B</v>
      </c>
      <c r="N4" t="str">
        <f t="shared" ref="N4:N6" si="3">IF(M4="F","fail",M4)</f>
        <v>B</v>
      </c>
      <c r="O4" t="str" cm="1">
        <f t="array" ref="O4">_xlfn.IFS(I4&gt;=90,"A++",I4&gt;=70,"A+",I4&gt;=60,"B",I4&gt;=50,"C",I4&gt;=40,"D",I4&lt;=40,"f")</f>
        <v>B</v>
      </c>
    </row>
    <row r="5" spans="1:15" x14ac:dyDescent="0.2">
      <c r="A5" t="s">
        <v>26</v>
      </c>
      <c r="B5">
        <v>13</v>
      </c>
      <c r="C5">
        <v>57</v>
      </c>
      <c r="D5">
        <v>19</v>
      </c>
      <c r="E5" s="3">
        <f>SUM(B5:D5)</f>
        <v>89</v>
      </c>
      <c r="F5" s="5">
        <f>MAX(B5:D5)</f>
        <v>57</v>
      </c>
      <c r="G5">
        <f>MIN(B5:D5)</f>
        <v>13</v>
      </c>
      <c r="H5">
        <f>AVERAGE(B5:D5)</f>
        <v>29.666666666666668</v>
      </c>
      <c r="I5">
        <f t="shared" si="0"/>
        <v>29.666666666666668</v>
      </c>
      <c r="J5" t="str">
        <f t="shared" si="1"/>
        <v>fail</v>
      </c>
      <c r="K5" t="str">
        <f>IF(AND(B5&gt;=35,C5&gt;=35,D5&gt;=35),"PASS","FAIL")</f>
        <v>FAIL</v>
      </c>
      <c r="L5" t="str">
        <f>IF(OR(B5&lt;=35,C5&lt;=35,D5&lt;=35),"Fail","Pass")</f>
        <v>Fail</v>
      </c>
      <c r="M5" t="str">
        <f t="shared" si="2"/>
        <v>F</v>
      </c>
      <c r="N5" t="str">
        <f t="shared" si="3"/>
        <v>fail</v>
      </c>
      <c r="O5" t="str" cm="1">
        <f t="array" ref="O5">_xlfn.IFS(I5&gt;=90,"A++",I5&gt;=70,"A+",I5&gt;=60,"B",I5&gt;=50,"C",I5&gt;=40,"D",I5&lt;=40,"f")</f>
        <v>f</v>
      </c>
    </row>
    <row r="6" spans="1:15" x14ac:dyDescent="0.2">
      <c r="A6" t="s">
        <v>27</v>
      </c>
      <c r="B6">
        <v>89</v>
      </c>
      <c r="C6">
        <v>8</v>
      </c>
      <c r="D6">
        <v>41</v>
      </c>
      <c r="E6" s="3">
        <f>SUM(B6:D6)</f>
        <v>138</v>
      </c>
      <c r="F6" s="5">
        <f>MAX(B6:D6)</f>
        <v>89</v>
      </c>
      <c r="G6">
        <f>MIN(B6:D6)</f>
        <v>8</v>
      </c>
      <c r="H6">
        <f>AVERAGE(B6:D6)</f>
        <v>46</v>
      </c>
      <c r="I6">
        <f t="shared" si="0"/>
        <v>46</v>
      </c>
      <c r="J6" t="str">
        <f t="shared" si="1"/>
        <v>pass</v>
      </c>
      <c r="K6" t="str">
        <f>IF(AND(B6&gt;=35,C6&gt;=35,D6&gt;=35),"PASS","FAIL")</f>
        <v>FAIL</v>
      </c>
      <c r="L6" t="str">
        <f>IF(OR(B6&lt;=35,C6&lt;=35,D6&lt;=35),"Fail","Pass")</f>
        <v>Fail</v>
      </c>
      <c r="M6" t="str">
        <f t="shared" si="2"/>
        <v>D</v>
      </c>
      <c r="N6" t="str">
        <f t="shared" si="3"/>
        <v>D</v>
      </c>
      <c r="O6" t="str" cm="1">
        <f t="array" ref="O6">_xlfn.IFS(I6&gt;=90,"A++",I6&gt;=70,"A+",I6&gt;=60,"B",I6&gt;=50,"C",I6&gt;=40,"D",I6&lt;=40,"f")</f>
        <v>D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82524-ACA6-3B48-AE6C-FFE7600CD6A1}">
  <dimension ref="A1:T21"/>
  <sheetViews>
    <sheetView topLeftCell="N1" zoomScaleNormal="93" workbookViewId="0">
      <selection activeCell="K18" sqref="A1:T21"/>
    </sheetView>
  </sheetViews>
  <sheetFormatPr baseColWidth="10" defaultRowHeight="16" x14ac:dyDescent="0.2"/>
  <cols>
    <col min="1" max="1" width="11.6640625" bestFit="1" customWidth="1"/>
    <col min="2" max="2" width="14.6640625" bestFit="1" customWidth="1"/>
    <col min="3" max="3" width="11" bestFit="1" customWidth="1"/>
    <col min="7" max="7" width="15.1640625" bestFit="1" customWidth="1"/>
    <col min="10" max="10" width="12.6640625" bestFit="1" customWidth="1"/>
    <col min="14" max="14" width="17.6640625" bestFit="1" customWidth="1"/>
    <col min="17" max="17" width="10.6640625" bestFit="1" customWidth="1"/>
    <col min="18" max="18" width="13.83203125" customWidth="1"/>
    <col min="20" max="20" width="15" bestFit="1" customWidth="1"/>
  </cols>
  <sheetData>
    <row r="1" spans="1:20" x14ac:dyDescent="0.2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  <c r="Q1" t="s">
        <v>60</v>
      </c>
      <c r="R1" t="s">
        <v>61</v>
      </c>
      <c r="S1" t="s">
        <v>62</v>
      </c>
      <c r="T1" t="s">
        <v>63</v>
      </c>
    </row>
    <row r="2" spans="1:20" x14ac:dyDescent="0.2">
      <c r="A2" t="s">
        <v>64</v>
      </c>
      <c r="B2" t="s">
        <v>65</v>
      </c>
      <c r="C2" t="s">
        <v>66</v>
      </c>
      <c r="D2" t="s">
        <v>67</v>
      </c>
      <c r="E2" s="3" t="s">
        <v>68</v>
      </c>
      <c r="F2" s="3" t="s">
        <v>76</v>
      </c>
      <c r="G2" s="9">
        <v>46301</v>
      </c>
      <c r="H2">
        <v>50000</v>
      </c>
      <c r="I2">
        <v>62000</v>
      </c>
      <c r="J2">
        <v>24</v>
      </c>
      <c r="K2">
        <v>98</v>
      </c>
      <c r="L2">
        <v>45</v>
      </c>
      <c r="M2">
        <v>50</v>
      </c>
      <c r="N2">
        <v>5</v>
      </c>
      <c r="O2">
        <v>75000</v>
      </c>
      <c r="P2">
        <v>12000</v>
      </c>
      <c r="Q2">
        <v>2</v>
      </c>
      <c r="R2" t="s">
        <v>69</v>
      </c>
      <c r="S2" t="s">
        <v>70</v>
      </c>
      <c r="T2" t="s">
        <v>71</v>
      </c>
    </row>
    <row r="3" spans="1:20" x14ac:dyDescent="0.2">
      <c r="A3" t="s">
        <v>72</v>
      </c>
      <c r="B3" t="s">
        <v>73</v>
      </c>
      <c r="C3" t="s">
        <v>74</v>
      </c>
      <c r="D3" t="s">
        <v>75</v>
      </c>
      <c r="E3" s="9">
        <v>44845</v>
      </c>
      <c r="F3" s="9">
        <v>46293</v>
      </c>
      <c r="G3" s="3" t="s">
        <v>76</v>
      </c>
      <c r="H3">
        <v>30000</v>
      </c>
      <c r="I3">
        <v>28000</v>
      </c>
      <c r="J3">
        <v>-5</v>
      </c>
      <c r="K3">
        <v>88</v>
      </c>
      <c r="L3">
        <v>30</v>
      </c>
      <c r="M3">
        <v>40</v>
      </c>
      <c r="N3">
        <v>3</v>
      </c>
      <c r="O3">
        <v>58000</v>
      </c>
      <c r="P3">
        <v>4000</v>
      </c>
      <c r="Q3">
        <v>5</v>
      </c>
      <c r="R3" t="s">
        <v>77</v>
      </c>
      <c r="S3" t="s">
        <v>78</v>
      </c>
      <c r="T3" t="s">
        <v>79</v>
      </c>
    </row>
    <row r="4" spans="1:20" x14ac:dyDescent="0.2">
      <c r="A4" t="s">
        <v>80</v>
      </c>
      <c r="B4" t="s">
        <v>81</v>
      </c>
      <c r="C4" t="s">
        <v>82</v>
      </c>
      <c r="D4" t="s">
        <v>83</v>
      </c>
      <c r="E4" s="3" t="s">
        <v>84</v>
      </c>
      <c r="F4" s="9">
        <v>46027</v>
      </c>
      <c r="G4" s="3" t="s">
        <v>85</v>
      </c>
      <c r="H4">
        <v>70000</v>
      </c>
      <c r="I4">
        <v>81000</v>
      </c>
      <c r="J4">
        <v>30</v>
      </c>
      <c r="K4">
        <v>73</v>
      </c>
      <c r="L4">
        <v>60</v>
      </c>
      <c r="M4">
        <v>65</v>
      </c>
      <c r="N4">
        <v>5</v>
      </c>
      <c r="O4">
        <v>98000</v>
      </c>
      <c r="P4">
        <v>18000</v>
      </c>
      <c r="Q4">
        <v>1</v>
      </c>
      <c r="R4" t="s">
        <v>69</v>
      </c>
      <c r="S4" t="s">
        <v>70</v>
      </c>
      <c r="T4" t="s">
        <v>86</v>
      </c>
    </row>
    <row r="5" spans="1:20" x14ac:dyDescent="0.2">
      <c r="A5" t="s">
        <v>87</v>
      </c>
      <c r="B5" t="s">
        <v>88</v>
      </c>
      <c r="C5" t="s">
        <v>89</v>
      </c>
      <c r="D5" t="s">
        <v>90</v>
      </c>
      <c r="E5" s="9">
        <v>45598</v>
      </c>
      <c r="F5" s="3" t="s">
        <v>91</v>
      </c>
      <c r="G5" s="9">
        <v>46028</v>
      </c>
      <c r="H5">
        <v>45000</v>
      </c>
      <c r="I5">
        <v>43000</v>
      </c>
      <c r="J5">
        <v>-2</v>
      </c>
      <c r="K5">
        <v>76</v>
      </c>
      <c r="L5">
        <v>25</v>
      </c>
      <c r="M5">
        <v>45</v>
      </c>
      <c r="N5">
        <v>2</v>
      </c>
      <c r="O5">
        <v>67000</v>
      </c>
      <c r="P5">
        <v>2000</v>
      </c>
      <c r="Q5">
        <v>8</v>
      </c>
      <c r="R5" t="s">
        <v>92</v>
      </c>
      <c r="S5" t="s">
        <v>70</v>
      </c>
      <c r="T5" t="s">
        <v>93</v>
      </c>
    </row>
    <row r="6" spans="1:20" x14ac:dyDescent="0.2">
      <c r="A6" t="s">
        <v>94</v>
      </c>
      <c r="B6" t="s">
        <v>95</v>
      </c>
      <c r="C6" t="s">
        <v>66</v>
      </c>
      <c r="D6" t="s">
        <v>67</v>
      </c>
      <c r="E6" s="9">
        <v>43842</v>
      </c>
      <c r="F6" s="3" t="s">
        <v>96</v>
      </c>
      <c r="G6" s="3" t="s">
        <v>97</v>
      </c>
      <c r="H6">
        <v>55000</v>
      </c>
      <c r="I6">
        <v>55000</v>
      </c>
      <c r="J6">
        <v>15</v>
      </c>
      <c r="K6">
        <v>100</v>
      </c>
      <c r="L6">
        <v>50</v>
      </c>
      <c r="M6">
        <v>50</v>
      </c>
      <c r="N6">
        <v>4</v>
      </c>
      <c r="O6">
        <v>82000</v>
      </c>
      <c r="P6">
        <v>10000</v>
      </c>
      <c r="Q6">
        <v>0</v>
      </c>
      <c r="R6" t="s">
        <v>69</v>
      </c>
      <c r="S6" t="s">
        <v>70</v>
      </c>
      <c r="T6" t="s">
        <v>98</v>
      </c>
    </row>
    <row r="7" spans="1:20" x14ac:dyDescent="0.2">
      <c r="A7" t="s">
        <v>99</v>
      </c>
      <c r="B7" t="s">
        <v>100</v>
      </c>
      <c r="C7" t="s">
        <v>101</v>
      </c>
      <c r="D7" t="s">
        <v>75</v>
      </c>
      <c r="E7" s="3" t="s">
        <v>102</v>
      </c>
      <c r="F7" s="3" t="s">
        <v>164</v>
      </c>
      <c r="G7" s="3" t="s">
        <v>103</v>
      </c>
      <c r="H7">
        <v>40000</v>
      </c>
      <c r="I7">
        <v>35000</v>
      </c>
      <c r="J7">
        <v>-10</v>
      </c>
      <c r="K7">
        <v>82</v>
      </c>
      <c r="L7">
        <v>28</v>
      </c>
      <c r="M7">
        <v>50</v>
      </c>
      <c r="N7">
        <v>2</v>
      </c>
      <c r="O7">
        <v>61000</v>
      </c>
      <c r="P7">
        <v>1000</v>
      </c>
      <c r="Q7">
        <v>7</v>
      </c>
      <c r="R7" t="s">
        <v>77</v>
      </c>
      <c r="S7" t="s">
        <v>78</v>
      </c>
      <c r="T7" t="s">
        <v>104</v>
      </c>
    </row>
    <row r="8" spans="1:20" x14ac:dyDescent="0.2">
      <c r="A8" t="s">
        <v>105</v>
      </c>
      <c r="B8" t="s">
        <v>106</v>
      </c>
      <c r="C8" t="s">
        <v>82</v>
      </c>
      <c r="D8" t="s">
        <v>83</v>
      </c>
      <c r="E8" s="3" t="s">
        <v>107</v>
      </c>
      <c r="F8" s="9">
        <v>46178</v>
      </c>
      <c r="G8" s="9">
        <v>46148</v>
      </c>
      <c r="H8">
        <v>72000</v>
      </c>
      <c r="I8">
        <v>92000</v>
      </c>
      <c r="J8">
        <v>35</v>
      </c>
      <c r="K8">
        <v>96</v>
      </c>
      <c r="L8">
        <v>66</v>
      </c>
      <c r="M8">
        <v>70</v>
      </c>
      <c r="N8">
        <v>5</v>
      </c>
      <c r="O8">
        <v>110000</v>
      </c>
      <c r="P8">
        <v>25000</v>
      </c>
      <c r="Q8">
        <v>1</v>
      </c>
      <c r="R8" t="s">
        <v>69</v>
      </c>
      <c r="S8" t="s">
        <v>70</v>
      </c>
      <c r="T8" t="s">
        <v>109</v>
      </c>
    </row>
    <row r="9" spans="1:20" x14ac:dyDescent="0.2">
      <c r="A9" t="s">
        <v>110</v>
      </c>
      <c r="B9" t="s">
        <v>111</v>
      </c>
      <c r="C9" t="s">
        <v>89</v>
      </c>
      <c r="D9" t="s">
        <v>90</v>
      </c>
      <c r="E9" s="3" t="s">
        <v>112</v>
      </c>
      <c r="F9" s="9">
        <v>46178</v>
      </c>
      <c r="G9" s="3" t="s">
        <v>96</v>
      </c>
      <c r="H9">
        <v>38000</v>
      </c>
      <c r="I9">
        <v>22000</v>
      </c>
      <c r="J9">
        <v>-18</v>
      </c>
      <c r="K9">
        <v>68</v>
      </c>
      <c r="L9">
        <v>15</v>
      </c>
      <c r="M9">
        <v>40</v>
      </c>
      <c r="N9">
        <v>1</v>
      </c>
      <c r="O9">
        <v>54000</v>
      </c>
      <c r="P9">
        <v>0</v>
      </c>
      <c r="Q9">
        <v>12</v>
      </c>
      <c r="R9" t="s">
        <v>92</v>
      </c>
      <c r="S9" t="s">
        <v>78</v>
      </c>
      <c r="T9" t="s">
        <v>113</v>
      </c>
    </row>
    <row r="10" spans="1:20" x14ac:dyDescent="0.2">
      <c r="A10" t="s">
        <v>114</v>
      </c>
      <c r="B10" t="s">
        <v>115</v>
      </c>
      <c r="C10" t="s">
        <v>74</v>
      </c>
      <c r="D10" t="s">
        <v>75</v>
      </c>
      <c r="E10" s="9">
        <v>45536</v>
      </c>
      <c r="F10" s="3" t="s">
        <v>165</v>
      </c>
      <c r="G10" s="9">
        <v>46362</v>
      </c>
      <c r="H10">
        <v>31000</v>
      </c>
      <c r="I10">
        <v>30000</v>
      </c>
      <c r="J10">
        <v>4</v>
      </c>
      <c r="K10">
        <v>91</v>
      </c>
      <c r="L10">
        <v>38</v>
      </c>
      <c r="M10">
        <v>42</v>
      </c>
      <c r="N10">
        <v>4</v>
      </c>
      <c r="O10">
        <v>60000</v>
      </c>
      <c r="P10">
        <v>3500</v>
      </c>
      <c r="Q10">
        <v>3</v>
      </c>
      <c r="R10" t="s">
        <v>69</v>
      </c>
      <c r="S10" t="s">
        <v>70</v>
      </c>
      <c r="T10" t="s">
        <v>116</v>
      </c>
    </row>
    <row r="11" spans="1:20" x14ac:dyDescent="0.2">
      <c r="A11" t="s">
        <v>117</v>
      </c>
      <c r="B11" t="s">
        <v>118</v>
      </c>
      <c r="C11" t="s">
        <v>101</v>
      </c>
      <c r="D11" t="s">
        <v>67</v>
      </c>
      <c r="E11" s="3" t="s">
        <v>119</v>
      </c>
      <c r="F11" s="9">
        <v>46086</v>
      </c>
      <c r="G11" s="3" t="s">
        <v>120</v>
      </c>
      <c r="H11">
        <v>48000</v>
      </c>
      <c r="I11">
        <v>51000</v>
      </c>
      <c r="J11">
        <v>12</v>
      </c>
      <c r="K11">
        <v>94</v>
      </c>
      <c r="L11">
        <v>41</v>
      </c>
      <c r="M11">
        <v>45</v>
      </c>
      <c r="N11">
        <v>4</v>
      </c>
      <c r="O11">
        <v>72000</v>
      </c>
      <c r="P11">
        <v>8500</v>
      </c>
      <c r="Q11">
        <v>2</v>
      </c>
      <c r="R11" t="s">
        <v>69</v>
      </c>
      <c r="S11" t="s">
        <v>70</v>
      </c>
      <c r="T11" t="s">
        <v>93</v>
      </c>
    </row>
    <row r="12" spans="1:20" x14ac:dyDescent="0.2">
      <c r="A12" t="s">
        <v>121</v>
      </c>
      <c r="B12" t="s">
        <v>122</v>
      </c>
      <c r="C12" t="s">
        <v>66</v>
      </c>
      <c r="D12" t="s">
        <v>83</v>
      </c>
      <c r="E12" s="9">
        <v>45264</v>
      </c>
      <c r="F12" s="9">
        <v>46239</v>
      </c>
      <c r="G12" s="9">
        <v>46087</v>
      </c>
      <c r="H12">
        <v>53000</v>
      </c>
      <c r="I12">
        <v>49000</v>
      </c>
      <c r="J12">
        <v>-4</v>
      </c>
      <c r="K12">
        <v>73</v>
      </c>
      <c r="L12">
        <v>20</v>
      </c>
      <c r="M12">
        <v>35</v>
      </c>
      <c r="N12">
        <v>2</v>
      </c>
      <c r="O12">
        <v>69000</v>
      </c>
      <c r="P12">
        <v>1500</v>
      </c>
      <c r="Q12">
        <v>10</v>
      </c>
      <c r="R12" t="s">
        <v>77</v>
      </c>
      <c r="S12" t="s">
        <v>78</v>
      </c>
      <c r="T12" t="s">
        <v>123</v>
      </c>
    </row>
    <row r="13" spans="1:20" x14ac:dyDescent="0.2">
      <c r="A13" t="s">
        <v>124</v>
      </c>
      <c r="B13" t="s">
        <v>125</v>
      </c>
      <c r="C13" t="s">
        <v>82</v>
      </c>
      <c r="D13" t="s">
        <v>90</v>
      </c>
      <c r="E13" s="3" t="s">
        <v>126</v>
      </c>
      <c r="F13" s="3" t="s">
        <v>127</v>
      </c>
      <c r="G13" s="3" t="s">
        <v>128</v>
      </c>
      <c r="H13">
        <v>85000</v>
      </c>
      <c r="I13">
        <v>99000</v>
      </c>
      <c r="J13">
        <v>40</v>
      </c>
      <c r="K13">
        <v>99</v>
      </c>
      <c r="L13">
        <v>75</v>
      </c>
      <c r="M13">
        <v>80</v>
      </c>
      <c r="N13">
        <v>5</v>
      </c>
      <c r="O13">
        <v>125000</v>
      </c>
      <c r="P13">
        <v>30000</v>
      </c>
      <c r="Q13">
        <v>0</v>
      </c>
      <c r="R13" t="s">
        <v>69</v>
      </c>
      <c r="S13" t="s">
        <v>70</v>
      </c>
      <c r="T13" t="s">
        <v>129</v>
      </c>
    </row>
    <row r="14" spans="1:20" x14ac:dyDescent="0.2">
      <c r="A14" t="s">
        <v>130</v>
      </c>
      <c r="B14" t="s">
        <v>131</v>
      </c>
      <c r="C14" t="s">
        <v>89</v>
      </c>
      <c r="D14" t="s">
        <v>75</v>
      </c>
      <c r="E14" s="3" t="s">
        <v>132</v>
      </c>
      <c r="F14" s="9">
        <v>46058</v>
      </c>
      <c r="G14" s="3" t="s">
        <v>108</v>
      </c>
      <c r="H14">
        <v>41000</v>
      </c>
      <c r="I14">
        <v>39000</v>
      </c>
      <c r="J14">
        <v>-3</v>
      </c>
      <c r="K14">
        <v>84</v>
      </c>
      <c r="L14">
        <v>29</v>
      </c>
      <c r="M14">
        <v>38</v>
      </c>
      <c r="N14">
        <v>3</v>
      </c>
      <c r="O14">
        <v>64000</v>
      </c>
      <c r="P14">
        <v>2500</v>
      </c>
      <c r="Q14">
        <v>6</v>
      </c>
      <c r="R14" t="s">
        <v>92</v>
      </c>
      <c r="S14" t="s">
        <v>70</v>
      </c>
      <c r="T14" t="s">
        <v>133</v>
      </c>
    </row>
    <row r="15" spans="1:20" x14ac:dyDescent="0.2">
      <c r="A15" t="s">
        <v>134</v>
      </c>
      <c r="B15" t="s">
        <v>135</v>
      </c>
      <c r="C15" t="s">
        <v>74</v>
      </c>
      <c r="D15" t="s">
        <v>83</v>
      </c>
      <c r="E15" s="3" t="s">
        <v>136</v>
      </c>
      <c r="F15" s="3" t="s">
        <v>137</v>
      </c>
      <c r="G15" s="3" t="s">
        <v>138</v>
      </c>
      <c r="H15">
        <v>36000</v>
      </c>
      <c r="I15">
        <v>47000</v>
      </c>
      <c r="J15">
        <v>22</v>
      </c>
      <c r="K15">
        <v>96</v>
      </c>
      <c r="L15">
        <v>44</v>
      </c>
      <c r="M15">
        <v>48</v>
      </c>
      <c r="N15">
        <v>5</v>
      </c>
      <c r="O15">
        <v>71000</v>
      </c>
      <c r="P15">
        <v>9500</v>
      </c>
      <c r="Q15">
        <v>1</v>
      </c>
      <c r="R15" t="s">
        <v>69</v>
      </c>
      <c r="S15" t="s">
        <v>70</v>
      </c>
      <c r="T15" t="s">
        <v>71</v>
      </c>
    </row>
    <row r="16" spans="1:20" x14ac:dyDescent="0.2">
      <c r="A16" t="s">
        <v>139</v>
      </c>
      <c r="B16" t="s">
        <v>140</v>
      </c>
      <c r="C16" t="s">
        <v>101</v>
      </c>
      <c r="D16" t="s">
        <v>67</v>
      </c>
      <c r="E16" s="9">
        <v>44997</v>
      </c>
      <c r="F16" s="3" t="s">
        <v>141</v>
      </c>
      <c r="G16" s="3" t="s">
        <v>85</v>
      </c>
      <c r="H16">
        <v>50000</v>
      </c>
      <c r="I16">
        <v>32000</v>
      </c>
      <c r="J16">
        <v>-15</v>
      </c>
      <c r="K16">
        <v>65</v>
      </c>
      <c r="L16">
        <v>18</v>
      </c>
      <c r="M16">
        <v>50</v>
      </c>
      <c r="N16">
        <v>1</v>
      </c>
      <c r="O16">
        <v>59000</v>
      </c>
      <c r="P16">
        <v>500</v>
      </c>
      <c r="Q16">
        <v>15</v>
      </c>
      <c r="R16" t="s">
        <v>77</v>
      </c>
      <c r="S16" t="s">
        <v>78</v>
      </c>
      <c r="T16" t="s">
        <v>142</v>
      </c>
    </row>
    <row r="17" spans="1:20" x14ac:dyDescent="0.2">
      <c r="A17" t="s">
        <v>143</v>
      </c>
      <c r="B17" t="s">
        <v>144</v>
      </c>
      <c r="C17" t="s">
        <v>82</v>
      </c>
      <c r="D17" t="s">
        <v>90</v>
      </c>
      <c r="E17" s="9">
        <v>44511</v>
      </c>
      <c r="F17" s="3" t="s">
        <v>96</v>
      </c>
      <c r="G17" s="9">
        <v>46240</v>
      </c>
      <c r="H17">
        <v>78000</v>
      </c>
      <c r="I17">
        <v>80000</v>
      </c>
      <c r="J17">
        <v>18</v>
      </c>
      <c r="K17">
        <v>93</v>
      </c>
      <c r="L17">
        <v>58</v>
      </c>
      <c r="M17">
        <v>60</v>
      </c>
      <c r="N17">
        <v>4</v>
      </c>
      <c r="O17">
        <v>102000</v>
      </c>
      <c r="P17">
        <v>14000</v>
      </c>
      <c r="Q17">
        <v>2</v>
      </c>
      <c r="R17" t="s">
        <v>69</v>
      </c>
      <c r="S17" t="s">
        <v>70</v>
      </c>
      <c r="T17" t="s">
        <v>145</v>
      </c>
    </row>
    <row r="18" spans="1:20" x14ac:dyDescent="0.2">
      <c r="A18" t="s">
        <v>146</v>
      </c>
      <c r="B18" t="s">
        <v>147</v>
      </c>
      <c r="C18" t="s">
        <v>66</v>
      </c>
      <c r="D18" t="s">
        <v>75</v>
      </c>
      <c r="E18" s="9">
        <v>44050</v>
      </c>
      <c r="F18" s="3" t="s">
        <v>148</v>
      </c>
      <c r="G18" s="9">
        <v>46059</v>
      </c>
      <c r="H18">
        <v>61000</v>
      </c>
      <c r="I18">
        <v>61000</v>
      </c>
      <c r="J18">
        <v>10</v>
      </c>
      <c r="K18">
        <v>89</v>
      </c>
      <c r="L18">
        <v>40</v>
      </c>
      <c r="M18">
        <v>45</v>
      </c>
      <c r="N18">
        <v>4</v>
      </c>
      <c r="O18">
        <v>86000</v>
      </c>
      <c r="P18">
        <v>11000</v>
      </c>
      <c r="Q18">
        <v>4</v>
      </c>
      <c r="R18" t="s">
        <v>69</v>
      </c>
      <c r="S18" t="s">
        <v>70</v>
      </c>
      <c r="T18" t="s">
        <v>149</v>
      </c>
    </row>
    <row r="19" spans="1:20" x14ac:dyDescent="0.2">
      <c r="A19" t="s">
        <v>150</v>
      </c>
      <c r="B19" t="s">
        <v>151</v>
      </c>
      <c r="C19" t="s">
        <v>89</v>
      </c>
      <c r="D19" t="s">
        <v>83</v>
      </c>
      <c r="E19" s="3" t="s">
        <v>152</v>
      </c>
      <c r="F19" s="9">
        <v>46147</v>
      </c>
      <c r="G19" s="3" t="s">
        <v>97</v>
      </c>
      <c r="H19">
        <v>39000</v>
      </c>
      <c r="I19">
        <v>18000</v>
      </c>
      <c r="J19">
        <v>-25</v>
      </c>
      <c r="K19">
        <v>58</v>
      </c>
      <c r="L19">
        <v>10</v>
      </c>
      <c r="M19">
        <v>35</v>
      </c>
      <c r="N19">
        <v>1</v>
      </c>
      <c r="O19">
        <v>52000</v>
      </c>
      <c r="P19">
        <v>0</v>
      </c>
      <c r="Q19">
        <v>18</v>
      </c>
      <c r="R19" t="s">
        <v>92</v>
      </c>
      <c r="S19" t="s">
        <v>78</v>
      </c>
      <c r="T19" t="s">
        <v>153</v>
      </c>
    </row>
    <row r="20" spans="1:20" x14ac:dyDescent="0.2">
      <c r="A20" t="s">
        <v>154</v>
      </c>
      <c r="B20" t="s">
        <v>155</v>
      </c>
      <c r="C20" t="s">
        <v>74</v>
      </c>
      <c r="D20" t="s">
        <v>67</v>
      </c>
      <c r="E20" s="3" t="s">
        <v>156</v>
      </c>
      <c r="F20" s="3" t="s">
        <v>157</v>
      </c>
      <c r="G20" s="3" t="s">
        <v>158</v>
      </c>
      <c r="H20">
        <v>34000</v>
      </c>
      <c r="I20">
        <v>36000</v>
      </c>
      <c r="J20">
        <v>8</v>
      </c>
      <c r="K20">
        <v>92</v>
      </c>
      <c r="L20">
        <v>39</v>
      </c>
      <c r="M20">
        <v>40</v>
      </c>
      <c r="N20">
        <v>4</v>
      </c>
      <c r="O20">
        <v>63000</v>
      </c>
      <c r="P20">
        <v>4200</v>
      </c>
      <c r="Q20">
        <v>2</v>
      </c>
      <c r="R20" t="s">
        <v>69</v>
      </c>
      <c r="S20" t="s">
        <v>70</v>
      </c>
      <c r="T20" t="s">
        <v>159</v>
      </c>
    </row>
    <row r="21" spans="1:20" x14ac:dyDescent="0.2">
      <c r="A21" t="s">
        <v>160</v>
      </c>
      <c r="B21" t="s">
        <v>161</v>
      </c>
      <c r="C21" t="s">
        <v>101</v>
      </c>
      <c r="D21" t="s">
        <v>90</v>
      </c>
      <c r="E21" s="3" t="s">
        <v>162</v>
      </c>
      <c r="F21" s="9">
        <v>46361</v>
      </c>
      <c r="G21" s="3" t="s">
        <v>96</v>
      </c>
      <c r="H21">
        <v>46000</v>
      </c>
      <c r="I21">
        <v>60000</v>
      </c>
      <c r="J21">
        <v>28</v>
      </c>
      <c r="K21">
        <v>97</v>
      </c>
      <c r="L21">
        <v>52</v>
      </c>
      <c r="M21">
        <v>55</v>
      </c>
      <c r="N21">
        <v>5</v>
      </c>
      <c r="O21">
        <v>88000</v>
      </c>
      <c r="P21">
        <v>16000</v>
      </c>
      <c r="Q21">
        <v>1</v>
      </c>
      <c r="R21" t="s">
        <v>69</v>
      </c>
      <c r="S21" t="s">
        <v>70</v>
      </c>
      <c r="T21" t="s">
        <v>163</v>
      </c>
    </row>
  </sheetData>
  <conditionalFormatting sqref="F2:F21">
    <cfRule type="timePeriod" dxfId="31" priority="8" timePeriod="yesterday">
      <formula>FLOOR(F2,1)=TODAY()-1</formula>
    </cfRule>
    <cfRule type="timePeriod" dxfId="30" priority="11" timePeriod="yesterday">
      <formula>FLOOR(F2,1)=TODAY()-1</formula>
    </cfRule>
  </conditionalFormatting>
  <conditionalFormatting sqref="I2:I21">
    <cfRule type="top10" dxfId="29" priority="6" rank="3"/>
  </conditionalFormatting>
  <conditionalFormatting sqref="J2:J21">
    <cfRule type="top10" dxfId="28" priority="4" bottom="1" rank="6"/>
  </conditionalFormatting>
  <conditionalFormatting sqref="K2:K21">
    <cfRule type="top10" dxfId="27" priority="3" percent="1" bottom="1" rank="20"/>
    <cfRule type="top10" dxfId="26" priority="5" percent="1" rank="20"/>
  </conditionalFormatting>
  <conditionalFormatting sqref="N2:N21">
    <cfRule type="cellIs" dxfId="25" priority="13" operator="equal">
      <formula>5</formula>
    </cfRule>
  </conditionalFormatting>
  <conditionalFormatting sqref="P2:P21">
    <cfRule type="aboveAverage" dxfId="24" priority="1" aboveAverage="0"/>
    <cfRule type="aboveAverage" dxfId="23" priority="2"/>
  </conditionalFormatting>
  <conditionalFormatting sqref="Q2:Q21">
    <cfRule type="cellIs" dxfId="22" priority="14" operator="between">
      <formula>5</formula>
      <formula>14</formula>
    </cfRule>
    <cfRule type="cellIs" dxfId="21" priority="15" operator="lessThan">
      <formula>5</formula>
    </cfRule>
    <cfRule type="cellIs" dxfId="20" priority="16" operator="greaterThan">
      <formula>14</formula>
    </cfRule>
  </conditionalFormatting>
  <conditionalFormatting sqref="S2:S21">
    <cfRule type="containsText" dxfId="19" priority="12" operator="containsText" text="NO">
      <formula>NOT(ISERROR(SEARCH("NO",S2)))</formula>
    </cfRule>
  </conditionalFormatting>
  <conditionalFormatting sqref="T2:T21">
    <cfRule type="duplicateValues" dxfId="18" priority="7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16450-8EA5-E048-B4A4-5A10DFA401B5}">
  <dimension ref="A1:T21"/>
  <sheetViews>
    <sheetView zoomScale="75" workbookViewId="0">
      <selection activeCell="L15" sqref="L15"/>
    </sheetView>
  </sheetViews>
  <sheetFormatPr baseColWidth="10" defaultRowHeight="16" x14ac:dyDescent="0.2"/>
  <sheetData>
    <row r="1" spans="1:20" x14ac:dyDescent="0.2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  <c r="Q1" t="s">
        <v>60</v>
      </c>
      <c r="R1" t="s">
        <v>61</v>
      </c>
      <c r="S1" t="s">
        <v>62</v>
      </c>
      <c r="T1" t="s">
        <v>63</v>
      </c>
    </row>
    <row r="2" spans="1:20" x14ac:dyDescent="0.2">
      <c r="A2" t="s">
        <v>150</v>
      </c>
      <c r="B2" t="s">
        <v>151</v>
      </c>
      <c r="C2" s="13" t="s">
        <v>89</v>
      </c>
      <c r="D2" s="10" t="s">
        <v>83</v>
      </c>
      <c r="E2" s="3" t="s">
        <v>152</v>
      </c>
      <c r="F2" s="9">
        <v>46147</v>
      </c>
      <c r="G2" s="3" t="s">
        <v>97</v>
      </c>
      <c r="H2">
        <v>39000</v>
      </c>
      <c r="I2">
        <v>18000</v>
      </c>
      <c r="J2">
        <v>-25</v>
      </c>
      <c r="K2">
        <v>58</v>
      </c>
      <c r="L2">
        <v>10</v>
      </c>
      <c r="M2">
        <v>35</v>
      </c>
      <c r="N2">
        <v>1</v>
      </c>
      <c r="O2">
        <v>52000</v>
      </c>
      <c r="P2">
        <v>0</v>
      </c>
      <c r="Q2">
        <v>18</v>
      </c>
      <c r="R2" t="s">
        <v>92</v>
      </c>
      <c r="S2" t="s">
        <v>78</v>
      </c>
      <c r="T2" t="s">
        <v>153</v>
      </c>
    </row>
    <row r="3" spans="1:20" x14ac:dyDescent="0.2">
      <c r="A3" t="s">
        <v>87</v>
      </c>
      <c r="B3" t="s">
        <v>88</v>
      </c>
      <c r="C3" t="s">
        <v>89</v>
      </c>
      <c r="D3" s="10" t="s">
        <v>90</v>
      </c>
      <c r="E3" s="9">
        <v>45598</v>
      </c>
      <c r="F3" s="3" t="s">
        <v>91</v>
      </c>
      <c r="G3" s="9">
        <v>46028</v>
      </c>
      <c r="H3">
        <v>45000</v>
      </c>
      <c r="I3">
        <v>43000</v>
      </c>
      <c r="J3">
        <v>-2</v>
      </c>
      <c r="K3">
        <v>76</v>
      </c>
      <c r="L3">
        <v>25</v>
      </c>
      <c r="M3">
        <v>45</v>
      </c>
      <c r="N3">
        <v>2</v>
      </c>
      <c r="O3">
        <v>67000</v>
      </c>
      <c r="P3">
        <v>2000</v>
      </c>
      <c r="Q3">
        <v>8</v>
      </c>
      <c r="R3" t="s">
        <v>92</v>
      </c>
      <c r="S3" t="s">
        <v>70</v>
      </c>
      <c r="T3" t="s">
        <v>93</v>
      </c>
    </row>
    <row r="4" spans="1:20" x14ac:dyDescent="0.2">
      <c r="A4" t="s">
        <v>143</v>
      </c>
      <c r="B4" t="s">
        <v>144</v>
      </c>
      <c r="C4" t="s">
        <v>82</v>
      </c>
      <c r="D4" s="10" t="s">
        <v>90</v>
      </c>
      <c r="E4" s="9">
        <v>44511</v>
      </c>
      <c r="F4" s="3" t="s">
        <v>96</v>
      </c>
      <c r="G4" s="9">
        <v>46240</v>
      </c>
      <c r="H4">
        <v>78000</v>
      </c>
      <c r="I4">
        <v>80000</v>
      </c>
      <c r="J4">
        <v>18</v>
      </c>
      <c r="K4">
        <v>93</v>
      </c>
      <c r="L4">
        <v>58</v>
      </c>
      <c r="M4">
        <v>60</v>
      </c>
      <c r="N4">
        <v>4</v>
      </c>
      <c r="O4">
        <v>102000</v>
      </c>
      <c r="P4">
        <v>14000</v>
      </c>
      <c r="Q4">
        <v>2</v>
      </c>
      <c r="R4" t="s">
        <v>69</v>
      </c>
      <c r="S4" t="s">
        <v>70</v>
      </c>
      <c r="T4" t="s">
        <v>145</v>
      </c>
    </row>
    <row r="5" spans="1:20" x14ac:dyDescent="0.2">
      <c r="A5" t="s">
        <v>139</v>
      </c>
      <c r="B5" t="s">
        <v>140</v>
      </c>
      <c r="C5" t="s">
        <v>101</v>
      </c>
      <c r="D5" s="10" t="s">
        <v>67</v>
      </c>
      <c r="E5" s="9">
        <v>44997</v>
      </c>
      <c r="F5" s="3" t="s">
        <v>141</v>
      </c>
      <c r="G5" s="3" t="s">
        <v>85</v>
      </c>
      <c r="H5">
        <v>50000</v>
      </c>
      <c r="I5">
        <v>32000</v>
      </c>
      <c r="J5">
        <v>-15</v>
      </c>
      <c r="K5">
        <v>65</v>
      </c>
      <c r="L5">
        <v>18</v>
      </c>
      <c r="M5">
        <v>50</v>
      </c>
      <c r="N5">
        <v>1</v>
      </c>
      <c r="O5">
        <v>59000</v>
      </c>
      <c r="P5">
        <v>500</v>
      </c>
      <c r="Q5">
        <v>15</v>
      </c>
      <c r="R5" t="s">
        <v>77</v>
      </c>
      <c r="S5" t="s">
        <v>78</v>
      </c>
      <c r="T5" t="s">
        <v>142</v>
      </c>
    </row>
    <row r="6" spans="1:20" x14ac:dyDescent="0.2">
      <c r="A6" t="s">
        <v>110</v>
      </c>
      <c r="B6" t="s">
        <v>111</v>
      </c>
      <c r="C6" s="13" t="s">
        <v>89</v>
      </c>
      <c r="D6" t="s">
        <v>90</v>
      </c>
      <c r="E6" s="3" t="s">
        <v>112</v>
      </c>
      <c r="F6" s="9">
        <v>46178</v>
      </c>
      <c r="G6" s="3" t="s">
        <v>96</v>
      </c>
      <c r="H6">
        <v>38000</v>
      </c>
      <c r="I6">
        <v>22000</v>
      </c>
      <c r="J6">
        <v>-18</v>
      </c>
      <c r="K6">
        <v>68</v>
      </c>
      <c r="L6">
        <v>15</v>
      </c>
      <c r="M6">
        <v>40</v>
      </c>
      <c r="N6">
        <v>1</v>
      </c>
      <c r="O6">
        <v>54000</v>
      </c>
      <c r="P6">
        <v>0</v>
      </c>
      <c r="Q6">
        <v>12</v>
      </c>
      <c r="R6" t="s">
        <v>92</v>
      </c>
      <c r="S6" t="s">
        <v>78</v>
      </c>
      <c r="T6" t="s">
        <v>113</v>
      </c>
    </row>
    <row r="7" spans="1:20" x14ac:dyDescent="0.2">
      <c r="A7" t="s">
        <v>130</v>
      </c>
      <c r="B7" t="s">
        <v>131</v>
      </c>
      <c r="C7" t="s">
        <v>89</v>
      </c>
      <c r="D7" t="s">
        <v>75</v>
      </c>
      <c r="E7" s="3" t="s">
        <v>132</v>
      </c>
      <c r="F7" s="9">
        <v>46058</v>
      </c>
      <c r="G7" s="3" t="s">
        <v>108</v>
      </c>
      <c r="H7">
        <v>41000</v>
      </c>
      <c r="I7">
        <v>39000</v>
      </c>
      <c r="J7">
        <v>-3</v>
      </c>
      <c r="K7">
        <v>84</v>
      </c>
      <c r="L7">
        <v>29</v>
      </c>
      <c r="M7">
        <v>38</v>
      </c>
      <c r="N7">
        <v>3</v>
      </c>
      <c r="O7">
        <v>64000</v>
      </c>
      <c r="P7">
        <v>2500</v>
      </c>
      <c r="Q7">
        <v>6</v>
      </c>
      <c r="R7" t="s">
        <v>92</v>
      </c>
      <c r="S7" t="s">
        <v>70</v>
      </c>
      <c r="T7" t="s">
        <v>133</v>
      </c>
    </row>
    <row r="8" spans="1:20" x14ac:dyDescent="0.2">
      <c r="A8" t="s">
        <v>114</v>
      </c>
      <c r="B8" t="s">
        <v>115</v>
      </c>
      <c r="C8" s="13" t="s">
        <v>74</v>
      </c>
      <c r="D8" t="s">
        <v>75</v>
      </c>
      <c r="E8" s="9">
        <v>45536</v>
      </c>
      <c r="F8" s="3" t="s">
        <v>165</v>
      </c>
      <c r="G8" s="9">
        <v>46362</v>
      </c>
      <c r="H8">
        <v>31000</v>
      </c>
      <c r="I8">
        <v>30000</v>
      </c>
      <c r="J8">
        <v>4</v>
      </c>
      <c r="K8">
        <v>91</v>
      </c>
      <c r="L8">
        <v>38</v>
      </c>
      <c r="M8">
        <v>42</v>
      </c>
      <c r="N8">
        <v>4</v>
      </c>
      <c r="O8">
        <v>60000</v>
      </c>
      <c r="P8">
        <v>3500</v>
      </c>
      <c r="Q8">
        <v>3</v>
      </c>
      <c r="R8" t="s">
        <v>69</v>
      </c>
      <c r="S8" t="s">
        <v>70</v>
      </c>
      <c r="T8" t="s">
        <v>116</v>
      </c>
    </row>
    <row r="9" spans="1:20" x14ac:dyDescent="0.2">
      <c r="A9" t="s">
        <v>72</v>
      </c>
      <c r="B9" t="s">
        <v>73</v>
      </c>
      <c r="C9" t="s">
        <v>74</v>
      </c>
      <c r="D9" t="s">
        <v>75</v>
      </c>
      <c r="E9" s="9">
        <v>44845</v>
      </c>
      <c r="F9" s="9">
        <v>46293</v>
      </c>
      <c r="G9" s="3" t="s">
        <v>76</v>
      </c>
      <c r="H9">
        <v>30000</v>
      </c>
      <c r="I9">
        <v>28000</v>
      </c>
      <c r="J9">
        <v>-5</v>
      </c>
      <c r="K9">
        <v>88</v>
      </c>
      <c r="L9">
        <v>30</v>
      </c>
      <c r="M9">
        <v>40</v>
      </c>
      <c r="N9">
        <v>3</v>
      </c>
      <c r="O9">
        <v>58000</v>
      </c>
      <c r="P9">
        <v>4000</v>
      </c>
      <c r="Q9">
        <v>5</v>
      </c>
      <c r="R9" t="s">
        <v>77</v>
      </c>
      <c r="S9" t="s">
        <v>78</v>
      </c>
      <c r="T9" t="s">
        <v>79</v>
      </c>
    </row>
    <row r="10" spans="1:20" x14ac:dyDescent="0.2">
      <c r="A10" t="s">
        <v>134</v>
      </c>
      <c r="B10" t="s">
        <v>135</v>
      </c>
      <c r="C10" t="s">
        <v>74</v>
      </c>
      <c r="D10" s="11" t="s">
        <v>83</v>
      </c>
      <c r="E10" s="3" t="s">
        <v>136</v>
      </c>
      <c r="F10" s="3" t="s">
        <v>137</v>
      </c>
      <c r="G10" s="3" t="s">
        <v>138</v>
      </c>
      <c r="H10">
        <v>36000</v>
      </c>
      <c r="I10">
        <v>47000</v>
      </c>
      <c r="J10">
        <v>22</v>
      </c>
      <c r="K10">
        <v>96</v>
      </c>
      <c r="L10">
        <v>44</v>
      </c>
      <c r="M10">
        <v>48</v>
      </c>
      <c r="N10">
        <v>5</v>
      </c>
      <c r="O10">
        <v>71000</v>
      </c>
      <c r="P10">
        <v>9500</v>
      </c>
      <c r="Q10">
        <v>1</v>
      </c>
      <c r="R10" t="s">
        <v>69</v>
      </c>
      <c r="S10" t="s">
        <v>70</v>
      </c>
      <c r="T10" t="s">
        <v>71</v>
      </c>
    </row>
    <row r="11" spans="1:20" x14ac:dyDescent="0.2">
      <c r="A11" t="s">
        <v>154</v>
      </c>
      <c r="B11" t="s">
        <v>155</v>
      </c>
      <c r="C11" t="s">
        <v>74</v>
      </c>
      <c r="D11" t="s">
        <v>67</v>
      </c>
      <c r="E11" s="3" t="s">
        <v>156</v>
      </c>
      <c r="F11" s="3" t="s">
        <v>157</v>
      </c>
      <c r="G11" s="3" t="s">
        <v>158</v>
      </c>
      <c r="H11">
        <v>34000</v>
      </c>
      <c r="I11">
        <v>36000</v>
      </c>
      <c r="J11">
        <v>8</v>
      </c>
      <c r="K11">
        <v>92</v>
      </c>
      <c r="L11">
        <v>39</v>
      </c>
      <c r="M11">
        <v>40</v>
      </c>
      <c r="N11">
        <v>4</v>
      </c>
      <c r="O11">
        <v>63000</v>
      </c>
      <c r="P11">
        <v>4200</v>
      </c>
      <c r="Q11">
        <v>2</v>
      </c>
      <c r="R11" t="s">
        <v>69</v>
      </c>
      <c r="S11" t="s">
        <v>70</v>
      </c>
      <c r="T11" t="s">
        <v>159</v>
      </c>
    </row>
    <row r="12" spans="1:20" x14ac:dyDescent="0.2">
      <c r="A12" t="s">
        <v>160</v>
      </c>
      <c r="B12" t="s">
        <v>161</v>
      </c>
      <c r="C12" t="s">
        <v>101</v>
      </c>
      <c r="D12" s="11" t="s">
        <v>90</v>
      </c>
      <c r="E12" s="3" t="s">
        <v>162</v>
      </c>
      <c r="F12" s="9">
        <v>46361</v>
      </c>
      <c r="G12" s="3" t="s">
        <v>96</v>
      </c>
      <c r="H12">
        <v>46000</v>
      </c>
      <c r="I12">
        <v>60000</v>
      </c>
      <c r="J12">
        <v>28</v>
      </c>
      <c r="K12">
        <v>97</v>
      </c>
      <c r="L12">
        <v>52</v>
      </c>
      <c r="M12">
        <v>55</v>
      </c>
      <c r="N12">
        <v>5</v>
      </c>
      <c r="O12">
        <v>88000</v>
      </c>
      <c r="P12">
        <v>16000</v>
      </c>
      <c r="Q12">
        <v>1</v>
      </c>
      <c r="R12" t="s">
        <v>69</v>
      </c>
      <c r="S12" t="s">
        <v>70</v>
      </c>
      <c r="T12" t="s">
        <v>163</v>
      </c>
    </row>
    <row r="13" spans="1:20" x14ac:dyDescent="0.2">
      <c r="A13" t="s">
        <v>99</v>
      </c>
      <c r="B13" t="s">
        <v>100</v>
      </c>
      <c r="C13" t="s">
        <v>101</v>
      </c>
      <c r="D13" t="s">
        <v>75</v>
      </c>
      <c r="E13" s="3" t="s">
        <v>102</v>
      </c>
      <c r="F13" s="3" t="s">
        <v>164</v>
      </c>
      <c r="G13" s="3" t="s">
        <v>103</v>
      </c>
      <c r="H13">
        <v>40000</v>
      </c>
      <c r="I13">
        <v>35000</v>
      </c>
      <c r="J13">
        <v>-10</v>
      </c>
      <c r="K13">
        <v>82</v>
      </c>
      <c r="L13">
        <v>28</v>
      </c>
      <c r="M13">
        <v>50</v>
      </c>
      <c r="N13">
        <v>2</v>
      </c>
      <c r="O13">
        <v>61000</v>
      </c>
      <c r="P13">
        <v>1000</v>
      </c>
      <c r="Q13">
        <v>7</v>
      </c>
      <c r="R13" t="s">
        <v>77</v>
      </c>
      <c r="S13" t="s">
        <v>78</v>
      </c>
      <c r="T13" t="s">
        <v>104</v>
      </c>
    </row>
    <row r="14" spans="1:20" x14ac:dyDescent="0.2">
      <c r="A14" t="s">
        <v>117</v>
      </c>
      <c r="B14" t="s">
        <v>118</v>
      </c>
      <c r="C14" t="s">
        <v>101</v>
      </c>
      <c r="D14" t="s">
        <v>67</v>
      </c>
      <c r="E14" s="3" t="s">
        <v>119</v>
      </c>
      <c r="F14" s="9">
        <v>46086</v>
      </c>
      <c r="G14" s="3" t="s">
        <v>120</v>
      </c>
      <c r="H14">
        <v>48000</v>
      </c>
      <c r="I14">
        <v>51000</v>
      </c>
      <c r="J14">
        <v>12</v>
      </c>
      <c r="K14">
        <v>94</v>
      </c>
      <c r="L14">
        <v>41</v>
      </c>
      <c r="M14">
        <v>45</v>
      </c>
      <c r="N14">
        <v>4</v>
      </c>
      <c r="O14">
        <v>72000</v>
      </c>
      <c r="P14">
        <v>8500</v>
      </c>
      <c r="Q14">
        <v>2</v>
      </c>
      <c r="R14" t="s">
        <v>69</v>
      </c>
      <c r="S14" t="s">
        <v>70</v>
      </c>
      <c r="T14" t="s">
        <v>93</v>
      </c>
    </row>
    <row r="15" spans="1:20" x14ac:dyDescent="0.2">
      <c r="A15" t="s">
        <v>146</v>
      </c>
      <c r="B15" t="s">
        <v>147</v>
      </c>
      <c r="C15" t="s">
        <v>66</v>
      </c>
      <c r="D15" t="s">
        <v>75</v>
      </c>
      <c r="E15" s="9">
        <v>44050</v>
      </c>
      <c r="F15" s="3" t="s">
        <v>148</v>
      </c>
      <c r="G15" s="9">
        <v>46059</v>
      </c>
      <c r="H15">
        <v>61000</v>
      </c>
      <c r="I15">
        <v>61000</v>
      </c>
      <c r="J15">
        <v>10</v>
      </c>
      <c r="K15">
        <v>89</v>
      </c>
      <c r="L15">
        <v>40</v>
      </c>
      <c r="M15">
        <v>45</v>
      </c>
      <c r="N15">
        <v>4</v>
      </c>
      <c r="O15">
        <v>86000</v>
      </c>
      <c r="P15">
        <v>11000</v>
      </c>
      <c r="Q15">
        <v>4</v>
      </c>
      <c r="R15" t="s">
        <v>69</v>
      </c>
      <c r="S15" t="s">
        <v>70</v>
      </c>
      <c r="T15" t="s">
        <v>149</v>
      </c>
    </row>
    <row r="16" spans="1:20" x14ac:dyDescent="0.2">
      <c r="A16" t="s">
        <v>121</v>
      </c>
      <c r="B16" t="s">
        <v>122</v>
      </c>
      <c r="C16" t="s">
        <v>66</v>
      </c>
      <c r="D16" t="s">
        <v>83</v>
      </c>
      <c r="E16" s="9">
        <v>45264</v>
      </c>
      <c r="F16" s="9">
        <v>46239</v>
      </c>
      <c r="G16" s="9">
        <v>46087</v>
      </c>
      <c r="H16">
        <v>53000</v>
      </c>
      <c r="I16">
        <v>49000</v>
      </c>
      <c r="J16">
        <v>-4</v>
      </c>
      <c r="K16">
        <v>73</v>
      </c>
      <c r="L16">
        <v>20</v>
      </c>
      <c r="M16">
        <v>35</v>
      </c>
      <c r="N16">
        <v>2</v>
      </c>
      <c r="O16">
        <v>69000</v>
      </c>
      <c r="P16">
        <v>1500</v>
      </c>
      <c r="Q16">
        <v>10</v>
      </c>
      <c r="R16" t="s">
        <v>77</v>
      </c>
      <c r="S16" t="s">
        <v>78</v>
      </c>
      <c r="T16" t="s">
        <v>123</v>
      </c>
    </row>
    <row r="17" spans="1:20" x14ac:dyDescent="0.2">
      <c r="A17" t="s">
        <v>94</v>
      </c>
      <c r="B17" t="s">
        <v>95</v>
      </c>
      <c r="C17" s="15" t="s">
        <v>66</v>
      </c>
      <c r="D17" t="s">
        <v>67</v>
      </c>
      <c r="E17" s="9">
        <v>43842</v>
      </c>
      <c r="F17" s="3" t="s">
        <v>96</v>
      </c>
      <c r="G17" s="3" t="s">
        <v>97</v>
      </c>
      <c r="H17">
        <v>55000</v>
      </c>
      <c r="I17">
        <v>55000</v>
      </c>
      <c r="J17">
        <v>15</v>
      </c>
      <c r="K17">
        <v>100</v>
      </c>
      <c r="L17">
        <v>50</v>
      </c>
      <c r="M17">
        <v>50</v>
      </c>
      <c r="N17">
        <v>4</v>
      </c>
      <c r="O17">
        <v>82000</v>
      </c>
      <c r="P17">
        <v>10000</v>
      </c>
      <c r="Q17">
        <v>0</v>
      </c>
      <c r="R17" t="s">
        <v>69</v>
      </c>
      <c r="S17" t="s">
        <v>70</v>
      </c>
      <c r="T17" t="s">
        <v>98</v>
      </c>
    </row>
    <row r="18" spans="1:20" x14ac:dyDescent="0.2">
      <c r="A18" t="s">
        <v>124</v>
      </c>
      <c r="B18" t="s">
        <v>125</v>
      </c>
      <c r="C18" s="14" t="s">
        <v>82</v>
      </c>
      <c r="D18" t="s">
        <v>90</v>
      </c>
      <c r="E18" s="3" t="s">
        <v>126</v>
      </c>
      <c r="F18" s="3" t="s">
        <v>127</v>
      </c>
      <c r="G18" s="3" t="s">
        <v>128</v>
      </c>
      <c r="H18">
        <v>85000</v>
      </c>
      <c r="I18">
        <v>99000</v>
      </c>
      <c r="J18">
        <v>40</v>
      </c>
      <c r="K18">
        <v>99</v>
      </c>
      <c r="L18">
        <v>75</v>
      </c>
      <c r="M18">
        <v>80</v>
      </c>
      <c r="N18">
        <v>5</v>
      </c>
      <c r="O18">
        <v>125000</v>
      </c>
      <c r="P18">
        <v>30000</v>
      </c>
      <c r="Q18">
        <v>0</v>
      </c>
      <c r="R18" t="s">
        <v>69</v>
      </c>
      <c r="S18" t="s">
        <v>70</v>
      </c>
      <c r="T18" t="s">
        <v>129</v>
      </c>
    </row>
    <row r="19" spans="1:20" x14ac:dyDescent="0.2">
      <c r="A19" t="s">
        <v>80</v>
      </c>
      <c r="B19" t="s">
        <v>81</v>
      </c>
      <c r="C19" s="14" t="s">
        <v>82</v>
      </c>
      <c r="D19" t="s">
        <v>83</v>
      </c>
      <c r="E19" s="3" t="s">
        <v>84</v>
      </c>
      <c r="F19" s="9">
        <v>46027</v>
      </c>
      <c r="G19" s="3" t="s">
        <v>85</v>
      </c>
      <c r="H19">
        <v>70000</v>
      </c>
      <c r="I19">
        <v>81000</v>
      </c>
      <c r="J19">
        <v>30</v>
      </c>
      <c r="K19">
        <v>73</v>
      </c>
      <c r="L19">
        <v>60</v>
      </c>
      <c r="M19">
        <v>65</v>
      </c>
      <c r="N19">
        <v>5</v>
      </c>
      <c r="O19">
        <v>98000</v>
      </c>
      <c r="P19">
        <v>18000</v>
      </c>
      <c r="Q19">
        <v>1</v>
      </c>
      <c r="R19" t="s">
        <v>69</v>
      </c>
      <c r="S19" t="s">
        <v>70</v>
      </c>
      <c r="T19" t="s">
        <v>86</v>
      </c>
    </row>
    <row r="20" spans="1:20" x14ac:dyDescent="0.2">
      <c r="A20" t="s">
        <v>105</v>
      </c>
      <c r="B20" t="s">
        <v>106</v>
      </c>
      <c r="C20" s="15" t="s">
        <v>82</v>
      </c>
      <c r="D20" s="12" t="s">
        <v>83</v>
      </c>
      <c r="E20" s="3" t="s">
        <v>107</v>
      </c>
      <c r="F20" s="9">
        <v>46178</v>
      </c>
      <c r="G20" s="9">
        <v>46148</v>
      </c>
      <c r="H20">
        <v>72000</v>
      </c>
      <c r="I20">
        <v>92000</v>
      </c>
      <c r="J20">
        <v>35</v>
      </c>
      <c r="K20">
        <v>96</v>
      </c>
      <c r="L20">
        <v>66</v>
      </c>
      <c r="M20">
        <v>70</v>
      </c>
      <c r="N20">
        <v>5</v>
      </c>
      <c r="O20">
        <v>110000</v>
      </c>
      <c r="P20">
        <v>25000</v>
      </c>
      <c r="Q20">
        <v>1</v>
      </c>
      <c r="R20" t="s">
        <v>69</v>
      </c>
      <c r="S20" t="s">
        <v>70</v>
      </c>
      <c r="T20" t="s">
        <v>109</v>
      </c>
    </row>
    <row r="21" spans="1:20" x14ac:dyDescent="0.2">
      <c r="A21" t="s">
        <v>64</v>
      </c>
      <c r="B21" t="s">
        <v>65</v>
      </c>
      <c r="C21" t="s">
        <v>66</v>
      </c>
      <c r="D21" s="12" t="s">
        <v>67</v>
      </c>
      <c r="E21" s="3" t="s">
        <v>68</v>
      </c>
      <c r="F21" s="3" t="s">
        <v>76</v>
      </c>
      <c r="G21" s="9">
        <v>46301</v>
      </c>
      <c r="H21">
        <v>50000</v>
      </c>
      <c r="I21">
        <v>62000</v>
      </c>
      <c r="J21">
        <v>24</v>
      </c>
      <c r="K21">
        <v>98</v>
      </c>
      <c r="L21">
        <v>45</v>
      </c>
      <c r="M21">
        <v>50</v>
      </c>
      <c r="N21">
        <v>5</v>
      </c>
      <c r="O21">
        <v>75000</v>
      </c>
      <c r="P21">
        <v>12000</v>
      </c>
      <c r="Q21">
        <v>2</v>
      </c>
      <c r="R21" t="s">
        <v>69</v>
      </c>
      <c r="S21" t="s">
        <v>70</v>
      </c>
      <c r="T21" t="s">
        <v>71</v>
      </c>
    </row>
  </sheetData>
  <sortState xmlns:xlrd2="http://schemas.microsoft.com/office/spreadsheetml/2017/richdata2" ref="A2:T21">
    <sortCondition sortBy="cellColor" ref="D2:D21" dxfId="35"/>
    <sortCondition descending="1" sortBy="cellColor" ref="D2:D21" dxfId="34"/>
    <sortCondition sortBy="fontColor" ref="C2:C21" dxfId="33"/>
    <sortCondition descending="1" sortBy="fontColor" ref="C2:C21" dxfId="32"/>
  </sortState>
  <conditionalFormatting sqref="A2:T21">
    <cfRule type="expression" dxfId="17" priority="3">
      <formula>$D2="North"</formula>
    </cfRule>
  </conditionalFormatting>
  <conditionalFormatting sqref="F2:F21">
    <cfRule type="timePeriod" dxfId="16" priority="12" timePeriod="yesterday">
      <formula>FLOOR(F2,1)=TODAY()-1</formula>
    </cfRule>
    <cfRule type="timePeriod" dxfId="15" priority="13" timePeriod="yesterday">
      <formula>FLOOR(F2,1)=TODAY()-1</formula>
    </cfRule>
  </conditionalFormatting>
  <conditionalFormatting sqref="I2:I21">
    <cfRule type="top10" dxfId="14" priority="10" rank="3"/>
  </conditionalFormatting>
  <conditionalFormatting sqref="J2:J21">
    <cfRule type="top10" dxfId="13" priority="8" bottom="1" rank="6"/>
  </conditionalFormatting>
  <conditionalFormatting sqref="K2:K21">
    <cfRule type="top10" dxfId="12" priority="7" percent="1" bottom="1" rank="20"/>
    <cfRule type="top10" dxfId="11" priority="9" percent="1" rank="20"/>
  </conditionalFormatting>
  <conditionalFormatting sqref="N2:N21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{CB04B32F-7EE5-8440-84F7-080BEFD6D231}</x14:id>
        </ext>
      </extLst>
    </cfRule>
    <cfRule type="cellIs" dxfId="10" priority="15" operator="equal">
      <formula>5</formula>
    </cfRule>
  </conditionalFormatting>
  <conditionalFormatting sqref="P2:P21">
    <cfRule type="aboveAverage" dxfId="9" priority="5" aboveAverage="0"/>
    <cfRule type="aboveAverage" dxfId="8" priority="6"/>
  </conditionalFormatting>
  <conditionalFormatting sqref="Q2:Q21">
    <cfRule type="cellIs" dxfId="7" priority="16" operator="between">
      <formula>5</formula>
      <formula>14</formula>
    </cfRule>
    <cfRule type="cellIs" dxfId="6" priority="17" operator="lessThan">
      <formula>5</formula>
    </cfRule>
    <cfRule type="cellIs" dxfId="5" priority="18" operator="greaterThan">
      <formula>14</formula>
    </cfRule>
  </conditionalFormatting>
  <conditionalFormatting sqref="S2:S21">
    <cfRule type="containsText" dxfId="4" priority="14" operator="containsText" text="NO">
      <formula>NOT(ISERROR(SEARCH("NO",S2)))</formula>
    </cfRule>
  </conditionalFormatting>
  <conditionalFormatting sqref="T2:T21">
    <cfRule type="duplicateValues" dxfId="3" priority="11"/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B04B32F-7EE5-8440-84F7-080BEFD6D23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N2:N21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11052-5A01-5448-A5AF-9F5B221072ED}">
  <dimension ref="A1:K16"/>
  <sheetViews>
    <sheetView topLeftCell="D1" zoomScale="140" zoomScaleNormal="312" workbookViewId="0">
      <selection activeCell="D13" sqref="D13"/>
    </sheetView>
  </sheetViews>
  <sheetFormatPr baseColWidth="10" defaultRowHeight="16" x14ac:dyDescent="0.2"/>
  <cols>
    <col min="3" max="3" width="12.1640625" bestFit="1" customWidth="1"/>
    <col min="4" max="4" width="17.33203125" bestFit="1" customWidth="1"/>
    <col min="5" max="5" width="16" style="1" customWidth="1"/>
    <col min="6" max="6" width="21" bestFit="1" customWidth="1"/>
    <col min="7" max="7" width="15.6640625" customWidth="1"/>
  </cols>
  <sheetData>
    <row r="1" spans="1:11" x14ac:dyDescent="0.2">
      <c r="A1" t="s">
        <v>258</v>
      </c>
      <c r="B1" t="s">
        <v>259</v>
      </c>
      <c r="C1" t="s">
        <v>260</v>
      </c>
      <c r="D1" t="s">
        <v>261</v>
      </c>
      <c r="E1" s="1" t="s">
        <v>273</v>
      </c>
      <c r="F1" t="s">
        <v>274</v>
      </c>
      <c r="G1" t="s">
        <v>275</v>
      </c>
      <c r="H1" t="s">
        <v>276</v>
      </c>
    </row>
    <row r="2" spans="1:11" x14ac:dyDescent="0.2">
      <c r="A2">
        <v>1</v>
      </c>
      <c r="B2" t="s">
        <v>262</v>
      </c>
      <c r="C2" t="s">
        <v>263</v>
      </c>
      <c r="D2" t="s">
        <v>269</v>
      </c>
      <c r="E2" s="1" t="s">
        <v>281</v>
      </c>
      <c r="F2" s="22" t="s">
        <v>277</v>
      </c>
      <c r="G2" t="s">
        <v>286</v>
      </c>
      <c r="H2">
        <v>12345</v>
      </c>
      <c r="J2" t="s">
        <v>275</v>
      </c>
    </row>
    <row r="3" spans="1:11" x14ac:dyDescent="0.2">
      <c r="A3">
        <v>2</v>
      </c>
      <c r="B3" t="s">
        <v>266</v>
      </c>
      <c r="C3" t="s">
        <v>264</v>
      </c>
      <c r="D3" t="s">
        <v>265</v>
      </c>
      <c r="E3" s="1" t="s">
        <v>266</v>
      </c>
      <c r="F3" s="22" t="s">
        <v>278</v>
      </c>
      <c r="G3" t="s">
        <v>287</v>
      </c>
      <c r="H3">
        <v>22345</v>
      </c>
      <c r="J3" t="s">
        <v>269</v>
      </c>
      <c r="K3">
        <v>12345</v>
      </c>
    </row>
    <row r="4" spans="1:11" x14ac:dyDescent="0.2">
      <c r="A4">
        <v>3</v>
      </c>
      <c r="B4" t="s">
        <v>249</v>
      </c>
      <c r="C4" t="s">
        <v>268</v>
      </c>
      <c r="D4" t="s">
        <v>269</v>
      </c>
      <c r="E4" s="1" t="s">
        <v>283</v>
      </c>
      <c r="F4" s="22" t="s">
        <v>279</v>
      </c>
      <c r="G4" t="s">
        <v>288</v>
      </c>
      <c r="H4">
        <v>32345</v>
      </c>
      <c r="J4" t="s">
        <v>265</v>
      </c>
      <c r="K4">
        <v>22345</v>
      </c>
    </row>
    <row r="5" spans="1:11" x14ac:dyDescent="0.2">
      <c r="A5">
        <v>4</v>
      </c>
      <c r="B5" t="s">
        <v>271</v>
      </c>
      <c r="C5" t="s">
        <v>272</v>
      </c>
      <c r="D5" t="s">
        <v>270</v>
      </c>
      <c r="E5" s="1" t="s">
        <v>284</v>
      </c>
      <c r="F5" s="22" t="s">
        <v>280</v>
      </c>
      <c r="G5" t="s">
        <v>289</v>
      </c>
      <c r="H5">
        <v>42345</v>
      </c>
      <c r="J5" t="s">
        <v>269</v>
      </c>
      <c r="K5">
        <v>32345</v>
      </c>
    </row>
    <row r="6" spans="1:11" x14ac:dyDescent="0.2">
      <c r="A6">
        <v>5</v>
      </c>
      <c r="B6" t="s">
        <v>262</v>
      </c>
      <c r="C6" t="s">
        <v>267</v>
      </c>
      <c r="D6" t="s">
        <v>269</v>
      </c>
      <c r="E6" s="1" t="s">
        <v>285</v>
      </c>
      <c r="F6" s="22" t="s">
        <v>277</v>
      </c>
      <c r="G6" t="s">
        <v>290</v>
      </c>
      <c r="H6">
        <v>52345</v>
      </c>
      <c r="J6" t="s">
        <v>270</v>
      </c>
      <c r="K6">
        <v>42345</v>
      </c>
    </row>
    <row r="7" spans="1:11" x14ac:dyDescent="0.2">
      <c r="A7">
        <v>2</v>
      </c>
      <c r="B7" t="s">
        <v>266</v>
      </c>
      <c r="C7" t="s">
        <v>264</v>
      </c>
      <c r="D7" t="s">
        <v>265</v>
      </c>
      <c r="E7" s="1" t="s">
        <v>282</v>
      </c>
      <c r="F7" s="22" t="s">
        <v>278</v>
      </c>
      <c r="G7" t="s">
        <v>287</v>
      </c>
      <c r="H7">
        <v>22345</v>
      </c>
      <c r="J7" t="s">
        <v>269</v>
      </c>
      <c r="K7">
        <v>52345</v>
      </c>
    </row>
    <row r="8" spans="1:11" x14ac:dyDescent="0.2">
      <c r="J8" t="s">
        <v>265</v>
      </c>
      <c r="K8">
        <v>22345</v>
      </c>
    </row>
    <row r="11" spans="1:11" x14ac:dyDescent="0.2">
      <c r="B11" t="s">
        <v>291</v>
      </c>
      <c r="C11" t="s">
        <v>292</v>
      </c>
      <c r="D11" t="s">
        <v>293</v>
      </c>
      <c r="E11" s="1" t="s">
        <v>294</v>
      </c>
    </row>
    <row r="12" spans="1:11" x14ac:dyDescent="0.2">
      <c r="B12" t="s">
        <v>295</v>
      </c>
      <c r="C12">
        <v>1991</v>
      </c>
      <c r="D12" t="s">
        <v>296</v>
      </c>
      <c r="E12" s="1" t="s">
        <v>297</v>
      </c>
    </row>
    <row r="13" spans="1:11" x14ac:dyDescent="0.2">
      <c r="B13" t="s">
        <v>298</v>
      </c>
      <c r="C13">
        <v>1995</v>
      </c>
      <c r="D13" t="s">
        <v>299</v>
      </c>
      <c r="E13" s="1" t="s">
        <v>297</v>
      </c>
    </row>
    <row r="14" spans="1:11" x14ac:dyDescent="0.2">
      <c r="B14" t="s">
        <v>300</v>
      </c>
      <c r="C14">
        <v>1972</v>
      </c>
      <c r="D14" t="s">
        <v>301</v>
      </c>
      <c r="E14" s="1" t="s">
        <v>302</v>
      </c>
    </row>
    <row r="15" spans="1:11" x14ac:dyDescent="0.2">
      <c r="B15" t="s">
        <v>303</v>
      </c>
      <c r="C15">
        <v>1995</v>
      </c>
      <c r="D15" t="s">
        <v>304</v>
      </c>
      <c r="E15" s="1" t="s">
        <v>302</v>
      </c>
    </row>
    <row r="16" spans="1:11" x14ac:dyDescent="0.2">
      <c r="B16" t="s">
        <v>305</v>
      </c>
      <c r="C16">
        <v>1995</v>
      </c>
      <c r="D16" t="s">
        <v>306</v>
      </c>
      <c r="E16" s="1" t="s">
        <v>297</v>
      </c>
    </row>
  </sheetData>
  <hyperlinks>
    <hyperlink ref="F2" r:id="rId1" xr:uid="{143C84FB-B47B-274A-A403-ED889FE7D750}"/>
    <hyperlink ref="F3" r:id="rId2" xr:uid="{B2743A6A-C046-4246-AB48-F9129FF2D428}"/>
    <hyperlink ref="F4" r:id="rId3" xr:uid="{6C2BAC39-E014-A744-8027-64AE74D41CD0}"/>
    <hyperlink ref="F5" r:id="rId4" xr:uid="{45892393-4E87-574A-AE71-8720F48619EC}"/>
    <hyperlink ref="F6" r:id="rId5" xr:uid="{8D69A259-0ED2-634A-8EFC-45F4B0F857B3}"/>
    <hyperlink ref="F7" r:id="rId6" xr:uid="{CF29E64B-FB2C-4F48-AD8A-C4276B6212A2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83F1D-6449-0F4D-8DB6-F82B9369689B}">
  <dimension ref="A1:AS68"/>
  <sheetViews>
    <sheetView zoomScale="40" zoomScaleNormal="125" workbookViewId="0">
      <selection activeCell="X9" sqref="X9"/>
    </sheetView>
  </sheetViews>
  <sheetFormatPr baseColWidth="10" defaultRowHeight="16" x14ac:dyDescent="0.2"/>
  <cols>
    <col min="2" max="2" width="16.33203125" bestFit="1" customWidth="1"/>
    <col min="3" max="3" width="11.83203125" bestFit="1" customWidth="1"/>
    <col min="5" max="7" width="10.83203125" style="5"/>
    <col min="12" max="12" width="15.33203125" bestFit="1" customWidth="1"/>
    <col min="14" max="14" width="17.6640625" bestFit="1" customWidth="1"/>
    <col min="20" max="20" width="15" bestFit="1" customWidth="1"/>
    <col min="21" max="22" width="15" customWidth="1"/>
    <col min="24" max="24" width="11" bestFit="1" customWidth="1"/>
    <col min="26" max="26" width="14.1640625" bestFit="1" customWidth="1"/>
    <col min="27" max="27" width="14.6640625" bestFit="1" customWidth="1"/>
    <col min="28" max="28" width="11" bestFit="1" customWidth="1"/>
    <col min="30" max="31" width="10.83203125" style="3"/>
    <col min="32" max="32" width="15.1640625" style="3" bestFit="1" customWidth="1"/>
  </cols>
  <sheetData>
    <row r="1" spans="1:45" x14ac:dyDescent="0.2">
      <c r="A1" t="s">
        <v>44</v>
      </c>
      <c r="B1" t="s">
        <v>45</v>
      </c>
      <c r="C1" t="s">
        <v>46</v>
      </c>
      <c r="D1" t="s">
        <v>47</v>
      </c>
      <c r="E1" s="5" t="s">
        <v>48</v>
      </c>
      <c r="F1" s="5" t="s">
        <v>49</v>
      </c>
      <c r="G1" s="5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  <c r="Q1" t="s">
        <v>60</v>
      </c>
      <c r="R1" t="s">
        <v>61</v>
      </c>
      <c r="S1" t="s">
        <v>62</v>
      </c>
      <c r="T1" t="s">
        <v>63</v>
      </c>
      <c r="Z1" t="s">
        <v>44</v>
      </c>
      <c r="AA1" t="s">
        <v>45</v>
      </c>
      <c r="AB1" t="s">
        <v>46</v>
      </c>
      <c r="AC1" t="s">
        <v>47</v>
      </c>
      <c r="AD1" s="5" t="s">
        <v>48</v>
      </c>
      <c r="AE1" s="5" t="s">
        <v>49</v>
      </c>
      <c r="AF1" s="5" t="s">
        <v>50</v>
      </c>
      <c r="AG1" t="s">
        <v>51</v>
      </c>
      <c r="AH1" t="s">
        <v>52</v>
      </c>
      <c r="AI1" t="s">
        <v>53</v>
      </c>
      <c r="AJ1" t="s">
        <v>54</v>
      </c>
      <c r="AK1" t="s">
        <v>55</v>
      </c>
      <c r="AL1" t="s">
        <v>56</v>
      </c>
      <c r="AM1" t="s">
        <v>57</v>
      </c>
      <c r="AN1" t="s">
        <v>58</v>
      </c>
      <c r="AO1" t="s">
        <v>59</v>
      </c>
      <c r="AP1" t="s">
        <v>60</v>
      </c>
      <c r="AQ1" t="s">
        <v>61</v>
      </c>
      <c r="AR1" t="s">
        <v>62</v>
      </c>
      <c r="AS1" t="s">
        <v>63</v>
      </c>
    </row>
    <row r="2" spans="1:45" x14ac:dyDescent="0.2">
      <c r="A2" t="s">
        <v>64</v>
      </c>
      <c r="B2" t="s">
        <v>65</v>
      </c>
      <c r="C2" t="s">
        <v>66</v>
      </c>
      <c r="D2" t="s">
        <v>67</v>
      </c>
      <c r="E2" s="5" t="s">
        <v>68</v>
      </c>
      <c r="F2" s="5" t="s">
        <v>166</v>
      </c>
      <c r="G2" s="16">
        <v>46301</v>
      </c>
      <c r="H2">
        <v>50000</v>
      </c>
      <c r="I2">
        <v>62000</v>
      </c>
      <c r="J2">
        <v>24</v>
      </c>
      <c r="K2">
        <v>98</v>
      </c>
      <c r="L2">
        <v>45</v>
      </c>
      <c r="M2">
        <v>50</v>
      </c>
      <c r="N2">
        <v>5</v>
      </c>
      <c r="O2">
        <v>75000</v>
      </c>
      <c r="P2">
        <v>12000</v>
      </c>
      <c r="Q2">
        <v>2</v>
      </c>
      <c r="R2" t="s">
        <v>69</v>
      </c>
      <c r="S2" t="s">
        <v>70</v>
      </c>
      <c r="T2" t="s">
        <v>71</v>
      </c>
      <c r="Y2">
        <f>IF(X8="Employee_ID",1,IF(X8="Employee_Name",2,IF(X8="Department",3,IF(X8="Region",4,IF(X8="Join_Date",5,IF(X8="Last_Login",6,IF(X8="Project_Deadline",7,IF(X8="Sales_Target",8,""))))))))</f>
        <v>1</v>
      </c>
      <c r="Z2" t="str" cm="1">
        <f t="array" ref="Z2:AS21">_xlfn._xlws.SORT(A2:T21,Y2,Y4)</f>
        <v>E001</v>
      </c>
      <c r="AA2" t="str">
        <v>Aarav Mehta</v>
      </c>
      <c r="AB2" t="str">
        <v>Sales</v>
      </c>
      <c r="AC2" t="str">
        <v>West</v>
      </c>
      <c r="AD2" s="3" t="str">
        <v>1/15/2023</v>
      </c>
      <c r="AE2" s="3" t="str">
        <v>5/25/2026</v>
      </c>
      <c r="AF2" s="3">
        <v>46301</v>
      </c>
      <c r="AG2">
        <v>50000</v>
      </c>
      <c r="AH2">
        <v>62000</v>
      </c>
      <c r="AI2">
        <v>24</v>
      </c>
      <c r="AJ2">
        <v>98</v>
      </c>
      <c r="AK2">
        <v>45</v>
      </c>
      <c r="AL2">
        <v>50</v>
      </c>
      <c r="AM2">
        <v>5</v>
      </c>
      <c r="AN2">
        <v>75000</v>
      </c>
      <c r="AO2">
        <v>12000</v>
      </c>
      <c r="AP2">
        <v>2</v>
      </c>
      <c r="AQ2" t="str">
        <v>Completed</v>
      </c>
      <c r="AR2" t="str">
        <v>Yes</v>
      </c>
      <c r="AS2" t="str">
        <v>Excellent</v>
      </c>
    </row>
    <row r="3" spans="1:45" x14ac:dyDescent="0.2">
      <c r="A3" t="s">
        <v>72</v>
      </c>
      <c r="B3" t="s">
        <v>73</v>
      </c>
      <c r="C3" t="s">
        <v>74</v>
      </c>
      <c r="D3" t="s">
        <v>75</v>
      </c>
      <c r="E3" s="16">
        <v>44845</v>
      </c>
      <c r="F3" s="16">
        <v>46300</v>
      </c>
      <c r="G3" s="5" t="s">
        <v>76</v>
      </c>
      <c r="H3">
        <v>30000</v>
      </c>
      <c r="I3">
        <v>28000</v>
      </c>
      <c r="J3">
        <v>-5</v>
      </c>
      <c r="K3">
        <v>88</v>
      </c>
      <c r="L3">
        <v>30</v>
      </c>
      <c r="M3">
        <v>40</v>
      </c>
      <c r="N3">
        <v>3</v>
      </c>
      <c r="O3">
        <v>58000</v>
      </c>
      <c r="P3">
        <v>4000</v>
      </c>
      <c r="Q3">
        <v>5</v>
      </c>
      <c r="R3" t="s">
        <v>77</v>
      </c>
      <c r="S3" t="s">
        <v>78</v>
      </c>
      <c r="T3" t="s">
        <v>79</v>
      </c>
      <c r="Z3" t="str">
        <v>E002</v>
      </c>
      <c r="AA3" t="str">
        <v>Neha Sharma</v>
      </c>
      <c r="AB3" t="str">
        <v>HR</v>
      </c>
      <c r="AC3" t="str">
        <v>North</v>
      </c>
      <c r="AD3" s="3">
        <v>44845</v>
      </c>
      <c r="AE3" s="3">
        <v>46300</v>
      </c>
      <c r="AF3" s="3" t="str">
        <v>5/28/2026</v>
      </c>
      <c r="AG3">
        <v>30000</v>
      </c>
      <c r="AH3">
        <v>28000</v>
      </c>
      <c r="AI3">
        <v>-5</v>
      </c>
      <c r="AJ3">
        <v>88</v>
      </c>
      <c r="AK3">
        <v>30</v>
      </c>
      <c r="AL3">
        <v>40</v>
      </c>
      <c r="AM3">
        <v>3</v>
      </c>
      <c r="AN3">
        <v>58000</v>
      </c>
      <c r="AO3">
        <v>4000</v>
      </c>
      <c r="AP3">
        <v>5</v>
      </c>
      <c r="AQ3" t="str">
        <v>Pending</v>
      </c>
      <c r="AR3" t="str">
        <v>No</v>
      </c>
      <c r="AS3" t="str">
        <v>Low Performance</v>
      </c>
    </row>
    <row r="4" spans="1:45" x14ac:dyDescent="0.2">
      <c r="A4" t="s">
        <v>80</v>
      </c>
      <c r="B4" t="s">
        <v>81</v>
      </c>
      <c r="C4" t="s">
        <v>82</v>
      </c>
      <c r="D4" t="s">
        <v>83</v>
      </c>
      <c r="E4" s="5" t="s">
        <v>84</v>
      </c>
      <c r="F4" s="16">
        <v>46027</v>
      </c>
      <c r="G4" s="5" t="s">
        <v>85</v>
      </c>
      <c r="H4">
        <v>70000</v>
      </c>
      <c r="I4">
        <v>81000</v>
      </c>
      <c r="J4">
        <v>30</v>
      </c>
      <c r="K4">
        <v>73</v>
      </c>
      <c r="L4">
        <v>60</v>
      </c>
      <c r="M4">
        <v>65</v>
      </c>
      <c r="N4">
        <v>5</v>
      </c>
      <c r="O4">
        <v>98000</v>
      </c>
      <c r="P4">
        <v>18000</v>
      </c>
      <c r="Q4">
        <v>1</v>
      </c>
      <c r="R4" t="s">
        <v>69</v>
      </c>
      <c r="S4" t="s">
        <v>70</v>
      </c>
      <c r="T4" t="s">
        <v>86</v>
      </c>
      <c r="Y4">
        <f>IF(X6="asc",1,-1)</f>
        <v>1</v>
      </c>
      <c r="Z4" t="str">
        <v>E003</v>
      </c>
      <c r="AA4" t="str">
        <v>Rohan Iyer</v>
      </c>
      <c r="AB4" t="str">
        <v>IT</v>
      </c>
      <c r="AC4" t="str">
        <v>South</v>
      </c>
      <c r="AD4" s="3" t="str">
        <v>7/21/2021</v>
      </c>
      <c r="AE4" s="3">
        <v>46027</v>
      </c>
      <c r="AF4" s="3" t="str">
        <v>5/30/2026</v>
      </c>
      <c r="AG4">
        <v>70000</v>
      </c>
      <c r="AH4">
        <v>81000</v>
      </c>
      <c r="AI4">
        <v>30</v>
      </c>
      <c r="AJ4">
        <v>73</v>
      </c>
      <c r="AK4">
        <v>60</v>
      </c>
      <c r="AL4">
        <v>65</v>
      </c>
      <c r="AM4">
        <v>5</v>
      </c>
      <c r="AN4">
        <v>98000</v>
      </c>
      <c r="AO4">
        <v>18000</v>
      </c>
      <c r="AP4">
        <v>1</v>
      </c>
      <c r="AQ4" t="str">
        <v>Completed</v>
      </c>
      <c r="AR4" t="str">
        <v>Yes</v>
      </c>
      <c r="AS4" t="str">
        <v>Top Performer</v>
      </c>
    </row>
    <row r="5" spans="1:45" x14ac:dyDescent="0.2">
      <c r="A5" t="s">
        <v>87</v>
      </c>
      <c r="B5" t="s">
        <v>88</v>
      </c>
      <c r="C5" t="s">
        <v>89</v>
      </c>
      <c r="D5" t="s">
        <v>90</v>
      </c>
      <c r="E5" s="16">
        <v>45598</v>
      </c>
      <c r="F5" s="5" t="s">
        <v>91</v>
      </c>
      <c r="G5" s="16">
        <v>46028</v>
      </c>
      <c r="H5">
        <v>45000</v>
      </c>
      <c r="I5">
        <v>43000</v>
      </c>
      <c r="J5">
        <v>-2</v>
      </c>
      <c r="K5">
        <v>76</v>
      </c>
      <c r="L5">
        <v>25</v>
      </c>
      <c r="M5">
        <v>45</v>
      </c>
      <c r="N5">
        <v>2</v>
      </c>
      <c r="O5">
        <v>67000</v>
      </c>
      <c r="P5">
        <v>2000</v>
      </c>
      <c r="Q5">
        <v>8</v>
      </c>
      <c r="R5" t="s">
        <v>92</v>
      </c>
      <c r="S5" t="s">
        <v>70</v>
      </c>
      <c r="T5" t="s">
        <v>93</v>
      </c>
      <c r="Z5" t="str">
        <v>E004</v>
      </c>
      <c r="AA5" t="str">
        <v>Priya Nair</v>
      </c>
      <c r="AB5" t="str">
        <v>Finance</v>
      </c>
      <c r="AC5" t="str">
        <v>East</v>
      </c>
      <c r="AD5" s="3">
        <v>45598</v>
      </c>
      <c r="AE5" s="3" t="str">
        <v>4/20/2026</v>
      </c>
      <c r="AF5" s="3">
        <v>46028</v>
      </c>
      <c r="AG5">
        <v>45000</v>
      </c>
      <c r="AH5">
        <v>43000</v>
      </c>
      <c r="AI5">
        <v>-2</v>
      </c>
      <c r="AJ5">
        <v>76</v>
      </c>
      <c r="AK5">
        <v>25</v>
      </c>
      <c r="AL5">
        <v>45</v>
      </c>
      <c r="AM5">
        <v>2</v>
      </c>
      <c r="AN5">
        <v>67000</v>
      </c>
      <c r="AO5">
        <v>2000</v>
      </c>
      <c r="AP5">
        <v>8</v>
      </c>
      <c r="AQ5" t="str">
        <v>Delayed</v>
      </c>
      <c r="AR5" t="str">
        <v>Yes</v>
      </c>
      <c r="AS5" t="str">
        <v>Consistent</v>
      </c>
    </row>
    <row r="6" spans="1:45" x14ac:dyDescent="0.2">
      <c r="A6" t="s">
        <v>94</v>
      </c>
      <c r="B6" t="s">
        <v>95</v>
      </c>
      <c r="C6" t="s">
        <v>66</v>
      </c>
      <c r="D6" t="s">
        <v>67</v>
      </c>
      <c r="E6" s="16">
        <v>43842</v>
      </c>
      <c r="F6" s="5" t="s">
        <v>96</v>
      </c>
      <c r="G6" s="5" t="s">
        <v>97</v>
      </c>
      <c r="H6">
        <v>55000</v>
      </c>
      <c r="I6">
        <v>55000</v>
      </c>
      <c r="J6">
        <v>15</v>
      </c>
      <c r="K6">
        <v>100</v>
      </c>
      <c r="L6">
        <v>50</v>
      </c>
      <c r="M6">
        <v>50</v>
      </c>
      <c r="N6">
        <v>4</v>
      </c>
      <c r="O6">
        <v>82000</v>
      </c>
      <c r="P6">
        <v>10000</v>
      </c>
      <c r="Q6">
        <v>0</v>
      </c>
      <c r="R6" t="s">
        <v>69</v>
      </c>
      <c r="S6" t="s">
        <v>70</v>
      </c>
      <c r="T6" t="s">
        <v>98</v>
      </c>
      <c r="X6" t="s">
        <v>244</v>
      </c>
      <c r="Z6" t="str">
        <v>E005</v>
      </c>
      <c r="AA6" t="str">
        <v>Aditya Rao</v>
      </c>
      <c r="AB6" t="str">
        <v>Sales</v>
      </c>
      <c r="AC6" t="str">
        <v>West</v>
      </c>
      <c r="AD6" s="3">
        <v>43842</v>
      </c>
      <c r="AE6" s="3" t="str">
        <v>5/27/2026</v>
      </c>
      <c r="AF6" s="3" t="str">
        <v>5/29/2026</v>
      </c>
      <c r="AG6">
        <v>55000</v>
      </c>
      <c r="AH6">
        <v>55000</v>
      </c>
      <c r="AI6">
        <v>15</v>
      </c>
      <c r="AJ6">
        <v>100</v>
      </c>
      <c r="AK6">
        <v>50</v>
      </c>
      <c r="AL6">
        <v>50</v>
      </c>
      <c r="AM6">
        <v>4</v>
      </c>
      <c r="AN6">
        <v>82000</v>
      </c>
      <c r="AO6">
        <v>10000</v>
      </c>
      <c r="AP6">
        <v>0</v>
      </c>
      <c r="AQ6" t="str">
        <v>Completed</v>
      </c>
      <c r="AR6" t="str">
        <v>Yes</v>
      </c>
      <c r="AS6" t="str">
        <v>Duplicate ID</v>
      </c>
    </row>
    <row r="7" spans="1:45" x14ac:dyDescent="0.2">
      <c r="A7" t="s">
        <v>99</v>
      </c>
      <c r="B7" t="s">
        <v>100</v>
      </c>
      <c r="C7" t="s">
        <v>101</v>
      </c>
      <c r="D7" t="s">
        <v>75</v>
      </c>
      <c r="E7" s="5" t="s">
        <v>102</v>
      </c>
      <c r="F7" s="5" t="s">
        <v>167</v>
      </c>
      <c r="G7" s="5" t="s">
        <v>103</v>
      </c>
      <c r="H7">
        <v>40000</v>
      </c>
      <c r="I7">
        <v>35000</v>
      </c>
      <c r="J7">
        <v>-10</v>
      </c>
      <c r="K7">
        <v>82</v>
      </c>
      <c r="L7">
        <v>28</v>
      </c>
      <c r="M7">
        <v>50</v>
      </c>
      <c r="N7">
        <v>2</v>
      </c>
      <c r="O7">
        <v>61000</v>
      </c>
      <c r="P7">
        <v>1000</v>
      </c>
      <c r="Q7">
        <v>7</v>
      </c>
      <c r="R7" t="s">
        <v>77</v>
      </c>
      <c r="S7" t="s">
        <v>78</v>
      </c>
      <c r="T7" t="s">
        <v>104</v>
      </c>
      <c r="Z7" t="str">
        <v>E006</v>
      </c>
      <c r="AA7" t="str">
        <v>Kavya Patel</v>
      </c>
      <c r="AB7" t="str">
        <v>Marketing</v>
      </c>
      <c r="AC7" t="str">
        <v>North</v>
      </c>
      <c r="AD7" s="3" t="str">
        <v>9/14/2023</v>
      </c>
      <c r="AE7" s="3" t="str">
        <v>5/23/2026</v>
      </c>
      <c r="AF7" s="3" t="str">
        <v>6/15/2026</v>
      </c>
      <c r="AG7">
        <v>40000</v>
      </c>
      <c r="AH7">
        <v>35000</v>
      </c>
      <c r="AI7">
        <v>-10</v>
      </c>
      <c r="AJ7">
        <v>82</v>
      </c>
      <c r="AK7">
        <v>28</v>
      </c>
      <c r="AL7">
        <v>50</v>
      </c>
      <c r="AM7">
        <v>2</v>
      </c>
      <c r="AN7">
        <v>61000</v>
      </c>
      <c r="AO7">
        <v>1000</v>
      </c>
      <c r="AP7">
        <v>7</v>
      </c>
      <c r="AQ7" t="str">
        <v>Pending</v>
      </c>
      <c r="AR7" t="str">
        <v>No</v>
      </c>
      <c r="AS7" t="str">
        <v>Follow Up</v>
      </c>
    </row>
    <row r="8" spans="1:45" x14ac:dyDescent="0.2">
      <c r="A8" t="s">
        <v>105</v>
      </c>
      <c r="B8" t="s">
        <v>106</v>
      </c>
      <c r="C8" t="s">
        <v>82</v>
      </c>
      <c r="D8" t="s">
        <v>83</v>
      </c>
      <c r="E8" s="5" t="s">
        <v>107</v>
      </c>
      <c r="F8" s="5" t="s">
        <v>108</v>
      </c>
      <c r="G8" s="16">
        <v>46148</v>
      </c>
      <c r="H8">
        <v>72000</v>
      </c>
      <c r="I8">
        <v>92000</v>
      </c>
      <c r="J8">
        <v>35</v>
      </c>
      <c r="K8">
        <v>96</v>
      </c>
      <c r="L8">
        <v>66</v>
      </c>
      <c r="M8">
        <v>70</v>
      </c>
      <c r="N8">
        <v>5</v>
      </c>
      <c r="O8">
        <v>110000</v>
      </c>
      <c r="P8">
        <v>25000</v>
      </c>
      <c r="Q8">
        <v>1</v>
      </c>
      <c r="R8" t="s">
        <v>69</v>
      </c>
      <c r="S8" t="s">
        <v>70</v>
      </c>
      <c r="T8" t="s">
        <v>109</v>
      </c>
      <c r="X8" t="s">
        <v>44</v>
      </c>
      <c r="Z8" t="str">
        <v>E007</v>
      </c>
      <c r="AA8" t="str">
        <v>Vikram Singh</v>
      </c>
      <c r="AB8" t="str">
        <v>IT</v>
      </c>
      <c r="AC8" t="str">
        <v>South</v>
      </c>
      <c r="AD8" s="3" t="str">
        <v>3/18/2022</v>
      </c>
      <c r="AE8" s="3" t="str">
        <v>5/26/2026</v>
      </c>
      <c r="AF8" s="3">
        <v>46148</v>
      </c>
      <c r="AG8">
        <v>72000</v>
      </c>
      <c r="AH8">
        <v>92000</v>
      </c>
      <c r="AI8">
        <v>35</v>
      </c>
      <c r="AJ8">
        <v>96</v>
      </c>
      <c r="AK8">
        <v>66</v>
      </c>
      <c r="AL8">
        <v>70</v>
      </c>
      <c r="AM8">
        <v>5</v>
      </c>
      <c r="AN8">
        <v>110000</v>
      </c>
      <c r="AO8">
        <v>25000</v>
      </c>
      <c r="AP8">
        <v>1</v>
      </c>
      <c r="AQ8" t="str">
        <v>Completed</v>
      </c>
      <c r="AR8" t="str">
        <v>Yes</v>
      </c>
      <c r="AS8" t="str">
        <v>Outstanding</v>
      </c>
    </row>
    <row r="9" spans="1:45" x14ac:dyDescent="0.2">
      <c r="A9" t="s">
        <v>110</v>
      </c>
      <c r="B9" t="s">
        <v>111</v>
      </c>
      <c r="C9" t="s">
        <v>89</v>
      </c>
      <c r="D9" t="s">
        <v>90</v>
      </c>
      <c r="E9" s="5" t="s">
        <v>112</v>
      </c>
      <c r="F9" s="16">
        <v>46331</v>
      </c>
      <c r="G9" s="5" t="s">
        <v>96</v>
      </c>
      <c r="H9">
        <v>38000</v>
      </c>
      <c r="I9">
        <v>22000</v>
      </c>
      <c r="J9">
        <v>-18</v>
      </c>
      <c r="K9">
        <v>68</v>
      </c>
      <c r="L9">
        <v>15</v>
      </c>
      <c r="M9">
        <v>40</v>
      </c>
      <c r="N9">
        <v>1</v>
      </c>
      <c r="O9">
        <v>54000</v>
      </c>
      <c r="P9">
        <v>0</v>
      </c>
      <c r="Q9">
        <v>12</v>
      </c>
      <c r="R9" t="s">
        <v>92</v>
      </c>
      <c r="S9" t="s">
        <v>78</v>
      </c>
      <c r="T9" t="s">
        <v>113</v>
      </c>
      <c r="Z9" t="str">
        <v>E008</v>
      </c>
      <c r="AA9" t="str">
        <v>Ananya Das</v>
      </c>
      <c r="AB9" t="str">
        <v>Finance</v>
      </c>
      <c r="AC9" t="str">
        <v>East</v>
      </c>
      <c r="AD9" s="3" t="str">
        <v>8/25/2021</v>
      </c>
      <c r="AE9" s="3">
        <v>46331</v>
      </c>
      <c r="AF9" s="3" t="str">
        <v>5/27/2026</v>
      </c>
      <c r="AG9">
        <v>38000</v>
      </c>
      <c r="AH9">
        <v>22000</v>
      </c>
      <c r="AI9">
        <v>-18</v>
      </c>
      <c r="AJ9">
        <v>68</v>
      </c>
      <c r="AK9">
        <v>15</v>
      </c>
      <c r="AL9">
        <v>40</v>
      </c>
      <c r="AM9">
        <v>1</v>
      </c>
      <c r="AN9">
        <v>54000</v>
      </c>
      <c r="AO9">
        <v>0</v>
      </c>
      <c r="AP9">
        <v>12</v>
      </c>
      <c r="AQ9" t="str">
        <v>Delayed</v>
      </c>
      <c r="AR9" t="str">
        <v>No</v>
      </c>
      <c r="AS9" t="str">
        <v>Critical</v>
      </c>
    </row>
    <row r="10" spans="1:45" x14ac:dyDescent="0.2">
      <c r="A10" t="s">
        <v>114</v>
      </c>
      <c r="B10" t="s">
        <v>115</v>
      </c>
      <c r="C10" t="s">
        <v>74</v>
      </c>
      <c r="D10" t="s">
        <v>75</v>
      </c>
      <c r="E10" s="16">
        <v>45536</v>
      </c>
      <c r="F10" s="5" t="s">
        <v>168</v>
      </c>
      <c r="G10" s="16">
        <v>46362</v>
      </c>
      <c r="H10">
        <v>31000</v>
      </c>
      <c r="I10">
        <v>30000</v>
      </c>
      <c r="J10">
        <v>4</v>
      </c>
      <c r="K10">
        <v>91</v>
      </c>
      <c r="L10">
        <v>38</v>
      </c>
      <c r="M10">
        <v>42</v>
      </c>
      <c r="N10">
        <v>4</v>
      </c>
      <c r="O10">
        <v>60000</v>
      </c>
      <c r="P10">
        <v>3500</v>
      </c>
      <c r="Q10">
        <v>3</v>
      </c>
      <c r="R10" t="s">
        <v>69</v>
      </c>
      <c r="S10" t="s">
        <v>70</v>
      </c>
      <c r="T10" t="s">
        <v>116</v>
      </c>
      <c r="Z10" t="str">
        <v>E009</v>
      </c>
      <c r="AA10" t="str">
        <v>Rahul Joshi</v>
      </c>
      <c r="AB10" t="str">
        <v>HR</v>
      </c>
      <c r="AC10" t="str">
        <v>North</v>
      </c>
      <c r="AD10" s="3">
        <v>45536</v>
      </c>
      <c r="AE10" s="3" t="str">
        <v>5/19/2026</v>
      </c>
      <c r="AF10" s="3">
        <v>46362</v>
      </c>
      <c r="AG10">
        <v>31000</v>
      </c>
      <c r="AH10">
        <v>30000</v>
      </c>
      <c r="AI10">
        <v>4</v>
      </c>
      <c r="AJ10">
        <v>91</v>
      </c>
      <c r="AK10">
        <v>38</v>
      </c>
      <c r="AL10">
        <v>42</v>
      </c>
      <c r="AM10">
        <v>4</v>
      </c>
      <c r="AN10">
        <v>60000</v>
      </c>
      <c r="AO10">
        <v>3500</v>
      </c>
      <c r="AP10">
        <v>3</v>
      </c>
      <c r="AQ10" t="str">
        <v>Completed</v>
      </c>
      <c r="AR10" t="str">
        <v>Yes</v>
      </c>
      <c r="AS10" t="str">
        <v>Good</v>
      </c>
    </row>
    <row r="11" spans="1:45" x14ac:dyDescent="0.2">
      <c r="A11" t="s">
        <v>117</v>
      </c>
      <c r="B11" t="s">
        <v>118</v>
      </c>
      <c r="C11" t="s">
        <v>101</v>
      </c>
      <c r="D11" t="s">
        <v>67</v>
      </c>
      <c r="E11" s="5" t="s">
        <v>119</v>
      </c>
      <c r="F11" s="16">
        <v>46086</v>
      </c>
      <c r="G11" s="5" t="s">
        <v>120</v>
      </c>
      <c r="H11">
        <v>48000</v>
      </c>
      <c r="I11">
        <v>51000</v>
      </c>
      <c r="J11">
        <v>12</v>
      </c>
      <c r="K11">
        <v>94</v>
      </c>
      <c r="L11">
        <v>41</v>
      </c>
      <c r="M11">
        <v>45</v>
      </c>
      <c r="N11">
        <v>4</v>
      </c>
      <c r="O11">
        <v>72000</v>
      </c>
      <c r="P11">
        <v>8500</v>
      </c>
      <c r="Q11">
        <v>2</v>
      </c>
      <c r="R11" t="s">
        <v>69</v>
      </c>
      <c r="S11" t="s">
        <v>70</v>
      </c>
      <c r="T11" t="s">
        <v>93</v>
      </c>
      <c r="Z11" t="str">
        <v>E010</v>
      </c>
      <c r="AA11" t="str">
        <v>Simran Kaur</v>
      </c>
      <c r="AB11" t="str">
        <v>Marketing</v>
      </c>
      <c r="AC11" t="str">
        <v>West</v>
      </c>
      <c r="AD11" s="3" t="str">
        <v>6/30/2022</v>
      </c>
      <c r="AE11" s="3">
        <v>46086</v>
      </c>
      <c r="AF11" s="3" t="str">
        <v>5/31/2026</v>
      </c>
      <c r="AG11">
        <v>48000</v>
      </c>
      <c r="AH11">
        <v>51000</v>
      </c>
      <c r="AI11">
        <v>12</v>
      </c>
      <c r="AJ11">
        <v>94</v>
      </c>
      <c r="AK11">
        <v>41</v>
      </c>
      <c r="AL11">
        <v>45</v>
      </c>
      <c r="AM11">
        <v>4</v>
      </c>
      <c r="AN11">
        <v>72000</v>
      </c>
      <c r="AO11">
        <v>8500</v>
      </c>
      <c r="AP11">
        <v>2</v>
      </c>
      <c r="AQ11" t="str">
        <v>Completed</v>
      </c>
      <c r="AR11" t="str">
        <v>Yes</v>
      </c>
      <c r="AS11" t="str">
        <v>Consistent</v>
      </c>
    </row>
    <row r="12" spans="1:45" x14ac:dyDescent="0.2">
      <c r="A12" t="s">
        <v>121</v>
      </c>
      <c r="B12" t="s">
        <v>122</v>
      </c>
      <c r="C12" t="s">
        <v>66</v>
      </c>
      <c r="D12" t="s">
        <v>83</v>
      </c>
      <c r="E12" s="16">
        <v>45264</v>
      </c>
      <c r="F12" s="16">
        <v>46239</v>
      </c>
      <c r="G12" s="16">
        <v>46087</v>
      </c>
      <c r="H12">
        <v>53000</v>
      </c>
      <c r="I12">
        <v>49000</v>
      </c>
      <c r="J12">
        <v>-4</v>
      </c>
      <c r="K12">
        <v>73</v>
      </c>
      <c r="L12">
        <v>20</v>
      </c>
      <c r="M12">
        <v>35</v>
      </c>
      <c r="N12">
        <v>2</v>
      </c>
      <c r="O12">
        <v>69000</v>
      </c>
      <c r="P12">
        <v>1500</v>
      </c>
      <c r="Q12">
        <v>10</v>
      </c>
      <c r="R12" t="s">
        <v>77</v>
      </c>
      <c r="S12" t="s">
        <v>78</v>
      </c>
      <c r="T12" t="s">
        <v>123</v>
      </c>
      <c r="Z12" t="str">
        <v>E011</v>
      </c>
      <c r="AA12" t="str">
        <v>Arjun Verma</v>
      </c>
      <c r="AB12" t="str">
        <v>Sales</v>
      </c>
      <c r="AC12" t="str">
        <v>South</v>
      </c>
      <c r="AD12" s="3">
        <v>45264</v>
      </c>
      <c r="AE12" s="3">
        <v>46239</v>
      </c>
      <c r="AF12" s="3">
        <v>46087</v>
      </c>
      <c r="AG12">
        <v>53000</v>
      </c>
      <c r="AH12">
        <v>49000</v>
      </c>
      <c r="AI12">
        <v>-4</v>
      </c>
      <c r="AJ12">
        <v>73</v>
      </c>
      <c r="AK12">
        <v>20</v>
      </c>
      <c r="AL12">
        <v>35</v>
      </c>
      <c r="AM12">
        <v>2</v>
      </c>
      <c r="AN12">
        <v>69000</v>
      </c>
      <c r="AO12">
        <v>1500</v>
      </c>
      <c r="AP12">
        <v>10</v>
      </c>
      <c r="AQ12" t="str">
        <v>Pending</v>
      </c>
      <c r="AR12" t="str">
        <v>No</v>
      </c>
      <c r="AS12" t="str">
        <v>Low Attendance</v>
      </c>
    </row>
    <row r="13" spans="1:45" x14ac:dyDescent="0.2">
      <c r="A13" t="s">
        <v>124</v>
      </c>
      <c r="B13" t="s">
        <v>125</v>
      </c>
      <c r="C13" t="s">
        <v>82</v>
      </c>
      <c r="D13" t="s">
        <v>90</v>
      </c>
      <c r="E13" s="5" t="s">
        <v>126</v>
      </c>
      <c r="F13" s="5" t="s">
        <v>127</v>
      </c>
      <c r="G13" s="5" t="s">
        <v>128</v>
      </c>
      <c r="H13">
        <v>85000</v>
      </c>
      <c r="I13">
        <v>99000</v>
      </c>
      <c r="J13">
        <v>40</v>
      </c>
      <c r="K13">
        <v>99</v>
      </c>
      <c r="L13">
        <v>75</v>
      </c>
      <c r="M13">
        <v>80</v>
      </c>
      <c r="N13">
        <v>5</v>
      </c>
      <c r="O13">
        <v>125000</v>
      </c>
      <c r="P13">
        <v>30000</v>
      </c>
      <c r="Q13">
        <v>0</v>
      </c>
      <c r="R13" t="s">
        <v>69</v>
      </c>
      <c r="S13" t="s">
        <v>70</v>
      </c>
      <c r="T13" t="s">
        <v>129</v>
      </c>
      <c r="Z13" t="str">
        <v>E012</v>
      </c>
      <c r="AA13" t="str">
        <v>Sneha Kulkarni</v>
      </c>
      <c r="AB13" t="str">
        <v>IT</v>
      </c>
      <c r="AC13" t="str">
        <v>East</v>
      </c>
      <c r="AD13" s="3" t="str">
        <v>10/19/2020</v>
      </c>
      <c r="AE13" s="3" t="str">
        <v>5/24/2026</v>
      </c>
      <c r="AF13" s="3" t="str">
        <v>6/20/2026</v>
      </c>
      <c r="AG13">
        <v>85000</v>
      </c>
      <c r="AH13">
        <v>99000</v>
      </c>
      <c r="AI13">
        <v>40</v>
      </c>
      <c r="AJ13">
        <v>99</v>
      </c>
      <c r="AK13">
        <v>75</v>
      </c>
      <c r="AL13">
        <v>80</v>
      </c>
      <c r="AM13">
        <v>5</v>
      </c>
      <c r="AN13">
        <v>125000</v>
      </c>
      <c r="AO13">
        <v>30000</v>
      </c>
      <c r="AP13">
        <v>0</v>
      </c>
      <c r="AQ13" t="str">
        <v>Completed</v>
      </c>
      <c r="AR13" t="str">
        <v>Yes</v>
      </c>
      <c r="AS13" t="str">
        <v>Best Employee</v>
      </c>
    </row>
    <row r="14" spans="1:45" x14ac:dyDescent="0.2">
      <c r="A14" t="s">
        <v>130</v>
      </c>
      <c r="B14" t="s">
        <v>131</v>
      </c>
      <c r="C14" t="s">
        <v>89</v>
      </c>
      <c r="D14" t="s">
        <v>75</v>
      </c>
      <c r="E14" s="5" t="s">
        <v>132</v>
      </c>
      <c r="F14" s="16">
        <v>46058</v>
      </c>
      <c r="G14" s="5" t="s">
        <v>108</v>
      </c>
      <c r="H14">
        <v>41000</v>
      </c>
      <c r="I14">
        <v>39000</v>
      </c>
      <c r="J14">
        <v>-3</v>
      </c>
      <c r="K14">
        <v>84</v>
      </c>
      <c r="L14">
        <v>29</v>
      </c>
      <c r="M14">
        <v>38</v>
      </c>
      <c r="N14">
        <v>3</v>
      </c>
      <c r="O14">
        <v>64000</v>
      </c>
      <c r="P14">
        <v>2500</v>
      </c>
      <c r="Q14">
        <v>6</v>
      </c>
      <c r="R14" t="s">
        <v>92</v>
      </c>
      <c r="S14" t="s">
        <v>70</v>
      </c>
      <c r="T14" t="s">
        <v>133</v>
      </c>
      <c r="Z14" t="str">
        <v>E013</v>
      </c>
      <c r="AA14" t="str">
        <v>Manish Gupta</v>
      </c>
      <c r="AB14" t="str">
        <v>Finance</v>
      </c>
      <c r="AC14" t="str">
        <v>North</v>
      </c>
      <c r="AD14" s="3" t="str">
        <v>5/16/2021</v>
      </c>
      <c r="AE14" s="3">
        <v>46058</v>
      </c>
      <c r="AF14" s="3" t="str">
        <v>5/26/2026</v>
      </c>
      <c r="AG14">
        <v>41000</v>
      </c>
      <c r="AH14">
        <v>39000</v>
      </c>
      <c r="AI14">
        <v>-3</v>
      </c>
      <c r="AJ14">
        <v>84</v>
      </c>
      <c r="AK14">
        <v>29</v>
      </c>
      <c r="AL14">
        <v>38</v>
      </c>
      <c r="AM14">
        <v>3</v>
      </c>
      <c r="AN14">
        <v>64000</v>
      </c>
      <c r="AO14">
        <v>2500</v>
      </c>
      <c r="AP14">
        <v>6</v>
      </c>
      <c r="AQ14" t="str">
        <v>Delayed</v>
      </c>
      <c r="AR14" t="str">
        <v>Yes</v>
      </c>
      <c r="AS14" t="str">
        <v>Average</v>
      </c>
    </row>
    <row r="15" spans="1:45" x14ac:dyDescent="0.2">
      <c r="A15" t="s">
        <v>134</v>
      </c>
      <c r="B15" t="s">
        <v>135</v>
      </c>
      <c r="C15" t="s">
        <v>74</v>
      </c>
      <c r="D15" t="s">
        <v>83</v>
      </c>
      <c r="E15" s="5" t="s">
        <v>136</v>
      </c>
      <c r="F15" s="5" t="s">
        <v>137</v>
      </c>
      <c r="G15" s="5" t="s">
        <v>138</v>
      </c>
      <c r="H15">
        <v>36000</v>
      </c>
      <c r="I15">
        <v>47000</v>
      </c>
      <c r="J15">
        <v>22</v>
      </c>
      <c r="K15">
        <v>96</v>
      </c>
      <c r="L15">
        <v>44</v>
      </c>
      <c r="M15">
        <v>48</v>
      </c>
      <c r="N15">
        <v>5</v>
      </c>
      <c r="O15">
        <v>71000</v>
      </c>
      <c r="P15">
        <v>9500</v>
      </c>
      <c r="Q15">
        <v>1</v>
      </c>
      <c r="R15" t="s">
        <v>69</v>
      </c>
      <c r="S15" t="s">
        <v>70</v>
      </c>
      <c r="T15" t="s">
        <v>71</v>
      </c>
      <c r="Z15" t="str">
        <v>E014</v>
      </c>
      <c r="AA15" t="str">
        <v>Pooja Reddy</v>
      </c>
      <c r="AB15" t="str">
        <v>HR</v>
      </c>
      <c r="AC15" t="str">
        <v>South</v>
      </c>
      <c r="AD15" s="3" t="str">
        <v>9/27/2022</v>
      </c>
      <c r="AE15" s="3" t="str">
        <v>5/14/2026</v>
      </c>
      <c r="AF15" s="3" t="str">
        <v>6/18/2026</v>
      </c>
      <c r="AG15">
        <v>36000</v>
      </c>
      <c r="AH15">
        <v>47000</v>
      </c>
      <c r="AI15">
        <v>22</v>
      </c>
      <c r="AJ15">
        <v>96</v>
      </c>
      <c r="AK15">
        <v>44</v>
      </c>
      <c r="AL15">
        <v>48</v>
      </c>
      <c r="AM15">
        <v>5</v>
      </c>
      <c r="AN15">
        <v>71000</v>
      </c>
      <c r="AO15">
        <v>9500</v>
      </c>
      <c r="AP15">
        <v>1</v>
      </c>
      <c r="AQ15" t="str">
        <v>Completed</v>
      </c>
      <c r="AR15" t="str">
        <v>Yes</v>
      </c>
      <c r="AS15" t="str">
        <v>Excellent</v>
      </c>
    </row>
    <row r="16" spans="1:45" x14ac:dyDescent="0.2">
      <c r="A16" t="s">
        <v>139</v>
      </c>
      <c r="B16" t="s">
        <v>140</v>
      </c>
      <c r="C16" t="s">
        <v>101</v>
      </c>
      <c r="D16" t="s">
        <v>67</v>
      </c>
      <c r="E16" s="16">
        <v>44997</v>
      </c>
      <c r="F16" s="5" t="s">
        <v>141</v>
      </c>
      <c r="G16" s="5" t="s">
        <v>85</v>
      </c>
      <c r="H16">
        <v>50000</v>
      </c>
      <c r="I16">
        <v>32000</v>
      </c>
      <c r="J16">
        <v>-15</v>
      </c>
      <c r="K16">
        <v>65</v>
      </c>
      <c r="L16">
        <v>18</v>
      </c>
      <c r="M16">
        <v>50</v>
      </c>
      <c r="N16">
        <v>1</v>
      </c>
      <c r="O16">
        <v>59000</v>
      </c>
      <c r="P16">
        <v>500</v>
      </c>
      <c r="Q16">
        <v>15</v>
      </c>
      <c r="R16" t="s">
        <v>77</v>
      </c>
      <c r="S16" t="s">
        <v>78</v>
      </c>
      <c r="T16" t="s">
        <v>142</v>
      </c>
      <c r="Z16" t="str">
        <v>E015</v>
      </c>
      <c r="AA16" t="str">
        <v>Karan Malhotra</v>
      </c>
      <c r="AB16" t="str">
        <v>Marketing</v>
      </c>
      <c r="AC16" t="str">
        <v>West</v>
      </c>
      <c r="AD16" s="3">
        <v>44997</v>
      </c>
      <c r="AE16" s="3" t="str">
        <v>4/29/2026</v>
      </c>
      <c r="AF16" s="3" t="str">
        <v>5/30/2026</v>
      </c>
      <c r="AG16">
        <v>50000</v>
      </c>
      <c r="AH16">
        <v>32000</v>
      </c>
      <c r="AI16">
        <v>-15</v>
      </c>
      <c r="AJ16">
        <v>65</v>
      </c>
      <c r="AK16">
        <v>18</v>
      </c>
      <c r="AL16">
        <v>50</v>
      </c>
      <c r="AM16">
        <v>1</v>
      </c>
      <c r="AN16">
        <v>59000</v>
      </c>
      <c r="AO16">
        <v>500</v>
      </c>
      <c r="AP16">
        <v>15</v>
      </c>
      <c r="AQ16" t="str">
        <v>Pending</v>
      </c>
      <c r="AR16" t="str">
        <v>No</v>
      </c>
      <c r="AS16" t="str">
        <v>Urgent Review</v>
      </c>
    </row>
    <row r="17" spans="1:45" x14ac:dyDescent="0.2">
      <c r="A17" t="s">
        <v>143</v>
      </c>
      <c r="B17" t="s">
        <v>144</v>
      </c>
      <c r="C17" t="s">
        <v>82</v>
      </c>
      <c r="D17" t="s">
        <v>90</v>
      </c>
      <c r="E17" s="16">
        <v>44511</v>
      </c>
      <c r="F17" s="5" t="s">
        <v>96</v>
      </c>
      <c r="G17" s="16">
        <v>46240</v>
      </c>
      <c r="H17">
        <v>78000</v>
      </c>
      <c r="I17">
        <v>80000</v>
      </c>
      <c r="J17">
        <v>18</v>
      </c>
      <c r="K17">
        <v>93</v>
      </c>
      <c r="L17">
        <v>58</v>
      </c>
      <c r="M17">
        <v>60</v>
      </c>
      <c r="N17">
        <v>4</v>
      </c>
      <c r="O17">
        <v>102000</v>
      </c>
      <c r="P17">
        <v>14000</v>
      </c>
      <c r="Q17">
        <v>2</v>
      </c>
      <c r="R17" t="s">
        <v>69</v>
      </c>
      <c r="S17" t="s">
        <v>70</v>
      </c>
      <c r="T17" t="s">
        <v>145</v>
      </c>
      <c r="Z17" t="str">
        <v>E016</v>
      </c>
      <c r="AA17" t="str">
        <v>Isha Banerjee</v>
      </c>
      <c r="AB17" t="str">
        <v>IT</v>
      </c>
      <c r="AC17" t="str">
        <v>East</v>
      </c>
      <c r="AD17" s="3">
        <v>44511</v>
      </c>
      <c r="AE17" s="3" t="str">
        <v>5/27/2026</v>
      </c>
      <c r="AF17" s="3">
        <v>46240</v>
      </c>
      <c r="AG17">
        <v>78000</v>
      </c>
      <c r="AH17">
        <v>80000</v>
      </c>
      <c r="AI17">
        <v>18</v>
      </c>
      <c r="AJ17">
        <v>93</v>
      </c>
      <c r="AK17">
        <v>58</v>
      </c>
      <c r="AL17">
        <v>60</v>
      </c>
      <c r="AM17">
        <v>4</v>
      </c>
      <c r="AN17">
        <v>102000</v>
      </c>
      <c r="AO17">
        <v>14000</v>
      </c>
      <c r="AP17">
        <v>2</v>
      </c>
      <c r="AQ17" t="str">
        <v>Completed</v>
      </c>
      <c r="AR17" t="str">
        <v>Yes</v>
      </c>
      <c r="AS17" t="str">
        <v>Very Good</v>
      </c>
    </row>
    <row r="18" spans="1:45" x14ac:dyDescent="0.2">
      <c r="A18" t="s">
        <v>146</v>
      </c>
      <c r="B18" t="s">
        <v>147</v>
      </c>
      <c r="C18" t="s">
        <v>66</v>
      </c>
      <c r="D18" t="s">
        <v>75</v>
      </c>
      <c r="E18" s="16">
        <v>44050</v>
      </c>
      <c r="F18" s="5" t="s">
        <v>148</v>
      </c>
      <c r="G18" s="16">
        <v>46059</v>
      </c>
      <c r="H18">
        <v>61000</v>
      </c>
      <c r="I18">
        <v>61000</v>
      </c>
      <c r="J18">
        <v>10</v>
      </c>
      <c r="K18">
        <v>89</v>
      </c>
      <c r="L18">
        <v>40</v>
      </c>
      <c r="M18">
        <v>45</v>
      </c>
      <c r="N18">
        <v>4</v>
      </c>
      <c r="O18">
        <v>86000</v>
      </c>
      <c r="P18">
        <v>11000</v>
      </c>
      <c r="Q18">
        <v>4</v>
      </c>
      <c r="R18" t="s">
        <v>69</v>
      </c>
      <c r="S18" t="s">
        <v>70</v>
      </c>
      <c r="T18" t="s">
        <v>149</v>
      </c>
      <c r="Z18" t="str">
        <v>E017</v>
      </c>
      <c r="AA18" t="str">
        <v>Dev Khanna</v>
      </c>
      <c r="AB18" t="str">
        <v>Sales</v>
      </c>
      <c r="AC18" t="str">
        <v>North</v>
      </c>
      <c r="AD18" s="3">
        <v>44050</v>
      </c>
      <c r="AE18" s="3" t="str">
        <v>5/15/2026</v>
      </c>
      <c r="AF18" s="3">
        <v>46059</v>
      </c>
      <c r="AG18">
        <v>61000</v>
      </c>
      <c r="AH18">
        <v>61000</v>
      </c>
      <c r="AI18">
        <v>10</v>
      </c>
      <c r="AJ18">
        <v>89</v>
      </c>
      <c r="AK18">
        <v>40</v>
      </c>
      <c r="AL18">
        <v>45</v>
      </c>
      <c r="AM18">
        <v>4</v>
      </c>
      <c r="AN18">
        <v>86000</v>
      </c>
      <c r="AO18">
        <v>11000</v>
      </c>
      <c r="AP18">
        <v>4</v>
      </c>
      <c r="AQ18" t="str">
        <v>Completed</v>
      </c>
      <c r="AR18" t="str">
        <v>Yes</v>
      </c>
      <c r="AS18" t="str">
        <v>Target Met</v>
      </c>
    </row>
    <row r="19" spans="1:45" x14ac:dyDescent="0.2">
      <c r="A19" t="s">
        <v>150</v>
      </c>
      <c r="B19" t="s">
        <v>151</v>
      </c>
      <c r="C19" t="s">
        <v>89</v>
      </c>
      <c r="D19" t="s">
        <v>83</v>
      </c>
      <c r="E19" s="5" t="s">
        <v>152</v>
      </c>
      <c r="F19" s="16">
        <v>46147</v>
      </c>
      <c r="G19" s="5" t="s">
        <v>97</v>
      </c>
      <c r="H19">
        <v>39000</v>
      </c>
      <c r="I19">
        <v>18000</v>
      </c>
      <c r="J19">
        <v>-25</v>
      </c>
      <c r="K19">
        <v>58</v>
      </c>
      <c r="L19">
        <v>10</v>
      </c>
      <c r="M19">
        <v>35</v>
      </c>
      <c r="N19">
        <v>1</v>
      </c>
      <c r="O19">
        <v>52000</v>
      </c>
      <c r="P19">
        <v>0</v>
      </c>
      <c r="Q19">
        <v>18</v>
      </c>
      <c r="R19" t="s">
        <v>92</v>
      </c>
      <c r="S19" t="s">
        <v>78</v>
      </c>
      <c r="T19" t="s">
        <v>153</v>
      </c>
      <c r="Z19" t="str">
        <v>E018</v>
      </c>
      <c r="AA19" t="str">
        <v>Meera Pillai</v>
      </c>
      <c r="AB19" t="str">
        <v>Finance</v>
      </c>
      <c r="AC19" t="str">
        <v>South</v>
      </c>
      <c r="AD19" s="3" t="str">
        <v>3/20/2024</v>
      </c>
      <c r="AE19" s="3">
        <v>46147</v>
      </c>
      <c r="AF19" s="3" t="str">
        <v>5/29/2026</v>
      </c>
      <c r="AG19">
        <v>39000</v>
      </c>
      <c r="AH19">
        <v>18000</v>
      </c>
      <c r="AI19">
        <v>-25</v>
      </c>
      <c r="AJ19">
        <v>58</v>
      </c>
      <c r="AK19">
        <v>10</v>
      </c>
      <c r="AL19">
        <v>35</v>
      </c>
      <c r="AM19">
        <v>1</v>
      </c>
      <c r="AN19">
        <v>52000</v>
      </c>
      <c r="AO19">
        <v>0</v>
      </c>
      <c r="AP19">
        <v>18</v>
      </c>
      <c r="AQ19" t="str">
        <v>Delayed</v>
      </c>
      <c r="AR19" t="str">
        <v>No</v>
      </c>
      <c r="AS19" t="str">
        <v>very Good</v>
      </c>
    </row>
    <row r="20" spans="1:45" x14ac:dyDescent="0.2">
      <c r="A20" t="s">
        <v>154</v>
      </c>
      <c r="B20" t="s">
        <v>155</v>
      </c>
      <c r="C20" t="s">
        <v>74</v>
      </c>
      <c r="D20" t="s">
        <v>67</v>
      </c>
      <c r="E20" s="5" t="s">
        <v>156</v>
      </c>
      <c r="F20" s="5" t="s">
        <v>157</v>
      </c>
      <c r="G20" s="5" t="s">
        <v>158</v>
      </c>
      <c r="H20">
        <v>34000</v>
      </c>
      <c r="I20">
        <v>36000</v>
      </c>
      <c r="J20">
        <v>8</v>
      </c>
      <c r="K20">
        <v>92</v>
      </c>
      <c r="L20">
        <v>39</v>
      </c>
      <c r="M20">
        <v>40</v>
      </c>
      <c r="N20">
        <v>4</v>
      </c>
      <c r="O20">
        <v>63000</v>
      </c>
      <c r="P20">
        <v>4200</v>
      </c>
      <c r="Q20">
        <v>2</v>
      </c>
      <c r="R20" t="s">
        <v>69</v>
      </c>
      <c r="S20" t="s">
        <v>70</v>
      </c>
      <c r="T20" t="s">
        <v>159</v>
      </c>
      <c r="Z20" t="str">
        <v>E019</v>
      </c>
      <c r="AA20" t="str">
        <v>Yash Thakur</v>
      </c>
      <c r="AB20" t="str">
        <v>HR</v>
      </c>
      <c r="AC20" t="str">
        <v>West</v>
      </c>
      <c r="AD20" s="3" t="str">
        <v>2/17/2023</v>
      </c>
      <c r="AE20" s="3" t="str">
        <v>5/21/2026</v>
      </c>
      <c r="AF20" s="3" t="str">
        <v>6/14/2026</v>
      </c>
      <c r="AG20">
        <v>34000</v>
      </c>
      <c r="AH20">
        <v>36000</v>
      </c>
      <c r="AI20">
        <v>8</v>
      </c>
      <c r="AJ20">
        <v>92</v>
      </c>
      <c r="AK20">
        <v>39</v>
      </c>
      <c r="AL20">
        <v>40</v>
      </c>
      <c r="AM20">
        <v>4</v>
      </c>
      <c r="AN20">
        <v>63000</v>
      </c>
      <c r="AO20">
        <v>4200</v>
      </c>
      <c r="AP20">
        <v>2</v>
      </c>
      <c r="AQ20" t="str">
        <v>Completed</v>
      </c>
      <c r="AR20" t="str">
        <v>Yes</v>
      </c>
      <c r="AS20" t="str">
        <v>Stable</v>
      </c>
    </row>
    <row r="21" spans="1:45" x14ac:dyDescent="0.2">
      <c r="A21" t="s">
        <v>160</v>
      </c>
      <c r="B21" t="s">
        <v>161</v>
      </c>
      <c r="C21" t="s">
        <v>101</v>
      </c>
      <c r="D21" t="s">
        <v>90</v>
      </c>
      <c r="E21" s="5" t="s">
        <v>162</v>
      </c>
      <c r="F21" s="16">
        <v>46361</v>
      </c>
      <c r="G21" s="5" t="s">
        <v>96</v>
      </c>
      <c r="H21">
        <v>46000</v>
      </c>
      <c r="I21">
        <v>60000</v>
      </c>
      <c r="J21">
        <v>28</v>
      </c>
      <c r="K21">
        <v>97</v>
      </c>
      <c r="L21">
        <v>52</v>
      </c>
      <c r="M21">
        <v>55</v>
      </c>
      <c r="N21">
        <v>5</v>
      </c>
      <c r="O21">
        <v>88000</v>
      </c>
      <c r="P21">
        <v>16000</v>
      </c>
      <c r="Q21">
        <v>1</v>
      </c>
      <c r="R21" t="s">
        <v>69</v>
      </c>
      <c r="S21" t="s">
        <v>70</v>
      </c>
      <c r="T21" t="s">
        <v>163</v>
      </c>
      <c r="Z21" t="str">
        <v>E020</v>
      </c>
      <c r="AA21" t="str">
        <v>Ritika Sen</v>
      </c>
      <c r="AB21" t="str">
        <v>Marketing</v>
      </c>
      <c r="AC21" t="str">
        <v>East</v>
      </c>
      <c r="AD21" s="3" t="str">
        <v>1/26/2022</v>
      </c>
      <c r="AE21" s="3">
        <v>46361</v>
      </c>
      <c r="AF21" s="3" t="str">
        <v>5/27/2026</v>
      </c>
      <c r="AG21">
        <v>46000</v>
      </c>
      <c r="AH21">
        <v>60000</v>
      </c>
      <c r="AI21">
        <v>28</v>
      </c>
      <c r="AJ21">
        <v>97</v>
      </c>
      <c r="AK21">
        <v>52</v>
      </c>
      <c r="AL21">
        <v>55</v>
      </c>
      <c r="AM21">
        <v>5</v>
      </c>
      <c r="AN21">
        <v>88000</v>
      </c>
      <c r="AO21">
        <v>16000</v>
      </c>
      <c r="AP21">
        <v>1</v>
      </c>
      <c r="AQ21" t="str">
        <v>Completed</v>
      </c>
      <c r="AR21" t="str">
        <v>Yes</v>
      </c>
      <c r="AS21" t="str">
        <v>Star Performer</v>
      </c>
    </row>
    <row r="25" spans="1:45" x14ac:dyDescent="0.2">
      <c r="A25" t="s">
        <v>169</v>
      </c>
      <c r="B25" t="s">
        <v>170</v>
      </c>
      <c r="C25" t="s">
        <v>171</v>
      </c>
      <c r="D25" t="s">
        <v>172</v>
      </c>
      <c r="E25" s="5" t="s">
        <v>173</v>
      </c>
      <c r="F25" s="5" t="s">
        <v>101</v>
      </c>
      <c r="G25" s="5" t="s">
        <v>174</v>
      </c>
      <c r="H25" t="s">
        <v>175</v>
      </c>
      <c r="I25" t="s">
        <v>176</v>
      </c>
      <c r="J25" t="s">
        <v>32</v>
      </c>
      <c r="K25" t="s">
        <v>177</v>
      </c>
      <c r="L25" t="s">
        <v>178</v>
      </c>
      <c r="M25" t="s">
        <v>179</v>
      </c>
      <c r="N25" t="s">
        <v>180</v>
      </c>
    </row>
    <row r="26" spans="1:45" x14ac:dyDescent="0.2">
      <c r="A26" t="s">
        <v>235</v>
      </c>
      <c r="B26" t="s">
        <v>205</v>
      </c>
      <c r="C26">
        <v>11</v>
      </c>
      <c r="D26">
        <v>33</v>
      </c>
      <c r="E26">
        <v>54</v>
      </c>
      <c r="F26">
        <v>53</v>
      </c>
      <c r="G26">
        <v>16</v>
      </c>
      <c r="H26">
        <f t="shared" ref="H26:H55" si="0">SUM(C26:G26)</f>
        <v>167</v>
      </c>
      <c r="I26">
        <f t="shared" ref="I26:I55" si="1">H26/500*100</f>
        <v>33.4</v>
      </c>
      <c r="J26" t="str">
        <f t="shared" ref="J26:J55" si="2">IF(AND(C26&gt;=35,D26&gt;=35,E26&gt;=35,F26&gt;=35,G26&gt;=35),"Pass","Fail")</f>
        <v>Fail</v>
      </c>
      <c r="K26" t="e" cm="1">
        <f t="array" ref="K26">_xlfn.IFS(I26&gt;=75,"A+",I26&gt;=60,"B",I26&gt;=50,"C",I26&gt;=35,"D",,"F")</f>
        <v>#N/A</v>
      </c>
      <c r="L26" t="str">
        <f t="shared" ref="L26:L55" si="3">IF(OR(AND(I26&gt;=75,J26="Pass"),I26&gt;=90),"ELIGIBLE","NOT ELIGIBLE")</f>
        <v>NOT ELIGIBLE</v>
      </c>
    </row>
    <row r="27" spans="1:45" x14ac:dyDescent="0.2">
      <c r="A27" t="s">
        <v>211</v>
      </c>
      <c r="B27" t="s">
        <v>182</v>
      </c>
      <c r="C27">
        <v>13</v>
      </c>
      <c r="D27">
        <v>69</v>
      </c>
      <c r="E27">
        <v>72</v>
      </c>
      <c r="F27">
        <v>55</v>
      </c>
      <c r="G27">
        <v>61</v>
      </c>
      <c r="H27">
        <f t="shared" si="0"/>
        <v>270</v>
      </c>
      <c r="I27">
        <f t="shared" si="1"/>
        <v>54</v>
      </c>
      <c r="J27" t="str">
        <f t="shared" si="2"/>
        <v>Fail</v>
      </c>
      <c r="K27" t="str" cm="1">
        <f t="array" ref="K27">_xlfn.IFS(I27&gt;=75,"A+",I27&gt;=60,"B",I27&gt;=50,"C",I27&gt;=35,"D",,"F")</f>
        <v>C</v>
      </c>
      <c r="L27" t="str">
        <f t="shared" si="3"/>
        <v>NOT ELIGIBLE</v>
      </c>
    </row>
    <row r="28" spans="1:45" x14ac:dyDescent="0.2">
      <c r="A28" t="s">
        <v>213</v>
      </c>
      <c r="B28" t="s">
        <v>184</v>
      </c>
      <c r="C28">
        <v>13</v>
      </c>
      <c r="D28">
        <v>96</v>
      </c>
      <c r="E28">
        <v>88</v>
      </c>
      <c r="F28">
        <v>60</v>
      </c>
      <c r="G28">
        <v>57</v>
      </c>
      <c r="H28">
        <f t="shared" si="0"/>
        <v>314</v>
      </c>
      <c r="I28">
        <f t="shared" si="1"/>
        <v>62.8</v>
      </c>
      <c r="J28" t="str">
        <f t="shared" si="2"/>
        <v>Fail</v>
      </c>
      <c r="K28" t="str" cm="1">
        <f t="array" ref="K28">_xlfn.IFS(I28&gt;=75,"A+",I28&gt;=60,"B",I28&gt;=50,"C",I28&gt;=35,"D",,"F")</f>
        <v>B</v>
      </c>
      <c r="L28" t="str">
        <f t="shared" si="3"/>
        <v>NOT ELIGIBLE</v>
      </c>
      <c r="O28" t="str" cm="1">
        <f t="array" ref="O28:Z57">_xlfn._xlws.SORT(A26:L55,9,-1)</f>
        <v>STU020</v>
      </c>
      <c r="P28" t="str">
        <v>Pranav More</v>
      </c>
      <c r="Q28">
        <v>30</v>
      </c>
      <c r="R28">
        <v>99</v>
      </c>
      <c r="S28">
        <v>100</v>
      </c>
      <c r="T28">
        <v>100</v>
      </c>
      <c r="U28">
        <v>100</v>
      </c>
      <c r="V28">
        <v>429</v>
      </c>
      <c r="W28">
        <v>85.8</v>
      </c>
      <c r="X28" t="str">
        <v>Fail</v>
      </c>
      <c r="Y28" t="str">
        <v>A+</v>
      </c>
      <c r="Z28" t="str">
        <v>NOT ELIGIBLE</v>
      </c>
    </row>
    <row r="29" spans="1:45" x14ac:dyDescent="0.2">
      <c r="A29" t="s">
        <v>225</v>
      </c>
      <c r="B29" t="s">
        <v>196</v>
      </c>
      <c r="C29">
        <v>17</v>
      </c>
      <c r="D29">
        <v>10</v>
      </c>
      <c r="E29">
        <v>55</v>
      </c>
      <c r="F29">
        <v>38</v>
      </c>
      <c r="G29">
        <v>81</v>
      </c>
      <c r="H29">
        <f t="shared" si="0"/>
        <v>201</v>
      </c>
      <c r="I29">
        <f t="shared" si="1"/>
        <v>40.200000000000003</v>
      </c>
      <c r="J29" t="str">
        <f t="shared" si="2"/>
        <v>Fail</v>
      </c>
      <c r="K29" t="str" cm="1">
        <f t="array" ref="K29">_xlfn.IFS(I29&gt;=75,"A+",I29&gt;=60,"B",I29&gt;=50,"C",I29&gt;=35,"D",,"F")</f>
        <v>D</v>
      </c>
      <c r="L29" t="str">
        <f t="shared" si="3"/>
        <v>NOT ELIGIBLE</v>
      </c>
      <c r="O29" t="str">
        <v>STU023</v>
      </c>
      <c r="P29" t="str">
        <v>Sakshi Kulkarni</v>
      </c>
      <c r="Q29">
        <v>79</v>
      </c>
      <c r="R29">
        <v>94</v>
      </c>
      <c r="S29">
        <v>97</v>
      </c>
      <c r="T29">
        <v>75</v>
      </c>
      <c r="U29">
        <v>45</v>
      </c>
      <c r="V29">
        <v>390</v>
      </c>
      <c r="W29">
        <v>78</v>
      </c>
      <c r="X29" t="str">
        <v>Pass</v>
      </c>
      <c r="Y29" t="str">
        <v>A+</v>
      </c>
      <c r="Z29" t="str">
        <v>ELIGIBLE</v>
      </c>
    </row>
    <row r="30" spans="1:45" x14ac:dyDescent="0.2">
      <c r="A30" t="s">
        <v>218</v>
      </c>
      <c r="B30" t="s">
        <v>189</v>
      </c>
      <c r="C30">
        <v>20</v>
      </c>
      <c r="D30">
        <v>51</v>
      </c>
      <c r="E30">
        <v>73</v>
      </c>
      <c r="F30">
        <v>45</v>
      </c>
      <c r="G30">
        <v>96</v>
      </c>
      <c r="H30">
        <f t="shared" si="0"/>
        <v>285</v>
      </c>
      <c r="I30">
        <f t="shared" si="1"/>
        <v>56.999999999999993</v>
      </c>
      <c r="J30" t="str">
        <f t="shared" si="2"/>
        <v>Fail</v>
      </c>
      <c r="K30" t="str" cm="1">
        <f t="array" ref="K30">_xlfn.IFS(I30&gt;=75,"A+",I30&gt;=60,"B",I30&gt;=50,"C",I30&gt;=35,"D",,"F")</f>
        <v>C</v>
      </c>
      <c r="L30" t="str">
        <f t="shared" si="3"/>
        <v>NOT ELIGIBLE</v>
      </c>
      <c r="O30" t="str">
        <v>STU012</v>
      </c>
      <c r="P30" t="str">
        <v>Kavya Patil</v>
      </c>
      <c r="Q30">
        <v>79</v>
      </c>
      <c r="R30">
        <v>67</v>
      </c>
      <c r="S30">
        <v>82</v>
      </c>
      <c r="T30">
        <v>90</v>
      </c>
      <c r="U30">
        <v>30</v>
      </c>
      <c r="V30">
        <v>348</v>
      </c>
      <c r="W30">
        <v>69.599999999999994</v>
      </c>
      <c r="X30" t="str">
        <v>Fail</v>
      </c>
      <c r="Y30" t="str">
        <v>B</v>
      </c>
      <c r="Z30" t="str">
        <v>NOT ELIGIBLE</v>
      </c>
    </row>
    <row r="31" spans="1:45" x14ac:dyDescent="0.2">
      <c r="A31" t="s">
        <v>223</v>
      </c>
      <c r="B31" t="s">
        <v>194</v>
      </c>
      <c r="C31">
        <v>24</v>
      </c>
      <c r="D31">
        <v>42</v>
      </c>
      <c r="E31">
        <v>81</v>
      </c>
      <c r="F31">
        <v>16</v>
      </c>
      <c r="G31">
        <v>92</v>
      </c>
      <c r="H31">
        <f t="shared" si="0"/>
        <v>255</v>
      </c>
      <c r="I31">
        <f t="shared" si="1"/>
        <v>51</v>
      </c>
      <c r="J31" t="str">
        <f t="shared" si="2"/>
        <v>Fail</v>
      </c>
      <c r="K31" t="str" cm="1">
        <f t="array" ref="K31">_xlfn.IFS(I31&gt;=75,"A+",I31&gt;=60,"B",I31&gt;=50,"C",I31&gt;=35,"D",,"F")</f>
        <v>C</v>
      </c>
      <c r="L31" t="str">
        <f t="shared" si="3"/>
        <v>NOT ELIGIBLE</v>
      </c>
      <c r="O31" t="str">
        <v>STU029</v>
      </c>
      <c r="P31" t="str">
        <v>Vedant Chavan</v>
      </c>
      <c r="Q31">
        <v>72</v>
      </c>
      <c r="R31">
        <v>77</v>
      </c>
      <c r="S31">
        <v>59</v>
      </c>
      <c r="T31">
        <v>71</v>
      </c>
      <c r="U31">
        <v>65</v>
      </c>
      <c r="V31">
        <v>344</v>
      </c>
      <c r="W31">
        <v>68.8</v>
      </c>
      <c r="X31" t="str">
        <v>Pass</v>
      </c>
      <c r="Y31" t="str">
        <v>B</v>
      </c>
      <c r="Z31" t="str">
        <v>NOT ELIGIBLE</v>
      </c>
    </row>
    <row r="32" spans="1:45" x14ac:dyDescent="0.2">
      <c r="A32" t="s">
        <v>236</v>
      </c>
      <c r="B32" t="s">
        <v>206</v>
      </c>
      <c r="C32">
        <v>29</v>
      </c>
      <c r="D32">
        <v>91</v>
      </c>
      <c r="E32">
        <v>16</v>
      </c>
      <c r="F32">
        <v>93</v>
      </c>
      <c r="G32">
        <v>46</v>
      </c>
      <c r="H32">
        <f t="shared" si="0"/>
        <v>275</v>
      </c>
      <c r="I32">
        <f t="shared" si="1"/>
        <v>55.000000000000007</v>
      </c>
      <c r="J32" t="str">
        <f t="shared" si="2"/>
        <v>Fail</v>
      </c>
      <c r="K32" t="str" cm="1">
        <f t="array" ref="K32">_xlfn.IFS(I32&gt;=75,"A+",I32&gt;=60,"B",I32&gt;=50,"C",I32&gt;=35,"D",,"F")</f>
        <v>C</v>
      </c>
      <c r="L32" t="str">
        <f t="shared" si="3"/>
        <v>NOT ELIGIBLE</v>
      </c>
      <c r="O32" t="str">
        <v>STU019</v>
      </c>
      <c r="P32" t="str">
        <v>Omkar Jadhav</v>
      </c>
      <c r="Q32">
        <v>40</v>
      </c>
      <c r="R32">
        <v>94</v>
      </c>
      <c r="S32">
        <v>78</v>
      </c>
      <c r="T32">
        <v>67</v>
      </c>
      <c r="U32">
        <v>63</v>
      </c>
      <c r="V32">
        <v>342</v>
      </c>
      <c r="W32">
        <v>68.400000000000006</v>
      </c>
      <c r="X32" t="str">
        <v>Pass</v>
      </c>
      <c r="Y32" t="str">
        <v>B</v>
      </c>
      <c r="Z32" t="str">
        <v>NOT ELIGIBLE</v>
      </c>
    </row>
    <row r="33" spans="1:26" x14ac:dyDescent="0.2">
      <c r="A33" t="s">
        <v>229</v>
      </c>
      <c r="B33" t="s">
        <v>199</v>
      </c>
      <c r="C33">
        <v>30</v>
      </c>
      <c r="D33">
        <v>99</v>
      </c>
      <c r="E33">
        <v>100</v>
      </c>
      <c r="F33">
        <v>100</v>
      </c>
      <c r="G33">
        <v>100</v>
      </c>
      <c r="H33">
        <f t="shared" si="0"/>
        <v>429</v>
      </c>
      <c r="I33">
        <f t="shared" si="1"/>
        <v>85.8</v>
      </c>
      <c r="J33" t="str">
        <f t="shared" si="2"/>
        <v>Fail</v>
      </c>
      <c r="K33" t="str" cm="1">
        <f t="array" ref="K33">_xlfn.IFS(I33&gt;=75,"A+",I33&gt;=60,"B",I33&gt;=50,"C",I33&gt;=35,"D",,"F")</f>
        <v>A+</v>
      </c>
      <c r="L33" t="str">
        <f t="shared" si="3"/>
        <v>NOT ELIGIBLE</v>
      </c>
      <c r="O33" t="str">
        <v>STU008</v>
      </c>
      <c r="P33" t="str">
        <v>Diya Shah</v>
      </c>
      <c r="Q33">
        <v>82</v>
      </c>
      <c r="R33">
        <v>92</v>
      </c>
      <c r="S33">
        <v>79</v>
      </c>
      <c r="T33">
        <v>54</v>
      </c>
      <c r="U33">
        <v>33</v>
      </c>
      <c r="V33">
        <v>340</v>
      </c>
      <c r="W33">
        <v>68</v>
      </c>
      <c r="X33" t="str">
        <v>Fail</v>
      </c>
      <c r="Y33" t="str">
        <v>B</v>
      </c>
      <c r="Z33" t="str">
        <v>NOT ELIGIBLE</v>
      </c>
    </row>
    <row r="34" spans="1:26" x14ac:dyDescent="0.2">
      <c r="A34" t="s">
        <v>214</v>
      </c>
      <c r="B34" t="s">
        <v>185</v>
      </c>
      <c r="C34">
        <v>33</v>
      </c>
      <c r="D34">
        <v>98</v>
      </c>
      <c r="E34">
        <v>14</v>
      </c>
      <c r="F34">
        <v>96</v>
      </c>
      <c r="G34">
        <v>56</v>
      </c>
      <c r="H34">
        <f t="shared" si="0"/>
        <v>297</v>
      </c>
      <c r="I34">
        <f t="shared" si="1"/>
        <v>59.4</v>
      </c>
      <c r="J34" t="str">
        <f t="shared" si="2"/>
        <v>Fail</v>
      </c>
      <c r="K34" t="str" cm="1">
        <f t="array" ref="K34">_xlfn.IFS(I34&gt;=75,"A+",I34&gt;=60,"B",I34&gt;=50,"C",I34&gt;=35,"D",,"F")</f>
        <v>C</v>
      </c>
      <c r="L34" t="str">
        <f t="shared" si="3"/>
        <v>NOT ELIGIBLE</v>
      </c>
      <c r="O34" t="str">
        <v>STU017</v>
      </c>
      <c r="P34" t="str">
        <v>Neha Sharma</v>
      </c>
      <c r="Q34">
        <v>71</v>
      </c>
      <c r="R34">
        <v>69</v>
      </c>
      <c r="S34">
        <v>51</v>
      </c>
      <c r="T34">
        <v>85</v>
      </c>
      <c r="U34">
        <v>52</v>
      </c>
      <c r="V34">
        <v>328</v>
      </c>
      <c r="W34">
        <v>65.600000000000009</v>
      </c>
      <c r="X34" t="str">
        <v>Pass</v>
      </c>
      <c r="Y34" t="str">
        <v>B</v>
      </c>
      <c r="Z34" t="str">
        <v>NOT ELIGIBLE</v>
      </c>
    </row>
    <row r="35" spans="1:26" x14ac:dyDescent="0.2">
      <c r="A35" t="s">
        <v>228</v>
      </c>
      <c r="B35" t="s">
        <v>198</v>
      </c>
      <c r="C35">
        <v>40</v>
      </c>
      <c r="D35">
        <v>94</v>
      </c>
      <c r="E35">
        <v>78</v>
      </c>
      <c r="F35">
        <v>67</v>
      </c>
      <c r="G35">
        <v>63</v>
      </c>
      <c r="H35">
        <f t="shared" si="0"/>
        <v>342</v>
      </c>
      <c r="I35">
        <f t="shared" si="1"/>
        <v>68.400000000000006</v>
      </c>
      <c r="J35" t="str">
        <f t="shared" si="2"/>
        <v>Pass</v>
      </c>
      <c r="K35" t="str" cm="1">
        <f t="array" ref="K35">_xlfn.IFS(I35&gt;=75,"A+",I35&gt;=60,"B",I35&gt;=50,"C",I35&gt;=35,"D",,"F")</f>
        <v>B</v>
      </c>
      <c r="L35" t="str">
        <f t="shared" si="3"/>
        <v>NOT ELIGIBLE</v>
      </c>
      <c r="O35" t="str">
        <v>STU011</v>
      </c>
      <c r="P35" t="str">
        <v>Kabir Chavan</v>
      </c>
      <c r="Q35">
        <v>64</v>
      </c>
      <c r="R35">
        <v>40</v>
      </c>
      <c r="S35">
        <v>71</v>
      </c>
      <c r="T35">
        <v>98</v>
      </c>
      <c r="U35">
        <v>45</v>
      </c>
      <c r="V35">
        <v>318</v>
      </c>
      <c r="W35">
        <v>63.6</v>
      </c>
      <c r="X35" t="str">
        <v>Pass</v>
      </c>
      <c r="Y35" t="str">
        <v>B</v>
      </c>
      <c r="Z35" t="str">
        <v>NOT ELIGIBLE</v>
      </c>
    </row>
    <row r="36" spans="1:26" x14ac:dyDescent="0.2">
      <c r="A36" t="s">
        <v>224</v>
      </c>
      <c r="B36" t="s">
        <v>195</v>
      </c>
      <c r="C36">
        <v>44</v>
      </c>
      <c r="D36">
        <v>86</v>
      </c>
      <c r="E36">
        <v>27</v>
      </c>
      <c r="F36">
        <v>48</v>
      </c>
      <c r="G36">
        <v>95</v>
      </c>
      <c r="H36">
        <f t="shared" si="0"/>
        <v>300</v>
      </c>
      <c r="I36">
        <f t="shared" si="1"/>
        <v>60</v>
      </c>
      <c r="J36" t="str">
        <f t="shared" si="2"/>
        <v>Fail</v>
      </c>
      <c r="K36" t="str" cm="1">
        <f t="array" ref="K36">_xlfn.IFS(I36&gt;=75,"A+",I36&gt;=60,"B",I36&gt;=50,"C",I36&gt;=35,"D",,"F")</f>
        <v>B</v>
      </c>
      <c r="L36" t="str">
        <f t="shared" si="3"/>
        <v>NOT ELIGIBLE</v>
      </c>
      <c r="O36" t="str">
        <v>STU004</v>
      </c>
      <c r="P36" t="str">
        <v>Ananya Deshmukh</v>
      </c>
      <c r="Q36">
        <v>13</v>
      </c>
      <c r="R36">
        <v>96</v>
      </c>
      <c r="S36">
        <v>88</v>
      </c>
      <c r="T36">
        <v>60</v>
      </c>
      <c r="U36">
        <v>57</v>
      </c>
      <c r="V36">
        <v>314</v>
      </c>
      <c r="W36">
        <v>62.8</v>
      </c>
      <c r="X36" t="str">
        <v>Fail</v>
      </c>
      <c r="Y36" t="str">
        <v>B</v>
      </c>
      <c r="Z36" t="str">
        <v>NOT ELIGIBLE</v>
      </c>
    </row>
    <row r="37" spans="1:26" x14ac:dyDescent="0.2">
      <c r="A37" t="s">
        <v>239</v>
      </c>
      <c r="B37" t="s">
        <v>209</v>
      </c>
      <c r="C37">
        <v>49</v>
      </c>
      <c r="D37">
        <v>15</v>
      </c>
      <c r="E37">
        <v>37</v>
      </c>
      <c r="F37">
        <v>72</v>
      </c>
      <c r="G37">
        <v>89</v>
      </c>
      <c r="H37">
        <f t="shared" si="0"/>
        <v>262</v>
      </c>
      <c r="I37">
        <f t="shared" si="1"/>
        <v>52.400000000000006</v>
      </c>
      <c r="J37" t="str">
        <f t="shared" si="2"/>
        <v>Fail</v>
      </c>
      <c r="K37" t="str" cm="1">
        <f t="array" ref="K37">_xlfn.IFS(I37&gt;=75,"A+",I37&gt;=60,"B",I37&gt;=50,"C",I37&gt;=35,"D",,"F")</f>
        <v>C</v>
      </c>
      <c r="L37" t="str">
        <f t="shared" si="3"/>
        <v>NOT ELIGIBLE</v>
      </c>
      <c r="O37" t="str">
        <v>STU010</v>
      </c>
      <c r="P37" t="str">
        <v>Ishita Singh</v>
      </c>
      <c r="Q37">
        <v>70</v>
      </c>
      <c r="R37">
        <v>100</v>
      </c>
      <c r="S37">
        <v>51</v>
      </c>
      <c r="T37">
        <v>26</v>
      </c>
      <c r="U37">
        <v>62</v>
      </c>
      <c r="V37">
        <v>309</v>
      </c>
      <c r="W37">
        <v>61.8</v>
      </c>
      <c r="X37" t="str">
        <v>Fail</v>
      </c>
      <c r="Y37" t="str">
        <v>B</v>
      </c>
      <c r="Z37" t="str">
        <v>NOT ELIGIBLE</v>
      </c>
    </row>
    <row r="38" spans="1:26" x14ac:dyDescent="0.2">
      <c r="A38" t="s">
        <v>237</v>
      </c>
      <c r="B38" t="s">
        <v>207</v>
      </c>
      <c r="C38">
        <v>51</v>
      </c>
      <c r="D38">
        <v>47</v>
      </c>
      <c r="E38">
        <v>42</v>
      </c>
      <c r="F38">
        <v>38</v>
      </c>
      <c r="G38">
        <v>91</v>
      </c>
      <c r="H38">
        <f t="shared" si="0"/>
        <v>269</v>
      </c>
      <c r="I38">
        <f t="shared" si="1"/>
        <v>53.800000000000004</v>
      </c>
      <c r="J38" t="str">
        <f t="shared" si="2"/>
        <v>Pass</v>
      </c>
      <c r="K38" t="str" cm="1">
        <f t="array" ref="K38">_xlfn.IFS(I38&gt;=75,"A+",I38&gt;=60,"B",I38&gt;=50,"C",I38&gt;=35,"D",,"F")</f>
        <v>C</v>
      </c>
      <c r="L38" t="str">
        <f t="shared" si="3"/>
        <v>NOT ELIGIBLE</v>
      </c>
      <c r="O38" t="str">
        <v>STU021</v>
      </c>
      <c r="P38" t="str">
        <v>Riya Shah</v>
      </c>
      <c r="Q38">
        <v>67</v>
      </c>
      <c r="R38">
        <v>13</v>
      </c>
      <c r="S38">
        <v>97</v>
      </c>
      <c r="T38">
        <v>48</v>
      </c>
      <c r="U38">
        <v>79</v>
      </c>
      <c r="V38">
        <v>304</v>
      </c>
      <c r="W38">
        <v>60.8</v>
      </c>
      <c r="X38" t="str">
        <v>Fail</v>
      </c>
      <c r="Y38" t="str">
        <v>B</v>
      </c>
      <c r="Z38" t="str">
        <v>NOT ELIGIBLE</v>
      </c>
    </row>
    <row r="39" spans="1:26" x14ac:dyDescent="0.2">
      <c r="A39" t="s">
        <v>231</v>
      </c>
      <c r="B39" t="s">
        <v>201</v>
      </c>
      <c r="C39">
        <v>53</v>
      </c>
      <c r="D39">
        <v>62</v>
      </c>
      <c r="E39">
        <v>49</v>
      </c>
      <c r="F39">
        <v>26</v>
      </c>
      <c r="G39">
        <v>21</v>
      </c>
      <c r="H39">
        <f t="shared" si="0"/>
        <v>211</v>
      </c>
      <c r="I39">
        <f t="shared" si="1"/>
        <v>42.199999999999996</v>
      </c>
      <c r="J39" t="str">
        <f t="shared" si="2"/>
        <v>Fail</v>
      </c>
      <c r="K39" t="str" cm="1">
        <f t="array" ref="K39">_xlfn.IFS(I39&gt;=75,"A+",I39&gt;=60,"B",I39&gt;=50,"C",I39&gt;=35,"D",,"F")</f>
        <v>D</v>
      </c>
      <c r="L39" t="str">
        <f t="shared" si="3"/>
        <v>NOT ELIGIBLE</v>
      </c>
      <c r="O39" t="str">
        <v>STU006</v>
      </c>
      <c r="P39" t="str">
        <v>Aditi Joshi</v>
      </c>
      <c r="Q39">
        <v>70</v>
      </c>
      <c r="R39">
        <v>100</v>
      </c>
      <c r="S39">
        <v>37</v>
      </c>
      <c r="T39">
        <v>52</v>
      </c>
      <c r="U39">
        <v>43</v>
      </c>
      <c r="V39">
        <v>302</v>
      </c>
      <c r="W39">
        <v>60.4</v>
      </c>
      <c r="X39" t="str">
        <v>Pass</v>
      </c>
      <c r="Y39" t="str">
        <v>B</v>
      </c>
      <c r="Z39" t="str">
        <v>NOT ELIGIBLE</v>
      </c>
    </row>
    <row r="40" spans="1:26" x14ac:dyDescent="0.2">
      <c r="A40" t="s">
        <v>227</v>
      </c>
      <c r="B40" t="s">
        <v>197</v>
      </c>
      <c r="C40">
        <v>54</v>
      </c>
      <c r="D40">
        <v>30</v>
      </c>
      <c r="E40">
        <v>31</v>
      </c>
      <c r="F40">
        <v>73</v>
      </c>
      <c r="G40">
        <v>52</v>
      </c>
      <c r="H40">
        <f t="shared" si="0"/>
        <v>240</v>
      </c>
      <c r="I40">
        <f t="shared" si="1"/>
        <v>48</v>
      </c>
      <c r="J40" t="str">
        <f t="shared" si="2"/>
        <v>Fail</v>
      </c>
      <c r="K40" t="str" cm="1">
        <f t="array" ref="K40">_xlfn.IFS(I40&gt;=75,"A+",I40&gt;=60,"B",I40&gt;=50,"C",I40&gt;=35,"D",,"F")</f>
        <v>D</v>
      </c>
      <c r="L40" t="str">
        <f t="shared" si="3"/>
        <v>NOT ELIGIBLE</v>
      </c>
      <c r="O40" t="str">
        <v>STU015</v>
      </c>
      <c r="P40" t="str">
        <v>Manav Joshi</v>
      </c>
      <c r="Q40">
        <v>44</v>
      </c>
      <c r="R40">
        <v>86</v>
      </c>
      <c r="S40">
        <v>27</v>
      </c>
      <c r="T40">
        <v>48</v>
      </c>
      <c r="U40">
        <v>95</v>
      </c>
      <c r="V40">
        <v>300</v>
      </c>
      <c r="W40">
        <v>60</v>
      </c>
      <c r="X40" t="str">
        <v>Fail</v>
      </c>
      <c r="Y40" t="str">
        <v>B</v>
      </c>
      <c r="Z40" t="str">
        <v>NOT ELIGIBLE</v>
      </c>
    </row>
    <row r="41" spans="1:26" x14ac:dyDescent="0.2">
      <c r="A41" t="s">
        <v>222</v>
      </c>
      <c r="B41" t="s">
        <v>193</v>
      </c>
      <c r="C41">
        <v>55</v>
      </c>
      <c r="D41">
        <v>23</v>
      </c>
      <c r="E41">
        <v>37</v>
      </c>
      <c r="F41">
        <v>36</v>
      </c>
      <c r="G41">
        <v>48</v>
      </c>
      <c r="H41">
        <f t="shared" si="0"/>
        <v>199</v>
      </c>
      <c r="I41">
        <f t="shared" si="1"/>
        <v>39.800000000000004</v>
      </c>
      <c r="J41" t="str">
        <f t="shared" si="2"/>
        <v>Fail</v>
      </c>
      <c r="K41" t="str" cm="1">
        <f t="array" ref="K41">_xlfn.IFS(I41&gt;=75,"A+",I41&gt;=60,"B",I41&gt;=50,"C",I41&gt;=35,"D",,"F")</f>
        <v>D</v>
      </c>
      <c r="L41" t="str">
        <f t="shared" si="3"/>
        <v>NOT ELIGIBLE</v>
      </c>
      <c r="O41" t="str">
        <v>STU005</v>
      </c>
      <c r="P41" t="str">
        <v>Aryan Kulkarni</v>
      </c>
      <c r="Q41">
        <v>33</v>
      </c>
      <c r="R41">
        <v>98</v>
      </c>
      <c r="S41">
        <v>14</v>
      </c>
      <c r="T41">
        <v>96</v>
      </c>
      <c r="U41">
        <v>56</v>
      </c>
      <c r="V41">
        <v>297</v>
      </c>
      <c r="W41">
        <v>59.4</v>
      </c>
      <c r="X41" t="str">
        <v>Fail</v>
      </c>
      <c r="Y41" t="str">
        <v>C</v>
      </c>
      <c r="Z41" t="str">
        <v>NOT ELIGIBLE</v>
      </c>
    </row>
    <row r="42" spans="1:26" x14ac:dyDescent="0.2">
      <c r="A42" t="s">
        <v>210</v>
      </c>
      <c r="B42" t="s">
        <v>181</v>
      </c>
      <c r="C42">
        <v>58</v>
      </c>
      <c r="D42">
        <v>50</v>
      </c>
      <c r="E42">
        <v>78</v>
      </c>
      <c r="F42">
        <v>16</v>
      </c>
      <c r="G42">
        <v>46</v>
      </c>
      <c r="H42">
        <f t="shared" si="0"/>
        <v>248</v>
      </c>
      <c r="I42">
        <f t="shared" si="1"/>
        <v>49.6</v>
      </c>
      <c r="J42" t="str">
        <f t="shared" si="2"/>
        <v>Fail</v>
      </c>
      <c r="K42" t="str" cm="1">
        <f t="array" ref="K42">_xlfn.IFS(I42&gt;=75,"A+",I42&gt;=60,"B",I42&gt;=50,"C",I42&gt;=35,"D",,"F")</f>
        <v>D</v>
      </c>
      <c r="L42" t="str">
        <f t="shared" si="3"/>
        <v>NOT ELIGIBLE</v>
      </c>
      <c r="O42" t="str">
        <v>STU009</v>
      </c>
      <c r="P42" t="str">
        <v>Dhruv Mehta</v>
      </c>
      <c r="Q42">
        <v>20</v>
      </c>
      <c r="R42">
        <v>51</v>
      </c>
      <c r="S42">
        <v>73</v>
      </c>
      <c r="T42">
        <v>45</v>
      </c>
      <c r="U42">
        <v>96</v>
      </c>
      <c r="V42">
        <v>285</v>
      </c>
      <c r="W42">
        <v>56.999999999999993</v>
      </c>
      <c r="X42" t="str">
        <v>Fail</v>
      </c>
      <c r="Y42" t="str">
        <v>C</v>
      </c>
      <c r="Z42" t="str">
        <v>NOT ELIGIBLE</v>
      </c>
    </row>
    <row r="43" spans="1:26" x14ac:dyDescent="0.2">
      <c r="A43" t="s">
        <v>216</v>
      </c>
      <c r="B43" t="s">
        <v>187</v>
      </c>
      <c r="C43">
        <v>63</v>
      </c>
      <c r="D43">
        <v>14</v>
      </c>
      <c r="E43">
        <v>66</v>
      </c>
      <c r="F43">
        <v>11</v>
      </c>
      <c r="G43">
        <v>56</v>
      </c>
      <c r="H43">
        <f t="shared" si="0"/>
        <v>210</v>
      </c>
      <c r="I43">
        <f t="shared" si="1"/>
        <v>42</v>
      </c>
      <c r="J43" t="str">
        <f t="shared" si="2"/>
        <v>Fail</v>
      </c>
      <c r="K43" t="str" cm="1">
        <f t="array" ref="K43">_xlfn.IFS(I43&gt;=75,"A+",I43&gt;=60,"B",I43&gt;=50,"C",I43&gt;=35,"D",,"F")</f>
        <v>D</v>
      </c>
      <c r="L43" t="str">
        <f t="shared" si="3"/>
        <v>NOT ELIGIBLE</v>
      </c>
      <c r="O43" t="str">
        <v>STU024</v>
      </c>
      <c r="P43" t="str">
        <v>Samarth Joshi</v>
      </c>
      <c r="Q43">
        <v>81</v>
      </c>
      <c r="R43">
        <v>96</v>
      </c>
      <c r="S43">
        <v>24</v>
      </c>
      <c r="T43">
        <v>24</v>
      </c>
      <c r="U43">
        <v>58</v>
      </c>
      <c r="V43">
        <v>283</v>
      </c>
      <c r="W43">
        <v>56.599999999999994</v>
      </c>
      <c r="X43" t="str">
        <v>Fail</v>
      </c>
      <c r="Y43" t="str">
        <v>C</v>
      </c>
      <c r="Z43" t="str">
        <v>NOT ELIGIBLE</v>
      </c>
    </row>
    <row r="44" spans="1:26" x14ac:dyDescent="0.2">
      <c r="A44" t="s">
        <v>220</v>
      </c>
      <c r="B44" t="s">
        <v>191</v>
      </c>
      <c r="C44">
        <v>64</v>
      </c>
      <c r="D44">
        <v>40</v>
      </c>
      <c r="E44">
        <v>71</v>
      </c>
      <c r="F44">
        <v>98</v>
      </c>
      <c r="G44">
        <v>45</v>
      </c>
      <c r="H44">
        <f t="shared" si="0"/>
        <v>318</v>
      </c>
      <c r="I44">
        <f t="shared" si="1"/>
        <v>63.6</v>
      </c>
      <c r="J44" t="str">
        <f t="shared" si="2"/>
        <v>Pass</v>
      </c>
      <c r="K44" t="str" cm="1">
        <f t="array" ref="K44">_xlfn.IFS(I44&gt;=75,"A+",I44&gt;=60,"B",I44&gt;=50,"C",I44&gt;=35,"D",,"F")</f>
        <v>B</v>
      </c>
      <c r="L44" t="str">
        <f t="shared" si="3"/>
        <v>NOT ELIGIBLE</v>
      </c>
      <c r="O44" t="str">
        <v>STU027</v>
      </c>
      <c r="P44" t="str">
        <v>Sneha Patil</v>
      </c>
      <c r="Q44">
        <v>29</v>
      </c>
      <c r="R44">
        <v>91</v>
      </c>
      <c r="S44">
        <v>16</v>
      </c>
      <c r="T44">
        <v>93</v>
      </c>
      <c r="U44">
        <v>46</v>
      </c>
      <c r="V44">
        <v>275</v>
      </c>
      <c r="W44">
        <v>55.000000000000007</v>
      </c>
      <c r="X44" t="str">
        <v>Fail</v>
      </c>
      <c r="Y44" t="str">
        <v>C</v>
      </c>
      <c r="Z44" t="str">
        <v>NOT ELIGIBLE</v>
      </c>
    </row>
    <row r="45" spans="1:26" x14ac:dyDescent="0.2">
      <c r="A45" t="s">
        <v>230</v>
      </c>
      <c r="B45" t="s">
        <v>200</v>
      </c>
      <c r="C45">
        <v>67</v>
      </c>
      <c r="D45">
        <v>13</v>
      </c>
      <c r="E45">
        <v>97</v>
      </c>
      <c r="F45">
        <v>48</v>
      </c>
      <c r="G45">
        <v>79</v>
      </c>
      <c r="H45">
        <f t="shared" si="0"/>
        <v>304</v>
      </c>
      <c r="I45">
        <f t="shared" si="1"/>
        <v>60.8</v>
      </c>
      <c r="J45" t="str">
        <f t="shared" si="2"/>
        <v>Fail</v>
      </c>
      <c r="K45" t="str" cm="1">
        <f t="array" ref="K45">_xlfn.IFS(I45&gt;=75,"A+",I45&gt;=60,"B",I45&gt;=50,"C",I45&gt;=35,"D",,"F")</f>
        <v>B</v>
      </c>
      <c r="L45" t="str">
        <f t="shared" si="3"/>
        <v>NOT ELIGIBLE</v>
      </c>
      <c r="O45" t="str">
        <v>STU002</v>
      </c>
      <c r="P45" t="str">
        <v>Aditya Patil</v>
      </c>
      <c r="Q45">
        <v>13</v>
      </c>
      <c r="R45">
        <v>69</v>
      </c>
      <c r="S45">
        <v>72</v>
      </c>
      <c r="T45">
        <v>55</v>
      </c>
      <c r="U45">
        <v>61</v>
      </c>
      <c r="V45">
        <v>270</v>
      </c>
      <c r="W45">
        <v>54</v>
      </c>
      <c r="X45" t="str">
        <v>Fail</v>
      </c>
      <c r="Y45" t="str">
        <v>C</v>
      </c>
      <c r="Z45" t="str">
        <v>NOT ELIGIBLE</v>
      </c>
    </row>
    <row r="46" spans="1:26" x14ac:dyDescent="0.2">
      <c r="A46" s="18" t="s">
        <v>215</v>
      </c>
      <c r="B46" s="18" t="s">
        <v>186</v>
      </c>
      <c r="C46">
        <v>70</v>
      </c>
      <c r="D46">
        <v>100</v>
      </c>
      <c r="E46">
        <v>37</v>
      </c>
      <c r="F46">
        <v>52</v>
      </c>
      <c r="G46">
        <v>43</v>
      </c>
      <c r="H46">
        <f t="shared" si="0"/>
        <v>302</v>
      </c>
      <c r="I46">
        <f t="shared" si="1"/>
        <v>60.4</v>
      </c>
      <c r="J46" t="str">
        <f t="shared" si="2"/>
        <v>Pass</v>
      </c>
      <c r="K46" t="str" cm="1">
        <f t="array" ref="K46">_xlfn.IFS(I46&gt;=75,"A+",I46&gt;=60,"B",I46&gt;=50,"C",I46&gt;=35,"D",,"F")</f>
        <v>B</v>
      </c>
      <c r="L46" t="str">
        <f t="shared" si="3"/>
        <v>NOT ELIGIBLE</v>
      </c>
      <c r="O46" t="str">
        <v>STU028</v>
      </c>
      <c r="P46" t="str">
        <v>Tanvi Sharma</v>
      </c>
      <c r="Q46">
        <v>51</v>
      </c>
      <c r="R46">
        <v>47</v>
      </c>
      <c r="S46">
        <v>42</v>
      </c>
      <c r="T46">
        <v>38</v>
      </c>
      <c r="U46">
        <v>91</v>
      </c>
      <c r="V46">
        <v>269</v>
      </c>
      <c r="W46">
        <v>53.800000000000004</v>
      </c>
      <c r="X46" t="str">
        <v>Pass</v>
      </c>
      <c r="Y46" t="str">
        <v>C</v>
      </c>
      <c r="Z46" t="str">
        <v>NOT ELIGIBLE</v>
      </c>
    </row>
    <row r="47" spans="1:26" x14ac:dyDescent="0.2">
      <c r="A47" t="s">
        <v>219</v>
      </c>
      <c r="B47" t="s">
        <v>190</v>
      </c>
      <c r="C47">
        <v>70</v>
      </c>
      <c r="D47">
        <v>100</v>
      </c>
      <c r="E47">
        <v>51</v>
      </c>
      <c r="F47">
        <v>26</v>
      </c>
      <c r="G47">
        <v>62</v>
      </c>
      <c r="H47">
        <f t="shared" si="0"/>
        <v>309</v>
      </c>
      <c r="I47">
        <f t="shared" si="1"/>
        <v>61.8</v>
      </c>
      <c r="J47" t="str">
        <f t="shared" si="2"/>
        <v>Fail</v>
      </c>
      <c r="K47" t="str" cm="1">
        <f t="array" ref="K47">_xlfn.IFS(I47&gt;=75,"A+",I47&gt;=60,"B",I47&gt;=50,"C",I47&gt;=35,"D",,"F")</f>
        <v>B</v>
      </c>
      <c r="L47" t="str">
        <f t="shared" si="3"/>
        <v>NOT ELIGIBLE</v>
      </c>
      <c r="O47" t="str">
        <v>STU030</v>
      </c>
      <c r="P47" t="str">
        <v>Yash Kulkarni</v>
      </c>
      <c r="Q47">
        <v>49</v>
      </c>
      <c r="R47">
        <v>15</v>
      </c>
      <c r="S47">
        <v>37</v>
      </c>
      <c r="T47">
        <v>72</v>
      </c>
      <c r="U47">
        <v>89</v>
      </c>
      <c r="V47">
        <v>262</v>
      </c>
      <c r="W47">
        <v>52.400000000000006</v>
      </c>
      <c r="X47" t="str">
        <v>Fail</v>
      </c>
      <c r="Y47" t="str">
        <v>C</v>
      </c>
      <c r="Z47" t="str">
        <v>NOT ELIGIBLE</v>
      </c>
    </row>
    <row r="48" spans="1:26" x14ac:dyDescent="0.2">
      <c r="A48" t="s">
        <v>226</v>
      </c>
      <c r="B48" t="s">
        <v>73</v>
      </c>
      <c r="C48">
        <v>71</v>
      </c>
      <c r="D48">
        <v>69</v>
      </c>
      <c r="E48">
        <v>51</v>
      </c>
      <c r="F48">
        <v>85</v>
      </c>
      <c r="G48">
        <v>52</v>
      </c>
      <c r="H48">
        <f t="shared" si="0"/>
        <v>328</v>
      </c>
      <c r="I48">
        <f t="shared" si="1"/>
        <v>65.600000000000009</v>
      </c>
      <c r="J48" t="str">
        <f t="shared" si="2"/>
        <v>Pass</v>
      </c>
      <c r="K48" t="str" cm="1">
        <f t="array" ref="K48">_xlfn.IFS(I48&gt;=75,"A+",I48&gt;=60,"B",I48&gt;=50,"C",I48&gt;=35,"D",,"F")</f>
        <v>B</v>
      </c>
      <c r="L48" t="str">
        <f t="shared" si="3"/>
        <v>NOT ELIGIBLE</v>
      </c>
      <c r="O48" t="str">
        <v>STU025</v>
      </c>
      <c r="P48" t="str">
        <v>Shreya Deshmukh</v>
      </c>
      <c r="Q48">
        <v>76</v>
      </c>
      <c r="R48">
        <v>17</v>
      </c>
      <c r="S48">
        <v>54</v>
      </c>
      <c r="T48">
        <v>33</v>
      </c>
      <c r="U48">
        <v>77</v>
      </c>
      <c r="V48">
        <v>257</v>
      </c>
      <c r="W48">
        <v>51.4</v>
      </c>
      <c r="X48" t="str">
        <v>Fail</v>
      </c>
      <c r="Y48" t="str">
        <v>C</v>
      </c>
      <c r="Z48" t="str">
        <v>NOT ELIGIBLE</v>
      </c>
    </row>
    <row r="49" spans="1:26" x14ac:dyDescent="0.2">
      <c r="A49" t="s">
        <v>238</v>
      </c>
      <c r="B49" t="s">
        <v>208</v>
      </c>
      <c r="C49">
        <v>72</v>
      </c>
      <c r="D49">
        <v>77</v>
      </c>
      <c r="E49">
        <v>59</v>
      </c>
      <c r="F49">
        <v>71</v>
      </c>
      <c r="G49">
        <v>65</v>
      </c>
      <c r="H49">
        <f t="shared" si="0"/>
        <v>344</v>
      </c>
      <c r="I49">
        <f t="shared" si="1"/>
        <v>68.8</v>
      </c>
      <c r="J49" t="str">
        <f t="shared" si="2"/>
        <v>Pass</v>
      </c>
      <c r="K49" t="str" cm="1">
        <f t="array" ref="K49">_xlfn.IFS(I49&gt;=75,"A+",I49&gt;=60,"B",I49&gt;=50,"C",I49&gt;=35,"D",,"F")</f>
        <v>B</v>
      </c>
      <c r="L49" t="str">
        <f t="shared" si="3"/>
        <v>NOT ELIGIBLE</v>
      </c>
      <c r="O49" t="str">
        <v>STU014</v>
      </c>
      <c r="P49" t="str">
        <v>Manya Gupta</v>
      </c>
      <c r="Q49">
        <v>24</v>
      </c>
      <c r="R49">
        <v>42</v>
      </c>
      <c r="S49">
        <v>81</v>
      </c>
      <c r="T49">
        <v>16</v>
      </c>
      <c r="U49">
        <v>92</v>
      </c>
      <c r="V49">
        <v>255</v>
      </c>
      <c r="W49">
        <v>51</v>
      </c>
      <c r="X49" t="str">
        <v>Fail</v>
      </c>
      <c r="Y49" t="str">
        <v>C</v>
      </c>
      <c r="Z49" t="str">
        <v>NOT ELIGIBLE</v>
      </c>
    </row>
    <row r="50" spans="1:26" x14ac:dyDescent="0.2">
      <c r="A50" t="s">
        <v>234</v>
      </c>
      <c r="B50" t="s">
        <v>204</v>
      </c>
      <c r="C50">
        <v>76</v>
      </c>
      <c r="D50">
        <v>17</v>
      </c>
      <c r="E50">
        <v>54</v>
      </c>
      <c r="F50">
        <v>33</v>
      </c>
      <c r="G50">
        <v>77</v>
      </c>
      <c r="H50">
        <f t="shared" si="0"/>
        <v>257</v>
      </c>
      <c r="I50">
        <f t="shared" si="1"/>
        <v>51.4</v>
      </c>
      <c r="J50" t="str">
        <f t="shared" si="2"/>
        <v>Fail</v>
      </c>
      <c r="K50" t="str" cm="1">
        <f t="array" ref="K50">_xlfn.IFS(I50&gt;=75,"A+",I50&gt;=60,"B",I50&gt;=50,"C",I50&gt;=35,"D",,"F")</f>
        <v>C</v>
      </c>
      <c r="L50" t="str">
        <f t="shared" si="3"/>
        <v>NOT ELIGIBLE</v>
      </c>
      <c r="O50" t="str">
        <v>STU001</v>
      </c>
      <c r="P50" t="str">
        <v>Aarav Sharma</v>
      </c>
      <c r="Q50">
        <v>58</v>
      </c>
      <c r="R50">
        <v>50</v>
      </c>
      <c r="S50">
        <v>78</v>
      </c>
      <c r="T50">
        <v>16</v>
      </c>
      <c r="U50">
        <v>46</v>
      </c>
      <c r="V50">
        <v>248</v>
      </c>
      <c r="W50">
        <v>49.6</v>
      </c>
      <c r="X50" t="str">
        <v>Fail</v>
      </c>
      <c r="Y50" t="str">
        <v>D</v>
      </c>
      <c r="Z50" t="str">
        <v>NOT ELIGIBLE</v>
      </c>
    </row>
    <row r="51" spans="1:26" x14ac:dyDescent="0.2">
      <c r="A51" t="s">
        <v>221</v>
      </c>
      <c r="B51" t="s">
        <v>192</v>
      </c>
      <c r="C51">
        <v>79</v>
      </c>
      <c r="D51">
        <v>67</v>
      </c>
      <c r="E51">
        <v>82</v>
      </c>
      <c r="F51">
        <v>90</v>
      </c>
      <c r="G51">
        <v>30</v>
      </c>
      <c r="H51">
        <f t="shared" si="0"/>
        <v>348</v>
      </c>
      <c r="I51">
        <f t="shared" si="1"/>
        <v>69.599999999999994</v>
      </c>
      <c r="J51" t="str">
        <f t="shared" si="2"/>
        <v>Fail</v>
      </c>
      <c r="K51" t="str" cm="1">
        <f t="array" ref="K51">_xlfn.IFS(I51&gt;=75,"A+",I51&gt;=60,"B",I51&gt;=50,"C",I51&gt;=35,"D",,"F")</f>
        <v>B</v>
      </c>
      <c r="L51" t="str">
        <f t="shared" si="3"/>
        <v>NOT ELIGIBLE</v>
      </c>
      <c r="O51" t="str">
        <v>STU003</v>
      </c>
      <c r="P51" t="str">
        <v>Akash Verma</v>
      </c>
      <c r="Q51">
        <v>100</v>
      </c>
      <c r="R51">
        <v>57</v>
      </c>
      <c r="S51">
        <v>38</v>
      </c>
      <c r="T51">
        <v>22</v>
      </c>
      <c r="U51">
        <v>31</v>
      </c>
      <c r="V51">
        <v>248</v>
      </c>
      <c r="W51">
        <v>49.6</v>
      </c>
      <c r="X51" t="str">
        <v>Fail</v>
      </c>
      <c r="Y51" t="str">
        <v>D</v>
      </c>
      <c r="Z51" t="str">
        <v>NOT ELIGIBLE</v>
      </c>
    </row>
    <row r="52" spans="1:26" x14ac:dyDescent="0.2">
      <c r="A52" t="s">
        <v>232</v>
      </c>
      <c r="B52" t="s">
        <v>202</v>
      </c>
      <c r="C52">
        <v>79</v>
      </c>
      <c r="D52">
        <v>94</v>
      </c>
      <c r="E52">
        <v>97</v>
      </c>
      <c r="F52">
        <v>75</v>
      </c>
      <c r="G52">
        <v>45</v>
      </c>
      <c r="H52">
        <f t="shared" si="0"/>
        <v>390</v>
      </c>
      <c r="I52">
        <f t="shared" si="1"/>
        <v>78</v>
      </c>
      <c r="J52" t="str">
        <f t="shared" si="2"/>
        <v>Pass</v>
      </c>
      <c r="K52" t="str" cm="1">
        <f t="array" ref="K52">_xlfn.IFS(I52&gt;=75,"A+",I52&gt;=60,"B",I52&gt;=50,"C",I52&gt;=35,"D",,"F")</f>
        <v>A+</v>
      </c>
      <c r="L52" t="str">
        <f t="shared" si="3"/>
        <v>ELIGIBLE</v>
      </c>
      <c r="O52" t="str">
        <v>STU018</v>
      </c>
      <c r="P52" t="str">
        <v>Nikhil Deshmukh</v>
      </c>
      <c r="Q52">
        <v>54</v>
      </c>
      <c r="R52">
        <v>30</v>
      </c>
      <c r="S52">
        <v>31</v>
      </c>
      <c r="T52">
        <v>73</v>
      </c>
      <c r="U52">
        <v>52</v>
      </c>
      <c r="V52">
        <v>240</v>
      </c>
      <c r="W52">
        <v>48</v>
      </c>
      <c r="X52" t="str">
        <v>Fail</v>
      </c>
      <c r="Y52" t="str">
        <v>D</v>
      </c>
      <c r="Z52" t="str">
        <v>NOT ELIGIBLE</v>
      </c>
    </row>
    <row r="53" spans="1:26" x14ac:dyDescent="0.2">
      <c r="A53" t="s">
        <v>233</v>
      </c>
      <c r="B53" t="s">
        <v>203</v>
      </c>
      <c r="C53">
        <v>81</v>
      </c>
      <c r="D53">
        <v>96</v>
      </c>
      <c r="E53">
        <v>24</v>
      </c>
      <c r="F53">
        <v>24</v>
      </c>
      <c r="G53">
        <v>58</v>
      </c>
      <c r="H53">
        <f t="shared" si="0"/>
        <v>283</v>
      </c>
      <c r="I53">
        <f t="shared" si="1"/>
        <v>56.599999999999994</v>
      </c>
      <c r="J53" t="str">
        <f t="shared" si="2"/>
        <v>Fail</v>
      </c>
      <c r="K53" t="str" cm="1">
        <f t="array" ref="K53">_xlfn.IFS(I53&gt;=75,"A+",I53&gt;=60,"B",I53&gt;=50,"C",I53&gt;=35,"D",,"F")</f>
        <v>C</v>
      </c>
      <c r="L53" t="str">
        <f t="shared" si="3"/>
        <v>NOT ELIGIBLE</v>
      </c>
      <c r="O53" t="str">
        <v>STU022</v>
      </c>
      <c r="P53" t="str">
        <v>Rohan Patil</v>
      </c>
      <c r="Q53">
        <v>53</v>
      </c>
      <c r="R53">
        <v>62</v>
      </c>
      <c r="S53">
        <v>49</v>
      </c>
      <c r="T53">
        <v>26</v>
      </c>
      <c r="U53">
        <v>21</v>
      </c>
      <c r="V53">
        <v>211</v>
      </c>
      <c r="W53">
        <v>42.199999999999996</v>
      </c>
      <c r="X53" t="str">
        <v>Fail</v>
      </c>
      <c r="Y53" t="str">
        <v>D</v>
      </c>
      <c r="Z53" t="str">
        <v>NOT ELIGIBLE</v>
      </c>
    </row>
    <row r="54" spans="1:26" x14ac:dyDescent="0.2">
      <c r="A54" t="s">
        <v>217</v>
      </c>
      <c r="B54" t="s">
        <v>188</v>
      </c>
      <c r="C54">
        <v>82</v>
      </c>
      <c r="D54">
        <v>92</v>
      </c>
      <c r="E54">
        <v>79</v>
      </c>
      <c r="F54">
        <v>54</v>
      </c>
      <c r="G54">
        <v>33</v>
      </c>
      <c r="H54">
        <f t="shared" si="0"/>
        <v>340</v>
      </c>
      <c r="I54">
        <f t="shared" si="1"/>
        <v>68</v>
      </c>
      <c r="J54" t="str">
        <f t="shared" si="2"/>
        <v>Fail</v>
      </c>
      <c r="K54" t="str" cm="1">
        <f t="array" ref="K54">_xlfn.IFS(I54&gt;=75,"A+",I54&gt;=60,"B",I54&gt;=50,"C",I54&gt;=35,"D",,"F")</f>
        <v>B</v>
      </c>
      <c r="L54" t="str">
        <f t="shared" si="3"/>
        <v>NOT ELIGIBLE</v>
      </c>
      <c r="O54" t="str">
        <v>STU007</v>
      </c>
      <c r="P54" t="str">
        <v>Atharv More</v>
      </c>
      <c r="Q54">
        <v>63</v>
      </c>
      <c r="R54">
        <v>14</v>
      </c>
      <c r="S54">
        <v>66</v>
      </c>
      <c r="T54">
        <v>11</v>
      </c>
      <c r="U54">
        <v>56</v>
      </c>
      <c r="V54">
        <v>210</v>
      </c>
      <c r="W54">
        <v>42</v>
      </c>
      <c r="X54" t="str">
        <v>Fail</v>
      </c>
      <c r="Y54" t="str">
        <v>D</v>
      </c>
      <c r="Z54" t="str">
        <v>NOT ELIGIBLE</v>
      </c>
    </row>
    <row r="55" spans="1:26" x14ac:dyDescent="0.2">
      <c r="A55" t="s">
        <v>212</v>
      </c>
      <c r="B55" t="s">
        <v>183</v>
      </c>
      <c r="C55">
        <v>100</v>
      </c>
      <c r="D55">
        <v>57</v>
      </c>
      <c r="E55">
        <v>38</v>
      </c>
      <c r="F55">
        <v>22</v>
      </c>
      <c r="G55">
        <v>31</v>
      </c>
      <c r="H55">
        <f t="shared" si="0"/>
        <v>248</v>
      </c>
      <c r="I55">
        <f t="shared" si="1"/>
        <v>49.6</v>
      </c>
      <c r="J55" t="str">
        <f t="shared" si="2"/>
        <v>Fail</v>
      </c>
      <c r="K55" t="str" cm="1">
        <f t="array" ref="K55">_xlfn.IFS(I55&gt;=75,"A+",I55&gt;=60,"B",I55&gt;=50,"C",I55&gt;=35,"D",,"F")</f>
        <v>D</v>
      </c>
      <c r="L55" t="str">
        <f t="shared" si="3"/>
        <v>NOT ELIGIBLE</v>
      </c>
      <c r="O55" t="str">
        <v>STU016</v>
      </c>
      <c r="P55" t="str">
        <v>Meera Kulkarni</v>
      </c>
      <c r="Q55">
        <v>17</v>
      </c>
      <c r="R55">
        <v>10</v>
      </c>
      <c r="S55">
        <v>55</v>
      </c>
      <c r="T55">
        <v>38</v>
      </c>
      <c r="U55">
        <v>81</v>
      </c>
      <c r="V55">
        <v>201</v>
      </c>
      <c r="W55">
        <v>40.200000000000003</v>
      </c>
      <c r="X55" t="str">
        <v>Fail</v>
      </c>
      <c r="Y55" t="str">
        <v>D</v>
      </c>
      <c r="Z55" t="str">
        <v>NOT ELIGIBLE</v>
      </c>
    </row>
    <row r="56" spans="1:26" x14ac:dyDescent="0.2">
      <c r="E56"/>
      <c r="F56"/>
      <c r="G56"/>
      <c r="O56" t="str">
        <v>STU013</v>
      </c>
      <c r="P56" t="str">
        <v>Krish Shah</v>
      </c>
      <c r="Q56">
        <v>55</v>
      </c>
      <c r="R56">
        <v>23</v>
      </c>
      <c r="S56">
        <v>37</v>
      </c>
      <c r="T56">
        <v>36</v>
      </c>
      <c r="U56">
        <v>48</v>
      </c>
      <c r="V56">
        <v>199</v>
      </c>
      <c r="W56">
        <v>39.800000000000004</v>
      </c>
      <c r="X56" t="str">
        <v>Fail</v>
      </c>
      <c r="Y56" t="str">
        <v>D</v>
      </c>
      <c r="Z56" t="str">
        <v>NOT ELIGIBLE</v>
      </c>
    </row>
    <row r="57" spans="1:26" x14ac:dyDescent="0.2">
      <c r="I57" t="s">
        <v>240</v>
      </c>
      <c r="O57" t="str">
        <v>STU026</v>
      </c>
      <c r="P57" t="str">
        <v>Siddharth Mehta</v>
      </c>
      <c r="Q57">
        <v>11</v>
      </c>
      <c r="R57">
        <v>33</v>
      </c>
      <c r="S57">
        <v>54</v>
      </c>
      <c r="T57">
        <v>53</v>
      </c>
      <c r="U57">
        <v>16</v>
      </c>
      <c r="V57">
        <v>167</v>
      </c>
      <c r="W57">
        <v>33.4</v>
      </c>
      <c r="X57" t="str">
        <v>Fail</v>
      </c>
      <c r="Y57" t="e">
        <v>#N/A</v>
      </c>
      <c r="Z57" t="str">
        <v>NOT ELIGIBLE</v>
      </c>
    </row>
    <row r="58" spans="1:26" x14ac:dyDescent="0.2">
      <c r="B58" t="s">
        <v>243</v>
      </c>
      <c r="I58">
        <f>AVERAGE(I26,I55)</f>
        <v>41.5</v>
      </c>
    </row>
    <row r="59" spans="1:26" x14ac:dyDescent="0.2">
      <c r="B59">
        <f>COUNT(C26:C55)</f>
        <v>30</v>
      </c>
      <c r="I59" t="s">
        <v>241</v>
      </c>
    </row>
    <row r="60" spans="1:26" x14ac:dyDescent="0.2">
      <c r="I60">
        <f>MAX(I26:I55)</f>
        <v>85.8</v>
      </c>
    </row>
    <row r="61" spans="1:26" x14ac:dyDescent="0.2">
      <c r="I61" t="s">
        <v>242</v>
      </c>
    </row>
    <row r="62" spans="1:26" x14ac:dyDescent="0.2">
      <c r="I62">
        <f>MIN(I26:I55)</f>
        <v>33.4</v>
      </c>
    </row>
    <row r="68" spans="1:4" x14ac:dyDescent="0.2">
      <c r="A68" s="17"/>
      <c r="B68" s="17"/>
      <c r="C68" s="17"/>
      <c r="D68" s="17"/>
    </row>
  </sheetData>
  <sortState xmlns:xlrd2="http://schemas.microsoft.com/office/spreadsheetml/2017/richdata2" ref="A25:N55">
    <sortCondition ref="C26:C55"/>
  </sortState>
  <conditionalFormatting sqref="I26:I56 I58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{EB303FF0-B83F-7449-8A00-26EA3294AD08}</x14:id>
        </ext>
      </extLst>
    </cfRule>
    <cfRule type="cellIs" dxfId="2" priority="4" operator="lessThan">
      <formula>35</formula>
    </cfRule>
    <cfRule type="cellIs" dxfId="1" priority="5" operator="greaterThan">
      <formula>75</formula>
    </cfRule>
  </conditionalFormatting>
  <conditionalFormatting sqref="J26:J56">
    <cfRule type="containsText" dxfId="0" priority="6" operator="containsText" text="fail">
      <formula>NOT(ISERROR(SEARCH("fail",J26)))</formula>
    </cfRule>
  </conditionalFormatting>
  <dataValidations count="2">
    <dataValidation type="list" allowBlank="1" showInputMessage="1" showErrorMessage="1" sqref="X6" xr:uid="{261FADF5-F6D6-D64D-ADA6-04421AF16A26}">
      <formula1>"asc,desc"</formula1>
    </dataValidation>
    <dataValidation type="list" allowBlank="1" showInputMessage="1" showErrorMessage="1" sqref="X8" xr:uid="{BD19E397-04F8-A44F-AB99-3818E52DD1E1}">
      <formula1>$Z$1:$AS$1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B303FF0-B83F-7449-8A00-26EA3294AD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I26:I56 I58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EA049-B33C-5B49-B6C5-0775BE784A27}">
  <dimension ref="A1:AQ21"/>
  <sheetViews>
    <sheetView workbookViewId="0">
      <selection activeCell="J20" sqref="A1:T21"/>
    </sheetView>
  </sheetViews>
  <sheetFormatPr baseColWidth="10" defaultRowHeight="16" x14ac:dyDescent="0.2"/>
  <cols>
    <col min="19" max="19" width="12" bestFit="1" customWidth="1"/>
    <col min="20" max="20" width="14.33203125" bestFit="1" customWidth="1"/>
  </cols>
  <sheetData>
    <row r="1" spans="1:43" x14ac:dyDescent="0.2">
      <c r="A1" s="19" t="s">
        <v>44</v>
      </c>
      <c r="B1" s="19" t="s">
        <v>45</v>
      </c>
      <c r="C1" s="19" t="s">
        <v>46</v>
      </c>
      <c r="D1" s="19" t="s">
        <v>47</v>
      </c>
      <c r="E1" s="19" t="s">
        <v>48</v>
      </c>
      <c r="F1" s="19" t="s">
        <v>49</v>
      </c>
      <c r="G1" s="19" t="s">
        <v>50</v>
      </c>
      <c r="H1" s="19" t="s">
        <v>51</v>
      </c>
      <c r="I1" s="19" t="s">
        <v>52</v>
      </c>
      <c r="J1" s="19" t="s">
        <v>53</v>
      </c>
      <c r="K1" s="19" t="s">
        <v>54</v>
      </c>
      <c r="L1" s="19" t="s">
        <v>55</v>
      </c>
      <c r="M1" s="19" t="s">
        <v>56</v>
      </c>
      <c r="N1" s="19" t="s">
        <v>57</v>
      </c>
      <c r="O1" s="19" t="s">
        <v>58</v>
      </c>
      <c r="P1" s="19" t="s">
        <v>59</v>
      </c>
      <c r="Q1" s="19" t="s">
        <v>60</v>
      </c>
      <c r="R1" s="19" t="s">
        <v>61</v>
      </c>
      <c r="S1" s="19" t="s">
        <v>62</v>
      </c>
      <c r="T1" s="19" t="s">
        <v>63</v>
      </c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</row>
    <row r="2" spans="1:43" x14ac:dyDescent="0.2">
      <c r="A2" s="19" t="s">
        <v>64</v>
      </c>
      <c r="B2" s="19" t="s">
        <v>65</v>
      </c>
      <c r="C2" s="19" t="s">
        <v>66</v>
      </c>
      <c r="D2" s="19" t="s">
        <v>67</v>
      </c>
      <c r="E2" s="19" t="s">
        <v>68</v>
      </c>
      <c r="F2" s="19" t="s">
        <v>166</v>
      </c>
      <c r="G2" s="20">
        <v>46301</v>
      </c>
      <c r="H2" s="19">
        <v>50000</v>
      </c>
      <c r="I2" s="19">
        <v>62000</v>
      </c>
      <c r="J2" s="19">
        <v>24</v>
      </c>
      <c r="K2" s="19">
        <v>98</v>
      </c>
      <c r="L2" s="19">
        <v>45</v>
      </c>
      <c r="M2" s="19">
        <v>50</v>
      </c>
      <c r="N2" s="19">
        <v>5</v>
      </c>
      <c r="O2" s="19">
        <v>75000</v>
      </c>
      <c r="P2" s="19">
        <v>12000</v>
      </c>
      <c r="Q2" s="19">
        <v>2</v>
      </c>
      <c r="R2" s="19" t="s">
        <v>69</v>
      </c>
      <c r="S2" s="19" t="s">
        <v>70</v>
      </c>
      <c r="T2" s="19" t="s">
        <v>71</v>
      </c>
    </row>
    <row r="3" spans="1:43" x14ac:dyDescent="0.2">
      <c r="A3" s="19" t="s">
        <v>72</v>
      </c>
      <c r="B3" s="19" t="s">
        <v>73</v>
      </c>
      <c r="C3" s="19" t="s">
        <v>74</v>
      </c>
      <c r="D3" s="19" t="s">
        <v>75</v>
      </c>
      <c r="E3" s="20">
        <v>44845</v>
      </c>
      <c r="F3" s="20">
        <v>46300</v>
      </c>
      <c r="G3" s="19" t="s">
        <v>76</v>
      </c>
      <c r="H3" s="19">
        <v>30000</v>
      </c>
      <c r="I3" s="19">
        <v>28000</v>
      </c>
      <c r="J3" s="19">
        <v>-5</v>
      </c>
      <c r="K3" s="19">
        <v>88</v>
      </c>
      <c r="L3" s="19">
        <v>30</v>
      </c>
      <c r="M3" s="19">
        <v>40</v>
      </c>
      <c r="N3" s="19">
        <v>3</v>
      </c>
      <c r="O3" s="19">
        <v>58000</v>
      </c>
      <c r="P3" s="19">
        <v>4000</v>
      </c>
      <c r="Q3" s="19">
        <v>5</v>
      </c>
      <c r="R3" s="19" t="s">
        <v>77</v>
      </c>
      <c r="S3" s="19" t="s">
        <v>78</v>
      </c>
      <c r="T3" s="19" t="s">
        <v>79</v>
      </c>
    </row>
    <row r="4" spans="1:43" x14ac:dyDescent="0.2">
      <c r="A4" s="19" t="s">
        <v>80</v>
      </c>
      <c r="B4" s="19" t="s">
        <v>81</v>
      </c>
      <c r="C4" s="19" t="s">
        <v>82</v>
      </c>
      <c r="D4" s="19" t="s">
        <v>83</v>
      </c>
      <c r="E4" s="19" t="s">
        <v>84</v>
      </c>
      <c r="F4" s="20">
        <v>46027</v>
      </c>
      <c r="G4" s="19" t="s">
        <v>85</v>
      </c>
      <c r="H4" s="19">
        <v>70000</v>
      </c>
      <c r="I4" s="19">
        <v>81000</v>
      </c>
      <c r="J4" s="19">
        <v>30</v>
      </c>
      <c r="K4" s="19">
        <v>73</v>
      </c>
      <c r="L4" s="19">
        <v>60</v>
      </c>
      <c r="M4" s="19">
        <v>65</v>
      </c>
      <c r="N4" s="19">
        <v>5</v>
      </c>
      <c r="O4" s="19">
        <v>98000</v>
      </c>
      <c r="P4" s="19">
        <v>18000</v>
      </c>
      <c r="Q4" s="19">
        <v>1</v>
      </c>
      <c r="R4" s="19" t="s">
        <v>69</v>
      </c>
      <c r="S4" s="19" t="s">
        <v>70</v>
      </c>
      <c r="T4" s="19" t="s">
        <v>86</v>
      </c>
    </row>
    <row r="5" spans="1:43" x14ac:dyDescent="0.2">
      <c r="A5" s="19" t="s">
        <v>87</v>
      </c>
      <c r="B5" s="19" t="s">
        <v>88</v>
      </c>
      <c r="C5" s="19" t="s">
        <v>89</v>
      </c>
      <c r="D5" s="19" t="s">
        <v>90</v>
      </c>
      <c r="E5" s="20">
        <v>45598</v>
      </c>
      <c r="F5" s="19" t="s">
        <v>91</v>
      </c>
      <c r="G5" s="20">
        <v>46028</v>
      </c>
      <c r="H5" s="19">
        <v>45000</v>
      </c>
      <c r="I5" s="19">
        <v>43000</v>
      </c>
      <c r="J5" s="19">
        <v>-2</v>
      </c>
      <c r="K5" s="19">
        <v>76</v>
      </c>
      <c r="L5" s="19">
        <v>25</v>
      </c>
      <c r="M5" s="19">
        <v>45</v>
      </c>
      <c r="N5" s="19">
        <v>2</v>
      </c>
      <c r="O5" s="19">
        <v>67000</v>
      </c>
      <c r="P5" s="19">
        <v>2000</v>
      </c>
      <c r="Q5" s="19">
        <v>8</v>
      </c>
      <c r="R5" s="19" t="s">
        <v>92</v>
      </c>
      <c r="S5" s="19" t="s">
        <v>70</v>
      </c>
      <c r="T5" s="19" t="s">
        <v>93</v>
      </c>
    </row>
    <row r="6" spans="1:43" x14ac:dyDescent="0.2">
      <c r="A6" s="19" t="s">
        <v>94</v>
      </c>
      <c r="B6" s="19" t="s">
        <v>95</v>
      </c>
      <c r="C6" s="19" t="s">
        <v>66</v>
      </c>
      <c r="D6" s="19" t="s">
        <v>67</v>
      </c>
      <c r="E6" s="20">
        <v>43842</v>
      </c>
      <c r="F6" s="19" t="s">
        <v>96</v>
      </c>
      <c r="G6" s="19" t="s">
        <v>97</v>
      </c>
      <c r="H6" s="19">
        <v>55000</v>
      </c>
      <c r="I6" s="19">
        <v>55000</v>
      </c>
      <c r="J6" s="19">
        <v>15</v>
      </c>
      <c r="K6" s="19">
        <v>100</v>
      </c>
      <c r="L6" s="19">
        <v>50</v>
      </c>
      <c r="M6" s="19">
        <v>50</v>
      </c>
      <c r="N6" s="19">
        <v>4</v>
      </c>
      <c r="O6" s="19">
        <v>82000</v>
      </c>
      <c r="P6" s="19">
        <v>10000</v>
      </c>
      <c r="Q6" s="19">
        <v>0</v>
      </c>
      <c r="R6" s="19" t="s">
        <v>69</v>
      </c>
      <c r="S6" s="19" t="s">
        <v>70</v>
      </c>
      <c r="T6" s="19" t="s">
        <v>98</v>
      </c>
    </row>
    <row r="7" spans="1:43" x14ac:dyDescent="0.2">
      <c r="A7" s="19" t="s">
        <v>99</v>
      </c>
      <c r="B7" s="19" t="s">
        <v>100</v>
      </c>
      <c r="C7" s="19" t="s">
        <v>101</v>
      </c>
      <c r="D7" s="19" t="s">
        <v>75</v>
      </c>
      <c r="E7" s="19" t="s">
        <v>102</v>
      </c>
      <c r="F7" s="19" t="s">
        <v>167</v>
      </c>
      <c r="G7" s="19" t="s">
        <v>103</v>
      </c>
      <c r="H7" s="19">
        <v>40000</v>
      </c>
      <c r="I7" s="19">
        <v>35000</v>
      </c>
      <c r="J7" s="19">
        <v>-10</v>
      </c>
      <c r="K7" s="19">
        <v>82</v>
      </c>
      <c r="L7" s="19">
        <v>28</v>
      </c>
      <c r="M7" s="19">
        <v>50</v>
      </c>
      <c r="N7" s="19">
        <v>2</v>
      </c>
      <c r="O7" s="19">
        <v>61000</v>
      </c>
      <c r="P7" s="19">
        <v>1000</v>
      </c>
      <c r="Q7" s="19">
        <v>7</v>
      </c>
      <c r="R7" s="19" t="s">
        <v>77</v>
      </c>
      <c r="S7" s="19" t="s">
        <v>78</v>
      </c>
      <c r="T7" s="19" t="s">
        <v>104</v>
      </c>
    </row>
    <row r="8" spans="1:43" x14ac:dyDescent="0.2">
      <c r="A8" s="19" t="s">
        <v>105</v>
      </c>
      <c r="B8" s="19" t="s">
        <v>106</v>
      </c>
      <c r="C8" s="19" t="s">
        <v>82</v>
      </c>
      <c r="D8" s="19" t="s">
        <v>83</v>
      </c>
      <c r="E8" s="19" t="s">
        <v>107</v>
      </c>
      <c r="F8" s="19" t="s">
        <v>108</v>
      </c>
      <c r="G8" s="20">
        <v>46148</v>
      </c>
      <c r="H8" s="19">
        <v>72000</v>
      </c>
      <c r="I8" s="19">
        <v>92000</v>
      </c>
      <c r="J8" s="19">
        <v>35</v>
      </c>
      <c r="K8" s="19">
        <v>96</v>
      </c>
      <c r="L8" s="19">
        <v>66</v>
      </c>
      <c r="M8" s="19">
        <v>70</v>
      </c>
      <c r="N8" s="19">
        <v>5</v>
      </c>
      <c r="O8" s="19">
        <v>110000</v>
      </c>
      <c r="P8" s="19">
        <v>25000</v>
      </c>
      <c r="Q8" s="19">
        <v>1</v>
      </c>
      <c r="R8" s="19" t="s">
        <v>69</v>
      </c>
      <c r="S8" s="19" t="s">
        <v>70</v>
      </c>
      <c r="T8" s="19" t="s">
        <v>109</v>
      </c>
    </row>
    <row r="9" spans="1:43" x14ac:dyDescent="0.2">
      <c r="A9" s="19" t="s">
        <v>110</v>
      </c>
      <c r="B9" s="19" t="s">
        <v>111</v>
      </c>
      <c r="C9" s="19" t="s">
        <v>89</v>
      </c>
      <c r="D9" s="19" t="s">
        <v>90</v>
      </c>
      <c r="E9" s="19" t="s">
        <v>112</v>
      </c>
      <c r="F9" s="20">
        <v>46331</v>
      </c>
      <c r="G9" s="19" t="s">
        <v>96</v>
      </c>
      <c r="H9" s="19">
        <v>38000</v>
      </c>
      <c r="I9" s="19">
        <v>22000</v>
      </c>
      <c r="J9" s="19">
        <v>-18</v>
      </c>
      <c r="K9" s="19">
        <v>68</v>
      </c>
      <c r="L9" s="19">
        <v>15</v>
      </c>
      <c r="M9" s="19">
        <v>40</v>
      </c>
      <c r="N9" s="19">
        <v>1</v>
      </c>
      <c r="O9" s="19">
        <v>54000</v>
      </c>
      <c r="P9" s="19">
        <v>0</v>
      </c>
      <c r="Q9" s="19">
        <v>12</v>
      </c>
      <c r="R9" s="19" t="s">
        <v>92</v>
      </c>
      <c r="S9" s="19" t="s">
        <v>78</v>
      </c>
      <c r="T9" s="19" t="s">
        <v>113</v>
      </c>
    </row>
    <row r="10" spans="1:43" x14ac:dyDescent="0.2">
      <c r="A10" s="19" t="s">
        <v>114</v>
      </c>
      <c r="B10" s="19" t="s">
        <v>115</v>
      </c>
      <c r="C10" s="19" t="s">
        <v>74</v>
      </c>
      <c r="D10" s="19" t="s">
        <v>75</v>
      </c>
      <c r="E10" s="20">
        <v>45536</v>
      </c>
      <c r="F10" s="19" t="s">
        <v>168</v>
      </c>
      <c r="G10" s="20">
        <v>46362</v>
      </c>
      <c r="H10" s="19">
        <v>31000</v>
      </c>
      <c r="I10" s="19">
        <v>30000</v>
      </c>
      <c r="J10" s="19">
        <v>4</v>
      </c>
      <c r="K10" s="19">
        <v>91</v>
      </c>
      <c r="L10" s="19">
        <v>38</v>
      </c>
      <c r="M10" s="19">
        <v>42</v>
      </c>
      <c r="N10" s="19">
        <v>4</v>
      </c>
      <c r="O10" s="19">
        <v>60000</v>
      </c>
      <c r="P10" s="19">
        <v>3500</v>
      </c>
      <c r="Q10" s="19">
        <v>3</v>
      </c>
      <c r="R10" s="19" t="s">
        <v>69</v>
      </c>
      <c r="S10" s="19" t="s">
        <v>70</v>
      </c>
      <c r="T10" s="19" t="s">
        <v>116</v>
      </c>
    </row>
    <row r="11" spans="1:43" x14ac:dyDescent="0.2">
      <c r="A11" s="19" t="s">
        <v>117</v>
      </c>
      <c r="B11" s="19" t="s">
        <v>118</v>
      </c>
      <c r="C11" s="19" t="s">
        <v>101</v>
      </c>
      <c r="D11" s="19" t="s">
        <v>67</v>
      </c>
      <c r="E11" s="19" t="s">
        <v>119</v>
      </c>
      <c r="F11" s="20">
        <v>46086</v>
      </c>
      <c r="G11" s="19" t="s">
        <v>120</v>
      </c>
      <c r="H11" s="19">
        <v>48000</v>
      </c>
      <c r="I11" s="19">
        <v>51000</v>
      </c>
      <c r="J11" s="19">
        <v>12</v>
      </c>
      <c r="K11" s="19">
        <v>94</v>
      </c>
      <c r="L11" s="19">
        <v>41</v>
      </c>
      <c r="M11" s="19">
        <v>45</v>
      </c>
      <c r="N11" s="19">
        <v>4</v>
      </c>
      <c r="O11" s="19">
        <v>72000</v>
      </c>
      <c r="P11" s="19">
        <v>8500</v>
      </c>
      <c r="Q11" s="19">
        <v>2</v>
      </c>
      <c r="R11" s="19" t="s">
        <v>69</v>
      </c>
      <c r="S11" s="19" t="s">
        <v>70</v>
      </c>
      <c r="T11" s="19" t="s">
        <v>93</v>
      </c>
    </row>
    <row r="12" spans="1:43" x14ac:dyDescent="0.2">
      <c r="A12" s="19" t="s">
        <v>121</v>
      </c>
      <c r="B12" s="19" t="s">
        <v>122</v>
      </c>
      <c r="C12" s="19" t="s">
        <v>66</v>
      </c>
      <c r="D12" s="19" t="s">
        <v>83</v>
      </c>
      <c r="E12" s="20">
        <v>45264</v>
      </c>
      <c r="F12" s="20">
        <v>46239</v>
      </c>
      <c r="G12" s="20">
        <v>46087</v>
      </c>
      <c r="H12" s="19">
        <v>53000</v>
      </c>
      <c r="I12" s="19">
        <v>49000</v>
      </c>
      <c r="J12" s="19">
        <v>-4</v>
      </c>
      <c r="K12" s="19">
        <v>73</v>
      </c>
      <c r="L12" s="19">
        <v>20</v>
      </c>
      <c r="M12" s="19">
        <v>35</v>
      </c>
      <c r="N12" s="19">
        <v>2</v>
      </c>
      <c r="O12" s="19">
        <v>69000</v>
      </c>
      <c r="P12" s="19">
        <v>1500</v>
      </c>
      <c r="Q12" s="19">
        <v>10</v>
      </c>
      <c r="R12" s="19" t="s">
        <v>77</v>
      </c>
      <c r="S12" s="19" t="s">
        <v>78</v>
      </c>
      <c r="T12" s="19" t="s">
        <v>123</v>
      </c>
    </row>
    <row r="13" spans="1:43" x14ac:dyDescent="0.2">
      <c r="A13" s="19" t="s">
        <v>124</v>
      </c>
      <c r="B13" s="19" t="s">
        <v>125</v>
      </c>
      <c r="C13" s="19" t="s">
        <v>82</v>
      </c>
      <c r="D13" s="19" t="s">
        <v>90</v>
      </c>
      <c r="E13" s="19" t="s">
        <v>126</v>
      </c>
      <c r="F13" s="19" t="s">
        <v>127</v>
      </c>
      <c r="G13" s="19" t="s">
        <v>128</v>
      </c>
      <c r="H13" s="19">
        <v>85000</v>
      </c>
      <c r="I13" s="19">
        <v>99000</v>
      </c>
      <c r="J13" s="19">
        <v>40</v>
      </c>
      <c r="K13" s="19">
        <v>99</v>
      </c>
      <c r="L13" s="19">
        <v>75</v>
      </c>
      <c r="M13" s="19">
        <v>80</v>
      </c>
      <c r="N13" s="19">
        <v>5</v>
      </c>
      <c r="O13" s="19">
        <v>125000</v>
      </c>
      <c r="P13" s="19">
        <v>30000</v>
      </c>
      <c r="Q13" s="19">
        <v>0</v>
      </c>
      <c r="R13" s="19" t="s">
        <v>69</v>
      </c>
      <c r="S13" s="19" t="s">
        <v>70</v>
      </c>
      <c r="T13" s="19" t="s">
        <v>129</v>
      </c>
    </row>
    <row r="14" spans="1:43" x14ac:dyDescent="0.2">
      <c r="A14" s="19" t="s">
        <v>130</v>
      </c>
      <c r="B14" s="19" t="s">
        <v>131</v>
      </c>
      <c r="C14" s="19" t="s">
        <v>89</v>
      </c>
      <c r="D14" s="19" t="s">
        <v>75</v>
      </c>
      <c r="E14" s="19" t="s">
        <v>132</v>
      </c>
      <c r="F14" s="20">
        <v>46058</v>
      </c>
      <c r="G14" s="19" t="s">
        <v>108</v>
      </c>
      <c r="H14" s="19">
        <v>41000</v>
      </c>
      <c r="I14" s="19">
        <v>39000</v>
      </c>
      <c r="J14" s="19">
        <v>-3</v>
      </c>
      <c r="K14" s="19">
        <v>84</v>
      </c>
      <c r="L14" s="19">
        <v>29</v>
      </c>
      <c r="M14" s="19">
        <v>38</v>
      </c>
      <c r="N14" s="19">
        <v>3</v>
      </c>
      <c r="O14" s="19">
        <v>64000</v>
      </c>
      <c r="P14" s="19">
        <v>2500</v>
      </c>
      <c r="Q14" s="19">
        <v>6</v>
      </c>
      <c r="R14" s="19" t="s">
        <v>92</v>
      </c>
      <c r="S14" s="19" t="s">
        <v>70</v>
      </c>
      <c r="T14" s="19" t="s">
        <v>133</v>
      </c>
    </row>
    <row r="15" spans="1:43" x14ac:dyDescent="0.2">
      <c r="A15" s="19" t="s">
        <v>134</v>
      </c>
      <c r="B15" s="19" t="s">
        <v>135</v>
      </c>
      <c r="C15" s="19" t="s">
        <v>74</v>
      </c>
      <c r="D15" s="19" t="s">
        <v>83</v>
      </c>
      <c r="E15" s="19" t="s">
        <v>136</v>
      </c>
      <c r="F15" s="19" t="s">
        <v>137</v>
      </c>
      <c r="G15" s="19" t="s">
        <v>138</v>
      </c>
      <c r="H15" s="19">
        <v>36000</v>
      </c>
      <c r="I15" s="19">
        <v>47000</v>
      </c>
      <c r="J15" s="19">
        <v>22</v>
      </c>
      <c r="K15" s="19">
        <v>96</v>
      </c>
      <c r="L15" s="19">
        <v>44</v>
      </c>
      <c r="M15" s="19">
        <v>48</v>
      </c>
      <c r="N15" s="19">
        <v>5</v>
      </c>
      <c r="O15" s="19">
        <v>71000</v>
      </c>
      <c r="P15" s="19">
        <v>9500</v>
      </c>
      <c r="Q15" s="19">
        <v>1</v>
      </c>
      <c r="R15" s="19" t="s">
        <v>69</v>
      </c>
      <c r="S15" s="19" t="s">
        <v>70</v>
      </c>
      <c r="T15" s="19" t="s">
        <v>71</v>
      </c>
    </row>
    <row r="16" spans="1:43" x14ac:dyDescent="0.2">
      <c r="A16" s="19" t="s">
        <v>139</v>
      </c>
      <c r="B16" s="19" t="s">
        <v>140</v>
      </c>
      <c r="C16" s="19" t="s">
        <v>101</v>
      </c>
      <c r="D16" s="19" t="s">
        <v>67</v>
      </c>
      <c r="E16" s="20">
        <v>44997</v>
      </c>
      <c r="F16" s="19" t="s">
        <v>141</v>
      </c>
      <c r="G16" s="19" t="s">
        <v>85</v>
      </c>
      <c r="H16" s="19">
        <v>50000</v>
      </c>
      <c r="I16" s="19">
        <v>32000</v>
      </c>
      <c r="J16" s="19">
        <v>-15</v>
      </c>
      <c r="K16" s="19">
        <v>65</v>
      </c>
      <c r="L16" s="19">
        <v>18</v>
      </c>
      <c r="M16" s="19">
        <v>50</v>
      </c>
      <c r="N16" s="19">
        <v>1</v>
      </c>
      <c r="O16" s="19">
        <v>59000</v>
      </c>
      <c r="P16" s="19">
        <v>500</v>
      </c>
      <c r="Q16" s="19">
        <v>15</v>
      </c>
      <c r="R16" s="19" t="s">
        <v>77</v>
      </c>
      <c r="S16" s="19" t="s">
        <v>78</v>
      </c>
      <c r="T16" s="19" t="s">
        <v>142</v>
      </c>
    </row>
    <row r="17" spans="1:20" x14ac:dyDescent="0.2">
      <c r="A17" s="19" t="s">
        <v>143</v>
      </c>
      <c r="B17" s="19" t="s">
        <v>144</v>
      </c>
      <c r="C17" s="19" t="s">
        <v>82</v>
      </c>
      <c r="D17" s="19" t="s">
        <v>90</v>
      </c>
      <c r="E17" s="20">
        <v>44511</v>
      </c>
      <c r="F17" s="19" t="s">
        <v>96</v>
      </c>
      <c r="G17" s="20">
        <v>46240</v>
      </c>
      <c r="H17" s="19">
        <v>78000</v>
      </c>
      <c r="I17" s="19">
        <v>80000</v>
      </c>
      <c r="J17" s="19">
        <v>18</v>
      </c>
      <c r="K17" s="19">
        <v>93</v>
      </c>
      <c r="L17" s="19">
        <v>58</v>
      </c>
      <c r="M17" s="19">
        <v>60</v>
      </c>
      <c r="N17" s="19">
        <v>4</v>
      </c>
      <c r="O17" s="19">
        <v>102000</v>
      </c>
      <c r="P17" s="19">
        <v>14000</v>
      </c>
      <c r="Q17" s="19">
        <v>2</v>
      </c>
      <c r="R17" s="19" t="s">
        <v>69</v>
      </c>
      <c r="S17" s="19" t="s">
        <v>70</v>
      </c>
      <c r="T17" s="19" t="s">
        <v>145</v>
      </c>
    </row>
    <row r="18" spans="1:20" x14ac:dyDescent="0.2">
      <c r="A18" s="19" t="s">
        <v>146</v>
      </c>
      <c r="B18" s="19" t="s">
        <v>147</v>
      </c>
      <c r="C18" s="19" t="s">
        <v>66</v>
      </c>
      <c r="D18" s="19" t="s">
        <v>75</v>
      </c>
      <c r="E18" s="20">
        <v>44050</v>
      </c>
      <c r="F18" s="19" t="s">
        <v>148</v>
      </c>
      <c r="G18" s="20">
        <v>46059</v>
      </c>
      <c r="H18" s="19">
        <v>61000</v>
      </c>
      <c r="I18" s="19">
        <v>61000</v>
      </c>
      <c r="J18" s="19">
        <v>10</v>
      </c>
      <c r="K18" s="19">
        <v>89</v>
      </c>
      <c r="L18" s="19">
        <v>40</v>
      </c>
      <c r="M18" s="19">
        <v>45</v>
      </c>
      <c r="N18" s="19">
        <v>4</v>
      </c>
      <c r="O18" s="19">
        <v>86000</v>
      </c>
      <c r="P18" s="19">
        <v>11000</v>
      </c>
      <c r="Q18" s="19">
        <v>4</v>
      </c>
      <c r="R18" s="19" t="s">
        <v>69</v>
      </c>
      <c r="S18" s="19" t="s">
        <v>70</v>
      </c>
      <c r="T18" s="19" t="s">
        <v>149</v>
      </c>
    </row>
    <row r="19" spans="1:20" x14ac:dyDescent="0.2">
      <c r="A19" s="19" t="s">
        <v>150</v>
      </c>
      <c r="B19" s="19" t="s">
        <v>151</v>
      </c>
      <c r="C19" s="19" t="s">
        <v>89</v>
      </c>
      <c r="D19" s="19" t="s">
        <v>83</v>
      </c>
      <c r="E19" s="19" t="s">
        <v>152</v>
      </c>
      <c r="F19" s="20">
        <v>46147</v>
      </c>
      <c r="G19" s="19" t="s">
        <v>97</v>
      </c>
      <c r="H19" s="19">
        <v>39000</v>
      </c>
      <c r="I19" s="19">
        <v>18000</v>
      </c>
      <c r="J19" s="19">
        <v>-25</v>
      </c>
      <c r="K19" s="19">
        <v>58</v>
      </c>
      <c r="L19" s="19">
        <v>10</v>
      </c>
      <c r="M19" s="19">
        <v>35</v>
      </c>
      <c r="N19" s="19">
        <v>1</v>
      </c>
      <c r="O19" s="19">
        <v>52000</v>
      </c>
      <c r="P19" s="19">
        <v>0</v>
      </c>
      <c r="Q19" s="19">
        <v>18</v>
      </c>
      <c r="R19" s="19" t="s">
        <v>92</v>
      </c>
      <c r="S19" s="19" t="s">
        <v>78</v>
      </c>
      <c r="T19" s="19" t="s">
        <v>153</v>
      </c>
    </row>
    <row r="20" spans="1:20" x14ac:dyDescent="0.2">
      <c r="A20" s="19" t="s">
        <v>154</v>
      </c>
      <c r="B20" s="19" t="s">
        <v>155</v>
      </c>
      <c r="C20" s="19" t="s">
        <v>74</v>
      </c>
      <c r="D20" s="19" t="s">
        <v>67</v>
      </c>
      <c r="E20" s="19" t="s">
        <v>156</v>
      </c>
      <c r="F20" s="19" t="s">
        <v>157</v>
      </c>
      <c r="G20" s="19" t="s">
        <v>158</v>
      </c>
      <c r="H20" s="19">
        <v>34000</v>
      </c>
      <c r="I20" s="19">
        <v>36000</v>
      </c>
      <c r="J20" s="19">
        <v>8</v>
      </c>
      <c r="K20" s="19">
        <v>92</v>
      </c>
      <c r="L20" s="19">
        <v>39</v>
      </c>
      <c r="M20" s="19">
        <v>40</v>
      </c>
      <c r="N20" s="19">
        <v>4</v>
      </c>
      <c r="O20" s="19">
        <v>63000</v>
      </c>
      <c r="P20" s="19">
        <v>4200</v>
      </c>
      <c r="Q20" s="19">
        <v>2</v>
      </c>
      <c r="R20" s="19" t="s">
        <v>69</v>
      </c>
      <c r="S20" s="19" t="s">
        <v>70</v>
      </c>
      <c r="T20" s="19" t="s">
        <v>159</v>
      </c>
    </row>
    <row r="21" spans="1:20" x14ac:dyDescent="0.2">
      <c r="A21" s="19" t="s">
        <v>160</v>
      </c>
      <c r="B21" s="19" t="s">
        <v>161</v>
      </c>
      <c r="C21" s="19" t="s">
        <v>101</v>
      </c>
      <c r="D21" s="19" t="s">
        <v>90</v>
      </c>
      <c r="E21" s="19" t="s">
        <v>162</v>
      </c>
      <c r="F21" s="20">
        <v>46361</v>
      </c>
      <c r="G21" s="19" t="s">
        <v>96</v>
      </c>
      <c r="H21" s="19">
        <v>46000</v>
      </c>
      <c r="I21" s="19">
        <v>60000</v>
      </c>
      <c r="J21" s="19">
        <v>28</v>
      </c>
      <c r="K21" s="19">
        <v>97</v>
      </c>
      <c r="L21" s="19">
        <v>52</v>
      </c>
      <c r="M21" s="19">
        <v>55</v>
      </c>
      <c r="N21" s="19">
        <v>5</v>
      </c>
      <c r="O21" s="19">
        <v>88000</v>
      </c>
      <c r="P21" s="19">
        <v>16000</v>
      </c>
      <c r="Q21" s="19">
        <v>1</v>
      </c>
      <c r="R21" s="19" t="s">
        <v>69</v>
      </c>
      <c r="S21" s="19" t="s">
        <v>70</v>
      </c>
      <c r="T21" s="19" t="s">
        <v>163</v>
      </c>
    </row>
  </sheetData>
  <dataValidations count="3">
    <dataValidation allowBlank="1" showInputMessage="1" showErrorMessage="1" promptTitle="enter number" prompt="this should be 10 digits_x000a_" sqref="V1:V3 V6:V1048576" xr:uid="{5065305A-035A-0D4F-ACF3-8095CA9843F8}"/>
    <dataValidation type="list" allowBlank="1" showInputMessage="1" showErrorMessage="1" promptTitle="enter number" prompt="this should be 10 digits_x000a_" sqref="V4" xr:uid="{E0A720BB-088C-4A49-92E1-35C793448750}">
      <formula1>$X$1:$AQ$1</formula1>
    </dataValidation>
    <dataValidation type="list" allowBlank="1" showInputMessage="1" showErrorMessage="1" promptTitle="enter number" prompt="this should be 10 digits_x000a_" sqref="V5" xr:uid="{025F99CF-D912-784E-9294-CF6BB8D7401A}">
      <formula1>"1,-1"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D1B9E-4A9C-CF4B-AA4A-F02C094F04A0}">
  <dimension ref="A1:AQ21"/>
  <sheetViews>
    <sheetView topLeftCell="I1" zoomScale="167" workbookViewId="0">
      <selection activeCell="L1" sqref="L1:S7"/>
    </sheetView>
  </sheetViews>
  <sheetFormatPr baseColWidth="10" defaultRowHeight="16" x14ac:dyDescent="0.2"/>
  <cols>
    <col min="5" max="5" width="11.1640625" bestFit="1" customWidth="1"/>
  </cols>
  <sheetData>
    <row r="1" spans="1:43" x14ac:dyDescent="0.2">
      <c r="A1" s="19" t="s">
        <v>19</v>
      </c>
      <c r="B1" s="19" t="s">
        <v>245</v>
      </c>
      <c r="C1" s="19" t="s">
        <v>246</v>
      </c>
      <c r="D1" s="19" t="s">
        <v>247</v>
      </c>
      <c r="E1" s="19" t="s">
        <v>255</v>
      </c>
      <c r="F1" s="19" t="s">
        <v>256</v>
      </c>
      <c r="G1" s="19" t="s">
        <v>257</v>
      </c>
      <c r="H1" s="19"/>
      <c r="I1" s="19"/>
      <c r="J1" s="19"/>
      <c r="K1" s="19"/>
      <c r="L1" s="32" t="s">
        <v>444</v>
      </c>
      <c r="M1" s="32"/>
      <c r="N1" s="32"/>
      <c r="O1" s="32"/>
      <c r="P1" s="32"/>
      <c r="Q1" s="19"/>
      <c r="R1" s="19"/>
      <c r="S1" s="19"/>
      <c r="T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</row>
    <row r="2" spans="1:43" x14ac:dyDescent="0.2">
      <c r="A2" s="19" t="s">
        <v>248</v>
      </c>
      <c r="B2" s="19" t="s">
        <v>253</v>
      </c>
      <c r="C2" s="19">
        <v>19</v>
      </c>
      <c r="D2" s="19">
        <v>15000</v>
      </c>
      <c r="E2" s="19">
        <v>1234567890</v>
      </c>
      <c r="F2" s="20">
        <v>46174</v>
      </c>
      <c r="G2" s="21">
        <v>0.375</v>
      </c>
      <c r="H2" s="19"/>
      <c r="I2" s="19"/>
      <c r="J2" s="19"/>
      <c r="K2" s="19"/>
      <c r="L2" s="25" t="s">
        <v>445</v>
      </c>
      <c r="M2" s="25" t="s">
        <v>446</v>
      </c>
      <c r="N2" s="25" t="s">
        <v>447</v>
      </c>
      <c r="O2" s="25" t="s">
        <v>448</v>
      </c>
      <c r="P2" s="25" t="s">
        <v>449</v>
      </c>
      <c r="Q2" s="19"/>
      <c r="R2" s="19" t="s">
        <v>445</v>
      </c>
      <c r="S2" s="19" t="s">
        <v>454</v>
      </c>
      <c r="T2" s="19"/>
    </row>
    <row r="3" spans="1:43" x14ac:dyDescent="0.2">
      <c r="A3" s="19" t="s">
        <v>249</v>
      </c>
      <c r="B3" s="19" t="s">
        <v>253</v>
      </c>
      <c r="C3" s="19">
        <v>18</v>
      </c>
      <c r="D3" s="19">
        <v>15000</v>
      </c>
      <c r="E3" s="19">
        <v>1234567890</v>
      </c>
      <c r="F3" s="20">
        <v>46175</v>
      </c>
      <c r="G3" s="21">
        <v>0.41666666666666702</v>
      </c>
      <c r="H3" s="19"/>
      <c r="I3" s="19"/>
      <c r="J3" s="19"/>
      <c r="K3" s="19"/>
      <c r="L3" t="s">
        <v>0</v>
      </c>
      <c r="M3" t="s">
        <v>450</v>
      </c>
      <c r="N3" t="s">
        <v>451</v>
      </c>
      <c r="O3" t="s">
        <v>452</v>
      </c>
      <c r="P3" t="s">
        <v>453</v>
      </c>
      <c r="Q3" s="19"/>
      <c r="R3" s="19"/>
      <c r="S3" s="19"/>
      <c r="T3" s="19"/>
    </row>
    <row r="4" spans="1:43" x14ac:dyDescent="0.2">
      <c r="A4" s="19" t="s">
        <v>250</v>
      </c>
      <c r="B4" s="19" t="s">
        <v>254</v>
      </c>
      <c r="C4" s="19">
        <v>89</v>
      </c>
      <c r="D4" s="19">
        <v>15000</v>
      </c>
      <c r="E4" s="19">
        <v>8369611161</v>
      </c>
      <c r="F4" s="20">
        <v>46176</v>
      </c>
      <c r="G4" s="21">
        <v>0.45833333333333298</v>
      </c>
      <c r="H4" s="19"/>
      <c r="I4" s="19"/>
      <c r="J4" s="19"/>
      <c r="K4" s="19"/>
      <c r="L4" t="s">
        <v>1</v>
      </c>
      <c r="M4" t="s">
        <v>451</v>
      </c>
      <c r="N4" t="s">
        <v>452</v>
      </c>
      <c r="O4" t="s">
        <v>453</v>
      </c>
      <c r="P4" t="s">
        <v>450</v>
      </c>
      <c r="Q4" s="19"/>
      <c r="R4" s="19"/>
      <c r="S4" s="19"/>
      <c r="T4" s="19"/>
    </row>
    <row r="5" spans="1:43" x14ac:dyDescent="0.2">
      <c r="A5" s="19" t="s">
        <v>251</v>
      </c>
      <c r="B5" s="19" t="s">
        <v>253</v>
      </c>
      <c r="C5" s="19">
        <v>19</v>
      </c>
      <c r="D5" s="19">
        <v>15000</v>
      </c>
      <c r="E5" s="19">
        <v>1234567890</v>
      </c>
      <c r="F5" s="20">
        <v>46177</v>
      </c>
      <c r="G5" s="21">
        <v>0.5</v>
      </c>
      <c r="H5" s="19"/>
      <c r="I5" s="19"/>
      <c r="J5" s="19"/>
      <c r="K5" s="19"/>
      <c r="L5" t="s">
        <v>2</v>
      </c>
      <c r="M5" t="s">
        <v>452</v>
      </c>
      <c r="N5" t="s">
        <v>450</v>
      </c>
      <c r="O5" t="s">
        <v>451</v>
      </c>
      <c r="P5" t="s">
        <v>453</v>
      </c>
      <c r="Q5" s="19"/>
      <c r="R5" s="19"/>
      <c r="S5" s="19"/>
      <c r="T5" s="19"/>
    </row>
    <row r="6" spans="1:43" x14ac:dyDescent="0.2">
      <c r="A6" s="19" t="s">
        <v>252</v>
      </c>
      <c r="B6" s="19" t="s">
        <v>254</v>
      </c>
      <c r="C6" s="19">
        <v>25</v>
      </c>
      <c r="D6" s="19">
        <v>15000</v>
      </c>
      <c r="E6" s="19">
        <v>1234567890</v>
      </c>
      <c r="F6" s="20">
        <v>46178</v>
      </c>
      <c r="G6" s="21">
        <v>0.54166666666666696</v>
      </c>
      <c r="H6" s="19"/>
      <c r="I6" s="19"/>
      <c r="J6" s="19"/>
      <c r="K6" s="19"/>
      <c r="L6" t="s">
        <v>3</v>
      </c>
      <c r="M6" t="s">
        <v>453</v>
      </c>
      <c r="N6" t="s">
        <v>451</v>
      </c>
      <c r="O6" t="s">
        <v>450</v>
      </c>
      <c r="P6" t="s">
        <v>452</v>
      </c>
      <c r="Q6" s="19"/>
      <c r="R6" s="19"/>
      <c r="S6" s="19"/>
      <c r="T6" s="19"/>
    </row>
    <row r="7" spans="1:43" x14ac:dyDescent="0.2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t="s">
        <v>4</v>
      </c>
      <c r="M7" t="s">
        <v>450</v>
      </c>
      <c r="N7" t="s">
        <v>453</v>
      </c>
      <c r="O7" t="s">
        <v>452</v>
      </c>
      <c r="P7" t="s">
        <v>451</v>
      </c>
      <c r="Q7" s="19"/>
      <c r="R7" s="19"/>
      <c r="S7" s="19"/>
      <c r="T7" s="19"/>
    </row>
    <row r="8" spans="1:43" x14ac:dyDescent="0.2">
      <c r="A8" s="19"/>
      <c r="B8" s="19"/>
      <c r="C8" s="19"/>
      <c r="D8" s="19"/>
      <c r="E8" s="19"/>
      <c r="F8" s="19"/>
      <c r="G8" s="20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</row>
    <row r="9" spans="1:43" x14ac:dyDescent="0.2">
      <c r="A9" s="19"/>
      <c r="B9" s="19"/>
      <c r="C9" s="19"/>
      <c r="D9" s="19"/>
      <c r="E9" s="19"/>
      <c r="F9" s="20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</row>
    <row r="10" spans="1:43" x14ac:dyDescent="0.2">
      <c r="A10" s="19"/>
      <c r="B10" s="19"/>
      <c r="C10" s="19"/>
      <c r="D10" s="19"/>
      <c r="E10" s="20"/>
      <c r="F10" s="19"/>
      <c r="G10" s="20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</row>
    <row r="11" spans="1:43" x14ac:dyDescent="0.2">
      <c r="A11" s="19"/>
      <c r="B11" s="19"/>
      <c r="C11" s="19"/>
      <c r="D11" s="19"/>
      <c r="E11" s="19"/>
      <c r="F11" s="20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</row>
    <row r="12" spans="1:43" x14ac:dyDescent="0.2">
      <c r="A12" s="19"/>
      <c r="B12" s="19"/>
      <c r="C12" s="19"/>
      <c r="D12" s="19"/>
      <c r="E12" s="20"/>
      <c r="F12" s="20"/>
      <c r="G12" s="20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</row>
    <row r="13" spans="1:43" x14ac:dyDescent="0.2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</row>
    <row r="14" spans="1:43" x14ac:dyDescent="0.2">
      <c r="A14" s="19"/>
      <c r="B14" s="19"/>
      <c r="C14" s="19"/>
      <c r="D14" s="19"/>
      <c r="E14" s="19"/>
      <c r="F14" s="20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</row>
    <row r="15" spans="1:43" x14ac:dyDescent="0.2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</row>
    <row r="16" spans="1:43" x14ac:dyDescent="0.2">
      <c r="A16" s="19"/>
      <c r="B16" s="19"/>
      <c r="C16" s="19"/>
      <c r="D16" s="19"/>
      <c r="E16" s="20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</row>
    <row r="17" spans="1:20" x14ac:dyDescent="0.2">
      <c r="A17" s="19"/>
      <c r="B17" s="19"/>
      <c r="C17" s="19"/>
      <c r="D17" s="19"/>
      <c r="E17" s="20"/>
      <c r="F17" s="19"/>
      <c r="G17" s="20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</row>
    <row r="18" spans="1:20" x14ac:dyDescent="0.2">
      <c r="A18" s="19"/>
      <c r="B18" s="19"/>
      <c r="C18" s="19"/>
      <c r="D18" s="19"/>
      <c r="E18" s="20"/>
      <c r="F18" s="19"/>
      <c r="G18" s="20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</row>
    <row r="19" spans="1:20" x14ac:dyDescent="0.2">
      <c r="A19" s="19"/>
      <c r="B19" s="19"/>
      <c r="C19" s="19"/>
      <c r="D19" s="19"/>
      <c r="E19" s="19"/>
      <c r="F19" s="20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</row>
    <row r="20" spans="1:20" x14ac:dyDescent="0.2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</row>
    <row r="21" spans="1:20" x14ac:dyDescent="0.2">
      <c r="A21" s="19"/>
      <c r="B21" s="19"/>
      <c r="C21" s="19"/>
      <c r="D21" s="19"/>
      <c r="E21" s="19"/>
      <c r="F21" s="20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</row>
  </sheetData>
  <mergeCells count="1">
    <mergeCell ref="L1:P1"/>
  </mergeCells>
  <dataValidations count="7">
    <dataValidation type="list" allowBlank="1" showInputMessage="1" showErrorMessage="1" sqref="B3:B6" xr:uid="{6DD40641-BB6F-3E46-85B0-BCEA984D5C42}">
      <formula1>"Male,Female,Trans "</formula1>
    </dataValidation>
    <dataValidation type="list" allowBlank="1" showInputMessage="1" showErrorMessage="1" errorTitle="Enter the correct gender " sqref="B2" xr:uid="{82B9E1BC-F095-C146-8E44-811B4BF96A04}">
      <formula1>"Male,Female,Trans "</formula1>
    </dataValidation>
    <dataValidation type="whole" operator="greaterThanOrEqual" allowBlank="1" showInputMessage="1" showErrorMessage="1" errorTitle="You should be 18 years about " sqref="C1:C1048576" xr:uid="{BD3E189A-3E35-504C-8F90-714A090BA6C2}">
      <formula1>18</formula1>
    </dataValidation>
    <dataValidation type="decimal" errorStyle="warning" allowBlank="1" showInputMessage="1" showErrorMessage="1" errorTitle="Input salary in between 15k-45k" sqref="D1:D1048576" xr:uid="{C08CCAFB-5502-A24A-82F5-1D4CD08CBBEB}">
      <formula1>15000</formula1>
      <formula2>45000</formula2>
    </dataValidation>
    <dataValidation type="textLength" operator="equal" allowBlank="1" showInputMessage="1" showErrorMessage="1" sqref="E1:E1048576" xr:uid="{004DB829-E0C4-6349-8BB4-62D97890A218}">
      <formula1>10</formula1>
    </dataValidation>
    <dataValidation type="date" allowBlank="1" showInputMessage="1" showErrorMessage="1" sqref="F2:F6" xr:uid="{5CFF304B-44F0-8D44-8212-D6D2A3798FA2}">
      <formula1>46174</formula1>
      <formula2>46193</formula2>
    </dataValidation>
    <dataValidation type="time" allowBlank="1" showInputMessage="1" showErrorMessage="1" sqref="G1:G1048576" xr:uid="{74256FFB-DD23-2F42-BB6D-59B7EAA04E9E}">
      <formula1>0.25</formula1>
      <formula2>0.75</formula2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DB25A-A00B-0642-9460-DEBD7524480C}">
  <dimension ref="A1:W28"/>
  <sheetViews>
    <sheetView topLeftCell="A19" zoomScale="107" workbookViewId="0">
      <selection activeCell="M29" sqref="M29"/>
    </sheetView>
  </sheetViews>
  <sheetFormatPr baseColWidth="10" defaultRowHeight="16" x14ac:dyDescent="0.2"/>
  <cols>
    <col min="12" max="12" width="46.83203125" bestFit="1" customWidth="1"/>
  </cols>
  <sheetData>
    <row r="1" spans="1:23" x14ac:dyDescent="0.2">
      <c r="A1" t="s">
        <v>44</v>
      </c>
      <c r="B1" t="s">
        <v>45</v>
      </c>
      <c r="C1" t="s">
        <v>46</v>
      </c>
      <c r="D1" t="s">
        <v>47</v>
      </c>
      <c r="E1" t="s">
        <v>51</v>
      </c>
      <c r="F1" t="s">
        <v>52</v>
      </c>
      <c r="G1" t="s">
        <v>58</v>
      </c>
      <c r="H1" t="s">
        <v>59</v>
      </c>
      <c r="I1" t="s">
        <v>60</v>
      </c>
      <c r="J1" t="s">
        <v>62</v>
      </c>
      <c r="K1" s="19"/>
      <c r="L1" s="19"/>
      <c r="M1" s="19"/>
      <c r="N1" s="19"/>
      <c r="O1" s="19"/>
      <c r="P1" s="19"/>
      <c r="Q1" s="19"/>
      <c r="R1" s="19"/>
      <c r="S1" s="19"/>
      <c r="T1" s="19"/>
    </row>
    <row r="2" spans="1:23" x14ac:dyDescent="0.2">
      <c r="A2" t="s">
        <v>64</v>
      </c>
      <c r="B2" t="s">
        <v>65</v>
      </c>
      <c r="C2" t="s">
        <v>66</v>
      </c>
      <c r="D2" t="s">
        <v>67</v>
      </c>
      <c r="E2">
        <v>50000</v>
      </c>
      <c r="F2">
        <v>62000</v>
      </c>
      <c r="G2">
        <v>75000</v>
      </c>
      <c r="H2">
        <v>12000</v>
      </c>
      <c r="I2">
        <v>2</v>
      </c>
      <c r="J2" t="s">
        <v>307</v>
      </c>
      <c r="K2" s="19"/>
      <c r="L2" t="s">
        <v>308</v>
      </c>
      <c r="M2" s="19">
        <f>SUMIF(C2:C21,"Sales",H2:H21)</f>
        <v>34500</v>
      </c>
      <c r="N2" s="19"/>
      <c r="O2" s="19"/>
      <c r="P2" s="19"/>
      <c r="Q2" s="19"/>
      <c r="R2" s="19"/>
      <c r="S2" s="19"/>
      <c r="T2" s="19"/>
    </row>
    <row r="3" spans="1:23" x14ac:dyDescent="0.2">
      <c r="A3" t="s">
        <v>72</v>
      </c>
      <c r="B3" t="s">
        <v>73</v>
      </c>
      <c r="C3" t="s">
        <v>74</v>
      </c>
      <c r="D3" t="s">
        <v>75</v>
      </c>
      <c r="E3">
        <v>30000</v>
      </c>
      <c r="F3">
        <v>28000</v>
      </c>
      <c r="G3">
        <v>58000</v>
      </c>
      <c r="H3">
        <v>4000</v>
      </c>
      <c r="I3">
        <v>5</v>
      </c>
      <c r="J3" t="s">
        <v>78</v>
      </c>
      <c r="K3" s="19"/>
      <c r="M3" s="19"/>
      <c r="N3" s="19"/>
      <c r="O3" s="19"/>
      <c r="P3" s="19"/>
      <c r="Q3" s="19"/>
      <c r="R3" s="19"/>
      <c r="S3" s="19"/>
      <c r="T3" s="19"/>
      <c r="W3">
        <f>SUMIF(C2:C21,"Sales",P2:P21)</f>
        <v>0</v>
      </c>
    </row>
    <row r="4" spans="1:23" x14ac:dyDescent="0.2">
      <c r="A4" t="s">
        <v>80</v>
      </c>
      <c r="B4" t="s">
        <v>81</v>
      </c>
      <c r="C4" t="s">
        <v>82</v>
      </c>
      <c r="D4" t="s">
        <v>83</v>
      </c>
      <c r="E4">
        <v>70000</v>
      </c>
      <c r="F4">
        <v>81000</v>
      </c>
      <c r="G4">
        <v>98000</v>
      </c>
      <c r="H4">
        <v>18000</v>
      </c>
      <c r="I4">
        <v>1</v>
      </c>
      <c r="J4" t="s">
        <v>70</v>
      </c>
      <c r="L4" t="s">
        <v>309</v>
      </c>
      <c r="M4" s="19">
        <f>SUMIF(I2:I21,2,G2:G21)</f>
        <v>312000</v>
      </c>
      <c r="N4" s="19"/>
      <c r="O4" s="19"/>
      <c r="P4" s="19"/>
      <c r="Q4" s="19"/>
      <c r="R4" s="19"/>
      <c r="S4" s="19"/>
      <c r="T4" s="19"/>
    </row>
    <row r="5" spans="1:23" x14ac:dyDescent="0.2">
      <c r="A5" t="s">
        <v>87</v>
      </c>
      <c r="B5" t="s">
        <v>88</v>
      </c>
      <c r="C5" t="s">
        <v>89</v>
      </c>
      <c r="D5" t="s">
        <v>90</v>
      </c>
      <c r="E5">
        <v>45000</v>
      </c>
      <c r="F5">
        <v>43000</v>
      </c>
      <c r="G5">
        <v>67000</v>
      </c>
      <c r="H5">
        <v>2000</v>
      </c>
      <c r="I5">
        <v>8</v>
      </c>
      <c r="J5" t="s">
        <v>70</v>
      </c>
      <c r="K5" s="19"/>
      <c r="M5" s="19"/>
      <c r="N5" s="19"/>
      <c r="O5" s="19"/>
      <c r="P5" s="19"/>
      <c r="Q5" s="19"/>
      <c r="R5" s="19"/>
      <c r="S5" s="19"/>
      <c r="T5" s="19"/>
      <c r="W5">
        <f>SUMIF(Q2:Q21,2,O2:O21)</f>
        <v>0</v>
      </c>
    </row>
    <row r="6" spans="1:23" x14ac:dyDescent="0.2">
      <c r="A6" t="s">
        <v>94</v>
      </c>
      <c r="B6" t="s">
        <v>95</v>
      </c>
      <c r="C6" t="s">
        <v>66</v>
      </c>
      <c r="D6" t="s">
        <v>67</v>
      </c>
      <c r="E6">
        <v>55000</v>
      </c>
      <c r="F6">
        <v>55000</v>
      </c>
      <c r="G6">
        <v>82000</v>
      </c>
      <c r="H6">
        <v>10000</v>
      </c>
      <c r="I6">
        <v>0</v>
      </c>
      <c r="J6" t="s">
        <v>70</v>
      </c>
      <c r="K6" s="19"/>
      <c r="L6" t="s">
        <v>310</v>
      </c>
      <c r="M6" s="19">
        <f>SUMIF(F2:F21,"&gt;60000")</f>
        <v>475000</v>
      </c>
      <c r="N6" s="19"/>
      <c r="O6" s="19"/>
      <c r="P6" s="19"/>
      <c r="Q6" s="19"/>
      <c r="R6" s="19"/>
      <c r="S6" s="19"/>
      <c r="T6" s="19"/>
    </row>
    <row r="7" spans="1:23" x14ac:dyDescent="0.2">
      <c r="A7" t="s">
        <v>99</v>
      </c>
      <c r="B7" t="s">
        <v>100</v>
      </c>
      <c r="C7" t="s">
        <v>101</v>
      </c>
      <c r="D7" t="s">
        <v>75</v>
      </c>
      <c r="E7">
        <v>40000</v>
      </c>
      <c r="F7">
        <v>35000</v>
      </c>
      <c r="G7">
        <v>61000</v>
      </c>
      <c r="H7">
        <v>1000</v>
      </c>
      <c r="I7">
        <v>7</v>
      </c>
      <c r="J7" t="s">
        <v>78</v>
      </c>
      <c r="K7" s="19"/>
      <c r="M7" s="19"/>
      <c r="N7" s="19"/>
      <c r="O7" s="19"/>
      <c r="P7" s="19"/>
      <c r="Q7" s="19"/>
      <c r="R7" s="19"/>
      <c r="S7" s="19"/>
      <c r="T7" s="19"/>
      <c r="W7">
        <f>SUMIF(I2:I21,"&gt;6000")</f>
        <v>0</v>
      </c>
    </row>
    <row r="8" spans="1:23" x14ac:dyDescent="0.2">
      <c r="A8" t="s">
        <v>105</v>
      </c>
      <c r="B8" t="s">
        <v>106</v>
      </c>
      <c r="C8" t="s">
        <v>82</v>
      </c>
      <c r="D8" t="s">
        <v>83</v>
      </c>
      <c r="E8">
        <v>72000</v>
      </c>
      <c r="F8">
        <v>92000</v>
      </c>
      <c r="G8">
        <v>110000</v>
      </c>
      <c r="H8">
        <v>25000</v>
      </c>
      <c r="I8">
        <v>1</v>
      </c>
      <c r="J8" t="s">
        <v>70</v>
      </c>
      <c r="K8" s="19"/>
      <c r="L8" t="s">
        <v>311</v>
      </c>
      <c r="M8" s="19">
        <f>SUMIF(H2:H21,"&lt;5000")</f>
        <v>19200</v>
      </c>
      <c r="N8" s="19"/>
      <c r="O8" s="19"/>
      <c r="P8" s="19"/>
      <c r="Q8" s="19"/>
      <c r="R8" s="19"/>
      <c r="S8" s="19"/>
      <c r="T8" s="19"/>
    </row>
    <row r="9" spans="1:23" x14ac:dyDescent="0.2">
      <c r="A9" t="s">
        <v>110</v>
      </c>
      <c r="B9" t="s">
        <v>111</v>
      </c>
      <c r="C9" t="s">
        <v>89</v>
      </c>
      <c r="D9" t="s">
        <v>90</v>
      </c>
      <c r="E9">
        <v>38000</v>
      </c>
      <c r="F9">
        <v>22000</v>
      </c>
      <c r="G9">
        <v>54000</v>
      </c>
      <c r="H9">
        <v>0</v>
      </c>
      <c r="I9">
        <v>12</v>
      </c>
      <c r="J9" t="s">
        <v>78</v>
      </c>
      <c r="K9" s="19"/>
      <c r="M9" s="19"/>
      <c r="N9" s="19"/>
      <c r="O9" s="19"/>
      <c r="P9" s="19"/>
      <c r="Q9" s="19"/>
      <c r="R9" s="19"/>
      <c r="S9" s="19"/>
      <c r="T9" s="19"/>
    </row>
    <row r="10" spans="1:23" x14ac:dyDescent="0.2">
      <c r="A10" t="s">
        <v>114</v>
      </c>
      <c r="B10" t="s">
        <v>115</v>
      </c>
      <c r="C10" t="s">
        <v>74</v>
      </c>
      <c r="D10" t="s">
        <v>75</v>
      </c>
      <c r="E10">
        <v>31000</v>
      </c>
      <c r="F10">
        <v>30000</v>
      </c>
      <c r="G10">
        <v>60000</v>
      </c>
      <c r="H10">
        <v>3500</v>
      </c>
      <c r="I10">
        <v>3</v>
      </c>
      <c r="J10" t="s">
        <v>70</v>
      </c>
      <c r="K10" s="19"/>
      <c r="L10" t="s">
        <v>312</v>
      </c>
      <c r="M10" s="19">
        <f>SUMIF(G2:G21,"&gt;=8000")</f>
        <v>1516000</v>
      </c>
      <c r="N10" s="19"/>
      <c r="O10" s="19"/>
      <c r="P10" s="19"/>
      <c r="Q10" s="19"/>
      <c r="R10" s="19"/>
      <c r="S10" s="19"/>
      <c r="T10" s="19"/>
    </row>
    <row r="11" spans="1:23" x14ac:dyDescent="0.2">
      <c r="A11" t="s">
        <v>117</v>
      </c>
      <c r="B11" t="s">
        <v>118</v>
      </c>
      <c r="C11" t="s">
        <v>101</v>
      </c>
      <c r="D11" t="s">
        <v>67</v>
      </c>
      <c r="E11">
        <v>48000</v>
      </c>
      <c r="F11">
        <v>51000</v>
      </c>
      <c r="G11">
        <v>72000</v>
      </c>
      <c r="H11">
        <v>8500</v>
      </c>
      <c r="I11">
        <v>2</v>
      </c>
      <c r="J11" t="s">
        <v>70</v>
      </c>
      <c r="K11" s="19"/>
      <c r="M11" s="19"/>
      <c r="N11" s="19"/>
      <c r="O11" s="19"/>
      <c r="P11" s="19"/>
      <c r="Q11" s="19"/>
      <c r="R11" s="19"/>
      <c r="S11" s="19"/>
      <c r="T11" s="19"/>
    </row>
    <row r="12" spans="1:23" x14ac:dyDescent="0.2">
      <c r="A12" t="s">
        <v>121</v>
      </c>
      <c r="B12" t="s">
        <v>122</v>
      </c>
      <c r="C12" t="s">
        <v>66</v>
      </c>
      <c r="D12" t="s">
        <v>83</v>
      </c>
      <c r="E12">
        <v>53000</v>
      </c>
      <c r="F12">
        <v>49000</v>
      </c>
      <c r="G12">
        <v>69000</v>
      </c>
      <c r="H12">
        <v>1500</v>
      </c>
      <c r="I12">
        <v>10</v>
      </c>
      <c r="J12" t="s">
        <v>78</v>
      </c>
      <c r="K12" s="19"/>
      <c r="L12" t="s">
        <v>313</v>
      </c>
      <c r="M12" s="19">
        <f>SUMIF(I2:I21,"&lt;=2")</f>
        <v>12</v>
      </c>
      <c r="N12" s="19"/>
      <c r="O12" s="19"/>
      <c r="P12" s="19"/>
      <c r="Q12" s="19"/>
      <c r="R12" s="19"/>
      <c r="S12" s="19"/>
      <c r="T12" s="19"/>
    </row>
    <row r="13" spans="1:23" x14ac:dyDescent="0.2">
      <c r="A13" t="s">
        <v>124</v>
      </c>
      <c r="B13" t="s">
        <v>125</v>
      </c>
      <c r="C13" t="s">
        <v>82</v>
      </c>
      <c r="D13" t="s">
        <v>90</v>
      </c>
      <c r="E13">
        <v>85000</v>
      </c>
      <c r="F13">
        <v>99000</v>
      </c>
      <c r="G13">
        <v>125000</v>
      </c>
      <c r="H13">
        <v>30000</v>
      </c>
      <c r="I13">
        <v>0</v>
      </c>
      <c r="J13" t="s">
        <v>70</v>
      </c>
      <c r="K13" s="19"/>
      <c r="M13" s="19"/>
      <c r="N13" s="19"/>
      <c r="O13" s="19"/>
      <c r="P13" s="19"/>
      <c r="Q13" s="19"/>
      <c r="R13" s="19"/>
      <c r="S13" s="19"/>
      <c r="T13" s="19"/>
    </row>
    <row r="14" spans="1:23" x14ac:dyDescent="0.2">
      <c r="A14" t="s">
        <v>130</v>
      </c>
      <c r="B14" t="s">
        <v>131</v>
      </c>
      <c r="C14" t="s">
        <v>89</v>
      </c>
      <c r="D14" t="s">
        <v>75</v>
      </c>
      <c r="E14">
        <v>41000</v>
      </c>
      <c r="F14">
        <v>39000</v>
      </c>
      <c r="G14">
        <v>64000</v>
      </c>
      <c r="H14">
        <v>2500</v>
      </c>
      <c r="I14">
        <v>6</v>
      </c>
      <c r="J14" t="s">
        <v>70</v>
      </c>
      <c r="K14" s="19"/>
      <c r="L14" t="s">
        <v>314</v>
      </c>
      <c r="M14" s="19">
        <f>SUMIF(C2:C21,"&lt;&gt;finance",H2:H21)</f>
        <v>168700</v>
      </c>
      <c r="N14" s="19"/>
      <c r="O14" s="19"/>
      <c r="P14" s="19"/>
      <c r="Q14" s="19"/>
      <c r="R14" s="19"/>
      <c r="S14" s="19"/>
      <c r="T14" s="19"/>
    </row>
    <row r="15" spans="1:23" x14ac:dyDescent="0.2">
      <c r="A15" t="s">
        <v>134</v>
      </c>
      <c r="B15" t="s">
        <v>135</v>
      </c>
      <c r="C15" t="s">
        <v>74</v>
      </c>
      <c r="D15" t="s">
        <v>83</v>
      </c>
      <c r="E15">
        <v>36000</v>
      </c>
      <c r="F15">
        <v>47000</v>
      </c>
      <c r="G15">
        <v>71000</v>
      </c>
      <c r="H15">
        <v>9500</v>
      </c>
      <c r="I15">
        <v>1</v>
      </c>
      <c r="J15" t="s">
        <v>70</v>
      </c>
      <c r="K15" s="19"/>
      <c r="M15" s="19"/>
      <c r="N15" s="19"/>
      <c r="O15" s="19"/>
      <c r="P15" s="19"/>
      <c r="Q15" s="19"/>
      <c r="R15" s="19"/>
      <c r="S15" s="19"/>
      <c r="T15" s="19"/>
    </row>
    <row r="16" spans="1:23" x14ac:dyDescent="0.2">
      <c r="A16" t="s">
        <v>139</v>
      </c>
      <c r="B16" t="s">
        <v>140</v>
      </c>
      <c r="C16" t="s">
        <v>101</v>
      </c>
      <c r="D16" t="s">
        <v>67</v>
      </c>
      <c r="E16">
        <v>50000</v>
      </c>
      <c r="F16">
        <v>32000</v>
      </c>
      <c r="G16">
        <v>59000</v>
      </c>
      <c r="H16">
        <v>500</v>
      </c>
      <c r="I16">
        <v>15</v>
      </c>
      <c r="J16" t="s">
        <v>78</v>
      </c>
      <c r="K16" s="19"/>
      <c r="L16" t="s">
        <v>315</v>
      </c>
      <c r="M16" s="19">
        <f>SUMIF(D2:D21,O16,G2:G21)</f>
        <v>436000</v>
      </c>
      <c r="N16" s="19"/>
      <c r="O16" s="19" t="s">
        <v>90</v>
      </c>
      <c r="P16" s="19"/>
      <c r="Q16" s="19"/>
      <c r="R16" s="19"/>
      <c r="S16" s="19"/>
      <c r="T16" s="19"/>
    </row>
    <row r="17" spans="1:20" x14ac:dyDescent="0.2">
      <c r="A17" t="s">
        <v>143</v>
      </c>
      <c r="B17" t="s">
        <v>144</v>
      </c>
      <c r="C17" t="s">
        <v>82</v>
      </c>
      <c r="D17" t="s">
        <v>90</v>
      </c>
      <c r="E17">
        <v>78000</v>
      </c>
      <c r="F17">
        <v>80000</v>
      </c>
      <c r="G17">
        <v>102000</v>
      </c>
      <c r="H17">
        <v>14000</v>
      </c>
      <c r="I17">
        <v>2</v>
      </c>
      <c r="J17" t="s">
        <v>70</v>
      </c>
      <c r="K17" s="19"/>
      <c r="M17" s="19"/>
      <c r="N17" s="19"/>
      <c r="O17" s="19"/>
      <c r="P17" s="19"/>
      <c r="Q17" s="19"/>
      <c r="R17" s="19"/>
      <c r="S17" s="19"/>
      <c r="T17" s="19"/>
    </row>
    <row r="18" spans="1:20" x14ac:dyDescent="0.2">
      <c r="A18" t="s">
        <v>146</v>
      </c>
      <c r="B18" t="s">
        <v>147</v>
      </c>
      <c r="C18" t="s">
        <v>66</v>
      </c>
      <c r="D18" t="s">
        <v>75</v>
      </c>
      <c r="E18">
        <v>61000</v>
      </c>
      <c r="F18">
        <v>61000</v>
      </c>
      <c r="G18">
        <v>86000</v>
      </c>
      <c r="H18">
        <v>11000</v>
      </c>
      <c r="I18">
        <v>4</v>
      </c>
      <c r="J18" t="s">
        <v>70</v>
      </c>
      <c r="K18" s="19"/>
      <c r="L18" t="s">
        <v>316</v>
      </c>
      <c r="M18" s="19">
        <f>SUMIF(G2:G21,"&gt;"&amp;O18)</f>
        <v>235000</v>
      </c>
      <c r="N18" s="19"/>
      <c r="O18" s="19">
        <v>102000</v>
      </c>
      <c r="P18" s="19"/>
      <c r="Q18" s="19"/>
      <c r="R18" s="19"/>
      <c r="S18" s="19"/>
      <c r="T18" s="19"/>
    </row>
    <row r="19" spans="1:20" x14ac:dyDescent="0.2">
      <c r="A19" t="s">
        <v>150</v>
      </c>
      <c r="B19" t="s">
        <v>151</v>
      </c>
      <c r="C19" t="s">
        <v>89</v>
      </c>
      <c r="D19" t="s">
        <v>83</v>
      </c>
      <c r="E19">
        <v>39000</v>
      </c>
      <c r="F19">
        <v>18000</v>
      </c>
      <c r="G19">
        <v>52000</v>
      </c>
      <c r="H19">
        <v>0</v>
      </c>
      <c r="I19">
        <v>18</v>
      </c>
      <c r="J19" t="s">
        <v>78</v>
      </c>
      <c r="K19" s="19"/>
      <c r="M19" s="19"/>
      <c r="N19" s="19"/>
      <c r="O19" s="19"/>
      <c r="P19" s="19"/>
      <c r="Q19" s="19"/>
      <c r="R19" s="19"/>
      <c r="S19" s="19"/>
      <c r="T19" s="19"/>
    </row>
    <row r="20" spans="1:20" x14ac:dyDescent="0.2">
      <c r="A20" t="s">
        <v>154</v>
      </c>
      <c r="B20" t="s">
        <v>155</v>
      </c>
      <c r="C20" t="s">
        <v>74</v>
      </c>
      <c r="D20" t="s">
        <v>67</v>
      </c>
      <c r="E20">
        <v>34000</v>
      </c>
      <c r="F20">
        <v>36000</v>
      </c>
      <c r="G20">
        <v>63000</v>
      </c>
      <c r="H20">
        <v>4200</v>
      </c>
      <c r="I20">
        <v>2</v>
      </c>
      <c r="J20" t="s">
        <v>70</v>
      </c>
      <c r="K20" s="19"/>
      <c r="L20" t="s">
        <v>317</v>
      </c>
      <c r="M20" s="19">
        <f>SUMIF(B2:B21,"A*",G2:G21)</f>
        <v>280000</v>
      </c>
      <c r="N20" s="19"/>
      <c r="O20" s="19"/>
      <c r="P20" s="19"/>
      <c r="Q20" s="19"/>
      <c r="R20" s="19"/>
      <c r="S20" s="19"/>
      <c r="T20" s="19"/>
    </row>
    <row r="21" spans="1:20" x14ac:dyDescent="0.2">
      <c r="A21" t="s">
        <v>160</v>
      </c>
      <c r="B21" t="s">
        <v>161</v>
      </c>
      <c r="C21" t="s">
        <v>101</v>
      </c>
      <c r="D21" t="s">
        <v>90</v>
      </c>
      <c r="E21">
        <v>46000</v>
      </c>
      <c r="F21">
        <v>60000</v>
      </c>
      <c r="G21">
        <v>88000</v>
      </c>
      <c r="H21">
        <v>16000</v>
      </c>
      <c r="I21">
        <v>1</v>
      </c>
      <c r="J21" t="s">
        <v>307</v>
      </c>
      <c r="K21" s="19"/>
      <c r="M21" s="19"/>
      <c r="N21" s="19"/>
      <c r="O21" s="19"/>
      <c r="P21" s="19"/>
      <c r="Q21" s="19"/>
      <c r="R21" s="19"/>
      <c r="S21" s="19"/>
      <c r="T21" s="19"/>
    </row>
    <row r="22" spans="1:20" x14ac:dyDescent="0.2">
      <c r="L22" t="s">
        <v>318</v>
      </c>
      <c r="M22">
        <f>SUMIF(C2:C21,"*es",H2:H21)</f>
        <v>34500</v>
      </c>
    </row>
    <row r="24" spans="1:20" x14ac:dyDescent="0.2">
      <c r="L24" t="s">
        <v>319</v>
      </c>
      <c r="M24">
        <f>SUMIF(B2:B21,"*ra*",G2:G21)</f>
        <v>510000</v>
      </c>
    </row>
    <row r="26" spans="1:20" x14ac:dyDescent="0.2">
      <c r="L26" t="s">
        <v>320</v>
      </c>
      <c r="M26">
        <f>SUMIF(A2:A21,"E00?",G2:G21)</f>
        <v>665000</v>
      </c>
    </row>
    <row r="28" spans="1:20" x14ac:dyDescent="0.2">
      <c r="L28" t="s">
        <v>321</v>
      </c>
      <c r="M28">
        <f>SUMIF(J2:J21,"Yes~*",I2:I21)</f>
        <v>3</v>
      </c>
    </row>
  </sheetData>
  <dataValidations disablePrompts="1" count="1">
    <dataValidation type="list" allowBlank="1" showInputMessage="1" showErrorMessage="1" sqref="O16" xr:uid="{108B6D69-4E69-2045-8D75-3E6C0846311C}">
      <formula1>$D$2:$D$21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C37F4-19D1-CF46-AF76-050A83EF0E7C}">
  <dimension ref="A1:P34"/>
  <sheetViews>
    <sheetView topLeftCell="E9" zoomScale="125" workbookViewId="0">
      <selection activeCell="M25" sqref="M25"/>
    </sheetView>
  </sheetViews>
  <sheetFormatPr baseColWidth="10" defaultRowHeight="16" x14ac:dyDescent="0.2"/>
  <cols>
    <col min="10" max="10" width="12.6640625" bestFit="1" customWidth="1"/>
    <col min="12" max="12" width="67.5" bestFit="1" customWidth="1"/>
  </cols>
  <sheetData>
    <row r="1" spans="1:13" x14ac:dyDescent="0.2">
      <c r="A1" t="s">
        <v>44</v>
      </c>
      <c r="B1" t="s">
        <v>45</v>
      </c>
      <c r="C1" t="s">
        <v>46</v>
      </c>
      <c r="D1" t="s">
        <v>47</v>
      </c>
      <c r="E1" t="s">
        <v>51</v>
      </c>
      <c r="F1" t="s">
        <v>52</v>
      </c>
      <c r="G1" t="s">
        <v>58</v>
      </c>
      <c r="H1" t="s">
        <v>59</v>
      </c>
      <c r="I1" t="s">
        <v>60</v>
      </c>
      <c r="J1" t="s">
        <v>62</v>
      </c>
    </row>
    <row r="2" spans="1:13" x14ac:dyDescent="0.2">
      <c r="A2" t="s">
        <v>64</v>
      </c>
      <c r="B2" t="s">
        <v>65</v>
      </c>
      <c r="C2" t="s">
        <v>66</v>
      </c>
      <c r="D2" t="s">
        <v>67</v>
      </c>
      <c r="E2">
        <v>50000</v>
      </c>
      <c r="F2">
        <v>62000</v>
      </c>
      <c r="G2">
        <v>75000</v>
      </c>
      <c r="H2">
        <v>12000</v>
      </c>
      <c r="I2">
        <v>2</v>
      </c>
      <c r="J2" t="s">
        <v>307</v>
      </c>
      <c r="L2" t="s">
        <v>322</v>
      </c>
      <c r="M2">
        <f>SUMIF(C2:C21,"Sales",H2:H21)</f>
        <v>34500</v>
      </c>
    </row>
    <row r="3" spans="1:13" x14ac:dyDescent="0.2">
      <c r="A3" t="s">
        <v>72</v>
      </c>
      <c r="B3" t="s">
        <v>73</v>
      </c>
      <c r="C3" t="s">
        <v>74</v>
      </c>
      <c r="D3" t="s">
        <v>75</v>
      </c>
      <c r="E3">
        <v>30000</v>
      </c>
      <c r="F3">
        <v>28000</v>
      </c>
      <c r="G3">
        <v>58000</v>
      </c>
      <c r="H3">
        <v>4000</v>
      </c>
      <c r="I3">
        <v>5</v>
      </c>
      <c r="J3" t="s">
        <v>78</v>
      </c>
    </row>
    <row r="4" spans="1:13" x14ac:dyDescent="0.2">
      <c r="A4" t="s">
        <v>80</v>
      </c>
      <c r="B4" t="s">
        <v>81</v>
      </c>
      <c r="C4" t="s">
        <v>82</v>
      </c>
      <c r="D4" t="s">
        <v>83</v>
      </c>
      <c r="E4">
        <v>70000</v>
      </c>
      <c r="F4">
        <v>81000</v>
      </c>
      <c r="G4">
        <v>98000</v>
      </c>
      <c r="H4">
        <v>18000</v>
      </c>
      <c r="I4">
        <v>1</v>
      </c>
      <c r="J4" t="s">
        <v>70</v>
      </c>
      <c r="L4" t="s">
        <v>323</v>
      </c>
      <c r="M4">
        <f>SUMIFS(H2:H21,C2:C21,"Sales")</f>
        <v>34500</v>
      </c>
    </row>
    <row r="5" spans="1:13" x14ac:dyDescent="0.2">
      <c r="A5" t="s">
        <v>87</v>
      </c>
      <c r="B5" t="s">
        <v>88</v>
      </c>
      <c r="C5" t="s">
        <v>89</v>
      </c>
      <c r="D5" t="s">
        <v>90</v>
      </c>
      <c r="E5">
        <v>45000</v>
      </c>
      <c r="F5">
        <v>43000</v>
      </c>
      <c r="G5">
        <v>67000</v>
      </c>
      <c r="H5">
        <v>2000</v>
      </c>
      <c r="I5">
        <v>8</v>
      </c>
      <c r="J5" t="s">
        <v>70</v>
      </c>
    </row>
    <row r="6" spans="1:13" x14ac:dyDescent="0.2">
      <c r="A6" t="s">
        <v>94</v>
      </c>
      <c r="B6" t="s">
        <v>95</v>
      </c>
      <c r="C6" t="s">
        <v>66</v>
      </c>
      <c r="D6" t="s">
        <v>67</v>
      </c>
      <c r="E6">
        <v>55000</v>
      </c>
      <c r="F6">
        <v>55000</v>
      </c>
      <c r="G6">
        <v>82000</v>
      </c>
      <c r="H6">
        <v>10000</v>
      </c>
      <c r="I6">
        <v>0</v>
      </c>
      <c r="J6" t="s">
        <v>70</v>
      </c>
      <c r="L6" t="s">
        <v>324</v>
      </c>
      <c r="M6">
        <f>SUMIFS(H2:H21,C2:C21,"Sales",D2:D21,"West")</f>
        <v>22000</v>
      </c>
    </row>
    <row r="7" spans="1:13" x14ac:dyDescent="0.2">
      <c r="A7" t="s">
        <v>99</v>
      </c>
      <c r="B7" t="s">
        <v>100</v>
      </c>
      <c r="C7" t="s">
        <v>101</v>
      </c>
      <c r="D7" t="s">
        <v>75</v>
      </c>
      <c r="E7">
        <v>40000</v>
      </c>
      <c r="F7">
        <v>35000</v>
      </c>
      <c r="G7">
        <v>61000</v>
      </c>
      <c r="H7">
        <v>1000</v>
      </c>
      <c r="I7">
        <v>7</v>
      </c>
      <c r="J7" t="s">
        <v>78</v>
      </c>
    </row>
    <row r="8" spans="1:13" x14ac:dyDescent="0.2">
      <c r="A8" t="s">
        <v>105</v>
      </c>
      <c r="B8" t="s">
        <v>106</v>
      </c>
      <c r="C8" t="s">
        <v>82</v>
      </c>
      <c r="D8" t="s">
        <v>83</v>
      </c>
      <c r="E8">
        <v>72000</v>
      </c>
      <c r="F8">
        <v>92000</v>
      </c>
      <c r="G8">
        <v>110000</v>
      </c>
      <c r="H8">
        <v>25000</v>
      </c>
      <c r="I8">
        <v>1</v>
      </c>
      <c r="J8" t="s">
        <v>70</v>
      </c>
      <c r="L8" t="s">
        <v>325</v>
      </c>
      <c r="M8">
        <f>SUMIFS(G2:G21,C2:C21,"IT",I2:I21,"2")</f>
        <v>102000</v>
      </c>
    </row>
    <row r="9" spans="1:13" x14ac:dyDescent="0.2">
      <c r="A9" t="s">
        <v>110</v>
      </c>
      <c r="B9" t="s">
        <v>111</v>
      </c>
      <c r="C9" t="s">
        <v>89</v>
      </c>
      <c r="D9" t="s">
        <v>90</v>
      </c>
      <c r="E9">
        <v>38000</v>
      </c>
      <c r="F9">
        <v>22000</v>
      </c>
      <c r="G9">
        <v>54000</v>
      </c>
      <c r="H9">
        <v>0</v>
      </c>
      <c r="I9">
        <v>12</v>
      </c>
      <c r="J9" t="s">
        <v>78</v>
      </c>
    </row>
    <row r="10" spans="1:13" x14ac:dyDescent="0.2">
      <c r="A10" t="s">
        <v>114</v>
      </c>
      <c r="B10" t="s">
        <v>115</v>
      </c>
      <c r="C10" t="s">
        <v>74</v>
      </c>
      <c r="D10" t="s">
        <v>75</v>
      </c>
      <c r="E10">
        <v>31000</v>
      </c>
      <c r="F10">
        <v>30000</v>
      </c>
      <c r="G10">
        <v>60000</v>
      </c>
      <c r="H10">
        <v>3500</v>
      </c>
      <c r="I10">
        <v>3</v>
      </c>
      <c r="J10" t="s">
        <v>70</v>
      </c>
      <c r="L10" t="s">
        <v>326</v>
      </c>
      <c r="M10">
        <f>SUMIFS(F2:F21,F2:F21,"&gt;60000",C2:C21,"Sales")</f>
        <v>123000</v>
      </c>
    </row>
    <row r="11" spans="1:13" x14ac:dyDescent="0.2">
      <c r="A11" t="s">
        <v>117</v>
      </c>
      <c r="B11" t="s">
        <v>118</v>
      </c>
      <c r="C11" t="s">
        <v>101</v>
      </c>
      <c r="D11" t="s">
        <v>67</v>
      </c>
      <c r="E11">
        <v>48000</v>
      </c>
      <c r="F11">
        <v>51000</v>
      </c>
      <c r="G11">
        <v>72000</v>
      </c>
      <c r="H11">
        <v>8500</v>
      </c>
      <c r="I11">
        <v>2</v>
      </c>
      <c r="J11" t="s">
        <v>70</v>
      </c>
    </row>
    <row r="12" spans="1:13" x14ac:dyDescent="0.2">
      <c r="A12" t="s">
        <v>121</v>
      </c>
      <c r="B12" t="s">
        <v>122</v>
      </c>
      <c r="C12" t="s">
        <v>66</v>
      </c>
      <c r="D12" t="s">
        <v>83</v>
      </c>
      <c r="E12">
        <v>53000</v>
      </c>
      <c r="F12">
        <v>49000</v>
      </c>
      <c r="G12">
        <v>69000</v>
      </c>
      <c r="H12">
        <v>1500</v>
      </c>
      <c r="I12">
        <v>10</v>
      </c>
      <c r="J12" t="s">
        <v>78</v>
      </c>
      <c r="L12" t="s">
        <v>327</v>
      </c>
      <c r="M12">
        <f>SUMIFS(H2:H21,H2:H21,"&lt;5000",D2:D21,"North")</f>
        <v>11000</v>
      </c>
    </row>
    <row r="13" spans="1:13" x14ac:dyDescent="0.2">
      <c r="A13" t="s">
        <v>124</v>
      </c>
      <c r="B13" t="s">
        <v>125</v>
      </c>
      <c r="C13" t="s">
        <v>82</v>
      </c>
      <c r="D13" t="s">
        <v>90</v>
      </c>
      <c r="E13">
        <v>85000</v>
      </c>
      <c r="F13">
        <v>99000</v>
      </c>
      <c r="G13">
        <v>125000</v>
      </c>
      <c r="H13">
        <v>30000</v>
      </c>
      <c r="I13">
        <v>0</v>
      </c>
      <c r="J13" t="s">
        <v>70</v>
      </c>
    </row>
    <row r="14" spans="1:13" x14ac:dyDescent="0.2">
      <c r="A14" t="s">
        <v>130</v>
      </c>
      <c r="B14" t="s">
        <v>131</v>
      </c>
      <c r="C14" t="s">
        <v>89</v>
      </c>
      <c r="D14" t="s">
        <v>75</v>
      </c>
      <c r="E14">
        <v>41000</v>
      </c>
      <c r="F14">
        <v>39000</v>
      </c>
      <c r="G14">
        <v>64000</v>
      </c>
      <c r="H14">
        <v>2500</v>
      </c>
      <c r="I14">
        <v>6</v>
      </c>
      <c r="J14" t="s">
        <v>70</v>
      </c>
      <c r="L14" t="s">
        <v>328</v>
      </c>
      <c r="M14">
        <f>SUMIFS(G2:G21,G2:G21,"&gt;+80000",C2:C21,"IT")</f>
        <v>435000</v>
      </c>
    </row>
    <row r="15" spans="1:13" x14ac:dyDescent="0.2">
      <c r="A15" t="s">
        <v>134</v>
      </c>
      <c r="B15" t="s">
        <v>135</v>
      </c>
      <c r="C15" t="s">
        <v>74</v>
      </c>
      <c r="D15" t="s">
        <v>83</v>
      </c>
      <c r="E15">
        <v>36000</v>
      </c>
      <c r="F15">
        <v>47000</v>
      </c>
      <c r="G15">
        <v>71000</v>
      </c>
      <c r="H15">
        <v>9500</v>
      </c>
      <c r="I15">
        <v>1</v>
      </c>
      <c r="J15" t="s">
        <v>70</v>
      </c>
    </row>
    <row r="16" spans="1:13" x14ac:dyDescent="0.2">
      <c r="A16" t="s">
        <v>139</v>
      </c>
      <c r="B16" t="s">
        <v>140</v>
      </c>
      <c r="C16" t="s">
        <v>101</v>
      </c>
      <c r="D16" t="s">
        <v>67</v>
      </c>
      <c r="E16">
        <v>50000</v>
      </c>
      <c r="F16">
        <v>32000</v>
      </c>
      <c r="G16">
        <v>59000</v>
      </c>
      <c r="H16">
        <v>500</v>
      </c>
      <c r="I16">
        <v>15</v>
      </c>
      <c r="J16" t="s">
        <v>78</v>
      </c>
      <c r="L16" t="s">
        <v>329</v>
      </c>
      <c r="M16">
        <f>SUMIFS(I2:I21,I2:I21,"&lt;=2",J2:J21,"Yes")</f>
        <v>7</v>
      </c>
    </row>
    <row r="17" spans="1:16" x14ac:dyDescent="0.2">
      <c r="A17" t="s">
        <v>143</v>
      </c>
      <c r="B17" t="s">
        <v>144</v>
      </c>
      <c r="C17" t="s">
        <v>82</v>
      </c>
      <c r="D17" t="s">
        <v>90</v>
      </c>
      <c r="E17">
        <v>78000</v>
      </c>
      <c r="F17">
        <v>80000</v>
      </c>
      <c r="G17">
        <v>102000</v>
      </c>
      <c r="H17">
        <v>14000</v>
      </c>
      <c r="I17">
        <v>2</v>
      </c>
      <c r="J17" t="s">
        <v>70</v>
      </c>
    </row>
    <row r="18" spans="1:16" x14ac:dyDescent="0.2">
      <c r="A18" t="s">
        <v>146</v>
      </c>
      <c r="B18" t="s">
        <v>147</v>
      </c>
      <c r="C18" t="s">
        <v>66</v>
      </c>
      <c r="D18" t="s">
        <v>75</v>
      </c>
      <c r="E18">
        <v>61000</v>
      </c>
      <c r="F18">
        <v>61000</v>
      </c>
      <c r="G18">
        <v>86000</v>
      </c>
      <c r="H18">
        <v>11000</v>
      </c>
      <c r="I18">
        <v>4</v>
      </c>
      <c r="J18" t="s">
        <v>70</v>
      </c>
      <c r="L18" t="s">
        <v>330</v>
      </c>
      <c r="M18">
        <f>SUMIFS(H2:H21,C2:C21,"&lt;&gt;finance",D2:D21,"East")</f>
        <v>60000</v>
      </c>
    </row>
    <row r="19" spans="1:16" x14ac:dyDescent="0.2">
      <c r="A19" t="s">
        <v>150</v>
      </c>
      <c r="B19" t="s">
        <v>151</v>
      </c>
      <c r="C19" t="s">
        <v>89</v>
      </c>
      <c r="D19" t="s">
        <v>83</v>
      </c>
      <c r="E19">
        <v>39000</v>
      </c>
      <c r="F19">
        <v>18000</v>
      </c>
      <c r="G19">
        <v>52000</v>
      </c>
      <c r="H19">
        <v>0</v>
      </c>
      <c r="I19">
        <v>18</v>
      </c>
      <c r="J19" t="s">
        <v>78</v>
      </c>
    </row>
    <row r="20" spans="1:16" x14ac:dyDescent="0.2">
      <c r="A20" t="s">
        <v>154</v>
      </c>
      <c r="B20" t="s">
        <v>155</v>
      </c>
      <c r="C20" t="s">
        <v>74</v>
      </c>
      <c r="D20" t="s">
        <v>67</v>
      </c>
      <c r="E20">
        <v>34000</v>
      </c>
      <c r="F20">
        <v>36000</v>
      </c>
      <c r="G20">
        <v>63000</v>
      </c>
      <c r="H20">
        <v>4200</v>
      </c>
      <c r="I20">
        <v>2</v>
      </c>
      <c r="L20" t="s">
        <v>331</v>
      </c>
      <c r="M20">
        <f>SUMIFS(G2:G21,C2:C21,O20,D2:D21,P20)</f>
        <v>71000</v>
      </c>
      <c r="O20" t="s">
        <v>74</v>
      </c>
      <c r="P20" t="s">
        <v>83</v>
      </c>
    </row>
    <row r="21" spans="1:16" x14ac:dyDescent="0.2">
      <c r="A21" t="s">
        <v>160</v>
      </c>
      <c r="B21" t="s">
        <v>161</v>
      </c>
      <c r="C21" t="s">
        <v>101</v>
      </c>
      <c r="D21" t="s">
        <v>90</v>
      </c>
      <c r="E21">
        <v>46000</v>
      </c>
      <c r="F21">
        <v>60000</v>
      </c>
      <c r="G21">
        <v>88000</v>
      </c>
      <c r="H21">
        <v>16000</v>
      </c>
      <c r="I21">
        <v>1</v>
      </c>
      <c r="J21" t="s">
        <v>307</v>
      </c>
    </row>
    <row r="22" spans="1:16" x14ac:dyDescent="0.2">
      <c r="L22" t="s">
        <v>332</v>
      </c>
      <c r="M22">
        <f>SUMIFS(G2:G21,G2:G21,"&gt;"&amp;O22,C2:C21,"Sales")</f>
        <v>86000</v>
      </c>
      <c r="O22">
        <v>85000</v>
      </c>
    </row>
    <row r="24" spans="1:16" x14ac:dyDescent="0.2">
      <c r="L24" t="s">
        <v>333</v>
      </c>
      <c r="M24">
        <f>SUMIFS(G2:G21,C2:C21,"Sales",B2:B21,"A*")</f>
        <v>226000</v>
      </c>
    </row>
    <row r="26" spans="1:16" x14ac:dyDescent="0.2">
      <c r="L26" t="s">
        <v>334</v>
      </c>
    </row>
    <row r="28" spans="1:16" x14ac:dyDescent="0.2">
      <c r="L28" t="s">
        <v>335</v>
      </c>
    </row>
    <row r="30" spans="1:16" x14ac:dyDescent="0.2">
      <c r="L30" t="s">
        <v>336</v>
      </c>
    </row>
    <row r="32" spans="1:16" x14ac:dyDescent="0.2">
      <c r="L32" t="s">
        <v>337</v>
      </c>
    </row>
    <row r="34" spans="12:12" x14ac:dyDescent="0.2">
      <c r="L34" t="s">
        <v>338</v>
      </c>
    </row>
  </sheetData>
  <dataValidations count="2">
    <dataValidation type="list" allowBlank="1" showInputMessage="1" showErrorMessage="1" sqref="O20" xr:uid="{28FDAD03-19D2-9247-A013-5A54A463834D}">
      <formula1>$C$2:$C$21</formula1>
    </dataValidation>
    <dataValidation type="list" allowBlank="1" showInputMessage="1" showErrorMessage="1" sqref="P20" xr:uid="{69399158-F8B4-7C4B-B70C-5BEC769D7C66}">
      <formula1>$D$2:$D$21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9C260-25CB-3F4D-AB8A-0920F5374784}">
  <dimension ref="A1:F11"/>
  <sheetViews>
    <sheetView zoomScale="131" workbookViewId="0">
      <selection activeCell="J5" sqref="J5"/>
    </sheetView>
  </sheetViews>
  <sheetFormatPr baseColWidth="10" defaultRowHeight="16" x14ac:dyDescent="0.2"/>
  <cols>
    <col min="5" max="5" width="12.83203125" bestFit="1" customWidth="1"/>
  </cols>
  <sheetData>
    <row r="1" spans="1:6" x14ac:dyDescent="0.2">
      <c r="A1" t="s">
        <v>339</v>
      </c>
      <c r="B1" t="s">
        <v>340</v>
      </c>
      <c r="C1" t="s">
        <v>63</v>
      </c>
    </row>
    <row r="2" spans="1:6" x14ac:dyDescent="0.2">
      <c r="A2" t="s">
        <v>341</v>
      </c>
      <c r="B2">
        <v>85</v>
      </c>
      <c r="C2" t="s">
        <v>342</v>
      </c>
      <c r="E2" t="s">
        <v>355</v>
      </c>
      <c r="F2">
        <f>COUNT(A2:C11)</f>
        <v>7</v>
      </c>
    </row>
    <row r="3" spans="1:6" x14ac:dyDescent="0.2">
      <c r="A3" t="s">
        <v>343</v>
      </c>
      <c r="B3">
        <v>92</v>
      </c>
      <c r="C3" t="s">
        <v>342</v>
      </c>
    </row>
    <row r="4" spans="1:6" x14ac:dyDescent="0.2">
      <c r="A4" t="s">
        <v>344</v>
      </c>
      <c r="C4" t="s">
        <v>345</v>
      </c>
      <c r="E4" t="s">
        <v>356</v>
      </c>
      <c r="F4">
        <f>COUNTA(A2:C11)</f>
        <v>26</v>
      </c>
    </row>
    <row r="5" spans="1:6" x14ac:dyDescent="0.2">
      <c r="A5" t="s">
        <v>346</v>
      </c>
      <c r="B5">
        <v>78</v>
      </c>
    </row>
    <row r="6" spans="1:6" x14ac:dyDescent="0.2">
      <c r="A6" t="s">
        <v>347</v>
      </c>
      <c r="B6">
        <v>90</v>
      </c>
      <c r="C6" t="s">
        <v>342</v>
      </c>
      <c r="E6" t="s">
        <v>357</v>
      </c>
      <c r="F6">
        <f>COUNTBLANK(A2:C11)</f>
        <v>4</v>
      </c>
    </row>
    <row r="7" spans="1:6" x14ac:dyDescent="0.2">
      <c r="A7" t="s">
        <v>348</v>
      </c>
      <c r="B7" t="s">
        <v>349</v>
      </c>
      <c r="C7" t="s">
        <v>350</v>
      </c>
    </row>
    <row r="8" spans="1:6" x14ac:dyDescent="0.2">
      <c r="A8" t="s">
        <v>351</v>
      </c>
      <c r="C8" t="s">
        <v>342</v>
      </c>
    </row>
    <row r="9" spans="1:6" x14ac:dyDescent="0.2">
      <c r="A9" t="s">
        <v>352</v>
      </c>
      <c r="B9">
        <v>88</v>
      </c>
      <c r="C9" t="s">
        <v>342</v>
      </c>
    </row>
    <row r="10" spans="1:6" x14ac:dyDescent="0.2">
      <c r="A10" t="s">
        <v>353</v>
      </c>
      <c r="B10">
        <v>95</v>
      </c>
      <c r="C10" t="s">
        <v>71</v>
      </c>
    </row>
    <row r="11" spans="1:6" x14ac:dyDescent="0.2">
      <c r="A11" t="s">
        <v>354</v>
      </c>
      <c r="B11">
        <v>70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ED86A-6571-0249-BB11-FB1ACE98010B}">
  <dimension ref="A1:O28"/>
  <sheetViews>
    <sheetView topLeftCell="A4" zoomScale="110" workbookViewId="0">
      <selection activeCell="N29" sqref="N29"/>
    </sheetView>
  </sheetViews>
  <sheetFormatPr baseColWidth="10" defaultRowHeight="16" x14ac:dyDescent="0.2"/>
  <cols>
    <col min="12" max="12" width="36.33203125" bestFit="1" customWidth="1"/>
  </cols>
  <sheetData>
    <row r="1" spans="1:15" x14ac:dyDescent="0.2">
      <c r="A1" t="s">
        <v>44</v>
      </c>
      <c r="B1" t="s">
        <v>45</v>
      </c>
      <c r="C1" t="s">
        <v>46</v>
      </c>
      <c r="D1" t="s">
        <v>47</v>
      </c>
      <c r="E1" t="s">
        <v>51</v>
      </c>
      <c r="F1" t="s">
        <v>52</v>
      </c>
      <c r="G1" t="s">
        <v>58</v>
      </c>
      <c r="H1" t="s">
        <v>59</v>
      </c>
      <c r="I1" t="s">
        <v>60</v>
      </c>
      <c r="J1" t="s">
        <v>62</v>
      </c>
    </row>
    <row r="2" spans="1:15" x14ac:dyDescent="0.2">
      <c r="A2" t="s">
        <v>64</v>
      </c>
      <c r="B2" t="s">
        <v>65</v>
      </c>
      <c r="C2" t="s">
        <v>66</v>
      </c>
      <c r="D2" t="s">
        <v>67</v>
      </c>
      <c r="E2">
        <v>50000</v>
      </c>
      <c r="F2">
        <v>62000</v>
      </c>
      <c r="G2">
        <v>75000</v>
      </c>
      <c r="H2">
        <v>12000</v>
      </c>
      <c r="I2">
        <v>2</v>
      </c>
      <c r="J2" t="s">
        <v>307</v>
      </c>
      <c r="L2" t="s">
        <v>358</v>
      </c>
      <c r="N2">
        <f>COUNTIF(C2:C21,"sales")</f>
        <v>4</v>
      </c>
    </row>
    <row r="3" spans="1:15" x14ac:dyDescent="0.2">
      <c r="A3" t="s">
        <v>72</v>
      </c>
      <c r="B3" t="s">
        <v>73</v>
      </c>
      <c r="C3" t="s">
        <v>74</v>
      </c>
      <c r="D3" t="s">
        <v>75</v>
      </c>
      <c r="E3">
        <v>30000</v>
      </c>
      <c r="F3">
        <v>28000</v>
      </c>
      <c r="G3">
        <v>58000</v>
      </c>
      <c r="H3">
        <v>4000</v>
      </c>
      <c r="I3">
        <v>5</v>
      </c>
      <c r="J3" t="s">
        <v>78</v>
      </c>
    </row>
    <row r="4" spans="1:15" x14ac:dyDescent="0.2">
      <c r="A4" t="s">
        <v>80</v>
      </c>
      <c r="B4" t="s">
        <v>81</v>
      </c>
      <c r="C4" t="s">
        <v>82</v>
      </c>
      <c r="D4" t="s">
        <v>83</v>
      </c>
      <c r="E4">
        <v>70000</v>
      </c>
      <c r="F4">
        <v>81000</v>
      </c>
      <c r="G4">
        <v>98000</v>
      </c>
      <c r="H4">
        <v>18000</v>
      </c>
      <c r="I4">
        <v>1</v>
      </c>
      <c r="J4" t="s">
        <v>70</v>
      </c>
      <c r="L4" t="s">
        <v>359</v>
      </c>
      <c r="N4">
        <f>COUNTIF(I2:I21,"2")</f>
        <v>5</v>
      </c>
    </row>
    <row r="5" spans="1:15" x14ac:dyDescent="0.2">
      <c r="A5" t="s">
        <v>87</v>
      </c>
      <c r="B5" t="s">
        <v>88</v>
      </c>
      <c r="C5" t="s">
        <v>89</v>
      </c>
      <c r="D5" t="s">
        <v>90</v>
      </c>
      <c r="E5">
        <v>45000</v>
      </c>
      <c r="F5">
        <v>43000</v>
      </c>
      <c r="G5">
        <v>67000</v>
      </c>
      <c r="H5">
        <v>2000</v>
      </c>
      <c r="I5">
        <v>8</v>
      </c>
      <c r="J5" t="s">
        <v>70</v>
      </c>
    </row>
    <row r="6" spans="1:15" x14ac:dyDescent="0.2">
      <c r="A6" t="s">
        <v>94</v>
      </c>
      <c r="B6" t="s">
        <v>95</v>
      </c>
      <c r="C6" t="s">
        <v>66</v>
      </c>
      <c r="D6" t="s">
        <v>67</v>
      </c>
      <c r="E6">
        <v>55000</v>
      </c>
      <c r="F6">
        <v>55000</v>
      </c>
      <c r="G6">
        <v>82000</v>
      </c>
      <c r="H6">
        <v>10000</v>
      </c>
      <c r="I6">
        <v>0</v>
      </c>
      <c r="J6" t="s">
        <v>70</v>
      </c>
      <c r="L6" t="s">
        <v>360</v>
      </c>
      <c r="N6">
        <f>COUNTIF(F2:F21,"&gt;60000")</f>
        <v>6</v>
      </c>
    </row>
    <row r="7" spans="1:15" x14ac:dyDescent="0.2">
      <c r="A7" t="s">
        <v>99</v>
      </c>
      <c r="B7" t="s">
        <v>100</v>
      </c>
      <c r="C7" t="s">
        <v>101</v>
      </c>
      <c r="D7" t="s">
        <v>75</v>
      </c>
      <c r="E7">
        <v>40000</v>
      </c>
      <c r="F7">
        <v>35000</v>
      </c>
      <c r="G7">
        <v>61000</v>
      </c>
      <c r="H7">
        <v>1000</v>
      </c>
      <c r="I7">
        <v>7</v>
      </c>
      <c r="J7" t="s">
        <v>78</v>
      </c>
    </row>
    <row r="8" spans="1:15" x14ac:dyDescent="0.2">
      <c r="A8" t="s">
        <v>105</v>
      </c>
      <c r="B8" t="s">
        <v>106</v>
      </c>
      <c r="C8" t="s">
        <v>82</v>
      </c>
      <c r="D8" t="s">
        <v>83</v>
      </c>
      <c r="E8">
        <v>72000</v>
      </c>
      <c r="F8">
        <v>92000</v>
      </c>
      <c r="G8">
        <v>110000</v>
      </c>
      <c r="H8">
        <v>25000</v>
      </c>
      <c r="I8">
        <v>1</v>
      </c>
      <c r="J8" t="s">
        <v>70</v>
      </c>
      <c r="L8" t="s">
        <v>361</v>
      </c>
      <c r="N8">
        <f>COUNTIF(H2:H21,"&lt;5000")</f>
        <v>10</v>
      </c>
    </row>
    <row r="9" spans="1:15" x14ac:dyDescent="0.2">
      <c r="A9" t="s">
        <v>110</v>
      </c>
      <c r="B9" t="s">
        <v>111</v>
      </c>
      <c r="C9" t="s">
        <v>89</v>
      </c>
      <c r="D9" t="s">
        <v>90</v>
      </c>
      <c r="E9">
        <v>38000</v>
      </c>
      <c r="F9">
        <v>22000</v>
      </c>
      <c r="G9">
        <v>54000</v>
      </c>
      <c r="H9">
        <v>0</v>
      </c>
      <c r="I9">
        <v>12</v>
      </c>
      <c r="J9" t="s">
        <v>78</v>
      </c>
    </row>
    <row r="10" spans="1:15" x14ac:dyDescent="0.2">
      <c r="A10" t="s">
        <v>114</v>
      </c>
      <c r="B10" t="s">
        <v>115</v>
      </c>
      <c r="C10" t="s">
        <v>74</v>
      </c>
      <c r="D10" t="s">
        <v>75</v>
      </c>
      <c r="E10">
        <v>31000</v>
      </c>
      <c r="F10">
        <v>30000</v>
      </c>
      <c r="G10">
        <v>60000</v>
      </c>
      <c r="H10">
        <v>3500</v>
      </c>
      <c r="I10">
        <v>3</v>
      </c>
      <c r="J10" t="s">
        <v>70</v>
      </c>
      <c r="L10" t="s">
        <v>362</v>
      </c>
      <c r="N10">
        <f>COUNTIF(G2:G21,"&gt;=80000")</f>
        <v>7</v>
      </c>
    </row>
    <row r="11" spans="1:15" x14ac:dyDescent="0.2">
      <c r="A11" t="s">
        <v>117</v>
      </c>
      <c r="B11" t="s">
        <v>118</v>
      </c>
      <c r="C11" t="s">
        <v>101</v>
      </c>
      <c r="D11" t="s">
        <v>67</v>
      </c>
      <c r="E11">
        <v>48000</v>
      </c>
      <c r="F11">
        <v>51000</v>
      </c>
      <c r="G11">
        <v>72000</v>
      </c>
      <c r="H11">
        <v>8500</v>
      </c>
      <c r="I11">
        <v>2</v>
      </c>
      <c r="J11" t="s">
        <v>70</v>
      </c>
    </row>
    <row r="12" spans="1:15" x14ac:dyDescent="0.2">
      <c r="A12" t="s">
        <v>121</v>
      </c>
      <c r="B12" t="s">
        <v>122</v>
      </c>
      <c r="C12" t="s">
        <v>66</v>
      </c>
      <c r="D12" t="s">
        <v>83</v>
      </c>
      <c r="E12">
        <v>53000</v>
      </c>
      <c r="F12">
        <v>49000</v>
      </c>
      <c r="G12">
        <v>69000</v>
      </c>
      <c r="H12">
        <v>1500</v>
      </c>
      <c r="I12">
        <v>10</v>
      </c>
      <c r="J12" t="s">
        <v>78</v>
      </c>
      <c r="L12" t="s">
        <v>363</v>
      </c>
      <c r="N12">
        <f>COUNTIF(I2:I21,"&lt;=2")</f>
        <v>10</v>
      </c>
    </row>
    <row r="13" spans="1:15" x14ac:dyDescent="0.2">
      <c r="A13" t="s">
        <v>124</v>
      </c>
      <c r="B13" t="s">
        <v>125</v>
      </c>
      <c r="C13" t="s">
        <v>82</v>
      </c>
      <c r="D13" t="s">
        <v>90</v>
      </c>
      <c r="E13">
        <v>85000</v>
      </c>
      <c r="F13">
        <v>99000</v>
      </c>
      <c r="G13">
        <v>125000</v>
      </c>
      <c r="H13">
        <v>30000</v>
      </c>
      <c r="I13">
        <v>2</v>
      </c>
      <c r="J13" t="s">
        <v>70</v>
      </c>
    </row>
    <row r="14" spans="1:15" x14ac:dyDescent="0.2">
      <c r="A14" t="s">
        <v>130</v>
      </c>
      <c r="B14" t="s">
        <v>131</v>
      </c>
      <c r="C14" t="s">
        <v>89</v>
      </c>
      <c r="D14" t="s">
        <v>75</v>
      </c>
      <c r="E14">
        <v>41000</v>
      </c>
      <c r="F14">
        <v>39000</v>
      </c>
      <c r="G14">
        <v>64000</v>
      </c>
      <c r="H14">
        <v>2500</v>
      </c>
      <c r="I14">
        <v>6</v>
      </c>
      <c r="J14" t="s">
        <v>70</v>
      </c>
      <c r="L14" t="s">
        <v>364</v>
      </c>
      <c r="N14">
        <f>COUNTIF(C2:C21,"&lt;&gt;finance")</f>
        <v>16</v>
      </c>
    </row>
    <row r="15" spans="1:15" x14ac:dyDescent="0.2">
      <c r="A15" t="s">
        <v>134</v>
      </c>
      <c r="B15" t="s">
        <v>135</v>
      </c>
      <c r="C15" t="s">
        <v>74</v>
      </c>
      <c r="D15" t="s">
        <v>83</v>
      </c>
      <c r="E15">
        <v>36000</v>
      </c>
      <c r="F15">
        <v>47000</v>
      </c>
      <c r="G15">
        <v>71000</v>
      </c>
      <c r="H15">
        <v>9500</v>
      </c>
      <c r="I15">
        <v>1</v>
      </c>
      <c r="J15" t="s">
        <v>70</v>
      </c>
    </row>
    <row r="16" spans="1:15" x14ac:dyDescent="0.2">
      <c r="A16" t="s">
        <v>139</v>
      </c>
      <c r="B16" t="s">
        <v>140</v>
      </c>
      <c r="C16" t="s">
        <v>101</v>
      </c>
      <c r="D16" t="s">
        <v>67</v>
      </c>
      <c r="E16">
        <v>50000</v>
      </c>
      <c r="F16">
        <v>32000</v>
      </c>
      <c r="G16">
        <v>59000</v>
      </c>
      <c r="H16">
        <v>500</v>
      </c>
      <c r="I16">
        <v>15</v>
      </c>
      <c r="J16" t="s">
        <v>78</v>
      </c>
      <c r="L16" t="s">
        <v>365</v>
      </c>
      <c r="N16">
        <f>COUNTIF(I2:I21,O16)</f>
        <v>5</v>
      </c>
      <c r="O16">
        <v>2</v>
      </c>
    </row>
    <row r="17" spans="1:15" x14ac:dyDescent="0.2">
      <c r="A17" t="s">
        <v>143</v>
      </c>
      <c r="B17" t="s">
        <v>144</v>
      </c>
      <c r="C17" t="s">
        <v>82</v>
      </c>
      <c r="D17" t="s">
        <v>90</v>
      </c>
      <c r="E17">
        <v>78000</v>
      </c>
      <c r="F17">
        <v>80000</v>
      </c>
      <c r="G17">
        <v>102000</v>
      </c>
      <c r="H17">
        <v>14000</v>
      </c>
      <c r="I17">
        <v>2</v>
      </c>
      <c r="J17" t="s">
        <v>70</v>
      </c>
    </row>
    <row r="18" spans="1:15" x14ac:dyDescent="0.2">
      <c r="A18" t="s">
        <v>146</v>
      </c>
      <c r="B18" t="s">
        <v>147</v>
      </c>
      <c r="C18" t="s">
        <v>66</v>
      </c>
      <c r="D18" t="s">
        <v>75</v>
      </c>
      <c r="E18">
        <v>61000</v>
      </c>
      <c r="F18">
        <v>61000</v>
      </c>
      <c r="G18">
        <v>86000</v>
      </c>
      <c r="H18">
        <v>11000</v>
      </c>
      <c r="I18">
        <v>4</v>
      </c>
      <c r="J18" t="s">
        <v>70</v>
      </c>
      <c r="L18" t="s">
        <v>366</v>
      </c>
      <c r="N18">
        <f>COUNTIF(G2:G21,"&gt;"&amp;O18)</f>
        <v>3</v>
      </c>
      <c r="O18">
        <v>100000</v>
      </c>
    </row>
    <row r="19" spans="1:15" x14ac:dyDescent="0.2">
      <c r="A19" t="s">
        <v>150</v>
      </c>
      <c r="B19" t="s">
        <v>151</v>
      </c>
      <c r="C19" t="s">
        <v>89</v>
      </c>
      <c r="D19" t="s">
        <v>83</v>
      </c>
      <c r="E19">
        <v>39000</v>
      </c>
      <c r="F19">
        <v>18000</v>
      </c>
      <c r="G19">
        <v>52000</v>
      </c>
      <c r="H19">
        <v>0</v>
      </c>
      <c r="I19">
        <v>18</v>
      </c>
      <c r="J19" t="s">
        <v>78</v>
      </c>
    </row>
    <row r="20" spans="1:15" x14ac:dyDescent="0.2">
      <c r="A20" t="s">
        <v>154</v>
      </c>
      <c r="B20" t="s">
        <v>155</v>
      </c>
      <c r="C20" t="s">
        <v>74</v>
      </c>
      <c r="D20" t="s">
        <v>67</v>
      </c>
      <c r="E20">
        <v>34000</v>
      </c>
      <c r="F20">
        <v>36000</v>
      </c>
      <c r="G20">
        <v>63000</v>
      </c>
      <c r="H20">
        <v>4200</v>
      </c>
      <c r="I20">
        <v>2</v>
      </c>
      <c r="J20" t="s">
        <v>70</v>
      </c>
      <c r="L20" t="s">
        <v>367</v>
      </c>
      <c r="N20">
        <f>COUNTIF(B2:B21,"A*")</f>
        <v>4</v>
      </c>
    </row>
    <row r="21" spans="1:15" x14ac:dyDescent="0.2">
      <c r="A21" t="s">
        <v>160</v>
      </c>
      <c r="B21" t="s">
        <v>161</v>
      </c>
      <c r="C21" t="s">
        <v>101</v>
      </c>
      <c r="D21" t="s">
        <v>90</v>
      </c>
      <c r="E21">
        <v>46000</v>
      </c>
      <c r="F21">
        <v>60000</v>
      </c>
      <c r="G21">
        <v>88000</v>
      </c>
      <c r="H21">
        <v>16000</v>
      </c>
      <c r="I21">
        <v>1</v>
      </c>
      <c r="J21" t="s">
        <v>307</v>
      </c>
    </row>
    <row r="22" spans="1:15" x14ac:dyDescent="0.2">
      <c r="L22" t="s">
        <v>368</v>
      </c>
      <c r="N22">
        <f>COUNTIF(C2:C21,"*es")</f>
        <v>4</v>
      </c>
    </row>
    <row r="24" spans="1:15" x14ac:dyDescent="0.2">
      <c r="L24" t="s">
        <v>369</v>
      </c>
      <c r="N24">
        <f>COUNTIF(B2:B21,"*ra*")</f>
        <v>7</v>
      </c>
    </row>
    <row r="26" spans="1:15" x14ac:dyDescent="0.2">
      <c r="L26" t="s">
        <v>370</v>
      </c>
      <c r="N26">
        <f>COUNTIF(A2:A21,"E00?")</f>
        <v>9</v>
      </c>
    </row>
    <row r="28" spans="1:15" x14ac:dyDescent="0.2">
      <c r="L28" t="s">
        <v>371</v>
      </c>
      <c r="N28">
        <f>COUNTIF(J2:J21,"YES~*")</f>
        <v>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6B13F-CD15-6C4E-B472-D51F5DF8DBB2}">
  <dimension ref="A1:Q26"/>
  <sheetViews>
    <sheetView topLeftCell="G1" zoomScale="125" workbookViewId="0">
      <selection activeCell="O16" sqref="O16"/>
    </sheetView>
  </sheetViews>
  <sheetFormatPr baseColWidth="10" defaultRowHeight="16" x14ac:dyDescent="0.2"/>
  <cols>
    <col min="10" max="10" width="12.6640625" bestFit="1" customWidth="1"/>
    <col min="12" max="12" width="61.6640625" bestFit="1" customWidth="1"/>
  </cols>
  <sheetData>
    <row r="1" spans="1:17" x14ac:dyDescent="0.2">
      <c r="A1" t="s">
        <v>44</v>
      </c>
      <c r="B1" t="s">
        <v>45</v>
      </c>
      <c r="C1" t="s">
        <v>46</v>
      </c>
      <c r="D1" t="s">
        <v>47</v>
      </c>
      <c r="E1" t="s">
        <v>51</v>
      </c>
      <c r="F1" t="s">
        <v>52</v>
      </c>
      <c r="G1" t="s">
        <v>58</v>
      </c>
      <c r="H1" t="s">
        <v>59</v>
      </c>
      <c r="I1" t="s">
        <v>60</v>
      </c>
      <c r="J1" t="s">
        <v>62</v>
      </c>
    </row>
    <row r="2" spans="1:17" x14ac:dyDescent="0.2">
      <c r="A2" t="s">
        <v>64</v>
      </c>
      <c r="B2" t="s">
        <v>65</v>
      </c>
      <c r="C2" t="s">
        <v>66</v>
      </c>
      <c r="D2" t="s">
        <v>67</v>
      </c>
      <c r="E2">
        <v>50000</v>
      </c>
      <c r="F2">
        <v>62000</v>
      </c>
      <c r="G2">
        <v>75000</v>
      </c>
      <c r="H2">
        <v>12000</v>
      </c>
      <c r="I2">
        <v>2</v>
      </c>
      <c r="J2" t="s">
        <v>307</v>
      </c>
      <c r="L2" t="s">
        <v>372</v>
      </c>
      <c r="Q2">
        <f>COUNTIFS(C2:C21,"Sales",D2:D21,"West")</f>
        <v>2</v>
      </c>
    </row>
    <row r="3" spans="1:17" x14ac:dyDescent="0.2">
      <c r="A3" t="s">
        <v>72</v>
      </c>
      <c r="B3" t="s">
        <v>73</v>
      </c>
      <c r="C3" t="s">
        <v>74</v>
      </c>
      <c r="D3" t="s">
        <v>75</v>
      </c>
      <c r="E3">
        <v>30000</v>
      </c>
      <c r="F3">
        <v>28000</v>
      </c>
      <c r="G3">
        <v>58000</v>
      </c>
      <c r="H3">
        <v>4000</v>
      </c>
      <c r="I3">
        <v>5</v>
      </c>
      <c r="J3" t="s">
        <v>78</v>
      </c>
    </row>
    <row r="4" spans="1:17" x14ac:dyDescent="0.2">
      <c r="A4" t="s">
        <v>80</v>
      </c>
      <c r="B4" t="s">
        <v>81</v>
      </c>
      <c r="C4" t="s">
        <v>82</v>
      </c>
      <c r="D4" t="s">
        <v>83</v>
      </c>
      <c r="E4">
        <v>70000</v>
      </c>
      <c r="F4">
        <v>81000</v>
      </c>
      <c r="G4">
        <v>98000</v>
      </c>
      <c r="H4">
        <v>18000</v>
      </c>
      <c r="I4">
        <v>1</v>
      </c>
      <c r="J4" t="s">
        <v>70</v>
      </c>
      <c r="L4" t="s">
        <v>373</v>
      </c>
      <c r="Q4">
        <f>COUNTIFS(C2:C21,"IT",I2:I21,"2")</f>
        <v>2</v>
      </c>
    </row>
    <row r="5" spans="1:17" x14ac:dyDescent="0.2">
      <c r="A5" t="s">
        <v>87</v>
      </c>
      <c r="B5" t="s">
        <v>88</v>
      </c>
      <c r="C5" t="s">
        <v>89</v>
      </c>
      <c r="D5" t="s">
        <v>90</v>
      </c>
      <c r="E5">
        <v>45000</v>
      </c>
      <c r="F5">
        <v>43000</v>
      </c>
      <c r="G5">
        <v>67000</v>
      </c>
      <c r="H5">
        <v>2000</v>
      </c>
      <c r="I5">
        <v>8</v>
      </c>
      <c r="J5" t="s">
        <v>70</v>
      </c>
    </row>
    <row r="6" spans="1:17" x14ac:dyDescent="0.2">
      <c r="A6" t="s">
        <v>94</v>
      </c>
      <c r="B6" t="s">
        <v>95</v>
      </c>
      <c r="C6" t="s">
        <v>66</v>
      </c>
      <c r="D6" t="s">
        <v>67</v>
      </c>
      <c r="E6">
        <v>55000</v>
      </c>
      <c r="F6">
        <v>55000</v>
      </c>
      <c r="G6">
        <v>82000</v>
      </c>
      <c r="H6">
        <v>10000</v>
      </c>
      <c r="I6">
        <v>0</v>
      </c>
      <c r="J6" t="s">
        <v>70</v>
      </c>
      <c r="L6" t="s">
        <v>374</v>
      </c>
      <c r="M6">
        <f>COUNTIFS(C2:C21,"Sales",F2:F21,"&gt;60000")</f>
        <v>2</v>
      </c>
    </row>
    <row r="7" spans="1:17" x14ac:dyDescent="0.2">
      <c r="A7" t="s">
        <v>99</v>
      </c>
      <c r="B7" t="s">
        <v>100</v>
      </c>
      <c r="C7" t="s">
        <v>101</v>
      </c>
      <c r="D7" t="s">
        <v>75</v>
      </c>
      <c r="E7">
        <v>40000</v>
      </c>
      <c r="F7">
        <v>35000</v>
      </c>
      <c r="G7">
        <v>61000</v>
      </c>
      <c r="H7">
        <v>1000</v>
      </c>
      <c r="I7">
        <v>7</v>
      </c>
      <c r="J7" t="s">
        <v>78</v>
      </c>
    </row>
    <row r="8" spans="1:17" x14ac:dyDescent="0.2">
      <c r="A8" t="s">
        <v>105</v>
      </c>
      <c r="B8" t="s">
        <v>106</v>
      </c>
      <c r="C8" t="s">
        <v>82</v>
      </c>
      <c r="D8" t="s">
        <v>83</v>
      </c>
      <c r="E8">
        <v>72000</v>
      </c>
      <c r="F8">
        <v>92000</v>
      </c>
      <c r="G8">
        <v>110000</v>
      </c>
      <c r="H8">
        <v>25000</v>
      </c>
      <c r="I8">
        <v>1</v>
      </c>
      <c r="J8" t="s">
        <v>70</v>
      </c>
      <c r="L8" t="s">
        <v>375</v>
      </c>
      <c r="M8">
        <f>COUNTIFS(D2:D21,"North",H2:H21,"&lt;5000")</f>
        <v>4</v>
      </c>
    </row>
    <row r="9" spans="1:17" x14ac:dyDescent="0.2">
      <c r="A9" t="s">
        <v>110</v>
      </c>
      <c r="B9" t="s">
        <v>111</v>
      </c>
      <c r="C9" t="s">
        <v>89</v>
      </c>
      <c r="D9" t="s">
        <v>90</v>
      </c>
      <c r="E9">
        <v>38000</v>
      </c>
      <c r="F9">
        <v>22000</v>
      </c>
      <c r="G9">
        <v>54000</v>
      </c>
      <c r="H9">
        <v>0</v>
      </c>
      <c r="I9">
        <v>12</v>
      </c>
      <c r="J9" t="s">
        <v>78</v>
      </c>
    </row>
    <row r="10" spans="1:17" x14ac:dyDescent="0.2">
      <c r="A10" t="s">
        <v>114</v>
      </c>
      <c r="B10" t="s">
        <v>115</v>
      </c>
      <c r="C10" t="s">
        <v>74</v>
      </c>
      <c r="D10" t="s">
        <v>75</v>
      </c>
      <c r="E10">
        <v>31000</v>
      </c>
      <c r="F10">
        <v>30000</v>
      </c>
      <c r="G10">
        <v>60000</v>
      </c>
      <c r="H10">
        <v>3500</v>
      </c>
      <c r="I10">
        <v>3</v>
      </c>
      <c r="J10" t="s">
        <v>70</v>
      </c>
      <c r="L10" t="s">
        <v>376</v>
      </c>
      <c r="M10">
        <f>COUNTIFS(C2:C21,"IT",G2:G21,"&gt;=80000")</f>
        <v>4</v>
      </c>
    </row>
    <row r="11" spans="1:17" x14ac:dyDescent="0.2">
      <c r="A11" t="s">
        <v>117</v>
      </c>
      <c r="B11" t="s">
        <v>118</v>
      </c>
      <c r="C11" t="s">
        <v>101</v>
      </c>
      <c r="D11" t="s">
        <v>67</v>
      </c>
      <c r="E11">
        <v>48000</v>
      </c>
      <c r="F11">
        <v>51000</v>
      </c>
      <c r="G11">
        <v>72000</v>
      </c>
      <c r="H11">
        <v>8500</v>
      </c>
      <c r="I11">
        <v>2</v>
      </c>
      <c r="J11" t="s">
        <v>70</v>
      </c>
    </row>
    <row r="12" spans="1:17" x14ac:dyDescent="0.2">
      <c r="A12" t="s">
        <v>121</v>
      </c>
      <c r="B12" t="s">
        <v>122</v>
      </c>
      <c r="C12" t="s">
        <v>66</v>
      </c>
      <c r="D12" t="s">
        <v>83</v>
      </c>
      <c r="E12">
        <v>53000</v>
      </c>
      <c r="F12">
        <v>49000</v>
      </c>
      <c r="G12">
        <v>69000</v>
      </c>
      <c r="H12">
        <v>1500</v>
      </c>
      <c r="I12">
        <v>10</v>
      </c>
      <c r="J12" t="s">
        <v>78</v>
      </c>
      <c r="L12" t="s">
        <v>377</v>
      </c>
      <c r="M12">
        <f>COUNTIFS(J2:J21,"Yes",I2:I21,"&lt;=2")</f>
        <v>8</v>
      </c>
    </row>
    <row r="13" spans="1:17" x14ac:dyDescent="0.2">
      <c r="A13" t="s">
        <v>124</v>
      </c>
      <c r="B13" t="s">
        <v>125</v>
      </c>
      <c r="C13" t="s">
        <v>82</v>
      </c>
      <c r="D13" t="s">
        <v>90</v>
      </c>
      <c r="E13">
        <v>85000</v>
      </c>
      <c r="F13">
        <v>99000</v>
      </c>
      <c r="G13">
        <v>125000</v>
      </c>
      <c r="H13">
        <v>30000</v>
      </c>
      <c r="I13">
        <v>2</v>
      </c>
      <c r="J13" t="s">
        <v>70</v>
      </c>
    </row>
    <row r="14" spans="1:17" x14ac:dyDescent="0.2">
      <c r="A14" t="s">
        <v>130</v>
      </c>
      <c r="B14" t="s">
        <v>131</v>
      </c>
      <c r="C14" t="s">
        <v>89</v>
      </c>
      <c r="D14" t="s">
        <v>75</v>
      </c>
      <c r="E14">
        <v>41000</v>
      </c>
      <c r="F14">
        <v>39000</v>
      </c>
      <c r="G14">
        <v>64000</v>
      </c>
      <c r="H14">
        <v>2500</v>
      </c>
      <c r="I14">
        <v>6</v>
      </c>
      <c r="J14" t="s">
        <v>70</v>
      </c>
      <c r="L14" t="s">
        <v>378</v>
      </c>
      <c r="M14">
        <f>COUNTIFS(D2:D21,"East",C2:C21,"&lt;&gt;finance")</f>
        <v>3</v>
      </c>
    </row>
    <row r="15" spans="1:17" x14ac:dyDescent="0.2">
      <c r="A15" t="s">
        <v>134</v>
      </c>
      <c r="B15" t="s">
        <v>135</v>
      </c>
      <c r="C15" t="s">
        <v>74</v>
      </c>
      <c r="D15" t="s">
        <v>83</v>
      </c>
      <c r="E15">
        <v>36000</v>
      </c>
      <c r="F15">
        <v>47000</v>
      </c>
      <c r="G15">
        <v>71000</v>
      </c>
      <c r="H15">
        <v>9500</v>
      </c>
      <c r="I15">
        <v>1</v>
      </c>
      <c r="J15" t="s">
        <v>70</v>
      </c>
    </row>
    <row r="16" spans="1:17" x14ac:dyDescent="0.2">
      <c r="A16" t="s">
        <v>139</v>
      </c>
      <c r="B16" t="s">
        <v>140</v>
      </c>
      <c r="C16" t="s">
        <v>101</v>
      </c>
      <c r="D16" t="s">
        <v>67</v>
      </c>
      <c r="E16">
        <v>50000</v>
      </c>
      <c r="F16">
        <v>32000</v>
      </c>
      <c r="G16">
        <v>59000</v>
      </c>
      <c r="H16">
        <v>500</v>
      </c>
      <c r="I16">
        <v>15</v>
      </c>
      <c r="J16" t="s">
        <v>78</v>
      </c>
      <c r="L16" t="s">
        <v>379</v>
      </c>
      <c r="M16">
        <f>COUNTIFS(C2:C21,O16,D2:D21,P16)</f>
        <v>2</v>
      </c>
      <c r="O16" t="s">
        <v>74</v>
      </c>
      <c r="P16" t="s">
        <v>75</v>
      </c>
    </row>
    <row r="17" spans="1:13" x14ac:dyDescent="0.2">
      <c r="A17" t="s">
        <v>143</v>
      </c>
      <c r="B17" t="s">
        <v>144</v>
      </c>
      <c r="C17" t="s">
        <v>82</v>
      </c>
      <c r="D17" t="s">
        <v>90</v>
      </c>
      <c r="E17">
        <v>78000</v>
      </c>
      <c r="F17">
        <v>80000</v>
      </c>
      <c r="G17">
        <v>102000</v>
      </c>
      <c r="H17">
        <v>14000</v>
      </c>
      <c r="I17">
        <v>2</v>
      </c>
      <c r="J17" t="s">
        <v>70</v>
      </c>
    </row>
    <row r="18" spans="1:13" x14ac:dyDescent="0.2">
      <c r="A18" t="s">
        <v>146</v>
      </c>
      <c r="B18" t="s">
        <v>147</v>
      </c>
      <c r="C18" t="s">
        <v>66</v>
      </c>
      <c r="D18" t="s">
        <v>75</v>
      </c>
      <c r="E18">
        <v>61000</v>
      </c>
      <c r="F18">
        <v>61000</v>
      </c>
      <c r="G18">
        <v>86000</v>
      </c>
      <c r="H18">
        <v>11000</v>
      </c>
      <c r="I18">
        <v>4</v>
      </c>
      <c r="J18" t="s">
        <v>70</v>
      </c>
      <c r="L18" t="s">
        <v>380</v>
      </c>
      <c r="M18">
        <f>COUNTIFS(C2:C21,"Sales",B2:B21,"A*")</f>
        <v>3</v>
      </c>
    </row>
    <row r="19" spans="1:13" x14ac:dyDescent="0.2">
      <c r="A19" t="s">
        <v>150</v>
      </c>
      <c r="B19" t="s">
        <v>151</v>
      </c>
      <c r="C19" t="s">
        <v>89</v>
      </c>
      <c r="D19" t="s">
        <v>83</v>
      </c>
      <c r="E19">
        <v>39000</v>
      </c>
      <c r="F19">
        <v>18000</v>
      </c>
      <c r="G19">
        <v>52000</v>
      </c>
      <c r="H19">
        <v>0</v>
      </c>
      <c r="I19">
        <v>18</v>
      </c>
      <c r="J19" t="s">
        <v>78</v>
      </c>
    </row>
    <row r="20" spans="1:13" x14ac:dyDescent="0.2">
      <c r="A20" t="s">
        <v>154</v>
      </c>
      <c r="B20" t="s">
        <v>155</v>
      </c>
      <c r="C20" t="s">
        <v>74</v>
      </c>
      <c r="D20" t="s">
        <v>67</v>
      </c>
      <c r="E20">
        <v>34000</v>
      </c>
      <c r="F20">
        <v>36000</v>
      </c>
      <c r="G20">
        <v>63000</v>
      </c>
      <c r="H20">
        <v>4200</v>
      </c>
      <c r="I20">
        <v>2</v>
      </c>
      <c r="J20" t="s">
        <v>70</v>
      </c>
      <c r="L20" t="s">
        <v>381</v>
      </c>
      <c r="M20">
        <f>COUNTIFS(D2:D21,"West",C2:C21,"*es")</f>
        <v>2</v>
      </c>
    </row>
    <row r="21" spans="1:13" x14ac:dyDescent="0.2">
      <c r="A21" t="s">
        <v>160</v>
      </c>
      <c r="B21" t="s">
        <v>161</v>
      </c>
      <c r="C21" t="s">
        <v>101</v>
      </c>
      <c r="D21" t="s">
        <v>90</v>
      </c>
      <c r="E21">
        <v>46000</v>
      </c>
      <c r="F21">
        <v>60000</v>
      </c>
      <c r="G21">
        <v>88000</v>
      </c>
      <c r="H21">
        <v>16000</v>
      </c>
      <c r="I21">
        <v>1</v>
      </c>
      <c r="J21" t="s">
        <v>307</v>
      </c>
    </row>
    <row r="22" spans="1:13" x14ac:dyDescent="0.2">
      <c r="L22" t="s">
        <v>382</v>
      </c>
      <c r="M22">
        <f>COUNTIFS(D2:D21,"West",B2:B21,"*ra*")</f>
        <v>4</v>
      </c>
    </row>
    <row r="24" spans="1:13" x14ac:dyDescent="0.2">
      <c r="L24" t="s">
        <v>383</v>
      </c>
      <c r="M24">
        <f>COUNTIFS(C2:C21,"HR",A2:A21,"E00?")</f>
        <v>2</v>
      </c>
    </row>
    <row r="26" spans="1:13" x14ac:dyDescent="0.2">
      <c r="L26" t="s">
        <v>384</v>
      </c>
      <c r="M26">
        <f>COUNTIFS(C2:C21,"SALES",J2:J21,"YES~*")</f>
        <v>1</v>
      </c>
    </row>
  </sheetData>
  <dataValidations count="2">
    <dataValidation type="list" allowBlank="1" showInputMessage="1" showErrorMessage="1" sqref="O16" xr:uid="{04D0E870-30F1-8145-AFA8-45F160284A72}">
      <formula1>$C$2:$C$21</formula1>
    </dataValidation>
    <dataValidation type="list" allowBlank="1" showInputMessage="1" showErrorMessage="1" sqref="P16" xr:uid="{CCF5B7CE-B507-6E4F-BCD8-B670404D1035}">
      <formula1>$D$2:$D$21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23F7E-7A6F-C443-A5FE-93A2E18FC33C}">
  <dimension ref="A1:O28"/>
  <sheetViews>
    <sheetView topLeftCell="J1" zoomScale="135" workbookViewId="0">
      <selection activeCell="M29" sqref="M29"/>
    </sheetView>
  </sheetViews>
  <sheetFormatPr baseColWidth="10" defaultRowHeight="16" x14ac:dyDescent="0.2"/>
  <cols>
    <col min="10" max="10" width="12.6640625" bestFit="1" customWidth="1"/>
    <col min="12" max="12" width="60.33203125" bestFit="1" customWidth="1"/>
  </cols>
  <sheetData>
    <row r="1" spans="1:15" x14ac:dyDescent="0.2">
      <c r="A1" t="s">
        <v>44</v>
      </c>
      <c r="B1" t="s">
        <v>45</v>
      </c>
      <c r="C1" t="s">
        <v>46</v>
      </c>
      <c r="D1" t="s">
        <v>47</v>
      </c>
      <c r="E1" t="s">
        <v>51</v>
      </c>
      <c r="F1" t="s">
        <v>52</v>
      </c>
      <c r="G1" t="s">
        <v>58</v>
      </c>
      <c r="H1" t="s">
        <v>59</v>
      </c>
      <c r="I1" t="s">
        <v>60</v>
      </c>
      <c r="J1" t="s">
        <v>62</v>
      </c>
    </row>
    <row r="2" spans="1:15" x14ac:dyDescent="0.2">
      <c r="A2" t="s">
        <v>64</v>
      </c>
      <c r="B2" t="s">
        <v>65</v>
      </c>
      <c r="C2" t="s">
        <v>66</v>
      </c>
      <c r="D2" t="s">
        <v>67</v>
      </c>
      <c r="E2">
        <v>50000</v>
      </c>
      <c r="F2">
        <v>62000</v>
      </c>
      <c r="G2">
        <v>75000</v>
      </c>
      <c r="H2">
        <v>12000</v>
      </c>
      <c r="I2">
        <v>2</v>
      </c>
      <c r="J2" t="s">
        <v>307</v>
      </c>
      <c r="L2" t="s">
        <v>385</v>
      </c>
      <c r="M2">
        <f>AVERAGEIF(C2:C21,"sALES",F2:F21)</f>
        <v>56750</v>
      </c>
    </row>
    <row r="3" spans="1:15" x14ac:dyDescent="0.2">
      <c r="A3" t="s">
        <v>72</v>
      </c>
      <c r="B3" t="s">
        <v>73</v>
      </c>
      <c r="C3" t="s">
        <v>74</v>
      </c>
      <c r="D3" t="s">
        <v>75</v>
      </c>
      <c r="E3">
        <v>30000</v>
      </c>
      <c r="F3">
        <v>28000</v>
      </c>
      <c r="G3">
        <v>58000</v>
      </c>
      <c r="H3">
        <v>4000</v>
      </c>
      <c r="I3">
        <v>5</v>
      </c>
      <c r="J3" t="s">
        <v>78</v>
      </c>
    </row>
    <row r="4" spans="1:15" x14ac:dyDescent="0.2">
      <c r="A4" t="s">
        <v>80</v>
      </c>
      <c r="B4" t="s">
        <v>81</v>
      </c>
      <c r="C4" t="s">
        <v>82</v>
      </c>
      <c r="D4" t="s">
        <v>83</v>
      </c>
      <c r="E4">
        <v>70000</v>
      </c>
      <c r="F4">
        <v>81000</v>
      </c>
      <c r="G4">
        <v>98000</v>
      </c>
      <c r="H4">
        <v>18000</v>
      </c>
      <c r="I4">
        <v>1</v>
      </c>
      <c r="J4" t="s">
        <v>70</v>
      </c>
      <c r="L4" t="s">
        <v>386</v>
      </c>
      <c r="M4">
        <f>AVERAGEIF(I2:I21,"2")</f>
        <v>2</v>
      </c>
    </row>
    <row r="5" spans="1:15" x14ac:dyDescent="0.2">
      <c r="A5" t="s">
        <v>87</v>
      </c>
      <c r="B5" t="s">
        <v>88</v>
      </c>
      <c r="C5" t="s">
        <v>89</v>
      </c>
      <c r="D5" t="s">
        <v>90</v>
      </c>
      <c r="E5">
        <v>45000</v>
      </c>
      <c r="F5">
        <v>43000</v>
      </c>
      <c r="G5">
        <v>67000</v>
      </c>
      <c r="H5">
        <v>2000</v>
      </c>
      <c r="I5">
        <v>8</v>
      </c>
      <c r="J5" t="s">
        <v>70</v>
      </c>
    </row>
    <row r="6" spans="1:15" x14ac:dyDescent="0.2">
      <c r="A6" t="s">
        <v>94</v>
      </c>
      <c r="B6" t="s">
        <v>95</v>
      </c>
      <c r="C6" t="s">
        <v>66</v>
      </c>
      <c r="D6" t="s">
        <v>67</v>
      </c>
      <c r="E6">
        <v>55000</v>
      </c>
      <c r="F6">
        <v>55000</v>
      </c>
      <c r="G6">
        <v>82000</v>
      </c>
      <c r="H6">
        <v>10000</v>
      </c>
      <c r="I6">
        <v>0</v>
      </c>
      <c r="J6" t="s">
        <v>70</v>
      </c>
      <c r="L6" t="s">
        <v>387</v>
      </c>
      <c r="M6">
        <f>AVERAGEIF(I2:I21,2,G2:G21)</f>
        <v>78000</v>
      </c>
    </row>
    <row r="7" spans="1:15" x14ac:dyDescent="0.2">
      <c r="A7" t="s">
        <v>99</v>
      </c>
      <c r="B7" t="s">
        <v>100</v>
      </c>
      <c r="C7" t="s">
        <v>101</v>
      </c>
      <c r="D7" t="s">
        <v>75</v>
      </c>
      <c r="E7">
        <v>40000</v>
      </c>
      <c r="F7">
        <v>35000</v>
      </c>
      <c r="G7">
        <v>61000</v>
      </c>
      <c r="H7">
        <v>1000</v>
      </c>
      <c r="I7">
        <v>7</v>
      </c>
      <c r="J7" t="s">
        <v>78</v>
      </c>
    </row>
    <row r="8" spans="1:15" x14ac:dyDescent="0.2">
      <c r="A8" t="s">
        <v>105</v>
      </c>
      <c r="B8" t="s">
        <v>106</v>
      </c>
      <c r="C8" t="s">
        <v>82</v>
      </c>
      <c r="D8" t="s">
        <v>83</v>
      </c>
      <c r="E8">
        <v>72000</v>
      </c>
      <c r="F8">
        <v>92000</v>
      </c>
      <c r="G8">
        <v>110000</v>
      </c>
      <c r="H8">
        <v>25000</v>
      </c>
      <c r="I8">
        <v>1</v>
      </c>
      <c r="J8" t="s">
        <v>70</v>
      </c>
      <c r="L8" t="s">
        <v>388</v>
      </c>
      <c r="M8">
        <f>AVERAGEIF(H2:H21,"&lt;5000",G2:G21)</f>
        <v>60700</v>
      </c>
    </row>
    <row r="9" spans="1:15" x14ac:dyDescent="0.2">
      <c r="A9" t="s">
        <v>110</v>
      </c>
      <c r="B9" t="s">
        <v>111</v>
      </c>
      <c r="C9" t="s">
        <v>89</v>
      </c>
      <c r="D9" t="s">
        <v>90</v>
      </c>
      <c r="E9">
        <v>38000</v>
      </c>
      <c r="F9">
        <v>22000</v>
      </c>
      <c r="G9">
        <v>54000</v>
      </c>
      <c r="H9">
        <v>0</v>
      </c>
      <c r="I9">
        <v>12</v>
      </c>
      <c r="J9" t="s">
        <v>78</v>
      </c>
    </row>
    <row r="10" spans="1:15" x14ac:dyDescent="0.2">
      <c r="A10" t="s">
        <v>114</v>
      </c>
      <c r="B10" t="s">
        <v>115</v>
      </c>
      <c r="C10" t="s">
        <v>74</v>
      </c>
      <c r="D10" t="s">
        <v>75</v>
      </c>
      <c r="E10">
        <v>31000</v>
      </c>
      <c r="F10">
        <v>30000</v>
      </c>
      <c r="G10">
        <v>60000</v>
      </c>
      <c r="H10">
        <v>3500</v>
      </c>
      <c r="I10">
        <v>3</v>
      </c>
      <c r="J10" t="s">
        <v>70</v>
      </c>
      <c r="L10" t="s">
        <v>389</v>
      </c>
      <c r="M10">
        <f>AVERAGEIF(G2:G21,"&gt;=80000",F2:F21)</f>
        <v>75428.571428571435</v>
      </c>
    </row>
    <row r="11" spans="1:15" x14ac:dyDescent="0.2">
      <c r="A11" t="s">
        <v>117</v>
      </c>
      <c r="B11" t="s">
        <v>118</v>
      </c>
      <c r="C11" t="s">
        <v>101</v>
      </c>
      <c r="D11" t="s">
        <v>67</v>
      </c>
      <c r="E11">
        <v>48000</v>
      </c>
      <c r="F11">
        <v>51000</v>
      </c>
      <c r="G11">
        <v>72000</v>
      </c>
      <c r="H11">
        <v>8500</v>
      </c>
      <c r="I11">
        <v>2</v>
      </c>
      <c r="J11" t="s">
        <v>70</v>
      </c>
    </row>
    <row r="12" spans="1:15" x14ac:dyDescent="0.2">
      <c r="A12" t="s">
        <v>121</v>
      </c>
      <c r="B12" t="s">
        <v>122</v>
      </c>
      <c r="C12" t="s">
        <v>66</v>
      </c>
      <c r="D12" t="s">
        <v>83</v>
      </c>
      <c r="E12">
        <v>53000</v>
      </c>
      <c r="F12">
        <v>49000</v>
      </c>
      <c r="G12">
        <v>69000</v>
      </c>
      <c r="H12">
        <v>1500</v>
      </c>
      <c r="I12">
        <v>10</v>
      </c>
      <c r="J12" t="s">
        <v>78</v>
      </c>
      <c r="L12" t="s">
        <v>390</v>
      </c>
      <c r="M12">
        <f>AVERAGEIF(I2:I21,"&lt;=2",H2:H21)</f>
        <v>14720</v>
      </c>
    </row>
    <row r="13" spans="1:15" x14ac:dyDescent="0.2">
      <c r="A13" t="s">
        <v>124</v>
      </c>
      <c r="B13" t="s">
        <v>125</v>
      </c>
      <c r="C13" t="s">
        <v>82</v>
      </c>
      <c r="D13" t="s">
        <v>90</v>
      </c>
      <c r="E13">
        <v>85000</v>
      </c>
      <c r="F13">
        <v>99000</v>
      </c>
      <c r="G13">
        <v>125000</v>
      </c>
      <c r="H13">
        <v>30000</v>
      </c>
      <c r="I13">
        <v>0</v>
      </c>
      <c r="J13" t="s">
        <v>70</v>
      </c>
    </row>
    <row r="14" spans="1:15" x14ac:dyDescent="0.2">
      <c r="A14" t="s">
        <v>130</v>
      </c>
      <c r="B14" t="s">
        <v>131</v>
      </c>
      <c r="C14" t="s">
        <v>89</v>
      </c>
      <c r="D14" t="s">
        <v>75</v>
      </c>
      <c r="E14">
        <v>41000</v>
      </c>
      <c r="F14">
        <v>39000</v>
      </c>
      <c r="G14">
        <v>64000</v>
      </c>
      <c r="H14">
        <v>2500</v>
      </c>
      <c r="I14">
        <v>6</v>
      </c>
      <c r="J14" t="s">
        <v>70</v>
      </c>
      <c r="L14" t="s">
        <v>391</v>
      </c>
      <c r="M14">
        <f>AVERAGEIF(C2:C21,"&lt;&gt;FINANCE",G2:G21)</f>
        <v>79937.5</v>
      </c>
    </row>
    <row r="15" spans="1:15" x14ac:dyDescent="0.2">
      <c r="A15" t="s">
        <v>134</v>
      </c>
      <c r="B15" t="s">
        <v>135</v>
      </c>
      <c r="C15" t="s">
        <v>74</v>
      </c>
      <c r="D15" t="s">
        <v>83</v>
      </c>
      <c r="E15">
        <v>36000</v>
      </c>
      <c r="F15">
        <v>47000</v>
      </c>
      <c r="G15">
        <v>71000</v>
      </c>
      <c r="H15">
        <v>9500</v>
      </c>
      <c r="I15">
        <v>1</v>
      </c>
      <c r="J15" t="s">
        <v>70</v>
      </c>
    </row>
    <row r="16" spans="1:15" x14ac:dyDescent="0.2">
      <c r="A16" t="s">
        <v>139</v>
      </c>
      <c r="B16" t="s">
        <v>140</v>
      </c>
      <c r="C16" t="s">
        <v>101</v>
      </c>
      <c r="D16" t="s">
        <v>67</v>
      </c>
      <c r="E16">
        <v>50000</v>
      </c>
      <c r="F16">
        <v>32000</v>
      </c>
      <c r="G16">
        <v>59000</v>
      </c>
      <c r="H16">
        <v>500</v>
      </c>
      <c r="I16">
        <v>15</v>
      </c>
      <c r="J16" t="s">
        <v>78</v>
      </c>
      <c r="L16" t="s">
        <v>392</v>
      </c>
      <c r="M16">
        <f>AVERAGEIF(C2:C21,O16,F2:F21)</f>
        <v>56750</v>
      </c>
      <c r="O16" t="s">
        <v>66</v>
      </c>
    </row>
    <row r="17" spans="1:15" x14ac:dyDescent="0.2">
      <c r="A17" t="s">
        <v>143</v>
      </c>
      <c r="B17" t="s">
        <v>144</v>
      </c>
      <c r="C17" t="s">
        <v>82</v>
      </c>
      <c r="D17" t="s">
        <v>90</v>
      </c>
      <c r="E17">
        <v>78000</v>
      </c>
      <c r="F17">
        <v>80000</v>
      </c>
      <c r="G17">
        <v>102000</v>
      </c>
      <c r="H17">
        <v>14000</v>
      </c>
      <c r="I17">
        <v>2</v>
      </c>
      <c r="J17" t="s">
        <v>70</v>
      </c>
    </row>
    <row r="18" spans="1:15" x14ac:dyDescent="0.2">
      <c r="A18" t="s">
        <v>146</v>
      </c>
      <c r="B18" t="s">
        <v>147</v>
      </c>
      <c r="C18" t="s">
        <v>66</v>
      </c>
      <c r="D18" t="s">
        <v>75</v>
      </c>
      <c r="E18">
        <v>61000</v>
      </c>
      <c r="F18">
        <v>61000</v>
      </c>
      <c r="G18">
        <v>86000</v>
      </c>
      <c r="H18">
        <v>11000</v>
      </c>
      <c r="I18">
        <v>4</v>
      </c>
      <c r="J18" t="s">
        <v>70</v>
      </c>
      <c r="L18" t="s">
        <v>393</v>
      </c>
      <c r="M18">
        <f>AVERAGEIF(G2:G21,"&gt;"&amp;O18,F2:F21)</f>
        <v>59333.333333333336</v>
      </c>
      <c r="O18">
        <v>60000</v>
      </c>
    </row>
    <row r="19" spans="1:15" x14ac:dyDescent="0.2">
      <c r="A19" t="s">
        <v>150</v>
      </c>
      <c r="B19" t="s">
        <v>151</v>
      </c>
      <c r="C19" t="s">
        <v>89</v>
      </c>
      <c r="D19" t="s">
        <v>83</v>
      </c>
      <c r="E19">
        <v>39000</v>
      </c>
      <c r="F19">
        <v>18000</v>
      </c>
      <c r="G19">
        <v>52000</v>
      </c>
      <c r="H19">
        <v>0</v>
      </c>
      <c r="I19">
        <v>18</v>
      </c>
      <c r="J19" t="s">
        <v>78</v>
      </c>
    </row>
    <row r="20" spans="1:15" x14ac:dyDescent="0.2">
      <c r="A20" t="s">
        <v>154</v>
      </c>
      <c r="B20" t="s">
        <v>155</v>
      </c>
      <c r="C20" t="s">
        <v>74</v>
      </c>
      <c r="D20" t="s">
        <v>67</v>
      </c>
      <c r="E20">
        <v>34000</v>
      </c>
      <c r="F20">
        <v>36000</v>
      </c>
      <c r="G20">
        <v>63000</v>
      </c>
      <c r="H20">
        <v>4200</v>
      </c>
      <c r="I20">
        <v>2</v>
      </c>
      <c r="J20" t="s">
        <v>70</v>
      </c>
      <c r="L20" t="s">
        <v>394</v>
      </c>
      <c r="M20">
        <f>AVERAGEIF(B2:B21,"A*",F2:F21)</f>
        <v>47000</v>
      </c>
    </row>
    <row r="21" spans="1:15" x14ac:dyDescent="0.2">
      <c r="A21" t="s">
        <v>160</v>
      </c>
      <c r="B21" t="s">
        <v>161</v>
      </c>
      <c r="C21" t="s">
        <v>101</v>
      </c>
      <c r="D21" t="s">
        <v>90</v>
      </c>
      <c r="E21">
        <v>46000</v>
      </c>
      <c r="F21">
        <v>60000</v>
      </c>
      <c r="G21">
        <v>88000</v>
      </c>
      <c r="H21">
        <v>16000</v>
      </c>
      <c r="I21">
        <v>1</v>
      </c>
      <c r="J21" t="s">
        <v>307</v>
      </c>
    </row>
    <row r="22" spans="1:15" x14ac:dyDescent="0.2">
      <c r="L22" t="s">
        <v>395</v>
      </c>
      <c r="M22">
        <f>AVERAGEIF(C2:C21,"*es",G2:G21)</f>
        <v>78000</v>
      </c>
    </row>
    <row r="24" spans="1:15" x14ac:dyDescent="0.2">
      <c r="L24" t="s">
        <v>396</v>
      </c>
      <c r="M24">
        <f>AVERAGEIF(B2:B21,"*ra*",F2:F21)</f>
        <v>48571.428571428572</v>
      </c>
    </row>
    <row r="26" spans="1:15" x14ac:dyDescent="0.2">
      <c r="L26" t="s">
        <v>397</v>
      </c>
      <c r="M26">
        <f>AVERAGEIF(A2:A21,"E00?",G2:G21)</f>
        <v>73888.888888888891</v>
      </c>
    </row>
    <row r="28" spans="1:15" x14ac:dyDescent="0.2">
      <c r="L28" t="s">
        <v>398</v>
      </c>
      <c r="M28">
        <f>AVERAGEIF(J2:J21,"yes~*",F2:F21)</f>
        <v>61000</v>
      </c>
    </row>
  </sheetData>
  <dataValidations count="1">
    <dataValidation type="list" allowBlank="1" showInputMessage="1" showErrorMessage="1" sqref="O16" xr:uid="{344ACB30-EBDC-644E-9CBE-6FFB7447FDE0}">
      <formula1>$C$2:$C$21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A6E91-DAD6-034D-900D-39D466FA2FA9}">
  <dimension ref="A1:P26"/>
  <sheetViews>
    <sheetView topLeftCell="H3" zoomScale="133" workbookViewId="0">
      <selection activeCell="M21" sqref="M21"/>
    </sheetView>
  </sheetViews>
  <sheetFormatPr baseColWidth="10" defaultRowHeight="16" x14ac:dyDescent="0.2"/>
  <cols>
    <col min="12" max="12" width="75.5" bestFit="1" customWidth="1"/>
  </cols>
  <sheetData>
    <row r="1" spans="1:16" x14ac:dyDescent="0.2">
      <c r="A1" t="s">
        <v>44</v>
      </c>
      <c r="B1" t="s">
        <v>45</v>
      </c>
      <c r="C1" t="s">
        <v>46</v>
      </c>
      <c r="D1" t="s">
        <v>47</v>
      </c>
      <c r="E1" t="s">
        <v>51</v>
      </c>
      <c r="F1" t="s">
        <v>52</v>
      </c>
      <c r="G1" t="s">
        <v>58</v>
      </c>
      <c r="H1" t="s">
        <v>59</v>
      </c>
      <c r="I1" t="s">
        <v>60</v>
      </c>
      <c r="J1" t="s">
        <v>62</v>
      </c>
    </row>
    <row r="2" spans="1:16" x14ac:dyDescent="0.2">
      <c r="A2" t="s">
        <v>64</v>
      </c>
      <c r="B2" t="s">
        <v>65</v>
      </c>
      <c r="C2" t="s">
        <v>66</v>
      </c>
      <c r="D2" t="s">
        <v>67</v>
      </c>
      <c r="E2">
        <v>50000</v>
      </c>
      <c r="F2">
        <v>62000</v>
      </c>
      <c r="G2">
        <v>75000</v>
      </c>
      <c r="H2">
        <v>12000</v>
      </c>
      <c r="I2">
        <v>2</v>
      </c>
      <c r="J2" t="s">
        <v>307</v>
      </c>
      <c r="L2" t="s">
        <v>399</v>
      </c>
      <c r="M2">
        <f>AVERAGEIFS(F2:F21,D2:D21,"west",C2:C21,"sales")</f>
        <v>58500</v>
      </c>
    </row>
    <row r="3" spans="1:16" x14ac:dyDescent="0.2">
      <c r="A3" t="s">
        <v>72</v>
      </c>
      <c r="B3" t="s">
        <v>73</v>
      </c>
      <c r="C3" t="s">
        <v>74</v>
      </c>
      <c r="D3" t="s">
        <v>75</v>
      </c>
      <c r="E3">
        <v>30000</v>
      </c>
      <c r="F3">
        <v>28000</v>
      </c>
      <c r="G3">
        <v>58000</v>
      </c>
      <c r="H3">
        <v>4000</v>
      </c>
      <c r="I3">
        <v>5</v>
      </c>
      <c r="J3" t="s">
        <v>78</v>
      </c>
    </row>
    <row r="4" spans="1:16" x14ac:dyDescent="0.2">
      <c r="A4" t="s">
        <v>80</v>
      </c>
      <c r="B4" t="s">
        <v>81</v>
      </c>
      <c r="C4" t="s">
        <v>82</v>
      </c>
      <c r="D4" t="s">
        <v>83</v>
      </c>
      <c r="E4">
        <v>70000</v>
      </c>
      <c r="F4">
        <v>81000</v>
      </c>
      <c r="G4">
        <v>98000</v>
      </c>
      <c r="H4">
        <v>18000</v>
      </c>
      <c r="I4">
        <v>1</v>
      </c>
      <c r="J4" t="s">
        <v>70</v>
      </c>
      <c r="L4" t="s">
        <v>400</v>
      </c>
      <c r="M4">
        <f>AVERAGEIFS(G2:G21,C2:C21,"IT",I2:I21,2)</f>
        <v>102000</v>
      </c>
    </row>
    <row r="5" spans="1:16" x14ac:dyDescent="0.2">
      <c r="A5" t="s">
        <v>87</v>
      </c>
      <c r="B5" t="s">
        <v>88</v>
      </c>
      <c r="C5" t="s">
        <v>89</v>
      </c>
      <c r="D5" t="s">
        <v>90</v>
      </c>
      <c r="E5">
        <v>45000</v>
      </c>
      <c r="F5">
        <v>43000</v>
      </c>
      <c r="G5">
        <v>67000</v>
      </c>
      <c r="H5">
        <v>2000</v>
      </c>
      <c r="I5">
        <v>8</v>
      </c>
      <c r="J5" t="s">
        <v>70</v>
      </c>
    </row>
    <row r="6" spans="1:16" x14ac:dyDescent="0.2">
      <c r="A6" t="s">
        <v>94</v>
      </c>
      <c r="B6" t="s">
        <v>95</v>
      </c>
      <c r="C6" t="s">
        <v>66</v>
      </c>
      <c r="D6" t="s">
        <v>67</v>
      </c>
      <c r="E6">
        <v>55000</v>
      </c>
      <c r="F6">
        <v>55000</v>
      </c>
      <c r="G6">
        <v>82000</v>
      </c>
      <c r="H6">
        <v>10000</v>
      </c>
      <c r="I6">
        <v>0</v>
      </c>
      <c r="J6" t="s">
        <v>70</v>
      </c>
      <c r="L6" t="s">
        <v>401</v>
      </c>
      <c r="M6">
        <f>AVERAGEIFS(H2:H21,C2:C21,"SALES",F2:F21,"&gt;60000")</f>
        <v>11500</v>
      </c>
    </row>
    <row r="7" spans="1:16" x14ac:dyDescent="0.2">
      <c r="A7" t="s">
        <v>99</v>
      </c>
      <c r="B7" t="s">
        <v>100</v>
      </c>
      <c r="C7" t="s">
        <v>101</v>
      </c>
      <c r="D7" t="s">
        <v>75</v>
      </c>
      <c r="E7">
        <v>40000</v>
      </c>
      <c r="F7">
        <v>35000</v>
      </c>
      <c r="G7">
        <v>61000</v>
      </c>
      <c r="H7">
        <v>1000</v>
      </c>
      <c r="I7">
        <v>7</v>
      </c>
      <c r="J7" t="s">
        <v>78</v>
      </c>
    </row>
    <row r="8" spans="1:16" x14ac:dyDescent="0.2">
      <c r="A8" t="s">
        <v>105</v>
      </c>
      <c r="B8" t="s">
        <v>106</v>
      </c>
      <c r="C8" t="s">
        <v>82</v>
      </c>
      <c r="D8" t="s">
        <v>83</v>
      </c>
      <c r="E8">
        <v>72000</v>
      </c>
      <c r="F8">
        <v>92000</v>
      </c>
      <c r="G8">
        <v>110000</v>
      </c>
      <c r="H8">
        <v>25000</v>
      </c>
      <c r="I8">
        <v>1</v>
      </c>
      <c r="J8" t="s">
        <v>70</v>
      </c>
      <c r="L8" t="s">
        <v>402</v>
      </c>
      <c r="M8">
        <f>AVERAGEIFS(G2:G21,D2:D21,"north",H2:H21,"&lt;5000")</f>
        <v>60750</v>
      </c>
    </row>
    <row r="9" spans="1:16" x14ac:dyDescent="0.2">
      <c r="A9" t="s">
        <v>110</v>
      </c>
      <c r="B9" t="s">
        <v>111</v>
      </c>
      <c r="C9" t="s">
        <v>89</v>
      </c>
      <c r="D9" t="s">
        <v>90</v>
      </c>
      <c r="E9">
        <v>38000</v>
      </c>
      <c r="F9">
        <v>22000</v>
      </c>
      <c r="G9">
        <v>54000</v>
      </c>
      <c r="H9">
        <v>0</v>
      </c>
      <c r="I9">
        <v>12</v>
      </c>
      <c r="J9" t="s">
        <v>78</v>
      </c>
    </row>
    <row r="10" spans="1:16" x14ac:dyDescent="0.2">
      <c r="A10" t="s">
        <v>114</v>
      </c>
      <c r="B10" t="s">
        <v>115</v>
      </c>
      <c r="C10" t="s">
        <v>74</v>
      </c>
      <c r="D10" t="s">
        <v>75</v>
      </c>
      <c r="E10">
        <v>31000</v>
      </c>
      <c r="F10">
        <v>30000</v>
      </c>
      <c r="G10">
        <v>60000</v>
      </c>
      <c r="H10">
        <v>3500</v>
      </c>
      <c r="I10">
        <v>3</v>
      </c>
      <c r="J10" t="s">
        <v>70</v>
      </c>
      <c r="L10" t="s">
        <v>403</v>
      </c>
      <c r="M10">
        <f>AVERAGEIFS(F2:F21,C2:C21,"IT",G2:G21,"&gt;=80000")</f>
        <v>88000</v>
      </c>
    </row>
    <row r="11" spans="1:16" x14ac:dyDescent="0.2">
      <c r="A11" t="s">
        <v>117</v>
      </c>
      <c r="B11" t="s">
        <v>118</v>
      </c>
      <c r="C11" t="s">
        <v>101</v>
      </c>
      <c r="D11" t="s">
        <v>67</v>
      </c>
      <c r="E11">
        <v>48000</v>
      </c>
      <c r="F11">
        <v>51000</v>
      </c>
      <c r="G11">
        <v>72000</v>
      </c>
      <c r="H11">
        <v>8500</v>
      </c>
      <c r="I11">
        <v>2</v>
      </c>
      <c r="J11" t="s">
        <v>70</v>
      </c>
    </row>
    <row r="12" spans="1:16" x14ac:dyDescent="0.2">
      <c r="A12" t="s">
        <v>121</v>
      </c>
      <c r="B12" t="s">
        <v>122</v>
      </c>
      <c r="C12" t="s">
        <v>66</v>
      </c>
      <c r="D12" t="s">
        <v>83</v>
      </c>
      <c r="E12">
        <v>53000</v>
      </c>
      <c r="F12">
        <v>49000</v>
      </c>
      <c r="G12">
        <v>69000</v>
      </c>
      <c r="H12">
        <v>1500</v>
      </c>
      <c r="I12">
        <v>10</v>
      </c>
      <c r="J12" t="s">
        <v>78</v>
      </c>
      <c r="L12" t="s">
        <v>404</v>
      </c>
      <c r="M12">
        <f>AVERAGEIFS(H2:H21,J2:J21,"YES",I2:I21,"&lt;=2")</f>
        <v>14900</v>
      </c>
    </row>
    <row r="13" spans="1:16" x14ac:dyDescent="0.2">
      <c r="A13" t="s">
        <v>124</v>
      </c>
      <c r="B13" t="s">
        <v>125</v>
      </c>
      <c r="C13" t="s">
        <v>82</v>
      </c>
      <c r="D13" t="s">
        <v>90</v>
      </c>
      <c r="E13">
        <v>85000</v>
      </c>
      <c r="F13">
        <v>99000</v>
      </c>
      <c r="G13">
        <v>125000</v>
      </c>
      <c r="H13">
        <v>30000</v>
      </c>
      <c r="I13">
        <v>0</v>
      </c>
      <c r="J13" t="s">
        <v>70</v>
      </c>
    </row>
    <row r="14" spans="1:16" x14ac:dyDescent="0.2">
      <c r="A14" t="s">
        <v>130</v>
      </c>
      <c r="B14" t="s">
        <v>131</v>
      </c>
      <c r="C14" t="s">
        <v>89</v>
      </c>
      <c r="D14" t="s">
        <v>75</v>
      </c>
      <c r="E14">
        <v>41000</v>
      </c>
      <c r="F14">
        <v>39000</v>
      </c>
      <c r="G14">
        <v>64000</v>
      </c>
      <c r="H14">
        <v>2500</v>
      </c>
      <c r="I14">
        <v>6</v>
      </c>
      <c r="J14" t="s">
        <v>70</v>
      </c>
      <c r="L14" t="s">
        <v>405</v>
      </c>
      <c r="M14">
        <f>AVERAGEIFS(G2:G21,D2:D21,"EAST",C2:C21,"&lt;&gt;FINANCE")</f>
        <v>105000</v>
      </c>
    </row>
    <row r="15" spans="1:16" x14ac:dyDescent="0.2">
      <c r="A15" t="s">
        <v>134</v>
      </c>
      <c r="B15" t="s">
        <v>135</v>
      </c>
      <c r="C15" t="s">
        <v>74</v>
      </c>
      <c r="D15" t="s">
        <v>83</v>
      </c>
      <c r="E15">
        <v>36000</v>
      </c>
      <c r="F15">
        <v>47000</v>
      </c>
      <c r="G15">
        <v>71000</v>
      </c>
      <c r="H15">
        <v>9500</v>
      </c>
      <c r="I15">
        <v>1</v>
      </c>
      <c r="J15" t="s">
        <v>70</v>
      </c>
    </row>
    <row r="16" spans="1:16" x14ac:dyDescent="0.2">
      <c r="A16" t="s">
        <v>139</v>
      </c>
      <c r="B16" t="s">
        <v>140</v>
      </c>
      <c r="C16" t="s">
        <v>101</v>
      </c>
      <c r="D16" t="s">
        <v>67</v>
      </c>
      <c r="E16">
        <v>50000</v>
      </c>
      <c r="F16">
        <v>32000</v>
      </c>
      <c r="G16">
        <v>59000</v>
      </c>
      <c r="H16">
        <v>500</v>
      </c>
      <c r="I16">
        <v>15</v>
      </c>
      <c r="J16" t="s">
        <v>78</v>
      </c>
      <c r="L16" t="s">
        <v>406</v>
      </c>
      <c r="M16">
        <f>AVERAGEIFS(F2:F21,C2:C21,O16,D2:D21,P16)</f>
        <v>47000</v>
      </c>
      <c r="O16" t="s">
        <v>74</v>
      </c>
      <c r="P16" t="s">
        <v>83</v>
      </c>
    </row>
    <row r="17" spans="1:13" x14ac:dyDescent="0.2">
      <c r="A17" t="s">
        <v>143</v>
      </c>
      <c r="B17" t="s">
        <v>144</v>
      </c>
      <c r="C17" t="s">
        <v>82</v>
      </c>
      <c r="D17" t="s">
        <v>90</v>
      </c>
      <c r="E17">
        <v>78000</v>
      </c>
      <c r="F17">
        <v>80000</v>
      </c>
      <c r="G17">
        <v>102000</v>
      </c>
      <c r="H17">
        <v>14000</v>
      </c>
      <c r="I17">
        <v>2</v>
      </c>
      <c r="J17" t="s">
        <v>70</v>
      </c>
    </row>
    <row r="18" spans="1:13" x14ac:dyDescent="0.2">
      <c r="A18" t="s">
        <v>146</v>
      </c>
      <c r="B18" t="s">
        <v>147</v>
      </c>
      <c r="C18" t="s">
        <v>66</v>
      </c>
      <c r="D18" t="s">
        <v>75</v>
      </c>
      <c r="E18">
        <v>61000</v>
      </c>
      <c r="F18">
        <v>61000</v>
      </c>
      <c r="G18">
        <v>86000</v>
      </c>
      <c r="H18">
        <v>11000</v>
      </c>
      <c r="I18">
        <v>4</v>
      </c>
      <c r="J18" t="s">
        <v>70</v>
      </c>
      <c r="L18" t="s">
        <v>407</v>
      </c>
      <c r="M18">
        <f>AVERAGEIFS(F2:F21,C2:C21,"sales",B2:B21,"A*")</f>
        <v>55333.333333333336</v>
      </c>
    </row>
    <row r="19" spans="1:13" x14ac:dyDescent="0.2">
      <c r="A19" t="s">
        <v>150</v>
      </c>
      <c r="B19" t="s">
        <v>151</v>
      </c>
      <c r="C19" t="s">
        <v>89</v>
      </c>
      <c r="D19" t="s">
        <v>83</v>
      </c>
      <c r="E19">
        <v>39000</v>
      </c>
      <c r="F19">
        <v>18000</v>
      </c>
      <c r="G19">
        <v>52000</v>
      </c>
      <c r="H19">
        <v>0</v>
      </c>
      <c r="I19">
        <v>18</v>
      </c>
      <c r="J19" t="s">
        <v>78</v>
      </c>
    </row>
    <row r="20" spans="1:13" x14ac:dyDescent="0.2">
      <c r="A20" t="s">
        <v>154</v>
      </c>
      <c r="B20" t="s">
        <v>155</v>
      </c>
      <c r="C20" t="s">
        <v>74</v>
      </c>
      <c r="D20" t="s">
        <v>67</v>
      </c>
      <c r="E20">
        <v>34000</v>
      </c>
      <c r="F20">
        <v>36000</v>
      </c>
      <c r="G20">
        <v>63000</v>
      </c>
      <c r="H20">
        <v>4200</v>
      </c>
      <c r="I20">
        <v>2</v>
      </c>
      <c r="J20" t="s">
        <v>70</v>
      </c>
      <c r="L20" t="s">
        <v>408</v>
      </c>
      <c r="M20">
        <f>AVERAGEIFS(G2:G21,D2:D21,"west",C2:C21,"*es")</f>
        <v>78500</v>
      </c>
    </row>
    <row r="21" spans="1:13" x14ac:dyDescent="0.2">
      <c r="A21" t="s">
        <v>160</v>
      </c>
      <c r="B21" t="s">
        <v>161</v>
      </c>
      <c r="C21" t="s">
        <v>101</v>
      </c>
      <c r="D21" t="s">
        <v>90</v>
      </c>
      <c r="E21">
        <v>46000</v>
      </c>
      <c r="F21">
        <v>60000</v>
      </c>
      <c r="G21">
        <v>88000</v>
      </c>
      <c r="H21">
        <v>16000</v>
      </c>
      <c r="I21">
        <v>1</v>
      </c>
      <c r="J21" t="s">
        <v>307</v>
      </c>
    </row>
    <row r="22" spans="1:13" x14ac:dyDescent="0.2">
      <c r="L22" t="s">
        <v>409</v>
      </c>
      <c r="M22">
        <f>AVERAGEIFS(F2:F21,D2:D21,"west",B2:B21,"*ra*")</f>
        <v>50000</v>
      </c>
    </row>
    <row r="24" spans="1:13" x14ac:dyDescent="0.2">
      <c r="L24" t="s">
        <v>410</v>
      </c>
      <c r="M24">
        <f>AVERAGEIFS(G2:G21,C2:C21,"HR",A2:A21,"E00?")</f>
        <v>59000</v>
      </c>
    </row>
    <row r="26" spans="1:13" x14ac:dyDescent="0.2">
      <c r="L26" t="s">
        <v>411</v>
      </c>
      <c r="M26">
        <f>AVERAGEIFS(F2:F21,C2:C21,"sales",J2:J21,"yes~*")</f>
        <v>62000</v>
      </c>
    </row>
  </sheetData>
  <dataValidations disablePrompts="1" count="2">
    <dataValidation type="list" allowBlank="1" showInputMessage="1" showErrorMessage="1" sqref="O16" xr:uid="{BF5B3807-5B71-C64B-8BE5-79DF06B101CD}">
      <formula1>$C$2:$C$21</formula1>
    </dataValidation>
    <dataValidation type="list" allowBlank="1" showInputMessage="1" showErrorMessage="1" sqref="P16" xr:uid="{A4E23A6E-A8E6-5146-B325-74C0A58FABE7}">
      <formula1>$D$2:$D$21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8F78D-BB88-514A-AD9D-870E191FB7FC}">
  <dimension ref="A1:G6"/>
  <sheetViews>
    <sheetView zoomScale="112" workbookViewId="0">
      <selection activeCell="G18" sqref="G18"/>
    </sheetView>
  </sheetViews>
  <sheetFormatPr baseColWidth="10" defaultRowHeight="16" x14ac:dyDescent="0.2"/>
  <cols>
    <col min="2" max="2" width="23.33203125" bestFit="1" customWidth="1"/>
    <col min="7" max="7" width="16.5" bestFit="1" customWidth="1"/>
  </cols>
  <sheetData>
    <row r="1" spans="1:7" x14ac:dyDescent="0.2">
      <c r="A1" t="s">
        <v>412</v>
      </c>
      <c r="B1" t="s">
        <v>339</v>
      </c>
      <c r="C1" t="s">
        <v>418</v>
      </c>
      <c r="D1" t="s">
        <v>419</v>
      </c>
      <c r="E1" t="s">
        <v>420</v>
      </c>
      <c r="F1" t="s">
        <v>421</v>
      </c>
      <c r="G1" t="s">
        <v>422</v>
      </c>
    </row>
    <row r="2" spans="1:7" x14ac:dyDescent="0.2">
      <c r="A2">
        <v>1</v>
      </c>
      <c r="B2" t="s">
        <v>413</v>
      </c>
      <c r="C2" t="str">
        <f>LEFT(B2,6)</f>
        <v>Steven</v>
      </c>
      <c r="D2" t="str">
        <f>RIGHT(B2,6)</f>
        <v>123212</v>
      </c>
      <c r="E2" t="str">
        <f>MID(B2,5,5)</f>
        <v>en Ro</v>
      </c>
      <c r="F2">
        <f>FIND("-",B2,1)</f>
        <v>13</v>
      </c>
      <c r="G2" t="str">
        <f>LEFT(B2,FIND("-",B2,1)-1)</f>
        <v>Steven Roger</v>
      </c>
    </row>
    <row r="3" spans="1:7" x14ac:dyDescent="0.2">
      <c r="A3">
        <v>2</v>
      </c>
      <c r="B3" t="s">
        <v>414</v>
      </c>
      <c r="C3" t="str">
        <f t="shared" ref="C3:C6" si="0">LEFT(B3,6)</f>
        <v>Natash</v>
      </c>
      <c r="D3" t="str">
        <f t="shared" ref="D3:D6" si="1">RIGHT(B3,6)</f>
        <v>547689</v>
      </c>
      <c r="E3" t="str">
        <f t="shared" ref="E3:E6" si="2">MID(B3,5,5)</f>
        <v>sha R</v>
      </c>
      <c r="F3">
        <f t="shared" ref="F3:F6" si="3">FIND("-",B3,1)</f>
        <v>17</v>
      </c>
      <c r="G3" t="str">
        <f t="shared" ref="G3:G6" si="4">LEFT(B3,FIND("-",B3,1)-1)</f>
        <v>Natasha RomanOff</v>
      </c>
    </row>
    <row r="4" spans="1:7" x14ac:dyDescent="0.2">
      <c r="A4">
        <v>3</v>
      </c>
      <c r="B4" t="s">
        <v>415</v>
      </c>
      <c r="C4" t="str">
        <f t="shared" si="0"/>
        <v>Tony S</v>
      </c>
      <c r="D4" t="str">
        <f t="shared" si="1"/>
        <v>347856</v>
      </c>
      <c r="E4" t="str">
        <f t="shared" si="2"/>
        <v xml:space="preserve"> Star</v>
      </c>
      <c r="F4">
        <f t="shared" si="3"/>
        <v>11</v>
      </c>
      <c r="G4" t="str">
        <f t="shared" si="4"/>
        <v>Tony Stark</v>
      </c>
    </row>
    <row r="5" spans="1:7" x14ac:dyDescent="0.2">
      <c r="A5">
        <v>4</v>
      </c>
      <c r="B5" t="s">
        <v>416</v>
      </c>
      <c r="C5" t="str">
        <f t="shared" si="0"/>
        <v>Gamora</v>
      </c>
      <c r="D5" t="str">
        <f t="shared" si="1"/>
        <v>897645</v>
      </c>
      <c r="E5" t="str">
        <f t="shared" si="2"/>
        <v>ra-89</v>
      </c>
      <c r="F5">
        <f t="shared" si="3"/>
        <v>7</v>
      </c>
      <c r="G5" t="str">
        <f t="shared" si="4"/>
        <v>Gamora</v>
      </c>
    </row>
    <row r="6" spans="1:7" x14ac:dyDescent="0.2">
      <c r="A6">
        <v>5</v>
      </c>
      <c r="B6" t="s">
        <v>417</v>
      </c>
      <c r="C6" t="str">
        <f t="shared" si="0"/>
        <v xml:space="preserve">Clint </v>
      </c>
      <c r="D6" t="str">
        <f t="shared" si="1"/>
        <v>452353</v>
      </c>
      <c r="E6" t="str">
        <f t="shared" si="2"/>
        <v>t Bar</v>
      </c>
      <c r="F6">
        <f t="shared" si="3"/>
        <v>13</v>
      </c>
      <c r="G6" t="str">
        <f t="shared" si="4"/>
        <v>Clint Barten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DB006-C00F-5541-9352-436EA2AE4E60}">
  <dimension ref="A1:I7"/>
  <sheetViews>
    <sheetView topLeftCell="C1" zoomScale="167" workbookViewId="0">
      <selection activeCell="H4" sqref="H4"/>
    </sheetView>
  </sheetViews>
  <sheetFormatPr baseColWidth="10" defaultRowHeight="16" x14ac:dyDescent="0.2"/>
  <cols>
    <col min="7" max="8" width="19.1640625" bestFit="1" customWidth="1"/>
  </cols>
  <sheetData>
    <row r="1" spans="1:9" x14ac:dyDescent="0.2">
      <c r="A1" t="s">
        <v>423</v>
      </c>
      <c r="D1" s="33"/>
      <c r="E1" s="33"/>
      <c r="F1" s="33"/>
      <c r="G1" s="33" t="s">
        <v>428</v>
      </c>
      <c r="H1" s="33"/>
      <c r="I1" s="33"/>
    </row>
    <row r="2" spans="1:9" x14ac:dyDescent="0.2">
      <c r="A2" t="s">
        <v>339</v>
      </c>
      <c r="B2" t="s">
        <v>424</v>
      </c>
      <c r="C2" t="s">
        <v>425</v>
      </c>
      <c r="F2" t="s">
        <v>429</v>
      </c>
      <c r="G2" t="s">
        <v>430</v>
      </c>
      <c r="H2" t="s">
        <v>32</v>
      </c>
    </row>
    <row r="3" spans="1:9" x14ac:dyDescent="0.2">
      <c r="A3" t="s">
        <v>248</v>
      </c>
      <c r="B3">
        <v>5</v>
      </c>
      <c r="C3" t="str">
        <f>REPT("*",B3)</f>
        <v>*****</v>
      </c>
      <c r="F3">
        <v>1</v>
      </c>
      <c r="G3" t="s">
        <v>431</v>
      </c>
      <c r="H3" t="str">
        <f>SUBSTITUTE(G3,"-"," " )</f>
        <v>John Smith</v>
      </c>
    </row>
    <row r="4" spans="1:9" x14ac:dyDescent="0.2">
      <c r="A4" t="s">
        <v>426</v>
      </c>
      <c r="B4">
        <v>4</v>
      </c>
      <c r="C4" t="str">
        <f t="shared" ref="C4:C7" si="0">REPT("*",B4)</f>
        <v>****</v>
      </c>
      <c r="F4">
        <v>2</v>
      </c>
      <c r="G4" t="s">
        <v>432</v>
      </c>
      <c r="H4" t="str">
        <f>SUBSTITUTE(G4,"-"," ")</f>
        <v>Mumbai India 400001</v>
      </c>
    </row>
    <row r="5" spans="1:9" x14ac:dyDescent="0.2">
      <c r="A5" t="s">
        <v>427</v>
      </c>
      <c r="B5">
        <v>3</v>
      </c>
      <c r="C5" t="str">
        <f t="shared" si="0"/>
        <v>***</v>
      </c>
      <c r="F5">
        <v>3</v>
      </c>
      <c r="G5" t="s">
        <v>433</v>
      </c>
      <c r="H5" t="str">
        <f>SUBSTITUTE(G5,"."," ")</f>
        <v>Report docx</v>
      </c>
    </row>
    <row r="6" spans="1:9" x14ac:dyDescent="0.2">
      <c r="A6" t="s">
        <v>251</v>
      </c>
      <c r="B6">
        <v>4</v>
      </c>
      <c r="C6" t="str">
        <f t="shared" si="0"/>
        <v>****</v>
      </c>
    </row>
    <row r="7" spans="1:9" x14ac:dyDescent="0.2">
      <c r="A7" t="s">
        <v>252</v>
      </c>
      <c r="B7">
        <v>5</v>
      </c>
      <c r="C7" t="str">
        <f t="shared" si="0"/>
        <v>*****</v>
      </c>
    </row>
  </sheetData>
  <mergeCells count="2">
    <mergeCell ref="D1:F1"/>
    <mergeCell ref="G1:I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6AE5C-B1E6-3A4C-A21F-8DBDB8E2B155}">
  <dimension ref="A1:L9"/>
  <sheetViews>
    <sheetView zoomScale="108" zoomScaleNormal="134" workbookViewId="0">
      <selection activeCell="F4" sqref="F4"/>
    </sheetView>
  </sheetViews>
  <sheetFormatPr baseColWidth="10" defaultRowHeight="16" x14ac:dyDescent="0.2"/>
  <cols>
    <col min="1" max="1" width="12.6640625" bestFit="1" customWidth="1"/>
    <col min="4" max="4" width="16.83203125" bestFit="1" customWidth="1"/>
    <col min="5" max="5" width="17.1640625" bestFit="1" customWidth="1"/>
    <col min="7" max="7" width="12.6640625" bestFit="1" customWidth="1"/>
    <col min="16" max="16" width="12.1640625" bestFit="1" customWidth="1"/>
  </cols>
  <sheetData>
    <row r="1" spans="1:12" x14ac:dyDescent="0.2">
      <c r="A1" t="s">
        <v>434</v>
      </c>
      <c r="B1" t="s">
        <v>435</v>
      </c>
      <c r="C1" t="s">
        <v>436</v>
      </c>
      <c r="D1" t="s">
        <v>442</v>
      </c>
      <c r="E1" t="s">
        <v>443</v>
      </c>
    </row>
    <row r="2" spans="1:12" x14ac:dyDescent="0.2">
      <c r="A2" t="s">
        <v>437</v>
      </c>
      <c r="B2">
        <v>10</v>
      </c>
      <c r="C2">
        <v>10</v>
      </c>
      <c r="D2">
        <f>B2*C2</f>
        <v>100</v>
      </c>
      <c r="E2">
        <f>B2*$C$2</f>
        <v>100</v>
      </c>
    </row>
    <row r="3" spans="1:12" x14ac:dyDescent="0.2">
      <c r="A3" t="s">
        <v>438</v>
      </c>
      <c r="B3">
        <v>20</v>
      </c>
      <c r="C3">
        <v>20</v>
      </c>
      <c r="D3">
        <f t="shared" ref="D3:D6" si="0">B3*C3</f>
        <v>400</v>
      </c>
      <c r="E3">
        <f>B3*$B$3</f>
        <v>400</v>
      </c>
      <c r="G3" s="23"/>
      <c r="H3" s="23"/>
      <c r="I3" s="34" t="s">
        <v>441</v>
      </c>
      <c r="J3" s="34"/>
      <c r="K3" s="34"/>
      <c r="L3" s="34"/>
    </row>
    <row r="4" spans="1:12" x14ac:dyDescent="0.2">
      <c r="A4" t="s">
        <v>300</v>
      </c>
      <c r="B4">
        <v>30</v>
      </c>
      <c r="C4">
        <v>10</v>
      </c>
      <c r="D4">
        <f t="shared" si="0"/>
        <v>300</v>
      </c>
      <c r="E4">
        <f t="shared" ref="E4:E6" si="1">B4*$C$2</f>
        <v>300</v>
      </c>
      <c r="G4" s="23" t="s">
        <v>434</v>
      </c>
      <c r="H4" s="23" t="s">
        <v>435</v>
      </c>
      <c r="I4" s="23">
        <v>10</v>
      </c>
      <c r="J4" s="23">
        <v>20</v>
      </c>
      <c r="K4" s="23">
        <v>30</v>
      </c>
      <c r="L4" s="23">
        <v>40</v>
      </c>
    </row>
    <row r="5" spans="1:12" x14ac:dyDescent="0.2">
      <c r="A5" t="s">
        <v>439</v>
      </c>
      <c r="B5">
        <v>40</v>
      </c>
      <c r="C5">
        <v>30</v>
      </c>
      <c r="D5">
        <f t="shared" si="0"/>
        <v>1200</v>
      </c>
      <c r="E5">
        <f t="shared" si="1"/>
        <v>400</v>
      </c>
      <c r="G5" s="23" t="s">
        <v>437</v>
      </c>
      <c r="H5" s="23">
        <v>10</v>
      </c>
      <c r="I5" s="23">
        <f>$H$5*I4</f>
        <v>100</v>
      </c>
      <c r="J5" s="23">
        <f>$H$5*J4</f>
        <v>200</v>
      </c>
      <c r="K5" s="23">
        <f>$H$5*K4</f>
        <v>300</v>
      </c>
      <c r="L5" s="23">
        <f>$H$5*L4</f>
        <v>400</v>
      </c>
    </row>
    <row r="6" spans="1:12" x14ac:dyDescent="0.2">
      <c r="A6" t="s">
        <v>440</v>
      </c>
      <c r="B6">
        <v>50</v>
      </c>
      <c r="C6">
        <v>10</v>
      </c>
      <c r="D6">
        <f t="shared" si="0"/>
        <v>500</v>
      </c>
      <c r="E6">
        <f t="shared" si="1"/>
        <v>500</v>
      </c>
      <c r="G6" s="23" t="s">
        <v>438</v>
      </c>
      <c r="H6" s="23">
        <v>20</v>
      </c>
      <c r="I6" s="23">
        <f>H6*I4</f>
        <v>200</v>
      </c>
      <c r="J6" s="23">
        <f t="shared" ref="J6:L6" si="2">I6*J4</f>
        <v>4000</v>
      </c>
      <c r="K6" s="23">
        <f t="shared" si="2"/>
        <v>120000</v>
      </c>
      <c r="L6" s="23">
        <f t="shared" si="2"/>
        <v>4800000</v>
      </c>
    </row>
    <row r="7" spans="1:12" x14ac:dyDescent="0.2">
      <c r="G7" s="23" t="s">
        <v>300</v>
      </c>
      <c r="H7" s="23">
        <v>30</v>
      </c>
      <c r="I7" s="24">
        <f t="shared" ref="I7:L9" si="3">$H5*I$4</f>
        <v>100</v>
      </c>
      <c r="J7" s="24">
        <f t="shared" si="3"/>
        <v>200</v>
      </c>
      <c r="K7" s="24">
        <f t="shared" si="3"/>
        <v>300</v>
      </c>
      <c r="L7" s="24">
        <f t="shared" si="3"/>
        <v>400</v>
      </c>
    </row>
    <row r="8" spans="1:12" x14ac:dyDescent="0.2">
      <c r="G8" s="23" t="s">
        <v>439</v>
      </c>
      <c r="H8" s="23">
        <v>40</v>
      </c>
      <c r="I8" s="24">
        <f t="shared" si="3"/>
        <v>200</v>
      </c>
      <c r="J8" s="24">
        <f t="shared" si="3"/>
        <v>400</v>
      </c>
      <c r="K8" s="24">
        <f t="shared" si="3"/>
        <v>600</v>
      </c>
      <c r="L8" s="24">
        <f t="shared" si="3"/>
        <v>800</v>
      </c>
    </row>
    <row r="9" spans="1:12" x14ac:dyDescent="0.2">
      <c r="G9" s="23" t="s">
        <v>440</v>
      </c>
      <c r="H9" s="23">
        <v>50</v>
      </c>
      <c r="I9" s="24">
        <f t="shared" si="3"/>
        <v>300</v>
      </c>
      <c r="J9" s="24">
        <f t="shared" si="3"/>
        <v>600</v>
      </c>
      <c r="K9" s="24">
        <f t="shared" si="3"/>
        <v>900</v>
      </c>
      <c r="L9" s="24">
        <f t="shared" si="3"/>
        <v>1200</v>
      </c>
    </row>
  </sheetData>
  <mergeCells count="1">
    <mergeCell ref="I3:L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9E49F-1D10-174B-9D3E-F427C2FCD714}">
  <dimension ref="A1:I8"/>
  <sheetViews>
    <sheetView workbookViewId="0">
      <selection activeCell="I7" sqref="I7"/>
    </sheetView>
  </sheetViews>
  <sheetFormatPr baseColWidth="10" defaultRowHeight="16" x14ac:dyDescent="0.2"/>
  <cols>
    <col min="7" max="7" width="13.83203125" customWidth="1"/>
    <col min="8" max="8" width="11.5" customWidth="1"/>
  </cols>
  <sheetData>
    <row r="1" spans="1:9" x14ac:dyDescent="0.2">
      <c r="A1" s="35" t="s">
        <v>444</v>
      </c>
      <c r="B1" s="35"/>
      <c r="C1" s="35"/>
      <c r="D1" s="35"/>
      <c r="E1" s="35"/>
      <c r="F1" s="19"/>
      <c r="G1" s="19"/>
      <c r="H1" s="19"/>
    </row>
    <row r="2" spans="1:9" x14ac:dyDescent="0.2">
      <c r="A2" s="26" t="s">
        <v>445</v>
      </c>
      <c r="B2" s="26" t="s">
        <v>446</v>
      </c>
      <c r="C2" s="26" t="s">
        <v>447</v>
      </c>
      <c r="D2" s="26" t="s">
        <v>448</v>
      </c>
      <c r="E2" s="26" t="s">
        <v>449</v>
      </c>
      <c r="F2" s="19"/>
      <c r="G2" s="19" t="s">
        <v>445</v>
      </c>
      <c r="H2" s="19" t="s">
        <v>454</v>
      </c>
    </row>
    <row r="3" spans="1:9" x14ac:dyDescent="0.2">
      <c r="A3" s="27" t="s">
        <v>0</v>
      </c>
      <c r="B3" s="27" t="s">
        <v>450</v>
      </c>
      <c r="C3" s="27" t="s">
        <v>451</v>
      </c>
      <c r="D3" s="27" t="s">
        <v>452</v>
      </c>
      <c r="E3" s="27" t="s">
        <v>453</v>
      </c>
      <c r="F3" s="19"/>
      <c r="G3" s="19" t="s">
        <v>1</v>
      </c>
      <c r="H3" s="19" t="s">
        <v>447</v>
      </c>
      <c r="I3" t="str" cm="1">
        <f t="array" ref="I3">INDEX(A2:E7,G8,H8)</f>
        <v>OPD</v>
      </c>
    </row>
    <row r="4" spans="1:9" x14ac:dyDescent="0.2">
      <c r="A4" s="27" t="s">
        <v>1</v>
      </c>
      <c r="B4" s="27" t="s">
        <v>451</v>
      </c>
      <c r="C4" s="27" t="s">
        <v>452</v>
      </c>
      <c r="D4" s="27" t="s">
        <v>453</v>
      </c>
      <c r="E4" s="27" t="s">
        <v>450</v>
      </c>
      <c r="F4" s="19"/>
      <c r="G4" s="19"/>
      <c r="H4" s="19"/>
    </row>
    <row r="5" spans="1:9" x14ac:dyDescent="0.2">
      <c r="A5" s="27" t="s">
        <v>2</v>
      </c>
      <c r="B5" s="27" t="s">
        <v>452</v>
      </c>
      <c r="C5" s="27" t="s">
        <v>450</v>
      </c>
      <c r="D5" s="27" t="s">
        <v>451</v>
      </c>
      <c r="E5" s="27" t="s">
        <v>453</v>
      </c>
      <c r="F5" s="19"/>
      <c r="G5" s="19"/>
      <c r="H5" s="19"/>
    </row>
    <row r="6" spans="1:9" x14ac:dyDescent="0.2">
      <c r="A6" s="27" t="s">
        <v>3</v>
      </c>
      <c r="B6" s="27" t="s">
        <v>453</v>
      </c>
      <c r="C6" s="27" t="s">
        <v>451</v>
      </c>
      <c r="D6" s="27" t="s">
        <v>450</v>
      </c>
      <c r="E6" s="27" t="s">
        <v>452</v>
      </c>
      <c r="F6" s="19"/>
      <c r="G6" s="19"/>
      <c r="H6" s="19"/>
    </row>
    <row r="7" spans="1:9" x14ac:dyDescent="0.2">
      <c r="A7" s="27" t="s">
        <v>4</v>
      </c>
      <c r="B7" s="27" t="s">
        <v>450</v>
      </c>
      <c r="C7" s="27" t="s">
        <v>453</v>
      </c>
      <c r="D7" s="27" t="s">
        <v>452</v>
      </c>
      <c r="E7" s="27" t="s">
        <v>451</v>
      </c>
      <c r="F7" s="19"/>
      <c r="G7" s="19"/>
      <c r="H7" s="19"/>
    </row>
    <row r="8" spans="1:9" x14ac:dyDescent="0.2">
      <c r="G8">
        <f>MATCH(G3,A3:A7,0)</f>
        <v>2</v>
      </c>
      <c r="H8">
        <f>MATCH(H3,B2:E2,0)</f>
        <v>2</v>
      </c>
    </row>
  </sheetData>
  <mergeCells count="1">
    <mergeCell ref="A1:E1"/>
  </mergeCells>
  <dataValidations count="2">
    <dataValidation type="list" allowBlank="1" showInputMessage="1" showErrorMessage="1" sqref="G3" xr:uid="{CB49694B-EA07-3641-8005-6C6EC90A6074}">
      <formula1>$A$3:$A$7</formula1>
    </dataValidation>
    <dataValidation type="list" allowBlank="1" showInputMessage="1" showErrorMessage="1" sqref="H3" xr:uid="{AC7D54FD-8189-334B-BA47-F5EC1979068A}">
      <formula1>$B$2:$E$2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96FE4-FD1F-5B4F-A41C-6FB7C3975AE7}">
  <dimension ref="A1:D11"/>
  <sheetViews>
    <sheetView zoomScale="125" workbookViewId="0">
      <selection activeCell="D3" sqref="D3"/>
    </sheetView>
  </sheetViews>
  <sheetFormatPr baseColWidth="10" defaultRowHeight="16" x14ac:dyDescent="0.2"/>
  <cols>
    <col min="3" max="3" width="14.6640625" bestFit="1" customWidth="1"/>
  </cols>
  <sheetData>
    <row r="1" spans="1:4" x14ac:dyDescent="0.2">
      <c r="A1" t="s">
        <v>455</v>
      </c>
      <c r="B1" t="s">
        <v>456</v>
      </c>
      <c r="C1" t="s">
        <v>462</v>
      </c>
      <c r="D1" t="s">
        <v>463</v>
      </c>
    </row>
    <row r="2" spans="1:4" x14ac:dyDescent="0.2">
      <c r="A2" t="s">
        <v>437</v>
      </c>
      <c r="B2">
        <v>23</v>
      </c>
      <c r="C2">
        <v>40</v>
      </c>
      <c r="D2" cm="1">
        <f t="array" ref="D2:D6">FREQUENCY(B2:B11,C2:C5)</f>
        <v>2</v>
      </c>
    </row>
    <row r="3" spans="1:4" x14ac:dyDescent="0.2">
      <c r="A3" t="s">
        <v>438</v>
      </c>
      <c r="B3">
        <v>45</v>
      </c>
      <c r="C3">
        <v>60</v>
      </c>
      <c r="D3">
        <v>3</v>
      </c>
    </row>
    <row r="4" spans="1:4" x14ac:dyDescent="0.2">
      <c r="A4" t="s">
        <v>300</v>
      </c>
      <c r="B4">
        <v>56</v>
      </c>
      <c r="C4">
        <v>80</v>
      </c>
      <c r="D4">
        <v>2</v>
      </c>
    </row>
    <row r="5" spans="1:4" x14ac:dyDescent="0.2">
      <c r="A5" t="s">
        <v>439</v>
      </c>
      <c r="B5">
        <v>67</v>
      </c>
      <c r="C5">
        <v>100</v>
      </c>
      <c r="D5">
        <v>3</v>
      </c>
    </row>
    <row r="6" spans="1:4" x14ac:dyDescent="0.2">
      <c r="A6" t="s">
        <v>440</v>
      </c>
      <c r="B6">
        <v>78</v>
      </c>
      <c r="D6">
        <v>0</v>
      </c>
    </row>
    <row r="7" spans="1:4" x14ac:dyDescent="0.2">
      <c r="A7" t="s">
        <v>457</v>
      </c>
      <c r="B7">
        <v>89</v>
      </c>
    </row>
    <row r="8" spans="1:4" x14ac:dyDescent="0.2">
      <c r="A8" t="s">
        <v>458</v>
      </c>
      <c r="B8">
        <v>90</v>
      </c>
    </row>
    <row r="9" spans="1:4" x14ac:dyDescent="0.2">
      <c r="A9" t="s">
        <v>459</v>
      </c>
      <c r="B9">
        <v>35</v>
      </c>
    </row>
    <row r="10" spans="1:4" x14ac:dyDescent="0.2">
      <c r="A10" t="s">
        <v>460</v>
      </c>
      <c r="B10">
        <v>60</v>
      </c>
    </row>
    <row r="11" spans="1:4" x14ac:dyDescent="0.2">
      <c r="A11" t="s">
        <v>461</v>
      </c>
      <c r="B11">
        <v>81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0B1F4-179E-244F-8B91-9E11CA222D40}">
  <dimension ref="A1:M21"/>
  <sheetViews>
    <sheetView zoomScale="157" workbookViewId="0">
      <selection activeCell="M6" sqref="M6"/>
    </sheetView>
  </sheetViews>
  <sheetFormatPr baseColWidth="10" defaultRowHeight="16" x14ac:dyDescent="0.2"/>
  <cols>
    <col min="10" max="10" width="12.6640625" bestFit="1" customWidth="1"/>
    <col min="12" max="12" width="14.6640625" bestFit="1" customWidth="1"/>
  </cols>
  <sheetData>
    <row r="1" spans="1:13" x14ac:dyDescent="0.2">
      <c r="A1" t="s">
        <v>44</v>
      </c>
      <c r="B1" t="s">
        <v>45</v>
      </c>
      <c r="C1" t="s">
        <v>46</v>
      </c>
      <c r="D1" t="s">
        <v>47</v>
      </c>
      <c r="E1" t="s">
        <v>51</v>
      </c>
      <c r="F1" t="s">
        <v>52</v>
      </c>
      <c r="G1" t="s">
        <v>58</v>
      </c>
      <c r="H1" t="s">
        <v>59</v>
      </c>
      <c r="I1" t="s">
        <v>60</v>
      </c>
      <c r="J1" t="s">
        <v>62</v>
      </c>
    </row>
    <row r="2" spans="1:13" x14ac:dyDescent="0.2">
      <c r="A2" t="s">
        <v>64</v>
      </c>
      <c r="B2" t="s">
        <v>65</v>
      </c>
      <c r="C2" t="s">
        <v>66</v>
      </c>
      <c r="D2" t="s">
        <v>67</v>
      </c>
      <c r="E2">
        <v>50000</v>
      </c>
      <c r="F2">
        <v>62000</v>
      </c>
      <c r="G2">
        <v>75000</v>
      </c>
      <c r="H2">
        <v>12000</v>
      </c>
      <c r="I2">
        <v>2</v>
      </c>
      <c r="J2" t="s">
        <v>307</v>
      </c>
    </row>
    <row r="3" spans="1:13" x14ac:dyDescent="0.2">
      <c r="A3" t="s">
        <v>72</v>
      </c>
      <c r="B3" t="s">
        <v>73</v>
      </c>
      <c r="C3" t="s">
        <v>74</v>
      </c>
      <c r="D3" t="s">
        <v>75</v>
      </c>
      <c r="E3">
        <v>30000</v>
      </c>
      <c r="F3">
        <v>28000</v>
      </c>
      <c r="G3">
        <v>58000</v>
      </c>
      <c r="H3">
        <v>4000</v>
      </c>
      <c r="I3">
        <v>5</v>
      </c>
      <c r="J3" t="s">
        <v>78</v>
      </c>
    </row>
    <row r="4" spans="1:13" x14ac:dyDescent="0.2">
      <c r="A4" t="s">
        <v>80</v>
      </c>
      <c r="B4" t="s">
        <v>81</v>
      </c>
      <c r="C4" t="s">
        <v>82</v>
      </c>
      <c r="D4" t="s">
        <v>83</v>
      </c>
      <c r="E4">
        <v>70000</v>
      </c>
      <c r="F4">
        <v>81000</v>
      </c>
      <c r="G4">
        <v>98000</v>
      </c>
      <c r="H4">
        <v>18000</v>
      </c>
      <c r="I4">
        <v>1</v>
      </c>
      <c r="J4" t="s">
        <v>70</v>
      </c>
    </row>
    <row r="5" spans="1:13" x14ac:dyDescent="0.2">
      <c r="A5" t="s">
        <v>87</v>
      </c>
      <c r="B5" t="s">
        <v>88</v>
      </c>
      <c r="C5" t="s">
        <v>89</v>
      </c>
      <c r="D5" t="s">
        <v>90</v>
      </c>
      <c r="E5">
        <v>45000</v>
      </c>
      <c r="F5">
        <v>43000</v>
      </c>
      <c r="G5">
        <v>67000</v>
      </c>
      <c r="H5">
        <v>2000</v>
      </c>
      <c r="I5">
        <v>8</v>
      </c>
      <c r="J5" t="s">
        <v>70</v>
      </c>
    </row>
    <row r="6" spans="1:13" x14ac:dyDescent="0.2">
      <c r="A6" t="s">
        <v>94</v>
      </c>
      <c r="B6" t="s">
        <v>95</v>
      </c>
      <c r="C6" t="s">
        <v>66</v>
      </c>
      <c r="D6" t="s">
        <v>67</v>
      </c>
      <c r="E6">
        <v>55000</v>
      </c>
      <c r="F6">
        <v>55000</v>
      </c>
      <c r="G6">
        <v>82000</v>
      </c>
      <c r="H6">
        <v>10000</v>
      </c>
      <c r="I6">
        <v>0</v>
      </c>
      <c r="J6" t="s">
        <v>70</v>
      </c>
      <c r="L6" s="28" t="s">
        <v>44</v>
      </c>
      <c r="M6" t="s">
        <v>64</v>
      </c>
    </row>
    <row r="7" spans="1:13" x14ac:dyDescent="0.2">
      <c r="A7" t="s">
        <v>99</v>
      </c>
      <c r="B7" t="s">
        <v>100</v>
      </c>
      <c r="C7" t="s">
        <v>101</v>
      </c>
      <c r="D7" t="s">
        <v>75</v>
      </c>
      <c r="E7">
        <v>40000</v>
      </c>
      <c r="F7">
        <v>35000</v>
      </c>
      <c r="G7">
        <v>61000</v>
      </c>
      <c r="H7">
        <v>1000</v>
      </c>
      <c r="I7">
        <v>7</v>
      </c>
      <c r="J7" t="s">
        <v>78</v>
      </c>
      <c r="L7" s="25" t="s">
        <v>45</v>
      </c>
      <c r="M7" t="str">
        <f>LOOKUP(M6,A1:A21,B1:B21)</f>
        <v>Aarav Mehta</v>
      </c>
    </row>
    <row r="8" spans="1:13" x14ac:dyDescent="0.2">
      <c r="A8" t="s">
        <v>105</v>
      </c>
      <c r="B8" t="s">
        <v>106</v>
      </c>
      <c r="C8" t="s">
        <v>82</v>
      </c>
      <c r="D8" t="s">
        <v>83</v>
      </c>
      <c r="E8">
        <v>72000</v>
      </c>
      <c r="F8">
        <v>92000</v>
      </c>
      <c r="G8">
        <v>110000</v>
      </c>
      <c r="H8">
        <v>25000</v>
      </c>
      <c r="I8">
        <v>1</v>
      </c>
      <c r="J8" t="s">
        <v>70</v>
      </c>
    </row>
    <row r="9" spans="1:13" x14ac:dyDescent="0.2">
      <c r="A9" t="s">
        <v>110</v>
      </c>
      <c r="B9" t="s">
        <v>111</v>
      </c>
      <c r="C9" t="s">
        <v>89</v>
      </c>
      <c r="D9" t="s">
        <v>90</v>
      </c>
      <c r="E9">
        <v>38000</v>
      </c>
      <c r="F9">
        <v>22000</v>
      </c>
      <c r="G9">
        <v>54000</v>
      </c>
      <c r="H9">
        <v>0</v>
      </c>
      <c r="I9">
        <v>12</v>
      </c>
      <c r="J9" t="s">
        <v>78</v>
      </c>
    </row>
    <row r="10" spans="1:13" x14ac:dyDescent="0.2">
      <c r="A10" t="s">
        <v>114</v>
      </c>
      <c r="B10" t="s">
        <v>115</v>
      </c>
      <c r="C10" t="s">
        <v>74</v>
      </c>
      <c r="D10" t="s">
        <v>75</v>
      </c>
      <c r="E10">
        <v>31000</v>
      </c>
      <c r="F10">
        <v>30000</v>
      </c>
      <c r="G10">
        <v>60000</v>
      </c>
      <c r="H10">
        <v>3500</v>
      </c>
      <c r="I10">
        <v>3</v>
      </c>
      <c r="J10" t="s">
        <v>70</v>
      </c>
    </row>
    <row r="11" spans="1:13" x14ac:dyDescent="0.2">
      <c r="A11" t="s">
        <v>117</v>
      </c>
      <c r="B11" t="s">
        <v>118</v>
      </c>
      <c r="C11" t="s">
        <v>101</v>
      </c>
      <c r="D11" t="s">
        <v>67</v>
      </c>
      <c r="E11">
        <v>48000</v>
      </c>
      <c r="F11">
        <v>51000</v>
      </c>
      <c r="G11">
        <v>72000</v>
      </c>
      <c r="H11">
        <v>8500</v>
      </c>
      <c r="I11">
        <v>2</v>
      </c>
      <c r="J11" t="s">
        <v>70</v>
      </c>
    </row>
    <row r="12" spans="1:13" x14ac:dyDescent="0.2">
      <c r="A12" t="s">
        <v>121</v>
      </c>
      <c r="B12" t="s">
        <v>122</v>
      </c>
      <c r="C12" t="s">
        <v>66</v>
      </c>
      <c r="D12" t="s">
        <v>83</v>
      </c>
      <c r="E12">
        <v>53000</v>
      </c>
      <c r="F12">
        <v>49000</v>
      </c>
      <c r="G12">
        <v>69000</v>
      </c>
      <c r="H12">
        <v>1500</v>
      </c>
      <c r="I12">
        <v>10</v>
      </c>
      <c r="J12" t="s">
        <v>78</v>
      </c>
    </row>
    <row r="13" spans="1:13" x14ac:dyDescent="0.2">
      <c r="A13" t="s">
        <v>124</v>
      </c>
      <c r="B13" t="s">
        <v>125</v>
      </c>
      <c r="C13" t="s">
        <v>82</v>
      </c>
      <c r="D13" t="s">
        <v>90</v>
      </c>
      <c r="E13">
        <v>85000</v>
      </c>
      <c r="F13">
        <v>99000</v>
      </c>
      <c r="G13">
        <v>125000</v>
      </c>
      <c r="H13">
        <v>30000</v>
      </c>
      <c r="I13">
        <v>0</v>
      </c>
      <c r="J13" t="s">
        <v>70</v>
      </c>
    </row>
    <row r="14" spans="1:13" x14ac:dyDescent="0.2">
      <c r="A14" t="s">
        <v>130</v>
      </c>
      <c r="B14" t="s">
        <v>131</v>
      </c>
      <c r="C14" t="s">
        <v>89</v>
      </c>
      <c r="D14" t="s">
        <v>75</v>
      </c>
      <c r="E14">
        <v>41000</v>
      </c>
      <c r="F14">
        <v>39000</v>
      </c>
      <c r="G14">
        <v>64000</v>
      </c>
      <c r="H14">
        <v>2500</v>
      </c>
      <c r="I14">
        <v>6</v>
      </c>
      <c r="J14" t="s">
        <v>70</v>
      </c>
    </row>
    <row r="15" spans="1:13" x14ac:dyDescent="0.2">
      <c r="A15" t="s">
        <v>134</v>
      </c>
      <c r="B15" t="s">
        <v>135</v>
      </c>
      <c r="C15" t="s">
        <v>74</v>
      </c>
      <c r="D15" t="s">
        <v>83</v>
      </c>
      <c r="E15">
        <v>36000</v>
      </c>
      <c r="F15">
        <v>47000</v>
      </c>
      <c r="G15">
        <v>71000</v>
      </c>
      <c r="H15">
        <v>9500</v>
      </c>
      <c r="I15">
        <v>1</v>
      </c>
      <c r="J15" t="s">
        <v>70</v>
      </c>
    </row>
    <row r="16" spans="1:13" x14ac:dyDescent="0.2">
      <c r="A16" t="s">
        <v>139</v>
      </c>
      <c r="B16" t="s">
        <v>140</v>
      </c>
      <c r="C16" t="s">
        <v>101</v>
      </c>
      <c r="D16" t="s">
        <v>67</v>
      </c>
      <c r="E16">
        <v>50000</v>
      </c>
      <c r="F16">
        <v>32000</v>
      </c>
      <c r="G16">
        <v>59000</v>
      </c>
      <c r="H16">
        <v>500</v>
      </c>
      <c r="I16">
        <v>15</v>
      </c>
      <c r="J16" t="s">
        <v>78</v>
      </c>
    </row>
    <row r="17" spans="1:10" x14ac:dyDescent="0.2">
      <c r="A17" t="s">
        <v>143</v>
      </c>
      <c r="B17" t="s">
        <v>144</v>
      </c>
      <c r="C17" t="s">
        <v>82</v>
      </c>
      <c r="D17" t="s">
        <v>90</v>
      </c>
      <c r="E17">
        <v>78000</v>
      </c>
      <c r="F17">
        <v>80000</v>
      </c>
      <c r="G17">
        <v>102000</v>
      </c>
      <c r="H17">
        <v>14000</v>
      </c>
      <c r="I17">
        <v>2</v>
      </c>
      <c r="J17" t="s">
        <v>70</v>
      </c>
    </row>
    <row r="18" spans="1:10" x14ac:dyDescent="0.2">
      <c r="A18" t="s">
        <v>146</v>
      </c>
      <c r="B18" t="s">
        <v>147</v>
      </c>
      <c r="C18" t="s">
        <v>66</v>
      </c>
      <c r="D18" t="s">
        <v>75</v>
      </c>
      <c r="E18">
        <v>61000</v>
      </c>
      <c r="F18">
        <v>61000</v>
      </c>
      <c r="G18">
        <v>86000</v>
      </c>
      <c r="H18">
        <v>11000</v>
      </c>
      <c r="I18">
        <v>4</v>
      </c>
      <c r="J18" t="s">
        <v>70</v>
      </c>
    </row>
    <row r="19" spans="1:10" x14ac:dyDescent="0.2">
      <c r="A19" t="s">
        <v>150</v>
      </c>
      <c r="B19" t="s">
        <v>151</v>
      </c>
      <c r="C19" t="s">
        <v>89</v>
      </c>
      <c r="D19" t="s">
        <v>83</v>
      </c>
      <c r="E19">
        <v>39000</v>
      </c>
      <c r="F19">
        <v>18000</v>
      </c>
      <c r="G19">
        <v>52000</v>
      </c>
      <c r="H19">
        <v>0</v>
      </c>
      <c r="I19">
        <v>18</v>
      </c>
      <c r="J19" t="s">
        <v>78</v>
      </c>
    </row>
    <row r="20" spans="1:10" x14ac:dyDescent="0.2">
      <c r="A20" t="s">
        <v>154</v>
      </c>
      <c r="B20" t="s">
        <v>155</v>
      </c>
      <c r="C20" t="s">
        <v>74</v>
      </c>
      <c r="D20" t="s">
        <v>67</v>
      </c>
      <c r="E20">
        <v>34000</v>
      </c>
      <c r="F20">
        <v>36000</v>
      </c>
      <c r="G20">
        <v>63000</v>
      </c>
      <c r="H20">
        <v>4200</v>
      </c>
      <c r="I20">
        <v>2</v>
      </c>
      <c r="J20" t="s">
        <v>70</v>
      </c>
    </row>
    <row r="21" spans="1:10" x14ac:dyDescent="0.2">
      <c r="A21" t="s">
        <v>160</v>
      </c>
      <c r="B21" t="s">
        <v>161</v>
      </c>
      <c r="C21" t="s">
        <v>101</v>
      </c>
      <c r="D21" t="s">
        <v>90</v>
      </c>
      <c r="E21">
        <v>46000</v>
      </c>
      <c r="F21">
        <v>60000</v>
      </c>
      <c r="G21">
        <v>88000</v>
      </c>
      <c r="H21">
        <v>16000</v>
      </c>
      <c r="I21">
        <v>1</v>
      </c>
      <c r="J21" t="s">
        <v>307</v>
      </c>
    </row>
  </sheetData>
  <dataValidations count="1">
    <dataValidation type="list" allowBlank="1" showInputMessage="1" showErrorMessage="1" sqref="M6" xr:uid="{F00022D7-BF42-1146-B2BF-A5A86868B202}">
      <formula1>$A$1:$A$21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5656C-03BD-F648-9814-EC2789797EE0}">
  <dimension ref="A1:M29"/>
  <sheetViews>
    <sheetView topLeftCell="A4" zoomScale="113" workbookViewId="0">
      <selection activeCell="I30" sqref="I30"/>
    </sheetView>
  </sheetViews>
  <sheetFormatPr baseColWidth="10" defaultRowHeight="16" x14ac:dyDescent="0.2"/>
  <cols>
    <col min="7" max="7" width="14.6640625" bestFit="1" customWidth="1"/>
    <col min="8" max="8" width="22" customWidth="1"/>
    <col min="9" max="9" width="15" bestFit="1" customWidth="1"/>
    <col min="10" max="10" width="14.6640625" customWidth="1"/>
  </cols>
  <sheetData>
    <row r="1" spans="1:10" x14ac:dyDescent="0.2">
      <c r="A1" t="s">
        <v>44</v>
      </c>
      <c r="B1" t="s">
        <v>45</v>
      </c>
      <c r="C1" t="s">
        <v>46</v>
      </c>
      <c r="D1" t="s">
        <v>47</v>
      </c>
      <c r="E1" t="s">
        <v>51</v>
      </c>
    </row>
    <row r="2" spans="1:10" x14ac:dyDescent="0.2">
      <c r="A2" t="s">
        <v>64</v>
      </c>
      <c r="B2" t="s">
        <v>65</v>
      </c>
      <c r="C2" t="s">
        <v>66</v>
      </c>
      <c r="D2" t="s">
        <v>67</v>
      </c>
      <c r="E2">
        <v>50000</v>
      </c>
    </row>
    <row r="3" spans="1:10" x14ac:dyDescent="0.2">
      <c r="A3" t="s">
        <v>72</v>
      </c>
      <c r="B3" t="s">
        <v>73</v>
      </c>
      <c r="C3" t="s">
        <v>74</v>
      </c>
      <c r="D3" t="s">
        <v>75</v>
      </c>
      <c r="E3">
        <v>30000</v>
      </c>
    </row>
    <row r="4" spans="1:10" x14ac:dyDescent="0.2">
      <c r="A4" t="s">
        <v>80</v>
      </c>
      <c r="B4" t="s">
        <v>81</v>
      </c>
      <c r="C4" t="s">
        <v>82</v>
      </c>
      <c r="D4" t="s">
        <v>83</v>
      </c>
      <c r="E4">
        <v>70000</v>
      </c>
    </row>
    <row r="5" spans="1:10" x14ac:dyDescent="0.2">
      <c r="A5" t="s">
        <v>87</v>
      </c>
      <c r="B5" t="s">
        <v>88</v>
      </c>
      <c r="C5" t="s">
        <v>89</v>
      </c>
      <c r="D5" t="s">
        <v>90</v>
      </c>
      <c r="E5">
        <v>45000</v>
      </c>
      <c r="H5" t="str">
        <f>VLOOKUP($J$17,$A$1:$E$21,ROW()-3,FALSE)</f>
        <v>Aarav Mehta</v>
      </c>
      <c r="J5">
        <f>ROW()</f>
        <v>5</v>
      </c>
    </row>
    <row r="6" spans="1:10" x14ac:dyDescent="0.2">
      <c r="A6" t="s">
        <v>94</v>
      </c>
      <c r="B6" t="s">
        <v>95</v>
      </c>
      <c r="C6" t="s">
        <v>66</v>
      </c>
      <c r="D6" t="s">
        <v>67</v>
      </c>
      <c r="E6">
        <v>55000</v>
      </c>
      <c r="H6" t="str">
        <f>VLOOKUP($J$17,$A$1:$E$21,ROW()-3,FALSE)</f>
        <v>Sales</v>
      </c>
    </row>
    <row r="7" spans="1:10" x14ac:dyDescent="0.2">
      <c r="A7" t="s">
        <v>99</v>
      </c>
      <c r="B7" t="s">
        <v>100</v>
      </c>
      <c r="C7" t="s">
        <v>101</v>
      </c>
      <c r="D7" t="s">
        <v>75</v>
      </c>
      <c r="E7">
        <v>40000</v>
      </c>
      <c r="H7" t="str">
        <f>VLOOKUP($J$17,$A$1:$E$21,ROW()-3,FALSE)</f>
        <v>West</v>
      </c>
    </row>
    <row r="8" spans="1:10" x14ac:dyDescent="0.2">
      <c r="A8" t="s">
        <v>105</v>
      </c>
      <c r="B8" t="s">
        <v>106</v>
      </c>
      <c r="C8" t="s">
        <v>82</v>
      </c>
      <c r="D8" t="s">
        <v>83</v>
      </c>
      <c r="E8">
        <v>72000</v>
      </c>
      <c r="H8" s="29">
        <f>VLOOKUP($J$17,$A$1:$E$21,ROW()-3,FALSE)</f>
        <v>50000</v>
      </c>
    </row>
    <row r="9" spans="1:10" x14ac:dyDescent="0.2">
      <c r="A9" t="s">
        <v>110</v>
      </c>
      <c r="B9" t="s">
        <v>111</v>
      </c>
      <c r="C9" t="s">
        <v>89</v>
      </c>
      <c r="D9" t="s">
        <v>90</v>
      </c>
      <c r="E9">
        <v>38000</v>
      </c>
    </row>
    <row r="10" spans="1:10" x14ac:dyDescent="0.2">
      <c r="A10" t="s">
        <v>114</v>
      </c>
      <c r="B10" t="s">
        <v>115</v>
      </c>
      <c r="C10" t="s">
        <v>74</v>
      </c>
      <c r="D10" t="s">
        <v>75</v>
      </c>
      <c r="E10">
        <v>31000</v>
      </c>
    </row>
    <row r="11" spans="1:10" x14ac:dyDescent="0.2">
      <c r="A11" t="s">
        <v>117</v>
      </c>
      <c r="B11" t="s">
        <v>118</v>
      </c>
      <c r="C11" t="s">
        <v>101</v>
      </c>
      <c r="D11" t="s">
        <v>67</v>
      </c>
      <c r="E11">
        <v>48000</v>
      </c>
    </row>
    <row r="12" spans="1:10" x14ac:dyDescent="0.2">
      <c r="A12" t="s">
        <v>121</v>
      </c>
      <c r="B12" t="s">
        <v>122</v>
      </c>
      <c r="C12" t="s">
        <v>66</v>
      </c>
      <c r="D12" t="s">
        <v>83</v>
      </c>
      <c r="E12">
        <v>53000</v>
      </c>
    </row>
    <row r="13" spans="1:10" x14ac:dyDescent="0.2">
      <c r="A13" t="s">
        <v>124</v>
      </c>
      <c r="B13" t="s">
        <v>125</v>
      </c>
      <c r="C13" t="s">
        <v>82</v>
      </c>
      <c r="D13" t="s">
        <v>90</v>
      </c>
      <c r="E13">
        <v>85000</v>
      </c>
    </row>
    <row r="14" spans="1:10" x14ac:dyDescent="0.2">
      <c r="A14" t="s">
        <v>130</v>
      </c>
      <c r="B14" t="s">
        <v>131</v>
      </c>
      <c r="C14" t="s">
        <v>89</v>
      </c>
      <c r="D14" t="s">
        <v>75</v>
      </c>
      <c r="E14">
        <v>41000</v>
      </c>
    </row>
    <row r="15" spans="1:10" x14ac:dyDescent="0.2">
      <c r="A15" t="s">
        <v>134</v>
      </c>
      <c r="B15" t="s">
        <v>135</v>
      </c>
      <c r="C15" t="s">
        <v>74</v>
      </c>
      <c r="D15" t="s">
        <v>83</v>
      </c>
      <c r="E15">
        <v>36000</v>
      </c>
    </row>
    <row r="16" spans="1:10" x14ac:dyDescent="0.2">
      <c r="A16" t="s">
        <v>139</v>
      </c>
      <c r="B16" t="s">
        <v>140</v>
      </c>
      <c r="C16" t="s">
        <v>101</v>
      </c>
      <c r="D16" t="s">
        <v>67</v>
      </c>
      <c r="E16">
        <v>50000</v>
      </c>
    </row>
    <row r="17" spans="1:13" x14ac:dyDescent="0.2">
      <c r="A17" t="s">
        <v>143</v>
      </c>
      <c r="B17" t="s">
        <v>144</v>
      </c>
      <c r="C17" t="s">
        <v>82</v>
      </c>
      <c r="D17" t="s">
        <v>90</v>
      </c>
      <c r="E17">
        <v>78000</v>
      </c>
      <c r="I17" s="28" t="s">
        <v>44</v>
      </c>
      <c r="J17" t="s">
        <v>64</v>
      </c>
    </row>
    <row r="18" spans="1:13" x14ac:dyDescent="0.2">
      <c r="A18" t="s">
        <v>146</v>
      </c>
      <c r="B18" t="s">
        <v>147</v>
      </c>
      <c r="C18" t="s">
        <v>66</v>
      </c>
      <c r="D18" t="s">
        <v>75</v>
      </c>
      <c r="E18">
        <v>61000</v>
      </c>
      <c r="I18" s="25" t="s">
        <v>45</v>
      </c>
      <c r="J18" t="str">
        <f>VLOOKUP($J$17,$A$1:$E$21,ROW()-16,FALSE)</f>
        <v>Aarav Mehta</v>
      </c>
    </row>
    <row r="19" spans="1:13" x14ac:dyDescent="0.2">
      <c r="A19" t="s">
        <v>150</v>
      </c>
      <c r="B19" t="s">
        <v>151</v>
      </c>
      <c r="C19" t="s">
        <v>89</v>
      </c>
      <c r="D19" t="s">
        <v>83</v>
      </c>
      <c r="E19">
        <v>39000</v>
      </c>
      <c r="I19" s="25" t="s">
        <v>46</v>
      </c>
      <c r="J19" t="str">
        <f t="shared" ref="J19:J21" si="0">VLOOKUP($J$17,$A$1:$E$21,ROW()-16,FALSE)</f>
        <v>Sales</v>
      </c>
    </row>
    <row r="20" spans="1:13" x14ac:dyDescent="0.2">
      <c r="A20" t="s">
        <v>154</v>
      </c>
      <c r="B20" t="s">
        <v>155</v>
      </c>
      <c r="C20" t="s">
        <v>74</v>
      </c>
      <c r="D20" t="s">
        <v>67</v>
      </c>
      <c r="E20">
        <v>34000</v>
      </c>
      <c r="I20" s="25" t="s">
        <v>47</v>
      </c>
      <c r="J20" t="str">
        <f t="shared" si="0"/>
        <v>West</v>
      </c>
    </row>
    <row r="21" spans="1:13" x14ac:dyDescent="0.2">
      <c r="A21" t="s">
        <v>160</v>
      </c>
      <c r="B21" t="s">
        <v>161</v>
      </c>
      <c r="C21" t="s">
        <v>101</v>
      </c>
      <c r="D21" t="s">
        <v>90</v>
      </c>
      <c r="E21">
        <v>46000</v>
      </c>
      <c r="I21" s="25" t="s">
        <v>51</v>
      </c>
      <c r="J21">
        <f t="shared" si="0"/>
        <v>50000</v>
      </c>
    </row>
    <row r="24" spans="1:13" x14ac:dyDescent="0.2">
      <c r="I24" s="28" t="s">
        <v>44</v>
      </c>
      <c r="J24" s="25" t="s">
        <v>45</v>
      </c>
      <c r="K24" s="25" t="s">
        <v>46</v>
      </c>
      <c r="L24" s="25" t="s">
        <v>47</v>
      </c>
      <c r="M24" s="25" t="s">
        <v>51</v>
      </c>
    </row>
    <row r="25" spans="1:13" x14ac:dyDescent="0.2">
      <c r="I25" t="s">
        <v>87</v>
      </c>
      <c r="J25" t="str">
        <f>VLOOKUP($I$25,$A$1:$E$21,COLUMN()-8,FALSE)</f>
        <v>Priya Nair</v>
      </c>
      <c r="K25" t="str">
        <f t="shared" ref="K25:L25" si="1">VLOOKUP($I$25,$A$1:$E$21,COLUMN()-8,FALSE)</f>
        <v>Finance</v>
      </c>
      <c r="L25" t="str">
        <f t="shared" si="1"/>
        <v>East</v>
      </c>
      <c r="M25">
        <f>VLOOKUP($I$25,$A$1:$E$21,COLUMN()-8,FALSE)</f>
        <v>45000</v>
      </c>
    </row>
    <row r="29" spans="1:13" x14ac:dyDescent="0.2">
      <c r="A29">
        <f>COLUMN()</f>
        <v>1</v>
      </c>
      <c r="B29">
        <f>COLUMN()</f>
        <v>2</v>
      </c>
      <c r="C29">
        <f>COLUMN()</f>
        <v>3</v>
      </c>
      <c r="D29">
        <f>COLUMN()</f>
        <v>4</v>
      </c>
      <c r="E29">
        <f>COLUMN()</f>
        <v>5</v>
      </c>
      <c r="F29">
        <f>COLUMN()</f>
        <v>6</v>
      </c>
      <c r="G29">
        <f>COLUMN()</f>
        <v>7</v>
      </c>
      <c r="H29">
        <f>COLUMN()</f>
        <v>8</v>
      </c>
      <c r="I29">
        <f>COLUMN()</f>
        <v>9</v>
      </c>
      <c r="J29">
        <f>COLUMN()</f>
        <v>10</v>
      </c>
      <c r="K29">
        <f>COLUMN()</f>
        <v>11</v>
      </c>
      <c r="L29">
        <f>COLUMN()</f>
        <v>12</v>
      </c>
      <c r="M29">
        <f>COLUMN()</f>
        <v>13</v>
      </c>
    </row>
  </sheetData>
  <dataValidations count="1">
    <dataValidation type="list" allowBlank="1" showInputMessage="1" showErrorMessage="1" sqref="J17 I25" xr:uid="{C3DFBC18-228D-8A40-8384-1AFDA4138829}">
      <formula1>$A$1:$A$21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284FE-AB3C-EA46-82C3-CF73A64583E2}">
  <dimension ref="A1"/>
  <sheetViews>
    <sheetView workbookViewId="0">
      <selection activeCell="G13" sqref="G13"/>
    </sheetView>
  </sheetViews>
  <sheetFormatPr baseColWidth="10" defaultRowHeight="16" x14ac:dyDescent="0.2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00525-6E0D-EC4E-B5AA-A0661B456AB7}">
  <dimension ref="A1:M12"/>
  <sheetViews>
    <sheetView zoomScale="99" workbookViewId="0">
      <selection activeCell="L10" sqref="L10"/>
    </sheetView>
  </sheetViews>
  <sheetFormatPr baseColWidth="10" defaultRowHeight="16" x14ac:dyDescent="0.2"/>
  <sheetData>
    <row r="1" spans="1:13" x14ac:dyDescent="0.2">
      <c r="A1" t="s">
        <v>464</v>
      </c>
      <c r="B1" t="s">
        <v>339</v>
      </c>
      <c r="C1" t="s">
        <v>465</v>
      </c>
      <c r="I1" t="s">
        <v>465</v>
      </c>
      <c r="J1" t="s">
        <v>46</v>
      </c>
    </row>
    <row r="2" spans="1:13" x14ac:dyDescent="0.2">
      <c r="A2">
        <v>1</v>
      </c>
      <c r="B2" t="s">
        <v>248</v>
      </c>
      <c r="C2" t="s">
        <v>466</v>
      </c>
      <c r="I2" t="s">
        <v>466</v>
      </c>
      <c r="J2" t="s">
        <v>74</v>
      </c>
    </row>
    <row r="3" spans="1:13" x14ac:dyDescent="0.2">
      <c r="A3">
        <v>2</v>
      </c>
      <c r="B3" t="s">
        <v>426</v>
      </c>
      <c r="C3" t="s">
        <v>467</v>
      </c>
      <c r="I3" t="s">
        <v>467</v>
      </c>
      <c r="J3" t="s">
        <v>66</v>
      </c>
    </row>
    <row r="4" spans="1:13" x14ac:dyDescent="0.2">
      <c r="A4">
        <v>3</v>
      </c>
      <c r="B4" t="s">
        <v>468</v>
      </c>
      <c r="C4" t="s">
        <v>469</v>
      </c>
      <c r="I4" t="s">
        <v>469</v>
      </c>
      <c r="J4" t="s">
        <v>82</v>
      </c>
    </row>
    <row r="5" spans="1:13" x14ac:dyDescent="0.2">
      <c r="A5">
        <v>4</v>
      </c>
      <c r="B5" t="s">
        <v>470</v>
      </c>
      <c r="C5" t="s">
        <v>466</v>
      </c>
    </row>
    <row r="6" spans="1:13" x14ac:dyDescent="0.2">
      <c r="A6">
        <v>5</v>
      </c>
      <c r="B6" t="s">
        <v>251</v>
      </c>
      <c r="C6" t="s">
        <v>467</v>
      </c>
    </row>
    <row r="8" spans="1:13" x14ac:dyDescent="0.2">
      <c r="E8" t="s">
        <v>464</v>
      </c>
      <c r="F8" t="s">
        <v>46</v>
      </c>
      <c r="L8" t="s">
        <v>471</v>
      </c>
      <c r="M8" t="s">
        <v>472</v>
      </c>
    </row>
    <row r="9" spans="1:13" x14ac:dyDescent="0.2">
      <c r="E9">
        <v>3</v>
      </c>
      <c r="F9" t="s">
        <v>82</v>
      </c>
      <c r="L9">
        <v>3</v>
      </c>
      <c r="M9" t="str">
        <f>VLOOKUP(VLOOKUP(L9,A1:C6,3,FALSE),I1:J4,2,FALSE)</f>
        <v>IT</v>
      </c>
    </row>
    <row r="12" spans="1:13" x14ac:dyDescent="0.2">
      <c r="F12" t="s">
        <v>469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181AF-5457-F14F-BF17-2B2481DF97F8}">
  <dimension ref="A1:P48"/>
  <sheetViews>
    <sheetView topLeftCell="A19" zoomScale="117" workbookViewId="0">
      <selection activeCell="I29" sqref="I29"/>
    </sheetView>
  </sheetViews>
  <sheetFormatPr baseColWidth="10" defaultRowHeight="16" x14ac:dyDescent="0.2"/>
  <cols>
    <col min="1" max="1" width="14.83203125" bestFit="1" customWidth="1"/>
    <col min="8" max="8" width="14.6640625" bestFit="1" customWidth="1"/>
    <col min="12" max="12" width="10.83203125" customWidth="1"/>
    <col min="13" max="13" width="14.6640625" bestFit="1" customWidth="1"/>
    <col min="15" max="15" width="11.1640625" bestFit="1" customWidth="1"/>
    <col min="16" max="16" width="14.83203125" bestFit="1" customWidth="1"/>
  </cols>
  <sheetData>
    <row r="1" spans="1:16" ht="34" x14ac:dyDescent="0.2">
      <c r="A1" t="s">
        <v>45</v>
      </c>
      <c r="B1" t="s">
        <v>46</v>
      </c>
      <c r="C1" t="s">
        <v>47</v>
      </c>
      <c r="D1" t="s">
        <v>51</v>
      </c>
      <c r="E1" t="s">
        <v>44</v>
      </c>
      <c r="H1" s="13" t="s">
        <v>44</v>
      </c>
      <c r="I1" t="s">
        <v>94</v>
      </c>
      <c r="L1" s="30" t="str" cm="1">
        <f t="array" ref="L1:P21">CHOOSE({1,2,3,4,5},E1:$E$21,$A$1:$A$21,$B$1:$B$21,$C$1:$C$21,$D$1:$D$21)</f>
        <v>Employee_ID</v>
      </c>
      <c r="M1" t="str">
        <v>Employee_Name</v>
      </c>
      <c r="N1" t="str">
        <v>Department</v>
      </c>
      <c r="O1" t="str">
        <v>Region</v>
      </c>
      <c r="P1" t="str">
        <v>Sales_Target</v>
      </c>
    </row>
    <row r="2" spans="1:16" x14ac:dyDescent="0.2">
      <c r="A2" t="s">
        <v>65</v>
      </c>
      <c r="B2" t="s">
        <v>66</v>
      </c>
      <c r="C2" t="s">
        <v>67</v>
      </c>
      <c r="D2">
        <v>50000</v>
      </c>
      <c r="E2" t="s">
        <v>64</v>
      </c>
      <c r="H2" t="s">
        <v>45</v>
      </c>
      <c r="I2" t="str">
        <f>VLOOKUP($I$1,_xlfn.ANCHORARRAY($L$1),ROW(),FALSE)</f>
        <v>Aditya Rao</v>
      </c>
      <c r="L2" t="str">
        <v>E001</v>
      </c>
      <c r="M2" t="str">
        <v>Aarav Mehta</v>
      </c>
      <c r="N2" t="str">
        <v>Sales</v>
      </c>
      <c r="O2" t="str">
        <v>West</v>
      </c>
      <c r="P2">
        <v>50000</v>
      </c>
    </row>
    <row r="3" spans="1:16" x14ac:dyDescent="0.2">
      <c r="A3" t="s">
        <v>73</v>
      </c>
      <c r="B3" t="s">
        <v>74</v>
      </c>
      <c r="C3" t="s">
        <v>75</v>
      </c>
      <c r="D3">
        <v>30000</v>
      </c>
      <c r="E3" t="s">
        <v>72</v>
      </c>
      <c r="H3" t="s">
        <v>46</v>
      </c>
      <c r="I3" t="str">
        <f t="shared" ref="I3:I5" si="0">VLOOKUP($I$1,_xlfn.ANCHORARRAY($L$1),ROW(),FALSE)</f>
        <v>Sales</v>
      </c>
      <c r="L3" t="str">
        <v>E002</v>
      </c>
      <c r="M3" t="str">
        <v>Neha Sharma</v>
      </c>
      <c r="N3" t="str">
        <v>HR</v>
      </c>
      <c r="O3" t="str">
        <v>North</v>
      </c>
      <c r="P3">
        <v>30000</v>
      </c>
    </row>
    <row r="4" spans="1:16" x14ac:dyDescent="0.2">
      <c r="A4" t="s">
        <v>81</v>
      </c>
      <c r="B4" t="s">
        <v>82</v>
      </c>
      <c r="C4" t="s">
        <v>83</v>
      </c>
      <c r="D4">
        <v>70000</v>
      </c>
      <c r="E4" t="s">
        <v>80</v>
      </c>
      <c r="H4" t="s">
        <v>47</v>
      </c>
      <c r="I4" t="str">
        <f t="shared" si="0"/>
        <v>West</v>
      </c>
      <c r="L4" t="str">
        <v>E003</v>
      </c>
      <c r="M4" t="str">
        <v>Rohan Iyer</v>
      </c>
      <c r="N4" t="str">
        <v>IT</v>
      </c>
      <c r="O4" t="str">
        <v>South</v>
      </c>
      <c r="P4">
        <v>70000</v>
      </c>
    </row>
    <row r="5" spans="1:16" x14ac:dyDescent="0.2">
      <c r="A5" t="s">
        <v>88</v>
      </c>
      <c r="B5" t="s">
        <v>89</v>
      </c>
      <c r="C5" t="s">
        <v>90</v>
      </c>
      <c r="D5">
        <v>45000</v>
      </c>
      <c r="E5" t="s">
        <v>87</v>
      </c>
      <c r="H5" t="s">
        <v>51</v>
      </c>
      <c r="I5">
        <f t="shared" si="0"/>
        <v>55000</v>
      </c>
      <c r="L5" t="str">
        <v>E004</v>
      </c>
      <c r="M5" t="str">
        <v>Priya Nair</v>
      </c>
      <c r="N5" t="str">
        <v>Finance</v>
      </c>
      <c r="O5" t="str">
        <v>East</v>
      </c>
      <c r="P5">
        <v>45000</v>
      </c>
    </row>
    <row r="6" spans="1:16" x14ac:dyDescent="0.2">
      <c r="A6" t="s">
        <v>95</v>
      </c>
      <c r="B6" t="s">
        <v>66</v>
      </c>
      <c r="C6" t="s">
        <v>67</v>
      </c>
      <c r="D6">
        <v>55000</v>
      </c>
      <c r="E6" t="s">
        <v>94</v>
      </c>
      <c r="L6" t="str">
        <v>E005</v>
      </c>
      <c r="M6" t="str">
        <v>Aditya Rao</v>
      </c>
      <c r="N6" t="str">
        <v>Sales</v>
      </c>
      <c r="O6" t="str">
        <v>West</v>
      </c>
      <c r="P6">
        <v>55000</v>
      </c>
    </row>
    <row r="7" spans="1:16" x14ac:dyDescent="0.2">
      <c r="A7" t="s">
        <v>100</v>
      </c>
      <c r="B7" t="s">
        <v>101</v>
      </c>
      <c r="C7" t="s">
        <v>75</v>
      </c>
      <c r="D7">
        <v>40000</v>
      </c>
      <c r="E7" t="s">
        <v>99</v>
      </c>
      <c r="L7" t="str">
        <v>E006</v>
      </c>
      <c r="M7" t="str">
        <v>Kavya Patel</v>
      </c>
      <c r="N7" t="str">
        <v>Marketing</v>
      </c>
      <c r="O7" t="str">
        <v>North</v>
      </c>
      <c r="P7">
        <v>40000</v>
      </c>
    </row>
    <row r="8" spans="1:16" x14ac:dyDescent="0.2">
      <c r="A8" t="s">
        <v>106</v>
      </c>
      <c r="B8" t="s">
        <v>82</v>
      </c>
      <c r="C8" t="s">
        <v>83</v>
      </c>
      <c r="D8">
        <v>72000</v>
      </c>
      <c r="E8" t="s">
        <v>105</v>
      </c>
      <c r="L8" t="str">
        <v>E007</v>
      </c>
      <c r="M8" t="str">
        <v>Vikram Singh</v>
      </c>
      <c r="N8" t="str">
        <v>IT</v>
      </c>
      <c r="O8" t="str">
        <v>South</v>
      </c>
      <c r="P8">
        <v>72000</v>
      </c>
    </row>
    <row r="9" spans="1:16" x14ac:dyDescent="0.2">
      <c r="A9" t="s">
        <v>111</v>
      </c>
      <c r="B9" t="s">
        <v>89</v>
      </c>
      <c r="C9" t="s">
        <v>90</v>
      </c>
      <c r="D9">
        <v>38000</v>
      </c>
      <c r="E9" t="s">
        <v>110</v>
      </c>
      <c r="L9" t="str">
        <v>E008</v>
      </c>
      <c r="M9" t="str">
        <v>Ananya Das</v>
      </c>
      <c r="N9" t="str">
        <v>Finance</v>
      </c>
      <c r="O9" t="str">
        <v>East</v>
      </c>
      <c r="P9">
        <v>38000</v>
      </c>
    </row>
    <row r="10" spans="1:16" x14ac:dyDescent="0.2">
      <c r="A10" t="s">
        <v>115</v>
      </c>
      <c r="B10" t="s">
        <v>74</v>
      </c>
      <c r="C10" t="s">
        <v>75</v>
      </c>
      <c r="D10">
        <v>31000</v>
      </c>
      <c r="E10" t="s">
        <v>114</v>
      </c>
      <c r="L10" t="str">
        <v>E009</v>
      </c>
      <c r="M10" t="str">
        <v>Rahul Joshi</v>
      </c>
      <c r="N10" t="str">
        <v>HR</v>
      </c>
      <c r="O10" t="str">
        <v>North</v>
      </c>
      <c r="P10">
        <v>31000</v>
      </c>
    </row>
    <row r="11" spans="1:16" x14ac:dyDescent="0.2">
      <c r="A11" t="s">
        <v>118</v>
      </c>
      <c r="B11" t="s">
        <v>101</v>
      </c>
      <c r="C11" t="s">
        <v>67</v>
      </c>
      <c r="D11">
        <v>48000</v>
      </c>
      <c r="E11" t="s">
        <v>117</v>
      </c>
      <c r="L11" t="str">
        <v>E010</v>
      </c>
      <c r="M11" t="str">
        <v>Simran Kaur</v>
      </c>
      <c r="N11" t="str">
        <v>Marketing</v>
      </c>
      <c r="O11" t="str">
        <v>West</v>
      </c>
      <c r="P11">
        <v>48000</v>
      </c>
    </row>
    <row r="12" spans="1:16" x14ac:dyDescent="0.2">
      <c r="A12" t="s">
        <v>122</v>
      </c>
      <c r="B12" t="s">
        <v>66</v>
      </c>
      <c r="C12" t="s">
        <v>83</v>
      </c>
      <c r="D12">
        <v>53000</v>
      </c>
      <c r="E12" t="s">
        <v>121</v>
      </c>
      <c r="G12">
        <v>2</v>
      </c>
      <c r="H12" t="str">
        <f>CHOOSE(G12,"MON","TUE","WED","THRU","FRI","SAT","SUN")</f>
        <v>TUE</v>
      </c>
      <c r="L12" t="str">
        <v>E011</v>
      </c>
      <c r="M12" t="str">
        <v>Arjun Verma</v>
      </c>
      <c r="N12" t="str">
        <v>Sales</v>
      </c>
      <c r="O12" t="str">
        <v>South</v>
      </c>
      <c r="P12">
        <v>53000</v>
      </c>
    </row>
    <row r="13" spans="1:16" x14ac:dyDescent="0.2">
      <c r="A13" t="s">
        <v>125</v>
      </c>
      <c r="B13" t="s">
        <v>82</v>
      </c>
      <c r="C13" t="s">
        <v>90</v>
      </c>
      <c r="D13">
        <v>85000</v>
      </c>
      <c r="E13" t="s">
        <v>124</v>
      </c>
      <c r="L13" t="str">
        <v>E012</v>
      </c>
      <c r="M13" t="str">
        <v>Sneha Kulkarni</v>
      </c>
      <c r="N13" t="str">
        <v>IT</v>
      </c>
      <c r="O13" t="str">
        <v>East</v>
      </c>
      <c r="P13">
        <v>85000</v>
      </c>
    </row>
    <row r="14" spans="1:16" x14ac:dyDescent="0.2">
      <c r="A14" t="s">
        <v>131</v>
      </c>
      <c r="B14" t="s">
        <v>89</v>
      </c>
      <c r="C14" t="s">
        <v>75</v>
      </c>
      <c r="D14">
        <v>41000</v>
      </c>
      <c r="E14" t="s">
        <v>130</v>
      </c>
      <c r="L14" t="str">
        <v>E013</v>
      </c>
      <c r="M14" t="str">
        <v>Manish Gupta</v>
      </c>
      <c r="N14" t="str">
        <v>Finance</v>
      </c>
      <c r="O14" t="str">
        <v>North</v>
      </c>
      <c r="P14">
        <v>41000</v>
      </c>
    </row>
    <row r="15" spans="1:16" x14ac:dyDescent="0.2">
      <c r="A15" t="s">
        <v>135</v>
      </c>
      <c r="B15" t="s">
        <v>74</v>
      </c>
      <c r="C15" t="s">
        <v>83</v>
      </c>
      <c r="D15">
        <v>36000</v>
      </c>
      <c r="E15" t="s">
        <v>134</v>
      </c>
      <c r="H15" s="13" t="s">
        <v>44</v>
      </c>
      <c r="L15" t="str">
        <v>E014</v>
      </c>
      <c r="M15" t="str">
        <v>Pooja Reddy</v>
      </c>
      <c r="N15" t="str">
        <v>HR</v>
      </c>
      <c r="O15" t="str">
        <v>South</v>
      </c>
      <c r="P15">
        <v>36000</v>
      </c>
    </row>
    <row r="16" spans="1:16" x14ac:dyDescent="0.2">
      <c r="A16" t="s">
        <v>140</v>
      </c>
      <c r="B16" t="s">
        <v>101</v>
      </c>
      <c r="C16" t="s">
        <v>67</v>
      </c>
      <c r="D16">
        <v>50000</v>
      </c>
      <c r="E16" t="s">
        <v>139</v>
      </c>
      <c r="H16" t="s">
        <v>45</v>
      </c>
      <c r="L16" t="str">
        <v>E015</v>
      </c>
      <c r="M16" t="str">
        <v>Karan Malhotra</v>
      </c>
      <c r="N16" t="str">
        <v>Marketing</v>
      </c>
      <c r="O16" t="str">
        <v>West</v>
      </c>
      <c r="P16">
        <v>50000</v>
      </c>
    </row>
    <row r="17" spans="1:16" x14ac:dyDescent="0.2">
      <c r="A17" t="s">
        <v>144</v>
      </c>
      <c r="B17" t="s">
        <v>82</v>
      </c>
      <c r="C17" t="s">
        <v>90</v>
      </c>
      <c r="D17">
        <v>78000</v>
      </c>
      <c r="E17" t="s">
        <v>143</v>
      </c>
      <c r="H17" t="s">
        <v>46</v>
      </c>
      <c r="L17" t="str">
        <v>E016</v>
      </c>
      <c r="M17" t="str">
        <v>Isha Banerjee</v>
      </c>
      <c r="N17" t="str">
        <v>IT</v>
      </c>
      <c r="O17" t="str">
        <v>East</v>
      </c>
      <c r="P17">
        <v>78000</v>
      </c>
    </row>
    <row r="18" spans="1:16" x14ac:dyDescent="0.2">
      <c r="A18" t="s">
        <v>147</v>
      </c>
      <c r="B18" t="s">
        <v>66</v>
      </c>
      <c r="C18" t="s">
        <v>75</v>
      </c>
      <c r="D18">
        <v>61000</v>
      </c>
      <c r="E18" t="s">
        <v>146</v>
      </c>
      <c r="H18" t="s">
        <v>47</v>
      </c>
      <c r="L18" t="str">
        <v>E017</v>
      </c>
      <c r="M18" t="str">
        <v>Dev Khanna</v>
      </c>
      <c r="N18" t="str">
        <v>Sales</v>
      </c>
      <c r="O18" t="str">
        <v>North</v>
      </c>
      <c r="P18">
        <v>61000</v>
      </c>
    </row>
    <row r="19" spans="1:16" x14ac:dyDescent="0.2">
      <c r="A19" t="s">
        <v>151</v>
      </c>
      <c r="B19" t="s">
        <v>89</v>
      </c>
      <c r="C19" t="s">
        <v>83</v>
      </c>
      <c r="D19">
        <v>39000</v>
      </c>
      <c r="E19" t="s">
        <v>150</v>
      </c>
      <c r="H19" t="s">
        <v>51</v>
      </c>
      <c r="L19" t="str">
        <v>E018</v>
      </c>
      <c r="M19" t="str">
        <v>Meera Pillai</v>
      </c>
      <c r="N19" t="str">
        <v>Finance</v>
      </c>
      <c r="O19" t="str">
        <v>South</v>
      </c>
      <c r="P19">
        <v>39000</v>
      </c>
    </row>
    <row r="20" spans="1:16" x14ac:dyDescent="0.2">
      <c r="A20" t="s">
        <v>155</v>
      </c>
      <c r="B20" t="s">
        <v>74</v>
      </c>
      <c r="C20" t="s">
        <v>67</v>
      </c>
      <c r="D20">
        <v>34000</v>
      </c>
      <c r="E20" t="s">
        <v>154</v>
      </c>
      <c r="L20" t="str">
        <v>E019</v>
      </c>
      <c r="M20" t="str">
        <v>Yash Thakur</v>
      </c>
      <c r="N20" t="str">
        <v>HR</v>
      </c>
      <c r="O20" t="str">
        <v>West</v>
      </c>
      <c r="P20">
        <v>34000</v>
      </c>
    </row>
    <row r="21" spans="1:16" x14ac:dyDescent="0.2">
      <c r="A21" t="s">
        <v>161</v>
      </c>
      <c r="B21" t="s">
        <v>101</v>
      </c>
      <c r="C21" t="s">
        <v>90</v>
      </c>
      <c r="D21">
        <v>46000</v>
      </c>
      <c r="E21" t="s">
        <v>160</v>
      </c>
      <c r="L21" t="str">
        <v>E020</v>
      </c>
      <c r="M21" t="str">
        <v>Ritika Sen</v>
      </c>
      <c r="N21" t="str">
        <v>Marketing</v>
      </c>
      <c r="O21" t="str">
        <v>East</v>
      </c>
      <c r="P21">
        <v>46000</v>
      </c>
    </row>
    <row r="28" spans="1:16" x14ac:dyDescent="0.2">
      <c r="H28" s="13" t="s">
        <v>44</v>
      </c>
      <c r="I28" t="s">
        <v>99</v>
      </c>
      <c r="L28" t="str" cm="1">
        <f t="array" ref="L28:P48">CHOOSE({1,2,3,4,5},E1:E21,A1:A21,B1:B21,C1:C21,D1:D21)</f>
        <v>Employee_ID</v>
      </c>
      <c r="M28" t="str">
        <v>Employee_Name</v>
      </c>
      <c r="N28" t="str">
        <v>Department</v>
      </c>
      <c r="O28" t="str">
        <v>Region</v>
      </c>
      <c r="P28" t="str">
        <v>Sales_Target</v>
      </c>
    </row>
    <row r="29" spans="1:16" x14ac:dyDescent="0.2">
      <c r="H29" t="s">
        <v>45</v>
      </c>
      <c r="I29" t="str">
        <f>VLOOKUP($I$28,_xlfn.ANCHORARRAY($L$28),ROW()-27,FALSE)</f>
        <v>Kavya Patel</v>
      </c>
      <c r="L29" t="str">
        <v>E001</v>
      </c>
      <c r="M29" t="str">
        <v>Aarav Mehta</v>
      </c>
      <c r="N29" t="str">
        <v>Sales</v>
      </c>
      <c r="O29" t="str">
        <v>West</v>
      </c>
      <c r="P29">
        <v>50000</v>
      </c>
    </row>
    <row r="30" spans="1:16" x14ac:dyDescent="0.2">
      <c r="H30" t="s">
        <v>46</v>
      </c>
      <c r="I30" t="str">
        <f t="shared" ref="I30:I32" si="1">VLOOKUP($I$28,_xlfn.ANCHORARRAY($L$28),ROW()-27,FALSE)</f>
        <v>Marketing</v>
      </c>
      <c r="L30" t="str">
        <v>E002</v>
      </c>
      <c r="M30" t="str">
        <v>Neha Sharma</v>
      </c>
      <c r="N30" t="str">
        <v>HR</v>
      </c>
      <c r="O30" t="str">
        <v>North</v>
      </c>
      <c r="P30">
        <v>30000</v>
      </c>
    </row>
    <row r="31" spans="1:16" x14ac:dyDescent="0.2">
      <c r="H31" t="s">
        <v>47</v>
      </c>
      <c r="I31" t="str">
        <f t="shared" si="1"/>
        <v>North</v>
      </c>
      <c r="L31" t="str">
        <v>E003</v>
      </c>
      <c r="M31" t="str">
        <v>Rohan Iyer</v>
      </c>
      <c r="N31" t="str">
        <v>IT</v>
      </c>
      <c r="O31" t="str">
        <v>South</v>
      </c>
      <c r="P31">
        <v>70000</v>
      </c>
    </row>
    <row r="32" spans="1:16" x14ac:dyDescent="0.2">
      <c r="H32" t="s">
        <v>51</v>
      </c>
      <c r="I32">
        <f t="shared" si="1"/>
        <v>40000</v>
      </c>
      <c r="L32" t="str">
        <v>E004</v>
      </c>
      <c r="M32" t="str">
        <v>Priya Nair</v>
      </c>
      <c r="N32" t="str">
        <v>Finance</v>
      </c>
      <c r="O32" t="str">
        <v>East</v>
      </c>
      <c r="P32">
        <v>45000</v>
      </c>
    </row>
    <row r="33" spans="7:16" x14ac:dyDescent="0.2">
      <c r="L33" t="str">
        <v>E005</v>
      </c>
      <c r="M33" t="str">
        <v>Aditya Rao</v>
      </c>
      <c r="N33" t="str">
        <v>Sales</v>
      </c>
      <c r="O33" t="str">
        <v>West</v>
      </c>
      <c r="P33">
        <v>55000</v>
      </c>
    </row>
    <row r="34" spans="7:16" x14ac:dyDescent="0.2">
      <c r="L34" t="str">
        <v>E006</v>
      </c>
      <c r="M34" t="str">
        <v>Kavya Patel</v>
      </c>
      <c r="N34" t="str">
        <v>Marketing</v>
      </c>
      <c r="O34" t="str">
        <v>North</v>
      </c>
      <c r="P34">
        <v>40000</v>
      </c>
    </row>
    <row r="35" spans="7:16" x14ac:dyDescent="0.2">
      <c r="G35">
        <v>3</v>
      </c>
      <c r="H35" t="str">
        <f>CHOOSE(G35,"MON","TUE","WED","THU","FRI","SAT","SUN")</f>
        <v>WED</v>
      </c>
      <c r="L35" t="str">
        <v>E007</v>
      </c>
      <c r="M35" t="str">
        <v>Vikram Singh</v>
      </c>
      <c r="N35" t="str">
        <v>IT</v>
      </c>
      <c r="O35" t="str">
        <v>South</v>
      </c>
      <c r="P35">
        <v>72000</v>
      </c>
    </row>
    <row r="36" spans="7:16" x14ac:dyDescent="0.2">
      <c r="L36" t="str">
        <v>E008</v>
      </c>
      <c r="M36" t="str">
        <v>Ananya Das</v>
      </c>
      <c r="N36" t="str">
        <v>Finance</v>
      </c>
      <c r="O36" t="str">
        <v>East</v>
      </c>
      <c r="P36">
        <v>38000</v>
      </c>
    </row>
    <row r="37" spans="7:16" x14ac:dyDescent="0.2">
      <c r="L37" t="str">
        <v>E009</v>
      </c>
      <c r="M37" t="str">
        <v>Rahul Joshi</v>
      </c>
      <c r="N37" t="str">
        <v>HR</v>
      </c>
      <c r="O37" t="str">
        <v>North</v>
      </c>
      <c r="P37">
        <v>31000</v>
      </c>
    </row>
    <row r="38" spans="7:16" x14ac:dyDescent="0.2">
      <c r="L38" t="str">
        <v>E010</v>
      </c>
      <c r="M38" t="str">
        <v>Simran Kaur</v>
      </c>
      <c r="N38" t="str">
        <v>Marketing</v>
      </c>
      <c r="O38" t="str">
        <v>West</v>
      </c>
      <c r="P38">
        <v>48000</v>
      </c>
    </row>
    <row r="39" spans="7:16" x14ac:dyDescent="0.2">
      <c r="L39" t="str">
        <v>E011</v>
      </c>
      <c r="M39" t="str">
        <v>Arjun Verma</v>
      </c>
      <c r="N39" t="str">
        <v>Sales</v>
      </c>
      <c r="O39" t="str">
        <v>South</v>
      </c>
      <c r="P39">
        <v>53000</v>
      </c>
    </row>
    <row r="40" spans="7:16" x14ac:dyDescent="0.2">
      <c r="L40" t="str">
        <v>E012</v>
      </c>
      <c r="M40" t="str">
        <v>Sneha Kulkarni</v>
      </c>
      <c r="N40" t="str">
        <v>IT</v>
      </c>
      <c r="O40" t="str">
        <v>East</v>
      </c>
      <c r="P40">
        <v>85000</v>
      </c>
    </row>
    <row r="41" spans="7:16" x14ac:dyDescent="0.2">
      <c r="L41" t="str">
        <v>E013</v>
      </c>
      <c r="M41" t="str">
        <v>Manish Gupta</v>
      </c>
      <c r="N41" t="str">
        <v>Finance</v>
      </c>
      <c r="O41" t="str">
        <v>North</v>
      </c>
      <c r="P41">
        <v>41000</v>
      </c>
    </row>
    <row r="42" spans="7:16" x14ac:dyDescent="0.2">
      <c r="L42" t="str">
        <v>E014</v>
      </c>
      <c r="M42" t="str">
        <v>Pooja Reddy</v>
      </c>
      <c r="N42" t="str">
        <v>HR</v>
      </c>
      <c r="O42" t="str">
        <v>South</v>
      </c>
      <c r="P42">
        <v>36000</v>
      </c>
    </row>
    <row r="43" spans="7:16" x14ac:dyDescent="0.2">
      <c r="L43" t="str">
        <v>E015</v>
      </c>
      <c r="M43" t="str">
        <v>Karan Malhotra</v>
      </c>
      <c r="N43" t="str">
        <v>Marketing</v>
      </c>
      <c r="O43" t="str">
        <v>West</v>
      </c>
      <c r="P43">
        <v>50000</v>
      </c>
    </row>
    <row r="44" spans="7:16" x14ac:dyDescent="0.2">
      <c r="L44" t="str">
        <v>E016</v>
      </c>
      <c r="M44" t="str">
        <v>Isha Banerjee</v>
      </c>
      <c r="N44" t="str">
        <v>IT</v>
      </c>
      <c r="O44" t="str">
        <v>East</v>
      </c>
      <c r="P44">
        <v>78000</v>
      </c>
    </row>
    <row r="45" spans="7:16" x14ac:dyDescent="0.2">
      <c r="L45" t="str">
        <v>E017</v>
      </c>
      <c r="M45" t="str">
        <v>Dev Khanna</v>
      </c>
      <c r="N45" t="str">
        <v>Sales</v>
      </c>
      <c r="O45" t="str">
        <v>North</v>
      </c>
      <c r="P45">
        <v>61000</v>
      </c>
    </row>
    <row r="46" spans="7:16" x14ac:dyDescent="0.2">
      <c r="L46" t="str">
        <v>E018</v>
      </c>
      <c r="M46" t="str">
        <v>Meera Pillai</v>
      </c>
      <c r="N46" t="str">
        <v>Finance</v>
      </c>
      <c r="O46" t="str">
        <v>South</v>
      </c>
      <c r="P46">
        <v>39000</v>
      </c>
    </row>
    <row r="47" spans="7:16" x14ac:dyDescent="0.2">
      <c r="L47" t="str">
        <v>E019</v>
      </c>
      <c r="M47" t="str">
        <v>Yash Thakur</v>
      </c>
      <c r="N47" t="str">
        <v>HR</v>
      </c>
      <c r="O47" t="str">
        <v>West</v>
      </c>
      <c r="P47">
        <v>34000</v>
      </c>
    </row>
    <row r="48" spans="7:16" x14ac:dyDescent="0.2">
      <c r="L48" t="str">
        <v>E020</v>
      </c>
      <c r="M48" t="str">
        <v>Ritika Sen</v>
      </c>
      <c r="N48" t="str">
        <v>Marketing</v>
      </c>
      <c r="O48" t="str">
        <v>East</v>
      </c>
      <c r="P48">
        <v>46000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F5F76-5B0B-3C41-9EA2-F654EBFF7C8C}">
  <dimension ref="A1:M28"/>
  <sheetViews>
    <sheetView zoomScale="106" zoomScaleNormal="107" workbookViewId="0">
      <selection activeCell="J19" sqref="J19"/>
    </sheetView>
  </sheetViews>
  <sheetFormatPr baseColWidth="10" defaultRowHeight="16" x14ac:dyDescent="0.2"/>
  <cols>
    <col min="9" max="9" width="16.6640625" customWidth="1"/>
    <col min="10" max="10" width="11.6640625" bestFit="1" customWidth="1"/>
    <col min="13" max="13" width="15.33203125" bestFit="1" customWidth="1"/>
    <col min="14" max="14" width="13.83203125" customWidth="1"/>
  </cols>
  <sheetData>
    <row r="1" spans="1:13" x14ac:dyDescent="0.2">
      <c r="A1" t="s">
        <v>44</v>
      </c>
      <c r="B1" t="s">
        <v>473</v>
      </c>
      <c r="C1" t="s">
        <v>45</v>
      </c>
      <c r="D1" t="s">
        <v>46</v>
      </c>
      <c r="E1" t="s">
        <v>47</v>
      </c>
      <c r="F1" t="s">
        <v>51</v>
      </c>
    </row>
    <row r="2" spans="1:13" x14ac:dyDescent="0.2">
      <c r="A2" t="s">
        <v>64</v>
      </c>
      <c r="B2" t="s">
        <v>474</v>
      </c>
      <c r="C2" t="s">
        <v>65</v>
      </c>
      <c r="D2" t="s">
        <v>66</v>
      </c>
      <c r="E2" t="s">
        <v>67</v>
      </c>
      <c r="F2">
        <v>50000</v>
      </c>
    </row>
    <row r="3" spans="1:13" x14ac:dyDescent="0.2">
      <c r="A3" t="s">
        <v>72</v>
      </c>
      <c r="B3" t="s">
        <v>475</v>
      </c>
      <c r="C3" t="s">
        <v>73</v>
      </c>
      <c r="D3" t="s">
        <v>74</v>
      </c>
      <c r="E3" t="s">
        <v>75</v>
      </c>
      <c r="F3">
        <v>30000</v>
      </c>
    </row>
    <row r="4" spans="1:13" x14ac:dyDescent="0.2">
      <c r="A4" t="s">
        <v>80</v>
      </c>
      <c r="B4" t="s">
        <v>476</v>
      </c>
      <c r="C4" t="s">
        <v>81</v>
      </c>
      <c r="D4" t="s">
        <v>82</v>
      </c>
      <c r="E4" t="s">
        <v>83</v>
      </c>
      <c r="F4">
        <v>70000</v>
      </c>
      <c r="I4" s="13"/>
      <c r="J4" s="13"/>
    </row>
    <row r="5" spans="1:13" x14ac:dyDescent="0.2">
      <c r="A5" t="s">
        <v>87</v>
      </c>
      <c r="B5" t="s">
        <v>477</v>
      </c>
      <c r="C5" t="s">
        <v>88</v>
      </c>
      <c r="D5" t="s">
        <v>89</v>
      </c>
      <c r="E5" t="s">
        <v>90</v>
      </c>
      <c r="F5">
        <v>45000</v>
      </c>
    </row>
    <row r="6" spans="1:13" x14ac:dyDescent="0.2">
      <c r="A6" t="s">
        <v>94</v>
      </c>
      <c r="B6" t="s">
        <v>478</v>
      </c>
      <c r="C6" t="s">
        <v>95</v>
      </c>
      <c r="D6" t="s">
        <v>66</v>
      </c>
      <c r="E6" t="s">
        <v>67</v>
      </c>
      <c r="F6">
        <v>55000</v>
      </c>
    </row>
    <row r="7" spans="1:13" x14ac:dyDescent="0.2">
      <c r="A7" t="s">
        <v>99</v>
      </c>
      <c r="B7" t="s">
        <v>479</v>
      </c>
      <c r="C7" t="s">
        <v>100</v>
      </c>
      <c r="D7" t="s">
        <v>101</v>
      </c>
      <c r="E7" t="s">
        <v>75</v>
      </c>
      <c r="F7">
        <v>40000</v>
      </c>
    </row>
    <row r="8" spans="1:13" x14ac:dyDescent="0.2">
      <c r="A8" t="s">
        <v>105</v>
      </c>
      <c r="B8" t="s">
        <v>480</v>
      </c>
      <c r="C8" t="s">
        <v>106</v>
      </c>
      <c r="D8" t="s">
        <v>82</v>
      </c>
      <c r="E8" t="s">
        <v>83</v>
      </c>
      <c r="F8">
        <v>72000</v>
      </c>
    </row>
    <row r="9" spans="1:13" x14ac:dyDescent="0.2">
      <c r="A9" t="s">
        <v>110</v>
      </c>
      <c r="B9" t="s">
        <v>481</v>
      </c>
      <c r="C9" t="s">
        <v>111</v>
      </c>
      <c r="D9" t="s">
        <v>89</v>
      </c>
      <c r="E9" t="s">
        <v>90</v>
      </c>
      <c r="F9">
        <v>38000</v>
      </c>
    </row>
    <row r="10" spans="1:13" x14ac:dyDescent="0.2">
      <c r="A10" t="s">
        <v>114</v>
      </c>
      <c r="B10" t="s">
        <v>482</v>
      </c>
      <c r="C10" t="s">
        <v>115</v>
      </c>
      <c r="D10" t="s">
        <v>74</v>
      </c>
      <c r="E10" t="s">
        <v>75</v>
      </c>
      <c r="F10">
        <v>31000</v>
      </c>
      <c r="H10">
        <f>MATCH(I10,A1:F1,0)</f>
        <v>2</v>
      </c>
      <c r="I10" s="13" t="s">
        <v>473</v>
      </c>
      <c r="J10" t="s">
        <v>80</v>
      </c>
      <c r="M10" s="13"/>
    </row>
    <row r="11" spans="1:13" x14ac:dyDescent="0.2">
      <c r="A11" t="s">
        <v>117</v>
      </c>
      <c r="B11" t="s">
        <v>483</v>
      </c>
      <c r="C11" t="s">
        <v>118</v>
      </c>
      <c r="D11" t="s">
        <v>101</v>
      </c>
      <c r="E11" t="s">
        <v>67</v>
      </c>
      <c r="F11">
        <v>48000</v>
      </c>
      <c r="I11" s="25" t="s">
        <v>45</v>
      </c>
      <c r="J11" t="str">
        <f>IFERROR(VLOOKUP($J$10,$A$1:$F$21,ROW()-8,FALSE),VLOOKUP($J$10,$B$1:$F$21,ROW()-9,FALSE))</f>
        <v>Rohan Iyer</v>
      </c>
      <c r="M11" s="25"/>
    </row>
    <row r="12" spans="1:13" x14ac:dyDescent="0.2">
      <c r="A12" t="s">
        <v>121</v>
      </c>
      <c r="B12" t="s">
        <v>484</v>
      </c>
      <c r="C12" t="s">
        <v>122</v>
      </c>
      <c r="D12" t="s">
        <v>66</v>
      </c>
      <c r="E12" t="s">
        <v>83</v>
      </c>
      <c r="F12">
        <v>53000</v>
      </c>
      <c r="I12" s="25" t="s">
        <v>46</v>
      </c>
      <c r="J12" t="str">
        <f t="shared" ref="J12:J14" si="0">IFERROR(VLOOKUP($J$10,$A$1:$F$21,ROW()-8,FALSE),VLOOKUP($J$10,$B$1:$F$21,ROW()-9,FALSE))</f>
        <v>IT</v>
      </c>
      <c r="M12" s="25"/>
    </row>
    <row r="13" spans="1:13" x14ac:dyDescent="0.2">
      <c r="A13" t="s">
        <v>124</v>
      </c>
      <c r="B13" t="s">
        <v>485</v>
      </c>
      <c r="C13" t="s">
        <v>125</v>
      </c>
      <c r="D13" t="s">
        <v>82</v>
      </c>
      <c r="E13" t="s">
        <v>90</v>
      </c>
      <c r="F13">
        <v>85000</v>
      </c>
      <c r="I13" s="25" t="s">
        <v>47</v>
      </c>
      <c r="J13" t="str">
        <f t="shared" si="0"/>
        <v>South</v>
      </c>
      <c r="M13" s="25"/>
    </row>
    <row r="14" spans="1:13" x14ac:dyDescent="0.2">
      <c r="A14" t="s">
        <v>130</v>
      </c>
      <c r="B14" t="s">
        <v>486</v>
      </c>
      <c r="C14" t="s">
        <v>131</v>
      </c>
      <c r="D14" t="s">
        <v>89</v>
      </c>
      <c r="E14" t="s">
        <v>75</v>
      </c>
      <c r="F14">
        <v>41000</v>
      </c>
      <c r="I14" s="25" t="s">
        <v>51</v>
      </c>
      <c r="J14">
        <f t="shared" si="0"/>
        <v>70000</v>
      </c>
      <c r="M14" s="25"/>
    </row>
    <row r="15" spans="1:13" x14ac:dyDescent="0.2">
      <c r="A15" t="s">
        <v>134</v>
      </c>
      <c r="B15" t="s">
        <v>487</v>
      </c>
      <c r="C15" t="s">
        <v>135</v>
      </c>
      <c r="D15" t="s">
        <v>74</v>
      </c>
      <c r="E15" t="s">
        <v>83</v>
      </c>
      <c r="F15">
        <v>36000</v>
      </c>
    </row>
    <row r="16" spans="1:13" x14ac:dyDescent="0.2">
      <c r="A16" t="s">
        <v>139</v>
      </c>
      <c r="B16" t="s">
        <v>488</v>
      </c>
      <c r="C16" t="s">
        <v>140</v>
      </c>
      <c r="D16" t="s">
        <v>101</v>
      </c>
      <c r="E16" t="s">
        <v>67</v>
      </c>
      <c r="F16">
        <v>50000</v>
      </c>
    </row>
    <row r="17" spans="1:10" x14ac:dyDescent="0.2">
      <c r="A17" t="s">
        <v>143</v>
      </c>
      <c r="B17" t="s">
        <v>489</v>
      </c>
      <c r="C17" t="s">
        <v>144</v>
      </c>
      <c r="D17" t="s">
        <v>82</v>
      </c>
      <c r="E17" t="s">
        <v>90</v>
      </c>
      <c r="F17">
        <v>78000</v>
      </c>
    </row>
    <row r="18" spans="1:10" x14ac:dyDescent="0.2">
      <c r="A18" t="s">
        <v>146</v>
      </c>
      <c r="B18" t="s">
        <v>490</v>
      </c>
      <c r="C18" t="s">
        <v>147</v>
      </c>
      <c r="D18" t="s">
        <v>66</v>
      </c>
      <c r="E18" t="s">
        <v>75</v>
      </c>
      <c r="F18">
        <v>61000</v>
      </c>
    </row>
    <row r="19" spans="1:10" x14ac:dyDescent="0.2">
      <c r="A19" t="s">
        <v>150</v>
      </c>
      <c r="B19" t="s">
        <v>491</v>
      </c>
      <c r="C19" t="s">
        <v>151</v>
      </c>
      <c r="D19" t="s">
        <v>89</v>
      </c>
      <c r="E19" t="s">
        <v>83</v>
      </c>
      <c r="F19">
        <v>39000</v>
      </c>
      <c r="H19">
        <f>MATCH(I19,A1:F1,0)</f>
        <v>1</v>
      </c>
      <c r="I19" s="13" t="s">
        <v>44</v>
      </c>
      <c r="J19" t="s">
        <v>105</v>
      </c>
    </row>
    <row r="20" spans="1:10" x14ac:dyDescent="0.2">
      <c r="A20" t="s">
        <v>154</v>
      </c>
      <c r="B20" t="s">
        <v>492</v>
      </c>
      <c r="C20" t="s">
        <v>155</v>
      </c>
      <c r="D20" t="s">
        <v>74</v>
      </c>
      <c r="E20" t="s">
        <v>67</v>
      </c>
      <c r="F20">
        <v>34000</v>
      </c>
      <c r="I20" s="25" t="s">
        <v>45</v>
      </c>
      <c r="J20" t="str">
        <f>IFERROR(VLOOKUP($J$19,$A$1:$F$21,ROW()-17,FALSE),VLOOKUP($J$19,$B$1:$F$21,ROW()-18,FALSE))</f>
        <v>Vikram Singh</v>
      </c>
    </row>
    <row r="21" spans="1:10" x14ac:dyDescent="0.2">
      <c r="A21" t="s">
        <v>160</v>
      </c>
      <c r="B21" t="s">
        <v>493</v>
      </c>
      <c r="C21" t="s">
        <v>161</v>
      </c>
      <c r="D21" t="s">
        <v>101</v>
      </c>
      <c r="E21" t="s">
        <v>90</v>
      </c>
      <c r="F21">
        <v>46000</v>
      </c>
      <c r="I21" s="25" t="s">
        <v>46</v>
      </c>
      <c r="J21" t="str">
        <f t="shared" ref="J21:J23" si="1">IFERROR(VLOOKUP($J$19,$A$1:$F$21,ROW()-17,FALSE),VLOOKUP($J$19,$B$1:$F$21,ROW()-18,FALSE))</f>
        <v>IT</v>
      </c>
    </row>
    <row r="22" spans="1:10" x14ac:dyDescent="0.2">
      <c r="I22" s="25" t="s">
        <v>47</v>
      </c>
      <c r="J22" t="str">
        <f t="shared" si="1"/>
        <v>South</v>
      </c>
    </row>
    <row r="23" spans="1:10" x14ac:dyDescent="0.2">
      <c r="I23" s="25" t="s">
        <v>51</v>
      </c>
      <c r="J23">
        <f t="shared" si="1"/>
        <v>72000</v>
      </c>
    </row>
    <row r="24" spans="1:10" x14ac:dyDescent="0.2">
      <c r="I24" s="13"/>
    </row>
    <row r="25" spans="1:10" x14ac:dyDescent="0.2">
      <c r="I25" s="25"/>
    </row>
    <row r="26" spans="1:10" x14ac:dyDescent="0.2">
      <c r="I26" s="25"/>
    </row>
    <row r="27" spans="1:10" x14ac:dyDescent="0.2">
      <c r="I27" s="25"/>
    </row>
    <row r="28" spans="1:10" x14ac:dyDescent="0.2">
      <c r="I28" s="25"/>
    </row>
  </sheetData>
  <dataValidations count="4">
    <dataValidation type="list" allowBlank="1" showInputMessage="1" showErrorMessage="1" sqref="I10 M10 I24 I19" xr:uid="{3AA1F858-C56B-5B40-B94B-43A7D9782CD9}">
      <formula1>$A$1:$B$1</formula1>
    </dataValidation>
    <dataValidation type="list" allowBlank="1" showInputMessage="1" showErrorMessage="1" sqref="J10" xr:uid="{91AD8762-3E03-AD48-97AB-0C5F9BED0745}">
      <formula1>INDEX(A1:F21,,MATCH(I10,A1:F1,0))</formula1>
    </dataValidation>
    <dataValidation type="list" allowBlank="1" showInputMessage="1" showErrorMessage="1" sqref="J24" xr:uid="{A3772E0A-C6A1-2A43-84F9-E7932F9ABB11}">
      <formula1>$A:$A</formula1>
    </dataValidation>
    <dataValidation type="list" allowBlank="1" showInputMessage="1" showErrorMessage="1" sqref="J19" xr:uid="{08DB8B13-22D6-3B4D-BAF3-AFBB15BE0CE4}">
      <formula1>INDEX(A1:F21,,MATCH(I19,A1:F1,0))</formula1>
    </dataValidation>
  </dataValidation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6977A-2454-3449-B24A-26E0D96ED016}">
  <dimension ref="A1:M17"/>
  <sheetViews>
    <sheetView topLeftCell="D1" zoomScale="150" workbookViewId="0">
      <selection activeCell="N12" sqref="N12"/>
    </sheetView>
  </sheetViews>
  <sheetFormatPr baseColWidth="10" defaultRowHeight="16" x14ac:dyDescent="0.2"/>
  <cols>
    <col min="8" max="8" width="12.33203125" bestFit="1" customWidth="1"/>
  </cols>
  <sheetData>
    <row r="1" spans="1:13" x14ac:dyDescent="0.2">
      <c r="B1" t="s">
        <v>494</v>
      </c>
      <c r="G1" t="s">
        <v>495</v>
      </c>
      <c r="L1" t="s">
        <v>496</v>
      </c>
    </row>
    <row r="2" spans="1:13" x14ac:dyDescent="0.2">
      <c r="A2" t="s">
        <v>497</v>
      </c>
      <c r="B2" t="s">
        <v>498</v>
      </c>
      <c r="C2" t="s">
        <v>499</v>
      </c>
      <c r="F2" t="s">
        <v>497</v>
      </c>
      <c r="G2" t="s">
        <v>498</v>
      </c>
      <c r="H2" t="s">
        <v>499</v>
      </c>
      <c r="K2" t="s">
        <v>497</v>
      </c>
      <c r="L2" t="s">
        <v>498</v>
      </c>
      <c r="M2" t="s">
        <v>499</v>
      </c>
    </row>
    <row r="3" spans="1:13" x14ac:dyDescent="0.2">
      <c r="A3">
        <v>3001</v>
      </c>
      <c r="B3" t="s">
        <v>500</v>
      </c>
      <c r="C3" t="s">
        <v>501</v>
      </c>
      <c r="F3">
        <v>3011</v>
      </c>
      <c r="G3" t="s">
        <v>502</v>
      </c>
      <c r="H3" t="s">
        <v>501</v>
      </c>
      <c r="K3">
        <v>3021</v>
      </c>
      <c r="L3" t="s">
        <v>503</v>
      </c>
      <c r="M3" t="s">
        <v>504</v>
      </c>
    </row>
    <row r="4" spans="1:13" x14ac:dyDescent="0.2">
      <c r="A4">
        <v>3002</v>
      </c>
      <c r="B4" t="s">
        <v>505</v>
      </c>
      <c r="C4" t="s">
        <v>501</v>
      </c>
      <c r="F4">
        <v>3012</v>
      </c>
      <c r="G4" t="s">
        <v>506</v>
      </c>
      <c r="H4" t="s">
        <v>501</v>
      </c>
      <c r="K4">
        <v>3022</v>
      </c>
      <c r="L4" t="s">
        <v>507</v>
      </c>
      <c r="M4" t="s">
        <v>508</v>
      </c>
    </row>
    <row r="5" spans="1:13" x14ac:dyDescent="0.2">
      <c r="A5">
        <v>3003</v>
      </c>
      <c r="B5" t="s">
        <v>509</v>
      </c>
      <c r="C5" t="s">
        <v>501</v>
      </c>
      <c r="F5">
        <v>3013</v>
      </c>
      <c r="G5" t="s">
        <v>510</v>
      </c>
      <c r="H5" t="s">
        <v>501</v>
      </c>
      <c r="K5">
        <v>3023</v>
      </c>
      <c r="L5" t="s">
        <v>511</v>
      </c>
      <c r="M5" t="s">
        <v>512</v>
      </c>
    </row>
    <row r="6" spans="1:13" x14ac:dyDescent="0.2">
      <c r="A6">
        <v>3004</v>
      </c>
      <c r="B6" t="s">
        <v>513</v>
      </c>
      <c r="C6" t="s">
        <v>501</v>
      </c>
      <c r="F6">
        <v>3014</v>
      </c>
      <c r="G6" t="s">
        <v>514</v>
      </c>
      <c r="H6" t="s">
        <v>501</v>
      </c>
      <c r="K6">
        <v>3024</v>
      </c>
      <c r="L6" t="s">
        <v>515</v>
      </c>
      <c r="M6" t="s">
        <v>516</v>
      </c>
    </row>
    <row r="7" spans="1:13" x14ac:dyDescent="0.2">
      <c r="A7">
        <v>3005</v>
      </c>
      <c r="B7" t="s">
        <v>517</v>
      </c>
      <c r="C7" t="s">
        <v>501</v>
      </c>
      <c r="F7">
        <v>3015</v>
      </c>
      <c r="G7" t="s">
        <v>518</v>
      </c>
      <c r="H7" t="s">
        <v>501</v>
      </c>
      <c r="K7">
        <v>3025</v>
      </c>
      <c r="L7" t="s">
        <v>519</v>
      </c>
      <c r="M7" t="s">
        <v>520</v>
      </c>
    </row>
    <row r="8" spans="1:13" x14ac:dyDescent="0.2">
      <c r="A8">
        <v>3006</v>
      </c>
      <c r="B8" t="s">
        <v>521</v>
      </c>
      <c r="C8" t="s">
        <v>501</v>
      </c>
      <c r="F8">
        <v>3016</v>
      </c>
      <c r="G8" t="s">
        <v>522</v>
      </c>
      <c r="H8" t="s">
        <v>501</v>
      </c>
      <c r="K8">
        <v>3026</v>
      </c>
      <c r="L8" t="s">
        <v>523</v>
      </c>
      <c r="M8" t="s">
        <v>501</v>
      </c>
    </row>
    <row r="9" spans="1:13" x14ac:dyDescent="0.2">
      <c r="A9">
        <v>3007</v>
      </c>
      <c r="B9" t="s">
        <v>524</v>
      </c>
      <c r="C9" t="s">
        <v>501</v>
      </c>
      <c r="F9">
        <v>3017</v>
      </c>
      <c r="G9" t="s">
        <v>525</v>
      </c>
      <c r="H9" t="s">
        <v>504</v>
      </c>
      <c r="K9">
        <v>3027</v>
      </c>
      <c r="L9" t="s">
        <v>526</v>
      </c>
      <c r="M9" t="s">
        <v>527</v>
      </c>
    </row>
    <row r="10" spans="1:13" x14ac:dyDescent="0.2">
      <c r="A10">
        <v>3008</v>
      </c>
      <c r="B10" t="s">
        <v>528</v>
      </c>
      <c r="C10" t="s">
        <v>501</v>
      </c>
      <c r="F10">
        <v>3018</v>
      </c>
      <c r="G10" t="s">
        <v>529</v>
      </c>
      <c r="H10" t="s">
        <v>504</v>
      </c>
      <c r="K10">
        <v>3028</v>
      </c>
      <c r="L10" t="s">
        <v>530</v>
      </c>
      <c r="M10" t="s">
        <v>531</v>
      </c>
    </row>
    <row r="11" spans="1:13" x14ac:dyDescent="0.2">
      <c r="A11">
        <v>3009</v>
      </c>
      <c r="B11" t="s">
        <v>532</v>
      </c>
      <c r="C11" t="s">
        <v>501</v>
      </c>
      <c r="F11">
        <v>3019</v>
      </c>
      <c r="G11" t="s">
        <v>533</v>
      </c>
      <c r="H11" t="s">
        <v>504</v>
      </c>
      <c r="K11">
        <v>3029</v>
      </c>
      <c r="L11" t="s">
        <v>534</v>
      </c>
      <c r="M11" t="s">
        <v>535</v>
      </c>
    </row>
    <row r="12" spans="1:13" x14ac:dyDescent="0.2">
      <c r="A12">
        <v>3010</v>
      </c>
      <c r="B12" t="s">
        <v>536</v>
      </c>
      <c r="C12" t="s">
        <v>501</v>
      </c>
      <c r="F12">
        <v>3020</v>
      </c>
      <c r="G12" t="s">
        <v>537</v>
      </c>
      <c r="H12" t="s">
        <v>504</v>
      </c>
      <c r="K12">
        <v>3030</v>
      </c>
      <c r="L12" t="s">
        <v>538</v>
      </c>
      <c r="M12" t="s">
        <v>535</v>
      </c>
    </row>
    <row r="15" spans="1:13" x14ac:dyDescent="0.2">
      <c r="G15" s="25" t="s">
        <v>497</v>
      </c>
      <c r="H15">
        <v>3023</v>
      </c>
    </row>
    <row r="16" spans="1:13" x14ac:dyDescent="0.2">
      <c r="G16" s="25" t="s">
        <v>498</v>
      </c>
      <c r="H16" t="str">
        <f>VLOOKUP($H$15,IF($H$15&lt;=3010,$A$2:$C$12,IF($H$15&lt;=3020,$F$2:$H$12,IF($H$15&lt;=3030,$K$2:$M$12))),2,FALSE)</f>
        <v>Nick Fury</v>
      </c>
    </row>
    <row r="17" spans="7:8" x14ac:dyDescent="0.2">
      <c r="G17" s="25" t="s">
        <v>499</v>
      </c>
      <c r="H17" t="str">
        <f>VLOOKUP($H$15,IF($H$15&lt;=3010,$A$2:$C$12,IF($H$15&lt;=3020,$F$2:$H$12,IF($H$15&lt;=3030,$K$2:$M$12))),3,FALSE)</f>
        <v>S.H.I.E.L.D.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1CC42-E8C2-7347-B5DF-61B10929DFC5}">
  <dimension ref="A1:J27"/>
  <sheetViews>
    <sheetView topLeftCell="A9" zoomScale="139" workbookViewId="0">
      <selection activeCell="K9" sqref="K1:K1048576"/>
    </sheetView>
  </sheetViews>
  <sheetFormatPr baseColWidth="10" defaultRowHeight="16" x14ac:dyDescent="0.2"/>
  <cols>
    <col min="1" max="1" width="14.6640625" bestFit="1" customWidth="1"/>
    <col min="2" max="2" width="11" bestFit="1" customWidth="1"/>
    <col min="3" max="3" width="11.6640625" bestFit="1" customWidth="1"/>
    <col min="4" max="4" width="12.1640625" customWidth="1"/>
    <col min="9" max="9" width="16.1640625" customWidth="1"/>
    <col min="10" max="10" width="13.5" bestFit="1" customWidth="1"/>
  </cols>
  <sheetData>
    <row r="1" spans="1:10" x14ac:dyDescent="0.2">
      <c r="A1" t="s">
        <v>45</v>
      </c>
      <c r="B1" t="s">
        <v>46</v>
      </c>
      <c r="C1" t="s">
        <v>44</v>
      </c>
      <c r="D1" t="s">
        <v>47</v>
      </c>
      <c r="E1" t="s">
        <v>51</v>
      </c>
    </row>
    <row r="2" spans="1:10" x14ac:dyDescent="0.2">
      <c r="A2" t="s">
        <v>65</v>
      </c>
      <c r="B2" t="s">
        <v>66</v>
      </c>
      <c r="C2" t="s">
        <v>64</v>
      </c>
      <c r="D2" t="s">
        <v>67</v>
      </c>
      <c r="E2">
        <v>50000</v>
      </c>
      <c r="I2" s="25" t="s">
        <v>44</v>
      </c>
      <c r="J2" t="s">
        <v>110</v>
      </c>
    </row>
    <row r="3" spans="1:10" x14ac:dyDescent="0.2">
      <c r="A3" t="s">
        <v>73</v>
      </c>
      <c r="B3" t="s">
        <v>74</v>
      </c>
      <c r="C3" t="s">
        <v>72</v>
      </c>
      <c r="D3" t="s">
        <v>75</v>
      </c>
      <c r="E3">
        <v>30000</v>
      </c>
      <c r="I3" s="25" t="s">
        <v>45</v>
      </c>
      <c r="J3" t="str">
        <f>_xlfn.XLOOKUP($J$2,C1:C21,A1:A21,,0)</f>
        <v>Ananya Das</v>
      </c>
    </row>
    <row r="4" spans="1:10" x14ac:dyDescent="0.2">
      <c r="A4" t="s">
        <v>81</v>
      </c>
      <c r="B4" t="s">
        <v>82</v>
      </c>
      <c r="C4" t="s">
        <v>80</v>
      </c>
      <c r="D4" t="s">
        <v>83</v>
      </c>
      <c r="E4">
        <v>70000</v>
      </c>
      <c r="I4" s="25" t="s">
        <v>46</v>
      </c>
      <c r="J4" t="str" cm="1">
        <f t="array" ref="J4">_xlfn.XLOOKUP($J$2,$C$1:$C$21,INDEX($A$1:$E$21,,MATCH(I4,$A$1:$E$1,0)))</f>
        <v>Finance</v>
      </c>
    </row>
    <row r="5" spans="1:10" x14ac:dyDescent="0.2">
      <c r="A5" t="s">
        <v>88</v>
      </c>
      <c r="B5" t="s">
        <v>89</v>
      </c>
      <c r="C5" t="s">
        <v>87</v>
      </c>
      <c r="D5" t="s">
        <v>90</v>
      </c>
      <c r="E5">
        <v>45000</v>
      </c>
      <c r="I5" s="25" t="s">
        <v>47</v>
      </c>
      <c r="J5" t="str" cm="1">
        <f t="array" ref="J5">_xlfn.XLOOKUP($J$2,$C$1:$C$21,INDEX($A$1:$E$21,,MATCH(I5,$A$1:$E$1,0)))</f>
        <v>East</v>
      </c>
    </row>
    <row r="6" spans="1:10" x14ac:dyDescent="0.2">
      <c r="A6" t="s">
        <v>95</v>
      </c>
      <c r="B6" t="s">
        <v>66</v>
      </c>
      <c r="C6" t="s">
        <v>94</v>
      </c>
      <c r="D6" t="s">
        <v>67</v>
      </c>
      <c r="E6">
        <v>55000</v>
      </c>
      <c r="I6" s="25" t="s">
        <v>51</v>
      </c>
      <c r="J6" cm="1">
        <f t="array" ref="J6">_xlfn.XLOOKUP($J$2,$C$1:$C$21,INDEX($A$1:$E$21,,MATCH(I6,$A$1:$E$1,0)))</f>
        <v>38000</v>
      </c>
    </row>
    <row r="7" spans="1:10" x14ac:dyDescent="0.2">
      <c r="A7" t="s">
        <v>100</v>
      </c>
      <c r="B7" t="s">
        <v>101</v>
      </c>
      <c r="C7" t="s">
        <v>99</v>
      </c>
      <c r="D7" t="s">
        <v>75</v>
      </c>
      <c r="E7">
        <v>40000</v>
      </c>
    </row>
    <row r="8" spans="1:10" x14ac:dyDescent="0.2">
      <c r="A8" t="s">
        <v>106</v>
      </c>
      <c r="B8" t="s">
        <v>82</v>
      </c>
      <c r="C8" t="s">
        <v>105</v>
      </c>
      <c r="D8" t="s">
        <v>83</v>
      </c>
      <c r="E8">
        <v>72000</v>
      </c>
    </row>
    <row r="9" spans="1:10" x14ac:dyDescent="0.2">
      <c r="A9" t="s">
        <v>111</v>
      </c>
      <c r="B9" t="s">
        <v>89</v>
      </c>
      <c r="C9" t="s">
        <v>110</v>
      </c>
      <c r="D9" t="s">
        <v>90</v>
      </c>
      <c r="E9">
        <v>38000</v>
      </c>
    </row>
    <row r="10" spans="1:10" x14ac:dyDescent="0.2">
      <c r="A10" t="s">
        <v>115</v>
      </c>
      <c r="B10" t="s">
        <v>74</v>
      </c>
      <c r="C10" t="s">
        <v>114</v>
      </c>
      <c r="D10" t="s">
        <v>75</v>
      </c>
      <c r="E10">
        <v>31000</v>
      </c>
    </row>
    <row r="11" spans="1:10" x14ac:dyDescent="0.2">
      <c r="A11" t="s">
        <v>118</v>
      </c>
      <c r="B11" t="s">
        <v>101</v>
      </c>
      <c r="C11" t="s">
        <v>117</v>
      </c>
      <c r="D11" t="s">
        <v>67</v>
      </c>
      <c r="E11">
        <v>48000</v>
      </c>
    </row>
    <row r="12" spans="1:10" x14ac:dyDescent="0.2">
      <c r="A12" t="s">
        <v>122</v>
      </c>
      <c r="B12" t="s">
        <v>66</v>
      </c>
      <c r="C12" t="s">
        <v>121</v>
      </c>
      <c r="D12" t="s">
        <v>83</v>
      </c>
      <c r="E12">
        <v>53000</v>
      </c>
    </row>
    <row r="13" spans="1:10" x14ac:dyDescent="0.2">
      <c r="A13" t="s">
        <v>125</v>
      </c>
      <c r="B13" t="s">
        <v>82</v>
      </c>
      <c r="C13" t="s">
        <v>124</v>
      </c>
      <c r="D13" t="s">
        <v>90</v>
      </c>
      <c r="E13">
        <v>85000</v>
      </c>
      <c r="I13" s="28" t="s">
        <v>44</v>
      </c>
      <c r="J13" t="s">
        <v>114</v>
      </c>
    </row>
    <row r="14" spans="1:10" x14ac:dyDescent="0.2">
      <c r="A14" t="s">
        <v>131</v>
      </c>
      <c r="B14" t="s">
        <v>89</v>
      </c>
      <c r="C14" t="s">
        <v>130</v>
      </c>
      <c r="D14" t="s">
        <v>75</v>
      </c>
      <c r="E14">
        <v>41000</v>
      </c>
      <c r="I14" s="25" t="s">
        <v>45</v>
      </c>
      <c r="J14" t="str">
        <f>_xlfn.XLOOKUP($J$13,C1:C21,A1:A21,,0)</f>
        <v>Rahul Joshi</v>
      </c>
    </row>
    <row r="15" spans="1:10" x14ac:dyDescent="0.2">
      <c r="A15" t="s">
        <v>135</v>
      </c>
      <c r="B15" t="s">
        <v>74</v>
      </c>
      <c r="C15" t="s">
        <v>134</v>
      </c>
      <c r="D15" t="s">
        <v>83</v>
      </c>
      <c r="E15">
        <v>36000</v>
      </c>
      <c r="I15" s="25" t="s">
        <v>46</v>
      </c>
      <c r="J15" t="str" cm="1">
        <f t="array" ref="J15">_xlfn.XLOOKUP($J$13,$C$1:$C$21,INDEX($A$1:$E$21,,MATCH(I15,$A$1:$E$1,0)))</f>
        <v>HR</v>
      </c>
    </row>
    <row r="16" spans="1:10" x14ac:dyDescent="0.2">
      <c r="A16" t="s">
        <v>140</v>
      </c>
      <c r="B16" t="s">
        <v>101</v>
      </c>
      <c r="C16" t="s">
        <v>139</v>
      </c>
      <c r="D16" t="s">
        <v>67</v>
      </c>
      <c r="E16">
        <v>50000</v>
      </c>
      <c r="I16" s="25" t="s">
        <v>47</v>
      </c>
      <c r="J16" t="str" cm="1">
        <f t="array" ref="J16">_xlfn.XLOOKUP($J$13,$C$1:$C$21,INDEX($A$1:$E$21,,MATCH(I16,$A$1:$E$1,0)))</f>
        <v>North</v>
      </c>
    </row>
    <row r="17" spans="1:10" x14ac:dyDescent="0.2">
      <c r="A17" t="s">
        <v>144</v>
      </c>
      <c r="B17" t="s">
        <v>82</v>
      </c>
      <c r="C17" t="s">
        <v>143</v>
      </c>
      <c r="D17" t="s">
        <v>90</v>
      </c>
      <c r="E17">
        <v>78000</v>
      </c>
      <c r="I17" s="25" t="s">
        <v>51</v>
      </c>
      <c r="J17" cm="1">
        <f t="array" ref="J17">_xlfn.XLOOKUP($J$13,$C$1:$C$21,INDEX($A$1:$E$21,,MATCH(I17,$A$1:$E$1,0)))</f>
        <v>31000</v>
      </c>
    </row>
    <row r="18" spans="1:10" x14ac:dyDescent="0.2">
      <c r="A18" t="s">
        <v>147</v>
      </c>
      <c r="B18" t="s">
        <v>66</v>
      </c>
      <c r="C18" t="s">
        <v>146</v>
      </c>
      <c r="D18" t="s">
        <v>75</v>
      </c>
      <c r="E18">
        <v>61000</v>
      </c>
    </row>
    <row r="19" spans="1:10" x14ac:dyDescent="0.2">
      <c r="A19" t="s">
        <v>151</v>
      </c>
      <c r="B19" t="s">
        <v>89</v>
      </c>
      <c r="C19" t="s">
        <v>150</v>
      </c>
      <c r="D19" t="s">
        <v>83</v>
      </c>
      <c r="E19">
        <v>39000</v>
      </c>
    </row>
    <row r="20" spans="1:10" x14ac:dyDescent="0.2">
      <c r="A20" t="s">
        <v>155</v>
      </c>
      <c r="B20" t="s">
        <v>74</v>
      </c>
      <c r="C20" t="s">
        <v>154</v>
      </c>
      <c r="D20" t="s">
        <v>67</v>
      </c>
      <c r="E20">
        <v>34000</v>
      </c>
    </row>
    <row r="21" spans="1:10" x14ac:dyDescent="0.2">
      <c r="A21" t="s">
        <v>161</v>
      </c>
      <c r="B21" t="s">
        <v>101</v>
      </c>
      <c r="C21" t="s">
        <v>160</v>
      </c>
      <c r="D21" t="s">
        <v>90</v>
      </c>
      <c r="E21">
        <v>46000</v>
      </c>
    </row>
    <row r="23" spans="1:10" x14ac:dyDescent="0.2">
      <c r="I23" s="28" t="s">
        <v>44</v>
      </c>
      <c r="J23" t="s">
        <v>539</v>
      </c>
    </row>
    <row r="24" spans="1:10" x14ac:dyDescent="0.2">
      <c r="I24" s="25" t="s">
        <v>45</v>
      </c>
      <c r="J24" t="str" cm="1">
        <f t="array" ref="J24">_xlfn.XLOOKUP($J$23,$C$1:$C$21,INDEX($A$1:$E$21,,MATCH(I24,$A$1:$E$1,0)),"data not found ")</f>
        <v xml:space="preserve">data not found </v>
      </c>
    </row>
    <row r="25" spans="1:10" x14ac:dyDescent="0.2">
      <c r="I25" s="25" t="s">
        <v>46</v>
      </c>
      <c r="J25" t="str" cm="1">
        <f t="array" ref="J25">_xlfn.XLOOKUP($J$23,$C$1:$C$21,INDEX($A$1:$E$21,,MATCH(I25,$A$1:$E$1,0)),"data not found ")</f>
        <v xml:space="preserve">data not found </v>
      </c>
    </row>
    <row r="26" spans="1:10" x14ac:dyDescent="0.2">
      <c r="I26" s="25" t="s">
        <v>47</v>
      </c>
      <c r="J26" t="str" cm="1">
        <f t="array" ref="J26">_xlfn.XLOOKUP($J$23,$C$1:$C$21,INDEX($A$1:$E$21,,MATCH(I26,$A$1:$E$1,0)),"data not found ")</f>
        <v xml:space="preserve">data not found </v>
      </c>
    </row>
    <row r="27" spans="1:10" x14ac:dyDescent="0.2">
      <c r="I27" s="25" t="s">
        <v>51</v>
      </c>
      <c r="J27" t="str" cm="1">
        <f t="array" ref="J27">_xlfn.XLOOKUP($J$23,$C$1:$C$21,INDEX($A$1:$E$21,,MATCH(I27,$A$1:$E$1,0)),"data not found ")</f>
        <v xml:space="preserve">data not found </v>
      </c>
    </row>
  </sheetData>
  <dataValidations count="1">
    <dataValidation type="list" allowBlank="1" showInputMessage="1" showErrorMessage="1" sqref="J2" xr:uid="{C3E77F0E-A2CC-8F4D-86E0-85111BEDFC06}">
      <formula1>$C$1:$C$21</formula1>
    </dataValidation>
  </dataValidation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298FB-06FD-EF48-A000-BF11826F30F9}">
  <dimension ref="A1:P21"/>
  <sheetViews>
    <sheetView workbookViewId="0">
      <selection activeCell="H3" sqref="H3"/>
    </sheetView>
  </sheetViews>
  <sheetFormatPr baseColWidth="10" defaultRowHeight="16" x14ac:dyDescent="0.2"/>
  <cols>
    <col min="7" max="7" width="14.6640625" bestFit="1" customWidth="1"/>
    <col min="8" max="8" width="14" customWidth="1"/>
  </cols>
  <sheetData>
    <row r="1" spans="1:16" x14ac:dyDescent="0.2">
      <c r="A1" t="s">
        <v>45</v>
      </c>
      <c r="B1" t="s">
        <v>46</v>
      </c>
      <c r="C1" t="s">
        <v>44</v>
      </c>
      <c r="D1" t="s">
        <v>47</v>
      </c>
      <c r="E1" t="s">
        <v>51</v>
      </c>
      <c r="L1" t="s">
        <v>44</v>
      </c>
      <c r="M1" t="s">
        <v>45</v>
      </c>
      <c r="N1" t="s">
        <v>46</v>
      </c>
      <c r="O1" t="s">
        <v>47</v>
      </c>
      <c r="P1" t="s">
        <v>51</v>
      </c>
    </row>
    <row r="2" spans="1:16" x14ac:dyDescent="0.2">
      <c r="A2" t="s">
        <v>65</v>
      </c>
      <c r="B2" t="s">
        <v>66</v>
      </c>
      <c r="C2" t="s">
        <v>64</v>
      </c>
      <c r="D2" t="s">
        <v>67</v>
      </c>
      <c r="E2">
        <v>50000</v>
      </c>
      <c r="G2" s="28" t="s">
        <v>44</v>
      </c>
      <c r="H2" t="s">
        <v>578</v>
      </c>
      <c r="L2" t="s">
        <v>540</v>
      </c>
      <c r="M2" t="s">
        <v>541</v>
      </c>
      <c r="N2" t="s">
        <v>101</v>
      </c>
      <c r="O2" t="s">
        <v>67</v>
      </c>
      <c r="P2">
        <v>38000</v>
      </c>
    </row>
    <row r="3" spans="1:16" ht="17" x14ac:dyDescent="0.2">
      <c r="A3" t="s">
        <v>73</v>
      </c>
      <c r="B3" t="s">
        <v>74</v>
      </c>
      <c r="C3" t="s">
        <v>72</v>
      </c>
      <c r="D3" t="s">
        <v>75</v>
      </c>
      <c r="E3">
        <v>30000</v>
      </c>
      <c r="G3" s="25" t="s">
        <v>45</v>
      </c>
      <c r="H3" s="30" t="str" cm="1">
        <f t="array" ref="H3">_xlfn.XLOOKUP($H$2,$C$1:$C$21,INDEX($A$1:$E$21,,MATCH(G3,$A$1:$E$1,0)),_xlfn.XLOOKUP($H$2,$L$1:$L$21,INDEX($L$1:$P$21,,MATCH(G3,$L$1:$P$1,0))))</f>
        <v>Palak Sethi</v>
      </c>
      <c r="L3" t="s">
        <v>542</v>
      </c>
      <c r="M3" t="s">
        <v>543</v>
      </c>
      <c r="N3" t="s">
        <v>66</v>
      </c>
      <c r="O3" t="s">
        <v>75</v>
      </c>
      <c r="P3">
        <v>31000</v>
      </c>
    </row>
    <row r="4" spans="1:16" x14ac:dyDescent="0.2">
      <c r="A4" t="s">
        <v>81</v>
      </c>
      <c r="B4" t="s">
        <v>82</v>
      </c>
      <c r="C4" t="s">
        <v>80</v>
      </c>
      <c r="D4" t="s">
        <v>83</v>
      </c>
      <c r="E4">
        <v>70000</v>
      </c>
      <c r="G4" s="25" t="s">
        <v>46</v>
      </c>
      <c r="H4" t="str" cm="1">
        <f t="array" ref="H4">_xlfn.XLOOKUP($H$2,$C$1:$C$21,INDEX($A$1:$E$21,,MATCH(G4,$A$1:$E$1,0)),_xlfn.XLOOKUP($H$2,$L$1:$L$21,INDEX($L$1:$P$21,,MATCH(G4,$L$1:$P$1,0))))</f>
        <v>Marketing</v>
      </c>
      <c r="L4" t="s">
        <v>544</v>
      </c>
      <c r="M4" t="s">
        <v>545</v>
      </c>
      <c r="N4" t="s">
        <v>82</v>
      </c>
      <c r="O4" t="s">
        <v>83</v>
      </c>
      <c r="P4">
        <v>48000</v>
      </c>
    </row>
    <row r="5" spans="1:16" x14ac:dyDescent="0.2">
      <c r="A5" t="s">
        <v>88</v>
      </c>
      <c r="B5" t="s">
        <v>89</v>
      </c>
      <c r="C5" t="s">
        <v>87</v>
      </c>
      <c r="D5" t="s">
        <v>90</v>
      </c>
      <c r="E5">
        <v>45000</v>
      </c>
      <c r="G5" s="25" t="s">
        <v>47</v>
      </c>
      <c r="H5" t="str" cm="1">
        <f t="array" ref="H5">_xlfn.XLOOKUP($H$2,$C$1:$C$21,INDEX($A$1:$E$21,,MATCH(G5,$A$1:$E$1,0)),_xlfn.XLOOKUP($H$2,$L$1:$L$21,INDEX($L$1:$P$21,,MATCH(G5,$L$1:$P$1,0))))</f>
        <v>East</v>
      </c>
      <c r="L5" t="s">
        <v>546</v>
      </c>
      <c r="M5" t="s">
        <v>547</v>
      </c>
      <c r="N5" t="s">
        <v>89</v>
      </c>
      <c r="O5" t="s">
        <v>90</v>
      </c>
      <c r="P5">
        <v>53000</v>
      </c>
    </row>
    <row r="6" spans="1:16" x14ac:dyDescent="0.2">
      <c r="A6" t="s">
        <v>95</v>
      </c>
      <c r="B6" t="s">
        <v>66</v>
      </c>
      <c r="C6" t="s">
        <v>94</v>
      </c>
      <c r="D6" t="s">
        <v>67</v>
      </c>
      <c r="E6">
        <v>55000</v>
      </c>
      <c r="G6" s="25" t="s">
        <v>51</v>
      </c>
      <c r="H6" cm="1">
        <f t="array" ref="H6">_xlfn.XLOOKUP($H$2,$C$1:$C$21,INDEX($A$1:$E$21,,MATCH(G6,$A$1:$E$1,0)),_xlfn.XLOOKUP($H$2,$L$1:$L$21,INDEX($L$1:$P$21,,MATCH(G6,$L$1:$P$1,0))))</f>
        <v>46000</v>
      </c>
      <c r="L6" t="s">
        <v>548</v>
      </c>
      <c r="M6" t="s">
        <v>549</v>
      </c>
      <c r="N6" t="s">
        <v>74</v>
      </c>
      <c r="O6" t="s">
        <v>67</v>
      </c>
      <c r="P6">
        <v>85000</v>
      </c>
    </row>
    <row r="7" spans="1:16" x14ac:dyDescent="0.2">
      <c r="A7" t="s">
        <v>100</v>
      </c>
      <c r="B7" t="s">
        <v>101</v>
      </c>
      <c r="C7" t="s">
        <v>99</v>
      </c>
      <c r="D7" t="s">
        <v>75</v>
      </c>
      <c r="E7">
        <v>40000</v>
      </c>
      <c r="L7" t="s">
        <v>550</v>
      </c>
      <c r="M7" t="s">
        <v>551</v>
      </c>
      <c r="N7" t="s">
        <v>101</v>
      </c>
      <c r="O7" t="s">
        <v>75</v>
      </c>
      <c r="P7">
        <v>41000</v>
      </c>
    </row>
    <row r="8" spans="1:16" x14ac:dyDescent="0.2">
      <c r="A8" t="s">
        <v>106</v>
      </c>
      <c r="B8" t="s">
        <v>82</v>
      </c>
      <c r="C8" t="s">
        <v>105</v>
      </c>
      <c r="D8" t="s">
        <v>83</v>
      </c>
      <c r="E8">
        <v>72000</v>
      </c>
      <c r="L8" t="s">
        <v>552</v>
      </c>
      <c r="M8" t="s">
        <v>553</v>
      </c>
      <c r="N8" t="s">
        <v>82</v>
      </c>
      <c r="O8" t="s">
        <v>83</v>
      </c>
      <c r="P8">
        <v>36000</v>
      </c>
    </row>
    <row r="9" spans="1:16" x14ac:dyDescent="0.2">
      <c r="A9" t="s">
        <v>111</v>
      </c>
      <c r="B9" t="s">
        <v>89</v>
      </c>
      <c r="C9" t="s">
        <v>110</v>
      </c>
      <c r="D9" t="s">
        <v>90</v>
      </c>
      <c r="E9">
        <v>38000</v>
      </c>
      <c r="L9" t="s">
        <v>554</v>
      </c>
      <c r="M9" t="s">
        <v>555</v>
      </c>
      <c r="N9" t="s">
        <v>66</v>
      </c>
      <c r="O9" t="s">
        <v>90</v>
      </c>
      <c r="P9">
        <v>50000</v>
      </c>
    </row>
    <row r="10" spans="1:16" x14ac:dyDescent="0.2">
      <c r="A10" t="s">
        <v>115</v>
      </c>
      <c r="B10" t="s">
        <v>74</v>
      </c>
      <c r="C10" t="s">
        <v>114</v>
      </c>
      <c r="D10" t="s">
        <v>75</v>
      </c>
      <c r="E10">
        <v>31000</v>
      </c>
      <c r="L10" t="s">
        <v>556</v>
      </c>
      <c r="M10" t="s">
        <v>557</v>
      </c>
      <c r="N10" t="s">
        <v>89</v>
      </c>
      <c r="O10" t="s">
        <v>75</v>
      </c>
      <c r="P10">
        <v>78000</v>
      </c>
    </row>
    <row r="11" spans="1:16" x14ac:dyDescent="0.2">
      <c r="A11" t="s">
        <v>118</v>
      </c>
      <c r="B11" t="s">
        <v>101</v>
      </c>
      <c r="C11" t="s">
        <v>117</v>
      </c>
      <c r="D11" t="s">
        <v>67</v>
      </c>
      <c r="E11">
        <v>48000</v>
      </c>
      <c r="L11" t="s">
        <v>558</v>
      </c>
      <c r="M11" t="s">
        <v>559</v>
      </c>
      <c r="N11" t="s">
        <v>74</v>
      </c>
      <c r="O11" t="s">
        <v>67</v>
      </c>
      <c r="P11">
        <v>61000</v>
      </c>
    </row>
    <row r="12" spans="1:16" x14ac:dyDescent="0.2">
      <c r="A12" t="s">
        <v>122</v>
      </c>
      <c r="B12" t="s">
        <v>66</v>
      </c>
      <c r="C12" t="s">
        <v>121</v>
      </c>
      <c r="D12" t="s">
        <v>83</v>
      </c>
      <c r="E12">
        <v>53000</v>
      </c>
      <c r="L12" t="s">
        <v>560</v>
      </c>
      <c r="M12" t="s">
        <v>561</v>
      </c>
      <c r="N12" t="s">
        <v>66</v>
      </c>
      <c r="O12" t="s">
        <v>83</v>
      </c>
      <c r="P12">
        <v>39000</v>
      </c>
    </row>
    <row r="13" spans="1:16" x14ac:dyDescent="0.2">
      <c r="A13" t="s">
        <v>125</v>
      </c>
      <c r="B13" t="s">
        <v>82</v>
      </c>
      <c r="C13" t="s">
        <v>124</v>
      </c>
      <c r="D13" t="s">
        <v>90</v>
      </c>
      <c r="E13">
        <v>85000</v>
      </c>
      <c r="L13" t="s">
        <v>562</v>
      </c>
      <c r="M13" t="s">
        <v>563</v>
      </c>
      <c r="N13" t="s">
        <v>82</v>
      </c>
      <c r="O13" t="s">
        <v>90</v>
      </c>
      <c r="P13">
        <v>34000</v>
      </c>
    </row>
    <row r="14" spans="1:16" x14ac:dyDescent="0.2">
      <c r="A14" t="s">
        <v>131</v>
      </c>
      <c r="B14" t="s">
        <v>89</v>
      </c>
      <c r="C14" t="s">
        <v>130</v>
      </c>
      <c r="D14" t="s">
        <v>75</v>
      </c>
      <c r="E14">
        <v>41000</v>
      </c>
      <c r="L14" t="s">
        <v>564</v>
      </c>
      <c r="M14" t="s">
        <v>565</v>
      </c>
      <c r="N14" t="s">
        <v>89</v>
      </c>
      <c r="O14" t="s">
        <v>75</v>
      </c>
      <c r="P14">
        <v>46000</v>
      </c>
    </row>
    <row r="15" spans="1:16" x14ac:dyDescent="0.2">
      <c r="A15" t="s">
        <v>135</v>
      </c>
      <c r="B15" t="s">
        <v>74</v>
      </c>
      <c r="C15" t="s">
        <v>134</v>
      </c>
      <c r="D15" t="s">
        <v>83</v>
      </c>
      <c r="E15">
        <v>36000</v>
      </c>
      <c r="L15" t="s">
        <v>566</v>
      </c>
      <c r="M15" t="s">
        <v>567</v>
      </c>
      <c r="N15" t="s">
        <v>74</v>
      </c>
      <c r="O15" t="s">
        <v>83</v>
      </c>
      <c r="P15">
        <v>36000</v>
      </c>
    </row>
    <row r="16" spans="1:16" x14ac:dyDescent="0.2">
      <c r="A16" t="s">
        <v>140</v>
      </c>
      <c r="B16" t="s">
        <v>101</v>
      </c>
      <c r="C16" t="s">
        <v>139</v>
      </c>
      <c r="D16" t="s">
        <v>67</v>
      </c>
      <c r="E16">
        <v>50000</v>
      </c>
      <c r="L16" t="s">
        <v>568</v>
      </c>
      <c r="M16" t="s">
        <v>569</v>
      </c>
      <c r="N16" t="s">
        <v>101</v>
      </c>
      <c r="O16" t="s">
        <v>67</v>
      </c>
      <c r="P16">
        <v>50000</v>
      </c>
    </row>
    <row r="17" spans="1:16" x14ac:dyDescent="0.2">
      <c r="A17" t="s">
        <v>144</v>
      </c>
      <c r="B17" t="s">
        <v>82</v>
      </c>
      <c r="C17" t="s">
        <v>143</v>
      </c>
      <c r="D17" t="s">
        <v>90</v>
      </c>
      <c r="E17">
        <v>78000</v>
      </c>
      <c r="L17" t="s">
        <v>570</v>
      </c>
      <c r="M17" t="s">
        <v>571</v>
      </c>
      <c r="N17" t="s">
        <v>82</v>
      </c>
      <c r="O17" t="s">
        <v>90</v>
      </c>
      <c r="P17">
        <v>78000</v>
      </c>
    </row>
    <row r="18" spans="1:16" x14ac:dyDescent="0.2">
      <c r="A18" t="s">
        <v>147</v>
      </c>
      <c r="B18" t="s">
        <v>66</v>
      </c>
      <c r="C18" t="s">
        <v>146</v>
      </c>
      <c r="D18" t="s">
        <v>75</v>
      </c>
      <c r="E18">
        <v>61000</v>
      </c>
      <c r="L18" t="s">
        <v>572</v>
      </c>
      <c r="M18" t="s">
        <v>573</v>
      </c>
      <c r="N18" t="s">
        <v>66</v>
      </c>
      <c r="O18" t="s">
        <v>75</v>
      </c>
      <c r="P18">
        <v>61000</v>
      </c>
    </row>
    <row r="19" spans="1:16" x14ac:dyDescent="0.2">
      <c r="A19" t="s">
        <v>151</v>
      </c>
      <c r="B19" t="s">
        <v>89</v>
      </c>
      <c r="C19" t="s">
        <v>150</v>
      </c>
      <c r="D19" t="s">
        <v>83</v>
      </c>
      <c r="E19">
        <v>39000</v>
      </c>
      <c r="L19" t="s">
        <v>574</v>
      </c>
      <c r="M19" t="s">
        <v>575</v>
      </c>
      <c r="N19" t="s">
        <v>89</v>
      </c>
      <c r="O19" t="s">
        <v>83</v>
      </c>
      <c r="P19">
        <v>39000</v>
      </c>
    </row>
    <row r="20" spans="1:16" x14ac:dyDescent="0.2">
      <c r="A20" t="s">
        <v>155</v>
      </c>
      <c r="B20" t="s">
        <v>74</v>
      </c>
      <c r="C20" t="s">
        <v>154</v>
      </c>
      <c r="D20" t="s">
        <v>67</v>
      </c>
      <c r="E20">
        <v>34000</v>
      </c>
      <c r="L20" t="s">
        <v>576</v>
      </c>
      <c r="M20" t="s">
        <v>577</v>
      </c>
      <c r="N20" t="s">
        <v>74</v>
      </c>
      <c r="O20" t="s">
        <v>67</v>
      </c>
      <c r="P20">
        <v>34000</v>
      </c>
    </row>
    <row r="21" spans="1:16" x14ac:dyDescent="0.2">
      <c r="A21" t="s">
        <v>161</v>
      </c>
      <c r="B21" t="s">
        <v>101</v>
      </c>
      <c r="C21" t="s">
        <v>160</v>
      </c>
      <c r="D21" t="s">
        <v>90</v>
      </c>
      <c r="E21">
        <v>46000</v>
      </c>
      <c r="L21" t="s">
        <v>578</v>
      </c>
      <c r="M21" t="s">
        <v>579</v>
      </c>
      <c r="N21" t="s">
        <v>101</v>
      </c>
      <c r="O21" t="s">
        <v>90</v>
      </c>
      <c r="P21">
        <v>46000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51377-5912-C542-8903-3369BA50D4FB}">
  <dimension ref="A1:K21"/>
  <sheetViews>
    <sheetView zoomScale="125" workbookViewId="0">
      <selection activeCell="H15" sqref="H15"/>
    </sheetView>
  </sheetViews>
  <sheetFormatPr baseColWidth="10" defaultRowHeight="16" x14ac:dyDescent="0.2"/>
  <cols>
    <col min="8" max="8" width="15" bestFit="1" customWidth="1"/>
    <col min="9" max="9" width="11.6640625" bestFit="1" customWidth="1"/>
    <col min="11" max="11" width="12" customWidth="1"/>
  </cols>
  <sheetData>
    <row r="1" spans="1:11" x14ac:dyDescent="0.2">
      <c r="A1" t="s">
        <v>44</v>
      </c>
      <c r="B1" t="s">
        <v>45</v>
      </c>
      <c r="C1" t="s">
        <v>46</v>
      </c>
      <c r="D1" t="s">
        <v>47</v>
      </c>
      <c r="E1" t="s">
        <v>51</v>
      </c>
      <c r="F1" t="s">
        <v>580</v>
      </c>
      <c r="J1" t="s">
        <v>581</v>
      </c>
      <c r="K1" t="s">
        <v>580</v>
      </c>
    </row>
    <row r="2" spans="1:11" x14ac:dyDescent="0.2">
      <c r="A2" t="s">
        <v>64</v>
      </c>
      <c r="B2" t="s">
        <v>65</v>
      </c>
      <c r="C2" t="s">
        <v>66</v>
      </c>
      <c r="D2" t="s">
        <v>67</v>
      </c>
      <c r="E2">
        <v>51</v>
      </c>
      <c r="F2" s="31">
        <v>0.15</v>
      </c>
      <c r="J2" s="31">
        <v>0</v>
      </c>
      <c r="K2" s="31">
        <v>0</v>
      </c>
    </row>
    <row r="3" spans="1:11" x14ac:dyDescent="0.2">
      <c r="A3" t="s">
        <v>72</v>
      </c>
      <c r="B3" t="s">
        <v>73</v>
      </c>
      <c r="C3" t="s">
        <v>74</v>
      </c>
      <c r="D3" t="s">
        <v>75</v>
      </c>
      <c r="E3">
        <v>28</v>
      </c>
      <c r="F3" s="31">
        <v>0.05</v>
      </c>
      <c r="J3">
        <v>10</v>
      </c>
      <c r="K3" s="31">
        <v>0.05</v>
      </c>
    </row>
    <row r="4" spans="1:11" x14ac:dyDescent="0.2">
      <c r="A4" t="s">
        <v>80</v>
      </c>
      <c r="B4" t="s">
        <v>81</v>
      </c>
      <c r="C4" t="s">
        <v>82</v>
      </c>
      <c r="D4" t="s">
        <v>83</v>
      </c>
      <c r="E4">
        <v>70</v>
      </c>
      <c r="F4" s="31">
        <v>0.2</v>
      </c>
      <c r="J4">
        <v>30</v>
      </c>
      <c r="K4" s="31">
        <v>0.1</v>
      </c>
    </row>
    <row r="5" spans="1:11" x14ac:dyDescent="0.2">
      <c r="A5" t="s">
        <v>87</v>
      </c>
      <c r="B5" t="s">
        <v>88</v>
      </c>
      <c r="C5" t="s">
        <v>89</v>
      </c>
      <c r="D5" t="s">
        <v>90</v>
      </c>
      <c r="E5">
        <v>45</v>
      </c>
      <c r="F5" s="31">
        <v>0.1</v>
      </c>
      <c r="J5">
        <v>50</v>
      </c>
      <c r="K5" s="31">
        <v>0.15</v>
      </c>
    </row>
    <row r="6" spans="1:11" x14ac:dyDescent="0.2">
      <c r="A6" t="s">
        <v>94</v>
      </c>
      <c r="B6" t="s">
        <v>95</v>
      </c>
      <c r="C6" t="s">
        <v>66</v>
      </c>
      <c r="D6" t="s">
        <v>67</v>
      </c>
      <c r="E6">
        <v>55</v>
      </c>
      <c r="F6" s="31">
        <v>0.15</v>
      </c>
      <c r="J6">
        <v>70</v>
      </c>
      <c r="K6" s="31">
        <v>0.2</v>
      </c>
    </row>
    <row r="7" spans="1:11" x14ac:dyDescent="0.2">
      <c r="A7" t="s">
        <v>99</v>
      </c>
      <c r="B7" t="s">
        <v>100</v>
      </c>
      <c r="C7" t="s">
        <v>101</v>
      </c>
      <c r="D7" t="s">
        <v>75</v>
      </c>
      <c r="E7">
        <v>40</v>
      </c>
      <c r="F7" s="31">
        <v>0.1</v>
      </c>
      <c r="J7">
        <v>90</v>
      </c>
      <c r="K7" s="31">
        <v>0.25</v>
      </c>
    </row>
    <row r="8" spans="1:11" x14ac:dyDescent="0.2">
      <c r="A8" t="s">
        <v>105</v>
      </c>
      <c r="B8" t="s">
        <v>106</v>
      </c>
      <c r="C8" t="s">
        <v>82</v>
      </c>
      <c r="D8" t="s">
        <v>83</v>
      </c>
      <c r="E8">
        <v>72</v>
      </c>
      <c r="F8" s="31">
        <v>0.2</v>
      </c>
    </row>
    <row r="9" spans="1:11" x14ac:dyDescent="0.2">
      <c r="A9" t="s">
        <v>110</v>
      </c>
      <c r="B9" t="s">
        <v>111</v>
      </c>
      <c r="C9" t="s">
        <v>89</v>
      </c>
      <c r="D9" t="s">
        <v>90</v>
      </c>
      <c r="E9">
        <v>38</v>
      </c>
      <c r="F9" s="31">
        <v>0.1</v>
      </c>
    </row>
    <row r="10" spans="1:11" x14ac:dyDescent="0.2">
      <c r="A10" t="s">
        <v>114</v>
      </c>
      <c r="B10" t="s">
        <v>115</v>
      </c>
      <c r="C10" t="s">
        <v>74</v>
      </c>
      <c r="D10" t="s">
        <v>75</v>
      </c>
      <c r="E10">
        <v>31</v>
      </c>
      <c r="F10" s="31">
        <v>0.1</v>
      </c>
    </row>
    <row r="11" spans="1:11" x14ac:dyDescent="0.2">
      <c r="A11" t="s">
        <v>117</v>
      </c>
      <c r="B11" t="s">
        <v>118</v>
      </c>
      <c r="C11" t="s">
        <v>101</v>
      </c>
      <c r="D11" t="s">
        <v>67</v>
      </c>
      <c r="E11">
        <v>48</v>
      </c>
      <c r="F11" s="31">
        <v>0.1</v>
      </c>
      <c r="H11" s="28" t="s">
        <v>45</v>
      </c>
      <c r="I11" s="28" t="s">
        <v>51</v>
      </c>
    </row>
    <row r="12" spans="1:11" x14ac:dyDescent="0.2">
      <c r="A12" t="s">
        <v>121</v>
      </c>
      <c r="B12" t="s">
        <v>122</v>
      </c>
      <c r="C12" t="s">
        <v>66</v>
      </c>
      <c r="D12" t="s">
        <v>83</v>
      </c>
      <c r="E12">
        <v>53</v>
      </c>
      <c r="F12" s="31">
        <v>0.15</v>
      </c>
      <c r="H12" t="s">
        <v>582</v>
      </c>
      <c r="I12">
        <f>_xlfn.XLOOKUP("*"&amp;H12&amp;"*",$B$1:$B$21,$E$1:$E$21,,2)</f>
        <v>46</v>
      </c>
    </row>
    <row r="13" spans="1:11" x14ac:dyDescent="0.2">
      <c r="A13" t="s">
        <v>124</v>
      </c>
      <c r="B13" t="s">
        <v>125</v>
      </c>
      <c r="C13" t="s">
        <v>82</v>
      </c>
      <c r="D13" t="s">
        <v>90</v>
      </c>
      <c r="E13">
        <v>85</v>
      </c>
      <c r="F13" s="31">
        <v>0.2</v>
      </c>
    </row>
    <row r="14" spans="1:11" x14ac:dyDescent="0.2">
      <c r="A14" t="s">
        <v>130</v>
      </c>
      <c r="B14" t="s">
        <v>131</v>
      </c>
      <c r="C14" t="s">
        <v>89</v>
      </c>
      <c r="D14" t="s">
        <v>75</v>
      </c>
      <c r="E14">
        <v>41</v>
      </c>
      <c r="F14" s="31">
        <v>0.1</v>
      </c>
    </row>
    <row r="15" spans="1:11" x14ac:dyDescent="0.2">
      <c r="A15" t="s">
        <v>134</v>
      </c>
      <c r="B15" t="s">
        <v>135</v>
      </c>
      <c r="C15" t="s">
        <v>74</v>
      </c>
      <c r="D15" t="s">
        <v>83</v>
      </c>
      <c r="E15">
        <v>36</v>
      </c>
      <c r="F15" s="31">
        <v>0.1</v>
      </c>
    </row>
    <row r="16" spans="1:11" x14ac:dyDescent="0.2">
      <c r="A16" t="s">
        <v>139</v>
      </c>
      <c r="B16" t="s">
        <v>140</v>
      </c>
      <c r="C16" t="s">
        <v>101</v>
      </c>
      <c r="D16" t="s">
        <v>67</v>
      </c>
      <c r="E16">
        <v>50</v>
      </c>
      <c r="F16" s="31">
        <v>0.15</v>
      </c>
    </row>
    <row r="17" spans="1:6" x14ac:dyDescent="0.2">
      <c r="A17" t="s">
        <v>143</v>
      </c>
      <c r="B17" t="s">
        <v>144</v>
      </c>
      <c r="C17" t="s">
        <v>82</v>
      </c>
      <c r="D17" t="s">
        <v>90</v>
      </c>
      <c r="E17">
        <v>78</v>
      </c>
      <c r="F17" s="31">
        <v>0.2</v>
      </c>
    </row>
    <row r="18" spans="1:6" x14ac:dyDescent="0.2">
      <c r="A18" t="s">
        <v>146</v>
      </c>
      <c r="B18" t="s">
        <v>147</v>
      </c>
      <c r="C18" t="s">
        <v>66</v>
      </c>
      <c r="D18" t="s">
        <v>75</v>
      </c>
      <c r="E18">
        <v>61</v>
      </c>
      <c r="F18" s="31">
        <v>0.15</v>
      </c>
    </row>
    <row r="19" spans="1:6" x14ac:dyDescent="0.2">
      <c r="A19" t="s">
        <v>150</v>
      </c>
      <c r="B19" t="s">
        <v>151</v>
      </c>
      <c r="C19" t="s">
        <v>89</v>
      </c>
      <c r="D19" t="s">
        <v>83</v>
      </c>
      <c r="E19">
        <v>39</v>
      </c>
      <c r="F19" s="31">
        <v>0.1</v>
      </c>
    </row>
    <row r="20" spans="1:6" x14ac:dyDescent="0.2">
      <c r="A20" t="s">
        <v>154</v>
      </c>
      <c r="B20" t="s">
        <v>155</v>
      </c>
      <c r="C20" t="s">
        <v>74</v>
      </c>
      <c r="D20" t="s">
        <v>67</v>
      </c>
      <c r="E20">
        <v>34</v>
      </c>
      <c r="F20" s="31">
        <v>0.1</v>
      </c>
    </row>
    <row r="21" spans="1:6" x14ac:dyDescent="0.2">
      <c r="A21" t="s">
        <v>160</v>
      </c>
      <c r="B21" t="s">
        <v>161</v>
      </c>
      <c r="C21" t="s">
        <v>101</v>
      </c>
      <c r="D21" t="s">
        <v>90</v>
      </c>
      <c r="E21">
        <v>46</v>
      </c>
      <c r="F21" s="31">
        <v>0.1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961B8-5363-B745-B792-51E4D3405E83}">
  <dimension ref="A1:S15350"/>
  <sheetViews>
    <sheetView tabSelected="1" topLeftCell="B15323" zoomScale="108" workbookViewId="0">
      <selection activeCell="K15347" sqref="K15347"/>
    </sheetView>
  </sheetViews>
  <sheetFormatPr baseColWidth="10" defaultRowHeight="16" x14ac:dyDescent="0.2"/>
  <cols>
    <col min="1" max="1" width="11" bestFit="1" customWidth="1"/>
    <col min="2" max="2" width="7.1640625" customWidth="1"/>
    <col min="4" max="4" width="13.83203125" customWidth="1"/>
    <col min="5" max="5" width="17" bestFit="1" customWidth="1"/>
    <col min="6" max="6" width="14" bestFit="1" customWidth="1"/>
    <col min="7" max="8" width="14" style="37" customWidth="1"/>
    <col min="10" max="10" width="18" bestFit="1" customWidth="1"/>
    <col min="11" max="11" width="10" bestFit="1" customWidth="1"/>
    <col min="12" max="12" width="12" bestFit="1" customWidth="1"/>
    <col min="13" max="13" width="13.1640625" bestFit="1" customWidth="1"/>
    <col min="14" max="14" width="13.5" bestFit="1" customWidth="1"/>
    <col min="15" max="15" width="16.5" customWidth="1"/>
    <col min="16" max="18" width="15.33203125" customWidth="1"/>
  </cols>
  <sheetData>
    <row r="1" spans="1:19" x14ac:dyDescent="0.2">
      <c r="A1" s="25" t="s">
        <v>585</v>
      </c>
      <c r="B1" s="25" t="s">
        <v>586</v>
      </c>
      <c r="C1" s="25" t="s">
        <v>587</v>
      </c>
      <c r="D1" s="25" t="s">
        <v>588</v>
      </c>
      <c r="E1" s="28" t="s">
        <v>15965</v>
      </c>
      <c r="F1" s="25" t="s">
        <v>589</v>
      </c>
      <c r="G1" s="28" t="s">
        <v>15964</v>
      </c>
      <c r="H1" s="28" t="s">
        <v>15969</v>
      </c>
      <c r="I1" s="25" t="s">
        <v>590</v>
      </c>
      <c r="J1" s="25" t="s">
        <v>15970</v>
      </c>
      <c r="K1" s="25" t="s">
        <v>591</v>
      </c>
      <c r="L1" s="25" t="s">
        <v>592</v>
      </c>
      <c r="M1" s="25" t="s">
        <v>593</v>
      </c>
      <c r="N1" s="25" t="s">
        <v>594</v>
      </c>
      <c r="O1" s="28" t="s">
        <v>15966</v>
      </c>
      <c r="P1" s="25" t="s">
        <v>595</v>
      </c>
      <c r="Q1" s="28" t="s">
        <v>15963</v>
      </c>
      <c r="R1" s="28" t="s">
        <v>15967</v>
      </c>
      <c r="S1" s="25" t="s">
        <v>261</v>
      </c>
    </row>
    <row r="2" spans="1:19" x14ac:dyDescent="0.2">
      <c r="A2" t="s">
        <v>596</v>
      </c>
      <c r="B2" t="s">
        <v>90</v>
      </c>
      <c r="C2" t="s">
        <v>597</v>
      </c>
      <c r="D2">
        <v>713.49</v>
      </c>
      <c r="E2" s="37" t="str">
        <f>IF(AND(D2&gt;4000,P2&gt;800),"Excellent Order"," ")</f>
        <v xml:space="preserve"> </v>
      </c>
      <c r="F2">
        <v>0.31</v>
      </c>
      <c r="G2" s="37" t="str">
        <f>IF(F2&gt;30%,"Heavy Discount","Normal Discount")</f>
        <v>Heavy Discount</v>
      </c>
      <c r="H2" s="37" t="str">
        <f>IF(F2&gt;0.4,"High",IF(F2&gt;=0.2,"Medium","Low"))</f>
        <v>Medium</v>
      </c>
      <c r="I2">
        <v>3</v>
      </c>
      <c r="J2" t="str" cm="1">
        <f t="array" ref="J2">_xlfn.IFS(I2&lt;=3,"small",I2&lt;=6,"Medium",I2&lt;=9,"Large")</f>
        <v>small</v>
      </c>
      <c r="K2" s="36">
        <v>45015</v>
      </c>
      <c r="L2" s="36">
        <v>45017</v>
      </c>
      <c r="M2" t="s">
        <v>598</v>
      </c>
      <c r="N2" t="s">
        <v>599</v>
      </c>
      <c r="O2" s="37" t="str">
        <f>IF(OR(N2="Card",N2="UPI"),"Digital Payment","Cash Payment")</f>
        <v>Digital Payment</v>
      </c>
      <c r="P2">
        <v>114.72</v>
      </c>
      <c r="Q2" s="37" t="str">
        <f>IF(P2&gt;500,"High","low")</f>
        <v>low</v>
      </c>
      <c r="R2" s="37" t="str">
        <f>IF(P2&gt;1000,"Excellent",IF(P2&gt;=500,"Good","AVERAGE"))</f>
        <v>AVERAGE</v>
      </c>
      <c r="S2" t="s">
        <v>600</v>
      </c>
    </row>
    <row r="3" spans="1:19" x14ac:dyDescent="0.2">
      <c r="A3" t="s">
        <v>601</v>
      </c>
      <c r="B3" t="s">
        <v>67</v>
      </c>
      <c r="C3" t="s">
        <v>602</v>
      </c>
      <c r="D3">
        <v>3802.97</v>
      </c>
      <c r="E3" s="37" t="str">
        <f t="shared" ref="E3:E66" si="0">IF(AND(D3&gt;4000,P3&gt;800),"Excellent Order"," ")</f>
        <v xml:space="preserve"> </v>
      </c>
      <c r="F3">
        <v>0.38</v>
      </c>
      <c r="G3" s="37" t="str">
        <f t="shared" ref="G3:G66" si="1">IF(F3&gt;30%,"Heavy Discount","Normal Discount")</f>
        <v>Heavy Discount</v>
      </c>
      <c r="H3" s="37" t="str">
        <f t="shared" ref="H3:H66" si="2">IF(F3&gt;0.4,"High",IF(F3&gt;=0.2,"Medium","Low"))</f>
        <v>Medium</v>
      </c>
      <c r="I3">
        <v>4</v>
      </c>
      <c r="J3" t="str" cm="1">
        <f t="array" ref="J3">_xlfn.IFS(I3&lt;=3,"small",I3&lt;=6,"Medium",I3&lt;=9,"Large")</f>
        <v>Medium</v>
      </c>
      <c r="K3" s="36">
        <v>45166</v>
      </c>
      <c r="L3" s="36">
        <v>45172</v>
      </c>
      <c r="M3" t="s">
        <v>603</v>
      </c>
      <c r="N3" t="s">
        <v>604</v>
      </c>
      <c r="O3" s="37" t="str">
        <f t="shared" ref="O3:O66" si="3">IF(OR(N3="Card",N3="UPI"),"Digital Payment","Cash Payment")</f>
        <v>Digital Payment</v>
      </c>
      <c r="P3">
        <v>971.41</v>
      </c>
      <c r="Q3" s="37" t="str">
        <f>IF(P3&gt;500,"High","low")</f>
        <v>High</v>
      </c>
      <c r="R3" s="37" t="str">
        <f t="shared" ref="R3:R66" si="4">IF(P3&gt;1000,"Excellent",IF(P3&gt;=500,"Good","AVERAGE"))</f>
        <v>Good</v>
      </c>
      <c r="S3" t="s">
        <v>605</v>
      </c>
    </row>
    <row r="4" spans="1:19" x14ac:dyDescent="0.2">
      <c r="A4" t="s">
        <v>606</v>
      </c>
      <c r="B4" t="s">
        <v>75</v>
      </c>
      <c r="C4" t="s">
        <v>607</v>
      </c>
      <c r="D4">
        <v>3588.97</v>
      </c>
      <c r="E4" s="37" t="str">
        <f t="shared" si="0"/>
        <v xml:space="preserve"> </v>
      </c>
      <c r="F4">
        <v>0.1</v>
      </c>
      <c r="G4" s="37" t="str">
        <f t="shared" si="1"/>
        <v>Normal Discount</v>
      </c>
      <c r="H4" s="37" t="str">
        <f t="shared" si="2"/>
        <v>Low</v>
      </c>
      <c r="I4">
        <v>7</v>
      </c>
      <c r="J4" t="str" cm="1">
        <f t="array" ref="J4">_xlfn.IFS(I4&lt;=3,"small",I4&lt;=6,"Medium",I4&lt;=9,"Large")</f>
        <v>Large</v>
      </c>
      <c r="K4" s="36">
        <v>45360</v>
      </c>
      <c r="L4" s="36">
        <v>45366</v>
      </c>
      <c r="M4" t="s">
        <v>603</v>
      </c>
      <c r="N4" t="s">
        <v>608</v>
      </c>
      <c r="O4" s="37" t="str">
        <f t="shared" si="3"/>
        <v>Cash Payment</v>
      </c>
      <c r="P4">
        <v>769.08</v>
      </c>
      <c r="Q4" s="37" t="str">
        <f>IF(P4&gt;500,"High","low")</f>
        <v>High</v>
      </c>
      <c r="R4" s="37" t="str">
        <f t="shared" si="4"/>
        <v>Good</v>
      </c>
      <c r="S4" t="s">
        <v>609</v>
      </c>
    </row>
    <row r="5" spans="1:19" x14ac:dyDescent="0.2">
      <c r="A5" t="s">
        <v>610</v>
      </c>
      <c r="B5" t="s">
        <v>90</v>
      </c>
      <c r="C5" t="s">
        <v>602</v>
      </c>
      <c r="D5">
        <v>1160.8599999999999</v>
      </c>
      <c r="E5" s="37" t="str">
        <f t="shared" si="0"/>
        <v xml:space="preserve"> </v>
      </c>
      <c r="F5">
        <v>0.27</v>
      </c>
      <c r="G5" s="37" t="str">
        <f t="shared" si="1"/>
        <v>Normal Discount</v>
      </c>
      <c r="H5" s="37" t="str">
        <f t="shared" si="2"/>
        <v>Medium</v>
      </c>
      <c r="I5">
        <v>5</v>
      </c>
      <c r="J5" t="str" cm="1">
        <f t="array" ref="J5">_xlfn.IFS(I5&lt;=3,"small",I5&lt;=6,"Medium",I5&lt;=9,"Large")</f>
        <v>Medium</v>
      </c>
      <c r="K5" s="36">
        <v>45578</v>
      </c>
      <c r="L5" s="36">
        <v>45584</v>
      </c>
      <c r="M5" t="s">
        <v>598</v>
      </c>
      <c r="N5" t="s">
        <v>599</v>
      </c>
      <c r="O5" s="37" t="str">
        <f t="shared" si="3"/>
        <v>Digital Payment</v>
      </c>
      <c r="P5">
        <v>71.61</v>
      </c>
      <c r="Q5" s="37" t="str">
        <f>IF(P5&gt;500,"High","low")</f>
        <v>low</v>
      </c>
      <c r="R5" s="37" t="str">
        <f t="shared" si="4"/>
        <v>AVERAGE</v>
      </c>
      <c r="S5" t="s">
        <v>600</v>
      </c>
    </row>
    <row r="6" spans="1:19" x14ac:dyDescent="0.2">
      <c r="A6" t="s">
        <v>611</v>
      </c>
      <c r="B6" t="s">
        <v>90</v>
      </c>
      <c r="C6" t="s">
        <v>602</v>
      </c>
      <c r="D6">
        <v>3071.32</v>
      </c>
      <c r="E6" s="37" t="str">
        <f t="shared" si="0"/>
        <v xml:space="preserve"> </v>
      </c>
      <c r="F6">
        <v>0</v>
      </c>
      <c r="G6" s="37" t="str">
        <f t="shared" si="1"/>
        <v>Normal Discount</v>
      </c>
      <c r="H6" s="37" t="str">
        <f t="shared" si="2"/>
        <v>Low</v>
      </c>
      <c r="I6">
        <v>7</v>
      </c>
      <c r="J6" t="str" cm="1">
        <f t="array" ref="J6">_xlfn.IFS(I6&lt;=3,"small",I6&lt;=6,"Medium",I6&lt;=9,"Large")</f>
        <v>Large</v>
      </c>
      <c r="K6" s="36">
        <v>45022</v>
      </c>
      <c r="L6" s="36">
        <v>45025</v>
      </c>
      <c r="M6" t="s">
        <v>612</v>
      </c>
      <c r="N6" t="s">
        <v>608</v>
      </c>
      <c r="O6" s="37" t="str">
        <f t="shared" si="3"/>
        <v>Cash Payment</v>
      </c>
      <c r="P6">
        <v>621.91999999999996</v>
      </c>
      <c r="Q6" s="37" t="str">
        <f>IF(P6&gt;500,"High","low")</f>
        <v>High</v>
      </c>
      <c r="R6" s="37" t="str">
        <f t="shared" si="4"/>
        <v>Good</v>
      </c>
      <c r="S6" t="s">
        <v>609</v>
      </c>
    </row>
    <row r="7" spans="1:19" x14ac:dyDescent="0.2">
      <c r="A7" t="s">
        <v>613</v>
      </c>
      <c r="B7" t="s">
        <v>67</v>
      </c>
      <c r="C7" t="s">
        <v>614</v>
      </c>
      <c r="D7">
        <v>2566.1799999999998</v>
      </c>
      <c r="E7" s="37" t="str">
        <f t="shared" si="0"/>
        <v xml:space="preserve"> </v>
      </c>
      <c r="F7">
        <v>0.02</v>
      </c>
      <c r="G7" s="37" t="str">
        <f t="shared" si="1"/>
        <v>Normal Discount</v>
      </c>
      <c r="H7" s="37" t="str">
        <f t="shared" si="2"/>
        <v>Low</v>
      </c>
      <c r="I7">
        <v>6</v>
      </c>
      <c r="J7" t="str" cm="1">
        <f t="array" ref="J7">_xlfn.IFS(I7&lt;=3,"small",I7&lt;=6,"Medium",I7&lt;=9,"Large")</f>
        <v>Medium</v>
      </c>
      <c r="K7" s="36">
        <v>45108</v>
      </c>
      <c r="L7" s="36">
        <v>45111</v>
      </c>
      <c r="M7" t="s">
        <v>598</v>
      </c>
      <c r="N7" t="s">
        <v>599</v>
      </c>
      <c r="O7" s="37" t="str">
        <f t="shared" si="3"/>
        <v>Digital Payment</v>
      </c>
      <c r="P7">
        <v>578.94000000000005</v>
      </c>
      <c r="Q7" s="37" t="str">
        <f>IF(P7&gt;500,"High","low")</f>
        <v>High</v>
      </c>
      <c r="R7" s="37" t="str">
        <f t="shared" si="4"/>
        <v>Good</v>
      </c>
      <c r="S7" t="s">
        <v>615</v>
      </c>
    </row>
    <row r="8" spans="1:19" x14ac:dyDescent="0.2">
      <c r="A8" t="s">
        <v>616</v>
      </c>
      <c r="B8" t="s">
        <v>75</v>
      </c>
      <c r="C8" t="s">
        <v>617</v>
      </c>
      <c r="D8">
        <v>398</v>
      </c>
      <c r="E8" s="37" t="str">
        <f t="shared" si="0"/>
        <v xml:space="preserve"> </v>
      </c>
      <c r="F8">
        <v>0.16</v>
      </c>
      <c r="G8" s="37" t="str">
        <f t="shared" si="1"/>
        <v>Normal Discount</v>
      </c>
      <c r="H8" s="37" t="str">
        <f t="shared" si="2"/>
        <v>Low</v>
      </c>
      <c r="I8">
        <v>4</v>
      </c>
      <c r="J8" t="str" cm="1">
        <f t="array" ref="J8">_xlfn.IFS(I8&lt;=3,"small",I8&lt;=6,"Medium",I8&lt;=9,"Large")</f>
        <v>Medium</v>
      </c>
      <c r="K8" s="36">
        <v>45119</v>
      </c>
      <c r="L8" s="36">
        <v>45124</v>
      </c>
      <c r="M8" t="s">
        <v>612</v>
      </c>
      <c r="N8" t="s">
        <v>608</v>
      </c>
      <c r="O8" s="37" t="str">
        <f t="shared" si="3"/>
        <v>Cash Payment</v>
      </c>
      <c r="P8">
        <v>110.31</v>
      </c>
      <c r="Q8" s="37" t="str">
        <f>IF(P8&gt;500,"High","low")</f>
        <v>low</v>
      </c>
      <c r="R8" s="37" t="str">
        <f t="shared" si="4"/>
        <v>AVERAGE</v>
      </c>
      <c r="S8" t="s">
        <v>615</v>
      </c>
    </row>
    <row r="9" spans="1:19" x14ac:dyDescent="0.2">
      <c r="A9" t="s">
        <v>618</v>
      </c>
      <c r="B9" t="s">
        <v>75</v>
      </c>
      <c r="C9" t="s">
        <v>617</v>
      </c>
      <c r="D9">
        <v>1462.95</v>
      </c>
      <c r="E9" s="37" t="str">
        <f t="shared" si="0"/>
        <v xml:space="preserve"> </v>
      </c>
      <c r="F9">
        <v>0.23</v>
      </c>
      <c r="G9" s="37" t="str">
        <f t="shared" si="1"/>
        <v>Normal Discount</v>
      </c>
      <c r="H9" s="37" t="str">
        <f t="shared" si="2"/>
        <v>Medium</v>
      </c>
      <c r="I9">
        <v>2</v>
      </c>
      <c r="J9" t="str" cm="1">
        <f t="array" ref="J9">_xlfn.IFS(I9&lt;=3,"small",I9&lt;=6,"Medium",I9&lt;=9,"Large")</f>
        <v>small</v>
      </c>
      <c r="K9" s="36">
        <v>45064</v>
      </c>
      <c r="L9" s="36">
        <v>45066</v>
      </c>
      <c r="M9" t="s">
        <v>603</v>
      </c>
      <c r="N9" t="s">
        <v>599</v>
      </c>
      <c r="O9" s="37" t="str">
        <f t="shared" si="3"/>
        <v>Digital Payment</v>
      </c>
      <c r="P9">
        <v>91.68</v>
      </c>
      <c r="Q9" s="37" t="str">
        <f>IF(P9&gt;500,"High","low")</f>
        <v>low</v>
      </c>
      <c r="R9" s="37" t="str">
        <f t="shared" si="4"/>
        <v>AVERAGE</v>
      </c>
      <c r="S9" t="s">
        <v>609</v>
      </c>
    </row>
    <row r="10" spans="1:19" x14ac:dyDescent="0.2">
      <c r="A10" t="s">
        <v>619</v>
      </c>
      <c r="B10" t="s">
        <v>90</v>
      </c>
      <c r="C10" t="s">
        <v>617</v>
      </c>
      <c r="D10">
        <v>4997.47</v>
      </c>
      <c r="E10" s="37" t="str">
        <f t="shared" si="0"/>
        <v>Excellent Order</v>
      </c>
      <c r="F10">
        <v>0.28999999999999998</v>
      </c>
      <c r="G10" s="37" t="str">
        <f t="shared" si="1"/>
        <v>Normal Discount</v>
      </c>
      <c r="H10" s="37" t="str">
        <f t="shared" si="2"/>
        <v>Medium</v>
      </c>
      <c r="I10">
        <v>6</v>
      </c>
      <c r="J10" t="str" cm="1">
        <f t="array" ref="J10">_xlfn.IFS(I10&lt;=3,"small",I10&lt;=6,"Medium",I10&lt;=9,"Large")</f>
        <v>Medium</v>
      </c>
      <c r="K10" s="36">
        <v>45296</v>
      </c>
      <c r="L10" s="36">
        <v>45299</v>
      </c>
      <c r="M10" t="s">
        <v>603</v>
      </c>
      <c r="N10" t="s">
        <v>604</v>
      </c>
      <c r="O10" s="37" t="str">
        <f t="shared" si="3"/>
        <v>Digital Payment</v>
      </c>
      <c r="P10">
        <v>995.78</v>
      </c>
      <c r="Q10" s="37" t="str">
        <f>IF(P10&gt;500,"High","low")</f>
        <v>High</v>
      </c>
      <c r="R10" s="37" t="str">
        <f t="shared" si="4"/>
        <v>Good</v>
      </c>
      <c r="S10" t="s">
        <v>620</v>
      </c>
    </row>
    <row r="11" spans="1:19" x14ac:dyDescent="0.2">
      <c r="A11" t="s">
        <v>621</v>
      </c>
      <c r="B11" t="s">
        <v>83</v>
      </c>
      <c r="C11" t="s">
        <v>614</v>
      </c>
      <c r="D11">
        <v>587.72</v>
      </c>
      <c r="E11" s="37" t="str">
        <f t="shared" si="0"/>
        <v xml:space="preserve"> </v>
      </c>
      <c r="F11">
        <v>0.44</v>
      </c>
      <c r="G11" s="37" t="str">
        <f t="shared" si="1"/>
        <v>Heavy Discount</v>
      </c>
      <c r="H11" s="37" t="str">
        <f t="shared" si="2"/>
        <v>High</v>
      </c>
      <c r="I11">
        <v>6</v>
      </c>
      <c r="J11" t="str" cm="1">
        <f t="array" ref="J11">_xlfn.IFS(I11&lt;=3,"small",I11&lt;=6,"Medium",I11&lt;=9,"Large")</f>
        <v>Medium</v>
      </c>
      <c r="K11" s="36">
        <v>45514</v>
      </c>
      <c r="L11" s="36">
        <v>45521</v>
      </c>
      <c r="M11" t="s">
        <v>612</v>
      </c>
      <c r="N11" t="s">
        <v>608</v>
      </c>
      <c r="O11" s="37" t="str">
        <f t="shared" si="3"/>
        <v>Cash Payment</v>
      </c>
      <c r="P11">
        <v>102.96</v>
      </c>
      <c r="Q11" s="37" t="str">
        <f>IF(P11&gt;500,"High","low")</f>
        <v>low</v>
      </c>
      <c r="R11" s="37" t="str">
        <f t="shared" si="4"/>
        <v>AVERAGE</v>
      </c>
      <c r="S11" t="s">
        <v>600</v>
      </c>
    </row>
    <row r="12" spans="1:19" x14ac:dyDescent="0.2">
      <c r="A12" t="s">
        <v>622</v>
      </c>
      <c r="B12" t="s">
        <v>90</v>
      </c>
      <c r="C12" t="s">
        <v>597</v>
      </c>
      <c r="D12">
        <v>2581.42</v>
      </c>
      <c r="E12" s="37" t="str">
        <f t="shared" si="0"/>
        <v xml:space="preserve"> </v>
      </c>
      <c r="F12">
        <v>0.39</v>
      </c>
      <c r="G12" s="37" t="str">
        <f t="shared" si="1"/>
        <v>Heavy Discount</v>
      </c>
      <c r="H12" s="37" t="str">
        <f t="shared" si="2"/>
        <v>Medium</v>
      </c>
      <c r="I12">
        <v>6</v>
      </c>
      <c r="J12" t="str" cm="1">
        <f t="array" ref="J12">_xlfn.IFS(I12&lt;=3,"small",I12&lt;=6,"Medium",I12&lt;=9,"Large")</f>
        <v>Medium</v>
      </c>
      <c r="K12" s="36">
        <v>45419</v>
      </c>
      <c r="L12" s="36">
        <v>45420</v>
      </c>
      <c r="M12" t="s">
        <v>603</v>
      </c>
      <c r="N12" t="s">
        <v>608</v>
      </c>
      <c r="O12" s="37" t="str">
        <f t="shared" si="3"/>
        <v>Cash Payment</v>
      </c>
      <c r="P12">
        <v>542.82000000000005</v>
      </c>
      <c r="Q12" s="37" t="str">
        <f>IF(P12&gt;500,"High","low")</f>
        <v>High</v>
      </c>
      <c r="R12" s="37" t="str">
        <f t="shared" si="4"/>
        <v>Good</v>
      </c>
      <c r="S12" t="s">
        <v>609</v>
      </c>
    </row>
    <row r="13" spans="1:19" x14ac:dyDescent="0.2">
      <c r="A13" t="s">
        <v>623</v>
      </c>
      <c r="B13" t="s">
        <v>90</v>
      </c>
      <c r="C13" t="s">
        <v>597</v>
      </c>
      <c r="D13">
        <v>4261.74</v>
      </c>
      <c r="E13" s="37" t="str">
        <f t="shared" si="0"/>
        <v>Excellent Order</v>
      </c>
      <c r="F13">
        <v>0.15</v>
      </c>
      <c r="G13" s="37" t="str">
        <f t="shared" si="1"/>
        <v>Normal Discount</v>
      </c>
      <c r="H13" s="37" t="str">
        <f t="shared" si="2"/>
        <v>Low</v>
      </c>
      <c r="I13">
        <v>1</v>
      </c>
      <c r="J13" t="str" cm="1">
        <f t="array" ref="J13">_xlfn.IFS(I13&lt;=3,"small",I13&lt;=6,"Medium",I13&lt;=9,"Large")</f>
        <v>small</v>
      </c>
      <c r="K13" s="36">
        <v>45171</v>
      </c>
      <c r="L13" s="36">
        <v>45172</v>
      </c>
      <c r="M13" t="s">
        <v>612</v>
      </c>
      <c r="N13" t="s">
        <v>599</v>
      </c>
      <c r="O13" s="37" t="str">
        <f t="shared" si="3"/>
        <v>Digital Payment</v>
      </c>
      <c r="P13">
        <v>1028.47</v>
      </c>
      <c r="Q13" s="37" t="str">
        <f>IF(P13&gt;500,"High","low")</f>
        <v>High</v>
      </c>
      <c r="R13" s="37" t="str">
        <f t="shared" si="4"/>
        <v>Excellent</v>
      </c>
      <c r="S13" t="s">
        <v>600</v>
      </c>
    </row>
    <row r="14" spans="1:19" x14ac:dyDescent="0.2">
      <c r="A14" t="s">
        <v>624</v>
      </c>
      <c r="B14" t="s">
        <v>90</v>
      </c>
      <c r="C14" t="s">
        <v>607</v>
      </c>
      <c r="D14">
        <v>1573.19</v>
      </c>
      <c r="E14" s="37" t="str">
        <f t="shared" si="0"/>
        <v xml:space="preserve"> </v>
      </c>
      <c r="F14">
        <v>0.37</v>
      </c>
      <c r="G14" s="37" t="str">
        <f t="shared" si="1"/>
        <v>Heavy Discount</v>
      </c>
      <c r="H14" s="37" t="str">
        <f t="shared" si="2"/>
        <v>Medium</v>
      </c>
      <c r="I14">
        <v>6</v>
      </c>
      <c r="J14" t="str" cm="1">
        <f t="array" ref="J14">_xlfn.IFS(I14&lt;=3,"small",I14&lt;=6,"Medium",I14&lt;=9,"Large")</f>
        <v>Medium</v>
      </c>
      <c r="K14" s="36">
        <v>45331</v>
      </c>
      <c r="L14" s="36">
        <v>45338</v>
      </c>
      <c r="M14" t="s">
        <v>612</v>
      </c>
      <c r="N14" t="s">
        <v>608</v>
      </c>
      <c r="O14" s="37" t="str">
        <f t="shared" si="3"/>
        <v>Cash Payment</v>
      </c>
      <c r="P14">
        <v>131.5</v>
      </c>
      <c r="Q14" s="37" t="str">
        <f>IF(P14&gt;500,"High","low")</f>
        <v>low</v>
      </c>
      <c r="R14" s="37" t="str">
        <f t="shared" si="4"/>
        <v>AVERAGE</v>
      </c>
      <c r="S14" t="s">
        <v>609</v>
      </c>
    </row>
    <row r="15" spans="1:19" x14ac:dyDescent="0.2">
      <c r="A15" t="s">
        <v>625</v>
      </c>
      <c r="B15" t="s">
        <v>90</v>
      </c>
      <c r="C15" t="s">
        <v>597</v>
      </c>
      <c r="D15">
        <v>1377.47</v>
      </c>
      <c r="E15" s="37" t="str">
        <f t="shared" si="0"/>
        <v xml:space="preserve"> </v>
      </c>
      <c r="F15">
        <v>0.27</v>
      </c>
      <c r="G15" s="37" t="str">
        <f t="shared" si="1"/>
        <v>Normal Discount</v>
      </c>
      <c r="H15" s="37" t="str">
        <f t="shared" si="2"/>
        <v>Medium</v>
      </c>
      <c r="I15">
        <v>2</v>
      </c>
      <c r="J15" t="str" cm="1">
        <f t="array" ref="J15">_xlfn.IFS(I15&lt;=3,"small",I15&lt;=6,"Medium",I15&lt;=9,"Large")</f>
        <v>small</v>
      </c>
      <c r="K15" s="36">
        <v>45074</v>
      </c>
      <c r="L15" s="36">
        <v>45075</v>
      </c>
      <c r="M15" t="s">
        <v>598</v>
      </c>
      <c r="N15" t="s">
        <v>608</v>
      </c>
      <c r="O15" s="37" t="str">
        <f t="shared" si="3"/>
        <v>Cash Payment</v>
      </c>
      <c r="P15">
        <v>255.49</v>
      </c>
      <c r="Q15" s="37" t="str">
        <f>IF(P15&gt;500,"High","low")</f>
        <v>low</v>
      </c>
      <c r="R15" s="37" t="str">
        <f t="shared" si="4"/>
        <v>AVERAGE</v>
      </c>
      <c r="S15" t="s">
        <v>620</v>
      </c>
    </row>
    <row r="16" spans="1:19" x14ac:dyDescent="0.2">
      <c r="A16" t="s">
        <v>626</v>
      </c>
      <c r="B16" t="s">
        <v>67</v>
      </c>
      <c r="C16" t="s">
        <v>597</v>
      </c>
      <c r="D16">
        <v>4464.8900000000003</v>
      </c>
      <c r="E16" s="37" t="str">
        <f t="shared" si="0"/>
        <v>Excellent Order</v>
      </c>
      <c r="F16">
        <v>0.39</v>
      </c>
      <c r="G16" s="37" t="str">
        <f t="shared" si="1"/>
        <v>Heavy Discount</v>
      </c>
      <c r="H16" s="37" t="str">
        <f t="shared" si="2"/>
        <v>Medium</v>
      </c>
      <c r="I16">
        <v>5</v>
      </c>
      <c r="J16" t="str" cm="1">
        <f t="array" ref="J16">_xlfn.IFS(I16&lt;=3,"small",I16&lt;=6,"Medium",I16&lt;=9,"Large")</f>
        <v>Medium</v>
      </c>
      <c r="K16" s="36">
        <v>45296</v>
      </c>
      <c r="L16" s="36">
        <v>45303</v>
      </c>
      <c r="M16" t="s">
        <v>603</v>
      </c>
      <c r="N16" t="s">
        <v>599</v>
      </c>
      <c r="O16" s="37" t="str">
        <f t="shared" si="3"/>
        <v>Digital Payment</v>
      </c>
      <c r="P16">
        <v>804.36</v>
      </c>
      <c r="Q16" s="37" t="str">
        <f>IF(P16&gt;500,"High","low")</f>
        <v>High</v>
      </c>
      <c r="R16" s="37" t="str">
        <f t="shared" si="4"/>
        <v>Good</v>
      </c>
      <c r="S16" t="s">
        <v>600</v>
      </c>
    </row>
    <row r="17" spans="1:19" x14ac:dyDescent="0.2">
      <c r="A17" t="s">
        <v>627</v>
      </c>
      <c r="B17" t="s">
        <v>75</v>
      </c>
      <c r="C17" t="s">
        <v>617</v>
      </c>
      <c r="D17">
        <v>1593.67</v>
      </c>
      <c r="E17" s="37" t="str">
        <f t="shared" si="0"/>
        <v xml:space="preserve"> </v>
      </c>
      <c r="F17">
        <v>0.21</v>
      </c>
      <c r="G17" s="37" t="str">
        <f t="shared" si="1"/>
        <v>Normal Discount</v>
      </c>
      <c r="H17" s="37" t="str">
        <f t="shared" si="2"/>
        <v>Medium</v>
      </c>
      <c r="I17">
        <v>7</v>
      </c>
      <c r="J17" t="str" cm="1">
        <f t="array" ref="J17">_xlfn.IFS(I17&lt;=3,"small",I17&lt;=6,"Medium",I17&lt;=9,"Large")</f>
        <v>Large</v>
      </c>
      <c r="K17" s="36">
        <v>45583</v>
      </c>
      <c r="L17" s="36">
        <v>45587</v>
      </c>
      <c r="M17" t="s">
        <v>598</v>
      </c>
      <c r="N17" t="s">
        <v>604</v>
      </c>
      <c r="O17" s="37" t="str">
        <f t="shared" si="3"/>
        <v>Digital Payment</v>
      </c>
      <c r="P17">
        <v>284.91000000000003</v>
      </c>
      <c r="Q17" s="37" t="str">
        <f>IF(P17&gt;500,"High","low")</f>
        <v>low</v>
      </c>
      <c r="R17" s="37" t="str">
        <f t="shared" si="4"/>
        <v>AVERAGE</v>
      </c>
      <c r="S17" t="s">
        <v>628</v>
      </c>
    </row>
    <row r="18" spans="1:19" x14ac:dyDescent="0.2">
      <c r="A18" t="s">
        <v>629</v>
      </c>
      <c r="B18" t="s">
        <v>67</v>
      </c>
      <c r="C18" t="s">
        <v>602</v>
      </c>
      <c r="D18">
        <v>3292.32</v>
      </c>
      <c r="E18" s="37" t="str">
        <f t="shared" si="0"/>
        <v xml:space="preserve"> </v>
      </c>
      <c r="F18">
        <v>0.05</v>
      </c>
      <c r="G18" s="37" t="str">
        <f t="shared" si="1"/>
        <v>Normal Discount</v>
      </c>
      <c r="H18" s="37" t="str">
        <f t="shared" si="2"/>
        <v>Low</v>
      </c>
      <c r="I18">
        <v>1</v>
      </c>
      <c r="J18" t="str" cm="1">
        <f t="array" ref="J18">_xlfn.IFS(I18&lt;=3,"small",I18&lt;=6,"Medium",I18&lt;=9,"Large")</f>
        <v>small</v>
      </c>
      <c r="K18" s="36">
        <v>45042</v>
      </c>
      <c r="L18" s="36">
        <v>45043</v>
      </c>
      <c r="M18" t="s">
        <v>598</v>
      </c>
      <c r="N18" t="s">
        <v>604</v>
      </c>
      <c r="O18" s="37" t="str">
        <f t="shared" si="3"/>
        <v>Digital Payment</v>
      </c>
      <c r="P18">
        <v>504.83</v>
      </c>
      <c r="Q18" s="37" t="str">
        <f>IF(P18&gt;500,"High","low")</f>
        <v>High</v>
      </c>
      <c r="R18" s="37" t="str">
        <f t="shared" si="4"/>
        <v>Good</v>
      </c>
      <c r="S18" t="s">
        <v>615</v>
      </c>
    </row>
    <row r="19" spans="1:19" x14ac:dyDescent="0.2">
      <c r="A19" t="s">
        <v>630</v>
      </c>
      <c r="B19" t="s">
        <v>67</v>
      </c>
      <c r="C19" t="s">
        <v>597</v>
      </c>
      <c r="D19">
        <v>3727.53</v>
      </c>
      <c r="E19" s="37" t="str">
        <f t="shared" si="0"/>
        <v xml:space="preserve"> </v>
      </c>
      <c r="F19">
        <v>0.31</v>
      </c>
      <c r="G19" s="37" t="str">
        <f t="shared" si="1"/>
        <v>Heavy Discount</v>
      </c>
      <c r="H19" s="37" t="str">
        <f t="shared" si="2"/>
        <v>Medium</v>
      </c>
      <c r="I19">
        <v>5</v>
      </c>
      <c r="J19" t="str" cm="1">
        <f t="array" ref="J19">_xlfn.IFS(I19&lt;=3,"small",I19&lt;=6,"Medium",I19&lt;=9,"Large")</f>
        <v>Medium</v>
      </c>
      <c r="K19" s="36">
        <v>45228</v>
      </c>
      <c r="L19" s="36">
        <v>45235</v>
      </c>
      <c r="M19" t="s">
        <v>603</v>
      </c>
      <c r="N19" t="s">
        <v>604</v>
      </c>
      <c r="O19" s="37" t="str">
        <f t="shared" si="3"/>
        <v>Digital Payment</v>
      </c>
      <c r="P19">
        <v>978.07</v>
      </c>
      <c r="Q19" s="37" t="str">
        <f>IF(P19&gt;500,"High","low")</f>
        <v>High</v>
      </c>
      <c r="R19" s="37" t="str">
        <f t="shared" si="4"/>
        <v>Good</v>
      </c>
      <c r="S19" t="s">
        <v>628</v>
      </c>
    </row>
    <row r="20" spans="1:19" x14ac:dyDescent="0.2">
      <c r="A20" t="s">
        <v>631</v>
      </c>
      <c r="B20" t="s">
        <v>67</v>
      </c>
      <c r="C20" t="s">
        <v>597</v>
      </c>
      <c r="D20">
        <v>3964.23</v>
      </c>
      <c r="E20" s="37" t="str">
        <f t="shared" si="0"/>
        <v xml:space="preserve"> </v>
      </c>
      <c r="F20">
        <v>0.28000000000000003</v>
      </c>
      <c r="G20" s="37" t="str">
        <f t="shared" si="1"/>
        <v>Normal Discount</v>
      </c>
      <c r="H20" s="37" t="str">
        <f t="shared" si="2"/>
        <v>Medium</v>
      </c>
      <c r="I20">
        <v>9</v>
      </c>
      <c r="J20" t="str" cm="1">
        <f t="array" ref="J20">_xlfn.IFS(I20&lt;=3,"small",I20&lt;=6,"Medium",I20&lt;=9,"Large")</f>
        <v>Large</v>
      </c>
      <c r="K20" s="36">
        <v>45448</v>
      </c>
      <c r="L20" s="36">
        <v>45451</v>
      </c>
      <c r="M20" t="s">
        <v>598</v>
      </c>
      <c r="N20" t="s">
        <v>599</v>
      </c>
      <c r="O20" s="37" t="str">
        <f t="shared" si="3"/>
        <v>Digital Payment</v>
      </c>
      <c r="P20">
        <v>260.95</v>
      </c>
      <c r="Q20" s="37" t="str">
        <f>IF(P20&gt;500,"High","low")</f>
        <v>low</v>
      </c>
      <c r="R20" s="37" t="str">
        <f t="shared" si="4"/>
        <v>AVERAGE</v>
      </c>
      <c r="S20" t="s">
        <v>609</v>
      </c>
    </row>
    <row r="21" spans="1:19" x14ac:dyDescent="0.2">
      <c r="A21" t="s">
        <v>632</v>
      </c>
      <c r="B21" t="s">
        <v>90</v>
      </c>
      <c r="C21" t="s">
        <v>614</v>
      </c>
      <c r="D21">
        <v>4974.32</v>
      </c>
      <c r="E21" s="37" t="str">
        <f t="shared" si="0"/>
        <v xml:space="preserve"> </v>
      </c>
      <c r="F21">
        <v>0.48</v>
      </c>
      <c r="G21" s="37" t="str">
        <f t="shared" si="1"/>
        <v>Heavy Discount</v>
      </c>
      <c r="H21" s="37" t="str">
        <f t="shared" si="2"/>
        <v>High</v>
      </c>
      <c r="I21">
        <v>3</v>
      </c>
      <c r="J21" t="str" cm="1">
        <f t="array" ref="J21">_xlfn.IFS(I21&lt;=3,"small",I21&lt;=6,"Medium",I21&lt;=9,"Large")</f>
        <v>small</v>
      </c>
      <c r="K21" s="36">
        <v>45047</v>
      </c>
      <c r="L21" s="36">
        <v>45051</v>
      </c>
      <c r="M21" t="s">
        <v>603</v>
      </c>
      <c r="N21" t="s">
        <v>604</v>
      </c>
      <c r="O21" s="37" t="str">
        <f t="shared" si="3"/>
        <v>Digital Payment</v>
      </c>
      <c r="P21">
        <v>727.29</v>
      </c>
      <c r="Q21" s="37" t="str">
        <f>IF(P21&gt;500,"High","low")</f>
        <v>High</v>
      </c>
      <c r="R21" s="37" t="str">
        <f t="shared" si="4"/>
        <v>Good</v>
      </c>
      <c r="S21" t="s">
        <v>620</v>
      </c>
    </row>
    <row r="22" spans="1:19" x14ac:dyDescent="0.2">
      <c r="A22" t="s">
        <v>633</v>
      </c>
      <c r="B22" t="s">
        <v>83</v>
      </c>
      <c r="C22" t="s">
        <v>607</v>
      </c>
      <c r="D22">
        <v>4035.64</v>
      </c>
      <c r="E22" s="37" t="str">
        <f t="shared" si="0"/>
        <v xml:space="preserve"> </v>
      </c>
      <c r="F22">
        <v>0.08</v>
      </c>
      <c r="G22" s="37" t="str">
        <f t="shared" si="1"/>
        <v>Normal Discount</v>
      </c>
      <c r="H22" s="37" t="str">
        <f t="shared" si="2"/>
        <v>Low</v>
      </c>
      <c r="I22">
        <v>2</v>
      </c>
      <c r="J22" t="str" cm="1">
        <f t="array" ref="J22">_xlfn.IFS(I22&lt;=3,"small",I22&lt;=6,"Medium",I22&lt;=9,"Large")</f>
        <v>small</v>
      </c>
      <c r="K22" s="36">
        <v>45586</v>
      </c>
      <c r="L22" s="36">
        <v>45593</v>
      </c>
      <c r="M22" t="s">
        <v>603</v>
      </c>
      <c r="N22" t="s">
        <v>608</v>
      </c>
      <c r="O22" s="37" t="str">
        <f t="shared" si="3"/>
        <v>Cash Payment</v>
      </c>
      <c r="P22">
        <v>798.81</v>
      </c>
      <c r="Q22" s="37" t="str">
        <f>IF(P22&gt;500,"High","low")</f>
        <v>High</v>
      </c>
      <c r="R22" s="37" t="str">
        <f t="shared" si="4"/>
        <v>Good</v>
      </c>
      <c r="S22" t="s">
        <v>620</v>
      </c>
    </row>
    <row r="23" spans="1:19" x14ac:dyDescent="0.2">
      <c r="A23" t="s">
        <v>634</v>
      </c>
      <c r="B23" t="s">
        <v>75</v>
      </c>
      <c r="C23" t="s">
        <v>614</v>
      </c>
      <c r="D23">
        <v>3319.36</v>
      </c>
      <c r="E23" s="37" t="str">
        <f t="shared" si="0"/>
        <v xml:space="preserve"> </v>
      </c>
      <c r="F23">
        <v>0.33</v>
      </c>
      <c r="G23" s="37" t="str">
        <f t="shared" si="1"/>
        <v>Heavy Discount</v>
      </c>
      <c r="H23" s="37" t="str">
        <f t="shared" si="2"/>
        <v>Medium</v>
      </c>
      <c r="I23">
        <v>2</v>
      </c>
      <c r="J23" t="str" cm="1">
        <f t="array" ref="J23">_xlfn.IFS(I23&lt;=3,"small",I23&lt;=6,"Medium",I23&lt;=9,"Large")</f>
        <v>small</v>
      </c>
      <c r="K23" s="36">
        <v>45153</v>
      </c>
      <c r="L23" s="36">
        <v>45159</v>
      </c>
      <c r="M23" t="s">
        <v>598</v>
      </c>
      <c r="N23" t="s">
        <v>608</v>
      </c>
      <c r="O23" s="37" t="str">
        <f t="shared" si="3"/>
        <v>Cash Payment</v>
      </c>
      <c r="P23">
        <v>920.22</v>
      </c>
      <c r="Q23" s="37" t="str">
        <f>IF(P23&gt;500,"High","low")</f>
        <v>High</v>
      </c>
      <c r="R23" s="37" t="str">
        <f t="shared" si="4"/>
        <v>Good</v>
      </c>
      <c r="S23" t="s">
        <v>609</v>
      </c>
    </row>
    <row r="24" spans="1:19" x14ac:dyDescent="0.2">
      <c r="A24" t="s">
        <v>635</v>
      </c>
      <c r="B24" t="s">
        <v>83</v>
      </c>
      <c r="C24" t="s">
        <v>617</v>
      </c>
      <c r="D24">
        <v>4487.7700000000004</v>
      </c>
      <c r="E24" s="37" t="str">
        <f t="shared" si="0"/>
        <v>Excellent Order</v>
      </c>
      <c r="F24">
        <v>0.24</v>
      </c>
      <c r="G24" s="37" t="str">
        <f t="shared" si="1"/>
        <v>Normal Discount</v>
      </c>
      <c r="H24" s="37" t="str">
        <f t="shared" si="2"/>
        <v>Medium</v>
      </c>
      <c r="I24">
        <v>3</v>
      </c>
      <c r="J24" t="str" cm="1">
        <f t="array" ref="J24">_xlfn.IFS(I24&lt;=3,"small",I24&lt;=6,"Medium",I24&lt;=9,"Large")</f>
        <v>small</v>
      </c>
      <c r="K24" s="36">
        <v>45657</v>
      </c>
      <c r="L24" s="36">
        <v>45659</v>
      </c>
      <c r="M24" t="s">
        <v>603</v>
      </c>
      <c r="N24" t="s">
        <v>604</v>
      </c>
      <c r="O24" s="37" t="str">
        <f t="shared" si="3"/>
        <v>Digital Payment</v>
      </c>
      <c r="P24">
        <v>931.37</v>
      </c>
      <c r="Q24" s="37" t="str">
        <f>IF(P24&gt;500,"High","low")</f>
        <v>High</v>
      </c>
      <c r="R24" s="37" t="str">
        <f t="shared" si="4"/>
        <v>Good</v>
      </c>
      <c r="S24" t="s">
        <v>600</v>
      </c>
    </row>
    <row r="25" spans="1:19" x14ac:dyDescent="0.2">
      <c r="A25" t="s">
        <v>636</v>
      </c>
      <c r="B25" t="s">
        <v>67</v>
      </c>
      <c r="C25" t="s">
        <v>602</v>
      </c>
      <c r="D25">
        <v>4538.1499999999996</v>
      </c>
      <c r="E25" s="37" t="str">
        <f t="shared" si="0"/>
        <v xml:space="preserve"> </v>
      </c>
      <c r="F25">
        <v>0.19</v>
      </c>
      <c r="G25" s="37" t="str">
        <f t="shared" si="1"/>
        <v>Normal Discount</v>
      </c>
      <c r="H25" s="37" t="str">
        <f t="shared" si="2"/>
        <v>Low</v>
      </c>
      <c r="I25">
        <v>1</v>
      </c>
      <c r="J25" t="str" cm="1">
        <f t="array" ref="J25">_xlfn.IFS(I25&lt;=3,"small",I25&lt;=6,"Medium",I25&lt;=9,"Large")</f>
        <v>small</v>
      </c>
      <c r="K25" s="36">
        <v>45005</v>
      </c>
      <c r="L25" s="36">
        <v>45008</v>
      </c>
      <c r="M25" t="s">
        <v>603</v>
      </c>
      <c r="N25" t="s">
        <v>608</v>
      </c>
      <c r="O25" s="37" t="str">
        <f t="shared" si="3"/>
        <v>Cash Payment</v>
      </c>
      <c r="P25">
        <v>375.7</v>
      </c>
      <c r="Q25" s="37" t="str">
        <f>IF(P25&gt;500,"High","low")</f>
        <v>low</v>
      </c>
      <c r="R25" s="37" t="str">
        <f t="shared" si="4"/>
        <v>AVERAGE</v>
      </c>
      <c r="S25" t="s">
        <v>620</v>
      </c>
    </row>
    <row r="26" spans="1:19" x14ac:dyDescent="0.2">
      <c r="A26" t="s">
        <v>637</v>
      </c>
      <c r="B26" t="s">
        <v>67</v>
      </c>
      <c r="C26" t="s">
        <v>607</v>
      </c>
      <c r="D26">
        <v>4868.5200000000004</v>
      </c>
      <c r="E26" s="37" t="str">
        <f t="shared" si="0"/>
        <v>Excellent Order</v>
      </c>
      <c r="F26">
        <v>0.4</v>
      </c>
      <c r="G26" s="37" t="str">
        <f t="shared" si="1"/>
        <v>Heavy Discount</v>
      </c>
      <c r="H26" s="37" t="str">
        <f t="shared" si="2"/>
        <v>Medium</v>
      </c>
      <c r="I26">
        <v>2</v>
      </c>
      <c r="J26" t="str" cm="1">
        <f t="array" ref="J26">_xlfn.IFS(I26&lt;=3,"small",I26&lt;=6,"Medium",I26&lt;=9,"Large")</f>
        <v>small</v>
      </c>
      <c r="K26" s="36">
        <v>45272</v>
      </c>
      <c r="L26" s="36">
        <v>45273</v>
      </c>
      <c r="M26" t="s">
        <v>603</v>
      </c>
      <c r="N26" t="s">
        <v>608</v>
      </c>
      <c r="O26" s="37" t="str">
        <f t="shared" si="3"/>
        <v>Cash Payment</v>
      </c>
      <c r="P26">
        <v>1072.26</v>
      </c>
      <c r="Q26" s="37" t="str">
        <f>IF(P26&gt;500,"High","low")</f>
        <v>High</v>
      </c>
      <c r="R26" s="37" t="str">
        <f t="shared" si="4"/>
        <v>Excellent</v>
      </c>
      <c r="S26" t="s">
        <v>615</v>
      </c>
    </row>
    <row r="27" spans="1:19" x14ac:dyDescent="0.2">
      <c r="A27" t="s">
        <v>638</v>
      </c>
      <c r="B27" t="s">
        <v>83</v>
      </c>
      <c r="C27" t="s">
        <v>614</v>
      </c>
      <c r="D27">
        <v>3904.68</v>
      </c>
      <c r="E27" s="37" t="str">
        <f t="shared" si="0"/>
        <v xml:space="preserve"> </v>
      </c>
      <c r="F27">
        <v>0.41</v>
      </c>
      <c r="G27" s="37" t="str">
        <f t="shared" si="1"/>
        <v>Heavy Discount</v>
      </c>
      <c r="H27" s="37" t="str">
        <f t="shared" si="2"/>
        <v>High</v>
      </c>
      <c r="I27">
        <v>6</v>
      </c>
      <c r="J27" t="str" cm="1">
        <f t="array" ref="J27">_xlfn.IFS(I27&lt;=3,"small",I27&lt;=6,"Medium",I27&lt;=9,"Large")</f>
        <v>Medium</v>
      </c>
      <c r="K27" s="36">
        <v>45066</v>
      </c>
      <c r="L27" s="36">
        <v>45072</v>
      </c>
      <c r="M27" t="s">
        <v>603</v>
      </c>
      <c r="N27" t="s">
        <v>604</v>
      </c>
      <c r="O27" s="37" t="str">
        <f t="shared" si="3"/>
        <v>Digital Payment</v>
      </c>
      <c r="P27">
        <v>526.66</v>
      </c>
      <c r="Q27" s="37" t="str">
        <f>IF(P27&gt;500,"High","low")</f>
        <v>High</v>
      </c>
      <c r="R27" s="37" t="str">
        <f t="shared" si="4"/>
        <v>Good</v>
      </c>
      <c r="S27" t="s">
        <v>605</v>
      </c>
    </row>
    <row r="28" spans="1:19" x14ac:dyDescent="0.2">
      <c r="A28" t="s">
        <v>639</v>
      </c>
      <c r="B28" t="s">
        <v>83</v>
      </c>
      <c r="C28" t="s">
        <v>597</v>
      </c>
      <c r="D28">
        <v>1055.1400000000001</v>
      </c>
      <c r="E28" s="37" t="str">
        <f t="shared" si="0"/>
        <v xml:space="preserve"> </v>
      </c>
      <c r="F28">
        <v>0.36</v>
      </c>
      <c r="G28" s="37" t="str">
        <f t="shared" si="1"/>
        <v>Heavy Discount</v>
      </c>
      <c r="H28" s="37" t="str">
        <f t="shared" si="2"/>
        <v>Medium</v>
      </c>
      <c r="I28">
        <v>8</v>
      </c>
      <c r="J28" t="str" cm="1">
        <f t="array" ref="J28">_xlfn.IFS(I28&lt;=3,"small",I28&lt;=6,"Medium",I28&lt;=9,"Large")</f>
        <v>Large</v>
      </c>
      <c r="K28" s="36">
        <v>45462</v>
      </c>
      <c r="L28" s="36">
        <v>45468</v>
      </c>
      <c r="M28" t="s">
        <v>598</v>
      </c>
      <c r="N28" t="s">
        <v>599</v>
      </c>
      <c r="O28" s="37" t="str">
        <f t="shared" si="3"/>
        <v>Digital Payment</v>
      </c>
      <c r="P28">
        <v>207.61</v>
      </c>
      <c r="Q28" s="37" t="str">
        <f>IF(P28&gt;500,"High","low")</f>
        <v>low</v>
      </c>
      <c r="R28" s="37" t="str">
        <f t="shared" si="4"/>
        <v>AVERAGE</v>
      </c>
      <c r="S28" t="s">
        <v>628</v>
      </c>
    </row>
    <row r="29" spans="1:19" x14ac:dyDescent="0.2">
      <c r="A29" t="s">
        <v>640</v>
      </c>
      <c r="B29" t="s">
        <v>83</v>
      </c>
      <c r="C29" t="s">
        <v>597</v>
      </c>
      <c r="D29">
        <v>3578.05</v>
      </c>
      <c r="E29" s="37" t="str">
        <f t="shared" si="0"/>
        <v xml:space="preserve"> </v>
      </c>
      <c r="F29">
        <v>0.04</v>
      </c>
      <c r="G29" s="37" t="str">
        <f t="shared" si="1"/>
        <v>Normal Discount</v>
      </c>
      <c r="H29" s="37" t="str">
        <f t="shared" si="2"/>
        <v>Low</v>
      </c>
      <c r="I29">
        <v>4</v>
      </c>
      <c r="J29" t="str" cm="1">
        <f t="array" ref="J29">_xlfn.IFS(I29&lt;=3,"small",I29&lt;=6,"Medium",I29&lt;=9,"Large")</f>
        <v>Medium</v>
      </c>
      <c r="K29" s="36">
        <v>45215</v>
      </c>
      <c r="L29" s="36">
        <v>45217</v>
      </c>
      <c r="M29" t="s">
        <v>612</v>
      </c>
      <c r="N29" t="s">
        <v>604</v>
      </c>
      <c r="O29" s="37" t="str">
        <f t="shared" si="3"/>
        <v>Digital Payment</v>
      </c>
      <c r="P29">
        <v>689.74</v>
      </c>
      <c r="Q29" s="37" t="str">
        <f>IF(P29&gt;500,"High","low")</f>
        <v>High</v>
      </c>
      <c r="R29" s="37" t="str">
        <f t="shared" si="4"/>
        <v>Good</v>
      </c>
      <c r="S29" t="s">
        <v>615</v>
      </c>
    </row>
    <row r="30" spans="1:19" x14ac:dyDescent="0.2">
      <c r="A30" t="s">
        <v>641</v>
      </c>
      <c r="B30" t="s">
        <v>67</v>
      </c>
      <c r="C30" t="s">
        <v>607</v>
      </c>
      <c r="D30">
        <v>468.13</v>
      </c>
      <c r="E30" s="37" t="str">
        <f t="shared" si="0"/>
        <v xml:space="preserve"> </v>
      </c>
      <c r="F30">
        <v>0.17</v>
      </c>
      <c r="G30" s="37" t="str">
        <f t="shared" si="1"/>
        <v>Normal Discount</v>
      </c>
      <c r="H30" s="37" t="str">
        <f t="shared" si="2"/>
        <v>Low</v>
      </c>
      <c r="I30">
        <v>2</v>
      </c>
      <c r="J30" t="str" cm="1">
        <f t="array" ref="J30">_xlfn.IFS(I30&lt;=3,"small",I30&lt;=6,"Medium",I30&lt;=9,"Large")</f>
        <v>small</v>
      </c>
      <c r="K30" s="36">
        <v>45255</v>
      </c>
      <c r="L30" s="36">
        <v>45261</v>
      </c>
      <c r="M30" t="s">
        <v>598</v>
      </c>
      <c r="N30" t="s">
        <v>599</v>
      </c>
      <c r="O30" s="37" t="str">
        <f t="shared" si="3"/>
        <v>Digital Payment</v>
      </c>
      <c r="P30">
        <v>43.58</v>
      </c>
      <c r="Q30" s="37" t="str">
        <f>IF(P30&gt;500,"High","low")</f>
        <v>low</v>
      </c>
      <c r="R30" s="37" t="str">
        <f t="shared" si="4"/>
        <v>AVERAGE</v>
      </c>
      <c r="S30" t="s">
        <v>605</v>
      </c>
    </row>
    <row r="31" spans="1:19" x14ac:dyDescent="0.2">
      <c r="A31" t="s">
        <v>642</v>
      </c>
      <c r="B31" t="s">
        <v>67</v>
      </c>
      <c r="C31" t="s">
        <v>597</v>
      </c>
      <c r="D31">
        <v>1658.02</v>
      </c>
      <c r="E31" s="37" t="str">
        <f t="shared" si="0"/>
        <v xml:space="preserve"> </v>
      </c>
      <c r="F31">
        <v>0.02</v>
      </c>
      <c r="G31" s="37" t="str">
        <f t="shared" si="1"/>
        <v>Normal Discount</v>
      </c>
      <c r="H31" s="37" t="str">
        <f t="shared" si="2"/>
        <v>Low</v>
      </c>
      <c r="I31">
        <v>5</v>
      </c>
      <c r="J31" t="str" cm="1">
        <f t="array" ref="J31">_xlfn.IFS(I31&lt;=3,"small",I31&lt;=6,"Medium",I31&lt;=9,"Large")</f>
        <v>Medium</v>
      </c>
      <c r="K31" s="36">
        <v>45356</v>
      </c>
      <c r="L31" s="36">
        <v>45357</v>
      </c>
      <c r="M31" t="s">
        <v>612</v>
      </c>
      <c r="N31" t="s">
        <v>608</v>
      </c>
      <c r="O31" s="37" t="str">
        <f t="shared" si="3"/>
        <v>Cash Payment</v>
      </c>
      <c r="P31">
        <v>422.33</v>
      </c>
      <c r="Q31" s="37" t="str">
        <f>IF(P31&gt;500,"High","low")</f>
        <v>low</v>
      </c>
      <c r="R31" s="37" t="str">
        <f t="shared" si="4"/>
        <v>AVERAGE</v>
      </c>
      <c r="S31" t="s">
        <v>620</v>
      </c>
    </row>
    <row r="32" spans="1:19" x14ac:dyDescent="0.2">
      <c r="A32" t="s">
        <v>643</v>
      </c>
      <c r="B32" t="s">
        <v>75</v>
      </c>
      <c r="C32" t="s">
        <v>614</v>
      </c>
      <c r="D32">
        <v>667.46</v>
      </c>
      <c r="E32" s="37" t="str">
        <f t="shared" si="0"/>
        <v xml:space="preserve"> </v>
      </c>
      <c r="F32">
        <v>0.17</v>
      </c>
      <c r="G32" s="37" t="str">
        <f t="shared" si="1"/>
        <v>Normal Discount</v>
      </c>
      <c r="H32" s="37" t="str">
        <f t="shared" si="2"/>
        <v>Low</v>
      </c>
      <c r="I32">
        <v>3</v>
      </c>
      <c r="J32" t="str" cm="1">
        <f t="array" ref="J32">_xlfn.IFS(I32&lt;=3,"small",I32&lt;=6,"Medium",I32&lt;=9,"Large")</f>
        <v>small</v>
      </c>
      <c r="K32" s="36">
        <v>45026</v>
      </c>
      <c r="L32" s="36">
        <v>45031</v>
      </c>
      <c r="M32" t="s">
        <v>612</v>
      </c>
      <c r="N32" t="s">
        <v>604</v>
      </c>
      <c r="O32" s="37" t="str">
        <f t="shared" si="3"/>
        <v>Digital Payment</v>
      </c>
      <c r="P32">
        <v>123.49</v>
      </c>
      <c r="Q32" s="37" t="str">
        <f>IF(P32&gt;500,"High","low")</f>
        <v>low</v>
      </c>
      <c r="R32" s="37" t="str">
        <f t="shared" si="4"/>
        <v>AVERAGE</v>
      </c>
      <c r="S32" t="s">
        <v>600</v>
      </c>
    </row>
    <row r="33" spans="1:19" x14ac:dyDescent="0.2">
      <c r="A33" t="s">
        <v>644</v>
      </c>
      <c r="B33" t="s">
        <v>75</v>
      </c>
      <c r="C33" t="s">
        <v>614</v>
      </c>
      <c r="D33">
        <v>4754.72</v>
      </c>
      <c r="E33" s="37" t="str">
        <f t="shared" si="0"/>
        <v xml:space="preserve"> </v>
      </c>
      <c r="F33">
        <v>0.32</v>
      </c>
      <c r="G33" s="37" t="str">
        <f t="shared" si="1"/>
        <v>Heavy Discount</v>
      </c>
      <c r="H33" s="37" t="str">
        <f t="shared" si="2"/>
        <v>Medium</v>
      </c>
      <c r="I33">
        <v>5</v>
      </c>
      <c r="J33" t="str" cm="1">
        <f t="array" ref="J33">_xlfn.IFS(I33&lt;=3,"small",I33&lt;=6,"Medium",I33&lt;=9,"Large")</f>
        <v>Medium</v>
      </c>
      <c r="K33" s="36">
        <v>45527</v>
      </c>
      <c r="L33" s="36">
        <v>45531</v>
      </c>
      <c r="M33" t="s">
        <v>612</v>
      </c>
      <c r="N33" t="s">
        <v>608</v>
      </c>
      <c r="O33" s="37" t="str">
        <f t="shared" si="3"/>
        <v>Cash Payment</v>
      </c>
      <c r="P33">
        <v>697.03</v>
      </c>
      <c r="Q33" s="37" t="str">
        <f>IF(P33&gt;500,"High","low")</f>
        <v>High</v>
      </c>
      <c r="R33" s="37" t="str">
        <f t="shared" si="4"/>
        <v>Good</v>
      </c>
      <c r="S33" t="s">
        <v>628</v>
      </c>
    </row>
    <row r="34" spans="1:19" x14ac:dyDescent="0.2">
      <c r="A34" t="s">
        <v>645</v>
      </c>
      <c r="B34" t="s">
        <v>67</v>
      </c>
      <c r="C34" t="s">
        <v>597</v>
      </c>
      <c r="D34">
        <v>1759.9</v>
      </c>
      <c r="E34" s="37" t="str">
        <f t="shared" si="0"/>
        <v xml:space="preserve"> </v>
      </c>
      <c r="F34">
        <v>0.26</v>
      </c>
      <c r="G34" s="37" t="str">
        <f t="shared" si="1"/>
        <v>Normal Discount</v>
      </c>
      <c r="H34" s="37" t="str">
        <f t="shared" si="2"/>
        <v>Medium</v>
      </c>
      <c r="I34">
        <v>3</v>
      </c>
      <c r="J34" t="str" cm="1">
        <f t="array" ref="J34">_xlfn.IFS(I34&lt;=3,"small",I34&lt;=6,"Medium",I34&lt;=9,"Large")</f>
        <v>small</v>
      </c>
      <c r="K34" s="36">
        <v>44933</v>
      </c>
      <c r="L34" s="36">
        <v>44939</v>
      </c>
      <c r="M34" t="s">
        <v>603</v>
      </c>
      <c r="N34" t="s">
        <v>608</v>
      </c>
      <c r="O34" s="37" t="str">
        <f t="shared" si="3"/>
        <v>Cash Payment</v>
      </c>
      <c r="P34">
        <v>178.58</v>
      </c>
      <c r="Q34" s="37" t="str">
        <f>IF(P34&gt;500,"High","low")</f>
        <v>low</v>
      </c>
      <c r="R34" s="37" t="str">
        <f t="shared" si="4"/>
        <v>AVERAGE</v>
      </c>
      <c r="S34" t="s">
        <v>620</v>
      </c>
    </row>
    <row r="35" spans="1:19" x14ac:dyDescent="0.2">
      <c r="A35" t="s">
        <v>646</v>
      </c>
      <c r="B35" t="s">
        <v>83</v>
      </c>
      <c r="C35" t="s">
        <v>597</v>
      </c>
      <c r="D35">
        <v>3594.76</v>
      </c>
      <c r="E35" s="37" t="str">
        <f t="shared" si="0"/>
        <v xml:space="preserve"> </v>
      </c>
      <c r="F35">
        <v>0.35</v>
      </c>
      <c r="G35" s="37" t="str">
        <f t="shared" si="1"/>
        <v>Heavy Discount</v>
      </c>
      <c r="H35" s="37" t="str">
        <f t="shared" si="2"/>
        <v>Medium</v>
      </c>
      <c r="I35">
        <v>4</v>
      </c>
      <c r="J35" t="str" cm="1">
        <f t="array" ref="J35">_xlfn.IFS(I35&lt;=3,"small",I35&lt;=6,"Medium",I35&lt;=9,"Large")</f>
        <v>Medium</v>
      </c>
      <c r="K35" s="36">
        <v>45097</v>
      </c>
      <c r="L35" s="36">
        <v>45099</v>
      </c>
      <c r="M35" t="s">
        <v>612</v>
      </c>
      <c r="N35" t="s">
        <v>599</v>
      </c>
      <c r="O35" s="37" t="str">
        <f t="shared" si="3"/>
        <v>Digital Payment</v>
      </c>
      <c r="P35">
        <v>1002.97</v>
      </c>
      <c r="Q35" s="37" t="str">
        <f>IF(P35&gt;500,"High","low")</f>
        <v>High</v>
      </c>
      <c r="R35" s="37" t="str">
        <f t="shared" si="4"/>
        <v>Excellent</v>
      </c>
      <c r="S35" t="s">
        <v>620</v>
      </c>
    </row>
    <row r="36" spans="1:19" x14ac:dyDescent="0.2">
      <c r="A36" t="s">
        <v>647</v>
      </c>
      <c r="B36" t="s">
        <v>83</v>
      </c>
      <c r="C36" t="s">
        <v>617</v>
      </c>
      <c r="D36">
        <v>2899.46</v>
      </c>
      <c r="E36" s="37" t="str">
        <f t="shared" si="0"/>
        <v xml:space="preserve"> </v>
      </c>
      <c r="F36">
        <v>0.28000000000000003</v>
      </c>
      <c r="G36" s="37" t="str">
        <f t="shared" si="1"/>
        <v>Normal Discount</v>
      </c>
      <c r="H36" s="37" t="str">
        <f t="shared" si="2"/>
        <v>Medium</v>
      </c>
      <c r="I36">
        <v>5</v>
      </c>
      <c r="J36" t="str" cm="1">
        <f t="array" ref="J36">_xlfn.IFS(I36&lt;=3,"small",I36&lt;=6,"Medium",I36&lt;=9,"Large")</f>
        <v>Medium</v>
      </c>
      <c r="K36" s="36">
        <v>45189</v>
      </c>
      <c r="L36" s="36">
        <v>45190</v>
      </c>
      <c r="M36" t="s">
        <v>603</v>
      </c>
      <c r="N36" t="s">
        <v>608</v>
      </c>
      <c r="O36" s="37" t="str">
        <f t="shared" si="3"/>
        <v>Cash Payment</v>
      </c>
      <c r="P36">
        <v>320.43</v>
      </c>
      <c r="Q36" s="37" t="str">
        <f>IF(P36&gt;500,"High","low")</f>
        <v>low</v>
      </c>
      <c r="R36" s="37" t="str">
        <f t="shared" si="4"/>
        <v>AVERAGE</v>
      </c>
      <c r="S36" t="s">
        <v>609</v>
      </c>
    </row>
    <row r="37" spans="1:19" x14ac:dyDescent="0.2">
      <c r="A37" t="s">
        <v>648</v>
      </c>
      <c r="B37" t="s">
        <v>75</v>
      </c>
      <c r="C37" t="s">
        <v>602</v>
      </c>
      <c r="D37">
        <v>626.80999999999995</v>
      </c>
      <c r="E37" s="37" t="str">
        <f t="shared" si="0"/>
        <v xml:space="preserve"> </v>
      </c>
      <c r="F37">
        <v>0.28000000000000003</v>
      </c>
      <c r="G37" s="37" t="str">
        <f t="shared" si="1"/>
        <v>Normal Discount</v>
      </c>
      <c r="H37" s="37" t="str">
        <f t="shared" si="2"/>
        <v>Medium</v>
      </c>
      <c r="I37">
        <v>7</v>
      </c>
      <c r="J37" t="str" cm="1">
        <f t="array" ref="J37">_xlfn.IFS(I37&lt;=3,"small",I37&lt;=6,"Medium",I37&lt;=9,"Large")</f>
        <v>Large</v>
      </c>
      <c r="K37" s="36">
        <v>45298</v>
      </c>
      <c r="L37" s="36">
        <v>45303</v>
      </c>
      <c r="M37" t="s">
        <v>603</v>
      </c>
      <c r="N37" t="s">
        <v>599</v>
      </c>
      <c r="O37" s="37" t="str">
        <f t="shared" si="3"/>
        <v>Digital Payment</v>
      </c>
      <c r="P37">
        <v>177.84</v>
      </c>
      <c r="Q37" s="37" t="str">
        <f>IF(P37&gt;500,"High","low")</f>
        <v>low</v>
      </c>
      <c r="R37" s="37" t="str">
        <f t="shared" si="4"/>
        <v>AVERAGE</v>
      </c>
      <c r="S37" t="s">
        <v>615</v>
      </c>
    </row>
    <row r="38" spans="1:19" x14ac:dyDescent="0.2">
      <c r="A38" t="s">
        <v>649</v>
      </c>
      <c r="B38" t="s">
        <v>67</v>
      </c>
      <c r="C38" t="s">
        <v>607</v>
      </c>
      <c r="D38">
        <v>2850.59</v>
      </c>
      <c r="E38" s="37" t="str">
        <f t="shared" si="0"/>
        <v xml:space="preserve"> </v>
      </c>
      <c r="F38">
        <v>0.26</v>
      </c>
      <c r="G38" s="37" t="str">
        <f t="shared" si="1"/>
        <v>Normal Discount</v>
      </c>
      <c r="H38" s="37" t="str">
        <f t="shared" si="2"/>
        <v>Medium</v>
      </c>
      <c r="I38">
        <v>2</v>
      </c>
      <c r="J38" t="str" cm="1">
        <f t="array" ref="J38">_xlfn.IFS(I38&lt;=3,"small",I38&lt;=6,"Medium",I38&lt;=9,"Large")</f>
        <v>small</v>
      </c>
      <c r="K38" s="36">
        <v>45470</v>
      </c>
      <c r="L38" s="36">
        <v>45474</v>
      </c>
      <c r="M38" t="s">
        <v>603</v>
      </c>
      <c r="N38" t="s">
        <v>604</v>
      </c>
      <c r="O38" s="37" t="str">
        <f t="shared" si="3"/>
        <v>Digital Payment</v>
      </c>
      <c r="P38">
        <v>528.38</v>
      </c>
      <c r="Q38" s="37" t="str">
        <f>IF(P38&gt;500,"High","low")</f>
        <v>High</v>
      </c>
      <c r="R38" s="37" t="str">
        <f t="shared" si="4"/>
        <v>Good</v>
      </c>
      <c r="S38" t="s">
        <v>628</v>
      </c>
    </row>
    <row r="39" spans="1:19" x14ac:dyDescent="0.2">
      <c r="A39" t="s">
        <v>650</v>
      </c>
      <c r="B39" t="s">
        <v>75</v>
      </c>
      <c r="C39" t="s">
        <v>614</v>
      </c>
      <c r="D39">
        <v>3339.02</v>
      </c>
      <c r="E39" s="37" t="str">
        <f t="shared" si="0"/>
        <v xml:space="preserve"> </v>
      </c>
      <c r="F39">
        <v>0.18</v>
      </c>
      <c r="G39" s="37" t="str">
        <f t="shared" si="1"/>
        <v>Normal Discount</v>
      </c>
      <c r="H39" s="37" t="str">
        <f t="shared" si="2"/>
        <v>Low</v>
      </c>
      <c r="I39">
        <v>6</v>
      </c>
      <c r="J39" t="str" cm="1">
        <f t="array" ref="J39">_xlfn.IFS(I39&lt;=3,"small",I39&lt;=6,"Medium",I39&lt;=9,"Large")</f>
        <v>Medium</v>
      </c>
      <c r="K39" s="36">
        <v>45651</v>
      </c>
      <c r="L39" s="36">
        <v>45652</v>
      </c>
      <c r="M39" t="s">
        <v>598</v>
      </c>
      <c r="N39" t="s">
        <v>608</v>
      </c>
      <c r="O39" s="37" t="str">
        <f t="shared" si="3"/>
        <v>Cash Payment</v>
      </c>
      <c r="P39">
        <v>586.69000000000005</v>
      </c>
      <c r="Q39" s="37" t="str">
        <f>IF(P39&gt;500,"High","low")</f>
        <v>High</v>
      </c>
      <c r="R39" s="37" t="str">
        <f t="shared" si="4"/>
        <v>Good</v>
      </c>
      <c r="S39" t="s">
        <v>605</v>
      </c>
    </row>
    <row r="40" spans="1:19" x14ac:dyDescent="0.2">
      <c r="A40" t="s">
        <v>651</v>
      </c>
      <c r="B40" t="s">
        <v>75</v>
      </c>
      <c r="C40" t="s">
        <v>607</v>
      </c>
      <c r="D40">
        <v>4419.43</v>
      </c>
      <c r="E40" s="37" t="str">
        <f t="shared" si="0"/>
        <v xml:space="preserve"> </v>
      </c>
      <c r="F40">
        <v>0.22</v>
      </c>
      <c r="G40" s="37" t="str">
        <f t="shared" si="1"/>
        <v>Normal Discount</v>
      </c>
      <c r="H40" s="37" t="str">
        <f t="shared" si="2"/>
        <v>Medium</v>
      </c>
      <c r="I40">
        <v>6</v>
      </c>
      <c r="J40" t="str" cm="1">
        <f t="array" ref="J40">_xlfn.IFS(I40&lt;=3,"small",I40&lt;=6,"Medium",I40&lt;=9,"Large")</f>
        <v>Medium</v>
      </c>
      <c r="K40" s="36">
        <v>45423</v>
      </c>
      <c r="L40" s="36">
        <v>45426</v>
      </c>
      <c r="M40" t="s">
        <v>612</v>
      </c>
      <c r="N40" t="s">
        <v>599</v>
      </c>
      <c r="O40" s="37" t="str">
        <f t="shared" si="3"/>
        <v>Digital Payment</v>
      </c>
      <c r="P40">
        <v>742.22</v>
      </c>
      <c r="Q40" s="37" t="str">
        <f>IF(P40&gt;500,"High","low")</f>
        <v>High</v>
      </c>
      <c r="R40" s="37" t="str">
        <f t="shared" si="4"/>
        <v>Good</v>
      </c>
      <c r="S40" t="s">
        <v>600</v>
      </c>
    </row>
    <row r="41" spans="1:19" x14ac:dyDescent="0.2">
      <c r="A41" t="s">
        <v>652</v>
      </c>
      <c r="B41" t="s">
        <v>90</v>
      </c>
      <c r="C41" t="s">
        <v>617</v>
      </c>
      <c r="D41">
        <v>443.42</v>
      </c>
      <c r="E41" s="37" t="str">
        <f t="shared" si="0"/>
        <v xml:space="preserve"> </v>
      </c>
      <c r="F41">
        <v>0.06</v>
      </c>
      <c r="G41" s="37" t="str">
        <f t="shared" si="1"/>
        <v>Normal Discount</v>
      </c>
      <c r="H41" s="37" t="str">
        <f t="shared" si="2"/>
        <v>Low</v>
      </c>
      <c r="I41">
        <v>6</v>
      </c>
      <c r="J41" t="str" cm="1">
        <f t="array" ref="J41">_xlfn.IFS(I41&lt;=3,"small",I41&lt;=6,"Medium",I41&lt;=9,"Large")</f>
        <v>Medium</v>
      </c>
      <c r="K41" s="36">
        <v>44985</v>
      </c>
      <c r="L41" s="36">
        <v>44990</v>
      </c>
      <c r="M41" t="s">
        <v>598</v>
      </c>
      <c r="N41" t="s">
        <v>604</v>
      </c>
      <c r="O41" s="37" t="str">
        <f t="shared" si="3"/>
        <v>Digital Payment</v>
      </c>
      <c r="P41">
        <v>119.91</v>
      </c>
      <c r="Q41" s="37" t="str">
        <f>IF(P41&gt;500,"High","low")</f>
        <v>low</v>
      </c>
      <c r="R41" s="37" t="str">
        <f t="shared" si="4"/>
        <v>AVERAGE</v>
      </c>
      <c r="S41" t="s">
        <v>609</v>
      </c>
    </row>
    <row r="42" spans="1:19" x14ac:dyDescent="0.2">
      <c r="A42" t="s">
        <v>653</v>
      </c>
      <c r="B42" t="s">
        <v>90</v>
      </c>
      <c r="C42" t="s">
        <v>614</v>
      </c>
      <c r="D42">
        <v>1548.61</v>
      </c>
      <c r="E42" s="37" t="str">
        <f t="shared" si="0"/>
        <v xml:space="preserve"> </v>
      </c>
      <c r="F42">
        <v>0.42</v>
      </c>
      <c r="G42" s="37" t="str">
        <f t="shared" si="1"/>
        <v>Heavy Discount</v>
      </c>
      <c r="H42" s="37" t="str">
        <f t="shared" si="2"/>
        <v>High</v>
      </c>
      <c r="I42">
        <v>7</v>
      </c>
      <c r="J42" t="str" cm="1">
        <f t="array" ref="J42">_xlfn.IFS(I42&lt;=3,"small",I42&lt;=6,"Medium",I42&lt;=9,"Large")</f>
        <v>Large</v>
      </c>
      <c r="K42" s="36">
        <v>45261</v>
      </c>
      <c r="L42" s="36">
        <v>45263</v>
      </c>
      <c r="M42" t="s">
        <v>603</v>
      </c>
      <c r="N42" t="s">
        <v>608</v>
      </c>
      <c r="O42" s="37" t="str">
        <f t="shared" si="3"/>
        <v>Cash Payment</v>
      </c>
      <c r="P42">
        <v>392.57</v>
      </c>
      <c r="Q42" s="37" t="str">
        <f>IF(P42&gt;500,"High","low")</f>
        <v>low</v>
      </c>
      <c r="R42" s="37" t="str">
        <f t="shared" si="4"/>
        <v>AVERAGE</v>
      </c>
      <c r="S42" t="s">
        <v>600</v>
      </c>
    </row>
    <row r="43" spans="1:19" x14ac:dyDescent="0.2">
      <c r="A43" t="s">
        <v>654</v>
      </c>
      <c r="B43" t="s">
        <v>90</v>
      </c>
      <c r="C43" t="s">
        <v>617</v>
      </c>
      <c r="D43">
        <v>3492.47</v>
      </c>
      <c r="E43" s="37" t="str">
        <f t="shared" si="0"/>
        <v xml:space="preserve"> </v>
      </c>
      <c r="F43">
        <v>0.44</v>
      </c>
      <c r="G43" s="37" t="str">
        <f t="shared" si="1"/>
        <v>Heavy Discount</v>
      </c>
      <c r="H43" s="37" t="str">
        <f t="shared" si="2"/>
        <v>High</v>
      </c>
      <c r="I43">
        <v>3</v>
      </c>
      <c r="J43" t="str" cm="1">
        <f t="array" ref="J43">_xlfn.IFS(I43&lt;=3,"small",I43&lt;=6,"Medium",I43&lt;=9,"Large")</f>
        <v>small</v>
      </c>
      <c r="K43" s="36">
        <v>44956</v>
      </c>
      <c r="L43" s="36">
        <v>44957</v>
      </c>
      <c r="M43" t="s">
        <v>598</v>
      </c>
      <c r="N43" t="s">
        <v>604</v>
      </c>
      <c r="O43" s="37" t="str">
        <f t="shared" si="3"/>
        <v>Digital Payment</v>
      </c>
      <c r="P43">
        <v>765.08</v>
      </c>
      <c r="Q43" s="37" t="str">
        <f>IF(P43&gt;500,"High","low")</f>
        <v>High</v>
      </c>
      <c r="R43" s="37" t="str">
        <f t="shared" si="4"/>
        <v>Good</v>
      </c>
      <c r="S43" t="s">
        <v>615</v>
      </c>
    </row>
    <row r="44" spans="1:19" x14ac:dyDescent="0.2">
      <c r="A44" t="s">
        <v>655</v>
      </c>
      <c r="B44" t="s">
        <v>83</v>
      </c>
      <c r="C44" t="s">
        <v>617</v>
      </c>
      <c r="D44">
        <v>268.23</v>
      </c>
      <c r="E44" s="37" t="str">
        <f t="shared" si="0"/>
        <v xml:space="preserve"> </v>
      </c>
      <c r="F44">
        <v>0.38</v>
      </c>
      <c r="G44" s="37" t="str">
        <f t="shared" si="1"/>
        <v>Heavy Discount</v>
      </c>
      <c r="H44" s="37" t="str">
        <f t="shared" si="2"/>
        <v>Medium</v>
      </c>
      <c r="I44">
        <v>5</v>
      </c>
      <c r="J44" t="str" cm="1">
        <f t="array" ref="J44">_xlfn.IFS(I44&lt;=3,"small",I44&lt;=6,"Medium",I44&lt;=9,"Large")</f>
        <v>Medium</v>
      </c>
      <c r="K44" s="36">
        <v>45186</v>
      </c>
      <c r="L44" s="36">
        <v>45188</v>
      </c>
      <c r="M44" t="s">
        <v>603</v>
      </c>
      <c r="N44" t="s">
        <v>608</v>
      </c>
      <c r="O44" s="37" t="str">
        <f t="shared" si="3"/>
        <v>Cash Payment</v>
      </c>
      <c r="P44">
        <v>48.54</v>
      </c>
      <c r="Q44" s="37" t="str">
        <f>IF(P44&gt;500,"High","low")</f>
        <v>low</v>
      </c>
      <c r="R44" s="37" t="str">
        <f t="shared" si="4"/>
        <v>AVERAGE</v>
      </c>
      <c r="S44" t="s">
        <v>605</v>
      </c>
    </row>
    <row r="45" spans="1:19" x14ac:dyDescent="0.2">
      <c r="A45" t="s">
        <v>656</v>
      </c>
      <c r="B45" t="s">
        <v>67</v>
      </c>
      <c r="C45" t="s">
        <v>597</v>
      </c>
      <c r="D45">
        <v>1097.4100000000001</v>
      </c>
      <c r="E45" s="37" t="str">
        <f t="shared" si="0"/>
        <v xml:space="preserve"> </v>
      </c>
      <c r="F45">
        <v>0.28999999999999998</v>
      </c>
      <c r="G45" s="37" t="str">
        <f t="shared" si="1"/>
        <v>Normal Discount</v>
      </c>
      <c r="H45" s="37" t="str">
        <f t="shared" si="2"/>
        <v>Medium</v>
      </c>
      <c r="I45">
        <v>9</v>
      </c>
      <c r="J45" t="str" cm="1">
        <f t="array" ref="J45">_xlfn.IFS(I45&lt;=3,"small",I45&lt;=6,"Medium",I45&lt;=9,"Large")</f>
        <v>Large</v>
      </c>
      <c r="K45" s="36">
        <v>45472</v>
      </c>
      <c r="L45" s="36">
        <v>45475</v>
      </c>
      <c r="M45" t="s">
        <v>598</v>
      </c>
      <c r="N45" t="s">
        <v>608</v>
      </c>
      <c r="O45" s="37" t="str">
        <f t="shared" si="3"/>
        <v>Cash Payment</v>
      </c>
      <c r="P45">
        <v>235.05</v>
      </c>
      <c r="Q45" s="37" t="str">
        <f>IF(P45&gt;500,"High","low")</f>
        <v>low</v>
      </c>
      <c r="R45" s="37" t="str">
        <f t="shared" si="4"/>
        <v>AVERAGE</v>
      </c>
      <c r="S45" t="s">
        <v>615</v>
      </c>
    </row>
    <row r="46" spans="1:19" x14ac:dyDescent="0.2">
      <c r="A46" t="s">
        <v>657</v>
      </c>
      <c r="B46" t="s">
        <v>67</v>
      </c>
      <c r="C46" t="s">
        <v>607</v>
      </c>
      <c r="D46">
        <v>1171.48</v>
      </c>
      <c r="E46" s="37" t="str">
        <f t="shared" si="0"/>
        <v xml:space="preserve"> </v>
      </c>
      <c r="F46">
        <v>0.28000000000000003</v>
      </c>
      <c r="G46" s="37" t="str">
        <f t="shared" si="1"/>
        <v>Normal Discount</v>
      </c>
      <c r="H46" s="37" t="str">
        <f t="shared" si="2"/>
        <v>Medium</v>
      </c>
      <c r="I46">
        <v>9</v>
      </c>
      <c r="J46" t="str" cm="1">
        <f t="array" ref="J46">_xlfn.IFS(I46&lt;=3,"small",I46&lt;=6,"Medium",I46&lt;=9,"Large")</f>
        <v>Large</v>
      </c>
      <c r="K46" s="36">
        <v>45063</v>
      </c>
      <c r="L46" s="36">
        <v>45065</v>
      </c>
      <c r="M46" t="s">
        <v>603</v>
      </c>
      <c r="N46" t="s">
        <v>604</v>
      </c>
      <c r="O46" s="37" t="str">
        <f t="shared" si="3"/>
        <v>Digital Payment</v>
      </c>
      <c r="P46">
        <v>129.80000000000001</v>
      </c>
      <c r="Q46" s="37" t="str">
        <f>IF(P46&gt;500,"High","low")</f>
        <v>low</v>
      </c>
      <c r="R46" s="37" t="str">
        <f t="shared" si="4"/>
        <v>AVERAGE</v>
      </c>
      <c r="S46" t="s">
        <v>628</v>
      </c>
    </row>
    <row r="47" spans="1:19" x14ac:dyDescent="0.2">
      <c r="A47" t="s">
        <v>658</v>
      </c>
      <c r="B47" t="s">
        <v>67</v>
      </c>
      <c r="C47" t="s">
        <v>607</v>
      </c>
      <c r="D47">
        <v>3379.7</v>
      </c>
      <c r="E47" s="37" t="str">
        <f t="shared" si="0"/>
        <v xml:space="preserve"> </v>
      </c>
      <c r="F47">
        <v>0.24</v>
      </c>
      <c r="G47" s="37" t="str">
        <f t="shared" si="1"/>
        <v>Normal Discount</v>
      </c>
      <c r="H47" s="37" t="str">
        <f t="shared" si="2"/>
        <v>Medium</v>
      </c>
      <c r="I47">
        <v>7</v>
      </c>
      <c r="J47" t="str" cm="1">
        <f t="array" ref="J47">_xlfn.IFS(I47&lt;=3,"small",I47&lt;=6,"Medium",I47&lt;=9,"Large")</f>
        <v>Large</v>
      </c>
      <c r="K47" s="36">
        <v>45242</v>
      </c>
      <c r="L47" s="36">
        <v>45247</v>
      </c>
      <c r="M47" t="s">
        <v>603</v>
      </c>
      <c r="N47" t="s">
        <v>608</v>
      </c>
      <c r="O47" s="37" t="str">
        <f t="shared" si="3"/>
        <v>Cash Payment</v>
      </c>
      <c r="P47">
        <v>588.79</v>
      </c>
      <c r="Q47" s="37" t="str">
        <f>IF(P47&gt;500,"High","low")</f>
        <v>High</v>
      </c>
      <c r="R47" s="37" t="str">
        <f t="shared" si="4"/>
        <v>Good</v>
      </c>
      <c r="S47" t="s">
        <v>628</v>
      </c>
    </row>
    <row r="48" spans="1:19" x14ac:dyDescent="0.2">
      <c r="A48" t="s">
        <v>659</v>
      </c>
      <c r="B48" t="s">
        <v>67</v>
      </c>
      <c r="C48" t="s">
        <v>597</v>
      </c>
      <c r="D48">
        <v>1501.21</v>
      </c>
      <c r="E48" s="37" t="str">
        <f t="shared" si="0"/>
        <v xml:space="preserve"> </v>
      </c>
      <c r="F48">
        <v>0.12</v>
      </c>
      <c r="G48" s="37" t="str">
        <f t="shared" si="1"/>
        <v>Normal Discount</v>
      </c>
      <c r="H48" s="37" t="str">
        <f t="shared" si="2"/>
        <v>Low</v>
      </c>
      <c r="I48">
        <v>9</v>
      </c>
      <c r="J48" t="str" cm="1">
        <f t="array" ref="J48">_xlfn.IFS(I48&lt;=3,"small",I48&lt;=6,"Medium",I48&lt;=9,"Large")</f>
        <v>Large</v>
      </c>
      <c r="K48" s="36">
        <v>45386</v>
      </c>
      <c r="L48" s="36">
        <v>45390</v>
      </c>
      <c r="M48" t="s">
        <v>598</v>
      </c>
      <c r="N48" t="s">
        <v>604</v>
      </c>
      <c r="O48" s="37" t="str">
        <f t="shared" si="3"/>
        <v>Digital Payment</v>
      </c>
      <c r="P48">
        <v>127.89</v>
      </c>
      <c r="Q48" s="37" t="str">
        <f>IF(P48&gt;500,"High","low")</f>
        <v>low</v>
      </c>
      <c r="R48" s="37" t="str">
        <f t="shared" si="4"/>
        <v>AVERAGE</v>
      </c>
      <c r="S48" t="s">
        <v>600</v>
      </c>
    </row>
    <row r="49" spans="1:19" x14ac:dyDescent="0.2">
      <c r="A49" t="s">
        <v>660</v>
      </c>
      <c r="B49" t="s">
        <v>90</v>
      </c>
      <c r="C49" t="s">
        <v>607</v>
      </c>
      <c r="D49">
        <v>3038.02</v>
      </c>
      <c r="E49" s="37" t="str">
        <f t="shared" si="0"/>
        <v xml:space="preserve"> </v>
      </c>
      <c r="F49">
        <v>0.19</v>
      </c>
      <c r="G49" s="37" t="str">
        <f t="shared" si="1"/>
        <v>Normal Discount</v>
      </c>
      <c r="H49" s="37" t="str">
        <f t="shared" si="2"/>
        <v>Low</v>
      </c>
      <c r="I49">
        <v>3</v>
      </c>
      <c r="J49" t="str" cm="1">
        <f t="array" ref="J49">_xlfn.IFS(I49&lt;=3,"small",I49&lt;=6,"Medium",I49&lt;=9,"Large")</f>
        <v>small</v>
      </c>
      <c r="K49" s="36">
        <v>45334</v>
      </c>
      <c r="L49" s="36">
        <v>45341</v>
      </c>
      <c r="M49" t="s">
        <v>603</v>
      </c>
      <c r="N49" t="s">
        <v>608</v>
      </c>
      <c r="O49" s="37" t="str">
        <f t="shared" si="3"/>
        <v>Cash Payment</v>
      </c>
      <c r="P49">
        <v>249.34</v>
      </c>
      <c r="Q49" s="37" t="str">
        <f>IF(P49&gt;500,"High","low")</f>
        <v>low</v>
      </c>
      <c r="R49" s="37" t="str">
        <f t="shared" si="4"/>
        <v>AVERAGE</v>
      </c>
      <c r="S49" t="s">
        <v>628</v>
      </c>
    </row>
    <row r="50" spans="1:19" x14ac:dyDescent="0.2">
      <c r="A50" t="s">
        <v>661</v>
      </c>
      <c r="B50" t="s">
        <v>83</v>
      </c>
      <c r="C50" t="s">
        <v>597</v>
      </c>
      <c r="D50">
        <v>4830.21</v>
      </c>
      <c r="E50" s="37" t="str">
        <f t="shared" si="0"/>
        <v>Excellent Order</v>
      </c>
      <c r="F50">
        <v>0.49</v>
      </c>
      <c r="G50" s="37" t="str">
        <f t="shared" si="1"/>
        <v>Heavy Discount</v>
      </c>
      <c r="H50" s="37" t="str">
        <f t="shared" si="2"/>
        <v>High</v>
      </c>
      <c r="I50">
        <v>7</v>
      </c>
      <c r="J50" t="str" cm="1">
        <f t="array" ref="J50">_xlfn.IFS(I50&lt;=3,"small",I50&lt;=6,"Medium",I50&lt;=9,"Large")</f>
        <v>Large</v>
      </c>
      <c r="K50" s="36">
        <v>45553</v>
      </c>
      <c r="L50" s="36">
        <v>45560</v>
      </c>
      <c r="M50" t="s">
        <v>612</v>
      </c>
      <c r="N50" t="s">
        <v>608</v>
      </c>
      <c r="O50" s="37" t="str">
        <f t="shared" si="3"/>
        <v>Cash Payment</v>
      </c>
      <c r="P50">
        <v>1097.26</v>
      </c>
      <c r="Q50" s="37" t="str">
        <f>IF(P50&gt;500,"High","low")</f>
        <v>High</v>
      </c>
      <c r="R50" s="37" t="str">
        <f t="shared" si="4"/>
        <v>Excellent</v>
      </c>
      <c r="S50" t="s">
        <v>628</v>
      </c>
    </row>
    <row r="51" spans="1:19" x14ac:dyDescent="0.2">
      <c r="A51" t="s">
        <v>662</v>
      </c>
      <c r="B51" t="s">
        <v>83</v>
      </c>
      <c r="C51" t="s">
        <v>614</v>
      </c>
      <c r="D51">
        <v>3986.89</v>
      </c>
      <c r="E51" s="37" t="str">
        <f t="shared" si="0"/>
        <v xml:space="preserve"> </v>
      </c>
      <c r="F51">
        <v>7.0000000000000007E-2</v>
      </c>
      <c r="G51" s="37" t="str">
        <f t="shared" si="1"/>
        <v>Normal Discount</v>
      </c>
      <c r="H51" s="37" t="str">
        <f t="shared" si="2"/>
        <v>Low</v>
      </c>
      <c r="I51">
        <v>1</v>
      </c>
      <c r="J51" t="str" cm="1">
        <f t="array" ref="J51">_xlfn.IFS(I51&lt;=3,"small",I51&lt;=6,"Medium",I51&lt;=9,"Large")</f>
        <v>small</v>
      </c>
      <c r="K51" s="36">
        <v>45109</v>
      </c>
      <c r="L51" s="36">
        <v>45110</v>
      </c>
      <c r="M51" t="s">
        <v>598</v>
      </c>
      <c r="N51" t="s">
        <v>608</v>
      </c>
      <c r="O51" s="37" t="str">
        <f t="shared" si="3"/>
        <v>Cash Payment</v>
      </c>
      <c r="P51">
        <v>1139.21</v>
      </c>
      <c r="Q51" s="37" t="str">
        <f>IF(P51&gt;500,"High","low")</f>
        <v>High</v>
      </c>
      <c r="R51" s="37" t="str">
        <f t="shared" si="4"/>
        <v>Excellent</v>
      </c>
      <c r="S51" t="s">
        <v>605</v>
      </c>
    </row>
    <row r="52" spans="1:19" x14ac:dyDescent="0.2">
      <c r="A52" t="s">
        <v>663</v>
      </c>
      <c r="B52" t="s">
        <v>90</v>
      </c>
      <c r="C52" t="s">
        <v>617</v>
      </c>
      <c r="D52">
        <v>1731.22</v>
      </c>
      <c r="E52" s="37" t="str">
        <f t="shared" si="0"/>
        <v xml:space="preserve"> </v>
      </c>
      <c r="F52">
        <v>0.27</v>
      </c>
      <c r="G52" s="37" t="str">
        <f t="shared" si="1"/>
        <v>Normal Discount</v>
      </c>
      <c r="H52" s="37" t="str">
        <f t="shared" si="2"/>
        <v>Medium</v>
      </c>
      <c r="I52">
        <v>7</v>
      </c>
      <c r="J52" t="str" cm="1">
        <f t="array" ref="J52">_xlfn.IFS(I52&lt;=3,"small",I52&lt;=6,"Medium",I52&lt;=9,"Large")</f>
        <v>Large</v>
      </c>
      <c r="K52" s="36">
        <v>45173</v>
      </c>
      <c r="L52" s="36">
        <v>45180</v>
      </c>
      <c r="M52" t="s">
        <v>598</v>
      </c>
      <c r="N52" t="s">
        <v>599</v>
      </c>
      <c r="O52" s="37" t="str">
        <f t="shared" si="3"/>
        <v>Digital Payment</v>
      </c>
      <c r="P52">
        <v>433.9</v>
      </c>
      <c r="Q52" s="37" t="str">
        <f>IF(P52&gt;500,"High","low")</f>
        <v>low</v>
      </c>
      <c r="R52" s="37" t="str">
        <f t="shared" si="4"/>
        <v>AVERAGE</v>
      </c>
      <c r="S52" t="s">
        <v>609</v>
      </c>
    </row>
    <row r="53" spans="1:19" x14ac:dyDescent="0.2">
      <c r="A53" t="s">
        <v>664</v>
      </c>
      <c r="B53" t="s">
        <v>83</v>
      </c>
      <c r="C53" t="s">
        <v>617</v>
      </c>
      <c r="D53">
        <v>2414.7600000000002</v>
      </c>
      <c r="E53" s="37" t="str">
        <f t="shared" si="0"/>
        <v xml:space="preserve"> </v>
      </c>
      <c r="F53">
        <v>0.43</v>
      </c>
      <c r="G53" s="37" t="str">
        <f t="shared" si="1"/>
        <v>Heavy Discount</v>
      </c>
      <c r="H53" s="37" t="str">
        <f t="shared" si="2"/>
        <v>High</v>
      </c>
      <c r="I53">
        <v>3</v>
      </c>
      <c r="J53" t="str" cm="1">
        <f t="array" ref="J53">_xlfn.IFS(I53&lt;=3,"small",I53&lt;=6,"Medium",I53&lt;=9,"Large")</f>
        <v>small</v>
      </c>
      <c r="K53" s="36">
        <v>44955</v>
      </c>
      <c r="L53" s="36">
        <v>44961</v>
      </c>
      <c r="M53" t="s">
        <v>603</v>
      </c>
      <c r="N53" t="s">
        <v>608</v>
      </c>
      <c r="O53" s="37" t="str">
        <f t="shared" si="3"/>
        <v>Cash Payment</v>
      </c>
      <c r="P53">
        <v>687.58</v>
      </c>
      <c r="Q53" s="37" t="str">
        <f>IF(P53&gt;500,"High","low")</f>
        <v>High</v>
      </c>
      <c r="R53" s="37" t="str">
        <f t="shared" si="4"/>
        <v>Good</v>
      </c>
      <c r="S53" t="s">
        <v>605</v>
      </c>
    </row>
    <row r="54" spans="1:19" x14ac:dyDescent="0.2">
      <c r="A54" t="s">
        <v>665</v>
      </c>
      <c r="B54" t="s">
        <v>90</v>
      </c>
      <c r="C54" t="s">
        <v>607</v>
      </c>
      <c r="D54">
        <v>1083.3</v>
      </c>
      <c r="E54" s="37" t="str">
        <f t="shared" si="0"/>
        <v xml:space="preserve"> </v>
      </c>
      <c r="F54">
        <v>0.23</v>
      </c>
      <c r="G54" s="37" t="str">
        <f t="shared" si="1"/>
        <v>Normal Discount</v>
      </c>
      <c r="H54" s="37" t="str">
        <f t="shared" si="2"/>
        <v>Medium</v>
      </c>
      <c r="I54">
        <v>3</v>
      </c>
      <c r="J54" t="str" cm="1">
        <f t="array" ref="J54">_xlfn.IFS(I54&lt;=3,"small",I54&lt;=6,"Medium",I54&lt;=9,"Large")</f>
        <v>small</v>
      </c>
      <c r="K54" s="36">
        <v>45236</v>
      </c>
      <c r="L54" s="36">
        <v>45240</v>
      </c>
      <c r="M54" t="s">
        <v>598</v>
      </c>
      <c r="N54" t="s">
        <v>608</v>
      </c>
      <c r="O54" s="37" t="str">
        <f t="shared" si="3"/>
        <v>Cash Payment</v>
      </c>
      <c r="P54">
        <v>114.25</v>
      </c>
      <c r="Q54" s="37" t="str">
        <f>IF(P54&gt;500,"High","low")</f>
        <v>low</v>
      </c>
      <c r="R54" s="37" t="str">
        <f t="shared" si="4"/>
        <v>AVERAGE</v>
      </c>
      <c r="S54" t="s">
        <v>615</v>
      </c>
    </row>
    <row r="55" spans="1:19" x14ac:dyDescent="0.2">
      <c r="A55" t="s">
        <v>666</v>
      </c>
      <c r="B55" t="s">
        <v>67</v>
      </c>
      <c r="C55" t="s">
        <v>602</v>
      </c>
      <c r="D55">
        <v>177.03</v>
      </c>
      <c r="E55" s="37" t="str">
        <f t="shared" si="0"/>
        <v xml:space="preserve"> </v>
      </c>
      <c r="F55">
        <v>0.3</v>
      </c>
      <c r="G55" s="37" t="str">
        <f t="shared" si="1"/>
        <v>Normal Discount</v>
      </c>
      <c r="H55" s="37" t="str">
        <f t="shared" si="2"/>
        <v>Medium</v>
      </c>
      <c r="I55">
        <v>7</v>
      </c>
      <c r="J55" t="str" cm="1">
        <f t="array" ref="J55">_xlfn.IFS(I55&lt;=3,"small",I55&lt;=6,"Medium",I55&lt;=9,"Large")</f>
        <v>Large</v>
      </c>
      <c r="K55" s="36">
        <v>45105</v>
      </c>
      <c r="L55" s="36">
        <v>45106</v>
      </c>
      <c r="M55" t="s">
        <v>612</v>
      </c>
      <c r="N55" t="s">
        <v>599</v>
      </c>
      <c r="O55" s="37" t="str">
        <f t="shared" si="3"/>
        <v>Digital Payment</v>
      </c>
      <c r="P55">
        <v>20.43</v>
      </c>
      <c r="Q55" s="37" t="str">
        <f>IF(P55&gt;500,"High","low")</f>
        <v>low</v>
      </c>
      <c r="R55" s="37" t="str">
        <f t="shared" si="4"/>
        <v>AVERAGE</v>
      </c>
      <c r="S55" t="s">
        <v>605</v>
      </c>
    </row>
    <row r="56" spans="1:19" x14ac:dyDescent="0.2">
      <c r="A56" t="s">
        <v>667</v>
      </c>
      <c r="B56" t="s">
        <v>90</v>
      </c>
      <c r="C56" t="s">
        <v>617</v>
      </c>
      <c r="D56">
        <v>1519.61</v>
      </c>
      <c r="E56" s="37" t="str">
        <f t="shared" si="0"/>
        <v xml:space="preserve"> </v>
      </c>
      <c r="F56">
        <v>0.41</v>
      </c>
      <c r="G56" s="37" t="str">
        <f t="shared" si="1"/>
        <v>Heavy Discount</v>
      </c>
      <c r="H56" s="37" t="str">
        <f t="shared" si="2"/>
        <v>High</v>
      </c>
      <c r="I56">
        <v>8</v>
      </c>
      <c r="J56" t="str" cm="1">
        <f t="array" ref="J56">_xlfn.IFS(I56&lt;=3,"small",I56&lt;=6,"Medium",I56&lt;=9,"Large")</f>
        <v>Large</v>
      </c>
      <c r="K56" s="36">
        <v>45431</v>
      </c>
      <c r="L56" s="36">
        <v>45438</v>
      </c>
      <c r="M56" t="s">
        <v>598</v>
      </c>
      <c r="N56" t="s">
        <v>599</v>
      </c>
      <c r="O56" s="37" t="str">
        <f t="shared" si="3"/>
        <v>Digital Payment</v>
      </c>
      <c r="P56">
        <v>237.01</v>
      </c>
      <c r="Q56" s="37" t="str">
        <f>IF(P56&gt;500,"High","low")</f>
        <v>low</v>
      </c>
      <c r="R56" s="37" t="str">
        <f t="shared" si="4"/>
        <v>AVERAGE</v>
      </c>
      <c r="S56" t="s">
        <v>620</v>
      </c>
    </row>
    <row r="57" spans="1:19" x14ac:dyDescent="0.2">
      <c r="A57" t="s">
        <v>668</v>
      </c>
      <c r="B57" t="s">
        <v>67</v>
      </c>
      <c r="C57" t="s">
        <v>597</v>
      </c>
      <c r="D57">
        <v>1910.1</v>
      </c>
      <c r="E57" s="37" t="str">
        <f t="shared" si="0"/>
        <v xml:space="preserve"> </v>
      </c>
      <c r="F57">
        <v>0.27</v>
      </c>
      <c r="G57" s="37" t="str">
        <f t="shared" si="1"/>
        <v>Normal Discount</v>
      </c>
      <c r="H57" s="37" t="str">
        <f t="shared" si="2"/>
        <v>Medium</v>
      </c>
      <c r="I57">
        <v>4</v>
      </c>
      <c r="J57" t="str" cm="1">
        <f t="array" ref="J57">_xlfn.IFS(I57&lt;=3,"small",I57&lt;=6,"Medium",I57&lt;=9,"Large")</f>
        <v>Medium</v>
      </c>
      <c r="K57" s="36">
        <v>45303</v>
      </c>
      <c r="L57" s="36">
        <v>45305</v>
      </c>
      <c r="M57" t="s">
        <v>612</v>
      </c>
      <c r="N57" t="s">
        <v>608</v>
      </c>
      <c r="O57" s="37" t="str">
        <f t="shared" si="3"/>
        <v>Cash Payment</v>
      </c>
      <c r="P57">
        <v>278.48</v>
      </c>
      <c r="Q57" s="37" t="str">
        <f>IF(P57&gt;500,"High","low")</f>
        <v>low</v>
      </c>
      <c r="R57" s="37" t="str">
        <f t="shared" si="4"/>
        <v>AVERAGE</v>
      </c>
      <c r="S57" t="s">
        <v>600</v>
      </c>
    </row>
    <row r="58" spans="1:19" x14ac:dyDescent="0.2">
      <c r="A58" t="s">
        <v>669</v>
      </c>
      <c r="B58" t="s">
        <v>67</v>
      </c>
      <c r="C58" t="s">
        <v>602</v>
      </c>
      <c r="D58">
        <v>2865.4</v>
      </c>
      <c r="E58" s="37" t="str">
        <f t="shared" si="0"/>
        <v xml:space="preserve"> </v>
      </c>
      <c r="F58">
        <v>0.37</v>
      </c>
      <c r="G58" s="37" t="str">
        <f t="shared" si="1"/>
        <v>Heavy Discount</v>
      </c>
      <c r="H58" s="37" t="str">
        <f t="shared" si="2"/>
        <v>Medium</v>
      </c>
      <c r="I58">
        <v>1</v>
      </c>
      <c r="J58" t="str" cm="1">
        <f t="array" ref="J58">_xlfn.IFS(I58&lt;=3,"small",I58&lt;=6,"Medium",I58&lt;=9,"Large")</f>
        <v>small</v>
      </c>
      <c r="K58" s="36">
        <v>45204</v>
      </c>
      <c r="L58" s="36">
        <v>45206</v>
      </c>
      <c r="M58" t="s">
        <v>598</v>
      </c>
      <c r="N58" t="s">
        <v>608</v>
      </c>
      <c r="O58" s="37" t="str">
        <f t="shared" si="3"/>
        <v>Cash Payment</v>
      </c>
      <c r="P58">
        <v>356.81</v>
      </c>
      <c r="Q58" s="37" t="str">
        <f>IF(P58&gt;500,"High","low")</f>
        <v>low</v>
      </c>
      <c r="R58" s="37" t="str">
        <f t="shared" si="4"/>
        <v>AVERAGE</v>
      </c>
      <c r="S58" t="s">
        <v>600</v>
      </c>
    </row>
    <row r="59" spans="1:19" x14ac:dyDescent="0.2">
      <c r="A59" t="s">
        <v>670</v>
      </c>
      <c r="B59" t="s">
        <v>75</v>
      </c>
      <c r="C59" t="s">
        <v>602</v>
      </c>
      <c r="D59">
        <v>4725.93</v>
      </c>
      <c r="E59" s="37" t="str">
        <f t="shared" si="0"/>
        <v xml:space="preserve"> </v>
      </c>
      <c r="F59">
        <v>0.17</v>
      </c>
      <c r="G59" s="37" t="str">
        <f t="shared" si="1"/>
        <v>Normal Discount</v>
      </c>
      <c r="H59" s="37" t="str">
        <f t="shared" si="2"/>
        <v>Low</v>
      </c>
      <c r="I59">
        <v>5</v>
      </c>
      <c r="J59" t="str" cm="1">
        <f t="array" ref="J59">_xlfn.IFS(I59&lt;=3,"small",I59&lt;=6,"Medium",I59&lt;=9,"Large")</f>
        <v>Medium</v>
      </c>
      <c r="K59" s="36">
        <v>45409</v>
      </c>
      <c r="L59" s="36">
        <v>45416</v>
      </c>
      <c r="M59" t="s">
        <v>612</v>
      </c>
      <c r="N59" t="s">
        <v>608</v>
      </c>
      <c r="O59" s="37" t="str">
        <f t="shared" si="3"/>
        <v>Cash Payment</v>
      </c>
      <c r="P59">
        <v>581.75</v>
      </c>
      <c r="Q59" s="37" t="str">
        <f>IF(P59&gt;500,"High","low")</f>
        <v>High</v>
      </c>
      <c r="R59" s="37" t="str">
        <f t="shared" si="4"/>
        <v>Good</v>
      </c>
      <c r="S59" t="s">
        <v>628</v>
      </c>
    </row>
    <row r="60" spans="1:19" x14ac:dyDescent="0.2">
      <c r="A60" t="s">
        <v>671</v>
      </c>
      <c r="B60" t="s">
        <v>90</v>
      </c>
      <c r="C60" t="s">
        <v>617</v>
      </c>
      <c r="D60">
        <v>4744.4799999999996</v>
      </c>
      <c r="E60" s="37" t="str">
        <f t="shared" si="0"/>
        <v>Excellent Order</v>
      </c>
      <c r="F60">
        <v>0.37</v>
      </c>
      <c r="G60" s="37" t="str">
        <f t="shared" si="1"/>
        <v>Heavy Discount</v>
      </c>
      <c r="H60" s="37" t="str">
        <f t="shared" si="2"/>
        <v>Medium</v>
      </c>
      <c r="I60">
        <v>4</v>
      </c>
      <c r="J60" t="str" cm="1">
        <f t="array" ref="J60">_xlfn.IFS(I60&lt;=3,"small",I60&lt;=6,"Medium",I60&lt;=9,"Large")</f>
        <v>Medium</v>
      </c>
      <c r="K60" s="36">
        <v>45202</v>
      </c>
      <c r="L60" s="36">
        <v>45207</v>
      </c>
      <c r="M60" t="s">
        <v>598</v>
      </c>
      <c r="N60" t="s">
        <v>604</v>
      </c>
      <c r="O60" s="37" t="str">
        <f t="shared" si="3"/>
        <v>Digital Payment</v>
      </c>
      <c r="P60">
        <v>1320.22</v>
      </c>
      <c r="Q60" s="37" t="str">
        <f>IF(P60&gt;500,"High","low")</f>
        <v>High</v>
      </c>
      <c r="R60" s="37" t="str">
        <f t="shared" si="4"/>
        <v>Excellent</v>
      </c>
      <c r="S60" t="s">
        <v>609</v>
      </c>
    </row>
    <row r="61" spans="1:19" x14ac:dyDescent="0.2">
      <c r="A61" t="s">
        <v>672</v>
      </c>
      <c r="B61" t="s">
        <v>75</v>
      </c>
      <c r="C61" t="s">
        <v>617</v>
      </c>
      <c r="D61">
        <v>443.48</v>
      </c>
      <c r="E61" s="37" t="str">
        <f t="shared" si="0"/>
        <v xml:space="preserve"> </v>
      </c>
      <c r="F61">
        <v>0.02</v>
      </c>
      <c r="G61" s="37" t="str">
        <f t="shared" si="1"/>
        <v>Normal Discount</v>
      </c>
      <c r="H61" s="37" t="str">
        <f t="shared" si="2"/>
        <v>Low</v>
      </c>
      <c r="I61">
        <v>9</v>
      </c>
      <c r="J61" t="str" cm="1">
        <f t="array" ref="J61">_xlfn.IFS(I61&lt;=3,"small",I61&lt;=6,"Medium",I61&lt;=9,"Large")</f>
        <v>Large</v>
      </c>
      <c r="K61" s="36">
        <v>45219</v>
      </c>
      <c r="L61" s="36">
        <v>45221</v>
      </c>
      <c r="M61" t="s">
        <v>612</v>
      </c>
      <c r="N61" t="s">
        <v>604</v>
      </c>
      <c r="O61" s="37" t="str">
        <f t="shared" si="3"/>
        <v>Digital Payment</v>
      </c>
      <c r="P61">
        <v>42.23</v>
      </c>
      <c r="Q61" s="37" t="str">
        <f>IF(P61&gt;500,"High","low")</f>
        <v>low</v>
      </c>
      <c r="R61" s="37" t="str">
        <f t="shared" si="4"/>
        <v>AVERAGE</v>
      </c>
      <c r="S61" t="s">
        <v>620</v>
      </c>
    </row>
    <row r="62" spans="1:19" x14ac:dyDescent="0.2">
      <c r="A62" t="s">
        <v>673</v>
      </c>
      <c r="B62" t="s">
        <v>90</v>
      </c>
      <c r="C62" t="s">
        <v>617</v>
      </c>
      <c r="D62">
        <v>3111.76</v>
      </c>
      <c r="E62" s="37" t="str">
        <f t="shared" si="0"/>
        <v xml:space="preserve"> </v>
      </c>
      <c r="F62">
        <v>0.08</v>
      </c>
      <c r="G62" s="37" t="str">
        <f t="shared" si="1"/>
        <v>Normal Discount</v>
      </c>
      <c r="H62" s="37" t="str">
        <f t="shared" si="2"/>
        <v>Low</v>
      </c>
      <c r="I62">
        <v>3</v>
      </c>
      <c r="J62" t="str" cm="1">
        <f t="array" ref="J62">_xlfn.IFS(I62&lt;=3,"small",I62&lt;=6,"Medium",I62&lt;=9,"Large")</f>
        <v>small</v>
      </c>
      <c r="K62" s="36">
        <v>45054</v>
      </c>
      <c r="L62" s="36">
        <v>45057</v>
      </c>
      <c r="M62" t="s">
        <v>603</v>
      </c>
      <c r="N62" t="s">
        <v>604</v>
      </c>
      <c r="O62" s="37" t="str">
        <f t="shared" si="3"/>
        <v>Digital Payment</v>
      </c>
      <c r="P62">
        <v>835.81</v>
      </c>
      <c r="Q62" s="37" t="str">
        <f>IF(P62&gt;500,"High","low")</f>
        <v>High</v>
      </c>
      <c r="R62" s="37" t="str">
        <f t="shared" si="4"/>
        <v>Good</v>
      </c>
      <c r="S62" t="s">
        <v>609</v>
      </c>
    </row>
    <row r="63" spans="1:19" x14ac:dyDescent="0.2">
      <c r="A63" t="s">
        <v>674</v>
      </c>
      <c r="B63" t="s">
        <v>90</v>
      </c>
      <c r="C63" t="s">
        <v>597</v>
      </c>
      <c r="D63">
        <v>307.52999999999997</v>
      </c>
      <c r="E63" s="37" t="str">
        <f t="shared" si="0"/>
        <v xml:space="preserve"> </v>
      </c>
      <c r="F63">
        <v>0.32</v>
      </c>
      <c r="G63" s="37" t="str">
        <f t="shared" si="1"/>
        <v>Heavy Discount</v>
      </c>
      <c r="H63" s="37" t="str">
        <f t="shared" si="2"/>
        <v>Medium</v>
      </c>
      <c r="I63">
        <v>4</v>
      </c>
      <c r="J63" t="str" cm="1">
        <f t="array" ref="J63">_xlfn.IFS(I63&lt;=3,"small",I63&lt;=6,"Medium",I63&lt;=9,"Large")</f>
        <v>Medium</v>
      </c>
      <c r="K63" s="36">
        <v>45233</v>
      </c>
      <c r="L63" s="36">
        <v>45238</v>
      </c>
      <c r="M63" t="s">
        <v>598</v>
      </c>
      <c r="N63" t="s">
        <v>608</v>
      </c>
      <c r="O63" s="37" t="str">
        <f t="shared" si="3"/>
        <v>Cash Payment</v>
      </c>
      <c r="P63">
        <v>54.58</v>
      </c>
      <c r="Q63" s="37" t="str">
        <f>IF(P63&gt;500,"High","low")</f>
        <v>low</v>
      </c>
      <c r="R63" s="37" t="str">
        <f t="shared" si="4"/>
        <v>AVERAGE</v>
      </c>
      <c r="S63" t="s">
        <v>600</v>
      </c>
    </row>
    <row r="64" spans="1:19" x14ac:dyDescent="0.2">
      <c r="A64" t="s">
        <v>675</v>
      </c>
      <c r="B64" t="s">
        <v>75</v>
      </c>
      <c r="C64" t="s">
        <v>602</v>
      </c>
      <c r="D64">
        <v>3275.6</v>
      </c>
      <c r="E64" s="37" t="str">
        <f t="shared" si="0"/>
        <v xml:space="preserve"> </v>
      </c>
      <c r="F64">
        <v>0.22</v>
      </c>
      <c r="G64" s="37" t="str">
        <f t="shared" si="1"/>
        <v>Normal Discount</v>
      </c>
      <c r="H64" s="37" t="str">
        <f t="shared" si="2"/>
        <v>Medium</v>
      </c>
      <c r="I64">
        <v>3</v>
      </c>
      <c r="J64" t="str" cm="1">
        <f t="array" ref="J64">_xlfn.IFS(I64&lt;=3,"small",I64&lt;=6,"Medium",I64&lt;=9,"Large")</f>
        <v>small</v>
      </c>
      <c r="K64" s="36">
        <v>44999</v>
      </c>
      <c r="L64" s="36">
        <v>45000</v>
      </c>
      <c r="M64" t="s">
        <v>598</v>
      </c>
      <c r="N64" t="s">
        <v>608</v>
      </c>
      <c r="O64" s="37" t="str">
        <f t="shared" si="3"/>
        <v>Cash Payment</v>
      </c>
      <c r="P64">
        <v>922.83</v>
      </c>
      <c r="Q64" s="37" t="str">
        <f>IF(P64&gt;500,"High","low")</f>
        <v>High</v>
      </c>
      <c r="R64" s="37" t="str">
        <f t="shared" si="4"/>
        <v>Good</v>
      </c>
      <c r="S64" t="s">
        <v>628</v>
      </c>
    </row>
    <row r="65" spans="1:19" x14ac:dyDescent="0.2">
      <c r="A65" t="s">
        <v>676</v>
      </c>
      <c r="B65" t="s">
        <v>75</v>
      </c>
      <c r="C65" t="s">
        <v>607</v>
      </c>
      <c r="D65">
        <v>676.75</v>
      </c>
      <c r="E65" s="37" t="str">
        <f t="shared" si="0"/>
        <v xml:space="preserve"> </v>
      </c>
      <c r="F65">
        <v>0.41</v>
      </c>
      <c r="G65" s="37" t="str">
        <f t="shared" si="1"/>
        <v>Heavy Discount</v>
      </c>
      <c r="H65" s="37" t="str">
        <f t="shared" si="2"/>
        <v>High</v>
      </c>
      <c r="I65">
        <v>3</v>
      </c>
      <c r="J65" t="str" cm="1">
        <f t="array" ref="J65">_xlfn.IFS(I65&lt;=3,"small",I65&lt;=6,"Medium",I65&lt;=9,"Large")</f>
        <v>small</v>
      </c>
      <c r="K65" s="36">
        <v>45299</v>
      </c>
      <c r="L65" s="36">
        <v>45301</v>
      </c>
      <c r="M65" t="s">
        <v>612</v>
      </c>
      <c r="N65" t="s">
        <v>604</v>
      </c>
      <c r="O65" s="37" t="str">
        <f t="shared" si="3"/>
        <v>Digital Payment</v>
      </c>
      <c r="P65">
        <v>36.86</v>
      </c>
      <c r="Q65" s="37" t="str">
        <f>IF(P65&gt;500,"High","low")</f>
        <v>low</v>
      </c>
      <c r="R65" s="37" t="str">
        <f t="shared" si="4"/>
        <v>AVERAGE</v>
      </c>
      <c r="S65" t="s">
        <v>615</v>
      </c>
    </row>
    <row r="66" spans="1:19" x14ac:dyDescent="0.2">
      <c r="A66" t="s">
        <v>677</v>
      </c>
      <c r="B66" t="s">
        <v>90</v>
      </c>
      <c r="C66" t="s">
        <v>597</v>
      </c>
      <c r="D66">
        <v>4737.37</v>
      </c>
      <c r="E66" s="37" t="str">
        <f t="shared" si="0"/>
        <v xml:space="preserve"> </v>
      </c>
      <c r="F66">
        <v>0.17</v>
      </c>
      <c r="G66" s="37" t="str">
        <f t="shared" si="1"/>
        <v>Normal Discount</v>
      </c>
      <c r="H66" s="37" t="str">
        <f t="shared" si="2"/>
        <v>Low</v>
      </c>
      <c r="I66">
        <v>7</v>
      </c>
      <c r="J66" t="str" cm="1">
        <f t="array" ref="J66">_xlfn.IFS(I66&lt;=3,"small",I66&lt;=6,"Medium",I66&lt;=9,"Large")</f>
        <v>Large</v>
      </c>
      <c r="K66" s="36">
        <v>45652</v>
      </c>
      <c r="L66" s="36">
        <v>45653</v>
      </c>
      <c r="M66" t="s">
        <v>598</v>
      </c>
      <c r="N66" t="s">
        <v>599</v>
      </c>
      <c r="O66" s="37" t="str">
        <f t="shared" si="3"/>
        <v>Digital Payment</v>
      </c>
      <c r="P66">
        <v>499.78</v>
      </c>
      <c r="Q66" s="37" t="str">
        <f>IF(P66&gt;500,"High","low")</f>
        <v>low</v>
      </c>
      <c r="R66" s="37" t="str">
        <f t="shared" si="4"/>
        <v>AVERAGE</v>
      </c>
      <c r="S66" t="s">
        <v>609</v>
      </c>
    </row>
    <row r="67" spans="1:19" x14ac:dyDescent="0.2">
      <c r="A67" t="s">
        <v>678</v>
      </c>
      <c r="B67" t="s">
        <v>83</v>
      </c>
      <c r="C67" t="s">
        <v>614</v>
      </c>
      <c r="D67">
        <v>4335.26</v>
      </c>
      <c r="E67" s="37" t="str">
        <f t="shared" ref="E67:E130" si="5">IF(AND(D67&gt;4000,P67&gt;800),"Excellent Order"," ")</f>
        <v xml:space="preserve"> </v>
      </c>
      <c r="F67">
        <v>0.38</v>
      </c>
      <c r="G67" s="37" t="str">
        <f t="shared" ref="G67:G130" si="6">IF(F67&gt;30%,"Heavy Discount","Normal Discount")</f>
        <v>Heavy Discount</v>
      </c>
      <c r="H67" s="37" t="str">
        <f t="shared" ref="H67:H130" si="7">IF(F67&gt;0.4,"High",IF(F67&gt;=0.2,"Medium","Low"))</f>
        <v>Medium</v>
      </c>
      <c r="I67">
        <v>5</v>
      </c>
      <c r="J67" t="str" cm="1">
        <f t="array" ref="J67">_xlfn.IFS(I67&lt;=3,"small",I67&lt;=6,"Medium",I67&lt;=9,"Large")</f>
        <v>Medium</v>
      </c>
      <c r="K67" s="36">
        <v>45360</v>
      </c>
      <c r="L67" s="36">
        <v>45362</v>
      </c>
      <c r="M67" t="s">
        <v>612</v>
      </c>
      <c r="N67" t="s">
        <v>599</v>
      </c>
      <c r="O67" s="37" t="str">
        <f t="shared" ref="O67:O130" si="8">IF(OR(N67="Card",N67="UPI"),"Digital Payment","Cash Payment")</f>
        <v>Digital Payment</v>
      </c>
      <c r="P67">
        <v>757.48</v>
      </c>
      <c r="Q67" s="37" t="str">
        <f>IF(P67&gt;500,"High","low")</f>
        <v>High</v>
      </c>
      <c r="R67" s="37" t="str">
        <f t="shared" ref="R67:R130" si="9">IF(P67&gt;1000,"Excellent",IF(P67&gt;=500,"Good","AVERAGE"))</f>
        <v>Good</v>
      </c>
      <c r="S67" t="s">
        <v>620</v>
      </c>
    </row>
    <row r="68" spans="1:19" x14ac:dyDescent="0.2">
      <c r="A68" t="s">
        <v>679</v>
      </c>
      <c r="B68" t="s">
        <v>67</v>
      </c>
      <c r="C68" t="s">
        <v>617</v>
      </c>
      <c r="D68">
        <v>209.41</v>
      </c>
      <c r="E68" s="37" t="str">
        <f t="shared" si="5"/>
        <v xml:space="preserve"> </v>
      </c>
      <c r="F68">
        <v>7.0000000000000007E-2</v>
      </c>
      <c r="G68" s="37" t="str">
        <f t="shared" si="6"/>
        <v>Normal Discount</v>
      </c>
      <c r="H68" s="37" t="str">
        <f t="shared" si="7"/>
        <v>Low</v>
      </c>
      <c r="I68">
        <v>5</v>
      </c>
      <c r="J68" t="str" cm="1">
        <f t="array" ref="J68">_xlfn.IFS(I68&lt;=3,"small",I68&lt;=6,"Medium",I68&lt;=9,"Large")</f>
        <v>Medium</v>
      </c>
      <c r="K68" s="36">
        <v>45646</v>
      </c>
      <c r="L68" s="36">
        <v>45651</v>
      </c>
      <c r="M68" t="s">
        <v>603</v>
      </c>
      <c r="N68" t="s">
        <v>608</v>
      </c>
      <c r="O68" s="37" t="str">
        <f t="shared" si="8"/>
        <v>Cash Payment</v>
      </c>
      <c r="P68">
        <v>17.88</v>
      </c>
      <c r="Q68" s="37" t="str">
        <f>IF(P68&gt;500,"High","low")</f>
        <v>low</v>
      </c>
      <c r="R68" s="37" t="str">
        <f t="shared" si="9"/>
        <v>AVERAGE</v>
      </c>
      <c r="S68" t="s">
        <v>600</v>
      </c>
    </row>
    <row r="69" spans="1:19" x14ac:dyDescent="0.2">
      <c r="A69" t="s">
        <v>680</v>
      </c>
      <c r="B69" t="s">
        <v>75</v>
      </c>
      <c r="C69" t="s">
        <v>602</v>
      </c>
      <c r="D69">
        <v>3932.45</v>
      </c>
      <c r="E69" s="37" t="str">
        <f t="shared" si="5"/>
        <v xml:space="preserve"> </v>
      </c>
      <c r="F69">
        <v>0.47</v>
      </c>
      <c r="G69" s="37" t="str">
        <f t="shared" si="6"/>
        <v>Heavy Discount</v>
      </c>
      <c r="H69" s="37" t="str">
        <f t="shared" si="7"/>
        <v>High</v>
      </c>
      <c r="I69">
        <v>4</v>
      </c>
      <c r="J69" t="str" cm="1">
        <f t="array" ref="J69">_xlfn.IFS(I69&lt;=3,"small",I69&lt;=6,"Medium",I69&lt;=9,"Large")</f>
        <v>Medium</v>
      </c>
      <c r="K69" s="36">
        <v>44988</v>
      </c>
      <c r="L69" s="36">
        <v>44994</v>
      </c>
      <c r="M69" t="s">
        <v>612</v>
      </c>
      <c r="N69" t="s">
        <v>608</v>
      </c>
      <c r="O69" s="37" t="str">
        <f t="shared" si="8"/>
        <v>Cash Payment</v>
      </c>
      <c r="P69">
        <v>408.02</v>
      </c>
      <c r="Q69" s="37" t="str">
        <f>IF(P69&gt;500,"High","low")</f>
        <v>low</v>
      </c>
      <c r="R69" s="37" t="str">
        <f t="shared" si="9"/>
        <v>AVERAGE</v>
      </c>
      <c r="S69" t="s">
        <v>609</v>
      </c>
    </row>
    <row r="70" spans="1:19" x14ac:dyDescent="0.2">
      <c r="A70" t="s">
        <v>681</v>
      </c>
      <c r="B70" t="s">
        <v>67</v>
      </c>
      <c r="C70" t="s">
        <v>597</v>
      </c>
      <c r="D70">
        <v>3215.9</v>
      </c>
      <c r="E70" s="37" t="str">
        <f t="shared" si="5"/>
        <v xml:space="preserve"> </v>
      </c>
      <c r="F70">
        <v>0.21</v>
      </c>
      <c r="G70" s="37" t="str">
        <f t="shared" si="6"/>
        <v>Normal Discount</v>
      </c>
      <c r="H70" s="37" t="str">
        <f t="shared" si="7"/>
        <v>Medium</v>
      </c>
      <c r="I70">
        <v>8</v>
      </c>
      <c r="J70" t="str" cm="1">
        <f t="array" ref="J70">_xlfn.IFS(I70&lt;=3,"small",I70&lt;=6,"Medium",I70&lt;=9,"Large")</f>
        <v>Large</v>
      </c>
      <c r="K70" s="36">
        <v>44970</v>
      </c>
      <c r="L70" s="36">
        <v>44973</v>
      </c>
      <c r="M70" t="s">
        <v>598</v>
      </c>
      <c r="N70" t="s">
        <v>608</v>
      </c>
      <c r="O70" s="37" t="str">
        <f t="shared" si="8"/>
        <v>Cash Payment</v>
      </c>
      <c r="P70">
        <v>542.05999999999995</v>
      </c>
      <c r="Q70" s="37" t="str">
        <f>IF(P70&gt;500,"High","low")</f>
        <v>High</v>
      </c>
      <c r="R70" s="37" t="str">
        <f t="shared" si="9"/>
        <v>Good</v>
      </c>
      <c r="S70" t="s">
        <v>620</v>
      </c>
    </row>
    <row r="71" spans="1:19" x14ac:dyDescent="0.2">
      <c r="A71" t="s">
        <v>682</v>
      </c>
      <c r="B71" t="s">
        <v>83</v>
      </c>
      <c r="C71" t="s">
        <v>614</v>
      </c>
      <c r="D71">
        <v>2527.31</v>
      </c>
      <c r="E71" s="37" t="str">
        <f t="shared" si="5"/>
        <v xml:space="preserve"> </v>
      </c>
      <c r="F71">
        <v>0.12</v>
      </c>
      <c r="G71" s="37" t="str">
        <f t="shared" si="6"/>
        <v>Normal Discount</v>
      </c>
      <c r="H71" s="37" t="str">
        <f t="shared" si="7"/>
        <v>Low</v>
      </c>
      <c r="I71">
        <v>1</v>
      </c>
      <c r="J71" t="str" cm="1">
        <f t="array" ref="J71">_xlfn.IFS(I71&lt;=3,"small",I71&lt;=6,"Medium",I71&lt;=9,"Large")</f>
        <v>small</v>
      </c>
      <c r="K71" s="36">
        <v>45296</v>
      </c>
      <c r="L71" s="36">
        <v>45297</v>
      </c>
      <c r="M71" t="s">
        <v>603</v>
      </c>
      <c r="N71" t="s">
        <v>604</v>
      </c>
      <c r="O71" s="37" t="str">
        <f t="shared" si="8"/>
        <v>Digital Payment</v>
      </c>
      <c r="P71">
        <v>611.45000000000005</v>
      </c>
      <c r="Q71" s="37" t="str">
        <f>IF(P71&gt;500,"High","low")</f>
        <v>High</v>
      </c>
      <c r="R71" s="37" t="str">
        <f t="shared" si="9"/>
        <v>Good</v>
      </c>
      <c r="S71" t="s">
        <v>600</v>
      </c>
    </row>
    <row r="72" spans="1:19" x14ac:dyDescent="0.2">
      <c r="A72" t="s">
        <v>683</v>
      </c>
      <c r="B72" t="s">
        <v>83</v>
      </c>
      <c r="C72" t="s">
        <v>597</v>
      </c>
      <c r="D72">
        <v>3052.91</v>
      </c>
      <c r="E72" s="37" t="str">
        <f t="shared" si="5"/>
        <v xml:space="preserve"> </v>
      </c>
      <c r="F72">
        <v>0.39</v>
      </c>
      <c r="G72" s="37" t="str">
        <f t="shared" si="6"/>
        <v>Heavy Discount</v>
      </c>
      <c r="H72" s="37" t="str">
        <f t="shared" si="7"/>
        <v>Medium</v>
      </c>
      <c r="I72">
        <v>9</v>
      </c>
      <c r="J72" t="str" cm="1">
        <f t="array" ref="J72">_xlfn.IFS(I72&lt;=3,"small",I72&lt;=6,"Medium",I72&lt;=9,"Large")</f>
        <v>Large</v>
      </c>
      <c r="K72" s="36">
        <v>45449</v>
      </c>
      <c r="L72" s="36">
        <v>45453</v>
      </c>
      <c r="M72" t="s">
        <v>612</v>
      </c>
      <c r="N72" t="s">
        <v>604</v>
      </c>
      <c r="O72" s="37" t="str">
        <f t="shared" si="8"/>
        <v>Digital Payment</v>
      </c>
      <c r="P72">
        <v>752</v>
      </c>
      <c r="Q72" s="37" t="str">
        <f>IF(P72&gt;500,"High","low")</f>
        <v>High</v>
      </c>
      <c r="R72" s="37" t="str">
        <f t="shared" si="9"/>
        <v>Good</v>
      </c>
      <c r="S72" t="s">
        <v>620</v>
      </c>
    </row>
    <row r="73" spans="1:19" x14ac:dyDescent="0.2">
      <c r="A73" t="s">
        <v>684</v>
      </c>
      <c r="B73" t="s">
        <v>83</v>
      </c>
      <c r="C73" t="s">
        <v>597</v>
      </c>
      <c r="D73">
        <v>3423.43</v>
      </c>
      <c r="E73" s="37" t="str">
        <f t="shared" si="5"/>
        <v xml:space="preserve"> </v>
      </c>
      <c r="F73">
        <v>0.47</v>
      </c>
      <c r="G73" s="37" t="str">
        <f t="shared" si="6"/>
        <v>Heavy Discount</v>
      </c>
      <c r="H73" s="37" t="str">
        <f t="shared" si="7"/>
        <v>High</v>
      </c>
      <c r="I73">
        <v>9</v>
      </c>
      <c r="J73" t="str" cm="1">
        <f t="array" ref="J73">_xlfn.IFS(I73&lt;=3,"small",I73&lt;=6,"Medium",I73&lt;=9,"Large")</f>
        <v>Large</v>
      </c>
      <c r="K73" s="36">
        <v>45620</v>
      </c>
      <c r="L73" s="36">
        <v>45622</v>
      </c>
      <c r="M73" t="s">
        <v>612</v>
      </c>
      <c r="N73" t="s">
        <v>604</v>
      </c>
      <c r="O73" s="37" t="str">
        <f t="shared" si="8"/>
        <v>Digital Payment</v>
      </c>
      <c r="P73">
        <v>698.02</v>
      </c>
      <c r="Q73" s="37" t="str">
        <f>IF(P73&gt;500,"High","low")</f>
        <v>High</v>
      </c>
      <c r="R73" s="37" t="str">
        <f t="shared" si="9"/>
        <v>Good</v>
      </c>
      <c r="S73" t="s">
        <v>609</v>
      </c>
    </row>
    <row r="74" spans="1:19" x14ac:dyDescent="0.2">
      <c r="A74" t="s">
        <v>685</v>
      </c>
      <c r="B74" t="s">
        <v>75</v>
      </c>
      <c r="C74" t="s">
        <v>607</v>
      </c>
      <c r="D74">
        <v>4433.84</v>
      </c>
      <c r="E74" s="37" t="str">
        <f t="shared" si="5"/>
        <v>Excellent Order</v>
      </c>
      <c r="F74">
        <v>0.46</v>
      </c>
      <c r="G74" s="37" t="str">
        <f t="shared" si="6"/>
        <v>Heavy Discount</v>
      </c>
      <c r="H74" s="37" t="str">
        <f t="shared" si="7"/>
        <v>High</v>
      </c>
      <c r="I74">
        <v>5</v>
      </c>
      <c r="J74" t="str" cm="1">
        <f t="array" ref="J74">_xlfn.IFS(I74&lt;=3,"small",I74&lt;=6,"Medium",I74&lt;=9,"Large")</f>
        <v>Medium</v>
      </c>
      <c r="K74" s="36">
        <v>45621</v>
      </c>
      <c r="L74" s="36">
        <v>45626</v>
      </c>
      <c r="M74" t="s">
        <v>603</v>
      </c>
      <c r="N74" t="s">
        <v>608</v>
      </c>
      <c r="O74" s="37" t="str">
        <f t="shared" si="8"/>
        <v>Cash Payment</v>
      </c>
      <c r="P74">
        <v>1229.3</v>
      </c>
      <c r="Q74" s="37" t="str">
        <f>IF(P74&gt;500,"High","low")</f>
        <v>High</v>
      </c>
      <c r="R74" s="37" t="str">
        <f t="shared" si="9"/>
        <v>Excellent</v>
      </c>
      <c r="S74" t="s">
        <v>628</v>
      </c>
    </row>
    <row r="75" spans="1:19" x14ac:dyDescent="0.2">
      <c r="A75" t="s">
        <v>686</v>
      </c>
      <c r="B75" t="s">
        <v>83</v>
      </c>
      <c r="C75" t="s">
        <v>607</v>
      </c>
      <c r="D75">
        <v>3860.05</v>
      </c>
      <c r="E75" s="37" t="str">
        <f t="shared" si="5"/>
        <v xml:space="preserve"> </v>
      </c>
      <c r="F75">
        <v>0.12</v>
      </c>
      <c r="G75" s="37" t="str">
        <f t="shared" si="6"/>
        <v>Normal Discount</v>
      </c>
      <c r="H75" s="37" t="str">
        <f t="shared" si="7"/>
        <v>Low</v>
      </c>
      <c r="I75">
        <v>1</v>
      </c>
      <c r="J75" t="str" cm="1">
        <f t="array" ref="J75">_xlfn.IFS(I75&lt;=3,"small",I75&lt;=6,"Medium",I75&lt;=9,"Large")</f>
        <v>small</v>
      </c>
      <c r="K75" s="36">
        <v>44987</v>
      </c>
      <c r="L75" s="36">
        <v>44994</v>
      </c>
      <c r="M75" t="s">
        <v>598</v>
      </c>
      <c r="N75" t="s">
        <v>599</v>
      </c>
      <c r="O75" s="37" t="str">
        <f t="shared" si="8"/>
        <v>Digital Payment</v>
      </c>
      <c r="P75">
        <v>800.39</v>
      </c>
      <c r="Q75" s="37" t="str">
        <f>IF(P75&gt;500,"High","low")</f>
        <v>High</v>
      </c>
      <c r="R75" s="37" t="str">
        <f t="shared" si="9"/>
        <v>Good</v>
      </c>
      <c r="S75" t="s">
        <v>609</v>
      </c>
    </row>
    <row r="76" spans="1:19" x14ac:dyDescent="0.2">
      <c r="A76" t="s">
        <v>687</v>
      </c>
      <c r="B76" t="s">
        <v>75</v>
      </c>
      <c r="C76" t="s">
        <v>597</v>
      </c>
      <c r="D76">
        <v>2919.35</v>
      </c>
      <c r="E76" s="37" t="str">
        <f t="shared" si="5"/>
        <v xml:space="preserve"> </v>
      </c>
      <c r="F76">
        <v>0.34</v>
      </c>
      <c r="G76" s="37" t="str">
        <f t="shared" si="6"/>
        <v>Heavy Discount</v>
      </c>
      <c r="H76" s="37" t="str">
        <f t="shared" si="7"/>
        <v>Medium</v>
      </c>
      <c r="I76">
        <v>2</v>
      </c>
      <c r="J76" t="str" cm="1">
        <f t="array" ref="J76">_xlfn.IFS(I76&lt;=3,"small",I76&lt;=6,"Medium",I76&lt;=9,"Large")</f>
        <v>small</v>
      </c>
      <c r="K76" s="36">
        <v>45409</v>
      </c>
      <c r="L76" s="36">
        <v>45410</v>
      </c>
      <c r="M76" t="s">
        <v>598</v>
      </c>
      <c r="N76" t="s">
        <v>604</v>
      </c>
      <c r="O76" s="37" t="str">
        <f t="shared" si="8"/>
        <v>Digital Payment</v>
      </c>
      <c r="P76">
        <v>163.35</v>
      </c>
      <c r="Q76" s="37" t="str">
        <f>IF(P76&gt;500,"High","low")</f>
        <v>low</v>
      </c>
      <c r="R76" s="37" t="str">
        <f t="shared" si="9"/>
        <v>AVERAGE</v>
      </c>
      <c r="S76" t="s">
        <v>628</v>
      </c>
    </row>
    <row r="77" spans="1:19" x14ac:dyDescent="0.2">
      <c r="A77" t="s">
        <v>688</v>
      </c>
      <c r="B77" t="s">
        <v>83</v>
      </c>
      <c r="C77" t="s">
        <v>614</v>
      </c>
      <c r="D77">
        <v>4140.62</v>
      </c>
      <c r="E77" s="37" t="str">
        <f t="shared" si="5"/>
        <v xml:space="preserve"> </v>
      </c>
      <c r="F77">
        <v>0.27</v>
      </c>
      <c r="G77" s="37" t="str">
        <f t="shared" si="6"/>
        <v>Normal Discount</v>
      </c>
      <c r="H77" s="37" t="str">
        <f t="shared" si="7"/>
        <v>Medium</v>
      </c>
      <c r="I77">
        <v>2</v>
      </c>
      <c r="J77" t="str" cm="1">
        <f t="array" ref="J77">_xlfn.IFS(I77&lt;=3,"small",I77&lt;=6,"Medium",I77&lt;=9,"Large")</f>
        <v>small</v>
      </c>
      <c r="K77" s="36">
        <v>45106</v>
      </c>
      <c r="L77" s="36">
        <v>45113</v>
      </c>
      <c r="M77" t="s">
        <v>598</v>
      </c>
      <c r="N77" t="s">
        <v>599</v>
      </c>
      <c r="O77" s="37" t="str">
        <f t="shared" si="8"/>
        <v>Digital Payment</v>
      </c>
      <c r="P77">
        <v>743.22</v>
      </c>
      <c r="Q77" s="37" t="str">
        <f>IF(P77&gt;500,"High","low")</f>
        <v>High</v>
      </c>
      <c r="R77" s="37" t="str">
        <f t="shared" si="9"/>
        <v>Good</v>
      </c>
      <c r="S77" t="s">
        <v>609</v>
      </c>
    </row>
    <row r="78" spans="1:19" x14ac:dyDescent="0.2">
      <c r="A78" t="s">
        <v>689</v>
      </c>
      <c r="B78" t="s">
        <v>67</v>
      </c>
      <c r="C78" t="s">
        <v>602</v>
      </c>
      <c r="D78">
        <v>4935.92</v>
      </c>
      <c r="E78" s="37" t="str">
        <f t="shared" si="5"/>
        <v>Excellent Order</v>
      </c>
      <c r="F78">
        <v>0.36</v>
      </c>
      <c r="G78" s="37" t="str">
        <f t="shared" si="6"/>
        <v>Heavy Discount</v>
      </c>
      <c r="H78" s="37" t="str">
        <f t="shared" si="7"/>
        <v>Medium</v>
      </c>
      <c r="I78">
        <v>6</v>
      </c>
      <c r="J78" t="str" cm="1">
        <f t="array" ref="J78">_xlfn.IFS(I78&lt;=3,"small",I78&lt;=6,"Medium",I78&lt;=9,"Large")</f>
        <v>Medium</v>
      </c>
      <c r="K78" s="36">
        <v>45561</v>
      </c>
      <c r="L78" s="36">
        <v>45566</v>
      </c>
      <c r="M78" t="s">
        <v>603</v>
      </c>
      <c r="N78" t="s">
        <v>599</v>
      </c>
      <c r="O78" s="37" t="str">
        <f t="shared" si="8"/>
        <v>Digital Payment</v>
      </c>
      <c r="P78">
        <v>1440.78</v>
      </c>
      <c r="Q78" s="37" t="str">
        <f>IF(P78&gt;500,"High","low")</f>
        <v>High</v>
      </c>
      <c r="R78" s="37" t="str">
        <f t="shared" si="9"/>
        <v>Excellent</v>
      </c>
      <c r="S78" t="s">
        <v>620</v>
      </c>
    </row>
    <row r="79" spans="1:19" x14ac:dyDescent="0.2">
      <c r="A79" t="s">
        <v>690</v>
      </c>
      <c r="B79" t="s">
        <v>67</v>
      </c>
      <c r="C79" t="s">
        <v>602</v>
      </c>
      <c r="D79">
        <v>1570.89</v>
      </c>
      <c r="E79" s="37" t="str">
        <f t="shared" si="5"/>
        <v xml:space="preserve"> </v>
      </c>
      <c r="F79">
        <v>0.24</v>
      </c>
      <c r="G79" s="37" t="str">
        <f t="shared" si="6"/>
        <v>Normal Discount</v>
      </c>
      <c r="H79" s="37" t="str">
        <f t="shared" si="7"/>
        <v>Medium</v>
      </c>
      <c r="I79">
        <v>9</v>
      </c>
      <c r="J79" t="str" cm="1">
        <f t="array" ref="J79">_xlfn.IFS(I79&lt;=3,"small",I79&lt;=6,"Medium",I79&lt;=9,"Large")</f>
        <v>Large</v>
      </c>
      <c r="K79" s="36">
        <v>44948</v>
      </c>
      <c r="L79" s="36">
        <v>44949</v>
      </c>
      <c r="M79" t="s">
        <v>612</v>
      </c>
      <c r="N79" t="s">
        <v>599</v>
      </c>
      <c r="O79" s="37" t="str">
        <f t="shared" si="8"/>
        <v>Digital Payment</v>
      </c>
      <c r="P79">
        <v>336.22</v>
      </c>
      <c r="Q79" s="37" t="str">
        <f>IF(P79&gt;500,"High","low")</f>
        <v>low</v>
      </c>
      <c r="R79" s="37" t="str">
        <f t="shared" si="9"/>
        <v>AVERAGE</v>
      </c>
      <c r="S79" t="s">
        <v>620</v>
      </c>
    </row>
    <row r="80" spans="1:19" x14ac:dyDescent="0.2">
      <c r="A80" t="s">
        <v>691</v>
      </c>
      <c r="B80" t="s">
        <v>90</v>
      </c>
      <c r="C80" t="s">
        <v>617</v>
      </c>
      <c r="D80">
        <v>680.26</v>
      </c>
      <c r="E80" s="37" t="str">
        <f t="shared" si="5"/>
        <v xml:space="preserve"> </v>
      </c>
      <c r="F80">
        <v>0.23</v>
      </c>
      <c r="G80" s="37" t="str">
        <f t="shared" si="6"/>
        <v>Normal Discount</v>
      </c>
      <c r="H80" s="37" t="str">
        <f t="shared" si="7"/>
        <v>Medium</v>
      </c>
      <c r="I80">
        <v>3</v>
      </c>
      <c r="J80" t="str" cm="1">
        <f t="array" ref="J80">_xlfn.IFS(I80&lt;=3,"small",I80&lt;=6,"Medium",I80&lt;=9,"Large")</f>
        <v>small</v>
      </c>
      <c r="K80" s="36">
        <v>45441</v>
      </c>
      <c r="L80" s="36">
        <v>45444</v>
      </c>
      <c r="M80" t="s">
        <v>603</v>
      </c>
      <c r="N80" t="s">
        <v>599</v>
      </c>
      <c r="O80" s="37" t="str">
        <f t="shared" si="8"/>
        <v>Digital Payment</v>
      </c>
      <c r="P80">
        <v>151.09</v>
      </c>
      <c r="Q80" s="37" t="str">
        <f>IF(P80&gt;500,"High","low")</f>
        <v>low</v>
      </c>
      <c r="R80" s="37" t="str">
        <f t="shared" si="9"/>
        <v>AVERAGE</v>
      </c>
      <c r="S80" t="s">
        <v>609</v>
      </c>
    </row>
    <row r="81" spans="1:19" x14ac:dyDescent="0.2">
      <c r="A81" t="s">
        <v>692</v>
      </c>
      <c r="B81" t="s">
        <v>67</v>
      </c>
      <c r="C81" t="s">
        <v>617</v>
      </c>
      <c r="D81">
        <v>3684.1</v>
      </c>
      <c r="E81" s="37" t="str">
        <f t="shared" si="5"/>
        <v xml:space="preserve"> </v>
      </c>
      <c r="F81">
        <v>0.44</v>
      </c>
      <c r="G81" s="37" t="str">
        <f t="shared" si="6"/>
        <v>Heavy Discount</v>
      </c>
      <c r="H81" s="37" t="str">
        <f t="shared" si="7"/>
        <v>High</v>
      </c>
      <c r="I81">
        <v>8</v>
      </c>
      <c r="J81" t="str" cm="1">
        <f t="array" ref="J81">_xlfn.IFS(I81&lt;=3,"small",I81&lt;=6,"Medium",I81&lt;=9,"Large")</f>
        <v>Large</v>
      </c>
      <c r="K81" s="36">
        <v>45642</v>
      </c>
      <c r="L81" s="36">
        <v>45649</v>
      </c>
      <c r="M81" t="s">
        <v>612</v>
      </c>
      <c r="N81" t="s">
        <v>599</v>
      </c>
      <c r="O81" s="37" t="str">
        <f t="shared" si="8"/>
        <v>Digital Payment</v>
      </c>
      <c r="P81">
        <v>289.32</v>
      </c>
      <c r="Q81" s="37" t="str">
        <f>IF(P81&gt;500,"High","low")</f>
        <v>low</v>
      </c>
      <c r="R81" s="37" t="str">
        <f t="shared" si="9"/>
        <v>AVERAGE</v>
      </c>
      <c r="S81" t="s">
        <v>600</v>
      </c>
    </row>
    <row r="82" spans="1:19" x14ac:dyDescent="0.2">
      <c r="A82" t="s">
        <v>693</v>
      </c>
      <c r="B82" t="s">
        <v>90</v>
      </c>
      <c r="C82" t="s">
        <v>602</v>
      </c>
      <c r="D82">
        <v>4895.12</v>
      </c>
      <c r="E82" s="37" t="str">
        <f t="shared" si="5"/>
        <v xml:space="preserve"> </v>
      </c>
      <c r="F82">
        <v>0.44</v>
      </c>
      <c r="G82" s="37" t="str">
        <f t="shared" si="6"/>
        <v>Heavy Discount</v>
      </c>
      <c r="H82" s="37" t="str">
        <f t="shared" si="7"/>
        <v>High</v>
      </c>
      <c r="I82">
        <v>2</v>
      </c>
      <c r="J82" t="str" cm="1">
        <f t="array" ref="J82">_xlfn.IFS(I82&lt;=3,"small",I82&lt;=6,"Medium",I82&lt;=9,"Large")</f>
        <v>small</v>
      </c>
      <c r="K82" s="36">
        <v>45624</v>
      </c>
      <c r="L82" s="36">
        <v>45630</v>
      </c>
      <c r="M82" t="s">
        <v>603</v>
      </c>
      <c r="N82" t="s">
        <v>604</v>
      </c>
      <c r="O82" s="37" t="str">
        <f t="shared" si="8"/>
        <v>Digital Payment</v>
      </c>
      <c r="P82">
        <v>684.94</v>
      </c>
      <c r="Q82" s="37" t="str">
        <f>IF(P82&gt;500,"High","low")</f>
        <v>High</v>
      </c>
      <c r="R82" s="37" t="str">
        <f t="shared" si="9"/>
        <v>Good</v>
      </c>
      <c r="S82" t="s">
        <v>628</v>
      </c>
    </row>
    <row r="83" spans="1:19" x14ac:dyDescent="0.2">
      <c r="A83" t="s">
        <v>694</v>
      </c>
      <c r="B83" t="s">
        <v>67</v>
      </c>
      <c r="C83" t="s">
        <v>597</v>
      </c>
      <c r="D83">
        <v>671.86</v>
      </c>
      <c r="E83" s="37" t="str">
        <f t="shared" si="5"/>
        <v xml:space="preserve"> </v>
      </c>
      <c r="F83">
        <v>0.39</v>
      </c>
      <c r="G83" s="37" t="str">
        <f t="shared" si="6"/>
        <v>Heavy Discount</v>
      </c>
      <c r="H83" s="37" t="str">
        <f t="shared" si="7"/>
        <v>Medium</v>
      </c>
      <c r="I83">
        <v>5</v>
      </c>
      <c r="J83" t="str" cm="1">
        <f t="array" ref="J83">_xlfn.IFS(I83&lt;=3,"small",I83&lt;=6,"Medium",I83&lt;=9,"Large")</f>
        <v>Medium</v>
      </c>
      <c r="K83" s="36">
        <v>45609</v>
      </c>
      <c r="L83" s="36">
        <v>45611</v>
      </c>
      <c r="M83" t="s">
        <v>612</v>
      </c>
      <c r="N83" t="s">
        <v>599</v>
      </c>
      <c r="O83" s="37" t="str">
        <f t="shared" si="8"/>
        <v>Digital Payment</v>
      </c>
      <c r="P83">
        <v>175.75</v>
      </c>
      <c r="Q83" s="37" t="str">
        <f>IF(P83&gt;500,"High","low")</f>
        <v>low</v>
      </c>
      <c r="R83" s="37" t="str">
        <f t="shared" si="9"/>
        <v>AVERAGE</v>
      </c>
      <c r="S83" t="s">
        <v>605</v>
      </c>
    </row>
    <row r="84" spans="1:19" x14ac:dyDescent="0.2">
      <c r="A84" t="s">
        <v>695</v>
      </c>
      <c r="B84" t="s">
        <v>75</v>
      </c>
      <c r="C84" t="s">
        <v>597</v>
      </c>
      <c r="D84">
        <v>2215.37</v>
      </c>
      <c r="E84" s="37" t="str">
        <f t="shared" si="5"/>
        <v xml:space="preserve"> </v>
      </c>
      <c r="F84">
        <v>0.35</v>
      </c>
      <c r="G84" s="37" t="str">
        <f t="shared" si="6"/>
        <v>Heavy Discount</v>
      </c>
      <c r="H84" s="37" t="str">
        <f t="shared" si="7"/>
        <v>Medium</v>
      </c>
      <c r="I84">
        <v>4</v>
      </c>
      <c r="J84" t="str" cm="1">
        <f t="array" ref="J84">_xlfn.IFS(I84&lt;=3,"small",I84&lt;=6,"Medium",I84&lt;=9,"Large")</f>
        <v>Medium</v>
      </c>
      <c r="K84" s="36">
        <v>45499</v>
      </c>
      <c r="L84" s="36">
        <v>45506</v>
      </c>
      <c r="M84" t="s">
        <v>612</v>
      </c>
      <c r="N84" t="s">
        <v>608</v>
      </c>
      <c r="O84" s="37" t="str">
        <f t="shared" si="8"/>
        <v>Cash Payment</v>
      </c>
      <c r="P84">
        <v>171.87</v>
      </c>
      <c r="Q84" s="37" t="str">
        <f>IF(P84&gt;500,"High","low")</f>
        <v>low</v>
      </c>
      <c r="R84" s="37" t="str">
        <f t="shared" si="9"/>
        <v>AVERAGE</v>
      </c>
      <c r="S84" t="s">
        <v>615</v>
      </c>
    </row>
    <row r="85" spans="1:19" x14ac:dyDescent="0.2">
      <c r="A85" t="s">
        <v>696</v>
      </c>
      <c r="B85" t="s">
        <v>67</v>
      </c>
      <c r="C85" t="s">
        <v>607</v>
      </c>
      <c r="D85">
        <v>405.11</v>
      </c>
      <c r="E85" s="37" t="str">
        <f t="shared" si="5"/>
        <v xml:space="preserve"> </v>
      </c>
      <c r="F85">
        <v>0.34</v>
      </c>
      <c r="G85" s="37" t="str">
        <f t="shared" si="6"/>
        <v>Heavy Discount</v>
      </c>
      <c r="H85" s="37" t="str">
        <f t="shared" si="7"/>
        <v>Medium</v>
      </c>
      <c r="I85">
        <v>5</v>
      </c>
      <c r="J85" t="str" cm="1">
        <f t="array" ref="J85">_xlfn.IFS(I85&lt;=3,"small",I85&lt;=6,"Medium",I85&lt;=9,"Large")</f>
        <v>Medium</v>
      </c>
      <c r="K85" s="36">
        <v>45275</v>
      </c>
      <c r="L85" s="36">
        <v>45276</v>
      </c>
      <c r="M85" t="s">
        <v>603</v>
      </c>
      <c r="N85" t="s">
        <v>604</v>
      </c>
      <c r="O85" s="37" t="str">
        <f t="shared" si="8"/>
        <v>Digital Payment</v>
      </c>
      <c r="P85">
        <v>105.25</v>
      </c>
      <c r="Q85" s="37" t="str">
        <f>IF(P85&gt;500,"High","low")</f>
        <v>low</v>
      </c>
      <c r="R85" s="37" t="str">
        <f t="shared" si="9"/>
        <v>AVERAGE</v>
      </c>
      <c r="S85" t="s">
        <v>605</v>
      </c>
    </row>
    <row r="86" spans="1:19" x14ac:dyDescent="0.2">
      <c r="A86" t="s">
        <v>697</v>
      </c>
      <c r="B86" t="s">
        <v>90</v>
      </c>
      <c r="C86" t="s">
        <v>607</v>
      </c>
      <c r="D86">
        <v>3905.01</v>
      </c>
      <c r="E86" s="37" t="str">
        <f t="shared" si="5"/>
        <v xml:space="preserve"> </v>
      </c>
      <c r="F86">
        <v>0.03</v>
      </c>
      <c r="G86" s="37" t="str">
        <f t="shared" si="6"/>
        <v>Normal Discount</v>
      </c>
      <c r="H86" s="37" t="str">
        <f t="shared" si="7"/>
        <v>Low</v>
      </c>
      <c r="I86">
        <v>4</v>
      </c>
      <c r="J86" t="str" cm="1">
        <f t="array" ref="J86">_xlfn.IFS(I86&lt;=3,"small",I86&lt;=6,"Medium",I86&lt;=9,"Large")</f>
        <v>Medium</v>
      </c>
      <c r="K86" s="36">
        <v>45491</v>
      </c>
      <c r="L86" s="36">
        <v>45498</v>
      </c>
      <c r="M86" t="s">
        <v>603</v>
      </c>
      <c r="N86" t="s">
        <v>599</v>
      </c>
      <c r="O86" s="37" t="str">
        <f t="shared" si="8"/>
        <v>Digital Payment</v>
      </c>
      <c r="P86">
        <v>754.77</v>
      </c>
      <c r="Q86" s="37" t="str">
        <f>IF(P86&gt;500,"High","low")</f>
        <v>High</v>
      </c>
      <c r="R86" s="37" t="str">
        <f t="shared" si="9"/>
        <v>Good</v>
      </c>
      <c r="S86" t="s">
        <v>605</v>
      </c>
    </row>
    <row r="87" spans="1:19" x14ac:dyDescent="0.2">
      <c r="A87" t="s">
        <v>698</v>
      </c>
      <c r="B87" t="s">
        <v>90</v>
      </c>
      <c r="C87" t="s">
        <v>617</v>
      </c>
      <c r="D87">
        <v>4748.67</v>
      </c>
      <c r="E87" s="37" t="str">
        <f t="shared" si="5"/>
        <v xml:space="preserve"> </v>
      </c>
      <c r="F87">
        <v>0.37</v>
      </c>
      <c r="G87" s="37" t="str">
        <f t="shared" si="6"/>
        <v>Heavy Discount</v>
      </c>
      <c r="H87" s="37" t="str">
        <f t="shared" si="7"/>
        <v>Medium</v>
      </c>
      <c r="I87">
        <v>1</v>
      </c>
      <c r="J87" t="str" cm="1">
        <f t="array" ref="J87">_xlfn.IFS(I87&lt;=3,"small",I87&lt;=6,"Medium",I87&lt;=9,"Large")</f>
        <v>small</v>
      </c>
      <c r="K87" s="36">
        <v>45599</v>
      </c>
      <c r="L87" s="36">
        <v>45603</v>
      </c>
      <c r="M87" t="s">
        <v>603</v>
      </c>
      <c r="N87" t="s">
        <v>599</v>
      </c>
      <c r="O87" s="37" t="str">
        <f t="shared" si="8"/>
        <v>Digital Payment</v>
      </c>
      <c r="P87">
        <v>705.01</v>
      </c>
      <c r="Q87" s="37" t="str">
        <f>IF(P87&gt;500,"High","low")</f>
        <v>High</v>
      </c>
      <c r="R87" s="37" t="str">
        <f t="shared" si="9"/>
        <v>Good</v>
      </c>
      <c r="S87" t="s">
        <v>600</v>
      </c>
    </row>
    <row r="88" spans="1:19" x14ac:dyDescent="0.2">
      <c r="A88" t="s">
        <v>699</v>
      </c>
      <c r="B88" t="s">
        <v>83</v>
      </c>
      <c r="C88" t="s">
        <v>602</v>
      </c>
      <c r="D88">
        <v>2545.0700000000002</v>
      </c>
      <c r="E88" s="37" t="str">
        <f t="shared" si="5"/>
        <v xml:space="preserve"> </v>
      </c>
      <c r="F88">
        <v>0.32</v>
      </c>
      <c r="G88" s="37" t="str">
        <f t="shared" si="6"/>
        <v>Heavy Discount</v>
      </c>
      <c r="H88" s="37" t="str">
        <f t="shared" si="7"/>
        <v>Medium</v>
      </c>
      <c r="I88">
        <v>1</v>
      </c>
      <c r="J88" t="str" cm="1">
        <f t="array" ref="J88">_xlfn.IFS(I88&lt;=3,"small",I88&lt;=6,"Medium",I88&lt;=9,"Large")</f>
        <v>small</v>
      </c>
      <c r="K88" s="36">
        <v>45150</v>
      </c>
      <c r="L88" s="36">
        <v>45152</v>
      </c>
      <c r="M88" t="s">
        <v>612</v>
      </c>
      <c r="N88" t="s">
        <v>604</v>
      </c>
      <c r="O88" s="37" t="str">
        <f t="shared" si="8"/>
        <v>Digital Payment</v>
      </c>
      <c r="P88">
        <v>719.11</v>
      </c>
      <c r="Q88" s="37" t="str">
        <f>IF(P88&gt;500,"High","low")</f>
        <v>High</v>
      </c>
      <c r="R88" s="37" t="str">
        <f t="shared" si="9"/>
        <v>Good</v>
      </c>
      <c r="S88" t="s">
        <v>620</v>
      </c>
    </row>
    <row r="89" spans="1:19" x14ac:dyDescent="0.2">
      <c r="A89" t="s">
        <v>700</v>
      </c>
      <c r="B89" t="s">
        <v>75</v>
      </c>
      <c r="C89" t="s">
        <v>597</v>
      </c>
      <c r="D89">
        <v>2106.65</v>
      </c>
      <c r="E89" s="37" t="str">
        <f t="shared" si="5"/>
        <v xml:space="preserve"> </v>
      </c>
      <c r="F89">
        <v>0.15</v>
      </c>
      <c r="G89" s="37" t="str">
        <f t="shared" si="6"/>
        <v>Normal Discount</v>
      </c>
      <c r="H89" s="37" t="str">
        <f t="shared" si="7"/>
        <v>Low</v>
      </c>
      <c r="I89">
        <v>6</v>
      </c>
      <c r="J89" t="str" cm="1">
        <f t="array" ref="J89">_xlfn.IFS(I89&lt;=3,"small",I89&lt;=6,"Medium",I89&lt;=9,"Large")</f>
        <v>Medium</v>
      </c>
      <c r="K89" s="36">
        <v>45463</v>
      </c>
      <c r="L89" s="36">
        <v>45465</v>
      </c>
      <c r="M89" t="s">
        <v>603</v>
      </c>
      <c r="N89" t="s">
        <v>599</v>
      </c>
      <c r="O89" s="37" t="str">
        <f t="shared" si="8"/>
        <v>Digital Payment</v>
      </c>
      <c r="P89">
        <v>120.84</v>
      </c>
      <c r="Q89" s="37" t="str">
        <f>IF(P89&gt;500,"High","low")</f>
        <v>low</v>
      </c>
      <c r="R89" s="37" t="str">
        <f t="shared" si="9"/>
        <v>AVERAGE</v>
      </c>
      <c r="S89" t="s">
        <v>620</v>
      </c>
    </row>
    <row r="90" spans="1:19" x14ac:dyDescent="0.2">
      <c r="A90" t="s">
        <v>701</v>
      </c>
      <c r="B90" t="s">
        <v>67</v>
      </c>
      <c r="C90" t="s">
        <v>602</v>
      </c>
      <c r="D90">
        <v>4547.82</v>
      </c>
      <c r="E90" s="37" t="str">
        <f t="shared" si="5"/>
        <v>Excellent Order</v>
      </c>
      <c r="F90">
        <v>0.41</v>
      </c>
      <c r="G90" s="37" t="str">
        <f t="shared" si="6"/>
        <v>Heavy Discount</v>
      </c>
      <c r="H90" s="37" t="str">
        <f t="shared" si="7"/>
        <v>High</v>
      </c>
      <c r="I90">
        <v>8</v>
      </c>
      <c r="J90" t="str" cm="1">
        <f t="array" ref="J90">_xlfn.IFS(I90&lt;=3,"small",I90&lt;=6,"Medium",I90&lt;=9,"Large")</f>
        <v>Large</v>
      </c>
      <c r="K90" s="36">
        <v>45232</v>
      </c>
      <c r="L90" s="36">
        <v>45237</v>
      </c>
      <c r="M90" t="s">
        <v>612</v>
      </c>
      <c r="N90" t="s">
        <v>608</v>
      </c>
      <c r="O90" s="37" t="str">
        <f t="shared" si="8"/>
        <v>Cash Payment</v>
      </c>
      <c r="P90">
        <v>1281.0999999999999</v>
      </c>
      <c r="Q90" s="37" t="str">
        <f>IF(P90&gt;500,"High","low")</f>
        <v>High</v>
      </c>
      <c r="R90" s="37" t="str">
        <f t="shared" si="9"/>
        <v>Excellent</v>
      </c>
      <c r="S90" t="s">
        <v>628</v>
      </c>
    </row>
    <row r="91" spans="1:19" x14ac:dyDescent="0.2">
      <c r="A91" t="s">
        <v>702</v>
      </c>
      <c r="B91" t="s">
        <v>83</v>
      </c>
      <c r="C91" t="s">
        <v>614</v>
      </c>
      <c r="D91">
        <v>753.6</v>
      </c>
      <c r="E91" s="37" t="str">
        <f t="shared" si="5"/>
        <v xml:space="preserve"> </v>
      </c>
      <c r="F91">
        <v>0.42</v>
      </c>
      <c r="G91" s="37" t="str">
        <f t="shared" si="6"/>
        <v>Heavy Discount</v>
      </c>
      <c r="H91" s="37" t="str">
        <f t="shared" si="7"/>
        <v>High</v>
      </c>
      <c r="I91">
        <v>7</v>
      </c>
      <c r="J91" t="str" cm="1">
        <f t="array" ref="J91">_xlfn.IFS(I91&lt;=3,"small",I91&lt;=6,"Medium",I91&lt;=9,"Large")</f>
        <v>Large</v>
      </c>
      <c r="K91" s="36">
        <v>45229</v>
      </c>
      <c r="L91" s="36">
        <v>45231</v>
      </c>
      <c r="M91" t="s">
        <v>612</v>
      </c>
      <c r="N91" t="s">
        <v>599</v>
      </c>
      <c r="O91" s="37" t="str">
        <f t="shared" si="8"/>
        <v>Digital Payment</v>
      </c>
      <c r="P91">
        <v>203.17</v>
      </c>
      <c r="Q91" s="37" t="str">
        <f>IF(P91&gt;500,"High","low")</f>
        <v>low</v>
      </c>
      <c r="R91" s="37" t="str">
        <f t="shared" si="9"/>
        <v>AVERAGE</v>
      </c>
      <c r="S91" t="s">
        <v>615</v>
      </c>
    </row>
    <row r="92" spans="1:19" x14ac:dyDescent="0.2">
      <c r="A92" t="s">
        <v>703</v>
      </c>
      <c r="B92" t="s">
        <v>67</v>
      </c>
      <c r="C92" t="s">
        <v>602</v>
      </c>
      <c r="D92">
        <v>4468.76</v>
      </c>
      <c r="E92" s="37" t="str">
        <f t="shared" si="5"/>
        <v>Excellent Order</v>
      </c>
      <c r="F92">
        <v>0.47</v>
      </c>
      <c r="G92" s="37" t="str">
        <f t="shared" si="6"/>
        <v>Heavy Discount</v>
      </c>
      <c r="H92" s="37" t="str">
        <f t="shared" si="7"/>
        <v>High</v>
      </c>
      <c r="I92">
        <v>4</v>
      </c>
      <c r="J92" t="str" cm="1">
        <f t="array" ref="J92">_xlfn.IFS(I92&lt;=3,"small",I92&lt;=6,"Medium",I92&lt;=9,"Large")</f>
        <v>Medium</v>
      </c>
      <c r="K92" s="36">
        <v>45560</v>
      </c>
      <c r="L92" s="36">
        <v>45561</v>
      </c>
      <c r="M92" t="s">
        <v>603</v>
      </c>
      <c r="N92" t="s">
        <v>604</v>
      </c>
      <c r="O92" s="37" t="str">
        <f t="shared" si="8"/>
        <v>Digital Payment</v>
      </c>
      <c r="P92">
        <v>1325.93</v>
      </c>
      <c r="Q92" s="37" t="str">
        <f>IF(P92&gt;500,"High","low")</f>
        <v>High</v>
      </c>
      <c r="R92" s="37" t="str">
        <f t="shared" si="9"/>
        <v>Excellent</v>
      </c>
      <c r="S92" t="s">
        <v>615</v>
      </c>
    </row>
    <row r="93" spans="1:19" x14ac:dyDescent="0.2">
      <c r="A93" t="s">
        <v>704</v>
      </c>
      <c r="B93" t="s">
        <v>67</v>
      </c>
      <c r="C93" t="s">
        <v>614</v>
      </c>
      <c r="D93">
        <v>2021.42</v>
      </c>
      <c r="E93" s="37" t="str">
        <f t="shared" si="5"/>
        <v xml:space="preserve"> </v>
      </c>
      <c r="F93">
        <v>0.21</v>
      </c>
      <c r="G93" s="37" t="str">
        <f t="shared" si="6"/>
        <v>Normal Discount</v>
      </c>
      <c r="H93" s="37" t="str">
        <f t="shared" si="7"/>
        <v>Medium</v>
      </c>
      <c r="I93">
        <v>5</v>
      </c>
      <c r="J93" t="str" cm="1">
        <f t="array" ref="J93">_xlfn.IFS(I93&lt;=3,"small",I93&lt;=6,"Medium",I93&lt;=9,"Large")</f>
        <v>Medium</v>
      </c>
      <c r="K93" s="36">
        <v>45624</v>
      </c>
      <c r="L93" s="36">
        <v>45627</v>
      </c>
      <c r="M93" t="s">
        <v>598</v>
      </c>
      <c r="N93" t="s">
        <v>604</v>
      </c>
      <c r="O93" s="37" t="str">
        <f t="shared" si="8"/>
        <v>Digital Payment</v>
      </c>
      <c r="P93">
        <v>311.67</v>
      </c>
      <c r="Q93" s="37" t="str">
        <f>IF(P93&gt;500,"High","low")</f>
        <v>low</v>
      </c>
      <c r="R93" s="37" t="str">
        <f t="shared" si="9"/>
        <v>AVERAGE</v>
      </c>
      <c r="S93" t="s">
        <v>605</v>
      </c>
    </row>
    <row r="94" spans="1:19" x14ac:dyDescent="0.2">
      <c r="A94" t="s">
        <v>705</v>
      </c>
      <c r="B94" t="s">
        <v>83</v>
      </c>
      <c r="C94" t="s">
        <v>607</v>
      </c>
      <c r="D94">
        <v>2841.09</v>
      </c>
      <c r="E94" s="37" t="str">
        <f t="shared" si="5"/>
        <v xml:space="preserve"> </v>
      </c>
      <c r="F94">
        <v>0.28000000000000003</v>
      </c>
      <c r="G94" s="37" t="str">
        <f t="shared" si="6"/>
        <v>Normal Discount</v>
      </c>
      <c r="H94" s="37" t="str">
        <f t="shared" si="7"/>
        <v>Medium</v>
      </c>
      <c r="I94">
        <v>8</v>
      </c>
      <c r="J94" t="str" cm="1">
        <f t="array" ref="J94">_xlfn.IFS(I94&lt;=3,"small",I94&lt;=6,"Medium",I94&lt;=9,"Large")</f>
        <v>Large</v>
      </c>
      <c r="K94" s="36">
        <v>45282</v>
      </c>
      <c r="L94" s="36">
        <v>45283</v>
      </c>
      <c r="M94" t="s">
        <v>598</v>
      </c>
      <c r="N94" t="s">
        <v>604</v>
      </c>
      <c r="O94" s="37" t="str">
        <f t="shared" si="8"/>
        <v>Digital Payment</v>
      </c>
      <c r="P94">
        <v>469.27</v>
      </c>
      <c r="Q94" s="37" t="str">
        <f>IF(P94&gt;500,"High","low")</f>
        <v>low</v>
      </c>
      <c r="R94" s="37" t="str">
        <f t="shared" si="9"/>
        <v>AVERAGE</v>
      </c>
      <c r="S94" t="s">
        <v>628</v>
      </c>
    </row>
    <row r="95" spans="1:19" x14ac:dyDescent="0.2">
      <c r="A95" t="s">
        <v>706</v>
      </c>
      <c r="B95" t="s">
        <v>83</v>
      </c>
      <c r="C95" t="s">
        <v>607</v>
      </c>
      <c r="D95">
        <v>2688.63</v>
      </c>
      <c r="E95" s="37" t="str">
        <f t="shared" si="5"/>
        <v xml:space="preserve"> </v>
      </c>
      <c r="F95">
        <v>0.45</v>
      </c>
      <c r="G95" s="37" t="str">
        <f t="shared" si="6"/>
        <v>Heavy Discount</v>
      </c>
      <c r="H95" s="37" t="str">
        <f t="shared" si="7"/>
        <v>High</v>
      </c>
      <c r="I95">
        <v>6</v>
      </c>
      <c r="J95" t="str" cm="1">
        <f t="array" ref="J95">_xlfn.IFS(I95&lt;=3,"small",I95&lt;=6,"Medium",I95&lt;=9,"Large")</f>
        <v>Medium</v>
      </c>
      <c r="K95" s="36">
        <v>45504</v>
      </c>
      <c r="L95" s="36">
        <v>45510</v>
      </c>
      <c r="M95" t="s">
        <v>612</v>
      </c>
      <c r="N95" t="s">
        <v>608</v>
      </c>
      <c r="O95" s="37" t="str">
        <f t="shared" si="8"/>
        <v>Cash Payment</v>
      </c>
      <c r="P95">
        <v>608.51</v>
      </c>
      <c r="Q95" s="37" t="str">
        <f>IF(P95&gt;500,"High","low")</f>
        <v>High</v>
      </c>
      <c r="R95" s="37" t="str">
        <f t="shared" si="9"/>
        <v>Good</v>
      </c>
      <c r="S95" t="s">
        <v>615</v>
      </c>
    </row>
    <row r="96" spans="1:19" x14ac:dyDescent="0.2">
      <c r="A96" t="s">
        <v>707</v>
      </c>
      <c r="B96" t="s">
        <v>83</v>
      </c>
      <c r="C96" t="s">
        <v>617</v>
      </c>
      <c r="D96">
        <v>3118.3</v>
      </c>
      <c r="E96" s="37" t="str">
        <f t="shared" si="5"/>
        <v xml:space="preserve"> </v>
      </c>
      <c r="F96">
        <v>0.16</v>
      </c>
      <c r="G96" s="37" t="str">
        <f t="shared" si="6"/>
        <v>Normal Discount</v>
      </c>
      <c r="H96" s="37" t="str">
        <f t="shared" si="7"/>
        <v>Low</v>
      </c>
      <c r="I96">
        <v>8</v>
      </c>
      <c r="J96" t="str" cm="1">
        <f t="array" ref="J96">_xlfn.IFS(I96&lt;=3,"small",I96&lt;=6,"Medium",I96&lt;=9,"Large")</f>
        <v>Large</v>
      </c>
      <c r="K96" s="36">
        <v>45645</v>
      </c>
      <c r="L96" s="36">
        <v>45647</v>
      </c>
      <c r="M96" t="s">
        <v>612</v>
      </c>
      <c r="N96" t="s">
        <v>599</v>
      </c>
      <c r="O96" s="37" t="str">
        <f t="shared" si="8"/>
        <v>Digital Payment</v>
      </c>
      <c r="P96">
        <v>241.86</v>
      </c>
      <c r="Q96" s="37" t="str">
        <f>IF(P96&gt;500,"High","low")</f>
        <v>low</v>
      </c>
      <c r="R96" s="37" t="str">
        <f t="shared" si="9"/>
        <v>AVERAGE</v>
      </c>
      <c r="S96" t="s">
        <v>609</v>
      </c>
    </row>
    <row r="97" spans="1:19" x14ac:dyDescent="0.2">
      <c r="A97" t="s">
        <v>708</v>
      </c>
      <c r="B97" t="s">
        <v>83</v>
      </c>
      <c r="C97" t="s">
        <v>602</v>
      </c>
      <c r="D97">
        <v>4716.3999999999996</v>
      </c>
      <c r="E97" s="37" t="str">
        <f t="shared" si="5"/>
        <v xml:space="preserve"> </v>
      </c>
      <c r="F97">
        <v>0.4</v>
      </c>
      <c r="G97" s="37" t="str">
        <f t="shared" si="6"/>
        <v>Heavy Discount</v>
      </c>
      <c r="H97" s="37" t="str">
        <f t="shared" si="7"/>
        <v>Medium</v>
      </c>
      <c r="I97">
        <v>6</v>
      </c>
      <c r="J97" t="str" cm="1">
        <f t="array" ref="J97">_xlfn.IFS(I97&lt;=3,"small",I97&lt;=6,"Medium",I97&lt;=9,"Large")</f>
        <v>Medium</v>
      </c>
      <c r="K97" s="36">
        <v>45195</v>
      </c>
      <c r="L97" s="36">
        <v>45199</v>
      </c>
      <c r="M97" t="s">
        <v>598</v>
      </c>
      <c r="N97" t="s">
        <v>604</v>
      </c>
      <c r="O97" s="37" t="str">
        <f t="shared" si="8"/>
        <v>Digital Payment</v>
      </c>
      <c r="P97">
        <v>523.02</v>
      </c>
      <c r="Q97" s="37" t="str">
        <f>IF(P97&gt;500,"High","low")</f>
        <v>High</v>
      </c>
      <c r="R97" s="37" t="str">
        <f t="shared" si="9"/>
        <v>Good</v>
      </c>
      <c r="S97" t="s">
        <v>620</v>
      </c>
    </row>
    <row r="98" spans="1:19" x14ac:dyDescent="0.2">
      <c r="A98" t="s">
        <v>709</v>
      </c>
      <c r="B98" t="s">
        <v>83</v>
      </c>
      <c r="C98" t="s">
        <v>602</v>
      </c>
      <c r="D98">
        <v>4760.5200000000004</v>
      </c>
      <c r="E98" s="37" t="str">
        <f t="shared" si="5"/>
        <v xml:space="preserve"> </v>
      </c>
      <c r="F98">
        <v>0.5</v>
      </c>
      <c r="G98" s="37" t="str">
        <f t="shared" si="6"/>
        <v>Heavy Discount</v>
      </c>
      <c r="H98" s="37" t="str">
        <f t="shared" si="7"/>
        <v>High</v>
      </c>
      <c r="I98">
        <v>8</v>
      </c>
      <c r="J98" t="str" cm="1">
        <f t="array" ref="J98">_xlfn.IFS(I98&lt;=3,"small",I98&lt;=6,"Medium",I98&lt;=9,"Large")</f>
        <v>Large</v>
      </c>
      <c r="K98" s="36">
        <v>44941</v>
      </c>
      <c r="L98" s="36">
        <v>44947</v>
      </c>
      <c r="M98" t="s">
        <v>612</v>
      </c>
      <c r="N98" t="s">
        <v>608</v>
      </c>
      <c r="O98" s="37" t="str">
        <f t="shared" si="8"/>
        <v>Cash Payment</v>
      </c>
      <c r="P98">
        <v>764.06</v>
      </c>
      <c r="Q98" s="37" t="str">
        <f>IF(P98&gt;500,"High","low")</f>
        <v>High</v>
      </c>
      <c r="R98" s="37" t="str">
        <f t="shared" si="9"/>
        <v>Good</v>
      </c>
      <c r="S98" t="s">
        <v>605</v>
      </c>
    </row>
    <row r="99" spans="1:19" x14ac:dyDescent="0.2">
      <c r="A99" t="s">
        <v>710</v>
      </c>
      <c r="B99" t="s">
        <v>67</v>
      </c>
      <c r="C99" t="s">
        <v>614</v>
      </c>
      <c r="D99">
        <v>4172.63</v>
      </c>
      <c r="E99" s="37" t="str">
        <f t="shared" si="5"/>
        <v>Excellent Order</v>
      </c>
      <c r="F99">
        <v>0.33</v>
      </c>
      <c r="G99" s="37" t="str">
        <f t="shared" si="6"/>
        <v>Heavy Discount</v>
      </c>
      <c r="H99" s="37" t="str">
        <f t="shared" si="7"/>
        <v>Medium</v>
      </c>
      <c r="I99">
        <v>4</v>
      </c>
      <c r="J99" t="str" cm="1">
        <f t="array" ref="J99">_xlfn.IFS(I99&lt;=3,"small",I99&lt;=6,"Medium",I99&lt;=9,"Large")</f>
        <v>Medium</v>
      </c>
      <c r="K99" s="36">
        <v>45444</v>
      </c>
      <c r="L99" s="36">
        <v>45448</v>
      </c>
      <c r="M99" t="s">
        <v>598</v>
      </c>
      <c r="N99" t="s">
        <v>608</v>
      </c>
      <c r="O99" s="37" t="str">
        <f t="shared" si="8"/>
        <v>Cash Payment</v>
      </c>
      <c r="P99">
        <v>957.31</v>
      </c>
      <c r="Q99" s="37" t="str">
        <f>IF(P99&gt;500,"High","low")</f>
        <v>High</v>
      </c>
      <c r="R99" s="37" t="str">
        <f t="shared" si="9"/>
        <v>Good</v>
      </c>
      <c r="S99" t="s">
        <v>615</v>
      </c>
    </row>
    <row r="100" spans="1:19" x14ac:dyDescent="0.2">
      <c r="A100" t="s">
        <v>711</v>
      </c>
      <c r="B100" t="s">
        <v>83</v>
      </c>
      <c r="C100" t="s">
        <v>607</v>
      </c>
      <c r="D100">
        <v>1038.57</v>
      </c>
      <c r="E100" s="37" t="str">
        <f t="shared" si="5"/>
        <v xml:space="preserve"> </v>
      </c>
      <c r="F100">
        <v>0.49</v>
      </c>
      <c r="G100" s="37" t="str">
        <f t="shared" si="6"/>
        <v>Heavy Discount</v>
      </c>
      <c r="H100" s="37" t="str">
        <f t="shared" si="7"/>
        <v>High</v>
      </c>
      <c r="I100">
        <v>2</v>
      </c>
      <c r="J100" t="str" cm="1">
        <f t="array" ref="J100">_xlfn.IFS(I100&lt;=3,"small",I100&lt;=6,"Medium",I100&lt;=9,"Large")</f>
        <v>small</v>
      </c>
      <c r="K100" s="36">
        <v>45179</v>
      </c>
      <c r="L100" s="36">
        <v>45185</v>
      </c>
      <c r="M100" t="s">
        <v>612</v>
      </c>
      <c r="N100" t="s">
        <v>604</v>
      </c>
      <c r="O100" s="37" t="str">
        <f t="shared" si="8"/>
        <v>Digital Payment</v>
      </c>
      <c r="P100">
        <v>180.83</v>
      </c>
      <c r="Q100" s="37" t="str">
        <f>IF(P100&gt;500,"High","low")</f>
        <v>low</v>
      </c>
      <c r="R100" s="37" t="str">
        <f t="shared" si="9"/>
        <v>AVERAGE</v>
      </c>
      <c r="S100" t="s">
        <v>609</v>
      </c>
    </row>
    <row r="101" spans="1:19" x14ac:dyDescent="0.2">
      <c r="A101" t="s">
        <v>712</v>
      </c>
      <c r="B101" t="s">
        <v>75</v>
      </c>
      <c r="C101" t="s">
        <v>614</v>
      </c>
      <c r="D101">
        <v>1734.23</v>
      </c>
      <c r="E101" s="37" t="str">
        <f t="shared" si="5"/>
        <v xml:space="preserve"> </v>
      </c>
      <c r="F101">
        <v>0.26</v>
      </c>
      <c r="G101" s="37" t="str">
        <f t="shared" si="6"/>
        <v>Normal Discount</v>
      </c>
      <c r="H101" s="37" t="str">
        <f t="shared" si="7"/>
        <v>Medium</v>
      </c>
      <c r="I101">
        <v>3</v>
      </c>
      <c r="J101" t="str" cm="1">
        <f t="array" ref="J101">_xlfn.IFS(I101&lt;=3,"small",I101&lt;=6,"Medium",I101&lt;=9,"Large")</f>
        <v>small</v>
      </c>
      <c r="K101" s="36">
        <v>45011</v>
      </c>
      <c r="L101" s="36">
        <v>45012</v>
      </c>
      <c r="M101" t="s">
        <v>612</v>
      </c>
      <c r="N101" t="s">
        <v>604</v>
      </c>
      <c r="O101" s="37" t="str">
        <f t="shared" si="8"/>
        <v>Digital Payment</v>
      </c>
      <c r="P101">
        <v>186.24</v>
      </c>
      <c r="Q101" s="37" t="str">
        <f>IF(P101&gt;500,"High","low")</f>
        <v>low</v>
      </c>
      <c r="R101" s="37" t="str">
        <f t="shared" si="9"/>
        <v>AVERAGE</v>
      </c>
      <c r="S101" t="s">
        <v>605</v>
      </c>
    </row>
    <row r="102" spans="1:19" x14ac:dyDescent="0.2">
      <c r="A102" t="s">
        <v>713</v>
      </c>
      <c r="B102" t="s">
        <v>90</v>
      </c>
      <c r="C102" t="s">
        <v>607</v>
      </c>
      <c r="D102">
        <v>2490.34</v>
      </c>
      <c r="E102" s="37" t="str">
        <f t="shared" si="5"/>
        <v xml:space="preserve"> </v>
      </c>
      <c r="F102">
        <v>0.08</v>
      </c>
      <c r="G102" s="37" t="str">
        <f t="shared" si="6"/>
        <v>Normal Discount</v>
      </c>
      <c r="H102" s="37" t="str">
        <f t="shared" si="7"/>
        <v>Low</v>
      </c>
      <c r="I102">
        <v>5</v>
      </c>
      <c r="J102" t="str" cm="1">
        <f t="array" ref="J102">_xlfn.IFS(I102&lt;=3,"small",I102&lt;=6,"Medium",I102&lt;=9,"Large")</f>
        <v>Medium</v>
      </c>
      <c r="K102" s="36">
        <v>45480</v>
      </c>
      <c r="L102" s="36">
        <v>45481</v>
      </c>
      <c r="M102" t="s">
        <v>603</v>
      </c>
      <c r="N102" t="s">
        <v>608</v>
      </c>
      <c r="O102" s="37" t="str">
        <f t="shared" si="8"/>
        <v>Cash Payment</v>
      </c>
      <c r="P102">
        <v>306.17</v>
      </c>
      <c r="Q102" s="37" t="str">
        <f>IF(P102&gt;500,"High","low")</f>
        <v>low</v>
      </c>
      <c r="R102" s="37" t="str">
        <f t="shared" si="9"/>
        <v>AVERAGE</v>
      </c>
      <c r="S102" t="s">
        <v>605</v>
      </c>
    </row>
    <row r="103" spans="1:19" x14ac:dyDescent="0.2">
      <c r="A103" t="s">
        <v>714</v>
      </c>
      <c r="B103" t="s">
        <v>83</v>
      </c>
      <c r="C103" t="s">
        <v>614</v>
      </c>
      <c r="D103">
        <v>4536.76</v>
      </c>
      <c r="E103" s="37" t="str">
        <f t="shared" si="5"/>
        <v>Excellent Order</v>
      </c>
      <c r="F103">
        <v>0.09</v>
      </c>
      <c r="G103" s="37" t="str">
        <f t="shared" si="6"/>
        <v>Normal Discount</v>
      </c>
      <c r="H103" s="37" t="str">
        <f t="shared" si="7"/>
        <v>Low</v>
      </c>
      <c r="I103">
        <v>4</v>
      </c>
      <c r="J103" t="str" cm="1">
        <f t="array" ref="J103">_xlfn.IFS(I103&lt;=3,"small",I103&lt;=6,"Medium",I103&lt;=9,"Large")</f>
        <v>Medium</v>
      </c>
      <c r="K103" s="36">
        <v>45656</v>
      </c>
      <c r="L103" s="36">
        <v>45657</v>
      </c>
      <c r="M103" t="s">
        <v>598</v>
      </c>
      <c r="N103" t="s">
        <v>604</v>
      </c>
      <c r="O103" s="37" t="str">
        <f t="shared" si="8"/>
        <v>Digital Payment</v>
      </c>
      <c r="P103">
        <v>1077.1099999999999</v>
      </c>
      <c r="Q103" s="37" t="str">
        <f>IF(P103&gt;500,"High","low")</f>
        <v>High</v>
      </c>
      <c r="R103" s="37" t="str">
        <f t="shared" si="9"/>
        <v>Excellent</v>
      </c>
      <c r="S103" t="s">
        <v>609</v>
      </c>
    </row>
    <row r="104" spans="1:19" x14ac:dyDescent="0.2">
      <c r="A104" t="s">
        <v>715</v>
      </c>
      <c r="B104" t="s">
        <v>83</v>
      </c>
      <c r="C104" t="s">
        <v>607</v>
      </c>
      <c r="D104">
        <v>2652.24</v>
      </c>
      <c r="E104" s="37" t="str">
        <f t="shared" si="5"/>
        <v xml:space="preserve"> </v>
      </c>
      <c r="F104">
        <v>0.37</v>
      </c>
      <c r="G104" s="37" t="str">
        <f t="shared" si="6"/>
        <v>Heavy Discount</v>
      </c>
      <c r="H104" s="37" t="str">
        <f t="shared" si="7"/>
        <v>Medium</v>
      </c>
      <c r="I104">
        <v>5</v>
      </c>
      <c r="J104" t="str" cm="1">
        <f t="array" ref="J104">_xlfn.IFS(I104&lt;=3,"small",I104&lt;=6,"Medium",I104&lt;=9,"Large")</f>
        <v>Medium</v>
      </c>
      <c r="K104" s="36">
        <v>45089</v>
      </c>
      <c r="L104" s="36">
        <v>45090</v>
      </c>
      <c r="M104" t="s">
        <v>612</v>
      </c>
      <c r="N104" t="s">
        <v>604</v>
      </c>
      <c r="O104" s="37" t="str">
        <f t="shared" si="8"/>
        <v>Digital Payment</v>
      </c>
      <c r="P104">
        <v>666.98</v>
      </c>
      <c r="Q104" s="37" t="str">
        <f>IF(P104&gt;500,"High","low")</f>
        <v>High</v>
      </c>
      <c r="R104" s="37" t="str">
        <f t="shared" si="9"/>
        <v>Good</v>
      </c>
      <c r="S104" t="s">
        <v>620</v>
      </c>
    </row>
    <row r="105" spans="1:19" x14ac:dyDescent="0.2">
      <c r="A105" t="s">
        <v>716</v>
      </c>
      <c r="B105" t="s">
        <v>67</v>
      </c>
      <c r="C105" t="s">
        <v>614</v>
      </c>
      <c r="D105">
        <v>4889.43</v>
      </c>
      <c r="E105" s="37" t="str">
        <f t="shared" si="5"/>
        <v xml:space="preserve"> </v>
      </c>
      <c r="F105">
        <v>0</v>
      </c>
      <c r="G105" s="37" t="str">
        <f t="shared" si="6"/>
        <v>Normal Discount</v>
      </c>
      <c r="H105" s="37" t="str">
        <f t="shared" si="7"/>
        <v>Low</v>
      </c>
      <c r="I105">
        <v>1</v>
      </c>
      <c r="J105" t="str" cm="1">
        <f t="array" ref="J105">_xlfn.IFS(I105&lt;=3,"small",I105&lt;=6,"Medium",I105&lt;=9,"Large")</f>
        <v>small</v>
      </c>
      <c r="K105" s="36">
        <v>45163</v>
      </c>
      <c r="L105" s="36">
        <v>45170</v>
      </c>
      <c r="M105" t="s">
        <v>598</v>
      </c>
      <c r="N105" t="s">
        <v>608</v>
      </c>
      <c r="O105" s="37" t="str">
        <f t="shared" si="8"/>
        <v>Cash Payment</v>
      </c>
      <c r="P105">
        <v>777.62</v>
      </c>
      <c r="Q105" s="37" t="str">
        <f>IF(P105&gt;500,"High","low")</f>
        <v>High</v>
      </c>
      <c r="R105" s="37" t="str">
        <f t="shared" si="9"/>
        <v>Good</v>
      </c>
      <c r="S105" t="s">
        <v>628</v>
      </c>
    </row>
    <row r="106" spans="1:19" x14ac:dyDescent="0.2">
      <c r="A106" t="s">
        <v>717</v>
      </c>
      <c r="B106" t="s">
        <v>83</v>
      </c>
      <c r="C106" t="s">
        <v>607</v>
      </c>
      <c r="D106">
        <v>4920.82</v>
      </c>
      <c r="E106" s="37" t="str">
        <f t="shared" si="5"/>
        <v xml:space="preserve"> </v>
      </c>
      <c r="F106">
        <v>0.33</v>
      </c>
      <c r="G106" s="37" t="str">
        <f t="shared" si="6"/>
        <v>Heavy Discount</v>
      </c>
      <c r="H106" s="37" t="str">
        <f t="shared" si="7"/>
        <v>Medium</v>
      </c>
      <c r="I106">
        <v>1</v>
      </c>
      <c r="J106" t="str" cm="1">
        <f t="array" ref="J106">_xlfn.IFS(I106&lt;=3,"small",I106&lt;=6,"Medium",I106&lt;=9,"Large")</f>
        <v>small</v>
      </c>
      <c r="K106" s="36">
        <v>45008</v>
      </c>
      <c r="L106" s="36">
        <v>45013</v>
      </c>
      <c r="M106" t="s">
        <v>603</v>
      </c>
      <c r="N106" t="s">
        <v>599</v>
      </c>
      <c r="O106" s="37" t="str">
        <f t="shared" si="8"/>
        <v>Digital Payment</v>
      </c>
      <c r="P106">
        <v>483.88</v>
      </c>
      <c r="Q106" s="37" t="str">
        <f>IF(P106&gt;500,"High","low")</f>
        <v>low</v>
      </c>
      <c r="R106" s="37" t="str">
        <f t="shared" si="9"/>
        <v>AVERAGE</v>
      </c>
      <c r="S106" t="s">
        <v>615</v>
      </c>
    </row>
    <row r="107" spans="1:19" x14ac:dyDescent="0.2">
      <c r="A107" t="s">
        <v>718</v>
      </c>
      <c r="B107" t="s">
        <v>83</v>
      </c>
      <c r="C107" t="s">
        <v>614</v>
      </c>
      <c r="D107">
        <v>3033.06</v>
      </c>
      <c r="E107" s="37" t="str">
        <f t="shared" si="5"/>
        <v xml:space="preserve"> </v>
      </c>
      <c r="F107">
        <v>0.08</v>
      </c>
      <c r="G107" s="37" t="str">
        <f t="shared" si="6"/>
        <v>Normal Discount</v>
      </c>
      <c r="H107" s="37" t="str">
        <f t="shared" si="7"/>
        <v>Low</v>
      </c>
      <c r="I107">
        <v>2</v>
      </c>
      <c r="J107" t="str" cm="1">
        <f t="array" ref="J107">_xlfn.IFS(I107&lt;=3,"small",I107&lt;=6,"Medium",I107&lt;=9,"Large")</f>
        <v>small</v>
      </c>
      <c r="K107" s="36">
        <v>45516</v>
      </c>
      <c r="L107" s="36">
        <v>45517</v>
      </c>
      <c r="M107" t="s">
        <v>598</v>
      </c>
      <c r="N107" t="s">
        <v>604</v>
      </c>
      <c r="O107" s="37" t="str">
        <f t="shared" si="8"/>
        <v>Digital Payment</v>
      </c>
      <c r="P107">
        <v>587.57000000000005</v>
      </c>
      <c r="Q107" s="37" t="str">
        <f>IF(P107&gt;500,"High","low")</f>
        <v>High</v>
      </c>
      <c r="R107" s="37" t="str">
        <f t="shared" si="9"/>
        <v>Good</v>
      </c>
      <c r="S107" t="s">
        <v>609</v>
      </c>
    </row>
    <row r="108" spans="1:19" x14ac:dyDescent="0.2">
      <c r="A108" t="s">
        <v>719</v>
      </c>
      <c r="B108" t="s">
        <v>83</v>
      </c>
      <c r="C108" t="s">
        <v>602</v>
      </c>
      <c r="D108">
        <v>4399.7299999999996</v>
      </c>
      <c r="E108" s="37" t="str">
        <f t="shared" si="5"/>
        <v xml:space="preserve"> </v>
      </c>
      <c r="F108">
        <v>0.49</v>
      </c>
      <c r="G108" s="37" t="str">
        <f t="shared" si="6"/>
        <v>Heavy Discount</v>
      </c>
      <c r="H108" s="37" t="str">
        <f t="shared" si="7"/>
        <v>High</v>
      </c>
      <c r="I108">
        <v>2</v>
      </c>
      <c r="J108" t="str" cm="1">
        <f t="array" ref="J108">_xlfn.IFS(I108&lt;=3,"small",I108&lt;=6,"Medium",I108&lt;=9,"Large")</f>
        <v>small</v>
      </c>
      <c r="K108" s="36">
        <v>45328</v>
      </c>
      <c r="L108" s="36">
        <v>45333</v>
      </c>
      <c r="M108" t="s">
        <v>612</v>
      </c>
      <c r="N108" t="s">
        <v>608</v>
      </c>
      <c r="O108" s="37" t="str">
        <f t="shared" si="8"/>
        <v>Cash Payment</v>
      </c>
      <c r="P108">
        <v>660.08</v>
      </c>
      <c r="Q108" s="37" t="str">
        <f>IF(P108&gt;500,"High","low")</f>
        <v>High</v>
      </c>
      <c r="R108" s="37" t="str">
        <f t="shared" si="9"/>
        <v>Good</v>
      </c>
      <c r="S108" t="s">
        <v>609</v>
      </c>
    </row>
    <row r="109" spans="1:19" x14ac:dyDescent="0.2">
      <c r="A109" t="s">
        <v>720</v>
      </c>
      <c r="B109" t="s">
        <v>67</v>
      </c>
      <c r="C109" t="s">
        <v>617</v>
      </c>
      <c r="D109">
        <v>4996.1899999999996</v>
      </c>
      <c r="E109" s="37" t="str">
        <f t="shared" si="5"/>
        <v>Excellent Order</v>
      </c>
      <c r="F109">
        <v>0.08</v>
      </c>
      <c r="G109" s="37" t="str">
        <f t="shared" si="6"/>
        <v>Normal Discount</v>
      </c>
      <c r="H109" s="37" t="str">
        <f t="shared" si="7"/>
        <v>Low</v>
      </c>
      <c r="I109">
        <v>8</v>
      </c>
      <c r="J109" t="str" cm="1">
        <f t="array" ref="J109">_xlfn.IFS(I109&lt;=3,"small",I109&lt;=6,"Medium",I109&lt;=9,"Large")</f>
        <v>Large</v>
      </c>
      <c r="K109" s="36">
        <v>45074</v>
      </c>
      <c r="L109" s="36">
        <v>45076</v>
      </c>
      <c r="M109" t="s">
        <v>598</v>
      </c>
      <c r="N109" t="s">
        <v>604</v>
      </c>
      <c r="O109" s="37" t="str">
        <f t="shared" si="8"/>
        <v>Digital Payment</v>
      </c>
      <c r="P109">
        <v>1047.8699999999999</v>
      </c>
      <c r="Q109" s="37" t="str">
        <f>IF(P109&gt;500,"High","low")</f>
        <v>High</v>
      </c>
      <c r="R109" s="37" t="str">
        <f t="shared" si="9"/>
        <v>Excellent</v>
      </c>
      <c r="S109" t="s">
        <v>605</v>
      </c>
    </row>
    <row r="110" spans="1:19" x14ac:dyDescent="0.2">
      <c r="A110" t="s">
        <v>721</v>
      </c>
      <c r="B110" t="s">
        <v>83</v>
      </c>
      <c r="C110" t="s">
        <v>614</v>
      </c>
      <c r="D110">
        <v>4263.6099999999997</v>
      </c>
      <c r="E110" s="37" t="str">
        <f t="shared" si="5"/>
        <v>Excellent Order</v>
      </c>
      <c r="F110">
        <v>0.28000000000000003</v>
      </c>
      <c r="G110" s="37" t="str">
        <f t="shared" si="6"/>
        <v>Normal Discount</v>
      </c>
      <c r="H110" s="37" t="str">
        <f t="shared" si="7"/>
        <v>Medium</v>
      </c>
      <c r="I110">
        <v>4</v>
      </c>
      <c r="J110" t="str" cm="1">
        <f t="array" ref="J110">_xlfn.IFS(I110&lt;=3,"small",I110&lt;=6,"Medium",I110&lt;=9,"Large")</f>
        <v>Medium</v>
      </c>
      <c r="K110" s="36">
        <v>45363</v>
      </c>
      <c r="L110" s="36">
        <v>45364</v>
      </c>
      <c r="M110" t="s">
        <v>603</v>
      </c>
      <c r="N110" t="s">
        <v>604</v>
      </c>
      <c r="O110" s="37" t="str">
        <f t="shared" si="8"/>
        <v>Digital Payment</v>
      </c>
      <c r="P110">
        <v>1092.43</v>
      </c>
      <c r="Q110" s="37" t="str">
        <f>IF(P110&gt;500,"High","low")</f>
        <v>High</v>
      </c>
      <c r="R110" s="37" t="str">
        <f t="shared" si="9"/>
        <v>Excellent</v>
      </c>
      <c r="S110" t="s">
        <v>600</v>
      </c>
    </row>
    <row r="111" spans="1:19" x14ac:dyDescent="0.2">
      <c r="A111" t="s">
        <v>722</v>
      </c>
      <c r="B111" t="s">
        <v>90</v>
      </c>
      <c r="C111" t="s">
        <v>617</v>
      </c>
      <c r="D111">
        <v>3318.86</v>
      </c>
      <c r="E111" s="37" t="str">
        <f t="shared" si="5"/>
        <v xml:space="preserve"> </v>
      </c>
      <c r="F111">
        <v>0.33</v>
      </c>
      <c r="G111" s="37" t="str">
        <f t="shared" si="6"/>
        <v>Heavy Discount</v>
      </c>
      <c r="H111" s="37" t="str">
        <f t="shared" si="7"/>
        <v>Medium</v>
      </c>
      <c r="I111">
        <v>6</v>
      </c>
      <c r="J111" t="str" cm="1">
        <f t="array" ref="J111">_xlfn.IFS(I111&lt;=3,"small",I111&lt;=6,"Medium",I111&lt;=9,"Large")</f>
        <v>Medium</v>
      </c>
      <c r="K111" s="36">
        <v>45547</v>
      </c>
      <c r="L111" s="36">
        <v>45554</v>
      </c>
      <c r="M111" t="s">
        <v>598</v>
      </c>
      <c r="N111" t="s">
        <v>599</v>
      </c>
      <c r="O111" s="37" t="str">
        <f t="shared" si="8"/>
        <v>Digital Payment</v>
      </c>
      <c r="P111">
        <v>604.07000000000005</v>
      </c>
      <c r="Q111" s="37" t="str">
        <f>IF(P111&gt;500,"High","low")</f>
        <v>High</v>
      </c>
      <c r="R111" s="37" t="str">
        <f t="shared" si="9"/>
        <v>Good</v>
      </c>
      <c r="S111" t="s">
        <v>605</v>
      </c>
    </row>
    <row r="112" spans="1:19" x14ac:dyDescent="0.2">
      <c r="A112" t="s">
        <v>723</v>
      </c>
      <c r="B112" t="s">
        <v>67</v>
      </c>
      <c r="C112" t="s">
        <v>602</v>
      </c>
      <c r="D112">
        <v>4241.1499999999996</v>
      </c>
      <c r="E112" s="37" t="str">
        <f t="shared" si="5"/>
        <v>Excellent Order</v>
      </c>
      <c r="F112">
        <v>0.41</v>
      </c>
      <c r="G112" s="37" t="str">
        <f t="shared" si="6"/>
        <v>Heavy Discount</v>
      </c>
      <c r="H112" s="37" t="str">
        <f t="shared" si="7"/>
        <v>High</v>
      </c>
      <c r="I112">
        <v>2</v>
      </c>
      <c r="J112" t="str" cm="1">
        <f t="array" ref="J112">_xlfn.IFS(I112&lt;=3,"small",I112&lt;=6,"Medium",I112&lt;=9,"Large")</f>
        <v>small</v>
      </c>
      <c r="K112" s="36">
        <v>45486</v>
      </c>
      <c r="L112" s="36">
        <v>45487</v>
      </c>
      <c r="M112" t="s">
        <v>598</v>
      </c>
      <c r="N112" t="s">
        <v>604</v>
      </c>
      <c r="O112" s="37" t="str">
        <f t="shared" si="8"/>
        <v>Digital Payment</v>
      </c>
      <c r="P112">
        <v>1168.31</v>
      </c>
      <c r="Q112" s="37" t="str">
        <f>IF(P112&gt;500,"High","low")</f>
        <v>High</v>
      </c>
      <c r="R112" s="37" t="str">
        <f t="shared" si="9"/>
        <v>Excellent</v>
      </c>
      <c r="S112" t="s">
        <v>600</v>
      </c>
    </row>
    <row r="113" spans="1:19" x14ac:dyDescent="0.2">
      <c r="A113" t="s">
        <v>724</v>
      </c>
      <c r="B113" t="s">
        <v>90</v>
      </c>
      <c r="C113" t="s">
        <v>602</v>
      </c>
      <c r="D113">
        <v>505.01</v>
      </c>
      <c r="E113" s="37" t="str">
        <f t="shared" si="5"/>
        <v xml:space="preserve"> </v>
      </c>
      <c r="F113">
        <v>0.23</v>
      </c>
      <c r="G113" s="37" t="str">
        <f t="shared" si="6"/>
        <v>Normal Discount</v>
      </c>
      <c r="H113" s="37" t="str">
        <f t="shared" si="7"/>
        <v>Medium</v>
      </c>
      <c r="I113">
        <v>1</v>
      </c>
      <c r="J113" t="str" cm="1">
        <f t="array" ref="J113">_xlfn.IFS(I113&lt;=3,"small",I113&lt;=6,"Medium",I113&lt;=9,"Large")</f>
        <v>small</v>
      </c>
      <c r="K113" s="36">
        <v>45081</v>
      </c>
      <c r="L113" s="36">
        <v>45088</v>
      </c>
      <c r="M113" t="s">
        <v>598</v>
      </c>
      <c r="N113" t="s">
        <v>604</v>
      </c>
      <c r="O113" s="37" t="str">
        <f t="shared" si="8"/>
        <v>Digital Payment</v>
      </c>
      <c r="P113">
        <v>71.8</v>
      </c>
      <c r="Q113" s="37" t="str">
        <f>IF(P113&gt;500,"High","low")</f>
        <v>low</v>
      </c>
      <c r="R113" s="37" t="str">
        <f t="shared" si="9"/>
        <v>AVERAGE</v>
      </c>
      <c r="S113" t="s">
        <v>609</v>
      </c>
    </row>
    <row r="114" spans="1:19" x14ac:dyDescent="0.2">
      <c r="A114" t="s">
        <v>725</v>
      </c>
      <c r="B114" t="s">
        <v>67</v>
      </c>
      <c r="C114" t="s">
        <v>607</v>
      </c>
      <c r="D114">
        <v>3210.62</v>
      </c>
      <c r="E114" s="37" t="str">
        <f t="shared" si="5"/>
        <v xml:space="preserve"> </v>
      </c>
      <c r="F114">
        <v>0.47</v>
      </c>
      <c r="G114" s="37" t="str">
        <f t="shared" si="6"/>
        <v>Heavy Discount</v>
      </c>
      <c r="H114" s="37" t="str">
        <f t="shared" si="7"/>
        <v>High</v>
      </c>
      <c r="I114">
        <v>7</v>
      </c>
      <c r="J114" t="str" cm="1">
        <f t="array" ref="J114">_xlfn.IFS(I114&lt;=3,"small",I114&lt;=6,"Medium",I114&lt;=9,"Large")</f>
        <v>Large</v>
      </c>
      <c r="K114" s="36">
        <v>45514</v>
      </c>
      <c r="L114" s="36">
        <v>45518</v>
      </c>
      <c r="M114" t="s">
        <v>598</v>
      </c>
      <c r="N114" t="s">
        <v>604</v>
      </c>
      <c r="O114" s="37" t="str">
        <f t="shared" si="8"/>
        <v>Digital Payment</v>
      </c>
      <c r="P114">
        <v>546.45000000000005</v>
      </c>
      <c r="Q114" s="37" t="str">
        <f>IF(P114&gt;500,"High","low")</f>
        <v>High</v>
      </c>
      <c r="R114" s="37" t="str">
        <f t="shared" si="9"/>
        <v>Good</v>
      </c>
      <c r="S114" t="s">
        <v>628</v>
      </c>
    </row>
    <row r="115" spans="1:19" x14ac:dyDescent="0.2">
      <c r="A115" t="s">
        <v>726</v>
      </c>
      <c r="B115" t="s">
        <v>83</v>
      </c>
      <c r="C115" t="s">
        <v>617</v>
      </c>
      <c r="D115">
        <v>1160.96</v>
      </c>
      <c r="E115" s="37" t="str">
        <f t="shared" si="5"/>
        <v xml:space="preserve"> </v>
      </c>
      <c r="F115">
        <v>0.24</v>
      </c>
      <c r="G115" s="37" t="str">
        <f t="shared" si="6"/>
        <v>Normal Discount</v>
      </c>
      <c r="H115" s="37" t="str">
        <f t="shared" si="7"/>
        <v>Medium</v>
      </c>
      <c r="I115">
        <v>4</v>
      </c>
      <c r="J115" t="str" cm="1">
        <f t="array" ref="J115">_xlfn.IFS(I115&lt;=3,"small",I115&lt;=6,"Medium",I115&lt;=9,"Large")</f>
        <v>Medium</v>
      </c>
      <c r="K115" s="36">
        <v>45055</v>
      </c>
      <c r="L115" s="36">
        <v>45057</v>
      </c>
      <c r="M115" t="s">
        <v>612</v>
      </c>
      <c r="N115" t="s">
        <v>608</v>
      </c>
      <c r="O115" s="37" t="str">
        <f t="shared" si="8"/>
        <v>Cash Payment</v>
      </c>
      <c r="P115">
        <v>223.68</v>
      </c>
      <c r="Q115" s="37" t="str">
        <f>IF(P115&gt;500,"High","low")</f>
        <v>low</v>
      </c>
      <c r="R115" s="37" t="str">
        <f t="shared" si="9"/>
        <v>AVERAGE</v>
      </c>
      <c r="S115" t="s">
        <v>615</v>
      </c>
    </row>
    <row r="116" spans="1:19" x14ac:dyDescent="0.2">
      <c r="A116" t="s">
        <v>727</v>
      </c>
      <c r="B116" t="s">
        <v>90</v>
      </c>
      <c r="C116" t="s">
        <v>597</v>
      </c>
      <c r="D116">
        <v>668.71</v>
      </c>
      <c r="E116" s="37" t="str">
        <f t="shared" si="5"/>
        <v xml:space="preserve"> </v>
      </c>
      <c r="F116">
        <v>0.13</v>
      </c>
      <c r="G116" s="37" t="str">
        <f t="shared" si="6"/>
        <v>Normal Discount</v>
      </c>
      <c r="H116" s="37" t="str">
        <f t="shared" si="7"/>
        <v>Low</v>
      </c>
      <c r="I116">
        <v>4</v>
      </c>
      <c r="J116" t="str" cm="1">
        <f t="array" ref="J116">_xlfn.IFS(I116&lt;=3,"small",I116&lt;=6,"Medium",I116&lt;=9,"Large")</f>
        <v>Medium</v>
      </c>
      <c r="K116" s="36">
        <v>45045</v>
      </c>
      <c r="L116" s="36">
        <v>45047</v>
      </c>
      <c r="M116" t="s">
        <v>598</v>
      </c>
      <c r="N116" t="s">
        <v>604</v>
      </c>
      <c r="O116" s="37" t="str">
        <f t="shared" si="8"/>
        <v>Digital Payment</v>
      </c>
      <c r="P116">
        <v>153.62</v>
      </c>
      <c r="Q116" s="37" t="str">
        <f>IF(P116&gt;500,"High","low")</f>
        <v>low</v>
      </c>
      <c r="R116" s="37" t="str">
        <f t="shared" si="9"/>
        <v>AVERAGE</v>
      </c>
      <c r="S116" t="s">
        <v>605</v>
      </c>
    </row>
    <row r="117" spans="1:19" x14ac:dyDescent="0.2">
      <c r="A117" t="s">
        <v>728</v>
      </c>
      <c r="B117" t="s">
        <v>67</v>
      </c>
      <c r="C117" t="s">
        <v>607</v>
      </c>
      <c r="D117">
        <v>4475.07</v>
      </c>
      <c r="E117" s="37" t="str">
        <f t="shared" si="5"/>
        <v>Excellent Order</v>
      </c>
      <c r="F117">
        <v>0.3</v>
      </c>
      <c r="G117" s="37" t="str">
        <f t="shared" si="6"/>
        <v>Normal Discount</v>
      </c>
      <c r="H117" s="37" t="str">
        <f t="shared" si="7"/>
        <v>Medium</v>
      </c>
      <c r="I117">
        <v>2</v>
      </c>
      <c r="J117" t="str" cm="1">
        <f t="array" ref="J117">_xlfn.IFS(I117&lt;=3,"small",I117&lt;=6,"Medium",I117&lt;=9,"Large")</f>
        <v>small</v>
      </c>
      <c r="K117" s="36">
        <v>45196</v>
      </c>
      <c r="L117" s="36">
        <v>45197</v>
      </c>
      <c r="M117" t="s">
        <v>603</v>
      </c>
      <c r="N117" t="s">
        <v>604</v>
      </c>
      <c r="O117" s="37" t="str">
        <f t="shared" si="8"/>
        <v>Digital Payment</v>
      </c>
      <c r="P117">
        <v>815.29</v>
      </c>
      <c r="Q117" s="37" t="str">
        <f>IF(P117&gt;500,"High","low")</f>
        <v>High</v>
      </c>
      <c r="R117" s="37" t="str">
        <f t="shared" si="9"/>
        <v>Good</v>
      </c>
      <c r="S117" t="s">
        <v>620</v>
      </c>
    </row>
    <row r="118" spans="1:19" x14ac:dyDescent="0.2">
      <c r="A118" t="s">
        <v>729</v>
      </c>
      <c r="B118" t="s">
        <v>75</v>
      </c>
      <c r="C118" t="s">
        <v>617</v>
      </c>
      <c r="D118">
        <v>3234.26</v>
      </c>
      <c r="E118" s="37" t="str">
        <f t="shared" si="5"/>
        <v xml:space="preserve"> </v>
      </c>
      <c r="F118">
        <v>0.33</v>
      </c>
      <c r="G118" s="37" t="str">
        <f t="shared" si="6"/>
        <v>Heavy Discount</v>
      </c>
      <c r="H118" s="37" t="str">
        <f t="shared" si="7"/>
        <v>Medium</v>
      </c>
      <c r="I118">
        <v>9</v>
      </c>
      <c r="J118" t="str" cm="1">
        <f t="array" ref="J118">_xlfn.IFS(I118&lt;=3,"small",I118&lt;=6,"Medium",I118&lt;=9,"Large")</f>
        <v>Large</v>
      </c>
      <c r="K118" s="36">
        <v>45342</v>
      </c>
      <c r="L118" s="36">
        <v>45349</v>
      </c>
      <c r="M118" t="s">
        <v>598</v>
      </c>
      <c r="N118" t="s">
        <v>608</v>
      </c>
      <c r="O118" s="37" t="str">
        <f t="shared" si="8"/>
        <v>Cash Payment</v>
      </c>
      <c r="P118">
        <v>817.55</v>
      </c>
      <c r="Q118" s="37" t="str">
        <f>IF(P118&gt;500,"High","low")</f>
        <v>High</v>
      </c>
      <c r="R118" s="37" t="str">
        <f t="shared" si="9"/>
        <v>Good</v>
      </c>
      <c r="S118" t="s">
        <v>615</v>
      </c>
    </row>
    <row r="119" spans="1:19" x14ac:dyDescent="0.2">
      <c r="A119" t="s">
        <v>730</v>
      </c>
      <c r="B119" t="s">
        <v>83</v>
      </c>
      <c r="C119" t="s">
        <v>614</v>
      </c>
      <c r="D119">
        <v>1293.3800000000001</v>
      </c>
      <c r="E119" s="37" t="str">
        <f t="shared" si="5"/>
        <v xml:space="preserve"> </v>
      </c>
      <c r="F119">
        <v>0.25</v>
      </c>
      <c r="G119" s="37" t="str">
        <f t="shared" si="6"/>
        <v>Normal Discount</v>
      </c>
      <c r="H119" s="37" t="str">
        <f t="shared" si="7"/>
        <v>Medium</v>
      </c>
      <c r="I119">
        <v>2</v>
      </c>
      <c r="J119" t="str" cm="1">
        <f t="array" ref="J119">_xlfn.IFS(I119&lt;=3,"small",I119&lt;=6,"Medium",I119&lt;=9,"Large")</f>
        <v>small</v>
      </c>
      <c r="K119" s="36">
        <v>44936</v>
      </c>
      <c r="L119" s="36">
        <v>44938</v>
      </c>
      <c r="M119" t="s">
        <v>603</v>
      </c>
      <c r="N119" t="s">
        <v>604</v>
      </c>
      <c r="O119" s="37" t="str">
        <f t="shared" si="8"/>
        <v>Digital Payment</v>
      </c>
      <c r="P119">
        <v>289.92</v>
      </c>
      <c r="Q119" s="37" t="str">
        <f>IF(P119&gt;500,"High","low")</f>
        <v>low</v>
      </c>
      <c r="R119" s="37" t="str">
        <f t="shared" si="9"/>
        <v>AVERAGE</v>
      </c>
      <c r="S119" t="s">
        <v>628</v>
      </c>
    </row>
    <row r="120" spans="1:19" x14ac:dyDescent="0.2">
      <c r="A120" t="s">
        <v>731</v>
      </c>
      <c r="B120" t="s">
        <v>67</v>
      </c>
      <c r="C120" t="s">
        <v>614</v>
      </c>
      <c r="D120">
        <v>1995.23</v>
      </c>
      <c r="E120" s="37" t="str">
        <f t="shared" si="5"/>
        <v xml:space="preserve"> </v>
      </c>
      <c r="F120">
        <v>0.37</v>
      </c>
      <c r="G120" s="37" t="str">
        <f t="shared" si="6"/>
        <v>Heavy Discount</v>
      </c>
      <c r="H120" s="37" t="str">
        <f t="shared" si="7"/>
        <v>Medium</v>
      </c>
      <c r="I120">
        <v>5</v>
      </c>
      <c r="J120" t="str" cm="1">
        <f t="array" ref="J120">_xlfn.IFS(I120&lt;=3,"small",I120&lt;=6,"Medium",I120&lt;=9,"Large")</f>
        <v>Medium</v>
      </c>
      <c r="K120" s="36">
        <v>45336</v>
      </c>
      <c r="L120" s="36">
        <v>45339</v>
      </c>
      <c r="M120" t="s">
        <v>603</v>
      </c>
      <c r="N120" t="s">
        <v>604</v>
      </c>
      <c r="O120" s="37" t="str">
        <f t="shared" si="8"/>
        <v>Digital Payment</v>
      </c>
      <c r="P120">
        <v>274.36</v>
      </c>
      <c r="Q120" s="37" t="str">
        <f>IF(P120&gt;500,"High","low")</f>
        <v>low</v>
      </c>
      <c r="R120" s="37" t="str">
        <f t="shared" si="9"/>
        <v>AVERAGE</v>
      </c>
      <c r="S120" t="s">
        <v>600</v>
      </c>
    </row>
    <row r="121" spans="1:19" x14ac:dyDescent="0.2">
      <c r="A121" t="s">
        <v>732</v>
      </c>
      <c r="B121" t="s">
        <v>75</v>
      </c>
      <c r="C121" t="s">
        <v>602</v>
      </c>
      <c r="D121">
        <v>4869.0600000000004</v>
      </c>
      <c r="E121" s="37" t="str">
        <f t="shared" si="5"/>
        <v>Excellent Order</v>
      </c>
      <c r="F121">
        <v>0.21</v>
      </c>
      <c r="G121" s="37" t="str">
        <f t="shared" si="6"/>
        <v>Normal Discount</v>
      </c>
      <c r="H121" s="37" t="str">
        <f t="shared" si="7"/>
        <v>Medium</v>
      </c>
      <c r="I121">
        <v>6</v>
      </c>
      <c r="J121" t="str" cm="1">
        <f t="array" ref="J121">_xlfn.IFS(I121&lt;=3,"small",I121&lt;=6,"Medium",I121&lt;=9,"Large")</f>
        <v>Medium</v>
      </c>
      <c r="K121" s="36">
        <v>45149</v>
      </c>
      <c r="L121" s="36">
        <v>45155</v>
      </c>
      <c r="M121" t="s">
        <v>603</v>
      </c>
      <c r="N121" t="s">
        <v>604</v>
      </c>
      <c r="O121" s="37" t="str">
        <f t="shared" si="8"/>
        <v>Digital Payment</v>
      </c>
      <c r="P121">
        <v>1022.41</v>
      </c>
      <c r="Q121" s="37" t="str">
        <f>IF(P121&gt;500,"High","low")</f>
        <v>High</v>
      </c>
      <c r="R121" s="37" t="str">
        <f t="shared" si="9"/>
        <v>Excellent</v>
      </c>
      <c r="S121" t="s">
        <v>609</v>
      </c>
    </row>
    <row r="122" spans="1:19" x14ac:dyDescent="0.2">
      <c r="A122" t="s">
        <v>733</v>
      </c>
      <c r="B122" t="s">
        <v>67</v>
      </c>
      <c r="C122" t="s">
        <v>597</v>
      </c>
      <c r="D122">
        <v>4324.6899999999996</v>
      </c>
      <c r="E122" s="37" t="str">
        <f t="shared" si="5"/>
        <v xml:space="preserve"> </v>
      </c>
      <c r="F122">
        <v>0</v>
      </c>
      <c r="G122" s="37" t="str">
        <f t="shared" si="6"/>
        <v>Normal Discount</v>
      </c>
      <c r="H122" s="37" t="str">
        <f t="shared" si="7"/>
        <v>Low</v>
      </c>
      <c r="I122">
        <v>3</v>
      </c>
      <c r="J122" t="str" cm="1">
        <f t="array" ref="J122">_xlfn.IFS(I122&lt;=3,"small",I122&lt;=6,"Medium",I122&lt;=9,"Large")</f>
        <v>small</v>
      </c>
      <c r="K122" s="36">
        <v>45503</v>
      </c>
      <c r="L122" s="36">
        <v>45507</v>
      </c>
      <c r="M122" t="s">
        <v>603</v>
      </c>
      <c r="N122" t="s">
        <v>599</v>
      </c>
      <c r="O122" s="37" t="str">
        <f t="shared" si="8"/>
        <v>Digital Payment</v>
      </c>
      <c r="P122">
        <v>558.65</v>
      </c>
      <c r="Q122" s="37" t="str">
        <f>IF(P122&gt;500,"High","low")</f>
        <v>High</v>
      </c>
      <c r="R122" s="37" t="str">
        <f t="shared" si="9"/>
        <v>Good</v>
      </c>
      <c r="S122" t="s">
        <v>628</v>
      </c>
    </row>
    <row r="123" spans="1:19" x14ac:dyDescent="0.2">
      <c r="A123" t="s">
        <v>734</v>
      </c>
      <c r="B123" t="s">
        <v>75</v>
      </c>
      <c r="C123" t="s">
        <v>614</v>
      </c>
      <c r="D123">
        <v>176.35</v>
      </c>
      <c r="E123" s="37" t="str">
        <f t="shared" si="5"/>
        <v xml:space="preserve"> </v>
      </c>
      <c r="F123">
        <v>0.13</v>
      </c>
      <c r="G123" s="37" t="str">
        <f t="shared" si="6"/>
        <v>Normal Discount</v>
      </c>
      <c r="H123" s="37" t="str">
        <f t="shared" si="7"/>
        <v>Low</v>
      </c>
      <c r="I123">
        <v>3</v>
      </c>
      <c r="J123" t="str" cm="1">
        <f t="array" ref="J123">_xlfn.IFS(I123&lt;=3,"small",I123&lt;=6,"Medium",I123&lt;=9,"Large")</f>
        <v>small</v>
      </c>
      <c r="K123" s="36">
        <v>45104</v>
      </c>
      <c r="L123" s="36">
        <v>45106</v>
      </c>
      <c r="M123" t="s">
        <v>612</v>
      </c>
      <c r="N123" t="s">
        <v>608</v>
      </c>
      <c r="O123" s="37" t="str">
        <f t="shared" si="8"/>
        <v>Cash Payment</v>
      </c>
      <c r="P123">
        <v>40.409999999999997</v>
      </c>
      <c r="Q123" s="37" t="str">
        <f>IF(P123&gt;500,"High","low")</f>
        <v>low</v>
      </c>
      <c r="R123" s="37" t="str">
        <f t="shared" si="9"/>
        <v>AVERAGE</v>
      </c>
      <c r="S123" t="s">
        <v>600</v>
      </c>
    </row>
    <row r="124" spans="1:19" x14ac:dyDescent="0.2">
      <c r="A124" t="s">
        <v>735</v>
      </c>
      <c r="B124" t="s">
        <v>83</v>
      </c>
      <c r="C124" t="s">
        <v>617</v>
      </c>
      <c r="D124">
        <v>4901.0200000000004</v>
      </c>
      <c r="E124" s="37" t="str">
        <f t="shared" si="5"/>
        <v>Excellent Order</v>
      </c>
      <c r="F124">
        <v>0.47</v>
      </c>
      <c r="G124" s="37" t="str">
        <f t="shared" si="6"/>
        <v>Heavy Discount</v>
      </c>
      <c r="H124" s="37" t="str">
        <f t="shared" si="7"/>
        <v>High</v>
      </c>
      <c r="I124">
        <v>6</v>
      </c>
      <c r="J124" t="str" cm="1">
        <f t="array" ref="J124">_xlfn.IFS(I124&lt;=3,"small",I124&lt;=6,"Medium",I124&lt;=9,"Large")</f>
        <v>Medium</v>
      </c>
      <c r="K124" s="36">
        <v>45103</v>
      </c>
      <c r="L124" s="36">
        <v>45106</v>
      </c>
      <c r="M124" t="s">
        <v>598</v>
      </c>
      <c r="N124" t="s">
        <v>608</v>
      </c>
      <c r="O124" s="37" t="str">
        <f t="shared" si="8"/>
        <v>Cash Payment</v>
      </c>
      <c r="P124">
        <v>1045.7</v>
      </c>
      <c r="Q124" s="37" t="str">
        <f>IF(P124&gt;500,"High","low")</f>
        <v>High</v>
      </c>
      <c r="R124" s="37" t="str">
        <f t="shared" si="9"/>
        <v>Excellent</v>
      </c>
      <c r="S124" t="s">
        <v>600</v>
      </c>
    </row>
    <row r="125" spans="1:19" x14ac:dyDescent="0.2">
      <c r="A125" t="s">
        <v>736</v>
      </c>
      <c r="B125" t="s">
        <v>90</v>
      </c>
      <c r="C125" t="s">
        <v>617</v>
      </c>
      <c r="D125">
        <v>1905.79</v>
      </c>
      <c r="E125" s="37" t="str">
        <f t="shared" si="5"/>
        <v xml:space="preserve"> </v>
      </c>
      <c r="F125">
        <v>0.38</v>
      </c>
      <c r="G125" s="37" t="str">
        <f t="shared" si="6"/>
        <v>Heavy Discount</v>
      </c>
      <c r="H125" s="37" t="str">
        <f t="shared" si="7"/>
        <v>Medium</v>
      </c>
      <c r="I125">
        <v>5</v>
      </c>
      <c r="J125" t="str" cm="1">
        <f t="array" ref="J125">_xlfn.IFS(I125&lt;=3,"small",I125&lt;=6,"Medium",I125&lt;=9,"Large")</f>
        <v>Medium</v>
      </c>
      <c r="K125" s="36">
        <v>45470</v>
      </c>
      <c r="L125" s="36">
        <v>45477</v>
      </c>
      <c r="M125" t="s">
        <v>598</v>
      </c>
      <c r="N125" t="s">
        <v>608</v>
      </c>
      <c r="O125" s="37" t="str">
        <f t="shared" si="8"/>
        <v>Cash Payment</v>
      </c>
      <c r="P125">
        <v>179.78</v>
      </c>
      <c r="Q125" s="37" t="str">
        <f>IF(P125&gt;500,"High","low")</f>
        <v>low</v>
      </c>
      <c r="R125" s="37" t="str">
        <f t="shared" si="9"/>
        <v>AVERAGE</v>
      </c>
      <c r="S125" t="s">
        <v>615</v>
      </c>
    </row>
    <row r="126" spans="1:19" x14ac:dyDescent="0.2">
      <c r="A126" t="s">
        <v>737</v>
      </c>
      <c r="B126" t="s">
        <v>75</v>
      </c>
      <c r="C126" t="s">
        <v>614</v>
      </c>
      <c r="D126">
        <v>3507.55</v>
      </c>
      <c r="E126" s="37" t="str">
        <f t="shared" si="5"/>
        <v xml:space="preserve"> </v>
      </c>
      <c r="F126">
        <v>0.09</v>
      </c>
      <c r="G126" s="37" t="str">
        <f t="shared" si="6"/>
        <v>Normal Discount</v>
      </c>
      <c r="H126" s="37" t="str">
        <f t="shared" si="7"/>
        <v>Low</v>
      </c>
      <c r="I126">
        <v>5</v>
      </c>
      <c r="J126" t="str" cm="1">
        <f t="array" ref="J126">_xlfn.IFS(I126&lt;=3,"small",I126&lt;=6,"Medium",I126&lt;=9,"Large")</f>
        <v>Medium</v>
      </c>
      <c r="K126" s="36">
        <v>45503</v>
      </c>
      <c r="L126" s="36">
        <v>45504</v>
      </c>
      <c r="M126" t="s">
        <v>612</v>
      </c>
      <c r="N126" t="s">
        <v>599</v>
      </c>
      <c r="O126" s="37" t="str">
        <f t="shared" si="8"/>
        <v>Digital Payment</v>
      </c>
      <c r="P126">
        <v>789.67</v>
      </c>
      <c r="Q126" s="37" t="str">
        <f>IF(P126&gt;500,"High","low")</f>
        <v>High</v>
      </c>
      <c r="R126" s="37" t="str">
        <f t="shared" si="9"/>
        <v>Good</v>
      </c>
      <c r="S126" t="s">
        <v>628</v>
      </c>
    </row>
    <row r="127" spans="1:19" x14ac:dyDescent="0.2">
      <c r="A127" t="s">
        <v>738</v>
      </c>
      <c r="B127" t="s">
        <v>67</v>
      </c>
      <c r="C127" t="s">
        <v>617</v>
      </c>
      <c r="D127">
        <v>3592.12</v>
      </c>
      <c r="E127" s="37" t="str">
        <f t="shared" si="5"/>
        <v xml:space="preserve"> </v>
      </c>
      <c r="F127">
        <v>0.03</v>
      </c>
      <c r="G127" s="37" t="str">
        <f t="shared" si="6"/>
        <v>Normal Discount</v>
      </c>
      <c r="H127" s="37" t="str">
        <f t="shared" si="7"/>
        <v>Low</v>
      </c>
      <c r="I127">
        <v>5</v>
      </c>
      <c r="J127" t="str" cm="1">
        <f t="array" ref="J127">_xlfn.IFS(I127&lt;=3,"small",I127&lt;=6,"Medium",I127&lt;=9,"Large")</f>
        <v>Medium</v>
      </c>
      <c r="K127" s="36">
        <v>44952</v>
      </c>
      <c r="L127" s="36">
        <v>44956</v>
      </c>
      <c r="M127" t="s">
        <v>598</v>
      </c>
      <c r="N127" t="s">
        <v>608</v>
      </c>
      <c r="O127" s="37" t="str">
        <f t="shared" si="8"/>
        <v>Cash Payment</v>
      </c>
      <c r="P127">
        <v>296.98</v>
      </c>
      <c r="Q127" s="37" t="str">
        <f>IF(P127&gt;500,"High","low")</f>
        <v>low</v>
      </c>
      <c r="R127" s="37" t="str">
        <f t="shared" si="9"/>
        <v>AVERAGE</v>
      </c>
      <c r="S127" t="s">
        <v>615</v>
      </c>
    </row>
    <row r="128" spans="1:19" x14ac:dyDescent="0.2">
      <c r="A128" t="s">
        <v>739</v>
      </c>
      <c r="B128" t="s">
        <v>83</v>
      </c>
      <c r="C128" t="s">
        <v>617</v>
      </c>
      <c r="D128">
        <v>4567.25</v>
      </c>
      <c r="E128" s="37" t="str">
        <f t="shared" si="5"/>
        <v xml:space="preserve"> </v>
      </c>
      <c r="F128">
        <v>0.18</v>
      </c>
      <c r="G128" s="37" t="str">
        <f t="shared" si="6"/>
        <v>Normal Discount</v>
      </c>
      <c r="H128" s="37" t="str">
        <f t="shared" si="7"/>
        <v>Low</v>
      </c>
      <c r="I128">
        <v>9</v>
      </c>
      <c r="J128" t="str" cm="1">
        <f t="array" ref="J128">_xlfn.IFS(I128&lt;=3,"small",I128&lt;=6,"Medium",I128&lt;=9,"Large")</f>
        <v>Large</v>
      </c>
      <c r="K128" s="36">
        <v>45123</v>
      </c>
      <c r="L128" s="36">
        <v>45129</v>
      </c>
      <c r="M128" t="s">
        <v>612</v>
      </c>
      <c r="N128" t="s">
        <v>608</v>
      </c>
      <c r="O128" s="37" t="str">
        <f t="shared" si="8"/>
        <v>Cash Payment</v>
      </c>
      <c r="P128">
        <v>333.34</v>
      </c>
      <c r="Q128" s="37" t="str">
        <f>IF(P128&gt;500,"High","low")</f>
        <v>low</v>
      </c>
      <c r="R128" s="37" t="str">
        <f t="shared" si="9"/>
        <v>AVERAGE</v>
      </c>
      <c r="S128" t="s">
        <v>615</v>
      </c>
    </row>
    <row r="129" spans="1:19" x14ac:dyDescent="0.2">
      <c r="A129" t="s">
        <v>740</v>
      </c>
      <c r="B129" t="s">
        <v>75</v>
      </c>
      <c r="C129" t="s">
        <v>602</v>
      </c>
      <c r="D129">
        <v>4436.8</v>
      </c>
      <c r="E129" s="37" t="str">
        <f t="shared" si="5"/>
        <v>Excellent Order</v>
      </c>
      <c r="F129">
        <v>0.42</v>
      </c>
      <c r="G129" s="37" t="str">
        <f t="shared" si="6"/>
        <v>Heavy Discount</v>
      </c>
      <c r="H129" s="37" t="str">
        <f t="shared" si="7"/>
        <v>High</v>
      </c>
      <c r="I129">
        <v>8</v>
      </c>
      <c r="J129" t="str" cm="1">
        <f t="array" ref="J129">_xlfn.IFS(I129&lt;=3,"small",I129&lt;=6,"Medium",I129&lt;=9,"Large")</f>
        <v>Large</v>
      </c>
      <c r="K129" s="36">
        <v>45336</v>
      </c>
      <c r="L129" s="36">
        <v>45340</v>
      </c>
      <c r="M129" t="s">
        <v>603</v>
      </c>
      <c r="N129" t="s">
        <v>608</v>
      </c>
      <c r="O129" s="37" t="str">
        <f t="shared" si="8"/>
        <v>Cash Payment</v>
      </c>
      <c r="P129">
        <v>934.84</v>
      </c>
      <c r="Q129" s="37" t="str">
        <f>IF(P129&gt;500,"High","low")</f>
        <v>High</v>
      </c>
      <c r="R129" s="37" t="str">
        <f t="shared" si="9"/>
        <v>Good</v>
      </c>
      <c r="S129" t="s">
        <v>609</v>
      </c>
    </row>
    <row r="130" spans="1:19" x14ac:dyDescent="0.2">
      <c r="A130" t="s">
        <v>741</v>
      </c>
      <c r="B130" t="s">
        <v>67</v>
      </c>
      <c r="C130" t="s">
        <v>597</v>
      </c>
      <c r="D130">
        <v>1480.47</v>
      </c>
      <c r="E130" s="37" t="str">
        <f t="shared" si="5"/>
        <v xml:space="preserve"> </v>
      </c>
      <c r="F130">
        <v>0.05</v>
      </c>
      <c r="G130" s="37" t="str">
        <f t="shared" si="6"/>
        <v>Normal Discount</v>
      </c>
      <c r="H130" s="37" t="str">
        <f t="shared" si="7"/>
        <v>Low</v>
      </c>
      <c r="I130">
        <v>4</v>
      </c>
      <c r="J130" t="str" cm="1">
        <f t="array" ref="J130">_xlfn.IFS(I130&lt;=3,"small",I130&lt;=6,"Medium",I130&lt;=9,"Large")</f>
        <v>Medium</v>
      </c>
      <c r="K130" s="36">
        <v>44991</v>
      </c>
      <c r="L130" s="36">
        <v>44995</v>
      </c>
      <c r="M130" t="s">
        <v>598</v>
      </c>
      <c r="N130" t="s">
        <v>604</v>
      </c>
      <c r="O130" s="37" t="str">
        <f t="shared" si="8"/>
        <v>Digital Payment</v>
      </c>
      <c r="P130">
        <v>197.42</v>
      </c>
      <c r="Q130" s="37" t="str">
        <f>IF(P130&gt;500,"High","low")</f>
        <v>low</v>
      </c>
      <c r="R130" s="37" t="str">
        <f t="shared" si="9"/>
        <v>AVERAGE</v>
      </c>
      <c r="S130" t="s">
        <v>628</v>
      </c>
    </row>
    <row r="131" spans="1:19" x14ac:dyDescent="0.2">
      <c r="A131" t="s">
        <v>742</v>
      </c>
      <c r="B131" t="s">
        <v>67</v>
      </c>
      <c r="C131" t="s">
        <v>602</v>
      </c>
      <c r="D131">
        <v>3253.32</v>
      </c>
      <c r="E131" s="37" t="str">
        <f t="shared" ref="E131:E194" si="10">IF(AND(D131&gt;4000,P131&gt;800),"Excellent Order"," ")</f>
        <v xml:space="preserve"> </v>
      </c>
      <c r="F131">
        <v>0.27</v>
      </c>
      <c r="G131" s="37" t="str">
        <f t="shared" ref="G131:G194" si="11">IF(F131&gt;30%,"Heavy Discount","Normal Discount")</f>
        <v>Normal Discount</v>
      </c>
      <c r="H131" s="37" t="str">
        <f t="shared" ref="H131:H194" si="12">IF(F131&gt;0.4,"High",IF(F131&gt;=0.2,"Medium","Low"))</f>
        <v>Medium</v>
      </c>
      <c r="I131">
        <v>6</v>
      </c>
      <c r="J131" t="str" cm="1">
        <f t="array" ref="J131">_xlfn.IFS(I131&lt;=3,"small",I131&lt;=6,"Medium",I131&lt;=9,"Large")</f>
        <v>Medium</v>
      </c>
      <c r="K131" s="36">
        <v>45404</v>
      </c>
      <c r="L131" s="36">
        <v>45407</v>
      </c>
      <c r="M131" t="s">
        <v>603</v>
      </c>
      <c r="N131" t="s">
        <v>599</v>
      </c>
      <c r="O131" s="37" t="str">
        <f t="shared" ref="O131:O194" si="13">IF(OR(N131="Card",N131="UPI"),"Digital Payment","Cash Payment")</f>
        <v>Digital Payment</v>
      </c>
      <c r="P131">
        <v>293.39999999999998</v>
      </c>
      <c r="Q131" s="37" t="str">
        <f>IF(P131&gt;500,"High","low")</f>
        <v>low</v>
      </c>
      <c r="R131" s="37" t="str">
        <f t="shared" ref="R131:R194" si="14">IF(P131&gt;1000,"Excellent",IF(P131&gt;=500,"Good","AVERAGE"))</f>
        <v>AVERAGE</v>
      </c>
      <c r="S131" t="s">
        <v>628</v>
      </c>
    </row>
    <row r="132" spans="1:19" x14ac:dyDescent="0.2">
      <c r="A132" t="s">
        <v>743</v>
      </c>
      <c r="B132" t="s">
        <v>67</v>
      </c>
      <c r="C132" t="s">
        <v>597</v>
      </c>
      <c r="D132">
        <v>2029.16</v>
      </c>
      <c r="E132" s="37" t="str">
        <f t="shared" si="10"/>
        <v xml:space="preserve"> </v>
      </c>
      <c r="F132">
        <v>0.14000000000000001</v>
      </c>
      <c r="G132" s="37" t="str">
        <f t="shared" si="11"/>
        <v>Normal Discount</v>
      </c>
      <c r="H132" s="37" t="str">
        <f t="shared" si="12"/>
        <v>Low</v>
      </c>
      <c r="I132">
        <v>5</v>
      </c>
      <c r="J132" t="str" cm="1">
        <f t="array" ref="J132">_xlfn.IFS(I132&lt;=3,"small",I132&lt;=6,"Medium",I132&lt;=9,"Large")</f>
        <v>Medium</v>
      </c>
      <c r="K132" s="36">
        <v>45322</v>
      </c>
      <c r="L132" s="36">
        <v>45327</v>
      </c>
      <c r="M132" t="s">
        <v>598</v>
      </c>
      <c r="N132" t="s">
        <v>604</v>
      </c>
      <c r="O132" s="37" t="str">
        <f t="shared" si="13"/>
        <v>Digital Payment</v>
      </c>
      <c r="P132">
        <v>602.37</v>
      </c>
      <c r="Q132" s="37" t="str">
        <f>IF(P132&gt;500,"High","low")</f>
        <v>High</v>
      </c>
      <c r="R132" s="37" t="str">
        <f t="shared" si="14"/>
        <v>Good</v>
      </c>
      <c r="S132" t="s">
        <v>605</v>
      </c>
    </row>
    <row r="133" spans="1:19" x14ac:dyDescent="0.2">
      <c r="A133" t="s">
        <v>744</v>
      </c>
      <c r="B133" t="s">
        <v>75</v>
      </c>
      <c r="C133" t="s">
        <v>617</v>
      </c>
      <c r="D133">
        <v>2675.16</v>
      </c>
      <c r="E133" s="37" t="str">
        <f t="shared" si="10"/>
        <v xml:space="preserve"> </v>
      </c>
      <c r="F133">
        <v>0.36</v>
      </c>
      <c r="G133" s="37" t="str">
        <f t="shared" si="11"/>
        <v>Heavy Discount</v>
      </c>
      <c r="H133" s="37" t="str">
        <f t="shared" si="12"/>
        <v>Medium</v>
      </c>
      <c r="I133">
        <v>6</v>
      </c>
      <c r="J133" t="str" cm="1">
        <f t="array" ref="J133">_xlfn.IFS(I133&lt;=3,"small",I133&lt;=6,"Medium",I133&lt;=9,"Large")</f>
        <v>Medium</v>
      </c>
      <c r="K133" s="36">
        <v>45410</v>
      </c>
      <c r="L133" s="36">
        <v>45414</v>
      </c>
      <c r="M133" t="s">
        <v>598</v>
      </c>
      <c r="N133" t="s">
        <v>608</v>
      </c>
      <c r="O133" s="37" t="str">
        <f t="shared" si="13"/>
        <v>Cash Payment</v>
      </c>
      <c r="P133">
        <v>715.56</v>
      </c>
      <c r="Q133" s="37" t="str">
        <f>IF(P133&gt;500,"High","low")</f>
        <v>High</v>
      </c>
      <c r="R133" s="37" t="str">
        <f t="shared" si="14"/>
        <v>Good</v>
      </c>
      <c r="S133" t="s">
        <v>605</v>
      </c>
    </row>
    <row r="134" spans="1:19" x14ac:dyDescent="0.2">
      <c r="A134" t="s">
        <v>745</v>
      </c>
      <c r="B134" t="s">
        <v>75</v>
      </c>
      <c r="C134" t="s">
        <v>597</v>
      </c>
      <c r="D134">
        <v>2817.92</v>
      </c>
      <c r="E134" s="37" t="str">
        <f t="shared" si="10"/>
        <v xml:space="preserve"> </v>
      </c>
      <c r="F134">
        <v>0</v>
      </c>
      <c r="G134" s="37" t="str">
        <f t="shared" si="11"/>
        <v>Normal Discount</v>
      </c>
      <c r="H134" s="37" t="str">
        <f t="shared" si="12"/>
        <v>Low</v>
      </c>
      <c r="I134">
        <v>8</v>
      </c>
      <c r="J134" t="str" cm="1">
        <f t="array" ref="J134">_xlfn.IFS(I134&lt;=3,"small",I134&lt;=6,"Medium",I134&lt;=9,"Large")</f>
        <v>Large</v>
      </c>
      <c r="K134" s="36">
        <v>45590</v>
      </c>
      <c r="L134" s="36">
        <v>45593</v>
      </c>
      <c r="M134" t="s">
        <v>598</v>
      </c>
      <c r="N134" t="s">
        <v>604</v>
      </c>
      <c r="O134" s="37" t="str">
        <f t="shared" si="13"/>
        <v>Digital Payment</v>
      </c>
      <c r="P134">
        <v>265.5</v>
      </c>
      <c r="Q134" s="37" t="str">
        <f>IF(P134&gt;500,"High","low")</f>
        <v>low</v>
      </c>
      <c r="R134" s="37" t="str">
        <f t="shared" si="14"/>
        <v>AVERAGE</v>
      </c>
      <c r="S134" t="s">
        <v>600</v>
      </c>
    </row>
    <row r="135" spans="1:19" x14ac:dyDescent="0.2">
      <c r="A135" t="s">
        <v>746</v>
      </c>
      <c r="B135" t="s">
        <v>75</v>
      </c>
      <c r="C135" t="s">
        <v>617</v>
      </c>
      <c r="D135">
        <v>2042.08</v>
      </c>
      <c r="E135" s="37" t="str">
        <f t="shared" si="10"/>
        <v xml:space="preserve"> </v>
      </c>
      <c r="F135">
        <v>0.14000000000000001</v>
      </c>
      <c r="G135" s="37" t="str">
        <f t="shared" si="11"/>
        <v>Normal Discount</v>
      </c>
      <c r="H135" s="37" t="str">
        <f t="shared" si="12"/>
        <v>Low</v>
      </c>
      <c r="I135">
        <v>6</v>
      </c>
      <c r="J135" t="str" cm="1">
        <f t="array" ref="J135">_xlfn.IFS(I135&lt;=3,"small",I135&lt;=6,"Medium",I135&lt;=9,"Large")</f>
        <v>Medium</v>
      </c>
      <c r="K135" s="36">
        <v>45109</v>
      </c>
      <c r="L135" s="36">
        <v>45115</v>
      </c>
      <c r="M135" t="s">
        <v>603</v>
      </c>
      <c r="N135" t="s">
        <v>608</v>
      </c>
      <c r="O135" s="37" t="str">
        <f t="shared" si="13"/>
        <v>Cash Payment</v>
      </c>
      <c r="P135">
        <v>583.83000000000004</v>
      </c>
      <c r="Q135" s="37" t="str">
        <f>IF(P135&gt;500,"High","low")</f>
        <v>High</v>
      </c>
      <c r="R135" s="37" t="str">
        <f t="shared" si="14"/>
        <v>Good</v>
      </c>
      <c r="S135" t="s">
        <v>609</v>
      </c>
    </row>
    <row r="136" spans="1:19" x14ac:dyDescent="0.2">
      <c r="A136" t="s">
        <v>747</v>
      </c>
      <c r="B136" t="s">
        <v>90</v>
      </c>
      <c r="C136" t="s">
        <v>617</v>
      </c>
      <c r="D136">
        <v>2373.08</v>
      </c>
      <c r="E136" s="37" t="str">
        <f t="shared" si="10"/>
        <v xml:space="preserve"> </v>
      </c>
      <c r="F136">
        <v>0.34</v>
      </c>
      <c r="G136" s="37" t="str">
        <f t="shared" si="11"/>
        <v>Heavy Discount</v>
      </c>
      <c r="H136" s="37" t="str">
        <f t="shared" si="12"/>
        <v>Medium</v>
      </c>
      <c r="I136">
        <v>6</v>
      </c>
      <c r="J136" t="str" cm="1">
        <f t="array" ref="J136">_xlfn.IFS(I136&lt;=3,"small",I136&lt;=6,"Medium",I136&lt;=9,"Large")</f>
        <v>Medium</v>
      </c>
      <c r="K136" s="36">
        <v>45527</v>
      </c>
      <c r="L136" s="36">
        <v>45534</v>
      </c>
      <c r="M136" t="s">
        <v>612</v>
      </c>
      <c r="N136" t="s">
        <v>604</v>
      </c>
      <c r="O136" s="37" t="str">
        <f t="shared" si="13"/>
        <v>Digital Payment</v>
      </c>
      <c r="P136">
        <v>478.2</v>
      </c>
      <c r="Q136" s="37" t="str">
        <f>IF(P136&gt;500,"High","low")</f>
        <v>low</v>
      </c>
      <c r="R136" s="37" t="str">
        <f t="shared" si="14"/>
        <v>AVERAGE</v>
      </c>
      <c r="S136" t="s">
        <v>620</v>
      </c>
    </row>
    <row r="137" spans="1:19" x14ac:dyDescent="0.2">
      <c r="A137" t="s">
        <v>748</v>
      </c>
      <c r="B137" t="s">
        <v>75</v>
      </c>
      <c r="C137" t="s">
        <v>602</v>
      </c>
      <c r="D137">
        <v>1120.8800000000001</v>
      </c>
      <c r="E137" s="37" t="str">
        <f t="shared" si="10"/>
        <v xml:space="preserve"> </v>
      </c>
      <c r="F137">
        <v>0.27</v>
      </c>
      <c r="G137" s="37" t="str">
        <f t="shared" si="11"/>
        <v>Normal Discount</v>
      </c>
      <c r="H137" s="37" t="str">
        <f t="shared" si="12"/>
        <v>Medium</v>
      </c>
      <c r="I137">
        <v>2</v>
      </c>
      <c r="J137" t="str" cm="1">
        <f t="array" ref="J137">_xlfn.IFS(I137&lt;=3,"small",I137&lt;=6,"Medium",I137&lt;=9,"Large")</f>
        <v>small</v>
      </c>
      <c r="K137" s="36">
        <v>45190</v>
      </c>
      <c r="L137" s="36">
        <v>45195</v>
      </c>
      <c r="M137" t="s">
        <v>603</v>
      </c>
      <c r="N137" t="s">
        <v>604</v>
      </c>
      <c r="O137" s="37" t="str">
        <f t="shared" si="13"/>
        <v>Digital Payment</v>
      </c>
      <c r="P137">
        <v>201.73</v>
      </c>
      <c r="Q137" s="37" t="str">
        <f>IF(P137&gt;500,"High","low")</f>
        <v>low</v>
      </c>
      <c r="R137" s="37" t="str">
        <f t="shared" si="14"/>
        <v>AVERAGE</v>
      </c>
      <c r="S137" t="s">
        <v>620</v>
      </c>
    </row>
    <row r="138" spans="1:19" x14ac:dyDescent="0.2">
      <c r="A138" t="s">
        <v>749</v>
      </c>
      <c r="B138" t="s">
        <v>75</v>
      </c>
      <c r="C138" t="s">
        <v>602</v>
      </c>
      <c r="D138">
        <v>3077.47</v>
      </c>
      <c r="E138" s="37" t="str">
        <f t="shared" si="10"/>
        <v xml:space="preserve"> </v>
      </c>
      <c r="F138">
        <v>0.39</v>
      </c>
      <c r="G138" s="37" t="str">
        <f t="shared" si="11"/>
        <v>Heavy Discount</v>
      </c>
      <c r="H138" s="37" t="str">
        <f t="shared" si="12"/>
        <v>Medium</v>
      </c>
      <c r="I138">
        <v>7</v>
      </c>
      <c r="J138" t="str" cm="1">
        <f t="array" ref="J138">_xlfn.IFS(I138&lt;=3,"small",I138&lt;=6,"Medium",I138&lt;=9,"Large")</f>
        <v>Large</v>
      </c>
      <c r="K138" s="36">
        <v>45627</v>
      </c>
      <c r="L138" s="36">
        <v>45634</v>
      </c>
      <c r="M138" t="s">
        <v>612</v>
      </c>
      <c r="N138" t="s">
        <v>599</v>
      </c>
      <c r="O138" s="37" t="str">
        <f t="shared" si="13"/>
        <v>Digital Payment</v>
      </c>
      <c r="P138">
        <v>428.41</v>
      </c>
      <c r="Q138" s="37" t="str">
        <f>IF(P138&gt;500,"High","low")</f>
        <v>low</v>
      </c>
      <c r="R138" s="37" t="str">
        <f t="shared" si="14"/>
        <v>AVERAGE</v>
      </c>
      <c r="S138" t="s">
        <v>628</v>
      </c>
    </row>
    <row r="139" spans="1:19" x14ac:dyDescent="0.2">
      <c r="A139" t="s">
        <v>750</v>
      </c>
      <c r="B139" t="s">
        <v>75</v>
      </c>
      <c r="C139" t="s">
        <v>607</v>
      </c>
      <c r="D139">
        <v>3818.9</v>
      </c>
      <c r="E139" s="37" t="str">
        <f t="shared" si="10"/>
        <v xml:space="preserve"> </v>
      </c>
      <c r="F139">
        <v>0.08</v>
      </c>
      <c r="G139" s="37" t="str">
        <f t="shared" si="11"/>
        <v>Normal Discount</v>
      </c>
      <c r="H139" s="37" t="str">
        <f t="shared" si="12"/>
        <v>Low</v>
      </c>
      <c r="I139">
        <v>3</v>
      </c>
      <c r="J139" t="str" cm="1">
        <f t="array" ref="J139">_xlfn.IFS(I139&lt;=3,"small",I139&lt;=6,"Medium",I139&lt;=9,"Large")</f>
        <v>small</v>
      </c>
      <c r="K139" s="36">
        <v>44953</v>
      </c>
      <c r="L139" s="36">
        <v>44956</v>
      </c>
      <c r="M139" t="s">
        <v>598</v>
      </c>
      <c r="N139" t="s">
        <v>608</v>
      </c>
      <c r="O139" s="37" t="str">
        <f t="shared" si="13"/>
        <v>Cash Payment</v>
      </c>
      <c r="P139">
        <v>497.78</v>
      </c>
      <c r="Q139" s="37" t="str">
        <f>IF(P139&gt;500,"High","low")</f>
        <v>low</v>
      </c>
      <c r="R139" s="37" t="str">
        <f t="shared" si="14"/>
        <v>AVERAGE</v>
      </c>
      <c r="S139" t="s">
        <v>628</v>
      </c>
    </row>
    <row r="140" spans="1:19" x14ac:dyDescent="0.2">
      <c r="A140" t="s">
        <v>751</v>
      </c>
      <c r="B140" t="s">
        <v>90</v>
      </c>
      <c r="C140" t="s">
        <v>614</v>
      </c>
      <c r="D140">
        <v>2205.73</v>
      </c>
      <c r="E140" s="37" t="str">
        <f t="shared" si="10"/>
        <v xml:space="preserve"> </v>
      </c>
      <c r="F140">
        <v>0.27</v>
      </c>
      <c r="G140" s="37" t="str">
        <f t="shared" si="11"/>
        <v>Normal Discount</v>
      </c>
      <c r="H140" s="37" t="str">
        <f t="shared" si="12"/>
        <v>Medium</v>
      </c>
      <c r="I140">
        <v>7</v>
      </c>
      <c r="J140" t="str" cm="1">
        <f t="array" ref="J140">_xlfn.IFS(I140&lt;=3,"small",I140&lt;=6,"Medium",I140&lt;=9,"Large")</f>
        <v>Large</v>
      </c>
      <c r="K140" s="36">
        <v>45177</v>
      </c>
      <c r="L140" s="36">
        <v>45180</v>
      </c>
      <c r="M140" t="s">
        <v>598</v>
      </c>
      <c r="N140" t="s">
        <v>599</v>
      </c>
      <c r="O140" s="37" t="str">
        <f t="shared" si="13"/>
        <v>Digital Payment</v>
      </c>
      <c r="P140">
        <v>167.08</v>
      </c>
      <c r="Q140" s="37" t="str">
        <f>IF(P140&gt;500,"High","low")</f>
        <v>low</v>
      </c>
      <c r="R140" s="37" t="str">
        <f t="shared" si="14"/>
        <v>AVERAGE</v>
      </c>
      <c r="S140" t="s">
        <v>609</v>
      </c>
    </row>
    <row r="141" spans="1:19" x14ac:dyDescent="0.2">
      <c r="A141" t="s">
        <v>752</v>
      </c>
      <c r="B141" t="s">
        <v>75</v>
      </c>
      <c r="C141" t="s">
        <v>607</v>
      </c>
      <c r="D141">
        <v>4890.63</v>
      </c>
      <c r="E141" s="37" t="str">
        <f t="shared" si="10"/>
        <v xml:space="preserve"> </v>
      </c>
      <c r="F141">
        <v>0.1</v>
      </c>
      <c r="G141" s="37" t="str">
        <f t="shared" si="11"/>
        <v>Normal Discount</v>
      </c>
      <c r="H141" s="37" t="str">
        <f t="shared" si="12"/>
        <v>Low</v>
      </c>
      <c r="I141">
        <v>5</v>
      </c>
      <c r="J141" t="str" cm="1">
        <f t="array" ref="J141">_xlfn.IFS(I141&lt;=3,"small",I141&lt;=6,"Medium",I141&lt;=9,"Large")</f>
        <v>Medium</v>
      </c>
      <c r="K141" s="36">
        <v>45434</v>
      </c>
      <c r="L141" s="36">
        <v>45437</v>
      </c>
      <c r="M141" t="s">
        <v>598</v>
      </c>
      <c r="N141" t="s">
        <v>608</v>
      </c>
      <c r="O141" s="37" t="str">
        <f t="shared" si="13"/>
        <v>Cash Payment</v>
      </c>
      <c r="P141">
        <v>466.35</v>
      </c>
      <c r="Q141" s="37" t="str">
        <f>IF(P141&gt;500,"High","low")</f>
        <v>low</v>
      </c>
      <c r="R141" s="37" t="str">
        <f t="shared" si="14"/>
        <v>AVERAGE</v>
      </c>
      <c r="S141" t="s">
        <v>600</v>
      </c>
    </row>
    <row r="142" spans="1:19" x14ac:dyDescent="0.2">
      <c r="A142" t="s">
        <v>753</v>
      </c>
      <c r="B142" t="s">
        <v>67</v>
      </c>
      <c r="C142" t="s">
        <v>607</v>
      </c>
      <c r="D142">
        <v>380.41</v>
      </c>
      <c r="E142" s="37" t="str">
        <f t="shared" si="10"/>
        <v xml:space="preserve"> </v>
      </c>
      <c r="F142">
        <v>0.32</v>
      </c>
      <c r="G142" s="37" t="str">
        <f t="shared" si="11"/>
        <v>Heavy Discount</v>
      </c>
      <c r="H142" s="37" t="str">
        <f t="shared" si="12"/>
        <v>Medium</v>
      </c>
      <c r="I142">
        <v>4</v>
      </c>
      <c r="J142" t="str" cm="1">
        <f t="array" ref="J142">_xlfn.IFS(I142&lt;=3,"small",I142&lt;=6,"Medium",I142&lt;=9,"Large")</f>
        <v>Medium</v>
      </c>
      <c r="K142" s="36">
        <v>45629</v>
      </c>
      <c r="L142" s="36">
        <v>45633</v>
      </c>
      <c r="M142" t="s">
        <v>598</v>
      </c>
      <c r="N142" t="s">
        <v>608</v>
      </c>
      <c r="O142" s="37" t="str">
        <f t="shared" si="13"/>
        <v>Cash Payment</v>
      </c>
      <c r="P142">
        <v>44.61</v>
      </c>
      <c r="Q142" s="37" t="str">
        <f>IF(P142&gt;500,"High","low")</f>
        <v>low</v>
      </c>
      <c r="R142" s="37" t="str">
        <f t="shared" si="14"/>
        <v>AVERAGE</v>
      </c>
      <c r="S142" t="s">
        <v>605</v>
      </c>
    </row>
    <row r="143" spans="1:19" x14ac:dyDescent="0.2">
      <c r="A143" t="s">
        <v>754</v>
      </c>
      <c r="B143" t="s">
        <v>75</v>
      </c>
      <c r="C143" t="s">
        <v>597</v>
      </c>
      <c r="D143">
        <v>2986.89</v>
      </c>
      <c r="E143" s="37" t="str">
        <f t="shared" si="10"/>
        <v xml:space="preserve"> </v>
      </c>
      <c r="F143">
        <v>7.0000000000000007E-2</v>
      </c>
      <c r="G143" s="37" t="str">
        <f t="shared" si="11"/>
        <v>Normal Discount</v>
      </c>
      <c r="H143" s="37" t="str">
        <f t="shared" si="12"/>
        <v>Low</v>
      </c>
      <c r="I143">
        <v>1</v>
      </c>
      <c r="J143" t="str" cm="1">
        <f t="array" ref="J143">_xlfn.IFS(I143&lt;=3,"small",I143&lt;=6,"Medium",I143&lt;=9,"Large")</f>
        <v>small</v>
      </c>
      <c r="K143" s="36">
        <v>45054</v>
      </c>
      <c r="L143" s="36">
        <v>45055</v>
      </c>
      <c r="M143" t="s">
        <v>603</v>
      </c>
      <c r="N143" t="s">
        <v>608</v>
      </c>
      <c r="O143" s="37" t="str">
        <f t="shared" si="13"/>
        <v>Cash Payment</v>
      </c>
      <c r="P143">
        <v>699.11</v>
      </c>
      <c r="Q143" s="37" t="str">
        <f>IF(P143&gt;500,"High","low")</f>
        <v>High</v>
      </c>
      <c r="R143" s="37" t="str">
        <f t="shared" si="14"/>
        <v>Good</v>
      </c>
      <c r="S143" t="s">
        <v>620</v>
      </c>
    </row>
    <row r="144" spans="1:19" x14ac:dyDescent="0.2">
      <c r="A144" t="s">
        <v>755</v>
      </c>
      <c r="B144" t="s">
        <v>67</v>
      </c>
      <c r="C144" t="s">
        <v>617</v>
      </c>
      <c r="D144">
        <v>2959.64</v>
      </c>
      <c r="E144" s="37" t="str">
        <f t="shared" si="10"/>
        <v xml:space="preserve"> </v>
      </c>
      <c r="F144">
        <v>7.0000000000000007E-2</v>
      </c>
      <c r="G144" s="37" t="str">
        <f t="shared" si="11"/>
        <v>Normal Discount</v>
      </c>
      <c r="H144" s="37" t="str">
        <f t="shared" si="12"/>
        <v>Low</v>
      </c>
      <c r="I144">
        <v>8</v>
      </c>
      <c r="J144" t="str" cm="1">
        <f t="array" ref="J144">_xlfn.IFS(I144&lt;=3,"small",I144&lt;=6,"Medium",I144&lt;=9,"Large")</f>
        <v>Large</v>
      </c>
      <c r="K144" s="36">
        <v>45342</v>
      </c>
      <c r="L144" s="36">
        <v>45348</v>
      </c>
      <c r="M144" t="s">
        <v>612</v>
      </c>
      <c r="N144" t="s">
        <v>604</v>
      </c>
      <c r="O144" s="37" t="str">
        <f t="shared" si="13"/>
        <v>Digital Payment</v>
      </c>
      <c r="P144">
        <v>858.27</v>
      </c>
      <c r="Q144" s="37" t="str">
        <f>IF(P144&gt;500,"High","low")</f>
        <v>High</v>
      </c>
      <c r="R144" s="37" t="str">
        <f t="shared" si="14"/>
        <v>Good</v>
      </c>
      <c r="S144" t="s">
        <v>615</v>
      </c>
    </row>
    <row r="145" spans="1:19" x14ac:dyDescent="0.2">
      <c r="A145" t="s">
        <v>756</v>
      </c>
      <c r="B145" t="s">
        <v>67</v>
      </c>
      <c r="C145" t="s">
        <v>617</v>
      </c>
      <c r="D145">
        <v>277.85000000000002</v>
      </c>
      <c r="E145" s="37" t="str">
        <f t="shared" si="10"/>
        <v xml:space="preserve"> </v>
      </c>
      <c r="F145">
        <v>0.16</v>
      </c>
      <c r="G145" s="37" t="str">
        <f t="shared" si="11"/>
        <v>Normal Discount</v>
      </c>
      <c r="H145" s="37" t="str">
        <f t="shared" si="12"/>
        <v>Low</v>
      </c>
      <c r="I145">
        <v>2</v>
      </c>
      <c r="J145" t="str" cm="1">
        <f t="array" ref="J145">_xlfn.IFS(I145&lt;=3,"small",I145&lt;=6,"Medium",I145&lt;=9,"Large")</f>
        <v>small</v>
      </c>
      <c r="K145" s="36">
        <v>45345</v>
      </c>
      <c r="L145" s="36">
        <v>45349</v>
      </c>
      <c r="M145" t="s">
        <v>612</v>
      </c>
      <c r="N145" t="s">
        <v>599</v>
      </c>
      <c r="O145" s="37" t="str">
        <f t="shared" si="13"/>
        <v>Digital Payment</v>
      </c>
      <c r="P145">
        <v>46.23</v>
      </c>
      <c r="Q145" s="37" t="str">
        <f>IF(P145&gt;500,"High","low")</f>
        <v>low</v>
      </c>
      <c r="R145" s="37" t="str">
        <f t="shared" si="14"/>
        <v>AVERAGE</v>
      </c>
      <c r="S145" t="s">
        <v>615</v>
      </c>
    </row>
    <row r="146" spans="1:19" x14ac:dyDescent="0.2">
      <c r="A146" t="s">
        <v>757</v>
      </c>
      <c r="B146" t="s">
        <v>67</v>
      </c>
      <c r="C146" t="s">
        <v>617</v>
      </c>
      <c r="D146">
        <v>1200.3900000000001</v>
      </c>
      <c r="E146" s="37" t="str">
        <f t="shared" si="10"/>
        <v xml:space="preserve"> </v>
      </c>
      <c r="F146">
        <v>0.2</v>
      </c>
      <c r="G146" s="37" t="str">
        <f t="shared" si="11"/>
        <v>Normal Discount</v>
      </c>
      <c r="H146" s="37" t="str">
        <f t="shared" si="12"/>
        <v>Medium</v>
      </c>
      <c r="I146">
        <v>8</v>
      </c>
      <c r="J146" t="str" cm="1">
        <f t="array" ref="J146">_xlfn.IFS(I146&lt;=3,"small",I146&lt;=6,"Medium",I146&lt;=9,"Large")</f>
        <v>Large</v>
      </c>
      <c r="K146" s="36">
        <v>45582</v>
      </c>
      <c r="L146" s="36">
        <v>45588</v>
      </c>
      <c r="M146" t="s">
        <v>612</v>
      </c>
      <c r="N146" t="s">
        <v>608</v>
      </c>
      <c r="O146" s="37" t="str">
        <f t="shared" si="13"/>
        <v>Cash Payment</v>
      </c>
      <c r="P146">
        <v>171.37</v>
      </c>
      <c r="Q146" s="37" t="str">
        <f>IF(P146&gt;500,"High","low")</f>
        <v>low</v>
      </c>
      <c r="R146" s="37" t="str">
        <f t="shared" si="14"/>
        <v>AVERAGE</v>
      </c>
      <c r="S146" t="s">
        <v>615</v>
      </c>
    </row>
    <row r="147" spans="1:19" x14ac:dyDescent="0.2">
      <c r="A147" t="s">
        <v>758</v>
      </c>
      <c r="B147" t="s">
        <v>90</v>
      </c>
      <c r="C147" t="s">
        <v>614</v>
      </c>
      <c r="D147">
        <v>4537.16</v>
      </c>
      <c r="E147" s="37" t="str">
        <f t="shared" si="10"/>
        <v>Excellent Order</v>
      </c>
      <c r="F147">
        <v>0.25</v>
      </c>
      <c r="G147" s="37" t="str">
        <f t="shared" si="11"/>
        <v>Normal Discount</v>
      </c>
      <c r="H147" s="37" t="str">
        <f t="shared" si="12"/>
        <v>Medium</v>
      </c>
      <c r="I147">
        <v>7</v>
      </c>
      <c r="J147" t="str" cm="1">
        <f t="array" ref="J147">_xlfn.IFS(I147&lt;=3,"small",I147&lt;=6,"Medium",I147&lt;=9,"Large")</f>
        <v>Large</v>
      </c>
      <c r="K147" s="36">
        <v>45346</v>
      </c>
      <c r="L147" s="36">
        <v>45352</v>
      </c>
      <c r="M147" t="s">
        <v>598</v>
      </c>
      <c r="N147" t="s">
        <v>608</v>
      </c>
      <c r="O147" s="37" t="str">
        <f t="shared" si="13"/>
        <v>Cash Payment</v>
      </c>
      <c r="P147">
        <v>1201.33</v>
      </c>
      <c r="Q147" s="37" t="str">
        <f>IF(P147&gt;500,"High","low")</f>
        <v>High</v>
      </c>
      <c r="R147" s="37" t="str">
        <f t="shared" si="14"/>
        <v>Excellent</v>
      </c>
      <c r="S147" t="s">
        <v>609</v>
      </c>
    </row>
    <row r="148" spans="1:19" x14ac:dyDescent="0.2">
      <c r="A148" t="s">
        <v>759</v>
      </c>
      <c r="B148" t="s">
        <v>90</v>
      </c>
      <c r="C148" t="s">
        <v>597</v>
      </c>
      <c r="D148">
        <v>2768.12</v>
      </c>
      <c r="E148" s="37" t="str">
        <f t="shared" si="10"/>
        <v xml:space="preserve"> </v>
      </c>
      <c r="F148">
        <v>0.28999999999999998</v>
      </c>
      <c r="G148" s="37" t="str">
        <f t="shared" si="11"/>
        <v>Normal Discount</v>
      </c>
      <c r="H148" s="37" t="str">
        <f t="shared" si="12"/>
        <v>Medium</v>
      </c>
      <c r="I148">
        <v>3</v>
      </c>
      <c r="J148" t="str" cm="1">
        <f t="array" ref="J148">_xlfn.IFS(I148&lt;=3,"small",I148&lt;=6,"Medium",I148&lt;=9,"Large")</f>
        <v>small</v>
      </c>
      <c r="K148" s="36">
        <v>45596</v>
      </c>
      <c r="L148" s="36">
        <v>45600</v>
      </c>
      <c r="M148" t="s">
        <v>603</v>
      </c>
      <c r="N148" t="s">
        <v>604</v>
      </c>
      <c r="O148" s="37" t="str">
        <f t="shared" si="13"/>
        <v>Digital Payment</v>
      </c>
      <c r="P148">
        <v>609.51</v>
      </c>
      <c r="Q148" s="37" t="str">
        <f>IF(P148&gt;500,"High","low")</f>
        <v>High</v>
      </c>
      <c r="R148" s="37" t="str">
        <f t="shared" si="14"/>
        <v>Good</v>
      </c>
      <c r="S148" t="s">
        <v>605</v>
      </c>
    </row>
    <row r="149" spans="1:19" x14ac:dyDescent="0.2">
      <c r="A149" t="s">
        <v>760</v>
      </c>
      <c r="B149" t="s">
        <v>90</v>
      </c>
      <c r="C149" t="s">
        <v>597</v>
      </c>
      <c r="D149">
        <v>2238.29</v>
      </c>
      <c r="E149" s="37" t="str">
        <f t="shared" si="10"/>
        <v xml:space="preserve"> </v>
      </c>
      <c r="F149">
        <v>0.23</v>
      </c>
      <c r="G149" s="37" t="str">
        <f t="shared" si="11"/>
        <v>Normal Discount</v>
      </c>
      <c r="H149" s="37" t="str">
        <f t="shared" si="12"/>
        <v>Medium</v>
      </c>
      <c r="I149">
        <v>7</v>
      </c>
      <c r="J149" t="str" cm="1">
        <f t="array" ref="J149">_xlfn.IFS(I149&lt;=3,"small",I149&lt;=6,"Medium",I149&lt;=9,"Large")</f>
        <v>Large</v>
      </c>
      <c r="K149" s="36">
        <v>45155</v>
      </c>
      <c r="L149" s="36">
        <v>45159</v>
      </c>
      <c r="M149" t="s">
        <v>598</v>
      </c>
      <c r="N149" t="s">
        <v>608</v>
      </c>
      <c r="O149" s="37" t="str">
        <f t="shared" si="13"/>
        <v>Cash Payment</v>
      </c>
      <c r="P149">
        <v>248.9</v>
      </c>
      <c r="Q149" s="37" t="str">
        <f>IF(P149&gt;500,"High","low")</f>
        <v>low</v>
      </c>
      <c r="R149" s="37" t="str">
        <f t="shared" si="14"/>
        <v>AVERAGE</v>
      </c>
      <c r="S149" t="s">
        <v>609</v>
      </c>
    </row>
    <row r="150" spans="1:19" x14ac:dyDescent="0.2">
      <c r="A150" t="s">
        <v>761</v>
      </c>
      <c r="B150" t="s">
        <v>75</v>
      </c>
      <c r="C150" t="s">
        <v>617</v>
      </c>
      <c r="D150">
        <v>2135.9299999999998</v>
      </c>
      <c r="E150" s="37" t="str">
        <f t="shared" si="10"/>
        <v xml:space="preserve"> </v>
      </c>
      <c r="F150">
        <v>0.02</v>
      </c>
      <c r="G150" s="37" t="str">
        <f t="shared" si="11"/>
        <v>Normal Discount</v>
      </c>
      <c r="H150" s="37" t="str">
        <f t="shared" si="12"/>
        <v>Low</v>
      </c>
      <c r="I150">
        <v>1</v>
      </c>
      <c r="J150" t="str" cm="1">
        <f t="array" ref="J150">_xlfn.IFS(I150&lt;=3,"small",I150&lt;=6,"Medium",I150&lt;=9,"Large")</f>
        <v>small</v>
      </c>
      <c r="K150" s="36">
        <v>45470</v>
      </c>
      <c r="L150" s="36">
        <v>45474</v>
      </c>
      <c r="M150" t="s">
        <v>612</v>
      </c>
      <c r="N150" t="s">
        <v>608</v>
      </c>
      <c r="O150" s="37" t="str">
        <f t="shared" si="13"/>
        <v>Cash Payment</v>
      </c>
      <c r="P150">
        <v>394.17</v>
      </c>
      <c r="Q150" s="37" t="str">
        <f>IF(P150&gt;500,"High","low")</f>
        <v>low</v>
      </c>
      <c r="R150" s="37" t="str">
        <f t="shared" si="14"/>
        <v>AVERAGE</v>
      </c>
      <c r="S150" t="s">
        <v>628</v>
      </c>
    </row>
    <row r="151" spans="1:19" x14ac:dyDescent="0.2">
      <c r="A151" t="s">
        <v>762</v>
      </c>
      <c r="B151" t="s">
        <v>67</v>
      </c>
      <c r="C151" t="s">
        <v>607</v>
      </c>
      <c r="D151">
        <v>4451.99</v>
      </c>
      <c r="E151" s="37" t="str">
        <f t="shared" si="10"/>
        <v>Excellent Order</v>
      </c>
      <c r="F151">
        <v>0.17</v>
      </c>
      <c r="G151" s="37" t="str">
        <f t="shared" si="11"/>
        <v>Normal Discount</v>
      </c>
      <c r="H151" s="37" t="str">
        <f t="shared" si="12"/>
        <v>Low</v>
      </c>
      <c r="I151">
        <v>5</v>
      </c>
      <c r="J151" t="str" cm="1">
        <f t="array" ref="J151">_xlfn.IFS(I151&lt;=3,"small",I151&lt;=6,"Medium",I151&lt;=9,"Large")</f>
        <v>Medium</v>
      </c>
      <c r="K151" s="36">
        <v>45005</v>
      </c>
      <c r="L151" s="36">
        <v>45010</v>
      </c>
      <c r="M151" t="s">
        <v>603</v>
      </c>
      <c r="N151" t="s">
        <v>604</v>
      </c>
      <c r="O151" s="37" t="str">
        <f t="shared" si="13"/>
        <v>Digital Payment</v>
      </c>
      <c r="P151">
        <v>1205.9000000000001</v>
      </c>
      <c r="Q151" s="37" t="str">
        <f>IF(P151&gt;500,"High","low")</f>
        <v>High</v>
      </c>
      <c r="R151" s="37" t="str">
        <f t="shared" si="14"/>
        <v>Excellent</v>
      </c>
      <c r="S151" t="s">
        <v>600</v>
      </c>
    </row>
    <row r="152" spans="1:19" x14ac:dyDescent="0.2">
      <c r="A152" t="s">
        <v>763</v>
      </c>
      <c r="B152" t="s">
        <v>90</v>
      </c>
      <c r="C152" t="s">
        <v>614</v>
      </c>
      <c r="D152">
        <v>1898.45</v>
      </c>
      <c r="E152" s="37" t="str">
        <f t="shared" si="10"/>
        <v xml:space="preserve"> </v>
      </c>
      <c r="F152">
        <v>0.03</v>
      </c>
      <c r="G152" s="37" t="str">
        <f t="shared" si="11"/>
        <v>Normal Discount</v>
      </c>
      <c r="H152" s="37" t="str">
        <f t="shared" si="12"/>
        <v>Low</v>
      </c>
      <c r="I152">
        <v>2</v>
      </c>
      <c r="J152" t="str" cm="1">
        <f t="array" ref="J152">_xlfn.IFS(I152&lt;=3,"small",I152&lt;=6,"Medium",I152&lt;=9,"Large")</f>
        <v>small</v>
      </c>
      <c r="K152" s="36">
        <v>44982</v>
      </c>
      <c r="L152" s="36">
        <v>44987</v>
      </c>
      <c r="M152" t="s">
        <v>603</v>
      </c>
      <c r="N152" t="s">
        <v>604</v>
      </c>
      <c r="O152" s="37" t="str">
        <f t="shared" si="13"/>
        <v>Digital Payment</v>
      </c>
      <c r="P152">
        <v>408.16</v>
      </c>
      <c r="Q152" s="37" t="str">
        <f>IF(P152&gt;500,"High","low")</f>
        <v>low</v>
      </c>
      <c r="R152" s="37" t="str">
        <f t="shared" si="14"/>
        <v>AVERAGE</v>
      </c>
      <c r="S152" t="s">
        <v>605</v>
      </c>
    </row>
    <row r="153" spans="1:19" x14ac:dyDescent="0.2">
      <c r="A153" t="s">
        <v>764</v>
      </c>
      <c r="B153" t="s">
        <v>90</v>
      </c>
      <c r="C153" t="s">
        <v>607</v>
      </c>
      <c r="D153">
        <v>4309.92</v>
      </c>
      <c r="E153" s="37" t="str">
        <f t="shared" si="10"/>
        <v xml:space="preserve"> </v>
      </c>
      <c r="F153">
        <v>0.06</v>
      </c>
      <c r="G153" s="37" t="str">
        <f t="shared" si="11"/>
        <v>Normal Discount</v>
      </c>
      <c r="H153" s="37" t="str">
        <f t="shared" si="12"/>
        <v>Low</v>
      </c>
      <c r="I153">
        <v>2</v>
      </c>
      <c r="J153" t="str" cm="1">
        <f t="array" ref="J153">_xlfn.IFS(I153&lt;=3,"small",I153&lt;=6,"Medium",I153&lt;=9,"Large")</f>
        <v>small</v>
      </c>
      <c r="K153" s="36">
        <v>44980</v>
      </c>
      <c r="L153" s="36">
        <v>44983</v>
      </c>
      <c r="M153" t="s">
        <v>598</v>
      </c>
      <c r="N153" t="s">
        <v>604</v>
      </c>
      <c r="O153" s="37" t="str">
        <f t="shared" si="13"/>
        <v>Digital Payment</v>
      </c>
      <c r="P153">
        <v>617.32000000000005</v>
      </c>
      <c r="Q153" s="37" t="str">
        <f>IF(P153&gt;500,"High","low")</f>
        <v>High</v>
      </c>
      <c r="R153" s="37" t="str">
        <f t="shared" si="14"/>
        <v>Good</v>
      </c>
      <c r="S153" t="s">
        <v>615</v>
      </c>
    </row>
    <row r="154" spans="1:19" x14ac:dyDescent="0.2">
      <c r="A154" t="s">
        <v>765</v>
      </c>
      <c r="B154" t="s">
        <v>75</v>
      </c>
      <c r="C154" t="s">
        <v>602</v>
      </c>
      <c r="D154">
        <v>1615.04</v>
      </c>
      <c r="E154" s="37" t="str">
        <f t="shared" si="10"/>
        <v xml:space="preserve"> </v>
      </c>
      <c r="F154">
        <v>0.05</v>
      </c>
      <c r="G154" s="37" t="str">
        <f t="shared" si="11"/>
        <v>Normal Discount</v>
      </c>
      <c r="H154" s="37" t="str">
        <f t="shared" si="12"/>
        <v>Low</v>
      </c>
      <c r="I154">
        <v>3</v>
      </c>
      <c r="J154" t="str" cm="1">
        <f t="array" ref="J154">_xlfn.IFS(I154&lt;=3,"small",I154&lt;=6,"Medium",I154&lt;=9,"Large")</f>
        <v>small</v>
      </c>
      <c r="K154" s="36">
        <v>45340</v>
      </c>
      <c r="L154" s="36">
        <v>45342</v>
      </c>
      <c r="M154" t="s">
        <v>603</v>
      </c>
      <c r="N154" t="s">
        <v>599</v>
      </c>
      <c r="O154" s="37" t="str">
        <f t="shared" si="13"/>
        <v>Digital Payment</v>
      </c>
      <c r="P154">
        <v>253.65</v>
      </c>
      <c r="Q154" s="37" t="str">
        <f>IF(P154&gt;500,"High","low")</f>
        <v>low</v>
      </c>
      <c r="R154" s="37" t="str">
        <f t="shared" si="14"/>
        <v>AVERAGE</v>
      </c>
      <c r="S154" t="s">
        <v>615</v>
      </c>
    </row>
    <row r="155" spans="1:19" x14ac:dyDescent="0.2">
      <c r="A155" t="s">
        <v>766</v>
      </c>
      <c r="B155" t="s">
        <v>90</v>
      </c>
      <c r="C155" t="s">
        <v>597</v>
      </c>
      <c r="D155">
        <v>2704.37</v>
      </c>
      <c r="E155" s="37" t="str">
        <f t="shared" si="10"/>
        <v xml:space="preserve"> </v>
      </c>
      <c r="F155">
        <v>0.08</v>
      </c>
      <c r="G155" s="37" t="str">
        <f t="shared" si="11"/>
        <v>Normal Discount</v>
      </c>
      <c r="H155" s="37" t="str">
        <f t="shared" si="12"/>
        <v>Low</v>
      </c>
      <c r="I155">
        <v>7</v>
      </c>
      <c r="J155" t="str" cm="1">
        <f t="array" ref="J155">_xlfn.IFS(I155&lt;=3,"small",I155&lt;=6,"Medium",I155&lt;=9,"Large")</f>
        <v>Large</v>
      </c>
      <c r="K155" s="36">
        <v>45399</v>
      </c>
      <c r="L155" s="36">
        <v>45405</v>
      </c>
      <c r="M155" t="s">
        <v>603</v>
      </c>
      <c r="N155" t="s">
        <v>599</v>
      </c>
      <c r="O155" s="37" t="str">
        <f t="shared" si="13"/>
        <v>Digital Payment</v>
      </c>
      <c r="P155">
        <v>742.76</v>
      </c>
      <c r="Q155" s="37" t="str">
        <f>IF(P155&gt;500,"High","low")</f>
        <v>High</v>
      </c>
      <c r="R155" s="37" t="str">
        <f t="shared" si="14"/>
        <v>Good</v>
      </c>
      <c r="S155" t="s">
        <v>600</v>
      </c>
    </row>
    <row r="156" spans="1:19" x14ac:dyDescent="0.2">
      <c r="A156" t="s">
        <v>767</v>
      </c>
      <c r="B156" t="s">
        <v>75</v>
      </c>
      <c r="C156" t="s">
        <v>597</v>
      </c>
      <c r="D156">
        <v>804.72</v>
      </c>
      <c r="E156" s="37" t="str">
        <f t="shared" si="10"/>
        <v xml:space="preserve"> </v>
      </c>
      <c r="F156">
        <v>0.41</v>
      </c>
      <c r="G156" s="37" t="str">
        <f t="shared" si="11"/>
        <v>Heavy Discount</v>
      </c>
      <c r="H156" s="37" t="str">
        <f t="shared" si="12"/>
        <v>High</v>
      </c>
      <c r="I156">
        <v>2</v>
      </c>
      <c r="J156" t="str" cm="1">
        <f t="array" ref="J156">_xlfn.IFS(I156&lt;=3,"small",I156&lt;=6,"Medium",I156&lt;=9,"Large")</f>
        <v>small</v>
      </c>
      <c r="K156" s="36">
        <v>45458</v>
      </c>
      <c r="L156" s="36">
        <v>45460</v>
      </c>
      <c r="M156" t="s">
        <v>603</v>
      </c>
      <c r="N156" t="s">
        <v>599</v>
      </c>
      <c r="O156" s="37" t="str">
        <f t="shared" si="13"/>
        <v>Digital Payment</v>
      </c>
      <c r="P156">
        <v>182.68</v>
      </c>
      <c r="Q156" s="37" t="str">
        <f>IF(P156&gt;500,"High","low")</f>
        <v>low</v>
      </c>
      <c r="R156" s="37" t="str">
        <f t="shared" si="14"/>
        <v>AVERAGE</v>
      </c>
      <c r="S156" t="s">
        <v>628</v>
      </c>
    </row>
    <row r="157" spans="1:19" x14ac:dyDescent="0.2">
      <c r="A157" t="s">
        <v>768</v>
      </c>
      <c r="B157" t="s">
        <v>83</v>
      </c>
      <c r="C157" t="s">
        <v>607</v>
      </c>
      <c r="D157">
        <v>4142.6499999999996</v>
      </c>
      <c r="E157" s="37" t="str">
        <f t="shared" si="10"/>
        <v xml:space="preserve"> </v>
      </c>
      <c r="F157">
        <v>0.31</v>
      </c>
      <c r="G157" s="37" t="str">
        <f t="shared" si="11"/>
        <v>Heavy Discount</v>
      </c>
      <c r="H157" s="37" t="str">
        <f t="shared" si="12"/>
        <v>Medium</v>
      </c>
      <c r="I157">
        <v>4</v>
      </c>
      <c r="J157" t="str" cm="1">
        <f t="array" ref="J157">_xlfn.IFS(I157&lt;=3,"small",I157&lt;=6,"Medium",I157&lt;=9,"Large")</f>
        <v>Medium</v>
      </c>
      <c r="K157" s="36">
        <v>45128</v>
      </c>
      <c r="L157" s="36">
        <v>45129</v>
      </c>
      <c r="M157" t="s">
        <v>598</v>
      </c>
      <c r="N157" t="s">
        <v>608</v>
      </c>
      <c r="O157" s="37" t="str">
        <f t="shared" si="13"/>
        <v>Cash Payment</v>
      </c>
      <c r="P157">
        <v>735.37</v>
      </c>
      <c r="Q157" s="37" t="str">
        <f>IF(P157&gt;500,"High","low")</f>
        <v>High</v>
      </c>
      <c r="R157" s="37" t="str">
        <f t="shared" si="14"/>
        <v>Good</v>
      </c>
      <c r="S157" t="s">
        <v>628</v>
      </c>
    </row>
    <row r="158" spans="1:19" x14ac:dyDescent="0.2">
      <c r="A158" t="s">
        <v>769</v>
      </c>
      <c r="B158" t="s">
        <v>90</v>
      </c>
      <c r="C158" t="s">
        <v>614</v>
      </c>
      <c r="D158">
        <v>3706.28</v>
      </c>
      <c r="E158" s="37" t="str">
        <f t="shared" si="10"/>
        <v xml:space="preserve"> </v>
      </c>
      <c r="F158">
        <v>0.25</v>
      </c>
      <c r="G158" s="37" t="str">
        <f t="shared" si="11"/>
        <v>Normal Discount</v>
      </c>
      <c r="H158" s="37" t="str">
        <f t="shared" si="12"/>
        <v>Medium</v>
      </c>
      <c r="I158">
        <v>4</v>
      </c>
      <c r="J158" t="str" cm="1">
        <f t="array" ref="J158">_xlfn.IFS(I158&lt;=3,"small",I158&lt;=6,"Medium",I158&lt;=9,"Large")</f>
        <v>Medium</v>
      </c>
      <c r="K158" s="36">
        <v>45149</v>
      </c>
      <c r="L158" s="36">
        <v>45156</v>
      </c>
      <c r="M158" t="s">
        <v>598</v>
      </c>
      <c r="N158" t="s">
        <v>599</v>
      </c>
      <c r="O158" s="37" t="str">
        <f t="shared" si="13"/>
        <v>Digital Payment</v>
      </c>
      <c r="P158">
        <v>813.65</v>
      </c>
      <c r="Q158" s="37" t="str">
        <f>IF(P158&gt;500,"High","low")</f>
        <v>High</v>
      </c>
      <c r="R158" s="37" t="str">
        <f t="shared" si="14"/>
        <v>Good</v>
      </c>
      <c r="S158" t="s">
        <v>605</v>
      </c>
    </row>
    <row r="159" spans="1:19" x14ac:dyDescent="0.2">
      <c r="A159" t="s">
        <v>770</v>
      </c>
      <c r="B159" t="s">
        <v>83</v>
      </c>
      <c r="C159" t="s">
        <v>597</v>
      </c>
      <c r="D159">
        <v>2697.46</v>
      </c>
      <c r="E159" s="37" t="str">
        <f t="shared" si="10"/>
        <v xml:space="preserve"> </v>
      </c>
      <c r="F159">
        <v>0.37</v>
      </c>
      <c r="G159" s="37" t="str">
        <f t="shared" si="11"/>
        <v>Heavy Discount</v>
      </c>
      <c r="H159" s="37" t="str">
        <f t="shared" si="12"/>
        <v>Medium</v>
      </c>
      <c r="I159">
        <v>1</v>
      </c>
      <c r="J159" t="str" cm="1">
        <f t="array" ref="J159">_xlfn.IFS(I159&lt;=3,"small",I159&lt;=6,"Medium",I159&lt;=9,"Large")</f>
        <v>small</v>
      </c>
      <c r="K159" s="36">
        <v>45055</v>
      </c>
      <c r="L159" s="36">
        <v>45058</v>
      </c>
      <c r="M159" t="s">
        <v>603</v>
      </c>
      <c r="N159" t="s">
        <v>608</v>
      </c>
      <c r="O159" s="37" t="str">
        <f t="shared" si="13"/>
        <v>Cash Payment</v>
      </c>
      <c r="P159">
        <v>597.1</v>
      </c>
      <c r="Q159" s="37" t="str">
        <f>IF(P159&gt;500,"High","low")</f>
        <v>High</v>
      </c>
      <c r="R159" s="37" t="str">
        <f t="shared" si="14"/>
        <v>Good</v>
      </c>
      <c r="S159" t="s">
        <v>628</v>
      </c>
    </row>
    <row r="160" spans="1:19" x14ac:dyDescent="0.2">
      <c r="A160" t="s">
        <v>771</v>
      </c>
      <c r="B160" t="s">
        <v>75</v>
      </c>
      <c r="C160" t="s">
        <v>607</v>
      </c>
      <c r="D160">
        <v>226.92</v>
      </c>
      <c r="E160" s="37" t="str">
        <f t="shared" si="10"/>
        <v xml:space="preserve"> </v>
      </c>
      <c r="F160">
        <v>0.48</v>
      </c>
      <c r="G160" s="37" t="str">
        <f t="shared" si="11"/>
        <v>Heavy Discount</v>
      </c>
      <c r="H160" s="37" t="str">
        <f t="shared" si="12"/>
        <v>High</v>
      </c>
      <c r="I160">
        <v>7</v>
      </c>
      <c r="J160" t="str" cm="1">
        <f t="array" ref="J160">_xlfn.IFS(I160&lt;=3,"small",I160&lt;=6,"Medium",I160&lt;=9,"Large")</f>
        <v>Large</v>
      </c>
      <c r="K160" s="36">
        <v>45256</v>
      </c>
      <c r="L160" s="36">
        <v>45262</v>
      </c>
      <c r="M160" t="s">
        <v>598</v>
      </c>
      <c r="N160" t="s">
        <v>599</v>
      </c>
      <c r="O160" s="37" t="str">
        <f t="shared" si="13"/>
        <v>Digital Payment</v>
      </c>
      <c r="P160">
        <v>43.53</v>
      </c>
      <c r="Q160" s="37" t="str">
        <f>IF(P160&gt;500,"High","low")</f>
        <v>low</v>
      </c>
      <c r="R160" s="37" t="str">
        <f t="shared" si="14"/>
        <v>AVERAGE</v>
      </c>
      <c r="S160" t="s">
        <v>600</v>
      </c>
    </row>
    <row r="161" spans="1:19" x14ac:dyDescent="0.2">
      <c r="A161" t="s">
        <v>772</v>
      </c>
      <c r="B161" t="s">
        <v>67</v>
      </c>
      <c r="C161" t="s">
        <v>614</v>
      </c>
      <c r="D161">
        <v>2458.16</v>
      </c>
      <c r="E161" s="37" t="str">
        <f t="shared" si="10"/>
        <v xml:space="preserve"> </v>
      </c>
      <c r="F161">
        <v>0.21</v>
      </c>
      <c r="G161" s="37" t="str">
        <f t="shared" si="11"/>
        <v>Normal Discount</v>
      </c>
      <c r="H161" s="37" t="str">
        <f t="shared" si="12"/>
        <v>Medium</v>
      </c>
      <c r="I161">
        <v>4</v>
      </c>
      <c r="J161" t="str" cm="1">
        <f t="array" ref="J161">_xlfn.IFS(I161&lt;=3,"small",I161&lt;=6,"Medium",I161&lt;=9,"Large")</f>
        <v>Medium</v>
      </c>
      <c r="K161" s="36">
        <v>45584</v>
      </c>
      <c r="L161" s="36">
        <v>45585</v>
      </c>
      <c r="M161" t="s">
        <v>603</v>
      </c>
      <c r="N161" t="s">
        <v>608</v>
      </c>
      <c r="O161" s="37" t="str">
        <f t="shared" si="13"/>
        <v>Cash Payment</v>
      </c>
      <c r="P161">
        <v>508.56</v>
      </c>
      <c r="Q161" s="37" t="str">
        <f>IF(P161&gt;500,"High","low")</f>
        <v>High</v>
      </c>
      <c r="R161" s="37" t="str">
        <f t="shared" si="14"/>
        <v>Good</v>
      </c>
      <c r="S161" t="s">
        <v>605</v>
      </c>
    </row>
    <row r="162" spans="1:19" x14ac:dyDescent="0.2">
      <c r="A162" t="s">
        <v>773</v>
      </c>
      <c r="B162" t="s">
        <v>90</v>
      </c>
      <c r="C162" t="s">
        <v>607</v>
      </c>
      <c r="D162">
        <v>1203.46</v>
      </c>
      <c r="E162" s="37" t="str">
        <f t="shared" si="10"/>
        <v xml:space="preserve"> </v>
      </c>
      <c r="F162">
        <v>0.18</v>
      </c>
      <c r="G162" s="37" t="str">
        <f t="shared" si="11"/>
        <v>Normal Discount</v>
      </c>
      <c r="H162" s="37" t="str">
        <f t="shared" si="12"/>
        <v>Low</v>
      </c>
      <c r="I162">
        <v>1</v>
      </c>
      <c r="J162" t="str" cm="1">
        <f t="array" ref="J162">_xlfn.IFS(I162&lt;=3,"small",I162&lt;=6,"Medium",I162&lt;=9,"Large")</f>
        <v>small</v>
      </c>
      <c r="K162" s="36">
        <v>45367</v>
      </c>
      <c r="L162" s="36">
        <v>45372</v>
      </c>
      <c r="M162" t="s">
        <v>612</v>
      </c>
      <c r="N162" t="s">
        <v>608</v>
      </c>
      <c r="O162" s="37" t="str">
        <f t="shared" si="13"/>
        <v>Cash Payment</v>
      </c>
      <c r="P162">
        <v>166.4</v>
      </c>
      <c r="Q162" s="37" t="str">
        <f>IF(P162&gt;500,"High","low")</f>
        <v>low</v>
      </c>
      <c r="R162" s="37" t="str">
        <f t="shared" si="14"/>
        <v>AVERAGE</v>
      </c>
      <c r="S162" t="s">
        <v>605</v>
      </c>
    </row>
    <row r="163" spans="1:19" x14ac:dyDescent="0.2">
      <c r="A163" t="s">
        <v>774</v>
      </c>
      <c r="B163" t="s">
        <v>75</v>
      </c>
      <c r="C163" t="s">
        <v>614</v>
      </c>
      <c r="D163">
        <v>2125.5300000000002</v>
      </c>
      <c r="E163" s="37" t="str">
        <f t="shared" si="10"/>
        <v xml:space="preserve"> </v>
      </c>
      <c r="F163">
        <v>0.49</v>
      </c>
      <c r="G163" s="37" t="str">
        <f t="shared" si="11"/>
        <v>Heavy Discount</v>
      </c>
      <c r="H163" s="37" t="str">
        <f t="shared" si="12"/>
        <v>High</v>
      </c>
      <c r="I163">
        <v>3</v>
      </c>
      <c r="J163" t="str" cm="1">
        <f t="array" ref="J163">_xlfn.IFS(I163&lt;=3,"small",I163&lt;=6,"Medium",I163&lt;=9,"Large")</f>
        <v>small</v>
      </c>
      <c r="K163" s="36">
        <v>45054</v>
      </c>
      <c r="L163" s="36">
        <v>45058</v>
      </c>
      <c r="M163" t="s">
        <v>612</v>
      </c>
      <c r="N163" t="s">
        <v>604</v>
      </c>
      <c r="O163" s="37" t="str">
        <f t="shared" si="13"/>
        <v>Digital Payment</v>
      </c>
      <c r="P163">
        <v>292.08</v>
      </c>
      <c r="Q163" s="37" t="str">
        <f>IF(P163&gt;500,"High","low")</f>
        <v>low</v>
      </c>
      <c r="R163" s="37" t="str">
        <f t="shared" si="14"/>
        <v>AVERAGE</v>
      </c>
      <c r="S163" t="s">
        <v>609</v>
      </c>
    </row>
    <row r="164" spans="1:19" x14ac:dyDescent="0.2">
      <c r="A164" t="s">
        <v>775</v>
      </c>
      <c r="B164" t="s">
        <v>67</v>
      </c>
      <c r="C164" t="s">
        <v>617</v>
      </c>
      <c r="D164">
        <v>4296.49</v>
      </c>
      <c r="E164" s="37" t="str">
        <f t="shared" si="10"/>
        <v xml:space="preserve"> </v>
      </c>
      <c r="F164">
        <v>0.39</v>
      </c>
      <c r="G164" s="37" t="str">
        <f t="shared" si="11"/>
        <v>Heavy Discount</v>
      </c>
      <c r="H164" s="37" t="str">
        <f t="shared" si="12"/>
        <v>Medium</v>
      </c>
      <c r="I164">
        <v>8</v>
      </c>
      <c r="J164" t="str" cm="1">
        <f t="array" ref="J164">_xlfn.IFS(I164&lt;=3,"small",I164&lt;=6,"Medium",I164&lt;=9,"Large")</f>
        <v>Large</v>
      </c>
      <c r="K164" s="36">
        <v>45067</v>
      </c>
      <c r="L164" s="36">
        <v>45074</v>
      </c>
      <c r="M164" t="s">
        <v>603</v>
      </c>
      <c r="N164" t="s">
        <v>599</v>
      </c>
      <c r="O164" s="37" t="str">
        <f t="shared" si="13"/>
        <v>Digital Payment</v>
      </c>
      <c r="P164">
        <v>579.12</v>
      </c>
      <c r="Q164" s="37" t="str">
        <f>IF(P164&gt;500,"High","low")</f>
        <v>High</v>
      </c>
      <c r="R164" s="37" t="str">
        <f t="shared" si="14"/>
        <v>Good</v>
      </c>
      <c r="S164" t="s">
        <v>600</v>
      </c>
    </row>
    <row r="165" spans="1:19" x14ac:dyDescent="0.2">
      <c r="A165" t="s">
        <v>776</v>
      </c>
      <c r="B165" t="s">
        <v>67</v>
      </c>
      <c r="C165" t="s">
        <v>614</v>
      </c>
      <c r="D165">
        <v>3871.06</v>
      </c>
      <c r="E165" s="37" t="str">
        <f t="shared" si="10"/>
        <v xml:space="preserve"> </v>
      </c>
      <c r="F165">
        <v>0.39</v>
      </c>
      <c r="G165" s="37" t="str">
        <f t="shared" si="11"/>
        <v>Heavy Discount</v>
      </c>
      <c r="H165" s="37" t="str">
        <f t="shared" si="12"/>
        <v>Medium</v>
      </c>
      <c r="I165">
        <v>4</v>
      </c>
      <c r="J165" t="str" cm="1">
        <f t="array" ref="J165">_xlfn.IFS(I165&lt;=3,"small",I165&lt;=6,"Medium",I165&lt;=9,"Large")</f>
        <v>Medium</v>
      </c>
      <c r="K165" s="36">
        <v>45396</v>
      </c>
      <c r="L165" s="36">
        <v>45403</v>
      </c>
      <c r="M165" t="s">
        <v>612</v>
      </c>
      <c r="N165" t="s">
        <v>604</v>
      </c>
      <c r="O165" s="37" t="str">
        <f t="shared" si="13"/>
        <v>Digital Payment</v>
      </c>
      <c r="P165">
        <v>230.99</v>
      </c>
      <c r="Q165" s="37" t="str">
        <f>IF(P165&gt;500,"High","low")</f>
        <v>low</v>
      </c>
      <c r="R165" s="37" t="str">
        <f t="shared" si="14"/>
        <v>AVERAGE</v>
      </c>
      <c r="S165" t="s">
        <v>615</v>
      </c>
    </row>
    <row r="166" spans="1:19" x14ac:dyDescent="0.2">
      <c r="A166" t="s">
        <v>777</v>
      </c>
      <c r="B166" t="s">
        <v>83</v>
      </c>
      <c r="C166" t="s">
        <v>602</v>
      </c>
      <c r="D166">
        <v>1285.57</v>
      </c>
      <c r="E166" s="37" t="str">
        <f t="shared" si="10"/>
        <v xml:space="preserve"> </v>
      </c>
      <c r="F166">
        <v>0.3</v>
      </c>
      <c r="G166" s="37" t="str">
        <f t="shared" si="11"/>
        <v>Normal Discount</v>
      </c>
      <c r="H166" s="37" t="str">
        <f t="shared" si="12"/>
        <v>Medium</v>
      </c>
      <c r="I166">
        <v>1</v>
      </c>
      <c r="J166" t="str" cm="1">
        <f t="array" ref="J166">_xlfn.IFS(I166&lt;=3,"small",I166&lt;=6,"Medium",I166&lt;=9,"Large")</f>
        <v>small</v>
      </c>
      <c r="K166" s="36">
        <v>45508</v>
      </c>
      <c r="L166" s="36">
        <v>45509</v>
      </c>
      <c r="M166" t="s">
        <v>612</v>
      </c>
      <c r="N166" t="s">
        <v>608</v>
      </c>
      <c r="O166" s="37" t="str">
        <f t="shared" si="13"/>
        <v>Cash Payment</v>
      </c>
      <c r="P166">
        <v>330.45</v>
      </c>
      <c r="Q166" s="37" t="str">
        <f>IF(P166&gt;500,"High","low")</f>
        <v>low</v>
      </c>
      <c r="R166" s="37" t="str">
        <f t="shared" si="14"/>
        <v>AVERAGE</v>
      </c>
      <c r="S166" t="s">
        <v>628</v>
      </c>
    </row>
    <row r="167" spans="1:19" x14ac:dyDescent="0.2">
      <c r="A167" t="s">
        <v>778</v>
      </c>
      <c r="B167" t="s">
        <v>75</v>
      </c>
      <c r="C167" t="s">
        <v>617</v>
      </c>
      <c r="D167">
        <v>4926.2700000000004</v>
      </c>
      <c r="E167" s="37" t="str">
        <f t="shared" si="10"/>
        <v xml:space="preserve"> </v>
      </c>
      <c r="F167">
        <v>0.25</v>
      </c>
      <c r="G167" s="37" t="str">
        <f t="shared" si="11"/>
        <v>Normal Discount</v>
      </c>
      <c r="H167" s="37" t="str">
        <f t="shared" si="12"/>
        <v>Medium</v>
      </c>
      <c r="I167">
        <v>7</v>
      </c>
      <c r="J167" t="str" cm="1">
        <f t="array" ref="J167">_xlfn.IFS(I167&lt;=3,"small",I167&lt;=6,"Medium",I167&lt;=9,"Large")</f>
        <v>Large</v>
      </c>
      <c r="K167" s="36">
        <v>45087</v>
      </c>
      <c r="L167" s="36">
        <v>45088</v>
      </c>
      <c r="M167" t="s">
        <v>612</v>
      </c>
      <c r="N167" t="s">
        <v>608</v>
      </c>
      <c r="O167" s="37" t="str">
        <f t="shared" si="13"/>
        <v>Cash Payment</v>
      </c>
      <c r="P167">
        <v>440.26</v>
      </c>
      <c r="Q167" s="37" t="str">
        <f>IF(P167&gt;500,"High","low")</f>
        <v>low</v>
      </c>
      <c r="R167" s="37" t="str">
        <f t="shared" si="14"/>
        <v>AVERAGE</v>
      </c>
      <c r="S167" t="s">
        <v>628</v>
      </c>
    </row>
    <row r="168" spans="1:19" x14ac:dyDescent="0.2">
      <c r="A168" t="s">
        <v>779</v>
      </c>
      <c r="B168" t="s">
        <v>67</v>
      </c>
      <c r="C168" t="s">
        <v>607</v>
      </c>
      <c r="D168">
        <v>4525.7299999999996</v>
      </c>
      <c r="E168" s="37" t="str">
        <f t="shared" si="10"/>
        <v xml:space="preserve"> </v>
      </c>
      <c r="F168">
        <v>0.28000000000000003</v>
      </c>
      <c r="G168" s="37" t="str">
        <f t="shared" si="11"/>
        <v>Normal Discount</v>
      </c>
      <c r="H168" s="37" t="str">
        <f t="shared" si="12"/>
        <v>Medium</v>
      </c>
      <c r="I168">
        <v>8</v>
      </c>
      <c r="J168" t="str" cm="1">
        <f t="array" ref="J168">_xlfn.IFS(I168&lt;=3,"small",I168&lt;=6,"Medium",I168&lt;=9,"Large")</f>
        <v>Large</v>
      </c>
      <c r="K168" s="36">
        <v>45375</v>
      </c>
      <c r="L168" s="36">
        <v>45380</v>
      </c>
      <c r="M168" t="s">
        <v>603</v>
      </c>
      <c r="N168" t="s">
        <v>599</v>
      </c>
      <c r="O168" s="37" t="str">
        <f t="shared" si="13"/>
        <v>Digital Payment</v>
      </c>
      <c r="P168">
        <v>332.86</v>
      </c>
      <c r="Q168" s="37" t="str">
        <f>IF(P168&gt;500,"High","low")</f>
        <v>low</v>
      </c>
      <c r="R168" s="37" t="str">
        <f t="shared" si="14"/>
        <v>AVERAGE</v>
      </c>
      <c r="S168" t="s">
        <v>615</v>
      </c>
    </row>
    <row r="169" spans="1:19" x14ac:dyDescent="0.2">
      <c r="A169" t="s">
        <v>780</v>
      </c>
      <c r="B169" t="s">
        <v>90</v>
      </c>
      <c r="C169" t="s">
        <v>617</v>
      </c>
      <c r="D169">
        <v>2690.5</v>
      </c>
      <c r="E169" s="37" t="str">
        <f t="shared" si="10"/>
        <v xml:space="preserve"> </v>
      </c>
      <c r="F169">
        <v>0.33</v>
      </c>
      <c r="G169" s="37" t="str">
        <f t="shared" si="11"/>
        <v>Heavy Discount</v>
      </c>
      <c r="H169" s="37" t="str">
        <f t="shared" si="12"/>
        <v>Medium</v>
      </c>
      <c r="I169">
        <v>5</v>
      </c>
      <c r="J169" t="str" cm="1">
        <f t="array" ref="J169">_xlfn.IFS(I169&lt;=3,"small",I169&lt;=6,"Medium",I169&lt;=9,"Large")</f>
        <v>Medium</v>
      </c>
      <c r="K169" s="36">
        <v>45441</v>
      </c>
      <c r="L169" s="36">
        <v>45444</v>
      </c>
      <c r="M169" t="s">
        <v>598</v>
      </c>
      <c r="N169" t="s">
        <v>608</v>
      </c>
      <c r="O169" s="37" t="str">
        <f t="shared" si="13"/>
        <v>Cash Payment</v>
      </c>
      <c r="P169">
        <v>418.96</v>
      </c>
      <c r="Q169" s="37" t="str">
        <f>IF(P169&gt;500,"High","low")</f>
        <v>low</v>
      </c>
      <c r="R169" s="37" t="str">
        <f t="shared" si="14"/>
        <v>AVERAGE</v>
      </c>
      <c r="S169" t="s">
        <v>620</v>
      </c>
    </row>
    <row r="170" spans="1:19" x14ac:dyDescent="0.2">
      <c r="A170" t="s">
        <v>781</v>
      </c>
      <c r="B170" t="s">
        <v>90</v>
      </c>
      <c r="C170" t="s">
        <v>617</v>
      </c>
      <c r="D170">
        <v>2697.74</v>
      </c>
      <c r="E170" s="37" t="str">
        <f t="shared" si="10"/>
        <v xml:space="preserve"> </v>
      </c>
      <c r="F170">
        <v>0.19</v>
      </c>
      <c r="G170" s="37" t="str">
        <f t="shared" si="11"/>
        <v>Normal Discount</v>
      </c>
      <c r="H170" s="37" t="str">
        <f t="shared" si="12"/>
        <v>Low</v>
      </c>
      <c r="I170">
        <v>9</v>
      </c>
      <c r="J170" t="str" cm="1">
        <f t="array" ref="J170">_xlfn.IFS(I170&lt;=3,"small",I170&lt;=6,"Medium",I170&lt;=9,"Large")</f>
        <v>Large</v>
      </c>
      <c r="K170" s="36">
        <v>45315</v>
      </c>
      <c r="L170" s="36">
        <v>45319</v>
      </c>
      <c r="M170" t="s">
        <v>603</v>
      </c>
      <c r="N170" t="s">
        <v>599</v>
      </c>
      <c r="O170" s="37" t="str">
        <f t="shared" si="13"/>
        <v>Digital Payment</v>
      </c>
      <c r="P170">
        <v>458.18</v>
      </c>
      <c r="Q170" s="37" t="str">
        <f>IF(P170&gt;500,"High","low")</f>
        <v>low</v>
      </c>
      <c r="R170" s="37" t="str">
        <f t="shared" si="14"/>
        <v>AVERAGE</v>
      </c>
      <c r="S170" t="s">
        <v>600</v>
      </c>
    </row>
    <row r="171" spans="1:19" x14ac:dyDescent="0.2">
      <c r="A171" t="s">
        <v>782</v>
      </c>
      <c r="B171" t="s">
        <v>83</v>
      </c>
      <c r="C171" t="s">
        <v>607</v>
      </c>
      <c r="D171">
        <v>4516.2</v>
      </c>
      <c r="E171" s="37" t="str">
        <f t="shared" si="10"/>
        <v xml:space="preserve"> </v>
      </c>
      <c r="F171">
        <v>0.39</v>
      </c>
      <c r="G171" s="37" t="str">
        <f t="shared" si="11"/>
        <v>Heavy Discount</v>
      </c>
      <c r="H171" s="37" t="str">
        <f t="shared" si="12"/>
        <v>Medium</v>
      </c>
      <c r="I171">
        <v>7</v>
      </c>
      <c r="J171" t="str" cm="1">
        <f t="array" ref="J171">_xlfn.IFS(I171&lt;=3,"small",I171&lt;=6,"Medium",I171&lt;=9,"Large")</f>
        <v>Large</v>
      </c>
      <c r="K171" s="36">
        <v>45450</v>
      </c>
      <c r="L171" s="36">
        <v>45457</v>
      </c>
      <c r="M171" t="s">
        <v>603</v>
      </c>
      <c r="N171" t="s">
        <v>599</v>
      </c>
      <c r="O171" s="37" t="str">
        <f t="shared" si="13"/>
        <v>Digital Payment</v>
      </c>
      <c r="P171">
        <v>522.95000000000005</v>
      </c>
      <c r="Q171" s="37" t="str">
        <f>IF(P171&gt;500,"High","low")</f>
        <v>High</v>
      </c>
      <c r="R171" s="37" t="str">
        <f t="shared" si="14"/>
        <v>Good</v>
      </c>
      <c r="S171" t="s">
        <v>615</v>
      </c>
    </row>
    <row r="172" spans="1:19" x14ac:dyDescent="0.2">
      <c r="A172" t="s">
        <v>783</v>
      </c>
      <c r="B172" t="s">
        <v>67</v>
      </c>
      <c r="C172" t="s">
        <v>607</v>
      </c>
      <c r="D172">
        <v>3217.11</v>
      </c>
      <c r="E172" s="37" t="str">
        <f t="shared" si="10"/>
        <v xml:space="preserve"> </v>
      </c>
      <c r="F172">
        <v>0.45</v>
      </c>
      <c r="G172" s="37" t="str">
        <f t="shared" si="11"/>
        <v>Heavy Discount</v>
      </c>
      <c r="H172" s="37" t="str">
        <f t="shared" si="12"/>
        <v>High</v>
      </c>
      <c r="I172">
        <v>4</v>
      </c>
      <c r="J172" t="str" cm="1">
        <f t="array" ref="J172">_xlfn.IFS(I172&lt;=3,"small",I172&lt;=6,"Medium",I172&lt;=9,"Large")</f>
        <v>Medium</v>
      </c>
      <c r="K172" s="36">
        <v>45215</v>
      </c>
      <c r="L172" s="36">
        <v>45219</v>
      </c>
      <c r="M172" t="s">
        <v>598</v>
      </c>
      <c r="N172" t="s">
        <v>599</v>
      </c>
      <c r="O172" s="37" t="str">
        <f t="shared" si="13"/>
        <v>Digital Payment</v>
      </c>
      <c r="P172">
        <v>930.19</v>
      </c>
      <c r="Q172" s="37" t="str">
        <f>IF(P172&gt;500,"High","low")</f>
        <v>High</v>
      </c>
      <c r="R172" s="37" t="str">
        <f t="shared" si="14"/>
        <v>Good</v>
      </c>
      <c r="S172" t="s">
        <v>620</v>
      </c>
    </row>
    <row r="173" spans="1:19" x14ac:dyDescent="0.2">
      <c r="A173" t="s">
        <v>784</v>
      </c>
      <c r="B173" t="s">
        <v>75</v>
      </c>
      <c r="C173" t="s">
        <v>602</v>
      </c>
      <c r="D173">
        <v>2729.77</v>
      </c>
      <c r="E173" s="37" t="str">
        <f t="shared" si="10"/>
        <v xml:space="preserve"> </v>
      </c>
      <c r="F173">
        <v>0.28999999999999998</v>
      </c>
      <c r="G173" s="37" t="str">
        <f t="shared" si="11"/>
        <v>Normal Discount</v>
      </c>
      <c r="H173" s="37" t="str">
        <f t="shared" si="12"/>
        <v>Medium</v>
      </c>
      <c r="I173">
        <v>9</v>
      </c>
      <c r="J173" t="str" cm="1">
        <f t="array" ref="J173">_xlfn.IFS(I173&lt;=3,"small",I173&lt;=6,"Medium",I173&lt;=9,"Large")</f>
        <v>Large</v>
      </c>
      <c r="K173" s="36">
        <v>45415</v>
      </c>
      <c r="L173" s="36">
        <v>45418</v>
      </c>
      <c r="M173" t="s">
        <v>603</v>
      </c>
      <c r="N173" t="s">
        <v>604</v>
      </c>
      <c r="O173" s="37" t="str">
        <f t="shared" si="13"/>
        <v>Digital Payment</v>
      </c>
      <c r="P173">
        <v>250.2</v>
      </c>
      <c r="Q173" s="37" t="str">
        <f>IF(P173&gt;500,"High","low")</f>
        <v>low</v>
      </c>
      <c r="R173" s="37" t="str">
        <f t="shared" si="14"/>
        <v>AVERAGE</v>
      </c>
      <c r="S173" t="s">
        <v>620</v>
      </c>
    </row>
    <row r="174" spans="1:19" x14ac:dyDescent="0.2">
      <c r="A174" t="s">
        <v>785</v>
      </c>
      <c r="B174" t="s">
        <v>90</v>
      </c>
      <c r="C174" t="s">
        <v>607</v>
      </c>
      <c r="D174">
        <v>3770.83</v>
      </c>
      <c r="E174" s="37" t="str">
        <f t="shared" si="10"/>
        <v xml:space="preserve"> </v>
      </c>
      <c r="F174">
        <v>0.19</v>
      </c>
      <c r="G174" s="37" t="str">
        <f t="shared" si="11"/>
        <v>Normal Discount</v>
      </c>
      <c r="H174" s="37" t="str">
        <f t="shared" si="12"/>
        <v>Low</v>
      </c>
      <c r="I174">
        <v>6</v>
      </c>
      <c r="J174" t="str" cm="1">
        <f t="array" ref="J174">_xlfn.IFS(I174&lt;=3,"small",I174&lt;=6,"Medium",I174&lt;=9,"Large")</f>
        <v>Medium</v>
      </c>
      <c r="K174" s="36">
        <v>44953</v>
      </c>
      <c r="L174" s="36">
        <v>44959</v>
      </c>
      <c r="M174" t="s">
        <v>603</v>
      </c>
      <c r="N174" t="s">
        <v>599</v>
      </c>
      <c r="O174" s="37" t="str">
        <f t="shared" si="13"/>
        <v>Digital Payment</v>
      </c>
      <c r="P174">
        <v>729.42</v>
      </c>
      <c r="Q174" s="37" t="str">
        <f>IF(P174&gt;500,"High","low")</f>
        <v>High</v>
      </c>
      <c r="R174" s="37" t="str">
        <f t="shared" si="14"/>
        <v>Good</v>
      </c>
      <c r="S174" t="s">
        <v>605</v>
      </c>
    </row>
    <row r="175" spans="1:19" x14ac:dyDescent="0.2">
      <c r="A175" t="s">
        <v>786</v>
      </c>
      <c r="B175" t="s">
        <v>67</v>
      </c>
      <c r="C175" t="s">
        <v>597</v>
      </c>
      <c r="D175">
        <v>1251.98</v>
      </c>
      <c r="E175" s="37" t="str">
        <f t="shared" si="10"/>
        <v xml:space="preserve"> </v>
      </c>
      <c r="F175">
        <v>0.35</v>
      </c>
      <c r="G175" s="37" t="str">
        <f t="shared" si="11"/>
        <v>Heavy Discount</v>
      </c>
      <c r="H175" s="37" t="str">
        <f t="shared" si="12"/>
        <v>Medium</v>
      </c>
      <c r="I175">
        <v>8</v>
      </c>
      <c r="J175" t="str" cm="1">
        <f t="array" ref="J175">_xlfn.IFS(I175&lt;=3,"small",I175&lt;=6,"Medium",I175&lt;=9,"Large")</f>
        <v>Large</v>
      </c>
      <c r="K175" s="36">
        <v>45295</v>
      </c>
      <c r="L175" s="36">
        <v>45300</v>
      </c>
      <c r="M175" t="s">
        <v>603</v>
      </c>
      <c r="N175" t="s">
        <v>599</v>
      </c>
      <c r="O175" s="37" t="str">
        <f t="shared" si="13"/>
        <v>Digital Payment</v>
      </c>
      <c r="P175">
        <v>253.73</v>
      </c>
      <c r="Q175" s="37" t="str">
        <f>IF(P175&gt;500,"High","low")</f>
        <v>low</v>
      </c>
      <c r="R175" s="37" t="str">
        <f t="shared" si="14"/>
        <v>AVERAGE</v>
      </c>
      <c r="S175" t="s">
        <v>628</v>
      </c>
    </row>
    <row r="176" spans="1:19" x14ac:dyDescent="0.2">
      <c r="A176" t="s">
        <v>787</v>
      </c>
      <c r="B176" t="s">
        <v>67</v>
      </c>
      <c r="C176" t="s">
        <v>597</v>
      </c>
      <c r="D176">
        <v>4404.05</v>
      </c>
      <c r="E176" s="37" t="str">
        <f t="shared" si="10"/>
        <v>Excellent Order</v>
      </c>
      <c r="F176">
        <v>0.09</v>
      </c>
      <c r="G176" s="37" t="str">
        <f t="shared" si="11"/>
        <v>Normal Discount</v>
      </c>
      <c r="H176" s="37" t="str">
        <f t="shared" si="12"/>
        <v>Low</v>
      </c>
      <c r="I176">
        <v>2</v>
      </c>
      <c r="J176" t="str" cm="1">
        <f t="array" ref="J176">_xlfn.IFS(I176&lt;=3,"small",I176&lt;=6,"Medium",I176&lt;=9,"Large")</f>
        <v>small</v>
      </c>
      <c r="K176" s="36">
        <v>44939</v>
      </c>
      <c r="L176" s="36">
        <v>44945</v>
      </c>
      <c r="M176" t="s">
        <v>612</v>
      </c>
      <c r="N176" t="s">
        <v>599</v>
      </c>
      <c r="O176" s="37" t="str">
        <f t="shared" si="13"/>
        <v>Digital Payment</v>
      </c>
      <c r="P176">
        <v>941.87</v>
      </c>
      <c r="Q176" s="37" t="str">
        <f>IF(P176&gt;500,"High","low")</f>
        <v>High</v>
      </c>
      <c r="R176" s="37" t="str">
        <f t="shared" si="14"/>
        <v>Good</v>
      </c>
      <c r="S176" t="s">
        <v>605</v>
      </c>
    </row>
    <row r="177" spans="1:19" x14ac:dyDescent="0.2">
      <c r="A177" t="s">
        <v>788</v>
      </c>
      <c r="B177" t="s">
        <v>83</v>
      </c>
      <c r="C177" t="s">
        <v>602</v>
      </c>
      <c r="D177">
        <v>2703.93</v>
      </c>
      <c r="E177" s="37" t="str">
        <f t="shared" si="10"/>
        <v xml:space="preserve"> </v>
      </c>
      <c r="F177">
        <v>0.48</v>
      </c>
      <c r="G177" s="37" t="str">
        <f t="shared" si="11"/>
        <v>Heavy Discount</v>
      </c>
      <c r="H177" s="37" t="str">
        <f t="shared" si="12"/>
        <v>High</v>
      </c>
      <c r="I177">
        <v>5</v>
      </c>
      <c r="J177" t="str" cm="1">
        <f t="array" ref="J177">_xlfn.IFS(I177&lt;=3,"small",I177&lt;=6,"Medium",I177&lt;=9,"Large")</f>
        <v>Medium</v>
      </c>
      <c r="K177" s="36">
        <v>45292</v>
      </c>
      <c r="L177" s="36">
        <v>45297</v>
      </c>
      <c r="M177" t="s">
        <v>603</v>
      </c>
      <c r="N177" t="s">
        <v>599</v>
      </c>
      <c r="O177" s="37" t="str">
        <f t="shared" si="13"/>
        <v>Digital Payment</v>
      </c>
      <c r="P177">
        <v>671.84</v>
      </c>
      <c r="Q177" s="37" t="str">
        <f>IF(P177&gt;500,"High","low")</f>
        <v>High</v>
      </c>
      <c r="R177" s="37" t="str">
        <f t="shared" si="14"/>
        <v>Good</v>
      </c>
      <c r="S177" t="s">
        <v>600</v>
      </c>
    </row>
    <row r="178" spans="1:19" x14ac:dyDescent="0.2">
      <c r="A178" t="s">
        <v>789</v>
      </c>
      <c r="B178" t="s">
        <v>90</v>
      </c>
      <c r="C178" t="s">
        <v>614</v>
      </c>
      <c r="D178">
        <v>3057.15</v>
      </c>
      <c r="E178" s="37" t="str">
        <f t="shared" si="10"/>
        <v xml:space="preserve"> </v>
      </c>
      <c r="F178">
        <v>0.33</v>
      </c>
      <c r="G178" s="37" t="str">
        <f t="shared" si="11"/>
        <v>Heavy Discount</v>
      </c>
      <c r="H178" s="37" t="str">
        <f t="shared" si="12"/>
        <v>Medium</v>
      </c>
      <c r="I178">
        <v>3</v>
      </c>
      <c r="J178" t="str" cm="1">
        <f t="array" ref="J178">_xlfn.IFS(I178&lt;=3,"small",I178&lt;=6,"Medium",I178&lt;=9,"Large")</f>
        <v>small</v>
      </c>
      <c r="K178" s="36">
        <v>45049</v>
      </c>
      <c r="L178" s="36">
        <v>45050</v>
      </c>
      <c r="M178" t="s">
        <v>603</v>
      </c>
      <c r="N178" t="s">
        <v>599</v>
      </c>
      <c r="O178" s="37" t="str">
        <f t="shared" si="13"/>
        <v>Digital Payment</v>
      </c>
      <c r="P178">
        <v>814</v>
      </c>
      <c r="Q178" s="37" t="str">
        <f>IF(P178&gt;500,"High","low")</f>
        <v>High</v>
      </c>
      <c r="R178" s="37" t="str">
        <f t="shared" si="14"/>
        <v>Good</v>
      </c>
      <c r="S178" t="s">
        <v>605</v>
      </c>
    </row>
    <row r="179" spans="1:19" x14ac:dyDescent="0.2">
      <c r="A179" t="s">
        <v>790</v>
      </c>
      <c r="B179" t="s">
        <v>90</v>
      </c>
      <c r="C179" t="s">
        <v>614</v>
      </c>
      <c r="D179">
        <v>540.72</v>
      </c>
      <c r="E179" s="37" t="str">
        <f t="shared" si="10"/>
        <v xml:space="preserve"> </v>
      </c>
      <c r="F179">
        <v>0.03</v>
      </c>
      <c r="G179" s="37" t="str">
        <f t="shared" si="11"/>
        <v>Normal Discount</v>
      </c>
      <c r="H179" s="37" t="str">
        <f t="shared" si="12"/>
        <v>Low</v>
      </c>
      <c r="I179">
        <v>5</v>
      </c>
      <c r="J179" t="str" cm="1">
        <f t="array" ref="J179">_xlfn.IFS(I179&lt;=3,"small",I179&lt;=6,"Medium",I179&lt;=9,"Large")</f>
        <v>Medium</v>
      </c>
      <c r="K179" s="36">
        <v>45641</v>
      </c>
      <c r="L179" s="36">
        <v>45643</v>
      </c>
      <c r="M179" t="s">
        <v>598</v>
      </c>
      <c r="N179" t="s">
        <v>604</v>
      </c>
      <c r="O179" s="37" t="str">
        <f t="shared" si="13"/>
        <v>Digital Payment</v>
      </c>
      <c r="P179">
        <v>66.459999999999994</v>
      </c>
      <c r="Q179" s="37" t="str">
        <f>IF(P179&gt;500,"High","low")</f>
        <v>low</v>
      </c>
      <c r="R179" s="37" t="str">
        <f t="shared" si="14"/>
        <v>AVERAGE</v>
      </c>
      <c r="S179" t="s">
        <v>620</v>
      </c>
    </row>
    <row r="180" spans="1:19" x14ac:dyDescent="0.2">
      <c r="A180" t="s">
        <v>791</v>
      </c>
      <c r="B180" t="s">
        <v>75</v>
      </c>
      <c r="C180" t="s">
        <v>597</v>
      </c>
      <c r="D180">
        <v>1616.59</v>
      </c>
      <c r="E180" s="37" t="str">
        <f t="shared" si="10"/>
        <v xml:space="preserve"> </v>
      </c>
      <c r="F180">
        <v>0.26</v>
      </c>
      <c r="G180" s="37" t="str">
        <f t="shared" si="11"/>
        <v>Normal Discount</v>
      </c>
      <c r="H180" s="37" t="str">
        <f t="shared" si="12"/>
        <v>Medium</v>
      </c>
      <c r="I180">
        <v>8</v>
      </c>
      <c r="J180" t="str" cm="1">
        <f t="array" ref="J180">_xlfn.IFS(I180&lt;=3,"small",I180&lt;=6,"Medium",I180&lt;=9,"Large")</f>
        <v>Large</v>
      </c>
      <c r="K180" s="36">
        <v>45180</v>
      </c>
      <c r="L180" s="36">
        <v>45187</v>
      </c>
      <c r="M180" t="s">
        <v>612</v>
      </c>
      <c r="N180" t="s">
        <v>599</v>
      </c>
      <c r="O180" s="37" t="str">
        <f t="shared" si="13"/>
        <v>Digital Payment</v>
      </c>
      <c r="P180">
        <v>479.33</v>
      </c>
      <c r="Q180" s="37" t="str">
        <f>IF(P180&gt;500,"High","low")</f>
        <v>low</v>
      </c>
      <c r="R180" s="37" t="str">
        <f t="shared" si="14"/>
        <v>AVERAGE</v>
      </c>
      <c r="S180" t="s">
        <v>609</v>
      </c>
    </row>
    <row r="181" spans="1:19" x14ac:dyDescent="0.2">
      <c r="A181" t="s">
        <v>792</v>
      </c>
      <c r="B181" t="s">
        <v>90</v>
      </c>
      <c r="C181" t="s">
        <v>607</v>
      </c>
      <c r="D181">
        <v>2191</v>
      </c>
      <c r="E181" s="37" t="str">
        <f t="shared" si="10"/>
        <v xml:space="preserve"> </v>
      </c>
      <c r="F181">
        <v>0.38</v>
      </c>
      <c r="G181" s="37" t="str">
        <f t="shared" si="11"/>
        <v>Heavy Discount</v>
      </c>
      <c r="H181" s="37" t="str">
        <f t="shared" si="12"/>
        <v>Medium</v>
      </c>
      <c r="I181">
        <v>6</v>
      </c>
      <c r="J181" t="str" cm="1">
        <f t="array" ref="J181">_xlfn.IFS(I181&lt;=3,"small",I181&lt;=6,"Medium",I181&lt;=9,"Large")</f>
        <v>Medium</v>
      </c>
      <c r="K181" s="36">
        <v>45641</v>
      </c>
      <c r="L181" s="36">
        <v>45643</v>
      </c>
      <c r="M181" t="s">
        <v>612</v>
      </c>
      <c r="N181" t="s">
        <v>608</v>
      </c>
      <c r="O181" s="37" t="str">
        <f t="shared" si="13"/>
        <v>Cash Payment</v>
      </c>
      <c r="P181">
        <v>336.28</v>
      </c>
      <c r="Q181" s="37" t="str">
        <f>IF(P181&gt;500,"High","low")</f>
        <v>low</v>
      </c>
      <c r="R181" s="37" t="str">
        <f t="shared" si="14"/>
        <v>AVERAGE</v>
      </c>
      <c r="S181" t="s">
        <v>628</v>
      </c>
    </row>
    <row r="182" spans="1:19" x14ac:dyDescent="0.2">
      <c r="A182" t="s">
        <v>793</v>
      </c>
      <c r="B182" t="s">
        <v>75</v>
      </c>
      <c r="C182" t="s">
        <v>602</v>
      </c>
      <c r="D182">
        <v>2128.16</v>
      </c>
      <c r="E182" s="37" t="str">
        <f t="shared" si="10"/>
        <v xml:space="preserve"> </v>
      </c>
      <c r="F182">
        <v>0.14000000000000001</v>
      </c>
      <c r="G182" s="37" t="str">
        <f t="shared" si="11"/>
        <v>Normal Discount</v>
      </c>
      <c r="H182" s="37" t="str">
        <f t="shared" si="12"/>
        <v>Low</v>
      </c>
      <c r="I182">
        <v>1</v>
      </c>
      <c r="J182" t="str" cm="1">
        <f t="array" ref="J182">_xlfn.IFS(I182&lt;=3,"small",I182&lt;=6,"Medium",I182&lt;=9,"Large")</f>
        <v>small</v>
      </c>
      <c r="K182" s="36">
        <v>45602</v>
      </c>
      <c r="L182" s="36">
        <v>45607</v>
      </c>
      <c r="M182" t="s">
        <v>603</v>
      </c>
      <c r="N182" t="s">
        <v>608</v>
      </c>
      <c r="O182" s="37" t="str">
        <f t="shared" si="13"/>
        <v>Cash Payment</v>
      </c>
      <c r="P182">
        <v>523.61</v>
      </c>
      <c r="Q182" s="37" t="str">
        <f>IF(P182&gt;500,"High","low")</f>
        <v>High</v>
      </c>
      <c r="R182" s="37" t="str">
        <f t="shared" si="14"/>
        <v>Good</v>
      </c>
      <c r="S182" t="s">
        <v>600</v>
      </c>
    </row>
    <row r="183" spans="1:19" x14ac:dyDescent="0.2">
      <c r="A183" t="s">
        <v>794</v>
      </c>
      <c r="B183" t="s">
        <v>90</v>
      </c>
      <c r="C183" t="s">
        <v>614</v>
      </c>
      <c r="D183">
        <v>3913.59</v>
      </c>
      <c r="E183" s="37" t="str">
        <f t="shared" si="10"/>
        <v xml:space="preserve"> </v>
      </c>
      <c r="F183">
        <v>0.03</v>
      </c>
      <c r="G183" s="37" t="str">
        <f t="shared" si="11"/>
        <v>Normal Discount</v>
      </c>
      <c r="H183" s="37" t="str">
        <f t="shared" si="12"/>
        <v>Low</v>
      </c>
      <c r="I183">
        <v>7</v>
      </c>
      <c r="J183" t="str" cm="1">
        <f t="array" ref="J183">_xlfn.IFS(I183&lt;=3,"small",I183&lt;=6,"Medium",I183&lt;=9,"Large")</f>
        <v>Large</v>
      </c>
      <c r="K183" s="36">
        <v>45287</v>
      </c>
      <c r="L183" s="36">
        <v>45290</v>
      </c>
      <c r="M183" t="s">
        <v>612</v>
      </c>
      <c r="N183" t="s">
        <v>599</v>
      </c>
      <c r="O183" s="37" t="str">
        <f t="shared" si="13"/>
        <v>Digital Payment</v>
      </c>
      <c r="P183">
        <v>235.73</v>
      </c>
      <c r="Q183" s="37" t="str">
        <f>IF(P183&gt;500,"High","low")</f>
        <v>low</v>
      </c>
      <c r="R183" s="37" t="str">
        <f t="shared" si="14"/>
        <v>AVERAGE</v>
      </c>
      <c r="S183" t="s">
        <v>615</v>
      </c>
    </row>
    <row r="184" spans="1:19" x14ac:dyDescent="0.2">
      <c r="A184" t="s">
        <v>795</v>
      </c>
      <c r="B184" t="s">
        <v>83</v>
      </c>
      <c r="C184" t="s">
        <v>614</v>
      </c>
      <c r="D184">
        <v>1483.38</v>
      </c>
      <c r="E184" s="37" t="str">
        <f t="shared" si="10"/>
        <v xml:space="preserve"> </v>
      </c>
      <c r="F184">
        <v>0.24</v>
      </c>
      <c r="G184" s="37" t="str">
        <f t="shared" si="11"/>
        <v>Normal Discount</v>
      </c>
      <c r="H184" s="37" t="str">
        <f t="shared" si="12"/>
        <v>Medium</v>
      </c>
      <c r="I184">
        <v>1</v>
      </c>
      <c r="J184" t="str" cm="1">
        <f t="array" ref="J184">_xlfn.IFS(I184&lt;=3,"small",I184&lt;=6,"Medium",I184&lt;=9,"Large")</f>
        <v>small</v>
      </c>
      <c r="K184" s="36">
        <v>45112</v>
      </c>
      <c r="L184" s="36">
        <v>45118</v>
      </c>
      <c r="M184" t="s">
        <v>612</v>
      </c>
      <c r="N184" t="s">
        <v>599</v>
      </c>
      <c r="O184" s="37" t="str">
        <f t="shared" si="13"/>
        <v>Digital Payment</v>
      </c>
      <c r="P184">
        <v>350.59</v>
      </c>
      <c r="Q184" s="37" t="str">
        <f>IF(P184&gt;500,"High","low")</f>
        <v>low</v>
      </c>
      <c r="R184" s="37" t="str">
        <f t="shared" si="14"/>
        <v>AVERAGE</v>
      </c>
      <c r="S184" t="s">
        <v>628</v>
      </c>
    </row>
    <row r="185" spans="1:19" x14ac:dyDescent="0.2">
      <c r="A185" t="s">
        <v>796</v>
      </c>
      <c r="B185" t="s">
        <v>90</v>
      </c>
      <c r="C185" t="s">
        <v>617</v>
      </c>
      <c r="D185">
        <v>992.34</v>
      </c>
      <c r="E185" s="37" t="str">
        <f t="shared" si="10"/>
        <v xml:space="preserve"> </v>
      </c>
      <c r="F185">
        <v>0.42</v>
      </c>
      <c r="G185" s="37" t="str">
        <f t="shared" si="11"/>
        <v>Heavy Discount</v>
      </c>
      <c r="H185" s="37" t="str">
        <f t="shared" si="12"/>
        <v>High</v>
      </c>
      <c r="I185">
        <v>1</v>
      </c>
      <c r="J185" t="str" cm="1">
        <f t="array" ref="J185">_xlfn.IFS(I185&lt;=3,"small",I185&lt;=6,"Medium",I185&lt;=9,"Large")</f>
        <v>small</v>
      </c>
      <c r="K185" s="36">
        <v>45246</v>
      </c>
      <c r="L185" s="36">
        <v>45249</v>
      </c>
      <c r="M185" t="s">
        <v>598</v>
      </c>
      <c r="N185" t="s">
        <v>599</v>
      </c>
      <c r="O185" s="37" t="str">
        <f t="shared" si="13"/>
        <v>Digital Payment</v>
      </c>
      <c r="P185">
        <v>255.64</v>
      </c>
      <c r="Q185" s="37" t="str">
        <f>IF(P185&gt;500,"High","low")</f>
        <v>low</v>
      </c>
      <c r="R185" s="37" t="str">
        <f t="shared" si="14"/>
        <v>AVERAGE</v>
      </c>
      <c r="S185" t="s">
        <v>605</v>
      </c>
    </row>
    <row r="186" spans="1:19" x14ac:dyDescent="0.2">
      <c r="A186" t="s">
        <v>797</v>
      </c>
      <c r="B186" t="s">
        <v>75</v>
      </c>
      <c r="C186" t="s">
        <v>597</v>
      </c>
      <c r="D186">
        <v>2954.82</v>
      </c>
      <c r="E186" s="37" t="str">
        <f t="shared" si="10"/>
        <v xml:space="preserve"> </v>
      </c>
      <c r="F186">
        <v>0.13</v>
      </c>
      <c r="G186" s="37" t="str">
        <f t="shared" si="11"/>
        <v>Normal Discount</v>
      </c>
      <c r="H186" s="37" t="str">
        <f t="shared" si="12"/>
        <v>Low</v>
      </c>
      <c r="I186">
        <v>4</v>
      </c>
      <c r="J186" t="str" cm="1">
        <f t="array" ref="J186">_xlfn.IFS(I186&lt;=3,"small",I186&lt;=6,"Medium",I186&lt;=9,"Large")</f>
        <v>Medium</v>
      </c>
      <c r="K186" s="36">
        <v>45360</v>
      </c>
      <c r="L186" s="36">
        <v>45362</v>
      </c>
      <c r="M186" t="s">
        <v>598</v>
      </c>
      <c r="N186" t="s">
        <v>599</v>
      </c>
      <c r="O186" s="37" t="str">
        <f t="shared" si="13"/>
        <v>Digital Payment</v>
      </c>
      <c r="P186">
        <v>227.77</v>
      </c>
      <c r="Q186" s="37" t="str">
        <f>IF(P186&gt;500,"High","low")</f>
        <v>low</v>
      </c>
      <c r="R186" s="37" t="str">
        <f t="shared" si="14"/>
        <v>AVERAGE</v>
      </c>
      <c r="S186" t="s">
        <v>628</v>
      </c>
    </row>
    <row r="187" spans="1:19" x14ac:dyDescent="0.2">
      <c r="A187" t="s">
        <v>798</v>
      </c>
      <c r="B187" t="s">
        <v>75</v>
      </c>
      <c r="C187" t="s">
        <v>607</v>
      </c>
      <c r="D187">
        <v>3113.57</v>
      </c>
      <c r="E187" s="37" t="str">
        <f t="shared" si="10"/>
        <v xml:space="preserve"> </v>
      </c>
      <c r="F187">
        <v>0.36</v>
      </c>
      <c r="G187" s="37" t="str">
        <f t="shared" si="11"/>
        <v>Heavy Discount</v>
      </c>
      <c r="H187" s="37" t="str">
        <f t="shared" si="12"/>
        <v>Medium</v>
      </c>
      <c r="I187">
        <v>9</v>
      </c>
      <c r="J187" t="str" cm="1">
        <f t="array" ref="J187">_xlfn.IFS(I187&lt;=3,"small",I187&lt;=6,"Medium",I187&lt;=9,"Large")</f>
        <v>Large</v>
      </c>
      <c r="K187" s="36">
        <v>45560</v>
      </c>
      <c r="L187" s="36">
        <v>45566</v>
      </c>
      <c r="M187" t="s">
        <v>612</v>
      </c>
      <c r="N187" t="s">
        <v>599</v>
      </c>
      <c r="O187" s="37" t="str">
        <f t="shared" si="13"/>
        <v>Digital Payment</v>
      </c>
      <c r="P187">
        <v>393.92</v>
      </c>
      <c r="Q187" s="37" t="str">
        <f>IF(P187&gt;500,"High","low")</f>
        <v>low</v>
      </c>
      <c r="R187" s="37" t="str">
        <f t="shared" si="14"/>
        <v>AVERAGE</v>
      </c>
      <c r="S187" t="s">
        <v>600</v>
      </c>
    </row>
    <row r="188" spans="1:19" x14ac:dyDescent="0.2">
      <c r="A188" t="s">
        <v>799</v>
      </c>
      <c r="B188" t="s">
        <v>83</v>
      </c>
      <c r="C188" t="s">
        <v>602</v>
      </c>
      <c r="D188">
        <v>695.76</v>
      </c>
      <c r="E188" s="37" t="str">
        <f t="shared" si="10"/>
        <v xml:space="preserve"> </v>
      </c>
      <c r="F188">
        <v>0.2</v>
      </c>
      <c r="G188" s="37" t="str">
        <f t="shared" si="11"/>
        <v>Normal Discount</v>
      </c>
      <c r="H188" s="37" t="str">
        <f t="shared" si="12"/>
        <v>Medium</v>
      </c>
      <c r="I188">
        <v>8</v>
      </c>
      <c r="J188" t="str" cm="1">
        <f t="array" ref="J188">_xlfn.IFS(I188&lt;=3,"small",I188&lt;=6,"Medium",I188&lt;=9,"Large")</f>
        <v>Large</v>
      </c>
      <c r="K188" s="36">
        <v>45617</v>
      </c>
      <c r="L188" s="36">
        <v>45620</v>
      </c>
      <c r="M188" t="s">
        <v>598</v>
      </c>
      <c r="N188" t="s">
        <v>608</v>
      </c>
      <c r="O188" s="37" t="str">
        <f t="shared" si="13"/>
        <v>Cash Payment</v>
      </c>
      <c r="P188">
        <v>112.67</v>
      </c>
      <c r="Q188" s="37" t="str">
        <f>IF(P188&gt;500,"High","low")</f>
        <v>low</v>
      </c>
      <c r="R188" s="37" t="str">
        <f t="shared" si="14"/>
        <v>AVERAGE</v>
      </c>
      <c r="S188" t="s">
        <v>609</v>
      </c>
    </row>
    <row r="189" spans="1:19" x14ac:dyDescent="0.2">
      <c r="A189" t="s">
        <v>800</v>
      </c>
      <c r="B189" t="s">
        <v>90</v>
      </c>
      <c r="C189" t="s">
        <v>614</v>
      </c>
      <c r="D189">
        <v>112.1</v>
      </c>
      <c r="E189" s="37" t="str">
        <f t="shared" si="10"/>
        <v xml:space="preserve"> </v>
      </c>
      <c r="F189">
        <v>0.03</v>
      </c>
      <c r="G189" s="37" t="str">
        <f t="shared" si="11"/>
        <v>Normal Discount</v>
      </c>
      <c r="H189" s="37" t="str">
        <f t="shared" si="12"/>
        <v>Low</v>
      </c>
      <c r="I189">
        <v>3</v>
      </c>
      <c r="J189" t="str" cm="1">
        <f t="array" ref="J189">_xlfn.IFS(I189&lt;=3,"small",I189&lt;=6,"Medium",I189&lt;=9,"Large")</f>
        <v>small</v>
      </c>
      <c r="K189" s="36">
        <v>45570</v>
      </c>
      <c r="L189" s="36">
        <v>45573</v>
      </c>
      <c r="M189" t="s">
        <v>603</v>
      </c>
      <c r="N189" t="s">
        <v>599</v>
      </c>
      <c r="O189" s="37" t="str">
        <f t="shared" si="13"/>
        <v>Digital Payment</v>
      </c>
      <c r="P189">
        <v>27.01</v>
      </c>
      <c r="Q189" s="37" t="str">
        <f>IF(P189&gt;500,"High","low")</f>
        <v>low</v>
      </c>
      <c r="R189" s="37" t="str">
        <f t="shared" si="14"/>
        <v>AVERAGE</v>
      </c>
      <c r="S189" t="s">
        <v>620</v>
      </c>
    </row>
    <row r="190" spans="1:19" x14ac:dyDescent="0.2">
      <c r="A190" t="s">
        <v>801</v>
      </c>
      <c r="B190" t="s">
        <v>90</v>
      </c>
      <c r="C190" t="s">
        <v>617</v>
      </c>
      <c r="D190">
        <v>4596.4799999999996</v>
      </c>
      <c r="E190" s="37" t="str">
        <f t="shared" si="10"/>
        <v>Excellent Order</v>
      </c>
      <c r="F190">
        <v>0.15</v>
      </c>
      <c r="G190" s="37" t="str">
        <f t="shared" si="11"/>
        <v>Normal Discount</v>
      </c>
      <c r="H190" s="37" t="str">
        <f t="shared" si="12"/>
        <v>Low</v>
      </c>
      <c r="I190">
        <v>6</v>
      </c>
      <c r="J190" t="str" cm="1">
        <f t="array" ref="J190">_xlfn.IFS(I190&lt;=3,"small",I190&lt;=6,"Medium",I190&lt;=9,"Large")</f>
        <v>Medium</v>
      </c>
      <c r="K190" s="36">
        <v>45226</v>
      </c>
      <c r="L190" s="36">
        <v>45233</v>
      </c>
      <c r="M190" t="s">
        <v>598</v>
      </c>
      <c r="N190" t="s">
        <v>599</v>
      </c>
      <c r="O190" s="37" t="str">
        <f t="shared" si="13"/>
        <v>Digital Payment</v>
      </c>
      <c r="P190">
        <v>838.45</v>
      </c>
      <c r="Q190" s="37" t="str">
        <f>IF(P190&gt;500,"High","low")</f>
        <v>High</v>
      </c>
      <c r="R190" s="37" t="str">
        <f t="shared" si="14"/>
        <v>Good</v>
      </c>
      <c r="S190" t="s">
        <v>600</v>
      </c>
    </row>
    <row r="191" spans="1:19" x14ac:dyDescent="0.2">
      <c r="A191" t="s">
        <v>802</v>
      </c>
      <c r="B191" t="s">
        <v>83</v>
      </c>
      <c r="C191" t="s">
        <v>597</v>
      </c>
      <c r="D191">
        <v>490.22</v>
      </c>
      <c r="E191" s="37" t="str">
        <f t="shared" si="10"/>
        <v xml:space="preserve"> </v>
      </c>
      <c r="F191">
        <v>0.16</v>
      </c>
      <c r="G191" s="37" t="str">
        <f t="shared" si="11"/>
        <v>Normal Discount</v>
      </c>
      <c r="H191" s="37" t="str">
        <f t="shared" si="12"/>
        <v>Low</v>
      </c>
      <c r="I191">
        <v>1</v>
      </c>
      <c r="J191" t="str" cm="1">
        <f t="array" ref="J191">_xlfn.IFS(I191&lt;=3,"small",I191&lt;=6,"Medium",I191&lt;=9,"Large")</f>
        <v>small</v>
      </c>
      <c r="K191" s="36">
        <v>45456</v>
      </c>
      <c r="L191" s="36">
        <v>45463</v>
      </c>
      <c r="M191" t="s">
        <v>603</v>
      </c>
      <c r="N191" t="s">
        <v>599</v>
      </c>
      <c r="O191" s="37" t="str">
        <f t="shared" si="13"/>
        <v>Digital Payment</v>
      </c>
      <c r="P191">
        <v>101.89</v>
      </c>
      <c r="Q191" s="37" t="str">
        <f>IF(P191&gt;500,"High","low")</f>
        <v>low</v>
      </c>
      <c r="R191" s="37" t="str">
        <f t="shared" si="14"/>
        <v>AVERAGE</v>
      </c>
      <c r="S191" t="s">
        <v>600</v>
      </c>
    </row>
    <row r="192" spans="1:19" x14ac:dyDescent="0.2">
      <c r="A192" t="s">
        <v>803</v>
      </c>
      <c r="B192" t="s">
        <v>90</v>
      </c>
      <c r="C192" t="s">
        <v>597</v>
      </c>
      <c r="D192">
        <v>4499.55</v>
      </c>
      <c r="E192" s="37" t="str">
        <f t="shared" si="10"/>
        <v xml:space="preserve"> </v>
      </c>
      <c r="F192">
        <v>0.45</v>
      </c>
      <c r="G192" s="37" t="str">
        <f t="shared" si="11"/>
        <v>Heavy Discount</v>
      </c>
      <c r="H192" s="37" t="str">
        <f t="shared" si="12"/>
        <v>High</v>
      </c>
      <c r="I192">
        <v>1</v>
      </c>
      <c r="J192" t="str" cm="1">
        <f t="array" ref="J192">_xlfn.IFS(I192&lt;=3,"small",I192&lt;=6,"Medium",I192&lt;=9,"Large")</f>
        <v>small</v>
      </c>
      <c r="K192" s="36">
        <v>44944</v>
      </c>
      <c r="L192" s="36">
        <v>44950</v>
      </c>
      <c r="M192" t="s">
        <v>598</v>
      </c>
      <c r="N192" t="s">
        <v>608</v>
      </c>
      <c r="O192" s="37" t="str">
        <f t="shared" si="13"/>
        <v>Cash Payment</v>
      </c>
      <c r="P192">
        <v>639.71</v>
      </c>
      <c r="Q192" s="37" t="str">
        <f>IF(P192&gt;500,"High","low")</f>
        <v>High</v>
      </c>
      <c r="R192" s="37" t="str">
        <f t="shared" si="14"/>
        <v>Good</v>
      </c>
      <c r="S192" t="s">
        <v>615</v>
      </c>
    </row>
    <row r="193" spans="1:19" x14ac:dyDescent="0.2">
      <c r="A193" t="s">
        <v>804</v>
      </c>
      <c r="B193" t="s">
        <v>90</v>
      </c>
      <c r="C193" t="s">
        <v>602</v>
      </c>
      <c r="D193">
        <v>2056.15</v>
      </c>
      <c r="E193" s="37" t="str">
        <f t="shared" si="10"/>
        <v xml:space="preserve"> </v>
      </c>
      <c r="F193">
        <v>0.49</v>
      </c>
      <c r="G193" s="37" t="str">
        <f t="shared" si="11"/>
        <v>Heavy Discount</v>
      </c>
      <c r="H193" s="37" t="str">
        <f t="shared" si="12"/>
        <v>High</v>
      </c>
      <c r="I193">
        <v>6</v>
      </c>
      <c r="J193" t="str" cm="1">
        <f t="array" ref="J193">_xlfn.IFS(I193&lt;=3,"small",I193&lt;=6,"Medium",I193&lt;=9,"Large")</f>
        <v>Medium</v>
      </c>
      <c r="K193" s="36">
        <v>45402</v>
      </c>
      <c r="L193" s="36">
        <v>45406</v>
      </c>
      <c r="M193" t="s">
        <v>612</v>
      </c>
      <c r="N193" t="s">
        <v>608</v>
      </c>
      <c r="O193" s="37" t="str">
        <f t="shared" si="13"/>
        <v>Cash Payment</v>
      </c>
      <c r="P193">
        <v>549.92999999999995</v>
      </c>
      <c r="Q193" s="37" t="str">
        <f>IF(P193&gt;500,"High","low")</f>
        <v>High</v>
      </c>
      <c r="R193" s="37" t="str">
        <f t="shared" si="14"/>
        <v>Good</v>
      </c>
      <c r="S193" t="s">
        <v>615</v>
      </c>
    </row>
    <row r="194" spans="1:19" x14ac:dyDescent="0.2">
      <c r="A194" t="s">
        <v>805</v>
      </c>
      <c r="B194" t="s">
        <v>75</v>
      </c>
      <c r="C194" t="s">
        <v>614</v>
      </c>
      <c r="D194">
        <v>3299.97</v>
      </c>
      <c r="E194" s="37" t="str">
        <f t="shared" si="10"/>
        <v xml:space="preserve"> </v>
      </c>
      <c r="F194">
        <v>0.1</v>
      </c>
      <c r="G194" s="37" t="str">
        <f t="shared" si="11"/>
        <v>Normal Discount</v>
      </c>
      <c r="H194" s="37" t="str">
        <f t="shared" si="12"/>
        <v>Low</v>
      </c>
      <c r="I194">
        <v>5</v>
      </c>
      <c r="J194" t="str" cm="1">
        <f t="array" ref="J194">_xlfn.IFS(I194&lt;=3,"small",I194&lt;=6,"Medium",I194&lt;=9,"Large")</f>
        <v>Medium</v>
      </c>
      <c r="K194" s="36">
        <v>44932</v>
      </c>
      <c r="L194" s="36">
        <v>44939</v>
      </c>
      <c r="M194" t="s">
        <v>603</v>
      </c>
      <c r="N194" t="s">
        <v>599</v>
      </c>
      <c r="O194" s="37" t="str">
        <f t="shared" si="13"/>
        <v>Digital Payment</v>
      </c>
      <c r="P194">
        <v>467.32</v>
      </c>
      <c r="Q194" s="37" t="str">
        <f>IF(P194&gt;500,"High","low")</f>
        <v>low</v>
      </c>
      <c r="R194" s="37" t="str">
        <f t="shared" si="14"/>
        <v>AVERAGE</v>
      </c>
      <c r="S194" t="s">
        <v>628</v>
      </c>
    </row>
    <row r="195" spans="1:19" x14ac:dyDescent="0.2">
      <c r="A195" t="s">
        <v>806</v>
      </c>
      <c r="B195" t="s">
        <v>90</v>
      </c>
      <c r="C195" t="s">
        <v>602</v>
      </c>
      <c r="D195">
        <v>1009.51</v>
      </c>
      <c r="E195" s="37" t="str">
        <f t="shared" ref="E195:E258" si="15">IF(AND(D195&gt;4000,P195&gt;800),"Excellent Order"," ")</f>
        <v xml:space="preserve"> </v>
      </c>
      <c r="F195">
        <v>0.22</v>
      </c>
      <c r="G195" s="37" t="str">
        <f t="shared" ref="G195:G258" si="16">IF(F195&gt;30%,"Heavy Discount","Normal Discount")</f>
        <v>Normal Discount</v>
      </c>
      <c r="H195" s="37" t="str">
        <f t="shared" ref="H195:H258" si="17">IF(F195&gt;0.4,"High",IF(F195&gt;=0.2,"Medium","Low"))</f>
        <v>Medium</v>
      </c>
      <c r="I195">
        <v>6</v>
      </c>
      <c r="J195" t="str" cm="1">
        <f t="array" ref="J195">_xlfn.IFS(I195&lt;=3,"small",I195&lt;=6,"Medium",I195&lt;=9,"Large")</f>
        <v>Medium</v>
      </c>
      <c r="K195" s="36">
        <v>45113</v>
      </c>
      <c r="L195" s="36">
        <v>45119</v>
      </c>
      <c r="M195" t="s">
        <v>598</v>
      </c>
      <c r="N195" t="s">
        <v>608</v>
      </c>
      <c r="O195" s="37" t="str">
        <f t="shared" ref="O195:O258" si="18">IF(OR(N195="Card",N195="UPI"),"Digital Payment","Cash Payment")</f>
        <v>Cash Payment</v>
      </c>
      <c r="P195">
        <v>170.18</v>
      </c>
      <c r="Q195" s="37" t="str">
        <f>IF(P195&gt;500,"High","low")</f>
        <v>low</v>
      </c>
      <c r="R195" s="37" t="str">
        <f t="shared" ref="R195:R258" si="19">IF(P195&gt;1000,"Excellent",IF(P195&gt;=500,"Good","AVERAGE"))</f>
        <v>AVERAGE</v>
      </c>
      <c r="S195" t="s">
        <v>600</v>
      </c>
    </row>
    <row r="196" spans="1:19" x14ac:dyDescent="0.2">
      <c r="A196" t="s">
        <v>807</v>
      </c>
      <c r="B196" t="s">
        <v>90</v>
      </c>
      <c r="C196" t="s">
        <v>602</v>
      </c>
      <c r="D196">
        <v>4137.1899999999996</v>
      </c>
      <c r="E196" s="37" t="str">
        <f t="shared" si="15"/>
        <v xml:space="preserve"> </v>
      </c>
      <c r="F196">
        <v>0.49</v>
      </c>
      <c r="G196" s="37" t="str">
        <f t="shared" si="16"/>
        <v>Heavy Discount</v>
      </c>
      <c r="H196" s="37" t="str">
        <f t="shared" si="17"/>
        <v>High</v>
      </c>
      <c r="I196">
        <v>9</v>
      </c>
      <c r="J196" t="str" cm="1">
        <f t="array" ref="J196">_xlfn.IFS(I196&lt;=3,"small",I196&lt;=6,"Medium",I196&lt;=9,"Large")</f>
        <v>Large</v>
      </c>
      <c r="K196" s="36">
        <v>45629</v>
      </c>
      <c r="L196" s="36">
        <v>45632</v>
      </c>
      <c r="M196" t="s">
        <v>598</v>
      </c>
      <c r="N196" t="s">
        <v>599</v>
      </c>
      <c r="O196" s="37" t="str">
        <f t="shared" si="18"/>
        <v>Digital Payment</v>
      </c>
      <c r="P196">
        <v>664.13</v>
      </c>
      <c r="Q196" s="37" t="str">
        <f>IF(P196&gt;500,"High","low")</f>
        <v>High</v>
      </c>
      <c r="R196" s="37" t="str">
        <f t="shared" si="19"/>
        <v>Good</v>
      </c>
      <c r="S196" t="s">
        <v>620</v>
      </c>
    </row>
    <row r="197" spans="1:19" x14ac:dyDescent="0.2">
      <c r="A197" t="s">
        <v>808</v>
      </c>
      <c r="B197" t="s">
        <v>83</v>
      </c>
      <c r="C197" t="s">
        <v>617</v>
      </c>
      <c r="D197">
        <v>982.95</v>
      </c>
      <c r="E197" s="37" t="str">
        <f t="shared" si="15"/>
        <v xml:space="preserve"> </v>
      </c>
      <c r="F197">
        <v>0.2</v>
      </c>
      <c r="G197" s="37" t="str">
        <f t="shared" si="16"/>
        <v>Normal Discount</v>
      </c>
      <c r="H197" s="37" t="str">
        <f t="shared" si="17"/>
        <v>Medium</v>
      </c>
      <c r="I197">
        <v>5</v>
      </c>
      <c r="J197" t="str" cm="1">
        <f t="array" ref="J197">_xlfn.IFS(I197&lt;=3,"small",I197&lt;=6,"Medium",I197&lt;=9,"Large")</f>
        <v>Medium</v>
      </c>
      <c r="K197" s="36">
        <v>44969</v>
      </c>
      <c r="L197" s="36">
        <v>44973</v>
      </c>
      <c r="M197" t="s">
        <v>603</v>
      </c>
      <c r="N197" t="s">
        <v>608</v>
      </c>
      <c r="O197" s="37" t="str">
        <f t="shared" si="18"/>
        <v>Cash Payment</v>
      </c>
      <c r="P197">
        <v>242.2</v>
      </c>
      <c r="Q197" s="37" t="str">
        <f>IF(P197&gt;500,"High","low")</f>
        <v>low</v>
      </c>
      <c r="R197" s="37" t="str">
        <f t="shared" si="19"/>
        <v>AVERAGE</v>
      </c>
      <c r="S197" t="s">
        <v>628</v>
      </c>
    </row>
    <row r="198" spans="1:19" x14ac:dyDescent="0.2">
      <c r="A198" t="s">
        <v>809</v>
      </c>
      <c r="B198" t="s">
        <v>83</v>
      </c>
      <c r="C198" t="s">
        <v>597</v>
      </c>
      <c r="D198">
        <v>1993.89</v>
      </c>
      <c r="E198" s="37" t="str">
        <f t="shared" si="15"/>
        <v xml:space="preserve"> </v>
      </c>
      <c r="F198">
        <v>0.17</v>
      </c>
      <c r="G198" s="37" t="str">
        <f t="shared" si="16"/>
        <v>Normal Discount</v>
      </c>
      <c r="H198" s="37" t="str">
        <f t="shared" si="17"/>
        <v>Low</v>
      </c>
      <c r="I198">
        <v>2</v>
      </c>
      <c r="J198" t="str" cm="1">
        <f t="array" ref="J198">_xlfn.IFS(I198&lt;=3,"small",I198&lt;=6,"Medium",I198&lt;=9,"Large")</f>
        <v>small</v>
      </c>
      <c r="K198" s="36">
        <v>45176</v>
      </c>
      <c r="L198" s="36">
        <v>45182</v>
      </c>
      <c r="M198" t="s">
        <v>598</v>
      </c>
      <c r="N198" t="s">
        <v>599</v>
      </c>
      <c r="O198" s="37" t="str">
        <f t="shared" si="18"/>
        <v>Digital Payment</v>
      </c>
      <c r="P198">
        <v>508.95</v>
      </c>
      <c r="Q198" s="37" t="str">
        <f>IF(P198&gt;500,"High","low")</f>
        <v>High</v>
      </c>
      <c r="R198" s="37" t="str">
        <f t="shared" si="19"/>
        <v>Good</v>
      </c>
      <c r="S198" t="s">
        <v>620</v>
      </c>
    </row>
    <row r="199" spans="1:19" x14ac:dyDescent="0.2">
      <c r="A199" t="s">
        <v>810</v>
      </c>
      <c r="B199" t="s">
        <v>67</v>
      </c>
      <c r="C199" t="s">
        <v>607</v>
      </c>
      <c r="D199">
        <v>1266.33</v>
      </c>
      <c r="E199" s="37" t="str">
        <f t="shared" si="15"/>
        <v xml:space="preserve"> </v>
      </c>
      <c r="F199">
        <v>0.05</v>
      </c>
      <c r="G199" s="37" t="str">
        <f t="shared" si="16"/>
        <v>Normal Discount</v>
      </c>
      <c r="H199" s="37" t="str">
        <f t="shared" si="17"/>
        <v>Low</v>
      </c>
      <c r="I199">
        <v>1</v>
      </c>
      <c r="J199" t="str" cm="1">
        <f t="array" ref="J199">_xlfn.IFS(I199&lt;=3,"small",I199&lt;=6,"Medium",I199&lt;=9,"Large")</f>
        <v>small</v>
      </c>
      <c r="K199" s="36">
        <v>45123</v>
      </c>
      <c r="L199" s="36">
        <v>45127</v>
      </c>
      <c r="M199" t="s">
        <v>612</v>
      </c>
      <c r="N199" t="s">
        <v>604</v>
      </c>
      <c r="O199" s="37" t="str">
        <f t="shared" si="18"/>
        <v>Digital Payment</v>
      </c>
      <c r="P199">
        <v>350.09</v>
      </c>
      <c r="Q199" s="37" t="str">
        <f>IF(P199&gt;500,"High","low")</f>
        <v>low</v>
      </c>
      <c r="R199" s="37" t="str">
        <f t="shared" si="19"/>
        <v>AVERAGE</v>
      </c>
      <c r="S199" t="s">
        <v>628</v>
      </c>
    </row>
    <row r="200" spans="1:19" x14ac:dyDescent="0.2">
      <c r="A200" t="s">
        <v>811</v>
      </c>
      <c r="B200" t="s">
        <v>75</v>
      </c>
      <c r="C200" t="s">
        <v>597</v>
      </c>
      <c r="D200">
        <v>4203.78</v>
      </c>
      <c r="E200" s="37" t="str">
        <f t="shared" si="15"/>
        <v xml:space="preserve"> </v>
      </c>
      <c r="F200">
        <v>0.38</v>
      </c>
      <c r="G200" s="37" t="str">
        <f t="shared" si="16"/>
        <v>Heavy Discount</v>
      </c>
      <c r="H200" s="37" t="str">
        <f t="shared" si="17"/>
        <v>Medium</v>
      </c>
      <c r="I200">
        <v>2</v>
      </c>
      <c r="J200" t="str" cm="1">
        <f t="array" ref="J200">_xlfn.IFS(I200&lt;=3,"small",I200&lt;=6,"Medium",I200&lt;=9,"Large")</f>
        <v>small</v>
      </c>
      <c r="K200" s="36">
        <v>45129</v>
      </c>
      <c r="L200" s="36">
        <v>45135</v>
      </c>
      <c r="M200" t="s">
        <v>603</v>
      </c>
      <c r="N200" t="s">
        <v>608</v>
      </c>
      <c r="O200" s="37" t="str">
        <f t="shared" si="18"/>
        <v>Cash Payment</v>
      </c>
      <c r="P200">
        <v>451.8</v>
      </c>
      <c r="Q200" s="37" t="str">
        <f>IF(P200&gt;500,"High","low")</f>
        <v>low</v>
      </c>
      <c r="R200" s="37" t="str">
        <f t="shared" si="19"/>
        <v>AVERAGE</v>
      </c>
      <c r="S200" t="s">
        <v>605</v>
      </c>
    </row>
    <row r="201" spans="1:19" x14ac:dyDescent="0.2">
      <c r="A201" t="s">
        <v>812</v>
      </c>
      <c r="B201" t="s">
        <v>90</v>
      </c>
      <c r="C201" t="s">
        <v>597</v>
      </c>
      <c r="D201">
        <v>4305.8500000000004</v>
      </c>
      <c r="E201" s="37" t="str">
        <f t="shared" si="15"/>
        <v>Excellent Order</v>
      </c>
      <c r="F201">
        <v>0.22</v>
      </c>
      <c r="G201" s="37" t="str">
        <f t="shared" si="16"/>
        <v>Normal Discount</v>
      </c>
      <c r="H201" s="37" t="str">
        <f t="shared" si="17"/>
        <v>Medium</v>
      </c>
      <c r="I201">
        <v>8</v>
      </c>
      <c r="J201" t="str" cm="1">
        <f t="array" ref="J201">_xlfn.IFS(I201&lt;=3,"small",I201&lt;=6,"Medium",I201&lt;=9,"Large")</f>
        <v>Large</v>
      </c>
      <c r="K201" s="36">
        <v>45115</v>
      </c>
      <c r="L201" s="36">
        <v>45117</v>
      </c>
      <c r="M201" t="s">
        <v>612</v>
      </c>
      <c r="N201" t="s">
        <v>604</v>
      </c>
      <c r="O201" s="37" t="str">
        <f t="shared" si="18"/>
        <v>Digital Payment</v>
      </c>
      <c r="P201">
        <v>1195.98</v>
      </c>
      <c r="Q201" s="37" t="str">
        <f>IF(P201&gt;500,"High","low")</f>
        <v>High</v>
      </c>
      <c r="R201" s="37" t="str">
        <f t="shared" si="19"/>
        <v>Excellent</v>
      </c>
      <c r="S201" t="s">
        <v>605</v>
      </c>
    </row>
    <row r="202" spans="1:19" x14ac:dyDescent="0.2">
      <c r="A202" t="s">
        <v>813</v>
      </c>
      <c r="B202" t="s">
        <v>90</v>
      </c>
      <c r="C202" t="s">
        <v>617</v>
      </c>
      <c r="D202">
        <v>1922.94</v>
      </c>
      <c r="E202" s="37" t="str">
        <f t="shared" si="15"/>
        <v xml:space="preserve"> </v>
      </c>
      <c r="F202">
        <v>0.32</v>
      </c>
      <c r="G202" s="37" t="str">
        <f t="shared" si="16"/>
        <v>Heavy Discount</v>
      </c>
      <c r="H202" s="37" t="str">
        <f t="shared" si="17"/>
        <v>Medium</v>
      </c>
      <c r="I202">
        <v>1</v>
      </c>
      <c r="J202" t="str" cm="1">
        <f t="array" ref="J202">_xlfn.IFS(I202&lt;=3,"small",I202&lt;=6,"Medium",I202&lt;=9,"Large")</f>
        <v>small</v>
      </c>
      <c r="K202" s="36">
        <v>45399</v>
      </c>
      <c r="L202" s="36">
        <v>45406</v>
      </c>
      <c r="M202" t="s">
        <v>603</v>
      </c>
      <c r="N202" t="s">
        <v>608</v>
      </c>
      <c r="O202" s="37" t="str">
        <f t="shared" si="18"/>
        <v>Cash Payment</v>
      </c>
      <c r="P202">
        <v>235.46</v>
      </c>
      <c r="Q202" s="37" t="str">
        <f>IF(P202&gt;500,"High","low")</f>
        <v>low</v>
      </c>
      <c r="R202" s="37" t="str">
        <f t="shared" si="19"/>
        <v>AVERAGE</v>
      </c>
      <c r="S202" t="s">
        <v>615</v>
      </c>
    </row>
    <row r="203" spans="1:19" x14ac:dyDescent="0.2">
      <c r="A203" t="s">
        <v>814</v>
      </c>
      <c r="B203" t="s">
        <v>67</v>
      </c>
      <c r="C203" t="s">
        <v>607</v>
      </c>
      <c r="D203">
        <v>1606.15</v>
      </c>
      <c r="E203" s="37" t="str">
        <f t="shared" si="15"/>
        <v xml:space="preserve"> </v>
      </c>
      <c r="F203">
        <v>0.25</v>
      </c>
      <c r="G203" s="37" t="str">
        <f t="shared" si="16"/>
        <v>Normal Discount</v>
      </c>
      <c r="H203" s="37" t="str">
        <f t="shared" si="17"/>
        <v>Medium</v>
      </c>
      <c r="I203">
        <v>6</v>
      </c>
      <c r="J203" t="str" cm="1">
        <f t="array" ref="J203">_xlfn.IFS(I203&lt;=3,"small",I203&lt;=6,"Medium",I203&lt;=9,"Large")</f>
        <v>Medium</v>
      </c>
      <c r="K203" s="36">
        <v>45199</v>
      </c>
      <c r="L203" s="36">
        <v>45203</v>
      </c>
      <c r="M203" t="s">
        <v>603</v>
      </c>
      <c r="N203" t="s">
        <v>604</v>
      </c>
      <c r="O203" s="37" t="str">
        <f t="shared" si="18"/>
        <v>Digital Payment</v>
      </c>
      <c r="P203">
        <v>432.87</v>
      </c>
      <c r="Q203" s="37" t="str">
        <f>IF(P203&gt;500,"High","low")</f>
        <v>low</v>
      </c>
      <c r="R203" s="37" t="str">
        <f t="shared" si="19"/>
        <v>AVERAGE</v>
      </c>
      <c r="S203" t="s">
        <v>600</v>
      </c>
    </row>
    <row r="204" spans="1:19" x14ac:dyDescent="0.2">
      <c r="A204" t="s">
        <v>815</v>
      </c>
      <c r="B204" t="s">
        <v>90</v>
      </c>
      <c r="C204" t="s">
        <v>614</v>
      </c>
      <c r="D204">
        <v>3890.47</v>
      </c>
      <c r="E204" s="37" t="str">
        <f t="shared" si="15"/>
        <v xml:space="preserve"> </v>
      </c>
      <c r="F204">
        <v>0.09</v>
      </c>
      <c r="G204" s="37" t="str">
        <f t="shared" si="16"/>
        <v>Normal Discount</v>
      </c>
      <c r="H204" s="37" t="str">
        <f t="shared" si="17"/>
        <v>Low</v>
      </c>
      <c r="I204">
        <v>5</v>
      </c>
      <c r="J204" t="str" cm="1">
        <f t="array" ref="J204">_xlfn.IFS(I204&lt;=3,"small",I204&lt;=6,"Medium",I204&lt;=9,"Large")</f>
        <v>Medium</v>
      </c>
      <c r="K204" s="36">
        <v>45616</v>
      </c>
      <c r="L204" s="36">
        <v>45621</v>
      </c>
      <c r="M204" t="s">
        <v>603</v>
      </c>
      <c r="N204" t="s">
        <v>608</v>
      </c>
      <c r="O204" s="37" t="str">
        <f t="shared" si="18"/>
        <v>Cash Payment</v>
      </c>
      <c r="P204">
        <v>1028.18</v>
      </c>
      <c r="Q204" s="37" t="str">
        <f>IF(P204&gt;500,"High","low")</f>
        <v>High</v>
      </c>
      <c r="R204" s="37" t="str">
        <f t="shared" si="19"/>
        <v>Excellent</v>
      </c>
      <c r="S204" t="s">
        <v>620</v>
      </c>
    </row>
    <row r="205" spans="1:19" x14ac:dyDescent="0.2">
      <c r="A205" t="s">
        <v>816</v>
      </c>
      <c r="B205" t="s">
        <v>75</v>
      </c>
      <c r="C205" t="s">
        <v>607</v>
      </c>
      <c r="D205">
        <v>4404.71</v>
      </c>
      <c r="E205" s="37" t="str">
        <f t="shared" si="15"/>
        <v xml:space="preserve"> </v>
      </c>
      <c r="F205">
        <v>0.09</v>
      </c>
      <c r="G205" s="37" t="str">
        <f t="shared" si="16"/>
        <v>Normal Discount</v>
      </c>
      <c r="H205" s="37" t="str">
        <f t="shared" si="17"/>
        <v>Low</v>
      </c>
      <c r="I205">
        <v>9</v>
      </c>
      <c r="J205" t="str" cm="1">
        <f t="array" ref="J205">_xlfn.IFS(I205&lt;=3,"small",I205&lt;=6,"Medium",I205&lt;=9,"Large")</f>
        <v>Large</v>
      </c>
      <c r="K205" s="36">
        <v>45016</v>
      </c>
      <c r="L205" s="36">
        <v>45017</v>
      </c>
      <c r="M205" t="s">
        <v>603</v>
      </c>
      <c r="N205" t="s">
        <v>608</v>
      </c>
      <c r="O205" s="37" t="str">
        <f t="shared" si="18"/>
        <v>Cash Payment</v>
      </c>
      <c r="P205">
        <v>721</v>
      </c>
      <c r="Q205" s="37" t="str">
        <f>IF(P205&gt;500,"High","low")</f>
        <v>High</v>
      </c>
      <c r="R205" s="37" t="str">
        <f t="shared" si="19"/>
        <v>Good</v>
      </c>
      <c r="S205" t="s">
        <v>620</v>
      </c>
    </row>
    <row r="206" spans="1:19" x14ac:dyDescent="0.2">
      <c r="A206" t="s">
        <v>817</v>
      </c>
      <c r="B206" t="s">
        <v>67</v>
      </c>
      <c r="C206" t="s">
        <v>614</v>
      </c>
      <c r="D206">
        <v>3157.7</v>
      </c>
      <c r="E206" s="37" t="str">
        <f t="shared" si="15"/>
        <v xml:space="preserve"> </v>
      </c>
      <c r="F206">
        <v>0.47</v>
      </c>
      <c r="G206" s="37" t="str">
        <f t="shared" si="16"/>
        <v>Heavy Discount</v>
      </c>
      <c r="H206" s="37" t="str">
        <f t="shared" si="17"/>
        <v>High</v>
      </c>
      <c r="I206">
        <v>4</v>
      </c>
      <c r="J206" t="str" cm="1">
        <f t="array" ref="J206">_xlfn.IFS(I206&lt;=3,"small",I206&lt;=6,"Medium",I206&lt;=9,"Large")</f>
        <v>Medium</v>
      </c>
      <c r="K206" s="36">
        <v>45196</v>
      </c>
      <c r="L206" s="36">
        <v>45203</v>
      </c>
      <c r="M206" t="s">
        <v>612</v>
      </c>
      <c r="N206" t="s">
        <v>599</v>
      </c>
      <c r="O206" s="37" t="str">
        <f t="shared" si="18"/>
        <v>Digital Payment</v>
      </c>
      <c r="P206">
        <v>788.19</v>
      </c>
      <c r="Q206" s="37" t="str">
        <f>IF(P206&gt;500,"High","low")</f>
        <v>High</v>
      </c>
      <c r="R206" s="37" t="str">
        <f t="shared" si="19"/>
        <v>Good</v>
      </c>
      <c r="S206" t="s">
        <v>615</v>
      </c>
    </row>
    <row r="207" spans="1:19" x14ac:dyDescent="0.2">
      <c r="A207" t="s">
        <v>818</v>
      </c>
      <c r="B207" t="s">
        <v>75</v>
      </c>
      <c r="C207" t="s">
        <v>607</v>
      </c>
      <c r="D207">
        <v>4644.28</v>
      </c>
      <c r="E207" s="37" t="str">
        <f t="shared" si="15"/>
        <v>Excellent Order</v>
      </c>
      <c r="F207">
        <v>0.44</v>
      </c>
      <c r="G207" s="37" t="str">
        <f t="shared" si="16"/>
        <v>Heavy Discount</v>
      </c>
      <c r="H207" s="37" t="str">
        <f t="shared" si="17"/>
        <v>High</v>
      </c>
      <c r="I207">
        <v>5</v>
      </c>
      <c r="J207" t="str" cm="1">
        <f t="array" ref="J207">_xlfn.IFS(I207&lt;=3,"small",I207&lt;=6,"Medium",I207&lt;=9,"Large")</f>
        <v>Medium</v>
      </c>
      <c r="K207" s="36">
        <v>45477</v>
      </c>
      <c r="L207" s="36">
        <v>45481</v>
      </c>
      <c r="M207" t="s">
        <v>612</v>
      </c>
      <c r="N207" t="s">
        <v>608</v>
      </c>
      <c r="O207" s="37" t="str">
        <f t="shared" si="18"/>
        <v>Cash Payment</v>
      </c>
      <c r="P207">
        <v>1095.22</v>
      </c>
      <c r="Q207" s="37" t="str">
        <f>IF(P207&gt;500,"High","low")</f>
        <v>High</v>
      </c>
      <c r="R207" s="37" t="str">
        <f t="shared" si="19"/>
        <v>Excellent</v>
      </c>
      <c r="S207" t="s">
        <v>615</v>
      </c>
    </row>
    <row r="208" spans="1:19" x14ac:dyDescent="0.2">
      <c r="A208" t="s">
        <v>819</v>
      </c>
      <c r="B208" t="s">
        <v>67</v>
      </c>
      <c r="C208" t="s">
        <v>602</v>
      </c>
      <c r="D208">
        <v>1976.91</v>
      </c>
      <c r="E208" s="37" t="str">
        <f t="shared" si="15"/>
        <v xml:space="preserve"> </v>
      </c>
      <c r="F208">
        <v>0.31</v>
      </c>
      <c r="G208" s="37" t="str">
        <f t="shared" si="16"/>
        <v>Heavy Discount</v>
      </c>
      <c r="H208" s="37" t="str">
        <f t="shared" si="17"/>
        <v>Medium</v>
      </c>
      <c r="I208">
        <v>5</v>
      </c>
      <c r="J208" t="str" cm="1">
        <f t="array" ref="J208">_xlfn.IFS(I208&lt;=3,"small",I208&lt;=6,"Medium",I208&lt;=9,"Large")</f>
        <v>Medium</v>
      </c>
      <c r="K208" s="36">
        <v>45046</v>
      </c>
      <c r="L208" s="36">
        <v>45051</v>
      </c>
      <c r="M208" t="s">
        <v>603</v>
      </c>
      <c r="N208" t="s">
        <v>608</v>
      </c>
      <c r="O208" s="37" t="str">
        <f t="shared" si="18"/>
        <v>Cash Payment</v>
      </c>
      <c r="P208">
        <v>121.08</v>
      </c>
      <c r="Q208" s="37" t="str">
        <f>IF(P208&gt;500,"High","low")</f>
        <v>low</v>
      </c>
      <c r="R208" s="37" t="str">
        <f t="shared" si="19"/>
        <v>AVERAGE</v>
      </c>
      <c r="S208" t="s">
        <v>615</v>
      </c>
    </row>
    <row r="209" spans="1:19" x14ac:dyDescent="0.2">
      <c r="A209" t="s">
        <v>820</v>
      </c>
      <c r="B209" t="s">
        <v>67</v>
      </c>
      <c r="C209" t="s">
        <v>607</v>
      </c>
      <c r="D209">
        <v>844.24</v>
      </c>
      <c r="E209" s="37" t="str">
        <f t="shared" si="15"/>
        <v xml:space="preserve"> </v>
      </c>
      <c r="F209">
        <v>0</v>
      </c>
      <c r="G209" s="37" t="str">
        <f t="shared" si="16"/>
        <v>Normal Discount</v>
      </c>
      <c r="H209" s="37" t="str">
        <f t="shared" si="17"/>
        <v>Low</v>
      </c>
      <c r="I209">
        <v>2</v>
      </c>
      <c r="J209" t="str" cm="1">
        <f t="array" ref="J209">_xlfn.IFS(I209&lt;=3,"small",I209&lt;=6,"Medium",I209&lt;=9,"Large")</f>
        <v>small</v>
      </c>
      <c r="K209" s="36">
        <v>45493</v>
      </c>
      <c r="L209" s="36">
        <v>45498</v>
      </c>
      <c r="M209" t="s">
        <v>603</v>
      </c>
      <c r="N209" t="s">
        <v>604</v>
      </c>
      <c r="O209" s="37" t="str">
        <f t="shared" si="18"/>
        <v>Digital Payment</v>
      </c>
      <c r="P209">
        <v>47.74</v>
      </c>
      <c r="Q209" s="37" t="str">
        <f>IF(P209&gt;500,"High","low")</f>
        <v>low</v>
      </c>
      <c r="R209" s="37" t="str">
        <f t="shared" si="19"/>
        <v>AVERAGE</v>
      </c>
      <c r="S209" t="s">
        <v>609</v>
      </c>
    </row>
    <row r="210" spans="1:19" x14ac:dyDescent="0.2">
      <c r="A210" t="s">
        <v>821</v>
      </c>
      <c r="B210" t="s">
        <v>83</v>
      </c>
      <c r="C210" t="s">
        <v>617</v>
      </c>
      <c r="D210">
        <v>980.25</v>
      </c>
      <c r="E210" s="37" t="str">
        <f t="shared" si="15"/>
        <v xml:space="preserve"> </v>
      </c>
      <c r="F210">
        <v>0.22</v>
      </c>
      <c r="G210" s="37" t="str">
        <f t="shared" si="16"/>
        <v>Normal Discount</v>
      </c>
      <c r="H210" s="37" t="str">
        <f t="shared" si="17"/>
        <v>Medium</v>
      </c>
      <c r="I210">
        <v>2</v>
      </c>
      <c r="J210" t="str" cm="1">
        <f t="array" ref="J210">_xlfn.IFS(I210&lt;=3,"small",I210&lt;=6,"Medium",I210&lt;=9,"Large")</f>
        <v>small</v>
      </c>
      <c r="K210" s="36">
        <v>45166</v>
      </c>
      <c r="L210" s="36">
        <v>45169</v>
      </c>
      <c r="M210" t="s">
        <v>612</v>
      </c>
      <c r="N210" t="s">
        <v>604</v>
      </c>
      <c r="O210" s="37" t="str">
        <f t="shared" si="18"/>
        <v>Digital Payment</v>
      </c>
      <c r="P210">
        <v>70.55</v>
      </c>
      <c r="Q210" s="37" t="str">
        <f>IF(P210&gt;500,"High","low")</f>
        <v>low</v>
      </c>
      <c r="R210" s="37" t="str">
        <f t="shared" si="19"/>
        <v>AVERAGE</v>
      </c>
      <c r="S210" t="s">
        <v>605</v>
      </c>
    </row>
    <row r="211" spans="1:19" x14ac:dyDescent="0.2">
      <c r="A211" t="s">
        <v>822</v>
      </c>
      <c r="B211" t="s">
        <v>75</v>
      </c>
      <c r="C211" t="s">
        <v>614</v>
      </c>
      <c r="D211">
        <v>3382.18</v>
      </c>
      <c r="E211" s="37" t="str">
        <f t="shared" si="15"/>
        <v xml:space="preserve"> </v>
      </c>
      <c r="F211">
        <v>0.27</v>
      </c>
      <c r="G211" s="37" t="str">
        <f t="shared" si="16"/>
        <v>Normal Discount</v>
      </c>
      <c r="H211" s="37" t="str">
        <f t="shared" si="17"/>
        <v>Medium</v>
      </c>
      <c r="I211">
        <v>9</v>
      </c>
      <c r="J211" t="str" cm="1">
        <f t="array" ref="J211">_xlfn.IFS(I211&lt;=3,"small",I211&lt;=6,"Medium",I211&lt;=9,"Large")</f>
        <v>Large</v>
      </c>
      <c r="K211" s="36">
        <v>45191</v>
      </c>
      <c r="L211" s="36">
        <v>45196</v>
      </c>
      <c r="M211" t="s">
        <v>603</v>
      </c>
      <c r="N211" t="s">
        <v>604</v>
      </c>
      <c r="O211" s="37" t="str">
        <f t="shared" si="18"/>
        <v>Digital Payment</v>
      </c>
      <c r="P211">
        <v>970.91</v>
      </c>
      <c r="Q211" s="37" t="str">
        <f>IF(P211&gt;500,"High","low")</f>
        <v>High</v>
      </c>
      <c r="R211" s="37" t="str">
        <f t="shared" si="19"/>
        <v>Good</v>
      </c>
      <c r="S211" t="s">
        <v>605</v>
      </c>
    </row>
    <row r="212" spans="1:19" x14ac:dyDescent="0.2">
      <c r="A212" t="s">
        <v>823</v>
      </c>
      <c r="B212" t="s">
        <v>90</v>
      </c>
      <c r="C212" t="s">
        <v>597</v>
      </c>
      <c r="D212">
        <v>2096.88</v>
      </c>
      <c r="E212" s="37" t="str">
        <f t="shared" si="15"/>
        <v xml:space="preserve"> </v>
      </c>
      <c r="F212">
        <v>0.22</v>
      </c>
      <c r="G212" s="37" t="str">
        <f t="shared" si="16"/>
        <v>Normal Discount</v>
      </c>
      <c r="H212" s="37" t="str">
        <f t="shared" si="17"/>
        <v>Medium</v>
      </c>
      <c r="I212">
        <v>3</v>
      </c>
      <c r="J212" t="str" cm="1">
        <f t="array" ref="J212">_xlfn.IFS(I212&lt;=3,"small",I212&lt;=6,"Medium",I212&lt;=9,"Large")</f>
        <v>small</v>
      </c>
      <c r="K212" s="36">
        <v>45117</v>
      </c>
      <c r="L212" s="36">
        <v>45120</v>
      </c>
      <c r="M212" t="s">
        <v>603</v>
      </c>
      <c r="N212" t="s">
        <v>604</v>
      </c>
      <c r="O212" s="37" t="str">
        <f t="shared" si="18"/>
        <v>Digital Payment</v>
      </c>
      <c r="P212">
        <v>478.55</v>
      </c>
      <c r="Q212" s="37" t="str">
        <f>IF(P212&gt;500,"High","low")</f>
        <v>low</v>
      </c>
      <c r="R212" s="37" t="str">
        <f t="shared" si="19"/>
        <v>AVERAGE</v>
      </c>
      <c r="S212" t="s">
        <v>605</v>
      </c>
    </row>
    <row r="213" spans="1:19" x14ac:dyDescent="0.2">
      <c r="A213" t="s">
        <v>824</v>
      </c>
      <c r="B213" t="s">
        <v>90</v>
      </c>
      <c r="C213" t="s">
        <v>617</v>
      </c>
      <c r="D213">
        <v>865.94</v>
      </c>
      <c r="E213" s="37" t="str">
        <f t="shared" si="15"/>
        <v xml:space="preserve"> </v>
      </c>
      <c r="F213">
        <v>0.46</v>
      </c>
      <c r="G213" s="37" t="str">
        <f t="shared" si="16"/>
        <v>Heavy Discount</v>
      </c>
      <c r="H213" s="37" t="str">
        <f t="shared" si="17"/>
        <v>High</v>
      </c>
      <c r="I213">
        <v>6</v>
      </c>
      <c r="J213" t="str" cm="1">
        <f t="array" ref="J213">_xlfn.IFS(I213&lt;=3,"small",I213&lt;=6,"Medium",I213&lt;=9,"Large")</f>
        <v>Medium</v>
      </c>
      <c r="K213" s="36">
        <v>45209</v>
      </c>
      <c r="L213" s="36">
        <v>45214</v>
      </c>
      <c r="M213" t="s">
        <v>612</v>
      </c>
      <c r="N213" t="s">
        <v>599</v>
      </c>
      <c r="O213" s="37" t="str">
        <f t="shared" si="18"/>
        <v>Digital Payment</v>
      </c>
      <c r="P213">
        <v>133.02000000000001</v>
      </c>
      <c r="Q213" s="37" t="str">
        <f>IF(P213&gt;500,"High","low")</f>
        <v>low</v>
      </c>
      <c r="R213" s="37" t="str">
        <f t="shared" si="19"/>
        <v>AVERAGE</v>
      </c>
      <c r="S213" t="s">
        <v>600</v>
      </c>
    </row>
    <row r="214" spans="1:19" x14ac:dyDescent="0.2">
      <c r="A214" t="s">
        <v>825</v>
      </c>
      <c r="B214" t="s">
        <v>75</v>
      </c>
      <c r="C214" t="s">
        <v>614</v>
      </c>
      <c r="D214">
        <v>1531.91</v>
      </c>
      <c r="E214" s="37" t="str">
        <f t="shared" si="15"/>
        <v xml:space="preserve"> </v>
      </c>
      <c r="F214">
        <v>0.02</v>
      </c>
      <c r="G214" s="37" t="str">
        <f t="shared" si="16"/>
        <v>Normal Discount</v>
      </c>
      <c r="H214" s="37" t="str">
        <f t="shared" si="17"/>
        <v>Low</v>
      </c>
      <c r="I214">
        <v>4</v>
      </c>
      <c r="J214" t="str" cm="1">
        <f t="array" ref="J214">_xlfn.IFS(I214&lt;=3,"small",I214&lt;=6,"Medium",I214&lt;=9,"Large")</f>
        <v>Medium</v>
      </c>
      <c r="K214" s="36">
        <v>45601</v>
      </c>
      <c r="L214" s="36">
        <v>45603</v>
      </c>
      <c r="M214" t="s">
        <v>612</v>
      </c>
      <c r="N214" t="s">
        <v>604</v>
      </c>
      <c r="O214" s="37" t="str">
        <f t="shared" si="18"/>
        <v>Digital Payment</v>
      </c>
      <c r="P214">
        <v>161.16</v>
      </c>
      <c r="Q214" s="37" t="str">
        <f>IF(P214&gt;500,"High","low")</f>
        <v>low</v>
      </c>
      <c r="R214" s="37" t="str">
        <f t="shared" si="19"/>
        <v>AVERAGE</v>
      </c>
      <c r="S214" t="s">
        <v>620</v>
      </c>
    </row>
    <row r="215" spans="1:19" x14ac:dyDescent="0.2">
      <c r="A215" t="s">
        <v>826</v>
      </c>
      <c r="B215" t="s">
        <v>90</v>
      </c>
      <c r="C215" t="s">
        <v>614</v>
      </c>
      <c r="D215">
        <v>2699.96</v>
      </c>
      <c r="E215" s="37" t="str">
        <f t="shared" si="15"/>
        <v xml:space="preserve"> </v>
      </c>
      <c r="F215">
        <v>0.33</v>
      </c>
      <c r="G215" s="37" t="str">
        <f t="shared" si="16"/>
        <v>Heavy Discount</v>
      </c>
      <c r="H215" s="37" t="str">
        <f t="shared" si="17"/>
        <v>Medium</v>
      </c>
      <c r="I215">
        <v>4</v>
      </c>
      <c r="J215" t="str" cm="1">
        <f t="array" ref="J215">_xlfn.IFS(I215&lt;=3,"small",I215&lt;=6,"Medium",I215&lt;=9,"Large")</f>
        <v>Medium</v>
      </c>
      <c r="K215" s="36">
        <v>45390</v>
      </c>
      <c r="L215" s="36">
        <v>45392</v>
      </c>
      <c r="M215" t="s">
        <v>612</v>
      </c>
      <c r="N215" t="s">
        <v>599</v>
      </c>
      <c r="O215" s="37" t="str">
        <f t="shared" si="18"/>
        <v>Digital Payment</v>
      </c>
      <c r="P215">
        <v>774.75</v>
      </c>
      <c r="Q215" s="37" t="str">
        <f>IF(P215&gt;500,"High","low")</f>
        <v>High</v>
      </c>
      <c r="R215" s="37" t="str">
        <f t="shared" si="19"/>
        <v>Good</v>
      </c>
      <c r="S215" t="s">
        <v>600</v>
      </c>
    </row>
    <row r="216" spans="1:19" x14ac:dyDescent="0.2">
      <c r="A216" t="s">
        <v>827</v>
      </c>
      <c r="B216" t="s">
        <v>90</v>
      </c>
      <c r="C216" t="s">
        <v>597</v>
      </c>
      <c r="D216">
        <v>695.08</v>
      </c>
      <c r="E216" s="37" t="str">
        <f t="shared" si="15"/>
        <v xml:space="preserve"> </v>
      </c>
      <c r="F216">
        <v>0.16</v>
      </c>
      <c r="G216" s="37" t="str">
        <f t="shared" si="16"/>
        <v>Normal Discount</v>
      </c>
      <c r="H216" s="37" t="str">
        <f t="shared" si="17"/>
        <v>Low</v>
      </c>
      <c r="I216">
        <v>5</v>
      </c>
      <c r="J216" t="str" cm="1">
        <f t="array" ref="J216">_xlfn.IFS(I216&lt;=3,"small",I216&lt;=6,"Medium",I216&lt;=9,"Large")</f>
        <v>Medium</v>
      </c>
      <c r="K216" s="36">
        <v>45652</v>
      </c>
      <c r="L216" s="36">
        <v>45654</v>
      </c>
      <c r="M216" t="s">
        <v>598</v>
      </c>
      <c r="N216" t="s">
        <v>599</v>
      </c>
      <c r="O216" s="37" t="str">
        <f t="shared" si="18"/>
        <v>Digital Payment</v>
      </c>
      <c r="P216">
        <v>77.209999999999994</v>
      </c>
      <c r="Q216" s="37" t="str">
        <f>IF(P216&gt;500,"High","low")</f>
        <v>low</v>
      </c>
      <c r="R216" s="37" t="str">
        <f t="shared" si="19"/>
        <v>AVERAGE</v>
      </c>
      <c r="S216" t="s">
        <v>620</v>
      </c>
    </row>
    <row r="217" spans="1:19" x14ac:dyDescent="0.2">
      <c r="A217" t="s">
        <v>828</v>
      </c>
      <c r="B217" t="s">
        <v>75</v>
      </c>
      <c r="C217" t="s">
        <v>602</v>
      </c>
      <c r="D217">
        <v>116.87</v>
      </c>
      <c r="E217" s="37" t="str">
        <f t="shared" si="15"/>
        <v xml:space="preserve"> </v>
      </c>
      <c r="F217">
        <v>0.28000000000000003</v>
      </c>
      <c r="G217" s="37" t="str">
        <f t="shared" si="16"/>
        <v>Normal Discount</v>
      </c>
      <c r="H217" s="37" t="str">
        <f t="shared" si="17"/>
        <v>Medium</v>
      </c>
      <c r="I217">
        <v>5</v>
      </c>
      <c r="J217" t="str" cm="1">
        <f t="array" ref="J217">_xlfn.IFS(I217&lt;=3,"small",I217&lt;=6,"Medium",I217&lt;=9,"Large")</f>
        <v>Medium</v>
      </c>
      <c r="K217" s="36">
        <v>45016</v>
      </c>
      <c r="L217" s="36">
        <v>45018</v>
      </c>
      <c r="M217" t="s">
        <v>603</v>
      </c>
      <c r="N217" t="s">
        <v>604</v>
      </c>
      <c r="O217" s="37" t="str">
        <f t="shared" si="18"/>
        <v>Digital Payment</v>
      </c>
      <c r="P217">
        <v>21.73</v>
      </c>
      <c r="Q217" s="37" t="str">
        <f>IF(P217&gt;500,"High","low")</f>
        <v>low</v>
      </c>
      <c r="R217" s="37" t="str">
        <f t="shared" si="19"/>
        <v>AVERAGE</v>
      </c>
      <c r="S217" t="s">
        <v>600</v>
      </c>
    </row>
    <row r="218" spans="1:19" x14ac:dyDescent="0.2">
      <c r="A218" t="s">
        <v>829</v>
      </c>
      <c r="B218" t="s">
        <v>67</v>
      </c>
      <c r="C218" t="s">
        <v>617</v>
      </c>
      <c r="D218">
        <v>4594.76</v>
      </c>
      <c r="E218" s="37" t="str">
        <f t="shared" si="15"/>
        <v xml:space="preserve"> </v>
      </c>
      <c r="F218">
        <v>0.33</v>
      </c>
      <c r="G218" s="37" t="str">
        <f t="shared" si="16"/>
        <v>Heavy Discount</v>
      </c>
      <c r="H218" s="37" t="str">
        <f t="shared" si="17"/>
        <v>Medium</v>
      </c>
      <c r="I218">
        <v>7</v>
      </c>
      <c r="J218" t="str" cm="1">
        <f t="array" ref="J218">_xlfn.IFS(I218&lt;=3,"small",I218&lt;=6,"Medium",I218&lt;=9,"Large")</f>
        <v>Large</v>
      </c>
      <c r="K218" s="36">
        <v>45285</v>
      </c>
      <c r="L218" s="36">
        <v>45291</v>
      </c>
      <c r="M218" t="s">
        <v>612</v>
      </c>
      <c r="N218" t="s">
        <v>604</v>
      </c>
      <c r="O218" s="37" t="str">
        <f t="shared" si="18"/>
        <v>Digital Payment</v>
      </c>
      <c r="P218">
        <v>509.07</v>
      </c>
      <c r="Q218" s="37" t="str">
        <f>IF(P218&gt;500,"High","low")</f>
        <v>High</v>
      </c>
      <c r="R218" s="37" t="str">
        <f t="shared" si="19"/>
        <v>Good</v>
      </c>
      <c r="S218" t="s">
        <v>628</v>
      </c>
    </row>
    <row r="219" spans="1:19" x14ac:dyDescent="0.2">
      <c r="A219" t="s">
        <v>830</v>
      </c>
      <c r="B219" t="s">
        <v>75</v>
      </c>
      <c r="C219" t="s">
        <v>597</v>
      </c>
      <c r="D219">
        <v>1593.82</v>
      </c>
      <c r="E219" s="37" t="str">
        <f t="shared" si="15"/>
        <v xml:space="preserve"> </v>
      </c>
      <c r="F219">
        <v>0.22</v>
      </c>
      <c r="G219" s="37" t="str">
        <f t="shared" si="16"/>
        <v>Normal Discount</v>
      </c>
      <c r="H219" s="37" t="str">
        <f t="shared" si="17"/>
        <v>Medium</v>
      </c>
      <c r="I219">
        <v>7</v>
      </c>
      <c r="J219" t="str" cm="1">
        <f t="array" ref="J219">_xlfn.IFS(I219&lt;=3,"small",I219&lt;=6,"Medium",I219&lt;=9,"Large")</f>
        <v>Large</v>
      </c>
      <c r="K219" s="36">
        <v>45306</v>
      </c>
      <c r="L219" s="36">
        <v>45308</v>
      </c>
      <c r="M219" t="s">
        <v>603</v>
      </c>
      <c r="N219" t="s">
        <v>604</v>
      </c>
      <c r="O219" s="37" t="str">
        <f t="shared" si="18"/>
        <v>Digital Payment</v>
      </c>
      <c r="P219">
        <v>369.28</v>
      </c>
      <c r="Q219" s="37" t="str">
        <f>IF(P219&gt;500,"High","low")</f>
        <v>low</v>
      </c>
      <c r="R219" s="37" t="str">
        <f t="shared" si="19"/>
        <v>AVERAGE</v>
      </c>
      <c r="S219" t="s">
        <v>615</v>
      </c>
    </row>
    <row r="220" spans="1:19" x14ac:dyDescent="0.2">
      <c r="A220" t="s">
        <v>831</v>
      </c>
      <c r="B220" t="s">
        <v>67</v>
      </c>
      <c r="C220" t="s">
        <v>597</v>
      </c>
      <c r="D220">
        <v>1185.3399999999999</v>
      </c>
      <c r="E220" s="37" t="str">
        <f t="shared" si="15"/>
        <v xml:space="preserve"> </v>
      </c>
      <c r="F220">
        <v>7.0000000000000007E-2</v>
      </c>
      <c r="G220" s="37" t="str">
        <f t="shared" si="16"/>
        <v>Normal Discount</v>
      </c>
      <c r="H220" s="37" t="str">
        <f t="shared" si="17"/>
        <v>Low</v>
      </c>
      <c r="I220">
        <v>1</v>
      </c>
      <c r="J220" t="str" cm="1">
        <f t="array" ref="J220">_xlfn.IFS(I220&lt;=3,"small",I220&lt;=6,"Medium",I220&lt;=9,"Large")</f>
        <v>small</v>
      </c>
      <c r="K220" s="36">
        <v>45093</v>
      </c>
      <c r="L220" s="36">
        <v>45100</v>
      </c>
      <c r="M220" t="s">
        <v>598</v>
      </c>
      <c r="N220" t="s">
        <v>608</v>
      </c>
      <c r="O220" s="37" t="str">
        <f t="shared" si="18"/>
        <v>Cash Payment</v>
      </c>
      <c r="P220">
        <v>110.39</v>
      </c>
      <c r="Q220" s="37" t="str">
        <f>IF(P220&gt;500,"High","low")</f>
        <v>low</v>
      </c>
      <c r="R220" s="37" t="str">
        <f t="shared" si="19"/>
        <v>AVERAGE</v>
      </c>
      <c r="S220" t="s">
        <v>605</v>
      </c>
    </row>
    <row r="221" spans="1:19" x14ac:dyDescent="0.2">
      <c r="A221" t="s">
        <v>832</v>
      </c>
      <c r="B221" t="s">
        <v>90</v>
      </c>
      <c r="C221" t="s">
        <v>602</v>
      </c>
      <c r="D221">
        <v>3522.56</v>
      </c>
      <c r="E221" s="37" t="str">
        <f t="shared" si="15"/>
        <v xml:space="preserve"> </v>
      </c>
      <c r="F221">
        <v>0.26</v>
      </c>
      <c r="G221" s="37" t="str">
        <f t="shared" si="16"/>
        <v>Normal Discount</v>
      </c>
      <c r="H221" s="37" t="str">
        <f t="shared" si="17"/>
        <v>Medium</v>
      </c>
      <c r="I221">
        <v>6</v>
      </c>
      <c r="J221" t="str" cm="1">
        <f t="array" ref="J221">_xlfn.IFS(I221&lt;=3,"small",I221&lt;=6,"Medium",I221&lt;=9,"Large")</f>
        <v>Medium</v>
      </c>
      <c r="K221" s="36">
        <v>45618</v>
      </c>
      <c r="L221" s="36">
        <v>45625</v>
      </c>
      <c r="M221" t="s">
        <v>612</v>
      </c>
      <c r="N221" t="s">
        <v>604</v>
      </c>
      <c r="O221" s="37" t="str">
        <f t="shared" si="18"/>
        <v>Digital Payment</v>
      </c>
      <c r="P221">
        <v>700.49</v>
      </c>
      <c r="Q221" s="37" t="str">
        <f>IF(P221&gt;500,"High","low")</f>
        <v>High</v>
      </c>
      <c r="R221" s="37" t="str">
        <f t="shared" si="19"/>
        <v>Good</v>
      </c>
      <c r="S221" t="s">
        <v>628</v>
      </c>
    </row>
    <row r="222" spans="1:19" x14ac:dyDescent="0.2">
      <c r="A222" t="s">
        <v>833</v>
      </c>
      <c r="B222" t="s">
        <v>90</v>
      </c>
      <c r="C222" t="s">
        <v>617</v>
      </c>
      <c r="D222">
        <v>4281.67</v>
      </c>
      <c r="E222" s="37" t="str">
        <f t="shared" si="15"/>
        <v>Excellent Order</v>
      </c>
      <c r="F222">
        <v>0.47</v>
      </c>
      <c r="G222" s="37" t="str">
        <f t="shared" si="16"/>
        <v>Heavy Discount</v>
      </c>
      <c r="H222" s="37" t="str">
        <f t="shared" si="17"/>
        <v>High</v>
      </c>
      <c r="I222">
        <v>4</v>
      </c>
      <c r="J222" t="str" cm="1">
        <f t="array" ref="J222">_xlfn.IFS(I222&lt;=3,"small",I222&lt;=6,"Medium",I222&lt;=9,"Large")</f>
        <v>Medium</v>
      </c>
      <c r="K222" s="36">
        <v>45542</v>
      </c>
      <c r="L222" s="36">
        <v>45547</v>
      </c>
      <c r="M222" t="s">
        <v>612</v>
      </c>
      <c r="N222" t="s">
        <v>604</v>
      </c>
      <c r="O222" s="37" t="str">
        <f t="shared" si="18"/>
        <v>Digital Payment</v>
      </c>
      <c r="P222">
        <v>909.46</v>
      </c>
      <c r="Q222" s="37" t="str">
        <f>IF(P222&gt;500,"High","low")</f>
        <v>High</v>
      </c>
      <c r="R222" s="37" t="str">
        <f t="shared" si="19"/>
        <v>Good</v>
      </c>
      <c r="S222" t="s">
        <v>628</v>
      </c>
    </row>
    <row r="223" spans="1:19" x14ac:dyDescent="0.2">
      <c r="A223" t="s">
        <v>834</v>
      </c>
      <c r="B223" t="s">
        <v>90</v>
      </c>
      <c r="C223" t="s">
        <v>597</v>
      </c>
      <c r="D223">
        <v>3198.17</v>
      </c>
      <c r="E223" s="37" t="str">
        <f t="shared" si="15"/>
        <v xml:space="preserve"> </v>
      </c>
      <c r="F223">
        <v>0.27</v>
      </c>
      <c r="G223" s="37" t="str">
        <f t="shared" si="16"/>
        <v>Normal Discount</v>
      </c>
      <c r="H223" s="37" t="str">
        <f t="shared" si="17"/>
        <v>Medium</v>
      </c>
      <c r="I223">
        <v>2</v>
      </c>
      <c r="J223" t="str" cm="1">
        <f t="array" ref="J223">_xlfn.IFS(I223&lt;=3,"small",I223&lt;=6,"Medium",I223&lt;=9,"Large")</f>
        <v>small</v>
      </c>
      <c r="K223" s="36">
        <v>45496</v>
      </c>
      <c r="L223" s="36">
        <v>45500</v>
      </c>
      <c r="M223" t="s">
        <v>603</v>
      </c>
      <c r="N223" t="s">
        <v>599</v>
      </c>
      <c r="O223" s="37" t="str">
        <f t="shared" si="18"/>
        <v>Digital Payment</v>
      </c>
      <c r="P223">
        <v>930.63</v>
      </c>
      <c r="Q223" s="37" t="str">
        <f>IF(P223&gt;500,"High","low")</f>
        <v>High</v>
      </c>
      <c r="R223" s="37" t="str">
        <f t="shared" si="19"/>
        <v>Good</v>
      </c>
      <c r="S223" t="s">
        <v>600</v>
      </c>
    </row>
    <row r="224" spans="1:19" x14ac:dyDescent="0.2">
      <c r="A224" t="s">
        <v>835</v>
      </c>
      <c r="B224" t="s">
        <v>83</v>
      </c>
      <c r="C224" t="s">
        <v>602</v>
      </c>
      <c r="D224">
        <v>1346.97</v>
      </c>
      <c r="E224" s="37" t="str">
        <f t="shared" si="15"/>
        <v xml:space="preserve"> </v>
      </c>
      <c r="F224">
        <v>0.06</v>
      </c>
      <c r="G224" s="37" t="str">
        <f t="shared" si="16"/>
        <v>Normal Discount</v>
      </c>
      <c r="H224" s="37" t="str">
        <f t="shared" si="17"/>
        <v>Low</v>
      </c>
      <c r="I224">
        <v>6</v>
      </c>
      <c r="J224" t="str" cm="1">
        <f t="array" ref="J224">_xlfn.IFS(I224&lt;=3,"small",I224&lt;=6,"Medium",I224&lt;=9,"Large")</f>
        <v>Medium</v>
      </c>
      <c r="K224" s="36">
        <v>45130</v>
      </c>
      <c r="L224" s="36">
        <v>45134</v>
      </c>
      <c r="M224" t="s">
        <v>603</v>
      </c>
      <c r="N224" t="s">
        <v>604</v>
      </c>
      <c r="O224" s="37" t="str">
        <f t="shared" si="18"/>
        <v>Digital Payment</v>
      </c>
      <c r="P224">
        <v>270.37</v>
      </c>
      <c r="Q224" s="37" t="str">
        <f>IF(P224&gt;500,"High","low")</f>
        <v>low</v>
      </c>
      <c r="R224" s="37" t="str">
        <f t="shared" si="19"/>
        <v>AVERAGE</v>
      </c>
      <c r="S224" t="s">
        <v>628</v>
      </c>
    </row>
    <row r="225" spans="1:19" x14ac:dyDescent="0.2">
      <c r="A225" t="s">
        <v>836</v>
      </c>
      <c r="B225" t="s">
        <v>67</v>
      </c>
      <c r="C225" t="s">
        <v>617</v>
      </c>
      <c r="D225">
        <v>4322.0200000000004</v>
      </c>
      <c r="E225" s="37" t="str">
        <f t="shared" si="15"/>
        <v xml:space="preserve"> </v>
      </c>
      <c r="F225">
        <v>0.41</v>
      </c>
      <c r="G225" s="37" t="str">
        <f t="shared" si="16"/>
        <v>Heavy Discount</v>
      </c>
      <c r="H225" s="37" t="str">
        <f t="shared" si="17"/>
        <v>High</v>
      </c>
      <c r="I225">
        <v>7</v>
      </c>
      <c r="J225" t="str" cm="1">
        <f t="array" ref="J225">_xlfn.IFS(I225&lt;=3,"small",I225&lt;=6,"Medium",I225&lt;=9,"Large")</f>
        <v>Large</v>
      </c>
      <c r="K225" s="36">
        <v>45052</v>
      </c>
      <c r="L225" s="36">
        <v>45056</v>
      </c>
      <c r="M225" t="s">
        <v>612</v>
      </c>
      <c r="N225" t="s">
        <v>608</v>
      </c>
      <c r="O225" s="37" t="str">
        <f t="shared" si="18"/>
        <v>Cash Payment</v>
      </c>
      <c r="P225">
        <v>740.19</v>
      </c>
      <c r="Q225" s="37" t="str">
        <f>IF(P225&gt;500,"High","low")</f>
        <v>High</v>
      </c>
      <c r="R225" s="37" t="str">
        <f t="shared" si="19"/>
        <v>Good</v>
      </c>
      <c r="S225" t="s">
        <v>600</v>
      </c>
    </row>
    <row r="226" spans="1:19" x14ac:dyDescent="0.2">
      <c r="A226" t="s">
        <v>837</v>
      </c>
      <c r="B226" t="s">
        <v>83</v>
      </c>
      <c r="C226" t="s">
        <v>607</v>
      </c>
      <c r="D226">
        <v>2601.09</v>
      </c>
      <c r="E226" s="37" t="str">
        <f t="shared" si="15"/>
        <v xml:space="preserve"> </v>
      </c>
      <c r="F226">
        <v>0.11</v>
      </c>
      <c r="G226" s="37" t="str">
        <f t="shared" si="16"/>
        <v>Normal Discount</v>
      </c>
      <c r="H226" s="37" t="str">
        <f t="shared" si="17"/>
        <v>Low</v>
      </c>
      <c r="I226">
        <v>2</v>
      </c>
      <c r="J226" t="str" cm="1">
        <f t="array" ref="J226">_xlfn.IFS(I226&lt;=3,"small",I226&lt;=6,"Medium",I226&lt;=9,"Large")</f>
        <v>small</v>
      </c>
      <c r="K226" s="36">
        <v>45391</v>
      </c>
      <c r="L226" s="36">
        <v>45393</v>
      </c>
      <c r="M226" t="s">
        <v>612</v>
      </c>
      <c r="N226" t="s">
        <v>604</v>
      </c>
      <c r="O226" s="37" t="str">
        <f t="shared" si="18"/>
        <v>Digital Payment</v>
      </c>
      <c r="P226">
        <v>385.44</v>
      </c>
      <c r="Q226" s="37" t="str">
        <f>IF(P226&gt;500,"High","low")</f>
        <v>low</v>
      </c>
      <c r="R226" s="37" t="str">
        <f t="shared" si="19"/>
        <v>AVERAGE</v>
      </c>
      <c r="S226" t="s">
        <v>620</v>
      </c>
    </row>
    <row r="227" spans="1:19" x14ac:dyDescent="0.2">
      <c r="A227" t="s">
        <v>838</v>
      </c>
      <c r="B227" t="s">
        <v>83</v>
      </c>
      <c r="C227" t="s">
        <v>614</v>
      </c>
      <c r="D227">
        <v>1967.83</v>
      </c>
      <c r="E227" s="37" t="str">
        <f t="shared" si="15"/>
        <v xml:space="preserve"> </v>
      </c>
      <c r="F227">
        <v>0.19</v>
      </c>
      <c r="G227" s="37" t="str">
        <f t="shared" si="16"/>
        <v>Normal Discount</v>
      </c>
      <c r="H227" s="37" t="str">
        <f t="shared" si="17"/>
        <v>Low</v>
      </c>
      <c r="I227">
        <v>2</v>
      </c>
      <c r="J227" t="str" cm="1">
        <f t="array" ref="J227">_xlfn.IFS(I227&lt;=3,"small",I227&lt;=6,"Medium",I227&lt;=9,"Large")</f>
        <v>small</v>
      </c>
      <c r="K227" s="36">
        <v>45271</v>
      </c>
      <c r="L227" s="36">
        <v>45273</v>
      </c>
      <c r="M227" t="s">
        <v>603</v>
      </c>
      <c r="N227" t="s">
        <v>604</v>
      </c>
      <c r="O227" s="37" t="str">
        <f t="shared" si="18"/>
        <v>Digital Payment</v>
      </c>
      <c r="P227">
        <v>150.44999999999999</v>
      </c>
      <c r="Q227" s="37" t="str">
        <f>IF(P227&gt;500,"High","low")</f>
        <v>low</v>
      </c>
      <c r="R227" s="37" t="str">
        <f t="shared" si="19"/>
        <v>AVERAGE</v>
      </c>
      <c r="S227" t="s">
        <v>628</v>
      </c>
    </row>
    <row r="228" spans="1:19" x14ac:dyDescent="0.2">
      <c r="A228" t="s">
        <v>839</v>
      </c>
      <c r="B228" t="s">
        <v>75</v>
      </c>
      <c r="C228" t="s">
        <v>602</v>
      </c>
      <c r="D228">
        <v>3063.16</v>
      </c>
      <c r="E228" s="37" t="str">
        <f t="shared" si="15"/>
        <v xml:space="preserve"> </v>
      </c>
      <c r="F228">
        <v>0.21</v>
      </c>
      <c r="G228" s="37" t="str">
        <f t="shared" si="16"/>
        <v>Normal Discount</v>
      </c>
      <c r="H228" s="37" t="str">
        <f t="shared" si="17"/>
        <v>Medium</v>
      </c>
      <c r="I228">
        <v>7</v>
      </c>
      <c r="J228" t="str" cm="1">
        <f t="array" ref="J228">_xlfn.IFS(I228&lt;=3,"small",I228&lt;=6,"Medium",I228&lt;=9,"Large")</f>
        <v>Large</v>
      </c>
      <c r="K228" s="36">
        <v>45595</v>
      </c>
      <c r="L228" s="36">
        <v>45600</v>
      </c>
      <c r="M228" t="s">
        <v>603</v>
      </c>
      <c r="N228" t="s">
        <v>599</v>
      </c>
      <c r="O228" s="37" t="str">
        <f t="shared" si="18"/>
        <v>Digital Payment</v>
      </c>
      <c r="P228">
        <v>706.04</v>
      </c>
      <c r="Q228" s="37" t="str">
        <f>IF(P228&gt;500,"High","low")</f>
        <v>High</v>
      </c>
      <c r="R228" s="37" t="str">
        <f t="shared" si="19"/>
        <v>Good</v>
      </c>
      <c r="S228" t="s">
        <v>609</v>
      </c>
    </row>
    <row r="229" spans="1:19" x14ac:dyDescent="0.2">
      <c r="A229" t="s">
        <v>840</v>
      </c>
      <c r="B229" t="s">
        <v>83</v>
      </c>
      <c r="C229" t="s">
        <v>614</v>
      </c>
      <c r="D229">
        <v>3533</v>
      </c>
      <c r="E229" s="37" t="str">
        <f t="shared" si="15"/>
        <v xml:space="preserve"> </v>
      </c>
      <c r="F229">
        <v>0.17</v>
      </c>
      <c r="G229" s="37" t="str">
        <f t="shared" si="16"/>
        <v>Normal Discount</v>
      </c>
      <c r="H229" s="37" t="str">
        <f t="shared" si="17"/>
        <v>Low</v>
      </c>
      <c r="I229">
        <v>9</v>
      </c>
      <c r="J229" t="str" cm="1">
        <f t="array" ref="J229">_xlfn.IFS(I229&lt;=3,"small",I229&lt;=6,"Medium",I229&lt;=9,"Large")</f>
        <v>Large</v>
      </c>
      <c r="K229" s="36">
        <v>45352</v>
      </c>
      <c r="L229" s="36">
        <v>45359</v>
      </c>
      <c r="M229" t="s">
        <v>612</v>
      </c>
      <c r="N229" t="s">
        <v>608</v>
      </c>
      <c r="O229" s="37" t="str">
        <f t="shared" si="18"/>
        <v>Cash Payment</v>
      </c>
      <c r="P229">
        <v>394.98</v>
      </c>
      <c r="Q229" s="37" t="str">
        <f>IF(P229&gt;500,"High","low")</f>
        <v>low</v>
      </c>
      <c r="R229" s="37" t="str">
        <f t="shared" si="19"/>
        <v>AVERAGE</v>
      </c>
      <c r="S229" t="s">
        <v>615</v>
      </c>
    </row>
    <row r="230" spans="1:19" x14ac:dyDescent="0.2">
      <c r="A230" t="s">
        <v>841</v>
      </c>
      <c r="B230" t="s">
        <v>75</v>
      </c>
      <c r="C230" t="s">
        <v>607</v>
      </c>
      <c r="D230">
        <v>3009.77</v>
      </c>
      <c r="E230" s="37" t="str">
        <f t="shared" si="15"/>
        <v xml:space="preserve"> </v>
      </c>
      <c r="F230">
        <v>0.2</v>
      </c>
      <c r="G230" s="37" t="str">
        <f t="shared" si="16"/>
        <v>Normal Discount</v>
      </c>
      <c r="H230" s="37" t="str">
        <f t="shared" si="17"/>
        <v>Medium</v>
      </c>
      <c r="I230">
        <v>3</v>
      </c>
      <c r="J230" t="str" cm="1">
        <f t="array" ref="J230">_xlfn.IFS(I230&lt;=3,"small",I230&lt;=6,"Medium",I230&lt;=9,"Large")</f>
        <v>small</v>
      </c>
      <c r="K230" s="36">
        <v>45466</v>
      </c>
      <c r="L230" s="36">
        <v>45472</v>
      </c>
      <c r="M230" t="s">
        <v>598</v>
      </c>
      <c r="N230" t="s">
        <v>608</v>
      </c>
      <c r="O230" s="37" t="str">
        <f t="shared" si="18"/>
        <v>Cash Payment</v>
      </c>
      <c r="P230">
        <v>385.71</v>
      </c>
      <c r="Q230" s="37" t="str">
        <f>IF(P230&gt;500,"High","low")</f>
        <v>low</v>
      </c>
      <c r="R230" s="37" t="str">
        <f t="shared" si="19"/>
        <v>AVERAGE</v>
      </c>
      <c r="S230" t="s">
        <v>628</v>
      </c>
    </row>
    <row r="231" spans="1:19" x14ac:dyDescent="0.2">
      <c r="A231" t="s">
        <v>842</v>
      </c>
      <c r="B231" t="s">
        <v>75</v>
      </c>
      <c r="C231" t="s">
        <v>597</v>
      </c>
      <c r="D231">
        <v>4609.2</v>
      </c>
      <c r="E231" s="37" t="str">
        <f t="shared" si="15"/>
        <v xml:space="preserve"> </v>
      </c>
      <c r="F231">
        <v>0.4</v>
      </c>
      <c r="G231" s="37" t="str">
        <f t="shared" si="16"/>
        <v>Heavy Discount</v>
      </c>
      <c r="H231" s="37" t="str">
        <f t="shared" si="17"/>
        <v>Medium</v>
      </c>
      <c r="I231">
        <v>3</v>
      </c>
      <c r="J231" t="str" cm="1">
        <f t="array" ref="J231">_xlfn.IFS(I231&lt;=3,"small",I231&lt;=6,"Medium",I231&lt;=9,"Large")</f>
        <v>small</v>
      </c>
      <c r="K231" s="36">
        <v>45137</v>
      </c>
      <c r="L231" s="36">
        <v>45144</v>
      </c>
      <c r="M231" t="s">
        <v>603</v>
      </c>
      <c r="N231" t="s">
        <v>604</v>
      </c>
      <c r="O231" s="37" t="str">
        <f t="shared" si="18"/>
        <v>Digital Payment</v>
      </c>
      <c r="P231">
        <v>244.12</v>
      </c>
      <c r="Q231" s="37" t="str">
        <f>IF(P231&gt;500,"High","low")</f>
        <v>low</v>
      </c>
      <c r="R231" s="37" t="str">
        <f t="shared" si="19"/>
        <v>AVERAGE</v>
      </c>
      <c r="S231" t="s">
        <v>628</v>
      </c>
    </row>
    <row r="232" spans="1:19" x14ac:dyDescent="0.2">
      <c r="A232" t="s">
        <v>843</v>
      </c>
      <c r="B232" t="s">
        <v>83</v>
      </c>
      <c r="C232" t="s">
        <v>597</v>
      </c>
      <c r="D232">
        <v>3177.29</v>
      </c>
      <c r="E232" s="37" t="str">
        <f t="shared" si="15"/>
        <v xml:space="preserve"> </v>
      </c>
      <c r="F232">
        <v>0.11</v>
      </c>
      <c r="G232" s="37" t="str">
        <f t="shared" si="16"/>
        <v>Normal Discount</v>
      </c>
      <c r="H232" s="37" t="str">
        <f t="shared" si="17"/>
        <v>Low</v>
      </c>
      <c r="I232">
        <v>8</v>
      </c>
      <c r="J232" t="str" cm="1">
        <f t="array" ref="J232">_xlfn.IFS(I232&lt;=3,"small",I232&lt;=6,"Medium",I232&lt;=9,"Large")</f>
        <v>Large</v>
      </c>
      <c r="K232" s="36">
        <v>45192</v>
      </c>
      <c r="L232" s="36">
        <v>45196</v>
      </c>
      <c r="M232" t="s">
        <v>603</v>
      </c>
      <c r="N232" t="s">
        <v>608</v>
      </c>
      <c r="O232" s="37" t="str">
        <f t="shared" si="18"/>
        <v>Cash Payment</v>
      </c>
      <c r="P232">
        <v>682.33</v>
      </c>
      <c r="Q232" s="37" t="str">
        <f>IF(P232&gt;500,"High","low")</f>
        <v>High</v>
      </c>
      <c r="R232" s="37" t="str">
        <f t="shared" si="19"/>
        <v>Good</v>
      </c>
      <c r="S232" t="s">
        <v>620</v>
      </c>
    </row>
    <row r="233" spans="1:19" x14ac:dyDescent="0.2">
      <c r="A233" t="s">
        <v>844</v>
      </c>
      <c r="B233" t="s">
        <v>67</v>
      </c>
      <c r="C233" t="s">
        <v>617</v>
      </c>
      <c r="D233">
        <v>4405.05</v>
      </c>
      <c r="E233" s="37" t="str">
        <f t="shared" si="15"/>
        <v>Excellent Order</v>
      </c>
      <c r="F233">
        <v>0.24</v>
      </c>
      <c r="G233" s="37" t="str">
        <f t="shared" si="16"/>
        <v>Normal Discount</v>
      </c>
      <c r="H233" s="37" t="str">
        <f t="shared" si="17"/>
        <v>Medium</v>
      </c>
      <c r="I233">
        <v>2</v>
      </c>
      <c r="J233" t="str" cm="1">
        <f t="array" ref="J233">_xlfn.IFS(I233&lt;=3,"small",I233&lt;=6,"Medium",I233&lt;=9,"Large")</f>
        <v>small</v>
      </c>
      <c r="K233" s="36">
        <v>45193</v>
      </c>
      <c r="L233" s="36">
        <v>45200</v>
      </c>
      <c r="M233" t="s">
        <v>603</v>
      </c>
      <c r="N233" t="s">
        <v>604</v>
      </c>
      <c r="O233" s="37" t="str">
        <f t="shared" si="18"/>
        <v>Digital Payment</v>
      </c>
      <c r="P233">
        <v>1055.96</v>
      </c>
      <c r="Q233" s="37" t="str">
        <f>IF(P233&gt;500,"High","low")</f>
        <v>High</v>
      </c>
      <c r="R233" s="37" t="str">
        <f t="shared" si="19"/>
        <v>Excellent</v>
      </c>
      <c r="S233" t="s">
        <v>600</v>
      </c>
    </row>
    <row r="234" spans="1:19" x14ac:dyDescent="0.2">
      <c r="A234" t="s">
        <v>845</v>
      </c>
      <c r="B234" t="s">
        <v>67</v>
      </c>
      <c r="C234" t="s">
        <v>602</v>
      </c>
      <c r="D234">
        <v>2976.1</v>
      </c>
      <c r="E234" s="37" t="str">
        <f t="shared" si="15"/>
        <v xml:space="preserve"> </v>
      </c>
      <c r="F234">
        <v>0.01</v>
      </c>
      <c r="G234" s="37" t="str">
        <f t="shared" si="16"/>
        <v>Normal Discount</v>
      </c>
      <c r="H234" s="37" t="str">
        <f t="shared" si="17"/>
        <v>Low</v>
      </c>
      <c r="I234">
        <v>9</v>
      </c>
      <c r="J234" t="str" cm="1">
        <f t="array" ref="J234">_xlfn.IFS(I234&lt;=3,"small",I234&lt;=6,"Medium",I234&lt;=9,"Large")</f>
        <v>Large</v>
      </c>
      <c r="K234" s="36">
        <v>45180</v>
      </c>
      <c r="L234" s="36">
        <v>45187</v>
      </c>
      <c r="M234" t="s">
        <v>612</v>
      </c>
      <c r="N234" t="s">
        <v>599</v>
      </c>
      <c r="O234" s="37" t="str">
        <f t="shared" si="18"/>
        <v>Digital Payment</v>
      </c>
      <c r="P234">
        <v>219.01</v>
      </c>
      <c r="Q234" s="37" t="str">
        <f>IF(P234&gt;500,"High","low")</f>
        <v>low</v>
      </c>
      <c r="R234" s="37" t="str">
        <f t="shared" si="19"/>
        <v>AVERAGE</v>
      </c>
      <c r="S234" t="s">
        <v>600</v>
      </c>
    </row>
    <row r="235" spans="1:19" x14ac:dyDescent="0.2">
      <c r="A235" t="s">
        <v>846</v>
      </c>
      <c r="B235" t="s">
        <v>67</v>
      </c>
      <c r="C235" t="s">
        <v>602</v>
      </c>
      <c r="D235">
        <v>1715.43</v>
      </c>
      <c r="E235" s="37" t="str">
        <f t="shared" si="15"/>
        <v xml:space="preserve"> </v>
      </c>
      <c r="F235">
        <v>0.25</v>
      </c>
      <c r="G235" s="37" t="str">
        <f t="shared" si="16"/>
        <v>Normal Discount</v>
      </c>
      <c r="H235" s="37" t="str">
        <f t="shared" si="17"/>
        <v>Medium</v>
      </c>
      <c r="I235">
        <v>7</v>
      </c>
      <c r="J235" t="str" cm="1">
        <f t="array" ref="J235">_xlfn.IFS(I235&lt;=3,"small",I235&lt;=6,"Medium",I235&lt;=9,"Large")</f>
        <v>Large</v>
      </c>
      <c r="K235" s="36">
        <v>45114</v>
      </c>
      <c r="L235" s="36">
        <v>45121</v>
      </c>
      <c r="M235" t="s">
        <v>612</v>
      </c>
      <c r="N235" t="s">
        <v>608</v>
      </c>
      <c r="O235" s="37" t="str">
        <f t="shared" si="18"/>
        <v>Cash Payment</v>
      </c>
      <c r="P235">
        <v>144.54</v>
      </c>
      <c r="Q235" s="37" t="str">
        <f>IF(P235&gt;500,"High","low")</f>
        <v>low</v>
      </c>
      <c r="R235" s="37" t="str">
        <f t="shared" si="19"/>
        <v>AVERAGE</v>
      </c>
      <c r="S235" t="s">
        <v>600</v>
      </c>
    </row>
    <row r="236" spans="1:19" x14ac:dyDescent="0.2">
      <c r="A236" t="s">
        <v>847</v>
      </c>
      <c r="B236" t="s">
        <v>67</v>
      </c>
      <c r="C236" t="s">
        <v>617</v>
      </c>
      <c r="D236">
        <v>2708.25</v>
      </c>
      <c r="E236" s="37" t="str">
        <f t="shared" si="15"/>
        <v xml:space="preserve"> </v>
      </c>
      <c r="F236">
        <v>0.06</v>
      </c>
      <c r="G236" s="37" t="str">
        <f t="shared" si="16"/>
        <v>Normal Discount</v>
      </c>
      <c r="H236" s="37" t="str">
        <f t="shared" si="17"/>
        <v>Low</v>
      </c>
      <c r="I236">
        <v>8</v>
      </c>
      <c r="J236" t="str" cm="1">
        <f t="array" ref="J236">_xlfn.IFS(I236&lt;=3,"small",I236&lt;=6,"Medium",I236&lt;=9,"Large")</f>
        <v>Large</v>
      </c>
      <c r="K236" s="36">
        <v>44956</v>
      </c>
      <c r="L236" s="36">
        <v>44962</v>
      </c>
      <c r="M236" t="s">
        <v>612</v>
      </c>
      <c r="N236" t="s">
        <v>604</v>
      </c>
      <c r="O236" s="37" t="str">
        <f t="shared" si="18"/>
        <v>Digital Payment</v>
      </c>
      <c r="P236">
        <v>692.61</v>
      </c>
      <c r="Q236" s="37" t="str">
        <f>IF(P236&gt;500,"High","low")</f>
        <v>High</v>
      </c>
      <c r="R236" s="37" t="str">
        <f t="shared" si="19"/>
        <v>Good</v>
      </c>
      <c r="S236" t="s">
        <v>600</v>
      </c>
    </row>
    <row r="237" spans="1:19" x14ac:dyDescent="0.2">
      <c r="A237" t="s">
        <v>848</v>
      </c>
      <c r="B237" t="s">
        <v>67</v>
      </c>
      <c r="C237" t="s">
        <v>614</v>
      </c>
      <c r="D237">
        <v>523.04999999999995</v>
      </c>
      <c r="E237" s="37" t="str">
        <f t="shared" si="15"/>
        <v xml:space="preserve"> </v>
      </c>
      <c r="F237">
        <v>0.14000000000000001</v>
      </c>
      <c r="G237" s="37" t="str">
        <f t="shared" si="16"/>
        <v>Normal Discount</v>
      </c>
      <c r="H237" s="37" t="str">
        <f t="shared" si="17"/>
        <v>Low</v>
      </c>
      <c r="I237">
        <v>9</v>
      </c>
      <c r="J237" t="str" cm="1">
        <f t="array" ref="J237">_xlfn.IFS(I237&lt;=3,"small",I237&lt;=6,"Medium",I237&lt;=9,"Large")</f>
        <v>Large</v>
      </c>
      <c r="K237" s="36">
        <v>45231</v>
      </c>
      <c r="L237" s="36">
        <v>45234</v>
      </c>
      <c r="M237" t="s">
        <v>603</v>
      </c>
      <c r="N237" t="s">
        <v>599</v>
      </c>
      <c r="O237" s="37" t="str">
        <f t="shared" si="18"/>
        <v>Digital Payment</v>
      </c>
      <c r="P237">
        <v>122.23</v>
      </c>
      <c r="Q237" s="37" t="str">
        <f>IF(P237&gt;500,"High","low")</f>
        <v>low</v>
      </c>
      <c r="R237" s="37" t="str">
        <f t="shared" si="19"/>
        <v>AVERAGE</v>
      </c>
      <c r="S237" t="s">
        <v>615</v>
      </c>
    </row>
    <row r="238" spans="1:19" x14ac:dyDescent="0.2">
      <c r="A238" t="s">
        <v>849</v>
      </c>
      <c r="B238" t="s">
        <v>83</v>
      </c>
      <c r="C238" t="s">
        <v>597</v>
      </c>
      <c r="D238">
        <v>1227.8599999999999</v>
      </c>
      <c r="E238" s="37" t="str">
        <f t="shared" si="15"/>
        <v xml:space="preserve"> </v>
      </c>
      <c r="F238">
        <v>0.16</v>
      </c>
      <c r="G238" s="37" t="str">
        <f t="shared" si="16"/>
        <v>Normal Discount</v>
      </c>
      <c r="H238" s="37" t="str">
        <f t="shared" si="17"/>
        <v>Low</v>
      </c>
      <c r="I238">
        <v>3</v>
      </c>
      <c r="J238" t="str" cm="1">
        <f t="array" ref="J238">_xlfn.IFS(I238&lt;=3,"small",I238&lt;=6,"Medium",I238&lt;=9,"Large")</f>
        <v>small</v>
      </c>
      <c r="K238" s="36">
        <v>45379</v>
      </c>
      <c r="L238" s="36">
        <v>45381</v>
      </c>
      <c r="M238" t="s">
        <v>603</v>
      </c>
      <c r="N238" t="s">
        <v>599</v>
      </c>
      <c r="O238" s="37" t="str">
        <f t="shared" si="18"/>
        <v>Digital Payment</v>
      </c>
      <c r="P238">
        <v>99.39</v>
      </c>
      <c r="Q238" s="37" t="str">
        <f>IF(P238&gt;500,"High","low")</f>
        <v>low</v>
      </c>
      <c r="R238" s="37" t="str">
        <f t="shared" si="19"/>
        <v>AVERAGE</v>
      </c>
      <c r="S238" t="s">
        <v>620</v>
      </c>
    </row>
    <row r="239" spans="1:19" x14ac:dyDescent="0.2">
      <c r="A239" t="s">
        <v>850</v>
      </c>
      <c r="B239" t="s">
        <v>83</v>
      </c>
      <c r="C239" t="s">
        <v>597</v>
      </c>
      <c r="D239">
        <v>3854.54</v>
      </c>
      <c r="E239" s="37" t="str">
        <f t="shared" si="15"/>
        <v xml:space="preserve"> </v>
      </c>
      <c r="F239">
        <v>0.04</v>
      </c>
      <c r="G239" s="37" t="str">
        <f t="shared" si="16"/>
        <v>Normal Discount</v>
      </c>
      <c r="H239" s="37" t="str">
        <f t="shared" si="17"/>
        <v>Low</v>
      </c>
      <c r="I239">
        <v>6</v>
      </c>
      <c r="J239" t="str" cm="1">
        <f t="array" ref="J239">_xlfn.IFS(I239&lt;=3,"small",I239&lt;=6,"Medium",I239&lt;=9,"Large")</f>
        <v>Medium</v>
      </c>
      <c r="K239" s="36">
        <v>45626</v>
      </c>
      <c r="L239" s="36">
        <v>45627</v>
      </c>
      <c r="M239" t="s">
        <v>598</v>
      </c>
      <c r="N239" t="s">
        <v>604</v>
      </c>
      <c r="O239" s="37" t="str">
        <f t="shared" si="18"/>
        <v>Digital Payment</v>
      </c>
      <c r="P239">
        <v>600.08000000000004</v>
      </c>
      <c r="Q239" s="37" t="str">
        <f>IF(P239&gt;500,"High","low")</f>
        <v>High</v>
      </c>
      <c r="R239" s="37" t="str">
        <f t="shared" si="19"/>
        <v>Good</v>
      </c>
      <c r="S239" t="s">
        <v>615</v>
      </c>
    </row>
    <row r="240" spans="1:19" x14ac:dyDescent="0.2">
      <c r="A240" t="s">
        <v>851</v>
      </c>
      <c r="B240" t="s">
        <v>90</v>
      </c>
      <c r="C240" t="s">
        <v>602</v>
      </c>
      <c r="D240">
        <v>3341.23</v>
      </c>
      <c r="E240" s="37" t="str">
        <f t="shared" si="15"/>
        <v xml:space="preserve"> </v>
      </c>
      <c r="F240">
        <v>0.18</v>
      </c>
      <c r="G240" s="37" t="str">
        <f t="shared" si="16"/>
        <v>Normal Discount</v>
      </c>
      <c r="H240" s="37" t="str">
        <f t="shared" si="17"/>
        <v>Low</v>
      </c>
      <c r="I240">
        <v>8</v>
      </c>
      <c r="J240" t="str" cm="1">
        <f t="array" ref="J240">_xlfn.IFS(I240&lt;=3,"small",I240&lt;=6,"Medium",I240&lt;=9,"Large")</f>
        <v>Large</v>
      </c>
      <c r="K240" s="36">
        <v>45625</v>
      </c>
      <c r="L240" s="36">
        <v>45626</v>
      </c>
      <c r="M240" t="s">
        <v>612</v>
      </c>
      <c r="N240" t="s">
        <v>599</v>
      </c>
      <c r="O240" s="37" t="str">
        <f t="shared" si="18"/>
        <v>Digital Payment</v>
      </c>
      <c r="P240">
        <v>427.47</v>
      </c>
      <c r="Q240" s="37" t="str">
        <f>IF(P240&gt;500,"High","low")</f>
        <v>low</v>
      </c>
      <c r="R240" s="37" t="str">
        <f t="shared" si="19"/>
        <v>AVERAGE</v>
      </c>
      <c r="S240" t="s">
        <v>605</v>
      </c>
    </row>
    <row r="241" spans="1:19" x14ac:dyDescent="0.2">
      <c r="A241" t="s">
        <v>852</v>
      </c>
      <c r="B241" t="s">
        <v>67</v>
      </c>
      <c r="C241" t="s">
        <v>602</v>
      </c>
      <c r="D241">
        <v>915.94</v>
      </c>
      <c r="E241" s="37" t="str">
        <f t="shared" si="15"/>
        <v xml:space="preserve"> </v>
      </c>
      <c r="F241">
        <v>0.25</v>
      </c>
      <c r="G241" s="37" t="str">
        <f t="shared" si="16"/>
        <v>Normal Discount</v>
      </c>
      <c r="H241" s="37" t="str">
        <f t="shared" si="17"/>
        <v>Medium</v>
      </c>
      <c r="I241">
        <v>1</v>
      </c>
      <c r="J241" t="str" cm="1">
        <f t="array" ref="J241">_xlfn.IFS(I241&lt;=3,"small",I241&lt;=6,"Medium",I241&lt;=9,"Large")</f>
        <v>small</v>
      </c>
      <c r="K241" s="36">
        <v>45571</v>
      </c>
      <c r="L241" s="36">
        <v>45572</v>
      </c>
      <c r="M241" t="s">
        <v>612</v>
      </c>
      <c r="N241" t="s">
        <v>599</v>
      </c>
      <c r="O241" s="37" t="str">
        <f t="shared" si="18"/>
        <v>Digital Payment</v>
      </c>
      <c r="P241">
        <v>83.32</v>
      </c>
      <c r="Q241" s="37" t="str">
        <f>IF(P241&gt;500,"High","low")</f>
        <v>low</v>
      </c>
      <c r="R241" s="37" t="str">
        <f t="shared" si="19"/>
        <v>AVERAGE</v>
      </c>
      <c r="S241" t="s">
        <v>600</v>
      </c>
    </row>
    <row r="242" spans="1:19" x14ac:dyDescent="0.2">
      <c r="A242" t="s">
        <v>853</v>
      </c>
      <c r="B242" t="s">
        <v>83</v>
      </c>
      <c r="C242" t="s">
        <v>617</v>
      </c>
      <c r="D242">
        <v>2246.27</v>
      </c>
      <c r="E242" s="37" t="str">
        <f t="shared" si="15"/>
        <v xml:space="preserve"> </v>
      </c>
      <c r="F242">
        <v>0.22</v>
      </c>
      <c r="G242" s="37" t="str">
        <f t="shared" si="16"/>
        <v>Normal Discount</v>
      </c>
      <c r="H242" s="37" t="str">
        <f t="shared" si="17"/>
        <v>Medium</v>
      </c>
      <c r="I242">
        <v>6</v>
      </c>
      <c r="J242" t="str" cm="1">
        <f t="array" ref="J242">_xlfn.IFS(I242&lt;=3,"small",I242&lt;=6,"Medium",I242&lt;=9,"Large")</f>
        <v>Medium</v>
      </c>
      <c r="K242" s="36">
        <v>44956</v>
      </c>
      <c r="L242" s="36">
        <v>44963</v>
      </c>
      <c r="M242" t="s">
        <v>603</v>
      </c>
      <c r="N242" t="s">
        <v>604</v>
      </c>
      <c r="O242" s="37" t="str">
        <f t="shared" si="18"/>
        <v>Digital Payment</v>
      </c>
      <c r="P242">
        <v>358.48</v>
      </c>
      <c r="Q242" s="37" t="str">
        <f>IF(P242&gt;500,"High","low")</f>
        <v>low</v>
      </c>
      <c r="R242" s="37" t="str">
        <f t="shared" si="19"/>
        <v>AVERAGE</v>
      </c>
      <c r="S242" t="s">
        <v>600</v>
      </c>
    </row>
    <row r="243" spans="1:19" x14ac:dyDescent="0.2">
      <c r="A243" t="s">
        <v>854</v>
      </c>
      <c r="B243" t="s">
        <v>90</v>
      </c>
      <c r="C243" t="s">
        <v>607</v>
      </c>
      <c r="D243">
        <v>795.76</v>
      </c>
      <c r="E243" s="37" t="str">
        <f t="shared" si="15"/>
        <v xml:space="preserve"> </v>
      </c>
      <c r="F243">
        <v>0.14000000000000001</v>
      </c>
      <c r="G243" s="37" t="str">
        <f t="shared" si="16"/>
        <v>Normal Discount</v>
      </c>
      <c r="H243" s="37" t="str">
        <f t="shared" si="17"/>
        <v>Low</v>
      </c>
      <c r="I243">
        <v>3</v>
      </c>
      <c r="J243" t="str" cm="1">
        <f t="array" ref="J243">_xlfn.IFS(I243&lt;=3,"small",I243&lt;=6,"Medium",I243&lt;=9,"Large")</f>
        <v>small</v>
      </c>
      <c r="K243" s="36">
        <v>45087</v>
      </c>
      <c r="L243" s="36">
        <v>45092</v>
      </c>
      <c r="M243" t="s">
        <v>603</v>
      </c>
      <c r="N243" t="s">
        <v>608</v>
      </c>
      <c r="O243" s="37" t="str">
        <f t="shared" si="18"/>
        <v>Cash Payment</v>
      </c>
      <c r="P243">
        <v>209.28</v>
      </c>
      <c r="Q243" s="37" t="str">
        <f>IF(P243&gt;500,"High","low")</f>
        <v>low</v>
      </c>
      <c r="R243" s="37" t="str">
        <f t="shared" si="19"/>
        <v>AVERAGE</v>
      </c>
      <c r="S243" t="s">
        <v>600</v>
      </c>
    </row>
    <row r="244" spans="1:19" x14ac:dyDescent="0.2">
      <c r="A244" t="s">
        <v>855</v>
      </c>
      <c r="B244" t="s">
        <v>67</v>
      </c>
      <c r="C244" t="s">
        <v>614</v>
      </c>
      <c r="D244">
        <v>4293.51</v>
      </c>
      <c r="E244" s="37" t="str">
        <f t="shared" si="15"/>
        <v>Excellent Order</v>
      </c>
      <c r="F244">
        <v>0.15</v>
      </c>
      <c r="G244" s="37" t="str">
        <f t="shared" si="16"/>
        <v>Normal Discount</v>
      </c>
      <c r="H244" s="37" t="str">
        <f t="shared" si="17"/>
        <v>Low</v>
      </c>
      <c r="I244">
        <v>8</v>
      </c>
      <c r="J244" t="str" cm="1">
        <f t="array" ref="J244">_xlfn.IFS(I244&lt;=3,"small",I244&lt;=6,"Medium",I244&lt;=9,"Large")</f>
        <v>Large</v>
      </c>
      <c r="K244" s="36">
        <v>45576</v>
      </c>
      <c r="L244" s="36">
        <v>45579</v>
      </c>
      <c r="M244" t="s">
        <v>598</v>
      </c>
      <c r="N244" t="s">
        <v>608</v>
      </c>
      <c r="O244" s="37" t="str">
        <f t="shared" si="18"/>
        <v>Cash Payment</v>
      </c>
      <c r="P244">
        <v>1090.8399999999999</v>
      </c>
      <c r="Q244" s="37" t="str">
        <f>IF(P244&gt;500,"High","low")</f>
        <v>High</v>
      </c>
      <c r="R244" s="37" t="str">
        <f t="shared" si="19"/>
        <v>Excellent</v>
      </c>
      <c r="S244" t="s">
        <v>620</v>
      </c>
    </row>
    <row r="245" spans="1:19" x14ac:dyDescent="0.2">
      <c r="A245" t="s">
        <v>856</v>
      </c>
      <c r="B245" t="s">
        <v>75</v>
      </c>
      <c r="C245" t="s">
        <v>607</v>
      </c>
      <c r="D245">
        <v>634.92999999999995</v>
      </c>
      <c r="E245" s="37" t="str">
        <f t="shared" si="15"/>
        <v xml:space="preserve"> </v>
      </c>
      <c r="F245">
        <v>0.32</v>
      </c>
      <c r="G245" s="37" t="str">
        <f t="shared" si="16"/>
        <v>Heavy Discount</v>
      </c>
      <c r="H245" s="37" t="str">
        <f t="shared" si="17"/>
        <v>Medium</v>
      </c>
      <c r="I245">
        <v>9</v>
      </c>
      <c r="J245" t="str" cm="1">
        <f t="array" ref="J245">_xlfn.IFS(I245&lt;=3,"small",I245&lt;=6,"Medium",I245&lt;=9,"Large")</f>
        <v>Large</v>
      </c>
      <c r="K245" s="36">
        <v>45349</v>
      </c>
      <c r="L245" s="36">
        <v>45351</v>
      </c>
      <c r="M245" t="s">
        <v>603</v>
      </c>
      <c r="N245" t="s">
        <v>599</v>
      </c>
      <c r="O245" s="37" t="str">
        <f t="shared" si="18"/>
        <v>Digital Payment</v>
      </c>
      <c r="P245">
        <v>124.78</v>
      </c>
      <c r="Q245" s="37" t="str">
        <f>IF(P245&gt;500,"High","low")</f>
        <v>low</v>
      </c>
      <c r="R245" s="37" t="str">
        <f t="shared" si="19"/>
        <v>AVERAGE</v>
      </c>
      <c r="S245" t="s">
        <v>615</v>
      </c>
    </row>
    <row r="246" spans="1:19" x14ac:dyDescent="0.2">
      <c r="A246" t="s">
        <v>857</v>
      </c>
      <c r="B246" t="s">
        <v>90</v>
      </c>
      <c r="C246" t="s">
        <v>607</v>
      </c>
      <c r="D246">
        <v>3305.75</v>
      </c>
      <c r="E246" s="37" t="str">
        <f t="shared" si="15"/>
        <v xml:space="preserve"> </v>
      </c>
      <c r="F246">
        <v>0.36</v>
      </c>
      <c r="G246" s="37" t="str">
        <f t="shared" si="16"/>
        <v>Heavy Discount</v>
      </c>
      <c r="H246" s="37" t="str">
        <f t="shared" si="17"/>
        <v>Medium</v>
      </c>
      <c r="I246">
        <v>5</v>
      </c>
      <c r="J246" t="str" cm="1">
        <f t="array" ref="J246">_xlfn.IFS(I246&lt;=3,"small",I246&lt;=6,"Medium",I246&lt;=9,"Large")</f>
        <v>Medium</v>
      </c>
      <c r="K246" s="36">
        <v>45273</v>
      </c>
      <c r="L246" s="36">
        <v>45278</v>
      </c>
      <c r="M246" t="s">
        <v>603</v>
      </c>
      <c r="N246" t="s">
        <v>604</v>
      </c>
      <c r="O246" s="37" t="str">
        <f t="shared" si="18"/>
        <v>Digital Payment</v>
      </c>
      <c r="P246">
        <v>627.83000000000004</v>
      </c>
      <c r="Q246" s="37" t="str">
        <f>IF(P246&gt;500,"High","low")</f>
        <v>High</v>
      </c>
      <c r="R246" s="37" t="str">
        <f t="shared" si="19"/>
        <v>Good</v>
      </c>
      <c r="S246" t="s">
        <v>620</v>
      </c>
    </row>
    <row r="247" spans="1:19" x14ac:dyDescent="0.2">
      <c r="A247" t="s">
        <v>858</v>
      </c>
      <c r="B247" t="s">
        <v>83</v>
      </c>
      <c r="C247" t="s">
        <v>602</v>
      </c>
      <c r="D247">
        <v>3074.3</v>
      </c>
      <c r="E247" s="37" t="str">
        <f t="shared" si="15"/>
        <v xml:space="preserve"> </v>
      </c>
      <c r="F247">
        <v>0.28999999999999998</v>
      </c>
      <c r="G247" s="37" t="str">
        <f t="shared" si="16"/>
        <v>Normal Discount</v>
      </c>
      <c r="H247" s="37" t="str">
        <f t="shared" si="17"/>
        <v>Medium</v>
      </c>
      <c r="I247">
        <v>2</v>
      </c>
      <c r="J247" t="str" cm="1">
        <f t="array" ref="J247">_xlfn.IFS(I247&lt;=3,"small",I247&lt;=6,"Medium",I247&lt;=9,"Large")</f>
        <v>small</v>
      </c>
      <c r="K247" s="36">
        <v>45504</v>
      </c>
      <c r="L247" s="36">
        <v>45508</v>
      </c>
      <c r="M247" t="s">
        <v>603</v>
      </c>
      <c r="N247" t="s">
        <v>608</v>
      </c>
      <c r="O247" s="37" t="str">
        <f t="shared" si="18"/>
        <v>Cash Payment</v>
      </c>
      <c r="P247">
        <v>656.86</v>
      </c>
      <c r="Q247" s="37" t="str">
        <f>IF(P247&gt;500,"High","low")</f>
        <v>High</v>
      </c>
      <c r="R247" s="37" t="str">
        <f t="shared" si="19"/>
        <v>Good</v>
      </c>
      <c r="S247" t="s">
        <v>600</v>
      </c>
    </row>
    <row r="248" spans="1:19" x14ac:dyDescent="0.2">
      <c r="A248" t="s">
        <v>859</v>
      </c>
      <c r="B248" t="s">
        <v>75</v>
      </c>
      <c r="C248" t="s">
        <v>602</v>
      </c>
      <c r="D248">
        <v>2416.61</v>
      </c>
      <c r="E248" s="37" t="str">
        <f t="shared" si="15"/>
        <v xml:space="preserve"> </v>
      </c>
      <c r="F248">
        <v>0.49</v>
      </c>
      <c r="G248" s="37" t="str">
        <f t="shared" si="16"/>
        <v>Heavy Discount</v>
      </c>
      <c r="H248" s="37" t="str">
        <f t="shared" si="17"/>
        <v>High</v>
      </c>
      <c r="I248">
        <v>7</v>
      </c>
      <c r="J248" t="str" cm="1">
        <f t="array" ref="J248">_xlfn.IFS(I248&lt;=3,"small",I248&lt;=6,"Medium",I248&lt;=9,"Large")</f>
        <v>Large</v>
      </c>
      <c r="K248" s="36">
        <v>45148</v>
      </c>
      <c r="L248" s="36">
        <v>45152</v>
      </c>
      <c r="M248" t="s">
        <v>598</v>
      </c>
      <c r="N248" t="s">
        <v>608</v>
      </c>
      <c r="O248" s="37" t="str">
        <f t="shared" si="18"/>
        <v>Cash Payment</v>
      </c>
      <c r="P248">
        <v>710.07</v>
      </c>
      <c r="Q248" s="37" t="str">
        <f>IF(P248&gt;500,"High","low")</f>
        <v>High</v>
      </c>
      <c r="R248" s="37" t="str">
        <f t="shared" si="19"/>
        <v>Good</v>
      </c>
      <c r="S248" t="s">
        <v>615</v>
      </c>
    </row>
    <row r="249" spans="1:19" x14ac:dyDescent="0.2">
      <c r="A249" t="s">
        <v>860</v>
      </c>
      <c r="B249" t="s">
        <v>75</v>
      </c>
      <c r="C249" t="s">
        <v>602</v>
      </c>
      <c r="D249">
        <v>1463.35</v>
      </c>
      <c r="E249" s="37" t="str">
        <f t="shared" si="15"/>
        <v xml:space="preserve"> </v>
      </c>
      <c r="F249">
        <v>0.47</v>
      </c>
      <c r="G249" s="37" t="str">
        <f t="shared" si="16"/>
        <v>Heavy Discount</v>
      </c>
      <c r="H249" s="37" t="str">
        <f t="shared" si="17"/>
        <v>High</v>
      </c>
      <c r="I249">
        <v>6</v>
      </c>
      <c r="J249" t="str" cm="1">
        <f t="array" ref="J249">_xlfn.IFS(I249&lt;=3,"small",I249&lt;=6,"Medium",I249&lt;=9,"Large")</f>
        <v>Medium</v>
      </c>
      <c r="K249" s="36">
        <v>45114</v>
      </c>
      <c r="L249" s="36">
        <v>45121</v>
      </c>
      <c r="M249" t="s">
        <v>598</v>
      </c>
      <c r="N249" t="s">
        <v>599</v>
      </c>
      <c r="O249" s="37" t="str">
        <f t="shared" si="18"/>
        <v>Digital Payment</v>
      </c>
      <c r="P249">
        <v>374.36</v>
      </c>
      <c r="Q249" s="37" t="str">
        <f>IF(P249&gt;500,"High","low")</f>
        <v>low</v>
      </c>
      <c r="R249" s="37" t="str">
        <f t="shared" si="19"/>
        <v>AVERAGE</v>
      </c>
      <c r="S249" t="s">
        <v>615</v>
      </c>
    </row>
    <row r="250" spans="1:19" x14ac:dyDescent="0.2">
      <c r="A250" t="s">
        <v>861</v>
      </c>
      <c r="B250" t="s">
        <v>75</v>
      </c>
      <c r="C250" t="s">
        <v>607</v>
      </c>
      <c r="D250">
        <v>2079.39</v>
      </c>
      <c r="E250" s="37" t="str">
        <f t="shared" si="15"/>
        <v xml:space="preserve"> </v>
      </c>
      <c r="F250">
        <v>0.05</v>
      </c>
      <c r="G250" s="37" t="str">
        <f t="shared" si="16"/>
        <v>Normal Discount</v>
      </c>
      <c r="H250" s="37" t="str">
        <f t="shared" si="17"/>
        <v>Low</v>
      </c>
      <c r="I250">
        <v>6</v>
      </c>
      <c r="J250" t="str" cm="1">
        <f t="array" ref="J250">_xlfn.IFS(I250&lt;=3,"small",I250&lt;=6,"Medium",I250&lt;=9,"Large")</f>
        <v>Medium</v>
      </c>
      <c r="K250" s="36">
        <v>45351</v>
      </c>
      <c r="L250" s="36">
        <v>45353</v>
      </c>
      <c r="M250" t="s">
        <v>598</v>
      </c>
      <c r="N250" t="s">
        <v>599</v>
      </c>
      <c r="O250" s="37" t="str">
        <f t="shared" si="18"/>
        <v>Digital Payment</v>
      </c>
      <c r="P250">
        <v>214.85</v>
      </c>
      <c r="Q250" s="37" t="str">
        <f>IF(P250&gt;500,"High","low")</f>
        <v>low</v>
      </c>
      <c r="R250" s="37" t="str">
        <f t="shared" si="19"/>
        <v>AVERAGE</v>
      </c>
      <c r="S250" t="s">
        <v>600</v>
      </c>
    </row>
    <row r="251" spans="1:19" x14ac:dyDescent="0.2">
      <c r="A251" t="s">
        <v>862</v>
      </c>
      <c r="B251" t="s">
        <v>90</v>
      </c>
      <c r="C251" t="s">
        <v>614</v>
      </c>
      <c r="D251">
        <v>4051.32</v>
      </c>
      <c r="E251" s="37" t="str">
        <f t="shared" si="15"/>
        <v xml:space="preserve"> </v>
      </c>
      <c r="F251">
        <v>0.13</v>
      </c>
      <c r="G251" s="37" t="str">
        <f t="shared" si="16"/>
        <v>Normal Discount</v>
      </c>
      <c r="H251" s="37" t="str">
        <f t="shared" si="17"/>
        <v>Low</v>
      </c>
      <c r="I251">
        <v>1</v>
      </c>
      <c r="J251" t="str" cm="1">
        <f t="array" ref="J251">_xlfn.IFS(I251&lt;=3,"small",I251&lt;=6,"Medium",I251&lt;=9,"Large")</f>
        <v>small</v>
      </c>
      <c r="K251" s="36">
        <v>45475</v>
      </c>
      <c r="L251" s="36">
        <v>45482</v>
      </c>
      <c r="M251" t="s">
        <v>598</v>
      </c>
      <c r="N251" t="s">
        <v>608</v>
      </c>
      <c r="O251" s="37" t="str">
        <f t="shared" si="18"/>
        <v>Cash Payment</v>
      </c>
      <c r="P251">
        <v>675.38</v>
      </c>
      <c r="Q251" s="37" t="str">
        <f>IF(P251&gt;500,"High","low")</f>
        <v>High</v>
      </c>
      <c r="R251" s="37" t="str">
        <f t="shared" si="19"/>
        <v>Good</v>
      </c>
      <c r="S251" t="s">
        <v>620</v>
      </c>
    </row>
    <row r="252" spans="1:19" x14ac:dyDescent="0.2">
      <c r="A252" t="s">
        <v>863</v>
      </c>
      <c r="B252" t="s">
        <v>83</v>
      </c>
      <c r="C252" t="s">
        <v>602</v>
      </c>
      <c r="D252">
        <v>3831.6</v>
      </c>
      <c r="E252" s="37" t="str">
        <f t="shared" si="15"/>
        <v xml:space="preserve"> </v>
      </c>
      <c r="F252">
        <v>0.43</v>
      </c>
      <c r="G252" s="37" t="str">
        <f t="shared" si="16"/>
        <v>Heavy Discount</v>
      </c>
      <c r="H252" s="37" t="str">
        <f t="shared" si="17"/>
        <v>High</v>
      </c>
      <c r="I252">
        <v>1</v>
      </c>
      <c r="J252" t="str" cm="1">
        <f t="array" ref="J252">_xlfn.IFS(I252&lt;=3,"small",I252&lt;=6,"Medium",I252&lt;=9,"Large")</f>
        <v>small</v>
      </c>
      <c r="K252" s="36">
        <v>45437</v>
      </c>
      <c r="L252" s="36">
        <v>45444</v>
      </c>
      <c r="M252" t="s">
        <v>598</v>
      </c>
      <c r="N252" t="s">
        <v>604</v>
      </c>
      <c r="O252" s="37" t="str">
        <f t="shared" si="18"/>
        <v>Digital Payment</v>
      </c>
      <c r="P252">
        <v>906.63</v>
      </c>
      <c r="Q252" s="37" t="str">
        <f>IF(P252&gt;500,"High","low")</f>
        <v>High</v>
      </c>
      <c r="R252" s="37" t="str">
        <f t="shared" si="19"/>
        <v>Good</v>
      </c>
      <c r="S252" t="s">
        <v>615</v>
      </c>
    </row>
    <row r="253" spans="1:19" x14ac:dyDescent="0.2">
      <c r="A253" t="s">
        <v>864</v>
      </c>
      <c r="B253" t="s">
        <v>75</v>
      </c>
      <c r="C253" t="s">
        <v>597</v>
      </c>
      <c r="D253">
        <v>3720.16</v>
      </c>
      <c r="E253" s="37" t="str">
        <f t="shared" si="15"/>
        <v xml:space="preserve"> </v>
      </c>
      <c r="F253">
        <v>0.01</v>
      </c>
      <c r="G253" s="37" t="str">
        <f t="shared" si="16"/>
        <v>Normal Discount</v>
      </c>
      <c r="H253" s="37" t="str">
        <f t="shared" si="17"/>
        <v>Low</v>
      </c>
      <c r="I253">
        <v>6</v>
      </c>
      <c r="J253" t="str" cm="1">
        <f t="array" ref="J253">_xlfn.IFS(I253&lt;=3,"small",I253&lt;=6,"Medium",I253&lt;=9,"Large")</f>
        <v>Medium</v>
      </c>
      <c r="K253" s="36">
        <v>45132</v>
      </c>
      <c r="L253" s="36">
        <v>45138</v>
      </c>
      <c r="M253" t="s">
        <v>612</v>
      </c>
      <c r="N253" t="s">
        <v>604</v>
      </c>
      <c r="O253" s="37" t="str">
        <f t="shared" si="18"/>
        <v>Digital Payment</v>
      </c>
      <c r="P253">
        <v>974.82</v>
      </c>
      <c r="Q253" s="37" t="str">
        <f>IF(P253&gt;500,"High","low")</f>
        <v>High</v>
      </c>
      <c r="R253" s="37" t="str">
        <f t="shared" si="19"/>
        <v>Good</v>
      </c>
      <c r="S253" t="s">
        <v>600</v>
      </c>
    </row>
    <row r="254" spans="1:19" x14ac:dyDescent="0.2">
      <c r="A254" t="s">
        <v>865</v>
      </c>
      <c r="B254" t="s">
        <v>67</v>
      </c>
      <c r="C254" t="s">
        <v>614</v>
      </c>
      <c r="D254">
        <v>3774.14</v>
      </c>
      <c r="E254" s="37" t="str">
        <f t="shared" si="15"/>
        <v xml:space="preserve"> </v>
      </c>
      <c r="F254">
        <v>0.3</v>
      </c>
      <c r="G254" s="37" t="str">
        <f t="shared" si="16"/>
        <v>Normal Discount</v>
      </c>
      <c r="H254" s="37" t="str">
        <f t="shared" si="17"/>
        <v>Medium</v>
      </c>
      <c r="I254">
        <v>6</v>
      </c>
      <c r="J254" t="str" cm="1">
        <f t="array" ref="J254">_xlfn.IFS(I254&lt;=3,"small",I254&lt;=6,"Medium",I254&lt;=9,"Large")</f>
        <v>Medium</v>
      </c>
      <c r="K254" s="36">
        <v>45297</v>
      </c>
      <c r="L254" s="36">
        <v>45299</v>
      </c>
      <c r="M254" t="s">
        <v>603</v>
      </c>
      <c r="N254" t="s">
        <v>599</v>
      </c>
      <c r="O254" s="37" t="str">
        <f t="shared" si="18"/>
        <v>Digital Payment</v>
      </c>
      <c r="P254">
        <v>268.47000000000003</v>
      </c>
      <c r="Q254" s="37" t="str">
        <f>IF(P254&gt;500,"High","low")</f>
        <v>low</v>
      </c>
      <c r="R254" s="37" t="str">
        <f t="shared" si="19"/>
        <v>AVERAGE</v>
      </c>
      <c r="S254" t="s">
        <v>615</v>
      </c>
    </row>
    <row r="255" spans="1:19" x14ac:dyDescent="0.2">
      <c r="A255" t="s">
        <v>866</v>
      </c>
      <c r="B255" t="s">
        <v>75</v>
      </c>
      <c r="C255" t="s">
        <v>597</v>
      </c>
      <c r="D255">
        <v>805.04</v>
      </c>
      <c r="E255" s="37" t="str">
        <f t="shared" si="15"/>
        <v xml:space="preserve"> </v>
      </c>
      <c r="F255">
        <v>0.48</v>
      </c>
      <c r="G255" s="37" t="str">
        <f t="shared" si="16"/>
        <v>Heavy Discount</v>
      </c>
      <c r="H255" s="37" t="str">
        <f t="shared" si="17"/>
        <v>High</v>
      </c>
      <c r="I255">
        <v>4</v>
      </c>
      <c r="J255" t="str" cm="1">
        <f t="array" ref="J255">_xlfn.IFS(I255&lt;=3,"small",I255&lt;=6,"Medium",I255&lt;=9,"Large")</f>
        <v>Medium</v>
      </c>
      <c r="K255" s="36">
        <v>45400</v>
      </c>
      <c r="L255" s="36">
        <v>45401</v>
      </c>
      <c r="M255" t="s">
        <v>598</v>
      </c>
      <c r="N255" t="s">
        <v>608</v>
      </c>
      <c r="O255" s="37" t="str">
        <f t="shared" si="18"/>
        <v>Cash Payment</v>
      </c>
      <c r="P255">
        <v>179.9</v>
      </c>
      <c r="Q255" s="37" t="str">
        <f>IF(P255&gt;500,"High","low")</f>
        <v>low</v>
      </c>
      <c r="R255" s="37" t="str">
        <f t="shared" si="19"/>
        <v>AVERAGE</v>
      </c>
      <c r="S255" t="s">
        <v>605</v>
      </c>
    </row>
    <row r="256" spans="1:19" x14ac:dyDescent="0.2">
      <c r="A256" t="s">
        <v>867</v>
      </c>
      <c r="B256" t="s">
        <v>75</v>
      </c>
      <c r="C256" t="s">
        <v>614</v>
      </c>
      <c r="D256">
        <v>585.57000000000005</v>
      </c>
      <c r="E256" s="37" t="str">
        <f t="shared" si="15"/>
        <v xml:space="preserve"> </v>
      </c>
      <c r="F256">
        <v>0.34</v>
      </c>
      <c r="G256" s="37" t="str">
        <f t="shared" si="16"/>
        <v>Heavy Discount</v>
      </c>
      <c r="H256" s="37" t="str">
        <f t="shared" si="17"/>
        <v>Medium</v>
      </c>
      <c r="I256">
        <v>8</v>
      </c>
      <c r="J256" t="str" cm="1">
        <f t="array" ref="J256">_xlfn.IFS(I256&lt;=3,"small",I256&lt;=6,"Medium",I256&lt;=9,"Large")</f>
        <v>Large</v>
      </c>
      <c r="K256" s="36">
        <v>45318</v>
      </c>
      <c r="L256" s="36">
        <v>45321</v>
      </c>
      <c r="M256" t="s">
        <v>598</v>
      </c>
      <c r="N256" t="s">
        <v>608</v>
      </c>
      <c r="O256" s="37" t="str">
        <f t="shared" si="18"/>
        <v>Cash Payment</v>
      </c>
      <c r="P256">
        <v>51.66</v>
      </c>
      <c r="Q256" s="37" t="str">
        <f>IF(P256&gt;500,"High","low")</f>
        <v>low</v>
      </c>
      <c r="R256" s="37" t="str">
        <f t="shared" si="19"/>
        <v>AVERAGE</v>
      </c>
      <c r="S256" t="s">
        <v>605</v>
      </c>
    </row>
    <row r="257" spans="1:19" x14ac:dyDescent="0.2">
      <c r="A257" t="s">
        <v>868</v>
      </c>
      <c r="B257" t="s">
        <v>90</v>
      </c>
      <c r="C257" t="s">
        <v>602</v>
      </c>
      <c r="D257">
        <v>4321.34</v>
      </c>
      <c r="E257" s="37" t="str">
        <f t="shared" si="15"/>
        <v xml:space="preserve"> </v>
      </c>
      <c r="F257">
        <v>0.05</v>
      </c>
      <c r="G257" s="37" t="str">
        <f t="shared" si="16"/>
        <v>Normal Discount</v>
      </c>
      <c r="H257" s="37" t="str">
        <f t="shared" si="17"/>
        <v>Low</v>
      </c>
      <c r="I257">
        <v>9</v>
      </c>
      <c r="J257" t="str" cm="1">
        <f t="array" ref="J257">_xlfn.IFS(I257&lt;=3,"small",I257&lt;=6,"Medium",I257&lt;=9,"Large")</f>
        <v>Large</v>
      </c>
      <c r="K257" s="36">
        <v>45405</v>
      </c>
      <c r="L257" s="36">
        <v>45406</v>
      </c>
      <c r="M257" t="s">
        <v>598</v>
      </c>
      <c r="N257" t="s">
        <v>599</v>
      </c>
      <c r="O257" s="37" t="str">
        <f t="shared" si="18"/>
        <v>Digital Payment</v>
      </c>
      <c r="P257">
        <v>330.56</v>
      </c>
      <c r="Q257" s="37" t="str">
        <f>IF(P257&gt;500,"High","low")</f>
        <v>low</v>
      </c>
      <c r="R257" s="37" t="str">
        <f t="shared" si="19"/>
        <v>AVERAGE</v>
      </c>
      <c r="S257" t="s">
        <v>600</v>
      </c>
    </row>
    <row r="258" spans="1:19" x14ac:dyDescent="0.2">
      <c r="A258" t="s">
        <v>869</v>
      </c>
      <c r="B258" t="s">
        <v>90</v>
      </c>
      <c r="C258" t="s">
        <v>617</v>
      </c>
      <c r="D258">
        <v>4202.16</v>
      </c>
      <c r="E258" s="37" t="str">
        <f t="shared" si="15"/>
        <v>Excellent Order</v>
      </c>
      <c r="F258">
        <v>0.37</v>
      </c>
      <c r="G258" s="37" t="str">
        <f t="shared" si="16"/>
        <v>Heavy Discount</v>
      </c>
      <c r="H258" s="37" t="str">
        <f t="shared" si="17"/>
        <v>Medium</v>
      </c>
      <c r="I258">
        <v>6</v>
      </c>
      <c r="J258" t="str" cm="1">
        <f t="array" ref="J258">_xlfn.IFS(I258&lt;=3,"small",I258&lt;=6,"Medium",I258&lt;=9,"Large")</f>
        <v>Medium</v>
      </c>
      <c r="K258" s="36">
        <v>45435</v>
      </c>
      <c r="L258" s="36">
        <v>45442</v>
      </c>
      <c r="M258" t="s">
        <v>598</v>
      </c>
      <c r="N258" t="s">
        <v>599</v>
      </c>
      <c r="O258" s="37" t="str">
        <f t="shared" si="18"/>
        <v>Digital Payment</v>
      </c>
      <c r="P258">
        <v>1096.27</v>
      </c>
      <c r="Q258" s="37" t="str">
        <f>IF(P258&gt;500,"High","low")</f>
        <v>High</v>
      </c>
      <c r="R258" s="37" t="str">
        <f t="shared" si="19"/>
        <v>Excellent</v>
      </c>
      <c r="S258" t="s">
        <v>620</v>
      </c>
    </row>
    <row r="259" spans="1:19" x14ac:dyDescent="0.2">
      <c r="A259" t="s">
        <v>870</v>
      </c>
      <c r="B259" t="s">
        <v>83</v>
      </c>
      <c r="C259" t="s">
        <v>602</v>
      </c>
      <c r="D259">
        <v>3438.46</v>
      </c>
      <c r="E259" s="37" t="str">
        <f t="shared" ref="E259:E322" si="20">IF(AND(D259&gt;4000,P259&gt;800),"Excellent Order"," ")</f>
        <v xml:space="preserve"> </v>
      </c>
      <c r="F259">
        <v>0.19</v>
      </c>
      <c r="G259" s="37" t="str">
        <f t="shared" ref="G259:G322" si="21">IF(F259&gt;30%,"Heavy Discount","Normal Discount")</f>
        <v>Normal Discount</v>
      </c>
      <c r="H259" s="37" t="str">
        <f t="shared" ref="H259:H322" si="22">IF(F259&gt;0.4,"High",IF(F259&gt;=0.2,"Medium","Low"))</f>
        <v>Low</v>
      </c>
      <c r="I259">
        <v>8</v>
      </c>
      <c r="J259" t="str" cm="1">
        <f t="array" ref="J259">_xlfn.IFS(I259&lt;=3,"small",I259&lt;=6,"Medium",I259&lt;=9,"Large")</f>
        <v>Large</v>
      </c>
      <c r="K259" s="36">
        <v>44983</v>
      </c>
      <c r="L259" s="36">
        <v>44986</v>
      </c>
      <c r="M259" t="s">
        <v>603</v>
      </c>
      <c r="N259" t="s">
        <v>608</v>
      </c>
      <c r="O259" s="37" t="str">
        <f t="shared" ref="O259:O322" si="23">IF(OR(N259="Card",N259="UPI"),"Digital Payment","Cash Payment")</f>
        <v>Cash Payment</v>
      </c>
      <c r="P259">
        <v>848.11</v>
      </c>
      <c r="Q259" s="37" t="str">
        <f>IF(P259&gt;500,"High","low")</f>
        <v>High</v>
      </c>
      <c r="R259" s="37" t="str">
        <f t="shared" ref="R259:R322" si="24">IF(P259&gt;1000,"Excellent",IF(P259&gt;=500,"Good","AVERAGE"))</f>
        <v>Good</v>
      </c>
      <c r="S259" t="s">
        <v>609</v>
      </c>
    </row>
    <row r="260" spans="1:19" x14ac:dyDescent="0.2">
      <c r="A260" t="s">
        <v>871</v>
      </c>
      <c r="B260" t="s">
        <v>67</v>
      </c>
      <c r="C260" t="s">
        <v>607</v>
      </c>
      <c r="D260">
        <v>3068.94</v>
      </c>
      <c r="E260" s="37" t="str">
        <f t="shared" si="20"/>
        <v xml:space="preserve"> </v>
      </c>
      <c r="F260">
        <v>0.46</v>
      </c>
      <c r="G260" s="37" t="str">
        <f t="shared" si="21"/>
        <v>Heavy Discount</v>
      </c>
      <c r="H260" s="37" t="str">
        <f t="shared" si="22"/>
        <v>High</v>
      </c>
      <c r="I260">
        <v>8</v>
      </c>
      <c r="J260" t="str" cm="1">
        <f t="array" ref="J260">_xlfn.IFS(I260&lt;=3,"small",I260&lt;=6,"Medium",I260&lt;=9,"Large")</f>
        <v>Large</v>
      </c>
      <c r="K260" s="36">
        <v>44993</v>
      </c>
      <c r="L260" s="36">
        <v>44998</v>
      </c>
      <c r="M260" t="s">
        <v>603</v>
      </c>
      <c r="N260" t="s">
        <v>604</v>
      </c>
      <c r="O260" s="37" t="str">
        <f t="shared" si="23"/>
        <v>Digital Payment</v>
      </c>
      <c r="P260">
        <v>726.26</v>
      </c>
      <c r="Q260" s="37" t="str">
        <f>IF(P260&gt;500,"High","low")</f>
        <v>High</v>
      </c>
      <c r="R260" s="37" t="str">
        <f t="shared" si="24"/>
        <v>Good</v>
      </c>
      <c r="S260" t="s">
        <v>605</v>
      </c>
    </row>
    <row r="261" spans="1:19" x14ac:dyDescent="0.2">
      <c r="A261" t="s">
        <v>872</v>
      </c>
      <c r="B261" t="s">
        <v>90</v>
      </c>
      <c r="C261" t="s">
        <v>607</v>
      </c>
      <c r="D261">
        <v>1897.67</v>
      </c>
      <c r="E261" s="37" t="str">
        <f t="shared" si="20"/>
        <v xml:space="preserve"> </v>
      </c>
      <c r="F261">
        <v>0.14000000000000001</v>
      </c>
      <c r="G261" s="37" t="str">
        <f t="shared" si="21"/>
        <v>Normal Discount</v>
      </c>
      <c r="H261" s="37" t="str">
        <f t="shared" si="22"/>
        <v>Low</v>
      </c>
      <c r="I261">
        <v>2</v>
      </c>
      <c r="J261" t="str" cm="1">
        <f t="array" ref="J261">_xlfn.IFS(I261&lt;=3,"small",I261&lt;=6,"Medium",I261&lt;=9,"Large")</f>
        <v>small</v>
      </c>
      <c r="K261" s="36">
        <v>44954</v>
      </c>
      <c r="L261" s="36">
        <v>44959</v>
      </c>
      <c r="M261" t="s">
        <v>612</v>
      </c>
      <c r="N261" t="s">
        <v>599</v>
      </c>
      <c r="O261" s="37" t="str">
        <f t="shared" si="23"/>
        <v>Digital Payment</v>
      </c>
      <c r="P261">
        <v>106.36</v>
      </c>
      <c r="Q261" s="37" t="str">
        <f>IF(P261&gt;500,"High","low")</f>
        <v>low</v>
      </c>
      <c r="R261" s="37" t="str">
        <f t="shared" si="24"/>
        <v>AVERAGE</v>
      </c>
      <c r="S261" t="s">
        <v>609</v>
      </c>
    </row>
    <row r="262" spans="1:19" x14ac:dyDescent="0.2">
      <c r="A262" t="s">
        <v>873</v>
      </c>
      <c r="B262" t="s">
        <v>75</v>
      </c>
      <c r="C262" t="s">
        <v>614</v>
      </c>
      <c r="D262">
        <v>1198</v>
      </c>
      <c r="E262" s="37" t="str">
        <f t="shared" si="20"/>
        <v xml:space="preserve"> </v>
      </c>
      <c r="F262">
        <v>0.24</v>
      </c>
      <c r="G262" s="37" t="str">
        <f t="shared" si="21"/>
        <v>Normal Discount</v>
      </c>
      <c r="H262" s="37" t="str">
        <f t="shared" si="22"/>
        <v>Medium</v>
      </c>
      <c r="I262">
        <v>4</v>
      </c>
      <c r="J262" t="str" cm="1">
        <f t="array" ref="J262">_xlfn.IFS(I262&lt;=3,"small",I262&lt;=6,"Medium",I262&lt;=9,"Large")</f>
        <v>Medium</v>
      </c>
      <c r="K262" s="36">
        <v>45580</v>
      </c>
      <c r="L262" s="36">
        <v>45587</v>
      </c>
      <c r="M262" t="s">
        <v>603</v>
      </c>
      <c r="N262" t="s">
        <v>604</v>
      </c>
      <c r="O262" s="37" t="str">
        <f t="shared" si="23"/>
        <v>Digital Payment</v>
      </c>
      <c r="P262">
        <v>136.83000000000001</v>
      </c>
      <c r="Q262" s="37" t="str">
        <f>IF(P262&gt;500,"High","low")</f>
        <v>low</v>
      </c>
      <c r="R262" s="37" t="str">
        <f t="shared" si="24"/>
        <v>AVERAGE</v>
      </c>
      <c r="S262" t="s">
        <v>600</v>
      </c>
    </row>
    <row r="263" spans="1:19" x14ac:dyDescent="0.2">
      <c r="A263" t="s">
        <v>874</v>
      </c>
      <c r="B263" t="s">
        <v>83</v>
      </c>
      <c r="C263" t="s">
        <v>607</v>
      </c>
      <c r="D263">
        <v>3371.52</v>
      </c>
      <c r="E263" s="37" t="str">
        <f t="shared" si="20"/>
        <v xml:space="preserve"> </v>
      </c>
      <c r="F263">
        <v>0.37</v>
      </c>
      <c r="G263" s="37" t="str">
        <f t="shared" si="21"/>
        <v>Heavy Discount</v>
      </c>
      <c r="H263" s="37" t="str">
        <f t="shared" si="22"/>
        <v>Medium</v>
      </c>
      <c r="I263">
        <v>1</v>
      </c>
      <c r="J263" t="str" cm="1">
        <f t="array" ref="J263">_xlfn.IFS(I263&lt;=3,"small",I263&lt;=6,"Medium",I263&lt;=9,"Large")</f>
        <v>small</v>
      </c>
      <c r="K263" s="36">
        <v>45577</v>
      </c>
      <c r="L263" s="36">
        <v>45583</v>
      </c>
      <c r="M263" t="s">
        <v>598</v>
      </c>
      <c r="N263" t="s">
        <v>604</v>
      </c>
      <c r="O263" s="37" t="str">
        <f t="shared" si="23"/>
        <v>Digital Payment</v>
      </c>
      <c r="P263">
        <v>531.95000000000005</v>
      </c>
      <c r="Q263" s="37" t="str">
        <f>IF(P263&gt;500,"High","low")</f>
        <v>High</v>
      </c>
      <c r="R263" s="37" t="str">
        <f t="shared" si="24"/>
        <v>Good</v>
      </c>
      <c r="S263" t="s">
        <v>620</v>
      </c>
    </row>
    <row r="264" spans="1:19" x14ac:dyDescent="0.2">
      <c r="A264" t="s">
        <v>875</v>
      </c>
      <c r="B264" t="s">
        <v>75</v>
      </c>
      <c r="C264" t="s">
        <v>602</v>
      </c>
      <c r="D264">
        <v>4573.87</v>
      </c>
      <c r="E264" s="37" t="str">
        <f t="shared" si="20"/>
        <v>Excellent Order</v>
      </c>
      <c r="F264">
        <v>0.13</v>
      </c>
      <c r="G264" s="37" t="str">
        <f t="shared" si="21"/>
        <v>Normal Discount</v>
      </c>
      <c r="H264" s="37" t="str">
        <f t="shared" si="22"/>
        <v>Low</v>
      </c>
      <c r="I264">
        <v>1</v>
      </c>
      <c r="J264" t="str" cm="1">
        <f t="array" ref="J264">_xlfn.IFS(I264&lt;=3,"small",I264&lt;=6,"Medium",I264&lt;=9,"Large")</f>
        <v>small</v>
      </c>
      <c r="K264" s="36">
        <v>45158</v>
      </c>
      <c r="L264" s="36">
        <v>45161</v>
      </c>
      <c r="M264" t="s">
        <v>598</v>
      </c>
      <c r="N264" t="s">
        <v>608</v>
      </c>
      <c r="O264" s="37" t="str">
        <f t="shared" si="23"/>
        <v>Cash Payment</v>
      </c>
      <c r="P264">
        <v>1235</v>
      </c>
      <c r="Q264" s="37" t="str">
        <f>IF(P264&gt;500,"High","low")</f>
        <v>High</v>
      </c>
      <c r="R264" s="37" t="str">
        <f t="shared" si="24"/>
        <v>Excellent</v>
      </c>
      <c r="S264" t="s">
        <v>620</v>
      </c>
    </row>
    <row r="265" spans="1:19" x14ac:dyDescent="0.2">
      <c r="A265" t="s">
        <v>876</v>
      </c>
      <c r="B265" t="s">
        <v>75</v>
      </c>
      <c r="C265" t="s">
        <v>597</v>
      </c>
      <c r="D265">
        <v>2241.2800000000002</v>
      </c>
      <c r="E265" s="37" t="str">
        <f t="shared" si="20"/>
        <v xml:space="preserve"> </v>
      </c>
      <c r="F265">
        <v>0.09</v>
      </c>
      <c r="G265" s="37" t="str">
        <f t="shared" si="21"/>
        <v>Normal Discount</v>
      </c>
      <c r="H265" s="37" t="str">
        <f t="shared" si="22"/>
        <v>Low</v>
      </c>
      <c r="I265">
        <v>6</v>
      </c>
      <c r="J265" t="str" cm="1">
        <f t="array" ref="J265">_xlfn.IFS(I265&lt;=3,"small",I265&lt;=6,"Medium",I265&lt;=9,"Large")</f>
        <v>Medium</v>
      </c>
      <c r="K265" s="36">
        <v>45033</v>
      </c>
      <c r="L265" s="36">
        <v>45038</v>
      </c>
      <c r="M265" t="s">
        <v>598</v>
      </c>
      <c r="N265" t="s">
        <v>604</v>
      </c>
      <c r="O265" s="37" t="str">
        <f t="shared" si="23"/>
        <v>Digital Payment</v>
      </c>
      <c r="P265">
        <v>405.21</v>
      </c>
      <c r="Q265" s="37" t="str">
        <f>IF(P265&gt;500,"High","low")</f>
        <v>low</v>
      </c>
      <c r="R265" s="37" t="str">
        <f t="shared" si="24"/>
        <v>AVERAGE</v>
      </c>
      <c r="S265" t="s">
        <v>609</v>
      </c>
    </row>
    <row r="266" spans="1:19" x14ac:dyDescent="0.2">
      <c r="A266" t="s">
        <v>877</v>
      </c>
      <c r="B266" t="s">
        <v>90</v>
      </c>
      <c r="C266" t="s">
        <v>602</v>
      </c>
      <c r="D266">
        <v>1585.74</v>
      </c>
      <c r="E266" s="37" t="str">
        <f t="shared" si="20"/>
        <v xml:space="preserve"> </v>
      </c>
      <c r="F266">
        <v>0</v>
      </c>
      <c r="G266" s="37" t="str">
        <f t="shared" si="21"/>
        <v>Normal Discount</v>
      </c>
      <c r="H266" s="37" t="str">
        <f t="shared" si="22"/>
        <v>Low</v>
      </c>
      <c r="I266">
        <v>7</v>
      </c>
      <c r="J266" t="str" cm="1">
        <f t="array" ref="J266">_xlfn.IFS(I266&lt;=3,"small",I266&lt;=6,"Medium",I266&lt;=9,"Large")</f>
        <v>Large</v>
      </c>
      <c r="K266" s="36">
        <v>45063</v>
      </c>
      <c r="L266" s="36">
        <v>45066</v>
      </c>
      <c r="M266" t="s">
        <v>598</v>
      </c>
      <c r="N266" t="s">
        <v>604</v>
      </c>
      <c r="O266" s="37" t="str">
        <f t="shared" si="23"/>
        <v>Digital Payment</v>
      </c>
      <c r="P266">
        <v>276.95999999999998</v>
      </c>
      <c r="Q266" s="37" t="str">
        <f>IF(P266&gt;500,"High","low")</f>
        <v>low</v>
      </c>
      <c r="R266" s="37" t="str">
        <f t="shared" si="24"/>
        <v>AVERAGE</v>
      </c>
      <c r="S266" t="s">
        <v>615</v>
      </c>
    </row>
    <row r="267" spans="1:19" x14ac:dyDescent="0.2">
      <c r="A267" t="s">
        <v>878</v>
      </c>
      <c r="B267" t="s">
        <v>83</v>
      </c>
      <c r="C267" t="s">
        <v>614</v>
      </c>
      <c r="D267">
        <v>1426.63</v>
      </c>
      <c r="E267" s="37" t="str">
        <f t="shared" si="20"/>
        <v xml:space="preserve"> </v>
      </c>
      <c r="F267">
        <v>0.24</v>
      </c>
      <c r="G267" s="37" t="str">
        <f t="shared" si="21"/>
        <v>Normal Discount</v>
      </c>
      <c r="H267" s="37" t="str">
        <f t="shared" si="22"/>
        <v>Medium</v>
      </c>
      <c r="I267">
        <v>5</v>
      </c>
      <c r="J267" t="str" cm="1">
        <f t="array" ref="J267">_xlfn.IFS(I267&lt;=3,"small",I267&lt;=6,"Medium",I267&lt;=9,"Large")</f>
        <v>Medium</v>
      </c>
      <c r="K267" s="36">
        <v>45304</v>
      </c>
      <c r="L267" s="36">
        <v>45311</v>
      </c>
      <c r="M267" t="s">
        <v>603</v>
      </c>
      <c r="N267" t="s">
        <v>608</v>
      </c>
      <c r="O267" s="37" t="str">
        <f t="shared" si="23"/>
        <v>Cash Payment</v>
      </c>
      <c r="P267">
        <v>72.98</v>
      </c>
      <c r="Q267" s="37" t="str">
        <f>IF(P267&gt;500,"High","low")</f>
        <v>low</v>
      </c>
      <c r="R267" s="37" t="str">
        <f t="shared" si="24"/>
        <v>AVERAGE</v>
      </c>
      <c r="S267" t="s">
        <v>620</v>
      </c>
    </row>
    <row r="268" spans="1:19" x14ac:dyDescent="0.2">
      <c r="A268" t="s">
        <v>879</v>
      </c>
      <c r="B268" t="s">
        <v>67</v>
      </c>
      <c r="C268" t="s">
        <v>607</v>
      </c>
      <c r="D268">
        <v>216.16</v>
      </c>
      <c r="E268" s="37" t="str">
        <f t="shared" si="20"/>
        <v xml:space="preserve"> </v>
      </c>
      <c r="F268">
        <v>0.46</v>
      </c>
      <c r="G268" s="37" t="str">
        <f t="shared" si="21"/>
        <v>Heavy Discount</v>
      </c>
      <c r="H268" s="37" t="str">
        <f t="shared" si="22"/>
        <v>High</v>
      </c>
      <c r="I268">
        <v>8</v>
      </c>
      <c r="J268" t="str" cm="1">
        <f t="array" ref="J268">_xlfn.IFS(I268&lt;=3,"small",I268&lt;=6,"Medium",I268&lt;=9,"Large")</f>
        <v>Large</v>
      </c>
      <c r="K268" s="36">
        <v>45602</v>
      </c>
      <c r="L268" s="36">
        <v>45608</v>
      </c>
      <c r="M268" t="s">
        <v>603</v>
      </c>
      <c r="N268" t="s">
        <v>599</v>
      </c>
      <c r="O268" s="37" t="str">
        <f t="shared" si="23"/>
        <v>Digital Payment</v>
      </c>
      <c r="P268">
        <v>55.65</v>
      </c>
      <c r="Q268" s="37" t="str">
        <f>IF(P268&gt;500,"High","low")</f>
        <v>low</v>
      </c>
      <c r="R268" s="37" t="str">
        <f t="shared" si="24"/>
        <v>AVERAGE</v>
      </c>
      <c r="S268" t="s">
        <v>609</v>
      </c>
    </row>
    <row r="269" spans="1:19" x14ac:dyDescent="0.2">
      <c r="A269" t="s">
        <v>880</v>
      </c>
      <c r="B269" t="s">
        <v>67</v>
      </c>
      <c r="C269" t="s">
        <v>597</v>
      </c>
      <c r="D269">
        <v>2649.55</v>
      </c>
      <c r="E269" s="37" t="str">
        <f t="shared" si="20"/>
        <v xml:space="preserve"> </v>
      </c>
      <c r="F269">
        <v>0.14000000000000001</v>
      </c>
      <c r="G269" s="37" t="str">
        <f t="shared" si="21"/>
        <v>Normal Discount</v>
      </c>
      <c r="H269" s="37" t="str">
        <f t="shared" si="22"/>
        <v>Low</v>
      </c>
      <c r="I269">
        <v>9</v>
      </c>
      <c r="J269" t="str" cm="1">
        <f t="array" ref="J269">_xlfn.IFS(I269&lt;=3,"small",I269&lt;=6,"Medium",I269&lt;=9,"Large")</f>
        <v>Large</v>
      </c>
      <c r="K269" s="36">
        <v>45585</v>
      </c>
      <c r="L269" s="36">
        <v>45591</v>
      </c>
      <c r="M269" t="s">
        <v>612</v>
      </c>
      <c r="N269" t="s">
        <v>604</v>
      </c>
      <c r="O269" s="37" t="str">
        <f t="shared" si="23"/>
        <v>Digital Payment</v>
      </c>
      <c r="P269">
        <v>520.04</v>
      </c>
      <c r="Q269" s="37" t="str">
        <f>IF(P269&gt;500,"High","low")</f>
        <v>High</v>
      </c>
      <c r="R269" s="37" t="str">
        <f t="shared" si="24"/>
        <v>Good</v>
      </c>
      <c r="S269" t="s">
        <v>605</v>
      </c>
    </row>
    <row r="270" spans="1:19" x14ac:dyDescent="0.2">
      <c r="A270" t="s">
        <v>881</v>
      </c>
      <c r="B270" t="s">
        <v>90</v>
      </c>
      <c r="C270" t="s">
        <v>617</v>
      </c>
      <c r="D270">
        <v>4942.3599999999997</v>
      </c>
      <c r="E270" s="37" t="str">
        <f t="shared" si="20"/>
        <v xml:space="preserve"> </v>
      </c>
      <c r="F270">
        <v>0.02</v>
      </c>
      <c r="G270" s="37" t="str">
        <f t="shared" si="21"/>
        <v>Normal Discount</v>
      </c>
      <c r="H270" s="37" t="str">
        <f t="shared" si="22"/>
        <v>Low</v>
      </c>
      <c r="I270">
        <v>4</v>
      </c>
      <c r="J270" t="str" cm="1">
        <f t="array" ref="J270">_xlfn.IFS(I270&lt;=3,"small",I270&lt;=6,"Medium",I270&lt;=9,"Large")</f>
        <v>Medium</v>
      </c>
      <c r="K270" s="36">
        <v>45317</v>
      </c>
      <c r="L270" s="36">
        <v>45323</v>
      </c>
      <c r="M270" t="s">
        <v>603</v>
      </c>
      <c r="N270" t="s">
        <v>599</v>
      </c>
      <c r="O270" s="37" t="str">
        <f t="shared" si="23"/>
        <v>Digital Payment</v>
      </c>
      <c r="P270">
        <v>705.97</v>
      </c>
      <c r="Q270" s="37" t="str">
        <f>IF(P270&gt;500,"High","low")</f>
        <v>High</v>
      </c>
      <c r="R270" s="37" t="str">
        <f t="shared" si="24"/>
        <v>Good</v>
      </c>
      <c r="S270" t="s">
        <v>615</v>
      </c>
    </row>
    <row r="271" spans="1:19" x14ac:dyDescent="0.2">
      <c r="A271" t="s">
        <v>882</v>
      </c>
      <c r="B271" t="s">
        <v>90</v>
      </c>
      <c r="C271" t="s">
        <v>597</v>
      </c>
      <c r="D271">
        <v>4094.66</v>
      </c>
      <c r="E271" s="37" t="str">
        <f t="shared" si="20"/>
        <v xml:space="preserve"> </v>
      </c>
      <c r="F271">
        <v>0.31</v>
      </c>
      <c r="G271" s="37" t="str">
        <f t="shared" si="21"/>
        <v>Heavy Discount</v>
      </c>
      <c r="H271" s="37" t="str">
        <f t="shared" si="22"/>
        <v>Medium</v>
      </c>
      <c r="I271">
        <v>1</v>
      </c>
      <c r="J271" t="str" cm="1">
        <f t="array" ref="J271">_xlfn.IFS(I271&lt;=3,"small",I271&lt;=6,"Medium",I271&lt;=9,"Large")</f>
        <v>small</v>
      </c>
      <c r="K271" s="36">
        <v>45617</v>
      </c>
      <c r="L271" s="36">
        <v>45622</v>
      </c>
      <c r="M271" t="s">
        <v>598</v>
      </c>
      <c r="N271" t="s">
        <v>608</v>
      </c>
      <c r="O271" s="37" t="str">
        <f t="shared" si="23"/>
        <v>Cash Payment</v>
      </c>
      <c r="P271">
        <v>369.04</v>
      </c>
      <c r="Q271" s="37" t="str">
        <f>IF(P271&gt;500,"High","low")</f>
        <v>low</v>
      </c>
      <c r="R271" s="37" t="str">
        <f t="shared" si="24"/>
        <v>AVERAGE</v>
      </c>
      <c r="S271" t="s">
        <v>620</v>
      </c>
    </row>
    <row r="272" spans="1:19" x14ac:dyDescent="0.2">
      <c r="A272" t="s">
        <v>883</v>
      </c>
      <c r="B272" t="s">
        <v>83</v>
      </c>
      <c r="C272" t="s">
        <v>597</v>
      </c>
      <c r="D272">
        <v>4497.63</v>
      </c>
      <c r="E272" s="37" t="str">
        <f t="shared" si="20"/>
        <v xml:space="preserve"> </v>
      </c>
      <c r="F272">
        <v>0.03</v>
      </c>
      <c r="G272" s="37" t="str">
        <f t="shared" si="21"/>
        <v>Normal Discount</v>
      </c>
      <c r="H272" s="37" t="str">
        <f t="shared" si="22"/>
        <v>Low</v>
      </c>
      <c r="I272">
        <v>6</v>
      </c>
      <c r="J272" t="str" cm="1">
        <f t="array" ref="J272">_xlfn.IFS(I272&lt;=3,"small",I272&lt;=6,"Medium",I272&lt;=9,"Large")</f>
        <v>Medium</v>
      </c>
      <c r="K272" s="36">
        <v>45525</v>
      </c>
      <c r="L272" s="36">
        <v>45531</v>
      </c>
      <c r="M272" t="s">
        <v>598</v>
      </c>
      <c r="N272" t="s">
        <v>608</v>
      </c>
      <c r="O272" s="37" t="str">
        <f t="shared" si="23"/>
        <v>Cash Payment</v>
      </c>
      <c r="P272">
        <v>696.38</v>
      </c>
      <c r="Q272" s="37" t="str">
        <f>IF(P272&gt;500,"High","low")</f>
        <v>High</v>
      </c>
      <c r="R272" s="37" t="str">
        <f t="shared" si="24"/>
        <v>Good</v>
      </c>
      <c r="S272" t="s">
        <v>628</v>
      </c>
    </row>
    <row r="273" spans="1:19" x14ac:dyDescent="0.2">
      <c r="A273" t="s">
        <v>884</v>
      </c>
      <c r="B273" t="s">
        <v>67</v>
      </c>
      <c r="C273" t="s">
        <v>602</v>
      </c>
      <c r="D273">
        <v>3143.7</v>
      </c>
      <c r="E273" s="37" t="str">
        <f t="shared" si="20"/>
        <v xml:space="preserve"> </v>
      </c>
      <c r="F273">
        <v>0.25</v>
      </c>
      <c r="G273" s="37" t="str">
        <f t="shared" si="21"/>
        <v>Normal Discount</v>
      </c>
      <c r="H273" s="37" t="str">
        <f t="shared" si="22"/>
        <v>Medium</v>
      </c>
      <c r="I273">
        <v>1</v>
      </c>
      <c r="J273" t="str" cm="1">
        <f t="array" ref="J273">_xlfn.IFS(I273&lt;=3,"small",I273&lt;=6,"Medium",I273&lt;=9,"Large")</f>
        <v>small</v>
      </c>
      <c r="K273" s="36">
        <v>45002</v>
      </c>
      <c r="L273" s="36">
        <v>45006</v>
      </c>
      <c r="M273" t="s">
        <v>603</v>
      </c>
      <c r="N273" t="s">
        <v>608</v>
      </c>
      <c r="O273" s="37" t="str">
        <f t="shared" si="23"/>
        <v>Cash Payment</v>
      </c>
      <c r="P273">
        <v>344.8</v>
      </c>
      <c r="Q273" s="37" t="str">
        <f>IF(P273&gt;500,"High","low")</f>
        <v>low</v>
      </c>
      <c r="R273" s="37" t="str">
        <f t="shared" si="24"/>
        <v>AVERAGE</v>
      </c>
      <c r="S273" t="s">
        <v>605</v>
      </c>
    </row>
    <row r="274" spans="1:19" x14ac:dyDescent="0.2">
      <c r="A274" t="s">
        <v>885</v>
      </c>
      <c r="B274" t="s">
        <v>67</v>
      </c>
      <c r="C274" t="s">
        <v>617</v>
      </c>
      <c r="D274">
        <v>2459.09</v>
      </c>
      <c r="E274" s="37" t="str">
        <f t="shared" si="20"/>
        <v xml:space="preserve"> </v>
      </c>
      <c r="F274">
        <v>0.19</v>
      </c>
      <c r="G274" s="37" t="str">
        <f t="shared" si="21"/>
        <v>Normal Discount</v>
      </c>
      <c r="H274" s="37" t="str">
        <f t="shared" si="22"/>
        <v>Low</v>
      </c>
      <c r="I274">
        <v>2</v>
      </c>
      <c r="J274" t="str" cm="1">
        <f t="array" ref="J274">_xlfn.IFS(I274&lt;=3,"small",I274&lt;=6,"Medium",I274&lt;=9,"Large")</f>
        <v>small</v>
      </c>
      <c r="K274" s="36">
        <v>45381</v>
      </c>
      <c r="L274" s="36">
        <v>45388</v>
      </c>
      <c r="M274" t="s">
        <v>612</v>
      </c>
      <c r="N274" t="s">
        <v>608</v>
      </c>
      <c r="O274" s="37" t="str">
        <f t="shared" si="23"/>
        <v>Cash Payment</v>
      </c>
      <c r="P274">
        <v>399.72</v>
      </c>
      <c r="Q274" s="37" t="str">
        <f>IF(P274&gt;500,"High","low")</f>
        <v>low</v>
      </c>
      <c r="R274" s="37" t="str">
        <f t="shared" si="24"/>
        <v>AVERAGE</v>
      </c>
      <c r="S274" t="s">
        <v>615</v>
      </c>
    </row>
    <row r="275" spans="1:19" x14ac:dyDescent="0.2">
      <c r="A275" t="s">
        <v>886</v>
      </c>
      <c r="B275" t="s">
        <v>67</v>
      </c>
      <c r="C275" t="s">
        <v>614</v>
      </c>
      <c r="D275">
        <v>4953.24</v>
      </c>
      <c r="E275" s="37" t="str">
        <f t="shared" si="20"/>
        <v xml:space="preserve"> </v>
      </c>
      <c r="F275">
        <v>0.24</v>
      </c>
      <c r="G275" s="37" t="str">
        <f t="shared" si="21"/>
        <v>Normal Discount</v>
      </c>
      <c r="H275" s="37" t="str">
        <f t="shared" si="22"/>
        <v>Medium</v>
      </c>
      <c r="I275">
        <v>4</v>
      </c>
      <c r="J275" t="str" cm="1">
        <f t="array" ref="J275">_xlfn.IFS(I275&lt;=3,"small",I275&lt;=6,"Medium",I275&lt;=9,"Large")</f>
        <v>Medium</v>
      </c>
      <c r="K275" s="36">
        <v>45271</v>
      </c>
      <c r="L275" s="36">
        <v>45273</v>
      </c>
      <c r="M275" t="s">
        <v>612</v>
      </c>
      <c r="N275" t="s">
        <v>608</v>
      </c>
      <c r="O275" s="37" t="str">
        <f t="shared" si="23"/>
        <v>Cash Payment</v>
      </c>
      <c r="P275">
        <v>627.20000000000005</v>
      </c>
      <c r="Q275" s="37" t="str">
        <f>IF(P275&gt;500,"High","low")</f>
        <v>High</v>
      </c>
      <c r="R275" s="37" t="str">
        <f t="shared" si="24"/>
        <v>Good</v>
      </c>
      <c r="S275" t="s">
        <v>609</v>
      </c>
    </row>
    <row r="276" spans="1:19" x14ac:dyDescent="0.2">
      <c r="A276" t="s">
        <v>887</v>
      </c>
      <c r="B276" t="s">
        <v>75</v>
      </c>
      <c r="C276" t="s">
        <v>614</v>
      </c>
      <c r="D276">
        <v>2291.09</v>
      </c>
      <c r="E276" s="37" t="str">
        <f t="shared" si="20"/>
        <v xml:space="preserve"> </v>
      </c>
      <c r="F276">
        <v>0.08</v>
      </c>
      <c r="G276" s="37" t="str">
        <f t="shared" si="21"/>
        <v>Normal Discount</v>
      </c>
      <c r="H276" s="37" t="str">
        <f t="shared" si="22"/>
        <v>Low</v>
      </c>
      <c r="I276">
        <v>4</v>
      </c>
      <c r="J276" t="str" cm="1">
        <f t="array" ref="J276">_xlfn.IFS(I276&lt;=3,"small",I276&lt;=6,"Medium",I276&lt;=9,"Large")</f>
        <v>Medium</v>
      </c>
      <c r="K276" s="36">
        <v>45516</v>
      </c>
      <c r="L276" s="36">
        <v>45521</v>
      </c>
      <c r="M276" t="s">
        <v>603</v>
      </c>
      <c r="N276" t="s">
        <v>599</v>
      </c>
      <c r="O276" s="37" t="str">
        <f t="shared" si="23"/>
        <v>Digital Payment</v>
      </c>
      <c r="P276">
        <v>139.74</v>
      </c>
      <c r="Q276" s="37" t="str">
        <f>IF(P276&gt;500,"High","low")</f>
        <v>low</v>
      </c>
      <c r="R276" s="37" t="str">
        <f t="shared" si="24"/>
        <v>AVERAGE</v>
      </c>
      <c r="S276" t="s">
        <v>620</v>
      </c>
    </row>
    <row r="277" spans="1:19" x14ac:dyDescent="0.2">
      <c r="A277" t="s">
        <v>888</v>
      </c>
      <c r="B277" t="s">
        <v>67</v>
      </c>
      <c r="C277" t="s">
        <v>597</v>
      </c>
      <c r="D277">
        <v>4592.47</v>
      </c>
      <c r="E277" s="37" t="str">
        <f t="shared" si="20"/>
        <v>Excellent Order</v>
      </c>
      <c r="F277">
        <v>0.05</v>
      </c>
      <c r="G277" s="37" t="str">
        <f t="shared" si="21"/>
        <v>Normal Discount</v>
      </c>
      <c r="H277" s="37" t="str">
        <f t="shared" si="22"/>
        <v>Low</v>
      </c>
      <c r="I277">
        <v>6</v>
      </c>
      <c r="J277" t="str" cm="1">
        <f t="array" ref="J277">_xlfn.IFS(I277&lt;=3,"small",I277&lt;=6,"Medium",I277&lt;=9,"Large")</f>
        <v>Medium</v>
      </c>
      <c r="K277" s="36">
        <v>45496</v>
      </c>
      <c r="L277" s="36">
        <v>45501</v>
      </c>
      <c r="M277" t="s">
        <v>603</v>
      </c>
      <c r="N277" t="s">
        <v>599</v>
      </c>
      <c r="O277" s="37" t="str">
        <f t="shared" si="23"/>
        <v>Digital Payment</v>
      </c>
      <c r="P277">
        <v>1369.07</v>
      </c>
      <c r="Q277" s="37" t="str">
        <f>IF(P277&gt;500,"High","low")</f>
        <v>High</v>
      </c>
      <c r="R277" s="37" t="str">
        <f t="shared" si="24"/>
        <v>Excellent</v>
      </c>
      <c r="S277" t="s">
        <v>605</v>
      </c>
    </row>
    <row r="278" spans="1:19" x14ac:dyDescent="0.2">
      <c r="A278" t="s">
        <v>889</v>
      </c>
      <c r="B278" t="s">
        <v>75</v>
      </c>
      <c r="C278" t="s">
        <v>597</v>
      </c>
      <c r="D278">
        <v>3833.04</v>
      </c>
      <c r="E278" s="37" t="str">
        <f t="shared" si="20"/>
        <v xml:space="preserve"> </v>
      </c>
      <c r="F278">
        <v>0.37</v>
      </c>
      <c r="G278" s="37" t="str">
        <f t="shared" si="21"/>
        <v>Heavy Discount</v>
      </c>
      <c r="H278" s="37" t="str">
        <f t="shared" si="22"/>
        <v>Medium</v>
      </c>
      <c r="I278">
        <v>8</v>
      </c>
      <c r="J278" t="str" cm="1">
        <f t="array" ref="J278">_xlfn.IFS(I278&lt;=3,"small",I278&lt;=6,"Medium",I278&lt;=9,"Large")</f>
        <v>Large</v>
      </c>
      <c r="K278" s="36">
        <v>45641</v>
      </c>
      <c r="L278" s="36">
        <v>45645</v>
      </c>
      <c r="M278" t="s">
        <v>603</v>
      </c>
      <c r="N278" t="s">
        <v>608</v>
      </c>
      <c r="O278" s="37" t="str">
        <f t="shared" si="23"/>
        <v>Cash Payment</v>
      </c>
      <c r="P278">
        <v>620.79</v>
      </c>
      <c r="Q278" s="37" t="str">
        <f>IF(P278&gt;500,"High","low")</f>
        <v>High</v>
      </c>
      <c r="R278" s="37" t="str">
        <f t="shared" si="24"/>
        <v>Good</v>
      </c>
      <c r="S278" t="s">
        <v>609</v>
      </c>
    </row>
    <row r="279" spans="1:19" x14ac:dyDescent="0.2">
      <c r="A279" t="s">
        <v>890</v>
      </c>
      <c r="B279" t="s">
        <v>83</v>
      </c>
      <c r="C279" t="s">
        <v>607</v>
      </c>
      <c r="D279">
        <v>1721.79</v>
      </c>
      <c r="E279" s="37" t="str">
        <f t="shared" si="20"/>
        <v xml:space="preserve"> </v>
      </c>
      <c r="F279">
        <v>0.12</v>
      </c>
      <c r="G279" s="37" t="str">
        <f t="shared" si="21"/>
        <v>Normal Discount</v>
      </c>
      <c r="H279" s="37" t="str">
        <f t="shared" si="22"/>
        <v>Low</v>
      </c>
      <c r="I279">
        <v>3</v>
      </c>
      <c r="J279" t="str" cm="1">
        <f t="array" ref="J279">_xlfn.IFS(I279&lt;=3,"small",I279&lt;=6,"Medium",I279&lt;=9,"Large")</f>
        <v>small</v>
      </c>
      <c r="K279" s="36">
        <v>45385</v>
      </c>
      <c r="L279" s="36">
        <v>45386</v>
      </c>
      <c r="M279" t="s">
        <v>598</v>
      </c>
      <c r="N279" t="s">
        <v>604</v>
      </c>
      <c r="O279" s="37" t="str">
        <f t="shared" si="23"/>
        <v>Digital Payment</v>
      </c>
      <c r="P279">
        <v>436.28</v>
      </c>
      <c r="Q279" s="37" t="str">
        <f>IF(P279&gt;500,"High","low")</f>
        <v>low</v>
      </c>
      <c r="R279" s="37" t="str">
        <f t="shared" si="24"/>
        <v>AVERAGE</v>
      </c>
      <c r="S279" t="s">
        <v>609</v>
      </c>
    </row>
    <row r="280" spans="1:19" x14ac:dyDescent="0.2">
      <c r="A280" t="s">
        <v>891</v>
      </c>
      <c r="B280" t="s">
        <v>75</v>
      </c>
      <c r="C280" t="s">
        <v>617</v>
      </c>
      <c r="D280">
        <v>2565</v>
      </c>
      <c r="E280" s="37" t="str">
        <f t="shared" si="20"/>
        <v xml:space="preserve"> </v>
      </c>
      <c r="F280">
        <v>0.4</v>
      </c>
      <c r="G280" s="37" t="str">
        <f t="shared" si="21"/>
        <v>Heavy Discount</v>
      </c>
      <c r="H280" s="37" t="str">
        <f t="shared" si="22"/>
        <v>Medium</v>
      </c>
      <c r="I280">
        <v>6</v>
      </c>
      <c r="J280" t="str" cm="1">
        <f t="array" ref="J280">_xlfn.IFS(I280&lt;=3,"small",I280&lt;=6,"Medium",I280&lt;=9,"Large")</f>
        <v>Medium</v>
      </c>
      <c r="K280" s="36">
        <v>45289</v>
      </c>
      <c r="L280" s="36">
        <v>45293</v>
      </c>
      <c r="M280" t="s">
        <v>603</v>
      </c>
      <c r="N280" t="s">
        <v>608</v>
      </c>
      <c r="O280" s="37" t="str">
        <f t="shared" si="23"/>
        <v>Cash Payment</v>
      </c>
      <c r="P280">
        <v>202.72</v>
      </c>
      <c r="Q280" s="37" t="str">
        <f>IF(P280&gt;500,"High","low")</f>
        <v>low</v>
      </c>
      <c r="R280" s="37" t="str">
        <f t="shared" si="24"/>
        <v>AVERAGE</v>
      </c>
      <c r="S280" t="s">
        <v>628</v>
      </c>
    </row>
    <row r="281" spans="1:19" x14ac:dyDescent="0.2">
      <c r="A281" t="s">
        <v>892</v>
      </c>
      <c r="B281" t="s">
        <v>83</v>
      </c>
      <c r="C281" t="s">
        <v>597</v>
      </c>
      <c r="D281">
        <v>1983.21</v>
      </c>
      <c r="E281" s="37" t="str">
        <f t="shared" si="20"/>
        <v xml:space="preserve"> </v>
      </c>
      <c r="F281">
        <v>0.38</v>
      </c>
      <c r="G281" s="37" t="str">
        <f t="shared" si="21"/>
        <v>Heavy Discount</v>
      </c>
      <c r="H281" s="37" t="str">
        <f t="shared" si="22"/>
        <v>Medium</v>
      </c>
      <c r="I281">
        <v>3</v>
      </c>
      <c r="J281" t="str" cm="1">
        <f t="array" ref="J281">_xlfn.IFS(I281&lt;=3,"small",I281&lt;=6,"Medium",I281&lt;=9,"Large")</f>
        <v>small</v>
      </c>
      <c r="K281" s="36">
        <v>45500</v>
      </c>
      <c r="L281" s="36">
        <v>45505</v>
      </c>
      <c r="M281" t="s">
        <v>603</v>
      </c>
      <c r="N281" t="s">
        <v>608</v>
      </c>
      <c r="O281" s="37" t="str">
        <f t="shared" si="23"/>
        <v>Cash Payment</v>
      </c>
      <c r="P281">
        <v>400.98</v>
      </c>
      <c r="Q281" s="37" t="str">
        <f>IF(P281&gt;500,"High","low")</f>
        <v>low</v>
      </c>
      <c r="R281" s="37" t="str">
        <f t="shared" si="24"/>
        <v>AVERAGE</v>
      </c>
      <c r="S281" t="s">
        <v>605</v>
      </c>
    </row>
    <row r="282" spans="1:19" x14ac:dyDescent="0.2">
      <c r="A282" t="s">
        <v>893</v>
      </c>
      <c r="B282" t="s">
        <v>67</v>
      </c>
      <c r="C282" t="s">
        <v>607</v>
      </c>
      <c r="D282">
        <v>767.49</v>
      </c>
      <c r="E282" s="37" t="str">
        <f t="shared" si="20"/>
        <v xml:space="preserve"> </v>
      </c>
      <c r="F282">
        <v>0.1</v>
      </c>
      <c r="G282" s="37" t="str">
        <f t="shared" si="21"/>
        <v>Normal Discount</v>
      </c>
      <c r="H282" s="37" t="str">
        <f t="shared" si="22"/>
        <v>Low</v>
      </c>
      <c r="I282">
        <v>2</v>
      </c>
      <c r="J282" t="str" cm="1">
        <f t="array" ref="J282">_xlfn.IFS(I282&lt;=3,"small",I282&lt;=6,"Medium",I282&lt;=9,"Large")</f>
        <v>small</v>
      </c>
      <c r="K282" s="36">
        <v>45069</v>
      </c>
      <c r="L282" s="36">
        <v>45073</v>
      </c>
      <c r="M282" t="s">
        <v>612</v>
      </c>
      <c r="N282" t="s">
        <v>604</v>
      </c>
      <c r="O282" s="37" t="str">
        <f t="shared" si="23"/>
        <v>Digital Payment</v>
      </c>
      <c r="P282">
        <v>139.09</v>
      </c>
      <c r="Q282" s="37" t="str">
        <f>IF(P282&gt;500,"High","low")</f>
        <v>low</v>
      </c>
      <c r="R282" s="37" t="str">
        <f t="shared" si="24"/>
        <v>AVERAGE</v>
      </c>
      <c r="S282" t="s">
        <v>628</v>
      </c>
    </row>
    <row r="283" spans="1:19" x14ac:dyDescent="0.2">
      <c r="A283" t="s">
        <v>894</v>
      </c>
      <c r="B283" t="s">
        <v>67</v>
      </c>
      <c r="C283" t="s">
        <v>617</v>
      </c>
      <c r="D283">
        <v>1848.16</v>
      </c>
      <c r="E283" s="37" t="str">
        <f t="shared" si="20"/>
        <v xml:space="preserve"> </v>
      </c>
      <c r="F283">
        <v>0.45</v>
      </c>
      <c r="G283" s="37" t="str">
        <f t="shared" si="21"/>
        <v>Heavy Discount</v>
      </c>
      <c r="H283" s="37" t="str">
        <f t="shared" si="22"/>
        <v>High</v>
      </c>
      <c r="I283">
        <v>4</v>
      </c>
      <c r="J283" t="str" cm="1">
        <f t="array" ref="J283">_xlfn.IFS(I283&lt;=3,"small",I283&lt;=6,"Medium",I283&lt;=9,"Large")</f>
        <v>Medium</v>
      </c>
      <c r="K283" s="36">
        <v>45505</v>
      </c>
      <c r="L283" s="36">
        <v>45509</v>
      </c>
      <c r="M283" t="s">
        <v>612</v>
      </c>
      <c r="N283" t="s">
        <v>604</v>
      </c>
      <c r="O283" s="37" t="str">
        <f t="shared" si="23"/>
        <v>Digital Payment</v>
      </c>
      <c r="P283">
        <v>533.01</v>
      </c>
      <c r="Q283" s="37" t="str">
        <f>IF(P283&gt;500,"High","low")</f>
        <v>High</v>
      </c>
      <c r="R283" s="37" t="str">
        <f t="shared" si="24"/>
        <v>Good</v>
      </c>
      <c r="S283" t="s">
        <v>620</v>
      </c>
    </row>
    <row r="284" spans="1:19" x14ac:dyDescent="0.2">
      <c r="A284" t="s">
        <v>895</v>
      </c>
      <c r="B284" t="s">
        <v>83</v>
      </c>
      <c r="C284" t="s">
        <v>614</v>
      </c>
      <c r="D284">
        <v>4455.97</v>
      </c>
      <c r="E284" s="37" t="str">
        <f t="shared" si="20"/>
        <v>Excellent Order</v>
      </c>
      <c r="F284">
        <v>0.08</v>
      </c>
      <c r="G284" s="37" t="str">
        <f t="shared" si="21"/>
        <v>Normal Discount</v>
      </c>
      <c r="H284" s="37" t="str">
        <f t="shared" si="22"/>
        <v>Low</v>
      </c>
      <c r="I284">
        <v>4</v>
      </c>
      <c r="J284" t="str" cm="1">
        <f t="array" ref="J284">_xlfn.IFS(I284&lt;=3,"small",I284&lt;=6,"Medium",I284&lt;=9,"Large")</f>
        <v>Medium</v>
      </c>
      <c r="K284" s="36">
        <v>45564</v>
      </c>
      <c r="L284" s="36">
        <v>45570</v>
      </c>
      <c r="M284" t="s">
        <v>598</v>
      </c>
      <c r="N284" t="s">
        <v>608</v>
      </c>
      <c r="O284" s="37" t="str">
        <f t="shared" si="23"/>
        <v>Cash Payment</v>
      </c>
      <c r="P284">
        <v>1118.01</v>
      </c>
      <c r="Q284" s="37" t="str">
        <f>IF(P284&gt;500,"High","low")</f>
        <v>High</v>
      </c>
      <c r="R284" s="37" t="str">
        <f t="shared" si="24"/>
        <v>Excellent</v>
      </c>
      <c r="S284" t="s">
        <v>615</v>
      </c>
    </row>
    <row r="285" spans="1:19" x14ac:dyDescent="0.2">
      <c r="A285" t="s">
        <v>896</v>
      </c>
      <c r="B285" t="s">
        <v>90</v>
      </c>
      <c r="C285" t="s">
        <v>607</v>
      </c>
      <c r="D285">
        <v>3787.91</v>
      </c>
      <c r="E285" s="37" t="str">
        <f t="shared" si="20"/>
        <v xml:space="preserve"> </v>
      </c>
      <c r="F285">
        <v>0.4</v>
      </c>
      <c r="G285" s="37" t="str">
        <f t="shared" si="21"/>
        <v>Heavy Discount</v>
      </c>
      <c r="H285" s="37" t="str">
        <f t="shared" si="22"/>
        <v>Medium</v>
      </c>
      <c r="I285">
        <v>2</v>
      </c>
      <c r="J285" t="str" cm="1">
        <f t="array" ref="J285">_xlfn.IFS(I285&lt;=3,"small",I285&lt;=6,"Medium",I285&lt;=9,"Large")</f>
        <v>small</v>
      </c>
      <c r="K285" s="36">
        <v>45071</v>
      </c>
      <c r="L285" s="36">
        <v>45075</v>
      </c>
      <c r="M285" t="s">
        <v>612</v>
      </c>
      <c r="N285" t="s">
        <v>608</v>
      </c>
      <c r="O285" s="37" t="str">
        <f t="shared" si="23"/>
        <v>Cash Payment</v>
      </c>
      <c r="P285">
        <v>580.76</v>
      </c>
      <c r="Q285" s="37" t="str">
        <f>IF(P285&gt;500,"High","low")</f>
        <v>High</v>
      </c>
      <c r="R285" s="37" t="str">
        <f t="shared" si="24"/>
        <v>Good</v>
      </c>
      <c r="S285" t="s">
        <v>609</v>
      </c>
    </row>
    <row r="286" spans="1:19" x14ac:dyDescent="0.2">
      <c r="A286" t="s">
        <v>897</v>
      </c>
      <c r="B286" t="s">
        <v>83</v>
      </c>
      <c r="C286" t="s">
        <v>617</v>
      </c>
      <c r="D286">
        <v>1460.15</v>
      </c>
      <c r="E286" s="37" t="str">
        <f t="shared" si="20"/>
        <v xml:space="preserve"> </v>
      </c>
      <c r="F286">
        <v>0.21</v>
      </c>
      <c r="G286" s="37" t="str">
        <f t="shared" si="21"/>
        <v>Normal Discount</v>
      </c>
      <c r="H286" s="37" t="str">
        <f t="shared" si="22"/>
        <v>Medium</v>
      </c>
      <c r="I286">
        <v>3</v>
      </c>
      <c r="J286" t="str" cm="1">
        <f t="array" ref="J286">_xlfn.IFS(I286&lt;=3,"small",I286&lt;=6,"Medium",I286&lt;=9,"Large")</f>
        <v>small</v>
      </c>
      <c r="K286" s="36">
        <v>45295</v>
      </c>
      <c r="L286" s="36">
        <v>45302</v>
      </c>
      <c r="M286" t="s">
        <v>612</v>
      </c>
      <c r="N286" t="s">
        <v>604</v>
      </c>
      <c r="O286" s="37" t="str">
        <f t="shared" si="23"/>
        <v>Digital Payment</v>
      </c>
      <c r="P286">
        <v>362.96</v>
      </c>
      <c r="Q286" s="37" t="str">
        <f>IF(P286&gt;500,"High","low")</f>
        <v>low</v>
      </c>
      <c r="R286" s="37" t="str">
        <f t="shared" si="24"/>
        <v>AVERAGE</v>
      </c>
      <c r="S286" t="s">
        <v>628</v>
      </c>
    </row>
    <row r="287" spans="1:19" x14ac:dyDescent="0.2">
      <c r="A287" t="s">
        <v>898</v>
      </c>
      <c r="B287" t="s">
        <v>90</v>
      </c>
      <c r="C287" t="s">
        <v>607</v>
      </c>
      <c r="D287">
        <v>1902.78</v>
      </c>
      <c r="E287" s="37" t="str">
        <f t="shared" si="20"/>
        <v xml:space="preserve"> </v>
      </c>
      <c r="F287">
        <v>0.09</v>
      </c>
      <c r="G287" s="37" t="str">
        <f t="shared" si="21"/>
        <v>Normal Discount</v>
      </c>
      <c r="H287" s="37" t="str">
        <f t="shared" si="22"/>
        <v>Low</v>
      </c>
      <c r="I287">
        <v>9</v>
      </c>
      <c r="J287" t="str" cm="1">
        <f t="array" ref="J287">_xlfn.IFS(I287&lt;=3,"small",I287&lt;=6,"Medium",I287&lt;=9,"Large")</f>
        <v>Large</v>
      </c>
      <c r="K287" s="36">
        <v>45354</v>
      </c>
      <c r="L287" s="36">
        <v>45357</v>
      </c>
      <c r="M287" t="s">
        <v>603</v>
      </c>
      <c r="N287" t="s">
        <v>604</v>
      </c>
      <c r="O287" s="37" t="str">
        <f t="shared" si="23"/>
        <v>Digital Payment</v>
      </c>
      <c r="P287">
        <v>289.24</v>
      </c>
      <c r="Q287" s="37" t="str">
        <f>IF(P287&gt;500,"High","low")</f>
        <v>low</v>
      </c>
      <c r="R287" s="37" t="str">
        <f t="shared" si="24"/>
        <v>AVERAGE</v>
      </c>
      <c r="S287" t="s">
        <v>609</v>
      </c>
    </row>
    <row r="288" spans="1:19" x14ac:dyDescent="0.2">
      <c r="A288" t="s">
        <v>899</v>
      </c>
      <c r="B288" t="s">
        <v>75</v>
      </c>
      <c r="C288" t="s">
        <v>597</v>
      </c>
      <c r="D288">
        <v>3120.53</v>
      </c>
      <c r="E288" s="37" t="str">
        <f t="shared" si="20"/>
        <v xml:space="preserve"> </v>
      </c>
      <c r="F288">
        <v>0.47</v>
      </c>
      <c r="G288" s="37" t="str">
        <f t="shared" si="21"/>
        <v>Heavy Discount</v>
      </c>
      <c r="H288" s="37" t="str">
        <f t="shared" si="22"/>
        <v>High</v>
      </c>
      <c r="I288">
        <v>9</v>
      </c>
      <c r="J288" t="str" cm="1">
        <f t="array" ref="J288">_xlfn.IFS(I288&lt;=3,"small",I288&lt;=6,"Medium",I288&lt;=9,"Large")</f>
        <v>Large</v>
      </c>
      <c r="K288" s="36">
        <v>45641</v>
      </c>
      <c r="L288" s="36">
        <v>45645</v>
      </c>
      <c r="M288" t="s">
        <v>612</v>
      </c>
      <c r="N288" t="s">
        <v>608</v>
      </c>
      <c r="O288" s="37" t="str">
        <f t="shared" si="23"/>
        <v>Cash Payment</v>
      </c>
      <c r="P288">
        <v>749.57</v>
      </c>
      <c r="Q288" s="37" t="str">
        <f>IF(P288&gt;500,"High","low")</f>
        <v>High</v>
      </c>
      <c r="R288" s="37" t="str">
        <f t="shared" si="24"/>
        <v>Good</v>
      </c>
      <c r="S288" t="s">
        <v>605</v>
      </c>
    </row>
    <row r="289" spans="1:19" x14ac:dyDescent="0.2">
      <c r="A289" t="s">
        <v>900</v>
      </c>
      <c r="B289" t="s">
        <v>75</v>
      </c>
      <c r="C289" t="s">
        <v>602</v>
      </c>
      <c r="D289">
        <v>2139.09</v>
      </c>
      <c r="E289" s="37" t="str">
        <f t="shared" si="20"/>
        <v xml:space="preserve"> </v>
      </c>
      <c r="F289">
        <v>0.48</v>
      </c>
      <c r="G289" s="37" t="str">
        <f t="shared" si="21"/>
        <v>Heavy Discount</v>
      </c>
      <c r="H289" s="37" t="str">
        <f t="shared" si="22"/>
        <v>High</v>
      </c>
      <c r="I289">
        <v>7</v>
      </c>
      <c r="J289" t="str" cm="1">
        <f t="array" ref="J289">_xlfn.IFS(I289&lt;=3,"small",I289&lt;=6,"Medium",I289&lt;=9,"Large")</f>
        <v>Large</v>
      </c>
      <c r="K289" s="36">
        <v>45179</v>
      </c>
      <c r="L289" s="36">
        <v>45183</v>
      </c>
      <c r="M289" t="s">
        <v>612</v>
      </c>
      <c r="N289" t="s">
        <v>608</v>
      </c>
      <c r="O289" s="37" t="str">
        <f t="shared" si="23"/>
        <v>Cash Payment</v>
      </c>
      <c r="P289">
        <v>262.82</v>
      </c>
      <c r="Q289" s="37" t="str">
        <f>IF(P289&gt;500,"High","low")</f>
        <v>low</v>
      </c>
      <c r="R289" s="37" t="str">
        <f t="shared" si="24"/>
        <v>AVERAGE</v>
      </c>
      <c r="S289" t="s">
        <v>609</v>
      </c>
    </row>
    <row r="290" spans="1:19" x14ac:dyDescent="0.2">
      <c r="A290" t="s">
        <v>901</v>
      </c>
      <c r="B290" t="s">
        <v>75</v>
      </c>
      <c r="C290" t="s">
        <v>614</v>
      </c>
      <c r="D290">
        <v>2564.92</v>
      </c>
      <c r="E290" s="37" t="str">
        <f t="shared" si="20"/>
        <v xml:space="preserve"> </v>
      </c>
      <c r="F290">
        <v>0.26</v>
      </c>
      <c r="G290" s="37" t="str">
        <f t="shared" si="21"/>
        <v>Normal Discount</v>
      </c>
      <c r="H290" s="37" t="str">
        <f t="shared" si="22"/>
        <v>Medium</v>
      </c>
      <c r="I290">
        <v>2</v>
      </c>
      <c r="J290" t="str" cm="1">
        <f t="array" ref="J290">_xlfn.IFS(I290&lt;=3,"small",I290&lt;=6,"Medium",I290&lt;=9,"Large")</f>
        <v>small</v>
      </c>
      <c r="K290" s="36">
        <v>45548</v>
      </c>
      <c r="L290" s="36">
        <v>45555</v>
      </c>
      <c r="M290" t="s">
        <v>612</v>
      </c>
      <c r="N290" t="s">
        <v>604</v>
      </c>
      <c r="O290" s="37" t="str">
        <f t="shared" si="23"/>
        <v>Digital Payment</v>
      </c>
      <c r="P290">
        <v>367.39</v>
      </c>
      <c r="Q290" s="37" t="str">
        <f>IF(P290&gt;500,"High","low")</f>
        <v>low</v>
      </c>
      <c r="R290" s="37" t="str">
        <f t="shared" si="24"/>
        <v>AVERAGE</v>
      </c>
      <c r="S290" t="s">
        <v>628</v>
      </c>
    </row>
    <row r="291" spans="1:19" x14ac:dyDescent="0.2">
      <c r="A291" t="s">
        <v>902</v>
      </c>
      <c r="B291" t="s">
        <v>67</v>
      </c>
      <c r="C291" t="s">
        <v>597</v>
      </c>
      <c r="D291">
        <v>3521.03</v>
      </c>
      <c r="E291" s="37" t="str">
        <f t="shared" si="20"/>
        <v xml:space="preserve"> </v>
      </c>
      <c r="F291">
        <v>0.23</v>
      </c>
      <c r="G291" s="37" t="str">
        <f t="shared" si="21"/>
        <v>Normal Discount</v>
      </c>
      <c r="H291" s="37" t="str">
        <f t="shared" si="22"/>
        <v>Medium</v>
      </c>
      <c r="I291">
        <v>5</v>
      </c>
      <c r="J291" t="str" cm="1">
        <f t="array" ref="J291">_xlfn.IFS(I291&lt;=3,"small",I291&lt;=6,"Medium",I291&lt;=9,"Large")</f>
        <v>Medium</v>
      </c>
      <c r="K291" s="36">
        <v>45074</v>
      </c>
      <c r="L291" s="36">
        <v>45081</v>
      </c>
      <c r="M291" t="s">
        <v>612</v>
      </c>
      <c r="N291" t="s">
        <v>608</v>
      </c>
      <c r="O291" s="37" t="str">
        <f t="shared" si="23"/>
        <v>Cash Payment</v>
      </c>
      <c r="P291">
        <v>709.19</v>
      </c>
      <c r="Q291" s="37" t="str">
        <f>IF(P291&gt;500,"High","low")</f>
        <v>High</v>
      </c>
      <c r="R291" s="37" t="str">
        <f t="shared" si="24"/>
        <v>Good</v>
      </c>
      <c r="S291" t="s">
        <v>605</v>
      </c>
    </row>
    <row r="292" spans="1:19" x14ac:dyDescent="0.2">
      <c r="A292" t="s">
        <v>903</v>
      </c>
      <c r="B292" t="s">
        <v>75</v>
      </c>
      <c r="C292" t="s">
        <v>597</v>
      </c>
      <c r="D292">
        <v>2389.5300000000002</v>
      </c>
      <c r="E292" s="37" t="str">
        <f t="shared" si="20"/>
        <v xml:space="preserve"> </v>
      </c>
      <c r="F292">
        <v>0.45</v>
      </c>
      <c r="G292" s="37" t="str">
        <f t="shared" si="21"/>
        <v>Heavy Discount</v>
      </c>
      <c r="H292" s="37" t="str">
        <f t="shared" si="22"/>
        <v>High</v>
      </c>
      <c r="I292">
        <v>8</v>
      </c>
      <c r="J292" t="str" cm="1">
        <f t="array" ref="J292">_xlfn.IFS(I292&lt;=3,"small",I292&lt;=6,"Medium",I292&lt;=9,"Large")</f>
        <v>Large</v>
      </c>
      <c r="K292" s="36">
        <v>45053</v>
      </c>
      <c r="L292" s="36">
        <v>45058</v>
      </c>
      <c r="M292" t="s">
        <v>612</v>
      </c>
      <c r="N292" t="s">
        <v>599</v>
      </c>
      <c r="O292" s="37" t="str">
        <f t="shared" si="23"/>
        <v>Digital Payment</v>
      </c>
      <c r="P292">
        <v>442.59</v>
      </c>
      <c r="Q292" s="37" t="str">
        <f>IF(P292&gt;500,"High","low")</f>
        <v>low</v>
      </c>
      <c r="R292" s="37" t="str">
        <f t="shared" si="24"/>
        <v>AVERAGE</v>
      </c>
      <c r="S292" t="s">
        <v>600</v>
      </c>
    </row>
    <row r="293" spans="1:19" x14ac:dyDescent="0.2">
      <c r="A293" t="s">
        <v>904</v>
      </c>
      <c r="B293" t="s">
        <v>90</v>
      </c>
      <c r="C293" t="s">
        <v>617</v>
      </c>
      <c r="D293">
        <v>1035.75</v>
      </c>
      <c r="E293" s="37" t="str">
        <f t="shared" si="20"/>
        <v xml:space="preserve"> </v>
      </c>
      <c r="F293">
        <v>0.3</v>
      </c>
      <c r="G293" s="37" t="str">
        <f t="shared" si="21"/>
        <v>Normal Discount</v>
      </c>
      <c r="H293" s="37" t="str">
        <f t="shared" si="22"/>
        <v>Medium</v>
      </c>
      <c r="I293">
        <v>1</v>
      </c>
      <c r="J293" t="str" cm="1">
        <f t="array" ref="J293">_xlfn.IFS(I293&lt;=3,"small",I293&lt;=6,"Medium",I293&lt;=9,"Large")</f>
        <v>small</v>
      </c>
      <c r="K293" s="36">
        <v>45278</v>
      </c>
      <c r="L293" s="36">
        <v>45281</v>
      </c>
      <c r="M293" t="s">
        <v>612</v>
      </c>
      <c r="N293" t="s">
        <v>608</v>
      </c>
      <c r="O293" s="37" t="str">
        <f t="shared" si="23"/>
        <v>Cash Payment</v>
      </c>
      <c r="P293">
        <v>154.19</v>
      </c>
      <c r="Q293" s="37" t="str">
        <f>IF(P293&gt;500,"High","low")</f>
        <v>low</v>
      </c>
      <c r="R293" s="37" t="str">
        <f t="shared" si="24"/>
        <v>AVERAGE</v>
      </c>
      <c r="S293" t="s">
        <v>628</v>
      </c>
    </row>
    <row r="294" spans="1:19" x14ac:dyDescent="0.2">
      <c r="A294" t="s">
        <v>905</v>
      </c>
      <c r="B294" t="s">
        <v>75</v>
      </c>
      <c r="C294" t="s">
        <v>607</v>
      </c>
      <c r="D294">
        <v>2650.81</v>
      </c>
      <c r="E294" s="37" t="str">
        <f t="shared" si="20"/>
        <v xml:space="preserve"> </v>
      </c>
      <c r="F294">
        <v>0.13</v>
      </c>
      <c r="G294" s="37" t="str">
        <f t="shared" si="21"/>
        <v>Normal Discount</v>
      </c>
      <c r="H294" s="37" t="str">
        <f t="shared" si="22"/>
        <v>Low</v>
      </c>
      <c r="I294">
        <v>1</v>
      </c>
      <c r="J294" t="str" cm="1">
        <f t="array" ref="J294">_xlfn.IFS(I294&lt;=3,"small",I294&lt;=6,"Medium",I294&lt;=9,"Large")</f>
        <v>small</v>
      </c>
      <c r="K294" s="36">
        <v>45047</v>
      </c>
      <c r="L294" s="36">
        <v>45048</v>
      </c>
      <c r="M294" t="s">
        <v>612</v>
      </c>
      <c r="N294" t="s">
        <v>604</v>
      </c>
      <c r="O294" s="37" t="str">
        <f t="shared" si="23"/>
        <v>Digital Payment</v>
      </c>
      <c r="P294">
        <v>753.91</v>
      </c>
      <c r="Q294" s="37" t="str">
        <f>IF(P294&gt;500,"High","low")</f>
        <v>High</v>
      </c>
      <c r="R294" s="37" t="str">
        <f t="shared" si="24"/>
        <v>Good</v>
      </c>
      <c r="S294" t="s">
        <v>628</v>
      </c>
    </row>
    <row r="295" spans="1:19" x14ac:dyDescent="0.2">
      <c r="A295" t="s">
        <v>906</v>
      </c>
      <c r="B295" t="s">
        <v>83</v>
      </c>
      <c r="C295" t="s">
        <v>614</v>
      </c>
      <c r="D295">
        <v>1844.98</v>
      </c>
      <c r="E295" s="37" t="str">
        <f t="shared" si="20"/>
        <v xml:space="preserve"> </v>
      </c>
      <c r="F295">
        <v>0.21</v>
      </c>
      <c r="G295" s="37" t="str">
        <f t="shared" si="21"/>
        <v>Normal Discount</v>
      </c>
      <c r="H295" s="37" t="str">
        <f t="shared" si="22"/>
        <v>Medium</v>
      </c>
      <c r="I295">
        <v>6</v>
      </c>
      <c r="J295" t="str" cm="1">
        <f t="array" ref="J295">_xlfn.IFS(I295&lt;=3,"small",I295&lt;=6,"Medium",I295&lt;=9,"Large")</f>
        <v>Medium</v>
      </c>
      <c r="K295" s="36">
        <v>45300</v>
      </c>
      <c r="L295" s="36">
        <v>45303</v>
      </c>
      <c r="M295" t="s">
        <v>612</v>
      </c>
      <c r="N295" t="s">
        <v>599</v>
      </c>
      <c r="O295" s="37" t="str">
        <f t="shared" si="23"/>
        <v>Digital Payment</v>
      </c>
      <c r="P295">
        <v>324.74</v>
      </c>
      <c r="Q295" s="37" t="str">
        <f>IF(P295&gt;500,"High","low")</f>
        <v>low</v>
      </c>
      <c r="R295" s="37" t="str">
        <f t="shared" si="24"/>
        <v>AVERAGE</v>
      </c>
      <c r="S295" t="s">
        <v>609</v>
      </c>
    </row>
    <row r="296" spans="1:19" x14ac:dyDescent="0.2">
      <c r="A296" t="s">
        <v>907</v>
      </c>
      <c r="B296" t="s">
        <v>83</v>
      </c>
      <c r="C296" t="s">
        <v>597</v>
      </c>
      <c r="D296">
        <v>1524.6</v>
      </c>
      <c r="E296" s="37" t="str">
        <f t="shared" si="20"/>
        <v xml:space="preserve"> </v>
      </c>
      <c r="F296">
        <v>0.42</v>
      </c>
      <c r="G296" s="37" t="str">
        <f t="shared" si="21"/>
        <v>Heavy Discount</v>
      </c>
      <c r="H296" s="37" t="str">
        <f t="shared" si="22"/>
        <v>High</v>
      </c>
      <c r="I296">
        <v>7</v>
      </c>
      <c r="J296" t="str" cm="1">
        <f t="array" ref="J296">_xlfn.IFS(I296&lt;=3,"small",I296&lt;=6,"Medium",I296&lt;=9,"Large")</f>
        <v>Large</v>
      </c>
      <c r="K296" s="36">
        <v>45267</v>
      </c>
      <c r="L296" s="36">
        <v>45270</v>
      </c>
      <c r="M296" t="s">
        <v>598</v>
      </c>
      <c r="N296" t="s">
        <v>608</v>
      </c>
      <c r="O296" s="37" t="str">
        <f t="shared" si="23"/>
        <v>Cash Payment</v>
      </c>
      <c r="P296">
        <v>351.13</v>
      </c>
      <c r="Q296" s="37" t="str">
        <f>IF(P296&gt;500,"High","low")</f>
        <v>low</v>
      </c>
      <c r="R296" s="37" t="str">
        <f t="shared" si="24"/>
        <v>AVERAGE</v>
      </c>
      <c r="S296" t="s">
        <v>605</v>
      </c>
    </row>
    <row r="297" spans="1:19" x14ac:dyDescent="0.2">
      <c r="A297" t="s">
        <v>908</v>
      </c>
      <c r="B297" t="s">
        <v>67</v>
      </c>
      <c r="C297" t="s">
        <v>617</v>
      </c>
      <c r="D297">
        <v>1707.73</v>
      </c>
      <c r="E297" s="37" t="str">
        <f t="shared" si="20"/>
        <v xml:space="preserve"> </v>
      </c>
      <c r="F297">
        <v>0.43</v>
      </c>
      <c r="G297" s="37" t="str">
        <f t="shared" si="21"/>
        <v>Heavy Discount</v>
      </c>
      <c r="H297" s="37" t="str">
        <f t="shared" si="22"/>
        <v>High</v>
      </c>
      <c r="I297">
        <v>7</v>
      </c>
      <c r="J297" t="str" cm="1">
        <f t="array" ref="J297">_xlfn.IFS(I297&lt;=3,"small",I297&lt;=6,"Medium",I297&lt;=9,"Large")</f>
        <v>Large</v>
      </c>
      <c r="K297" s="36">
        <v>44957</v>
      </c>
      <c r="L297" s="36">
        <v>44964</v>
      </c>
      <c r="M297" t="s">
        <v>603</v>
      </c>
      <c r="N297" t="s">
        <v>604</v>
      </c>
      <c r="O297" s="37" t="str">
        <f t="shared" si="23"/>
        <v>Digital Payment</v>
      </c>
      <c r="P297">
        <v>263.39999999999998</v>
      </c>
      <c r="Q297" s="37" t="str">
        <f>IF(P297&gt;500,"High","low")</f>
        <v>low</v>
      </c>
      <c r="R297" s="37" t="str">
        <f t="shared" si="24"/>
        <v>AVERAGE</v>
      </c>
      <c r="S297" t="s">
        <v>615</v>
      </c>
    </row>
    <row r="298" spans="1:19" x14ac:dyDescent="0.2">
      <c r="A298" t="s">
        <v>909</v>
      </c>
      <c r="B298" t="s">
        <v>83</v>
      </c>
      <c r="C298" t="s">
        <v>614</v>
      </c>
      <c r="D298">
        <v>2251.11</v>
      </c>
      <c r="E298" s="37" t="str">
        <f t="shared" si="20"/>
        <v xml:space="preserve"> </v>
      </c>
      <c r="F298">
        <v>0.47</v>
      </c>
      <c r="G298" s="37" t="str">
        <f t="shared" si="21"/>
        <v>Heavy Discount</v>
      </c>
      <c r="H298" s="37" t="str">
        <f t="shared" si="22"/>
        <v>High</v>
      </c>
      <c r="I298">
        <v>3</v>
      </c>
      <c r="J298" t="str" cm="1">
        <f t="array" ref="J298">_xlfn.IFS(I298&lt;=3,"small",I298&lt;=6,"Medium",I298&lt;=9,"Large")</f>
        <v>small</v>
      </c>
      <c r="K298" s="36">
        <v>45271</v>
      </c>
      <c r="L298" s="36">
        <v>45278</v>
      </c>
      <c r="M298" t="s">
        <v>612</v>
      </c>
      <c r="N298" t="s">
        <v>599</v>
      </c>
      <c r="O298" s="37" t="str">
        <f t="shared" si="23"/>
        <v>Digital Payment</v>
      </c>
      <c r="P298">
        <v>519.6</v>
      </c>
      <c r="Q298" s="37" t="str">
        <f>IF(P298&gt;500,"High","low")</f>
        <v>High</v>
      </c>
      <c r="R298" s="37" t="str">
        <f t="shared" si="24"/>
        <v>Good</v>
      </c>
      <c r="S298" t="s">
        <v>609</v>
      </c>
    </row>
    <row r="299" spans="1:19" x14ac:dyDescent="0.2">
      <c r="A299" t="s">
        <v>910</v>
      </c>
      <c r="B299" t="s">
        <v>90</v>
      </c>
      <c r="C299" t="s">
        <v>607</v>
      </c>
      <c r="D299">
        <v>4444.3999999999996</v>
      </c>
      <c r="E299" s="37" t="str">
        <f t="shared" si="20"/>
        <v>Excellent Order</v>
      </c>
      <c r="F299">
        <v>0.14000000000000001</v>
      </c>
      <c r="G299" s="37" t="str">
        <f t="shared" si="21"/>
        <v>Normal Discount</v>
      </c>
      <c r="H299" s="37" t="str">
        <f t="shared" si="22"/>
        <v>Low</v>
      </c>
      <c r="I299">
        <v>4</v>
      </c>
      <c r="J299" t="str" cm="1">
        <f t="array" ref="J299">_xlfn.IFS(I299&lt;=3,"small",I299&lt;=6,"Medium",I299&lt;=9,"Large")</f>
        <v>Medium</v>
      </c>
      <c r="K299" s="36">
        <v>45479</v>
      </c>
      <c r="L299" s="36">
        <v>45482</v>
      </c>
      <c r="M299" t="s">
        <v>603</v>
      </c>
      <c r="N299" t="s">
        <v>604</v>
      </c>
      <c r="O299" s="37" t="str">
        <f t="shared" si="23"/>
        <v>Digital Payment</v>
      </c>
      <c r="P299">
        <v>1102.6300000000001</v>
      </c>
      <c r="Q299" s="37" t="str">
        <f>IF(P299&gt;500,"High","low")</f>
        <v>High</v>
      </c>
      <c r="R299" s="37" t="str">
        <f t="shared" si="24"/>
        <v>Excellent</v>
      </c>
      <c r="S299" t="s">
        <v>609</v>
      </c>
    </row>
    <row r="300" spans="1:19" x14ac:dyDescent="0.2">
      <c r="A300" t="s">
        <v>911</v>
      </c>
      <c r="B300" t="s">
        <v>75</v>
      </c>
      <c r="C300" t="s">
        <v>597</v>
      </c>
      <c r="D300">
        <v>3696.88</v>
      </c>
      <c r="E300" s="37" t="str">
        <f t="shared" si="20"/>
        <v xml:space="preserve"> </v>
      </c>
      <c r="F300">
        <v>0.34</v>
      </c>
      <c r="G300" s="37" t="str">
        <f t="shared" si="21"/>
        <v>Heavy Discount</v>
      </c>
      <c r="H300" s="37" t="str">
        <f t="shared" si="22"/>
        <v>Medium</v>
      </c>
      <c r="I300">
        <v>9</v>
      </c>
      <c r="J300" t="str" cm="1">
        <f t="array" ref="J300">_xlfn.IFS(I300&lt;=3,"small",I300&lt;=6,"Medium",I300&lt;=9,"Large")</f>
        <v>Large</v>
      </c>
      <c r="K300" s="36">
        <v>45130</v>
      </c>
      <c r="L300" s="36">
        <v>45135</v>
      </c>
      <c r="M300" t="s">
        <v>612</v>
      </c>
      <c r="N300" t="s">
        <v>608</v>
      </c>
      <c r="O300" s="37" t="str">
        <f t="shared" si="23"/>
        <v>Cash Payment</v>
      </c>
      <c r="P300">
        <v>690.48</v>
      </c>
      <c r="Q300" s="37" t="str">
        <f>IF(P300&gt;500,"High","low")</f>
        <v>High</v>
      </c>
      <c r="R300" s="37" t="str">
        <f t="shared" si="24"/>
        <v>Good</v>
      </c>
      <c r="S300" t="s">
        <v>628</v>
      </c>
    </row>
    <row r="301" spans="1:19" x14ac:dyDescent="0.2">
      <c r="A301" t="s">
        <v>912</v>
      </c>
      <c r="B301" t="s">
        <v>67</v>
      </c>
      <c r="C301" t="s">
        <v>597</v>
      </c>
      <c r="D301">
        <v>3372.62</v>
      </c>
      <c r="E301" s="37" t="str">
        <f t="shared" si="20"/>
        <v xml:space="preserve"> </v>
      </c>
      <c r="F301">
        <v>0.03</v>
      </c>
      <c r="G301" s="37" t="str">
        <f t="shared" si="21"/>
        <v>Normal Discount</v>
      </c>
      <c r="H301" s="37" t="str">
        <f t="shared" si="22"/>
        <v>Low</v>
      </c>
      <c r="I301">
        <v>4</v>
      </c>
      <c r="J301" t="str" cm="1">
        <f t="array" ref="J301">_xlfn.IFS(I301&lt;=3,"small",I301&lt;=6,"Medium",I301&lt;=9,"Large")</f>
        <v>Medium</v>
      </c>
      <c r="K301" s="36">
        <v>45298</v>
      </c>
      <c r="L301" s="36">
        <v>45304</v>
      </c>
      <c r="M301" t="s">
        <v>598</v>
      </c>
      <c r="N301" t="s">
        <v>599</v>
      </c>
      <c r="O301" s="37" t="str">
        <f t="shared" si="23"/>
        <v>Digital Payment</v>
      </c>
      <c r="P301">
        <v>196.2</v>
      </c>
      <c r="Q301" s="37" t="str">
        <f>IF(P301&gt;500,"High","low")</f>
        <v>low</v>
      </c>
      <c r="R301" s="37" t="str">
        <f t="shared" si="24"/>
        <v>AVERAGE</v>
      </c>
      <c r="S301" t="s">
        <v>609</v>
      </c>
    </row>
    <row r="302" spans="1:19" x14ac:dyDescent="0.2">
      <c r="A302" t="s">
        <v>913</v>
      </c>
      <c r="B302" t="s">
        <v>75</v>
      </c>
      <c r="C302" t="s">
        <v>597</v>
      </c>
      <c r="D302">
        <v>2409.1799999999998</v>
      </c>
      <c r="E302" s="37" t="str">
        <f t="shared" si="20"/>
        <v xml:space="preserve"> </v>
      </c>
      <c r="F302">
        <v>0.36</v>
      </c>
      <c r="G302" s="37" t="str">
        <f t="shared" si="21"/>
        <v>Heavy Discount</v>
      </c>
      <c r="H302" s="37" t="str">
        <f t="shared" si="22"/>
        <v>Medium</v>
      </c>
      <c r="I302">
        <v>5</v>
      </c>
      <c r="J302" t="str" cm="1">
        <f t="array" ref="J302">_xlfn.IFS(I302&lt;=3,"small",I302&lt;=6,"Medium",I302&lt;=9,"Large")</f>
        <v>Medium</v>
      </c>
      <c r="K302" s="36">
        <v>45338</v>
      </c>
      <c r="L302" s="36">
        <v>45340</v>
      </c>
      <c r="M302" t="s">
        <v>612</v>
      </c>
      <c r="N302" t="s">
        <v>608</v>
      </c>
      <c r="O302" s="37" t="str">
        <f t="shared" si="23"/>
        <v>Cash Payment</v>
      </c>
      <c r="P302">
        <v>424.14</v>
      </c>
      <c r="Q302" s="37" t="str">
        <f>IF(P302&gt;500,"High","low")</f>
        <v>low</v>
      </c>
      <c r="R302" s="37" t="str">
        <f t="shared" si="24"/>
        <v>AVERAGE</v>
      </c>
      <c r="S302" t="s">
        <v>609</v>
      </c>
    </row>
    <row r="303" spans="1:19" x14ac:dyDescent="0.2">
      <c r="A303" t="s">
        <v>914</v>
      </c>
      <c r="B303" t="s">
        <v>75</v>
      </c>
      <c r="C303" t="s">
        <v>614</v>
      </c>
      <c r="D303">
        <v>108.97</v>
      </c>
      <c r="E303" s="37" t="str">
        <f t="shared" si="20"/>
        <v xml:space="preserve"> </v>
      </c>
      <c r="F303">
        <v>0.28000000000000003</v>
      </c>
      <c r="G303" s="37" t="str">
        <f t="shared" si="21"/>
        <v>Normal Discount</v>
      </c>
      <c r="H303" s="37" t="str">
        <f t="shared" si="22"/>
        <v>Medium</v>
      </c>
      <c r="I303">
        <v>6</v>
      </c>
      <c r="J303" t="str" cm="1">
        <f t="array" ref="J303">_xlfn.IFS(I303&lt;=3,"small",I303&lt;=6,"Medium",I303&lt;=9,"Large")</f>
        <v>Medium</v>
      </c>
      <c r="K303" s="36">
        <v>45487</v>
      </c>
      <c r="L303" s="36">
        <v>45492</v>
      </c>
      <c r="M303" t="s">
        <v>598</v>
      </c>
      <c r="N303" t="s">
        <v>599</v>
      </c>
      <c r="O303" s="37" t="str">
        <f t="shared" si="23"/>
        <v>Digital Payment</v>
      </c>
      <c r="P303">
        <v>29.94</v>
      </c>
      <c r="Q303" s="37" t="str">
        <f>IF(P303&gt;500,"High","low")</f>
        <v>low</v>
      </c>
      <c r="R303" s="37" t="str">
        <f t="shared" si="24"/>
        <v>AVERAGE</v>
      </c>
      <c r="S303" t="s">
        <v>615</v>
      </c>
    </row>
    <row r="304" spans="1:19" x14ac:dyDescent="0.2">
      <c r="A304" t="s">
        <v>915</v>
      </c>
      <c r="B304" t="s">
        <v>90</v>
      </c>
      <c r="C304" t="s">
        <v>614</v>
      </c>
      <c r="D304">
        <v>1768.7</v>
      </c>
      <c r="E304" s="37" t="str">
        <f t="shared" si="20"/>
        <v xml:space="preserve"> </v>
      </c>
      <c r="F304">
        <v>0.12</v>
      </c>
      <c r="G304" s="37" t="str">
        <f t="shared" si="21"/>
        <v>Normal Discount</v>
      </c>
      <c r="H304" s="37" t="str">
        <f t="shared" si="22"/>
        <v>Low</v>
      </c>
      <c r="I304">
        <v>7</v>
      </c>
      <c r="J304" t="str" cm="1">
        <f t="array" ref="J304">_xlfn.IFS(I304&lt;=3,"small",I304&lt;=6,"Medium",I304&lt;=9,"Large")</f>
        <v>Large</v>
      </c>
      <c r="K304" s="36">
        <v>45528</v>
      </c>
      <c r="L304" s="36">
        <v>45535</v>
      </c>
      <c r="M304" t="s">
        <v>612</v>
      </c>
      <c r="N304" t="s">
        <v>608</v>
      </c>
      <c r="O304" s="37" t="str">
        <f t="shared" si="23"/>
        <v>Cash Payment</v>
      </c>
      <c r="P304">
        <v>125.52</v>
      </c>
      <c r="Q304" s="37" t="str">
        <f>IF(P304&gt;500,"High","low")</f>
        <v>low</v>
      </c>
      <c r="R304" s="37" t="str">
        <f t="shared" si="24"/>
        <v>AVERAGE</v>
      </c>
      <c r="S304" t="s">
        <v>600</v>
      </c>
    </row>
    <row r="305" spans="1:19" x14ac:dyDescent="0.2">
      <c r="A305" t="s">
        <v>916</v>
      </c>
      <c r="B305" t="s">
        <v>83</v>
      </c>
      <c r="C305" t="s">
        <v>614</v>
      </c>
      <c r="D305">
        <v>4084.64</v>
      </c>
      <c r="E305" s="37" t="str">
        <f t="shared" si="20"/>
        <v>Excellent Order</v>
      </c>
      <c r="F305">
        <v>0.33</v>
      </c>
      <c r="G305" s="37" t="str">
        <f t="shared" si="21"/>
        <v>Heavy Discount</v>
      </c>
      <c r="H305" s="37" t="str">
        <f t="shared" si="22"/>
        <v>Medium</v>
      </c>
      <c r="I305">
        <v>5</v>
      </c>
      <c r="J305" t="str" cm="1">
        <f t="array" ref="J305">_xlfn.IFS(I305&lt;=3,"small",I305&lt;=6,"Medium",I305&lt;=9,"Large")</f>
        <v>Medium</v>
      </c>
      <c r="K305" s="36">
        <v>45154</v>
      </c>
      <c r="L305" s="36">
        <v>45159</v>
      </c>
      <c r="M305" t="s">
        <v>612</v>
      </c>
      <c r="N305" t="s">
        <v>599</v>
      </c>
      <c r="O305" s="37" t="str">
        <f t="shared" si="23"/>
        <v>Digital Payment</v>
      </c>
      <c r="P305">
        <v>800.8</v>
      </c>
      <c r="Q305" s="37" t="str">
        <f>IF(P305&gt;500,"High","low")</f>
        <v>High</v>
      </c>
      <c r="R305" s="37" t="str">
        <f t="shared" si="24"/>
        <v>Good</v>
      </c>
      <c r="S305" t="s">
        <v>600</v>
      </c>
    </row>
    <row r="306" spans="1:19" x14ac:dyDescent="0.2">
      <c r="A306" t="s">
        <v>917</v>
      </c>
      <c r="B306" t="s">
        <v>83</v>
      </c>
      <c r="C306" t="s">
        <v>614</v>
      </c>
      <c r="D306">
        <v>2002.04</v>
      </c>
      <c r="E306" s="37" t="str">
        <f t="shared" si="20"/>
        <v xml:space="preserve"> </v>
      </c>
      <c r="F306">
        <v>7.0000000000000007E-2</v>
      </c>
      <c r="G306" s="37" t="str">
        <f t="shared" si="21"/>
        <v>Normal Discount</v>
      </c>
      <c r="H306" s="37" t="str">
        <f t="shared" si="22"/>
        <v>Low</v>
      </c>
      <c r="I306">
        <v>7</v>
      </c>
      <c r="J306" t="str" cm="1">
        <f t="array" ref="J306">_xlfn.IFS(I306&lt;=3,"small",I306&lt;=6,"Medium",I306&lt;=9,"Large")</f>
        <v>Large</v>
      </c>
      <c r="K306" s="36">
        <v>44958</v>
      </c>
      <c r="L306" s="36">
        <v>44959</v>
      </c>
      <c r="M306" t="s">
        <v>603</v>
      </c>
      <c r="N306" t="s">
        <v>604</v>
      </c>
      <c r="O306" s="37" t="str">
        <f t="shared" si="23"/>
        <v>Digital Payment</v>
      </c>
      <c r="P306">
        <v>117.22</v>
      </c>
      <c r="Q306" s="37" t="str">
        <f>IF(P306&gt;500,"High","low")</f>
        <v>low</v>
      </c>
      <c r="R306" s="37" t="str">
        <f t="shared" si="24"/>
        <v>AVERAGE</v>
      </c>
      <c r="S306" t="s">
        <v>600</v>
      </c>
    </row>
    <row r="307" spans="1:19" x14ac:dyDescent="0.2">
      <c r="A307" t="s">
        <v>918</v>
      </c>
      <c r="B307" t="s">
        <v>75</v>
      </c>
      <c r="C307" t="s">
        <v>617</v>
      </c>
      <c r="D307">
        <v>2862.71</v>
      </c>
      <c r="E307" s="37" t="str">
        <f t="shared" si="20"/>
        <v xml:space="preserve"> </v>
      </c>
      <c r="F307">
        <v>0.17</v>
      </c>
      <c r="G307" s="37" t="str">
        <f t="shared" si="21"/>
        <v>Normal Discount</v>
      </c>
      <c r="H307" s="37" t="str">
        <f t="shared" si="22"/>
        <v>Low</v>
      </c>
      <c r="I307">
        <v>2</v>
      </c>
      <c r="J307" t="str" cm="1">
        <f t="array" ref="J307">_xlfn.IFS(I307&lt;=3,"small",I307&lt;=6,"Medium",I307&lt;=9,"Large")</f>
        <v>small</v>
      </c>
      <c r="K307" s="36">
        <v>45617</v>
      </c>
      <c r="L307" s="36">
        <v>45623</v>
      </c>
      <c r="M307" t="s">
        <v>612</v>
      </c>
      <c r="N307" t="s">
        <v>608</v>
      </c>
      <c r="O307" s="37" t="str">
        <f t="shared" si="23"/>
        <v>Cash Payment</v>
      </c>
      <c r="P307">
        <v>491.84</v>
      </c>
      <c r="Q307" s="37" t="str">
        <f>IF(P307&gt;500,"High","low")</f>
        <v>low</v>
      </c>
      <c r="R307" s="37" t="str">
        <f t="shared" si="24"/>
        <v>AVERAGE</v>
      </c>
      <c r="S307" t="s">
        <v>600</v>
      </c>
    </row>
    <row r="308" spans="1:19" x14ac:dyDescent="0.2">
      <c r="A308" t="s">
        <v>919</v>
      </c>
      <c r="B308" t="s">
        <v>67</v>
      </c>
      <c r="C308" t="s">
        <v>602</v>
      </c>
      <c r="D308">
        <v>1103.23</v>
      </c>
      <c r="E308" s="37" t="str">
        <f t="shared" si="20"/>
        <v xml:space="preserve"> </v>
      </c>
      <c r="F308">
        <v>0.2</v>
      </c>
      <c r="G308" s="37" t="str">
        <f t="shared" si="21"/>
        <v>Normal Discount</v>
      </c>
      <c r="H308" s="37" t="str">
        <f t="shared" si="22"/>
        <v>Medium</v>
      </c>
      <c r="I308">
        <v>7</v>
      </c>
      <c r="J308" t="str" cm="1">
        <f t="array" ref="J308">_xlfn.IFS(I308&lt;=3,"small",I308&lt;=6,"Medium",I308&lt;=9,"Large")</f>
        <v>Large</v>
      </c>
      <c r="K308" s="36">
        <v>45272</v>
      </c>
      <c r="L308" s="36">
        <v>45273</v>
      </c>
      <c r="M308" t="s">
        <v>612</v>
      </c>
      <c r="N308" t="s">
        <v>608</v>
      </c>
      <c r="O308" s="37" t="str">
        <f t="shared" si="23"/>
        <v>Cash Payment</v>
      </c>
      <c r="P308">
        <v>245.99</v>
      </c>
      <c r="Q308" s="37" t="str">
        <f>IF(P308&gt;500,"High","low")</f>
        <v>low</v>
      </c>
      <c r="R308" s="37" t="str">
        <f t="shared" si="24"/>
        <v>AVERAGE</v>
      </c>
      <c r="S308" t="s">
        <v>609</v>
      </c>
    </row>
    <row r="309" spans="1:19" x14ac:dyDescent="0.2">
      <c r="A309" t="s">
        <v>920</v>
      </c>
      <c r="B309" t="s">
        <v>83</v>
      </c>
      <c r="C309" t="s">
        <v>617</v>
      </c>
      <c r="D309">
        <v>4587.7</v>
      </c>
      <c r="E309" s="37" t="str">
        <f t="shared" si="20"/>
        <v xml:space="preserve"> </v>
      </c>
      <c r="F309">
        <v>0.39</v>
      </c>
      <c r="G309" s="37" t="str">
        <f t="shared" si="21"/>
        <v>Heavy Discount</v>
      </c>
      <c r="H309" s="37" t="str">
        <f t="shared" si="22"/>
        <v>Medium</v>
      </c>
      <c r="I309">
        <v>5</v>
      </c>
      <c r="J309" t="str" cm="1">
        <f t="array" ref="J309">_xlfn.IFS(I309&lt;=3,"small",I309&lt;=6,"Medium",I309&lt;=9,"Large")</f>
        <v>Medium</v>
      </c>
      <c r="K309" s="36">
        <v>45123</v>
      </c>
      <c r="L309" s="36">
        <v>45130</v>
      </c>
      <c r="M309" t="s">
        <v>598</v>
      </c>
      <c r="N309" t="s">
        <v>604</v>
      </c>
      <c r="O309" s="37" t="str">
        <f t="shared" si="23"/>
        <v>Digital Payment</v>
      </c>
      <c r="P309">
        <v>665.8</v>
      </c>
      <c r="Q309" s="37" t="str">
        <f>IF(P309&gt;500,"High","low")</f>
        <v>High</v>
      </c>
      <c r="R309" s="37" t="str">
        <f t="shared" si="24"/>
        <v>Good</v>
      </c>
      <c r="S309" t="s">
        <v>620</v>
      </c>
    </row>
    <row r="310" spans="1:19" x14ac:dyDescent="0.2">
      <c r="A310" t="s">
        <v>921</v>
      </c>
      <c r="B310" t="s">
        <v>67</v>
      </c>
      <c r="C310" t="s">
        <v>597</v>
      </c>
      <c r="D310">
        <v>4623.54</v>
      </c>
      <c r="E310" s="37" t="str">
        <f t="shared" si="20"/>
        <v xml:space="preserve"> </v>
      </c>
      <c r="F310">
        <v>0.15</v>
      </c>
      <c r="G310" s="37" t="str">
        <f t="shared" si="21"/>
        <v>Normal Discount</v>
      </c>
      <c r="H310" s="37" t="str">
        <f t="shared" si="22"/>
        <v>Low</v>
      </c>
      <c r="I310">
        <v>5</v>
      </c>
      <c r="J310" t="str" cm="1">
        <f t="array" ref="J310">_xlfn.IFS(I310&lt;=3,"small",I310&lt;=6,"Medium",I310&lt;=9,"Large")</f>
        <v>Medium</v>
      </c>
      <c r="K310" s="36">
        <v>45220</v>
      </c>
      <c r="L310" s="36">
        <v>45221</v>
      </c>
      <c r="M310" t="s">
        <v>603</v>
      </c>
      <c r="N310" t="s">
        <v>608</v>
      </c>
      <c r="O310" s="37" t="str">
        <f t="shared" si="23"/>
        <v>Cash Payment</v>
      </c>
      <c r="P310">
        <v>362.88</v>
      </c>
      <c r="Q310" s="37" t="str">
        <f>IF(P310&gt;500,"High","low")</f>
        <v>low</v>
      </c>
      <c r="R310" s="37" t="str">
        <f t="shared" si="24"/>
        <v>AVERAGE</v>
      </c>
      <c r="S310" t="s">
        <v>605</v>
      </c>
    </row>
    <row r="311" spans="1:19" x14ac:dyDescent="0.2">
      <c r="A311" t="s">
        <v>922</v>
      </c>
      <c r="B311" t="s">
        <v>83</v>
      </c>
      <c r="C311" t="s">
        <v>617</v>
      </c>
      <c r="D311">
        <v>815.74</v>
      </c>
      <c r="E311" s="37" t="str">
        <f t="shared" si="20"/>
        <v xml:space="preserve"> </v>
      </c>
      <c r="F311">
        <v>0.02</v>
      </c>
      <c r="G311" s="37" t="str">
        <f t="shared" si="21"/>
        <v>Normal Discount</v>
      </c>
      <c r="H311" s="37" t="str">
        <f t="shared" si="22"/>
        <v>Low</v>
      </c>
      <c r="I311">
        <v>6</v>
      </c>
      <c r="J311" t="str" cm="1">
        <f t="array" ref="J311">_xlfn.IFS(I311&lt;=3,"small",I311&lt;=6,"Medium",I311&lt;=9,"Large")</f>
        <v>Medium</v>
      </c>
      <c r="K311" s="36">
        <v>45515</v>
      </c>
      <c r="L311" s="36">
        <v>45517</v>
      </c>
      <c r="M311" t="s">
        <v>612</v>
      </c>
      <c r="N311" t="s">
        <v>599</v>
      </c>
      <c r="O311" s="37" t="str">
        <f t="shared" si="23"/>
        <v>Digital Payment</v>
      </c>
      <c r="P311">
        <v>234</v>
      </c>
      <c r="Q311" s="37" t="str">
        <f>IF(P311&gt;500,"High","low")</f>
        <v>low</v>
      </c>
      <c r="R311" s="37" t="str">
        <f t="shared" si="24"/>
        <v>AVERAGE</v>
      </c>
      <c r="S311" t="s">
        <v>620</v>
      </c>
    </row>
    <row r="312" spans="1:19" x14ac:dyDescent="0.2">
      <c r="A312" t="s">
        <v>923</v>
      </c>
      <c r="B312" t="s">
        <v>67</v>
      </c>
      <c r="C312" t="s">
        <v>607</v>
      </c>
      <c r="D312">
        <v>3648.38</v>
      </c>
      <c r="E312" s="37" t="str">
        <f t="shared" si="20"/>
        <v xml:space="preserve"> </v>
      </c>
      <c r="F312">
        <v>0.09</v>
      </c>
      <c r="G312" s="37" t="str">
        <f t="shared" si="21"/>
        <v>Normal Discount</v>
      </c>
      <c r="H312" s="37" t="str">
        <f t="shared" si="22"/>
        <v>Low</v>
      </c>
      <c r="I312">
        <v>9</v>
      </c>
      <c r="J312" t="str" cm="1">
        <f t="array" ref="J312">_xlfn.IFS(I312&lt;=3,"small",I312&lt;=6,"Medium",I312&lt;=9,"Large")</f>
        <v>Large</v>
      </c>
      <c r="K312" s="36">
        <v>45048</v>
      </c>
      <c r="L312" s="36">
        <v>45051</v>
      </c>
      <c r="M312" t="s">
        <v>603</v>
      </c>
      <c r="N312" t="s">
        <v>604</v>
      </c>
      <c r="O312" s="37" t="str">
        <f t="shared" si="23"/>
        <v>Digital Payment</v>
      </c>
      <c r="P312">
        <v>1033.49</v>
      </c>
      <c r="Q312" s="37" t="str">
        <f>IF(P312&gt;500,"High","low")</f>
        <v>High</v>
      </c>
      <c r="R312" s="37" t="str">
        <f t="shared" si="24"/>
        <v>Excellent</v>
      </c>
      <c r="S312" t="s">
        <v>609</v>
      </c>
    </row>
    <row r="313" spans="1:19" x14ac:dyDescent="0.2">
      <c r="A313" t="s">
        <v>924</v>
      </c>
      <c r="B313" t="s">
        <v>90</v>
      </c>
      <c r="C313" t="s">
        <v>614</v>
      </c>
      <c r="D313">
        <v>468.67</v>
      </c>
      <c r="E313" s="37" t="str">
        <f t="shared" si="20"/>
        <v xml:space="preserve"> </v>
      </c>
      <c r="F313">
        <v>0.3</v>
      </c>
      <c r="G313" s="37" t="str">
        <f t="shared" si="21"/>
        <v>Normal Discount</v>
      </c>
      <c r="H313" s="37" t="str">
        <f t="shared" si="22"/>
        <v>Medium</v>
      </c>
      <c r="I313">
        <v>4</v>
      </c>
      <c r="J313" t="str" cm="1">
        <f t="array" ref="J313">_xlfn.IFS(I313&lt;=3,"small",I313&lt;=6,"Medium",I313&lt;=9,"Large")</f>
        <v>Medium</v>
      </c>
      <c r="K313" s="36">
        <v>45562</v>
      </c>
      <c r="L313" s="36">
        <v>45564</v>
      </c>
      <c r="M313" t="s">
        <v>603</v>
      </c>
      <c r="N313" t="s">
        <v>599</v>
      </c>
      <c r="O313" s="37" t="str">
        <f t="shared" si="23"/>
        <v>Digital Payment</v>
      </c>
      <c r="P313">
        <v>116.61</v>
      </c>
      <c r="Q313" s="37" t="str">
        <f>IF(P313&gt;500,"High","low")</f>
        <v>low</v>
      </c>
      <c r="R313" s="37" t="str">
        <f t="shared" si="24"/>
        <v>AVERAGE</v>
      </c>
      <c r="S313" t="s">
        <v>609</v>
      </c>
    </row>
    <row r="314" spans="1:19" x14ac:dyDescent="0.2">
      <c r="A314" t="s">
        <v>925</v>
      </c>
      <c r="B314" t="s">
        <v>67</v>
      </c>
      <c r="C314" t="s">
        <v>607</v>
      </c>
      <c r="D314">
        <v>3032.88</v>
      </c>
      <c r="E314" s="37" t="str">
        <f t="shared" si="20"/>
        <v xml:space="preserve"> </v>
      </c>
      <c r="F314">
        <v>0.01</v>
      </c>
      <c r="G314" s="37" t="str">
        <f t="shared" si="21"/>
        <v>Normal Discount</v>
      </c>
      <c r="H314" s="37" t="str">
        <f t="shared" si="22"/>
        <v>Low</v>
      </c>
      <c r="I314">
        <v>5</v>
      </c>
      <c r="J314" t="str" cm="1">
        <f t="array" ref="J314">_xlfn.IFS(I314&lt;=3,"small",I314&lt;=6,"Medium",I314&lt;=9,"Large")</f>
        <v>Medium</v>
      </c>
      <c r="K314" s="36">
        <v>45301</v>
      </c>
      <c r="L314" s="36">
        <v>45308</v>
      </c>
      <c r="M314" t="s">
        <v>612</v>
      </c>
      <c r="N314" t="s">
        <v>604</v>
      </c>
      <c r="O314" s="37" t="str">
        <f t="shared" si="23"/>
        <v>Digital Payment</v>
      </c>
      <c r="P314">
        <v>309.11</v>
      </c>
      <c r="Q314" s="37" t="str">
        <f>IF(P314&gt;500,"High","low")</f>
        <v>low</v>
      </c>
      <c r="R314" s="37" t="str">
        <f t="shared" si="24"/>
        <v>AVERAGE</v>
      </c>
      <c r="S314" t="s">
        <v>605</v>
      </c>
    </row>
    <row r="315" spans="1:19" x14ac:dyDescent="0.2">
      <c r="A315" t="s">
        <v>926</v>
      </c>
      <c r="B315" t="s">
        <v>90</v>
      </c>
      <c r="C315" t="s">
        <v>607</v>
      </c>
      <c r="D315">
        <v>975.4</v>
      </c>
      <c r="E315" s="37" t="str">
        <f t="shared" si="20"/>
        <v xml:space="preserve"> </v>
      </c>
      <c r="F315">
        <v>0.4</v>
      </c>
      <c r="G315" s="37" t="str">
        <f t="shared" si="21"/>
        <v>Heavy Discount</v>
      </c>
      <c r="H315" s="37" t="str">
        <f t="shared" si="22"/>
        <v>Medium</v>
      </c>
      <c r="I315">
        <v>5</v>
      </c>
      <c r="J315" t="str" cm="1">
        <f t="array" ref="J315">_xlfn.IFS(I315&lt;=3,"small",I315&lt;=6,"Medium",I315&lt;=9,"Large")</f>
        <v>Medium</v>
      </c>
      <c r="K315" s="36">
        <v>45483</v>
      </c>
      <c r="L315" s="36">
        <v>45486</v>
      </c>
      <c r="M315" t="s">
        <v>612</v>
      </c>
      <c r="N315" t="s">
        <v>599</v>
      </c>
      <c r="O315" s="37" t="str">
        <f t="shared" si="23"/>
        <v>Digital Payment</v>
      </c>
      <c r="P315">
        <v>237.24</v>
      </c>
      <c r="Q315" s="37" t="str">
        <f>IF(P315&gt;500,"High","low")</f>
        <v>low</v>
      </c>
      <c r="R315" s="37" t="str">
        <f t="shared" si="24"/>
        <v>AVERAGE</v>
      </c>
      <c r="S315" t="s">
        <v>600</v>
      </c>
    </row>
    <row r="316" spans="1:19" x14ac:dyDescent="0.2">
      <c r="A316" t="s">
        <v>927</v>
      </c>
      <c r="B316" t="s">
        <v>90</v>
      </c>
      <c r="C316" t="s">
        <v>597</v>
      </c>
      <c r="D316">
        <v>813.96</v>
      </c>
      <c r="E316" s="37" t="str">
        <f t="shared" si="20"/>
        <v xml:space="preserve"> </v>
      </c>
      <c r="F316">
        <v>0.45</v>
      </c>
      <c r="G316" s="37" t="str">
        <f t="shared" si="21"/>
        <v>Heavy Discount</v>
      </c>
      <c r="H316" s="37" t="str">
        <f t="shared" si="22"/>
        <v>High</v>
      </c>
      <c r="I316">
        <v>3</v>
      </c>
      <c r="J316" t="str" cm="1">
        <f t="array" ref="J316">_xlfn.IFS(I316&lt;=3,"small",I316&lt;=6,"Medium",I316&lt;=9,"Large")</f>
        <v>small</v>
      </c>
      <c r="K316" s="36">
        <v>44942</v>
      </c>
      <c r="L316" s="36">
        <v>44944</v>
      </c>
      <c r="M316" t="s">
        <v>612</v>
      </c>
      <c r="N316" t="s">
        <v>608</v>
      </c>
      <c r="O316" s="37" t="str">
        <f t="shared" si="23"/>
        <v>Cash Payment</v>
      </c>
      <c r="P316">
        <v>108.85</v>
      </c>
      <c r="Q316" s="37" t="str">
        <f>IF(P316&gt;500,"High","low")</f>
        <v>low</v>
      </c>
      <c r="R316" s="37" t="str">
        <f t="shared" si="24"/>
        <v>AVERAGE</v>
      </c>
      <c r="S316" t="s">
        <v>609</v>
      </c>
    </row>
    <row r="317" spans="1:19" x14ac:dyDescent="0.2">
      <c r="A317" t="s">
        <v>928</v>
      </c>
      <c r="B317" t="s">
        <v>67</v>
      </c>
      <c r="C317" t="s">
        <v>614</v>
      </c>
      <c r="D317">
        <v>120.19</v>
      </c>
      <c r="E317" s="37" t="str">
        <f t="shared" si="20"/>
        <v xml:space="preserve"> </v>
      </c>
      <c r="F317">
        <v>0.25</v>
      </c>
      <c r="G317" s="37" t="str">
        <f t="shared" si="21"/>
        <v>Normal Discount</v>
      </c>
      <c r="H317" s="37" t="str">
        <f t="shared" si="22"/>
        <v>Medium</v>
      </c>
      <c r="I317">
        <v>3</v>
      </c>
      <c r="J317" t="str" cm="1">
        <f t="array" ref="J317">_xlfn.IFS(I317&lt;=3,"small",I317&lt;=6,"Medium",I317&lt;=9,"Large")</f>
        <v>small</v>
      </c>
      <c r="K317" s="36">
        <v>45364</v>
      </c>
      <c r="L317" s="36">
        <v>45370</v>
      </c>
      <c r="M317" t="s">
        <v>612</v>
      </c>
      <c r="N317" t="s">
        <v>599</v>
      </c>
      <c r="O317" s="37" t="str">
        <f t="shared" si="23"/>
        <v>Digital Payment</v>
      </c>
      <c r="P317">
        <v>24.31</v>
      </c>
      <c r="Q317" s="37" t="str">
        <f>IF(P317&gt;500,"High","low")</f>
        <v>low</v>
      </c>
      <c r="R317" s="37" t="str">
        <f t="shared" si="24"/>
        <v>AVERAGE</v>
      </c>
      <c r="S317" t="s">
        <v>628</v>
      </c>
    </row>
    <row r="318" spans="1:19" x14ac:dyDescent="0.2">
      <c r="A318" t="s">
        <v>929</v>
      </c>
      <c r="B318" t="s">
        <v>90</v>
      </c>
      <c r="C318" t="s">
        <v>607</v>
      </c>
      <c r="D318">
        <v>4710.2</v>
      </c>
      <c r="E318" s="37" t="str">
        <f t="shared" si="20"/>
        <v xml:space="preserve"> </v>
      </c>
      <c r="F318">
        <v>0.35</v>
      </c>
      <c r="G318" s="37" t="str">
        <f t="shared" si="21"/>
        <v>Heavy Discount</v>
      </c>
      <c r="H318" s="37" t="str">
        <f t="shared" si="22"/>
        <v>Medium</v>
      </c>
      <c r="I318">
        <v>1</v>
      </c>
      <c r="J318" t="str" cm="1">
        <f t="array" ref="J318">_xlfn.IFS(I318&lt;=3,"small",I318&lt;=6,"Medium",I318&lt;=9,"Large")</f>
        <v>small</v>
      </c>
      <c r="K318" s="36">
        <v>45275</v>
      </c>
      <c r="L318" s="36">
        <v>45280</v>
      </c>
      <c r="M318" t="s">
        <v>612</v>
      </c>
      <c r="N318" t="s">
        <v>608</v>
      </c>
      <c r="O318" s="37" t="str">
        <f t="shared" si="23"/>
        <v>Cash Payment</v>
      </c>
      <c r="P318">
        <v>762.19</v>
      </c>
      <c r="Q318" s="37" t="str">
        <f>IF(P318&gt;500,"High","low")</f>
        <v>High</v>
      </c>
      <c r="R318" s="37" t="str">
        <f t="shared" si="24"/>
        <v>Good</v>
      </c>
      <c r="S318" t="s">
        <v>615</v>
      </c>
    </row>
    <row r="319" spans="1:19" x14ac:dyDescent="0.2">
      <c r="A319" t="s">
        <v>930</v>
      </c>
      <c r="B319" t="s">
        <v>75</v>
      </c>
      <c r="C319" t="s">
        <v>597</v>
      </c>
      <c r="D319">
        <v>4163.34</v>
      </c>
      <c r="E319" s="37" t="str">
        <f t="shared" si="20"/>
        <v xml:space="preserve"> </v>
      </c>
      <c r="F319">
        <v>0.23</v>
      </c>
      <c r="G319" s="37" t="str">
        <f t="shared" si="21"/>
        <v>Normal Discount</v>
      </c>
      <c r="H319" s="37" t="str">
        <f t="shared" si="22"/>
        <v>Medium</v>
      </c>
      <c r="I319">
        <v>4</v>
      </c>
      <c r="J319" t="str" cm="1">
        <f t="array" ref="J319">_xlfn.IFS(I319&lt;=3,"small",I319&lt;=6,"Medium",I319&lt;=9,"Large")</f>
        <v>Medium</v>
      </c>
      <c r="K319" s="36">
        <v>45136</v>
      </c>
      <c r="L319" s="36">
        <v>45141</v>
      </c>
      <c r="M319" t="s">
        <v>603</v>
      </c>
      <c r="N319" t="s">
        <v>604</v>
      </c>
      <c r="O319" s="37" t="str">
        <f t="shared" si="23"/>
        <v>Digital Payment</v>
      </c>
      <c r="P319">
        <v>468.81</v>
      </c>
      <c r="Q319" s="37" t="str">
        <f>IF(P319&gt;500,"High","low")</f>
        <v>low</v>
      </c>
      <c r="R319" s="37" t="str">
        <f t="shared" si="24"/>
        <v>AVERAGE</v>
      </c>
      <c r="S319" t="s">
        <v>615</v>
      </c>
    </row>
    <row r="320" spans="1:19" x14ac:dyDescent="0.2">
      <c r="A320" t="s">
        <v>931</v>
      </c>
      <c r="B320" t="s">
        <v>90</v>
      </c>
      <c r="C320" t="s">
        <v>614</v>
      </c>
      <c r="D320">
        <v>479.63</v>
      </c>
      <c r="E320" s="37" t="str">
        <f t="shared" si="20"/>
        <v xml:space="preserve"> </v>
      </c>
      <c r="F320">
        <v>0.15</v>
      </c>
      <c r="G320" s="37" t="str">
        <f t="shared" si="21"/>
        <v>Normal Discount</v>
      </c>
      <c r="H320" s="37" t="str">
        <f t="shared" si="22"/>
        <v>Low</v>
      </c>
      <c r="I320">
        <v>9</v>
      </c>
      <c r="J320" t="str" cm="1">
        <f t="array" ref="J320">_xlfn.IFS(I320&lt;=3,"small",I320&lt;=6,"Medium",I320&lt;=9,"Large")</f>
        <v>Large</v>
      </c>
      <c r="K320" s="36">
        <v>45086</v>
      </c>
      <c r="L320" s="36">
        <v>45089</v>
      </c>
      <c r="M320" t="s">
        <v>598</v>
      </c>
      <c r="N320" t="s">
        <v>599</v>
      </c>
      <c r="O320" s="37" t="str">
        <f t="shared" si="23"/>
        <v>Digital Payment</v>
      </c>
      <c r="P320">
        <v>102.29</v>
      </c>
      <c r="Q320" s="37" t="str">
        <f>IF(P320&gt;500,"High","low")</f>
        <v>low</v>
      </c>
      <c r="R320" s="37" t="str">
        <f t="shared" si="24"/>
        <v>AVERAGE</v>
      </c>
      <c r="S320" t="s">
        <v>605</v>
      </c>
    </row>
    <row r="321" spans="1:19" x14ac:dyDescent="0.2">
      <c r="A321" t="s">
        <v>932</v>
      </c>
      <c r="B321" t="s">
        <v>83</v>
      </c>
      <c r="C321" t="s">
        <v>602</v>
      </c>
      <c r="D321">
        <v>3036.94</v>
      </c>
      <c r="E321" s="37" t="str">
        <f t="shared" si="20"/>
        <v xml:space="preserve"> </v>
      </c>
      <c r="F321">
        <v>0.08</v>
      </c>
      <c r="G321" s="37" t="str">
        <f t="shared" si="21"/>
        <v>Normal Discount</v>
      </c>
      <c r="H321" s="37" t="str">
        <f t="shared" si="22"/>
        <v>Low</v>
      </c>
      <c r="I321">
        <v>2</v>
      </c>
      <c r="J321" t="str" cm="1">
        <f t="array" ref="J321">_xlfn.IFS(I321&lt;=3,"small",I321&lt;=6,"Medium",I321&lt;=9,"Large")</f>
        <v>small</v>
      </c>
      <c r="K321" s="36">
        <v>45211</v>
      </c>
      <c r="L321" s="36">
        <v>45214</v>
      </c>
      <c r="M321" t="s">
        <v>603</v>
      </c>
      <c r="N321" t="s">
        <v>599</v>
      </c>
      <c r="O321" s="37" t="str">
        <f t="shared" si="23"/>
        <v>Digital Payment</v>
      </c>
      <c r="P321">
        <v>697.79</v>
      </c>
      <c r="Q321" s="37" t="str">
        <f>IF(P321&gt;500,"High","low")</f>
        <v>High</v>
      </c>
      <c r="R321" s="37" t="str">
        <f t="shared" si="24"/>
        <v>Good</v>
      </c>
      <c r="S321" t="s">
        <v>628</v>
      </c>
    </row>
    <row r="322" spans="1:19" x14ac:dyDescent="0.2">
      <c r="A322" t="s">
        <v>933</v>
      </c>
      <c r="B322" t="s">
        <v>67</v>
      </c>
      <c r="C322" t="s">
        <v>597</v>
      </c>
      <c r="D322">
        <v>1241.2</v>
      </c>
      <c r="E322" s="37" t="str">
        <f t="shared" si="20"/>
        <v xml:space="preserve"> </v>
      </c>
      <c r="F322">
        <v>0.26</v>
      </c>
      <c r="G322" s="37" t="str">
        <f t="shared" si="21"/>
        <v>Normal Discount</v>
      </c>
      <c r="H322" s="37" t="str">
        <f t="shared" si="22"/>
        <v>Medium</v>
      </c>
      <c r="I322">
        <v>4</v>
      </c>
      <c r="J322" t="str" cm="1">
        <f t="array" ref="J322">_xlfn.IFS(I322&lt;=3,"small",I322&lt;=6,"Medium",I322&lt;=9,"Large")</f>
        <v>Medium</v>
      </c>
      <c r="K322" s="36">
        <v>44978</v>
      </c>
      <c r="L322" s="36">
        <v>44981</v>
      </c>
      <c r="M322" t="s">
        <v>612</v>
      </c>
      <c r="N322" t="s">
        <v>608</v>
      </c>
      <c r="O322" s="37" t="str">
        <f t="shared" si="23"/>
        <v>Cash Payment</v>
      </c>
      <c r="P322">
        <v>226</v>
      </c>
      <c r="Q322" s="37" t="str">
        <f>IF(P322&gt;500,"High","low")</f>
        <v>low</v>
      </c>
      <c r="R322" s="37" t="str">
        <f t="shared" si="24"/>
        <v>AVERAGE</v>
      </c>
      <c r="S322" t="s">
        <v>615</v>
      </c>
    </row>
    <row r="323" spans="1:19" x14ac:dyDescent="0.2">
      <c r="A323" t="s">
        <v>934</v>
      </c>
      <c r="B323" t="s">
        <v>75</v>
      </c>
      <c r="C323" t="s">
        <v>617</v>
      </c>
      <c r="D323">
        <v>1393.68</v>
      </c>
      <c r="E323" s="37" t="str">
        <f t="shared" ref="E323:E386" si="25">IF(AND(D323&gt;4000,P323&gt;800),"Excellent Order"," ")</f>
        <v xml:space="preserve"> </v>
      </c>
      <c r="F323">
        <v>0.46</v>
      </c>
      <c r="G323" s="37" t="str">
        <f t="shared" ref="G323:G386" si="26">IF(F323&gt;30%,"Heavy Discount","Normal Discount")</f>
        <v>Heavy Discount</v>
      </c>
      <c r="H323" s="37" t="str">
        <f t="shared" ref="H323:H386" si="27">IF(F323&gt;0.4,"High",IF(F323&gt;=0.2,"Medium","Low"))</f>
        <v>High</v>
      </c>
      <c r="I323">
        <v>9</v>
      </c>
      <c r="J323" t="str" cm="1">
        <f t="array" ref="J323">_xlfn.IFS(I323&lt;=3,"small",I323&lt;=6,"Medium",I323&lt;=9,"Large")</f>
        <v>Large</v>
      </c>
      <c r="K323" s="36">
        <v>45007</v>
      </c>
      <c r="L323" s="36">
        <v>45014</v>
      </c>
      <c r="M323" t="s">
        <v>603</v>
      </c>
      <c r="N323" t="s">
        <v>604</v>
      </c>
      <c r="O323" s="37" t="str">
        <f t="shared" ref="O323:O386" si="28">IF(OR(N323="Card",N323="UPI"),"Digital Payment","Cash Payment")</f>
        <v>Digital Payment</v>
      </c>
      <c r="P323">
        <v>126.14</v>
      </c>
      <c r="Q323" s="37" t="str">
        <f>IF(P323&gt;500,"High","low")</f>
        <v>low</v>
      </c>
      <c r="R323" s="37" t="str">
        <f t="shared" ref="R323:R386" si="29">IF(P323&gt;1000,"Excellent",IF(P323&gt;=500,"Good","AVERAGE"))</f>
        <v>AVERAGE</v>
      </c>
      <c r="S323" t="s">
        <v>620</v>
      </c>
    </row>
    <row r="324" spans="1:19" x14ac:dyDescent="0.2">
      <c r="A324" t="s">
        <v>935</v>
      </c>
      <c r="B324" t="s">
        <v>67</v>
      </c>
      <c r="C324" t="s">
        <v>614</v>
      </c>
      <c r="D324">
        <v>4383.43</v>
      </c>
      <c r="E324" s="37" t="str">
        <f t="shared" si="25"/>
        <v xml:space="preserve"> </v>
      </c>
      <c r="F324">
        <v>0.44</v>
      </c>
      <c r="G324" s="37" t="str">
        <f t="shared" si="26"/>
        <v>Heavy Discount</v>
      </c>
      <c r="H324" s="37" t="str">
        <f t="shared" si="27"/>
        <v>High</v>
      </c>
      <c r="I324">
        <v>9</v>
      </c>
      <c r="J324" t="str" cm="1">
        <f t="array" ref="J324">_xlfn.IFS(I324&lt;=3,"small",I324&lt;=6,"Medium",I324&lt;=9,"Large")</f>
        <v>Large</v>
      </c>
      <c r="K324" s="36">
        <v>45307</v>
      </c>
      <c r="L324" s="36">
        <v>45311</v>
      </c>
      <c r="M324" t="s">
        <v>598</v>
      </c>
      <c r="N324" t="s">
        <v>608</v>
      </c>
      <c r="O324" s="37" t="str">
        <f t="shared" si="28"/>
        <v>Cash Payment</v>
      </c>
      <c r="P324">
        <v>761.11</v>
      </c>
      <c r="Q324" s="37" t="str">
        <f>IF(P324&gt;500,"High","low")</f>
        <v>High</v>
      </c>
      <c r="R324" s="37" t="str">
        <f t="shared" si="29"/>
        <v>Good</v>
      </c>
      <c r="S324" t="s">
        <v>600</v>
      </c>
    </row>
    <row r="325" spans="1:19" x14ac:dyDescent="0.2">
      <c r="A325" t="s">
        <v>936</v>
      </c>
      <c r="B325" t="s">
        <v>83</v>
      </c>
      <c r="C325" t="s">
        <v>607</v>
      </c>
      <c r="D325">
        <v>660.2</v>
      </c>
      <c r="E325" s="37" t="str">
        <f t="shared" si="25"/>
        <v xml:space="preserve"> </v>
      </c>
      <c r="F325">
        <v>0.46</v>
      </c>
      <c r="G325" s="37" t="str">
        <f t="shared" si="26"/>
        <v>Heavy Discount</v>
      </c>
      <c r="H325" s="37" t="str">
        <f t="shared" si="27"/>
        <v>High</v>
      </c>
      <c r="I325">
        <v>8</v>
      </c>
      <c r="J325" t="str" cm="1">
        <f t="array" ref="J325">_xlfn.IFS(I325&lt;=3,"small",I325&lt;=6,"Medium",I325&lt;=9,"Large")</f>
        <v>Large</v>
      </c>
      <c r="K325" s="36">
        <v>45278</v>
      </c>
      <c r="L325" s="36">
        <v>45279</v>
      </c>
      <c r="M325" t="s">
        <v>603</v>
      </c>
      <c r="N325" t="s">
        <v>604</v>
      </c>
      <c r="O325" s="37" t="str">
        <f t="shared" si="28"/>
        <v>Digital Payment</v>
      </c>
      <c r="P325">
        <v>159.93</v>
      </c>
      <c r="Q325" s="37" t="str">
        <f>IF(P325&gt;500,"High","low")</f>
        <v>low</v>
      </c>
      <c r="R325" s="37" t="str">
        <f t="shared" si="29"/>
        <v>AVERAGE</v>
      </c>
      <c r="S325" t="s">
        <v>620</v>
      </c>
    </row>
    <row r="326" spans="1:19" x14ac:dyDescent="0.2">
      <c r="A326" t="s">
        <v>937</v>
      </c>
      <c r="B326" t="s">
        <v>83</v>
      </c>
      <c r="C326" t="s">
        <v>607</v>
      </c>
      <c r="D326">
        <v>3047.3</v>
      </c>
      <c r="E326" s="37" t="str">
        <f t="shared" si="25"/>
        <v xml:space="preserve"> </v>
      </c>
      <c r="F326">
        <v>0.48</v>
      </c>
      <c r="G326" s="37" t="str">
        <f t="shared" si="26"/>
        <v>Heavy Discount</v>
      </c>
      <c r="H326" s="37" t="str">
        <f t="shared" si="27"/>
        <v>High</v>
      </c>
      <c r="I326">
        <v>2</v>
      </c>
      <c r="J326" t="str" cm="1">
        <f t="array" ref="J326">_xlfn.IFS(I326&lt;=3,"small",I326&lt;=6,"Medium",I326&lt;=9,"Large")</f>
        <v>small</v>
      </c>
      <c r="K326" s="36">
        <v>45211</v>
      </c>
      <c r="L326" s="36">
        <v>45215</v>
      </c>
      <c r="M326" t="s">
        <v>612</v>
      </c>
      <c r="N326" t="s">
        <v>608</v>
      </c>
      <c r="O326" s="37" t="str">
        <f t="shared" si="28"/>
        <v>Cash Payment</v>
      </c>
      <c r="P326">
        <v>797.25</v>
      </c>
      <c r="Q326" s="37" t="str">
        <f>IF(P326&gt;500,"High","low")</f>
        <v>High</v>
      </c>
      <c r="R326" s="37" t="str">
        <f t="shared" si="29"/>
        <v>Good</v>
      </c>
      <c r="S326" t="s">
        <v>620</v>
      </c>
    </row>
    <row r="327" spans="1:19" x14ac:dyDescent="0.2">
      <c r="A327" t="s">
        <v>938</v>
      </c>
      <c r="B327" t="s">
        <v>83</v>
      </c>
      <c r="C327" t="s">
        <v>617</v>
      </c>
      <c r="D327">
        <v>2066.15</v>
      </c>
      <c r="E327" s="37" t="str">
        <f t="shared" si="25"/>
        <v xml:space="preserve"> </v>
      </c>
      <c r="F327">
        <v>0.08</v>
      </c>
      <c r="G327" s="37" t="str">
        <f t="shared" si="26"/>
        <v>Normal Discount</v>
      </c>
      <c r="H327" s="37" t="str">
        <f t="shared" si="27"/>
        <v>Low</v>
      </c>
      <c r="I327">
        <v>3</v>
      </c>
      <c r="J327" t="str" cm="1">
        <f t="array" ref="J327">_xlfn.IFS(I327&lt;=3,"small",I327&lt;=6,"Medium",I327&lt;=9,"Large")</f>
        <v>small</v>
      </c>
      <c r="K327" s="36">
        <v>45416</v>
      </c>
      <c r="L327" s="36">
        <v>45420</v>
      </c>
      <c r="M327" t="s">
        <v>612</v>
      </c>
      <c r="N327" t="s">
        <v>608</v>
      </c>
      <c r="O327" s="37" t="str">
        <f t="shared" si="28"/>
        <v>Cash Payment</v>
      </c>
      <c r="P327">
        <v>117.23</v>
      </c>
      <c r="Q327" s="37" t="str">
        <f>IF(P327&gt;500,"High","low")</f>
        <v>low</v>
      </c>
      <c r="R327" s="37" t="str">
        <f t="shared" si="29"/>
        <v>AVERAGE</v>
      </c>
      <c r="S327" t="s">
        <v>628</v>
      </c>
    </row>
    <row r="328" spans="1:19" x14ac:dyDescent="0.2">
      <c r="A328" t="s">
        <v>939</v>
      </c>
      <c r="B328" t="s">
        <v>90</v>
      </c>
      <c r="C328" t="s">
        <v>617</v>
      </c>
      <c r="D328">
        <v>1034.92</v>
      </c>
      <c r="E328" s="37" t="str">
        <f t="shared" si="25"/>
        <v xml:space="preserve"> </v>
      </c>
      <c r="F328">
        <v>7.0000000000000007E-2</v>
      </c>
      <c r="G328" s="37" t="str">
        <f t="shared" si="26"/>
        <v>Normal Discount</v>
      </c>
      <c r="H328" s="37" t="str">
        <f t="shared" si="27"/>
        <v>Low</v>
      </c>
      <c r="I328">
        <v>6</v>
      </c>
      <c r="J328" t="str" cm="1">
        <f t="array" ref="J328">_xlfn.IFS(I328&lt;=3,"small",I328&lt;=6,"Medium",I328&lt;=9,"Large")</f>
        <v>Medium</v>
      </c>
      <c r="K328" s="36">
        <v>45313</v>
      </c>
      <c r="L328" s="36">
        <v>45318</v>
      </c>
      <c r="M328" t="s">
        <v>612</v>
      </c>
      <c r="N328" t="s">
        <v>608</v>
      </c>
      <c r="O328" s="37" t="str">
        <f t="shared" si="28"/>
        <v>Cash Payment</v>
      </c>
      <c r="P328">
        <v>100.03</v>
      </c>
      <c r="Q328" s="37" t="str">
        <f>IF(P328&gt;500,"High","low")</f>
        <v>low</v>
      </c>
      <c r="R328" s="37" t="str">
        <f t="shared" si="29"/>
        <v>AVERAGE</v>
      </c>
      <c r="S328" t="s">
        <v>628</v>
      </c>
    </row>
    <row r="329" spans="1:19" x14ac:dyDescent="0.2">
      <c r="A329" t="s">
        <v>940</v>
      </c>
      <c r="B329" t="s">
        <v>90</v>
      </c>
      <c r="C329" t="s">
        <v>607</v>
      </c>
      <c r="D329">
        <v>2314.4</v>
      </c>
      <c r="E329" s="37" t="str">
        <f t="shared" si="25"/>
        <v xml:space="preserve"> </v>
      </c>
      <c r="F329">
        <v>0.21</v>
      </c>
      <c r="G329" s="37" t="str">
        <f t="shared" si="26"/>
        <v>Normal Discount</v>
      </c>
      <c r="H329" s="37" t="str">
        <f t="shared" si="27"/>
        <v>Medium</v>
      </c>
      <c r="I329">
        <v>2</v>
      </c>
      <c r="J329" t="str" cm="1">
        <f t="array" ref="J329">_xlfn.IFS(I329&lt;=3,"small",I329&lt;=6,"Medium",I329&lt;=9,"Large")</f>
        <v>small</v>
      </c>
      <c r="K329" s="36">
        <v>45361</v>
      </c>
      <c r="L329" s="36">
        <v>45367</v>
      </c>
      <c r="M329" t="s">
        <v>598</v>
      </c>
      <c r="N329" t="s">
        <v>599</v>
      </c>
      <c r="O329" s="37" t="str">
        <f t="shared" si="28"/>
        <v>Digital Payment</v>
      </c>
      <c r="P329">
        <v>653.86</v>
      </c>
      <c r="Q329" s="37" t="str">
        <f>IF(P329&gt;500,"High","low")</f>
        <v>High</v>
      </c>
      <c r="R329" s="37" t="str">
        <f t="shared" si="29"/>
        <v>Good</v>
      </c>
      <c r="S329" t="s">
        <v>600</v>
      </c>
    </row>
    <row r="330" spans="1:19" x14ac:dyDescent="0.2">
      <c r="A330" t="s">
        <v>941</v>
      </c>
      <c r="B330" t="s">
        <v>67</v>
      </c>
      <c r="C330" t="s">
        <v>614</v>
      </c>
      <c r="D330">
        <v>4708.3999999999996</v>
      </c>
      <c r="E330" s="37" t="str">
        <f t="shared" si="25"/>
        <v>Excellent Order</v>
      </c>
      <c r="F330">
        <v>0.34</v>
      </c>
      <c r="G330" s="37" t="str">
        <f t="shared" si="26"/>
        <v>Heavy Discount</v>
      </c>
      <c r="H330" s="37" t="str">
        <f t="shared" si="27"/>
        <v>Medium</v>
      </c>
      <c r="I330">
        <v>3</v>
      </c>
      <c r="J330" t="str" cm="1">
        <f t="array" ref="J330">_xlfn.IFS(I330&lt;=3,"small",I330&lt;=6,"Medium",I330&lt;=9,"Large")</f>
        <v>small</v>
      </c>
      <c r="K330" s="36">
        <v>45506</v>
      </c>
      <c r="L330" s="36">
        <v>45511</v>
      </c>
      <c r="M330" t="s">
        <v>612</v>
      </c>
      <c r="N330" t="s">
        <v>599</v>
      </c>
      <c r="O330" s="37" t="str">
        <f t="shared" si="28"/>
        <v>Digital Payment</v>
      </c>
      <c r="P330">
        <v>1155.56</v>
      </c>
      <c r="Q330" s="37" t="str">
        <f>IF(P330&gt;500,"High","low")</f>
        <v>High</v>
      </c>
      <c r="R330" s="37" t="str">
        <f t="shared" si="29"/>
        <v>Excellent</v>
      </c>
      <c r="S330" t="s">
        <v>605</v>
      </c>
    </row>
    <row r="331" spans="1:19" x14ac:dyDescent="0.2">
      <c r="A331" t="s">
        <v>942</v>
      </c>
      <c r="B331" t="s">
        <v>67</v>
      </c>
      <c r="C331" t="s">
        <v>597</v>
      </c>
      <c r="D331">
        <v>3929.89</v>
      </c>
      <c r="E331" s="37" t="str">
        <f t="shared" si="25"/>
        <v xml:space="preserve"> </v>
      </c>
      <c r="F331">
        <v>0.22</v>
      </c>
      <c r="G331" s="37" t="str">
        <f t="shared" si="26"/>
        <v>Normal Discount</v>
      </c>
      <c r="H331" s="37" t="str">
        <f t="shared" si="27"/>
        <v>Medium</v>
      </c>
      <c r="I331">
        <v>1</v>
      </c>
      <c r="J331" t="str" cm="1">
        <f t="array" ref="J331">_xlfn.IFS(I331&lt;=3,"small",I331&lt;=6,"Medium",I331&lt;=9,"Large")</f>
        <v>small</v>
      </c>
      <c r="K331" s="36">
        <v>44970</v>
      </c>
      <c r="L331" s="36">
        <v>44973</v>
      </c>
      <c r="M331" t="s">
        <v>612</v>
      </c>
      <c r="N331" t="s">
        <v>608</v>
      </c>
      <c r="O331" s="37" t="str">
        <f t="shared" si="28"/>
        <v>Cash Payment</v>
      </c>
      <c r="P331">
        <v>902.41</v>
      </c>
      <c r="Q331" s="37" t="str">
        <f>IF(P331&gt;500,"High","low")</f>
        <v>High</v>
      </c>
      <c r="R331" s="37" t="str">
        <f t="shared" si="29"/>
        <v>Good</v>
      </c>
      <c r="S331" t="s">
        <v>628</v>
      </c>
    </row>
    <row r="332" spans="1:19" x14ac:dyDescent="0.2">
      <c r="A332" t="s">
        <v>943</v>
      </c>
      <c r="B332" t="s">
        <v>75</v>
      </c>
      <c r="C332" t="s">
        <v>617</v>
      </c>
      <c r="D332">
        <v>747.35</v>
      </c>
      <c r="E332" s="37" t="str">
        <f t="shared" si="25"/>
        <v xml:space="preserve"> </v>
      </c>
      <c r="F332">
        <v>0.45</v>
      </c>
      <c r="G332" s="37" t="str">
        <f t="shared" si="26"/>
        <v>Heavy Discount</v>
      </c>
      <c r="H332" s="37" t="str">
        <f t="shared" si="27"/>
        <v>High</v>
      </c>
      <c r="I332">
        <v>4</v>
      </c>
      <c r="J332" t="str" cm="1">
        <f t="array" ref="J332">_xlfn.IFS(I332&lt;=3,"small",I332&lt;=6,"Medium",I332&lt;=9,"Large")</f>
        <v>Medium</v>
      </c>
      <c r="K332" s="36">
        <v>45433</v>
      </c>
      <c r="L332" s="36">
        <v>45438</v>
      </c>
      <c r="M332" t="s">
        <v>612</v>
      </c>
      <c r="N332" t="s">
        <v>604</v>
      </c>
      <c r="O332" s="37" t="str">
        <f t="shared" si="28"/>
        <v>Digital Payment</v>
      </c>
      <c r="P332">
        <v>63.14</v>
      </c>
      <c r="Q332" s="37" t="str">
        <f>IF(P332&gt;500,"High","low")</f>
        <v>low</v>
      </c>
      <c r="R332" s="37" t="str">
        <f t="shared" si="29"/>
        <v>AVERAGE</v>
      </c>
      <c r="S332" t="s">
        <v>615</v>
      </c>
    </row>
    <row r="333" spans="1:19" x14ac:dyDescent="0.2">
      <c r="A333" t="s">
        <v>944</v>
      </c>
      <c r="B333" t="s">
        <v>75</v>
      </c>
      <c r="C333" t="s">
        <v>617</v>
      </c>
      <c r="D333">
        <v>4262.21</v>
      </c>
      <c r="E333" s="37" t="str">
        <f t="shared" si="25"/>
        <v xml:space="preserve"> </v>
      </c>
      <c r="F333">
        <v>0.36</v>
      </c>
      <c r="G333" s="37" t="str">
        <f t="shared" si="26"/>
        <v>Heavy Discount</v>
      </c>
      <c r="H333" s="37" t="str">
        <f t="shared" si="27"/>
        <v>Medium</v>
      </c>
      <c r="I333">
        <v>6</v>
      </c>
      <c r="J333" t="str" cm="1">
        <f t="array" ref="J333">_xlfn.IFS(I333&lt;=3,"small",I333&lt;=6,"Medium",I333&lt;=9,"Large")</f>
        <v>Medium</v>
      </c>
      <c r="K333" s="36">
        <v>45588</v>
      </c>
      <c r="L333" s="36">
        <v>45591</v>
      </c>
      <c r="M333" t="s">
        <v>612</v>
      </c>
      <c r="N333" t="s">
        <v>599</v>
      </c>
      <c r="O333" s="37" t="str">
        <f t="shared" si="28"/>
        <v>Digital Payment</v>
      </c>
      <c r="P333">
        <v>217.76</v>
      </c>
      <c r="Q333" s="37" t="str">
        <f>IF(P333&gt;500,"High","low")</f>
        <v>low</v>
      </c>
      <c r="R333" s="37" t="str">
        <f t="shared" si="29"/>
        <v>AVERAGE</v>
      </c>
      <c r="S333" t="s">
        <v>615</v>
      </c>
    </row>
    <row r="334" spans="1:19" x14ac:dyDescent="0.2">
      <c r="A334" t="s">
        <v>945</v>
      </c>
      <c r="B334" t="s">
        <v>67</v>
      </c>
      <c r="C334" t="s">
        <v>617</v>
      </c>
      <c r="D334">
        <v>4693.46</v>
      </c>
      <c r="E334" s="37" t="str">
        <f t="shared" si="25"/>
        <v>Excellent Order</v>
      </c>
      <c r="F334">
        <v>0.32</v>
      </c>
      <c r="G334" s="37" t="str">
        <f t="shared" si="26"/>
        <v>Heavy Discount</v>
      </c>
      <c r="H334" s="37" t="str">
        <f t="shared" si="27"/>
        <v>Medium</v>
      </c>
      <c r="I334">
        <v>1</v>
      </c>
      <c r="J334" t="str" cm="1">
        <f t="array" ref="J334">_xlfn.IFS(I334&lt;=3,"small",I334&lt;=6,"Medium",I334&lt;=9,"Large")</f>
        <v>small</v>
      </c>
      <c r="K334" s="36">
        <v>45096</v>
      </c>
      <c r="L334" s="36">
        <v>45102</v>
      </c>
      <c r="M334" t="s">
        <v>603</v>
      </c>
      <c r="N334" t="s">
        <v>608</v>
      </c>
      <c r="O334" s="37" t="str">
        <f t="shared" si="28"/>
        <v>Cash Payment</v>
      </c>
      <c r="P334">
        <v>925.54</v>
      </c>
      <c r="Q334" s="37" t="str">
        <f>IF(P334&gt;500,"High","low")</f>
        <v>High</v>
      </c>
      <c r="R334" s="37" t="str">
        <f t="shared" si="29"/>
        <v>Good</v>
      </c>
      <c r="S334" t="s">
        <v>615</v>
      </c>
    </row>
    <row r="335" spans="1:19" x14ac:dyDescent="0.2">
      <c r="A335" t="s">
        <v>946</v>
      </c>
      <c r="B335" t="s">
        <v>90</v>
      </c>
      <c r="C335" t="s">
        <v>602</v>
      </c>
      <c r="D335">
        <v>1457.12</v>
      </c>
      <c r="E335" s="37" t="str">
        <f t="shared" si="25"/>
        <v xml:space="preserve"> </v>
      </c>
      <c r="F335">
        <v>0.04</v>
      </c>
      <c r="G335" s="37" t="str">
        <f t="shared" si="26"/>
        <v>Normal Discount</v>
      </c>
      <c r="H335" s="37" t="str">
        <f t="shared" si="27"/>
        <v>Low</v>
      </c>
      <c r="I335">
        <v>1</v>
      </c>
      <c r="J335" t="str" cm="1">
        <f t="array" ref="J335">_xlfn.IFS(I335&lt;=3,"small",I335&lt;=6,"Medium",I335&lt;=9,"Large")</f>
        <v>small</v>
      </c>
      <c r="K335" s="36">
        <v>45001</v>
      </c>
      <c r="L335" s="36">
        <v>45007</v>
      </c>
      <c r="M335" t="s">
        <v>612</v>
      </c>
      <c r="N335" t="s">
        <v>604</v>
      </c>
      <c r="O335" s="37" t="str">
        <f t="shared" si="28"/>
        <v>Digital Payment</v>
      </c>
      <c r="P335">
        <v>388.34</v>
      </c>
      <c r="Q335" s="37" t="str">
        <f>IF(P335&gt;500,"High","low")</f>
        <v>low</v>
      </c>
      <c r="R335" s="37" t="str">
        <f t="shared" si="29"/>
        <v>AVERAGE</v>
      </c>
      <c r="S335" t="s">
        <v>605</v>
      </c>
    </row>
    <row r="336" spans="1:19" x14ac:dyDescent="0.2">
      <c r="A336" t="s">
        <v>947</v>
      </c>
      <c r="B336" t="s">
        <v>83</v>
      </c>
      <c r="C336" t="s">
        <v>614</v>
      </c>
      <c r="D336">
        <v>1733.76</v>
      </c>
      <c r="E336" s="37" t="str">
        <f t="shared" si="25"/>
        <v xml:space="preserve"> </v>
      </c>
      <c r="F336">
        <v>0.09</v>
      </c>
      <c r="G336" s="37" t="str">
        <f t="shared" si="26"/>
        <v>Normal Discount</v>
      </c>
      <c r="H336" s="37" t="str">
        <f t="shared" si="27"/>
        <v>Low</v>
      </c>
      <c r="I336">
        <v>8</v>
      </c>
      <c r="J336" t="str" cm="1">
        <f t="array" ref="J336">_xlfn.IFS(I336&lt;=3,"small",I336&lt;=6,"Medium",I336&lt;=9,"Large")</f>
        <v>Large</v>
      </c>
      <c r="K336" s="36">
        <v>44934</v>
      </c>
      <c r="L336" s="36">
        <v>44938</v>
      </c>
      <c r="M336" t="s">
        <v>603</v>
      </c>
      <c r="N336" t="s">
        <v>604</v>
      </c>
      <c r="O336" s="37" t="str">
        <f t="shared" si="28"/>
        <v>Digital Payment</v>
      </c>
      <c r="P336">
        <v>117.57</v>
      </c>
      <c r="Q336" s="37" t="str">
        <f>IF(P336&gt;500,"High","low")</f>
        <v>low</v>
      </c>
      <c r="R336" s="37" t="str">
        <f t="shared" si="29"/>
        <v>AVERAGE</v>
      </c>
      <c r="S336" t="s">
        <v>615</v>
      </c>
    </row>
    <row r="337" spans="1:19" x14ac:dyDescent="0.2">
      <c r="A337" t="s">
        <v>948</v>
      </c>
      <c r="B337" t="s">
        <v>67</v>
      </c>
      <c r="C337" t="s">
        <v>614</v>
      </c>
      <c r="D337">
        <v>718.92</v>
      </c>
      <c r="E337" s="37" t="str">
        <f t="shared" si="25"/>
        <v xml:space="preserve"> </v>
      </c>
      <c r="F337">
        <v>0.21</v>
      </c>
      <c r="G337" s="37" t="str">
        <f t="shared" si="26"/>
        <v>Normal Discount</v>
      </c>
      <c r="H337" s="37" t="str">
        <f t="shared" si="27"/>
        <v>Medium</v>
      </c>
      <c r="I337">
        <v>7</v>
      </c>
      <c r="J337" t="str" cm="1">
        <f t="array" ref="J337">_xlfn.IFS(I337&lt;=3,"small",I337&lt;=6,"Medium",I337&lt;=9,"Large")</f>
        <v>Large</v>
      </c>
      <c r="K337" s="36">
        <v>45401</v>
      </c>
      <c r="L337" s="36">
        <v>45402</v>
      </c>
      <c r="M337" t="s">
        <v>598</v>
      </c>
      <c r="N337" t="s">
        <v>604</v>
      </c>
      <c r="O337" s="37" t="str">
        <f t="shared" si="28"/>
        <v>Digital Payment</v>
      </c>
      <c r="P337">
        <v>48.42</v>
      </c>
      <c r="Q337" s="37" t="str">
        <f>IF(P337&gt;500,"High","low")</f>
        <v>low</v>
      </c>
      <c r="R337" s="37" t="str">
        <f t="shared" si="29"/>
        <v>AVERAGE</v>
      </c>
      <c r="S337" t="s">
        <v>628</v>
      </c>
    </row>
    <row r="338" spans="1:19" x14ac:dyDescent="0.2">
      <c r="A338" t="s">
        <v>949</v>
      </c>
      <c r="B338" t="s">
        <v>75</v>
      </c>
      <c r="C338" t="s">
        <v>614</v>
      </c>
      <c r="D338">
        <v>1790.21</v>
      </c>
      <c r="E338" s="37" t="str">
        <f t="shared" si="25"/>
        <v xml:space="preserve"> </v>
      </c>
      <c r="F338">
        <v>0.49</v>
      </c>
      <c r="G338" s="37" t="str">
        <f t="shared" si="26"/>
        <v>Heavy Discount</v>
      </c>
      <c r="H338" s="37" t="str">
        <f t="shared" si="27"/>
        <v>High</v>
      </c>
      <c r="I338">
        <v>7</v>
      </c>
      <c r="J338" t="str" cm="1">
        <f t="array" ref="J338">_xlfn.IFS(I338&lt;=3,"small",I338&lt;=6,"Medium",I338&lt;=9,"Large")</f>
        <v>Large</v>
      </c>
      <c r="K338" s="36">
        <v>45098</v>
      </c>
      <c r="L338" s="36">
        <v>45103</v>
      </c>
      <c r="M338" t="s">
        <v>603</v>
      </c>
      <c r="N338" t="s">
        <v>608</v>
      </c>
      <c r="O338" s="37" t="str">
        <f t="shared" si="28"/>
        <v>Cash Payment</v>
      </c>
      <c r="P338">
        <v>536.41999999999996</v>
      </c>
      <c r="Q338" s="37" t="str">
        <f>IF(P338&gt;500,"High","low")</f>
        <v>High</v>
      </c>
      <c r="R338" s="37" t="str">
        <f t="shared" si="29"/>
        <v>Good</v>
      </c>
      <c r="S338" t="s">
        <v>605</v>
      </c>
    </row>
    <row r="339" spans="1:19" x14ac:dyDescent="0.2">
      <c r="A339" t="s">
        <v>950</v>
      </c>
      <c r="B339" t="s">
        <v>90</v>
      </c>
      <c r="C339" t="s">
        <v>614</v>
      </c>
      <c r="D339">
        <v>3398.39</v>
      </c>
      <c r="E339" s="37" t="str">
        <f t="shared" si="25"/>
        <v xml:space="preserve"> </v>
      </c>
      <c r="F339">
        <v>0.17</v>
      </c>
      <c r="G339" s="37" t="str">
        <f t="shared" si="26"/>
        <v>Normal Discount</v>
      </c>
      <c r="H339" s="37" t="str">
        <f t="shared" si="27"/>
        <v>Low</v>
      </c>
      <c r="I339">
        <v>7</v>
      </c>
      <c r="J339" t="str" cm="1">
        <f t="array" ref="J339">_xlfn.IFS(I339&lt;=3,"small",I339&lt;=6,"Medium",I339&lt;=9,"Large")</f>
        <v>Large</v>
      </c>
      <c r="K339" s="36">
        <v>45363</v>
      </c>
      <c r="L339" s="36">
        <v>45367</v>
      </c>
      <c r="M339" t="s">
        <v>603</v>
      </c>
      <c r="N339" t="s">
        <v>599</v>
      </c>
      <c r="O339" s="37" t="str">
        <f t="shared" si="28"/>
        <v>Digital Payment</v>
      </c>
      <c r="P339">
        <v>370.75</v>
      </c>
      <c r="Q339" s="37" t="str">
        <f>IF(P339&gt;500,"High","low")</f>
        <v>low</v>
      </c>
      <c r="R339" s="37" t="str">
        <f t="shared" si="29"/>
        <v>AVERAGE</v>
      </c>
      <c r="S339" t="s">
        <v>620</v>
      </c>
    </row>
    <row r="340" spans="1:19" x14ac:dyDescent="0.2">
      <c r="A340" t="s">
        <v>951</v>
      </c>
      <c r="B340" t="s">
        <v>67</v>
      </c>
      <c r="C340" t="s">
        <v>614</v>
      </c>
      <c r="D340">
        <v>1433.56</v>
      </c>
      <c r="E340" s="37" t="str">
        <f t="shared" si="25"/>
        <v xml:space="preserve"> </v>
      </c>
      <c r="F340">
        <v>0.31</v>
      </c>
      <c r="G340" s="37" t="str">
        <f t="shared" si="26"/>
        <v>Heavy Discount</v>
      </c>
      <c r="H340" s="37" t="str">
        <f t="shared" si="27"/>
        <v>Medium</v>
      </c>
      <c r="I340">
        <v>5</v>
      </c>
      <c r="J340" t="str" cm="1">
        <f t="array" ref="J340">_xlfn.IFS(I340&lt;=3,"small",I340&lt;=6,"Medium",I340&lt;=9,"Large")</f>
        <v>Medium</v>
      </c>
      <c r="K340" s="36">
        <v>45563</v>
      </c>
      <c r="L340" s="36">
        <v>45569</v>
      </c>
      <c r="M340" t="s">
        <v>603</v>
      </c>
      <c r="N340" t="s">
        <v>604</v>
      </c>
      <c r="O340" s="37" t="str">
        <f t="shared" si="28"/>
        <v>Digital Payment</v>
      </c>
      <c r="P340">
        <v>310.11</v>
      </c>
      <c r="Q340" s="37" t="str">
        <f>IF(P340&gt;500,"High","low")</f>
        <v>low</v>
      </c>
      <c r="R340" s="37" t="str">
        <f t="shared" si="29"/>
        <v>AVERAGE</v>
      </c>
      <c r="S340" t="s">
        <v>605</v>
      </c>
    </row>
    <row r="341" spans="1:19" x14ac:dyDescent="0.2">
      <c r="A341" t="s">
        <v>952</v>
      </c>
      <c r="B341" t="s">
        <v>67</v>
      </c>
      <c r="C341" t="s">
        <v>607</v>
      </c>
      <c r="D341">
        <v>133.44</v>
      </c>
      <c r="E341" s="37" t="str">
        <f t="shared" si="25"/>
        <v xml:space="preserve"> </v>
      </c>
      <c r="F341">
        <v>0.49</v>
      </c>
      <c r="G341" s="37" t="str">
        <f t="shared" si="26"/>
        <v>Heavy Discount</v>
      </c>
      <c r="H341" s="37" t="str">
        <f t="shared" si="27"/>
        <v>High</v>
      </c>
      <c r="I341">
        <v>4</v>
      </c>
      <c r="J341" t="str" cm="1">
        <f t="array" ref="J341">_xlfn.IFS(I341&lt;=3,"small",I341&lt;=6,"Medium",I341&lt;=9,"Large")</f>
        <v>Medium</v>
      </c>
      <c r="K341" s="36">
        <v>45652</v>
      </c>
      <c r="L341" s="36">
        <v>45655</v>
      </c>
      <c r="M341" t="s">
        <v>603</v>
      </c>
      <c r="N341" t="s">
        <v>608</v>
      </c>
      <c r="O341" s="37" t="str">
        <f t="shared" si="28"/>
        <v>Cash Payment</v>
      </c>
      <c r="P341">
        <v>25.28</v>
      </c>
      <c r="Q341" s="37" t="str">
        <f>IF(P341&gt;500,"High","low")</f>
        <v>low</v>
      </c>
      <c r="R341" s="37" t="str">
        <f t="shared" si="29"/>
        <v>AVERAGE</v>
      </c>
      <c r="S341" t="s">
        <v>615</v>
      </c>
    </row>
    <row r="342" spans="1:19" x14ac:dyDescent="0.2">
      <c r="A342" t="s">
        <v>953</v>
      </c>
      <c r="B342" t="s">
        <v>90</v>
      </c>
      <c r="C342" t="s">
        <v>617</v>
      </c>
      <c r="D342">
        <v>1758.87</v>
      </c>
      <c r="E342" s="37" t="str">
        <f t="shared" si="25"/>
        <v xml:space="preserve"> </v>
      </c>
      <c r="F342">
        <v>0.13</v>
      </c>
      <c r="G342" s="37" t="str">
        <f t="shared" si="26"/>
        <v>Normal Discount</v>
      </c>
      <c r="H342" s="37" t="str">
        <f t="shared" si="27"/>
        <v>Low</v>
      </c>
      <c r="I342">
        <v>7</v>
      </c>
      <c r="J342" t="str" cm="1">
        <f t="array" ref="J342">_xlfn.IFS(I342&lt;=3,"small",I342&lt;=6,"Medium",I342&lt;=9,"Large")</f>
        <v>Large</v>
      </c>
      <c r="K342" s="36">
        <v>45377</v>
      </c>
      <c r="L342" s="36">
        <v>45382</v>
      </c>
      <c r="M342" t="s">
        <v>603</v>
      </c>
      <c r="N342" t="s">
        <v>608</v>
      </c>
      <c r="O342" s="37" t="str">
        <f t="shared" si="28"/>
        <v>Cash Payment</v>
      </c>
      <c r="P342">
        <v>270.22000000000003</v>
      </c>
      <c r="Q342" s="37" t="str">
        <f>IF(P342&gt;500,"High","low")</f>
        <v>low</v>
      </c>
      <c r="R342" s="37" t="str">
        <f t="shared" si="29"/>
        <v>AVERAGE</v>
      </c>
      <c r="S342" t="s">
        <v>600</v>
      </c>
    </row>
    <row r="343" spans="1:19" x14ac:dyDescent="0.2">
      <c r="A343" t="s">
        <v>954</v>
      </c>
      <c r="B343" t="s">
        <v>67</v>
      </c>
      <c r="C343" t="s">
        <v>607</v>
      </c>
      <c r="D343">
        <v>2320.5500000000002</v>
      </c>
      <c r="E343" s="37" t="str">
        <f t="shared" si="25"/>
        <v xml:space="preserve"> </v>
      </c>
      <c r="F343">
        <v>0.08</v>
      </c>
      <c r="G343" s="37" t="str">
        <f t="shared" si="26"/>
        <v>Normal Discount</v>
      </c>
      <c r="H343" s="37" t="str">
        <f t="shared" si="27"/>
        <v>Low</v>
      </c>
      <c r="I343">
        <v>3</v>
      </c>
      <c r="J343" t="str" cm="1">
        <f t="array" ref="J343">_xlfn.IFS(I343&lt;=3,"small",I343&lt;=6,"Medium",I343&lt;=9,"Large")</f>
        <v>small</v>
      </c>
      <c r="K343" s="36">
        <v>45577</v>
      </c>
      <c r="L343" s="36">
        <v>45583</v>
      </c>
      <c r="M343" t="s">
        <v>603</v>
      </c>
      <c r="N343" t="s">
        <v>608</v>
      </c>
      <c r="O343" s="37" t="str">
        <f t="shared" si="28"/>
        <v>Cash Payment</v>
      </c>
      <c r="P343">
        <v>581.83000000000004</v>
      </c>
      <c r="Q343" s="37" t="str">
        <f>IF(P343&gt;500,"High","low")</f>
        <v>High</v>
      </c>
      <c r="R343" s="37" t="str">
        <f t="shared" si="29"/>
        <v>Good</v>
      </c>
      <c r="S343" t="s">
        <v>609</v>
      </c>
    </row>
    <row r="344" spans="1:19" x14ac:dyDescent="0.2">
      <c r="A344" t="s">
        <v>955</v>
      </c>
      <c r="B344" t="s">
        <v>90</v>
      </c>
      <c r="C344" t="s">
        <v>602</v>
      </c>
      <c r="D344">
        <v>2875.14</v>
      </c>
      <c r="E344" s="37" t="str">
        <f t="shared" si="25"/>
        <v xml:space="preserve"> </v>
      </c>
      <c r="F344">
        <v>0.27</v>
      </c>
      <c r="G344" s="37" t="str">
        <f t="shared" si="26"/>
        <v>Normal Discount</v>
      </c>
      <c r="H344" s="37" t="str">
        <f t="shared" si="27"/>
        <v>Medium</v>
      </c>
      <c r="I344">
        <v>9</v>
      </c>
      <c r="J344" t="str" cm="1">
        <f t="array" ref="J344">_xlfn.IFS(I344&lt;=3,"small",I344&lt;=6,"Medium",I344&lt;=9,"Large")</f>
        <v>Large</v>
      </c>
      <c r="K344" s="36">
        <v>45593</v>
      </c>
      <c r="L344" s="36">
        <v>45600</v>
      </c>
      <c r="M344" t="s">
        <v>598</v>
      </c>
      <c r="N344" t="s">
        <v>608</v>
      </c>
      <c r="O344" s="37" t="str">
        <f t="shared" si="28"/>
        <v>Cash Payment</v>
      </c>
      <c r="P344">
        <v>314.73</v>
      </c>
      <c r="Q344" s="37" t="str">
        <f>IF(P344&gt;500,"High","low")</f>
        <v>low</v>
      </c>
      <c r="R344" s="37" t="str">
        <f t="shared" si="29"/>
        <v>AVERAGE</v>
      </c>
      <c r="S344" t="s">
        <v>620</v>
      </c>
    </row>
    <row r="345" spans="1:19" x14ac:dyDescent="0.2">
      <c r="A345" t="s">
        <v>956</v>
      </c>
      <c r="B345" t="s">
        <v>83</v>
      </c>
      <c r="C345" t="s">
        <v>597</v>
      </c>
      <c r="D345">
        <v>3450.74</v>
      </c>
      <c r="E345" s="37" t="str">
        <f t="shared" si="25"/>
        <v xml:space="preserve"> </v>
      </c>
      <c r="F345">
        <v>0.28000000000000003</v>
      </c>
      <c r="G345" s="37" t="str">
        <f t="shared" si="26"/>
        <v>Normal Discount</v>
      </c>
      <c r="H345" s="37" t="str">
        <f t="shared" si="27"/>
        <v>Medium</v>
      </c>
      <c r="I345">
        <v>2</v>
      </c>
      <c r="J345" t="str" cm="1">
        <f t="array" ref="J345">_xlfn.IFS(I345&lt;=3,"small",I345&lt;=6,"Medium",I345&lt;=9,"Large")</f>
        <v>small</v>
      </c>
      <c r="K345" s="36">
        <v>45573</v>
      </c>
      <c r="L345" s="36">
        <v>45574</v>
      </c>
      <c r="M345" t="s">
        <v>612</v>
      </c>
      <c r="N345" t="s">
        <v>608</v>
      </c>
      <c r="O345" s="37" t="str">
        <f t="shared" si="28"/>
        <v>Cash Payment</v>
      </c>
      <c r="P345">
        <v>413.97</v>
      </c>
      <c r="Q345" s="37" t="str">
        <f>IF(P345&gt;500,"High","low")</f>
        <v>low</v>
      </c>
      <c r="R345" s="37" t="str">
        <f t="shared" si="29"/>
        <v>AVERAGE</v>
      </c>
      <c r="S345" t="s">
        <v>615</v>
      </c>
    </row>
    <row r="346" spans="1:19" x14ac:dyDescent="0.2">
      <c r="A346" t="s">
        <v>957</v>
      </c>
      <c r="B346" t="s">
        <v>90</v>
      </c>
      <c r="C346" t="s">
        <v>617</v>
      </c>
      <c r="D346">
        <v>402.74</v>
      </c>
      <c r="E346" s="37" t="str">
        <f t="shared" si="25"/>
        <v xml:space="preserve"> </v>
      </c>
      <c r="F346">
        <v>0.46</v>
      </c>
      <c r="G346" s="37" t="str">
        <f t="shared" si="26"/>
        <v>Heavy Discount</v>
      </c>
      <c r="H346" s="37" t="str">
        <f t="shared" si="27"/>
        <v>High</v>
      </c>
      <c r="I346">
        <v>1</v>
      </c>
      <c r="J346" t="str" cm="1">
        <f t="array" ref="J346">_xlfn.IFS(I346&lt;=3,"small",I346&lt;=6,"Medium",I346&lt;=9,"Large")</f>
        <v>small</v>
      </c>
      <c r="K346" s="36">
        <v>45421</v>
      </c>
      <c r="L346" s="36">
        <v>45426</v>
      </c>
      <c r="M346" t="s">
        <v>598</v>
      </c>
      <c r="N346" t="s">
        <v>599</v>
      </c>
      <c r="O346" s="37" t="str">
        <f t="shared" si="28"/>
        <v>Digital Payment</v>
      </c>
      <c r="P346">
        <v>46.96</v>
      </c>
      <c r="Q346" s="37" t="str">
        <f>IF(P346&gt;500,"High","low")</f>
        <v>low</v>
      </c>
      <c r="R346" s="37" t="str">
        <f t="shared" si="29"/>
        <v>AVERAGE</v>
      </c>
      <c r="S346" t="s">
        <v>628</v>
      </c>
    </row>
    <row r="347" spans="1:19" x14ac:dyDescent="0.2">
      <c r="A347" t="s">
        <v>958</v>
      </c>
      <c r="B347" t="s">
        <v>90</v>
      </c>
      <c r="C347" t="s">
        <v>602</v>
      </c>
      <c r="D347">
        <v>2401.7800000000002</v>
      </c>
      <c r="E347" s="37" t="str">
        <f t="shared" si="25"/>
        <v xml:space="preserve"> </v>
      </c>
      <c r="F347">
        <v>0.01</v>
      </c>
      <c r="G347" s="37" t="str">
        <f t="shared" si="26"/>
        <v>Normal Discount</v>
      </c>
      <c r="H347" s="37" t="str">
        <f t="shared" si="27"/>
        <v>Low</v>
      </c>
      <c r="I347">
        <v>8</v>
      </c>
      <c r="J347" t="str" cm="1">
        <f t="array" ref="J347">_xlfn.IFS(I347&lt;=3,"small",I347&lt;=6,"Medium",I347&lt;=9,"Large")</f>
        <v>Large</v>
      </c>
      <c r="K347" s="36">
        <v>45385</v>
      </c>
      <c r="L347" s="36">
        <v>45388</v>
      </c>
      <c r="M347" t="s">
        <v>603</v>
      </c>
      <c r="N347" t="s">
        <v>599</v>
      </c>
      <c r="O347" s="37" t="str">
        <f t="shared" si="28"/>
        <v>Digital Payment</v>
      </c>
      <c r="P347">
        <v>448.63</v>
      </c>
      <c r="Q347" s="37" t="str">
        <f>IF(P347&gt;500,"High","low")</f>
        <v>low</v>
      </c>
      <c r="R347" s="37" t="str">
        <f t="shared" si="29"/>
        <v>AVERAGE</v>
      </c>
      <c r="S347" t="s">
        <v>620</v>
      </c>
    </row>
    <row r="348" spans="1:19" x14ac:dyDescent="0.2">
      <c r="A348" t="s">
        <v>959</v>
      </c>
      <c r="B348" t="s">
        <v>90</v>
      </c>
      <c r="C348" t="s">
        <v>607</v>
      </c>
      <c r="D348">
        <v>1405.18</v>
      </c>
      <c r="E348" s="37" t="str">
        <f t="shared" si="25"/>
        <v xml:space="preserve"> </v>
      </c>
      <c r="F348">
        <v>0.2</v>
      </c>
      <c r="G348" s="37" t="str">
        <f t="shared" si="26"/>
        <v>Normal Discount</v>
      </c>
      <c r="H348" s="37" t="str">
        <f t="shared" si="27"/>
        <v>Medium</v>
      </c>
      <c r="I348">
        <v>6</v>
      </c>
      <c r="J348" t="str" cm="1">
        <f t="array" ref="J348">_xlfn.IFS(I348&lt;=3,"small",I348&lt;=6,"Medium",I348&lt;=9,"Large")</f>
        <v>Medium</v>
      </c>
      <c r="K348" s="36">
        <v>45111</v>
      </c>
      <c r="L348" s="36">
        <v>45115</v>
      </c>
      <c r="M348" t="s">
        <v>603</v>
      </c>
      <c r="N348" t="s">
        <v>608</v>
      </c>
      <c r="O348" s="37" t="str">
        <f t="shared" si="28"/>
        <v>Cash Payment</v>
      </c>
      <c r="P348">
        <v>300.73</v>
      </c>
      <c r="Q348" s="37" t="str">
        <f>IF(P348&gt;500,"High","low")</f>
        <v>low</v>
      </c>
      <c r="R348" s="37" t="str">
        <f t="shared" si="29"/>
        <v>AVERAGE</v>
      </c>
      <c r="S348" t="s">
        <v>615</v>
      </c>
    </row>
    <row r="349" spans="1:19" x14ac:dyDescent="0.2">
      <c r="A349" t="s">
        <v>960</v>
      </c>
      <c r="B349" t="s">
        <v>67</v>
      </c>
      <c r="C349" t="s">
        <v>597</v>
      </c>
      <c r="D349">
        <v>4745.05</v>
      </c>
      <c r="E349" s="37" t="str">
        <f t="shared" si="25"/>
        <v xml:space="preserve"> </v>
      </c>
      <c r="F349">
        <v>0.16</v>
      </c>
      <c r="G349" s="37" t="str">
        <f t="shared" si="26"/>
        <v>Normal Discount</v>
      </c>
      <c r="H349" s="37" t="str">
        <f t="shared" si="27"/>
        <v>Low</v>
      </c>
      <c r="I349">
        <v>4</v>
      </c>
      <c r="J349" t="str" cm="1">
        <f t="array" ref="J349">_xlfn.IFS(I349&lt;=3,"small",I349&lt;=6,"Medium",I349&lt;=9,"Large")</f>
        <v>Medium</v>
      </c>
      <c r="K349" s="36">
        <v>45655</v>
      </c>
      <c r="L349" s="36">
        <v>45661</v>
      </c>
      <c r="M349" t="s">
        <v>603</v>
      </c>
      <c r="N349" t="s">
        <v>599</v>
      </c>
      <c r="O349" s="37" t="str">
        <f t="shared" si="28"/>
        <v>Digital Payment</v>
      </c>
      <c r="P349">
        <v>347.16</v>
      </c>
      <c r="Q349" s="37" t="str">
        <f>IF(P349&gt;500,"High","low")</f>
        <v>low</v>
      </c>
      <c r="R349" s="37" t="str">
        <f t="shared" si="29"/>
        <v>AVERAGE</v>
      </c>
      <c r="S349" t="s">
        <v>628</v>
      </c>
    </row>
    <row r="350" spans="1:19" x14ac:dyDescent="0.2">
      <c r="A350" t="s">
        <v>961</v>
      </c>
      <c r="B350" t="s">
        <v>67</v>
      </c>
      <c r="C350" t="s">
        <v>602</v>
      </c>
      <c r="D350">
        <v>1863.5</v>
      </c>
      <c r="E350" s="37" t="str">
        <f t="shared" si="25"/>
        <v xml:space="preserve"> </v>
      </c>
      <c r="F350">
        <v>0.28999999999999998</v>
      </c>
      <c r="G350" s="37" t="str">
        <f t="shared" si="26"/>
        <v>Normal Discount</v>
      </c>
      <c r="H350" s="37" t="str">
        <f t="shared" si="27"/>
        <v>Medium</v>
      </c>
      <c r="I350">
        <v>9</v>
      </c>
      <c r="J350" t="str" cm="1">
        <f t="array" ref="J350">_xlfn.IFS(I350&lt;=3,"small",I350&lt;=6,"Medium",I350&lt;=9,"Large")</f>
        <v>Large</v>
      </c>
      <c r="K350" s="36">
        <v>45093</v>
      </c>
      <c r="L350" s="36">
        <v>45100</v>
      </c>
      <c r="M350" t="s">
        <v>598</v>
      </c>
      <c r="N350" t="s">
        <v>608</v>
      </c>
      <c r="O350" s="37" t="str">
        <f t="shared" si="28"/>
        <v>Cash Payment</v>
      </c>
      <c r="P350">
        <v>161.51</v>
      </c>
      <c r="Q350" s="37" t="str">
        <f>IF(P350&gt;500,"High","low")</f>
        <v>low</v>
      </c>
      <c r="R350" s="37" t="str">
        <f t="shared" si="29"/>
        <v>AVERAGE</v>
      </c>
      <c r="S350" t="s">
        <v>600</v>
      </c>
    </row>
    <row r="351" spans="1:19" x14ac:dyDescent="0.2">
      <c r="A351" t="s">
        <v>962</v>
      </c>
      <c r="B351" t="s">
        <v>90</v>
      </c>
      <c r="C351" t="s">
        <v>597</v>
      </c>
      <c r="D351">
        <v>590.61</v>
      </c>
      <c r="E351" s="37" t="str">
        <f t="shared" si="25"/>
        <v xml:space="preserve"> </v>
      </c>
      <c r="F351">
        <v>0</v>
      </c>
      <c r="G351" s="37" t="str">
        <f t="shared" si="26"/>
        <v>Normal Discount</v>
      </c>
      <c r="H351" s="37" t="str">
        <f t="shared" si="27"/>
        <v>Low</v>
      </c>
      <c r="I351">
        <v>5</v>
      </c>
      <c r="J351" t="str" cm="1">
        <f t="array" ref="J351">_xlfn.IFS(I351&lt;=3,"small",I351&lt;=6,"Medium",I351&lt;=9,"Large")</f>
        <v>Medium</v>
      </c>
      <c r="K351" s="36">
        <v>45233</v>
      </c>
      <c r="L351" s="36">
        <v>45240</v>
      </c>
      <c r="M351" t="s">
        <v>603</v>
      </c>
      <c r="N351" t="s">
        <v>604</v>
      </c>
      <c r="O351" s="37" t="str">
        <f t="shared" si="28"/>
        <v>Digital Payment</v>
      </c>
      <c r="P351">
        <v>46.99</v>
      </c>
      <c r="Q351" s="37" t="str">
        <f>IF(P351&gt;500,"High","low")</f>
        <v>low</v>
      </c>
      <c r="R351" s="37" t="str">
        <f t="shared" si="29"/>
        <v>AVERAGE</v>
      </c>
      <c r="S351" t="s">
        <v>600</v>
      </c>
    </row>
    <row r="352" spans="1:19" x14ac:dyDescent="0.2">
      <c r="A352" t="s">
        <v>963</v>
      </c>
      <c r="B352" t="s">
        <v>67</v>
      </c>
      <c r="C352" t="s">
        <v>602</v>
      </c>
      <c r="D352">
        <v>303.31</v>
      </c>
      <c r="E352" s="37" t="str">
        <f t="shared" si="25"/>
        <v xml:space="preserve"> </v>
      </c>
      <c r="F352">
        <v>0.36</v>
      </c>
      <c r="G352" s="37" t="str">
        <f t="shared" si="26"/>
        <v>Heavy Discount</v>
      </c>
      <c r="H352" s="37" t="str">
        <f t="shared" si="27"/>
        <v>Medium</v>
      </c>
      <c r="I352">
        <v>1</v>
      </c>
      <c r="J352" t="str" cm="1">
        <f t="array" ref="J352">_xlfn.IFS(I352&lt;=3,"small",I352&lt;=6,"Medium",I352&lt;=9,"Large")</f>
        <v>small</v>
      </c>
      <c r="K352" s="36">
        <v>45203</v>
      </c>
      <c r="L352" s="36">
        <v>45207</v>
      </c>
      <c r="M352" t="s">
        <v>598</v>
      </c>
      <c r="N352" t="s">
        <v>599</v>
      </c>
      <c r="O352" s="37" t="str">
        <f t="shared" si="28"/>
        <v>Digital Payment</v>
      </c>
      <c r="P352">
        <v>64.56</v>
      </c>
      <c r="Q352" s="37" t="str">
        <f>IF(P352&gt;500,"High","low")</f>
        <v>low</v>
      </c>
      <c r="R352" s="37" t="str">
        <f t="shared" si="29"/>
        <v>AVERAGE</v>
      </c>
      <c r="S352" t="s">
        <v>609</v>
      </c>
    </row>
    <row r="353" spans="1:19" x14ac:dyDescent="0.2">
      <c r="A353" t="s">
        <v>964</v>
      </c>
      <c r="B353" t="s">
        <v>75</v>
      </c>
      <c r="C353" t="s">
        <v>607</v>
      </c>
      <c r="D353">
        <v>1400.49</v>
      </c>
      <c r="E353" s="37" t="str">
        <f t="shared" si="25"/>
        <v xml:space="preserve"> </v>
      </c>
      <c r="F353">
        <v>0.24</v>
      </c>
      <c r="G353" s="37" t="str">
        <f t="shared" si="26"/>
        <v>Normal Discount</v>
      </c>
      <c r="H353" s="37" t="str">
        <f t="shared" si="27"/>
        <v>Medium</v>
      </c>
      <c r="I353">
        <v>1</v>
      </c>
      <c r="J353" t="str" cm="1">
        <f t="array" ref="J353">_xlfn.IFS(I353&lt;=3,"small",I353&lt;=6,"Medium",I353&lt;=9,"Large")</f>
        <v>small</v>
      </c>
      <c r="K353" s="36">
        <v>45016</v>
      </c>
      <c r="L353" s="36">
        <v>45017</v>
      </c>
      <c r="M353" t="s">
        <v>603</v>
      </c>
      <c r="N353" t="s">
        <v>599</v>
      </c>
      <c r="O353" s="37" t="str">
        <f t="shared" si="28"/>
        <v>Digital Payment</v>
      </c>
      <c r="P353">
        <v>289</v>
      </c>
      <c r="Q353" s="37" t="str">
        <f>IF(P353&gt;500,"High","low")</f>
        <v>low</v>
      </c>
      <c r="R353" s="37" t="str">
        <f t="shared" si="29"/>
        <v>AVERAGE</v>
      </c>
      <c r="S353" t="s">
        <v>609</v>
      </c>
    </row>
    <row r="354" spans="1:19" x14ac:dyDescent="0.2">
      <c r="A354" t="s">
        <v>965</v>
      </c>
      <c r="B354" t="s">
        <v>75</v>
      </c>
      <c r="C354" t="s">
        <v>597</v>
      </c>
      <c r="D354">
        <v>976.51</v>
      </c>
      <c r="E354" s="37" t="str">
        <f t="shared" si="25"/>
        <v xml:space="preserve"> </v>
      </c>
      <c r="F354">
        <v>0.35</v>
      </c>
      <c r="G354" s="37" t="str">
        <f t="shared" si="26"/>
        <v>Heavy Discount</v>
      </c>
      <c r="H354" s="37" t="str">
        <f t="shared" si="27"/>
        <v>Medium</v>
      </c>
      <c r="I354">
        <v>7</v>
      </c>
      <c r="J354" t="str" cm="1">
        <f t="array" ref="J354">_xlfn.IFS(I354&lt;=3,"small",I354&lt;=6,"Medium",I354&lt;=9,"Large")</f>
        <v>Large</v>
      </c>
      <c r="K354" s="36">
        <v>45145</v>
      </c>
      <c r="L354" s="36">
        <v>45146</v>
      </c>
      <c r="M354" t="s">
        <v>603</v>
      </c>
      <c r="N354" t="s">
        <v>608</v>
      </c>
      <c r="O354" s="37" t="str">
        <f t="shared" si="28"/>
        <v>Cash Payment</v>
      </c>
      <c r="P354">
        <v>251.49</v>
      </c>
      <c r="Q354" s="37" t="str">
        <f>IF(P354&gt;500,"High","low")</f>
        <v>low</v>
      </c>
      <c r="R354" s="37" t="str">
        <f t="shared" si="29"/>
        <v>AVERAGE</v>
      </c>
      <c r="S354" t="s">
        <v>609</v>
      </c>
    </row>
    <row r="355" spans="1:19" x14ac:dyDescent="0.2">
      <c r="A355" t="s">
        <v>966</v>
      </c>
      <c r="B355" t="s">
        <v>67</v>
      </c>
      <c r="C355" t="s">
        <v>602</v>
      </c>
      <c r="D355">
        <v>3284.02</v>
      </c>
      <c r="E355" s="37" t="str">
        <f t="shared" si="25"/>
        <v xml:space="preserve"> </v>
      </c>
      <c r="F355">
        <v>0.22</v>
      </c>
      <c r="G355" s="37" t="str">
        <f t="shared" si="26"/>
        <v>Normal Discount</v>
      </c>
      <c r="H355" s="37" t="str">
        <f t="shared" si="27"/>
        <v>Medium</v>
      </c>
      <c r="I355">
        <v>1</v>
      </c>
      <c r="J355" t="str" cm="1">
        <f t="array" ref="J355">_xlfn.IFS(I355&lt;=3,"small",I355&lt;=6,"Medium",I355&lt;=9,"Large")</f>
        <v>small</v>
      </c>
      <c r="K355" s="36">
        <v>45367</v>
      </c>
      <c r="L355" s="36">
        <v>45371</v>
      </c>
      <c r="M355" t="s">
        <v>598</v>
      </c>
      <c r="N355" t="s">
        <v>608</v>
      </c>
      <c r="O355" s="37" t="str">
        <f t="shared" si="28"/>
        <v>Cash Payment</v>
      </c>
      <c r="P355">
        <v>399.43</v>
      </c>
      <c r="Q355" s="37" t="str">
        <f>IF(P355&gt;500,"High","low")</f>
        <v>low</v>
      </c>
      <c r="R355" s="37" t="str">
        <f t="shared" si="29"/>
        <v>AVERAGE</v>
      </c>
      <c r="S355" t="s">
        <v>605</v>
      </c>
    </row>
    <row r="356" spans="1:19" x14ac:dyDescent="0.2">
      <c r="A356" t="s">
        <v>967</v>
      </c>
      <c r="B356" t="s">
        <v>67</v>
      </c>
      <c r="C356" t="s">
        <v>607</v>
      </c>
      <c r="D356">
        <v>4250.1400000000003</v>
      </c>
      <c r="E356" s="37" t="str">
        <f t="shared" si="25"/>
        <v>Excellent Order</v>
      </c>
      <c r="F356">
        <v>0.24</v>
      </c>
      <c r="G356" s="37" t="str">
        <f t="shared" si="26"/>
        <v>Normal Discount</v>
      </c>
      <c r="H356" s="37" t="str">
        <f t="shared" si="27"/>
        <v>Medium</v>
      </c>
      <c r="I356">
        <v>6</v>
      </c>
      <c r="J356" t="str" cm="1">
        <f t="array" ref="J356">_xlfn.IFS(I356&lt;=3,"small",I356&lt;=6,"Medium",I356&lt;=9,"Large")</f>
        <v>Medium</v>
      </c>
      <c r="K356" s="36">
        <v>45617</v>
      </c>
      <c r="L356" s="36">
        <v>45619</v>
      </c>
      <c r="M356" t="s">
        <v>598</v>
      </c>
      <c r="N356" t="s">
        <v>599</v>
      </c>
      <c r="O356" s="37" t="str">
        <f t="shared" si="28"/>
        <v>Digital Payment</v>
      </c>
      <c r="P356">
        <v>990.91</v>
      </c>
      <c r="Q356" s="37" t="str">
        <f>IF(P356&gt;500,"High","low")</f>
        <v>High</v>
      </c>
      <c r="R356" s="37" t="str">
        <f t="shared" si="29"/>
        <v>Good</v>
      </c>
      <c r="S356" t="s">
        <v>615</v>
      </c>
    </row>
    <row r="357" spans="1:19" x14ac:dyDescent="0.2">
      <c r="A357" t="s">
        <v>968</v>
      </c>
      <c r="B357" t="s">
        <v>90</v>
      </c>
      <c r="C357" t="s">
        <v>617</v>
      </c>
      <c r="D357">
        <v>1631.54</v>
      </c>
      <c r="E357" s="37" t="str">
        <f t="shared" si="25"/>
        <v xml:space="preserve"> </v>
      </c>
      <c r="F357">
        <v>0.45</v>
      </c>
      <c r="G357" s="37" t="str">
        <f t="shared" si="26"/>
        <v>Heavy Discount</v>
      </c>
      <c r="H357" s="37" t="str">
        <f t="shared" si="27"/>
        <v>High</v>
      </c>
      <c r="I357">
        <v>7</v>
      </c>
      <c r="J357" t="str" cm="1">
        <f t="array" ref="J357">_xlfn.IFS(I357&lt;=3,"small",I357&lt;=6,"Medium",I357&lt;=9,"Large")</f>
        <v>Large</v>
      </c>
      <c r="K357" s="36">
        <v>45547</v>
      </c>
      <c r="L357" s="36">
        <v>45551</v>
      </c>
      <c r="M357" t="s">
        <v>598</v>
      </c>
      <c r="N357" t="s">
        <v>604</v>
      </c>
      <c r="O357" s="37" t="str">
        <f t="shared" si="28"/>
        <v>Digital Payment</v>
      </c>
      <c r="P357">
        <v>197.89</v>
      </c>
      <c r="Q357" s="37" t="str">
        <f>IF(P357&gt;500,"High","low")</f>
        <v>low</v>
      </c>
      <c r="R357" s="37" t="str">
        <f t="shared" si="29"/>
        <v>AVERAGE</v>
      </c>
      <c r="S357" t="s">
        <v>600</v>
      </c>
    </row>
    <row r="358" spans="1:19" x14ac:dyDescent="0.2">
      <c r="A358" t="s">
        <v>969</v>
      </c>
      <c r="B358" t="s">
        <v>83</v>
      </c>
      <c r="C358" t="s">
        <v>607</v>
      </c>
      <c r="D358">
        <v>2931.18</v>
      </c>
      <c r="E358" s="37" t="str">
        <f t="shared" si="25"/>
        <v xml:space="preserve"> </v>
      </c>
      <c r="F358">
        <v>0.11</v>
      </c>
      <c r="G358" s="37" t="str">
        <f t="shared" si="26"/>
        <v>Normal Discount</v>
      </c>
      <c r="H358" s="37" t="str">
        <f t="shared" si="27"/>
        <v>Low</v>
      </c>
      <c r="I358">
        <v>5</v>
      </c>
      <c r="J358" t="str" cm="1">
        <f t="array" ref="J358">_xlfn.IFS(I358&lt;=3,"small",I358&lt;=6,"Medium",I358&lt;=9,"Large")</f>
        <v>Medium</v>
      </c>
      <c r="K358" s="36">
        <v>45555</v>
      </c>
      <c r="L358" s="36">
        <v>45558</v>
      </c>
      <c r="M358" t="s">
        <v>598</v>
      </c>
      <c r="N358" t="s">
        <v>599</v>
      </c>
      <c r="O358" s="37" t="str">
        <f t="shared" si="28"/>
        <v>Digital Payment</v>
      </c>
      <c r="P358">
        <v>697.38</v>
      </c>
      <c r="Q358" s="37" t="str">
        <f>IF(P358&gt;500,"High","low")</f>
        <v>High</v>
      </c>
      <c r="R358" s="37" t="str">
        <f t="shared" si="29"/>
        <v>Good</v>
      </c>
      <c r="S358" t="s">
        <v>615</v>
      </c>
    </row>
    <row r="359" spans="1:19" x14ac:dyDescent="0.2">
      <c r="A359" t="s">
        <v>970</v>
      </c>
      <c r="B359" t="s">
        <v>67</v>
      </c>
      <c r="C359" t="s">
        <v>607</v>
      </c>
      <c r="D359">
        <v>3678.5</v>
      </c>
      <c r="E359" s="37" t="str">
        <f t="shared" si="25"/>
        <v xml:space="preserve"> </v>
      </c>
      <c r="F359">
        <v>0.11</v>
      </c>
      <c r="G359" s="37" t="str">
        <f t="shared" si="26"/>
        <v>Normal Discount</v>
      </c>
      <c r="H359" s="37" t="str">
        <f t="shared" si="27"/>
        <v>Low</v>
      </c>
      <c r="I359">
        <v>3</v>
      </c>
      <c r="J359" t="str" cm="1">
        <f t="array" ref="J359">_xlfn.IFS(I359&lt;=3,"small",I359&lt;=6,"Medium",I359&lt;=9,"Large")</f>
        <v>small</v>
      </c>
      <c r="K359" s="36">
        <v>45324</v>
      </c>
      <c r="L359" s="36">
        <v>45329</v>
      </c>
      <c r="M359" t="s">
        <v>603</v>
      </c>
      <c r="N359" t="s">
        <v>599</v>
      </c>
      <c r="O359" s="37" t="str">
        <f t="shared" si="28"/>
        <v>Digital Payment</v>
      </c>
      <c r="P359">
        <v>743.04</v>
      </c>
      <c r="Q359" s="37" t="str">
        <f>IF(P359&gt;500,"High","low")</f>
        <v>High</v>
      </c>
      <c r="R359" s="37" t="str">
        <f t="shared" si="29"/>
        <v>Good</v>
      </c>
      <c r="S359" t="s">
        <v>615</v>
      </c>
    </row>
    <row r="360" spans="1:19" x14ac:dyDescent="0.2">
      <c r="A360" t="s">
        <v>971</v>
      </c>
      <c r="B360" t="s">
        <v>75</v>
      </c>
      <c r="C360" t="s">
        <v>617</v>
      </c>
      <c r="D360">
        <v>2052.59</v>
      </c>
      <c r="E360" s="37" t="str">
        <f t="shared" si="25"/>
        <v xml:space="preserve"> </v>
      </c>
      <c r="F360">
        <v>0.28000000000000003</v>
      </c>
      <c r="G360" s="37" t="str">
        <f t="shared" si="26"/>
        <v>Normal Discount</v>
      </c>
      <c r="H360" s="37" t="str">
        <f t="shared" si="27"/>
        <v>Medium</v>
      </c>
      <c r="I360">
        <v>3</v>
      </c>
      <c r="J360" t="str" cm="1">
        <f t="array" ref="J360">_xlfn.IFS(I360&lt;=3,"small",I360&lt;=6,"Medium",I360&lt;=9,"Large")</f>
        <v>small</v>
      </c>
      <c r="K360" s="36">
        <v>45397</v>
      </c>
      <c r="L360" s="36">
        <v>45399</v>
      </c>
      <c r="M360" t="s">
        <v>603</v>
      </c>
      <c r="N360" t="s">
        <v>599</v>
      </c>
      <c r="O360" s="37" t="str">
        <f t="shared" si="28"/>
        <v>Digital Payment</v>
      </c>
      <c r="P360">
        <v>315.05</v>
      </c>
      <c r="Q360" s="37" t="str">
        <f>IF(P360&gt;500,"High","low")</f>
        <v>low</v>
      </c>
      <c r="R360" s="37" t="str">
        <f t="shared" si="29"/>
        <v>AVERAGE</v>
      </c>
      <c r="S360" t="s">
        <v>600</v>
      </c>
    </row>
    <row r="361" spans="1:19" x14ac:dyDescent="0.2">
      <c r="A361" t="s">
        <v>972</v>
      </c>
      <c r="B361" t="s">
        <v>90</v>
      </c>
      <c r="C361" t="s">
        <v>607</v>
      </c>
      <c r="D361">
        <v>425</v>
      </c>
      <c r="E361" s="37" t="str">
        <f t="shared" si="25"/>
        <v xml:space="preserve"> </v>
      </c>
      <c r="F361">
        <v>0.33</v>
      </c>
      <c r="G361" s="37" t="str">
        <f t="shared" si="26"/>
        <v>Heavy Discount</v>
      </c>
      <c r="H361" s="37" t="str">
        <f t="shared" si="27"/>
        <v>Medium</v>
      </c>
      <c r="I361">
        <v>2</v>
      </c>
      <c r="J361" t="str" cm="1">
        <f t="array" ref="J361">_xlfn.IFS(I361&lt;=3,"small",I361&lt;=6,"Medium",I361&lt;=9,"Large")</f>
        <v>small</v>
      </c>
      <c r="K361" s="36">
        <v>45336</v>
      </c>
      <c r="L361" s="36">
        <v>45343</v>
      </c>
      <c r="M361" t="s">
        <v>612</v>
      </c>
      <c r="N361" t="s">
        <v>604</v>
      </c>
      <c r="O361" s="37" t="str">
        <f t="shared" si="28"/>
        <v>Digital Payment</v>
      </c>
      <c r="P361">
        <v>88.73</v>
      </c>
      <c r="Q361" s="37" t="str">
        <f>IF(P361&gt;500,"High","low")</f>
        <v>low</v>
      </c>
      <c r="R361" s="37" t="str">
        <f t="shared" si="29"/>
        <v>AVERAGE</v>
      </c>
      <c r="S361" t="s">
        <v>600</v>
      </c>
    </row>
    <row r="362" spans="1:19" x14ac:dyDescent="0.2">
      <c r="A362" t="s">
        <v>973</v>
      </c>
      <c r="B362" t="s">
        <v>67</v>
      </c>
      <c r="C362" t="s">
        <v>617</v>
      </c>
      <c r="D362">
        <v>1223.01</v>
      </c>
      <c r="E362" s="37" t="str">
        <f t="shared" si="25"/>
        <v xml:space="preserve"> </v>
      </c>
      <c r="F362">
        <v>0.18</v>
      </c>
      <c r="G362" s="37" t="str">
        <f t="shared" si="26"/>
        <v>Normal Discount</v>
      </c>
      <c r="H362" s="37" t="str">
        <f t="shared" si="27"/>
        <v>Low</v>
      </c>
      <c r="I362">
        <v>1</v>
      </c>
      <c r="J362" t="str" cm="1">
        <f t="array" ref="J362">_xlfn.IFS(I362&lt;=3,"small",I362&lt;=6,"Medium",I362&lt;=9,"Large")</f>
        <v>small</v>
      </c>
      <c r="K362" s="36">
        <v>45544</v>
      </c>
      <c r="L362" s="36">
        <v>45548</v>
      </c>
      <c r="M362" t="s">
        <v>603</v>
      </c>
      <c r="N362" t="s">
        <v>604</v>
      </c>
      <c r="O362" s="37" t="str">
        <f t="shared" si="28"/>
        <v>Digital Payment</v>
      </c>
      <c r="P362">
        <v>319.61</v>
      </c>
      <c r="Q362" s="37" t="str">
        <f>IF(P362&gt;500,"High","low")</f>
        <v>low</v>
      </c>
      <c r="R362" s="37" t="str">
        <f t="shared" si="29"/>
        <v>AVERAGE</v>
      </c>
      <c r="S362" t="s">
        <v>609</v>
      </c>
    </row>
    <row r="363" spans="1:19" x14ac:dyDescent="0.2">
      <c r="A363" t="s">
        <v>974</v>
      </c>
      <c r="B363" t="s">
        <v>75</v>
      </c>
      <c r="C363" t="s">
        <v>617</v>
      </c>
      <c r="D363">
        <v>4427.0200000000004</v>
      </c>
      <c r="E363" s="37" t="str">
        <f t="shared" si="25"/>
        <v xml:space="preserve"> </v>
      </c>
      <c r="F363">
        <v>0.26</v>
      </c>
      <c r="G363" s="37" t="str">
        <f t="shared" si="26"/>
        <v>Normal Discount</v>
      </c>
      <c r="H363" s="37" t="str">
        <f t="shared" si="27"/>
        <v>Medium</v>
      </c>
      <c r="I363">
        <v>8</v>
      </c>
      <c r="J363" t="str" cm="1">
        <f t="array" ref="J363">_xlfn.IFS(I363&lt;=3,"small",I363&lt;=6,"Medium",I363&lt;=9,"Large")</f>
        <v>Large</v>
      </c>
      <c r="K363" s="36">
        <v>45210</v>
      </c>
      <c r="L363" s="36">
        <v>45215</v>
      </c>
      <c r="M363" t="s">
        <v>603</v>
      </c>
      <c r="N363" t="s">
        <v>608</v>
      </c>
      <c r="O363" s="37" t="str">
        <f t="shared" si="28"/>
        <v>Cash Payment</v>
      </c>
      <c r="P363">
        <v>466.97</v>
      </c>
      <c r="Q363" s="37" t="str">
        <f>IF(P363&gt;500,"High","low")</f>
        <v>low</v>
      </c>
      <c r="R363" s="37" t="str">
        <f t="shared" si="29"/>
        <v>AVERAGE</v>
      </c>
      <c r="S363" t="s">
        <v>605</v>
      </c>
    </row>
    <row r="364" spans="1:19" x14ac:dyDescent="0.2">
      <c r="A364" t="s">
        <v>975</v>
      </c>
      <c r="B364" t="s">
        <v>75</v>
      </c>
      <c r="C364" t="s">
        <v>617</v>
      </c>
      <c r="D364">
        <v>4139.95</v>
      </c>
      <c r="E364" s="37" t="str">
        <f t="shared" si="25"/>
        <v>Excellent Order</v>
      </c>
      <c r="F364">
        <v>0.11</v>
      </c>
      <c r="G364" s="37" t="str">
        <f t="shared" si="26"/>
        <v>Normal Discount</v>
      </c>
      <c r="H364" s="37" t="str">
        <f t="shared" si="27"/>
        <v>Low</v>
      </c>
      <c r="I364">
        <v>9</v>
      </c>
      <c r="J364" t="str" cm="1">
        <f t="array" ref="J364">_xlfn.IFS(I364&lt;=3,"small",I364&lt;=6,"Medium",I364&lt;=9,"Large")</f>
        <v>Large</v>
      </c>
      <c r="K364" s="36">
        <v>45157</v>
      </c>
      <c r="L364" s="36">
        <v>45163</v>
      </c>
      <c r="M364" t="s">
        <v>603</v>
      </c>
      <c r="N364" t="s">
        <v>599</v>
      </c>
      <c r="O364" s="37" t="str">
        <f t="shared" si="28"/>
        <v>Digital Payment</v>
      </c>
      <c r="P364">
        <v>843.52</v>
      </c>
      <c r="Q364" s="37" t="str">
        <f>IF(P364&gt;500,"High","low")</f>
        <v>High</v>
      </c>
      <c r="R364" s="37" t="str">
        <f t="shared" si="29"/>
        <v>Good</v>
      </c>
      <c r="S364" t="s">
        <v>620</v>
      </c>
    </row>
    <row r="365" spans="1:19" x14ac:dyDescent="0.2">
      <c r="A365" t="s">
        <v>976</v>
      </c>
      <c r="B365" t="s">
        <v>83</v>
      </c>
      <c r="C365" t="s">
        <v>602</v>
      </c>
      <c r="D365">
        <v>524.01</v>
      </c>
      <c r="E365" s="37" t="str">
        <f t="shared" si="25"/>
        <v xml:space="preserve"> </v>
      </c>
      <c r="F365">
        <v>7.0000000000000007E-2</v>
      </c>
      <c r="G365" s="37" t="str">
        <f t="shared" si="26"/>
        <v>Normal Discount</v>
      </c>
      <c r="H365" s="37" t="str">
        <f t="shared" si="27"/>
        <v>Low</v>
      </c>
      <c r="I365">
        <v>2</v>
      </c>
      <c r="J365" t="str" cm="1">
        <f t="array" ref="J365">_xlfn.IFS(I365&lt;=3,"small",I365&lt;=6,"Medium",I365&lt;=9,"Large")</f>
        <v>small</v>
      </c>
      <c r="K365" s="36">
        <v>45585</v>
      </c>
      <c r="L365" s="36">
        <v>45586</v>
      </c>
      <c r="M365" t="s">
        <v>603</v>
      </c>
      <c r="N365" t="s">
        <v>608</v>
      </c>
      <c r="O365" s="37" t="str">
        <f t="shared" si="28"/>
        <v>Cash Payment</v>
      </c>
      <c r="P365">
        <v>156.33000000000001</v>
      </c>
      <c r="Q365" s="37" t="str">
        <f>IF(P365&gt;500,"High","low")</f>
        <v>low</v>
      </c>
      <c r="R365" s="37" t="str">
        <f t="shared" si="29"/>
        <v>AVERAGE</v>
      </c>
      <c r="S365" t="s">
        <v>628</v>
      </c>
    </row>
    <row r="366" spans="1:19" x14ac:dyDescent="0.2">
      <c r="A366" t="s">
        <v>977</v>
      </c>
      <c r="B366" t="s">
        <v>90</v>
      </c>
      <c r="C366" t="s">
        <v>597</v>
      </c>
      <c r="D366">
        <v>1197.3499999999999</v>
      </c>
      <c r="E366" s="37" t="str">
        <f t="shared" si="25"/>
        <v xml:space="preserve"> </v>
      </c>
      <c r="F366">
        <v>0.12</v>
      </c>
      <c r="G366" s="37" t="str">
        <f t="shared" si="26"/>
        <v>Normal Discount</v>
      </c>
      <c r="H366" s="37" t="str">
        <f t="shared" si="27"/>
        <v>Low</v>
      </c>
      <c r="I366">
        <v>4</v>
      </c>
      <c r="J366" t="str" cm="1">
        <f t="array" ref="J366">_xlfn.IFS(I366&lt;=3,"small",I366&lt;=6,"Medium",I366&lt;=9,"Large")</f>
        <v>Medium</v>
      </c>
      <c r="K366" s="36">
        <v>44947</v>
      </c>
      <c r="L366" s="36">
        <v>44953</v>
      </c>
      <c r="M366" t="s">
        <v>603</v>
      </c>
      <c r="N366" t="s">
        <v>604</v>
      </c>
      <c r="O366" s="37" t="str">
        <f t="shared" si="28"/>
        <v>Digital Payment</v>
      </c>
      <c r="P366">
        <v>298.56</v>
      </c>
      <c r="Q366" s="37" t="str">
        <f>IF(P366&gt;500,"High","low")</f>
        <v>low</v>
      </c>
      <c r="R366" s="37" t="str">
        <f t="shared" si="29"/>
        <v>AVERAGE</v>
      </c>
      <c r="S366" t="s">
        <v>609</v>
      </c>
    </row>
    <row r="367" spans="1:19" x14ac:dyDescent="0.2">
      <c r="A367" t="s">
        <v>978</v>
      </c>
      <c r="B367" t="s">
        <v>90</v>
      </c>
      <c r="C367" t="s">
        <v>602</v>
      </c>
      <c r="D367">
        <v>3868.91</v>
      </c>
      <c r="E367" s="37" t="str">
        <f t="shared" si="25"/>
        <v xml:space="preserve"> </v>
      </c>
      <c r="F367">
        <v>0.46</v>
      </c>
      <c r="G367" s="37" t="str">
        <f t="shared" si="26"/>
        <v>Heavy Discount</v>
      </c>
      <c r="H367" s="37" t="str">
        <f t="shared" si="27"/>
        <v>High</v>
      </c>
      <c r="I367">
        <v>3</v>
      </c>
      <c r="J367" t="str" cm="1">
        <f t="array" ref="J367">_xlfn.IFS(I367&lt;=3,"small",I367&lt;=6,"Medium",I367&lt;=9,"Large")</f>
        <v>small</v>
      </c>
      <c r="K367" s="36">
        <v>45202</v>
      </c>
      <c r="L367" s="36">
        <v>45206</v>
      </c>
      <c r="M367" t="s">
        <v>612</v>
      </c>
      <c r="N367" t="s">
        <v>599</v>
      </c>
      <c r="O367" s="37" t="str">
        <f t="shared" si="28"/>
        <v>Digital Payment</v>
      </c>
      <c r="P367">
        <v>482.97</v>
      </c>
      <c r="Q367" s="37" t="str">
        <f>IF(P367&gt;500,"High","low")</f>
        <v>low</v>
      </c>
      <c r="R367" s="37" t="str">
        <f t="shared" si="29"/>
        <v>AVERAGE</v>
      </c>
      <c r="S367" t="s">
        <v>600</v>
      </c>
    </row>
    <row r="368" spans="1:19" x14ac:dyDescent="0.2">
      <c r="A368" t="s">
        <v>979</v>
      </c>
      <c r="B368" t="s">
        <v>83</v>
      </c>
      <c r="C368" t="s">
        <v>617</v>
      </c>
      <c r="D368">
        <v>2480.9</v>
      </c>
      <c r="E368" s="37" t="str">
        <f t="shared" si="25"/>
        <v xml:space="preserve"> </v>
      </c>
      <c r="F368">
        <v>0.4</v>
      </c>
      <c r="G368" s="37" t="str">
        <f t="shared" si="26"/>
        <v>Heavy Discount</v>
      </c>
      <c r="H368" s="37" t="str">
        <f t="shared" si="27"/>
        <v>Medium</v>
      </c>
      <c r="I368">
        <v>4</v>
      </c>
      <c r="J368" t="str" cm="1">
        <f t="array" ref="J368">_xlfn.IFS(I368&lt;=3,"small",I368&lt;=6,"Medium",I368&lt;=9,"Large")</f>
        <v>Medium</v>
      </c>
      <c r="K368" s="36">
        <v>45405</v>
      </c>
      <c r="L368" s="36">
        <v>45407</v>
      </c>
      <c r="M368" t="s">
        <v>598</v>
      </c>
      <c r="N368" t="s">
        <v>599</v>
      </c>
      <c r="O368" s="37" t="str">
        <f t="shared" si="28"/>
        <v>Digital Payment</v>
      </c>
      <c r="P368">
        <v>610.64</v>
      </c>
      <c r="Q368" s="37" t="str">
        <f>IF(P368&gt;500,"High","low")</f>
        <v>High</v>
      </c>
      <c r="R368" s="37" t="str">
        <f t="shared" si="29"/>
        <v>Good</v>
      </c>
      <c r="S368" t="s">
        <v>609</v>
      </c>
    </row>
    <row r="369" spans="1:19" x14ac:dyDescent="0.2">
      <c r="A369" t="s">
        <v>980</v>
      </c>
      <c r="B369" t="s">
        <v>83</v>
      </c>
      <c r="C369" t="s">
        <v>597</v>
      </c>
      <c r="D369">
        <v>3823.84</v>
      </c>
      <c r="E369" s="37" t="str">
        <f t="shared" si="25"/>
        <v xml:space="preserve"> </v>
      </c>
      <c r="F369">
        <v>7.0000000000000007E-2</v>
      </c>
      <c r="G369" s="37" t="str">
        <f t="shared" si="26"/>
        <v>Normal Discount</v>
      </c>
      <c r="H369" s="37" t="str">
        <f t="shared" si="27"/>
        <v>Low</v>
      </c>
      <c r="I369">
        <v>4</v>
      </c>
      <c r="J369" t="str" cm="1">
        <f t="array" ref="J369">_xlfn.IFS(I369&lt;=3,"small",I369&lt;=6,"Medium",I369&lt;=9,"Large")</f>
        <v>Medium</v>
      </c>
      <c r="K369" s="36">
        <v>45273</v>
      </c>
      <c r="L369" s="36">
        <v>45276</v>
      </c>
      <c r="M369" t="s">
        <v>603</v>
      </c>
      <c r="N369" t="s">
        <v>599</v>
      </c>
      <c r="O369" s="37" t="str">
        <f t="shared" si="28"/>
        <v>Digital Payment</v>
      </c>
      <c r="P369">
        <v>664.27</v>
      </c>
      <c r="Q369" s="37" t="str">
        <f>IF(P369&gt;500,"High","low")</f>
        <v>High</v>
      </c>
      <c r="R369" s="37" t="str">
        <f t="shared" si="29"/>
        <v>Good</v>
      </c>
      <c r="S369" t="s">
        <v>605</v>
      </c>
    </row>
    <row r="370" spans="1:19" x14ac:dyDescent="0.2">
      <c r="A370" t="s">
        <v>981</v>
      </c>
      <c r="B370" t="s">
        <v>90</v>
      </c>
      <c r="C370" t="s">
        <v>597</v>
      </c>
      <c r="D370">
        <v>1134.3499999999999</v>
      </c>
      <c r="E370" s="37" t="str">
        <f t="shared" si="25"/>
        <v xml:space="preserve"> </v>
      </c>
      <c r="F370">
        <v>0.02</v>
      </c>
      <c r="G370" s="37" t="str">
        <f t="shared" si="26"/>
        <v>Normal Discount</v>
      </c>
      <c r="H370" s="37" t="str">
        <f t="shared" si="27"/>
        <v>Low</v>
      </c>
      <c r="I370">
        <v>8</v>
      </c>
      <c r="J370" t="str" cm="1">
        <f t="array" ref="J370">_xlfn.IFS(I370&lt;=3,"small",I370&lt;=6,"Medium",I370&lt;=9,"Large")</f>
        <v>Large</v>
      </c>
      <c r="K370" s="36">
        <v>45098</v>
      </c>
      <c r="L370" s="36">
        <v>45103</v>
      </c>
      <c r="M370" t="s">
        <v>603</v>
      </c>
      <c r="N370" t="s">
        <v>599</v>
      </c>
      <c r="O370" s="37" t="str">
        <f t="shared" si="28"/>
        <v>Digital Payment</v>
      </c>
      <c r="P370">
        <v>278.14999999999998</v>
      </c>
      <c r="Q370" s="37" t="str">
        <f>IF(P370&gt;500,"High","low")</f>
        <v>low</v>
      </c>
      <c r="R370" s="37" t="str">
        <f t="shared" si="29"/>
        <v>AVERAGE</v>
      </c>
      <c r="S370" t="s">
        <v>628</v>
      </c>
    </row>
    <row r="371" spans="1:19" x14ac:dyDescent="0.2">
      <c r="A371" t="s">
        <v>982</v>
      </c>
      <c r="B371" t="s">
        <v>90</v>
      </c>
      <c r="C371" t="s">
        <v>617</v>
      </c>
      <c r="D371">
        <v>4768.22</v>
      </c>
      <c r="E371" s="37" t="str">
        <f t="shared" si="25"/>
        <v xml:space="preserve"> </v>
      </c>
      <c r="F371">
        <v>0.05</v>
      </c>
      <c r="G371" s="37" t="str">
        <f t="shared" si="26"/>
        <v>Normal Discount</v>
      </c>
      <c r="H371" s="37" t="str">
        <f t="shared" si="27"/>
        <v>Low</v>
      </c>
      <c r="I371">
        <v>3</v>
      </c>
      <c r="J371" t="str" cm="1">
        <f t="array" ref="J371">_xlfn.IFS(I371&lt;=3,"small",I371&lt;=6,"Medium",I371&lt;=9,"Large")</f>
        <v>small</v>
      </c>
      <c r="K371" s="36">
        <v>45469</v>
      </c>
      <c r="L371" s="36">
        <v>45475</v>
      </c>
      <c r="M371" t="s">
        <v>598</v>
      </c>
      <c r="N371" t="s">
        <v>608</v>
      </c>
      <c r="O371" s="37" t="str">
        <f t="shared" si="28"/>
        <v>Cash Payment</v>
      </c>
      <c r="P371">
        <v>354.91</v>
      </c>
      <c r="Q371" s="37" t="str">
        <f>IF(P371&gt;500,"High","low")</f>
        <v>low</v>
      </c>
      <c r="R371" s="37" t="str">
        <f t="shared" si="29"/>
        <v>AVERAGE</v>
      </c>
      <c r="S371" t="s">
        <v>605</v>
      </c>
    </row>
    <row r="372" spans="1:19" x14ac:dyDescent="0.2">
      <c r="A372" t="s">
        <v>983</v>
      </c>
      <c r="B372" t="s">
        <v>67</v>
      </c>
      <c r="C372" t="s">
        <v>597</v>
      </c>
      <c r="D372">
        <v>3939.68</v>
      </c>
      <c r="E372" s="37" t="str">
        <f t="shared" si="25"/>
        <v xml:space="preserve"> </v>
      </c>
      <c r="F372">
        <v>0.15</v>
      </c>
      <c r="G372" s="37" t="str">
        <f t="shared" si="26"/>
        <v>Normal Discount</v>
      </c>
      <c r="H372" s="37" t="str">
        <f t="shared" si="27"/>
        <v>Low</v>
      </c>
      <c r="I372">
        <v>3</v>
      </c>
      <c r="J372" t="str" cm="1">
        <f t="array" ref="J372">_xlfn.IFS(I372&lt;=3,"small",I372&lt;=6,"Medium",I372&lt;=9,"Large")</f>
        <v>small</v>
      </c>
      <c r="K372" s="36">
        <v>44935</v>
      </c>
      <c r="L372" s="36">
        <v>44942</v>
      </c>
      <c r="M372" t="s">
        <v>598</v>
      </c>
      <c r="N372" t="s">
        <v>599</v>
      </c>
      <c r="O372" s="37" t="str">
        <f t="shared" si="28"/>
        <v>Digital Payment</v>
      </c>
      <c r="P372">
        <v>1039.42</v>
      </c>
      <c r="Q372" s="37" t="str">
        <f>IF(P372&gt;500,"High","low")</f>
        <v>High</v>
      </c>
      <c r="R372" s="37" t="str">
        <f t="shared" si="29"/>
        <v>Excellent</v>
      </c>
      <c r="S372" t="s">
        <v>609</v>
      </c>
    </row>
    <row r="373" spans="1:19" x14ac:dyDescent="0.2">
      <c r="A373" t="s">
        <v>984</v>
      </c>
      <c r="B373" t="s">
        <v>67</v>
      </c>
      <c r="C373" t="s">
        <v>597</v>
      </c>
      <c r="D373">
        <v>1067.52</v>
      </c>
      <c r="E373" s="37" t="str">
        <f t="shared" si="25"/>
        <v xml:space="preserve"> </v>
      </c>
      <c r="F373">
        <v>0.41</v>
      </c>
      <c r="G373" s="37" t="str">
        <f t="shared" si="26"/>
        <v>Heavy Discount</v>
      </c>
      <c r="H373" s="37" t="str">
        <f t="shared" si="27"/>
        <v>High</v>
      </c>
      <c r="I373">
        <v>6</v>
      </c>
      <c r="J373" t="str" cm="1">
        <f t="array" ref="J373">_xlfn.IFS(I373&lt;=3,"small",I373&lt;=6,"Medium",I373&lt;=9,"Large")</f>
        <v>Medium</v>
      </c>
      <c r="K373" s="36">
        <v>45470</v>
      </c>
      <c r="L373" s="36">
        <v>45475</v>
      </c>
      <c r="M373" t="s">
        <v>612</v>
      </c>
      <c r="N373" t="s">
        <v>604</v>
      </c>
      <c r="O373" s="37" t="str">
        <f t="shared" si="28"/>
        <v>Digital Payment</v>
      </c>
      <c r="P373">
        <v>318.77</v>
      </c>
      <c r="Q373" s="37" t="str">
        <f>IF(P373&gt;500,"High","low")</f>
        <v>low</v>
      </c>
      <c r="R373" s="37" t="str">
        <f t="shared" si="29"/>
        <v>AVERAGE</v>
      </c>
      <c r="S373" t="s">
        <v>615</v>
      </c>
    </row>
    <row r="374" spans="1:19" x14ac:dyDescent="0.2">
      <c r="A374" t="s">
        <v>985</v>
      </c>
      <c r="B374" t="s">
        <v>83</v>
      </c>
      <c r="C374" t="s">
        <v>602</v>
      </c>
      <c r="D374">
        <v>2836.4</v>
      </c>
      <c r="E374" s="37" t="str">
        <f t="shared" si="25"/>
        <v xml:space="preserve"> </v>
      </c>
      <c r="F374">
        <v>0.16</v>
      </c>
      <c r="G374" s="37" t="str">
        <f t="shared" si="26"/>
        <v>Normal Discount</v>
      </c>
      <c r="H374" s="37" t="str">
        <f t="shared" si="27"/>
        <v>Low</v>
      </c>
      <c r="I374">
        <v>3</v>
      </c>
      <c r="J374" t="str" cm="1">
        <f t="array" ref="J374">_xlfn.IFS(I374&lt;=3,"small",I374&lt;=6,"Medium",I374&lt;=9,"Large")</f>
        <v>small</v>
      </c>
      <c r="K374" s="36">
        <v>45128</v>
      </c>
      <c r="L374" s="36">
        <v>45132</v>
      </c>
      <c r="M374" t="s">
        <v>612</v>
      </c>
      <c r="N374" t="s">
        <v>608</v>
      </c>
      <c r="O374" s="37" t="str">
        <f t="shared" si="28"/>
        <v>Cash Payment</v>
      </c>
      <c r="P374">
        <v>455.08</v>
      </c>
      <c r="Q374" s="37" t="str">
        <f>IF(P374&gt;500,"High","low")</f>
        <v>low</v>
      </c>
      <c r="R374" s="37" t="str">
        <f t="shared" si="29"/>
        <v>AVERAGE</v>
      </c>
      <c r="S374" t="s">
        <v>620</v>
      </c>
    </row>
    <row r="375" spans="1:19" x14ac:dyDescent="0.2">
      <c r="A375" t="s">
        <v>986</v>
      </c>
      <c r="B375" t="s">
        <v>67</v>
      </c>
      <c r="C375" t="s">
        <v>597</v>
      </c>
      <c r="D375">
        <v>654.17999999999995</v>
      </c>
      <c r="E375" s="37" t="str">
        <f t="shared" si="25"/>
        <v xml:space="preserve"> </v>
      </c>
      <c r="F375">
        <v>0.09</v>
      </c>
      <c r="G375" s="37" t="str">
        <f t="shared" si="26"/>
        <v>Normal Discount</v>
      </c>
      <c r="H375" s="37" t="str">
        <f t="shared" si="27"/>
        <v>Low</v>
      </c>
      <c r="I375">
        <v>5</v>
      </c>
      <c r="J375" t="str" cm="1">
        <f t="array" ref="J375">_xlfn.IFS(I375&lt;=3,"small",I375&lt;=6,"Medium",I375&lt;=9,"Large")</f>
        <v>Medium</v>
      </c>
      <c r="K375" s="36">
        <v>45106</v>
      </c>
      <c r="L375" s="36">
        <v>45109</v>
      </c>
      <c r="M375" t="s">
        <v>612</v>
      </c>
      <c r="N375" t="s">
        <v>599</v>
      </c>
      <c r="O375" s="37" t="str">
        <f t="shared" si="28"/>
        <v>Digital Payment</v>
      </c>
      <c r="P375">
        <v>116.53</v>
      </c>
      <c r="Q375" s="37" t="str">
        <f>IF(P375&gt;500,"High","low")</f>
        <v>low</v>
      </c>
      <c r="R375" s="37" t="str">
        <f t="shared" si="29"/>
        <v>AVERAGE</v>
      </c>
      <c r="S375" t="s">
        <v>600</v>
      </c>
    </row>
    <row r="376" spans="1:19" x14ac:dyDescent="0.2">
      <c r="A376" t="s">
        <v>987</v>
      </c>
      <c r="B376" t="s">
        <v>75</v>
      </c>
      <c r="C376" t="s">
        <v>617</v>
      </c>
      <c r="D376">
        <v>1871.03</v>
      </c>
      <c r="E376" s="37" t="str">
        <f t="shared" si="25"/>
        <v xml:space="preserve"> </v>
      </c>
      <c r="F376">
        <v>0.2</v>
      </c>
      <c r="G376" s="37" t="str">
        <f t="shared" si="26"/>
        <v>Normal Discount</v>
      </c>
      <c r="H376" s="37" t="str">
        <f t="shared" si="27"/>
        <v>Medium</v>
      </c>
      <c r="I376">
        <v>4</v>
      </c>
      <c r="J376" t="str" cm="1">
        <f t="array" ref="J376">_xlfn.IFS(I376&lt;=3,"small",I376&lt;=6,"Medium",I376&lt;=9,"Large")</f>
        <v>Medium</v>
      </c>
      <c r="K376" s="36">
        <v>45635</v>
      </c>
      <c r="L376" s="36">
        <v>45638</v>
      </c>
      <c r="M376" t="s">
        <v>598</v>
      </c>
      <c r="N376" t="s">
        <v>608</v>
      </c>
      <c r="O376" s="37" t="str">
        <f t="shared" si="28"/>
        <v>Cash Payment</v>
      </c>
      <c r="P376">
        <v>181.06</v>
      </c>
      <c r="Q376" s="37" t="str">
        <f>IF(P376&gt;500,"High","low")</f>
        <v>low</v>
      </c>
      <c r="R376" s="37" t="str">
        <f t="shared" si="29"/>
        <v>AVERAGE</v>
      </c>
      <c r="S376" t="s">
        <v>605</v>
      </c>
    </row>
    <row r="377" spans="1:19" x14ac:dyDescent="0.2">
      <c r="A377" t="s">
        <v>988</v>
      </c>
      <c r="B377" t="s">
        <v>67</v>
      </c>
      <c r="C377" t="s">
        <v>614</v>
      </c>
      <c r="D377">
        <v>3332.14</v>
      </c>
      <c r="E377" s="37" t="str">
        <f t="shared" si="25"/>
        <v xml:space="preserve"> </v>
      </c>
      <c r="F377">
        <v>0.06</v>
      </c>
      <c r="G377" s="37" t="str">
        <f t="shared" si="26"/>
        <v>Normal Discount</v>
      </c>
      <c r="H377" s="37" t="str">
        <f t="shared" si="27"/>
        <v>Low</v>
      </c>
      <c r="I377">
        <v>4</v>
      </c>
      <c r="J377" t="str" cm="1">
        <f t="array" ref="J377">_xlfn.IFS(I377&lt;=3,"small",I377&lt;=6,"Medium",I377&lt;=9,"Large")</f>
        <v>Medium</v>
      </c>
      <c r="K377" s="36">
        <v>45643</v>
      </c>
      <c r="L377" s="36">
        <v>45644</v>
      </c>
      <c r="M377" t="s">
        <v>603</v>
      </c>
      <c r="N377" t="s">
        <v>608</v>
      </c>
      <c r="O377" s="37" t="str">
        <f t="shared" si="28"/>
        <v>Cash Payment</v>
      </c>
      <c r="P377">
        <v>736.04</v>
      </c>
      <c r="Q377" s="37" t="str">
        <f>IF(P377&gt;500,"High","low")</f>
        <v>High</v>
      </c>
      <c r="R377" s="37" t="str">
        <f t="shared" si="29"/>
        <v>Good</v>
      </c>
      <c r="S377" t="s">
        <v>605</v>
      </c>
    </row>
    <row r="378" spans="1:19" x14ac:dyDescent="0.2">
      <c r="A378" t="s">
        <v>989</v>
      </c>
      <c r="B378" t="s">
        <v>67</v>
      </c>
      <c r="C378" t="s">
        <v>614</v>
      </c>
      <c r="D378">
        <v>1717.63</v>
      </c>
      <c r="E378" s="37" t="str">
        <f t="shared" si="25"/>
        <v xml:space="preserve"> </v>
      </c>
      <c r="F378">
        <v>0.24</v>
      </c>
      <c r="G378" s="37" t="str">
        <f t="shared" si="26"/>
        <v>Normal Discount</v>
      </c>
      <c r="H378" s="37" t="str">
        <f t="shared" si="27"/>
        <v>Medium</v>
      </c>
      <c r="I378">
        <v>2</v>
      </c>
      <c r="J378" t="str" cm="1">
        <f t="array" ref="J378">_xlfn.IFS(I378&lt;=3,"small",I378&lt;=6,"Medium",I378&lt;=9,"Large")</f>
        <v>small</v>
      </c>
      <c r="K378" s="36">
        <v>45465</v>
      </c>
      <c r="L378" s="36">
        <v>45469</v>
      </c>
      <c r="M378" t="s">
        <v>598</v>
      </c>
      <c r="N378" t="s">
        <v>599</v>
      </c>
      <c r="O378" s="37" t="str">
        <f t="shared" si="28"/>
        <v>Digital Payment</v>
      </c>
      <c r="P378">
        <v>119.18</v>
      </c>
      <c r="Q378" s="37" t="str">
        <f>IF(P378&gt;500,"High","low")</f>
        <v>low</v>
      </c>
      <c r="R378" s="37" t="str">
        <f t="shared" si="29"/>
        <v>AVERAGE</v>
      </c>
      <c r="S378" t="s">
        <v>600</v>
      </c>
    </row>
    <row r="379" spans="1:19" x14ac:dyDescent="0.2">
      <c r="A379" t="s">
        <v>990</v>
      </c>
      <c r="B379" t="s">
        <v>75</v>
      </c>
      <c r="C379" t="s">
        <v>614</v>
      </c>
      <c r="D379">
        <v>3318.12</v>
      </c>
      <c r="E379" s="37" t="str">
        <f t="shared" si="25"/>
        <v xml:space="preserve"> </v>
      </c>
      <c r="F379">
        <v>0.34</v>
      </c>
      <c r="G379" s="37" t="str">
        <f t="shared" si="26"/>
        <v>Heavy Discount</v>
      </c>
      <c r="H379" s="37" t="str">
        <f t="shared" si="27"/>
        <v>Medium</v>
      </c>
      <c r="I379">
        <v>9</v>
      </c>
      <c r="J379" t="str" cm="1">
        <f t="array" ref="J379">_xlfn.IFS(I379&lt;=3,"small",I379&lt;=6,"Medium",I379&lt;=9,"Large")</f>
        <v>Large</v>
      </c>
      <c r="K379" s="36">
        <v>45440</v>
      </c>
      <c r="L379" s="36">
        <v>45446</v>
      </c>
      <c r="M379" t="s">
        <v>603</v>
      </c>
      <c r="N379" t="s">
        <v>604</v>
      </c>
      <c r="O379" s="37" t="str">
        <f t="shared" si="28"/>
        <v>Digital Payment</v>
      </c>
      <c r="P379">
        <v>635.94000000000005</v>
      </c>
      <c r="Q379" s="37" t="str">
        <f>IF(P379&gt;500,"High","low")</f>
        <v>High</v>
      </c>
      <c r="R379" s="37" t="str">
        <f t="shared" si="29"/>
        <v>Good</v>
      </c>
      <c r="S379" t="s">
        <v>609</v>
      </c>
    </row>
    <row r="380" spans="1:19" x14ac:dyDescent="0.2">
      <c r="A380" t="s">
        <v>991</v>
      </c>
      <c r="B380" t="s">
        <v>83</v>
      </c>
      <c r="C380" t="s">
        <v>617</v>
      </c>
      <c r="D380">
        <v>1299.42</v>
      </c>
      <c r="E380" s="37" t="str">
        <f t="shared" si="25"/>
        <v xml:space="preserve"> </v>
      </c>
      <c r="F380">
        <v>0.18</v>
      </c>
      <c r="G380" s="37" t="str">
        <f t="shared" si="26"/>
        <v>Normal Discount</v>
      </c>
      <c r="H380" s="37" t="str">
        <f t="shared" si="27"/>
        <v>Low</v>
      </c>
      <c r="I380">
        <v>5</v>
      </c>
      <c r="J380" t="str" cm="1">
        <f t="array" ref="J380">_xlfn.IFS(I380&lt;=3,"small",I380&lt;=6,"Medium",I380&lt;=9,"Large")</f>
        <v>Medium</v>
      </c>
      <c r="K380" s="36">
        <v>45309</v>
      </c>
      <c r="L380" s="36">
        <v>45316</v>
      </c>
      <c r="M380" t="s">
        <v>598</v>
      </c>
      <c r="N380" t="s">
        <v>599</v>
      </c>
      <c r="O380" s="37" t="str">
        <f t="shared" si="28"/>
        <v>Digital Payment</v>
      </c>
      <c r="P380">
        <v>200.91</v>
      </c>
      <c r="Q380" s="37" t="str">
        <f>IF(P380&gt;500,"High","low")</f>
        <v>low</v>
      </c>
      <c r="R380" s="37" t="str">
        <f t="shared" si="29"/>
        <v>AVERAGE</v>
      </c>
      <c r="S380" t="s">
        <v>609</v>
      </c>
    </row>
    <row r="381" spans="1:19" x14ac:dyDescent="0.2">
      <c r="A381" t="s">
        <v>992</v>
      </c>
      <c r="B381" t="s">
        <v>75</v>
      </c>
      <c r="C381" t="s">
        <v>614</v>
      </c>
      <c r="D381">
        <v>3633.91</v>
      </c>
      <c r="E381" s="37" t="str">
        <f t="shared" si="25"/>
        <v xml:space="preserve"> </v>
      </c>
      <c r="F381">
        <v>0.09</v>
      </c>
      <c r="G381" s="37" t="str">
        <f t="shared" si="26"/>
        <v>Normal Discount</v>
      </c>
      <c r="H381" s="37" t="str">
        <f t="shared" si="27"/>
        <v>Low</v>
      </c>
      <c r="I381">
        <v>5</v>
      </c>
      <c r="J381" t="str" cm="1">
        <f t="array" ref="J381">_xlfn.IFS(I381&lt;=3,"small",I381&lt;=6,"Medium",I381&lt;=9,"Large")</f>
        <v>Medium</v>
      </c>
      <c r="K381" s="36">
        <v>45320</v>
      </c>
      <c r="L381" s="36">
        <v>45325</v>
      </c>
      <c r="M381" t="s">
        <v>598</v>
      </c>
      <c r="N381" t="s">
        <v>599</v>
      </c>
      <c r="O381" s="37" t="str">
        <f t="shared" si="28"/>
        <v>Digital Payment</v>
      </c>
      <c r="P381">
        <v>363.37</v>
      </c>
      <c r="Q381" s="37" t="str">
        <f>IF(P381&gt;500,"High","low")</f>
        <v>low</v>
      </c>
      <c r="R381" s="37" t="str">
        <f t="shared" si="29"/>
        <v>AVERAGE</v>
      </c>
      <c r="S381" t="s">
        <v>600</v>
      </c>
    </row>
    <row r="382" spans="1:19" x14ac:dyDescent="0.2">
      <c r="A382" t="s">
        <v>993</v>
      </c>
      <c r="B382" t="s">
        <v>67</v>
      </c>
      <c r="C382" t="s">
        <v>602</v>
      </c>
      <c r="D382">
        <v>1861.99</v>
      </c>
      <c r="E382" s="37" t="str">
        <f t="shared" si="25"/>
        <v xml:space="preserve"> </v>
      </c>
      <c r="F382">
        <v>0.23</v>
      </c>
      <c r="G382" s="37" t="str">
        <f t="shared" si="26"/>
        <v>Normal Discount</v>
      </c>
      <c r="H382" s="37" t="str">
        <f t="shared" si="27"/>
        <v>Medium</v>
      </c>
      <c r="I382">
        <v>7</v>
      </c>
      <c r="J382" t="str" cm="1">
        <f t="array" ref="J382">_xlfn.IFS(I382&lt;=3,"small",I382&lt;=6,"Medium",I382&lt;=9,"Large")</f>
        <v>Large</v>
      </c>
      <c r="K382" s="36">
        <v>45507</v>
      </c>
      <c r="L382" s="36">
        <v>45508</v>
      </c>
      <c r="M382" t="s">
        <v>598</v>
      </c>
      <c r="N382" t="s">
        <v>604</v>
      </c>
      <c r="O382" s="37" t="str">
        <f t="shared" si="28"/>
        <v>Digital Payment</v>
      </c>
      <c r="P382">
        <v>477.12</v>
      </c>
      <c r="Q382" s="37" t="str">
        <f>IF(P382&gt;500,"High","low")</f>
        <v>low</v>
      </c>
      <c r="R382" s="37" t="str">
        <f t="shared" si="29"/>
        <v>AVERAGE</v>
      </c>
      <c r="S382" t="s">
        <v>600</v>
      </c>
    </row>
    <row r="383" spans="1:19" x14ac:dyDescent="0.2">
      <c r="A383" t="s">
        <v>994</v>
      </c>
      <c r="B383" t="s">
        <v>83</v>
      </c>
      <c r="C383" t="s">
        <v>617</v>
      </c>
      <c r="D383">
        <v>3973.36</v>
      </c>
      <c r="E383" s="37" t="str">
        <f t="shared" si="25"/>
        <v xml:space="preserve"> </v>
      </c>
      <c r="F383">
        <v>0.38</v>
      </c>
      <c r="G383" s="37" t="str">
        <f t="shared" si="26"/>
        <v>Heavy Discount</v>
      </c>
      <c r="H383" s="37" t="str">
        <f t="shared" si="27"/>
        <v>Medium</v>
      </c>
      <c r="I383">
        <v>3</v>
      </c>
      <c r="J383" t="str" cm="1">
        <f t="array" ref="J383">_xlfn.IFS(I383&lt;=3,"small",I383&lt;=6,"Medium",I383&lt;=9,"Large")</f>
        <v>small</v>
      </c>
      <c r="K383" s="36">
        <v>45632</v>
      </c>
      <c r="L383" s="36">
        <v>45637</v>
      </c>
      <c r="M383" t="s">
        <v>598</v>
      </c>
      <c r="N383" t="s">
        <v>599</v>
      </c>
      <c r="O383" s="37" t="str">
        <f t="shared" si="28"/>
        <v>Digital Payment</v>
      </c>
      <c r="P383">
        <v>944.78</v>
      </c>
      <c r="Q383" s="37" t="str">
        <f>IF(P383&gt;500,"High","low")</f>
        <v>High</v>
      </c>
      <c r="R383" s="37" t="str">
        <f t="shared" si="29"/>
        <v>Good</v>
      </c>
      <c r="S383" t="s">
        <v>600</v>
      </c>
    </row>
    <row r="384" spans="1:19" x14ac:dyDescent="0.2">
      <c r="A384" t="s">
        <v>995</v>
      </c>
      <c r="B384" t="s">
        <v>67</v>
      </c>
      <c r="C384" t="s">
        <v>617</v>
      </c>
      <c r="D384">
        <v>769.78</v>
      </c>
      <c r="E384" s="37" t="str">
        <f t="shared" si="25"/>
        <v xml:space="preserve"> </v>
      </c>
      <c r="F384">
        <v>0.04</v>
      </c>
      <c r="G384" s="37" t="str">
        <f t="shared" si="26"/>
        <v>Normal Discount</v>
      </c>
      <c r="H384" s="37" t="str">
        <f t="shared" si="27"/>
        <v>Low</v>
      </c>
      <c r="I384">
        <v>6</v>
      </c>
      <c r="J384" t="str" cm="1">
        <f t="array" ref="J384">_xlfn.IFS(I384&lt;=3,"small",I384&lt;=6,"Medium",I384&lt;=9,"Large")</f>
        <v>Medium</v>
      </c>
      <c r="K384" s="36">
        <v>45172</v>
      </c>
      <c r="L384" s="36">
        <v>45178</v>
      </c>
      <c r="M384" t="s">
        <v>603</v>
      </c>
      <c r="N384" t="s">
        <v>604</v>
      </c>
      <c r="O384" s="37" t="str">
        <f t="shared" si="28"/>
        <v>Digital Payment</v>
      </c>
      <c r="P384">
        <v>96.16</v>
      </c>
      <c r="Q384" s="37" t="str">
        <f>IF(P384&gt;500,"High","low")</f>
        <v>low</v>
      </c>
      <c r="R384" s="37" t="str">
        <f t="shared" si="29"/>
        <v>AVERAGE</v>
      </c>
      <c r="S384" t="s">
        <v>620</v>
      </c>
    </row>
    <row r="385" spans="1:19" x14ac:dyDescent="0.2">
      <c r="A385" t="s">
        <v>996</v>
      </c>
      <c r="B385" t="s">
        <v>75</v>
      </c>
      <c r="C385" t="s">
        <v>617</v>
      </c>
      <c r="D385">
        <v>1873.69</v>
      </c>
      <c r="E385" s="37" t="str">
        <f t="shared" si="25"/>
        <v xml:space="preserve"> </v>
      </c>
      <c r="F385">
        <v>0.04</v>
      </c>
      <c r="G385" s="37" t="str">
        <f t="shared" si="26"/>
        <v>Normal Discount</v>
      </c>
      <c r="H385" s="37" t="str">
        <f t="shared" si="27"/>
        <v>Low</v>
      </c>
      <c r="I385">
        <v>1</v>
      </c>
      <c r="J385" t="str" cm="1">
        <f t="array" ref="J385">_xlfn.IFS(I385&lt;=3,"small",I385&lt;=6,"Medium",I385&lt;=9,"Large")</f>
        <v>small</v>
      </c>
      <c r="K385" s="36">
        <v>45351</v>
      </c>
      <c r="L385" s="36">
        <v>45352</v>
      </c>
      <c r="M385" t="s">
        <v>603</v>
      </c>
      <c r="N385" t="s">
        <v>608</v>
      </c>
      <c r="O385" s="37" t="str">
        <f t="shared" si="28"/>
        <v>Cash Payment</v>
      </c>
      <c r="P385">
        <v>274.62</v>
      </c>
      <c r="Q385" s="37" t="str">
        <f>IF(P385&gt;500,"High","low")</f>
        <v>low</v>
      </c>
      <c r="R385" s="37" t="str">
        <f t="shared" si="29"/>
        <v>AVERAGE</v>
      </c>
      <c r="S385" t="s">
        <v>620</v>
      </c>
    </row>
    <row r="386" spans="1:19" x14ac:dyDescent="0.2">
      <c r="A386" t="s">
        <v>997</v>
      </c>
      <c r="B386" t="s">
        <v>75</v>
      </c>
      <c r="C386" t="s">
        <v>597</v>
      </c>
      <c r="D386">
        <v>2373.27</v>
      </c>
      <c r="E386" s="37" t="str">
        <f t="shared" si="25"/>
        <v xml:space="preserve"> </v>
      </c>
      <c r="F386">
        <v>0.16</v>
      </c>
      <c r="G386" s="37" t="str">
        <f t="shared" si="26"/>
        <v>Normal Discount</v>
      </c>
      <c r="H386" s="37" t="str">
        <f t="shared" si="27"/>
        <v>Low</v>
      </c>
      <c r="I386">
        <v>5</v>
      </c>
      <c r="J386" t="str" cm="1">
        <f t="array" ref="J386">_xlfn.IFS(I386&lt;=3,"small",I386&lt;=6,"Medium",I386&lt;=9,"Large")</f>
        <v>Medium</v>
      </c>
      <c r="K386" s="36">
        <v>45230</v>
      </c>
      <c r="L386" s="36">
        <v>45236</v>
      </c>
      <c r="M386" t="s">
        <v>603</v>
      </c>
      <c r="N386" t="s">
        <v>604</v>
      </c>
      <c r="O386" s="37" t="str">
        <f t="shared" si="28"/>
        <v>Digital Payment</v>
      </c>
      <c r="P386">
        <v>268.52999999999997</v>
      </c>
      <c r="Q386" s="37" t="str">
        <f>IF(P386&gt;500,"High","low")</f>
        <v>low</v>
      </c>
      <c r="R386" s="37" t="str">
        <f t="shared" si="29"/>
        <v>AVERAGE</v>
      </c>
      <c r="S386" t="s">
        <v>628</v>
      </c>
    </row>
    <row r="387" spans="1:19" x14ac:dyDescent="0.2">
      <c r="A387" t="s">
        <v>998</v>
      </c>
      <c r="B387" t="s">
        <v>67</v>
      </c>
      <c r="C387" t="s">
        <v>597</v>
      </c>
      <c r="D387">
        <v>2176.84</v>
      </c>
      <c r="E387" s="37" t="str">
        <f t="shared" ref="E387:E450" si="30">IF(AND(D387&gt;4000,P387&gt;800),"Excellent Order"," ")</f>
        <v xml:space="preserve"> </v>
      </c>
      <c r="F387">
        <v>0.21</v>
      </c>
      <c r="G387" s="37" t="str">
        <f t="shared" ref="G387:G450" si="31">IF(F387&gt;30%,"Heavy Discount","Normal Discount")</f>
        <v>Normal Discount</v>
      </c>
      <c r="H387" s="37" t="str">
        <f t="shared" ref="H387:H450" si="32">IF(F387&gt;0.4,"High",IF(F387&gt;=0.2,"Medium","Low"))</f>
        <v>Medium</v>
      </c>
      <c r="I387">
        <v>5</v>
      </c>
      <c r="J387" t="str" cm="1">
        <f t="array" ref="J387">_xlfn.IFS(I387&lt;=3,"small",I387&lt;=6,"Medium",I387&lt;=9,"Large")</f>
        <v>Medium</v>
      </c>
      <c r="K387" s="36">
        <v>45042</v>
      </c>
      <c r="L387" s="36">
        <v>45046</v>
      </c>
      <c r="M387" t="s">
        <v>603</v>
      </c>
      <c r="N387" t="s">
        <v>608</v>
      </c>
      <c r="O387" s="37" t="str">
        <f t="shared" ref="O387:O450" si="33">IF(OR(N387="Card",N387="UPI"),"Digital Payment","Cash Payment")</f>
        <v>Cash Payment</v>
      </c>
      <c r="P387">
        <v>223.02</v>
      </c>
      <c r="Q387" s="37" t="str">
        <f>IF(P387&gt;500,"High","low")</f>
        <v>low</v>
      </c>
      <c r="R387" s="37" t="str">
        <f t="shared" ref="R387:R450" si="34">IF(P387&gt;1000,"Excellent",IF(P387&gt;=500,"Good","AVERAGE"))</f>
        <v>AVERAGE</v>
      </c>
      <c r="S387" t="s">
        <v>628</v>
      </c>
    </row>
    <row r="388" spans="1:19" x14ac:dyDescent="0.2">
      <c r="A388" t="s">
        <v>999</v>
      </c>
      <c r="B388" t="s">
        <v>90</v>
      </c>
      <c r="C388" t="s">
        <v>597</v>
      </c>
      <c r="D388">
        <v>2222.16</v>
      </c>
      <c r="E388" s="37" t="str">
        <f t="shared" si="30"/>
        <v xml:space="preserve"> </v>
      </c>
      <c r="F388">
        <v>0.11</v>
      </c>
      <c r="G388" s="37" t="str">
        <f t="shared" si="31"/>
        <v>Normal Discount</v>
      </c>
      <c r="H388" s="37" t="str">
        <f t="shared" si="32"/>
        <v>Low</v>
      </c>
      <c r="I388">
        <v>9</v>
      </c>
      <c r="J388" t="str" cm="1">
        <f t="array" ref="J388">_xlfn.IFS(I388&lt;=3,"small",I388&lt;=6,"Medium",I388&lt;=9,"Large")</f>
        <v>Large</v>
      </c>
      <c r="K388" s="36">
        <v>45043</v>
      </c>
      <c r="L388" s="36">
        <v>45049</v>
      </c>
      <c r="M388" t="s">
        <v>612</v>
      </c>
      <c r="N388" t="s">
        <v>604</v>
      </c>
      <c r="O388" s="37" t="str">
        <f t="shared" si="33"/>
        <v>Digital Payment</v>
      </c>
      <c r="P388">
        <v>234.09</v>
      </c>
      <c r="Q388" s="37" t="str">
        <f>IF(P388&gt;500,"High","low")</f>
        <v>low</v>
      </c>
      <c r="R388" s="37" t="str">
        <f t="shared" si="34"/>
        <v>AVERAGE</v>
      </c>
      <c r="S388" t="s">
        <v>609</v>
      </c>
    </row>
    <row r="389" spans="1:19" x14ac:dyDescent="0.2">
      <c r="A389" t="s">
        <v>1000</v>
      </c>
      <c r="B389" t="s">
        <v>90</v>
      </c>
      <c r="C389" t="s">
        <v>607</v>
      </c>
      <c r="D389">
        <v>2279.54</v>
      </c>
      <c r="E389" s="37" t="str">
        <f t="shared" si="30"/>
        <v xml:space="preserve"> </v>
      </c>
      <c r="F389">
        <v>0.01</v>
      </c>
      <c r="G389" s="37" t="str">
        <f t="shared" si="31"/>
        <v>Normal Discount</v>
      </c>
      <c r="H389" s="37" t="str">
        <f t="shared" si="32"/>
        <v>Low</v>
      </c>
      <c r="I389">
        <v>5</v>
      </c>
      <c r="J389" t="str" cm="1">
        <f t="array" ref="J389">_xlfn.IFS(I389&lt;=3,"small",I389&lt;=6,"Medium",I389&lt;=9,"Large")</f>
        <v>Medium</v>
      </c>
      <c r="K389" s="36">
        <v>45358</v>
      </c>
      <c r="L389" s="36">
        <v>45359</v>
      </c>
      <c r="M389" t="s">
        <v>612</v>
      </c>
      <c r="N389" t="s">
        <v>608</v>
      </c>
      <c r="O389" s="37" t="str">
        <f t="shared" si="33"/>
        <v>Cash Payment</v>
      </c>
      <c r="P389">
        <v>190.23</v>
      </c>
      <c r="Q389" s="37" t="str">
        <f>IF(P389&gt;500,"High","low")</f>
        <v>low</v>
      </c>
      <c r="R389" s="37" t="str">
        <f t="shared" si="34"/>
        <v>AVERAGE</v>
      </c>
      <c r="S389" t="s">
        <v>615</v>
      </c>
    </row>
    <row r="390" spans="1:19" x14ac:dyDescent="0.2">
      <c r="A390" t="s">
        <v>1001</v>
      </c>
      <c r="B390" t="s">
        <v>75</v>
      </c>
      <c r="C390" t="s">
        <v>602</v>
      </c>
      <c r="D390">
        <v>4945.1400000000003</v>
      </c>
      <c r="E390" s="37" t="str">
        <f t="shared" si="30"/>
        <v xml:space="preserve"> </v>
      </c>
      <c r="F390">
        <v>0.11</v>
      </c>
      <c r="G390" s="37" t="str">
        <f t="shared" si="31"/>
        <v>Normal Discount</v>
      </c>
      <c r="H390" s="37" t="str">
        <f t="shared" si="32"/>
        <v>Low</v>
      </c>
      <c r="I390">
        <v>8</v>
      </c>
      <c r="J390" t="str" cm="1">
        <f t="array" ref="J390">_xlfn.IFS(I390&lt;=3,"small",I390&lt;=6,"Medium",I390&lt;=9,"Large")</f>
        <v>Large</v>
      </c>
      <c r="K390" s="36">
        <v>45051</v>
      </c>
      <c r="L390" s="36">
        <v>45052</v>
      </c>
      <c r="M390" t="s">
        <v>598</v>
      </c>
      <c r="N390" t="s">
        <v>604</v>
      </c>
      <c r="O390" s="37" t="str">
        <f t="shared" si="33"/>
        <v>Digital Payment</v>
      </c>
      <c r="P390">
        <v>666.29</v>
      </c>
      <c r="Q390" s="37" t="str">
        <f>IF(P390&gt;500,"High","low")</f>
        <v>High</v>
      </c>
      <c r="R390" s="37" t="str">
        <f t="shared" si="34"/>
        <v>Good</v>
      </c>
      <c r="S390" t="s">
        <v>628</v>
      </c>
    </row>
    <row r="391" spans="1:19" x14ac:dyDescent="0.2">
      <c r="A391" t="s">
        <v>1002</v>
      </c>
      <c r="B391" t="s">
        <v>75</v>
      </c>
      <c r="C391" t="s">
        <v>617</v>
      </c>
      <c r="D391">
        <v>1046.47</v>
      </c>
      <c r="E391" s="37" t="str">
        <f t="shared" si="30"/>
        <v xml:space="preserve"> </v>
      </c>
      <c r="F391">
        <v>0.22</v>
      </c>
      <c r="G391" s="37" t="str">
        <f t="shared" si="31"/>
        <v>Normal Discount</v>
      </c>
      <c r="H391" s="37" t="str">
        <f t="shared" si="32"/>
        <v>Medium</v>
      </c>
      <c r="I391">
        <v>3</v>
      </c>
      <c r="J391" t="str" cm="1">
        <f t="array" ref="J391">_xlfn.IFS(I391&lt;=3,"small",I391&lt;=6,"Medium",I391&lt;=9,"Large")</f>
        <v>small</v>
      </c>
      <c r="K391" s="36">
        <v>44959</v>
      </c>
      <c r="L391" s="36">
        <v>44962</v>
      </c>
      <c r="M391" t="s">
        <v>603</v>
      </c>
      <c r="N391" t="s">
        <v>608</v>
      </c>
      <c r="O391" s="37" t="str">
        <f t="shared" si="33"/>
        <v>Cash Payment</v>
      </c>
      <c r="P391">
        <v>233.82</v>
      </c>
      <c r="Q391" s="37" t="str">
        <f>IF(P391&gt;500,"High","low")</f>
        <v>low</v>
      </c>
      <c r="R391" s="37" t="str">
        <f t="shared" si="34"/>
        <v>AVERAGE</v>
      </c>
      <c r="S391" t="s">
        <v>620</v>
      </c>
    </row>
    <row r="392" spans="1:19" x14ac:dyDescent="0.2">
      <c r="A392" t="s">
        <v>1003</v>
      </c>
      <c r="B392" t="s">
        <v>90</v>
      </c>
      <c r="C392" t="s">
        <v>617</v>
      </c>
      <c r="D392">
        <v>3866.45</v>
      </c>
      <c r="E392" s="37" t="str">
        <f t="shared" si="30"/>
        <v xml:space="preserve"> </v>
      </c>
      <c r="F392">
        <v>0.04</v>
      </c>
      <c r="G392" s="37" t="str">
        <f t="shared" si="31"/>
        <v>Normal Discount</v>
      </c>
      <c r="H392" s="37" t="str">
        <f t="shared" si="32"/>
        <v>Low</v>
      </c>
      <c r="I392">
        <v>6</v>
      </c>
      <c r="J392" t="str" cm="1">
        <f t="array" ref="J392">_xlfn.IFS(I392&lt;=3,"small",I392&lt;=6,"Medium",I392&lt;=9,"Large")</f>
        <v>Medium</v>
      </c>
      <c r="K392" s="36">
        <v>45399</v>
      </c>
      <c r="L392" s="36">
        <v>45405</v>
      </c>
      <c r="M392" t="s">
        <v>603</v>
      </c>
      <c r="N392" t="s">
        <v>599</v>
      </c>
      <c r="O392" s="37" t="str">
        <f t="shared" si="33"/>
        <v>Digital Payment</v>
      </c>
      <c r="P392">
        <v>447.64</v>
      </c>
      <c r="Q392" s="37" t="str">
        <f>IF(P392&gt;500,"High","low")</f>
        <v>low</v>
      </c>
      <c r="R392" s="37" t="str">
        <f t="shared" si="34"/>
        <v>AVERAGE</v>
      </c>
      <c r="S392" t="s">
        <v>605</v>
      </c>
    </row>
    <row r="393" spans="1:19" x14ac:dyDescent="0.2">
      <c r="A393" t="s">
        <v>1004</v>
      </c>
      <c r="B393" t="s">
        <v>90</v>
      </c>
      <c r="C393" t="s">
        <v>597</v>
      </c>
      <c r="D393">
        <v>2803.77</v>
      </c>
      <c r="E393" s="37" t="str">
        <f t="shared" si="30"/>
        <v xml:space="preserve"> </v>
      </c>
      <c r="F393">
        <v>0.36</v>
      </c>
      <c r="G393" s="37" t="str">
        <f t="shared" si="31"/>
        <v>Heavy Discount</v>
      </c>
      <c r="H393" s="37" t="str">
        <f t="shared" si="32"/>
        <v>Medium</v>
      </c>
      <c r="I393">
        <v>2</v>
      </c>
      <c r="J393" t="str" cm="1">
        <f t="array" ref="J393">_xlfn.IFS(I393&lt;=3,"small",I393&lt;=6,"Medium",I393&lt;=9,"Large")</f>
        <v>small</v>
      </c>
      <c r="K393" s="36">
        <v>45530</v>
      </c>
      <c r="L393" s="36">
        <v>45533</v>
      </c>
      <c r="M393" t="s">
        <v>598</v>
      </c>
      <c r="N393" t="s">
        <v>604</v>
      </c>
      <c r="O393" s="37" t="str">
        <f t="shared" si="33"/>
        <v>Digital Payment</v>
      </c>
      <c r="P393">
        <v>632.89</v>
      </c>
      <c r="Q393" s="37" t="str">
        <f>IF(P393&gt;500,"High","low")</f>
        <v>High</v>
      </c>
      <c r="R393" s="37" t="str">
        <f t="shared" si="34"/>
        <v>Good</v>
      </c>
      <c r="S393" t="s">
        <v>605</v>
      </c>
    </row>
    <row r="394" spans="1:19" x14ac:dyDescent="0.2">
      <c r="A394" t="s">
        <v>1005</v>
      </c>
      <c r="B394" t="s">
        <v>67</v>
      </c>
      <c r="C394" t="s">
        <v>617</v>
      </c>
      <c r="D394">
        <v>2126.7800000000002</v>
      </c>
      <c r="E394" s="37" t="str">
        <f t="shared" si="30"/>
        <v xml:space="preserve"> </v>
      </c>
      <c r="F394">
        <v>0.28000000000000003</v>
      </c>
      <c r="G394" s="37" t="str">
        <f t="shared" si="31"/>
        <v>Normal Discount</v>
      </c>
      <c r="H394" s="37" t="str">
        <f t="shared" si="32"/>
        <v>Medium</v>
      </c>
      <c r="I394">
        <v>9</v>
      </c>
      <c r="J394" t="str" cm="1">
        <f t="array" ref="J394">_xlfn.IFS(I394&lt;=3,"small",I394&lt;=6,"Medium",I394&lt;=9,"Large")</f>
        <v>Large</v>
      </c>
      <c r="K394" s="36">
        <v>45361</v>
      </c>
      <c r="L394" s="36">
        <v>45367</v>
      </c>
      <c r="M394" t="s">
        <v>598</v>
      </c>
      <c r="N394" t="s">
        <v>604</v>
      </c>
      <c r="O394" s="37" t="str">
        <f t="shared" si="33"/>
        <v>Digital Payment</v>
      </c>
      <c r="P394">
        <v>513.26</v>
      </c>
      <c r="Q394" s="37" t="str">
        <f>IF(P394&gt;500,"High","low")</f>
        <v>High</v>
      </c>
      <c r="R394" s="37" t="str">
        <f t="shared" si="34"/>
        <v>Good</v>
      </c>
      <c r="S394" t="s">
        <v>620</v>
      </c>
    </row>
    <row r="395" spans="1:19" x14ac:dyDescent="0.2">
      <c r="A395" t="s">
        <v>1006</v>
      </c>
      <c r="B395" t="s">
        <v>67</v>
      </c>
      <c r="C395" t="s">
        <v>617</v>
      </c>
      <c r="D395">
        <v>3204.29</v>
      </c>
      <c r="E395" s="37" t="str">
        <f t="shared" si="30"/>
        <v xml:space="preserve"> </v>
      </c>
      <c r="F395">
        <v>0.22</v>
      </c>
      <c r="G395" s="37" t="str">
        <f t="shared" si="31"/>
        <v>Normal Discount</v>
      </c>
      <c r="H395" s="37" t="str">
        <f t="shared" si="32"/>
        <v>Medium</v>
      </c>
      <c r="I395">
        <v>6</v>
      </c>
      <c r="J395" t="str" cm="1">
        <f t="array" ref="J395">_xlfn.IFS(I395&lt;=3,"small",I395&lt;=6,"Medium",I395&lt;=9,"Large")</f>
        <v>Medium</v>
      </c>
      <c r="K395" s="36">
        <v>45630</v>
      </c>
      <c r="L395" s="36">
        <v>45635</v>
      </c>
      <c r="M395" t="s">
        <v>598</v>
      </c>
      <c r="N395" t="s">
        <v>608</v>
      </c>
      <c r="O395" s="37" t="str">
        <f t="shared" si="33"/>
        <v>Cash Payment</v>
      </c>
      <c r="P395">
        <v>431.14</v>
      </c>
      <c r="Q395" s="37" t="str">
        <f>IF(P395&gt;500,"High","low")</f>
        <v>low</v>
      </c>
      <c r="R395" s="37" t="str">
        <f t="shared" si="34"/>
        <v>AVERAGE</v>
      </c>
      <c r="S395" t="s">
        <v>609</v>
      </c>
    </row>
    <row r="396" spans="1:19" x14ac:dyDescent="0.2">
      <c r="A396" t="s">
        <v>1007</v>
      </c>
      <c r="B396" t="s">
        <v>90</v>
      </c>
      <c r="C396" t="s">
        <v>614</v>
      </c>
      <c r="D396">
        <v>4282.3</v>
      </c>
      <c r="E396" s="37" t="str">
        <f t="shared" si="30"/>
        <v xml:space="preserve"> </v>
      </c>
      <c r="F396">
        <v>0.26</v>
      </c>
      <c r="G396" s="37" t="str">
        <f t="shared" si="31"/>
        <v>Normal Discount</v>
      </c>
      <c r="H396" s="37" t="str">
        <f t="shared" si="32"/>
        <v>Medium</v>
      </c>
      <c r="I396">
        <v>5</v>
      </c>
      <c r="J396" t="str" cm="1">
        <f t="array" ref="J396">_xlfn.IFS(I396&lt;=3,"small",I396&lt;=6,"Medium",I396&lt;=9,"Large")</f>
        <v>Medium</v>
      </c>
      <c r="K396" s="36">
        <v>44949</v>
      </c>
      <c r="L396" s="36">
        <v>44956</v>
      </c>
      <c r="M396" t="s">
        <v>603</v>
      </c>
      <c r="N396" t="s">
        <v>604</v>
      </c>
      <c r="O396" s="37" t="str">
        <f t="shared" si="33"/>
        <v>Digital Payment</v>
      </c>
      <c r="P396">
        <v>275.87</v>
      </c>
      <c r="Q396" s="37" t="str">
        <f>IF(P396&gt;500,"High","low")</f>
        <v>low</v>
      </c>
      <c r="R396" s="37" t="str">
        <f t="shared" si="34"/>
        <v>AVERAGE</v>
      </c>
      <c r="S396" t="s">
        <v>605</v>
      </c>
    </row>
    <row r="397" spans="1:19" x14ac:dyDescent="0.2">
      <c r="A397" t="s">
        <v>1008</v>
      </c>
      <c r="B397" t="s">
        <v>67</v>
      </c>
      <c r="C397" t="s">
        <v>617</v>
      </c>
      <c r="D397">
        <v>2386.5300000000002</v>
      </c>
      <c r="E397" s="37" t="str">
        <f t="shared" si="30"/>
        <v xml:space="preserve"> </v>
      </c>
      <c r="F397">
        <v>0.33</v>
      </c>
      <c r="G397" s="37" t="str">
        <f t="shared" si="31"/>
        <v>Heavy Discount</v>
      </c>
      <c r="H397" s="37" t="str">
        <f t="shared" si="32"/>
        <v>Medium</v>
      </c>
      <c r="I397">
        <v>9</v>
      </c>
      <c r="J397" t="str" cm="1">
        <f t="array" ref="J397">_xlfn.IFS(I397&lt;=3,"small",I397&lt;=6,"Medium",I397&lt;=9,"Large")</f>
        <v>Large</v>
      </c>
      <c r="K397" s="36">
        <v>45008</v>
      </c>
      <c r="L397" s="36">
        <v>45011</v>
      </c>
      <c r="M397" t="s">
        <v>603</v>
      </c>
      <c r="N397" t="s">
        <v>604</v>
      </c>
      <c r="O397" s="37" t="str">
        <f t="shared" si="33"/>
        <v>Digital Payment</v>
      </c>
      <c r="P397">
        <v>547.59</v>
      </c>
      <c r="Q397" s="37" t="str">
        <f>IF(P397&gt;500,"High","low")</f>
        <v>High</v>
      </c>
      <c r="R397" s="37" t="str">
        <f t="shared" si="34"/>
        <v>Good</v>
      </c>
      <c r="S397" t="s">
        <v>620</v>
      </c>
    </row>
    <row r="398" spans="1:19" x14ac:dyDescent="0.2">
      <c r="A398" t="s">
        <v>1009</v>
      </c>
      <c r="B398" t="s">
        <v>67</v>
      </c>
      <c r="C398" t="s">
        <v>607</v>
      </c>
      <c r="D398">
        <v>4337.53</v>
      </c>
      <c r="E398" s="37" t="str">
        <f t="shared" si="30"/>
        <v xml:space="preserve"> </v>
      </c>
      <c r="F398">
        <v>0.5</v>
      </c>
      <c r="G398" s="37" t="str">
        <f t="shared" si="31"/>
        <v>Heavy Discount</v>
      </c>
      <c r="H398" s="37" t="str">
        <f t="shared" si="32"/>
        <v>High</v>
      </c>
      <c r="I398">
        <v>1</v>
      </c>
      <c r="J398" t="str" cm="1">
        <f t="array" ref="J398">_xlfn.IFS(I398&lt;=3,"small",I398&lt;=6,"Medium",I398&lt;=9,"Large")</f>
        <v>small</v>
      </c>
      <c r="K398" s="36">
        <v>45129</v>
      </c>
      <c r="L398" s="36">
        <v>45133</v>
      </c>
      <c r="M398" t="s">
        <v>603</v>
      </c>
      <c r="N398" t="s">
        <v>604</v>
      </c>
      <c r="O398" s="37" t="str">
        <f t="shared" si="33"/>
        <v>Digital Payment</v>
      </c>
      <c r="P398">
        <v>367.48</v>
      </c>
      <c r="Q398" s="37" t="str">
        <f>IF(P398&gt;500,"High","low")</f>
        <v>low</v>
      </c>
      <c r="R398" s="37" t="str">
        <f t="shared" si="34"/>
        <v>AVERAGE</v>
      </c>
      <c r="S398" t="s">
        <v>600</v>
      </c>
    </row>
    <row r="399" spans="1:19" x14ac:dyDescent="0.2">
      <c r="A399" t="s">
        <v>1010</v>
      </c>
      <c r="B399" t="s">
        <v>83</v>
      </c>
      <c r="C399" t="s">
        <v>597</v>
      </c>
      <c r="D399">
        <v>559.61</v>
      </c>
      <c r="E399" s="37" t="str">
        <f t="shared" si="30"/>
        <v xml:space="preserve"> </v>
      </c>
      <c r="F399">
        <v>0.39</v>
      </c>
      <c r="G399" s="37" t="str">
        <f t="shared" si="31"/>
        <v>Heavy Discount</v>
      </c>
      <c r="H399" s="37" t="str">
        <f t="shared" si="32"/>
        <v>Medium</v>
      </c>
      <c r="I399">
        <v>3</v>
      </c>
      <c r="J399" t="str" cm="1">
        <f t="array" ref="J399">_xlfn.IFS(I399&lt;=3,"small",I399&lt;=6,"Medium",I399&lt;=9,"Large")</f>
        <v>small</v>
      </c>
      <c r="K399" s="36">
        <v>45481</v>
      </c>
      <c r="L399" s="36">
        <v>45485</v>
      </c>
      <c r="M399" t="s">
        <v>612</v>
      </c>
      <c r="N399" t="s">
        <v>604</v>
      </c>
      <c r="O399" s="37" t="str">
        <f t="shared" si="33"/>
        <v>Digital Payment</v>
      </c>
      <c r="P399">
        <v>66.31</v>
      </c>
      <c r="Q399" s="37" t="str">
        <f>IF(P399&gt;500,"High","low")</f>
        <v>low</v>
      </c>
      <c r="R399" s="37" t="str">
        <f t="shared" si="34"/>
        <v>AVERAGE</v>
      </c>
      <c r="S399" t="s">
        <v>615</v>
      </c>
    </row>
    <row r="400" spans="1:19" x14ac:dyDescent="0.2">
      <c r="A400" t="s">
        <v>1011</v>
      </c>
      <c r="B400" t="s">
        <v>67</v>
      </c>
      <c r="C400" t="s">
        <v>602</v>
      </c>
      <c r="D400">
        <v>3300.11</v>
      </c>
      <c r="E400" s="37" t="str">
        <f t="shared" si="30"/>
        <v xml:space="preserve"> </v>
      </c>
      <c r="F400">
        <v>0.27</v>
      </c>
      <c r="G400" s="37" t="str">
        <f t="shared" si="31"/>
        <v>Normal Discount</v>
      </c>
      <c r="H400" s="37" t="str">
        <f t="shared" si="32"/>
        <v>Medium</v>
      </c>
      <c r="I400">
        <v>2</v>
      </c>
      <c r="J400" t="str" cm="1">
        <f t="array" ref="J400">_xlfn.IFS(I400&lt;=3,"small",I400&lt;=6,"Medium",I400&lt;=9,"Large")</f>
        <v>small</v>
      </c>
      <c r="K400" s="36">
        <v>45033</v>
      </c>
      <c r="L400" s="36">
        <v>45034</v>
      </c>
      <c r="M400" t="s">
        <v>598</v>
      </c>
      <c r="N400" t="s">
        <v>604</v>
      </c>
      <c r="O400" s="37" t="str">
        <f t="shared" si="33"/>
        <v>Digital Payment</v>
      </c>
      <c r="P400">
        <v>653.08000000000004</v>
      </c>
      <c r="Q400" s="37" t="str">
        <f>IF(P400&gt;500,"High","low")</f>
        <v>High</v>
      </c>
      <c r="R400" s="37" t="str">
        <f t="shared" si="34"/>
        <v>Good</v>
      </c>
      <c r="S400" t="s">
        <v>615</v>
      </c>
    </row>
    <row r="401" spans="1:19" x14ac:dyDescent="0.2">
      <c r="A401" t="s">
        <v>1012</v>
      </c>
      <c r="B401" t="s">
        <v>75</v>
      </c>
      <c r="C401" t="s">
        <v>602</v>
      </c>
      <c r="D401">
        <v>1732.58</v>
      </c>
      <c r="E401" s="37" t="str">
        <f t="shared" si="30"/>
        <v xml:space="preserve"> </v>
      </c>
      <c r="F401">
        <v>0.39</v>
      </c>
      <c r="G401" s="37" t="str">
        <f t="shared" si="31"/>
        <v>Heavy Discount</v>
      </c>
      <c r="H401" s="37" t="str">
        <f t="shared" si="32"/>
        <v>Medium</v>
      </c>
      <c r="I401">
        <v>9</v>
      </c>
      <c r="J401" t="str" cm="1">
        <f t="array" ref="J401">_xlfn.IFS(I401&lt;=3,"small",I401&lt;=6,"Medium",I401&lt;=9,"Large")</f>
        <v>Large</v>
      </c>
      <c r="K401" s="36">
        <v>45000</v>
      </c>
      <c r="L401" s="36">
        <v>45005</v>
      </c>
      <c r="M401" t="s">
        <v>603</v>
      </c>
      <c r="N401" t="s">
        <v>608</v>
      </c>
      <c r="O401" s="37" t="str">
        <f t="shared" si="33"/>
        <v>Cash Payment</v>
      </c>
      <c r="P401">
        <v>484.92</v>
      </c>
      <c r="Q401" s="37" t="str">
        <f>IF(P401&gt;500,"High","low")</f>
        <v>low</v>
      </c>
      <c r="R401" s="37" t="str">
        <f t="shared" si="34"/>
        <v>AVERAGE</v>
      </c>
      <c r="S401" t="s">
        <v>615</v>
      </c>
    </row>
    <row r="402" spans="1:19" x14ac:dyDescent="0.2">
      <c r="A402" t="s">
        <v>1013</v>
      </c>
      <c r="B402" t="s">
        <v>67</v>
      </c>
      <c r="C402" t="s">
        <v>614</v>
      </c>
      <c r="D402">
        <v>1994.91</v>
      </c>
      <c r="E402" s="37" t="str">
        <f t="shared" si="30"/>
        <v xml:space="preserve"> </v>
      </c>
      <c r="F402">
        <v>0.24</v>
      </c>
      <c r="G402" s="37" t="str">
        <f t="shared" si="31"/>
        <v>Normal Discount</v>
      </c>
      <c r="H402" s="37" t="str">
        <f t="shared" si="32"/>
        <v>Medium</v>
      </c>
      <c r="I402">
        <v>6</v>
      </c>
      <c r="J402" t="str" cm="1">
        <f t="array" ref="J402">_xlfn.IFS(I402&lt;=3,"small",I402&lt;=6,"Medium",I402&lt;=9,"Large")</f>
        <v>Medium</v>
      </c>
      <c r="K402" s="36">
        <v>45282</v>
      </c>
      <c r="L402" s="36">
        <v>45289</v>
      </c>
      <c r="M402" t="s">
        <v>598</v>
      </c>
      <c r="N402" t="s">
        <v>604</v>
      </c>
      <c r="O402" s="37" t="str">
        <f t="shared" si="33"/>
        <v>Digital Payment</v>
      </c>
      <c r="P402">
        <v>476.38</v>
      </c>
      <c r="Q402" s="37" t="str">
        <f>IF(P402&gt;500,"High","low")</f>
        <v>low</v>
      </c>
      <c r="R402" s="37" t="str">
        <f t="shared" si="34"/>
        <v>AVERAGE</v>
      </c>
      <c r="S402" t="s">
        <v>609</v>
      </c>
    </row>
    <row r="403" spans="1:19" x14ac:dyDescent="0.2">
      <c r="A403" t="s">
        <v>1014</v>
      </c>
      <c r="B403" t="s">
        <v>67</v>
      </c>
      <c r="C403" t="s">
        <v>602</v>
      </c>
      <c r="D403">
        <v>2898</v>
      </c>
      <c r="E403" s="37" t="str">
        <f t="shared" si="30"/>
        <v xml:space="preserve"> </v>
      </c>
      <c r="F403">
        <v>0.16</v>
      </c>
      <c r="G403" s="37" t="str">
        <f t="shared" si="31"/>
        <v>Normal Discount</v>
      </c>
      <c r="H403" s="37" t="str">
        <f t="shared" si="32"/>
        <v>Low</v>
      </c>
      <c r="I403">
        <v>6</v>
      </c>
      <c r="J403" t="str" cm="1">
        <f t="array" ref="J403">_xlfn.IFS(I403&lt;=3,"small",I403&lt;=6,"Medium",I403&lt;=9,"Large")</f>
        <v>Medium</v>
      </c>
      <c r="K403" s="36">
        <v>45127</v>
      </c>
      <c r="L403" s="36">
        <v>45131</v>
      </c>
      <c r="M403" t="s">
        <v>612</v>
      </c>
      <c r="N403" t="s">
        <v>599</v>
      </c>
      <c r="O403" s="37" t="str">
        <f t="shared" si="33"/>
        <v>Digital Payment</v>
      </c>
      <c r="P403">
        <v>339.95</v>
      </c>
      <c r="Q403" s="37" t="str">
        <f>IF(P403&gt;500,"High","low")</f>
        <v>low</v>
      </c>
      <c r="R403" s="37" t="str">
        <f t="shared" si="34"/>
        <v>AVERAGE</v>
      </c>
      <c r="S403" t="s">
        <v>609</v>
      </c>
    </row>
    <row r="404" spans="1:19" x14ac:dyDescent="0.2">
      <c r="A404" t="s">
        <v>1015</v>
      </c>
      <c r="B404" t="s">
        <v>90</v>
      </c>
      <c r="C404" t="s">
        <v>602</v>
      </c>
      <c r="D404">
        <v>2451.59</v>
      </c>
      <c r="E404" s="37" t="str">
        <f t="shared" si="30"/>
        <v xml:space="preserve"> </v>
      </c>
      <c r="F404">
        <v>0.13</v>
      </c>
      <c r="G404" s="37" t="str">
        <f t="shared" si="31"/>
        <v>Normal Discount</v>
      </c>
      <c r="H404" s="37" t="str">
        <f t="shared" si="32"/>
        <v>Low</v>
      </c>
      <c r="I404">
        <v>5</v>
      </c>
      <c r="J404" t="str" cm="1">
        <f t="array" ref="J404">_xlfn.IFS(I404&lt;=3,"small",I404&lt;=6,"Medium",I404&lt;=9,"Large")</f>
        <v>Medium</v>
      </c>
      <c r="K404" s="36">
        <v>45288</v>
      </c>
      <c r="L404" s="36">
        <v>45289</v>
      </c>
      <c r="M404" t="s">
        <v>598</v>
      </c>
      <c r="N404" t="s">
        <v>599</v>
      </c>
      <c r="O404" s="37" t="str">
        <f t="shared" si="33"/>
        <v>Digital Payment</v>
      </c>
      <c r="P404">
        <v>620.73</v>
      </c>
      <c r="Q404" s="37" t="str">
        <f>IF(P404&gt;500,"High","low")</f>
        <v>High</v>
      </c>
      <c r="R404" s="37" t="str">
        <f t="shared" si="34"/>
        <v>Good</v>
      </c>
      <c r="S404" t="s">
        <v>600</v>
      </c>
    </row>
    <row r="405" spans="1:19" x14ac:dyDescent="0.2">
      <c r="A405" t="s">
        <v>1016</v>
      </c>
      <c r="B405" t="s">
        <v>75</v>
      </c>
      <c r="C405" t="s">
        <v>597</v>
      </c>
      <c r="D405">
        <v>1970.72</v>
      </c>
      <c r="E405" s="37" t="str">
        <f t="shared" si="30"/>
        <v xml:space="preserve"> </v>
      </c>
      <c r="F405">
        <v>0.2</v>
      </c>
      <c r="G405" s="37" t="str">
        <f t="shared" si="31"/>
        <v>Normal Discount</v>
      </c>
      <c r="H405" s="37" t="str">
        <f t="shared" si="32"/>
        <v>Medium</v>
      </c>
      <c r="I405">
        <v>4</v>
      </c>
      <c r="J405" t="str" cm="1">
        <f t="array" ref="J405">_xlfn.IFS(I405&lt;=3,"small",I405&lt;=6,"Medium",I405&lt;=9,"Large")</f>
        <v>Medium</v>
      </c>
      <c r="K405" s="36">
        <v>45515</v>
      </c>
      <c r="L405" s="36">
        <v>45520</v>
      </c>
      <c r="M405" t="s">
        <v>603</v>
      </c>
      <c r="N405" t="s">
        <v>599</v>
      </c>
      <c r="O405" s="37" t="str">
        <f t="shared" si="33"/>
        <v>Digital Payment</v>
      </c>
      <c r="P405">
        <v>300.44</v>
      </c>
      <c r="Q405" s="37" t="str">
        <f>IF(P405&gt;500,"High","low")</f>
        <v>low</v>
      </c>
      <c r="R405" s="37" t="str">
        <f t="shared" si="34"/>
        <v>AVERAGE</v>
      </c>
      <c r="S405" t="s">
        <v>600</v>
      </c>
    </row>
    <row r="406" spans="1:19" x14ac:dyDescent="0.2">
      <c r="A406" t="s">
        <v>1017</v>
      </c>
      <c r="B406" t="s">
        <v>67</v>
      </c>
      <c r="C406" t="s">
        <v>597</v>
      </c>
      <c r="D406">
        <v>1610.78</v>
      </c>
      <c r="E406" s="37" t="str">
        <f t="shared" si="30"/>
        <v xml:space="preserve"> </v>
      </c>
      <c r="F406">
        <v>0</v>
      </c>
      <c r="G406" s="37" t="str">
        <f t="shared" si="31"/>
        <v>Normal Discount</v>
      </c>
      <c r="H406" s="37" t="str">
        <f t="shared" si="32"/>
        <v>Low</v>
      </c>
      <c r="I406">
        <v>4</v>
      </c>
      <c r="J406" t="str" cm="1">
        <f t="array" ref="J406">_xlfn.IFS(I406&lt;=3,"small",I406&lt;=6,"Medium",I406&lt;=9,"Large")</f>
        <v>Medium</v>
      </c>
      <c r="K406" s="36">
        <v>45397</v>
      </c>
      <c r="L406" s="36">
        <v>45401</v>
      </c>
      <c r="M406" t="s">
        <v>598</v>
      </c>
      <c r="N406" t="s">
        <v>608</v>
      </c>
      <c r="O406" s="37" t="str">
        <f t="shared" si="33"/>
        <v>Cash Payment</v>
      </c>
      <c r="P406">
        <v>138.59</v>
      </c>
      <c r="Q406" s="37" t="str">
        <f>IF(P406&gt;500,"High","low")</f>
        <v>low</v>
      </c>
      <c r="R406" s="37" t="str">
        <f t="shared" si="34"/>
        <v>AVERAGE</v>
      </c>
      <c r="S406" t="s">
        <v>620</v>
      </c>
    </row>
    <row r="407" spans="1:19" x14ac:dyDescent="0.2">
      <c r="A407" t="s">
        <v>1018</v>
      </c>
      <c r="B407" t="s">
        <v>67</v>
      </c>
      <c r="C407" t="s">
        <v>607</v>
      </c>
      <c r="D407">
        <v>3129.74</v>
      </c>
      <c r="E407" s="37" t="str">
        <f t="shared" si="30"/>
        <v xml:space="preserve"> </v>
      </c>
      <c r="F407">
        <v>0.09</v>
      </c>
      <c r="G407" s="37" t="str">
        <f t="shared" si="31"/>
        <v>Normal Discount</v>
      </c>
      <c r="H407" s="37" t="str">
        <f t="shared" si="32"/>
        <v>Low</v>
      </c>
      <c r="I407">
        <v>2</v>
      </c>
      <c r="J407" t="str" cm="1">
        <f t="array" ref="J407">_xlfn.IFS(I407&lt;=3,"small",I407&lt;=6,"Medium",I407&lt;=9,"Large")</f>
        <v>small</v>
      </c>
      <c r="K407" s="36">
        <v>45311</v>
      </c>
      <c r="L407" s="36">
        <v>45313</v>
      </c>
      <c r="M407" t="s">
        <v>603</v>
      </c>
      <c r="N407" t="s">
        <v>604</v>
      </c>
      <c r="O407" s="37" t="str">
        <f t="shared" si="33"/>
        <v>Digital Payment</v>
      </c>
      <c r="P407">
        <v>398.59</v>
      </c>
      <c r="Q407" s="37" t="str">
        <f>IF(P407&gt;500,"High","low")</f>
        <v>low</v>
      </c>
      <c r="R407" s="37" t="str">
        <f t="shared" si="34"/>
        <v>AVERAGE</v>
      </c>
      <c r="S407" t="s">
        <v>620</v>
      </c>
    </row>
    <row r="408" spans="1:19" x14ac:dyDescent="0.2">
      <c r="A408" t="s">
        <v>1019</v>
      </c>
      <c r="B408" t="s">
        <v>83</v>
      </c>
      <c r="C408" t="s">
        <v>614</v>
      </c>
      <c r="D408">
        <v>2577.34</v>
      </c>
      <c r="E408" s="37" t="str">
        <f t="shared" si="30"/>
        <v xml:space="preserve"> </v>
      </c>
      <c r="F408">
        <v>0.06</v>
      </c>
      <c r="G408" s="37" t="str">
        <f t="shared" si="31"/>
        <v>Normal Discount</v>
      </c>
      <c r="H408" s="37" t="str">
        <f t="shared" si="32"/>
        <v>Low</v>
      </c>
      <c r="I408">
        <v>7</v>
      </c>
      <c r="J408" t="str" cm="1">
        <f t="array" ref="J408">_xlfn.IFS(I408&lt;=3,"small",I408&lt;=6,"Medium",I408&lt;=9,"Large")</f>
        <v>Large</v>
      </c>
      <c r="K408" s="36">
        <v>44945</v>
      </c>
      <c r="L408" s="36">
        <v>44946</v>
      </c>
      <c r="M408" t="s">
        <v>612</v>
      </c>
      <c r="N408" t="s">
        <v>604</v>
      </c>
      <c r="O408" s="37" t="str">
        <f t="shared" si="33"/>
        <v>Digital Payment</v>
      </c>
      <c r="P408">
        <v>658.39</v>
      </c>
      <c r="Q408" s="37" t="str">
        <f>IF(P408&gt;500,"High","low")</f>
        <v>High</v>
      </c>
      <c r="R408" s="37" t="str">
        <f t="shared" si="34"/>
        <v>Good</v>
      </c>
      <c r="S408" t="s">
        <v>605</v>
      </c>
    </row>
    <row r="409" spans="1:19" x14ac:dyDescent="0.2">
      <c r="A409" t="s">
        <v>1020</v>
      </c>
      <c r="B409" t="s">
        <v>67</v>
      </c>
      <c r="C409" t="s">
        <v>602</v>
      </c>
      <c r="D409">
        <v>1684.21</v>
      </c>
      <c r="E409" s="37" t="str">
        <f t="shared" si="30"/>
        <v xml:space="preserve"> </v>
      </c>
      <c r="F409">
        <v>0.48</v>
      </c>
      <c r="G409" s="37" t="str">
        <f t="shared" si="31"/>
        <v>Heavy Discount</v>
      </c>
      <c r="H409" s="37" t="str">
        <f t="shared" si="32"/>
        <v>High</v>
      </c>
      <c r="I409">
        <v>6</v>
      </c>
      <c r="J409" t="str" cm="1">
        <f t="array" ref="J409">_xlfn.IFS(I409&lt;=3,"small",I409&lt;=6,"Medium",I409&lt;=9,"Large")</f>
        <v>Medium</v>
      </c>
      <c r="K409" s="36">
        <v>45571</v>
      </c>
      <c r="L409" s="36">
        <v>45575</v>
      </c>
      <c r="M409" t="s">
        <v>612</v>
      </c>
      <c r="N409" t="s">
        <v>604</v>
      </c>
      <c r="O409" s="37" t="str">
        <f t="shared" si="33"/>
        <v>Digital Payment</v>
      </c>
      <c r="P409">
        <v>240.4</v>
      </c>
      <c r="Q409" s="37" t="str">
        <f>IF(P409&gt;500,"High","low")</f>
        <v>low</v>
      </c>
      <c r="R409" s="37" t="str">
        <f t="shared" si="34"/>
        <v>AVERAGE</v>
      </c>
      <c r="S409" t="s">
        <v>620</v>
      </c>
    </row>
    <row r="410" spans="1:19" x14ac:dyDescent="0.2">
      <c r="A410" t="s">
        <v>1021</v>
      </c>
      <c r="B410" t="s">
        <v>67</v>
      </c>
      <c r="C410" t="s">
        <v>607</v>
      </c>
      <c r="D410">
        <v>1104.31</v>
      </c>
      <c r="E410" s="37" t="str">
        <f t="shared" si="30"/>
        <v xml:space="preserve"> </v>
      </c>
      <c r="F410">
        <v>0.03</v>
      </c>
      <c r="G410" s="37" t="str">
        <f t="shared" si="31"/>
        <v>Normal Discount</v>
      </c>
      <c r="H410" s="37" t="str">
        <f t="shared" si="32"/>
        <v>Low</v>
      </c>
      <c r="I410">
        <v>3</v>
      </c>
      <c r="J410" t="str" cm="1">
        <f t="array" ref="J410">_xlfn.IFS(I410&lt;=3,"small",I410&lt;=6,"Medium",I410&lt;=9,"Large")</f>
        <v>small</v>
      </c>
      <c r="K410" s="36">
        <v>45621</v>
      </c>
      <c r="L410" s="36">
        <v>45623</v>
      </c>
      <c r="M410" t="s">
        <v>603</v>
      </c>
      <c r="N410" t="s">
        <v>604</v>
      </c>
      <c r="O410" s="37" t="str">
        <f t="shared" si="33"/>
        <v>Digital Payment</v>
      </c>
      <c r="P410">
        <v>160.11000000000001</v>
      </c>
      <c r="Q410" s="37" t="str">
        <f>IF(P410&gt;500,"High","low")</f>
        <v>low</v>
      </c>
      <c r="R410" s="37" t="str">
        <f t="shared" si="34"/>
        <v>AVERAGE</v>
      </c>
      <c r="S410" t="s">
        <v>609</v>
      </c>
    </row>
    <row r="411" spans="1:19" x14ac:dyDescent="0.2">
      <c r="A411" t="s">
        <v>1022</v>
      </c>
      <c r="B411" t="s">
        <v>83</v>
      </c>
      <c r="C411" t="s">
        <v>614</v>
      </c>
      <c r="D411">
        <v>3894.89</v>
      </c>
      <c r="E411" s="37" t="str">
        <f t="shared" si="30"/>
        <v xml:space="preserve"> </v>
      </c>
      <c r="F411">
        <v>0.25</v>
      </c>
      <c r="G411" s="37" t="str">
        <f t="shared" si="31"/>
        <v>Normal Discount</v>
      </c>
      <c r="H411" s="37" t="str">
        <f t="shared" si="32"/>
        <v>Medium</v>
      </c>
      <c r="I411">
        <v>7</v>
      </c>
      <c r="J411" t="str" cm="1">
        <f t="array" ref="J411">_xlfn.IFS(I411&lt;=3,"small",I411&lt;=6,"Medium",I411&lt;=9,"Large")</f>
        <v>Large</v>
      </c>
      <c r="K411" s="36">
        <v>45500</v>
      </c>
      <c r="L411" s="36">
        <v>45506</v>
      </c>
      <c r="M411" t="s">
        <v>612</v>
      </c>
      <c r="N411" t="s">
        <v>608</v>
      </c>
      <c r="O411" s="37" t="str">
        <f t="shared" si="33"/>
        <v>Cash Payment</v>
      </c>
      <c r="P411">
        <v>1145.5</v>
      </c>
      <c r="Q411" s="37" t="str">
        <f>IF(P411&gt;500,"High","low")</f>
        <v>High</v>
      </c>
      <c r="R411" s="37" t="str">
        <f t="shared" si="34"/>
        <v>Excellent</v>
      </c>
      <c r="S411" t="s">
        <v>620</v>
      </c>
    </row>
    <row r="412" spans="1:19" x14ac:dyDescent="0.2">
      <c r="A412" t="s">
        <v>1023</v>
      </c>
      <c r="B412" t="s">
        <v>90</v>
      </c>
      <c r="C412" t="s">
        <v>602</v>
      </c>
      <c r="D412">
        <v>4018.6</v>
      </c>
      <c r="E412" s="37" t="str">
        <f t="shared" si="30"/>
        <v xml:space="preserve"> </v>
      </c>
      <c r="F412">
        <v>0.46</v>
      </c>
      <c r="G412" s="37" t="str">
        <f t="shared" si="31"/>
        <v>Heavy Discount</v>
      </c>
      <c r="H412" s="37" t="str">
        <f t="shared" si="32"/>
        <v>High</v>
      </c>
      <c r="I412">
        <v>9</v>
      </c>
      <c r="J412" t="str" cm="1">
        <f t="array" ref="J412">_xlfn.IFS(I412&lt;=3,"small",I412&lt;=6,"Medium",I412&lt;=9,"Large")</f>
        <v>Large</v>
      </c>
      <c r="K412" s="36">
        <v>45571</v>
      </c>
      <c r="L412" s="36">
        <v>45572</v>
      </c>
      <c r="M412" t="s">
        <v>598</v>
      </c>
      <c r="N412" t="s">
        <v>599</v>
      </c>
      <c r="O412" s="37" t="str">
        <f t="shared" si="33"/>
        <v>Digital Payment</v>
      </c>
      <c r="P412">
        <v>719.59</v>
      </c>
      <c r="Q412" s="37" t="str">
        <f>IF(P412&gt;500,"High","low")</f>
        <v>High</v>
      </c>
      <c r="R412" s="37" t="str">
        <f t="shared" si="34"/>
        <v>Good</v>
      </c>
      <c r="S412" t="s">
        <v>605</v>
      </c>
    </row>
    <row r="413" spans="1:19" x14ac:dyDescent="0.2">
      <c r="A413" t="s">
        <v>1024</v>
      </c>
      <c r="B413" t="s">
        <v>67</v>
      </c>
      <c r="C413" t="s">
        <v>602</v>
      </c>
      <c r="D413">
        <v>1147.56</v>
      </c>
      <c r="E413" s="37" t="str">
        <f t="shared" si="30"/>
        <v xml:space="preserve"> </v>
      </c>
      <c r="F413">
        <v>0.3</v>
      </c>
      <c r="G413" s="37" t="str">
        <f t="shared" si="31"/>
        <v>Normal Discount</v>
      </c>
      <c r="H413" s="37" t="str">
        <f t="shared" si="32"/>
        <v>Medium</v>
      </c>
      <c r="I413">
        <v>1</v>
      </c>
      <c r="J413" t="str" cm="1">
        <f t="array" ref="J413">_xlfn.IFS(I413&lt;=3,"small",I413&lt;=6,"Medium",I413&lt;=9,"Large")</f>
        <v>small</v>
      </c>
      <c r="K413" s="36">
        <v>45047</v>
      </c>
      <c r="L413" s="36">
        <v>45051</v>
      </c>
      <c r="M413" t="s">
        <v>612</v>
      </c>
      <c r="N413" t="s">
        <v>608</v>
      </c>
      <c r="O413" s="37" t="str">
        <f t="shared" si="33"/>
        <v>Cash Payment</v>
      </c>
      <c r="P413">
        <v>199.91</v>
      </c>
      <c r="Q413" s="37" t="str">
        <f>IF(P413&gt;500,"High","low")</f>
        <v>low</v>
      </c>
      <c r="R413" s="37" t="str">
        <f t="shared" si="34"/>
        <v>AVERAGE</v>
      </c>
      <c r="S413" t="s">
        <v>628</v>
      </c>
    </row>
    <row r="414" spans="1:19" x14ac:dyDescent="0.2">
      <c r="A414" t="s">
        <v>1025</v>
      </c>
      <c r="B414" t="s">
        <v>83</v>
      </c>
      <c r="C414" t="s">
        <v>597</v>
      </c>
      <c r="D414">
        <v>1382.08</v>
      </c>
      <c r="E414" s="37" t="str">
        <f t="shared" si="30"/>
        <v xml:space="preserve"> </v>
      </c>
      <c r="F414">
        <v>0.25</v>
      </c>
      <c r="G414" s="37" t="str">
        <f t="shared" si="31"/>
        <v>Normal Discount</v>
      </c>
      <c r="H414" s="37" t="str">
        <f t="shared" si="32"/>
        <v>Medium</v>
      </c>
      <c r="I414">
        <v>8</v>
      </c>
      <c r="J414" t="str" cm="1">
        <f t="array" ref="J414">_xlfn.IFS(I414&lt;=3,"small",I414&lt;=6,"Medium",I414&lt;=9,"Large")</f>
        <v>Large</v>
      </c>
      <c r="K414" s="36">
        <v>45061</v>
      </c>
      <c r="L414" s="36">
        <v>45062</v>
      </c>
      <c r="M414" t="s">
        <v>612</v>
      </c>
      <c r="N414" t="s">
        <v>604</v>
      </c>
      <c r="O414" s="37" t="str">
        <f t="shared" si="33"/>
        <v>Digital Payment</v>
      </c>
      <c r="P414">
        <v>321.3</v>
      </c>
      <c r="Q414" s="37" t="str">
        <f>IF(P414&gt;500,"High","low")</f>
        <v>low</v>
      </c>
      <c r="R414" s="37" t="str">
        <f t="shared" si="34"/>
        <v>AVERAGE</v>
      </c>
      <c r="S414" t="s">
        <v>609</v>
      </c>
    </row>
    <row r="415" spans="1:19" x14ac:dyDescent="0.2">
      <c r="A415" t="s">
        <v>1026</v>
      </c>
      <c r="B415" t="s">
        <v>75</v>
      </c>
      <c r="C415" t="s">
        <v>617</v>
      </c>
      <c r="D415">
        <v>1271.8</v>
      </c>
      <c r="E415" s="37" t="str">
        <f t="shared" si="30"/>
        <v xml:space="preserve"> </v>
      </c>
      <c r="F415">
        <v>0.37</v>
      </c>
      <c r="G415" s="37" t="str">
        <f t="shared" si="31"/>
        <v>Heavy Discount</v>
      </c>
      <c r="H415" s="37" t="str">
        <f t="shared" si="32"/>
        <v>Medium</v>
      </c>
      <c r="I415">
        <v>2</v>
      </c>
      <c r="J415" t="str" cm="1">
        <f t="array" ref="J415">_xlfn.IFS(I415&lt;=3,"small",I415&lt;=6,"Medium",I415&lt;=9,"Large")</f>
        <v>small</v>
      </c>
      <c r="K415" s="36">
        <v>45181</v>
      </c>
      <c r="L415" s="36">
        <v>45184</v>
      </c>
      <c r="M415" t="s">
        <v>612</v>
      </c>
      <c r="N415" t="s">
        <v>604</v>
      </c>
      <c r="O415" s="37" t="str">
        <f t="shared" si="33"/>
        <v>Digital Payment</v>
      </c>
      <c r="P415">
        <v>369.36</v>
      </c>
      <c r="Q415" s="37" t="str">
        <f>IF(P415&gt;500,"High","low")</f>
        <v>low</v>
      </c>
      <c r="R415" s="37" t="str">
        <f t="shared" si="34"/>
        <v>AVERAGE</v>
      </c>
      <c r="S415" t="s">
        <v>605</v>
      </c>
    </row>
    <row r="416" spans="1:19" x14ac:dyDescent="0.2">
      <c r="A416" t="s">
        <v>1027</v>
      </c>
      <c r="B416" t="s">
        <v>90</v>
      </c>
      <c r="C416" t="s">
        <v>614</v>
      </c>
      <c r="D416">
        <v>4434.3900000000003</v>
      </c>
      <c r="E416" s="37" t="str">
        <f t="shared" si="30"/>
        <v>Excellent Order</v>
      </c>
      <c r="F416">
        <v>0.18</v>
      </c>
      <c r="G416" s="37" t="str">
        <f t="shared" si="31"/>
        <v>Normal Discount</v>
      </c>
      <c r="H416" s="37" t="str">
        <f t="shared" si="32"/>
        <v>Low</v>
      </c>
      <c r="I416">
        <v>1</v>
      </c>
      <c r="J416" t="str" cm="1">
        <f t="array" ref="J416">_xlfn.IFS(I416&lt;=3,"small",I416&lt;=6,"Medium",I416&lt;=9,"Large")</f>
        <v>small</v>
      </c>
      <c r="K416" s="36">
        <v>45290</v>
      </c>
      <c r="L416" s="36">
        <v>45296</v>
      </c>
      <c r="M416" t="s">
        <v>612</v>
      </c>
      <c r="N416" t="s">
        <v>604</v>
      </c>
      <c r="O416" s="37" t="str">
        <f t="shared" si="33"/>
        <v>Digital Payment</v>
      </c>
      <c r="P416">
        <v>1318.47</v>
      </c>
      <c r="Q416" s="37" t="str">
        <f>IF(P416&gt;500,"High","low")</f>
        <v>High</v>
      </c>
      <c r="R416" s="37" t="str">
        <f t="shared" si="34"/>
        <v>Excellent</v>
      </c>
      <c r="S416" t="s">
        <v>615</v>
      </c>
    </row>
    <row r="417" spans="1:19" x14ac:dyDescent="0.2">
      <c r="A417" t="s">
        <v>1028</v>
      </c>
      <c r="B417" t="s">
        <v>75</v>
      </c>
      <c r="C417" t="s">
        <v>602</v>
      </c>
      <c r="D417">
        <v>3893.24</v>
      </c>
      <c r="E417" s="37" t="str">
        <f t="shared" si="30"/>
        <v xml:space="preserve"> </v>
      </c>
      <c r="F417">
        <v>0.1</v>
      </c>
      <c r="G417" s="37" t="str">
        <f t="shared" si="31"/>
        <v>Normal Discount</v>
      </c>
      <c r="H417" s="37" t="str">
        <f t="shared" si="32"/>
        <v>Low</v>
      </c>
      <c r="I417">
        <v>9</v>
      </c>
      <c r="J417" t="str" cm="1">
        <f t="array" ref="J417">_xlfn.IFS(I417&lt;=3,"small",I417&lt;=6,"Medium",I417&lt;=9,"Large")</f>
        <v>Large</v>
      </c>
      <c r="K417" s="36">
        <v>45260</v>
      </c>
      <c r="L417" s="36">
        <v>45262</v>
      </c>
      <c r="M417" t="s">
        <v>603</v>
      </c>
      <c r="N417" t="s">
        <v>599</v>
      </c>
      <c r="O417" s="37" t="str">
        <f t="shared" si="33"/>
        <v>Digital Payment</v>
      </c>
      <c r="P417">
        <v>954.08</v>
      </c>
      <c r="Q417" s="37" t="str">
        <f>IF(P417&gt;500,"High","low")</f>
        <v>High</v>
      </c>
      <c r="R417" s="37" t="str">
        <f t="shared" si="34"/>
        <v>Good</v>
      </c>
      <c r="S417" t="s">
        <v>620</v>
      </c>
    </row>
    <row r="418" spans="1:19" x14ac:dyDescent="0.2">
      <c r="A418" t="s">
        <v>1029</v>
      </c>
      <c r="B418" t="s">
        <v>75</v>
      </c>
      <c r="C418" t="s">
        <v>614</v>
      </c>
      <c r="D418">
        <v>465.41</v>
      </c>
      <c r="E418" s="37" t="str">
        <f t="shared" si="30"/>
        <v xml:space="preserve"> </v>
      </c>
      <c r="F418">
        <v>0.42</v>
      </c>
      <c r="G418" s="37" t="str">
        <f t="shared" si="31"/>
        <v>Heavy Discount</v>
      </c>
      <c r="H418" s="37" t="str">
        <f t="shared" si="32"/>
        <v>High</v>
      </c>
      <c r="I418">
        <v>2</v>
      </c>
      <c r="J418" t="str" cm="1">
        <f t="array" ref="J418">_xlfn.IFS(I418&lt;=3,"small",I418&lt;=6,"Medium",I418&lt;=9,"Large")</f>
        <v>small</v>
      </c>
      <c r="K418" s="36">
        <v>45471</v>
      </c>
      <c r="L418" s="36">
        <v>45476</v>
      </c>
      <c r="M418" t="s">
        <v>612</v>
      </c>
      <c r="N418" t="s">
        <v>604</v>
      </c>
      <c r="O418" s="37" t="str">
        <f t="shared" si="33"/>
        <v>Digital Payment</v>
      </c>
      <c r="P418">
        <v>124.67</v>
      </c>
      <c r="Q418" s="37" t="str">
        <f>IF(P418&gt;500,"High","low")</f>
        <v>low</v>
      </c>
      <c r="R418" s="37" t="str">
        <f t="shared" si="34"/>
        <v>AVERAGE</v>
      </c>
      <c r="S418" t="s">
        <v>615</v>
      </c>
    </row>
    <row r="419" spans="1:19" x14ac:dyDescent="0.2">
      <c r="A419" t="s">
        <v>1030</v>
      </c>
      <c r="B419" t="s">
        <v>83</v>
      </c>
      <c r="C419" t="s">
        <v>607</v>
      </c>
      <c r="D419">
        <v>4180.0600000000004</v>
      </c>
      <c r="E419" s="37" t="str">
        <f t="shared" si="30"/>
        <v>Excellent Order</v>
      </c>
      <c r="F419">
        <v>0.03</v>
      </c>
      <c r="G419" s="37" t="str">
        <f t="shared" si="31"/>
        <v>Normal Discount</v>
      </c>
      <c r="H419" s="37" t="str">
        <f t="shared" si="32"/>
        <v>Low</v>
      </c>
      <c r="I419">
        <v>7</v>
      </c>
      <c r="J419" t="str" cm="1">
        <f t="array" ref="J419">_xlfn.IFS(I419&lt;=3,"small",I419&lt;=6,"Medium",I419&lt;=9,"Large")</f>
        <v>Large</v>
      </c>
      <c r="K419" s="36">
        <v>44932</v>
      </c>
      <c r="L419" s="36">
        <v>44937</v>
      </c>
      <c r="M419" t="s">
        <v>603</v>
      </c>
      <c r="N419" t="s">
        <v>604</v>
      </c>
      <c r="O419" s="37" t="str">
        <f t="shared" si="33"/>
        <v>Digital Payment</v>
      </c>
      <c r="P419">
        <v>1157.1600000000001</v>
      </c>
      <c r="Q419" s="37" t="str">
        <f>IF(P419&gt;500,"High","low")</f>
        <v>High</v>
      </c>
      <c r="R419" s="37" t="str">
        <f t="shared" si="34"/>
        <v>Excellent</v>
      </c>
      <c r="S419" t="s">
        <v>609</v>
      </c>
    </row>
    <row r="420" spans="1:19" x14ac:dyDescent="0.2">
      <c r="A420" t="s">
        <v>1031</v>
      </c>
      <c r="B420" t="s">
        <v>67</v>
      </c>
      <c r="C420" t="s">
        <v>607</v>
      </c>
      <c r="D420">
        <v>280.57</v>
      </c>
      <c r="E420" s="37" t="str">
        <f t="shared" si="30"/>
        <v xml:space="preserve"> </v>
      </c>
      <c r="F420">
        <v>0.4</v>
      </c>
      <c r="G420" s="37" t="str">
        <f t="shared" si="31"/>
        <v>Heavy Discount</v>
      </c>
      <c r="H420" s="37" t="str">
        <f t="shared" si="32"/>
        <v>Medium</v>
      </c>
      <c r="I420">
        <v>7</v>
      </c>
      <c r="J420" t="str" cm="1">
        <f t="array" ref="J420">_xlfn.IFS(I420&lt;=3,"small",I420&lt;=6,"Medium",I420&lt;=9,"Large")</f>
        <v>Large</v>
      </c>
      <c r="K420" s="36">
        <v>45520</v>
      </c>
      <c r="L420" s="36">
        <v>45527</v>
      </c>
      <c r="M420" t="s">
        <v>603</v>
      </c>
      <c r="N420" t="s">
        <v>608</v>
      </c>
      <c r="O420" s="37" t="str">
        <f t="shared" si="33"/>
        <v>Cash Payment</v>
      </c>
      <c r="P420">
        <v>66.28</v>
      </c>
      <c r="Q420" s="37" t="str">
        <f>IF(P420&gt;500,"High","low")</f>
        <v>low</v>
      </c>
      <c r="R420" s="37" t="str">
        <f t="shared" si="34"/>
        <v>AVERAGE</v>
      </c>
      <c r="S420" t="s">
        <v>628</v>
      </c>
    </row>
    <row r="421" spans="1:19" x14ac:dyDescent="0.2">
      <c r="A421" t="s">
        <v>1032</v>
      </c>
      <c r="B421" t="s">
        <v>83</v>
      </c>
      <c r="C421" t="s">
        <v>617</v>
      </c>
      <c r="D421">
        <v>1340.68</v>
      </c>
      <c r="E421" s="37" t="str">
        <f t="shared" si="30"/>
        <v xml:space="preserve"> </v>
      </c>
      <c r="F421">
        <v>0.05</v>
      </c>
      <c r="G421" s="37" t="str">
        <f t="shared" si="31"/>
        <v>Normal Discount</v>
      </c>
      <c r="H421" s="37" t="str">
        <f t="shared" si="32"/>
        <v>Low</v>
      </c>
      <c r="I421">
        <v>1</v>
      </c>
      <c r="J421" t="str" cm="1">
        <f t="array" ref="J421">_xlfn.IFS(I421&lt;=3,"small",I421&lt;=6,"Medium",I421&lt;=9,"Large")</f>
        <v>small</v>
      </c>
      <c r="K421" s="36">
        <v>45060</v>
      </c>
      <c r="L421" s="36">
        <v>45061</v>
      </c>
      <c r="M421" t="s">
        <v>603</v>
      </c>
      <c r="N421" t="s">
        <v>604</v>
      </c>
      <c r="O421" s="37" t="str">
        <f t="shared" si="33"/>
        <v>Digital Payment</v>
      </c>
      <c r="P421">
        <v>256.22000000000003</v>
      </c>
      <c r="Q421" s="37" t="str">
        <f>IF(P421&gt;500,"High","low")</f>
        <v>low</v>
      </c>
      <c r="R421" s="37" t="str">
        <f t="shared" si="34"/>
        <v>AVERAGE</v>
      </c>
      <c r="S421" t="s">
        <v>615</v>
      </c>
    </row>
    <row r="422" spans="1:19" x14ac:dyDescent="0.2">
      <c r="A422" t="s">
        <v>1033</v>
      </c>
      <c r="B422" t="s">
        <v>83</v>
      </c>
      <c r="C422" t="s">
        <v>602</v>
      </c>
      <c r="D422">
        <v>4603.0600000000004</v>
      </c>
      <c r="E422" s="37" t="str">
        <f t="shared" si="30"/>
        <v xml:space="preserve"> </v>
      </c>
      <c r="F422">
        <v>0.31</v>
      </c>
      <c r="G422" s="37" t="str">
        <f t="shared" si="31"/>
        <v>Heavy Discount</v>
      </c>
      <c r="H422" s="37" t="str">
        <f t="shared" si="32"/>
        <v>Medium</v>
      </c>
      <c r="I422">
        <v>1</v>
      </c>
      <c r="J422" t="str" cm="1">
        <f t="array" ref="J422">_xlfn.IFS(I422&lt;=3,"small",I422&lt;=6,"Medium",I422&lt;=9,"Large")</f>
        <v>small</v>
      </c>
      <c r="K422" s="36">
        <v>45489</v>
      </c>
      <c r="L422" s="36">
        <v>45490</v>
      </c>
      <c r="M422" t="s">
        <v>598</v>
      </c>
      <c r="N422" t="s">
        <v>599</v>
      </c>
      <c r="O422" s="37" t="str">
        <f t="shared" si="33"/>
        <v>Digital Payment</v>
      </c>
      <c r="P422">
        <v>517.95000000000005</v>
      </c>
      <c r="Q422" s="37" t="str">
        <f>IF(P422&gt;500,"High","low")</f>
        <v>High</v>
      </c>
      <c r="R422" s="37" t="str">
        <f t="shared" si="34"/>
        <v>Good</v>
      </c>
      <c r="S422" t="s">
        <v>609</v>
      </c>
    </row>
    <row r="423" spans="1:19" x14ac:dyDescent="0.2">
      <c r="A423" t="s">
        <v>1034</v>
      </c>
      <c r="B423" t="s">
        <v>83</v>
      </c>
      <c r="C423" t="s">
        <v>597</v>
      </c>
      <c r="D423">
        <v>4335.22</v>
      </c>
      <c r="E423" s="37" t="str">
        <f t="shared" si="30"/>
        <v>Excellent Order</v>
      </c>
      <c r="F423">
        <v>0.24</v>
      </c>
      <c r="G423" s="37" t="str">
        <f t="shared" si="31"/>
        <v>Normal Discount</v>
      </c>
      <c r="H423" s="37" t="str">
        <f t="shared" si="32"/>
        <v>Medium</v>
      </c>
      <c r="I423">
        <v>7</v>
      </c>
      <c r="J423" t="str" cm="1">
        <f t="array" ref="J423">_xlfn.IFS(I423&lt;=3,"small",I423&lt;=6,"Medium",I423&lt;=9,"Large")</f>
        <v>Large</v>
      </c>
      <c r="K423" s="36">
        <v>45148</v>
      </c>
      <c r="L423" s="36">
        <v>45151</v>
      </c>
      <c r="M423" t="s">
        <v>598</v>
      </c>
      <c r="N423" t="s">
        <v>608</v>
      </c>
      <c r="O423" s="37" t="str">
        <f t="shared" si="33"/>
        <v>Cash Payment</v>
      </c>
      <c r="P423">
        <v>1006.56</v>
      </c>
      <c r="Q423" s="37" t="str">
        <f>IF(P423&gt;500,"High","low")</f>
        <v>High</v>
      </c>
      <c r="R423" s="37" t="str">
        <f t="shared" si="34"/>
        <v>Excellent</v>
      </c>
      <c r="S423" t="s">
        <v>615</v>
      </c>
    </row>
    <row r="424" spans="1:19" x14ac:dyDescent="0.2">
      <c r="A424" t="s">
        <v>1035</v>
      </c>
      <c r="B424" t="s">
        <v>83</v>
      </c>
      <c r="C424" t="s">
        <v>602</v>
      </c>
      <c r="D424">
        <v>3929.03</v>
      </c>
      <c r="E424" s="37" t="str">
        <f t="shared" si="30"/>
        <v xml:space="preserve"> </v>
      </c>
      <c r="F424">
        <v>0.5</v>
      </c>
      <c r="G424" s="37" t="str">
        <f t="shared" si="31"/>
        <v>Heavy Discount</v>
      </c>
      <c r="H424" s="37" t="str">
        <f t="shared" si="32"/>
        <v>High</v>
      </c>
      <c r="I424">
        <v>6</v>
      </c>
      <c r="J424" t="str" cm="1">
        <f t="array" ref="J424">_xlfn.IFS(I424&lt;=3,"small",I424&lt;=6,"Medium",I424&lt;=9,"Large")</f>
        <v>Medium</v>
      </c>
      <c r="K424" s="36">
        <v>45194</v>
      </c>
      <c r="L424" s="36">
        <v>45196</v>
      </c>
      <c r="M424" t="s">
        <v>603</v>
      </c>
      <c r="N424" t="s">
        <v>604</v>
      </c>
      <c r="O424" s="37" t="str">
        <f t="shared" si="33"/>
        <v>Digital Payment</v>
      </c>
      <c r="P424">
        <v>689.37</v>
      </c>
      <c r="Q424" s="37" t="str">
        <f>IF(P424&gt;500,"High","low")</f>
        <v>High</v>
      </c>
      <c r="R424" s="37" t="str">
        <f t="shared" si="34"/>
        <v>Good</v>
      </c>
      <c r="S424" t="s">
        <v>609</v>
      </c>
    </row>
    <row r="425" spans="1:19" x14ac:dyDescent="0.2">
      <c r="A425" t="s">
        <v>1036</v>
      </c>
      <c r="B425" t="s">
        <v>90</v>
      </c>
      <c r="C425" t="s">
        <v>614</v>
      </c>
      <c r="D425">
        <v>2341.98</v>
      </c>
      <c r="E425" s="37" t="str">
        <f t="shared" si="30"/>
        <v xml:space="preserve"> </v>
      </c>
      <c r="F425">
        <v>0.19</v>
      </c>
      <c r="G425" s="37" t="str">
        <f t="shared" si="31"/>
        <v>Normal Discount</v>
      </c>
      <c r="H425" s="37" t="str">
        <f t="shared" si="32"/>
        <v>Low</v>
      </c>
      <c r="I425">
        <v>4</v>
      </c>
      <c r="J425" t="str" cm="1">
        <f t="array" ref="J425">_xlfn.IFS(I425&lt;=3,"small",I425&lt;=6,"Medium",I425&lt;=9,"Large")</f>
        <v>Medium</v>
      </c>
      <c r="K425" s="36">
        <v>45641</v>
      </c>
      <c r="L425" s="36">
        <v>45642</v>
      </c>
      <c r="M425" t="s">
        <v>598</v>
      </c>
      <c r="N425" t="s">
        <v>599</v>
      </c>
      <c r="O425" s="37" t="str">
        <f t="shared" si="33"/>
        <v>Digital Payment</v>
      </c>
      <c r="P425">
        <v>654.1</v>
      </c>
      <c r="Q425" s="37" t="str">
        <f>IF(P425&gt;500,"High","low")</f>
        <v>High</v>
      </c>
      <c r="R425" s="37" t="str">
        <f t="shared" si="34"/>
        <v>Good</v>
      </c>
      <c r="S425" t="s">
        <v>628</v>
      </c>
    </row>
    <row r="426" spans="1:19" x14ac:dyDescent="0.2">
      <c r="A426" t="s">
        <v>1037</v>
      </c>
      <c r="B426" t="s">
        <v>67</v>
      </c>
      <c r="C426" t="s">
        <v>607</v>
      </c>
      <c r="D426">
        <v>1674.93</v>
      </c>
      <c r="E426" s="37" t="str">
        <f t="shared" si="30"/>
        <v xml:space="preserve"> </v>
      </c>
      <c r="F426">
        <v>0.48</v>
      </c>
      <c r="G426" s="37" t="str">
        <f t="shared" si="31"/>
        <v>Heavy Discount</v>
      </c>
      <c r="H426" s="37" t="str">
        <f t="shared" si="32"/>
        <v>High</v>
      </c>
      <c r="I426">
        <v>3</v>
      </c>
      <c r="J426" t="str" cm="1">
        <f t="array" ref="J426">_xlfn.IFS(I426&lt;=3,"small",I426&lt;=6,"Medium",I426&lt;=9,"Large")</f>
        <v>small</v>
      </c>
      <c r="K426" s="36">
        <v>45560</v>
      </c>
      <c r="L426" s="36">
        <v>45565</v>
      </c>
      <c r="M426" t="s">
        <v>612</v>
      </c>
      <c r="N426" t="s">
        <v>608</v>
      </c>
      <c r="O426" s="37" t="str">
        <f t="shared" si="33"/>
        <v>Cash Payment</v>
      </c>
      <c r="P426">
        <v>84.32</v>
      </c>
      <c r="Q426" s="37" t="str">
        <f>IF(P426&gt;500,"High","low")</f>
        <v>low</v>
      </c>
      <c r="R426" s="37" t="str">
        <f t="shared" si="34"/>
        <v>AVERAGE</v>
      </c>
      <c r="S426" t="s">
        <v>600</v>
      </c>
    </row>
    <row r="427" spans="1:19" x14ac:dyDescent="0.2">
      <c r="A427" t="s">
        <v>1038</v>
      </c>
      <c r="B427" t="s">
        <v>75</v>
      </c>
      <c r="C427" t="s">
        <v>614</v>
      </c>
      <c r="D427">
        <v>4419.57</v>
      </c>
      <c r="E427" s="37" t="str">
        <f t="shared" si="30"/>
        <v>Excellent Order</v>
      </c>
      <c r="F427">
        <v>0.2</v>
      </c>
      <c r="G427" s="37" t="str">
        <f t="shared" si="31"/>
        <v>Normal Discount</v>
      </c>
      <c r="H427" s="37" t="str">
        <f t="shared" si="32"/>
        <v>Medium</v>
      </c>
      <c r="I427">
        <v>5</v>
      </c>
      <c r="J427" t="str" cm="1">
        <f t="array" ref="J427">_xlfn.IFS(I427&lt;=3,"small",I427&lt;=6,"Medium",I427&lt;=9,"Large")</f>
        <v>Medium</v>
      </c>
      <c r="K427" s="36">
        <v>45058</v>
      </c>
      <c r="L427" s="36">
        <v>45060</v>
      </c>
      <c r="M427" t="s">
        <v>598</v>
      </c>
      <c r="N427" t="s">
        <v>604</v>
      </c>
      <c r="O427" s="37" t="str">
        <f t="shared" si="33"/>
        <v>Digital Payment</v>
      </c>
      <c r="P427">
        <v>1237.73</v>
      </c>
      <c r="Q427" s="37" t="str">
        <f>IF(P427&gt;500,"High","low")</f>
        <v>High</v>
      </c>
      <c r="R427" s="37" t="str">
        <f t="shared" si="34"/>
        <v>Excellent</v>
      </c>
      <c r="S427" t="s">
        <v>600</v>
      </c>
    </row>
    <row r="428" spans="1:19" x14ac:dyDescent="0.2">
      <c r="A428" t="s">
        <v>1039</v>
      </c>
      <c r="B428" t="s">
        <v>75</v>
      </c>
      <c r="C428" t="s">
        <v>617</v>
      </c>
      <c r="D428">
        <v>3319.66</v>
      </c>
      <c r="E428" s="37" t="str">
        <f t="shared" si="30"/>
        <v xml:space="preserve"> </v>
      </c>
      <c r="F428">
        <v>0.34</v>
      </c>
      <c r="G428" s="37" t="str">
        <f t="shared" si="31"/>
        <v>Heavy Discount</v>
      </c>
      <c r="H428" s="37" t="str">
        <f t="shared" si="32"/>
        <v>Medium</v>
      </c>
      <c r="I428">
        <v>5</v>
      </c>
      <c r="J428" t="str" cm="1">
        <f t="array" ref="J428">_xlfn.IFS(I428&lt;=3,"small",I428&lt;=6,"Medium",I428&lt;=9,"Large")</f>
        <v>Medium</v>
      </c>
      <c r="K428" s="36">
        <v>44978</v>
      </c>
      <c r="L428" s="36">
        <v>44980</v>
      </c>
      <c r="M428" t="s">
        <v>612</v>
      </c>
      <c r="N428" t="s">
        <v>604</v>
      </c>
      <c r="O428" s="37" t="str">
        <f t="shared" si="33"/>
        <v>Digital Payment</v>
      </c>
      <c r="P428">
        <v>954.37</v>
      </c>
      <c r="Q428" s="37" t="str">
        <f>IF(P428&gt;500,"High","low")</f>
        <v>High</v>
      </c>
      <c r="R428" s="37" t="str">
        <f t="shared" si="34"/>
        <v>Good</v>
      </c>
      <c r="S428" t="s">
        <v>620</v>
      </c>
    </row>
    <row r="429" spans="1:19" x14ac:dyDescent="0.2">
      <c r="A429" t="s">
        <v>1040</v>
      </c>
      <c r="B429" t="s">
        <v>67</v>
      </c>
      <c r="C429" t="s">
        <v>607</v>
      </c>
      <c r="D429">
        <v>1547.99</v>
      </c>
      <c r="E429" s="37" t="str">
        <f t="shared" si="30"/>
        <v xml:space="preserve"> </v>
      </c>
      <c r="F429">
        <v>0.32</v>
      </c>
      <c r="G429" s="37" t="str">
        <f t="shared" si="31"/>
        <v>Heavy Discount</v>
      </c>
      <c r="H429" s="37" t="str">
        <f t="shared" si="32"/>
        <v>Medium</v>
      </c>
      <c r="I429">
        <v>3</v>
      </c>
      <c r="J429" t="str" cm="1">
        <f t="array" ref="J429">_xlfn.IFS(I429&lt;=3,"small",I429&lt;=6,"Medium",I429&lt;=9,"Large")</f>
        <v>small</v>
      </c>
      <c r="K429" s="36">
        <v>45181</v>
      </c>
      <c r="L429" s="36">
        <v>45184</v>
      </c>
      <c r="M429" t="s">
        <v>598</v>
      </c>
      <c r="N429" t="s">
        <v>608</v>
      </c>
      <c r="O429" s="37" t="str">
        <f t="shared" si="33"/>
        <v>Cash Payment</v>
      </c>
      <c r="P429">
        <v>162.33000000000001</v>
      </c>
      <c r="Q429" s="37" t="str">
        <f>IF(P429&gt;500,"High","low")</f>
        <v>low</v>
      </c>
      <c r="R429" s="37" t="str">
        <f t="shared" si="34"/>
        <v>AVERAGE</v>
      </c>
      <c r="S429" t="s">
        <v>620</v>
      </c>
    </row>
    <row r="430" spans="1:19" x14ac:dyDescent="0.2">
      <c r="A430" t="s">
        <v>1041</v>
      </c>
      <c r="B430" t="s">
        <v>75</v>
      </c>
      <c r="C430" t="s">
        <v>597</v>
      </c>
      <c r="D430">
        <v>2369.66</v>
      </c>
      <c r="E430" s="37" t="str">
        <f t="shared" si="30"/>
        <v xml:space="preserve"> </v>
      </c>
      <c r="F430">
        <v>0.04</v>
      </c>
      <c r="G430" s="37" t="str">
        <f t="shared" si="31"/>
        <v>Normal Discount</v>
      </c>
      <c r="H430" s="37" t="str">
        <f t="shared" si="32"/>
        <v>Low</v>
      </c>
      <c r="I430">
        <v>6</v>
      </c>
      <c r="J430" t="str" cm="1">
        <f t="array" ref="J430">_xlfn.IFS(I430&lt;=3,"small",I430&lt;=6,"Medium",I430&lt;=9,"Large")</f>
        <v>Medium</v>
      </c>
      <c r="K430" s="36">
        <v>45235</v>
      </c>
      <c r="L430" s="36">
        <v>45241</v>
      </c>
      <c r="M430" t="s">
        <v>603</v>
      </c>
      <c r="N430" t="s">
        <v>599</v>
      </c>
      <c r="O430" s="37" t="str">
        <f t="shared" si="33"/>
        <v>Digital Payment</v>
      </c>
      <c r="P430">
        <v>639.24</v>
      </c>
      <c r="Q430" s="37" t="str">
        <f>IF(P430&gt;500,"High","low")</f>
        <v>High</v>
      </c>
      <c r="R430" s="37" t="str">
        <f t="shared" si="34"/>
        <v>Good</v>
      </c>
      <c r="S430" t="s">
        <v>615</v>
      </c>
    </row>
    <row r="431" spans="1:19" x14ac:dyDescent="0.2">
      <c r="A431" t="s">
        <v>1042</v>
      </c>
      <c r="B431" t="s">
        <v>67</v>
      </c>
      <c r="C431" t="s">
        <v>607</v>
      </c>
      <c r="D431">
        <v>4419.3500000000004</v>
      </c>
      <c r="E431" s="37" t="str">
        <f t="shared" si="30"/>
        <v>Excellent Order</v>
      </c>
      <c r="F431">
        <v>0.37</v>
      </c>
      <c r="G431" s="37" t="str">
        <f t="shared" si="31"/>
        <v>Heavy Discount</v>
      </c>
      <c r="H431" s="37" t="str">
        <f t="shared" si="32"/>
        <v>Medium</v>
      </c>
      <c r="I431">
        <v>3</v>
      </c>
      <c r="J431" t="str" cm="1">
        <f t="array" ref="J431">_xlfn.IFS(I431&lt;=3,"small",I431&lt;=6,"Medium",I431&lt;=9,"Large")</f>
        <v>small</v>
      </c>
      <c r="K431" s="36">
        <v>45275</v>
      </c>
      <c r="L431" s="36">
        <v>45276</v>
      </c>
      <c r="M431" t="s">
        <v>603</v>
      </c>
      <c r="N431" t="s">
        <v>608</v>
      </c>
      <c r="O431" s="37" t="str">
        <f t="shared" si="33"/>
        <v>Cash Payment</v>
      </c>
      <c r="P431">
        <v>872.99</v>
      </c>
      <c r="Q431" s="37" t="str">
        <f>IF(P431&gt;500,"High","low")</f>
        <v>High</v>
      </c>
      <c r="R431" s="37" t="str">
        <f t="shared" si="34"/>
        <v>Good</v>
      </c>
      <c r="S431" t="s">
        <v>605</v>
      </c>
    </row>
    <row r="432" spans="1:19" x14ac:dyDescent="0.2">
      <c r="A432" t="s">
        <v>1043</v>
      </c>
      <c r="B432" t="s">
        <v>75</v>
      </c>
      <c r="C432" t="s">
        <v>602</v>
      </c>
      <c r="D432">
        <v>4526.93</v>
      </c>
      <c r="E432" s="37" t="str">
        <f t="shared" si="30"/>
        <v xml:space="preserve"> </v>
      </c>
      <c r="F432">
        <v>0.1</v>
      </c>
      <c r="G432" s="37" t="str">
        <f t="shared" si="31"/>
        <v>Normal Discount</v>
      </c>
      <c r="H432" s="37" t="str">
        <f t="shared" si="32"/>
        <v>Low</v>
      </c>
      <c r="I432">
        <v>4</v>
      </c>
      <c r="J432" t="str" cm="1">
        <f t="array" ref="J432">_xlfn.IFS(I432&lt;=3,"small",I432&lt;=6,"Medium",I432&lt;=9,"Large")</f>
        <v>Medium</v>
      </c>
      <c r="K432" s="36">
        <v>45196</v>
      </c>
      <c r="L432" s="36">
        <v>45198</v>
      </c>
      <c r="M432" t="s">
        <v>598</v>
      </c>
      <c r="N432" t="s">
        <v>608</v>
      </c>
      <c r="O432" s="37" t="str">
        <f t="shared" si="33"/>
        <v>Cash Payment</v>
      </c>
      <c r="P432">
        <v>558.38</v>
      </c>
      <c r="Q432" s="37" t="str">
        <f>IF(P432&gt;500,"High","low")</f>
        <v>High</v>
      </c>
      <c r="R432" s="37" t="str">
        <f t="shared" si="34"/>
        <v>Good</v>
      </c>
      <c r="S432" t="s">
        <v>605</v>
      </c>
    </row>
    <row r="433" spans="1:19" x14ac:dyDescent="0.2">
      <c r="A433" t="s">
        <v>1044</v>
      </c>
      <c r="B433" t="s">
        <v>83</v>
      </c>
      <c r="C433" t="s">
        <v>602</v>
      </c>
      <c r="D433">
        <v>3330.58</v>
      </c>
      <c r="E433" s="37" t="str">
        <f t="shared" si="30"/>
        <v xml:space="preserve"> </v>
      </c>
      <c r="F433">
        <v>0.19</v>
      </c>
      <c r="G433" s="37" t="str">
        <f t="shared" si="31"/>
        <v>Normal Discount</v>
      </c>
      <c r="H433" s="37" t="str">
        <f t="shared" si="32"/>
        <v>Low</v>
      </c>
      <c r="I433">
        <v>3</v>
      </c>
      <c r="J433" t="str" cm="1">
        <f t="array" ref="J433">_xlfn.IFS(I433&lt;=3,"small",I433&lt;=6,"Medium",I433&lt;=9,"Large")</f>
        <v>small</v>
      </c>
      <c r="K433" s="36">
        <v>45331</v>
      </c>
      <c r="L433" s="36">
        <v>45334</v>
      </c>
      <c r="M433" t="s">
        <v>612</v>
      </c>
      <c r="N433" t="s">
        <v>599</v>
      </c>
      <c r="O433" s="37" t="str">
        <f t="shared" si="33"/>
        <v>Digital Payment</v>
      </c>
      <c r="P433">
        <v>728.97</v>
      </c>
      <c r="Q433" s="37" t="str">
        <f>IF(P433&gt;500,"High","low")</f>
        <v>High</v>
      </c>
      <c r="R433" s="37" t="str">
        <f t="shared" si="34"/>
        <v>Good</v>
      </c>
      <c r="S433" t="s">
        <v>620</v>
      </c>
    </row>
    <row r="434" spans="1:19" x14ac:dyDescent="0.2">
      <c r="A434" t="s">
        <v>1045</v>
      </c>
      <c r="B434" t="s">
        <v>75</v>
      </c>
      <c r="C434" t="s">
        <v>607</v>
      </c>
      <c r="D434">
        <v>3689.52</v>
      </c>
      <c r="E434" s="37" t="str">
        <f t="shared" si="30"/>
        <v xml:space="preserve"> </v>
      </c>
      <c r="F434">
        <v>0.39</v>
      </c>
      <c r="G434" s="37" t="str">
        <f t="shared" si="31"/>
        <v>Heavy Discount</v>
      </c>
      <c r="H434" s="37" t="str">
        <f t="shared" si="32"/>
        <v>Medium</v>
      </c>
      <c r="I434">
        <v>6</v>
      </c>
      <c r="J434" t="str" cm="1">
        <f t="array" ref="J434">_xlfn.IFS(I434&lt;=3,"small",I434&lt;=6,"Medium",I434&lt;=9,"Large")</f>
        <v>Medium</v>
      </c>
      <c r="K434" s="36">
        <v>45543</v>
      </c>
      <c r="L434" s="36">
        <v>45548</v>
      </c>
      <c r="M434" t="s">
        <v>612</v>
      </c>
      <c r="N434" t="s">
        <v>599</v>
      </c>
      <c r="O434" s="37" t="str">
        <f t="shared" si="33"/>
        <v>Digital Payment</v>
      </c>
      <c r="P434">
        <v>920.08</v>
      </c>
      <c r="Q434" s="37" t="str">
        <f>IF(P434&gt;500,"High","low")</f>
        <v>High</v>
      </c>
      <c r="R434" s="37" t="str">
        <f t="shared" si="34"/>
        <v>Good</v>
      </c>
      <c r="S434" t="s">
        <v>609</v>
      </c>
    </row>
    <row r="435" spans="1:19" x14ac:dyDescent="0.2">
      <c r="A435" t="s">
        <v>1046</v>
      </c>
      <c r="B435" t="s">
        <v>67</v>
      </c>
      <c r="C435" t="s">
        <v>617</v>
      </c>
      <c r="D435">
        <v>292.56</v>
      </c>
      <c r="E435" s="37" t="str">
        <f t="shared" si="30"/>
        <v xml:space="preserve"> </v>
      </c>
      <c r="F435">
        <v>0.47</v>
      </c>
      <c r="G435" s="37" t="str">
        <f t="shared" si="31"/>
        <v>Heavy Discount</v>
      </c>
      <c r="H435" s="37" t="str">
        <f t="shared" si="32"/>
        <v>High</v>
      </c>
      <c r="I435">
        <v>9</v>
      </c>
      <c r="J435" t="str" cm="1">
        <f t="array" ref="J435">_xlfn.IFS(I435&lt;=3,"small",I435&lt;=6,"Medium",I435&lt;=9,"Large")</f>
        <v>Large</v>
      </c>
      <c r="K435" s="36">
        <v>45085</v>
      </c>
      <c r="L435" s="36">
        <v>45088</v>
      </c>
      <c r="M435" t="s">
        <v>603</v>
      </c>
      <c r="N435" t="s">
        <v>604</v>
      </c>
      <c r="O435" s="37" t="str">
        <f t="shared" si="33"/>
        <v>Digital Payment</v>
      </c>
      <c r="P435">
        <v>45.46</v>
      </c>
      <c r="Q435" s="37" t="str">
        <f>IF(P435&gt;500,"High","low")</f>
        <v>low</v>
      </c>
      <c r="R435" s="37" t="str">
        <f t="shared" si="34"/>
        <v>AVERAGE</v>
      </c>
      <c r="S435" t="s">
        <v>620</v>
      </c>
    </row>
    <row r="436" spans="1:19" x14ac:dyDescent="0.2">
      <c r="A436" t="s">
        <v>1047</v>
      </c>
      <c r="B436" t="s">
        <v>67</v>
      </c>
      <c r="C436" t="s">
        <v>602</v>
      </c>
      <c r="D436">
        <v>3062.54</v>
      </c>
      <c r="E436" s="37" t="str">
        <f t="shared" si="30"/>
        <v xml:space="preserve"> </v>
      </c>
      <c r="F436">
        <v>0.28000000000000003</v>
      </c>
      <c r="G436" s="37" t="str">
        <f t="shared" si="31"/>
        <v>Normal Discount</v>
      </c>
      <c r="H436" s="37" t="str">
        <f t="shared" si="32"/>
        <v>Medium</v>
      </c>
      <c r="I436">
        <v>3</v>
      </c>
      <c r="J436" t="str" cm="1">
        <f t="array" ref="J436">_xlfn.IFS(I436&lt;=3,"small",I436&lt;=6,"Medium",I436&lt;=9,"Large")</f>
        <v>small</v>
      </c>
      <c r="K436" s="36">
        <v>45095</v>
      </c>
      <c r="L436" s="36">
        <v>45102</v>
      </c>
      <c r="M436" t="s">
        <v>612</v>
      </c>
      <c r="N436" t="s">
        <v>608</v>
      </c>
      <c r="O436" s="37" t="str">
        <f t="shared" si="33"/>
        <v>Cash Payment</v>
      </c>
      <c r="P436">
        <v>628.74</v>
      </c>
      <c r="Q436" s="37" t="str">
        <f>IF(P436&gt;500,"High","low")</f>
        <v>High</v>
      </c>
      <c r="R436" s="37" t="str">
        <f t="shared" si="34"/>
        <v>Good</v>
      </c>
      <c r="S436" t="s">
        <v>605</v>
      </c>
    </row>
    <row r="437" spans="1:19" x14ac:dyDescent="0.2">
      <c r="A437" t="s">
        <v>1048</v>
      </c>
      <c r="B437" t="s">
        <v>67</v>
      </c>
      <c r="C437" t="s">
        <v>602</v>
      </c>
      <c r="D437">
        <v>3476.06</v>
      </c>
      <c r="E437" s="37" t="str">
        <f t="shared" si="30"/>
        <v xml:space="preserve"> </v>
      </c>
      <c r="F437">
        <v>0.26</v>
      </c>
      <c r="G437" s="37" t="str">
        <f t="shared" si="31"/>
        <v>Normal Discount</v>
      </c>
      <c r="H437" s="37" t="str">
        <f t="shared" si="32"/>
        <v>Medium</v>
      </c>
      <c r="I437">
        <v>1</v>
      </c>
      <c r="J437" t="str" cm="1">
        <f t="array" ref="J437">_xlfn.IFS(I437&lt;=3,"small",I437&lt;=6,"Medium",I437&lt;=9,"Large")</f>
        <v>small</v>
      </c>
      <c r="K437" s="36">
        <v>45573</v>
      </c>
      <c r="L437" s="36">
        <v>45580</v>
      </c>
      <c r="M437" t="s">
        <v>603</v>
      </c>
      <c r="N437" t="s">
        <v>604</v>
      </c>
      <c r="O437" s="37" t="str">
        <f t="shared" si="33"/>
        <v>Digital Payment</v>
      </c>
      <c r="P437">
        <v>348.92</v>
      </c>
      <c r="Q437" s="37" t="str">
        <f>IF(P437&gt;500,"High","low")</f>
        <v>low</v>
      </c>
      <c r="R437" s="37" t="str">
        <f t="shared" si="34"/>
        <v>AVERAGE</v>
      </c>
      <c r="S437" t="s">
        <v>620</v>
      </c>
    </row>
    <row r="438" spans="1:19" x14ac:dyDescent="0.2">
      <c r="A438" t="s">
        <v>1049</v>
      </c>
      <c r="B438" t="s">
        <v>67</v>
      </c>
      <c r="C438" t="s">
        <v>597</v>
      </c>
      <c r="D438">
        <v>199.85</v>
      </c>
      <c r="E438" s="37" t="str">
        <f t="shared" si="30"/>
        <v xml:space="preserve"> </v>
      </c>
      <c r="F438">
        <v>0.25</v>
      </c>
      <c r="G438" s="37" t="str">
        <f t="shared" si="31"/>
        <v>Normal Discount</v>
      </c>
      <c r="H438" s="37" t="str">
        <f t="shared" si="32"/>
        <v>Medium</v>
      </c>
      <c r="I438">
        <v>7</v>
      </c>
      <c r="J438" t="str" cm="1">
        <f t="array" ref="J438">_xlfn.IFS(I438&lt;=3,"small",I438&lt;=6,"Medium",I438&lt;=9,"Large")</f>
        <v>Large</v>
      </c>
      <c r="K438" s="36">
        <v>45499</v>
      </c>
      <c r="L438" s="36">
        <v>45506</v>
      </c>
      <c r="M438" t="s">
        <v>598</v>
      </c>
      <c r="N438" t="s">
        <v>599</v>
      </c>
      <c r="O438" s="37" t="str">
        <f t="shared" si="33"/>
        <v>Digital Payment</v>
      </c>
      <c r="P438">
        <v>11.62</v>
      </c>
      <c r="Q438" s="37" t="str">
        <f>IF(P438&gt;500,"High","low")</f>
        <v>low</v>
      </c>
      <c r="R438" s="37" t="str">
        <f t="shared" si="34"/>
        <v>AVERAGE</v>
      </c>
      <c r="S438" t="s">
        <v>620</v>
      </c>
    </row>
    <row r="439" spans="1:19" x14ac:dyDescent="0.2">
      <c r="A439" t="s">
        <v>1050</v>
      </c>
      <c r="B439" t="s">
        <v>67</v>
      </c>
      <c r="C439" t="s">
        <v>607</v>
      </c>
      <c r="D439">
        <v>4234.91</v>
      </c>
      <c r="E439" s="37" t="str">
        <f t="shared" si="30"/>
        <v>Excellent Order</v>
      </c>
      <c r="F439">
        <v>0.41</v>
      </c>
      <c r="G439" s="37" t="str">
        <f t="shared" si="31"/>
        <v>Heavy Discount</v>
      </c>
      <c r="H439" s="37" t="str">
        <f t="shared" si="32"/>
        <v>High</v>
      </c>
      <c r="I439">
        <v>5</v>
      </c>
      <c r="J439" t="str" cm="1">
        <f t="array" ref="J439">_xlfn.IFS(I439&lt;=3,"small",I439&lt;=6,"Medium",I439&lt;=9,"Large")</f>
        <v>Medium</v>
      </c>
      <c r="K439" s="36">
        <v>45197</v>
      </c>
      <c r="L439" s="36">
        <v>45200</v>
      </c>
      <c r="M439" t="s">
        <v>598</v>
      </c>
      <c r="N439" t="s">
        <v>608</v>
      </c>
      <c r="O439" s="37" t="str">
        <f t="shared" si="33"/>
        <v>Cash Payment</v>
      </c>
      <c r="P439">
        <v>1202.19</v>
      </c>
      <c r="Q439" s="37" t="str">
        <f>IF(P439&gt;500,"High","low")</f>
        <v>High</v>
      </c>
      <c r="R439" s="37" t="str">
        <f t="shared" si="34"/>
        <v>Excellent</v>
      </c>
      <c r="S439" t="s">
        <v>605</v>
      </c>
    </row>
    <row r="440" spans="1:19" x14ac:dyDescent="0.2">
      <c r="A440" t="s">
        <v>1051</v>
      </c>
      <c r="B440" t="s">
        <v>90</v>
      </c>
      <c r="C440" t="s">
        <v>602</v>
      </c>
      <c r="D440">
        <v>4648.6000000000004</v>
      </c>
      <c r="E440" s="37" t="str">
        <f t="shared" si="30"/>
        <v xml:space="preserve"> </v>
      </c>
      <c r="F440">
        <v>0.5</v>
      </c>
      <c r="G440" s="37" t="str">
        <f t="shared" si="31"/>
        <v>Heavy Discount</v>
      </c>
      <c r="H440" s="37" t="str">
        <f t="shared" si="32"/>
        <v>High</v>
      </c>
      <c r="I440">
        <v>4</v>
      </c>
      <c r="J440" t="str" cm="1">
        <f t="array" ref="J440">_xlfn.IFS(I440&lt;=3,"small",I440&lt;=6,"Medium",I440&lt;=9,"Large")</f>
        <v>Medium</v>
      </c>
      <c r="K440" s="36">
        <v>45544</v>
      </c>
      <c r="L440" s="36">
        <v>45550</v>
      </c>
      <c r="M440" t="s">
        <v>598</v>
      </c>
      <c r="N440" t="s">
        <v>608</v>
      </c>
      <c r="O440" s="37" t="str">
        <f t="shared" si="33"/>
        <v>Cash Payment</v>
      </c>
      <c r="P440">
        <v>411.68</v>
      </c>
      <c r="Q440" s="37" t="str">
        <f>IF(P440&gt;500,"High","low")</f>
        <v>low</v>
      </c>
      <c r="R440" s="37" t="str">
        <f t="shared" si="34"/>
        <v>AVERAGE</v>
      </c>
      <c r="S440" t="s">
        <v>600</v>
      </c>
    </row>
    <row r="441" spans="1:19" x14ac:dyDescent="0.2">
      <c r="A441" t="s">
        <v>1052</v>
      </c>
      <c r="B441" t="s">
        <v>90</v>
      </c>
      <c r="C441" t="s">
        <v>617</v>
      </c>
      <c r="D441">
        <v>1265.8900000000001</v>
      </c>
      <c r="E441" s="37" t="str">
        <f t="shared" si="30"/>
        <v xml:space="preserve"> </v>
      </c>
      <c r="F441">
        <v>0.32</v>
      </c>
      <c r="G441" s="37" t="str">
        <f t="shared" si="31"/>
        <v>Heavy Discount</v>
      </c>
      <c r="H441" s="37" t="str">
        <f t="shared" si="32"/>
        <v>Medium</v>
      </c>
      <c r="I441">
        <v>3</v>
      </c>
      <c r="J441" t="str" cm="1">
        <f t="array" ref="J441">_xlfn.IFS(I441&lt;=3,"small",I441&lt;=6,"Medium",I441&lt;=9,"Large")</f>
        <v>small</v>
      </c>
      <c r="K441" s="36">
        <v>45403</v>
      </c>
      <c r="L441" s="36">
        <v>45410</v>
      </c>
      <c r="M441" t="s">
        <v>603</v>
      </c>
      <c r="N441" t="s">
        <v>608</v>
      </c>
      <c r="O441" s="37" t="str">
        <f t="shared" si="33"/>
        <v>Cash Payment</v>
      </c>
      <c r="P441">
        <v>225.89</v>
      </c>
      <c r="Q441" s="37" t="str">
        <f>IF(P441&gt;500,"High","low")</f>
        <v>low</v>
      </c>
      <c r="R441" s="37" t="str">
        <f t="shared" si="34"/>
        <v>AVERAGE</v>
      </c>
      <c r="S441" t="s">
        <v>609</v>
      </c>
    </row>
    <row r="442" spans="1:19" x14ac:dyDescent="0.2">
      <c r="A442" t="s">
        <v>1053</v>
      </c>
      <c r="B442" t="s">
        <v>75</v>
      </c>
      <c r="C442" t="s">
        <v>614</v>
      </c>
      <c r="D442">
        <v>4244.3999999999996</v>
      </c>
      <c r="E442" s="37" t="str">
        <f t="shared" si="30"/>
        <v xml:space="preserve"> </v>
      </c>
      <c r="F442">
        <v>0.19</v>
      </c>
      <c r="G442" s="37" t="str">
        <f t="shared" si="31"/>
        <v>Normal Discount</v>
      </c>
      <c r="H442" s="37" t="str">
        <f t="shared" si="32"/>
        <v>Low</v>
      </c>
      <c r="I442">
        <v>7</v>
      </c>
      <c r="J442" t="str" cm="1">
        <f t="array" ref="J442">_xlfn.IFS(I442&lt;=3,"small",I442&lt;=6,"Medium",I442&lt;=9,"Large")</f>
        <v>Large</v>
      </c>
      <c r="K442" s="36">
        <v>45325</v>
      </c>
      <c r="L442" s="36">
        <v>45328</v>
      </c>
      <c r="M442" t="s">
        <v>598</v>
      </c>
      <c r="N442" t="s">
        <v>599</v>
      </c>
      <c r="O442" s="37" t="str">
        <f t="shared" si="33"/>
        <v>Digital Payment</v>
      </c>
      <c r="P442">
        <v>302.62</v>
      </c>
      <c r="Q442" s="37" t="str">
        <f>IF(P442&gt;500,"High","low")</f>
        <v>low</v>
      </c>
      <c r="R442" s="37" t="str">
        <f t="shared" si="34"/>
        <v>AVERAGE</v>
      </c>
      <c r="S442" t="s">
        <v>605</v>
      </c>
    </row>
    <row r="443" spans="1:19" x14ac:dyDescent="0.2">
      <c r="A443" t="s">
        <v>1054</v>
      </c>
      <c r="B443" t="s">
        <v>67</v>
      </c>
      <c r="C443" t="s">
        <v>607</v>
      </c>
      <c r="D443">
        <v>3361.01</v>
      </c>
      <c r="E443" s="37" t="str">
        <f t="shared" si="30"/>
        <v xml:space="preserve"> </v>
      </c>
      <c r="F443">
        <v>0.11</v>
      </c>
      <c r="G443" s="37" t="str">
        <f t="shared" si="31"/>
        <v>Normal Discount</v>
      </c>
      <c r="H443" s="37" t="str">
        <f t="shared" si="32"/>
        <v>Low</v>
      </c>
      <c r="I443">
        <v>2</v>
      </c>
      <c r="J443" t="str" cm="1">
        <f t="array" ref="J443">_xlfn.IFS(I443&lt;=3,"small",I443&lt;=6,"Medium",I443&lt;=9,"Large")</f>
        <v>small</v>
      </c>
      <c r="K443" s="36">
        <v>45267</v>
      </c>
      <c r="L443" s="36">
        <v>45274</v>
      </c>
      <c r="M443" t="s">
        <v>612</v>
      </c>
      <c r="N443" t="s">
        <v>599</v>
      </c>
      <c r="O443" s="37" t="str">
        <f t="shared" si="33"/>
        <v>Digital Payment</v>
      </c>
      <c r="P443">
        <v>887.13</v>
      </c>
      <c r="Q443" s="37" t="str">
        <f>IF(P443&gt;500,"High","low")</f>
        <v>High</v>
      </c>
      <c r="R443" s="37" t="str">
        <f t="shared" si="34"/>
        <v>Good</v>
      </c>
      <c r="S443" t="s">
        <v>609</v>
      </c>
    </row>
    <row r="444" spans="1:19" x14ac:dyDescent="0.2">
      <c r="A444" t="s">
        <v>1055</v>
      </c>
      <c r="B444" t="s">
        <v>75</v>
      </c>
      <c r="C444" t="s">
        <v>597</v>
      </c>
      <c r="D444">
        <v>2945.41</v>
      </c>
      <c r="E444" s="37" t="str">
        <f t="shared" si="30"/>
        <v xml:space="preserve"> </v>
      </c>
      <c r="F444">
        <v>0.1</v>
      </c>
      <c r="G444" s="37" t="str">
        <f t="shared" si="31"/>
        <v>Normal Discount</v>
      </c>
      <c r="H444" s="37" t="str">
        <f t="shared" si="32"/>
        <v>Low</v>
      </c>
      <c r="I444">
        <v>4</v>
      </c>
      <c r="J444" t="str" cm="1">
        <f t="array" ref="J444">_xlfn.IFS(I444&lt;=3,"small",I444&lt;=6,"Medium",I444&lt;=9,"Large")</f>
        <v>Medium</v>
      </c>
      <c r="K444" s="36">
        <v>45543</v>
      </c>
      <c r="L444" s="36">
        <v>45544</v>
      </c>
      <c r="M444" t="s">
        <v>603</v>
      </c>
      <c r="N444" t="s">
        <v>608</v>
      </c>
      <c r="O444" s="37" t="str">
        <f t="shared" si="33"/>
        <v>Cash Payment</v>
      </c>
      <c r="P444">
        <v>715.35</v>
      </c>
      <c r="Q444" s="37" t="str">
        <f>IF(P444&gt;500,"High","low")</f>
        <v>High</v>
      </c>
      <c r="R444" s="37" t="str">
        <f t="shared" si="34"/>
        <v>Good</v>
      </c>
      <c r="S444" t="s">
        <v>628</v>
      </c>
    </row>
    <row r="445" spans="1:19" x14ac:dyDescent="0.2">
      <c r="A445" t="s">
        <v>1056</v>
      </c>
      <c r="B445" t="s">
        <v>67</v>
      </c>
      <c r="C445" t="s">
        <v>602</v>
      </c>
      <c r="D445">
        <v>4231.32</v>
      </c>
      <c r="E445" s="37" t="str">
        <f t="shared" si="30"/>
        <v xml:space="preserve"> </v>
      </c>
      <c r="F445">
        <v>0.43</v>
      </c>
      <c r="G445" s="37" t="str">
        <f t="shared" si="31"/>
        <v>Heavy Discount</v>
      </c>
      <c r="H445" s="37" t="str">
        <f t="shared" si="32"/>
        <v>High</v>
      </c>
      <c r="I445">
        <v>2</v>
      </c>
      <c r="J445" t="str" cm="1">
        <f t="array" ref="J445">_xlfn.IFS(I445&lt;=3,"small",I445&lt;=6,"Medium",I445&lt;=9,"Large")</f>
        <v>small</v>
      </c>
      <c r="K445" s="36">
        <v>45526</v>
      </c>
      <c r="L445" s="36">
        <v>45529</v>
      </c>
      <c r="M445" t="s">
        <v>612</v>
      </c>
      <c r="N445" t="s">
        <v>608</v>
      </c>
      <c r="O445" s="37" t="str">
        <f t="shared" si="33"/>
        <v>Cash Payment</v>
      </c>
      <c r="P445">
        <v>416.16</v>
      </c>
      <c r="Q445" s="37" t="str">
        <f>IF(P445&gt;500,"High","low")</f>
        <v>low</v>
      </c>
      <c r="R445" s="37" t="str">
        <f t="shared" si="34"/>
        <v>AVERAGE</v>
      </c>
      <c r="S445" t="s">
        <v>600</v>
      </c>
    </row>
    <row r="446" spans="1:19" x14ac:dyDescent="0.2">
      <c r="A446" t="s">
        <v>1057</v>
      </c>
      <c r="B446" t="s">
        <v>67</v>
      </c>
      <c r="C446" t="s">
        <v>617</v>
      </c>
      <c r="D446">
        <v>1499.49</v>
      </c>
      <c r="E446" s="37" t="str">
        <f t="shared" si="30"/>
        <v xml:space="preserve"> </v>
      </c>
      <c r="F446">
        <v>0.5</v>
      </c>
      <c r="G446" s="37" t="str">
        <f t="shared" si="31"/>
        <v>Heavy Discount</v>
      </c>
      <c r="H446" s="37" t="str">
        <f t="shared" si="32"/>
        <v>High</v>
      </c>
      <c r="I446">
        <v>8</v>
      </c>
      <c r="J446" t="str" cm="1">
        <f t="array" ref="J446">_xlfn.IFS(I446&lt;=3,"small",I446&lt;=6,"Medium",I446&lt;=9,"Large")</f>
        <v>Large</v>
      </c>
      <c r="K446" s="36">
        <v>44933</v>
      </c>
      <c r="L446" s="36">
        <v>44938</v>
      </c>
      <c r="M446" t="s">
        <v>598</v>
      </c>
      <c r="N446" t="s">
        <v>599</v>
      </c>
      <c r="O446" s="37" t="str">
        <f t="shared" si="33"/>
        <v>Digital Payment</v>
      </c>
      <c r="P446">
        <v>380.04</v>
      </c>
      <c r="Q446" s="37" t="str">
        <f>IF(P446&gt;500,"High","low")</f>
        <v>low</v>
      </c>
      <c r="R446" s="37" t="str">
        <f t="shared" si="34"/>
        <v>AVERAGE</v>
      </c>
      <c r="S446" t="s">
        <v>609</v>
      </c>
    </row>
    <row r="447" spans="1:19" x14ac:dyDescent="0.2">
      <c r="A447" t="s">
        <v>1058</v>
      </c>
      <c r="B447" t="s">
        <v>90</v>
      </c>
      <c r="C447" t="s">
        <v>607</v>
      </c>
      <c r="D447">
        <v>3975.2</v>
      </c>
      <c r="E447" s="37" t="str">
        <f t="shared" si="30"/>
        <v xml:space="preserve"> </v>
      </c>
      <c r="F447">
        <v>0.35</v>
      </c>
      <c r="G447" s="37" t="str">
        <f t="shared" si="31"/>
        <v>Heavy Discount</v>
      </c>
      <c r="H447" s="37" t="str">
        <f t="shared" si="32"/>
        <v>Medium</v>
      </c>
      <c r="I447">
        <v>3</v>
      </c>
      <c r="J447" t="str" cm="1">
        <f t="array" ref="J447">_xlfn.IFS(I447&lt;=3,"small",I447&lt;=6,"Medium",I447&lt;=9,"Large")</f>
        <v>small</v>
      </c>
      <c r="K447" s="36">
        <v>44950</v>
      </c>
      <c r="L447" s="36">
        <v>44952</v>
      </c>
      <c r="M447" t="s">
        <v>603</v>
      </c>
      <c r="N447" t="s">
        <v>599</v>
      </c>
      <c r="O447" s="37" t="str">
        <f t="shared" si="33"/>
        <v>Digital Payment</v>
      </c>
      <c r="P447">
        <v>537.94000000000005</v>
      </c>
      <c r="Q447" s="37" t="str">
        <f>IF(P447&gt;500,"High","low")</f>
        <v>High</v>
      </c>
      <c r="R447" s="37" t="str">
        <f t="shared" si="34"/>
        <v>Good</v>
      </c>
      <c r="S447" t="s">
        <v>600</v>
      </c>
    </row>
    <row r="448" spans="1:19" x14ac:dyDescent="0.2">
      <c r="A448" t="s">
        <v>1059</v>
      </c>
      <c r="B448" t="s">
        <v>90</v>
      </c>
      <c r="C448" t="s">
        <v>617</v>
      </c>
      <c r="D448">
        <v>1641.15</v>
      </c>
      <c r="E448" s="37" t="str">
        <f t="shared" si="30"/>
        <v xml:space="preserve"> </v>
      </c>
      <c r="F448">
        <v>0.48</v>
      </c>
      <c r="G448" s="37" t="str">
        <f t="shared" si="31"/>
        <v>Heavy Discount</v>
      </c>
      <c r="H448" s="37" t="str">
        <f t="shared" si="32"/>
        <v>High</v>
      </c>
      <c r="I448">
        <v>5</v>
      </c>
      <c r="J448" t="str" cm="1">
        <f t="array" ref="J448">_xlfn.IFS(I448&lt;=3,"small",I448&lt;=6,"Medium",I448&lt;=9,"Large")</f>
        <v>Medium</v>
      </c>
      <c r="K448" s="36">
        <v>45495</v>
      </c>
      <c r="L448" s="36">
        <v>45502</v>
      </c>
      <c r="M448" t="s">
        <v>603</v>
      </c>
      <c r="N448" t="s">
        <v>599</v>
      </c>
      <c r="O448" s="37" t="str">
        <f t="shared" si="33"/>
        <v>Digital Payment</v>
      </c>
      <c r="P448">
        <v>426.36</v>
      </c>
      <c r="Q448" s="37" t="str">
        <f>IF(P448&gt;500,"High","low")</f>
        <v>low</v>
      </c>
      <c r="R448" s="37" t="str">
        <f t="shared" si="34"/>
        <v>AVERAGE</v>
      </c>
      <c r="S448" t="s">
        <v>609</v>
      </c>
    </row>
    <row r="449" spans="1:19" x14ac:dyDescent="0.2">
      <c r="A449" t="s">
        <v>1060</v>
      </c>
      <c r="B449" t="s">
        <v>83</v>
      </c>
      <c r="C449" t="s">
        <v>617</v>
      </c>
      <c r="D449">
        <v>3958.54</v>
      </c>
      <c r="E449" s="37" t="str">
        <f t="shared" si="30"/>
        <v xml:space="preserve"> </v>
      </c>
      <c r="F449">
        <v>0.17</v>
      </c>
      <c r="G449" s="37" t="str">
        <f t="shared" si="31"/>
        <v>Normal Discount</v>
      </c>
      <c r="H449" s="37" t="str">
        <f t="shared" si="32"/>
        <v>Low</v>
      </c>
      <c r="I449">
        <v>4</v>
      </c>
      <c r="J449" t="str" cm="1">
        <f t="array" ref="J449">_xlfn.IFS(I449&lt;=3,"small",I449&lt;=6,"Medium",I449&lt;=9,"Large")</f>
        <v>Medium</v>
      </c>
      <c r="K449" s="36">
        <v>45653</v>
      </c>
      <c r="L449" s="36">
        <v>45660</v>
      </c>
      <c r="M449" t="s">
        <v>603</v>
      </c>
      <c r="N449" t="s">
        <v>608</v>
      </c>
      <c r="O449" s="37" t="str">
        <f t="shared" si="33"/>
        <v>Cash Payment</v>
      </c>
      <c r="P449">
        <v>446.02</v>
      </c>
      <c r="Q449" s="37" t="str">
        <f>IF(P449&gt;500,"High","low")</f>
        <v>low</v>
      </c>
      <c r="R449" s="37" t="str">
        <f t="shared" si="34"/>
        <v>AVERAGE</v>
      </c>
      <c r="S449" t="s">
        <v>600</v>
      </c>
    </row>
    <row r="450" spans="1:19" x14ac:dyDescent="0.2">
      <c r="A450" t="s">
        <v>1061</v>
      </c>
      <c r="B450" t="s">
        <v>90</v>
      </c>
      <c r="C450" t="s">
        <v>597</v>
      </c>
      <c r="D450">
        <v>2310.16</v>
      </c>
      <c r="E450" s="37" t="str">
        <f t="shared" si="30"/>
        <v xml:space="preserve"> </v>
      </c>
      <c r="F450">
        <v>0.31</v>
      </c>
      <c r="G450" s="37" t="str">
        <f t="shared" si="31"/>
        <v>Heavy Discount</v>
      </c>
      <c r="H450" s="37" t="str">
        <f t="shared" si="32"/>
        <v>Medium</v>
      </c>
      <c r="I450">
        <v>5</v>
      </c>
      <c r="J450" t="str" cm="1">
        <f t="array" ref="J450">_xlfn.IFS(I450&lt;=3,"small",I450&lt;=6,"Medium",I450&lt;=9,"Large")</f>
        <v>Medium</v>
      </c>
      <c r="K450" s="36">
        <v>45246</v>
      </c>
      <c r="L450" s="36">
        <v>45250</v>
      </c>
      <c r="M450" t="s">
        <v>598</v>
      </c>
      <c r="N450" t="s">
        <v>604</v>
      </c>
      <c r="O450" s="37" t="str">
        <f t="shared" si="33"/>
        <v>Digital Payment</v>
      </c>
      <c r="P450">
        <v>387.87</v>
      </c>
      <c r="Q450" s="37" t="str">
        <f>IF(P450&gt;500,"High","low")</f>
        <v>low</v>
      </c>
      <c r="R450" s="37" t="str">
        <f t="shared" si="34"/>
        <v>AVERAGE</v>
      </c>
      <c r="S450" t="s">
        <v>609</v>
      </c>
    </row>
    <row r="451" spans="1:19" x14ac:dyDescent="0.2">
      <c r="A451" t="s">
        <v>1062</v>
      </c>
      <c r="B451" t="s">
        <v>83</v>
      </c>
      <c r="C451" t="s">
        <v>607</v>
      </c>
      <c r="D451">
        <v>673.03</v>
      </c>
      <c r="E451" s="37" t="str">
        <f t="shared" ref="E451:E514" si="35">IF(AND(D451&gt;4000,P451&gt;800),"Excellent Order"," ")</f>
        <v xml:space="preserve"> </v>
      </c>
      <c r="F451">
        <v>0.26</v>
      </c>
      <c r="G451" s="37" t="str">
        <f t="shared" ref="G451:G514" si="36">IF(F451&gt;30%,"Heavy Discount","Normal Discount")</f>
        <v>Normal Discount</v>
      </c>
      <c r="H451" s="37" t="str">
        <f t="shared" ref="H451:H514" si="37">IF(F451&gt;0.4,"High",IF(F451&gt;=0.2,"Medium","Low"))</f>
        <v>Medium</v>
      </c>
      <c r="I451">
        <v>4</v>
      </c>
      <c r="J451" t="str" cm="1">
        <f t="array" ref="J451">_xlfn.IFS(I451&lt;=3,"small",I451&lt;=6,"Medium",I451&lt;=9,"Large")</f>
        <v>Medium</v>
      </c>
      <c r="K451" s="36">
        <v>45463</v>
      </c>
      <c r="L451" s="36">
        <v>45470</v>
      </c>
      <c r="M451" t="s">
        <v>603</v>
      </c>
      <c r="N451" t="s">
        <v>604</v>
      </c>
      <c r="O451" s="37" t="str">
        <f t="shared" ref="O451:O514" si="38">IF(OR(N451="Card",N451="UPI"),"Digital Payment","Cash Payment")</f>
        <v>Digital Payment</v>
      </c>
      <c r="P451">
        <v>77.650000000000006</v>
      </c>
      <c r="Q451" s="37" t="str">
        <f>IF(P451&gt;500,"High","low")</f>
        <v>low</v>
      </c>
      <c r="R451" s="37" t="str">
        <f t="shared" ref="R451:R514" si="39">IF(P451&gt;1000,"Excellent",IF(P451&gt;=500,"Good","AVERAGE"))</f>
        <v>AVERAGE</v>
      </c>
      <c r="S451" t="s">
        <v>600</v>
      </c>
    </row>
    <row r="452" spans="1:19" x14ac:dyDescent="0.2">
      <c r="A452" t="s">
        <v>1063</v>
      </c>
      <c r="B452" t="s">
        <v>83</v>
      </c>
      <c r="C452" t="s">
        <v>602</v>
      </c>
      <c r="D452">
        <v>1969.45</v>
      </c>
      <c r="E452" s="37" t="str">
        <f t="shared" si="35"/>
        <v xml:space="preserve"> </v>
      </c>
      <c r="F452">
        <v>0.24</v>
      </c>
      <c r="G452" s="37" t="str">
        <f t="shared" si="36"/>
        <v>Normal Discount</v>
      </c>
      <c r="H452" s="37" t="str">
        <f t="shared" si="37"/>
        <v>Medium</v>
      </c>
      <c r="I452">
        <v>8</v>
      </c>
      <c r="J452" t="str" cm="1">
        <f t="array" ref="J452">_xlfn.IFS(I452&lt;=3,"small",I452&lt;=6,"Medium",I452&lt;=9,"Large")</f>
        <v>Large</v>
      </c>
      <c r="K452" s="36">
        <v>45382</v>
      </c>
      <c r="L452" s="36">
        <v>45388</v>
      </c>
      <c r="M452" t="s">
        <v>603</v>
      </c>
      <c r="N452" t="s">
        <v>608</v>
      </c>
      <c r="O452" s="37" t="str">
        <f t="shared" si="38"/>
        <v>Cash Payment</v>
      </c>
      <c r="P452">
        <v>428.31</v>
      </c>
      <c r="Q452" s="37" t="str">
        <f>IF(P452&gt;500,"High","low")</f>
        <v>low</v>
      </c>
      <c r="R452" s="37" t="str">
        <f t="shared" si="39"/>
        <v>AVERAGE</v>
      </c>
      <c r="S452" t="s">
        <v>615</v>
      </c>
    </row>
    <row r="453" spans="1:19" x14ac:dyDescent="0.2">
      <c r="A453" t="s">
        <v>1064</v>
      </c>
      <c r="B453" t="s">
        <v>83</v>
      </c>
      <c r="C453" t="s">
        <v>597</v>
      </c>
      <c r="D453">
        <v>1244.1199999999999</v>
      </c>
      <c r="E453" s="37" t="str">
        <f t="shared" si="35"/>
        <v xml:space="preserve"> </v>
      </c>
      <c r="F453">
        <v>0.32</v>
      </c>
      <c r="G453" s="37" t="str">
        <f t="shared" si="36"/>
        <v>Heavy Discount</v>
      </c>
      <c r="H453" s="37" t="str">
        <f t="shared" si="37"/>
        <v>Medium</v>
      </c>
      <c r="I453">
        <v>6</v>
      </c>
      <c r="J453" t="str" cm="1">
        <f t="array" ref="J453">_xlfn.IFS(I453&lt;=3,"small",I453&lt;=6,"Medium",I453&lt;=9,"Large")</f>
        <v>Medium</v>
      </c>
      <c r="K453" s="36">
        <v>45344</v>
      </c>
      <c r="L453" s="36">
        <v>45345</v>
      </c>
      <c r="M453" t="s">
        <v>598</v>
      </c>
      <c r="N453" t="s">
        <v>604</v>
      </c>
      <c r="O453" s="37" t="str">
        <f t="shared" si="38"/>
        <v>Digital Payment</v>
      </c>
      <c r="P453">
        <v>79.13</v>
      </c>
      <c r="Q453" s="37" t="str">
        <f>IF(P453&gt;500,"High","low")</f>
        <v>low</v>
      </c>
      <c r="R453" s="37" t="str">
        <f t="shared" si="39"/>
        <v>AVERAGE</v>
      </c>
      <c r="S453" t="s">
        <v>628</v>
      </c>
    </row>
    <row r="454" spans="1:19" x14ac:dyDescent="0.2">
      <c r="A454" t="s">
        <v>1065</v>
      </c>
      <c r="B454" t="s">
        <v>83</v>
      </c>
      <c r="C454" t="s">
        <v>602</v>
      </c>
      <c r="D454">
        <v>592.6</v>
      </c>
      <c r="E454" s="37" t="str">
        <f t="shared" si="35"/>
        <v xml:space="preserve"> </v>
      </c>
      <c r="F454">
        <v>0.16</v>
      </c>
      <c r="G454" s="37" t="str">
        <f t="shared" si="36"/>
        <v>Normal Discount</v>
      </c>
      <c r="H454" s="37" t="str">
        <f t="shared" si="37"/>
        <v>Low</v>
      </c>
      <c r="I454">
        <v>1</v>
      </c>
      <c r="J454" t="str" cm="1">
        <f t="array" ref="J454">_xlfn.IFS(I454&lt;=3,"small",I454&lt;=6,"Medium",I454&lt;=9,"Large")</f>
        <v>small</v>
      </c>
      <c r="K454" s="36">
        <v>45409</v>
      </c>
      <c r="L454" s="36">
        <v>45413</v>
      </c>
      <c r="M454" t="s">
        <v>598</v>
      </c>
      <c r="N454" t="s">
        <v>608</v>
      </c>
      <c r="O454" s="37" t="str">
        <f t="shared" si="38"/>
        <v>Cash Payment</v>
      </c>
      <c r="P454">
        <v>115.42</v>
      </c>
      <c r="Q454" s="37" t="str">
        <f>IF(P454&gt;500,"High","low")</f>
        <v>low</v>
      </c>
      <c r="R454" s="37" t="str">
        <f t="shared" si="39"/>
        <v>AVERAGE</v>
      </c>
      <c r="S454" t="s">
        <v>615</v>
      </c>
    </row>
    <row r="455" spans="1:19" x14ac:dyDescent="0.2">
      <c r="A455" t="s">
        <v>1066</v>
      </c>
      <c r="B455" t="s">
        <v>83</v>
      </c>
      <c r="C455" t="s">
        <v>614</v>
      </c>
      <c r="D455">
        <v>640.41</v>
      </c>
      <c r="E455" s="37" t="str">
        <f t="shared" si="35"/>
        <v xml:space="preserve"> </v>
      </c>
      <c r="F455">
        <v>0.32</v>
      </c>
      <c r="G455" s="37" t="str">
        <f t="shared" si="36"/>
        <v>Heavy Discount</v>
      </c>
      <c r="H455" s="37" t="str">
        <f t="shared" si="37"/>
        <v>Medium</v>
      </c>
      <c r="I455">
        <v>5</v>
      </c>
      <c r="J455" t="str" cm="1">
        <f t="array" ref="J455">_xlfn.IFS(I455&lt;=3,"small",I455&lt;=6,"Medium",I455&lt;=9,"Large")</f>
        <v>Medium</v>
      </c>
      <c r="K455" s="36">
        <v>45492</v>
      </c>
      <c r="L455" s="36">
        <v>45499</v>
      </c>
      <c r="M455" t="s">
        <v>612</v>
      </c>
      <c r="N455" t="s">
        <v>604</v>
      </c>
      <c r="O455" s="37" t="str">
        <f t="shared" si="38"/>
        <v>Digital Payment</v>
      </c>
      <c r="P455">
        <v>150.09</v>
      </c>
      <c r="Q455" s="37" t="str">
        <f>IF(P455&gt;500,"High","low")</f>
        <v>low</v>
      </c>
      <c r="R455" s="37" t="str">
        <f t="shared" si="39"/>
        <v>AVERAGE</v>
      </c>
      <c r="S455" t="s">
        <v>615</v>
      </c>
    </row>
    <row r="456" spans="1:19" x14ac:dyDescent="0.2">
      <c r="A456" t="s">
        <v>1067</v>
      </c>
      <c r="B456" t="s">
        <v>75</v>
      </c>
      <c r="C456" t="s">
        <v>617</v>
      </c>
      <c r="D456">
        <v>3922.35</v>
      </c>
      <c r="E456" s="37" t="str">
        <f t="shared" si="35"/>
        <v xml:space="preserve"> </v>
      </c>
      <c r="F456">
        <v>0.34</v>
      </c>
      <c r="G456" s="37" t="str">
        <f t="shared" si="36"/>
        <v>Heavy Discount</v>
      </c>
      <c r="H456" s="37" t="str">
        <f t="shared" si="37"/>
        <v>Medium</v>
      </c>
      <c r="I456">
        <v>1</v>
      </c>
      <c r="J456" t="str" cm="1">
        <f t="array" ref="J456">_xlfn.IFS(I456&lt;=3,"small",I456&lt;=6,"Medium",I456&lt;=9,"Large")</f>
        <v>small</v>
      </c>
      <c r="K456" s="36">
        <v>45012</v>
      </c>
      <c r="L456" s="36">
        <v>45018</v>
      </c>
      <c r="M456" t="s">
        <v>612</v>
      </c>
      <c r="N456" t="s">
        <v>608</v>
      </c>
      <c r="O456" s="37" t="str">
        <f t="shared" si="38"/>
        <v>Cash Payment</v>
      </c>
      <c r="P456">
        <v>387.72</v>
      </c>
      <c r="Q456" s="37" t="str">
        <f>IF(P456&gt;500,"High","low")</f>
        <v>low</v>
      </c>
      <c r="R456" s="37" t="str">
        <f t="shared" si="39"/>
        <v>AVERAGE</v>
      </c>
      <c r="S456" t="s">
        <v>600</v>
      </c>
    </row>
    <row r="457" spans="1:19" x14ac:dyDescent="0.2">
      <c r="A457" t="s">
        <v>1068</v>
      </c>
      <c r="B457" t="s">
        <v>90</v>
      </c>
      <c r="C457" t="s">
        <v>614</v>
      </c>
      <c r="D457">
        <v>4418.8500000000004</v>
      </c>
      <c r="E457" s="37" t="str">
        <f t="shared" si="35"/>
        <v xml:space="preserve"> </v>
      </c>
      <c r="F457">
        <v>0.42</v>
      </c>
      <c r="G457" s="37" t="str">
        <f t="shared" si="36"/>
        <v>Heavy Discount</v>
      </c>
      <c r="H457" s="37" t="str">
        <f t="shared" si="37"/>
        <v>High</v>
      </c>
      <c r="I457">
        <v>3</v>
      </c>
      <c r="J457" t="str" cm="1">
        <f t="array" ref="J457">_xlfn.IFS(I457&lt;=3,"small",I457&lt;=6,"Medium",I457&lt;=9,"Large")</f>
        <v>small</v>
      </c>
      <c r="K457" s="36">
        <v>45429</v>
      </c>
      <c r="L457" s="36">
        <v>45435</v>
      </c>
      <c r="M457" t="s">
        <v>612</v>
      </c>
      <c r="N457" t="s">
        <v>599</v>
      </c>
      <c r="O457" s="37" t="str">
        <f t="shared" si="38"/>
        <v>Digital Payment</v>
      </c>
      <c r="P457">
        <v>482.71</v>
      </c>
      <c r="Q457" s="37" t="str">
        <f>IF(P457&gt;500,"High","low")</f>
        <v>low</v>
      </c>
      <c r="R457" s="37" t="str">
        <f t="shared" si="39"/>
        <v>AVERAGE</v>
      </c>
      <c r="S457" t="s">
        <v>600</v>
      </c>
    </row>
    <row r="458" spans="1:19" x14ac:dyDescent="0.2">
      <c r="A458" t="s">
        <v>1069</v>
      </c>
      <c r="B458" t="s">
        <v>83</v>
      </c>
      <c r="C458" t="s">
        <v>617</v>
      </c>
      <c r="D458">
        <v>4642.93</v>
      </c>
      <c r="E458" s="37" t="str">
        <f t="shared" si="35"/>
        <v>Excellent Order</v>
      </c>
      <c r="F458">
        <v>0.37</v>
      </c>
      <c r="G458" s="37" t="str">
        <f t="shared" si="36"/>
        <v>Heavy Discount</v>
      </c>
      <c r="H458" s="37" t="str">
        <f t="shared" si="37"/>
        <v>Medium</v>
      </c>
      <c r="I458">
        <v>6</v>
      </c>
      <c r="J458" t="str" cm="1">
        <f t="array" ref="J458">_xlfn.IFS(I458&lt;=3,"small",I458&lt;=6,"Medium",I458&lt;=9,"Large")</f>
        <v>Medium</v>
      </c>
      <c r="K458" s="36">
        <v>45290</v>
      </c>
      <c r="L458" s="36">
        <v>45293</v>
      </c>
      <c r="M458" t="s">
        <v>603</v>
      </c>
      <c r="N458" t="s">
        <v>604</v>
      </c>
      <c r="O458" s="37" t="str">
        <f t="shared" si="38"/>
        <v>Digital Payment</v>
      </c>
      <c r="P458">
        <v>1074.45</v>
      </c>
      <c r="Q458" s="37" t="str">
        <f>IF(P458&gt;500,"High","low")</f>
        <v>High</v>
      </c>
      <c r="R458" s="37" t="str">
        <f t="shared" si="39"/>
        <v>Excellent</v>
      </c>
      <c r="S458" t="s">
        <v>600</v>
      </c>
    </row>
    <row r="459" spans="1:19" x14ac:dyDescent="0.2">
      <c r="A459" t="s">
        <v>1070</v>
      </c>
      <c r="B459" t="s">
        <v>67</v>
      </c>
      <c r="C459" t="s">
        <v>597</v>
      </c>
      <c r="D459">
        <v>4284.34</v>
      </c>
      <c r="E459" s="37" t="str">
        <f t="shared" si="35"/>
        <v xml:space="preserve"> </v>
      </c>
      <c r="F459">
        <v>0.16</v>
      </c>
      <c r="G459" s="37" t="str">
        <f t="shared" si="36"/>
        <v>Normal Discount</v>
      </c>
      <c r="H459" s="37" t="str">
        <f t="shared" si="37"/>
        <v>Low</v>
      </c>
      <c r="I459">
        <v>9</v>
      </c>
      <c r="J459" t="str" cm="1">
        <f t="array" ref="J459">_xlfn.IFS(I459&lt;=3,"small",I459&lt;=6,"Medium",I459&lt;=9,"Large")</f>
        <v>Large</v>
      </c>
      <c r="K459" s="36">
        <v>44963</v>
      </c>
      <c r="L459" s="36">
        <v>44964</v>
      </c>
      <c r="M459" t="s">
        <v>598</v>
      </c>
      <c r="N459" t="s">
        <v>604</v>
      </c>
      <c r="O459" s="37" t="str">
        <f t="shared" si="38"/>
        <v>Digital Payment</v>
      </c>
      <c r="P459">
        <v>659.46</v>
      </c>
      <c r="Q459" s="37" t="str">
        <f>IF(P459&gt;500,"High","low")</f>
        <v>High</v>
      </c>
      <c r="R459" s="37" t="str">
        <f t="shared" si="39"/>
        <v>Good</v>
      </c>
      <c r="S459" t="s">
        <v>600</v>
      </c>
    </row>
    <row r="460" spans="1:19" x14ac:dyDescent="0.2">
      <c r="A460" t="s">
        <v>1071</v>
      </c>
      <c r="B460" t="s">
        <v>90</v>
      </c>
      <c r="C460" t="s">
        <v>602</v>
      </c>
      <c r="D460">
        <v>4168.1000000000004</v>
      </c>
      <c r="E460" s="37" t="str">
        <f t="shared" si="35"/>
        <v>Excellent Order</v>
      </c>
      <c r="F460">
        <v>0.23</v>
      </c>
      <c r="G460" s="37" t="str">
        <f t="shared" si="36"/>
        <v>Normal Discount</v>
      </c>
      <c r="H460" s="37" t="str">
        <f t="shared" si="37"/>
        <v>Medium</v>
      </c>
      <c r="I460">
        <v>3</v>
      </c>
      <c r="J460" t="str" cm="1">
        <f t="array" ref="J460">_xlfn.IFS(I460&lt;=3,"small",I460&lt;=6,"Medium",I460&lt;=9,"Large")</f>
        <v>small</v>
      </c>
      <c r="K460" s="36">
        <v>45212</v>
      </c>
      <c r="L460" s="36">
        <v>45217</v>
      </c>
      <c r="M460" t="s">
        <v>612</v>
      </c>
      <c r="N460" t="s">
        <v>599</v>
      </c>
      <c r="O460" s="37" t="str">
        <f t="shared" si="38"/>
        <v>Digital Payment</v>
      </c>
      <c r="P460">
        <v>857.48</v>
      </c>
      <c r="Q460" s="37" t="str">
        <f>IF(P460&gt;500,"High","low")</f>
        <v>High</v>
      </c>
      <c r="R460" s="37" t="str">
        <f t="shared" si="39"/>
        <v>Good</v>
      </c>
      <c r="S460" t="s">
        <v>628</v>
      </c>
    </row>
    <row r="461" spans="1:19" x14ac:dyDescent="0.2">
      <c r="A461" t="s">
        <v>1072</v>
      </c>
      <c r="B461" t="s">
        <v>90</v>
      </c>
      <c r="C461" t="s">
        <v>602</v>
      </c>
      <c r="D461">
        <v>437.3</v>
      </c>
      <c r="E461" s="37" t="str">
        <f t="shared" si="35"/>
        <v xml:space="preserve"> </v>
      </c>
      <c r="F461">
        <v>0.06</v>
      </c>
      <c r="G461" s="37" t="str">
        <f t="shared" si="36"/>
        <v>Normal Discount</v>
      </c>
      <c r="H461" s="37" t="str">
        <f t="shared" si="37"/>
        <v>Low</v>
      </c>
      <c r="I461">
        <v>4</v>
      </c>
      <c r="J461" t="str" cm="1">
        <f t="array" ref="J461">_xlfn.IFS(I461&lt;=3,"small",I461&lt;=6,"Medium",I461&lt;=9,"Large")</f>
        <v>Medium</v>
      </c>
      <c r="K461" s="36">
        <v>45433</v>
      </c>
      <c r="L461" s="36">
        <v>45437</v>
      </c>
      <c r="M461" t="s">
        <v>612</v>
      </c>
      <c r="N461" t="s">
        <v>604</v>
      </c>
      <c r="O461" s="37" t="str">
        <f t="shared" si="38"/>
        <v>Digital Payment</v>
      </c>
      <c r="P461">
        <v>68.510000000000005</v>
      </c>
      <c r="Q461" s="37" t="str">
        <f>IF(P461&gt;500,"High","low")</f>
        <v>low</v>
      </c>
      <c r="R461" s="37" t="str">
        <f t="shared" si="39"/>
        <v>AVERAGE</v>
      </c>
      <c r="S461" t="s">
        <v>605</v>
      </c>
    </row>
    <row r="462" spans="1:19" x14ac:dyDescent="0.2">
      <c r="A462" t="s">
        <v>1073</v>
      </c>
      <c r="B462" t="s">
        <v>83</v>
      </c>
      <c r="C462" t="s">
        <v>597</v>
      </c>
      <c r="D462">
        <v>3971.61</v>
      </c>
      <c r="E462" s="37" t="str">
        <f t="shared" si="35"/>
        <v xml:space="preserve"> </v>
      </c>
      <c r="F462">
        <v>0.13</v>
      </c>
      <c r="G462" s="37" t="str">
        <f t="shared" si="36"/>
        <v>Normal Discount</v>
      </c>
      <c r="H462" s="37" t="str">
        <f t="shared" si="37"/>
        <v>Low</v>
      </c>
      <c r="I462">
        <v>1</v>
      </c>
      <c r="J462" t="str" cm="1">
        <f t="array" ref="J462">_xlfn.IFS(I462&lt;=3,"small",I462&lt;=6,"Medium",I462&lt;=9,"Large")</f>
        <v>small</v>
      </c>
      <c r="K462" s="36">
        <v>45552</v>
      </c>
      <c r="L462" s="36">
        <v>45554</v>
      </c>
      <c r="M462" t="s">
        <v>598</v>
      </c>
      <c r="N462" t="s">
        <v>608</v>
      </c>
      <c r="O462" s="37" t="str">
        <f t="shared" si="38"/>
        <v>Cash Payment</v>
      </c>
      <c r="P462">
        <v>614.4</v>
      </c>
      <c r="Q462" s="37" t="str">
        <f>IF(P462&gt;500,"High","low")</f>
        <v>High</v>
      </c>
      <c r="R462" s="37" t="str">
        <f t="shared" si="39"/>
        <v>Good</v>
      </c>
      <c r="S462" t="s">
        <v>605</v>
      </c>
    </row>
    <row r="463" spans="1:19" x14ac:dyDescent="0.2">
      <c r="A463" t="s">
        <v>1074</v>
      </c>
      <c r="B463" t="s">
        <v>75</v>
      </c>
      <c r="C463" t="s">
        <v>607</v>
      </c>
      <c r="D463">
        <v>3938.09</v>
      </c>
      <c r="E463" s="37" t="str">
        <f t="shared" si="35"/>
        <v xml:space="preserve"> </v>
      </c>
      <c r="F463">
        <v>0.26</v>
      </c>
      <c r="G463" s="37" t="str">
        <f t="shared" si="36"/>
        <v>Normal Discount</v>
      </c>
      <c r="H463" s="37" t="str">
        <f t="shared" si="37"/>
        <v>Medium</v>
      </c>
      <c r="I463">
        <v>2</v>
      </c>
      <c r="J463" t="str" cm="1">
        <f t="array" ref="J463">_xlfn.IFS(I463&lt;=3,"small",I463&lt;=6,"Medium",I463&lt;=9,"Large")</f>
        <v>small</v>
      </c>
      <c r="K463" s="36">
        <v>45114</v>
      </c>
      <c r="L463" s="36">
        <v>45120</v>
      </c>
      <c r="M463" t="s">
        <v>603</v>
      </c>
      <c r="N463" t="s">
        <v>608</v>
      </c>
      <c r="O463" s="37" t="str">
        <f t="shared" si="38"/>
        <v>Cash Payment</v>
      </c>
      <c r="P463">
        <v>492.8</v>
      </c>
      <c r="Q463" s="37" t="str">
        <f>IF(P463&gt;500,"High","low")</f>
        <v>low</v>
      </c>
      <c r="R463" s="37" t="str">
        <f t="shared" si="39"/>
        <v>AVERAGE</v>
      </c>
      <c r="S463" t="s">
        <v>628</v>
      </c>
    </row>
    <row r="464" spans="1:19" x14ac:dyDescent="0.2">
      <c r="A464" t="s">
        <v>1075</v>
      </c>
      <c r="B464" t="s">
        <v>83</v>
      </c>
      <c r="C464" t="s">
        <v>614</v>
      </c>
      <c r="D464">
        <v>743.32</v>
      </c>
      <c r="E464" s="37" t="str">
        <f t="shared" si="35"/>
        <v xml:space="preserve"> </v>
      </c>
      <c r="F464">
        <v>0.05</v>
      </c>
      <c r="G464" s="37" t="str">
        <f t="shared" si="36"/>
        <v>Normal Discount</v>
      </c>
      <c r="H464" s="37" t="str">
        <f t="shared" si="37"/>
        <v>Low</v>
      </c>
      <c r="I464">
        <v>7</v>
      </c>
      <c r="J464" t="str" cm="1">
        <f t="array" ref="J464">_xlfn.IFS(I464&lt;=3,"small",I464&lt;=6,"Medium",I464&lt;=9,"Large")</f>
        <v>Large</v>
      </c>
      <c r="K464" s="36">
        <v>45056</v>
      </c>
      <c r="L464" s="36">
        <v>45061</v>
      </c>
      <c r="M464" t="s">
        <v>598</v>
      </c>
      <c r="N464" t="s">
        <v>599</v>
      </c>
      <c r="O464" s="37" t="str">
        <f t="shared" si="38"/>
        <v>Digital Payment</v>
      </c>
      <c r="P464">
        <v>145.88999999999999</v>
      </c>
      <c r="Q464" s="37" t="str">
        <f>IF(P464&gt;500,"High","low")</f>
        <v>low</v>
      </c>
      <c r="R464" s="37" t="str">
        <f t="shared" si="39"/>
        <v>AVERAGE</v>
      </c>
      <c r="S464" t="s">
        <v>605</v>
      </c>
    </row>
    <row r="465" spans="1:19" x14ac:dyDescent="0.2">
      <c r="A465" t="s">
        <v>1076</v>
      </c>
      <c r="B465" t="s">
        <v>75</v>
      </c>
      <c r="C465" t="s">
        <v>614</v>
      </c>
      <c r="D465">
        <v>3343.85</v>
      </c>
      <c r="E465" s="37" t="str">
        <f t="shared" si="35"/>
        <v xml:space="preserve"> </v>
      </c>
      <c r="F465">
        <v>0.28999999999999998</v>
      </c>
      <c r="G465" s="37" t="str">
        <f t="shared" si="36"/>
        <v>Normal Discount</v>
      </c>
      <c r="H465" s="37" t="str">
        <f t="shared" si="37"/>
        <v>Medium</v>
      </c>
      <c r="I465">
        <v>8</v>
      </c>
      <c r="J465" t="str" cm="1">
        <f t="array" ref="J465">_xlfn.IFS(I465&lt;=3,"small",I465&lt;=6,"Medium",I465&lt;=9,"Large")</f>
        <v>Large</v>
      </c>
      <c r="K465" s="36">
        <v>45230</v>
      </c>
      <c r="L465" s="36">
        <v>45235</v>
      </c>
      <c r="M465" t="s">
        <v>598</v>
      </c>
      <c r="N465" t="s">
        <v>604</v>
      </c>
      <c r="O465" s="37" t="str">
        <f t="shared" si="38"/>
        <v>Digital Payment</v>
      </c>
      <c r="P465">
        <v>668.21</v>
      </c>
      <c r="Q465" s="37" t="str">
        <f>IF(P465&gt;500,"High","low")</f>
        <v>High</v>
      </c>
      <c r="R465" s="37" t="str">
        <f t="shared" si="39"/>
        <v>Good</v>
      </c>
      <c r="S465" t="s">
        <v>600</v>
      </c>
    </row>
    <row r="466" spans="1:19" x14ac:dyDescent="0.2">
      <c r="A466" t="s">
        <v>1077</v>
      </c>
      <c r="B466" t="s">
        <v>67</v>
      </c>
      <c r="C466" t="s">
        <v>602</v>
      </c>
      <c r="D466">
        <v>2317.29</v>
      </c>
      <c r="E466" s="37" t="str">
        <f t="shared" si="35"/>
        <v xml:space="preserve"> </v>
      </c>
      <c r="F466">
        <v>0.2</v>
      </c>
      <c r="G466" s="37" t="str">
        <f t="shared" si="36"/>
        <v>Normal Discount</v>
      </c>
      <c r="H466" s="37" t="str">
        <f t="shared" si="37"/>
        <v>Medium</v>
      </c>
      <c r="I466">
        <v>1</v>
      </c>
      <c r="J466" t="str" cm="1">
        <f t="array" ref="J466">_xlfn.IFS(I466&lt;=3,"small",I466&lt;=6,"Medium",I466&lt;=9,"Large")</f>
        <v>small</v>
      </c>
      <c r="K466" s="36">
        <v>45653</v>
      </c>
      <c r="L466" s="36">
        <v>45657</v>
      </c>
      <c r="M466" t="s">
        <v>598</v>
      </c>
      <c r="N466" t="s">
        <v>608</v>
      </c>
      <c r="O466" s="37" t="str">
        <f t="shared" si="38"/>
        <v>Cash Payment</v>
      </c>
      <c r="P466">
        <v>551.62</v>
      </c>
      <c r="Q466" s="37" t="str">
        <f>IF(P466&gt;500,"High","low")</f>
        <v>High</v>
      </c>
      <c r="R466" s="37" t="str">
        <f t="shared" si="39"/>
        <v>Good</v>
      </c>
      <c r="S466" t="s">
        <v>628</v>
      </c>
    </row>
    <row r="467" spans="1:19" x14ac:dyDescent="0.2">
      <c r="A467" t="s">
        <v>1078</v>
      </c>
      <c r="B467" t="s">
        <v>90</v>
      </c>
      <c r="C467" t="s">
        <v>602</v>
      </c>
      <c r="D467">
        <v>4510.07</v>
      </c>
      <c r="E467" s="37" t="str">
        <f t="shared" si="35"/>
        <v xml:space="preserve"> </v>
      </c>
      <c r="F467">
        <v>0.02</v>
      </c>
      <c r="G467" s="37" t="str">
        <f t="shared" si="36"/>
        <v>Normal Discount</v>
      </c>
      <c r="H467" s="37" t="str">
        <f t="shared" si="37"/>
        <v>Low</v>
      </c>
      <c r="I467">
        <v>9</v>
      </c>
      <c r="J467" t="str" cm="1">
        <f t="array" ref="J467">_xlfn.IFS(I467&lt;=3,"small",I467&lt;=6,"Medium",I467&lt;=9,"Large")</f>
        <v>Large</v>
      </c>
      <c r="K467" s="36">
        <v>45462</v>
      </c>
      <c r="L467" s="36">
        <v>45464</v>
      </c>
      <c r="M467" t="s">
        <v>603</v>
      </c>
      <c r="N467" t="s">
        <v>599</v>
      </c>
      <c r="O467" s="37" t="str">
        <f t="shared" si="38"/>
        <v>Digital Payment</v>
      </c>
      <c r="P467">
        <v>791.13</v>
      </c>
      <c r="Q467" s="37" t="str">
        <f>IF(P467&gt;500,"High","low")</f>
        <v>High</v>
      </c>
      <c r="R467" s="37" t="str">
        <f t="shared" si="39"/>
        <v>Good</v>
      </c>
      <c r="S467" t="s">
        <v>620</v>
      </c>
    </row>
    <row r="468" spans="1:19" x14ac:dyDescent="0.2">
      <c r="A468" t="s">
        <v>1079</v>
      </c>
      <c r="B468" t="s">
        <v>67</v>
      </c>
      <c r="C468" t="s">
        <v>602</v>
      </c>
      <c r="D468">
        <v>3507.5</v>
      </c>
      <c r="E468" s="37" t="str">
        <f t="shared" si="35"/>
        <v xml:space="preserve"> </v>
      </c>
      <c r="F468">
        <v>0.22</v>
      </c>
      <c r="G468" s="37" t="str">
        <f t="shared" si="36"/>
        <v>Normal Discount</v>
      </c>
      <c r="H468" s="37" t="str">
        <f t="shared" si="37"/>
        <v>Medium</v>
      </c>
      <c r="I468">
        <v>6</v>
      </c>
      <c r="J468" t="str" cm="1">
        <f t="array" ref="J468">_xlfn.IFS(I468&lt;=3,"small",I468&lt;=6,"Medium",I468&lt;=9,"Large")</f>
        <v>Medium</v>
      </c>
      <c r="K468" s="36">
        <v>45175</v>
      </c>
      <c r="L468" s="36">
        <v>45176</v>
      </c>
      <c r="M468" t="s">
        <v>612</v>
      </c>
      <c r="N468" t="s">
        <v>604</v>
      </c>
      <c r="O468" s="37" t="str">
        <f t="shared" si="38"/>
        <v>Digital Payment</v>
      </c>
      <c r="P468">
        <v>668.11</v>
      </c>
      <c r="Q468" s="37" t="str">
        <f>IF(P468&gt;500,"High","low")</f>
        <v>High</v>
      </c>
      <c r="R468" s="37" t="str">
        <f t="shared" si="39"/>
        <v>Good</v>
      </c>
      <c r="S468" t="s">
        <v>605</v>
      </c>
    </row>
    <row r="469" spans="1:19" x14ac:dyDescent="0.2">
      <c r="A469" t="s">
        <v>1080</v>
      </c>
      <c r="B469" t="s">
        <v>75</v>
      </c>
      <c r="C469" t="s">
        <v>597</v>
      </c>
      <c r="D469">
        <v>4759.84</v>
      </c>
      <c r="E469" s="37" t="str">
        <f t="shared" si="35"/>
        <v>Excellent Order</v>
      </c>
      <c r="F469">
        <v>0.14000000000000001</v>
      </c>
      <c r="G469" s="37" t="str">
        <f t="shared" si="36"/>
        <v>Normal Discount</v>
      </c>
      <c r="H469" s="37" t="str">
        <f t="shared" si="37"/>
        <v>Low</v>
      </c>
      <c r="I469">
        <v>1</v>
      </c>
      <c r="J469" t="str" cm="1">
        <f t="array" ref="J469">_xlfn.IFS(I469&lt;=3,"small",I469&lt;=6,"Medium",I469&lt;=9,"Large")</f>
        <v>small</v>
      </c>
      <c r="K469" s="36">
        <v>45153</v>
      </c>
      <c r="L469" s="36">
        <v>45160</v>
      </c>
      <c r="M469" t="s">
        <v>612</v>
      </c>
      <c r="N469" t="s">
        <v>608</v>
      </c>
      <c r="O469" s="37" t="str">
        <f t="shared" si="38"/>
        <v>Cash Payment</v>
      </c>
      <c r="P469">
        <v>1246.55</v>
      </c>
      <c r="Q469" s="37" t="str">
        <f>IF(P469&gt;500,"High","low")</f>
        <v>High</v>
      </c>
      <c r="R469" s="37" t="str">
        <f t="shared" si="39"/>
        <v>Excellent</v>
      </c>
      <c r="S469" t="s">
        <v>609</v>
      </c>
    </row>
    <row r="470" spans="1:19" x14ac:dyDescent="0.2">
      <c r="A470" t="s">
        <v>1081</v>
      </c>
      <c r="B470" t="s">
        <v>75</v>
      </c>
      <c r="C470" t="s">
        <v>607</v>
      </c>
      <c r="D470">
        <v>614.12</v>
      </c>
      <c r="E470" s="37" t="str">
        <f t="shared" si="35"/>
        <v xml:space="preserve"> </v>
      </c>
      <c r="F470">
        <v>0.03</v>
      </c>
      <c r="G470" s="37" t="str">
        <f t="shared" si="36"/>
        <v>Normal Discount</v>
      </c>
      <c r="H470" s="37" t="str">
        <f t="shared" si="37"/>
        <v>Low</v>
      </c>
      <c r="I470">
        <v>4</v>
      </c>
      <c r="J470" t="str" cm="1">
        <f t="array" ref="J470">_xlfn.IFS(I470&lt;=3,"small",I470&lt;=6,"Medium",I470&lt;=9,"Large")</f>
        <v>Medium</v>
      </c>
      <c r="K470" s="36">
        <v>45638</v>
      </c>
      <c r="L470" s="36">
        <v>45643</v>
      </c>
      <c r="M470" t="s">
        <v>603</v>
      </c>
      <c r="N470" t="s">
        <v>604</v>
      </c>
      <c r="O470" s="37" t="str">
        <f t="shared" si="38"/>
        <v>Digital Payment</v>
      </c>
      <c r="P470">
        <v>36.9</v>
      </c>
      <c r="Q470" s="37" t="str">
        <f>IF(P470&gt;500,"High","low")</f>
        <v>low</v>
      </c>
      <c r="R470" s="37" t="str">
        <f t="shared" si="39"/>
        <v>AVERAGE</v>
      </c>
      <c r="S470" t="s">
        <v>609</v>
      </c>
    </row>
    <row r="471" spans="1:19" x14ac:dyDescent="0.2">
      <c r="A471" t="s">
        <v>1082</v>
      </c>
      <c r="B471" t="s">
        <v>67</v>
      </c>
      <c r="C471" t="s">
        <v>614</v>
      </c>
      <c r="D471">
        <v>298.98</v>
      </c>
      <c r="E471" s="37" t="str">
        <f t="shared" si="35"/>
        <v xml:space="preserve"> </v>
      </c>
      <c r="F471">
        <v>0.15</v>
      </c>
      <c r="G471" s="37" t="str">
        <f t="shared" si="36"/>
        <v>Normal Discount</v>
      </c>
      <c r="H471" s="37" t="str">
        <f t="shared" si="37"/>
        <v>Low</v>
      </c>
      <c r="I471">
        <v>4</v>
      </c>
      <c r="J471" t="str" cm="1">
        <f t="array" ref="J471">_xlfn.IFS(I471&lt;=3,"small",I471&lt;=6,"Medium",I471&lt;=9,"Large")</f>
        <v>Medium</v>
      </c>
      <c r="K471" s="36">
        <v>45410</v>
      </c>
      <c r="L471" s="36">
        <v>45411</v>
      </c>
      <c r="M471" t="s">
        <v>598</v>
      </c>
      <c r="N471" t="s">
        <v>604</v>
      </c>
      <c r="O471" s="37" t="str">
        <f t="shared" si="38"/>
        <v>Digital Payment</v>
      </c>
      <c r="P471">
        <v>53.78</v>
      </c>
      <c r="Q471" s="37" t="str">
        <f>IF(P471&gt;500,"High","low")</f>
        <v>low</v>
      </c>
      <c r="R471" s="37" t="str">
        <f t="shared" si="39"/>
        <v>AVERAGE</v>
      </c>
      <c r="S471" t="s">
        <v>605</v>
      </c>
    </row>
    <row r="472" spans="1:19" x14ac:dyDescent="0.2">
      <c r="A472" t="s">
        <v>1083</v>
      </c>
      <c r="B472" t="s">
        <v>75</v>
      </c>
      <c r="C472" t="s">
        <v>617</v>
      </c>
      <c r="D472">
        <v>4870.54</v>
      </c>
      <c r="E472" s="37" t="str">
        <f t="shared" si="35"/>
        <v xml:space="preserve"> </v>
      </c>
      <c r="F472">
        <v>0.15</v>
      </c>
      <c r="G472" s="37" t="str">
        <f t="shared" si="36"/>
        <v>Normal Discount</v>
      </c>
      <c r="H472" s="37" t="str">
        <f t="shared" si="37"/>
        <v>Low</v>
      </c>
      <c r="I472">
        <v>7</v>
      </c>
      <c r="J472" t="str" cm="1">
        <f t="array" ref="J472">_xlfn.IFS(I472&lt;=3,"small",I472&lt;=6,"Medium",I472&lt;=9,"Large")</f>
        <v>Large</v>
      </c>
      <c r="K472" s="36">
        <v>45584</v>
      </c>
      <c r="L472" s="36">
        <v>45589</v>
      </c>
      <c r="M472" t="s">
        <v>598</v>
      </c>
      <c r="N472" t="s">
        <v>608</v>
      </c>
      <c r="O472" s="37" t="str">
        <f t="shared" si="38"/>
        <v>Cash Payment</v>
      </c>
      <c r="P472">
        <v>397.26</v>
      </c>
      <c r="Q472" s="37" t="str">
        <f>IF(P472&gt;500,"High","low")</f>
        <v>low</v>
      </c>
      <c r="R472" s="37" t="str">
        <f t="shared" si="39"/>
        <v>AVERAGE</v>
      </c>
      <c r="S472" t="s">
        <v>615</v>
      </c>
    </row>
    <row r="473" spans="1:19" x14ac:dyDescent="0.2">
      <c r="A473" t="s">
        <v>1084</v>
      </c>
      <c r="B473" t="s">
        <v>67</v>
      </c>
      <c r="C473" t="s">
        <v>597</v>
      </c>
      <c r="D473">
        <v>492.94</v>
      </c>
      <c r="E473" s="37" t="str">
        <f t="shared" si="35"/>
        <v xml:space="preserve"> </v>
      </c>
      <c r="F473">
        <v>0.18</v>
      </c>
      <c r="G473" s="37" t="str">
        <f t="shared" si="36"/>
        <v>Normal Discount</v>
      </c>
      <c r="H473" s="37" t="str">
        <f t="shared" si="37"/>
        <v>Low</v>
      </c>
      <c r="I473">
        <v>1</v>
      </c>
      <c r="J473" t="str" cm="1">
        <f t="array" ref="J473">_xlfn.IFS(I473&lt;=3,"small",I473&lt;=6,"Medium",I473&lt;=9,"Large")</f>
        <v>small</v>
      </c>
      <c r="K473" s="36">
        <v>45250</v>
      </c>
      <c r="L473" s="36">
        <v>45257</v>
      </c>
      <c r="M473" t="s">
        <v>612</v>
      </c>
      <c r="N473" t="s">
        <v>604</v>
      </c>
      <c r="O473" s="37" t="str">
        <f t="shared" si="38"/>
        <v>Digital Payment</v>
      </c>
      <c r="P473">
        <v>109.12</v>
      </c>
      <c r="Q473" s="37" t="str">
        <f>IF(P473&gt;500,"High","low")</f>
        <v>low</v>
      </c>
      <c r="R473" s="37" t="str">
        <f t="shared" si="39"/>
        <v>AVERAGE</v>
      </c>
      <c r="S473" t="s">
        <v>609</v>
      </c>
    </row>
    <row r="474" spans="1:19" x14ac:dyDescent="0.2">
      <c r="A474" t="s">
        <v>1085</v>
      </c>
      <c r="B474" t="s">
        <v>90</v>
      </c>
      <c r="C474" t="s">
        <v>614</v>
      </c>
      <c r="D474">
        <v>1992.36</v>
      </c>
      <c r="E474" s="37" t="str">
        <f t="shared" si="35"/>
        <v xml:space="preserve"> </v>
      </c>
      <c r="F474">
        <v>0.18</v>
      </c>
      <c r="G474" s="37" t="str">
        <f t="shared" si="36"/>
        <v>Normal Discount</v>
      </c>
      <c r="H474" s="37" t="str">
        <f t="shared" si="37"/>
        <v>Low</v>
      </c>
      <c r="I474">
        <v>9</v>
      </c>
      <c r="J474" t="str" cm="1">
        <f t="array" ref="J474">_xlfn.IFS(I474&lt;=3,"small",I474&lt;=6,"Medium",I474&lt;=9,"Large")</f>
        <v>Large</v>
      </c>
      <c r="K474" s="36">
        <v>44934</v>
      </c>
      <c r="L474" s="36">
        <v>44937</v>
      </c>
      <c r="M474" t="s">
        <v>612</v>
      </c>
      <c r="N474" t="s">
        <v>608</v>
      </c>
      <c r="O474" s="37" t="str">
        <f t="shared" si="38"/>
        <v>Cash Payment</v>
      </c>
      <c r="P474">
        <v>545.08000000000004</v>
      </c>
      <c r="Q474" s="37" t="str">
        <f>IF(P474&gt;500,"High","low")</f>
        <v>High</v>
      </c>
      <c r="R474" s="37" t="str">
        <f t="shared" si="39"/>
        <v>Good</v>
      </c>
      <c r="S474" t="s">
        <v>600</v>
      </c>
    </row>
    <row r="475" spans="1:19" x14ac:dyDescent="0.2">
      <c r="A475" t="s">
        <v>1086</v>
      </c>
      <c r="B475" t="s">
        <v>67</v>
      </c>
      <c r="C475" t="s">
        <v>607</v>
      </c>
      <c r="D475">
        <v>3284.86</v>
      </c>
      <c r="E475" s="37" t="str">
        <f t="shared" si="35"/>
        <v xml:space="preserve"> </v>
      </c>
      <c r="F475">
        <v>0.21</v>
      </c>
      <c r="G475" s="37" t="str">
        <f t="shared" si="36"/>
        <v>Normal Discount</v>
      </c>
      <c r="H475" s="37" t="str">
        <f t="shared" si="37"/>
        <v>Medium</v>
      </c>
      <c r="I475">
        <v>1</v>
      </c>
      <c r="J475" t="str" cm="1">
        <f t="array" ref="J475">_xlfn.IFS(I475&lt;=3,"small",I475&lt;=6,"Medium",I475&lt;=9,"Large")</f>
        <v>small</v>
      </c>
      <c r="K475" s="36">
        <v>44982</v>
      </c>
      <c r="L475" s="36">
        <v>44989</v>
      </c>
      <c r="M475" t="s">
        <v>598</v>
      </c>
      <c r="N475" t="s">
        <v>608</v>
      </c>
      <c r="O475" s="37" t="str">
        <f t="shared" si="38"/>
        <v>Cash Payment</v>
      </c>
      <c r="P475">
        <v>512.98</v>
      </c>
      <c r="Q475" s="37" t="str">
        <f>IF(P475&gt;500,"High","low")</f>
        <v>High</v>
      </c>
      <c r="R475" s="37" t="str">
        <f t="shared" si="39"/>
        <v>Good</v>
      </c>
      <c r="S475" t="s">
        <v>609</v>
      </c>
    </row>
    <row r="476" spans="1:19" x14ac:dyDescent="0.2">
      <c r="A476" t="s">
        <v>1087</v>
      </c>
      <c r="B476" t="s">
        <v>90</v>
      </c>
      <c r="C476" t="s">
        <v>597</v>
      </c>
      <c r="D476">
        <v>4412.28</v>
      </c>
      <c r="E476" s="37" t="str">
        <f t="shared" si="35"/>
        <v>Excellent Order</v>
      </c>
      <c r="F476">
        <v>0.05</v>
      </c>
      <c r="G476" s="37" t="str">
        <f t="shared" si="36"/>
        <v>Normal Discount</v>
      </c>
      <c r="H476" s="37" t="str">
        <f t="shared" si="37"/>
        <v>Low</v>
      </c>
      <c r="I476">
        <v>3</v>
      </c>
      <c r="J476" t="str" cm="1">
        <f t="array" ref="J476">_xlfn.IFS(I476&lt;=3,"small",I476&lt;=6,"Medium",I476&lt;=9,"Large")</f>
        <v>small</v>
      </c>
      <c r="K476" s="36">
        <v>45499</v>
      </c>
      <c r="L476" s="36">
        <v>45505</v>
      </c>
      <c r="M476" t="s">
        <v>603</v>
      </c>
      <c r="N476" t="s">
        <v>608</v>
      </c>
      <c r="O476" s="37" t="str">
        <f t="shared" si="38"/>
        <v>Cash Payment</v>
      </c>
      <c r="P476">
        <v>921.96</v>
      </c>
      <c r="Q476" s="37" t="str">
        <f>IF(P476&gt;500,"High","low")</f>
        <v>High</v>
      </c>
      <c r="R476" s="37" t="str">
        <f t="shared" si="39"/>
        <v>Good</v>
      </c>
      <c r="S476" t="s">
        <v>609</v>
      </c>
    </row>
    <row r="477" spans="1:19" x14ac:dyDescent="0.2">
      <c r="A477" t="s">
        <v>1088</v>
      </c>
      <c r="B477" t="s">
        <v>67</v>
      </c>
      <c r="C477" t="s">
        <v>614</v>
      </c>
      <c r="D477">
        <v>1347.43</v>
      </c>
      <c r="E477" s="37" t="str">
        <f t="shared" si="35"/>
        <v xml:space="preserve"> </v>
      </c>
      <c r="F477">
        <v>0</v>
      </c>
      <c r="G477" s="37" t="str">
        <f t="shared" si="36"/>
        <v>Normal Discount</v>
      </c>
      <c r="H477" s="37" t="str">
        <f t="shared" si="37"/>
        <v>Low</v>
      </c>
      <c r="I477">
        <v>1</v>
      </c>
      <c r="J477" t="str" cm="1">
        <f t="array" ref="J477">_xlfn.IFS(I477&lt;=3,"small",I477&lt;=6,"Medium",I477&lt;=9,"Large")</f>
        <v>small</v>
      </c>
      <c r="K477" s="36">
        <v>45477</v>
      </c>
      <c r="L477" s="36">
        <v>45484</v>
      </c>
      <c r="M477" t="s">
        <v>612</v>
      </c>
      <c r="N477" t="s">
        <v>599</v>
      </c>
      <c r="O477" s="37" t="str">
        <f t="shared" si="38"/>
        <v>Digital Payment</v>
      </c>
      <c r="P477">
        <v>191.82</v>
      </c>
      <c r="Q477" s="37" t="str">
        <f>IF(P477&gt;500,"High","low")</f>
        <v>low</v>
      </c>
      <c r="R477" s="37" t="str">
        <f t="shared" si="39"/>
        <v>AVERAGE</v>
      </c>
      <c r="S477" t="s">
        <v>605</v>
      </c>
    </row>
    <row r="478" spans="1:19" x14ac:dyDescent="0.2">
      <c r="A478" t="s">
        <v>1089</v>
      </c>
      <c r="B478" t="s">
        <v>75</v>
      </c>
      <c r="C478" t="s">
        <v>597</v>
      </c>
      <c r="D478">
        <v>242.39</v>
      </c>
      <c r="E478" s="37" t="str">
        <f t="shared" si="35"/>
        <v xml:space="preserve"> </v>
      </c>
      <c r="F478">
        <v>0.37</v>
      </c>
      <c r="G478" s="37" t="str">
        <f t="shared" si="36"/>
        <v>Heavy Discount</v>
      </c>
      <c r="H478" s="37" t="str">
        <f t="shared" si="37"/>
        <v>Medium</v>
      </c>
      <c r="I478">
        <v>1</v>
      </c>
      <c r="J478" t="str" cm="1">
        <f t="array" ref="J478">_xlfn.IFS(I478&lt;=3,"small",I478&lt;=6,"Medium",I478&lt;=9,"Large")</f>
        <v>small</v>
      </c>
      <c r="K478" s="36">
        <v>45200</v>
      </c>
      <c r="L478" s="36">
        <v>45205</v>
      </c>
      <c r="M478" t="s">
        <v>603</v>
      </c>
      <c r="N478" t="s">
        <v>599</v>
      </c>
      <c r="O478" s="37" t="str">
        <f t="shared" si="38"/>
        <v>Digital Payment</v>
      </c>
      <c r="P478">
        <v>57.92</v>
      </c>
      <c r="Q478" s="37" t="str">
        <f>IF(P478&gt;500,"High","low")</f>
        <v>low</v>
      </c>
      <c r="R478" s="37" t="str">
        <f t="shared" si="39"/>
        <v>AVERAGE</v>
      </c>
      <c r="S478" t="s">
        <v>628</v>
      </c>
    </row>
    <row r="479" spans="1:19" x14ac:dyDescent="0.2">
      <c r="A479" t="s">
        <v>1090</v>
      </c>
      <c r="B479" t="s">
        <v>67</v>
      </c>
      <c r="C479" t="s">
        <v>614</v>
      </c>
      <c r="D479">
        <v>2654.31</v>
      </c>
      <c r="E479" s="37" t="str">
        <f t="shared" si="35"/>
        <v xml:space="preserve"> </v>
      </c>
      <c r="F479">
        <v>0.17</v>
      </c>
      <c r="G479" s="37" t="str">
        <f t="shared" si="36"/>
        <v>Normal Discount</v>
      </c>
      <c r="H479" s="37" t="str">
        <f t="shared" si="37"/>
        <v>Low</v>
      </c>
      <c r="I479">
        <v>4</v>
      </c>
      <c r="J479" t="str" cm="1">
        <f t="array" ref="J479">_xlfn.IFS(I479&lt;=3,"small",I479&lt;=6,"Medium",I479&lt;=9,"Large")</f>
        <v>Medium</v>
      </c>
      <c r="K479" s="36">
        <v>45023</v>
      </c>
      <c r="L479" s="36">
        <v>45024</v>
      </c>
      <c r="M479" t="s">
        <v>603</v>
      </c>
      <c r="N479" t="s">
        <v>604</v>
      </c>
      <c r="O479" s="37" t="str">
        <f t="shared" si="38"/>
        <v>Digital Payment</v>
      </c>
      <c r="P479">
        <v>523.78</v>
      </c>
      <c r="Q479" s="37" t="str">
        <f>IF(P479&gt;500,"High","low")</f>
        <v>High</v>
      </c>
      <c r="R479" s="37" t="str">
        <f t="shared" si="39"/>
        <v>Good</v>
      </c>
      <c r="S479" t="s">
        <v>620</v>
      </c>
    </row>
    <row r="480" spans="1:19" x14ac:dyDescent="0.2">
      <c r="A480" t="s">
        <v>1091</v>
      </c>
      <c r="B480" t="s">
        <v>75</v>
      </c>
      <c r="C480" t="s">
        <v>614</v>
      </c>
      <c r="D480">
        <v>2408.4499999999998</v>
      </c>
      <c r="E480" s="37" t="str">
        <f t="shared" si="35"/>
        <v xml:space="preserve"> </v>
      </c>
      <c r="F480">
        <v>0.31</v>
      </c>
      <c r="G480" s="37" t="str">
        <f t="shared" si="36"/>
        <v>Heavy Discount</v>
      </c>
      <c r="H480" s="37" t="str">
        <f t="shared" si="37"/>
        <v>Medium</v>
      </c>
      <c r="I480">
        <v>2</v>
      </c>
      <c r="J480" t="str" cm="1">
        <f t="array" ref="J480">_xlfn.IFS(I480&lt;=3,"small",I480&lt;=6,"Medium",I480&lt;=9,"Large")</f>
        <v>small</v>
      </c>
      <c r="K480" s="36">
        <v>45584</v>
      </c>
      <c r="L480" s="36">
        <v>45586</v>
      </c>
      <c r="M480" t="s">
        <v>598</v>
      </c>
      <c r="N480" t="s">
        <v>608</v>
      </c>
      <c r="O480" s="37" t="str">
        <f t="shared" si="38"/>
        <v>Cash Payment</v>
      </c>
      <c r="P480">
        <v>485.96</v>
      </c>
      <c r="Q480" s="37" t="str">
        <f>IF(P480&gt;500,"High","low")</f>
        <v>low</v>
      </c>
      <c r="R480" s="37" t="str">
        <f t="shared" si="39"/>
        <v>AVERAGE</v>
      </c>
      <c r="S480" t="s">
        <v>605</v>
      </c>
    </row>
    <row r="481" spans="1:19" x14ac:dyDescent="0.2">
      <c r="A481" t="s">
        <v>1092</v>
      </c>
      <c r="B481" t="s">
        <v>67</v>
      </c>
      <c r="C481" t="s">
        <v>607</v>
      </c>
      <c r="D481">
        <v>1603.78</v>
      </c>
      <c r="E481" s="37" t="str">
        <f t="shared" si="35"/>
        <v xml:space="preserve"> </v>
      </c>
      <c r="F481">
        <v>0.15</v>
      </c>
      <c r="G481" s="37" t="str">
        <f t="shared" si="36"/>
        <v>Normal Discount</v>
      </c>
      <c r="H481" s="37" t="str">
        <f t="shared" si="37"/>
        <v>Low</v>
      </c>
      <c r="I481">
        <v>9</v>
      </c>
      <c r="J481" t="str" cm="1">
        <f t="array" ref="J481">_xlfn.IFS(I481&lt;=3,"small",I481&lt;=6,"Medium",I481&lt;=9,"Large")</f>
        <v>Large</v>
      </c>
      <c r="K481" s="36">
        <v>45024</v>
      </c>
      <c r="L481" s="36">
        <v>45028</v>
      </c>
      <c r="M481" t="s">
        <v>603</v>
      </c>
      <c r="N481" t="s">
        <v>608</v>
      </c>
      <c r="O481" s="37" t="str">
        <f t="shared" si="38"/>
        <v>Cash Payment</v>
      </c>
      <c r="P481">
        <v>149.71</v>
      </c>
      <c r="Q481" s="37" t="str">
        <f>IF(P481&gt;500,"High","low")</f>
        <v>low</v>
      </c>
      <c r="R481" s="37" t="str">
        <f t="shared" si="39"/>
        <v>AVERAGE</v>
      </c>
      <c r="S481" t="s">
        <v>628</v>
      </c>
    </row>
    <row r="482" spans="1:19" x14ac:dyDescent="0.2">
      <c r="A482" t="s">
        <v>1093</v>
      </c>
      <c r="B482" t="s">
        <v>67</v>
      </c>
      <c r="C482" t="s">
        <v>617</v>
      </c>
      <c r="D482">
        <v>4382.1099999999997</v>
      </c>
      <c r="E482" s="37" t="str">
        <f t="shared" si="35"/>
        <v xml:space="preserve"> </v>
      </c>
      <c r="F482">
        <v>0.49</v>
      </c>
      <c r="G482" s="37" t="str">
        <f t="shared" si="36"/>
        <v>Heavy Discount</v>
      </c>
      <c r="H482" s="37" t="str">
        <f t="shared" si="37"/>
        <v>High</v>
      </c>
      <c r="I482">
        <v>1</v>
      </c>
      <c r="J482" t="str" cm="1">
        <f t="array" ref="J482">_xlfn.IFS(I482&lt;=3,"small",I482&lt;=6,"Medium",I482&lt;=9,"Large")</f>
        <v>small</v>
      </c>
      <c r="K482" s="36">
        <v>45137</v>
      </c>
      <c r="L482" s="36">
        <v>45139</v>
      </c>
      <c r="M482" t="s">
        <v>598</v>
      </c>
      <c r="N482" t="s">
        <v>608</v>
      </c>
      <c r="O482" s="37" t="str">
        <f t="shared" si="38"/>
        <v>Cash Payment</v>
      </c>
      <c r="P482">
        <v>226.6</v>
      </c>
      <c r="Q482" s="37" t="str">
        <f>IF(P482&gt;500,"High","low")</f>
        <v>low</v>
      </c>
      <c r="R482" s="37" t="str">
        <f t="shared" si="39"/>
        <v>AVERAGE</v>
      </c>
      <c r="S482" t="s">
        <v>600</v>
      </c>
    </row>
    <row r="483" spans="1:19" x14ac:dyDescent="0.2">
      <c r="A483" t="s">
        <v>1094</v>
      </c>
      <c r="B483" t="s">
        <v>83</v>
      </c>
      <c r="C483" t="s">
        <v>607</v>
      </c>
      <c r="D483">
        <v>3771.68</v>
      </c>
      <c r="E483" s="37" t="str">
        <f t="shared" si="35"/>
        <v xml:space="preserve"> </v>
      </c>
      <c r="F483">
        <v>0.16</v>
      </c>
      <c r="G483" s="37" t="str">
        <f t="shared" si="36"/>
        <v>Normal Discount</v>
      </c>
      <c r="H483" s="37" t="str">
        <f t="shared" si="37"/>
        <v>Low</v>
      </c>
      <c r="I483">
        <v>3</v>
      </c>
      <c r="J483" t="str" cm="1">
        <f t="array" ref="J483">_xlfn.IFS(I483&lt;=3,"small",I483&lt;=6,"Medium",I483&lt;=9,"Large")</f>
        <v>small</v>
      </c>
      <c r="K483" s="36">
        <v>45480</v>
      </c>
      <c r="L483" s="36">
        <v>45485</v>
      </c>
      <c r="M483" t="s">
        <v>603</v>
      </c>
      <c r="N483" t="s">
        <v>599</v>
      </c>
      <c r="O483" s="37" t="str">
        <f t="shared" si="38"/>
        <v>Digital Payment</v>
      </c>
      <c r="P483">
        <v>778.64</v>
      </c>
      <c r="Q483" s="37" t="str">
        <f>IF(P483&gt;500,"High","low")</f>
        <v>High</v>
      </c>
      <c r="R483" s="37" t="str">
        <f t="shared" si="39"/>
        <v>Good</v>
      </c>
      <c r="S483" t="s">
        <v>628</v>
      </c>
    </row>
    <row r="484" spans="1:19" x14ac:dyDescent="0.2">
      <c r="A484" t="s">
        <v>1095</v>
      </c>
      <c r="B484" t="s">
        <v>75</v>
      </c>
      <c r="C484" t="s">
        <v>614</v>
      </c>
      <c r="D484">
        <v>4304.7700000000004</v>
      </c>
      <c r="E484" s="37" t="str">
        <f t="shared" si="35"/>
        <v xml:space="preserve"> </v>
      </c>
      <c r="F484">
        <v>0.3</v>
      </c>
      <c r="G484" s="37" t="str">
        <f t="shared" si="36"/>
        <v>Normal Discount</v>
      </c>
      <c r="H484" s="37" t="str">
        <f t="shared" si="37"/>
        <v>Medium</v>
      </c>
      <c r="I484">
        <v>2</v>
      </c>
      <c r="J484" t="str" cm="1">
        <f t="array" ref="J484">_xlfn.IFS(I484&lt;=3,"small",I484&lt;=6,"Medium",I484&lt;=9,"Large")</f>
        <v>small</v>
      </c>
      <c r="K484" s="36">
        <v>45491</v>
      </c>
      <c r="L484" s="36">
        <v>45492</v>
      </c>
      <c r="M484" t="s">
        <v>612</v>
      </c>
      <c r="N484" t="s">
        <v>608</v>
      </c>
      <c r="O484" s="37" t="str">
        <f t="shared" si="38"/>
        <v>Cash Payment</v>
      </c>
      <c r="P484">
        <v>336.04</v>
      </c>
      <c r="Q484" s="37" t="str">
        <f>IF(P484&gt;500,"High","low")</f>
        <v>low</v>
      </c>
      <c r="R484" s="37" t="str">
        <f t="shared" si="39"/>
        <v>AVERAGE</v>
      </c>
      <c r="S484" t="s">
        <v>600</v>
      </c>
    </row>
    <row r="485" spans="1:19" x14ac:dyDescent="0.2">
      <c r="A485" t="s">
        <v>1096</v>
      </c>
      <c r="B485" t="s">
        <v>83</v>
      </c>
      <c r="C485" t="s">
        <v>597</v>
      </c>
      <c r="D485">
        <v>892.86</v>
      </c>
      <c r="E485" s="37" t="str">
        <f t="shared" si="35"/>
        <v xml:space="preserve"> </v>
      </c>
      <c r="F485">
        <v>0.11</v>
      </c>
      <c r="G485" s="37" t="str">
        <f t="shared" si="36"/>
        <v>Normal Discount</v>
      </c>
      <c r="H485" s="37" t="str">
        <f t="shared" si="37"/>
        <v>Low</v>
      </c>
      <c r="I485">
        <v>1</v>
      </c>
      <c r="J485" t="str" cm="1">
        <f t="array" ref="J485">_xlfn.IFS(I485&lt;=3,"small",I485&lt;=6,"Medium",I485&lt;=9,"Large")</f>
        <v>small</v>
      </c>
      <c r="K485" s="36">
        <v>44959</v>
      </c>
      <c r="L485" s="36">
        <v>44962</v>
      </c>
      <c r="M485" t="s">
        <v>598</v>
      </c>
      <c r="N485" t="s">
        <v>604</v>
      </c>
      <c r="O485" s="37" t="str">
        <f t="shared" si="38"/>
        <v>Digital Payment</v>
      </c>
      <c r="P485">
        <v>74.44</v>
      </c>
      <c r="Q485" s="37" t="str">
        <f>IF(P485&gt;500,"High","low")</f>
        <v>low</v>
      </c>
      <c r="R485" s="37" t="str">
        <f t="shared" si="39"/>
        <v>AVERAGE</v>
      </c>
      <c r="S485" t="s">
        <v>620</v>
      </c>
    </row>
    <row r="486" spans="1:19" x14ac:dyDescent="0.2">
      <c r="A486" t="s">
        <v>1097</v>
      </c>
      <c r="B486" t="s">
        <v>75</v>
      </c>
      <c r="C486" t="s">
        <v>607</v>
      </c>
      <c r="D486">
        <v>3492.82</v>
      </c>
      <c r="E486" s="37" t="str">
        <f t="shared" si="35"/>
        <v xml:space="preserve"> </v>
      </c>
      <c r="F486">
        <v>0.26</v>
      </c>
      <c r="G486" s="37" t="str">
        <f t="shared" si="36"/>
        <v>Normal Discount</v>
      </c>
      <c r="H486" s="37" t="str">
        <f t="shared" si="37"/>
        <v>Medium</v>
      </c>
      <c r="I486">
        <v>9</v>
      </c>
      <c r="J486" t="str" cm="1">
        <f t="array" ref="J486">_xlfn.IFS(I486&lt;=3,"small",I486&lt;=6,"Medium",I486&lt;=9,"Large")</f>
        <v>Large</v>
      </c>
      <c r="K486" s="36">
        <v>45203</v>
      </c>
      <c r="L486" s="36">
        <v>45205</v>
      </c>
      <c r="M486" t="s">
        <v>598</v>
      </c>
      <c r="N486" t="s">
        <v>604</v>
      </c>
      <c r="O486" s="37" t="str">
        <f t="shared" si="38"/>
        <v>Digital Payment</v>
      </c>
      <c r="P486">
        <v>317.56</v>
      </c>
      <c r="Q486" s="37" t="str">
        <f>IF(P486&gt;500,"High","low")</f>
        <v>low</v>
      </c>
      <c r="R486" s="37" t="str">
        <f t="shared" si="39"/>
        <v>AVERAGE</v>
      </c>
      <c r="S486" t="s">
        <v>605</v>
      </c>
    </row>
    <row r="487" spans="1:19" x14ac:dyDescent="0.2">
      <c r="A487" t="s">
        <v>1098</v>
      </c>
      <c r="B487" t="s">
        <v>83</v>
      </c>
      <c r="C487" t="s">
        <v>617</v>
      </c>
      <c r="D487">
        <v>4878</v>
      </c>
      <c r="E487" s="37" t="str">
        <f t="shared" si="35"/>
        <v xml:space="preserve"> </v>
      </c>
      <c r="F487">
        <v>0.28999999999999998</v>
      </c>
      <c r="G487" s="37" t="str">
        <f t="shared" si="36"/>
        <v>Normal Discount</v>
      </c>
      <c r="H487" s="37" t="str">
        <f t="shared" si="37"/>
        <v>Medium</v>
      </c>
      <c r="I487">
        <v>5</v>
      </c>
      <c r="J487" t="str" cm="1">
        <f t="array" ref="J487">_xlfn.IFS(I487&lt;=3,"small",I487&lt;=6,"Medium",I487&lt;=9,"Large")</f>
        <v>Medium</v>
      </c>
      <c r="K487" s="36">
        <v>45370</v>
      </c>
      <c r="L487" s="36">
        <v>45373</v>
      </c>
      <c r="M487" t="s">
        <v>598</v>
      </c>
      <c r="N487" t="s">
        <v>608</v>
      </c>
      <c r="O487" s="37" t="str">
        <f t="shared" si="38"/>
        <v>Cash Payment</v>
      </c>
      <c r="P487">
        <v>731.64</v>
      </c>
      <c r="Q487" s="37" t="str">
        <f>IF(P487&gt;500,"High","low")</f>
        <v>High</v>
      </c>
      <c r="R487" s="37" t="str">
        <f t="shared" si="39"/>
        <v>Good</v>
      </c>
      <c r="S487" t="s">
        <v>615</v>
      </c>
    </row>
    <row r="488" spans="1:19" x14ac:dyDescent="0.2">
      <c r="A488" t="s">
        <v>1099</v>
      </c>
      <c r="B488" t="s">
        <v>90</v>
      </c>
      <c r="C488" t="s">
        <v>614</v>
      </c>
      <c r="D488">
        <v>3098.38</v>
      </c>
      <c r="E488" s="37" t="str">
        <f t="shared" si="35"/>
        <v xml:space="preserve"> </v>
      </c>
      <c r="F488">
        <v>0.09</v>
      </c>
      <c r="G488" s="37" t="str">
        <f t="shared" si="36"/>
        <v>Normal Discount</v>
      </c>
      <c r="H488" s="37" t="str">
        <f t="shared" si="37"/>
        <v>Low</v>
      </c>
      <c r="I488">
        <v>6</v>
      </c>
      <c r="J488" t="str" cm="1">
        <f t="array" ref="J488">_xlfn.IFS(I488&lt;=3,"small",I488&lt;=6,"Medium",I488&lt;=9,"Large")</f>
        <v>Medium</v>
      </c>
      <c r="K488" s="36">
        <v>45580</v>
      </c>
      <c r="L488" s="36">
        <v>45584</v>
      </c>
      <c r="M488" t="s">
        <v>598</v>
      </c>
      <c r="N488" t="s">
        <v>604</v>
      </c>
      <c r="O488" s="37" t="str">
        <f t="shared" si="38"/>
        <v>Digital Payment</v>
      </c>
      <c r="P488">
        <v>344.48</v>
      </c>
      <c r="Q488" s="37" t="str">
        <f>IF(P488&gt;500,"High","low")</f>
        <v>low</v>
      </c>
      <c r="R488" s="37" t="str">
        <f t="shared" si="39"/>
        <v>AVERAGE</v>
      </c>
      <c r="S488" t="s">
        <v>615</v>
      </c>
    </row>
    <row r="489" spans="1:19" x14ac:dyDescent="0.2">
      <c r="A489" t="s">
        <v>1100</v>
      </c>
      <c r="B489" t="s">
        <v>67</v>
      </c>
      <c r="C489" t="s">
        <v>607</v>
      </c>
      <c r="D489">
        <v>939.69</v>
      </c>
      <c r="E489" s="37" t="str">
        <f t="shared" si="35"/>
        <v xml:space="preserve"> </v>
      </c>
      <c r="F489">
        <v>0.06</v>
      </c>
      <c r="G489" s="37" t="str">
        <f t="shared" si="36"/>
        <v>Normal Discount</v>
      </c>
      <c r="H489" s="37" t="str">
        <f t="shared" si="37"/>
        <v>Low</v>
      </c>
      <c r="I489">
        <v>8</v>
      </c>
      <c r="J489" t="str" cm="1">
        <f t="array" ref="J489">_xlfn.IFS(I489&lt;=3,"small",I489&lt;=6,"Medium",I489&lt;=9,"Large")</f>
        <v>Large</v>
      </c>
      <c r="K489" s="36">
        <v>45353</v>
      </c>
      <c r="L489" s="36">
        <v>45360</v>
      </c>
      <c r="M489" t="s">
        <v>612</v>
      </c>
      <c r="N489" t="s">
        <v>604</v>
      </c>
      <c r="O489" s="37" t="str">
        <f t="shared" si="38"/>
        <v>Digital Payment</v>
      </c>
      <c r="P489">
        <v>270.99</v>
      </c>
      <c r="Q489" s="37" t="str">
        <f>IF(P489&gt;500,"High","low")</f>
        <v>low</v>
      </c>
      <c r="R489" s="37" t="str">
        <f t="shared" si="39"/>
        <v>AVERAGE</v>
      </c>
      <c r="S489" t="s">
        <v>620</v>
      </c>
    </row>
    <row r="490" spans="1:19" x14ac:dyDescent="0.2">
      <c r="A490" t="s">
        <v>1101</v>
      </c>
      <c r="B490" t="s">
        <v>75</v>
      </c>
      <c r="C490" t="s">
        <v>607</v>
      </c>
      <c r="D490">
        <v>4979.32</v>
      </c>
      <c r="E490" s="37" t="str">
        <f t="shared" si="35"/>
        <v>Excellent Order</v>
      </c>
      <c r="F490">
        <v>0.49</v>
      </c>
      <c r="G490" s="37" t="str">
        <f t="shared" si="36"/>
        <v>Heavy Discount</v>
      </c>
      <c r="H490" s="37" t="str">
        <f t="shared" si="37"/>
        <v>High</v>
      </c>
      <c r="I490">
        <v>7</v>
      </c>
      <c r="J490" t="str" cm="1">
        <f t="array" ref="J490">_xlfn.IFS(I490&lt;=3,"small",I490&lt;=6,"Medium",I490&lt;=9,"Large")</f>
        <v>Large</v>
      </c>
      <c r="K490" s="36">
        <v>45056</v>
      </c>
      <c r="L490" s="36">
        <v>45059</v>
      </c>
      <c r="M490" t="s">
        <v>598</v>
      </c>
      <c r="N490" t="s">
        <v>604</v>
      </c>
      <c r="O490" s="37" t="str">
        <f t="shared" si="38"/>
        <v>Digital Payment</v>
      </c>
      <c r="P490">
        <v>1091.53</v>
      </c>
      <c r="Q490" s="37" t="str">
        <f>IF(P490&gt;500,"High","low")</f>
        <v>High</v>
      </c>
      <c r="R490" s="37" t="str">
        <f t="shared" si="39"/>
        <v>Excellent</v>
      </c>
      <c r="S490" t="s">
        <v>609</v>
      </c>
    </row>
    <row r="491" spans="1:19" x14ac:dyDescent="0.2">
      <c r="A491" t="s">
        <v>1102</v>
      </c>
      <c r="B491" t="s">
        <v>75</v>
      </c>
      <c r="C491" t="s">
        <v>607</v>
      </c>
      <c r="D491">
        <v>2688.79</v>
      </c>
      <c r="E491" s="37" t="str">
        <f t="shared" si="35"/>
        <v xml:space="preserve"> </v>
      </c>
      <c r="F491">
        <v>0.45</v>
      </c>
      <c r="G491" s="37" t="str">
        <f t="shared" si="36"/>
        <v>Heavy Discount</v>
      </c>
      <c r="H491" s="37" t="str">
        <f t="shared" si="37"/>
        <v>High</v>
      </c>
      <c r="I491">
        <v>7</v>
      </c>
      <c r="J491" t="str" cm="1">
        <f t="array" ref="J491">_xlfn.IFS(I491&lt;=3,"small",I491&lt;=6,"Medium",I491&lt;=9,"Large")</f>
        <v>Large</v>
      </c>
      <c r="K491" s="36">
        <v>45222</v>
      </c>
      <c r="L491" s="36">
        <v>45229</v>
      </c>
      <c r="M491" t="s">
        <v>598</v>
      </c>
      <c r="N491" t="s">
        <v>608</v>
      </c>
      <c r="O491" s="37" t="str">
        <f t="shared" si="38"/>
        <v>Cash Payment</v>
      </c>
      <c r="P491">
        <v>264.99</v>
      </c>
      <c r="Q491" s="37" t="str">
        <f>IF(P491&gt;500,"High","low")</f>
        <v>low</v>
      </c>
      <c r="R491" s="37" t="str">
        <f t="shared" si="39"/>
        <v>AVERAGE</v>
      </c>
      <c r="S491" t="s">
        <v>620</v>
      </c>
    </row>
    <row r="492" spans="1:19" x14ac:dyDescent="0.2">
      <c r="A492" t="s">
        <v>1103</v>
      </c>
      <c r="B492" t="s">
        <v>67</v>
      </c>
      <c r="C492" t="s">
        <v>607</v>
      </c>
      <c r="D492">
        <v>4216.29</v>
      </c>
      <c r="E492" s="37" t="str">
        <f t="shared" si="35"/>
        <v>Excellent Order</v>
      </c>
      <c r="F492">
        <v>0.33</v>
      </c>
      <c r="G492" s="37" t="str">
        <f t="shared" si="36"/>
        <v>Heavy Discount</v>
      </c>
      <c r="H492" s="37" t="str">
        <f t="shared" si="37"/>
        <v>Medium</v>
      </c>
      <c r="I492">
        <v>9</v>
      </c>
      <c r="J492" t="str" cm="1">
        <f t="array" ref="J492">_xlfn.IFS(I492&lt;=3,"small",I492&lt;=6,"Medium",I492&lt;=9,"Large")</f>
        <v>Large</v>
      </c>
      <c r="K492" s="36">
        <v>45488</v>
      </c>
      <c r="L492" s="36">
        <v>45492</v>
      </c>
      <c r="M492" t="s">
        <v>612</v>
      </c>
      <c r="N492" t="s">
        <v>608</v>
      </c>
      <c r="O492" s="37" t="str">
        <f t="shared" si="38"/>
        <v>Cash Payment</v>
      </c>
      <c r="P492">
        <v>1058.17</v>
      </c>
      <c r="Q492" s="37" t="str">
        <f>IF(P492&gt;500,"High","low")</f>
        <v>High</v>
      </c>
      <c r="R492" s="37" t="str">
        <f t="shared" si="39"/>
        <v>Excellent</v>
      </c>
      <c r="S492" t="s">
        <v>600</v>
      </c>
    </row>
    <row r="493" spans="1:19" x14ac:dyDescent="0.2">
      <c r="A493" t="s">
        <v>1104</v>
      </c>
      <c r="B493" t="s">
        <v>75</v>
      </c>
      <c r="C493" t="s">
        <v>597</v>
      </c>
      <c r="D493">
        <v>831.87</v>
      </c>
      <c r="E493" s="37" t="str">
        <f t="shared" si="35"/>
        <v xml:space="preserve"> </v>
      </c>
      <c r="F493">
        <v>0.43</v>
      </c>
      <c r="G493" s="37" t="str">
        <f t="shared" si="36"/>
        <v>Heavy Discount</v>
      </c>
      <c r="H493" s="37" t="str">
        <f t="shared" si="37"/>
        <v>High</v>
      </c>
      <c r="I493">
        <v>3</v>
      </c>
      <c r="J493" t="str" cm="1">
        <f t="array" ref="J493">_xlfn.IFS(I493&lt;=3,"small",I493&lt;=6,"Medium",I493&lt;=9,"Large")</f>
        <v>small</v>
      </c>
      <c r="K493" s="36">
        <v>45405</v>
      </c>
      <c r="L493" s="36">
        <v>45408</v>
      </c>
      <c r="M493" t="s">
        <v>603</v>
      </c>
      <c r="N493" t="s">
        <v>608</v>
      </c>
      <c r="O493" s="37" t="str">
        <f t="shared" si="38"/>
        <v>Cash Payment</v>
      </c>
      <c r="P493">
        <v>99.89</v>
      </c>
      <c r="Q493" s="37" t="str">
        <f>IF(P493&gt;500,"High","low")</f>
        <v>low</v>
      </c>
      <c r="R493" s="37" t="str">
        <f t="shared" si="39"/>
        <v>AVERAGE</v>
      </c>
      <c r="S493" t="s">
        <v>628</v>
      </c>
    </row>
    <row r="494" spans="1:19" x14ac:dyDescent="0.2">
      <c r="A494" t="s">
        <v>1105</v>
      </c>
      <c r="B494" t="s">
        <v>75</v>
      </c>
      <c r="C494" t="s">
        <v>617</v>
      </c>
      <c r="D494">
        <v>3363.87</v>
      </c>
      <c r="E494" s="37" t="str">
        <f t="shared" si="35"/>
        <v xml:space="preserve"> </v>
      </c>
      <c r="F494">
        <v>0.05</v>
      </c>
      <c r="G494" s="37" t="str">
        <f t="shared" si="36"/>
        <v>Normal Discount</v>
      </c>
      <c r="H494" s="37" t="str">
        <f t="shared" si="37"/>
        <v>Low</v>
      </c>
      <c r="I494">
        <v>8</v>
      </c>
      <c r="J494" t="str" cm="1">
        <f t="array" ref="J494">_xlfn.IFS(I494&lt;=3,"small",I494&lt;=6,"Medium",I494&lt;=9,"Large")</f>
        <v>Large</v>
      </c>
      <c r="K494" s="36">
        <v>45501</v>
      </c>
      <c r="L494" s="36">
        <v>45506</v>
      </c>
      <c r="M494" t="s">
        <v>612</v>
      </c>
      <c r="N494" t="s">
        <v>608</v>
      </c>
      <c r="O494" s="37" t="str">
        <f t="shared" si="38"/>
        <v>Cash Payment</v>
      </c>
      <c r="P494">
        <v>840.81</v>
      </c>
      <c r="Q494" s="37" t="str">
        <f>IF(P494&gt;500,"High","low")</f>
        <v>High</v>
      </c>
      <c r="R494" s="37" t="str">
        <f t="shared" si="39"/>
        <v>Good</v>
      </c>
      <c r="S494" t="s">
        <v>605</v>
      </c>
    </row>
    <row r="495" spans="1:19" x14ac:dyDescent="0.2">
      <c r="A495" t="s">
        <v>1106</v>
      </c>
      <c r="B495" t="s">
        <v>83</v>
      </c>
      <c r="C495" t="s">
        <v>617</v>
      </c>
      <c r="D495">
        <v>4571.83</v>
      </c>
      <c r="E495" s="37" t="str">
        <f t="shared" si="35"/>
        <v xml:space="preserve"> </v>
      </c>
      <c r="F495">
        <v>0.36</v>
      </c>
      <c r="G495" s="37" t="str">
        <f t="shared" si="36"/>
        <v>Heavy Discount</v>
      </c>
      <c r="H495" s="37" t="str">
        <f t="shared" si="37"/>
        <v>Medium</v>
      </c>
      <c r="I495">
        <v>6</v>
      </c>
      <c r="J495" t="str" cm="1">
        <f t="array" ref="J495">_xlfn.IFS(I495&lt;=3,"small",I495&lt;=6,"Medium",I495&lt;=9,"Large")</f>
        <v>Medium</v>
      </c>
      <c r="K495" s="36">
        <v>45036</v>
      </c>
      <c r="L495" s="36">
        <v>45039</v>
      </c>
      <c r="M495" t="s">
        <v>603</v>
      </c>
      <c r="N495" t="s">
        <v>604</v>
      </c>
      <c r="O495" s="37" t="str">
        <f t="shared" si="38"/>
        <v>Digital Payment</v>
      </c>
      <c r="P495">
        <v>764.68</v>
      </c>
      <c r="Q495" s="37" t="str">
        <f>IF(P495&gt;500,"High","low")</f>
        <v>High</v>
      </c>
      <c r="R495" s="37" t="str">
        <f t="shared" si="39"/>
        <v>Good</v>
      </c>
      <c r="S495" t="s">
        <v>620</v>
      </c>
    </row>
    <row r="496" spans="1:19" x14ac:dyDescent="0.2">
      <c r="A496" t="s">
        <v>1107</v>
      </c>
      <c r="B496" t="s">
        <v>75</v>
      </c>
      <c r="C496" t="s">
        <v>614</v>
      </c>
      <c r="D496">
        <v>2706.89</v>
      </c>
      <c r="E496" s="37" t="str">
        <f t="shared" si="35"/>
        <v xml:space="preserve"> </v>
      </c>
      <c r="F496">
        <v>0.14000000000000001</v>
      </c>
      <c r="G496" s="37" t="str">
        <f t="shared" si="36"/>
        <v>Normal Discount</v>
      </c>
      <c r="H496" s="37" t="str">
        <f t="shared" si="37"/>
        <v>Low</v>
      </c>
      <c r="I496">
        <v>8</v>
      </c>
      <c r="J496" t="str" cm="1">
        <f t="array" ref="J496">_xlfn.IFS(I496&lt;=3,"small",I496&lt;=6,"Medium",I496&lt;=9,"Large")</f>
        <v>Large</v>
      </c>
      <c r="K496" s="36">
        <v>45246</v>
      </c>
      <c r="L496" s="36">
        <v>45252</v>
      </c>
      <c r="M496" t="s">
        <v>598</v>
      </c>
      <c r="N496" t="s">
        <v>608</v>
      </c>
      <c r="O496" s="37" t="str">
        <f t="shared" si="38"/>
        <v>Cash Payment</v>
      </c>
      <c r="P496">
        <v>460.15</v>
      </c>
      <c r="Q496" s="37" t="str">
        <f>IF(P496&gt;500,"High","low")</f>
        <v>low</v>
      </c>
      <c r="R496" s="37" t="str">
        <f t="shared" si="39"/>
        <v>AVERAGE</v>
      </c>
      <c r="S496" t="s">
        <v>628</v>
      </c>
    </row>
    <row r="497" spans="1:19" x14ac:dyDescent="0.2">
      <c r="A497" t="s">
        <v>1108</v>
      </c>
      <c r="B497" t="s">
        <v>90</v>
      </c>
      <c r="C497" t="s">
        <v>602</v>
      </c>
      <c r="D497">
        <v>1514.43</v>
      </c>
      <c r="E497" s="37" t="str">
        <f t="shared" si="35"/>
        <v xml:space="preserve"> </v>
      </c>
      <c r="F497">
        <v>0.27</v>
      </c>
      <c r="G497" s="37" t="str">
        <f t="shared" si="36"/>
        <v>Normal Discount</v>
      </c>
      <c r="H497" s="37" t="str">
        <f t="shared" si="37"/>
        <v>Medium</v>
      </c>
      <c r="I497">
        <v>4</v>
      </c>
      <c r="J497" t="str" cm="1">
        <f t="array" ref="J497">_xlfn.IFS(I497&lt;=3,"small",I497&lt;=6,"Medium",I497&lt;=9,"Large")</f>
        <v>Medium</v>
      </c>
      <c r="K497" s="36">
        <v>45104</v>
      </c>
      <c r="L497" s="36">
        <v>45106</v>
      </c>
      <c r="M497" t="s">
        <v>598</v>
      </c>
      <c r="N497" t="s">
        <v>599</v>
      </c>
      <c r="O497" s="37" t="str">
        <f t="shared" si="38"/>
        <v>Digital Payment</v>
      </c>
      <c r="P497">
        <v>220.52</v>
      </c>
      <c r="Q497" s="37" t="str">
        <f>IF(P497&gt;500,"High","low")</f>
        <v>low</v>
      </c>
      <c r="R497" s="37" t="str">
        <f t="shared" si="39"/>
        <v>AVERAGE</v>
      </c>
      <c r="S497" t="s">
        <v>600</v>
      </c>
    </row>
    <row r="498" spans="1:19" x14ac:dyDescent="0.2">
      <c r="A498" t="s">
        <v>1109</v>
      </c>
      <c r="B498" t="s">
        <v>90</v>
      </c>
      <c r="C498" t="s">
        <v>597</v>
      </c>
      <c r="D498">
        <v>724.37</v>
      </c>
      <c r="E498" s="37" t="str">
        <f t="shared" si="35"/>
        <v xml:space="preserve"> </v>
      </c>
      <c r="F498">
        <v>0.38</v>
      </c>
      <c r="G498" s="37" t="str">
        <f t="shared" si="36"/>
        <v>Heavy Discount</v>
      </c>
      <c r="H498" s="37" t="str">
        <f t="shared" si="37"/>
        <v>Medium</v>
      </c>
      <c r="I498">
        <v>1</v>
      </c>
      <c r="J498" t="str" cm="1">
        <f t="array" ref="J498">_xlfn.IFS(I498&lt;=3,"small",I498&lt;=6,"Medium",I498&lt;=9,"Large")</f>
        <v>small</v>
      </c>
      <c r="K498" s="36">
        <v>45320</v>
      </c>
      <c r="L498" s="36">
        <v>45327</v>
      </c>
      <c r="M498" t="s">
        <v>603</v>
      </c>
      <c r="N498" t="s">
        <v>599</v>
      </c>
      <c r="O498" s="37" t="str">
        <f t="shared" si="38"/>
        <v>Digital Payment</v>
      </c>
      <c r="P498">
        <v>80.92</v>
      </c>
      <c r="Q498" s="37" t="str">
        <f>IF(P498&gt;500,"High","low")</f>
        <v>low</v>
      </c>
      <c r="R498" s="37" t="str">
        <f t="shared" si="39"/>
        <v>AVERAGE</v>
      </c>
      <c r="S498" t="s">
        <v>609</v>
      </c>
    </row>
    <row r="499" spans="1:19" x14ac:dyDescent="0.2">
      <c r="A499" t="s">
        <v>1110</v>
      </c>
      <c r="B499" t="s">
        <v>67</v>
      </c>
      <c r="C499" t="s">
        <v>614</v>
      </c>
      <c r="D499">
        <v>1550.13</v>
      </c>
      <c r="E499" s="37" t="str">
        <f t="shared" si="35"/>
        <v xml:space="preserve"> </v>
      </c>
      <c r="F499">
        <v>0.02</v>
      </c>
      <c r="G499" s="37" t="str">
        <f t="shared" si="36"/>
        <v>Normal Discount</v>
      </c>
      <c r="H499" s="37" t="str">
        <f t="shared" si="37"/>
        <v>Low</v>
      </c>
      <c r="I499">
        <v>3</v>
      </c>
      <c r="J499" t="str" cm="1">
        <f t="array" ref="J499">_xlfn.IFS(I499&lt;=3,"small",I499&lt;=6,"Medium",I499&lt;=9,"Large")</f>
        <v>small</v>
      </c>
      <c r="K499" s="36">
        <v>45170</v>
      </c>
      <c r="L499" s="36">
        <v>45172</v>
      </c>
      <c r="M499" t="s">
        <v>598</v>
      </c>
      <c r="N499" t="s">
        <v>599</v>
      </c>
      <c r="O499" s="37" t="str">
        <f t="shared" si="38"/>
        <v>Digital Payment</v>
      </c>
      <c r="P499">
        <v>343.75</v>
      </c>
      <c r="Q499" s="37" t="str">
        <f>IF(P499&gt;500,"High","low")</f>
        <v>low</v>
      </c>
      <c r="R499" s="37" t="str">
        <f t="shared" si="39"/>
        <v>AVERAGE</v>
      </c>
      <c r="S499" t="s">
        <v>600</v>
      </c>
    </row>
    <row r="500" spans="1:19" x14ac:dyDescent="0.2">
      <c r="A500" t="s">
        <v>1111</v>
      </c>
      <c r="B500" t="s">
        <v>75</v>
      </c>
      <c r="C500" t="s">
        <v>614</v>
      </c>
      <c r="D500">
        <v>1838.93</v>
      </c>
      <c r="E500" s="37" t="str">
        <f t="shared" si="35"/>
        <v xml:space="preserve"> </v>
      </c>
      <c r="F500">
        <v>0.35</v>
      </c>
      <c r="G500" s="37" t="str">
        <f t="shared" si="36"/>
        <v>Heavy Discount</v>
      </c>
      <c r="H500" s="37" t="str">
        <f t="shared" si="37"/>
        <v>Medium</v>
      </c>
      <c r="I500">
        <v>3</v>
      </c>
      <c r="J500" t="str" cm="1">
        <f t="array" ref="J500">_xlfn.IFS(I500&lt;=3,"small",I500&lt;=6,"Medium",I500&lt;=9,"Large")</f>
        <v>small</v>
      </c>
      <c r="K500" s="36">
        <v>45523</v>
      </c>
      <c r="L500" s="36">
        <v>45525</v>
      </c>
      <c r="M500" t="s">
        <v>612</v>
      </c>
      <c r="N500" t="s">
        <v>608</v>
      </c>
      <c r="O500" s="37" t="str">
        <f t="shared" si="38"/>
        <v>Cash Payment</v>
      </c>
      <c r="P500">
        <v>323.37</v>
      </c>
      <c r="Q500" s="37" t="str">
        <f>IF(P500&gt;500,"High","low")</f>
        <v>low</v>
      </c>
      <c r="R500" s="37" t="str">
        <f t="shared" si="39"/>
        <v>AVERAGE</v>
      </c>
      <c r="S500" t="s">
        <v>605</v>
      </c>
    </row>
    <row r="501" spans="1:19" x14ac:dyDescent="0.2">
      <c r="A501" t="s">
        <v>1112</v>
      </c>
      <c r="B501" t="s">
        <v>67</v>
      </c>
      <c r="C501" t="s">
        <v>607</v>
      </c>
      <c r="D501">
        <v>3578.78</v>
      </c>
      <c r="E501" s="37" t="str">
        <f t="shared" si="35"/>
        <v xml:space="preserve"> </v>
      </c>
      <c r="F501">
        <v>0.22</v>
      </c>
      <c r="G501" s="37" t="str">
        <f t="shared" si="36"/>
        <v>Normal Discount</v>
      </c>
      <c r="H501" s="37" t="str">
        <f t="shared" si="37"/>
        <v>Medium</v>
      </c>
      <c r="I501">
        <v>1</v>
      </c>
      <c r="J501" t="str" cm="1">
        <f t="array" ref="J501">_xlfn.IFS(I501&lt;=3,"small",I501&lt;=6,"Medium",I501&lt;=9,"Large")</f>
        <v>small</v>
      </c>
      <c r="K501" s="36">
        <v>45040</v>
      </c>
      <c r="L501" s="36">
        <v>45044</v>
      </c>
      <c r="M501" t="s">
        <v>612</v>
      </c>
      <c r="N501" t="s">
        <v>599</v>
      </c>
      <c r="O501" s="37" t="str">
        <f t="shared" si="38"/>
        <v>Digital Payment</v>
      </c>
      <c r="P501">
        <v>186.88</v>
      </c>
      <c r="Q501" s="37" t="str">
        <f>IF(P501&gt;500,"High","low")</f>
        <v>low</v>
      </c>
      <c r="R501" s="37" t="str">
        <f t="shared" si="39"/>
        <v>AVERAGE</v>
      </c>
      <c r="S501" t="s">
        <v>628</v>
      </c>
    </row>
    <row r="502" spans="1:19" x14ac:dyDescent="0.2">
      <c r="A502" t="s">
        <v>1113</v>
      </c>
      <c r="B502" t="s">
        <v>90</v>
      </c>
      <c r="C502" t="s">
        <v>602</v>
      </c>
      <c r="D502">
        <v>975.24</v>
      </c>
      <c r="E502" s="37" t="str">
        <f t="shared" si="35"/>
        <v xml:space="preserve"> </v>
      </c>
      <c r="F502">
        <v>0.22</v>
      </c>
      <c r="G502" s="37" t="str">
        <f t="shared" si="36"/>
        <v>Normal Discount</v>
      </c>
      <c r="H502" s="37" t="str">
        <f t="shared" si="37"/>
        <v>Medium</v>
      </c>
      <c r="I502">
        <v>5</v>
      </c>
      <c r="J502" t="str" cm="1">
        <f t="array" ref="J502">_xlfn.IFS(I502&lt;=3,"small",I502&lt;=6,"Medium",I502&lt;=9,"Large")</f>
        <v>Medium</v>
      </c>
      <c r="K502" s="36">
        <v>45042</v>
      </c>
      <c r="L502" s="36">
        <v>45046</v>
      </c>
      <c r="M502" t="s">
        <v>612</v>
      </c>
      <c r="N502" t="s">
        <v>608</v>
      </c>
      <c r="O502" s="37" t="str">
        <f t="shared" si="38"/>
        <v>Cash Payment</v>
      </c>
      <c r="P502">
        <v>127.17</v>
      </c>
      <c r="Q502" s="37" t="str">
        <f>IF(P502&gt;500,"High","low")</f>
        <v>low</v>
      </c>
      <c r="R502" s="37" t="str">
        <f t="shared" si="39"/>
        <v>AVERAGE</v>
      </c>
      <c r="S502" t="s">
        <v>628</v>
      </c>
    </row>
    <row r="503" spans="1:19" x14ac:dyDescent="0.2">
      <c r="A503" t="s">
        <v>1114</v>
      </c>
      <c r="B503" t="s">
        <v>75</v>
      </c>
      <c r="C503" t="s">
        <v>602</v>
      </c>
      <c r="D503">
        <v>619.91</v>
      </c>
      <c r="E503" s="37" t="str">
        <f t="shared" si="35"/>
        <v xml:space="preserve"> </v>
      </c>
      <c r="F503">
        <v>0.45</v>
      </c>
      <c r="G503" s="37" t="str">
        <f t="shared" si="36"/>
        <v>Heavy Discount</v>
      </c>
      <c r="H503" s="37" t="str">
        <f t="shared" si="37"/>
        <v>High</v>
      </c>
      <c r="I503">
        <v>6</v>
      </c>
      <c r="J503" t="str" cm="1">
        <f t="array" ref="J503">_xlfn.IFS(I503&lt;=3,"small",I503&lt;=6,"Medium",I503&lt;=9,"Large")</f>
        <v>Medium</v>
      </c>
      <c r="K503" s="36">
        <v>45589</v>
      </c>
      <c r="L503" s="36">
        <v>45594</v>
      </c>
      <c r="M503" t="s">
        <v>603</v>
      </c>
      <c r="N503" t="s">
        <v>604</v>
      </c>
      <c r="O503" s="37" t="str">
        <f t="shared" si="38"/>
        <v>Digital Payment</v>
      </c>
      <c r="P503">
        <v>149.75</v>
      </c>
      <c r="Q503" s="37" t="str">
        <f>IF(P503&gt;500,"High","low")</f>
        <v>low</v>
      </c>
      <c r="R503" s="37" t="str">
        <f t="shared" si="39"/>
        <v>AVERAGE</v>
      </c>
      <c r="S503" t="s">
        <v>620</v>
      </c>
    </row>
    <row r="504" spans="1:19" x14ac:dyDescent="0.2">
      <c r="A504" t="s">
        <v>1115</v>
      </c>
      <c r="B504" t="s">
        <v>75</v>
      </c>
      <c r="C504" t="s">
        <v>597</v>
      </c>
      <c r="D504">
        <v>1996</v>
      </c>
      <c r="E504" s="37" t="str">
        <f t="shared" si="35"/>
        <v xml:space="preserve"> </v>
      </c>
      <c r="F504">
        <v>0.43</v>
      </c>
      <c r="G504" s="37" t="str">
        <f t="shared" si="36"/>
        <v>Heavy Discount</v>
      </c>
      <c r="H504" s="37" t="str">
        <f t="shared" si="37"/>
        <v>High</v>
      </c>
      <c r="I504">
        <v>9</v>
      </c>
      <c r="J504" t="str" cm="1">
        <f t="array" ref="J504">_xlfn.IFS(I504&lt;=3,"small",I504&lt;=6,"Medium",I504&lt;=9,"Large")</f>
        <v>Large</v>
      </c>
      <c r="K504" s="36">
        <v>45475</v>
      </c>
      <c r="L504" s="36">
        <v>45479</v>
      </c>
      <c r="M504" t="s">
        <v>603</v>
      </c>
      <c r="N504" t="s">
        <v>608</v>
      </c>
      <c r="O504" s="37" t="str">
        <f t="shared" si="38"/>
        <v>Cash Payment</v>
      </c>
      <c r="P504">
        <v>247.23</v>
      </c>
      <c r="Q504" s="37" t="str">
        <f>IF(P504&gt;500,"High","low")</f>
        <v>low</v>
      </c>
      <c r="R504" s="37" t="str">
        <f t="shared" si="39"/>
        <v>AVERAGE</v>
      </c>
      <c r="S504" t="s">
        <v>628</v>
      </c>
    </row>
    <row r="505" spans="1:19" x14ac:dyDescent="0.2">
      <c r="A505" t="s">
        <v>1116</v>
      </c>
      <c r="B505" t="s">
        <v>67</v>
      </c>
      <c r="C505" t="s">
        <v>602</v>
      </c>
      <c r="D505">
        <v>2347.4</v>
      </c>
      <c r="E505" s="37" t="str">
        <f t="shared" si="35"/>
        <v xml:space="preserve"> </v>
      </c>
      <c r="F505">
        <v>0.03</v>
      </c>
      <c r="G505" s="37" t="str">
        <f t="shared" si="36"/>
        <v>Normal Discount</v>
      </c>
      <c r="H505" s="37" t="str">
        <f t="shared" si="37"/>
        <v>Low</v>
      </c>
      <c r="I505">
        <v>8</v>
      </c>
      <c r="J505" t="str" cm="1">
        <f t="array" ref="J505">_xlfn.IFS(I505&lt;=3,"small",I505&lt;=6,"Medium",I505&lt;=9,"Large")</f>
        <v>Large</v>
      </c>
      <c r="K505" s="36">
        <v>45510</v>
      </c>
      <c r="L505" s="36">
        <v>45515</v>
      </c>
      <c r="M505" t="s">
        <v>603</v>
      </c>
      <c r="N505" t="s">
        <v>608</v>
      </c>
      <c r="O505" s="37" t="str">
        <f t="shared" si="38"/>
        <v>Cash Payment</v>
      </c>
      <c r="P505">
        <v>519.48</v>
      </c>
      <c r="Q505" s="37" t="str">
        <f>IF(P505&gt;500,"High","low")</f>
        <v>High</v>
      </c>
      <c r="R505" s="37" t="str">
        <f t="shared" si="39"/>
        <v>Good</v>
      </c>
      <c r="S505" t="s">
        <v>609</v>
      </c>
    </row>
    <row r="506" spans="1:19" x14ac:dyDescent="0.2">
      <c r="A506" t="s">
        <v>1117</v>
      </c>
      <c r="B506" t="s">
        <v>90</v>
      </c>
      <c r="C506" t="s">
        <v>614</v>
      </c>
      <c r="D506">
        <v>3179.09</v>
      </c>
      <c r="E506" s="37" t="str">
        <f t="shared" si="35"/>
        <v xml:space="preserve"> </v>
      </c>
      <c r="F506">
        <v>0.31</v>
      </c>
      <c r="G506" s="37" t="str">
        <f t="shared" si="36"/>
        <v>Heavy Discount</v>
      </c>
      <c r="H506" s="37" t="str">
        <f t="shared" si="37"/>
        <v>Medium</v>
      </c>
      <c r="I506">
        <v>4</v>
      </c>
      <c r="J506" t="str" cm="1">
        <f t="array" ref="J506">_xlfn.IFS(I506&lt;=3,"small",I506&lt;=6,"Medium",I506&lt;=9,"Large")</f>
        <v>Medium</v>
      </c>
      <c r="K506" s="36">
        <v>45064</v>
      </c>
      <c r="L506" s="36">
        <v>45067</v>
      </c>
      <c r="M506" t="s">
        <v>598</v>
      </c>
      <c r="N506" t="s">
        <v>604</v>
      </c>
      <c r="O506" s="37" t="str">
        <f t="shared" si="38"/>
        <v>Digital Payment</v>
      </c>
      <c r="P506">
        <v>320.25</v>
      </c>
      <c r="Q506" s="37" t="str">
        <f>IF(P506&gt;500,"High","low")</f>
        <v>low</v>
      </c>
      <c r="R506" s="37" t="str">
        <f t="shared" si="39"/>
        <v>AVERAGE</v>
      </c>
      <c r="S506" t="s">
        <v>600</v>
      </c>
    </row>
    <row r="507" spans="1:19" x14ac:dyDescent="0.2">
      <c r="A507" t="s">
        <v>1118</v>
      </c>
      <c r="B507" t="s">
        <v>75</v>
      </c>
      <c r="C507" t="s">
        <v>602</v>
      </c>
      <c r="D507">
        <v>3566.9</v>
      </c>
      <c r="E507" s="37" t="str">
        <f t="shared" si="35"/>
        <v xml:space="preserve"> </v>
      </c>
      <c r="F507">
        <v>0.22</v>
      </c>
      <c r="G507" s="37" t="str">
        <f t="shared" si="36"/>
        <v>Normal Discount</v>
      </c>
      <c r="H507" s="37" t="str">
        <f t="shared" si="37"/>
        <v>Medium</v>
      </c>
      <c r="I507">
        <v>6</v>
      </c>
      <c r="J507" t="str" cm="1">
        <f t="array" ref="J507">_xlfn.IFS(I507&lt;=3,"small",I507&lt;=6,"Medium",I507&lt;=9,"Large")</f>
        <v>Medium</v>
      </c>
      <c r="K507" s="36">
        <v>45335</v>
      </c>
      <c r="L507" s="36">
        <v>45336</v>
      </c>
      <c r="M507" t="s">
        <v>603</v>
      </c>
      <c r="N507" t="s">
        <v>604</v>
      </c>
      <c r="O507" s="37" t="str">
        <f t="shared" si="38"/>
        <v>Digital Payment</v>
      </c>
      <c r="P507">
        <v>853.11</v>
      </c>
      <c r="Q507" s="37" t="str">
        <f>IF(P507&gt;500,"High","low")</f>
        <v>High</v>
      </c>
      <c r="R507" s="37" t="str">
        <f t="shared" si="39"/>
        <v>Good</v>
      </c>
      <c r="S507" t="s">
        <v>628</v>
      </c>
    </row>
    <row r="508" spans="1:19" x14ac:dyDescent="0.2">
      <c r="A508" t="s">
        <v>1119</v>
      </c>
      <c r="B508" t="s">
        <v>67</v>
      </c>
      <c r="C508" t="s">
        <v>602</v>
      </c>
      <c r="D508">
        <v>4457.46</v>
      </c>
      <c r="E508" s="37" t="str">
        <f t="shared" si="35"/>
        <v xml:space="preserve"> </v>
      </c>
      <c r="F508">
        <v>0.06</v>
      </c>
      <c r="G508" s="37" t="str">
        <f t="shared" si="36"/>
        <v>Normal Discount</v>
      </c>
      <c r="H508" s="37" t="str">
        <f t="shared" si="37"/>
        <v>Low</v>
      </c>
      <c r="I508">
        <v>3</v>
      </c>
      <c r="J508" t="str" cm="1">
        <f t="array" ref="J508">_xlfn.IFS(I508&lt;=3,"small",I508&lt;=6,"Medium",I508&lt;=9,"Large")</f>
        <v>small</v>
      </c>
      <c r="K508" s="36">
        <v>45215</v>
      </c>
      <c r="L508" s="36">
        <v>45222</v>
      </c>
      <c r="M508" t="s">
        <v>612</v>
      </c>
      <c r="N508" t="s">
        <v>608</v>
      </c>
      <c r="O508" s="37" t="str">
        <f t="shared" si="38"/>
        <v>Cash Payment</v>
      </c>
      <c r="P508">
        <v>699.51</v>
      </c>
      <c r="Q508" s="37" t="str">
        <f>IF(P508&gt;500,"High","low")</f>
        <v>High</v>
      </c>
      <c r="R508" s="37" t="str">
        <f t="shared" si="39"/>
        <v>Good</v>
      </c>
      <c r="S508" t="s">
        <v>620</v>
      </c>
    </row>
    <row r="509" spans="1:19" x14ac:dyDescent="0.2">
      <c r="A509" t="s">
        <v>1120</v>
      </c>
      <c r="B509" t="s">
        <v>90</v>
      </c>
      <c r="C509" t="s">
        <v>617</v>
      </c>
      <c r="D509">
        <v>1515.87</v>
      </c>
      <c r="E509" s="37" t="str">
        <f t="shared" si="35"/>
        <v xml:space="preserve"> </v>
      </c>
      <c r="F509">
        <v>0.43</v>
      </c>
      <c r="G509" s="37" t="str">
        <f t="shared" si="36"/>
        <v>Heavy Discount</v>
      </c>
      <c r="H509" s="37" t="str">
        <f t="shared" si="37"/>
        <v>High</v>
      </c>
      <c r="I509">
        <v>1</v>
      </c>
      <c r="J509" t="str" cm="1">
        <f t="array" ref="J509">_xlfn.IFS(I509&lt;=3,"small",I509&lt;=6,"Medium",I509&lt;=9,"Large")</f>
        <v>small</v>
      </c>
      <c r="K509" s="36">
        <v>45455</v>
      </c>
      <c r="L509" s="36">
        <v>45457</v>
      </c>
      <c r="M509" t="s">
        <v>603</v>
      </c>
      <c r="N509" t="s">
        <v>608</v>
      </c>
      <c r="O509" s="37" t="str">
        <f t="shared" si="38"/>
        <v>Cash Payment</v>
      </c>
      <c r="P509">
        <v>78.81</v>
      </c>
      <c r="Q509" s="37" t="str">
        <f>IF(P509&gt;500,"High","low")</f>
        <v>low</v>
      </c>
      <c r="R509" s="37" t="str">
        <f t="shared" si="39"/>
        <v>AVERAGE</v>
      </c>
      <c r="S509" t="s">
        <v>605</v>
      </c>
    </row>
    <row r="510" spans="1:19" x14ac:dyDescent="0.2">
      <c r="A510" t="s">
        <v>1121</v>
      </c>
      <c r="B510" t="s">
        <v>67</v>
      </c>
      <c r="C510" t="s">
        <v>614</v>
      </c>
      <c r="D510">
        <v>2690.18</v>
      </c>
      <c r="E510" s="37" t="str">
        <f t="shared" si="35"/>
        <v xml:space="preserve"> </v>
      </c>
      <c r="F510">
        <v>0.04</v>
      </c>
      <c r="G510" s="37" t="str">
        <f t="shared" si="36"/>
        <v>Normal Discount</v>
      </c>
      <c r="H510" s="37" t="str">
        <f t="shared" si="37"/>
        <v>Low</v>
      </c>
      <c r="I510">
        <v>9</v>
      </c>
      <c r="J510" t="str" cm="1">
        <f t="array" ref="J510">_xlfn.IFS(I510&lt;=3,"small",I510&lt;=6,"Medium",I510&lt;=9,"Large")</f>
        <v>Large</v>
      </c>
      <c r="K510" s="36">
        <v>45206</v>
      </c>
      <c r="L510" s="36">
        <v>45208</v>
      </c>
      <c r="M510" t="s">
        <v>612</v>
      </c>
      <c r="N510" t="s">
        <v>599</v>
      </c>
      <c r="O510" s="37" t="str">
        <f t="shared" si="38"/>
        <v>Digital Payment</v>
      </c>
      <c r="P510">
        <v>571.41999999999996</v>
      </c>
      <c r="Q510" s="37" t="str">
        <f>IF(P510&gt;500,"High","low")</f>
        <v>High</v>
      </c>
      <c r="R510" s="37" t="str">
        <f t="shared" si="39"/>
        <v>Good</v>
      </c>
      <c r="S510" t="s">
        <v>609</v>
      </c>
    </row>
    <row r="511" spans="1:19" x14ac:dyDescent="0.2">
      <c r="A511" t="s">
        <v>1122</v>
      </c>
      <c r="B511" t="s">
        <v>83</v>
      </c>
      <c r="C511" t="s">
        <v>602</v>
      </c>
      <c r="D511">
        <v>1893.6</v>
      </c>
      <c r="E511" s="37" t="str">
        <f t="shared" si="35"/>
        <v xml:space="preserve"> </v>
      </c>
      <c r="F511">
        <v>0.02</v>
      </c>
      <c r="G511" s="37" t="str">
        <f t="shared" si="36"/>
        <v>Normal Discount</v>
      </c>
      <c r="H511" s="37" t="str">
        <f t="shared" si="37"/>
        <v>Low</v>
      </c>
      <c r="I511">
        <v>8</v>
      </c>
      <c r="J511" t="str" cm="1">
        <f t="array" ref="J511">_xlfn.IFS(I511&lt;=3,"small",I511&lt;=6,"Medium",I511&lt;=9,"Large")</f>
        <v>Large</v>
      </c>
      <c r="K511" s="36">
        <v>45103</v>
      </c>
      <c r="L511" s="36">
        <v>45108</v>
      </c>
      <c r="M511" t="s">
        <v>598</v>
      </c>
      <c r="N511" t="s">
        <v>599</v>
      </c>
      <c r="O511" s="37" t="str">
        <f t="shared" si="38"/>
        <v>Digital Payment</v>
      </c>
      <c r="P511">
        <v>367.49</v>
      </c>
      <c r="Q511" s="37" t="str">
        <f>IF(P511&gt;500,"High","low")</f>
        <v>low</v>
      </c>
      <c r="R511" s="37" t="str">
        <f t="shared" si="39"/>
        <v>AVERAGE</v>
      </c>
      <c r="S511" t="s">
        <v>615</v>
      </c>
    </row>
    <row r="512" spans="1:19" x14ac:dyDescent="0.2">
      <c r="A512" t="s">
        <v>1123</v>
      </c>
      <c r="B512" t="s">
        <v>75</v>
      </c>
      <c r="C512" t="s">
        <v>602</v>
      </c>
      <c r="D512">
        <v>106.97</v>
      </c>
      <c r="E512" s="37" t="str">
        <f t="shared" si="35"/>
        <v xml:space="preserve"> </v>
      </c>
      <c r="F512">
        <v>0.1</v>
      </c>
      <c r="G512" s="37" t="str">
        <f t="shared" si="36"/>
        <v>Normal Discount</v>
      </c>
      <c r="H512" s="37" t="str">
        <f t="shared" si="37"/>
        <v>Low</v>
      </c>
      <c r="I512">
        <v>6</v>
      </c>
      <c r="J512" t="str" cm="1">
        <f t="array" ref="J512">_xlfn.IFS(I512&lt;=3,"small",I512&lt;=6,"Medium",I512&lt;=9,"Large")</f>
        <v>Medium</v>
      </c>
      <c r="K512" s="36">
        <v>45168</v>
      </c>
      <c r="L512" s="36">
        <v>45172</v>
      </c>
      <c r="M512" t="s">
        <v>603</v>
      </c>
      <c r="N512" t="s">
        <v>604</v>
      </c>
      <c r="O512" s="37" t="str">
        <f t="shared" si="38"/>
        <v>Digital Payment</v>
      </c>
      <c r="P512">
        <v>20.59</v>
      </c>
      <c r="Q512" s="37" t="str">
        <f>IF(P512&gt;500,"High","low")</f>
        <v>low</v>
      </c>
      <c r="R512" s="37" t="str">
        <f t="shared" si="39"/>
        <v>AVERAGE</v>
      </c>
      <c r="S512" t="s">
        <v>600</v>
      </c>
    </row>
    <row r="513" spans="1:19" x14ac:dyDescent="0.2">
      <c r="A513" t="s">
        <v>1124</v>
      </c>
      <c r="B513" t="s">
        <v>83</v>
      </c>
      <c r="C513" t="s">
        <v>607</v>
      </c>
      <c r="D513">
        <v>2939.22</v>
      </c>
      <c r="E513" s="37" t="str">
        <f t="shared" si="35"/>
        <v xml:space="preserve"> </v>
      </c>
      <c r="F513">
        <v>0.15</v>
      </c>
      <c r="G513" s="37" t="str">
        <f t="shared" si="36"/>
        <v>Normal Discount</v>
      </c>
      <c r="H513" s="37" t="str">
        <f t="shared" si="37"/>
        <v>Low</v>
      </c>
      <c r="I513">
        <v>3</v>
      </c>
      <c r="J513" t="str" cm="1">
        <f t="array" ref="J513">_xlfn.IFS(I513&lt;=3,"small",I513&lt;=6,"Medium",I513&lt;=9,"Large")</f>
        <v>small</v>
      </c>
      <c r="K513" s="36">
        <v>45468</v>
      </c>
      <c r="L513" s="36">
        <v>45474</v>
      </c>
      <c r="M513" t="s">
        <v>612</v>
      </c>
      <c r="N513" t="s">
        <v>608</v>
      </c>
      <c r="O513" s="37" t="str">
        <f t="shared" si="38"/>
        <v>Cash Payment</v>
      </c>
      <c r="P513">
        <v>846.42</v>
      </c>
      <c r="Q513" s="37" t="str">
        <f>IF(P513&gt;500,"High","low")</f>
        <v>High</v>
      </c>
      <c r="R513" s="37" t="str">
        <f t="shared" si="39"/>
        <v>Good</v>
      </c>
      <c r="S513" t="s">
        <v>609</v>
      </c>
    </row>
    <row r="514" spans="1:19" x14ac:dyDescent="0.2">
      <c r="A514" t="s">
        <v>1125</v>
      </c>
      <c r="B514" t="s">
        <v>90</v>
      </c>
      <c r="C514" t="s">
        <v>602</v>
      </c>
      <c r="D514">
        <v>4097.3999999999996</v>
      </c>
      <c r="E514" s="37" t="str">
        <f t="shared" si="35"/>
        <v xml:space="preserve"> </v>
      </c>
      <c r="F514">
        <v>0.03</v>
      </c>
      <c r="G514" s="37" t="str">
        <f t="shared" si="36"/>
        <v>Normal Discount</v>
      </c>
      <c r="H514" s="37" t="str">
        <f t="shared" si="37"/>
        <v>Low</v>
      </c>
      <c r="I514">
        <v>5</v>
      </c>
      <c r="J514" t="str" cm="1">
        <f t="array" ref="J514">_xlfn.IFS(I514&lt;=3,"small",I514&lt;=6,"Medium",I514&lt;=9,"Large")</f>
        <v>Medium</v>
      </c>
      <c r="K514" s="36">
        <v>45503</v>
      </c>
      <c r="L514" s="36">
        <v>45510</v>
      </c>
      <c r="M514" t="s">
        <v>612</v>
      </c>
      <c r="N514" t="s">
        <v>599</v>
      </c>
      <c r="O514" s="37" t="str">
        <f t="shared" si="38"/>
        <v>Digital Payment</v>
      </c>
      <c r="P514">
        <v>587.87</v>
      </c>
      <c r="Q514" s="37" t="str">
        <f>IF(P514&gt;500,"High","low")</f>
        <v>High</v>
      </c>
      <c r="R514" s="37" t="str">
        <f t="shared" si="39"/>
        <v>Good</v>
      </c>
      <c r="S514" t="s">
        <v>600</v>
      </c>
    </row>
    <row r="515" spans="1:19" x14ac:dyDescent="0.2">
      <c r="A515" t="s">
        <v>1126</v>
      </c>
      <c r="B515" t="s">
        <v>83</v>
      </c>
      <c r="C515" t="s">
        <v>602</v>
      </c>
      <c r="D515">
        <v>278.55</v>
      </c>
      <c r="E515" s="37" t="str">
        <f t="shared" ref="E515:E578" si="40">IF(AND(D515&gt;4000,P515&gt;800),"Excellent Order"," ")</f>
        <v xml:space="preserve"> </v>
      </c>
      <c r="F515">
        <v>0.32</v>
      </c>
      <c r="G515" s="37" t="str">
        <f t="shared" ref="G515:G578" si="41">IF(F515&gt;30%,"Heavy Discount","Normal Discount")</f>
        <v>Heavy Discount</v>
      </c>
      <c r="H515" s="37" t="str">
        <f t="shared" ref="H515:H578" si="42">IF(F515&gt;0.4,"High",IF(F515&gt;=0.2,"Medium","Low"))</f>
        <v>Medium</v>
      </c>
      <c r="I515">
        <v>9</v>
      </c>
      <c r="J515" t="str" cm="1">
        <f t="array" ref="J515">_xlfn.IFS(I515&lt;=3,"small",I515&lt;=6,"Medium",I515&lt;=9,"Large")</f>
        <v>Large</v>
      </c>
      <c r="K515" s="36">
        <v>45308</v>
      </c>
      <c r="L515" s="36">
        <v>45311</v>
      </c>
      <c r="M515" t="s">
        <v>603</v>
      </c>
      <c r="N515" t="s">
        <v>604</v>
      </c>
      <c r="O515" s="37" t="str">
        <f t="shared" ref="O515:O578" si="43">IF(OR(N515="Card",N515="UPI"),"Digital Payment","Cash Payment")</f>
        <v>Digital Payment</v>
      </c>
      <c r="P515">
        <v>76.64</v>
      </c>
      <c r="Q515" s="37" t="str">
        <f>IF(P515&gt;500,"High","low")</f>
        <v>low</v>
      </c>
      <c r="R515" s="37" t="str">
        <f t="shared" ref="R515:R578" si="44">IF(P515&gt;1000,"Excellent",IF(P515&gt;=500,"Good","AVERAGE"))</f>
        <v>AVERAGE</v>
      </c>
      <c r="S515" t="s">
        <v>615</v>
      </c>
    </row>
    <row r="516" spans="1:19" x14ac:dyDescent="0.2">
      <c r="A516" t="s">
        <v>1127</v>
      </c>
      <c r="B516" t="s">
        <v>83</v>
      </c>
      <c r="C516" t="s">
        <v>617</v>
      </c>
      <c r="D516">
        <v>117.11</v>
      </c>
      <c r="E516" s="37" t="str">
        <f t="shared" si="40"/>
        <v xml:space="preserve"> </v>
      </c>
      <c r="F516">
        <v>0.22</v>
      </c>
      <c r="G516" s="37" t="str">
        <f t="shared" si="41"/>
        <v>Normal Discount</v>
      </c>
      <c r="H516" s="37" t="str">
        <f t="shared" si="42"/>
        <v>Medium</v>
      </c>
      <c r="I516">
        <v>7</v>
      </c>
      <c r="J516" t="str" cm="1">
        <f t="array" ref="J516">_xlfn.IFS(I516&lt;=3,"small",I516&lt;=6,"Medium",I516&lt;=9,"Large")</f>
        <v>Large</v>
      </c>
      <c r="K516" s="36">
        <v>45007</v>
      </c>
      <c r="L516" s="36">
        <v>45012</v>
      </c>
      <c r="M516" t="s">
        <v>598</v>
      </c>
      <c r="N516" t="s">
        <v>608</v>
      </c>
      <c r="O516" s="37" t="str">
        <f t="shared" si="43"/>
        <v>Cash Payment</v>
      </c>
      <c r="P516">
        <v>5.92</v>
      </c>
      <c r="Q516" s="37" t="str">
        <f>IF(P516&gt;500,"High","low")</f>
        <v>low</v>
      </c>
      <c r="R516" s="37" t="str">
        <f t="shared" si="44"/>
        <v>AVERAGE</v>
      </c>
      <c r="S516" t="s">
        <v>600</v>
      </c>
    </row>
    <row r="517" spans="1:19" x14ac:dyDescent="0.2">
      <c r="A517" t="s">
        <v>1128</v>
      </c>
      <c r="B517" t="s">
        <v>90</v>
      </c>
      <c r="C517" t="s">
        <v>614</v>
      </c>
      <c r="D517">
        <v>3666.31</v>
      </c>
      <c r="E517" s="37" t="str">
        <f t="shared" si="40"/>
        <v xml:space="preserve"> </v>
      </c>
      <c r="F517">
        <v>0.21</v>
      </c>
      <c r="G517" s="37" t="str">
        <f t="shared" si="41"/>
        <v>Normal Discount</v>
      </c>
      <c r="H517" s="37" t="str">
        <f t="shared" si="42"/>
        <v>Medium</v>
      </c>
      <c r="I517">
        <v>2</v>
      </c>
      <c r="J517" t="str" cm="1">
        <f t="array" ref="J517">_xlfn.IFS(I517&lt;=3,"small",I517&lt;=6,"Medium",I517&lt;=9,"Large")</f>
        <v>small</v>
      </c>
      <c r="K517" s="36">
        <v>44939</v>
      </c>
      <c r="L517" s="36">
        <v>44941</v>
      </c>
      <c r="M517" t="s">
        <v>603</v>
      </c>
      <c r="N517" t="s">
        <v>599</v>
      </c>
      <c r="O517" s="37" t="str">
        <f t="shared" si="43"/>
        <v>Digital Payment</v>
      </c>
      <c r="P517">
        <v>1065.7</v>
      </c>
      <c r="Q517" s="37" t="str">
        <f>IF(P517&gt;500,"High","low")</f>
        <v>High</v>
      </c>
      <c r="R517" s="37" t="str">
        <f t="shared" si="44"/>
        <v>Excellent</v>
      </c>
      <c r="S517" t="s">
        <v>615</v>
      </c>
    </row>
    <row r="518" spans="1:19" x14ac:dyDescent="0.2">
      <c r="A518" t="s">
        <v>1129</v>
      </c>
      <c r="B518" t="s">
        <v>67</v>
      </c>
      <c r="C518" t="s">
        <v>597</v>
      </c>
      <c r="D518">
        <v>3450.91</v>
      </c>
      <c r="E518" s="37" t="str">
        <f t="shared" si="40"/>
        <v xml:space="preserve"> </v>
      </c>
      <c r="F518">
        <v>7.0000000000000007E-2</v>
      </c>
      <c r="G518" s="37" t="str">
        <f t="shared" si="41"/>
        <v>Normal Discount</v>
      </c>
      <c r="H518" s="37" t="str">
        <f t="shared" si="42"/>
        <v>Low</v>
      </c>
      <c r="I518">
        <v>6</v>
      </c>
      <c r="J518" t="str" cm="1">
        <f t="array" ref="J518">_xlfn.IFS(I518&lt;=3,"small",I518&lt;=6,"Medium",I518&lt;=9,"Large")</f>
        <v>Medium</v>
      </c>
      <c r="K518" s="36">
        <v>45623</v>
      </c>
      <c r="L518" s="36">
        <v>45629</v>
      </c>
      <c r="M518" t="s">
        <v>598</v>
      </c>
      <c r="N518" t="s">
        <v>608</v>
      </c>
      <c r="O518" s="37" t="str">
        <f t="shared" si="43"/>
        <v>Cash Payment</v>
      </c>
      <c r="P518">
        <v>648.61</v>
      </c>
      <c r="Q518" s="37" t="str">
        <f>IF(P518&gt;500,"High","low")</f>
        <v>High</v>
      </c>
      <c r="R518" s="37" t="str">
        <f t="shared" si="44"/>
        <v>Good</v>
      </c>
      <c r="S518" t="s">
        <v>615</v>
      </c>
    </row>
    <row r="519" spans="1:19" x14ac:dyDescent="0.2">
      <c r="A519" t="s">
        <v>1130</v>
      </c>
      <c r="B519" t="s">
        <v>83</v>
      </c>
      <c r="C519" t="s">
        <v>614</v>
      </c>
      <c r="D519">
        <v>2088.6799999999998</v>
      </c>
      <c r="E519" s="37" t="str">
        <f t="shared" si="40"/>
        <v xml:space="preserve"> </v>
      </c>
      <c r="F519">
        <v>0.22</v>
      </c>
      <c r="G519" s="37" t="str">
        <f t="shared" si="41"/>
        <v>Normal Discount</v>
      </c>
      <c r="H519" s="37" t="str">
        <f t="shared" si="42"/>
        <v>Medium</v>
      </c>
      <c r="I519">
        <v>9</v>
      </c>
      <c r="J519" t="str" cm="1">
        <f t="array" ref="J519">_xlfn.IFS(I519&lt;=3,"small",I519&lt;=6,"Medium",I519&lt;=9,"Large")</f>
        <v>Large</v>
      </c>
      <c r="K519" s="36">
        <v>45370</v>
      </c>
      <c r="L519" s="36">
        <v>45377</v>
      </c>
      <c r="M519" t="s">
        <v>612</v>
      </c>
      <c r="N519" t="s">
        <v>604</v>
      </c>
      <c r="O519" s="37" t="str">
        <f t="shared" si="43"/>
        <v>Digital Payment</v>
      </c>
      <c r="P519">
        <v>370.54</v>
      </c>
      <c r="Q519" s="37" t="str">
        <f>IF(P519&gt;500,"High","low")</f>
        <v>low</v>
      </c>
      <c r="R519" s="37" t="str">
        <f t="shared" si="44"/>
        <v>AVERAGE</v>
      </c>
      <c r="S519" t="s">
        <v>628</v>
      </c>
    </row>
    <row r="520" spans="1:19" x14ac:dyDescent="0.2">
      <c r="A520" t="s">
        <v>1131</v>
      </c>
      <c r="B520" t="s">
        <v>67</v>
      </c>
      <c r="C520" t="s">
        <v>607</v>
      </c>
      <c r="D520">
        <v>3341.86</v>
      </c>
      <c r="E520" s="37" t="str">
        <f t="shared" si="40"/>
        <v xml:space="preserve"> </v>
      </c>
      <c r="F520">
        <v>0.2</v>
      </c>
      <c r="G520" s="37" t="str">
        <f t="shared" si="41"/>
        <v>Normal Discount</v>
      </c>
      <c r="H520" s="37" t="str">
        <f t="shared" si="42"/>
        <v>Medium</v>
      </c>
      <c r="I520">
        <v>1</v>
      </c>
      <c r="J520" t="str" cm="1">
        <f t="array" ref="J520">_xlfn.IFS(I520&lt;=3,"small",I520&lt;=6,"Medium",I520&lt;=9,"Large")</f>
        <v>small</v>
      </c>
      <c r="K520" s="36">
        <v>45064</v>
      </c>
      <c r="L520" s="36">
        <v>45071</v>
      </c>
      <c r="M520" t="s">
        <v>603</v>
      </c>
      <c r="N520" t="s">
        <v>604</v>
      </c>
      <c r="O520" s="37" t="str">
        <f t="shared" si="43"/>
        <v>Digital Payment</v>
      </c>
      <c r="P520">
        <v>911.78</v>
      </c>
      <c r="Q520" s="37" t="str">
        <f>IF(P520&gt;500,"High","low")</f>
        <v>High</v>
      </c>
      <c r="R520" s="37" t="str">
        <f t="shared" si="44"/>
        <v>Good</v>
      </c>
      <c r="S520" t="s">
        <v>609</v>
      </c>
    </row>
    <row r="521" spans="1:19" x14ac:dyDescent="0.2">
      <c r="A521" t="s">
        <v>1132</v>
      </c>
      <c r="B521" t="s">
        <v>83</v>
      </c>
      <c r="C521" t="s">
        <v>614</v>
      </c>
      <c r="D521">
        <v>4771.59</v>
      </c>
      <c r="E521" s="37" t="str">
        <f t="shared" si="40"/>
        <v>Excellent Order</v>
      </c>
      <c r="F521">
        <v>0.19</v>
      </c>
      <c r="G521" s="37" t="str">
        <f t="shared" si="41"/>
        <v>Normal Discount</v>
      </c>
      <c r="H521" s="37" t="str">
        <f t="shared" si="42"/>
        <v>Low</v>
      </c>
      <c r="I521">
        <v>5</v>
      </c>
      <c r="J521" t="str" cm="1">
        <f t="array" ref="J521">_xlfn.IFS(I521&lt;=3,"small",I521&lt;=6,"Medium",I521&lt;=9,"Large")</f>
        <v>Medium</v>
      </c>
      <c r="K521" s="36">
        <v>45119</v>
      </c>
      <c r="L521" s="36">
        <v>45124</v>
      </c>
      <c r="M521" t="s">
        <v>603</v>
      </c>
      <c r="N521" t="s">
        <v>604</v>
      </c>
      <c r="O521" s="37" t="str">
        <f t="shared" si="43"/>
        <v>Digital Payment</v>
      </c>
      <c r="P521">
        <v>997.46</v>
      </c>
      <c r="Q521" s="37" t="str">
        <f>IF(P521&gt;500,"High","low")</f>
        <v>High</v>
      </c>
      <c r="R521" s="37" t="str">
        <f t="shared" si="44"/>
        <v>Good</v>
      </c>
      <c r="S521" t="s">
        <v>615</v>
      </c>
    </row>
    <row r="522" spans="1:19" x14ac:dyDescent="0.2">
      <c r="A522" t="s">
        <v>1133</v>
      </c>
      <c r="B522" t="s">
        <v>67</v>
      </c>
      <c r="C522" t="s">
        <v>602</v>
      </c>
      <c r="D522">
        <v>1314.53</v>
      </c>
      <c r="E522" s="37" t="str">
        <f t="shared" si="40"/>
        <v xml:space="preserve"> </v>
      </c>
      <c r="F522">
        <v>0.11</v>
      </c>
      <c r="G522" s="37" t="str">
        <f t="shared" si="41"/>
        <v>Normal Discount</v>
      </c>
      <c r="H522" s="37" t="str">
        <f t="shared" si="42"/>
        <v>Low</v>
      </c>
      <c r="I522">
        <v>9</v>
      </c>
      <c r="J522" t="str" cm="1">
        <f t="array" ref="J522">_xlfn.IFS(I522&lt;=3,"small",I522&lt;=6,"Medium",I522&lt;=9,"Large")</f>
        <v>Large</v>
      </c>
      <c r="K522" s="36">
        <v>45266</v>
      </c>
      <c r="L522" s="36">
        <v>45267</v>
      </c>
      <c r="M522" t="s">
        <v>612</v>
      </c>
      <c r="N522" t="s">
        <v>599</v>
      </c>
      <c r="O522" s="37" t="str">
        <f t="shared" si="43"/>
        <v>Digital Payment</v>
      </c>
      <c r="P522">
        <v>237.12</v>
      </c>
      <c r="Q522" s="37" t="str">
        <f>IF(P522&gt;500,"High","low")</f>
        <v>low</v>
      </c>
      <c r="R522" s="37" t="str">
        <f t="shared" si="44"/>
        <v>AVERAGE</v>
      </c>
      <c r="S522" t="s">
        <v>628</v>
      </c>
    </row>
    <row r="523" spans="1:19" x14ac:dyDescent="0.2">
      <c r="A523" t="s">
        <v>1134</v>
      </c>
      <c r="B523" t="s">
        <v>90</v>
      </c>
      <c r="C523" t="s">
        <v>607</v>
      </c>
      <c r="D523">
        <v>1305.04</v>
      </c>
      <c r="E523" s="37" t="str">
        <f t="shared" si="40"/>
        <v xml:space="preserve"> </v>
      </c>
      <c r="F523">
        <v>0.05</v>
      </c>
      <c r="G523" s="37" t="str">
        <f t="shared" si="41"/>
        <v>Normal Discount</v>
      </c>
      <c r="H523" s="37" t="str">
        <f t="shared" si="42"/>
        <v>Low</v>
      </c>
      <c r="I523">
        <v>3</v>
      </c>
      <c r="J523" t="str" cm="1">
        <f t="array" ref="J523">_xlfn.IFS(I523&lt;=3,"small",I523&lt;=6,"Medium",I523&lt;=9,"Large")</f>
        <v>small</v>
      </c>
      <c r="K523" s="36">
        <v>45317</v>
      </c>
      <c r="L523" s="36">
        <v>45318</v>
      </c>
      <c r="M523" t="s">
        <v>598</v>
      </c>
      <c r="N523" t="s">
        <v>599</v>
      </c>
      <c r="O523" s="37" t="str">
        <f t="shared" si="43"/>
        <v>Digital Payment</v>
      </c>
      <c r="P523">
        <v>190.64</v>
      </c>
      <c r="Q523" s="37" t="str">
        <f>IF(P523&gt;500,"High","low")</f>
        <v>low</v>
      </c>
      <c r="R523" s="37" t="str">
        <f t="shared" si="44"/>
        <v>AVERAGE</v>
      </c>
      <c r="S523" t="s">
        <v>609</v>
      </c>
    </row>
    <row r="524" spans="1:19" x14ac:dyDescent="0.2">
      <c r="A524" t="s">
        <v>1135</v>
      </c>
      <c r="B524" t="s">
        <v>83</v>
      </c>
      <c r="C524" t="s">
        <v>614</v>
      </c>
      <c r="D524">
        <v>1012.54</v>
      </c>
      <c r="E524" s="37" t="str">
        <f t="shared" si="40"/>
        <v xml:space="preserve"> </v>
      </c>
      <c r="F524">
        <v>0.13</v>
      </c>
      <c r="G524" s="37" t="str">
        <f t="shared" si="41"/>
        <v>Normal Discount</v>
      </c>
      <c r="H524" s="37" t="str">
        <f t="shared" si="42"/>
        <v>Low</v>
      </c>
      <c r="I524">
        <v>3</v>
      </c>
      <c r="J524" t="str" cm="1">
        <f t="array" ref="J524">_xlfn.IFS(I524&lt;=3,"small",I524&lt;=6,"Medium",I524&lt;=9,"Large")</f>
        <v>small</v>
      </c>
      <c r="K524" s="36">
        <v>45406</v>
      </c>
      <c r="L524" s="36">
        <v>45407</v>
      </c>
      <c r="M524" t="s">
        <v>603</v>
      </c>
      <c r="N524" t="s">
        <v>608</v>
      </c>
      <c r="O524" s="37" t="str">
        <f t="shared" si="43"/>
        <v>Cash Payment</v>
      </c>
      <c r="P524">
        <v>217.49</v>
      </c>
      <c r="Q524" s="37" t="str">
        <f>IF(P524&gt;500,"High","low")</f>
        <v>low</v>
      </c>
      <c r="R524" s="37" t="str">
        <f t="shared" si="44"/>
        <v>AVERAGE</v>
      </c>
      <c r="S524" t="s">
        <v>605</v>
      </c>
    </row>
    <row r="525" spans="1:19" x14ac:dyDescent="0.2">
      <c r="A525" t="s">
        <v>1136</v>
      </c>
      <c r="B525" t="s">
        <v>90</v>
      </c>
      <c r="C525" t="s">
        <v>607</v>
      </c>
      <c r="D525">
        <v>3647.54</v>
      </c>
      <c r="E525" s="37" t="str">
        <f t="shared" si="40"/>
        <v xml:space="preserve"> </v>
      </c>
      <c r="F525">
        <v>0.33</v>
      </c>
      <c r="G525" s="37" t="str">
        <f t="shared" si="41"/>
        <v>Heavy Discount</v>
      </c>
      <c r="H525" s="37" t="str">
        <f t="shared" si="42"/>
        <v>Medium</v>
      </c>
      <c r="I525">
        <v>9</v>
      </c>
      <c r="J525" t="str" cm="1">
        <f t="array" ref="J525">_xlfn.IFS(I525&lt;=3,"small",I525&lt;=6,"Medium",I525&lt;=9,"Large")</f>
        <v>Large</v>
      </c>
      <c r="K525" s="36">
        <v>45464</v>
      </c>
      <c r="L525" s="36">
        <v>45467</v>
      </c>
      <c r="M525" t="s">
        <v>603</v>
      </c>
      <c r="N525" t="s">
        <v>604</v>
      </c>
      <c r="O525" s="37" t="str">
        <f t="shared" si="43"/>
        <v>Digital Payment</v>
      </c>
      <c r="P525">
        <v>230.83</v>
      </c>
      <c r="Q525" s="37" t="str">
        <f>IF(P525&gt;500,"High","low")</f>
        <v>low</v>
      </c>
      <c r="R525" s="37" t="str">
        <f t="shared" si="44"/>
        <v>AVERAGE</v>
      </c>
      <c r="S525" t="s">
        <v>615</v>
      </c>
    </row>
    <row r="526" spans="1:19" x14ac:dyDescent="0.2">
      <c r="A526" t="s">
        <v>1137</v>
      </c>
      <c r="B526" t="s">
        <v>83</v>
      </c>
      <c r="C526" t="s">
        <v>597</v>
      </c>
      <c r="D526">
        <v>1830.63</v>
      </c>
      <c r="E526" s="37" t="str">
        <f t="shared" si="40"/>
        <v xml:space="preserve"> </v>
      </c>
      <c r="F526">
        <v>0.04</v>
      </c>
      <c r="G526" s="37" t="str">
        <f t="shared" si="41"/>
        <v>Normal Discount</v>
      </c>
      <c r="H526" s="37" t="str">
        <f t="shared" si="42"/>
        <v>Low</v>
      </c>
      <c r="I526">
        <v>3</v>
      </c>
      <c r="J526" t="str" cm="1">
        <f t="array" ref="J526">_xlfn.IFS(I526&lt;=3,"small",I526&lt;=6,"Medium",I526&lt;=9,"Large")</f>
        <v>small</v>
      </c>
      <c r="K526" s="36">
        <v>45163</v>
      </c>
      <c r="L526" s="36">
        <v>45164</v>
      </c>
      <c r="M526" t="s">
        <v>603</v>
      </c>
      <c r="N526" t="s">
        <v>604</v>
      </c>
      <c r="O526" s="37" t="str">
        <f t="shared" si="43"/>
        <v>Digital Payment</v>
      </c>
      <c r="P526">
        <v>204.95</v>
      </c>
      <c r="Q526" s="37" t="str">
        <f>IF(P526&gt;500,"High","low")</f>
        <v>low</v>
      </c>
      <c r="R526" s="37" t="str">
        <f t="shared" si="44"/>
        <v>AVERAGE</v>
      </c>
      <c r="S526" t="s">
        <v>628</v>
      </c>
    </row>
    <row r="527" spans="1:19" x14ac:dyDescent="0.2">
      <c r="A527" t="s">
        <v>1138</v>
      </c>
      <c r="B527" t="s">
        <v>90</v>
      </c>
      <c r="C527" t="s">
        <v>614</v>
      </c>
      <c r="D527">
        <v>4944.6000000000004</v>
      </c>
      <c r="E527" s="37" t="str">
        <f t="shared" si="40"/>
        <v xml:space="preserve"> </v>
      </c>
      <c r="F527">
        <v>0.19</v>
      </c>
      <c r="G527" s="37" t="str">
        <f t="shared" si="41"/>
        <v>Normal Discount</v>
      </c>
      <c r="H527" s="37" t="str">
        <f t="shared" si="42"/>
        <v>Low</v>
      </c>
      <c r="I527">
        <v>9</v>
      </c>
      <c r="J527" t="str" cm="1">
        <f t="array" ref="J527">_xlfn.IFS(I527&lt;=3,"small",I527&lt;=6,"Medium",I527&lt;=9,"Large")</f>
        <v>Large</v>
      </c>
      <c r="K527" s="36">
        <v>45555</v>
      </c>
      <c r="L527" s="36">
        <v>45558</v>
      </c>
      <c r="M527" t="s">
        <v>598</v>
      </c>
      <c r="N527" t="s">
        <v>604</v>
      </c>
      <c r="O527" s="37" t="str">
        <f t="shared" si="43"/>
        <v>Digital Payment</v>
      </c>
      <c r="P527">
        <v>371.89</v>
      </c>
      <c r="Q527" s="37" t="str">
        <f>IF(P527&gt;500,"High","low")</f>
        <v>low</v>
      </c>
      <c r="R527" s="37" t="str">
        <f t="shared" si="44"/>
        <v>AVERAGE</v>
      </c>
      <c r="S527" t="s">
        <v>620</v>
      </c>
    </row>
    <row r="528" spans="1:19" x14ac:dyDescent="0.2">
      <c r="A528" t="s">
        <v>1139</v>
      </c>
      <c r="B528" t="s">
        <v>90</v>
      </c>
      <c r="C528" t="s">
        <v>602</v>
      </c>
      <c r="D528">
        <v>3601.78</v>
      </c>
      <c r="E528" s="37" t="str">
        <f t="shared" si="40"/>
        <v xml:space="preserve"> </v>
      </c>
      <c r="F528">
        <v>0.26</v>
      </c>
      <c r="G528" s="37" t="str">
        <f t="shared" si="41"/>
        <v>Normal Discount</v>
      </c>
      <c r="H528" s="37" t="str">
        <f t="shared" si="42"/>
        <v>Medium</v>
      </c>
      <c r="I528">
        <v>3</v>
      </c>
      <c r="J528" t="str" cm="1">
        <f t="array" ref="J528">_xlfn.IFS(I528&lt;=3,"small",I528&lt;=6,"Medium",I528&lt;=9,"Large")</f>
        <v>small</v>
      </c>
      <c r="K528" s="36">
        <v>45381</v>
      </c>
      <c r="L528" s="36">
        <v>45387</v>
      </c>
      <c r="M528" t="s">
        <v>612</v>
      </c>
      <c r="N528" t="s">
        <v>608</v>
      </c>
      <c r="O528" s="37" t="str">
        <f t="shared" si="43"/>
        <v>Cash Payment</v>
      </c>
      <c r="P528">
        <v>635.33000000000004</v>
      </c>
      <c r="Q528" s="37" t="str">
        <f>IF(P528&gt;500,"High","low")</f>
        <v>High</v>
      </c>
      <c r="R528" s="37" t="str">
        <f t="shared" si="44"/>
        <v>Good</v>
      </c>
      <c r="S528" t="s">
        <v>620</v>
      </c>
    </row>
    <row r="529" spans="1:19" x14ac:dyDescent="0.2">
      <c r="A529" t="s">
        <v>1140</v>
      </c>
      <c r="B529" t="s">
        <v>83</v>
      </c>
      <c r="C529" t="s">
        <v>607</v>
      </c>
      <c r="D529">
        <v>1900.15</v>
      </c>
      <c r="E529" s="37" t="str">
        <f t="shared" si="40"/>
        <v xml:space="preserve"> </v>
      </c>
      <c r="F529">
        <v>0.48</v>
      </c>
      <c r="G529" s="37" t="str">
        <f t="shared" si="41"/>
        <v>Heavy Discount</v>
      </c>
      <c r="H529" s="37" t="str">
        <f t="shared" si="42"/>
        <v>High</v>
      </c>
      <c r="I529">
        <v>8</v>
      </c>
      <c r="J529" t="str" cm="1">
        <f t="array" ref="J529">_xlfn.IFS(I529&lt;=3,"small",I529&lt;=6,"Medium",I529&lt;=9,"Large")</f>
        <v>Large</v>
      </c>
      <c r="K529" s="36">
        <v>45476</v>
      </c>
      <c r="L529" s="36">
        <v>45481</v>
      </c>
      <c r="M529" t="s">
        <v>612</v>
      </c>
      <c r="N529" t="s">
        <v>599</v>
      </c>
      <c r="O529" s="37" t="str">
        <f t="shared" si="43"/>
        <v>Digital Payment</v>
      </c>
      <c r="P529">
        <v>140.81</v>
      </c>
      <c r="Q529" s="37" t="str">
        <f>IF(P529&gt;500,"High","low")</f>
        <v>low</v>
      </c>
      <c r="R529" s="37" t="str">
        <f t="shared" si="44"/>
        <v>AVERAGE</v>
      </c>
      <c r="S529" t="s">
        <v>605</v>
      </c>
    </row>
    <row r="530" spans="1:19" x14ac:dyDescent="0.2">
      <c r="A530" t="s">
        <v>1141</v>
      </c>
      <c r="B530" t="s">
        <v>83</v>
      </c>
      <c r="C530" t="s">
        <v>617</v>
      </c>
      <c r="D530">
        <v>831.01</v>
      </c>
      <c r="E530" s="37" t="str">
        <f t="shared" si="40"/>
        <v xml:space="preserve"> </v>
      </c>
      <c r="F530">
        <v>0.42</v>
      </c>
      <c r="G530" s="37" t="str">
        <f t="shared" si="41"/>
        <v>Heavy Discount</v>
      </c>
      <c r="H530" s="37" t="str">
        <f t="shared" si="42"/>
        <v>High</v>
      </c>
      <c r="I530">
        <v>9</v>
      </c>
      <c r="J530" t="str" cm="1">
        <f t="array" ref="J530">_xlfn.IFS(I530&lt;=3,"small",I530&lt;=6,"Medium",I530&lt;=9,"Large")</f>
        <v>Large</v>
      </c>
      <c r="K530" s="36">
        <v>45236</v>
      </c>
      <c r="L530" s="36">
        <v>45239</v>
      </c>
      <c r="M530" t="s">
        <v>612</v>
      </c>
      <c r="N530" t="s">
        <v>608</v>
      </c>
      <c r="O530" s="37" t="str">
        <f t="shared" si="43"/>
        <v>Cash Payment</v>
      </c>
      <c r="P530">
        <v>210.11</v>
      </c>
      <c r="Q530" s="37" t="str">
        <f>IF(P530&gt;500,"High","low")</f>
        <v>low</v>
      </c>
      <c r="R530" s="37" t="str">
        <f t="shared" si="44"/>
        <v>AVERAGE</v>
      </c>
      <c r="S530" t="s">
        <v>605</v>
      </c>
    </row>
    <row r="531" spans="1:19" x14ac:dyDescent="0.2">
      <c r="A531" t="s">
        <v>1142</v>
      </c>
      <c r="B531" t="s">
        <v>83</v>
      </c>
      <c r="C531" t="s">
        <v>607</v>
      </c>
      <c r="D531">
        <v>3000.92</v>
      </c>
      <c r="E531" s="37" t="str">
        <f t="shared" si="40"/>
        <v xml:space="preserve"> </v>
      </c>
      <c r="F531">
        <v>0.46</v>
      </c>
      <c r="G531" s="37" t="str">
        <f t="shared" si="41"/>
        <v>Heavy Discount</v>
      </c>
      <c r="H531" s="37" t="str">
        <f t="shared" si="42"/>
        <v>High</v>
      </c>
      <c r="I531">
        <v>3</v>
      </c>
      <c r="J531" t="str" cm="1">
        <f t="array" ref="J531">_xlfn.IFS(I531&lt;=3,"small",I531&lt;=6,"Medium",I531&lt;=9,"Large")</f>
        <v>small</v>
      </c>
      <c r="K531" s="36">
        <v>45483</v>
      </c>
      <c r="L531" s="36">
        <v>45485</v>
      </c>
      <c r="M531" t="s">
        <v>598</v>
      </c>
      <c r="N531" t="s">
        <v>604</v>
      </c>
      <c r="O531" s="37" t="str">
        <f t="shared" si="43"/>
        <v>Digital Payment</v>
      </c>
      <c r="P531">
        <v>368.6</v>
      </c>
      <c r="Q531" s="37" t="str">
        <f>IF(P531&gt;500,"High","low")</f>
        <v>low</v>
      </c>
      <c r="R531" s="37" t="str">
        <f t="shared" si="44"/>
        <v>AVERAGE</v>
      </c>
      <c r="S531" t="s">
        <v>600</v>
      </c>
    </row>
    <row r="532" spans="1:19" x14ac:dyDescent="0.2">
      <c r="A532" t="s">
        <v>1143</v>
      </c>
      <c r="B532" t="s">
        <v>75</v>
      </c>
      <c r="C532" t="s">
        <v>617</v>
      </c>
      <c r="D532">
        <v>1545.03</v>
      </c>
      <c r="E532" s="37" t="str">
        <f t="shared" si="40"/>
        <v xml:space="preserve"> </v>
      </c>
      <c r="F532">
        <v>0.41</v>
      </c>
      <c r="G532" s="37" t="str">
        <f t="shared" si="41"/>
        <v>Heavy Discount</v>
      </c>
      <c r="H532" s="37" t="str">
        <f t="shared" si="42"/>
        <v>High</v>
      </c>
      <c r="I532">
        <v>1</v>
      </c>
      <c r="J532" t="str" cm="1">
        <f t="array" ref="J532">_xlfn.IFS(I532&lt;=3,"small",I532&lt;=6,"Medium",I532&lt;=9,"Large")</f>
        <v>small</v>
      </c>
      <c r="K532" s="36">
        <v>45414</v>
      </c>
      <c r="L532" s="36">
        <v>45418</v>
      </c>
      <c r="M532" t="s">
        <v>598</v>
      </c>
      <c r="N532" t="s">
        <v>604</v>
      </c>
      <c r="O532" s="37" t="str">
        <f t="shared" si="43"/>
        <v>Digital Payment</v>
      </c>
      <c r="P532">
        <v>317.68</v>
      </c>
      <c r="Q532" s="37" t="str">
        <f>IF(P532&gt;500,"High","low")</f>
        <v>low</v>
      </c>
      <c r="R532" s="37" t="str">
        <f t="shared" si="44"/>
        <v>AVERAGE</v>
      </c>
      <c r="S532" t="s">
        <v>620</v>
      </c>
    </row>
    <row r="533" spans="1:19" x14ac:dyDescent="0.2">
      <c r="A533" t="s">
        <v>1144</v>
      </c>
      <c r="B533" t="s">
        <v>67</v>
      </c>
      <c r="C533" t="s">
        <v>602</v>
      </c>
      <c r="D533">
        <v>4536.99</v>
      </c>
      <c r="E533" s="37" t="str">
        <f t="shared" si="40"/>
        <v xml:space="preserve"> </v>
      </c>
      <c r="F533">
        <v>0.28999999999999998</v>
      </c>
      <c r="G533" s="37" t="str">
        <f t="shared" si="41"/>
        <v>Normal Discount</v>
      </c>
      <c r="H533" s="37" t="str">
        <f t="shared" si="42"/>
        <v>Medium</v>
      </c>
      <c r="I533">
        <v>9</v>
      </c>
      <c r="J533" t="str" cm="1">
        <f t="array" ref="J533">_xlfn.IFS(I533&lt;=3,"small",I533&lt;=6,"Medium",I533&lt;=9,"Large")</f>
        <v>Large</v>
      </c>
      <c r="K533" s="36">
        <v>45294</v>
      </c>
      <c r="L533" s="36">
        <v>45295</v>
      </c>
      <c r="M533" t="s">
        <v>612</v>
      </c>
      <c r="N533" t="s">
        <v>599</v>
      </c>
      <c r="O533" s="37" t="str">
        <f t="shared" si="43"/>
        <v>Digital Payment</v>
      </c>
      <c r="P533">
        <v>605.45000000000005</v>
      </c>
      <c r="Q533" s="37" t="str">
        <f>IF(P533&gt;500,"High","low")</f>
        <v>High</v>
      </c>
      <c r="R533" s="37" t="str">
        <f t="shared" si="44"/>
        <v>Good</v>
      </c>
      <c r="S533" t="s">
        <v>628</v>
      </c>
    </row>
    <row r="534" spans="1:19" x14ac:dyDescent="0.2">
      <c r="A534" t="s">
        <v>1145</v>
      </c>
      <c r="B534" t="s">
        <v>75</v>
      </c>
      <c r="C534" t="s">
        <v>597</v>
      </c>
      <c r="D534">
        <v>2262.88</v>
      </c>
      <c r="E534" s="37" t="str">
        <f t="shared" si="40"/>
        <v xml:space="preserve"> </v>
      </c>
      <c r="F534">
        <v>0.43</v>
      </c>
      <c r="G534" s="37" t="str">
        <f t="shared" si="41"/>
        <v>Heavy Discount</v>
      </c>
      <c r="H534" s="37" t="str">
        <f t="shared" si="42"/>
        <v>High</v>
      </c>
      <c r="I534">
        <v>7</v>
      </c>
      <c r="J534" t="str" cm="1">
        <f t="array" ref="J534">_xlfn.IFS(I534&lt;=3,"small",I534&lt;=6,"Medium",I534&lt;=9,"Large")</f>
        <v>Large</v>
      </c>
      <c r="K534" s="36">
        <v>45624</v>
      </c>
      <c r="L534" s="36">
        <v>45628</v>
      </c>
      <c r="M534" t="s">
        <v>603</v>
      </c>
      <c r="N534" t="s">
        <v>599</v>
      </c>
      <c r="O534" s="37" t="str">
        <f t="shared" si="43"/>
        <v>Digital Payment</v>
      </c>
      <c r="P534">
        <v>508.82</v>
      </c>
      <c r="Q534" s="37" t="str">
        <f>IF(P534&gt;500,"High","low")</f>
        <v>High</v>
      </c>
      <c r="R534" s="37" t="str">
        <f t="shared" si="44"/>
        <v>Good</v>
      </c>
      <c r="S534" t="s">
        <v>620</v>
      </c>
    </row>
    <row r="535" spans="1:19" x14ac:dyDescent="0.2">
      <c r="A535" t="s">
        <v>1146</v>
      </c>
      <c r="B535" t="s">
        <v>75</v>
      </c>
      <c r="C535" t="s">
        <v>617</v>
      </c>
      <c r="D535">
        <v>1533.98</v>
      </c>
      <c r="E535" s="37" t="str">
        <f t="shared" si="40"/>
        <v xml:space="preserve"> </v>
      </c>
      <c r="F535">
        <v>0.28000000000000003</v>
      </c>
      <c r="G535" s="37" t="str">
        <f t="shared" si="41"/>
        <v>Normal Discount</v>
      </c>
      <c r="H535" s="37" t="str">
        <f t="shared" si="42"/>
        <v>Medium</v>
      </c>
      <c r="I535">
        <v>6</v>
      </c>
      <c r="J535" t="str" cm="1">
        <f t="array" ref="J535">_xlfn.IFS(I535&lt;=3,"small",I535&lt;=6,"Medium",I535&lt;=9,"Large")</f>
        <v>Medium</v>
      </c>
      <c r="K535" s="36">
        <v>45095</v>
      </c>
      <c r="L535" s="36">
        <v>45100</v>
      </c>
      <c r="M535" t="s">
        <v>598</v>
      </c>
      <c r="N535" t="s">
        <v>608</v>
      </c>
      <c r="O535" s="37" t="str">
        <f t="shared" si="43"/>
        <v>Cash Payment</v>
      </c>
      <c r="P535">
        <v>212.34</v>
      </c>
      <c r="Q535" s="37" t="str">
        <f>IF(P535&gt;500,"High","low")</f>
        <v>low</v>
      </c>
      <c r="R535" s="37" t="str">
        <f t="shared" si="44"/>
        <v>AVERAGE</v>
      </c>
      <c r="S535" t="s">
        <v>609</v>
      </c>
    </row>
    <row r="536" spans="1:19" x14ac:dyDescent="0.2">
      <c r="A536" t="s">
        <v>1147</v>
      </c>
      <c r="B536" t="s">
        <v>90</v>
      </c>
      <c r="C536" t="s">
        <v>597</v>
      </c>
      <c r="D536">
        <v>2983.9</v>
      </c>
      <c r="E536" s="37" t="str">
        <f t="shared" si="40"/>
        <v xml:space="preserve"> </v>
      </c>
      <c r="F536">
        <v>0.18</v>
      </c>
      <c r="G536" s="37" t="str">
        <f t="shared" si="41"/>
        <v>Normal Discount</v>
      </c>
      <c r="H536" s="37" t="str">
        <f t="shared" si="42"/>
        <v>Low</v>
      </c>
      <c r="I536">
        <v>4</v>
      </c>
      <c r="J536" t="str" cm="1">
        <f t="array" ref="J536">_xlfn.IFS(I536&lt;=3,"small",I536&lt;=6,"Medium",I536&lt;=9,"Large")</f>
        <v>Medium</v>
      </c>
      <c r="K536" s="36">
        <v>45099</v>
      </c>
      <c r="L536" s="36">
        <v>45102</v>
      </c>
      <c r="M536" t="s">
        <v>612</v>
      </c>
      <c r="N536" t="s">
        <v>608</v>
      </c>
      <c r="O536" s="37" t="str">
        <f t="shared" si="43"/>
        <v>Cash Payment</v>
      </c>
      <c r="P536">
        <v>432.16</v>
      </c>
      <c r="Q536" s="37" t="str">
        <f>IF(P536&gt;500,"High","low")</f>
        <v>low</v>
      </c>
      <c r="R536" s="37" t="str">
        <f t="shared" si="44"/>
        <v>AVERAGE</v>
      </c>
      <c r="S536" t="s">
        <v>628</v>
      </c>
    </row>
    <row r="537" spans="1:19" x14ac:dyDescent="0.2">
      <c r="A537" t="s">
        <v>1148</v>
      </c>
      <c r="B537" t="s">
        <v>83</v>
      </c>
      <c r="C537" t="s">
        <v>607</v>
      </c>
      <c r="D537">
        <v>771.18</v>
      </c>
      <c r="E537" s="37" t="str">
        <f t="shared" si="40"/>
        <v xml:space="preserve"> </v>
      </c>
      <c r="F537">
        <v>0.19</v>
      </c>
      <c r="G537" s="37" t="str">
        <f t="shared" si="41"/>
        <v>Normal Discount</v>
      </c>
      <c r="H537" s="37" t="str">
        <f t="shared" si="42"/>
        <v>Low</v>
      </c>
      <c r="I537">
        <v>5</v>
      </c>
      <c r="J537" t="str" cm="1">
        <f t="array" ref="J537">_xlfn.IFS(I537&lt;=3,"small",I537&lt;=6,"Medium",I537&lt;=9,"Large")</f>
        <v>Medium</v>
      </c>
      <c r="K537" s="36">
        <v>45145</v>
      </c>
      <c r="L537" s="36">
        <v>45148</v>
      </c>
      <c r="M537" t="s">
        <v>612</v>
      </c>
      <c r="N537" t="s">
        <v>599</v>
      </c>
      <c r="O537" s="37" t="str">
        <f t="shared" si="43"/>
        <v>Digital Payment</v>
      </c>
      <c r="P537">
        <v>131.11000000000001</v>
      </c>
      <c r="Q537" s="37" t="str">
        <f>IF(P537&gt;500,"High","low")</f>
        <v>low</v>
      </c>
      <c r="R537" s="37" t="str">
        <f t="shared" si="44"/>
        <v>AVERAGE</v>
      </c>
      <c r="S537" t="s">
        <v>605</v>
      </c>
    </row>
    <row r="538" spans="1:19" x14ac:dyDescent="0.2">
      <c r="A538" t="s">
        <v>1149</v>
      </c>
      <c r="B538" t="s">
        <v>67</v>
      </c>
      <c r="C538" t="s">
        <v>602</v>
      </c>
      <c r="D538">
        <v>2851.59</v>
      </c>
      <c r="E538" s="37" t="str">
        <f t="shared" si="40"/>
        <v xml:space="preserve"> </v>
      </c>
      <c r="F538">
        <v>0.28000000000000003</v>
      </c>
      <c r="G538" s="37" t="str">
        <f t="shared" si="41"/>
        <v>Normal Discount</v>
      </c>
      <c r="H538" s="37" t="str">
        <f t="shared" si="42"/>
        <v>Medium</v>
      </c>
      <c r="I538">
        <v>7</v>
      </c>
      <c r="J538" t="str" cm="1">
        <f t="array" ref="J538">_xlfn.IFS(I538&lt;=3,"small",I538&lt;=6,"Medium",I538&lt;=9,"Large")</f>
        <v>Large</v>
      </c>
      <c r="K538" s="36">
        <v>45344</v>
      </c>
      <c r="L538" s="36">
        <v>45348</v>
      </c>
      <c r="M538" t="s">
        <v>603</v>
      </c>
      <c r="N538" t="s">
        <v>604</v>
      </c>
      <c r="O538" s="37" t="str">
        <f t="shared" si="43"/>
        <v>Digital Payment</v>
      </c>
      <c r="P538">
        <v>373.26</v>
      </c>
      <c r="Q538" s="37" t="str">
        <f>IF(P538&gt;500,"High","low")</f>
        <v>low</v>
      </c>
      <c r="R538" s="37" t="str">
        <f t="shared" si="44"/>
        <v>AVERAGE</v>
      </c>
      <c r="S538" t="s">
        <v>605</v>
      </c>
    </row>
    <row r="539" spans="1:19" x14ac:dyDescent="0.2">
      <c r="A539" t="s">
        <v>1150</v>
      </c>
      <c r="B539" t="s">
        <v>90</v>
      </c>
      <c r="C539" t="s">
        <v>617</v>
      </c>
      <c r="D539">
        <v>374.95</v>
      </c>
      <c r="E539" s="37" t="str">
        <f t="shared" si="40"/>
        <v xml:space="preserve"> </v>
      </c>
      <c r="F539">
        <v>0.4</v>
      </c>
      <c r="G539" s="37" t="str">
        <f t="shared" si="41"/>
        <v>Heavy Discount</v>
      </c>
      <c r="H539" s="37" t="str">
        <f t="shared" si="42"/>
        <v>Medium</v>
      </c>
      <c r="I539">
        <v>9</v>
      </c>
      <c r="J539" t="str" cm="1">
        <f t="array" ref="J539">_xlfn.IFS(I539&lt;=3,"small",I539&lt;=6,"Medium",I539&lt;=9,"Large")</f>
        <v>Large</v>
      </c>
      <c r="K539" s="36">
        <v>45514</v>
      </c>
      <c r="L539" s="36">
        <v>45521</v>
      </c>
      <c r="M539" t="s">
        <v>603</v>
      </c>
      <c r="N539" t="s">
        <v>604</v>
      </c>
      <c r="O539" s="37" t="str">
        <f t="shared" si="43"/>
        <v>Digital Payment</v>
      </c>
      <c r="P539">
        <v>34.729999999999997</v>
      </c>
      <c r="Q539" s="37" t="str">
        <f>IF(P539&gt;500,"High","low")</f>
        <v>low</v>
      </c>
      <c r="R539" s="37" t="str">
        <f t="shared" si="44"/>
        <v>AVERAGE</v>
      </c>
      <c r="S539" t="s">
        <v>600</v>
      </c>
    </row>
    <row r="540" spans="1:19" x14ac:dyDescent="0.2">
      <c r="A540" t="s">
        <v>1151</v>
      </c>
      <c r="B540" t="s">
        <v>75</v>
      </c>
      <c r="C540" t="s">
        <v>607</v>
      </c>
      <c r="D540">
        <v>3073.75</v>
      </c>
      <c r="E540" s="37" t="str">
        <f t="shared" si="40"/>
        <v xml:space="preserve"> </v>
      </c>
      <c r="F540">
        <v>7.0000000000000007E-2</v>
      </c>
      <c r="G540" s="37" t="str">
        <f t="shared" si="41"/>
        <v>Normal Discount</v>
      </c>
      <c r="H540" s="37" t="str">
        <f t="shared" si="42"/>
        <v>Low</v>
      </c>
      <c r="I540">
        <v>6</v>
      </c>
      <c r="J540" t="str" cm="1">
        <f t="array" ref="J540">_xlfn.IFS(I540&lt;=3,"small",I540&lt;=6,"Medium",I540&lt;=9,"Large")</f>
        <v>Medium</v>
      </c>
      <c r="K540" s="36">
        <v>45642</v>
      </c>
      <c r="L540" s="36">
        <v>45647</v>
      </c>
      <c r="M540" t="s">
        <v>598</v>
      </c>
      <c r="N540" t="s">
        <v>599</v>
      </c>
      <c r="O540" s="37" t="str">
        <f t="shared" si="43"/>
        <v>Digital Payment</v>
      </c>
      <c r="P540">
        <v>489.45</v>
      </c>
      <c r="Q540" s="37" t="str">
        <f>IF(P540&gt;500,"High","low")</f>
        <v>low</v>
      </c>
      <c r="R540" s="37" t="str">
        <f t="shared" si="44"/>
        <v>AVERAGE</v>
      </c>
      <c r="S540" t="s">
        <v>628</v>
      </c>
    </row>
    <row r="541" spans="1:19" x14ac:dyDescent="0.2">
      <c r="A541" t="s">
        <v>1152</v>
      </c>
      <c r="B541" t="s">
        <v>83</v>
      </c>
      <c r="C541" t="s">
        <v>614</v>
      </c>
      <c r="D541">
        <v>2697.8</v>
      </c>
      <c r="E541" s="37" t="str">
        <f t="shared" si="40"/>
        <v xml:space="preserve"> </v>
      </c>
      <c r="F541">
        <v>0.02</v>
      </c>
      <c r="G541" s="37" t="str">
        <f t="shared" si="41"/>
        <v>Normal Discount</v>
      </c>
      <c r="H541" s="37" t="str">
        <f t="shared" si="42"/>
        <v>Low</v>
      </c>
      <c r="I541">
        <v>4</v>
      </c>
      <c r="J541" t="str" cm="1">
        <f t="array" ref="J541">_xlfn.IFS(I541&lt;=3,"small",I541&lt;=6,"Medium",I541&lt;=9,"Large")</f>
        <v>Medium</v>
      </c>
      <c r="K541" s="36">
        <v>45240</v>
      </c>
      <c r="L541" s="36">
        <v>45244</v>
      </c>
      <c r="M541" t="s">
        <v>598</v>
      </c>
      <c r="N541" t="s">
        <v>599</v>
      </c>
      <c r="O541" s="37" t="str">
        <f t="shared" si="43"/>
        <v>Digital Payment</v>
      </c>
      <c r="P541">
        <v>582.42999999999995</v>
      </c>
      <c r="Q541" s="37" t="str">
        <f>IF(P541&gt;500,"High","low")</f>
        <v>High</v>
      </c>
      <c r="R541" s="37" t="str">
        <f t="shared" si="44"/>
        <v>Good</v>
      </c>
      <c r="S541" t="s">
        <v>605</v>
      </c>
    </row>
    <row r="542" spans="1:19" x14ac:dyDescent="0.2">
      <c r="A542" t="s">
        <v>1153</v>
      </c>
      <c r="B542" t="s">
        <v>90</v>
      </c>
      <c r="C542" t="s">
        <v>607</v>
      </c>
      <c r="D542">
        <v>2651.75</v>
      </c>
      <c r="E542" s="37" t="str">
        <f t="shared" si="40"/>
        <v xml:space="preserve"> </v>
      </c>
      <c r="F542">
        <v>0.39</v>
      </c>
      <c r="G542" s="37" t="str">
        <f t="shared" si="41"/>
        <v>Heavy Discount</v>
      </c>
      <c r="H542" s="37" t="str">
        <f t="shared" si="42"/>
        <v>Medium</v>
      </c>
      <c r="I542">
        <v>4</v>
      </c>
      <c r="J542" t="str" cm="1">
        <f t="array" ref="J542">_xlfn.IFS(I542&lt;=3,"small",I542&lt;=6,"Medium",I542&lt;=9,"Large")</f>
        <v>Medium</v>
      </c>
      <c r="K542" s="36">
        <v>45517</v>
      </c>
      <c r="L542" s="36">
        <v>45519</v>
      </c>
      <c r="M542" t="s">
        <v>612</v>
      </c>
      <c r="N542" t="s">
        <v>604</v>
      </c>
      <c r="O542" s="37" t="str">
        <f t="shared" si="43"/>
        <v>Digital Payment</v>
      </c>
      <c r="P542">
        <v>348.81</v>
      </c>
      <c r="Q542" s="37" t="str">
        <f>IF(P542&gt;500,"High","low")</f>
        <v>low</v>
      </c>
      <c r="R542" s="37" t="str">
        <f t="shared" si="44"/>
        <v>AVERAGE</v>
      </c>
      <c r="S542" t="s">
        <v>605</v>
      </c>
    </row>
    <row r="543" spans="1:19" x14ac:dyDescent="0.2">
      <c r="A543" t="s">
        <v>1154</v>
      </c>
      <c r="B543" t="s">
        <v>83</v>
      </c>
      <c r="C543" t="s">
        <v>597</v>
      </c>
      <c r="D543">
        <v>3452.41</v>
      </c>
      <c r="E543" s="37" t="str">
        <f t="shared" si="40"/>
        <v xml:space="preserve"> </v>
      </c>
      <c r="F543">
        <v>0.32</v>
      </c>
      <c r="G543" s="37" t="str">
        <f t="shared" si="41"/>
        <v>Heavy Discount</v>
      </c>
      <c r="H543" s="37" t="str">
        <f t="shared" si="42"/>
        <v>Medium</v>
      </c>
      <c r="I543">
        <v>3</v>
      </c>
      <c r="J543" t="str" cm="1">
        <f t="array" ref="J543">_xlfn.IFS(I543&lt;=3,"small",I543&lt;=6,"Medium",I543&lt;=9,"Large")</f>
        <v>small</v>
      </c>
      <c r="K543" s="36">
        <v>45138</v>
      </c>
      <c r="L543" s="36">
        <v>45139</v>
      </c>
      <c r="M543" t="s">
        <v>598</v>
      </c>
      <c r="N543" t="s">
        <v>604</v>
      </c>
      <c r="O543" s="37" t="str">
        <f t="shared" si="43"/>
        <v>Digital Payment</v>
      </c>
      <c r="P543">
        <v>871.42</v>
      </c>
      <c r="Q543" s="37" t="str">
        <f>IF(P543&gt;500,"High","low")</f>
        <v>High</v>
      </c>
      <c r="R543" s="37" t="str">
        <f t="shared" si="44"/>
        <v>Good</v>
      </c>
      <c r="S543" t="s">
        <v>628</v>
      </c>
    </row>
    <row r="544" spans="1:19" x14ac:dyDescent="0.2">
      <c r="A544" t="s">
        <v>1155</v>
      </c>
      <c r="B544" t="s">
        <v>90</v>
      </c>
      <c r="C544" t="s">
        <v>602</v>
      </c>
      <c r="D544">
        <v>317.83999999999997</v>
      </c>
      <c r="E544" s="37" t="str">
        <f t="shared" si="40"/>
        <v xml:space="preserve"> </v>
      </c>
      <c r="F544">
        <v>0.41</v>
      </c>
      <c r="G544" s="37" t="str">
        <f t="shared" si="41"/>
        <v>Heavy Discount</v>
      </c>
      <c r="H544" s="37" t="str">
        <f t="shared" si="42"/>
        <v>High</v>
      </c>
      <c r="I544">
        <v>2</v>
      </c>
      <c r="J544" t="str" cm="1">
        <f t="array" ref="J544">_xlfn.IFS(I544&lt;=3,"small",I544&lt;=6,"Medium",I544&lt;=9,"Large")</f>
        <v>small</v>
      </c>
      <c r="K544" s="36">
        <v>45064</v>
      </c>
      <c r="L544" s="36">
        <v>45065</v>
      </c>
      <c r="M544" t="s">
        <v>603</v>
      </c>
      <c r="N544" t="s">
        <v>604</v>
      </c>
      <c r="O544" s="37" t="str">
        <f t="shared" si="43"/>
        <v>Digital Payment</v>
      </c>
      <c r="P544">
        <v>81.11</v>
      </c>
      <c r="Q544" s="37" t="str">
        <f>IF(P544&gt;500,"High","low")</f>
        <v>low</v>
      </c>
      <c r="R544" s="37" t="str">
        <f t="shared" si="44"/>
        <v>AVERAGE</v>
      </c>
      <c r="S544" t="s">
        <v>628</v>
      </c>
    </row>
    <row r="545" spans="1:19" x14ac:dyDescent="0.2">
      <c r="A545" t="s">
        <v>1156</v>
      </c>
      <c r="B545" t="s">
        <v>83</v>
      </c>
      <c r="C545" t="s">
        <v>602</v>
      </c>
      <c r="D545">
        <v>2352.6799999999998</v>
      </c>
      <c r="E545" s="37" t="str">
        <f t="shared" si="40"/>
        <v xml:space="preserve"> </v>
      </c>
      <c r="F545">
        <v>0.49</v>
      </c>
      <c r="G545" s="37" t="str">
        <f t="shared" si="41"/>
        <v>Heavy Discount</v>
      </c>
      <c r="H545" s="37" t="str">
        <f t="shared" si="42"/>
        <v>High</v>
      </c>
      <c r="I545">
        <v>4</v>
      </c>
      <c r="J545" t="str" cm="1">
        <f t="array" ref="J545">_xlfn.IFS(I545&lt;=3,"small",I545&lt;=6,"Medium",I545&lt;=9,"Large")</f>
        <v>Medium</v>
      </c>
      <c r="K545" s="36">
        <v>45164</v>
      </c>
      <c r="L545" s="36">
        <v>45167</v>
      </c>
      <c r="M545" t="s">
        <v>598</v>
      </c>
      <c r="N545" t="s">
        <v>599</v>
      </c>
      <c r="O545" s="37" t="str">
        <f t="shared" si="43"/>
        <v>Digital Payment</v>
      </c>
      <c r="P545">
        <v>240.35</v>
      </c>
      <c r="Q545" s="37" t="str">
        <f>IF(P545&gt;500,"High","low")</f>
        <v>low</v>
      </c>
      <c r="R545" s="37" t="str">
        <f t="shared" si="44"/>
        <v>AVERAGE</v>
      </c>
      <c r="S545" t="s">
        <v>620</v>
      </c>
    </row>
    <row r="546" spans="1:19" x14ac:dyDescent="0.2">
      <c r="A546" t="s">
        <v>1157</v>
      </c>
      <c r="B546" t="s">
        <v>75</v>
      </c>
      <c r="C546" t="s">
        <v>607</v>
      </c>
      <c r="D546">
        <v>2275.79</v>
      </c>
      <c r="E546" s="37" t="str">
        <f t="shared" si="40"/>
        <v xml:space="preserve"> </v>
      </c>
      <c r="F546">
        <v>0.13</v>
      </c>
      <c r="G546" s="37" t="str">
        <f t="shared" si="41"/>
        <v>Normal Discount</v>
      </c>
      <c r="H546" s="37" t="str">
        <f t="shared" si="42"/>
        <v>Low</v>
      </c>
      <c r="I546">
        <v>6</v>
      </c>
      <c r="J546" t="str" cm="1">
        <f t="array" ref="J546">_xlfn.IFS(I546&lt;=3,"small",I546&lt;=6,"Medium",I546&lt;=9,"Large")</f>
        <v>Medium</v>
      </c>
      <c r="K546" s="36">
        <v>45528</v>
      </c>
      <c r="L546" s="36">
        <v>45534</v>
      </c>
      <c r="M546" t="s">
        <v>598</v>
      </c>
      <c r="N546" t="s">
        <v>608</v>
      </c>
      <c r="O546" s="37" t="str">
        <f t="shared" si="43"/>
        <v>Cash Payment</v>
      </c>
      <c r="P546">
        <v>267.36</v>
      </c>
      <c r="Q546" s="37" t="str">
        <f>IF(P546&gt;500,"High","low")</f>
        <v>low</v>
      </c>
      <c r="R546" s="37" t="str">
        <f t="shared" si="44"/>
        <v>AVERAGE</v>
      </c>
      <c r="S546" t="s">
        <v>605</v>
      </c>
    </row>
    <row r="547" spans="1:19" x14ac:dyDescent="0.2">
      <c r="A547" t="s">
        <v>1158</v>
      </c>
      <c r="B547" t="s">
        <v>67</v>
      </c>
      <c r="C547" t="s">
        <v>614</v>
      </c>
      <c r="D547">
        <v>2352.9299999999998</v>
      </c>
      <c r="E547" s="37" t="str">
        <f t="shared" si="40"/>
        <v xml:space="preserve"> </v>
      </c>
      <c r="F547">
        <v>0.1</v>
      </c>
      <c r="G547" s="37" t="str">
        <f t="shared" si="41"/>
        <v>Normal Discount</v>
      </c>
      <c r="H547" s="37" t="str">
        <f t="shared" si="42"/>
        <v>Low</v>
      </c>
      <c r="I547">
        <v>1</v>
      </c>
      <c r="J547" t="str" cm="1">
        <f t="array" ref="J547">_xlfn.IFS(I547&lt;=3,"small",I547&lt;=6,"Medium",I547&lt;=9,"Large")</f>
        <v>small</v>
      </c>
      <c r="K547" s="36">
        <v>45640</v>
      </c>
      <c r="L547" s="36">
        <v>45645</v>
      </c>
      <c r="M547" t="s">
        <v>598</v>
      </c>
      <c r="N547" t="s">
        <v>604</v>
      </c>
      <c r="O547" s="37" t="str">
        <f t="shared" si="43"/>
        <v>Digital Payment</v>
      </c>
      <c r="P547">
        <v>119.01</v>
      </c>
      <c r="Q547" s="37" t="str">
        <f>IF(P547&gt;500,"High","low")</f>
        <v>low</v>
      </c>
      <c r="R547" s="37" t="str">
        <f t="shared" si="44"/>
        <v>AVERAGE</v>
      </c>
      <c r="S547" t="s">
        <v>628</v>
      </c>
    </row>
    <row r="548" spans="1:19" x14ac:dyDescent="0.2">
      <c r="A548" t="s">
        <v>1159</v>
      </c>
      <c r="B548" t="s">
        <v>75</v>
      </c>
      <c r="C548" t="s">
        <v>597</v>
      </c>
      <c r="D548">
        <v>4901.47</v>
      </c>
      <c r="E548" s="37" t="str">
        <f t="shared" si="40"/>
        <v xml:space="preserve"> </v>
      </c>
      <c r="F548">
        <v>0.17</v>
      </c>
      <c r="G548" s="37" t="str">
        <f t="shared" si="41"/>
        <v>Normal Discount</v>
      </c>
      <c r="H548" s="37" t="str">
        <f t="shared" si="42"/>
        <v>Low</v>
      </c>
      <c r="I548">
        <v>2</v>
      </c>
      <c r="J548" t="str" cm="1">
        <f t="array" ref="J548">_xlfn.IFS(I548&lt;=3,"small",I548&lt;=6,"Medium",I548&lt;=9,"Large")</f>
        <v>small</v>
      </c>
      <c r="K548" s="36">
        <v>45243</v>
      </c>
      <c r="L548" s="36">
        <v>45250</v>
      </c>
      <c r="M548" t="s">
        <v>598</v>
      </c>
      <c r="N548" t="s">
        <v>599</v>
      </c>
      <c r="O548" s="37" t="str">
        <f t="shared" si="43"/>
        <v>Digital Payment</v>
      </c>
      <c r="P548">
        <v>677.28</v>
      </c>
      <c r="Q548" s="37" t="str">
        <f>IF(P548&gt;500,"High","low")</f>
        <v>High</v>
      </c>
      <c r="R548" s="37" t="str">
        <f t="shared" si="44"/>
        <v>Good</v>
      </c>
      <c r="S548" t="s">
        <v>600</v>
      </c>
    </row>
    <row r="549" spans="1:19" x14ac:dyDescent="0.2">
      <c r="A549" t="s">
        <v>1160</v>
      </c>
      <c r="B549" t="s">
        <v>67</v>
      </c>
      <c r="C549" t="s">
        <v>607</v>
      </c>
      <c r="D549">
        <v>782.46</v>
      </c>
      <c r="E549" s="37" t="str">
        <f t="shared" si="40"/>
        <v xml:space="preserve"> </v>
      </c>
      <c r="F549">
        <v>0.44</v>
      </c>
      <c r="G549" s="37" t="str">
        <f t="shared" si="41"/>
        <v>Heavy Discount</v>
      </c>
      <c r="H549" s="37" t="str">
        <f t="shared" si="42"/>
        <v>High</v>
      </c>
      <c r="I549">
        <v>8</v>
      </c>
      <c r="J549" t="str" cm="1">
        <f t="array" ref="J549">_xlfn.IFS(I549&lt;=3,"small",I549&lt;=6,"Medium",I549&lt;=9,"Large")</f>
        <v>Large</v>
      </c>
      <c r="K549" s="36">
        <v>45558</v>
      </c>
      <c r="L549" s="36">
        <v>45563</v>
      </c>
      <c r="M549" t="s">
        <v>603</v>
      </c>
      <c r="N549" t="s">
        <v>599</v>
      </c>
      <c r="O549" s="37" t="str">
        <f t="shared" si="43"/>
        <v>Digital Payment</v>
      </c>
      <c r="P549">
        <v>217.68</v>
      </c>
      <c r="Q549" s="37" t="str">
        <f>IF(P549&gt;500,"High","low")</f>
        <v>low</v>
      </c>
      <c r="R549" s="37" t="str">
        <f t="shared" si="44"/>
        <v>AVERAGE</v>
      </c>
      <c r="S549" t="s">
        <v>600</v>
      </c>
    </row>
    <row r="550" spans="1:19" x14ac:dyDescent="0.2">
      <c r="A550" t="s">
        <v>1161</v>
      </c>
      <c r="B550" t="s">
        <v>83</v>
      </c>
      <c r="C550" t="s">
        <v>607</v>
      </c>
      <c r="D550">
        <v>3483.11</v>
      </c>
      <c r="E550" s="37" t="str">
        <f t="shared" si="40"/>
        <v xml:space="preserve"> </v>
      </c>
      <c r="F550">
        <v>0.01</v>
      </c>
      <c r="G550" s="37" t="str">
        <f t="shared" si="41"/>
        <v>Normal Discount</v>
      </c>
      <c r="H550" s="37" t="str">
        <f t="shared" si="42"/>
        <v>Low</v>
      </c>
      <c r="I550">
        <v>3</v>
      </c>
      <c r="J550" t="str" cm="1">
        <f t="array" ref="J550">_xlfn.IFS(I550&lt;=3,"small",I550&lt;=6,"Medium",I550&lt;=9,"Large")</f>
        <v>small</v>
      </c>
      <c r="K550" s="36">
        <v>44937</v>
      </c>
      <c r="L550" s="36">
        <v>44940</v>
      </c>
      <c r="M550" t="s">
        <v>598</v>
      </c>
      <c r="N550" t="s">
        <v>604</v>
      </c>
      <c r="O550" s="37" t="str">
        <f t="shared" si="43"/>
        <v>Digital Payment</v>
      </c>
      <c r="P550">
        <v>855.4</v>
      </c>
      <c r="Q550" s="37" t="str">
        <f>IF(P550&gt;500,"High","low")</f>
        <v>High</v>
      </c>
      <c r="R550" s="37" t="str">
        <f t="shared" si="44"/>
        <v>Good</v>
      </c>
      <c r="S550" t="s">
        <v>620</v>
      </c>
    </row>
    <row r="551" spans="1:19" x14ac:dyDescent="0.2">
      <c r="A551" t="s">
        <v>1162</v>
      </c>
      <c r="B551" t="s">
        <v>90</v>
      </c>
      <c r="C551" t="s">
        <v>602</v>
      </c>
      <c r="D551">
        <v>2069.7800000000002</v>
      </c>
      <c r="E551" s="37" t="str">
        <f t="shared" si="40"/>
        <v xml:space="preserve"> </v>
      </c>
      <c r="F551">
        <v>0.01</v>
      </c>
      <c r="G551" s="37" t="str">
        <f t="shared" si="41"/>
        <v>Normal Discount</v>
      </c>
      <c r="H551" s="37" t="str">
        <f t="shared" si="42"/>
        <v>Low</v>
      </c>
      <c r="I551">
        <v>1</v>
      </c>
      <c r="J551" t="str" cm="1">
        <f t="array" ref="J551">_xlfn.IFS(I551&lt;=3,"small",I551&lt;=6,"Medium",I551&lt;=9,"Large")</f>
        <v>small</v>
      </c>
      <c r="K551" s="36">
        <v>45327</v>
      </c>
      <c r="L551" s="36">
        <v>45332</v>
      </c>
      <c r="M551" t="s">
        <v>603</v>
      </c>
      <c r="N551" t="s">
        <v>599</v>
      </c>
      <c r="O551" s="37" t="str">
        <f t="shared" si="43"/>
        <v>Digital Payment</v>
      </c>
      <c r="P551">
        <v>600.48</v>
      </c>
      <c r="Q551" s="37" t="str">
        <f>IF(P551&gt;500,"High","low")</f>
        <v>High</v>
      </c>
      <c r="R551" s="37" t="str">
        <f t="shared" si="44"/>
        <v>Good</v>
      </c>
      <c r="S551" t="s">
        <v>600</v>
      </c>
    </row>
    <row r="552" spans="1:19" x14ac:dyDescent="0.2">
      <c r="A552" t="s">
        <v>1163</v>
      </c>
      <c r="B552" t="s">
        <v>75</v>
      </c>
      <c r="C552" t="s">
        <v>597</v>
      </c>
      <c r="D552">
        <v>2607.46</v>
      </c>
      <c r="E552" s="37" t="str">
        <f t="shared" si="40"/>
        <v xml:space="preserve"> </v>
      </c>
      <c r="F552">
        <v>0.11</v>
      </c>
      <c r="G552" s="37" t="str">
        <f t="shared" si="41"/>
        <v>Normal Discount</v>
      </c>
      <c r="H552" s="37" t="str">
        <f t="shared" si="42"/>
        <v>Low</v>
      </c>
      <c r="I552">
        <v>2</v>
      </c>
      <c r="J552" t="str" cm="1">
        <f t="array" ref="J552">_xlfn.IFS(I552&lt;=3,"small",I552&lt;=6,"Medium",I552&lt;=9,"Large")</f>
        <v>small</v>
      </c>
      <c r="K552" s="36">
        <v>45129</v>
      </c>
      <c r="L552" s="36">
        <v>45136</v>
      </c>
      <c r="M552" t="s">
        <v>598</v>
      </c>
      <c r="N552" t="s">
        <v>599</v>
      </c>
      <c r="O552" s="37" t="str">
        <f t="shared" si="43"/>
        <v>Digital Payment</v>
      </c>
      <c r="P552">
        <v>270.02</v>
      </c>
      <c r="Q552" s="37" t="str">
        <f>IF(P552&gt;500,"High","low")</f>
        <v>low</v>
      </c>
      <c r="R552" s="37" t="str">
        <f t="shared" si="44"/>
        <v>AVERAGE</v>
      </c>
      <c r="S552" t="s">
        <v>620</v>
      </c>
    </row>
    <row r="553" spans="1:19" x14ac:dyDescent="0.2">
      <c r="A553" t="s">
        <v>1164</v>
      </c>
      <c r="B553" t="s">
        <v>67</v>
      </c>
      <c r="C553" t="s">
        <v>614</v>
      </c>
      <c r="D553">
        <v>3835.73</v>
      </c>
      <c r="E553" s="37" t="str">
        <f t="shared" si="40"/>
        <v xml:space="preserve"> </v>
      </c>
      <c r="F553">
        <v>0.19</v>
      </c>
      <c r="G553" s="37" t="str">
        <f t="shared" si="41"/>
        <v>Normal Discount</v>
      </c>
      <c r="H553" s="37" t="str">
        <f t="shared" si="42"/>
        <v>Low</v>
      </c>
      <c r="I553">
        <v>3</v>
      </c>
      <c r="J553" t="str" cm="1">
        <f t="array" ref="J553">_xlfn.IFS(I553&lt;=3,"small",I553&lt;=6,"Medium",I553&lt;=9,"Large")</f>
        <v>small</v>
      </c>
      <c r="K553" s="36">
        <v>45453</v>
      </c>
      <c r="L553" s="36">
        <v>45458</v>
      </c>
      <c r="M553" t="s">
        <v>612</v>
      </c>
      <c r="N553" t="s">
        <v>608</v>
      </c>
      <c r="O553" s="37" t="str">
        <f t="shared" si="43"/>
        <v>Cash Payment</v>
      </c>
      <c r="P553">
        <v>740.59</v>
      </c>
      <c r="Q553" s="37" t="str">
        <f>IF(P553&gt;500,"High","low")</f>
        <v>High</v>
      </c>
      <c r="R553" s="37" t="str">
        <f t="shared" si="44"/>
        <v>Good</v>
      </c>
      <c r="S553" t="s">
        <v>615</v>
      </c>
    </row>
    <row r="554" spans="1:19" x14ac:dyDescent="0.2">
      <c r="A554" t="s">
        <v>1165</v>
      </c>
      <c r="B554" t="s">
        <v>75</v>
      </c>
      <c r="C554" t="s">
        <v>602</v>
      </c>
      <c r="D554">
        <v>871.14</v>
      </c>
      <c r="E554" s="37" t="str">
        <f t="shared" si="40"/>
        <v xml:space="preserve"> </v>
      </c>
      <c r="F554">
        <v>0.15</v>
      </c>
      <c r="G554" s="37" t="str">
        <f t="shared" si="41"/>
        <v>Normal Discount</v>
      </c>
      <c r="H554" s="37" t="str">
        <f t="shared" si="42"/>
        <v>Low</v>
      </c>
      <c r="I554">
        <v>2</v>
      </c>
      <c r="J554" t="str" cm="1">
        <f t="array" ref="J554">_xlfn.IFS(I554&lt;=3,"small",I554&lt;=6,"Medium",I554&lt;=9,"Large")</f>
        <v>small</v>
      </c>
      <c r="K554" s="36">
        <v>45442</v>
      </c>
      <c r="L554" s="36">
        <v>45449</v>
      </c>
      <c r="M554" t="s">
        <v>598</v>
      </c>
      <c r="N554" t="s">
        <v>608</v>
      </c>
      <c r="O554" s="37" t="str">
        <f t="shared" si="43"/>
        <v>Cash Payment</v>
      </c>
      <c r="P554">
        <v>122.99</v>
      </c>
      <c r="Q554" s="37" t="str">
        <f>IF(P554&gt;500,"High","low")</f>
        <v>low</v>
      </c>
      <c r="R554" s="37" t="str">
        <f t="shared" si="44"/>
        <v>AVERAGE</v>
      </c>
      <c r="S554" t="s">
        <v>605</v>
      </c>
    </row>
    <row r="555" spans="1:19" x14ac:dyDescent="0.2">
      <c r="A555" t="s">
        <v>1166</v>
      </c>
      <c r="B555" t="s">
        <v>67</v>
      </c>
      <c r="C555" t="s">
        <v>607</v>
      </c>
      <c r="D555">
        <v>3841.57</v>
      </c>
      <c r="E555" s="37" t="str">
        <f t="shared" si="40"/>
        <v xml:space="preserve"> </v>
      </c>
      <c r="F555">
        <v>0.41</v>
      </c>
      <c r="G555" s="37" t="str">
        <f t="shared" si="41"/>
        <v>Heavy Discount</v>
      </c>
      <c r="H555" s="37" t="str">
        <f t="shared" si="42"/>
        <v>High</v>
      </c>
      <c r="I555">
        <v>4</v>
      </c>
      <c r="J555" t="str" cm="1">
        <f t="array" ref="J555">_xlfn.IFS(I555&lt;=3,"small",I555&lt;=6,"Medium",I555&lt;=9,"Large")</f>
        <v>Medium</v>
      </c>
      <c r="K555" s="36">
        <v>45107</v>
      </c>
      <c r="L555" s="36">
        <v>45108</v>
      </c>
      <c r="M555" t="s">
        <v>603</v>
      </c>
      <c r="N555" t="s">
        <v>608</v>
      </c>
      <c r="O555" s="37" t="str">
        <f t="shared" si="43"/>
        <v>Cash Payment</v>
      </c>
      <c r="P555">
        <v>783.56</v>
      </c>
      <c r="Q555" s="37" t="str">
        <f>IF(P555&gt;500,"High","low")</f>
        <v>High</v>
      </c>
      <c r="R555" s="37" t="str">
        <f t="shared" si="44"/>
        <v>Good</v>
      </c>
      <c r="S555" t="s">
        <v>609</v>
      </c>
    </row>
    <row r="556" spans="1:19" x14ac:dyDescent="0.2">
      <c r="A556" t="s">
        <v>1167</v>
      </c>
      <c r="B556" t="s">
        <v>75</v>
      </c>
      <c r="C556" t="s">
        <v>602</v>
      </c>
      <c r="D556">
        <v>444.62</v>
      </c>
      <c r="E556" s="37" t="str">
        <f t="shared" si="40"/>
        <v xml:space="preserve"> </v>
      </c>
      <c r="F556">
        <v>0.34</v>
      </c>
      <c r="G556" s="37" t="str">
        <f t="shared" si="41"/>
        <v>Heavy Discount</v>
      </c>
      <c r="H556" s="37" t="str">
        <f t="shared" si="42"/>
        <v>Medium</v>
      </c>
      <c r="I556">
        <v>4</v>
      </c>
      <c r="J556" t="str" cm="1">
        <f t="array" ref="J556">_xlfn.IFS(I556&lt;=3,"small",I556&lt;=6,"Medium",I556&lt;=9,"Large")</f>
        <v>Medium</v>
      </c>
      <c r="K556" s="36">
        <v>45357</v>
      </c>
      <c r="L556" s="36">
        <v>45359</v>
      </c>
      <c r="M556" t="s">
        <v>603</v>
      </c>
      <c r="N556" t="s">
        <v>599</v>
      </c>
      <c r="O556" s="37" t="str">
        <f t="shared" si="43"/>
        <v>Digital Payment</v>
      </c>
      <c r="P556">
        <v>104.94</v>
      </c>
      <c r="Q556" s="37" t="str">
        <f>IF(P556&gt;500,"High","low")</f>
        <v>low</v>
      </c>
      <c r="R556" s="37" t="str">
        <f t="shared" si="44"/>
        <v>AVERAGE</v>
      </c>
      <c r="S556" t="s">
        <v>628</v>
      </c>
    </row>
    <row r="557" spans="1:19" x14ac:dyDescent="0.2">
      <c r="A557" t="s">
        <v>1168</v>
      </c>
      <c r="B557" t="s">
        <v>67</v>
      </c>
      <c r="C557" t="s">
        <v>602</v>
      </c>
      <c r="D557">
        <v>2468.2199999999998</v>
      </c>
      <c r="E557" s="37" t="str">
        <f t="shared" si="40"/>
        <v xml:space="preserve"> </v>
      </c>
      <c r="F557">
        <v>0.42</v>
      </c>
      <c r="G557" s="37" t="str">
        <f t="shared" si="41"/>
        <v>Heavy Discount</v>
      </c>
      <c r="H557" s="37" t="str">
        <f t="shared" si="42"/>
        <v>High</v>
      </c>
      <c r="I557">
        <v>2</v>
      </c>
      <c r="J557" t="str" cm="1">
        <f t="array" ref="J557">_xlfn.IFS(I557&lt;=3,"small",I557&lt;=6,"Medium",I557&lt;=9,"Large")</f>
        <v>small</v>
      </c>
      <c r="K557" s="36">
        <v>45484</v>
      </c>
      <c r="L557" s="36">
        <v>45486</v>
      </c>
      <c r="M557" t="s">
        <v>612</v>
      </c>
      <c r="N557" t="s">
        <v>604</v>
      </c>
      <c r="O557" s="37" t="str">
        <f t="shared" si="43"/>
        <v>Digital Payment</v>
      </c>
      <c r="P557">
        <v>182</v>
      </c>
      <c r="Q557" s="37" t="str">
        <f>IF(P557&gt;500,"High","low")</f>
        <v>low</v>
      </c>
      <c r="R557" s="37" t="str">
        <f t="shared" si="44"/>
        <v>AVERAGE</v>
      </c>
      <c r="S557" t="s">
        <v>600</v>
      </c>
    </row>
    <row r="558" spans="1:19" x14ac:dyDescent="0.2">
      <c r="A558" t="s">
        <v>1169</v>
      </c>
      <c r="B558" t="s">
        <v>67</v>
      </c>
      <c r="C558" t="s">
        <v>617</v>
      </c>
      <c r="D558">
        <v>3736.15</v>
      </c>
      <c r="E558" s="37" t="str">
        <f t="shared" si="40"/>
        <v xml:space="preserve"> </v>
      </c>
      <c r="F558">
        <v>0.19</v>
      </c>
      <c r="G558" s="37" t="str">
        <f t="shared" si="41"/>
        <v>Normal Discount</v>
      </c>
      <c r="H558" s="37" t="str">
        <f t="shared" si="42"/>
        <v>Low</v>
      </c>
      <c r="I558">
        <v>1</v>
      </c>
      <c r="J558" t="str" cm="1">
        <f t="array" ref="J558">_xlfn.IFS(I558&lt;=3,"small",I558&lt;=6,"Medium",I558&lt;=9,"Large")</f>
        <v>small</v>
      </c>
      <c r="K558" s="36">
        <v>45339</v>
      </c>
      <c r="L558" s="36">
        <v>45342</v>
      </c>
      <c r="M558" t="s">
        <v>612</v>
      </c>
      <c r="N558" t="s">
        <v>604</v>
      </c>
      <c r="O558" s="37" t="str">
        <f t="shared" si="43"/>
        <v>Digital Payment</v>
      </c>
      <c r="P558">
        <v>268.83</v>
      </c>
      <c r="Q558" s="37" t="str">
        <f>IF(P558&gt;500,"High","low")</f>
        <v>low</v>
      </c>
      <c r="R558" s="37" t="str">
        <f t="shared" si="44"/>
        <v>AVERAGE</v>
      </c>
      <c r="S558" t="s">
        <v>600</v>
      </c>
    </row>
    <row r="559" spans="1:19" x14ac:dyDescent="0.2">
      <c r="A559" t="s">
        <v>1170</v>
      </c>
      <c r="B559" t="s">
        <v>83</v>
      </c>
      <c r="C559" t="s">
        <v>602</v>
      </c>
      <c r="D559">
        <v>1043.5</v>
      </c>
      <c r="E559" s="37" t="str">
        <f t="shared" si="40"/>
        <v xml:space="preserve"> </v>
      </c>
      <c r="F559">
        <v>0.3</v>
      </c>
      <c r="G559" s="37" t="str">
        <f t="shared" si="41"/>
        <v>Normal Discount</v>
      </c>
      <c r="H559" s="37" t="str">
        <f t="shared" si="42"/>
        <v>Medium</v>
      </c>
      <c r="I559">
        <v>3</v>
      </c>
      <c r="J559" t="str" cm="1">
        <f t="array" ref="J559">_xlfn.IFS(I559&lt;=3,"small",I559&lt;=6,"Medium",I559&lt;=9,"Large")</f>
        <v>small</v>
      </c>
      <c r="K559" s="36">
        <v>45469</v>
      </c>
      <c r="L559" s="36">
        <v>45471</v>
      </c>
      <c r="M559" t="s">
        <v>603</v>
      </c>
      <c r="N559" t="s">
        <v>608</v>
      </c>
      <c r="O559" s="37" t="str">
        <f t="shared" si="43"/>
        <v>Cash Payment</v>
      </c>
      <c r="P559">
        <v>80.56</v>
      </c>
      <c r="Q559" s="37" t="str">
        <f>IF(P559&gt;500,"High","low")</f>
        <v>low</v>
      </c>
      <c r="R559" s="37" t="str">
        <f t="shared" si="44"/>
        <v>AVERAGE</v>
      </c>
      <c r="S559" t="s">
        <v>615</v>
      </c>
    </row>
    <row r="560" spans="1:19" x14ac:dyDescent="0.2">
      <c r="A560" t="s">
        <v>1171</v>
      </c>
      <c r="B560" t="s">
        <v>67</v>
      </c>
      <c r="C560" t="s">
        <v>602</v>
      </c>
      <c r="D560">
        <v>3877.49</v>
      </c>
      <c r="E560" s="37" t="str">
        <f t="shared" si="40"/>
        <v xml:space="preserve"> </v>
      </c>
      <c r="F560">
        <v>0.26</v>
      </c>
      <c r="G560" s="37" t="str">
        <f t="shared" si="41"/>
        <v>Normal Discount</v>
      </c>
      <c r="H560" s="37" t="str">
        <f t="shared" si="42"/>
        <v>Medium</v>
      </c>
      <c r="I560">
        <v>4</v>
      </c>
      <c r="J560" t="str" cm="1">
        <f t="array" ref="J560">_xlfn.IFS(I560&lt;=3,"small",I560&lt;=6,"Medium",I560&lt;=9,"Large")</f>
        <v>Medium</v>
      </c>
      <c r="K560" s="36">
        <v>45255</v>
      </c>
      <c r="L560" s="36">
        <v>45257</v>
      </c>
      <c r="M560" t="s">
        <v>603</v>
      </c>
      <c r="N560" t="s">
        <v>604</v>
      </c>
      <c r="O560" s="37" t="str">
        <f t="shared" si="43"/>
        <v>Digital Payment</v>
      </c>
      <c r="P560">
        <v>466.08</v>
      </c>
      <c r="Q560" s="37" t="str">
        <f>IF(P560&gt;500,"High","low")</f>
        <v>low</v>
      </c>
      <c r="R560" s="37" t="str">
        <f t="shared" si="44"/>
        <v>AVERAGE</v>
      </c>
      <c r="S560" t="s">
        <v>628</v>
      </c>
    </row>
    <row r="561" spans="1:19" x14ac:dyDescent="0.2">
      <c r="A561" t="s">
        <v>1172</v>
      </c>
      <c r="B561" t="s">
        <v>83</v>
      </c>
      <c r="C561" t="s">
        <v>597</v>
      </c>
      <c r="D561">
        <v>917.38</v>
      </c>
      <c r="E561" s="37" t="str">
        <f t="shared" si="40"/>
        <v xml:space="preserve"> </v>
      </c>
      <c r="F561">
        <v>0.24</v>
      </c>
      <c r="G561" s="37" t="str">
        <f t="shared" si="41"/>
        <v>Normal Discount</v>
      </c>
      <c r="H561" s="37" t="str">
        <f t="shared" si="42"/>
        <v>Medium</v>
      </c>
      <c r="I561">
        <v>6</v>
      </c>
      <c r="J561" t="str" cm="1">
        <f t="array" ref="J561">_xlfn.IFS(I561&lt;=3,"small",I561&lt;=6,"Medium",I561&lt;=9,"Large")</f>
        <v>Medium</v>
      </c>
      <c r="K561" s="36">
        <v>45486</v>
      </c>
      <c r="L561" s="36">
        <v>45487</v>
      </c>
      <c r="M561" t="s">
        <v>598</v>
      </c>
      <c r="N561" t="s">
        <v>599</v>
      </c>
      <c r="O561" s="37" t="str">
        <f t="shared" si="43"/>
        <v>Digital Payment</v>
      </c>
      <c r="P561">
        <v>216.67</v>
      </c>
      <c r="Q561" s="37" t="str">
        <f>IF(P561&gt;500,"High","low")</f>
        <v>low</v>
      </c>
      <c r="R561" s="37" t="str">
        <f t="shared" si="44"/>
        <v>AVERAGE</v>
      </c>
      <c r="S561" t="s">
        <v>620</v>
      </c>
    </row>
    <row r="562" spans="1:19" x14ac:dyDescent="0.2">
      <c r="A562" t="s">
        <v>1173</v>
      </c>
      <c r="B562" t="s">
        <v>67</v>
      </c>
      <c r="C562" t="s">
        <v>602</v>
      </c>
      <c r="D562">
        <v>4016.27</v>
      </c>
      <c r="E562" s="37" t="str">
        <f t="shared" si="40"/>
        <v>Excellent Order</v>
      </c>
      <c r="F562">
        <v>0.14000000000000001</v>
      </c>
      <c r="G562" s="37" t="str">
        <f t="shared" si="41"/>
        <v>Normal Discount</v>
      </c>
      <c r="H562" s="37" t="str">
        <f t="shared" si="42"/>
        <v>Low</v>
      </c>
      <c r="I562">
        <v>5</v>
      </c>
      <c r="J562" t="str" cm="1">
        <f t="array" ref="J562">_xlfn.IFS(I562&lt;=3,"small",I562&lt;=6,"Medium",I562&lt;=9,"Large")</f>
        <v>Medium</v>
      </c>
      <c r="K562" s="36">
        <v>45110</v>
      </c>
      <c r="L562" s="36">
        <v>45112</v>
      </c>
      <c r="M562" t="s">
        <v>603</v>
      </c>
      <c r="N562" t="s">
        <v>608</v>
      </c>
      <c r="O562" s="37" t="str">
        <f t="shared" si="43"/>
        <v>Cash Payment</v>
      </c>
      <c r="P562">
        <v>842</v>
      </c>
      <c r="Q562" s="37" t="str">
        <f>IF(P562&gt;500,"High","low")</f>
        <v>High</v>
      </c>
      <c r="R562" s="37" t="str">
        <f t="shared" si="44"/>
        <v>Good</v>
      </c>
      <c r="S562" t="s">
        <v>615</v>
      </c>
    </row>
    <row r="563" spans="1:19" x14ac:dyDescent="0.2">
      <c r="A563" t="s">
        <v>1174</v>
      </c>
      <c r="B563" t="s">
        <v>90</v>
      </c>
      <c r="C563" t="s">
        <v>614</v>
      </c>
      <c r="D563">
        <v>2397.7800000000002</v>
      </c>
      <c r="E563" s="37" t="str">
        <f t="shared" si="40"/>
        <v xml:space="preserve"> </v>
      </c>
      <c r="F563">
        <v>0.35</v>
      </c>
      <c r="G563" s="37" t="str">
        <f t="shared" si="41"/>
        <v>Heavy Discount</v>
      </c>
      <c r="H563" s="37" t="str">
        <f t="shared" si="42"/>
        <v>Medium</v>
      </c>
      <c r="I563">
        <v>2</v>
      </c>
      <c r="J563" t="str" cm="1">
        <f t="array" ref="J563">_xlfn.IFS(I563&lt;=3,"small",I563&lt;=6,"Medium",I563&lt;=9,"Large")</f>
        <v>small</v>
      </c>
      <c r="K563" s="36">
        <v>45057</v>
      </c>
      <c r="L563" s="36">
        <v>45059</v>
      </c>
      <c r="M563" t="s">
        <v>603</v>
      </c>
      <c r="N563" t="s">
        <v>608</v>
      </c>
      <c r="O563" s="37" t="str">
        <f t="shared" si="43"/>
        <v>Cash Payment</v>
      </c>
      <c r="P563">
        <v>299.91000000000003</v>
      </c>
      <c r="Q563" s="37" t="str">
        <f>IF(P563&gt;500,"High","low")</f>
        <v>low</v>
      </c>
      <c r="R563" s="37" t="str">
        <f t="shared" si="44"/>
        <v>AVERAGE</v>
      </c>
      <c r="S563" t="s">
        <v>628</v>
      </c>
    </row>
    <row r="564" spans="1:19" x14ac:dyDescent="0.2">
      <c r="A564" t="s">
        <v>1175</v>
      </c>
      <c r="B564" t="s">
        <v>90</v>
      </c>
      <c r="C564" t="s">
        <v>607</v>
      </c>
      <c r="D564">
        <v>3454.73</v>
      </c>
      <c r="E564" s="37" t="str">
        <f t="shared" si="40"/>
        <v xml:space="preserve"> </v>
      </c>
      <c r="F564">
        <v>0.26</v>
      </c>
      <c r="G564" s="37" t="str">
        <f t="shared" si="41"/>
        <v>Normal Discount</v>
      </c>
      <c r="H564" s="37" t="str">
        <f t="shared" si="42"/>
        <v>Medium</v>
      </c>
      <c r="I564">
        <v>4</v>
      </c>
      <c r="J564" t="str" cm="1">
        <f t="array" ref="J564">_xlfn.IFS(I564&lt;=3,"small",I564&lt;=6,"Medium",I564&lt;=9,"Large")</f>
        <v>Medium</v>
      </c>
      <c r="K564" s="36">
        <v>45201</v>
      </c>
      <c r="L564" s="36">
        <v>45203</v>
      </c>
      <c r="M564" t="s">
        <v>612</v>
      </c>
      <c r="N564" t="s">
        <v>599</v>
      </c>
      <c r="O564" s="37" t="str">
        <f t="shared" si="43"/>
        <v>Digital Payment</v>
      </c>
      <c r="P564">
        <v>912.09</v>
      </c>
      <c r="Q564" s="37" t="str">
        <f>IF(P564&gt;500,"High","low")</f>
        <v>High</v>
      </c>
      <c r="R564" s="37" t="str">
        <f t="shared" si="44"/>
        <v>Good</v>
      </c>
      <c r="S564" t="s">
        <v>628</v>
      </c>
    </row>
    <row r="565" spans="1:19" x14ac:dyDescent="0.2">
      <c r="A565" t="s">
        <v>1176</v>
      </c>
      <c r="B565" t="s">
        <v>90</v>
      </c>
      <c r="C565" t="s">
        <v>597</v>
      </c>
      <c r="D565">
        <v>4595.29</v>
      </c>
      <c r="E565" s="37" t="str">
        <f t="shared" si="40"/>
        <v>Excellent Order</v>
      </c>
      <c r="F565">
        <v>0.04</v>
      </c>
      <c r="G565" s="37" t="str">
        <f t="shared" si="41"/>
        <v>Normal Discount</v>
      </c>
      <c r="H565" s="37" t="str">
        <f t="shared" si="42"/>
        <v>Low</v>
      </c>
      <c r="I565">
        <v>6</v>
      </c>
      <c r="J565" t="str" cm="1">
        <f t="array" ref="J565">_xlfn.IFS(I565&lt;=3,"small",I565&lt;=6,"Medium",I565&lt;=9,"Large")</f>
        <v>Medium</v>
      </c>
      <c r="K565" s="36">
        <v>45588</v>
      </c>
      <c r="L565" s="36">
        <v>45594</v>
      </c>
      <c r="M565" t="s">
        <v>603</v>
      </c>
      <c r="N565" t="s">
        <v>599</v>
      </c>
      <c r="O565" s="37" t="str">
        <f t="shared" si="43"/>
        <v>Digital Payment</v>
      </c>
      <c r="P565">
        <v>1066.82</v>
      </c>
      <c r="Q565" s="37" t="str">
        <f>IF(P565&gt;500,"High","low")</f>
        <v>High</v>
      </c>
      <c r="R565" s="37" t="str">
        <f t="shared" si="44"/>
        <v>Excellent</v>
      </c>
      <c r="S565" t="s">
        <v>620</v>
      </c>
    </row>
    <row r="566" spans="1:19" x14ac:dyDescent="0.2">
      <c r="A566" t="s">
        <v>1177</v>
      </c>
      <c r="B566" t="s">
        <v>67</v>
      </c>
      <c r="C566" t="s">
        <v>602</v>
      </c>
      <c r="D566">
        <v>2101.27</v>
      </c>
      <c r="E566" s="37" t="str">
        <f t="shared" si="40"/>
        <v xml:space="preserve"> </v>
      </c>
      <c r="F566">
        <v>0</v>
      </c>
      <c r="G566" s="37" t="str">
        <f t="shared" si="41"/>
        <v>Normal Discount</v>
      </c>
      <c r="H566" s="37" t="str">
        <f t="shared" si="42"/>
        <v>Low</v>
      </c>
      <c r="I566">
        <v>4</v>
      </c>
      <c r="J566" t="str" cm="1">
        <f t="array" ref="J566">_xlfn.IFS(I566&lt;=3,"small",I566&lt;=6,"Medium",I566&lt;=9,"Large")</f>
        <v>Medium</v>
      </c>
      <c r="K566" s="36">
        <v>45297</v>
      </c>
      <c r="L566" s="36">
        <v>45304</v>
      </c>
      <c r="M566" t="s">
        <v>612</v>
      </c>
      <c r="N566" t="s">
        <v>608</v>
      </c>
      <c r="O566" s="37" t="str">
        <f t="shared" si="43"/>
        <v>Cash Payment</v>
      </c>
      <c r="P566">
        <v>616.11</v>
      </c>
      <c r="Q566" s="37" t="str">
        <f>IF(P566&gt;500,"High","low")</f>
        <v>High</v>
      </c>
      <c r="R566" s="37" t="str">
        <f t="shared" si="44"/>
        <v>Good</v>
      </c>
      <c r="S566" t="s">
        <v>605</v>
      </c>
    </row>
    <row r="567" spans="1:19" x14ac:dyDescent="0.2">
      <c r="A567" t="s">
        <v>1178</v>
      </c>
      <c r="B567" t="s">
        <v>83</v>
      </c>
      <c r="C567" t="s">
        <v>614</v>
      </c>
      <c r="D567">
        <v>1241.49</v>
      </c>
      <c r="E567" s="37" t="str">
        <f t="shared" si="40"/>
        <v xml:space="preserve"> </v>
      </c>
      <c r="F567">
        <v>0.01</v>
      </c>
      <c r="G567" s="37" t="str">
        <f t="shared" si="41"/>
        <v>Normal Discount</v>
      </c>
      <c r="H567" s="37" t="str">
        <f t="shared" si="42"/>
        <v>Low</v>
      </c>
      <c r="I567">
        <v>7</v>
      </c>
      <c r="J567" t="str" cm="1">
        <f t="array" ref="J567">_xlfn.IFS(I567&lt;=3,"small",I567&lt;=6,"Medium",I567&lt;=9,"Large")</f>
        <v>Large</v>
      </c>
      <c r="K567" s="36">
        <v>45382</v>
      </c>
      <c r="L567" s="36">
        <v>45388</v>
      </c>
      <c r="M567" t="s">
        <v>598</v>
      </c>
      <c r="N567" t="s">
        <v>608</v>
      </c>
      <c r="O567" s="37" t="str">
        <f t="shared" si="43"/>
        <v>Cash Payment</v>
      </c>
      <c r="P567">
        <v>274.88</v>
      </c>
      <c r="Q567" s="37" t="str">
        <f>IF(P567&gt;500,"High","low")</f>
        <v>low</v>
      </c>
      <c r="R567" s="37" t="str">
        <f t="shared" si="44"/>
        <v>AVERAGE</v>
      </c>
      <c r="S567" t="s">
        <v>615</v>
      </c>
    </row>
    <row r="568" spans="1:19" x14ac:dyDescent="0.2">
      <c r="A568" t="s">
        <v>1179</v>
      </c>
      <c r="B568" t="s">
        <v>83</v>
      </c>
      <c r="C568" t="s">
        <v>607</v>
      </c>
      <c r="D568">
        <v>4349.1000000000004</v>
      </c>
      <c r="E568" s="37" t="str">
        <f t="shared" si="40"/>
        <v>Excellent Order</v>
      </c>
      <c r="F568">
        <v>0.04</v>
      </c>
      <c r="G568" s="37" t="str">
        <f t="shared" si="41"/>
        <v>Normal Discount</v>
      </c>
      <c r="H568" s="37" t="str">
        <f t="shared" si="42"/>
        <v>Low</v>
      </c>
      <c r="I568">
        <v>6</v>
      </c>
      <c r="J568" t="str" cm="1">
        <f t="array" ref="J568">_xlfn.IFS(I568&lt;=3,"small",I568&lt;=6,"Medium",I568&lt;=9,"Large")</f>
        <v>Medium</v>
      </c>
      <c r="K568" s="36">
        <v>44951</v>
      </c>
      <c r="L568" s="36">
        <v>44958</v>
      </c>
      <c r="M568" t="s">
        <v>612</v>
      </c>
      <c r="N568" t="s">
        <v>604</v>
      </c>
      <c r="O568" s="37" t="str">
        <f t="shared" si="43"/>
        <v>Digital Payment</v>
      </c>
      <c r="P568">
        <v>997.25</v>
      </c>
      <c r="Q568" s="37" t="str">
        <f>IF(P568&gt;500,"High","low")</f>
        <v>High</v>
      </c>
      <c r="R568" s="37" t="str">
        <f t="shared" si="44"/>
        <v>Good</v>
      </c>
      <c r="S568" t="s">
        <v>615</v>
      </c>
    </row>
    <row r="569" spans="1:19" x14ac:dyDescent="0.2">
      <c r="A569" t="s">
        <v>1180</v>
      </c>
      <c r="B569" t="s">
        <v>67</v>
      </c>
      <c r="C569" t="s">
        <v>597</v>
      </c>
      <c r="D569">
        <v>891.92</v>
      </c>
      <c r="E569" s="37" t="str">
        <f t="shared" si="40"/>
        <v xml:space="preserve"> </v>
      </c>
      <c r="F569">
        <v>0.19</v>
      </c>
      <c r="G569" s="37" t="str">
        <f t="shared" si="41"/>
        <v>Normal Discount</v>
      </c>
      <c r="H569" s="37" t="str">
        <f t="shared" si="42"/>
        <v>Low</v>
      </c>
      <c r="I569">
        <v>6</v>
      </c>
      <c r="J569" t="str" cm="1">
        <f t="array" ref="J569">_xlfn.IFS(I569&lt;=3,"small",I569&lt;=6,"Medium",I569&lt;=9,"Large")</f>
        <v>Medium</v>
      </c>
      <c r="K569" s="36">
        <v>45314</v>
      </c>
      <c r="L569" s="36">
        <v>45318</v>
      </c>
      <c r="M569" t="s">
        <v>598</v>
      </c>
      <c r="N569" t="s">
        <v>608</v>
      </c>
      <c r="O569" s="37" t="str">
        <f t="shared" si="43"/>
        <v>Cash Payment</v>
      </c>
      <c r="P569">
        <v>228.19</v>
      </c>
      <c r="Q569" s="37" t="str">
        <f>IF(P569&gt;500,"High","low")</f>
        <v>low</v>
      </c>
      <c r="R569" s="37" t="str">
        <f t="shared" si="44"/>
        <v>AVERAGE</v>
      </c>
      <c r="S569" t="s">
        <v>609</v>
      </c>
    </row>
    <row r="570" spans="1:19" x14ac:dyDescent="0.2">
      <c r="A570" t="s">
        <v>1181</v>
      </c>
      <c r="B570" t="s">
        <v>90</v>
      </c>
      <c r="C570" t="s">
        <v>614</v>
      </c>
      <c r="D570">
        <v>3194.23</v>
      </c>
      <c r="E570" s="37" t="str">
        <f t="shared" si="40"/>
        <v xml:space="preserve"> </v>
      </c>
      <c r="F570">
        <v>0.15</v>
      </c>
      <c r="G570" s="37" t="str">
        <f t="shared" si="41"/>
        <v>Normal Discount</v>
      </c>
      <c r="H570" s="37" t="str">
        <f t="shared" si="42"/>
        <v>Low</v>
      </c>
      <c r="I570">
        <v>2</v>
      </c>
      <c r="J570" t="str" cm="1">
        <f t="array" ref="J570">_xlfn.IFS(I570&lt;=3,"small",I570&lt;=6,"Medium",I570&lt;=9,"Large")</f>
        <v>small</v>
      </c>
      <c r="K570" s="36">
        <v>45235</v>
      </c>
      <c r="L570" s="36">
        <v>45237</v>
      </c>
      <c r="M570" t="s">
        <v>612</v>
      </c>
      <c r="N570" t="s">
        <v>599</v>
      </c>
      <c r="O570" s="37" t="str">
        <f t="shared" si="43"/>
        <v>Digital Payment</v>
      </c>
      <c r="P570">
        <v>898.74</v>
      </c>
      <c r="Q570" s="37" t="str">
        <f>IF(P570&gt;500,"High","low")</f>
        <v>High</v>
      </c>
      <c r="R570" s="37" t="str">
        <f t="shared" si="44"/>
        <v>Good</v>
      </c>
      <c r="S570" t="s">
        <v>620</v>
      </c>
    </row>
    <row r="571" spans="1:19" x14ac:dyDescent="0.2">
      <c r="A571" t="s">
        <v>1182</v>
      </c>
      <c r="B571" t="s">
        <v>90</v>
      </c>
      <c r="C571" t="s">
        <v>602</v>
      </c>
      <c r="D571">
        <v>4623.9399999999996</v>
      </c>
      <c r="E571" s="37" t="str">
        <f t="shared" si="40"/>
        <v xml:space="preserve"> </v>
      </c>
      <c r="F571">
        <v>0.08</v>
      </c>
      <c r="G571" s="37" t="str">
        <f t="shared" si="41"/>
        <v>Normal Discount</v>
      </c>
      <c r="H571" s="37" t="str">
        <f t="shared" si="42"/>
        <v>Low</v>
      </c>
      <c r="I571">
        <v>7</v>
      </c>
      <c r="J571" t="str" cm="1">
        <f t="array" ref="J571">_xlfn.IFS(I571&lt;=3,"small",I571&lt;=6,"Medium",I571&lt;=9,"Large")</f>
        <v>Large</v>
      </c>
      <c r="K571" s="36">
        <v>45105</v>
      </c>
      <c r="L571" s="36">
        <v>45109</v>
      </c>
      <c r="M571" t="s">
        <v>612</v>
      </c>
      <c r="N571" t="s">
        <v>608</v>
      </c>
      <c r="O571" s="37" t="str">
        <f t="shared" si="43"/>
        <v>Cash Payment</v>
      </c>
      <c r="P571">
        <v>551.80999999999995</v>
      </c>
      <c r="Q571" s="37" t="str">
        <f>IF(P571&gt;500,"High","low")</f>
        <v>High</v>
      </c>
      <c r="R571" s="37" t="str">
        <f t="shared" si="44"/>
        <v>Good</v>
      </c>
      <c r="S571" t="s">
        <v>609</v>
      </c>
    </row>
    <row r="572" spans="1:19" x14ac:dyDescent="0.2">
      <c r="A572" t="s">
        <v>1183</v>
      </c>
      <c r="B572" t="s">
        <v>83</v>
      </c>
      <c r="C572" t="s">
        <v>617</v>
      </c>
      <c r="D572">
        <v>3404.54</v>
      </c>
      <c r="E572" s="37" t="str">
        <f t="shared" si="40"/>
        <v xml:space="preserve"> </v>
      </c>
      <c r="F572">
        <v>0.26</v>
      </c>
      <c r="G572" s="37" t="str">
        <f t="shared" si="41"/>
        <v>Normal Discount</v>
      </c>
      <c r="H572" s="37" t="str">
        <f t="shared" si="42"/>
        <v>Medium</v>
      </c>
      <c r="I572">
        <v>9</v>
      </c>
      <c r="J572" t="str" cm="1">
        <f t="array" ref="J572">_xlfn.IFS(I572&lt;=3,"small",I572&lt;=6,"Medium",I572&lt;=9,"Large")</f>
        <v>Large</v>
      </c>
      <c r="K572" s="36">
        <v>45132</v>
      </c>
      <c r="L572" s="36">
        <v>45133</v>
      </c>
      <c r="M572" t="s">
        <v>598</v>
      </c>
      <c r="N572" t="s">
        <v>608</v>
      </c>
      <c r="O572" s="37" t="str">
        <f t="shared" si="43"/>
        <v>Cash Payment</v>
      </c>
      <c r="P572">
        <v>720</v>
      </c>
      <c r="Q572" s="37" t="str">
        <f>IF(P572&gt;500,"High","low")</f>
        <v>High</v>
      </c>
      <c r="R572" s="37" t="str">
        <f t="shared" si="44"/>
        <v>Good</v>
      </c>
      <c r="S572" t="s">
        <v>628</v>
      </c>
    </row>
    <row r="573" spans="1:19" x14ac:dyDescent="0.2">
      <c r="A573" t="s">
        <v>1184</v>
      </c>
      <c r="B573" t="s">
        <v>90</v>
      </c>
      <c r="C573" t="s">
        <v>617</v>
      </c>
      <c r="D573">
        <v>1058.8399999999999</v>
      </c>
      <c r="E573" s="37" t="str">
        <f t="shared" si="40"/>
        <v xml:space="preserve"> </v>
      </c>
      <c r="F573">
        <v>0.49</v>
      </c>
      <c r="G573" s="37" t="str">
        <f t="shared" si="41"/>
        <v>Heavy Discount</v>
      </c>
      <c r="H573" s="37" t="str">
        <f t="shared" si="42"/>
        <v>High</v>
      </c>
      <c r="I573">
        <v>6</v>
      </c>
      <c r="J573" t="str" cm="1">
        <f t="array" ref="J573">_xlfn.IFS(I573&lt;=3,"small",I573&lt;=6,"Medium",I573&lt;=9,"Large")</f>
        <v>Medium</v>
      </c>
      <c r="K573" s="36">
        <v>44931</v>
      </c>
      <c r="L573" s="36">
        <v>44933</v>
      </c>
      <c r="M573" t="s">
        <v>603</v>
      </c>
      <c r="N573" t="s">
        <v>604</v>
      </c>
      <c r="O573" s="37" t="str">
        <f t="shared" si="43"/>
        <v>Digital Payment</v>
      </c>
      <c r="P573">
        <v>162.08000000000001</v>
      </c>
      <c r="Q573" s="37" t="str">
        <f>IF(P573&gt;500,"High","low")</f>
        <v>low</v>
      </c>
      <c r="R573" s="37" t="str">
        <f t="shared" si="44"/>
        <v>AVERAGE</v>
      </c>
      <c r="S573" t="s">
        <v>609</v>
      </c>
    </row>
    <row r="574" spans="1:19" x14ac:dyDescent="0.2">
      <c r="A574" t="s">
        <v>1185</v>
      </c>
      <c r="B574" t="s">
        <v>75</v>
      </c>
      <c r="C574" t="s">
        <v>597</v>
      </c>
      <c r="D574">
        <v>846.19</v>
      </c>
      <c r="E574" s="37" t="str">
        <f t="shared" si="40"/>
        <v xml:space="preserve"> </v>
      </c>
      <c r="F574">
        <v>0.08</v>
      </c>
      <c r="G574" s="37" t="str">
        <f t="shared" si="41"/>
        <v>Normal Discount</v>
      </c>
      <c r="H574" s="37" t="str">
        <f t="shared" si="42"/>
        <v>Low</v>
      </c>
      <c r="I574">
        <v>8</v>
      </c>
      <c r="J574" t="str" cm="1">
        <f t="array" ref="J574">_xlfn.IFS(I574&lt;=3,"small",I574&lt;=6,"Medium",I574&lt;=9,"Large")</f>
        <v>Large</v>
      </c>
      <c r="K574" s="36">
        <v>45232</v>
      </c>
      <c r="L574" s="36">
        <v>45237</v>
      </c>
      <c r="M574" t="s">
        <v>612</v>
      </c>
      <c r="N574" t="s">
        <v>604</v>
      </c>
      <c r="O574" s="37" t="str">
        <f t="shared" si="43"/>
        <v>Digital Payment</v>
      </c>
      <c r="P574">
        <v>90.85</v>
      </c>
      <c r="Q574" s="37" t="str">
        <f>IF(P574&gt;500,"High","low")</f>
        <v>low</v>
      </c>
      <c r="R574" s="37" t="str">
        <f t="shared" si="44"/>
        <v>AVERAGE</v>
      </c>
      <c r="S574" t="s">
        <v>620</v>
      </c>
    </row>
    <row r="575" spans="1:19" x14ac:dyDescent="0.2">
      <c r="A575" t="s">
        <v>1186</v>
      </c>
      <c r="B575" t="s">
        <v>83</v>
      </c>
      <c r="C575" t="s">
        <v>614</v>
      </c>
      <c r="D575">
        <v>1336.3</v>
      </c>
      <c r="E575" s="37" t="str">
        <f t="shared" si="40"/>
        <v xml:space="preserve"> </v>
      </c>
      <c r="F575">
        <v>0.13</v>
      </c>
      <c r="G575" s="37" t="str">
        <f t="shared" si="41"/>
        <v>Normal Discount</v>
      </c>
      <c r="H575" s="37" t="str">
        <f t="shared" si="42"/>
        <v>Low</v>
      </c>
      <c r="I575">
        <v>6</v>
      </c>
      <c r="J575" t="str" cm="1">
        <f t="array" ref="J575">_xlfn.IFS(I575&lt;=3,"small",I575&lt;=6,"Medium",I575&lt;=9,"Large")</f>
        <v>Medium</v>
      </c>
      <c r="K575" s="36">
        <v>45104</v>
      </c>
      <c r="L575" s="36">
        <v>45108</v>
      </c>
      <c r="M575" t="s">
        <v>603</v>
      </c>
      <c r="N575" t="s">
        <v>604</v>
      </c>
      <c r="O575" s="37" t="str">
        <f t="shared" si="43"/>
        <v>Digital Payment</v>
      </c>
      <c r="P575">
        <v>131</v>
      </c>
      <c r="Q575" s="37" t="str">
        <f>IF(P575&gt;500,"High","low")</f>
        <v>low</v>
      </c>
      <c r="R575" s="37" t="str">
        <f t="shared" si="44"/>
        <v>AVERAGE</v>
      </c>
      <c r="S575" t="s">
        <v>628</v>
      </c>
    </row>
    <row r="576" spans="1:19" x14ac:dyDescent="0.2">
      <c r="A576" t="s">
        <v>1187</v>
      </c>
      <c r="B576" t="s">
        <v>90</v>
      </c>
      <c r="C576" t="s">
        <v>607</v>
      </c>
      <c r="D576">
        <v>2017.89</v>
      </c>
      <c r="E576" s="37" t="str">
        <f t="shared" si="40"/>
        <v xml:space="preserve"> </v>
      </c>
      <c r="F576">
        <v>0.23</v>
      </c>
      <c r="G576" s="37" t="str">
        <f t="shared" si="41"/>
        <v>Normal Discount</v>
      </c>
      <c r="H576" s="37" t="str">
        <f t="shared" si="42"/>
        <v>Medium</v>
      </c>
      <c r="I576">
        <v>6</v>
      </c>
      <c r="J576" t="str" cm="1">
        <f t="array" ref="J576">_xlfn.IFS(I576&lt;=3,"small",I576&lt;=6,"Medium",I576&lt;=9,"Large")</f>
        <v>Medium</v>
      </c>
      <c r="K576" s="36">
        <v>45241</v>
      </c>
      <c r="L576" s="36">
        <v>45243</v>
      </c>
      <c r="M576" t="s">
        <v>603</v>
      </c>
      <c r="N576" t="s">
        <v>608</v>
      </c>
      <c r="O576" s="37" t="str">
        <f t="shared" si="43"/>
        <v>Cash Payment</v>
      </c>
      <c r="P576">
        <v>150.35</v>
      </c>
      <c r="Q576" s="37" t="str">
        <f>IF(P576&gt;500,"High","low")</f>
        <v>low</v>
      </c>
      <c r="R576" s="37" t="str">
        <f t="shared" si="44"/>
        <v>AVERAGE</v>
      </c>
      <c r="S576" t="s">
        <v>615</v>
      </c>
    </row>
    <row r="577" spans="1:19" x14ac:dyDescent="0.2">
      <c r="A577" t="s">
        <v>1188</v>
      </c>
      <c r="B577" t="s">
        <v>83</v>
      </c>
      <c r="C577" t="s">
        <v>614</v>
      </c>
      <c r="D577">
        <v>879.88</v>
      </c>
      <c r="E577" s="37" t="str">
        <f t="shared" si="40"/>
        <v xml:space="preserve"> </v>
      </c>
      <c r="F577">
        <v>0.32</v>
      </c>
      <c r="G577" s="37" t="str">
        <f t="shared" si="41"/>
        <v>Heavy Discount</v>
      </c>
      <c r="H577" s="37" t="str">
        <f t="shared" si="42"/>
        <v>Medium</v>
      </c>
      <c r="I577">
        <v>4</v>
      </c>
      <c r="J577" t="str" cm="1">
        <f t="array" ref="J577">_xlfn.IFS(I577&lt;=3,"small",I577&lt;=6,"Medium",I577&lt;=9,"Large")</f>
        <v>Medium</v>
      </c>
      <c r="K577" s="36">
        <v>45589</v>
      </c>
      <c r="L577" s="36">
        <v>45595</v>
      </c>
      <c r="M577" t="s">
        <v>603</v>
      </c>
      <c r="N577" t="s">
        <v>599</v>
      </c>
      <c r="O577" s="37" t="str">
        <f t="shared" si="43"/>
        <v>Digital Payment</v>
      </c>
      <c r="P577">
        <v>230.62</v>
      </c>
      <c r="Q577" s="37" t="str">
        <f>IF(P577&gt;500,"High","low")</f>
        <v>low</v>
      </c>
      <c r="R577" s="37" t="str">
        <f t="shared" si="44"/>
        <v>AVERAGE</v>
      </c>
      <c r="S577" t="s">
        <v>609</v>
      </c>
    </row>
    <row r="578" spans="1:19" x14ac:dyDescent="0.2">
      <c r="A578" t="s">
        <v>1189</v>
      </c>
      <c r="B578" t="s">
        <v>75</v>
      </c>
      <c r="C578" t="s">
        <v>617</v>
      </c>
      <c r="D578">
        <v>4009.29</v>
      </c>
      <c r="E578" s="37" t="str">
        <f t="shared" si="40"/>
        <v xml:space="preserve"> </v>
      </c>
      <c r="F578">
        <v>0.3</v>
      </c>
      <c r="G578" s="37" t="str">
        <f t="shared" si="41"/>
        <v>Normal Discount</v>
      </c>
      <c r="H578" s="37" t="str">
        <f t="shared" si="42"/>
        <v>Medium</v>
      </c>
      <c r="I578">
        <v>6</v>
      </c>
      <c r="J578" t="str" cm="1">
        <f t="array" ref="J578">_xlfn.IFS(I578&lt;=3,"small",I578&lt;=6,"Medium",I578&lt;=9,"Large")</f>
        <v>Medium</v>
      </c>
      <c r="K578" s="36">
        <v>45519</v>
      </c>
      <c r="L578" s="36">
        <v>45524</v>
      </c>
      <c r="M578" t="s">
        <v>598</v>
      </c>
      <c r="N578" t="s">
        <v>599</v>
      </c>
      <c r="O578" s="37" t="str">
        <f t="shared" si="43"/>
        <v>Digital Payment</v>
      </c>
      <c r="P578">
        <v>211.92</v>
      </c>
      <c r="Q578" s="37" t="str">
        <f>IF(P578&gt;500,"High","low")</f>
        <v>low</v>
      </c>
      <c r="R578" s="37" t="str">
        <f t="shared" si="44"/>
        <v>AVERAGE</v>
      </c>
      <c r="S578" t="s">
        <v>615</v>
      </c>
    </row>
    <row r="579" spans="1:19" x14ac:dyDescent="0.2">
      <c r="A579" t="s">
        <v>1190</v>
      </c>
      <c r="B579" t="s">
        <v>83</v>
      </c>
      <c r="C579" t="s">
        <v>597</v>
      </c>
      <c r="D579">
        <v>1849.47</v>
      </c>
      <c r="E579" s="37" t="str">
        <f t="shared" ref="E579:E642" si="45">IF(AND(D579&gt;4000,P579&gt;800),"Excellent Order"," ")</f>
        <v xml:space="preserve"> </v>
      </c>
      <c r="F579">
        <v>0.26</v>
      </c>
      <c r="G579" s="37" t="str">
        <f t="shared" ref="G579:G642" si="46">IF(F579&gt;30%,"Heavy Discount","Normal Discount")</f>
        <v>Normal Discount</v>
      </c>
      <c r="H579" s="37" t="str">
        <f t="shared" ref="H579:H642" si="47">IF(F579&gt;0.4,"High",IF(F579&gt;=0.2,"Medium","Low"))</f>
        <v>Medium</v>
      </c>
      <c r="I579">
        <v>4</v>
      </c>
      <c r="J579" t="str" cm="1">
        <f t="array" ref="J579">_xlfn.IFS(I579&lt;=3,"small",I579&lt;=6,"Medium",I579&lt;=9,"Large")</f>
        <v>Medium</v>
      </c>
      <c r="K579" s="36">
        <v>45057</v>
      </c>
      <c r="L579" s="36">
        <v>45060</v>
      </c>
      <c r="M579" t="s">
        <v>612</v>
      </c>
      <c r="N579" t="s">
        <v>604</v>
      </c>
      <c r="O579" s="37" t="str">
        <f t="shared" ref="O579:O642" si="48">IF(OR(N579="Card",N579="UPI"),"Digital Payment","Cash Payment")</f>
        <v>Digital Payment</v>
      </c>
      <c r="P579">
        <v>552.39</v>
      </c>
      <c r="Q579" s="37" t="str">
        <f>IF(P579&gt;500,"High","low")</f>
        <v>High</v>
      </c>
      <c r="R579" s="37" t="str">
        <f t="shared" ref="R579:R642" si="49">IF(P579&gt;1000,"Excellent",IF(P579&gt;=500,"Good","AVERAGE"))</f>
        <v>Good</v>
      </c>
      <c r="S579" t="s">
        <v>615</v>
      </c>
    </row>
    <row r="580" spans="1:19" x14ac:dyDescent="0.2">
      <c r="A580" t="s">
        <v>1191</v>
      </c>
      <c r="B580" t="s">
        <v>83</v>
      </c>
      <c r="C580" t="s">
        <v>602</v>
      </c>
      <c r="D580">
        <v>4686.83</v>
      </c>
      <c r="E580" s="37" t="str">
        <f t="shared" si="45"/>
        <v>Excellent Order</v>
      </c>
      <c r="F580">
        <v>0.37</v>
      </c>
      <c r="G580" s="37" t="str">
        <f t="shared" si="46"/>
        <v>Heavy Discount</v>
      </c>
      <c r="H580" s="37" t="str">
        <f t="shared" si="47"/>
        <v>Medium</v>
      </c>
      <c r="I580">
        <v>6</v>
      </c>
      <c r="J580" t="str" cm="1">
        <f t="array" ref="J580">_xlfn.IFS(I580&lt;=3,"small",I580&lt;=6,"Medium",I580&lt;=9,"Large")</f>
        <v>Medium</v>
      </c>
      <c r="K580" s="36">
        <v>45151</v>
      </c>
      <c r="L580" s="36">
        <v>45155</v>
      </c>
      <c r="M580" t="s">
        <v>612</v>
      </c>
      <c r="N580" t="s">
        <v>604</v>
      </c>
      <c r="O580" s="37" t="str">
        <f t="shared" si="48"/>
        <v>Digital Payment</v>
      </c>
      <c r="P580">
        <v>1364.67</v>
      </c>
      <c r="Q580" s="37" t="str">
        <f>IF(P580&gt;500,"High","low")</f>
        <v>High</v>
      </c>
      <c r="R580" s="37" t="str">
        <f t="shared" si="49"/>
        <v>Excellent</v>
      </c>
      <c r="S580" t="s">
        <v>605</v>
      </c>
    </row>
    <row r="581" spans="1:19" x14ac:dyDescent="0.2">
      <c r="A581" t="s">
        <v>1192</v>
      </c>
      <c r="B581" t="s">
        <v>83</v>
      </c>
      <c r="C581" t="s">
        <v>614</v>
      </c>
      <c r="D581">
        <v>4228.21</v>
      </c>
      <c r="E581" s="37" t="str">
        <f t="shared" si="45"/>
        <v xml:space="preserve"> </v>
      </c>
      <c r="F581">
        <v>0.42</v>
      </c>
      <c r="G581" s="37" t="str">
        <f t="shared" si="46"/>
        <v>Heavy Discount</v>
      </c>
      <c r="H581" s="37" t="str">
        <f t="shared" si="47"/>
        <v>High</v>
      </c>
      <c r="I581">
        <v>1</v>
      </c>
      <c r="J581" t="str" cm="1">
        <f t="array" ref="J581">_xlfn.IFS(I581&lt;=3,"small",I581&lt;=6,"Medium",I581&lt;=9,"Large")</f>
        <v>small</v>
      </c>
      <c r="K581" s="36">
        <v>45232</v>
      </c>
      <c r="L581" s="36">
        <v>45233</v>
      </c>
      <c r="M581" t="s">
        <v>603</v>
      </c>
      <c r="N581" t="s">
        <v>599</v>
      </c>
      <c r="O581" s="37" t="str">
        <f t="shared" si="48"/>
        <v>Digital Payment</v>
      </c>
      <c r="P581">
        <v>772.46</v>
      </c>
      <c r="Q581" s="37" t="str">
        <f>IF(P581&gt;500,"High","low")</f>
        <v>High</v>
      </c>
      <c r="R581" s="37" t="str">
        <f t="shared" si="49"/>
        <v>Good</v>
      </c>
      <c r="S581" t="s">
        <v>620</v>
      </c>
    </row>
    <row r="582" spans="1:19" x14ac:dyDescent="0.2">
      <c r="A582" t="s">
        <v>1193</v>
      </c>
      <c r="B582" t="s">
        <v>83</v>
      </c>
      <c r="C582" t="s">
        <v>617</v>
      </c>
      <c r="D582">
        <v>4553.21</v>
      </c>
      <c r="E582" s="37" t="str">
        <f t="shared" si="45"/>
        <v>Excellent Order</v>
      </c>
      <c r="F582">
        <v>0.5</v>
      </c>
      <c r="G582" s="37" t="str">
        <f t="shared" si="46"/>
        <v>Heavy Discount</v>
      </c>
      <c r="H582" s="37" t="str">
        <f t="shared" si="47"/>
        <v>High</v>
      </c>
      <c r="I582">
        <v>7</v>
      </c>
      <c r="J582" t="str" cm="1">
        <f t="array" ref="J582">_xlfn.IFS(I582&lt;=3,"small",I582&lt;=6,"Medium",I582&lt;=9,"Large")</f>
        <v>Large</v>
      </c>
      <c r="K582" s="36">
        <v>45236</v>
      </c>
      <c r="L582" s="36">
        <v>45239</v>
      </c>
      <c r="M582" t="s">
        <v>612</v>
      </c>
      <c r="N582" t="s">
        <v>604</v>
      </c>
      <c r="O582" s="37" t="str">
        <f t="shared" si="48"/>
        <v>Digital Payment</v>
      </c>
      <c r="P582">
        <v>1073.17</v>
      </c>
      <c r="Q582" s="37" t="str">
        <f>IF(P582&gt;500,"High","low")</f>
        <v>High</v>
      </c>
      <c r="R582" s="37" t="str">
        <f t="shared" si="49"/>
        <v>Excellent</v>
      </c>
      <c r="S582" t="s">
        <v>609</v>
      </c>
    </row>
    <row r="583" spans="1:19" x14ac:dyDescent="0.2">
      <c r="A583" t="s">
        <v>1194</v>
      </c>
      <c r="B583" t="s">
        <v>75</v>
      </c>
      <c r="C583" t="s">
        <v>607</v>
      </c>
      <c r="D583">
        <v>1543.01</v>
      </c>
      <c r="E583" s="37" t="str">
        <f t="shared" si="45"/>
        <v xml:space="preserve"> </v>
      </c>
      <c r="F583">
        <v>0.23</v>
      </c>
      <c r="G583" s="37" t="str">
        <f t="shared" si="46"/>
        <v>Normal Discount</v>
      </c>
      <c r="H583" s="37" t="str">
        <f t="shared" si="47"/>
        <v>Medium</v>
      </c>
      <c r="I583">
        <v>2</v>
      </c>
      <c r="J583" t="str" cm="1">
        <f t="array" ref="J583">_xlfn.IFS(I583&lt;=3,"small",I583&lt;=6,"Medium",I583&lt;=9,"Large")</f>
        <v>small</v>
      </c>
      <c r="K583" s="36">
        <v>45017</v>
      </c>
      <c r="L583" s="36">
        <v>45022</v>
      </c>
      <c r="M583" t="s">
        <v>603</v>
      </c>
      <c r="N583" t="s">
        <v>608</v>
      </c>
      <c r="O583" s="37" t="str">
        <f t="shared" si="48"/>
        <v>Cash Payment</v>
      </c>
      <c r="P583">
        <v>253.95</v>
      </c>
      <c r="Q583" s="37" t="str">
        <f>IF(P583&gt;500,"High","low")</f>
        <v>low</v>
      </c>
      <c r="R583" s="37" t="str">
        <f t="shared" si="49"/>
        <v>AVERAGE</v>
      </c>
      <c r="S583" t="s">
        <v>600</v>
      </c>
    </row>
    <row r="584" spans="1:19" x14ac:dyDescent="0.2">
      <c r="A584" t="s">
        <v>1195</v>
      </c>
      <c r="B584" t="s">
        <v>67</v>
      </c>
      <c r="C584" t="s">
        <v>597</v>
      </c>
      <c r="D584">
        <v>2911.28</v>
      </c>
      <c r="E584" s="37" t="str">
        <f t="shared" si="45"/>
        <v xml:space="preserve"> </v>
      </c>
      <c r="F584">
        <v>0.5</v>
      </c>
      <c r="G584" s="37" t="str">
        <f t="shared" si="46"/>
        <v>Heavy Discount</v>
      </c>
      <c r="H584" s="37" t="str">
        <f t="shared" si="47"/>
        <v>High</v>
      </c>
      <c r="I584">
        <v>6</v>
      </c>
      <c r="J584" t="str" cm="1">
        <f t="array" ref="J584">_xlfn.IFS(I584&lt;=3,"small",I584&lt;=6,"Medium",I584&lt;=9,"Large")</f>
        <v>Medium</v>
      </c>
      <c r="K584" s="36">
        <v>45188</v>
      </c>
      <c r="L584" s="36">
        <v>45192</v>
      </c>
      <c r="M584" t="s">
        <v>598</v>
      </c>
      <c r="N584" t="s">
        <v>604</v>
      </c>
      <c r="O584" s="37" t="str">
        <f t="shared" si="48"/>
        <v>Digital Payment</v>
      </c>
      <c r="P584">
        <v>305.36</v>
      </c>
      <c r="Q584" s="37" t="str">
        <f>IF(P584&gt;500,"High","low")</f>
        <v>low</v>
      </c>
      <c r="R584" s="37" t="str">
        <f t="shared" si="49"/>
        <v>AVERAGE</v>
      </c>
      <c r="S584" t="s">
        <v>605</v>
      </c>
    </row>
    <row r="585" spans="1:19" x14ac:dyDescent="0.2">
      <c r="A585" t="s">
        <v>1196</v>
      </c>
      <c r="B585" t="s">
        <v>83</v>
      </c>
      <c r="C585" t="s">
        <v>602</v>
      </c>
      <c r="D585">
        <v>1675.1</v>
      </c>
      <c r="E585" s="37" t="str">
        <f t="shared" si="45"/>
        <v xml:space="preserve"> </v>
      </c>
      <c r="F585">
        <v>0.37</v>
      </c>
      <c r="G585" s="37" t="str">
        <f t="shared" si="46"/>
        <v>Heavy Discount</v>
      </c>
      <c r="H585" s="37" t="str">
        <f t="shared" si="47"/>
        <v>Medium</v>
      </c>
      <c r="I585">
        <v>9</v>
      </c>
      <c r="J585" t="str" cm="1">
        <f t="array" ref="J585">_xlfn.IFS(I585&lt;=3,"small",I585&lt;=6,"Medium",I585&lt;=9,"Large")</f>
        <v>Large</v>
      </c>
      <c r="K585" s="36">
        <v>45364</v>
      </c>
      <c r="L585" s="36">
        <v>45368</v>
      </c>
      <c r="M585" t="s">
        <v>598</v>
      </c>
      <c r="N585" t="s">
        <v>599</v>
      </c>
      <c r="O585" s="37" t="str">
        <f t="shared" si="48"/>
        <v>Digital Payment</v>
      </c>
      <c r="P585">
        <v>393.26</v>
      </c>
      <c r="Q585" s="37" t="str">
        <f>IF(P585&gt;500,"High","low")</f>
        <v>low</v>
      </c>
      <c r="R585" s="37" t="str">
        <f t="shared" si="49"/>
        <v>AVERAGE</v>
      </c>
      <c r="S585" t="s">
        <v>615</v>
      </c>
    </row>
    <row r="586" spans="1:19" x14ac:dyDescent="0.2">
      <c r="A586" t="s">
        <v>1197</v>
      </c>
      <c r="B586" t="s">
        <v>83</v>
      </c>
      <c r="C586" t="s">
        <v>614</v>
      </c>
      <c r="D586">
        <v>1359.05</v>
      </c>
      <c r="E586" s="37" t="str">
        <f t="shared" si="45"/>
        <v xml:space="preserve"> </v>
      </c>
      <c r="F586">
        <v>0.33</v>
      </c>
      <c r="G586" s="37" t="str">
        <f t="shared" si="46"/>
        <v>Heavy Discount</v>
      </c>
      <c r="H586" s="37" t="str">
        <f t="shared" si="47"/>
        <v>Medium</v>
      </c>
      <c r="I586">
        <v>3</v>
      </c>
      <c r="J586" t="str" cm="1">
        <f t="array" ref="J586">_xlfn.IFS(I586&lt;=3,"small",I586&lt;=6,"Medium",I586&lt;=9,"Large")</f>
        <v>small</v>
      </c>
      <c r="K586" s="36">
        <v>45448</v>
      </c>
      <c r="L586" s="36">
        <v>45450</v>
      </c>
      <c r="M586" t="s">
        <v>612</v>
      </c>
      <c r="N586" t="s">
        <v>604</v>
      </c>
      <c r="O586" s="37" t="str">
        <f t="shared" si="48"/>
        <v>Digital Payment</v>
      </c>
      <c r="P586">
        <v>220.3</v>
      </c>
      <c r="Q586" s="37" t="str">
        <f>IF(P586&gt;500,"High","low")</f>
        <v>low</v>
      </c>
      <c r="R586" s="37" t="str">
        <f t="shared" si="49"/>
        <v>AVERAGE</v>
      </c>
      <c r="S586" t="s">
        <v>620</v>
      </c>
    </row>
    <row r="587" spans="1:19" x14ac:dyDescent="0.2">
      <c r="A587" t="s">
        <v>1198</v>
      </c>
      <c r="B587" t="s">
        <v>90</v>
      </c>
      <c r="C587" t="s">
        <v>607</v>
      </c>
      <c r="D587">
        <v>3074.73</v>
      </c>
      <c r="E587" s="37" t="str">
        <f t="shared" si="45"/>
        <v xml:space="preserve"> </v>
      </c>
      <c r="F587">
        <v>0.32</v>
      </c>
      <c r="G587" s="37" t="str">
        <f t="shared" si="46"/>
        <v>Heavy Discount</v>
      </c>
      <c r="H587" s="37" t="str">
        <f t="shared" si="47"/>
        <v>Medium</v>
      </c>
      <c r="I587">
        <v>4</v>
      </c>
      <c r="J587" t="str" cm="1">
        <f t="array" ref="J587">_xlfn.IFS(I587&lt;=3,"small",I587&lt;=6,"Medium",I587&lt;=9,"Large")</f>
        <v>Medium</v>
      </c>
      <c r="K587" s="36">
        <v>45044</v>
      </c>
      <c r="L587" s="36">
        <v>45051</v>
      </c>
      <c r="M587" t="s">
        <v>603</v>
      </c>
      <c r="N587" t="s">
        <v>604</v>
      </c>
      <c r="O587" s="37" t="str">
        <f t="shared" si="48"/>
        <v>Digital Payment</v>
      </c>
      <c r="P587">
        <v>819.52</v>
      </c>
      <c r="Q587" s="37" t="str">
        <f>IF(P587&gt;500,"High","low")</f>
        <v>High</v>
      </c>
      <c r="R587" s="37" t="str">
        <f t="shared" si="49"/>
        <v>Good</v>
      </c>
      <c r="S587" t="s">
        <v>605</v>
      </c>
    </row>
    <row r="588" spans="1:19" x14ac:dyDescent="0.2">
      <c r="A588" t="s">
        <v>1199</v>
      </c>
      <c r="B588" t="s">
        <v>83</v>
      </c>
      <c r="C588" t="s">
        <v>602</v>
      </c>
      <c r="D588">
        <v>4108.18</v>
      </c>
      <c r="E588" s="37" t="str">
        <f t="shared" si="45"/>
        <v>Excellent Order</v>
      </c>
      <c r="F588">
        <v>0.46</v>
      </c>
      <c r="G588" s="37" t="str">
        <f t="shared" si="46"/>
        <v>Heavy Discount</v>
      </c>
      <c r="H588" s="37" t="str">
        <f t="shared" si="47"/>
        <v>High</v>
      </c>
      <c r="I588">
        <v>5</v>
      </c>
      <c r="J588" t="str" cm="1">
        <f t="array" ref="J588">_xlfn.IFS(I588&lt;=3,"small",I588&lt;=6,"Medium",I588&lt;=9,"Large")</f>
        <v>Medium</v>
      </c>
      <c r="K588" s="36">
        <v>45595</v>
      </c>
      <c r="L588" s="36">
        <v>45598</v>
      </c>
      <c r="M588" t="s">
        <v>598</v>
      </c>
      <c r="N588" t="s">
        <v>604</v>
      </c>
      <c r="O588" s="37" t="str">
        <f t="shared" si="48"/>
        <v>Digital Payment</v>
      </c>
      <c r="P588">
        <v>1089.1500000000001</v>
      </c>
      <c r="Q588" s="37" t="str">
        <f>IF(P588&gt;500,"High","low")</f>
        <v>High</v>
      </c>
      <c r="R588" s="37" t="str">
        <f t="shared" si="49"/>
        <v>Excellent</v>
      </c>
      <c r="S588" t="s">
        <v>600</v>
      </c>
    </row>
    <row r="589" spans="1:19" x14ac:dyDescent="0.2">
      <c r="A589" t="s">
        <v>1200</v>
      </c>
      <c r="B589" t="s">
        <v>90</v>
      </c>
      <c r="C589" t="s">
        <v>617</v>
      </c>
      <c r="D589">
        <v>558.63</v>
      </c>
      <c r="E589" s="37" t="str">
        <f t="shared" si="45"/>
        <v xml:space="preserve"> </v>
      </c>
      <c r="F589">
        <v>0.47</v>
      </c>
      <c r="G589" s="37" t="str">
        <f t="shared" si="46"/>
        <v>Heavy Discount</v>
      </c>
      <c r="H589" s="37" t="str">
        <f t="shared" si="47"/>
        <v>High</v>
      </c>
      <c r="I589">
        <v>8</v>
      </c>
      <c r="J589" t="str" cm="1">
        <f t="array" ref="J589">_xlfn.IFS(I589&lt;=3,"small",I589&lt;=6,"Medium",I589&lt;=9,"Large")</f>
        <v>Large</v>
      </c>
      <c r="K589" s="36">
        <v>45369</v>
      </c>
      <c r="L589" s="36">
        <v>45371</v>
      </c>
      <c r="M589" t="s">
        <v>612</v>
      </c>
      <c r="N589" t="s">
        <v>608</v>
      </c>
      <c r="O589" s="37" t="str">
        <f t="shared" si="48"/>
        <v>Cash Payment</v>
      </c>
      <c r="P589">
        <v>161.77000000000001</v>
      </c>
      <c r="Q589" s="37" t="str">
        <f>IF(P589&gt;500,"High","low")</f>
        <v>low</v>
      </c>
      <c r="R589" s="37" t="str">
        <f t="shared" si="49"/>
        <v>AVERAGE</v>
      </c>
      <c r="S589" t="s">
        <v>628</v>
      </c>
    </row>
    <row r="590" spans="1:19" x14ac:dyDescent="0.2">
      <c r="A590" t="s">
        <v>1201</v>
      </c>
      <c r="B590" t="s">
        <v>67</v>
      </c>
      <c r="C590" t="s">
        <v>617</v>
      </c>
      <c r="D590">
        <v>1451.27</v>
      </c>
      <c r="E590" s="37" t="str">
        <f t="shared" si="45"/>
        <v xml:space="preserve"> </v>
      </c>
      <c r="F590">
        <v>0.09</v>
      </c>
      <c r="G590" s="37" t="str">
        <f t="shared" si="46"/>
        <v>Normal Discount</v>
      </c>
      <c r="H590" s="37" t="str">
        <f t="shared" si="47"/>
        <v>Low</v>
      </c>
      <c r="I590">
        <v>6</v>
      </c>
      <c r="J590" t="str" cm="1">
        <f t="array" ref="J590">_xlfn.IFS(I590&lt;=3,"small",I590&lt;=6,"Medium",I590&lt;=9,"Large")</f>
        <v>Medium</v>
      </c>
      <c r="K590" s="36">
        <v>45519</v>
      </c>
      <c r="L590" s="36">
        <v>45526</v>
      </c>
      <c r="M590" t="s">
        <v>603</v>
      </c>
      <c r="N590" t="s">
        <v>599</v>
      </c>
      <c r="O590" s="37" t="str">
        <f t="shared" si="48"/>
        <v>Digital Payment</v>
      </c>
      <c r="P590">
        <v>325.97000000000003</v>
      </c>
      <c r="Q590" s="37" t="str">
        <f>IF(P590&gt;500,"High","low")</f>
        <v>low</v>
      </c>
      <c r="R590" s="37" t="str">
        <f t="shared" si="49"/>
        <v>AVERAGE</v>
      </c>
      <c r="S590" t="s">
        <v>600</v>
      </c>
    </row>
    <row r="591" spans="1:19" x14ac:dyDescent="0.2">
      <c r="A591" t="s">
        <v>1202</v>
      </c>
      <c r="B591" t="s">
        <v>75</v>
      </c>
      <c r="C591" t="s">
        <v>607</v>
      </c>
      <c r="D591">
        <v>1105.1600000000001</v>
      </c>
      <c r="E591" s="37" t="str">
        <f t="shared" si="45"/>
        <v xml:space="preserve"> </v>
      </c>
      <c r="F591">
        <v>0.25</v>
      </c>
      <c r="G591" s="37" t="str">
        <f t="shared" si="46"/>
        <v>Normal Discount</v>
      </c>
      <c r="H591" s="37" t="str">
        <f t="shared" si="47"/>
        <v>Medium</v>
      </c>
      <c r="I591">
        <v>8</v>
      </c>
      <c r="J591" t="str" cm="1">
        <f t="array" ref="J591">_xlfn.IFS(I591&lt;=3,"small",I591&lt;=6,"Medium",I591&lt;=9,"Large")</f>
        <v>Large</v>
      </c>
      <c r="K591" s="36">
        <v>45285</v>
      </c>
      <c r="L591" s="36">
        <v>45286</v>
      </c>
      <c r="M591" t="s">
        <v>603</v>
      </c>
      <c r="N591" t="s">
        <v>604</v>
      </c>
      <c r="O591" s="37" t="str">
        <f t="shared" si="48"/>
        <v>Digital Payment</v>
      </c>
      <c r="P591">
        <v>191.3</v>
      </c>
      <c r="Q591" s="37" t="str">
        <f>IF(P591&gt;500,"High","low")</f>
        <v>low</v>
      </c>
      <c r="R591" s="37" t="str">
        <f t="shared" si="49"/>
        <v>AVERAGE</v>
      </c>
      <c r="S591" t="s">
        <v>620</v>
      </c>
    </row>
    <row r="592" spans="1:19" x14ac:dyDescent="0.2">
      <c r="A592" t="s">
        <v>1203</v>
      </c>
      <c r="B592" t="s">
        <v>75</v>
      </c>
      <c r="C592" t="s">
        <v>617</v>
      </c>
      <c r="D592">
        <v>4011.92</v>
      </c>
      <c r="E592" s="37" t="str">
        <f t="shared" si="45"/>
        <v xml:space="preserve"> </v>
      </c>
      <c r="F592">
        <v>0.47</v>
      </c>
      <c r="G592" s="37" t="str">
        <f t="shared" si="46"/>
        <v>Heavy Discount</v>
      </c>
      <c r="H592" s="37" t="str">
        <f t="shared" si="47"/>
        <v>High</v>
      </c>
      <c r="I592">
        <v>3</v>
      </c>
      <c r="J592" t="str" cm="1">
        <f t="array" ref="J592">_xlfn.IFS(I592&lt;=3,"small",I592&lt;=6,"Medium",I592&lt;=9,"Large")</f>
        <v>small</v>
      </c>
      <c r="K592" s="36">
        <v>45100</v>
      </c>
      <c r="L592" s="36">
        <v>45103</v>
      </c>
      <c r="M592" t="s">
        <v>612</v>
      </c>
      <c r="N592" t="s">
        <v>608</v>
      </c>
      <c r="O592" s="37" t="str">
        <f t="shared" si="48"/>
        <v>Cash Payment</v>
      </c>
      <c r="P592">
        <v>763.18</v>
      </c>
      <c r="Q592" s="37" t="str">
        <f>IF(P592&gt;500,"High","low")</f>
        <v>High</v>
      </c>
      <c r="R592" s="37" t="str">
        <f t="shared" si="49"/>
        <v>Good</v>
      </c>
      <c r="S592" t="s">
        <v>628</v>
      </c>
    </row>
    <row r="593" spans="1:19" x14ac:dyDescent="0.2">
      <c r="A593" t="s">
        <v>1204</v>
      </c>
      <c r="B593" t="s">
        <v>67</v>
      </c>
      <c r="C593" t="s">
        <v>597</v>
      </c>
      <c r="D593">
        <v>4673.5200000000004</v>
      </c>
      <c r="E593" s="37" t="str">
        <f t="shared" si="45"/>
        <v xml:space="preserve"> </v>
      </c>
      <c r="F593">
        <v>0.19</v>
      </c>
      <c r="G593" s="37" t="str">
        <f t="shared" si="46"/>
        <v>Normal Discount</v>
      </c>
      <c r="H593" s="37" t="str">
        <f t="shared" si="47"/>
        <v>Low</v>
      </c>
      <c r="I593">
        <v>3</v>
      </c>
      <c r="J593" t="str" cm="1">
        <f t="array" ref="J593">_xlfn.IFS(I593&lt;=3,"small",I593&lt;=6,"Medium",I593&lt;=9,"Large")</f>
        <v>small</v>
      </c>
      <c r="K593" s="36">
        <v>45388</v>
      </c>
      <c r="L593" s="36">
        <v>45392</v>
      </c>
      <c r="M593" t="s">
        <v>603</v>
      </c>
      <c r="N593" t="s">
        <v>599</v>
      </c>
      <c r="O593" s="37" t="str">
        <f t="shared" si="48"/>
        <v>Digital Payment</v>
      </c>
      <c r="P593">
        <v>652.91</v>
      </c>
      <c r="Q593" s="37" t="str">
        <f>IF(P593&gt;500,"High","low")</f>
        <v>High</v>
      </c>
      <c r="R593" s="37" t="str">
        <f t="shared" si="49"/>
        <v>Good</v>
      </c>
      <c r="S593" t="s">
        <v>615</v>
      </c>
    </row>
    <row r="594" spans="1:19" x14ac:dyDescent="0.2">
      <c r="A594" t="s">
        <v>1205</v>
      </c>
      <c r="B594" t="s">
        <v>75</v>
      </c>
      <c r="C594" t="s">
        <v>607</v>
      </c>
      <c r="D594">
        <v>491.72</v>
      </c>
      <c r="E594" s="37" t="str">
        <f t="shared" si="45"/>
        <v xml:space="preserve"> </v>
      </c>
      <c r="F594">
        <v>0.12</v>
      </c>
      <c r="G594" s="37" t="str">
        <f t="shared" si="46"/>
        <v>Normal Discount</v>
      </c>
      <c r="H594" s="37" t="str">
        <f t="shared" si="47"/>
        <v>Low</v>
      </c>
      <c r="I594">
        <v>9</v>
      </c>
      <c r="J594" t="str" cm="1">
        <f t="array" ref="J594">_xlfn.IFS(I594&lt;=3,"small",I594&lt;=6,"Medium",I594&lt;=9,"Large")</f>
        <v>Large</v>
      </c>
      <c r="K594" s="36">
        <v>45322</v>
      </c>
      <c r="L594" s="36">
        <v>45327</v>
      </c>
      <c r="M594" t="s">
        <v>612</v>
      </c>
      <c r="N594" t="s">
        <v>599</v>
      </c>
      <c r="O594" s="37" t="str">
        <f t="shared" si="48"/>
        <v>Digital Payment</v>
      </c>
      <c r="P594">
        <v>105.65</v>
      </c>
      <c r="Q594" s="37" t="str">
        <f>IF(P594&gt;500,"High","low")</f>
        <v>low</v>
      </c>
      <c r="R594" s="37" t="str">
        <f t="shared" si="49"/>
        <v>AVERAGE</v>
      </c>
      <c r="S594" t="s">
        <v>628</v>
      </c>
    </row>
    <row r="595" spans="1:19" x14ac:dyDescent="0.2">
      <c r="A595" t="s">
        <v>1206</v>
      </c>
      <c r="B595" t="s">
        <v>67</v>
      </c>
      <c r="C595" t="s">
        <v>617</v>
      </c>
      <c r="D595">
        <v>1958.15</v>
      </c>
      <c r="E595" s="37" t="str">
        <f t="shared" si="45"/>
        <v xml:space="preserve"> </v>
      </c>
      <c r="F595">
        <v>0.05</v>
      </c>
      <c r="G595" s="37" t="str">
        <f t="shared" si="46"/>
        <v>Normal Discount</v>
      </c>
      <c r="H595" s="37" t="str">
        <f t="shared" si="47"/>
        <v>Low</v>
      </c>
      <c r="I595">
        <v>6</v>
      </c>
      <c r="J595" t="str" cm="1">
        <f t="array" ref="J595">_xlfn.IFS(I595&lt;=3,"small",I595&lt;=6,"Medium",I595&lt;=9,"Large")</f>
        <v>Medium</v>
      </c>
      <c r="K595" s="36">
        <v>45156</v>
      </c>
      <c r="L595" s="36">
        <v>45157</v>
      </c>
      <c r="M595" t="s">
        <v>612</v>
      </c>
      <c r="N595" t="s">
        <v>608</v>
      </c>
      <c r="O595" s="37" t="str">
        <f t="shared" si="48"/>
        <v>Cash Payment</v>
      </c>
      <c r="P595">
        <v>143.06</v>
      </c>
      <c r="Q595" s="37" t="str">
        <f>IF(P595&gt;500,"High","low")</f>
        <v>low</v>
      </c>
      <c r="R595" s="37" t="str">
        <f t="shared" si="49"/>
        <v>AVERAGE</v>
      </c>
      <c r="S595" t="s">
        <v>609</v>
      </c>
    </row>
    <row r="596" spans="1:19" x14ac:dyDescent="0.2">
      <c r="A596" t="s">
        <v>1207</v>
      </c>
      <c r="B596" t="s">
        <v>67</v>
      </c>
      <c r="C596" t="s">
        <v>614</v>
      </c>
      <c r="D596">
        <v>4581.09</v>
      </c>
      <c r="E596" s="37" t="str">
        <f t="shared" si="45"/>
        <v>Excellent Order</v>
      </c>
      <c r="F596">
        <v>0.3</v>
      </c>
      <c r="G596" s="37" t="str">
        <f t="shared" si="46"/>
        <v>Normal Discount</v>
      </c>
      <c r="H596" s="37" t="str">
        <f t="shared" si="47"/>
        <v>Medium</v>
      </c>
      <c r="I596">
        <v>8</v>
      </c>
      <c r="J596" t="str" cm="1">
        <f t="array" ref="J596">_xlfn.IFS(I596&lt;=3,"small",I596&lt;=6,"Medium",I596&lt;=9,"Large")</f>
        <v>Large</v>
      </c>
      <c r="K596" s="36">
        <v>45083</v>
      </c>
      <c r="L596" s="36">
        <v>45085</v>
      </c>
      <c r="M596" t="s">
        <v>598</v>
      </c>
      <c r="N596" t="s">
        <v>608</v>
      </c>
      <c r="O596" s="37" t="str">
        <f t="shared" si="48"/>
        <v>Cash Payment</v>
      </c>
      <c r="P596">
        <v>1364.76</v>
      </c>
      <c r="Q596" s="37" t="str">
        <f>IF(P596&gt;500,"High","low")</f>
        <v>High</v>
      </c>
      <c r="R596" s="37" t="str">
        <f t="shared" si="49"/>
        <v>Excellent</v>
      </c>
      <c r="S596" t="s">
        <v>615</v>
      </c>
    </row>
    <row r="597" spans="1:19" x14ac:dyDescent="0.2">
      <c r="A597" t="s">
        <v>1208</v>
      </c>
      <c r="B597" t="s">
        <v>67</v>
      </c>
      <c r="C597" t="s">
        <v>617</v>
      </c>
      <c r="D597">
        <v>1788.73</v>
      </c>
      <c r="E597" s="37" t="str">
        <f t="shared" si="45"/>
        <v xml:space="preserve"> </v>
      </c>
      <c r="F597">
        <v>0.35</v>
      </c>
      <c r="G597" s="37" t="str">
        <f t="shared" si="46"/>
        <v>Heavy Discount</v>
      </c>
      <c r="H597" s="37" t="str">
        <f t="shared" si="47"/>
        <v>Medium</v>
      </c>
      <c r="I597">
        <v>4</v>
      </c>
      <c r="J597" t="str" cm="1">
        <f t="array" ref="J597">_xlfn.IFS(I597&lt;=3,"small",I597&lt;=6,"Medium",I597&lt;=9,"Large")</f>
        <v>Medium</v>
      </c>
      <c r="K597" s="36">
        <v>45260</v>
      </c>
      <c r="L597" s="36">
        <v>45262</v>
      </c>
      <c r="M597" t="s">
        <v>598</v>
      </c>
      <c r="N597" t="s">
        <v>599</v>
      </c>
      <c r="O597" s="37" t="str">
        <f t="shared" si="48"/>
        <v>Digital Payment</v>
      </c>
      <c r="P597">
        <v>117.68</v>
      </c>
      <c r="Q597" s="37" t="str">
        <f>IF(P597&gt;500,"High","low")</f>
        <v>low</v>
      </c>
      <c r="R597" s="37" t="str">
        <f t="shared" si="49"/>
        <v>AVERAGE</v>
      </c>
      <c r="S597" t="s">
        <v>615</v>
      </c>
    </row>
    <row r="598" spans="1:19" x14ac:dyDescent="0.2">
      <c r="A598" t="s">
        <v>1209</v>
      </c>
      <c r="B598" t="s">
        <v>75</v>
      </c>
      <c r="C598" t="s">
        <v>597</v>
      </c>
      <c r="D598">
        <v>3592.04</v>
      </c>
      <c r="E598" s="37" t="str">
        <f t="shared" si="45"/>
        <v xml:space="preserve"> </v>
      </c>
      <c r="F598">
        <v>0.1</v>
      </c>
      <c r="G598" s="37" t="str">
        <f t="shared" si="46"/>
        <v>Normal Discount</v>
      </c>
      <c r="H598" s="37" t="str">
        <f t="shared" si="47"/>
        <v>Low</v>
      </c>
      <c r="I598">
        <v>5</v>
      </c>
      <c r="J598" t="str" cm="1">
        <f t="array" ref="J598">_xlfn.IFS(I598&lt;=3,"small",I598&lt;=6,"Medium",I598&lt;=9,"Large")</f>
        <v>Medium</v>
      </c>
      <c r="K598" s="36">
        <v>45638</v>
      </c>
      <c r="L598" s="36">
        <v>45644</v>
      </c>
      <c r="M598" t="s">
        <v>612</v>
      </c>
      <c r="N598" t="s">
        <v>604</v>
      </c>
      <c r="O598" s="37" t="str">
        <f t="shared" si="48"/>
        <v>Digital Payment</v>
      </c>
      <c r="P598">
        <v>720.77</v>
      </c>
      <c r="Q598" s="37" t="str">
        <f>IF(P598&gt;500,"High","low")</f>
        <v>High</v>
      </c>
      <c r="R598" s="37" t="str">
        <f t="shared" si="49"/>
        <v>Good</v>
      </c>
      <c r="S598" t="s">
        <v>628</v>
      </c>
    </row>
    <row r="599" spans="1:19" x14ac:dyDescent="0.2">
      <c r="A599" t="s">
        <v>1210</v>
      </c>
      <c r="B599" t="s">
        <v>90</v>
      </c>
      <c r="C599" t="s">
        <v>602</v>
      </c>
      <c r="D599">
        <v>593.27</v>
      </c>
      <c r="E599" s="37" t="str">
        <f t="shared" si="45"/>
        <v xml:space="preserve"> </v>
      </c>
      <c r="F599">
        <v>0.34</v>
      </c>
      <c r="G599" s="37" t="str">
        <f t="shared" si="46"/>
        <v>Heavy Discount</v>
      </c>
      <c r="H599" s="37" t="str">
        <f t="shared" si="47"/>
        <v>Medium</v>
      </c>
      <c r="I599">
        <v>9</v>
      </c>
      <c r="J599" t="str" cm="1">
        <f t="array" ref="J599">_xlfn.IFS(I599&lt;=3,"small",I599&lt;=6,"Medium",I599&lt;=9,"Large")</f>
        <v>Large</v>
      </c>
      <c r="K599" s="36">
        <v>45231</v>
      </c>
      <c r="L599" s="36">
        <v>45232</v>
      </c>
      <c r="M599" t="s">
        <v>603</v>
      </c>
      <c r="N599" t="s">
        <v>608</v>
      </c>
      <c r="O599" s="37" t="str">
        <f t="shared" si="48"/>
        <v>Cash Payment</v>
      </c>
      <c r="P599">
        <v>72.77</v>
      </c>
      <c r="Q599" s="37" t="str">
        <f>IF(P599&gt;500,"High","low")</f>
        <v>low</v>
      </c>
      <c r="R599" s="37" t="str">
        <f t="shared" si="49"/>
        <v>AVERAGE</v>
      </c>
      <c r="S599" t="s">
        <v>605</v>
      </c>
    </row>
    <row r="600" spans="1:19" x14ac:dyDescent="0.2">
      <c r="A600" t="s">
        <v>1211</v>
      </c>
      <c r="B600" t="s">
        <v>67</v>
      </c>
      <c r="C600" t="s">
        <v>602</v>
      </c>
      <c r="D600">
        <v>2277.5</v>
      </c>
      <c r="E600" s="37" t="str">
        <f t="shared" si="45"/>
        <v xml:space="preserve"> </v>
      </c>
      <c r="F600">
        <v>0.45</v>
      </c>
      <c r="G600" s="37" t="str">
        <f t="shared" si="46"/>
        <v>Heavy Discount</v>
      </c>
      <c r="H600" s="37" t="str">
        <f t="shared" si="47"/>
        <v>High</v>
      </c>
      <c r="I600">
        <v>7</v>
      </c>
      <c r="J600" t="str" cm="1">
        <f t="array" ref="J600">_xlfn.IFS(I600&lt;=3,"small",I600&lt;=6,"Medium",I600&lt;=9,"Large")</f>
        <v>Large</v>
      </c>
      <c r="K600" s="36">
        <v>45606</v>
      </c>
      <c r="L600" s="36">
        <v>45609</v>
      </c>
      <c r="M600" t="s">
        <v>598</v>
      </c>
      <c r="N600" t="s">
        <v>608</v>
      </c>
      <c r="O600" s="37" t="str">
        <f t="shared" si="48"/>
        <v>Cash Payment</v>
      </c>
      <c r="P600">
        <v>582</v>
      </c>
      <c r="Q600" s="37" t="str">
        <f>IF(P600&gt;500,"High","low")</f>
        <v>High</v>
      </c>
      <c r="R600" s="37" t="str">
        <f t="shared" si="49"/>
        <v>Good</v>
      </c>
      <c r="S600" t="s">
        <v>600</v>
      </c>
    </row>
    <row r="601" spans="1:19" x14ac:dyDescent="0.2">
      <c r="A601" t="s">
        <v>1212</v>
      </c>
      <c r="B601" t="s">
        <v>83</v>
      </c>
      <c r="C601" t="s">
        <v>617</v>
      </c>
      <c r="D601">
        <v>2566.17</v>
      </c>
      <c r="E601" s="37" t="str">
        <f t="shared" si="45"/>
        <v xml:space="preserve"> </v>
      </c>
      <c r="F601">
        <v>0.12</v>
      </c>
      <c r="G601" s="37" t="str">
        <f t="shared" si="46"/>
        <v>Normal Discount</v>
      </c>
      <c r="H601" s="37" t="str">
        <f t="shared" si="47"/>
        <v>Low</v>
      </c>
      <c r="I601">
        <v>5</v>
      </c>
      <c r="J601" t="str" cm="1">
        <f t="array" ref="J601">_xlfn.IFS(I601&lt;=3,"small",I601&lt;=6,"Medium",I601&lt;=9,"Large")</f>
        <v>Medium</v>
      </c>
      <c r="K601" s="36">
        <v>45225</v>
      </c>
      <c r="L601" s="36">
        <v>45226</v>
      </c>
      <c r="M601" t="s">
        <v>603</v>
      </c>
      <c r="N601" t="s">
        <v>608</v>
      </c>
      <c r="O601" s="37" t="str">
        <f t="shared" si="48"/>
        <v>Cash Payment</v>
      </c>
      <c r="P601">
        <v>532.41999999999996</v>
      </c>
      <c r="Q601" s="37" t="str">
        <f>IF(P601&gt;500,"High","low")</f>
        <v>High</v>
      </c>
      <c r="R601" s="37" t="str">
        <f t="shared" si="49"/>
        <v>Good</v>
      </c>
      <c r="S601" t="s">
        <v>609</v>
      </c>
    </row>
    <row r="602" spans="1:19" x14ac:dyDescent="0.2">
      <c r="A602" t="s">
        <v>1213</v>
      </c>
      <c r="B602" t="s">
        <v>75</v>
      </c>
      <c r="C602" t="s">
        <v>602</v>
      </c>
      <c r="D602">
        <v>3812.55</v>
      </c>
      <c r="E602" s="37" t="str">
        <f t="shared" si="45"/>
        <v xml:space="preserve"> </v>
      </c>
      <c r="F602">
        <v>0.06</v>
      </c>
      <c r="G602" s="37" t="str">
        <f t="shared" si="46"/>
        <v>Normal Discount</v>
      </c>
      <c r="H602" s="37" t="str">
        <f t="shared" si="47"/>
        <v>Low</v>
      </c>
      <c r="I602">
        <v>7</v>
      </c>
      <c r="J602" t="str" cm="1">
        <f t="array" ref="J602">_xlfn.IFS(I602&lt;=3,"small",I602&lt;=6,"Medium",I602&lt;=9,"Large")</f>
        <v>Large</v>
      </c>
      <c r="K602" s="36">
        <v>45541</v>
      </c>
      <c r="L602" s="36">
        <v>45544</v>
      </c>
      <c r="M602" t="s">
        <v>612</v>
      </c>
      <c r="N602" t="s">
        <v>608</v>
      </c>
      <c r="O602" s="37" t="str">
        <f t="shared" si="48"/>
        <v>Cash Payment</v>
      </c>
      <c r="P602">
        <v>769.54</v>
      </c>
      <c r="Q602" s="37" t="str">
        <f>IF(P602&gt;500,"High","low")</f>
        <v>High</v>
      </c>
      <c r="R602" s="37" t="str">
        <f t="shared" si="49"/>
        <v>Good</v>
      </c>
      <c r="S602" t="s">
        <v>609</v>
      </c>
    </row>
    <row r="603" spans="1:19" x14ac:dyDescent="0.2">
      <c r="A603" t="s">
        <v>1214</v>
      </c>
      <c r="B603" t="s">
        <v>67</v>
      </c>
      <c r="C603" t="s">
        <v>617</v>
      </c>
      <c r="D603">
        <v>1515.24</v>
      </c>
      <c r="E603" s="37" t="str">
        <f t="shared" si="45"/>
        <v xml:space="preserve"> </v>
      </c>
      <c r="F603">
        <v>0.42</v>
      </c>
      <c r="G603" s="37" t="str">
        <f t="shared" si="46"/>
        <v>Heavy Discount</v>
      </c>
      <c r="H603" s="37" t="str">
        <f t="shared" si="47"/>
        <v>High</v>
      </c>
      <c r="I603">
        <v>9</v>
      </c>
      <c r="J603" t="str" cm="1">
        <f t="array" ref="J603">_xlfn.IFS(I603&lt;=3,"small",I603&lt;=6,"Medium",I603&lt;=9,"Large")</f>
        <v>Large</v>
      </c>
      <c r="K603" s="36">
        <v>45269</v>
      </c>
      <c r="L603" s="36">
        <v>45270</v>
      </c>
      <c r="M603" t="s">
        <v>612</v>
      </c>
      <c r="N603" t="s">
        <v>608</v>
      </c>
      <c r="O603" s="37" t="str">
        <f t="shared" si="48"/>
        <v>Cash Payment</v>
      </c>
      <c r="P603">
        <v>359.32</v>
      </c>
      <c r="Q603" s="37" t="str">
        <f>IF(P603&gt;500,"High","low")</f>
        <v>low</v>
      </c>
      <c r="R603" s="37" t="str">
        <f t="shared" si="49"/>
        <v>AVERAGE</v>
      </c>
      <c r="S603" t="s">
        <v>620</v>
      </c>
    </row>
    <row r="604" spans="1:19" x14ac:dyDescent="0.2">
      <c r="A604" t="s">
        <v>1215</v>
      </c>
      <c r="B604" t="s">
        <v>67</v>
      </c>
      <c r="C604" t="s">
        <v>597</v>
      </c>
      <c r="D604">
        <v>1394.52</v>
      </c>
      <c r="E604" s="37" t="str">
        <f t="shared" si="45"/>
        <v xml:space="preserve"> </v>
      </c>
      <c r="F604">
        <v>0.46</v>
      </c>
      <c r="G604" s="37" t="str">
        <f t="shared" si="46"/>
        <v>Heavy Discount</v>
      </c>
      <c r="H604" s="37" t="str">
        <f t="shared" si="47"/>
        <v>High</v>
      </c>
      <c r="I604">
        <v>3</v>
      </c>
      <c r="J604" t="str" cm="1">
        <f t="array" ref="J604">_xlfn.IFS(I604&lt;=3,"small",I604&lt;=6,"Medium",I604&lt;=9,"Large")</f>
        <v>small</v>
      </c>
      <c r="K604" s="36">
        <v>45445</v>
      </c>
      <c r="L604" s="36">
        <v>45451</v>
      </c>
      <c r="M604" t="s">
        <v>603</v>
      </c>
      <c r="N604" t="s">
        <v>608</v>
      </c>
      <c r="O604" s="37" t="str">
        <f t="shared" si="48"/>
        <v>Cash Payment</v>
      </c>
      <c r="P604">
        <v>110.89</v>
      </c>
      <c r="Q604" s="37" t="str">
        <f>IF(P604&gt;500,"High","low")</f>
        <v>low</v>
      </c>
      <c r="R604" s="37" t="str">
        <f t="shared" si="49"/>
        <v>AVERAGE</v>
      </c>
      <c r="S604" t="s">
        <v>615</v>
      </c>
    </row>
    <row r="605" spans="1:19" x14ac:dyDescent="0.2">
      <c r="A605" t="s">
        <v>1216</v>
      </c>
      <c r="B605" t="s">
        <v>83</v>
      </c>
      <c r="C605" t="s">
        <v>602</v>
      </c>
      <c r="D605">
        <v>1584.54</v>
      </c>
      <c r="E605" s="37" t="str">
        <f t="shared" si="45"/>
        <v xml:space="preserve"> </v>
      </c>
      <c r="F605">
        <v>0.11</v>
      </c>
      <c r="G605" s="37" t="str">
        <f t="shared" si="46"/>
        <v>Normal Discount</v>
      </c>
      <c r="H605" s="37" t="str">
        <f t="shared" si="47"/>
        <v>Low</v>
      </c>
      <c r="I605">
        <v>3</v>
      </c>
      <c r="J605" t="str" cm="1">
        <f t="array" ref="J605">_xlfn.IFS(I605&lt;=3,"small",I605&lt;=6,"Medium",I605&lt;=9,"Large")</f>
        <v>small</v>
      </c>
      <c r="K605" s="36">
        <v>45578</v>
      </c>
      <c r="L605" s="36">
        <v>45584</v>
      </c>
      <c r="M605" t="s">
        <v>598</v>
      </c>
      <c r="N605" t="s">
        <v>599</v>
      </c>
      <c r="O605" s="37" t="str">
        <f t="shared" si="48"/>
        <v>Digital Payment</v>
      </c>
      <c r="P605">
        <v>202.71</v>
      </c>
      <c r="Q605" s="37" t="str">
        <f>IF(P605&gt;500,"High","low")</f>
        <v>low</v>
      </c>
      <c r="R605" s="37" t="str">
        <f t="shared" si="49"/>
        <v>AVERAGE</v>
      </c>
      <c r="S605" t="s">
        <v>620</v>
      </c>
    </row>
    <row r="606" spans="1:19" x14ac:dyDescent="0.2">
      <c r="A606" t="s">
        <v>1217</v>
      </c>
      <c r="B606" t="s">
        <v>90</v>
      </c>
      <c r="C606" t="s">
        <v>614</v>
      </c>
      <c r="D606">
        <v>2822.91</v>
      </c>
      <c r="E606" s="37" t="str">
        <f t="shared" si="45"/>
        <v xml:space="preserve"> </v>
      </c>
      <c r="F606">
        <v>0.36</v>
      </c>
      <c r="G606" s="37" t="str">
        <f t="shared" si="46"/>
        <v>Heavy Discount</v>
      </c>
      <c r="H606" s="37" t="str">
        <f t="shared" si="47"/>
        <v>Medium</v>
      </c>
      <c r="I606">
        <v>4</v>
      </c>
      <c r="J606" t="str" cm="1">
        <f t="array" ref="J606">_xlfn.IFS(I606&lt;=3,"small",I606&lt;=6,"Medium",I606&lt;=9,"Large")</f>
        <v>Medium</v>
      </c>
      <c r="K606" s="36">
        <v>45646</v>
      </c>
      <c r="L606" s="36">
        <v>45647</v>
      </c>
      <c r="M606" t="s">
        <v>598</v>
      </c>
      <c r="N606" t="s">
        <v>604</v>
      </c>
      <c r="O606" s="37" t="str">
        <f t="shared" si="48"/>
        <v>Digital Payment</v>
      </c>
      <c r="P606">
        <v>498.16</v>
      </c>
      <c r="Q606" s="37" t="str">
        <f>IF(P606&gt;500,"High","low")</f>
        <v>low</v>
      </c>
      <c r="R606" s="37" t="str">
        <f t="shared" si="49"/>
        <v>AVERAGE</v>
      </c>
      <c r="S606" t="s">
        <v>620</v>
      </c>
    </row>
    <row r="607" spans="1:19" x14ac:dyDescent="0.2">
      <c r="A607" t="s">
        <v>1218</v>
      </c>
      <c r="B607" t="s">
        <v>90</v>
      </c>
      <c r="C607" t="s">
        <v>617</v>
      </c>
      <c r="D607">
        <v>4392.42</v>
      </c>
      <c r="E607" s="37" t="str">
        <f t="shared" si="45"/>
        <v xml:space="preserve"> </v>
      </c>
      <c r="F607">
        <v>0.3</v>
      </c>
      <c r="G607" s="37" t="str">
        <f t="shared" si="46"/>
        <v>Normal Discount</v>
      </c>
      <c r="H607" s="37" t="str">
        <f t="shared" si="47"/>
        <v>Medium</v>
      </c>
      <c r="I607">
        <v>7</v>
      </c>
      <c r="J607" t="str" cm="1">
        <f t="array" ref="J607">_xlfn.IFS(I607&lt;=3,"small",I607&lt;=6,"Medium",I607&lt;=9,"Large")</f>
        <v>Large</v>
      </c>
      <c r="K607" s="36">
        <v>44939</v>
      </c>
      <c r="L607" s="36">
        <v>44943</v>
      </c>
      <c r="M607" t="s">
        <v>598</v>
      </c>
      <c r="N607" t="s">
        <v>604</v>
      </c>
      <c r="O607" s="37" t="str">
        <f t="shared" si="48"/>
        <v>Digital Payment</v>
      </c>
      <c r="P607">
        <v>570.98</v>
      </c>
      <c r="Q607" s="37" t="str">
        <f>IF(P607&gt;500,"High","low")</f>
        <v>High</v>
      </c>
      <c r="R607" s="37" t="str">
        <f t="shared" si="49"/>
        <v>Good</v>
      </c>
      <c r="S607" t="s">
        <v>605</v>
      </c>
    </row>
    <row r="608" spans="1:19" x14ac:dyDescent="0.2">
      <c r="A608" t="s">
        <v>1219</v>
      </c>
      <c r="B608" t="s">
        <v>90</v>
      </c>
      <c r="C608" t="s">
        <v>602</v>
      </c>
      <c r="D608">
        <v>4171.6099999999997</v>
      </c>
      <c r="E608" s="37" t="str">
        <f t="shared" si="45"/>
        <v xml:space="preserve"> </v>
      </c>
      <c r="F608">
        <v>0.12</v>
      </c>
      <c r="G608" s="37" t="str">
        <f t="shared" si="46"/>
        <v>Normal Discount</v>
      </c>
      <c r="H608" s="37" t="str">
        <f t="shared" si="47"/>
        <v>Low</v>
      </c>
      <c r="I608">
        <v>5</v>
      </c>
      <c r="J608" t="str" cm="1">
        <f t="array" ref="J608">_xlfn.IFS(I608&lt;=3,"small",I608&lt;=6,"Medium",I608&lt;=9,"Large")</f>
        <v>Medium</v>
      </c>
      <c r="K608" s="36">
        <v>45627</v>
      </c>
      <c r="L608" s="36">
        <v>45630</v>
      </c>
      <c r="M608" t="s">
        <v>598</v>
      </c>
      <c r="N608" t="s">
        <v>604</v>
      </c>
      <c r="O608" s="37" t="str">
        <f t="shared" si="48"/>
        <v>Digital Payment</v>
      </c>
      <c r="P608">
        <v>323.45999999999998</v>
      </c>
      <c r="Q608" s="37" t="str">
        <f>IF(P608&gt;500,"High","low")</f>
        <v>low</v>
      </c>
      <c r="R608" s="37" t="str">
        <f t="shared" si="49"/>
        <v>AVERAGE</v>
      </c>
      <c r="S608" t="s">
        <v>620</v>
      </c>
    </row>
    <row r="609" spans="1:19" x14ac:dyDescent="0.2">
      <c r="A609" t="s">
        <v>1220</v>
      </c>
      <c r="B609" t="s">
        <v>67</v>
      </c>
      <c r="C609" t="s">
        <v>597</v>
      </c>
      <c r="D609">
        <v>383.93</v>
      </c>
      <c r="E609" s="37" t="str">
        <f t="shared" si="45"/>
        <v xml:space="preserve"> </v>
      </c>
      <c r="F609">
        <v>0.41</v>
      </c>
      <c r="G609" s="37" t="str">
        <f t="shared" si="46"/>
        <v>Heavy Discount</v>
      </c>
      <c r="H609" s="37" t="str">
        <f t="shared" si="47"/>
        <v>High</v>
      </c>
      <c r="I609">
        <v>5</v>
      </c>
      <c r="J609" t="str" cm="1">
        <f t="array" ref="J609">_xlfn.IFS(I609&lt;=3,"small",I609&lt;=6,"Medium",I609&lt;=9,"Large")</f>
        <v>Medium</v>
      </c>
      <c r="K609" s="36">
        <v>45309</v>
      </c>
      <c r="L609" s="36">
        <v>45310</v>
      </c>
      <c r="M609" t="s">
        <v>603</v>
      </c>
      <c r="N609" t="s">
        <v>599</v>
      </c>
      <c r="O609" s="37" t="str">
        <f t="shared" si="48"/>
        <v>Digital Payment</v>
      </c>
      <c r="P609">
        <v>48.91</v>
      </c>
      <c r="Q609" s="37" t="str">
        <f>IF(P609&gt;500,"High","low")</f>
        <v>low</v>
      </c>
      <c r="R609" s="37" t="str">
        <f t="shared" si="49"/>
        <v>AVERAGE</v>
      </c>
      <c r="S609" t="s">
        <v>609</v>
      </c>
    </row>
    <row r="610" spans="1:19" x14ac:dyDescent="0.2">
      <c r="A610" t="s">
        <v>1221</v>
      </c>
      <c r="B610" t="s">
        <v>67</v>
      </c>
      <c r="C610" t="s">
        <v>597</v>
      </c>
      <c r="D610">
        <v>4406.88</v>
      </c>
      <c r="E610" s="37" t="str">
        <f t="shared" si="45"/>
        <v xml:space="preserve"> </v>
      </c>
      <c r="F610">
        <v>0.24</v>
      </c>
      <c r="G610" s="37" t="str">
        <f t="shared" si="46"/>
        <v>Normal Discount</v>
      </c>
      <c r="H610" s="37" t="str">
        <f t="shared" si="47"/>
        <v>Medium</v>
      </c>
      <c r="I610">
        <v>4</v>
      </c>
      <c r="J610" t="str" cm="1">
        <f t="array" ref="J610">_xlfn.IFS(I610&lt;=3,"small",I610&lt;=6,"Medium",I610&lt;=9,"Large")</f>
        <v>Medium</v>
      </c>
      <c r="K610" s="36">
        <v>45101</v>
      </c>
      <c r="L610" s="36">
        <v>45103</v>
      </c>
      <c r="M610" t="s">
        <v>598</v>
      </c>
      <c r="N610" t="s">
        <v>599</v>
      </c>
      <c r="O610" s="37" t="str">
        <f t="shared" si="48"/>
        <v>Digital Payment</v>
      </c>
      <c r="P610">
        <v>725.37</v>
      </c>
      <c r="Q610" s="37" t="str">
        <f>IF(P610&gt;500,"High","low")</f>
        <v>High</v>
      </c>
      <c r="R610" s="37" t="str">
        <f t="shared" si="49"/>
        <v>Good</v>
      </c>
      <c r="S610" t="s">
        <v>620</v>
      </c>
    </row>
    <row r="611" spans="1:19" x14ac:dyDescent="0.2">
      <c r="A611" t="s">
        <v>1222</v>
      </c>
      <c r="B611" t="s">
        <v>67</v>
      </c>
      <c r="C611" t="s">
        <v>614</v>
      </c>
      <c r="D611">
        <v>566.04</v>
      </c>
      <c r="E611" s="37" t="str">
        <f t="shared" si="45"/>
        <v xml:space="preserve"> </v>
      </c>
      <c r="F611">
        <v>0.35</v>
      </c>
      <c r="G611" s="37" t="str">
        <f t="shared" si="46"/>
        <v>Heavy Discount</v>
      </c>
      <c r="H611" s="37" t="str">
        <f t="shared" si="47"/>
        <v>Medium</v>
      </c>
      <c r="I611">
        <v>8</v>
      </c>
      <c r="J611" t="str" cm="1">
        <f t="array" ref="J611">_xlfn.IFS(I611&lt;=3,"small",I611&lt;=6,"Medium",I611&lt;=9,"Large")</f>
        <v>Large</v>
      </c>
      <c r="K611" s="36">
        <v>45329</v>
      </c>
      <c r="L611" s="36">
        <v>45331</v>
      </c>
      <c r="M611" t="s">
        <v>603</v>
      </c>
      <c r="N611" t="s">
        <v>599</v>
      </c>
      <c r="O611" s="37" t="str">
        <f t="shared" si="48"/>
        <v>Digital Payment</v>
      </c>
      <c r="P611">
        <v>49.22</v>
      </c>
      <c r="Q611" s="37" t="str">
        <f>IF(P611&gt;500,"High","low")</f>
        <v>low</v>
      </c>
      <c r="R611" s="37" t="str">
        <f t="shared" si="49"/>
        <v>AVERAGE</v>
      </c>
      <c r="S611" t="s">
        <v>628</v>
      </c>
    </row>
    <row r="612" spans="1:19" x14ac:dyDescent="0.2">
      <c r="A612" t="s">
        <v>1223</v>
      </c>
      <c r="B612" t="s">
        <v>75</v>
      </c>
      <c r="C612" t="s">
        <v>597</v>
      </c>
      <c r="D612">
        <v>2135.21</v>
      </c>
      <c r="E612" s="37" t="str">
        <f t="shared" si="45"/>
        <v xml:space="preserve"> </v>
      </c>
      <c r="F612">
        <v>0.15</v>
      </c>
      <c r="G612" s="37" t="str">
        <f t="shared" si="46"/>
        <v>Normal Discount</v>
      </c>
      <c r="H612" s="37" t="str">
        <f t="shared" si="47"/>
        <v>Low</v>
      </c>
      <c r="I612">
        <v>3</v>
      </c>
      <c r="J612" t="str" cm="1">
        <f t="array" ref="J612">_xlfn.IFS(I612&lt;=3,"small",I612&lt;=6,"Medium",I612&lt;=9,"Large")</f>
        <v>small</v>
      </c>
      <c r="K612" s="36">
        <v>45569</v>
      </c>
      <c r="L612" s="36">
        <v>45575</v>
      </c>
      <c r="M612" t="s">
        <v>598</v>
      </c>
      <c r="N612" t="s">
        <v>608</v>
      </c>
      <c r="O612" s="37" t="str">
        <f t="shared" si="48"/>
        <v>Cash Payment</v>
      </c>
      <c r="P612">
        <v>460.05</v>
      </c>
      <c r="Q612" s="37" t="str">
        <f>IF(P612&gt;500,"High","low")</f>
        <v>low</v>
      </c>
      <c r="R612" s="37" t="str">
        <f t="shared" si="49"/>
        <v>AVERAGE</v>
      </c>
      <c r="S612" t="s">
        <v>605</v>
      </c>
    </row>
    <row r="613" spans="1:19" x14ac:dyDescent="0.2">
      <c r="A613" t="s">
        <v>1224</v>
      </c>
      <c r="B613" t="s">
        <v>83</v>
      </c>
      <c r="C613" t="s">
        <v>597</v>
      </c>
      <c r="D613">
        <v>3850.48</v>
      </c>
      <c r="E613" s="37" t="str">
        <f t="shared" si="45"/>
        <v xml:space="preserve"> </v>
      </c>
      <c r="F613">
        <v>0.41</v>
      </c>
      <c r="G613" s="37" t="str">
        <f t="shared" si="46"/>
        <v>Heavy Discount</v>
      </c>
      <c r="H613" s="37" t="str">
        <f t="shared" si="47"/>
        <v>High</v>
      </c>
      <c r="I613">
        <v>2</v>
      </c>
      <c r="J613" t="str" cm="1">
        <f t="array" ref="J613">_xlfn.IFS(I613&lt;=3,"small",I613&lt;=6,"Medium",I613&lt;=9,"Large")</f>
        <v>small</v>
      </c>
      <c r="K613" s="36">
        <v>45558</v>
      </c>
      <c r="L613" s="36">
        <v>45561</v>
      </c>
      <c r="M613" t="s">
        <v>598</v>
      </c>
      <c r="N613" t="s">
        <v>608</v>
      </c>
      <c r="O613" s="37" t="str">
        <f t="shared" si="48"/>
        <v>Cash Payment</v>
      </c>
      <c r="P613">
        <v>262.44</v>
      </c>
      <c r="Q613" s="37" t="str">
        <f>IF(P613&gt;500,"High","low")</f>
        <v>low</v>
      </c>
      <c r="R613" s="37" t="str">
        <f t="shared" si="49"/>
        <v>AVERAGE</v>
      </c>
      <c r="S613" t="s">
        <v>609</v>
      </c>
    </row>
    <row r="614" spans="1:19" x14ac:dyDescent="0.2">
      <c r="A614" t="s">
        <v>1225</v>
      </c>
      <c r="B614" t="s">
        <v>67</v>
      </c>
      <c r="C614" t="s">
        <v>602</v>
      </c>
      <c r="D614">
        <v>499.4</v>
      </c>
      <c r="E614" s="37" t="str">
        <f t="shared" si="45"/>
        <v xml:space="preserve"> </v>
      </c>
      <c r="F614">
        <v>0.13</v>
      </c>
      <c r="G614" s="37" t="str">
        <f t="shared" si="46"/>
        <v>Normal Discount</v>
      </c>
      <c r="H614" s="37" t="str">
        <f t="shared" si="47"/>
        <v>Low</v>
      </c>
      <c r="I614">
        <v>4</v>
      </c>
      <c r="J614" t="str" cm="1">
        <f t="array" ref="J614">_xlfn.IFS(I614&lt;=3,"small",I614&lt;=6,"Medium",I614&lt;=9,"Large")</f>
        <v>Medium</v>
      </c>
      <c r="K614" s="36">
        <v>45382</v>
      </c>
      <c r="L614" s="36">
        <v>45383</v>
      </c>
      <c r="M614" t="s">
        <v>603</v>
      </c>
      <c r="N614" t="s">
        <v>608</v>
      </c>
      <c r="O614" s="37" t="str">
        <f t="shared" si="48"/>
        <v>Cash Payment</v>
      </c>
      <c r="P614">
        <v>136.29</v>
      </c>
      <c r="Q614" s="37" t="str">
        <f>IF(P614&gt;500,"High","low")</f>
        <v>low</v>
      </c>
      <c r="R614" s="37" t="str">
        <f t="shared" si="49"/>
        <v>AVERAGE</v>
      </c>
      <c r="S614" t="s">
        <v>628</v>
      </c>
    </row>
    <row r="615" spans="1:19" x14ac:dyDescent="0.2">
      <c r="A615" t="s">
        <v>1226</v>
      </c>
      <c r="B615" t="s">
        <v>83</v>
      </c>
      <c r="C615" t="s">
        <v>617</v>
      </c>
      <c r="D615">
        <v>297.95999999999998</v>
      </c>
      <c r="E615" s="37" t="str">
        <f t="shared" si="45"/>
        <v xml:space="preserve"> </v>
      </c>
      <c r="F615">
        <v>0.18</v>
      </c>
      <c r="G615" s="37" t="str">
        <f t="shared" si="46"/>
        <v>Normal Discount</v>
      </c>
      <c r="H615" s="37" t="str">
        <f t="shared" si="47"/>
        <v>Low</v>
      </c>
      <c r="I615">
        <v>8</v>
      </c>
      <c r="J615" t="str" cm="1">
        <f t="array" ref="J615">_xlfn.IFS(I615&lt;=3,"small",I615&lt;=6,"Medium",I615&lt;=9,"Large")</f>
        <v>Large</v>
      </c>
      <c r="K615" s="36">
        <v>45606</v>
      </c>
      <c r="L615" s="36">
        <v>45609</v>
      </c>
      <c r="M615" t="s">
        <v>603</v>
      </c>
      <c r="N615" t="s">
        <v>599</v>
      </c>
      <c r="O615" s="37" t="str">
        <f t="shared" si="48"/>
        <v>Digital Payment</v>
      </c>
      <c r="P615">
        <v>41.93</v>
      </c>
      <c r="Q615" s="37" t="str">
        <f>IF(P615&gt;500,"High","low")</f>
        <v>low</v>
      </c>
      <c r="R615" s="37" t="str">
        <f t="shared" si="49"/>
        <v>AVERAGE</v>
      </c>
      <c r="S615" t="s">
        <v>609</v>
      </c>
    </row>
    <row r="616" spans="1:19" x14ac:dyDescent="0.2">
      <c r="A616" t="s">
        <v>1227</v>
      </c>
      <c r="B616" t="s">
        <v>83</v>
      </c>
      <c r="C616" t="s">
        <v>607</v>
      </c>
      <c r="D616">
        <v>1716.98</v>
      </c>
      <c r="E616" s="37" t="str">
        <f t="shared" si="45"/>
        <v xml:space="preserve"> </v>
      </c>
      <c r="F616">
        <v>0.2</v>
      </c>
      <c r="G616" s="37" t="str">
        <f t="shared" si="46"/>
        <v>Normal Discount</v>
      </c>
      <c r="H616" s="37" t="str">
        <f t="shared" si="47"/>
        <v>Medium</v>
      </c>
      <c r="I616">
        <v>4</v>
      </c>
      <c r="J616" t="str" cm="1">
        <f t="array" ref="J616">_xlfn.IFS(I616&lt;=3,"small",I616&lt;=6,"Medium",I616&lt;=9,"Large")</f>
        <v>Medium</v>
      </c>
      <c r="K616" s="36">
        <v>45194</v>
      </c>
      <c r="L616" s="36">
        <v>45195</v>
      </c>
      <c r="M616" t="s">
        <v>603</v>
      </c>
      <c r="N616" t="s">
        <v>604</v>
      </c>
      <c r="O616" s="37" t="str">
        <f t="shared" si="48"/>
        <v>Digital Payment</v>
      </c>
      <c r="P616">
        <v>239.91</v>
      </c>
      <c r="Q616" s="37" t="str">
        <f>IF(P616&gt;500,"High","low")</f>
        <v>low</v>
      </c>
      <c r="R616" s="37" t="str">
        <f t="shared" si="49"/>
        <v>AVERAGE</v>
      </c>
      <c r="S616" t="s">
        <v>615</v>
      </c>
    </row>
    <row r="617" spans="1:19" x14ac:dyDescent="0.2">
      <c r="A617" t="s">
        <v>1228</v>
      </c>
      <c r="B617" t="s">
        <v>90</v>
      </c>
      <c r="C617" t="s">
        <v>597</v>
      </c>
      <c r="D617">
        <v>3676.64</v>
      </c>
      <c r="E617" s="37" t="str">
        <f t="shared" si="45"/>
        <v xml:space="preserve"> </v>
      </c>
      <c r="F617">
        <v>0.1</v>
      </c>
      <c r="G617" s="37" t="str">
        <f t="shared" si="46"/>
        <v>Normal Discount</v>
      </c>
      <c r="H617" s="37" t="str">
        <f t="shared" si="47"/>
        <v>Low</v>
      </c>
      <c r="I617">
        <v>8</v>
      </c>
      <c r="J617" t="str" cm="1">
        <f t="array" ref="J617">_xlfn.IFS(I617&lt;=3,"small",I617&lt;=6,"Medium",I617&lt;=9,"Large")</f>
        <v>Large</v>
      </c>
      <c r="K617" s="36">
        <v>45597</v>
      </c>
      <c r="L617" s="36">
        <v>45601</v>
      </c>
      <c r="M617" t="s">
        <v>612</v>
      </c>
      <c r="N617" t="s">
        <v>608</v>
      </c>
      <c r="O617" s="37" t="str">
        <f t="shared" si="48"/>
        <v>Cash Payment</v>
      </c>
      <c r="P617">
        <v>376.7</v>
      </c>
      <c r="Q617" s="37" t="str">
        <f>IF(P617&gt;500,"High","low")</f>
        <v>low</v>
      </c>
      <c r="R617" s="37" t="str">
        <f t="shared" si="49"/>
        <v>AVERAGE</v>
      </c>
      <c r="S617" t="s">
        <v>605</v>
      </c>
    </row>
    <row r="618" spans="1:19" x14ac:dyDescent="0.2">
      <c r="A618" t="s">
        <v>1229</v>
      </c>
      <c r="B618" t="s">
        <v>75</v>
      </c>
      <c r="C618" t="s">
        <v>597</v>
      </c>
      <c r="D618">
        <v>2656.61</v>
      </c>
      <c r="E618" s="37" t="str">
        <f t="shared" si="45"/>
        <v xml:space="preserve"> </v>
      </c>
      <c r="F618">
        <v>0.44</v>
      </c>
      <c r="G618" s="37" t="str">
        <f t="shared" si="46"/>
        <v>Heavy Discount</v>
      </c>
      <c r="H618" s="37" t="str">
        <f t="shared" si="47"/>
        <v>High</v>
      </c>
      <c r="I618">
        <v>5</v>
      </c>
      <c r="J618" t="str" cm="1">
        <f t="array" ref="J618">_xlfn.IFS(I618&lt;=3,"small",I618&lt;=6,"Medium",I618&lt;=9,"Large")</f>
        <v>Medium</v>
      </c>
      <c r="K618" s="36">
        <v>45601</v>
      </c>
      <c r="L618" s="36">
        <v>45606</v>
      </c>
      <c r="M618" t="s">
        <v>603</v>
      </c>
      <c r="N618" t="s">
        <v>599</v>
      </c>
      <c r="O618" s="37" t="str">
        <f t="shared" si="48"/>
        <v>Digital Payment</v>
      </c>
      <c r="P618">
        <v>452.9</v>
      </c>
      <c r="Q618" s="37" t="str">
        <f>IF(P618&gt;500,"High","low")</f>
        <v>low</v>
      </c>
      <c r="R618" s="37" t="str">
        <f t="shared" si="49"/>
        <v>AVERAGE</v>
      </c>
      <c r="S618" t="s">
        <v>620</v>
      </c>
    </row>
    <row r="619" spans="1:19" x14ac:dyDescent="0.2">
      <c r="A619" t="s">
        <v>1230</v>
      </c>
      <c r="B619" t="s">
        <v>67</v>
      </c>
      <c r="C619" t="s">
        <v>607</v>
      </c>
      <c r="D619">
        <v>2143.31</v>
      </c>
      <c r="E619" s="37" t="str">
        <f t="shared" si="45"/>
        <v xml:space="preserve"> </v>
      </c>
      <c r="F619">
        <v>0.06</v>
      </c>
      <c r="G619" s="37" t="str">
        <f t="shared" si="46"/>
        <v>Normal Discount</v>
      </c>
      <c r="H619" s="37" t="str">
        <f t="shared" si="47"/>
        <v>Low</v>
      </c>
      <c r="I619">
        <v>9</v>
      </c>
      <c r="J619" t="str" cm="1">
        <f t="array" ref="J619">_xlfn.IFS(I619&lt;=3,"small",I619&lt;=6,"Medium",I619&lt;=9,"Large")</f>
        <v>Large</v>
      </c>
      <c r="K619" s="36">
        <v>45266</v>
      </c>
      <c r="L619" s="36">
        <v>45268</v>
      </c>
      <c r="M619" t="s">
        <v>612</v>
      </c>
      <c r="N619" t="s">
        <v>608</v>
      </c>
      <c r="O619" s="37" t="str">
        <f t="shared" si="48"/>
        <v>Cash Payment</v>
      </c>
      <c r="P619">
        <v>553.07000000000005</v>
      </c>
      <c r="Q619" s="37" t="str">
        <f>IF(P619&gt;500,"High","low")</f>
        <v>High</v>
      </c>
      <c r="R619" s="37" t="str">
        <f t="shared" si="49"/>
        <v>Good</v>
      </c>
      <c r="S619" t="s">
        <v>620</v>
      </c>
    </row>
    <row r="620" spans="1:19" x14ac:dyDescent="0.2">
      <c r="A620" t="s">
        <v>1231</v>
      </c>
      <c r="B620" t="s">
        <v>90</v>
      </c>
      <c r="C620" t="s">
        <v>597</v>
      </c>
      <c r="D620">
        <v>4084.06</v>
      </c>
      <c r="E620" s="37" t="str">
        <f t="shared" si="45"/>
        <v>Excellent Order</v>
      </c>
      <c r="F620">
        <v>0.28000000000000003</v>
      </c>
      <c r="G620" s="37" t="str">
        <f t="shared" si="46"/>
        <v>Normal Discount</v>
      </c>
      <c r="H620" s="37" t="str">
        <f t="shared" si="47"/>
        <v>Medium</v>
      </c>
      <c r="I620">
        <v>2</v>
      </c>
      <c r="J620" t="str" cm="1">
        <f t="array" ref="J620">_xlfn.IFS(I620&lt;=3,"small",I620&lt;=6,"Medium",I620&lt;=9,"Large")</f>
        <v>small</v>
      </c>
      <c r="K620" s="36">
        <v>44953</v>
      </c>
      <c r="L620" s="36">
        <v>44959</v>
      </c>
      <c r="M620" t="s">
        <v>603</v>
      </c>
      <c r="N620" t="s">
        <v>604</v>
      </c>
      <c r="O620" s="37" t="str">
        <f t="shared" si="48"/>
        <v>Digital Payment</v>
      </c>
      <c r="P620">
        <v>803.28</v>
      </c>
      <c r="Q620" s="37" t="str">
        <f>IF(P620&gt;500,"High","low")</f>
        <v>High</v>
      </c>
      <c r="R620" s="37" t="str">
        <f t="shared" si="49"/>
        <v>Good</v>
      </c>
      <c r="S620" t="s">
        <v>615</v>
      </c>
    </row>
    <row r="621" spans="1:19" x14ac:dyDescent="0.2">
      <c r="A621" t="s">
        <v>1232</v>
      </c>
      <c r="B621" t="s">
        <v>90</v>
      </c>
      <c r="C621" t="s">
        <v>602</v>
      </c>
      <c r="D621">
        <v>3856.88</v>
      </c>
      <c r="E621" s="37" t="str">
        <f t="shared" si="45"/>
        <v xml:space="preserve"> </v>
      </c>
      <c r="F621">
        <v>0.41</v>
      </c>
      <c r="G621" s="37" t="str">
        <f t="shared" si="46"/>
        <v>Heavy Discount</v>
      </c>
      <c r="H621" s="37" t="str">
        <f t="shared" si="47"/>
        <v>High</v>
      </c>
      <c r="I621">
        <v>8</v>
      </c>
      <c r="J621" t="str" cm="1">
        <f t="array" ref="J621">_xlfn.IFS(I621&lt;=3,"small",I621&lt;=6,"Medium",I621&lt;=9,"Large")</f>
        <v>Large</v>
      </c>
      <c r="K621" s="36">
        <v>45185</v>
      </c>
      <c r="L621" s="36">
        <v>45188</v>
      </c>
      <c r="M621" t="s">
        <v>603</v>
      </c>
      <c r="N621" t="s">
        <v>604</v>
      </c>
      <c r="O621" s="37" t="str">
        <f t="shared" si="48"/>
        <v>Digital Payment</v>
      </c>
      <c r="P621">
        <v>974.02</v>
      </c>
      <c r="Q621" s="37" t="str">
        <f>IF(P621&gt;500,"High","low")</f>
        <v>High</v>
      </c>
      <c r="R621" s="37" t="str">
        <f t="shared" si="49"/>
        <v>Good</v>
      </c>
      <c r="S621" t="s">
        <v>615</v>
      </c>
    </row>
    <row r="622" spans="1:19" x14ac:dyDescent="0.2">
      <c r="A622" t="s">
        <v>1233</v>
      </c>
      <c r="B622" t="s">
        <v>67</v>
      </c>
      <c r="C622" t="s">
        <v>602</v>
      </c>
      <c r="D622">
        <v>3951.61</v>
      </c>
      <c r="E622" s="37" t="str">
        <f t="shared" si="45"/>
        <v xml:space="preserve"> </v>
      </c>
      <c r="F622">
        <v>0.28999999999999998</v>
      </c>
      <c r="G622" s="37" t="str">
        <f t="shared" si="46"/>
        <v>Normal Discount</v>
      </c>
      <c r="H622" s="37" t="str">
        <f t="shared" si="47"/>
        <v>Medium</v>
      </c>
      <c r="I622">
        <v>7</v>
      </c>
      <c r="J622" t="str" cm="1">
        <f t="array" ref="J622">_xlfn.IFS(I622&lt;=3,"small",I622&lt;=6,"Medium",I622&lt;=9,"Large")</f>
        <v>Large</v>
      </c>
      <c r="K622" s="36">
        <v>45490</v>
      </c>
      <c r="L622" s="36">
        <v>45492</v>
      </c>
      <c r="M622" t="s">
        <v>603</v>
      </c>
      <c r="N622" t="s">
        <v>599</v>
      </c>
      <c r="O622" s="37" t="str">
        <f t="shared" si="48"/>
        <v>Digital Payment</v>
      </c>
      <c r="P622">
        <v>1154.6500000000001</v>
      </c>
      <c r="Q622" s="37" t="str">
        <f>IF(P622&gt;500,"High","low")</f>
        <v>High</v>
      </c>
      <c r="R622" s="37" t="str">
        <f t="shared" si="49"/>
        <v>Excellent</v>
      </c>
      <c r="S622" t="s">
        <v>600</v>
      </c>
    </row>
    <row r="623" spans="1:19" x14ac:dyDescent="0.2">
      <c r="A623" t="s">
        <v>1234</v>
      </c>
      <c r="B623" t="s">
        <v>83</v>
      </c>
      <c r="C623" t="s">
        <v>607</v>
      </c>
      <c r="D623">
        <v>2352.66</v>
      </c>
      <c r="E623" s="37" t="str">
        <f t="shared" si="45"/>
        <v xml:space="preserve"> </v>
      </c>
      <c r="F623">
        <v>0.16</v>
      </c>
      <c r="G623" s="37" t="str">
        <f t="shared" si="46"/>
        <v>Normal Discount</v>
      </c>
      <c r="H623" s="37" t="str">
        <f t="shared" si="47"/>
        <v>Low</v>
      </c>
      <c r="I623">
        <v>2</v>
      </c>
      <c r="J623" t="str" cm="1">
        <f t="array" ref="J623">_xlfn.IFS(I623&lt;=3,"small",I623&lt;=6,"Medium",I623&lt;=9,"Large")</f>
        <v>small</v>
      </c>
      <c r="K623" s="36">
        <v>45061</v>
      </c>
      <c r="L623" s="36">
        <v>45062</v>
      </c>
      <c r="M623" t="s">
        <v>612</v>
      </c>
      <c r="N623" t="s">
        <v>608</v>
      </c>
      <c r="O623" s="37" t="str">
        <f t="shared" si="48"/>
        <v>Cash Payment</v>
      </c>
      <c r="P623">
        <v>485.4</v>
      </c>
      <c r="Q623" s="37" t="str">
        <f>IF(P623&gt;500,"High","low")</f>
        <v>low</v>
      </c>
      <c r="R623" s="37" t="str">
        <f t="shared" si="49"/>
        <v>AVERAGE</v>
      </c>
      <c r="S623" t="s">
        <v>605</v>
      </c>
    </row>
    <row r="624" spans="1:19" x14ac:dyDescent="0.2">
      <c r="A624" t="s">
        <v>1235</v>
      </c>
      <c r="B624" t="s">
        <v>90</v>
      </c>
      <c r="C624" t="s">
        <v>597</v>
      </c>
      <c r="D624">
        <v>195.3</v>
      </c>
      <c r="E624" s="37" t="str">
        <f t="shared" si="45"/>
        <v xml:space="preserve"> </v>
      </c>
      <c r="F624">
        <v>0.39</v>
      </c>
      <c r="G624" s="37" t="str">
        <f t="shared" si="46"/>
        <v>Heavy Discount</v>
      </c>
      <c r="H624" s="37" t="str">
        <f t="shared" si="47"/>
        <v>Medium</v>
      </c>
      <c r="I624">
        <v>5</v>
      </c>
      <c r="J624" t="str" cm="1">
        <f t="array" ref="J624">_xlfn.IFS(I624&lt;=3,"small",I624&lt;=6,"Medium",I624&lt;=9,"Large")</f>
        <v>Medium</v>
      </c>
      <c r="K624" s="36">
        <v>45233</v>
      </c>
      <c r="L624" s="36">
        <v>45235</v>
      </c>
      <c r="M624" t="s">
        <v>612</v>
      </c>
      <c r="N624" t="s">
        <v>608</v>
      </c>
      <c r="O624" s="37" t="str">
        <f t="shared" si="48"/>
        <v>Cash Payment</v>
      </c>
      <c r="P624">
        <v>18</v>
      </c>
      <c r="Q624" s="37" t="str">
        <f>IF(P624&gt;500,"High","low")</f>
        <v>low</v>
      </c>
      <c r="R624" s="37" t="str">
        <f t="shared" si="49"/>
        <v>AVERAGE</v>
      </c>
      <c r="S624" t="s">
        <v>620</v>
      </c>
    </row>
    <row r="625" spans="1:19" x14ac:dyDescent="0.2">
      <c r="A625" t="s">
        <v>1236</v>
      </c>
      <c r="B625" t="s">
        <v>83</v>
      </c>
      <c r="C625" t="s">
        <v>597</v>
      </c>
      <c r="D625">
        <v>943.47</v>
      </c>
      <c r="E625" s="37" t="str">
        <f t="shared" si="45"/>
        <v xml:space="preserve"> </v>
      </c>
      <c r="F625">
        <v>0.25</v>
      </c>
      <c r="G625" s="37" t="str">
        <f t="shared" si="46"/>
        <v>Normal Discount</v>
      </c>
      <c r="H625" s="37" t="str">
        <f t="shared" si="47"/>
        <v>Medium</v>
      </c>
      <c r="I625">
        <v>6</v>
      </c>
      <c r="J625" t="str" cm="1">
        <f t="array" ref="J625">_xlfn.IFS(I625&lt;=3,"small",I625&lt;=6,"Medium",I625&lt;=9,"Large")</f>
        <v>Medium</v>
      </c>
      <c r="K625" s="36">
        <v>45407</v>
      </c>
      <c r="L625" s="36">
        <v>45408</v>
      </c>
      <c r="M625" t="s">
        <v>612</v>
      </c>
      <c r="N625" t="s">
        <v>604</v>
      </c>
      <c r="O625" s="37" t="str">
        <f t="shared" si="48"/>
        <v>Digital Payment</v>
      </c>
      <c r="P625">
        <v>118.58</v>
      </c>
      <c r="Q625" s="37" t="str">
        <f>IF(P625&gt;500,"High","low")</f>
        <v>low</v>
      </c>
      <c r="R625" s="37" t="str">
        <f t="shared" si="49"/>
        <v>AVERAGE</v>
      </c>
      <c r="S625" t="s">
        <v>605</v>
      </c>
    </row>
    <row r="626" spans="1:19" x14ac:dyDescent="0.2">
      <c r="A626" t="s">
        <v>1237</v>
      </c>
      <c r="B626" t="s">
        <v>75</v>
      </c>
      <c r="C626" t="s">
        <v>617</v>
      </c>
      <c r="D626">
        <v>3732.37</v>
      </c>
      <c r="E626" s="37" t="str">
        <f t="shared" si="45"/>
        <v xml:space="preserve"> </v>
      </c>
      <c r="F626">
        <v>0.08</v>
      </c>
      <c r="G626" s="37" t="str">
        <f t="shared" si="46"/>
        <v>Normal Discount</v>
      </c>
      <c r="H626" s="37" t="str">
        <f t="shared" si="47"/>
        <v>Low</v>
      </c>
      <c r="I626">
        <v>9</v>
      </c>
      <c r="J626" t="str" cm="1">
        <f t="array" ref="J626">_xlfn.IFS(I626&lt;=3,"small",I626&lt;=6,"Medium",I626&lt;=9,"Large")</f>
        <v>Large</v>
      </c>
      <c r="K626" s="36">
        <v>44943</v>
      </c>
      <c r="L626" s="36">
        <v>44946</v>
      </c>
      <c r="M626" t="s">
        <v>603</v>
      </c>
      <c r="N626" t="s">
        <v>599</v>
      </c>
      <c r="O626" s="37" t="str">
        <f t="shared" si="48"/>
        <v>Digital Payment</v>
      </c>
      <c r="P626">
        <v>803.76</v>
      </c>
      <c r="Q626" s="37" t="str">
        <f>IF(P626&gt;500,"High","low")</f>
        <v>High</v>
      </c>
      <c r="R626" s="37" t="str">
        <f t="shared" si="49"/>
        <v>Good</v>
      </c>
      <c r="S626" t="s">
        <v>605</v>
      </c>
    </row>
    <row r="627" spans="1:19" x14ac:dyDescent="0.2">
      <c r="A627" t="s">
        <v>1238</v>
      </c>
      <c r="B627" t="s">
        <v>83</v>
      </c>
      <c r="C627" t="s">
        <v>597</v>
      </c>
      <c r="D627">
        <v>3790.55</v>
      </c>
      <c r="E627" s="37" t="str">
        <f t="shared" si="45"/>
        <v xml:space="preserve"> </v>
      </c>
      <c r="F627">
        <v>0.16</v>
      </c>
      <c r="G627" s="37" t="str">
        <f t="shared" si="46"/>
        <v>Normal Discount</v>
      </c>
      <c r="H627" s="37" t="str">
        <f t="shared" si="47"/>
        <v>Low</v>
      </c>
      <c r="I627">
        <v>8</v>
      </c>
      <c r="J627" t="str" cm="1">
        <f t="array" ref="J627">_xlfn.IFS(I627&lt;=3,"small",I627&lt;=6,"Medium",I627&lt;=9,"Large")</f>
        <v>Large</v>
      </c>
      <c r="K627" s="36">
        <v>45316</v>
      </c>
      <c r="L627" s="36">
        <v>45322</v>
      </c>
      <c r="M627" t="s">
        <v>603</v>
      </c>
      <c r="N627" t="s">
        <v>599</v>
      </c>
      <c r="O627" s="37" t="str">
        <f t="shared" si="48"/>
        <v>Digital Payment</v>
      </c>
      <c r="P627">
        <v>930.59</v>
      </c>
      <c r="Q627" s="37" t="str">
        <f>IF(P627&gt;500,"High","low")</f>
        <v>High</v>
      </c>
      <c r="R627" s="37" t="str">
        <f t="shared" si="49"/>
        <v>Good</v>
      </c>
      <c r="S627" t="s">
        <v>600</v>
      </c>
    </row>
    <row r="628" spans="1:19" x14ac:dyDescent="0.2">
      <c r="A628" t="s">
        <v>1239</v>
      </c>
      <c r="B628" t="s">
        <v>75</v>
      </c>
      <c r="C628" t="s">
        <v>602</v>
      </c>
      <c r="D628">
        <v>4864.26</v>
      </c>
      <c r="E628" s="37" t="str">
        <f t="shared" si="45"/>
        <v>Excellent Order</v>
      </c>
      <c r="F628">
        <v>0.3</v>
      </c>
      <c r="G628" s="37" t="str">
        <f t="shared" si="46"/>
        <v>Normal Discount</v>
      </c>
      <c r="H628" s="37" t="str">
        <f t="shared" si="47"/>
        <v>Medium</v>
      </c>
      <c r="I628">
        <v>7</v>
      </c>
      <c r="J628" t="str" cm="1">
        <f t="array" ref="J628">_xlfn.IFS(I628&lt;=3,"small",I628&lt;=6,"Medium",I628&lt;=9,"Large")</f>
        <v>Large</v>
      </c>
      <c r="K628" s="36">
        <v>45554</v>
      </c>
      <c r="L628" s="36">
        <v>45560</v>
      </c>
      <c r="M628" t="s">
        <v>612</v>
      </c>
      <c r="N628" t="s">
        <v>608</v>
      </c>
      <c r="O628" s="37" t="str">
        <f t="shared" si="48"/>
        <v>Cash Payment</v>
      </c>
      <c r="P628">
        <v>1039.2</v>
      </c>
      <c r="Q628" s="37" t="str">
        <f>IF(P628&gt;500,"High","low")</f>
        <v>High</v>
      </c>
      <c r="R628" s="37" t="str">
        <f t="shared" si="49"/>
        <v>Excellent</v>
      </c>
      <c r="S628" t="s">
        <v>605</v>
      </c>
    </row>
    <row r="629" spans="1:19" x14ac:dyDescent="0.2">
      <c r="A629" t="s">
        <v>1240</v>
      </c>
      <c r="B629" t="s">
        <v>83</v>
      </c>
      <c r="C629" t="s">
        <v>614</v>
      </c>
      <c r="D629">
        <v>1031.9100000000001</v>
      </c>
      <c r="E629" s="37" t="str">
        <f t="shared" si="45"/>
        <v xml:space="preserve"> </v>
      </c>
      <c r="F629">
        <v>0.33</v>
      </c>
      <c r="G629" s="37" t="str">
        <f t="shared" si="46"/>
        <v>Heavy Discount</v>
      </c>
      <c r="H629" s="37" t="str">
        <f t="shared" si="47"/>
        <v>Medium</v>
      </c>
      <c r="I629">
        <v>1</v>
      </c>
      <c r="J629" t="str" cm="1">
        <f t="array" ref="J629">_xlfn.IFS(I629&lt;=3,"small",I629&lt;=6,"Medium",I629&lt;=9,"Large")</f>
        <v>small</v>
      </c>
      <c r="K629" s="36">
        <v>45344</v>
      </c>
      <c r="L629" s="36">
        <v>45349</v>
      </c>
      <c r="M629" t="s">
        <v>612</v>
      </c>
      <c r="N629" t="s">
        <v>608</v>
      </c>
      <c r="O629" s="37" t="str">
        <f t="shared" si="48"/>
        <v>Cash Payment</v>
      </c>
      <c r="P629">
        <v>200.95</v>
      </c>
      <c r="Q629" s="37" t="str">
        <f>IF(P629&gt;500,"High","low")</f>
        <v>low</v>
      </c>
      <c r="R629" s="37" t="str">
        <f t="shared" si="49"/>
        <v>AVERAGE</v>
      </c>
      <c r="S629" t="s">
        <v>609</v>
      </c>
    </row>
    <row r="630" spans="1:19" x14ac:dyDescent="0.2">
      <c r="A630" t="s">
        <v>1241</v>
      </c>
      <c r="B630" t="s">
        <v>90</v>
      </c>
      <c r="C630" t="s">
        <v>614</v>
      </c>
      <c r="D630">
        <v>702.34</v>
      </c>
      <c r="E630" s="37" t="str">
        <f t="shared" si="45"/>
        <v xml:space="preserve"> </v>
      </c>
      <c r="F630">
        <v>0.27</v>
      </c>
      <c r="G630" s="37" t="str">
        <f t="shared" si="46"/>
        <v>Normal Discount</v>
      </c>
      <c r="H630" s="37" t="str">
        <f t="shared" si="47"/>
        <v>Medium</v>
      </c>
      <c r="I630">
        <v>3</v>
      </c>
      <c r="J630" t="str" cm="1">
        <f t="array" ref="J630">_xlfn.IFS(I630&lt;=3,"small",I630&lt;=6,"Medium",I630&lt;=9,"Large")</f>
        <v>small</v>
      </c>
      <c r="K630" s="36">
        <v>44975</v>
      </c>
      <c r="L630" s="36">
        <v>44979</v>
      </c>
      <c r="M630" t="s">
        <v>603</v>
      </c>
      <c r="N630" t="s">
        <v>599</v>
      </c>
      <c r="O630" s="37" t="str">
        <f t="shared" si="48"/>
        <v>Digital Payment</v>
      </c>
      <c r="P630">
        <v>197.88</v>
      </c>
      <c r="Q630" s="37" t="str">
        <f>IF(P630&gt;500,"High","low")</f>
        <v>low</v>
      </c>
      <c r="R630" s="37" t="str">
        <f t="shared" si="49"/>
        <v>AVERAGE</v>
      </c>
      <c r="S630" t="s">
        <v>628</v>
      </c>
    </row>
    <row r="631" spans="1:19" x14ac:dyDescent="0.2">
      <c r="A631" t="s">
        <v>1242</v>
      </c>
      <c r="B631" t="s">
        <v>90</v>
      </c>
      <c r="C631" t="s">
        <v>614</v>
      </c>
      <c r="D631">
        <v>780.07</v>
      </c>
      <c r="E631" s="37" t="str">
        <f t="shared" si="45"/>
        <v xml:space="preserve"> </v>
      </c>
      <c r="F631">
        <v>0.14000000000000001</v>
      </c>
      <c r="G631" s="37" t="str">
        <f t="shared" si="46"/>
        <v>Normal Discount</v>
      </c>
      <c r="H631" s="37" t="str">
        <f t="shared" si="47"/>
        <v>Low</v>
      </c>
      <c r="I631">
        <v>1</v>
      </c>
      <c r="J631" t="str" cm="1">
        <f t="array" ref="J631">_xlfn.IFS(I631&lt;=3,"small",I631&lt;=6,"Medium",I631&lt;=9,"Large")</f>
        <v>small</v>
      </c>
      <c r="K631" s="36">
        <v>44987</v>
      </c>
      <c r="L631" s="36">
        <v>44991</v>
      </c>
      <c r="M631" t="s">
        <v>598</v>
      </c>
      <c r="N631" t="s">
        <v>604</v>
      </c>
      <c r="O631" s="37" t="str">
        <f t="shared" si="48"/>
        <v>Digital Payment</v>
      </c>
      <c r="P631">
        <v>135.84</v>
      </c>
      <c r="Q631" s="37" t="str">
        <f>IF(P631&gt;500,"High","low")</f>
        <v>low</v>
      </c>
      <c r="R631" s="37" t="str">
        <f t="shared" si="49"/>
        <v>AVERAGE</v>
      </c>
      <c r="S631" t="s">
        <v>609</v>
      </c>
    </row>
    <row r="632" spans="1:19" x14ac:dyDescent="0.2">
      <c r="A632" t="s">
        <v>1243</v>
      </c>
      <c r="B632" t="s">
        <v>75</v>
      </c>
      <c r="C632" t="s">
        <v>614</v>
      </c>
      <c r="D632">
        <v>1005.46</v>
      </c>
      <c r="E632" s="37" t="str">
        <f t="shared" si="45"/>
        <v xml:space="preserve"> </v>
      </c>
      <c r="F632">
        <v>0.3</v>
      </c>
      <c r="G632" s="37" t="str">
        <f t="shared" si="46"/>
        <v>Normal Discount</v>
      </c>
      <c r="H632" s="37" t="str">
        <f t="shared" si="47"/>
        <v>Medium</v>
      </c>
      <c r="I632">
        <v>6</v>
      </c>
      <c r="J632" t="str" cm="1">
        <f t="array" ref="J632">_xlfn.IFS(I632&lt;=3,"small",I632&lt;=6,"Medium",I632&lt;=9,"Large")</f>
        <v>Medium</v>
      </c>
      <c r="K632" s="36">
        <v>45240</v>
      </c>
      <c r="L632" s="36">
        <v>45242</v>
      </c>
      <c r="M632" t="s">
        <v>612</v>
      </c>
      <c r="N632" t="s">
        <v>608</v>
      </c>
      <c r="O632" s="37" t="str">
        <f t="shared" si="48"/>
        <v>Cash Payment</v>
      </c>
      <c r="P632">
        <v>217.85</v>
      </c>
      <c r="Q632" s="37" t="str">
        <f>IF(P632&gt;500,"High","low")</f>
        <v>low</v>
      </c>
      <c r="R632" s="37" t="str">
        <f t="shared" si="49"/>
        <v>AVERAGE</v>
      </c>
      <c r="S632" t="s">
        <v>605</v>
      </c>
    </row>
    <row r="633" spans="1:19" x14ac:dyDescent="0.2">
      <c r="A633" t="s">
        <v>1244</v>
      </c>
      <c r="B633" t="s">
        <v>67</v>
      </c>
      <c r="C633" t="s">
        <v>597</v>
      </c>
      <c r="D633">
        <v>2689.49</v>
      </c>
      <c r="E633" s="37" t="str">
        <f t="shared" si="45"/>
        <v xml:space="preserve"> </v>
      </c>
      <c r="F633">
        <v>0.17</v>
      </c>
      <c r="G633" s="37" t="str">
        <f t="shared" si="46"/>
        <v>Normal Discount</v>
      </c>
      <c r="H633" s="37" t="str">
        <f t="shared" si="47"/>
        <v>Low</v>
      </c>
      <c r="I633">
        <v>3</v>
      </c>
      <c r="J633" t="str" cm="1">
        <f t="array" ref="J633">_xlfn.IFS(I633&lt;=3,"small",I633&lt;=6,"Medium",I633&lt;=9,"Large")</f>
        <v>small</v>
      </c>
      <c r="K633" s="36">
        <v>45514</v>
      </c>
      <c r="L633" s="36">
        <v>45517</v>
      </c>
      <c r="M633" t="s">
        <v>603</v>
      </c>
      <c r="N633" t="s">
        <v>599</v>
      </c>
      <c r="O633" s="37" t="str">
        <f t="shared" si="48"/>
        <v>Digital Payment</v>
      </c>
      <c r="P633">
        <v>344.48</v>
      </c>
      <c r="Q633" s="37" t="str">
        <f>IF(P633&gt;500,"High","low")</f>
        <v>low</v>
      </c>
      <c r="R633" s="37" t="str">
        <f t="shared" si="49"/>
        <v>AVERAGE</v>
      </c>
      <c r="S633" t="s">
        <v>615</v>
      </c>
    </row>
    <row r="634" spans="1:19" x14ac:dyDescent="0.2">
      <c r="A634" t="s">
        <v>1245</v>
      </c>
      <c r="B634" t="s">
        <v>75</v>
      </c>
      <c r="C634" t="s">
        <v>597</v>
      </c>
      <c r="D634">
        <v>4878.54</v>
      </c>
      <c r="E634" s="37" t="str">
        <f t="shared" si="45"/>
        <v xml:space="preserve"> </v>
      </c>
      <c r="F634">
        <v>0.11</v>
      </c>
      <c r="G634" s="37" t="str">
        <f t="shared" si="46"/>
        <v>Normal Discount</v>
      </c>
      <c r="H634" s="37" t="str">
        <f t="shared" si="47"/>
        <v>Low</v>
      </c>
      <c r="I634">
        <v>2</v>
      </c>
      <c r="J634" t="str" cm="1">
        <f t="array" ref="J634">_xlfn.IFS(I634&lt;=3,"small",I634&lt;=6,"Medium",I634&lt;=9,"Large")</f>
        <v>small</v>
      </c>
      <c r="K634" s="36">
        <v>45072</v>
      </c>
      <c r="L634" s="36">
        <v>45075</v>
      </c>
      <c r="M634" t="s">
        <v>598</v>
      </c>
      <c r="N634" t="s">
        <v>599</v>
      </c>
      <c r="O634" s="37" t="str">
        <f t="shared" si="48"/>
        <v>Digital Payment</v>
      </c>
      <c r="P634">
        <v>718.18</v>
      </c>
      <c r="Q634" s="37" t="str">
        <f>IF(P634&gt;500,"High","low")</f>
        <v>High</v>
      </c>
      <c r="R634" s="37" t="str">
        <f t="shared" si="49"/>
        <v>Good</v>
      </c>
      <c r="S634" t="s">
        <v>600</v>
      </c>
    </row>
    <row r="635" spans="1:19" x14ac:dyDescent="0.2">
      <c r="A635" t="s">
        <v>1246</v>
      </c>
      <c r="B635" t="s">
        <v>75</v>
      </c>
      <c r="C635" t="s">
        <v>617</v>
      </c>
      <c r="D635">
        <v>2988.21</v>
      </c>
      <c r="E635" s="37" t="str">
        <f t="shared" si="45"/>
        <v xml:space="preserve"> </v>
      </c>
      <c r="F635">
        <v>0.47</v>
      </c>
      <c r="G635" s="37" t="str">
        <f t="shared" si="46"/>
        <v>Heavy Discount</v>
      </c>
      <c r="H635" s="37" t="str">
        <f t="shared" si="47"/>
        <v>High</v>
      </c>
      <c r="I635">
        <v>2</v>
      </c>
      <c r="J635" t="str" cm="1">
        <f t="array" ref="J635">_xlfn.IFS(I635&lt;=3,"small",I635&lt;=6,"Medium",I635&lt;=9,"Large")</f>
        <v>small</v>
      </c>
      <c r="K635" s="36">
        <v>45628</v>
      </c>
      <c r="L635" s="36">
        <v>45634</v>
      </c>
      <c r="M635" t="s">
        <v>598</v>
      </c>
      <c r="N635" t="s">
        <v>599</v>
      </c>
      <c r="O635" s="37" t="str">
        <f t="shared" si="48"/>
        <v>Digital Payment</v>
      </c>
      <c r="P635">
        <v>324.54000000000002</v>
      </c>
      <c r="Q635" s="37" t="str">
        <f>IF(P635&gt;500,"High","low")</f>
        <v>low</v>
      </c>
      <c r="R635" s="37" t="str">
        <f t="shared" si="49"/>
        <v>AVERAGE</v>
      </c>
      <c r="S635" t="s">
        <v>628</v>
      </c>
    </row>
    <row r="636" spans="1:19" x14ac:dyDescent="0.2">
      <c r="A636" t="s">
        <v>1247</v>
      </c>
      <c r="B636" t="s">
        <v>83</v>
      </c>
      <c r="C636" t="s">
        <v>597</v>
      </c>
      <c r="D636">
        <v>2661.17</v>
      </c>
      <c r="E636" s="37" t="str">
        <f t="shared" si="45"/>
        <v xml:space="preserve"> </v>
      </c>
      <c r="F636">
        <v>0.16</v>
      </c>
      <c r="G636" s="37" t="str">
        <f t="shared" si="46"/>
        <v>Normal Discount</v>
      </c>
      <c r="H636" s="37" t="str">
        <f t="shared" si="47"/>
        <v>Low</v>
      </c>
      <c r="I636">
        <v>8</v>
      </c>
      <c r="J636" t="str" cm="1">
        <f t="array" ref="J636">_xlfn.IFS(I636&lt;=3,"small",I636&lt;=6,"Medium",I636&lt;=9,"Large")</f>
        <v>Large</v>
      </c>
      <c r="K636" s="36">
        <v>45422</v>
      </c>
      <c r="L636" s="36">
        <v>45426</v>
      </c>
      <c r="M636" t="s">
        <v>612</v>
      </c>
      <c r="N636" t="s">
        <v>599</v>
      </c>
      <c r="O636" s="37" t="str">
        <f t="shared" si="48"/>
        <v>Digital Payment</v>
      </c>
      <c r="P636">
        <v>665.46</v>
      </c>
      <c r="Q636" s="37" t="str">
        <f>IF(P636&gt;500,"High","low")</f>
        <v>High</v>
      </c>
      <c r="R636" s="37" t="str">
        <f t="shared" si="49"/>
        <v>Good</v>
      </c>
      <c r="S636" t="s">
        <v>620</v>
      </c>
    </row>
    <row r="637" spans="1:19" x14ac:dyDescent="0.2">
      <c r="A637" t="s">
        <v>1248</v>
      </c>
      <c r="B637" t="s">
        <v>83</v>
      </c>
      <c r="C637" t="s">
        <v>614</v>
      </c>
      <c r="D637">
        <v>3399.45</v>
      </c>
      <c r="E637" s="37" t="str">
        <f t="shared" si="45"/>
        <v xml:space="preserve"> </v>
      </c>
      <c r="F637">
        <v>0.17</v>
      </c>
      <c r="G637" s="37" t="str">
        <f t="shared" si="46"/>
        <v>Normal Discount</v>
      </c>
      <c r="H637" s="37" t="str">
        <f t="shared" si="47"/>
        <v>Low</v>
      </c>
      <c r="I637">
        <v>1</v>
      </c>
      <c r="J637" t="str" cm="1">
        <f t="array" ref="J637">_xlfn.IFS(I637&lt;=3,"small",I637&lt;=6,"Medium",I637&lt;=9,"Large")</f>
        <v>small</v>
      </c>
      <c r="K637" s="36">
        <v>44932</v>
      </c>
      <c r="L637" s="36">
        <v>44933</v>
      </c>
      <c r="M637" t="s">
        <v>603</v>
      </c>
      <c r="N637" t="s">
        <v>599</v>
      </c>
      <c r="O637" s="37" t="str">
        <f t="shared" si="48"/>
        <v>Digital Payment</v>
      </c>
      <c r="P637">
        <v>339.22</v>
      </c>
      <c r="Q637" s="37" t="str">
        <f>IF(P637&gt;500,"High","low")</f>
        <v>low</v>
      </c>
      <c r="R637" s="37" t="str">
        <f t="shared" si="49"/>
        <v>AVERAGE</v>
      </c>
      <c r="S637" t="s">
        <v>600</v>
      </c>
    </row>
    <row r="638" spans="1:19" x14ac:dyDescent="0.2">
      <c r="A638" t="s">
        <v>1249</v>
      </c>
      <c r="B638" t="s">
        <v>75</v>
      </c>
      <c r="C638" t="s">
        <v>607</v>
      </c>
      <c r="D638">
        <v>462.26</v>
      </c>
      <c r="E638" s="37" t="str">
        <f t="shared" si="45"/>
        <v xml:space="preserve"> </v>
      </c>
      <c r="F638">
        <v>0.45</v>
      </c>
      <c r="G638" s="37" t="str">
        <f t="shared" si="46"/>
        <v>Heavy Discount</v>
      </c>
      <c r="H638" s="37" t="str">
        <f t="shared" si="47"/>
        <v>High</v>
      </c>
      <c r="I638">
        <v>9</v>
      </c>
      <c r="J638" t="str" cm="1">
        <f t="array" ref="J638">_xlfn.IFS(I638&lt;=3,"small",I638&lt;=6,"Medium",I638&lt;=9,"Large")</f>
        <v>Large</v>
      </c>
      <c r="K638" s="36">
        <v>45131</v>
      </c>
      <c r="L638" s="36">
        <v>45138</v>
      </c>
      <c r="M638" t="s">
        <v>603</v>
      </c>
      <c r="N638" t="s">
        <v>604</v>
      </c>
      <c r="O638" s="37" t="str">
        <f t="shared" si="48"/>
        <v>Digital Payment</v>
      </c>
      <c r="P638">
        <v>49.97</v>
      </c>
      <c r="Q638" s="37" t="str">
        <f>IF(P638&gt;500,"High","low")</f>
        <v>low</v>
      </c>
      <c r="R638" s="37" t="str">
        <f t="shared" si="49"/>
        <v>AVERAGE</v>
      </c>
      <c r="S638" t="s">
        <v>615</v>
      </c>
    </row>
    <row r="639" spans="1:19" x14ac:dyDescent="0.2">
      <c r="A639" t="s">
        <v>1250</v>
      </c>
      <c r="B639" t="s">
        <v>90</v>
      </c>
      <c r="C639" t="s">
        <v>607</v>
      </c>
      <c r="D639">
        <v>4095.24</v>
      </c>
      <c r="E639" s="37" t="str">
        <f t="shared" si="45"/>
        <v xml:space="preserve"> </v>
      </c>
      <c r="F639">
        <v>7.0000000000000007E-2</v>
      </c>
      <c r="G639" s="37" t="str">
        <f t="shared" si="46"/>
        <v>Normal Discount</v>
      </c>
      <c r="H639" s="37" t="str">
        <f t="shared" si="47"/>
        <v>Low</v>
      </c>
      <c r="I639">
        <v>7</v>
      </c>
      <c r="J639" t="str" cm="1">
        <f t="array" ref="J639">_xlfn.IFS(I639&lt;=3,"small",I639&lt;=6,"Medium",I639&lt;=9,"Large")</f>
        <v>Large</v>
      </c>
      <c r="K639" s="36">
        <v>45176</v>
      </c>
      <c r="L639" s="36">
        <v>45180</v>
      </c>
      <c r="M639" t="s">
        <v>612</v>
      </c>
      <c r="N639" t="s">
        <v>608</v>
      </c>
      <c r="O639" s="37" t="str">
        <f t="shared" si="48"/>
        <v>Cash Payment</v>
      </c>
      <c r="P639">
        <v>314.5</v>
      </c>
      <c r="Q639" s="37" t="str">
        <f>IF(P639&gt;500,"High","low")</f>
        <v>low</v>
      </c>
      <c r="R639" s="37" t="str">
        <f t="shared" si="49"/>
        <v>AVERAGE</v>
      </c>
      <c r="S639" t="s">
        <v>605</v>
      </c>
    </row>
    <row r="640" spans="1:19" x14ac:dyDescent="0.2">
      <c r="A640" t="s">
        <v>1251</v>
      </c>
      <c r="B640" t="s">
        <v>83</v>
      </c>
      <c r="C640" t="s">
        <v>602</v>
      </c>
      <c r="D640">
        <v>3269.71</v>
      </c>
      <c r="E640" s="37" t="str">
        <f t="shared" si="45"/>
        <v xml:space="preserve"> </v>
      </c>
      <c r="F640">
        <v>0.28999999999999998</v>
      </c>
      <c r="G640" s="37" t="str">
        <f t="shared" si="46"/>
        <v>Normal Discount</v>
      </c>
      <c r="H640" s="37" t="str">
        <f t="shared" si="47"/>
        <v>Medium</v>
      </c>
      <c r="I640">
        <v>1</v>
      </c>
      <c r="J640" t="str" cm="1">
        <f t="array" ref="J640">_xlfn.IFS(I640&lt;=3,"small",I640&lt;=6,"Medium",I640&lt;=9,"Large")</f>
        <v>small</v>
      </c>
      <c r="K640" s="36">
        <v>45271</v>
      </c>
      <c r="L640" s="36">
        <v>45277</v>
      </c>
      <c r="M640" t="s">
        <v>612</v>
      </c>
      <c r="N640" t="s">
        <v>604</v>
      </c>
      <c r="O640" s="37" t="str">
        <f t="shared" si="48"/>
        <v>Digital Payment</v>
      </c>
      <c r="P640">
        <v>763.96</v>
      </c>
      <c r="Q640" s="37" t="str">
        <f>IF(P640&gt;500,"High","low")</f>
        <v>High</v>
      </c>
      <c r="R640" s="37" t="str">
        <f t="shared" si="49"/>
        <v>Good</v>
      </c>
      <c r="S640" t="s">
        <v>615</v>
      </c>
    </row>
    <row r="641" spans="1:19" x14ac:dyDescent="0.2">
      <c r="A641" t="s">
        <v>1252</v>
      </c>
      <c r="B641" t="s">
        <v>67</v>
      </c>
      <c r="C641" t="s">
        <v>602</v>
      </c>
      <c r="D641">
        <v>938.84</v>
      </c>
      <c r="E641" s="37" t="str">
        <f t="shared" si="45"/>
        <v xml:space="preserve"> </v>
      </c>
      <c r="F641">
        <v>0.39</v>
      </c>
      <c r="G641" s="37" t="str">
        <f t="shared" si="46"/>
        <v>Heavy Discount</v>
      </c>
      <c r="H641" s="37" t="str">
        <f t="shared" si="47"/>
        <v>Medium</v>
      </c>
      <c r="I641">
        <v>5</v>
      </c>
      <c r="J641" t="str" cm="1">
        <f t="array" ref="J641">_xlfn.IFS(I641&lt;=3,"small",I641&lt;=6,"Medium",I641&lt;=9,"Large")</f>
        <v>Medium</v>
      </c>
      <c r="K641" s="36">
        <v>45358</v>
      </c>
      <c r="L641" s="36">
        <v>45360</v>
      </c>
      <c r="M641" t="s">
        <v>603</v>
      </c>
      <c r="N641" t="s">
        <v>599</v>
      </c>
      <c r="O641" s="37" t="str">
        <f t="shared" si="48"/>
        <v>Digital Payment</v>
      </c>
      <c r="P641">
        <v>64.760000000000005</v>
      </c>
      <c r="Q641" s="37" t="str">
        <f>IF(P641&gt;500,"High","low")</f>
        <v>low</v>
      </c>
      <c r="R641" s="37" t="str">
        <f t="shared" si="49"/>
        <v>AVERAGE</v>
      </c>
      <c r="S641" t="s">
        <v>600</v>
      </c>
    </row>
    <row r="642" spans="1:19" x14ac:dyDescent="0.2">
      <c r="A642" t="s">
        <v>1253</v>
      </c>
      <c r="B642" t="s">
        <v>83</v>
      </c>
      <c r="C642" t="s">
        <v>597</v>
      </c>
      <c r="D642">
        <v>3190.51</v>
      </c>
      <c r="E642" s="37" t="str">
        <f t="shared" si="45"/>
        <v xml:space="preserve"> </v>
      </c>
      <c r="F642">
        <v>0.14000000000000001</v>
      </c>
      <c r="G642" s="37" t="str">
        <f t="shared" si="46"/>
        <v>Normal Discount</v>
      </c>
      <c r="H642" s="37" t="str">
        <f t="shared" si="47"/>
        <v>Low</v>
      </c>
      <c r="I642">
        <v>5</v>
      </c>
      <c r="J642" t="str" cm="1">
        <f t="array" ref="J642">_xlfn.IFS(I642&lt;=3,"small",I642&lt;=6,"Medium",I642&lt;=9,"Large")</f>
        <v>Medium</v>
      </c>
      <c r="K642" s="36">
        <v>45270</v>
      </c>
      <c r="L642" s="36">
        <v>45274</v>
      </c>
      <c r="M642" t="s">
        <v>598</v>
      </c>
      <c r="N642" t="s">
        <v>608</v>
      </c>
      <c r="O642" s="37" t="str">
        <f t="shared" si="48"/>
        <v>Cash Payment</v>
      </c>
      <c r="P642">
        <v>207.09</v>
      </c>
      <c r="Q642" s="37" t="str">
        <f>IF(P642&gt;500,"High","low")</f>
        <v>low</v>
      </c>
      <c r="R642" s="37" t="str">
        <f t="shared" si="49"/>
        <v>AVERAGE</v>
      </c>
      <c r="S642" t="s">
        <v>600</v>
      </c>
    </row>
    <row r="643" spans="1:19" x14ac:dyDescent="0.2">
      <c r="A643" t="s">
        <v>1254</v>
      </c>
      <c r="B643" t="s">
        <v>83</v>
      </c>
      <c r="C643" t="s">
        <v>607</v>
      </c>
      <c r="D643">
        <v>3021.42</v>
      </c>
      <c r="E643" s="37" t="str">
        <f t="shared" ref="E643:E706" si="50">IF(AND(D643&gt;4000,P643&gt;800),"Excellent Order"," ")</f>
        <v xml:space="preserve"> </v>
      </c>
      <c r="F643">
        <v>0.42</v>
      </c>
      <c r="G643" s="37" t="str">
        <f t="shared" ref="G643:G706" si="51">IF(F643&gt;30%,"Heavy Discount","Normal Discount")</f>
        <v>Heavy Discount</v>
      </c>
      <c r="H643" s="37" t="str">
        <f t="shared" ref="H643:H706" si="52">IF(F643&gt;0.4,"High",IF(F643&gt;=0.2,"Medium","Low"))</f>
        <v>High</v>
      </c>
      <c r="I643">
        <v>2</v>
      </c>
      <c r="J643" t="str" cm="1">
        <f t="array" ref="J643">_xlfn.IFS(I643&lt;=3,"small",I643&lt;=6,"Medium",I643&lt;=9,"Large")</f>
        <v>small</v>
      </c>
      <c r="K643" s="36">
        <v>45544</v>
      </c>
      <c r="L643" s="36">
        <v>45551</v>
      </c>
      <c r="M643" t="s">
        <v>612</v>
      </c>
      <c r="N643" t="s">
        <v>608</v>
      </c>
      <c r="O643" s="37" t="str">
        <f t="shared" ref="O643:O706" si="53">IF(OR(N643="Card",N643="UPI"),"Digital Payment","Cash Payment")</f>
        <v>Cash Payment</v>
      </c>
      <c r="P643">
        <v>623.37</v>
      </c>
      <c r="Q643" s="37" t="str">
        <f>IF(P643&gt;500,"High","low")</f>
        <v>High</v>
      </c>
      <c r="R643" s="37" t="str">
        <f t="shared" ref="R643:R706" si="54">IF(P643&gt;1000,"Excellent",IF(P643&gt;=500,"Good","AVERAGE"))</f>
        <v>Good</v>
      </c>
      <c r="S643" t="s">
        <v>615</v>
      </c>
    </row>
    <row r="644" spans="1:19" x14ac:dyDescent="0.2">
      <c r="A644" t="s">
        <v>1255</v>
      </c>
      <c r="B644" t="s">
        <v>67</v>
      </c>
      <c r="C644" t="s">
        <v>614</v>
      </c>
      <c r="D644">
        <v>417.78</v>
      </c>
      <c r="E644" s="37" t="str">
        <f t="shared" si="50"/>
        <v xml:space="preserve"> </v>
      </c>
      <c r="F644">
        <v>0.38</v>
      </c>
      <c r="G644" s="37" t="str">
        <f t="shared" si="51"/>
        <v>Heavy Discount</v>
      </c>
      <c r="H644" s="37" t="str">
        <f t="shared" si="52"/>
        <v>Medium</v>
      </c>
      <c r="I644">
        <v>1</v>
      </c>
      <c r="J644" t="str" cm="1">
        <f t="array" ref="J644">_xlfn.IFS(I644&lt;=3,"small",I644&lt;=6,"Medium",I644&lt;=9,"Large")</f>
        <v>small</v>
      </c>
      <c r="K644" s="36">
        <v>45343</v>
      </c>
      <c r="L644" s="36">
        <v>45344</v>
      </c>
      <c r="M644" t="s">
        <v>603</v>
      </c>
      <c r="N644" t="s">
        <v>599</v>
      </c>
      <c r="O644" s="37" t="str">
        <f t="shared" si="53"/>
        <v>Digital Payment</v>
      </c>
      <c r="P644">
        <v>60.11</v>
      </c>
      <c r="Q644" s="37" t="str">
        <f>IF(P644&gt;500,"High","low")</f>
        <v>low</v>
      </c>
      <c r="R644" s="37" t="str">
        <f t="shared" si="54"/>
        <v>AVERAGE</v>
      </c>
      <c r="S644" t="s">
        <v>628</v>
      </c>
    </row>
    <row r="645" spans="1:19" x14ac:dyDescent="0.2">
      <c r="A645" t="s">
        <v>1256</v>
      </c>
      <c r="B645" t="s">
        <v>75</v>
      </c>
      <c r="C645" t="s">
        <v>614</v>
      </c>
      <c r="D645">
        <v>1407.97</v>
      </c>
      <c r="E645" s="37" t="str">
        <f t="shared" si="50"/>
        <v xml:space="preserve"> </v>
      </c>
      <c r="F645">
        <v>0.24</v>
      </c>
      <c r="G645" s="37" t="str">
        <f t="shared" si="51"/>
        <v>Normal Discount</v>
      </c>
      <c r="H645" s="37" t="str">
        <f t="shared" si="52"/>
        <v>Medium</v>
      </c>
      <c r="I645">
        <v>7</v>
      </c>
      <c r="J645" t="str" cm="1">
        <f t="array" ref="J645">_xlfn.IFS(I645&lt;=3,"small",I645&lt;=6,"Medium",I645&lt;=9,"Large")</f>
        <v>Large</v>
      </c>
      <c r="K645" s="36">
        <v>45459</v>
      </c>
      <c r="L645" s="36">
        <v>45465</v>
      </c>
      <c r="M645" t="s">
        <v>598</v>
      </c>
      <c r="N645" t="s">
        <v>604</v>
      </c>
      <c r="O645" s="37" t="str">
        <f t="shared" si="53"/>
        <v>Digital Payment</v>
      </c>
      <c r="P645">
        <v>396.72</v>
      </c>
      <c r="Q645" s="37" t="str">
        <f>IF(P645&gt;500,"High","low")</f>
        <v>low</v>
      </c>
      <c r="R645" s="37" t="str">
        <f t="shared" si="54"/>
        <v>AVERAGE</v>
      </c>
      <c r="S645" t="s">
        <v>609</v>
      </c>
    </row>
    <row r="646" spans="1:19" x14ac:dyDescent="0.2">
      <c r="A646" t="s">
        <v>1257</v>
      </c>
      <c r="B646" t="s">
        <v>67</v>
      </c>
      <c r="C646" t="s">
        <v>614</v>
      </c>
      <c r="D646">
        <v>2015.61</v>
      </c>
      <c r="E646" s="37" t="str">
        <f t="shared" si="50"/>
        <v xml:space="preserve"> </v>
      </c>
      <c r="F646">
        <v>0.06</v>
      </c>
      <c r="G646" s="37" t="str">
        <f t="shared" si="51"/>
        <v>Normal Discount</v>
      </c>
      <c r="H646" s="37" t="str">
        <f t="shared" si="52"/>
        <v>Low</v>
      </c>
      <c r="I646">
        <v>9</v>
      </c>
      <c r="J646" t="str" cm="1">
        <f t="array" ref="J646">_xlfn.IFS(I646&lt;=3,"small",I646&lt;=6,"Medium",I646&lt;=9,"Large")</f>
        <v>Large</v>
      </c>
      <c r="K646" s="36">
        <v>45413</v>
      </c>
      <c r="L646" s="36">
        <v>45415</v>
      </c>
      <c r="M646" t="s">
        <v>598</v>
      </c>
      <c r="N646" t="s">
        <v>604</v>
      </c>
      <c r="O646" s="37" t="str">
        <f t="shared" si="53"/>
        <v>Digital Payment</v>
      </c>
      <c r="P646">
        <v>542.77</v>
      </c>
      <c r="Q646" s="37" t="str">
        <f>IF(P646&gt;500,"High","low")</f>
        <v>High</v>
      </c>
      <c r="R646" s="37" t="str">
        <f t="shared" si="54"/>
        <v>Good</v>
      </c>
      <c r="S646" t="s">
        <v>615</v>
      </c>
    </row>
    <row r="647" spans="1:19" x14ac:dyDescent="0.2">
      <c r="A647" t="s">
        <v>1258</v>
      </c>
      <c r="B647" t="s">
        <v>75</v>
      </c>
      <c r="C647" t="s">
        <v>597</v>
      </c>
      <c r="D647">
        <v>1299.95</v>
      </c>
      <c r="E647" s="37" t="str">
        <f t="shared" si="50"/>
        <v xml:space="preserve"> </v>
      </c>
      <c r="F647">
        <v>0.49</v>
      </c>
      <c r="G647" s="37" t="str">
        <f t="shared" si="51"/>
        <v>Heavy Discount</v>
      </c>
      <c r="H647" s="37" t="str">
        <f t="shared" si="52"/>
        <v>High</v>
      </c>
      <c r="I647">
        <v>8</v>
      </c>
      <c r="J647" t="str" cm="1">
        <f t="array" ref="J647">_xlfn.IFS(I647&lt;=3,"small",I647&lt;=6,"Medium",I647&lt;=9,"Large")</f>
        <v>Large</v>
      </c>
      <c r="K647" s="36">
        <v>44981</v>
      </c>
      <c r="L647" s="36">
        <v>44982</v>
      </c>
      <c r="M647" t="s">
        <v>598</v>
      </c>
      <c r="N647" t="s">
        <v>608</v>
      </c>
      <c r="O647" s="37" t="str">
        <f t="shared" si="53"/>
        <v>Cash Payment</v>
      </c>
      <c r="P647">
        <v>226.44</v>
      </c>
      <c r="Q647" s="37" t="str">
        <f>IF(P647&gt;500,"High","low")</f>
        <v>low</v>
      </c>
      <c r="R647" s="37" t="str">
        <f t="shared" si="54"/>
        <v>AVERAGE</v>
      </c>
      <c r="S647" t="s">
        <v>609</v>
      </c>
    </row>
    <row r="648" spans="1:19" x14ac:dyDescent="0.2">
      <c r="A648" t="s">
        <v>1259</v>
      </c>
      <c r="B648" t="s">
        <v>75</v>
      </c>
      <c r="C648" t="s">
        <v>597</v>
      </c>
      <c r="D648">
        <v>1291.49</v>
      </c>
      <c r="E648" s="37" t="str">
        <f t="shared" si="50"/>
        <v xml:space="preserve"> </v>
      </c>
      <c r="F648">
        <v>0.31</v>
      </c>
      <c r="G648" s="37" t="str">
        <f t="shared" si="51"/>
        <v>Heavy Discount</v>
      </c>
      <c r="H648" s="37" t="str">
        <f t="shared" si="52"/>
        <v>Medium</v>
      </c>
      <c r="I648">
        <v>7</v>
      </c>
      <c r="J648" t="str" cm="1">
        <f t="array" ref="J648">_xlfn.IFS(I648&lt;=3,"small",I648&lt;=6,"Medium",I648&lt;=9,"Large")</f>
        <v>Large</v>
      </c>
      <c r="K648" s="36">
        <v>45103</v>
      </c>
      <c r="L648" s="36">
        <v>45108</v>
      </c>
      <c r="M648" t="s">
        <v>598</v>
      </c>
      <c r="N648" t="s">
        <v>608</v>
      </c>
      <c r="O648" s="37" t="str">
        <f t="shared" si="53"/>
        <v>Cash Payment</v>
      </c>
      <c r="P648">
        <v>91.07</v>
      </c>
      <c r="Q648" s="37" t="str">
        <f>IF(P648&gt;500,"High","low")</f>
        <v>low</v>
      </c>
      <c r="R648" s="37" t="str">
        <f t="shared" si="54"/>
        <v>AVERAGE</v>
      </c>
      <c r="S648" t="s">
        <v>609</v>
      </c>
    </row>
    <row r="649" spans="1:19" x14ac:dyDescent="0.2">
      <c r="A649" t="s">
        <v>1260</v>
      </c>
      <c r="B649" t="s">
        <v>75</v>
      </c>
      <c r="C649" t="s">
        <v>617</v>
      </c>
      <c r="D649">
        <v>2907.45</v>
      </c>
      <c r="E649" s="37" t="str">
        <f t="shared" si="50"/>
        <v xml:space="preserve"> </v>
      </c>
      <c r="F649">
        <v>0.26</v>
      </c>
      <c r="G649" s="37" t="str">
        <f t="shared" si="51"/>
        <v>Normal Discount</v>
      </c>
      <c r="H649" s="37" t="str">
        <f t="shared" si="52"/>
        <v>Medium</v>
      </c>
      <c r="I649">
        <v>4</v>
      </c>
      <c r="J649" t="str" cm="1">
        <f t="array" ref="J649">_xlfn.IFS(I649&lt;=3,"small",I649&lt;=6,"Medium",I649&lt;=9,"Large")</f>
        <v>Medium</v>
      </c>
      <c r="K649" s="36">
        <v>45394</v>
      </c>
      <c r="L649" s="36">
        <v>45396</v>
      </c>
      <c r="M649" t="s">
        <v>598</v>
      </c>
      <c r="N649" t="s">
        <v>599</v>
      </c>
      <c r="O649" s="37" t="str">
        <f t="shared" si="53"/>
        <v>Digital Payment</v>
      </c>
      <c r="P649">
        <v>545.4</v>
      </c>
      <c r="Q649" s="37" t="str">
        <f>IF(P649&gt;500,"High","low")</f>
        <v>High</v>
      </c>
      <c r="R649" s="37" t="str">
        <f t="shared" si="54"/>
        <v>Good</v>
      </c>
      <c r="S649" t="s">
        <v>605</v>
      </c>
    </row>
    <row r="650" spans="1:19" x14ac:dyDescent="0.2">
      <c r="A650" t="s">
        <v>1261</v>
      </c>
      <c r="B650" t="s">
        <v>67</v>
      </c>
      <c r="C650" t="s">
        <v>614</v>
      </c>
      <c r="D650">
        <v>2407.21</v>
      </c>
      <c r="E650" s="37" t="str">
        <f t="shared" si="50"/>
        <v xml:space="preserve"> </v>
      </c>
      <c r="F650">
        <v>0.44</v>
      </c>
      <c r="G650" s="37" t="str">
        <f t="shared" si="51"/>
        <v>Heavy Discount</v>
      </c>
      <c r="H650" s="37" t="str">
        <f t="shared" si="52"/>
        <v>High</v>
      </c>
      <c r="I650">
        <v>7</v>
      </c>
      <c r="J650" t="str" cm="1">
        <f t="array" ref="J650">_xlfn.IFS(I650&lt;=3,"small",I650&lt;=6,"Medium",I650&lt;=9,"Large")</f>
        <v>Large</v>
      </c>
      <c r="K650" s="36">
        <v>45421</v>
      </c>
      <c r="L650" s="36">
        <v>45422</v>
      </c>
      <c r="M650" t="s">
        <v>603</v>
      </c>
      <c r="N650" t="s">
        <v>604</v>
      </c>
      <c r="O650" s="37" t="str">
        <f t="shared" si="53"/>
        <v>Digital Payment</v>
      </c>
      <c r="P650">
        <v>718.76</v>
      </c>
      <c r="Q650" s="37" t="str">
        <f>IF(P650&gt;500,"High","low")</f>
        <v>High</v>
      </c>
      <c r="R650" s="37" t="str">
        <f t="shared" si="54"/>
        <v>Good</v>
      </c>
      <c r="S650" t="s">
        <v>628</v>
      </c>
    </row>
    <row r="651" spans="1:19" x14ac:dyDescent="0.2">
      <c r="A651" t="s">
        <v>1262</v>
      </c>
      <c r="B651" t="s">
        <v>75</v>
      </c>
      <c r="C651" t="s">
        <v>614</v>
      </c>
      <c r="D651">
        <v>3369.73</v>
      </c>
      <c r="E651" s="37" t="str">
        <f t="shared" si="50"/>
        <v xml:space="preserve"> </v>
      </c>
      <c r="F651">
        <v>0.21</v>
      </c>
      <c r="G651" s="37" t="str">
        <f t="shared" si="51"/>
        <v>Normal Discount</v>
      </c>
      <c r="H651" s="37" t="str">
        <f t="shared" si="52"/>
        <v>Medium</v>
      </c>
      <c r="I651">
        <v>8</v>
      </c>
      <c r="J651" t="str" cm="1">
        <f t="array" ref="J651">_xlfn.IFS(I651&lt;=3,"small",I651&lt;=6,"Medium",I651&lt;=9,"Large")</f>
        <v>Large</v>
      </c>
      <c r="K651" s="36">
        <v>45447</v>
      </c>
      <c r="L651" s="36">
        <v>45451</v>
      </c>
      <c r="M651" t="s">
        <v>603</v>
      </c>
      <c r="N651" t="s">
        <v>604</v>
      </c>
      <c r="O651" s="37" t="str">
        <f t="shared" si="53"/>
        <v>Digital Payment</v>
      </c>
      <c r="P651">
        <v>724.81</v>
      </c>
      <c r="Q651" s="37" t="str">
        <f>IF(P651&gt;500,"High","low")</f>
        <v>High</v>
      </c>
      <c r="R651" s="37" t="str">
        <f t="shared" si="54"/>
        <v>Good</v>
      </c>
      <c r="S651" t="s">
        <v>600</v>
      </c>
    </row>
    <row r="652" spans="1:19" x14ac:dyDescent="0.2">
      <c r="A652" t="s">
        <v>1263</v>
      </c>
      <c r="B652" t="s">
        <v>90</v>
      </c>
      <c r="C652" t="s">
        <v>597</v>
      </c>
      <c r="D652">
        <v>4786.3900000000003</v>
      </c>
      <c r="E652" s="37" t="str">
        <f t="shared" si="50"/>
        <v>Excellent Order</v>
      </c>
      <c r="F652">
        <v>0.28000000000000003</v>
      </c>
      <c r="G652" s="37" t="str">
        <f t="shared" si="51"/>
        <v>Normal Discount</v>
      </c>
      <c r="H652" s="37" t="str">
        <f t="shared" si="52"/>
        <v>Medium</v>
      </c>
      <c r="I652">
        <v>9</v>
      </c>
      <c r="J652" t="str" cm="1">
        <f t="array" ref="J652">_xlfn.IFS(I652&lt;=3,"small",I652&lt;=6,"Medium",I652&lt;=9,"Large")</f>
        <v>Large</v>
      </c>
      <c r="K652" s="36">
        <v>45044</v>
      </c>
      <c r="L652" s="36">
        <v>45049</v>
      </c>
      <c r="M652" t="s">
        <v>598</v>
      </c>
      <c r="N652" t="s">
        <v>599</v>
      </c>
      <c r="O652" s="37" t="str">
        <f t="shared" si="53"/>
        <v>Digital Payment</v>
      </c>
      <c r="P652">
        <v>1189.5899999999999</v>
      </c>
      <c r="Q652" s="37" t="str">
        <f>IF(P652&gt;500,"High","low")</f>
        <v>High</v>
      </c>
      <c r="R652" s="37" t="str">
        <f t="shared" si="54"/>
        <v>Excellent</v>
      </c>
      <c r="S652" t="s">
        <v>600</v>
      </c>
    </row>
    <row r="653" spans="1:19" x14ac:dyDescent="0.2">
      <c r="A653" t="s">
        <v>1264</v>
      </c>
      <c r="B653" t="s">
        <v>67</v>
      </c>
      <c r="C653" t="s">
        <v>597</v>
      </c>
      <c r="D653">
        <v>3336.72</v>
      </c>
      <c r="E653" s="37" t="str">
        <f t="shared" si="50"/>
        <v xml:space="preserve"> </v>
      </c>
      <c r="F653">
        <v>0.43</v>
      </c>
      <c r="G653" s="37" t="str">
        <f t="shared" si="51"/>
        <v>Heavy Discount</v>
      </c>
      <c r="H653" s="37" t="str">
        <f t="shared" si="52"/>
        <v>High</v>
      </c>
      <c r="I653">
        <v>9</v>
      </c>
      <c r="J653" t="str" cm="1">
        <f t="array" ref="J653">_xlfn.IFS(I653&lt;=3,"small",I653&lt;=6,"Medium",I653&lt;=9,"Large")</f>
        <v>Large</v>
      </c>
      <c r="K653" s="36">
        <v>45315</v>
      </c>
      <c r="L653" s="36">
        <v>45316</v>
      </c>
      <c r="M653" t="s">
        <v>603</v>
      </c>
      <c r="N653" t="s">
        <v>604</v>
      </c>
      <c r="O653" s="37" t="str">
        <f t="shared" si="53"/>
        <v>Digital Payment</v>
      </c>
      <c r="P653">
        <v>503.48</v>
      </c>
      <c r="Q653" s="37" t="str">
        <f>IF(P653&gt;500,"High","low")</f>
        <v>High</v>
      </c>
      <c r="R653" s="37" t="str">
        <f t="shared" si="54"/>
        <v>Good</v>
      </c>
      <c r="S653" t="s">
        <v>600</v>
      </c>
    </row>
    <row r="654" spans="1:19" x14ac:dyDescent="0.2">
      <c r="A654" t="s">
        <v>1265</v>
      </c>
      <c r="B654" t="s">
        <v>90</v>
      </c>
      <c r="C654" t="s">
        <v>617</v>
      </c>
      <c r="D654">
        <v>2952.27</v>
      </c>
      <c r="E654" s="37" t="str">
        <f t="shared" si="50"/>
        <v xml:space="preserve"> </v>
      </c>
      <c r="F654">
        <v>0.2</v>
      </c>
      <c r="G654" s="37" t="str">
        <f t="shared" si="51"/>
        <v>Normal Discount</v>
      </c>
      <c r="H654" s="37" t="str">
        <f t="shared" si="52"/>
        <v>Medium</v>
      </c>
      <c r="I654">
        <v>5</v>
      </c>
      <c r="J654" t="str" cm="1">
        <f t="array" ref="J654">_xlfn.IFS(I654&lt;=3,"small",I654&lt;=6,"Medium",I654&lt;=9,"Large")</f>
        <v>Medium</v>
      </c>
      <c r="K654" s="36">
        <v>45539</v>
      </c>
      <c r="L654" s="36">
        <v>45545</v>
      </c>
      <c r="M654" t="s">
        <v>603</v>
      </c>
      <c r="N654" t="s">
        <v>604</v>
      </c>
      <c r="O654" s="37" t="str">
        <f t="shared" si="53"/>
        <v>Digital Payment</v>
      </c>
      <c r="P654">
        <v>202.55</v>
      </c>
      <c r="Q654" s="37" t="str">
        <f>IF(P654&gt;500,"High","low")</f>
        <v>low</v>
      </c>
      <c r="R654" s="37" t="str">
        <f t="shared" si="54"/>
        <v>AVERAGE</v>
      </c>
      <c r="S654" t="s">
        <v>615</v>
      </c>
    </row>
    <row r="655" spans="1:19" x14ac:dyDescent="0.2">
      <c r="A655" t="s">
        <v>1266</v>
      </c>
      <c r="B655" t="s">
        <v>75</v>
      </c>
      <c r="C655" t="s">
        <v>617</v>
      </c>
      <c r="D655">
        <v>4253.04</v>
      </c>
      <c r="E655" s="37" t="str">
        <f t="shared" si="50"/>
        <v>Excellent Order</v>
      </c>
      <c r="F655">
        <v>0.39</v>
      </c>
      <c r="G655" s="37" t="str">
        <f t="shared" si="51"/>
        <v>Heavy Discount</v>
      </c>
      <c r="H655" s="37" t="str">
        <f t="shared" si="52"/>
        <v>Medium</v>
      </c>
      <c r="I655">
        <v>5</v>
      </c>
      <c r="J655" t="str" cm="1">
        <f t="array" ref="J655">_xlfn.IFS(I655&lt;=3,"small",I655&lt;=6,"Medium",I655&lt;=9,"Large")</f>
        <v>Medium</v>
      </c>
      <c r="K655" s="36">
        <v>45344</v>
      </c>
      <c r="L655" s="36">
        <v>45348</v>
      </c>
      <c r="M655" t="s">
        <v>603</v>
      </c>
      <c r="N655" t="s">
        <v>599</v>
      </c>
      <c r="O655" s="37" t="str">
        <f t="shared" si="53"/>
        <v>Digital Payment</v>
      </c>
      <c r="P655">
        <v>1211.92</v>
      </c>
      <c r="Q655" s="37" t="str">
        <f>IF(P655&gt;500,"High","low")</f>
        <v>High</v>
      </c>
      <c r="R655" s="37" t="str">
        <f t="shared" si="54"/>
        <v>Excellent</v>
      </c>
      <c r="S655" t="s">
        <v>605</v>
      </c>
    </row>
    <row r="656" spans="1:19" x14ac:dyDescent="0.2">
      <c r="A656" t="s">
        <v>1267</v>
      </c>
      <c r="B656" t="s">
        <v>83</v>
      </c>
      <c r="C656" t="s">
        <v>602</v>
      </c>
      <c r="D656">
        <v>3197.16</v>
      </c>
      <c r="E656" s="37" t="str">
        <f t="shared" si="50"/>
        <v xml:space="preserve"> </v>
      </c>
      <c r="F656">
        <v>0.13</v>
      </c>
      <c r="G656" s="37" t="str">
        <f t="shared" si="51"/>
        <v>Normal Discount</v>
      </c>
      <c r="H656" s="37" t="str">
        <f t="shared" si="52"/>
        <v>Low</v>
      </c>
      <c r="I656">
        <v>6</v>
      </c>
      <c r="J656" t="str" cm="1">
        <f t="array" ref="J656">_xlfn.IFS(I656&lt;=3,"small",I656&lt;=6,"Medium",I656&lt;=9,"Large")</f>
        <v>Medium</v>
      </c>
      <c r="K656" s="36">
        <v>45128</v>
      </c>
      <c r="L656" s="36">
        <v>45133</v>
      </c>
      <c r="M656" t="s">
        <v>612</v>
      </c>
      <c r="N656" t="s">
        <v>604</v>
      </c>
      <c r="O656" s="37" t="str">
        <f t="shared" si="53"/>
        <v>Digital Payment</v>
      </c>
      <c r="P656">
        <v>423.35</v>
      </c>
      <c r="Q656" s="37" t="str">
        <f>IF(P656&gt;500,"High","low")</f>
        <v>low</v>
      </c>
      <c r="R656" s="37" t="str">
        <f t="shared" si="54"/>
        <v>AVERAGE</v>
      </c>
      <c r="S656" t="s">
        <v>605</v>
      </c>
    </row>
    <row r="657" spans="1:19" x14ac:dyDescent="0.2">
      <c r="A657" t="s">
        <v>1268</v>
      </c>
      <c r="B657" t="s">
        <v>75</v>
      </c>
      <c r="C657" t="s">
        <v>607</v>
      </c>
      <c r="D657">
        <v>911.25</v>
      </c>
      <c r="E657" s="37" t="str">
        <f t="shared" si="50"/>
        <v xml:space="preserve"> </v>
      </c>
      <c r="F657">
        <v>0.35</v>
      </c>
      <c r="G657" s="37" t="str">
        <f t="shared" si="51"/>
        <v>Heavy Discount</v>
      </c>
      <c r="H657" s="37" t="str">
        <f t="shared" si="52"/>
        <v>Medium</v>
      </c>
      <c r="I657">
        <v>8</v>
      </c>
      <c r="J657" t="str" cm="1">
        <f t="array" ref="J657">_xlfn.IFS(I657&lt;=3,"small",I657&lt;=6,"Medium",I657&lt;=9,"Large")</f>
        <v>Large</v>
      </c>
      <c r="K657" s="36">
        <v>45071</v>
      </c>
      <c r="L657" s="36">
        <v>45074</v>
      </c>
      <c r="M657" t="s">
        <v>598</v>
      </c>
      <c r="N657" t="s">
        <v>608</v>
      </c>
      <c r="O657" s="37" t="str">
        <f t="shared" si="53"/>
        <v>Cash Payment</v>
      </c>
      <c r="P657">
        <v>80.02</v>
      </c>
      <c r="Q657" s="37" t="str">
        <f>IF(P657&gt;500,"High","low")</f>
        <v>low</v>
      </c>
      <c r="R657" s="37" t="str">
        <f t="shared" si="54"/>
        <v>AVERAGE</v>
      </c>
      <c r="S657" t="s">
        <v>620</v>
      </c>
    </row>
    <row r="658" spans="1:19" x14ac:dyDescent="0.2">
      <c r="A658" t="s">
        <v>1269</v>
      </c>
      <c r="B658" t="s">
        <v>90</v>
      </c>
      <c r="C658" t="s">
        <v>614</v>
      </c>
      <c r="D658">
        <v>1642.27</v>
      </c>
      <c r="E658" s="37" t="str">
        <f t="shared" si="50"/>
        <v xml:space="preserve"> </v>
      </c>
      <c r="F658">
        <v>0.26</v>
      </c>
      <c r="G658" s="37" t="str">
        <f t="shared" si="51"/>
        <v>Normal Discount</v>
      </c>
      <c r="H658" s="37" t="str">
        <f t="shared" si="52"/>
        <v>Medium</v>
      </c>
      <c r="I658">
        <v>3</v>
      </c>
      <c r="J658" t="str" cm="1">
        <f t="array" ref="J658">_xlfn.IFS(I658&lt;=3,"small",I658&lt;=6,"Medium",I658&lt;=9,"Large")</f>
        <v>small</v>
      </c>
      <c r="K658" s="36">
        <v>45107</v>
      </c>
      <c r="L658" s="36">
        <v>45110</v>
      </c>
      <c r="M658" t="s">
        <v>598</v>
      </c>
      <c r="N658" t="s">
        <v>604</v>
      </c>
      <c r="O658" s="37" t="str">
        <f t="shared" si="53"/>
        <v>Digital Payment</v>
      </c>
      <c r="P658">
        <v>145.9</v>
      </c>
      <c r="Q658" s="37" t="str">
        <f>IF(P658&gt;500,"High","low")</f>
        <v>low</v>
      </c>
      <c r="R658" s="37" t="str">
        <f t="shared" si="54"/>
        <v>AVERAGE</v>
      </c>
      <c r="S658" t="s">
        <v>620</v>
      </c>
    </row>
    <row r="659" spans="1:19" x14ac:dyDescent="0.2">
      <c r="A659" t="s">
        <v>1270</v>
      </c>
      <c r="B659" t="s">
        <v>90</v>
      </c>
      <c r="C659" t="s">
        <v>614</v>
      </c>
      <c r="D659">
        <v>3693.47</v>
      </c>
      <c r="E659" s="37" t="str">
        <f t="shared" si="50"/>
        <v xml:space="preserve"> </v>
      </c>
      <c r="F659">
        <v>0.08</v>
      </c>
      <c r="G659" s="37" t="str">
        <f t="shared" si="51"/>
        <v>Normal Discount</v>
      </c>
      <c r="H659" s="37" t="str">
        <f t="shared" si="52"/>
        <v>Low</v>
      </c>
      <c r="I659">
        <v>3</v>
      </c>
      <c r="J659" t="str" cm="1">
        <f t="array" ref="J659">_xlfn.IFS(I659&lt;=3,"small",I659&lt;=6,"Medium",I659&lt;=9,"Large")</f>
        <v>small</v>
      </c>
      <c r="K659" s="36">
        <v>44962</v>
      </c>
      <c r="L659" s="36">
        <v>44967</v>
      </c>
      <c r="M659" t="s">
        <v>603</v>
      </c>
      <c r="N659" t="s">
        <v>608</v>
      </c>
      <c r="O659" s="37" t="str">
        <f t="shared" si="53"/>
        <v>Cash Payment</v>
      </c>
      <c r="P659">
        <v>310.36</v>
      </c>
      <c r="Q659" s="37" t="str">
        <f>IF(P659&gt;500,"High","low")</f>
        <v>low</v>
      </c>
      <c r="R659" s="37" t="str">
        <f t="shared" si="54"/>
        <v>AVERAGE</v>
      </c>
      <c r="S659" t="s">
        <v>620</v>
      </c>
    </row>
    <row r="660" spans="1:19" x14ac:dyDescent="0.2">
      <c r="A660" t="s">
        <v>1271</v>
      </c>
      <c r="B660" t="s">
        <v>67</v>
      </c>
      <c r="C660" t="s">
        <v>617</v>
      </c>
      <c r="D660">
        <v>3718.07</v>
      </c>
      <c r="E660" s="37" t="str">
        <f t="shared" si="50"/>
        <v xml:space="preserve"> </v>
      </c>
      <c r="F660">
        <v>7.0000000000000007E-2</v>
      </c>
      <c r="G660" s="37" t="str">
        <f t="shared" si="51"/>
        <v>Normal Discount</v>
      </c>
      <c r="H660" s="37" t="str">
        <f t="shared" si="52"/>
        <v>Low</v>
      </c>
      <c r="I660">
        <v>5</v>
      </c>
      <c r="J660" t="str" cm="1">
        <f t="array" ref="J660">_xlfn.IFS(I660&lt;=3,"small",I660&lt;=6,"Medium",I660&lt;=9,"Large")</f>
        <v>Medium</v>
      </c>
      <c r="K660" s="36">
        <v>44962</v>
      </c>
      <c r="L660" s="36">
        <v>44969</v>
      </c>
      <c r="M660" t="s">
        <v>603</v>
      </c>
      <c r="N660" t="s">
        <v>604</v>
      </c>
      <c r="O660" s="37" t="str">
        <f t="shared" si="53"/>
        <v>Digital Payment</v>
      </c>
      <c r="P660">
        <v>585.21</v>
      </c>
      <c r="Q660" s="37" t="str">
        <f>IF(P660&gt;500,"High","low")</f>
        <v>High</v>
      </c>
      <c r="R660" s="37" t="str">
        <f t="shared" si="54"/>
        <v>Good</v>
      </c>
      <c r="S660" t="s">
        <v>628</v>
      </c>
    </row>
    <row r="661" spans="1:19" x14ac:dyDescent="0.2">
      <c r="A661" t="s">
        <v>1272</v>
      </c>
      <c r="B661" t="s">
        <v>83</v>
      </c>
      <c r="C661" t="s">
        <v>617</v>
      </c>
      <c r="D661">
        <v>4936.34</v>
      </c>
      <c r="E661" s="37" t="str">
        <f t="shared" si="50"/>
        <v>Excellent Order</v>
      </c>
      <c r="F661">
        <v>0.23</v>
      </c>
      <c r="G661" s="37" t="str">
        <f t="shared" si="51"/>
        <v>Normal Discount</v>
      </c>
      <c r="H661" s="37" t="str">
        <f t="shared" si="52"/>
        <v>Medium</v>
      </c>
      <c r="I661">
        <v>1</v>
      </c>
      <c r="J661" t="str" cm="1">
        <f t="array" ref="J661">_xlfn.IFS(I661&lt;=3,"small",I661&lt;=6,"Medium",I661&lt;=9,"Large")</f>
        <v>small</v>
      </c>
      <c r="K661" s="36">
        <v>45323</v>
      </c>
      <c r="L661" s="36">
        <v>45324</v>
      </c>
      <c r="M661" t="s">
        <v>603</v>
      </c>
      <c r="N661" t="s">
        <v>599</v>
      </c>
      <c r="O661" s="37" t="str">
        <f t="shared" si="53"/>
        <v>Digital Payment</v>
      </c>
      <c r="P661">
        <v>1308.18</v>
      </c>
      <c r="Q661" s="37" t="str">
        <f>IF(P661&gt;500,"High","low")</f>
        <v>High</v>
      </c>
      <c r="R661" s="37" t="str">
        <f t="shared" si="54"/>
        <v>Excellent</v>
      </c>
      <c r="S661" t="s">
        <v>605</v>
      </c>
    </row>
    <row r="662" spans="1:19" x14ac:dyDescent="0.2">
      <c r="A662" t="s">
        <v>1273</v>
      </c>
      <c r="B662" t="s">
        <v>67</v>
      </c>
      <c r="C662" t="s">
        <v>602</v>
      </c>
      <c r="D662">
        <v>3172.18</v>
      </c>
      <c r="E662" s="37" t="str">
        <f t="shared" si="50"/>
        <v xml:space="preserve"> </v>
      </c>
      <c r="F662">
        <v>0.36</v>
      </c>
      <c r="G662" s="37" t="str">
        <f t="shared" si="51"/>
        <v>Heavy Discount</v>
      </c>
      <c r="H662" s="37" t="str">
        <f t="shared" si="52"/>
        <v>Medium</v>
      </c>
      <c r="I662">
        <v>5</v>
      </c>
      <c r="J662" t="str" cm="1">
        <f t="array" ref="J662">_xlfn.IFS(I662&lt;=3,"small",I662&lt;=6,"Medium",I662&lt;=9,"Large")</f>
        <v>Medium</v>
      </c>
      <c r="K662" s="36">
        <v>45458</v>
      </c>
      <c r="L662" s="36">
        <v>45459</v>
      </c>
      <c r="M662" t="s">
        <v>612</v>
      </c>
      <c r="N662" t="s">
        <v>599</v>
      </c>
      <c r="O662" s="37" t="str">
        <f t="shared" si="53"/>
        <v>Digital Payment</v>
      </c>
      <c r="P662">
        <v>275.38</v>
      </c>
      <c r="Q662" s="37" t="str">
        <f>IF(P662&gt;500,"High","low")</f>
        <v>low</v>
      </c>
      <c r="R662" s="37" t="str">
        <f t="shared" si="54"/>
        <v>AVERAGE</v>
      </c>
      <c r="S662" t="s">
        <v>628</v>
      </c>
    </row>
    <row r="663" spans="1:19" x14ac:dyDescent="0.2">
      <c r="A663" t="s">
        <v>1274</v>
      </c>
      <c r="B663" t="s">
        <v>90</v>
      </c>
      <c r="C663" t="s">
        <v>607</v>
      </c>
      <c r="D663">
        <v>4507.7700000000004</v>
      </c>
      <c r="E663" s="37" t="str">
        <f t="shared" si="50"/>
        <v>Excellent Order</v>
      </c>
      <c r="F663">
        <v>0.3</v>
      </c>
      <c r="G663" s="37" t="str">
        <f t="shared" si="51"/>
        <v>Normal Discount</v>
      </c>
      <c r="H663" s="37" t="str">
        <f t="shared" si="52"/>
        <v>Medium</v>
      </c>
      <c r="I663">
        <v>9</v>
      </c>
      <c r="J663" t="str" cm="1">
        <f t="array" ref="J663">_xlfn.IFS(I663&lt;=3,"small",I663&lt;=6,"Medium",I663&lt;=9,"Large")</f>
        <v>Large</v>
      </c>
      <c r="K663" s="36">
        <v>45156</v>
      </c>
      <c r="L663" s="36">
        <v>45163</v>
      </c>
      <c r="M663" t="s">
        <v>612</v>
      </c>
      <c r="N663" t="s">
        <v>608</v>
      </c>
      <c r="O663" s="37" t="str">
        <f t="shared" si="53"/>
        <v>Cash Payment</v>
      </c>
      <c r="P663">
        <v>1076.6500000000001</v>
      </c>
      <c r="Q663" s="37" t="str">
        <f>IF(P663&gt;500,"High","low")</f>
        <v>High</v>
      </c>
      <c r="R663" s="37" t="str">
        <f t="shared" si="54"/>
        <v>Excellent</v>
      </c>
      <c r="S663" t="s">
        <v>620</v>
      </c>
    </row>
    <row r="664" spans="1:19" x14ac:dyDescent="0.2">
      <c r="A664" t="s">
        <v>1275</v>
      </c>
      <c r="B664" t="s">
        <v>75</v>
      </c>
      <c r="C664" t="s">
        <v>602</v>
      </c>
      <c r="D664">
        <v>367.44</v>
      </c>
      <c r="E664" s="37" t="str">
        <f t="shared" si="50"/>
        <v xml:space="preserve"> </v>
      </c>
      <c r="F664">
        <v>0.43</v>
      </c>
      <c r="G664" s="37" t="str">
        <f t="shared" si="51"/>
        <v>Heavy Discount</v>
      </c>
      <c r="H664" s="37" t="str">
        <f t="shared" si="52"/>
        <v>High</v>
      </c>
      <c r="I664">
        <v>5</v>
      </c>
      <c r="J664" t="str" cm="1">
        <f t="array" ref="J664">_xlfn.IFS(I664&lt;=3,"small",I664&lt;=6,"Medium",I664&lt;=9,"Large")</f>
        <v>Medium</v>
      </c>
      <c r="K664" s="36">
        <v>45137</v>
      </c>
      <c r="L664" s="36">
        <v>45139</v>
      </c>
      <c r="M664" t="s">
        <v>598</v>
      </c>
      <c r="N664" t="s">
        <v>604</v>
      </c>
      <c r="O664" s="37" t="str">
        <f t="shared" si="53"/>
        <v>Digital Payment</v>
      </c>
      <c r="P664">
        <v>25.03</v>
      </c>
      <c r="Q664" s="37" t="str">
        <f>IF(P664&gt;500,"High","low")</f>
        <v>low</v>
      </c>
      <c r="R664" s="37" t="str">
        <f t="shared" si="54"/>
        <v>AVERAGE</v>
      </c>
      <c r="S664" t="s">
        <v>600</v>
      </c>
    </row>
    <row r="665" spans="1:19" x14ac:dyDescent="0.2">
      <c r="A665" t="s">
        <v>1276</v>
      </c>
      <c r="B665" t="s">
        <v>83</v>
      </c>
      <c r="C665" t="s">
        <v>607</v>
      </c>
      <c r="D665">
        <v>2874.49</v>
      </c>
      <c r="E665" s="37" t="str">
        <f t="shared" si="50"/>
        <v xml:space="preserve"> </v>
      </c>
      <c r="F665">
        <v>0.19</v>
      </c>
      <c r="G665" s="37" t="str">
        <f t="shared" si="51"/>
        <v>Normal Discount</v>
      </c>
      <c r="H665" s="37" t="str">
        <f t="shared" si="52"/>
        <v>Low</v>
      </c>
      <c r="I665">
        <v>7</v>
      </c>
      <c r="J665" t="str" cm="1">
        <f t="array" ref="J665">_xlfn.IFS(I665&lt;=3,"small",I665&lt;=6,"Medium",I665&lt;=9,"Large")</f>
        <v>Large</v>
      </c>
      <c r="K665" s="36">
        <v>45396</v>
      </c>
      <c r="L665" s="36">
        <v>45397</v>
      </c>
      <c r="M665" t="s">
        <v>598</v>
      </c>
      <c r="N665" t="s">
        <v>604</v>
      </c>
      <c r="O665" s="37" t="str">
        <f t="shared" si="53"/>
        <v>Digital Payment</v>
      </c>
      <c r="P665">
        <v>230.32</v>
      </c>
      <c r="Q665" s="37" t="str">
        <f>IF(P665&gt;500,"High","low")</f>
        <v>low</v>
      </c>
      <c r="R665" s="37" t="str">
        <f t="shared" si="54"/>
        <v>AVERAGE</v>
      </c>
      <c r="S665" t="s">
        <v>600</v>
      </c>
    </row>
    <row r="666" spans="1:19" x14ac:dyDescent="0.2">
      <c r="A666" t="s">
        <v>1277</v>
      </c>
      <c r="B666" t="s">
        <v>75</v>
      </c>
      <c r="C666" t="s">
        <v>614</v>
      </c>
      <c r="D666">
        <v>4607.26</v>
      </c>
      <c r="E666" s="37" t="str">
        <f t="shared" si="50"/>
        <v xml:space="preserve"> </v>
      </c>
      <c r="F666">
        <v>0.42</v>
      </c>
      <c r="G666" s="37" t="str">
        <f t="shared" si="51"/>
        <v>Heavy Discount</v>
      </c>
      <c r="H666" s="37" t="str">
        <f t="shared" si="52"/>
        <v>High</v>
      </c>
      <c r="I666">
        <v>9</v>
      </c>
      <c r="J666" t="str" cm="1">
        <f t="array" ref="J666">_xlfn.IFS(I666&lt;=3,"small",I666&lt;=6,"Medium",I666&lt;=9,"Large")</f>
        <v>Large</v>
      </c>
      <c r="K666" s="36">
        <v>44932</v>
      </c>
      <c r="L666" s="36">
        <v>44933</v>
      </c>
      <c r="M666" t="s">
        <v>612</v>
      </c>
      <c r="N666" t="s">
        <v>608</v>
      </c>
      <c r="O666" s="37" t="str">
        <f t="shared" si="53"/>
        <v>Cash Payment</v>
      </c>
      <c r="P666">
        <v>364.24</v>
      </c>
      <c r="Q666" s="37" t="str">
        <f>IF(P666&gt;500,"High","low")</f>
        <v>low</v>
      </c>
      <c r="R666" s="37" t="str">
        <f t="shared" si="54"/>
        <v>AVERAGE</v>
      </c>
      <c r="S666" t="s">
        <v>620</v>
      </c>
    </row>
    <row r="667" spans="1:19" x14ac:dyDescent="0.2">
      <c r="A667" t="s">
        <v>1278</v>
      </c>
      <c r="B667" t="s">
        <v>75</v>
      </c>
      <c r="C667" t="s">
        <v>602</v>
      </c>
      <c r="D667">
        <v>1507.5</v>
      </c>
      <c r="E667" s="37" t="str">
        <f t="shared" si="50"/>
        <v xml:space="preserve"> </v>
      </c>
      <c r="F667">
        <v>0.02</v>
      </c>
      <c r="G667" s="37" t="str">
        <f t="shared" si="51"/>
        <v>Normal Discount</v>
      </c>
      <c r="H667" s="37" t="str">
        <f t="shared" si="52"/>
        <v>Low</v>
      </c>
      <c r="I667">
        <v>8</v>
      </c>
      <c r="J667" t="str" cm="1">
        <f t="array" ref="J667">_xlfn.IFS(I667&lt;=3,"small",I667&lt;=6,"Medium",I667&lt;=9,"Large")</f>
        <v>Large</v>
      </c>
      <c r="K667" s="36">
        <v>45385</v>
      </c>
      <c r="L667" s="36">
        <v>45388</v>
      </c>
      <c r="M667" t="s">
        <v>612</v>
      </c>
      <c r="N667" t="s">
        <v>608</v>
      </c>
      <c r="O667" s="37" t="str">
        <f t="shared" si="53"/>
        <v>Cash Payment</v>
      </c>
      <c r="P667">
        <v>270</v>
      </c>
      <c r="Q667" s="37" t="str">
        <f>IF(P667&gt;500,"High","low")</f>
        <v>low</v>
      </c>
      <c r="R667" s="37" t="str">
        <f t="shared" si="54"/>
        <v>AVERAGE</v>
      </c>
      <c r="S667" t="s">
        <v>600</v>
      </c>
    </row>
    <row r="668" spans="1:19" x14ac:dyDescent="0.2">
      <c r="A668" t="s">
        <v>1279</v>
      </c>
      <c r="B668" t="s">
        <v>83</v>
      </c>
      <c r="C668" t="s">
        <v>617</v>
      </c>
      <c r="D668">
        <v>858.9</v>
      </c>
      <c r="E668" s="37" t="str">
        <f t="shared" si="50"/>
        <v xml:space="preserve"> </v>
      </c>
      <c r="F668">
        <v>0.18</v>
      </c>
      <c r="G668" s="37" t="str">
        <f t="shared" si="51"/>
        <v>Normal Discount</v>
      </c>
      <c r="H668" s="37" t="str">
        <f t="shared" si="52"/>
        <v>Low</v>
      </c>
      <c r="I668">
        <v>5</v>
      </c>
      <c r="J668" t="str" cm="1">
        <f t="array" ref="J668">_xlfn.IFS(I668&lt;=3,"small",I668&lt;=6,"Medium",I668&lt;=9,"Large")</f>
        <v>Medium</v>
      </c>
      <c r="K668" s="36">
        <v>45320</v>
      </c>
      <c r="L668" s="36">
        <v>45323</v>
      </c>
      <c r="M668" t="s">
        <v>612</v>
      </c>
      <c r="N668" t="s">
        <v>608</v>
      </c>
      <c r="O668" s="37" t="str">
        <f t="shared" si="53"/>
        <v>Cash Payment</v>
      </c>
      <c r="P668">
        <v>231.83</v>
      </c>
      <c r="Q668" s="37" t="str">
        <f>IF(P668&gt;500,"High","low")</f>
        <v>low</v>
      </c>
      <c r="R668" s="37" t="str">
        <f t="shared" si="54"/>
        <v>AVERAGE</v>
      </c>
      <c r="S668" t="s">
        <v>620</v>
      </c>
    </row>
    <row r="669" spans="1:19" x14ac:dyDescent="0.2">
      <c r="A669" t="s">
        <v>1280</v>
      </c>
      <c r="B669" t="s">
        <v>67</v>
      </c>
      <c r="C669" t="s">
        <v>602</v>
      </c>
      <c r="D669">
        <v>1817.5</v>
      </c>
      <c r="E669" s="37" t="str">
        <f t="shared" si="50"/>
        <v xml:space="preserve"> </v>
      </c>
      <c r="F669">
        <v>0.04</v>
      </c>
      <c r="G669" s="37" t="str">
        <f t="shared" si="51"/>
        <v>Normal Discount</v>
      </c>
      <c r="H669" s="37" t="str">
        <f t="shared" si="52"/>
        <v>Low</v>
      </c>
      <c r="I669">
        <v>2</v>
      </c>
      <c r="J669" t="str" cm="1">
        <f t="array" ref="J669">_xlfn.IFS(I669&lt;=3,"small",I669&lt;=6,"Medium",I669&lt;=9,"Large")</f>
        <v>small</v>
      </c>
      <c r="K669" s="36">
        <v>45085</v>
      </c>
      <c r="L669" s="36">
        <v>45086</v>
      </c>
      <c r="M669" t="s">
        <v>598</v>
      </c>
      <c r="N669" t="s">
        <v>599</v>
      </c>
      <c r="O669" s="37" t="str">
        <f t="shared" si="53"/>
        <v>Digital Payment</v>
      </c>
      <c r="P669">
        <v>429</v>
      </c>
      <c r="Q669" s="37" t="str">
        <f>IF(P669&gt;500,"High","low")</f>
        <v>low</v>
      </c>
      <c r="R669" s="37" t="str">
        <f t="shared" si="54"/>
        <v>AVERAGE</v>
      </c>
      <c r="S669" t="s">
        <v>605</v>
      </c>
    </row>
    <row r="670" spans="1:19" x14ac:dyDescent="0.2">
      <c r="A670" t="s">
        <v>1281</v>
      </c>
      <c r="B670" t="s">
        <v>75</v>
      </c>
      <c r="C670" t="s">
        <v>602</v>
      </c>
      <c r="D670">
        <v>3981.96</v>
      </c>
      <c r="E670" s="37" t="str">
        <f t="shared" si="50"/>
        <v xml:space="preserve"> </v>
      </c>
      <c r="F670">
        <v>0.46</v>
      </c>
      <c r="G670" s="37" t="str">
        <f t="shared" si="51"/>
        <v>Heavy Discount</v>
      </c>
      <c r="H670" s="37" t="str">
        <f t="shared" si="52"/>
        <v>High</v>
      </c>
      <c r="I670">
        <v>5</v>
      </c>
      <c r="J670" t="str" cm="1">
        <f t="array" ref="J670">_xlfn.IFS(I670&lt;=3,"small",I670&lt;=6,"Medium",I670&lt;=9,"Large")</f>
        <v>Medium</v>
      </c>
      <c r="K670" s="36">
        <v>45072</v>
      </c>
      <c r="L670" s="36">
        <v>45076</v>
      </c>
      <c r="M670" t="s">
        <v>598</v>
      </c>
      <c r="N670" t="s">
        <v>604</v>
      </c>
      <c r="O670" s="37" t="str">
        <f t="shared" si="53"/>
        <v>Digital Payment</v>
      </c>
      <c r="P670">
        <v>1059.1500000000001</v>
      </c>
      <c r="Q670" s="37" t="str">
        <f>IF(P670&gt;500,"High","low")</f>
        <v>High</v>
      </c>
      <c r="R670" s="37" t="str">
        <f t="shared" si="54"/>
        <v>Excellent</v>
      </c>
      <c r="S670" t="s">
        <v>615</v>
      </c>
    </row>
    <row r="671" spans="1:19" x14ac:dyDescent="0.2">
      <c r="A671" t="s">
        <v>1282</v>
      </c>
      <c r="B671" t="s">
        <v>90</v>
      </c>
      <c r="C671" t="s">
        <v>614</v>
      </c>
      <c r="D671">
        <v>515.03</v>
      </c>
      <c r="E671" s="37" t="str">
        <f t="shared" si="50"/>
        <v xml:space="preserve"> </v>
      </c>
      <c r="F671">
        <v>0.24</v>
      </c>
      <c r="G671" s="37" t="str">
        <f t="shared" si="51"/>
        <v>Normal Discount</v>
      </c>
      <c r="H671" s="37" t="str">
        <f t="shared" si="52"/>
        <v>Medium</v>
      </c>
      <c r="I671">
        <v>8</v>
      </c>
      <c r="J671" t="str" cm="1">
        <f t="array" ref="J671">_xlfn.IFS(I671&lt;=3,"small",I671&lt;=6,"Medium",I671&lt;=9,"Large")</f>
        <v>Large</v>
      </c>
      <c r="K671" s="36">
        <v>45278</v>
      </c>
      <c r="L671" s="36">
        <v>45281</v>
      </c>
      <c r="M671" t="s">
        <v>598</v>
      </c>
      <c r="N671" t="s">
        <v>599</v>
      </c>
      <c r="O671" s="37" t="str">
        <f t="shared" si="53"/>
        <v>Digital Payment</v>
      </c>
      <c r="P671">
        <v>137.01</v>
      </c>
      <c r="Q671" s="37" t="str">
        <f>IF(P671&gt;500,"High","low")</f>
        <v>low</v>
      </c>
      <c r="R671" s="37" t="str">
        <f t="shared" si="54"/>
        <v>AVERAGE</v>
      </c>
      <c r="S671" t="s">
        <v>609</v>
      </c>
    </row>
    <row r="672" spans="1:19" x14ac:dyDescent="0.2">
      <c r="A672" t="s">
        <v>1283</v>
      </c>
      <c r="B672" t="s">
        <v>75</v>
      </c>
      <c r="C672" t="s">
        <v>617</v>
      </c>
      <c r="D672">
        <v>3041.66</v>
      </c>
      <c r="E672" s="37" t="str">
        <f t="shared" si="50"/>
        <v xml:space="preserve"> </v>
      </c>
      <c r="F672">
        <v>0.16</v>
      </c>
      <c r="G672" s="37" t="str">
        <f t="shared" si="51"/>
        <v>Normal Discount</v>
      </c>
      <c r="H672" s="37" t="str">
        <f t="shared" si="52"/>
        <v>Low</v>
      </c>
      <c r="I672">
        <v>1</v>
      </c>
      <c r="J672" t="str" cm="1">
        <f t="array" ref="J672">_xlfn.IFS(I672&lt;=3,"small",I672&lt;=6,"Medium",I672&lt;=9,"Large")</f>
        <v>small</v>
      </c>
      <c r="K672" s="36">
        <v>45607</v>
      </c>
      <c r="L672" s="36">
        <v>45613</v>
      </c>
      <c r="M672" t="s">
        <v>603</v>
      </c>
      <c r="N672" t="s">
        <v>599</v>
      </c>
      <c r="O672" s="37" t="str">
        <f t="shared" si="53"/>
        <v>Digital Payment</v>
      </c>
      <c r="P672">
        <v>238.97</v>
      </c>
      <c r="Q672" s="37" t="str">
        <f>IF(P672&gt;500,"High","low")</f>
        <v>low</v>
      </c>
      <c r="R672" s="37" t="str">
        <f t="shared" si="54"/>
        <v>AVERAGE</v>
      </c>
      <c r="S672" t="s">
        <v>609</v>
      </c>
    </row>
    <row r="673" spans="1:19" x14ac:dyDescent="0.2">
      <c r="A673" t="s">
        <v>1284</v>
      </c>
      <c r="B673" t="s">
        <v>83</v>
      </c>
      <c r="C673" t="s">
        <v>617</v>
      </c>
      <c r="D673">
        <v>764.59</v>
      </c>
      <c r="E673" s="37" t="str">
        <f t="shared" si="50"/>
        <v xml:space="preserve"> </v>
      </c>
      <c r="F673">
        <v>0.25</v>
      </c>
      <c r="G673" s="37" t="str">
        <f t="shared" si="51"/>
        <v>Normal Discount</v>
      </c>
      <c r="H673" s="37" t="str">
        <f t="shared" si="52"/>
        <v>Medium</v>
      </c>
      <c r="I673">
        <v>4</v>
      </c>
      <c r="J673" t="str" cm="1">
        <f t="array" ref="J673">_xlfn.IFS(I673&lt;=3,"small",I673&lt;=6,"Medium",I673&lt;=9,"Large")</f>
        <v>Medium</v>
      </c>
      <c r="K673" s="36">
        <v>44973</v>
      </c>
      <c r="L673" s="36">
        <v>44979</v>
      </c>
      <c r="M673" t="s">
        <v>598</v>
      </c>
      <c r="N673" t="s">
        <v>608</v>
      </c>
      <c r="O673" s="37" t="str">
        <f t="shared" si="53"/>
        <v>Cash Payment</v>
      </c>
      <c r="P673">
        <v>143.57</v>
      </c>
      <c r="Q673" s="37" t="str">
        <f>IF(P673&gt;500,"High","low")</f>
        <v>low</v>
      </c>
      <c r="R673" s="37" t="str">
        <f t="shared" si="54"/>
        <v>AVERAGE</v>
      </c>
      <c r="S673" t="s">
        <v>609</v>
      </c>
    </row>
    <row r="674" spans="1:19" x14ac:dyDescent="0.2">
      <c r="A674" t="s">
        <v>1285</v>
      </c>
      <c r="B674" t="s">
        <v>83</v>
      </c>
      <c r="C674" t="s">
        <v>597</v>
      </c>
      <c r="D674">
        <v>2234.11</v>
      </c>
      <c r="E674" s="37" t="str">
        <f t="shared" si="50"/>
        <v xml:space="preserve"> </v>
      </c>
      <c r="F674">
        <v>0.27</v>
      </c>
      <c r="G674" s="37" t="str">
        <f t="shared" si="51"/>
        <v>Normal Discount</v>
      </c>
      <c r="H674" s="37" t="str">
        <f t="shared" si="52"/>
        <v>Medium</v>
      </c>
      <c r="I674">
        <v>1</v>
      </c>
      <c r="J674" t="str" cm="1">
        <f t="array" ref="J674">_xlfn.IFS(I674&lt;=3,"small",I674&lt;=6,"Medium",I674&lt;=9,"Large")</f>
        <v>small</v>
      </c>
      <c r="K674" s="36">
        <v>45462</v>
      </c>
      <c r="L674" s="36">
        <v>45468</v>
      </c>
      <c r="M674" t="s">
        <v>603</v>
      </c>
      <c r="N674" t="s">
        <v>608</v>
      </c>
      <c r="O674" s="37" t="str">
        <f t="shared" si="53"/>
        <v>Cash Payment</v>
      </c>
      <c r="P674">
        <v>552.34</v>
      </c>
      <c r="Q674" s="37" t="str">
        <f>IF(P674&gt;500,"High","low")</f>
        <v>High</v>
      </c>
      <c r="R674" s="37" t="str">
        <f t="shared" si="54"/>
        <v>Good</v>
      </c>
      <c r="S674" t="s">
        <v>620</v>
      </c>
    </row>
    <row r="675" spans="1:19" x14ac:dyDescent="0.2">
      <c r="A675" t="s">
        <v>1286</v>
      </c>
      <c r="B675" t="s">
        <v>83</v>
      </c>
      <c r="C675" t="s">
        <v>597</v>
      </c>
      <c r="D675">
        <v>4833.29</v>
      </c>
      <c r="E675" s="37" t="str">
        <f t="shared" si="50"/>
        <v>Excellent Order</v>
      </c>
      <c r="F675">
        <v>0.42</v>
      </c>
      <c r="G675" s="37" t="str">
        <f t="shared" si="51"/>
        <v>Heavy Discount</v>
      </c>
      <c r="H675" s="37" t="str">
        <f t="shared" si="52"/>
        <v>High</v>
      </c>
      <c r="I675">
        <v>5</v>
      </c>
      <c r="J675" t="str" cm="1">
        <f t="array" ref="J675">_xlfn.IFS(I675&lt;=3,"small",I675&lt;=6,"Medium",I675&lt;=9,"Large")</f>
        <v>Medium</v>
      </c>
      <c r="K675" s="36">
        <v>45036</v>
      </c>
      <c r="L675" s="36">
        <v>45037</v>
      </c>
      <c r="M675" t="s">
        <v>598</v>
      </c>
      <c r="N675" t="s">
        <v>599</v>
      </c>
      <c r="O675" s="37" t="str">
        <f t="shared" si="53"/>
        <v>Digital Payment</v>
      </c>
      <c r="P675">
        <v>1389.1</v>
      </c>
      <c r="Q675" s="37" t="str">
        <f>IF(P675&gt;500,"High","low")</f>
        <v>High</v>
      </c>
      <c r="R675" s="37" t="str">
        <f t="shared" si="54"/>
        <v>Excellent</v>
      </c>
      <c r="S675" t="s">
        <v>615</v>
      </c>
    </row>
    <row r="676" spans="1:19" x14ac:dyDescent="0.2">
      <c r="A676" t="s">
        <v>1287</v>
      </c>
      <c r="B676" t="s">
        <v>67</v>
      </c>
      <c r="C676" t="s">
        <v>597</v>
      </c>
      <c r="D676">
        <v>1056.21</v>
      </c>
      <c r="E676" s="37" t="str">
        <f t="shared" si="50"/>
        <v xml:space="preserve"> </v>
      </c>
      <c r="F676">
        <v>0.27</v>
      </c>
      <c r="G676" s="37" t="str">
        <f t="shared" si="51"/>
        <v>Normal Discount</v>
      </c>
      <c r="H676" s="37" t="str">
        <f t="shared" si="52"/>
        <v>Medium</v>
      </c>
      <c r="I676">
        <v>2</v>
      </c>
      <c r="J676" t="str" cm="1">
        <f t="array" ref="J676">_xlfn.IFS(I676&lt;=3,"small",I676&lt;=6,"Medium",I676&lt;=9,"Large")</f>
        <v>small</v>
      </c>
      <c r="K676" s="36">
        <v>45531</v>
      </c>
      <c r="L676" s="36">
        <v>45538</v>
      </c>
      <c r="M676" t="s">
        <v>598</v>
      </c>
      <c r="N676" t="s">
        <v>604</v>
      </c>
      <c r="O676" s="37" t="str">
        <f t="shared" si="53"/>
        <v>Digital Payment</v>
      </c>
      <c r="P676">
        <v>233.46</v>
      </c>
      <c r="Q676" s="37" t="str">
        <f>IF(P676&gt;500,"High","low")</f>
        <v>low</v>
      </c>
      <c r="R676" s="37" t="str">
        <f t="shared" si="54"/>
        <v>AVERAGE</v>
      </c>
      <c r="S676" t="s">
        <v>605</v>
      </c>
    </row>
    <row r="677" spans="1:19" x14ac:dyDescent="0.2">
      <c r="A677" t="s">
        <v>1288</v>
      </c>
      <c r="B677" t="s">
        <v>75</v>
      </c>
      <c r="C677" t="s">
        <v>614</v>
      </c>
      <c r="D677">
        <v>266.68</v>
      </c>
      <c r="E677" s="37" t="str">
        <f t="shared" si="50"/>
        <v xml:space="preserve"> </v>
      </c>
      <c r="F677">
        <v>0.22</v>
      </c>
      <c r="G677" s="37" t="str">
        <f t="shared" si="51"/>
        <v>Normal Discount</v>
      </c>
      <c r="H677" s="37" t="str">
        <f t="shared" si="52"/>
        <v>Medium</v>
      </c>
      <c r="I677">
        <v>2</v>
      </c>
      <c r="J677" t="str" cm="1">
        <f t="array" ref="J677">_xlfn.IFS(I677&lt;=3,"small",I677&lt;=6,"Medium",I677&lt;=9,"Large")</f>
        <v>small</v>
      </c>
      <c r="K677" s="36">
        <v>45413</v>
      </c>
      <c r="L677" s="36">
        <v>45416</v>
      </c>
      <c r="M677" t="s">
        <v>598</v>
      </c>
      <c r="N677" t="s">
        <v>608</v>
      </c>
      <c r="O677" s="37" t="str">
        <f t="shared" si="53"/>
        <v>Cash Payment</v>
      </c>
      <c r="P677">
        <v>70.44</v>
      </c>
      <c r="Q677" s="37" t="str">
        <f>IF(P677&gt;500,"High","low")</f>
        <v>low</v>
      </c>
      <c r="R677" s="37" t="str">
        <f t="shared" si="54"/>
        <v>AVERAGE</v>
      </c>
      <c r="S677" t="s">
        <v>628</v>
      </c>
    </row>
    <row r="678" spans="1:19" x14ac:dyDescent="0.2">
      <c r="A678" t="s">
        <v>1289</v>
      </c>
      <c r="B678" t="s">
        <v>67</v>
      </c>
      <c r="C678" t="s">
        <v>602</v>
      </c>
      <c r="D678">
        <v>2193.3000000000002</v>
      </c>
      <c r="E678" s="37" t="str">
        <f t="shared" si="50"/>
        <v xml:space="preserve"> </v>
      </c>
      <c r="F678">
        <v>0.48</v>
      </c>
      <c r="G678" s="37" t="str">
        <f t="shared" si="51"/>
        <v>Heavy Discount</v>
      </c>
      <c r="H678" s="37" t="str">
        <f t="shared" si="52"/>
        <v>High</v>
      </c>
      <c r="I678">
        <v>7</v>
      </c>
      <c r="J678" t="str" cm="1">
        <f t="array" ref="J678">_xlfn.IFS(I678&lt;=3,"small",I678&lt;=6,"Medium",I678&lt;=9,"Large")</f>
        <v>Large</v>
      </c>
      <c r="K678" s="36">
        <v>45143</v>
      </c>
      <c r="L678" s="36">
        <v>45144</v>
      </c>
      <c r="M678" t="s">
        <v>603</v>
      </c>
      <c r="N678" t="s">
        <v>604</v>
      </c>
      <c r="O678" s="37" t="str">
        <f t="shared" si="53"/>
        <v>Digital Payment</v>
      </c>
      <c r="P678">
        <v>313.52</v>
      </c>
      <c r="Q678" s="37" t="str">
        <f>IF(P678&gt;500,"High","low")</f>
        <v>low</v>
      </c>
      <c r="R678" s="37" t="str">
        <f t="shared" si="54"/>
        <v>AVERAGE</v>
      </c>
      <c r="S678" t="s">
        <v>609</v>
      </c>
    </row>
    <row r="679" spans="1:19" x14ac:dyDescent="0.2">
      <c r="A679" t="s">
        <v>1290</v>
      </c>
      <c r="B679" t="s">
        <v>67</v>
      </c>
      <c r="C679" t="s">
        <v>617</v>
      </c>
      <c r="D679">
        <v>2930.71</v>
      </c>
      <c r="E679" s="37" t="str">
        <f t="shared" si="50"/>
        <v xml:space="preserve"> </v>
      </c>
      <c r="F679">
        <v>0.48</v>
      </c>
      <c r="G679" s="37" t="str">
        <f t="shared" si="51"/>
        <v>Heavy Discount</v>
      </c>
      <c r="H679" s="37" t="str">
        <f t="shared" si="52"/>
        <v>High</v>
      </c>
      <c r="I679">
        <v>4</v>
      </c>
      <c r="J679" t="str" cm="1">
        <f t="array" ref="J679">_xlfn.IFS(I679&lt;=3,"small",I679&lt;=6,"Medium",I679&lt;=9,"Large")</f>
        <v>Medium</v>
      </c>
      <c r="K679" s="36">
        <v>45030</v>
      </c>
      <c r="L679" s="36">
        <v>45035</v>
      </c>
      <c r="M679" t="s">
        <v>612</v>
      </c>
      <c r="N679" t="s">
        <v>608</v>
      </c>
      <c r="O679" s="37" t="str">
        <f t="shared" si="53"/>
        <v>Cash Payment</v>
      </c>
      <c r="P679">
        <v>663.73</v>
      </c>
      <c r="Q679" s="37" t="str">
        <f>IF(P679&gt;500,"High","low")</f>
        <v>High</v>
      </c>
      <c r="R679" s="37" t="str">
        <f t="shared" si="54"/>
        <v>Good</v>
      </c>
      <c r="S679" t="s">
        <v>600</v>
      </c>
    </row>
    <row r="680" spans="1:19" x14ac:dyDescent="0.2">
      <c r="A680" t="s">
        <v>1291</v>
      </c>
      <c r="B680" t="s">
        <v>83</v>
      </c>
      <c r="C680" t="s">
        <v>617</v>
      </c>
      <c r="D680">
        <v>1557.84</v>
      </c>
      <c r="E680" s="37" t="str">
        <f t="shared" si="50"/>
        <v xml:space="preserve"> </v>
      </c>
      <c r="F680">
        <v>0.02</v>
      </c>
      <c r="G680" s="37" t="str">
        <f t="shared" si="51"/>
        <v>Normal Discount</v>
      </c>
      <c r="H680" s="37" t="str">
        <f t="shared" si="52"/>
        <v>Low</v>
      </c>
      <c r="I680">
        <v>2</v>
      </c>
      <c r="J680" t="str" cm="1">
        <f t="array" ref="J680">_xlfn.IFS(I680&lt;=3,"small",I680&lt;=6,"Medium",I680&lt;=9,"Large")</f>
        <v>small</v>
      </c>
      <c r="K680" s="36">
        <v>45655</v>
      </c>
      <c r="L680" s="36">
        <v>45658</v>
      </c>
      <c r="M680" t="s">
        <v>603</v>
      </c>
      <c r="N680" t="s">
        <v>608</v>
      </c>
      <c r="O680" s="37" t="str">
        <f t="shared" si="53"/>
        <v>Cash Payment</v>
      </c>
      <c r="P680">
        <v>222.15</v>
      </c>
      <c r="Q680" s="37" t="str">
        <f>IF(P680&gt;500,"High","low")</f>
        <v>low</v>
      </c>
      <c r="R680" s="37" t="str">
        <f t="shared" si="54"/>
        <v>AVERAGE</v>
      </c>
      <c r="S680" t="s">
        <v>605</v>
      </c>
    </row>
    <row r="681" spans="1:19" x14ac:dyDescent="0.2">
      <c r="A681" t="s">
        <v>1292</v>
      </c>
      <c r="B681" t="s">
        <v>83</v>
      </c>
      <c r="C681" t="s">
        <v>602</v>
      </c>
      <c r="D681">
        <v>2754.66</v>
      </c>
      <c r="E681" s="37" t="str">
        <f t="shared" si="50"/>
        <v xml:space="preserve"> </v>
      </c>
      <c r="F681">
        <v>0.35</v>
      </c>
      <c r="G681" s="37" t="str">
        <f t="shared" si="51"/>
        <v>Heavy Discount</v>
      </c>
      <c r="H681" s="37" t="str">
        <f t="shared" si="52"/>
        <v>Medium</v>
      </c>
      <c r="I681">
        <v>3</v>
      </c>
      <c r="J681" t="str" cm="1">
        <f t="array" ref="J681">_xlfn.IFS(I681&lt;=3,"small",I681&lt;=6,"Medium",I681&lt;=9,"Large")</f>
        <v>small</v>
      </c>
      <c r="K681" s="36">
        <v>45606</v>
      </c>
      <c r="L681" s="36">
        <v>45607</v>
      </c>
      <c r="M681" t="s">
        <v>598</v>
      </c>
      <c r="N681" t="s">
        <v>604</v>
      </c>
      <c r="O681" s="37" t="str">
        <f t="shared" si="53"/>
        <v>Digital Payment</v>
      </c>
      <c r="P681">
        <v>271.88</v>
      </c>
      <c r="Q681" s="37" t="str">
        <f>IF(P681&gt;500,"High","low")</f>
        <v>low</v>
      </c>
      <c r="R681" s="37" t="str">
        <f t="shared" si="54"/>
        <v>AVERAGE</v>
      </c>
      <c r="S681" t="s">
        <v>620</v>
      </c>
    </row>
    <row r="682" spans="1:19" x14ac:dyDescent="0.2">
      <c r="A682" t="s">
        <v>1293</v>
      </c>
      <c r="B682" t="s">
        <v>67</v>
      </c>
      <c r="C682" t="s">
        <v>617</v>
      </c>
      <c r="D682">
        <v>4771.67</v>
      </c>
      <c r="E682" s="37" t="str">
        <f t="shared" si="50"/>
        <v xml:space="preserve"> </v>
      </c>
      <c r="F682">
        <v>0.19</v>
      </c>
      <c r="G682" s="37" t="str">
        <f t="shared" si="51"/>
        <v>Normal Discount</v>
      </c>
      <c r="H682" s="37" t="str">
        <f t="shared" si="52"/>
        <v>Low</v>
      </c>
      <c r="I682">
        <v>3</v>
      </c>
      <c r="J682" t="str" cm="1">
        <f t="array" ref="J682">_xlfn.IFS(I682&lt;=3,"small",I682&lt;=6,"Medium",I682&lt;=9,"Large")</f>
        <v>small</v>
      </c>
      <c r="K682" s="36">
        <v>45483</v>
      </c>
      <c r="L682" s="36">
        <v>45486</v>
      </c>
      <c r="M682" t="s">
        <v>612</v>
      </c>
      <c r="N682" t="s">
        <v>599</v>
      </c>
      <c r="O682" s="37" t="str">
        <f t="shared" si="53"/>
        <v>Digital Payment</v>
      </c>
      <c r="P682">
        <v>316.42</v>
      </c>
      <c r="Q682" s="37" t="str">
        <f>IF(P682&gt;500,"High","low")</f>
        <v>low</v>
      </c>
      <c r="R682" s="37" t="str">
        <f t="shared" si="54"/>
        <v>AVERAGE</v>
      </c>
      <c r="S682" t="s">
        <v>605</v>
      </c>
    </row>
    <row r="683" spans="1:19" x14ac:dyDescent="0.2">
      <c r="A683" t="s">
        <v>1294</v>
      </c>
      <c r="B683" t="s">
        <v>75</v>
      </c>
      <c r="C683" t="s">
        <v>602</v>
      </c>
      <c r="D683">
        <v>1627.68</v>
      </c>
      <c r="E683" s="37" t="str">
        <f t="shared" si="50"/>
        <v xml:space="preserve"> </v>
      </c>
      <c r="F683">
        <v>0.34</v>
      </c>
      <c r="G683" s="37" t="str">
        <f t="shared" si="51"/>
        <v>Heavy Discount</v>
      </c>
      <c r="H683" s="37" t="str">
        <f t="shared" si="52"/>
        <v>Medium</v>
      </c>
      <c r="I683">
        <v>2</v>
      </c>
      <c r="J683" t="str" cm="1">
        <f t="array" ref="J683">_xlfn.IFS(I683&lt;=3,"small",I683&lt;=6,"Medium",I683&lt;=9,"Large")</f>
        <v>small</v>
      </c>
      <c r="K683" s="36">
        <v>45265</v>
      </c>
      <c r="L683" s="36">
        <v>45269</v>
      </c>
      <c r="M683" t="s">
        <v>603</v>
      </c>
      <c r="N683" t="s">
        <v>599</v>
      </c>
      <c r="O683" s="37" t="str">
        <f t="shared" si="53"/>
        <v>Digital Payment</v>
      </c>
      <c r="P683">
        <v>441.32</v>
      </c>
      <c r="Q683" s="37" t="str">
        <f>IF(P683&gt;500,"High","low")</f>
        <v>low</v>
      </c>
      <c r="R683" s="37" t="str">
        <f t="shared" si="54"/>
        <v>AVERAGE</v>
      </c>
      <c r="S683" t="s">
        <v>620</v>
      </c>
    </row>
    <row r="684" spans="1:19" x14ac:dyDescent="0.2">
      <c r="A684" t="s">
        <v>1295</v>
      </c>
      <c r="B684" t="s">
        <v>90</v>
      </c>
      <c r="C684" t="s">
        <v>614</v>
      </c>
      <c r="D684">
        <v>1616.19</v>
      </c>
      <c r="E684" s="37" t="str">
        <f t="shared" si="50"/>
        <v xml:space="preserve"> </v>
      </c>
      <c r="F684">
        <v>0.32</v>
      </c>
      <c r="G684" s="37" t="str">
        <f t="shared" si="51"/>
        <v>Heavy Discount</v>
      </c>
      <c r="H684" s="37" t="str">
        <f t="shared" si="52"/>
        <v>Medium</v>
      </c>
      <c r="I684">
        <v>7</v>
      </c>
      <c r="J684" t="str" cm="1">
        <f t="array" ref="J684">_xlfn.IFS(I684&lt;=3,"small",I684&lt;=6,"Medium",I684&lt;=9,"Large")</f>
        <v>Large</v>
      </c>
      <c r="K684" s="36">
        <v>45640</v>
      </c>
      <c r="L684" s="36">
        <v>45647</v>
      </c>
      <c r="M684" t="s">
        <v>612</v>
      </c>
      <c r="N684" t="s">
        <v>599</v>
      </c>
      <c r="O684" s="37" t="str">
        <f t="shared" si="53"/>
        <v>Digital Payment</v>
      </c>
      <c r="P684">
        <v>106.87</v>
      </c>
      <c r="Q684" s="37" t="str">
        <f>IF(P684&gt;500,"High","low")</f>
        <v>low</v>
      </c>
      <c r="R684" s="37" t="str">
        <f t="shared" si="54"/>
        <v>AVERAGE</v>
      </c>
      <c r="S684" t="s">
        <v>605</v>
      </c>
    </row>
    <row r="685" spans="1:19" x14ac:dyDescent="0.2">
      <c r="A685" t="s">
        <v>1296</v>
      </c>
      <c r="B685" t="s">
        <v>67</v>
      </c>
      <c r="C685" t="s">
        <v>614</v>
      </c>
      <c r="D685">
        <v>2465.56</v>
      </c>
      <c r="E685" s="37" t="str">
        <f t="shared" si="50"/>
        <v xml:space="preserve"> </v>
      </c>
      <c r="F685">
        <v>0.17</v>
      </c>
      <c r="G685" s="37" t="str">
        <f t="shared" si="51"/>
        <v>Normal Discount</v>
      </c>
      <c r="H685" s="37" t="str">
        <f t="shared" si="52"/>
        <v>Low</v>
      </c>
      <c r="I685">
        <v>1</v>
      </c>
      <c r="J685" t="str" cm="1">
        <f t="array" ref="J685">_xlfn.IFS(I685&lt;=3,"small",I685&lt;=6,"Medium",I685&lt;=9,"Large")</f>
        <v>small</v>
      </c>
      <c r="K685" s="36">
        <v>45209</v>
      </c>
      <c r="L685" s="36">
        <v>45214</v>
      </c>
      <c r="M685" t="s">
        <v>603</v>
      </c>
      <c r="N685" t="s">
        <v>599</v>
      </c>
      <c r="O685" s="37" t="str">
        <f t="shared" si="53"/>
        <v>Digital Payment</v>
      </c>
      <c r="P685">
        <v>739.48</v>
      </c>
      <c r="Q685" s="37" t="str">
        <f>IF(P685&gt;500,"High","low")</f>
        <v>High</v>
      </c>
      <c r="R685" s="37" t="str">
        <f t="shared" si="54"/>
        <v>Good</v>
      </c>
      <c r="S685" t="s">
        <v>628</v>
      </c>
    </row>
    <row r="686" spans="1:19" x14ac:dyDescent="0.2">
      <c r="A686" t="s">
        <v>1297</v>
      </c>
      <c r="B686" t="s">
        <v>75</v>
      </c>
      <c r="C686" t="s">
        <v>614</v>
      </c>
      <c r="D686">
        <v>2625.05</v>
      </c>
      <c r="E686" s="37" t="str">
        <f t="shared" si="50"/>
        <v xml:space="preserve"> </v>
      </c>
      <c r="F686">
        <v>0.49</v>
      </c>
      <c r="G686" s="37" t="str">
        <f t="shared" si="51"/>
        <v>Heavy Discount</v>
      </c>
      <c r="H686" s="37" t="str">
        <f t="shared" si="52"/>
        <v>High</v>
      </c>
      <c r="I686">
        <v>9</v>
      </c>
      <c r="J686" t="str" cm="1">
        <f t="array" ref="J686">_xlfn.IFS(I686&lt;=3,"small",I686&lt;=6,"Medium",I686&lt;=9,"Large")</f>
        <v>Large</v>
      </c>
      <c r="K686" s="36">
        <v>45460</v>
      </c>
      <c r="L686" s="36">
        <v>45461</v>
      </c>
      <c r="M686" t="s">
        <v>612</v>
      </c>
      <c r="N686" t="s">
        <v>599</v>
      </c>
      <c r="O686" s="37" t="str">
        <f t="shared" si="53"/>
        <v>Digital Payment</v>
      </c>
      <c r="P686">
        <v>466.41</v>
      </c>
      <c r="Q686" s="37" t="str">
        <f>IF(P686&gt;500,"High","low")</f>
        <v>low</v>
      </c>
      <c r="R686" s="37" t="str">
        <f t="shared" si="54"/>
        <v>AVERAGE</v>
      </c>
      <c r="S686" t="s">
        <v>600</v>
      </c>
    </row>
    <row r="687" spans="1:19" x14ac:dyDescent="0.2">
      <c r="A687" t="s">
        <v>1298</v>
      </c>
      <c r="B687" t="s">
        <v>83</v>
      </c>
      <c r="C687" t="s">
        <v>602</v>
      </c>
      <c r="D687">
        <v>106.69</v>
      </c>
      <c r="E687" s="37" t="str">
        <f t="shared" si="50"/>
        <v xml:space="preserve"> </v>
      </c>
      <c r="F687">
        <v>0.18</v>
      </c>
      <c r="G687" s="37" t="str">
        <f t="shared" si="51"/>
        <v>Normal Discount</v>
      </c>
      <c r="H687" s="37" t="str">
        <f t="shared" si="52"/>
        <v>Low</v>
      </c>
      <c r="I687">
        <v>5</v>
      </c>
      <c r="J687" t="str" cm="1">
        <f t="array" ref="J687">_xlfn.IFS(I687&lt;=3,"small",I687&lt;=6,"Medium",I687&lt;=9,"Large")</f>
        <v>Medium</v>
      </c>
      <c r="K687" s="36">
        <v>44954</v>
      </c>
      <c r="L687" s="36">
        <v>44959</v>
      </c>
      <c r="M687" t="s">
        <v>598</v>
      </c>
      <c r="N687" t="s">
        <v>604</v>
      </c>
      <c r="O687" s="37" t="str">
        <f t="shared" si="53"/>
        <v>Digital Payment</v>
      </c>
      <c r="P687">
        <v>18.77</v>
      </c>
      <c r="Q687" s="37" t="str">
        <f>IF(P687&gt;500,"High","low")</f>
        <v>low</v>
      </c>
      <c r="R687" s="37" t="str">
        <f t="shared" si="54"/>
        <v>AVERAGE</v>
      </c>
      <c r="S687" t="s">
        <v>615</v>
      </c>
    </row>
    <row r="688" spans="1:19" x14ac:dyDescent="0.2">
      <c r="A688" t="s">
        <v>1299</v>
      </c>
      <c r="B688" t="s">
        <v>83</v>
      </c>
      <c r="C688" t="s">
        <v>602</v>
      </c>
      <c r="D688">
        <v>3117.79</v>
      </c>
      <c r="E688" s="37" t="str">
        <f t="shared" si="50"/>
        <v xml:space="preserve"> </v>
      </c>
      <c r="F688">
        <v>0.32</v>
      </c>
      <c r="G688" s="37" t="str">
        <f t="shared" si="51"/>
        <v>Heavy Discount</v>
      </c>
      <c r="H688" s="37" t="str">
        <f t="shared" si="52"/>
        <v>Medium</v>
      </c>
      <c r="I688">
        <v>4</v>
      </c>
      <c r="J688" t="str" cm="1">
        <f t="array" ref="J688">_xlfn.IFS(I688&lt;=3,"small",I688&lt;=6,"Medium",I688&lt;=9,"Large")</f>
        <v>Medium</v>
      </c>
      <c r="K688" s="36">
        <v>45473</v>
      </c>
      <c r="L688" s="36">
        <v>45474</v>
      </c>
      <c r="M688" t="s">
        <v>603</v>
      </c>
      <c r="N688" t="s">
        <v>608</v>
      </c>
      <c r="O688" s="37" t="str">
        <f t="shared" si="53"/>
        <v>Cash Payment</v>
      </c>
      <c r="P688">
        <v>213.17</v>
      </c>
      <c r="Q688" s="37" t="str">
        <f>IF(P688&gt;500,"High","low")</f>
        <v>low</v>
      </c>
      <c r="R688" s="37" t="str">
        <f t="shared" si="54"/>
        <v>AVERAGE</v>
      </c>
      <c r="S688" t="s">
        <v>605</v>
      </c>
    </row>
    <row r="689" spans="1:19" x14ac:dyDescent="0.2">
      <c r="A689" t="s">
        <v>1300</v>
      </c>
      <c r="B689" t="s">
        <v>75</v>
      </c>
      <c r="C689" t="s">
        <v>607</v>
      </c>
      <c r="D689">
        <v>4987.05</v>
      </c>
      <c r="E689" s="37" t="str">
        <f t="shared" si="50"/>
        <v xml:space="preserve"> </v>
      </c>
      <c r="F689">
        <v>0.41</v>
      </c>
      <c r="G689" s="37" t="str">
        <f t="shared" si="51"/>
        <v>Heavy Discount</v>
      </c>
      <c r="H689" s="37" t="str">
        <f t="shared" si="52"/>
        <v>High</v>
      </c>
      <c r="I689">
        <v>3</v>
      </c>
      <c r="J689" t="str" cm="1">
        <f t="array" ref="J689">_xlfn.IFS(I689&lt;=3,"small",I689&lt;=6,"Medium",I689&lt;=9,"Large")</f>
        <v>small</v>
      </c>
      <c r="K689" s="36">
        <v>45441</v>
      </c>
      <c r="L689" s="36">
        <v>45446</v>
      </c>
      <c r="M689" t="s">
        <v>603</v>
      </c>
      <c r="N689" t="s">
        <v>608</v>
      </c>
      <c r="O689" s="37" t="str">
        <f t="shared" si="53"/>
        <v>Cash Payment</v>
      </c>
      <c r="P689">
        <v>342.37</v>
      </c>
      <c r="Q689" s="37" t="str">
        <f>IF(P689&gt;500,"High","low")</f>
        <v>low</v>
      </c>
      <c r="R689" s="37" t="str">
        <f t="shared" si="54"/>
        <v>AVERAGE</v>
      </c>
      <c r="S689" t="s">
        <v>609</v>
      </c>
    </row>
    <row r="690" spans="1:19" x14ac:dyDescent="0.2">
      <c r="A690" t="s">
        <v>1301</v>
      </c>
      <c r="B690" t="s">
        <v>90</v>
      </c>
      <c r="C690" t="s">
        <v>617</v>
      </c>
      <c r="D690">
        <v>1530.84</v>
      </c>
      <c r="E690" s="37" t="str">
        <f t="shared" si="50"/>
        <v xml:space="preserve"> </v>
      </c>
      <c r="F690">
        <v>7.0000000000000007E-2</v>
      </c>
      <c r="G690" s="37" t="str">
        <f t="shared" si="51"/>
        <v>Normal Discount</v>
      </c>
      <c r="H690" s="37" t="str">
        <f t="shared" si="52"/>
        <v>Low</v>
      </c>
      <c r="I690">
        <v>3</v>
      </c>
      <c r="J690" t="str" cm="1">
        <f t="array" ref="J690">_xlfn.IFS(I690&lt;=3,"small",I690&lt;=6,"Medium",I690&lt;=9,"Large")</f>
        <v>small</v>
      </c>
      <c r="K690" s="36">
        <v>45348</v>
      </c>
      <c r="L690" s="36">
        <v>45353</v>
      </c>
      <c r="M690" t="s">
        <v>603</v>
      </c>
      <c r="N690" t="s">
        <v>608</v>
      </c>
      <c r="O690" s="37" t="str">
        <f t="shared" si="53"/>
        <v>Cash Payment</v>
      </c>
      <c r="P690">
        <v>351.38</v>
      </c>
      <c r="Q690" s="37" t="str">
        <f>IF(P690&gt;500,"High","low")</f>
        <v>low</v>
      </c>
      <c r="R690" s="37" t="str">
        <f t="shared" si="54"/>
        <v>AVERAGE</v>
      </c>
      <c r="S690" t="s">
        <v>615</v>
      </c>
    </row>
    <row r="691" spans="1:19" x14ac:dyDescent="0.2">
      <c r="A691" t="s">
        <v>1302</v>
      </c>
      <c r="B691" t="s">
        <v>83</v>
      </c>
      <c r="C691" t="s">
        <v>617</v>
      </c>
      <c r="D691">
        <v>3190.97</v>
      </c>
      <c r="E691" s="37" t="str">
        <f t="shared" si="50"/>
        <v xml:space="preserve"> </v>
      </c>
      <c r="F691">
        <v>0.15</v>
      </c>
      <c r="G691" s="37" t="str">
        <f t="shared" si="51"/>
        <v>Normal Discount</v>
      </c>
      <c r="H691" s="37" t="str">
        <f t="shared" si="52"/>
        <v>Low</v>
      </c>
      <c r="I691">
        <v>3</v>
      </c>
      <c r="J691" t="str" cm="1">
        <f t="array" ref="J691">_xlfn.IFS(I691&lt;=3,"small",I691&lt;=6,"Medium",I691&lt;=9,"Large")</f>
        <v>small</v>
      </c>
      <c r="K691" s="36">
        <v>45656</v>
      </c>
      <c r="L691" s="36">
        <v>45663</v>
      </c>
      <c r="M691" t="s">
        <v>612</v>
      </c>
      <c r="N691" t="s">
        <v>599</v>
      </c>
      <c r="O691" s="37" t="str">
        <f t="shared" si="53"/>
        <v>Digital Payment</v>
      </c>
      <c r="P691">
        <v>512.83000000000004</v>
      </c>
      <c r="Q691" s="37" t="str">
        <f>IF(P691&gt;500,"High","low")</f>
        <v>High</v>
      </c>
      <c r="R691" s="37" t="str">
        <f t="shared" si="54"/>
        <v>Good</v>
      </c>
      <c r="S691" t="s">
        <v>600</v>
      </c>
    </row>
    <row r="692" spans="1:19" x14ac:dyDescent="0.2">
      <c r="A692" t="s">
        <v>1303</v>
      </c>
      <c r="B692" t="s">
        <v>83</v>
      </c>
      <c r="C692" t="s">
        <v>607</v>
      </c>
      <c r="D692">
        <v>122.65</v>
      </c>
      <c r="E692" s="37" t="str">
        <f t="shared" si="50"/>
        <v xml:space="preserve"> </v>
      </c>
      <c r="F692">
        <v>0.1</v>
      </c>
      <c r="G692" s="37" t="str">
        <f t="shared" si="51"/>
        <v>Normal Discount</v>
      </c>
      <c r="H692" s="37" t="str">
        <f t="shared" si="52"/>
        <v>Low</v>
      </c>
      <c r="I692">
        <v>1</v>
      </c>
      <c r="J692" t="str" cm="1">
        <f t="array" ref="J692">_xlfn.IFS(I692&lt;=3,"small",I692&lt;=6,"Medium",I692&lt;=9,"Large")</f>
        <v>small</v>
      </c>
      <c r="K692" s="36">
        <v>45431</v>
      </c>
      <c r="L692" s="36">
        <v>45433</v>
      </c>
      <c r="M692" t="s">
        <v>598</v>
      </c>
      <c r="N692" t="s">
        <v>599</v>
      </c>
      <c r="O692" s="37" t="str">
        <f t="shared" si="53"/>
        <v>Digital Payment</v>
      </c>
      <c r="P692">
        <v>11.58</v>
      </c>
      <c r="Q692" s="37" t="str">
        <f>IF(P692&gt;500,"High","low")</f>
        <v>low</v>
      </c>
      <c r="R692" s="37" t="str">
        <f t="shared" si="54"/>
        <v>AVERAGE</v>
      </c>
      <c r="S692" t="s">
        <v>600</v>
      </c>
    </row>
    <row r="693" spans="1:19" x14ac:dyDescent="0.2">
      <c r="A693" t="s">
        <v>1304</v>
      </c>
      <c r="B693" t="s">
        <v>83</v>
      </c>
      <c r="C693" t="s">
        <v>607</v>
      </c>
      <c r="D693">
        <v>3061.2</v>
      </c>
      <c r="E693" s="37" t="str">
        <f t="shared" si="50"/>
        <v xml:space="preserve"> </v>
      </c>
      <c r="F693">
        <v>0.39</v>
      </c>
      <c r="G693" s="37" t="str">
        <f t="shared" si="51"/>
        <v>Heavy Discount</v>
      </c>
      <c r="H693" s="37" t="str">
        <f t="shared" si="52"/>
        <v>Medium</v>
      </c>
      <c r="I693">
        <v>2</v>
      </c>
      <c r="J693" t="str" cm="1">
        <f t="array" ref="J693">_xlfn.IFS(I693&lt;=3,"small",I693&lt;=6,"Medium",I693&lt;=9,"Large")</f>
        <v>small</v>
      </c>
      <c r="K693" s="36">
        <v>45180</v>
      </c>
      <c r="L693" s="36">
        <v>45181</v>
      </c>
      <c r="M693" t="s">
        <v>598</v>
      </c>
      <c r="N693" t="s">
        <v>608</v>
      </c>
      <c r="O693" s="37" t="str">
        <f t="shared" si="53"/>
        <v>Cash Payment</v>
      </c>
      <c r="P693">
        <v>308.05</v>
      </c>
      <c r="Q693" s="37" t="str">
        <f>IF(P693&gt;500,"High","low")</f>
        <v>low</v>
      </c>
      <c r="R693" s="37" t="str">
        <f t="shared" si="54"/>
        <v>AVERAGE</v>
      </c>
      <c r="S693" t="s">
        <v>620</v>
      </c>
    </row>
    <row r="694" spans="1:19" x14ac:dyDescent="0.2">
      <c r="A694" t="s">
        <v>1305</v>
      </c>
      <c r="B694" t="s">
        <v>75</v>
      </c>
      <c r="C694" t="s">
        <v>614</v>
      </c>
      <c r="D694">
        <v>2290.63</v>
      </c>
      <c r="E694" s="37" t="str">
        <f t="shared" si="50"/>
        <v xml:space="preserve"> </v>
      </c>
      <c r="F694">
        <v>0.4</v>
      </c>
      <c r="G694" s="37" t="str">
        <f t="shared" si="51"/>
        <v>Heavy Discount</v>
      </c>
      <c r="H694" s="37" t="str">
        <f t="shared" si="52"/>
        <v>Medium</v>
      </c>
      <c r="I694">
        <v>7</v>
      </c>
      <c r="J694" t="str" cm="1">
        <f t="array" ref="J694">_xlfn.IFS(I694&lt;=3,"small",I694&lt;=6,"Medium",I694&lt;=9,"Large")</f>
        <v>Large</v>
      </c>
      <c r="K694" s="36">
        <v>45166</v>
      </c>
      <c r="L694" s="36">
        <v>45173</v>
      </c>
      <c r="M694" t="s">
        <v>598</v>
      </c>
      <c r="N694" t="s">
        <v>604</v>
      </c>
      <c r="O694" s="37" t="str">
        <f t="shared" si="53"/>
        <v>Digital Payment</v>
      </c>
      <c r="P694">
        <v>247.23</v>
      </c>
      <c r="Q694" s="37" t="str">
        <f>IF(P694&gt;500,"High","low")</f>
        <v>low</v>
      </c>
      <c r="R694" s="37" t="str">
        <f t="shared" si="54"/>
        <v>AVERAGE</v>
      </c>
      <c r="S694" t="s">
        <v>615</v>
      </c>
    </row>
    <row r="695" spans="1:19" x14ac:dyDescent="0.2">
      <c r="A695" t="s">
        <v>1306</v>
      </c>
      <c r="B695" t="s">
        <v>67</v>
      </c>
      <c r="C695" t="s">
        <v>607</v>
      </c>
      <c r="D695">
        <v>2698.44</v>
      </c>
      <c r="E695" s="37" t="str">
        <f t="shared" si="50"/>
        <v xml:space="preserve"> </v>
      </c>
      <c r="F695">
        <v>0.13</v>
      </c>
      <c r="G695" s="37" t="str">
        <f t="shared" si="51"/>
        <v>Normal Discount</v>
      </c>
      <c r="H695" s="37" t="str">
        <f t="shared" si="52"/>
        <v>Low</v>
      </c>
      <c r="I695">
        <v>3</v>
      </c>
      <c r="J695" t="str" cm="1">
        <f t="array" ref="J695">_xlfn.IFS(I695&lt;=3,"small",I695&lt;=6,"Medium",I695&lt;=9,"Large")</f>
        <v>small</v>
      </c>
      <c r="K695" s="36">
        <v>45167</v>
      </c>
      <c r="L695" s="36">
        <v>45170</v>
      </c>
      <c r="M695" t="s">
        <v>603</v>
      </c>
      <c r="N695" t="s">
        <v>604</v>
      </c>
      <c r="O695" s="37" t="str">
        <f t="shared" si="53"/>
        <v>Digital Payment</v>
      </c>
      <c r="P695">
        <v>681.62</v>
      </c>
      <c r="Q695" s="37" t="str">
        <f>IF(P695&gt;500,"High","low")</f>
        <v>High</v>
      </c>
      <c r="R695" s="37" t="str">
        <f t="shared" si="54"/>
        <v>Good</v>
      </c>
      <c r="S695" t="s">
        <v>628</v>
      </c>
    </row>
    <row r="696" spans="1:19" x14ac:dyDescent="0.2">
      <c r="A696" t="s">
        <v>1307</v>
      </c>
      <c r="B696" t="s">
        <v>83</v>
      </c>
      <c r="C696" t="s">
        <v>602</v>
      </c>
      <c r="D696">
        <v>2765.13</v>
      </c>
      <c r="E696" s="37" t="str">
        <f t="shared" si="50"/>
        <v xml:space="preserve"> </v>
      </c>
      <c r="F696">
        <v>0</v>
      </c>
      <c r="G696" s="37" t="str">
        <f t="shared" si="51"/>
        <v>Normal Discount</v>
      </c>
      <c r="H696" s="37" t="str">
        <f t="shared" si="52"/>
        <v>Low</v>
      </c>
      <c r="I696">
        <v>6</v>
      </c>
      <c r="J696" t="str" cm="1">
        <f t="array" ref="J696">_xlfn.IFS(I696&lt;=3,"small",I696&lt;=6,"Medium",I696&lt;=9,"Large")</f>
        <v>Medium</v>
      </c>
      <c r="K696" s="36">
        <v>45128</v>
      </c>
      <c r="L696" s="36">
        <v>45131</v>
      </c>
      <c r="M696" t="s">
        <v>603</v>
      </c>
      <c r="N696" t="s">
        <v>599</v>
      </c>
      <c r="O696" s="37" t="str">
        <f t="shared" si="53"/>
        <v>Digital Payment</v>
      </c>
      <c r="P696">
        <v>561.05999999999995</v>
      </c>
      <c r="Q696" s="37" t="str">
        <f>IF(P696&gt;500,"High","low")</f>
        <v>High</v>
      </c>
      <c r="R696" s="37" t="str">
        <f t="shared" si="54"/>
        <v>Good</v>
      </c>
      <c r="S696" t="s">
        <v>600</v>
      </c>
    </row>
    <row r="697" spans="1:19" x14ac:dyDescent="0.2">
      <c r="A697" t="s">
        <v>1308</v>
      </c>
      <c r="B697" t="s">
        <v>67</v>
      </c>
      <c r="C697" t="s">
        <v>597</v>
      </c>
      <c r="D697">
        <v>967.07</v>
      </c>
      <c r="E697" s="37" t="str">
        <f t="shared" si="50"/>
        <v xml:space="preserve"> </v>
      </c>
      <c r="F697">
        <v>0.21</v>
      </c>
      <c r="G697" s="37" t="str">
        <f t="shared" si="51"/>
        <v>Normal Discount</v>
      </c>
      <c r="H697" s="37" t="str">
        <f t="shared" si="52"/>
        <v>Medium</v>
      </c>
      <c r="I697">
        <v>4</v>
      </c>
      <c r="J697" t="str" cm="1">
        <f t="array" ref="J697">_xlfn.IFS(I697&lt;=3,"small",I697&lt;=6,"Medium",I697&lt;=9,"Large")</f>
        <v>Medium</v>
      </c>
      <c r="K697" s="36">
        <v>45061</v>
      </c>
      <c r="L697" s="36">
        <v>45064</v>
      </c>
      <c r="M697" t="s">
        <v>612</v>
      </c>
      <c r="N697" t="s">
        <v>608</v>
      </c>
      <c r="O697" s="37" t="str">
        <f t="shared" si="53"/>
        <v>Cash Payment</v>
      </c>
      <c r="P697">
        <v>65.819999999999993</v>
      </c>
      <c r="Q697" s="37" t="str">
        <f>IF(P697&gt;500,"High","low")</f>
        <v>low</v>
      </c>
      <c r="R697" s="37" t="str">
        <f t="shared" si="54"/>
        <v>AVERAGE</v>
      </c>
      <c r="S697" t="s">
        <v>620</v>
      </c>
    </row>
    <row r="698" spans="1:19" x14ac:dyDescent="0.2">
      <c r="A698" t="s">
        <v>1309</v>
      </c>
      <c r="B698" t="s">
        <v>90</v>
      </c>
      <c r="C698" t="s">
        <v>602</v>
      </c>
      <c r="D698">
        <v>3872.84</v>
      </c>
      <c r="E698" s="37" t="str">
        <f t="shared" si="50"/>
        <v xml:space="preserve"> </v>
      </c>
      <c r="F698">
        <v>0.34</v>
      </c>
      <c r="G698" s="37" t="str">
        <f t="shared" si="51"/>
        <v>Heavy Discount</v>
      </c>
      <c r="H698" s="37" t="str">
        <f t="shared" si="52"/>
        <v>Medium</v>
      </c>
      <c r="I698">
        <v>5</v>
      </c>
      <c r="J698" t="str" cm="1">
        <f t="array" ref="J698">_xlfn.IFS(I698&lt;=3,"small",I698&lt;=6,"Medium",I698&lt;=9,"Large")</f>
        <v>Medium</v>
      </c>
      <c r="K698" s="36">
        <v>45404</v>
      </c>
      <c r="L698" s="36">
        <v>45409</v>
      </c>
      <c r="M698" t="s">
        <v>603</v>
      </c>
      <c r="N698" t="s">
        <v>608</v>
      </c>
      <c r="O698" s="37" t="str">
        <f t="shared" si="53"/>
        <v>Cash Payment</v>
      </c>
      <c r="P698">
        <v>862.32</v>
      </c>
      <c r="Q698" s="37" t="str">
        <f>IF(P698&gt;500,"High","low")</f>
        <v>High</v>
      </c>
      <c r="R698" s="37" t="str">
        <f t="shared" si="54"/>
        <v>Good</v>
      </c>
      <c r="S698" t="s">
        <v>609</v>
      </c>
    </row>
    <row r="699" spans="1:19" x14ac:dyDescent="0.2">
      <c r="A699" t="s">
        <v>1310</v>
      </c>
      <c r="B699" t="s">
        <v>83</v>
      </c>
      <c r="C699" t="s">
        <v>607</v>
      </c>
      <c r="D699">
        <v>2821.8</v>
      </c>
      <c r="E699" s="37" t="str">
        <f t="shared" si="50"/>
        <v xml:space="preserve"> </v>
      </c>
      <c r="F699">
        <v>0.31</v>
      </c>
      <c r="G699" s="37" t="str">
        <f t="shared" si="51"/>
        <v>Heavy Discount</v>
      </c>
      <c r="H699" s="37" t="str">
        <f t="shared" si="52"/>
        <v>Medium</v>
      </c>
      <c r="I699">
        <v>8</v>
      </c>
      <c r="J699" t="str" cm="1">
        <f t="array" ref="J699">_xlfn.IFS(I699&lt;=3,"small",I699&lt;=6,"Medium",I699&lt;=9,"Large")</f>
        <v>Large</v>
      </c>
      <c r="K699" s="36">
        <v>45399</v>
      </c>
      <c r="L699" s="36">
        <v>45403</v>
      </c>
      <c r="M699" t="s">
        <v>598</v>
      </c>
      <c r="N699" t="s">
        <v>608</v>
      </c>
      <c r="O699" s="37" t="str">
        <f t="shared" si="53"/>
        <v>Cash Payment</v>
      </c>
      <c r="P699">
        <v>507.79</v>
      </c>
      <c r="Q699" s="37" t="str">
        <f>IF(P699&gt;500,"High","low")</f>
        <v>High</v>
      </c>
      <c r="R699" s="37" t="str">
        <f t="shared" si="54"/>
        <v>Good</v>
      </c>
      <c r="S699" t="s">
        <v>628</v>
      </c>
    </row>
    <row r="700" spans="1:19" x14ac:dyDescent="0.2">
      <c r="A700" t="s">
        <v>1311</v>
      </c>
      <c r="B700" t="s">
        <v>83</v>
      </c>
      <c r="C700" t="s">
        <v>617</v>
      </c>
      <c r="D700">
        <v>1423.95</v>
      </c>
      <c r="E700" s="37" t="str">
        <f t="shared" si="50"/>
        <v xml:space="preserve"> </v>
      </c>
      <c r="F700">
        <v>0.22</v>
      </c>
      <c r="G700" s="37" t="str">
        <f t="shared" si="51"/>
        <v>Normal Discount</v>
      </c>
      <c r="H700" s="37" t="str">
        <f t="shared" si="52"/>
        <v>Medium</v>
      </c>
      <c r="I700">
        <v>2</v>
      </c>
      <c r="J700" t="str" cm="1">
        <f t="array" ref="J700">_xlfn.IFS(I700&lt;=3,"small",I700&lt;=6,"Medium",I700&lt;=9,"Large")</f>
        <v>small</v>
      </c>
      <c r="K700" s="36">
        <v>45352</v>
      </c>
      <c r="L700" s="36">
        <v>45355</v>
      </c>
      <c r="M700" t="s">
        <v>603</v>
      </c>
      <c r="N700" t="s">
        <v>599</v>
      </c>
      <c r="O700" s="37" t="str">
        <f t="shared" si="53"/>
        <v>Digital Payment</v>
      </c>
      <c r="P700">
        <v>277.58999999999997</v>
      </c>
      <c r="Q700" s="37" t="str">
        <f>IF(P700&gt;500,"High","low")</f>
        <v>low</v>
      </c>
      <c r="R700" s="37" t="str">
        <f t="shared" si="54"/>
        <v>AVERAGE</v>
      </c>
      <c r="S700" t="s">
        <v>605</v>
      </c>
    </row>
    <row r="701" spans="1:19" x14ac:dyDescent="0.2">
      <c r="A701" t="s">
        <v>1312</v>
      </c>
      <c r="B701" t="s">
        <v>90</v>
      </c>
      <c r="C701" t="s">
        <v>602</v>
      </c>
      <c r="D701">
        <v>4693.17</v>
      </c>
      <c r="E701" s="37" t="str">
        <f t="shared" si="50"/>
        <v xml:space="preserve"> </v>
      </c>
      <c r="F701">
        <v>0.15</v>
      </c>
      <c r="G701" s="37" t="str">
        <f t="shared" si="51"/>
        <v>Normal Discount</v>
      </c>
      <c r="H701" s="37" t="str">
        <f t="shared" si="52"/>
        <v>Low</v>
      </c>
      <c r="I701">
        <v>5</v>
      </c>
      <c r="J701" t="str" cm="1">
        <f t="array" ref="J701">_xlfn.IFS(I701&lt;=3,"small",I701&lt;=6,"Medium",I701&lt;=9,"Large")</f>
        <v>Medium</v>
      </c>
      <c r="K701" s="36">
        <v>45280</v>
      </c>
      <c r="L701" s="36">
        <v>45286</v>
      </c>
      <c r="M701" t="s">
        <v>598</v>
      </c>
      <c r="N701" t="s">
        <v>608</v>
      </c>
      <c r="O701" s="37" t="str">
        <f t="shared" si="53"/>
        <v>Cash Payment</v>
      </c>
      <c r="P701">
        <v>589.22</v>
      </c>
      <c r="Q701" s="37" t="str">
        <f>IF(P701&gt;500,"High","low")</f>
        <v>High</v>
      </c>
      <c r="R701" s="37" t="str">
        <f t="shared" si="54"/>
        <v>Good</v>
      </c>
      <c r="S701" t="s">
        <v>628</v>
      </c>
    </row>
    <row r="702" spans="1:19" x14ac:dyDescent="0.2">
      <c r="A702" t="s">
        <v>1313</v>
      </c>
      <c r="B702" t="s">
        <v>83</v>
      </c>
      <c r="C702" t="s">
        <v>617</v>
      </c>
      <c r="D702">
        <v>162.59</v>
      </c>
      <c r="E702" s="37" t="str">
        <f t="shared" si="50"/>
        <v xml:space="preserve"> </v>
      </c>
      <c r="F702">
        <v>0.24</v>
      </c>
      <c r="G702" s="37" t="str">
        <f t="shared" si="51"/>
        <v>Normal Discount</v>
      </c>
      <c r="H702" s="37" t="str">
        <f t="shared" si="52"/>
        <v>Medium</v>
      </c>
      <c r="I702">
        <v>2</v>
      </c>
      <c r="J702" t="str" cm="1">
        <f t="array" ref="J702">_xlfn.IFS(I702&lt;=3,"small",I702&lt;=6,"Medium",I702&lt;=9,"Large")</f>
        <v>small</v>
      </c>
      <c r="K702" s="36">
        <v>45293</v>
      </c>
      <c r="L702" s="36">
        <v>45298</v>
      </c>
      <c r="M702" t="s">
        <v>598</v>
      </c>
      <c r="N702" t="s">
        <v>599</v>
      </c>
      <c r="O702" s="37" t="str">
        <f t="shared" si="53"/>
        <v>Digital Payment</v>
      </c>
      <c r="P702">
        <v>8.86</v>
      </c>
      <c r="Q702" s="37" t="str">
        <f>IF(P702&gt;500,"High","low")</f>
        <v>low</v>
      </c>
      <c r="R702" s="37" t="str">
        <f t="shared" si="54"/>
        <v>AVERAGE</v>
      </c>
      <c r="S702" t="s">
        <v>605</v>
      </c>
    </row>
    <row r="703" spans="1:19" x14ac:dyDescent="0.2">
      <c r="A703" t="s">
        <v>1314</v>
      </c>
      <c r="B703" t="s">
        <v>67</v>
      </c>
      <c r="C703" t="s">
        <v>602</v>
      </c>
      <c r="D703">
        <v>3657.09</v>
      </c>
      <c r="E703" s="37" t="str">
        <f t="shared" si="50"/>
        <v xml:space="preserve"> </v>
      </c>
      <c r="F703">
        <v>0.01</v>
      </c>
      <c r="G703" s="37" t="str">
        <f t="shared" si="51"/>
        <v>Normal Discount</v>
      </c>
      <c r="H703" s="37" t="str">
        <f t="shared" si="52"/>
        <v>Low</v>
      </c>
      <c r="I703">
        <v>9</v>
      </c>
      <c r="J703" t="str" cm="1">
        <f t="array" ref="J703">_xlfn.IFS(I703&lt;=3,"small",I703&lt;=6,"Medium",I703&lt;=9,"Large")</f>
        <v>Large</v>
      </c>
      <c r="K703" s="36">
        <v>45495</v>
      </c>
      <c r="L703" s="36">
        <v>45501</v>
      </c>
      <c r="M703" t="s">
        <v>612</v>
      </c>
      <c r="N703" t="s">
        <v>608</v>
      </c>
      <c r="O703" s="37" t="str">
        <f t="shared" si="53"/>
        <v>Cash Payment</v>
      </c>
      <c r="P703">
        <v>647.98</v>
      </c>
      <c r="Q703" s="37" t="str">
        <f>IF(P703&gt;500,"High","low")</f>
        <v>High</v>
      </c>
      <c r="R703" s="37" t="str">
        <f t="shared" si="54"/>
        <v>Good</v>
      </c>
      <c r="S703" t="s">
        <v>620</v>
      </c>
    </row>
    <row r="704" spans="1:19" x14ac:dyDescent="0.2">
      <c r="A704" t="s">
        <v>1315</v>
      </c>
      <c r="B704" t="s">
        <v>75</v>
      </c>
      <c r="C704" t="s">
        <v>617</v>
      </c>
      <c r="D704">
        <v>1968.05</v>
      </c>
      <c r="E704" s="37" t="str">
        <f t="shared" si="50"/>
        <v xml:space="preserve"> </v>
      </c>
      <c r="F704">
        <v>0.04</v>
      </c>
      <c r="G704" s="37" t="str">
        <f t="shared" si="51"/>
        <v>Normal Discount</v>
      </c>
      <c r="H704" s="37" t="str">
        <f t="shared" si="52"/>
        <v>Low</v>
      </c>
      <c r="I704">
        <v>2</v>
      </c>
      <c r="J704" t="str" cm="1">
        <f t="array" ref="J704">_xlfn.IFS(I704&lt;=3,"small",I704&lt;=6,"Medium",I704&lt;=9,"Large")</f>
        <v>small</v>
      </c>
      <c r="K704" s="36">
        <v>45011</v>
      </c>
      <c r="L704" s="36">
        <v>45017</v>
      </c>
      <c r="M704" t="s">
        <v>598</v>
      </c>
      <c r="N704" t="s">
        <v>599</v>
      </c>
      <c r="O704" s="37" t="str">
        <f t="shared" si="53"/>
        <v>Digital Payment</v>
      </c>
      <c r="P704">
        <v>391.21</v>
      </c>
      <c r="Q704" s="37" t="str">
        <f>IF(P704&gt;500,"High","low")</f>
        <v>low</v>
      </c>
      <c r="R704" s="37" t="str">
        <f t="shared" si="54"/>
        <v>AVERAGE</v>
      </c>
      <c r="S704" t="s">
        <v>628</v>
      </c>
    </row>
    <row r="705" spans="1:19" x14ac:dyDescent="0.2">
      <c r="A705" t="s">
        <v>1316</v>
      </c>
      <c r="B705" t="s">
        <v>67</v>
      </c>
      <c r="C705" t="s">
        <v>602</v>
      </c>
      <c r="D705">
        <v>2660.47</v>
      </c>
      <c r="E705" s="37" t="str">
        <f t="shared" si="50"/>
        <v xml:space="preserve"> </v>
      </c>
      <c r="F705">
        <v>0.08</v>
      </c>
      <c r="G705" s="37" t="str">
        <f t="shared" si="51"/>
        <v>Normal Discount</v>
      </c>
      <c r="H705" s="37" t="str">
        <f t="shared" si="52"/>
        <v>Low</v>
      </c>
      <c r="I705">
        <v>1</v>
      </c>
      <c r="J705" t="str" cm="1">
        <f t="array" ref="J705">_xlfn.IFS(I705&lt;=3,"small",I705&lt;=6,"Medium",I705&lt;=9,"Large")</f>
        <v>small</v>
      </c>
      <c r="K705" s="36">
        <v>45083</v>
      </c>
      <c r="L705" s="36">
        <v>45086</v>
      </c>
      <c r="M705" t="s">
        <v>598</v>
      </c>
      <c r="N705" t="s">
        <v>599</v>
      </c>
      <c r="O705" s="37" t="str">
        <f t="shared" si="53"/>
        <v>Digital Payment</v>
      </c>
      <c r="P705">
        <v>562.19000000000005</v>
      </c>
      <c r="Q705" s="37" t="str">
        <f>IF(P705&gt;500,"High","low")</f>
        <v>High</v>
      </c>
      <c r="R705" s="37" t="str">
        <f t="shared" si="54"/>
        <v>Good</v>
      </c>
      <c r="S705" t="s">
        <v>628</v>
      </c>
    </row>
    <row r="706" spans="1:19" x14ac:dyDescent="0.2">
      <c r="A706" t="s">
        <v>1317</v>
      </c>
      <c r="B706" t="s">
        <v>75</v>
      </c>
      <c r="C706" t="s">
        <v>617</v>
      </c>
      <c r="D706">
        <v>1528.4</v>
      </c>
      <c r="E706" s="37" t="str">
        <f t="shared" si="50"/>
        <v xml:space="preserve"> </v>
      </c>
      <c r="F706">
        <v>0.31</v>
      </c>
      <c r="G706" s="37" t="str">
        <f t="shared" si="51"/>
        <v>Heavy Discount</v>
      </c>
      <c r="H706" s="37" t="str">
        <f t="shared" si="52"/>
        <v>Medium</v>
      </c>
      <c r="I706">
        <v>4</v>
      </c>
      <c r="J706" t="str" cm="1">
        <f t="array" ref="J706">_xlfn.IFS(I706&lt;=3,"small",I706&lt;=6,"Medium",I706&lt;=9,"Large")</f>
        <v>Medium</v>
      </c>
      <c r="K706" s="36">
        <v>45263</v>
      </c>
      <c r="L706" s="36">
        <v>45265</v>
      </c>
      <c r="M706" t="s">
        <v>612</v>
      </c>
      <c r="N706" t="s">
        <v>608</v>
      </c>
      <c r="O706" s="37" t="str">
        <f t="shared" si="53"/>
        <v>Cash Payment</v>
      </c>
      <c r="P706">
        <v>245.36</v>
      </c>
      <c r="Q706" s="37" t="str">
        <f>IF(P706&gt;500,"High","low")</f>
        <v>low</v>
      </c>
      <c r="R706" s="37" t="str">
        <f t="shared" si="54"/>
        <v>AVERAGE</v>
      </c>
      <c r="S706" t="s">
        <v>620</v>
      </c>
    </row>
    <row r="707" spans="1:19" x14ac:dyDescent="0.2">
      <c r="A707" t="s">
        <v>1318</v>
      </c>
      <c r="B707" t="s">
        <v>75</v>
      </c>
      <c r="C707" t="s">
        <v>597</v>
      </c>
      <c r="D707">
        <v>1674.14</v>
      </c>
      <c r="E707" s="37" t="str">
        <f t="shared" ref="E707:E770" si="55">IF(AND(D707&gt;4000,P707&gt;800),"Excellent Order"," ")</f>
        <v xml:space="preserve"> </v>
      </c>
      <c r="F707">
        <v>0.11</v>
      </c>
      <c r="G707" s="37" t="str">
        <f t="shared" ref="G707:G770" si="56">IF(F707&gt;30%,"Heavy Discount","Normal Discount")</f>
        <v>Normal Discount</v>
      </c>
      <c r="H707" s="37" t="str">
        <f t="shared" ref="H707:H770" si="57">IF(F707&gt;0.4,"High",IF(F707&gt;=0.2,"Medium","Low"))</f>
        <v>Low</v>
      </c>
      <c r="I707">
        <v>7</v>
      </c>
      <c r="J707" t="str" cm="1">
        <f t="array" ref="J707">_xlfn.IFS(I707&lt;=3,"small",I707&lt;=6,"Medium",I707&lt;=9,"Large")</f>
        <v>Large</v>
      </c>
      <c r="K707" s="36">
        <v>45117</v>
      </c>
      <c r="L707" s="36">
        <v>45122</v>
      </c>
      <c r="M707" t="s">
        <v>598</v>
      </c>
      <c r="N707" t="s">
        <v>604</v>
      </c>
      <c r="O707" s="37" t="str">
        <f t="shared" ref="O707:O770" si="58">IF(OR(N707="Card",N707="UPI"),"Digital Payment","Cash Payment")</f>
        <v>Digital Payment</v>
      </c>
      <c r="P707">
        <v>318.39</v>
      </c>
      <c r="Q707" s="37" t="str">
        <f>IF(P707&gt;500,"High","low")</f>
        <v>low</v>
      </c>
      <c r="R707" s="37" t="str">
        <f t="shared" ref="R707:R770" si="59">IF(P707&gt;1000,"Excellent",IF(P707&gt;=500,"Good","AVERAGE"))</f>
        <v>AVERAGE</v>
      </c>
      <c r="S707" t="s">
        <v>620</v>
      </c>
    </row>
    <row r="708" spans="1:19" x14ac:dyDescent="0.2">
      <c r="A708" t="s">
        <v>1319</v>
      </c>
      <c r="B708" t="s">
        <v>67</v>
      </c>
      <c r="C708" t="s">
        <v>614</v>
      </c>
      <c r="D708">
        <v>174.31</v>
      </c>
      <c r="E708" s="37" t="str">
        <f t="shared" si="55"/>
        <v xml:space="preserve"> </v>
      </c>
      <c r="F708">
        <v>0.21</v>
      </c>
      <c r="G708" s="37" t="str">
        <f t="shared" si="56"/>
        <v>Normal Discount</v>
      </c>
      <c r="H708" s="37" t="str">
        <f t="shared" si="57"/>
        <v>Medium</v>
      </c>
      <c r="I708">
        <v>2</v>
      </c>
      <c r="J708" t="str" cm="1">
        <f t="array" ref="J708">_xlfn.IFS(I708&lt;=3,"small",I708&lt;=6,"Medium",I708&lt;=9,"Large")</f>
        <v>small</v>
      </c>
      <c r="K708" s="36">
        <v>45425</v>
      </c>
      <c r="L708" s="36">
        <v>45432</v>
      </c>
      <c r="M708" t="s">
        <v>612</v>
      </c>
      <c r="N708" t="s">
        <v>604</v>
      </c>
      <c r="O708" s="37" t="str">
        <f t="shared" si="58"/>
        <v>Digital Payment</v>
      </c>
      <c r="P708">
        <v>32.42</v>
      </c>
      <c r="Q708" s="37" t="str">
        <f>IF(P708&gt;500,"High","low")</f>
        <v>low</v>
      </c>
      <c r="R708" s="37" t="str">
        <f t="shared" si="59"/>
        <v>AVERAGE</v>
      </c>
      <c r="S708" t="s">
        <v>600</v>
      </c>
    </row>
    <row r="709" spans="1:19" x14ac:dyDescent="0.2">
      <c r="A709" t="s">
        <v>1320</v>
      </c>
      <c r="B709" t="s">
        <v>67</v>
      </c>
      <c r="C709" t="s">
        <v>602</v>
      </c>
      <c r="D709">
        <v>3676.24</v>
      </c>
      <c r="E709" s="37" t="str">
        <f t="shared" si="55"/>
        <v xml:space="preserve"> </v>
      </c>
      <c r="F709">
        <v>0.31</v>
      </c>
      <c r="G709" s="37" t="str">
        <f t="shared" si="56"/>
        <v>Heavy Discount</v>
      </c>
      <c r="H709" s="37" t="str">
        <f t="shared" si="57"/>
        <v>Medium</v>
      </c>
      <c r="I709">
        <v>9</v>
      </c>
      <c r="J709" t="str" cm="1">
        <f t="array" ref="J709">_xlfn.IFS(I709&lt;=3,"small",I709&lt;=6,"Medium",I709&lt;=9,"Large")</f>
        <v>Large</v>
      </c>
      <c r="K709" s="36">
        <v>44947</v>
      </c>
      <c r="L709" s="36">
        <v>44948</v>
      </c>
      <c r="M709" t="s">
        <v>603</v>
      </c>
      <c r="N709" t="s">
        <v>604</v>
      </c>
      <c r="O709" s="37" t="str">
        <f t="shared" si="58"/>
        <v>Digital Payment</v>
      </c>
      <c r="P709">
        <v>523.49</v>
      </c>
      <c r="Q709" s="37" t="str">
        <f>IF(P709&gt;500,"High","low")</f>
        <v>High</v>
      </c>
      <c r="R709" s="37" t="str">
        <f t="shared" si="59"/>
        <v>Good</v>
      </c>
      <c r="S709" t="s">
        <v>620</v>
      </c>
    </row>
    <row r="710" spans="1:19" x14ac:dyDescent="0.2">
      <c r="A710" t="s">
        <v>1321</v>
      </c>
      <c r="B710" t="s">
        <v>67</v>
      </c>
      <c r="C710" t="s">
        <v>597</v>
      </c>
      <c r="D710">
        <v>3582.91</v>
      </c>
      <c r="E710" s="37" t="str">
        <f t="shared" si="55"/>
        <v xml:space="preserve"> </v>
      </c>
      <c r="F710">
        <v>0.42</v>
      </c>
      <c r="G710" s="37" t="str">
        <f t="shared" si="56"/>
        <v>Heavy Discount</v>
      </c>
      <c r="H710" s="37" t="str">
        <f t="shared" si="57"/>
        <v>High</v>
      </c>
      <c r="I710">
        <v>1</v>
      </c>
      <c r="J710" t="str" cm="1">
        <f t="array" ref="J710">_xlfn.IFS(I710&lt;=3,"small",I710&lt;=6,"Medium",I710&lt;=9,"Large")</f>
        <v>small</v>
      </c>
      <c r="K710" s="36">
        <v>45536</v>
      </c>
      <c r="L710" s="36">
        <v>45541</v>
      </c>
      <c r="M710" t="s">
        <v>603</v>
      </c>
      <c r="N710" t="s">
        <v>604</v>
      </c>
      <c r="O710" s="37" t="str">
        <f t="shared" si="58"/>
        <v>Digital Payment</v>
      </c>
      <c r="P710">
        <v>902.82</v>
      </c>
      <c r="Q710" s="37" t="str">
        <f>IF(P710&gt;500,"High","low")</f>
        <v>High</v>
      </c>
      <c r="R710" s="37" t="str">
        <f t="shared" si="59"/>
        <v>Good</v>
      </c>
      <c r="S710" t="s">
        <v>609</v>
      </c>
    </row>
    <row r="711" spans="1:19" x14ac:dyDescent="0.2">
      <c r="A711" t="s">
        <v>1322</v>
      </c>
      <c r="B711" t="s">
        <v>67</v>
      </c>
      <c r="C711" t="s">
        <v>614</v>
      </c>
      <c r="D711">
        <v>3306.36</v>
      </c>
      <c r="E711" s="37" t="str">
        <f t="shared" si="55"/>
        <v xml:space="preserve"> </v>
      </c>
      <c r="F711">
        <v>0.27</v>
      </c>
      <c r="G711" s="37" t="str">
        <f t="shared" si="56"/>
        <v>Normal Discount</v>
      </c>
      <c r="H711" s="37" t="str">
        <f t="shared" si="57"/>
        <v>Medium</v>
      </c>
      <c r="I711">
        <v>1</v>
      </c>
      <c r="J711" t="str" cm="1">
        <f t="array" ref="J711">_xlfn.IFS(I711&lt;=3,"small",I711&lt;=6,"Medium",I711&lt;=9,"Large")</f>
        <v>small</v>
      </c>
      <c r="K711" s="36">
        <v>45619</v>
      </c>
      <c r="L711" s="36">
        <v>45625</v>
      </c>
      <c r="M711" t="s">
        <v>603</v>
      </c>
      <c r="N711" t="s">
        <v>599</v>
      </c>
      <c r="O711" s="37" t="str">
        <f t="shared" si="58"/>
        <v>Digital Payment</v>
      </c>
      <c r="P711">
        <v>523.4</v>
      </c>
      <c r="Q711" s="37" t="str">
        <f>IF(P711&gt;500,"High","low")</f>
        <v>High</v>
      </c>
      <c r="R711" s="37" t="str">
        <f t="shared" si="59"/>
        <v>Good</v>
      </c>
      <c r="S711" t="s">
        <v>605</v>
      </c>
    </row>
    <row r="712" spans="1:19" x14ac:dyDescent="0.2">
      <c r="A712" t="s">
        <v>1323</v>
      </c>
      <c r="B712" t="s">
        <v>90</v>
      </c>
      <c r="C712" t="s">
        <v>602</v>
      </c>
      <c r="D712">
        <v>4401.96</v>
      </c>
      <c r="E712" s="37" t="str">
        <f t="shared" si="55"/>
        <v xml:space="preserve"> </v>
      </c>
      <c r="F712">
        <v>0.09</v>
      </c>
      <c r="G712" s="37" t="str">
        <f t="shared" si="56"/>
        <v>Normal Discount</v>
      </c>
      <c r="H712" s="37" t="str">
        <f t="shared" si="57"/>
        <v>Low</v>
      </c>
      <c r="I712">
        <v>8</v>
      </c>
      <c r="J712" t="str" cm="1">
        <f t="array" ref="J712">_xlfn.IFS(I712&lt;=3,"small",I712&lt;=6,"Medium",I712&lt;=9,"Large")</f>
        <v>Large</v>
      </c>
      <c r="K712" s="36">
        <v>45582</v>
      </c>
      <c r="L712" s="36">
        <v>45584</v>
      </c>
      <c r="M712" t="s">
        <v>598</v>
      </c>
      <c r="N712" t="s">
        <v>604</v>
      </c>
      <c r="O712" s="37" t="str">
        <f t="shared" si="58"/>
        <v>Digital Payment</v>
      </c>
      <c r="P712">
        <v>481.23</v>
      </c>
      <c r="Q712" s="37" t="str">
        <f>IF(P712&gt;500,"High","low")</f>
        <v>low</v>
      </c>
      <c r="R712" s="37" t="str">
        <f t="shared" si="59"/>
        <v>AVERAGE</v>
      </c>
      <c r="S712" t="s">
        <v>605</v>
      </c>
    </row>
    <row r="713" spans="1:19" x14ac:dyDescent="0.2">
      <c r="A713" t="s">
        <v>1324</v>
      </c>
      <c r="B713" t="s">
        <v>83</v>
      </c>
      <c r="C713" t="s">
        <v>597</v>
      </c>
      <c r="D713">
        <v>4516.21</v>
      </c>
      <c r="E713" s="37" t="str">
        <f t="shared" si="55"/>
        <v xml:space="preserve"> </v>
      </c>
      <c r="F713">
        <v>0.48</v>
      </c>
      <c r="G713" s="37" t="str">
        <f t="shared" si="56"/>
        <v>Heavy Discount</v>
      </c>
      <c r="H713" s="37" t="str">
        <f t="shared" si="57"/>
        <v>High</v>
      </c>
      <c r="I713">
        <v>5</v>
      </c>
      <c r="J713" t="str" cm="1">
        <f t="array" ref="J713">_xlfn.IFS(I713&lt;=3,"small",I713&lt;=6,"Medium",I713&lt;=9,"Large")</f>
        <v>Medium</v>
      </c>
      <c r="K713" s="36">
        <v>45612</v>
      </c>
      <c r="L713" s="36">
        <v>45613</v>
      </c>
      <c r="M713" t="s">
        <v>603</v>
      </c>
      <c r="N713" t="s">
        <v>599</v>
      </c>
      <c r="O713" s="37" t="str">
        <f t="shared" si="58"/>
        <v>Digital Payment</v>
      </c>
      <c r="P713">
        <v>235.91</v>
      </c>
      <c r="Q713" s="37" t="str">
        <f>IF(P713&gt;500,"High","low")</f>
        <v>low</v>
      </c>
      <c r="R713" s="37" t="str">
        <f t="shared" si="59"/>
        <v>AVERAGE</v>
      </c>
      <c r="S713" t="s">
        <v>615</v>
      </c>
    </row>
    <row r="714" spans="1:19" x14ac:dyDescent="0.2">
      <c r="A714" t="s">
        <v>1325</v>
      </c>
      <c r="B714" t="s">
        <v>75</v>
      </c>
      <c r="C714" t="s">
        <v>597</v>
      </c>
      <c r="D714">
        <v>2826.58</v>
      </c>
      <c r="E714" s="37" t="str">
        <f t="shared" si="55"/>
        <v xml:space="preserve"> </v>
      </c>
      <c r="F714">
        <v>0.05</v>
      </c>
      <c r="G714" s="37" t="str">
        <f t="shared" si="56"/>
        <v>Normal Discount</v>
      </c>
      <c r="H714" s="37" t="str">
        <f t="shared" si="57"/>
        <v>Low</v>
      </c>
      <c r="I714">
        <v>9</v>
      </c>
      <c r="J714" t="str" cm="1">
        <f t="array" ref="J714">_xlfn.IFS(I714&lt;=3,"small",I714&lt;=6,"Medium",I714&lt;=9,"Large")</f>
        <v>Large</v>
      </c>
      <c r="K714" s="36">
        <v>45418</v>
      </c>
      <c r="L714" s="36">
        <v>45421</v>
      </c>
      <c r="M714" t="s">
        <v>603</v>
      </c>
      <c r="N714" t="s">
        <v>599</v>
      </c>
      <c r="O714" s="37" t="str">
        <f t="shared" si="58"/>
        <v>Digital Payment</v>
      </c>
      <c r="P714">
        <v>344.3</v>
      </c>
      <c r="Q714" s="37" t="str">
        <f>IF(P714&gt;500,"High","low")</f>
        <v>low</v>
      </c>
      <c r="R714" s="37" t="str">
        <f t="shared" si="59"/>
        <v>AVERAGE</v>
      </c>
      <c r="S714" t="s">
        <v>620</v>
      </c>
    </row>
    <row r="715" spans="1:19" x14ac:dyDescent="0.2">
      <c r="A715" t="s">
        <v>1326</v>
      </c>
      <c r="B715" t="s">
        <v>67</v>
      </c>
      <c r="C715" t="s">
        <v>597</v>
      </c>
      <c r="D715">
        <v>3455.64</v>
      </c>
      <c r="E715" s="37" t="str">
        <f t="shared" si="55"/>
        <v xml:space="preserve"> </v>
      </c>
      <c r="F715">
        <v>0.18</v>
      </c>
      <c r="G715" s="37" t="str">
        <f t="shared" si="56"/>
        <v>Normal Discount</v>
      </c>
      <c r="H715" s="37" t="str">
        <f t="shared" si="57"/>
        <v>Low</v>
      </c>
      <c r="I715">
        <v>8</v>
      </c>
      <c r="J715" t="str" cm="1">
        <f t="array" ref="J715">_xlfn.IFS(I715&lt;=3,"small",I715&lt;=6,"Medium",I715&lt;=9,"Large")</f>
        <v>Large</v>
      </c>
      <c r="K715" s="36">
        <v>45063</v>
      </c>
      <c r="L715" s="36">
        <v>45068</v>
      </c>
      <c r="M715" t="s">
        <v>603</v>
      </c>
      <c r="N715" t="s">
        <v>604</v>
      </c>
      <c r="O715" s="37" t="str">
        <f t="shared" si="58"/>
        <v>Digital Payment</v>
      </c>
      <c r="P715">
        <v>262.14999999999998</v>
      </c>
      <c r="Q715" s="37" t="str">
        <f>IF(P715&gt;500,"High","low")</f>
        <v>low</v>
      </c>
      <c r="R715" s="37" t="str">
        <f t="shared" si="59"/>
        <v>AVERAGE</v>
      </c>
      <c r="S715" t="s">
        <v>600</v>
      </c>
    </row>
    <row r="716" spans="1:19" x14ac:dyDescent="0.2">
      <c r="A716" t="s">
        <v>1327</v>
      </c>
      <c r="B716" t="s">
        <v>67</v>
      </c>
      <c r="C716" t="s">
        <v>607</v>
      </c>
      <c r="D716">
        <v>153.88999999999999</v>
      </c>
      <c r="E716" s="37" t="str">
        <f t="shared" si="55"/>
        <v xml:space="preserve"> </v>
      </c>
      <c r="F716">
        <v>0.46</v>
      </c>
      <c r="G716" s="37" t="str">
        <f t="shared" si="56"/>
        <v>Heavy Discount</v>
      </c>
      <c r="H716" s="37" t="str">
        <f t="shared" si="57"/>
        <v>High</v>
      </c>
      <c r="I716">
        <v>6</v>
      </c>
      <c r="J716" t="str" cm="1">
        <f t="array" ref="J716">_xlfn.IFS(I716&lt;=3,"small",I716&lt;=6,"Medium",I716&lt;=9,"Large")</f>
        <v>Medium</v>
      </c>
      <c r="K716" s="36">
        <v>45162</v>
      </c>
      <c r="L716" s="36">
        <v>45164</v>
      </c>
      <c r="M716" t="s">
        <v>612</v>
      </c>
      <c r="N716" t="s">
        <v>608</v>
      </c>
      <c r="O716" s="37" t="str">
        <f t="shared" si="58"/>
        <v>Cash Payment</v>
      </c>
      <c r="P716">
        <v>26.98</v>
      </c>
      <c r="Q716" s="37" t="str">
        <f>IF(P716&gt;500,"High","low")</f>
        <v>low</v>
      </c>
      <c r="R716" s="37" t="str">
        <f t="shared" si="59"/>
        <v>AVERAGE</v>
      </c>
      <c r="S716" t="s">
        <v>609</v>
      </c>
    </row>
    <row r="717" spans="1:19" x14ac:dyDescent="0.2">
      <c r="A717" t="s">
        <v>1328</v>
      </c>
      <c r="B717" t="s">
        <v>67</v>
      </c>
      <c r="C717" t="s">
        <v>617</v>
      </c>
      <c r="D717">
        <v>4247.08</v>
      </c>
      <c r="E717" s="37" t="str">
        <f t="shared" si="55"/>
        <v xml:space="preserve"> </v>
      </c>
      <c r="F717">
        <v>0.3</v>
      </c>
      <c r="G717" s="37" t="str">
        <f t="shared" si="56"/>
        <v>Normal Discount</v>
      </c>
      <c r="H717" s="37" t="str">
        <f t="shared" si="57"/>
        <v>Medium</v>
      </c>
      <c r="I717">
        <v>4</v>
      </c>
      <c r="J717" t="str" cm="1">
        <f t="array" ref="J717">_xlfn.IFS(I717&lt;=3,"small",I717&lt;=6,"Medium",I717&lt;=9,"Large")</f>
        <v>Medium</v>
      </c>
      <c r="K717" s="36">
        <v>44929</v>
      </c>
      <c r="L717" s="36">
        <v>44930</v>
      </c>
      <c r="M717" t="s">
        <v>598</v>
      </c>
      <c r="N717" t="s">
        <v>604</v>
      </c>
      <c r="O717" s="37" t="str">
        <f t="shared" si="58"/>
        <v>Digital Payment</v>
      </c>
      <c r="P717">
        <v>617.37</v>
      </c>
      <c r="Q717" s="37" t="str">
        <f>IF(P717&gt;500,"High","low")</f>
        <v>High</v>
      </c>
      <c r="R717" s="37" t="str">
        <f t="shared" si="59"/>
        <v>Good</v>
      </c>
      <c r="S717" t="s">
        <v>615</v>
      </c>
    </row>
    <row r="718" spans="1:19" x14ac:dyDescent="0.2">
      <c r="A718" t="s">
        <v>1329</v>
      </c>
      <c r="B718" t="s">
        <v>90</v>
      </c>
      <c r="C718" t="s">
        <v>614</v>
      </c>
      <c r="D718">
        <v>4100.43</v>
      </c>
      <c r="E718" s="37" t="str">
        <f t="shared" si="55"/>
        <v xml:space="preserve"> </v>
      </c>
      <c r="F718">
        <v>0.33</v>
      </c>
      <c r="G718" s="37" t="str">
        <f t="shared" si="56"/>
        <v>Heavy Discount</v>
      </c>
      <c r="H718" s="37" t="str">
        <f t="shared" si="57"/>
        <v>Medium</v>
      </c>
      <c r="I718">
        <v>6</v>
      </c>
      <c r="J718" t="str" cm="1">
        <f t="array" ref="J718">_xlfn.IFS(I718&lt;=3,"small",I718&lt;=6,"Medium",I718&lt;=9,"Large")</f>
        <v>Medium</v>
      </c>
      <c r="K718" s="36">
        <v>44949</v>
      </c>
      <c r="L718" s="36">
        <v>44955</v>
      </c>
      <c r="M718" t="s">
        <v>598</v>
      </c>
      <c r="N718" t="s">
        <v>599</v>
      </c>
      <c r="O718" s="37" t="str">
        <f t="shared" si="58"/>
        <v>Digital Payment</v>
      </c>
      <c r="P718">
        <v>462.37</v>
      </c>
      <c r="Q718" s="37" t="str">
        <f>IF(P718&gt;500,"High","low")</f>
        <v>low</v>
      </c>
      <c r="R718" s="37" t="str">
        <f t="shared" si="59"/>
        <v>AVERAGE</v>
      </c>
      <c r="S718" t="s">
        <v>620</v>
      </c>
    </row>
    <row r="719" spans="1:19" x14ac:dyDescent="0.2">
      <c r="A719" t="s">
        <v>1330</v>
      </c>
      <c r="B719" t="s">
        <v>67</v>
      </c>
      <c r="C719" t="s">
        <v>617</v>
      </c>
      <c r="D719">
        <v>199.22</v>
      </c>
      <c r="E719" s="37" t="str">
        <f t="shared" si="55"/>
        <v xml:space="preserve"> </v>
      </c>
      <c r="F719">
        <v>0.15</v>
      </c>
      <c r="G719" s="37" t="str">
        <f t="shared" si="56"/>
        <v>Normal Discount</v>
      </c>
      <c r="H719" s="37" t="str">
        <f t="shared" si="57"/>
        <v>Low</v>
      </c>
      <c r="I719">
        <v>2</v>
      </c>
      <c r="J719" t="str" cm="1">
        <f t="array" ref="J719">_xlfn.IFS(I719&lt;=3,"small",I719&lt;=6,"Medium",I719&lt;=9,"Large")</f>
        <v>small</v>
      </c>
      <c r="K719" s="36">
        <v>45067</v>
      </c>
      <c r="L719" s="36">
        <v>45071</v>
      </c>
      <c r="M719" t="s">
        <v>612</v>
      </c>
      <c r="N719" t="s">
        <v>604</v>
      </c>
      <c r="O719" s="37" t="str">
        <f t="shared" si="58"/>
        <v>Digital Payment</v>
      </c>
      <c r="P719">
        <v>16.399999999999999</v>
      </c>
      <c r="Q719" s="37" t="str">
        <f>IF(P719&gt;500,"High","low")</f>
        <v>low</v>
      </c>
      <c r="R719" s="37" t="str">
        <f t="shared" si="59"/>
        <v>AVERAGE</v>
      </c>
      <c r="S719" t="s">
        <v>600</v>
      </c>
    </row>
    <row r="720" spans="1:19" x14ac:dyDescent="0.2">
      <c r="A720" t="s">
        <v>1331</v>
      </c>
      <c r="B720" t="s">
        <v>67</v>
      </c>
      <c r="C720" t="s">
        <v>617</v>
      </c>
      <c r="D720">
        <v>2759.84</v>
      </c>
      <c r="E720" s="37" t="str">
        <f t="shared" si="55"/>
        <v xml:space="preserve"> </v>
      </c>
      <c r="F720">
        <v>0.04</v>
      </c>
      <c r="G720" s="37" t="str">
        <f t="shared" si="56"/>
        <v>Normal Discount</v>
      </c>
      <c r="H720" s="37" t="str">
        <f t="shared" si="57"/>
        <v>Low</v>
      </c>
      <c r="I720">
        <v>5</v>
      </c>
      <c r="J720" t="str" cm="1">
        <f t="array" ref="J720">_xlfn.IFS(I720&lt;=3,"small",I720&lt;=6,"Medium",I720&lt;=9,"Large")</f>
        <v>Medium</v>
      </c>
      <c r="K720" s="36">
        <v>44964</v>
      </c>
      <c r="L720" s="36">
        <v>44969</v>
      </c>
      <c r="M720" t="s">
        <v>598</v>
      </c>
      <c r="N720" t="s">
        <v>599</v>
      </c>
      <c r="O720" s="37" t="str">
        <f t="shared" si="58"/>
        <v>Digital Payment</v>
      </c>
      <c r="P720">
        <v>693.87</v>
      </c>
      <c r="Q720" s="37" t="str">
        <f>IF(P720&gt;500,"High","low")</f>
        <v>High</v>
      </c>
      <c r="R720" s="37" t="str">
        <f t="shared" si="59"/>
        <v>Good</v>
      </c>
      <c r="S720" t="s">
        <v>615</v>
      </c>
    </row>
    <row r="721" spans="1:19" x14ac:dyDescent="0.2">
      <c r="A721" t="s">
        <v>1332</v>
      </c>
      <c r="B721" t="s">
        <v>67</v>
      </c>
      <c r="C721" t="s">
        <v>617</v>
      </c>
      <c r="D721">
        <v>4542.6099999999997</v>
      </c>
      <c r="E721" s="37" t="str">
        <f t="shared" si="55"/>
        <v>Excellent Order</v>
      </c>
      <c r="F721">
        <v>0.18</v>
      </c>
      <c r="G721" s="37" t="str">
        <f t="shared" si="56"/>
        <v>Normal Discount</v>
      </c>
      <c r="H721" s="37" t="str">
        <f t="shared" si="57"/>
        <v>Low</v>
      </c>
      <c r="I721">
        <v>3</v>
      </c>
      <c r="J721" t="str" cm="1">
        <f t="array" ref="J721">_xlfn.IFS(I721&lt;=3,"small",I721&lt;=6,"Medium",I721&lt;=9,"Large")</f>
        <v>small</v>
      </c>
      <c r="K721" s="36">
        <v>45088</v>
      </c>
      <c r="L721" s="36">
        <v>45094</v>
      </c>
      <c r="M721" t="s">
        <v>598</v>
      </c>
      <c r="N721" t="s">
        <v>608</v>
      </c>
      <c r="O721" s="37" t="str">
        <f t="shared" si="58"/>
        <v>Cash Payment</v>
      </c>
      <c r="P721">
        <v>1345.54</v>
      </c>
      <c r="Q721" s="37" t="str">
        <f>IF(P721&gt;500,"High","low")</f>
        <v>High</v>
      </c>
      <c r="R721" s="37" t="str">
        <f t="shared" si="59"/>
        <v>Excellent</v>
      </c>
      <c r="S721" t="s">
        <v>615</v>
      </c>
    </row>
    <row r="722" spans="1:19" x14ac:dyDescent="0.2">
      <c r="A722" t="s">
        <v>1333</v>
      </c>
      <c r="B722" t="s">
        <v>83</v>
      </c>
      <c r="C722" t="s">
        <v>597</v>
      </c>
      <c r="D722">
        <v>988.8</v>
      </c>
      <c r="E722" s="37" t="str">
        <f t="shared" si="55"/>
        <v xml:space="preserve"> </v>
      </c>
      <c r="F722">
        <v>0.2</v>
      </c>
      <c r="G722" s="37" t="str">
        <f t="shared" si="56"/>
        <v>Normal Discount</v>
      </c>
      <c r="H722" s="37" t="str">
        <f t="shared" si="57"/>
        <v>Medium</v>
      </c>
      <c r="I722">
        <v>3</v>
      </c>
      <c r="J722" t="str" cm="1">
        <f t="array" ref="J722">_xlfn.IFS(I722&lt;=3,"small",I722&lt;=6,"Medium",I722&lt;=9,"Large")</f>
        <v>small</v>
      </c>
      <c r="K722" s="36">
        <v>45148</v>
      </c>
      <c r="L722" s="36">
        <v>45153</v>
      </c>
      <c r="M722" t="s">
        <v>603</v>
      </c>
      <c r="N722" t="s">
        <v>608</v>
      </c>
      <c r="O722" s="37" t="str">
        <f t="shared" si="58"/>
        <v>Cash Payment</v>
      </c>
      <c r="P722">
        <v>262.39999999999998</v>
      </c>
      <c r="Q722" s="37" t="str">
        <f>IF(P722&gt;500,"High","low")</f>
        <v>low</v>
      </c>
      <c r="R722" s="37" t="str">
        <f t="shared" si="59"/>
        <v>AVERAGE</v>
      </c>
      <c r="S722" t="s">
        <v>605</v>
      </c>
    </row>
    <row r="723" spans="1:19" x14ac:dyDescent="0.2">
      <c r="A723" t="s">
        <v>1334</v>
      </c>
      <c r="B723" t="s">
        <v>90</v>
      </c>
      <c r="C723" t="s">
        <v>617</v>
      </c>
      <c r="D723">
        <v>1827.96</v>
      </c>
      <c r="E723" s="37" t="str">
        <f t="shared" si="55"/>
        <v xml:space="preserve"> </v>
      </c>
      <c r="F723">
        <v>0.14000000000000001</v>
      </c>
      <c r="G723" s="37" t="str">
        <f t="shared" si="56"/>
        <v>Normal Discount</v>
      </c>
      <c r="H723" s="37" t="str">
        <f t="shared" si="57"/>
        <v>Low</v>
      </c>
      <c r="I723">
        <v>1</v>
      </c>
      <c r="J723" t="str" cm="1">
        <f t="array" ref="J723">_xlfn.IFS(I723&lt;=3,"small",I723&lt;=6,"Medium",I723&lt;=9,"Large")</f>
        <v>small</v>
      </c>
      <c r="K723" s="36">
        <v>45336</v>
      </c>
      <c r="L723" s="36">
        <v>45342</v>
      </c>
      <c r="M723" t="s">
        <v>603</v>
      </c>
      <c r="N723" t="s">
        <v>608</v>
      </c>
      <c r="O723" s="37" t="str">
        <f t="shared" si="58"/>
        <v>Cash Payment</v>
      </c>
      <c r="P723">
        <v>450.95</v>
      </c>
      <c r="Q723" s="37" t="str">
        <f>IF(P723&gt;500,"High","low")</f>
        <v>low</v>
      </c>
      <c r="R723" s="37" t="str">
        <f t="shared" si="59"/>
        <v>AVERAGE</v>
      </c>
      <c r="S723" t="s">
        <v>600</v>
      </c>
    </row>
    <row r="724" spans="1:19" x14ac:dyDescent="0.2">
      <c r="A724" t="s">
        <v>1335</v>
      </c>
      <c r="B724" t="s">
        <v>67</v>
      </c>
      <c r="C724" t="s">
        <v>607</v>
      </c>
      <c r="D724">
        <v>1722.16</v>
      </c>
      <c r="E724" s="37" t="str">
        <f t="shared" si="55"/>
        <v xml:space="preserve"> </v>
      </c>
      <c r="F724">
        <v>0.11</v>
      </c>
      <c r="G724" s="37" t="str">
        <f t="shared" si="56"/>
        <v>Normal Discount</v>
      </c>
      <c r="H724" s="37" t="str">
        <f t="shared" si="57"/>
        <v>Low</v>
      </c>
      <c r="I724">
        <v>8</v>
      </c>
      <c r="J724" t="str" cm="1">
        <f t="array" ref="J724">_xlfn.IFS(I724&lt;=3,"small",I724&lt;=6,"Medium",I724&lt;=9,"Large")</f>
        <v>Large</v>
      </c>
      <c r="K724" s="36">
        <v>44946</v>
      </c>
      <c r="L724" s="36">
        <v>44949</v>
      </c>
      <c r="M724" t="s">
        <v>598</v>
      </c>
      <c r="N724" t="s">
        <v>599</v>
      </c>
      <c r="O724" s="37" t="str">
        <f t="shared" si="58"/>
        <v>Digital Payment</v>
      </c>
      <c r="P724">
        <v>314.81</v>
      </c>
      <c r="Q724" s="37" t="str">
        <f>IF(P724&gt;500,"High","low")</f>
        <v>low</v>
      </c>
      <c r="R724" s="37" t="str">
        <f t="shared" si="59"/>
        <v>AVERAGE</v>
      </c>
      <c r="S724" t="s">
        <v>615</v>
      </c>
    </row>
    <row r="725" spans="1:19" x14ac:dyDescent="0.2">
      <c r="A725" t="s">
        <v>1336</v>
      </c>
      <c r="B725" t="s">
        <v>75</v>
      </c>
      <c r="C725" t="s">
        <v>602</v>
      </c>
      <c r="D725">
        <v>1844.11</v>
      </c>
      <c r="E725" s="37" t="str">
        <f t="shared" si="55"/>
        <v xml:space="preserve"> </v>
      </c>
      <c r="F725">
        <v>0.18</v>
      </c>
      <c r="G725" s="37" t="str">
        <f t="shared" si="56"/>
        <v>Normal Discount</v>
      </c>
      <c r="H725" s="37" t="str">
        <f t="shared" si="57"/>
        <v>Low</v>
      </c>
      <c r="I725">
        <v>3</v>
      </c>
      <c r="J725" t="str" cm="1">
        <f t="array" ref="J725">_xlfn.IFS(I725&lt;=3,"small",I725&lt;=6,"Medium",I725&lt;=9,"Large")</f>
        <v>small</v>
      </c>
      <c r="K725" s="36">
        <v>45484</v>
      </c>
      <c r="L725" s="36">
        <v>45488</v>
      </c>
      <c r="M725" t="s">
        <v>612</v>
      </c>
      <c r="N725" t="s">
        <v>608</v>
      </c>
      <c r="O725" s="37" t="str">
        <f t="shared" si="58"/>
        <v>Cash Payment</v>
      </c>
      <c r="P725">
        <v>477.42</v>
      </c>
      <c r="Q725" s="37" t="str">
        <f>IF(P725&gt;500,"High","low")</f>
        <v>low</v>
      </c>
      <c r="R725" s="37" t="str">
        <f t="shared" si="59"/>
        <v>AVERAGE</v>
      </c>
      <c r="S725" t="s">
        <v>605</v>
      </c>
    </row>
    <row r="726" spans="1:19" x14ac:dyDescent="0.2">
      <c r="A726" t="s">
        <v>1337</v>
      </c>
      <c r="B726" t="s">
        <v>75</v>
      </c>
      <c r="C726" t="s">
        <v>597</v>
      </c>
      <c r="D726">
        <v>305.24</v>
      </c>
      <c r="E726" s="37" t="str">
        <f t="shared" si="55"/>
        <v xml:space="preserve"> </v>
      </c>
      <c r="F726">
        <v>0.32</v>
      </c>
      <c r="G726" s="37" t="str">
        <f t="shared" si="56"/>
        <v>Heavy Discount</v>
      </c>
      <c r="H726" s="37" t="str">
        <f t="shared" si="57"/>
        <v>Medium</v>
      </c>
      <c r="I726">
        <v>1</v>
      </c>
      <c r="J726" t="str" cm="1">
        <f t="array" ref="J726">_xlfn.IFS(I726&lt;=3,"small",I726&lt;=6,"Medium",I726&lt;=9,"Large")</f>
        <v>small</v>
      </c>
      <c r="K726" s="36">
        <v>45028</v>
      </c>
      <c r="L726" s="36">
        <v>45031</v>
      </c>
      <c r="M726" t="s">
        <v>612</v>
      </c>
      <c r="N726" t="s">
        <v>608</v>
      </c>
      <c r="O726" s="37" t="str">
        <f t="shared" si="58"/>
        <v>Cash Payment</v>
      </c>
      <c r="P726">
        <v>56.02</v>
      </c>
      <c r="Q726" s="37" t="str">
        <f>IF(P726&gt;500,"High","low")</f>
        <v>low</v>
      </c>
      <c r="R726" s="37" t="str">
        <f t="shared" si="59"/>
        <v>AVERAGE</v>
      </c>
      <c r="S726" t="s">
        <v>605</v>
      </c>
    </row>
    <row r="727" spans="1:19" x14ac:dyDescent="0.2">
      <c r="A727" t="s">
        <v>1338</v>
      </c>
      <c r="B727" t="s">
        <v>75</v>
      </c>
      <c r="C727" t="s">
        <v>614</v>
      </c>
      <c r="D727">
        <v>1467.19</v>
      </c>
      <c r="E727" s="37" t="str">
        <f t="shared" si="55"/>
        <v xml:space="preserve"> </v>
      </c>
      <c r="F727">
        <v>0.47</v>
      </c>
      <c r="G727" s="37" t="str">
        <f t="shared" si="56"/>
        <v>Heavy Discount</v>
      </c>
      <c r="H727" s="37" t="str">
        <f t="shared" si="57"/>
        <v>High</v>
      </c>
      <c r="I727">
        <v>4</v>
      </c>
      <c r="J727" t="str" cm="1">
        <f t="array" ref="J727">_xlfn.IFS(I727&lt;=3,"small",I727&lt;=6,"Medium",I727&lt;=9,"Large")</f>
        <v>Medium</v>
      </c>
      <c r="K727" s="36">
        <v>45413</v>
      </c>
      <c r="L727" s="36">
        <v>45417</v>
      </c>
      <c r="M727" t="s">
        <v>603</v>
      </c>
      <c r="N727" t="s">
        <v>604</v>
      </c>
      <c r="O727" s="37" t="str">
        <f t="shared" si="58"/>
        <v>Digital Payment</v>
      </c>
      <c r="P727">
        <v>191.48</v>
      </c>
      <c r="Q727" s="37" t="str">
        <f>IF(P727&gt;500,"High","low")</f>
        <v>low</v>
      </c>
      <c r="R727" s="37" t="str">
        <f t="shared" si="59"/>
        <v>AVERAGE</v>
      </c>
      <c r="S727" t="s">
        <v>605</v>
      </c>
    </row>
    <row r="728" spans="1:19" x14ac:dyDescent="0.2">
      <c r="A728" t="s">
        <v>1339</v>
      </c>
      <c r="B728" t="s">
        <v>90</v>
      </c>
      <c r="C728" t="s">
        <v>602</v>
      </c>
      <c r="D728">
        <v>1544.8</v>
      </c>
      <c r="E728" s="37" t="str">
        <f t="shared" si="55"/>
        <v xml:space="preserve"> </v>
      </c>
      <c r="F728">
        <v>0.35</v>
      </c>
      <c r="G728" s="37" t="str">
        <f t="shared" si="56"/>
        <v>Heavy Discount</v>
      </c>
      <c r="H728" s="37" t="str">
        <f t="shared" si="57"/>
        <v>Medium</v>
      </c>
      <c r="I728">
        <v>1</v>
      </c>
      <c r="J728" t="str" cm="1">
        <f t="array" ref="J728">_xlfn.IFS(I728&lt;=3,"small",I728&lt;=6,"Medium",I728&lt;=9,"Large")</f>
        <v>small</v>
      </c>
      <c r="K728" s="36">
        <v>45233</v>
      </c>
      <c r="L728" s="36">
        <v>45240</v>
      </c>
      <c r="M728" t="s">
        <v>603</v>
      </c>
      <c r="N728" t="s">
        <v>604</v>
      </c>
      <c r="O728" s="37" t="str">
        <f t="shared" si="58"/>
        <v>Digital Payment</v>
      </c>
      <c r="P728">
        <v>164.59</v>
      </c>
      <c r="Q728" s="37" t="str">
        <f>IF(P728&gt;500,"High","low")</f>
        <v>low</v>
      </c>
      <c r="R728" s="37" t="str">
        <f t="shared" si="59"/>
        <v>AVERAGE</v>
      </c>
      <c r="S728" t="s">
        <v>628</v>
      </c>
    </row>
    <row r="729" spans="1:19" x14ac:dyDescent="0.2">
      <c r="A729" t="s">
        <v>1340</v>
      </c>
      <c r="B729" t="s">
        <v>90</v>
      </c>
      <c r="C729" t="s">
        <v>602</v>
      </c>
      <c r="D729">
        <v>4342.7700000000004</v>
      </c>
      <c r="E729" s="37" t="str">
        <f t="shared" si="55"/>
        <v xml:space="preserve"> </v>
      </c>
      <c r="F729">
        <v>0.39</v>
      </c>
      <c r="G729" s="37" t="str">
        <f t="shared" si="56"/>
        <v>Heavy Discount</v>
      </c>
      <c r="H729" s="37" t="str">
        <f t="shared" si="57"/>
        <v>Medium</v>
      </c>
      <c r="I729">
        <v>1</v>
      </c>
      <c r="J729" t="str" cm="1">
        <f t="array" ref="J729">_xlfn.IFS(I729&lt;=3,"small",I729&lt;=6,"Medium",I729&lt;=9,"Large")</f>
        <v>small</v>
      </c>
      <c r="K729" s="36">
        <v>44983</v>
      </c>
      <c r="L729" s="36">
        <v>44990</v>
      </c>
      <c r="M729" t="s">
        <v>598</v>
      </c>
      <c r="N729" t="s">
        <v>599</v>
      </c>
      <c r="O729" s="37" t="str">
        <f t="shared" si="58"/>
        <v>Digital Payment</v>
      </c>
      <c r="P729">
        <v>451.55</v>
      </c>
      <c r="Q729" s="37" t="str">
        <f>IF(P729&gt;500,"High","low")</f>
        <v>low</v>
      </c>
      <c r="R729" s="37" t="str">
        <f t="shared" si="59"/>
        <v>AVERAGE</v>
      </c>
      <c r="S729" t="s">
        <v>609</v>
      </c>
    </row>
    <row r="730" spans="1:19" x14ac:dyDescent="0.2">
      <c r="A730" t="s">
        <v>1341</v>
      </c>
      <c r="B730" t="s">
        <v>75</v>
      </c>
      <c r="C730" t="s">
        <v>602</v>
      </c>
      <c r="D730">
        <v>1825.37</v>
      </c>
      <c r="E730" s="37" t="str">
        <f t="shared" si="55"/>
        <v xml:space="preserve"> </v>
      </c>
      <c r="F730">
        <v>0.15</v>
      </c>
      <c r="G730" s="37" t="str">
        <f t="shared" si="56"/>
        <v>Normal Discount</v>
      </c>
      <c r="H730" s="37" t="str">
        <f t="shared" si="57"/>
        <v>Low</v>
      </c>
      <c r="I730">
        <v>1</v>
      </c>
      <c r="J730" t="str" cm="1">
        <f t="array" ref="J730">_xlfn.IFS(I730&lt;=3,"small",I730&lt;=6,"Medium",I730&lt;=9,"Large")</f>
        <v>small</v>
      </c>
      <c r="K730" s="36">
        <v>45604</v>
      </c>
      <c r="L730" s="36">
        <v>45605</v>
      </c>
      <c r="M730" t="s">
        <v>612</v>
      </c>
      <c r="N730" t="s">
        <v>604</v>
      </c>
      <c r="O730" s="37" t="str">
        <f t="shared" si="58"/>
        <v>Digital Payment</v>
      </c>
      <c r="P730">
        <v>299.43</v>
      </c>
      <c r="Q730" s="37" t="str">
        <f>IF(P730&gt;500,"High","low")</f>
        <v>low</v>
      </c>
      <c r="R730" s="37" t="str">
        <f t="shared" si="59"/>
        <v>AVERAGE</v>
      </c>
      <c r="S730" t="s">
        <v>628</v>
      </c>
    </row>
    <row r="731" spans="1:19" x14ac:dyDescent="0.2">
      <c r="A731" t="s">
        <v>1342</v>
      </c>
      <c r="B731" t="s">
        <v>67</v>
      </c>
      <c r="C731" t="s">
        <v>617</v>
      </c>
      <c r="D731">
        <v>2291.36</v>
      </c>
      <c r="E731" s="37" t="str">
        <f t="shared" si="55"/>
        <v xml:space="preserve"> </v>
      </c>
      <c r="F731">
        <v>0.05</v>
      </c>
      <c r="G731" s="37" t="str">
        <f t="shared" si="56"/>
        <v>Normal Discount</v>
      </c>
      <c r="H731" s="37" t="str">
        <f t="shared" si="57"/>
        <v>Low</v>
      </c>
      <c r="I731">
        <v>2</v>
      </c>
      <c r="J731" t="str" cm="1">
        <f t="array" ref="J731">_xlfn.IFS(I731&lt;=3,"small",I731&lt;=6,"Medium",I731&lt;=9,"Large")</f>
        <v>small</v>
      </c>
      <c r="K731" s="36">
        <v>45066</v>
      </c>
      <c r="L731" s="36">
        <v>45067</v>
      </c>
      <c r="M731" t="s">
        <v>612</v>
      </c>
      <c r="N731" t="s">
        <v>599</v>
      </c>
      <c r="O731" s="37" t="str">
        <f t="shared" si="58"/>
        <v>Digital Payment</v>
      </c>
      <c r="P731">
        <v>480.25</v>
      </c>
      <c r="Q731" s="37" t="str">
        <f>IF(P731&gt;500,"High","low")</f>
        <v>low</v>
      </c>
      <c r="R731" s="37" t="str">
        <f t="shared" si="59"/>
        <v>AVERAGE</v>
      </c>
      <c r="S731" t="s">
        <v>605</v>
      </c>
    </row>
    <row r="732" spans="1:19" x14ac:dyDescent="0.2">
      <c r="A732" t="s">
        <v>1343</v>
      </c>
      <c r="B732" t="s">
        <v>90</v>
      </c>
      <c r="C732" t="s">
        <v>617</v>
      </c>
      <c r="D732">
        <v>1965.62</v>
      </c>
      <c r="E732" s="37" t="str">
        <f t="shared" si="55"/>
        <v xml:space="preserve"> </v>
      </c>
      <c r="F732">
        <v>0.15</v>
      </c>
      <c r="G732" s="37" t="str">
        <f t="shared" si="56"/>
        <v>Normal Discount</v>
      </c>
      <c r="H732" s="37" t="str">
        <f t="shared" si="57"/>
        <v>Low</v>
      </c>
      <c r="I732">
        <v>1</v>
      </c>
      <c r="J732" t="str" cm="1">
        <f t="array" ref="J732">_xlfn.IFS(I732&lt;=3,"small",I732&lt;=6,"Medium",I732&lt;=9,"Large")</f>
        <v>small</v>
      </c>
      <c r="K732" s="36">
        <v>45400</v>
      </c>
      <c r="L732" s="36">
        <v>45406</v>
      </c>
      <c r="M732" t="s">
        <v>603</v>
      </c>
      <c r="N732" t="s">
        <v>608</v>
      </c>
      <c r="O732" s="37" t="str">
        <f t="shared" si="58"/>
        <v>Cash Payment</v>
      </c>
      <c r="P732">
        <v>172.99</v>
      </c>
      <c r="Q732" s="37" t="str">
        <f>IF(P732&gt;500,"High","low")</f>
        <v>low</v>
      </c>
      <c r="R732" s="37" t="str">
        <f t="shared" si="59"/>
        <v>AVERAGE</v>
      </c>
      <c r="S732" t="s">
        <v>615</v>
      </c>
    </row>
    <row r="733" spans="1:19" x14ac:dyDescent="0.2">
      <c r="A733" t="s">
        <v>1344</v>
      </c>
      <c r="B733" t="s">
        <v>75</v>
      </c>
      <c r="C733" t="s">
        <v>597</v>
      </c>
      <c r="D733">
        <v>691.3</v>
      </c>
      <c r="E733" s="37" t="str">
        <f t="shared" si="55"/>
        <v xml:space="preserve"> </v>
      </c>
      <c r="F733">
        <v>0.2</v>
      </c>
      <c r="G733" s="37" t="str">
        <f t="shared" si="56"/>
        <v>Normal Discount</v>
      </c>
      <c r="H733" s="37" t="str">
        <f t="shared" si="57"/>
        <v>Medium</v>
      </c>
      <c r="I733">
        <v>6</v>
      </c>
      <c r="J733" t="str" cm="1">
        <f t="array" ref="J733">_xlfn.IFS(I733&lt;=3,"small",I733&lt;=6,"Medium",I733&lt;=9,"Large")</f>
        <v>Medium</v>
      </c>
      <c r="K733" s="36">
        <v>45043</v>
      </c>
      <c r="L733" s="36">
        <v>45048</v>
      </c>
      <c r="M733" t="s">
        <v>612</v>
      </c>
      <c r="N733" t="s">
        <v>604</v>
      </c>
      <c r="O733" s="37" t="str">
        <f t="shared" si="58"/>
        <v>Digital Payment</v>
      </c>
      <c r="P733">
        <v>36.67</v>
      </c>
      <c r="Q733" s="37" t="str">
        <f>IF(P733&gt;500,"High","low")</f>
        <v>low</v>
      </c>
      <c r="R733" s="37" t="str">
        <f t="shared" si="59"/>
        <v>AVERAGE</v>
      </c>
      <c r="S733" t="s">
        <v>605</v>
      </c>
    </row>
    <row r="734" spans="1:19" x14ac:dyDescent="0.2">
      <c r="A734" t="s">
        <v>1345</v>
      </c>
      <c r="B734" t="s">
        <v>75</v>
      </c>
      <c r="C734" t="s">
        <v>617</v>
      </c>
      <c r="D734">
        <v>4952.75</v>
      </c>
      <c r="E734" s="37" t="str">
        <f t="shared" si="55"/>
        <v xml:space="preserve"> </v>
      </c>
      <c r="F734">
        <v>0.34</v>
      </c>
      <c r="G734" s="37" t="str">
        <f t="shared" si="56"/>
        <v>Heavy Discount</v>
      </c>
      <c r="H734" s="37" t="str">
        <f t="shared" si="57"/>
        <v>Medium</v>
      </c>
      <c r="I734">
        <v>7</v>
      </c>
      <c r="J734" t="str" cm="1">
        <f t="array" ref="J734">_xlfn.IFS(I734&lt;=3,"small",I734&lt;=6,"Medium",I734&lt;=9,"Large")</f>
        <v>Large</v>
      </c>
      <c r="K734" s="36">
        <v>45064</v>
      </c>
      <c r="L734" s="36">
        <v>45069</v>
      </c>
      <c r="M734" t="s">
        <v>612</v>
      </c>
      <c r="N734" t="s">
        <v>604</v>
      </c>
      <c r="O734" s="37" t="str">
        <f t="shared" si="58"/>
        <v>Digital Payment</v>
      </c>
      <c r="P734">
        <v>275.86</v>
      </c>
      <c r="Q734" s="37" t="str">
        <f>IF(P734&gt;500,"High","low")</f>
        <v>low</v>
      </c>
      <c r="R734" s="37" t="str">
        <f t="shared" si="59"/>
        <v>AVERAGE</v>
      </c>
      <c r="S734" t="s">
        <v>605</v>
      </c>
    </row>
    <row r="735" spans="1:19" x14ac:dyDescent="0.2">
      <c r="A735" t="s">
        <v>1346</v>
      </c>
      <c r="B735" t="s">
        <v>67</v>
      </c>
      <c r="C735" t="s">
        <v>617</v>
      </c>
      <c r="D735">
        <v>4146.54</v>
      </c>
      <c r="E735" s="37" t="str">
        <f t="shared" si="55"/>
        <v xml:space="preserve"> </v>
      </c>
      <c r="F735">
        <v>0.47</v>
      </c>
      <c r="G735" s="37" t="str">
        <f t="shared" si="56"/>
        <v>Heavy Discount</v>
      </c>
      <c r="H735" s="37" t="str">
        <f t="shared" si="57"/>
        <v>High</v>
      </c>
      <c r="I735">
        <v>1</v>
      </c>
      <c r="J735" t="str" cm="1">
        <f t="array" ref="J735">_xlfn.IFS(I735&lt;=3,"small",I735&lt;=6,"Medium",I735&lt;=9,"Large")</f>
        <v>small</v>
      </c>
      <c r="K735" s="36">
        <v>45247</v>
      </c>
      <c r="L735" s="36">
        <v>45253</v>
      </c>
      <c r="M735" t="s">
        <v>603</v>
      </c>
      <c r="N735" t="s">
        <v>604</v>
      </c>
      <c r="O735" s="37" t="str">
        <f t="shared" si="58"/>
        <v>Digital Payment</v>
      </c>
      <c r="P735">
        <v>526.88</v>
      </c>
      <c r="Q735" s="37" t="str">
        <f>IF(P735&gt;500,"High","low")</f>
        <v>High</v>
      </c>
      <c r="R735" s="37" t="str">
        <f t="shared" si="59"/>
        <v>Good</v>
      </c>
      <c r="S735" t="s">
        <v>620</v>
      </c>
    </row>
    <row r="736" spans="1:19" x14ac:dyDescent="0.2">
      <c r="A736" t="s">
        <v>1347</v>
      </c>
      <c r="B736" t="s">
        <v>83</v>
      </c>
      <c r="C736" t="s">
        <v>617</v>
      </c>
      <c r="D736">
        <v>2750.51</v>
      </c>
      <c r="E736" s="37" t="str">
        <f t="shared" si="55"/>
        <v xml:space="preserve"> </v>
      </c>
      <c r="F736">
        <v>0.4</v>
      </c>
      <c r="G736" s="37" t="str">
        <f t="shared" si="56"/>
        <v>Heavy Discount</v>
      </c>
      <c r="H736" s="37" t="str">
        <f t="shared" si="57"/>
        <v>Medium</v>
      </c>
      <c r="I736">
        <v>1</v>
      </c>
      <c r="J736" t="str" cm="1">
        <f t="array" ref="J736">_xlfn.IFS(I736&lt;=3,"small",I736&lt;=6,"Medium",I736&lt;=9,"Large")</f>
        <v>small</v>
      </c>
      <c r="K736" s="36">
        <v>45194</v>
      </c>
      <c r="L736" s="36">
        <v>45195</v>
      </c>
      <c r="M736" t="s">
        <v>612</v>
      </c>
      <c r="N736" t="s">
        <v>599</v>
      </c>
      <c r="O736" s="37" t="str">
        <f t="shared" si="58"/>
        <v>Digital Payment</v>
      </c>
      <c r="P736">
        <v>633.1</v>
      </c>
      <c r="Q736" s="37" t="str">
        <f>IF(P736&gt;500,"High","low")</f>
        <v>High</v>
      </c>
      <c r="R736" s="37" t="str">
        <f t="shared" si="59"/>
        <v>Good</v>
      </c>
      <c r="S736" t="s">
        <v>600</v>
      </c>
    </row>
    <row r="737" spans="1:19" x14ac:dyDescent="0.2">
      <c r="A737" t="s">
        <v>1348</v>
      </c>
      <c r="B737" t="s">
        <v>90</v>
      </c>
      <c r="C737" t="s">
        <v>597</v>
      </c>
      <c r="D737">
        <v>2434.19</v>
      </c>
      <c r="E737" s="37" t="str">
        <f t="shared" si="55"/>
        <v xml:space="preserve"> </v>
      </c>
      <c r="F737">
        <v>0.13</v>
      </c>
      <c r="G737" s="37" t="str">
        <f t="shared" si="56"/>
        <v>Normal Discount</v>
      </c>
      <c r="H737" s="37" t="str">
        <f t="shared" si="57"/>
        <v>Low</v>
      </c>
      <c r="I737">
        <v>9</v>
      </c>
      <c r="J737" t="str" cm="1">
        <f t="array" ref="J737">_xlfn.IFS(I737&lt;=3,"small",I737&lt;=6,"Medium",I737&lt;=9,"Large")</f>
        <v>Large</v>
      </c>
      <c r="K737" s="36">
        <v>45362</v>
      </c>
      <c r="L737" s="36">
        <v>45366</v>
      </c>
      <c r="M737" t="s">
        <v>603</v>
      </c>
      <c r="N737" t="s">
        <v>608</v>
      </c>
      <c r="O737" s="37" t="str">
        <f t="shared" si="58"/>
        <v>Cash Payment</v>
      </c>
      <c r="P737">
        <v>124.02</v>
      </c>
      <c r="Q737" s="37" t="str">
        <f>IF(P737&gt;500,"High","low")</f>
        <v>low</v>
      </c>
      <c r="R737" s="37" t="str">
        <f t="shared" si="59"/>
        <v>AVERAGE</v>
      </c>
      <c r="S737" t="s">
        <v>600</v>
      </c>
    </row>
    <row r="738" spans="1:19" x14ac:dyDescent="0.2">
      <c r="A738" t="s">
        <v>1349</v>
      </c>
      <c r="B738" t="s">
        <v>67</v>
      </c>
      <c r="C738" t="s">
        <v>597</v>
      </c>
      <c r="D738">
        <v>3281.35</v>
      </c>
      <c r="E738" s="37" t="str">
        <f t="shared" si="55"/>
        <v xml:space="preserve"> </v>
      </c>
      <c r="F738">
        <v>0.41</v>
      </c>
      <c r="G738" s="37" t="str">
        <f t="shared" si="56"/>
        <v>Heavy Discount</v>
      </c>
      <c r="H738" s="37" t="str">
        <f t="shared" si="57"/>
        <v>High</v>
      </c>
      <c r="I738">
        <v>9</v>
      </c>
      <c r="J738" t="str" cm="1">
        <f t="array" ref="J738">_xlfn.IFS(I738&lt;=3,"small",I738&lt;=6,"Medium",I738&lt;=9,"Large")</f>
        <v>Large</v>
      </c>
      <c r="K738" s="36">
        <v>44977</v>
      </c>
      <c r="L738" s="36">
        <v>44984</v>
      </c>
      <c r="M738" t="s">
        <v>612</v>
      </c>
      <c r="N738" t="s">
        <v>599</v>
      </c>
      <c r="O738" s="37" t="str">
        <f t="shared" si="58"/>
        <v>Digital Payment</v>
      </c>
      <c r="P738">
        <v>547.44000000000005</v>
      </c>
      <c r="Q738" s="37" t="str">
        <f>IF(P738&gt;500,"High","low")</f>
        <v>High</v>
      </c>
      <c r="R738" s="37" t="str">
        <f t="shared" si="59"/>
        <v>Good</v>
      </c>
      <c r="S738" t="s">
        <v>609</v>
      </c>
    </row>
    <row r="739" spans="1:19" x14ac:dyDescent="0.2">
      <c r="A739" t="s">
        <v>1350</v>
      </c>
      <c r="B739" t="s">
        <v>75</v>
      </c>
      <c r="C739" t="s">
        <v>607</v>
      </c>
      <c r="D739">
        <v>1699.51</v>
      </c>
      <c r="E739" s="37" t="str">
        <f t="shared" si="55"/>
        <v xml:space="preserve"> </v>
      </c>
      <c r="F739">
        <v>0.21</v>
      </c>
      <c r="G739" s="37" t="str">
        <f t="shared" si="56"/>
        <v>Normal Discount</v>
      </c>
      <c r="H739" s="37" t="str">
        <f t="shared" si="57"/>
        <v>Medium</v>
      </c>
      <c r="I739">
        <v>1</v>
      </c>
      <c r="J739" t="str" cm="1">
        <f t="array" ref="J739">_xlfn.IFS(I739&lt;=3,"small",I739&lt;=6,"Medium",I739&lt;=9,"Large")</f>
        <v>small</v>
      </c>
      <c r="K739" s="36">
        <v>45246</v>
      </c>
      <c r="L739" s="36">
        <v>45249</v>
      </c>
      <c r="M739" t="s">
        <v>603</v>
      </c>
      <c r="N739" t="s">
        <v>599</v>
      </c>
      <c r="O739" s="37" t="str">
        <f t="shared" si="58"/>
        <v>Digital Payment</v>
      </c>
      <c r="P739">
        <v>211.33</v>
      </c>
      <c r="Q739" s="37" t="str">
        <f>IF(P739&gt;500,"High","low")</f>
        <v>low</v>
      </c>
      <c r="R739" s="37" t="str">
        <f t="shared" si="59"/>
        <v>AVERAGE</v>
      </c>
      <c r="S739" t="s">
        <v>600</v>
      </c>
    </row>
    <row r="740" spans="1:19" x14ac:dyDescent="0.2">
      <c r="A740" t="s">
        <v>1351</v>
      </c>
      <c r="B740" t="s">
        <v>75</v>
      </c>
      <c r="C740" t="s">
        <v>607</v>
      </c>
      <c r="D740">
        <v>346.39</v>
      </c>
      <c r="E740" s="37" t="str">
        <f t="shared" si="55"/>
        <v xml:space="preserve"> </v>
      </c>
      <c r="F740">
        <v>0.09</v>
      </c>
      <c r="G740" s="37" t="str">
        <f t="shared" si="56"/>
        <v>Normal Discount</v>
      </c>
      <c r="H740" s="37" t="str">
        <f t="shared" si="57"/>
        <v>Low</v>
      </c>
      <c r="I740">
        <v>8</v>
      </c>
      <c r="J740" t="str" cm="1">
        <f t="array" ref="J740">_xlfn.IFS(I740&lt;=3,"small",I740&lt;=6,"Medium",I740&lt;=9,"Large")</f>
        <v>Large</v>
      </c>
      <c r="K740" s="36">
        <v>45623</v>
      </c>
      <c r="L740" s="36">
        <v>45624</v>
      </c>
      <c r="M740" t="s">
        <v>598</v>
      </c>
      <c r="N740" t="s">
        <v>604</v>
      </c>
      <c r="O740" s="37" t="str">
        <f t="shared" si="58"/>
        <v>Digital Payment</v>
      </c>
      <c r="P740">
        <v>96.46</v>
      </c>
      <c r="Q740" s="37" t="str">
        <f>IF(P740&gt;500,"High","low")</f>
        <v>low</v>
      </c>
      <c r="R740" s="37" t="str">
        <f t="shared" si="59"/>
        <v>AVERAGE</v>
      </c>
      <c r="S740" t="s">
        <v>600</v>
      </c>
    </row>
    <row r="741" spans="1:19" x14ac:dyDescent="0.2">
      <c r="A741" t="s">
        <v>1352</v>
      </c>
      <c r="B741" t="s">
        <v>67</v>
      </c>
      <c r="C741" t="s">
        <v>607</v>
      </c>
      <c r="D741">
        <v>2081.15</v>
      </c>
      <c r="E741" s="37" t="str">
        <f t="shared" si="55"/>
        <v xml:space="preserve"> </v>
      </c>
      <c r="F741">
        <v>0.23</v>
      </c>
      <c r="G741" s="37" t="str">
        <f t="shared" si="56"/>
        <v>Normal Discount</v>
      </c>
      <c r="H741" s="37" t="str">
        <f t="shared" si="57"/>
        <v>Medium</v>
      </c>
      <c r="I741">
        <v>3</v>
      </c>
      <c r="J741" t="str" cm="1">
        <f t="array" ref="J741">_xlfn.IFS(I741&lt;=3,"small",I741&lt;=6,"Medium",I741&lt;=9,"Large")</f>
        <v>small</v>
      </c>
      <c r="K741" s="36">
        <v>45531</v>
      </c>
      <c r="L741" s="36">
        <v>45532</v>
      </c>
      <c r="M741" t="s">
        <v>612</v>
      </c>
      <c r="N741" t="s">
        <v>599</v>
      </c>
      <c r="O741" s="37" t="str">
        <f t="shared" si="58"/>
        <v>Digital Payment</v>
      </c>
      <c r="P741">
        <v>602.87</v>
      </c>
      <c r="Q741" s="37" t="str">
        <f>IF(P741&gt;500,"High","low")</f>
        <v>High</v>
      </c>
      <c r="R741" s="37" t="str">
        <f t="shared" si="59"/>
        <v>Good</v>
      </c>
      <c r="S741" t="s">
        <v>609</v>
      </c>
    </row>
    <row r="742" spans="1:19" x14ac:dyDescent="0.2">
      <c r="A742" t="s">
        <v>1353</v>
      </c>
      <c r="B742" t="s">
        <v>90</v>
      </c>
      <c r="C742" t="s">
        <v>607</v>
      </c>
      <c r="D742">
        <v>4921.49</v>
      </c>
      <c r="E742" s="37" t="str">
        <f t="shared" si="55"/>
        <v xml:space="preserve"> </v>
      </c>
      <c r="F742">
        <v>0.28000000000000003</v>
      </c>
      <c r="G742" s="37" t="str">
        <f t="shared" si="56"/>
        <v>Normal Discount</v>
      </c>
      <c r="H742" s="37" t="str">
        <f t="shared" si="57"/>
        <v>Medium</v>
      </c>
      <c r="I742">
        <v>7</v>
      </c>
      <c r="J742" t="str" cm="1">
        <f t="array" ref="J742">_xlfn.IFS(I742&lt;=3,"small",I742&lt;=6,"Medium",I742&lt;=9,"Large")</f>
        <v>Large</v>
      </c>
      <c r="K742" s="36">
        <v>45457</v>
      </c>
      <c r="L742" s="36">
        <v>45459</v>
      </c>
      <c r="M742" t="s">
        <v>612</v>
      </c>
      <c r="N742" t="s">
        <v>608</v>
      </c>
      <c r="O742" s="37" t="str">
        <f t="shared" si="58"/>
        <v>Cash Payment</v>
      </c>
      <c r="P742">
        <v>736.67</v>
      </c>
      <c r="Q742" s="37" t="str">
        <f>IF(P742&gt;500,"High","low")</f>
        <v>High</v>
      </c>
      <c r="R742" s="37" t="str">
        <f t="shared" si="59"/>
        <v>Good</v>
      </c>
      <c r="S742" t="s">
        <v>628</v>
      </c>
    </row>
    <row r="743" spans="1:19" x14ac:dyDescent="0.2">
      <c r="A743" t="s">
        <v>1354</v>
      </c>
      <c r="B743" t="s">
        <v>83</v>
      </c>
      <c r="C743" t="s">
        <v>602</v>
      </c>
      <c r="D743">
        <v>993.5</v>
      </c>
      <c r="E743" s="37" t="str">
        <f t="shared" si="55"/>
        <v xml:space="preserve"> </v>
      </c>
      <c r="F743">
        <v>0.38</v>
      </c>
      <c r="G743" s="37" t="str">
        <f t="shared" si="56"/>
        <v>Heavy Discount</v>
      </c>
      <c r="H743" s="37" t="str">
        <f t="shared" si="57"/>
        <v>Medium</v>
      </c>
      <c r="I743">
        <v>1</v>
      </c>
      <c r="J743" t="str" cm="1">
        <f t="array" ref="J743">_xlfn.IFS(I743&lt;=3,"small",I743&lt;=6,"Medium",I743&lt;=9,"Large")</f>
        <v>small</v>
      </c>
      <c r="K743" s="36">
        <v>45596</v>
      </c>
      <c r="L743" s="36">
        <v>45601</v>
      </c>
      <c r="M743" t="s">
        <v>598</v>
      </c>
      <c r="N743" t="s">
        <v>599</v>
      </c>
      <c r="O743" s="37" t="str">
        <f t="shared" si="58"/>
        <v>Digital Payment</v>
      </c>
      <c r="P743">
        <v>292.41000000000003</v>
      </c>
      <c r="Q743" s="37" t="str">
        <f>IF(P743&gt;500,"High","low")</f>
        <v>low</v>
      </c>
      <c r="R743" s="37" t="str">
        <f t="shared" si="59"/>
        <v>AVERAGE</v>
      </c>
      <c r="S743" t="s">
        <v>605</v>
      </c>
    </row>
    <row r="744" spans="1:19" x14ac:dyDescent="0.2">
      <c r="A744" t="s">
        <v>1355</v>
      </c>
      <c r="B744" t="s">
        <v>83</v>
      </c>
      <c r="C744" t="s">
        <v>602</v>
      </c>
      <c r="D744">
        <v>2685.76</v>
      </c>
      <c r="E744" s="37" t="str">
        <f t="shared" si="55"/>
        <v xml:space="preserve"> </v>
      </c>
      <c r="F744">
        <v>0.17</v>
      </c>
      <c r="G744" s="37" t="str">
        <f t="shared" si="56"/>
        <v>Normal Discount</v>
      </c>
      <c r="H744" s="37" t="str">
        <f t="shared" si="57"/>
        <v>Low</v>
      </c>
      <c r="I744">
        <v>7</v>
      </c>
      <c r="J744" t="str" cm="1">
        <f t="array" ref="J744">_xlfn.IFS(I744&lt;=3,"small",I744&lt;=6,"Medium",I744&lt;=9,"Large")</f>
        <v>Large</v>
      </c>
      <c r="K744" s="36">
        <v>45651</v>
      </c>
      <c r="L744" s="36">
        <v>45655</v>
      </c>
      <c r="M744" t="s">
        <v>612</v>
      </c>
      <c r="N744" t="s">
        <v>604</v>
      </c>
      <c r="O744" s="37" t="str">
        <f t="shared" si="58"/>
        <v>Digital Payment</v>
      </c>
      <c r="P744">
        <v>786.29</v>
      </c>
      <c r="Q744" s="37" t="str">
        <f>IF(P744&gt;500,"High","low")</f>
        <v>High</v>
      </c>
      <c r="R744" s="37" t="str">
        <f t="shared" si="59"/>
        <v>Good</v>
      </c>
      <c r="S744" t="s">
        <v>628</v>
      </c>
    </row>
    <row r="745" spans="1:19" x14ac:dyDescent="0.2">
      <c r="A745" t="s">
        <v>1356</v>
      </c>
      <c r="B745" t="s">
        <v>75</v>
      </c>
      <c r="C745" t="s">
        <v>607</v>
      </c>
      <c r="D745">
        <v>141.75</v>
      </c>
      <c r="E745" s="37" t="str">
        <f t="shared" si="55"/>
        <v xml:space="preserve"> </v>
      </c>
      <c r="F745">
        <v>7.0000000000000007E-2</v>
      </c>
      <c r="G745" s="37" t="str">
        <f t="shared" si="56"/>
        <v>Normal Discount</v>
      </c>
      <c r="H745" s="37" t="str">
        <f t="shared" si="57"/>
        <v>Low</v>
      </c>
      <c r="I745">
        <v>1</v>
      </c>
      <c r="J745" t="str" cm="1">
        <f t="array" ref="J745">_xlfn.IFS(I745&lt;=3,"small",I745&lt;=6,"Medium",I745&lt;=9,"Large")</f>
        <v>small</v>
      </c>
      <c r="K745" s="36">
        <v>45264</v>
      </c>
      <c r="L745" s="36">
        <v>45267</v>
      </c>
      <c r="M745" t="s">
        <v>603</v>
      </c>
      <c r="N745" t="s">
        <v>604</v>
      </c>
      <c r="O745" s="37" t="str">
        <f t="shared" si="58"/>
        <v>Digital Payment</v>
      </c>
      <c r="P745">
        <v>27.5</v>
      </c>
      <c r="Q745" s="37" t="str">
        <f>IF(P745&gt;500,"High","low")</f>
        <v>low</v>
      </c>
      <c r="R745" s="37" t="str">
        <f t="shared" si="59"/>
        <v>AVERAGE</v>
      </c>
      <c r="S745" t="s">
        <v>615</v>
      </c>
    </row>
    <row r="746" spans="1:19" x14ac:dyDescent="0.2">
      <c r="A746" t="s">
        <v>1357</v>
      </c>
      <c r="B746" t="s">
        <v>90</v>
      </c>
      <c r="C746" t="s">
        <v>607</v>
      </c>
      <c r="D746">
        <v>697.95</v>
      </c>
      <c r="E746" s="37" t="str">
        <f t="shared" si="55"/>
        <v xml:space="preserve"> </v>
      </c>
      <c r="F746">
        <v>0.05</v>
      </c>
      <c r="G746" s="37" t="str">
        <f t="shared" si="56"/>
        <v>Normal Discount</v>
      </c>
      <c r="H746" s="37" t="str">
        <f t="shared" si="57"/>
        <v>Low</v>
      </c>
      <c r="I746">
        <v>3</v>
      </c>
      <c r="J746" t="str" cm="1">
        <f t="array" ref="J746">_xlfn.IFS(I746&lt;=3,"small",I746&lt;=6,"Medium",I746&lt;=9,"Large")</f>
        <v>small</v>
      </c>
      <c r="K746" s="36">
        <v>44950</v>
      </c>
      <c r="L746" s="36">
        <v>44952</v>
      </c>
      <c r="M746" t="s">
        <v>612</v>
      </c>
      <c r="N746" t="s">
        <v>608</v>
      </c>
      <c r="O746" s="37" t="str">
        <f t="shared" si="58"/>
        <v>Cash Payment</v>
      </c>
      <c r="P746">
        <v>102.15</v>
      </c>
      <c r="Q746" s="37" t="str">
        <f>IF(P746&gt;500,"High","low")</f>
        <v>low</v>
      </c>
      <c r="R746" s="37" t="str">
        <f t="shared" si="59"/>
        <v>AVERAGE</v>
      </c>
      <c r="S746" t="s">
        <v>600</v>
      </c>
    </row>
    <row r="747" spans="1:19" x14ac:dyDescent="0.2">
      <c r="A747" t="s">
        <v>1358</v>
      </c>
      <c r="B747" t="s">
        <v>83</v>
      </c>
      <c r="C747" t="s">
        <v>614</v>
      </c>
      <c r="D747">
        <v>2977.24</v>
      </c>
      <c r="E747" s="37" t="str">
        <f t="shared" si="55"/>
        <v xml:space="preserve"> </v>
      </c>
      <c r="F747">
        <v>0.06</v>
      </c>
      <c r="G747" s="37" t="str">
        <f t="shared" si="56"/>
        <v>Normal Discount</v>
      </c>
      <c r="H747" s="37" t="str">
        <f t="shared" si="57"/>
        <v>Low</v>
      </c>
      <c r="I747">
        <v>7</v>
      </c>
      <c r="J747" t="str" cm="1">
        <f t="array" ref="J747">_xlfn.IFS(I747&lt;=3,"small",I747&lt;=6,"Medium",I747&lt;=9,"Large")</f>
        <v>Large</v>
      </c>
      <c r="K747" s="36">
        <v>45208</v>
      </c>
      <c r="L747" s="36">
        <v>45210</v>
      </c>
      <c r="M747" t="s">
        <v>598</v>
      </c>
      <c r="N747" t="s">
        <v>599</v>
      </c>
      <c r="O747" s="37" t="str">
        <f t="shared" si="58"/>
        <v>Digital Payment</v>
      </c>
      <c r="P747">
        <v>227.45</v>
      </c>
      <c r="Q747" s="37" t="str">
        <f>IF(P747&gt;500,"High","low")</f>
        <v>low</v>
      </c>
      <c r="R747" s="37" t="str">
        <f t="shared" si="59"/>
        <v>AVERAGE</v>
      </c>
      <c r="S747" t="s">
        <v>605</v>
      </c>
    </row>
    <row r="748" spans="1:19" x14ac:dyDescent="0.2">
      <c r="A748" t="s">
        <v>1359</v>
      </c>
      <c r="B748" t="s">
        <v>90</v>
      </c>
      <c r="C748" t="s">
        <v>602</v>
      </c>
      <c r="D748">
        <v>1557.33</v>
      </c>
      <c r="E748" s="37" t="str">
        <f t="shared" si="55"/>
        <v xml:space="preserve"> </v>
      </c>
      <c r="F748">
        <v>0.48</v>
      </c>
      <c r="G748" s="37" t="str">
        <f t="shared" si="56"/>
        <v>Heavy Discount</v>
      </c>
      <c r="H748" s="37" t="str">
        <f t="shared" si="57"/>
        <v>High</v>
      </c>
      <c r="I748">
        <v>1</v>
      </c>
      <c r="J748" t="str" cm="1">
        <f t="array" ref="J748">_xlfn.IFS(I748&lt;=3,"small",I748&lt;=6,"Medium",I748&lt;=9,"Large")</f>
        <v>small</v>
      </c>
      <c r="K748" s="36">
        <v>44962</v>
      </c>
      <c r="L748" s="36">
        <v>44968</v>
      </c>
      <c r="M748" t="s">
        <v>603</v>
      </c>
      <c r="N748" t="s">
        <v>599</v>
      </c>
      <c r="O748" s="37" t="str">
        <f t="shared" si="58"/>
        <v>Digital Payment</v>
      </c>
      <c r="P748">
        <v>293.39999999999998</v>
      </c>
      <c r="Q748" s="37" t="str">
        <f>IF(P748&gt;500,"High","low")</f>
        <v>low</v>
      </c>
      <c r="R748" s="37" t="str">
        <f t="shared" si="59"/>
        <v>AVERAGE</v>
      </c>
      <c r="S748" t="s">
        <v>615</v>
      </c>
    </row>
    <row r="749" spans="1:19" x14ac:dyDescent="0.2">
      <c r="A749" t="s">
        <v>1360</v>
      </c>
      <c r="B749" t="s">
        <v>90</v>
      </c>
      <c r="C749" t="s">
        <v>614</v>
      </c>
      <c r="D749">
        <v>4537.8500000000004</v>
      </c>
      <c r="E749" s="37" t="str">
        <f t="shared" si="55"/>
        <v>Excellent Order</v>
      </c>
      <c r="F749">
        <v>0.48</v>
      </c>
      <c r="G749" s="37" t="str">
        <f t="shared" si="56"/>
        <v>Heavy Discount</v>
      </c>
      <c r="H749" s="37" t="str">
        <f t="shared" si="57"/>
        <v>High</v>
      </c>
      <c r="I749">
        <v>9</v>
      </c>
      <c r="J749" t="str" cm="1">
        <f t="array" ref="J749">_xlfn.IFS(I749&lt;=3,"small",I749&lt;=6,"Medium",I749&lt;=9,"Large")</f>
        <v>Large</v>
      </c>
      <c r="K749" s="36">
        <v>45646</v>
      </c>
      <c r="L749" s="36">
        <v>45647</v>
      </c>
      <c r="M749" t="s">
        <v>603</v>
      </c>
      <c r="N749" t="s">
        <v>599</v>
      </c>
      <c r="O749" s="37" t="str">
        <f t="shared" si="58"/>
        <v>Digital Payment</v>
      </c>
      <c r="P749">
        <v>1174.03</v>
      </c>
      <c r="Q749" s="37" t="str">
        <f>IF(P749&gt;500,"High","low")</f>
        <v>High</v>
      </c>
      <c r="R749" s="37" t="str">
        <f t="shared" si="59"/>
        <v>Excellent</v>
      </c>
      <c r="S749" t="s">
        <v>605</v>
      </c>
    </row>
    <row r="750" spans="1:19" x14ac:dyDescent="0.2">
      <c r="A750" t="s">
        <v>1361</v>
      </c>
      <c r="B750" t="s">
        <v>75</v>
      </c>
      <c r="C750" t="s">
        <v>614</v>
      </c>
      <c r="D750">
        <v>2090.23</v>
      </c>
      <c r="E750" s="37" t="str">
        <f t="shared" si="55"/>
        <v xml:space="preserve"> </v>
      </c>
      <c r="F750">
        <v>0.48</v>
      </c>
      <c r="G750" s="37" t="str">
        <f t="shared" si="56"/>
        <v>Heavy Discount</v>
      </c>
      <c r="H750" s="37" t="str">
        <f t="shared" si="57"/>
        <v>High</v>
      </c>
      <c r="I750">
        <v>5</v>
      </c>
      <c r="J750" t="str" cm="1">
        <f t="array" ref="J750">_xlfn.IFS(I750&lt;=3,"small",I750&lt;=6,"Medium",I750&lt;=9,"Large")</f>
        <v>Medium</v>
      </c>
      <c r="K750" s="36">
        <v>45426</v>
      </c>
      <c r="L750" s="36">
        <v>45431</v>
      </c>
      <c r="M750" t="s">
        <v>612</v>
      </c>
      <c r="N750" t="s">
        <v>599</v>
      </c>
      <c r="O750" s="37" t="str">
        <f t="shared" si="58"/>
        <v>Digital Payment</v>
      </c>
      <c r="P750">
        <v>311.38</v>
      </c>
      <c r="Q750" s="37" t="str">
        <f>IF(P750&gt;500,"High","low")</f>
        <v>low</v>
      </c>
      <c r="R750" s="37" t="str">
        <f t="shared" si="59"/>
        <v>AVERAGE</v>
      </c>
      <c r="S750" t="s">
        <v>615</v>
      </c>
    </row>
    <row r="751" spans="1:19" x14ac:dyDescent="0.2">
      <c r="A751" t="s">
        <v>1362</v>
      </c>
      <c r="B751" t="s">
        <v>83</v>
      </c>
      <c r="C751" t="s">
        <v>617</v>
      </c>
      <c r="D751">
        <v>1119.3599999999999</v>
      </c>
      <c r="E751" s="37" t="str">
        <f t="shared" si="55"/>
        <v xml:space="preserve"> </v>
      </c>
      <c r="F751">
        <v>0.15</v>
      </c>
      <c r="G751" s="37" t="str">
        <f t="shared" si="56"/>
        <v>Normal Discount</v>
      </c>
      <c r="H751" s="37" t="str">
        <f t="shared" si="57"/>
        <v>Low</v>
      </c>
      <c r="I751">
        <v>2</v>
      </c>
      <c r="J751" t="str" cm="1">
        <f t="array" ref="J751">_xlfn.IFS(I751&lt;=3,"small",I751&lt;=6,"Medium",I751&lt;=9,"Large")</f>
        <v>small</v>
      </c>
      <c r="K751" s="36">
        <v>45470</v>
      </c>
      <c r="L751" s="36">
        <v>45471</v>
      </c>
      <c r="M751" t="s">
        <v>598</v>
      </c>
      <c r="N751" t="s">
        <v>599</v>
      </c>
      <c r="O751" s="37" t="str">
        <f t="shared" si="58"/>
        <v>Digital Payment</v>
      </c>
      <c r="P751">
        <v>197.37</v>
      </c>
      <c r="Q751" s="37" t="str">
        <f>IF(P751&gt;500,"High","low")</f>
        <v>low</v>
      </c>
      <c r="R751" s="37" t="str">
        <f t="shared" si="59"/>
        <v>AVERAGE</v>
      </c>
      <c r="S751" t="s">
        <v>615</v>
      </c>
    </row>
    <row r="752" spans="1:19" x14ac:dyDescent="0.2">
      <c r="A752" t="s">
        <v>1363</v>
      </c>
      <c r="B752" t="s">
        <v>67</v>
      </c>
      <c r="C752" t="s">
        <v>597</v>
      </c>
      <c r="D752">
        <v>2773.4</v>
      </c>
      <c r="E752" s="37" t="str">
        <f t="shared" si="55"/>
        <v xml:space="preserve"> </v>
      </c>
      <c r="F752">
        <v>0.1</v>
      </c>
      <c r="G752" s="37" t="str">
        <f t="shared" si="56"/>
        <v>Normal Discount</v>
      </c>
      <c r="H752" s="37" t="str">
        <f t="shared" si="57"/>
        <v>Low</v>
      </c>
      <c r="I752">
        <v>4</v>
      </c>
      <c r="J752" t="str" cm="1">
        <f t="array" ref="J752">_xlfn.IFS(I752&lt;=3,"small",I752&lt;=6,"Medium",I752&lt;=9,"Large")</f>
        <v>Medium</v>
      </c>
      <c r="K752" s="36">
        <v>45184</v>
      </c>
      <c r="L752" s="36">
        <v>45186</v>
      </c>
      <c r="M752" t="s">
        <v>612</v>
      </c>
      <c r="N752" t="s">
        <v>599</v>
      </c>
      <c r="O752" s="37" t="str">
        <f t="shared" si="58"/>
        <v>Digital Payment</v>
      </c>
      <c r="P752">
        <v>414.86</v>
      </c>
      <c r="Q752" s="37" t="str">
        <f>IF(P752&gt;500,"High","low")</f>
        <v>low</v>
      </c>
      <c r="R752" s="37" t="str">
        <f t="shared" si="59"/>
        <v>AVERAGE</v>
      </c>
      <c r="S752" t="s">
        <v>609</v>
      </c>
    </row>
    <row r="753" spans="1:19" x14ac:dyDescent="0.2">
      <c r="A753" t="s">
        <v>1364</v>
      </c>
      <c r="B753" t="s">
        <v>75</v>
      </c>
      <c r="C753" t="s">
        <v>602</v>
      </c>
      <c r="D753">
        <v>3995.37</v>
      </c>
      <c r="E753" s="37" t="str">
        <f t="shared" si="55"/>
        <v xml:space="preserve"> </v>
      </c>
      <c r="F753">
        <v>0.49</v>
      </c>
      <c r="G753" s="37" t="str">
        <f t="shared" si="56"/>
        <v>Heavy Discount</v>
      </c>
      <c r="H753" s="37" t="str">
        <f t="shared" si="57"/>
        <v>High</v>
      </c>
      <c r="I753">
        <v>8</v>
      </c>
      <c r="J753" t="str" cm="1">
        <f t="array" ref="J753">_xlfn.IFS(I753&lt;=3,"small",I753&lt;=6,"Medium",I753&lt;=9,"Large")</f>
        <v>Large</v>
      </c>
      <c r="K753" s="36">
        <v>45264</v>
      </c>
      <c r="L753" s="36">
        <v>45266</v>
      </c>
      <c r="M753" t="s">
        <v>612</v>
      </c>
      <c r="N753" t="s">
        <v>608</v>
      </c>
      <c r="O753" s="37" t="str">
        <f t="shared" si="58"/>
        <v>Cash Payment</v>
      </c>
      <c r="P753">
        <v>902.57</v>
      </c>
      <c r="Q753" s="37" t="str">
        <f>IF(P753&gt;500,"High","low")</f>
        <v>High</v>
      </c>
      <c r="R753" s="37" t="str">
        <f t="shared" si="59"/>
        <v>Good</v>
      </c>
      <c r="S753" t="s">
        <v>620</v>
      </c>
    </row>
    <row r="754" spans="1:19" x14ac:dyDescent="0.2">
      <c r="A754" t="s">
        <v>1365</v>
      </c>
      <c r="B754" t="s">
        <v>83</v>
      </c>
      <c r="C754" t="s">
        <v>607</v>
      </c>
      <c r="D754">
        <v>195.16</v>
      </c>
      <c r="E754" s="37" t="str">
        <f t="shared" si="55"/>
        <v xml:space="preserve"> </v>
      </c>
      <c r="F754">
        <v>0.49</v>
      </c>
      <c r="G754" s="37" t="str">
        <f t="shared" si="56"/>
        <v>Heavy Discount</v>
      </c>
      <c r="H754" s="37" t="str">
        <f t="shared" si="57"/>
        <v>High</v>
      </c>
      <c r="I754">
        <v>4</v>
      </c>
      <c r="J754" t="str" cm="1">
        <f t="array" ref="J754">_xlfn.IFS(I754&lt;=3,"small",I754&lt;=6,"Medium",I754&lt;=9,"Large")</f>
        <v>Medium</v>
      </c>
      <c r="K754" s="36">
        <v>45103</v>
      </c>
      <c r="L754" s="36">
        <v>45110</v>
      </c>
      <c r="M754" t="s">
        <v>612</v>
      </c>
      <c r="N754" t="s">
        <v>608</v>
      </c>
      <c r="O754" s="37" t="str">
        <f t="shared" si="58"/>
        <v>Cash Payment</v>
      </c>
      <c r="P754">
        <v>36.630000000000003</v>
      </c>
      <c r="Q754" s="37" t="str">
        <f>IF(P754&gt;500,"High","low")</f>
        <v>low</v>
      </c>
      <c r="R754" s="37" t="str">
        <f t="shared" si="59"/>
        <v>AVERAGE</v>
      </c>
      <c r="S754" t="s">
        <v>605</v>
      </c>
    </row>
    <row r="755" spans="1:19" x14ac:dyDescent="0.2">
      <c r="A755" t="s">
        <v>1366</v>
      </c>
      <c r="B755" t="s">
        <v>83</v>
      </c>
      <c r="C755" t="s">
        <v>607</v>
      </c>
      <c r="D755">
        <v>2577.0500000000002</v>
      </c>
      <c r="E755" s="37" t="str">
        <f t="shared" si="55"/>
        <v xml:space="preserve"> </v>
      </c>
      <c r="F755">
        <v>0.04</v>
      </c>
      <c r="G755" s="37" t="str">
        <f t="shared" si="56"/>
        <v>Normal Discount</v>
      </c>
      <c r="H755" s="37" t="str">
        <f t="shared" si="57"/>
        <v>Low</v>
      </c>
      <c r="I755">
        <v>5</v>
      </c>
      <c r="J755" t="str" cm="1">
        <f t="array" ref="J755">_xlfn.IFS(I755&lt;=3,"small",I755&lt;=6,"Medium",I755&lt;=9,"Large")</f>
        <v>Medium</v>
      </c>
      <c r="K755" s="36">
        <v>45423</v>
      </c>
      <c r="L755" s="36">
        <v>45426</v>
      </c>
      <c r="M755" t="s">
        <v>598</v>
      </c>
      <c r="N755" t="s">
        <v>599</v>
      </c>
      <c r="O755" s="37" t="str">
        <f t="shared" si="58"/>
        <v>Digital Payment</v>
      </c>
      <c r="P755">
        <v>460</v>
      </c>
      <c r="Q755" s="37" t="str">
        <f>IF(P755&gt;500,"High","low")</f>
        <v>low</v>
      </c>
      <c r="R755" s="37" t="str">
        <f t="shared" si="59"/>
        <v>AVERAGE</v>
      </c>
      <c r="S755" t="s">
        <v>628</v>
      </c>
    </row>
    <row r="756" spans="1:19" x14ac:dyDescent="0.2">
      <c r="A756" t="s">
        <v>1367</v>
      </c>
      <c r="B756" t="s">
        <v>83</v>
      </c>
      <c r="C756" t="s">
        <v>597</v>
      </c>
      <c r="D756">
        <v>3889.79</v>
      </c>
      <c r="E756" s="37" t="str">
        <f t="shared" si="55"/>
        <v xml:space="preserve"> </v>
      </c>
      <c r="F756">
        <v>0.38</v>
      </c>
      <c r="G756" s="37" t="str">
        <f t="shared" si="56"/>
        <v>Heavy Discount</v>
      </c>
      <c r="H756" s="37" t="str">
        <f t="shared" si="57"/>
        <v>Medium</v>
      </c>
      <c r="I756">
        <v>2</v>
      </c>
      <c r="J756" t="str" cm="1">
        <f t="array" ref="J756">_xlfn.IFS(I756&lt;=3,"small",I756&lt;=6,"Medium",I756&lt;=9,"Large")</f>
        <v>small</v>
      </c>
      <c r="K756" s="36">
        <v>45356</v>
      </c>
      <c r="L756" s="36">
        <v>45357</v>
      </c>
      <c r="M756" t="s">
        <v>603</v>
      </c>
      <c r="N756" t="s">
        <v>599</v>
      </c>
      <c r="O756" s="37" t="str">
        <f t="shared" si="58"/>
        <v>Digital Payment</v>
      </c>
      <c r="P756">
        <v>406.21</v>
      </c>
      <c r="Q756" s="37" t="str">
        <f>IF(P756&gt;500,"High","low")</f>
        <v>low</v>
      </c>
      <c r="R756" s="37" t="str">
        <f t="shared" si="59"/>
        <v>AVERAGE</v>
      </c>
      <c r="S756" t="s">
        <v>605</v>
      </c>
    </row>
    <row r="757" spans="1:19" x14ac:dyDescent="0.2">
      <c r="A757" t="s">
        <v>1368</v>
      </c>
      <c r="B757" t="s">
        <v>83</v>
      </c>
      <c r="C757" t="s">
        <v>602</v>
      </c>
      <c r="D757">
        <v>607.58000000000004</v>
      </c>
      <c r="E757" s="37" t="str">
        <f t="shared" si="55"/>
        <v xml:space="preserve"> </v>
      </c>
      <c r="F757">
        <v>0.14000000000000001</v>
      </c>
      <c r="G757" s="37" t="str">
        <f t="shared" si="56"/>
        <v>Normal Discount</v>
      </c>
      <c r="H757" s="37" t="str">
        <f t="shared" si="57"/>
        <v>Low</v>
      </c>
      <c r="I757">
        <v>5</v>
      </c>
      <c r="J757" t="str" cm="1">
        <f t="array" ref="J757">_xlfn.IFS(I757&lt;=3,"small",I757&lt;=6,"Medium",I757&lt;=9,"Large")</f>
        <v>Medium</v>
      </c>
      <c r="K757" s="36">
        <v>45419</v>
      </c>
      <c r="L757" s="36">
        <v>45420</v>
      </c>
      <c r="M757" t="s">
        <v>598</v>
      </c>
      <c r="N757" t="s">
        <v>599</v>
      </c>
      <c r="O757" s="37" t="str">
        <f t="shared" si="58"/>
        <v>Digital Payment</v>
      </c>
      <c r="P757">
        <v>120.47</v>
      </c>
      <c r="Q757" s="37" t="str">
        <f>IF(P757&gt;500,"High","low")</f>
        <v>low</v>
      </c>
      <c r="R757" s="37" t="str">
        <f t="shared" si="59"/>
        <v>AVERAGE</v>
      </c>
      <c r="S757" t="s">
        <v>609</v>
      </c>
    </row>
    <row r="758" spans="1:19" x14ac:dyDescent="0.2">
      <c r="A758" t="s">
        <v>1369</v>
      </c>
      <c r="B758" t="s">
        <v>83</v>
      </c>
      <c r="C758" t="s">
        <v>607</v>
      </c>
      <c r="D758">
        <v>4523.71</v>
      </c>
      <c r="E758" s="37" t="str">
        <f t="shared" si="55"/>
        <v xml:space="preserve"> </v>
      </c>
      <c r="F758">
        <v>0.45</v>
      </c>
      <c r="G758" s="37" t="str">
        <f t="shared" si="56"/>
        <v>Heavy Discount</v>
      </c>
      <c r="H758" s="37" t="str">
        <f t="shared" si="57"/>
        <v>High</v>
      </c>
      <c r="I758">
        <v>7</v>
      </c>
      <c r="J758" t="str" cm="1">
        <f t="array" ref="J758">_xlfn.IFS(I758&lt;=3,"small",I758&lt;=6,"Medium",I758&lt;=9,"Large")</f>
        <v>Large</v>
      </c>
      <c r="K758" s="36">
        <v>45521</v>
      </c>
      <c r="L758" s="36">
        <v>45528</v>
      </c>
      <c r="M758" t="s">
        <v>598</v>
      </c>
      <c r="N758" t="s">
        <v>604</v>
      </c>
      <c r="O758" s="37" t="str">
        <f t="shared" si="58"/>
        <v>Digital Payment</v>
      </c>
      <c r="P758">
        <v>785.66</v>
      </c>
      <c r="Q758" s="37" t="str">
        <f>IF(P758&gt;500,"High","low")</f>
        <v>High</v>
      </c>
      <c r="R758" s="37" t="str">
        <f t="shared" si="59"/>
        <v>Good</v>
      </c>
      <c r="S758" t="s">
        <v>620</v>
      </c>
    </row>
    <row r="759" spans="1:19" x14ac:dyDescent="0.2">
      <c r="A759" t="s">
        <v>1370</v>
      </c>
      <c r="B759" t="s">
        <v>90</v>
      </c>
      <c r="C759" t="s">
        <v>607</v>
      </c>
      <c r="D759">
        <v>1396.14</v>
      </c>
      <c r="E759" s="37" t="str">
        <f t="shared" si="55"/>
        <v xml:space="preserve"> </v>
      </c>
      <c r="F759">
        <v>0.04</v>
      </c>
      <c r="G759" s="37" t="str">
        <f t="shared" si="56"/>
        <v>Normal Discount</v>
      </c>
      <c r="H759" s="37" t="str">
        <f t="shared" si="57"/>
        <v>Low</v>
      </c>
      <c r="I759">
        <v>9</v>
      </c>
      <c r="J759" t="str" cm="1">
        <f t="array" ref="J759">_xlfn.IFS(I759&lt;=3,"small",I759&lt;=6,"Medium",I759&lt;=9,"Large")</f>
        <v>Large</v>
      </c>
      <c r="K759" s="36">
        <v>45194</v>
      </c>
      <c r="L759" s="36">
        <v>45198</v>
      </c>
      <c r="M759" t="s">
        <v>603</v>
      </c>
      <c r="N759" t="s">
        <v>604</v>
      </c>
      <c r="O759" s="37" t="str">
        <f t="shared" si="58"/>
        <v>Digital Payment</v>
      </c>
      <c r="P759">
        <v>314.89</v>
      </c>
      <c r="Q759" s="37" t="str">
        <f>IF(P759&gt;500,"High","low")</f>
        <v>low</v>
      </c>
      <c r="R759" s="37" t="str">
        <f t="shared" si="59"/>
        <v>AVERAGE</v>
      </c>
      <c r="S759" t="s">
        <v>605</v>
      </c>
    </row>
    <row r="760" spans="1:19" x14ac:dyDescent="0.2">
      <c r="A760" t="s">
        <v>1371</v>
      </c>
      <c r="B760" t="s">
        <v>75</v>
      </c>
      <c r="C760" t="s">
        <v>617</v>
      </c>
      <c r="D760">
        <v>935.96</v>
      </c>
      <c r="E760" s="37" t="str">
        <f t="shared" si="55"/>
        <v xml:space="preserve"> </v>
      </c>
      <c r="F760">
        <v>0.44</v>
      </c>
      <c r="G760" s="37" t="str">
        <f t="shared" si="56"/>
        <v>Heavy Discount</v>
      </c>
      <c r="H760" s="37" t="str">
        <f t="shared" si="57"/>
        <v>High</v>
      </c>
      <c r="I760">
        <v>8</v>
      </c>
      <c r="J760" t="str" cm="1">
        <f t="array" ref="J760">_xlfn.IFS(I760&lt;=3,"small",I760&lt;=6,"Medium",I760&lt;=9,"Large")</f>
        <v>Large</v>
      </c>
      <c r="K760" s="36">
        <v>45643</v>
      </c>
      <c r="L760" s="36">
        <v>45646</v>
      </c>
      <c r="M760" t="s">
        <v>612</v>
      </c>
      <c r="N760" t="s">
        <v>599</v>
      </c>
      <c r="O760" s="37" t="str">
        <f t="shared" si="58"/>
        <v>Digital Payment</v>
      </c>
      <c r="P760">
        <v>194.75</v>
      </c>
      <c r="Q760" s="37" t="str">
        <f>IF(P760&gt;500,"High","low")</f>
        <v>low</v>
      </c>
      <c r="R760" s="37" t="str">
        <f t="shared" si="59"/>
        <v>AVERAGE</v>
      </c>
      <c r="S760" t="s">
        <v>615</v>
      </c>
    </row>
    <row r="761" spans="1:19" x14ac:dyDescent="0.2">
      <c r="A761" t="s">
        <v>1372</v>
      </c>
      <c r="B761" t="s">
        <v>90</v>
      </c>
      <c r="C761" t="s">
        <v>614</v>
      </c>
      <c r="D761">
        <v>2987.35</v>
      </c>
      <c r="E761" s="37" t="str">
        <f t="shared" si="55"/>
        <v xml:space="preserve"> </v>
      </c>
      <c r="F761">
        <v>0</v>
      </c>
      <c r="G761" s="37" t="str">
        <f t="shared" si="56"/>
        <v>Normal Discount</v>
      </c>
      <c r="H761" s="37" t="str">
        <f t="shared" si="57"/>
        <v>Low</v>
      </c>
      <c r="I761">
        <v>6</v>
      </c>
      <c r="J761" t="str" cm="1">
        <f t="array" ref="J761">_xlfn.IFS(I761&lt;=3,"small",I761&lt;=6,"Medium",I761&lt;=9,"Large")</f>
        <v>Medium</v>
      </c>
      <c r="K761" s="36">
        <v>45373</v>
      </c>
      <c r="L761" s="36">
        <v>45378</v>
      </c>
      <c r="M761" t="s">
        <v>612</v>
      </c>
      <c r="N761" t="s">
        <v>604</v>
      </c>
      <c r="O761" s="37" t="str">
        <f t="shared" si="58"/>
        <v>Digital Payment</v>
      </c>
      <c r="P761">
        <v>368.83</v>
      </c>
      <c r="Q761" s="37" t="str">
        <f>IF(P761&gt;500,"High","low")</f>
        <v>low</v>
      </c>
      <c r="R761" s="37" t="str">
        <f t="shared" si="59"/>
        <v>AVERAGE</v>
      </c>
      <c r="S761" t="s">
        <v>605</v>
      </c>
    </row>
    <row r="762" spans="1:19" x14ac:dyDescent="0.2">
      <c r="A762" t="s">
        <v>1373</v>
      </c>
      <c r="B762" t="s">
        <v>67</v>
      </c>
      <c r="C762" t="s">
        <v>607</v>
      </c>
      <c r="D762">
        <v>957.65</v>
      </c>
      <c r="E762" s="37" t="str">
        <f t="shared" si="55"/>
        <v xml:space="preserve"> </v>
      </c>
      <c r="F762">
        <v>0.26</v>
      </c>
      <c r="G762" s="37" t="str">
        <f t="shared" si="56"/>
        <v>Normal Discount</v>
      </c>
      <c r="H762" s="37" t="str">
        <f t="shared" si="57"/>
        <v>Medium</v>
      </c>
      <c r="I762">
        <v>9</v>
      </c>
      <c r="J762" t="str" cm="1">
        <f t="array" ref="J762">_xlfn.IFS(I762&lt;=3,"small",I762&lt;=6,"Medium",I762&lt;=9,"Large")</f>
        <v>Large</v>
      </c>
      <c r="K762" s="36">
        <v>45601</v>
      </c>
      <c r="L762" s="36">
        <v>45602</v>
      </c>
      <c r="M762" t="s">
        <v>598</v>
      </c>
      <c r="N762" t="s">
        <v>599</v>
      </c>
      <c r="O762" s="37" t="str">
        <f t="shared" si="58"/>
        <v>Digital Payment</v>
      </c>
      <c r="P762">
        <v>198.68</v>
      </c>
      <c r="Q762" s="37" t="str">
        <f>IF(P762&gt;500,"High","low")</f>
        <v>low</v>
      </c>
      <c r="R762" s="37" t="str">
        <f t="shared" si="59"/>
        <v>AVERAGE</v>
      </c>
      <c r="S762" t="s">
        <v>609</v>
      </c>
    </row>
    <row r="763" spans="1:19" x14ac:dyDescent="0.2">
      <c r="A763" t="s">
        <v>1374</v>
      </c>
      <c r="B763" t="s">
        <v>83</v>
      </c>
      <c r="C763" t="s">
        <v>602</v>
      </c>
      <c r="D763">
        <v>3430.54</v>
      </c>
      <c r="E763" s="37" t="str">
        <f t="shared" si="55"/>
        <v xml:space="preserve"> </v>
      </c>
      <c r="F763">
        <v>0.17</v>
      </c>
      <c r="G763" s="37" t="str">
        <f t="shared" si="56"/>
        <v>Normal Discount</v>
      </c>
      <c r="H763" s="37" t="str">
        <f t="shared" si="57"/>
        <v>Low</v>
      </c>
      <c r="I763">
        <v>7</v>
      </c>
      <c r="J763" t="str" cm="1">
        <f t="array" ref="J763">_xlfn.IFS(I763&lt;=3,"small",I763&lt;=6,"Medium",I763&lt;=9,"Large")</f>
        <v>Large</v>
      </c>
      <c r="K763" s="36">
        <v>45166</v>
      </c>
      <c r="L763" s="36">
        <v>45167</v>
      </c>
      <c r="M763" t="s">
        <v>598</v>
      </c>
      <c r="N763" t="s">
        <v>599</v>
      </c>
      <c r="O763" s="37" t="str">
        <f t="shared" si="58"/>
        <v>Digital Payment</v>
      </c>
      <c r="P763">
        <v>826.76</v>
      </c>
      <c r="Q763" s="37" t="str">
        <f>IF(P763&gt;500,"High","low")</f>
        <v>High</v>
      </c>
      <c r="R763" s="37" t="str">
        <f t="shared" si="59"/>
        <v>Good</v>
      </c>
      <c r="S763" t="s">
        <v>620</v>
      </c>
    </row>
    <row r="764" spans="1:19" x14ac:dyDescent="0.2">
      <c r="A764" t="s">
        <v>1375</v>
      </c>
      <c r="B764" t="s">
        <v>75</v>
      </c>
      <c r="C764" t="s">
        <v>597</v>
      </c>
      <c r="D764">
        <v>2501.5</v>
      </c>
      <c r="E764" s="37" t="str">
        <f t="shared" si="55"/>
        <v xml:space="preserve"> </v>
      </c>
      <c r="F764">
        <v>0.21</v>
      </c>
      <c r="G764" s="37" t="str">
        <f t="shared" si="56"/>
        <v>Normal Discount</v>
      </c>
      <c r="H764" s="37" t="str">
        <f t="shared" si="57"/>
        <v>Medium</v>
      </c>
      <c r="I764">
        <v>3</v>
      </c>
      <c r="J764" t="str" cm="1">
        <f t="array" ref="J764">_xlfn.IFS(I764&lt;=3,"small",I764&lt;=6,"Medium",I764&lt;=9,"Large")</f>
        <v>small</v>
      </c>
      <c r="K764" s="36">
        <v>45043</v>
      </c>
      <c r="L764" s="36">
        <v>45048</v>
      </c>
      <c r="M764" t="s">
        <v>603</v>
      </c>
      <c r="N764" t="s">
        <v>599</v>
      </c>
      <c r="O764" s="37" t="str">
        <f t="shared" si="58"/>
        <v>Digital Payment</v>
      </c>
      <c r="P764">
        <v>532.25</v>
      </c>
      <c r="Q764" s="37" t="str">
        <f>IF(P764&gt;500,"High","low")</f>
        <v>High</v>
      </c>
      <c r="R764" s="37" t="str">
        <f t="shared" si="59"/>
        <v>Good</v>
      </c>
      <c r="S764" t="s">
        <v>628</v>
      </c>
    </row>
    <row r="765" spans="1:19" x14ac:dyDescent="0.2">
      <c r="A765" t="s">
        <v>1376</v>
      </c>
      <c r="B765" t="s">
        <v>83</v>
      </c>
      <c r="C765" t="s">
        <v>617</v>
      </c>
      <c r="D765">
        <v>638.78</v>
      </c>
      <c r="E765" s="37" t="str">
        <f t="shared" si="55"/>
        <v xml:space="preserve"> </v>
      </c>
      <c r="F765">
        <v>0.22</v>
      </c>
      <c r="G765" s="37" t="str">
        <f t="shared" si="56"/>
        <v>Normal Discount</v>
      </c>
      <c r="H765" s="37" t="str">
        <f t="shared" si="57"/>
        <v>Medium</v>
      </c>
      <c r="I765">
        <v>1</v>
      </c>
      <c r="J765" t="str" cm="1">
        <f t="array" ref="J765">_xlfn.IFS(I765&lt;=3,"small",I765&lt;=6,"Medium",I765&lt;=9,"Large")</f>
        <v>small</v>
      </c>
      <c r="K765" s="36">
        <v>45512</v>
      </c>
      <c r="L765" s="36">
        <v>45515</v>
      </c>
      <c r="M765" t="s">
        <v>598</v>
      </c>
      <c r="N765" t="s">
        <v>599</v>
      </c>
      <c r="O765" s="37" t="str">
        <f t="shared" si="58"/>
        <v>Digital Payment</v>
      </c>
      <c r="P765">
        <v>111.74</v>
      </c>
      <c r="Q765" s="37" t="str">
        <f>IF(P765&gt;500,"High","low")</f>
        <v>low</v>
      </c>
      <c r="R765" s="37" t="str">
        <f t="shared" si="59"/>
        <v>AVERAGE</v>
      </c>
      <c r="S765" t="s">
        <v>605</v>
      </c>
    </row>
    <row r="766" spans="1:19" x14ac:dyDescent="0.2">
      <c r="A766" t="s">
        <v>1377</v>
      </c>
      <c r="B766" t="s">
        <v>75</v>
      </c>
      <c r="C766" t="s">
        <v>602</v>
      </c>
      <c r="D766">
        <v>4571.2</v>
      </c>
      <c r="E766" s="37" t="str">
        <f t="shared" si="55"/>
        <v>Excellent Order</v>
      </c>
      <c r="F766">
        <v>0.33</v>
      </c>
      <c r="G766" s="37" t="str">
        <f t="shared" si="56"/>
        <v>Heavy Discount</v>
      </c>
      <c r="H766" s="37" t="str">
        <f t="shared" si="57"/>
        <v>Medium</v>
      </c>
      <c r="I766">
        <v>5</v>
      </c>
      <c r="J766" t="str" cm="1">
        <f t="array" ref="J766">_xlfn.IFS(I766&lt;=3,"small",I766&lt;=6,"Medium",I766&lt;=9,"Large")</f>
        <v>Medium</v>
      </c>
      <c r="K766" s="36">
        <v>45332</v>
      </c>
      <c r="L766" s="36">
        <v>45333</v>
      </c>
      <c r="M766" t="s">
        <v>612</v>
      </c>
      <c r="N766" t="s">
        <v>599</v>
      </c>
      <c r="O766" s="37" t="str">
        <f t="shared" si="58"/>
        <v>Digital Payment</v>
      </c>
      <c r="P766">
        <v>983.92</v>
      </c>
      <c r="Q766" s="37" t="str">
        <f>IF(P766&gt;500,"High","low")</f>
        <v>High</v>
      </c>
      <c r="R766" s="37" t="str">
        <f t="shared" si="59"/>
        <v>Good</v>
      </c>
      <c r="S766" t="s">
        <v>620</v>
      </c>
    </row>
    <row r="767" spans="1:19" x14ac:dyDescent="0.2">
      <c r="A767" t="s">
        <v>1378</v>
      </c>
      <c r="B767" t="s">
        <v>90</v>
      </c>
      <c r="C767" t="s">
        <v>617</v>
      </c>
      <c r="D767">
        <v>3398.71</v>
      </c>
      <c r="E767" s="37" t="str">
        <f t="shared" si="55"/>
        <v xml:space="preserve"> </v>
      </c>
      <c r="F767">
        <v>0.01</v>
      </c>
      <c r="G767" s="37" t="str">
        <f t="shared" si="56"/>
        <v>Normal Discount</v>
      </c>
      <c r="H767" s="37" t="str">
        <f t="shared" si="57"/>
        <v>Low</v>
      </c>
      <c r="I767">
        <v>9</v>
      </c>
      <c r="J767" t="str" cm="1">
        <f t="array" ref="J767">_xlfn.IFS(I767&lt;=3,"small",I767&lt;=6,"Medium",I767&lt;=9,"Large")</f>
        <v>Large</v>
      </c>
      <c r="K767" s="36">
        <v>45192</v>
      </c>
      <c r="L767" s="36">
        <v>45197</v>
      </c>
      <c r="M767" t="s">
        <v>603</v>
      </c>
      <c r="N767" t="s">
        <v>599</v>
      </c>
      <c r="O767" s="37" t="str">
        <f t="shared" si="58"/>
        <v>Digital Payment</v>
      </c>
      <c r="P767">
        <v>571.99</v>
      </c>
      <c r="Q767" s="37" t="str">
        <f>IF(P767&gt;500,"High","low")</f>
        <v>High</v>
      </c>
      <c r="R767" s="37" t="str">
        <f t="shared" si="59"/>
        <v>Good</v>
      </c>
      <c r="S767" t="s">
        <v>609</v>
      </c>
    </row>
    <row r="768" spans="1:19" x14ac:dyDescent="0.2">
      <c r="A768" t="s">
        <v>1379</v>
      </c>
      <c r="B768" t="s">
        <v>75</v>
      </c>
      <c r="C768" t="s">
        <v>614</v>
      </c>
      <c r="D768">
        <v>2775.37</v>
      </c>
      <c r="E768" s="37" t="str">
        <f t="shared" si="55"/>
        <v xml:space="preserve"> </v>
      </c>
      <c r="F768">
        <v>0.35</v>
      </c>
      <c r="G768" s="37" t="str">
        <f t="shared" si="56"/>
        <v>Heavy Discount</v>
      </c>
      <c r="H768" s="37" t="str">
        <f t="shared" si="57"/>
        <v>Medium</v>
      </c>
      <c r="I768">
        <v>8</v>
      </c>
      <c r="J768" t="str" cm="1">
        <f t="array" ref="J768">_xlfn.IFS(I768&lt;=3,"small",I768&lt;=6,"Medium",I768&lt;=9,"Large")</f>
        <v>Large</v>
      </c>
      <c r="K768" s="36">
        <v>45232</v>
      </c>
      <c r="L768" s="36">
        <v>45239</v>
      </c>
      <c r="M768" t="s">
        <v>612</v>
      </c>
      <c r="N768" t="s">
        <v>604</v>
      </c>
      <c r="O768" s="37" t="str">
        <f t="shared" si="58"/>
        <v>Digital Payment</v>
      </c>
      <c r="P768">
        <v>374.19</v>
      </c>
      <c r="Q768" s="37" t="str">
        <f>IF(P768&gt;500,"High","low")</f>
        <v>low</v>
      </c>
      <c r="R768" s="37" t="str">
        <f t="shared" si="59"/>
        <v>AVERAGE</v>
      </c>
      <c r="S768" t="s">
        <v>628</v>
      </c>
    </row>
    <row r="769" spans="1:19" x14ac:dyDescent="0.2">
      <c r="A769" t="s">
        <v>1380</v>
      </c>
      <c r="B769" t="s">
        <v>67</v>
      </c>
      <c r="C769" t="s">
        <v>607</v>
      </c>
      <c r="D769">
        <v>1934.27</v>
      </c>
      <c r="E769" s="37" t="str">
        <f t="shared" si="55"/>
        <v xml:space="preserve"> </v>
      </c>
      <c r="F769">
        <v>0.01</v>
      </c>
      <c r="G769" s="37" t="str">
        <f t="shared" si="56"/>
        <v>Normal Discount</v>
      </c>
      <c r="H769" s="37" t="str">
        <f t="shared" si="57"/>
        <v>Low</v>
      </c>
      <c r="I769">
        <v>6</v>
      </c>
      <c r="J769" t="str" cm="1">
        <f t="array" ref="J769">_xlfn.IFS(I769&lt;=3,"small",I769&lt;=6,"Medium",I769&lt;=9,"Large")</f>
        <v>Medium</v>
      </c>
      <c r="K769" s="36">
        <v>45345</v>
      </c>
      <c r="L769" s="36">
        <v>45349</v>
      </c>
      <c r="M769" t="s">
        <v>612</v>
      </c>
      <c r="N769" t="s">
        <v>608</v>
      </c>
      <c r="O769" s="37" t="str">
        <f t="shared" si="58"/>
        <v>Cash Payment</v>
      </c>
      <c r="P769">
        <v>397.33</v>
      </c>
      <c r="Q769" s="37" t="str">
        <f>IF(P769&gt;500,"High","low")</f>
        <v>low</v>
      </c>
      <c r="R769" s="37" t="str">
        <f t="shared" si="59"/>
        <v>AVERAGE</v>
      </c>
      <c r="S769" t="s">
        <v>628</v>
      </c>
    </row>
    <row r="770" spans="1:19" x14ac:dyDescent="0.2">
      <c r="A770" t="s">
        <v>1381</v>
      </c>
      <c r="B770" t="s">
        <v>67</v>
      </c>
      <c r="C770" t="s">
        <v>602</v>
      </c>
      <c r="D770">
        <v>760.81</v>
      </c>
      <c r="E770" s="37" t="str">
        <f t="shared" si="55"/>
        <v xml:space="preserve"> </v>
      </c>
      <c r="F770">
        <v>0.09</v>
      </c>
      <c r="G770" s="37" t="str">
        <f t="shared" si="56"/>
        <v>Normal Discount</v>
      </c>
      <c r="H770" s="37" t="str">
        <f t="shared" si="57"/>
        <v>Low</v>
      </c>
      <c r="I770">
        <v>8</v>
      </c>
      <c r="J770" t="str" cm="1">
        <f t="array" ref="J770">_xlfn.IFS(I770&lt;=3,"small",I770&lt;=6,"Medium",I770&lt;=9,"Large")</f>
        <v>Large</v>
      </c>
      <c r="K770" s="36">
        <v>45582</v>
      </c>
      <c r="L770" s="36">
        <v>45589</v>
      </c>
      <c r="M770" t="s">
        <v>603</v>
      </c>
      <c r="N770" t="s">
        <v>599</v>
      </c>
      <c r="O770" s="37" t="str">
        <f t="shared" si="58"/>
        <v>Digital Payment</v>
      </c>
      <c r="P770">
        <v>41.66</v>
      </c>
      <c r="Q770" s="37" t="str">
        <f>IF(P770&gt;500,"High","low")</f>
        <v>low</v>
      </c>
      <c r="R770" s="37" t="str">
        <f t="shared" si="59"/>
        <v>AVERAGE</v>
      </c>
      <c r="S770" t="s">
        <v>600</v>
      </c>
    </row>
    <row r="771" spans="1:19" x14ac:dyDescent="0.2">
      <c r="A771" t="s">
        <v>1382</v>
      </c>
      <c r="B771" t="s">
        <v>75</v>
      </c>
      <c r="C771" t="s">
        <v>597</v>
      </c>
      <c r="D771">
        <v>3566.84</v>
      </c>
      <c r="E771" s="37" t="str">
        <f t="shared" ref="E771:E834" si="60">IF(AND(D771&gt;4000,P771&gt;800),"Excellent Order"," ")</f>
        <v xml:space="preserve"> </v>
      </c>
      <c r="F771">
        <v>0.3</v>
      </c>
      <c r="G771" s="37" t="str">
        <f t="shared" ref="G771:G834" si="61">IF(F771&gt;30%,"Heavy Discount","Normal Discount")</f>
        <v>Normal Discount</v>
      </c>
      <c r="H771" s="37" t="str">
        <f t="shared" ref="H771:H834" si="62">IF(F771&gt;0.4,"High",IF(F771&gt;=0.2,"Medium","Low"))</f>
        <v>Medium</v>
      </c>
      <c r="I771">
        <v>8</v>
      </c>
      <c r="J771" t="str" cm="1">
        <f t="array" ref="J771">_xlfn.IFS(I771&lt;=3,"small",I771&lt;=6,"Medium",I771&lt;=9,"Large")</f>
        <v>Large</v>
      </c>
      <c r="K771" s="36">
        <v>45499</v>
      </c>
      <c r="L771" s="36">
        <v>45500</v>
      </c>
      <c r="M771" t="s">
        <v>603</v>
      </c>
      <c r="N771" t="s">
        <v>604</v>
      </c>
      <c r="O771" s="37" t="str">
        <f t="shared" ref="O771:O834" si="63">IF(OR(N771="Card",N771="UPI"),"Digital Payment","Cash Payment")</f>
        <v>Digital Payment</v>
      </c>
      <c r="P771">
        <v>261.14999999999998</v>
      </c>
      <c r="Q771" s="37" t="str">
        <f>IF(P771&gt;500,"High","low")</f>
        <v>low</v>
      </c>
      <c r="R771" s="37" t="str">
        <f t="shared" ref="R771:R834" si="64">IF(P771&gt;1000,"Excellent",IF(P771&gt;=500,"Good","AVERAGE"))</f>
        <v>AVERAGE</v>
      </c>
      <c r="S771" t="s">
        <v>620</v>
      </c>
    </row>
    <row r="772" spans="1:19" x14ac:dyDescent="0.2">
      <c r="A772" t="s">
        <v>1383</v>
      </c>
      <c r="B772" t="s">
        <v>75</v>
      </c>
      <c r="C772" t="s">
        <v>614</v>
      </c>
      <c r="D772">
        <v>4086.91</v>
      </c>
      <c r="E772" s="37" t="str">
        <f t="shared" si="60"/>
        <v xml:space="preserve"> </v>
      </c>
      <c r="F772">
        <v>0.04</v>
      </c>
      <c r="G772" s="37" t="str">
        <f t="shared" si="61"/>
        <v>Normal Discount</v>
      </c>
      <c r="H772" s="37" t="str">
        <f t="shared" si="62"/>
        <v>Low</v>
      </c>
      <c r="I772">
        <v>3</v>
      </c>
      <c r="J772" t="str" cm="1">
        <f t="array" ref="J772">_xlfn.IFS(I772&lt;=3,"small",I772&lt;=6,"Medium",I772&lt;=9,"Large")</f>
        <v>small</v>
      </c>
      <c r="K772" s="36">
        <v>45513</v>
      </c>
      <c r="L772" s="36">
        <v>45518</v>
      </c>
      <c r="M772" t="s">
        <v>612</v>
      </c>
      <c r="N772" t="s">
        <v>604</v>
      </c>
      <c r="O772" s="37" t="str">
        <f t="shared" si="63"/>
        <v>Digital Payment</v>
      </c>
      <c r="P772">
        <v>391.48</v>
      </c>
      <c r="Q772" s="37" t="str">
        <f>IF(P772&gt;500,"High","low")</f>
        <v>low</v>
      </c>
      <c r="R772" s="37" t="str">
        <f t="shared" si="64"/>
        <v>AVERAGE</v>
      </c>
      <c r="S772" t="s">
        <v>605</v>
      </c>
    </row>
    <row r="773" spans="1:19" x14ac:dyDescent="0.2">
      <c r="A773" t="s">
        <v>1384</v>
      </c>
      <c r="B773" t="s">
        <v>75</v>
      </c>
      <c r="C773" t="s">
        <v>614</v>
      </c>
      <c r="D773">
        <v>716.51</v>
      </c>
      <c r="E773" s="37" t="str">
        <f t="shared" si="60"/>
        <v xml:space="preserve"> </v>
      </c>
      <c r="F773">
        <v>0.5</v>
      </c>
      <c r="G773" s="37" t="str">
        <f t="shared" si="61"/>
        <v>Heavy Discount</v>
      </c>
      <c r="H773" s="37" t="str">
        <f t="shared" si="62"/>
        <v>High</v>
      </c>
      <c r="I773">
        <v>6</v>
      </c>
      <c r="J773" t="str" cm="1">
        <f t="array" ref="J773">_xlfn.IFS(I773&lt;=3,"small",I773&lt;=6,"Medium",I773&lt;=9,"Large")</f>
        <v>Medium</v>
      </c>
      <c r="K773" s="36">
        <v>44943</v>
      </c>
      <c r="L773" s="36">
        <v>44945</v>
      </c>
      <c r="M773" t="s">
        <v>603</v>
      </c>
      <c r="N773" t="s">
        <v>599</v>
      </c>
      <c r="O773" s="37" t="str">
        <f t="shared" si="63"/>
        <v>Digital Payment</v>
      </c>
      <c r="P773">
        <v>211.2</v>
      </c>
      <c r="Q773" s="37" t="str">
        <f>IF(P773&gt;500,"High","low")</f>
        <v>low</v>
      </c>
      <c r="R773" s="37" t="str">
        <f t="shared" si="64"/>
        <v>AVERAGE</v>
      </c>
      <c r="S773" t="s">
        <v>620</v>
      </c>
    </row>
    <row r="774" spans="1:19" x14ac:dyDescent="0.2">
      <c r="A774" t="s">
        <v>1385</v>
      </c>
      <c r="B774" t="s">
        <v>75</v>
      </c>
      <c r="C774" t="s">
        <v>617</v>
      </c>
      <c r="D774">
        <v>2523.38</v>
      </c>
      <c r="E774" s="37" t="str">
        <f t="shared" si="60"/>
        <v xml:space="preserve"> </v>
      </c>
      <c r="F774">
        <v>0.39</v>
      </c>
      <c r="G774" s="37" t="str">
        <f t="shared" si="61"/>
        <v>Heavy Discount</v>
      </c>
      <c r="H774" s="37" t="str">
        <f t="shared" si="62"/>
        <v>Medium</v>
      </c>
      <c r="I774">
        <v>7</v>
      </c>
      <c r="J774" t="str" cm="1">
        <f t="array" ref="J774">_xlfn.IFS(I774&lt;=3,"small",I774&lt;=6,"Medium",I774&lt;=9,"Large")</f>
        <v>Large</v>
      </c>
      <c r="K774" s="36">
        <v>44938</v>
      </c>
      <c r="L774" s="36">
        <v>44939</v>
      </c>
      <c r="M774" t="s">
        <v>603</v>
      </c>
      <c r="N774" t="s">
        <v>604</v>
      </c>
      <c r="O774" s="37" t="str">
        <f t="shared" si="63"/>
        <v>Digital Payment</v>
      </c>
      <c r="P774">
        <v>306.94</v>
      </c>
      <c r="Q774" s="37" t="str">
        <f>IF(P774&gt;500,"High","low")</f>
        <v>low</v>
      </c>
      <c r="R774" s="37" t="str">
        <f t="shared" si="64"/>
        <v>AVERAGE</v>
      </c>
      <c r="S774" t="s">
        <v>605</v>
      </c>
    </row>
    <row r="775" spans="1:19" x14ac:dyDescent="0.2">
      <c r="A775" t="s">
        <v>1386</v>
      </c>
      <c r="B775" t="s">
        <v>67</v>
      </c>
      <c r="C775" t="s">
        <v>614</v>
      </c>
      <c r="D775">
        <v>2475.75</v>
      </c>
      <c r="E775" s="37" t="str">
        <f t="shared" si="60"/>
        <v xml:space="preserve"> </v>
      </c>
      <c r="F775">
        <v>0.35</v>
      </c>
      <c r="G775" s="37" t="str">
        <f t="shared" si="61"/>
        <v>Heavy Discount</v>
      </c>
      <c r="H775" s="37" t="str">
        <f t="shared" si="62"/>
        <v>Medium</v>
      </c>
      <c r="I775">
        <v>2</v>
      </c>
      <c r="J775" t="str" cm="1">
        <f t="array" ref="J775">_xlfn.IFS(I775&lt;=3,"small",I775&lt;=6,"Medium",I775&lt;=9,"Large")</f>
        <v>small</v>
      </c>
      <c r="K775" s="36">
        <v>45441</v>
      </c>
      <c r="L775" s="36">
        <v>45445</v>
      </c>
      <c r="M775" t="s">
        <v>598</v>
      </c>
      <c r="N775" t="s">
        <v>599</v>
      </c>
      <c r="O775" s="37" t="str">
        <f t="shared" si="63"/>
        <v>Digital Payment</v>
      </c>
      <c r="P775">
        <v>433.34</v>
      </c>
      <c r="Q775" s="37" t="str">
        <f>IF(P775&gt;500,"High","low")</f>
        <v>low</v>
      </c>
      <c r="R775" s="37" t="str">
        <f t="shared" si="64"/>
        <v>AVERAGE</v>
      </c>
      <c r="S775" t="s">
        <v>620</v>
      </c>
    </row>
    <row r="776" spans="1:19" x14ac:dyDescent="0.2">
      <c r="A776" t="s">
        <v>1387</v>
      </c>
      <c r="B776" t="s">
        <v>83</v>
      </c>
      <c r="C776" t="s">
        <v>602</v>
      </c>
      <c r="D776">
        <v>1814.57</v>
      </c>
      <c r="E776" s="37" t="str">
        <f t="shared" si="60"/>
        <v xml:space="preserve"> </v>
      </c>
      <c r="F776">
        <v>0.13</v>
      </c>
      <c r="G776" s="37" t="str">
        <f t="shared" si="61"/>
        <v>Normal Discount</v>
      </c>
      <c r="H776" s="37" t="str">
        <f t="shared" si="62"/>
        <v>Low</v>
      </c>
      <c r="I776">
        <v>7</v>
      </c>
      <c r="J776" t="str" cm="1">
        <f t="array" ref="J776">_xlfn.IFS(I776&lt;=3,"small",I776&lt;=6,"Medium",I776&lt;=9,"Large")</f>
        <v>Large</v>
      </c>
      <c r="K776" s="36">
        <v>45511</v>
      </c>
      <c r="L776" s="36">
        <v>45516</v>
      </c>
      <c r="M776" t="s">
        <v>598</v>
      </c>
      <c r="N776" t="s">
        <v>604</v>
      </c>
      <c r="O776" s="37" t="str">
        <f t="shared" si="63"/>
        <v>Digital Payment</v>
      </c>
      <c r="P776">
        <v>349.21</v>
      </c>
      <c r="Q776" s="37" t="str">
        <f>IF(P776&gt;500,"High","low")</f>
        <v>low</v>
      </c>
      <c r="R776" s="37" t="str">
        <f t="shared" si="64"/>
        <v>AVERAGE</v>
      </c>
      <c r="S776" t="s">
        <v>615</v>
      </c>
    </row>
    <row r="777" spans="1:19" x14ac:dyDescent="0.2">
      <c r="A777" t="s">
        <v>1388</v>
      </c>
      <c r="B777" t="s">
        <v>75</v>
      </c>
      <c r="C777" t="s">
        <v>617</v>
      </c>
      <c r="D777">
        <v>3967.78</v>
      </c>
      <c r="E777" s="37" t="str">
        <f t="shared" si="60"/>
        <v xml:space="preserve"> </v>
      </c>
      <c r="F777">
        <v>0.02</v>
      </c>
      <c r="G777" s="37" t="str">
        <f t="shared" si="61"/>
        <v>Normal Discount</v>
      </c>
      <c r="H777" s="37" t="str">
        <f t="shared" si="62"/>
        <v>Low</v>
      </c>
      <c r="I777">
        <v>6</v>
      </c>
      <c r="J777" t="str" cm="1">
        <f t="array" ref="J777">_xlfn.IFS(I777&lt;=3,"small",I777&lt;=6,"Medium",I777&lt;=9,"Large")</f>
        <v>Medium</v>
      </c>
      <c r="K777" s="36">
        <v>45009</v>
      </c>
      <c r="L777" s="36">
        <v>45016</v>
      </c>
      <c r="M777" t="s">
        <v>612</v>
      </c>
      <c r="N777" t="s">
        <v>604</v>
      </c>
      <c r="O777" s="37" t="str">
        <f t="shared" si="63"/>
        <v>Digital Payment</v>
      </c>
      <c r="P777">
        <v>211.2</v>
      </c>
      <c r="Q777" s="37" t="str">
        <f>IF(P777&gt;500,"High","low")</f>
        <v>low</v>
      </c>
      <c r="R777" s="37" t="str">
        <f t="shared" si="64"/>
        <v>AVERAGE</v>
      </c>
      <c r="S777" t="s">
        <v>628</v>
      </c>
    </row>
    <row r="778" spans="1:19" x14ac:dyDescent="0.2">
      <c r="A778" t="s">
        <v>1389</v>
      </c>
      <c r="B778" t="s">
        <v>75</v>
      </c>
      <c r="C778" t="s">
        <v>614</v>
      </c>
      <c r="D778">
        <v>587.70000000000005</v>
      </c>
      <c r="E778" s="37" t="str">
        <f t="shared" si="60"/>
        <v xml:space="preserve"> </v>
      </c>
      <c r="F778">
        <v>0.49</v>
      </c>
      <c r="G778" s="37" t="str">
        <f t="shared" si="61"/>
        <v>Heavy Discount</v>
      </c>
      <c r="H778" s="37" t="str">
        <f t="shared" si="62"/>
        <v>High</v>
      </c>
      <c r="I778">
        <v>2</v>
      </c>
      <c r="J778" t="str" cm="1">
        <f t="array" ref="J778">_xlfn.IFS(I778&lt;=3,"small",I778&lt;=6,"Medium",I778&lt;=9,"Large")</f>
        <v>small</v>
      </c>
      <c r="K778" s="36">
        <v>45585</v>
      </c>
      <c r="L778" s="36">
        <v>45590</v>
      </c>
      <c r="M778" t="s">
        <v>612</v>
      </c>
      <c r="N778" t="s">
        <v>599</v>
      </c>
      <c r="O778" s="37" t="str">
        <f t="shared" si="63"/>
        <v>Digital Payment</v>
      </c>
      <c r="P778">
        <v>40.65</v>
      </c>
      <c r="Q778" s="37" t="str">
        <f>IF(P778&gt;500,"High","low")</f>
        <v>low</v>
      </c>
      <c r="R778" s="37" t="str">
        <f t="shared" si="64"/>
        <v>AVERAGE</v>
      </c>
      <c r="S778" t="s">
        <v>620</v>
      </c>
    </row>
    <row r="779" spans="1:19" x14ac:dyDescent="0.2">
      <c r="A779" t="s">
        <v>1390</v>
      </c>
      <c r="B779" t="s">
        <v>67</v>
      </c>
      <c r="C779" t="s">
        <v>597</v>
      </c>
      <c r="D779">
        <v>1104.5899999999999</v>
      </c>
      <c r="E779" s="37" t="str">
        <f t="shared" si="60"/>
        <v xml:space="preserve"> </v>
      </c>
      <c r="F779">
        <v>7.0000000000000007E-2</v>
      </c>
      <c r="G779" s="37" t="str">
        <f t="shared" si="61"/>
        <v>Normal Discount</v>
      </c>
      <c r="H779" s="37" t="str">
        <f t="shared" si="62"/>
        <v>Low</v>
      </c>
      <c r="I779">
        <v>2</v>
      </c>
      <c r="J779" t="str" cm="1">
        <f t="array" ref="J779">_xlfn.IFS(I779&lt;=3,"small",I779&lt;=6,"Medium",I779&lt;=9,"Large")</f>
        <v>small</v>
      </c>
      <c r="K779" s="36">
        <v>45309</v>
      </c>
      <c r="L779" s="36">
        <v>45310</v>
      </c>
      <c r="M779" t="s">
        <v>603</v>
      </c>
      <c r="N779" t="s">
        <v>608</v>
      </c>
      <c r="O779" s="37" t="str">
        <f t="shared" si="63"/>
        <v>Cash Payment</v>
      </c>
      <c r="P779">
        <v>98.29</v>
      </c>
      <c r="Q779" s="37" t="str">
        <f>IF(P779&gt;500,"High","low")</f>
        <v>low</v>
      </c>
      <c r="R779" s="37" t="str">
        <f t="shared" si="64"/>
        <v>AVERAGE</v>
      </c>
      <c r="S779" t="s">
        <v>605</v>
      </c>
    </row>
    <row r="780" spans="1:19" x14ac:dyDescent="0.2">
      <c r="A780" t="s">
        <v>1391</v>
      </c>
      <c r="B780" t="s">
        <v>67</v>
      </c>
      <c r="C780" t="s">
        <v>602</v>
      </c>
      <c r="D780">
        <v>107.85</v>
      </c>
      <c r="E780" s="37" t="str">
        <f t="shared" si="60"/>
        <v xml:space="preserve"> </v>
      </c>
      <c r="F780">
        <v>0.42</v>
      </c>
      <c r="G780" s="37" t="str">
        <f t="shared" si="61"/>
        <v>Heavy Discount</v>
      </c>
      <c r="H780" s="37" t="str">
        <f t="shared" si="62"/>
        <v>High</v>
      </c>
      <c r="I780">
        <v>6</v>
      </c>
      <c r="J780" t="str" cm="1">
        <f t="array" ref="J780">_xlfn.IFS(I780&lt;=3,"small",I780&lt;=6,"Medium",I780&lt;=9,"Large")</f>
        <v>Medium</v>
      </c>
      <c r="K780" s="36">
        <v>45552</v>
      </c>
      <c r="L780" s="36">
        <v>45554</v>
      </c>
      <c r="M780" t="s">
        <v>603</v>
      </c>
      <c r="N780" t="s">
        <v>599</v>
      </c>
      <c r="O780" s="37" t="str">
        <f t="shared" si="63"/>
        <v>Digital Payment</v>
      </c>
      <c r="P780">
        <v>11.27</v>
      </c>
      <c r="Q780" s="37" t="str">
        <f>IF(P780&gt;500,"High","low")</f>
        <v>low</v>
      </c>
      <c r="R780" s="37" t="str">
        <f t="shared" si="64"/>
        <v>AVERAGE</v>
      </c>
      <c r="S780" t="s">
        <v>609</v>
      </c>
    </row>
    <row r="781" spans="1:19" x14ac:dyDescent="0.2">
      <c r="A781" t="s">
        <v>1392</v>
      </c>
      <c r="B781" t="s">
        <v>90</v>
      </c>
      <c r="C781" t="s">
        <v>597</v>
      </c>
      <c r="D781">
        <v>1927.63</v>
      </c>
      <c r="E781" s="37" t="str">
        <f t="shared" si="60"/>
        <v xml:space="preserve"> </v>
      </c>
      <c r="F781">
        <v>0.1</v>
      </c>
      <c r="G781" s="37" t="str">
        <f t="shared" si="61"/>
        <v>Normal Discount</v>
      </c>
      <c r="H781" s="37" t="str">
        <f t="shared" si="62"/>
        <v>Low</v>
      </c>
      <c r="I781">
        <v>3</v>
      </c>
      <c r="J781" t="str" cm="1">
        <f t="array" ref="J781">_xlfn.IFS(I781&lt;=3,"small",I781&lt;=6,"Medium",I781&lt;=9,"Large")</f>
        <v>small</v>
      </c>
      <c r="K781" s="36">
        <v>45010</v>
      </c>
      <c r="L781" s="36">
        <v>45015</v>
      </c>
      <c r="M781" t="s">
        <v>598</v>
      </c>
      <c r="N781" t="s">
        <v>608</v>
      </c>
      <c r="O781" s="37" t="str">
        <f t="shared" si="63"/>
        <v>Cash Payment</v>
      </c>
      <c r="P781">
        <v>131.41999999999999</v>
      </c>
      <c r="Q781" s="37" t="str">
        <f>IF(P781&gt;500,"High","low")</f>
        <v>low</v>
      </c>
      <c r="R781" s="37" t="str">
        <f t="shared" si="64"/>
        <v>AVERAGE</v>
      </c>
      <c r="S781" t="s">
        <v>609</v>
      </c>
    </row>
    <row r="782" spans="1:19" x14ac:dyDescent="0.2">
      <c r="A782" t="s">
        <v>1393</v>
      </c>
      <c r="B782" t="s">
        <v>75</v>
      </c>
      <c r="C782" t="s">
        <v>597</v>
      </c>
      <c r="D782">
        <v>1526.77</v>
      </c>
      <c r="E782" s="37" t="str">
        <f t="shared" si="60"/>
        <v xml:space="preserve"> </v>
      </c>
      <c r="F782">
        <v>0.19</v>
      </c>
      <c r="G782" s="37" t="str">
        <f t="shared" si="61"/>
        <v>Normal Discount</v>
      </c>
      <c r="H782" s="37" t="str">
        <f t="shared" si="62"/>
        <v>Low</v>
      </c>
      <c r="I782">
        <v>6</v>
      </c>
      <c r="J782" t="str" cm="1">
        <f t="array" ref="J782">_xlfn.IFS(I782&lt;=3,"small",I782&lt;=6,"Medium",I782&lt;=9,"Large")</f>
        <v>Medium</v>
      </c>
      <c r="K782" s="36">
        <v>45513</v>
      </c>
      <c r="L782" s="36">
        <v>45518</v>
      </c>
      <c r="M782" t="s">
        <v>603</v>
      </c>
      <c r="N782" t="s">
        <v>604</v>
      </c>
      <c r="O782" s="37" t="str">
        <f t="shared" si="63"/>
        <v>Digital Payment</v>
      </c>
      <c r="P782">
        <v>324.62</v>
      </c>
      <c r="Q782" s="37" t="str">
        <f>IF(P782&gt;500,"High","low")</f>
        <v>low</v>
      </c>
      <c r="R782" s="37" t="str">
        <f t="shared" si="64"/>
        <v>AVERAGE</v>
      </c>
      <c r="S782" t="s">
        <v>600</v>
      </c>
    </row>
    <row r="783" spans="1:19" x14ac:dyDescent="0.2">
      <c r="A783" t="s">
        <v>1394</v>
      </c>
      <c r="B783" t="s">
        <v>90</v>
      </c>
      <c r="C783" t="s">
        <v>617</v>
      </c>
      <c r="D783">
        <v>4348.2700000000004</v>
      </c>
      <c r="E783" s="37" t="str">
        <f t="shared" si="60"/>
        <v xml:space="preserve"> </v>
      </c>
      <c r="F783">
        <v>0.35</v>
      </c>
      <c r="G783" s="37" t="str">
        <f t="shared" si="61"/>
        <v>Heavy Discount</v>
      </c>
      <c r="H783" s="37" t="str">
        <f t="shared" si="62"/>
        <v>Medium</v>
      </c>
      <c r="I783">
        <v>9</v>
      </c>
      <c r="J783" t="str" cm="1">
        <f t="array" ref="J783">_xlfn.IFS(I783&lt;=3,"small",I783&lt;=6,"Medium",I783&lt;=9,"Large")</f>
        <v>Large</v>
      </c>
      <c r="K783" s="36">
        <v>45439</v>
      </c>
      <c r="L783" s="36">
        <v>45446</v>
      </c>
      <c r="M783" t="s">
        <v>612</v>
      </c>
      <c r="N783" t="s">
        <v>608</v>
      </c>
      <c r="O783" s="37" t="str">
        <f t="shared" si="63"/>
        <v>Cash Payment</v>
      </c>
      <c r="P783">
        <v>347.42</v>
      </c>
      <c r="Q783" s="37" t="str">
        <f>IF(P783&gt;500,"High","low")</f>
        <v>low</v>
      </c>
      <c r="R783" s="37" t="str">
        <f t="shared" si="64"/>
        <v>AVERAGE</v>
      </c>
      <c r="S783" t="s">
        <v>628</v>
      </c>
    </row>
    <row r="784" spans="1:19" x14ac:dyDescent="0.2">
      <c r="A784" t="s">
        <v>1395</v>
      </c>
      <c r="B784" t="s">
        <v>67</v>
      </c>
      <c r="C784" t="s">
        <v>607</v>
      </c>
      <c r="D784">
        <v>3754.47</v>
      </c>
      <c r="E784" s="37" t="str">
        <f t="shared" si="60"/>
        <v xml:space="preserve"> </v>
      </c>
      <c r="F784">
        <v>0.47</v>
      </c>
      <c r="G784" s="37" t="str">
        <f t="shared" si="61"/>
        <v>Heavy Discount</v>
      </c>
      <c r="H784" s="37" t="str">
        <f t="shared" si="62"/>
        <v>High</v>
      </c>
      <c r="I784">
        <v>1</v>
      </c>
      <c r="J784" t="str" cm="1">
        <f t="array" ref="J784">_xlfn.IFS(I784&lt;=3,"small",I784&lt;=6,"Medium",I784&lt;=9,"Large")</f>
        <v>small</v>
      </c>
      <c r="K784" s="36">
        <v>45491</v>
      </c>
      <c r="L784" s="36">
        <v>45493</v>
      </c>
      <c r="M784" t="s">
        <v>598</v>
      </c>
      <c r="N784" t="s">
        <v>599</v>
      </c>
      <c r="O784" s="37" t="str">
        <f t="shared" si="63"/>
        <v>Digital Payment</v>
      </c>
      <c r="P784">
        <v>1027.81</v>
      </c>
      <c r="Q784" s="37" t="str">
        <f>IF(P784&gt;500,"High","low")</f>
        <v>High</v>
      </c>
      <c r="R784" s="37" t="str">
        <f t="shared" si="64"/>
        <v>Excellent</v>
      </c>
      <c r="S784" t="s">
        <v>615</v>
      </c>
    </row>
    <row r="785" spans="1:19" x14ac:dyDescent="0.2">
      <c r="A785" t="s">
        <v>1396</v>
      </c>
      <c r="B785" t="s">
        <v>67</v>
      </c>
      <c r="C785" t="s">
        <v>617</v>
      </c>
      <c r="D785">
        <v>513.91</v>
      </c>
      <c r="E785" s="37" t="str">
        <f t="shared" si="60"/>
        <v xml:space="preserve"> </v>
      </c>
      <c r="F785">
        <v>0.01</v>
      </c>
      <c r="G785" s="37" t="str">
        <f t="shared" si="61"/>
        <v>Normal Discount</v>
      </c>
      <c r="H785" s="37" t="str">
        <f t="shared" si="62"/>
        <v>Low</v>
      </c>
      <c r="I785">
        <v>3</v>
      </c>
      <c r="J785" t="str" cm="1">
        <f t="array" ref="J785">_xlfn.IFS(I785&lt;=3,"small",I785&lt;=6,"Medium",I785&lt;=9,"Large")</f>
        <v>small</v>
      </c>
      <c r="K785" s="36">
        <v>45435</v>
      </c>
      <c r="L785" s="36">
        <v>45439</v>
      </c>
      <c r="M785" t="s">
        <v>612</v>
      </c>
      <c r="N785" t="s">
        <v>599</v>
      </c>
      <c r="O785" s="37" t="str">
        <f t="shared" si="63"/>
        <v>Digital Payment</v>
      </c>
      <c r="P785">
        <v>90.34</v>
      </c>
      <c r="Q785" s="37" t="str">
        <f>IF(P785&gt;500,"High","low")</f>
        <v>low</v>
      </c>
      <c r="R785" s="37" t="str">
        <f t="shared" si="64"/>
        <v>AVERAGE</v>
      </c>
      <c r="S785" t="s">
        <v>605</v>
      </c>
    </row>
    <row r="786" spans="1:19" x14ac:dyDescent="0.2">
      <c r="A786" t="s">
        <v>1397</v>
      </c>
      <c r="B786" t="s">
        <v>83</v>
      </c>
      <c r="C786" t="s">
        <v>602</v>
      </c>
      <c r="D786">
        <v>3730.68</v>
      </c>
      <c r="E786" s="37" t="str">
        <f t="shared" si="60"/>
        <v xml:space="preserve"> </v>
      </c>
      <c r="F786">
        <v>0.13</v>
      </c>
      <c r="G786" s="37" t="str">
        <f t="shared" si="61"/>
        <v>Normal Discount</v>
      </c>
      <c r="H786" s="37" t="str">
        <f t="shared" si="62"/>
        <v>Low</v>
      </c>
      <c r="I786">
        <v>2</v>
      </c>
      <c r="J786" t="str" cm="1">
        <f t="array" ref="J786">_xlfn.IFS(I786&lt;=3,"small",I786&lt;=6,"Medium",I786&lt;=9,"Large")</f>
        <v>small</v>
      </c>
      <c r="K786" s="36">
        <v>45098</v>
      </c>
      <c r="L786" s="36">
        <v>45099</v>
      </c>
      <c r="M786" t="s">
        <v>612</v>
      </c>
      <c r="N786" t="s">
        <v>604</v>
      </c>
      <c r="O786" s="37" t="str">
        <f t="shared" si="63"/>
        <v>Digital Payment</v>
      </c>
      <c r="P786">
        <v>360.91</v>
      </c>
      <c r="Q786" s="37" t="str">
        <f>IF(P786&gt;500,"High","low")</f>
        <v>low</v>
      </c>
      <c r="R786" s="37" t="str">
        <f t="shared" si="64"/>
        <v>AVERAGE</v>
      </c>
      <c r="S786" t="s">
        <v>605</v>
      </c>
    </row>
    <row r="787" spans="1:19" x14ac:dyDescent="0.2">
      <c r="A787" t="s">
        <v>1398</v>
      </c>
      <c r="B787" t="s">
        <v>75</v>
      </c>
      <c r="C787" t="s">
        <v>602</v>
      </c>
      <c r="D787">
        <v>3409.46</v>
      </c>
      <c r="E787" s="37" t="str">
        <f t="shared" si="60"/>
        <v xml:space="preserve"> </v>
      </c>
      <c r="F787">
        <v>0.38</v>
      </c>
      <c r="G787" s="37" t="str">
        <f t="shared" si="61"/>
        <v>Heavy Discount</v>
      </c>
      <c r="H787" s="37" t="str">
        <f t="shared" si="62"/>
        <v>Medium</v>
      </c>
      <c r="I787">
        <v>3</v>
      </c>
      <c r="J787" t="str" cm="1">
        <f t="array" ref="J787">_xlfn.IFS(I787&lt;=3,"small",I787&lt;=6,"Medium",I787&lt;=9,"Large")</f>
        <v>small</v>
      </c>
      <c r="K787" s="36">
        <v>45417</v>
      </c>
      <c r="L787" s="36">
        <v>45423</v>
      </c>
      <c r="M787" t="s">
        <v>612</v>
      </c>
      <c r="N787" t="s">
        <v>608</v>
      </c>
      <c r="O787" s="37" t="str">
        <f t="shared" si="63"/>
        <v>Cash Payment</v>
      </c>
      <c r="P787">
        <v>367.7</v>
      </c>
      <c r="Q787" s="37" t="str">
        <f>IF(P787&gt;500,"High","low")</f>
        <v>low</v>
      </c>
      <c r="R787" s="37" t="str">
        <f t="shared" si="64"/>
        <v>AVERAGE</v>
      </c>
      <c r="S787" t="s">
        <v>600</v>
      </c>
    </row>
    <row r="788" spans="1:19" x14ac:dyDescent="0.2">
      <c r="A788" t="s">
        <v>1399</v>
      </c>
      <c r="B788" t="s">
        <v>90</v>
      </c>
      <c r="C788" t="s">
        <v>617</v>
      </c>
      <c r="D788">
        <v>1480.45</v>
      </c>
      <c r="E788" s="37" t="str">
        <f t="shared" si="60"/>
        <v xml:space="preserve"> </v>
      </c>
      <c r="F788">
        <v>0.09</v>
      </c>
      <c r="G788" s="37" t="str">
        <f t="shared" si="61"/>
        <v>Normal Discount</v>
      </c>
      <c r="H788" s="37" t="str">
        <f t="shared" si="62"/>
        <v>Low</v>
      </c>
      <c r="I788">
        <v>2</v>
      </c>
      <c r="J788" t="str" cm="1">
        <f t="array" ref="J788">_xlfn.IFS(I788&lt;=3,"small",I788&lt;=6,"Medium",I788&lt;=9,"Large")</f>
        <v>small</v>
      </c>
      <c r="K788" s="36">
        <v>45192</v>
      </c>
      <c r="L788" s="36">
        <v>45193</v>
      </c>
      <c r="M788" t="s">
        <v>612</v>
      </c>
      <c r="N788" t="s">
        <v>599</v>
      </c>
      <c r="O788" s="37" t="str">
        <f t="shared" si="63"/>
        <v>Digital Payment</v>
      </c>
      <c r="P788">
        <v>313.39999999999998</v>
      </c>
      <c r="Q788" s="37" t="str">
        <f>IF(P788&gt;500,"High","low")</f>
        <v>low</v>
      </c>
      <c r="R788" s="37" t="str">
        <f t="shared" si="64"/>
        <v>AVERAGE</v>
      </c>
      <c r="S788" t="s">
        <v>620</v>
      </c>
    </row>
    <row r="789" spans="1:19" x14ac:dyDescent="0.2">
      <c r="A789" t="s">
        <v>1400</v>
      </c>
      <c r="B789" t="s">
        <v>67</v>
      </c>
      <c r="C789" t="s">
        <v>607</v>
      </c>
      <c r="D789">
        <v>175.76</v>
      </c>
      <c r="E789" s="37" t="str">
        <f t="shared" si="60"/>
        <v xml:space="preserve"> </v>
      </c>
      <c r="F789">
        <v>0.06</v>
      </c>
      <c r="G789" s="37" t="str">
        <f t="shared" si="61"/>
        <v>Normal Discount</v>
      </c>
      <c r="H789" s="37" t="str">
        <f t="shared" si="62"/>
        <v>Low</v>
      </c>
      <c r="I789">
        <v>3</v>
      </c>
      <c r="J789" t="str" cm="1">
        <f t="array" ref="J789">_xlfn.IFS(I789&lt;=3,"small",I789&lt;=6,"Medium",I789&lt;=9,"Large")</f>
        <v>small</v>
      </c>
      <c r="K789" s="36">
        <v>45385</v>
      </c>
      <c r="L789" s="36">
        <v>45386</v>
      </c>
      <c r="M789" t="s">
        <v>612</v>
      </c>
      <c r="N789" t="s">
        <v>604</v>
      </c>
      <c r="O789" s="37" t="str">
        <f t="shared" si="63"/>
        <v>Digital Payment</v>
      </c>
      <c r="P789">
        <v>13.75</v>
      </c>
      <c r="Q789" s="37" t="str">
        <f>IF(P789&gt;500,"High","low")</f>
        <v>low</v>
      </c>
      <c r="R789" s="37" t="str">
        <f t="shared" si="64"/>
        <v>AVERAGE</v>
      </c>
      <c r="S789" t="s">
        <v>628</v>
      </c>
    </row>
    <row r="790" spans="1:19" x14ac:dyDescent="0.2">
      <c r="A790" t="s">
        <v>1401</v>
      </c>
      <c r="B790" t="s">
        <v>67</v>
      </c>
      <c r="C790" t="s">
        <v>617</v>
      </c>
      <c r="D790">
        <v>664.3</v>
      </c>
      <c r="E790" s="37" t="str">
        <f t="shared" si="60"/>
        <v xml:space="preserve"> </v>
      </c>
      <c r="F790">
        <v>0.02</v>
      </c>
      <c r="G790" s="37" t="str">
        <f t="shared" si="61"/>
        <v>Normal Discount</v>
      </c>
      <c r="H790" s="37" t="str">
        <f t="shared" si="62"/>
        <v>Low</v>
      </c>
      <c r="I790">
        <v>4</v>
      </c>
      <c r="J790" t="str" cm="1">
        <f t="array" ref="J790">_xlfn.IFS(I790&lt;=3,"small",I790&lt;=6,"Medium",I790&lt;=9,"Large")</f>
        <v>Medium</v>
      </c>
      <c r="K790" s="36">
        <v>44934</v>
      </c>
      <c r="L790" s="36">
        <v>44937</v>
      </c>
      <c r="M790" t="s">
        <v>598</v>
      </c>
      <c r="N790" t="s">
        <v>608</v>
      </c>
      <c r="O790" s="37" t="str">
        <f t="shared" si="63"/>
        <v>Cash Payment</v>
      </c>
      <c r="P790">
        <v>40.65</v>
      </c>
      <c r="Q790" s="37" t="str">
        <f>IF(P790&gt;500,"High","low")</f>
        <v>low</v>
      </c>
      <c r="R790" s="37" t="str">
        <f t="shared" si="64"/>
        <v>AVERAGE</v>
      </c>
      <c r="S790" t="s">
        <v>615</v>
      </c>
    </row>
    <row r="791" spans="1:19" x14ac:dyDescent="0.2">
      <c r="A791" t="s">
        <v>1402</v>
      </c>
      <c r="B791" t="s">
        <v>90</v>
      </c>
      <c r="C791" t="s">
        <v>602</v>
      </c>
      <c r="D791">
        <v>1324.71</v>
      </c>
      <c r="E791" s="37" t="str">
        <f t="shared" si="60"/>
        <v xml:space="preserve"> </v>
      </c>
      <c r="F791">
        <v>0.25</v>
      </c>
      <c r="G791" s="37" t="str">
        <f t="shared" si="61"/>
        <v>Normal Discount</v>
      </c>
      <c r="H791" s="37" t="str">
        <f t="shared" si="62"/>
        <v>Medium</v>
      </c>
      <c r="I791">
        <v>7</v>
      </c>
      <c r="J791" t="str" cm="1">
        <f t="array" ref="J791">_xlfn.IFS(I791&lt;=3,"small",I791&lt;=6,"Medium",I791&lt;=9,"Large")</f>
        <v>Large</v>
      </c>
      <c r="K791" s="36">
        <v>45071</v>
      </c>
      <c r="L791" s="36">
        <v>45072</v>
      </c>
      <c r="M791" t="s">
        <v>612</v>
      </c>
      <c r="N791" t="s">
        <v>604</v>
      </c>
      <c r="O791" s="37" t="str">
        <f t="shared" si="63"/>
        <v>Digital Payment</v>
      </c>
      <c r="P791">
        <v>331.01</v>
      </c>
      <c r="Q791" s="37" t="str">
        <f>IF(P791&gt;500,"High","low")</f>
        <v>low</v>
      </c>
      <c r="R791" s="37" t="str">
        <f t="shared" si="64"/>
        <v>AVERAGE</v>
      </c>
      <c r="S791" t="s">
        <v>605</v>
      </c>
    </row>
    <row r="792" spans="1:19" x14ac:dyDescent="0.2">
      <c r="A792" t="s">
        <v>1403</v>
      </c>
      <c r="B792" t="s">
        <v>83</v>
      </c>
      <c r="C792" t="s">
        <v>607</v>
      </c>
      <c r="D792">
        <v>4101.45</v>
      </c>
      <c r="E792" s="37" t="str">
        <f t="shared" si="60"/>
        <v xml:space="preserve"> </v>
      </c>
      <c r="F792">
        <v>0.38</v>
      </c>
      <c r="G792" s="37" t="str">
        <f t="shared" si="61"/>
        <v>Heavy Discount</v>
      </c>
      <c r="H792" s="37" t="str">
        <f t="shared" si="62"/>
        <v>Medium</v>
      </c>
      <c r="I792">
        <v>2</v>
      </c>
      <c r="J792" t="str" cm="1">
        <f t="array" ref="J792">_xlfn.IFS(I792&lt;=3,"small",I792&lt;=6,"Medium",I792&lt;=9,"Large")</f>
        <v>small</v>
      </c>
      <c r="K792" s="36">
        <v>45636</v>
      </c>
      <c r="L792" s="36">
        <v>45642</v>
      </c>
      <c r="M792" t="s">
        <v>612</v>
      </c>
      <c r="N792" t="s">
        <v>599</v>
      </c>
      <c r="O792" s="37" t="str">
        <f t="shared" si="63"/>
        <v>Digital Payment</v>
      </c>
      <c r="P792">
        <v>709.61</v>
      </c>
      <c r="Q792" s="37" t="str">
        <f>IF(P792&gt;500,"High","low")</f>
        <v>High</v>
      </c>
      <c r="R792" s="37" t="str">
        <f t="shared" si="64"/>
        <v>Good</v>
      </c>
      <c r="S792" t="s">
        <v>628</v>
      </c>
    </row>
    <row r="793" spans="1:19" x14ac:dyDescent="0.2">
      <c r="A793" t="s">
        <v>1404</v>
      </c>
      <c r="B793" t="s">
        <v>67</v>
      </c>
      <c r="C793" t="s">
        <v>602</v>
      </c>
      <c r="D793">
        <v>2380.0300000000002</v>
      </c>
      <c r="E793" s="37" t="str">
        <f t="shared" si="60"/>
        <v xml:space="preserve"> </v>
      </c>
      <c r="F793">
        <v>0.48</v>
      </c>
      <c r="G793" s="37" t="str">
        <f t="shared" si="61"/>
        <v>Heavy Discount</v>
      </c>
      <c r="H793" s="37" t="str">
        <f t="shared" si="62"/>
        <v>High</v>
      </c>
      <c r="I793">
        <v>2</v>
      </c>
      <c r="J793" t="str" cm="1">
        <f t="array" ref="J793">_xlfn.IFS(I793&lt;=3,"small",I793&lt;=6,"Medium",I793&lt;=9,"Large")</f>
        <v>small</v>
      </c>
      <c r="K793" s="36">
        <v>45061</v>
      </c>
      <c r="L793" s="36">
        <v>45063</v>
      </c>
      <c r="M793" t="s">
        <v>612</v>
      </c>
      <c r="N793" t="s">
        <v>604</v>
      </c>
      <c r="O793" s="37" t="str">
        <f t="shared" si="63"/>
        <v>Digital Payment</v>
      </c>
      <c r="P793">
        <v>624.72</v>
      </c>
      <c r="Q793" s="37" t="str">
        <f>IF(P793&gt;500,"High","low")</f>
        <v>High</v>
      </c>
      <c r="R793" s="37" t="str">
        <f t="shared" si="64"/>
        <v>Good</v>
      </c>
      <c r="S793" t="s">
        <v>620</v>
      </c>
    </row>
    <row r="794" spans="1:19" x14ac:dyDescent="0.2">
      <c r="A794" t="s">
        <v>1405</v>
      </c>
      <c r="B794" t="s">
        <v>75</v>
      </c>
      <c r="C794" t="s">
        <v>607</v>
      </c>
      <c r="D794">
        <v>4600.1400000000003</v>
      </c>
      <c r="E794" s="37" t="str">
        <f t="shared" si="60"/>
        <v>Excellent Order</v>
      </c>
      <c r="F794">
        <v>0.13</v>
      </c>
      <c r="G794" s="37" t="str">
        <f t="shared" si="61"/>
        <v>Normal Discount</v>
      </c>
      <c r="H794" s="37" t="str">
        <f t="shared" si="62"/>
        <v>Low</v>
      </c>
      <c r="I794">
        <v>2</v>
      </c>
      <c r="J794" t="str" cm="1">
        <f t="array" ref="J794">_xlfn.IFS(I794&lt;=3,"small",I794&lt;=6,"Medium",I794&lt;=9,"Large")</f>
        <v>small</v>
      </c>
      <c r="K794" s="36">
        <v>45563</v>
      </c>
      <c r="L794" s="36">
        <v>45564</v>
      </c>
      <c r="M794" t="s">
        <v>612</v>
      </c>
      <c r="N794" t="s">
        <v>604</v>
      </c>
      <c r="O794" s="37" t="str">
        <f t="shared" si="63"/>
        <v>Digital Payment</v>
      </c>
      <c r="P794">
        <v>1323.05</v>
      </c>
      <c r="Q794" s="37" t="str">
        <f>IF(P794&gt;500,"High","low")</f>
        <v>High</v>
      </c>
      <c r="R794" s="37" t="str">
        <f t="shared" si="64"/>
        <v>Excellent</v>
      </c>
      <c r="S794" t="s">
        <v>605</v>
      </c>
    </row>
    <row r="795" spans="1:19" x14ac:dyDescent="0.2">
      <c r="A795" t="s">
        <v>1406</v>
      </c>
      <c r="B795" t="s">
        <v>67</v>
      </c>
      <c r="C795" t="s">
        <v>607</v>
      </c>
      <c r="D795">
        <v>3966.83</v>
      </c>
      <c r="E795" s="37" t="str">
        <f t="shared" si="60"/>
        <v xml:space="preserve"> </v>
      </c>
      <c r="F795">
        <v>0.06</v>
      </c>
      <c r="G795" s="37" t="str">
        <f t="shared" si="61"/>
        <v>Normal Discount</v>
      </c>
      <c r="H795" s="37" t="str">
        <f t="shared" si="62"/>
        <v>Low</v>
      </c>
      <c r="I795">
        <v>6</v>
      </c>
      <c r="J795" t="str" cm="1">
        <f t="array" ref="J795">_xlfn.IFS(I795&lt;=3,"small",I795&lt;=6,"Medium",I795&lt;=9,"Large")</f>
        <v>Medium</v>
      </c>
      <c r="K795" s="36">
        <v>45347</v>
      </c>
      <c r="L795" s="36">
        <v>45353</v>
      </c>
      <c r="M795" t="s">
        <v>603</v>
      </c>
      <c r="N795" t="s">
        <v>599</v>
      </c>
      <c r="O795" s="37" t="str">
        <f t="shared" si="63"/>
        <v>Digital Payment</v>
      </c>
      <c r="P795">
        <v>648.84</v>
      </c>
      <c r="Q795" s="37" t="str">
        <f>IF(P795&gt;500,"High","low")</f>
        <v>High</v>
      </c>
      <c r="R795" s="37" t="str">
        <f t="shared" si="64"/>
        <v>Good</v>
      </c>
      <c r="S795" t="s">
        <v>600</v>
      </c>
    </row>
    <row r="796" spans="1:19" x14ac:dyDescent="0.2">
      <c r="A796" t="s">
        <v>1407</v>
      </c>
      <c r="B796" t="s">
        <v>75</v>
      </c>
      <c r="C796" t="s">
        <v>617</v>
      </c>
      <c r="D796">
        <v>1506.83</v>
      </c>
      <c r="E796" s="37" t="str">
        <f t="shared" si="60"/>
        <v xml:space="preserve"> </v>
      </c>
      <c r="F796">
        <v>0.2</v>
      </c>
      <c r="G796" s="37" t="str">
        <f t="shared" si="61"/>
        <v>Normal Discount</v>
      </c>
      <c r="H796" s="37" t="str">
        <f t="shared" si="62"/>
        <v>Medium</v>
      </c>
      <c r="I796">
        <v>8</v>
      </c>
      <c r="J796" t="str" cm="1">
        <f t="array" ref="J796">_xlfn.IFS(I796&lt;=3,"small",I796&lt;=6,"Medium",I796&lt;=9,"Large")</f>
        <v>Large</v>
      </c>
      <c r="K796" s="36">
        <v>44994</v>
      </c>
      <c r="L796" s="36">
        <v>44998</v>
      </c>
      <c r="M796" t="s">
        <v>598</v>
      </c>
      <c r="N796" t="s">
        <v>599</v>
      </c>
      <c r="O796" s="37" t="str">
        <f t="shared" si="63"/>
        <v>Digital Payment</v>
      </c>
      <c r="P796">
        <v>189.65</v>
      </c>
      <c r="Q796" s="37" t="str">
        <f>IF(P796&gt;500,"High","low")</f>
        <v>low</v>
      </c>
      <c r="R796" s="37" t="str">
        <f t="shared" si="64"/>
        <v>AVERAGE</v>
      </c>
      <c r="S796" t="s">
        <v>620</v>
      </c>
    </row>
    <row r="797" spans="1:19" x14ac:dyDescent="0.2">
      <c r="A797" t="s">
        <v>1408</v>
      </c>
      <c r="B797" t="s">
        <v>90</v>
      </c>
      <c r="C797" t="s">
        <v>617</v>
      </c>
      <c r="D797">
        <v>4242.2700000000004</v>
      </c>
      <c r="E797" s="37" t="str">
        <f t="shared" si="60"/>
        <v xml:space="preserve"> </v>
      </c>
      <c r="F797">
        <v>0.03</v>
      </c>
      <c r="G797" s="37" t="str">
        <f t="shared" si="61"/>
        <v>Normal Discount</v>
      </c>
      <c r="H797" s="37" t="str">
        <f t="shared" si="62"/>
        <v>Low</v>
      </c>
      <c r="I797">
        <v>4</v>
      </c>
      <c r="J797" t="str" cm="1">
        <f t="array" ref="J797">_xlfn.IFS(I797&lt;=3,"small",I797&lt;=6,"Medium",I797&lt;=9,"Large")</f>
        <v>Medium</v>
      </c>
      <c r="K797" s="36">
        <v>45502</v>
      </c>
      <c r="L797" s="36">
        <v>45505</v>
      </c>
      <c r="M797" t="s">
        <v>598</v>
      </c>
      <c r="N797" t="s">
        <v>604</v>
      </c>
      <c r="O797" s="37" t="str">
        <f t="shared" si="63"/>
        <v>Digital Payment</v>
      </c>
      <c r="P797">
        <v>604.78</v>
      </c>
      <c r="Q797" s="37" t="str">
        <f>IF(P797&gt;500,"High","low")</f>
        <v>High</v>
      </c>
      <c r="R797" s="37" t="str">
        <f t="shared" si="64"/>
        <v>Good</v>
      </c>
      <c r="S797" t="s">
        <v>609</v>
      </c>
    </row>
    <row r="798" spans="1:19" x14ac:dyDescent="0.2">
      <c r="A798" t="s">
        <v>1409</v>
      </c>
      <c r="B798" t="s">
        <v>75</v>
      </c>
      <c r="C798" t="s">
        <v>617</v>
      </c>
      <c r="D798">
        <v>671.95</v>
      </c>
      <c r="E798" s="37" t="str">
        <f t="shared" si="60"/>
        <v xml:space="preserve"> </v>
      </c>
      <c r="F798">
        <v>0.17</v>
      </c>
      <c r="G798" s="37" t="str">
        <f t="shared" si="61"/>
        <v>Normal Discount</v>
      </c>
      <c r="H798" s="37" t="str">
        <f t="shared" si="62"/>
        <v>Low</v>
      </c>
      <c r="I798">
        <v>3</v>
      </c>
      <c r="J798" t="str" cm="1">
        <f t="array" ref="J798">_xlfn.IFS(I798&lt;=3,"small",I798&lt;=6,"Medium",I798&lt;=9,"Large")</f>
        <v>small</v>
      </c>
      <c r="K798" s="36">
        <v>45180</v>
      </c>
      <c r="L798" s="36">
        <v>45182</v>
      </c>
      <c r="M798" t="s">
        <v>603</v>
      </c>
      <c r="N798" t="s">
        <v>608</v>
      </c>
      <c r="O798" s="37" t="str">
        <f t="shared" si="63"/>
        <v>Cash Payment</v>
      </c>
      <c r="P798">
        <v>183.65</v>
      </c>
      <c r="Q798" s="37" t="str">
        <f>IF(P798&gt;500,"High","low")</f>
        <v>low</v>
      </c>
      <c r="R798" s="37" t="str">
        <f t="shared" si="64"/>
        <v>AVERAGE</v>
      </c>
      <c r="S798" t="s">
        <v>600</v>
      </c>
    </row>
    <row r="799" spans="1:19" x14ac:dyDescent="0.2">
      <c r="A799" t="s">
        <v>1410</v>
      </c>
      <c r="B799" t="s">
        <v>90</v>
      </c>
      <c r="C799" t="s">
        <v>607</v>
      </c>
      <c r="D799">
        <v>276.98</v>
      </c>
      <c r="E799" s="37" t="str">
        <f t="shared" si="60"/>
        <v xml:space="preserve"> </v>
      </c>
      <c r="F799">
        <v>0.32</v>
      </c>
      <c r="G799" s="37" t="str">
        <f t="shared" si="61"/>
        <v>Heavy Discount</v>
      </c>
      <c r="H799" s="37" t="str">
        <f t="shared" si="62"/>
        <v>Medium</v>
      </c>
      <c r="I799">
        <v>9</v>
      </c>
      <c r="J799" t="str" cm="1">
        <f t="array" ref="J799">_xlfn.IFS(I799&lt;=3,"small",I799&lt;=6,"Medium",I799&lt;=9,"Large")</f>
        <v>Large</v>
      </c>
      <c r="K799" s="36">
        <v>45326</v>
      </c>
      <c r="L799" s="36">
        <v>45328</v>
      </c>
      <c r="M799" t="s">
        <v>612</v>
      </c>
      <c r="N799" t="s">
        <v>608</v>
      </c>
      <c r="O799" s="37" t="str">
        <f t="shared" si="63"/>
        <v>Cash Payment</v>
      </c>
      <c r="P799">
        <v>82.99</v>
      </c>
      <c r="Q799" s="37" t="str">
        <f>IF(P799&gt;500,"High","low")</f>
        <v>low</v>
      </c>
      <c r="R799" s="37" t="str">
        <f t="shared" si="64"/>
        <v>AVERAGE</v>
      </c>
      <c r="S799" t="s">
        <v>609</v>
      </c>
    </row>
    <row r="800" spans="1:19" x14ac:dyDescent="0.2">
      <c r="A800" t="s">
        <v>1411</v>
      </c>
      <c r="B800" t="s">
        <v>75</v>
      </c>
      <c r="C800" t="s">
        <v>607</v>
      </c>
      <c r="D800">
        <v>3081.84</v>
      </c>
      <c r="E800" s="37" t="str">
        <f t="shared" si="60"/>
        <v xml:space="preserve"> </v>
      </c>
      <c r="F800">
        <v>0.08</v>
      </c>
      <c r="G800" s="37" t="str">
        <f t="shared" si="61"/>
        <v>Normal Discount</v>
      </c>
      <c r="H800" s="37" t="str">
        <f t="shared" si="62"/>
        <v>Low</v>
      </c>
      <c r="I800">
        <v>1</v>
      </c>
      <c r="J800" t="str" cm="1">
        <f t="array" ref="J800">_xlfn.IFS(I800&lt;=3,"small",I800&lt;=6,"Medium",I800&lt;=9,"Large")</f>
        <v>small</v>
      </c>
      <c r="K800" s="36">
        <v>45282</v>
      </c>
      <c r="L800" s="36">
        <v>45286</v>
      </c>
      <c r="M800" t="s">
        <v>598</v>
      </c>
      <c r="N800" t="s">
        <v>599</v>
      </c>
      <c r="O800" s="37" t="str">
        <f t="shared" si="63"/>
        <v>Digital Payment</v>
      </c>
      <c r="P800">
        <v>447.85</v>
      </c>
      <c r="Q800" s="37" t="str">
        <f>IF(P800&gt;500,"High","low")</f>
        <v>low</v>
      </c>
      <c r="R800" s="37" t="str">
        <f t="shared" si="64"/>
        <v>AVERAGE</v>
      </c>
      <c r="S800" t="s">
        <v>620</v>
      </c>
    </row>
    <row r="801" spans="1:19" x14ac:dyDescent="0.2">
      <c r="A801" t="s">
        <v>1412</v>
      </c>
      <c r="B801" t="s">
        <v>90</v>
      </c>
      <c r="C801" t="s">
        <v>602</v>
      </c>
      <c r="D801">
        <v>1774.54</v>
      </c>
      <c r="E801" s="37" t="str">
        <f t="shared" si="60"/>
        <v xml:space="preserve"> </v>
      </c>
      <c r="F801">
        <v>0.32</v>
      </c>
      <c r="G801" s="37" t="str">
        <f t="shared" si="61"/>
        <v>Heavy Discount</v>
      </c>
      <c r="H801" s="37" t="str">
        <f t="shared" si="62"/>
        <v>Medium</v>
      </c>
      <c r="I801">
        <v>2</v>
      </c>
      <c r="J801" t="str" cm="1">
        <f t="array" ref="J801">_xlfn.IFS(I801&lt;=3,"small",I801&lt;=6,"Medium",I801&lt;=9,"Large")</f>
        <v>small</v>
      </c>
      <c r="K801" s="36">
        <v>45176</v>
      </c>
      <c r="L801" s="36">
        <v>45177</v>
      </c>
      <c r="M801" t="s">
        <v>612</v>
      </c>
      <c r="N801" t="s">
        <v>604</v>
      </c>
      <c r="O801" s="37" t="str">
        <f t="shared" si="63"/>
        <v>Digital Payment</v>
      </c>
      <c r="P801">
        <v>516.63</v>
      </c>
      <c r="Q801" s="37" t="str">
        <f>IF(P801&gt;500,"High","low")</f>
        <v>High</v>
      </c>
      <c r="R801" s="37" t="str">
        <f t="shared" si="64"/>
        <v>Good</v>
      </c>
      <c r="S801" t="s">
        <v>600</v>
      </c>
    </row>
    <row r="802" spans="1:19" x14ac:dyDescent="0.2">
      <c r="A802" t="s">
        <v>1413</v>
      </c>
      <c r="B802" t="s">
        <v>75</v>
      </c>
      <c r="C802" t="s">
        <v>597</v>
      </c>
      <c r="D802">
        <v>1714.19</v>
      </c>
      <c r="E802" s="37" t="str">
        <f t="shared" si="60"/>
        <v xml:space="preserve"> </v>
      </c>
      <c r="F802">
        <v>0.49</v>
      </c>
      <c r="G802" s="37" t="str">
        <f t="shared" si="61"/>
        <v>Heavy Discount</v>
      </c>
      <c r="H802" s="37" t="str">
        <f t="shared" si="62"/>
        <v>High</v>
      </c>
      <c r="I802">
        <v>7</v>
      </c>
      <c r="J802" t="str" cm="1">
        <f t="array" ref="J802">_xlfn.IFS(I802&lt;=3,"small",I802&lt;=6,"Medium",I802&lt;=9,"Large")</f>
        <v>Large</v>
      </c>
      <c r="K802" s="36">
        <v>45090</v>
      </c>
      <c r="L802" s="36">
        <v>45096</v>
      </c>
      <c r="M802" t="s">
        <v>603</v>
      </c>
      <c r="N802" t="s">
        <v>599</v>
      </c>
      <c r="O802" s="37" t="str">
        <f t="shared" si="63"/>
        <v>Digital Payment</v>
      </c>
      <c r="P802">
        <v>302.3</v>
      </c>
      <c r="Q802" s="37" t="str">
        <f>IF(P802&gt;500,"High","low")</f>
        <v>low</v>
      </c>
      <c r="R802" s="37" t="str">
        <f t="shared" si="64"/>
        <v>AVERAGE</v>
      </c>
      <c r="S802" t="s">
        <v>620</v>
      </c>
    </row>
    <row r="803" spans="1:19" x14ac:dyDescent="0.2">
      <c r="A803" t="s">
        <v>1414</v>
      </c>
      <c r="B803" t="s">
        <v>83</v>
      </c>
      <c r="C803" t="s">
        <v>617</v>
      </c>
      <c r="D803">
        <v>3467.32</v>
      </c>
      <c r="E803" s="37" t="str">
        <f t="shared" si="60"/>
        <v xml:space="preserve"> </v>
      </c>
      <c r="F803">
        <v>0.43</v>
      </c>
      <c r="G803" s="37" t="str">
        <f t="shared" si="61"/>
        <v>Heavy Discount</v>
      </c>
      <c r="H803" s="37" t="str">
        <f t="shared" si="62"/>
        <v>High</v>
      </c>
      <c r="I803">
        <v>3</v>
      </c>
      <c r="J803" t="str" cm="1">
        <f t="array" ref="J803">_xlfn.IFS(I803&lt;=3,"small",I803&lt;=6,"Medium",I803&lt;=9,"Large")</f>
        <v>small</v>
      </c>
      <c r="K803" s="36">
        <v>45193</v>
      </c>
      <c r="L803" s="36">
        <v>45196</v>
      </c>
      <c r="M803" t="s">
        <v>598</v>
      </c>
      <c r="N803" t="s">
        <v>608</v>
      </c>
      <c r="O803" s="37" t="str">
        <f t="shared" si="63"/>
        <v>Cash Payment</v>
      </c>
      <c r="P803">
        <v>205.13</v>
      </c>
      <c r="Q803" s="37" t="str">
        <f>IF(P803&gt;500,"High","low")</f>
        <v>low</v>
      </c>
      <c r="R803" s="37" t="str">
        <f t="shared" si="64"/>
        <v>AVERAGE</v>
      </c>
      <c r="S803" t="s">
        <v>628</v>
      </c>
    </row>
    <row r="804" spans="1:19" x14ac:dyDescent="0.2">
      <c r="A804" t="s">
        <v>1415</v>
      </c>
      <c r="B804" t="s">
        <v>75</v>
      </c>
      <c r="C804" t="s">
        <v>602</v>
      </c>
      <c r="D804">
        <v>4265.51</v>
      </c>
      <c r="E804" s="37" t="str">
        <f t="shared" si="60"/>
        <v xml:space="preserve"> </v>
      </c>
      <c r="F804">
        <v>0.18</v>
      </c>
      <c r="G804" s="37" t="str">
        <f t="shared" si="61"/>
        <v>Normal Discount</v>
      </c>
      <c r="H804" s="37" t="str">
        <f t="shared" si="62"/>
        <v>Low</v>
      </c>
      <c r="I804">
        <v>9</v>
      </c>
      <c r="J804" t="str" cm="1">
        <f t="array" ref="J804">_xlfn.IFS(I804&lt;=3,"small",I804&lt;=6,"Medium",I804&lt;=9,"Large")</f>
        <v>Large</v>
      </c>
      <c r="K804" s="36">
        <v>45310</v>
      </c>
      <c r="L804" s="36">
        <v>45316</v>
      </c>
      <c r="M804" t="s">
        <v>598</v>
      </c>
      <c r="N804" t="s">
        <v>599</v>
      </c>
      <c r="O804" s="37" t="str">
        <f t="shared" si="63"/>
        <v>Digital Payment</v>
      </c>
      <c r="P804">
        <v>429.3</v>
      </c>
      <c r="Q804" s="37" t="str">
        <f>IF(P804&gt;500,"High","low")</f>
        <v>low</v>
      </c>
      <c r="R804" s="37" t="str">
        <f t="shared" si="64"/>
        <v>AVERAGE</v>
      </c>
      <c r="S804" t="s">
        <v>628</v>
      </c>
    </row>
    <row r="805" spans="1:19" x14ac:dyDescent="0.2">
      <c r="A805" t="s">
        <v>1416</v>
      </c>
      <c r="B805" t="s">
        <v>75</v>
      </c>
      <c r="C805" t="s">
        <v>602</v>
      </c>
      <c r="D805">
        <v>1678.66</v>
      </c>
      <c r="E805" s="37" t="str">
        <f t="shared" si="60"/>
        <v xml:space="preserve"> </v>
      </c>
      <c r="F805">
        <v>0.21</v>
      </c>
      <c r="G805" s="37" t="str">
        <f t="shared" si="61"/>
        <v>Normal Discount</v>
      </c>
      <c r="H805" s="37" t="str">
        <f t="shared" si="62"/>
        <v>Medium</v>
      </c>
      <c r="I805">
        <v>1</v>
      </c>
      <c r="J805" t="str" cm="1">
        <f t="array" ref="J805">_xlfn.IFS(I805&lt;=3,"small",I805&lt;=6,"Medium",I805&lt;=9,"Large")</f>
        <v>small</v>
      </c>
      <c r="K805" s="36">
        <v>45311</v>
      </c>
      <c r="L805" s="36">
        <v>45318</v>
      </c>
      <c r="M805" t="s">
        <v>612</v>
      </c>
      <c r="N805" t="s">
        <v>604</v>
      </c>
      <c r="O805" s="37" t="str">
        <f t="shared" si="63"/>
        <v>Digital Payment</v>
      </c>
      <c r="P805">
        <v>246.45</v>
      </c>
      <c r="Q805" s="37" t="str">
        <f>IF(P805&gt;500,"High","low")</f>
        <v>low</v>
      </c>
      <c r="R805" s="37" t="str">
        <f t="shared" si="64"/>
        <v>AVERAGE</v>
      </c>
      <c r="S805" t="s">
        <v>615</v>
      </c>
    </row>
    <row r="806" spans="1:19" x14ac:dyDescent="0.2">
      <c r="A806" t="s">
        <v>1417</v>
      </c>
      <c r="B806" t="s">
        <v>83</v>
      </c>
      <c r="C806" t="s">
        <v>614</v>
      </c>
      <c r="D806">
        <v>1692.57</v>
      </c>
      <c r="E806" s="37" t="str">
        <f t="shared" si="60"/>
        <v xml:space="preserve"> </v>
      </c>
      <c r="F806">
        <v>0.21</v>
      </c>
      <c r="G806" s="37" t="str">
        <f t="shared" si="61"/>
        <v>Normal Discount</v>
      </c>
      <c r="H806" s="37" t="str">
        <f t="shared" si="62"/>
        <v>Medium</v>
      </c>
      <c r="I806">
        <v>9</v>
      </c>
      <c r="J806" t="str" cm="1">
        <f t="array" ref="J806">_xlfn.IFS(I806&lt;=3,"small",I806&lt;=6,"Medium",I806&lt;=9,"Large")</f>
        <v>Large</v>
      </c>
      <c r="K806" s="36">
        <v>45191</v>
      </c>
      <c r="L806" s="36">
        <v>45194</v>
      </c>
      <c r="M806" t="s">
        <v>603</v>
      </c>
      <c r="N806" t="s">
        <v>599</v>
      </c>
      <c r="O806" s="37" t="str">
        <f t="shared" si="63"/>
        <v>Digital Payment</v>
      </c>
      <c r="P806">
        <v>234.47</v>
      </c>
      <c r="Q806" s="37" t="str">
        <f>IF(P806&gt;500,"High","low")</f>
        <v>low</v>
      </c>
      <c r="R806" s="37" t="str">
        <f t="shared" si="64"/>
        <v>AVERAGE</v>
      </c>
      <c r="S806" t="s">
        <v>620</v>
      </c>
    </row>
    <row r="807" spans="1:19" x14ac:dyDescent="0.2">
      <c r="A807" t="s">
        <v>1418</v>
      </c>
      <c r="B807" t="s">
        <v>67</v>
      </c>
      <c r="C807" t="s">
        <v>617</v>
      </c>
      <c r="D807">
        <v>2715.87</v>
      </c>
      <c r="E807" s="37" t="str">
        <f t="shared" si="60"/>
        <v xml:space="preserve"> </v>
      </c>
      <c r="F807">
        <v>0.43</v>
      </c>
      <c r="G807" s="37" t="str">
        <f t="shared" si="61"/>
        <v>Heavy Discount</v>
      </c>
      <c r="H807" s="37" t="str">
        <f t="shared" si="62"/>
        <v>High</v>
      </c>
      <c r="I807">
        <v>6</v>
      </c>
      <c r="J807" t="str" cm="1">
        <f t="array" ref="J807">_xlfn.IFS(I807&lt;=3,"small",I807&lt;=6,"Medium",I807&lt;=9,"Large")</f>
        <v>Medium</v>
      </c>
      <c r="K807" s="36">
        <v>45463</v>
      </c>
      <c r="L807" s="36">
        <v>45470</v>
      </c>
      <c r="M807" t="s">
        <v>598</v>
      </c>
      <c r="N807" t="s">
        <v>608</v>
      </c>
      <c r="O807" s="37" t="str">
        <f t="shared" si="63"/>
        <v>Cash Payment</v>
      </c>
      <c r="P807">
        <v>687.86</v>
      </c>
      <c r="Q807" s="37" t="str">
        <f>IF(P807&gt;500,"High","low")</f>
        <v>High</v>
      </c>
      <c r="R807" s="37" t="str">
        <f t="shared" si="64"/>
        <v>Good</v>
      </c>
      <c r="S807" t="s">
        <v>609</v>
      </c>
    </row>
    <row r="808" spans="1:19" x14ac:dyDescent="0.2">
      <c r="A808" t="s">
        <v>1419</v>
      </c>
      <c r="B808" t="s">
        <v>67</v>
      </c>
      <c r="C808" t="s">
        <v>602</v>
      </c>
      <c r="D808">
        <v>3300.6</v>
      </c>
      <c r="E808" s="37" t="str">
        <f t="shared" si="60"/>
        <v xml:space="preserve"> </v>
      </c>
      <c r="F808">
        <v>0.5</v>
      </c>
      <c r="G808" s="37" t="str">
        <f t="shared" si="61"/>
        <v>Heavy Discount</v>
      </c>
      <c r="H808" s="37" t="str">
        <f t="shared" si="62"/>
        <v>High</v>
      </c>
      <c r="I808">
        <v>1</v>
      </c>
      <c r="J808" t="str" cm="1">
        <f t="array" ref="J808">_xlfn.IFS(I808&lt;=3,"small",I808&lt;=6,"Medium",I808&lt;=9,"Large")</f>
        <v>small</v>
      </c>
      <c r="K808" s="36">
        <v>45542</v>
      </c>
      <c r="L808" s="36">
        <v>45545</v>
      </c>
      <c r="M808" t="s">
        <v>612</v>
      </c>
      <c r="N808" t="s">
        <v>604</v>
      </c>
      <c r="O808" s="37" t="str">
        <f t="shared" si="63"/>
        <v>Digital Payment</v>
      </c>
      <c r="P808">
        <v>814.77</v>
      </c>
      <c r="Q808" s="37" t="str">
        <f>IF(P808&gt;500,"High","low")</f>
        <v>High</v>
      </c>
      <c r="R808" s="37" t="str">
        <f t="shared" si="64"/>
        <v>Good</v>
      </c>
      <c r="S808" t="s">
        <v>615</v>
      </c>
    </row>
    <row r="809" spans="1:19" x14ac:dyDescent="0.2">
      <c r="A809" t="s">
        <v>1420</v>
      </c>
      <c r="B809" t="s">
        <v>75</v>
      </c>
      <c r="C809" t="s">
        <v>614</v>
      </c>
      <c r="D809">
        <v>1094.24</v>
      </c>
      <c r="E809" s="37" t="str">
        <f t="shared" si="60"/>
        <v xml:space="preserve"> </v>
      </c>
      <c r="F809">
        <v>0.41</v>
      </c>
      <c r="G809" s="37" t="str">
        <f t="shared" si="61"/>
        <v>Heavy Discount</v>
      </c>
      <c r="H809" s="37" t="str">
        <f t="shared" si="62"/>
        <v>High</v>
      </c>
      <c r="I809">
        <v>9</v>
      </c>
      <c r="J809" t="str" cm="1">
        <f t="array" ref="J809">_xlfn.IFS(I809&lt;=3,"small",I809&lt;=6,"Medium",I809&lt;=9,"Large")</f>
        <v>Large</v>
      </c>
      <c r="K809" s="36">
        <v>45496</v>
      </c>
      <c r="L809" s="36">
        <v>45498</v>
      </c>
      <c r="M809" t="s">
        <v>612</v>
      </c>
      <c r="N809" t="s">
        <v>608</v>
      </c>
      <c r="O809" s="37" t="str">
        <f t="shared" si="63"/>
        <v>Cash Payment</v>
      </c>
      <c r="P809">
        <v>89.25</v>
      </c>
      <c r="Q809" s="37" t="str">
        <f>IF(P809&gt;500,"High","low")</f>
        <v>low</v>
      </c>
      <c r="R809" s="37" t="str">
        <f t="shared" si="64"/>
        <v>AVERAGE</v>
      </c>
      <c r="S809" t="s">
        <v>600</v>
      </c>
    </row>
    <row r="810" spans="1:19" x14ac:dyDescent="0.2">
      <c r="A810" t="s">
        <v>1421</v>
      </c>
      <c r="B810" t="s">
        <v>83</v>
      </c>
      <c r="C810" t="s">
        <v>617</v>
      </c>
      <c r="D810">
        <v>4572.13</v>
      </c>
      <c r="E810" s="37" t="str">
        <f t="shared" si="60"/>
        <v xml:space="preserve"> </v>
      </c>
      <c r="F810">
        <v>0.28000000000000003</v>
      </c>
      <c r="G810" s="37" t="str">
        <f t="shared" si="61"/>
        <v>Normal Discount</v>
      </c>
      <c r="H810" s="37" t="str">
        <f t="shared" si="62"/>
        <v>Medium</v>
      </c>
      <c r="I810">
        <v>9</v>
      </c>
      <c r="J810" t="str" cm="1">
        <f t="array" ref="J810">_xlfn.IFS(I810&lt;=3,"small",I810&lt;=6,"Medium",I810&lt;=9,"Large")</f>
        <v>Large</v>
      </c>
      <c r="K810" s="36">
        <v>44950</v>
      </c>
      <c r="L810" s="36">
        <v>44954</v>
      </c>
      <c r="M810" t="s">
        <v>612</v>
      </c>
      <c r="N810" t="s">
        <v>604</v>
      </c>
      <c r="O810" s="37" t="str">
        <f t="shared" si="63"/>
        <v>Digital Payment</v>
      </c>
      <c r="P810">
        <v>293.63</v>
      </c>
      <c r="Q810" s="37" t="str">
        <f>IF(P810&gt;500,"High","low")</f>
        <v>low</v>
      </c>
      <c r="R810" s="37" t="str">
        <f t="shared" si="64"/>
        <v>AVERAGE</v>
      </c>
      <c r="S810" t="s">
        <v>609</v>
      </c>
    </row>
    <row r="811" spans="1:19" x14ac:dyDescent="0.2">
      <c r="A811" t="s">
        <v>1422</v>
      </c>
      <c r="B811" t="s">
        <v>75</v>
      </c>
      <c r="C811" t="s">
        <v>607</v>
      </c>
      <c r="D811">
        <v>3306.64</v>
      </c>
      <c r="E811" s="37" t="str">
        <f t="shared" si="60"/>
        <v xml:space="preserve"> </v>
      </c>
      <c r="F811">
        <v>0.05</v>
      </c>
      <c r="G811" s="37" t="str">
        <f t="shared" si="61"/>
        <v>Normal Discount</v>
      </c>
      <c r="H811" s="37" t="str">
        <f t="shared" si="62"/>
        <v>Low</v>
      </c>
      <c r="I811">
        <v>5</v>
      </c>
      <c r="J811" t="str" cm="1">
        <f t="array" ref="J811">_xlfn.IFS(I811&lt;=3,"small",I811&lt;=6,"Medium",I811&lt;=9,"Large")</f>
        <v>Medium</v>
      </c>
      <c r="K811" s="36">
        <v>45510</v>
      </c>
      <c r="L811" s="36">
        <v>45512</v>
      </c>
      <c r="M811" t="s">
        <v>612</v>
      </c>
      <c r="N811" t="s">
        <v>608</v>
      </c>
      <c r="O811" s="37" t="str">
        <f t="shared" si="63"/>
        <v>Cash Payment</v>
      </c>
      <c r="P811">
        <v>752.14</v>
      </c>
      <c r="Q811" s="37" t="str">
        <f>IF(P811&gt;500,"High","low")</f>
        <v>High</v>
      </c>
      <c r="R811" s="37" t="str">
        <f t="shared" si="64"/>
        <v>Good</v>
      </c>
      <c r="S811" t="s">
        <v>628</v>
      </c>
    </row>
    <row r="812" spans="1:19" x14ac:dyDescent="0.2">
      <c r="A812" t="s">
        <v>1423</v>
      </c>
      <c r="B812" t="s">
        <v>90</v>
      </c>
      <c r="C812" t="s">
        <v>614</v>
      </c>
      <c r="D812">
        <v>3163.29</v>
      </c>
      <c r="E812" s="37" t="str">
        <f t="shared" si="60"/>
        <v xml:space="preserve"> </v>
      </c>
      <c r="F812">
        <v>0.48</v>
      </c>
      <c r="G812" s="37" t="str">
        <f t="shared" si="61"/>
        <v>Heavy Discount</v>
      </c>
      <c r="H812" s="37" t="str">
        <f t="shared" si="62"/>
        <v>High</v>
      </c>
      <c r="I812">
        <v>7</v>
      </c>
      <c r="J812" t="str" cm="1">
        <f t="array" ref="J812">_xlfn.IFS(I812&lt;=3,"small",I812&lt;=6,"Medium",I812&lt;=9,"Large")</f>
        <v>Large</v>
      </c>
      <c r="K812" s="36">
        <v>45298</v>
      </c>
      <c r="L812" s="36">
        <v>45299</v>
      </c>
      <c r="M812" t="s">
        <v>603</v>
      </c>
      <c r="N812" t="s">
        <v>608</v>
      </c>
      <c r="O812" s="37" t="str">
        <f t="shared" si="63"/>
        <v>Cash Payment</v>
      </c>
      <c r="P812">
        <v>494.75</v>
      </c>
      <c r="Q812" s="37" t="str">
        <f>IF(P812&gt;500,"High","low")</f>
        <v>low</v>
      </c>
      <c r="R812" s="37" t="str">
        <f t="shared" si="64"/>
        <v>AVERAGE</v>
      </c>
      <c r="S812" t="s">
        <v>605</v>
      </c>
    </row>
    <row r="813" spans="1:19" x14ac:dyDescent="0.2">
      <c r="A813" t="s">
        <v>1424</v>
      </c>
      <c r="B813" t="s">
        <v>90</v>
      </c>
      <c r="C813" t="s">
        <v>607</v>
      </c>
      <c r="D813">
        <v>4530.5600000000004</v>
      </c>
      <c r="E813" s="37" t="str">
        <f t="shared" si="60"/>
        <v xml:space="preserve"> </v>
      </c>
      <c r="F813">
        <v>0.43</v>
      </c>
      <c r="G813" s="37" t="str">
        <f t="shared" si="61"/>
        <v>Heavy Discount</v>
      </c>
      <c r="H813" s="37" t="str">
        <f t="shared" si="62"/>
        <v>High</v>
      </c>
      <c r="I813">
        <v>3</v>
      </c>
      <c r="J813" t="str" cm="1">
        <f t="array" ref="J813">_xlfn.IFS(I813&lt;=3,"small",I813&lt;=6,"Medium",I813&lt;=9,"Large")</f>
        <v>small</v>
      </c>
      <c r="K813" s="36">
        <v>45531</v>
      </c>
      <c r="L813" s="36">
        <v>45538</v>
      </c>
      <c r="M813" t="s">
        <v>598</v>
      </c>
      <c r="N813" t="s">
        <v>604</v>
      </c>
      <c r="O813" s="37" t="str">
        <f t="shared" si="63"/>
        <v>Digital Payment</v>
      </c>
      <c r="P813">
        <v>420.98</v>
      </c>
      <c r="Q813" s="37" t="str">
        <f>IF(P813&gt;500,"High","low")</f>
        <v>low</v>
      </c>
      <c r="R813" s="37" t="str">
        <f t="shared" si="64"/>
        <v>AVERAGE</v>
      </c>
      <c r="S813" t="s">
        <v>605</v>
      </c>
    </row>
    <row r="814" spans="1:19" x14ac:dyDescent="0.2">
      <c r="A814" t="s">
        <v>1425</v>
      </c>
      <c r="B814" t="s">
        <v>75</v>
      </c>
      <c r="C814" t="s">
        <v>597</v>
      </c>
      <c r="D814">
        <v>4545.6000000000004</v>
      </c>
      <c r="E814" s="37" t="str">
        <f t="shared" si="60"/>
        <v xml:space="preserve"> </v>
      </c>
      <c r="F814">
        <v>0.42</v>
      </c>
      <c r="G814" s="37" t="str">
        <f t="shared" si="61"/>
        <v>Heavy Discount</v>
      </c>
      <c r="H814" s="37" t="str">
        <f t="shared" si="62"/>
        <v>High</v>
      </c>
      <c r="I814">
        <v>8</v>
      </c>
      <c r="J814" t="str" cm="1">
        <f t="array" ref="J814">_xlfn.IFS(I814&lt;=3,"small",I814&lt;=6,"Medium",I814&lt;=9,"Large")</f>
        <v>Large</v>
      </c>
      <c r="K814" s="36">
        <v>45053</v>
      </c>
      <c r="L814" s="36">
        <v>45058</v>
      </c>
      <c r="M814" t="s">
        <v>612</v>
      </c>
      <c r="N814" t="s">
        <v>599</v>
      </c>
      <c r="O814" s="37" t="str">
        <f t="shared" si="63"/>
        <v>Digital Payment</v>
      </c>
      <c r="P814">
        <v>325.45999999999998</v>
      </c>
      <c r="Q814" s="37" t="str">
        <f>IF(P814&gt;500,"High","low")</f>
        <v>low</v>
      </c>
      <c r="R814" s="37" t="str">
        <f t="shared" si="64"/>
        <v>AVERAGE</v>
      </c>
      <c r="S814" t="s">
        <v>609</v>
      </c>
    </row>
    <row r="815" spans="1:19" x14ac:dyDescent="0.2">
      <c r="A815" t="s">
        <v>1426</v>
      </c>
      <c r="B815" t="s">
        <v>67</v>
      </c>
      <c r="C815" t="s">
        <v>597</v>
      </c>
      <c r="D815">
        <v>764.2</v>
      </c>
      <c r="E815" s="37" t="str">
        <f t="shared" si="60"/>
        <v xml:space="preserve"> </v>
      </c>
      <c r="F815">
        <v>0.2</v>
      </c>
      <c r="G815" s="37" t="str">
        <f t="shared" si="61"/>
        <v>Normal Discount</v>
      </c>
      <c r="H815" s="37" t="str">
        <f t="shared" si="62"/>
        <v>Medium</v>
      </c>
      <c r="I815">
        <v>3</v>
      </c>
      <c r="J815" t="str" cm="1">
        <f t="array" ref="J815">_xlfn.IFS(I815&lt;=3,"small",I815&lt;=6,"Medium",I815&lt;=9,"Large")</f>
        <v>small</v>
      </c>
      <c r="K815" s="36">
        <v>45100</v>
      </c>
      <c r="L815" s="36">
        <v>45103</v>
      </c>
      <c r="M815" t="s">
        <v>603</v>
      </c>
      <c r="N815" t="s">
        <v>604</v>
      </c>
      <c r="O815" s="37" t="str">
        <f t="shared" si="63"/>
        <v>Digital Payment</v>
      </c>
      <c r="P815">
        <v>79.12</v>
      </c>
      <c r="Q815" s="37" t="str">
        <f>IF(P815&gt;500,"High","low")</f>
        <v>low</v>
      </c>
      <c r="R815" s="37" t="str">
        <f t="shared" si="64"/>
        <v>AVERAGE</v>
      </c>
      <c r="S815" t="s">
        <v>609</v>
      </c>
    </row>
    <row r="816" spans="1:19" x14ac:dyDescent="0.2">
      <c r="A816" t="s">
        <v>1427</v>
      </c>
      <c r="B816" t="s">
        <v>67</v>
      </c>
      <c r="C816" t="s">
        <v>597</v>
      </c>
      <c r="D816">
        <v>810.87</v>
      </c>
      <c r="E816" s="37" t="str">
        <f t="shared" si="60"/>
        <v xml:space="preserve"> </v>
      </c>
      <c r="F816">
        <v>0.22</v>
      </c>
      <c r="G816" s="37" t="str">
        <f t="shared" si="61"/>
        <v>Normal Discount</v>
      </c>
      <c r="H816" s="37" t="str">
        <f t="shared" si="62"/>
        <v>Medium</v>
      </c>
      <c r="I816">
        <v>7</v>
      </c>
      <c r="J816" t="str" cm="1">
        <f t="array" ref="J816">_xlfn.IFS(I816&lt;=3,"small",I816&lt;=6,"Medium",I816&lt;=9,"Large")</f>
        <v>Large</v>
      </c>
      <c r="K816" s="36">
        <v>44944</v>
      </c>
      <c r="L816" s="36">
        <v>44947</v>
      </c>
      <c r="M816" t="s">
        <v>598</v>
      </c>
      <c r="N816" t="s">
        <v>608</v>
      </c>
      <c r="O816" s="37" t="str">
        <f t="shared" si="63"/>
        <v>Cash Payment</v>
      </c>
      <c r="P816">
        <v>234.8</v>
      </c>
      <c r="Q816" s="37" t="str">
        <f>IF(P816&gt;500,"High","low")</f>
        <v>low</v>
      </c>
      <c r="R816" s="37" t="str">
        <f t="shared" si="64"/>
        <v>AVERAGE</v>
      </c>
      <c r="S816" t="s">
        <v>615</v>
      </c>
    </row>
    <row r="817" spans="1:19" x14ac:dyDescent="0.2">
      <c r="A817" t="s">
        <v>1428</v>
      </c>
      <c r="B817" t="s">
        <v>75</v>
      </c>
      <c r="C817" t="s">
        <v>597</v>
      </c>
      <c r="D817">
        <v>3833.55</v>
      </c>
      <c r="E817" s="37" t="str">
        <f t="shared" si="60"/>
        <v xml:space="preserve"> </v>
      </c>
      <c r="F817">
        <v>0.06</v>
      </c>
      <c r="G817" s="37" t="str">
        <f t="shared" si="61"/>
        <v>Normal Discount</v>
      </c>
      <c r="H817" s="37" t="str">
        <f t="shared" si="62"/>
        <v>Low</v>
      </c>
      <c r="I817">
        <v>4</v>
      </c>
      <c r="J817" t="str" cm="1">
        <f t="array" ref="J817">_xlfn.IFS(I817&lt;=3,"small",I817&lt;=6,"Medium",I817&lt;=9,"Large")</f>
        <v>Medium</v>
      </c>
      <c r="K817" s="36">
        <v>45377</v>
      </c>
      <c r="L817" s="36">
        <v>45380</v>
      </c>
      <c r="M817" t="s">
        <v>598</v>
      </c>
      <c r="N817" t="s">
        <v>604</v>
      </c>
      <c r="O817" s="37" t="str">
        <f t="shared" si="63"/>
        <v>Digital Payment</v>
      </c>
      <c r="P817">
        <v>275.10000000000002</v>
      </c>
      <c r="Q817" s="37" t="str">
        <f>IF(P817&gt;500,"High","low")</f>
        <v>low</v>
      </c>
      <c r="R817" s="37" t="str">
        <f t="shared" si="64"/>
        <v>AVERAGE</v>
      </c>
      <c r="S817" t="s">
        <v>620</v>
      </c>
    </row>
    <row r="818" spans="1:19" x14ac:dyDescent="0.2">
      <c r="A818" t="s">
        <v>1429</v>
      </c>
      <c r="B818" t="s">
        <v>75</v>
      </c>
      <c r="C818" t="s">
        <v>602</v>
      </c>
      <c r="D818">
        <v>4788.71</v>
      </c>
      <c r="E818" s="37" t="str">
        <f t="shared" si="60"/>
        <v>Excellent Order</v>
      </c>
      <c r="F818">
        <v>0.47</v>
      </c>
      <c r="G818" s="37" t="str">
        <f t="shared" si="61"/>
        <v>Heavy Discount</v>
      </c>
      <c r="H818" s="37" t="str">
        <f t="shared" si="62"/>
        <v>High</v>
      </c>
      <c r="I818">
        <v>5</v>
      </c>
      <c r="J818" t="str" cm="1">
        <f t="array" ref="J818">_xlfn.IFS(I818&lt;=3,"small",I818&lt;=6,"Medium",I818&lt;=9,"Large")</f>
        <v>Medium</v>
      </c>
      <c r="K818" s="36">
        <v>44989</v>
      </c>
      <c r="L818" s="36">
        <v>44991</v>
      </c>
      <c r="M818" t="s">
        <v>612</v>
      </c>
      <c r="N818" t="s">
        <v>604</v>
      </c>
      <c r="O818" s="37" t="str">
        <f t="shared" si="63"/>
        <v>Digital Payment</v>
      </c>
      <c r="P818">
        <v>898.79</v>
      </c>
      <c r="Q818" s="37" t="str">
        <f>IF(P818&gt;500,"High","low")</f>
        <v>High</v>
      </c>
      <c r="R818" s="37" t="str">
        <f t="shared" si="64"/>
        <v>Good</v>
      </c>
      <c r="S818" t="s">
        <v>628</v>
      </c>
    </row>
    <row r="819" spans="1:19" x14ac:dyDescent="0.2">
      <c r="A819" t="s">
        <v>1430</v>
      </c>
      <c r="B819" t="s">
        <v>90</v>
      </c>
      <c r="C819" t="s">
        <v>597</v>
      </c>
      <c r="D819">
        <v>3365.92</v>
      </c>
      <c r="E819" s="37" t="str">
        <f t="shared" si="60"/>
        <v xml:space="preserve"> </v>
      </c>
      <c r="F819">
        <v>0.47</v>
      </c>
      <c r="G819" s="37" t="str">
        <f t="shared" si="61"/>
        <v>Heavy Discount</v>
      </c>
      <c r="H819" s="37" t="str">
        <f t="shared" si="62"/>
        <v>High</v>
      </c>
      <c r="I819">
        <v>7</v>
      </c>
      <c r="J819" t="str" cm="1">
        <f t="array" ref="J819">_xlfn.IFS(I819&lt;=3,"small",I819&lt;=6,"Medium",I819&lt;=9,"Large")</f>
        <v>Large</v>
      </c>
      <c r="K819" s="36">
        <v>45549</v>
      </c>
      <c r="L819" s="36">
        <v>45552</v>
      </c>
      <c r="M819" t="s">
        <v>598</v>
      </c>
      <c r="N819" t="s">
        <v>599</v>
      </c>
      <c r="O819" s="37" t="str">
        <f t="shared" si="63"/>
        <v>Digital Payment</v>
      </c>
      <c r="P819">
        <v>190.33</v>
      </c>
      <c r="Q819" s="37" t="str">
        <f>IF(P819&gt;500,"High","low")</f>
        <v>low</v>
      </c>
      <c r="R819" s="37" t="str">
        <f t="shared" si="64"/>
        <v>AVERAGE</v>
      </c>
      <c r="S819" t="s">
        <v>600</v>
      </c>
    </row>
    <row r="820" spans="1:19" x14ac:dyDescent="0.2">
      <c r="A820" t="s">
        <v>1431</v>
      </c>
      <c r="B820" t="s">
        <v>67</v>
      </c>
      <c r="C820" t="s">
        <v>602</v>
      </c>
      <c r="D820">
        <v>2115.4499999999998</v>
      </c>
      <c r="E820" s="37" t="str">
        <f t="shared" si="60"/>
        <v xml:space="preserve"> </v>
      </c>
      <c r="F820">
        <v>0.13</v>
      </c>
      <c r="G820" s="37" t="str">
        <f t="shared" si="61"/>
        <v>Normal Discount</v>
      </c>
      <c r="H820" s="37" t="str">
        <f t="shared" si="62"/>
        <v>Low</v>
      </c>
      <c r="I820">
        <v>2</v>
      </c>
      <c r="J820" t="str" cm="1">
        <f t="array" ref="J820">_xlfn.IFS(I820&lt;=3,"small",I820&lt;=6,"Medium",I820&lt;=9,"Large")</f>
        <v>small</v>
      </c>
      <c r="K820" s="36">
        <v>45078</v>
      </c>
      <c r="L820" s="36">
        <v>45081</v>
      </c>
      <c r="M820" t="s">
        <v>612</v>
      </c>
      <c r="N820" t="s">
        <v>608</v>
      </c>
      <c r="O820" s="37" t="str">
        <f t="shared" si="63"/>
        <v>Cash Payment</v>
      </c>
      <c r="P820">
        <v>583.54</v>
      </c>
      <c r="Q820" s="37" t="str">
        <f>IF(P820&gt;500,"High","low")</f>
        <v>High</v>
      </c>
      <c r="R820" s="37" t="str">
        <f t="shared" si="64"/>
        <v>Good</v>
      </c>
      <c r="S820" t="s">
        <v>605</v>
      </c>
    </row>
    <row r="821" spans="1:19" x14ac:dyDescent="0.2">
      <c r="A821" t="s">
        <v>1432</v>
      </c>
      <c r="B821" t="s">
        <v>75</v>
      </c>
      <c r="C821" t="s">
        <v>602</v>
      </c>
      <c r="D821">
        <v>3449.02</v>
      </c>
      <c r="E821" s="37" t="str">
        <f t="shared" si="60"/>
        <v xml:space="preserve"> </v>
      </c>
      <c r="F821">
        <v>0.35</v>
      </c>
      <c r="G821" s="37" t="str">
        <f t="shared" si="61"/>
        <v>Heavy Discount</v>
      </c>
      <c r="H821" s="37" t="str">
        <f t="shared" si="62"/>
        <v>Medium</v>
      </c>
      <c r="I821">
        <v>4</v>
      </c>
      <c r="J821" t="str" cm="1">
        <f t="array" ref="J821">_xlfn.IFS(I821&lt;=3,"small",I821&lt;=6,"Medium",I821&lt;=9,"Large")</f>
        <v>Medium</v>
      </c>
      <c r="K821" s="36">
        <v>45597</v>
      </c>
      <c r="L821" s="36">
        <v>45602</v>
      </c>
      <c r="M821" t="s">
        <v>603</v>
      </c>
      <c r="N821" t="s">
        <v>604</v>
      </c>
      <c r="O821" s="37" t="str">
        <f t="shared" si="63"/>
        <v>Digital Payment</v>
      </c>
      <c r="P821">
        <v>613.9</v>
      </c>
      <c r="Q821" s="37" t="str">
        <f>IF(P821&gt;500,"High","low")</f>
        <v>High</v>
      </c>
      <c r="R821" s="37" t="str">
        <f t="shared" si="64"/>
        <v>Good</v>
      </c>
      <c r="S821" t="s">
        <v>600</v>
      </c>
    </row>
    <row r="822" spans="1:19" x14ac:dyDescent="0.2">
      <c r="A822" t="s">
        <v>1433</v>
      </c>
      <c r="B822" t="s">
        <v>90</v>
      </c>
      <c r="C822" t="s">
        <v>617</v>
      </c>
      <c r="D822">
        <v>1221.18</v>
      </c>
      <c r="E822" s="37" t="str">
        <f t="shared" si="60"/>
        <v xml:space="preserve"> </v>
      </c>
      <c r="F822">
        <v>0.1</v>
      </c>
      <c r="G822" s="37" t="str">
        <f t="shared" si="61"/>
        <v>Normal Discount</v>
      </c>
      <c r="H822" s="37" t="str">
        <f t="shared" si="62"/>
        <v>Low</v>
      </c>
      <c r="I822">
        <v>7</v>
      </c>
      <c r="J822" t="str" cm="1">
        <f t="array" ref="J822">_xlfn.IFS(I822&lt;=3,"small",I822&lt;=6,"Medium",I822&lt;=9,"Large")</f>
        <v>Large</v>
      </c>
      <c r="K822" s="36">
        <v>45400</v>
      </c>
      <c r="L822" s="36">
        <v>45404</v>
      </c>
      <c r="M822" t="s">
        <v>598</v>
      </c>
      <c r="N822" t="s">
        <v>599</v>
      </c>
      <c r="O822" s="37" t="str">
        <f t="shared" si="63"/>
        <v>Digital Payment</v>
      </c>
      <c r="P822">
        <v>347.25</v>
      </c>
      <c r="Q822" s="37" t="str">
        <f>IF(P822&gt;500,"High","low")</f>
        <v>low</v>
      </c>
      <c r="R822" s="37" t="str">
        <f t="shared" si="64"/>
        <v>AVERAGE</v>
      </c>
      <c r="S822" t="s">
        <v>628</v>
      </c>
    </row>
    <row r="823" spans="1:19" x14ac:dyDescent="0.2">
      <c r="A823" t="s">
        <v>1434</v>
      </c>
      <c r="B823" t="s">
        <v>67</v>
      </c>
      <c r="C823" t="s">
        <v>602</v>
      </c>
      <c r="D823">
        <v>4990.03</v>
      </c>
      <c r="E823" s="37" t="str">
        <f t="shared" si="60"/>
        <v xml:space="preserve"> </v>
      </c>
      <c r="F823">
        <v>0.2</v>
      </c>
      <c r="G823" s="37" t="str">
        <f t="shared" si="61"/>
        <v>Normal Discount</v>
      </c>
      <c r="H823" s="37" t="str">
        <f t="shared" si="62"/>
        <v>Medium</v>
      </c>
      <c r="I823">
        <v>3</v>
      </c>
      <c r="J823" t="str" cm="1">
        <f t="array" ref="J823">_xlfn.IFS(I823&lt;=3,"small",I823&lt;=6,"Medium",I823&lt;=9,"Large")</f>
        <v>small</v>
      </c>
      <c r="K823" s="36">
        <v>45433</v>
      </c>
      <c r="L823" s="36">
        <v>45440</v>
      </c>
      <c r="M823" t="s">
        <v>612</v>
      </c>
      <c r="N823" t="s">
        <v>599</v>
      </c>
      <c r="O823" s="37" t="str">
        <f t="shared" si="63"/>
        <v>Digital Payment</v>
      </c>
      <c r="P823">
        <v>654.53</v>
      </c>
      <c r="Q823" s="37" t="str">
        <f>IF(P823&gt;500,"High","low")</f>
        <v>High</v>
      </c>
      <c r="R823" s="37" t="str">
        <f t="shared" si="64"/>
        <v>Good</v>
      </c>
      <c r="S823" t="s">
        <v>600</v>
      </c>
    </row>
    <row r="824" spans="1:19" x14ac:dyDescent="0.2">
      <c r="A824" t="s">
        <v>1435</v>
      </c>
      <c r="B824" t="s">
        <v>83</v>
      </c>
      <c r="C824" t="s">
        <v>602</v>
      </c>
      <c r="D824">
        <v>2212.3200000000002</v>
      </c>
      <c r="E824" s="37" t="str">
        <f t="shared" si="60"/>
        <v xml:space="preserve"> </v>
      </c>
      <c r="F824">
        <v>0.15</v>
      </c>
      <c r="G824" s="37" t="str">
        <f t="shared" si="61"/>
        <v>Normal Discount</v>
      </c>
      <c r="H824" s="37" t="str">
        <f t="shared" si="62"/>
        <v>Low</v>
      </c>
      <c r="I824">
        <v>4</v>
      </c>
      <c r="J824" t="str" cm="1">
        <f t="array" ref="J824">_xlfn.IFS(I824&lt;=3,"small",I824&lt;=6,"Medium",I824&lt;=9,"Large")</f>
        <v>Medium</v>
      </c>
      <c r="K824" s="36">
        <v>44934</v>
      </c>
      <c r="L824" s="36">
        <v>44935</v>
      </c>
      <c r="M824" t="s">
        <v>603</v>
      </c>
      <c r="N824" t="s">
        <v>608</v>
      </c>
      <c r="O824" s="37" t="str">
        <f t="shared" si="63"/>
        <v>Cash Payment</v>
      </c>
      <c r="P824">
        <v>334.73</v>
      </c>
      <c r="Q824" s="37" t="str">
        <f>IF(P824&gt;500,"High","low")</f>
        <v>low</v>
      </c>
      <c r="R824" s="37" t="str">
        <f t="shared" si="64"/>
        <v>AVERAGE</v>
      </c>
      <c r="S824" t="s">
        <v>609</v>
      </c>
    </row>
    <row r="825" spans="1:19" x14ac:dyDescent="0.2">
      <c r="A825" t="s">
        <v>1436</v>
      </c>
      <c r="B825" t="s">
        <v>90</v>
      </c>
      <c r="C825" t="s">
        <v>597</v>
      </c>
      <c r="D825">
        <v>4665.26</v>
      </c>
      <c r="E825" s="37" t="str">
        <f t="shared" si="60"/>
        <v>Excellent Order</v>
      </c>
      <c r="F825">
        <v>0.19</v>
      </c>
      <c r="G825" s="37" t="str">
        <f t="shared" si="61"/>
        <v>Normal Discount</v>
      </c>
      <c r="H825" s="37" t="str">
        <f t="shared" si="62"/>
        <v>Low</v>
      </c>
      <c r="I825">
        <v>8</v>
      </c>
      <c r="J825" t="str" cm="1">
        <f t="array" ref="J825">_xlfn.IFS(I825&lt;=3,"small",I825&lt;=6,"Medium",I825&lt;=9,"Large")</f>
        <v>Large</v>
      </c>
      <c r="K825" s="36">
        <v>45150</v>
      </c>
      <c r="L825" s="36">
        <v>45156</v>
      </c>
      <c r="M825" t="s">
        <v>612</v>
      </c>
      <c r="N825" t="s">
        <v>608</v>
      </c>
      <c r="O825" s="37" t="str">
        <f t="shared" si="63"/>
        <v>Cash Payment</v>
      </c>
      <c r="P825">
        <v>1107.49</v>
      </c>
      <c r="Q825" s="37" t="str">
        <f>IF(P825&gt;500,"High","low")</f>
        <v>High</v>
      </c>
      <c r="R825" s="37" t="str">
        <f t="shared" si="64"/>
        <v>Excellent</v>
      </c>
      <c r="S825" t="s">
        <v>600</v>
      </c>
    </row>
    <row r="826" spans="1:19" x14ac:dyDescent="0.2">
      <c r="A826" t="s">
        <v>1437</v>
      </c>
      <c r="B826" t="s">
        <v>67</v>
      </c>
      <c r="C826" t="s">
        <v>602</v>
      </c>
      <c r="D826">
        <v>2210.91</v>
      </c>
      <c r="E826" s="37" t="str">
        <f t="shared" si="60"/>
        <v xml:space="preserve"> </v>
      </c>
      <c r="F826">
        <v>0.15</v>
      </c>
      <c r="G826" s="37" t="str">
        <f t="shared" si="61"/>
        <v>Normal Discount</v>
      </c>
      <c r="H826" s="37" t="str">
        <f t="shared" si="62"/>
        <v>Low</v>
      </c>
      <c r="I826">
        <v>3</v>
      </c>
      <c r="J826" t="str" cm="1">
        <f t="array" ref="J826">_xlfn.IFS(I826&lt;=3,"small",I826&lt;=6,"Medium",I826&lt;=9,"Large")</f>
        <v>small</v>
      </c>
      <c r="K826" s="36">
        <v>45126</v>
      </c>
      <c r="L826" s="36">
        <v>45128</v>
      </c>
      <c r="M826" t="s">
        <v>598</v>
      </c>
      <c r="N826" t="s">
        <v>599</v>
      </c>
      <c r="O826" s="37" t="str">
        <f t="shared" si="63"/>
        <v>Digital Payment</v>
      </c>
      <c r="P826">
        <v>631.17999999999995</v>
      </c>
      <c r="Q826" s="37" t="str">
        <f>IF(P826&gt;500,"High","low")</f>
        <v>High</v>
      </c>
      <c r="R826" s="37" t="str">
        <f t="shared" si="64"/>
        <v>Good</v>
      </c>
      <c r="S826" t="s">
        <v>609</v>
      </c>
    </row>
    <row r="827" spans="1:19" x14ac:dyDescent="0.2">
      <c r="A827" t="s">
        <v>1438</v>
      </c>
      <c r="B827" t="s">
        <v>67</v>
      </c>
      <c r="C827" t="s">
        <v>607</v>
      </c>
      <c r="D827">
        <v>4647.88</v>
      </c>
      <c r="E827" s="37" t="str">
        <f t="shared" si="60"/>
        <v xml:space="preserve"> </v>
      </c>
      <c r="F827">
        <v>0.17</v>
      </c>
      <c r="G827" s="37" t="str">
        <f t="shared" si="61"/>
        <v>Normal Discount</v>
      </c>
      <c r="H827" s="37" t="str">
        <f t="shared" si="62"/>
        <v>Low</v>
      </c>
      <c r="I827">
        <v>9</v>
      </c>
      <c r="J827" t="str" cm="1">
        <f t="array" ref="J827">_xlfn.IFS(I827&lt;=3,"small",I827&lt;=6,"Medium",I827&lt;=9,"Large")</f>
        <v>Large</v>
      </c>
      <c r="K827" s="36">
        <v>45059</v>
      </c>
      <c r="L827" s="36">
        <v>45066</v>
      </c>
      <c r="M827" t="s">
        <v>603</v>
      </c>
      <c r="N827" t="s">
        <v>608</v>
      </c>
      <c r="O827" s="37" t="str">
        <f t="shared" si="63"/>
        <v>Cash Payment</v>
      </c>
      <c r="P827">
        <v>395.12</v>
      </c>
      <c r="Q827" s="37" t="str">
        <f>IF(P827&gt;500,"High","low")</f>
        <v>low</v>
      </c>
      <c r="R827" s="37" t="str">
        <f t="shared" si="64"/>
        <v>AVERAGE</v>
      </c>
      <c r="S827" t="s">
        <v>605</v>
      </c>
    </row>
    <row r="828" spans="1:19" x14ac:dyDescent="0.2">
      <c r="A828" t="s">
        <v>1439</v>
      </c>
      <c r="B828" t="s">
        <v>90</v>
      </c>
      <c r="C828" t="s">
        <v>597</v>
      </c>
      <c r="D828">
        <v>1744.86</v>
      </c>
      <c r="E828" s="37" t="str">
        <f t="shared" si="60"/>
        <v xml:space="preserve"> </v>
      </c>
      <c r="F828">
        <v>0.4</v>
      </c>
      <c r="G828" s="37" t="str">
        <f t="shared" si="61"/>
        <v>Heavy Discount</v>
      </c>
      <c r="H828" s="37" t="str">
        <f t="shared" si="62"/>
        <v>Medium</v>
      </c>
      <c r="I828">
        <v>5</v>
      </c>
      <c r="J828" t="str" cm="1">
        <f t="array" ref="J828">_xlfn.IFS(I828&lt;=3,"small",I828&lt;=6,"Medium",I828&lt;=9,"Large")</f>
        <v>Medium</v>
      </c>
      <c r="K828" s="36">
        <v>45465</v>
      </c>
      <c r="L828" s="36">
        <v>45472</v>
      </c>
      <c r="M828" t="s">
        <v>598</v>
      </c>
      <c r="N828" t="s">
        <v>608</v>
      </c>
      <c r="O828" s="37" t="str">
        <f t="shared" si="63"/>
        <v>Cash Payment</v>
      </c>
      <c r="P828">
        <v>260.76</v>
      </c>
      <c r="Q828" s="37" t="str">
        <f>IF(P828&gt;500,"High","low")</f>
        <v>low</v>
      </c>
      <c r="R828" s="37" t="str">
        <f t="shared" si="64"/>
        <v>AVERAGE</v>
      </c>
      <c r="S828" t="s">
        <v>605</v>
      </c>
    </row>
    <row r="829" spans="1:19" x14ac:dyDescent="0.2">
      <c r="A829" t="s">
        <v>1440</v>
      </c>
      <c r="B829" t="s">
        <v>83</v>
      </c>
      <c r="C829" t="s">
        <v>614</v>
      </c>
      <c r="D829">
        <v>3826.66</v>
      </c>
      <c r="E829" s="37" t="str">
        <f t="shared" si="60"/>
        <v xml:space="preserve"> </v>
      </c>
      <c r="F829">
        <v>0.15</v>
      </c>
      <c r="G829" s="37" t="str">
        <f t="shared" si="61"/>
        <v>Normal Discount</v>
      </c>
      <c r="H829" s="37" t="str">
        <f t="shared" si="62"/>
        <v>Low</v>
      </c>
      <c r="I829">
        <v>2</v>
      </c>
      <c r="J829" t="str" cm="1">
        <f t="array" ref="J829">_xlfn.IFS(I829&lt;=3,"small",I829&lt;=6,"Medium",I829&lt;=9,"Large")</f>
        <v>small</v>
      </c>
      <c r="K829" s="36">
        <v>45308</v>
      </c>
      <c r="L829" s="36">
        <v>45309</v>
      </c>
      <c r="M829" t="s">
        <v>598</v>
      </c>
      <c r="N829" t="s">
        <v>608</v>
      </c>
      <c r="O829" s="37" t="str">
        <f t="shared" si="63"/>
        <v>Cash Payment</v>
      </c>
      <c r="P829">
        <v>1119.8599999999999</v>
      </c>
      <c r="Q829" s="37" t="str">
        <f>IF(P829&gt;500,"High","low")</f>
        <v>High</v>
      </c>
      <c r="R829" s="37" t="str">
        <f t="shared" si="64"/>
        <v>Excellent</v>
      </c>
      <c r="S829" t="s">
        <v>628</v>
      </c>
    </row>
    <row r="830" spans="1:19" x14ac:dyDescent="0.2">
      <c r="A830" t="s">
        <v>1441</v>
      </c>
      <c r="B830" t="s">
        <v>90</v>
      </c>
      <c r="C830" t="s">
        <v>597</v>
      </c>
      <c r="D830">
        <v>4759.91</v>
      </c>
      <c r="E830" s="37" t="str">
        <f t="shared" si="60"/>
        <v xml:space="preserve"> </v>
      </c>
      <c r="F830">
        <v>0.41</v>
      </c>
      <c r="G830" s="37" t="str">
        <f t="shared" si="61"/>
        <v>Heavy Discount</v>
      </c>
      <c r="H830" s="37" t="str">
        <f t="shared" si="62"/>
        <v>High</v>
      </c>
      <c r="I830">
        <v>8</v>
      </c>
      <c r="J830" t="str" cm="1">
        <f t="array" ref="J830">_xlfn.IFS(I830&lt;=3,"small",I830&lt;=6,"Medium",I830&lt;=9,"Large")</f>
        <v>Large</v>
      </c>
      <c r="K830" s="36">
        <v>45117</v>
      </c>
      <c r="L830" s="36">
        <v>45121</v>
      </c>
      <c r="M830" t="s">
        <v>612</v>
      </c>
      <c r="N830" t="s">
        <v>599</v>
      </c>
      <c r="O830" s="37" t="str">
        <f t="shared" si="63"/>
        <v>Digital Payment</v>
      </c>
      <c r="P830">
        <v>625.75</v>
      </c>
      <c r="Q830" s="37" t="str">
        <f>IF(P830&gt;500,"High","low")</f>
        <v>High</v>
      </c>
      <c r="R830" s="37" t="str">
        <f t="shared" si="64"/>
        <v>Good</v>
      </c>
      <c r="S830" t="s">
        <v>628</v>
      </c>
    </row>
    <row r="831" spans="1:19" x14ac:dyDescent="0.2">
      <c r="A831" t="s">
        <v>1442</v>
      </c>
      <c r="B831" t="s">
        <v>67</v>
      </c>
      <c r="C831" t="s">
        <v>602</v>
      </c>
      <c r="D831">
        <v>3265.31</v>
      </c>
      <c r="E831" s="37" t="str">
        <f t="shared" si="60"/>
        <v xml:space="preserve"> </v>
      </c>
      <c r="F831">
        <v>0.28000000000000003</v>
      </c>
      <c r="G831" s="37" t="str">
        <f t="shared" si="61"/>
        <v>Normal Discount</v>
      </c>
      <c r="H831" s="37" t="str">
        <f t="shared" si="62"/>
        <v>Medium</v>
      </c>
      <c r="I831">
        <v>8</v>
      </c>
      <c r="J831" t="str" cm="1">
        <f t="array" ref="J831">_xlfn.IFS(I831&lt;=3,"small",I831&lt;=6,"Medium",I831&lt;=9,"Large")</f>
        <v>Large</v>
      </c>
      <c r="K831" s="36">
        <v>45157</v>
      </c>
      <c r="L831" s="36">
        <v>45158</v>
      </c>
      <c r="M831" t="s">
        <v>612</v>
      </c>
      <c r="N831" t="s">
        <v>604</v>
      </c>
      <c r="O831" s="37" t="str">
        <f t="shared" si="63"/>
        <v>Digital Payment</v>
      </c>
      <c r="P831">
        <v>928.11</v>
      </c>
      <c r="Q831" s="37" t="str">
        <f>IF(P831&gt;500,"High","low")</f>
        <v>High</v>
      </c>
      <c r="R831" s="37" t="str">
        <f t="shared" si="64"/>
        <v>Good</v>
      </c>
      <c r="S831" t="s">
        <v>605</v>
      </c>
    </row>
    <row r="832" spans="1:19" x14ac:dyDescent="0.2">
      <c r="A832" t="s">
        <v>1443</v>
      </c>
      <c r="B832" t="s">
        <v>75</v>
      </c>
      <c r="C832" t="s">
        <v>607</v>
      </c>
      <c r="D832">
        <v>3420.07</v>
      </c>
      <c r="E832" s="37" t="str">
        <f t="shared" si="60"/>
        <v xml:space="preserve"> </v>
      </c>
      <c r="F832">
        <v>0.39</v>
      </c>
      <c r="G832" s="37" t="str">
        <f t="shared" si="61"/>
        <v>Heavy Discount</v>
      </c>
      <c r="H832" s="37" t="str">
        <f t="shared" si="62"/>
        <v>Medium</v>
      </c>
      <c r="I832">
        <v>1</v>
      </c>
      <c r="J832" t="str" cm="1">
        <f t="array" ref="J832">_xlfn.IFS(I832&lt;=3,"small",I832&lt;=6,"Medium",I832&lt;=9,"Large")</f>
        <v>small</v>
      </c>
      <c r="K832" s="36">
        <v>45631</v>
      </c>
      <c r="L832" s="36">
        <v>45633</v>
      </c>
      <c r="M832" t="s">
        <v>603</v>
      </c>
      <c r="N832" t="s">
        <v>604</v>
      </c>
      <c r="O832" s="37" t="str">
        <f t="shared" si="63"/>
        <v>Digital Payment</v>
      </c>
      <c r="P832">
        <v>701.25</v>
      </c>
      <c r="Q832" s="37" t="str">
        <f>IF(P832&gt;500,"High","low")</f>
        <v>High</v>
      </c>
      <c r="R832" s="37" t="str">
        <f t="shared" si="64"/>
        <v>Good</v>
      </c>
      <c r="S832" t="s">
        <v>615</v>
      </c>
    </row>
    <row r="833" spans="1:19" x14ac:dyDescent="0.2">
      <c r="A833" t="s">
        <v>1444</v>
      </c>
      <c r="B833" t="s">
        <v>75</v>
      </c>
      <c r="C833" t="s">
        <v>597</v>
      </c>
      <c r="D833">
        <v>604.14</v>
      </c>
      <c r="E833" s="37" t="str">
        <f t="shared" si="60"/>
        <v xml:space="preserve"> </v>
      </c>
      <c r="F833">
        <v>0.46</v>
      </c>
      <c r="G833" s="37" t="str">
        <f t="shared" si="61"/>
        <v>Heavy Discount</v>
      </c>
      <c r="H833" s="37" t="str">
        <f t="shared" si="62"/>
        <v>High</v>
      </c>
      <c r="I833">
        <v>9</v>
      </c>
      <c r="J833" t="str" cm="1">
        <f t="array" ref="J833">_xlfn.IFS(I833&lt;=3,"small",I833&lt;=6,"Medium",I833&lt;=9,"Large")</f>
        <v>Large</v>
      </c>
      <c r="K833" s="36">
        <v>45501</v>
      </c>
      <c r="L833" s="36">
        <v>45508</v>
      </c>
      <c r="M833" t="s">
        <v>612</v>
      </c>
      <c r="N833" t="s">
        <v>608</v>
      </c>
      <c r="O833" s="37" t="str">
        <f t="shared" si="63"/>
        <v>Cash Payment</v>
      </c>
      <c r="P833">
        <v>102.81</v>
      </c>
      <c r="Q833" s="37" t="str">
        <f>IF(P833&gt;500,"High","low")</f>
        <v>low</v>
      </c>
      <c r="R833" s="37" t="str">
        <f t="shared" si="64"/>
        <v>AVERAGE</v>
      </c>
      <c r="S833" t="s">
        <v>600</v>
      </c>
    </row>
    <row r="834" spans="1:19" x14ac:dyDescent="0.2">
      <c r="A834" t="s">
        <v>1445</v>
      </c>
      <c r="B834" t="s">
        <v>90</v>
      </c>
      <c r="C834" t="s">
        <v>607</v>
      </c>
      <c r="D834">
        <v>2423.6799999999998</v>
      </c>
      <c r="E834" s="37" t="str">
        <f t="shared" si="60"/>
        <v xml:space="preserve"> </v>
      </c>
      <c r="F834">
        <v>7.0000000000000007E-2</v>
      </c>
      <c r="G834" s="37" t="str">
        <f t="shared" si="61"/>
        <v>Normal Discount</v>
      </c>
      <c r="H834" s="37" t="str">
        <f t="shared" si="62"/>
        <v>Low</v>
      </c>
      <c r="I834">
        <v>2</v>
      </c>
      <c r="J834" t="str" cm="1">
        <f t="array" ref="J834">_xlfn.IFS(I834&lt;=3,"small",I834&lt;=6,"Medium",I834&lt;=9,"Large")</f>
        <v>small</v>
      </c>
      <c r="K834" s="36">
        <v>45249</v>
      </c>
      <c r="L834" s="36">
        <v>45256</v>
      </c>
      <c r="M834" t="s">
        <v>603</v>
      </c>
      <c r="N834" t="s">
        <v>599</v>
      </c>
      <c r="O834" s="37" t="str">
        <f t="shared" si="63"/>
        <v>Digital Payment</v>
      </c>
      <c r="P834">
        <v>322.33999999999997</v>
      </c>
      <c r="Q834" s="37" t="str">
        <f>IF(P834&gt;500,"High","low")</f>
        <v>low</v>
      </c>
      <c r="R834" s="37" t="str">
        <f t="shared" si="64"/>
        <v>AVERAGE</v>
      </c>
      <c r="S834" t="s">
        <v>605</v>
      </c>
    </row>
    <row r="835" spans="1:19" x14ac:dyDescent="0.2">
      <c r="A835" t="s">
        <v>1446</v>
      </c>
      <c r="B835" t="s">
        <v>67</v>
      </c>
      <c r="C835" t="s">
        <v>614</v>
      </c>
      <c r="D835">
        <v>4445.1000000000004</v>
      </c>
      <c r="E835" s="37" t="str">
        <f t="shared" ref="E835:E898" si="65">IF(AND(D835&gt;4000,P835&gt;800),"Excellent Order"," ")</f>
        <v xml:space="preserve"> </v>
      </c>
      <c r="F835">
        <v>0.17</v>
      </c>
      <c r="G835" s="37" t="str">
        <f t="shared" ref="G835:G898" si="66">IF(F835&gt;30%,"Heavy Discount","Normal Discount")</f>
        <v>Normal Discount</v>
      </c>
      <c r="H835" s="37" t="str">
        <f t="shared" ref="H835:H898" si="67">IF(F835&gt;0.4,"High",IF(F835&gt;=0.2,"Medium","Low"))</f>
        <v>Low</v>
      </c>
      <c r="I835">
        <v>4</v>
      </c>
      <c r="J835" t="str" cm="1">
        <f t="array" ref="J835">_xlfn.IFS(I835&lt;=3,"small",I835&lt;=6,"Medium",I835&lt;=9,"Large")</f>
        <v>Medium</v>
      </c>
      <c r="K835" s="36">
        <v>44978</v>
      </c>
      <c r="L835" s="36">
        <v>44983</v>
      </c>
      <c r="M835" t="s">
        <v>598</v>
      </c>
      <c r="N835" t="s">
        <v>608</v>
      </c>
      <c r="O835" s="37" t="str">
        <f t="shared" ref="O835:O898" si="68">IF(OR(N835="Card",N835="UPI"),"Digital Payment","Cash Payment")</f>
        <v>Cash Payment</v>
      </c>
      <c r="P835">
        <v>788.01</v>
      </c>
      <c r="Q835" s="37" t="str">
        <f>IF(P835&gt;500,"High","low")</f>
        <v>High</v>
      </c>
      <c r="R835" s="37" t="str">
        <f t="shared" ref="R835:R898" si="69">IF(P835&gt;1000,"Excellent",IF(P835&gt;=500,"Good","AVERAGE"))</f>
        <v>Good</v>
      </c>
      <c r="S835" t="s">
        <v>615</v>
      </c>
    </row>
    <row r="836" spans="1:19" x14ac:dyDescent="0.2">
      <c r="A836" t="s">
        <v>1447</v>
      </c>
      <c r="B836" t="s">
        <v>75</v>
      </c>
      <c r="C836" t="s">
        <v>614</v>
      </c>
      <c r="D836">
        <v>1280.46</v>
      </c>
      <c r="E836" s="37" t="str">
        <f t="shared" si="65"/>
        <v xml:space="preserve"> </v>
      </c>
      <c r="F836">
        <v>0.03</v>
      </c>
      <c r="G836" s="37" t="str">
        <f t="shared" si="66"/>
        <v>Normal Discount</v>
      </c>
      <c r="H836" s="37" t="str">
        <f t="shared" si="67"/>
        <v>Low</v>
      </c>
      <c r="I836">
        <v>6</v>
      </c>
      <c r="J836" t="str" cm="1">
        <f t="array" ref="J836">_xlfn.IFS(I836&lt;=3,"small",I836&lt;=6,"Medium",I836&lt;=9,"Large")</f>
        <v>Medium</v>
      </c>
      <c r="K836" s="36">
        <v>45263</v>
      </c>
      <c r="L836" s="36">
        <v>45264</v>
      </c>
      <c r="M836" t="s">
        <v>598</v>
      </c>
      <c r="N836" t="s">
        <v>604</v>
      </c>
      <c r="O836" s="37" t="str">
        <f t="shared" si="68"/>
        <v>Digital Payment</v>
      </c>
      <c r="P836">
        <v>273.31</v>
      </c>
      <c r="Q836" s="37" t="str">
        <f>IF(P836&gt;500,"High","low")</f>
        <v>low</v>
      </c>
      <c r="R836" s="37" t="str">
        <f t="shared" si="69"/>
        <v>AVERAGE</v>
      </c>
      <c r="S836" t="s">
        <v>609</v>
      </c>
    </row>
    <row r="837" spans="1:19" x14ac:dyDescent="0.2">
      <c r="A837" t="s">
        <v>1448</v>
      </c>
      <c r="B837" t="s">
        <v>67</v>
      </c>
      <c r="C837" t="s">
        <v>617</v>
      </c>
      <c r="D837">
        <v>3962.98</v>
      </c>
      <c r="E837" s="37" t="str">
        <f t="shared" si="65"/>
        <v xml:space="preserve"> </v>
      </c>
      <c r="F837">
        <v>0.2</v>
      </c>
      <c r="G837" s="37" t="str">
        <f t="shared" si="66"/>
        <v>Normal Discount</v>
      </c>
      <c r="H837" s="37" t="str">
        <f t="shared" si="67"/>
        <v>Medium</v>
      </c>
      <c r="I837">
        <v>9</v>
      </c>
      <c r="J837" t="str" cm="1">
        <f t="array" ref="J837">_xlfn.IFS(I837&lt;=3,"small",I837&lt;=6,"Medium",I837&lt;=9,"Large")</f>
        <v>Large</v>
      </c>
      <c r="K837" s="36">
        <v>45521</v>
      </c>
      <c r="L837" s="36">
        <v>45525</v>
      </c>
      <c r="M837" t="s">
        <v>598</v>
      </c>
      <c r="N837" t="s">
        <v>599</v>
      </c>
      <c r="O837" s="37" t="str">
        <f t="shared" si="68"/>
        <v>Digital Payment</v>
      </c>
      <c r="P837">
        <v>902.2</v>
      </c>
      <c r="Q837" s="37" t="str">
        <f>IF(P837&gt;500,"High","low")</f>
        <v>High</v>
      </c>
      <c r="R837" s="37" t="str">
        <f t="shared" si="69"/>
        <v>Good</v>
      </c>
      <c r="S837" t="s">
        <v>600</v>
      </c>
    </row>
    <row r="838" spans="1:19" x14ac:dyDescent="0.2">
      <c r="A838" t="s">
        <v>1449</v>
      </c>
      <c r="B838" t="s">
        <v>90</v>
      </c>
      <c r="C838" t="s">
        <v>617</v>
      </c>
      <c r="D838">
        <v>3410.98</v>
      </c>
      <c r="E838" s="37" t="str">
        <f t="shared" si="65"/>
        <v xml:space="preserve"> </v>
      </c>
      <c r="F838">
        <v>0.12</v>
      </c>
      <c r="G838" s="37" t="str">
        <f t="shared" si="66"/>
        <v>Normal Discount</v>
      </c>
      <c r="H838" s="37" t="str">
        <f t="shared" si="67"/>
        <v>Low</v>
      </c>
      <c r="I838">
        <v>1</v>
      </c>
      <c r="J838" t="str" cm="1">
        <f t="array" ref="J838">_xlfn.IFS(I838&lt;=3,"small",I838&lt;=6,"Medium",I838&lt;=9,"Large")</f>
        <v>small</v>
      </c>
      <c r="K838" s="36">
        <v>45259</v>
      </c>
      <c r="L838" s="36">
        <v>45261</v>
      </c>
      <c r="M838" t="s">
        <v>598</v>
      </c>
      <c r="N838" t="s">
        <v>604</v>
      </c>
      <c r="O838" s="37" t="str">
        <f t="shared" si="68"/>
        <v>Digital Payment</v>
      </c>
      <c r="P838">
        <v>235.62</v>
      </c>
      <c r="Q838" s="37" t="str">
        <f>IF(P838&gt;500,"High","low")</f>
        <v>low</v>
      </c>
      <c r="R838" s="37" t="str">
        <f t="shared" si="69"/>
        <v>AVERAGE</v>
      </c>
      <c r="S838" t="s">
        <v>605</v>
      </c>
    </row>
    <row r="839" spans="1:19" x14ac:dyDescent="0.2">
      <c r="A839" t="s">
        <v>1450</v>
      </c>
      <c r="B839" t="s">
        <v>75</v>
      </c>
      <c r="C839" t="s">
        <v>597</v>
      </c>
      <c r="D839">
        <v>1192.6300000000001</v>
      </c>
      <c r="E839" s="37" t="str">
        <f t="shared" si="65"/>
        <v xml:space="preserve"> </v>
      </c>
      <c r="F839">
        <v>0.28999999999999998</v>
      </c>
      <c r="G839" s="37" t="str">
        <f t="shared" si="66"/>
        <v>Normal Discount</v>
      </c>
      <c r="H839" s="37" t="str">
        <f t="shared" si="67"/>
        <v>Medium</v>
      </c>
      <c r="I839">
        <v>9</v>
      </c>
      <c r="J839" t="str" cm="1">
        <f t="array" ref="J839">_xlfn.IFS(I839&lt;=3,"small",I839&lt;=6,"Medium",I839&lt;=9,"Large")</f>
        <v>Large</v>
      </c>
      <c r="K839" s="36">
        <v>45361</v>
      </c>
      <c r="L839" s="36">
        <v>45365</v>
      </c>
      <c r="M839" t="s">
        <v>603</v>
      </c>
      <c r="N839" t="s">
        <v>604</v>
      </c>
      <c r="O839" s="37" t="str">
        <f t="shared" si="68"/>
        <v>Digital Payment</v>
      </c>
      <c r="P839">
        <v>250.55</v>
      </c>
      <c r="Q839" s="37" t="str">
        <f>IF(P839&gt;500,"High","low")</f>
        <v>low</v>
      </c>
      <c r="R839" s="37" t="str">
        <f t="shared" si="69"/>
        <v>AVERAGE</v>
      </c>
      <c r="S839" t="s">
        <v>615</v>
      </c>
    </row>
    <row r="840" spans="1:19" x14ac:dyDescent="0.2">
      <c r="A840" t="s">
        <v>1451</v>
      </c>
      <c r="B840" t="s">
        <v>67</v>
      </c>
      <c r="C840" t="s">
        <v>617</v>
      </c>
      <c r="D840">
        <v>1485.68</v>
      </c>
      <c r="E840" s="37" t="str">
        <f t="shared" si="65"/>
        <v xml:space="preserve"> </v>
      </c>
      <c r="F840">
        <v>0.39</v>
      </c>
      <c r="G840" s="37" t="str">
        <f t="shared" si="66"/>
        <v>Heavy Discount</v>
      </c>
      <c r="H840" s="37" t="str">
        <f t="shared" si="67"/>
        <v>Medium</v>
      </c>
      <c r="I840">
        <v>8</v>
      </c>
      <c r="J840" t="str" cm="1">
        <f t="array" ref="J840">_xlfn.IFS(I840&lt;=3,"small",I840&lt;=6,"Medium",I840&lt;=9,"Large")</f>
        <v>Large</v>
      </c>
      <c r="K840" s="36">
        <v>45609</v>
      </c>
      <c r="L840" s="36">
        <v>45615</v>
      </c>
      <c r="M840" t="s">
        <v>603</v>
      </c>
      <c r="N840" t="s">
        <v>604</v>
      </c>
      <c r="O840" s="37" t="str">
        <f t="shared" si="68"/>
        <v>Digital Payment</v>
      </c>
      <c r="P840">
        <v>405.75</v>
      </c>
      <c r="Q840" s="37" t="str">
        <f>IF(P840&gt;500,"High","low")</f>
        <v>low</v>
      </c>
      <c r="R840" s="37" t="str">
        <f t="shared" si="69"/>
        <v>AVERAGE</v>
      </c>
      <c r="S840" t="s">
        <v>605</v>
      </c>
    </row>
    <row r="841" spans="1:19" x14ac:dyDescent="0.2">
      <c r="A841" t="s">
        <v>1452</v>
      </c>
      <c r="B841" t="s">
        <v>75</v>
      </c>
      <c r="C841" t="s">
        <v>607</v>
      </c>
      <c r="D841">
        <v>2195.0500000000002</v>
      </c>
      <c r="E841" s="37" t="str">
        <f t="shared" si="65"/>
        <v xml:space="preserve"> </v>
      </c>
      <c r="F841">
        <v>0.24</v>
      </c>
      <c r="G841" s="37" t="str">
        <f t="shared" si="66"/>
        <v>Normal Discount</v>
      </c>
      <c r="H841" s="37" t="str">
        <f t="shared" si="67"/>
        <v>Medium</v>
      </c>
      <c r="I841">
        <v>7</v>
      </c>
      <c r="J841" t="str" cm="1">
        <f t="array" ref="J841">_xlfn.IFS(I841&lt;=3,"small",I841&lt;=6,"Medium",I841&lt;=9,"Large")</f>
        <v>Large</v>
      </c>
      <c r="K841" s="36">
        <v>45621</v>
      </c>
      <c r="L841" s="36">
        <v>45628</v>
      </c>
      <c r="M841" t="s">
        <v>598</v>
      </c>
      <c r="N841" t="s">
        <v>599</v>
      </c>
      <c r="O841" s="37" t="str">
        <f t="shared" si="68"/>
        <v>Digital Payment</v>
      </c>
      <c r="P841">
        <v>344.02</v>
      </c>
      <c r="Q841" s="37" t="str">
        <f>IF(P841&gt;500,"High","low")</f>
        <v>low</v>
      </c>
      <c r="R841" s="37" t="str">
        <f t="shared" si="69"/>
        <v>AVERAGE</v>
      </c>
      <c r="S841" t="s">
        <v>628</v>
      </c>
    </row>
    <row r="842" spans="1:19" x14ac:dyDescent="0.2">
      <c r="A842" t="s">
        <v>1453</v>
      </c>
      <c r="B842" t="s">
        <v>90</v>
      </c>
      <c r="C842" t="s">
        <v>617</v>
      </c>
      <c r="D842">
        <v>713.13</v>
      </c>
      <c r="E842" s="37" t="str">
        <f t="shared" si="65"/>
        <v xml:space="preserve"> </v>
      </c>
      <c r="F842">
        <v>0.17</v>
      </c>
      <c r="G842" s="37" t="str">
        <f t="shared" si="66"/>
        <v>Normal Discount</v>
      </c>
      <c r="H842" s="37" t="str">
        <f t="shared" si="67"/>
        <v>Low</v>
      </c>
      <c r="I842">
        <v>2</v>
      </c>
      <c r="J842" t="str" cm="1">
        <f t="array" ref="J842">_xlfn.IFS(I842&lt;=3,"small",I842&lt;=6,"Medium",I842&lt;=9,"Large")</f>
        <v>small</v>
      </c>
      <c r="K842" s="36">
        <v>45400</v>
      </c>
      <c r="L842" s="36">
        <v>45401</v>
      </c>
      <c r="M842" t="s">
        <v>612</v>
      </c>
      <c r="N842" t="s">
        <v>599</v>
      </c>
      <c r="O842" s="37" t="str">
        <f t="shared" si="68"/>
        <v>Digital Payment</v>
      </c>
      <c r="P842">
        <v>80.319999999999993</v>
      </c>
      <c r="Q842" s="37" t="str">
        <f>IF(P842&gt;500,"High","low")</f>
        <v>low</v>
      </c>
      <c r="R842" s="37" t="str">
        <f t="shared" si="69"/>
        <v>AVERAGE</v>
      </c>
      <c r="S842" t="s">
        <v>609</v>
      </c>
    </row>
    <row r="843" spans="1:19" x14ac:dyDescent="0.2">
      <c r="A843" t="s">
        <v>1454</v>
      </c>
      <c r="B843" t="s">
        <v>67</v>
      </c>
      <c r="C843" t="s">
        <v>607</v>
      </c>
      <c r="D843">
        <v>4575.5200000000004</v>
      </c>
      <c r="E843" s="37" t="str">
        <f t="shared" si="65"/>
        <v>Excellent Order</v>
      </c>
      <c r="F843">
        <v>0.08</v>
      </c>
      <c r="G843" s="37" t="str">
        <f t="shared" si="66"/>
        <v>Normal Discount</v>
      </c>
      <c r="H843" s="37" t="str">
        <f t="shared" si="67"/>
        <v>Low</v>
      </c>
      <c r="I843">
        <v>7</v>
      </c>
      <c r="J843" t="str" cm="1">
        <f t="array" ref="J843">_xlfn.IFS(I843&lt;=3,"small",I843&lt;=6,"Medium",I843&lt;=9,"Large")</f>
        <v>Large</v>
      </c>
      <c r="K843" s="36">
        <v>45597</v>
      </c>
      <c r="L843" s="36">
        <v>45599</v>
      </c>
      <c r="M843" t="s">
        <v>598</v>
      </c>
      <c r="N843" t="s">
        <v>604</v>
      </c>
      <c r="O843" s="37" t="str">
        <f t="shared" si="68"/>
        <v>Digital Payment</v>
      </c>
      <c r="P843">
        <v>1028.6600000000001</v>
      </c>
      <c r="Q843" s="37" t="str">
        <f>IF(P843&gt;500,"High","low")</f>
        <v>High</v>
      </c>
      <c r="R843" s="37" t="str">
        <f t="shared" si="69"/>
        <v>Excellent</v>
      </c>
      <c r="S843" t="s">
        <v>609</v>
      </c>
    </row>
    <row r="844" spans="1:19" x14ac:dyDescent="0.2">
      <c r="A844" t="s">
        <v>1455</v>
      </c>
      <c r="B844" t="s">
        <v>75</v>
      </c>
      <c r="C844" t="s">
        <v>617</v>
      </c>
      <c r="D844">
        <v>3722.85</v>
      </c>
      <c r="E844" s="37" t="str">
        <f t="shared" si="65"/>
        <v xml:space="preserve"> </v>
      </c>
      <c r="F844">
        <v>0.01</v>
      </c>
      <c r="G844" s="37" t="str">
        <f t="shared" si="66"/>
        <v>Normal Discount</v>
      </c>
      <c r="H844" s="37" t="str">
        <f t="shared" si="67"/>
        <v>Low</v>
      </c>
      <c r="I844">
        <v>2</v>
      </c>
      <c r="J844" t="str" cm="1">
        <f t="array" ref="J844">_xlfn.IFS(I844&lt;=3,"small",I844&lt;=6,"Medium",I844&lt;=9,"Large")</f>
        <v>small</v>
      </c>
      <c r="K844" s="36">
        <v>45433</v>
      </c>
      <c r="L844" s="36">
        <v>45434</v>
      </c>
      <c r="M844" t="s">
        <v>603</v>
      </c>
      <c r="N844" t="s">
        <v>599</v>
      </c>
      <c r="O844" s="37" t="str">
        <f t="shared" si="68"/>
        <v>Digital Payment</v>
      </c>
      <c r="P844">
        <v>292.04000000000002</v>
      </c>
      <c r="Q844" s="37" t="str">
        <f>IF(P844&gt;500,"High","low")</f>
        <v>low</v>
      </c>
      <c r="R844" s="37" t="str">
        <f t="shared" si="69"/>
        <v>AVERAGE</v>
      </c>
      <c r="S844" t="s">
        <v>600</v>
      </c>
    </row>
    <row r="845" spans="1:19" x14ac:dyDescent="0.2">
      <c r="A845" t="s">
        <v>1456</v>
      </c>
      <c r="B845" t="s">
        <v>90</v>
      </c>
      <c r="C845" t="s">
        <v>617</v>
      </c>
      <c r="D845">
        <v>1888.32</v>
      </c>
      <c r="E845" s="37" t="str">
        <f t="shared" si="65"/>
        <v xml:space="preserve"> </v>
      </c>
      <c r="F845">
        <v>0.34</v>
      </c>
      <c r="G845" s="37" t="str">
        <f t="shared" si="66"/>
        <v>Heavy Discount</v>
      </c>
      <c r="H845" s="37" t="str">
        <f t="shared" si="67"/>
        <v>Medium</v>
      </c>
      <c r="I845">
        <v>9</v>
      </c>
      <c r="J845" t="str" cm="1">
        <f t="array" ref="J845">_xlfn.IFS(I845&lt;=3,"small",I845&lt;=6,"Medium",I845&lt;=9,"Large")</f>
        <v>Large</v>
      </c>
      <c r="K845" s="36">
        <v>45646</v>
      </c>
      <c r="L845" s="36">
        <v>45652</v>
      </c>
      <c r="M845" t="s">
        <v>612</v>
      </c>
      <c r="N845" t="s">
        <v>608</v>
      </c>
      <c r="O845" s="37" t="str">
        <f t="shared" si="68"/>
        <v>Cash Payment</v>
      </c>
      <c r="P845">
        <v>534.75</v>
      </c>
      <c r="Q845" s="37" t="str">
        <f>IF(P845&gt;500,"High","low")</f>
        <v>High</v>
      </c>
      <c r="R845" s="37" t="str">
        <f t="shared" si="69"/>
        <v>Good</v>
      </c>
      <c r="S845" t="s">
        <v>600</v>
      </c>
    </row>
    <row r="846" spans="1:19" x14ac:dyDescent="0.2">
      <c r="A846" t="s">
        <v>1457</v>
      </c>
      <c r="B846" t="s">
        <v>75</v>
      </c>
      <c r="C846" t="s">
        <v>617</v>
      </c>
      <c r="D846">
        <v>1568.36</v>
      </c>
      <c r="E846" s="37" t="str">
        <f t="shared" si="65"/>
        <v xml:space="preserve"> </v>
      </c>
      <c r="F846">
        <v>0.02</v>
      </c>
      <c r="G846" s="37" t="str">
        <f t="shared" si="66"/>
        <v>Normal Discount</v>
      </c>
      <c r="H846" s="37" t="str">
        <f t="shared" si="67"/>
        <v>Low</v>
      </c>
      <c r="I846">
        <v>4</v>
      </c>
      <c r="J846" t="str" cm="1">
        <f t="array" ref="J846">_xlfn.IFS(I846&lt;=3,"small",I846&lt;=6,"Medium",I846&lt;=9,"Large")</f>
        <v>Medium</v>
      </c>
      <c r="K846" s="36">
        <v>45334</v>
      </c>
      <c r="L846" s="36">
        <v>45337</v>
      </c>
      <c r="M846" t="s">
        <v>598</v>
      </c>
      <c r="N846" t="s">
        <v>599</v>
      </c>
      <c r="O846" s="37" t="str">
        <f t="shared" si="68"/>
        <v>Digital Payment</v>
      </c>
      <c r="P846">
        <v>279.57</v>
      </c>
      <c r="Q846" s="37" t="str">
        <f>IF(P846&gt;500,"High","low")</f>
        <v>low</v>
      </c>
      <c r="R846" s="37" t="str">
        <f t="shared" si="69"/>
        <v>AVERAGE</v>
      </c>
      <c r="S846" t="s">
        <v>628</v>
      </c>
    </row>
    <row r="847" spans="1:19" x14ac:dyDescent="0.2">
      <c r="A847" t="s">
        <v>1458</v>
      </c>
      <c r="B847" t="s">
        <v>75</v>
      </c>
      <c r="C847" t="s">
        <v>602</v>
      </c>
      <c r="D847">
        <v>3478.94</v>
      </c>
      <c r="E847" s="37" t="str">
        <f t="shared" si="65"/>
        <v xml:space="preserve"> </v>
      </c>
      <c r="F847">
        <v>0.46</v>
      </c>
      <c r="G847" s="37" t="str">
        <f t="shared" si="66"/>
        <v>Heavy Discount</v>
      </c>
      <c r="H847" s="37" t="str">
        <f t="shared" si="67"/>
        <v>High</v>
      </c>
      <c r="I847">
        <v>2</v>
      </c>
      <c r="J847" t="str" cm="1">
        <f t="array" ref="J847">_xlfn.IFS(I847&lt;=3,"small",I847&lt;=6,"Medium",I847&lt;=9,"Large")</f>
        <v>small</v>
      </c>
      <c r="K847" s="36">
        <v>45305</v>
      </c>
      <c r="L847" s="36">
        <v>45307</v>
      </c>
      <c r="M847" t="s">
        <v>598</v>
      </c>
      <c r="N847" t="s">
        <v>599</v>
      </c>
      <c r="O847" s="37" t="str">
        <f t="shared" si="68"/>
        <v>Digital Payment</v>
      </c>
      <c r="P847">
        <v>749.42</v>
      </c>
      <c r="Q847" s="37" t="str">
        <f>IF(P847&gt;500,"High","low")</f>
        <v>High</v>
      </c>
      <c r="R847" s="37" t="str">
        <f t="shared" si="69"/>
        <v>Good</v>
      </c>
      <c r="S847" t="s">
        <v>620</v>
      </c>
    </row>
    <row r="848" spans="1:19" x14ac:dyDescent="0.2">
      <c r="A848" t="s">
        <v>1459</v>
      </c>
      <c r="B848" t="s">
        <v>83</v>
      </c>
      <c r="C848" t="s">
        <v>602</v>
      </c>
      <c r="D848">
        <v>2178.6799999999998</v>
      </c>
      <c r="E848" s="37" t="str">
        <f t="shared" si="65"/>
        <v xml:space="preserve"> </v>
      </c>
      <c r="F848">
        <v>0.3</v>
      </c>
      <c r="G848" s="37" t="str">
        <f t="shared" si="66"/>
        <v>Normal Discount</v>
      </c>
      <c r="H848" s="37" t="str">
        <f t="shared" si="67"/>
        <v>Medium</v>
      </c>
      <c r="I848">
        <v>5</v>
      </c>
      <c r="J848" t="str" cm="1">
        <f t="array" ref="J848">_xlfn.IFS(I848&lt;=3,"small",I848&lt;=6,"Medium",I848&lt;=9,"Large")</f>
        <v>Medium</v>
      </c>
      <c r="K848" s="36">
        <v>45647</v>
      </c>
      <c r="L848" s="36">
        <v>45653</v>
      </c>
      <c r="M848" t="s">
        <v>603</v>
      </c>
      <c r="N848" t="s">
        <v>604</v>
      </c>
      <c r="O848" s="37" t="str">
        <f t="shared" si="68"/>
        <v>Digital Payment</v>
      </c>
      <c r="P848">
        <v>300.92</v>
      </c>
      <c r="Q848" s="37" t="str">
        <f>IF(P848&gt;500,"High","low")</f>
        <v>low</v>
      </c>
      <c r="R848" s="37" t="str">
        <f t="shared" si="69"/>
        <v>AVERAGE</v>
      </c>
      <c r="S848" t="s">
        <v>600</v>
      </c>
    </row>
    <row r="849" spans="1:19" x14ac:dyDescent="0.2">
      <c r="A849" t="s">
        <v>1460</v>
      </c>
      <c r="B849" t="s">
        <v>83</v>
      </c>
      <c r="C849" t="s">
        <v>617</v>
      </c>
      <c r="D849">
        <v>1223.75</v>
      </c>
      <c r="E849" s="37" t="str">
        <f t="shared" si="65"/>
        <v xml:space="preserve"> </v>
      </c>
      <c r="F849">
        <v>0.18</v>
      </c>
      <c r="G849" s="37" t="str">
        <f t="shared" si="66"/>
        <v>Normal Discount</v>
      </c>
      <c r="H849" s="37" t="str">
        <f t="shared" si="67"/>
        <v>Low</v>
      </c>
      <c r="I849">
        <v>9</v>
      </c>
      <c r="J849" t="str" cm="1">
        <f t="array" ref="J849">_xlfn.IFS(I849&lt;=3,"small",I849&lt;=6,"Medium",I849&lt;=9,"Large")</f>
        <v>Large</v>
      </c>
      <c r="K849" s="36">
        <v>45131</v>
      </c>
      <c r="L849" s="36">
        <v>45132</v>
      </c>
      <c r="M849" t="s">
        <v>603</v>
      </c>
      <c r="N849" t="s">
        <v>608</v>
      </c>
      <c r="O849" s="37" t="str">
        <f t="shared" si="68"/>
        <v>Cash Payment</v>
      </c>
      <c r="P849">
        <v>192.77</v>
      </c>
      <c r="Q849" s="37" t="str">
        <f>IF(P849&gt;500,"High","low")</f>
        <v>low</v>
      </c>
      <c r="R849" s="37" t="str">
        <f t="shared" si="69"/>
        <v>AVERAGE</v>
      </c>
      <c r="S849" t="s">
        <v>605</v>
      </c>
    </row>
    <row r="850" spans="1:19" x14ac:dyDescent="0.2">
      <c r="A850" t="s">
        <v>1461</v>
      </c>
      <c r="B850" t="s">
        <v>90</v>
      </c>
      <c r="C850" t="s">
        <v>607</v>
      </c>
      <c r="D850">
        <v>2207.7399999999998</v>
      </c>
      <c r="E850" s="37" t="str">
        <f t="shared" si="65"/>
        <v xml:space="preserve"> </v>
      </c>
      <c r="F850">
        <v>0.02</v>
      </c>
      <c r="G850" s="37" t="str">
        <f t="shared" si="66"/>
        <v>Normal Discount</v>
      </c>
      <c r="H850" s="37" t="str">
        <f t="shared" si="67"/>
        <v>Low</v>
      </c>
      <c r="I850">
        <v>4</v>
      </c>
      <c r="J850" t="str" cm="1">
        <f t="array" ref="J850">_xlfn.IFS(I850&lt;=3,"small",I850&lt;=6,"Medium",I850&lt;=9,"Large")</f>
        <v>Medium</v>
      </c>
      <c r="K850" s="36">
        <v>45284</v>
      </c>
      <c r="L850" s="36">
        <v>45286</v>
      </c>
      <c r="M850" t="s">
        <v>603</v>
      </c>
      <c r="N850" t="s">
        <v>608</v>
      </c>
      <c r="O850" s="37" t="str">
        <f t="shared" si="68"/>
        <v>Cash Payment</v>
      </c>
      <c r="P850">
        <v>428.84</v>
      </c>
      <c r="Q850" s="37" t="str">
        <f>IF(P850&gt;500,"High","low")</f>
        <v>low</v>
      </c>
      <c r="R850" s="37" t="str">
        <f t="shared" si="69"/>
        <v>AVERAGE</v>
      </c>
      <c r="S850" t="s">
        <v>620</v>
      </c>
    </row>
    <row r="851" spans="1:19" x14ac:dyDescent="0.2">
      <c r="A851" t="s">
        <v>1462</v>
      </c>
      <c r="B851" t="s">
        <v>83</v>
      </c>
      <c r="C851" t="s">
        <v>597</v>
      </c>
      <c r="D851">
        <v>4369.3599999999997</v>
      </c>
      <c r="E851" s="37" t="str">
        <f t="shared" si="65"/>
        <v>Excellent Order</v>
      </c>
      <c r="F851">
        <v>0.21</v>
      </c>
      <c r="G851" s="37" t="str">
        <f t="shared" si="66"/>
        <v>Normal Discount</v>
      </c>
      <c r="H851" s="37" t="str">
        <f t="shared" si="67"/>
        <v>Medium</v>
      </c>
      <c r="I851">
        <v>5</v>
      </c>
      <c r="J851" t="str" cm="1">
        <f t="array" ref="J851">_xlfn.IFS(I851&lt;=3,"small",I851&lt;=6,"Medium",I851&lt;=9,"Large")</f>
        <v>Medium</v>
      </c>
      <c r="K851" s="36">
        <v>45175</v>
      </c>
      <c r="L851" s="36">
        <v>45180</v>
      </c>
      <c r="M851" t="s">
        <v>603</v>
      </c>
      <c r="N851" t="s">
        <v>599</v>
      </c>
      <c r="O851" s="37" t="str">
        <f t="shared" si="68"/>
        <v>Digital Payment</v>
      </c>
      <c r="P851">
        <v>1296.82</v>
      </c>
      <c r="Q851" s="37" t="str">
        <f>IF(P851&gt;500,"High","low")</f>
        <v>High</v>
      </c>
      <c r="R851" s="37" t="str">
        <f t="shared" si="69"/>
        <v>Excellent</v>
      </c>
      <c r="S851" t="s">
        <v>600</v>
      </c>
    </row>
    <row r="852" spans="1:19" x14ac:dyDescent="0.2">
      <c r="A852" t="s">
        <v>1463</v>
      </c>
      <c r="B852" t="s">
        <v>90</v>
      </c>
      <c r="C852" t="s">
        <v>614</v>
      </c>
      <c r="D852">
        <v>436.17</v>
      </c>
      <c r="E852" s="37" t="str">
        <f t="shared" si="65"/>
        <v xml:space="preserve"> </v>
      </c>
      <c r="F852">
        <v>0.43</v>
      </c>
      <c r="G852" s="37" t="str">
        <f t="shared" si="66"/>
        <v>Heavy Discount</v>
      </c>
      <c r="H852" s="37" t="str">
        <f t="shared" si="67"/>
        <v>High</v>
      </c>
      <c r="I852">
        <v>8</v>
      </c>
      <c r="J852" t="str" cm="1">
        <f t="array" ref="J852">_xlfn.IFS(I852&lt;=3,"small",I852&lt;=6,"Medium",I852&lt;=9,"Large")</f>
        <v>Large</v>
      </c>
      <c r="K852" s="36">
        <v>45075</v>
      </c>
      <c r="L852" s="36">
        <v>45082</v>
      </c>
      <c r="M852" t="s">
        <v>612</v>
      </c>
      <c r="N852" t="s">
        <v>608</v>
      </c>
      <c r="O852" s="37" t="str">
        <f t="shared" si="68"/>
        <v>Cash Payment</v>
      </c>
      <c r="P852">
        <v>98.4</v>
      </c>
      <c r="Q852" s="37" t="str">
        <f>IF(P852&gt;500,"High","low")</f>
        <v>low</v>
      </c>
      <c r="R852" s="37" t="str">
        <f t="shared" si="69"/>
        <v>AVERAGE</v>
      </c>
      <c r="S852" t="s">
        <v>609</v>
      </c>
    </row>
    <row r="853" spans="1:19" x14ac:dyDescent="0.2">
      <c r="A853" t="s">
        <v>1464</v>
      </c>
      <c r="B853" t="s">
        <v>83</v>
      </c>
      <c r="C853" t="s">
        <v>602</v>
      </c>
      <c r="D853">
        <v>1904.96</v>
      </c>
      <c r="E853" s="37" t="str">
        <f t="shared" si="65"/>
        <v xml:space="preserve"> </v>
      </c>
      <c r="F853">
        <v>0.48</v>
      </c>
      <c r="G853" s="37" t="str">
        <f t="shared" si="66"/>
        <v>Heavy Discount</v>
      </c>
      <c r="H853" s="37" t="str">
        <f t="shared" si="67"/>
        <v>High</v>
      </c>
      <c r="I853">
        <v>3</v>
      </c>
      <c r="J853" t="str" cm="1">
        <f t="array" ref="J853">_xlfn.IFS(I853&lt;=3,"small",I853&lt;=6,"Medium",I853&lt;=9,"Large")</f>
        <v>small</v>
      </c>
      <c r="K853" s="36">
        <v>45596</v>
      </c>
      <c r="L853" s="36">
        <v>45603</v>
      </c>
      <c r="M853" t="s">
        <v>612</v>
      </c>
      <c r="N853" t="s">
        <v>599</v>
      </c>
      <c r="O853" s="37" t="str">
        <f t="shared" si="68"/>
        <v>Digital Payment</v>
      </c>
      <c r="P853">
        <v>540.46</v>
      </c>
      <c r="Q853" s="37" t="str">
        <f>IF(P853&gt;500,"High","low")</f>
        <v>High</v>
      </c>
      <c r="R853" s="37" t="str">
        <f t="shared" si="69"/>
        <v>Good</v>
      </c>
      <c r="S853" t="s">
        <v>620</v>
      </c>
    </row>
    <row r="854" spans="1:19" x14ac:dyDescent="0.2">
      <c r="A854" t="s">
        <v>1465</v>
      </c>
      <c r="B854" t="s">
        <v>75</v>
      </c>
      <c r="C854" t="s">
        <v>617</v>
      </c>
      <c r="D854">
        <v>4815.46</v>
      </c>
      <c r="E854" s="37" t="str">
        <f t="shared" si="65"/>
        <v>Excellent Order</v>
      </c>
      <c r="F854">
        <v>0.04</v>
      </c>
      <c r="G854" s="37" t="str">
        <f t="shared" si="66"/>
        <v>Normal Discount</v>
      </c>
      <c r="H854" s="37" t="str">
        <f t="shared" si="67"/>
        <v>Low</v>
      </c>
      <c r="I854">
        <v>6</v>
      </c>
      <c r="J854" t="str" cm="1">
        <f t="array" ref="J854">_xlfn.IFS(I854&lt;=3,"small",I854&lt;=6,"Medium",I854&lt;=9,"Large")</f>
        <v>Medium</v>
      </c>
      <c r="K854" s="36">
        <v>45411</v>
      </c>
      <c r="L854" s="36">
        <v>45417</v>
      </c>
      <c r="M854" t="s">
        <v>603</v>
      </c>
      <c r="N854" t="s">
        <v>604</v>
      </c>
      <c r="O854" s="37" t="str">
        <f t="shared" si="68"/>
        <v>Digital Payment</v>
      </c>
      <c r="P854">
        <v>1390.85</v>
      </c>
      <c r="Q854" s="37" t="str">
        <f>IF(P854&gt;500,"High","low")</f>
        <v>High</v>
      </c>
      <c r="R854" s="37" t="str">
        <f t="shared" si="69"/>
        <v>Excellent</v>
      </c>
      <c r="S854" t="s">
        <v>615</v>
      </c>
    </row>
    <row r="855" spans="1:19" x14ac:dyDescent="0.2">
      <c r="A855" t="s">
        <v>1466</v>
      </c>
      <c r="B855" t="s">
        <v>90</v>
      </c>
      <c r="C855" t="s">
        <v>614</v>
      </c>
      <c r="D855">
        <v>172.68</v>
      </c>
      <c r="E855" s="37" t="str">
        <f t="shared" si="65"/>
        <v xml:space="preserve"> </v>
      </c>
      <c r="F855">
        <v>0.39</v>
      </c>
      <c r="G855" s="37" t="str">
        <f t="shared" si="66"/>
        <v>Heavy Discount</v>
      </c>
      <c r="H855" s="37" t="str">
        <f t="shared" si="67"/>
        <v>Medium</v>
      </c>
      <c r="I855">
        <v>1</v>
      </c>
      <c r="J855" t="str" cm="1">
        <f t="array" ref="J855">_xlfn.IFS(I855&lt;=3,"small",I855&lt;=6,"Medium",I855&lt;=9,"Large")</f>
        <v>small</v>
      </c>
      <c r="K855" s="36">
        <v>45539</v>
      </c>
      <c r="L855" s="36">
        <v>45542</v>
      </c>
      <c r="M855" t="s">
        <v>612</v>
      </c>
      <c r="N855" t="s">
        <v>608</v>
      </c>
      <c r="O855" s="37" t="str">
        <f t="shared" si="68"/>
        <v>Cash Payment</v>
      </c>
      <c r="P855">
        <v>42.35</v>
      </c>
      <c r="Q855" s="37" t="str">
        <f>IF(P855&gt;500,"High","low")</f>
        <v>low</v>
      </c>
      <c r="R855" s="37" t="str">
        <f t="shared" si="69"/>
        <v>AVERAGE</v>
      </c>
      <c r="S855" t="s">
        <v>605</v>
      </c>
    </row>
    <row r="856" spans="1:19" x14ac:dyDescent="0.2">
      <c r="A856" t="s">
        <v>1467</v>
      </c>
      <c r="B856" t="s">
        <v>90</v>
      </c>
      <c r="C856" t="s">
        <v>602</v>
      </c>
      <c r="D856">
        <v>4464.1400000000003</v>
      </c>
      <c r="E856" s="37" t="str">
        <f t="shared" si="65"/>
        <v xml:space="preserve"> </v>
      </c>
      <c r="F856">
        <v>0.13</v>
      </c>
      <c r="G856" s="37" t="str">
        <f t="shared" si="66"/>
        <v>Normal Discount</v>
      </c>
      <c r="H856" s="37" t="str">
        <f t="shared" si="67"/>
        <v>Low</v>
      </c>
      <c r="I856">
        <v>3</v>
      </c>
      <c r="J856" t="str" cm="1">
        <f t="array" ref="J856">_xlfn.IFS(I856&lt;=3,"small",I856&lt;=6,"Medium",I856&lt;=9,"Large")</f>
        <v>small</v>
      </c>
      <c r="K856" s="36">
        <v>45244</v>
      </c>
      <c r="L856" s="36">
        <v>45248</v>
      </c>
      <c r="M856" t="s">
        <v>598</v>
      </c>
      <c r="N856" t="s">
        <v>608</v>
      </c>
      <c r="O856" s="37" t="str">
        <f t="shared" si="68"/>
        <v>Cash Payment</v>
      </c>
      <c r="P856">
        <v>269.14999999999998</v>
      </c>
      <c r="Q856" s="37" t="str">
        <f>IF(P856&gt;500,"High","low")</f>
        <v>low</v>
      </c>
      <c r="R856" s="37" t="str">
        <f t="shared" si="69"/>
        <v>AVERAGE</v>
      </c>
      <c r="S856" t="s">
        <v>600</v>
      </c>
    </row>
    <row r="857" spans="1:19" x14ac:dyDescent="0.2">
      <c r="A857" t="s">
        <v>1468</v>
      </c>
      <c r="B857" t="s">
        <v>75</v>
      </c>
      <c r="C857" t="s">
        <v>597</v>
      </c>
      <c r="D857">
        <v>1936.69</v>
      </c>
      <c r="E857" s="37" t="str">
        <f t="shared" si="65"/>
        <v xml:space="preserve"> </v>
      </c>
      <c r="F857">
        <v>0.19</v>
      </c>
      <c r="G857" s="37" t="str">
        <f t="shared" si="66"/>
        <v>Normal Discount</v>
      </c>
      <c r="H857" s="37" t="str">
        <f t="shared" si="67"/>
        <v>Low</v>
      </c>
      <c r="I857">
        <v>8</v>
      </c>
      <c r="J857" t="str" cm="1">
        <f t="array" ref="J857">_xlfn.IFS(I857&lt;=3,"small",I857&lt;=6,"Medium",I857&lt;=9,"Large")</f>
        <v>Large</v>
      </c>
      <c r="K857" s="36">
        <v>45437</v>
      </c>
      <c r="L857" s="36">
        <v>45438</v>
      </c>
      <c r="M857" t="s">
        <v>612</v>
      </c>
      <c r="N857" t="s">
        <v>608</v>
      </c>
      <c r="O857" s="37" t="str">
        <f t="shared" si="68"/>
        <v>Cash Payment</v>
      </c>
      <c r="P857">
        <v>227.72</v>
      </c>
      <c r="Q857" s="37" t="str">
        <f>IF(P857&gt;500,"High","low")</f>
        <v>low</v>
      </c>
      <c r="R857" s="37" t="str">
        <f t="shared" si="69"/>
        <v>AVERAGE</v>
      </c>
      <c r="S857" t="s">
        <v>605</v>
      </c>
    </row>
    <row r="858" spans="1:19" x14ac:dyDescent="0.2">
      <c r="A858" t="s">
        <v>1469</v>
      </c>
      <c r="B858" t="s">
        <v>90</v>
      </c>
      <c r="C858" t="s">
        <v>607</v>
      </c>
      <c r="D858">
        <v>1028.6400000000001</v>
      </c>
      <c r="E858" s="37" t="str">
        <f t="shared" si="65"/>
        <v xml:space="preserve"> </v>
      </c>
      <c r="F858">
        <v>0.27</v>
      </c>
      <c r="G858" s="37" t="str">
        <f t="shared" si="66"/>
        <v>Normal Discount</v>
      </c>
      <c r="H858" s="37" t="str">
        <f t="shared" si="67"/>
        <v>Medium</v>
      </c>
      <c r="I858">
        <v>6</v>
      </c>
      <c r="J858" t="str" cm="1">
        <f t="array" ref="J858">_xlfn.IFS(I858&lt;=3,"small",I858&lt;=6,"Medium",I858&lt;=9,"Large")</f>
        <v>Medium</v>
      </c>
      <c r="K858" s="36">
        <v>45213</v>
      </c>
      <c r="L858" s="36">
        <v>45217</v>
      </c>
      <c r="M858" t="s">
        <v>598</v>
      </c>
      <c r="N858" t="s">
        <v>608</v>
      </c>
      <c r="O858" s="37" t="str">
        <f t="shared" si="68"/>
        <v>Cash Payment</v>
      </c>
      <c r="P858">
        <v>258.89999999999998</v>
      </c>
      <c r="Q858" s="37" t="str">
        <f>IF(P858&gt;500,"High","low")</f>
        <v>low</v>
      </c>
      <c r="R858" s="37" t="str">
        <f t="shared" si="69"/>
        <v>AVERAGE</v>
      </c>
      <c r="S858" t="s">
        <v>609</v>
      </c>
    </row>
    <row r="859" spans="1:19" x14ac:dyDescent="0.2">
      <c r="A859" t="s">
        <v>1470</v>
      </c>
      <c r="B859" t="s">
        <v>90</v>
      </c>
      <c r="C859" t="s">
        <v>617</v>
      </c>
      <c r="D859">
        <v>173.4</v>
      </c>
      <c r="E859" s="37" t="str">
        <f t="shared" si="65"/>
        <v xml:space="preserve"> </v>
      </c>
      <c r="F859">
        <v>0.5</v>
      </c>
      <c r="G859" s="37" t="str">
        <f t="shared" si="66"/>
        <v>Heavy Discount</v>
      </c>
      <c r="H859" s="37" t="str">
        <f t="shared" si="67"/>
        <v>High</v>
      </c>
      <c r="I859">
        <v>4</v>
      </c>
      <c r="J859" t="str" cm="1">
        <f t="array" ref="J859">_xlfn.IFS(I859&lt;=3,"small",I859&lt;=6,"Medium",I859&lt;=9,"Large")</f>
        <v>Medium</v>
      </c>
      <c r="K859" s="36">
        <v>45314</v>
      </c>
      <c r="L859" s="36">
        <v>45315</v>
      </c>
      <c r="M859" t="s">
        <v>603</v>
      </c>
      <c r="N859" t="s">
        <v>608</v>
      </c>
      <c r="O859" s="37" t="str">
        <f t="shared" si="68"/>
        <v>Cash Payment</v>
      </c>
      <c r="P859">
        <v>9.26</v>
      </c>
      <c r="Q859" s="37" t="str">
        <f>IF(P859&gt;500,"High","low")</f>
        <v>low</v>
      </c>
      <c r="R859" s="37" t="str">
        <f t="shared" si="69"/>
        <v>AVERAGE</v>
      </c>
      <c r="S859" t="s">
        <v>615</v>
      </c>
    </row>
    <row r="860" spans="1:19" x14ac:dyDescent="0.2">
      <c r="A860" t="s">
        <v>1471</v>
      </c>
      <c r="B860" t="s">
        <v>83</v>
      </c>
      <c r="C860" t="s">
        <v>597</v>
      </c>
      <c r="D860">
        <v>445.56</v>
      </c>
      <c r="E860" s="37" t="str">
        <f t="shared" si="65"/>
        <v xml:space="preserve"> </v>
      </c>
      <c r="F860">
        <v>0.1</v>
      </c>
      <c r="G860" s="37" t="str">
        <f t="shared" si="66"/>
        <v>Normal Discount</v>
      </c>
      <c r="H860" s="37" t="str">
        <f t="shared" si="67"/>
        <v>Low</v>
      </c>
      <c r="I860">
        <v>8</v>
      </c>
      <c r="J860" t="str" cm="1">
        <f t="array" ref="J860">_xlfn.IFS(I860&lt;=3,"small",I860&lt;=6,"Medium",I860&lt;=9,"Large")</f>
        <v>Large</v>
      </c>
      <c r="K860" s="36">
        <v>45069</v>
      </c>
      <c r="L860" s="36">
        <v>45071</v>
      </c>
      <c r="M860" t="s">
        <v>598</v>
      </c>
      <c r="N860" t="s">
        <v>604</v>
      </c>
      <c r="O860" s="37" t="str">
        <f t="shared" si="68"/>
        <v>Digital Payment</v>
      </c>
      <c r="P860">
        <v>76.36</v>
      </c>
      <c r="Q860" s="37" t="str">
        <f>IF(P860&gt;500,"High","low")</f>
        <v>low</v>
      </c>
      <c r="R860" s="37" t="str">
        <f t="shared" si="69"/>
        <v>AVERAGE</v>
      </c>
      <c r="S860" t="s">
        <v>600</v>
      </c>
    </row>
    <row r="861" spans="1:19" x14ac:dyDescent="0.2">
      <c r="A861" t="s">
        <v>1472</v>
      </c>
      <c r="B861" t="s">
        <v>90</v>
      </c>
      <c r="C861" t="s">
        <v>602</v>
      </c>
      <c r="D861">
        <v>942.03</v>
      </c>
      <c r="E861" s="37" t="str">
        <f t="shared" si="65"/>
        <v xml:space="preserve"> </v>
      </c>
      <c r="F861">
        <v>7.0000000000000007E-2</v>
      </c>
      <c r="G861" s="37" t="str">
        <f t="shared" si="66"/>
        <v>Normal Discount</v>
      </c>
      <c r="H861" s="37" t="str">
        <f t="shared" si="67"/>
        <v>Low</v>
      </c>
      <c r="I861">
        <v>3</v>
      </c>
      <c r="J861" t="str" cm="1">
        <f t="array" ref="J861">_xlfn.IFS(I861&lt;=3,"small",I861&lt;=6,"Medium",I861&lt;=9,"Large")</f>
        <v>small</v>
      </c>
      <c r="K861" s="36">
        <v>45329</v>
      </c>
      <c r="L861" s="36">
        <v>45333</v>
      </c>
      <c r="M861" t="s">
        <v>603</v>
      </c>
      <c r="N861" t="s">
        <v>599</v>
      </c>
      <c r="O861" s="37" t="str">
        <f t="shared" si="68"/>
        <v>Digital Payment</v>
      </c>
      <c r="P861">
        <v>227.56</v>
      </c>
      <c r="Q861" s="37" t="str">
        <f>IF(P861&gt;500,"High","low")</f>
        <v>low</v>
      </c>
      <c r="R861" s="37" t="str">
        <f t="shared" si="69"/>
        <v>AVERAGE</v>
      </c>
      <c r="S861" t="s">
        <v>600</v>
      </c>
    </row>
    <row r="862" spans="1:19" x14ac:dyDescent="0.2">
      <c r="A862" t="s">
        <v>1473</v>
      </c>
      <c r="B862" t="s">
        <v>67</v>
      </c>
      <c r="C862" t="s">
        <v>617</v>
      </c>
      <c r="D862">
        <v>224.51</v>
      </c>
      <c r="E862" s="37" t="str">
        <f t="shared" si="65"/>
        <v xml:space="preserve"> </v>
      </c>
      <c r="F862">
        <v>0.3</v>
      </c>
      <c r="G862" s="37" t="str">
        <f t="shared" si="66"/>
        <v>Normal Discount</v>
      </c>
      <c r="H862" s="37" t="str">
        <f t="shared" si="67"/>
        <v>Medium</v>
      </c>
      <c r="I862">
        <v>2</v>
      </c>
      <c r="J862" t="str" cm="1">
        <f t="array" ref="J862">_xlfn.IFS(I862&lt;=3,"small",I862&lt;=6,"Medium",I862&lt;=9,"Large")</f>
        <v>small</v>
      </c>
      <c r="K862" s="36">
        <v>45512</v>
      </c>
      <c r="L862" s="36">
        <v>45515</v>
      </c>
      <c r="M862" t="s">
        <v>603</v>
      </c>
      <c r="N862" t="s">
        <v>599</v>
      </c>
      <c r="O862" s="37" t="str">
        <f t="shared" si="68"/>
        <v>Digital Payment</v>
      </c>
      <c r="P862">
        <v>63.48</v>
      </c>
      <c r="Q862" s="37" t="str">
        <f>IF(P862&gt;500,"High","low")</f>
        <v>low</v>
      </c>
      <c r="R862" s="37" t="str">
        <f t="shared" si="69"/>
        <v>AVERAGE</v>
      </c>
      <c r="S862" t="s">
        <v>620</v>
      </c>
    </row>
    <row r="863" spans="1:19" x14ac:dyDescent="0.2">
      <c r="A863" t="s">
        <v>1474</v>
      </c>
      <c r="B863" t="s">
        <v>75</v>
      </c>
      <c r="C863" t="s">
        <v>614</v>
      </c>
      <c r="D863">
        <v>1745.66</v>
      </c>
      <c r="E863" s="37" t="str">
        <f t="shared" si="65"/>
        <v xml:space="preserve"> </v>
      </c>
      <c r="F863">
        <v>0.43</v>
      </c>
      <c r="G863" s="37" t="str">
        <f t="shared" si="66"/>
        <v>Heavy Discount</v>
      </c>
      <c r="H863" s="37" t="str">
        <f t="shared" si="67"/>
        <v>High</v>
      </c>
      <c r="I863">
        <v>8</v>
      </c>
      <c r="J863" t="str" cm="1">
        <f t="array" ref="J863">_xlfn.IFS(I863&lt;=3,"small",I863&lt;=6,"Medium",I863&lt;=9,"Large")</f>
        <v>Large</v>
      </c>
      <c r="K863" s="36">
        <v>45093</v>
      </c>
      <c r="L863" s="36">
        <v>45094</v>
      </c>
      <c r="M863" t="s">
        <v>603</v>
      </c>
      <c r="N863" t="s">
        <v>604</v>
      </c>
      <c r="O863" s="37" t="str">
        <f t="shared" si="68"/>
        <v>Digital Payment</v>
      </c>
      <c r="P863">
        <v>279.76</v>
      </c>
      <c r="Q863" s="37" t="str">
        <f>IF(P863&gt;500,"High","low")</f>
        <v>low</v>
      </c>
      <c r="R863" s="37" t="str">
        <f t="shared" si="69"/>
        <v>AVERAGE</v>
      </c>
      <c r="S863" t="s">
        <v>620</v>
      </c>
    </row>
    <row r="864" spans="1:19" x14ac:dyDescent="0.2">
      <c r="A864" t="s">
        <v>1475</v>
      </c>
      <c r="B864" t="s">
        <v>83</v>
      </c>
      <c r="C864" t="s">
        <v>607</v>
      </c>
      <c r="D864">
        <v>319.98</v>
      </c>
      <c r="E864" s="37" t="str">
        <f t="shared" si="65"/>
        <v xml:space="preserve"> </v>
      </c>
      <c r="F864">
        <v>0.32</v>
      </c>
      <c r="G864" s="37" t="str">
        <f t="shared" si="66"/>
        <v>Heavy Discount</v>
      </c>
      <c r="H864" s="37" t="str">
        <f t="shared" si="67"/>
        <v>Medium</v>
      </c>
      <c r="I864">
        <v>4</v>
      </c>
      <c r="J864" t="str" cm="1">
        <f t="array" ref="J864">_xlfn.IFS(I864&lt;=3,"small",I864&lt;=6,"Medium",I864&lt;=9,"Large")</f>
        <v>Medium</v>
      </c>
      <c r="K864" s="36">
        <v>45537</v>
      </c>
      <c r="L864" s="36">
        <v>45541</v>
      </c>
      <c r="M864" t="s">
        <v>612</v>
      </c>
      <c r="N864" t="s">
        <v>604</v>
      </c>
      <c r="O864" s="37" t="str">
        <f t="shared" si="68"/>
        <v>Digital Payment</v>
      </c>
      <c r="P864">
        <v>82.33</v>
      </c>
      <c r="Q864" s="37" t="str">
        <f>IF(P864&gt;500,"High","low")</f>
        <v>low</v>
      </c>
      <c r="R864" s="37" t="str">
        <f t="shared" si="69"/>
        <v>AVERAGE</v>
      </c>
      <c r="S864" t="s">
        <v>620</v>
      </c>
    </row>
    <row r="865" spans="1:19" x14ac:dyDescent="0.2">
      <c r="A865" t="s">
        <v>1476</v>
      </c>
      <c r="B865" t="s">
        <v>83</v>
      </c>
      <c r="C865" t="s">
        <v>602</v>
      </c>
      <c r="D865">
        <v>3491.86</v>
      </c>
      <c r="E865" s="37" t="str">
        <f t="shared" si="65"/>
        <v xml:space="preserve"> </v>
      </c>
      <c r="F865">
        <v>0.17</v>
      </c>
      <c r="G865" s="37" t="str">
        <f t="shared" si="66"/>
        <v>Normal Discount</v>
      </c>
      <c r="H865" s="37" t="str">
        <f t="shared" si="67"/>
        <v>Low</v>
      </c>
      <c r="I865">
        <v>9</v>
      </c>
      <c r="J865" t="str" cm="1">
        <f t="array" ref="J865">_xlfn.IFS(I865&lt;=3,"small",I865&lt;=6,"Medium",I865&lt;=9,"Large")</f>
        <v>Large</v>
      </c>
      <c r="K865" s="36">
        <v>45490</v>
      </c>
      <c r="L865" s="36">
        <v>45491</v>
      </c>
      <c r="M865" t="s">
        <v>598</v>
      </c>
      <c r="N865" t="s">
        <v>604</v>
      </c>
      <c r="O865" s="37" t="str">
        <f t="shared" si="68"/>
        <v>Digital Payment</v>
      </c>
      <c r="P865">
        <v>573.13</v>
      </c>
      <c r="Q865" s="37" t="str">
        <f>IF(P865&gt;500,"High","low")</f>
        <v>High</v>
      </c>
      <c r="R865" s="37" t="str">
        <f t="shared" si="69"/>
        <v>Good</v>
      </c>
      <c r="S865" t="s">
        <v>609</v>
      </c>
    </row>
    <row r="866" spans="1:19" x14ac:dyDescent="0.2">
      <c r="A866" t="s">
        <v>1477</v>
      </c>
      <c r="B866" t="s">
        <v>67</v>
      </c>
      <c r="C866" t="s">
        <v>607</v>
      </c>
      <c r="D866">
        <v>4112.6400000000003</v>
      </c>
      <c r="E866" s="37" t="str">
        <f t="shared" si="65"/>
        <v xml:space="preserve"> </v>
      </c>
      <c r="F866">
        <v>0.49</v>
      </c>
      <c r="G866" s="37" t="str">
        <f t="shared" si="66"/>
        <v>Heavy Discount</v>
      </c>
      <c r="H866" s="37" t="str">
        <f t="shared" si="67"/>
        <v>High</v>
      </c>
      <c r="I866">
        <v>3</v>
      </c>
      <c r="J866" t="str" cm="1">
        <f t="array" ref="J866">_xlfn.IFS(I866&lt;=3,"small",I866&lt;=6,"Medium",I866&lt;=9,"Large")</f>
        <v>small</v>
      </c>
      <c r="K866" s="36">
        <v>45306</v>
      </c>
      <c r="L866" s="36">
        <v>45311</v>
      </c>
      <c r="M866" t="s">
        <v>612</v>
      </c>
      <c r="N866" t="s">
        <v>599</v>
      </c>
      <c r="O866" s="37" t="str">
        <f t="shared" si="68"/>
        <v>Digital Payment</v>
      </c>
      <c r="P866">
        <v>352.23</v>
      </c>
      <c r="Q866" s="37" t="str">
        <f>IF(P866&gt;500,"High","low")</f>
        <v>low</v>
      </c>
      <c r="R866" s="37" t="str">
        <f t="shared" si="69"/>
        <v>AVERAGE</v>
      </c>
      <c r="S866" t="s">
        <v>628</v>
      </c>
    </row>
    <row r="867" spans="1:19" x14ac:dyDescent="0.2">
      <c r="A867" t="s">
        <v>1478</v>
      </c>
      <c r="B867" t="s">
        <v>75</v>
      </c>
      <c r="C867" t="s">
        <v>617</v>
      </c>
      <c r="D867">
        <v>4448.57</v>
      </c>
      <c r="E867" s="37" t="str">
        <f t="shared" si="65"/>
        <v xml:space="preserve"> </v>
      </c>
      <c r="F867">
        <v>0.5</v>
      </c>
      <c r="G867" s="37" t="str">
        <f t="shared" si="66"/>
        <v>Heavy Discount</v>
      </c>
      <c r="H867" s="37" t="str">
        <f t="shared" si="67"/>
        <v>High</v>
      </c>
      <c r="I867">
        <v>9</v>
      </c>
      <c r="J867" t="str" cm="1">
        <f t="array" ref="J867">_xlfn.IFS(I867&lt;=3,"small",I867&lt;=6,"Medium",I867&lt;=9,"Large")</f>
        <v>Large</v>
      </c>
      <c r="K867" s="36">
        <v>45136</v>
      </c>
      <c r="L867" s="36">
        <v>45141</v>
      </c>
      <c r="M867" t="s">
        <v>603</v>
      </c>
      <c r="N867" t="s">
        <v>604</v>
      </c>
      <c r="O867" s="37" t="str">
        <f t="shared" si="68"/>
        <v>Digital Payment</v>
      </c>
      <c r="P867">
        <v>730.62</v>
      </c>
      <c r="Q867" s="37" t="str">
        <f>IF(P867&gt;500,"High","low")</f>
        <v>High</v>
      </c>
      <c r="R867" s="37" t="str">
        <f t="shared" si="69"/>
        <v>Good</v>
      </c>
      <c r="S867" t="s">
        <v>620</v>
      </c>
    </row>
    <row r="868" spans="1:19" x14ac:dyDescent="0.2">
      <c r="A868" t="s">
        <v>1479</v>
      </c>
      <c r="B868" t="s">
        <v>75</v>
      </c>
      <c r="C868" t="s">
        <v>597</v>
      </c>
      <c r="D868">
        <v>2790.73</v>
      </c>
      <c r="E868" s="37" t="str">
        <f t="shared" si="65"/>
        <v xml:space="preserve"> </v>
      </c>
      <c r="F868">
        <v>0.39</v>
      </c>
      <c r="G868" s="37" t="str">
        <f t="shared" si="66"/>
        <v>Heavy Discount</v>
      </c>
      <c r="H868" s="37" t="str">
        <f t="shared" si="67"/>
        <v>Medium</v>
      </c>
      <c r="I868">
        <v>6</v>
      </c>
      <c r="J868" t="str" cm="1">
        <f t="array" ref="J868">_xlfn.IFS(I868&lt;=3,"small",I868&lt;=6,"Medium",I868&lt;=9,"Large")</f>
        <v>Medium</v>
      </c>
      <c r="K868" s="36">
        <v>44970</v>
      </c>
      <c r="L868" s="36">
        <v>44974</v>
      </c>
      <c r="M868" t="s">
        <v>612</v>
      </c>
      <c r="N868" t="s">
        <v>608</v>
      </c>
      <c r="O868" s="37" t="str">
        <f t="shared" si="68"/>
        <v>Cash Payment</v>
      </c>
      <c r="P868">
        <v>447.8</v>
      </c>
      <c r="Q868" s="37" t="str">
        <f>IF(P868&gt;500,"High","low")</f>
        <v>low</v>
      </c>
      <c r="R868" s="37" t="str">
        <f t="shared" si="69"/>
        <v>AVERAGE</v>
      </c>
      <c r="S868" t="s">
        <v>615</v>
      </c>
    </row>
    <row r="869" spans="1:19" x14ac:dyDescent="0.2">
      <c r="A869" t="s">
        <v>1480</v>
      </c>
      <c r="B869" t="s">
        <v>83</v>
      </c>
      <c r="C869" t="s">
        <v>607</v>
      </c>
      <c r="D869">
        <v>4737.8999999999996</v>
      </c>
      <c r="E869" s="37" t="str">
        <f t="shared" si="65"/>
        <v>Excellent Order</v>
      </c>
      <c r="F869">
        <v>0.4</v>
      </c>
      <c r="G869" s="37" t="str">
        <f t="shared" si="66"/>
        <v>Heavy Discount</v>
      </c>
      <c r="H869" s="37" t="str">
        <f t="shared" si="67"/>
        <v>Medium</v>
      </c>
      <c r="I869">
        <v>5</v>
      </c>
      <c r="J869" t="str" cm="1">
        <f t="array" ref="J869">_xlfn.IFS(I869&lt;=3,"small",I869&lt;=6,"Medium",I869&lt;=9,"Large")</f>
        <v>Medium</v>
      </c>
      <c r="K869" s="36">
        <v>45391</v>
      </c>
      <c r="L869" s="36">
        <v>45396</v>
      </c>
      <c r="M869" t="s">
        <v>603</v>
      </c>
      <c r="N869" t="s">
        <v>599</v>
      </c>
      <c r="O869" s="37" t="str">
        <f t="shared" si="68"/>
        <v>Digital Payment</v>
      </c>
      <c r="P869">
        <v>858.35</v>
      </c>
      <c r="Q869" s="37" t="str">
        <f>IF(P869&gt;500,"High","low")</f>
        <v>High</v>
      </c>
      <c r="R869" s="37" t="str">
        <f t="shared" si="69"/>
        <v>Good</v>
      </c>
      <c r="S869" t="s">
        <v>620</v>
      </c>
    </row>
    <row r="870" spans="1:19" x14ac:dyDescent="0.2">
      <c r="A870" t="s">
        <v>1481</v>
      </c>
      <c r="B870" t="s">
        <v>90</v>
      </c>
      <c r="C870" t="s">
        <v>614</v>
      </c>
      <c r="D870">
        <v>127.66</v>
      </c>
      <c r="E870" s="37" t="str">
        <f t="shared" si="65"/>
        <v xml:space="preserve"> </v>
      </c>
      <c r="F870">
        <v>0.38</v>
      </c>
      <c r="G870" s="37" t="str">
        <f t="shared" si="66"/>
        <v>Heavy Discount</v>
      </c>
      <c r="H870" s="37" t="str">
        <f t="shared" si="67"/>
        <v>Medium</v>
      </c>
      <c r="I870">
        <v>2</v>
      </c>
      <c r="J870" t="str" cm="1">
        <f t="array" ref="J870">_xlfn.IFS(I870&lt;=3,"small",I870&lt;=6,"Medium",I870&lt;=9,"Large")</f>
        <v>small</v>
      </c>
      <c r="K870" s="36">
        <v>45455</v>
      </c>
      <c r="L870" s="36">
        <v>45458</v>
      </c>
      <c r="M870" t="s">
        <v>598</v>
      </c>
      <c r="N870" t="s">
        <v>604</v>
      </c>
      <c r="O870" s="37" t="str">
        <f t="shared" si="68"/>
        <v>Digital Payment</v>
      </c>
      <c r="P870">
        <v>36.08</v>
      </c>
      <c r="Q870" s="37" t="str">
        <f>IF(P870&gt;500,"High","low")</f>
        <v>low</v>
      </c>
      <c r="R870" s="37" t="str">
        <f t="shared" si="69"/>
        <v>AVERAGE</v>
      </c>
      <c r="S870" t="s">
        <v>609</v>
      </c>
    </row>
    <row r="871" spans="1:19" x14ac:dyDescent="0.2">
      <c r="A871" t="s">
        <v>1482</v>
      </c>
      <c r="B871" t="s">
        <v>83</v>
      </c>
      <c r="C871" t="s">
        <v>602</v>
      </c>
      <c r="D871">
        <v>756.69</v>
      </c>
      <c r="E871" s="37" t="str">
        <f t="shared" si="65"/>
        <v xml:space="preserve"> </v>
      </c>
      <c r="F871">
        <v>0.13</v>
      </c>
      <c r="G871" s="37" t="str">
        <f t="shared" si="66"/>
        <v>Normal Discount</v>
      </c>
      <c r="H871" s="37" t="str">
        <f t="shared" si="67"/>
        <v>Low</v>
      </c>
      <c r="I871">
        <v>6</v>
      </c>
      <c r="J871" t="str" cm="1">
        <f t="array" ref="J871">_xlfn.IFS(I871&lt;=3,"small",I871&lt;=6,"Medium",I871&lt;=9,"Large")</f>
        <v>Medium</v>
      </c>
      <c r="K871" s="36">
        <v>45257</v>
      </c>
      <c r="L871" s="36">
        <v>45261</v>
      </c>
      <c r="M871" t="s">
        <v>603</v>
      </c>
      <c r="N871" t="s">
        <v>608</v>
      </c>
      <c r="O871" s="37" t="str">
        <f t="shared" si="68"/>
        <v>Cash Payment</v>
      </c>
      <c r="P871">
        <v>154.78</v>
      </c>
      <c r="Q871" s="37" t="str">
        <f>IF(P871&gt;500,"High","low")</f>
        <v>low</v>
      </c>
      <c r="R871" s="37" t="str">
        <f t="shared" si="69"/>
        <v>AVERAGE</v>
      </c>
      <c r="S871" t="s">
        <v>615</v>
      </c>
    </row>
    <row r="872" spans="1:19" x14ac:dyDescent="0.2">
      <c r="A872" t="s">
        <v>1483</v>
      </c>
      <c r="B872" t="s">
        <v>75</v>
      </c>
      <c r="C872" t="s">
        <v>614</v>
      </c>
      <c r="D872">
        <v>1536.51</v>
      </c>
      <c r="E872" s="37" t="str">
        <f t="shared" si="65"/>
        <v xml:space="preserve"> </v>
      </c>
      <c r="F872">
        <v>0.08</v>
      </c>
      <c r="G872" s="37" t="str">
        <f t="shared" si="66"/>
        <v>Normal Discount</v>
      </c>
      <c r="H872" s="37" t="str">
        <f t="shared" si="67"/>
        <v>Low</v>
      </c>
      <c r="I872">
        <v>4</v>
      </c>
      <c r="J872" t="str" cm="1">
        <f t="array" ref="J872">_xlfn.IFS(I872&lt;=3,"small",I872&lt;=6,"Medium",I872&lt;=9,"Large")</f>
        <v>Medium</v>
      </c>
      <c r="K872" s="36">
        <v>45583</v>
      </c>
      <c r="L872" s="36">
        <v>45585</v>
      </c>
      <c r="M872" t="s">
        <v>603</v>
      </c>
      <c r="N872" t="s">
        <v>599</v>
      </c>
      <c r="O872" s="37" t="str">
        <f t="shared" si="68"/>
        <v>Digital Payment</v>
      </c>
      <c r="P872">
        <v>111.39</v>
      </c>
      <c r="Q872" s="37" t="str">
        <f>IF(P872&gt;500,"High","low")</f>
        <v>low</v>
      </c>
      <c r="R872" s="37" t="str">
        <f t="shared" si="69"/>
        <v>AVERAGE</v>
      </c>
      <c r="S872" t="s">
        <v>609</v>
      </c>
    </row>
    <row r="873" spans="1:19" x14ac:dyDescent="0.2">
      <c r="A873" t="s">
        <v>1484</v>
      </c>
      <c r="B873" t="s">
        <v>67</v>
      </c>
      <c r="C873" t="s">
        <v>607</v>
      </c>
      <c r="D873">
        <v>3966.22</v>
      </c>
      <c r="E873" s="37" t="str">
        <f t="shared" si="65"/>
        <v xml:space="preserve"> </v>
      </c>
      <c r="F873">
        <v>0.28000000000000003</v>
      </c>
      <c r="G873" s="37" t="str">
        <f t="shared" si="66"/>
        <v>Normal Discount</v>
      </c>
      <c r="H873" s="37" t="str">
        <f t="shared" si="67"/>
        <v>Medium</v>
      </c>
      <c r="I873">
        <v>5</v>
      </c>
      <c r="J873" t="str" cm="1">
        <f t="array" ref="J873">_xlfn.IFS(I873&lt;=3,"small",I873&lt;=6,"Medium",I873&lt;=9,"Large")</f>
        <v>Medium</v>
      </c>
      <c r="K873" s="36">
        <v>45234</v>
      </c>
      <c r="L873" s="36">
        <v>45238</v>
      </c>
      <c r="M873" t="s">
        <v>612</v>
      </c>
      <c r="N873" t="s">
        <v>608</v>
      </c>
      <c r="O873" s="37" t="str">
        <f t="shared" si="68"/>
        <v>Cash Payment</v>
      </c>
      <c r="P873">
        <v>625.4</v>
      </c>
      <c r="Q873" s="37" t="str">
        <f>IF(P873&gt;500,"High","low")</f>
        <v>High</v>
      </c>
      <c r="R873" s="37" t="str">
        <f t="shared" si="69"/>
        <v>Good</v>
      </c>
      <c r="S873" t="s">
        <v>620</v>
      </c>
    </row>
    <row r="874" spans="1:19" x14ac:dyDescent="0.2">
      <c r="A874" t="s">
        <v>1485</v>
      </c>
      <c r="B874" t="s">
        <v>83</v>
      </c>
      <c r="C874" t="s">
        <v>597</v>
      </c>
      <c r="D874">
        <v>4438.41</v>
      </c>
      <c r="E874" s="37" t="str">
        <f t="shared" si="65"/>
        <v xml:space="preserve"> </v>
      </c>
      <c r="F874">
        <v>0.48</v>
      </c>
      <c r="G874" s="37" t="str">
        <f t="shared" si="66"/>
        <v>Heavy Discount</v>
      </c>
      <c r="H874" s="37" t="str">
        <f t="shared" si="67"/>
        <v>High</v>
      </c>
      <c r="I874">
        <v>6</v>
      </c>
      <c r="J874" t="str" cm="1">
        <f t="array" ref="J874">_xlfn.IFS(I874&lt;=3,"small",I874&lt;=6,"Medium",I874&lt;=9,"Large")</f>
        <v>Medium</v>
      </c>
      <c r="K874" s="36">
        <v>45615</v>
      </c>
      <c r="L874" s="36">
        <v>45617</v>
      </c>
      <c r="M874" t="s">
        <v>603</v>
      </c>
      <c r="N874" t="s">
        <v>604</v>
      </c>
      <c r="O874" s="37" t="str">
        <f t="shared" si="68"/>
        <v>Digital Payment</v>
      </c>
      <c r="P874">
        <v>727.61</v>
      </c>
      <c r="Q874" s="37" t="str">
        <f>IF(P874&gt;500,"High","low")</f>
        <v>High</v>
      </c>
      <c r="R874" s="37" t="str">
        <f t="shared" si="69"/>
        <v>Good</v>
      </c>
      <c r="S874" t="s">
        <v>628</v>
      </c>
    </row>
    <row r="875" spans="1:19" x14ac:dyDescent="0.2">
      <c r="A875" t="s">
        <v>1486</v>
      </c>
      <c r="B875" t="s">
        <v>75</v>
      </c>
      <c r="C875" t="s">
        <v>597</v>
      </c>
      <c r="D875">
        <v>3128.86</v>
      </c>
      <c r="E875" s="37" t="str">
        <f t="shared" si="65"/>
        <v xml:space="preserve"> </v>
      </c>
      <c r="F875">
        <v>0.44</v>
      </c>
      <c r="G875" s="37" t="str">
        <f t="shared" si="66"/>
        <v>Heavy Discount</v>
      </c>
      <c r="H875" s="37" t="str">
        <f t="shared" si="67"/>
        <v>High</v>
      </c>
      <c r="I875">
        <v>7</v>
      </c>
      <c r="J875" t="str" cm="1">
        <f t="array" ref="J875">_xlfn.IFS(I875&lt;=3,"small",I875&lt;=6,"Medium",I875&lt;=9,"Large")</f>
        <v>Large</v>
      </c>
      <c r="K875" s="36">
        <v>44997</v>
      </c>
      <c r="L875" s="36">
        <v>45002</v>
      </c>
      <c r="M875" t="s">
        <v>598</v>
      </c>
      <c r="N875" t="s">
        <v>604</v>
      </c>
      <c r="O875" s="37" t="str">
        <f t="shared" si="68"/>
        <v>Digital Payment</v>
      </c>
      <c r="P875">
        <v>802.57</v>
      </c>
      <c r="Q875" s="37" t="str">
        <f>IF(P875&gt;500,"High","low")</f>
        <v>High</v>
      </c>
      <c r="R875" s="37" t="str">
        <f t="shared" si="69"/>
        <v>Good</v>
      </c>
      <c r="S875" t="s">
        <v>615</v>
      </c>
    </row>
    <row r="876" spans="1:19" x14ac:dyDescent="0.2">
      <c r="A876" t="s">
        <v>1487</v>
      </c>
      <c r="B876" t="s">
        <v>83</v>
      </c>
      <c r="C876" t="s">
        <v>614</v>
      </c>
      <c r="D876">
        <v>1977.86</v>
      </c>
      <c r="E876" s="37" t="str">
        <f t="shared" si="65"/>
        <v xml:space="preserve"> </v>
      </c>
      <c r="F876">
        <v>0.05</v>
      </c>
      <c r="G876" s="37" t="str">
        <f t="shared" si="66"/>
        <v>Normal Discount</v>
      </c>
      <c r="H876" s="37" t="str">
        <f t="shared" si="67"/>
        <v>Low</v>
      </c>
      <c r="I876">
        <v>4</v>
      </c>
      <c r="J876" t="str" cm="1">
        <f t="array" ref="J876">_xlfn.IFS(I876&lt;=3,"small",I876&lt;=6,"Medium",I876&lt;=9,"Large")</f>
        <v>Medium</v>
      </c>
      <c r="K876" s="36">
        <v>45216</v>
      </c>
      <c r="L876" s="36">
        <v>45220</v>
      </c>
      <c r="M876" t="s">
        <v>598</v>
      </c>
      <c r="N876" t="s">
        <v>608</v>
      </c>
      <c r="O876" s="37" t="str">
        <f t="shared" si="68"/>
        <v>Cash Payment</v>
      </c>
      <c r="P876">
        <v>354.58</v>
      </c>
      <c r="Q876" s="37" t="str">
        <f>IF(P876&gt;500,"High","low")</f>
        <v>low</v>
      </c>
      <c r="R876" s="37" t="str">
        <f t="shared" si="69"/>
        <v>AVERAGE</v>
      </c>
      <c r="S876" t="s">
        <v>600</v>
      </c>
    </row>
    <row r="877" spans="1:19" x14ac:dyDescent="0.2">
      <c r="A877" t="s">
        <v>1488</v>
      </c>
      <c r="B877" t="s">
        <v>90</v>
      </c>
      <c r="C877" t="s">
        <v>617</v>
      </c>
      <c r="D877">
        <v>3362.64</v>
      </c>
      <c r="E877" s="37" t="str">
        <f t="shared" si="65"/>
        <v xml:space="preserve"> </v>
      </c>
      <c r="F877">
        <v>0.03</v>
      </c>
      <c r="G877" s="37" t="str">
        <f t="shared" si="66"/>
        <v>Normal Discount</v>
      </c>
      <c r="H877" s="37" t="str">
        <f t="shared" si="67"/>
        <v>Low</v>
      </c>
      <c r="I877">
        <v>8</v>
      </c>
      <c r="J877" t="str" cm="1">
        <f t="array" ref="J877">_xlfn.IFS(I877&lt;=3,"small",I877&lt;=6,"Medium",I877&lt;=9,"Large")</f>
        <v>Large</v>
      </c>
      <c r="K877" s="36">
        <v>45147</v>
      </c>
      <c r="L877" s="36">
        <v>45154</v>
      </c>
      <c r="M877" t="s">
        <v>603</v>
      </c>
      <c r="N877" t="s">
        <v>604</v>
      </c>
      <c r="O877" s="37" t="str">
        <f t="shared" si="68"/>
        <v>Digital Payment</v>
      </c>
      <c r="P877">
        <v>531.57000000000005</v>
      </c>
      <c r="Q877" s="37" t="str">
        <f>IF(P877&gt;500,"High","low")</f>
        <v>High</v>
      </c>
      <c r="R877" s="37" t="str">
        <f t="shared" si="69"/>
        <v>Good</v>
      </c>
      <c r="S877" t="s">
        <v>615</v>
      </c>
    </row>
    <row r="878" spans="1:19" x14ac:dyDescent="0.2">
      <c r="A878" t="s">
        <v>1489</v>
      </c>
      <c r="B878" t="s">
        <v>83</v>
      </c>
      <c r="C878" t="s">
        <v>617</v>
      </c>
      <c r="D878">
        <v>986.41</v>
      </c>
      <c r="E878" s="37" t="str">
        <f t="shared" si="65"/>
        <v xml:space="preserve"> </v>
      </c>
      <c r="F878">
        <v>0.44</v>
      </c>
      <c r="G878" s="37" t="str">
        <f t="shared" si="66"/>
        <v>Heavy Discount</v>
      </c>
      <c r="H878" s="37" t="str">
        <f t="shared" si="67"/>
        <v>High</v>
      </c>
      <c r="I878">
        <v>5</v>
      </c>
      <c r="J878" t="str" cm="1">
        <f t="array" ref="J878">_xlfn.IFS(I878&lt;=3,"small",I878&lt;=6,"Medium",I878&lt;=9,"Large")</f>
        <v>Medium</v>
      </c>
      <c r="K878" s="36">
        <v>45596</v>
      </c>
      <c r="L878" s="36">
        <v>45599</v>
      </c>
      <c r="M878" t="s">
        <v>598</v>
      </c>
      <c r="N878" t="s">
        <v>608</v>
      </c>
      <c r="O878" s="37" t="str">
        <f t="shared" si="68"/>
        <v>Cash Payment</v>
      </c>
      <c r="P878">
        <v>82.47</v>
      </c>
      <c r="Q878" s="37" t="str">
        <f>IF(P878&gt;500,"High","low")</f>
        <v>low</v>
      </c>
      <c r="R878" s="37" t="str">
        <f t="shared" si="69"/>
        <v>AVERAGE</v>
      </c>
      <c r="S878" t="s">
        <v>609</v>
      </c>
    </row>
    <row r="879" spans="1:19" x14ac:dyDescent="0.2">
      <c r="A879" t="s">
        <v>1490</v>
      </c>
      <c r="B879" t="s">
        <v>83</v>
      </c>
      <c r="C879" t="s">
        <v>597</v>
      </c>
      <c r="D879">
        <v>2343.58</v>
      </c>
      <c r="E879" s="37" t="str">
        <f t="shared" si="65"/>
        <v xml:space="preserve"> </v>
      </c>
      <c r="F879">
        <v>0.31</v>
      </c>
      <c r="G879" s="37" t="str">
        <f t="shared" si="66"/>
        <v>Heavy Discount</v>
      </c>
      <c r="H879" s="37" t="str">
        <f t="shared" si="67"/>
        <v>Medium</v>
      </c>
      <c r="I879">
        <v>7</v>
      </c>
      <c r="J879" t="str" cm="1">
        <f t="array" ref="J879">_xlfn.IFS(I879&lt;=3,"small",I879&lt;=6,"Medium",I879&lt;=9,"Large")</f>
        <v>Large</v>
      </c>
      <c r="K879" s="36">
        <v>45544</v>
      </c>
      <c r="L879" s="36">
        <v>45549</v>
      </c>
      <c r="M879" t="s">
        <v>603</v>
      </c>
      <c r="N879" t="s">
        <v>604</v>
      </c>
      <c r="O879" s="37" t="str">
        <f t="shared" si="68"/>
        <v>Digital Payment</v>
      </c>
      <c r="P879">
        <v>574.1</v>
      </c>
      <c r="Q879" s="37" t="str">
        <f>IF(P879&gt;500,"High","low")</f>
        <v>High</v>
      </c>
      <c r="R879" s="37" t="str">
        <f t="shared" si="69"/>
        <v>Good</v>
      </c>
      <c r="S879" t="s">
        <v>620</v>
      </c>
    </row>
    <row r="880" spans="1:19" x14ac:dyDescent="0.2">
      <c r="A880" t="s">
        <v>1491</v>
      </c>
      <c r="B880" t="s">
        <v>75</v>
      </c>
      <c r="C880" t="s">
        <v>614</v>
      </c>
      <c r="D880">
        <v>2586.9699999999998</v>
      </c>
      <c r="E880" s="37" t="str">
        <f t="shared" si="65"/>
        <v xml:space="preserve"> </v>
      </c>
      <c r="F880">
        <v>0.15</v>
      </c>
      <c r="G880" s="37" t="str">
        <f t="shared" si="66"/>
        <v>Normal Discount</v>
      </c>
      <c r="H880" s="37" t="str">
        <f t="shared" si="67"/>
        <v>Low</v>
      </c>
      <c r="I880">
        <v>6</v>
      </c>
      <c r="J880" t="str" cm="1">
        <f t="array" ref="J880">_xlfn.IFS(I880&lt;=3,"small",I880&lt;=6,"Medium",I880&lt;=9,"Large")</f>
        <v>Medium</v>
      </c>
      <c r="K880" s="36">
        <v>45437</v>
      </c>
      <c r="L880" s="36">
        <v>45444</v>
      </c>
      <c r="M880" t="s">
        <v>603</v>
      </c>
      <c r="N880" t="s">
        <v>599</v>
      </c>
      <c r="O880" s="37" t="str">
        <f t="shared" si="68"/>
        <v>Digital Payment</v>
      </c>
      <c r="P880">
        <v>628.32000000000005</v>
      </c>
      <c r="Q880" s="37" t="str">
        <f>IF(P880&gt;500,"High","low")</f>
        <v>High</v>
      </c>
      <c r="R880" s="37" t="str">
        <f t="shared" si="69"/>
        <v>Good</v>
      </c>
      <c r="S880" t="s">
        <v>628</v>
      </c>
    </row>
    <row r="881" spans="1:19" x14ac:dyDescent="0.2">
      <c r="A881" t="s">
        <v>1492</v>
      </c>
      <c r="B881" t="s">
        <v>75</v>
      </c>
      <c r="C881" t="s">
        <v>614</v>
      </c>
      <c r="D881">
        <v>613.87</v>
      </c>
      <c r="E881" s="37" t="str">
        <f t="shared" si="65"/>
        <v xml:space="preserve"> </v>
      </c>
      <c r="F881">
        <v>0.28000000000000003</v>
      </c>
      <c r="G881" s="37" t="str">
        <f t="shared" si="66"/>
        <v>Normal Discount</v>
      </c>
      <c r="H881" s="37" t="str">
        <f t="shared" si="67"/>
        <v>Medium</v>
      </c>
      <c r="I881">
        <v>5</v>
      </c>
      <c r="J881" t="str" cm="1">
        <f t="array" ref="J881">_xlfn.IFS(I881&lt;=3,"small",I881&lt;=6,"Medium",I881&lt;=9,"Large")</f>
        <v>Medium</v>
      </c>
      <c r="K881" s="36">
        <v>45467</v>
      </c>
      <c r="L881" s="36">
        <v>45473</v>
      </c>
      <c r="M881" t="s">
        <v>598</v>
      </c>
      <c r="N881" t="s">
        <v>604</v>
      </c>
      <c r="O881" s="37" t="str">
        <f t="shared" si="68"/>
        <v>Digital Payment</v>
      </c>
      <c r="P881">
        <v>61.44</v>
      </c>
      <c r="Q881" s="37" t="str">
        <f>IF(P881&gt;500,"High","low")</f>
        <v>low</v>
      </c>
      <c r="R881" s="37" t="str">
        <f t="shared" si="69"/>
        <v>AVERAGE</v>
      </c>
      <c r="S881" t="s">
        <v>615</v>
      </c>
    </row>
    <row r="882" spans="1:19" x14ac:dyDescent="0.2">
      <c r="A882" t="s">
        <v>1493</v>
      </c>
      <c r="B882" t="s">
        <v>75</v>
      </c>
      <c r="C882" t="s">
        <v>614</v>
      </c>
      <c r="D882">
        <v>265.98</v>
      </c>
      <c r="E882" s="37" t="str">
        <f t="shared" si="65"/>
        <v xml:space="preserve"> </v>
      </c>
      <c r="F882">
        <v>0.11</v>
      </c>
      <c r="G882" s="37" t="str">
        <f t="shared" si="66"/>
        <v>Normal Discount</v>
      </c>
      <c r="H882" s="37" t="str">
        <f t="shared" si="67"/>
        <v>Low</v>
      </c>
      <c r="I882">
        <v>7</v>
      </c>
      <c r="J882" t="str" cm="1">
        <f t="array" ref="J882">_xlfn.IFS(I882&lt;=3,"small",I882&lt;=6,"Medium",I882&lt;=9,"Large")</f>
        <v>Large</v>
      </c>
      <c r="K882" s="36">
        <v>45412</v>
      </c>
      <c r="L882" s="36">
        <v>45417</v>
      </c>
      <c r="M882" t="s">
        <v>612</v>
      </c>
      <c r="N882" t="s">
        <v>599</v>
      </c>
      <c r="O882" s="37" t="str">
        <f t="shared" si="68"/>
        <v>Digital Payment</v>
      </c>
      <c r="P882">
        <v>57.23</v>
      </c>
      <c r="Q882" s="37" t="str">
        <f>IF(P882&gt;500,"High","low")</f>
        <v>low</v>
      </c>
      <c r="R882" s="37" t="str">
        <f t="shared" si="69"/>
        <v>AVERAGE</v>
      </c>
      <c r="S882" t="s">
        <v>615</v>
      </c>
    </row>
    <row r="883" spans="1:19" x14ac:dyDescent="0.2">
      <c r="A883" t="s">
        <v>1494</v>
      </c>
      <c r="B883" t="s">
        <v>83</v>
      </c>
      <c r="C883" t="s">
        <v>607</v>
      </c>
      <c r="D883">
        <v>3775.52</v>
      </c>
      <c r="E883" s="37" t="str">
        <f t="shared" si="65"/>
        <v xml:space="preserve"> </v>
      </c>
      <c r="F883">
        <v>0.47</v>
      </c>
      <c r="G883" s="37" t="str">
        <f t="shared" si="66"/>
        <v>Heavy Discount</v>
      </c>
      <c r="H883" s="37" t="str">
        <f t="shared" si="67"/>
        <v>High</v>
      </c>
      <c r="I883">
        <v>4</v>
      </c>
      <c r="J883" t="str" cm="1">
        <f t="array" ref="J883">_xlfn.IFS(I883&lt;=3,"small",I883&lt;=6,"Medium",I883&lt;=9,"Large")</f>
        <v>Medium</v>
      </c>
      <c r="K883" s="36">
        <v>45102</v>
      </c>
      <c r="L883" s="36">
        <v>45107</v>
      </c>
      <c r="M883" t="s">
        <v>603</v>
      </c>
      <c r="N883" t="s">
        <v>599</v>
      </c>
      <c r="O883" s="37" t="str">
        <f t="shared" si="68"/>
        <v>Digital Payment</v>
      </c>
      <c r="P883">
        <v>267.91000000000003</v>
      </c>
      <c r="Q883" s="37" t="str">
        <f>IF(P883&gt;500,"High","low")</f>
        <v>low</v>
      </c>
      <c r="R883" s="37" t="str">
        <f t="shared" si="69"/>
        <v>AVERAGE</v>
      </c>
      <c r="S883" t="s">
        <v>615</v>
      </c>
    </row>
    <row r="884" spans="1:19" x14ac:dyDescent="0.2">
      <c r="A884" t="s">
        <v>1495</v>
      </c>
      <c r="B884" t="s">
        <v>90</v>
      </c>
      <c r="C884" t="s">
        <v>617</v>
      </c>
      <c r="D884">
        <v>2720.06</v>
      </c>
      <c r="E884" s="37" t="str">
        <f t="shared" si="65"/>
        <v xml:space="preserve"> </v>
      </c>
      <c r="F884">
        <v>0.41</v>
      </c>
      <c r="G884" s="37" t="str">
        <f t="shared" si="66"/>
        <v>Heavy Discount</v>
      </c>
      <c r="H884" s="37" t="str">
        <f t="shared" si="67"/>
        <v>High</v>
      </c>
      <c r="I884">
        <v>7</v>
      </c>
      <c r="J884" t="str" cm="1">
        <f t="array" ref="J884">_xlfn.IFS(I884&lt;=3,"small",I884&lt;=6,"Medium",I884&lt;=9,"Large")</f>
        <v>Large</v>
      </c>
      <c r="K884" s="36">
        <v>45318</v>
      </c>
      <c r="L884" s="36">
        <v>45320</v>
      </c>
      <c r="M884" t="s">
        <v>612</v>
      </c>
      <c r="N884" t="s">
        <v>608</v>
      </c>
      <c r="O884" s="37" t="str">
        <f t="shared" si="68"/>
        <v>Cash Payment</v>
      </c>
      <c r="P884">
        <v>528.99</v>
      </c>
      <c r="Q884" s="37" t="str">
        <f>IF(P884&gt;500,"High","low")</f>
        <v>High</v>
      </c>
      <c r="R884" s="37" t="str">
        <f t="shared" si="69"/>
        <v>Good</v>
      </c>
      <c r="S884" t="s">
        <v>600</v>
      </c>
    </row>
    <row r="885" spans="1:19" x14ac:dyDescent="0.2">
      <c r="A885" t="s">
        <v>1496</v>
      </c>
      <c r="B885" t="s">
        <v>67</v>
      </c>
      <c r="C885" t="s">
        <v>617</v>
      </c>
      <c r="D885">
        <v>1727.97</v>
      </c>
      <c r="E885" s="37" t="str">
        <f t="shared" si="65"/>
        <v xml:space="preserve"> </v>
      </c>
      <c r="F885">
        <v>0.48</v>
      </c>
      <c r="G885" s="37" t="str">
        <f t="shared" si="66"/>
        <v>Heavy Discount</v>
      </c>
      <c r="H885" s="37" t="str">
        <f t="shared" si="67"/>
        <v>High</v>
      </c>
      <c r="I885">
        <v>3</v>
      </c>
      <c r="J885" t="str" cm="1">
        <f t="array" ref="J885">_xlfn.IFS(I885&lt;=3,"small",I885&lt;=6,"Medium",I885&lt;=9,"Large")</f>
        <v>small</v>
      </c>
      <c r="K885" s="36">
        <v>45506</v>
      </c>
      <c r="L885" s="36">
        <v>45508</v>
      </c>
      <c r="M885" t="s">
        <v>612</v>
      </c>
      <c r="N885" t="s">
        <v>604</v>
      </c>
      <c r="O885" s="37" t="str">
        <f t="shared" si="68"/>
        <v>Digital Payment</v>
      </c>
      <c r="P885">
        <v>320.94</v>
      </c>
      <c r="Q885" s="37" t="str">
        <f>IF(P885&gt;500,"High","low")</f>
        <v>low</v>
      </c>
      <c r="R885" s="37" t="str">
        <f t="shared" si="69"/>
        <v>AVERAGE</v>
      </c>
      <c r="S885" t="s">
        <v>620</v>
      </c>
    </row>
    <row r="886" spans="1:19" x14ac:dyDescent="0.2">
      <c r="A886" t="s">
        <v>1497</v>
      </c>
      <c r="B886" t="s">
        <v>67</v>
      </c>
      <c r="C886" t="s">
        <v>607</v>
      </c>
      <c r="D886">
        <v>2242.42</v>
      </c>
      <c r="E886" s="37" t="str">
        <f t="shared" si="65"/>
        <v xml:space="preserve"> </v>
      </c>
      <c r="F886">
        <v>0.09</v>
      </c>
      <c r="G886" s="37" t="str">
        <f t="shared" si="66"/>
        <v>Normal Discount</v>
      </c>
      <c r="H886" s="37" t="str">
        <f t="shared" si="67"/>
        <v>Low</v>
      </c>
      <c r="I886">
        <v>8</v>
      </c>
      <c r="J886" t="str" cm="1">
        <f t="array" ref="J886">_xlfn.IFS(I886&lt;=3,"small",I886&lt;=6,"Medium",I886&lt;=9,"Large")</f>
        <v>Large</v>
      </c>
      <c r="K886" s="36">
        <v>45018</v>
      </c>
      <c r="L886" s="36">
        <v>45025</v>
      </c>
      <c r="M886" t="s">
        <v>603</v>
      </c>
      <c r="N886" t="s">
        <v>608</v>
      </c>
      <c r="O886" s="37" t="str">
        <f t="shared" si="68"/>
        <v>Cash Payment</v>
      </c>
      <c r="P886">
        <v>182.19</v>
      </c>
      <c r="Q886" s="37" t="str">
        <f>IF(P886&gt;500,"High","low")</f>
        <v>low</v>
      </c>
      <c r="R886" s="37" t="str">
        <f t="shared" si="69"/>
        <v>AVERAGE</v>
      </c>
      <c r="S886" t="s">
        <v>628</v>
      </c>
    </row>
    <row r="887" spans="1:19" x14ac:dyDescent="0.2">
      <c r="A887" t="s">
        <v>1498</v>
      </c>
      <c r="B887" t="s">
        <v>75</v>
      </c>
      <c r="C887" t="s">
        <v>602</v>
      </c>
      <c r="D887">
        <v>4792.75</v>
      </c>
      <c r="E887" s="37" t="str">
        <f t="shared" si="65"/>
        <v>Excellent Order</v>
      </c>
      <c r="F887">
        <v>0.42</v>
      </c>
      <c r="G887" s="37" t="str">
        <f t="shared" si="66"/>
        <v>Heavy Discount</v>
      </c>
      <c r="H887" s="37" t="str">
        <f t="shared" si="67"/>
        <v>High</v>
      </c>
      <c r="I887">
        <v>4</v>
      </c>
      <c r="J887" t="str" cm="1">
        <f t="array" ref="J887">_xlfn.IFS(I887&lt;=3,"small",I887&lt;=6,"Medium",I887&lt;=9,"Large")</f>
        <v>Medium</v>
      </c>
      <c r="K887" s="36">
        <v>45234</v>
      </c>
      <c r="L887" s="36">
        <v>45237</v>
      </c>
      <c r="M887" t="s">
        <v>598</v>
      </c>
      <c r="N887" t="s">
        <v>604</v>
      </c>
      <c r="O887" s="37" t="str">
        <f t="shared" si="68"/>
        <v>Digital Payment</v>
      </c>
      <c r="P887">
        <v>1033.5999999999999</v>
      </c>
      <c r="Q887" s="37" t="str">
        <f>IF(P887&gt;500,"High","low")</f>
        <v>High</v>
      </c>
      <c r="R887" s="37" t="str">
        <f t="shared" si="69"/>
        <v>Excellent</v>
      </c>
      <c r="S887" t="s">
        <v>615</v>
      </c>
    </row>
    <row r="888" spans="1:19" x14ac:dyDescent="0.2">
      <c r="A888" t="s">
        <v>1499</v>
      </c>
      <c r="B888" t="s">
        <v>75</v>
      </c>
      <c r="C888" t="s">
        <v>607</v>
      </c>
      <c r="D888">
        <v>1986.08</v>
      </c>
      <c r="E888" s="37" t="str">
        <f t="shared" si="65"/>
        <v xml:space="preserve"> </v>
      </c>
      <c r="F888">
        <v>0.28000000000000003</v>
      </c>
      <c r="G888" s="37" t="str">
        <f t="shared" si="66"/>
        <v>Normal Discount</v>
      </c>
      <c r="H888" s="37" t="str">
        <f t="shared" si="67"/>
        <v>Medium</v>
      </c>
      <c r="I888">
        <v>4</v>
      </c>
      <c r="J888" t="str" cm="1">
        <f t="array" ref="J888">_xlfn.IFS(I888&lt;=3,"small",I888&lt;=6,"Medium",I888&lt;=9,"Large")</f>
        <v>Medium</v>
      </c>
      <c r="K888" s="36">
        <v>45513</v>
      </c>
      <c r="L888" s="36">
        <v>45515</v>
      </c>
      <c r="M888" t="s">
        <v>603</v>
      </c>
      <c r="N888" t="s">
        <v>599</v>
      </c>
      <c r="O888" s="37" t="str">
        <f t="shared" si="68"/>
        <v>Digital Payment</v>
      </c>
      <c r="P888">
        <v>142.44</v>
      </c>
      <c r="Q888" s="37" t="str">
        <f>IF(P888&gt;500,"High","low")</f>
        <v>low</v>
      </c>
      <c r="R888" s="37" t="str">
        <f t="shared" si="69"/>
        <v>AVERAGE</v>
      </c>
      <c r="S888" t="s">
        <v>609</v>
      </c>
    </row>
    <row r="889" spans="1:19" x14ac:dyDescent="0.2">
      <c r="A889" t="s">
        <v>1500</v>
      </c>
      <c r="B889" t="s">
        <v>83</v>
      </c>
      <c r="C889" t="s">
        <v>614</v>
      </c>
      <c r="D889">
        <v>607.04999999999995</v>
      </c>
      <c r="E889" s="37" t="str">
        <f t="shared" si="65"/>
        <v xml:space="preserve"> </v>
      </c>
      <c r="F889">
        <v>0.16</v>
      </c>
      <c r="G889" s="37" t="str">
        <f t="shared" si="66"/>
        <v>Normal Discount</v>
      </c>
      <c r="H889" s="37" t="str">
        <f t="shared" si="67"/>
        <v>Low</v>
      </c>
      <c r="I889">
        <v>1</v>
      </c>
      <c r="J889" t="str" cm="1">
        <f t="array" ref="J889">_xlfn.IFS(I889&lt;=3,"small",I889&lt;=6,"Medium",I889&lt;=9,"Large")</f>
        <v>small</v>
      </c>
      <c r="K889" s="36">
        <v>45264</v>
      </c>
      <c r="L889" s="36">
        <v>45271</v>
      </c>
      <c r="M889" t="s">
        <v>598</v>
      </c>
      <c r="N889" t="s">
        <v>604</v>
      </c>
      <c r="O889" s="37" t="str">
        <f t="shared" si="68"/>
        <v>Digital Payment</v>
      </c>
      <c r="P889">
        <v>153.75</v>
      </c>
      <c r="Q889" s="37" t="str">
        <f>IF(P889&gt;500,"High","low")</f>
        <v>low</v>
      </c>
      <c r="R889" s="37" t="str">
        <f t="shared" si="69"/>
        <v>AVERAGE</v>
      </c>
      <c r="S889" t="s">
        <v>605</v>
      </c>
    </row>
    <row r="890" spans="1:19" x14ac:dyDescent="0.2">
      <c r="A890" t="s">
        <v>1501</v>
      </c>
      <c r="B890" t="s">
        <v>67</v>
      </c>
      <c r="C890" t="s">
        <v>607</v>
      </c>
      <c r="D890">
        <v>2371.65</v>
      </c>
      <c r="E890" s="37" t="str">
        <f t="shared" si="65"/>
        <v xml:space="preserve"> </v>
      </c>
      <c r="F890">
        <v>0.24</v>
      </c>
      <c r="G890" s="37" t="str">
        <f t="shared" si="66"/>
        <v>Normal Discount</v>
      </c>
      <c r="H890" s="37" t="str">
        <f t="shared" si="67"/>
        <v>Medium</v>
      </c>
      <c r="I890">
        <v>8</v>
      </c>
      <c r="J890" t="str" cm="1">
        <f t="array" ref="J890">_xlfn.IFS(I890&lt;=3,"small",I890&lt;=6,"Medium",I890&lt;=9,"Large")</f>
        <v>Large</v>
      </c>
      <c r="K890" s="36">
        <v>45523</v>
      </c>
      <c r="L890" s="36">
        <v>45529</v>
      </c>
      <c r="M890" t="s">
        <v>603</v>
      </c>
      <c r="N890" t="s">
        <v>608</v>
      </c>
      <c r="O890" s="37" t="str">
        <f t="shared" si="68"/>
        <v>Cash Payment</v>
      </c>
      <c r="P890">
        <v>208.68</v>
      </c>
      <c r="Q890" s="37" t="str">
        <f>IF(P890&gt;500,"High","low")</f>
        <v>low</v>
      </c>
      <c r="R890" s="37" t="str">
        <f t="shared" si="69"/>
        <v>AVERAGE</v>
      </c>
      <c r="S890" t="s">
        <v>609</v>
      </c>
    </row>
    <row r="891" spans="1:19" x14ac:dyDescent="0.2">
      <c r="A891" t="s">
        <v>1502</v>
      </c>
      <c r="B891" t="s">
        <v>75</v>
      </c>
      <c r="C891" t="s">
        <v>614</v>
      </c>
      <c r="D891">
        <v>3275.44</v>
      </c>
      <c r="E891" s="37" t="str">
        <f t="shared" si="65"/>
        <v xml:space="preserve"> </v>
      </c>
      <c r="F891">
        <v>0.47</v>
      </c>
      <c r="G891" s="37" t="str">
        <f t="shared" si="66"/>
        <v>Heavy Discount</v>
      </c>
      <c r="H891" s="37" t="str">
        <f t="shared" si="67"/>
        <v>High</v>
      </c>
      <c r="I891">
        <v>5</v>
      </c>
      <c r="J891" t="str" cm="1">
        <f t="array" ref="J891">_xlfn.IFS(I891&lt;=3,"small",I891&lt;=6,"Medium",I891&lt;=9,"Large")</f>
        <v>Medium</v>
      </c>
      <c r="K891" s="36">
        <v>44984</v>
      </c>
      <c r="L891" s="36">
        <v>44991</v>
      </c>
      <c r="M891" t="s">
        <v>612</v>
      </c>
      <c r="N891" t="s">
        <v>608</v>
      </c>
      <c r="O891" s="37" t="str">
        <f t="shared" si="68"/>
        <v>Cash Payment</v>
      </c>
      <c r="P891">
        <v>513.05999999999995</v>
      </c>
      <c r="Q891" s="37" t="str">
        <f>IF(P891&gt;500,"High","low")</f>
        <v>High</v>
      </c>
      <c r="R891" s="37" t="str">
        <f t="shared" si="69"/>
        <v>Good</v>
      </c>
      <c r="S891" t="s">
        <v>609</v>
      </c>
    </row>
    <row r="892" spans="1:19" x14ac:dyDescent="0.2">
      <c r="A892" t="s">
        <v>1503</v>
      </c>
      <c r="B892" t="s">
        <v>90</v>
      </c>
      <c r="C892" t="s">
        <v>597</v>
      </c>
      <c r="D892">
        <v>159.35</v>
      </c>
      <c r="E892" s="37" t="str">
        <f t="shared" si="65"/>
        <v xml:space="preserve"> </v>
      </c>
      <c r="F892">
        <v>0.35</v>
      </c>
      <c r="G892" s="37" t="str">
        <f t="shared" si="66"/>
        <v>Heavy Discount</v>
      </c>
      <c r="H892" s="37" t="str">
        <f t="shared" si="67"/>
        <v>Medium</v>
      </c>
      <c r="I892">
        <v>9</v>
      </c>
      <c r="J892" t="str" cm="1">
        <f t="array" ref="J892">_xlfn.IFS(I892&lt;=3,"small",I892&lt;=6,"Medium",I892&lt;=9,"Large")</f>
        <v>Large</v>
      </c>
      <c r="K892" s="36">
        <v>44987</v>
      </c>
      <c r="L892" s="36">
        <v>44994</v>
      </c>
      <c r="M892" t="s">
        <v>603</v>
      </c>
      <c r="N892" t="s">
        <v>599</v>
      </c>
      <c r="O892" s="37" t="str">
        <f t="shared" si="68"/>
        <v>Digital Payment</v>
      </c>
      <c r="P892">
        <v>41.86</v>
      </c>
      <c r="Q892" s="37" t="str">
        <f>IF(P892&gt;500,"High","low")</f>
        <v>low</v>
      </c>
      <c r="R892" s="37" t="str">
        <f t="shared" si="69"/>
        <v>AVERAGE</v>
      </c>
      <c r="S892" t="s">
        <v>600</v>
      </c>
    </row>
    <row r="893" spans="1:19" x14ac:dyDescent="0.2">
      <c r="A893" t="s">
        <v>1504</v>
      </c>
      <c r="B893" t="s">
        <v>90</v>
      </c>
      <c r="C893" t="s">
        <v>614</v>
      </c>
      <c r="D893">
        <v>1728.47</v>
      </c>
      <c r="E893" s="37" t="str">
        <f t="shared" si="65"/>
        <v xml:space="preserve"> </v>
      </c>
      <c r="F893">
        <v>0.18</v>
      </c>
      <c r="G893" s="37" t="str">
        <f t="shared" si="66"/>
        <v>Normal Discount</v>
      </c>
      <c r="H893" s="37" t="str">
        <f t="shared" si="67"/>
        <v>Low</v>
      </c>
      <c r="I893">
        <v>3</v>
      </c>
      <c r="J893" t="str" cm="1">
        <f t="array" ref="J893">_xlfn.IFS(I893&lt;=3,"small",I893&lt;=6,"Medium",I893&lt;=9,"Large")</f>
        <v>small</v>
      </c>
      <c r="K893" s="36">
        <v>45350</v>
      </c>
      <c r="L893" s="36">
        <v>45351</v>
      </c>
      <c r="M893" t="s">
        <v>598</v>
      </c>
      <c r="N893" t="s">
        <v>599</v>
      </c>
      <c r="O893" s="37" t="str">
        <f t="shared" si="68"/>
        <v>Digital Payment</v>
      </c>
      <c r="P893">
        <v>114.39</v>
      </c>
      <c r="Q893" s="37" t="str">
        <f>IF(P893&gt;500,"High","low")</f>
        <v>low</v>
      </c>
      <c r="R893" s="37" t="str">
        <f t="shared" si="69"/>
        <v>AVERAGE</v>
      </c>
      <c r="S893" t="s">
        <v>628</v>
      </c>
    </row>
    <row r="894" spans="1:19" x14ac:dyDescent="0.2">
      <c r="A894" t="s">
        <v>1505</v>
      </c>
      <c r="B894" t="s">
        <v>75</v>
      </c>
      <c r="C894" t="s">
        <v>617</v>
      </c>
      <c r="D894">
        <v>2028.22</v>
      </c>
      <c r="E894" s="37" t="str">
        <f t="shared" si="65"/>
        <v xml:space="preserve"> </v>
      </c>
      <c r="F894">
        <v>0.5</v>
      </c>
      <c r="G894" s="37" t="str">
        <f t="shared" si="66"/>
        <v>Heavy Discount</v>
      </c>
      <c r="H894" s="37" t="str">
        <f t="shared" si="67"/>
        <v>High</v>
      </c>
      <c r="I894">
        <v>5</v>
      </c>
      <c r="J894" t="str" cm="1">
        <f t="array" ref="J894">_xlfn.IFS(I894&lt;=3,"small",I894&lt;=6,"Medium",I894&lt;=9,"Large")</f>
        <v>Medium</v>
      </c>
      <c r="K894" s="36">
        <v>45534</v>
      </c>
      <c r="L894" s="36">
        <v>45535</v>
      </c>
      <c r="M894" t="s">
        <v>598</v>
      </c>
      <c r="N894" t="s">
        <v>608</v>
      </c>
      <c r="O894" s="37" t="str">
        <f t="shared" si="68"/>
        <v>Cash Payment</v>
      </c>
      <c r="P894">
        <v>507.59</v>
      </c>
      <c r="Q894" s="37" t="str">
        <f>IF(P894&gt;500,"High","low")</f>
        <v>High</v>
      </c>
      <c r="R894" s="37" t="str">
        <f t="shared" si="69"/>
        <v>Good</v>
      </c>
      <c r="S894" t="s">
        <v>609</v>
      </c>
    </row>
    <row r="895" spans="1:19" x14ac:dyDescent="0.2">
      <c r="A895" t="s">
        <v>1506</v>
      </c>
      <c r="B895" t="s">
        <v>75</v>
      </c>
      <c r="C895" t="s">
        <v>607</v>
      </c>
      <c r="D895">
        <v>2372.1999999999998</v>
      </c>
      <c r="E895" s="37" t="str">
        <f t="shared" si="65"/>
        <v xml:space="preserve"> </v>
      </c>
      <c r="F895">
        <v>0.17</v>
      </c>
      <c r="G895" s="37" t="str">
        <f t="shared" si="66"/>
        <v>Normal Discount</v>
      </c>
      <c r="H895" s="37" t="str">
        <f t="shared" si="67"/>
        <v>Low</v>
      </c>
      <c r="I895">
        <v>4</v>
      </c>
      <c r="J895" t="str" cm="1">
        <f t="array" ref="J895">_xlfn.IFS(I895&lt;=3,"small",I895&lt;=6,"Medium",I895&lt;=9,"Large")</f>
        <v>Medium</v>
      </c>
      <c r="K895" s="36">
        <v>45199</v>
      </c>
      <c r="L895" s="36">
        <v>45203</v>
      </c>
      <c r="M895" t="s">
        <v>603</v>
      </c>
      <c r="N895" t="s">
        <v>599</v>
      </c>
      <c r="O895" s="37" t="str">
        <f t="shared" si="68"/>
        <v>Digital Payment</v>
      </c>
      <c r="P895">
        <v>561.82000000000005</v>
      </c>
      <c r="Q895" s="37" t="str">
        <f>IF(P895&gt;500,"High","low")</f>
        <v>High</v>
      </c>
      <c r="R895" s="37" t="str">
        <f t="shared" si="69"/>
        <v>Good</v>
      </c>
      <c r="S895" t="s">
        <v>600</v>
      </c>
    </row>
    <row r="896" spans="1:19" x14ac:dyDescent="0.2">
      <c r="A896" t="s">
        <v>1507</v>
      </c>
      <c r="B896" t="s">
        <v>67</v>
      </c>
      <c r="C896" t="s">
        <v>614</v>
      </c>
      <c r="D896">
        <v>1578.25</v>
      </c>
      <c r="E896" s="37" t="str">
        <f t="shared" si="65"/>
        <v xml:space="preserve"> </v>
      </c>
      <c r="F896">
        <v>0.41</v>
      </c>
      <c r="G896" s="37" t="str">
        <f t="shared" si="66"/>
        <v>Heavy Discount</v>
      </c>
      <c r="H896" s="37" t="str">
        <f t="shared" si="67"/>
        <v>High</v>
      </c>
      <c r="I896">
        <v>7</v>
      </c>
      <c r="J896" t="str" cm="1">
        <f t="array" ref="J896">_xlfn.IFS(I896&lt;=3,"small",I896&lt;=6,"Medium",I896&lt;=9,"Large")</f>
        <v>Large</v>
      </c>
      <c r="K896" s="36">
        <v>45152</v>
      </c>
      <c r="L896" s="36">
        <v>45158</v>
      </c>
      <c r="M896" t="s">
        <v>598</v>
      </c>
      <c r="N896" t="s">
        <v>599</v>
      </c>
      <c r="O896" s="37" t="str">
        <f t="shared" si="68"/>
        <v>Digital Payment</v>
      </c>
      <c r="P896">
        <v>194.03</v>
      </c>
      <c r="Q896" s="37" t="str">
        <f>IF(P896&gt;500,"High","low")</f>
        <v>low</v>
      </c>
      <c r="R896" s="37" t="str">
        <f t="shared" si="69"/>
        <v>AVERAGE</v>
      </c>
      <c r="S896" t="s">
        <v>628</v>
      </c>
    </row>
    <row r="897" spans="1:19" x14ac:dyDescent="0.2">
      <c r="A897" t="s">
        <v>1508</v>
      </c>
      <c r="B897" t="s">
        <v>67</v>
      </c>
      <c r="C897" t="s">
        <v>602</v>
      </c>
      <c r="D897">
        <v>3367.92</v>
      </c>
      <c r="E897" s="37" t="str">
        <f t="shared" si="65"/>
        <v xml:space="preserve"> </v>
      </c>
      <c r="F897">
        <v>0.39</v>
      </c>
      <c r="G897" s="37" t="str">
        <f t="shared" si="66"/>
        <v>Heavy Discount</v>
      </c>
      <c r="H897" s="37" t="str">
        <f t="shared" si="67"/>
        <v>Medium</v>
      </c>
      <c r="I897">
        <v>5</v>
      </c>
      <c r="J897" t="str" cm="1">
        <f t="array" ref="J897">_xlfn.IFS(I897&lt;=3,"small",I897&lt;=6,"Medium",I897&lt;=9,"Large")</f>
        <v>Medium</v>
      </c>
      <c r="K897" s="36">
        <v>45263</v>
      </c>
      <c r="L897" s="36">
        <v>45269</v>
      </c>
      <c r="M897" t="s">
        <v>603</v>
      </c>
      <c r="N897" t="s">
        <v>608</v>
      </c>
      <c r="O897" s="37" t="str">
        <f t="shared" si="68"/>
        <v>Cash Payment</v>
      </c>
      <c r="P897">
        <v>922.53</v>
      </c>
      <c r="Q897" s="37" t="str">
        <f>IF(P897&gt;500,"High","low")</f>
        <v>High</v>
      </c>
      <c r="R897" s="37" t="str">
        <f t="shared" si="69"/>
        <v>Good</v>
      </c>
      <c r="S897" t="s">
        <v>605</v>
      </c>
    </row>
    <row r="898" spans="1:19" x14ac:dyDescent="0.2">
      <c r="A898" t="s">
        <v>1509</v>
      </c>
      <c r="B898" t="s">
        <v>83</v>
      </c>
      <c r="C898" t="s">
        <v>597</v>
      </c>
      <c r="D898">
        <v>4729.08</v>
      </c>
      <c r="E898" s="37" t="str">
        <f t="shared" si="65"/>
        <v>Excellent Order</v>
      </c>
      <c r="F898">
        <v>0.36</v>
      </c>
      <c r="G898" s="37" t="str">
        <f t="shared" si="66"/>
        <v>Heavy Discount</v>
      </c>
      <c r="H898" s="37" t="str">
        <f t="shared" si="67"/>
        <v>Medium</v>
      </c>
      <c r="I898">
        <v>2</v>
      </c>
      <c r="J898" t="str" cm="1">
        <f t="array" ref="J898">_xlfn.IFS(I898&lt;=3,"small",I898&lt;=6,"Medium",I898&lt;=9,"Large")</f>
        <v>small</v>
      </c>
      <c r="K898" s="36">
        <v>45453</v>
      </c>
      <c r="L898" s="36">
        <v>45459</v>
      </c>
      <c r="M898" t="s">
        <v>612</v>
      </c>
      <c r="N898" t="s">
        <v>608</v>
      </c>
      <c r="O898" s="37" t="str">
        <f t="shared" si="68"/>
        <v>Cash Payment</v>
      </c>
      <c r="P898">
        <v>1318.13</v>
      </c>
      <c r="Q898" s="37" t="str">
        <f>IF(P898&gt;500,"High","low")</f>
        <v>High</v>
      </c>
      <c r="R898" s="37" t="str">
        <f t="shared" si="69"/>
        <v>Excellent</v>
      </c>
      <c r="S898" t="s">
        <v>615</v>
      </c>
    </row>
    <row r="899" spans="1:19" x14ac:dyDescent="0.2">
      <c r="A899" t="s">
        <v>1510</v>
      </c>
      <c r="B899" t="s">
        <v>67</v>
      </c>
      <c r="C899" t="s">
        <v>602</v>
      </c>
      <c r="D899">
        <v>4578.59</v>
      </c>
      <c r="E899" s="37" t="str">
        <f t="shared" ref="E899:E962" si="70">IF(AND(D899&gt;4000,P899&gt;800),"Excellent Order"," ")</f>
        <v>Excellent Order</v>
      </c>
      <c r="F899">
        <v>0.33</v>
      </c>
      <c r="G899" s="37" t="str">
        <f t="shared" ref="G899:G962" si="71">IF(F899&gt;30%,"Heavy Discount","Normal Discount")</f>
        <v>Heavy Discount</v>
      </c>
      <c r="H899" s="37" t="str">
        <f t="shared" ref="H899:H962" si="72">IF(F899&gt;0.4,"High",IF(F899&gt;=0.2,"Medium","Low"))</f>
        <v>Medium</v>
      </c>
      <c r="I899">
        <v>6</v>
      </c>
      <c r="J899" t="str" cm="1">
        <f t="array" ref="J899">_xlfn.IFS(I899&lt;=3,"small",I899&lt;=6,"Medium",I899&lt;=9,"Large")</f>
        <v>Medium</v>
      </c>
      <c r="K899" s="36">
        <v>45650</v>
      </c>
      <c r="L899" s="36">
        <v>45657</v>
      </c>
      <c r="M899" t="s">
        <v>603</v>
      </c>
      <c r="N899" t="s">
        <v>608</v>
      </c>
      <c r="O899" s="37" t="str">
        <f t="shared" ref="O899:O962" si="73">IF(OR(N899="Card",N899="UPI"),"Digital Payment","Cash Payment")</f>
        <v>Cash Payment</v>
      </c>
      <c r="P899">
        <v>1066.33</v>
      </c>
      <c r="Q899" s="37" t="str">
        <f>IF(P899&gt;500,"High","low")</f>
        <v>High</v>
      </c>
      <c r="R899" s="37" t="str">
        <f t="shared" ref="R899:R962" si="74">IF(P899&gt;1000,"Excellent",IF(P899&gt;=500,"Good","AVERAGE"))</f>
        <v>Excellent</v>
      </c>
      <c r="S899" t="s">
        <v>628</v>
      </c>
    </row>
    <row r="900" spans="1:19" x14ac:dyDescent="0.2">
      <c r="A900" t="s">
        <v>1511</v>
      </c>
      <c r="B900" t="s">
        <v>90</v>
      </c>
      <c r="C900" t="s">
        <v>602</v>
      </c>
      <c r="D900">
        <v>3355.53</v>
      </c>
      <c r="E900" s="37" t="str">
        <f t="shared" si="70"/>
        <v xml:space="preserve"> </v>
      </c>
      <c r="F900">
        <v>0.05</v>
      </c>
      <c r="G900" s="37" t="str">
        <f t="shared" si="71"/>
        <v>Normal Discount</v>
      </c>
      <c r="H900" s="37" t="str">
        <f t="shared" si="72"/>
        <v>Low</v>
      </c>
      <c r="I900">
        <v>4</v>
      </c>
      <c r="J900" t="str" cm="1">
        <f t="array" ref="J900">_xlfn.IFS(I900&lt;=3,"small",I900&lt;=6,"Medium",I900&lt;=9,"Large")</f>
        <v>Medium</v>
      </c>
      <c r="K900" s="36">
        <v>45285</v>
      </c>
      <c r="L900" s="36">
        <v>45290</v>
      </c>
      <c r="M900" t="s">
        <v>603</v>
      </c>
      <c r="N900" t="s">
        <v>608</v>
      </c>
      <c r="O900" s="37" t="str">
        <f t="shared" si="73"/>
        <v>Cash Payment</v>
      </c>
      <c r="P900">
        <v>861.5</v>
      </c>
      <c r="Q900" s="37" t="str">
        <f>IF(P900&gt;500,"High","low")</f>
        <v>High</v>
      </c>
      <c r="R900" s="37" t="str">
        <f t="shared" si="74"/>
        <v>Good</v>
      </c>
      <c r="S900" t="s">
        <v>628</v>
      </c>
    </row>
    <row r="901" spans="1:19" x14ac:dyDescent="0.2">
      <c r="A901" t="s">
        <v>1512</v>
      </c>
      <c r="B901" t="s">
        <v>90</v>
      </c>
      <c r="C901" t="s">
        <v>602</v>
      </c>
      <c r="D901">
        <v>2583.73</v>
      </c>
      <c r="E901" s="37" t="str">
        <f t="shared" si="70"/>
        <v xml:space="preserve"> </v>
      </c>
      <c r="F901">
        <v>0.5</v>
      </c>
      <c r="G901" s="37" t="str">
        <f t="shared" si="71"/>
        <v>Heavy Discount</v>
      </c>
      <c r="H901" s="37" t="str">
        <f t="shared" si="72"/>
        <v>High</v>
      </c>
      <c r="I901">
        <v>6</v>
      </c>
      <c r="J901" t="str" cm="1">
        <f t="array" ref="J901">_xlfn.IFS(I901&lt;=3,"small",I901&lt;=6,"Medium",I901&lt;=9,"Large")</f>
        <v>Medium</v>
      </c>
      <c r="K901" s="36">
        <v>45265</v>
      </c>
      <c r="L901" s="36">
        <v>45266</v>
      </c>
      <c r="M901" t="s">
        <v>598</v>
      </c>
      <c r="N901" t="s">
        <v>608</v>
      </c>
      <c r="O901" s="37" t="str">
        <f t="shared" si="73"/>
        <v>Cash Payment</v>
      </c>
      <c r="P901">
        <v>222.85</v>
      </c>
      <c r="Q901" s="37" t="str">
        <f>IF(P901&gt;500,"High","low")</f>
        <v>low</v>
      </c>
      <c r="R901" s="37" t="str">
        <f t="shared" si="74"/>
        <v>AVERAGE</v>
      </c>
      <c r="S901" t="s">
        <v>628</v>
      </c>
    </row>
    <row r="902" spans="1:19" x14ac:dyDescent="0.2">
      <c r="A902" t="s">
        <v>1513</v>
      </c>
      <c r="B902" t="s">
        <v>75</v>
      </c>
      <c r="C902" t="s">
        <v>597</v>
      </c>
      <c r="D902">
        <v>4146.49</v>
      </c>
      <c r="E902" s="37" t="str">
        <f t="shared" si="70"/>
        <v xml:space="preserve"> </v>
      </c>
      <c r="F902">
        <v>0.08</v>
      </c>
      <c r="G902" s="37" t="str">
        <f t="shared" si="71"/>
        <v>Normal Discount</v>
      </c>
      <c r="H902" s="37" t="str">
        <f t="shared" si="72"/>
        <v>Low</v>
      </c>
      <c r="I902">
        <v>1</v>
      </c>
      <c r="J902" t="str" cm="1">
        <f t="array" ref="J902">_xlfn.IFS(I902&lt;=3,"small",I902&lt;=6,"Medium",I902&lt;=9,"Large")</f>
        <v>small</v>
      </c>
      <c r="K902" s="36">
        <v>45264</v>
      </c>
      <c r="L902" s="36">
        <v>45266</v>
      </c>
      <c r="M902" t="s">
        <v>603</v>
      </c>
      <c r="N902" t="s">
        <v>599</v>
      </c>
      <c r="O902" s="37" t="str">
        <f t="shared" si="73"/>
        <v>Digital Payment</v>
      </c>
      <c r="P902">
        <v>665.77</v>
      </c>
      <c r="Q902" s="37" t="str">
        <f>IF(P902&gt;500,"High","low")</f>
        <v>High</v>
      </c>
      <c r="R902" s="37" t="str">
        <f t="shared" si="74"/>
        <v>Good</v>
      </c>
      <c r="S902" t="s">
        <v>628</v>
      </c>
    </row>
    <row r="903" spans="1:19" x14ac:dyDescent="0.2">
      <c r="A903" t="s">
        <v>1514</v>
      </c>
      <c r="B903" t="s">
        <v>67</v>
      </c>
      <c r="C903" t="s">
        <v>597</v>
      </c>
      <c r="D903">
        <v>4196.09</v>
      </c>
      <c r="E903" s="37" t="str">
        <f t="shared" si="70"/>
        <v>Excellent Order</v>
      </c>
      <c r="F903">
        <v>0.3</v>
      </c>
      <c r="G903" s="37" t="str">
        <f t="shared" si="71"/>
        <v>Normal Discount</v>
      </c>
      <c r="H903" s="37" t="str">
        <f t="shared" si="72"/>
        <v>Medium</v>
      </c>
      <c r="I903">
        <v>1</v>
      </c>
      <c r="J903" t="str" cm="1">
        <f t="array" ref="J903">_xlfn.IFS(I903&lt;=3,"small",I903&lt;=6,"Medium",I903&lt;=9,"Large")</f>
        <v>small</v>
      </c>
      <c r="K903" s="36">
        <v>45415</v>
      </c>
      <c r="L903" s="36">
        <v>45418</v>
      </c>
      <c r="M903" t="s">
        <v>612</v>
      </c>
      <c r="N903" t="s">
        <v>604</v>
      </c>
      <c r="O903" s="37" t="str">
        <f t="shared" si="73"/>
        <v>Digital Payment</v>
      </c>
      <c r="P903">
        <v>1227.24</v>
      </c>
      <c r="Q903" s="37" t="str">
        <f>IF(P903&gt;500,"High","low")</f>
        <v>High</v>
      </c>
      <c r="R903" s="37" t="str">
        <f t="shared" si="74"/>
        <v>Excellent</v>
      </c>
      <c r="S903" t="s">
        <v>628</v>
      </c>
    </row>
    <row r="904" spans="1:19" x14ac:dyDescent="0.2">
      <c r="A904" t="s">
        <v>1515</v>
      </c>
      <c r="B904" t="s">
        <v>83</v>
      </c>
      <c r="C904" t="s">
        <v>597</v>
      </c>
      <c r="D904">
        <v>4164.91</v>
      </c>
      <c r="E904" s="37" t="str">
        <f t="shared" si="70"/>
        <v xml:space="preserve"> </v>
      </c>
      <c r="F904">
        <v>0.12</v>
      </c>
      <c r="G904" s="37" t="str">
        <f t="shared" si="71"/>
        <v>Normal Discount</v>
      </c>
      <c r="H904" s="37" t="str">
        <f t="shared" si="72"/>
        <v>Low</v>
      </c>
      <c r="I904">
        <v>4</v>
      </c>
      <c r="J904" t="str" cm="1">
        <f t="array" ref="J904">_xlfn.IFS(I904&lt;=3,"small",I904&lt;=6,"Medium",I904&lt;=9,"Large")</f>
        <v>Medium</v>
      </c>
      <c r="K904" s="36">
        <v>45303</v>
      </c>
      <c r="L904" s="36">
        <v>45305</v>
      </c>
      <c r="M904" t="s">
        <v>612</v>
      </c>
      <c r="N904" t="s">
        <v>604</v>
      </c>
      <c r="O904" s="37" t="str">
        <f t="shared" si="73"/>
        <v>Digital Payment</v>
      </c>
      <c r="P904">
        <v>307.92</v>
      </c>
      <c r="Q904" s="37" t="str">
        <f>IF(P904&gt;500,"High","low")</f>
        <v>low</v>
      </c>
      <c r="R904" s="37" t="str">
        <f t="shared" si="74"/>
        <v>AVERAGE</v>
      </c>
      <c r="S904" t="s">
        <v>628</v>
      </c>
    </row>
    <row r="905" spans="1:19" x14ac:dyDescent="0.2">
      <c r="A905" t="s">
        <v>1516</v>
      </c>
      <c r="B905" t="s">
        <v>90</v>
      </c>
      <c r="C905" t="s">
        <v>597</v>
      </c>
      <c r="D905">
        <v>873.45</v>
      </c>
      <c r="E905" s="37" t="str">
        <f t="shared" si="70"/>
        <v xml:space="preserve"> </v>
      </c>
      <c r="F905">
        <v>0.08</v>
      </c>
      <c r="G905" s="37" t="str">
        <f t="shared" si="71"/>
        <v>Normal Discount</v>
      </c>
      <c r="H905" s="37" t="str">
        <f t="shared" si="72"/>
        <v>Low</v>
      </c>
      <c r="I905">
        <v>7</v>
      </c>
      <c r="J905" t="str" cm="1">
        <f t="array" ref="J905">_xlfn.IFS(I905&lt;=3,"small",I905&lt;=6,"Medium",I905&lt;=9,"Large")</f>
        <v>Large</v>
      </c>
      <c r="K905" s="36">
        <v>45614</v>
      </c>
      <c r="L905" s="36">
        <v>45619</v>
      </c>
      <c r="M905" t="s">
        <v>603</v>
      </c>
      <c r="N905" t="s">
        <v>604</v>
      </c>
      <c r="O905" s="37" t="str">
        <f t="shared" si="73"/>
        <v>Digital Payment</v>
      </c>
      <c r="P905">
        <v>134.53</v>
      </c>
      <c r="Q905" s="37" t="str">
        <f>IF(P905&gt;500,"High","low")</f>
        <v>low</v>
      </c>
      <c r="R905" s="37" t="str">
        <f t="shared" si="74"/>
        <v>AVERAGE</v>
      </c>
      <c r="S905" t="s">
        <v>615</v>
      </c>
    </row>
    <row r="906" spans="1:19" x14ac:dyDescent="0.2">
      <c r="A906" t="s">
        <v>1517</v>
      </c>
      <c r="B906" t="s">
        <v>90</v>
      </c>
      <c r="C906" t="s">
        <v>602</v>
      </c>
      <c r="D906">
        <v>224.62</v>
      </c>
      <c r="E906" s="37" t="str">
        <f t="shared" si="70"/>
        <v xml:space="preserve"> </v>
      </c>
      <c r="F906">
        <v>0.28000000000000003</v>
      </c>
      <c r="G906" s="37" t="str">
        <f t="shared" si="71"/>
        <v>Normal Discount</v>
      </c>
      <c r="H906" s="37" t="str">
        <f t="shared" si="72"/>
        <v>Medium</v>
      </c>
      <c r="I906">
        <v>7</v>
      </c>
      <c r="J906" t="str" cm="1">
        <f t="array" ref="J906">_xlfn.IFS(I906&lt;=3,"small",I906&lt;=6,"Medium",I906&lt;=9,"Large")</f>
        <v>Large</v>
      </c>
      <c r="K906" s="36">
        <v>45195</v>
      </c>
      <c r="L906" s="36">
        <v>45200</v>
      </c>
      <c r="M906" t="s">
        <v>598</v>
      </c>
      <c r="N906" t="s">
        <v>599</v>
      </c>
      <c r="O906" s="37" t="str">
        <f t="shared" si="73"/>
        <v>Digital Payment</v>
      </c>
      <c r="P906">
        <v>65.25</v>
      </c>
      <c r="Q906" s="37" t="str">
        <f>IF(P906&gt;500,"High","low")</f>
        <v>low</v>
      </c>
      <c r="R906" s="37" t="str">
        <f t="shared" si="74"/>
        <v>AVERAGE</v>
      </c>
      <c r="S906" t="s">
        <v>609</v>
      </c>
    </row>
    <row r="907" spans="1:19" x14ac:dyDescent="0.2">
      <c r="A907" t="s">
        <v>1518</v>
      </c>
      <c r="B907" t="s">
        <v>83</v>
      </c>
      <c r="C907" t="s">
        <v>617</v>
      </c>
      <c r="D907">
        <v>4917.6499999999996</v>
      </c>
      <c r="E907" s="37" t="str">
        <f t="shared" si="70"/>
        <v>Excellent Order</v>
      </c>
      <c r="F907">
        <v>0.42</v>
      </c>
      <c r="G907" s="37" t="str">
        <f t="shared" si="71"/>
        <v>Heavy Discount</v>
      </c>
      <c r="H907" s="37" t="str">
        <f t="shared" si="72"/>
        <v>High</v>
      </c>
      <c r="I907">
        <v>1</v>
      </c>
      <c r="J907" t="str" cm="1">
        <f t="array" ref="J907">_xlfn.IFS(I907&lt;=3,"small",I907&lt;=6,"Medium",I907&lt;=9,"Large")</f>
        <v>small</v>
      </c>
      <c r="K907" s="36">
        <v>45557</v>
      </c>
      <c r="L907" s="36">
        <v>45558</v>
      </c>
      <c r="M907" t="s">
        <v>612</v>
      </c>
      <c r="N907" t="s">
        <v>608</v>
      </c>
      <c r="O907" s="37" t="str">
        <f t="shared" si="73"/>
        <v>Cash Payment</v>
      </c>
      <c r="P907">
        <v>966.37</v>
      </c>
      <c r="Q907" s="37" t="str">
        <f>IF(P907&gt;500,"High","low")</f>
        <v>High</v>
      </c>
      <c r="R907" s="37" t="str">
        <f t="shared" si="74"/>
        <v>Good</v>
      </c>
      <c r="S907" t="s">
        <v>600</v>
      </c>
    </row>
    <row r="908" spans="1:19" x14ac:dyDescent="0.2">
      <c r="A908" t="s">
        <v>1519</v>
      </c>
      <c r="B908" t="s">
        <v>83</v>
      </c>
      <c r="C908" t="s">
        <v>617</v>
      </c>
      <c r="D908">
        <v>4802.3100000000004</v>
      </c>
      <c r="E908" s="37" t="str">
        <f t="shared" si="70"/>
        <v xml:space="preserve"> </v>
      </c>
      <c r="F908">
        <v>0.19</v>
      </c>
      <c r="G908" s="37" t="str">
        <f t="shared" si="71"/>
        <v>Normal Discount</v>
      </c>
      <c r="H908" s="37" t="str">
        <f t="shared" si="72"/>
        <v>Low</v>
      </c>
      <c r="I908">
        <v>5</v>
      </c>
      <c r="J908" t="str" cm="1">
        <f t="array" ref="J908">_xlfn.IFS(I908&lt;=3,"small",I908&lt;=6,"Medium",I908&lt;=9,"Large")</f>
        <v>Medium</v>
      </c>
      <c r="K908" s="36">
        <v>45080</v>
      </c>
      <c r="L908" s="36">
        <v>45081</v>
      </c>
      <c r="M908" t="s">
        <v>603</v>
      </c>
      <c r="N908" t="s">
        <v>599</v>
      </c>
      <c r="O908" s="37" t="str">
        <f t="shared" si="73"/>
        <v>Digital Payment</v>
      </c>
      <c r="P908">
        <v>274.77</v>
      </c>
      <c r="Q908" s="37" t="str">
        <f>IF(P908&gt;500,"High","low")</f>
        <v>low</v>
      </c>
      <c r="R908" s="37" t="str">
        <f t="shared" si="74"/>
        <v>AVERAGE</v>
      </c>
      <c r="S908" t="s">
        <v>628</v>
      </c>
    </row>
    <row r="909" spans="1:19" x14ac:dyDescent="0.2">
      <c r="A909" t="s">
        <v>1520</v>
      </c>
      <c r="B909" t="s">
        <v>90</v>
      </c>
      <c r="C909" t="s">
        <v>597</v>
      </c>
      <c r="D909">
        <v>2865.45</v>
      </c>
      <c r="E909" s="37" t="str">
        <f t="shared" si="70"/>
        <v xml:space="preserve"> </v>
      </c>
      <c r="F909">
        <v>0.04</v>
      </c>
      <c r="G909" s="37" t="str">
        <f t="shared" si="71"/>
        <v>Normal Discount</v>
      </c>
      <c r="H909" s="37" t="str">
        <f t="shared" si="72"/>
        <v>Low</v>
      </c>
      <c r="I909">
        <v>6</v>
      </c>
      <c r="J909" t="str" cm="1">
        <f t="array" ref="J909">_xlfn.IFS(I909&lt;=3,"small",I909&lt;=6,"Medium",I909&lt;=9,"Large")</f>
        <v>Medium</v>
      </c>
      <c r="K909" s="36">
        <v>44934</v>
      </c>
      <c r="L909" s="36">
        <v>44936</v>
      </c>
      <c r="M909" t="s">
        <v>603</v>
      </c>
      <c r="N909" t="s">
        <v>608</v>
      </c>
      <c r="O909" s="37" t="str">
        <f t="shared" si="73"/>
        <v>Cash Payment</v>
      </c>
      <c r="P909">
        <v>753.76</v>
      </c>
      <c r="Q909" s="37" t="str">
        <f>IF(P909&gt;500,"High","low")</f>
        <v>High</v>
      </c>
      <c r="R909" s="37" t="str">
        <f t="shared" si="74"/>
        <v>Good</v>
      </c>
      <c r="S909" t="s">
        <v>615</v>
      </c>
    </row>
    <row r="910" spans="1:19" x14ac:dyDescent="0.2">
      <c r="A910" t="s">
        <v>1521</v>
      </c>
      <c r="B910" t="s">
        <v>90</v>
      </c>
      <c r="C910" t="s">
        <v>607</v>
      </c>
      <c r="D910">
        <v>4966.01</v>
      </c>
      <c r="E910" s="37" t="str">
        <f t="shared" si="70"/>
        <v xml:space="preserve"> </v>
      </c>
      <c r="F910">
        <v>0.31</v>
      </c>
      <c r="G910" s="37" t="str">
        <f t="shared" si="71"/>
        <v>Heavy Discount</v>
      </c>
      <c r="H910" s="37" t="str">
        <f t="shared" si="72"/>
        <v>Medium</v>
      </c>
      <c r="I910">
        <v>5</v>
      </c>
      <c r="J910" t="str" cm="1">
        <f t="array" ref="J910">_xlfn.IFS(I910&lt;=3,"small",I910&lt;=6,"Medium",I910&lt;=9,"Large")</f>
        <v>Medium</v>
      </c>
      <c r="K910" s="36">
        <v>45208</v>
      </c>
      <c r="L910" s="36">
        <v>45212</v>
      </c>
      <c r="M910" t="s">
        <v>612</v>
      </c>
      <c r="N910" t="s">
        <v>599</v>
      </c>
      <c r="O910" s="37" t="str">
        <f t="shared" si="73"/>
        <v>Digital Payment</v>
      </c>
      <c r="P910">
        <v>649.14</v>
      </c>
      <c r="Q910" s="37" t="str">
        <f>IF(P910&gt;500,"High","low")</f>
        <v>High</v>
      </c>
      <c r="R910" s="37" t="str">
        <f t="shared" si="74"/>
        <v>Good</v>
      </c>
      <c r="S910" t="s">
        <v>615</v>
      </c>
    </row>
    <row r="911" spans="1:19" x14ac:dyDescent="0.2">
      <c r="A911" t="s">
        <v>1522</v>
      </c>
      <c r="B911" t="s">
        <v>83</v>
      </c>
      <c r="C911" t="s">
        <v>614</v>
      </c>
      <c r="D911">
        <v>3875.68</v>
      </c>
      <c r="E911" s="37" t="str">
        <f t="shared" si="70"/>
        <v xml:space="preserve"> </v>
      </c>
      <c r="F911">
        <v>0.38</v>
      </c>
      <c r="G911" s="37" t="str">
        <f t="shared" si="71"/>
        <v>Heavy Discount</v>
      </c>
      <c r="H911" s="37" t="str">
        <f t="shared" si="72"/>
        <v>Medium</v>
      </c>
      <c r="I911">
        <v>7</v>
      </c>
      <c r="J911" t="str" cm="1">
        <f t="array" ref="J911">_xlfn.IFS(I911&lt;=3,"small",I911&lt;=6,"Medium",I911&lt;=9,"Large")</f>
        <v>Large</v>
      </c>
      <c r="K911" s="36">
        <v>45324</v>
      </c>
      <c r="L911" s="36">
        <v>45326</v>
      </c>
      <c r="M911" t="s">
        <v>598</v>
      </c>
      <c r="N911" t="s">
        <v>599</v>
      </c>
      <c r="O911" s="37" t="str">
        <f t="shared" si="73"/>
        <v>Digital Payment</v>
      </c>
      <c r="P911">
        <v>228.61</v>
      </c>
      <c r="Q911" s="37" t="str">
        <f>IF(P911&gt;500,"High","low")</f>
        <v>low</v>
      </c>
      <c r="R911" s="37" t="str">
        <f t="shared" si="74"/>
        <v>AVERAGE</v>
      </c>
      <c r="S911" t="s">
        <v>615</v>
      </c>
    </row>
    <row r="912" spans="1:19" x14ac:dyDescent="0.2">
      <c r="A912" t="s">
        <v>1523</v>
      </c>
      <c r="B912" t="s">
        <v>90</v>
      </c>
      <c r="C912" t="s">
        <v>607</v>
      </c>
      <c r="D912">
        <v>2635.16</v>
      </c>
      <c r="E912" s="37" t="str">
        <f t="shared" si="70"/>
        <v xml:space="preserve"> </v>
      </c>
      <c r="F912">
        <v>0.15</v>
      </c>
      <c r="G912" s="37" t="str">
        <f t="shared" si="71"/>
        <v>Normal Discount</v>
      </c>
      <c r="H912" s="37" t="str">
        <f t="shared" si="72"/>
        <v>Low</v>
      </c>
      <c r="I912">
        <v>6</v>
      </c>
      <c r="J912" t="str" cm="1">
        <f t="array" ref="J912">_xlfn.IFS(I912&lt;=3,"small",I912&lt;=6,"Medium",I912&lt;=9,"Large")</f>
        <v>Medium</v>
      </c>
      <c r="K912" s="36">
        <v>45172</v>
      </c>
      <c r="L912" s="36">
        <v>45178</v>
      </c>
      <c r="M912" t="s">
        <v>603</v>
      </c>
      <c r="N912" t="s">
        <v>599</v>
      </c>
      <c r="O912" s="37" t="str">
        <f t="shared" si="73"/>
        <v>Digital Payment</v>
      </c>
      <c r="P912">
        <v>679.17</v>
      </c>
      <c r="Q912" s="37" t="str">
        <f>IF(P912&gt;500,"High","low")</f>
        <v>High</v>
      </c>
      <c r="R912" s="37" t="str">
        <f t="shared" si="74"/>
        <v>Good</v>
      </c>
      <c r="S912" t="s">
        <v>605</v>
      </c>
    </row>
    <row r="913" spans="1:19" x14ac:dyDescent="0.2">
      <c r="A913" t="s">
        <v>1524</v>
      </c>
      <c r="B913" t="s">
        <v>75</v>
      </c>
      <c r="C913" t="s">
        <v>607</v>
      </c>
      <c r="D913">
        <v>2007.72</v>
      </c>
      <c r="E913" s="37" t="str">
        <f t="shared" si="70"/>
        <v xml:space="preserve"> </v>
      </c>
      <c r="F913">
        <v>0.35</v>
      </c>
      <c r="G913" s="37" t="str">
        <f t="shared" si="71"/>
        <v>Heavy Discount</v>
      </c>
      <c r="H913" s="37" t="str">
        <f t="shared" si="72"/>
        <v>Medium</v>
      </c>
      <c r="I913">
        <v>5</v>
      </c>
      <c r="J913" t="str" cm="1">
        <f t="array" ref="J913">_xlfn.IFS(I913&lt;=3,"small",I913&lt;=6,"Medium",I913&lt;=9,"Large")</f>
        <v>Medium</v>
      </c>
      <c r="K913" s="36">
        <v>45060</v>
      </c>
      <c r="L913" s="36">
        <v>45067</v>
      </c>
      <c r="M913" t="s">
        <v>612</v>
      </c>
      <c r="N913" t="s">
        <v>604</v>
      </c>
      <c r="O913" s="37" t="str">
        <f t="shared" si="73"/>
        <v>Digital Payment</v>
      </c>
      <c r="P913">
        <v>474.64</v>
      </c>
      <c r="Q913" s="37" t="str">
        <f>IF(P913&gt;500,"High","low")</f>
        <v>low</v>
      </c>
      <c r="R913" s="37" t="str">
        <f t="shared" si="74"/>
        <v>AVERAGE</v>
      </c>
      <c r="S913" t="s">
        <v>600</v>
      </c>
    </row>
    <row r="914" spans="1:19" x14ac:dyDescent="0.2">
      <c r="A914" t="s">
        <v>1525</v>
      </c>
      <c r="B914" t="s">
        <v>75</v>
      </c>
      <c r="C914" t="s">
        <v>607</v>
      </c>
      <c r="D914">
        <v>3005.03</v>
      </c>
      <c r="E914" s="37" t="str">
        <f t="shared" si="70"/>
        <v xml:space="preserve"> </v>
      </c>
      <c r="F914">
        <v>0.04</v>
      </c>
      <c r="G914" s="37" t="str">
        <f t="shared" si="71"/>
        <v>Normal Discount</v>
      </c>
      <c r="H914" s="37" t="str">
        <f t="shared" si="72"/>
        <v>Low</v>
      </c>
      <c r="I914">
        <v>5</v>
      </c>
      <c r="J914" t="str" cm="1">
        <f t="array" ref="J914">_xlfn.IFS(I914&lt;=3,"small",I914&lt;=6,"Medium",I914&lt;=9,"Large")</f>
        <v>Medium</v>
      </c>
      <c r="K914" s="36">
        <v>45582</v>
      </c>
      <c r="L914" s="36">
        <v>45583</v>
      </c>
      <c r="M914" t="s">
        <v>603</v>
      </c>
      <c r="N914" t="s">
        <v>599</v>
      </c>
      <c r="O914" s="37" t="str">
        <f t="shared" si="73"/>
        <v>Digital Payment</v>
      </c>
      <c r="P914">
        <v>549.19000000000005</v>
      </c>
      <c r="Q914" s="37" t="str">
        <f>IF(P914&gt;500,"High","low")</f>
        <v>High</v>
      </c>
      <c r="R914" s="37" t="str">
        <f t="shared" si="74"/>
        <v>Good</v>
      </c>
      <c r="S914" t="s">
        <v>605</v>
      </c>
    </row>
    <row r="915" spans="1:19" x14ac:dyDescent="0.2">
      <c r="A915" t="s">
        <v>1526</v>
      </c>
      <c r="B915" t="s">
        <v>83</v>
      </c>
      <c r="C915" t="s">
        <v>617</v>
      </c>
      <c r="D915">
        <v>2627.43</v>
      </c>
      <c r="E915" s="37" t="str">
        <f t="shared" si="70"/>
        <v xml:space="preserve"> </v>
      </c>
      <c r="F915">
        <v>0.18</v>
      </c>
      <c r="G915" s="37" t="str">
        <f t="shared" si="71"/>
        <v>Normal Discount</v>
      </c>
      <c r="H915" s="37" t="str">
        <f t="shared" si="72"/>
        <v>Low</v>
      </c>
      <c r="I915">
        <v>9</v>
      </c>
      <c r="J915" t="str" cm="1">
        <f t="array" ref="J915">_xlfn.IFS(I915&lt;=3,"small",I915&lt;=6,"Medium",I915&lt;=9,"Large")</f>
        <v>Large</v>
      </c>
      <c r="K915" s="36">
        <v>45153</v>
      </c>
      <c r="L915" s="36">
        <v>45159</v>
      </c>
      <c r="M915" t="s">
        <v>612</v>
      </c>
      <c r="N915" t="s">
        <v>599</v>
      </c>
      <c r="O915" s="37" t="str">
        <f t="shared" si="73"/>
        <v>Digital Payment</v>
      </c>
      <c r="P915">
        <v>369.88</v>
      </c>
      <c r="Q915" s="37" t="str">
        <f>IF(P915&gt;500,"High","low")</f>
        <v>low</v>
      </c>
      <c r="R915" s="37" t="str">
        <f t="shared" si="74"/>
        <v>AVERAGE</v>
      </c>
      <c r="S915" t="s">
        <v>600</v>
      </c>
    </row>
    <row r="916" spans="1:19" x14ac:dyDescent="0.2">
      <c r="A916" t="s">
        <v>1527</v>
      </c>
      <c r="B916" t="s">
        <v>67</v>
      </c>
      <c r="C916" t="s">
        <v>614</v>
      </c>
      <c r="D916">
        <v>4969.63</v>
      </c>
      <c r="E916" s="37" t="str">
        <f t="shared" si="70"/>
        <v>Excellent Order</v>
      </c>
      <c r="F916">
        <v>0.24</v>
      </c>
      <c r="G916" s="37" t="str">
        <f t="shared" si="71"/>
        <v>Normal Discount</v>
      </c>
      <c r="H916" s="37" t="str">
        <f t="shared" si="72"/>
        <v>Medium</v>
      </c>
      <c r="I916">
        <v>3</v>
      </c>
      <c r="J916" t="str" cm="1">
        <f t="array" ref="J916">_xlfn.IFS(I916&lt;=3,"small",I916&lt;=6,"Medium",I916&lt;=9,"Large")</f>
        <v>small</v>
      </c>
      <c r="K916" s="36">
        <v>44960</v>
      </c>
      <c r="L916" s="36">
        <v>44964</v>
      </c>
      <c r="M916" t="s">
        <v>603</v>
      </c>
      <c r="N916" t="s">
        <v>599</v>
      </c>
      <c r="O916" s="37" t="str">
        <f t="shared" si="73"/>
        <v>Digital Payment</v>
      </c>
      <c r="P916">
        <v>1190.8399999999999</v>
      </c>
      <c r="Q916" s="37" t="str">
        <f>IF(P916&gt;500,"High","low")</f>
        <v>High</v>
      </c>
      <c r="R916" s="37" t="str">
        <f t="shared" si="74"/>
        <v>Excellent</v>
      </c>
      <c r="S916" t="s">
        <v>609</v>
      </c>
    </row>
    <row r="917" spans="1:19" x14ac:dyDescent="0.2">
      <c r="A917" t="s">
        <v>1528</v>
      </c>
      <c r="B917" t="s">
        <v>83</v>
      </c>
      <c r="C917" t="s">
        <v>607</v>
      </c>
      <c r="D917">
        <v>2503.2600000000002</v>
      </c>
      <c r="E917" s="37" t="str">
        <f t="shared" si="70"/>
        <v xml:space="preserve"> </v>
      </c>
      <c r="F917">
        <v>0.39</v>
      </c>
      <c r="G917" s="37" t="str">
        <f t="shared" si="71"/>
        <v>Heavy Discount</v>
      </c>
      <c r="H917" s="37" t="str">
        <f t="shared" si="72"/>
        <v>Medium</v>
      </c>
      <c r="I917">
        <v>9</v>
      </c>
      <c r="J917" t="str" cm="1">
        <f t="array" ref="J917">_xlfn.IFS(I917&lt;=3,"small",I917&lt;=6,"Medium",I917&lt;=9,"Large")</f>
        <v>Large</v>
      </c>
      <c r="K917" s="36">
        <v>45222</v>
      </c>
      <c r="L917" s="36">
        <v>45228</v>
      </c>
      <c r="M917" t="s">
        <v>598</v>
      </c>
      <c r="N917" t="s">
        <v>599</v>
      </c>
      <c r="O917" s="37" t="str">
        <f t="shared" si="73"/>
        <v>Digital Payment</v>
      </c>
      <c r="P917">
        <v>499.41</v>
      </c>
      <c r="Q917" s="37" t="str">
        <f>IF(P917&gt;500,"High","low")</f>
        <v>low</v>
      </c>
      <c r="R917" s="37" t="str">
        <f t="shared" si="74"/>
        <v>AVERAGE</v>
      </c>
      <c r="S917" t="s">
        <v>620</v>
      </c>
    </row>
    <row r="918" spans="1:19" x14ac:dyDescent="0.2">
      <c r="A918" t="s">
        <v>1529</v>
      </c>
      <c r="B918" t="s">
        <v>83</v>
      </c>
      <c r="C918" t="s">
        <v>597</v>
      </c>
      <c r="D918">
        <v>4196.01</v>
      </c>
      <c r="E918" s="37" t="str">
        <f t="shared" si="70"/>
        <v xml:space="preserve"> </v>
      </c>
      <c r="F918">
        <v>0.17</v>
      </c>
      <c r="G918" s="37" t="str">
        <f t="shared" si="71"/>
        <v>Normal Discount</v>
      </c>
      <c r="H918" s="37" t="str">
        <f t="shared" si="72"/>
        <v>Low</v>
      </c>
      <c r="I918">
        <v>2</v>
      </c>
      <c r="J918" t="str" cm="1">
        <f t="array" ref="J918">_xlfn.IFS(I918&lt;=3,"small",I918&lt;=6,"Medium",I918&lt;=9,"Large")</f>
        <v>small</v>
      </c>
      <c r="K918" s="36">
        <v>45401</v>
      </c>
      <c r="L918" s="36">
        <v>45405</v>
      </c>
      <c r="M918" t="s">
        <v>598</v>
      </c>
      <c r="N918" t="s">
        <v>599</v>
      </c>
      <c r="O918" s="37" t="str">
        <f t="shared" si="73"/>
        <v>Digital Payment</v>
      </c>
      <c r="P918">
        <v>456.82</v>
      </c>
      <c r="Q918" s="37" t="str">
        <f>IF(P918&gt;500,"High","low")</f>
        <v>low</v>
      </c>
      <c r="R918" s="37" t="str">
        <f t="shared" si="74"/>
        <v>AVERAGE</v>
      </c>
      <c r="S918" t="s">
        <v>605</v>
      </c>
    </row>
    <row r="919" spans="1:19" x14ac:dyDescent="0.2">
      <c r="A919" t="s">
        <v>1530</v>
      </c>
      <c r="B919" t="s">
        <v>67</v>
      </c>
      <c r="C919" t="s">
        <v>617</v>
      </c>
      <c r="D919">
        <v>4086.76</v>
      </c>
      <c r="E919" s="37" t="str">
        <f t="shared" si="70"/>
        <v>Excellent Order</v>
      </c>
      <c r="F919">
        <v>0.23</v>
      </c>
      <c r="G919" s="37" t="str">
        <f t="shared" si="71"/>
        <v>Normal Discount</v>
      </c>
      <c r="H919" s="37" t="str">
        <f t="shared" si="72"/>
        <v>Medium</v>
      </c>
      <c r="I919">
        <v>7</v>
      </c>
      <c r="J919" t="str" cm="1">
        <f t="array" ref="J919">_xlfn.IFS(I919&lt;=3,"small",I919&lt;=6,"Medium",I919&lt;=9,"Large")</f>
        <v>Large</v>
      </c>
      <c r="K919" s="36">
        <v>45066</v>
      </c>
      <c r="L919" s="36">
        <v>45067</v>
      </c>
      <c r="M919" t="s">
        <v>612</v>
      </c>
      <c r="N919" t="s">
        <v>599</v>
      </c>
      <c r="O919" s="37" t="str">
        <f t="shared" si="73"/>
        <v>Digital Payment</v>
      </c>
      <c r="P919">
        <v>1103.0899999999999</v>
      </c>
      <c r="Q919" s="37" t="str">
        <f>IF(P919&gt;500,"High","low")</f>
        <v>High</v>
      </c>
      <c r="R919" s="37" t="str">
        <f t="shared" si="74"/>
        <v>Excellent</v>
      </c>
      <c r="S919" t="s">
        <v>609</v>
      </c>
    </row>
    <row r="920" spans="1:19" x14ac:dyDescent="0.2">
      <c r="A920" t="s">
        <v>1531</v>
      </c>
      <c r="B920" t="s">
        <v>67</v>
      </c>
      <c r="C920" t="s">
        <v>597</v>
      </c>
      <c r="D920">
        <v>449.89</v>
      </c>
      <c r="E920" s="37" t="str">
        <f t="shared" si="70"/>
        <v xml:space="preserve"> </v>
      </c>
      <c r="F920">
        <v>0.31</v>
      </c>
      <c r="G920" s="37" t="str">
        <f t="shared" si="71"/>
        <v>Heavy Discount</v>
      </c>
      <c r="H920" s="37" t="str">
        <f t="shared" si="72"/>
        <v>Medium</v>
      </c>
      <c r="I920">
        <v>6</v>
      </c>
      <c r="J920" t="str" cm="1">
        <f t="array" ref="J920">_xlfn.IFS(I920&lt;=3,"small",I920&lt;=6,"Medium",I920&lt;=9,"Large")</f>
        <v>Medium</v>
      </c>
      <c r="K920" s="36">
        <v>45311</v>
      </c>
      <c r="L920" s="36">
        <v>45313</v>
      </c>
      <c r="M920" t="s">
        <v>603</v>
      </c>
      <c r="N920" t="s">
        <v>608</v>
      </c>
      <c r="O920" s="37" t="str">
        <f t="shared" si="73"/>
        <v>Cash Payment</v>
      </c>
      <c r="P920">
        <v>82.56</v>
      </c>
      <c r="Q920" s="37" t="str">
        <f>IF(P920&gt;500,"High","low")</f>
        <v>low</v>
      </c>
      <c r="R920" s="37" t="str">
        <f t="shared" si="74"/>
        <v>AVERAGE</v>
      </c>
      <c r="S920" t="s">
        <v>628</v>
      </c>
    </row>
    <row r="921" spans="1:19" x14ac:dyDescent="0.2">
      <c r="A921" t="s">
        <v>1532</v>
      </c>
      <c r="B921" t="s">
        <v>67</v>
      </c>
      <c r="C921" t="s">
        <v>597</v>
      </c>
      <c r="D921">
        <v>526.33000000000004</v>
      </c>
      <c r="E921" s="37" t="str">
        <f t="shared" si="70"/>
        <v xml:space="preserve"> </v>
      </c>
      <c r="F921">
        <v>0.31</v>
      </c>
      <c r="G921" s="37" t="str">
        <f t="shared" si="71"/>
        <v>Heavy Discount</v>
      </c>
      <c r="H921" s="37" t="str">
        <f t="shared" si="72"/>
        <v>Medium</v>
      </c>
      <c r="I921">
        <v>8</v>
      </c>
      <c r="J921" t="str" cm="1">
        <f t="array" ref="J921">_xlfn.IFS(I921&lt;=3,"small",I921&lt;=6,"Medium",I921&lt;=9,"Large")</f>
        <v>Large</v>
      </c>
      <c r="K921" s="36">
        <v>45211</v>
      </c>
      <c r="L921" s="36">
        <v>45214</v>
      </c>
      <c r="M921" t="s">
        <v>598</v>
      </c>
      <c r="N921" t="s">
        <v>599</v>
      </c>
      <c r="O921" s="37" t="str">
        <f t="shared" si="73"/>
        <v>Digital Payment</v>
      </c>
      <c r="P921">
        <v>139.22</v>
      </c>
      <c r="Q921" s="37" t="str">
        <f>IF(P921&gt;500,"High","low")</f>
        <v>low</v>
      </c>
      <c r="R921" s="37" t="str">
        <f t="shared" si="74"/>
        <v>AVERAGE</v>
      </c>
      <c r="S921" t="s">
        <v>628</v>
      </c>
    </row>
    <row r="922" spans="1:19" x14ac:dyDescent="0.2">
      <c r="A922" t="s">
        <v>1533</v>
      </c>
      <c r="B922" t="s">
        <v>75</v>
      </c>
      <c r="C922" t="s">
        <v>607</v>
      </c>
      <c r="D922">
        <v>3333.07</v>
      </c>
      <c r="E922" s="37" t="str">
        <f t="shared" si="70"/>
        <v xml:space="preserve"> </v>
      </c>
      <c r="F922">
        <v>0.26</v>
      </c>
      <c r="G922" s="37" t="str">
        <f t="shared" si="71"/>
        <v>Normal Discount</v>
      </c>
      <c r="H922" s="37" t="str">
        <f t="shared" si="72"/>
        <v>Medium</v>
      </c>
      <c r="I922">
        <v>9</v>
      </c>
      <c r="J922" t="str" cm="1">
        <f t="array" ref="J922">_xlfn.IFS(I922&lt;=3,"small",I922&lt;=6,"Medium",I922&lt;=9,"Large")</f>
        <v>Large</v>
      </c>
      <c r="K922" s="36">
        <v>45135</v>
      </c>
      <c r="L922" s="36">
        <v>45136</v>
      </c>
      <c r="M922" t="s">
        <v>612</v>
      </c>
      <c r="N922" t="s">
        <v>608</v>
      </c>
      <c r="O922" s="37" t="str">
        <f t="shared" si="73"/>
        <v>Cash Payment</v>
      </c>
      <c r="P922">
        <v>235.6</v>
      </c>
      <c r="Q922" s="37" t="str">
        <f>IF(P922&gt;500,"High","low")</f>
        <v>low</v>
      </c>
      <c r="R922" s="37" t="str">
        <f t="shared" si="74"/>
        <v>AVERAGE</v>
      </c>
      <c r="S922" t="s">
        <v>600</v>
      </c>
    </row>
    <row r="923" spans="1:19" x14ac:dyDescent="0.2">
      <c r="A923" t="s">
        <v>1534</v>
      </c>
      <c r="B923" t="s">
        <v>90</v>
      </c>
      <c r="C923" t="s">
        <v>597</v>
      </c>
      <c r="D923">
        <v>1369.63</v>
      </c>
      <c r="E923" s="37" t="str">
        <f t="shared" si="70"/>
        <v xml:space="preserve"> </v>
      </c>
      <c r="F923">
        <v>0.16</v>
      </c>
      <c r="G923" s="37" t="str">
        <f t="shared" si="71"/>
        <v>Normal Discount</v>
      </c>
      <c r="H923" s="37" t="str">
        <f t="shared" si="72"/>
        <v>Low</v>
      </c>
      <c r="I923">
        <v>6</v>
      </c>
      <c r="J923" t="str" cm="1">
        <f t="array" ref="J923">_xlfn.IFS(I923&lt;=3,"small",I923&lt;=6,"Medium",I923&lt;=9,"Large")</f>
        <v>Medium</v>
      </c>
      <c r="K923" s="36">
        <v>45008</v>
      </c>
      <c r="L923" s="36">
        <v>45010</v>
      </c>
      <c r="M923" t="s">
        <v>598</v>
      </c>
      <c r="N923" t="s">
        <v>608</v>
      </c>
      <c r="O923" s="37" t="str">
        <f t="shared" si="73"/>
        <v>Cash Payment</v>
      </c>
      <c r="P923">
        <v>147</v>
      </c>
      <c r="Q923" s="37" t="str">
        <f>IF(P923&gt;500,"High","low")</f>
        <v>low</v>
      </c>
      <c r="R923" s="37" t="str">
        <f t="shared" si="74"/>
        <v>AVERAGE</v>
      </c>
      <c r="S923" t="s">
        <v>609</v>
      </c>
    </row>
    <row r="924" spans="1:19" x14ac:dyDescent="0.2">
      <c r="A924" t="s">
        <v>1535</v>
      </c>
      <c r="B924" t="s">
        <v>75</v>
      </c>
      <c r="C924" t="s">
        <v>614</v>
      </c>
      <c r="D924">
        <v>3321.88</v>
      </c>
      <c r="E924" s="37" t="str">
        <f t="shared" si="70"/>
        <v xml:space="preserve"> </v>
      </c>
      <c r="F924">
        <v>0.33</v>
      </c>
      <c r="G924" s="37" t="str">
        <f t="shared" si="71"/>
        <v>Heavy Discount</v>
      </c>
      <c r="H924" s="37" t="str">
        <f t="shared" si="72"/>
        <v>Medium</v>
      </c>
      <c r="I924">
        <v>2</v>
      </c>
      <c r="J924" t="str" cm="1">
        <f t="array" ref="J924">_xlfn.IFS(I924&lt;=3,"small",I924&lt;=6,"Medium",I924&lt;=9,"Large")</f>
        <v>small</v>
      </c>
      <c r="K924" s="36">
        <v>45359</v>
      </c>
      <c r="L924" s="36">
        <v>45362</v>
      </c>
      <c r="M924" t="s">
        <v>598</v>
      </c>
      <c r="N924" t="s">
        <v>599</v>
      </c>
      <c r="O924" s="37" t="str">
        <f t="shared" si="73"/>
        <v>Digital Payment</v>
      </c>
      <c r="P924">
        <v>426.77</v>
      </c>
      <c r="Q924" s="37" t="str">
        <f>IF(P924&gt;500,"High","low")</f>
        <v>low</v>
      </c>
      <c r="R924" s="37" t="str">
        <f t="shared" si="74"/>
        <v>AVERAGE</v>
      </c>
      <c r="S924" t="s">
        <v>605</v>
      </c>
    </row>
    <row r="925" spans="1:19" x14ac:dyDescent="0.2">
      <c r="A925" t="s">
        <v>1536</v>
      </c>
      <c r="B925" t="s">
        <v>90</v>
      </c>
      <c r="C925" t="s">
        <v>597</v>
      </c>
      <c r="D925">
        <v>808.67</v>
      </c>
      <c r="E925" s="37" t="str">
        <f t="shared" si="70"/>
        <v xml:space="preserve"> </v>
      </c>
      <c r="F925">
        <v>0.42</v>
      </c>
      <c r="G925" s="37" t="str">
        <f t="shared" si="71"/>
        <v>Heavy Discount</v>
      </c>
      <c r="H925" s="37" t="str">
        <f t="shared" si="72"/>
        <v>High</v>
      </c>
      <c r="I925">
        <v>4</v>
      </c>
      <c r="J925" t="str" cm="1">
        <f t="array" ref="J925">_xlfn.IFS(I925&lt;=3,"small",I925&lt;=6,"Medium",I925&lt;=9,"Large")</f>
        <v>Medium</v>
      </c>
      <c r="K925" s="36">
        <v>45326</v>
      </c>
      <c r="L925" s="36">
        <v>45332</v>
      </c>
      <c r="M925" t="s">
        <v>603</v>
      </c>
      <c r="N925" t="s">
        <v>599</v>
      </c>
      <c r="O925" s="37" t="str">
        <f t="shared" si="73"/>
        <v>Digital Payment</v>
      </c>
      <c r="P925">
        <v>211.36</v>
      </c>
      <c r="Q925" s="37" t="str">
        <f>IF(P925&gt;500,"High","low")</f>
        <v>low</v>
      </c>
      <c r="R925" s="37" t="str">
        <f t="shared" si="74"/>
        <v>AVERAGE</v>
      </c>
      <c r="S925" t="s">
        <v>615</v>
      </c>
    </row>
    <row r="926" spans="1:19" x14ac:dyDescent="0.2">
      <c r="A926" t="s">
        <v>1537</v>
      </c>
      <c r="B926" t="s">
        <v>75</v>
      </c>
      <c r="C926" t="s">
        <v>607</v>
      </c>
      <c r="D926">
        <v>2045.63</v>
      </c>
      <c r="E926" s="37" t="str">
        <f t="shared" si="70"/>
        <v xml:space="preserve"> </v>
      </c>
      <c r="F926">
        <v>0.08</v>
      </c>
      <c r="G926" s="37" t="str">
        <f t="shared" si="71"/>
        <v>Normal Discount</v>
      </c>
      <c r="H926" s="37" t="str">
        <f t="shared" si="72"/>
        <v>Low</v>
      </c>
      <c r="I926">
        <v>3</v>
      </c>
      <c r="J926" t="str" cm="1">
        <f t="array" ref="J926">_xlfn.IFS(I926&lt;=3,"small",I926&lt;=6,"Medium",I926&lt;=9,"Large")</f>
        <v>small</v>
      </c>
      <c r="K926" s="36">
        <v>45281</v>
      </c>
      <c r="L926" s="36">
        <v>45286</v>
      </c>
      <c r="M926" t="s">
        <v>603</v>
      </c>
      <c r="N926" t="s">
        <v>604</v>
      </c>
      <c r="O926" s="37" t="str">
        <f t="shared" si="73"/>
        <v>Digital Payment</v>
      </c>
      <c r="P926">
        <v>548.23</v>
      </c>
      <c r="Q926" s="37" t="str">
        <f>IF(P926&gt;500,"High","low")</f>
        <v>High</v>
      </c>
      <c r="R926" s="37" t="str">
        <f t="shared" si="74"/>
        <v>Good</v>
      </c>
      <c r="S926" t="s">
        <v>615</v>
      </c>
    </row>
    <row r="927" spans="1:19" x14ac:dyDescent="0.2">
      <c r="A927" t="s">
        <v>1538</v>
      </c>
      <c r="B927" t="s">
        <v>90</v>
      </c>
      <c r="C927" t="s">
        <v>597</v>
      </c>
      <c r="D927">
        <v>602.1</v>
      </c>
      <c r="E927" s="37" t="str">
        <f t="shared" si="70"/>
        <v xml:space="preserve"> </v>
      </c>
      <c r="F927">
        <v>0.17</v>
      </c>
      <c r="G927" s="37" t="str">
        <f t="shared" si="71"/>
        <v>Normal Discount</v>
      </c>
      <c r="H927" s="37" t="str">
        <f t="shared" si="72"/>
        <v>Low</v>
      </c>
      <c r="I927">
        <v>3</v>
      </c>
      <c r="J927" t="str" cm="1">
        <f t="array" ref="J927">_xlfn.IFS(I927&lt;=3,"small",I927&lt;=6,"Medium",I927&lt;=9,"Large")</f>
        <v>small</v>
      </c>
      <c r="K927" s="36">
        <v>45575</v>
      </c>
      <c r="L927" s="36">
        <v>45580</v>
      </c>
      <c r="M927" t="s">
        <v>598</v>
      </c>
      <c r="N927" t="s">
        <v>604</v>
      </c>
      <c r="O927" s="37" t="str">
        <f t="shared" si="73"/>
        <v>Digital Payment</v>
      </c>
      <c r="P927">
        <v>146.18</v>
      </c>
      <c r="Q927" s="37" t="str">
        <f>IF(P927&gt;500,"High","low")</f>
        <v>low</v>
      </c>
      <c r="R927" s="37" t="str">
        <f t="shared" si="74"/>
        <v>AVERAGE</v>
      </c>
      <c r="S927" t="s">
        <v>609</v>
      </c>
    </row>
    <row r="928" spans="1:19" x14ac:dyDescent="0.2">
      <c r="A928" t="s">
        <v>1539</v>
      </c>
      <c r="B928" t="s">
        <v>75</v>
      </c>
      <c r="C928" t="s">
        <v>617</v>
      </c>
      <c r="D928">
        <v>1482.26</v>
      </c>
      <c r="E928" s="37" t="str">
        <f t="shared" si="70"/>
        <v xml:space="preserve"> </v>
      </c>
      <c r="F928">
        <v>0.33</v>
      </c>
      <c r="G928" s="37" t="str">
        <f t="shared" si="71"/>
        <v>Heavy Discount</v>
      </c>
      <c r="H928" s="37" t="str">
        <f t="shared" si="72"/>
        <v>Medium</v>
      </c>
      <c r="I928">
        <v>5</v>
      </c>
      <c r="J928" t="str" cm="1">
        <f t="array" ref="J928">_xlfn.IFS(I928&lt;=3,"small",I928&lt;=6,"Medium",I928&lt;=9,"Large")</f>
        <v>Medium</v>
      </c>
      <c r="K928" s="36">
        <v>45290</v>
      </c>
      <c r="L928" s="36">
        <v>45295</v>
      </c>
      <c r="M928" t="s">
        <v>598</v>
      </c>
      <c r="N928" t="s">
        <v>608</v>
      </c>
      <c r="O928" s="37" t="str">
        <f t="shared" si="73"/>
        <v>Cash Payment</v>
      </c>
      <c r="P928">
        <v>289.98</v>
      </c>
      <c r="Q928" s="37" t="str">
        <f>IF(P928&gt;500,"High","low")</f>
        <v>low</v>
      </c>
      <c r="R928" s="37" t="str">
        <f t="shared" si="74"/>
        <v>AVERAGE</v>
      </c>
      <c r="S928" t="s">
        <v>628</v>
      </c>
    </row>
    <row r="929" spans="1:19" x14ac:dyDescent="0.2">
      <c r="A929" t="s">
        <v>1540</v>
      </c>
      <c r="B929" t="s">
        <v>67</v>
      </c>
      <c r="C929" t="s">
        <v>617</v>
      </c>
      <c r="D929">
        <v>532.66</v>
      </c>
      <c r="E929" s="37" t="str">
        <f t="shared" si="70"/>
        <v xml:space="preserve"> </v>
      </c>
      <c r="F929">
        <v>0.38</v>
      </c>
      <c r="G929" s="37" t="str">
        <f t="shared" si="71"/>
        <v>Heavy Discount</v>
      </c>
      <c r="H929" s="37" t="str">
        <f t="shared" si="72"/>
        <v>Medium</v>
      </c>
      <c r="I929">
        <v>1</v>
      </c>
      <c r="J929" t="str" cm="1">
        <f t="array" ref="J929">_xlfn.IFS(I929&lt;=3,"small",I929&lt;=6,"Medium",I929&lt;=9,"Large")</f>
        <v>small</v>
      </c>
      <c r="K929" s="36">
        <v>45221</v>
      </c>
      <c r="L929" s="36">
        <v>45224</v>
      </c>
      <c r="M929" t="s">
        <v>598</v>
      </c>
      <c r="N929" t="s">
        <v>604</v>
      </c>
      <c r="O929" s="37" t="str">
        <f t="shared" si="73"/>
        <v>Digital Payment</v>
      </c>
      <c r="P929">
        <v>87.28</v>
      </c>
      <c r="Q929" s="37" t="str">
        <f>IF(P929&gt;500,"High","low")</f>
        <v>low</v>
      </c>
      <c r="R929" s="37" t="str">
        <f t="shared" si="74"/>
        <v>AVERAGE</v>
      </c>
      <c r="S929" t="s">
        <v>615</v>
      </c>
    </row>
    <row r="930" spans="1:19" x14ac:dyDescent="0.2">
      <c r="A930" t="s">
        <v>1541</v>
      </c>
      <c r="B930" t="s">
        <v>83</v>
      </c>
      <c r="C930" t="s">
        <v>617</v>
      </c>
      <c r="D930">
        <v>4855.84</v>
      </c>
      <c r="E930" s="37" t="str">
        <f t="shared" si="70"/>
        <v xml:space="preserve"> </v>
      </c>
      <c r="F930">
        <v>0.39</v>
      </c>
      <c r="G930" s="37" t="str">
        <f t="shared" si="71"/>
        <v>Heavy Discount</v>
      </c>
      <c r="H930" s="37" t="str">
        <f t="shared" si="72"/>
        <v>Medium</v>
      </c>
      <c r="I930">
        <v>9</v>
      </c>
      <c r="J930" t="str" cm="1">
        <f t="array" ref="J930">_xlfn.IFS(I930&lt;=3,"small",I930&lt;=6,"Medium",I930&lt;=9,"Large")</f>
        <v>Large</v>
      </c>
      <c r="K930" s="36">
        <v>45348</v>
      </c>
      <c r="L930" s="36">
        <v>45352</v>
      </c>
      <c r="M930" t="s">
        <v>598</v>
      </c>
      <c r="N930" t="s">
        <v>604</v>
      </c>
      <c r="O930" s="37" t="str">
        <f t="shared" si="73"/>
        <v>Digital Payment</v>
      </c>
      <c r="P930">
        <v>357.72</v>
      </c>
      <c r="Q930" s="37" t="str">
        <f>IF(P930&gt;500,"High","low")</f>
        <v>low</v>
      </c>
      <c r="R930" s="37" t="str">
        <f t="shared" si="74"/>
        <v>AVERAGE</v>
      </c>
      <c r="S930" t="s">
        <v>628</v>
      </c>
    </row>
    <row r="931" spans="1:19" x14ac:dyDescent="0.2">
      <c r="A931" t="s">
        <v>1542</v>
      </c>
      <c r="B931" t="s">
        <v>75</v>
      </c>
      <c r="C931" t="s">
        <v>602</v>
      </c>
      <c r="D931">
        <v>2035.79</v>
      </c>
      <c r="E931" s="37" t="str">
        <f t="shared" si="70"/>
        <v xml:space="preserve"> </v>
      </c>
      <c r="F931">
        <v>0.33</v>
      </c>
      <c r="G931" s="37" t="str">
        <f t="shared" si="71"/>
        <v>Heavy Discount</v>
      </c>
      <c r="H931" s="37" t="str">
        <f t="shared" si="72"/>
        <v>Medium</v>
      </c>
      <c r="I931">
        <v>4</v>
      </c>
      <c r="J931" t="str" cm="1">
        <f t="array" ref="J931">_xlfn.IFS(I931&lt;=3,"small",I931&lt;=6,"Medium",I931&lt;=9,"Large")</f>
        <v>Medium</v>
      </c>
      <c r="K931" s="36">
        <v>44932</v>
      </c>
      <c r="L931" s="36">
        <v>44937</v>
      </c>
      <c r="M931" t="s">
        <v>612</v>
      </c>
      <c r="N931" t="s">
        <v>604</v>
      </c>
      <c r="O931" s="37" t="str">
        <f t="shared" si="73"/>
        <v>Digital Payment</v>
      </c>
      <c r="P931">
        <v>435.41</v>
      </c>
      <c r="Q931" s="37" t="str">
        <f>IF(P931&gt;500,"High","low")</f>
        <v>low</v>
      </c>
      <c r="R931" s="37" t="str">
        <f t="shared" si="74"/>
        <v>AVERAGE</v>
      </c>
      <c r="S931" t="s">
        <v>609</v>
      </c>
    </row>
    <row r="932" spans="1:19" x14ac:dyDescent="0.2">
      <c r="A932" t="s">
        <v>1543</v>
      </c>
      <c r="B932" t="s">
        <v>90</v>
      </c>
      <c r="C932" t="s">
        <v>617</v>
      </c>
      <c r="D932">
        <v>4515.82</v>
      </c>
      <c r="E932" s="37" t="str">
        <f t="shared" si="70"/>
        <v>Excellent Order</v>
      </c>
      <c r="F932">
        <v>0.24</v>
      </c>
      <c r="G932" s="37" t="str">
        <f t="shared" si="71"/>
        <v>Normal Discount</v>
      </c>
      <c r="H932" s="37" t="str">
        <f t="shared" si="72"/>
        <v>Medium</v>
      </c>
      <c r="I932">
        <v>7</v>
      </c>
      <c r="J932" t="str" cm="1">
        <f t="array" ref="J932">_xlfn.IFS(I932&lt;=3,"small",I932&lt;=6,"Medium",I932&lt;=9,"Large")</f>
        <v>Large</v>
      </c>
      <c r="K932" s="36">
        <v>45519</v>
      </c>
      <c r="L932" s="36">
        <v>45524</v>
      </c>
      <c r="M932" t="s">
        <v>612</v>
      </c>
      <c r="N932" t="s">
        <v>604</v>
      </c>
      <c r="O932" s="37" t="str">
        <f t="shared" si="73"/>
        <v>Digital Payment</v>
      </c>
      <c r="P932">
        <v>1168.8399999999999</v>
      </c>
      <c r="Q932" s="37" t="str">
        <f>IF(P932&gt;500,"High","low")</f>
        <v>High</v>
      </c>
      <c r="R932" s="37" t="str">
        <f t="shared" si="74"/>
        <v>Excellent</v>
      </c>
      <c r="S932" t="s">
        <v>615</v>
      </c>
    </row>
    <row r="933" spans="1:19" x14ac:dyDescent="0.2">
      <c r="A933" t="s">
        <v>1544</v>
      </c>
      <c r="B933" t="s">
        <v>67</v>
      </c>
      <c r="C933" t="s">
        <v>617</v>
      </c>
      <c r="D933">
        <v>4858.74</v>
      </c>
      <c r="E933" s="37" t="str">
        <f t="shared" si="70"/>
        <v>Excellent Order</v>
      </c>
      <c r="F933">
        <v>0.32</v>
      </c>
      <c r="G933" s="37" t="str">
        <f t="shared" si="71"/>
        <v>Heavy Discount</v>
      </c>
      <c r="H933" s="37" t="str">
        <f t="shared" si="72"/>
        <v>Medium</v>
      </c>
      <c r="I933">
        <v>7</v>
      </c>
      <c r="J933" t="str" cm="1">
        <f t="array" ref="J933">_xlfn.IFS(I933&lt;=3,"small",I933&lt;=6,"Medium",I933&lt;=9,"Large")</f>
        <v>Large</v>
      </c>
      <c r="K933" s="36">
        <v>45512</v>
      </c>
      <c r="L933" s="36">
        <v>45516</v>
      </c>
      <c r="M933" t="s">
        <v>598</v>
      </c>
      <c r="N933" t="s">
        <v>604</v>
      </c>
      <c r="O933" s="37" t="str">
        <f t="shared" si="73"/>
        <v>Digital Payment</v>
      </c>
      <c r="P933">
        <v>1286.47</v>
      </c>
      <c r="Q933" s="37" t="str">
        <f>IF(P933&gt;500,"High","low")</f>
        <v>High</v>
      </c>
      <c r="R933" s="37" t="str">
        <f t="shared" si="74"/>
        <v>Excellent</v>
      </c>
      <c r="S933" t="s">
        <v>628</v>
      </c>
    </row>
    <row r="934" spans="1:19" x14ac:dyDescent="0.2">
      <c r="A934" t="s">
        <v>1545</v>
      </c>
      <c r="B934" t="s">
        <v>75</v>
      </c>
      <c r="C934" t="s">
        <v>602</v>
      </c>
      <c r="D934">
        <v>4556.8599999999997</v>
      </c>
      <c r="E934" s="37" t="str">
        <f t="shared" si="70"/>
        <v xml:space="preserve"> </v>
      </c>
      <c r="F934">
        <v>7.0000000000000007E-2</v>
      </c>
      <c r="G934" s="37" t="str">
        <f t="shared" si="71"/>
        <v>Normal Discount</v>
      </c>
      <c r="H934" s="37" t="str">
        <f t="shared" si="72"/>
        <v>Low</v>
      </c>
      <c r="I934">
        <v>7</v>
      </c>
      <c r="J934" t="str" cm="1">
        <f t="array" ref="J934">_xlfn.IFS(I934&lt;=3,"small",I934&lt;=6,"Medium",I934&lt;=9,"Large")</f>
        <v>Large</v>
      </c>
      <c r="K934" s="36">
        <v>45406</v>
      </c>
      <c r="L934" s="36">
        <v>45409</v>
      </c>
      <c r="M934" t="s">
        <v>603</v>
      </c>
      <c r="N934" t="s">
        <v>604</v>
      </c>
      <c r="O934" s="37" t="str">
        <f t="shared" si="73"/>
        <v>Digital Payment</v>
      </c>
      <c r="P934">
        <v>502.43</v>
      </c>
      <c r="Q934" s="37" t="str">
        <f>IF(P934&gt;500,"High","low")</f>
        <v>High</v>
      </c>
      <c r="R934" s="37" t="str">
        <f t="shared" si="74"/>
        <v>Good</v>
      </c>
      <c r="S934" t="s">
        <v>620</v>
      </c>
    </row>
    <row r="935" spans="1:19" x14ac:dyDescent="0.2">
      <c r="A935" t="s">
        <v>1546</v>
      </c>
      <c r="B935" t="s">
        <v>75</v>
      </c>
      <c r="C935" t="s">
        <v>617</v>
      </c>
      <c r="D935">
        <v>2329.3000000000002</v>
      </c>
      <c r="E935" s="37" t="str">
        <f t="shared" si="70"/>
        <v xml:space="preserve"> </v>
      </c>
      <c r="F935">
        <v>0.1</v>
      </c>
      <c r="G935" s="37" t="str">
        <f t="shared" si="71"/>
        <v>Normal Discount</v>
      </c>
      <c r="H935" s="37" t="str">
        <f t="shared" si="72"/>
        <v>Low</v>
      </c>
      <c r="I935">
        <v>5</v>
      </c>
      <c r="J935" t="str" cm="1">
        <f t="array" ref="J935">_xlfn.IFS(I935&lt;=3,"small",I935&lt;=6,"Medium",I935&lt;=9,"Large")</f>
        <v>Medium</v>
      </c>
      <c r="K935" s="36">
        <v>45441</v>
      </c>
      <c r="L935" s="36">
        <v>45444</v>
      </c>
      <c r="M935" t="s">
        <v>603</v>
      </c>
      <c r="N935" t="s">
        <v>599</v>
      </c>
      <c r="O935" s="37" t="str">
        <f t="shared" si="73"/>
        <v>Digital Payment</v>
      </c>
      <c r="P935">
        <v>458.26</v>
      </c>
      <c r="Q935" s="37" t="str">
        <f>IF(P935&gt;500,"High","low")</f>
        <v>low</v>
      </c>
      <c r="R935" s="37" t="str">
        <f t="shared" si="74"/>
        <v>AVERAGE</v>
      </c>
      <c r="S935" t="s">
        <v>615</v>
      </c>
    </row>
    <row r="936" spans="1:19" x14ac:dyDescent="0.2">
      <c r="A936" t="s">
        <v>1547</v>
      </c>
      <c r="B936" t="s">
        <v>67</v>
      </c>
      <c r="C936" t="s">
        <v>607</v>
      </c>
      <c r="D936">
        <v>3916.6</v>
      </c>
      <c r="E936" s="37" t="str">
        <f t="shared" si="70"/>
        <v xml:space="preserve"> </v>
      </c>
      <c r="F936">
        <v>0.46</v>
      </c>
      <c r="G936" s="37" t="str">
        <f t="shared" si="71"/>
        <v>Heavy Discount</v>
      </c>
      <c r="H936" s="37" t="str">
        <f t="shared" si="72"/>
        <v>High</v>
      </c>
      <c r="I936">
        <v>4</v>
      </c>
      <c r="J936" t="str" cm="1">
        <f t="array" ref="J936">_xlfn.IFS(I936&lt;=3,"small",I936&lt;=6,"Medium",I936&lt;=9,"Large")</f>
        <v>Medium</v>
      </c>
      <c r="K936" s="36">
        <v>45153</v>
      </c>
      <c r="L936" s="36">
        <v>45157</v>
      </c>
      <c r="M936" t="s">
        <v>612</v>
      </c>
      <c r="N936" t="s">
        <v>604</v>
      </c>
      <c r="O936" s="37" t="str">
        <f t="shared" si="73"/>
        <v>Digital Payment</v>
      </c>
      <c r="P936">
        <v>1119.67</v>
      </c>
      <c r="Q936" s="37" t="str">
        <f>IF(P936&gt;500,"High","low")</f>
        <v>High</v>
      </c>
      <c r="R936" s="37" t="str">
        <f t="shared" si="74"/>
        <v>Excellent</v>
      </c>
      <c r="S936" t="s">
        <v>605</v>
      </c>
    </row>
    <row r="937" spans="1:19" x14ac:dyDescent="0.2">
      <c r="A937" t="s">
        <v>1548</v>
      </c>
      <c r="B937" t="s">
        <v>75</v>
      </c>
      <c r="C937" t="s">
        <v>617</v>
      </c>
      <c r="D937">
        <v>853.13</v>
      </c>
      <c r="E937" s="37" t="str">
        <f t="shared" si="70"/>
        <v xml:space="preserve"> </v>
      </c>
      <c r="F937">
        <v>0.46</v>
      </c>
      <c r="G937" s="37" t="str">
        <f t="shared" si="71"/>
        <v>Heavy Discount</v>
      </c>
      <c r="H937" s="37" t="str">
        <f t="shared" si="72"/>
        <v>High</v>
      </c>
      <c r="I937">
        <v>4</v>
      </c>
      <c r="J937" t="str" cm="1">
        <f t="array" ref="J937">_xlfn.IFS(I937&lt;=3,"small",I937&lt;=6,"Medium",I937&lt;=9,"Large")</f>
        <v>Medium</v>
      </c>
      <c r="K937" s="36">
        <v>45593</v>
      </c>
      <c r="L937" s="36">
        <v>45594</v>
      </c>
      <c r="M937" t="s">
        <v>598</v>
      </c>
      <c r="N937" t="s">
        <v>608</v>
      </c>
      <c r="O937" s="37" t="str">
        <f t="shared" si="73"/>
        <v>Cash Payment</v>
      </c>
      <c r="P937">
        <v>224.73</v>
      </c>
      <c r="Q937" s="37" t="str">
        <f>IF(P937&gt;500,"High","low")</f>
        <v>low</v>
      </c>
      <c r="R937" s="37" t="str">
        <f t="shared" si="74"/>
        <v>AVERAGE</v>
      </c>
      <c r="S937" t="s">
        <v>600</v>
      </c>
    </row>
    <row r="938" spans="1:19" x14ac:dyDescent="0.2">
      <c r="A938" t="s">
        <v>1549</v>
      </c>
      <c r="B938" t="s">
        <v>83</v>
      </c>
      <c r="C938" t="s">
        <v>617</v>
      </c>
      <c r="D938">
        <v>564.67999999999995</v>
      </c>
      <c r="E938" s="37" t="str">
        <f t="shared" si="70"/>
        <v xml:space="preserve"> </v>
      </c>
      <c r="F938">
        <v>0.36</v>
      </c>
      <c r="G938" s="37" t="str">
        <f t="shared" si="71"/>
        <v>Heavy Discount</v>
      </c>
      <c r="H938" s="37" t="str">
        <f t="shared" si="72"/>
        <v>Medium</v>
      </c>
      <c r="I938">
        <v>5</v>
      </c>
      <c r="J938" t="str" cm="1">
        <f t="array" ref="J938">_xlfn.IFS(I938&lt;=3,"small",I938&lt;=6,"Medium",I938&lt;=9,"Large")</f>
        <v>Medium</v>
      </c>
      <c r="K938" s="36">
        <v>45207</v>
      </c>
      <c r="L938" s="36">
        <v>45214</v>
      </c>
      <c r="M938" t="s">
        <v>603</v>
      </c>
      <c r="N938" t="s">
        <v>604</v>
      </c>
      <c r="O938" s="37" t="str">
        <f t="shared" si="73"/>
        <v>Digital Payment</v>
      </c>
      <c r="P938">
        <v>50.44</v>
      </c>
      <c r="Q938" s="37" t="str">
        <f>IF(P938&gt;500,"High","low")</f>
        <v>low</v>
      </c>
      <c r="R938" s="37" t="str">
        <f t="shared" si="74"/>
        <v>AVERAGE</v>
      </c>
      <c r="S938" t="s">
        <v>605</v>
      </c>
    </row>
    <row r="939" spans="1:19" x14ac:dyDescent="0.2">
      <c r="A939" t="s">
        <v>1550</v>
      </c>
      <c r="B939" t="s">
        <v>75</v>
      </c>
      <c r="C939" t="s">
        <v>602</v>
      </c>
      <c r="D939">
        <v>4396.82</v>
      </c>
      <c r="E939" s="37" t="str">
        <f t="shared" si="70"/>
        <v xml:space="preserve"> </v>
      </c>
      <c r="F939">
        <v>0.16</v>
      </c>
      <c r="G939" s="37" t="str">
        <f t="shared" si="71"/>
        <v>Normal Discount</v>
      </c>
      <c r="H939" s="37" t="str">
        <f t="shared" si="72"/>
        <v>Low</v>
      </c>
      <c r="I939">
        <v>6</v>
      </c>
      <c r="J939" t="str" cm="1">
        <f t="array" ref="J939">_xlfn.IFS(I939&lt;=3,"small",I939&lt;=6,"Medium",I939&lt;=9,"Large")</f>
        <v>Medium</v>
      </c>
      <c r="K939" s="36">
        <v>45651</v>
      </c>
      <c r="L939" s="36">
        <v>45655</v>
      </c>
      <c r="M939" t="s">
        <v>598</v>
      </c>
      <c r="N939" t="s">
        <v>604</v>
      </c>
      <c r="O939" s="37" t="str">
        <f t="shared" si="73"/>
        <v>Digital Payment</v>
      </c>
      <c r="P939">
        <v>650.92999999999995</v>
      </c>
      <c r="Q939" s="37" t="str">
        <f>IF(P939&gt;500,"High","low")</f>
        <v>High</v>
      </c>
      <c r="R939" s="37" t="str">
        <f t="shared" si="74"/>
        <v>Good</v>
      </c>
      <c r="S939" t="s">
        <v>620</v>
      </c>
    </row>
    <row r="940" spans="1:19" x14ac:dyDescent="0.2">
      <c r="A940" t="s">
        <v>1551</v>
      </c>
      <c r="B940" t="s">
        <v>83</v>
      </c>
      <c r="C940" t="s">
        <v>607</v>
      </c>
      <c r="D940">
        <v>252.49</v>
      </c>
      <c r="E940" s="37" t="str">
        <f t="shared" si="70"/>
        <v xml:space="preserve"> </v>
      </c>
      <c r="F940">
        <v>0.32</v>
      </c>
      <c r="G940" s="37" t="str">
        <f t="shared" si="71"/>
        <v>Heavy Discount</v>
      </c>
      <c r="H940" s="37" t="str">
        <f t="shared" si="72"/>
        <v>Medium</v>
      </c>
      <c r="I940">
        <v>7</v>
      </c>
      <c r="J940" t="str" cm="1">
        <f t="array" ref="J940">_xlfn.IFS(I940&lt;=3,"small",I940&lt;=6,"Medium",I940&lt;=9,"Large")</f>
        <v>Large</v>
      </c>
      <c r="K940" s="36">
        <v>45632</v>
      </c>
      <c r="L940" s="36">
        <v>45639</v>
      </c>
      <c r="M940" t="s">
        <v>612</v>
      </c>
      <c r="N940" t="s">
        <v>604</v>
      </c>
      <c r="O940" s="37" t="str">
        <f t="shared" si="73"/>
        <v>Digital Payment</v>
      </c>
      <c r="P940">
        <v>18.809999999999999</v>
      </c>
      <c r="Q940" s="37" t="str">
        <f>IF(P940&gt;500,"High","low")</f>
        <v>low</v>
      </c>
      <c r="R940" s="37" t="str">
        <f t="shared" si="74"/>
        <v>AVERAGE</v>
      </c>
      <c r="S940" t="s">
        <v>605</v>
      </c>
    </row>
    <row r="941" spans="1:19" x14ac:dyDescent="0.2">
      <c r="A941" t="s">
        <v>1552</v>
      </c>
      <c r="B941" t="s">
        <v>83</v>
      </c>
      <c r="C941" t="s">
        <v>597</v>
      </c>
      <c r="D941">
        <v>4864.3999999999996</v>
      </c>
      <c r="E941" s="37" t="str">
        <f t="shared" si="70"/>
        <v>Excellent Order</v>
      </c>
      <c r="F941">
        <v>0.34</v>
      </c>
      <c r="G941" s="37" t="str">
        <f t="shared" si="71"/>
        <v>Heavy Discount</v>
      </c>
      <c r="H941" s="37" t="str">
        <f t="shared" si="72"/>
        <v>Medium</v>
      </c>
      <c r="I941">
        <v>5</v>
      </c>
      <c r="J941" t="str" cm="1">
        <f t="array" ref="J941">_xlfn.IFS(I941&lt;=3,"small",I941&lt;=6,"Medium",I941&lt;=9,"Large")</f>
        <v>Medium</v>
      </c>
      <c r="K941" s="36">
        <v>45266</v>
      </c>
      <c r="L941" s="36">
        <v>45268</v>
      </c>
      <c r="M941" t="s">
        <v>612</v>
      </c>
      <c r="N941" t="s">
        <v>604</v>
      </c>
      <c r="O941" s="37" t="str">
        <f t="shared" si="73"/>
        <v>Digital Payment</v>
      </c>
      <c r="P941">
        <v>1256.3800000000001</v>
      </c>
      <c r="Q941" s="37" t="str">
        <f>IF(P941&gt;500,"High","low")</f>
        <v>High</v>
      </c>
      <c r="R941" s="37" t="str">
        <f t="shared" si="74"/>
        <v>Excellent</v>
      </c>
      <c r="S941" t="s">
        <v>609</v>
      </c>
    </row>
    <row r="942" spans="1:19" x14ac:dyDescent="0.2">
      <c r="A942" t="s">
        <v>1553</v>
      </c>
      <c r="B942" t="s">
        <v>67</v>
      </c>
      <c r="C942" t="s">
        <v>614</v>
      </c>
      <c r="D942">
        <v>3393.46</v>
      </c>
      <c r="E942" s="37" t="str">
        <f t="shared" si="70"/>
        <v xml:space="preserve"> </v>
      </c>
      <c r="F942">
        <v>0.26</v>
      </c>
      <c r="G942" s="37" t="str">
        <f t="shared" si="71"/>
        <v>Normal Discount</v>
      </c>
      <c r="H942" s="37" t="str">
        <f t="shared" si="72"/>
        <v>Medium</v>
      </c>
      <c r="I942">
        <v>9</v>
      </c>
      <c r="J942" t="str" cm="1">
        <f t="array" ref="J942">_xlfn.IFS(I942&lt;=3,"small",I942&lt;=6,"Medium",I942&lt;=9,"Large")</f>
        <v>Large</v>
      </c>
      <c r="K942" s="36">
        <v>45333</v>
      </c>
      <c r="L942" s="36">
        <v>45335</v>
      </c>
      <c r="M942" t="s">
        <v>603</v>
      </c>
      <c r="N942" t="s">
        <v>608</v>
      </c>
      <c r="O942" s="37" t="str">
        <f t="shared" si="73"/>
        <v>Cash Payment</v>
      </c>
      <c r="P942">
        <v>684.44</v>
      </c>
      <c r="Q942" s="37" t="str">
        <f>IF(P942&gt;500,"High","low")</f>
        <v>High</v>
      </c>
      <c r="R942" s="37" t="str">
        <f t="shared" si="74"/>
        <v>Good</v>
      </c>
      <c r="S942" t="s">
        <v>628</v>
      </c>
    </row>
    <row r="943" spans="1:19" x14ac:dyDescent="0.2">
      <c r="A943" t="s">
        <v>1554</v>
      </c>
      <c r="B943" t="s">
        <v>75</v>
      </c>
      <c r="C943" t="s">
        <v>607</v>
      </c>
      <c r="D943">
        <v>2156.1</v>
      </c>
      <c r="E943" s="37" t="str">
        <f t="shared" si="70"/>
        <v xml:space="preserve"> </v>
      </c>
      <c r="F943">
        <v>0.37</v>
      </c>
      <c r="G943" s="37" t="str">
        <f t="shared" si="71"/>
        <v>Heavy Discount</v>
      </c>
      <c r="H943" s="37" t="str">
        <f t="shared" si="72"/>
        <v>Medium</v>
      </c>
      <c r="I943">
        <v>9</v>
      </c>
      <c r="J943" t="str" cm="1">
        <f t="array" ref="J943">_xlfn.IFS(I943&lt;=3,"small",I943&lt;=6,"Medium",I943&lt;=9,"Large")</f>
        <v>Large</v>
      </c>
      <c r="K943" s="36">
        <v>45501</v>
      </c>
      <c r="L943" s="36">
        <v>45502</v>
      </c>
      <c r="M943" t="s">
        <v>598</v>
      </c>
      <c r="N943" t="s">
        <v>599</v>
      </c>
      <c r="O943" s="37" t="str">
        <f t="shared" si="73"/>
        <v>Digital Payment</v>
      </c>
      <c r="P943">
        <v>485.37</v>
      </c>
      <c r="Q943" s="37" t="str">
        <f>IF(P943&gt;500,"High","low")</f>
        <v>low</v>
      </c>
      <c r="R943" s="37" t="str">
        <f t="shared" si="74"/>
        <v>AVERAGE</v>
      </c>
      <c r="S943" t="s">
        <v>615</v>
      </c>
    </row>
    <row r="944" spans="1:19" x14ac:dyDescent="0.2">
      <c r="A944" t="s">
        <v>1555</v>
      </c>
      <c r="B944" t="s">
        <v>67</v>
      </c>
      <c r="C944" t="s">
        <v>597</v>
      </c>
      <c r="D944">
        <v>792.74</v>
      </c>
      <c r="E944" s="37" t="str">
        <f t="shared" si="70"/>
        <v xml:space="preserve"> </v>
      </c>
      <c r="F944">
        <v>0.01</v>
      </c>
      <c r="G944" s="37" t="str">
        <f t="shared" si="71"/>
        <v>Normal Discount</v>
      </c>
      <c r="H944" s="37" t="str">
        <f t="shared" si="72"/>
        <v>Low</v>
      </c>
      <c r="I944">
        <v>1</v>
      </c>
      <c r="J944" t="str" cm="1">
        <f t="array" ref="J944">_xlfn.IFS(I944&lt;=3,"small",I944&lt;=6,"Medium",I944&lt;=9,"Large")</f>
        <v>small</v>
      </c>
      <c r="K944" s="36">
        <v>45368</v>
      </c>
      <c r="L944" s="36">
        <v>45374</v>
      </c>
      <c r="M944" t="s">
        <v>612</v>
      </c>
      <c r="N944" t="s">
        <v>608</v>
      </c>
      <c r="O944" s="37" t="str">
        <f t="shared" si="73"/>
        <v>Cash Payment</v>
      </c>
      <c r="P944">
        <v>72.27</v>
      </c>
      <c r="Q944" s="37" t="str">
        <f>IF(P944&gt;500,"High","low")</f>
        <v>low</v>
      </c>
      <c r="R944" s="37" t="str">
        <f t="shared" si="74"/>
        <v>AVERAGE</v>
      </c>
      <c r="S944" t="s">
        <v>600</v>
      </c>
    </row>
    <row r="945" spans="1:19" x14ac:dyDescent="0.2">
      <c r="A945" t="s">
        <v>1556</v>
      </c>
      <c r="B945" t="s">
        <v>75</v>
      </c>
      <c r="C945" t="s">
        <v>607</v>
      </c>
      <c r="D945">
        <v>3643.83</v>
      </c>
      <c r="E945" s="37" t="str">
        <f t="shared" si="70"/>
        <v xml:space="preserve"> </v>
      </c>
      <c r="F945">
        <v>0.13</v>
      </c>
      <c r="G945" s="37" t="str">
        <f t="shared" si="71"/>
        <v>Normal Discount</v>
      </c>
      <c r="H945" s="37" t="str">
        <f t="shared" si="72"/>
        <v>Low</v>
      </c>
      <c r="I945">
        <v>5</v>
      </c>
      <c r="J945" t="str" cm="1">
        <f t="array" ref="J945">_xlfn.IFS(I945&lt;=3,"small",I945&lt;=6,"Medium",I945&lt;=9,"Large")</f>
        <v>Medium</v>
      </c>
      <c r="K945" s="36">
        <v>45318</v>
      </c>
      <c r="L945" s="36">
        <v>45319</v>
      </c>
      <c r="M945" t="s">
        <v>603</v>
      </c>
      <c r="N945" t="s">
        <v>608</v>
      </c>
      <c r="O945" s="37" t="str">
        <f t="shared" si="73"/>
        <v>Cash Payment</v>
      </c>
      <c r="P945">
        <v>843.42</v>
      </c>
      <c r="Q945" s="37" t="str">
        <f>IF(P945&gt;500,"High","low")</f>
        <v>High</v>
      </c>
      <c r="R945" s="37" t="str">
        <f t="shared" si="74"/>
        <v>Good</v>
      </c>
      <c r="S945" t="s">
        <v>615</v>
      </c>
    </row>
    <row r="946" spans="1:19" x14ac:dyDescent="0.2">
      <c r="A946" t="s">
        <v>1557</v>
      </c>
      <c r="B946" t="s">
        <v>75</v>
      </c>
      <c r="C946" t="s">
        <v>597</v>
      </c>
      <c r="D946">
        <v>2859.25</v>
      </c>
      <c r="E946" s="37" t="str">
        <f t="shared" si="70"/>
        <v xml:space="preserve"> </v>
      </c>
      <c r="F946">
        <v>0.4</v>
      </c>
      <c r="G946" s="37" t="str">
        <f t="shared" si="71"/>
        <v>Heavy Discount</v>
      </c>
      <c r="H946" s="37" t="str">
        <f t="shared" si="72"/>
        <v>Medium</v>
      </c>
      <c r="I946">
        <v>2</v>
      </c>
      <c r="J946" t="str" cm="1">
        <f t="array" ref="J946">_xlfn.IFS(I946&lt;=3,"small",I946&lt;=6,"Medium",I946&lt;=9,"Large")</f>
        <v>small</v>
      </c>
      <c r="K946" s="36">
        <v>45361</v>
      </c>
      <c r="L946" s="36">
        <v>45368</v>
      </c>
      <c r="M946" t="s">
        <v>598</v>
      </c>
      <c r="N946" t="s">
        <v>599</v>
      </c>
      <c r="O946" s="37" t="str">
        <f t="shared" si="73"/>
        <v>Digital Payment</v>
      </c>
      <c r="P946">
        <v>304.06</v>
      </c>
      <c r="Q946" s="37" t="str">
        <f>IF(P946&gt;500,"High","low")</f>
        <v>low</v>
      </c>
      <c r="R946" s="37" t="str">
        <f t="shared" si="74"/>
        <v>AVERAGE</v>
      </c>
      <c r="S946" t="s">
        <v>620</v>
      </c>
    </row>
    <row r="947" spans="1:19" x14ac:dyDescent="0.2">
      <c r="A947" t="s">
        <v>1558</v>
      </c>
      <c r="B947" t="s">
        <v>90</v>
      </c>
      <c r="C947" t="s">
        <v>597</v>
      </c>
      <c r="D947">
        <v>3584.52</v>
      </c>
      <c r="E947" s="37" t="str">
        <f t="shared" si="70"/>
        <v xml:space="preserve"> </v>
      </c>
      <c r="F947">
        <v>0.47</v>
      </c>
      <c r="G947" s="37" t="str">
        <f t="shared" si="71"/>
        <v>Heavy Discount</v>
      </c>
      <c r="H947" s="37" t="str">
        <f t="shared" si="72"/>
        <v>High</v>
      </c>
      <c r="I947">
        <v>4</v>
      </c>
      <c r="J947" t="str" cm="1">
        <f t="array" ref="J947">_xlfn.IFS(I947&lt;=3,"small",I947&lt;=6,"Medium",I947&lt;=9,"Large")</f>
        <v>Medium</v>
      </c>
      <c r="K947" s="36">
        <v>45027</v>
      </c>
      <c r="L947" s="36">
        <v>45029</v>
      </c>
      <c r="M947" t="s">
        <v>598</v>
      </c>
      <c r="N947" t="s">
        <v>608</v>
      </c>
      <c r="O947" s="37" t="str">
        <f t="shared" si="73"/>
        <v>Cash Payment</v>
      </c>
      <c r="P947">
        <v>1051.0999999999999</v>
      </c>
      <c r="Q947" s="37" t="str">
        <f>IF(P947&gt;500,"High","low")</f>
        <v>High</v>
      </c>
      <c r="R947" s="37" t="str">
        <f t="shared" si="74"/>
        <v>Excellent</v>
      </c>
      <c r="S947" t="s">
        <v>628</v>
      </c>
    </row>
    <row r="948" spans="1:19" x14ac:dyDescent="0.2">
      <c r="A948" t="s">
        <v>1559</v>
      </c>
      <c r="B948" t="s">
        <v>75</v>
      </c>
      <c r="C948" t="s">
        <v>607</v>
      </c>
      <c r="D948">
        <v>2147.8200000000002</v>
      </c>
      <c r="E948" s="37" t="str">
        <f t="shared" si="70"/>
        <v xml:space="preserve"> </v>
      </c>
      <c r="F948">
        <v>0.44</v>
      </c>
      <c r="G948" s="37" t="str">
        <f t="shared" si="71"/>
        <v>Heavy Discount</v>
      </c>
      <c r="H948" s="37" t="str">
        <f t="shared" si="72"/>
        <v>High</v>
      </c>
      <c r="I948">
        <v>7</v>
      </c>
      <c r="J948" t="str" cm="1">
        <f t="array" ref="J948">_xlfn.IFS(I948&lt;=3,"small",I948&lt;=6,"Medium",I948&lt;=9,"Large")</f>
        <v>Large</v>
      </c>
      <c r="K948" s="36">
        <v>45174</v>
      </c>
      <c r="L948" s="36">
        <v>45178</v>
      </c>
      <c r="M948" t="s">
        <v>612</v>
      </c>
      <c r="N948" t="s">
        <v>608</v>
      </c>
      <c r="O948" s="37" t="str">
        <f t="shared" si="73"/>
        <v>Cash Payment</v>
      </c>
      <c r="P948">
        <v>577.27</v>
      </c>
      <c r="Q948" s="37" t="str">
        <f>IF(P948&gt;500,"High","low")</f>
        <v>High</v>
      </c>
      <c r="R948" s="37" t="str">
        <f t="shared" si="74"/>
        <v>Good</v>
      </c>
      <c r="S948" t="s">
        <v>605</v>
      </c>
    </row>
    <row r="949" spans="1:19" x14ac:dyDescent="0.2">
      <c r="A949" t="s">
        <v>1560</v>
      </c>
      <c r="B949" t="s">
        <v>67</v>
      </c>
      <c r="C949" t="s">
        <v>602</v>
      </c>
      <c r="D949">
        <v>424.67</v>
      </c>
      <c r="E949" s="37" t="str">
        <f t="shared" si="70"/>
        <v xml:space="preserve"> </v>
      </c>
      <c r="F949">
        <v>0.36</v>
      </c>
      <c r="G949" s="37" t="str">
        <f t="shared" si="71"/>
        <v>Heavy Discount</v>
      </c>
      <c r="H949" s="37" t="str">
        <f t="shared" si="72"/>
        <v>Medium</v>
      </c>
      <c r="I949">
        <v>6</v>
      </c>
      <c r="J949" t="str" cm="1">
        <f t="array" ref="J949">_xlfn.IFS(I949&lt;=3,"small",I949&lt;=6,"Medium",I949&lt;=9,"Large")</f>
        <v>Medium</v>
      </c>
      <c r="K949" s="36">
        <v>45224</v>
      </c>
      <c r="L949" s="36">
        <v>45227</v>
      </c>
      <c r="M949" t="s">
        <v>603</v>
      </c>
      <c r="N949" t="s">
        <v>604</v>
      </c>
      <c r="O949" s="37" t="str">
        <f t="shared" si="73"/>
        <v>Digital Payment</v>
      </c>
      <c r="P949">
        <v>22.93</v>
      </c>
      <c r="Q949" s="37" t="str">
        <f>IF(P949&gt;500,"High","low")</f>
        <v>low</v>
      </c>
      <c r="R949" s="37" t="str">
        <f t="shared" si="74"/>
        <v>AVERAGE</v>
      </c>
      <c r="S949" t="s">
        <v>628</v>
      </c>
    </row>
    <row r="950" spans="1:19" x14ac:dyDescent="0.2">
      <c r="A950" t="s">
        <v>1561</v>
      </c>
      <c r="B950" t="s">
        <v>83</v>
      </c>
      <c r="C950" t="s">
        <v>607</v>
      </c>
      <c r="D950">
        <v>1643.36</v>
      </c>
      <c r="E950" s="37" t="str">
        <f t="shared" si="70"/>
        <v xml:space="preserve"> </v>
      </c>
      <c r="F950">
        <v>0.08</v>
      </c>
      <c r="G950" s="37" t="str">
        <f t="shared" si="71"/>
        <v>Normal Discount</v>
      </c>
      <c r="H950" s="37" t="str">
        <f t="shared" si="72"/>
        <v>Low</v>
      </c>
      <c r="I950">
        <v>7</v>
      </c>
      <c r="J950" t="str" cm="1">
        <f t="array" ref="J950">_xlfn.IFS(I950&lt;=3,"small",I950&lt;=6,"Medium",I950&lt;=9,"Large")</f>
        <v>Large</v>
      </c>
      <c r="K950" s="36">
        <v>45341</v>
      </c>
      <c r="L950" s="36">
        <v>45343</v>
      </c>
      <c r="M950" t="s">
        <v>598</v>
      </c>
      <c r="N950" t="s">
        <v>599</v>
      </c>
      <c r="O950" s="37" t="str">
        <f t="shared" si="73"/>
        <v>Digital Payment</v>
      </c>
      <c r="P950">
        <v>358.89</v>
      </c>
      <c r="Q950" s="37" t="str">
        <f>IF(P950&gt;500,"High","low")</f>
        <v>low</v>
      </c>
      <c r="R950" s="37" t="str">
        <f t="shared" si="74"/>
        <v>AVERAGE</v>
      </c>
      <c r="S950" t="s">
        <v>600</v>
      </c>
    </row>
    <row r="951" spans="1:19" x14ac:dyDescent="0.2">
      <c r="A951" t="s">
        <v>1562</v>
      </c>
      <c r="B951" t="s">
        <v>75</v>
      </c>
      <c r="C951" t="s">
        <v>607</v>
      </c>
      <c r="D951">
        <v>1643.6</v>
      </c>
      <c r="E951" s="37" t="str">
        <f t="shared" si="70"/>
        <v xml:space="preserve"> </v>
      </c>
      <c r="F951">
        <v>0.18</v>
      </c>
      <c r="G951" s="37" t="str">
        <f t="shared" si="71"/>
        <v>Normal Discount</v>
      </c>
      <c r="H951" s="37" t="str">
        <f t="shared" si="72"/>
        <v>Low</v>
      </c>
      <c r="I951">
        <v>3</v>
      </c>
      <c r="J951" t="str" cm="1">
        <f t="array" ref="J951">_xlfn.IFS(I951&lt;=3,"small",I951&lt;=6,"Medium",I951&lt;=9,"Large")</f>
        <v>small</v>
      </c>
      <c r="K951" s="36">
        <v>45031</v>
      </c>
      <c r="L951" s="36">
        <v>45035</v>
      </c>
      <c r="M951" t="s">
        <v>603</v>
      </c>
      <c r="N951" t="s">
        <v>599</v>
      </c>
      <c r="O951" s="37" t="str">
        <f t="shared" si="73"/>
        <v>Digital Payment</v>
      </c>
      <c r="P951">
        <v>220.65</v>
      </c>
      <c r="Q951" s="37" t="str">
        <f>IF(P951&gt;500,"High","low")</f>
        <v>low</v>
      </c>
      <c r="R951" s="37" t="str">
        <f t="shared" si="74"/>
        <v>AVERAGE</v>
      </c>
      <c r="S951" t="s">
        <v>628</v>
      </c>
    </row>
    <row r="952" spans="1:19" x14ac:dyDescent="0.2">
      <c r="A952" t="s">
        <v>1563</v>
      </c>
      <c r="B952" t="s">
        <v>90</v>
      </c>
      <c r="C952" t="s">
        <v>597</v>
      </c>
      <c r="D952">
        <v>142.53</v>
      </c>
      <c r="E952" s="37" t="str">
        <f t="shared" si="70"/>
        <v xml:space="preserve"> </v>
      </c>
      <c r="F952">
        <v>0.03</v>
      </c>
      <c r="G952" s="37" t="str">
        <f t="shared" si="71"/>
        <v>Normal Discount</v>
      </c>
      <c r="H952" s="37" t="str">
        <f t="shared" si="72"/>
        <v>Low</v>
      </c>
      <c r="I952">
        <v>5</v>
      </c>
      <c r="J952" t="str" cm="1">
        <f t="array" ref="J952">_xlfn.IFS(I952&lt;=3,"small",I952&lt;=6,"Medium",I952&lt;=9,"Large")</f>
        <v>Medium</v>
      </c>
      <c r="K952" s="36">
        <v>44985</v>
      </c>
      <c r="L952" s="36">
        <v>44991</v>
      </c>
      <c r="M952" t="s">
        <v>598</v>
      </c>
      <c r="N952" t="s">
        <v>608</v>
      </c>
      <c r="O952" s="37" t="str">
        <f t="shared" si="73"/>
        <v>Cash Payment</v>
      </c>
      <c r="P952">
        <v>31.52</v>
      </c>
      <c r="Q952" s="37" t="str">
        <f>IF(P952&gt;500,"High","low")</f>
        <v>low</v>
      </c>
      <c r="R952" s="37" t="str">
        <f t="shared" si="74"/>
        <v>AVERAGE</v>
      </c>
      <c r="S952" t="s">
        <v>600</v>
      </c>
    </row>
    <row r="953" spans="1:19" x14ac:dyDescent="0.2">
      <c r="A953" t="s">
        <v>1564</v>
      </c>
      <c r="B953" t="s">
        <v>67</v>
      </c>
      <c r="C953" t="s">
        <v>614</v>
      </c>
      <c r="D953">
        <v>146.94999999999999</v>
      </c>
      <c r="E953" s="37" t="str">
        <f t="shared" si="70"/>
        <v xml:space="preserve"> </v>
      </c>
      <c r="F953">
        <v>0.32</v>
      </c>
      <c r="G953" s="37" t="str">
        <f t="shared" si="71"/>
        <v>Heavy Discount</v>
      </c>
      <c r="H953" s="37" t="str">
        <f t="shared" si="72"/>
        <v>Medium</v>
      </c>
      <c r="I953">
        <v>6</v>
      </c>
      <c r="J953" t="str" cm="1">
        <f t="array" ref="J953">_xlfn.IFS(I953&lt;=3,"small",I953&lt;=6,"Medium",I953&lt;=9,"Large")</f>
        <v>Medium</v>
      </c>
      <c r="K953" s="36">
        <v>45136</v>
      </c>
      <c r="L953" s="36">
        <v>45138</v>
      </c>
      <c r="M953" t="s">
        <v>598</v>
      </c>
      <c r="N953" t="s">
        <v>599</v>
      </c>
      <c r="O953" s="37" t="str">
        <f t="shared" si="73"/>
        <v>Digital Payment</v>
      </c>
      <c r="P953">
        <v>13.84</v>
      </c>
      <c r="Q953" s="37" t="str">
        <f>IF(P953&gt;500,"High","low")</f>
        <v>low</v>
      </c>
      <c r="R953" s="37" t="str">
        <f t="shared" si="74"/>
        <v>AVERAGE</v>
      </c>
      <c r="S953" t="s">
        <v>620</v>
      </c>
    </row>
    <row r="954" spans="1:19" x14ac:dyDescent="0.2">
      <c r="A954" t="s">
        <v>1565</v>
      </c>
      <c r="B954" t="s">
        <v>75</v>
      </c>
      <c r="C954" t="s">
        <v>597</v>
      </c>
      <c r="D954">
        <v>1720.72</v>
      </c>
      <c r="E954" s="37" t="str">
        <f t="shared" si="70"/>
        <v xml:space="preserve"> </v>
      </c>
      <c r="F954">
        <v>0.22</v>
      </c>
      <c r="G954" s="37" t="str">
        <f t="shared" si="71"/>
        <v>Normal Discount</v>
      </c>
      <c r="H954" s="37" t="str">
        <f t="shared" si="72"/>
        <v>Medium</v>
      </c>
      <c r="I954">
        <v>6</v>
      </c>
      <c r="J954" t="str" cm="1">
        <f t="array" ref="J954">_xlfn.IFS(I954&lt;=3,"small",I954&lt;=6,"Medium",I954&lt;=9,"Large")</f>
        <v>Medium</v>
      </c>
      <c r="K954" s="36">
        <v>45021</v>
      </c>
      <c r="L954" s="36">
        <v>45024</v>
      </c>
      <c r="M954" t="s">
        <v>598</v>
      </c>
      <c r="N954" t="s">
        <v>599</v>
      </c>
      <c r="O954" s="37" t="str">
        <f t="shared" si="73"/>
        <v>Digital Payment</v>
      </c>
      <c r="P954">
        <v>203.5</v>
      </c>
      <c r="Q954" s="37" t="str">
        <f>IF(P954&gt;500,"High","low")</f>
        <v>low</v>
      </c>
      <c r="R954" s="37" t="str">
        <f t="shared" si="74"/>
        <v>AVERAGE</v>
      </c>
      <c r="S954" t="s">
        <v>600</v>
      </c>
    </row>
    <row r="955" spans="1:19" x14ac:dyDescent="0.2">
      <c r="A955" t="s">
        <v>1566</v>
      </c>
      <c r="B955" t="s">
        <v>67</v>
      </c>
      <c r="C955" t="s">
        <v>617</v>
      </c>
      <c r="D955">
        <v>3665.35</v>
      </c>
      <c r="E955" s="37" t="str">
        <f t="shared" si="70"/>
        <v xml:space="preserve"> </v>
      </c>
      <c r="F955">
        <v>0.28999999999999998</v>
      </c>
      <c r="G955" s="37" t="str">
        <f t="shared" si="71"/>
        <v>Normal Discount</v>
      </c>
      <c r="H955" s="37" t="str">
        <f t="shared" si="72"/>
        <v>Medium</v>
      </c>
      <c r="I955">
        <v>6</v>
      </c>
      <c r="J955" t="str" cm="1">
        <f t="array" ref="J955">_xlfn.IFS(I955&lt;=3,"small",I955&lt;=6,"Medium",I955&lt;=9,"Large")</f>
        <v>Medium</v>
      </c>
      <c r="K955" s="36">
        <v>45528</v>
      </c>
      <c r="L955" s="36">
        <v>45534</v>
      </c>
      <c r="M955" t="s">
        <v>603</v>
      </c>
      <c r="N955" t="s">
        <v>599</v>
      </c>
      <c r="O955" s="37" t="str">
        <f t="shared" si="73"/>
        <v>Digital Payment</v>
      </c>
      <c r="P955">
        <v>225.69</v>
      </c>
      <c r="Q955" s="37" t="str">
        <f>IF(P955&gt;500,"High","low")</f>
        <v>low</v>
      </c>
      <c r="R955" s="37" t="str">
        <f t="shared" si="74"/>
        <v>AVERAGE</v>
      </c>
      <c r="S955" t="s">
        <v>605</v>
      </c>
    </row>
    <row r="956" spans="1:19" x14ac:dyDescent="0.2">
      <c r="A956" t="s">
        <v>1567</v>
      </c>
      <c r="B956" t="s">
        <v>90</v>
      </c>
      <c r="C956" t="s">
        <v>607</v>
      </c>
      <c r="D956">
        <v>3157.81</v>
      </c>
      <c r="E956" s="37" t="str">
        <f t="shared" si="70"/>
        <v xml:space="preserve"> </v>
      </c>
      <c r="F956">
        <v>0.49</v>
      </c>
      <c r="G956" s="37" t="str">
        <f t="shared" si="71"/>
        <v>Heavy Discount</v>
      </c>
      <c r="H956" s="37" t="str">
        <f t="shared" si="72"/>
        <v>High</v>
      </c>
      <c r="I956">
        <v>9</v>
      </c>
      <c r="J956" t="str" cm="1">
        <f t="array" ref="J956">_xlfn.IFS(I956&lt;=3,"small",I956&lt;=6,"Medium",I956&lt;=9,"Large")</f>
        <v>Large</v>
      </c>
      <c r="K956" s="36">
        <v>45270</v>
      </c>
      <c r="L956" s="36">
        <v>45272</v>
      </c>
      <c r="M956" t="s">
        <v>612</v>
      </c>
      <c r="N956" t="s">
        <v>599</v>
      </c>
      <c r="O956" s="37" t="str">
        <f t="shared" si="73"/>
        <v>Digital Payment</v>
      </c>
      <c r="P956">
        <v>448.86</v>
      </c>
      <c r="Q956" s="37" t="str">
        <f>IF(P956&gt;500,"High","low")</f>
        <v>low</v>
      </c>
      <c r="R956" s="37" t="str">
        <f t="shared" si="74"/>
        <v>AVERAGE</v>
      </c>
      <c r="S956" t="s">
        <v>609</v>
      </c>
    </row>
    <row r="957" spans="1:19" x14ac:dyDescent="0.2">
      <c r="A957" t="s">
        <v>1568</v>
      </c>
      <c r="B957" t="s">
        <v>90</v>
      </c>
      <c r="C957" t="s">
        <v>607</v>
      </c>
      <c r="D957">
        <v>1271.19</v>
      </c>
      <c r="E957" s="37" t="str">
        <f t="shared" si="70"/>
        <v xml:space="preserve"> </v>
      </c>
      <c r="F957">
        <v>0.2</v>
      </c>
      <c r="G957" s="37" t="str">
        <f t="shared" si="71"/>
        <v>Normal Discount</v>
      </c>
      <c r="H957" s="37" t="str">
        <f t="shared" si="72"/>
        <v>Medium</v>
      </c>
      <c r="I957">
        <v>6</v>
      </c>
      <c r="J957" t="str" cm="1">
        <f t="array" ref="J957">_xlfn.IFS(I957&lt;=3,"small",I957&lt;=6,"Medium",I957&lt;=9,"Large")</f>
        <v>Medium</v>
      </c>
      <c r="K957" s="36">
        <v>44977</v>
      </c>
      <c r="L957" s="36">
        <v>44979</v>
      </c>
      <c r="M957" t="s">
        <v>598</v>
      </c>
      <c r="N957" t="s">
        <v>599</v>
      </c>
      <c r="O957" s="37" t="str">
        <f t="shared" si="73"/>
        <v>Digital Payment</v>
      </c>
      <c r="P957">
        <v>255.28</v>
      </c>
      <c r="Q957" s="37" t="str">
        <f>IF(P957&gt;500,"High","low")</f>
        <v>low</v>
      </c>
      <c r="R957" s="37" t="str">
        <f t="shared" si="74"/>
        <v>AVERAGE</v>
      </c>
      <c r="S957" t="s">
        <v>609</v>
      </c>
    </row>
    <row r="958" spans="1:19" x14ac:dyDescent="0.2">
      <c r="A958" t="s">
        <v>1569</v>
      </c>
      <c r="B958" t="s">
        <v>67</v>
      </c>
      <c r="C958" t="s">
        <v>602</v>
      </c>
      <c r="D958">
        <v>3053.54</v>
      </c>
      <c r="E958" s="37" t="str">
        <f t="shared" si="70"/>
        <v xml:space="preserve"> </v>
      </c>
      <c r="F958">
        <v>0.15</v>
      </c>
      <c r="G958" s="37" t="str">
        <f t="shared" si="71"/>
        <v>Normal Discount</v>
      </c>
      <c r="H958" s="37" t="str">
        <f t="shared" si="72"/>
        <v>Low</v>
      </c>
      <c r="I958">
        <v>2</v>
      </c>
      <c r="J958" t="str" cm="1">
        <f t="array" ref="J958">_xlfn.IFS(I958&lt;=3,"small",I958&lt;=6,"Medium",I958&lt;=9,"Large")</f>
        <v>small</v>
      </c>
      <c r="K958" s="36">
        <v>45427</v>
      </c>
      <c r="L958" s="36">
        <v>45430</v>
      </c>
      <c r="M958" t="s">
        <v>612</v>
      </c>
      <c r="N958" t="s">
        <v>604</v>
      </c>
      <c r="O958" s="37" t="str">
        <f t="shared" si="73"/>
        <v>Digital Payment</v>
      </c>
      <c r="P958">
        <v>815.03</v>
      </c>
      <c r="Q958" s="37" t="str">
        <f>IF(P958&gt;500,"High","low")</f>
        <v>High</v>
      </c>
      <c r="R958" s="37" t="str">
        <f t="shared" si="74"/>
        <v>Good</v>
      </c>
      <c r="S958" t="s">
        <v>628</v>
      </c>
    </row>
    <row r="959" spans="1:19" x14ac:dyDescent="0.2">
      <c r="A959" t="s">
        <v>1570</v>
      </c>
      <c r="B959" t="s">
        <v>75</v>
      </c>
      <c r="C959" t="s">
        <v>597</v>
      </c>
      <c r="D959">
        <v>3272.15</v>
      </c>
      <c r="E959" s="37" t="str">
        <f t="shared" si="70"/>
        <v xml:space="preserve"> </v>
      </c>
      <c r="F959">
        <v>0.08</v>
      </c>
      <c r="G959" s="37" t="str">
        <f t="shared" si="71"/>
        <v>Normal Discount</v>
      </c>
      <c r="H959" s="37" t="str">
        <f t="shared" si="72"/>
        <v>Low</v>
      </c>
      <c r="I959">
        <v>9</v>
      </c>
      <c r="J959" t="str" cm="1">
        <f t="array" ref="J959">_xlfn.IFS(I959&lt;=3,"small",I959&lt;=6,"Medium",I959&lt;=9,"Large")</f>
        <v>Large</v>
      </c>
      <c r="K959" s="36">
        <v>45641</v>
      </c>
      <c r="L959" s="36">
        <v>45646</v>
      </c>
      <c r="M959" t="s">
        <v>598</v>
      </c>
      <c r="N959" t="s">
        <v>608</v>
      </c>
      <c r="O959" s="37" t="str">
        <f t="shared" si="73"/>
        <v>Cash Payment</v>
      </c>
      <c r="P959">
        <v>336.19</v>
      </c>
      <c r="Q959" s="37" t="str">
        <f>IF(P959&gt;500,"High","low")</f>
        <v>low</v>
      </c>
      <c r="R959" s="37" t="str">
        <f t="shared" si="74"/>
        <v>AVERAGE</v>
      </c>
      <c r="S959" t="s">
        <v>600</v>
      </c>
    </row>
    <row r="960" spans="1:19" x14ac:dyDescent="0.2">
      <c r="A960" t="s">
        <v>1571</v>
      </c>
      <c r="B960" t="s">
        <v>83</v>
      </c>
      <c r="C960" t="s">
        <v>602</v>
      </c>
      <c r="D960">
        <v>2660.59</v>
      </c>
      <c r="E960" s="37" t="str">
        <f t="shared" si="70"/>
        <v xml:space="preserve"> </v>
      </c>
      <c r="F960">
        <v>7.0000000000000007E-2</v>
      </c>
      <c r="G960" s="37" t="str">
        <f t="shared" si="71"/>
        <v>Normal Discount</v>
      </c>
      <c r="H960" s="37" t="str">
        <f t="shared" si="72"/>
        <v>Low</v>
      </c>
      <c r="I960">
        <v>4</v>
      </c>
      <c r="J960" t="str" cm="1">
        <f t="array" ref="J960">_xlfn.IFS(I960&lt;=3,"small",I960&lt;=6,"Medium",I960&lt;=9,"Large")</f>
        <v>Medium</v>
      </c>
      <c r="K960" s="36">
        <v>45490</v>
      </c>
      <c r="L960" s="36">
        <v>45492</v>
      </c>
      <c r="M960" t="s">
        <v>612</v>
      </c>
      <c r="N960" t="s">
        <v>599</v>
      </c>
      <c r="O960" s="37" t="str">
        <f t="shared" si="73"/>
        <v>Digital Payment</v>
      </c>
      <c r="P960">
        <v>717.24</v>
      </c>
      <c r="Q960" s="37" t="str">
        <f>IF(P960&gt;500,"High","low")</f>
        <v>High</v>
      </c>
      <c r="R960" s="37" t="str">
        <f t="shared" si="74"/>
        <v>Good</v>
      </c>
      <c r="S960" t="s">
        <v>600</v>
      </c>
    </row>
    <row r="961" spans="1:19" x14ac:dyDescent="0.2">
      <c r="A961" t="s">
        <v>1572</v>
      </c>
      <c r="B961" t="s">
        <v>90</v>
      </c>
      <c r="C961" t="s">
        <v>607</v>
      </c>
      <c r="D961">
        <v>2654.63</v>
      </c>
      <c r="E961" s="37" t="str">
        <f t="shared" si="70"/>
        <v xml:space="preserve"> </v>
      </c>
      <c r="F961">
        <v>0.26</v>
      </c>
      <c r="G961" s="37" t="str">
        <f t="shared" si="71"/>
        <v>Normal Discount</v>
      </c>
      <c r="H961" s="37" t="str">
        <f t="shared" si="72"/>
        <v>Medium</v>
      </c>
      <c r="I961">
        <v>7</v>
      </c>
      <c r="J961" t="str" cm="1">
        <f t="array" ref="J961">_xlfn.IFS(I961&lt;=3,"small",I961&lt;=6,"Medium",I961&lt;=9,"Large")</f>
        <v>Large</v>
      </c>
      <c r="K961" s="36">
        <v>45631</v>
      </c>
      <c r="L961" s="36">
        <v>45633</v>
      </c>
      <c r="M961" t="s">
        <v>603</v>
      </c>
      <c r="N961" t="s">
        <v>608</v>
      </c>
      <c r="O961" s="37" t="str">
        <f t="shared" si="73"/>
        <v>Cash Payment</v>
      </c>
      <c r="P961">
        <v>665.75</v>
      </c>
      <c r="Q961" s="37" t="str">
        <f>IF(P961&gt;500,"High","low")</f>
        <v>High</v>
      </c>
      <c r="R961" s="37" t="str">
        <f t="shared" si="74"/>
        <v>Good</v>
      </c>
      <c r="S961" t="s">
        <v>615</v>
      </c>
    </row>
    <row r="962" spans="1:19" x14ac:dyDescent="0.2">
      <c r="A962" t="s">
        <v>1573</v>
      </c>
      <c r="B962" t="s">
        <v>75</v>
      </c>
      <c r="C962" t="s">
        <v>597</v>
      </c>
      <c r="D962">
        <v>1911.76</v>
      </c>
      <c r="E962" s="37" t="str">
        <f t="shared" si="70"/>
        <v xml:space="preserve"> </v>
      </c>
      <c r="F962">
        <v>0.37</v>
      </c>
      <c r="G962" s="37" t="str">
        <f t="shared" si="71"/>
        <v>Heavy Discount</v>
      </c>
      <c r="H962" s="37" t="str">
        <f t="shared" si="72"/>
        <v>Medium</v>
      </c>
      <c r="I962">
        <v>6</v>
      </c>
      <c r="J962" t="str" cm="1">
        <f t="array" ref="J962">_xlfn.IFS(I962&lt;=3,"small",I962&lt;=6,"Medium",I962&lt;=9,"Large")</f>
        <v>Medium</v>
      </c>
      <c r="K962" s="36">
        <v>45066</v>
      </c>
      <c r="L962" s="36">
        <v>45068</v>
      </c>
      <c r="M962" t="s">
        <v>598</v>
      </c>
      <c r="N962" t="s">
        <v>599</v>
      </c>
      <c r="O962" s="37" t="str">
        <f t="shared" si="73"/>
        <v>Digital Payment</v>
      </c>
      <c r="P962">
        <v>405.32</v>
      </c>
      <c r="Q962" s="37" t="str">
        <f>IF(P962&gt;500,"High","low")</f>
        <v>low</v>
      </c>
      <c r="R962" s="37" t="str">
        <f t="shared" si="74"/>
        <v>AVERAGE</v>
      </c>
      <c r="S962" t="s">
        <v>600</v>
      </c>
    </row>
    <row r="963" spans="1:19" x14ac:dyDescent="0.2">
      <c r="A963" t="s">
        <v>1574</v>
      </c>
      <c r="B963" t="s">
        <v>75</v>
      </c>
      <c r="C963" t="s">
        <v>597</v>
      </c>
      <c r="D963">
        <v>704.63</v>
      </c>
      <c r="E963" s="37" t="str">
        <f t="shared" ref="E963:E1026" si="75">IF(AND(D963&gt;4000,P963&gt;800),"Excellent Order"," ")</f>
        <v xml:space="preserve"> </v>
      </c>
      <c r="F963">
        <v>0.28000000000000003</v>
      </c>
      <c r="G963" s="37" t="str">
        <f t="shared" ref="G963:G1026" si="76">IF(F963&gt;30%,"Heavy Discount","Normal Discount")</f>
        <v>Normal Discount</v>
      </c>
      <c r="H963" s="37" t="str">
        <f t="shared" ref="H963:H1026" si="77">IF(F963&gt;0.4,"High",IF(F963&gt;=0.2,"Medium","Low"))</f>
        <v>Medium</v>
      </c>
      <c r="I963">
        <v>9</v>
      </c>
      <c r="J963" t="str" cm="1">
        <f t="array" ref="J963">_xlfn.IFS(I963&lt;=3,"small",I963&lt;=6,"Medium",I963&lt;=9,"Large")</f>
        <v>Large</v>
      </c>
      <c r="K963" s="36">
        <v>45028</v>
      </c>
      <c r="L963" s="36">
        <v>45029</v>
      </c>
      <c r="M963" t="s">
        <v>598</v>
      </c>
      <c r="N963" t="s">
        <v>599</v>
      </c>
      <c r="O963" s="37" t="str">
        <f t="shared" ref="O963:O1026" si="78">IF(OR(N963="Card",N963="UPI"),"Digital Payment","Cash Payment")</f>
        <v>Digital Payment</v>
      </c>
      <c r="P963">
        <v>186.9</v>
      </c>
      <c r="Q963" s="37" t="str">
        <f>IF(P963&gt;500,"High","low")</f>
        <v>low</v>
      </c>
      <c r="R963" s="37" t="str">
        <f t="shared" ref="R963:R1026" si="79">IF(P963&gt;1000,"Excellent",IF(P963&gt;=500,"Good","AVERAGE"))</f>
        <v>AVERAGE</v>
      </c>
      <c r="S963" t="s">
        <v>615</v>
      </c>
    </row>
    <row r="964" spans="1:19" x14ac:dyDescent="0.2">
      <c r="A964" t="s">
        <v>1575</v>
      </c>
      <c r="B964" t="s">
        <v>83</v>
      </c>
      <c r="C964" t="s">
        <v>617</v>
      </c>
      <c r="D964">
        <v>1988.87</v>
      </c>
      <c r="E964" s="37" t="str">
        <f t="shared" si="75"/>
        <v xml:space="preserve"> </v>
      </c>
      <c r="F964">
        <v>0.44</v>
      </c>
      <c r="G964" s="37" t="str">
        <f t="shared" si="76"/>
        <v>Heavy Discount</v>
      </c>
      <c r="H964" s="37" t="str">
        <f t="shared" si="77"/>
        <v>High</v>
      </c>
      <c r="I964">
        <v>3</v>
      </c>
      <c r="J964" t="str" cm="1">
        <f t="array" ref="J964">_xlfn.IFS(I964&lt;=3,"small",I964&lt;=6,"Medium",I964&lt;=9,"Large")</f>
        <v>small</v>
      </c>
      <c r="K964" s="36">
        <v>45046</v>
      </c>
      <c r="L964" s="36">
        <v>45047</v>
      </c>
      <c r="M964" t="s">
        <v>612</v>
      </c>
      <c r="N964" t="s">
        <v>599</v>
      </c>
      <c r="O964" s="37" t="str">
        <f t="shared" si="78"/>
        <v>Digital Payment</v>
      </c>
      <c r="P964">
        <v>261.55</v>
      </c>
      <c r="Q964" s="37" t="str">
        <f>IF(P964&gt;500,"High","low")</f>
        <v>low</v>
      </c>
      <c r="R964" s="37" t="str">
        <f t="shared" si="79"/>
        <v>AVERAGE</v>
      </c>
      <c r="S964" t="s">
        <v>605</v>
      </c>
    </row>
    <row r="965" spans="1:19" x14ac:dyDescent="0.2">
      <c r="A965" t="s">
        <v>1576</v>
      </c>
      <c r="B965" t="s">
        <v>90</v>
      </c>
      <c r="C965" t="s">
        <v>617</v>
      </c>
      <c r="D965">
        <v>1792.14</v>
      </c>
      <c r="E965" s="37" t="str">
        <f t="shared" si="75"/>
        <v xml:space="preserve"> </v>
      </c>
      <c r="F965">
        <v>0.16</v>
      </c>
      <c r="G965" s="37" t="str">
        <f t="shared" si="76"/>
        <v>Normal Discount</v>
      </c>
      <c r="H965" s="37" t="str">
        <f t="shared" si="77"/>
        <v>Low</v>
      </c>
      <c r="I965">
        <v>8</v>
      </c>
      <c r="J965" t="str" cm="1">
        <f t="array" ref="J965">_xlfn.IFS(I965&lt;=3,"small",I965&lt;=6,"Medium",I965&lt;=9,"Large")</f>
        <v>Large</v>
      </c>
      <c r="K965" s="36">
        <v>45234</v>
      </c>
      <c r="L965" s="36">
        <v>45237</v>
      </c>
      <c r="M965" t="s">
        <v>612</v>
      </c>
      <c r="N965" t="s">
        <v>604</v>
      </c>
      <c r="O965" s="37" t="str">
        <f t="shared" si="78"/>
        <v>Digital Payment</v>
      </c>
      <c r="P965">
        <v>511.56</v>
      </c>
      <c r="Q965" s="37" t="str">
        <f>IF(P965&gt;500,"High","low")</f>
        <v>High</v>
      </c>
      <c r="R965" s="37" t="str">
        <f t="shared" si="79"/>
        <v>Good</v>
      </c>
      <c r="S965" t="s">
        <v>605</v>
      </c>
    </row>
    <row r="966" spans="1:19" x14ac:dyDescent="0.2">
      <c r="A966" t="s">
        <v>1577</v>
      </c>
      <c r="B966" t="s">
        <v>90</v>
      </c>
      <c r="C966" t="s">
        <v>614</v>
      </c>
      <c r="D966">
        <v>3000.67</v>
      </c>
      <c r="E966" s="37" t="str">
        <f t="shared" si="75"/>
        <v xml:space="preserve"> </v>
      </c>
      <c r="F966">
        <v>0.3</v>
      </c>
      <c r="G966" s="37" t="str">
        <f t="shared" si="76"/>
        <v>Normal Discount</v>
      </c>
      <c r="H966" s="37" t="str">
        <f t="shared" si="77"/>
        <v>Medium</v>
      </c>
      <c r="I966">
        <v>5</v>
      </c>
      <c r="J966" t="str" cm="1">
        <f t="array" ref="J966">_xlfn.IFS(I966&lt;=3,"small",I966&lt;=6,"Medium",I966&lt;=9,"Large")</f>
        <v>Medium</v>
      </c>
      <c r="K966" s="36">
        <v>45399</v>
      </c>
      <c r="L966" s="36">
        <v>45403</v>
      </c>
      <c r="M966" t="s">
        <v>612</v>
      </c>
      <c r="N966" t="s">
        <v>599</v>
      </c>
      <c r="O966" s="37" t="str">
        <f t="shared" si="78"/>
        <v>Digital Payment</v>
      </c>
      <c r="P966">
        <v>284.52999999999997</v>
      </c>
      <c r="Q966" s="37" t="str">
        <f>IF(P966&gt;500,"High","low")</f>
        <v>low</v>
      </c>
      <c r="R966" s="37" t="str">
        <f t="shared" si="79"/>
        <v>AVERAGE</v>
      </c>
      <c r="S966" t="s">
        <v>620</v>
      </c>
    </row>
    <row r="967" spans="1:19" x14ac:dyDescent="0.2">
      <c r="A967" t="s">
        <v>1578</v>
      </c>
      <c r="B967" t="s">
        <v>75</v>
      </c>
      <c r="C967" t="s">
        <v>617</v>
      </c>
      <c r="D967">
        <v>4295.67</v>
      </c>
      <c r="E967" s="37" t="str">
        <f t="shared" si="75"/>
        <v>Excellent Order</v>
      </c>
      <c r="F967">
        <v>0.33</v>
      </c>
      <c r="G967" s="37" t="str">
        <f t="shared" si="76"/>
        <v>Heavy Discount</v>
      </c>
      <c r="H967" s="37" t="str">
        <f t="shared" si="77"/>
        <v>Medium</v>
      </c>
      <c r="I967">
        <v>6</v>
      </c>
      <c r="J967" t="str" cm="1">
        <f t="array" ref="J967">_xlfn.IFS(I967&lt;=3,"small",I967&lt;=6,"Medium",I967&lt;=9,"Large")</f>
        <v>Medium</v>
      </c>
      <c r="K967" s="36">
        <v>45373</v>
      </c>
      <c r="L967" s="36">
        <v>45379</v>
      </c>
      <c r="M967" t="s">
        <v>603</v>
      </c>
      <c r="N967" t="s">
        <v>604</v>
      </c>
      <c r="O967" s="37" t="str">
        <f t="shared" si="78"/>
        <v>Digital Payment</v>
      </c>
      <c r="P967">
        <v>836.04</v>
      </c>
      <c r="Q967" s="37" t="str">
        <f>IF(P967&gt;500,"High","low")</f>
        <v>High</v>
      </c>
      <c r="R967" s="37" t="str">
        <f t="shared" si="79"/>
        <v>Good</v>
      </c>
      <c r="S967" t="s">
        <v>605</v>
      </c>
    </row>
    <row r="968" spans="1:19" x14ac:dyDescent="0.2">
      <c r="A968" t="s">
        <v>1579</v>
      </c>
      <c r="B968" t="s">
        <v>75</v>
      </c>
      <c r="C968" t="s">
        <v>597</v>
      </c>
      <c r="D968">
        <v>1939.34</v>
      </c>
      <c r="E968" s="37" t="str">
        <f t="shared" si="75"/>
        <v xml:space="preserve"> </v>
      </c>
      <c r="F968">
        <v>0.14000000000000001</v>
      </c>
      <c r="G968" s="37" t="str">
        <f t="shared" si="76"/>
        <v>Normal Discount</v>
      </c>
      <c r="H968" s="37" t="str">
        <f t="shared" si="77"/>
        <v>Low</v>
      </c>
      <c r="I968">
        <v>3</v>
      </c>
      <c r="J968" t="str" cm="1">
        <f t="array" ref="J968">_xlfn.IFS(I968&lt;=3,"small",I968&lt;=6,"Medium",I968&lt;=9,"Large")</f>
        <v>small</v>
      </c>
      <c r="K968" s="36">
        <v>45002</v>
      </c>
      <c r="L968" s="36">
        <v>45003</v>
      </c>
      <c r="M968" t="s">
        <v>598</v>
      </c>
      <c r="N968" t="s">
        <v>604</v>
      </c>
      <c r="O968" s="37" t="str">
        <f t="shared" si="78"/>
        <v>Digital Payment</v>
      </c>
      <c r="P968">
        <v>323.39</v>
      </c>
      <c r="Q968" s="37" t="str">
        <f>IF(P968&gt;500,"High","low")</f>
        <v>low</v>
      </c>
      <c r="R968" s="37" t="str">
        <f t="shared" si="79"/>
        <v>AVERAGE</v>
      </c>
      <c r="S968" t="s">
        <v>615</v>
      </c>
    </row>
    <row r="969" spans="1:19" x14ac:dyDescent="0.2">
      <c r="A969" t="s">
        <v>1580</v>
      </c>
      <c r="B969" t="s">
        <v>83</v>
      </c>
      <c r="C969" t="s">
        <v>617</v>
      </c>
      <c r="D969">
        <v>3577.7</v>
      </c>
      <c r="E969" s="37" t="str">
        <f t="shared" si="75"/>
        <v xml:space="preserve"> </v>
      </c>
      <c r="F969">
        <v>0.2</v>
      </c>
      <c r="G969" s="37" t="str">
        <f t="shared" si="76"/>
        <v>Normal Discount</v>
      </c>
      <c r="H969" s="37" t="str">
        <f t="shared" si="77"/>
        <v>Medium</v>
      </c>
      <c r="I969">
        <v>3</v>
      </c>
      <c r="J969" t="str" cm="1">
        <f t="array" ref="J969">_xlfn.IFS(I969&lt;=3,"small",I969&lt;=6,"Medium",I969&lt;=9,"Large")</f>
        <v>small</v>
      </c>
      <c r="K969" s="36">
        <v>45569</v>
      </c>
      <c r="L969" s="36">
        <v>45572</v>
      </c>
      <c r="M969" t="s">
        <v>603</v>
      </c>
      <c r="N969" t="s">
        <v>604</v>
      </c>
      <c r="O969" s="37" t="str">
        <f t="shared" si="78"/>
        <v>Digital Payment</v>
      </c>
      <c r="P969">
        <v>850.04</v>
      </c>
      <c r="Q969" s="37" t="str">
        <f>IF(P969&gt;500,"High","low")</f>
        <v>High</v>
      </c>
      <c r="R969" s="37" t="str">
        <f t="shared" si="79"/>
        <v>Good</v>
      </c>
      <c r="S969" t="s">
        <v>628</v>
      </c>
    </row>
    <row r="970" spans="1:19" x14ac:dyDescent="0.2">
      <c r="A970" t="s">
        <v>1581</v>
      </c>
      <c r="B970" t="s">
        <v>83</v>
      </c>
      <c r="C970" t="s">
        <v>614</v>
      </c>
      <c r="D970">
        <v>4077.97</v>
      </c>
      <c r="E970" s="37" t="str">
        <f t="shared" si="75"/>
        <v xml:space="preserve"> </v>
      </c>
      <c r="F970">
        <v>0.3</v>
      </c>
      <c r="G970" s="37" t="str">
        <f t="shared" si="76"/>
        <v>Normal Discount</v>
      </c>
      <c r="H970" s="37" t="str">
        <f t="shared" si="77"/>
        <v>Medium</v>
      </c>
      <c r="I970">
        <v>7</v>
      </c>
      <c r="J970" t="str" cm="1">
        <f t="array" ref="J970">_xlfn.IFS(I970&lt;=3,"small",I970&lt;=6,"Medium",I970&lt;=9,"Large")</f>
        <v>Large</v>
      </c>
      <c r="K970" s="36">
        <v>45078</v>
      </c>
      <c r="L970" s="36">
        <v>45079</v>
      </c>
      <c r="M970" t="s">
        <v>603</v>
      </c>
      <c r="N970" t="s">
        <v>599</v>
      </c>
      <c r="O970" s="37" t="str">
        <f t="shared" si="78"/>
        <v>Digital Payment</v>
      </c>
      <c r="P970">
        <v>559.46</v>
      </c>
      <c r="Q970" s="37" t="str">
        <f>IF(P970&gt;500,"High","low")</f>
        <v>High</v>
      </c>
      <c r="R970" s="37" t="str">
        <f t="shared" si="79"/>
        <v>Good</v>
      </c>
      <c r="S970" t="s">
        <v>609</v>
      </c>
    </row>
    <row r="971" spans="1:19" x14ac:dyDescent="0.2">
      <c r="A971" t="s">
        <v>1582</v>
      </c>
      <c r="B971" t="s">
        <v>90</v>
      </c>
      <c r="C971" t="s">
        <v>607</v>
      </c>
      <c r="D971">
        <v>1137.58</v>
      </c>
      <c r="E971" s="37" t="str">
        <f t="shared" si="75"/>
        <v xml:space="preserve"> </v>
      </c>
      <c r="F971">
        <v>0.01</v>
      </c>
      <c r="G971" s="37" t="str">
        <f t="shared" si="76"/>
        <v>Normal Discount</v>
      </c>
      <c r="H971" s="37" t="str">
        <f t="shared" si="77"/>
        <v>Low</v>
      </c>
      <c r="I971">
        <v>6</v>
      </c>
      <c r="J971" t="str" cm="1">
        <f t="array" ref="J971">_xlfn.IFS(I971&lt;=3,"small",I971&lt;=6,"Medium",I971&lt;=9,"Large")</f>
        <v>Medium</v>
      </c>
      <c r="K971" s="36">
        <v>45656</v>
      </c>
      <c r="L971" s="36">
        <v>45662</v>
      </c>
      <c r="M971" t="s">
        <v>612</v>
      </c>
      <c r="N971" t="s">
        <v>608</v>
      </c>
      <c r="O971" s="37" t="str">
        <f t="shared" si="78"/>
        <v>Cash Payment</v>
      </c>
      <c r="P971">
        <v>318.27999999999997</v>
      </c>
      <c r="Q971" s="37" t="str">
        <f>IF(P971&gt;500,"High","low")</f>
        <v>low</v>
      </c>
      <c r="R971" s="37" t="str">
        <f t="shared" si="79"/>
        <v>AVERAGE</v>
      </c>
      <c r="S971" t="s">
        <v>628</v>
      </c>
    </row>
    <row r="972" spans="1:19" x14ac:dyDescent="0.2">
      <c r="A972" t="s">
        <v>1583</v>
      </c>
      <c r="B972" t="s">
        <v>67</v>
      </c>
      <c r="C972" t="s">
        <v>617</v>
      </c>
      <c r="D972">
        <v>4518.09</v>
      </c>
      <c r="E972" s="37" t="str">
        <f t="shared" si="75"/>
        <v xml:space="preserve"> </v>
      </c>
      <c r="F972">
        <v>0.44</v>
      </c>
      <c r="G972" s="37" t="str">
        <f t="shared" si="76"/>
        <v>Heavy Discount</v>
      </c>
      <c r="H972" s="37" t="str">
        <f t="shared" si="77"/>
        <v>High</v>
      </c>
      <c r="I972">
        <v>2</v>
      </c>
      <c r="J972" t="str" cm="1">
        <f t="array" ref="J972">_xlfn.IFS(I972&lt;=3,"small",I972&lt;=6,"Medium",I972&lt;=9,"Large")</f>
        <v>small</v>
      </c>
      <c r="K972" s="36">
        <v>45517</v>
      </c>
      <c r="L972" s="36">
        <v>45521</v>
      </c>
      <c r="M972" t="s">
        <v>612</v>
      </c>
      <c r="N972" t="s">
        <v>608</v>
      </c>
      <c r="O972" s="37" t="str">
        <f t="shared" si="78"/>
        <v>Cash Payment</v>
      </c>
      <c r="P972">
        <v>334.59</v>
      </c>
      <c r="Q972" s="37" t="str">
        <f>IF(P972&gt;500,"High","low")</f>
        <v>low</v>
      </c>
      <c r="R972" s="37" t="str">
        <f t="shared" si="79"/>
        <v>AVERAGE</v>
      </c>
      <c r="S972" t="s">
        <v>615</v>
      </c>
    </row>
    <row r="973" spans="1:19" x14ac:dyDescent="0.2">
      <c r="A973" t="s">
        <v>1584</v>
      </c>
      <c r="B973" t="s">
        <v>90</v>
      </c>
      <c r="C973" t="s">
        <v>597</v>
      </c>
      <c r="D973">
        <v>445.18</v>
      </c>
      <c r="E973" s="37" t="str">
        <f t="shared" si="75"/>
        <v xml:space="preserve"> </v>
      </c>
      <c r="F973">
        <v>0.06</v>
      </c>
      <c r="G973" s="37" t="str">
        <f t="shared" si="76"/>
        <v>Normal Discount</v>
      </c>
      <c r="H973" s="37" t="str">
        <f t="shared" si="77"/>
        <v>Low</v>
      </c>
      <c r="I973">
        <v>8</v>
      </c>
      <c r="J973" t="str" cm="1">
        <f t="array" ref="J973">_xlfn.IFS(I973&lt;=3,"small",I973&lt;=6,"Medium",I973&lt;=9,"Large")</f>
        <v>Large</v>
      </c>
      <c r="K973" s="36">
        <v>45417</v>
      </c>
      <c r="L973" s="36">
        <v>45418</v>
      </c>
      <c r="M973" t="s">
        <v>598</v>
      </c>
      <c r="N973" t="s">
        <v>604</v>
      </c>
      <c r="O973" s="37" t="str">
        <f t="shared" si="78"/>
        <v>Digital Payment</v>
      </c>
      <c r="P973">
        <v>90.52</v>
      </c>
      <c r="Q973" s="37" t="str">
        <f>IF(P973&gt;500,"High","low")</f>
        <v>low</v>
      </c>
      <c r="R973" s="37" t="str">
        <f t="shared" si="79"/>
        <v>AVERAGE</v>
      </c>
      <c r="S973" t="s">
        <v>615</v>
      </c>
    </row>
    <row r="974" spans="1:19" x14ac:dyDescent="0.2">
      <c r="A974" t="s">
        <v>1585</v>
      </c>
      <c r="B974" t="s">
        <v>75</v>
      </c>
      <c r="C974" t="s">
        <v>607</v>
      </c>
      <c r="D974">
        <v>4518.42</v>
      </c>
      <c r="E974" s="37" t="str">
        <f t="shared" si="75"/>
        <v xml:space="preserve"> </v>
      </c>
      <c r="F974">
        <v>0.02</v>
      </c>
      <c r="G974" s="37" t="str">
        <f t="shared" si="76"/>
        <v>Normal Discount</v>
      </c>
      <c r="H974" s="37" t="str">
        <f t="shared" si="77"/>
        <v>Low</v>
      </c>
      <c r="I974">
        <v>5</v>
      </c>
      <c r="J974" t="str" cm="1">
        <f t="array" ref="J974">_xlfn.IFS(I974&lt;=3,"small",I974&lt;=6,"Medium",I974&lt;=9,"Large")</f>
        <v>Medium</v>
      </c>
      <c r="K974" s="36">
        <v>45331</v>
      </c>
      <c r="L974" s="36">
        <v>45336</v>
      </c>
      <c r="M974" t="s">
        <v>598</v>
      </c>
      <c r="N974" t="s">
        <v>604</v>
      </c>
      <c r="O974" s="37" t="str">
        <f t="shared" si="78"/>
        <v>Digital Payment</v>
      </c>
      <c r="P974">
        <v>309.60000000000002</v>
      </c>
      <c r="Q974" s="37" t="str">
        <f>IF(P974&gt;500,"High","low")</f>
        <v>low</v>
      </c>
      <c r="R974" s="37" t="str">
        <f t="shared" si="79"/>
        <v>AVERAGE</v>
      </c>
      <c r="S974" t="s">
        <v>615</v>
      </c>
    </row>
    <row r="975" spans="1:19" x14ac:dyDescent="0.2">
      <c r="A975" t="s">
        <v>1586</v>
      </c>
      <c r="B975" t="s">
        <v>90</v>
      </c>
      <c r="C975" t="s">
        <v>597</v>
      </c>
      <c r="D975">
        <v>901.8</v>
      </c>
      <c r="E975" s="37" t="str">
        <f t="shared" si="75"/>
        <v xml:space="preserve"> </v>
      </c>
      <c r="F975">
        <v>0.11</v>
      </c>
      <c r="G975" s="37" t="str">
        <f t="shared" si="76"/>
        <v>Normal Discount</v>
      </c>
      <c r="H975" s="37" t="str">
        <f t="shared" si="77"/>
        <v>Low</v>
      </c>
      <c r="I975">
        <v>7</v>
      </c>
      <c r="J975" t="str" cm="1">
        <f t="array" ref="J975">_xlfn.IFS(I975&lt;=3,"small",I975&lt;=6,"Medium",I975&lt;=9,"Large")</f>
        <v>Large</v>
      </c>
      <c r="K975" s="36">
        <v>45178</v>
      </c>
      <c r="L975" s="36">
        <v>45182</v>
      </c>
      <c r="M975" t="s">
        <v>598</v>
      </c>
      <c r="N975" t="s">
        <v>608</v>
      </c>
      <c r="O975" s="37" t="str">
        <f t="shared" si="78"/>
        <v>Cash Payment</v>
      </c>
      <c r="P975">
        <v>264.18</v>
      </c>
      <c r="Q975" s="37" t="str">
        <f>IF(P975&gt;500,"High","low")</f>
        <v>low</v>
      </c>
      <c r="R975" s="37" t="str">
        <f t="shared" si="79"/>
        <v>AVERAGE</v>
      </c>
      <c r="S975" t="s">
        <v>605</v>
      </c>
    </row>
    <row r="976" spans="1:19" x14ac:dyDescent="0.2">
      <c r="A976" t="s">
        <v>1587</v>
      </c>
      <c r="B976" t="s">
        <v>67</v>
      </c>
      <c r="C976" t="s">
        <v>607</v>
      </c>
      <c r="D976">
        <v>1752.13</v>
      </c>
      <c r="E976" s="37" t="str">
        <f t="shared" si="75"/>
        <v xml:space="preserve"> </v>
      </c>
      <c r="F976">
        <v>0.25</v>
      </c>
      <c r="G976" s="37" t="str">
        <f t="shared" si="76"/>
        <v>Normal Discount</v>
      </c>
      <c r="H976" s="37" t="str">
        <f t="shared" si="77"/>
        <v>Medium</v>
      </c>
      <c r="I976">
        <v>3</v>
      </c>
      <c r="J976" t="str" cm="1">
        <f t="array" ref="J976">_xlfn.IFS(I976&lt;=3,"small",I976&lt;=6,"Medium",I976&lt;=9,"Large")</f>
        <v>small</v>
      </c>
      <c r="K976" s="36">
        <v>45651</v>
      </c>
      <c r="L976" s="36">
        <v>45655</v>
      </c>
      <c r="M976" t="s">
        <v>612</v>
      </c>
      <c r="N976" t="s">
        <v>608</v>
      </c>
      <c r="O976" s="37" t="str">
        <f t="shared" si="78"/>
        <v>Cash Payment</v>
      </c>
      <c r="P976">
        <v>176.22</v>
      </c>
      <c r="Q976" s="37" t="str">
        <f>IF(P976&gt;500,"High","low")</f>
        <v>low</v>
      </c>
      <c r="R976" s="37" t="str">
        <f t="shared" si="79"/>
        <v>AVERAGE</v>
      </c>
      <c r="S976" t="s">
        <v>605</v>
      </c>
    </row>
    <row r="977" spans="1:19" x14ac:dyDescent="0.2">
      <c r="A977" t="s">
        <v>1588</v>
      </c>
      <c r="B977" t="s">
        <v>83</v>
      </c>
      <c r="C977" t="s">
        <v>597</v>
      </c>
      <c r="D977">
        <v>3065.65</v>
      </c>
      <c r="E977" s="37" t="str">
        <f t="shared" si="75"/>
        <v xml:space="preserve"> </v>
      </c>
      <c r="F977">
        <v>0.16</v>
      </c>
      <c r="G977" s="37" t="str">
        <f t="shared" si="76"/>
        <v>Normal Discount</v>
      </c>
      <c r="H977" s="37" t="str">
        <f t="shared" si="77"/>
        <v>Low</v>
      </c>
      <c r="I977">
        <v>5</v>
      </c>
      <c r="J977" t="str" cm="1">
        <f t="array" ref="J977">_xlfn.IFS(I977&lt;=3,"small",I977&lt;=6,"Medium",I977&lt;=9,"Large")</f>
        <v>Medium</v>
      </c>
      <c r="K977" s="36">
        <v>45301</v>
      </c>
      <c r="L977" s="36">
        <v>45302</v>
      </c>
      <c r="M977" t="s">
        <v>612</v>
      </c>
      <c r="N977" t="s">
        <v>604</v>
      </c>
      <c r="O977" s="37" t="str">
        <f t="shared" si="78"/>
        <v>Digital Payment</v>
      </c>
      <c r="P977">
        <v>745.56</v>
      </c>
      <c r="Q977" s="37" t="str">
        <f>IF(P977&gt;500,"High","low")</f>
        <v>High</v>
      </c>
      <c r="R977" s="37" t="str">
        <f t="shared" si="79"/>
        <v>Good</v>
      </c>
      <c r="S977" t="s">
        <v>628</v>
      </c>
    </row>
    <row r="978" spans="1:19" x14ac:dyDescent="0.2">
      <c r="A978" t="s">
        <v>1589</v>
      </c>
      <c r="B978" t="s">
        <v>67</v>
      </c>
      <c r="C978" t="s">
        <v>617</v>
      </c>
      <c r="D978">
        <v>4537.8500000000004</v>
      </c>
      <c r="E978" s="37" t="str">
        <f t="shared" si="75"/>
        <v>Excellent Order</v>
      </c>
      <c r="F978">
        <v>0.22</v>
      </c>
      <c r="G978" s="37" t="str">
        <f t="shared" si="76"/>
        <v>Normal Discount</v>
      </c>
      <c r="H978" s="37" t="str">
        <f t="shared" si="77"/>
        <v>Medium</v>
      </c>
      <c r="I978">
        <v>3</v>
      </c>
      <c r="J978" t="str" cm="1">
        <f t="array" ref="J978">_xlfn.IFS(I978&lt;=3,"small",I978&lt;=6,"Medium",I978&lt;=9,"Large")</f>
        <v>small</v>
      </c>
      <c r="K978" s="36">
        <v>45267</v>
      </c>
      <c r="L978" s="36">
        <v>45273</v>
      </c>
      <c r="M978" t="s">
        <v>603</v>
      </c>
      <c r="N978" t="s">
        <v>599</v>
      </c>
      <c r="O978" s="37" t="str">
        <f t="shared" si="78"/>
        <v>Digital Payment</v>
      </c>
      <c r="P978">
        <v>1053.92</v>
      </c>
      <c r="Q978" s="37" t="str">
        <f>IF(P978&gt;500,"High","low")</f>
        <v>High</v>
      </c>
      <c r="R978" s="37" t="str">
        <f t="shared" si="79"/>
        <v>Excellent</v>
      </c>
      <c r="S978" t="s">
        <v>600</v>
      </c>
    </row>
    <row r="979" spans="1:19" x14ac:dyDescent="0.2">
      <c r="A979" t="s">
        <v>1590</v>
      </c>
      <c r="B979" t="s">
        <v>67</v>
      </c>
      <c r="C979" t="s">
        <v>617</v>
      </c>
      <c r="D979">
        <v>1352.94</v>
      </c>
      <c r="E979" s="37" t="str">
        <f t="shared" si="75"/>
        <v xml:space="preserve"> </v>
      </c>
      <c r="F979">
        <v>0.04</v>
      </c>
      <c r="G979" s="37" t="str">
        <f t="shared" si="76"/>
        <v>Normal Discount</v>
      </c>
      <c r="H979" s="37" t="str">
        <f t="shared" si="77"/>
        <v>Low</v>
      </c>
      <c r="I979">
        <v>3</v>
      </c>
      <c r="J979" t="str" cm="1">
        <f t="array" ref="J979">_xlfn.IFS(I979&lt;=3,"small",I979&lt;=6,"Medium",I979&lt;=9,"Large")</f>
        <v>small</v>
      </c>
      <c r="K979" s="36">
        <v>45045</v>
      </c>
      <c r="L979" s="36">
        <v>45046</v>
      </c>
      <c r="M979" t="s">
        <v>598</v>
      </c>
      <c r="N979" t="s">
        <v>608</v>
      </c>
      <c r="O979" s="37" t="str">
        <f t="shared" si="78"/>
        <v>Cash Payment</v>
      </c>
      <c r="P979">
        <v>397.77</v>
      </c>
      <c r="Q979" s="37" t="str">
        <f>IF(P979&gt;500,"High","low")</f>
        <v>low</v>
      </c>
      <c r="R979" s="37" t="str">
        <f t="shared" si="79"/>
        <v>AVERAGE</v>
      </c>
      <c r="S979" t="s">
        <v>620</v>
      </c>
    </row>
    <row r="980" spans="1:19" x14ac:dyDescent="0.2">
      <c r="A980" t="s">
        <v>1591</v>
      </c>
      <c r="B980" t="s">
        <v>67</v>
      </c>
      <c r="C980" t="s">
        <v>614</v>
      </c>
      <c r="D980">
        <v>3841.51</v>
      </c>
      <c r="E980" s="37" t="str">
        <f t="shared" si="75"/>
        <v xml:space="preserve"> </v>
      </c>
      <c r="F980">
        <v>0.12</v>
      </c>
      <c r="G980" s="37" t="str">
        <f t="shared" si="76"/>
        <v>Normal Discount</v>
      </c>
      <c r="H980" s="37" t="str">
        <f t="shared" si="77"/>
        <v>Low</v>
      </c>
      <c r="I980">
        <v>1</v>
      </c>
      <c r="J980" t="str" cm="1">
        <f t="array" ref="J980">_xlfn.IFS(I980&lt;=3,"small",I980&lt;=6,"Medium",I980&lt;=9,"Large")</f>
        <v>small</v>
      </c>
      <c r="K980" s="36">
        <v>45079</v>
      </c>
      <c r="L980" s="36">
        <v>45081</v>
      </c>
      <c r="M980" t="s">
        <v>603</v>
      </c>
      <c r="N980" t="s">
        <v>604</v>
      </c>
      <c r="O980" s="37" t="str">
        <f t="shared" si="78"/>
        <v>Digital Payment</v>
      </c>
      <c r="P980">
        <v>1088.97</v>
      </c>
      <c r="Q980" s="37" t="str">
        <f>IF(P980&gt;500,"High","low")</f>
        <v>High</v>
      </c>
      <c r="R980" s="37" t="str">
        <f t="shared" si="79"/>
        <v>Excellent</v>
      </c>
      <c r="S980" t="s">
        <v>628</v>
      </c>
    </row>
    <row r="981" spans="1:19" x14ac:dyDescent="0.2">
      <c r="A981" t="s">
        <v>1592</v>
      </c>
      <c r="B981" t="s">
        <v>83</v>
      </c>
      <c r="C981" t="s">
        <v>607</v>
      </c>
      <c r="D981">
        <v>3581.14</v>
      </c>
      <c r="E981" s="37" t="str">
        <f t="shared" si="75"/>
        <v xml:space="preserve"> </v>
      </c>
      <c r="F981">
        <v>0.05</v>
      </c>
      <c r="G981" s="37" t="str">
        <f t="shared" si="76"/>
        <v>Normal Discount</v>
      </c>
      <c r="H981" s="37" t="str">
        <f t="shared" si="77"/>
        <v>Low</v>
      </c>
      <c r="I981">
        <v>3</v>
      </c>
      <c r="J981" t="str" cm="1">
        <f t="array" ref="J981">_xlfn.IFS(I981&lt;=3,"small",I981&lt;=6,"Medium",I981&lt;=9,"Large")</f>
        <v>small</v>
      </c>
      <c r="K981" s="36">
        <v>45450</v>
      </c>
      <c r="L981" s="36">
        <v>45457</v>
      </c>
      <c r="M981" t="s">
        <v>598</v>
      </c>
      <c r="N981" t="s">
        <v>608</v>
      </c>
      <c r="O981" s="37" t="str">
        <f t="shared" si="78"/>
        <v>Cash Payment</v>
      </c>
      <c r="P981">
        <v>959.12</v>
      </c>
      <c r="Q981" s="37" t="str">
        <f>IF(P981&gt;500,"High","low")</f>
        <v>High</v>
      </c>
      <c r="R981" s="37" t="str">
        <f t="shared" si="79"/>
        <v>Good</v>
      </c>
      <c r="S981" t="s">
        <v>615</v>
      </c>
    </row>
    <row r="982" spans="1:19" x14ac:dyDescent="0.2">
      <c r="A982" t="s">
        <v>1593</v>
      </c>
      <c r="B982" t="s">
        <v>67</v>
      </c>
      <c r="C982" t="s">
        <v>614</v>
      </c>
      <c r="D982">
        <v>882.57</v>
      </c>
      <c r="E982" s="37" t="str">
        <f t="shared" si="75"/>
        <v xml:space="preserve"> </v>
      </c>
      <c r="F982">
        <v>0.11</v>
      </c>
      <c r="G982" s="37" t="str">
        <f t="shared" si="76"/>
        <v>Normal Discount</v>
      </c>
      <c r="H982" s="37" t="str">
        <f t="shared" si="77"/>
        <v>Low</v>
      </c>
      <c r="I982">
        <v>7</v>
      </c>
      <c r="J982" t="str" cm="1">
        <f t="array" ref="J982">_xlfn.IFS(I982&lt;=3,"small",I982&lt;=6,"Medium",I982&lt;=9,"Large")</f>
        <v>Large</v>
      </c>
      <c r="K982" s="36">
        <v>45539</v>
      </c>
      <c r="L982" s="36">
        <v>45541</v>
      </c>
      <c r="M982" t="s">
        <v>598</v>
      </c>
      <c r="N982" t="s">
        <v>599</v>
      </c>
      <c r="O982" s="37" t="str">
        <f t="shared" si="78"/>
        <v>Digital Payment</v>
      </c>
      <c r="P982">
        <v>186.08</v>
      </c>
      <c r="Q982" s="37" t="str">
        <f>IF(P982&gt;500,"High","low")</f>
        <v>low</v>
      </c>
      <c r="R982" s="37" t="str">
        <f t="shared" si="79"/>
        <v>AVERAGE</v>
      </c>
      <c r="S982" t="s">
        <v>600</v>
      </c>
    </row>
    <row r="983" spans="1:19" x14ac:dyDescent="0.2">
      <c r="A983" t="s">
        <v>1594</v>
      </c>
      <c r="B983" t="s">
        <v>67</v>
      </c>
      <c r="C983" t="s">
        <v>602</v>
      </c>
      <c r="D983">
        <v>2449.37</v>
      </c>
      <c r="E983" s="37" t="str">
        <f t="shared" si="75"/>
        <v xml:space="preserve"> </v>
      </c>
      <c r="F983">
        <v>0.35</v>
      </c>
      <c r="G983" s="37" t="str">
        <f t="shared" si="76"/>
        <v>Heavy Discount</v>
      </c>
      <c r="H983" s="37" t="str">
        <f t="shared" si="77"/>
        <v>Medium</v>
      </c>
      <c r="I983">
        <v>9</v>
      </c>
      <c r="J983" t="str" cm="1">
        <f t="array" ref="J983">_xlfn.IFS(I983&lt;=3,"small",I983&lt;=6,"Medium",I983&lt;=9,"Large")</f>
        <v>Large</v>
      </c>
      <c r="K983" s="36">
        <v>45648</v>
      </c>
      <c r="L983" s="36">
        <v>45652</v>
      </c>
      <c r="M983" t="s">
        <v>598</v>
      </c>
      <c r="N983" t="s">
        <v>599</v>
      </c>
      <c r="O983" s="37" t="str">
        <f t="shared" si="78"/>
        <v>Digital Payment</v>
      </c>
      <c r="P983">
        <v>441.84</v>
      </c>
      <c r="Q983" s="37" t="str">
        <f>IF(P983&gt;500,"High","low")</f>
        <v>low</v>
      </c>
      <c r="R983" s="37" t="str">
        <f t="shared" si="79"/>
        <v>AVERAGE</v>
      </c>
      <c r="S983" t="s">
        <v>628</v>
      </c>
    </row>
    <row r="984" spans="1:19" x14ac:dyDescent="0.2">
      <c r="A984" t="s">
        <v>1595</v>
      </c>
      <c r="B984" t="s">
        <v>67</v>
      </c>
      <c r="C984" t="s">
        <v>617</v>
      </c>
      <c r="D984">
        <v>2459.37</v>
      </c>
      <c r="E984" s="37" t="str">
        <f t="shared" si="75"/>
        <v xml:space="preserve"> </v>
      </c>
      <c r="F984">
        <v>0.28999999999999998</v>
      </c>
      <c r="G984" s="37" t="str">
        <f t="shared" si="76"/>
        <v>Normal Discount</v>
      </c>
      <c r="H984" s="37" t="str">
        <f t="shared" si="77"/>
        <v>Medium</v>
      </c>
      <c r="I984">
        <v>1</v>
      </c>
      <c r="J984" t="str" cm="1">
        <f t="array" ref="J984">_xlfn.IFS(I984&lt;=3,"small",I984&lt;=6,"Medium",I984&lt;=9,"Large")</f>
        <v>small</v>
      </c>
      <c r="K984" s="36">
        <v>45000</v>
      </c>
      <c r="L984" s="36">
        <v>45002</v>
      </c>
      <c r="M984" t="s">
        <v>603</v>
      </c>
      <c r="N984" t="s">
        <v>608</v>
      </c>
      <c r="O984" s="37" t="str">
        <f t="shared" si="78"/>
        <v>Cash Payment</v>
      </c>
      <c r="P984">
        <v>247.39</v>
      </c>
      <c r="Q984" s="37" t="str">
        <f>IF(P984&gt;500,"High","low")</f>
        <v>low</v>
      </c>
      <c r="R984" s="37" t="str">
        <f t="shared" si="79"/>
        <v>AVERAGE</v>
      </c>
      <c r="S984" t="s">
        <v>628</v>
      </c>
    </row>
    <row r="985" spans="1:19" x14ac:dyDescent="0.2">
      <c r="A985" t="s">
        <v>1596</v>
      </c>
      <c r="B985" t="s">
        <v>75</v>
      </c>
      <c r="C985" t="s">
        <v>607</v>
      </c>
      <c r="D985">
        <v>1592.6</v>
      </c>
      <c r="E985" s="37" t="str">
        <f t="shared" si="75"/>
        <v xml:space="preserve"> </v>
      </c>
      <c r="F985">
        <v>0.17</v>
      </c>
      <c r="G985" s="37" t="str">
        <f t="shared" si="76"/>
        <v>Normal Discount</v>
      </c>
      <c r="H985" s="37" t="str">
        <f t="shared" si="77"/>
        <v>Low</v>
      </c>
      <c r="I985">
        <v>4</v>
      </c>
      <c r="J985" t="str" cm="1">
        <f t="array" ref="J985">_xlfn.IFS(I985&lt;=3,"small",I985&lt;=6,"Medium",I985&lt;=9,"Large")</f>
        <v>Medium</v>
      </c>
      <c r="K985" s="36">
        <v>45636</v>
      </c>
      <c r="L985" s="36">
        <v>45638</v>
      </c>
      <c r="M985" t="s">
        <v>603</v>
      </c>
      <c r="N985" t="s">
        <v>608</v>
      </c>
      <c r="O985" s="37" t="str">
        <f t="shared" si="78"/>
        <v>Cash Payment</v>
      </c>
      <c r="P985">
        <v>331.93</v>
      </c>
      <c r="Q985" s="37" t="str">
        <f>IF(P985&gt;500,"High","low")</f>
        <v>low</v>
      </c>
      <c r="R985" s="37" t="str">
        <f t="shared" si="79"/>
        <v>AVERAGE</v>
      </c>
      <c r="S985" t="s">
        <v>628</v>
      </c>
    </row>
    <row r="986" spans="1:19" x14ac:dyDescent="0.2">
      <c r="A986" t="s">
        <v>1597</v>
      </c>
      <c r="B986" t="s">
        <v>67</v>
      </c>
      <c r="C986" t="s">
        <v>614</v>
      </c>
      <c r="D986">
        <v>3921.61</v>
      </c>
      <c r="E986" s="37" t="str">
        <f t="shared" si="75"/>
        <v xml:space="preserve"> </v>
      </c>
      <c r="F986">
        <v>0.13</v>
      </c>
      <c r="G986" s="37" t="str">
        <f t="shared" si="76"/>
        <v>Normal Discount</v>
      </c>
      <c r="H986" s="37" t="str">
        <f t="shared" si="77"/>
        <v>Low</v>
      </c>
      <c r="I986">
        <v>7</v>
      </c>
      <c r="J986" t="str" cm="1">
        <f t="array" ref="J986">_xlfn.IFS(I986&lt;=3,"small",I986&lt;=6,"Medium",I986&lt;=9,"Large")</f>
        <v>Large</v>
      </c>
      <c r="K986" s="36">
        <v>45623</v>
      </c>
      <c r="L986" s="36">
        <v>45625</v>
      </c>
      <c r="M986" t="s">
        <v>603</v>
      </c>
      <c r="N986" t="s">
        <v>599</v>
      </c>
      <c r="O986" s="37" t="str">
        <f t="shared" si="78"/>
        <v>Digital Payment</v>
      </c>
      <c r="P986">
        <v>898.64</v>
      </c>
      <c r="Q986" s="37" t="str">
        <f>IF(P986&gt;500,"High","low")</f>
        <v>High</v>
      </c>
      <c r="R986" s="37" t="str">
        <f t="shared" si="79"/>
        <v>Good</v>
      </c>
      <c r="S986" t="s">
        <v>615</v>
      </c>
    </row>
    <row r="987" spans="1:19" x14ac:dyDescent="0.2">
      <c r="A987" t="s">
        <v>1598</v>
      </c>
      <c r="B987" t="s">
        <v>83</v>
      </c>
      <c r="C987" t="s">
        <v>614</v>
      </c>
      <c r="D987">
        <v>4637.08</v>
      </c>
      <c r="E987" s="37" t="str">
        <f t="shared" si="75"/>
        <v>Excellent Order</v>
      </c>
      <c r="F987">
        <v>0.5</v>
      </c>
      <c r="G987" s="37" t="str">
        <f t="shared" si="76"/>
        <v>Heavy Discount</v>
      </c>
      <c r="H987" s="37" t="str">
        <f t="shared" si="77"/>
        <v>High</v>
      </c>
      <c r="I987">
        <v>6</v>
      </c>
      <c r="J987" t="str" cm="1">
        <f t="array" ref="J987">_xlfn.IFS(I987&lt;=3,"small",I987&lt;=6,"Medium",I987&lt;=9,"Large")</f>
        <v>Medium</v>
      </c>
      <c r="K987" s="36">
        <v>45083</v>
      </c>
      <c r="L987" s="36">
        <v>45089</v>
      </c>
      <c r="M987" t="s">
        <v>612</v>
      </c>
      <c r="N987" t="s">
        <v>599</v>
      </c>
      <c r="O987" s="37" t="str">
        <f t="shared" si="78"/>
        <v>Digital Payment</v>
      </c>
      <c r="P987">
        <v>1325.26</v>
      </c>
      <c r="Q987" s="37" t="str">
        <f>IF(P987&gt;500,"High","low")</f>
        <v>High</v>
      </c>
      <c r="R987" s="37" t="str">
        <f t="shared" si="79"/>
        <v>Excellent</v>
      </c>
      <c r="S987" t="s">
        <v>600</v>
      </c>
    </row>
    <row r="988" spans="1:19" x14ac:dyDescent="0.2">
      <c r="A988" t="s">
        <v>1599</v>
      </c>
      <c r="B988" t="s">
        <v>67</v>
      </c>
      <c r="C988" t="s">
        <v>602</v>
      </c>
      <c r="D988">
        <v>3611.21</v>
      </c>
      <c r="E988" s="37" t="str">
        <f t="shared" si="75"/>
        <v xml:space="preserve"> </v>
      </c>
      <c r="F988">
        <v>0.38</v>
      </c>
      <c r="G988" s="37" t="str">
        <f t="shared" si="76"/>
        <v>Heavy Discount</v>
      </c>
      <c r="H988" s="37" t="str">
        <f t="shared" si="77"/>
        <v>Medium</v>
      </c>
      <c r="I988">
        <v>4</v>
      </c>
      <c r="J988" t="str" cm="1">
        <f t="array" ref="J988">_xlfn.IFS(I988&lt;=3,"small",I988&lt;=6,"Medium",I988&lt;=9,"Large")</f>
        <v>Medium</v>
      </c>
      <c r="K988" s="36">
        <v>45147</v>
      </c>
      <c r="L988" s="36">
        <v>45152</v>
      </c>
      <c r="M988" t="s">
        <v>612</v>
      </c>
      <c r="N988" t="s">
        <v>604</v>
      </c>
      <c r="O988" s="37" t="str">
        <f t="shared" si="78"/>
        <v>Digital Payment</v>
      </c>
      <c r="P988">
        <v>435.37</v>
      </c>
      <c r="Q988" s="37" t="str">
        <f>IF(P988&gt;500,"High","low")</f>
        <v>low</v>
      </c>
      <c r="R988" s="37" t="str">
        <f t="shared" si="79"/>
        <v>AVERAGE</v>
      </c>
      <c r="S988" t="s">
        <v>628</v>
      </c>
    </row>
    <row r="989" spans="1:19" x14ac:dyDescent="0.2">
      <c r="A989" t="s">
        <v>1600</v>
      </c>
      <c r="B989" t="s">
        <v>67</v>
      </c>
      <c r="C989" t="s">
        <v>614</v>
      </c>
      <c r="D989">
        <v>4867.4799999999996</v>
      </c>
      <c r="E989" s="37" t="str">
        <f t="shared" si="75"/>
        <v xml:space="preserve"> </v>
      </c>
      <c r="F989">
        <v>0.41</v>
      </c>
      <c r="G989" s="37" t="str">
        <f t="shared" si="76"/>
        <v>Heavy Discount</v>
      </c>
      <c r="H989" s="37" t="str">
        <f t="shared" si="77"/>
        <v>High</v>
      </c>
      <c r="I989">
        <v>3</v>
      </c>
      <c r="J989" t="str" cm="1">
        <f t="array" ref="J989">_xlfn.IFS(I989&lt;=3,"small",I989&lt;=6,"Medium",I989&lt;=9,"Large")</f>
        <v>small</v>
      </c>
      <c r="K989" s="36">
        <v>45100</v>
      </c>
      <c r="L989" s="36">
        <v>45107</v>
      </c>
      <c r="M989" t="s">
        <v>603</v>
      </c>
      <c r="N989" t="s">
        <v>608</v>
      </c>
      <c r="O989" s="37" t="str">
        <f t="shared" si="78"/>
        <v>Cash Payment</v>
      </c>
      <c r="P989">
        <v>679.11</v>
      </c>
      <c r="Q989" s="37" t="str">
        <f>IF(P989&gt;500,"High","low")</f>
        <v>High</v>
      </c>
      <c r="R989" s="37" t="str">
        <f t="shared" si="79"/>
        <v>Good</v>
      </c>
      <c r="S989" t="s">
        <v>609</v>
      </c>
    </row>
    <row r="990" spans="1:19" x14ac:dyDescent="0.2">
      <c r="A990" t="s">
        <v>1601</v>
      </c>
      <c r="B990" t="s">
        <v>83</v>
      </c>
      <c r="C990" t="s">
        <v>597</v>
      </c>
      <c r="D990">
        <v>347.3</v>
      </c>
      <c r="E990" s="37" t="str">
        <f t="shared" si="75"/>
        <v xml:space="preserve"> </v>
      </c>
      <c r="F990">
        <v>0.01</v>
      </c>
      <c r="G990" s="37" t="str">
        <f t="shared" si="76"/>
        <v>Normal Discount</v>
      </c>
      <c r="H990" s="37" t="str">
        <f t="shared" si="77"/>
        <v>Low</v>
      </c>
      <c r="I990">
        <v>6</v>
      </c>
      <c r="J990" t="str" cm="1">
        <f t="array" ref="J990">_xlfn.IFS(I990&lt;=3,"small",I990&lt;=6,"Medium",I990&lt;=9,"Large")</f>
        <v>Medium</v>
      </c>
      <c r="K990" s="36">
        <v>45164</v>
      </c>
      <c r="L990" s="36">
        <v>45166</v>
      </c>
      <c r="M990" t="s">
        <v>612</v>
      </c>
      <c r="N990" t="s">
        <v>608</v>
      </c>
      <c r="O990" s="37" t="str">
        <f t="shared" si="78"/>
        <v>Cash Payment</v>
      </c>
      <c r="P990">
        <v>56.37</v>
      </c>
      <c r="Q990" s="37" t="str">
        <f>IF(P990&gt;500,"High","low")</f>
        <v>low</v>
      </c>
      <c r="R990" s="37" t="str">
        <f t="shared" si="79"/>
        <v>AVERAGE</v>
      </c>
      <c r="S990" t="s">
        <v>620</v>
      </c>
    </row>
    <row r="991" spans="1:19" x14ac:dyDescent="0.2">
      <c r="A991" t="s">
        <v>1602</v>
      </c>
      <c r="B991" t="s">
        <v>67</v>
      </c>
      <c r="C991" t="s">
        <v>617</v>
      </c>
      <c r="D991">
        <v>282.39</v>
      </c>
      <c r="E991" s="37" t="str">
        <f t="shared" si="75"/>
        <v xml:space="preserve"> </v>
      </c>
      <c r="F991">
        <v>0.03</v>
      </c>
      <c r="G991" s="37" t="str">
        <f t="shared" si="76"/>
        <v>Normal Discount</v>
      </c>
      <c r="H991" s="37" t="str">
        <f t="shared" si="77"/>
        <v>Low</v>
      </c>
      <c r="I991">
        <v>4</v>
      </c>
      <c r="J991" t="str" cm="1">
        <f t="array" ref="J991">_xlfn.IFS(I991&lt;=3,"small",I991&lt;=6,"Medium",I991&lt;=9,"Large")</f>
        <v>Medium</v>
      </c>
      <c r="K991" s="36">
        <v>45447</v>
      </c>
      <c r="L991" s="36">
        <v>45453</v>
      </c>
      <c r="M991" t="s">
        <v>612</v>
      </c>
      <c r="N991" t="s">
        <v>604</v>
      </c>
      <c r="O991" s="37" t="str">
        <f t="shared" si="78"/>
        <v>Digital Payment</v>
      </c>
      <c r="P991">
        <v>62.93</v>
      </c>
      <c r="Q991" s="37" t="str">
        <f>IF(P991&gt;500,"High","low")</f>
        <v>low</v>
      </c>
      <c r="R991" s="37" t="str">
        <f t="shared" si="79"/>
        <v>AVERAGE</v>
      </c>
      <c r="S991" t="s">
        <v>628</v>
      </c>
    </row>
    <row r="992" spans="1:19" x14ac:dyDescent="0.2">
      <c r="A992" t="s">
        <v>1603</v>
      </c>
      <c r="B992" t="s">
        <v>83</v>
      </c>
      <c r="C992" t="s">
        <v>614</v>
      </c>
      <c r="D992">
        <v>4479.91</v>
      </c>
      <c r="E992" s="37" t="str">
        <f t="shared" si="75"/>
        <v>Excellent Order</v>
      </c>
      <c r="F992">
        <v>0.36</v>
      </c>
      <c r="G992" s="37" t="str">
        <f t="shared" si="76"/>
        <v>Heavy Discount</v>
      </c>
      <c r="H992" s="37" t="str">
        <f t="shared" si="77"/>
        <v>Medium</v>
      </c>
      <c r="I992">
        <v>5</v>
      </c>
      <c r="J992" t="str" cm="1">
        <f t="array" ref="J992">_xlfn.IFS(I992&lt;=3,"small",I992&lt;=6,"Medium",I992&lt;=9,"Large")</f>
        <v>Medium</v>
      </c>
      <c r="K992" s="36">
        <v>45470</v>
      </c>
      <c r="L992" s="36">
        <v>45477</v>
      </c>
      <c r="M992" t="s">
        <v>603</v>
      </c>
      <c r="N992" t="s">
        <v>608</v>
      </c>
      <c r="O992" s="37" t="str">
        <f t="shared" si="78"/>
        <v>Cash Payment</v>
      </c>
      <c r="P992">
        <v>1166.92</v>
      </c>
      <c r="Q992" s="37" t="str">
        <f>IF(P992&gt;500,"High","low")</f>
        <v>High</v>
      </c>
      <c r="R992" s="37" t="str">
        <f t="shared" si="79"/>
        <v>Excellent</v>
      </c>
      <c r="S992" t="s">
        <v>615</v>
      </c>
    </row>
    <row r="993" spans="1:19" x14ac:dyDescent="0.2">
      <c r="A993" t="s">
        <v>1604</v>
      </c>
      <c r="B993" t="s">
        <v>67</v>
      </c>
      <c r="C993" t="s">
        <v>614</v>
      </c>
      <c r="D993">
        <v>4499.22</v>
      </c>
      <c r="E993" s="37" t="str">
        <f t="shared" si="75"/>
        <v xml:space="preserve"> </v>
      </c>
      <c r="F993">
        <v>0.1</v>
      </c>
      <c r="G993" s="37" t="str">
        <f t="shared" si="76"/>
        <v>Normal Discount</v>
      </c>
      <c r="H993" s="37" t="str">
        <f t="shared" si="77"/>
        <v>Low</v>
      </c>
      <c r="I993">
        <v>2</v>
      </c>
      <c r="J993" t="str" cm="1">
        <f t="array" ref="J993">_xlfn.IFS(I993&lt;=3,"small",I993&lt;=6,"Medium",I993&lt;=9,"Large")</f>
        <v>small</v>
      </c>
      <c r="K993" s="36">
        <v>45422</v>
      </c>
      <c r="L993" s="36">
        <v>45424</v>
      </c>
      <c r="M993" t="s">
        <v>598</v>
      </c>
      <c r="N993" t="s">
        <v>604</v>
      </c>
      <c r="O993" s="37" t="str">
        <f t="shared" si="78"/>
        <v>Digital Payment</v>
      </c>
      <c r="P993">
        <v>514.96</v>
      </c>
      <c r="Q993" s="37" t="str">
        <f>IF(P993&gt;500,"High","low")</f>
        <v>High</v>
      </c>
      <c r="R993" s="37" t="str">
        <f t="shared" si="79"/>
        <v>Good</v>
      </c>
      <c r="S993" t="s">
        <v>600</v>
      </c>
    </row>
    <row r="994" spans="1:19" x14ac:dyDescent="0.2">
      <c r="A994" t="s">
        <v>1605</v>
      </c>
      <c r="B994" t="s">
        <v>83</v>
      </c>
      <c r="C994" t="s">
        <v>602</v>
      </c>
      <c r="D994">
        <v>624.89</v>
      </c>
      <c r="E994" s="37" t="str">
        <f t="shared" si="75"/>
        <v xml:space="preserve"> </v>
      </c>
      <c r="F994">
        <v>0.21</v>
      </c>
      <c r="G994" s="37" t="str">
        <f t="shared" si="76"/>
        <v>Normal Discount</v>
      </c>
      <c r="H994" s="37" t="str">
        <f t="shared" si="77"/>
        <v>Medium</v>
      </c>
      <c r="I994">
        <v>9</v>
      </c>
      <c r="J994" t="str" cm="1">
        <f t="array" ref="J994">_xlfn.IFS(I994&lt;=3,"small",I994&lt;=6,"Medium",I994&lt;=9,"Large")</f>
        <v>Large</v>
      </c>
      <c r="K994" s="36">
        <v>45067</v>
      </c>
      <c r="L994" s="36">
        <v>45072</v>
      </c>
      <c r="M994" t="s">
        <v>612</v>
      </c>
      <c r="N994" t="s">
        <v>599</v>
      </c>
      <c r="O994" s="37" t="str">
        <f t="shared" si="78"/>
        <v>Digital Payment</v>
      </c>
      <c r="P994">
        <v>115.63</v>
      </c>
      <c r="Q994" s="37" t="str">
        <f>IF(P994&gt;500,"High","low")</f>
        <v>low</v>
      </c>
      <c r="R994" s="37" t="str">
        <f t="shared" si="79"/>
        <v>AVERAGE</v>
      </c>
      <c r="S994" t="s">
        <v>620</v>
      </c>
    </row>
    <row r="995" spans="1:19" x14ac:dyDescent="0.2">
      <c r="A995" t="s">
        <v>1606</v>
      </c>
      <c r="B995" t="s">
        <v>67</v>
      </c>
      <c r="C995" t="s">
        <v>597</v>
      </c>
      <c r="D995">
        <v>1851.49</v>
      </c>
      <c r="E995" s="37" t="str">
        <f t="shared" si="75"/>
        <v xml:space="preserve"> </v>
      </c>
      <c r="F995">
        <v>0.09</v>
      </c>
      <c r="G995" s="37" t="str">
        <f t="shared" si="76"/>
        <v>Normal Discount</v>
      </c>
      <c r="H995" s="37" t="str">
        <f t="shared" si="77"/>
        <v>Low</v>
      </c>
      <c r="I995">
        <v>2</v>
      </c>
      <c r="J995" t="str" cm="1">
        <f t="array" ref="J995">_xlfn.IFS(I995&lt;=3,"small",I995&lt;=6,"Medium",I995&lt;=9,"Large")</f>
        <v>small</v>
      </c>
      <c r="K995" s="36">
        <v>45107</v>
      </c>
      <c r="L995" s="36">
        <v>45114</v>
      </c>
      <c r="M995" t="s">
        <v>603</v>
      </c>
      <c r="N995" t="s">
        <v>599</v>
      </c>
      <c r="O995" s="37" t="str">
        <f t="shared" si="78"/>
        <v>Digital Payment</v>
      </c>
      <c r="P995">
        <v>209.15</v>
      </c>
      <c r="Q995" s="37" t="str">
        <f>IF(P995&gt;500,"High","low")</f>
        <v>low</v>
      </c>
      <c r="R995" s="37" t="str">
        <f t="shared" si="79"/>
        <v>AVERAGE</v>
      </c>
      <c r="S995" t="s">
        <v>609</v>
      </c>
    </row>
    <row r="996" spans="1:19" x14ac:dyDescent="0.2">
      <c r="A996" t="s">
        <v>1607</v>
      </c>
      <c r="B996" t="s">
        <v>67</v>
      </c>
      <c r="C996" t="s">
        <v>614</v>
      </c>
      <c r="D996">
        <v>4193.43</v>
      </c>
      <c r="E996" s="37" t="str">
        <f t="shared" si="75"/>
        <v xml:space="preserve"> </v>
      </c>
      <c r="F996">
        <v>0.09</v>
      </c>
      <c r="G996" s="37" t="str">
        <f t="shared" si="76"/>
        <v>Normal Discount</v>
      </c>
      <c r="H996" s="37" t="str">
        <f t="shared" si="77"/>
        <v>Low</v>
      </c>
      <c r="I996">
        <v>4</v>
      </c>
      <c r="J996" t="str" cm="1">
        <f t="array" ref="J996">_xlfn.IFS(I996&lt;=3,"small",I996&lt;=6,"Medium",I996&lt;=9,"Large")</f>
        <v>Medium</v>
      </c>
      <c r="K996" s="36">
        <v>45024</v>
      </c>
      <c r="L996" s="36">
        <v>45025</v>
      </c>
      <c r="M996" t="s">
        <v>598</v>
      </c>
      <c r="N996" t="s">
        <v>599</v>
      </c>
      <c r="O996" s="37" t="str">
        <f t="shared" si="78"/>
        <v>Digital Payment</v>
      </c>
      <c r="P996">
        <v>696.57</v>
      </c>
      <c r="Q996" s="37" t="str">
        <f>IF(P996&gt;500,"High","low")</f>
        <v>High</v>
      </c>
      <c r="R996" s="37" t="str">
        <f t="shared" si="79"/>
        <v>Good</v>
      </c>
      <c r="S996" t="s">
        <v>615</v>
      </c>
    </row>
    <row r="997" spans="1:19" x14ac:dyDescent="0.2">
      <c r="A997" t="s">
        <v>1608</v>
      </c>
      <c r="B997" t="s">
        <v>75</v>
      </c>
      <c r="C997" t="s">
        <v>617</v>
      </c>
      <c r="D997">
        <v>729.85</v>
      </c>
      <c r="E997" s="37" t="str">
        <f t="shared" si="75"/>
        <v xml:space="preserve"> </v>
      </c>
      <c r="F997">
        <v>0.05</v>
      </c>
      <c r="G997" s="37" t="str">
        <f t="shared" si="76"/>
        <v>Normal Discount</v>
      </c>
      <c r="H997" s="37" t="str">
        <f t="shared" si="77"/>
        <v>Low</v>
      </c>
      <c r="I997">
        <v>8</v>
      </c>
      <c r="J997" t="str" cm="1">
        <f t="array" ref="J997">_xlfn.IFS(I997&lt;=3,"small",I997&lt;=6,"Medium",I997&lt;=9,"Large")</f>
        <v>Large</v>
      </c>
      <c r="K997" s="36">
        <v>45236</v>
      </c>
      <c r="L997" s="36">
        <v>45240</v>
      </c>
      <c r="M997" t="s">
        <v>612</v>
      </c>
      <c r="N997" t="s">
        <v>604</v>
      </c>
      <c r="O997" s="37" t="str">
        <f t="shared" si="78"/>
        <v>Digital Payment</v>
      </c>
      <c r="P997">
        <v>206.99</v>
      </c>
      <c r="Q997" s="37" t="str">
        <f>IF(P997&gt;500,"High","low")</f>
        <v>low</v>
      </c>
      <c r="R997" s="37" t="str">
        <f t="shared" si="79"/>
        <v>AVERAGE</v>
      </c>
      <c r="S997" t="s">
        <v>609</v>
      </c>
    </row>
    <row r="998" spans="1:19" x14ac:dyDescent="0.2">
      <c r="A998" t="s">
        <v>1609</v>
      </c>
      <c r="B998" t="s">
        <v>75</v>
      </c>
      <c r="C998" t="s">
        <v>617</v>
      </c>
      <c r="D998">
        <v>1410.4</v>
      </c>
      <c r="E998" s="37" t="str">
        <f t="shared" si="75"/>
        <v xml:space="preserve"> </v>
      </c>
      <c r="F998">
        <v>0.3</v>
      </c>
      <c r="G998" s="37" t="str">
        <f t="shared" si="76"/>
        <v>Normal Discount</v>
      </c>
      <c r="H998" s="37" t="str">
        <f t="shared" si="77"/>
        <v>Medium</v>
      </c>
      <c r="I998">
        <v>7</v>
      </c>
      <c r="J998" t="str" cm="1">
        <f t="array" ref="J998">_xlfn.IFS(I998&lt;=3,"small",I998&lt;=6,"Medium",I998&lt;=9,"Large")</f>
        <v>Large</v>
      </c>
      <c r="K998" s="36">
        <v>45306</v>
      </c>
      <c r="L998" s="36">
        <v>45309</v>
      </c>
      <c r="M998" t="s">
        <v>603</v>
      </c>
      <c r="N998" t="s">
        <v>604</v>
      </c>
      <c r="O998" s="37" t="str">
        <f t="shared" si="78"/>
        <v>Digital Payment</v>
      </c>
      <c r="P998">
        <v>381.7</v>
      </c>
      <c r="Q998" s="37" t="str">
        <f>IF(P998&gt;500,"High","low")</f>
        <v>low</v>
      </c>
      <c r="R998" s="37" t="str">
        <f t="shared" si="79"/>
        <v>AVERAGE</v>
      </c>
      <c r="S998" t="s">
        <v>605</v>
      </c>
    </row>
    <row r="999" spans="1:19" x14ac:dyDescent="0.2">
      <c r="A999" t="s">
        <v>1610</v>
      </c>
      <c r="B999" t="s">
        <v>67</v>
      </c>
      <c r="C999" t="s">
        <v>614</v>
      </c>
      <c r="D999">
        <v>3436.88</v>
      </c>
      <c r="E999" s="37" t="str">
        <f t="shared" si="75"/>
        <v xml:space="preserve"> </v>
      </c>
      <c r="F999">
        <v>0.37</v>
      </c>
      <c r="G999" s="37" t="str">
        <f t="shared" si="76"/>
        <v>Heavy Discount</v>
      </c>
      <c r="H999" s="37" t="str">
        <f t="shared" si="77"/>
        <v>Medium</v>
      </c>
      <c r="I999">
        <v>4</v>
      </c>
      <c r="J999" t="str" cm="1">
        <f t="array" ref="J999">_xlfn.IFS(I999&lt;=3,"small",I999&lt;=6,"Medium",I999&lt;=9,"Large")</f>
        <v>Medium</v>
      </c>
      <c r="K999" s="36">
        <v>45298</v>
      </c>
      <c r="L999" s="36">
        <v>45299</v>
      </c>
      <c r="M999" t="s">
        <v>598</v>
      </c>
      <c r="N999" t="s">
        <v>599</v>
      </c>
      <c r="O999" s="37" t="str">
        <f t="shared" si="78"/>
        <v>Digital Payment</v>
      </c>
      <c r="P999">
        <v>568.1</v>
      </c>
      <c r="Q999" s="37" t="str">
        <f>IF(P999&gt;500,"High","low")</f>
        <v>High</v>
      </c>
      <c r="R999" s="37" t="str">
        <f t="shared" si="79"/>
        <v>Good</v>
      </c>
      <c r="S999" t="s">
        <v>620</v>
      </c>
    </row>
    <row r="1000" spans="1:19" x14ac:dyDescent="0.2">
      <c r="A1000" t="s">
        <v>1611</v>
      </c>
      <c r="B1000" t="s">
        <v>67</v>
      </c>
      <c r="C1000" t="s">
        <v>597</v>
      </c>
      <c r="D1000">
        <v>4911.3100000000004</v>
      </c>
      <c r="E1000" s="37" t="str">
        <f t="shared" si="75"/>
        <v xml:space="preserve"> </v>
      </c>
      <c r="F1000">
        <v>0.03</v>
      </c>
      <c r="G1000" s="37" t="str">
        <f t="shared" si="76"/>
        <v>Normal Discount</v>
      </c>
      <c r="H1000" s="37" t="str">
        <f t="shared" si="77"/>
        <v>Low</v>
      </c>
      <c r="I1000">
        <v>8</v>
      </c>
      <c r="J1000" t="str" cm="1">
        <f t="array" ref="J1000">_xlfn.IFS(I1000&lt;=3,"small",I1000&lt;=6,"Medium",I1000&lt;=9,"Large")</f>
        <v>Large</v>
      </c>
      <c r="K1000" s="36">
        <v>45339</v>
      </c>
      <c r="L1000" s="36">
        <v>45346</v>
      </c>
      <c r="M1000" t="s">
        <v>612</v>
      </c>
      <c r="N1000" t="s">
        <v>604</v>
      </c>
      <c r="O1000" s="37" t="str">
        <f t="shared" si="78"/>
        <v>Digital Payment</v>
      </c>
      <c r="P1000">
        <v>695.78</v>
      </c>
      <c r="Q1000" s="37" t="str">
        <f>IF(P1000&gt;500,"High","low")</f>
        <v>High</v>
      </c>
      <c r="R1000" s="37" t="str">
        <f t="shared" si="79"/>
        <v>Good</v>
      </c>
      <c r="S1000" t="s">
        <v>615</v>
      </c>
    </row>
    <row r="1001" spans="1:19" x14ac:dyDescent="0.2">
      <c r="A1001" t="s">
        <v>1612</v>
      </c>
      <c r="B1001" t="s">
        <v>90</v>
      </c>
      <c r="C1001" t="s">
        <v>617</v>
      </c>
      <c r="D1001">
        <v>4005.98</v>
      </c>
      <c r="E1001" s="37" t="str">
        <f t="shared" si="75"/>
        <v xml:space="preserve"> </v>
      </c>
      <c r="F1001">
        <v>0.14000000000000001</v>
      </c>
      <c r="G1001" s="37" t="str">
        <f t="shared" si="76"/>
        <v>Normal Discount</v>
      </c>
      <c r="H1001" s="37" t="str">
        <f t="shared" si="77"/>
        <v>Low</v>
      </c>
      <c r="I1001">
        <v>6</v>
      </c>
      <c r="J1001" t="str" cm="1">
        <f t="array" ref="J1001">_xlfn.IFS(I1001&lt;=3,"small",I1001&lt;=6,"Medium",I1001&lt;=9,"Large")</f>
        <v>Medium</v>
      </c>
      <c r="K1001" s="36">
        <v>45617</v>
      </c>
      <c r="L1001" s="36">
        <v>45624</v>
      </c>
      <c r="M1001" t="s">
        <v>603</v>
      </c>
      <c r="N1001" t="s">
        <v>604</v>
      </c>
      <c r="O1001" s="37" t="str">
        <f t="shared" si="78"/>
        <v>Digital Payment</v>
      </c>
      <c r="P1001">
        <v>745.99</v>
      </c>
      <c r="Q1001" s="37" t="str">
        <f>IF(P1001&gt;500,"High","low")</f>
        <v>High</v>
      </c>
      <c r="R1001" s="37" t="str">
        <f t="shared" si="79"/>
        <v>Good</v>
      </c>
      <c r="S1001" t="s">
        <v>628</v>
      </c>
    </row>
    <row r="1002" spans="1:19" x14ac:dyDescent="0.2">
      <c r="A1002" t="s">
        <v>1613</v>
      </c>
      <c r="B1002" t="s">
        <v>83</v>
      </c>
      <c r="C1002" t="s">
        <v>617</v>
      </c>
      <c r="D1002">
        <v>3908.86</v>
      </c>
      <c r="E1002" s="37" t="str">
        <f t="shared" si="75"/>
        <v xml:space="preserve"> </v>
      </c>
      <c r="F1002">
        <v>0.33</v>
      </c>
      <c r="G1002" s="37" t="str">
        <f t="shared" si="76"/>
        <v>Heavy Discount</v>
      </c>
      <c r="H1002" s="37" t="str">
        <f t="shared" si="77"/>
        <v>Medium</v>
      </c>
      <c r="I1002">
        <v>8</v>
      </c>
      <c r="J1002" t="str" cm="1">
        <f t="array" ref="J1002">_xlfn.IFS(I1002&lt;=3,"small",I1002&lt;=6,"Medium",I1002&lt;=9,"Large")</f>
        <v>Large</v>
      </c>
      <c r="K1002" s="36">
        <v>45386</v>
      </c>
      <c r="L1002" s="36">
        <v>45391</v>
      </c>
      <c r="M1002" t="s">
        <v>603</v>
      </c>
      <c r="N1002" t="s">
        <v>599</v>
      </c>
      <c r="O1002" s="37" t="str">
        <f t="shared" si="78"/>
        <v>Digital Payment</v>
      </c>
      <c r="P1002">
        <v>912.04</v>
      </c>
      <c r="Q1002" s="37" t="str">
        <f>IF(P1002&gt;500,"High","low")</f>
        <v>High</v>
      </c>
      <c r="R1002" s="37" t="str">
        <f t="shared" si="79"/>
        <v>Good</v>
      </c>
      <c r="S1002" t="s">
        <v>628</v>
      </c>
    </row>
    <row r="1003" spans="1:19" x14ac:dyDescent="0.2">
      <c r="A1003" t="s">
        <v>1614</v>
      </c>
      <c r="B1003" t="s">
        <v>90</v>
      </c>
      <c r="C1003" t="s">
        <v>597</v>
      </c>
      <c r="D1003">
        <v>1779.05</v>
      </c>
      <c r="E1003" s="37" t="str">
        <f t="shared" si="75"/>
        <v xml:space="preserve"> </v>
      </c>
      <c r="F1003">
        <v>0.2</v>
      </c>
      <c r="G1003" s="37" t="str">
        <f t="shared" si="76"/>
        <v>Normal Discount</v>
      </c>
      <c r="H1003" s="37" t="str">
        <f t="shared" si="77"/>
        <v>Medium</v>
      </c>
      <c r="I1003">
        <v>4</v>
      </c>
      <c r="J1003" t="str" cm="1">
        <f t="array" ref="J1003">_xlfn.IFS(I1003&lt;=3,"small",I1003&lt;=6,"Medium",I1003&lt;=9,"Large")</f>
        <v>Medium</v>
      </c>
      <c r="K1003" s="36">
        <v>45103</v>
      </c>
      <c r="L1003" s="36">
        <v>45108</v>
      </c>
      <c r="M1003" t="s">
        <v>612</v>
      </c>
      <c r="N1003" t="s">
        <v>599</v>
      </c>
      <c r="O1003" s="37" t="str">
        <f t="shared" si="78"/>
        <v>Digital Payment</v>
      </c>
      <c r="P1003">
        <v>140.97999999999999</v>
      </c>
      <c r="Q1003" s="37" t="str">
        <f>IF(P1003&gt;500,"High","low")</f>
        <v>low</v>
      </c>
      <c r="R1003" s="37" t="str">
        <f t="shared" si="79"/>
        <v>AVERAGE</v>
      </c>
      <c r="S1003" t="s">
        <v>600</v>
      </c>
    </row>
    <row r="1004" spans="1:19" x14ac:dyDescent="0.2">
      <c r="A1004" t="s">
        <v>1615</v>
      </c>
      <c r="B1004" t="s">
        <v>75</v>
      </c>
      <c r="C1004" t="s">
        <v>597</v>
      </c>
      <c r="D1004">
        <v>3340.58</v>
      </c>
      <c r="E1004" s="37" t="str">
        <f t="shared" si="75"/>
        <v xml:space="preserve"> </v>
      </c>
      <c r="F1004">
        <v>0.35</v>
      </c>
      <c r="G1004" s="37" t="str">
        <f t="shared" si="76"/>
        <v>Heavy Discount</v>
      </c>
      <c r="H1004" s="37" t="str">
        <f t="shared" si="77"/>
        <v>Medium</v>
      </c>
      <c r="I1004">
        <v>5</v>
      </c>
      <c r="J1004" t="str" cm="1">
        <f t="array" ref="J1004">_xlfn.IFS(I1004&lt;=3,"small",I1004&lt;=6,"Medium",I1004&lt;=9,"Large")</f>
        <v>Medium</v>
      </c>
      <c r="K1004" s="36">
        <v>45396</v>
      </c>
      <c r="L1004" s="36">
        <v>45400</v>
      </c>
      <c r="M1004" t="s">
        <v>603</v>
      </c>
      <c r="N1004" t="s">
        <v>604</v>
      </c>
      <c r="O1004" s="37" t="str">
        <f t="shared" si="78"/>
        <v>Digital Payment</v>
      </c>
      <c r="P1004">
        <v>356.36</v>
      </c>
      <c r="Q1004" s="37" t="str">
        <f>IF(P1004&gt;500,"High","low")</f>
        <v>low</v>
      </c>
      <c r="R1004" s="37" t="str">
        <f t="shared" si="79"/>
        <v>AVERAGE</v>
      </c>
      <c r="S1004" t="s">
        <v>609</v>
      </c>
    </row>
    <row r="1005" spans="1:19" x14ac:dyDescent="0.2">
      <c r="A1005" t="s">
        <v>1616</v>
      </c>
      <c r="B1005" t="s">
        <v>75</v>
      </c>
      <c r="C1005" t="s">
        <v>614</v>
      </c>
      <c r="D1005">
        <v>654.13</v>
      </c>
      <c r="E1005" s="37" t="str">
        <f t="shared" si="75"/>
        <v xml:space="preserve"> </v>
      </c>
      <c r="F1005">
        <v>0.38</v>
      </c>
      <c r="G1005" s="37" t="str">
        <f t="shared" si="76"/>
        <v>Heavy Discount</v>
      </c>
      <c r="H1005" s="37" t="str">
        <f t="shared" si="77"/>
        <v>Medium</v>
      </c>
      <c r="I1005">
        <v>4</v>
      </c>
      <c r="J1005" t="str" cm="1">
        <f t="array" ref="J1005">_xlfn.IFS(I1005&lt;=3,"small",I1005&lt;=6,"Medium",I1005&lt;=9,"Large")</f>
        <v>Medium</v>
      </c>
      <c r="K1005" s="36">
        <v>45656</v>
      </c>
      <c r="L1005" s="36">
        <v>45658</v>
      </c>
      <c r="M1005" t="s">
        <v>598</v>
      </c>
      <c r="N1005" t="s">
        <v>608</v>
      </c>
      <c r="O1005" s="37" t="str">
        <f t="shared" si="78"/>
        <v>Cash Payment</v>
      </c>
      <c r="P1005">
        <v>52.37</v>
      </c>
      <c r="Q1005" s="37" t="str">
        <f>IF(P1005&gt;500,"High","low")</f>
        <v>low</v>
      </c>
      <c r="R1005" s="37" t="str">
        <f t="shared" si="79"/>
        <v>AVERAGE</v>
      </c>
      <c r="S1005" t="s">
        <v>600</v>
      </c>
    </row>
    <row r="1006" spans="1:19" x14ac:dyDescent="0.2">
      <c r="A1006" t="s">
        <v>1617</v>
      </c>
      <c r="B1006" t="s">
        <v>75</v>
      </c>
      <c r="C1006" t="s">
        <v>607</v>
      </c>
      <c r="D1006">
        <v>4962.1099999999997</v>
      </c>
      <c r="E1006" s="37" t="str">
        <f t="shared" si="75"/>
        <v xml:space="preserve"> </v>
      </c>
      <c r="F1006">
        <v>0.02</v>
      </c>
      <c r="G1006" s="37" t="str">
        <f t="shared" si="76"/>
        <v>Normal Discount</v>
      </c>
      <c r="H1006" s="37" t="str">
        <f t="shared" si="77"/>
        <v>Low</v>
      </c>
      <c r="I1006">
        <v>7</v>
      </c>
      <c r="J1006" t="str" cm="1">
        <f t="array" ref="J1006">_xlfn.IFS(I1006&lt;=3,"small",I1006&lt;=6,"Medium",I1006&lt;=9,"Large")</f>
        <v>Large</v>
      </c>
      <c r="K1006" s="36">
        <v>45295</v>
      </c>
      <c r="L1006" s="36">
        <v>45298</v>
      </c>
      <c r="M1006" t="s">
        <v>603</v>
      </c>
      <c r="N1006" t="s">
        <v>604</v>
      </c>
      <c r="O1006" s="37" t="str">
        <f t="shared" si="78"/>
        <v>Digital Payment</v>
      </c>
      <c r="P1006">
        <v>271.20999999999998</v>
      </c>
      <c r="Q1006" s="37" t="str">
        <f>IF(P1006&gt;500,"High","low")</f>
        <v>low</v>
      </c>
      <c r="R1006" s="37" t="str">
        <f t="shared" si="79"/>
        <v>AVERAGE</v>
      </c>
      <c r="S1006" t="s">
        <v>615</v>
      </c>
    </row>
    <row r="1007" spans="1:19" x14ac:dyDescent="0.2">
      <c r="A1007" t="s">
        <v>1618</v>
      </c>
      <c r="B1007" t="s">
        <v>75</v>
      </c>
      <c r="C1007" t="s">
        <v>602</v>
      </c>
      <c r="D1007">
        <v>2454.86</v>
      </c>
      <c r="E1007" s="37" t="str">
        <f t="shared" si="75"/>
        <v xml:space="preserve"> </v>
      </c>
      <c r="F1007">
        <v>0.19</v>
      </c>
      <c r="G1007" s="37" t="str">
        <f t="shared" si="76"/>
        <v>Normal Discount</v>
      </c>
      <c r="H1007" s="37" t="str">
        <f t="shared" si="77"/>
        <v>Low</v>
      </c>
      <c r="I1007">
        <v>4</v>
      </c>
      <c r="J1007" t="str" cm="1">
        <f t="array" ref="J1007">_xlfn.IFS(I1007&lt;=3,"small",I1007&lt;=6,"Medium",I1007&lt;=9,"Large")</f>
        <v>Medium</v>
      </c>
      <c r="K1007" s="36">
        <v>45412</v>
      </c>
      <c r="L1007" s="36">
        <v>45415</v>
      </c>
      <c r="M1007" t="s">
        <v>612</v>
      </c>
      <c r="N1007" t="s">
        <v>608</v>
      </c>
      <c r="O1007" s="37" t="str">
        <f t="shared" si="78"/>
        <v>Cash Payment</v>
      </c>
      <c r="P1007">
        <v>603.86</v>
      </c>
      <c r="Q1007" s="37" t="str">
        <f>IF(P1007&gt;500,"High","low")</f>
        <v>High</v>
      </c>
      <c r="R1007" s="37" t="str">
        <f t="shared" si="79"/>
        <v>Good</v>
      </c>
      <c r="S1007" t="s">
        <v>615</v>
      </c>
    </row>
    <row r="1008" spans="1:19" x14ac:dyDescent="0.2">
      <c r="A1008" t="s">
        <v>1619</v>
      </c>
      <c r="B1008" t="s">
        <v>67</v>
      </c>
      <c r="C1008" t="s">
        <v>607</v>
      </c>
      <c r="D1008">
        <v>3230.16</v>
      </c>
      <c r="E1008" s="37" t="str">
        <f t="shared" si="75"/>
        <v xml:space="preserve"> </v>
      </c>
      <c r="F1008">
        <v>0.36</v>
      </c>
      <c r="G1008" s="37" t="str">
        <f t="shared" si="76"/>
        <v>Heavy Discount</v>
      </c>
      <c r="H1008" s="37" t="str">
        <f t="shared" si="77"/>
        <v>Medium</v>
      </c>
      <c r="I1008">
        <v>5</v>
      </c>
      <c r="J1008" t="str" cm="1">
        <f t="array" ref="J1008">_xlfn.IFS(I1008&lt;=3,"small",I1008&lt;=6,"Medium",I1008&lt;=9,"Large")</f>
        <v>Medium</v>
      </c>
      <c r="K1008" s="36">
        <v>45483</v>
      </c>
      <c r="L1008" s="36">
        <v>45486</v>
      </c>
      <c r="M1008" t="s">
        <v>598</v>
      </c>
      <c r="N1008" t="s">
        <v>608</v>
      </c>
      <c r="O1008" s="37" t="str">
        <f t="shared" si="78"/>
        <v>Cash Payment</v>
      </c>
      <c r="P1008">
        <v>464.2</v>
      </c>
      <c r="Q1008" s="37" t="str">
        <f>IF(P1008&gt;500,"High","low")</f>
        <v>low</v>
      </c>
      <c r="R1008" s="37" t="str">
        <f t="shared" si="79"/>
        <v>AVERAGE</v>
      </c>
      <c r="S1008" t="s">
        <v>605</v>
      </c>
    </row>
    <row r="1009" spans="1:19" x14ac:dyDescent="0.2">
      <c r="A1009" t="s">
        <v>1620</v>
      </c>
      <c r="B1009" t="s">
        <v>75</v>
      </c>
      <c r="C1009" t="s">
        <v>607</v>
      </c>
      <c r="D1009">
        <v>4393.24</v>
      </c>
      <c r="E1009" s="37" t="str">
        <f t="shared" si="75"/>
        <v>Excellent Order</v>
      </c>
      <c r="F1009">
        <v>0.19</v>
      </c>
      <c r="G1009" s="37" t="str">
        <f t="shared" si="76"/>
        <v>Normal Discount</v>
      </c>
      <c r="H1009" s="37" t="str">
        <f t="shared" si="77"/>
        <v>Low</v>
      </c>
      <c r="I1009">
        <v>9</v>
      </c>
      <c r="J1009" t="str" cm="1">
        <f t="array" ref="J1009">_xlfn.IFS(I1009&lt;=3,"small",I1009&lt;=6,"Medium",I1009&lt;=9,"Large")</f>
        <v>Large</v>
      </c>
      <c r="K1009" s="36">
        <v>45170</v>
      </c>
      <c r="L1009" s="36">
        <v>45171</v>
      </c>
      <c r="M1009" t="s">
        <v>603</v>
      </c>
      <c r="N1009" t="s">
        <v>599</v>
      </c>
      <c r="O1009" s="37" t="str">
        <f t="shared" si="78"/>
        <v>Digital Payment</v>
      </c>
      <c r="P1009">
        <v>1059.02</v>
      </c>
      <c r="Q1009" s="37" t="str">
        <f>IF(P1009&gt;500,"High","low")</f>
        <v>High</v>
      </c>
      <c r="R1009" s="37" t="str">
        <f t="shared" si="79"/>
        <v>Excellent</v>
      </c>
      <c r="S1009" t="s">
        <v>605</v>
      </c>
    </row>
    <row r="1010" spans="1:19" x14ac:dyDescent="0.2">
      <c r="A1010" t="s">
        <v>1621</v>
      </c>
      <c r="B1010" t="s">
        <v>67</v>
      </c>
      <c r="C1010" t="s">
        <v>617</v>
      </c>
      <c r="D1010">
        <v>104.73</v>
      </c>
      <c r="E1010" s="37" t="str">
        <f t="shared" si="75"/>
        <v xml:space="preserve"> </v>
      </c>
      <c r="F1010">
        <v>0</v>
      </c>
      <c r="G1010" s="37" t="str">
        <f t="shared" si="76"/>
        <v>Normal Discount</v>
      </c>
      <c r="H1010" s="37" t="str">
        <f t="shared" si="77"/>
        <v>Low</v>
      </c>
      <c r="I1010">
        <v>8</v>
      </c>
      <c r="J1010" t="str" cm="1">
        <f t="array" ref="J1010">_xlfn.IFS(I1010&lt;=3,"small",I1010&lt;=6,"Medium",I1010&lt;=9,"Large")</f>
        <v>Large</v>
      </c>
      <c r="K1010" s="36">
        <v>45053</v>
      </c>
      <c r="L1010" s="36">
        <v>45058</v>
      </c>
      <c r="M1010" t="s">
        <v>603</v>
      </c>
      <c r="N1010" t="s">
        <v>604</v>
      </c>
      <c r="O1010" s="37" t="str">
        <f t="shared" si="78"/>
        <v>Digital Payment</v>
      </c>
      <c r="P1010">
        <v>18.23</v>
      </c>
      <c r="Q1010" s="37" t="str">
        <f>IF(P1010&gt;500,"High","low")</f>
        <v>low</v>
      </c>
      <c r="R1010" s="37" t="str">
        <f t="shared" si="79"/>
        <v>AVERAGE</v>
      </c>
      <c r="S1010" t="s">
        <v>605</v>
      </c>
    </row>
    <row r="1011" spans="1:19" x14ac:dyDescent="0.2">
      <c r="A1011" t="s">
        <v>1622</v>
      </c>
      <c r="B1011" t="s">
        <v>67</v>
      </c>
      <c r="C1011" t="s">
        <v>597</v>
      </c>
      <c r="D1011">
        <v>4882.3100000000004</v>
      </c>
      <c r="E1011" s="37" t="str">
        <f t="shared" si="75"/>
        <v>Excellent Order</v>
      </c>
      <c r="F1011">
        <v>0.17</v>
      </c>
      <c r="G1011" s="37" t="str">
        <f t="shared" si="76"/>
        <v>Normal Discount</v>
      </c>
      <c r="H1011" s="37" t="str">
        <f t="shared" si="77"/>
        <v>Low</v>
      </c>
      <c r="I1011">
        <v>2</v>
      </c>
      <c r="J1011" t="str" cm="1">
        <f t="array" ref="J1011">_xlfn.IFS(I1011&lt;=3,"small",I1011&lt;=6,"Medium",I1011&lt;=9,"Large")</f>
        <v>small</v>
      </c>
      <c r="K1011" s="36">
        <v>45584</v>
      </c>
      <c r="L1011" s="36">
        <v>45587</v>
      </c>
      <c r="M1011" t="s">
        <v>598</v>
      </c>
      <c r="N1011" t="s">
        <v>604</v>
      </c>
      <c r="O1011" s="37" t="str">
        <f t="shared" si="78"/>
        <v>Digital Payment</v>
      </c>
      <c r="P1011">
        <v>1080.9100000000001</v>
      </c>
      <c r="Q1011" s="37" t="str">
        <f>IF(P1011&gt;500,"High","low")</f>
        <v>High</v>
      </c>
      <c r="R1011" s="37" t="str">
        <f t="shared" si="79"/>
        <v>Excellent</v>
      </c>
      <c r="S1011" t="s">
        <v>609</v>
      </c>
    </row>
    <row r="1012" spans="1:19" x14ac:dyDescent="0.2">
      <c r="A1012" t="s">
        <v>1623</v>
      </c>
      <c r="B1012" t="s">
        <v>75</v>
      </c>
      <c r="C1012" t="s">
        <v>617</v>
      </c>
      <c r="D1012">
        <v>1859.88</v>
      </c>
      <c r="E1012" s="37" t="str">
        <f t="shared" si="75"/>
        <v xml:space="preserve"> </v>
      </c>
      <c r="F1012">
        <v>0.44</v>
      </c>
      <c r="G1012" s="37" t="str">
        <f t="shared" si="76"/>
        <v>Heavy Discount</v>
      </c>
      <c r="H1012" s="37" t="str">
        <f t="shared" si="77"/>
        <v>High</v>
      </c>
      <c r="I1012">
        <v>7</v>
      </c>
      <c r="J1012" t="str" cm="1">
        <f t="array" ref="J1012">_xlfn.IFS(I1012&lt;=3,"small",I1012&lt;=6,"Medium",I1012&lt;=9,"Large")</f>
        <v>Large</v>
      </c>
      <c r="K1012" s="36">
        <v>45038</v>
      </c>
      <c r="L1012" s="36">
        <v>45044</v>
      </c>
      <c r="M1012" t="s">
        <v>598</v>
      </c>
      <c r="N1012" t="s">
        <v>608</v>
      </c>
      <c r="O1012" s="37" t="str">
        <f t="shared" si="78"/>
        <v>Cash Payment</v>
      </c>
      <c r="P1012">
        <v>324.51</v>
      </c>
      <c r="Q1012" s="37" t="str">
        <f>IF(P1012&gt;500,"High","low")</f>
        <v>low</v>
      </c>
      <c r="R1012" s="37" t="str">
        <f t="shared" si="79"/>
        <v>AVERAGE</v>
      </c>
      <c r="S1012" t="s">
        <v>615</v>
      </c>
    </row>
    <row r="1013" spans="1:19" x14ac:dyDescent="0.2">
      <c r="A1013" t="s">
        <v>1624</v>
      </c>
      <c r="B1013" t="s">
        <v>75</v>
      </c>
      <c r="C1013" t="s">
        <v>602</v>
      </c>
      <c r="D1013">
        <v>1763.99</v>
      </c>
      <c r="E1013" s="37" t="str">
        <f t="shared" si="75"/>
        <v xml:space="preserve"> </v>
      </c>
      <c r="F1013">
        <v>0.48</v>
      </c>
      <c r="G1013" s="37" t="str">
        <f t="shared" si="76"/>
        <v>Heavy Discount</v>
      </c>
      <c r="H1013" s="37" t="str">
        <f t="shared" si="77"/>
        <v>High</v>
      </c>
      <c r="I1013">
        <v>2</v>
      </c>
      <c r="J1013" t="str" cm="1">
        <f t="array" ref="J1013">_xlfn.IFS(I1013&lt;=3,"small",I1013&lt;=6,"Medium",I1013&lt;=9,"Large")</f>
        <v>small</v>
      </c>
      <c r="K1013" s="36">
        <v>45368</v>
      </c>
      <c r="L1013" s="36">
        <v>45375</v>
      </c>
      <c r="M1013" t="s">
        <v>612</v>
      </c>
      <c r="N1013" t="s">
        <v>604</v>
      </c>
      <c r="O1013" s="37" t="str">
        <f t="shared" si="78"/>
        <v>Digital Payment</v>
      </c>
      <c r="P1013">
        <v>303</v>
      </c>
      <c r="Q1013" s="37" t="str">
        <f>IF(P1013&gt;500,"High","low")</f>
        <v>low</v>
      </c>
      <c r="R1013" s="37" t="str">
        <f t="shared" si="79"/>
        <v>AVERAGE</v>
      </c>
      <c r="S1013" t="s">
        <v>609</v>
      </c>
    </row>
    <row r="1014" spans="1:19" x14ac:dyDescent="0.2">
      <c r="A1014" t="s">
        <v>1625</v>
      </c>
      <c r="B1014" t="s">
        <v>83</v>
      </c>
      <c r="C1014" t="s">
        <v>614</v>
      </c>
      <c r="D1014">
        <v>810.81</v>
      </c>
      <c r="E1014" s="37" t="str">
        <f t="shared" si="75"/>
        <v xml:space="preserve"> </v>
      </c>
      <c r="F1014">
        <v>0.28000000000000003</v>
      </c>
      <c r="G1014" s="37" t="str">
        <f t="shared" si="76"/>
        <v>Normal Discount</v>
      </c>
      <c r="H1014" s="37" t="str">
        <f t="shared" si="77"/>
        <v>Medium</v>
      </c>
      <c r="I1014">
        <v>3</v>
      </c>
      <c r="J1014" t="str" cm="1">
        <f t="array" ref="J1014">_xlfn.IFS(I1014&lt;=3,"small",I1014&lt;=6,"Medium",I1014&lt;=9,"Large")</f>
        <v>small</v>
      </c>
      <c r="K1014" s="36">
        <v>45197</v>
      </c>
      <c r="L1014" s="36">
        <v>45200</v>
      </c>
      <c r="M1014" t="s">
        <v>603</v>
      </c>
      <c r="N1014" t="s">
        <v>599</v>
      </c>
      <c r="O1014" s="37" t="str">
        <f t="shared" si="78"/>
        <v>Digital Payment</v>
      </c>
      <c r="P1014">
        <v>220.26</v>
      </c>
      <c r="Q1014" s="37" t="str">
        <f>IF(P1014&gt;500,"High","low")</f>
        <v>low</v>
      </c>
      <c r="R1014" s="37" t="str">
        <f t="shared" si="79"/>
        <v>AVERAGE</v>
      </c>
      <c r="S1014" t="s">
        <v>628</v>
      </c>
    </row>
    <row r="1015" spans="1:19" x14ac:dyDescent="0.2">
      <c r="A1015" t="s">
        <v>1626</v>
      </c>
      <c r="B1015" t="s">
        <v>90</v>
      </c>
      <c r="C1015" t="s">
        <v>602</v>
      </c>
      <c r="D1015">
        <v>4305.1000000000004</v>
      </c>
      <c r="E1015" s="37" t="str">
        <f t="shared" si="75"/>
        <v>Excellent Order</v>
      </c>
      <c r="F1015">
        <v>0.15</v>
      </c>
      <c r="G1015" s="37" t="str">
        <f t="shared" si="76"/>
        <v>Normal Discount</v>
      </c>
      <c r="H1015" s="37" t="str">
        <f t="shared" si="77"/>
        <v>Low</v>
      </c>
      <c r="I1015">
        <v>1</v>
      </c>
      <c r="J1015" t="str" cm="1">
        <f t="array" ref="J1015">_xlfn.IFS(I1015&lt;=3,"small",I1015&lt;=6,"Medium",I1015&lt;=9,"Large")</f>
        <v>small</v>
      </c>
      <c r="K1015" s="36">
        <v>45240</v>
      </c>
      <c r="L1015" s="36">
        <v>45247</v>
      </c>
      <c r="M1015" t="s">
        <v>598</v>
      </c>
      <c r="N1015" t="s">
        <v>604</v>
      </c>
      <c r="O1015" s="37" t="str">
        <f t="shared" si="78"/>
        <v>Digital Payment</v>
      </c>
      <c r="P1015">
        <v>901.96</v>
      </c>
      <c r="Q1015" s="37" t="str">
        <f>IF(P1015&gt;500,"High","low")</f>
        <v>High</v>
      </c>
      <c r="R1015" s="37" t="str">
        <f t="shared" si="79"/>
        <v>Good</v>
      </c>
      <c r="S1015" t="s">
        <v>615</v>
      </c>
    </row>
    <row r="1016" spans="1:19" x14ac:dyDescent="0.2">
      <c r="A1016" t="s">
        <v>1627</v>
      </c>
      <c r="B1016" t="s">
        <v>75</v>
      </c>
      <c r="C1016" t="s">
        <v>617</v>
      </c>
      <c r="D1016">
        <v>4367.1099999999997</v>
      </c>
      <c r="E1016" s="37" t="str">
        <f t="shared" si="75"/>
        <v xml:space="preserve"> </v>
      </c>
      <c r="F1016">
        <v>0.23</v>
      </c>
      <c r="G1016" s="37" t="str">
        <f t="shared" si="76"/>
        <v>Normal Discount</v>
      </c>
      <c r="H1016" s="37" t="str">
        <f t="shared" si="77"/>
        <v>Medium</v>
      </c>
      <c r="I1016">
        <v>2</v>
      </c>
      <c r="J1016" t="str" cm="1">
        <f t="array" ref="J1016">_xlfn.IFS(I1016&lt;=3,"small",I1016&lt;=6,"Medium",I1016&lt;=9,"Large")</f>
        <v>small</v>
      </c>
      <c r="K1016" s="36">
        <v>45589</v>
      </c>
      <c r="L1016" s="36">
        <v>45591</v>
      </c>
      <c r="M1016" t="s">
        <v>603</v>
      </c>
      <c r="N1016" t="s">
        <v>599</v>
      </c>
      <c r="O1016" s="37" t="str">
        <f t="shared" si="78"/>
        <v>Digital Payment</v>
      </c>
      <c r="P1016">
        <v>338.65</v>
      </c>
      <c r="Q1016" s="37" t="str">
        <f>IF(P1016&gt;500,"High","low")</f>
        <v>low</v>
      </c>
      <c r="R1016" s="37" t="str">
        <f t="shared" si="79"/>
        <v>AVERAGE</v>
      </c>
      <c r="S1016" t="s">
        <v>620</v>
      </c>
    </row>
    <row r="1017" spans="1:19" x14ac:dyDescent="0.2">
      <c r="A1017" t="s">
        <v>1628</v>
      </c>
      <c r="B1017" t="s">
        <v>83</v>
      </c>
      <c r="C1017" t="s">
        <v>617</v>
      </c>
      <c r="D1017">
        <v>197.95</v>
      </c>
      <c r="E1017" s="37" t="str">
        <f t="shared" si="75"/>
        <v xml:space="preserve"> </v>
      </c>
      <c r="F1017">
        <v>0.12</v>
      </c>
      <c r="G1017" s="37" t="str">
        <f t="shared" si="76"/>
        <v>Normal Discount</v>
      </c>
      <c r="H1017" s="37" t="str">
        <f t="shared" si="77"/>
        <v>Low</v>
      </c>
      <c r="I1017">
        <v>3</v>
      </c>
      <c r="J1017" t="str" cm="1">
        <f t="array" ref="J1017">_xlfn.IFS(I1017&lt;=3,"small",I1017&lt;=6,"Medium",I1017&lt;=9,"Large")</f>
        <v>small</v>
      </c>
      <c r="K1017" s="36">
        <v>45333</v>
      </c>
      <c r="L1017" s="36">
        <v>45340</v>
      </c>
      <c r="M1017" t="s">
        <v>603</v>
      </c>
      <c r="N1017" t="s">
        <v>604</v>
      </c>
      <c r="O1017" s="37" t="str">
        <f t="shared" si="78"/>
        <v>Digital Payment</v>
      </c>
      <c r="P1017">
        <v>38.020000000000003</v>
      </c>
      <c r="Q1017" s="37" t="str">
        <f>IF(P1017&gt;500,"High","low")</f>
        <v>low</v>
      </c>
      <c r="R1017" s="37" t="str">
        <f t="shared" si="79"/>
        <v>AVERAGE</v>
      </c>
      <c r="S1017" t="s">
        <v>609</v>
      </c>
    </row>
    <row r="1018" spans="1:19" x14ac:dyDescent="0.2">
      <c r="A1018" t="s">
        <v>1629</v>
      </c>
      <c r="B1018" t="s">
        <v>83</v>
      </c>
      <c r="C1018" t="s">
        <v>617</v>
      </c>
      <c r="D1018">
        <v>373.05</v>
      </c>
      <c r="E1018" s="37" t="str">
        <f t="shared" si="75"/>
        <v xml:space="preserve"> </v>
      </c>
      <c r="F1018">
        <v>0.08</v>
      </c>
      <c r="G1018" s="37" t="str">
        <f t="shared" si="76"/>
        <v>Normal Discount</v>
      </c>
      <c r="H1018" s="37" t="str">
        <f t="shared" si="77"/>
        <v>Low</v>
      </c>
      <c r="I1018">
        <v>5</v>
      </c>
      <c r="J1018" t="str" cm="1">
        <f t="array" ref="J1018">_xlfn.IFS(I1018&lt;=3,"small",I1018&lt;=6,"Medium",I1018&lt;=9,"Large")</f>
        <v>Medium</v>
      </c>
      <c r="K1018" s="36">
        <v>45163</v>
      </c>
      <c r="L1018" s="36">
        <v>45164</v>
      </c>
      <c r="M1018" t="s">
        <v>603</v>
      </c>
      <c r="N1018" t="s">
        <v>599</v>
      </c>
      <c r="O1018" s="37" t="str">
        <f t="shared" si="78"/>
        <v>Digital Payment</v>
      </c>
      <c r="P1018">
        <v>31.72</v>
      </c>
      <c r="Q1018" s="37" t="str">
        <f>IF(P1018&gt;500,"High","low")</f>
        <v>low</v>
      </c>
      <c r="R1018" s="37" t="str">
        <f t="shared" si="79"/>
        <v>AVERAGE</v>
      </c>
      <c r="S1018" t="s">
        <v>609</v>
      </c>
    </row>
    <row r="1019" spans="1:19" x14ac:dyDescent="0.2">
      <c r="A1019" t="s">
        <v>1630</v>
      </c>
      <c r="B1019" t="s">
        <v>90</v>
      </c>
      <c r="C1019" t="s">
        <v>617</v>
      </c>
      <c r="D1019">
        <v>4599.87</v>
      </c>
      <c r="E1019" s="37" t="str">
        <f t="shared" si="75"/>
        <v>Excellent Order</v>
      </c>
      <c r="F1019">
        <v>0.25</v>
      </c>
      <c r="G1019" s="37" t="str">
        <f t="shared" si="76"/>
        <v>Normal Discount</v>
      </c>
      <c r="H1019" s="37" t="str">
        <f t="shared" si="77"/>
        <v>Medium</v>
      </c>
      <c r="I1019">
        <v>6</v>
      </c>
      <c r="J1019" t="str" cm="1">
        <f t="array" ref="J1019">_xlfn.IFS(I1019&lt;=3,"small",I1019&lt;=6,"Medium",I1019&lt;=9,"Large")</f>
        <v>Medium</v>
      </c>
      <c r="K1019" s="36">
        <v>45088</v>
      </c>
      <c r="L1019" s="36">
        <v>45094</v>
      </c>
      <c r="M1019" t="s">
        <v>612</v>
      </c>
      <c r="N1019" t="s">
        <v>608</v>
      </c>
      <c r="O1019" s="37" t="str">
        <f t="shared" si="78"/>
        <v>Cash Payment</v>
      </c>
      <c r="P1019">
        <v>898.76</v>
      </c>
      <c r="Q1019" s="37" t="str">
        <f>IF(P1019&gt;500,"High","low")</f>
        <v>High</v>
      </c>
      <c r="R1019" s="37" t="str">
        <f t="shared" si="79"/>
        <v>Good</v>
      </c>
      <c r="S1019" t="s">
        <v>615</v>
      </c>
    </row>
    <row r="1020" spans="1:19" x14ac:dyDescent="0.2">
      <c r="A1020" t="s">
        <v>1631</v>
      </c>
      <c r="B1020" t="s">
        <v>67</v>
      </c>
      <c r="C1020" t="s">
        <v>607</v>
      </c>
      <c r="D1020">
        <v>702.05</v>
      </c>
      <c r="E1020" s="37" t="str">
        <f t="shared" si="75"/>
        <v xml:space="preserve"> </v>
      </c>
      <c r="F1020">
        <v>0.37</v>
      </c>
      <c r="G1020" s="37" t="str">
        <f t="shared" si="76"/>
        <v>Heavy Discount</v>
      </c>
      <c r="H1020" s="37" t="str">
        <f t="shared" si="77"/>
        <v>Medium</v>
      </c>
      <c r="I1020">
        <v>7</v>
      </c>
      <c r="J1020" t="str" cm="1">
        <f t="array" ref="J1020">_xlfn.IFS(I1020&lt;=3,"small",I1020&lt;=6,"Medium",I1020&lt;=9,"Large")</f>
        <v>Large</v>
      </c>
      <c r="K1020" s="36">
        <v>45307</v>
      </c>
      <c r="L1020" s="36">
        <v>45313</v>
      </c>
      <c r="M1020" t="s">
        <v>603</v>
      </c>
      <c r="N1020" t="s">
        <v>604</v>
      </c>
      <c r="O1020" s="37" t="str">
        <f t="shared" si="78"/>
        <v>Digital Payment</v>
      </c>
      <c r="P1020">
        <v>151.07</v>
      </c>
      <c r="Q1020" s="37" t="str">
        <f>IF(P1020&gt;500,"High","low")</f>
        <v>low</v>
      </c>
      <c r="R1020" s="37" t="str">
        <f t="shared" si="79"/>
        <v>AVERAGE</v>
      </c>
      <c r="S1020" t="s">
        <v>609</v>
      </c>
    </row>
    <row r="1021" spans="1:19" x14ac:dyDescent="0.2">
      <c r="A1021" t="s">
        <v>1632</v>
      </c>
      <c r="B1021" t="s">
        <v>75</v>
      </c>
      <c r="C1021" t="s">
        <v>614</v>
      </c>
      <c r="D1021">
        <v>3142.54</v>
      </c>
      <c r="E1021" s="37" t="str">
        <f t="shared" si="75"/>
        <v xml:space="preserve"> </v>
      </c>
      <c r="F1021">
        <v>0.11</v>
      </c>
      <c r="G1021" s="37" t="str">
        <f t="shared" si="76"/>
        <v>Normal Discount</v>
      </c>
      <c r="H1021" s="37" t="str">
        <f t="shared" si="77"/>
        <v>Low</v>
      </c>
      <c r="I1021">
        <v>5</v>
      </c>
      <c r="J1021" t="str" cm="1">
        <f t="array" ref="J1021">_xlfn.IFS(I1021&lt;=3,"small",I1021&lt;=6,"Medium",I1021&lt;=9,"Large")</f>
        <v>Medium</v>
      </c>
      <c r="K1021" s="36">
        <v>45387</v>
      </c>
      <c r="L1021" s="36">
        <v>45392</v>
      </c>
      <c r="M1021" t="s">
        <v>612</v>
      </c>
      <c r="N1021" t="s">
        <v>608</v>
      </c>
      <c r="O1021" s="37" t="str">
        <f t="shared" si="78"/>
        <v>Cash Payment</v>
      </c>
      <c r="P1021">
        <v>309.13</v>
      </c>
      <c r="Q1021" s="37" t="str">
        <f>IF(P1021&gt;500,"High","low")</f>
        <v>low</v>
      </c>
      <c r="R1021" s="37" t="str">
        <f t="shared" si="79"/>
        <v>AVERAGE</v>
      </c>
      <c r="S1021" t="s">
        <v>600</v>
      </c>
    </row>
    <row r="1022" spans="1:19" x14ac:dyDescent="0.2">
      <c r="A1022" t="s">
        <v>1633</v>
      </c>
      <c r="B1022" t="s">
        <v>90</v>
      </c>
      <c r="C1022" t="s">
        <v>607</v>
      </c>
      <c r="D1022">
        <v>3136.29</v>
      </c>
      <c r="E1022" s="37" t="str">
        <f t="shared" si="75"/>
        <v xml:space="preserve"> </v>
      </c>
      <c r="F1022">
        <v>0.45</v>
      </c>
      <c r="G1022" s="37" t="str">
        <f t="shared" si="76"/>
        <v>Heavy Discount</v>
      </c>
      <c r="H1022" s="37" t="str">
        <f t="shared" si="77"/>
        <v>High</v>
      </c>
      <c r="I1022">
        <v>5</v>
      </c>
      <c r="J1022" t="str" cm="1">
        <f t="array" ref="J1022">_xlfn.IFS(I1022&lt;=3,"small",I1022&lt;=6,"Medium",I1022&lt;=9,"Large")</f>
        <v>Medium</v>
      </c>
      <c r="K1022" s="36">
        <v>45239</v>
      </c>
      <c r="L1022" s="36">
        <v>45243</v>
      </c>
      <c r="M1022" t="s">
        <v>603</v>
      </c>
      <c r="N1022" t="s">
        <v>608</v>
      </c>
      <c r="O1022" s="37" t="str">
        <f t="shared" si="78"/>
        <v>Cash Payment</v>
      </c>
      <c r="P1022">
        <v>282.61</v>
      </c>
      <c r="Q1022" s="37" t="str">
        <f>IF(P1022&gt;500,"High","low")</f>
        <v>low</v>
      </c>
      <c r="R1022" s="37" t="str">
        <f t="shared" si="79"/>
        <v>AVERAGE</v>
      </c>
      <c r="S1022" t="s">
        <v>620</v>
      </c>
    </row>
    <row r="1023" spans="1:19" x14ac:dyDescent="0.2">
      <c r="A1023" t="s">
        <v>1634</v>
      </c>
      <c r="B1023" t="s">
        <v>75</v>
      </c>
      <c r="C1023" t="s">
        <v>617</v>
      </c>
      <c r="D1023">
        <v>4361.68</v>
      </c>
      <c r="E1023" s="37" t="str">
        <f t="shared" si="75"/>
        <v xml:space="preserve"> </v>
      </c>
      <c r="F1023">
        <v>0.08</v>
      </c>
      <c r="G1023" s="37" t="str">
        <f t="shared" si="76"/>
        <v>Normal Discount</v>
      </c>
      <c r="H1023" s="37" t="str">
        <f t="shared" si="77"/>
        <v>Low</v>
      </c>
      <c r="I1023">
        <v>8</v>
      </c>
      <c r="J1023" t="str" cm="1">
        <f t="array" ref="J1023">_xlfn.IFS(I1023&lt;=3,"small",I1023&lt;=6,"Medium",I1023&lt;=9,"Large")</f>
        <v>Large</v>
      </c>
      <c r="K1023" s="36">
        <v>45207</v>
      </c>
      <c r="L1023" s="36">
        <v>45209</v>
      </c>
      <c r="M1023" t="s">
        <v>612</v>
      </c>
      <c r="N1023" t="s">
        <v>604</v>
      </c>
      <c r="O1023" s="37" t="str">
        <f t="shared" si="78"/>
        <v>Digital Payment</v>
      </c>
      <c r="P1023">
        <v>417.91</v>
      </c>
      <c r="Q1023" s="37" t="str">
        <f>IF(P1023&gt;500,"High","low")</f>
        <v>low</v>
      </c>
      <c r="R1023" s="37" t="str">
        <f t="shared" si="79"/>
        <v>AVERAGE</v>
      </c>
      <c r="S1023" t="s">
        <v>600</v>
      </c>
    </row>
    <row r="1024" spans="1:19" x14ac:dyDescent="0.2">
      <c r="A1024" t="s">
        <v>1635</v>
      </c>
      <c r="B1024" t="s">
        <v>83</v>
      </c>
      <c r="C1024" t="s">
        <v>597</v>
      </c>
      <c r="D1024">
        <v>2906.01</v>
      </c>
      <c r="E1024" s="37" t="str">
        <f t="shared" si="75"/>
        <v xml:space="preserve"> </v>
      </c>
      <c r="F1024">
        <v>0.28000000000000003</v>
      </c>
      <c r="G1024" s="37" t="str">
        <f t="shared" si="76"/>
        <v>Normal Discount</v>
      </c>
      <c r="H1024" s="37" t="str">
        <f t="shared" si="77"/>
        <v>Medium</v>
      </c>
      <c r="I1024">
        <v>1</v>
      </c>
      <c r="J1024" t="str" cm="1">
        <f t="array" ref="J1024">_xlfn.IFS(I1024&lt;=3,"small",I1024&lt;=6,"Medium",I1024&lt;=9,"Large")</f>
        <v>small</v>
      </c>
      <c r="K1024" s="36">
        <v>45482</v>
      </c>
      <c r="L1024" s="36">
        <v>45484</v>
      </c>
      <c r="M1024" t="s">
        <v>612</v>
      </c>
      <c r="N1024" t="s">
        <v>604</v>
      </c>
      <c r="O1024" s="37" t="str">
        <f t="shared" si="78"/>
        <v>Digital Payment</v>
      </c>
      <c r="P1024">
        <v>743.4</v>
      </c>
      <c r="Q1024" s="37" t="str">
        <f>IF(P1024&gt;500,"High","low")</f>
        <v>High</v>
      </c>
      <c r="R1024" s="37" t="str">
        <f t="shared" si="79"/>
        <v>Good</v>
      </c>
      <c r="S1024" t="s">
        <v>620</v>
      </c>
    </row>
    <row r="1025" spans="1:19" x14ac:dyDescent="0.2">
      <c r="A1025" t="s">
        <v>1636</v>
      </c>
      <c r="B1025" t="s">
        <v>83</v>
      </c>
      <c r="C1025" t="s">
        <v>607</v>
      </c>
      <c r="D1025">
        <v>2226.66</v>
      </c>
      <c r="E1025" s="37" t="str">
        <f t="shared" si="75"/>
        <v xml:space="preserve"> </v>
      </c>
      <c r="F1025">
        <v>0.39</v>
      </c>
      <c r="G1025" s="37" t="str">
        <f t="shared" si="76"/>
        <v>Heavy Discount</v>
      </c>
      <c r="H1025" s="37" t="str">
        <f t="shared" si="77"/>
        <v>Medium</v>
      </c>
      <c r="I1025">
        <v>9</v>
      </c>
      <c r="J1025" t="str" cm="1">
        <f t="array" ref="J1025">_xlfn.IFS(I1025&lt;=3,"small",I1025&lt;=6,"Medium",I1025&lt;=9,"Large")</f>
        <v>Large</v>
      </c>
      <c r="K1025" s="36">
        <v>45067</v>
      </c>
      <c r="L1025" s="36">
        <v>45069</v>
      </c>
      <c r="M1025" t="s">
        <v>603</v>
      </c>
      <c r="N1025" t="s">
        <v>608</v>
      </c>
      <c r="O1025" s="37" t="str">
        <f t="shared" si="78"/>
        <v>Cash Payment</v>
      </c>
      <c r="P1025">
        <v>199.35</v>
      </c>
      <c r="Q1025" s="37" t="str">
        <f>IF(P1025&gt;500,"High","low")</f>
        <v>low</v>
      </c>
      <c r="R1025" s="37" t="str">
        <f t="shared" si="79"/>
        <v>AVERAGE</v>
      </c>
      <c r="S1025" t="s">
        <v>628</v>
      </c>
    </row>
    <row r="1026" spans="1:19" x14ac:dyDescent="0.2">
      <c r="A1026" t="s">
        <v>1637</v>
      </c>
      <c r="B1026" t="s">
        <v>67</v>
      </c>
      <c r="C1026" t="s">
        <v>617</v>
      </c>
      <c r="D1026">
        <v>4874.47</v>
      </c>
      <c r="E1026" s="37" t="str">
        <f t="shared" si="75"/>
        <v>Excellent Order</v>
      </c>
      <c r="F1026">
        <v>0.11</v>
      </c>
      <c r="G1026" s="37" t="str">
        <f t="shared" si="76"/>
        <v>Normal Discount</v>
      </c>
      <c r="H1026" s="37" t="str">
        <f t="shared" si="77"/>
        <v>Low</v>
      </c>
      <c r="I1026">
        <v>3</v>
      </c>
      <c r="J1026" t="str" cm="1">
        <f t="array" ref="J1026">_xlfn.IFS(I1026&lt;=3,"small",I1026&lt;=6,"Medium",I1026&lt;=9,"Large")</f>
        <v>small</v>
      </c>
      <c r="K1026" s="36">
        <v>44980</v>
      </c>
      <c r="L1026" s="36">
        <v>44983</v>
      </c>
      <c r="M1026" t="s">
        <v>612</v>
      </c>
      <c r="N1026" t="s">
        <v>599</v>
      </c>
      <c r="O1026" s="37" t="str">
        <f t="shared" si="78"/>
        <v>Digital Payment</v>
      </c>
      <c r="P1026">
        <v>1194.79</v>
      </c>
      <c r="Q1026" s="37" t="str">
        <f>IF(P1026&gt;500,"High","low")</f>
        <v>High</v>
      </c>
      <c r="R1026" s="37" t="str">
        <f t="shared" si="79"/>
        <v>Excellent</v>
      </c>
      <c r="S1026" t="s">
        <v>628</v>
      </c>
    </row>
    <row r="1027" spans="1:19" x14ac:dyDescent="0.2">
      <c r="A1027" t="s">
        <v>1638</v>
      </c>
      <c r="B1027" t="s">
        <v>83</v>
      </c>
      <c r="C1027" t="s">
        <v>617</v>
      </c>
      <c r="D1027">
        <v>1221.2</v>
      </c>
      <c r="E1027" s="37" t="str">
        <f t="shared" ref="E1027:E1090" si="80">IF(AND(D1027&gt;4000,P1027&gt;800),"Excellent Order"," ")</f>
        <v xml:space="preserve"> </v>
      </c>
      <c r="F1027">
        <v>0.15</v>
      </c>
      <c r="G1027" s="37" t="str">
        <f t="shared" ref="G1027:G1090" si="81">IF(F1027&gt;30%,"Heavy Discount","Normal Discount")</f>
        <v>Normal Discount</v>
      </c>
      <c r="H1027" s="37" t="str">
        <f t="shared" ref="H1027:H1090" si="82">IF(F1027&gt;0.4,"High",IF(F1027&gt;=0.2,"Medium","Low"))</f>
        <v>Low</v>
      </c>
      <c r="I1027">
        <v>6</v>
      </c>
      <c r="J1027" t="str" cm="1">
        <f t="array" ref="J1027">_xlfn.IFS(I1027&lt;=3,"small",I1027&lt;=6,"Medium",I1027&lt;=9,"Large")</f>
        <v>Medium</v>
      </c>
      <c r="K1027" s="36">
        <v>45465</v>
      </c>
      <c r="L1027" s="36">
        <v>45469</v>
      </c>
      <c r="M1027" t="s">
        <v>612</v>
      </c>
      <c r="N1027" t="s">
        <v>604</v>
      </c>
      <c r="O1027" s="37" t="str">
        <f t="shared" ref="O1027:O1090" si="83">IF(OR(N1027="Card",N1027="UPI"),"Digital Payment","Cash Payment")</f>
        <v>Digital Payment</v>
      </c>
      <c r="P1027">
        <v>67.17</v>
      </c>
      <c r="Q1027" s="37" t="str">
        <f>IF(P1027&gt;500,"High","low")</f>
        <v>low</v>
      </c>
      <c r="R1027" s="37" t="str">
        <f t="shared" ref="R1027:R1090" si="84">IF(P1027&gt;1000,"Excellent",IF(P1027&gt;=500,"Good","AVERAGE"))</f>
        <v>AVERAGE</v>
      </c>
      <c r="S1027" t="s">
        <v>615</v>
      </c>
    </row>
    <row r="1028" spans="1:19" x14ac:dyDescent="0.2">
      <c r="A1028" t="s">
        <v>1639</v>
      </c>
      <c r="B1028" t="s">
        <v>83</v>
      </c>
      <c r="C1028" t="s">
        <v>614</v>
      </c>
      <c r="D1028">
        <v>1387.32</v>
      </c>
      <c r="E1028" s="37" t="str">
        <f t="shared" si="80"/>
        <v xml:space="preserve"> </v>
      </c>
      <c r="F1028">
        <v>0.03</v>
      </c>
      <c r="G1028" s="37" t="str">
        <f t="shared" si="81"/>
        <v>Normal Discount</v>
      </c>
      <c r="H1028" s="37" t="str">
        <f t="shared" si="82"/>
        <v>Low</v>
      </c>
      <c r="I1028">
        <v>4</v>
      </c>
      <c r="J1028" t="str" cm="1">
        <f t="array" ref="J1028">_xlfn.IFS(I1028&lt;=3,"small",I1028&lt;=6,"Medium",I1028&lt;=9,"Large")</f>
        <v>Medium</v>
      </c>
      <c r="K1028" s="36">
        <v>45446</v>
      </c>
      <c r="L1028" s="36">
        <v>45447</v>
      </c>
      <c r="M1028" t="s">
        <v>612</v>
      </c>
      <c r="N1028" t="s">
        <v>599</v>
      </c>
      <c r="O1028" s="37" t="str">
        <f t="shared" si="83"/>
        <v>Digital Payment</v>
      </c>
      <c r="P1028">
        <v>355.35</v>
      </c>
      <c r="Q1028" s="37" t="str">
        <f>IF(P1028&gt;500,"High","low")</f>
        <v>low</v>
      </c>
      <c r="R1028" s="37" t="str">
        <f t="shared" si="84"/>
        <v>AVERAGE</v>
      </c>
      <c r="S1028" t="s">
        <v>609</v>
      </c>
    </row>
    <row r="1029" spans="1:19" x14ac:dyDescent="0.2">
      <c r="A1029" t="s">
        <v>1640</v>
      </c>
      <c r="B1029" t="s">
        <v>90</v>
      </c>
      <c r="C1029" t="s">
        <v>602</v>
      </c>
      <c r="D1029">
        <v>515.37</v>
      </c>
      <c r="E1029" s="37" t="str">
        <f t="shared" si="80"/>
        <v xml:space="preserve"> </v>
      </c>
      <c r="F1029">
        <v>0.47</v>
      </c>
      <c r="G1029" s="37" t="str">
        <f t="shared" si="81"/>
        <v>Heavy Discount</v>
      </c>
      <c r="H1029" s="37" t="str">
        <f t="shared" si="82"/>
        <v>High</v>
      </c>
      <c r="I1029">
        <v>2</v>
      </c>
      <c r="J1029" t="str" cm="1">
        <f t="array" ref="J1029">_xlfn.IFS(I1029&lt;=3,"small",I1029&lt;=6,"Medium",I1029&lt;=9,"Large")</f>
        <v>small</v>
      </c>
      <c r="K1029" s="36">
        <v>45410</v>
      </c>
      <c r="L1029" s="36">
        <v>45415</v>
      </c>
      <c r="M1029" t="s">
        <v>603</v>
      </c>
      <c r="N1029" t="s">
        <v>599</v>
      </c>
      <c r="O1029" s="37" t="str">
        <f t="shared" si="83"/>
        <v>Digital Payment</v>
      </c>
      <c r="P1029">
        <v>57.11</v>
      </c>
      <c r="Q1029" s="37" t="str">
        <f>IF(P1029&gt;500,"High","low")</f>
        <v>low</v>
      </c>
      <c r="R1029" s="37" t="str">
        <f t="shared" si="84"/>
        <v>AVERAGE</v>
      </c>
      <c r="S1029" t="s">
        <v>620</v>
      </c>
    </row>
    <row r="1030" spans="1:19" x14ac:dyDescent="0.2">
      <c r="A1030" t="s">
        <v>1641</v>
      </c>
      <c r="B1030" t="s">
        <v>75</v>
      </c>
      <c r="C1030" t="s">
        <v>607</v>
      </c>
      <c r="D1030">
        <v>4879.05</v>
      </c>
      <c r="E1030" s="37" t="str">
        <f t="shared" si="80"/>
        <v xml:space="preserve"> </v>
      </c>
      <c r="F1030">
        <v>0.24</v>
      </c>
      <c r="G1030" s="37" t="str">
        <f t="shared" si="81"/>
        <v>Normal Discount</v>
      </c>
      <c r="H1030" s="37" t="str">
        <f t="shared" si="82"/>
        <v>Medium</v>
      </c>
      <c r="I1030">
        <v>6</v>
      </c>
      <c r="J1030" t="str" cm="1">
        <f t="array" ref="J1030">_xlfn.IFS(I1030&lt;=3,"small",I1030&lt;=6,"Medium",I1030&lt;=9,"Large")</f>
        <v>Medium</v>
      </c>
      <c r="K1030" s="36">
        <v>45428</v>
      </c>
      <c r="L1030" s="36">
        <v>45429</v>
      </c>
      <c r="M1030" t="s">
        <v>598</v>
      </c>
      <c r="N1030" t="s">
        <v>599</v>
      </c>
      <c r="O1030" s="37" t="str">
        <f t="shared" si="83"/>
        <v>Digital Payment</v>
      </c>
      <c r="P1030">
        <v>473.75</v>
      </c>
      <c r="Q1030" s="37" t="str">
        <f>IF(P1030&gt;500,"High","low")</f>
        <v>low</v>
      </c>
      <c r="R1030" s="37" t="str">
        <f t="shared" si="84"/>
        <v>AVERAGE</v>
      </c>
      <c r="S1030" t="s">
        <v>628</v>
      </c>
    </row>
    <row r="1031" spans="1:19" x14ac:dyDescent="0.2">
      <c r="A1031" t="s">
        <v>1642</v>
      </c>
      <c r="B1031" t="s">
        <v>75</v>
      </c>
      <c r="C1031" t="s">
        <v>607</v>
      </c>
      <c r="D1031">
        <v>3561.17</v>
      </c>
      <c r="E1031" s="37" t="str">
        <f t="shared" si="80"/>
        <v xml:space="preserve"> </v>
      </c>
      <c r="F1031">
        <v>0.03</v>
      </c>
      <c r="G1031" s="37" t="str">
        <f t="shared" si="81"/>
        <v>Normal Discount</v>
      </c>
      <c r="H1031" s="37" t="str">
        <f t="shared" si="82"/>
        <v>Low</v>
      </c>
      <c r="I1031">
        <v>8</v>
      </c>
      <c r="J1031" t="str" cm="1">
        <f t="array" ref="J1031">_xlfn.IFS(I1031&lt;=3,"small",I1031&lt;=6,"Medium",I1031&lt;=9,"Large")</f>
        <v>Large</v>
      </c>
      <c r="K1031" s="36">
        <v>45097</v>
      </c>
      <c r="L1031" s="36">
        <v>45103</v>
      </c>
      <c r="M1031" t="s">
        <v>598</v>
      </c>
      <c r="N1031" t="s">
        <v>604</v>
      </c>
      <c r="O1031" s="37" t="str">
        <f t="shared" si="83"/>
        <v>Digital Payment</v>
      </c>
      <c r="P1031">
        <v>739.68</v>
      </c>
      <c r="Q1031" s="37" t="str">
        <f>IF(P1031&gt;500,"High","low")</f>
        <v>High</v>
      </c>
      <c r="R1031" s="37" t="str">
        <f t="shared" si="84"/>
        <v>Good</v>
      </c>
      <c r="S1031" t="s">
        <v>615</v>
      </c>
    </row>
    <row r="1032" spans="1:19" x14ac:dyDescent="0.2">
      <c r="A1032" t="s">
        <v>1643</v>
      </c>
      <c r="B1032" t="s">
        <v>90</v>
      </c>
      <c r="C1032" t="s">
        <v>607</v>
      </c>
      <c r="D1032">
        <v>159.28</v>
      </c>
      <c r="E1032" s="37" t="str">
        <f t="shared" si="80"/>
        <v xml:space="preserve"> </v>
      </c>
      <c r="F1032">
        <v>0.42</v>
      </c>
      <c r="G1032" s="37" t="str">
        <f t="shared" si="81"/>
        <v>Heavy Discount</v>
      </c>
      <c r="H1032" s="37" t="str">
        <f t="shared" si="82"/>
        <v>High</v>
      </c>
      <c r="I1032">
        <v>4</v>
      </c>
      <c r="J1032" t="str" cm="1">
        <f t="array" ref="J1032">_xlfn.IFS(I1032&lt;=3,"small",I1032&lt;=6,"Medium",I1032&lt;=9,"Large")</f>
        <v>Medium</v>
      </c>
      <c r="K1032" s="36">
        <v>45302</v>
      </c>
      <c r="L1032" s="36">
        <v>45309</v>
      </c>
      <c r="M1032" t="s">
        <v>603</v>
      </c>
      <c r="N1032" t="s">
        <v>604</v>
      </c>
      <c r="O1032" s="37" t="str">
        <f t="shared" si="83"/>
        <v>Digital Payment</v>
      </c>
      <c r="P1032">
        <v>42.7</v>
      </c>
      <c r="Q1032" s="37" t="str">
        <f>IF(P1032&gt;500,"High","low")</f>
        <v>low</v>
      </c>
      <c r="R1032" s="37" t="str">
        <f t="shared" si="84"/>
        <v>AVERAGE</v>
      </c>
      <c r="S1032" t="s">
        <v>628</v>
      </c>
    </row>
    <row r="1033" spans="1:19" x14ac:dyDescent="0.2">
      <c r="A1033" t="s">
        <v>1644</v>
      </c>
      <c r="B1033" t="s">
        <v>67</v>
      </c>
      <c r="C1033" t="s">
        <v>617</v>
      </c>
      <c r="D1033">
        <v>3551.14</v>
      </c>
      <c r="E1033" s="37" t="str">
        <f t="shared" si="80"/>
        <v xml:space="preserve"> </v>
      </c>
      <c r="F1033">
        <v>0.28000000000000003</v>
      </c>
      <c r="G1033" s="37" t="str">
        <f t="shared" si="81"/>
        <v>Normal Discount</v>
      </c>
      <c r="H1033" s="37" t="str">
        <f t="shared" si="82"/>
        <v>Medium</v>
      </c>
      <c r="I1033">
        <v>8</v>
      </c>
      <c r="J1033" t="str" cm="1">
        <f t="array" ref="J1033">_xlfn.IFS(I1033&lt;=3,"small",I1033&lt;=6,"Medium",I1033&lt;=9,"Large")</f>
        <v>Large</v>
      </c>
      <c r="K1033" s="36">
        <v>45636</v>
      </c>
      <c r="L1033" s="36">
        <v>45643</v>
      </c>
      <c r="M1033" t="s">
        <v>612</v>
      </c>
      <c r="N1033" t="s">
        <v>608</v>
      </c>
      <c r="O1033" s="37" t="str">
        <f t="shared" si="83"/>
        <v>Cash Payment</v>
      </c>
      <c r="P1033">
        <v>813.55</v>
      </c>
      <c r="Q1033" s="37" t="str">
        <f>IF(P1033&gt;500,"High","low")</f>
        <v>High</v>
      </c>
      <c r="R1033" s="37" t="str">
        <f t="shared" si="84"/>
        <v>Good</v>
      </c>
      <c r="S1033" t="s">
        <v>620</v>
      </c>
    </row>
    <row r="1034" spans="1:19" x14ac:dyDescent="0.2">
      <c r="A1034" t="s">
        <v>1645</v>
      </c>
      <c r="B1034" t="s">
        <v>75</v>
      </c>
      <c r="C1034" t="s">
        <v>614</v>
      </c>
      <c r="D1034">
        <v>2080.27</v>
      </c>
      <c r="E1034" s="37" t="str">
        <f t="shared" si="80"/>
        <v xml:space="preserve"> </v>
      </c>
      <c r="F1034">
        <v>0.03</v>
      </c>
      <c r="G1034" s="37" t="str">
        <f t="shared" si="81"/>
        <v>Normal Discount</v>
      </c>
      <c r="H1034" s="37" t="str">
        <f t="shared" si="82"/>
        <v>Low</v>
      </c>
      <c r="I1034">
        <v>7</v>
      </c>
      <c r="J1034" t="str" cm="1">
        <f t="array" ref="J1034">_xlfn.IFS(I1034&lt;=3,"small",I1034&lt;=6,"Medium",I1034&lt;=9,"Large")</f>
        <v>Large</v>
      </c>
      <c r="K1034" s="36">
        <v>45003</v>
      </c>
      <c r="L1034" s="36">
        <v>45005</v>
      </c>
      <c r="M1034" t="s">
        <v>603</v>
      </c>
      <c r="N1034" t="s">
        <v>604</v>
      </c>
      <c r="O1034" s="37" t="str">
        <f t="shared" si="83"/>
        <v>Digital Payment</v>
      </c>
      <c r="P1034">
        <v>395.56</v>
      </c>
      <c r="Q1034" s="37" t="str">
        <f>IF(P1034&gt;500,"High","low")</f>
        <v>low</v>
      </c>
      <c r="R1034" s="37" t="str">
        <f t="shared" si="84"/>
        <v>AVERAGE</v>
      </c>
      <c r="S1034" t="s">
        <v>609</v>
      </c>
    </row>
    <row r="1035" spans="1:19" x14ac:dyDescent="0.2">
      <c r="A1035" t="s">
        <v>1646</v>
      </c>
      <c r="B1035" t="s">
        <v>83</v>
      </c>
      <c r="C1035" t="s">
        <v>617</v>
      </c>
      <c r="D1035">
        <v>4840.99</v>
      </c>
      <c r="E1035" s="37" t="str">
        <f t="shared" si="80"/>
        <v xml:space="preserve"> </v>
      </c>
      <c r="F1035">
        <v>0.23</v>
      </c>
      <c r="G1035" s="37" t="str">
        <f t="shared" si="81"/>
        <v>Normal Discount</v>
      </c>
      <c r="H1035" s="37" t="str">
        <f t="shared" si="82"/>
        <v>Medium</v>
      </c>
      <c r="I1035">
        <v>1</v>
      </c>
      <c r="J1035" t="str" cm="1">
        <f t="array" ref="J1035">_xlfn.IFS(I1035&lt;=3,"small",I1035&lt;=6,"Medium",I1035&lt;=9,"Large")</f>
        <v>small</v>
      </c>
      <c r="K1035" s="36">
        <v>45109</v>
      </c>
      <c r="L1035" s="36">
        <v>45116</v>
      </c>
      <c r="M1035" t="s">
        <v>598</v>
      </c>
      <c r="N1035" t="s">
        <v>604</v>
      </c>
      <c r="O1035" s="37" t="str">
        <f t="shared" si="83"/>
        <v>Digital Payment</v>
      </c>
      <c r="P1035">
        <v>532.08000000000004</v>
      </c>
      <c r="Q1035" s="37" t="str">
        <f>IF(P1035&gt;500,"High","low")</f>
        <v>High</v>
      </c>
      <c r="R1035" s="37" t="str">
        <f t="shared" si="84"/>
        <v>Good</v>
      </c>
      <c r="S1035" t="s">
        <v>620</v>
      </c>
    </row>
    <row r="1036" spans="1:19" x14ac:dyDescent="0.2">
      <c r="A1036" t="s">
        <v>1647</v>
      </c>
      <c r="B1036" t="s">
        <v>75</v>
      </c>
      <c r="C1036" t="s">
        <v>617</v>
      </c>
      <c r="D1036">
        <v>1459.2</v>
      </c>
      <c r="E1036" s="37" t="str">
        <f t="shared" si="80"/>
        <v xml:space="preserve"> </v>
      </c>
      <c r="F1036">
        <v>0.22</v>
      </c>
      <c r="G1036" s="37" t="str">
        <f t="shared" si="81"/>
        <v>Normal Discount</v>
      </c>
      <c r="H1036" s="37" t="str">
        <f t="shared" si="82"/>
        <v>Medium</v>
      </c>
      <c r="I1036">
        <v>5</v>
      </c>
      <c r="J1036" t="str" cm="1">
        <f t="array" ref="J1036">_xlfn.IFS(I1036&lt;=3,"small",I1036&lt;=6,"Medium",I1036&lt;=9,"Large")</f>
        <v>Medium</v>
      </c>
      <c r="K1036" s="36">
        <v>45630</v>
      </c>
      <c r="L1036" s="36">
        <v>45634</v>
      </c>
      <c r="M1036" t="s">
        <v>598</v>
      </c>
      <c r="N1036" t="s">
        <v>604</v>
      </c>
      <c r="O1036" s="37" t="str">
        <f t="shared" si="83"/>
        <v>Digital Payment</v>
      </c>
      <c r="P1036">
        <v>222.05</v>
      </c>
      <c r="Q1036" s="37" t="str">
        <f>IF(P1036&gt;500,"High","low")</f>
        <v>low</v>
      </c>
      <c r="R1036" s="37" t="str">
        <f t="shared" si="84"/>
        <v>AVERAGE</v>
      </c>
      <c r="S1036" t="s">
        <v>600</v>
      </c>
    </row>
    <row r="1037" spans="1:19" x14ac:dyDescent="0.2">
      <c r="A1037" t="s">
        <v>1648</v>
      </c>
      <c r="B1037" t="s">
        <v>83</v>
      </c>
      <c r="C1037" t="s">
        <v>597</v>
      </c>
      <c r="D1037">
        <v>3580.4</v>
      </c>
      <c r="E1037" s="37" t="str">
        <f t="shared" si="80"/>
        <v xml:space="preserve"> </v>
      </c>
      <c r="F1037">
        <v>7.0000000000000007E-2</v>
      </c>
      <c r="G1037" s="37" t="str">
        <f t="shared" si="81"/>
        <v>Normal Discount</v>
      </c>
      <c r="H1037" s="37" t="str">
        <f t="shared" si="82"/>
        <v>Low</v>
      </c>
      <c r="I1037">
        <v>8</v>
      </c>
      <c r="J1037" t="str" cm="1">
        <f t="array" ref="J1037">_xlfn.IFS(I1037&lt;=3,"small",I1037&lt;=6,"Medium",I1037&lt;=9,"Large")</f>
        <v>Large</v>
      </c>
      <c r="K1037" s="36">
        <v>44931</v>
      </c>
      <c r="L1037" s="36">
        <v>44932</v>
      </c>
      <c r="M1037" t="s">
        <v>612</v>
      </c>
      <c r="N1037" t="s">
        <v>608</v>
      </c>
      <c r="O1037" s="37" t="str">
        <f t="shared" si="83"/>
        <v>Cash Payment</v>
      </c>
      <c r="P1037">
        <v>946.73</v>
      </c>
      <c r="Q1037" s="37" t="str">
        <f>IF(P1037&gt;500,"High","low")</f>
        <v>High</v>
      </c>
      <c r="R1037" s="37" t="str">
        <f t="shared" si="84"/>
        <v>Good</v>
      </c>
      <c r="S1037" t="s">
        <v>628</v>
      </c>
    </row>
    <row r="1038" spans="1:19" x14ac:dyDescent="0.2">
      <c r="A1038" t="s">
        <v>1649</v>
      </c>
      <c r="B1038" t="s">
        <v>67</v>
      </c>
      <c r="C1038" t="s">
        <v>614</v>
      </c>
      <c r="D1038">
        <v>3174.43</v>
      </c>
      <c r="E1038" s="37" t="str">
        <f t="shared" si="80"/>
        <v xml:space="preserve"> </v>
      </c>
      <c r="F1038">
        <v>0.21</v>
      </c>
      <c r="G1038" s="37" t="str">
        <f t="shared" si="81"/>
        <v>Normal Discount</v>
      </c>
      <c r="H1038" s="37" t="str">
        <f t="shared" si="82"/>
        <v>Medium</v>
      </c>
      <c r="I1038">
        <v>6</v>
      </c>
      <c r="J1038" t="str" cm="1">
        <f t="array" ref="J1038">_xlfn.IFS(I1038&lt;=3,"small",I1038&lt;=6,"Medium",I1038&lt;=9,"Large")</f>
        <v>Medium</v>
      </c>
      <c r="K1038" s="36">
        <v>45497</v>
      </c>
      <c r="L1038" s="36">
        <v>45498</v>
      </c>
      <c r="M1038" t="s">
        <v>603</v>
      </c>
      <c r="N1038" t="s">
        <v>599</v>
      </c>
      <c r="O1038" s="37" t="str">
        <f t="shared" si="83"/>
        <v>Digital Payment</v>
      </c>
      <c r="P1038">
        <v>792.21</v>
      </c>
      <c r="Q1038" s="37" t="str">
        <f>IF(P1038&gt;500,"High","low")</f>
        <v>High</v>
      </c>
      <c r="R1038" s="37" t="str">
        <f t="shared" si="84"/>
        <v>Good</v>
      </c>
      <c r="S1038" t="s">
        <v>628</v>
      </c>
    </row>
    <row r="1039" spans="1:19" x14ac:dyDescent="0.2">
      <c r="A1039" t="s">
        <v>1650</v>
      </c>
      <c r="B1039" t="s">
        <v>90</v>
      </c>
      <c r="C1039" t="s">
        <v>607</v>
      </c>
      <c r="D1039">
        <v>159.04</v>
      </c>
      <c r="E1039" s="37" t="str">
        <f t="shared" si="80"/>
        <v xml:space="preserve"> </v>
      </c>
      <c r="F1039">
        <v>0.14000000000000001</v>
      </c>
      <c r="G1039" s="37" t="str">
        <f t="shared" si="81"/>
        <v>Normal Discount</v>
      </c>
      <c r="H1039" s="37" t="str">
        <f t="shared" si="82"/>
        <v>Low</v>
      </c>
      <c r="I1039">
        <v>9</v>
      </c>
      <c r="J1039" t="str" cm="1">
        <f t="array" ref="J1039">_xlfn.IFS(I1039&lt;=3,"small",I1039&lt;=6,"Medium",I1039&lt;=9,"Large")</f>
        <v>Large</v>
      </c>
      <c r="K1039" s="36">
        <v>45163</v>
      </c>
      <c r="L1039" s="36">
        <v>45165</v>
      </c>
      <c r="M1039" t="s">
        <v>598</v>
      </c>
      <c r="N1039" t="s">
        <v>604</v>
      </c>
      <c r="O1039" s="37" t="str">
        <f t="shared" si="83"/>
        <v>Digital Payment</v>
      </c>
      <c r="P1039">
        <v>16.77</v>
      </c>
      <c r="Q1039" s="37" t="str">
        <f>IF(P1039&gt;500,"High","low")</f>
        <v>low</v>
      </c>
      <c r="R1039" s="37" t="str">
        <f t="shared" si="84"/>
        <v>AVERAGE</v>
      </c>
      <c r="S1039" t="s">
        <v>620</v>
      </c>
    </row>
    <row r="1040" spans="1:19" x14ac:dyDescent="0.2">
      <c r="A1040" t="s">
        <v>1651</v>
      </c>
      <c r="B1040" t="s">
        <v>75</v>
      </c>
      <c r="C1040" t="s">
        <v>602</v>
      </c>
      <c r="D1040">
        <v>4437.5600000000004</v>
      </c>
      <c r="E1040" s="37" t="str">
        <f t="shared" si="80"/>
        <v>Excellent Order</v>
      </c>
      <c r="F1040">
        <v>0.35</v>
      </c>
      <c r="G1040" s="37" t="str">
        <f t="shared" si="81"/>
        <v>Heavy Discount</v>
      </c>
      <c r="H1040" s="37" t="str">
        <f t="shared" si="82"/>
        <v>Medium</v>
      </c>
      <c r="I1040">
        <v>7</v>
      </c>
      <c r="J1040" t="str" cm="1">
        <f t="array" ref="J1040">_xlfn.IFS(I1040&lt;=3,"small",I1040&lt;=6,"Medium",I1040&lt;=9,"Large")</f>
        <v>Large</v>
      </c>
      <c r="K1040" s="36">
        <v>45593</v>
      </c>
      <c r="L1040" s="36">
        <v>45599</v>
      </c>
      <c r="M1040" t="s">
        <v>603</v>
      </c>
      <c r="N1040" t="s">
        <v>599</v>
      </c>
      <c r="O1040" s="37" t="str">
        <f t="shared" si="83"/>
        <v>Digital Payment</v>
      </c>
      <c r="P1040">
        <v>1194.8</v>
      </c>
      <c r="Q1040" s="37" t="str">
        <f>IF(P1040&gt;500,"High","low")</f>
        <v>High</v>
      </c>
      <c r="R1040" s="37" t="str">
        <f t="shared" si="84"/>
        <v>Excellent</v>
      </c>
      <c r="S1040" t="s">
        <v>620</v>
      </c>
    </row>
    <row r="1041" spans="1:19" x14ac:dyDescent="0.2">
      <c r="A1041" t="s">
        <v>1652</v>
      </c>
      <c r="B1041" t="s">
        <v>90</v>
      </c>
      <c r="C1041" t="s">
        <v>607</v>
      </c>
      <c r="D1041">
        <v>784.1</v>
      </c>
      <c r="E1041" s="37" t="str">
        <f t="shared" si="80"/>
        <v xml:space="preserve"> </v>
      </c>
      <c r="F1041">
        <v>0</v>
      </c>
      <c r="G1041" s="37" t="str">
        <f t="shared" si="81"/>
        <v>Normal Discount</v>
      </c>
      <c r="H1041" s="37" t="str">
        <f t="shared" si="82"/>
        <v>Low</v>
      </c>
      <c r="I1041">
        <v>2</v>
      </c>
      <c r="J1041" t="str" cm="1">
        <f t="array" ref="J1041">_xlfn.IFS(I1041&lt;=3,"small",I1041&lt;=6,"Medium",I1041&lt;=9,"Large")</f>
        <v>small</v>
      </c>
      <c r="K1041" s="36">
        <v>45425</v>
      </c>
      <c r="L1041" s="36">
        <v>45431</v>
      </c>
      <c r="M1041" t="s">
        <v>598</v>
      </c>
      <c r="N1041" t="s">
        <v>604</v>
      </c>
      <c r="O1041" s="37" t="str">
        <f t="shared" si="83"/>
        <v>Digital Payment</v>
      </c>
      <c r="P1041">
        <v>86.21</v>
      </c>
      <c r="Q1041" s="37" t="str">
        <f>IF(P1041&gt;500,"High","low")</f>
        <v>low</v>
      </c>
      <c r="R1041" s="37" t="str">
        <f t="shared" si="84"/>
        <v>AVERAGE</v>
      </c>
      <c r="S1041" t="s">
        <v>628</v>
      </c>
    </row>
    <row r="1042" spans="1:19" x14ac:dyDescent="0.2">
      <c r="A1042" t="s">
        <v>1653</v>
      </c>
      <c r="B1042" t="s">
        <v>75</v>
      </c>
      <c r="C1042" t="s">
        <v>617</v>
      </c>
      <c r="D1042">
        <v>3351.59</v>
      </c>
      <c r="E1042" s="37" t="str">
        <f t="shared" si="80"/>
        <v xml:space="preserve"> </v>
      </c>
      <c r="F1042">
        <v>0.05</v>
      </c>
      <c r="G1042" s="37" t="str">
        <f t="shared" si="81"/>
        <v>Normal Discount</v>
      </c>
      <c r="H1042" s="37" t="str">
        <f t="shared" si="82"/>
        <v>Low</v>
      </c>
      <c r="I1042">
        <v>1</v>
      </c>
      <c r="J1042" t="str" cm="1">
        <f t="array" ref="J1042">_xlfn.IFS(I1042&lt;=3,"small",I1042&lt;=6,"Medium",I1042&lt;=9,"Large")</f>
        <v>small</v>
      </c>
      <c r="K1042" s="36">
        <v>44945</v>
      </c>
      <c r="L1042" s="36">
        <v>44947</v>
      </c>
      <c r="M1042" t="s">
        <v>598</v>
      </c>
      <c r="N1042" t="s">
        <v>604</v>
      </c>
      <c r="O1042" s="37" t="str">
        <f t="shared" si="83"/>
        <v>Digital Payment</v>
      </c>
      <c r="P1042">
        <v>991.12</v>
      </c>
      <c r="Q1042" s="37" t="str">
        <f>IF(P1042&gt;500,"High","low")</f>
        <v>High</v>
      </c>
      <c r="R1042" s="37" t="str">
        <f t="shared" si="84"/>
        <v>Good</v>
      </c>
      <c r="S1042" t="s">
        <v>615</v>
      </c>
    </row>
    <row r="1043" spans="1:19" x14ac:dyDescent="0.2">
      <c r="A1043" t="s">
        <v>1654</v>
      </c>
      <c r="B1043" t="s">
        <v>83</v>
      </c>
      <c r="C1043" t="s">
        <v>614</v>
      </c>
      <c r="D1043">
        <v>3900.19</v>
      </c>
      <c r="E1043" s="37" t="str">
        <f t="shared" si="80"/>
        <v xml:space="preserve"> </v>
      </c>
      <c r="F1043">
        <v>0.46</v>
      </c>
      <c r="G1043" s="37" t="str">
        <f t="shared" si="81"/>
        <v>Heavy Discount</v>
      </c>
      <c r="H1043" s="37" t="str">
        <f t="shared" si="82"/>
        <v>High</v>
      </c>
      <c r="I1043">
        <v>9</v>
      </c>
      <c r="J1043" t="str" cm="1">
        <f t="array" ref="J1043">_xlfn.IFS(I1043&lt;=3,"small",I1043&lt;=6,"Medium",I1043&lt;=9,"Large")</f>
        <v>Large</v>
      </c>
      <c r="K1043" s="36">
        <v>44991</v>
      </c>
      <c r="L1043" s="36">
        <v>44992</v>
      </c>
      <c r="M1043" t="s">
        <v>598</v>
      </c>
      <c r="N1043" t="s">
        <v>604</v>
      </c>
      <c r="O1043" s="37" t="str">
        <f t="shared" si="83"/>
        <v>Digital Payment</v>
      </c>
      <c r="P1043">
        <v>920</v>
      </c>
      <c r="Q1043" s="37" t="str">
        <f>IF(P1043&gt;500,"High","low")</f>
        <v>High</v>
      </c>
      <c r="R1043" s="37" t="str">
        <f t="shared" si="84"/>
        <v>Good</v>
      </c>
      <c r="S1043" t="s">
        <v>620</v>
      </c>
    </row>
    <row r="1044" spans="1:19" x14ac:dyDescent="0.2">
      <c r="A1044" t="s">
        <v>1655</v>
      </c>
      <c r="B1044" t="s">
        <v>90</v>
      </c>
      <c r="C1044" t="s">
        <v>614</v>
      </c>
      <c r="D1044">
        <v>3191.55</v>
      </c>
      <c r="E1044" s="37" t="str">
        <f t="shared" si="80"/>
        <v xml:space="preserve"> </v>
      </c>
      <c r="F1044">
        <v>0.22</v>
      </c>
      <c r="G1044" s="37" t="str">
        <f t="shared" si="81"/>
        <v>Normal Discount</v>
      </c>
      <c r="H1044" s="37" t="str">
        <f t="shared" si="82"/>
        <v>Medium</v>
      </c>
      <c r="I1044">
        <v>5</v>
      </c>
      <c r="J1044" t="str" cm="1">
        <f t="array" ref="J1044">_xlfn.IFS(I1044&lt;=3,"small",I1044&lt;=6,"Medium",I1044&lt;=9,"Large")</f>
        <v>Medium</v>
      </c>
      <c r="K1044" s="36">
        <v>45248</v>
      </c>
      <c r="L1044" s="36">
        <v>45254</v>
      </c>
      <c r="M1044" t="s">
        <v>603</v>
      </c>
      <c r="N1044" t="s">
        <v>604</v>
      </c>
      <c r="O1044" s="37" t="str">
        <f t="shared" si="83"/>
        <v>Digital Payment</v>
      </c>
      <c r="P1044">
        <v>724.91</v>
      </c>
      <c r="Q1044" s="37" t="str">
        <f>IF(P1044&gt;500,"High","low")</f>
        <v>High</v>
      </c>
      <c r="R1044" s="37" t="str">
        <f t="shared" si="84"/>
        <v>Good</v>
      </c>
      <c r="S1044" t="s">
        <v>620</v>
      </c>
    </row>
    <row r="1045" spans="1:19" x14ac:dyDescent="0.2">
      <c r="A1045" t="s">
        <v>1656</v>
      </c>
      <c r="B1045" t="s">
        <v>75</v>
      </c>
      <c r="C1045" t="s">
        <v>614</v>
      </c>
      <c r="D1045">
        <v>575.86</v>
      </c>
      <c r="E1045" s="37" t="str">
        <f t="shared" si="80"/>
        <v xml:space="preserve"> </v>
      </c>
      <c r="F1045">
        <v>0.09</v>
      </c>
      <c r="G1045" s="37" t="str">
        <f t="shared" si="81"/>
        <v>Normal Discount</v>
      </c>
      <c r="H1045" s="37" t="str">
        <f t="shared" si="82"/>
        <v>Low</v>
      </c>
      <c r="I1045">
        <v>2</v>
      </c>
      <c r="J1045" t="str" cm="1">
        <f t="array" ref="J1045">_xlfn.IFS(I1045&lt;=3,"small",I1045&lt;=6,"Medium",I1045&lt;=9,"Large")</f>
        <v>small</v>
      </c>
      <c r="K1045" s="36">
        <v>45162</v>
      </c>
      <c r="L1045" s="36">
        <v>45163</v>
      </c>
      <c r="M1045" t="s">
        <v>603</v>
      </c>
      <c r="N1045" t="s">
        <v>608</v>
      </c>
      <c r="O1045" s="37" t="str">
        <f t="shared" si="83"/>
        <v>Cash Payment</v>
      </c>
      <c r="P1045">
        <v>112.81</v>
      </c>
      <c r="Q1045" s="37" t="str">
        <f>IF(P1045&gt;500,"High","low")</f>
        <v>low</v>
      </c>
      <c r="R1045" s="37" t="str">
        <f t="shared" si="84"/>
        <v>AVERAGE</v>
      </c>
      <c r="S1045" t="s">
        <v>615</v>
      </c>
    </row>
    <row r="1046" spans="1:19" x14ac:dyDescent="0.2">
      <c r="A1046" t="s">
        <v>1657</v>
      </c>
      <c r="B1046" t="s">
        <v>83</v>
      </c>
      <c r="C1046" t="s">
        <v>597</v>
      </c>
      <c r="D1046">
        <v>4878.38</v>
      </c>
      <c r="E1046" s="37" t="str">
        <f t="shared" si="80"/>
        <v>Excellent Order</v>
      </c>
      <c r="F1046">
        <v>0.4</v>
      </c>
      <c r="G1046" s="37" t="str">
        <f t="shared" si="81"/>
        <v>Heavy Discount</v>
      </c>
      <c r="H1046" s="37" t="str">
        <f t="shared" si="82"/>
        <v>Medium</v>
      </c>
      <c r="I1046">
        <v>4</v>
      </c>
      <c r="J1046" t="str" cm="1">
        <f t="array" ref="J1046">_xlfn.IFS(I1046&lt;=3,"small",I1046&lt;=6,"Medium",I1046&lt;=9,"Large")</f>
        <v>Medium</v>
      </c>
      <c r="K1046" s="36">
        <v>45592</v>
      </c>
      <c r="L1046" s="36">
        <v>45599</v>
      </c>
      <c r="M1046" t="s">
        <v>612</v>
      </c>
      <c r="N1046" t="s">
        <v>608</v>
      </c>
      <c r="O1046" s="37" t="str">
        <f t="shared" si="83"/>
        <v>Cash Payment</v>
      </c>
      <c r="P1046">
        <v>1287.6300000000001</v>
      </c>
      <c r="Q1046" s="37" t="str">
        <f>IF(P1046&gt;500,"High","low")</f>
        <v>High</v>
      </c>
      <c r="R1046" s="37" t="str">
        <f t="shared" si="84"/>
        <v>Excellent</v>
      </c>
      <c r="S1046" t="s">
        <v>605</v>
      </c>
    </row>
    <row r="1047" spans="1:19" x14ac:dyDescent="0.2">
      <c r="A1047" t="s">
        <v>1658</v>
      </c>
      <c r="B1047" t="s">
        <v>90</v>
      </c>
      <c r="C1047" t="s">
        <v>607</v>
      </c>
      <c r="D1047">
        <v>1260.4100000000001</v>
      </c>
      <c r="E1047" s="37" t="str">
        <f t="shared" si="80"/>
        <v xml:space="preserve"> </v>
      </c>
      <c r="F1047">
        <v>0.43</v>
      </c>
      <c r="G1047" s="37" t="str">
        <f t="shared" si="81"/>
        <v>Heavy Discount</v>
      </c>
      <c r="H1047" s="37" t="str">
        <f t="shared" si="82"/>
        <v>High</v>
      </c>
      <c r="I1047">
        <v>6</v>
      </c>
      <c r="J1047" t="str" cm="1">
        <f t="array" ref="J1047">_xlfn.IFS(I1047&lt;=3,"small",I1047&lt;=6,"Medium",I1047&lt;=9,"Large")</f>
        <v>Medium</v>
      </c>
      <c r="K1047" s="36">
        <v>45215</v>
      </c>
      <c r="L1047" s="36">
        <v>45218</v>
      </c>
      <c r="M1047" t="s">
        <v>603</v>
      </c>
      <c r="N1047" t="s">
        <v>599</v>
      </c>
      <c r="O1047" s="37" t="str">
        <f t="shared" si="83"/>
        <v>Digital Payment</v>
      </c>
      <c r="P1047">
        <v>341.4</v>
      </c>
      <c r="Q1047" s="37" t="str">
        <f>IF(P1047&gt;500,"High","low")</f>
        <v>low</v>
      </c>
      <c r="R1047" s="37" t="str">
        <f t="shared" si="84"/>
        <v>AVERAGE</v>
      </c>
      <c r="S1047" t="s">
        <v>600</v>
      </c>
    </row>
    <row r="1048" spans="1:19" x14ac:dyDescent="0.2">
      <c r="A1048" t="s">
        <v>1659</v>
      </c>
      <c r="B1048" t="s">
        <v>90</v>
      </c>
      <c r="C1048" t="s">
        <v>597</v>
      </c>
      <c r="D1048">
        <v>3176.54</v>
      </c>
      <c r="E1048" s="37" t="str">
        <f t="shared" si="80"/>
        <v xml:space="preserve"> </v>
      </c>
      <c r="F1048">
        <v>0.11</v>
      </c>
      <c r="G1048" s="37" t="str">
        <f t="shared" si="81"/>
        <v>Normal Discount</v>
      </c>
      <c r="H1048" s="37" t="str">
        <f t="shared" si="82"/>
        <v>Low</v>
      </c>
      <c r="I1048">
        <v>9</v>
      </c>
      <c r="J1048" t="str" cm="1">
        <f t="array" ref="J1048">_xlfn.IFS(I1048&lt;=3,"small",I1048&lt;=6,"Medium",I1048&lt;=9,"Large")</f>
        <v>Large</v>
      </c>
      <c r="K1048" s="36">
        <v>45162</v>
      </c>
      <c r="L1048" s="36">
        <v>45166</v>
      </c>
      <c r="M1048" t="s">
        <v>603</v>
      </c>
      <c r="N1048" t="s">
        <v>604</v>
      </c>
      <c r="O1048" s="37" t="str">
        <f t="shared" si="83"/>
        <v>Digital Payment</v>
      </c>
      <c r="P1048">
        <v>360.98</v>
      </c>
      <c r="Q1048" s="37" t="str">
        <f>IF(P1048&gt;500,"High","low")</f>
        <v>low</v>
      </c>
      <c r="R1048" s="37" t="str">
        <f t="shared" si="84"/>
        <v>AVERAGE</v>
      </c>
      <c r="S1048" t="s">
        <v>615</v>
      </c>
    </row>
    <row r="1049" spans="1:19" x14ac:dyDescent="0.2">
      <c r="A1049" t="s">
        <v>1660</v>
      </c>
      <c r="B1049" t="s">
        <v>75</v>
      </c>
      <c r="C1049" t="s">
        <v>602</v>
      </c>
      <c r="D1049">
        <v>4006.17</v>
      </c>
      <c r="E1049" s="37" t="str">
        <f t="shared" si="80"/>
        <v>Excellent Order</v>
      </c>
      <c r="F1049">
        <v>0.36</v>
      </c>
      <c r="G1049" s="37" t="str">
        <f t="shared" si="81"/>
        <v>Heavy Discount</v>
      </c>
      <c r="H1049" s="37" t="str">
        <f t="shared" si="82"/>
        <v>Medium</v>
      </c>
      <c r="I1049">
        <v>8</v>
      </c>
      <c r="J1049" t="str" cm="1">
        <f t="array" ref="J1049">_xlfn.IFS(I1049&lt;=3,"small",I1049&lt;=6,"Medium",I1049&lt;=9,"Large")</f>
        <v>Large</v>
      </c>
      <c r="K1049" s="36">
        <v>45348</v>
      </c>
      <c r="L1049" s="36">
        <v>45350</v>
      </c>
      <c r="M1049" t="s">
        <v>598</v>
      </c>
      <c r="N1049" t="s">
        <v>604</v>
      </c>
      <c r="O1049" s="37" t="str">
        <f t="shared" si="83"/>
        <v>Digital Payment</v>
      </c>
      <c r="P1049">
        <v>993.51</v>
      </c>
      <c r="Q1049" s="37" t="str">
        <f>IF(P1049&gt;500,"High","low")</f>
        <v>High</v>
      </c>
      <c r="R1049" s="37" t="str">
        <f t="shared" si="84"/>
        <v>Good</v>
      </c>
      <c r="S1049" t="s">
        <v>605</v>
      </c>
    </row>
    <row r="1050" spans="1:19" x14ac:dyDescent="0.2">
      <c r="A1050" t="s">
        <v>1661</v>
      </c>
      <c r="B1050" t="s">
        <v>75</v>
      </c>
      <c r="C1050" t="s">
        <v>617</v>
      </c>
      <c r="D1050">
        <v>4702.26</v>
      </c>
      <c r="E1050" s="37" t="str">
        <f t="shared" si="80"/>
        <v xml:space="preserve"> </v>
      </c>
      <c r="F1050">
        <v>0.31</v>
      </c>
      <c r="G1050" s="37" t="str">
        <f t="shared" si="81"/>
        <v>Heavy Discount</v>
      </c>
      <c r="H1050" s="37" t="str">
        <f t="shared" si="82"/>
        <v>Medium</v>
      </c>
      <c r="I1050">
        <v>6</v>
      </c>
      <c r="J1050" t="str" cm="1">
        <f t="array" ref="J1050">_xlfn.IFS(I1050&lt;=3,"small",I1050&lt;=6,"Medium",I1050&lt;=9,"Large")</f>
        <v>Medium</v>
      </c>
      <c r="K1050" s="36">
        <v>45317</v>
      </c>
      <c r="L1050" s="36">
        <v>45322</v>
      </c>
      <c r="M1050" t="s">
        <v>612</v>
      </c>
      <c r="N1050" t="s">
        <v>604</v>
      </c>
      <c r="O1050" s="37" t="str">
        <f t="shared" si="83"/>
        <v>Digital Payment</v>
      </c>
      <c r="P1050">
        <v>429.5</v>
      </c>
      <c r="Q1050" s="37" t="str">
        <f>IF(P1050&gt;500,"High","low")</f>
        <v>low</v>
      </c>
      <c r="R1050" s="37" t="str">
        <f t="shared" si="84"/>
        <v>AVERAGE</v>
      </c>
      <c r="S1050" t="s">
        <v>620</v>
      </c>
    </row>
    <row r="1051" spans="1:19" x14ac:dyDescent="0.2">
      <c r="A1051" t="s">
        <v>1662</v>
      </c>
      <c r="B1051" t="s">
        <v>75</v>
      </c>
      <c r="C1051" t="s">
        <v>597</v>
      </c>
      <c r="D1051">
        <v>3059.65</v>
      </c>
      <c r="E1051" s="37" t="str">
        <f t="shared" si="80"/>
        <v xml:space="preserve"> </v>
      </c>
      <c r="F1051">
        <v>0.37</v>
      </c>
      <c r="G1051" s="37" t="str">
        <f t="shared" si="81"/>
        <v>Heavy Discount</v>
      </c>
      <c r="H1051" s="37" t="str">
        <f t="shared" si="82"/>
        <v>Medium</v>
      </c>
      <c r="I1051">
        <v>4</v>
      </c>
      <c r="J1051" t="str" cm="1">
        <f t="array" ref="J1051">_xlfn.IFS(I1051&lt;=3,"small",I1051&lt;=6,"Medium",I1051&lt;=9,"Large")</f>
        <v>Medium</v>
      </c>
      <c r="K1051" s="36">
        <v>44931</v>
      </c>
      <c r="L1051" s="36">
        <v>44936</v>
      </c>
      <c r="M1051" t="s">
        <v>612</v>
      </c>
      <c r="N1051" t="s">
        <v>608</v>
      </c>
      <c r="O1051" s="37" t="str">
        <f t="shared" si="83"/>
        <v>Cash Payment</v>
      </c>
      <c r="P1051">
        <v>454.93</v>
      </c>
      <c r="Q1051" s="37" t="str">
        <f>IF(P1051&gt;500,"High","low")</f>
        <v>low</v>
      </c>
      <c r="R1051" s="37" t="str">
        <f t="shared" si="84"/>
        <v>AVERAGE</v>
      </c>
      <c r="S1051" t="s">
        <v>609</v>
      </c>
    </row>
    <row r="1052" spans="1:19" x14ac:dyDescent="0.2">
      <c r="A1052" t="s">
        <v>1663</v>
      </c>
      <c r="B1052" t="s">
        <v>83</v>
      </c>
      <c r="C1052" t="s">
        <v>597</v>
      </c>
      <c r="D1052">
        <v>1369.37</v>
      </c>
      <c r="E1052" s="37" t="str">
        <f t="shared" si="80"/>
        <v xml:space="preserve"> </v>
      </c>
      <c r="F1052">
        <v>0.39</v>
      </c>
      <c r="G1052" s="37" t="str">
        <f t="shared" si="81"/>
        <v>Heavy Discount</v>
      </c>
      <c r="H1052" s="37" t="str">
        <f t="shared" si="82"/>
        <v>Medium</v>
      </c>
      <c r="I1052">
        <v>5</v>
      </c>
      <c r="J1052" t="str" cm="1">
        <f t="array" ref="J1052">_xlfn.IFS(I1052&lt;=3,"small",I1052&lt;=6,"Medium",I1052&lt;=9,"Large")</f>
        <v>Medium</v>
      </c>
      <c r="K1052" s="36">
        <v>45063</v>
      </c>
      <c r="L1052" s="36">
        <v>45070</v>
      </c>
      <c r="M1052" t="s">
        <v>603</v>
      </c>
      <c r="N1052" t="s">
        <v>599</v>
      </c>
      <c r="O1052" s="37" t="str">
        <f t="shared" si="83"/>
        <v>Digital Payment</v>
      </c>
      <c r="P1052">
        <v>381.68</v>
      </c>
      <c r="Q1052" s="37" t="str">
        <f>IF(P1052&gt;500,"High","low")</f>
        <v>low</v>
      </c>
      <c r="R1052" s="37" t="str">
        <f t="shared" si="84"/>
        <v>AVERAGE</v>
      </c>
      <c r="S1052" t="s">
        <v>628</v>
      </c>
    </row>
    <row r="1053" spans="1:19" x14ac:dyDescent="0.2">
      <c r="A1053" t="s">
        <v>1664</v>
      </c>
      <c r="B1053" t="s">
        <v>75</v>
      </c>
      <c r="C1053" t="s">
        <v>617</v>
      </c>
      <c r="D1053">
        <v>4199.53</v>
      </c>
      <c r="E1053" s="37" t="str">
        <f t="shared" si="80"/>
        <v xml:space="preserve"> </v>
      </c>
      <c r="F1053">
        <v>0.33</v>
      </c>
      <c r="G1053" s="37" t="str">
        <f t="shared" si="81"/>
        <v>Heavy Discount</v>
      </c>
      <c r="H1053" s="37" t="str">
        <f t="shared" si="82"/>
        <v>Medium</v>
      </c>
      <c r="I1053">
        <v>4</v>
      </c>
      <c r="J1053" t="str" cm="1">
        <f t="array" ref="J1053">_xlfn.IFS(I1053&lt;=3,"small",I1053&lt;=6,"Medium",I1053&lt;=9,"Large")</f>
        <v>Medium</v>
      </c>
      <c r="K1053" s="36">
        <v>45323</v>
      </c>
      <c r="L1053" s="36">
        <v>45325</v>
      </c>
      <c r="M1053" t="s">
        <v>603</v>
      </c>
      <c r="N1053" t="s">
        <v>599</v>
      </c>
      <c r="O1053" s="37" t="str">
        <f t="shared" si="83"/>
        <v>Digital Payment</v>
      </c>
      <c r="P1053">
        <v>529.88</v>
      </c>
      <c r="Q1053" s="37" t="str">
        <f>IF(P1053&gt;500,"High","low")</f>
        <v>High</v>
      </c>
      <c r="R1053" s="37" t="str">
        <f t="shared" si="84"/>
        <v>Good</v>
      </c>
      <c r="S1053" t="s">
        <v>620</v>
      </c>
    </row>
    <row r="1054" spans="1:19" x14ac:dyDescent="0.2">
      <c r="A1054" t="s">
        <v>1665</v>
      </c>
      <c r="B1054" t="s">
        <v>90</v>
      </c>
      <c r="C1054" t="s">
        <v>614</v>
      </c>
      <c r="D1054">
        <v>899.78</v>
      </c>
      <c r="E1054" s="37" t="str">
        <f t="shared" si="80"/>
        <v xml:space="preserve"> </v>
      </c>
      <c r="F1054">
        <v>0.48</v>
      </c>
      <c r="G1054" s="37" t="str">
        <f t="shared" si="81"/>
        <v>Heavy Discount</v>
      </c>
      <c r="H1054" s="37" t="str">
        <f t="shared" si="82"/>
        <v>High</v>
      </c>
      <c r="I1054">
        <v>4</v>
      </c>
      <c r="J1054" t="str" cm="1">
        <f t="array" ref="J1054">_xlfn.IFS(I1054&lt;=3,"small",I1054&lt;=6,"Medium",I1054&lt;=9,"Large")</f>
        <v>Medium</v>
      </c>
      <c r="K1054" s="36">
        <v>44974</v>
      </c>
      <c r="L1054" s="36">
        <v>44980</v>
      </c>
      <c r="M1054" t="s">
        <v>603</v>
      </c>
      <c r="N1054" t="s">
        <v>604</v>
      </c>
      <c r="O1054" s="37" t="str">
        <f t="shared" si="83"/>
        <v>Digital Payment</v>
      </c>
      <c r="P1054">
        <v>142.11000000000001</v>
      </c>
      <c r="Q1054" s="37" t="str">
        <f>IF(P1054&gt;500,"High","low")</f>
        <v>low</v>
      </c>
      <c r="R1054" s="37" t="str">
        <f t="shared" si="84"/>
        <v>AVERAGE</v>
      </c>
      <c r="S1054" t="s">
        <v>620</v>
      </c>
    </row>
    <row r="1055" spans="1:19" x14ac:dyDescent="0.2">
      <c r="A1055" t="s">
        <v>1666</v>
      </c>
      <c r="B1055" t="s">
        <v>90</v>
      </c>
      <c r="C1055" t="s">
        <v>617</v>
      </c>
      <c r="D1055">
        <v>209.18</v>
      </c>
      <c r="E1055" s="37" t="str">
        <f t="shared" si="80"/>
        <v xml:space="preserve"> </v>
      </c>
      <c r="F1055">
        <v>0.43</v>
      </c>
      <c r="G1055" s="37" t="str">
        <f t="shared" si="81"/>
        <v>Heavy Discount</v>
      </c>
      <c r="H1055" s="37" t="str">
        <f t="shared" si="82"/>
        <v>High</v>
      </c>
      <c r="I1055">
        <v>8</v>
      </c>
      <c r="J1055" t="str" cm="1">
        <f t="array" ref="J1055">_xlfn.IFS(I1055&lt;=3,"small",I1055&lt;=6,"Medium",I1055&lt;=9,"Large")</f>
        <v>Large</v>
      </c>
      <c r="K1055" s="36">
        <v>45484</v>
      </c>
      <c r="L1055" s="36">
        <v>45488</v>
      </c>
      <c r="M1055" t="s">
        <v>603</v>
      </c>
      <c r="N1055" t="s">
        <v>604</v>
      </c>
      <c r="O1055" s="37" t="str">
        <f t="shared" si="83"/>
        <v>Digital Payment</v>
      </c>
      <c r="P1055">
        <v>32.47</v>
      </c>
      <c r="Q1055" s="37" t="str">
        <f>IF(P1055&gt;500,"High","low")</f>
        <v>low</v>
      </c>
      <c r="R1055" s="37" t="str">
        <f t="shared" si="84"/>
        <v>AVERAGE</v>
      </c>
      <c r="S1055" t="s">
        <v>609</v>
      </c>
    </row>
    <row r="1056" spans="1:19" x14ac:dyDescent="0.2">
      <c r="A1056" t="s">
        <v>1667</v>
      </c>
      <c r="B1056" t="s">
        <v>75</v>
      </c>
      <c r="C1056" t="s">
        <v>607</v>
      </c>
      <c r="D1056">
        <v>4549.93</v>
      </c>
      <c r="E1056" s="37" t="str">
        <f t="shared" si="80"/>
        <v>Excellent Order</v>
      </c>
      <c r="F1056">
        <v>0.11</v>
      </c>
      <c r="G1056" s="37" t="str">
        <f t="shared" si="81"/>
        <v>Normal Discount</v>
      </c>
      <c r="H1056" s="37" t="str">
        <f t="shared" si="82"/>
        <v>Low</v>
      </c>
      <c r="I1056">
        <v>4</v>
      </c>
      <c r="J1056" t="str" cm="1">
        <f t="array" ref="J1056">_xlfn.IFS(I1056&lt;=3,"small",I1056&lt;=6,"Medium",I1056&lt;=9,"Large")</f>
        <v>Medium</v>
      </c>
      <c r="K1056" s="36">
        <v>44990</v>
      </c>
      <c r="L1056" s="36">
        <v>44997</v>
      </c>
      <c r="M1056" t="s">
        <v>603</v>
      </c>
      <c r="N1056" t="s">
        <v>604</v>
      </c>
      <c r="O1056" s="37" t="str">
        <f t="shared" si="83"/>
        <v>Digital Payment</v>
      </c>
      <c r="P1056">
        <v>876.56</v>
      </c>
      <c r="Q1056" s="37" t="str">
        <f>IF(P1056&gt;500,"High","low")</f>
        <v>High</v>
      </c>
      <c r="R1056" s="37" t="str">
        <f t="shared" si="84"/>
        <v>Good</v>
      </c>
      <c r="S1056" t="s">
        <v>609</v>
      </c>
    </row>
    <row r="1057" spans="1:19" x14ac:dyDescent="0.2">
      <c r="A1057" t="s">
        <v>1668</v>
      </c>
      <c r="B1057" t="s">
        <v>75</v>
      </c>
      <c r="C1057" t="s">
        <v>617</v>
      </c>
      <c r="D1057">
        <v>2919.41</v>
      </c>
      <c r="E1057" s="37" t="str">
        <f t="shared" si="80"/>
        <v xml:space="preserve"> </v>
      </c>
      <c r="F1057">
        <v>0.46</v>
      </c>
      <c r="G1057" s="37" t="str">
        <f t="shared" si="81"/>
        <v>Heavy Discount</v>
      </c>
      <c r="H1057" s="37" t="str">
        <f t="shared" si="82"/>
        <v>High</v>
      </c>
      <c r="I1057">
        <v>3</v>
      </c>
      <c r="J1057" t="str" cm="1">
        <f t="array" ref="J1057">_xlfn.IFS(I1057&lt;=3,"small",I1057&lt;=6,"Medium",I1057&lt;=9,"Large")</f>
        <v>small</v>
      </c>
      <c r="K1057" s="36">
        <v>45630</v>
      </c>
      <c r="L1057" s="36">
        <v>45636</v>
      </c>
      <c r="M1057" t="s">
        <v>612</v>
      </c>
      <c r="N1057" t="s">
        <v>604</v>
      </c>
      <c r="O1057" s="37" t="str">
        <f t="shared" si="83"/>
        <v>Digital Payment</v>
      </c>
      <c r="P1057">
        <v>754.78</v>
      </c>
      <c r="Q1057" s="37" t="str">
        <f>IF(P1057&gt;500,"High","low")</f>
        <v>High</v>
      </c>
      <c r="R1057" s="37" t="str">
        <f t="shared" si="84"/>
        <v>Good</v>
      </c>
      <c r="S1057" t="s">
        <v>600</v>
      </c>
    </row>
    <row r="1058" spans="1:19" x14ac:dyDescent="0.2">
      <c r="A1058" t="s">
        <v>1669</v>
      </c>
      <c r="B1058" t="s">
        <v>67</v>
      </c>
      <c r="C1058" t="s">
        <v>614</v>
      </c>
      <c r="D1058">
        <v>441.24</v>
      </c>
      <c r="E1058" s="37" t="str">
        <f t="shared" si="80"/>
        <v xml:space="preserve"> </v>
      </c>
      <c r="F1058">
        <v>0.18</v>
      </c>
      <c r="G1058" s="37" t="str">
        <f t="shared" si="81"/>
        <v>Normal Discount</v>
      </c>
      <c r="H1058" s="37" t="str">
        <f t="shared" si="82"/>
        <v>Low</v>
      </c>
      <c r="I1058">
        <v>2</v>
      </c>
      <c r="J1058" t="str" cm="1">
        <f t="array" ref="J1058">_xlfn.IFS(I1058&lt;=3,"small",I1058&lt;=6,"Medium",I1058&lt;=9,"Large")</f>
        <v>small</v>
      </c>
      <c r="K1058" s="36">
        <v>45467</v>
      </c>
      <c r="L1058" s="36">
        <v>45474</v>
      </c>
      <c r="M1058" t="s">
        <v>612</v>
      </c>
      <c r="N1058" t="s">
        <v>599</v>
      </c>
      <c r="O1058" s="37" t="str">
        <f t="shared" si="83"/>
        <v>Digital Payment</v>
      </c>
      <c r="P1058">
        <v>82.41</v>
      </c>
      <c r="Q1058" s="37" t="str">
        <f>IF(P1058&gt;500,"High","low")</f>
        <v>low</v>
      </c>
      <c r="R1058" s="37" t="str">
        <f t="shared" si="84"/>
        <v>AVERAGE</v>
      </c>
      <c r="S1058" t="s">
        <v>615</v>
      </c>
    </row>
    <row r="1059" spans="1:19" x14ac:dyDescent="0.2">
      <c r="A1059" t="s">
        <v>1670</v>
      </c>
      <c r="B1059" t="s">
        <v>90</v>
      </c>
      <c r="C1059" t="s">
        <v>617</v>
      </c>
      <c r="D1059">
        <v>2940.67</v>
      </c>
      <c r="E1059" s="37" t="str">
        <f t="shared" si="80"/>
        <v xml:space="preserve"> </v>
      </c>
      <c r="F1059">
        <v>0.36</v>
      </c>
      <c r="G1059" s="37" t="str">
        <f t="shared" si="81"/>
        <v>Heavy Discount</v>
      </c>
      <c r="H1059" s="37" t="str">
        <f t="shared" si="82"/>
        <v>Medium</v>
      </c>
      <c r="I1059">
        <v>1</v>
      </c>
      <c r="J1059" t="str" cm="1">
        <f t="array" ref="J1059">_xlfn.IFS(I1059&lt;=3,"small",I1059&lt;=6,"Medium",I1059&lt;=9,"Large")</f>
        <v>small</v>
      </c>
      <c r="K1059" s="36">
        <v>45456</v>
      </c>
      <c r="L1059" s="36">
        <v>45463</v>
      </c>
      <c r="M1059" t="s">
        <v>612</v>
      </c>
      <c r="N1059" t="s">
        <v>604</v>
      </c>
      <c r="O1059" s="37" t="str">
        <f t="shared" si="83"/>
        <v>Digital Payment</v>
      </c>
      <c r="P1059">
        <v>837.56</v>
      </c>
      <c r="Q1059" s="37" t="str">
        <f>IF(P1059&gt;500,"High","low")</f>
        <v>High</v>
      </c>
      <c r="R1059" s="37" t="str">
        <f t="shared" si="84"/>
        <v>Good</v>
      </c>
      <c r="S1059" t="s">
        <v>628</v>
      </c>
    </row>
    <row r="1060" spans="1:19" x14ac:dyDescent="0.2">
      <c r="A1060" t="s">
        <v>1671</v>
      </c>
      <c r="B1060" t="s">
        <v>83</v>
      </c>
      <c r="C1060" t="s">
        <v>597</v>
      </c>
      <c r="D1060">
        <v>810.57</v>
      </c>
      <c r="E1060" s="37" t="str">
        <f t="shared" si="80"/>
        <v xml:space="preserve"> </v>
      </c>
      <c r="F1060">
        <v>0.42</v>
      </c>
      <c r="G1060" s="37" t="str">
        <f t="shared" si="81"/>
        <v>Heavy Discount</v>
      </c>
      <c r="H1060" s="37" t="str">
        <f t="shared" si="82"/>
        <v>High</v>
      </c>
      <c r="I1060">
        <v>5</v>
      </c>
      <c r="J1060" t="str" cm="1">
        <f t="array" ref="J1060">_xlfn.IFS(I1060&lt;=3,"small",I1060&lt;=6,"Medium",I1060&lt;=9,"Large")</f>
        <v>Medium</v>
      </c>
      <c r="K1060" s="36">
        <v>45596</v>
      </c>
      <c r="L1060" s="36">
        <v>45601</v>
      </c>
      <c r="M1060" t="s">
        <v>598</v>
      </c>
      <c r="N1060" t="s">
        <v>608</v>
      </c>
      <c r="O1060" s="37" t="str">
        <f t="shared" si="83"/>
        <v>Cash Payment</v>
      </c>
      <c r="P1060">
        <v>217.79</v>
      </c>
      <c r="Q1060" s="37" t="str">
        <f>IF(P1060&gt;500,"High","low")</f>
        <v>low</v>
      </c>
      <c r="R1060" s="37" t="str">
        <f t="shared" si="84"/>
        <v>AVERAGE</v>
      </c>
      <c r="S1060" t="s">
        <v>609</v>
      </c>
    </row>
    <row r="1061" spans="1:19" x14ac:dyDescent="0.2">
      <c r="A1061" t="s">
        <v>1672</v>
      </c>
      <c r="B1061" t="s">
        <v>67</v>
      </c>
      <c r="C1061" t="s">
        <v>602</v>
      </c>
      <c r="D1061">
        <v>253.79</v>
      </c>
      <c r="E1061" s="37" t="str">
        <f t="shared" si="80"/>
        <v xml:space="preserve"> </v>
      </c>
      <c r="F1061">
        <v>0.22</v>
      </c>
      <c r="G1061" s="37" t="str">
        <f t="shared" si="81"/>
        <v>Normal Discount</v>
      </c>
      <c r="H1061" s="37" t="str">
        <f t="shared" si="82"/>
        <v>Medium</v>
      </c>
      <c r="I1061">
        <v>4</v>
      </c>
      <c r="J1061" t="str" cm="1">
        <f t="array" ref="J1061">_xlfn.IFS(I1061&lt;=3,"small",I1061&lt;=6,"Medium",I1061&lt;=9,"Large")</f>
        <v>Medium</v>
      </c>
      <c r="K1061" s="36">
        <v>45640</v>
      </c>
      <c r="L1061" s="36">
        <v>45647</v>
      </c>
      <c r="M1061" t="s">
        <v>598</v>
      </c>
      <c r="N1061" t="s">
        <v>604</v>
      </c>
      <c r="O1061" s="37" t="str">
        <f t="shared" si="83"/>
        <v>Digital Payment</v>
      </c>
      <c r="P1061">
        <v>51.61</v>
      </c>
      <c r="Q1061" s="37" t="str">
        <f>IF(P1061&gt;500,"High","low")</f>
        <v>low</v>
      </c>
      <c r="R1061" s="37" t="str">
        <f t="shared" si="84"/>
        <v>AVERAGE</v>
      </c>
      <c r="S1061" t="s">
        <v>615</v>
      </c>
    </row>
    <row r="1062" spans="1:19" x14ac:dyDescent="0.2">
      <c r="A1062" t="s">
        <v>1673</v>
      </c>
      <c r="B1062" t="s">
        <v>75</v>
      </c>
      <c r="C1062" t="s">
        <v>597</v>
      </c>
      <c r="D1062">
        <v>670.97</v>
      </c>
      <c r="E1062" s="37" t="str">
        <f t="shared" si="80"/>
        <v xml:space="preserve"> </v>
      </c>
      <c r="F1062">
        <v>0.03</v>
      </c>
      <c r="G1062" s="37" t="str">
        <f t="shared" si="81"/>
        <v>Normal Discount</v>
      </c>
      <c r="H1062" s="37" t="str">
        <f t="shared" si="82"/>
        <v>Low</v>
      </c>
      <c r="I1062">
        <v>9</v>
      </c>
      <c r="J1062" t="str" cm="1">
        <f t="array" ref="J1062">_xlfn.IFS(I1062&lt;=3,"small",I1062&lt;=6,"Medium",I1062&lt;=9,"Large")</f>
        <v>Large</v>
      </c>
      <c r="K1062" s="36">
        <v>44945</v>
      </c>
      <c r="L1062" s="36">
        <v>44952</v>
      </c>
      <c r="M1062" t="s">
        <v>603</v>
      </c>
      <c r="N1062" t="s">
        <v>604</v>
      </c>
      <c r="O1062" s="37" t="str">
        <f t="shared" si="83"/>
        <v>Digital Payment</v>
      </c>
      <c r="P1062">
        <v>106.01</v>
      </c>
      <c r="Q1062" s="37" t="str">
        <f>IF(P1062&gt;500,"High","low")</f>
        <v>low</v>
      </c>
      <c r="R1062" s="37" t="str">
        <f t="shared" si="84"/>
        <v>AVERAGE</v>
      </c>
      <c r="S1062" t="s">
        <v>600</v>
      </c>
    </row>
    <row r="1063" spans="1:19" x14ac:dyDescent="0.2">
      <c r="A1063" t="s">
        <v>1674</v>
      </c>
      <c r="B1063" t="s">
        <v>75</v>
      </c>
      <c r="C1063" t="s">
        <v>602</v>
      </c>
      <c r="D1063">
        <v>3898.03</v>
      </c>
      <c r="E1063" s="37" t="str">
        <f t="shared" si="80"/>
        <v xml:space="preserve"> </v>
      </c>
      <c r="F1063">
        <v>0.47</v>
      </c>
      <c r="G1063" s="37" t="str">
        <f t="shared" si="81"/>
        <v>Heavy Discount</v>
      </c>
      <c r="H1063" s="37" t="str">
        <f t="shared" si="82"/>
        <v>High</v>
      </c>
      <c r="I1063">
        <v>9</v>
      </c>
      <c r="J1063" t="str" cm="1">
        <f t="array" ref="J1063">_xlfn.IFS(I1063&lt;=3,"small",I1063&lt;=6,"Medium",I1063&lt;=9,"Large")</f>
        <v>Large</v>
      </c>
      <c r="K1063" s="36">
        <v>45102</v>
      </c>
      <c r="L1063" s="36">
        <v>45109</v>
      </c>
      <c r="M1063" t="s">
        <v>598</v>
      </c>
      <c r="N1063" t="s">
        <v>599</v>
      </c>
      <c r="O1063" s="37" t="str">
        <f t="shared" si="83"/>
        <v>Digital Payment</v>
      </c>
      <c r="P1063">
        <v>511.37</v>
      </c>
      <c r="Q1063" s="37" t="str">
        <f>IF(P1063&gt;500,"High","low")</f>
        <v>High</v>
      </c>
      <c r="R1063" s="37" t="str">
        <f t="shared" si="84"/>
        <v>Good</v>
      </c>
      <c r="S1063" t="s">
        <v>609</v>
      </c>
    </row>
    <row r="1064" spans="1:19" x14ac:dyDescent="0.2">
      <c r="A1064" t="s">
        <v>1675</v>
      </c>
      <c r="B1064" t="s">
        <v>90</v>
      </c>
      <c r="C1064" t="s">
        <v>617</v>
      </c>
      <c r="D1064">
        <v>3802.74</v>
      </c>
      <c r="E1064" s="37" t="str">
        <f t="shared" si="80"/>
        <v xml:space="preserve"> </v>
      </c>
      <c r="F1064">
        <v>0.04</v>
      </c>
      <c r="G1064" s="37" t="str">
        <f t="shared" si="81"/>
        <v>Normal Discount</v>
      </c>
      <c r="H1064" s="37" t="str">
        <f t="shared" si="82"/>
        <v>Low</v>
      </c>
      <c r="I1064">
        <v>5</v>
      </c>
      <c r="J1064" t="str" cm="1">
        <f t="array" ref="J1064">_xlfn.IFS(I1064&lt;=3,"small",I1064&lt;=6,"Medium",I1064&lt;=9,"Large")</f>
        <v>Medium</v>
      </c>
      <c r="K1064" s="36">
        <v>45651</v>
      </c>
      <c r="L1064" s="36">
        <v>45654</v>
      </c>
      <c r="M1064" t="s">
        <v>612</v>
      </c>
      <c r="N1064" t="s">
        <v>604</v>
      </c>
      <c r="O1064" s="37" t="str">
        <f t="shared" si="83"/>
        <v>Digital Payment</v>
      </c>
      <c r="P1064">
        <v>772.22</v>
      </c>
      <c r="Q1064" s="37" t="str">
        <f>IF(P1064&gt;500,"High","low")</f>
        <v>High</v>
      </c>
      <c r="R1064" s="37" t="str">
        <f t="shared" si="84"/>
        <v>Good</v>
      </c>
      <c r="S1064" t="s">
        <v>615</v>
      </c>
    </row>
    <row r="1065" spans="1:19" x14ac:dyDescent="0.2">
      <c r="A1065" t="s">
        <v>1676</v>
      </c>
      <c r="B1065" t="s">
        <v>75</v>
      </c>
      <c r="C1065" t="s">
        <v>607</v>
      </c>
      <c r="D1065">
        <v>3061.16</v>
      </c>
      <c r="E1065" s="37" t="str">
        <f t="shared" si="80"/>
        <v xml:space="preserve"> </v>
      </c>
      <c r="F1065">
        <v>0.17</v>
      </c>
      <c r="G1065" s="37" t="str">
        <f t="shared" si="81"/>
        <v>Normal Discount</v>
      </c>
      <c r="H1065" s="37" t="str">
        <f t="shared" si="82"/>
        <v>Low</v>
      </c>
      <c r="I1065">
        <v>5</v>
      </c>
      <c r="J1065" t="str" cm="1">
        <f t="array" ref="J1065">_xlfn.IFS(I1065&lt;=3,"small",I1065&lt;=6,"Medium",I1065&lt;=9,"Large")</f>
        <v>Medium</v>
      </c>
      <c r="K1065" s="36">
        <v>45439</v>
      </c>
      <c r="L1065" s="36">
        <v>45441</v>
      </c>
      <c r="M1065" t="s">
        <v>603</v>
      </c>
      <c r="N1065" t="s">
        <v>599</v>
      </c>
      <c r="O1065" s="37" t="str">
        <f t="shared" si="83"/>
        <v>Digital Payment</v>
      </c>
      <c r="P1065">
        <v>771.77</v>
      </c>
      <c r="Q1065" s="37" t="str">
        <f>IF(P1065&gt;500,"High","low")</f>
        <v>High</v>
      </c>
      <c r="R1065" s="37" t="str">
        <f t="shared" si="84"/>
        <v>Good</v>
      </c>
      <c r="S1065" t="s">
        <v>600</v>
      </c>
    </row>
    <row r="1066" spans="1:19" x14ac:dyDescent="0.2">
      <c r="A1066" t="s">
        <v>1677</v>
      </c>
      <c r="B1066" t="s">
        <v>83</v>
      </c>
      <c r="C1066" t="s">
        <v>617</v>
      </c>
      <c r="D1066">
        <v>1125.71</v>
      </c>
      <c r="E1066" s="37" t="str">
        <f t="shared" si="80"/>
        <v xml:space="preserve"> </v>
      </c>
      <c r="F1066">
        <v>0.3</v>
      </c>
      <c r="G1066" s="37" t="str">
        <f t="shared" si="81"/>
        <v>Normal Discount</v>
      </c>
      <c r="H1066" s="37" t="str">
        <f t="shared" si="82"/>
        <v>Medium</v>
      </c>
      <c r="I1066">
        <v>6</v>
      </c>
      <c r="J1066" t="str" cm="1">
        <f t="array" ref="J1066">_xlfn.IFS(I1066&lt;=3,"small",I1066&lt;=6,"Medium",I1066&lt;=9,"Large")</f>
        <v>Medium</v>
      </c>
      <c r="K1066" s="36">
        <v>45144</v>
      </c>
      <c r="L1066" s="36">
        <v>45149</v>
      </c>
      <c r="M1066" t="s">
        <v>598</v>
      </c>
      <c r="N1066" t="s">
        <v>608</v>
      </c>
      <c r="O1066" s="37" t="str">
        <f t="shared" si="83"/>
        <v>Cash Payment</v>
      </c>
      <c r="P1066">
        <v>198.57</v>
      </c>
      <c r="Q1066" s="37" t="str">
        <f>IF(P1066&gt;500,"High","low")</f>
        <v>low</v>
      </c>
      <c r="R1066" s="37" t="str">
        <f t="shared" si="84"/>
        <v>AVERAGE</v>
      </c>
      <c r="S1066" t="s">
        <v>628</v>
      </c>
    </row>
    <row r="1067" spans="1:19" x14ac:dyDescent="0.2">
      <c r="A1067" t="s">
        <v>1678</v>
      </c>
      <c r="B1067" t="s">
        <v>90</v>
      </c>
      <c r="C1067" t="s">
        <v>614</v>
      </c>
      <c r="D1067">
        <v>3720.94</v>
      </c>
      <c r="E1067" s="37" t="str">
        <f t="shared" si="80"/>
        <v xml:space="preserve"> </v>
      </c>
      <c r="F1067">
        <v>0.06</v>
      </c>
      <c r="G1067" s="37" t="str">
        <f t="shared" si="81"/>
        <v>Normal Discount</v>
      </c>
      <c r="H1067" s="37" t="str">
        <f t="shared" si="82"/>
        <v>Low</v>
      </c>
      <c r="I1067">
        <v>4</v>
      </c>
      <c r="J1067" t="str" cm="1">
        <f t="array" ref="J1067">_xlfn.IFS(I1067&lt;=3,"small",I1067&lt;=6,"Medium",I1067&lt;=9,"Large")</f>
        <v>Medium</v>
      </c>
      <c r="K1067" s="36">
        <v>45477</v>
      </c>
      <c r="L1067" s="36">
        <v>45482</v>
      </c>
      <c r="M1067" t="s">
        <v>612</v>
      </c>
      <c r="N1067" t="s">
        <v>604</v>
      </c>
      <c r="O1067" s="37" t="str">
        <f t="shared" si="83"/>
        <v>Digital Payment</v>
      </c>
      <c r="P1067">
        <v>1005.7</v>
      </c>
      <c r="Q1067" s="37" t="str">
        <f>IF(P1067&gt;500,"High","low")</f>
        <v>High</v>
      </c>
      <c r="R1067" s="37" t="str">
        <f t="shared" si="84"/>
        <v>Excellent</v>
      </c>
      <c r="S1067" t="s">
        <v>615</v>
      </c>
    </row>
    <row r="1068" spans="1:19" x14ac:dyDescent="0.2">
      <c r="A1068" t="s">
        <v>1679</v>
      </c>
      <c r="B1068" t="s">
        <v>75</v>
      </c>
      <c r="C1068" t="s">
        <v>617</v>
      </c>
      <c r="D1068">
        <v>2099.42</v>
      </c>
      <c r="E1068" s="37" t="str">
        <f t="shared" si="80"/>
        <v xml:space="preserve"> </v>
      </c>
      <c r="F1068">
        <v>0.42</v>
      </c>
      <c r="G1068" s="37" t="str">
        <f t="shared" si="81"/>
        <v>Heavy Discount</v>
      </c>
      <c r="H1068" s="37" t="str">
        <f t="shared" si="82"/>
        <v>High</v>
      </c>
      <c r="I1068">
        <v>6</v>
      </c>
      <c r="J1068" t="str" cm="1">
        <f t="array" ref="J1068">_xlfn.IFS(I1068&lt;=3,"small",I1068&lt;=6,"Medium",I1068&lt;=9,"Large")</f>
        <v>Medium</v>
      </c>
      <c r="K1068" s="36">
        <v>45493</v>
      </c>
      <c r="L1068" s="36">
        <v>45499</v>
      </c>
      <c r="M1068" t="s">
        <v>603</v>
      </c>
      <c r="N1068" t="s">
        <v>608</v>
      </c>
      <c r="O1068" s="37" t="str">
        <f t="shared" si="83"/>
        <v>Cash Payment</v>
      </c>
      <c r="P1068">
        <v>255.88</v>
      </c>
      <c r="Q1068" s="37" t="str">
        <f>IF(P1068&gt;500,"High","low")</f>
        <v>low</v>
      </c>
      <c r="R1068" s="37" t="str">
        <f t="shared" si="84"/>
        <v>AVERAGE</v>
      </c>
      <c r="S1068" t="s">
        <v>615</v>
      </c>
    </row>
    <row r="1069" spans="1:19" x14ac:dyDescent="0.2">
      <c r="A1069" t="s">
        <v>1680</v>
      </c>
      <c r="B1069" t="s">
        <v>90</v>
      </c>
      <c r="C1069" t="s">
        <v>602</v>
      </c>
      <c r="D1069">
        <v>2602.69</v>
      </c>
      <c r="E1069" s="37" t="str">
        <f t="shared" si="80"/>
        <v xml:space="preserve"> </v>
      </c>
      <c r="F1069">
        <v>0.1</v>
      </c>
      <c r="G1069" s="37" t="str">
        <f t="shared" si="81"/>
        <v>Normal Discount</v>
      </c>
      <c r="H1069" s="37" t="str">
        <f t="shared" si="82"/>
        <v>Low</v>
      </c>
      <c r="I1069">
        <v>8</v>
      </c>
      <c r="J1069" t="str" cm="1">
        <f t="array" ref="J1069">_xlfn.IFS(I1069&lt;=3,"small",I1069&lt;=6,"Medium",I1069&lt;=9,"Large")</f>
        <v>Large</v>
      </c>
      <c r="K1069" s="36">
        <v>45417</v>
      </c>
      <c r="L1069" s="36">
        <v>45419</v>
      </c>
      <c r="M1069" t="s">
        <v>603</v>
      </c>
      <c r="N1069" t="s">
        <v>608</v>
      </c>
      <c r="O1069" s="37" t="str">
        <f t="shared" si="83"/>
        <v>Cash Payment</v>
      </c>
      <c r="P1069">
        <v>689.55</v>
      </c>
      <c r="Q1069" s="37" t="str">
        <f>IF(P1069&gt;500,"High","low")</f>
        <v>High</v>
      </c>
      <c r="R1069" s="37" t="str">
        <f t="shared" si="84"/>
        <v>Good</v>
      </c>
      <c r="S1069" t="s">
        <v>609</v>
      </c>
    </row>
    <row r="1070" spans="1:19" x14ac:dyDescent="0.2">
      <c r="A1070" t="s">
        <v>1681</v>
      </c>
      <c r="B1070" t="s">
        <v>75</v>
      </c>
      <c r="C1070" t="s">
        <v>597</v>
      </c>
      <c r="D1070">
        <v>4498.4399999999996</v>
      </c>
      <c r="E1070" s="37" t="str">
        <f t="shared" si="80"/>
        <v>Excellent Order</v>
      </c>
      <c r="F1070">
        <v>0.49</v>
      </c>
      <c r="G1070" s="37" t="str">
        <f t="shared" si="81"/>
        <v>Heavy Discount</v>
      </c>
      <c r="H1070" s="37" t="str">
        <f t="shared" si="82"/>
        <v>High</v>
      </c>
      <c r="I1070">
        <v>5</v>
      </c>
      <c r="J1070" t="str" cm="1">
        <f t="array" ref="J1070">_xlfn.IFS(I1070&lt;=3,"small",I1070&lt;=6,"Medium",I1070&lt;=9,"Large")</f>
        <v>Medium</v>
      </c>
      <c r="K1070" s="36">
        <v>45234</v>
      </c>
      <c r="L1070" s="36">
        <v>45238</v>
      </c>
      <c r="M1070" t="s">
        <v>612</v>
      </c>
      <c r="N1070" t="s">
        <v>608</v>
      </c>
      <c r="O1070" s="37" t="str">
        <f t="shared" si="83"/>
        <v>Cash Payment</v>
      </c>
      <c r="P1070">
        <v>971.47</v>
      </c>
      <c r="Q1070" s="37" t="str">
        <f>IF(P1070&gt;500,"High","low")</f>
        <v>High</v>
      </c>
      <c r="R1070" s="37" t="str">
        <f t="shared" si="84"/>
        <v>Good</v>
      </c>
      <c r="S1070" t="s">
        <v>600</v>
      </c>
    </row>
    <row r="1071" spans="1:19" x14ac:dyDescent="0.2">
      <c r="A1071" t="s">
        <v>1682</v>
      </c>
      <c r="B1071" t="s">
        <v>75</v>
      </c>
      <c r="C1071" t="s">
        <v>607</v>
      </c>
      <c r="D1071">
        <v>2343.5</v>
      </c>
      <c r="E1071" s="37" t="str">
        <f t="shared" si="80"/>
        <v xml:space="preserve"> </v>
      </c>
      <c r="F1071">
        <v>0.46</v>
      </c>
      <c r="G1071" s="37" t="str">
        <f t="shared" si="81"/>
        <v>Heavy Discount</v>
      </c>
      <c r="H1071" s="37" t="str">
        <f t="shared" si="82"/>
        <v>High</v>
      </c>
      <c r="I1071">
        <v>8</v>
      </c>
      <c r="J1071" t="str" cm="1">
        <f t="array" ref="J1071">_xlfn.IFS(I1071&lt;=3,"small",I1071&lt;=6,"Medium",I1071&lt;=9,"Large")</f>
        <v>Large</v>
      </c>
      <c r="K1071" s="36">
        <v>45381</v>
      </c>
      <c r="L1071" s="36">
        <v>45387</v>
      </c>
      <c r="M1071" t="s">
        <v>612</v>
      </c>
      <c r="N1071" t="s">
        <v>599</v>
      </c>
      <c r="O1071" s="37" t="str">
        <f t="shared" si="83"/>
        <v>Digital Payment</v>
      </c>
      <c r="P1071">
        <v>288.02999999999997</v>
      </c>
      <c r="Q1071" s="37" t="str">
        <f>IF(P1071&gt;500,"High","low")</f>
        <v>low</v>
      </c>
      <c r="R1071" s="37" t="str">
        <f t="shared" si="84"/>
        <v>AVERAGE</v>
      </c>
      <c r="S1071" t="s">
        <v>620</v>
      </c>
    </row>
    <row r="1072" spans="1:19" x14ac:dyDescent="0.2">
      <c r="A1072" t="s">
        <v>1683</v>
      </c>
      <c r="B1072" t="s">
        <v>75</v>
      </c>
      <c r="C1072" t="s">
        <v>617</v>
      </c>
      <c r="D1072">
        <v>3169.19</v>
      </c>
      <c r="E1072" s="37" t="str">
        <f t="shared" si="80"/>
        <v xml:space="preserve"> </v>
      </c>
      <c r="F1072">
        <v>0.3</v>
      </c>
      <c r="G1072" s="37" t="str">
        <f t="shared" si="81"/>
        <v>Normal Discount</v>
      </c>
      <c r="H1072" s="37" t="str">
        <f t="shared" si="82"/>
        <v>Medium</v>
      </c>
      <c r="I1072">
        <v>8</v>
      </c>
      <c r="J1072" t="str" cm="1">
        <f t="array" ref="J1072">_xlfn.IFS(I1072&lt;=3,"small",I1072&lt;=6,"Medium",I1072&lt;=9,"Large")</f>
        <v>Large</v>
      </c>
      <c r="K1072" s="36">
        <v>44950</v>
      </c>
      <c r="L1072" s="36">
        <v>44952</v>
      </c>
      <c r="M1072" t="s">
        <v>598</v>
      </c>
      <c r="N1072" t="s">
        <v>604</v>
      </c>
      <c r="O1072" s="37" t="str">
        <f t="shared" si="83"/>
        <v>Digital Payment</v>
      </c>
      <c r="P1072">
        <v>486.7</v>
      </c>
      <c r="Q1072" s="37" t="str">
        <f>IF(P1072&gt;500,"High","low")</f>
        <v>low</v>
      </c>
      <c r="R1072" s="37" t="str">
        <f t="shared" si="84"/>
        <v>AVERAGE</v>
      </c>
      <c r="S1072" t="s">
        <v>609</v>
      </c>
    </row>
    <row r="1073" spans="1:19" x14ac:dyDescent="0.2">
      <c r="A1073" t="s">
        <v>1684</v>
      </c>
      <c r="B1073" t="s">
        <v>83</v>
      </c>
      <c r="C1073" t="s">
        <v>617</v>
      </c>
      <c r="D1073">
        <v>4812.58</v>
      </c>
      <c r="E1073" s="37" t="str">
        <f t="shared" si="80"/>
        <v xml:space="preserve"> </v>
      </c>
      <c r="F1073">
        <v>0.33</v>
      </c>
      <c r="G1073" s="37" t="str">
        <f t="shared" si="81"/>
        <v>Heavy Discount</v>
      </c>
      <c r="H1073" s="37" t="str">
        <f t="shared" si="82"/>
        <v>Medium</v>
      </c>
      <c r="I1073">
        <v>3</v>
      </c>
      <c r="J1073" t="str" cm="1">
        <f t="array" ref="J1073">_xlfn.IFS(I1073&lt;=3,"small",I1073&lt;=6,"Medium",I1073&lt;=9,"Large")</f>
        <v>small</v>
      </c>
      <c r="K1073" s="36">
        <v>45209</v>
      </c>
      <c r="L1073" s="36">
        <v>45210</v>
      </c>
      <c r="M1073" t="s">
        <v>612</v>
      </c>
      <c r="N1073" t="s">
        <v>599</v>
      </c>
      <c r="O1073" s="37" t="str">
        <f t="shared" si="83"/>
        <v>Digital Payment</v>
      </c>
      <c r="P1073">
        <v>286.76</v>
      </c>
      <c r="Q1073" s="37" t="str">
        <f>IF(P1073&gt;500,"High","low")</f>
        <v>low</v>
      </c>
      <c r="R1073" s="37" t="str">
        <f t="shared" si="84"/>
        <v>AVERAGE</v>
      </c>
      <c r="S1073" t="s">
        <v>620</v>
      </c>
    </row>
    <row r="1074" spans="1:19" x14ac:dyDescent="0.2">
      <c r="A1074" t="s">
        <v>1685</v>
      </c>
      <c r="B1074" t="s">
        <v>83</v>
      </c>
      <c r="C1074" t="s">
        <v>597</v>
      </c>
      <c r="D1074">
        <v>2311.81</v>
      </c>
      <c r="E1074" s="37" t="str">
        <f t="shared" si="80"/>
        <v xml:space="preserve"> </v>
      </c>
      <c r="F1074">
        <v>0.27</v>
      </c>
      <c r="G1074" s="37" t="str">
        <f t="shared" si="81"/>
        <v>Normal Discount</v>
      </c>
      <c r="H1074" s="37" t="str">
        <f t="shared" si="82"/>
        <v>Medium</v>
      </c>
      <c r="I1074">
        <v>6</v>
      </c>
      <c r="J1074" t="str" cm="1">
        <f t="array" ref="J1074">_xlfn.IFS(I1074&lt;=3,"small",I1074&lt;=6,"Medium",I1074&lt;=9,"Large")</f>
        <v>Medium</v>
      </c>
      <c r="K1074" s="36">
        <v>45297</v>
      </c>
      <c r="L1074" s="36">
        <v>45302</v>
      </c>
      <c r="M1074" t="s">
        <v>612</v>
      </c>
      <c r="N1074" t="s">
        <v>604</v>
      </c>
      <c r="O1074" s="37" t="str">
        <f t="shared" si="83"/>
        <v>Digital Payment</v>
      </c>
      <c r="P1074">
        <v>644.46</v>
      </c>
      <c r="Q1074" s="37" t="str">
        <f>IF(P1074&gt;500,"High","low")</f>
        <v>High</v>
      </c>
      <c r="R1074" s="37" t="str">
        <f t="shared" si="84"/>
        <v>Good</v>
      </c>
      <c r="S1074" t="s">
        <v>605</v>
      </c>
    </row>
    <row r="1075" spans="1:19" x14ac:dyDescent="0.2">
      <c r="A1075" t="s">
        <v>1686</v>
      </c>
      <c r="B1075" t="s">
        <v>90</v>
      </c>
      <c r="C1075" t="s">
        <v>607</v>
      </c>
      <c r="D1075">
        <v>2847.57</v>
      </c>
      <c r="E1075" s="37" t="str">
        <f t="shared" si="80"/>
        <v xml:space="preserve"> </v>
      </c>
      <c r="F1075">
        <v>0.2</v>
      </c>
      <c r="G1075" s="37" t="str">
        <f t="shared" si="81"/>
        <v>Normal Discount</v>
      </c>
      <c r="H1075" s="37" t="str">
        <f t="shared" si="82"/>
        <v>Medium</v>
      </c>
      <c r="I1075">
        <v>1</v>
      </c>
      <c r="J1075" t="str" cm="1">
        <f t="array" ref="J1075">_xlfn.IFS(I1075&lt;=3,"small",I1075&lt;=6,"Medium",I1075&lt;=9,"Large")</f>
        <v>small</v>
      </c>
      <c r="K1075" s="36">
        <v>45504</v>
      </c>
      <c r="L1075" s="36">
        <v>45505</v>
      </c>
      <c r="M1075" t="s">
        <v>612</v>
      </c>
      <c r="N1075" t="s">
        <v>599</v>
      </c>
      <c r="O1075" s="37" t="str">
        <f t="shared" si="83"/>
        <v>Digital Payment</v>
      </c>
      <c r="P1075">
        <v>689.37</v>
      </c>
      <c r="Q1075" s="37" t="str">
        <f>IF(P1075&gt;500,"High","low")</f>
        <v>High</v>
      </c>
      <c r="R1075" s="37" t="str">
        <f t="shared" si="84"/>
        <v>Good</v>
      </c>
      <c r="S1075" t="s">
        <v>605</v>
      </c>
    </row>
    <row r="1076" spans="1:19" x14ac:dyDescent="0.2">
      <c r="A1076" t="s">
        <v>1687</v>
      </c>
      <c r="B1076" t="s">
        <v>75</v>
      </c>
      <c r="C1076" t="s">
        <v>617</v>
      </c>
      <c r="D1076">
        <v>2963.63</v>
      </c>
      <c r="E1076" s="37" t="str">
        <f t="shared" si="80"/>
        <v xml:space="preserve"> </v>
      </c>
      <c r="F1076">
        <v>0.18</v>
      </c>
      <c r="G1076" s="37" t="str">
        <f t="shared" si="81"/>
        <v>Normal Discount</v>
      </c>
      <c r="H1076" s="37" t="str">
        <f t="shared" si="82"/>
        <v>Low</v>
      </c>
      <c r="I1076">
        <v>5</v>
      </c>
      <c r="J1076" t="str" cm="1">
        <f t="array" ref="J1076">_xlfn.IFS(I1076&lt;=3,"small",I1076&lt;=6,"Medium",I1076&lt;=9,"Large")</f>
        <v>Medium</v>
      </c>
      <c r="K1076" s="36">
        <v>45632</v>
      </c>
      <c r="L1076" s="36">
        <v>45636</v>
      </c>
      <c r="M1076" t="s">
        <v>603</v>
      </c>
      <c r="N1076" t="s">
        <v>604</v>
      </c>
      <c r="O1076" s="37" t="str">
        <f t="shared" si="83"/>
        <v>Digital Payment</v>
      </c>
      <c r="P1076">
        <v>599.91999999999996</v>
      </c>
      <c r="Q1076" s="37" t="str">
        <f>IF(P1076&gt;500,"High","low")</f>
        <v>High</v>
      </c>
      <c r="R1076" s="37" t="str">
        <f t="shared" si="84"/>
        <v>Good</v>
      </c>
      <c r="S1076" t="s">
        <v>615</v>
      </c>
    </row>
    <row r="1077" spans="1:19" x14ac:dyDescent="0.2">
      <c r="A1077" t="s">
        <v>1688</v>
      </c>
      <c r="B1077" t="s">
        <v>75</v>
      </c>
      <c r="C1077" t="s">
        <v>617</v>
      </c>
      <c r="D1077">
        <v>1279.49</v>
      </c>
      <c r="E1077" s="37" t="str">
        <f t="shared" si="80"/>
        <v xml:space="preserve"> </v>
      </c>
      <c r="F1077">
        <v>0.45</v>
      </c>
      <c r="G1077" s="37" t="str">
        <f t="shared" si="81"/>
        <v>Heavy Discount</v>
      </c>
      <c r="H1077" s="37" t="str">
        <f t="shared" si="82"/>
        <v>High</v>
      </c>
      <c r="I1077">
        <v>7</v>
      </c>
      <c r="J1077" t="str" cm="1">
        <f t="array" ref="J1077">_xlfn.IFS(I1077&lt;=3,"small",I1077&lt;=6,"Medium",I1077&lt;=9,"Large")</f>
        <v>Large</v>
      </c>
      <c r="K1077" s="36">
        <v>45045</v>
      </c>
      <c r="L1077" s="36">
        <v>45046</v>
      </c>
      <c r="M1077" t="s">
        <v>612</v>
      </c>
      <c r="N1077" t="s">
        <v>604</v>
      </c>
      <c r="O1077" s="37" t="str">
        <f t="shared" si="83"/>
        <v>Digital Payment</v>
      </c>
      <c r="P1077">
        <v>374.63</v>
      </c>
      <c r="Q1077" s="37" t="str">
        <f>IF(P1077&gt;500,"High","low")</f>
        <v>low</v>
      </c>
      <c r="R1077" s="37" t="str">
        <f t="shared" si="84"/>
        <v>AVERAGE</v>
      </c>
      <c r="S1077" t="s">
        <v>605</v>
      </c>
    </row>
    <row r="1078" spans="1:19" x14ac:dyDescent="0.2">
      <c r="A1078" t="s">
        <v>1689</v>
      </c>
      <c r="B1078" t="s">
        <v>83</v>
      </c>
      <c r="C1078" t="s">
        <v>602</v>
      </c>
      <c r="D1078">
        <v>3710.92</v>
      </c>
      <c r="E1078" s="37" t="str">
        <f t="shared" si="80"/>
        <v xml:space="preserve"> </v>
      </c>
      <c r="F1078">
        <v>0.28999999999999998</v>
      </c>
      <c r="G1078" s="37" t="str">
        <f t="shared" si="81"/>
        <v>Normal Discount</v>
      </c>
      <c r="H1078" s="37" t="str">
        <f t="shared" si="82"/>
        <v>Medium</v>
      </c>
      <c r="I1078">
        <v>5</v>
      </c>
      <c r="J1078" t="str" cm="1">
        <f t="array" ref="J1078">_xlfn.IFS(I1078&lt;=3,"small",I1078&lt;=6,"Medium",I1078&lt;=9,"Large")</f>
        <v>Medium</v>
      </c>
      <c r="K1078" s="36">
        <v>45175</v>
      </c>
      <c r="L1078" s="36">
        <v>45179</v>
      </c>
      <c r="M1078" t="s">
        <v>612</v>
      </c>
      <c r="N1078" t="s">
        <v>599</v>
      </c>
      <c r="O1078" s="37" t="str">
        <f t="shared" si="83"/>
        <v>Digital Payment</v>
      </c>
      <c r="P1078">
        <v>1040.81</v>
      </c>
      <c r="Q1078" s="37" t="str">
        <f>IF(P1078&gt;500,"High","low")</f>
        <v>High</v>
      </c>
      <c r="R1078" s="37" t="str">
        <f t="shared" si="84"/>
        <v>Excellent</v>
      </c>
      <c r="S1078" t="s">
        <v>605</v>
      </c>
    </row>
    <row r="1079" spans="1:19" x14ac:dyDescent="0.2">
      <c r="A1079" t="s">
        <v>1690</v>
      </c>
      <c r="B1079" t="s">
        <v>75</v>
      </c>
      <c r="C1079" t="s">
        <v>602</v>
      </c>
      <c r="D1079">
        <v>3660.52</v>
      </c>
      <c r="E1079" s="37" t="str">
        <f t="shared" si="80"/>
        <v xml:space="preserve"> </v>
      </c>
      <c r="F1079">
        <v>0.41</v>
      </c>
      <c r="G1079" s="37" t="str">
        <f t="shared" si="81"/>
        <v>Heavy Discount</v>
      </c>
      <c r="H1079" s="37" t="str">
        <f t="shared" si="82"/>
        <v>High</v>
      </c>
      <c r="I1079">
        <v>3</v>
      </c>
      <c r="J1079" t="str" cm="1">
        <f t="array" ref="J1079">_xlfn.IFS(I1079&lt;=3,"small",I1079&lt;=6,"Medium",I1079&lt;=9,"Large")</f>
        <v>small</v>
      </c>
      <c r="K1079" s="36">
        <v>44988</v>
      </c>
      <c r="L1079" s="36">
        <v>44990</v>
      </c>
      <c r="M1079" t="s">
        <v>603</v>
      </c>
      <c r="N1079" t="s">
        <v>599</v>
      </c>
      <c r="O1079" s="37" t="str">
        <f t="shared" si="83"/>
        <v>Digital Payment</v>
      </c>
      <c r="P1079">
        <v>1021.88</v>
      </c>
      <c r="Q1079" s="37" t="str">
        <f>IF(P1079&gt;500,"High","low")</f>
        <v>High</v>
      </c>
      <c r="R1079" s="37" t="str">
        <f t="shared" si="84"/>
        <v>Excellent</v>
      </c>
      <c r="S1079" t="s">
        <v>600</v>
      </c>
    </row>
    <row r="1080" spans="1:19" x14ac:dyDescent="0.2">
      <c r="A1080" t="s">
        <v>1691</v>
      </c>
      <c r="B1080" t="s">
        <v>83</v>
      </c>
      <c r="C1080" t="s">
        <v>614</v>
      </c>
      <c r="D1080">
        <v>1146.43</v>
      </c>
      <c r="E1080" s="37" t="str">
        <f t="shared" si="80"/>
        <v xml:space="preserve"> </v>
      </c>
      <c r="F1080">
        <v>0.26</v>
      </c>
      <c r="G1080" s="37" t="str">
        <f t="shared" si="81"/>
        <v>Normal Discount</v>
      </c>
      <c r="H1080" s="37" t="str">
        <f t="shared" si="82"/>
        <v>Medium</v>
      </c>
      <c r="I1080">
        <v>2</v>
      </c>
      <c r="J1080" t="str" cm="1">
        <f t="array" ref="J1080">_xlfn.IFS(I1080&lt;=3,"small",I1080&lt;=6,"Medium",I1080&lt;=9,"Large")</f>
        <v>small</v>
      </c>
      <c r="K1080" s="36">
        <v>45326</v>
      </c>
      <c r="L1080" s="36">
        <v>45329</v>
      </c>
      <c r="M1080" t="s">
        <v>603</v>
      </c>
      <c r="N1080" t="s">
        <v>604</v>
      </c>
      <c r="O1080" s="37" t="str">
        <f t="shared" si="83"/>
        <v>Digital Payment</v>
      </c>
      <c r="P1080">
        <v>144.41</v>
      </c>
      <c r="Q1080" s="37" t="str">
        <f>IF(P1080&gt;500,"High","low")</f>
        <v>low</v>
      </c>
      <c r="R1080" s="37" t="str">
        <f t="shared" si="84"/>
        <v>AVERAGE</v>
      </c>
      <c r="S1080" t="s">
        <v>620</v>
      </c>
    </row>
    <row r="1081" spans="1:19" x14ac:dyDescent="0.2">
      <c r="A1081" t="s">
        <v>1692</v>
      </c>
      <c r="B1081" t="s">
        <v>75</v>
      </c>
      <c r="C1081" t="s">
        <v>597</v>
      </c>
      <c r="D1081">
        <v>165.36</v>
      </c>
      <c r="E1081" s="37" t="str">
        <f t="shared" si="80"/>
        <v xml:space="preserve"> </v>
      </c>
      <c r="F1081">
        <v>0.15</v>
      </c>
      <c r="G1081" s="37" t="str">
        <f t="shared" si="81"/>
        <v>Normal Discount</v>
      </c>
      <c r="H1081" s="37" t="str">
        <f t="shared" si="82"/>
        <v>Low</v>
      </c>
      <c r="I1081">
        <v>2</v>
      </c>
      <c r="J1081" t="str" cm="1">
        <f t="array" ref="J1081">_xlfn.IFS(I1081&lt;=3,"small",I1081&lt;=6,"Medium",I1081&lt;=9,"Large")</f>
        <v>small</v>
      </c>
      <c r="K1081" s="36">
        <v>45066</v>
      </c>
      <c r="L1081" s="36">
        <v>45069</v>
      </c>
      <c r="M1081" t="s">
        <v>603</v>
      </c>
      <c r="N1081" t="s">
        <v>608</v>
      </c>
      <c r="O1081" s="37" t="str">
        <f t="shared" si="83"/>
        <v>Cash Payment</v>
      </c>
      <c r="P1081">
        <v>17.64</v>
      </c>
      <c r="Q1081" s="37" t="str">
        <f>IF(P1081&gt;500,"High","low")</f>
        <v>low</v>
      </c>
      <c r="R1081" s="37" t="str">
        <f t="shared" si="84"/>
        <v>AVERAGE</v>
      </c>
      <c r="S1081" t="s">
        <v>615</v>
      </c>
    </row>
    <row r="1082" spans="1:19" x14ac:dyDescent="0.2">
      <c r="A1082" t="s">
        <v>1693</v>
      </c>
      <c r="B1082" t="s">
        <v>90</v>
      </c>
      <c r="C1082" t="s">
        <v>607</v>
      </c>
      <c r="D1082">
        <v>4994.8100000000004</v>
      </c>
      <c r="E1082" s="37" t="str">
        <f t="shared" si="80"/>
        <v>Excellent Order</v>
      </c>
      <c r="F1082">
        <v>0.05</v>
      </c>
      <c r="G1082" s="37" t="str">
        <f t="shared" si="81"/>
        <v>Normal Discount</v>
      </c>
      <c r="H1082" s="37" t="str">
        <f t="shared" si="82"/>
        <v>Low</v>
      </c>
      <c r="I1082">
        <v>9</v>
      </c>
      <c r="J1082" t="str" cm="1">
        <f t="array" ref="J1082">_xlfn.IFS(I1082&lt;=3,"small",I1082&lt;=6,"Medium",I1082&lt;=9,"Large")</f>
        <v>Large</v>
      </c>
      <c r="K1082" s="36">
        <v>45478</v>
      </c>
      <c r="L1082" s="36">
        <v>45480</v>
      </c>
      <c r="M1082" t="s">
        <v>603</v>
      </c>
      <c r="N1082" t="s">
        <v>608</v>
      </c>
      <c r="O1082" s="37" t="str">
        <f t="shared" si="83"/>
        <v>Cash Payment</v>
      </c>
      <c r="P1082">
        <v>1178.3800000000001</v>
      </c>
      <c r="Q1082" s="37" t="str">
        <f>IF(P1082&gt;500,"High","low")</f>
        <v>High</v>
      </c>
      <c r="R1082" s="37" t="str">
        <f t="shared" si="84"/>
        <v>Excellent</v>
      </c>
      <c r="S1082" t="s">
        <v>605</v>
      </c>
    </row>
    <row r="1083" spans="1:19" x14ac:dyDescent="0.2">
      <c r="A1083" t="s">
        <v>1694</v>
      </c>
      <c r="B1083" t="s">
        <v>75</v>
      </c>
      <c r="C1083" t="s">
        <v>617</v>
      </c>
      <c r="D1083">
        <v>2949.78</v>
      </c>
      <c r="E1083" s="37" t="str">
        <f t="shared" si="80"/>
        <v xml:space="preserve"> </v>
      </c>
      <c r="F1083">
        <v>0.16</v>
      </c>
      <c r="G1083" s="37" t="str">
        <f t="shared" si="81"/>
        <v>Normal Discount</v>
      </c>
      <c r="H1083" s="37" t="str">
        <f t="shared" si="82"/>
        <v>Low</v>
      </c>
      <c r="I1083">
        <v>2</v>
      </c>
      <c r="J1083" t="str" cm="1">
        <f t="array" ref="J1083">_xlfn.IFS(I1083&lt;=3,"small",I1083&lt;=6,"Medium",I1083&lt;=9,"Large")</f>
        <v>small</v>
      </c>
      <c r="K1083" s="36">
        <v>45144</v>
      </c>
      <c r="L1083" s="36">
        <v>45150</v>
      </c>
      <c r="M1083" t="s">
        <v>603</v>
      </c>
      <c r="N1083" t="s">
        <v>604</v>
      </c>
      <c r="O1083" s="37" t="str">
        <f t="shared" si="83"/>
        <v>Digital Payment</v>
      </c>
      <c r="P1083">
        <v>388.27</v>
      </c>
      <c r="Q1083" s="37" t="str">
        <f>IF(P1083&gt;500,"High","low")</f>
        <v>low</v>
      </c>
      <c r="R1083" s="37" t="str">
        <f t="shared" si="84"/>
        <v>AVERAGE</v>
      </c>
      <c r="S1083" t="s">
        <v>615</v>
      </c>
    </row>
    <row r="1084" spans="1:19" x14ac:dyDescent="0.2">
      <c r="A1084" t="s">
        <v>1695</v>
      </c>
      <c r="B1084" t="s">
        <v>75</v>
      </c>
      <c r="C1084" t="s">
        <v>617</v>
      </c>
      <c r="D1084">
        <v>987.06</v>
      </c>
      <c r="E1084" s="37" t="str">
        <f t="shared" si="80"/>
        <v xml:space="preserve"> </v>
      </c>
      <c r="F1084">
        <v>0.44</v>
      </c>
      <c r="G1084" s="37" t="str">
        <f t="shared" si="81"/>
        <v>Heavy Discount</v>
      </c>
      <c r="H1084" s="37" t="str">
        <f t="shared" si="82"/>
        <v>High</v>
      </c>
      <c r="I1084">
        <v>7</v>
      </c>
      <c r="J1084" t="str" cm="1">
        <f t="array" ref="J1084">_xlfn.IFS(I1084&lt;=3,"small",I1084&lt;=6,"Medium",I1084&lt;=9,"Large")</f>
        <v>Large</v>
      </c>
      <c r="K1084" s="36">
        <v>44936</v>
      </c>
      <c r="L1084" s="36">
        <v>44941</v>
      </c>
      <c r="M1084" t="s">
        <v>612</v>
      </c>
      <c r="N1084" t="s">
        <v>608</v>
      </c>
      <c r="O1084" s="37" t="str">
        <f t="shared" si="83"/>
        <v>Cash Payment</v>
      </c>
      <c r="P1084">
        <v>116.47</v>
      </c>
      <c r="Q1084" s="37" t="str">
        <f>IF(P1084&gt;500,"High","low")</f>
        <v>low</v>
      </c>
      <c r="R1084" s="37" t="str">
        <f t="shared" si="84"/>
        <v>AVERAGE</v>
      </c>
      <c r="S1084" t="s">
        <v>620</v>
      </c>
    </row>
    <row r="1085" spans="1:19" x14ac:dyDescent="0.2">
      <c r="A1085" t="s">
        <v>1696</v>
      </c>
      <c r="B1085" t="s">
        <v>67</v>
      </c>
      <c r="C1085" t="s">
        <v>614</v>
      </c>
      <c r="D1085">
        <v>1489.47</v>
      </c>
      <c r="E1085" s="37" t="str">
        <f t="shared" si="80"/>
        <v xml:space="preserve"> </v>
      </c>
      <c r="F1085">
        <v>0.36</v>
      </c>
      <c r="G1085" s="37" t="str">
        <f t="shared" si="81"/>
        <v>Heavy Discount</v>
      </c>
      <c r="H1085" s="37" t="str">
        <f t="shared" si="82"/>
        <v>Medium</v>
      </c>
      <c r="I1085">
        <v>9</v>
      </c>
      <c r="J1085" t="str" cm="1">
        <f t="array" ref="J1085">_xlfn.IFS(I1085&lt;=3,"small",I1085&lt;=6,"Medium",I1085&lt;=9,"Large")</f>
        <v>Large</v>
      </c>
      <c r="K1085" s="36">
        <v>45493</v>
      </c>
      <c r="L1085" s="36">
        <v>45497</v>
      </c>
      <c r="M1085" t="s">
        <v>612</v>
      </c>
      <c r="N1085" t="s">
        <v>604</v>
      </c>
      <c r="O1085" s="37" t="str">
        <f t="shared" si="83"/>
        <v>Digital Payment</v>
      </c>
      <c r="P1085">
        <v>168.51</v>
      </c>
      <c r="Q1085" s="37" t="str">
        <f>IF(P1085&gt;500,"High","low")</f>
        <v>low</v>
      </c>
      <c r="R1085" s="37" t="str">
        <f t="shared" si="84"/>
        <v>AVERAGE</v>
      </c>
      <c r="S1085" t="s">
        <v>600</v>
      </c>
    </row>
    <row r="1086" spans="1:19" x14ac:dyDescent="0.2">
      <c r="A1086" t="s">
        <v>1697</v>
      </c>
      <c r="B1086" t="s">
        <v>83</v>
      </c>
      <c r="C1086" t="s">
        <v>617</v>
      </c>
      <c r="D1086">
        <v>3127.18</v>
      </c>
      <c r="E1086" s="37" t="str">
        <f t="shared" si="80"/>
        <v xml:space="preserve"> </v>
      </c>
      <c r="F1086">
        <v>0.39</v>
      </c>
      <c r="G1086" s="37" t="str">
        <f t="shared" si="81"/>
        <v>Heavy Discount</v>
      </c>
      <c r="H1086" s="37" t="str">
        <f t="shared" si="82"/>
        <v>Medium</v>
      </c>
      <c r="I1086">
        <v>3</v>
      </c>
      <c r="J1086" t="str" cm="1">
        <f t="array" ref="J1086">_xlfn.IFS(I1086&lt;=3,"small",I1086&lt;=6,"Medium",I1086&lt;=9,"Large")</f>
        <v>small</v>
      </c>
      <c r="K1086" s="36">
        <v>45015</v>
      </c>
      <c r="L1086" s="36">
        <v>45022</v>
      </c>
      <c r="M1086" t="s">
        <v>598</v>
      </c>
      <c r="N1086" t="s">
        <v>608</v>
      </c>
      <c r="O1086" s="37" t="str">
        <f t="shared" si="83"/>
        <v>Cash Payment</v>
      </c>
      <c r="P1086">
        <v>210.46</v>
      </c>
      <c r="Q1086" s="37" t="str">
        <f>IF(P1086&gt;500,"High","low")</f>
        <v>low</v>
      </c>
      <c r="R1086" s="37" t="str">
        <f t="shared" si="84"/>
        <v>AVERAGE</v>
      </c>
      <c r="S1086" t="s">
        <v>628</v>
      </c>
    </row>
    <row r="1087" spans="1:19" x14ac:dyDescent="0.2">
      <c r="A1087" t="s">
        <v>1698</v>
      </c>
      <c r="B1087" t="s">
        <v>75</v>
      </c>
      <c r="C1087" t="s">
        <v>597</v>
      </c>
      <c r="D1087">
        <v>774.32</v>
      </c>
      <c r="E1087" s="37" t="str">
        <f t="shared" si="80"/>
        <v xml:space="preserve"> </v>
      </c>
      <c r="F1087">
        <v>0.39</v>
      </c>
      <c r="G1087" s="37" t="str">
        <f t="shared" si="81"/>
        <v>Heavy Discount</v>
      </c>
      <c r="H1087" s="37" t="str">
        <f t="shared" si="82"/>
        <v>Medium</v>
      </c>
      <c r="I1087">
        <v>7</v>
      </c>
      <c r="J1087" t="str" cm="1">
        <f t="array" ref="J1087">_xlfn.IFS(I1087&lt;=3,"small",I1087&lt;=6,"Medium",I1087&lt;=9,"Large")</f>
        <v>Large</v>
      </c>
      <c r="K1087" s="36">
        <v>45442</v>
      </c>
      <c r="L1087" s="36">
        <v>45443</v>
      </c>
      <c r="M1087" t="s">
        <v>612</v>
      </c>
      <c r="N1087" t="s">
        <v>608</v>
      </c>
      <c r="O1087" s="37" t="str">
        <f t="shared" si="83"/>
        <v>Cash Payment</v>
      </c>
      <c r="P1087">
        <v>178.99</v>
      </c>
      <c r="Q1087" s="37" t="str">
        <f>IF(P1087&gt;500,"High","low")</f>
        <v>low</v>
      </c>
      <c r="R1087" s="37" t="str">
        <f t="shared" si="84"/>
        <v>AVERAGE</v>
      </c>
      <c r="S1087" t="s">
        <v>605</v>
      </c>
    </row>
    <row r="1088" spans="1:19" x14ac:dyDescent="0.2">
      <c r="A1088" t="s">
        <v>1699</v>
      </c>
      <c r="B1088" t="s">
        <v>75</v>
      </c>
      <c r="C1088" t="s">
        <v>614</v>
      </c>
      <c r="D1088">
        <v>282.68</v>
      </c>
      <c r="E1088" s="37" t="str">
        <f t="shared" si="80"/>
        <v xml:space="preserve"> </v>
      </c>
      <c r="F1088">
        <v>0.06</v>
      </c>
      <c r="G1088" s="37" t="str">
        <f t="shared" si="81"/>
        <v>Normal Discount</v>
      </c>
      <c r="H1088" s="37" t="str">
        <f t="shared" si="82"/>
        <v>Low</v>
      </c>
      <c r="I1088">
        <v>1</v>
      </c>
      <c r="J1088" t="str" cm="1">
        <f t="array" ref="J1088">_xlfn.IFS(I1088&lt;=3,"small",I1088&lt;=6,"Medium",I1088&lt;=9,"Large")</f>
        <v>small</v>
      </c>
      <c r="K1088" s="36">
        <v>45400</v>
      </c>
      <c r="L1088" s="36">
        <v>45403</v>
      </c>
      <c r="M1088" t="s">
        <v>603</v>
      </c>
      <c r="N1088" t="s">
        <v>608</v>
      </c>
      <c r="O1088" s="37" t="str">
        <f t="shared" si="83"/>
        <v>Cash Payment</v>
      </c>
      <c r="P1088">
        <v>14.72</v>
      </c>
      <c r="Q1088" s="37" t="str">
        <f>IF(P1088&gt;500,"High","low")</f>
        <v>low</v>
      </c>
      <c r="R1088" s="37" t="str">
        <f t="shared" si="84"/>
        <v>AVERAGE</v>
      </c>
      <c r="S1088" t="s">
        <v>615</v>
      </c>
    </row>
    <row r="1089" spans="1:19" x14ac:dyDescent="0.2">
      <c r="A1089" t="s">
        <v>1700</v>
      </c>
      <c r="B1089" t="s">
        <v>67</v>
      </c>
      <c r="C1089" t="s">
        <v>597</v>
      </c>
      <c r="D1089">
        <v>4012.55</v>
      </c>
      <c r="E1089" s="37" t="str">
        <f t="shared" si="80"/>
        <v xml:space="preserve"> </v>
      </c>
      <c r="F1089">
        <v>0.08</v>
      </c>
      <c r="G1089" s="37" t="str">
        <f t="shared" si="81"/>
        <v>Normal Discount</v>
      </c>
      <c r="H1089" s="37" t="str">
        <f t="shared" si="82"/>
        <v>Low</v>
      </c>
      <c r="I1089">
        <v>6</v>
      </c>
      <c r="J1089" t="str" cm="1">
        <f t="array" ref="J1089">_xlfn.IFS(I1089&lt;=3,"small",I1089&lt;=6,"Medium",I1089&lt;=9,"Large")</f>
        <v>Medium</v>
      </c>
      <c r="K1089" s="36">
        <v>45179</v>
      </c>
      <c r="L1089" s="36">
        <v>45180</v>
      </c>
      <c r="M1089" t="s">
        <v>612</v>
      </c>
      <c r="N1089" t="s">
        <v>604</v>
      </c>
      <c r="O1089" s="37" t="str">
        <f t="shared" si="83"/>
        <v>Digital Payment</v>
      </c>
      <c r="P1089">
        <v>767.08</v>
      </c>
      <c r="Q1089" s="37" t="str">
        <f>IF(P1089&gt;500,"High","low")</f>
        <v>High</v>
      </c>
      <c r="R1089" s="37" t="str">
        <f t="shared" si="84"/>
        <v>Good</v>
      </c>
      <c r="S1089" t="s">
        <v>628</v>
      </c>
    </row>
    <row r="1090" spans="1:19" x14ac:dyDescent="0.2">
      <c r="A1090" t="s">
        <v>1701</v>
      </c>
      <c r="B1090" t="s">
        <v>67</v>
      </c>
      <c r="C1090" t="s">
        <v>614</v>
      </c>
      <c r="D1090">
        <v>3607.65</v>
      </c>
      <c r="E1090" s="37" t="str">
        <f t="shared" si="80"/>
        <v xml:space="preserve"> </v>
      </c>
      <c r="F1090">
        <v>0.16</v>
      </c>
      <c r="G1090" s="37" t="str">
        <f t="shared" si="81"/>
        <v>Normal Discount</v>
      </c>
      <c r="H1090" s="37" t="str">
        <f t="shared" si="82"/>
        <v>Low</v>
      </c>
      <c r="I1090">
        <v>2</v>
      </c>
      <c r="J1090" t="str" cm="1">
        <f t="array" ref="J1090">_xlfn.IFS(I1090&lt;=3,"small",I1090&lt;=6,"Medium",I1090&lt;=9,"Large")</f>
        <v>small</v>
      </c>
      <c r="K1090" s="36">
        <v>45309</v>
      </c>
      <c r="L1090" s="36">
        <v>45316</v>
      </c>
      <c r="M1090" t="s">
        <v>612</v>
      </c>
      <c r="N1090" t="s">
        <v>608</v>
      </c>
      <c r="O1090" s="37" t="str">
        <f t="shared" si="83"/>
        <v>Cash Payment</v>
      </c>
      <c r="P1090">
        <v>420.9</v>
      </c>
      <c r="Q1090" s="37" t="str">
        <f>IF(P1090&gt;500,"High","low")</f>
        <v>low</v>
      </c>
      <c r="R1090" s="37" t="str">
        <f t="shared" si="84"/>
        <v>AVERAGE</v>
      </c>
      <c r="S1090" t="s">
        <v>615</v>
      </c>
    </row>
    <row r="1091" spans="1:19" x14ac:dyDescent="0.2">
      <c r="A1091" t="s">
        <v>1702</v>
      </c>
      <c r="B1091" t="s">
        <v>83</v>
      </c>
      <c r="C1091" t="s">
        <v>617</v>
      </c>
      <c r="D1091">
        <v>1617.05</v>
      </c>
      <c r="E1091" s="37" t="str">
        <f t="shared" ref="E1091:E1154" si="85">IF(AND(D1091&gt;4000,P1091&gt;800),"Excellent Order"," ")</f>
        <v xml:space="preserve"> </v>
      </c>
      <c r="F1091">
        <v>0.15</v>
      </c>
      <c r="G1091" s="37" t="str">
        <f t="shared" ref="G1091:G1154" si="86">IF(F1091&gt;30%,"Heavy Discount","Normal Discount")</f>
        <v>Normal Discount</v>
      </c>
      <c r="H1091" s="37" t="str">
        <f t="shared" ref="H1091:H1154" si="87">IF(F1091&gt;0.4,"High",IF(F1091&gt;=0.2,"Medium","Low"))</f>
        <v>Low</v>
      </c>
      <c r="I1091">
        <v>1</v>
      </c>
      <c r="J1091" t="str" cm="1">
        <f t="array" ref="J1091">_xlfn.IFS(I1091&lt;=3,"small",I1091&lt;=6,"Medium",I1091&lt;=9,"Large")</f>
        <v>small</v>
      </c>
      <c r="K1091" s="36">
        <v>44949</v>
      </c>
      <c r="L1091" s="36">
        <v>44950</v>
      </c>
      <c r="M1091" t="s">
        <v>598</v>
      </c>
      <c r="N1091" t="s">
        <v>604</v>
      </c>
      <c r="O1091" s="37" t="str">
        <f t="shared" ref="O1091:O1154" si="88">IF(OR(N1091="Card",N1091="UPI"),"Digital Payment","Cash Payment")</f>
        <v>Digital Payment</v>
      </c>
      <c r="P1091">
        <v>350.83</v>
      </c>
      <c r="Q1091" s="37" t="str">
        <f>IF(P1091&gt;500,"High","low")</f>
        <v>low</v>
      </c>
      <c r="R1091" s="37" t="str">
        <f t="shared" ref="R1091:R1154" si="89">IF(P1091&gt;1000,"Excellent",IF(P1091&gt;=500,"Good","AVERAGE"))</f>
        <v>AVERAGE</v>
      </c>
      <c r="S1091" t="s">
        <v>628</v>
      </c>
    </row>
    <row r="1092" spans="1:19" x14ac:dyDescent="0.2">
      <c r="A1092" t="s">
        <v>1703</v>
      </c>
      <c r="B1092" t="s">
        <v>67</v>
      </c>
      <c r="C1092" t="s">
        <v>614</v>
      </c>
      <c r="D1092">
        <v>386.61</v>
      </c>
      <c r="E1092" s="37" t="str">
        <f t="shared" si="85"/>
        <v xml:space="preserve"> </v>
      </c>
      <c r="F1092">
        <v>0.03</v>
      </c>
      <c r="G1092" s="37" t="str">
        <f t="shared" si="86"/>
        <v>Normal Discount</v>
      </c>
      <c r="H1092" s="37" t="str">
        <f t="shared" si="87"/>
        <v>Low</v>
      </c>
      <c r="I1092">
        <v>5</v>
      </c>
      <c r="J1092" t="str" cm="1">
        <f t="array" ref="J1092">_xlfn.IFS(I1092&lt;=3,"small",I1092&lt;=6,"Medium",I1092&lt;=9,"Large")</f>
        <v>Medium</v>
      </c>
      <c r="K1092" s="36">
        <v>45539</v>
      </c>
      <c r="L1092" s="36">
        <v>45540</v>
      </c>
      <c r="M1092" t="s">
        <v>603</v>
      </c>
      <c r="N1092" t="s">
        <v>608</v>
      </c>
      <c r="O1092" s="37" t="str">
        <f t="shared" si="88"/>
        <v>Cash Payment</v>
      </c>
      <c r="P1092">
        <v>110.68</v>
      </c>
      <c r="Q1092" s="37" t="str">
        <f>IF(P1092&gt;500,"High","low")</f>
        <v>low</v>
      </c>
      <c r="R1092" s="37" t="str">
        <f t="shared" si="89"/>
        <v>AVERAGE</v>
      </c>
      <c r="S1092" t="s">
        <v>615</v>
      </c>
    </row>
    <row r="1093" spans="1:19" x14ac:dyDescent="0.2">
      <c r="A1093" t="s">
        <v>1704</v>
      </c>
      <c r="B1093" t="s">
        <v>90</v>
      </c>
      <c r="C1093" t="s">
        <v>602</v>
      </c>
      <c r="D1093">
        <v>2482.73</v>
      </c>
      <c r="E1093" s="37" t="str">
        <f t="shared" si="85"/>
        <v xml:space="preserve"> </v>
      </c>
      <c r="F1093">
        <v>0.08</v>
      </c>
      <c r="G1093" s="37" t="str">
        <f t="shared" si="86"/>
        <v>Normal Discount</v>
      </c>
      <c r="H1093" s="37" t="str">
        <f t="shared" si="87"/>
        <v>Low</v>
      </c>
      <c r="I1093">
        <v>6</v>
      </c>
      <c r="J1093" t="str" cm="1">
        <f t="array" ref="J1093">_xlfn.IFS(I1093&lt;=3,"small",I1093&lt;=6,"Medium",I1093&lt;=9,"Large")</f>
        <v>Medium</v>
      </c>
      <c r="K1093" s="36">
        <v>45487</v>
      </c>
      <c r="L1093" s="36">
        <v>45493</v>
      </c>
      <c r="M1093" t="s">
        <v>612</v>
      </c>
      <c r="N1093" t="s">
        <v>604</v>
      </c>
      <c r="O1093" s="37" t="str">
        <f t="shared" si="88"/>
        <v>Digital Payment</v>
      </c>
      <c r="P1093">
        <v>553.09</v>
      </c>
      <c r="Q1093" s="37" t="str">
        <f>IF(P1093&gt;500,"High","low")</f>
        <v>High</v>
      </c>
      <c r="R1093" s="37" t="str">
        <f t="shared" si="89"/>
        <v>Good</v>
      </c>
      <c r="S1093" t="s">
        <v>628</v>
      </c>
    </row>
    <row r="1094" spans="1:19" x14ac:dyDescent="0.2">
      <c r="A1094" t="s">
        <v>1705</v>
      </c>
      <c r="B1094" t="s">
        <v>67</v>
      </c>
      <c r="C1094" t="s">
        <v>607</v>
      </c>
      <c r="D1094">
        <v>1453.31</v>
      </c>
      <c r="E1094" s="37" t="str">
        <f t="shared" si="85"/>
        <v xml:space="preserve"> </v>
      </c>
      <c r="F1094">
        <v>0.43</v>
      </c>
      <c r="G1094" s="37" t="str">
        <f t="shared" si="86"/>
        <v>Heavy Discount</v>
      </c>
      <c r="H1094" s="37" t="str">
        <f t="shared" si="87"/>
        <v>High</v>
      </c>
      <c r="I1094">
        <v>2</v>
      </c>
      <c r="J1094" t="str" cm="1">
        <f t="array" ref="J1094">_xlfn.IFS(I1094&lt;=3,"small",I1094&lt;=6,"Medium",I1094&lt;=9,"Large")</f>
        <v>small</v>
      </c>
      <c r="K1094" s="36">
        <v>45288</v>
      </c>
      <c r="L1094" s="36">
        <v>45293</v>
      </c>
      <c r="M1094" t="s">
        <v>598</v>
      </c>
      <c r="N1094" t="s">
        <v>608</v>
      </c>
      <c r="O1094" s="37" t="str">
        <f t="shared" si="88"/>
        <v>Cash Payment</v>
      </c>
      <c r="P1094">
        <v>210.13</v>
      </c>
      <c r="Q1094" s="37" t="str">
        <f>IF(P1094&gt;500,"High","low")</f>
        <v>low</v>
      </c>
      <c r="R1094" s="37" t="str">
        <f t="shared" si="89"/>
        <v>AVERAGE</v>
      </c>
      <c r="S1094" t="s">
        <v>615</v>
      </c>
    </row>
    <row r="1095" spans="1:19" x14ac:dyDescent="0.2">
      <c r="A1095" t="s">
        <v>1706</v>
      </c>
      <c r="B1095" t="s">
        <v>90</v>
      </c>
      <c r="C1095" t="s">
        <v>617</v>
      </c>
      <c r="D1095">
        <v>2049.12</v>
      </c>
      <c r="E1095" s="37" t="str">
        <f t="shared" si="85"/>
        <v xml:space="preserve"> </v>
      </c>
      <c r="F1095">
        <v>0.28999999999999998</v>
      </c>
      <c r="G1095" s="37" t="str">
        <f t="shared" si="86"/>
        <v>Normal Discount</v>
      </c>
      <c r="H1095" s="37" t="str">
        <f t="shared" si="87"/>
        <v>Medium</v>
      </c>
      <c r="I1095">
        <v>4</v>
      </c>
      <c r="J1095" t="str" cm="1">
        <f t="array" ref="J1095">_xlfn.IFS(I1095&lt;=3,"small",I1095&lt;=6,"Medium",I1095&lt;=9,"Large")</f>
        <v>Medium</v>
      </c>
      <c r="K1095" s="36">
        <v>45311</v>
      </c>
      <c r="L1095" s="36">
        <v>45314</v>
      </c>
      <c r="M1095" t="s">
        <v>612</v>
      </c>
      <c r="N1095" t="s">
        <v>608</v>
      </c>
      <c r="O1095" s="37" t="str">
        <f t="shared" si="88"/>
        <v>Cash Payment</v>
      </c>
      <c r="P1095">
        <v>193.73</v>
      </c>
      <c r="Q1095" s="37" t="str">
        <f>IF(P1095&gt;500,"High","low")</f>
        <v>low</v>
      </c>
      <c r="R1095" s="37" t="str">
        <f t="shared" si="89"/>
        <v>AVERAGE</v>
      </c>
      <c r="S1095" t="s">
        <v>600</v>
      </c>
    </row>
    <row r="1096" spans="1:19" x14ac:dyDescent="0.2">
      <c r="A1096" t="s">
        <v>1707</v>
      </c>
      <c r="B1096" t="s">
        <v>83</v>
      </c>
      <c r="C1096" t="s">
        <v>607</v>
      </c>
      <c r="D1096">
        <v>1442.45</v>
      </c>
      <c r="E1096" s="37" t="str">
        <f t="shared" si="85"/>
        <v xml:space="preserve"> </v>
      </c>
      <c r="F1096">
        <v>0.17</v>
      </c>
      <c r="G1096" s="37" t="str">
        <f t="shared" si="86"/>
        <v>Normal Discount</v>
      </c>
      <c r="H1096" s="37" t="str">
        <f t="shared" si="87"/>
        <v>Low</v>
      </c>
      <c r="I1096">
        <v>3</v>
      </c>
      <c r="J1096" t="str" cm="1">
        <f t="array" ref="J1096">_xlfn.IFS(I1096&lt;=3,"small",I1096&lt;=6,"Medium",I1096&lt;=9,"Large")</f>
        <v>small</v>
      </c>
      <c r="K1096" s="36">
        <v>45605</v>
      </c>
      <c r="L1096" s="36">
        <v>45606</v>
      </c>
      <c r="M1096" t="s">
        <v>612</v>
      </c>
      <c r="N1096" t="s">
        <v>599</v>
      </c>
      <c r="O1096" s="37" t="str">
        <f t="shared" si="88"/>
        <v>Digital Payment</v>
      </c>
      <c r="P1096">
        <v>194.37</v>
      </c>
      <c r="Q1096" s="37" t="str">
        <f>IF(P1096&gt;500,"High","low")</f>
        <v>low</v>
      </c>
      <c r="R1096" s="37" t="str">
        <f t="shared" si="89"/>
        <v>AVERAGE</v>
      </c>
      <c r="S1096" t="s">
        <v>620</v>
      </c>
    </row>
    <row r="1097" spans="1:19" x14ac:dyDescent="0.2">
      <c r="A1097" t="s">
        <v>1708</v>
      </c>
      <c r="B1097" t="s">
        <v>83</v>
      </c>
      <c r="C1097" t="s">
        <v>617</v>
      </c>
      <c r="D1097">
        <v>958.81</v>
      </c>
      <c r="E1097" s="37" t="str">
        <f t="shared" si="85"/>
        <v xml:space="preserve"> </v>
      </c>
      <c r="F1097">
        <v>0.26</v>
      </c>
      <c r="G1097" s="37" t="str">
        <f t="shared" si="86"/>
        <v>Normal Discount</v>
      </c>
      <c r="H1097" s="37" t="str">
        <f t="shared" si="87"/>
        <v>Medium</v>
      </c>
      <c r="I1097">
        <v>1</v>
      </c>
      <c r="J1097" t="str" cm="1">
        <f t="array" ref="J1097">_xlfn.IFS(I1097&lt;=3,"small",I1097&lt;=6,"Medium",I1097&lt;=9,"Large")</f>
        <v>small</v>
      </c>
      <c r="K1097" s="36">
        <v>45313</v>
      </c>
      <c r="L1097" s="36">
        <v>45314</v>
      </c>
      <c r="M1097" t="s">
        <v>612</v>
      </c>
      <c r="N1097" t="s">
        <v>599</v>
      </c>
      <c r="O1097" s="37" t="str">
        <f t="shared" si="88"/>
        <v>Digital Payment</v>
      </c>
      <c r="P1097">
        <v>157.91999999999999</v>
      </c>
      <c r="Q1097" s="37" t="str">
        <f>IF(P1097&gt;500,"High","low")</f>
        <v>low</v>
      </c>
      <c r="R1097" s="37" t="str">
        <f t="shared" si="89"/>
        <v>AVERAGE</v>
      </c>
      <c r="S1097" t="s">
        <v>605</v>
      </c>
    </row>
    <row r="1098" spans="1:19" x14ac:dyDescent="0.2">
      <c r="A1098" t="s">
        <v>1709</v>
      </c>
      <c r="B1098" t="s">
        <v>83</v>
      </c>
      <c r="C1098" t="s">
        <v>607</v>
      </c>
      <c r="D1098">
        <v>1996.25</v>
      </c>
      <c r="E1098" s="37" t="str">
        <f t="shared" si="85"/>
        <v xml:space="preserve"> </v>
      </c>
      <c r="F1098">
        <v>0.13</v>
      </c>
      <c r="G1098" s="37" t="str">
        <f t="shared" si="86"/>
        <v>Normal Discount</v>
      </c>
      <c r="H1098" s="37" t="str">
        <f t="shared" si="87"/>
        <v>Low</v>
      </c>
      <c r="I1098">
        <v>1</v>
      </c>
      <c r="J1098" t="str" cm="1">
        <f t="array" ref="J1098">_xlfn.IFS(I1098&lt;=3,"small",I1098&lt;=6,"Medium",I1098&lt;=9,"Large")</f>
        <v>small</v>
      </c>
      <c r="K1098" s="36">
        <v>45166</v>
      </c>
      <c r="L1098" s="36">
        <v>45172</v>
      </c>
      <c r="M1098" t="s">
        <v>598</v>
      </c>
      <c r="N1098" t="s">
        <v>604</v>
      </c>
      <c r="O1098" s="37" t="str">
        <f t="shared" si="88"/>
        <v>Digital Payment</v>
      </c>
      <c r="P1098">
        <v>539.45000000000005</v>
      </c>
      <c r="Q1098" s="37" t="str">
        <f>IF(P1098&gt;500,"High","low")</f>
        <v>High</v>
      </c>
      <c r="R1098" s="37" t="str">
        <f t="shared" si="89"/>
        <v>Good</v>
      </c>
      <c r="S1098" t="s">
        <v>615</v>
      </c>
    </row>
    <row r="1099" spans="1:19" x14ac:dyDescent="0.2">
      <c r="A1099" t="s">
        <v>1710</v>
      </c>
      <c r="B1099" t="s">
        <v>83</v>
      </c>
      <c r="C1099" t="s">
        <v>602</v>
      </c>
      <c r="D1099">
        <v>4827.9799999999996</v>
      </c>
      <c r="E1099" s="37" t="str">
        <f t="shared" si="85"/>
        <v>Excellent Order</v>
      </c>
      <c r="F1099">
        <v>0.28999999999999998</v>
      </c>
      <c r="G1099" s="37" t="str">
        <f t="shared" si="86"/>
        <v>Normal Discount</v>
      </c>
      <c r="H1099" s="37" t="str">
        <f t="shared" si="87"/>
        <v>Medium</v>
      </c>
      <c r="I1099">
        <v>3</v>
      </c>
      <c r="J1099" t="str" cm="1">
        <f t="array" ref="J1099">_xlfn.IFS(I1099&lt;=3,"small",I1099&lt;=6,"Medium",I1099&lt;=9,"Large")</f>
        <v>small</v>
      </c>
      <c r="K1099" s="36">
        <v>45241</v>
      </c>
      <c r="L1099" s="36">
        <v>45244</v>
      </c>
      <c r="M1099" t="s">
        <v>612</v>
      </c>
      <c r="N1099" t="s">
        <v>604</v>
      </c>
      <c r="O1099" s="37" t="str">
        <f t="shared" si="88"/>
        <v>Digital Payment</v>
      </c>
      <c r="P1099">
        <v>1420.71</v>
      </c>
      <c r="Q1099" s="37" t="str">
        <f>IF(P1099&gt;500,"High","low")</f>
        <v>High</v>
      </c>
      <c r="R1099" s="37" t="str">
        <f t="shared" si="89"/>
        <v>Excellent</v>
      </c>
      <c r="S1099" t="s">
        <v>615</v>
      </c>
    </row>
    <row r="1100" spans="1:19" x14ac:dyDescent="0.2">
      <c r="A1100" t="s">
        <v>1711</v>
      </c>
      <c r="B1100" t="s">
        <v>83</v>
      </c>
      <c r="C1100" t="s">
        <v>607</v>
      </c>
      <c r="D1100">
        <v>1404.52</v>
      </c>
      <c r="E1100" s="37" t="str">
        <f t="shared" si="85"/>
        <v xml:space="preserve"> </v>
      </c>
      <c r="F1100">
        <v>0.04</v>
      </c>
      <c r="G1100" s="37" t="str">
        <f t="shared" si="86"/>
        <v>Normal Discount</v>
      </c>
      <c r="H1100" s="37" t="str">
        <f t="shared" si="87"/>
        <v>Low</v>
      </c>
      <c r="I1100">
        <v>2</v>
      </c>
      <c r="J1100" t="str" cm="1">
        <f t="array" ref="J1100">_xlfn.IFS(I1100&lt;=3,"small",I1100&lt;=6,"Medium",I1100&lt;=9,"Large")</f>
        <v>small</v>
      </c>
      <c r="K1100" s="36">
        <v>45550</v>
      </c>
      <c r="L1100" s="36">
        <v>45556</v>
      </c>
      <c r="M1100" t="s">
        <v>612</v>
      </c>
      <c r="N1100" t="s">
        <v>604</v>
      </c>
      <c r="O1100" s="37" t="str">
        <f t="shared" si="88"/>
        <v>Digital Payment</v>
      </c>
      <c r="P1100">
        <v>395.86</v>
      </c>
      <c r="Q1100" s="37" t="str">
        <f>IF(P1100&gt;500,"High","low")</f>
        <v>low</v>
      </c>
      <c r="R1100" s="37" t="str">
        <f t="shared" si="89"/>
        <v>AVERAGE</v>
      </c>
      <c r="S1100" t="s">
        <v>600</v>
      </c>
    </row>
    <row r="1101" spans="1:19" x14ac:dyDescent="0.2">
      <c r="A1101" t="s">
        <v>1712</v>
      </c>
      <c r="B1101" t="s">
        <v>90</v>
      </c>
      <c r="C1101" t="s">
        <v>614</v>
      </c>
      <c r="D1101">
        <v>1746.24</v>
      </c>
      <c r="E1101" s="37" t="str">
        <f t="shared" si="85"/>
        <v xml:space="preserve"> </v>
      </c>
      <c r="F1101">
        <v>0.45</v>
      </c>
      <c r="G1101" s="37" t="str">
        <f t="shared" si="86"/>
        <v>Heavy Discount</v>
      </c>
      <c r="H1101" s="37" t="str">
        <f t="shared" si="87"/>
        <v>High</v>
      </c>
      <c r="I1101">
        <v>2</v>
      </c>
      <c r="J1101" t="str" cm="1">
        <f t="array" ref="J1101">_xlfn.IFS(I1101&lt;=3,"small",I1101&lt;=6,"Medium",I1101&lt;=9,"Large")</f>
        <v>small</v>
      </c>
      <c r="K1101" s="36">
        <v>45133</v>
      </c>
      <c r="L1101" s="36">
        <v>45134</v>
      </c>
      <c r="M1101" t="s">
        <v>598</v>
      </c>
      <c r="N1101" t="s">
        <v>604</v>
      </c>
      <c r="O1101" s="37" t="str">
        <f t="shared" si="88"/>
        <v>Digital Payment</v>
      </c>
      <c r="P1101">
        <v>305.87</v>
      </c>
      <c r="Q1101" s="37" t="str">
        <f>IF(P1101&gt;500,"High","low")</f>
        <v>low</v>
      </c>
      <c r="R1101" s="37" t="str">
        <f t="shared" si="89"/>
        <v>AVERAGE</v>
      </c>
      <c r="S1101" t="s">
        <v>628</v>
      </c>
    </row>
    <row r="1102" spans="1:19" x14ac:dyDescent="0.2">
      <c r="A1102" t="s">
        <v>1713</v>
      </c>
      <c r="B1102" t="s">
        <v>90</v>
      </c>
      <c r="C1102" t="s">
        <v>607</v>
      </c>
      <c r="D1102">
        <v>1713.29</v>
      </c>
      <c r="E1102" s="37" t="str">
        <f t="shared" si="85"/>
        <v xml:space="preserve"> </v>
      </c>
      <c r="F1102">
        <v>0.12</v>
      </c>
      <c r="G1102" s="37" t="str">
        <f t="shared" si="86"/>
        <v>Normal Discount</v>
      </c>
      <c r="H1102" s="37" t="str">
        <f t="shared" si="87"/>
        <v>Low</v>
      </c>
      <c r="I1102">
        <v>5</v>
      </c>
      <c r="J1102" t="str" cm="1">
        <f t="array" ref="J1102">_xlfn.IFS(I1102&lt;=3,"small",I1102&lt;=6,"Medium",I1102&lt;=9,"Large")</f>
        <v>Medium</v>
      </c>
      <c r="K1102" s="36">
        <v>45161</v>
      </c>
      <c r="L1102" s="36">
        <v>45165</v>
      </c>
      <c r="M1102" t="s">
        <v>603</v>
      </c>
      <c r="N1102" t="s">
        <v>599</v>
      </c>
      <c r="O1102" s="37" t="str">
        <f t="shared" si="88"/>
        <v>Digital Payment</v>
      </c>
      <c r="P1102">
        <v>287.7</v>
      </c>
      <c r="Q1102" s="37" t="str">
        <f>IF(P1102&gt;500,"High","low")</f>
        <v>low</v>
      </c>
      <c r="R1102" s="37" t="str">
        <f t="shared" si="89"/>
        <v>AVERAGE</v>
      </c>
      <c r="S1102" t="s">
        <v>605</v>
      </c>
    </row>
    <row r="1103" spans="1:19" x14ac:dyDescent="0.2">
      <c r="A1103" t="s">
        <v>1714</v>
      </c>
      <c r="B1103" t="s">
        <v>83</v>
      </c>
      <c r="C1103" t="s">
        <v>617</v>
      </c>
      <c r="D1103">
        <v>2453.42</v>
      </c>
      <c r="E1103" s="37" t="str">
        <f t="shared" si="85"/>
        <v xml:space="preserve"> </v>
      </c>
      <c r="F1103">
        <v>0.41</v>
      </c>
      <c r="G1103" s="37" t="str">
        <f t="shared" si="86"/>
        <v>Heavy Discount</v>
      </c>
      <c r="H1103" s="37" t="str">
        <f t="shared" si="87"/>
        <v>High</v>
      </c>
      <c r="I1103">
        <v>5</v>
      </c>
      <c r="J1103" t="str" cm="1">
        <f t="array" ref="J1103">_xlfn.IFS(I1103&lt;=3,"small",I1103&lt;=6,"Medium",I1103&lt;=9,"Large")</f>
        <v>Medium</v>
      </c>
      <c r="K1103" s="36">
        <v>45200</v>
      </c>
      <c r="L1103" s="36">
        <v>45203</v>
      </c>
      <c r="M1103" t="s">
        <v>603</v>
      </c>
      <c r="N1103" t="s">
        <v>604</v>
      </c>
      <c r="O1103" s="37" t="str">
        <f t="shared" si="88"/>
        <v>Digital Payment</v>
      </c>
      <c r="P1103">
        <v>289.37</v>
      </c>
      <c r="Q1103" s="37" t="str">
        <f>IF(P1103&gt;500,"High","low")</f>
        <v>low</v>
      </c>
      <c r="R1103" s="37" t="str">
        <f t="shared" si="89"/>
        <v>AVERAGE</v>
      </c>
      <c r="S1103" t="s">
        <v>615</v>
      </c>
    </row>
    <row r="1104" spans="1:19" x14ac:dyDescent="0.2">
      <c r="A1104" t="s">
        <v>1715</v>
      </c>
      <c r="B1104" t="s">
        <v>67</v>
      </c>
      <c r="C1104" t="s">
        <v>597</v>
      </c>
      <c r="D1104">
        <v>4233.18</v>
      </c>
      <c r="E1104" s="37" t="str">
        <f t="shared" si="85"/>
        <v xml:space="preserve"> </v>
      </c>
      <c r="F1104">
        <v>0.33</v>
      </c>
      <c r="G1104" s="37" t="str">
        <f t="shared" si="86"/>
        <v>Heavy Discount</v>
      </c>
      <c r="H1104" s="37" t="str">
        <f t="shared" si="87"/>
        <v>Medium</v>
      </c>
      <c r="I1104">
        <v>7</v>
      </c>
      <c r="J1104" t="str" cm="1">
        <f t="array" ref="J1104">_xlfn.IFS(I1104&lt;=3,"small",I1104&lt;=6,"Medium",I1104&lt;=9,"Large")</f>
        <v>Large</v>
      </c>
      <c r="K1104" s="36">
        <v>45075</v>
      </c>
      <c r="L1104" s="36">
        <v>45076</v>
      </c>
      <c r="M1104" t="s">
        <v>612</v>
      </c>
      <c r="N1104" t="s">
        <v>604</v>
      </c>
      <c r="O1104" s="37" t="str">
        <f t="shared" si="88"/>
        <v>Digital Payment</v>
      </c>
      <c r="P1104">
        <v>613.9</v>
      </c>
      <c r="Q1104" s="37" t="str">
        <f>IF(P1104&gt;500,"High","low")</f>
        <v>High</v>
      </c>
      <c r="R1104" s="37" t="str">
        <f t="shared" si="89"/>
        <v>Good</v>
      </c>
      <c r="S1104" t="s">
        <v>609</v>
      </c>
    </row>
    <row r="1105" spans="1:19" x14ac:dyDescent="0.2">
      <c r="A1105" t="s">
        <v>1716</v>
      </c>
      <c r="B1105" t="s">
        <v>75</v>
      </c>
      <c r="C1105" t="s">
        <v>607</v>
      </c>
      <c r="D1105">
        <v>2070.4</v>
      </c>
      <c r="E1105" s="37" t="str">
        <f t="shared" si="85"/>
        <v xml:space="preserve"> </v>
      </c>
      <c r="F1105">
        <v>0.26</v>
      </c>
      <c r="G1105" s="37" t="str">
        <f t="shared" si="86"/>
        <v>Normal Discount</v>
      </c>
      <c r="H1105" s="37" t="str">
        <f t="shared" si="87"/>
        <v>Medium</v>
      </c>
      <c r="I1105">
        <v>5</v>
      </c>
      <c r="J1105" t="str" cm="1">
        <f t="array" ref="J1105">_xlfn.IFS(I1105&lt;=3,"small",I1105&lt;=6,"Medium",I1105&lt;=9,"Large")</f>
        <v>Medium</v>
      </c>
      <c r="K1105" s="36">
        <v>45494</v>
      </c>
      <c r="L1105" s="36">
        <v>45499</v>
      </c>
      <c r="M1105" t="s">
        <v>598</v>
      </c>
      <c r="N1105" t="s">
        <v>608</v>
      </c>
      <c r="O1105" s="37" t="str">
        <f t="shared" si="88"/>
        <v>Cash Payment</v>
      </c>
      <c r="P1105">
        <v>578.35</v>
      </c>
      <c r="Q1105" s="37" t="str">
        <f>IF(P1105&gt;500,"High","low")</f>
        <v>High</v>
      </c>
      <c r="R1105" s="37" t="str">
        <f t="shared" si="89"/>
        <v>Good</v>
      </c>
      <c r="S1105" t="s">
        <v>628</v>
      </c>
    </row>
    <row r="1106" spans="1:19" x14ac:dyDescent="0.2">
      <c r="A1106" t="s">
        <v>1717</v>
      </c>
      <c r="B1106" t="s">
        <v>83</v>
      </c>
      <c r="C1106" t="s">
        <v>607</v>
      </c>
      <c r="D1106">
        <v>4050.13</v>
      </c>
      <c r="E1106" s="37" t="str">
        <f t="shared" si="85"/>
        <v>Excellent Order</v>
      </c>
      <c r="F1106">
        <v>0.46</v>
      </c>
      <c r="G1106" s="37" t="str">
        <f t="shared" si="86"/>
        <v>Heavy Discount</v>
      </c>
      <c r="H1106" s="37" t="str">
        <f t="shared" si="87"/>
        <v>High</v>
      </c>
      <c r="I1106">
        <v>3</v>
      </c>
      <c r="J1106" t="str" cm="1">
        <f t="array" ref="J1106">_xlfn.IFS(I1106&lt;=3,"small",I1106&lt;=6,"Medium",I1106&lt;=9,"Large")</f>
        <v>small</v>
      </c>
      <c r="K1106" s="36">
        <v>45618</v>
      </c>
      <c r="L1106" s="36">
        <v>45625</v>
      </c>
      <c r="M1106" t="s">
        <v>612</v>
      </c>
      <c r="N1106" t="s">
        <v>604</v>
      </c>
      <c r="O1106" s="37" t="str">
        <f t="shared" si="88"/>
        <v>Digital Payment</v>
      </c>
      <c r="P1106">
        <v>1074.8599999999999</v>
      </c>
      <c r="Q1106" s="37" t="str">
        <f>IF(P1106&gt;500,"High","low")</f>
        <v>High</v>
      </c>
      <c r="R1106" s="37" t="str">
        <f t="shared" si="89"/>
        <v>Excellent</v>
      </c>
      <c r="S1106" t="s">
        <v>620</v>
      </c>
    </row>
    <row r="1107" spans="1:19" x14ac:dyDescent="0.2">
      <c r="A1107" t="s">
        <v>1718</v>
      </c>
      <c r="B1107" t="s">
        <v>67</v>
      </c>
      <c r="C1107" t="s">
        <v>607</v>
      </c>
      <c r="D1107">
        <v>663.56</v>
      </c>
      <c r="E1107" s="37" t="str">
        <f t="shared" si="85"/>
        <v xml:space="preserve"> </v>
      </c>
      <c r="F1107">
        <v>0.08</v>
      </c>
      <c r="G1107" s="37" t="str">
        <f t="shared" si="86"/>
        <v>Normal Discount</v>
      </c>
      <c r="H1107" s="37" t="str">
        <f t="shared" si="87"/>
        <v>Low</v>
      </c>
      <c r="I1107">
        <v>6</v>
      </c>
      <c r="J1107" t="str" cm="1">
        <f t="array" ref="J1107">_xlfn.IFS(I1107&lt;=3,"small",I1107&lt;=6,"Medium",I1107&lt;=9,"Large")</f>
        <v>Medium</v>
      </c>
      <c r="K1107" s="36">
        <v>45207</v>
      </c>
      <c r="L1107" s="36">
        <v>45213</v>
      </c>
      <c r="M1107" t="s">
        <v>612</v>
      </c>
      <c r="N1107" t="s">
        <v>599</v>
      </c>
      <c r="O1107" s="37" t="str">
        <f t="shared" si="88"/>
        <v>Digital Payment</v>
      </c>
      <c r="P1107">
        <v>57.57</v>
      </c>
      <c r="Q1107" s="37" t="str">
        <f>IF(P1107&gt;500,"High","low")</f>
        <v>low</v>
      </c>
      <c r="R1107" s="37" t="str">
        <f t="shared" si="89"/>
        <v>AVERAGE</v>
      </c>
      <c r="S1107" t="s">
        <v>620</v>
      </c>
    </row>
    <row r="1108" spans="1:19" x14ac:dyDescent="0.2">
      <c r="A1108" t="s">
        <v>1719</v>
      </c>
      <c r="B1108" t="s">
        <v>75</v>
      </c>
      <c r="C1108" t="s">
        <v>617</v>
      </c>
      <c r="D1108">
        <v>4485.05</v>
      </c>
      <c r="E1108" s="37" t="str">
        <f t="shared" si="85"/>
        <v xml:space="preserve"> </v>
      </c>
      <c r="F1108">
        <v>0.06</v>
      </c>
      <c r="G1108" s="37" t="str">
        <f t="shared" si="86"/>
        <v>Normal Discount</v>
      </c>
      <c r="H1108" s="37" t="str">
        <f t="shared" si="87"/>
        <v>Low</v>
      </c>
      <c r="I1108">
        <v>3</v>
      </c>
      <c r="J1108" t="str" cm="1">
        <f t="array" ref="J1108">_xlfn.IFS(I1108&lt;=3,"small",I1108&lt;=6,"Medium",I1108&lt;=9,"Large")</f>
        <v>small</v>
      </c>
      <c r="K1108" s="36">
        <v>45086</v>
      </c>
      <c r="L1108" s="36">
        <v>45090</v>
      </c>
      <c r="M1108" t="s">
        <v>598</v>
      </c>
      <c r="N1108" t="s">
        <v>604</v>
      </c>
      <c r="O1108" s="37" t="str">
        <f t="shared" si="88"/>
        <v>Digital Payment</v>
      </c>
      <c r="P1108">
        <v>621.91</v>
      </c>
      <c r="Q1108" s="37" t="str">
        <f>IF(P1108&gt;500,"High","low")</f>
        <v>High</v>
      </c>
      <c r="R1108" s="37" t="str">
        <f t="shared" si="89"/>
        <v>Good</v>
      </c>
      <c r="S1108" t="s">
        <v>615</v>
      </c>
    </row>
    <row r="1109" spans="1:19" x14ac:dyDescent="0.2">
      <c r="A1109" t="s">
        <v>1720</v>
      </c>
      <c r="B1109" t="s">
        <v>83</v>
      </c>
      <c r="C1109" t="s">
        <v>607</v>
      </c>
      <c r="D1109">
        <v>1007.99</v>
      </c>
      <c r="E1109" s="37" t="str">
        <f t="shared" si="85"/>
        <v xml:space="preserve"> </v>
      </c>
      <c r="F1109">
        <v>0.16</v>
      </c>
      <c r="G1109" s="37" t="str">
        <f t="shared" si="86"/>
        <v>Normal Discount</v>
      </c>
      <c r="H1109" s="37" t="str">
        <f t="shared" si="87"/>
        <v>Low</v>
      </c>
      <c r="I1109">
        <v>8</v>
      </c>
      <c r="J1109" t="str" cm="1">
        <f t="array" ref="J1109">_xlfn.IFS(I1109&lt;=3,"small",I1109&lt;=6,"Medium",I1109&lt;=9,"Large")</f>
        <v>Large</v>
      </c>
      <c r="K1109" s="36">
        <v>44996</v>
      </c>
      <c r="L1109" s="36">
        <v>45002</v>
      </c>
      <c r="M1109" t="s">
        <v>603</v>
      </c>
      <c r="N1109" t="s">
        <v>608</v>
      </c>
      <c r="O1109" s="37" t="str">
        <f t="shared" si="88"/>
        <v>Cash Payment</v>
      </c>
      <c r="P1109">
        <v>196.74</v>
      </c>
      <c r="Q1109" s="37" t="str">
        <f>IF(P1109&gt;500,"High","low")</f>
        <v>low</v>
      </c>
      <c r="R1109" s="37" t="str">
        <f t="shared" si="89"/>
        <v>AVERAGE</v>
      </c>
      <c r="S1109" t="s">
        <v>600</v>
      </c>
    </row>
    <row r="1110" spans="1:19" x14ac:dyDescent="0.2">
      <c r="A1110" t="s">
        <v>1721</v>
      </c>
      <c r="B1110" t="s">
        <v>83</v>
      </c>
      <c r="C1110" t="s">
        <v>617</v>
      </c>
      <c r="D1110">
        <v>292.08999999999997</v>
      </c>
      <c r="E1110" s="37" t="str">
        <f t="shared" si="85"/>
        <v xml:space="preserve"> </v>
      </c>
      <c r="F1110">
        <v>0.42</v>
      </c>
      <c r="G1110" s="37" t="str">
        <f t="shared" si="86"/>
        <v>Heavy Discount</v>
      </c>
      <c r="H1110" s="37" t="str">
        <f t="shared" si="87"/>
        <v>High</v>
      </c>
      <c r="I1110">
        <v>6</v>
      </c>
      <c r="J1110" t="str" cm="1">
        <f t="array" ref="J1110">_xlfn.IFS(I1110&lt;=3,"small",I1110&lt;=6,"Medium",I1110&lt;=9,"Large")</f>
        <v>Medium</v>
      </c>
      <c r="K1110" s="36">
        <v>45266</v>
      </c>
      <c r="L1110" s="36">
        <v>45268</v>
      </c>
      <c r="M1110" t="s">
        <v>598</v>
      </c>
      <c r="N1110" t="s">
        <v>608</v>
      </c>
      <c r="O1110" s="37" t="str">
        <f t="shared" si="88"/>
        <v>Cash Payment</v>
      </c>
      <c r="P1110">
        <v>22.76</v>
      </c>
      <c r="Q1110" s="37" t="str">
        <f>IF(P1110&gt;500,"High","low")</f>
        <v>low</v>
      </c>
      <c r="R1110" s="37" t="str">
        <f t="shared" si="89"/>
        <v>AVERAGE</v>
      </c>
      <c r="S1110" t="s">
        <v>628</v>
      </c>
    </row>
    <row r="1111" spans="1:19" x14ac:dyDescent="0.2">
      <c r="A1111" t="s">
        <v>1722</v>
      </c>
      <c r="B1111" t="s">
        <v>90</v>
      </c>
      <c r="C1111" t="s">
        <v>617</v>
      </c>
      <c r="D1111">
        <v>875.94</v>
      </c>
      <c r="E1111" s="37" t="str">
        <f t="shared" si="85"/>
        <v xml:space="preserve"> </v>
      </c>
      <c r="F1111">
        <v>0.02</v>
      </c>
      <c r="G1111" s="37" t="str">
        <f t="shared" si="86"/>
        <v>Normal Discount</v>
      </c>
      <c r="H1111" s="37" t="str">
        <f t="shared" si="87"/>
        <v>Low</v>
      </c>
      <c r="I1111">
        <v>7</v>
      </c>
      <c r="J1111" t="str" cm="1">
        <f t="array" ref="J1111">_xlfn.IFS(I1111&lt;=3,"small",I1111&lt;=6,"Medium",I1111&lt;=9,"Large")</f>
        <v>Large</v>
      </c>
      <c r="K1111" s="36">
        <v>45167</v>
      </c>
      <c r="L1111" s="36">
        <v>45172</v>
      </c>
      <c r="M1111" t="s">
        <v>598</v>
      </c>
      <c r="N1111" t="s">
        <v>604</v>
      </c>
      <c r="O1111" s="37" t="str">
        <f t="shared" si="88"/>
        <v>Digital Payment</v>
      </c>
      <c r="P1111">
        <v>120.85</v>
      </c>
      <c r="Q1111" s="37" t="str">
        <f>IF(P1111&gt;500,"High","low")</f>
        <v>low</v>
      </c>
      <c r="R1111" s="37" t="str">
        <f t="shared" si="89"/>
        <v>AVERAGE</v>
      </c>
      <c r="S1111" t="s">
        <v>620</v>
      </c>
    </row>
    <row r="1112" spans="1:19" x14ac:dyDescent="0.2">
      <c r="A1112" t="s">
        <v>1723</v>
      </c>
      <c r="B1112" t="s">
        <v>75</v>
      </c>
      <c r="C1112" t="s">
        <v>597</v>
      </c>
      <c r="D1112">
        <v>1034.67</v>
      </c>
      <c r="E1112" s="37" t="str">
        <f t="shared" si="85"/>
        <v xml:space="preserve"> </v>
      </c>
      <c r="F1112">
        <v>0.12</v>
      </c>
      <c r="G1112" s="37" t="str">
        <f t="shared" si="86"/>
        <v>Normal Discount</v>
      </c>
      <c r="H1112" s="37" t="str">
        <f t="shared" si="87"/>
        <v>Low</v>
      </c>
      <c r="I1112">
        <v>3</v>
      </c>
      <c r="J1112" t="str" cm="1">
        <f t="array" ref="J1112">_xlfn.IFS(I1112&lt;=3,"small",I1112&lt;=6,"Medium",I1112&lt;=9,"Large")</f>
        <v>small</v>
      </c>
      <c r="K1112" s="36">
        <v>45635</v>
      </c>
      <c r="L1112" s="36">
        <v>45642</v>
      </c>
      <c r="M1112" t="s">
        <v>612</v>
      </c>
      <c r="N1112" t="s">
        <v>599</v>
      </c>
      <c r="O1112" s="37" t="str">
        <f t="shared" si="88"/>
        <v>Digital Payment</v>
      </c>
      <c r="P1112">
        <v>203.01</v>
      </c>
      <c r="Q1112" s="37" t="str">
        <f>IF(P1112&gt;500,"High","low")</f>
        <v>low</v>
      </c>
      <c r="R1112" s="37" t="str">
        <f t="shared" si="89"/>
        <v>AVERAGE</v>
      </c>
      <c r="S1112" t="s">
        <v>620</v>
      </c>
    </row>
    <row r="1113" spans="1:19" x14ac:dyDescent="0.2">
      <c r="A1113" t="s">
        <v>1724</v>
      </c>
      <c r="B1113" t="s">
        <v>75</v>
      </c>
      <c r="C1113" t="s">
        <v>614</v>
      </c>
      <c r="D1113">
        <v>2591.67</v>
      </c>
      <c r="E1113" s="37" t="str">
        <f t="shared" si="85"/>
        <v xml:space="preserve"> </v>
      </c>
      <c r="F1113">
        <v>0.21</v>
      </c>
      <c r="G1113" s="37" t="str">
        <f t="shared" si="86"/>
        <v>Normal Discount</v>
      </c>
      <c r="H1113" s="37" t="str">
        <f t="shared" si="87"/>
        <v>Medium</v>
      </c>
      <c r="I1113">
        <v>7</v>
      </c>
      <c r="J1113" t="str" cm="1">
        <f t="array" ref="J1113">_xlfn.IFS(I1113&lt;=3,"small",I1113&lt;=6,"Medium",I1113&lt;=9,"Large")</f>
        <v>Large</v>
      </c>
      <c r="K1113" s="36">
        <v>45089</v>
      </c>
      <c r="L1113" s="36">
        <v>45096</v>
      </c>
      <c r="M1113" t="s">
        <v>598</v>
      </c>
      <c r="N1113" t="s">
        <v>608</v>
      </c>
      <c r="O1113" s="37" t="str">
        <f t="shared" si="88"/>
        <v>Cash Payment</v>
      </c>
      <c r="P1113">
        <v>422.22</v>
      </c>
      <c r="Q1113" s="37" t="str">
        <f>IF(P1113&gt;500,"High","low")</f>
        <v>low</v>
      </c>
      <c r="R1113" s="37" t="str">
        <f t="shared" si="89"/>
        <v>AVERAGE</v>
      </c>
      <c r="S1113" t="s">
        <v>615</v>
      </c>
    </row>
    <row r="1114" spans="1:19" x14ac:dyDescent="0.2">
      <c r="A1114" t="s">
        <v>1725</v>
      </c>
      <c r="B1114" t="s">
        <v>67</v>
      </c>
      <c r="C1114" t="s">
        <v>617</v>
      </c>
      <c r="D1114">
        <v>2304.6999999999998</v>
      </c>
      <c r="E1114" s="37" t="str">
        <f t="shared" si="85"/>
        <v xml:space="preserve"> </v>
      </c>
      <c r="F1114">
        <v>0.36</v>
      </c>
      <c r="G1114" s="37" t="str">
        <f t="shared" si="86"/>
        <v>Heavy Discount</v>
      </c>
      <c r="H1114" s="37" t="str">
        <f t="shared" si="87"/>
        <v>Medium</v>
      </c>
      <c r="I1114">
        <v>9</v>
      </c>
      <c r="J1114" t="str" cm="1">
        <f t="array" ref="J1114">_xlfn.IFS(I1114&lt;=3,"small",I1114&lt;=6,"Medium",I1114&lt;=9,"Large")</f>
        <v>Large</v>
      </c>
      <c r="K1114" s="36">
        <v>45009</v>
      </c>
      <c r="L1114" s="36">
        <v>45011</v>
      </c>
      <c r="M1114" t="s">
        <v>598</v>
      </c>
      <c r="N1114" t="s">
        <v>608</v>
      </c>
      <c r="O1114" s="37" t="str">
        <f t="shared" si="88"/>
        <v>Cash Payment</v>
      </c>
      <c r="P1114">
        <v>613.1</v>
      </c>
      <c r="Q1114" s="37" t="str">
        <f>IF(P1114&gt;500,"High","low")</f>
        <v>High</v>
      </c>
      <c r="R1114" s="37" t="str">
        <f t="shared" si="89"/>
        <v>Good</v>
      </c>
      <c r="S1114" t="s">
        <v>615</v>
      </c>
    </row>
    <row r="1115" spans="1:19" x14ac:dyDescent="0.2">
      <c r="A1115" t="s">
        <v>1726</v>
      </c>
      <c r="B1115" t="s">
        <v>90</v>
      </c>
      <c r="C1115" t="s">
        <v>602</v>
      </c>
      <c r="D1115">
        <v>3607.78</v>
      </c>
      <c r="E1115" s="37" t="str">
        <f t="shared" si="85"/>
        <v xml:space="preserve"> </v>
      </c>
      <c r="F1115">
        <v>0.15</v>
      </c>
      <c r="G1115" s="37" t="str">
        <f t="shared" si="86"/>
        <v>Normal Discount</v>
      </c>
      <c r="H1115" s="37" t="str">
        <f t="shared" si="87"/>
        <v>Low</v>
      </c>
      <c r="I1115">
        <v>8</v>
      </c>
      <c r="J1115" t="str" cm="1">
        <f t="array" ref="J1115">_xlfn.IFS(I1115&lt;=3,"small",I1115&lt;=6,"Medium",I1115&lt;=9,"Large")</f>
        <v>Large</v>
      </c>
      <c r="K1115" s="36">
        <v>45541</v>
      </c>
      <c r="L1115" s="36">
        <v>45543</v>
      </c>
      <c r="M1115" t="s">
        <v>612</v>
      </c>
      <c r="N1115" t="s">
        <v>599</v>
      </c>
      <c r="O1115" s="37" t="str">
        <f t="shared" si="88"/>
        <v>Digital Payment</v>
      </c>
      <c r="P1115">
        <v>716.45</v>
      </c>
      <c r="Q1115" s="37" t="str">
        <f>IF(P1115&gt;500,"High","low")</f>
        <v>High</v>
      </c>
      <c r="R1115" s="37" t="str">
        <f t="shared" si="89"/>
        <v>Good</v>
      </c>
      <c r="S1115" t="s">
        <v>620</v>
      </c>
    </row>
    <row r="1116" spans="1:19" x14ac:dyDescent="0.2">
      <c r="A1116" t="s">
        <v>1727</v>
      </c>
      <c r="B1116" t="s">
        <v>90</v>
      </c>
      <c r="C1116" t="s">
        <v>607</v>
      </c>
      <c r="D1116">
        <v>349.66</v>
      </c>
      <c r="E1116" s="37" t="str">
        <f t="shared" si="85"/>
        <v xml:space="preserve"> </v>
      </c>
      <c r="F1116">
        <v>0.22</v>
      </c>
      <c r="G1116" s="37" t="str">
        <f t="shared" si="86"/>
        <v>Normal Discount</v>
      </c>
      <c r="H1116" s="37" t="str">
        <f t="shared" si="87"/>
        <v>Medium</v>
      </c>
      <c r="I1116">
        <v>2</v>
      </c>
      <c r="J1116" t="str" cm="1">
        <f t="array" ref="J1116">_xlfn.IFS(I1116&lt;=3,"small",I1116&lt;=6,"Medium",I1116&lt;=9,"Large")</f>
        <v>small</v>
      </c>
      <c r="K1116" s="36">
        <v>45386</v>
      </c>
      <c r="L1116" s="36">
        <v>45387</v>
      </c>
      <c r="M1116" t="s">
        <v>598</v>
      </c>
      <c r="N1116" t="s">
        <v>608</v>
      </c>
      <c r="O1116" s="37" t="str">
        <f t="shared" si="88"/>
        <v>Cash Payment</v>
      </c>
      <c r="P1116">
        <v>76.150000000000006</v>
      </c>
      <c r="Q1116" s="37" t="str">
        <f>IF(P1116&gt;500,"High","low")</f>
        <v>low</v>
      </c>
      <c r="R1116" s="37" t="str">
        <f t="shared" si="89"/>
        <v>AVERAGE</v>
      </c>
      <c r="S1116" t="s">
        <v>609</v>
      </c>
    </row>
    <row r="1117" spans="1:19" x14ac:dyDescent="0.2">
      <c r="A1117" t="s">
        <v>1728</v>
      </c>
      <c r="B1117" t="s">
        <v>90</v>
      </c>
      <c r="C1117" t="s">
        <v>602</v>
      </c>
      <c r="D1117">
        <v>2538.7600000000002</v>
      </c>
      <c r="E1117" s="37" t="str">
        <f t="shared" si="85"/>
        <v xml:space="preserve"> </v>
      </c>
      <c r="F1117">
        <v>0.17</v>
      </c>
      <c r="G1117" s="37" t="str">
        <f t="shared" si="86"/>
        <v>Normal Discount</v>
      </c>
      <c r="H1117" s="37" t="str">
        <f t="shared" si="87"/>
        <v>Low</v>
      </c>
      <c r="I1117">
        <v>2</v>
      </c>
      <c r="J1117" t="str" cm="1">
        <f t="array" ref="J1117">_xlfn.IFS(I1117&lt;=3,"small",I1117&lt;=6,"Medium",I1117&lt;=9,"Large")</f>
        <v>small</v>
      </c>
      <c r="K1117" s="36">
        <v>45087</v>
      </c>
      <c r="L1117" s="36">
        <v>45091</v>
      </c>
      <c r="M1117" t="s">
        <v>598</v>
      </c>
      <c r="N1117" t="s">
        <v>604</v>
      </c>
      <c r="O1117" s="37" t="str">
        <f t="shared" si="88"/>
        <v>Digital Payment</v>
      </c>
      <c r="P1117">
        <v>461.71</v>
      </c>
      <c r="Q1117" s="37" t="str">
        <f>IF(P1117&gt;500,"High","low")</f>
        <v>low</v>
      </c>
      <c r="R1117" s="37" t="str">
        <f t="shared" si="89"/>
        <v>AVERAGE</v>
      </c>
      <c r="S1117" t="s">
        <v>609</v>
      </c>
    </row>
    <row r="1118" spans="1:19" x14ac:dyDescent="0.2">
      <c r="A1118" t="s">
        <v>1729</v>
      </c>
      <c r="B1118" t="s">
        <v>90</v>
      </c>
      <c r="C1118" t="s">
        <v>607</v>
      </c>
      <c r="D1118">
        <v>1729.11</v>
      </c>
      <c r="E1118" s="37" t="str">
        <f t="shared" si="85"/>
        <v xml:space="preserve"> </v>
      </c>
      <c r="F1118">
        <v>0.05</v>
      </c>
      <c r="G1118" s="37" t="str">
        <f t="shared" si="86"/>
        <v>Normal Discount</v>
      </c>
      <c r="H1118" s="37" t="str">
        <f t="shared" si="87"/>
        <v>Low</v>
      </c>
      <c r="I1118">
        <v>7</v>
      </c>
      <c r="J1118" t="str" cm="1">
        <f t="array" ref="J1118">_xlfn.IFS(I1118&lt;=3,"small",I1118&lt;=6,"Medium",I1118&lt;=9,"Large")</f>
        <v>Large</v>
      </c>
      <c r="K1118" s="36">
        <v>45540</v>
      </c>
      <c r="L1118" s="36">
        <v>45547</v>
      </c>
      <c r="M1118" t="s">
        <v>598</v>
      </c>
      <c r="N1118" t="s">
        <v>604</v>
      </c>
      <c r="O1118" s="37" t="str">
        <f t="shared" si="88"/>
        <v>Digital Payment</v>
      </c>
      <c r="P1118">
        <v>219.91</v>
      </c>
      <c r="Q1118" s="37" t="str">
        <f>IF(P1118&gt;500,"High","low")</f>
        <v>low</v>
      </c>
      <c r="R1118" s="37" t="str">
        <f t="shared" si="89"/>
        <v>AVERAGE</v>
      </c>
      <c r="S1118" t="s">
        <v>600</v>
      </c>
    </row>
    <row r="1119" spans="1:19" x14ac:dyDescent="0.2">
      <c r="A1119" t="s">
        <v>1730</v>
      </c>
      <c r="B1119" t="s">
        <v>75</v>
      </c>
      <c r="C1119" t="s">
        <v>597</v>
      </c>
      <c r="D1119">
        <v>3190.46</v>
      </c>
      <c r="E1119" s="37" t="str">
        <f t="shared" si="85"/>
        <v xml:space="preserve"> </v>
      </c>
      <c r="F1119">
        <v>0.37</v>
      </c>
      <c r="G1119" s="37" t="str">
        <f t="shared" si="86"/>
        <v>Heavy Discount</v>
      </c>
      <c r="H1119" s="37" t="str">
        <f t="shared" si="87"/>
        <v>Medium</v>
      </c>
      <c r="I1119">
        <v>4</v>
      </c>
      <c r="J1119" t="str" cm="1">
        <f t="array" ref="J1119">_xlfn.IFS(I1119&lt;=3,"small",I1119&lt;=6,"Medium",I1119&lt;=9,"Large")</f>
        <v>Medium</v>
      </c>
      <c r="K1119" s="36">
        <v>45166</v>
      </c>
      <c r="L1119" s="36">
        <v>45172</v>
      </c>
      <c r="M1119" t="s">
        <v>603</v>
      </c>
      <c r="N1119" t="s">
        <v>608</v>
      </c>
      <c r="O1119" s="37" t="str">
        <f t="shared" si="88"/>
        <v>Cash Payment</v>
      </c>
      <c r="P1119">
        <v>632.91999999999996</v>
      </c>
      <c r="Q1119" s="37" t="str">
        <f>IF(P1119&gt;500,"High","low")</f>
        <v>High</v>
      </c>
      <c r="R1119" s="37" t="str">
        <f t="shared" si="89"/>
        <v>Good</v>
      </c>
      <c r="S1119" t="s">
        <v>600</v>
      </c>
    </row>
    <row r="1120" spans="1:19" x14ac:dyDescent="0.2">
      <c r="A1120" t="s">
        <v>1731</v>
      </c>
      <c r="B1120" t="s">
        <v>75</v>
      </c>
      <c r="C1120" t="s">
        <v>617</v>
      </c>
      <c r="D1120">
        <v>314.13</v>
      </c>
      <c r="E1120" s="37" t="str">
        <f t="shared" si="85"/>
        <v xml:space="preserve"> </v>
      </c>
      <c r="F1120">
        <v>0.23</v>
      </c>
      <c r="G1120" s="37" t="str">
        <f t="shared" si="86"/>
        <v>Normal Discount</v>
      </c>
      <c r="H1120" s="37" t="str">
        <f t="shared" si="87"/>
        <v>Medium</v>
      </c>
      <c r="I1120">
        <v>9</v>
      </c>
      <c r="J1120" t="str" cm="1">
        <f t="array" ref="J1120">_xlfn.IFS(I1120&lt;=3,"small",I1120&lt;=6,"Medium",I1120&lt;=9,"Large")</f>
        <v>Large</v>
      </c>
      <c r="K1120" s="36">
        <v>45638</v>
      </c>
      <c r="L1120" s="36">
        <v>45639</v>
      </c>
      <c r="M1120" t="s">
        <v>598</v>
      </c>
      <c r="N1120" t="s">
        <v>599</v>
      </c>
      <c r="O1120" s="37" t="str">
        <f t="shared" si="88"/>
        <v>Digital Payment</v>
      </c>
      <c r="P1120">
        <v>94.08</v>
      </c>
      <c r="Q1120" s="37" t="str">
        <f>IF(P1120&gt;500,"High","low")</f>
        <v>low</v>
      </c>
      <c r="R1120" s="37" t="str">
        <f t="shared" si="89"/>
        <v>AVERAGE</v>
      </c>
      <c r="S1120" t="s">
        <v>600</v>
      </c>
    </row>
    <row r="1121" spans="1:19" x14ac:dyDescent="0.2">
      <c r="A1121" t="s">
        <v>1732</v>
      </c>
      <c r="B1121" t="s">
        <v>83</v>
      </c>
      <c r="C1121" t="s">
        <v>614</v>
      </c>
      <c r="D1121">
        <v>271.18</v>
      </c>
      <c r="E1121" s="37" t="str">
        <f t="shared" si="85"/>
        <v xml:space="preserve"> </v>
      </c>
      <c r="F1121">
        <v>0.41</v>
      </c>
      <c r="G1121" s="37" t="str">
        <f t="shared" si="86"/>
        <v>Heavy Discount</v>
      </c>
      <c r="H1121" s="37" t="str">
        <f t="shared" si="87"/>
        <v>High</v>
      </c>
      <c r="I1121">
        <v>6</v>
      </c>
      <c r="J1121" t="str" cm="1">
        <f t="array" ref="J1121">_xlfn.IFS(I1121&lt;=3,"small",I1121&lt;=6,"Medium",I1121&lt;=9,"Large")</f>
        <v>Medium</v>
      </c>
      <c r="K1121" s="36">
        <v>45412</v>
      </c>
      <c r="L1121" s="36">
        <v>45417</v>
      </c>
      <c r="M1121" t="s">
        <v>598</v>
      </c>
      <c r="N1121" t="s">
        <v>608</v>
      </c>
      <c r="O1121" s="37" t="str">
        <f t="shared" si="88"/>
        <v>Cash Payment</v>
      </c>
      <c r="P1121">
        <v>27.16</v>
      </c>
      <c r="Q1121" s="37" t="str">
        <f>IF(P1121&gt;500,"High","low")</f>
        <v>low</v>
      </c>
      <c r="R1121" s="37" t="str">
        <f t="shared" si="89"/>
        <v>AVERAGE</v>
      </c>
      <c r="S1121" t="s">
        <v>615</v>
      </c>
    </row>
    <row r="1122" spans="1:19" x14ac:dyDescent="0.2">
      <c r="A1122" t="s">
        <v>1733</v>
      </c>
      <c r="B1122" t="s">
        <v>83</v>
      </c>
      <c r="C1122" t="s">
        <v>617</v>
      </c>
      <c r="D1122">
        <v>2193.5300000000002</v>
      </c>
      <c r="E1122" s="37" t="str">
        <f t="shared" si="85"/>
        <v xml:space="preserve"> </v>
      </c>
      <c r="F1122">
        <v>0.35</v>
      </c>
      <c r="G1122" s="37" t="str">
        <f t="shared" si="86"/>
        <v>Heavy Discount</v>
      </c>
      <c r="H1122" s="37" t="str">
        <f t="shared" si="87"/>
        <v>Medium</v>
      </c>
      <c r="I1122">
        <v>9</v>
      </c>
      <c r="J1122" t="str" cm="1">
        <f t="array" ref="J1122">_xlfn.IFS(I1122&lt;=3,"small",I1122&lt;=6,"Medium",I1122&lt;=9,"Large")</f>
        <v>Large</v>
      </c>
      <c r="K1122" s="36">
        <v>45597</v>
      </c>
      <c r="L1122" s="36">
        <v>45603</v>
      </c>
      <c r="M1122" t="s">
        <v>598</v>
      </c>
      <c r="N1122" t="s">
        <v>599</v>
      </c>
      <c r="O1122" s="37" t="str">
        <f t="shared" si="88"/>
        <v>Digital Payment</v>
      </c>
      <c r="P1122">
        <v>506.56</v>
      </c>
      <c r="Q1122" s="37" t="str">
        <f>IF(P1122&gt;500,"High","low")</f>
        <v>High</v>
      </c>
      <c r="R1122" s="37" t="str">
        <f t="shared" si="89"/>
        <v>Good</v>
      </c>
      <c r="S1122" t="s">
        <v>600</v>
      </c>
    </row>
    <row r="1123" spans="1:19" x14ac:dyDescent="0.2">
      <c r="A1123" t="s">
        <v>1734</v>
      </c>
      <c r="B1123" t="s">
        <v>90</v>
      </c>
      <c r="C1123" t="s">
        <v>607</v>
      </c>
      <c r="D1123">
        <v>4075.56</v>
      </c>
      <c r="E1123" s="37" t="str">
        <f t="shared" si="85"/>
        <v>Excellent Order</v>
      </c>
      <c r="F1123">
        <v>0.03</v>
      </c>
      <c r="G1123" s="37" t="str">
        <f t="shared" si="86"/>
        <v>Normal Discount</v>
      </c>
      <c r="H1123" s="37" t="str">
        <f t="shared" si="87"/>
        <v>Low</v>
      </c>
      <c r="I1123">
        <v>3</v>
      </c>
      <c r="J1123" t="str" cm="1">
        <f t="array" ref="J1123">_xlfn.IFS(I1123&lt;=3,"small",I1123&lt;=6,"Medium",I1123&lt;=9,"Large")</f>
        <v>small</v>
      </c>
      <c r="K1123" s="36">
        <v>45129</v>
      </c>
      <c r="L1123" s="36">
        <v>45136</v>
      </c>
      <c r="M1123" t="s">
        <v>612</v>
      </c>
      <c r="N1123" t="s">
        <v>608</v>
      </c>
      <c r="O1123" s="37" t="str">
        <f t="shared" si="88"/>
        <v>Cash Payment</v>
      </c>
      <c r="P1123">
        <v>929.27</v>
      </c>
      <c r="Q1123" s="37" t="str">
        <f>IF(P1123&gt;500,"High","low")</f>
        <v>High</v>
      </c>
      <c r="R1123" s="37" t="str">
        <f t="shared" si="89"/>
        <v>Good</v>
      </c>
      <c r="S1123" t="s">
        <v>605</v>
      </c>
    </row>
    <row r="1124" spans="1:19" x14ac:dyDescent="0.2">
      <c r="A1124" t="s">
        <v>1735</v>
      </c>
      <c r="B1124" t="s">
        <v>90</v>
      </c>
      <c r="C1124" t="s">
        <v>614</v>
      </c>
      <c r="D1124">
        <v>3388.36</v>
      </c>
      <c r="E1124" s="37" t="str">
        <f t="shared" si="85"/>
        <v xml:space="preserve"> </v>
      </c>
      <c r="F1124">
        <v>0.25</v>
      </c>
      <c r="G1124" s="37" t="str">
        <f t="shared" si="86"/>
        <v>Normal Discount</v>
      </c>
      <c r="H1124" s="37" t="str">
        <f t="shared" si="87"/>
        <v>Medium</v>
      </c>
      <c r="I1124">
        <v>6</v>
      </c>
      <c r="J1124" t="str" cm="1">
        <f t="array" ref="J1124">_xlfn.IFS(I1124&lt;=3,"small",I1124&lt;=6,"Medium",I1124&lt;=9,"Large")</f>
        <v>Medium</v>
      </c>
      <c r="K1124" s="36">
        <v>45350</v>
      </c>
      <c r="L1124" s="36">
        <v>45352</v>
      </c>
      <c r="M1124" t="s">
        <v>612</v>
      </c>
      <c r="N1124" t="s">
        <v>604</v>
      </c>
      <c r="O1124" s="37" t="str">
        <f t="shared" si="88"/>
        <v>Digital Payment</v>
      </c>
      <c r="P1124">
        <v>830.41</v>
      </c>
      <c r="Q1124" s="37" t="str">
        <f>IF(P1124&gt;500,"High","low")</f>
        <v>High</v>
      </c>
      <c r="R1124" s="37" t="str">
        <f t="shared" si="89"/>
        <v>Good</v>
      </c>
      <c r="S1124" t="s">
        <v>620</v>
      </c>
    </row>
    <row r="1125" spans="1:19" x14ac:dyDescent="0.2">
      <c r="A1125" t="s">
        <v>1736</v>
      </c>
      <c r="B1125" t="s">
        <v>90</v>
      </c>
      <c r="C1125" t="s">
        <v>617</v>
      </c>
      <c r="D1125">
        <v>181.86</v>
      </c>
      <c r="E1125" s="37" t="str">
        <f t="shared" si="85"/>
        <v xml:space="preserve"> </v>
      </c>
      <c r="F1125">
        <v>0.5</v>
      </c>
      <c r="G1125" s="37" t="str">
        <f t="shared" si="86"/>
        <v>Heavy Discount</v>
      </c>
      <c r="H1125" s="37" t="str">
        <f t="shared" si="87"/>
        <v>High</v>
      </c>
      <c r="I1125">
        <v>6</v>
      </c>
      <c r="J1125" t="str" cm="1">
        <f t="array" ref="J1125">_xlfn.IFS(I1125&lt;=3,"small",I1125&lt;=6,"Medium",I1125&lt;=9,"Large")</f>
        <v>Medium</v>
      </c>
      <c r="K1125" s="36">
        <v>45123</v>
      </c>
      <c r="L1125" s="36">
        <v>45124</v>
      </c>
      <c r="M1125" t="s">
        <v>612</v>
      </c>
      <c r="N1125" t="s">
        <v>599</v>
      </c>
      <c r="O1125" s="37" t="str">
        <f t="shared" si="88"/>
        <v>Digital Payment</v>
      </c>
      <c r="P1125">
        <v>28.99</v>
      </c>
      <c r="Q1125" s="37" t="str">
        <f>IF(P1125&gt;500,"High","low")</f>
        <v>low</v>
      </c>
      <c r="R1125" s="37" t="str">
        <f t="shared" si="89"/>
        <v>AVERAGE</v>
      </c>
      <c r="S1125" t="s">
        <v>605</v>
      </c>
    </row>
    <row r="1126" spans="1:19" x14ac:dyDescent="0.2">
      <c r="A1126" t="s">
        <v>1737</v>
      </c>
      <c r="B1126" t="s">
        <v>83</v>
      </c>
      <c r="C1126" t="s">
        <v>614</v>
      </c>
      <c r="D1126">
        <v>974.51</v>
      </c>
      <c r="E1126" s="37" t="str">
        <f t="shared" si="85"/>
        <v xml:space="preserve"> </v>
      </c>
      <c r="F1126">
        <v>0.15</v>
      </c>
      <c r="G1126" s="37" t="str">
        <f t="shared" si="86"/>
        <v>Normal Discount</v>
      </c>
      <c r="H1126" s="37" t="str">
        <f t="shared" si="87"/>
        <v>Low</v>
      </c>
      <c r="I1126">
        <v>8</v>
      </c>
      <c r="J1126" t="str" cm="1">
        <f t="array" ref="J1126">_xlfn.IFS(I1126&lt;=3,"small",I1126&lt;=6,"Medium",I1126&lt;=9,"Large")</f>
        <v>Large</v>
      </c>
      <c r="K1126" s="36">
        <v>44968</v>
      </c>
      <c r="L1126" s="36">
        <v>44973</v>
      </c>
      <c r="M1126" t="s">
        <v>612</v>
      </c>
      <c r="N1126" t="s">
        <v>604</v>
      </c>
      <c r="O1126" s="37" t="str">
        <f t="shared" si="88"/>
        <v>Digital Payment</v>
      </c>
      <c r="P1126">
        <v>51.34</v>
      </c>
      <c r="Q1126" s="37" t="str">
        <f>IF(P1126&gt;500,"High","low")</f>
        <v>low</v>
      </c>
      <c r="R1126" s="37" t="str">
        <f t="shared" si="89"/>
        <v>AVERAGE</v>
      </c>
      <c r="S1126" t="s">
        <v>600</v>
      </c>
    </row>
    <row r="1127" spans="1:19" x14ac:dyDescent="0.2">
      <c r="A1127" t="s">
        <v>1738</v>
      </c>
      <c r="B1127" t="s">
        <v>67</v>
      </c>
      <c r="C1127" t="s">
        <v>607</v>
      </c>
      <c r="D1127">
        <v>1210.98</v>
      </c>
      <c r="E1127" s="37" t="str">
        <f t="shared" si="85"/>
        <v xml:space="preserve"> </v>
      </c>
      <c r="F1127">
        <v>0.25</v>
      </c>
      <c r="G1127" s="37" t="str">
        <f t="shared" si="86"/>
        <v>Normal Discount</v>
      </c>
      <c r="H1127" s="37" t="str">
        <f t="shared" si="87"/>
        <v>Medium</v>
      </c>
      <c r="I1127">
        <v>7</v>
      </c>
      <c r="J1127" t="str" cm="1">
        <f t="array" ref="J1127">_xlfn.IFS(I1127&lt;=3,"small",I1127&lt;=6,"Medium",I1127&lt;=9,"Large")</f>
        <v>Large</v>
      </c>
      <c r="K1127" s="36">
        <v>45140</v>
      </c>
      <c r="L1127" s="36">
        <v>45145</v>
      </c>
      <c r="M1127" t="s">
        <v>603</v>
      </c>
      <c r="N1127" t="s">
        <v>608</v>
      </c>
      <c r="O1127" s="37" t="str">
        <f t="shared" si="88"/>
        <v>Cash Payment</v>
      </c>
      <c r="P1127">
        <v>334.27</v>
      </c>
      <c r="Q1127" s="37" t="str">
        <f>IF(P1127&gt;500,"High","low")</f>
        <v>low</v>
      </c>
      <c r="R1127" s="37" t="str">
        <f t="shared" si="89"/>
        <v>AVERAGE</v>
      </c>
      <c r="S1127" t="s">
        <v>620</v>
      </c>
    </row>
    <row r="1128" spans="1:19" x14ac:dyDescent="0.2">
      <c r="A1128" t="s">
        <v>1739</v>
      </c>
      <c r="B1128" t="s">
        <v>67</v>
      </c>
      <c r="C1128" t="s">
        <v>597</v>
      </c>
      <c r="D1128">
        <v>2172.9899999999998</v>
      </c>
      <c r="E1128" s="37" t="str">
        <f t="shared" si="85"/>
        <v xml:space="preserve"> </v>
      </c>
      <c r="F1128">
        <v>0.33</v>
      </c>
      <c r="G1128" s="37" t="str">
        <f t="shared" si="86"/>
        <v>Heavy Discount</v>
      </c>
      <c r="H1128" s="37" t="str">
        <f t="shared" si="87"/>
        <v>Medium</v>
      </c>
      <c r="I1128">
        <v>3</v>
      </c>
      <c r="J1128" t="str" cm="1">
        <f t="array" ref="J1128">_xlfn.IFS(I1128&lt;=3,"small",I1128&lt;=6,"Medium",I1128&lt;=9,"Large")</f>
        <v>small</v>
      </c>
      <c r="K1128" s="36">
        <v>45610</v>
      </c>
      <c r="L1128" s="36">
        <v>45616</v>
      </c>
      <c r="M1128" t="s">
        <v>612</v>
      </c>
      <c r="N1128" t="s">
        <v>599</v>
      </c>
      <c r="O1128" s="37" t="str">
        <f t="shared" si="88"/>
        <v>Digital Payment</v>
      </c>
      <c r="P1128">
        <v>248.76</v>
      </c>
      <c r="Q1128" s="37" t="str">
        <f>IF(P1128&gt;500,"High","low")</f>
        <v>low</v>
      </c>
      <c r="R1128" s="37" t="str">
        <f t="shared" si="89"/>
        <v>AVERAGE</v>
      </c>
      <c r="S1128" t="s">
        <v>615</v>
      </c>
    </row>
    <row r="1129" spans="1:19" x14ac:dyDescent="0.2">
      <c r="A1129" t="s">
        <v>1740</v>
      </c>
      <c r="B1129" t="s">
        <v>83</v>
      </c>
      <c r="C1129" t="s">
        <v>597</v>
      </c>
      <c r="D1129">
        <v>2974.91</v>
      </c>
      <c r="E1129" s="37" t="str">
        <f t="shared" si="85"/>
        <v xml:space="preserve"> </v>
      </c>
      <c r="F1129">
        <v>0.1</v>
      </c>
      <c r="G1129" s="37" t="str">
        <f t="shared" si="86"/>
        <v>Normal Discount</v>
      </c>
      <c r="H1129" s="37" t="str">
        <f t="shared" si="87"/>
        <v>Low</v>
      </c>
      <c r="I1129">
        <v>1</v>
      </c>
      <c r="J1129" t="str" cm="1">
        <f t="array" ref="J1129">_xlfn.IFS(I1129&lt;=3,"small",I1129&lt;=6,"Medium",I1129&lt;=9,"Large")</f>
        <v>small</v>
      </c>
      <c r="K1129" s="36">
        <v>45179</v>
      </c>
      <c r="L1129" s="36">
        <v>45186</v>
      </c>
      <c r="M1129" t="s">
        <v>612</v>
      </c>
      <c r="N1129" t="s">
        <v>608</v>
      </c>
      <c r="O1129" s="37" t="str">
        <f t="shared" si="88"/>
        <v>Cash Payment</v>
      </c>
      <c r="P1129">
        <v>446.98</v>
      </c>
      <c r="Q1129" s="37" t="str">
        <f>IF(P1129&gt;500,"High","low")</f>
        <v>low</v>
      </c>
      <c r="R1129" s="37" t="str">
        <f t="shared" si="89"/>
        <v>AVERAGE</v>
      </c>
      <c r="S1129" t="s">
        <v>615</v>
      </c>
    </row>
    <row r="1130" spans="1:19" x14ac:dyDescent="0.2">
      <c r="A1130" t="s">
        <v>1741</v>
      </c>
      <c r="B1130" t="s">
        <v>83</v>
      </c>
      <c r="C1130" t="s">
        <v>617</v>
      </c>
      <c r="D1130">
        <v>1160.6500000000001</v>
      </c>
      <c r="E1130" s="37" t="str">
        <f t="shared" si="85"/>
        <v xml:space="preserve"> </v>
      </c>
      <c r="F1130">
        <v>0.35</v>
      </c>
      <c r="G1130" s="37" t="str">
        <f t="shared" si="86"/>
        <v>Heavy Discount</v>
      </c>
      <c r="H1130" s="37" t="str">
        <f t="shared" si="87"/>
        <v>Medium</v>
      </c>
      <c r="I1130">
        <v>2</v>
      </c>
      <c r="J1130" t="str" cm="1">
        <f t="array" ref="J1130">_xlfn.IFS(I1130&lt;=3,"small",I1130&lt;=6,"Medium",I1130&lt;=9,"Large")</f>
        <v>small</v>
      </c>
      <c r="K1130" s="36">
        <v>44943</v>
      </c>
      <c r="L1130" s="36">
        <v>44945</v>
      </c>
      <c r="M1130" t="s">
        <v>598</v>
      </c>
      <c r="N1130" t="s">
        <v>608</v>
      </c>
      <c r="O1130" s="37" t="str">
        <f t="shared" si="88"/>
        <v>Cash Payment</v>
      </c>
      <c r="P1130">
        <v>299.02</v>
      </c>
      <c r="Q1130" s="37" t="str">
        <f>IF(P1130&gt;500,"High","low")</f>
        <v>low</v>
      </c>
      <c r="R1130" s="37" t="str">
        <f t="shared" si="89"/>
        <v>AVERAGE</v>
      </c>
      <c r="S1130" t="s">
        <v>609</v>
      </c>
    </row>
    <row r="1131" spans="1:19" x14ac:dyDescent="0.2">
      <c r="A1131" t="s">
        <v>1742</v>
      </c>
      <c r="B1131" t="s">
        <v>83</v>
      </c>
      <c r="C1131" t="s">
        <v>602</v>
      </c>
      <c r="D1131">
        <v>1974.32</v>
      </c>
      <c r="E1131" s="37" t="str">
        <f t="shared" si="85"/>
        <v xml:space="preserve"> </v>
      </c>
      <c r="F1131">
        <v>0.33</v>
      </c>
      <c r="G1131" s="37" t="str">
        <f t="shared" si="86"/>
        <v>Heavy Discount</v>
      </c>
      <c r="H1131" s="37" t="str">
        <f t="shared" si="87"/>
        <v>Medium</v>
      </c>
      <c r="I1131">
        <v>2</v>
      </c>
      <c r="J1131" t="str" cm="1">
        <f t="array" ref="J1131">_xlfn.IFS(I1131&lt;=3,"small",I1131&lt;=6,"Medium",I1131&lt;=9,"Large")</f>
        <v>small</v>
      </c>
      <c r="K1131" s="36">
        <v>45586</v>
      </c>
      <c r="L1131" s="36">
        <v>45592</v>
      </c>
      <c r="M1131" t="s">
        <v>598</v>
      </c>
      <c r="N1131" t="s">
        <v>608</v>
      </c>
      <c r="O1131" s="37" t="str">
        <f t="shared" si="88"/>
        <v>Cash Payment</v>
      </c>
      <c r="P1131">
        <v>529.09</v>
      </c>
      <c r="Q1131" s="37" t="str">
        <f>IF(P1131&gt;500,"High","low")</f>
        <v>High</v>
      </c>
      <c r="R1131" s="37" t="str">
        <f t="shared" si="89"/>
        <v>Good</v>
      </c>
      <c r="S1131" t="s">
        <v>605</v>
      </c>
    </row>
    <row r="1132" spans="1:19" x14ac:dyDescent="0.2">
      <c r="A1132" t="s">
        <v>1743</v>
      </c>
      <c r="B1132" t="s">
        <v>83</v>
      </c>
      <c r="C1132" t="s">
        <v>607</v>
      </c>
      <c r="D1132">
        <v>2961.32</v>
      </c>
      <c r="E1132" s="37" t="str">
        <f t="shared" si="85"/>
        <v xml:space="preserve"> </v>
      </c>
      <c r="F1132">
        <v>0.19</v>
      </c>
      <c r="G1132" s="37" t="str">
        <f t="shared" si="86"/>
        <v>Normal Discount</v>
      </c>
      <c r="H1132" s="37" t="str">
        <f t="shared" si="87"/>
        <v>Low</v>
      </c>
      <c r="I1132">
        <v>1</v>
      </c>
      <c r="J1132" t="str" cm="1">
        <f t="array" ref="J1132">_xlfn.IFS(I1132&lt;=3,"small",I1132&lt;=6,"Medium",I1132&lt;=9,"Large")</f>
        <v>small</v>
      </c>
      <c r="K1132" s="36">
        <v>45042</v>
      </c>
      <c r="L1132" s="36">
        <v>45048</v>
      </c>
      <c r="M1132" t="s">
        <v>612</v>
      </c>
      <c r="N1132" t="s">
        <v>608</v>
      </c>
      <c r="O1132" s="37" t="str">
        <f t="shared" si="88"/>
        <v>Cash Payment</v>
      </c>
      <c r="P1132">
        <v>657.31</v>
      </c>
      <c r="Q1132" s="37" t="str">
        <f>IF(P1132&gt;500,"High","low")</f>
        <v>High</v>
      </c>
      <c r="R1132" s="37" t="str">
        <f t="shared" si="89"/>
        <v>Good</v>
      </c>
      <c r="S1132" t="s">
        <v>620</v>
      </c>
    </row>
    <row r="1133" spans="1:19" x14ac:dyDescent="0.2">
      <c r="A1133" t="s">
        <v>1744</v>
      </c>
      <c r="B1133" t="s">
        <v>83</v>
      </c>
      <c r="C1133" t="s">
        <v>617</v>
      </c>
      <c r="D1133">
        <v>1978.83</v>
      </c>
      <c r="E1133" s="37" t="str">
        <f t="shared" si="85"/>
        <v xml:space="preserve"> </v>
      </c>
      <c r="F1133">
        <v>0.14000000000000001</v>
      </c>
      <c r="G1133" s="37" t="str">
        <f t="shared" si="86"/>
        <v>Normal Discount</v>
      </c>
      <c r="H1133" s="37" t="str">
        <f t="shared" si="87"/>
        <v>Low</v>
      </c>
      <c r="I1133">
        <v>4</v>
      </c>
      <c r="J1133" t="str" cm="1">
        <f t="array" ref="J1133">_xlfn.IFS(I1133&lt;=3,"small",I1133&lt;=6,"Medium",I1133&lt;=9,"Large")</f>
        <v>Medium</v>
      </c>
      <c r="K1133" s="36">
        <v>45130</v>
      </c>
      <c r="L1133" s="36">
        <v>45136</v>
      </c>
      <c r="M1133" t="s">
        <v>612</v>
      </c>
      <c r="N1133" t="s">
        <v>599</v>
      </c>
      <c r="O1133" s="37" t="str">
        <f t="shared" si="88"/>
        <v>Digital Payment</v>
      </c>
      <c r="P1133">
        <v>316.48</v>
      </c>
      <c r="Q1133" s="37" t="str">
        <f>IF(P1133&gt;500,"High","low")</f>
        <v>low</v>
      </c>
      <c r="R1133" s="37" t="str">
        <f t="shared" si="89"/>
        <v>AVERAGE</v>
      </c>
      <c r="S1133" t="s">
        <v>605</v>
      </c>
    </row>
    <row r="1134" spans="1:19" x14ac:dyDescent="0.2">
      <c r="A1134" t="s">
        <v>1745</v>
      </c>
      <c r="B1134" t="s">
        <v>83</v>
      </c>
      <c r="C1134" t="s">
        <v>617</v>
      </c>
      <c r="D1134">
        <v>801.53</v>
      </c>
      <c r="E1134" s="37" t="str">
        <f t="shared" si="85"/>
        <v xml:space="preserve"> </v>
      </c>
      <c r="F1134">
        <v>0.46</v>
      </c>
      <c r="G1134" s="37" t="str">
        <f t="shared" si="86"/>
        <v>Heavy Discount</v>
      </c>
      <c r="H1134" s="37" t="str">
        <f t="shared" si="87"/>
        <v>High</v>
      </c>
      <c r="I1134">
        <v>6</v>
      </c>
      <c r="J1134" t="str" cm="1">
        <f t="array" ref="J1134">_xlfn.IFS(I1134&lt;=3,"small",I1134&lt;=6,"Medium",I1134&lt;=9,"Large")</f>
        <v>Medium</v>
      </c>
      <c r="K1134" s="36">
        <v>45619</v>
      </c>
      <c r="L1134" s="36">
        <v>45620</v>
      </c>
      <c r="M1134" t="s">
        <v>598</v>
      </c>
      <c r="N1134" t="s">
        <v>604</v>
      </c>
      <c r="O1134" s="37" t="str">
        <f t="shared" si="88"/>
        <v>Digital Payment</v>
      </c>
      <c r="P1134">
        <v>169.25</v>
      </c>
      <c r="Q1134" s="37" t="str">
        <f>IF(P1134&gt;500,"High","low")</f>
        <v>low</v>
      </c>
      <c r="R1134" s="37" t="str">
        <f t="shared" si="89"/>
        <v>AVERAGE</v>
      </c>
      <c r="S1134" t="s">
        <v>609</v>
      </c>
    </row>
    <row r="1135" spans="1:19" x14ac:dyDescent="0.2">
      <c r="A1135" t="s">
        <v>1746</v>
      </c>
      <c r="B1135" t="s">
        <v>90</v>
      </c>
      <c r="C1135" t="s">
        <v>597</v>
      </c>
      <c r="D1135">
        <v>2509.14</v>
      </c>
      <c r="E1135" s="37" t="str">
        <f t="shared" si="85"/>
        <v xml:space="preserve"> </v>
      </c>
      <c r="F1135">
        <v>0.06</v>
      </c>
      <c r="G1135" s="37" t="str">
        <f t="shared" si="86"/>
        <v>Normal Discount</v>
      </c>
      <c r="H1135" s="37" t="str">
        <f t="shared" si="87"/>
        <v>Low</v>
      </c>
      <c r="I1135">
        <v>4</v>
      </c>
      <c r="J1135" t="str" cm="1">
        <f t="array" ref="J1135">_xlfn.IFS(I1135&lt;=3,"small",I1135&lt;=6,"Medium",I1135&lt;=9,"Large")</f>
        <v>Medium</v>
      </c>
      <c r="K1135" s="36">
        <v>45077</v>
      </c>
      <c r="L1135" s="36">
        <v>45084</v>
      </c>
      <c r="M1135" t="s">
        <v>612</v>
      </c>
      <c r="N1135" t="s">
        <v>608</v>
      </c>
      <c r="O1135" s="37" t="str">
        <f t="shared" si="88"/>
        <v>Cash Payment</v>
      </c>
      <c r="P1135">
        <v>396.21</v>
      </c>
      <c r="Q1135" s="37" t="str">
        <f>IF(P1135&gt;500,"High","low")</f>
        <v>low</v>
      </c>
      <c r="R1135" s="37" t="str">
        <f t="shared" si="89"/>
        <v>AVERAGE</v>
      </c>
      <c r="S1135" t="s">
        <v>628</v>
      </c>
    </row>
    <row r="1136" spans="1:19" x14ac:dyDescent="0.2">
      <c r="A1136" t="s">
        <v>1747</v>
      </c>
      <c r="B1136" t="s">
        <v>90</v>
      </c>
      <c r="C1136" t="s">
        <v>614</v>
      </c>
      <c r="D1136">
        <v>1687.57</v>
      </c>
      <c r="E1136" s="37" t="str">
        <f t="shared" si="85"/>
        <v xml:space="preserve"> </v>
      </c>
      <c r="F1136">
        <v>0.22</v>
      </c>
      <c r="G1136" s="37" t="str">
        <f t="shared" si="86"/>
        <v>Normal Discount</v>
      </c>
      <c r="H1136" s="37" t="str">
        <f t="shared" si="87"/>
        <v>Medium</v>
      </c>
      <c r="I1136">
        <v>4</v>
      </c>
      <c r="J1136" t="str" cm="1">
        <f t="array" ref="J1136">_xlfn.IFS(I1136&lt;=3,"small",I1136&lt;=6,"Medium",I1136&lt;=9,"Large")</f>
        <v>Medium</v>
      </c>
      <c r="K1136" s="36">
        <v>45172</v>
      </c>
      <c r="L1136" s="36">
        <v>45176</v>
      </c>
      <c r="M1136" t="s">
        <v>603</v>
      </c>
      <c r="N1136" t="s">
        <v>608</v>
      </c>
      <c r="O1136" s="37" t="str">
        <f t="shared" si="88"/>
        <v>Cash Payment</v>
      </c>
      <c r="P1136">
        <v>170.96</v>
      </c>
      <c r="Q1136" s="37" t="str">
        <f>IF(P1136&gt;500,"High","low")</f>
        <v>low</v>
      </c>
      <c r="R1136" s="37" t="str">
        <f t="shared" si="89"/>
        <v>AVERAGE</v>
      </c>
      <c r="S1136" t="s">
        <v>628</v>
      </c>
    </row>
    <row r="1137" spans="1:19" x14ac:dyDescent="0.2">
      <c r="A1137" t="s">
        <v>1748</v>
      </c>
      <c r="B1137" t="s">
        <v>90</v>
      </c>
      <c r="C1137" t="s">
        <v>607</v>
      </c>
      <c r="D1137">
        <v>4334.5200000000004</v>
      </c>
      <c r="E1137" s="37" t="str">
        <f t="shared" si="85"/>
        <v xml:space="preserve"> </v>
      </c>
      <c r="F1137">
        <v>0.38</v>
      </c>
      <c r="G1137" s="37" t="str">
        <f t="shared" si="86"/>
        <v>Heavy Discount</v>
      </c>
      <c r="H1137" s="37" t="str">
        <f t="shared" si="87"/>
        <v>Medium</v>
      </c>
      <c r="I1137">
        <v>9</v>
      </c>
      <c r="J1137" t="str" cm="1">
        <f t="array" ref="J1137">_xlfn.IFS(I1137&lt;=3,"small",I1137&lt;=6,"Medium",I1137&lt;=9,"Large")</f>
        <v>Large</v>
      </c>
      <c r="K1137" s="36">
        <v>44984</v>
      </c>
      <c r="L1137" s="36">
        <v>44989</v>
      </c>
      <c r="M1137" t="s">
        <v>598</v>
      </c>
      <c r="N1137" t="s">
        <v>599</v>
      </c>
      <c r="O1137" s="37" t="str">
        <f t="shared" si="88"/>
        <v>Digital Payment</v>
      </c>
      <c r="P1137">
        <v>582.98</v>
      </c>
      <c r="Q1137" s="37" t="str">
        <f>IF(P1137&gt;500,"High","low")</f>
        <v>High</v>
      </c>
      <c r="R1137" s="37" t="str">
        <f t="shared" si="89"/>
        <v>Good</v>
      </c>
      <c r="S1137" t="s">
        <v>620</v>
      </c>
    </row>
    <row r="1138" spans="1:19" x14ac:dyDescent="0.2">
      <c r="A1138" t="s">
        <v>1749</v>
      </c>
      <c r="B1138" t="s">
        <v>90</v>
      </c>
      <c r="C1138" t="s">
        <v>614</v>
      </c>
      <c r="D1138">
        <v>3900.56</v>
      </c>
      <c r="E1138" s="37" t="str">
        <f t="shared" si="85"/>
        <v xml:space="preserve"> </v>
      </c>
      <c r="F1138">
        <v>7.0000000000000007E-2</v>
      </c>
      <c r="G1138" s="37" t="str">
        <f t="shared" si="86"/>
        <v>Normal Discount</v>
      </c>
      <c r="H1138" s="37" t="str">
        <f t="shared" si="87"/>
        <v>Low</v>
      </c>
      <c r="I1138">
        <v>2</v>
      </c>
      <c r="J1138" t="str" cm="1">
        <f t="array" ref="J1138">_xlfn.IFS(I1138&lt;=3,"small",I1138&lt;=6,"Medium",I1138&lt;=9,"Large")</f>
        <v>small</v>
      </c>
      <c r="K1138" s="36">
        <v>45635</v>
      </c>
      <c r="L1138" s="36">
        <v>45636</v>
      </c>
      <c r="M1138" t="s">
        <v>612</v>
      </c>
      <c r="N1138" t="s">
        <v>599</v>
      </c>
      <c r="O1138" s="37" t="str">
        <f t="shared" si="88"/>
        <v>Digital Payment</v>
      </c>
      <c r="P1138">
        <v>784.2</v>
      </c>
      <c r="Q1138" s="37" t="str">
        <f>IF(P1138&gt;500,"High","low")</f>
        <v>High</v>
      </c>
      <c r="R1138" s="37" t="str">
        <f t="shared" si="89"/>
        <v>Good</v>
      </c>
      <c r="S1138" t="s">
        <v>609</v>
      </c>
    </row>
    <row r="1139" spans="1:19" x14ac:dyDescent="0.2">
      <c r="A1139" t="s">
        <v>1750</v>
      </c>
      <c r="B1139" t="s">
        <v>83</v>
      </c>
      <c r="C1139" t="s">
        <v>607</v>
      </c>
      <c r="D1139">
        <v>1032.3499999999999</v>
      </c>
      <c r="E1139" s="37" t="str">
        <f t="shared" si="85"/>
        <v xml:space="preserve"> </v>
      </c>
      <c r="F1139">
        <v>0.47</v>
      </c>
      <c r="G1139" s="37" t="str">
        <f t="shared" si="86"/>
        <v>Heavy Discount</v>
      </c>
      <c r="H1139" s="37" t="str">
        <f t="shared" si="87"/>
        <v>High</v>
      </c>
      <c r="I1139">
        <v>1</v>
      </c>
      <c r="J1139" t="str" cm="1">
        <f t="array" ref="J1139">_xlfn.IFS(I1139&lt;=3,"small",I1139&lt;=6,"Medium",I1139&lt;=9,"Large")</f>
        <v>small</v>
      </c>
      <c r="K1139" s="36">
        <v>45433</v>
      </c>
      <c r="L1139" s="36">
        <v>45440</v>
      </c>
      <c r="M1139" t="s">
        <v>598</v>
      </c>
      <c r="N1139" t="s">
        <v>608</v>
      </c>
      <c r="O1139" s="37" t="str">
        <f t="shared" si="88"/>
        <v>Cash Payment</v>
      </c>
      <c r="P1139">
        <v>73.75</v>
      </c>
      <c r="Q1139" s="37" t="str">
        <f>IF(P1139&gt;500,"High","low")</f>
        <v>low</v>
      </c>
      <c r="R1139" s="37" t="str">
        <f t="shared" si="89"/>
        <v>AVERAGE</v>
      </c>
      <c r="S1139" t="s">
        <v>615</v>
      </c>
    </row>
    <row r="1140" spans="1:19" x14ac:dyDescent="0.2">
      <c r="A1140" t="s">
        <v>1751</v>
      </c>
      <c r="B1140" t="s">
        <v>67</v>
      </c>
      <c r="C1140" t="s">
        <v>602</v>
      </c>
      <c r="D1140">
        <v>847.92</v>
      </c>
      <c r="E1140" s="37" t="str">
        <f t="shared" si="85"/>
        <v xml:space="preserve"> </v>
      </c>
      <c r="F1140">
        <v>0.26</v>
      </c>
      <c r="G1140" s="37" t="str">
        <f t="shared" si="86"/>
        <v>Normal Discount</v>
      </c>
      <c r="H1140" s="37" t="str">
        <f t="shared" si="87"/>
        <v>Medium</v>
      </c>
      <c r="I1140">
        <v>7</v>
      </c>
      <c r="J1140" t="str" cm="1">
        <f t="array" ref="J1140">_xlfn.IFS(I1140&lt;=3,"small",I1140&lt;=6,"Medium",I1140&lt;=9,"Large")</f>
        <v>Large</v>
      </c>
      <c r="K1140" s="36">
        <v>45167</v>
      </c>
      <c r="L1140" s="36">
        <v>45173</v>
      </c>
      <c r="M1140" t="s">
        <v>612</v>
      </c>
      <c r="N1140" t="s">
        <v>604</v>
      </c>
      <c r="O1140" s="37" t="str">
        <f t="shared" si="88"/>
        <v>Digital Payment</v>
      </c>
      <c r="P1140">
        <v>46.9</v>
      </c>
      <c r="Q1140" s="37" t="str">
        <f>IF(P1140&gt;500,"High","low")</f>
        <v>low</v>
      </c>
      <c r="R1140" s="37" t="str">
        <f t="shared" si="89"/>
        <v>AVERAGE</v>
      </c>
      <c r="S1140" t="s">
        <v>615</v>
      </c>
    </row>
    <row r="1141" spans="1:19" x14ac:dyDescent="0.2">
      <c r="A1141" t="s">
        <v>1752</v>
      </c>
      <c r="B1141" t="s">
        <v>75</v>
      </c>
      <c r="C1141" t="s">
        <v>597</v>
      </c>
      <c r="D1141">
        <v>1803.62</v>
      </c>
      <c r="E1141" s="37" t="str">
        <f t="shared" si="85"/>
        <v xml:space="preserve"> </v>
      </c>
      <c r="F1141">
        <v>0.25</v>
      </c>
      <c r="G1141" s="37" t="str">
        <f t="shared" si="86"/>
        <v>Normal Discount</v>
      </c>
      <c r="H1141" s="37" t="str">
        <f t="shared" si="87"/>
        <v>Medium</v>
      </c>
      <c r="I1141">
        <v>5</v>
      </c>
      <c r="J1141" t="str" cm="1">
        <f t="array" ref="J1141">_xlfn.IFS(I1141&lt;=3,"small",I1141&lt;=6,"Medium",I1141&lt;=9,"Large")</f>
        <v>Medium</v>
      </c>
      <c r="K1141" s="36">
        <v>45622</v>
      </c>
      <c r="L1141" s="36">
        <v>45626</v>
      </c>
      <c r="M1141" t="s">
        <v>603</v>
      </c>
      <c r="N1141" t="s">
        <v>608</v>
      </c>
      <c r="O1141" s="37" t="str">
        <f t="shared" si="88"/>
        <v>Cash Payment</v>
      </c>
      <c r="P1141">
        <v>92.31</v>
      </c>
      <c r="Q1141" s="37" t="str">
        <f>IF(P1141&gt;500,"High","low")</f>
        <v>low</v>
      </c>
      <c r="R1141" s="37" t="str">
        <f t="shared" si="89"/>
        <v>AVERAGE</v>
      </c>
      <c r="S1141" t="s">
        <v>620</v>
      </c>
    </row>
    <row r="1142" spans="1:19" x14ac:dyDescent="0.2">
      <c r="A1142" t="s">
        <v>1753</v>
      </c>
      <c r="B1142" t="s">
        <v>83</v>
      </c>
      <c r="C1142" t="s">
        <v>602</v>
      </c>
      <c r="D1142">
        <v>2119.66</v>
      </c>
      <c r="E1142" s="37" t="str">
        <f t="shared" si="85"/>
        <v xml:space="preserve"> </v>
      </c>
      <c r="F1142">
        <v>0.21</v>
      </c>
      <c r="G1142" s="37" t="str">
        <f t="shared" si="86"/>
        <v>Normal Discount</v>
      </c>
      <c r="H1142" s="37" t="str">
        <f t="shared" si="87"/>
        <v>Medium</v>
      </c>
      <c r="I1142">
        <v>5</v>
      </c>
      <c r="J1142" t="str" cm="1">
        <f t="array" ref="J1142">_xlfn.IFS(I1142&lt;=3,"small",I1142&lt;=6,"Medium",I1142&lt;=9,"Large")</f>
        <v>Medium</v>
      </c>
      <c r="K1142" s="36">
        <v>45018</v>
      </c>
      <c r="L1142" s="36">
        <v>45020</v>
      </c>
      <c r="M1142" t="s">
        <v>603</v>
      </c>
      <c r="N1142" t="s">
        <v>599</v>
      </c>
      <c r="O1142" s="37" t="str">
        <f t="shared" si="88"/>
        <v>Digital Payment</v>
      </c>
      <c r="P1142">
        <v>165.42</v>
      </c>
      <c r="Q1142" s="37" t="str">
        <f>IF(P1142&gt;500,"High","low")</f>
        <v>low</v>
      </c>
      <c r="R1142" s="37" t="str">
        <f t="shared" si="89"/>
        <v>AVERAGE</v>
      </c>
      <c r="S1142" t="s">
        <v>615</v>
      </c>
    </row>
    <row r="1143" spans="1:19" x14ac:dyDescent="0.2">
      <c r="A1143" t="s">
        <v>1754</v>
      </c>
      <c r="B1143" t="s">
        <v>75</v>
      </c>
      <c r="C1143" t="s">
        <v>617</v>
      </c>
      <c r="D1143">
        <v>4666.8900000000003</v>
      </c>
      <c r="E1143" s="37" t="str">
        <f t="shared" si="85"/>
        <v xml:space="preserve"> </v>
      </c>
      <c r="F1143">
        <v>0.43</v>
      </c>
      <c r="G1143" s="37" t="str">
        <f t="shared" si="86"/>
        <v>Heavy Discount</v>
      </c>
      <c r="H1143" s="37" t="str">
        <f t="shared" si="87"/>
        <v>High</v>
      </c>
      <c r="I1143">
        <v>2</v>
      </c>
      <c r="J1143" t="str" cm="1">
        <f t="array" ref="J1143">_xlfn.IFS(I1143&lt;=3,"small",I1143&lt;=6,"Medium",I1143&lt;=9,"Large")</f>
        <v>small</v>
      </c>
      <c r="K1143" s="36">
        <v>45539</v>
      </c>
      <c r="L1143" s="36">
        <v>45545</v>
      </c>
      <c r="M1143" t="s">
        <v>603</v>
      </c>
      <c r="N1143" t="s">
        <v>608</v>
      </c>
      <c r="O1143" s="37" t="str">
        <f t="shared" si="88"/>
        <v>Cash Payment</v>
      </c>
      <c r="P1143">
        <v>393.33</v>
      </c>
      <c r="Q1143" s="37" t="str">
        <f>IF(P1143&gt;500,"High","low")</f>
        <v>low</v>
      </c>
      <c r="R1143" s="37" t="str">
        <f t="shared" si="89"/>
        <v>AVERAGE</v>
      </c>
      <c r="S1143" t="s">
        <v>609</v>
      </c>
    </row>
    <row r="1144" spans="1:19" x14ac:dyDescent="0.2">
      <c r="A1144" t="s">
        <v>1755</v>
      </c>
      <c r="B1144" t="s">
        <v>67</v>
      </c>
      <c r="C1144" t="s">
        <v>597</v>
      </c>
      <c r="D1144">
        <v>1577.94</v>
      </c>
      <c r="E1144" s="37" t="str">
        <f t="shared" si="85"/>
        <v xml:space="preserve"> </v>
      </c>
      <c r="F1144">
        <v>0.47</v>
      </c>
      <c r="G1144" s="37" t="str">
        <f t="shared" si="86"/>
        <v>Heavy Discount</v>
      </c>
      <c r="H1144" s="37" t="str">
        <f t="shared" si="87"/>
        <v>High</v>
      </c>
      <c r="I1144">
        <v>6</v>
      </c>
      <c r="J1144" t="str" cm="1">
        <f t="array" ref="J1144">_xlfn.IFS(I1144&lt;=3,"small",I1144&lt;=6,"Medium",I1144&lt;=9,"Large")</f>
        <v>Medium</v>
      </c>
      <c r="K1144" s="36">
        <v>45532</v>
      </c>
      <c r="L1144" s="36">
        <v>45539</v>
      </c>
      <c r="M1144" t="s">
        <v>598</v>
      </c>
      <c r="N1144" t="s">
        <v>599</v>
      </c>
      <c r="O1144" s="37" t="str">
        <f t="shared" si="88"/>
        <v>Digital Payment</v>
      </c>
      <c r="P1144">
        <v>345.57</v>
      </c>
      <c r="Q1144" s="37" t="str">
        <f>IF(P1144&gt;500,"High","low")</f>
        <v>low</v>
      </c>
      <c r="R1144" s="37" t="str">
        <f t="shared" si="89"/>
        <v>AVERAGE</v>
      </c>
      <c r="S1144" t="s">
        <v>609</v>
      </c>
    </row>
    <row r="1145" spans="1:19" x14ac:dyDescent="0.2">
      <c r="A1145" t="s">
        <v>1756</v>
      </c>
      <c r="B1145" t="s">
        <v>90</v>
      </c>
      <c r="C1145" t="s">
        <v>617</v>
      </c>
      <c r="D1145">
        <v>4351.16</v>
      </c>
      <c r="E1145" s="37" t="str">
        <f t="shared" si="85"/>
        <v xml:space="preserve"> </v>
      </c>
      <c r="F1145">
        <v>0.19</v>
      </c>
      <c r="G1145" s="37" t="str">
        <f t="shared" si="86"/>
        <v>Normal Discount</v>
      </c>
      <c r="H1145" s="37" t="str">
        <f t="shared" si="87"/>
        <v>Low</v>
      </c>
      <c r="I1145">
        <v>5</v>
      </c>
      <c r="J1145" t="str" cm="1">
        <f t="array" ref="J1145">_xlfn.IFS(I1145&lt;=3,"small",I1145&lt;=6,"Medium",I1145&lt;=9,"Large")</f>
        <v>Medium</v>
      </c>
      <c r="K1145" s="36">
        <v>45324</v>
      </c>
      <c r="L1145" s="36">
        <v>45328</v>
      </c>
      <c r="M1145" t="s">
        <v>612</v>
      </c>
      <c r="N1145" t="s">
        <v>608</v>
      </c>
      <c r="O1145" s="37" t="str">
        <f t="shared" si="88"/>
        <v>Cash Payment</v>
      </c>
      <c r="P1145">
        <v>657.76</v>
      </c>
      <c r="Q1145" s="37" t="str">
        <f>IF(P1145&gt;500,"High","low")</f>
        <v>High</v>
      </c>
      <c r="R1145" s="37" t="str">
        <f t="shared" si="89"/>
        <v>Good</v>
      </c>
      <c r="S1145" t="s">
        <v>600</v>
      </c>
    </row>
    <row r="1146" spans="1:19" x14ac:dyDescent="0.2">
      <c r="A1146" t="s">
        <v>1757</v>
      </c>
      <c r="B1146" t="s">
        <v>67</v>
      </c>
      <c r="C1146" t="s">
        <v>602</v>
      </c>
      <c r="D1146">
        <v>2576.02</v>
      </c>
      <c r="E1146" s="37" t="str">
        <f t="shared" si="85"/>
        <v xml:space="preserve"> </v>
      </c>
      <c r="F1146">
        <v>0.27</v>
      </c>
      <c r="G1146" s="37" t="str">
        <f t="shared" si="86"/>
        <v>Normal Discount</v>
      </c>
      <c r="H1146" s="37" t="str">
        <f t="shared" si="87"/>
        <v>Medium</v>
      </c>
      <c r="I1146">
        <v>5</v>
      </c>
      <c r="J1146" t="str" cm="1">
        <f t="array" ref="J1146">_xlfn.IFS(I1146&lt;=3,"small",I1146&lt;=6,"Medium",I1146&lt;=9,"Large")</f>
        <v>Medium</v>
      </c>
      <c r="K1146" s="36">
        <v>45318</v>
      </c>
      <c r="L1146" s="36">
        <v>45320</v>
      </c>
      <c r="M1146" t="s">
        <v>598</v>
      </c>
      <c r="N1146" t="s">
        <v>604</v>
      </c>
      <c r="O1146" s="37" t="str">
        <f t="shared" si="88"/>
        <v>Digital Payment</v>
      </c>
      <c r="P1146">
        <v>157.58000000000001</v>
      </c>
      <c r="Q1146" s="37" t="str">
        <f>IF(P1146&gt;500,"High","low")</f>
        <v>low</v>
      </c>
      <c r="R1146" s="37" t="str">
        <f t="shared" si="89"/>
        <v>AVERAGE</v>
      </c>
      <c r="S1146" t="s">
        <v>600</v>
      </c>
    </row>
    <row r="1147" spans="1:19" x14ac:dyDescent="0.2">
      <c r="A1147" t="s">
        <v>1758</v>
      </c>
      <c r="B1147" t="s">
        <v>83</v>
      </c>
      <c r="C1147" t="s">
        <v>607</v>
      </c>
      <c r="D1147">
        <v>4439.5600000000004</v>
      </c>
      <c r="E1147" s="37" t="str">
        <f t="shared" si="85"/>
        <v xml:space="preserve"> </v>
      </c>
      <c r="F1147">
        <v>0.16</v>
      </c>
      <c r="G1147" s="37" t="str">
        <f t="shared" si="86"/>
        <v>Normal Discount</v>
      </c>
      <c r="H1147" s="37" t="str">
        <f t="shared" si="87"/>
        <v>Low</v>
      </c>
      <c r="I1147">
        <v>6</v>
      </c>
      <c r="J1147" t="str" cm="1">
        <f t="array" ref="J1147">_xlfn.IFS(I1147&lt;=3,"small",I1147&lt;=6,"Medium",I1147&lt;=9,"Large")</f>
        <v>Medium</v>
      </c>
      <c r="K1147" s="36">
        <v>44972</v>
      </c>
      <c r="L1147" s="36">
        <v>44979</v>
      </c>
      <c r="M1147" t="s">
        <v>598</v>
      </c>
      <c r="N1147" t="s">
        <v>608</v>
      </c>
      <c r="O1147" s="37" t="str">
        <f t="shared" si="88"/>
        <v>Cash Payment</v>
      </c>
      <c r="P1147">
        <v>431.46</v>
      </c>
      <c r="Q1147" s="37" t="str">
        <f>IF(P1147&gt;500,"High","low")</f>
        <v>low</v>
      </c>
      <c r="R1147" s="37" t="str">
        <f t="shared" si="89"/>
        <v>AVERAGE</v>
      </c>
      <c r="S1147" t="s">
        <v>615</v>
      </c>
    </row>
    <row r="1148" spans="1:19" x14ac:dyDescent="0.2">
      <c r="A1148" t="s">
        <v>1759</v>
      </c>
      <c r="B1148" t="s">
        <v>90</v>
      </c>
      <c r="C1148" t="s">
        <v>617</v>
      </c>
      <c r="D1148">
        <v>3539.57</v>
      </c>
      <c r="E1148" s="37" t="str">
        <f t="shared" si="85"/>
        <v xml:space="preserve"> </v>
      </c>
      <c r="F1148">
        <v>0.18</v>
      </c>
      <c r="G1148" s="37" t="str">
        <f t="shared" si="86"/>
        <v>Normal Discount</v>
      </c>
      <c r="H1148" s="37" t="str">
        <f t="shared" si="87"/>
        <v>Low</v>
      </c>
      <c r="I1148">
        <v>2</v>
      </c>
      <c r="J1148" t="str" cm="1">
        <f t="array" ref="J1148">_xlfn.IFS(I1148&lt;=3,"small",I1148&lt;=6,"Medium",I1148&lt;=9,"Large")</f>
        <v>small</v>
      </c>
      <c r="K1148" s="36">
        <v>45081</v>
      </c>
      <c r="L1148" s="36">
        <v>45087</v>
      </c>
      <c r="M1148" t="s">
        <v>598</v>
      </c>
      <c r="N1148" t="s">
        <v>599</v>
      </c>
      <c r="O1148" s="37" t="str">
        <f t="shared" si="88"/>
        <v>Digital Payment</v>
      </c>
      <c r="P1148">
        <v>630.21</v>
      </c>
      <c r="Q1148" s="37" t="str">
        <f>IF(P1148&gt;500,"High","low")</f>
        <v>High</v>
      </c>
      <c r="R1148" s="37" t="str">
        <f t="shared" si="89"/>
        <v>Good</v>
      </c>
      <c r="S1148" t="s">
        <v>605</v>
      </c>
    </row>
    <row r="1149" spans="1:19" x14ac:dyDescent="0.2">
      <c r="A1149" t="s">
        <v>1760</v>
      </c>
      <c r="B1149" t="s">
        <v>83</v>
      </c>
      <c r="C1149" t="s">
        <v>614</v>
      </c>
      <c r="D1149">
        <v>3571.11</v>
      </c>
      <c r="E1149" s="37" t="str">
        <f t="shared" si="85"/>
        <v xml:space="preserve"> </v>
      </c>
      <c r="F1149">
        <v>0.01</v>
      </c>
      <c r="G1149" s="37" t="str">
        <f t="shared" si="86"/>
        <v>Normal Discount</v>
      </c>
      <c r="H1149" s="37" t="str">
        <f t="shared" si="87"/>
        <v>Low</v>
      </c>
      <c r="I1149">
        <v>5</v>
      </c>
      <c r="J1149" t="str" cm="1">
        <f t="array" ref="J1149">_xlfn.IFS(I1149&lt;=3,"small",I1149&lt;=6,"Medium",I1149&lt;=9,"Large")</f>
        <v>Medium</v>
      </c>
      <c r="K1149" s="36">
        <v>44996</v>
      </c>
      <c r="L1149" s="36">
        <v>45003</v>
      </c>
      <c r="M1149" t="s">
        <v>603</v>
      </c>
      <c r="N1149" t="s">
        <v>599</v>
      </c>
      <c r="O1149" s="37" t="str">
        <f t="shared" si="88"/>
        <v>Digital Payment</v>
      </c>
      <c r="P1149">
        <v>733.14</v>
      </c>
      <c r="Q1149" s="37" t="str">
        <f>IF(P1149&gt;500,"High","low")</f>
        <v>High</v>
      </c>
      <c r="R1149" s="37" t="str">
        <f t="shared" si="89"/>
        <v>Good</v>
      </c>
      <c r="S1149" t="s">
        <v>600</v>
      </c>
    </row>
    <row r="1150" spans="1:19" x14ac:dyDescent="0.2">
      <c r="A1150" t="s">
        <v>1761</v>
      </c>
      <c r="B1150" t="s">
        <v>90</v>
      </c>
      <c r="C1150" t="s">
        <v>607</v>
      </c>
      <c r="D1150">
        <v>2642.11</v>
      </c>
      <c r="E1150" s="37" t="str">
        <f t="shared" si="85"/>
        <v xml:space="preserve"> </v>
      </c>
      <c r="F1150">
        <v>0.39</v>
      </c>
      <c r="G1150" s="37" t="str">
        <f t="shared" si="86"/>
        <v>Heavy Discount</v>
      </c>
      <c r="H1150" s="37" t="str">
        <f t="shared" si="87"/>
        <v>Medium</v>
      </c>
      <c r="I1150">
        <v>1</v>
      </c>
      <c r="J1150" t="str" cm="1">
        <f t="array" ref="J1150">_xlfn.IFS(I1150&lt;=3,"small",I1150&lt;=6,"Medium",I1150&lt;=9,"Large")</f>
        <v>small</v>
      </c>
      <c r="K1150" s="36">
        <v>45437</v>
      </c>
      <c r="L1150" s="36">
        <v>45442</v>
      </c>
      <c r="M1150" t="s">
        <v>603</v>
      </c>
      <c r="N1150" t="s">
        <v>599</v>
      </c>
      <c r="O1150" s="37" t="str">
        <f t="shared" si="88"/>
        <v>Digital Payment</v>
      </c>
      <c r="P1150">
        <v>783.17</v>
      </c>
      <c r="Q1150" s="37" t="str">
        <f>IF(P1150&gt;500,"High","low")</f>
        <v>High</v>
      </c>
      <c r="R1150" s="37" t="str">
        <f t="shared" si="89"/>
        <v>Good</v>
      </c>
      <c r="S1150" t="s">
        <v>605</v>
      </c>
    </row>
    <row r="1151" spans="1:19" x14ac:dyDescent="0.2">
      <c r="A1151" t="s">
        <v>1762</v>
      </c>
      <c r="B1151" t="s">
        <v>75</v>
      </c>
      <c r="C1151" t="s">
        <v>607</v>
      </c>
      <c r="D1151">
        <v>4217.49</v>
      </c>
      <c r="E1151" s="37" t="str">
        <f t="shared" si="85"/>
        <v xml:space="preserve"> </v>
      </c>
      <c r="F1151">
        <v>0.48</v>
      </c>
      <c r="G1151" s="37" t="str">
        <f t="shared" si="86"/>
        <v>Heavy Discount</v>
      </c>
      <c r="H1151" s="37" t="str">
        <f t="shared" si="87"/>
        <v>High</v>
      </c>
      <c r="I1151">
        <v>8</v>
      </c>
      <c r="J1151" t="str" cm="1">
        <f t="array" ref="J1151">_xlfn.IFS(I1151&lt;=3,"small",I1151&lt;=6,"Medium",I1151&lt;=9,"Large")</f>
        <v>Large</v>
      </c>
      <c r="K1151" s="36">
        <v>45208</v>
      </c>
      <c r="L1151" s="36">
        <v>45211</v>
      </c>
      <c r="M1151" t="s">
        <v>612</v>
      </c>
      <c r="N1151" t="s">
        <v>608</v>
      </c>
      <c r="O1151" s="37" t="str">
        <f t="shared" si="88"/>
        <v>Cash Payment</v>
      </c>
      <c r="P1151">
        <v>757.89</v>
      </c>
      <c r="Q1151" s="37" t="str">
        <f>IF(P1151&gt;500,"High","low")</f>
        <v>High</v>
      </c>
      <c r="R1151" s="37" t="str">
        <f t="shared" si="89"/>
        <v>Good</v>
      </c>
      <c r="S1151" t="s">
        <v>600</v>
      </c>
    </row>
    <row r="1152" spans="1:19" x14ac:dyDescent="0.2">
      <c r="A1152" t="s">
        <v>1763</v>
      </c>
      <c r="B1152" t="s">
        <v>75</v>
      </c>
      <c r="C1152" t="s">
        <v>602</v>
      </c>
      <c r="D1152">
        <v>1346.68</v>
      </c>
      <c r="E1152" s="37" t="str">
        <f t="shared" si="85"/>
        <v xml:space="preserve"> </v>
      </c>
      <c r="F1152">
        <v>0.38</v>
      </c>
      <c r="G1152" s="37" t="str">
        <f t="shared" si="86"/>
        <v>Heavy Discount</v>
      </c>
      <c r="H1152" s="37" t="str">
        <f t="shared" si="87"/>
        <v>Medium</v>
      </c>
      <c r="I1152">
        <v>1</v>
      </c>
      <c r="J1152" t="str" cm="1">
        <f t="array" ref="J1152">_xlfn.IFS(I1152&lt;=3,"small",I1152&lt;=6,"Medium",I1152&lt;=9,"Large")</f>
        <v>small</v>
      </c>
      <c r="K1152" s="36">
        <v>45352</v>
      </c>
      <c r="L1152" s="36">
        <v>45355</v>
      </c>
      <c r="M1152" t="s">
        <v>603</v>
      </c>
      <c r="N1152" t="s">
        <v>599</v>
      </c>
      <c r="O1152" s="37" t="str">
        <f t="shared" si="88"/>
        <v>Digital Payment</v>
      </c>
      <c r="P1152">
        <v>107.39</v>
      </c>
      <c r="Q1152" s="37" t="str">
        <f>IF(P1152&gt;500,"High","low")</f>
        <v>low</v>
      </c>
      <c r="R1152" s="37" t="str">
        <f t="shared" si="89"/>
        <v>AVERAGE</v>
      </c>
      <c r="S1152" t="s">
        <v>620</v>
      </c>
    </row>
    <row r="1153" spans="1:19" x14ac:dyDescent="0.2">
      <c r="A1153" t="s">
        <v>1764</v>
      </c>
      <c r="B1153" t="s">
        <v>75</v>
      </c>
      <c r="C1153" t="s">
        <v>602</v>
      </c>
      <c r="D1153">
        <v>4546.0200000000004</v>
      </c>
      <c r="E1153" s="37" t="str">
        <f t="shared" si="85"/>
        <v>Excellent Order</v>
      </c>
      <c r="F1153">
        <v>0.26</v>
      </c>
      <c r="G1153" s="37" t="str">
        <f t="shared" si="86"/>
        <v>Normal Discount</v>
      </c>
      <c r="H1153" s="37" t="str">
        <f t="shared" si="87"/>
        <v>Medium</v>
      </c>
      <c r="I1153">
        <v>7</v>
      </c>
      <c r="J1153" t="str" cm="1">
        <f t="array" ref="J1153">_xlfn.IFS(I1153&lt;=3,"small",I1153&lt;=6,"Medium",I1153&lt;=9,"Large")</f>
        <v>Large</v>
      </c>
      <c r="K1153" s="36">
        <v>44956</v>
      </c>
      <c r="L1153" s="36">
        <v>44961</v>
      </c>
      <c r="M1153" t="s">
        <v>612</v>
      </c>
      <c r="N1153" t="s">
        <v>608</v>
      </c>
      <c r="O1153" s="37" t="str">
        <f t="shared" si="88"/>
        <v>Cash Payment</v>
      </c>
      <c r="P1153">
        <v>963.28</v>
      </c>
      <c r="Q1153" s="37" t="str">
        <f>IF(P1153&gt;500,"High","low")</f>
        <v>High</v>
      </c>
      <c r="R1153" s="37" t="str">
        <f t="shared" si="89"/>
        <v>Good</v>
      </c>
      <c r="S1153" t="s">
        <v>628</v>
      </c>
    </row>
    <row r="1154" spans="1:19" x14ac:dyDescent="0.2">
      <c r="A1154" t="s">
        <v>1765</v>
      </c>
      <c r="B1154" t="s">
        <v>67</v>
      </c>
      <c r="C1154" t="s">
        <v>597</v>
      </c>
      <c r="D1154">
        <v>3220.2</v>
      </c>
      <c r="E1154" s="37" t="str">
        <f t="shared" si="85"/>
        <v xml:space="preserve"> </v>
      </c>
      <c r="F1154">
        <v>0.41</v>
      </c>
      <c r="G1154" s="37" t="str">
        <f t="shared" si="86"/>
        <v>Heavy Discount</v>
      </c>
      <c r="H1154" s="37" t="str">
        <f t="shared" si="87"/>
        <v>High</v>
      </c>
      <c r="I1154">
        <v>6</v>
      </c>
      <c r="J1154" t="str" cm="1">
        <f t="array" ref="J1154">_xlfn.IFS(I1154&lt;=3,"small",I1154&lt;=6,"Medium",I1154&lt;=9,"Large")</f>
        <v>Medium</v>
      </c>
      <c r="K1154" s="36">
        <v>45647</v>
      </c>
      <c r="L1154" s="36">
        <v>45651</v>
      </c>
      <c r="M1154" t="s">
        <v>612</v>
      </c>
      <c r="N1154" t="s">
        <v>599</v>
      </c>
      <c r="O1154" s="37" t="str">
        <f t="shared" si="88"/>
        <v>Digital Payment</v>
      </c>
      <c r="P1154">
        <v>649.1</v>
      </c>
      <c r="Q1154" s="37" t="str">
        <f>IF(P1154&gt;500,"High","low")</f>
        <v>High</v>
      </c>
      <c r="R1154" s="37" t="str">
        <f t="shared" si="89"/>
        <v>Good</v>
      </c>
      <c r="S1154" t="s">
        <v>615</v>
      </c>
    </row>
    <row r="1155" spans="1:19" x14ac:dyDescent="0.2">
      <c r="A1155" t="s">
        <v>1766</v>
      </c>
      <c r="B1155" t="s">
        <v>83</v>
      </c>
      <c r="C1155" t="s">
        <v>597</v>
      </c>
      <c r="D1155">
        <v>2249.67</v>
      </c>
      <c r="E1155" s="37" t="str">
        <f t="shared" ref="E1155:E1218" si="90">IF(AND(D1155&gt;4000,P1155&gt;800),"Excellent Order"," ")</f>
        <v xml:space="preserve"> </v>
      </c>
      <c r="F1155">
        <v>0.43</v>
      </c>
      <c r="G1155" s="37" t="str">
        <f t="shared" ref="G1155:G1218" si="91">IF(F1155&gt;30%,"Heavy Discount","Normal Discount")</f>
        <v>Heavy Discount</v>
      </c>
      <c r="H1155" s="37" t="str">
        <f t="shared" ref="H1155:H1218" si="92">IF(F1155&gt;0.4,"High",IF(F1155&gt;=0.2,"Medium","Low"))</f>
        <v>High</v>
      </c>
      <c r="I1155">
        <v>8</v>
      </c>
      <c r="J1155" t="str" cm="1">
        <f t="array" ref="J1155">_xlfn.IFS(I1155&lt;=3,"small",I1155&lt;=6,"Medium",I1155&lt;=9,"Large")</f>
        <v>Large</v>
      </c>
      <c r="K1155" s="36">
        <v>45188</v>
      </c>
      <c r="L1155" s="36">
        <v>45195</v>
      </c>
      <c r="M1155" t="s">
        <v>603</v>
      </c>
      <c r="N1155" t="s">
        <v>604</v>
      </c>
      <c r="O1155" s="37" t="str">
        <f t="shared" ref="O1155:O1218" si="93">IF(OR(N1155="Card",N1155="UPI"),"Digital Payment","Cash Payment")</f>
        <v>Digital Payment</v>
      </c>
      <c r="P1155">
        <v>305.31</v>
      </c>
      <c r="Q1155" s="37" t="str">
        <f>IF(P1155&gt;500,"High","low")</f>
        <v>low</v>
      </c>
      <c r="R1155" s="37" t="str">
        <f t="shared" ref="R1155:R1218" si="94">IF(P1155&gt;1000,"Excellent",IF(P1155&gt;=500,"Good","AVERAGE"))</f>
        <v>AVERAGE</v>
      </c>
      <c r="S1155" t="s">
        <v>600</v>
      </c>
    </row>
    <row r="1156" spans="1:19" x14ac:dyDescent="0.2">
      <c r="A1156" t="s">
        <v>1767</v>
      </c>
      <c r="B1156" t="s">
        <v>67</v>
      </c>
      <c r="C1156" t="s">
        <v>614</v>
      </c>
      <c r="D1156">
        <v>4912.7299999999996</v>
      </c>
      <c r="E1156" s="37" t="str">
        <f t="shared" si="90"/>
        <v>Excellent Order</v>
      </c>
      <c r="F1156">
        <v>0.27</v>
      </c>
      <c r="G1156" s="37" t="str">
        <f t="shared" si="91"/>
        <v>Normal Discount</v>
      </c>
      <c r="H1156" s="37" t="str">
        <f t="shared" si="92"/>
        <v>Medium</v>
      </c>
      <c r="I1156">
        <v>5</v>
      </c>
      <c r="J1156" t="str" cm="1">
        <f t="array" ref="J1156">_xlfn.IFS(I1156&lt;=3,"small",I1156&lt;=6,"Medium",I1156&lt;=9,"Large")</f>
        <v>Medium</v>
      </c>
      <c r="K1156" s="36">
        <v>45249</v>
      </c>
      <c r="L1156" s="36">
        <v>45252</v>
      </c>
      <c r="M1156" t="s">
        <v>603</v>
      </c>
      <c r="N1156" t="s">
        <v>599</v>
      </c>
      <c r="O1156" s="37" t="str">
        <f t="shared" si="93"/>
        <v>Digital Payment</v>
      </c>
      <c r="P1156">
        <v>1054.72</v>
      </c>
      <c r="Q1156" s="37" t="str">
        <f>IF(P1156&gt;500,"High","low")</f>
        <v>High</v>
      </c>
      <c r="R1156" s="37" t="str">
        <f t="shared" si="94"/>
        <v>Excellent</v>
      </c>
      <c r="S1156" t="s">
        <v>628</v>
      </c>
    </row>
    <row r="1157" spans="1:19" x14ac:dyDescent="0.2">
      <c r="A1157" t="s">
        <v>1768</v>
      </c>
      <c r="B1157" t="s">
        <v>75</v>
      </c>
      <c r="C1157" t="s">
        <v>607</v>
      </c>
      <c r="D1157">
        <v>4323.87</v>
      </c>
      <c r="E1157" s="37" t="str">
        <f t="shared" si="90"/>
        <v>Excellent Order</v>
      </c>
      <c r="F1157">
        <v>0.47</v>
      </c>
      <c r="G1157" s="37" t="str">
        <f t="shared" si="91"/>
        <v>Heavy Discount</v>
      </c>
      <c r="H1157" s="37" t="str">
        <f t="shared" si="92"/>
        <v>High</v>
      </c>
      <c r="I1157">
        <v>6</v>
      </c>
      <c r="J1157" t="str" cm="1">
        <f t="array" ref="J1157">_xlfn.IFS(I1157&lt;=3,"small",I1157&lt;=6,"Medium",I1157&lt;=9,"Large")</f>
        <v>Medium</v>
      </c>
      <c r="K1157" s="36">
        <v>45009</v>
      </c>
      <c r="L1157" s="36">
        <v>45015</v>
      </c>
      <c r="M1157" t="s">
        <v>603</v>
      </c>
      <c r="N1157" t="s">
        <v>599</v>
      </c>
      <c r="O1157" s="37" t="str">
        <f t="shared" si="93"/>
        <v>Digital Payment</v>
      </c>
      <c r="P1157">
        <v>1221.25</v>
      </c>
      <c r="Q1157" s="37" t="str">
        <f>IF(P1157&gt;500,"High","low")</f>
        <v>High</v>
      </c>
      <c r="R1157" s="37" t="str">
        <f t="shared" si="94"/>
        <v>Excellent</v>
      </c>
      <c r="S1157" t="s">
        <v>620</v>
      </c>
    </row>
    <row r="1158" spans="1:19" x14ac:dyDescent="0.2">
      <c r="A1158" t="s">
        <v>1769</v>
      </c>
      <c r="B1158" t="s">
        <v>83</v>
      </c>
      <c r="C1158" t="s">
        <v>614</v>
      </c>
      <c r="D1158">
        <v>3882.9</v>
      </c>
      <c r="E1158" s="37" t="str">
        <f t="shared" si="90"/>
        <v xml:space="preserve"> </v>
      </c>
      <c r="F1158">
        <v>0.02</v>
      </c>
      <c r="G1158" s="37" t="str">
        <f t="shared" si="91"/>
        <v>Normal Discount</v>
      </c>
      <c r="H1158" s="37" t="str">
        <f t="shared" si="92"/>
        <v>Low</v>
      </c>
      <c r="I1158">
        <v>4</v>
      </c>
      <c r="J1158" t="str" cm="1">
        <f t="array" ref="J1158">_xlfn.IFS(I1158&lt;=3,"small",I1158&lt;=6,"Medium",I1158&lt;=9,"Large")</f>
        <v>Medium</v>
      </c>
      <c r="K1158" s="36">
        <v>45393</v>
      </c>
      <c r="L1158" s="36">
        <v>45400</v>
      </c>
      <c r="M1158" t="s">
        <v>612</v>
      </c>
      <c r="N1158" t="s">
        <v>608</v>
      </c>
      <c r="O1158" s="37" t="str">
        <f t="shared" si="93"/>
        <v>Cash Payment</v>
      </c>
      <c r="P1158">
        <v>213.51</v>
      </c>
      <c r="Q1158" s="37" t="str">
        <f>IF(P1158&gt;500,"High","low")</f>
        <v>low</v>
      </c>
      <c r="R1158" s="37" t="str">
        <f t="shared" si="94"/>
        <v>AVERAGE</v>
      </c>
      <c r="S1158" t="s">
        <v>628</v>
      </c>
    </row>
    <row r="1159" spans="1:19" x14ac:dyDescent="0.2">
      <c r="A1159" t="s">
        <v>1770</v>
      </c>
      <c r="B1159" t="s">
        <v>75</v>
      </c>
      <c r="C1159" t="s">
        <v>614</v>
      </c>
      <c r="D1159">
        <v>1442.12</v>
      </c>
      <c r="E1159" s="37" t="str">
        <f t="shared" si="90"/>
        <v xml:space="preserve"> </v>
      </c>
      <c r="F1159">
        <v>0.01</v>
      </c>
      <c r="G1159" s="37" t="str">
        <f t="shared" si="91"/>
        <v>Normal Discount</v>
      </c>
      <c r="H1159" s="37" t="str">
        <f t="shared" si="92"/>
        <v>Low</v>
      </c>
      <c r="I1159">
        <v>1</v>
      </c>
      <c r="J1159" t="str" cm="1">
        <f t="array" ref="J1159">_xlfn.IFS(I1159&lt;=3,"small",I1159&lt;=6,"Medium",I1159&lt;=9,"Large")</f>
        <v>small</v>
      </c>
      <c r="K1159" s="36">
        <v>45142</v>
      </c>
      <c r="L1159" s="36">
        <v>45149</v>
      </c>
      <c r="M1159" t="s">
        <v>598</v>
      </c>
      <c r="N1159" t="s">
        <v>604</v>
      </c>
      <c r="O1159" s="37" t="str">
        <f t="shared" si="93"/>
        <v>Digital Payment</v>
      </c>
      <c r="P1159">
        <v>146.6</v>
      </c>
      <c r="Q1159" s="37" t="str">
        <f>IF(P1159&gt;500,"High","low")</f>
        <v>low</v>
      </c>
      <c r="R1159" s="37" t="str">
        <f t="shared" si="94"/>
        <v>AVERAGE</v>
      </c>
      <c r="S1159" t="s">
        <v>615</v>
      </c>
    </row>
    <row r="1160" spans="1:19" x14ac:dyDescent="0.2">
      <c r="A1160" t="s">
        <v>1771</v>
      </c>
      <c r="B1160" t="s">
        <v>67</v>
      </c>
      <c r="C1160" t="s">
        <v>602</v>
      </c>
      <c r="D1160">
        <v>4871.33</v>
      </c>
      <c r="E1160" s="37" t="str">
        <f t="shared" si="90"/>
        <v xml:space="preserve"> </v>
      </c>
      <c r="F1160">
        <v>0.04</v>
      </c>
      <c r="G1160" s="37" t="str">
        <f t="shared" si="91"/>
        <v>Normal Discount</v>
      </c>
      <c r="H1160" s="37" t="str">
        <f t="shared" si="92"/>
        <v>Low</v>
      </c>
      <c r="I1160">
        <v>7</v>
      </c>
      <c r="J1160" t="str" cm="1">
        <f t="array" ref="J1160">_xlfn.IFS(I1160&lt;=3,"small",I1160&lt;=6,"Medium",I1160&lt;=9,"Large")</f>
        <v>Large</v>
      </c>
      <c r="K1160" s="36">
        <v>44961</v>
      </c>
      <c r="L1160" s="36">
        <v>44963</v>
      </c>
      <c r="M1160" t="s">
        <v>612</v>
      </c>
      <c r="N1160" t="s">
        <v>599</v>
      </c>
      <c r="O1160" s="37" t="str">
        <f t="shared" si="93"/>
        <v>Digital Payment</v>
      </c>
      <c r="P1160">
        <v>387.78</v>
      </c>
      <c r="Q1160" s="37" t="str">
        <f>IF(P1160&gt;500,"High","low")</f>
        <v>low</v>
      </c>
      <c r="R1160" s="37" t="str">
        <f t="shared" si="94"/>
        <v>AVERAGE</v>
      </c>
      <c r="S1160" t="s">
        <v>605</v>
      </c>
    </row>
    <row r="1161" spans="1:19" x14ac:dyDescent="0.2">
      <c r="A1161" t="s">
        <v>1772</v>
      </c>
      <c r="B1161" t="s">
        <v>67</v>
      </c>
      <c r="C1161" t="s">
        <v>614</v>
      </c>
      <c r="D1161">
        <v>3740.64</v>
      </c>
      <c r="E1161" s="37" t="str">
        <f t="shared" si="90"/>
        <v xml:space="preserve"> </v>
      </c>
      <c r="F1161">
        <v>0.03</v>
      </c>
      <c r="G1161" s="37" t="str">
        <f t="shared" si="91"/>
        <v>Normal Discount</v>
      </c>
      <c r="H1161" s="37" t="str">
        <f t="shared" si="92"/>
        <v>Low</v>
      </c>
      <c r="I1161">
        <v>2</v>
      </c>
      <c r="J1161" t="str" cm="1">
        <f t="array" ref="J1161">_xlfn.IFS(I1161&lt;=3,"small",I1161&lt;=6,"Medium",I1161&lt;=9,"Large")</f>
        <v>small</v>
      </c>
      <c r="K1161" s="36">
        <v>44931</v>
      </c>
      <c r="L1161" s="36">
        <v>44936</v>
      </c>
      <c r="M1161" t="s">
        <v>612</v>
      </c>
      <c r="N1161" t="s">
        <v>599</v>
      </c>
      <c r="O1161" s="37" t="str">
        <f t="shared" si="93"/>
        <v>Digital Payment</v>
      </c>
      <c r="P1161">
        <v>846.62</v>
      </c>
      <c r="Q1161" s="37" t="str">
        <f>IF(P1161&gt;500,"High","low")</f>
        <v>High</v>
      </c>
      <c r="R1161" s="37" t="str">
        <f t="shared" si="94"/>
        <v>Good</v>
      </c>
      <c r="S1161" t="s">
        <v>605</v>
      </c>
    </row>
    <row r="1162" spans="1:19" x14ac:dyDescent="0.2">
      <c r="A1162" t="s">
        <v>1773</v>
      </c>
      <c r="B1162" t="s">
        <v>67</v>
      </c>
      <c r="C1162" t="s">
        <v>614</v>
      </c>
      <c r="D1162">
        <v>3065.56</v>
      </c>
      <c r="E1162" s="37" t="str">
        <f t="shared" si="90"/>
        <v xml:space="preserve"> </v>
      </c>
      <c r="F1162">
        <v>0.21</v>
      </c>
      <c r="G1162" s="37" t="str">
        <f t="shared" si="91"/>
        <v>Normal Discount</v>
      </c>
      <c r="H1162" s="37" t="str">
        <f t="shared" si="92"/>
        <v>Medium</v>
      </c>
      <c r="I1162">
        <v>1</v>
      </c>
      <c r="J1162" t="str" cm="1">
        <f t="array" ref="J1162">_xlfn.IFS(I1162&lt;=3,"small",I1162&lt;=6,"Medium",I1162&lt;=9,"Large")</f>
        <v>small</v>
      </c>
      <c r="K1162" s="36">
        <v>44932</v>
      </c>
      <c r="L1162" s="36">
        <v>44933</v>
      </c>
      <c r="M1162" t="s">
        <v>598</v>
      </c>
      <c r="N1162" t="s">
        <v>599</v>
      </c>
      <c r="O1162" s="37" t="str">
        <f t="shared" si="93"/>
        <v>Digital Payment</v>
      </c>
      <c r="P1162">
        <v>659.97</v>
      </c>
      <c r="Q1162" s="37" t="str">
        <f>IF(P1162&gt;500,"High","low")</f>
        <v>High</v>
      </c>
      <c r="R1162" s="37" t="str">
        <f t="shared" si="94"/>
        <v>Good</v>
      </c>
      <c r="S1162" t="s">
        <v>600</v>
      </c>
    </row>
    <row r="1163" spans="1:19" x14ac:dyDescent="0.2">
      <c r="A1163" t="s">
        <v>1774</v>
      </c>
      <c r="B1163" t="s">
        <v>75</v>
      </c>
      <c r="C1163" t="s">
        <v>617</v>
      </c>
      <c r="D1163">
        <v>4616.82</v>
      </c>
      <c r="E1163" s="37" t="str">
        <f t="shared" si="90"/>
        <v xml:space="preserve"> </v>
      </c>
      <c r="F1163">
        <v>0.47</v>
      </c>
      <c r="G1163" s="37" t="str">
        <f t="shared" si="91"/>
        <v>Heavy Discount</v>
      </c>
      <c r="H1163" s="37" t="str">
        <f t="shared" si="92"/>
        <v>High</v>
      </c>
      <c r="I1163">
        <v>1</v>
      </c>
      <c r="J1163" t="str" cm="1">
        <f t="array" ref="J1163">_xlfn.IFS(I1163&lt;=3,"small",I1163&lt;=6,"Medium",I1163&lt;=9,"Large")</f>
        <v>small</v>
      </c>
      <c r="K1163" s="36">
        <v>45173</v>
      </c>
      <c r="L1163" s="36">
        <v>45176</v>
      </c>
      <c r="M1163" t="s">
        <v>612</v>
      </c>
      <c r="N1163" t="s">
        <v>608</v>
      </c>
      <c r="O1163" s="37" t="str">
        <f t="shared" si="93"/>
        <v>Cash Payment</v>
      </c>
      <c r="P1163">
        <v>338.97</v>
      </c>
      <c r="Q1163" s="37" t="str">
        <f>IF(P1163&gt;500,"High","low")</f>
        <v>low</v>
      </c>
      <c r="R1163" s="37" t="str">
        <f t="shared" si="94"/>
        <v>AVERAGE</v>
      </c>
      <c r="S1163" t="s">
        <v>600</v>
      </c>
    </row>
    <row r="1164" spans="1:19" x14ac:dyDescent="0.2">
      <c r="A1164" t="s">
        <v>1775</v>
      </c>
      <c r="B1164" t="s">
        <v>83</v>
      </c>
      <c r="C1164" t="s">
        <v>597</v>
      </c>
      <c r="D1164">
        <v>894.69</v>
      </c>
      <c r="E1164" s="37" t="str">
        <f t="shared" si="90"/>
        <v xml:space="preserve"> </v>
      </c>
      <c r="F1164">
        <v>0.34</v>
      </c>
      <c r="G1164" s="37" t="str">
        <f t="shared" si="91"/>
        <v>Heavy Discount</v>
      </c>
      <c r="H1164" s="37" t="str">
        <f t="shared" si="92"/>
        <v>Medium</v>
      </c>
      <c r="I1164">
        <v>1</v>
      </c>
      <c r="J1164" t="str" cm="1">
        <f t="array" ref="J1164">_xlfn.IFS(I1164&lt;=3,"small",I1164&lt;=6,"Medium",I1164&lt;=9,"Large")</f>
        <v>small</v>
      </c>
      <c r="K1164" s="36">
        <v>45019</v>
      </c>
      <c r="L1164" s="36">
        <v>45023</v>
      </c>
      <c r="M1164" t="s">
        <v>612</v>
      </c>
      <c r="N1164" t="s">
        <v>599</v>
      </c>
      <c r="O1164" s="37" t="str">
        <f t="shared" si="93"/>
        <v>Digital Payment</v>
      </c>
      <c r="P1164">
        <v>75.040000000000006</v>
      </c>
      <c r="Q1164" s="37" t="str">
        <f>IF(P1164&gt;500,"High","low")</f>
        <v>low</v>
      </c>
      <c r="R1164" s="37" t="str">
        <f t="shared" si="94"/>
        <v>AVERAGE</v>
      </c>
      <c r="S1164" t="s">
        <v>605</v>
      </c>
    </row>
    <row r="1165" spans="1:19" x14ac:dyDescent="0.2">
      <c r="A1165" t="s">
        <v>1776</v>
      </c>
      <c r="B1165" t="s">
        <v>83</v>
      </c>
      <c r="C1165" t="s">
        <v>597</v>
      </c>
      <c r="D1165">
        <v>781.18</v>
      </c>
      <c r="E1165" s="37" t="str">
        <f t="shared" si="90"/>
        <v xml:space="preserve"> </v>
      </c>
      <c r="F1165">
        <v>0.33</v>
      </c>
      <c r="G1165" s="37" t="str">
        <f t="shared" si="91"/>
        <v>Heavy Discount</v>
      </c>
      <c r="H1165" s="37" t="str">
        <f t="shared" si="92"/>
        <v>Medium</v>
      </c>
      <c r="I1165">
        <v>2</v>
      </c>
      <c r="J1165" t="str" cm="1">
        <f t="array" ref="J1165">_xlfn.IFS(I1165&lt;=3,"small",I1165&lt;=6,"Medium",I1165&lt;=9,"Large")</f>
        <v>small</v>
      </c>
      <c r="K1165" s="36">
        <v>45241</v>
      </c>
      <c r="L1165" s="36">
        <v>45246</v>
      </c>
      <c r="M1165" t="s">
        <v>603</v>
      </c>
      <c r="N1165" t="s">
        <v>604</v>
      </c>
      <c r="O1165" s="37" t="str">
        <f t="shared" si="93"/>
        <v>Digital Payment</v>
      </c>
      <c r="P1165">
        <v>205.48</v>
      </c>
      <c r="Q1165" s="37" t="str">
        <f>IF(P1165&gt;500,"High","low")</f>
        <v>low</v>
      </c>
      <c r="R1165" s="37" t="str">
        <f t="shared" si="94"/>
        <v>AVERAGE</v>
      </c>
      <c r="S1165" t="s">
        <v>605</v>
      </c>
    </row>
    <row r="1166" spans="1:19" x14ac:dyDescent="0.2">
      <c r="A1166" t="s">
        <v>1777</v>
      </c>
      <c r="B1166" t="s">
        <v>75</v>
      </c>
      <c r="C1166" t="s">
        <v>607</v>
      </c>
      <c r="D1166">
        <v>2862.2</v>
      </c>
      <c r="E1166" s="37" t="str">
        <f t="shared" si="90"/>
        <v xml:space="preserve"> </v>
      </c>
      <c r="F1166">
        <v>0.19</v>
      </c>
      <c r="G1166" s="37" t="str">
        <f t="shared" si="91"/>
        <v>Normal Discount</v>
      </c>
      <c r="H1166" s="37" t="str">
        <f t="shared" si="92"/>
        <v>Low</v>
      </c>
      <c r="I1166">
        <v>1</v>
      </c>
      <c r="J1166" t="str" cm="1">
        <f t="array" ref="J1166">_xlfn.IFS(I1166&lt;=3,"small",I1166&lt;=6,"Medium",I1166&lt;=9,"Large")</f>
        <v>small</v>
      </c>
      <c r="K1166" s="36">
        <v>45361</v>
      </c>
      <c r="L1166" s="36">
        <v>45367</v>
      </c>
      <c r="M1166" t="s">
        <v>603</v>
      </c>
      <c r="N1166" t="s">
        <v>604</v>
      </c>
      <c r="O1166" s="37" t="str">
        <f t="shared" si="93"/>
        <v>Digital Payment</v>
      </c>
      <c r="P1166">
        <v>567.08000000000004</v>
      </c>
      <c r="Q1166" s="37" t="str">
        <f>IF(P1166&gt;500,"High","low")</f>
        <v>High</v>
      </c>
      <c r="R1166" s="37" t="str">
        <f t="shared" si="94"/>
        <v>Good</v>
      </c>
      <c r="S1166" t="s">
        <v>620</v>
      </c>
    </row>
    <row r="1167" spans="1:19" x14ac:dyDescent="0.2">
      <c r="A1167" t="s">
        <v>1778</v>
      </c>
      <c r="B1167" t="s">
        <v>83</v>
      </c>
      <c r="C1167" t="s">
        <v>597</v>
      </c>
      <c r="D1167">
        <v>377.9</v>
      </c>
      <c r="E1167" s="37" t="str">
        <f t="shared" si="90"/>
        <v xml:space="preserve"> </v>
      </c>
      <c r="F1167">
        <v>0.27</v>
      </c>
      <c r="G1167" s="37" t="str">
        <f t="shared" si="91"/>
        <v>Normal Discount</v>
      </c>
      <c r="H1167" s="37" t="str">
        <f t="shared" si="92"/>
        <v>Medium</v>
      </c>
      <c r="I1167">
        <v>4</v>
      </c>
      <c r="J1167" t="str" cm="1">
        <f t="array" ref="J1167">_xlfn.IFS(I1167&lt;=3,"small",I1167&lt;=6,"Medium",I1167&lt;=9,"Large")</f>
        <v>Medium</v>
      </c>
      <c r="K1167" s="36">
        <v>45116</v>
      </c>
      <c r="L1167" s="36">
        <v>45123</v>
      </c>
      <c r="M1167" t="s">
        <v>598</v>
      </c>
      <c r="N1167" t="s">
        <v>604</v>
      </c>
      <c r="O1167" s="37" t="str">
        <f t="shared" si="93"/>
        <v>Digital Payment</v>
      </c>
      <c r="P1167">
        <v>67.11</v>
      </c>
      <c r="Q1167" s="37" t="str">
        <f>IF(P1167&gt;500,"High","low")</f>
        <v>low</v>
      </c>
      <c r="R1167" s="37" t="str">
        <f t="shared" si="94"/>
        <v>AVERAGE</v>
      </c>
      <c r="S1167" t="s">
        <v>605</v>
      </c>
    </row>
    <row r="1168" spans="1:19" x14ac:dyDescent="0.2">
      <c r="A1168" t="s">
        <v>1779</v>
      </c>
      <c r="B1168" t="s">
        <v>75</v>
      </c>
      <c r="C1168" t="s">
        <v>607</v>
      </c>
      <c r="D1168">
        <v>3353.54</v>
      </c>
      <c r="E1168" s="37" t="str">
        <f t="shared" si="90"/>
        <v xml:space="preserve"> </v>
      </c>
      <c r="F1168">
        <v>0.15</v>
      </c>
      <c r="G1168" s="37" t="str">
        <f t="shared" si="91"/>
        <v>Normal Discount</v>
      </c>
      <c r="H1168" s="37" t="str">
        <f t="shared" si="92"/>
        <v>Low</v>
      </c>
      <c r="I1168">
        <v>7</v>
      </c>
      <c r="J1168" t="str" cm="1">
        <f t="array" ref="J1168">_xlfn.IFS(I1168&lt;=3,"small",I1168&lt;=6,"Medium",I1168&lt;=9,"Large")</f>
        <v>Large</v>
      </c>
      <c r="K1168" s="36">
        <v>45470</v>
      </c>
      <c r="L1168" s="36">
        <v>45473</v>
      </c>
      <c r="M1168" t="s">
        <v>603</v>
      </c>
      <c r="N1168" t="s">
        <v>599</v>
      </c>
      <c r="O1168" s="37" t="str">
        <f t="shared" si="93"/>
        <v>Digital Payment</v>
      </c>
      <c r="P1168">
        <v>608.89</v>
      </c>
      <c r="Q1168" s="37" t="str">
        <f>IF(P1168&gt;500,"High","low")</f>
        <v>High</v>
      </c>
      <c r="R1168" s="37" t="str">
        <f t="shared" si="94"/>
        <v>Good</v>
      </c>
      <c r="S1168" t="s">
        <v>628</v>
      </c>
    </row>
    <row r="1169" spans="1:19" x14ac:dyDescent="0.2">
      <c r="A1169" t="s">
        <v>1780</v>
      </c>
      <c r="B1169" t="s">
        <v>83</v>
      </c>
      <c r="C1169" t="s">
        <v>617</v>
      </c>
      <c r="D1169">
        <v>1279.6300000000001</v>
      </c>
      <c r="E1169" s="37" t="str">
        <f t="shared" si="90"/>
        <v xml:space="preserve"> </v>
      </c>
      <c r="F1169">
        <v>0.26</v>
      </c>
      <c r="G1169" s="37" t="str">
        <f t="shared" si="91"/>
        <v>Normal Discount</v>
      </c>
      <c r="H1169" s="37" t="str">
        <f t="shared" si="92"/>
        <v>Medium</v>
      </c>
      <c r="I1169">
        <v>3</v>
      </c>
      <c r="J1169" t="str" cm="1">
        <f t="array" ref="J1169">_xlfn.IFS(I1169&lt;=3,"small",I1169&lt;=6,"Medium",I1169&lt;=9,"Large")</f>
        <v>small</v>
      </c>
      <c r="K1169" s="36">
        <v>45359</v>
      </c>
      <c r="L1169" s="36">
        <v>45362</v>
      </c>
      <c r="M1169" t="s">
        <v>603</v>
      </c>
      <c r="N1169" t="s">
        <v>599</v>
      </c>
      <c r="O1169" s="37" t="str">
        <f t="shared" si="93"/>
        <v>Digital Payment</v>
      </c>
      <c r="P1169">
        <v>116.87</v>
      </c>
      <c r="Q1169" s="37" t="str">
        <f>IF(P1169&gt;500,"High","low")</f>
        <v>low</v>
      </c>
      <c r="R1169" s="37" t="str">
        <f t="shared" si="94"/>
        <v>AVERAGE</v>
      </c>
      <c r="S1169" t="s">
        <v>609</v>
      </c>
    </row>
    <row r="1170" spans="1:19" x14ac:dyDescent="0.2">
      <c r="A1170" t="s">
        <v>1781</v>
      </c>
      <c r="B1170" t="s">
        <v>90</v>
      </c>
      <c r="C1170" t="s">
        <v>597</v>
      </c>
      <c r="D1170">
        <v>683.23</v>
      </c>
      <c r="E1170" s="37" t="str">
        <f t="shared" si="90"/>
        <v xml:space="preserve"> </v>
      </c>
      <c r="F1170">
        <v>0.37</v>
      </c>
      <c r="G1170" s="37" t="str">
        <f t="shared" si="91"/>
        <v>Heavy Discount</v>
      </c>
      <c r="H1170" s="37" t="str">
        <f t="shared" si="92"/>
        <v>Medium</v>
      </c>
      <c r="I1170">
        <v>9</v>
      </c>
      <c r="J1170" t="str" cm="1">
        <f t="array" ref="J1170">_xlfn.IFS(I1170&lt;=3,"small",I1170&lt;=6,"Medium",I1170&lt;=9,"Large")</f>
        <v>Large</v>
      </c>
      <c r="K1170" s="36">
        <v>45152</v>
      </c>
      <c r="L1170" s="36">
        <v>45157</v>
      </c>
      <c r="M1170" t="s">
        <v>603</v>
      </c>
      <c r="N1170" t="s">
        <v>604</v>
      </c>
      <c r="O1170" s="37" t="str">
        <f t="shared" si="93"/>
        <v>Digital Payment</v>
      </c>
      <c r="P1170">
        <v>102.12</v>
      </c>
      <c r="Q1170" s="37" t="str">
        <f>IF(P1170&gt;500,"High","low")</f>
        <v>low</v>
      </c>
      <c r="R1170" s="37" t="str">
        <f t="shared" si="94"/>
        <v>AVERAGE</v>
      </c>
      <c r="S1170" t="s">
        <v>600</v>
      </c>
    </row>
    <row r="1171" spans="1:19" x14ac:dyDescent="0.2">
      <c r="A1171" t="s">
        <v>1782</v>
      </c>
      <c r="B1171" t="s">
        <v>90</v>
      </c>
      <c r="C1171" t="s">
        <v>617</v>
      </c>
      <c r="D1171">
        <v>2106.5300000000002</v>
      </c>
      <c r="E1171" s="37" t="str">
        <f t="shared" si="90"/>
        <v xml:space="preserve"> </v>
      </c>
      <c r="F1171">
        <v>0.28000000000000003</v>
      </c>
      <c r="G1171" s="37" t="str">
        <f t="shared" si="91"/>
        <v>Normal Discount</v>
      </c>
      <c r="H1171" s="37" t="str">
        <f t="shared" si="92"/>
        <v>Medium</v>
      </c>
      <c r="I1171">
        <v>2</v>
      </c>
      <c r="J1171" t="str" cm="1">
        <f t="array" ref="J1171">_xlfn.IFS(I1171&lt;=3,"small",I1171&lt;=6,"Medium",I1171&lt;=9,"Large")</f>
        <v>small</v>
      </c>
      <c r="K1171" s="36">
        <v>45162</v>
      </c>
      <c r="L1171" s="36">
        <v>45163</v>
      </c>
      <c r="M1171" t="s">
        <v>598</v>
      </c>
      <c r="N1171" t="s">
        <v>604</v>
      </c>
      <c r="O1171" s="37" t="str">
        <f t="shared" si="93"/>
        <v>Digital Payment</v>
      </c>
      <c r="P1171">
        <v>412.01</v>
      </c>
      <c r="Q1171" s="37" t="str">
        <f>IF(P1171&gt;500,"High","low")</f>
        <v>low</v>
      </c>
      <c r="R1171" s="37" t="str">
        <f t="shared" si="94"/>
        <v>AVERAGE</v>
      </c>
      <c r="S1171" t="s">
        <v>609</v>
      </c>
    </row>
    <row r="1172" spans="1:19" x14ac:dyDescent="0.2">
      <c r="A1172" t="s">
        <v>1783</v>
      </c>
      <c r="B1172" t="s">
        <v>67</v>
      </c>
      <c r="C1172" t="s">
        <v>597</v>
      </c>
      <c r="D1172">
        <v>2383.15</v>
      </c>
      <c r="E1172" s="37" t="str">
        <f t="shared" si="90"/>
        <v xml:space="preserve"> </v>
      </c>
      <c r="F1172">
        <v>0.21</v>
      </c>
      <c r="G1172" s="37" t="str">
        <f t="shared" si="91"/>
        <v>Normal Discount</v>
      </c>
      <c r="H1172" s="37" t="str">
        <f t="shared" si="92"/>
        <v>Medium</v>
      </c>
      <c r="I1172">
        <v>2</v>
      </c>
      <c r="J1172" t="str" cm="1">
        <f t="array" ref="J1172">_xlfn.IFS(I1172&lt;=3,"small",I1172&lt;=6,"Medium",I1172&lt;=9,"Large")</f>
        <v>small</v>
      </c>
      <c r="K1172" s="36">
        <v>45466</v>
      </c>
      <c r="L1172" s="36">
        <v>45471</v>
      </c>
      <c r="M1172" t="s">
        <v>598</v>
      </c>
      <c r="N1172" t="s">
        <v>604</v>
      </c>
      <c r="O1172" s="37" t="str">
        <f t="shared" si="93"/>
        <v>Digital Payment</v>
      </c>
      <c r="P1172">
        <v>411.63</v>
      </c>
      <c r="Q1172" s="37" t="str">
        <f>IF(P1172&gt;500,"High","low")</f>
        <v>low</v>
      </c>
      <c r="R1172" s="37" t="str">
        <f t="shared" si="94"/>
        <v>AVERAGE</v>
      </c>
      <c r="S1172" t="s">
        <v>609</v>
      </c>
    </row>
    <row r="1173" spans="1:19" x14ac:dyDescent="0.2">
      <c r="A1173" t="s">
        <v>1784</v>
      </c>
      <c r="B1173" t="s">
        <v>90</v>
      </c>
      <c r="C1173" t="s">
        <v>597</v>
      </c>
      <c r="D1173">
        <v>935.38</v>
      </c>
      <c r="E1173" s="37" t="str">
        <f t="shared" si="90"/>
        <v xml:space="preserve"> </v>
      </c>
      <c r="F1173">
        <v>0.42</v>
      </c>
      <c r="G1173" s="37" t="str">
        <f t="shared" si="91"/>
        <v>Heavy Discount</v>
      </c>
      <c r="H1173" s="37" t="str">
        <f t="shared" si="92"/>
        <v>High</v>
      </c>
      <c r="I1173">
        <v>7</v>
      </c>
      <c r="J1173" t="str" cm="1">
        <f t="array" ref="J1173">_xlfn.IFS(I1173&lt;=3,"small",I1173&lt;=6,"Medium",I1173&lt;=9,"Large")</f>
        <v>Large</v>
      </c>
      <c r="K1173" s="36">
        <v>45125</v>
      </c>
      <c r="L1173" s="36">
        <v>45126</v>
      </c>
      <c r="M1173" t="s">
        <v>603</v>
      </c>
      <c r="N1173" t="s">
        <v>604</v>
      </c>
      <c r="O1173" s="37" t="str">
        <f t="shared" si="93"/>
        <v>Digital Payment</v>
      </c>
      <c r="P1173">
        <v>146.97</v>
      </c>
      <c r="Q1173" s="37" t="str">
        <f>IF(P1173&gt;500,"High","low")</f>
        <v>low</v>
      </c>
      <c r="R1173" s="37" t="str">
        <f t="shared" si="94"/>
        <v>AVERAGE</v>
      </c>
      <c r="S1173" t="s">
        <v>600</v>
      </c>
    </row>
    <row r="1174" spans="1:19" x14ac:dyDescent="0.2">
      <c r="A1174" t="s">
        <v>1785</v>
      </c>
      <c r="B1174" t="s">
        <v>90</v>
      </c>
      <c r="C1174" t="s">
        <v>617</v>
      </c>
      <c r="D1174">
        <v>303.52</v>
      </c>
      <c r="E1174" s="37" t="str">
        <f t="shared" si="90"/>
        <v xml:space="preserve"> </v>
      </c>
      <c r="F1174">
        <v>0.14000000000000001</v>
      </c>
      <c r="G1174" s="37" t="str">
        <f t="shared" si="91"/>
        <v>Normal Discount</v>
      </c>
      <c r="H1174" s="37" t="str">
        <f t="shared" si="92"/>
        <v>Low</v>
      </c>
      <c r="I1174">
        <v>9</v>
      </c>
      <c r="J1174" t="str" cm="1">
        <f t="array" ref="J1174">_xlfn.IFS(I1174&lt;=3,"small",I1174&lt;=6,"Medium",I1174&lt;=9,"Large")</f>
        <v>Large</v>
      </c>
      <c r="K1174" s="36">
        <v>45347</v>
      </c>
      <c r="L1174" s="36">
        <v>45352</v>
      </c>
      <c r="M1174" t="s">
        <v>612</v>
      </c>
      <c r="N1174" t="s">
        <v>599</v>
      </c>
      <c r="O1174" s="37" t="str">
        <f t="shared" si="93"/>
        <v>Digital Payment</v>
      </c>
      <c r="P1174">
        <v>36.82</v>
      </c>
      <c r="Q1174" s="37" t="str">
        <f>IF(P1174&gt;500,"High","low")</f>
        <v>low</v>
      </c>
      <c r="R1174" s="37" t="str">
        <f t="shared" si="94"/>
        <v>AVERAGE</v>
      </c>
      <c r="S1174" t="s">
        <v>609</v>
      </c>
    </row>
    <row r="1175" spans="1:19" x14ac:dyDescent="0.2">
      <c r="A1175" t="s">
        <v>1786</v>
      </c>
      <c r="B1175" t="s">
        <v>90</v>
      </c>
      <c r="C1175" t="s">
        <v>614</v>
      </c>
      <c r="D1175">
        <v>2128.87</v>
      </c>
      <c r="E1175" s="37" t="str">
        <f t="shared" si="90"/>
        <v xml:space="preserve"> </v>
      </c>
      <c r="F1175">
        <v>0.24</v>
      </c>
      <c r="G1175" s="37" t="str">
        <f t="shared" si="91"/>
        <v>Normal Discount</v>
      </c>
      <c r="H1175" s="37" t="str">
        <f t="shared" si="92"/>
        <v>Medium</v>
      </c>
      <c r="I1175">
        <v>6</v>
      </c>
      <c r="J1175" t="str" cm="1">
        <f t="array" ref="J1175">_xlfn.IFS(I1175&lt;=3,"small",I1175&lt;=6,"Medium",I1175&lt;=9,"Large")</f>
        <v>Medium</v>
      </c>
      <c r="K1175" s="36">
        <v>45467</v>
      </c>
      <c r="L1175" s="36">
        <v>45469</v>
      </c>
      <c r="M1175" t="s">
        <v>598</v>
      </c>
      <c r="N1175" t="s">
        <v>608</v>
      </c>
      <c r="O1175" s="37" t="str">
        <f t="shared" si="93"/>
        <v>Cash Payment</v>
      </c>
      <c r="P1175">
        <v>302.73</v>
      </c>
      <c r="Q1175" s="37" t="str">
        <f>IF(P1175&gt;500,"High","low")</f>
        <v>low</v>
      </c>
      <c r="R1175" s="37" t="str">
        <f t="shared" si="94"/>
        <v>AVERAGE</v>
      </c>
      <c r="S1175" t="s">
        <v>628</v>
      </c>
    </row>
    <row r="1176" spans="1:19" x14ac:dyDescent="0.2">
      <c r="A1176" t="s">
        <v>1787</v>
      </c>
      <c r="B1176" t="s">
        <v>75</v>
      </c>
      <c r="C1176" t="s">
        <v>614</v>
      </c>
      <c r="D1176">
        <v>3821.68</v>
      </c>
      <c r="E1176" s="37" t="str">
        <f t="shared" si="90"/>
        <v xml:space="preserve"> </v>
      </c>
      <c r="F1176">
        <v>0.49</v>
      </c>
      <c r="G1176" s="37" t="str">
        <f t="shared" si="91"/>
        <v>Heavy Discount</v>
      </c>
      <c r="H1176" s="37" t="str">
        <f t="shared" si="92"/>
        <v>High</v>
      </c>
      <c r="I1176">
        <v>1</v>
      </c>
      <c r="J1176" t="str" cm="1">
        <f t="array" ref="J1176">_xlfn.IFS(I1176&lt;=3,"small",I1176&lt;=6,"Medium",I1176&lt;=9,"Large")</f>
        <v>small</v>
      </c>
      <c r="K1176" s="36">
        <v>45073</v>
      </c>
      <c r="L1176" s="36">
        <v>45075</v>
      </c>
      <c r="M1176" t="s">
        <v>598</v>
      </c>
      <c r="N1176" t="s">
        <v>599</v>
      </c>
      <c r="O1176" s="37" t="str">
        <f t="shared" si="93"/>
        <v>Digital Payment</v>
      </c>
      <c r="P1176">
        <v>837.78</v>
      </c>
      <c r="Q1176" s="37" t="str">
        <f>IF(P1176&gt;500,"High","low")</f>
        <v>High</v>
      </c>
      <c r="R1176" s="37" t="str">
        <f t="shared" si="94"/>
        <v>Good</v>
      </c>
      <c r="S1176" t="s">
        <v>600</v>
      </c>
    </row>
    <row r="1177" spans="1:19" x14ac:dyDescent="0.2">
      <c r="A1177" t="s">
        <v>1788</v>
      </c>
      <c r="B1177" t="s">
        <v>90</v>
      </c>
      <c r="C1177" t="s">
        <v>614</v>
      </c>
      <c r="D1177">
        <v>4383.58</v>
      </c>
      <c r="E1177" s="37" t="str">
        <f t="shared" si="90"/>
        <v>Excellent Order</v>
      </c>
      <c r="F1177">
        <v>0.48</v>
      </c>
      <c r="G1177" s="37" t="str">
        <f t="shared" si="91"/>
        <v>Heavy Discount</v>
      </c>
      <c r="H1177" s="37" t="str">
        <f t="shared" si="92"/>
        <v>High</v>
      </c>
      <c r="I1177">
        <v>6</v>
      </c>
      <c r="J1177" t="str" cm="1">
        <f t="array" ref="J1177">_xlfn.IFS(I1177&lt;=3,"small",I1177&lt;=6,"Medium",I1177&lt;=9,"Large")</f>
        <v>Medium</v>
      </c>
      <c r="K1177" s="36">
        <v>45038</v>
      </c>
      <c r="L1177" s="36">
        <v>45043</v>
      </c>
      <c r="M1177" t="s">
        <v>612</v>
      </c>
      <c r="N1177" t="s">
        <v>604</v>
      </c>
      <c r="O1177" s="37" t="str">
        <f t="shared" si="93"/>
        <v>Digital Payment</v>
      </c>
      <c r="P1177">
        <v>1285.1099999999999</v>
      </c>
      <c r="Q1177" s="37" t="str">
        <f>IF(P1177&gt;500,"High","low")</f>
        <v>High</v>
      </c>
      <c r="R1177" s="37" t="str">
        <f t="shared" si="94"/>
        <v>Excellent</v>
      </c>
      <c r="S1177" t="s">
        <v>609</v>
      </c>
    </row>
    <row r="1178" spans="1:19" x14ac:dyDescent="0.2">
      <c r="A1178" t="s">
        <v>1789</v>
      </c>
      <c r="B1178" t="s">
        <v>90</v>
      </c>
      <c r="C1178" t="s">
        <v>614</v>
      </c>
      <c r="D1178">
        <v>577.99</v>
      </c>
      <c r="E1178" s="37" t="str">
        <f t="shared" si="90"/>
        <v xml:space="preserve"> </v>
      </c>
      <c r="F1178">
        <v>0</v>
      </c>
      <c r="G1178" s="37" t="str">
        <f t="shared" si="91"/>
        <v>Normal Discount</v>
      </c>
      <c r="H1178" s="37" t="str">
        <f t="shared" si="92"/>
        <v>Low</v>
      </c>
      <c r="I1178">
        <v>4</v>
      </c>
      <c r="J1178" t="str" cm="1">
        <f t="array" ref="J1178">_xlfn.IFS(I1178&lt;=3,"small",I1178&lt;=6,"Medium",I1178&lt;=9,"Large")</f>
        <v>Medium</v>
      </c>
      <c r="K1178" s="36">
        <v>45034</v>
      </c>
      <c r="L1178" s="36">
        <v>45040</v>
      </c>
      <c r="M1178" t="s">
        <v>612</v>
      </c>
      <c r="N1178" t="s">
        <v>599</v>
      </c>
      <c r="O1178" s="37" t="str">
        <f t="shared" si="93"/>
        <v>Digital Payment</v>
      </c>
      <c r="P1178">
        <v>158.38</v>
      </c>
      <c r="Q1178" s="37" t="str">
        <f>IF(P1178&gt;500,"High","low")</f>
        <v>low</v>
      </c>
      <c r="R1178" s="37" t="str">
        <f t="shared" si="94"/>
        <v>AVERAGE</v>
      </c>
      <c r="S1178" t="s">
        <v>615</v>
      </c>
    </row>
    <row r="1179" spans="1:19" x14ac:dyDescent="0.2">
      <c r="A1179" t="s">
        <v>1790</v>
      </c>
      <c r="B1179" t="s">
        <v>67</v>
      </c>
      <c r="C1179" t="s">
        <v>597</v>
      </c>
      <c r="D1179">
        <v>2670.91</v>
      </c>
      <c r="E1179" s="37" t="str">
        <f t="shared" si="90"/>
        <v xml:space="preserve"> </v>
      </c>
      <c r="F1179">
        <v>0.27</v>
      </c>
      <c r="G1179" s="37" t="str">
        <f t="shared" si="91"/>
        <v>Normal Discount</v>
      </c>
      <c r="H1179" s="37" t="str">
        <f t="shared" si="92"/>
        <v>Medium</v>
      </c>
      <c r="I1179">
        <v>5</v>
      </c>
      <c r="J1179" t="str" cm="1">
        <f t="array" ref="J1179">_xlfn.IFS(I1179&lt;=3,"small",I1179&lt;=6,"Medium",I1179&lt;=9,"Large")</f>
        <v>Medium</v>
      </c>
      <c r="K1179" s="36">
        <v>45457</v>
      </c>
      <c r="L1179" s="36">
        <v>45458</v>
      </c>
      <c r="M1179" t="s">
        <v>603</v>
      </c>
      <c r="N1179" t="s">
        <v>608</v>
      </c>
      <c r="O1179" s="37" t="str">
        <f t="shared" si="93"/>
        <v>Cash Payment</v>
      </c>
      <c r="P1179">
        <v>666.87</v>
      </c>
      <c r="Q1179" s="37" t="str">
        <f>IF(P1179&gt;500,"High","low")</f>
        <v>High</v>
      </c>
      <c r="R1179" s="37" t="str">
        <f t="shared" si="94"/>
        <v>Good</v>
      </c>
      <c r="S1179" t="s">
        <v>615</v>
      </c>
    </row>
    <row r="1180" spans="1:19" x14ac:dyDescent="0.2">
      <c r="A1180" t="s">
        <v>1791</v>
      </c>
      <c r="B1180" t="s">
        <v>90</v>
      </c>
      <c r="C1180" t="s">
        <v>602</v>
      </c>
      <c r="D1180">
        <v>1390.67</v>
      </c>
      <c r="E1180" s="37" t="str">
        <f t="shared" si="90"/>
        <v xml:space="preserve"> </v>
      </c>
      <c r="F1180">
        <v>0.17</v>
      </c>
      <c r="G1180" s="37" t="str">
        <f t="shared" si="91"/>
        <v>Normal Discount</v>
      </c>
      <c r="H1180" s="37" t="str">
        <f t="shared" si="92"/>
        <v>Low</v>
      </c>
      <c r="I1180">
        <v>4</v>
      </c>
      <c r="J1180" t="str" cm="1">
        <f t="array" ref="J1180">_xlfn.IFS(I1180&lt;=3,"small",I1180&lt;=6,"Medium",I1180&lt;=9,"Large")</f>
        <v>Medium</v>
      </c>
      <c r="K1180" s="36">
        <v>45361</v>
      </c>
      <c r="L1180" s="36">
        <v>45368</v>
      </c>
      <c r="M1180" t="s">
        <v>612</v>
      </c>
      <c r="N1180" t="s">
        <v>604</v>
      </c>
      <c r="O1180" s="37" t="str">
        <f t="shared" si="93"/>
        <v>Digital Payment</v>
      </c>
      <c r="P1180">
        <v>317.60000000000002</v>
      </c>
      <c r="Q1180" s="37" t="str">
        <f>IF(P1180&gt;500,"High","low")</f>
        <v>low</v>
      </c>
      <c r="R1180" s="37" t="str">
        <f t="shared" si="94"/>
        <v>AVERAGE</v>
      </c>
      <c r="S1180" t="s">
        <v>615</v>
      </c>
    </row>
    <row r="1181" spans="1:19" x14ac:dyDescent="0.2">
      <c r="A1181" t="s">
        <v>1792</v>
      </c>
      <c r="B1181" t="s">
        <v>90</v>
      </c>
      <c r="C1181" t="s">
        <v>617</v>
      </c>
      <c r="D1181">
        <v>1935.71</v>
      </c>
      <c r="E1181" s="37" t="str">
        <f t="shared" si="90"/>
        <v xml:space="preserve"> </v>
      </c>
      <c r="F1181">
        <v>0.15</v>
      </c>
      <c r="G1181" s="37" t="str">
        <f t="shared" si="91"/>
        <v>Normal Discount</v>
      </c>
      <c r="H1181" s="37" t="str">
        <f t="shared" si="92"/>
        <v>Low</v>
      </c>
      <c r="I1181">
        <v>3</v>
      </c>
      <c r="J1181" t="str" cm="1">
        <f t="array" ref="J1181">_xlfn.IFS(I1181&lt;=3,"small",I1181&lt;=6,"Medium",I1181&lt;=9,"Large")</f>
        <v>small</v>
      </c>
      <c r="K1181" s="36">
        <v>45394</v>
      </c>
      <c r="L1181" s="36">
        <v>45400</v>
      </c>
      <c r="M1181" t="s">
        <v>612</v>
      </c>
      <c r="N1181" t="s">
        <v>608</v>
      </c>
      <c r="O1181" s="37" t="str">
        <f t="shared" si="93"/>
        <v>Cash Payment</v>
      </c>
      <c r="P1181">
        <v>311.42</v>
      </c>
      <c r="Q1181" s="37" t="str">
        <f>IF(P1181&gt;500,"High","low")</f>
        <v>low</v>
      </c>
      <c r="R1181" s="37" t="str">
        <f t="shared" si="94"/>
        <v>AVERAGE</v>
      </c>
      <c r="S1181" t="s">
        <v>628</v>
      </c>
    </row>
    <row r="1182" spans="1:19" x14ac:dyDescent="0.2">
      <c r="A1182" t="s">
        <v>1793</v>
      </c>
      <c r="B1182" t="s">
        <v>83</v>
      </c>
      <c r="C1182" t="s">
        <v>602</v>
      </c>
      <c r="D1182">
        <v>4673.8599999999997</v>
      </c>
      <c r="E1182" s="37" t="str">
        <f t="shared" si="90"/>
        <v xml:space="preserve"> </v>
      </c>
      <c r="F1182">
        <v>0.3</v>
      </c>
      <c r="G1182" s="37" t="str">
        <f t="shared" si="91"/>
        <v>Normal Discount</v>
      </c>
      <c r="H1182" s="37" t="str">
        <f t="shared" si="92"/>
        <v>Medium</v>
      </c>
      <c r="I1182">
        <v>2</v>
      </c>
      <c r="J1182" t="str" cm="1">
        <f t="array" ref="J1182">_xlfn.IFS(I1182&lt;=3,"small",I1182&lt;=6,"Medium",I1182&lt;=9,"Large")</f>
        <v>small</v>
      </c>
      <c r="K1182" s="36">
        <v>45299</v>
      </c>
      <c r="L1182" s="36">
        <v>45302</v>
      </c>
      <c r="M1182" t="s">
        <v>612</v>
      </c>
      <c r="N1182" t="s">
        <v>599</v>
      </c>
      <c r="O1182" s="37" t="str">
        <f t="shared" si="93"/>
        <v>Digital Payment</v>
      </c>
      <c r="P1182">
        <v>694.16</v>
      </c>
      <c r="Q1182" s="37" t="str">
        <f>IF(P1182&gt;500,"High","low")</f>
        <v>High</v>
      </c>
      <c r="R1182" s="37" t="str">
        <f t="shared" si="94"/>
        <v>Good</v>
      </c>
      <c r="S1182" t="s">
        <v>605</v>
      </c>
    </row>
    <row r="1183" spans="1:19" x14ac:dyDescent="0.2">
      <c r="A1183" t="s">
        <v>1794</v>
      </c>
      <c r="B1183" t="s">
        <v>67</v>
      </c>
      <c r="C1183" t="s">
        <v>602</v>
      </c>
      <c r="D1183">
        <v>1825.17</v>
      </c>
      <c r="E1183" s="37" t="str">
        <f t="shared" si="90"/>
        <v xml:space="preserve"> </v>
      </c>
      <c r="F1183">
        <v>0.22</v>
      </c>
      <c r="G1183" s="37" t="str">
        <f t="shared" si="91"/>
        <v>Normal Discount</v>
      </c>
      <c r="H1183" s="37" t="str">
        <f t="shared" si="92"/>
        <v>Medium</v>
      </c>
      <c r="I1183">
        <v>2</v>
      </c>
      <c r="J1183" t="str" cm="1">
        <f t="array" ref="J1183">_xlfn.IFS(I1183&lt;=3,"small",I1183&lt;=6,"Medium",I1183&lt;=9,"Large")</f>
        <v>small</v>
      </c>
      <c r="K1183" s="36">
        <v>45197</v>
      </c>
      <c r="L1183" s="36">
        <v>45202</v>
      </c>
      <c r="M1183" t="s">
        <v>603</v>
      </c>
      <c r="N1183" t="s">
        <v>599</v>
      </c>
      <c r="O1183" s="37" t="str">
        <f t="shared" si="93"/>
        <v>Digital Payment</v>
      </c>
      <c r="P1183">
        <v>391.72</v>
      </c>
      <c r="Q1183" s="37" t="str">
        <f>IF(P1183&gt;500,"High","low")</f>
        <v>low</v>
      </c>
      <c r="R1183" s="37" t="str">
        <f t="shared" si="94"/>
        <v>AVERAGE</v>
      </c>
      <c r="S1183" t="s">
        <v>628</v>
      </c>
    </row>
    <row r="1184" spans="1:19" x14ac:dyDescent="0.2">
      <c r="A1184" t="s">
        <v>1795</v>
      </c>
      <c r="B1184" t="s">
        <v>67</v>
      </c>
      <c r="C1184" t="s">
        <v>607</v>
      </c>
      <c r="D1184">
        <v>1890.2</v>
      </c>
      <c r="E1184" s="37" t="str">
        <f t="shared" si="90"/>
        <v xml:space="preserve"> </v>
      </c>
      <c r="F1184">
        <v>0.37</v>
      </c>
      <c r="G1184" s="37" t="str">
        <f t="shared" si="91"/>
        <v>Heavy Discount</v>
      </c>
      <c r="H1184" s="37" t="str">
        <f t="shared" si="92"/>
        <v>Medium</v>
      </c>
      <c r="I1184">
        <v>4</v>
      </c>
      <c r="J1184" t="str" cm="1">
        <f t="array" ref="J1184">_xlfn.IFS(I1184&lt;=3,"small",I1184&lt;=6,"Medium",I1184&lt;=9,"Large")</f>
        <v>Medium</v>
      </c>
      <c r="K1184" s="36">
        <v>45115</v>
      </c>
      <c r="L1184" s="36">
        <v>45121</v>
      </c>
      <c r="M1184" t="s">
        <v>603</v>
      </c>
      <c r="N1184" t="s">
        <v>608</v>
      </c>
      <c r="O1184" s="37" t="str">
        <f t="shared" si="93"/>
        <v>Cash Payment</v>
      </c>
      <c r="P1184">
        <v>181.75</v>
      </c>
      <c r="Q1184" s="37" t="str">
        <f>IF(P1184&gt;500,"High","low")</f>
        <v>low</v>
      </c>
      <c r="R1184" s="37" t="str">
        <f t="shared" si="94"/>
        <v>AVERAGE</v>
      </c>
      <c r="S1184" t="s">
        <v>609</v>
      </c>
    </row>
    <row r="1185" spans="1:19" x14ac:dyDescent="0.2">
      <c r="A1185" t="s">
        <v>1796</v>
      </c>
      <c r="B1185" t="s">
        <v>67</v>
      </c>
      <c r="C1185" t="s">
        <v>614</v>
      </c>
      <c r="D1185">
        <v>1126.04</v>
      </c>
      <c r="E1185" s="37" t="str">
        <f t="shared" si="90"/>
        <v xml:space="preserve"> </v>
      </c>
      <c r="F1185">
        <v>0.01</v>
      </c>
      <c r="G1185" s="37" t="str">
        <f t="shared" si="91"/>
        <v>Normal Discount</v>
      </c>
      <c r="H1185" s="37" t="str">
        <f t="shared" si="92"/>
        <v>Low</v>
      </c>
      <c r="I1185">
        <v>3</v>
      </c>
      <c r="J1185" t="str" cm="1">
        <f t="array" ref="J1185">_xlfn.IFS(I1185&lt;=3,"small",I1185&lt;=6,"Medium",I1185&lt;=9,"Large")</f>
        <v>small</v>
      </c>
      <c r="K1185" s="36">
        <v>45491</v>
      </c>
      <c r="L1185" s="36">
        <v>45497</v>
      </c>
      <c r="M1185" t="s">
        <v>603</v>
      </c>
      <c r="N1185" t="s">
        <v>604</v>
      </c>
      <c r="O1185" s="37" t="str">
        <f t="shared" si="93"/>
        <v>Digital Payment</v>
      </c>
      <c r="P1185">
        <v>318.36</v>
      </c>
      <c r="Q1185" s="37" t="str">
        <f>IF(P1185&gt;500,"High","low")</f>
        <v>low</v>
      </c>
      <c r="R1185" s="37" t="str">
        <f t="shared" si="94"/>
        <v>AVERAGE</v>
      </c>
      <c r="S1185" t="s">
        <v>609</v>
      </c>
    </row>
    <row r="1186" spans="1:19" x14ac:dyDescent="0.2">
      <c r="A1186" t="s">
        <v>1797</v>
      </c>
      <c r="B1186" t="s">
        <v>67</v>
      </c>
      <c r="C1186" t="s">
        <v>597</v>
      </c>
      <c r="D1186">
        <v>4804.09</v>
      </c>
      <c r="E1186" s="37" t="str">
        <f t="shared" si="90"/>
        <v xml:space="preserve"> </v>
      </c>
      <c r="F1186">
        <v>0.46</v>
      </c>
      <c r="G1186" s="37" t="str">
        <f t="shared" si="91"/>
        <v>Heavy Discount</v>
      </c>
      <c r="H1186" s="37" t="str">
        <f t="shared" si="92"/>
        <v>High</v>
      </c>
      <c r="I1186">
        <v>6</v>
      </c>
      <c r="J1186" t="str" cm="1">
        <f t="array" ref="J1186">_xlfn.IFS(I1186&lt;=3,"small",I1186&lt;=6,"Medium",I1186&lt;=9,"Large")</f>
        <v>Medium</v>
      </c>
      <c r="K1186" s="36">
        <v>45638</v>
      </c>
      <c r="L1186" s="36">
        <v>45641</v>
      </c>
      <c r="M1186" t="s">
        <v>603</v>
      </c>
      <c r="N1186" t="s">
        <v>604</v>
      </c>
      <c r="O1186" s="37" t="str">
        <f t="shared" si="93"/>
        <v>Digital Payment</v>
      </c>
      <c r="P1186">
        <v>381.83</v>
      </c>
      <c r="Q1186" s="37" t="str">
        <f>IF(P1186&gt;500,"High","low")</f>
        <v>low</v>
      </c>
      <c r="R1186" s="37" t="str">
        <f t="shared" si="94"/>
        <v>AVERAGE</v>
      </c>
      <c r="S1186" t="s">
        <v>620</v>
      </c>
    </row>
    <row r="1187" spans="1:19" x14ac:dyDescent="0.2">
      <c r="A1187" t="s">
        <v>1798</v>
      </c>
      <c r="B1187" t="s">
        <v>67</v>
      </c>
      <c r="C1187" t="s">
        <v>614</v>
      </c>
      <c r="D1187">
        <v>2336.79</v>
      </c>
      <c r="E1187" s="37" t="str">
        <f t="shared" si="90"/>
        <v xml:space="preserve"> </v>
      </c>
      <c r="F1187">
        <v>0.28000000000000003</v>
      </c>
      <c r="G1187" s="37" t="str">
        <f t="shared" si="91"/>
        <v>Normal Discount</v>
      </c>
      <c r="H1187" s="37" t="str">
        <f t="shared" si="92"/>
        <v>Medium</v>
      </c>
      <c r="I1187">
        <v>3</v>
      </c>
      <c r="J1187" t="str" cm="1">
        <f t="array" ref="J1187">_xlfn.IFS(I1187&lt;=3,"small",I1187&lt;=6,"Medium",I1187&lt;=9,"Large")</f>
        <v>small</v>
      </c>
      <c r="K1187" s="36">
        <v>45438</v>
      </c>
      <c r="L1187" s="36">
        <v>45443</v>
      </c>
      <c r="M1187" t="s">
        <v>598</v>
      </c>
      <c r="N1187" t="s">
        <v>604</v>
      </c>
      <c r="O1187" s="37" t="str">
        <f t="shared" si="93"/>
        <v>Digital Payment</v>
      </c>
      <c r="P1187">
        <v>183.99</v>
      </c>
      <c r="Q1187" s="37" t="str">
        <f>IF(P1187&gt;500,"High","low")</f>
        <v>low</v>
      </c>
      <c r="R1187" s="37" t="str">
        <f t="shared" si="94"/>
        <v>AVERAGE</v>
      </c>
      <c r="S1187" t="s">
        <v>605</v>
      </c>
    </row>
    <row r="1188" spans="1:19" x14ac:dyDescent="0.2">
      <c r="A1188" t="s">
        <v>1799</v>
      </c>
      <c r="B1188" t="s">
        <v>67</v>
      </c>
      <c r="C1188" t="s">
        <v>614</v>
      </c>
      <c r="D1188">
        <v>2894.92</v>
      </c>
      <c r="E1188" s="37" t="str">
        <f t="shared" si="90"/>
        <v xml:space="preserve"> </v>
      </c>
      <c r="F1188">
        <v>0.34</v>
      </c>
      <c r="G1188" s="37" t="str">
        <f t="shared" si="91"/>
        <v>Heavy Discount</v>
      </c>
      <c r="H1188" s="37" t="str">
        <f t="shared" si="92"/>
        <v>Medium</v>
      </c>
      <c r="I1188">
        <v>3</v>
      </c>
      <c r="J1188" t="str" cm="1">
        <f t="array" ref="J1188">_xlfn.IFS(I1188&lt;=3,"small",I1188&lt;=6,"Medium",I1188&lt;=9,"Large")</f>
        <v>small</v>
      </c>
      <c r="K1188" s="36">
        <v>45041</v>
      </c>
      <c r="L1188" s="36">
        <v>45047</v>
      </c>
      <c r="M1188" t="s">
        <v>603</v>
      </c>
      <c r="N1188" t="s">
        <v>608</v>
      </c>
      <c r="O1188" s="37" t="str">
        <f t="shared" si="93"/>
        <v>Cash Payment</v>
      </c>
      <c r="P1188">
        <v>277.08999999999997</v>
      </c>
      <c r="Q1188" s="37" t="str">
        <f>IF(P1188&gt;500,"High","low")</f>
        <v>low</v>
      </c>
      <c r="R1188" s="37" t="str">
        <f t="shared" si="94"/>
        <v>AVERAGE</v>
      </c>
      <c r="S1188" t="s">
        <v>609</v>
      </c>
    </row>
    <row r="1189" spans="1:19" x14ac:dyDescent="0.2">
      <c r="A1189" t="s">
        <v>1800</v>
      </c>
      <c r="B1189" t="s">
        <v>75</v>
      </c>
      <c r="C1189" t="s">
        <v>602</v>
      </c>
      <c r="D1189">
        <v>2320.52</v>
      </c>
      <c r="E1189" s="37" t="str">
        <f t="shared" si="90"/>
        <v xml:space="preserve"> </v>
      </c>
      <c r="F1189">
        <v>0.3</v>
      </c>
      <c r="G1189" s="37" t="str">
        <f t="shared" si="91"/>
        <v>Normal Discount</v>
      </c>
      <c r="H1189" s="37" t="str">
        <f t="shared" si="92"/>
        <v>Medium</v>
      </c>
      <c r="I1189">
        <v>4</v>
      </c>
      <c r="J1189" t="str" cm="1">
        <f t="array" ref="J1189">_xlfn.IFS(I1189&lt;=3,"small",I1189&lt;=6,"Medium",I1189&lt;=9,"Large")</f>
        <v>Medium</v>
      </c>
      <c r="K1189" s="36">
        <v>45625</v>
      </c>
      <c r="L1189" s="36">
        <v>45629</v>
      </c>
      <c r="M1189" t="s">
        <v>603</v>
      </c>
      <c r="N1189" t="s">
        <v>599</v>
      </c>
      <c r="O1189" s="37" t="str">
        <f t="shared" si="93"/>
        <v>Digital Payment</v>
      </c>
      <c r="P1189">
        <v>156.74</v>
      </c>
      <c r="Q1189" s="37" t="str">
        <f>IF(P1189&gt;500,"High","low")</f>
        <v>low</v>
      </c>
      <c r="R1189" s="37" t="str">
        <f t="shared" si="94"/>
        <v>AVERAGE</v>
      </c>
      <c r="S1189" t="s">
        <v>600</v>
      </c>
    </row>
    <row r="1190" spans="1:19" x14ac:dyDescent="0.2">
      <c r="A1190" t="s">
        <v>1801</v>
      </c>
      <c r="B1190" t="s">
        <v>90</v>
      </c>
      <c r="C1190" t="s">
        <v>607</v>
      </c>
      <c r="D1190">
        <v>1339.3</v>
      </c>
      <c r="E1190" s="37" t="str">
        <f t="shared" si="90"/>
        <v xml:space="preserve"> </v>
      </c>
      <c r="F1190">
        <v>0.49</v>
      </c>
      <c r="G1190" s="37" t="str">
        <f t="shared" si="91"/>
        <v>Heavy Discount</v>
      </c>
      <c r="H1190" s="37" t="str">
        <f t="shared" si="92"/>
        <v>High</v>
      </c>
      <c r="I1190">
        <v>5</v>
      </c>
      <c r="J1190" t="str" cm="1">
        <f t="array" ref="J1190">_xlfn.IFS(I1190&lt;=3,"small",I1190&lt;=6,"Medium",I1190&lt;=9,"Large")</f>
        <v>Medium</v>
      </c>
      <c r="K1190" s="36">
        <v>44933</v>
      </c>
      <c r="L1190" s="36">
        <v>44934</v>
      </c>
      <c r="M1190" t="s">
        <v>612</v>
      </c>
      <c r="N1190" t="s">
        <v>604</v>
      </c>
      <c r="O1190" s="37" t="str">
        <f t="shared" si="93"/>
        <v>Digital Payment</v>
      </c>
      <c r="P1190">
        <v>84.75</v>
      </c>
      <c r="Q1190" s="37" t="str">
        <f>IF(P1190&gt;500,"High","low")</f>
        <v>low</v>
      </c>
      <c r="R1190" s="37" t="str">
        <f t="shared" si="94"/>
        <v>AVERAGE</v>
      </c>
      <c r="S1190" t="s">
        <v>600</v>
      </c>
    </row>
    <row r="1191" spans="1:19" x14ac:dyDescent="0.2">
      <c r="A1191" t="s">
        <v>1802</v>
      </c>
      <c r="B1191" t="s">
        <v>67</v>
      </c>
      <c r="C1191" t="s">
        <v>614</v>
      </c>
      <c r="D1191">
        <v>4071.02</v>
      </c>
      <c r="E1191" s="37" t="str">
        <f t="shared" si="90"/>
        <v xml:space="preserve"> </v>
      </c>
      <c r="F1191">
        <v>0.49</v>
      </c>
      <c r="G1191" s="37" t="str">
        <f t="shared" si="91"/>
        <v>Heavy Discount</v>
      </c>
      <c r="H1191" s="37" t="str">
        <f t="shared" si="92"/>
        <v>High</v>
      </c>
      <c r="I1191">
        <v>9</v>
      </c>
      <c r="J1191" t="str" cm="1">
        <f t="array" ref="J1191">_xlfn.IFS(I1191&lt;=3,"small",I1191&lt;=6,"Medium",I1191&lt;=9,"Large")</f>
        <v>Large</v>
      </c>
      <c r="K1191" s="36">
        <v>45393</v>
      </c>
      <c r="L1191" s="36">
        <v>45397</v>
      </c>
      <c r="M1191" t="s">
        <v>603</v>
      </c>
      <c r="N1191" t="s">
        <v>599</v>
      </c>
      <c r="O1191" s="37" t="str">
        <f t="shared" si="93"/>
        <v>Digital Payment</v>
      </c>
      <c r="P1191">
        <v>358.68</v>
      </c>
      <c r="Q1191" s="37" t="str">
        <f>IF(P1191&gt;500,"High","low")</f>
        <v>low</v>
      </c>
      <c r="R1191" s="37" t="str">
        <f t="shared" si="94"/>
        <v>AVERAGE</v>
      </c>
      <c r="S1191" t="s">
        <v>628</v>
      </c>
    </row>
    <row r="1192" spans="1:19" x14ac:dyDescent="0.2">
      <c r="A1192" t="s">
        <v>1803</v>
      </c>
      <c r="B1192" t="s">
        <v>90</v>
      </c>
      <c r="C1192" t="s">
        <v>617</v>
      </c>
      <c r="D1192">
        <v>239.51</v>
      </c>
      <c r="E1192" s="37" t="str">
        <f t="shared" si="90"/>
        <v xml:space="preserve"> </v>
      </c>
      <c r="F1192">
        <v>0.3</v>
      </c>
      <c r="G1192" s="37" t="str">
        <f t="shared" si="91"/>
        <v>Normal Discount</v>
      </c>
      <c r="H1192" s="37" t="str">
        <f t="shared" si="92"/>
        <v>Medium</v>
      </c>
      <c r="I1192">
        <v>5</v>
      </c>
      <c r="J1192" t="str" cm="1">
        <f t="array" ref="J1192">_xlfn.IFS(I1192&lt;=3,"small",I1192&lt;=6,"Medium",I1192&lt;=9,"Large")</f>
        <v>Medium</v>
      </c>
      <c r="K1192" s="36">
        <v>45274</v>
      </c>
      <c r="L1192" s="36">
        <v>45280</v>
      </c>
      <c r="M1192" t="s">
        <v>603</v>
      </c>
      <c r="N1192" t="s">
        <v>599</v>
      </c>
      <c r="O1192" s="37" t="str">
        <f t="shared" si="93"/>
        <v>Digital Payment</v>
      </c>
      <c r="P1192">
        <v>31.59</v>
      </c>
      <c r="Q1192" s="37" t="str">
        <f>IF(P1192&gt;500,"High","low")</f>
        <v>low</v>
      </c>
      <c r="R1192" s="37" t="str">
        <f t="shared" si="94"/>
        <v>AVERAGE</v>
      </c>
      <c r="S1192" t="s">
        <v>628</v>
      </c>
    </row>
    <row r="1193" spans="1:19" x14ac:dyDescent="0.2">
      <c r="A1193" t="s">
        <v>1804</v>
      </c>
      <c r="B1193" t="s">
        <v>90</v>
      </c>
      <c r="C1193" t="s">
        <v>617</v>
      </c>
      <c r="D1193">
        <v>3482.19</v>
      </c>
      <c r="E1193" s="37" t="str">
        <f t="shared" si="90"/>
        <v xml:space="preserve"> </v>
      </c>
      <c r="F1193">
        <v>0.34</v>
      </c>
      <c r="G1193" s="37" t="str">
        <f t="shared" si="91"/>
        <v>Heavy Discount</v>
      </c>
      <c r="H1193" s="37" t="str">
        <f t="shared" si="92"/>
        <v>Medium</v>
      </c>
      <c r="I1193">
        <v>1</v>
      </c>
      <c r="J1193" t="str" cm="1">
        <f t="array" ref="J1193">_xlfn.IFS(I1193&lt;=3,"small",I1193&lt;=6,"Medium",I1193&lt;=9,"Large")</f>
        <v>small</v>
      </c>
      <c r="K1193" s="36">
        <v>45002</v>
      </c>
      <c r="L1193" s="36">
        <v>45008</v>
      </c>
      <c r="M1193" t="s">
        <v>612</v>
      </c>
      <c r="N1193" t="s">
        <v>608</v>
      </c>
      <c r="O1193" s="37" t="str">
        <f t="shared" si="93"/>
        <v>Cash Payment</v>
      </c>
      <c r="P1193">
        <v>669.06</v>
      </c>
      <c r="Q1193" s="37" t="str">
        <f>IF(P1193&gt;500,"High","low")</f>
        <v>High</v>
      </c>
      <c r="R1193" s="37" t="str">
        <f t="shared" si="94"/>
        <v>Good</v>
      </c>
      <c r="S1193" t="s">
        <v>628</v>
      </c>
    </row>
    <row r="1194" spans="1:19" x14ac:dyDescent="0.2">
      <c r="A1194" t="s">
        <v>1805</v>
      </c>
      <c r="B1194" t="s">
        <v>75</v>
      </c>
      <c r="C1194" t="s">
        <v>614</v>
      </c>
      <c r="D1194">
        <v>3011.94</v>
      </c>
      <c r="E1194" s="37" t="str">
        <f t="shared" si="90"/>
        <v xml:space="preserve"> </v>
      </c>
      <c r="F1194">
        <v>0.31</v>
      </c>
      <c r="G1194" s="37" t="str">
        <f t="shared" si="91"/>
        <v>Heavy Discount</v>
      </c>
      <c r="H1194" s="37" t="str">
        <f t="shared" si="92"/>
        <v>Medium</v>
      </c>
      <c r="I1194">
        <v>9</v>
      </c>
      <c r="J1194" t="str" cm="1">
        <f t="array" ref="J1194">_xlfn.IFS(I1194&lt;=3,"small",I1194&lt;=6,"Medium",I1194&lt;=9,"Large")</f>
        <v>Large</v>
      </c>
      <c r="K1194" s="36">
        <v>45537</v>
      </c>
      <c r="L1194" s="36">
        <v>45541</v>
      </c>
      <c r="M1194" t="s">
        <v>603</v>
      </c>
      <c r="N1194" t="s">
        <v>599</v>
      </c>
      <c r="O1194" s="37" t="str">
        <f t="shared" si="93"/>
        <v>Digital Payment</v>
      </c>
      <c r="P1194">
        <v>557.29</v>
      </c>
      <c r="Q1194" s="37" t="str">
        <f>IF(P1194&gt;500,"High","low")</f>
        <v>High</v>
      </c>
      <c r="R1194" s="37" t="str">
        <f t="shared" si="94"/>
        <v>Good</v>
      </c>
      <c r="S1194" t="s">
        <v>628</v>
      </c>
    </row>
    <row r="1195" spans="1:19" x14ac:dyDescent="0.2">
      <c r="A1195" t="s">
        <v>1806</v>
      </c>
      <c r="B1195" t="s">
        <v>67</v>
      </c>
      <c r="C1195" t="s">
        <v>602</v>
      </c>
      <c r="D1195">
        <v>806.98</v>
      </c>
      <c r="E1195" s="37" t="str">
        <f t="shared" si="90"/>
        <v xml:space="preserve"> </v>
      </c>
      <c r="F1195">
        <v>0.16</v>
      </c>
      <c r="G1195" s="37" t="str">
        <f t="shared" si="91"/>
        <v>Normal Discount</v>
      </c>
      <c r="H1195" s="37" t="str">
        <f t="shared" si="92"/>
        <v>Low</v>
      </c>
      <c r="I1195">
        <v>2</v>
      </c>
      <c r="J1195" t="str" cm="1">
        <f t="array" ref="J1195">_xlfn.IFS(I1195&lt;=3,"small",I1195&lt;=6,"Medium",I1195&lt;=9,"Large")</f>
        <v>small</v>
      </c>
      <c r="K1195" s="36">
        <v>45506</v>
      </c>
      <c r="L1195" s="36">
        <v>45512</v>
      </c>
      <c r="M1195" t="s">
        <v>612</v>
      </c>
      <c r="N1195" t="s">
        <v>599</v>
      </c>
      <c r="O1195" s="37" t="str">
        <f t="shared" si="93"/>
        <v>Digital Payment</v>
      </c>
      <c r="P1195">
        <v>55.3</v>
      </c>
      <c r="Q1195" s="37" t="str">
        <f>IF(P1195&gt;500,"High","low")</f>
        <v>low</v>
      </c>
      <c r="R1195" s="37" t="str">
        <f t="shared" si="94"/>
        <v>AVERAGE</v>
      </c>
      <c r="S1195" t="s">
        <v>605</v>
      </c>
    </row>
    <row r="1196" spans="1:19" x14ac:dyDescent="0.2">
      <c r="A1196" t="s">
        <v>1807</v>
      </c>
      <c r="B1196" t="s">
        <v>83</v>
      </c>
      <c r="C1196" t="s">
        <v>602</v>
      </c>
      <c r="D1196">
        <v>912.93</v>
      </c>
      <c r="E1196" s="37" t="str">
        <f t="shared" si="90"/>
        <v xml:space="preserve"> </v>
      </c>
      <c r="F1196">
        <v>0.1</v>
      </c>
      <c r="G1196" s="37" t="str">
        <f t="shared" si="91"/>
        <v>Normal Discount</v>
      </c>
      <c r="H1196" s="37" t="str">
        <f t="shared" si="92"/>
        <v>Low</v>
      </c>
      <c r="I1196">
        <v>4</v>
      </c>
      <c r="J1196" t="str" cm="1">
        <f t="array" ref="J1196">_xlfn.IFS(I1196&lt;=3,"small",I1196&lt;=6,"Medium",I1196&lt;=9,"Large")</f>
        <v>Medium</v>
      </c>
      <c r="K1196" s="36">
        <v>44960</v>
      </c>
      <c r="L1196" s="36">
        <v>44966</v>
      </c>
      <c r="M1196" t="s">
        <v>598</v>
      </c>
      <c r="N1196" t="s">
        <v>599</v>
      </c>
      <c r="O1196" s="37" t="str">
        <f t="shared" si="93"/>
        <v>Digital Payment</v>
      </c>
      <c r="P1196">
        <v>205.14</v>
      </c>
      <c r="Q1196" s="37" t="str">
        <f>IF(P1196&gt;500,"High","low")</f>
        <v>low</v>
      </c>
      <c r="R1196" s="37" t="str">
        <f t="shared" si="94"/>
        <v>AVERAGE</v>
      </c>
      <c r="S1196" t="s">
        <v>615</v>
      </c>
    </row>
    <row r="1197" spans="1:19" x14ac:dyDescent="0.2">
      <c r="A1197" t="s">
        <v>1808</v>
      </c>
      <c r="B1197" t="s">
        <v>75</v>
      </c>
      <c r="C1197" t="s">
        <v>597</v>
      </c>
      <c r="D1197">
        <v>3330.21</v>
      </c>
      <c r="E1197" s="37" t="str">
        <f t="shared" si="90"/>
        <v xml:space="preserve"> </v>
      </c>
      <c r="F1197">
        <v>0.2</v>
      </c>
      <c r="G1197" s="37" t="str">
        <f t="shared" si="91"/>
        <v>Normal Discount</v>
      </c>
      <c r="H1197" s="37" t="str">
        <f t="shared" si="92"/>
        <v>Medium</v>
      </c>
      <c r="I1197">
        <v>6</v>
      </c>
      <c r="J1197" t="str" cm="1">
        <f t="array" ref="J1197">_xlfn.IFS(I1197&lt;=3,"small",I1197&lt;=6,"Medium",I1197&lt;=9,"Large")</f>
        <v>Medium</v>
      </c>
      <c r="K1197" s="36">
        <v>45445</v>
      </c>
      <c r="L1197" s="36">
        <v>45446</v>
      </c>
      <c r="M1197" t="s">
        <v>612</v>
      </c>
      <c r="N1197" t="s">
        <v>604</v>
      </c>
      <c r="O1197" s="37" t="str">
        <f t="shared" si="93"/>
        <v>Digital Payment</v>
      </c>
      <c r="P1197">
        <v>410.36</v>
      </c>
      <c r="Q1197" s="37" t="str">
        <f>IF(P1197&gt;500,"High","low")</f>
        <v>low</v>
      </c>
      <c r="R1197" s="37" t="str">
        <f t="shared" si="94"/>
        <v>AVERAGE</v>
      </c>
      <c r="S1197" t="s">
        <v>615</v>
      </c>
    </row>
    <row r="1198" spans="1:19" x14ac:dyDescent="0.2">
      <c r="A1198" t="s">
        <v>1809</v>
      </c>
      <c r="B1198" t="s">
        <v>83</v>
      </c>
      <c r="C1198" t="s">
        <v>607</v>
      </c>
      <c r="D1198">
        <v>1629.48</v>
      </c>
      <c r="E1198" s="37" t="str">
        <f t="shared" si="90"/>
        <v xml:space="preserve"> </v>
      </c>
      <c r="F1198">
        <v>0.34</v>
      </c>
      <c r="G1198" s="37" t="str">
        <f t="shared" si="91"/>
        <v>Heavy Discount</v>
      </c>
      <c r="H1198" s="37" t="str">
        <f t="shared" si="92"/>
        <v>Medium</v>
      </c>
      <c r="I1198">
        <v>9</v>
      </c>
      <c r="J1198" t="str" cm="1">
        <f t="array" ref="J1198">_xlfn.IFS(I1198&lt;=3,"small",I1198&lt;=6,"Medium",I1198&lt;=9,"Large")</f>
        <v>Large</v>
      </c>
      <c r="K1198" s="36">
        <v>45364</v>
      </c>
      <c r="L1198" s="36">
        <v>45369</v>
      </c>
      <c r="M1198" t="s">
        <v>612</v>
      </c>
      <c r="N1198" t="s">
        <v>599</v>
      </c>
      <c r="O1198" s="37" t="str">
        <f t="shared" si="93"/>
        <v>Digital Payment</v>
      </c>
      <c r="P1198">
        <v>249.71</v>
      </c>
      <c r="Q1198" s="37" t="str">
        <f>IF(P1198&gt;500,"High","low")</f>
        <v>low</v>
      </c>
      <c r="R1198" s="37" t="str">
        <f t="shared" si="94"/>
        <v>AVERAGE</v>
      </c>
      <c r="S1198" t="s">
        <v>609</v>
      </c>
    </row>
    <row r="1199" spans="1:19" x14ac:dyDescent="0.2">
      <c r="A1199" t="s">
        <v>1810</v>
      </c>
      <c r="B1199" t="s">
        <v>90</v>
      </c>
      <c r="C1199" t="s">
        <v>602</v>
      </c>
      <c r="D1199">
        <v>1402.12</v>
      </c>
      <c r="E1199" s="37" t="str">
        <f t="shared" si="90"/>
        <v xml:space="preserve"> </v>
      </c>
      <c r="F1199">
        <v>0.03</v>
      </c>
      <c r="G1199" s="37" t="str">
        <f t="shared" si="91"/>
        <v>Normal Discount</v>
      </c>
      <c r="H1199" s="37" t="str">
        <f t="shared" si="92"/>
        <v>Low</v>
      </c>
      <c r="I1199">
        <v>2</v>
      </c>
      <c r="J1199" t="str" cm="1">
        <f t="array" ref="J1199">_xlfn.IFS(I1199&lt;=3,"small",I1199&lt;=6,"Medium",I1199&lt;=9,"Large")</f>
        <v>small</v>
      </c>
      <c r="K1199" s="36">
        <v>45657</v>
      </c>
      <c r="L1199" s="36">
        <v>45658</v>
      </c>
      <c r="M1199" t="s">
        <v>598</v>
      </c>
      <c r="N1199" t="s">
        <v>604</v>
      </c>
      <c r="O1199" s="37" t="str">
        <f t="shared" si="93"/>
        <v>Digital Payment</v>
      </c>
      <c r="P1199">
        <v>198.89</v>
      </c>
      <c r="Q1199" s="37" t="str">
        <f>IF(P1199&gt;500,"High","low")</f>
        <v>low</v>
      </c>
      <c r="R1199" s="37" t="str">
        <f t="shared" si="94"/>
        <v>AVERAGE</v>
      </c>
      <c r="S1199" t="s">
        <v>615</v>
      </c>
    </row>
    <row r="1200" spans="1:19" x14ac:dyDescent="0.2">
      <c r="A1200" t="s">
        <v>1811</v>
      </c>
      <c r="B1200" t="s">
        <v>90</v>
      </c>
      <c r="C1200" t="s">
        <v>597</v>
      </c>
      <c r="D1200">
        <v>389.86</v>
      </c>
      <c r="E1200" s="37" t="str">
        <f t="shared" si="90"/>
        <v xml:space="preserve"> </v>
      </c>
      <c r="F1200">
        <v>0.26</v>
      </c>
      <c r="G1200" s="37" t="str">
        <f t="shared" si="91"/>
        <v>Normal Discount</v>
      </c>
      <c r="H1200" s="37" t="str">
        <f t="shared" si="92"/>
        <v>Medium</v>
      </c>
      <c r="I1200">
        <v>9</v>
      </c>
      <c r="J1200" t="str" cm="1">
        <f t="array" ref="J1200">_xlfn.IFS(I1200&lt;=3,"small",I1200&lt;=6,"Medium",I1200&lt;=9,"Large")</f>
        <v>Large</v>
      </c>
      <c r="K1200" s="36">
        <v>45377</v>
      </c>
      <c r="L1200" s="36">
        <v>45384</v>
      </c>
      <c r="M1200" t="s">
        <v>612</v>
      </c>
      <c r="N1200" t="s">
        <v>604</v>
      </c>
      <c r="O1200" s="37" t="str">
        <f t="shared" si="93"/>
        <v>Digital Payment</v>
      </c>
      <c r="P1200">
        <v>67.77</v>
      </c>
      <c r="Q1200" s="37" t="str">
        <f>IF(P1200&gt;500,"High","low")</f>
        <v>low</v>
      </c>
      <c r="R1200" s="37" t="str">
        <f t="shared" si="94"/>
        <v>AVERAGE</v>
      </c>
      <c r="S1200" t="s">
        <v>605</v>
      </c>
    </row>
    <row r="1201" spans="1:19" x14ac:dyDescent="0.2">
      <c r="A1201" t="s">
        <v>1812</v>
      </c>
      <c r="B1201" t="s">
        <v>75</v>
      </c>
      <c r="C1201" t="s">
        <v>617</v>
      </c>
      <c r="D1201">
        <v>3855.77</v>
      </c>
      <c r="E1201" s="37" t="str">
        <f t="shared" si="90"/>
        <v xml:space="preserve"> </v>
      </c>
      <c r="F1201">
        <v>0.2</v>
      </c>
      <c r="G1201" s="37" t="str">
        <f t="shared" si="91"/>
        <v>Normal Discount</v>
      </c>
      <c r="H1201" s="37" t="str">
        <f t="shared" si="92"/>
        <v>Medium</v>
      </c>
      <c r="I1201">
        <v>9</v>
      </c>
      <c r="J1201" t="str" cm="1">
        <f t="array" ref="J1201">_xlfn.IFS(I1201&lt;=3,"small",I1201&lt;=6,"Medium",I1201&lt;=9,"Large")</f>
        <v>Large</v>
      </c>
      <c r="K1201" s="36">
        <v>45279</v>
      </c>
      <c r="L1201" s="36">
        <v>45280</v>
      </c>
      <c r="M1201" t="s">
        <v>612</v>
      </c>
      <c r="N1201" t="s">
        <v>608</v>
      </c>
      <c r="O1201" s="37" t="str">
        <f t="shared" si="93"/>
        <v>Cash Payment</v>
      </c>
      <c r="P1201">
        <v>224.41</v>
      </c>
      <c r="Q1201" s="37" t="str">
        <f>IF(P1201&gt;500,"High","low")</f>
        <v>low</v>
      </c>
      <c r="R1201" s="37" t="str">
        <f t="shared" si="94"/>
        <v>AVERAGE</v>
      </c>
      <c r="S1201" t="s">
        <v>620</v>
      </c>
    </row>
    <row r="1202" spans="1:19" x14ac:dyDescent="0.2">
      <c r="A1202" t="s">
        <v>1813</v>
      </c>
      <c r="B1202" t="s">
        <v>75</v>
      </c>
      <c r="C1202" t="s">
        <v>617</v>
      </c>
      <c r="D1202">
        <v>4425.09</v>
      </c>
      <c r="E1202" s="37" t="str">
        <f t="shared" si="90"/>
        <v xml:space="preserve"> </v>
      </c>
      <c r="F1202">
        <v>0.26</v>
      </c>
      <c r="G1202" s="37" t="str">
        <f t="shared" si="91"/>
        <v>Normal Discount</v>
      </c>
      <c r="H1202" s="37" t="str">
        <f t="shared" si="92"/>
        <v>Medium</v>
      </c>
      <c r="I1202">
        <v>1</v>
      </c>
      <c r="J1202" t="str" cm="1">
        <f t="array" ref="J1202">_xlfn.IFS(I1202&lt;=3,"small",I1202&lt;=6,"Medium",I1202&lt;=9,"Large")</f>
        <v>small</v>
      </c>
      <c r="K1202" s="36">
        <v>45066</v>
      </c>
      <c r="L1202" s="36">
        <v>45068</v>
      </c>
      <c r="M1202" t="s">
        <v>598</v>
      </c>
      <c r="N1202" t="s">
        <v>604</v>
      </c>
      <c r="O1202" s="37" t="str">
        <f t="shared" si="93"/>
        <v>Digital Payment</v>
      </c>
      <c r="P1202">
        <v>435.17</v>
      </c>
      <c r="Q1202" s="37" t="str">
        <f>IF(P1202&gt;500,"High","low")</f>
        <v>low</v>
      </c>
      <c r="R1202" s="37" t="str">
        <f t="shared" si="94"/>
        <v>AVERAGE</v>
      </c>
      <c r="S1202" t="s">
        <v>615</v>
      </c>
    </row>
    <row r="1203" spans="1:19" x14ac:dyDescent="0.2">
      <c r="A1203" t="s">
        <v>1814</v>
      </c>
      <c r="B1203" t="s">
        <v>83</v>
      </c>
      <c r="C1203" t="s">
        <v>617</v>
      </c>
      <c r="D1203">
        <v>4117.24</v>
      </c>
      <c r="E1203" s="37" t="str">
        <f t="shared" si="90"/>
        <v xml:space="preserve"> </v>
      </c>
      <c r="F1203">
        <v>0.43</v>
      </c>
      <c r="G1203" s="37" t="str">
        <f t="shared" si="91"/>
        <v>Heavy Discount</v>
      </c>
      <c r="H1203" s="37" t="str">
        <f t="shared" si="92"/>
        <v>High</v>
      </c>
      <c r="I1203">
        <v>6</v>
      </c>
      <c r="J1203" t="str" cm="1">
        <f t="array" ref="J1203">_xlfn.IFS(I1203&lt;=3,"small",I1203&lt;=6,"Medium",I1203&lt;=9,"Large")</f>
        <v>Medium</v>
      </c>
      <c r="K1203" s="36">
        <v>45240</v>
      </c>
      <c r="L1203" s="36">
        <v>45242</v>
      </c>
      <c r="M1203" t="s">
        <v>612</v>
      </c>
      <c r="N1203" t="s">
        <v>604</v>
      </c>
      <c r="O1203" s="37" t="str">
        <f t="shared" si="93"/>
        <v>Digital Payment</v>
      </c>
      <c r="P1203">
        <v>364.12</v>
      </c>
      <c r="Q1203" s="37" t="str">
        <f>IF(P1203&gt;500,"High","low")</f>
        <v>low</v>
      </c>
      <c r="R1203" s="37" t="str">
        <f t="shared" si="94"/>
        <v>AVERAGE</v>
      </c>
      <c r="S1203" t="s">
        <v>628</v>
      </c>
    </row>
    <row r="1204" spans="1:19" x14ac:dyDescent="0.2">
      <c r="A1204" t="s">
        <v>1815</v>
      </c>
      <c r="B1204" t="s">
        <v>67</v>
      </c>
      <c r="C1204" t="s">
        <v>614</v>
      </c>
      <c r="D1204">
        <v>2383.5700000000002</v>
      </c>
      <c r="E1204" s="37" t="str">
        <f t="shared" si="90"/>
        <v xml:space="preserve"> </v>
      </c>
      <c r="F1204">
        <v>0.02</v>
      </c>
      <c r="G1204" s="37" t="str">
        <f t="shared" si="91"/>
        <v>Normal Discount</v>
      </c>
      <c r="H1204" s="37" t="str">
        <f t="shared" si="92"/>
        <v>Low</v>
      </c>
      <c r="I1204">
        <v>6</v>
      </c>
      <c r="J1204" t="str" cm="1">
        <f t="array" ref="J1204">_xlfn.IFS(I1204&lt;=3,"small",I1204&lt;=6,"Medium",I1204&lt;=9,"Large")</f>
        <v>Medium</v>
      </c>
      <c r="K1204" s="36">
        <v>45393</v>
      </c>
      <c r="L1204" s="36">
        <v>45400</v>
      </c>
      <c r="M1204" t="s">
        <v>598</v>
      </c>
      <c r="N1204" t="s">
        <v>608</v>
      </c>
      <c r="O1204" s="37" t="str">
        <f t="shared" si="93"/>
        <v>Cash Payment</v>
      </c>
      <c r="P1204">
        <v>597.63</v>
      </c>
      <c r="Q1204" s="37" t="str">
        <f>IF(P1204&gt;500,"High","low")</f>
        <v>High</v>
      </c>
      <c r="R1204" s="37" t="str">
        <f t="shared" si="94"/>
        <v>Good</v>
      </c>
      <c r="S1204" t="s">
        <v>609</v>
      </c>
    </row>
    <row r="1205" spans="1:19" x14ac:dyDescent="0.2">
      <c r="A1205" t="s">
        <v>1816</v>
      </c>
      <c r="B1205" t="s">
        <v>83</v>
      </c>
      <c r="C1205" t="s">
        <v>607</v>
      </c>
      <c r="D1205">
        <v>2716.39</v>
      </c>
      <c r="E1205" s="37" t="str">
        <f t="shared" si="90"/>
        <v xml:space="preserve"> </v>
      </c>
      <c r="F1205">
        <v>0.38</v>
      </c>
      <c r="G1205" s="37" t="str">
        <f t="shared" si="91"/>
        <v>Heavy Discount</v>
      </c>
      <c r="H1205" s="37" t="str">
        <f t="shared" si="92"/>
        <v>Medium</v>
      </c>
      <c r="I1205">
        <v>9</v>
      </c>
      <c r="J1205" t="str" cm="1">
        <f t="array" ref="J1205">_xlfn.IFS(I1205&lt;=3,"small",I1205&lt;=6,"Medium",I1205&lt;=9,"Large")</f>
        <v>Large</v>
      </c>
      <c r="K1205" s="36">
        <v>45560</v>
      </c>
      <c r="L1205" s="36">
        <v>45566</v>
      </c>
      <c r="M1205" t="s">
        <v>598</v>
      </c>
      <c r="N1205" t="s">
        <v>599</v>
      </c>
      <c r="O1205" s="37" t="str">
        <f t="shared" si="93"/>
        <v>Digital Payment</v>
      </c>
      <c r="P1205">
        <v>513.02</v>
      </c>
      <c r="Q1205" s="37" t="str">
        <f>IF(P1205&gt;500,"High","low")</f>
        <v>High</v>
      </c>
      <c r="R1205" s="37" t="str">
        <f t="shared" si="94"/>
        <v>Good</v>
      </c>
      <c r="S1205" t="s">
        <v>600</v>
      </c>
    </row>
    <row r="1206" spans="1:19" x14ac:dyDescent="0.2">
      <c r="A1206" t="s">
        <v>1817</v>
      </c>
      <c r="B1206" t="s">
        <v>75</v>
      </c>
      <c r="C1206" t="s">
        <v>597</v>
      </c>
      <c r="D1206">
        <v>1287.1500000000001</v>
      </c>
      <c r="E1206" s="37" t="str">
        <f t="shared" si="90"/>
        <v xml:space="preserve"> </v>
      </c>
      <c r="F1206">
        <v>0.33</v>
      </c>
      <c r="G1206" s="37" t="str">
        <f t="shared" si="91"/>
        <v>Heavy Discount</v>
      </c>
      <c r="H1206" s="37" t="str">
        <f t="shared" si="92"/>
        <v>Medium</v>
      </c>
      <c r="I1206">
        <v>6</v>
      </c>
      <c r="J1206" t="str" cm="1">
        <f t="array" ref="J1206">_xlfn.IFS(I1206&lt;=3,"small",I1206&lt;=6,"Medium",I1206&lt;=9,"Large")</f>
        <v>Medium</v>
      </c>
      <c r="K1206" s="36">
        <v>45135</v>
      </c>
      <c r="L1206" s="36">
        <v>45138</v>
      </c>
      <c r="M1206" t="s">
        <v>598</v>
      </c>
      <c r="N1206" t="s">
        <v>599</v>
      </c>
      <c r="O1206" s="37" t="str">
        <f t="shared" si="93"/>
        <v>Digital Payment</v>
      </c>
      <c r="P1206">
        <v>309.12</v>
      </c>
      <c r="Q1206" s="37" t="str">
        <f>IF(P1206&gt;500,"High","low")</f>
        <v>low</v>
      </c>
      <c r="R1206" s="37" t="str">
        <f t="shared" si="94"/>
        <v>AVERAGE</v>
      </c>
      <c r="S1206" t="s">
        <v>620</v>
      </c>
    </row>
    <row r="1207" spans="1:19" x14ac:dyDescent="0.2">
      <c r="A1207" t="s">
        <v>1818</v>
      </c>
      <c r="B1207" t="s">
        <v>83</v>
      </c>
      <c r="C1207" t="s">
        <v>607</v>
      </c>
      <c r="D1207">
        <v>946.99</v>
      </c>
      <c r="E1207" s="37" t="str">
        <f t="shared" si="90"/>
        <v xml:space="preserve"> </v>
      </c>
      <c r="F1207">
        <v>0.1</v>
      </c>
      <c r="G1207" s="37" t="str">
        <f t="shared" si="91"/>
        <v>Normal Discount</v>
      </c>
      <c r="H1207" s="37" t="str">
        <f t="shared" si="92"/>
        <v>Low</v>
      </c>
      <c r="I1207">
        <v>2</v>
      </c>
      <c r="J1207" t="str" cm="1">
        <f t="array" ref="J1207">_xlfn.IFS(I1207&lt;=3,"small",I1207&lt;=6,"Medium",I1207&lt;=9,"Large")</f>
        <v>small</v>
      </c>
      <c r="K1207" s="36">
        <v>45008</v>
      </c>
      <c r="L1207" s="36">
        <v>45009</v>
      </c>
      <c r="M1207" t="s">
        <v>603</v>
      </c>
      <c r="N1207" t="s">
        <v>604</v>
      </c>
      <c r="O1207" s="37" t="str">
        <f t="shared" si="93"/>
        <v>Digital Payment</v>
      </c>
      <c r="P1207">
        <v>214.57</v>
      </c>
      <c r="Q1207" s="37" t="str">
        <f>IF(P1207&gt;500,"High","low")</f>
        <v>low</v>
      </c>
      <c r="R1207" s="37" t="str">
        <f t="shared" si="94"/>
        <v>AVERAGE</v>
      </c>
      <c r="S1207" t="s">
        <v>605</v>
      </c>
    </row>
    <row r="1208" spans="1:19" x14ac:dyDescent="0.2">
      <c r="A1208" t="s">
        <v>1819</v>
      </c>
      <c r="B1208" t="s">
        <v>75</v>
      </c>
      <c r="C1208" t="s">
        <v>614</v>
      </c>
      <c r="D1208">
        <v>4132.71</v>
      </c>
      <c r="E1208" s="37" t="str">
        <f t="shared" si="90"/>
        <v xml:space="preserve"> </v>
      </c>
      <c r="F1208">
        <v>0.37</v>
      </c>
      <c r="G1208" s="37" t="str">
        <f t="shared" si="91"/>
        <v>Heavy Discount</v>
      </c>
      <c r="H1208" s="37" t="str">
        <f t="shared" si="92"/>
        <v>Medium</v>
      </c>
      <c r="I1208">
        <v>8</v>
      </c>
      <c r="J1208" t="str" cm="1">
        <f t="array" ref="J1208">_xlfn.IFS(I1208&lt;=3,"small",I1208&lt;=6,"Medium",I1208&lt;=9,"Large")</f>
        <v>Large</v>
      </c>
      <c r="K1208" s="36">
        <v>45323</v>
      </c>
      <c r="L1208" s="36">
        <v>45327</v>
      </c>
      <c r="M1208" t="s">
        <v>598</v>
      </c>
      <c r="N1208" t="s">
        <v>608</v>
      </c>
      <c r="O1208" s="37" t="str">
        <f t="shared" si="93"/>
        <v>Cash Payment</v>
      </c>
      <c r="P1208">
        <v>483.11</v>
      </c>
      <c r="Q1208" s="37" t="str">
        <f>IF(P1208&gt;500,"High","low")</f>
        <v>low</v>
      </c>
      <c r="R1208" s="37" t="str">
        <f t="shared" si="94"/>
        <v>AVERAGE</v>
      </c>
      <c r="S1208" t="s">
        <v>620</v>
      </c>
    </row>
    <row r="1209" spans="1:19" x14ac:dyDescent="0.2">
      <c r="A1209" t="s">
        <v>1820</v>
      </c>
      <c r="B1209" t="s">
        <v>83</v>
      </c>
      <c r="C1209" t="s">
        <v>597</v>
      </c>
      <c r="D1209">
        <v>4011.89</v>
      </c>
      <c r="E1209" s="37" t="str">
        <f t="shared" si="90"/>
        <v xml:space="preserve"> </v>
      </c>
      <c r="F1209">
        <v>0.25</v>
      </c>
      <c r="G1209" s="37" t="str">
        <f t="shared" si="91"/>
        <v>Normal Discount</v>
      </c>
      <c r="H1209" s="37" t="str">
        <f t="shared" si="92"/>
        <v>Medium</v>
      </c>
      <c r="I1209">
        <v>1</v>
      </c>
      <c r="J1209" t="str" cm="1">
        <f t="array" ref="J1209">_xlfn.IFS(I1209&lt;=3,"small",I1209&lt;=6,"Medium",I1209&lt;=9,"Large")</f>
        <v>small</v>
      </c>
      <c r="K1209" s="36">
        <v>45022</v>
      </c>
      <c r="L1209" s="36">
        <v>45026</v>
      </c>
      <c r="M1209" t="s">
        <v>612</v>
      </c>
      <c r="N1209" t="s">
        <v>608</v>
      </c>
      <c r="O1209" s="37" t="str">
        <f t="shared" si="93"/>
        <v>Cash Payment</v>
      </c>
      <c r="P1209">
        <v>712.6</v>
      </c>
      <c r="Q1209" s="37" t="str">
        <f>IF(P1209&gt;500,"High","low")</f>
        <v>High</v>
      </c>
      <c r="R1209" s="37" t="str">
        <f t="shared" si="94"/>
        <v>Good</v>
      </c>
      <c r="S1209" t="s">
        <v>605</v>
      </c>
    </row>
    <row r="1210" spans="1:19" x14ac:dyDescent="0.2">
      <c r="A1210" t="s">
        <v>1821</v>
      </c>
      <c r="B1210" t="s">
        <v>75</v>
      </c>
      <c r="C1210" t="s">
        <v>597</v>
      </c>
      <c r="D1210">
        <v>3909.06</v>
      </c>
      <c r="E1210" s="37" t="str">
        <f t="shared" si="90"/>
        <v xml:space="preserve"> </v>
      </c>
      <c r="F1210">
        <v>0.24</v>
      </c>
      <c r="G1210" s="37" t="str">
        <f t="shared" si="91"/>
        <v>Normal Discount</v>
      </c>
      <c r="H1210" s="37" t="str">
        <f t="shared" si="92"/>
        <v>Medium</v>
      </c>
      <c r="I1210">
        <v>5</v>
      </c>
      <c r="J1210" t="str" cm="1">
        <f t="array" ref="J1210">_xlfn.IFS(I1210&lt;=3,"small",I1210&lt;=6,"Medium",I1210&lt;=9,"Large")</f>
        <v>Medium</v>
      </c>
      <c r="K1210" s="36">
        <v>45245</v>
      </c>
      <c r="L1210" s="36">
        <v>45252</v>
      </c>
      <c r="M1210" t="s">
        <v>603</v>
      </c>
      <c r="N1210" t="s">
        <v>608</v>
      </c>
      <c r="O1210" s="37" t="str">
        <f t="shared" si="93"/>
        <v>Cash Payment</v>
      </c>
      <c r="P1210">
        <v>337.19</v>
      </c>
      <c r="Q1210" s="37" t="str">
        <f>IF(P1210&gt;500,"High","low")</f>
        <v>low</v>
      </c>
      <c r="R1210" s="37" t="str">
        <f t="shared" si="94"/>
        <v>AVERAGE</v>
      </c>
      <c r="S1210" t="s">
        <v>600</v>
      </c>
    </row>
    <row r="1211" spans="1:19" x14ac:dyDescent="0.2">
      <c r="A1211" t="s">
        <v>1822</v>
      </c>
      <c r="B1211" t="s">
        <v>75</v>
      </c>
      <c r="C1211" t="s">
        <v>602</v>
      </c>
      <c r="D1211">
        <v>2370.46</v>
      </c>
      <c r="E1211" s="37" t="str">
        <f t="shared" si="90"/>
        <v xml:space="preserve"> </v>
      </c>
      <c r="F1211">
        <v>0.24</v>
      </c>
      <c r="G1211" s="37" t="str">
        <f t="shared" si="91"/>
        <v>Normal Discount</v>
      </c>
      <c r="H1211" s="37" t="str">
        <f t="shared" si="92"/>
        <v>Medium</v>
      </c>
      <c r="I1211">
        <v>3</v>
      </c>
      <c r="J1211" t="str" cm="1">
        <f t="array" ref="J1211">_xlfn.IFS(I1211&lt;=3,"small",I1211&lt;=6,"Medium",I1211&lt;=9,"Large")</f>
        <v>small</v>
      </c>
      <c r="K1211" s="36">
        <v>45315</v>
      </c>
      <c r="L1211" s="36">
        <v>45317</v>
      </c>
      <c r="M1211" t="s">
        <v>612</v>
      </c>
      <c r="N1211" t="s">
        <v>599</v>
      </c>
      <c r="O1211" s="37" t="str">
        <f t="shared" si="93"/>
        <v>Digital Payment</v>
      </c>
      <c r="P1211">
        <v>581.35</v>
      </c>
      <c r="Q1211" s="37" t="str">
        <f>IF(P1211&gt;500,"High","low")</f>
        <v>High</v>
      </c>
      <c r="R1211" s="37" t="str">
        <f t="shared" si="94"/>
        <v>Good</v>
      </c>
      <c r="S1211" t="s">
        <v>600</v>
      </c>
    </row>
    <row r="1212" spans="1:19" x14ac:dyDescent="0.2">
      <c r="A1212" t="s">
        <v>1823</v>
      </c>
      <c r="B1212" t="s">
        <v>75</v>
      </c>
      <c r="C1212" t="s">
        <v>607</v>
      </c>
      <c r="D1212">
        <v>4336.09</v>
      </c>
      <c r="E1212" s="37" t="str">
        <f t="shared" si="90"/>
        <v xml:space="preserve"> </v>
      </c>
      <c r="F1212">
        <v>0.47</v>
      </c>
      <c r="G1212" s="37" t="str">
        <f t="shared" si="91"/>
        <v>Heavy Discount</v>
      </c>
      <c r="H1212" s="37" t="str">
        <f t="shared" si="92"/>
        <v>High</v>
      </c>
      <c r="I1212">
        <v>6</v>
      </c>
      <c r="J1212" t="str" cm="1">
        <f t="array" ref="J1212">_xlfn.IFS(I1212&lt;=3,"small",I1212&lt;=6,"Medium",I1212&lt;=9,"Large")</f>
        <v>Medium</v>
      </c>
      <c r="K1212" s="36">
        <v>45591</v>
      </c>
      <c r="L1212" s="36">
        <v>45598</v>
      </c>
      <c r="M1212" t="s">
        <v>598</v>
      </c>
      <c r="N1212" t="s">
        <v>608</v>
      </c>
      <c r="O1212" s="37" t="str">
        <f t="shared" si="93"/>
        <v>Cash Payment</v>
      </c>
      <c r="P1212">
        <v>438.84</v>
      </c>
      <c r="Q1212" s="37" t="str">
        <f>IF(P1212&gt;500,"High","low")</f>
        <v>low</v>
      </c>
      <c r="R1212" s="37" t="str">
        <f t="shared" si="94"/>
        <v>AVERAGE</v>
      </c>
      <c r="S1212" t="s">
        <v>628</v>
      </c>
    </row>
    <row r="1213" spans="1:19" x14ac:dyDescent="0.2">
      <c r="A1213" t="s">
        <v>1824</v>
      </c>
      <c r="B1213" t="s">
        <v>67</v>
      </c>
      <c r="C1213" t="s">
        <v>607</v>
      </c>
      <c r="D1213">
        <v>4638.54</v>
      </c>
      <c r="E1213" s="37" t="str">
        <f t="shared" si="90"/>
        <v>Excellent Order</v>
      </c>
      <c r="F1213">
        <v>0.47</v>
      </c>
      <c r="G1213" s="37" t="str">
        <f t="shared" si="91"/>
        <v>Heavy Discount</v>
      </c>
      <c r="H1213" s="37" t="str">
        <f t="shared" si="92"/>
        <v>High</v>
      </c>
      <c r="I1213">
        <v>5</v>
      </c>
      <c r="J1213" t="str" cm="1">
        <f t="array" ref="J1213">_xlfn.IFS(I1213&lt;=3,"small",I1213&lt;=6,"Medium",I1213&lt;=9,"Large")</f>
        <v>Medium</v>
      </c>
      <c r="K1213" s="36">
        <v>45012</v>
      </c>
      <c r="L1213" s="36">
        <v>45018</v>
      </c>
      <c r="M1213" t="s">
        <v>603</v>
      </c>
      <c r="N1213" t="s">
        <v>608</v>
      </c>
      <c r="O1213" s="37" t="str">
        <f t="shared" si="93"/>
        <v>Cash Payment</v>
      </c>
      <c r="P1213">
        <v>1373.94</v>
      </c>
      <c r="Q1213" s="37" t="str">
        <f>IF(P1213&gt;500,"High","low")</f>
        <v>High</v>
      </c>
      <c r="R1213" s="37" t="str">
        <f t="shared" si="94"/>
        <v>Excellent</v>
      </c>
      <c r="S1213" t="s">
        <v>615</v>
      </c>
    </row>
    <row r="1214" spans="1:19" x14ac:dyDescent="0.2">
      <c r="A1214" t="s">
        <v>1825</v>
      </c>
      <c r="B1214" t="s">
        <v>83</v>
      </c>
      <c r="C1214" t="s">
        <v>602</v>
      </c>
      <c r="D1214">
        <v>1708.89</v>
      </c>
      <c r="E1214" s="37" t="str">
        <f t="shared" si="90"/>
        <v xml:space="preserve"> </v>
      </c>
      <c r="F1214">
        <v>0.46</v>
      </c>
      <c r="G1214" s="37" t="str">
        <f t="shared" si="91"/>
        <v>Heavy Discount</v>
      </c>
      <c r="H1214" s="37" t="str">
        <f t="shared" si="92"/>
        <v>High</v>
      </c>
      <c r="I1214">
        <v>4</v>
      </c>
      <c r="J1214" t="str" cm="1">
        <f t="array" ref="J1214">_xlfn.IFS(I1214&lt;=3,"small",I1214&lt;=6,"Medium",I1214&lt;=9,"Large")</f>
        <v>Medium</v>
      </c>
      <c r="K1214" s="36">
        <v>45297</v>
      </c>
      <c r="L1214" s="36">
        <v>45298</v>
      </c>
      <c r="M1214" t="s">
        <v>612</v>
      </c>
      <c r="N1214" t="s">
        <v>604</v>
      </c>
      <c r="O1214" s="37" t="str">
        <f t="shared" si="93"/>
        <v>Digital Payment</v>
      </c>
      <c r="P1214">
        <v>501.11</v>
      </c>
      <c r="Q1214" s="37" t="str">
        <f>IF(P1214&gt;500,"High","low")</f>
        <v>High</v>
      </c>
      <c r="R1214" s="37" t="str">
        <f t="shared" si="94"/>
        <v>Good</v>
      </c>
      <c r="S1214" t="s">
        <v>615</v>
      </c>
    </row>
    <row r="1215" spans="1:19" x14ac:dyDescent="0.2">
      <c r="A1215" t="s">
        <v>1826</v>
      </c>
      <c r="B1215" t="s">
        <v>83</v>
      </c>
      <c r="C1215" t="s">
        <v>617</v>
      </c>
      <c r="D1215">
        <v>1201</v>
      </c>
      <c r="E1215" s="37" t="str">
        <f t="shared" si="90"/>
        <v xml:space="preserve"> </v>
      </c>
      <c r="F1215">
        <v>0.44</v>
      </c>
      <c r="G1215" s="37" t="str">
        <f t="shared" si="91"/>
        <v>Heavy Discount</v>
      </c>
      <c r="H1215" s="37" t="str">
        <f t="shared" si="92"/>
        <v>High</v>
      </c>
      <c r="I1215">
        <v>3</v>
      </c>
      <c r="J1215" t="str" cm="1">
        <f t="array" ref="J1215">_xlfn.IFS(I1215&lt;=3,"small",I1215&lt;=6,"Medium",I1215&lt;=9,"Large")</f>
        <v>small</v>
      </c>
      <c r="K1215" s="36">
        <v>44998</v>
      </c>
      <c r="L1215" s="36">
        <v>45005</v>
      </c>
      <c r="M1215" t="s">
        <v>603</v>
      </c>
      <c r="N1215" t="s">
        <v>608</v>
      </c>
      <c r="O1215" s="37" t="str">
        <f t="shared" si="93"/>
        <v>Cash Payment</v>
      </c>
      <c r="P1215">
        <v>109.81</v>
      </c>
      <c r="Q1215" s="37" t="str">
        <f>IF(P1215&gt;500,"High","low")</f>
        <v>low</v>
      </c>
      <c r="R1215" s="37" t="str">
        <f t="shared" si="94"/>
        <v>AVERAGE</v>
      </c>
      <c r="S1215" t="s">
        <v>620</v>
      </c>
    </row>
    <row r="1216" spans="1:19" x14ac:dyDescent="0.2">
      <c r="A1216" t="s">
        <v>1827</v>
      </c>
      <c r="B1216" t="s">
        <v>83</v>
      </c>
      <c r="C1216" t="s">
        <v>614</v>
      </c>
      <c r="D1216">
        <v>2374.89</v>
      </c>
      <c r="E1216" s="37" t="str">
        <f t="shared" si="90"/>
        <v xml:space="preserve"> </v>
      </c>
      <c r="F1216">
        <v>0.02</v>
      </c>
      <c r="G1216" s="37" t="str">
        <f t="shared" si="91"/>
        <v>Normal Discount</v>
      </c>
      <c r="H1216" s="37" t="str">
        <f t="shared" si="92"/>
        <v>Low</v>
      </c>
      <c r="I1216">
        <v>1</v>
      </c>
      <c r="J1216" t="str" cm="1">
        <f t="array" ref="J1216">_xlfn.IFS(I1216&lt;=3,"small",I1216&lt;=6,"Medium",I1216&lt;=9,"Large")</f>
        <v>small</v>
      </c>
      <c r="K1216" s="36">
        <v>44978</v>
      </c>
      <c r="L1216" s="36">
        <v>44983</v>
      </c>
      <c r="M1216" t="s">
        <v>603</v>
      </c>
      <c r="N1216" t="s">
        <v>608</v>
      </c>
      <c r="O1216" s="37" t="str">
        <f t="shared" si="93"/>
        <v>Cash Payment</v>
      </c>
      <c r="P1216">
        <v>123.04</v>
      </c>
      <c r="Q1216" s="37" t="str">
        <f>IF(P1216&gt;500,"High","low")</f>
        <v>low</v>
      </c>
      <c r="R1216" s="37" t="str">
        <f t="shared" si="94"/>
        <v>AVERAGE</v>
      </c>
      <c r="S1216" t="s">
        <v>615</v>
      </c>
    </row>
    <row r="1217" spans="1:19" x14ac:dyDescent="0.2">
      <c r="A1217" t="s">
        <v>1828</v>
      </c>
      <c r="B1217" t="s">
        <v>75</v>
      </c>
      <c r="C1217" t="s">
        <v>607</v>
      </c>
      <c r="D1217">
        <v>978.7</v>
      </c>
      <c r="E1217" s="37" t="str">
        <f t="shared" si="90"/>
        <v xml:space="preserve"> </v>
      </c>
      <c r="F1217">
        <v>0.2</v>
      </c>
      <c r="G1217" s="37" t="str">
        <f t="shared" si="91"/>
        <v>Normal Discount</v>
      </c>
      <c r="H1217" s="37" t="str">
        <f t="shared" si="92"/>
        <v>Medium</v>
      </c>
      <c r="I1217">
        <v>8</v>
      </c>
      <c r="J1217" t="str" cm="1">
        <f t="array" ref="J1217">_xlfn.IFS(I1217&lt;=3,"small",I1217&lt;=6,"Medium",I1217&lt;=9,"Large")</f>
        <v>Large</v>
      </c>
      <c r="K1217" s="36">
        <v>45390</v>
      </c>
      <c r="L1217" s="36">
        <v>45396</v>
      </c>
      <c r="M1217" t="s">
        <v>598</v>
      </c>
      <c r="N1217" t="s">
        <v>604</v>
      </c>
      <c r="O1217" s="37" t="str">
        <f t="shared" si="93"/>
        <v>Digital Payment</v>
      </c>
      <c r="P1217">
        <v>77.569999999999993</v>
      </c>
      <c r="Q1217" s="37" t="str">
        <f>IF(P1217&gt;500,"High","low")</f>
        <v>low</v>
      </c>
      <c r="R1217" s="37" t="str">
        <f t="shared" si="94"/>
        <v>AVERAGE</v>
      </c>
      <c r="S1217" t="s">
        <v>615</v>
      </c>
    </row>
    <row r="1218" spans="1:19" x14ac:dyDescent="0.2">
      <c r="A1218" t="s">
        <v>1829</v>
      </c>
      <c r="B1218" t="s">
        <v>83</v>
      </c>
      <c r="C1218" t="s">
        <v>602</v>
      </c>
      <c r="D1218">
        <v>4431.6099999999997</v>
      </c>
      <c r="E1218" s="37" t="str">
        <f t="shared" si="90"/>
        <v xml:space="preserve"> </v>
      </c>
      <c r="F1218">
        <v>0.45</v>
      </c>
      <c r="G1218" s="37" t="str">
        <f t="shared" si="91"/>
        <v>Heavy Discount</v>
      </c>
      <c r="H1218" s="37" t="str">
        <f t="shared" si="92"/>
        <v>High</v>
      </c>
      <c r="I1218">
        <v>5</v>
      </c>
      <c r="J1218" t="str" cm="1">
        <f t="array" ref="J1218">_xlfn.IFS(I1218&lt;=3,"small",I1218&lt;=6,"Medium",I1218&lt;=9,"Large")</f>
        <v>Medium</v>
      </c>
      <c r="K1218" s="36">
        <v>45022</v>
      </c>
      <c r="L1218" s="36">
        <v>45024</v>
      </c>
      <c r="M1218" t="s">
        <v>603</v>
      </c>
      <c r="N1218" t="s">
        <v>599</v>
      </c>
      <c r="O1218" s="37" t="str">
        <f t="shared" si="93"/>
        <v>Digital Payment</v>
      </c>
      <c r="P1218">
        <v>674.37</v>
      </c>
      <c r="Q1218" s="37" t="str">
        <f>IF(P1218&gt;500,"High","low")</f>
        <v>High</v>
      </c>
      <c r="R1218" s="37" t="str">
        <f t="shared" si="94"/>
        <v>Good</v>
      </c>
      <c r="S1218" t="s">
        <v>600</v>
      </c>
    </row>
    <row r="1219" spans="1:19" x14ac:dyDescent="0.2">
      <c r="A1219" t="s">
        <v>1830</v>
      </c>
      <c r="B1219" t="s">
        <v>83</v>
      </c>
      <c r="C1219" t="s">
        <v>597</v>
      </c>
      <c r="D1219">
        <v>1756.15</v>
      </c>
      <c r="E1219" s="37" t="str">
        <f t="shared" ref="E1219:E1282" si="95">IF(AND(D1219&gt;4000,P1219&gt;800),"Excellent Order"," ")</f>
        <v xml:space="preserve"> </v>
      </c>
      <c r="F1219">
        <v>0.38</v>
      </c>
      <c r="G1219" s="37" t="str">
        <f t="shared" ref="G1219:G1282" si="96">IF(F1219&gt;30%,"Heavy Discount","Normal Discount")</f>
        <v>Heavy Discount</v>
      </c>
      <c r="H1219" s="37" t="str">
        <f t="shared" ref="H1219:H1282" si="97">IF(F1219&gt;0.4,"High",IF(F1219&gt;=0.2,"Medium","Low"))</f>
        <v>Medium</v>
      </c>
      <c r="I1219">
        <v>8</v>
      </c>
      <c r="J1219" t="str" cm="1">
        <f t="array" ref="J1219">_xlfn.IFS(I1219&lt;=3,"small",I1219&lt;=6,"Medium",I1219&lt;=9,"Large")</f>
        <v>Large</v>
      </c>
      <c r="K1219" s="36">
        <v>45187</v>
      </c>
      <c r="L1219" s="36">
        <v>45189</v>
      </c>
      <c r="M1219" t="s">
        <v>612</v>
      </c>
      <c r="N1219" t="s">
        <v>608</v>
      </c>
      <c r="O1219" s="37" t="str">
        <f t="shared" ref="O1219:O1282" si="98">IF(OR(N1219="Card",N1219="UPI"),"Digital Payment","Cash Payment")</f>
        <v>Cash Payment</v>
      </c>
      <c r="P1219">
        <v>430.14</v>
      </c>
      <c r="Q1219" s="37" t="str">
        <f>IF(P1219&gt;500,"High","low")</f>
        <v>low</v>
      </c>
      <c r="R1219" s="37" t="str">
        <f t="shared" ref="R1219:R1282" si="99">IF(P1219&gt;1000,"Excellent",IF(P1219&gt;=500,"Good","AVERAGE"))</f>
        <v>AVERAGE</v>
      </c>
      <c r="S1219" t="s">
        <v>600</v>
      </c>
    </row>
    <row r="1220" spans="1:19" x14ac:dyDescent="0.2">
      <c r="A1220" t="s">
        <v>1831</v>
      </c>
      <c r="B1220" t="s">
        <v>75</v>
      </c>
      <c r="C1220" t="s">
        <v>602</v>
      </c>
      <c r="D1220">
        <v>2923.24</v>
      </c>
      <c r="E1220" s="37" t="str">
        <f t="shared" si="95"/>
        <v xml:space="preserve"> </v>
      </c>
      <c r="F1220">
        <v>0.23</v>
      </c>
      <c r="G1220" s="37" t="str">
        <f t="shared" si="96"/>
        <v>Normal Discount</v>
      </c>
      <c r="H1220" s="37" t="str">
        <f t="shared" si="97"/>
        <v>Medium</v>
      </c>
      <c r="I1220">
        <v>9</v>
      </c>
      <c r="J1220" t="str" cm="1">
        <f t="array" ref="J1220">_xlfn.IFS(I1220&lt;=3,"small",I1220&lt;=6,"Medium",I1220&lt;=9,"Large")</f>
        <v>Large</v>
      </c>
      <c r="K1220" s="36">
        <v>45262</v>
      </c>
      <c r="L1220" s="36">
        <v>45268</v>
      </c>
      <c r="M1220" t="s">
        <v>603</v>
      </c>
      <c r="N1220" t="s">
        <v>608</v>
      </c>
      <c r="O1220" s="37" t="str">
        <f t="shared" si="98"/>
        <v>Cash Payment</v>
      </c>
      <c r="P1220">
        <v>764.41</v>
      </c>
      <c r="Q1220" s="37" t="str">
        <f>IF(P1220&gt;500,"High","low")</f>
        <v>High</v>
      </c>
      <c r="R1220" s="37" t="str">
        <f t="shared" si="99"/>
        <v>Good</v>
      </c>
      <c r="S1220" t="s">
        <v>600</v>
      </c>
    </row>
    <row r="1221" spans="1:19" x14ac:dyDescent="0.2">
      <c r="A1221" t="s">
        <v>1832</v>
      </c>
      <c r="B1221" t="s">
        <v>90</v>
      </c>
      <c r="C1221" t="s">
        <v>617</v>
      </c>
      <c r="D1221">
        <v>3014.13</v>
      </c>
      <c r="E1221" s="37" t="str">
        <f t="shared" si="95"/>
        <v xml:space="preserve"> </v>
      </c>
      <c r="F1221">
        <v>0.39</v>
      </c>
      <c r="G1221" s="37" t="str">
        <f t="shared" si="96"/>
        <v>Heavy Discount</v>
      </c>
      <c r="H1221" s="37" t="str">
        <f t="shared" si="97"/>
        <v>Medium</v>
      </c>
      <c r="I1221">
        <v>8</v>
      </c>
      <c r="J1221" t="str" cm="1">
        <f t="array" ref="J1221">_xlfn.IFS(I1221&lt;=3,"small",I1221&lt;=6,"Medium",I1221&lt;=9,"Large")</f>
        <v>Large</v>
      </c>
      <c r="K1221" s="36">
        <v>44940</v>
      </c>
      <c r="L1221" s="36">
        <v>44944</v>
      </c>
      <c r="M1221" t="s">
        <v>603</v>
      </c>
      <c r="N1221" t="s">
        <v>599</v>
      </c>
      <c r="O1221" s="37" t="str">
        <f t="shared" si="98"/>
        <v>Digital Payment</v>
      </c>
      <c r="P1221">
        <v>514.28</v>
      </c>
      <c r="Q1221" s="37" t="str">
        <f>IF(P1221&gt;500,"High","low")</f>
        <v>High</v>
      </c>
      <c r="R1221" s="37" t="str">
        <f t="shared" si="99"/>
        <v>Good</v>
      </c>
      <c r="S1221" t="s">
        <v>600</v>
      </c>
    </row>
    <row r="1222" spans="1:19" x14ac:dyDescent="0.2">
      <c r="A1222" t="s">
        <v>1833</v>
      </c>
      <c r="B1222" t="s">
        <v>75</v>
      </c>
      <c r="C1222" t="s">
        <v>614</v>
      </c>
      <c r="D1222">
        <v>2623.44</v>
      </c>
      <c r="E1222" s="37" t="str">
        <f t="shared" si="95"/>
        <v xml:space="preserve"> </v>
      </c>
      <c r="F1222">
        <v>0.1</v>
      </c>
      <c r="G1222" s="37" t="str">
        <f t="shared" si="96"/>
        <v>Normal Discount</v>
      </c>
      <c r="H1222" s="37" t="str">
        <f t="shared" si="97"/>
        <v>Low</v>
      </c>
      <c r="I1222">
        <v>6</v>
      </c>
      <c r="J1222" t="str" cm="1">
        <f t="array" ref="J1222">_xlfn.IFS(I1222&lt;=3,"small",I1222&lt;=6,"Medium",I1222&lt;=9,"Large")</f>
        <v>Medium</v>
      </c>
      <c r="K1222" s="36">
        <v>45643</v>
      </c>
      <c r="L1222" s="36">
        <v>45649</v>
      </c>
      <c r="M1222" t="s">
        <v>598</v>
      </c>
      <c r="N1222" t="s">
        <v>604</v>
      </c>
      <c r="O1222" s="37" t="str">
        <f t="shared" si="98"/>
        <v>Digital Payment</v>
      </c>
      <c r="P1222">
        <v>703.18</v>
      </c>
      <c r="Q1222" s="37" t="str">
        <f>IF(P1222&gt;500,"High","low")</f>
        <v>High</v>
      </c>
      <c r="R1222" s="37" t="str">
        <f t="shared" si="99"/>
        <v>Good</v>
      </c>
      <c r="S1222" t="s">
        <v>615</v>
      </c>
    </row>
    <row r="1223" spans="1:19" x14ac:dyDescent="0.2">
      <c r="A1223" t="s">
        <v>1834</v>
      </c>
      <c r="B1223" t="s">
        <v>83</v>
      </c>
      <c r="C1223" t="s">
        <v>617</v>
      </c>
      <c r="D1223">
        <v>866.98</v>
      </c>
      <c r="E1223" s="37" t="str">
        <f t="shared" si="95"/>
        <v xml:space="preserve"> </v>
      </c>
      <c r="F1223">
        <v>0.3</v>
      </c>
      <c r="G1223" s="37" t="str">
        <f t="shared" si="96"/>
        <v>Normal Discount</v>
      </c>
      <c r="H1223" s="37" t="str">
        <f t="shared" si="97"/>
        <v>Medium</v>
      </c>
      <c r="I1223">
        <v>8</v>
      </c>
      <c r="J1223" t="str" cm="1">
        <f t="array" ref="J1223">_xlfn.IFS(I1223&lt;=3,"small",I1223&lt;=6,"Medium",I1223&lt;=9,"Large")</f>
        <v>Large</v>
      </c>
      <c r="K1223" s="36">
        <v>45397</v>
      </c>
      <c r="L1223" s="36">
        <v>45403</v>
      </c>
      <c r="M1223" t="s">
        <v>598</v>
      </c>
      <c r="N1223" t="s">
        <v>608</v>
      </c>
      <c r="O1223" s="37" t="str">
        <f t="shared" si="98"/>
        <v>Cash Payment</v>
      </c>
      <c r="P1223">
        <v>235.02</v>
      </c>
      <c r="Q1223" s="37" t="str">
        <f>IF(P1223&gt;500,"High","low")</f>
        <v>low</v>
      </c>
      <c r="R1223" s="37" t="str">
        <f t="shared" si="99"/>
        <v>AVERAGE</v>
      </c>
      <c r="S1223" t="s">
        <v>605</v>
      </c>
    </row>
    <row r="1224" spans="1:19" x14ac:dyDescent="0.2">
      <c r="A1224" t="s">
        <v>1835</v>
      </c>
      <c r="B1224" t="s">
        <v>75</v>
      </c>
      <c r="C1224" t="s">
        <v>597</v>
      </c>
      <c r="D1224">
        <v>4955.8999999999996</v>
      </c>
      <c r="E1224" s="37" t="str">
        <f t="shared" si="95"/>
        <v>Excellent Order</v>
      </c>
      <c r="F1224">
        <v>0.27</v>
      </c>
      <c r="G1224" s="37" t="str">
        <f t="shared" si="96"/>
        <v>Normal Discount</v>
      </c>
      <c r="H1224" s="37" t="str">
        <f t="shared" si="97"/>
        <v>Medium</v>
      </c>
      <c r="I1224">
        <v>5</v>
      </c>
      <c r="J1224" t="str" cm="1">
        <f t="array" ref="J1224">_xlfn.IFS(I1224&lt;=3,"small",I1224&lt;=6,"Medium",I1224&lt;=9,"Large")</f>
        <v>Medium</v>
      </c>
      <c r="K1224" s="36">
        <v>45490</v>
      </c>
      <c r="L1224" s="36">
        <v>45495</v>
      </c>
      <c r="M1224" t="s">
        <v>598</v>
      </c>
      <c r="N1224" t="s">
        <v>604</v>
      </c>
      <c r="O1224" s="37" t="str">
        <f t="shared" si="98"/>
        <v>Digital Payment</v>
      </c>
      <c r="P1224">
        <v>995.54</v>
      </c>
      <c r="Q1224" s="37" t="str">
        <f>IF(P1224&gt;500,"High","low")</f>
        <v>High</v>
      </c>
      <c r="R1224" s="37" t="str">
        <f t="shared" si="99"/>
        <v>Good</v>
      </c>
      <c r="S1224" t="s">
        <v>605</v>
      </c>
    </row>
    <row r="1225" spans="1:19" x14ac:dyDescent="0.2">
      <c r="A1225" t="s">
        <v>1836</v>
      </c>
      <c r="B1225" t="s">
        <v>90</v>
      </c>
      <c r="C1225" t="s">
        <v>597</v>
      </c>
      <c r="D1225">
        <v>945.76</v>
      </c>
      <c r="E1225" s="37" t="str">
        <f t="shared" si="95"/>
        <v xml:space="preserve"> </v>
      </c>
      <c r="F1225">
        <v>0.28999999999999998</v>
      </c>
      <c r="G1225" s="37" t="str">
        <f t="shared" si="96"/>
        <v>Normal Discount</v>
      </c>
      <c r="H1225" s="37" t="str">
        <f t="shared" si="97"/>
        <v>Medium</v>
      </c>
      <c r="I1225">
        <v>9</v>
      </c>
      <c r="J1225" t="str" cm="1">
        <f t="array" ref="J1225">_xlfn.IFS(I1225&lt;=3,"small",I1225&lt;=6,"Medium",I1225&lt;=9,"Large")</f>
        <v>Large</v>
      </c>
      <c r="K1225" s="36">
        <v>45207</v>
      </c>
      <c r="L1225" s="36">
        <v>45212</v>
      </c>
      <c r="M1225" t="s">
        <v>598</v>
      </c>
      <c r="N1225" t="s">
        <v>608</v>
      </c>
      <c r="O1225" s="37" t="str">
        <f t="shared" si="98"/>
        <v>Cash Payment</v>
      </c>
      <c r="P1225">
        <v>128.34</v>
      </c>
      <c r="Q1225" s="37" t="str">
        <f>IF(P1225&gt;500,"High","low")</f>
        <v>low</v>
      </c>
      <c r="R1225" s="37" t="str">
        <f t="shared" si="99"/>
        <v>AVERAGE</v>
      </c>
      <c r="S1225" t="s">
        <v>600</v>
      </c>
    </row>
    <row r="1226" spans="1:19" x14ac:dyDescent="0.2">
      <c r="A1226" t="s">
        <v>1837</v>
      </c>
      <c r="B1226" t="s">
        <v>75</v>
      </c>
      <c r="C1226" t="s">
        <v>597</v>
      </c>
      <c r="D1226">
        <v>3782.39</v>
      </c>
      <c r="E1226" s="37" t="str">
        <f t="shared" si="95"/>
        <v xml:space="preserve"> </v>
      </c>
      <c r="F1226">
        <v>0.36</v>
      </c>
      <c r="G1226" s="37" t="str">
        <f t="shared" si="96"/>
        <v>Heavy Discount</v>
      </c>
      <c r="H1226" s="37" t="str">
        <f t="shared" si="97"/>
        <v>Medium</v>
      </c>
      <c r="I1226">
        <v>6</v>
      </c>
      <c r="J1226" t="str" cm="1">
        <f t="array" ref="J1226">_xlfn.IFS(I1226&lt;=3,"small",I1226&lt;=6,"Medium",I1226&lt;=9,"Large")</f>
        <v>Medium</v>
      </c>
      <c r="K1226" s="36">
        <v>45145</v>
      </c>
      <c r="L1226" s="36">
        <v>45149</v>
      </c>
      <c r="M1226" t="s">
        <v>598</v>
      </c>
      <c r="N1226" t="s">
        <v>608</v>
      </c>
      <c r="O1226" s="37" t="str">
        <f t="shared" si="98"/>
        <v>Cash Payment</v>
      </c>
      <c r="P1226">
        <v>893.45</v>
      </c>
      <c r="Q1226" s="37" t="str">
        <f>IF(P1226&gt;500,"High","low")</f>
        <v>High</v>
      </c>
      <c r="R1226" s="37" t="str">
        <f t="shared" si="99"/>
        <v>Good</v>
      </c>
      <c r="S1226" t="s">
        <v>600</v>
      </c>
    </row>
    <row r="1227" spans="1:19" x14ac:dyDescent="0.2">
      <c r="A1227" t="s">
        <v>1838</v>
      </c>
      <c r="B1227" t="s">
        <v>83</v>
      </c>
      <c r="C1227" t="s">
        <v>597</v>
      </c>
      <c r="D1227">
        <v>3977.68</v>
      </c>
      <c r="E1227" s="37" t="str">
        <f t="shared" si="95"/>
        <v xml:space="preserve"> </v>
      </c>
      <c r="F1227">
        <v>0.47</v>
      </c>
      <c r="G1227" s="37" t="str">
        <f t="shared" si="96"/>
        <v>Heavy Discount</v>
      </c>
      <c r="H1227" s="37" t="str">
        <f t="shared" si="97"/>
        <v>High</v>
      </c>
      <c r="I1227">
        <v>2</v>
      </c>
      <c r="J1227" t="str" cm="1">
        <f t="array" ref="J1227">_xlfn.IFS(I1227&lt;=3,"small",I1227&lt;=6,"Medium",I1227&lt;=9,"Large")</f>
        <v>small</v>
      </c>
      <c r="K1227" s="36">
        <v>44998</v>
      </c>
      <c r="L1227" s="36">
        <v>45002</v>
      </c>
      <c r="M1227" t="s">
        <v>603</v>
      </c>
      <c r="N1227" t="s">
        <v>604</v>
      </c>
      <c r="O1227" s="37" t="str">
        <f t="shared" si="98"/>
        <v>Digital Payment</v>
      </c>
      <c r="P1227">
        <v>865.51</v>
      </c>
      <c r="Q1227" s="37" t="str">
        <f>IF(P1227&gt;500,"High","low")</f>
        <v>High</v>
      </c>
      <c r="R1227" s="37" t="str">
        <f t="shared" si="99"/>
        <v>Good</v>
      </c>
      <c r="S1227" t="s">
        <v>605</v>
      </c>
    </row>
    <row r="1228" spans="1:19" x14ac:dyDescent="0.2">
      <c r="A1228" t="s">
        <v>1839</v>
      </c>
      <c r="B1228" t="s">
        <v>90</v>
      </c>
      <c r="C1228" t="s">
        <v>602</v>
      </c>
      <c r="D1228">
        <v>811.3</v>
      </c>
      <c r="E1228" s="37" t="str">
        <f t="shared" si="95"/>
        <v xml:space="preserve"> </v>
      </c>
      <c r="F1228">
        <v>0.13</v>
      </c>
      <c r="G1228" s="37" t="str">
        <f t="shared" si="96"/>
        <v>Normal Discount</v>
      </c>
      <c r="H1228" s="37" t="str">
        <f t="shared" si="97"/>
        <v>Low</v>
      </c>
      <c r="I1228">
        <v>7</v>
      </c>
      <c r="J1228" t="str" cm="1">
        <f t="array" ref="J1228">_xlfn.IFS(I1228&lt;=3,"small",I1228&lt;=6,"Medium",I1228&lt;=9,"Large")</f>
        <v>Large</v>
      </c>
      <c r="K1228" s="36">
        <v>44982</v>
      </c>
      <c r="L1228" s="36">
        <v>44986</v>
      </c>
      <c r="M1228" t="s">
        <v>598</v>
      </c>
      <c r="N1228" t="s">
        <v>608</v>
      </c>
      <c r="O1228" s="37" t="str">
        <f t="shared" si="98"/>
        <v>Cash Payment</v>
      </c>
      <c r="P1228">
        <v>135.46</v>
      </c>
      <c r="Q1228" s="37" t="str">
        <f>IF(P1228&gt;500,"High","low")</f>
        <v>low</v>
      </c>
      <c r="R1228" s="37" t="str">
        <f t="shared" si="99"/>
        <v>AVERAGE</v>
      </c>
      <c r="S1228" t="s">
        <v>609</v>
      </c>
    </row>
    <row r="1229" spans="1:19" x14ac:dyDescent="0.2">
      <c r="A1229" t="s">
        <v>1840</v>
      </c>
      <c r="B1229" t="s">
        <v>67</v>
      </c>
      <c r="C1229" t="s">
        <v>597</v>
      </c>
      <c r="D1229">
        <v>4672.5</v>
      </c>
      <c r="E1229" s="37" t="str">
        <f t="shared" si="95"/>
        <v>Excellent Order</v>
      </c>
      <c r="F1229">
        <v>0.38</v>
      </c>
      <c r="G1229" s="37" t="str">
        <f t="shared" si="96"/>
        <v>Heavy Discount</v>
      </c>
      <c r="H1229" s="37" t="str">
        <f t="shared" si="97"/>
        <v>Medium</v>
      </c>
      <c r="I1229">
        <v>1</v>
      </c>
      <c r="J1229" t="str" cm="1">
        <f t="array" ref="J1229">_xlfn.IFS(I1229&lt;=3,"small",I1229&lt;=6,"Medium",I1229&lt;=9,"Large")</f>
        <v>small</v>
      </c>
      <c r="K1229" s="36">
        <v>45136</v>
      </c>
      <c r="L1229" s="36">
        <v>45141</v>
      </c>
      <c r="M1229" t="s">
        <v>603</v>
      </c>
      <c r="N1229" t="s">
        <v>608</v>
      </c>
      <c r="O1229" s="37" t="str">
        <f t="shared" si="98"/>
        <v>Cash Payment</v>
      </c>
      <c r="P1229">
        <v>1133.1300000000001</v>
      </c>
      <c r="Q1229" s="37" t="str">
        <f>IF(P1229&gt;500,"High","low")</f>
        <v>High</v>
      </c>
      <c r="R1229" s="37" t="str">
        <f t="shared" si="99"/>
        <v>Excellent</v>
      </c>
      <c r="S1229" t="s">
        <v>605</v>
      </c>
    </row>
    <row r="1230" spans="1:19" x14ac:dyDescent="0.2">
      <c r="A1230" t="s">
        <v>1841</v>
      </c>
      <c r="B1230" t="s">
        <v>83</v>
      </c>
      <c r="C1230" t="s">
        <v>597</v>
      </c>
      <c r="D1230">
        <v>2490.02</v>
      </c>
      <c r="E1230" s="37" t="str">
        <f t="shared" si="95"/>
        <v xml:space="preserve"> </v>
      </c>
      <c r="F1230">
        <v>0.32</v>
      </c>
      <c r="G1230" s="37" t="str">
        <f t="shared" si="96"/>
        <v>Heavy Discount</v>
      </c>
      <c r="H1230" s="37" t="str">
        <f t="shared" si="97"/>
        <v>Medium</v>
      </c>
      <c r="I1230">
        <v>1</v>
      </c>
      <c r="J1230" t="str" cm="1">
        <f t="array" ref="J1230">_xlfn.IFS(I1230&lt;=3,"small",I1230&lt;=6,"Medium",I1230&lt;=9,"Large")</f>
        <v>small</v>
      </c>
      <c r="K1230" s="36">
        <v>45219</v>
      </c>
      <c r="L1230" s="36">
        <v>45224</v>
      </c>
      <c r="M1230" t="s">
        <v>598</v>
      </c>
      <c r="N1230" t="s">
        <v>599</v>
      </c>
      <c r="O1230" s="37" t="str">
        <f t="shared" si="98"/>
        <v>Digital Payment</v>
      </c>
      <c r="P1230">
        <v>633.96</v>
      </c>
      <c r="Q1230" s="37" t="str">
        <f>IF(P1230&gt;500,"High","low")</f>
        <v>High</v>
      </c>
      <c r="R1230" s="37" t="str">
        <f t="shared" si="99"/>
        <v>Good</v>
      </c>
      <c r="S1230" t="s">
        <v>605</v>
      </c>
    </row>
    <row r="1231" spans="1:19" x14ac:dyDescent="0.2">
      <c r="A1231" t="s">
        <v>1842</v>
      </c>
      <c r="B1231" t="s">
        <v>90</v>
      </c>
      <c r="C1231" t="s">
        <v>602</v>
      </c>
      <c r="D1231">
        <v>3181.53</v>
      </c>
      <c r="E1231" s="37" t="str">
        <f t="shared" si="95"/>
        <v xml:space="preserve"> </v>
      </c>
      <c r="F1231">
        <v>0.35</v>
      </c>
      <c r="G1231" s="37" t="str">
        <f t="shared" si="96"/>
        <v>Heavy Discount</v>
      </c>
      <c r="H1231" s="37" t="str">
        <f t="shared" si="97"/>
        <v>Medium</v>
      </c>
      <c r="I1231">
        <v>8</v>
      </c>
      <c r="J1231" t="str" cm="1">
        <f t="array" ref="J1231">_xlfn.IFS(I1231&lt;=3,"small",I1231&lt;=6,"Medium",I1231&lt;=9,"Large")</f>
        <v>Large</v>
      </c>
      <c r="K1231" s="36">
        <v>45636</v>
      </c>
      <c r="L1231" s="36">
        <v>45643</v>
      </c>
      <c r="M1231" t="s">
        <v>598</v>
      </c>
      <c r="N1231" t="s">
        <v>599</v>
      </c>
      <c r="O1231" s="37" t="str">
        <f t="shared" si="98"/>
        <v>Digital Payment</v>
      </c>
      <c r="P1231">
        <v>675.95</v>
      </c>
      <c r="Q1231" s="37" t="str">
        <f>IF(P1231&gt;500,"High","low")</f>
        <v>High</v>
      </c>
      <c r="R1231" s="37" t="str">
        <f t="shared" si="99"/>
        <v>Good</v>
      </c>
      <c r="S1231" t="s">
        <v>628</v>
      </c>
    </row>
    <row r="1232" spans="1:19" x14ac:dyDescent="0.2">
      <c r="A1232" t="s">
        <v>1843</v>
      </c>
      <c r="B1232" t="s">
        <v>90</v>
      </c>
      <c r="C1232" t="s">
        <v>597</v>
      </c>
      <c r="D1232">
        <v>3246.71</v>
      </c>
      <c r="E1232" s="37" t="str">
        <f t="shared" si="95"/>
        <v xml:space="preserve"> </v>
      </c>
      <c r="F1232">
        <v>0.21</v>
      </c>
      <c r="G1232" s="37" t="str">
        <f t="shared" si="96"/>
        <v>Normal Discount</v>
      </c>
      <c r="H1232" s="37" t="str">
        <f t="shared" si="97"/>
        <v>Medium</v>
      </c>
      <c r="I1232">
        <v>5</v>
      </c>
      <c r="J1232" t="str" cm="1">
        <f t="array" ref="J1232">_xlfn.IFS(I1232&lt;=3,"small",I1232&lt;=6,"Medium",I1232&lt;=9,"Large")</f>
        <v>Medium</v>
      </c>
      <c r="K1232" s="36">
        <v>45316</v>
      </c>
      <c r="L1232" s="36">
        <v>45318</v>
      </c>
      <c r="M1232" t="s">
        <v>612</v>
      </c>
      <c r="N1232" t="s">
        <v>608</v>
      </c>
      <c r="O1232" s="37" t="str">
        <f t="shared" si="98"/>
        <v>Cash Payment</v>
      </c>
      <c r="P1232">
        <v>175.01</v>
      </c>
      <c r="Q1232" s="37" t="str">
        <f>IF(P1232&gt;500,"High","low")</f>
        <v>low</v>
      </c>
      <c r="R1232" s="37" t="str">
        <f t="shared" si="99"/>
        <v>AVERAGE</v>
      </c>
      <c r="S1232" t="s">
        <v>605</v>
      </c>
    </row>
    <row r="1233" spans="1:19" x14ac:dyDescent="0.2">
      <c r="A1233" t="s">
        <v>1844</v>
      </c>
      <c r="B1233" t="s">
        <v>67</v>
      </c>
      <c r="C1233" t="s">
        <v>617</v>
      </c>
      <c r="D1233">
        <v>2574.2800000000002</v>
      </c>
      <c r="E1233" s="37" t="str">
        <f t="shared" si="95"/>
        <v xml:space="preserve"> </v>
      </c>
      <c r="F1233">
        <v>0.47</v>
      </c>
      <c r="G1233" s="37" t="str">
        <f t="shared" si="96"/>
        <v>Heavy Discount</v>
      </c>
      <c r="H1233" s="37" t="str">
        <f t="shared" si="97"/>
        <v>High</v>
      </c>
      <c r="I1233">
        <v>9</v>
      </c>
      <c r="J1233" t="str" cm="1">
        <f t="array" ref="J1233">_xlfn.IFS(I1233&lt;=3,"small",I1233&lt;=6,"Medium",I1233&lt;=9,"Large")</f>
        <v>Large</v>
      </c>
      <c r="K1233" s="36">
        <v>45335</v>
      </c>
      <c r="L1233" s="36">
        <v>45342</v>
      </c>
      <c r="M1233" t="s">
        <v>598</v>
      </c>
      <c r="N1233" t="s">
        <v>604</v>
      </c>
      <c r="O1233" s="37" t="str">
        <f t="shared" si="98"/>
        <v>Digital Payment</v>
      </c>
      <c r="P1233">
        <v>428.43</v>
      </c>
      <c r="Q1233" s="37" t="str">
        <f>IF(P1233&gt;500,"High","low")</f>
        <v>low</v>
      </c>
      <c r="R1233" s="37" t="str">
        <f t="shared" si="99"/>
        <v>AVERAGE</v>
      </c>
      <c r="S1233" t="s">
        <v>605</v>
      </c>
    </row>
    <row r="1234" spans="1:19" x14ac:dyDescent="0.2">
      <c r="A1234" t="s">
        <v>1845</v>
      </c>
      <c r="B1234" t="s">
        <v>75</v>
      </c>
      <c r="C1234" t="s">
        <v>617</v>
      </c>
      <c r="D1234">
        <v>795.91</v>
      </c>
      <c r="E1234" s="37" t="str">
        <f t="shared" si="95"/>
        <v xml:space="preserve"> </v>
      </c>
      <c r="F1234">
        <v>0.24</v>
      </c>
      <c r="G1234" s="37" t="str">
        <f t="shared" si="96"/>
        <v>Normal Discount</v>
      </c>
      <c r="H1234" s="37" t="str">
        <f t="shared" si="97"/>
        <v>Medium</v>
      </c>
      <c r="I1234">
        <v>6</v>
      </c>
      <c r="J1234" t="str" cm="1">
        <f t="array" ref="J1234">_xlfn.IFS(I1234&lt;=3,"small",I1234&lt;=6,"Medium",I1234&lt;=9,"Large")</f>
        <v>Medium</v>
      </c>
      <c r="K1234" s="36">
        <v>45330</v>
      </c>
      <c r="L1234" s="36">
        <v>45333</v>
      </c>
      <c r="M1234" t="s">
        <v>598</v>
      </c>
      <c r="N1234" t="s">
        <v>608</v>
      </c>
      <c r="O1234" s="37" t="str">
        <f t="shared" si="98"/>
        <v>Cash Payment</v>
      </c>
      <c r="P1234">
        <v>126.68</v>
      </c>
      <c r="Q1234" s="37" t="str">
        <f>IF(P1234&gt;500,"High","low")</f>
        <v>low</v>
      </c>
      <c r="R1234" s="37" t="str">
        <f t="shared" si="99"/>
        <v>AVERAGE</v>
      </c>
      <c r="S1234" t="s">
        <v>609</v>
      </c>
    </row>
    <row r="1235" spans="1:19" x14ac:dyDescent="0.2">
      <c r="A1235" t="s">
        <v>1846</v>
      </c>
      <c r="B1235" t="s">
        <v>75</v>
      </c>
      <c r="C1235" t="s">
        <v>607</v>
      </c>
      <c r="D1235">
        <v>3783.59</v>
      </c>
      <c r="E1235" s="37" t="str">
        <f t="shared" si="95"/>
        <v xml:space="preserve"> </v>
      </c>
      <c r="F1235">
        <v>0.06</v>
      </c>
      <c r="G1235" s="37" t="str">
        <f t="shared" si="96"/>
        <v>Normal Discount</v>
      </c>
      <c r="H1235" s="37" t="str">
        <f t="shared" si="97"/>
        <v>Low</v>
      </c>
      <c r="I1235">
        <v>1</v>
      </c>
      <c r="J1235" t="str" cm="1">
        <f t="array" ref="J1235">_xlfn.IFS(I1235&lt;=3,"small",I1235&lt;=6,"Medium",I1235&lt;=9,"Large")</f>
        <v>small</v>
      </c>
      <c r="K1235" s="36">
        <v>45495</v>
      </c>
      <c r="L1235" s="36">
        <v>45497</v>
      </c>
      <c r="M1235" t="s">
        <v>603</v>
      </c>
      <c r="N1235" t="s">
        <v>608</v>
      </c>
      <c r="O1235" s="37" t="str">
        <f t="shared" si="98"/>
        <v>Cash Payment</v>
      </c>
      <c r="P1235">
        <v>1034.68</v>
      </c>
      <c r="Q1235" s="37" t="str">
        <f>IF(P1235&gt;500,"High","low")</f>
        <v>High</v>
      </c>
      <c r="R1235" s="37" t="str">
        <f t="shared" si="99"/>
        <v>Excellent</v>
      </c>
      <c r="S1235" t="s">
        <v>615</v>
      </c>
    </row>
    <row r="1236" spans="1:19" x14ac:dyDescent="0.2">
      <c r="A1236" t="s">
        <v>1847</v>
      </c>
      <c r="B1236" t="s">
        <v>83</v>
      </c>
      <c r="C1236" t="s">
        <v>617</v>
      </c>
      <c r="D1236">
        <v>2950.75</v>
      </c>
      <c r="E1236" s="37" t="str">
        <f t="shared" si="95"/>
        <v xml:space="preserve"> </v>
      </c>
      <c r="F1236">
        <v>0.34</v>
      </c>
      <c r="G1236" s="37" t="str">
        <f t="shared" si="96"/>
        <v>Heavy Discount</v>
      </c>
      <c r="H1236" s="37" t="str">
        <f t="shared" si="97"/>
        <v>Medium</v>
      </c>
      <c r="I1236">
        <v>6</v>
      </c>
      <c r="J1236" t="str" cm="1">
        <f t="array" ref="J1236">_xlfn.IFS(I1236&lt;=3,"small",I1236&lt;=6,"Medium",I1236&lt;=9,"Large")</f>
        <v>Medium</v>
      </c>
      <c r="K1236" s="36">
        <v>45107</v>
      </c>
      <c r="L1236" s="36">
        <v>45108</v>
      </c>
      <c r="M1236" t="s">
        <v>603</v>
      </c>
      <c r="N1236" t="s">
        <v>599</v>
      </c>
      <c r="O1236" s="37" t="str">
        <f t="shared" si="98"/>
        <v>Digital Payment</v>
      </c>
      <c r="P1236">
        <v>523.99</v>
      </c>
      <c r="Q1236" s="37" t="str">
        <f>IF(P1236&gt;500,"High","low")</f>
        <v>High</v>
      </c>
      <c r="R1236" s="37" t="str">
        <f t="shared" si="99"/>
        <v>Good</v>
      </c>
      <c r="S1236" t="s">
        <v>600</v>
      </c>
    </row>
    <row r="1237" spans="1:19" x14ac:dyDescent="0.2">
      <c r="A1237" t="s">
        <v>1848</v>
      </c>
      <c r="B1237" t="s">
        <v>67</v>
      </c>
      <c r="C1237" t="s">
        <v>614</v>
      </c>
      <c r="D1237">
        <v>681.54</v>
      </c>
      <c r="E1237" s="37" t="str">
        <f t="shared" si="95"/>
        <v xml:space="preserve"> </v>
      </c>
      <c r="F1237">
        <v>0.06</v>
      </c>
      <c r="G1237" s="37" t="str">
        <f t="shared" si="96"/>
        <v>Normal Discount</v>
      </c>
      <c r="H1237" s="37" t="str">
        <f t="shared" si="97"/>
        <v>Low</v>
      </c>
      <c r="I1237">
        <v>1</v>
      </c>
      <c r="J1237" t="str" cm="1">
        <f t="array" ref="J1237">_xlfn.IFS(I1237&lt;=3,"small",I1237&lt;=6,"Medium",I1237&lt;=9,"Large")</f>
        <v>small</v>
      </c>
      <c r="K1237" s="36">
        <v>45044</v>
      </c>
      <c r="L1237" s="36">
        <v>45051</v>
      </c>
      <c r="M1237" t="s">
        <v>598</v>
      </c>
      <c r="N1237" t="s">
        <v>608</v>
      </c>
      <c r="O1237" s="37" t="str">
        <f t="shared" si="98"/>
        <v>Cash Payment</v>
      </c>
      <c r="P1237">
        <v>97.95</v>
      </c>
      <c r="Q1237" s="37" t="str">
        <f>IF(P1237&gt;500,"High","low")</f>
        <v>low</v>
      </c>
      <c r="R1237" s="37" t="str">
        <f t="shared" si="99"/>
        <v>AVERAGE</v>
      </c>
      <c r="S1237" t="s">
        <v>615</v>
      </c>
    </row>
    <row r="1238" spans="1:19" x14ac:dyDescent="0.2">
      <c r="A1238" t="s">
        <v>1849</v>
      </c>
      <c r="B1238" t="s">
        <v>75</v>
      </c>
      <c r="C1238" t="s">
        <v>614</v>
      </c>
      <c r="D1238">
        <v>3531.58</v>
      </c>
      <c r="E1238" s="37" t="str">
        <f t="shared" si="95"/>
        <v xml:space="preserve"> </v>
      </c>
      <c r="F1238">
        <v>0.16</v>
      </c>
      <c r="G1238" s="37" t="str">
        <f t="shared" si="96"/>
        <v>Normal Discount</v>
      </c>
      <c r="H1238" s="37" t="str">
        <f t="shared" si="97"/>
        <v>Low</v>
      </c>
      <c r="I1238">
        <v>5</v>
      </c>
      <c r="J1238" t="str" cm="1">
        <f t="array" ref="J1238">_xlfn.IFS(I1238&lt;=3,"small",I1238&lt;=6,"Medium",I1238&lt;=9,"Large")</f>
        <v>Medium</v>
      </c>
      <c r="K1238" s="36">
        <v>45263</v>
      </c>
      <c r="L1238" s="36">
        <v>45269</v>
      </c>
      <c r="M1238" t="s">
        <v>598</v>
      </c>
      <c r="N1238" t="s">
        <v>604</v>
      </c>
      <c r="O1238" s="37" t="str">
        <f t="shared" si="98"/>
        <v>Digital Payment</v>
      </c>
      <c r="P1238">
        <v>452.78</v>
      </c>
      <c r="Q1238" s="37" t="str">
        <f>IF(P1238&gt;500,"High","low")</f>
        <v>low</v>
      </c>
      <c r="R1238" s="37" t="str">
        <f t="shared" si="99"/>
        <v>AVERAGE</v>
      </c>
      <c r="S1238" t="s">
        <v>620</v>
      </c>
    </row>
    <row r="1239" spans="1:19" x14ac:dyDescent="0.2">
      <c r="A1239" t="s">
        <v>1850</v>
      </c>
      <c r="B1239" t="s">
        <v>67</v>
      </c>
      <c r="C1239" t="s">
        <v>614</v>
      </c>
      <c r="D1239">
        <v>3543.54</v>
      </c>
      <c r="E1239" s="37" t="str">
        <f t="shared" si="95"/>
        <v xml:space="preserve"> </v>
      </c>
      <c r="F1239">
        <v>0.11</v>
      </c>
      <c r="G1239" s="37" t="str">
        <f t="shared" si="96"/>
        <v>Normal Discount</v>
      </c>
      <c r="H1239" s="37" t="str">
        <f t="shared" si="97"/>
        <v>Low</v>
      </c>
      <c r="I1239">
        <v>3</v>
      </c>
      <c r="J1239" t="str" cm="1">
        <f t="array" ref="J1239">_xlfn.IFS(I1239&lt;=3,"small",I1239&lt;=6,"Medium",I1239&lt;=9,"Large")</f>
        <v>small</v>
      </c>
      <c r="K1239" s="36">
        <v>45150</v>
      </c>
      <c r="L1239" s="36">
        <v>45156</v>
      </c>
      <c r="M1239" t="s">
        <v>612</v>
      </c>
      <c r="N1239" t="s">
        <v>599</v>
      </c>
      <c r="O1239" s="37" t="str">
        <f t="shared" si="98"/>
        <v>Digital Payment</v>
      </c>
      <c r="P1239">
        <v>705.64</v>
      </c>
      <c r="Q1239" s="37" t="str">
        <f>IF(P1239&gt;500,"High","low")</f>
        <v>High</v>
      </c>
      <c r="R1239" s="37" t="str">
        <f t="shared" si="99"/>
        <v>Good</v>
      </c>
      <c r="S1239" t="s">
        <v>615</v>
      </c>
    </row>
    <row r="1240" spans="1:19" x14ac:dyDescent="0.2">
      <c r="A1240" t="s">
        <v>1851</v>
      </c>
      <c r="B1240" t="s">
        <v>75</v>
      </c>
      <c r="C1240" t="s">
        <v>602</v>
      </c>
      <c r="D1240">
        <v>2787.58</v>
      </c>
      <c r="E1240" s="37" t="str">
        <f t="shared" si="95"/>
        <v xml:space="preserve"> </v>
      </c>
      <c r="F1240">
        <v>0.27</v>
      </c>
      <c r="G1240" s="37" t="str">
        <f t="shared" si="96"/>
        <v>Normal Discount</v>
      </c>
      <c r="H1240" s="37" t="str">
        <f t="shared" si="97"/>
        <v>Medium</v>
      </c>
      <c r="I1240">
        <v>9</v>
      </c>
      <c r="J1240" t="str" cm="1">
        <f t="array" ref="J1240">_xlfn.IFS(I1240&lt;=3,"small",I1240&lt;=6,"Medium",I1240&lt;=9,"Large")</f>
        <v>Large</v>
      </c>
      <c r="K1240" s="36">
        <v>45243</v>
      </c>
      <c r="L1240" s="36">
        <v>45246</v>
      </c>
      <c r="M1240" t="s">
        <v>612</v>
      </c>
      <c r="N1240" t="s">
        <v>599</v>
      </c>
      <c r="O1240" s="37" t="str">
        <f t="shared" si="98"/>
        <v>Digital Payment</v>
      </c>
      <c r="P1240">
        <v>189.02</v>
      </c>
      <c r="Q1240" s="37" t="str">
        <f>IF(P1240&gt;500,"High","low")</f>
        <v>low</v>
      </c>
      <c r="R1240" s="37" t="str">
        <f t="shared" si="99"/>
        <v>AVERAGE</v>
      </c>
      <c r="S1240" t="s">
        <v>609</v>
      </c>
    </row>
    <row r="1241" spans="1:19" x14ac:dyDescent="0.2">
      <c r="A1241" t="s">
        <v>1852</v>
      </c>
      <c r="B1241" t="s">
        <v>90</v>
      </c>
      <c r="C1241" t="s">
        <v>617</v>
      </c>
      <c r="D1241">
        <v>543.69000000000005</v>
      </c>
      <c r="E1241" s="37" t="str">
        <f t="shared" si="95"/>
        <v xml:space="preserve"> </v>
      </c>
      <c r="F1241">
        <v>0.17</v>
      </c>
      <c r="G1241" s="37" t="str">
        <f t="shared" si="96"/>
        <v>Normal Discount</v>
      </c>
      <c r="H1241" s="37" t="str">
        <f t="shared" si="97"/>
        <v>Low</v>
      </c>
      <c r="I1241">
        <v>1</v>
      </c>
      <c r="J1241" t="str" cm="1">
        <f t="array" ref="J1241">_xlfn.IFS(I1241&lt;=3,"small",I1241&lt;=6,"Medium",I1241&lt;=9,"Large")</f>
        <v>small</v>
      </c>
      <c r="K1241" s="36">
        <v>45262</v>
      </c>
      <c r="L1241" s="36">
        <v>45269</v>
      </c>
      <c r="M1241" t="s">
        <v>603</v>
      </c>
      <c r="N1241" t="s">
        <v>604</v>
      </c>
      <c r="O1241" s="37" t="str">
        <f t="shared" si="98"/>
        <v>Digital Payment</v>
      </c>
      <c r="P1241">
        <v>146.19</v>
      </c>
      <c r="Q1241" s="37" t="str">
        <f>IF(P1241&gt;500,"High","low")</f>
        <v>low</v>
      </c>
      <c r="R1241" s="37" t="str">
        <f t="shared" si="99"/>
        <v>AVERAGE</v>
      </c>
      <c r="S1241" t="s">
        <v>609</v>
      </c>
    </row>
    <row r="1242" spans="1:19" x14ac:dyDescent="0.2">
      <c r="A1242" t="s">
        <v>1853</v>
      </c>
      <c r="B1242" t="s">
        <v>75</v>
      </c>
      <c r="C1242" t="s">
        <v>614</v>
      </c>
      <c r="D1242">
        <v>1827.96</v>
      </c>
      <c r="E1242" s="37" t="str">
        <f t="shared" si="95"/>
        <v xml:space="preserve"> </v>
      </c>
      <c r="F1242">
        <v>0.08</v>
      </c>
      <c r="G1242" s="37" t="str">
        <f t="shared" si="96"/>
        <v>Normal Discount</v>
      </c>
      <c r="H1242" s="37" t="str">
        <f t="shared" si="97"/>
        <v>Low</v>
      </c>
      <c r="I1242">
        <v>6</v>
      </c>
      <c r="J1242" t="str" cm="1">
        <f t="array" ref="J1242">_xlfn.IFS(I1242&lt;=3,"small",I1242&lt;=6,"Medium",I1242&lt;=9,"Large")</f>
        <v>Medium</v>
      </c>
      <c r="K1242" s="36">
        <v>45411</v>
      </c>
      <c r="L1242" s="36">
        <v>45416</v>
      </c>
      <c r="M1242" t="s">
        <v>603</v>
      </c>
      <c r="N1242" t="s">
        <v>608</v>
      </c>
      <c r="O1242" s="37" t="str">
        <f t="shared" si="98"/>
        <v>Cash Payment</v>
      </c>
      <c r="P1242">
        <v>374.88</v>
      </c>
      <c r="Q1242" s="37" t="str">
        <f>IF(P1242&gt;500,"High","low")</f>
        <v>low</v>
      </c>
      <c r="R1242" s="37" t="str">
        <f t="shared" si="99"/>
        <v>AVERAGE</v>
      </c>
      <c r="S1242" t="s">
        <v>628</v>
      </c>
    </row>
    <row r="1243" spans="1:19" x14ac:dyDescent="0.2">
      <c r="A1243" t="s">
        <v>1854</v>
      </c>
      <c r="B1243" t="s">
        <v>67</v>
      </c>
      <c r="C1243" t="s">
        <v>607</v>
      </c>
      <c r="D1243">
        <v>349.53</v>
      </c>
      <c r="E1243" s="37" t="str">
        <f t="shared" si="95"/>
        <v xml:space="preserve"> </v>
      </c>
      <c r="F1243">
        <v>0.4</v>
      </c>
      <c r="G1243" s="37" t="str">
        <f t="shared" si="96"/>
        <v>Heavy Discount</v>
      </c>
      <c r="H1243" s="37" t="str">
        <f t="shared" si="97"/>
        <v>Medium</v>
      </c>
      <c r="I1243">
        <v>3</v>
      </c>
      <c r="J1243" t="str" cm="1">
        <f t="array" ref="J1243">_xlfn.IFS(I1243&lt;=3,"small",I1243&lt;=6,"Medium",I1243&lt;=9,"Large")</f>
        <v>small</v>
      </c>
      <c r="K1243" s="36">
        <v>45202</v>
      </c>
      <c r="L1243" s="36">
        <v>45208</v>
      </c>
      <c r="M1243" t="s">
        <v>603</v>
      </c>
      <c r="N1243" t="s">
        <v>604</v>
      </c>
      <c r="O1243" s="37" t="str">
        <f t="shared" si="98"/>
        <v>Digital Payment</v>
      </c>
      <c r="P1243">
        <v>38.64</v>
      </c>
      <c r="Q1243" s="37" t="str">
        <f>IF(P1243&gt;500,"High","low")</f>
        <v>low</v>
      </c>
      <c r="R1243" s="37" t="str">
        <f t="shared" si="99"/>
        <v>AVERAGE</v>
      </c>
      <c r="S1243" t="s">
        <v>600</v>
      </c>
    </row>
    <row r="1244" spans="1:19" x14ac:dyDescent="0.2">
      <c r="A1244" t="s">
        <v>1855</v>
      </c>
      <c r="B1244" t="s">
        <v>90</v>
      </c>
      <c r="C1244" t="s">
        <v>602</v>
      </c>
      <c r="D1244">
        <v>2440.2199999999998</v>
      </c>
      <c r="E1244" s="37" t="str">
        <f t="shared" si="95"/>
        <v xml:space="preserve"> </v>
      </c>
      <c r="F1244">
        <v>0.23</v>
      </c>
      <c r="G1244" s="37" t="str">
        <f t="shared" si="96"/>
        <v>Normal Discount</v>
      </c>
      <c r="H1244" s="37" t="str">
        <f t="shared" si="97"/>
        <v>Medium</v>
      </c>
      <c r="I1244">
        <v>9</v>
      </c>
      <c r="J1244" t="str" cm="1">
        <f t="array" ref="J1244">_xlfn.IFS(I1244&lt;=3,"small",I1244&lt;=6,"Medium",I1244&lt;=9,"Large")</f>
        <v>Large</v>
      </c>
      <c r="K1244" s="36">
        <v>45185</v>
      </c>
      <c r="L1244" s="36">
        <v>45187</v>
      </c>
      <c r="M1244" t="s">
        <v>603</v>
      </c>
      <c r="N1244" t="s">
        <v>604</v>
      </c>
      <c r="O1244" s="37" t="str">
        <f t="shared" si="98"/>
        <v>Digital Payment</v>
      </c>
      <c r="P1244">
        <v>296.18</v>
      </c>
      <c r="Q1244" s="37" t="str">
        <f>IF(P1244&gt;500,"High","low")</f>
        <v>low</v>
      </c>
      <c r="R1244" s="37" t="str">
        <f t="shared" si="99"/>
        <v>AVERAGE</v>
      </c>
      <c r="S1244" t="s">
        <v>609</v>
      </c>
    </row>
    <row r="1245" spans="1:19" x14ac:dyDescent="0.2">
      <c r="A1245" t="s">
        <v>1856</v>
      </c>
      <c r="B1245" t="s">
        <v>90</v>
      </c>
      <c r="C1245" t="s">
        <v>607</v>
      </c>
      <c r="D1245">
        <v>4541.59</v>
      </c>
      <c r="E1245" s="37" t="str">
        <f t="shared" si="95"/>
        <v>Excellent Order</v>
      </c>
      <c r="F1245">
        <v>0.23</v>
      </c>
      <c r="G1245" s="37" t="str">
        <f t="shared" si="96"/>
        <v>Normal Discount</v>
      </c>
      <c r="H1245" s="37" t="str">
        <f t="shared" si="97"/>
        <v>Medium</v>
      </c>
      <c r="I1245">
        <v>2</v>
      </c>
      <c r="J1245" t="str" cm="1">
        <f t="array" ref="J1245">_xlfn.IFS(I1245&lt;=3,"small",I1245&lt;=6,"Medium",I1245&lt;=9,"Large")</f>
        <v>small</v>
      </c>
      <c r="K1245" s="36">
        <v>45219</v>
      </c>
      <c r="L1245" s="36">
        <v>45224</v>
      </c>
      <c r="M1245" t="s">
        <v>603</v>
      </c>
      <c r="N1245" t="s">
        <v>608</v>
      </c>
      <c r="O1245" s="37" t="str">
        <f t="shared" si="98"/>
        <v>Cash Payment</v>
      </c>
      <c r="P1245">
        <v>1252.8599999999999</v>
      </c>
      <c r="Q1245" s="37" t="str">
        <f>IF(P1245&gt;500,"High","low")</f>
        <v>High</v>
      </c>
      <c r="R1245" s="37" t="str">
        <f t="shared" si="99"/>
        <v>Excellent</v>
      </c>
      <c r="S1245" t="s">
        <v>609</v>
      </c>
    </row>
    <row r="1246" spans="1:19" x14ac:dyDescent="0.2">
      <c r="A1246" t="s">
        <v>1857</v>
      </c>
      <c r="B1246" t="s">
        <v>90</v>
      </c>
      <c r="C1246" t="s">
        <v>617</v>
      </c>
      <c r="D1246">
        <v>111.04</v>
      </c>
      <c r="E1246" s="37" t="str">
        <f t="shared" si="95"/>
        <v xml:space="preserve"> </v>
      </c>
      <c r="F1246">
        <v>0.44</v>
      </c>
      <c r="G1246" s="37" t="str">
        <f t="shared" si="96"/>
        <v>Heavy Discount</v>
      </c>
      <c r="H1246" s="37" t="str">
        <f t="shared" si="97"/>
        <v>High</v>
      </c>
      <c r="I1246">
        <v>7</v>
      </c>
      <c r="J1246" t="str" cm="1">
        <f t="array" ref="J1246">_xlfn.IFS(I1246&lt;=3,"small",I1246&lt;=6,"Medium",I1246&lt;=9,"Large")</f>
        <v>Large</v>
      </c>
      <c r="K1246" s="36">
        <v>45089</v>
      </c>
      <c r="L1246" s="36">
        <v>45092</v>
      </c>
      <c r="M1246" t="s">
        <v>612</v>
      </c>
      <c r="N1246" t="s">
        <v>599</v>
      </c>
      <c r="O1246" s="37" t="str">
        <f t="shared" si="98"/>
        <v>Digital Payment</v>
      </c>
      <c r="P1246">
        <v>6.47</v>
      </c>
      <c r="Q1246" s="37" t="str">
        <f>IF(P1246&gt;500,"High","low")</f>
        <v>low</v>
      </c>
      <c r="R1246" s="37" t="str">
        <f t="shared" si="99"/>
        <v>AVERAGE</v>
      </c>
      <c r="S1246" t="s">
        <v>615</v>
      </c>
    </row>
    <row r="1247" spans="1:19" x14ac:dyDescent="0.2">
      <c r="A1247" t="s">
        <v>1858</v>
      </c>
      <c r="B1247" t="s">
        <v>67</v>
      </c>
      <c r="C1247" t="s">
        <v>597</v>
      </c>
      <c r="D1247">
        <v>1406.53</v>
      </c>
      <c r="E1247" s="37" t="str">
        <f t="shared" si="95"/>
        <v xml:space="preserve"> </v>
      </c>
      <c r="F1247">
        <v>0.27</v>
      </c>
      <c r="G1247" s="37" t="str">
        <f t="shared" si="96"/>
        <v>Normal Discount</v>
      </c>
      <c r="H1247" s="37" t="str">
        <f t="shared" si="97"/>
        <v>Medium</v>
      </c>
      <c r="I1247">
        <v>9</v>
      </c>
      <c r="J1247" t="str" cm="1">
        <f t="array" ref="J1247">_xlfn.IFS(I1247&lt;=3,"small",I1247&lt;=6,"Medium",I1247&lt;=9,"Large")</f>
        <v>Large</v>
      </c>
      <c r="K1247" s="36">
        <v>45430</v>
      </c>
      <c r="L1247" s="36">
        <v>45436</v>
      </c>
      <c r="M1247" t="s">
        <v>612</v>
      </c>
      <c r="N1247" t="s">
        <v>599</v>
      </c>
      <c r="O1247" s="37" t="str">
        <f t="shared" si="98"/>
        <v>Digital Payment</v>
      </c>
      <c r="P1247">
        <v>176.77</v>
      </c>
      <c r="Q1247" s="37" t="str">
        <f>IF(P1247&gt;500,"High","low")</f>
        <v>low</v>
      </c>
      <c r="R1247" s="37" t="str">
        <f t="shared" si="99"/>
        <v>AVERAGE</v>
      </c>
      <c r="S1247" t="s">
        <v>620</v>
      </c>
    </row>
    <row r="1248" spans="1:19" x14ac:dyDescent="0.2">
      <c r="A1248" t="s">
        <v>1859</v>
      </c>
      <c r="B1248" t="s">
        <v>83</v>
      </c>
      <c r="C1248" t="s">
        <v>607</v>
      </c>
      <c r="D1248">
        <v>4019.31</v>
      </c>
      <c r="E1248" s="37" t="str">
        <f t="shared" si="95"/>
        <v xml:space="preserve"> </v>
      </c>
      <c r="F1248">
        <v>0.35</v>
      </c>
      <c r="G1248" s="37" t="str">
        <f t="shared" si="96"/>
        <v>Heavy Discount</v>
      </c>
      <c r="H1248" s="37" t="str">
        <f t="shared" si="97"/>
        <v>Medium</v>
      </c>
      <c r="I1248">
        <v>3</v>
      </c>
      <c r="J1248" t="str" cm="1">
        <f t="array" ref="J1248">_xlfn.IFS(I1248&lt;=3,"small",I1248&lt;=6,"Medium",I1248&lt;=9,"Large")</f>
        <v>small</v>
      </c>
      <c r="K1248" s="36">
        <v>45562</v>
      </c>
      <c r="L1248" s="36">
        <v>45567</v>
      </c>
      <c r="M1248" t="s">
        <v>603</v>
      </c>
      <c r="N1248" t="s">
        <v>604</v>
      </c>
      <c r="O1248" s="37" t="str">
        <f t="shared" si="98"/>
        <v>Digital Payment</v>
      </c>
      <c r="P1248">
        <v>496.17</v>
      </c>
      <c r="Q1248" s="37" t="str">
        <f>IF(P1248&gt;500,"High","low")</f>
        <v>low</v>
      </c>
      <c r="R1248" s="37" t="str">
        <f t="shared" si="99"/>
        <v>AVERAGE</v>
      </c>
      <c r="S1248" t="s">
        <v>600</v>
      </c>
    </row>
    <row r="1249" spans="1:19" x14ac:dyDescent="0.2">
      <c r="A1249" t="s">
        <v>1860</v>
      </c>
      <c r="B1249" t="s">
        <v>83</v>
      </c>
      <c r="C1249" t="s">
        <v>597</v>
      </c>
      <c r="D1249">
        <v>148.32</v>
      </c>
      <c r="E1249" s="37" t="str">
        <f t="shared" si="95"/>
        <v xml:space="preserve"> </v>
      </c>
      <c r="F1249">
        <v>0.16</v>
      </c>
      <c r="G1249" s="37" t="str">
        <f t="shared" si="96"/>
        <v>Normal Discount</v>
      </c>
      <c r="H1249" s="37" t="str">
        <f t="shared" si="97"/>
        <v>Low</v>
      </c>
      <c r="I1249">
        <v>3</v>
      </c>
      <c r="J1249" t="str" cm="1">
        <f t="array" ref="J1249">_xlfn.IFS(I1249&lt;=3,"small",I1249&lt;=6,"Medium",I1249&lt;=9,"Large")</f>
        <v>small</v>
      </c>
      <c r="K1249" s="36">
        <v>45437</v>
      </c>
      <c r="L1249" s="36">
        <v>45443</v>
      </c>
      <c r="M1249" t="s">
        <v>612</v>
      </c>
      <c r="N1249" t="s">
        <v>604</v>
      </c>
      <c r="O1249" s="37" t="str">
        <f t="shared" si="98"/>
        <v>Digital Payment</v>
      </c>
      <c r="P1249">
        <v>35.07</v>
      </c>
      <c r="Q1249" s="37" t="str">
        <f>IF(P1249&gt;500,"High","low")</f>
        <v>low</v>
      </c>
      <c r="R1249" s="37" t="str">
        <f t="shared" si="99"/>
        <v>AVERAGE</v>
      </c>
      <c r="S1249" t="s">
        <v>628</v>
      </c>
    </row>
    <row r="1250" spans="1:19" x14ac:dyDescent="0.2">
      <c r="A1250" t="s">
        <v>1861</v>
      </c>
      <c r="B1250" t="s">
        <v>83</v>
      </c>
      <c r="C1250" t="s">
        <v>602</v>
      </c>
      <c r="D1250">
        <v>149.85</v>
      </c>
      <c r="E1250" s="37" t="str">
        <f t="shared" si="95"/>
        <v xml:space="preserve"> </v>
      </c>
      <c r="F1250">
        <v>0.28000000000000003</v>
      </c>
      <c r="G1250" s="37" t="str">
        <f t="shared" si="96"/>
        <v>Normal Discount</v>
      </c>
      <c r="H1250" s="37" t="str">
        <f t="shared" si="97"/>
        <v>Medium</v>
      </c>
      <c r="I1250">
        <v>3</v>
      </c>
      <c r="J1250" t="str" cm="1">
        <f t="array" ref="J1250">_xlfn.IFS(I1250&lt;=3,"small",I1250&lt;=6,"Medium",I1250&lt;=9,"Large")</f>
        <v>small</v>
      </c>
      <c r="K1250" s="36">
        <v>45454</v>
      </c>
      <c r="L1250" s="36">
        <v>45456</v>
      </c>
      <c r="M1250" t="s">
        <v>612</v>
      </c>
      <c r="N1250" t="s">
        <v>608</v>
      </c>
      <c r="O1250" s="37" t="str">
        <f t="shared" si="98"/>
        <v>Cash Payment</v>
      </c>
      <c r="P1250">
        <v>15.11</v>
      </c>
      <c r="Q1250" s="37" t="str">
        <f>IF(P1250&gt;500,"High","low")</f>
        <v>low</v>
      </c>
      <c r="R1250" s="37" t="str">
        <f t="shared" si="99"/>
        <v>AVERAGE</v>
      </c>
      <c r="S1250" t="s">
        <v>605</v>
      </c>
    </row>
    <row r="1251" spans="1:19" x14ac:dyDescent="0.2">
      <c r="A1251" t="s">
        <v>1862</v>
      </c>
      <c r="B1251" t="s">
        <v>67</v>
      </c>
      <c r="C1251" t="s">
        <v>607</v>
      </c>
      <c r="D1251">
        <v>3093.01</v>
      </c>
      <c r="E1251" s="37" t="str">
        <f t="shared" si="95"/>
        <v xml:space="preserve"> </v>
      </c>
      <c r="F1251">
        <v>0.36</v>
      </c>
      <c r="G1251" s="37" t="str">
        <f t="shared" si="96"/>
        <v>Heavy Discount</v>
      </c>
      <c r="H1251" s="37" t="str">
        <f t="shared" si="97"/>
        <v>Medium</v>
      </c>
      <c r="I1251">
        <v>1</v>
      </c>
      <c r="J1251" t="str" cm="1">
        <f t="array" ref="J1251">_xlfn.IFS(I1251&lt;=3,"small",I1251&lt;=6,"Medium",I1251&lt;=9,"Large")</f>
        <v>small</v>
      </c>
      <c r="K1251" s="36">
        <v>45294</v>
      </c>
      <c r="L1251" s="36">
        <v>45297</v>
      </c>
      <c r="M1251" t="s">
        <v>603</v>
      </c>
      <c r="N1251" t="s">
        <v>608</v>
      </c>
      <c r="O1251" s="37" t="str">
        <f t="shared" si="98"/>
        <v>Cash Payment</v>
      </c>
      <c r="P1251">
        <v>205.5</v>
      </c>
      <c r="Q1251" s="37" t="str">
        <f>IF(P1251&gt;500,"High","low")</f>
        <v>low</v>
      </c>
      <c r="R1251" s="37" t="str">
        <f t="shared" si="99"/>
        <v>AVERAGE</v>
      </c>
      <c r="S1251" t="s">
        <v>628</v>
      </c>
    </row>
    <row r="1252" spans="1:19" x14ac:dyDescent="0.2">
      <c r="A1252" t="s">
        <v>1863</v>
      </c>
      <c r="B1252" t="s">
        <v>90</v>
      </c>
      <c r="C1252" t="s">
        <v>607</v>
      </c>
      <c r="D1252">
        <v>3967.08</v>
      </c>
      <c r="E1252" s="37" t="str">
        <f t="shared" si="95"/>
        <v xml:space="preserve"> </v>
      </c>
      <c r="F1252">
        <v>0.15</v>
      </c>
      <c r="G1252" s="37" t="str">
        <f t="shared" si="96"/>
        <v>Normal Discount</v>
      </c>
      <c r="H1252" s="37" t="str">
        <f t="shared" si="97"/>
        <v>Low</v>
      </c>
      <c r="I1252">
        <v>9</v>
      </c>
      <c r="J1252" t="str" cm="1">
        <f t="array" ref="J1252">_xlfn.IFS(I1252&lt;=3,"small",I1252&lt;=6,"Medium",I1252&lt;=9,"Large")</f>
        <v>Large</v>
      </c>
      <c r="K1252" s="36">
        <v>44930</v>
      </c>
      <c r="L1252" s="36">
        <v>44936</v>
      </c>
      <c r="M1252" t="s">
        <v>598</v>
      </c>
      <c r="N1252" t="s">
        <v>599</v>
      </c>
      <c r="O1252" s="37" t="str">
        <f t="shared" si="98"/>
        <v>Digital Payment</v>
      </c>
      <c r="P1252">
        <v>584.32000000000005</v>
      </c>
      <c r="Q1252" s="37" t="str">
        <f>IF(P1252&gt;500,"High","low")</f>
        <v>High</v>
      </c>
      <c r="R1252" s="37" t="str">
        <f t="shared" si="99"/>
        <v>Good</v>
      </c>
      <c r="S1252" t="s">
        <v>620</v>
      </c>
    </row>
    <row r="1253" spans="1:19" x14ac:dyDescent="0.2">
      <c r="A1253" t="s">
        <v>1864</v>
      </c>
      <c r="B1253" t="s">
        <v>83</v>
      </c>
      <c r="C1253" t="s">
        <v>602</v>
      </c>
      <c r="D1253">
        <v>3904.88</v>
      </c>
      <c r="E1253" s="37" t="str">
        <f t="shared" si="95"/>
        <v xml:space="preserve"> </v>
      </c>
      <c r="F1253">
        <v>0.34</v>
      </c>
      <c r="G1253" s="37" t="str">
        <f t="shared" si="96"/>
        <v>Heavy Discount</v>
      </c>
      <c r="H1253" s="37" t="str">
        <f t="shared" si="97"/>
        <v>Medium</v>
      </c>
      <c r="I1253">
        <v>9</v>
      </c>
      <c r="J1253" t="str" cm="1">
        <f t="array" ref="J1253">_xlfn.IFS(I1253&lt;=3,"small",I1253&lt;=6,"Medium",I1253&lt;=9,"Large")</f>
        <v>Large</v>
      </c>
      <c r="K1253" s="36">
        <v>45546</v>
      </c>
      <c r="L1253" s="36">
        <v>45553</v>
      </c>
      <c r="M1253" t="s">
        <v>603</v>
      </c>
      <c r="N1253" t="s">
        <v>608</v>
      </c>
      <c r="O1253" s="37" t="str">
        <f t="shared" si="98"/>
        <v>Cash Payment</v>
      </c>
      <c r="P1253">
        <v>896.93</v>
      </c>
      <c r="Q1253" s="37" t="str">
        <f>IF(P1253&gt;500,"High","low")</f>
        <v>High</v>
      </c>
      <c r="R1253" s="37" t="str">
        <f t="shared" si="99"/>
        <v>Good</v>
      </c>
      <c r="S1253" t="s">
        <v>605</v>
      </c>
    </row>
    <row r="1254" spans="1:19" x14ac:dyDescent="0.2">
      <c r="A1254" t="s">
        <v>1865</v>
      </c>
      <c r="B1254" t="s">
        <v>67</v>
      </c>
      <c r="C1254" t="s">
        <v>602</v>
      </c>
      <c r="D1254">
        <v>3919.93</v>
      </c>
      <c r="E1254" s="37" t="str">
        <f t="shared" si="95"/>
        <v xml:space="preserve"> </v>
      </c>
      <c r="F1254">
        <v>0.28000000000000003</v>
      </c>
      <c r="G1254" s="37" t="str">
        <f t="shared" si="96"/>
        <v>Normal Discount</v>
      </c>
      <c r="H1254" s="37" t="str">
        <f t="shared" si="97"/>
        <v>Medium</v>
      </c>
      <c r="I1254">
        <v>6</v>
      </c>
      <c r="J1254" t="str" cm="1">
        <f t="array" ref="J1254">_xlfn.IFS(I1254&lt;=3,"small",I1254&lt;=6,"Medium",I1254&lt;=9,"Large")</f>
        <v>Medium</v>
      </c>
      <c r="K1254" s="36">
        <v>45199</v>
      </c>
      <c r="L1254" s="36">
        <v>45201</v>
      </c>
      <c r="M1254" t="s">
        <v>603</v>
      </c>
      <c r="N1254" t="s">
        <v>604</v>
      </c>
      <c r="O1254" s="37" t="str">
        <f t="shared" si="98"/>
        <v>Digital Payment</v>
      </c>
      <c r="P1254">
        <v>254.28</v>
      </c>
      <c r="Q1254" s="37" t="str">
        <f>IF(P1254&gt;500,"High","low")</f>
        <v>low</v>
      </c>
      <c r="R1254" s="37" t="str">
        <f t="shared" si="99"/>
        <v>AVERAGE</v>
      </c>
      <c r="S1254" t="s">
        <v>605</v>
      </c>
    </row>
    <row r="1255" spans="1:19" x14ac:dyDescent="0.2">
      <c r="A1255" t="s">
        <v>1866</v>
      </c>
      <c r="B1255" t="s">
        <v>83</v>
      </c>
      <c r="C1255" t="s">
        <v>614</v>
      </c>
      <c r="D1255">
        <v>1868.93</v>
      </c>
      <c r="E1255" s="37" t="str">
        <f t="shared" si="95"/>
        <v xml:space="preserve"> </v>
      </c>
      <c r="F1255">
        <v>0.22</v>
      </c>
      <c r="G1255" s="37" t="str">
        <f t="shared" si="96"/>
        <v>Normal Discount</v>
      </c>
      <c r="H1255" s="37" t="str">
        <f t="shared" si="97"/>
        <v>Medium</v>
      </c>
      <c r="I1255">
        <v>9</v>
      </c>
      <c r="J1255" t="str" cm="1">
        <f t="array" ref="J1255">_xlfn.IFS(I1255&lt;=3,"small",I1255&lt;=6,"Medium",I1255&lt;=9,"Large")</f>
        <v>Large</v>
      </c>
      <c r="K1255" s="36">
        <v>45610</v>
      </c>
      <c r="L1255" s="36">
        <v>45616</v>
      </c>
      <c r="M1255" t="s">
        <v>603</v>
      </c>
      <c r="N1255" t="s">
        <v>604</v>
      </c>
      <c r="O1255" s="37" t="str">
        <f t="shared" si="98"/>
        <v>Digital Payment</v>
      </c>
      <c r="P1255">
        <v>173.66</v>
      </c>
      <c r="Q1255" s="37" t="str">
        <f>IF(P1255&gt;500,"High","low")</f>
        <v>low</v>
      </c>
      <c r="R1255" s="37" t="str">
        <f t="shared" si="99"/>
        <v>AVERAGE</v>
      </c>
      <c r="S1255" t="s">
        <v>620</v>
      </c>
    </row>
    <row r="1256" spans="1:19" x14ac:dyDescent="0.2">
      <c r="A1256" t="s">
        <v>1867</v>
      </c>
      <c r="B1256" t="s">
        <v>75</v>
      </c>
      <c r="C1256" t="s">
        <v>617</v>
      </c>
      <c r="D1256">
        <v>4425.3500000000004</v>
      </c>
      <c r="E1256" s="37" t="str">
        <f t="shared" si="95"/>
        <v>Excellent Order</v>
      </c>
      <c r="F1256">
        <v>0.36</v>
      </c>
      <c r="G1256" s="37" t="str">
        <f t="shared" si="96"/>
        <v>Heavy Discount</v>
      </c>
      <c r="H1256" s="37" t="str">
        <f t="shared" si="97"/>
        <v>Medium</v>
      </c>
      <c r="I1256">
        <v>9</v>
      </c>
      <c r="J1256" t="str" cm="1">
        <f t="array" ref="J1256">_xlfn.IFS(I1256&lt;=3,"small",I1256&lt;=6,"Medium",I1256&lt;=9,"Large")</f>
        <v>Large</v>
      </c>
      <c r="K1256" s="36">
        <v>45117</v>
      </c>
      <c r="L1256" s="36">
        <v>45119</v>
      </c>
      <c r="M1256" t="s">
        <v>612</v>
      </c>
      <c r="N1256" t="s">
        <v>604</v>
      </c>
      <c r="O1256" s="37" t="str">
        <f t="shared" si="98"/>
        <v>Digital Payment</v>
      </c>
      <c r="P1256">
        <v>920.78</v>
      </c>
      <c r="Q1256" s="37" t="str">
        <f>IF(P1256&gt;500,"High","low")</f>
        <v>High</v>
      </c>
      <c r="R1256" s="37" t="str">
        <f t="shared" si="99"/>
        <v>Good</v>
      </c>
      <c r="S1256" t="s">
        <v>628</v>
      </c>
    </row>
    <row r="1257" spans="1:19" x14ac:dyDescent="0.2">
      <c r="A1257" t="s">
        <v>1868</v>
      </c>
      <c r="B1257" t="s">
        <v>83</v>
      </c>
      <c r="C1257" t="s">
        <v>607</v>
      </c>
      <c r="D1257">
        <v>162.88999999999999</v>
      </c>
      <c r="E1257" s="37" t="str">
        <f t="shared" si="95"/>
        <v xml:space="preserve"> </v>
      </c>
      <c r="F1257">
        <v>0.16</v>
      </c>
      <c r="G1257" s="37" t="str">
        <f t="shared" si="96"/>
        <v>Normal Discount</v>
      </c>
      <c r="H1257" s="37" t="str">
        <f t="shared" si="97"/>
        <v>Low</v>
      </c>
      <c r="I1257">
        <v>1</v>
      </c>
      <c r="J1257" t="str" cm="1">
        <f t="array" ref="J1257">_xlfn.IFS(I1257&lt;=3,"small",I1257&lt;=6,"Medium",I1257&lt;=9,"Large")</f>
        <v>small</v>
      </c>
      <c r="K1257" s="36">
        <v>45024</v>
      </c>
      <c r="L1257" s="36">
        <v>45029</v>
      </c>
      <c r="M1257" t="s">
        <v>603</v>
      </c>
      <c r="N1257" t="s">
        <v>599</v>
      </c>
      <c r="O1257" s="37" t="str">
        <f t="shared" si="98"/>
        <v>Digital Payment</v>
      </c>
      <c r="P1257">
        <v>36.92</v>
      </c>
      <c r="Q1257" s="37" t="str">
        <f>IF(P1257&gt;500,"High","low")</f>
        <v>low</v>
      </c>
      <c r="R1257" s="37" t="str">
        <f t="shared" si="99"/>
        <v>AVERAGE</v>
      </c>
      <c r="S1257" t="s">
        <v>605</v>
      </c>
    </row>
    <row r="1258" spans="1:19" x14ac:dyDescent="0.2">
      <c r="A1258" t="s">
        <v>1869</v>
      </c>
      <c r="B1258" t="s">
        <v>83</v>
      </c>
      <c r="C1258" t="s">
        <v>607</v>
      </c>
      <c r="D1258">
        <v>1629.72</v>
      </c>
      <c r="E1258" s="37" t="str">
        <f t="shared" si="95"/>
        <v xml:space="preserve"> </v>
      </c>
      <c r="F1258">
        <v>0.36</v>
      </c>
      <c r="G1258" s="37" t="str">
        <f t="shared" si="96"/>
        <v>Heavy Discount</v>
      </c>
      <c r="H1258" s="37" t="str">
        <f t="shared" si="97"/>
        <v>Medium</v>
      </c>
      <c r="I1258">
        <v>3</v>
      </c>
      <c r="J1258" t="str" cm="1">
        <f t="array" ref="J1258">_xlfn.IFS(I1258&lt;=3,"small",I1258&lt;=6,"Medium",I1258&lt;=9,"Large")</f>
        <v>small</v>
      </c>
      <c r="K1258" s="36">
        <v>45608</v>
      </c>
      <c r="L1258" s="36">
        <v>45611</v>
      </c>
      <c r="M1258" t="s">
        <v>598</v>
      </c>
      <c r="N1258" t="s">
        <v>599</v>
      </c>
      <c r="O1258" s="37" t="str">
        <f t="shared" si="98"/>
        <v>Digital Payment</v>
      </c>
      <c r="P1258">
        <v>82.37</v>
      </c>
      <c r="Q1258" s="37" t="str">
        <f>IF(P1258&gt;500,"High","low")</f>
        <v>low</v>
      </c>
      <c r="R1258" s="37" t="str">
        <f t="shared" si="99"/>
        <v>AVERAGE</v>
      </c>
      <c r="S1258" t="s">
        <v>605</v>
      </c>
    </row>
    <row r="1259" spans="1:19" x14ac:dyDescent="0.2">
      <c r="A1259" t="s">
        <v>1870</v>
      </c>
      <c r="B1259" t="s">
        <v>90</v>
      </c>
      <c r="C1259" t="s">
        <v>602</v>
      </c>
      <c r="D1259">
        <v>1752.22</v>
      </c>
      <c r="E1259" s="37" t="str">
        <f t="shared" si="95"/>
        <v xml:space="preserve"> </v>
      </c>
      <c r="F1259">
        <v>0.28000000000000003</v>
      </c>
      <c r="G1259" s="37" t="str">
        <f t="shared" si="96"/>
        <v>Normal Discount</v>
      </c>
      <c r="H1259" s="37" t="str">
        <f t="shared" si="97"/>
        <v>Medium</v>
      </c>
      <c r="I1259">
        <v>3</v>
      </c>
      <c r="J1259" t="str" cm="1">
        <f t="array" ref="J1259">_xlfn.IFS(I1259&lt;=3,"small",I1259&lt;=6,"Medium",I1259&lt;=9,"Large")</f>
        <v>small</v>
      </c>
      <c r="K1259" s="36">
        <v>45536</v>
      </c>
      <c r="L1259" s="36">
        <v>45541</v>
      </c>
      <c r="M1259" t="s">
        <v>603</v>
      </c>
      <c r="N1259" t="s">
        <v>604</v>
      </c>
      <c r="O1259" s="37" t="str">
        <f t="shared" si="98"/>
        <v>Digital Payment</v>
      </c>
      <c r="P1259">
        <v>497.84</v>
      </c>
      <c r="Q1259" s="37" t="str">
        <f>IF(P1259&gt;500,"High","low")</f>
        <v>low</v>
      </c>
      <c r="R1259" s="37" t="str">
        <f t="shared" si="99"/>
        <v>AVERAGE</v>
      </c>
      <c r="S1259" t="s">
        <v>605</v>
      </c>
    </row>
    <row r="1260" spans="1:19" x14ac:dyDescent="0.2">
      <c r="A1260" t="s">
        <v>1871</v>
      </c>
      <c r="B1260" t="s">
        <v>67</v>
      </c>
      <c r="C1260" t="s">
        <v>602</v>
      </c>
      <c r="D1260">
        <v>911.3</v>
      </c>
      <c r="E1260" s="37" t="str">
        <f t="shared" si="95"/>
        <v xml:space="preserve"> </v>
      </c>
      <c r="F1260">
        <v>0.12</v>
      </c>
      <c r="G1260" s="37" t="str">
        <f t="shared" si="96"/>
        <v>Normal Discount</v>
      </c>
      <c r="H1260" s="37" t="str">
        <f t="shared" si="97"/>
        <v>Low</v>
      </c>
      <c r="I1260">
        <v>1</v>
      </c>
      <c r="J1260" t="str" cm="1">
        <f t="array" ref="J1260">_xlfn.IFS(I1260&lt;=3,"small",I1260&lt;=6,"Medium",I1260&lt;=9,"Large")</f>
        <v>small</v>
      </c>
      <c r="K1260" s="36">
        <v>45583</v>
      </c>
      <c r="L1260" s="36">
        <v>45589</v>
      </c>
      <c r="M1260" t="s">
        <v>603</v>
      </c>
      <c r="N1260" t="s">
        <v>608</v>
      </c>
      <c r="O1260" s="37" t="str">
        <f t="shared" si="98"/>
        <v>Cash Payment</v>
      </c>
      <c r="P1260">
        <v>131.99</v>
      </c>
      <c r="Q1260" s="37" t="str">
        <f>IF(P1260&gt;500,"High","low")</f>
        <v>low</v>
      </c>
      <c r="R1260" s="37" t="str">
        <f t="shared" si="99"/>
        <v>AVERAGE</v>
      </c>
      <c r="S1260" t="s">
        <v>620</v>
      </c>
    </row>
    <row r="1261" spans="1:19" x14ac:dyDescent="0.2">
      <c r="A1261" t="s">
        <v>1872</v>
      </c>
      <c r="B1261" t="s">
        <v>90</v>
      </c>
      <c r="C1261" t="s">
        <v>617</v>
      </c>
      <c r="D1261">
        <v>1747.51</v>
      </c>
      <c r="E1261" s="37" t="str">
        <f t="shared" si="95"/>
        <v xml:space="preserve"> </v>
      </c>
      <c r="F1261">
        <v>0.33</v>
      </c>
      <c r="G1261" s="37" t="str">
        <f t="shared" si="96"/>
        <v>Heavy Discount</v>
      </c>
      <c r="H1261" s="37" t="str">
        <f t="shared" si="97"/>
        <v>Medium</v>
      </c>
      <c r="I1261">
        <v>6</v>
      </c>
      <c r="J1261" t="str" cm="1">
        <f t="array" ref="J1261">_xlfn.IFS(I1261&lt;=3,"small",I1261&lt;=6,"Medium",I1261&lt;=9,"Large")</f>
        <v>Medium</v>
      </c>
      <c r="K1261" s="36">
        <v>45462</v>
      </c>
      <c r="L1261" s="36">
        <v>45465</v>
      </c>
      <c r="M1261" t="s">
        <v>598</v>
      </c>
      <c r="N1261" t="s">
        <v>599</v>
      </c>
      <c r="O1261" s="37" t="str">
        <f t="shared" si="98"/>
        <v>Digital Payment</v>
      </c>
      <c r="P1261">
        <v>245.36</v>
      </c>
      <c r="Q1261" s="37" t="str">
        <f>IF(P1261&gt;500,"High","low")</f>
        <v>low</v>
      </c>
      <c r="R1261" s="37" t="str">
        <f t="shared" si="99"/>
        <v>AVERAGE</v>
      </c>
      <c r="S1261" t="s">
        <v>609</v>
      </c>
    </row>
    <row r="1262" spans="1:19" x14ac:dyDescent="0.2">
      <c r="A1262" t="s">
        <v>1873</v>
      </c>
      <c r="B1262" t="s">
        <v>90</v>
      </c>
      <c r="C1262" t="s">
        <v>602</v>
      </c>
      <c r="D1262">
        <v>2970.83</v>
      </c>
      <c r="E1262" s="37" t="str">
        <f t="shared" si="95"/>
        <v xml:space="preserve"> </v>
      </c>
      <c r="F1262">
        <v>0.44</v>
      </c>
      <c r="G1262" s="37" t="str">
        <f t="shared" si="96"/>
        <v>Heavy Discount</v>
      </c>
      <c r="H1262" s="37" t="str">
        <f t="shared" si="97"/>
        <v>High</v>
      </c>
      <c r="I1262">
        <v>4</v>
      </c>
      <c r="J1262" t="str" cm="1">
        <f t="array" ref="J1262">_xlfn.IFS(I1262&lt;=3,"small",I1262&lt;=6,"Medium",I1262&lt;=9,"Large")</f>
        <v>Medium</v>
      </c>
      <c r="K1262" s="36">
        <v>45603</v>
      </c>
      <c r="L1262" s="36">
        <v>45604</v>
      </c>
      <c r="M1262" t="s">
        <v>612</v>
      </c>
      <c r="N1262" t="s">
        <v>604</v>
      </c>
      <c r="O1262" s="37" t="str">
        <f t="shared" si="98"/>
        <v>Digital Payment</v>
      </c>
      <c r="P1262">
        <v>771.25</v>
      </c>
      <c r="Q1262" s="37" t="str">
        <f>IF(P1262&gt;500,"High","low")</f>
        <v>High</v>
      </c>
      <c r="R1262" s="37" t="str">
        <f t="shared" si="99"/>
        <v>Good</v>
      </c>
      <c r="S1262" t="s">
        <v>605</v>
      </c>
    </row>
    <row r="1263" spans="1:19" x14ac:dyDescent="0.2">
      <c r="A1263" t="s">
        <v>1874</v>
      </c>
      <c r="B1263" t="s">
        <v>90</v>
      </c>
      <c r="C1263" t="s">
        <v>597</v>
      </c>
      <c r="D1263">
        <v>2649.37</v>
      </c>
      <c r="E1263" s="37" t="str">
        <f t="shared" si="95"/>
        <v xml:space="preserve"> </v>
      </c>
      <c r="F1263">
        <v>0.16</v>
      </c>
      <c r="G1263" s="37" t="str">
        <f t="shared" si="96"/>
        <v>Normal Discount</v>
      </c>
      <c r="H1263" s="37" t="str">
        <f t="shared" si="97"/>
        <v>Low</v>
      </c>
      <c r="I1263">
        <v>8</v>
      </c>
      <c r="J1263" t="str" cm="1">
        <f t="array" ref="J1263">_xlfn.IFS(I1263&lt;=3,"small",I1263&lt;=6,"Medium",I1263&lt;=9,"Large")</f>
        <v>Large</v>
      </c>
      <c r="K1263" s="36">
        <v>45184</v>
      </c>
      <c r="L1263" s="36">
        <v>45185</v>
      </c>
      <c r="M1263" t="s">
        <v>612</v>
      </c>
      <c r="N1263" t="s">
        <v>608</v>
      </c>
      <c r="O1263" s="37" t="str">
        <f t="shared" si="98"/>
        <v>Cash Payment</v>
      </c>
      <c r="P1263">
        <v>205.04</v>
      </c>
      <c r="Q1263" s="37" t="str">
        <f>IF(P1263&gt;500,"High","low")</f>
        <v>low</v>
      </c>
      <c r="R1263" s="37" t="str">
        <f t="shared" si="99"/>
        <v>AVERAGE</v>
      </c>
      <c r="S1263" t="s">
        <v>609</v>
      </c>
    </row>
    <row r="1264" spans="1:19" x14ac:dyDescent="0.2">
      <c r="A1264" t="s">
        <v>1875</v>
      </c>
      <c r="B1264" t="s">
        <v>90</v>
      </c>
      <c r="C1264" t="s">
        <v>597</v>
      </c>
      <c r="D1264">
        <v>1665.19</v>
      </c>
      <c r="E1264" s="37" t="str">
        <f t="shared" si="95"/>
        <v xml:space="preserve"> </v>
      </c>
      <c r="F1264">
        <v>0.41</v>
      </c>
      <c r="G1264" s="37" t="str">
        <f t="shared" si="96"/>
        <v>Heavy Discount</v>
      </c>
      <c r="H1264" s="37" t="str">
        <f t="shared" si="97"/>
        <v>High</v>
      </c>
      <c r="I1264">
        <v>6</v>
      </c>
      <c r="J1264" t="str" cm="1">
        <f t="array" ref="J1264">_xlfn.IFS(I1264&lt;=3,"small",I1264&lt;=6,"Medium",I1264&lt;=9,"Large")</f>
        <v>Medium</v>
      </c>
      <c r="K1264" s="36">
        <v>45558</v>
      </c>
      <c r="L1264" s="36">
        <v>45561</v>
      </c>
      <c r="M1264" t="s">
        <v>603</v>
      </c>
      <c r="N1264" t="s">
        <v>599</v>
      </c>
      <c r="O1264" s="37" t="str">
        <f t="shared" si="98"/>
        <v>Digital Payment</v>
      </c>
      <c r="P1264">
        <v>179.97</v>
      </c>
      <c r="Q1264" s="37" t="str">
        <f>IF(P1264&gt;500,"High","low")</f>
        <v>low</v>
      </c>
      <c r="R1264" s="37" t="str">
        <f t="shared" si="99"/>
        <v>AVERAGE</v>
      </c>
      <c r="S1264" t="s">
        <v>615</v>
      </c>
    </row>
    <row r="1265" spans="1:19" x14ac:dyDescent="0.2">
      <c r="A1265" t="s">
        <v>1876</v>
      </c>
      <c r="B1265" t="s">
        <v>90</v>
      </c>
      <c r="C1265" t="s">
        <v>597</v>
      </c>
      <c r="D1265">
        <v>3771.7</v>
      </c>
      <c r="E1265" s="37" t="str">
        <f t="shared" si="95"/>
        <v xml:space="preserve"> </v>
      </c>
      <c r="F1265">
        <v>0.17</v>
      </c>
      <c r="G1265" s="37" t="str">
        <f t="shared" si="96"/>
        <v>Normal Discount</v>
      </c>
      <c r="H1265" s="37" t="str">
        <f t="shared" si="97"/>
        <v>Low</v>
      </c>
      <c r="I1265">
        <v>4</v>
      </c>
      <c r="J1265" t="str" cm="1">
        <f t="array" ref="J1265">_xlfn.IFS(I1265&lt;=3,"small",I1265&lt;=6,"Medium",I1265&lt;=9,"Large")</f>
        <v>Medium</v>
      </c>
      <c r="K1265" s="36">
        <v>45320</v>
      </c>
      <c r="L1265" s="36">
        <v>45327</v>
      </c>
      <c r="M1265" t="s">
        <v>598</v>
      </c>
      <c r="N1265" t="s">
        <v>604</v>
      </c>
      <c r="O1265" s="37" t="str">
        <f t="shared" si="98"/>
        <v>Digital Payment</v>
      </c>
      <c r="P1265">
        <v>993.8</v>
      </c>
      <c r="Q1265" s="37" t="str">
        <f>IF(P1265&gt;500,"High","low")</f>
        <v>High</v>
      </c>
      <c r="R1265" s="37" t="str">
        <f t="shared" si="99"/>
        <v>Good</v>
      </c>
      <c r="S1265" t="s">
        <v>615</v>
      </c>
    </row>
    <row r="1266" spans="1:19" x14ac:dyDescent="0.2">
      <c r="A1266" t="s">
        <v>1877</v>
      </c>
      <c r="B1266" t="s">
        <v>83</v>
      </c>
      <c r="C1266" t="s">
        <v>597</v>
      </c>
      <c r="D1266">
        <v>3602.47</v>
      </c>
      <c r="E1266" s="37" t="str">
        <f t="shared" si="95"/>
        <v xml:space="preserve"> </v>
      </c>
      <c r="F1266">
        <v>0.41</v>
      </c>
      <c r="G1266" s="37" t="str">
        <f t="shared" si="96"/>
        <v>Heavy Discount</v>
      </c>
      <c r="H1266" s="37" t="str">
        <f t="shared" si="97"/>
        <v>High</v>
      </c>
      <c r="I1266">
        <v>5</v>
      </c>
      <c r="J1266" t="str" cm="1">
        <f t="array" ref="J1266">_xlfn.IFS(I1266&lt;=3,"small",I1266&lt;=6,"Medium",I1266&lt;=9,"Large")</f>
        <v>Medium</v>
      </c>
      <c r="K1266" s="36">
        <v>45475</v>
      </c>
      <c r="L1266" s="36">
        <v>45480</v>
      </c>
      <c r="M1266" t="s">
        <v>612</v>
      </c>
      <c r="N1266" t="s">
        <v>599</v>
      </c>
      <c r="O1266" s="37" t="str">
        <f t="shared" si="98"/>
        <v>Digital Payment</v>
      </c>
      <c r="P1266">
        <v>687.6</v>
      </c>
      <c r="Q1266" s="37" t="str">
        <f>IF(P1266&gt;500,"High","low")</f>
        <v>High</v>
      </c>
      <c r="R1266" s="37" t="str">
        <f t="shared" si="99"/>
        <v>Good</v>
      </c>
      <c r="S1266" t="s">
        <v>615</v>
      </c>
    </row>
    <row r="1267" spans="1:19" x14ac:dyDescent="0.2">
      <c r="A1267" t="s">
        <v>1878</v>
      </c>
      <c r="B1267" t="s">
        <v>90</v>
      </c>
      <c r="C1267" t="s">
        <v>617</v>
      </c>
      <c r="D1267">
        <v>1475.41</v>
      </c>
      <c r="E1267" s="37" t="str">
        <f t="shared" si="95"/>
        <v xml:space="preserve"> </v>
      </c>
      <c r="F1267">
        <v>0.03</v>
      </c>
      <c r="G1267" s="37" t="str">
        <f t="shared" si="96"/>
        <v>Normal Discount</v>
      </c>
      <c r="H1267" s="37" t="str">
        <f t="shared" si="97"/>
        <v>Low</v>
      </c>
      <c r="I1267">
        <v>2</v>
      </c>
      <c r="J1267" t="str" cm="1">
        <f t="array" ref="J1267">_xlfn.IFS(I1267&lt;=3,"small",I1267&lt;=6,"Medium",I1267&lt;=9,"Large")</f>
        <v>small</v>
      </c>
      <c r="K1267" s="36">
        <v>45240</v>
      </c>
      <c r="L1267" s="36">
        <v>45244</v>
      </c>
      <c r="M1267" t="s">
        <v>612</v>
      </c>
      <c r="N1267" t="s">
        <v>599</v>
      </c>
      <c r="O1267" s="37" t="str">
        <f t="shared" si="98"/>
        <v>Digital Payment</v>
      </c>
      <c r="P1267">
        <v>300.70999999999998</v>
      </c>
      <c r="Q1267" s="37" t="str">
        <f>IF(P1267&gt;500,"High","low")</f>
        <v>low</v>
      </c>
      <c r="R1267" s="37" t="str">
        <f t="shared" si="99"/>
        <v>AVERAGE</v>
      </c>
      <c r="S1267" t="s">
        <v>620</v>
      </c>
    </row>
    <row r="1268" spans="1:19" x14ac:dyDescent="0.2">
      <c r="A1268" t="s">
        <v>1879</v>
      </c>
      <c r="B1268" t="s">
        <v>90</v>
      </c>
      <c r="C1268" t="s">
        <v>607</v>
      </c>
      <c r="D1268">
        <v>1683.82</v>
      </c>
      <c r="E1268" s="37" t="str">
        <f t="shared" si="95"/>
        <v xml:space="preserve"> </v>
      </c>
      <c r="F1268">
        <v>0</v>
      </c>
      <c r="G1268" s="37" t="str">
        <f t="shared" si="96"/>
        <v>Normal Discount</v>
      </c>
      <c r="H1268" s="37" t="str">
        <f t="shared" si="97"/>
        <v>Low</v>
      </c>
      <c r="I1268">
        <v>1</v>
      </c>
      <c r="J1268" t="str" cm="1">
        <f t="array" ref="J1268">_xlfn.IFS(I1268&lt;=3,"small",I1268&lt;=6,"Medium",I1268&lt;=9,"Large")</f>
        <v>small</v>
      </c>
      <c r="K1268" s="36">
        <v>45356</v>
      </c>
      <c r="L1268" s="36">
        <v>45359</v>
      </c>
      <c r="M1268" t="s">
        <v>598</v>
      </c>
      <c r="N1268" t="s">
        <v>608</v>
      </c>
      <c r="O1268" s="37" t="str">
        <f t="shared" si="98"/>
        <v>Cash Payment</v>
      </c>
      <c r="P1268">
        <v>212.81</v>
      </c>
      <c r="Q1268" s="37" t="str">
        <f>IF(P1268&gt;500,"High","low")</f>
        <v>low</v>
      </c>
      <c r="R1268" s="37" t="str">
        <f t="shared" si="99"/>
        <v>AVERAGE</v>
      </c>
      <c r="S1268" t="s">
        <v>628</v>
      </c>
    </row>
    <row r="1269" spans="1:19" x14ac:dyDescent="0.2">
      <c r="A1269" t="s">
        <v>1880</v>
      </c>
      <c r="B1269" t="s">
        <v>67</v>
      </c>
      <c r="C1269" t="s">
        <v>597</v>
      </c>
      <c r="D1269">
        <v>1508.85</v>
      </c>
      <c r="E1269" s="37" t="str">
        <f t="shared" si="95"/>
        <v xml:space="preserve"> </v>
      </c>
      <c r="F1269">
        <v>0.06</v>
      </c>
      <c r="G1269" s="37" t="str">
        <f t="shared" si="96"/>
        <v>Normal Discount</v>
      </c>
      <c r="H1269" s="37" t="str">
        <f t="shared" si="97"/>
        <v>Low</v>
      </c>
      <c r="I1269">
        <v>7</v>
      </c>
      <c r="J1269" t="str" cm="1">
        <f t="array" ref="J1269">_xlfn.IFS(I1269&lt;=3,"small",I1269&lt;=6,"Medium",I1269&lt;=9,"Large")</f>
        <v>Large</v>
      </c>
      <c r="K1269" s="36">
        <v>45619</v>
      </c>
      <c r="L1269" s="36">
        <v>45621</v>
      </c>
      <c r="M1269" t="s">
        <v>598</v>
      </c>
      <c r="N1269" t="s">
        <v>608</v>
      </c>
      <c r="O1269" s="37" t="str">
        <f t="shared" si="98"/>
        <v>Cash Payment</v>
      </c>
      <c r="P1269">
        <v>276.97000000000003</v>
      </c>
      <c r="Q1269" s="37" t="str">
        <f>IF(P1269&gt;500,"High","low")</f>
        <v>low</v>
      </c>
      <c r="R1269" s="37" t="str">
        <f t="shared" si="99"/>
        <v>AVERAGE</v>
      </c>
      <c r="S1269" t="s">
        <v>600</v>
      </c>
    </row>
    <row r="1270" spans="1:19" x14ac:dyDescent="0.2">
      <c r="A1270" t="s">
        <v>1881</v>
      </c>
      <c r="B1270" t="s">
        <v>75</v>
      </c>
      <c r="C1270" t="s">
        <v>602</v>
      </c>
      <c r="D1270">
        <v>731.37</v>
      </c>
      <c r="E1270" s="37" t="str">
        <f t="shared" si="95"/>
        <v xml:space="preserve"> </v>
      </c>
      <c r="F1270">
        <v>0.44</v>
      </c>
      <c r="G1270" s="37" t="str">
        <f t="shared" si="96"/>
        <v>Heavy Discount</v>
      </c>
      <c r="H1270" s="37" t="str">
        <f t="shared" si="97"/>
        <v>High</v>
      </c>
      <c r="I1270">
        <v>3</v>
      </c>
      <c r="J1270" t="str" cm="1">
        <f t="array" ref="J1270">_xlfn.IFS(I1270&lt;=3,"small",I1270&lt;=6,"Medium",I1270&lt;=9,"Large")</f>
        <v>small</v>
      </c>
      <c r="K1270" s="36">
        <v>45520</v>
      </c>
      <c r="L1270" s="36">
        <v>45521</v>
      </c>
      <c r="M1270" t="s">
        <v>598</v>
      </c>
      <c r="N1270" t="s">
        <v>599</v>
      </c>
      <c r="O1270" s="37" t="str">
        <f t="shared" si="98"/>
        <v>Digital Payment</v>
      </c>
      <c r="P1270">
        <v>190.13</v>
      </c>
      <c r="Q1270" s="37" t="str">
        <f>IF(P1270&gt;500,"High","low")</f>
        <v>low</v>
      </c>
      <c r="R1270" s="37" t="str">
        <f t="shared" si="99"/>
        <v>AVERAGE</v>
      </c>
      <c r="S1270" t="s">
        <v>609</v>
      </c>
    </row>
    <row r="1271" spans="1:19" x14ac:dyDescent="0.2">
      <c r="A1271" t="s">
        <v>1882</v>
      </c>
      <c r="B1271" t="s">
        <v>83</v>
      </c>
      <c r="C1271" t="s">
        <v>597</v>
      </c>
      <c r="D1271">
        <v>3788.63</v>
      </c>
      <c r="E1271" s="37" t="str">
        <f t="shared" si="95"/>
        <v xml:space="preserve"> </v>
      </c>
      <c r="F1271">
        <v>0.27</v>
      </c>
      <c r="G1271" s="37" t="str">
        <f t="shared" si="96"/>
        <v>Normal Discount</v>
      </c>
      <c r="H1271" s="37" t="str">
        <f t="shared" si="97"/>
        <v>Medium</v>
      </c>
      <c r="I1271">
        <v>3</v>
      </c>
      <c r="J1271" t="str" cm="1">
        <f t="array" ref="J1271">_xlfn.IFS(I1271&lt;=3,"small",I1271&lt;=6,"Medium",I1271&lt;=9,"Large")</f>
        <v>small</v>
      </c>
      <c r="K1271" s="36">
        <v>45180</v>
      </c>
      <c r="L1271" s="36">
        <v>45183</v>
      </c>
      <c r="M1271" t="s">
        <v>612</v>
      </c>
      <c r="N1271" t="s">
        <v>608</v>
      </c>
      <c r="O1271" s="37" t="str">
        <f t="shared" si="98"/>
        <v>Cash Payment</v>
      </c>
      <c r="P1271">
        <v>1119.8499999999999</v>
      </c>
      <c r="Q1271" s="37" t="str">
        <f>IF(P1271&gt;500,"High","low")</f>
        <v>High</v>
      </c>
      <c r="R1271" s="37" t="str">
        <f t="shared" si="99"/>
        <v>Excellent</v>
      </c>
      <c r="S1271" t="s">
        <v>628</v>
      </c>
    </row>
    <row r="1272" spans="1:19" x14ac:dyDescent="0.2">
      <c r="A1272" t="s">
        <v>1883</v>
      </c>
      <c r="B1272" t="s">
        <v>83</v>
      </c>
      <c r="C1272" t="s">
        <v>617</v>
      </c>
      <c r="D1272">
        <v>326.75</v>
      </c>
      <c r="E1272" s="37" t="str">
        <f t="shared" si="95"/>
        <v xml:space="preserve"> </v>
      </c>
      <c r="F1272">
        <v>0.3</v>
      </c>
      <c r="G1272" s="37" t="str">
        <f t="shared" si="96"/>
        <v>Normal Discount</v>
      </c>
      <c r="H1272" s="37" t="str">
        <f t="shared" si="97"/>
        <v>Medium</v>
      </c>
      <c r="I1272">
        <v>6</v>
      </c>
      <c r="J1272" t="str" cm="1">
        <f t="array" ref="J1272">_xlfn.IFS(I1272&lt;=3,"small",I1272&lt;=6,"Medium",I1272&lt;=9,"Large")</f>
        <v>Medium</v>
      </c>
      <c r="K1272" s="36">
        <v>45451</v>
      </c>
      <c r="L1272" s="36">
        <v>45454</v>
      </c>
      <c r="M1272" t="s">
        <v>603</v>
      </c>
      <c r="N1272" t="s">
        <v>604</v>
      </c>
      <c r="O1272" s="37" t="str">
        <f t="shared" si="98"/>
        <v>Digital Payment</v>
      </c>
      <c r="P1272">
        <v>48.06</v>
      </c>
      <c r="Q1272" s="37" t="str">
        <f>IF(P1272&gt;500,"High","low")</f>
        <v>low</v>
      </c>
      <c r="R1272" s="37" t="str">
        <f t="shared" si="99"/>
        <v>AVERAGE</v>
      </c>
      <c r="S1272" t="s">
        <v>628</v>
      </c>
    </row>
    <row r="1273" spans="1:19" x14ac:dyDescent="0.2">
      <c r="A1273" t="s">
        <v>1884</v>
      </c>
      <c r="B1273" t="s">
        <v>83</v>
      </c>
      <c r="C1273" t="s">
        <v>602</v>
      </c>
      <c r="D1273">
        <v>837.84</v>
      </c>
      <c r="E1273" s="37" t="str">
        <f t="shared" si="95"/>
        <v xml:space="preserve"> </v>
      </c>
      <c r="F1273">
        <v>0.42</v>
      </c>
      <c r="G1273" s="37" t="str">
        <f t="shared" si="96"/>
        <v>Heavy Discount</v>
      </c>
      <c r="H1273" s="37" t="str">
        <f t="shared" si="97"/>
        <v>High</v>
      </c>
      <c r="I1273">
        <v>3</v>
      </c>
      <c r="J1273" t="str" cm="1">
        <f t="array" ref="J1273">_xlfn.IFS(I1273&lt;=3,"small",I1273&lt;=6,"Medium",I1273&lt;=9,"Large")</f>
        <v>small</v>
      </c>
      <c r="K1273" s="36">
        <v>45601</v>
      </c>
      <c r="L1273" s="36">
        <v>45604</v>
      </c>
      <c r="M1273" t="s">
        <v>598</v>
      </c>
      <c r="N1273" t="s">
        <v>599</v>
      </c>
      <c r="O1273" s="37" t="str">
        <f t="shared" si="98"/>
        <v>Digital Payment</v>
      </c>
      <c r="P1273">
        <v>75.489999999999995</v>
      </c>
      <c r="Q1273" s="37" t="str">
        <f>IF(P1273&gt;500,"High","low")</f>
        <v>low</v>
      </c>
      <c r="R1273" s="37" t="str">
        <f t="shared" si="99"/>
        <v>AVERAGE</v>
      </c>
      <c r="S1273" t="s">
        <v>628</v>
      </c>
    </row>
    <row r="1274" spans="1:19" x14ac:dyDescent="0.2">
      <c r="A1274" t="s">
        <v>1885</v>
      </c>
      <c r="B1274" t="s">
        <v>90</v>
      </c>
      <c r="C1274" t="s">
        <v>597</v>
      </c>
      <c r="D1274">
        <v>615.99</v>
      </c>
      <c r="E1274" s="37" t="str">
        <f t="shared" si="95"/>
        <v xml:space="preserve"> </v>
      </c>
      <c r="F1274">
        <v>0.03</v>
      </c>
      <c r="G1274" s="37" t="str">
        <f t="shared" si="96"/>
        <v>Normal Discount</v>
      </c>
      <c r="H1274" s="37" t="str">
        <f t="shared" si="97"/>
        <v>Low</v>
      </c>
      <c r="I1274">
        <v>7</v>
      </c>
      <c r="J1274" t="str" cm="1">
        <f t="array" ref="J1274">_xlfn.IFS(I1274&lt;=3,"small",I1274&lt;=6,"Medium",I1274&lt;=9,"Large")</f>
        <v>Large</v>
      </c>
      <c r="K1274" s="36">
        <v>45090</v>
      </c>
      <c r="L1274" s="36">
        <v>45092</v>
      </c>
      <c r="M1274" t="s">
        <v>603</v>
      </c>
      <c r="N1274" t="s">
        <v>604</v>
      </c>
      <c r="O1274" s="37" t="str">
        <f t="shared" si="98"/>
        <v>Digital Payment</v>
      </c>
      <c r="P1274">
        <v>86.46</v>
      </c>
      <c r="Q1274" s="37" t="str">
        <f>IF(P1274&gt;500,"High","low")</f>
        <v>low</v>
      </c>
      <c r="R1274" s="37" t="str">
        <f t="shared" si="99"/>
        <v>AVERAGE</v>
      </c>
      <c r="S1274" t="s">
        <v>628</v>
      </c>
    </row>
    <row r="1275" spans="1:19" x14ac:dyDescent="0.2">
      <c r="A1275" t="s">
        <v>1886</v>
      </c>
      <c r="B1275" t="s">
        <v>90</v>
      </c>
      <c r="C1275" t="s">
        <v>607</v>
      </c>
      <c r="D1275">
        <v>4144.16</v>
      </c>
      <c r="E1275" s="37" t="str">
        <f t="shared" si="95"/>
        <v xml:space="preserve"> </v>
      </c>
      <c r="F1275">
        <v>0.19</v>
      </c>
      <c r="G1275" s="37" t="str">
        <f t="shared" si="96"/>
        <v>Normal Discount</v>
      </c>
      <c r="H1275" s="37" t="str">
        <f t="shared" si="97"/>
        <v>Low</v>
      </c>
      <c r="I1275">
        <v>7</v>
      </c>
      <c r="J1275" t="str" cm="1">
        <f t="array" ref="J1275">_xlfn.IFS(I1275&lt;=3,"small",I1275&lt;=6,"Medium",I1275&lt;=9,"Large")</f>
        <v>Large</v>
      </c>
      <c r="K1275" s="36">
        <v>45256</v>
      </c>
      <c r="L1275" s="36">
        <v>45261</v>
      </c>
      <c r="M1275" t="s">
        <v>598</v>
      </c>
      <c r="N1275" t="s">
        <v>608</v>
      </c>
      <c r="O1275" s="37" t="str">
        <f t="shared" si="98"/>
        <v>Cash Payment</v>
      </c>
      <c r="P1275">
        <v>566.35</v>
      </c>
      <c r="Q1275" s="37" t="str">
        <f>IF(P1275&gt;500,"High","low")</f>
        <v>High</v>
      </c>
      <c r="R1275" s="37" t="str">
        <f t="shared" si="99"/>
        <v>Good</v>
      </c>
      <c r="S1275" t="s">
        <v>620</v>
      </c>
    </row>
    <row r="1276" spans="1:19" x14ac:dyDescent="0.2">
      <c r="A1276" t="s">
        <v>1887</v>
      </c>
      <c r="B1276" t="s">
        <v>90</v>
      </c>
      <c r="C1276" t="s">
        <v>602</v>
      </c>
      <c r="D1276">
        <v>315.64</v>
      </c>
      <c r="E1276" s="37" t="str">
        <f t="shared" si="95"/>
        <v xml:space="preserve"> </v>
      </c>
      <c r="F1276">
        <v>0.32</v>
      </c>
      <c r="G1276" s="37" t="str">
        <f t="shared" si="96"/>
        <v>Heavy Discount</v>
      </c>
      <c r="H1276" s="37" t="str">
        <f t="shared" si="97"/>
        <v>Medium</v>
      </c>
      <c r="I1276">
        <v>5</v>
      </c>
      <c r="J1276" t="str" cm="1">
        <f t="array" ref="J1276">_xlfn.IFS(I1276&lt;=3,"small",I1276&lt;=6,"Medium",I1276&lt;=9,"Large")</f>
        <v>Medium</v>
      </c>
      <c r="K1276" s="36">
        <v>45431</v>
      </c>
      <c r="L1276" s="36">
        <v>45435</v>
      </c>
      <c r="M1276" t="s">
        <v>598</v>
      </c>
      <c r="N1276" t="s">
        <v>599</v>
      </c>
      <c r="O1276" s="37" t="str">
        <f t="shared" si="98"/>
        <v>Digital Payment</v>
      </c>
      <c r="P1276">
        <v>43.76</v>
      </c>
      <c r="Q1276" s="37" t="str">
        <f>IF(P1276&gt;500,"High","low")</f>
        <v>low</v>
      </c>
      <c r="R1276" s="37" t="str">
        <f t="shared" si="99"/>
        <v>AVERAGE</v>
      </c>
      <c r="S1276" t="s">
        <v>609</v>
      </c>
    </row>
    <row r="1277" spans="1:19" x14ac:dyDescent="0.2">
      <c r="A1277" t="s">
        <v>1888</v>
      </c>
      <c r="B1277" t="s">
        <v>67</v>
      </c>
      <c r="C1277" t="s">
        <v>602</v>
      </c>
      <c r="D1277">
        <v>3356.67</v>
      </c>
      <c r="E1277" s="37" t="str">
        <f t="shared" si="95"/>
        <v xml:space="preserve"> </v>
      </c>
      <c r="F1277">
        <v>0.2</v>
      </c>
      <c r="G1277" s="37" t="str">
        <f t="shared" si="96"/>
        <v>Normal Discount</v>
      </c>
      <c r="H1277" s="37" t="str">
        <f t="shared" si="97"/>
        <v>Medium</v>
      </c>
      <c r="I1277">
        <v>1</v>
      </c>
      <c r="J1277" t="str" cm="1">
        <f t="array" ref="J1277">_xlfn.IFS(I1277&lt;=3,"small",I1277&lt;=6,"Medium",I1277&lt;=9,"Large")</f>
        <v>small</v>
      </c>
      <c r="K1277" s="36">
        <v>45275</v>
      </c>
      <c r="L1277" s="36">
        <v>45277</v>
      </c>
      <c r="M1277" t="s">
        <v>598</v>
      </c>
      <c r="N1277" t="s">
        <v>608</v>
      </c>
      <c r="O1277" s="37" t="str">
        <f t="shared" si="98"/>
        <v>Cash Payment</v>
      </c>
      <c r="P1277">
        <v>381.34</v>
      </c>
      <c r="Q1277" s="37" t="str">
        <f>IF(P1277&gt;500,"High","low")</f>
        <v>low</v>
      </c>
      <c r="R1277" s="37" t="str">
        <f t="shared" si="99"/>
        <v>AVERAGE</v>
      </c>
      <c r="S1277" t="s">
        <v>628</v>
      </c>
    </row>
    <row r="1278" spans="1:19" x14ac:dyDescent="0.2">
      <c r="A1278" t="s">
        <v>1889</v>
      </c>
      <c r="B1278" t="s">
        <v>75</v>
      </c>
      <c r="C1278" t="s">
        <v>607</v>
      </c>
      <c r="D1278">
        <v>317.93</v>
      </c>
      <c r="E1278" s="37" t="str">
        <f t="shared" si="95"/>
        <v xml:space="preserve"> </v>
      </c>
      <c r="F1278">
        <v>0.02</v>
      </c>
      <c r="G1278" s="37" t="str">
        <f t="shared" si="96"/>
        <v>Normal Discount</v>
      </c>
      <c r="H1278" s="37" t="str">
        <f t="shared" si="97"/>
        <v>Low</v>
      </c>
      <c r="I1278">
        <v>9</v>
      </c>
      <c r="J1278" t="str" cm="1">
        <f t="array" ref="J1278">_xlfn.IFS(I1278&lt;=3,"small",I1278&lt;=6,"Medium",I1278&lt;=9,"Large")</f>
        <v>Large</v>
      </c>
      <c r="K1278" s="36">
        <v>45462</v>
      </c>
      <c r="L1278" s="36">
        <v>45469</v>
      </c>
      <c r="M1278" t="s">
        <v>598</v>
      </c>
      <c r="N1278" t="s">
        <v>608</v>
      </c>
      <c r="O1278" s="37" t="str">
        <f t="shared" si="98"/>
        <v>Cash Payment</v>
      </c>
      <c r="P1278">
        <v>59.3</v>
      </c>
      <c r="Q1278" s="37" t="str">
        <f>IF(P1278&gt;500,"High","low")</f>
        <v>low</v>
      </c>
      <c r="R1278" s="37" t="str">
        <f t="shared" si="99"/>
        <v>AVERAGE</v>
      </c>
      <c r="S1278" t="s">
        <v>600</v>
      </c>
    </row>
    <row r="1279" spans="1:19" x14ac:dyDescent="0.2">
      <c r="A1279" t="s">
        <v>1890</v>
      </c>
      <c r="B1279" t="s">
        <v>90</v>
      </c>
      <c r="C1279" t="s">
        <v>602</v>
      </c>
      <c r="D1279">
        <v>3953.57</v>
      </c>
      <c r="E1279" s="37" t="str">
        <f t="shared" si="95"/>
        <v xml:space="preserve"> </v>
      </c>
      <c r="F1279">
        <v>0.33</v>
      </c>
      <c r="G1279" s="37" t="str">
        <f t="shared" si="96"/>
        <v>Heavy Discount</v>
      </c>
      <c r="H1279" s="37" t="str">
        <f t="shared" si="97"/>
        <v>Medium</v>
      </c>
      <c r="I1279">
        <v>2</v>
      </c>
      <c r="J1279" t="str" cm="1">
        <f t="array" ref="J1279">_xlfn.IFS(I1279&lt;=3,"small",I1279&lt;=6,"Medium",I1279&lt;=9,"Large")</f>
        <v>small</v>
      </c>
      <c r="K1279" s="36">
        <v>45107</v>
      </c>
      <c r="L1279" s="36">
        <v>45111</v>
      </c>
      <c r="M1279" t="s">
        <v>603</v>
      </c>
      <c r="N1279" t="s">
        <v>608</v>
      </c>
      <c r="O1279" s="37" t="str">
        <f t="shared" si="98"/>
        <v>Cash Payment</v>
      </c>
      <c r="P1279">
        <v>1155.54</v>
      </c>
      <c r="Q1279" s="37" t="str">
        <f>IF(P1279&gt;500,"High","low")</f>
        <v>High</v>
      </c>
      <c r="R1279" s="37" t="str">
        <f t="shared" si="99"/>
        <v>Excellent</v>
      </c>
      <c r="S1279" t="s">
        <v>628</v>
      </c>
    </row>
    <row r="1280" spans="1:19" x14ac:dyDescent="0.2">
      <c r="A1280" t="s">
        <v>1891</v>
      </c>
      <c r="B1280" t="s">
        <v>75</v>
      </c>
      <c r="C1280" t="s">
        <v>597</v>
      </c>
      <c r="D1280">
        <v>4572.3</v>
      </c>
      <c r="E1280" s="37" t="str">
        <f t="shared" si="95"/>
        <v xml:space="preserve"> </v>
      </c>
      <c r="F1280">
        <v>0.2</v>
      </c>
      <c r="G1280" s="37" t="str">
        <f t="shared" si="96"/>
        <v>Normal Discount</v>
      </c>
      <c r="H1280" s="37" t="str">
        <f t="shared" si="97"/>
        <v>Medium</v>
      </c>
      <c r="I1280">
        <v>4</v>
      </c>
      <c r="J1280" t="str" cm="1">
        <f t="array" ref="J1280">_xlfn.IFS(I1280&lt;=3,"small",I1280&lt;=6,"Medium",I1280&lt;=9,"Large")</f>
        <v>Medium</v>
      </c>
      <c r="K1280" s="36">
        <v>45465</v>
      </c>
      <c r="L1280" s="36">
        <v>45466</v>
      </c>
      <c r="M1280" t="s">
        <v>612</v>
      </c>
      <c r="N1280" t="s">
        <v>599</v>
      </c>
      <c r="O1280" s="37" t="str">
        <f t="shared" si="98"/>
        <v>Digital Payment</v>
      </c>
      <c r="P1280">
        <v>289.23</v>
      </c>
      <c r="Q1280" s="37" t="str">
        <f>IF(P1280&gt;500,"High","low")</f>
        <v>low</v>
      </c>
      <c r="R1280" s="37" t="str">
        <f t="shared" si="99"/>
        <v>AVERAGE</v>
      </c>
      <c r="S1280" t="s">
        <v>620</v>
      </c>
    </row>
    <row r="1281" spans="1:19" x14ac:dyDescent="0.2">
      <c r="A1281" t="s">
        <v>1892</v>
      </c>
      <c r="B1281" t="s">
        <v>67</v>
      </c>
      <c r="C1281" t="s">
        <v>602</v>
      </c>
      <c r="D1281">
        <v>2485.5300000000002</v>
      </c>
      <c r="E1281" s="37" t="str">
        <f t="shared" si="95"/>
        <v xml:space="preserve"> </v>
      </c>
      <c r="F1281">
        <v>0.01</v>
      </c>
      <c r="G1281" s="37" t="str">
        <f t="shared" si="96"/>
        <v>Normal Discount</v>
      </c>
      <c r="H1281" s="37" t="str">
        <f t="shared" si="97"/>
        <v>Low</v>
      </c>
      <c r="I1281">
        <v>2</v>
      </c>
      <c r="J1281" t="str" cm="1">
        <f t="array" ref="J1281">_xlfn.IFS(I1281&lt;=3,"small",I1281&lt;=6,"Medium",I1281&lt;=9,"Large")</f>
        <v>small</v>
      </c>
      <c r="K1281" s="36">
        <v>45383</v>
      </c>
      <c r="L1281" s="36">
        <v>45390</v>
      </c>
      <c r="M1281" t="s">
        <v>612</v>
      </c>
      <c r="N1281" t="s">
        <v>604</v>
      </c>
      <c r="O1281" s="37" t="str">
        <f t="shared" si="98"/>
        <v>Digital Payment</v>
      </c>
      <c r="P1281">
        <v>479.97</v>
      </c>
      <c r="Q1281" s="37" t="str">
        <f>IF(P1281&gt;500,"High","low")</f>
        <v>low</v>
      </c>
      <c r="R1281" s="37" t="str">
        <f t="shared" si="99"/>
        <v>AVERAGE</v>
      </c>
      <c r="S1281" t="s">
        <v>605</v>
      </c>
    </row>
    <row r="1282" spans="1:19" x14ac:dyDescent="0.2">
      <c r="A1282" t="s">
        <v>1893</v>
      </c>
      <c r="B1282" t="s">
        <v>83</v>
      </c>
      <c r="C1282" t="s">
        <v>597</v>
      </c>
      <c r="D1282">
        <v>4042.25</v>
      </c>
      <c r="E1282" s="37" t="str">
        <f t="shared" si="95"/>
        <v>Excellent Order</v>
      </c>
      <c r="F1282">
        <v>0.09</v>
      </c>
      <c r="G1282" s="37" t="str">
        <f t="shared" si="96"/>
        <v>Normal Discount</v>
      </c>
      <c r="H1282" s="37" t="str">
        <f t="shared" si="97"/>
        <v>Low</v>
      </c>
      <c r="I1282">
        <v>1</v>
      </c>
      <c r="J1282" t="str" cm="1">
        <f t="array" ref="J1282">_xlfn.IFS(I1282&lt;=3,"small",I1282&lt;=6,"Medium",I1282&lt;=9,"Large")</f>
        <v>small</v>
      </c>
      <c r="K1282" s="36">
        <v>45000</v>
      </c>
      <c r="L1282" s="36">
        <v>45004</v>
      </c>
      <c r="M1282" t="s">
        <v>603</v>
      </c>
      <c r="N1282" t="s">
        <v>608</v>
      </c>
      <c r="O1282" s="37" t="str">
        <f t="shared" si="98"/>
        <v>Cash Payment</v>
      </c>
      <c r="P1282">
        <v>1168.01</v>
      </c>
      <c r="Q1282" s="37" t="str">
        <f>IF(P1282&gt;500,"High","low")</f>
        <v>High</v>
      </c>
      <c r="R1282" s="37" t="str">
        <f t="shared" si="99"/>
        <v>Excellent</v>
      </c>
      <c r="S1282" t="s">
        <v>605</v>
      </c>
    </row>
    <row r="1283" spans="1:19" x14ac:dyDescent="0.2">
      <c r="A1283" t="s">
        <v>1894</v>
      </c>
      <c r="B1283" t="s">
        <v>90</v>
      </c>
      <c r="C1283" t="s">
        <v>607</v>
      </c>
      <c r="D1283">
        <v>3561.41</v>
      </c>
      <c r="E1283" s="37" t="str">
        <f t="shared" ref="E1283:E1346" si="100">IF(AND(D1283&gt;4000,P1283&gt;800),"Excellent Order"," ")</f>
        <v xml:space="preserve"> </v>
      </c>
      <c r="F1283">
        <v>0.11</v>
      </c>
      <c r="G1283" s="37" t="str">
        <f t="shared" ref="G1283:G1346" si="101">IF(F1283&gt;30%,"Heavy Discount","Normal Discount")</f>
        <v>Normal Discount</v>
      </c>
      <c r="H1283" s="37" t="str">
        <f t="shared" ref="H1283:H1346" si="102">IF(F1283&gt;0.4,"High",IF(F1283&gt;=0.2,"Medium","Low"))</f>
        <v>Low</v>
      </c>
      <c r="I1283">
        <v>1</v>
      </c>
      <c r="J1283" t="str" cm="1">
        <f t="array" ref="J1283">_xlfn.IFS(I1283&lt;=3,"small",I1283&lt;=6,"Medium",I1283&lt;=9,"Large")</f>
        <v>small</v>
      </c>
      <c r="K1283" s="36">
        <v>45066</v>
      </c>
      <c r="L1283" s="36">
        <v>45070</v>
      </c>
      <c r="M1283" t="s">
        <v>598</v>
      </c>
      <c r="N1283" t="s">
        <v>599</v>
      </c>
      <c r="O1283" s="37" t="str">
        <f t="shared" ref="O1283:O1346" si="103">IF(OR(N1283="Card",N1283="UPI"),"Digital Payment","Cash Payment")</f>
        <v>Digital Payment</v>
      </c>
      <c r="P1283">
        <v>553.04999999999995</v>
      </c>
      <c r="Q1283" s="37" t="str">
        <f>IF(P1283&gt;500,"High","low")</f>
        <v>High</v>
      </c>
      <c r="R1283" s="37" t="str">
        <f t="shared" ref="R1283:R1346" si="104">IF(P1283&gt;1000,"Excellent",IF(P1283&gt;=500,"Good","AVERAGE"))</f>
        <v>Good</v>
      </c>
      <c r="S1283" t="s">
        <v>605</v>
      </c>
    </row>
    <row r="1284" spans="1:19" x14ac:dyDescent="0.2">
      <c r="A1284" t="s">
        <v>1895</v>
      </c>
      <c r="B1284" t="s">
        <v>75</v>
      </c>
      <c r="C1284" t="s">
        <v>614</v>
      </c>
      <c r="D1284">
        <v>3998.61</v>
      </c>
      <c r="E1284" s="37" t="str">
        <f t="shared" si="100"/>
        <v xml:space="preserve"> </v>
      </c>
      <c r="F1284">
        <v>0.26</v>
      </c>
      <c r="G1284" s="37" t="str">
        <f t="shared" si="101"/>
        <v>Normal Discount</v>
      </c>
      <c r="H1284" s="37" t="str">
        <f t="shared" si="102"/>
        <v>Medium</v>
      </c>
      <c r="I1284">
        <v>1</v>
      </c>
      <c r="J1284" t="str" cm="1">
        <f t="array" ref="J1284">_xlfn.IFS(I1284&lt;=3,"small",I1284&lt;=6,"Medium",I1284&lt;=9,"Large")</f>
        <v>small</v>
      </c>
      <c r="K1284" s="36">
        <v>45581</v>
      </c>
      <c r="L1284" s="36">
        <v>45582</v>
      </c>
      <c r="M1284" t="s">
        <v>598</v>
      </c>
      <c r="N1284" t="s">
        <v>604</v>
      </c>
      <c r="O1284" s="37" t="str">
        <f t="shared" si="103"/>
        <v>Digital Payment</v>
      </c>
      <c r="P1284">
        <v>745.13</v>
      </c>
      <c r="Q1284" s="37" t="str">
        <f>IF(P1284&gt;500,"High","low")</f>
        <v>High</v>
      </c>
      <c r="R1284" s="37" t="str">
        <f t="shared" si="104"/>
        <v>Good</v>
      </c>
      <c r="S1284" t="s">
        <v>620</v>
      </c>
    </row>
    <row r="1285" spans="1:19" x14ac:dyDescent="0.2">
      <c r="A1285" t="s">
        <v>1896</v>
      </c>
      <c r="B1285" t="s">
        <v>75</v>
      </c>
      <c r="C1285" t="s">
        <v>607</v>
      </c>
      <c r="D1285">
        <v>3857.2</v>
      </c>
      <c r="E1285" s="37" t="str">
        <f t="shared" si="100"/>
        <v xml:space="preserve"> </v>
      </c>
      <c r="F1285">
        <v>0.09</v>
      </c>
      <c r="G1285" s="37" t="str">
        <f t="shared" si="101"/>
        <v>Normal Discount</v>
      </c>
      <c r="H1285" s="37" t="str">
        <f t="shared" si="102"/>
        <v>Low</v>
      </c>
      <c r="I1285">
        <v>7</v>
      </c>
      <c r="J1285" t="str" cm="1">
        <f t="array" ref="J1285">_xlfn.IFS(I1285&lt;=3,"small",I1285&lt;=6,"Medium",I1285&lt;=9,"Large")</f>
        <v>Large</v>
      </c>
      <c r="K1285" s="36">
        <v>44929</v>
      </c>
      <c r="L1285" s="36">
        <v>44936</v>
      </c>
      <c r="M1285" t="s">
        <v>612</v>
      </c>
      <c r="N1285" t="s">
        <v>608</v>
      </c>
      <c r="O1285" s="37" t="str">
        <f t="shared" si="103"/>
        <v>Cash Payment</v>
      </c>
      <c r="P1285">
        <v>297.72000000000003</v>
      </c>
      <c r="Q1285" s="37" t="str">
        <f>IF(P1285&gt;500,"High","low")</f>
        <v>low</v>
      </c>
      <c r="R1285" s="37" t="str">
        <f t="shared" si="104"/>
        <v>AVERAGE</v>
      </c>
      <c r="S1285" t="s">
        <v>600</v>
      </c>
    </row>
    <row r="1286" spans="1:19" x14ac:dyDescent="0.2">
      <c r="A1286" t="s">
        <v>1897</v>
      </c>
      <c r="B1286" t="s">
        <v>90</v>
      </c>
      <c r="C1286" t="s">
        <v>597</v>
      </c>
      <c r="D1286">
        <v>1106.3</v>
      </c>
      <c r="E1286" s="37" t="str">
        <f t="shared" si="100"/>
        <v xml:space="preserve"> </v>
      </c>
      <c r="F1286">
        <v>0.18</v>
      </c>
      <c r="G1286" s="37" t="str">
        <f t="shared" si="101"/>
        <v>Normal Discount</v>
      </c>
      <c r="H1286" s="37" t="str">
        <f t="shared" si="102"/>
        <v>Low</v>
      </c>
      <c r="I1286">
        <v>9</v>
      </c>
      <c r="J1286" t="str" cm="1">
        <f t="array" ref="J1286">_xlfn.IFS(I1286&lt;=3,"small",I1286&lt;=6,"Medium",I1286&lt;=9,"Large")</f>
        <v>Large</v>
      </c>
      <c r="K1286" s="36">
        <v>45191</v>
      </c>
      <c r="L1286" s="36">
        <v>45193</v>
      </c>
      <c r="M1286" t="s">
        <v>603</v>
      </c>
      <c r="N1286" t="s">
        <v>604</v>
      </c>
      <c r="O1286" s="37" t="str">
        <f t="shared" si="103"/>
        <v>Digital Payment</v>
      </c>
      <c r="P1286">
        <v>219.54</v>
      </c>
      <c r="Q1286" s="37" t="str">
        <f>IF(P1286&gt;500,"High","low")</f>
        <v>low</v>
      </c>
      <c r="R1286" s="37" t="str">
        <f t="shared" si="104"/>
        <v>AVERAGE</v>
      </c>
      <c r="S1286" t="s">
        <v>600</v>
      </c>
    </row>
    <row r="1287" spans="1:19" x14ac:dyDescent="0.2">
      <c r="A1287" t="s">
        <v>1898</v>
      </c>
      <c r="B1287" t="s">
        <v>83</v>
      </c>
      <c r="C1287" t="s">
        <v>617</v>
      </c>
      <c r="D1287">
        <v>2547.84</v>
      </c>
      <c r="E1287" s="37" t="str">
        <f t="shared" si="100"/>
        <v xml:space="preserve"> </v>
      </c>
      <c r="F1287">
        <v>0.38</v>
      </c>
      <c r="G1287" s="37" t="str">
        <f t="shared" si="101"/>
        <v>Heavy Discount</v>
      </c>
      <c r="H1287" s="37" t="str">
        <f t="shared" si="102"/>
        <v>Medium</v>
      </c>
      <c r="I1287">
        <v>1</v>
      </c>
      <c r="J1287" t="str" cm="1">
        <f t="array" ref="J1287">_xlfn.IFS(I1287&lt;=3,"small",I1287&lt;=6,"Medium",I1287&lt;=9,"Large")</f>
        <v>small</v>
      </c>
      <c r="K1287" s="36">
        <v>45349</v>
      </c>
      <c r="L1287" s="36">
        <v>45351</v>
      </c>
      <c r="M1287" t="s">
        <v>603</v>
      </c>
      <c r="N1287" t="s">
        <v>604</v>
      </c>
      <c r="O1287" s="37" t="str">
        <f t="shared" si="103"/>
        <v>Digital Payment</v>
      </c>
      <c r="P1287">
        <v>373.71</v>
      </c>
      <c r="Q1287" s="37" t="str">
        <f>IF(P1287&gt;500,"High","low")</f>
        <v>low</v>
      </c>
      <c r="R1287" s="37" t="str">
        <f t="shared" si="104"/>
        <v>AVERAGE</v>
      </c>
      <c r="S1287" t="s">
        <v>615</v>
      </c>
    </row>
    <row r="1288" spans="1:19" x14ac:dyDescent="0.2">
      <c r="A1288" t="s">
        <v>1899</v>
      </c>
      <c r="B1288" t="s">
        <v>83</v>
      </c>
      <c r="C1288" t="s">
        <v>607</v>
      </c>
      <c r="D1288">
        <v>4806.03</v>
      </c>
      <c r="E1288" s="37" t="str">
        <f t="shared" si="100"/>
        <v>Excellent Order</v>
      </c>
      <c r="F1288">
        <v>0.4</v>
      </c>
      <c r="G1288" s="37" t="str">
        <f t="shared" si="101"/>
        <v>Heavy Discount</v>
      </c>
      <c r="H1288" s="37" t="str">
        <f t="shared" si="102"/>
        <v>Medium</v>
      </c>
      <c r="I1288">
        <v>6</v>
      </c>
      <c r="J1288" t="str" cm="1">
        <f t="array" ref="J1288">_xlfn.IFS(I1288&lt;=3,"small",I1288&lt;=6,"Medium",I1288&lt;=9,"Large")</f>
        <v>Medium</v>
      </c>
      <c r="K1288" s="36">
        <v>45468</v>
      </c>
      <c r="L1288" s="36">
        <v>45469</v>
      </c>
      <c r="M1288" t="s">
        <v>612</v>
      </c>
      <c r="N1288" t="s">
        <v>604</v>
      </c>
      <c r="O1288" s="37" t="str">
        <f t="shared" si="103"/>
        <v>Digital Payment</v>
      </c>
      <c r="P1288">
        <v>1113.95</v>
      </c>
      <c r="Q1288" s="37" t="str">
        <f>IF(P1288&gt;500,"High","low")</f>
        <v>High</v>
      </c>
      <c r="R1288" s="37" t="str">
        <f t="shared" si="104"/>
        <v>Excellent</v>
      </c>
      <c r="S1288" t="s">
        <v>615</v>
      </c>
    </row>
    <row r="1289" spans="1:19" x14ac:dyDescent="0.2">
      <c r="A1289" t="s">
        <v>1900</v>
      </c>
      <c r="B1289" t="s">
        <v>83</v>
      </c>
      <c r="C1289" t="s">
        <v>617</v>
      </c>
      <c r="D1289">
        <v>1783.31</v>
      </c>
      <c r="E1289" s="37" t="str">
        <f t="shared" si="100"/>
        <v xml:space="preserve"> </v>
      </c>
      <c r="F1289">
        <v>0.4</v>
      </c>
      <c r="G1289" s="37" t="str">
        <f t="shared" si="101"/>
        <v>Heavy Discount</v>
      </c>
      <c r="H1289" s="37" t="str">
        <f t="shared" si="102"/>
        <v>Medium</v>
      </c>
      <c r="I1289">
        <v>5</v>
      </c>
      <c r="J1289" t="str" cm="1">
        <f t="array" ref="J1289">_xlfn.IFS(I1289&lt;=3,"small",I1289&lt;=6,"Medium",I1289&lt;=9,"Large")</f>
        <v>Medium</v>
      </c>
      <c r="K1289" s="36">
        <v>45495</v>
      </c>
      <c r="L1289" s="36">
        <v>45497</v>
      </c>
      <c r="M1289" t="s">
        <v>598</v>
      </c>
      <c r="N1289" t="s">
        <v>604</v>
      </c>
      <c r="O1289" s="37" t="str">
        <f t="shared" si="103"/>
        <v>Digital Payment</v>
      </c>
      <c r="P1289">
        <v>312.08</v>
      </c>
      <c r="Q1289" s="37" t="str">
        <f>IF(P1289&gt;500,"High","low")</f>
        <v>low</v>
      </c>
      <c r="R1289" s="37" t="str">
        <f t="shared" si="104"/>
        <v>AVERAGE</v>
      </c>
      <c r="S1289" t="s">
        <v>615</v>
      </c>
    </row>
    <row r="1290" spans="1:19" x14ac:dyDescent="0.2">
      <c r="A1290" t="s">
        <v>1901</v>
      </c>
      <c r="B1290" t="s">
        <v>67</v>
      </c>
      <c r="C1290" t="s">
        <v>617</v>
      </c>
      <c r="D1290">
        <v>4855.3900000000003</v>
      </c>
      <c r="E1290" s="37" t="str">
        <f t="shared" si="100"/>
        <v xml:space="preserve"> </v>
      </c>
      <c r="F1290">
        <v>0.35</v>
      </c>
      <c r="G1290" s="37" t="str">
        <f t="shared" si="101"/>
        <v>Heavy Discount</v>
      </c>
      <c r="H1290" s="37" t="str">
        <f t="shared" si="102"/>
        <v>Medium</v>
      </c>
      <c r="I1290">
        <v>3</v>
      </c>
      <c r="J1290" t="str" cm="1">
        <f t="array" ref="J1290">_xlfn.IFS(I1290&lt;=3,"small",I1290&lt;=6,"Medium",I1290&lt;=9,"Large")</f>
        <v>small</v>
      </c>
      <c r="K1290" s="36">
        <v>45340</v>
      </c>
      <c r="L1290" s="36">
        <v>45345</v>
      </c>
      <c r="M1290" t="s">
        <v>598</v>
      </c>
      <c r="N1290" t="s">
        <v>599</v>
      </c>
      <c r="O1290" s="37" t="str">
        <f t="shared" si="103"/>
        <v>Digital Payment</v>
      </c>
      <c r="P1290">
        <v>372.97</v>
      </c>
      <c r="Q1290" s="37" t="str">
        <f>IF(P1290&gt;500,"High","low")</f>
        <v>low</v>
      </c>
      <c r="R1290" s="37" t="str">
        <f t="shared" si="104"/>
        <v>AVERAGE</v>
      </c>
      <c r="S1290" t="s">
        <v>609</v>
      </c>
    </row>
    <row r="1291" spans="1:19" x14ac:dyDescent="0.2">
      <c r="A1291" t="s">
        <v>1902</v>
      </c>
      <c r="B1291" t="s">
        <v>75</v>
      </c>
      <c r="C1291" t="s">
        <v>597</v>
      </c>
      <c r="D1291">
        <v>2957.49</v>
      </c>
      <c r="E1291" s="37" t="str">
        <f t="shared" si="100"/>
        <v xml:space="preserve"> </v>
      </c>
      <c r="F1291">
        <v>0.27</v>
      </c>
      <c r="G1291" s="37" t="str">
        <f t="shared" si="101"/>
        <v>Normal Discount</v>
      </c>
      <c r="H1291" s="37" t="str">
        <f t="shared" si="102"/>
        <v>Medium</v>
      </c>
      <c r="I1291">
        <v>2</v>
      </c>
      <c r="J1291" t="str" cm="1">
        <f t="array" ref="J1291">_xlfn.IFS(I1291&lt;=3,"small",I1291&lt;=6,"Medium",I1291&lt;=9,"Large")</f>
        <v>small</v>
      </c>
      <c r="K1291" s="36">
        <v>45246</v>
      </c>
      <c r="L1291" s="36">
        <v>45253</v>
      </c>
      <c r="M1291" t="s">
        <v>598</v>
      </c>
      <c r="N1291" t="s">
        <v>599</v>
      </c>
      <c r="O1291" s="37" t="str">
        <f t="shared" si="103"/>
        <v>Digital Payment</v>
      </c>
      <c r="P1291">
        <v>264.88</v>
      </c>
      <c r="Q1291" s="37" t="str">
        <f>IF(P1291&gt;500,"High","low")</f>
        <v>low</v>
      </c>
      <c r="R1291" s="37" t="str">
        <f t="shared" si="104"/>
        <v>AVERAGE</v>
      </c>
      <c r="S1291" t="s">
        <v>615</v>
      </c>
    </row>
    <row r="1292" spans="1:19" x14ac:dyDescent="0.2">
      <c r="A1292" t="s">
        <v>1903</v>
      </c>
      <c r="B1292" t="s">
        <v>75</v>
      </c>
      <c r="C1292" t="s">
        <v>597</v>
      </c>
      <c r="D1292">
        <v>2361.9</v>
      </c>
      <c r="E1292" s="37" t="str">
        <f t="shared" si="100"/>
        <v xml:space="preserve"> </v>
      </c>
      <c r="F1292">
        <v>0.28000000000000003</v>
      </c>
      <c r="G1292" s="37" t="str">
        <f t="shared" si="101"/>
        <v>Normal Discount</v>
      </c>
      <c r="H1292" s="37" t="str">
        <f t="shared" si="102"/>
        <v>Medium</v>
      </c>
      <c r="I1292">
        <v>2</v>
      </c>
      <c r="J1292" t="str" cm="1">
        <f t="array" ref="J1292">_xlfn.IFS(I1292&lt;=3,"small",I1292&lt;=6,"Medium",I1292&lt;=9,"Large")</f>
        <v>small</v>
      </c>
      <c r="K1292" s="36">
        <v>45326</v>
      </c>
      <c r="L1292" s="36">
        <v>45332</v>
      </c>
      <c r="M1292" t="s">
        <v>612</v>
      </c>
      <c r="N1292" t="s">
        <v>599</v>
      </c>
      <c r="O1292" s="37" t="str">
        <f t="shared" si="103"/>
        <v>Digital Payment</v>
      </c>
      <c r="P1292">
        <v>639.57000000000005</v>
      </c>
      <c r="Q1292" s="37" t="str">
        <f>IF(P1292&gt;500,"High","low")</f>
        <v>High</v>
      </c>
      <c r="R1292" s="37" t="str">
        <f t="shared" si="104"/>
        <v>Good</v>
      </c>
      <c r="S1292" t="s">
        <v>628</v>
      </c>
    </row>
    <row r="1293" spans="1:19" x14ac:dyDescent="0.2">
      <c r="A1293" t="s">
        <v>1904</v>
      </c>
      <c r="B1293" t="s">
        <v>75</v>
      </c>
      <c r="C1293" t="s">
        <v>614</v>
      </c>
      <c r="D1293">
        <v>3323.01</v>
      </c>
      <c r="E1293" s="37" t="str">
        <f t="shared" si="100"/>
        <v xml:space="preserve"> </v>
      </c>
      <c r="F1293">
        <v>0.48</v>
      </c>
      <c r="G1293" s="37" t="str">
        <f t="shared" si="101"/>
        <v>Heavy Discount</v>
      </c>
      <c r="H1293" s="37" t="str">
        <f t="shared" si="102"/>
        <v>High</v>
      </c>
      <c r="I1293">
        <v>2</v>
      </c>
      <c r="J1293" t="str" cm="1">
        <f t="array" ref="J1293">_xlfn.IFS(I1293&lt;=3,"small",I1293&lt;=6,"Medium",I1293&lt;=9,"Large")</f>
        <v>small</v>
      </c>
      <c r="K1293" s="36">
        <v>45046</v>
      </c>
      <c r="L1293" s="36">
        <v>45050</v>
      </c>
      <c r="M1293" t="s">
        <v>612</v>
      </c>
      <c r="N1293" t="s">
        <v>604</v>
      </c>
      <c r="O1293" s="37" t="str">
        <f t="shared" si="103"/>
        <v>Digital Payment</v>
      </c>
      <c r="P1293">
        <v>663.37</v>
      </c>
      <c r="Q1293" s="37" t="str">
        <f>IF(P1293&gt;500,"High","low")</f>
        <v>High</v>
      </c>
      <c r="R1293" s="37" t="str">
        <f t="shared" si="104"/>
        <v>Good</v>
      </c>
      <c r="S1293" t="s">
        <v>615</v>
      </c>
    </row>
    <row r="1294" spans="1:19" x14ac:dyDescent="0.2">
      <c r="A1294" t="s">
        <v>1905</v>
      </c>
      <c r="B1294" t="s">
        <v>67</v>
      </c>
      <c r="C1294" t="s">
        <v>602</v>
      </c>
      <c r="D1294">
        <v>4097.6099999999997</v>
      </c>
      <c r="E1294" s="37" t="str">
        <f t="shared" si="100"/>
        <v xml:space="preserve"> </v>
      </c>
      <c r="F1294">
        <v>0.44</v>
      </c>
      <c r="G1294" s="37" t="str">
        <f t="shared" si="101"/>
        <v>Heavy Discount</v>
      </c>
      <c r="H1294" s="37" t="str">
        <f t="shared" si="102"/>
        <v>High</v>
      </c>
      <c r="I1294">
        <v>7</v>
      </c>
      <c r="J1294" t="str" cm="1">
        <f t="array" ref="J1294">_xlfn.IFS(I1294&lt;=3,"small",I1294&lt;=6,"Medium",I1294&lt;=9,"Large")</f>
        <v>Large</v>
      </c>
      <c r="K1294" s="36">
        <v>45346</v>
      </c>
      <c r="L1294" s="36">
        <v>45353</v>
      </c>
      <c r="M1294" t="s">
        <v>612</v>
      </c>
      <c r="N1294" t="s">
        <v>599</v>
      </c>
      <c r="O1294" s="37" t="str">
        <f t="shared" si="103"/>
        <v>Digital Payment</v>
      </c>
      <c r="P1294">
        <v>276.74</v>
      </c>
      <c r="Q1294" s="37" t="str">
        <f>IF(P1294&gt;500,"High","low")</f>
        <v>low</v>
      </c>
      <c r="R1294" s="37" t="str">
        <f t="shared" si="104"/>
        <v>AVERAGE</v>
      </c>
      <c r="S1294" t="s">
        <v>620</v>
      </c>
    </row>
    <row r="1295" spans="1:19" x14ac:dyDescent="0.2">
      <c r="A1295" t="s">
        <v>1906</v>
      </c>
      <c r="B1295" t="s">
        <v>75</v>
      </c>
      <c r="C1295" t="s">
        <v>607</v>
      </c>
      <c r="D1295">
        <v>2031.62</v>
      </c>
      <c r="E1295" s="37" t="str">
        <f t="shared" si="100"/>
        <v xml:space="preserve"> </v>
      </c>
      <c r="F1295">
        <v>0.32</v>
      </c>
      <c r="G1295" s="37" t="str">
        <f t="shared" si="101"/>
        <v>Heavy Discount</v>
      </c>
      <c r="H1295" s="37" t="str">
        <f t="shared" si="102"/>
        <v>Medium</v>
      </c>
      <c r="I1295">
        <v>4</v>
      </c>
      <c r="J1295" t="str" cm="1">
        <f t="array" ref="J1295">_xlfn.IFS(I1295&lt;=3,"small",I1295&lt;=6,"Medium",I1295&lt;=9,"Large")</f>
        <v>Medium</v>
      </c>
      <c r="K1295" s="36">
        <v>45212</v>
      </c>
      <c r="L1295" s="36">
        <v>45214</v>
      </c>
      <c r="M1295" t="s">
        <v>598</v>
      </c>
      <c r="N1295" t="s">
        <v>608</v>
      </c>
      <c r="O1295" s="37" t="str">
        <f t="shared" si="103"/>
        <v>Cash Payment</v>
      </c>
      <c r="P1295">
        <v>256.76</v>
      </c>
      <c r="Q1295" s="37" t="str">
        <f>IF(P1295&gt;500,"High","low")</f>
        <v>low</v>
      </c>
      <c r="R1295" s="37" t="str">
        <f t="shared" si="104"/>
        <v>AVERAGE</v>
      </c>
      <c r="S1295" t="s">
        <v>600</v>
      </c>
    </row>
    <row r="1296" spans="1:19" x14ac:dyDescent="0.2">
      <c r="A1296" t="s">
        <v>1907</v>
      </c>
      <c r="B1296" t="s">
        <v>67</v>
      </c>
      <c r="C1296" t="s">
        <v>597</v>
      </c>
      <c r="D1296">
        <v>261.48</v>
      </c>
      <c r="E1296" s="37" t="str">
        <f t="shared" si="100"/>
        <v xml:space="preserve"> </v>
      </c>
      <c r="F1296">
        <v>0.23</v>
      </c>
      <c r="G1296" s="37" t="str">
        <f t="shared" si="101"/>
        <v>Normal Discount</v>
      </c>
      <c r="H1296" s="37" t="str">
        <f t="shared" si="102"/>
        <v>Medium</v>
      </c>
      <c r="I1296">
        <v>7</v>
      </c>
      <c r="J1296" t="str" cm="1">
        <f t="array" ref="J1296">_xlfn.IFS(I1296&lt;=3,"small",I1296&lt;=6,"Medium",I1296&lt;=9,"Large")</f>
        <v>Large</v>
      </c>
      <c r="K1296" s="36">
        <v>44972</v>
      </c>
      <c r="L1296" s="36">
        <v>44979</v>
      </c>
      <c r="M1296" t="s">
        <v>603</v>
      </c>
      <c r="N1296" t="s">
        <v>608</v>
      </c>
      <c r="O1296" s="37" t="str">
        <f t="shared" si="103"/>
        <v>Cash Payment</v>
      </c>
      <c r="P1296">
        <v>62.56</v>
      </c>
      <c r="Q1296" s="37" t="str">
        <f>IF(P1296&gt;500,"High","low")</f>
        <v>low</v>
      </c>
      <c r="R1296" s="37" t="str">
        <f t="shared" si="104"/>
        <v>AVERAGE</v>
      </c>
      <c r="S1296" t="s">
        <v>605</v>
      </c>
    </row>
    <row r="1297" spans="1:19" x14ac:dyDescent="0.2">
      <c r="A1297" t="s">
        <v>1908</v>
      </c>
      <c r="B1297" t="s">
        <v>83</v>
      </c>
      <c r="C1297" t="s">
        <v>607</v>
      </c>
      <c r="D1297">
        <v>3573.15</v>
      </c>
      <c r="E1297" s="37" t="str">
        <f t="shared" si="100"/>
        <v xml:space="preserve"> </v>
      </c>
      <c r="F1297">
        <v>0.36</v>
      </c>
      <c r="G1297" s="37" t="str">
        <f t="shared" si="101"/>
        <v>Heavy Discount</v>
      </c>
      <c r="H1297" s="37" t="str">
        <f t="shared" si="102"/>
        <v>Medium</v>
      </c>
      <c r="I1297">
        <v>1</v>
      </c>
      <c r="J1297" t="str" cm="1">
        <f t="array" ref="J1297">_xlfn.IFS(I1297&lt;=3,"small",I1297&lt;=6,"Medium",I1297&lt;=9,"Large")</f>
        <v>small</v>
      </c>
      <c r="K1297" s="36">
        <v>45283</v>
      </c>
      <c r="L1297" s="36">
        <v>45287</v>
      </c>
      <c r="M1297" t="s">
        <v>598</v>
      </c>
      <c r="N1297" t="s">
        <v>599</v>
      </c>
      <c r="O1297" s="37" t="str">
        <f t="shared" si="103"/>
        <v>Digital Payment</v>
      </c>
      <c r="P1297">
        <v>696.44</v>
      </c>
      <c r="Q1297" s="37" t="str">
        <f>IF(P1297&gt;500,"High","low")</f>
        <v>High</v>
      </c>
      <c r="R1297" s="37" t="str">
        <f t="shared" si="104"/>
        <v>Good</v>
      </c>
      <c r="S1297" t="s">
        <v>620</v>
      </c>
    </row>
    <row r="1298" spans="1:19" x14ac:dyDescent="0.2">
      <c r="A1298" t="s">
        <v>1909</v>
      </c>
      <c r="B1298" t="s">
        <v>90</v>
      </c>
      <c r="C1298" t="s">
        <v>617</v>
      </c>
      <c r="D1298">
        <v>4785.22</v>
      </c>
      <c r="E1298" s="37" t="str">
        <f t="shared" si="100"/>
        <v>Excellent Order</v>
      </c>
      <c r="F1298">
        <v>0.03</v>
      </c>
      <c r="G1298" s="37" t="str">
        <f t="shared" si="101"/>
        <v>Normal Discount</v>
      </c>
      <c r="H1298" s="37" t="str">
        <f t="shared" si="102"/>
        <v>Low</v>
      </c>
      <c r="I1298">
        <v>4</v>
      </c>
      <c r="J1298" t="str" cm="1">
        <f t="array" ref="J1298">_xlfn.IFS(I1298&lt;=3,"small",I1298&lt;=6,"Medium",I1298&lt;=9,"Large")</f>
        <v>Medium</v>
      </c>
      <c r="K1298" s="36">
        <v>45006</v>
      </c>
      <c r="L1298" s="36">
        <v>45012</v>
      </c>
      <c r="M1298" t="s">
        <v>612</v>
      </c>
      <c r="N1298" t="s">
        <v>604</v>
      </c>
      <c r="O1298" s="37" t="str">
        <f t="shared" si="103"/>
        <v>Digital Payment</v>
      </c>
      <c r="P1298">
        <v>1290.3399999999999</v>
      </c>
      <c r="Q1298" s="37" t="str">
        <f>IF(P1298&gt;500,"High","low")</f>
        <v>High</v>
      </c>
      <c r="R1298" s="37" t="str">
        <f t="shared" si="104"/>
        <v>Excellent</v>
      </c>
      <c r="S1298" t="s">
        <v>600</v>
      </c>
    </row>
    <row r="1299" spans="1:19" x14ac:dyDescent="0.2">
      <c r="A1299" t="s">
        <v>1910</v>
      </c>
      <c r="B1299" t="s">
        <v>75</v>
      </c>
      <c r="C1299" t="s">
        <v>602</v>
      </c>
      <c r="D1299">
        <v>3162.43</v>
      </c>
      <c r="E1299" s="37" t="str">
        <f t="shared" si="100"/>
        <v xml:space="preserve"> </v>
      </c>
      <c r="F1299">
        <v>0.47</v>
      </c>
      <c r="G1299" s="37" t="str">
        <f t="shared" si="101"/>
        <v>Heavy Discount</v>
      </c>
      <c r="H1299" s="37" t="str">
        <f t="shared" si="102"/>
        <v>High</v>
      </c>
      <c r="I1299">
        <v>9</v>
      </c>
      <c r="J1299" t="str" cm="1">
        <f t="array" ref="J1299">_xlfn.IFS(I1299&lt;=3,"small",I1299&lt;=6,"Medium",I1299&lt;=9,"Large")</f>
        <v>Large</v>
      </c>
      <c r="K1299" s="36">
        <v>45330</v>
      </c>
      <c r="L1299" s="36">
        <v>45336</v>
      </c>
      <c r="M1299" t="s">
        <v>612</v>
      </c>
      <c r="N1299" t="s">
        <v>599</v>
      </c>
      <c r="O1299" s="37" t="str">
        <f t="shared" si="103"/>
        <v>Digital Payment</v>
      </c>
      <c r="P1299">
        <v>385.01</v>
      </c>
      <c r="Q1299" s="37" t="str">
        <f>IF(P1299&gt;500,"High","low")</f>
        <v>low</v>
      </c>
      <c r="R1299" s="37" t="str">
        <f t="shared" si="104"/>
        <v>AVERAGE</v>
      </c>
      <c r="S1299" t="s">
        <v>620</v>
      </c>
    </row>
    <row r="1300" spans="1:19" x14ac:dyDescent="0.2">
      <c r="A1300" t="s">
        <v>1911</v>
      </c>
      <c r="B1300" t="s">
        <v>75</v>
      </c>
      <c r="C1300" t="s">
        <v>614</v>
      </c>
      <c r="D1300">
        <v>1023.23</v>
      </c>
      <c r="E1300" s="37" t="str">
        <f t="shared" si="100"/>
        <v xml:space="preserve"> </v>
      </c>
      <c r="F1300">
        <v>0.27</v>
      </c>
      <c r="G1300" s="37" t="str">
        <f t="shared" si="101"/>
        <v>Normal Discount</v>
      </c>
      <c r="H1300" s="37" t="str">
        <f t="shared" si="102"/>
        <v>Medium</v>
      </c>
      <c r="I1300">
        <v>7</v>
      </c>
      <c r="J1300" t="str" cm="1">
        <f t="array" ref="J1300">_xlfn.IFS(I1300&lt;=3,"small",I1300&lt;=6,"Medium",I1300&lt;=9,"Large")</f>
        <v>Large</v>
      </c>
      <c r="K1300" s="36">
        <v>45388</v>
      </c>
      <c r="L1300" s="36">
        <v>45395</v>
      </c>
      <c r="M1300" t="s">
        <v>612</v>
      </c>
      <c r="N1300" t="s">
        <v>599</v>
      </c>
      <c r="O1300" s="37" t="str">
        <f t="shared" si="103"/>
        <v>Digital Payment</v>
      </c>
      <c r="P1300">
        <v>274.43</v>
      </c>
      <c r="Q1300" s="37" t="str">
        <f>IF(P1300&gt;500,"High","low")</f>
        <v>low</v>
      </c>
      <c r="R1300" s="37" t="str">
        <f t="shared" si="104"/>
        <v>AVERAGE</v>
      </c>
      <c r="S1300" t="s">
        <v>628</v>
      </c>
    </row>
    <row r="1301" spans="1:19" x14ac:dyDescent="0.2">
      <c r="A1301" t="s">
        <v>1912</v>
      </c>
      <c r="B1301" t="s">
        <v>83</v>
      </c>
      <c r="C1301" t="s">
        <v>607</v>
      </c>
      <c r="D1301">
        <v>1316.39</v>
      </c>
      <c r="E1301" s="37" t="str">
        <f t="shared" si="100"/>
        <v xml:space="preserve"> </v>
      </c>
      <c r="F1301">
        <v>0.25</v>
      </c>
      <c r="G1301" s="37" t="str">
        <f t="shared" si="101"/>
        <v>Normal Discount</v>
      </c>
      <c r="H1301" s="37" t="str">
        <f t="shared" si="102"/>
        <v>Medium</v>
      </c>
      <c r="I1301">
        <v>6</v>
      </c>
      <c r="J1301" t="str" cm="1">
        <f t="array" ref="J1301">_xlfn.IFS(I1301&lt;=3,"small",I1301&lt;=6,"Medium",I1301&lt;=9,"Large")</f>
        <v>Medium</v>
      </c>
      <c r="K1301" s="36">
        <v>45035</v>
      </c>
      <c r="L1301" s="36">
        <v>45037</v>
      </c>
      <c r="M1301" t="s">
        <v>612</v>
      </c>
      <c r="N1301" t="s">
        <v>604</v>
      </c>
      <c r="O1301" s="37" t="str">
        <f t="shared" si="103"/>
        <v>Digital Payment</v>
      </c>
      <c r="P1301">
        <v>205.52</v>
      </c>
      <c r="Q1301" s="37" t="str">
        <f>IF(P1301&gt;500,"High","low")</f>
        <v>low</v>
      </c>
      <c r="R1301" s="37" t="str">
        <f t="shared" si="104"/>
        <v>AVERAGE</v>
      </c>
      <c r="S1301" t="s">
        <v>620</v>
      </c>
    </row>
    <row r="1302" spans="1:19" x14ac:dyDescent="0.2">
      <c r="A1302" t="s">
        <v>1913</v>
      </c>
      <c r="B1302" t="s">
        <v>90</v>
      </c>
      <c r="C1302" t="s">
        <v>602</v>
      </c>
      <c r="D1302">
        <v>4557.78</v>
      </c>
      <c r="E1302" s="37" t="str">
        <f t="shared" si="100"/>
        <v>Excellent Order</v>
      </c>
      <c r="F1302">
        <v>0.15</v>
      </c>
      <c r="G1302" s="37" t="str">
        <f t="shared" si="101"/>
        <v>Normal Discount</v>
      </c>
      <c r="H1302" s="37" t="str">
        <f t="shared" si="102"/>
        <v>Low</v>
      </c>
      <c r="I1302">
        <v>7</v>
      </c>
      <c r="J1302" t="str" cm="1">
        <f t="array" ref="J1302">_xlfn.IFS(I1302&lt;=3,"small",I1302&lt;=6,"Medium",I1302&lt;=9,"Large")</f>
        <v>Large</v>
      </c>
      <c r="K1302" s="36">
        <v>45494</v>
      </c>
      <c r="L1302" s="36">
        <v>45498</v>
      </c>
      <c r="M1302" t="s">
        <v>612</v>
      </c>
      <c r="N1302" t="s">
        <v>599</v>
      </c>
      <c r="O1302" s="37" t="str">
        <f t="shared" si="103"/>
        <v>Digital Payment</v>
      </c>
      <c r="P1302">
        <v>1333.85</v>
      </c>
      <c r="Q1302" s="37" t="str">
        <f>IF(P1302&gt;500,"High","low")</f>
        <v>High</v>
      </c>
      <c r="R1302" s="37" t="str">
        <f t="shared" si="104"/>
        <v>Excellent</v>
      </c>
      <c r="S1302" t="s">
        <v>600</v>
      </c>
    </row>
    <row r="1303" spans="1:19" x14ac:dyDescent="0.2">
      <c r="A1303" t="s">
        <v>1914</v>
      </c>
      <c r="B1303" t="s">
        <v>67</v>
      </c>
      <c r="C1303" t="s">
        <v>614</v>
      </c>
      <c r="D1303">
        <v>166.45</v>
      </c>
      <c r="E1303" s="37" t="str">
        <f t="shared" si="100"/>
        <v xml:space="preserve"> </v>
      </c>
      <c r="F1303">
        <v>0</v>
      </c>
      <c r="G1303" s="37" t="str">
        <f t="shared" si="101"/>
        <v>Normal Discount</v>
      </c>
      <c r="H1303" s="37" t="str">
        <f t="shared" si="102"/>
        <v>Low</v>
      </c>
      <c r="I1303">
        <v>2</v>
      </c>
      <c r="J1303" t="str" cm="1">
        <f t="array" ref="J1303">_xlfn.IFS(I1303&lt;=3,"small",I1303&lt;=6,"Medium",I1303&lt;=9,"Large")</f>
        <v>small</v>
      </c>
      <c r="K1303" s="36">
        <v>45147</v>
      </c>
      <c r="L1303" s="36">
        <v>45148</v>
      </c>
      <c r="M1303" t="s">
        <v>603</v>
      </c>
      <c r="N1303" t="s">
        <v>599</v>
      </c>
      <c r="O1303" s="37" t="str">
        <f t="shared" si="103"/>
        <v>Digital Payment</v>
      </c>
      <c r="P1303">
        <v>43.59</v>
      </c>
      <c r="Q1303" s="37" t="str">
        <f>IF(P1303&gt;500,"High","low")</f>
        <v>low</v>
      </c>
      <c r="R1303" s="37" t="str">
        <f t="shared" si="104"/>
        <v>AVERAGE</v>
      </c>
      <c r="S1303" t="s">
        <v>609</v>
      </c>
    </row>
    <row r="1304" spans="1:19" x14ac:dyDescent="0.2">
      <c r="A1304" t="s">
        <v>1915</v>
      </c>
      <c r="B1304" t="s">
        <v>90</v>
      </c>
      <c r="C1304" t="s">
        <v>607</v>
      </c>
      <c r="D1304">
        <v>2788.86</v>
      </c>
      <c r="E1304" s="37" t="str">
        <f t="shared" si="100"/>
        <v xml:space="preserve"> </v>
      </c>
      <c r="F1304">
        <v>0.03</v>
      </c>
      <c r="G1304" s="37" t="str">
        <f t="shared" si="101"/>
        <v>Normal Discount</v>
      </c>
      <c r="H1304" s="37" t="str">
        <f t="shared" si="102"/>
        <v>Low</v>
      </c>
      <c r="I1304">
        <v>1</v>
      </c>
      <c r="J1304" t="str" cm="1">
        <f t="array" ref="J1304">_xlfn.IFS(I1304&lt;=3,"small",I1304&lt;=6,"Medium",I1304&lt;=9,"Large")</f>
        <v>small</v>
      </c>
      <c r="K1304" s="36">
        <v>45164</v>
      </c>
      <c r="L1304" s="36">
        <v>45171</v>
      </c>
      <c r="M1304" t="s">
        <v>612</v>
      </c>
      <c r="N1304" t="s">
        <v>608</v>
      </c>
      <c r="O1304" s="37" t="str">
        <f t="shared" si="103"/>
        <v>Cash Payment</v>
      </c>
      <c r="P1304">
        <v>782.08</v>
      </c>
      <c r="Q1304" s="37" t="str">
        <f>IF(P1304&gt;500,"High","low")</f>
        <v>High</v>
      </c>
      <c r="R1304" s="37" t="str">
        <f t="shared" si="104"/>
        <v>Good</v>
      </c>
      <c r="S1304" t="s">
        <v>600</v>
      </c>
    </row>
    <row r="1305" spans="1:19" x14ac:dyDescent="0.2">
      <c r="A1305" t="s">
        <v>1916</v>
      </c>
      <c r="B1305" t="s">
        <v>83</v>
      </c>
      <c r="C1305" t="s">
        <v>602</v>
      </c>
      <c r="D1305">
        <v>877.52</v>
      </c>
      <c r="E1305" s="37" t="str">
        <f t="shared" si="100"/>
        <v xml:space="preserve"> </v>
      </c>
      <c r="F1305">
        <v>0.13</v>
      </c>
      <c r="G1305" s="37" t="str">
        <f t="shared" si="101"/>
        <v>Normal Discount</v>
      </c>
      <c r="H1305" s="37" t="str">
        <f t="shared" si="102"/>
        <v>Low</v>
      </c>
      <c r="I1305">
        <v>9</v>
      </c>
      <c r="J1305" t="str" cm="1">
        <f t="array" ref="J1305">_xlfn.IFS(I1305&lt;=3,"small",I1305&lt;=6,"Medium",I1305&lt;=9,"Large")</f>
        <v>Large</v>
      </c>
      <c r="K1305" s="36">
        <v>45393</v>
      </c>
      <c r="L1305" s="36">
        <v>45394</v>
      </c>
      <c r="M1305" t="s">
        <v>603</v>
      </c>
      <c r="N1305" t="s">
        <v>608</v>
      </c>
      <c r="O1305" s="37" t="str">
        <f t="shared" si="103"/>
        <v>Cash Payment</v>
      </c>
      <c r="P1305">
        <v>227.24</v>
      </c>
      <c r="Q1305" s="37" t="str">
        <f>IF(P1305&gt;500,"High","low")</f>
        <v>low</v>
      </c>
      <c r="R1305" s="37" t="str">
        <f t="shared" si="104"/>
        <v>AVERAGE</v>
      </c>
      <c r="S1305" t="s">
        <v>600</v>
      </c>
    </row>
    <row r="1306" spans="1:19" x14ac:dyDescent="0.2">
      <c r="A1306" t="s">
        <v>1917</v>
      </c>
      <c r="B1306" t="s">
        <v>83</v>
      </c>
      <c r="C1306" t="s">
        <v>597</v>
      </c>
      <c r="D1306">
        <v>1485.55</v>
      </c>
      <c r="E1306" s="37" t="str">
        <f t="shared" si="100"/>
        <v xml:space="preserve"> </v>
      </c>
      <c r="F1306">
        <v>0.27</v>
      </c>
      <c r="G1306" s="37" t="str">
        <f t="shared" si="101"/>
        <v>Normal Discount</v>
      </c>
      <c r="H1306" s="37" t="str">
        <f t="shared" si="102"/>
        <v>Medium</v>
      </c>
      <c r="I1306">
        <v>2</v>
      </c>
      <c r="J1306" t="str" cm="1">
        <f t="array" ref="J1306">_xlfn.IFS(I1306&lt;=3,"small",I1306&lt;=6,"Medium",I1306&lt;=9,"Large")</f>
        <v>small</v>
      </c>
      <c r="K1306" s="36">
        <v>45135</v>
      </c>
      <c r="L1306" s="36">
        <v>45136</v>
      </c>
      <c r="M1306" t="s">
        <v>612</v>
      </c>
      <c r="N1306" t="s">
        <v>599</v>
      </c>
      <c r="O1306" s="37" t="str">
        <f t="shared" si="103"/>
        <v>Digital Payment</v>
      </c>
      <c r="P1306">
        <v>350.63</v>
      </c>
      <c r="Q1306" s="37" t="str">
        <f>IF(P1306&gt;500,"High","low")</f>
        <v>low</v>
      </c>
      <c r="R1306" s="37" t="str">
        <f t="shared" si="104"/>
        <v>AVERAGE</v>
      </c>
      <c r="S1306" t="s">
        <v>600</v>
      </c>
    </row>
    <row r="1307" spans="1:19" x14ac:dyDescent="0.2">
      <c r="A1307" t="s">
        <v>1918</v>
      </c>
      <c r="B1307" t="s">
        <v>90</v>
      </c>
      <c r="C1307" t="s">
        <v>607</v>
      </c>
      <c r="D1307">
        <v>1604.21</v>
      </c>
      <c r="E1307" s="37" t="str">
        <f t="shared" si="100"/>
        <v xml:space="preserve"> </v>
      </c>
      <c r="F1307">
        <v>0.04</v>
      </c>
      <c r="G1307" s="37" t="str">
        <f t="shared" si="101"/>
        <v>Normal Discount</v>
      </c>
      <c r="H1307" s="37" t="str">
        <f t="shared" si="102"/>
        <v>Low</v>
      </c>
      <c r="I1307">
        <v>2</v>
      </c>
      <c r="J1307" t="str" cm="1">
        <f t="array" ref="J1307">_xlfn.IFS(I1307&lt;=3,"small",I1307&lt;=6,"Medium",I1307&lt;=9,"Large")</f>
        <v>small</v>
      </c>
      <c r="K1307" s="36">
        <v>45116</v>
      </c>
      <c r="L1307" s="36">
        <v>45123</v>
      </c>
      <c r="M1307" t="s">
        <v>603</v>
      </c>
      <c r="N1307" t="s">
        <v>599</v>
      </c>
      <c r="O1307" s="37" t="str">
        <f t="shared" si="103"/>
        <v>Digital Payment</v>
      </c>
      <c r="P1307">
        <v>400.48</v>
      </c>
      <c r="Q1307" s="37" t="str">
        <f>IF(P1307&gt;500,"High","low")</f>
        <v>low</v>
      </c>
      <c r="R1307" s="37" t="str">
        <f t="shared" si="104"/>
        <v>AVERAGE</v>
      </c>
      <c r="S1307" t="s">
        <v>600</v>
      </c>
    </row>
    <row r="1308" spans="1:19" x14ac:dyDescent="0.2">
      <c r="A1308" t="s">
        <v>1919</v>
      </c>
      <c r="B1308" t="s">
        <v>67</v>
      </c>
      <c r="C1308" t="s">
        <v>602</v>
      </c>
      <c r="D1308">
        <v>1174.49</v>
      </c>
      <c r="E1308" s="37" t="str">
        <f t="shared" si="100"/>
        <v xml:space="preserve"> </v>
      </c>
      <c r="F1308">
        <v>0.49</v>
      </c>
      <c r="G1308" s="37" t="str">
        <f t="shared" si="101"/>
        <v>Heavy Discount</v>
      </c>
      <c r="H1308" s="37" t="str">
        <f t="shared" si="102"/>
        <v>High</v>
      </c>
      <c r="I1308">
        <v>3</v>
      </c>
      <c r="J1308" t="str" cm="1">
        <f t="array" ref="J1308">_xlfn.IFS(I1308&lt;=3,"small",I1308&lt;=6,"Medium",I1308&lt;=9,"Large")</f>
        <v>small</v>
      </c>
      <c r="K1308" s="36">
        <v>45595</v>
      </c>
      <c r="L1308" s="36">
        <v>45600</v>
      </c>
      <c r="M1308" t="s">
        <v>598</v>
      </c>
      <c r="N1308" t="s">
        <v>604</v>
      </c>
      <c r="O1308" s="37" t="str">
        <f t="shared" si="103"/>
        <v>Digital Payment</v>
      </c>
      <c r="P1308">
        <v>222.6</v>
      </c>
      <c r="Q1308" s="37" t="str">
        <f>IF(P1308&gt;500,"High","low")</f>
        <v>low</v>
      </c>
      <c r="R1308" s="37" t="str">
        <f t="shared" si="104"/>
        <v>AVERAGE</v>
      </c>
      <c r="S1308" t="s">
        <v>620</v>
      </c>
    </row>
    <row r="1309" spans="1:19" x14ac:dyDescent="0.2">
      <c r="A1309" t="s">
        <v>1920</v>
      </c>
      <c r="B1309" t="s">
        <v>67</v>
      </c>
      <c r="C1309" t="s">
        <v>614</v>
      </c>
      <c r="D1309">
        <v>3982.53</v>
      </c>
      <c r="E1309" s="37" t="str">
        <f t="shared" si="100"/>
        <v xml:space="preserve"> </v>
      </c>
      <c r="F1309">
        <v>0.21</v>
      </c>
      <c r="G1309" s="37" t="str">
        <f t="shared" si="101"/>
        <v>Normal Discount</v>
      </c>
      <c r="H1309" s="37" t="str">
        <f t="shared" si="102"/>
        <v>Medium</v>
      </c>
      <c r="I1309">
        <v>3</v>
      </c>
      <c r="J1309" t="str" cm="1">
        <f t="array" ref="J1309">_xlfn.IFS(I1309&lt;=3,"small",I1309&lt;=6,"Medium",I1309&lt;=9,"Large")</f>
        <v>small</v>
      </c>
      <c r="K1309" s="36">
        <v>45052</v>
      </c>
      <c r="L1309" s="36">
        <v>45057</v>
      </c>
      <c r="M1309" t="s">
        <v>598</v>
      </c>
      <c r="N1309" t="s">
        <v>599</v>
      </c>
      <c r="O1309" s="37" t="str">
        <f t="shared" si="103"/>
        <v>Digital Payment</v>
      </c>
      <c r="P1309">
        <v>588.91999999999996</v>
      </c>
      <c r="Q1309" s="37" t="str">
        <f>IF(P1309&gt;500,"High","low")</f>
        <v>High</v>
      </c>
      <c r="R1309" s="37" t="str">
        <f t="shared" si="104"/>
        <v>Good</v>
      </c>
      <c r="S1309" t="s">
        <v>615</v>
      </c>
    </row>
    <row r="1310" spans="1:19" x14ac:dyDescent="0.2">
      <c r="A1310" t="s">
        <v>1921</v>
      </c>
      <c r="B1310" t="s">
        <v>75</v>
      </c>
      <c r="C1310" t="s">
        <v>602</v>
      </c>
      <c r="D1310">
        <v>1727.82</v>
      </c>
      <c r="E1310" s="37" t="str">
        <f t="shared" si="100"/>
        <v xml:space="preserve"> </v>
      </c>
      <c r="F1310">
        <v>0.16</v>
      </c>
      <c r="G1310" s="37" t="str">
        <f t="shared" si="101"/>
        <v>Normal Discount</v>
      </c>
      <c r="H1310" s="37" t="str">
        <f t="shared" si="102"/>
        <v>Low</v>
      </c>
      <c r="I1310">
        <v>3</v>
      </c>
      <c r="J1310" t="str" cm="1">
        <f t="array" ref="J1310">_xlfn.IFS(I1310&lt;=3,"small",I1310&lt;=6,"Medium",I1310&lt;=9,"Large")</f>
        <v>small</v>
      </c>
      <c r="K1310" s="36">
        <v>45564</v>
      </c>
      <c r="L1310" s="36">
        <v>45565</v>
      </c>
      <c r="M1310" t="s">
        <v>598</v>
      </c>
      <c r="N1310" t="s">
        <v>599</v>
      </c>
      <c r="O1310" s="37" t="str">
        <f t="shared" si="103"/>
        <v>Digital Payment</v>
      </c>
      <c r="P1310">
        <v>261.97000000000003</v>
      </c>
      <c r="Q1310" s="37" t="str">
        <f>IF(P1310&gt;500,"High","low")</f>
        <v>low</v>
      </c>
      <c r="R1310" s="37" t="str">
        <f t="shared" si="104"/>
        <v>AVERAGE</v>
      </c>
      <c r="S1310" t="s">
        <v>609</v>
      </c>
    </row>
    <row r="1311" spans="1:19" x14ac:dyDescent="0.2">
      <c r="A1311" t="s">
        <v>1922</v>
      </c>
      <c r="B1311" t="s">
        <v>67</v>
      </c>
      <c r="C1311" t="s">
        <v>597</v>
      </c>
      <c r="D1311">
        <v>1792.88</v>
      </c>
      <c r="E1311" s="37" t="str">
        <f t="shared" si="100"/>
        <v xml:space="preserve"> </v>
      </c>
      <c r="F1311">
        <v>0.26</v>
      </c>
      <c r="G1311" s="37" t="str">
        <f t="shared" si="101"/>
        <v>Normal Discount</v>
      </c>
      <c r="H1311" s="37" t="str">
        <f t="shared" si="102"/>
        <v>Medium</v>
      </c>
      <c r="I1311">
        <v>4</v>
      </c>
      <c r="J1311" t="str" cm="1">
        <f t="array" ref="J1311">_xlfn.IFS(I1311&lt;=3,"small",I1311&lt;=6,"Medium",I1311&lt;=9,"Large")</f>
        <v>Medium</v>
      </c>
      <c r="K1311" s="36">
        <v>45566</v>
      </c>
      <c r="L1311" s="36">
        <v>45570</v>
      </c>
      <c r="M1311" t="s">
        <v>603</v>
      </c>
      <c r="N1311" t="s">
        <v>608</v>
      </c>
      <c r="O1311" s="37" t="str">
        <f t="shared" si="103"/>
        <v>Cash Payment</v>
      </c>
      <c r="P1311">
        <v>281.73</v>
      </c>
      <c r="Q1311" s="37" t="str">
        <f>IF(P1311&gt;500,"High","low")</f>
        <v>low</v>
      </c>
      <c r="R1311" s="37" t="str">
        <f t="shared" si="104"/>
        <v>AVERAGE</v>
      </c>
      <c r="S1311" t="s">
        <v>615</v>
      </c>
    </row>
    <row r="1312" spans="1:19" x14ac:dyDescent="0.2">
      <c r="A1312" t="s">
        <v>1923</v>
      </c>
      <c r="B1312" t="s">
        <v>90</v>
      </c>
      <c r="C1312" t="s">
        <v>607</v>
      </c>
      <c r="D1312">
        <v>2319.73</v>
      </c>
      <c r="E1312" s="37" t="str">
        <f t="shared" si="100"/>
        <v xml:space="preserve"> </v>
      </c>
      <c r="F1312">
        <v>0.03</v>
      </c>
      <c r="G1312" s="37" t="str">
        <f t="shared" si="101"/>
        <v>Normal Discount</v>
      </c>
      <c r="H1312" s="37" t="str">
        <f t="shared" si="102"/>
        <v>Low</v>
      </c>
      <c r="I1312">
        <v>1</v>
      </c>
      <c r="J1312" t="str" cm="1">
        <f t="array" ref="J1312">_xlfn.IFS(I1312&lt;=3,"small",I1312&lt;=6,"Medium",I1312&lt;=9,"Large")</f>
        <v>small</v>
      </c>
      <c r="K1312" s="36">
        <v>45531</v>
      </c>
      <c r="L1312" s="36">
        <v>45532</v>
      </c>
      <c r="M1312" t="s">
        <v>603</v>
      </c>
      <c r="N1312" t="s">
        <v>608</v>
      </c>
      <c r="O1312" s="37" t="str">
        <f t="shared" si="103"/>
        <v>Cash Payment</v>
      </c>
      <c r="P1312">
        <v>408.8</v>
      </c>
      <c r="Q1312" s="37" t="str">
        <f>IF(P1312&gt;500,"High","low")</f>
        <v>low</v>
      </c>
      <c r="R1312" s="37" t="str">
        <f t="shared" si="104"/>
        <v>AVERAGE</v>
      </c>
      <c r="S1312" t="s">
        <v>620</v>
      </c>
    </row>
    <row r="1313" spans="1:19" x14ac:dyDescent="0.2">
      <c r="A1313" t="s">
        <v>1924</v>
      </c>
      <c r="B1313" t="s">
        <v>83</v>
      </c>
      <c r="C1313" t="s">
        <v>607</v>
      </c>
      <c r="D1313">
        <v>4521.25</v>
      </c>
      <c r="E1313" s="37" t="str">
        <f t="shared" si="100"/>
        <v>Excellent Order</v>
      </c>
      <c r="F1313">
        <v>0.43</v>
      </c>
      <c r="G1313" s="37" t="str">
        <f t="shared" si="101"/>
        <v>Heavy Discount</v>
      </c>
      <c r="H1313" s="37" t="str">
        <f t="shared" si="102"/>
        <v>High</v>
      </c>
      <c r="I1313">
        <v>1</v>
      </c>
      <c r="J1313" t="str" cm="1">
        <f t="array" ref="J1313">_xlfn.IFS(I1313&lt;=3,"small",I1313&lt;=6,"Medium",I1313&lt;=9,"Large")</f>
        <v>small</v>
      </c>
      <c r="K1313" s="36">
        <v>45398</v>
      </c>
      <c r="L1313" s="36">
        <v>45399</v>
      </c>
      <c r="M1313" t="s">
        <v>612</v>
      </c>
      <c r="N1313" t="s">
        <v>599</v>
      </c>
      <c r="O1313" s="37" t="str">
        <f t="shared" si="103"/>
        <v>Digital Payment</v>
      </c>
      <c r="P1313">
        <v>992.05</v>
      </c>
      <c r="Q1313" s="37" t="str">
        <f>IF(P1313&gt;500,"High","low")</f>
        <v>High</v>
      </c>
      <c r="R1313" s="37" t="str">
        <f t="shared" si="104"/>
        <v>Good</v>
      </c>
      <c r="S1313" t="s">
        <v>609</v>
      </c>
    </row>
    <row r="1314" spans="1:19" x14ac:dyDescent="0.2">
      <c r="A1314" t="s">
        <v>1925</v>
      </c>
      <c r="B1314" t="s">
        <v>75</v>
      </c>
      <c r="C1314" t="s">
        <v>607</v>
      </c>
      <c r="D1314">
        <v>3472.05</v>
      </c>
      <c r="E1314" s="37" t="str">
        <f t="shared" si="100"/>
        <v xml:space="preserve"> </v>
      </c>
      <c r="F1314">
        <v>0.23</v>
      </c>
      <c r="G1314" s="37" t="str">
        <f t="shared" si="101"/>
        <v>Normal Discount</v>
      </c>
      <c r="H1314" s="37" t="str">
        <f t="shared" si="102"/>
        <v>Medium</v>
      </c>
      <c r="I1314">
        <v>4</v>
      </c>
      <c r="J1314" t="str" cm="1">
        <f t="array" ref="J1314">_xlfn.IFS(I1314&lt;=3,"small",I1314&lt;=6,"Medium",I1314&lt;=9,"Large")</f>
        <v>Medium</v>
      </c>
      <c r="K1314" s="36">
        <v>45009</v>
      </c>
      <c r="L1314" s="36">
        <v>45016</v>
      </c>
      <c r="M1314" t="s">
        <v>598</v>
      </c>
      <c r="N1314" t="s">
        <v>599</v>
      </c>
      <c r="O1314" s="37" t="str">
        <f t="shared" si="103"/>
        <v>Digital Payment</v>
      </c>
      <c r="P1314">
        <v>491.42</v>
      </c>
      <c r="Q1314" s="37" t="str">
        <f>IF(P1314&gt;500,"High","low")</f>
        <v>low</v>
      </c>
      <c r="R1314" s="37" t="str">
        <f t="shared" si="104"/>
        <v>AVERAGE</v>
      </c>
      <c r="S1314" t="s">
        <v>600</v>
      </c>
    </row>
    <row r="1315" spans="1:19" x14ac:dyDescent="0.2">
      <c r="A1315" t="s">
        <v>1926</v>
      </c>
      <c r="B1315" t="s">
        <v>75</v>
      </c>
      <c r="C1315" t="s">
        <v>597</v>
      </c>
      <c r="D1315">
        <v>402.57</v>
      </c>
      <c r="E1315" s="37" t="str">
        <f t="shared" si="100"/>
        <v xml:space="preserve"> </v>
      </c>
      <c r="F1315">
        <v>0.09</v>
      </c>
      <c r="G1315" s="37" t="str">
        <f t="shared" si="101"/>
        <v>Normal Discount</v>
      </c>
      <c r="H1315" s="37" t="str">
        <f t="shared" si="102"/>
        <v>Low</v>
      </c>
      <c r="I1315">
        <v>1</v>
      </c>
      <c r="J1315" t="str" cm="1">
        <f t="array" ref="J1315">_xlfn.IFS(I1315&lt;=3,"small",I1315&lt;=6,"Medium",I1315&lt;=9,"Large")</f>
        <v>small</v>
      </c>
      <c r="K1315" s="36">
        <v>44969</v>
      </c>
      <c r="L1315" s="36">
        <v>44972</v>
      </c>
      <c r="M1315" t="s">
        <v>612</v>
      </c>
      <c r="N1315" t="s">
        <v>608</v>
      </c>
      <c r="O1315" s="37" t="str">
        <f t="shared" si="103"/>
        <v>Cash Payment</v>
      </c>
      <c r="P1315">
        <v>88.73</v>
      </c>
      <c r="Q1315" s="37" t="str">
        <f>IF(P1315&gt;500,"High","low")</f>
        <v>low</v>
      </c>
      <c r="R1315" s="37" t="str">
        <f t="shared" si="104"/>
        <v>AVERAGE</v>
      </c>
      <c r="S1315" t="s">
        <v>605</v>
      </c>
    </row>
    <row r="1316" spans="1:19" x14ac:dyDescent="0.2">
      <c r="A1316" t="s">
        <v>1927</v>
      </c>
      <c r="B1316" t="s">
        <v>83</v>
      </c>
      <c r="C1316" t="s">
        <v>614</v>
      </c>
      <c r="D1316">
        <v>292.38</v>
      </c>
      <c r="E1316" s="37" t="str">
        <f t="shared" si="100"/>
        <v xml:space="preserve"> </v>
      </c>
      <c r="F1316">
        <v>0.08</v>
      </c>
      <c r="G1316" s="37" t="str">
        <f t="shared" si="101"/>
        <v>Normal Discount</v>
      </c>
      <c r="H1316" s="37" t="str">
        <f t="shared" si="102"/>
        <v>Low</v>
      </c>
      <c r="I1316">
        <v>4</v>
      </c>
      <c r="J1316" t="str" cm="1">
        <f t="array" ref="J1316">_xlfn.IFS(I1316&lt;=3,"small",I1316&lt;=6,"Medium",I1316&lt;=9,"Large")</f>
        <v>Medium</v>
      </c>
      <c r="K1316" s="36">
        <v>45640</v>
      </c>
      <c r="L1316" s="36">
        <v>45645</v>
      </c>
      <c r="M1316" t="s">
        <v>598</v>
      </c>
      <c r="N1316" t="s">
        <v>599</v>
      </c>
      <c r="O1316" s="37" t="str">
        <f t="shared" si="103"/>
        <v>Digital Payment</v>
      </c>
      <c r="P1316">
        <v>39.21</v>
      </c>
      <c r="Q1316" s="37" t="str">
        <f>IF(P1316&gt;500,"High","low")</f>
        <v>low</v>
      </c>
      <c r="R1316" s="37" t="str">
        <f t="shared" si="104"/>
        <v>AVERAGE</v>
      </c>
      <c r="S1316" t="s">
        <v>620</v>
      </c>
    </row>
    <row r="1317" spans="1:19" x14ac:dyDescent="0.2">
      <c r="A1317" t="s">
        <v>1928</v>
      </c>
      <c r="B1317" t="s">
        <v>67</v>
      </c>
      <c r="C1317" t="s">
        <v>607</v>
      </c>
      <c r="D1317">
        <v>2875.31</v>
      </c>
      <c r="E1317" s="37" t="str">
        <f t="shared" si="100"/>
        <v xml:space="preserve"> </v>
      </c>
      <c r="F1317">
        <v>0.18</v>
      </c>
      <c r="G1317" s="37" t="str">
        <f t="shared" si="101"/>
        <v>Normal Discount</v>
      </c>
      <c r="H1317" s="37" t="str">
        <f t="shared" si="102"/>
        <v>Low</v>
      </c>
      <c r="I1317">
        <v>2</v>
      </c>
      <c r="J1317" t="str" cm="1">
        <f t="array" ref="J1317">_xlfn.IFS(I1317&lt;=3,"small",I1317&lt;=6,"Medium",I1317&lt;=9,"Large")</f>
        <v>small</v>
      </c>
      <c r="K1317" s="36">
        <v>45218</v>
      </c>
      <c r="L1317" s="36">
        <v>45223</v>
      </c>
      <c r="M1317" t="s">
        <v>612</v>
      </c>
      <c r="N1317" t="s">
        <v>608</v>
      </c>
      <c r="O1317" s="37" t="str">
        <f t="shared" si="103"/>
        <v>Cash Payment</v>
      </c>
      <c r="P1317">
        <v>555.05999999999995</v>
      </c>
      <c r="Q1317" s="37" t="str">
        <f>IF(P1317&gt;500,"High","low")</f>
        <v>High</v>
      </c>
      <c r="R1317" s="37" t="str">
        <f t="shared" si="104"/>
        <v>Good</v>
      </c>
      <c r="S1317" t="s">
        <v>615</v>
      </c>
    </row>
    <row r="1318" spans="1:19" x14ac:dyDescent="0.2">
      <c r="A1318" t="s">
        <v>1929</v>
      </c>
      <c r="B1318" t="s">
        <v>83</v>
      </c>
      <c r="C1318" t="s">
        <v>614</v>
      </c>
      <c r="D1318">
        <v>4446.6000000000004</v>
      </c>
      <c r="E1318" s="37" t="str">
        <f t="shared" si="100"/>
        <v>Excellent Order</v>
      </c>
      <c r="F1318">
        <v>0.28999999999999998</v>
      </c>
      <c r="G1318" s="37" t="str">
        <f t="shared" si="101"/>
        <v>Normal Discount</v>
      </c>
      <c r="H1318" s="37" t="str">
        <f t="shared" si="102"/>
        <v>Medium</v>
      </c>
      <c r="I1318">
        <v>7</v>
      </c>
      <c r="J1318" t="str" cm="1">
        <f t="array" ref="J1318">_xlfn.IFS(I1318&lt;=3,"small",I1318&lt;=6,"Medium",I1318&lt;=9,"Large")</f>
        <v>Large</v>
      </c>
      <c r="K1318" s="36">
        <v>45071</v>
      </c>
      <c r="L1318" s="36">
        <v>45072</v>
      </c>
      <c r="M1318" t="s">
        <v>598</v>
      </c>
      <c r="N1318" t="s">
        <v>599</v>
      </c>
      <c r="O1318" s="37" t="str">
        <f t="shared" si="103"/>
        <v>Digital Payment</v>
      </c>
      <c r="P1318">
        <v>954.91</v>
      </c>
      <c r="Q1318" s="37" t="str">
        <f>IF(P1318&gt;500,"High","low")</f>
        <v>High</v>
      </c>
      <c r="R1318" s="37" t="str">
        <f t="shared" si="104"/>
        <v>Good</v>
      </c>
      <c r="S1318" t="s">
        <v>615</v>
      </c>
    </row>
    <row r="1319" spans="1:19" x14ac:dyDescent="0.2">
      <c r="A1319" t="s">
        <v>1930</v>
      </c>
      <c r="B1319" t="s">
        <v>67</v>
      </c>
      <c r="C1319" t="s">
        <v>602</v>
      </c>
      <c r="D1319">
        <v>1683.93</v>
      </c>
      <c r="E1319" s="37" t="str">
        <f t="shared" si="100"/>
        <v xml:space="preserve"> </v>
      </c>
      <c r="F1319">
        <v>0.21</v>
      </c>
      <c r="G1319" s="37" t="str">
        <f t="shared" si="101"/>
        <v>Normal Discount</v>
      </c>
      <c r="H1319" s="37" t="str">
        <f t="shared" si="102"/>
        <v>Medium</v>
      </c>
      <c r="I1319">
        <v>6</v>
      </c>
      <c r="J1319" t="str" cm="1">
        <f t="array" ref="J1319">_xlfn.IFS(I1319&lt;=3,"small",I1319&lt;=6,"Medium",I1319&lt;=9,"Large")</f>
        <v>Medium</v>
      </c>
      <c r="K1319" s="36">
        <v>45108</v>
      </c>
      <c r="L1319" s="36">
        <v>45109</v>
      </c>
      <c r="M1319" t="s">
        <v>598</v>
      </c>
      <c r="N1319" t="s">
        <v>608</v>
      </c>
      <c r="O1319" s="37" t="str">
        <f t="shared" si="103"/>
        <v>Cash Payment</v>
      </c>
      <c r="P1319">
        <v>249.19</v>
      </c>
      <c r="Q1319" s="37" t="str">
        <f>IF(P1319&gt;500,"High","low")</f>
        <v>low</v>
      </c>
      <c r="R1319" s="37" t="str">
        <f t="shared" si="104"/>
        <v>AVERAGE</v>
      </c>
      <c r="S1319" t="s">
        <v>609</v>
      </c>
    </row>
    <row r="1320" spans="1:19" x14ac:dyDescent="0.2">
      <c r="A1320" t="s">
        <v>1931</v>
      </c>
      <c r="B1320" t="s">
        <v>83</v>
      </c>
      <c r="C1320" t="s">
        <v>614</v>
      </c>
      <c r="D1320">
        <v>1314.08</v>
      </c>
      <c r="E1320" s="37" t="str">
        <f t="shared" si="100"/>
        <v xml:space="preserve"> </v>
      </c>
      <c r="F1320">
        <v>0.3</v>
      </c>
      <c r="G1320" s="37" t="str">
        <f t="shared" si="101"/>
        <v>Normal Discount</v>
      </c>
      <c r="H1320" s="37" t="str">
        <f t="shared" si="102"/>
        <v>Medium</v>
      </c>
      <c r="I1320">
        <v>2</v>
      </c>
      <c r="J1320" t="str" cm="1">
        <f t="array" ref="J1320">_xlfn.IFS(I1320&lt;=3,"small",I1320&lt;=6,"Medium",I1320&lt;=9,"Large")</f>
        <v>small</v>
      </c>
      <c r="K1320" s="36">
        <v>45071</v>
      </c>
      <c r="L1320" s="36">
        <v>45074</v>
      </c>
      <c r="M1320" t="s">
        <v>603</v>
      </c>
      <c r="N1320" t="s">
        <v>608</v>
      </c>
      <c r="O1320" s="37" t="str">
        <f t="shared" si="103"/>
        <v>Cash Payment</v>
      </c>
      <c r="P1320">
        <v>244.4</v>
      </c>
      <c r="Q1320" s="37" t="str">
        <f>IF(P1320&gt;500,"High","low")</f>
        <v>low</v>
      </c>
      <c r="R1320" s="37" t="str">
        <f t="shared" si="104"/>
        <v>AVERAGE</v>
      </c>
      <c r="S1320" t="s">
        <v>605</v>
      </c>
    </row>
    <row r="1321" spans="1:19" x14ac:dyDescent="0.2">
      <c r="A1321" t="s">
        <v>1932</v>
      </c>
      <c r="B1321" t="s">
        <v>90</v>
      </c>
      <c r="C1321" t="s">
        <v>614</v>
      </c>
      <c r="D1321">
        <v>3766.14</v>
      </c>
      <c r="E1321" s="37" t="str">
        <f t="shared" si="100"/>
        <v xml:space="preserve"> </v>
      </c>
      <c r="F1321">
        <v>0.35</v>
      </c>
      <c r="G1321" s="37" t="str">
        <f t="shared" si="101"/>
        <v>Heavy Discount</v>
      </c>
      <c r="H1321" s="37" t="str">
        <f t="shared" si="102"/>
        <v>Medium</v>
      </c>
      <c r="I1321">
        <v>2</v>
      </c>
      <c r="J1321" t="str" cm="1">
        <f t="array" ref="J1321">_xlfn.IFS(I1321&lt;=3,"small",I1321&lt;=6,"Medium",I1321&lt;=9,"Large")</f>
        <v>small</v>
      </c>
      <c r="K1321" s="36">
        <v>45086</v>
      </c>
      <c r="L1321" s="36">
        <v>45089</v>
      </c>
      <c r="M1321" t="s">
        <v>603</v>
      </c>
      <c r="N1321" t="s">
        <v>599</v>
      </c>
      <c r="O1321" s="37" t="str">
        <f t="shared" si="103"/>
        <v>Digital Payment</v>
      </c>
      <c r="P1321">
        <v>203.68</v>
      </c>
      <c r="Q1321" s="37" t="str">
        <f>IF(P1321&gt;500,"High","low")</f>
        <v>low</v>
      </c>
      <c r="R1321" s="37" t="str">
        <f t="shared" si="104"/>
        <v>AVERAGE</v>
      </c>
      <c r="S1321" t="s">
        <v>600</v>
      </c>
    </row>
    <row r="1322" spans="1:19" x14ac:dyDescent="0.2">
      <c r="A1322" t="s">
        <v>1933</v>
      </c>
      <c r="B1322" t="s">
        <v>67</v>
      </c>
      <c r="C1322" t="s">
        <v>607</v>
      </c>
      <c r="D1322">
        <v>3050.25</v>
      </c>
      <c r="E1322" s="37" t="str">
        <f t="shared" si="100"/>
        <v xml:space="preserve"> </v>
      </c>
      <c r="F1322">
        <v>0.37</v>
      </c>
      <c r="G1322" s="37" t="str">
        <f t="shared" si="101"/>
        <v>Heavy Discount</v>
      </c>
      <c r="H1322" s="37" t="str">
        <f t="shared" si="102"/>
        <v>Medium</v>
      </c>
      <c r="I1322">
        <v>1</v>
      </c>
      <c r="J1322" t="str" cm="1">
        <f t="array" ref="J1322">_xlfn.IFS(I1322&lt;=3,"small",I1322&lt;=6,"Medium",I1322&lt;=9,"Large")</f>
        <v>small</v>
      </c>
      <c r="K1322" s="36">
        <v>45233</v>
      </c>
      <c r="L1322" s="36">
        <v>45238</v>
      </c>
      <c r="M1322" t="s">
        <v>603</v>
      </c>
      <c r="N1322" t="s">
        <v>599</v>
      </c>
      <c r="O1322" s="37" t="str">
        <f t="shared" si="103"/>
        <v>Digital Payment</v>
      </c>
      <c r="P1322">
        <v>515.5</v>
      </c>
      <c r="Q1322" s="37" t="str">
        <f>IF(P1322&gt;500,"High","low")</f>
        <v>High</v>
      </c>
      <c r="R1322" s="37" t="str">
        <f t="shared" si="104"/>
        <v>Good</v>
      </c>
      <c r="S1322" t="s">
        <v>605</v>
      </c>
    </row>
    <row r="1323" spans="1:19" x14ac:dyDescent="0.2">
      <c r="A1323" t="s">
        <v>1934</v>
      </c>
      <c r="B1323" t="s">
        <v>90</v>
      </c>
      <c r="C1323" t="s">
        <v>617</v>
      </c>
      <c r="D1323">
        <v>2868.63</v>
      </c>
      <c r="E1323" s="37" t="str">
        <f t="shared" si="100"/>
        <v xml:space="preserve"> </v>
      </c>
      <c r="F1323">
        <v>0.2</v>
      </c>
      <c r="G1323" s="37" t="str">
        <f t="shared" si="101"/>
        <v>Normal Discount</v>
      </c>
      <c r="H1323" s="37" t="str">
        <f t="shared" si="102"/>
        <v>Medium</v>
      </c>
      <c r="I1323">
        <v>4</v>
      </c>
      <c r="J1323" t="str" cm="1">
        <f t="array" ref="J1323">_xlfn.IFS(I1323&lt;=3,"small",I1323&lt;=6,"Medium",I1323&lt;=9,"Large")</f>
        <v>Medium</v>
      </c>
      <c r="K1323" s="36">
        <v>45298</v>
      </c>
      <c r="L1323" s="36">
        <v>45303</v>
      </c>
      <c r="M1323" t="s">
        <v>612</v>
      </c>
      <c r="N1323" t="s">
        <v>604</v>
      </c>
      <c r="O1323" s="37" t="str">
        <f t="shared" si="103"/>
        <v>Digital Payment</v>
      </c>
      <c r="P1323">
        <v>732.44</v>
      </c>
      <c r="Q1323" s="37" t="str">
        <f>IF(P1323&gt;500,"High","low")</f>
        <v>High</v>
      </c>
      <c r="R1323" s="37" t="str">
        <f t="shared" si="104"/>
        <v>Good</v>
      </c>
      <c r="S1323" t="s">
        <v>609</v>
      </c>
    </row>
    <row r="1324" spans="1:19" x14ac:dyDescent="0.2">
      <c r="A1324" t="s">
        <v>1935</v>
      </c>
      <c r="B1324" t="s">
        <v>75</v>
      </c>
      <c r="C1324" t="s">
        <v>617</v>
      </c>
      <c r="D1324">
        <v>831.58</v>
      </c>
      <c r="E1324" s="37" t="str">
        <f t="shared" si="100"/>
        <v xml:space="preserve"> </v>
      </c>
      <c r="F1324">
        <v>0.36</v>
      </c>
      <c r="G1324" s="37" t="str">
        <f t="shared" si="101"/>
        <v>Heavy Discount</v>
      </c>
      <c r="H1324" s="37" t="str">
        <f t="shared" si="102"/>
        <v>Medium</v>
      </c>
      <c r="I1324">
        <v>2</v>
      </c>
      <c r="J1324" t="str" cm="1">
        <f t="array" ref="J1324">_xlfn.IFS(I1324&lt;=3,"small",I1324&lt;=6,"Medium",I1324&lt;=9,"Large")</f>
        <v>small</v>
      </c>
      <c r="K1324" s="36">
        <v>45369</v>
      </c>
      <c r="L1324" s="36">
        <v>45376</v>
      </c>
      <c r="M1324" t="s">
        <v>612</v>
      </c>
      <c r="N1324" t="s">
        <v>599</v>
      </c>
      <c r="O1324" s="37" t="str">
        <f t="shared" si="103"/>
        <v>Digital Payment</v>
      </c>
      <c r="P1324">
        <v>103.73</v>
      </c>
      <c r="Q1324" s="37" t="str">
        <f>IF(P1324&gt;500,"High","low")</f>
        <v>low</v>
      </c>
      <c r="R1324" s="37" t="str">
        <f t="shared" si="104"/>
        <v>AVERAGE</v>
      </c>
      <c r="S1324" t="s">
        <v>609</v>
      </c>
    </row>
    <row r="1325" spans="1:19" x14ac:dyDescent="0.2">
      <c r="A1325" t="s">
        <v>1936</v>
      </c>
      <c r="B1325" t="s">
        <v>83</v>
      </c>
      <c r="C1325" t="s">
        <v>597</v>
      </c>
      <c r="D1325">
        <v>962.21</v>
      </c>
      <c r="E1325" s="37" t="str">
        <f t="shared" si="100"/>
        <v xml:space="preserve"> </v>
      </c>
      <c r="F1325">
        <v>7.0000000000000007E-2</v>
      </c>
      <c r="G1325" s="37" t="str">
        <f t="shared" si="101"/>
        <v>Normal Discount</v>
      </c>
      <c r="H1325" s="37" t="str">
        <f t="shared" si="102"/>
        <v>Low</v>
      </c>
      <c r="I1325">
        <v>5</v>
      </c>
      <c r="J1325" t="str" cm="1">
        <f t="array" ref="J1325">_xlfn.IFS(I1325&lt;=3,"small",I1325&lt;=6,"Medium",I1325&lt;=9,"Large")</f>
        <v>Medium</v>
      </c>
      <c r="K1325" s="36">
        <v>45582</v>
      </c>
      <c r="L1325" s="36">
        <v>45587</v>
      </c>
      <c r="M1325" t="s">
        <v>612</v>
      </c>
      <c r="N1325" t="s">
        <v>599</v>
      </c>
      <c r="O1325" s="37" t="str">
        <f t="shared" si="103"/>
        <v>Digital Payment</v>
      </c>
      <c r="P1325">
        <v>112.04</v>
      </c>
      <c r="Q1325" s="37" t="str">
        <f>IF(P1325&gt;500,"High","low")</f>
        <v>low</v>
      </c>
      <c r="R1325" s="37" t="str">
        <f t="shared" si="104"/>
        <v>AVERAGE</v>
      </c>
      <c r="S1325" t="s">
        <v>615</v>
      </c>
    </row>
    <row r="1326" spans="1:19" x14ac:dyDescent="0.2">
      <c r="A1326" t="s">
        <v>1937</v>
      </c>
      <c r="B1326" t="s">
        <v>75</v>
      </c>
      <c r="C1326" t="s">
        <v>597</v>
      </c>
      <c r="D1326">
        <v>1480.76</v>
      </c>
      <c r="E1326" s="37" t="str">
        <f t="shared" si="100"/>
        <v xml:space="preserve"> </v>
      </c>
      <c r="F1326">
        <v>0.26</v>
      </c>
      <c r="G1326" s="37" t="str">
        <f t="shared" si="101"/>
        <v>Normal Discount</v>
      </c>
      <c r="H1326" s="37" t="str">
        <f t="shared" si="102"/>
        <v>Medium</v>
      </c>
      <c r="I1326">
        <v>4</v>
      </c>
      <c r="J1326" t="str" cm="1">
        <f t="array" ref="J1326">_xlfn.IFS(I1326&lt;=3,"small",I1326&lt;=6,"Medium",I1326&lt;=9,"Large")</f>
        <v>Medium</v>
      </c>
      <c r="K1326" s="36">
        <v>45470</v>
      </c>
      <c r="L1326" s="36">
        <v>45475</v>
      </c>
      <c r="M1326" t="s">
        <v>612</v>
      </c>
      <c r="N1326" t="s">
        <v>608</v>
      </c>
      <c r="O1326" s="37" t="str">
        <f t="shared" si="103"/>
        <v>Cash Payment</v>
      </c>
      <c r="P1326">
        <v>359.98</v>
      </c>
      <c r="Q1326" s="37" t="str">
        <f>IF(P1326&gt;500,"High","low")</f>
        <v>low</v>
      </c>
      <c r="R1326" s="37" t="str">
        <f t="shared" si="104"/>
        <v>AVERAGE</v>
      </c>
      <c r="S1326" t="s">
        <v>600</v>
      </c>
    </row>
    <row r="1327" spans="1:19" x14ac:dyDescent="0.2">
      <c r="A1327" t="s">
        <v>1938</v>
      </c>
      <c r="B1327" t="s">
        <v>75</v>
      </c>
      <c r="C1327" t="s">
        <v>617</v>
      </c>
      <c r="D1327">
        <v>1113.51</v>
      </c>
      <c r="E1327" s="37" t="str">
        <f t="shared" si="100"/>
        <v xml:space="preserve"> </v>
      </c>
      <c r="F1327">
        <v>0.04</v>
      </c>
      <c r="G1327" s="37" t="str">
        <f t="shared" si="101"/>
        <v>Normal Discount</v>
      </c>
      <c r="H1327" s="37" t="str">
        <f t="shared" si="102"/>
        <v>Low</v>
      </c>
      <c r="I1327">
        <v>1</v>
      </c>
      <c r="J1327" t="str" cm="1">
        <f t="array" ref="J1327">_xlfn.IFS(I1327&lt;=3,"small",I1327&lt;=6,"Medium",I1327&lt;=9,"Large")</f>
        <v>small</v>
      </c>
      <c r="K1327" s="36">
        <v>45504</v>
      </c>
      <c r="L1327" s="36">
        <v>45508</v>
      </c>
      <c r="M1327" t="s">
        <v>612</v>
      </c>
      <c r="N1327" t="s">
        <v>604</v>
      </c>
      <c r="O1327" s="37" t="str">
        <f t="shared" si="103"/>
        <v>Digital Payment</v>
      </c>
      <c r="P1327">
        <v>144.96</v>
      </c>
      <c r="Q1327" s="37" t="str">
        <f>IF(P1327&gt;500,"High","low")</f>
        <v>low</v>
      </c>
      <c r="R1327" s="37" t="str">
        <f t="shared" si="104"/>
        <v>AVERAGE</v>
      </c>
      <c r="S1327" t="s">
        <v>628</v>
      </c>
    </row>
    <row r="1328" spans="1:19" x14ac:dyDescent="0.2">
      <c r="A1328" t="s">
        <v>1939</v>
      </c>
      <c r="B1328" t="s">
        <v>75</v>
      </c>
      <c r="C1328" t="s">
        <v>602</v>
      </c>
      <c r="D1328">
        <v>4860.08</v>
      </c>
      <c r="E1328" s="37" t="str">
        <f t="shared" si="100"/>
        <v xml:space="preserve"> </v>
      </c>
      <c r="F1328">
        <v>0.12</v>
      </c>
      <c r="G1328" s="37" t="str">
        <f t="shared" si="101"/>
        <v>Normal Discount</v>
      </c>
      <c r="H1328" s="37" t="str">
        <f t="shared" si="102"/>
        <v>Low</v>
      </c>
      <c r="I1328">
        <v>5</v>
      </c>
      <c r="J1328" t="str" cm="1">
        <f t="array" ref="J1328">_xlfn.IFS(I1328&lt;=3,"small",I1328&lt;=6,"Medium",I1328&lt;=9,"Large")</f>
        <v>Medium</v>
      </c>
      <c r="K1328" s="36">
        <v>45640</v>
      </c>
      <c r="L1328" s="36">
        <v>45641</v>
      </c>
      <c r="M1328" t="s">
        <v>603</v>
      </c>
      <c r="N1328" t="s">
        <v>604</v>
      </c>
      <c r="O1328" s="37" t="str">
        <f t="shared" si="103"/>
        <v>Digital Payment</v>
      </c>
      <c r="P1328">
        <v>715.7</v>
      </c>
      <c r="Q1328" s="37" t="str">
        <f>IF(P1328&gt;500,"High","low")</f>
        <v>High</v>
      </c>
      <c r="R1328" s="37" t="str">
        <f t="shared" si="104"/>
        <v>Good</v>
      </c>
      <c r="S1328" t="s">
        <v>605</v>
      </c>
    </row>
    <row r="1329" spans="1:19" x14ac:dyDescent="0.2">
      <c r="A1329" t="s">
        <v>1940</v>
      </c>
      <c r="B1329" t="s">
        <v>75</v>
      </c>
      <c r="C1329" t="s">
        <v>607</v>
      </c>
      <c r="D1329">
        <v>191.19</v>
      </c>
      <c r="E1329" s="37" t="str">
        <f t="shared" si="100"/>
        <v xml:space="preserve"> </v>
      </c>
      <c r="F1329">
        <v>0.28999999999999998</v>
      </c>
      <c r="G1329" s="37" t="str">
        <f t="shared" si="101"/>
        <v>Normal Discount</v>
      </c>
      <c r="H1329" s="37" t="str">
        <f t="shared" si="102"/>
        <v>Medium</v>
      </c>
      <c r="I1329">
        <v>5</v>
      </c>
      <c r="J1329" t="str" cm="1">
        <f t="array" ref="J1329">_xlfn.IFS(I1329&lt;=3,"small",I1329&lt;=6,"Medium",I1329&lt;=9,"Large")</f>
        <v>Medium</v>
      </c>
      <c r="K1329" s="36">
        <v>45628</v>
      </c>
      <c r="L1329" s="36">
        <v>45632</v>
      </c>
      <c r="M1329" t="s">
        <v>612</v>
      </c>
      <c r="N1329" t="s">
        <v>604</v>
      </c>
      <c r="O1329" s="37" t="str">
        <f t="shared" si="103"/>
        <v>Digital Payment</v>
      </c>
      <c r="P1329">
        <v>48.82</v>
      </c>
      <c r="Q1329" s="37" t="str">
        <f>IF(P1329&gt;500,"High","low")</f>
        <v>low</v>
      </c>
      <c r="R1329" s="37" t="str">
        <f t="shared" si="104"/>
        <v>AVERAGE</v>
      </c>
      <c r="S1329" t="s">
        <v>605</v>
      </c>
    </row>
    <row r="1330" spans="1:19" x14ac:dyDescent="0.2">
      <c r="A1330" t="s">
        <v>1941</v>
      </c>
      <c r="B1330" t="s">
        <v>83</v>
      </c>
      <c r="C1330" t="s">
        <v>607</v>
      </c>
      <c r="D1330">
        <v>3167.68</v>
      </c>
      <c r="E1330" s="37" t="str">
        <f t="shared" si="100"/>
        <v xml:space="preserve"> </v>
      </c>
      <c r="F1330">
        <v>0.37</v>
      </c>
      <c r="G1330" s="37" t="str">
        <f t="shared" si="101"/>
        <v>Heavy Discount</v>
      </c>
      <c r="H1330" s="37" t="str">
        <f t="shared" si="102"/>
        <v>Medium</v>
      </c>
      <c r="I1330">
        <v>5</v>
      </c>
      <c r="J1330" t="str" cm="1">
        <f t="array" ref="J1330">_xlfn.IFS(I1330&lt;=3,"small",I1330&lt;=6,"Medium",I1330&lt;=9,"Large")</f>
        <v>Medium</v>
      </c>
      <c r="K1330" s="36">
        <v>45340</v>
      </c>
      <c r="L1330" s="36">
        <v>45342</v>
      </c>
      <c r="M1330" t="s">
        <v>598</v>
      </c>
      <c r="N1330" t="s">
        <v>599</v>
      </c>
      <c r="O1330" s="37" t="str">
        <f t="shared" si="103"/>
        <v>Digital Payment</v>
      </c>
      <c r="P1330">
        <v>209.29</v>
      </c>
      <c r="Q1330" s="37" t="str">
        <f>IF(P1330&gt;500,"High","low")</f>
        <v>low</v>
      </c>
      <c r="R1330" s="37" t="str">
        <f t="shared" si="104"/>
        <v>AVERAGE</v>
      </c>
      <c r="S1330" t="s">
        <v>600</v>
      </c>
    </row>
    <row r="1331" spans="1:19" x14ac:dyDescent="0.2">
      <c r="A1331" t="s">
        <v>1942</v>
      </c>
      <c r="B1331" t="s">
        <v>75</v>
      </c>
      <c r="C1331" t="s">
        <v>602</v>
      </c>
      <c r="D1331">
        <v>2636.23</v>
      </c>
      <c r="E1331" s="37" t="str">
        <f t="shared" si="100"/>
        <v xml:space="preserve"> </v>
      </c>
      <c r="F1331">
        <v>0.05</v>
      </c>
      <c r="G1331" s="37" t="str">
        <f t="shared" si="101"/>
        <v>Normal Discount</v>
      </c>
      <c r="H1331" s="37" t="str">
        <f t="shared" si="102"/>
        <v>Low</v>
      </c>
      <c r="I1331">
        <v>2</v>
      </c>
      <c r="J1331" t="str" cm="1">
        <f t="array" ref="J1331">_xlfn.IFS(I1331&lt;=3,"small",I1331&lt;=6,"Medium",I1331&lt;=9,"Large")</f>
        <v>small</v>
      </c>
      <c r="K1331" s="36">
        <v>45553</v>
      </c>
      <c r="L1331" s="36">
        <v>45558</v>
      </c>
      <c r="M1331" t="s">
        <v>612</v>
      </c>
      <c r="N1331" t="s">
        <v>599</v>
      </c>
      <c r="O1331" s="37" t="str">
        <f t="shared" si="103"/>
        <v>Digital Payment</v>
      </c>
      <c r="P1331">
        <v>747.91</v>
      </c>
      <c r="Q1331" s="37" t="str">
        <f>IF(P1331&gt;500,"High","low")</f>
        <v>High</v>
      </c>
      <c r="R1331" s="37" t="str">
        <f t="shared" si="104"/>
        <v>Good</v>
      </c>
      <c r="S1331" t="s">
        <v>600</v>
      </c>
    </row>
    <row r="1332" spans="1:19" x14ac:dyDescent="0.2">
      <c r="A1332" t="s">
        <v>1943</v>
      </c>
      <c r="B1332" t="s">
        <v>83</v>
      </c>
      <c r="C1332" t="s">
        <v>602</v>
      </c>
      <c r="D1332">
        <v>1683.93</v>
      </c>
      <c r="E1332" s="37" t="str">
        <f t="shared" si="100"/>
        <v xml:space="preserve"> </v>
      </c>
      <c r="F1332">
        <v>0.1</v>
      </c>
      <c r="G1332" s="37" t="str">
        <f t="shared" si="101"/>
        <v>Normal Discount</v>
      </c>
      <c r="H1332" s="37" t="str">
        <f t="shared" si="102"/>
        <v>Low</v>
      </c>
      <c r="I1332">
        <v>4</v>
      </c>
      <c r="J1332" t="str" cm="1">
        <f t="array" ref="J1332">_xlfn.IFS(I1332&lt;=3,"small",I1332&lt;=6,"Medium",I1332&lt;=9,"Large")</f>
        <v>Medium</v>
      </c>
      <c r="K1332" s="36">
        <v>45346</v>
      </c>
      <c r="L1332" s="36">
        <v>45351</v>
      </c>
      <c r="M1332" t="s">
        <v>598</v>
      </c>
      <c r="N1332" t="s">
        <v>608</v>
      </c>
      <c r="O1332" s="37" t="str">
        <f t="shared" si="103"/>
        <v>Cash Payment</v>
      </c>
      <c r="P1332">
        <v>167.34</v>
      </c>
      <c r="Q1332" s="37" t="str">
        <f>IF(P1332&gt;500,"High","low")</f>
        <v>low</v>
      </c>
      <c r="R1332" s="37" t="str">
        <f t="shared" si="104"/>
        <v>AVERAGE</v>
      </c>
      <c r="S1332" t="s">
        <v>605</v>
      </c>
    </row>
    <row r="1333" spans="1:19" x14ac:dyDescent="0.2">
      <c r="A1333" t="s">
        <v>1944</v>
      </c>
      <c r="B1333" t="s">
        <v>83</v>
      </c>
      <c r="C1333" t="s">
        <v>617</v>
      </c>
      <c r="D1333">
        <v>4449.18</v>
      </c>
      <c r="E1333" s="37" t="str">
        <f t="shared" si="100"/>
        <v xml:space="preserve"> </v>
      </c>
      <c r="F1333">
        <v>0.5</v>
      </c>
      <c r="G1333" s="37" t="str">
        <f t="shared" si="101"/>
        <v>Heavy Discount</v>
      </c>
      <c r="H1333" s="37" t="str">
        <f t="shared" si="102"/>
        <v>High</v>
      </c>
      <c r="I1333">
        <v>5</v>
      </c>
      <c r="J1333" t="str" cm="1">
        <f t="array" ref="J1333">_xlfn.IFS(I1333&lt;=3,"small",I1333&lt;=6,"Medium",I1333&lt;=9,"Large")</f>
        <v>Medium</v>
      </c>
      <c r="K1333" s="36">
        <v>45188</v>
      </c>
      <c r="L1333" s="36">
        <v>45195</v>
      </c>
      <c r="M1333" t="s">
        <v>603</v>
      </c>
      <c r="N1333" t="s">
        <v>608</v>
      </c>
      <c r="O1333" s="37" t="str">
        <f t="shared" si="103"/>
        <v>Cash Payment</v>
      </c>
      <c r="P1333">
        <v>462.81</v>
      </c>
      <c r="Q1333" s="37" t="str">
        <f>IF(P1333&gt;500,"High","low")</f>
        <v>low</v>
      </c>
      <c r="R1333" s="37" t="str">
        <f t="shared" si="104"/>
        <v>AVERAGE</v>
      </c>
      <c r="S1333" t="s">
        <v>615</v>
      </c>
    </row>
    <row r="1334" spans="1:19" x14ac:dyDescent="0.2">
      <c r="A1334" t="s">
        <v>1945</v>
      </c>
      <c r="B1334" t="s">
        <v>90</v>
      </c>
      <c r="C1334" t="s">
        <v>597</v>
      </c>
      <c r="D1334">
        <v>3383.8</v>
      </c>
      <c r="E1334" s="37" t="str">
        <f t="shared" si="100"/>
        <v xml:space="preserve"> </v>
      </c>
      <c r="F1334">
        <v>0.17</v>
      </c>
      <c r="G1334" s="37" t="str">
        <f t="shared" si="101"/>
        <v>Normal Discount</v>
      </c>
      <c r="H1334" s="37" t="str">
        <f t="shared" si="102"/>
        <v>Low</v>
      </c>
      <c r="I1334">
        <v>6</v>
      </c>
      <c r="J1334" t="str" cm="1">
        <f t="array" ref="J1334">_xlfn.IFS(I1334&lt;=3,"small",I1334&lt;=6,"Medium",I1334&lt;=9,"Large")</f>
        <v>Medium</v>
      </c>
      <c r="K1334" s="36">
        <v>44931</v>
      </c>
      <c r="L1334" s="36">
        <v>44932</v>
      </c>
      <c r="M1334" t="s">
        <v>612</v>
      </c>
      <c r="N1334" t="s">
        <v>604</v>
      </c>
      <c r="O1334" s="37" t="str">
        <f t="shared" si="103"/>
        <v>Digital Payment</v>
      </c>
      <c r="P1334">
        <v>823.73</v>
      </c>
      <c r="Q1334" s="37" t="str">
        <f>IF(P1334&gt;500,"High","low")</f>
        <v>High</v>
      </c>
      <c r="R1334" s="37" t="str">
        <f t="shared" si="104"/>
        <v>Good</v>
      </c>
      <c r="S1334" t="s">
        <v>600</v>
      </c>
    </row>
    <row r="1335" spans="1:19" x14ac:dyDescent="0.2">
      <c r="A1335" t="s">
        <v>1946</v>
      </c>
      <c r="B1335" t="s">
        <v>67</v>
      </c>
      <c r="C1335" t="s">
        <v>602</v>
      </c>
      <c r="D1335">
        <v>4991.9399999999996</v>
      </c>
      <c r="E1335" s="37" t="str">
        <f t="shared" si="100"/>
        <v xml:space="preserve"> </v>
      </c>
      <c r="F1335">
        <v>0.14000000000000001</v>
      </c>
      <c r="G1335" s="37" t="str">
        <f t="shared" si="101"/>
        <v>Normal Discount</v>
      </c>
      <c r="H1335" s="37" t="str">
        <f t="shared" si="102"/>
        <v>Low</v>
      </c>
      <c r="I1335">
        <v>7</v>
      </c>
      <c r="J1335" t="str" cm="1">
        <f t="array" ref="J1335">_xlfn.IFS(I1335&lt;=3,"small",I1335&lt;=6,"Medium",I1335&lt;=9,"Large")</f>
        <v>Large</v>
      </c>
      <c r="K1335" s="36">
        <v>45238</v>
      </c>
      <c r="L1335" s="36">
        <v>45243</v>
      </c>
      <c r="M1335" t="s">
        <v>612</v>
      </c>
      <c r="N1335" t="s">
        <v>608</v>
      </c>
      <c r="O1335" s="37" t="str">
        <f t="shared" si="103"/>
        <v>Cash Payment</v>
      </c>
      <c r="P1335">
        <v>401.12</v>
      </c>
      <c r="Q1335" s="37" t="str">
        <f>IF(P1335&gt;500,"High","low")</f>
        <v>low</v>
      </c>
      <c r="R1335" s="37" t="str">
        <f t="shared" si="104"/>
        <v>AVERAGE</v>
      </c>
      <c r="S1335" t="s">
        <v>615</v>
      </c>
    </row>
    <row r="1336" spans="1:19" x14ac:dyDescent="0.2">
      <c r="A1336" t="s">
        <v>1947</v>
      </c>
      <c r="B1336" t="s">
        <v>67</v>
      </c>
      <c r="C1336" t="s">
        <v>597</v>
      </c>
      <c r="D1336">
        <v>926.41</v>
      </c>
      <c r="E1336" s="37" t="str">
        <f t="shared" si="100"/>
        <v xml:space="preserve"> </v>
      </c>
      <c r="F1336">
        <v>0.04</v>
      </c>
      <c r="G1336" s="37" t="str">
        <f t="shared" si="101"/>
        <v>Normal Discount</v>
      </c>
      <c r="H1336" s="37" t="str">
        <f t="shared" si="102"/>
        <v>Low</v>
      </c>
      <c r="I1336">
        <v>3</v>
      </c>
      <c r="J1336" t="str" cm="1">
        <f t="array" ref="J1336">_xlfn.IFS(I1336&lt;=3,"small",I1336&lt;=6,"Medium",I1336&lt;=9,"Large")</f>
        <v>small</v>
      </c>
      <c r="K1336" s="36">
        <v>45466</v>
      </c>
      <c r="L1336" s="36">
        <v>45471</v>
      </c>
      <c r="M1336" t="s">
        <v>598</v>
      </c>
      <c r="N1336" t="s">
        <v>599</v>
      </c>
      <c r="O1336" s="37" t="str">
        <f t="shared" si="103"/>
        <v>Digital Payment</v>
      </c>
      <c r="P1336">
        <v>78.930000000000007</v>
      </c>
      <c r="Q1336" s="37" t="str">
        <f>IF(P1336&gt;500,"High","low")</f>
        <v>low</v>
      </c>
      <c r="R1336" s="37" t="str">
        <f t="shared" si="104"/>
        <v>AVERAGE</v>
      </c>
      <c r="S1336" t="s">
        <v>605</v>
      </c>
    </row>
    <row r="1337" spans="1:19" x14ac:dyDescent="0.2">
      <c r="A1337" t="s">
        <v>1948</v>
      </c>
      <c r="B1337" t="s">
        <v>83</v>
      </c>
      <c r="C1337" t="s">
        <v>614</v>
      </c>
      <c r="D1337">
        <v>530.54999999999995</v>
      </c>
      <c r="E1337" s="37" t="str">
        <f t="shared" si="100"/>
        <v xml:space="preserve"> </v>
      </c>
      <c r="F1337">
        <v>0.35</v>
      </c>
      <c r="G1337" s="37" t="str">
        <f t="shared" si="101"/>
        <v>Heavy Discount</v>
      </c>
      <c r="H1337" s="37" t="str">
        <f t="shared" si="102"/>
        <v>Medium</v>
      </c>
      <c r="I1337">
        <v>3</v>
      </c>
      <c r="J1337" t="str" cm="1">
        <f t="array" ref="J1337">_xlfn.IFS(I1337&lt;=3,"small",I1337&lt;=6,"Medium",I1337&lt;=9,"Large")</f>
        <v>small</v>
      </c>
      <c r="K1337" s="36">
        <v>44985</v>
      </c>
      <c r="L1337" s="36">
        <v>44989</v>
      </c>
      <c r="M1337" t="s">
        <v>603</v>
      </c>
      <c r="N1337" t="s">
        <v>604</v>
      </c>
      <c r="O1337" s="37" t="str">
        <f t="shared" si="103"/>
        <v>Digital Payment</v>
      </c>
      <c r="P1337">
        <v>38.65</v>
      </c>
      <c r="Q1337" s="37" t="str">
        <f>IF(P1337&gt;500,"High","low")</f>
        <v>low</v>
      </c>
      <c r="R1337" s="37" t="str">
        <f t="shared" si="104"/>
        <v>AVERAGE</v>
      </c>
      <c r="S1337" t="s">
        <v>609</v>
      </c>
    </row>
    <row r="1338" spans="1:19" x14ac:dyDescent="0.2">
      <c r="A1338" t="s">
        <v>1949</v>
      </c>
      <c r="B1338" t="s">
        <v>90</v>
      </c>
      <c r="C1338" t="s">
        <v>607</v>
      </c>
      <c r="D1338">
        <v>783.05</v>
      </c>
      <c r="E1338" s="37" t="str">
        <f t="shared" si="100"/>
        <v xml:space="preserve"> </v>
      </c>
      <c r="F1338">
        <v>0.25</v>
      </c>
      <c r="G1338" s="37" t="str">
        <f t="shared" si="101"/>
        <v>Normal Discount</v>
      </c>
      <c r="H1338" s="37" t="str">
        <f t="shared" si="102"/>
        <v>Medium</v>
      </c>
      <c r="I1338">
        <v>2</v>
      </c>
      <c r="J1338" t="str" cm="1">
        <f t="array" ref="J1338">_xlfn.IFS(I1338&lt;=3,"small",I1338&lt;=6,"Medium",I1338&lt;=9,"Large")</f>
        <v>small</v>
      </c>
      <c r="K1338" s="36">
        <v>45225</v>
      </c>
      <c r="L1338" s="36">
        <v>45227</v>
      </c>
      <c r="M1338" t="s">
        <v>603</v>
      </c>
      <c r="N1338" t="s">
        <v>608</v>
      </c>
      <c r="O1338" s="37" t="str">
        <f t="shared" si="103"/>
        <v>Cash Payment</v>
      </c>
      <c r="P1338">
        <v>157.58000000000001</v>
      </c>
      <c r="Q1338" s="37" t="str">
        <f>IF(P1338&gt;500,"High","low")</f>
        <v>low</v>
      </c>
      <c r="R1338" s="37" t="str">
        <f t="shared" si="104"/>
        <v>AVERAGE</v>
      </c>
      <c r="S1338" t="s">
        <v>620</v>
      </c>
    </row>
    <row r="1339" spans="1:19" x14ac:dyDescent="0.2">
      <c r="A1339" t="s">
        <v>1950</v>
      </c>
      <c r="B1339" t="s">
        <v>83</v>
      </c>
      <c r="C1339" t="s">
        <v>617</v>
      </c>
      <c r="D1339">
        <v>1419.53</v>
      </c>
      <c r="E1339" s="37" t="str">
        <f t="shared" si="100"/>
        <v xml:space="preserve"> </v>
      </c>
      <c r="F1339">
        <v>0.08</v>
      </c>
      <c r="G1339" s="37" t="str">
        <f t="shared" si="101"/>
        <v>Normal Discount</v>
      </c>
      <c r="H1339" s="37" t="str">
        <f t="shared" si="102"/>
        <v>Low</v>
      </c>
      <c r="I1339">
        <v>9</v>
      </c>
      <c r="J1339" t="str" cm="1">
        <f t="array" ref="J1339">_xlfn.IFS(I1339&lt;=3,"small",I1339&lt;=6,"Medium",I1339&lt;=9,"Large")</f>
        <v>Large</v>
      </c>
      <c r="K1339" s="36">
        <v>44976</v>
      </c>
      <c r="L1339" s="36">
        <v>44980</v>
      </c>
      <c r="M1339" t="s">
        <v>598</v>
      </c>
      <c r="N1339" t="s">
        <v>599</v>
      </c>
      <c r="O1339" s="37" t="str">
        <f t="shared" si="103"/>
        <v>Digital Payment</v>
      </c>
      <c r="P1339">
        <v>369.68</v>
      </c>
      <c r="Q1339" s="37" t="str">
        <f>IF(P1339&gt;500,"High","low")</f>
        <v>low</v>
      </c>
      <c r="R1339" s="37" t="str">
        <f t="shared" si="104"/>
        <v>AVERAGE</v>
      </c>
      <c r="S1339" t="s">
        <v>600</v>
      </c>
    </row>
    <row r="1340" spans="1:19" x14ac:dyDescent="0.2">
      <c r="A1340" t="s">
        <v>1951</v>
      </c>
      <c r="B1340" t="s">
        <v>83</v>
      </c>
      <c r="C1340" t="s">
        <v>607</v>
      </c>
      <c r="D1340">
        <v>2142.2600000000002</v>
      </c>
      <c r="E1340" s="37" t="str">
        <f t="shared" si="100"/>
        <v xml:space="preserve"> </v>
      </c>
      <c r="F1340">
        <v>0.32</v>
      </c>
      <c r="G1340" s="37" t="str">
        <f t="shared" si="101"/>
        <v>Heavy Discount</v>
      </c>
      <c r="H1340" s="37" t="str">
        <f t="shared" si="102"/>
        <v>Medium</v>
      </c>
      <c r="I1340">
        <v>1</v>
      </c>
      <c r="J1340" t="str" cm="1">
        <f t="array" ref="J1340">_xlfn.IFS(I1340&lt;=3,"small",I1340&lt;=6,"Medium",I1340&lt;=9,"Large")</f>
        <v>small</v>
      </c>
      <c r="K1340" s="36">
        <v>45558</v>
      </c>
      <c r="L1340" s="36">
        <v>45561</v>
      </c>
      <c r="M1340" t="s">
        <v>603</v>
      </c>
      <c r="N1340" t="s">
        <v>604</v>
      </c>
      <c r="O1340" s="37" t="str">
        <f t="shared" si="103"/>
        <v>Digital Payment</v>
      </c>
      <c r="P1340">
        <v>203.52</v>
      </c>
      <c r="Q1340" s="37" t="str">
        <f>IF(P1340&gt;500,"High","low")</f>
        <v>low</v>
      </c>
      <c r="R1340" s="37" t="str">
        <f t="shared" si="104"/>
        <v>AVERAGE</v>
      </c>
      <c r="S1340" t="s">
        <v>605</v>
      </c>
    </row>
    <row r="1341" spans="1:19" x14ac:dyDescent="0.2">
      <c r="A1341" t="s">
        <v>1952</v>
      </c>
      <c r="B1341" t="s">
        <v>83</v>
      </c>
      <c r="C1341" t="s">
        <v>617</v>
      </c>
      <c r="D1341">
        <v>4326.76</v>
      </c>
      <c r="E1341" s="37" t="str">
        <f t="shared" si="100"/>
        <v xml:space="preserve"> </v>
      </c>
      <c r="F1341">
        <v>0.26</v>
      </c>
      <c r="G1341" s="37" t="str">
        <f t="shared" si="101"/>
        <v>Normal Discount</v>
      </c>
      <c r="H1341" s="37" t="str">
        <f t="shared" si="102"/>
        <v>Medium</v>
      </c>
      <c r="I1341">
        <v>3</v>
      </c>
      <c r="J1341" t="str" cm="1">
        <f t="array" ref="J1341">_xlfn.IFS(I1341&lt;=3,"small",I1341&lt;=6,"Medium",I1341&lt;=9,"Large")</f>
        <v>small</v>
      </c>
      <c r="K1341" s="36">
        <v>45476</v>
      </c>
      <c r="L1341" s="36">
        <v>45481</v>
      </c>
      <c r="M1341" t="s">
        <v>612</v>
      </c>
      <c r="N1341" t="s">
        <v>604</v>
      </c>
      <c r="O1341" s="37" t="str">
        <f t="shared" si="103"/>
        <v>Digital Payment</v>
      </c>
      <c r="P1341">
        <v>643.65</v>
      </c>
      <c r="Q1341" s="37" t="str">
        <f>IF(P1341&gt;500,"High","low")</f>
        <v>High</v>
      </c>
      <c r="R1341" s="37" t="str">
        <f t="shared" si="104"/>
        <v>Good</v>
      </c>
      <c r="S1341" t="s">
        <v>628</v>
      </c>
    </row>
    <row r="1342" spans="1:19" x14ac:dyDescent="0.2">
      <c r="A1342" t="s">
        <v>1953</v>
      </c>
      <c r="B1342" t="s">
        <v>90</v>
      </c>
      <c r="C1342" t="s">
        <v>614</v>
      </c>
      <c r="D1342">
        <v>1489.6</v>
      </c>
      <c r="E1342" s="37" t="str">
        <f t="shared" si="100"/>
        <v xml:space="preserve"> </v>
      </c>
      <c r="F1342">
        <v>0.28000000000000003</v>
      </c>
      <c r="G1342" s="37" t="str">
        <f t="shared" si="101"/>
        <v>Normal Discount</v>
      </c>
      <c r="H1342" s="37" t="str">
        <f t="shared" si="102"/>
        <v>Medium</v>
      </c>
      <c r="I1342">
        <v>3</v>
      </c>
      <c r="J1342" t="str" cm="1">
        <f t="array" ref="J1342">_xlfn.IFS(I1342&lt;=3,"small",I1342&lt;=6,"Medium",I1342&lt;=9,"Large")</f>
        <v>small</v>
      </c>
      <c r="K1342" s="36">
        <v>45327</v>
      </c>
      <c r="L1342" s="36">
        <v>45331</v>
      </c>
      <c r="M1342" t="s">
        <v>603</v>
      </c>
      <c r="N1342" t="s">
        <v>599</v>
      </c>
      <c r="O1342" s="37" t="str">
        <f t="shared" si="103"/>
        <v>Digital Payment</v>
      </c>
      <c r="P1342">
        <v>327.74</v>
      </c>
      <c r="Q1342" s="37" t="str">
        <f>IF(P1342&gt;500,"High","low")</f>
        <v>low</v>
      </c>
      <c r="R1342" s="37" t="str">
        <f t="shared" si="104"/>
        <v>AVERAGE</v>
      </c>
      <c r="S1342" t="s">
        <v>615</v>
      </c>
    </row>
    <row r="1343" spans="1:19" x14ac:dyDescent="0.2">
      <c r="A1343" t="s">
        <v>1954</v>
      </c>
      <c r="B1343" t="s">
        <v>67</v>
      </c>
      <c r="C1343" t="s">
        <v>607</v>
      </c>
      <c r="D1343">
        <v>4584.6899999999996</v>
      </c>
      <c r="E1343" s="37" t="str">
        <f t="shared" si="100"/>
        <v xml:space="preserve"> </v>
      </c>
      <c r="F1343">
        <v>0.5</v>
      </c>
      <c r="G1343" s="37" t="str">
        <f t="shared" si="101"/>
        <v>Heavy Discount</v>
      </c>
      <c r="H1343" s="37" t="str">
        <f t="shared" si="102"/>
        <v>High</v>
      </c>
      <c r="I1343">
        <v>8</v>
      </c>
      <c r="J1343" t="str" cm="1">
        <f t="array" ref="J1343">_xlfn.IFS(I1343&lt;=3,"small",I1343&lt;=6,"Medium",I1343&lt;=9,"Large")</f>
        <v>Large</v>
      </c>
      <c r="K1343" s="36">
        <v>45649</v>
      </c>
      <c r="L1343" s="36">
        <v>45650</v>
      </c>
      <c r="M1343" t="s">
        <v>603</v>
      </c>
      <c r="N1343" t="s">
        <v>608</v>
      </c>
      <c r="O1343" s="37" t="str">
        <f t="shared" si="103"/>
        <v>Cash Payment</v>
      </c>
      <c r="P1343">
        <v>579.01</v>
      </c>
      <c r="Q1343" s="37" t="str">
        <f>IF(P1343&gt;500,"High","low")</f>
        <v>High</v>
      </c>
      <c r="R1343" s="37" t="str">
        <f t="shared" si="104"/>
        <v>Good</v>
      </c>
      <c r="S1343" t="s">
        <v>615</v>
      </c>
    </row>
    <row r="1344" spans="1:19" x14ac:dyDescent="0.2">
      <c r="A1344" t="s">
        <v>1955</v>
      </c>
      <c r="B1344" t="s">
        <v>90</v>
      </c>
      <c r="C1344" t="s">
        <v>614</v>
      </c>
      <c r="D1344">
        <v>2368.25</v>
      </c>
      <c r="E1344" s="37" t="str">
        <f t="shared" si="100"/>
        <v xml:space="preserve"> </v>
      </c>
      <c r="F1344">
        <v>0.01</v>
      </c>
      <c r="G1344" s="37" t="str">
        <f t="shared" si="101"/>
        <v>Normal Discount</v>
      </c>
      <c r="H1344" s="37" t="str">
        <f t="shared" si="102"/>
        <v>Low</v>
      </c>
      <c r="I1344">
        <v>6</v>
      </c>
      <c r="J1344" t="str" cm="1">
        <f t="array" ref="J1344">_xlfn.IFS(I1344&lt;=3,"small",I1344&lt;=6,"Medium",I1344&lt;=9,"Large")</f>
        <v>Medium</v>
      </c>
      <c r="K1344" s="36">
        <v>45209</v>
      </c>
      <c r="L1344" s="36">
        <v>45216</v>
      </c>
      <c r="M1344" t="s">
        <v>612</v>
      </c>
      <c r="N1344" t="s">
        <v>608</v>
      </c>
      <c r="O1344" s="37" t="str">
        <f t="shared" si="103"/>
        <v>Cash Payment</v>
      </c>
      <c r="P1344">
        <v>233.47</v>
      </c>
      <c r="Q1344" s="37" t="str">
        <f>IF(P1344&gt;500,"High","low")</f>
        <v>low</v>
      </c>
      <c r="R1344" s="37" t="str">
        <f t="shared" si="104"/>
        <v>AVERAGE</v>
      </c>
      <c r="S1344" t="s">
        <v>628</v>
      </c>
    </row>
    <row r="1345" spans="1:19" x14ac:dyDescent="0.2">
      <c r="A1345" t="s">
        <v>1956</v>
      </c>
      <c r="B1345" t="s">
        <v>75</v>
      </c>
      <c r="C1345" t="s">
        <v>617</v>
      </c>
      <c r="D1345">
        <v>3270.64</v>
      </c>
      <c r="E1345" s="37" t="str">
        <f t="shared" si="100"/>
        <v xml:space="preserve"> </v>
      </c>
      <c r="F1345">
        <v>0.46</v>
      </c>
      <c r="G1345" s="37" t="str">
        <f t="shared" si="101"/>
        <v>Heavy Discount</v>
      </c>
      <c r="H1345" s="37" t="str">
        <f t="shared" si="102"/>
        <v>High</v>
      </c>
      <c r="I1345">
        <v>3</v>
      </c>
      <c r="J1345" t="str" cm="1">
        <f t="array" ref="J1345">_xlfn.IFS(I1345&lt;=3,"small",I1345&lt;=6,"Medium",I1345&lt;=9,"Large")</f>
        <v>small</v>
      </c>
      <c r="K1345" s="36">
        <v>45091</v>
      </c>
      <c r="L1345" s="36">
        <v>45097</v>
      </c>
      <c r="M1345" t="s">
        <v>598</v>
      </c>
      <c r="N1345" t="s">
        <v>599</v>
      </c>
      <c r="O1345" s="37" t="str">
        <f t="shared" si="103"/>
        <v>Digital Payment</v>
      </c>
      <c r="P1345">
        <v>904.53</v>
      </c>
      <c r="Q1345" s="37" t="str">
        <f>IF(P1345&gt;500,"High","low")</f>
        <v>High</v>
      </c>
      <c r="R1345" s="37" t="str">
        <f t="shared" si="104"/>
        <v>Good</v>
      </c>
      <c r="S1345" t="s">
        <v>609</v>
      </c>
    </row>
    <row r="1346" spans="1:19" x14ac:dyDescent="0.2">
      <c r="A1346" t="s">
        <v>1957</v>
      </c>
      <c r="B1346" t="s">
        <v>90</v>
      </c>
      <c r="C1346" t="s">
        <v>602</v>
      </c>
      <c r="D1346">
        <v>1395.6</v>
      </c>
      <c r="E1346" s="37" t="str">
        <f t="shared" si="100"/>
        <v xml:space="preserve"> </v>
      </c>
      <c r="F1346">
        <v>0.42</v>
      </c>
      <c r="G1346" s="37" t="str">
        <f t="shared" si="101"/>
        <v>Heavy Discount</v>
      </c>
      <c r="H1346" s="37" t="str">
        <f t="shared" si="102"/>
        <v>High</v>
      </c>
      <c r="I1346">
        <v>1</v>
      </c>
      <c r="J1346" t="str" cm="1">
        <f t="array" ref="J1346">_xlfn.IFS(I1346&lt;=3,"small",I1346&lt;=6,"Medium",I1346&lt;=9,"Large")</f>
        <v>small</v>
      </c>
      <c r="K1346" s="36">
        <v>45189</v>
      </c>
      <c r="L1346" s="36">
        <v>45191</v>
      </c>
      <c r="M1346" t="s">
        <v>603</v>
      </c>
      <c r="N1346" t="s">
        <v>599</v>
      </c>
      <c r="O1346" s="37" t="str">
        <f t="shared" si="103"/>
        <v>Digital Payment</v>
      </c>
      <c r="P1346">
        <v>314.93</v>
      </c>
      <c r="Q1346" s="37" t="str">
        <f>IF(P1346&gt;500,"High","low")</f>
        <v>low</v>
      </c>
      <c r="R1346" s="37" t="str">
        <f t="shared" si="104"/>
        <v>AVERAGE</v>
      </c>
      <c r="S1346" t="s">
        <v>605</v>
      </c>
    </row>
    <row r="1347" spans="1:19" x14ac:dyDescent="0.2">
      <c r="A1347" t="s">
        <v>1958</v>
      </c>
      <c r="B1347" t="s">
        <v>90</v>
      </c>
      <c r="C1347" t="s">
        <v>607</v>
      </c>
      <c r="D1347">
        <v>864.47</v>
      </c>
      <c r="E1347" s="37" t="str">
        <f t="shared" ref="E1347:E1410" si="105">IF(AND(D1347&gt;4000,P1347&gt;800),"Excellent Order"," ")</f>
        <v xml:space="preserve"> </v>
      </c>
      <c r="F1347">
        <v>0.21</v>
      </c>
      <c r="G1347" s="37" t="str">
        <f t="shared" ref="G1347:G1410" si="106">IF(F1347&gt;30%,"Heavy Discount","Normal Discount")</f>
        <v>Normal Discount</v>
      </c>
      <c r="H1347" s="37" t="str">
        <f t="shared" ref="H1347:H1410" si="107">IF(F1347&gt;0.4,"High",IF(F1347&gt;=0.2,"Medium","Low"))</f>
        <v>Medium</v>
      </c>
      <c r="I1347">
        <v>3</v>
      </c>
      <c r="J1347" t="str" cm="1">
        <f t="array" ref="J1347">_xlfn.IFS(I1347&lt;=3,"small",I1347&lt;=6,"Medium",I1347&lt;=9,"Large")</f>
        <v>small</v>
      </c>
      <c r="K1347" s="36">
        <v>45220</v>
      </c>
      <c r="L1347" s="36">
        <v>45226</v>
      </c>
      <c r="M1347" t="s">
        <v>612</v>
      </c>
      <c r="N1347" t="s">
        <v>599</v>
      </c>
      <c r="O1347" s="37" t="str">
        <f t="shared" ref="O1347:O1410" si="108">IF(OR(N1347="Card",N1347="UPI"),"Digital Payment","Cash Payment")</f>
        <v>Digital Payment</v>
      </c>
      <c r="P1347">
        <v>243.19</v>
      </c>
      <c r="Q1347" s="37" t="str">
        <f>IF(P1347&gt;500,"High","low")</f>
        <v>low</v>
      </c>
      <c r="R1347" s="37" t="str">
        <f t="shared" ref="R1347:R1410" si="109">IF(P1347&gt;1000,"Excellent",IF(P1347&gt;=500,"Good","AVERAGE"))</f>
        <v>AVERAGE</v>
      </c>
      <c r="S1347" t="s">
        <v>620</v>
      </c>
    </row>
    <row r="1348" spans="1:19" x14ac:dyDescent="0.2">
      <c r="A1348" t="s">
        <v>1959</v>
      </c>
      <c r="B1348" t="s">
        <v>90</v>
      </c>
      <c r="C1348" t="s">
        <v>614</v>
      </c>
      <c r="D1348">
        <v>4360.34</v>
      </c>
      <c r="E1348" s="37" t="str">
        <f t="shared" si="105"/>
        <v>Excellent Order</v>
      </c>
      <c r="F1348">
        <v>0.44</v>
      </c>
      <c r="G1348" s="37" t="str">
        <f t="shared" si="106"/>
        <v>Heavy Discount</v>
      </c>
      <c r="H1348" s="37" t="str">
        <f t="shared" si="107"/>
        <v>High</v>
      </c>
      <c r="I1348">
        <v>4</v>
      </c>
      <c r="J1348" t="str" cm="1">
        <f t="array" ref="J1348">_xlfn.IFS(I1348&lt;=3,"small",I1348&lt;=6,"Medium",I1348&lt;=9,"Large")</f>
        <v>Medium</v>
      </c>
      <c r="K1348" s="36">
        <v>45135</v>
      </c>
      <c r="L1348" s="36">
        <v>45137</v>
      </c>
      <c r="M1348" t="s">
        <v>612</v>
      </c>
      <c r="N1348" t="s">
        <v>608</v>
      </c>
      <c r="O1348" s="37" t="str">
        <f t="shared" si="108"/>
        <v>Cash Payment</v>
      </c>
      <c r="P1348">
        <v>1069.5</v>
      </c>
      <c r="Q1348" s="37" t="str">
        <f>IF(P1348&gt;500,"High","low")</f>
        <v>High</v>
      </c>
      <c r="R1348" s="37" t="str">
        <f t="shared" si="109"/>
        <v>Excellent</v>
      </c>
      <c r="S1348" t="s">
        <v>605</v>
      </c>
    </row>
    <row r="1349" spans="1:19" x14ac:dyDescent="0.2">
      <c r="A1349" t="s">
        <v>1960</v>
      </c>
      <c r="B1349" t="s">
        <v>90</v>
      </c>
      <c r="C1349" t="s">
        <v>607</v>
      </c>
      <c r="D1349">
        <v>636.58000000000004</v>
      </c>
      <c r="E1349" s="37" t="str">
        <f t="shared" si="105"/>
        <v xml:space="preserve"> </v>
      </c>
      <c r="F1349">
        <v>0.32</v>
      </c>
      <c r="G1349" s="37" t="str">
        <f t="shared" si="106"/>
        <v>Heavy Discount</v>
      </c>
      <c r="H1349" s="37" t="str">
        <f t="shared" si="107"/>
        <v>Medium</v>
      </c>
      <c r="I1349">
        <v>1</v>
      </c>
      <c r="J1349" t="str" cm="1">
        <f t="array" ref="J1349">_xlfn.IFS(I1349&lt;=3,"small",I1349&lt;=6,"Medium",I1349&lt;=9,"Large")</f>
        <v>small</v>
      </c>
      <c r="K1349" s="36">
        <v>45595</v>
      </c>
      <c r="L1349" s="36">
        <v>45596</v>
      </c>
      <c r="M1349" t="s">
        <v>612</v>
      </c>
      <c r="N1349" t="s">
        <v>608</v>
      </c>
      <c r="O1349" s="37" t="str">
        <f t="shared" si="108"/>
        <v>Cash Payment</v>
      </c>
      <c r="P1349">
        <v>87.2</v>
      </c>
      <c r="Q1349" s="37" t="str">
        <f>IF(P1349&gt;500,"High","low")</f>
        <v>low</v>
      </c>
      <c r="R1349" s="37" t="str">
        <f t="shared" si="109"/>
        <v>AVERAGE</v>
      </c>
      <c r="S1349" t="s">
        <v>620</v>
      </c>
    </row>
    <row r="1350" spans="1:19" x14ac:dyDescent="0.2">
      <c r="A1350" t="s">
        <v>1961</v>
      </c>
      <c r="B1350" t="s">
        <v>67</v>
      </c>
      <c r="C1350" t="s">
        <v>607</v>
      </c>
      <c r="D1350">
        <v>3892.7</v>
      </c>
      <c r="E1350" s="37" t="str">
        <f t="shared" si="105"/>
        <v xml:space="preserve"> </v>
      </c>
      <c r="F1350">
        <v>0.44</v>
      </c>
      <c r="G1350" s="37" t="str">
        <f t="shared" si="106"/>
        <v>Heavy Discount</v>
      </c>
      <c r="H1350" s="37" t="str">
        <f t="shared" si="107"/>
        <v>High</v>
      </c>
      <c r="I1350">
        <v>3</v>
      </c>
      <c r="J1350" t="str" cm="1">
        <f t="array" ref="J1350">_xlfn.IFS(I1350&lt;=3,"small",I1350&lt;=6,"Medium",I1350&lt;=9,"Large")</f>
        <v>small</v>
      </c>
      <c r="K1350" s="36">
        <v>45233</v>
      </c>
      <c r="L1350" s="36">
        <v>45234</v>
      </c>
      <c r="M1350" t="s">
        <v>598</v>
      </c>
      <c r="N1350" t="s">
        <v>599</v>
      </c>
      <c r="O1350" s="37" t="str">
        <f t="shared" si="108"/>
        <v>Digital Payment</v>
      </c>
      <c r="P1350">
        <v>219.41</v>
      </c>
      <c r="Q1350" s="37" t="str">
        <f>IF(P1350&gt;500,"High","low")</f>
        <v>low</v>
      </c>
      <c r="R1350" s="37" t="str">
        <f t="shared" si="109"/>
        <v>AVERAGE</v>
      </c>
      <c r="S1350" t="s">
        <v>600</v>
      </c>
    </row>
    <row r="1351" spans="1:19" x14ac:dyDescent="0.2">
      <c r="A1351" t="s">
        <v>1962</v>
      </c>
      <c r="B1351" t="s">
        <v>75</v>
      </c>
      <c r="C1351" t="s">
        <v>607</v>
      </c>
      <c r="D1351">
        <v>2946.82</v>
      </c>
      <c r="E1351" s="37" t="str">
        <f t="shared" si="105"/>
        <v xml:space="preserve"> </v>
      </c>
      <c r="F1351">
        <v>0.3</v>
      </c>
      <c r="G1351" s="37" t="str">
        <f t="shared" si="106"/>
        <v>Normal Discount</v>
      </c>
      <c r="H1351" s="37" t="str">
        <f t="shared" si="107"/>
        <v>Medium</v>
      </c>
      <c r="I1351">
        <v>4</v>
      </c>
      <c r="J1351" t="str" cm="1">
        <f t="array" ref="J1351">_xlfn.IFS(I1351&lt;=3,"small",I1351&lt;=6,"Medium",I1351&lt;=9,"Large")</f>
        <v>Medium</v>
      </c>
      <c r="K1351" s="36">
        <v>45290</v>
      </c>
      <c r="L1351" s="36">
        <v>45295</v>
      </c>
      <c r="M1351" t="s">
        <v>603</v>
      </c>
      <c r="N1351" t="s">
        <v>608</v>
      </c>
      <c r="O1351" s="37" t="str">
        <f t="shared" si="108"/>
        <v>Cash Payment</v>
      </c>
      <c r="P1351">
        <v>491.43</v>
      </c>
      <c r="Q1351" s="37" t="str">
        <f>IF(P1351&gt;500,"High","low")</f>
        <v>low</v>
      </c>
      <c r="R1351" s="37" t="str">
        <f t="shared" si="109"/>
        <v>AVERAGE</v>
      </c>
      <c r="S1351" t="s">
        <v>609</v>
      </c>
    </row>
    <row r="1352" spans="1:19" x14ac:dyDescent="0.2">
      <c r="A1352" t="s">
        <v>1963</v>
      </c>
      <c r="B1352" t="s">
        <v>67</v>
      </c>
      <c r="C1352" t="s">
        <v>597</v>
      </c>
      <c r="D1352">
        <v>4319.58</v>
      </c>
      <c r="E1352" s="37" t="str">
        <f t="shared" si="105"/>
        <v xml:space="preserve"> </v>
      </c>
      <c r="F1352">
        <v>0.11</v>
      </c>
      <c r="G1352" s="37" t="str">
        <f t="shared" si="106"/>
        <v>Normal Discount</v>
      </c>
      <c r="H1352" s="37" t="str">
        <f t="shared" si="107"/>
        <v>Low</v>
      </c>
      <c r="I1352">
        <v>7</v>
      </c>
      <c r="J1352" t="str" cm="1">
        <f t="array" ref="J1352">_xlfn.IFS(I1352&lt;=3,"small",I1352&lt;=6,"Medium",I1352&lt;=9,"Large")</f>
        <v>Large</v>
      </c>
      <c r="K1352" s="36">
        <v>45029</v>
      </c>
      <c r="L1352" s="36">
        <v>45031</v>
      </c>
      <c r="M1352" t="s">
        <v>603</v>
      </c>
      <c r="N1352" t="s">
        <v>599</v>
      </c>
      <c r="O1352" s="37" t="str">
        <f t="shared" si="108"/>
        <v>Digital Payment</v>
      </c>
      <c r="P1352">
        <v>612.53</v>
      </c>
      <c r="Q1352" s="37" t="str">
        <f>IF(P1352&gt;500,"High","low")</f>
        <v>High</v>
      </c>
      <c r="R1352" s="37" t="str">
        <f t="shared" si="109"/>
        <v>Good</v>
      </c>
      <c r="S1352" t="s">
        <v>609</v>
      </c>
    </row>
    <row r="1353" spans="1:19" x14ac:dyDescent="0.2">
      <c r="A1353" t="s">
        <v>1964</v>
      </c>
      <c r="B1353" t="s">
        <v>67</v>
      </c>
      <c r="C1353" t="s">
        <v>614</v>
      </c>
      <c r="D1353">
        <v>3617.31</v>
      </c>
      <c r="E1353" s="37" t="str">
        <f t="shared" si="105"/>
        <v xml:space="preserve"> </v>
      </c>
      <c r="F1353">
        <v>0.28999999999999998</v>
      </c>
      <c r="G1353" s="37" t="str">
        <f t="shared" si="106"/>
        <v>Normal Discount</v>
      </c>
      <c r="H1353" s="37" t="str">
        <f t="shared" si="107"/>
        <v>Medium</v>
      </c>
      <c r="I1353">
        <v>4</v>
      </c>
      <c r="J1353" t="str" cm="1">
        <f t="array" ref="J1353">_xlfn.IFS(I1353&lt;=3,"small",I1353&lt;=6,"Medium",I1353&lt;=9,"Large")</f>
        <v>Medium</v>
      </c>
      <c r="K1353" s="36">
        <v>45418</v>
      </c>
      <c r="L1353" s="36">
        <v>45419</v>
      </c>
      <c r="M1353" t="s">
        <v>598</v>
      </c>
      <c r="N1353" t="s">
        <v>604</v>
      </c>
      <c r="O1353" s="37" t="str">
        <f t="shared" si="108"/>
        <v>Digital Payment</v>
      </c>
      <c r="P1353">
        <v>637.61</v>
      </c>
      <c r="Q1353" s="37" t="str">
        <f>IF(P1353&gt;500,"High","low")</f>
        <v>High</v>
      </c>
      <c r="R1353" s="37" t="str">
        <f t="shared" si="109"/>
        <v>Good</v>
      </c>
      <c r="S1353" t="s">
        <v>615</v>
      </c>
    </row>
    <row r="1354" spans="1:19" x14ac:dyDescent="0.2">
      <c r="A1354" t="s">
        <v>1965</v>
      </c>
      <c r="B1354" t="s">
        <v>90</v>
      </c>
      <c r="C1354" t="s">
        <v>614</v>
      </c>
      <c r="D1354">
        <v>1480.15</v>
      </c>
      <c r="E1354" s="37" t="str">
        <f t="shared" si="105"/>
        <v xml:space="preserve"> </v>
      </c>
      <c r="F1354">
        <v>0.09</v>
      </c>
      <c r="G1354" s="37" t="str">
        <f t="shared" si="106"/>
        <v>Normal Discount</v>
      </c>
      <c r="H1354" s="37" t="str">
        <f t="shared" si="107"/>
        <v>Low</v>
      </c>
      <c r="I1354">
        <v>1</v>
      </c>
      <c r="J1354" t="str" cm="1">
        <f t="array" ref="J1354">_xlfn.IFS(I1354&lt;=3,"small",I1354&lt;=6,"Medium",I1354&lt;=9,"Large")</f>
        <v>small</v>
      </c>
      <c r="K1354" s="36">
        <v>45325</v>
      </c>
      <c r="L1354" s="36">
        <v>45332</v>
      </c>
      <c r="M1354" t="s">
        <v>598</v>
      </c>
      <c r="N1354" t="s">
        <v>608</v>
      </c>
      <c r="O1354" s="37" t="str">
        <f t="shared" si="108"/>
        <v>Cash Payment</v>
      </c>
      <c r="P1354">
        <v>78.56</v>
      </c>
      <c r="Q1354" s="37" t="str">
        <f>IF(P1354&gt;500,"High","low")</f>
        <v>low</v>
      </c>
      <c r="R1354" s="37" t="str">
        <f t="shared" si="109"/>
        <v>AVERAGE</v>
      </c>
      <c r="S1354" t="s">
        <v>600</v>
      </c>
    </row>
    <row r="1355" spans="1:19" x14ac:dyDescent="0.2">
      <c r="A1355" t="s">
        <v>1966</v>
      </c>
      <c r="B1355" t="s">
        <v>83</v>
      </c>
      <c r="C1355" t="s">
        <v>607</v>
      </c>
      <c r="D1355">
        <v>2914.7</v>
      </c>
      <c r="E1355" s="37" t="str">
        <f t="shared" si="105"/>
        <v xml:space="preserve"> </v>
      </c>
      <c r="F1355">
        <v>7.0000000000000007E-2</v>
      </c>
      <c r="G1355" s="37" t="str">
        <f t="shared" si="106"/>
        <v>Normal Discount</v>
      </c>
      <c r="H1355" s="37" t="str">
        <f t="shared" si="107"/>
        <v>Low</v>
      </c>
      <c r="I1355">
        <v>9</v>
      </c>
      <c r="J1355" t="str" cm="1">
        <f t="array" ref="J1355">_xlfn.IFS(I1355&lt;=3,"small",I1355&lt;=6,"Medium",I1355&lt;=9,"Large")</f>
        <v>Large</v>
      </c>
      <c r="K1355" s="36">
        <v>45582</v>
      </c>
      <c r="L1355" s="36">
        <v>45589</v>
      </c>
      <c r="M1355" t="s">
        <v>612</v>
      </c>
      <c r="N1355" t="s">
        <v>599</v>
      </c>
      <c r="O1355" s="37" t="str">
        <f t="shared" si="108"/>
        <v>Digital Payment</v>
      </c>
      <c r="P1355">
        <v>534.44000000000005</v>
      </c>
      <c r="Q1355" s="37" t="str">
        <f>IF(P1355&gt;500,"High","low")</f>
        <v>High</v>
      </c>
      <c r="R1355" s="37" t="str">
        <f t="shared" si="109"/>
        <v>Good</v>
      </c>
      <c r="S1355" t="s">
        <v>628</v>
      </c>
    </row>
    <row r="1356" spans="1:19" x14ac:dyDescent="0.2">
      <c r="A1356" t="s">
        <v>1967</v>
      </c>
      <c r="B1356" t="s">
        <v>83</v>
      </c>
      <c r="C1356" t="s">
        <v>602</v>
      </c>
      <c r="D1356">
        <v>164.06</v>
      </c>
      <c r="E1356" s="37" t="str">
        <f t="shared" si="105"/>
        <v xml:space="preserve"> </v>
      </c>
      <c r="F1356">
        <v>0.33</v>
      </c>
      <c r="G1356" s="37" t="str">
        <f t="shared" si="106"/>
        <v>Heavy Discount</v>
      </c>
      <c r="H1356" s="37" t="str">
        <f t="shared" si="107"/>
        <v>Medium</v>
      </c>
      <c r="I1356">
        <v>6</v>
      </c>
      <c r="J1356" t="str" cm="1">
        <f t="array" ref="J1356">_xlfn.IFS(I1356&lt;=3,"small",I1356&lt;=6,"Medium",I1356&lt;=9,"Large")</f>
        <v>Medium</v>
      </c>
      <c r="K1356" s="36">
        <v>45535</v>
      </c>
      <c r="L1356" s="36">
        <v>45538</v>
      </c>
      <c r="M1356" t="s">
        <v>598</v>
      </c>
      <c r="N1356" t="s">
        <v>608</v>
      </c>
      <c r="O1356" s="37" t="str">
        <f t="shared" si="108"/>
        <v>Cash Payment</v>
      </c>
      <c r="P1356">
        <v>25.14</v>
      </c>
      <c r="Q1356" s="37" t="str">
        <f>IF(P1356&gt;500,"High","low")</f>
        <v>low</v>
      </c>
      <c r="R1356" s="37" t="str">
        <f t="shared" si="109"/>
        <v>AVERAGE</v>
      </c>
      <c r="S1356" t="s">
        <v>609</v>
      </c>
    </row>
    <row r="1357" spans="1:19" x14ac:dyDescent="0.2">
      <c r="A1357" t="s">
        <v>1968</v>
      </c>
      <c r="B1357" t="s">
        <v>67</v>
      </c>
      <c r="C1357" t="s">
        <v>607</v>
      </c>
      <c r="D1357">
        <v>2428.5700000000002</v>
      </c>
      <c r="E1357" s="37" t="str">
        <f t="shared" si="105"/>
        <v xml:space="preserve"> </v>
      </c>
      <c r="F1357">
        <v>0.47</v>
      </c>
      <c r="G1357" s="37" t="str">
        <f t="shared" si="106"/>
        <v>Heavy Discount</v>
      </c>
      <c r="H1357" s="37" t="str">
        <f t="shared" si="107"/>
        <v>High</v>
      </c>
      <c r="I1357">
        <v>9</v>
      </c>
      <c r="J1357" t="str" cm="1">
        <f t="array" ref="J1357">_xlfn.IFS(I1357&lt;=3,"small",I1357&lt;=6,"Medium",I1357&lt;=9,"Large")</f>
        <v>Large</v>
      </c>
      <c r="K1357" s="36">
        <v>45278</v>
      </c>
      <c r="L1357" s="36">
        <v>45280</v>
      </c>
      <c r="M1357" t="s">
        <v>598</v>
      </c>
      <c r="N1357" t="s">
        <v>608</v>
      </c>
      <c r="O1357" s="37" t="str">
        <f t="shared" si="108"/>
        <v>Cash Payment</v>
      </c>
      <c r="P1357">
        <v>534.48</v>
      </c>
      <c r="Q1357" s="37" t="str">
        <f>IF(P1357&gt;500,"High","low")</f>
        <v>High</v>
      </c>
      <c r="R1357" s="37" t="str">
        <f t="shared" si="109"/>
        <v>Good</v>
      </c>
      <c r="S1357" t="s">
        <v>620</v>
      </c>
    </row>
    <row r="1358" spans="1:19" x14ac:dyDescent="0.2">
      <c r="A1358" t="s">
        <v>1969</v>
      </c>
      <c r="B1358" t="s">
        <v>67</v>
      </c>
      <c r="C1358" t="s">
        <v>597</v>
      </c>
      <c r="D1358">
        <v>521.47</v>
      </c>
      <c r="E1358" s="37" t="str">
        <f t="shared" si="105"/>
        <v xml:space="preserve"> </v>
      </c>
      <c r="F1358">
        <v>0.28999999999999998</v>
      </c>
      <c r="G1358" s="37" t="str">
        <f t="shared" si="106"/>
        <v>Normal Discount</v>
      </c>
      <c r="H1358" s="37" t="str">
        <f t="shared" si="107"/>
        <v>Medium</v>
      </c>
      <c r="I1358">
        <v>7</v>
      </c>
      <c r="J1358" t="str" cm="1">
        <f t="array" ref="J1358">_xlfn.IFS(I1358&lt;=3,"small",I1358&lt;=6,"Medium",I1358&lt;=9,"Large")</f>
        <v>Large</v>
      </c>
      <c r="K1358" s="36">
        <v>45163</v>
      </c>
      <c r="L1358" s="36">
        <v>45164</v>
      </c>
      <c r="M1358" t="s">
        <v>603</v>
      </c>
      <c r="N1358" t="s">
        <v>599</v>
      </c>
      <c r="O1358" s="37" t="str">
        <f t="shared" si="108"/>
        <v>Digital Payment</v>
      </c>
      <c r="P1358">
        <v>61.16</v>
      </c>
      <c r="Q1358" s="37" t="str">
        <f>IF(P1358&gt;500,"High","low")</f>
        <v>low</v>
      </c>
      <c r="R1358" s="37" t="str">
        <f t="shared" si="109"/>
        <v>AVERAGE</v>
      </c>
      <c r="S1358" t="s">
        <v>609</v>
      </c>
    </row>
    <row r="1359" spans="1:19" x14ac:dyDescent="0.2">
      <c r="A1359" t="s">
        <v>1970</v>
      </c>
      <c r="B1359" t="s">
        <v>90</v>
      </c>
      <c r="C1359" t="s">
        <v>617</v>
      </c>
      <c r="D1359">
        <v>2201.83</v>
      </c>
      <c r="E1359" s="37" t="str">
        <f t="shared" si="105"/>
        <v xml:space="preserve"> </v>
      </c>
      <c r="F1359">
        <v>0.4</v>
      </c>
      <c r="G1359" s="37" t="str">
        <f t="shared" si="106"/>
        <v>Heavy Discount</v>
      </c>
      <c r="H1359" s="37" t="str">
        <f t="shared" si="107"/>
        <v>Medium</v>
      </c>
      <c r="I1359">
        <v>4</v>
      </c>
      <c r="J1359" t="str" cm="1">
        <f t="array" ref="J1359">_xlfn.IFS(I1359&lt;=3,"small",I1359&lt;=6,"Medium",I1359&lt;=9,"Large")</f>
        <v>Medium</v>
      </c>
      <c r="K1359" s="36">
        <v>45018</v>
      </c>
      <c r="L1359" s="36">
        <v>45022</v>
      </c>
      <c r="M1359" t="s">
        <v>603</v>
      </c>
      <c r="N1359" t="s">
        <v>599</v>
      </c>
      <c r="O1359" s="37" t="str">
        <f t="shared" si="108"/>
        <v>Digital Payment</v>
      </c>
      <c r="P1359">
        <v>560.87</v>
      </c>
      <c r="Q1359" s="37" t="str">
        <f>IF(P1359&gt;500,"High","low")</f>
        <v>High</v>
      </c>
      <c r="R1359" s="37" t="str">
        <f t="shared" si="109"/>
        <v>Good</v>
      </c>
      <c r="S1359" t="s">
        <v>615</v>
      </c>
    </row>
    <row r="1360" spans="1:19" x14ac:dyDescent="0.2">
      <c r="A1360" t="s">
        <v>1971</v>
      </c>
      <c r="B1360" t="s">
        <v>67</v>
      </c>
      <c r="C1360" t="s">
        <v>597</v>
      </c>
      <c r="D1360">
        <v>637.1</v>
      </c>
      <c r="E1360" s="37" t="str">
        <f t="shared" si="105"/>
        <v xml:space="preserve"> </v>
      </c>
      <c r="F1360">
        <v>0.08</v>
      </c>
      <c r="G1360" s="37" t="str">
        <f t="shared" si="106"/>
        <v>Normal Discount</v>
      </c>
      <c r="H1360" s="37" t="str">
        <f t="shared" si="107"/>
        <v>Low</v>
      </c>
      <c r="I1360">
        <v>1</v>
      </c>
      <c r="J1360" t="str" cm="1">
        <f t="array" ref="J1360">_xlfn.IFS(I1360&lt;=3,"small",I1360&lt;=6,"Medium",I1360&lt;=9,"Large")</f>
        <v>small</v>
      </c>
      <c r="K1360" s="36">
        <v>45074</v>
      </c>
      <c r="L1360" s="36">
        <v>45075</v>
      </c>
      <c r="M1360" t="s">
        <v>603</v>
      </c>
      <c r="N1360" t="s">
        <v>604</v>
      </c>
      <c r="O1360" s="37" t="str">
        <f t="shared" si="108"/>
        <v>Digital Payment</v>
      </c>
      <c r="P1360">
        <v>179.95</v>
      </c>
      <c r="Q1360" s="37" t="str">
        <f>IF(P1360&gt;500,"High","low")</f>
        <v>low</v>
      </c>
      <c r="R1360" s="37" t="str">
        <f t="shared" si="109"/>
        <v>AVERAGE</v>
      </c>
      <c r="S1360" t="s">
        <v>609</v>
      </c>
    </row>
    <row r="1361" spans="1:19" x14ac:dyDescent="0.2">
      <c r="A1361" t="s">
        <v>1972</v>
      </c>
      <c r="B1361" t="s">
        <v>90</v>
      </c>
      <c r="C1361" t="s">
        <v>602</v>
      </c>
      <c r="D1361">
        <v>4781.8500000000004</v>
      </c>
      <c r="E1361" s="37" t="str">
        <f t="shared" si="105"/>
        <v xml:space="preserve"> </v>
      </c>
      <c r="F1361">
        <v>0.33</v>
      </c>
      <c r="G1361" s="37" t="str">
        <f t="shared" si="106"/>
        <v>Heavy Discount</v>
      </c>
      <c r="H1361" s="37" t="str">
        <f t="shared" si="107"/>
        <v>Medium</v>
      </c>
      <c r="I1361">
        <v>7</v>
      </c>
      <c r="J1361" t="str" cm="1">
        <f t="array" ref="J1361">_xlfn.IFS(I1361&lt;=3,"small",I1361&lt;=6,"Medium",I1361&lt;=9,"Large")</f>
        <v>Large</v>
      </c>
      <c r="K1361" s="36">
        <v>44955</v>
      </c>
      <c r="L1361" s="36">
        <v>44961</v>
      </c>
      <c r="M1361" t="s">
        <v>612</v>
      </c>
      <c r="N1361" t="s">
        <v>608</v>
      </c>
      <c r="O1361" s="37" t="str">
        <f t="shared" si="108"/>
        <v>Cash Payment</v>
      </c>
      <c r="P1361">
        <v>437.04</v>
      </c>
      <c r="Q1361" s="37" t="str">
        <f>IF(P1361&gt;500,"High","low")</f>
        <v>low</v>
      </c>
      <c r="R1361" s="37" t="str">
        <f t="shared" si="109"/>
        <v>AVERAGE</v>
      </c>
      <c r="S1361" t="s">
        <v>628</v>
      </c>
    </row>
    <row r="1362" spans="1:19" x14ac:dyDescent="0.2">
      <c r="A1362" t="s">
        <v>1973</v>
      </c>
      <c r="B1362" t="s">
        <v>83</v>
      </c>
      <c r="C1362" t="s">
        <v>607</v>
      </c>
      <c r="D1362">
        <v>2663.03</v>
      </c>
      <c r="E1362" s="37" t="str">
        <f t="shared" si="105"/>
        <v xml:space="preserve"> </v>
      </c>
      <c r="F1362">
        <v>0.37</v>
      </c>
      <c r="G1362" s="37" t="str">
        <f t="shared" si="106"/>
        <v>Heavy Discount</v>
      </c>
      <c r="H1362" s="37" t="str">
        <f t="shared" si="107"/>
        <v>Medium</v>
      </c>
      <c r="I1362">
        <v>9</v>
      </c>
      <c r="J1362" t="str" cm="1">
        <f t="array" ref="J1362">_xlfn.IFS(I1362&lt;=3,"small",I1362&lt;=6,"Medium",I1362&lt;=9,"Large")</f>
        <v>Large</v>
      </c>
      <c r="K1362" s="36">
        <v>44942</v>
      </c>
      <c r="L1362" s="36">
        <v>44949</v>
      </c>
      <c r="M1362" t="s">
        <v>612</v>
      </c>
      <c r="N1362" t="s">
        <v>599</v>
      </c>
      <c r="O1362" s="37" t="str">
        <f t="shared" si="108"/>
        <v>Digital Payment</v>
      </c>
      <c r="P1362">
        <v>563.55999999999995</v>
      </c>
      <c r="Q1362" s="37" t="str">
        <f>IF(P1362&gt;500,"High","low")</f>
        <v>High</v>
      </c>
      <c r="R1362" s="37" t="str">
        <f t="shared" si="109"/>
        <v>Good</v>
      </c>
      <c r="S1362" t="s">
        <v>620</v>
      </c>
    </row>
    <row r="1363" spans="1:19" x14ac:dyDescent="0.2">
      <c r="A1363" t="s">
        <v>1974</v>
      </c>
      <c r="B1363" t="s">
        <v>83</v>
      </c>
      <c r="C1363" t="s">
        <v>614</v>
      </c>
      <c r="D1363">
        <v>4574.7700000000004</v>
      </c>
      <c r="E1363" s="37" t="str">
        <f t="shared" si="105"/>
        <v>Excellent Order</v>
      </c>
      <c r="F1363">
        <v>0.02</v>
      </c>
      <c r="G1363" s="37" t="str">
        <f t="shared" si="106"/>
        <v>Normal Discount</v>
      </c>
      <c r="H1363" s="37" t="str">
        <f t="shared" si="107"/>
        <v>Low</v>
      </c>
      <c r="I1363">
        <v>6</v>
      </c>
      <c r="J1363" t="str" cm="1">
        <f t="array" ref="J1363">_xlfn.IFS(I1363&lt;=3,"small",I1363&lt;=6,"Medium",I1363&lt;=9,"Large")</f>
        <v>Medium</v>
      </c>
      <c r="K1363" s="36">
        <v>45327</v>
      </c>
      <c r="L1363" s="36">
        <v>45329</v>
      </c>
      <c r="M1363" t="s">
        <v>612</v>
      </c>
      <c r="N1363" t="s">
        <v>599</v>
      </c>
      <c r="O1363" s="37" t="str">
        <f t="shared" si="108"/>
        <v>Digital Payment</v>
      </c>
      <c r="P1363">
        <v>953.36</v>
      </c>
      <c r="Q1363" s="37" t="str">
        <f>IF(P1363&gt;500,"High","low")</f>
        <v>High</v>
      </c>
      <c r="R1363" s="37" t="str">
        <f t="shared" si="109"/>
        <v>Good</v>
      </c>
      <c r="S1363" t="s">
        <v>600</v>
      </c>
    </row>
    <row r="1364" spans="1:19" x14ac:dyDescent="0.2">
      <c r="A1364" t="s">
        <v>1975</v>
      </c>
      <c r="B1364" t="s">
        <v>75</v>
      </c>
      <c r="C1364" t="s">
        <v>607</v>
      </c>
      <c r="D1364">
        <v>209.59</v>
      </c>
      <c r="E1364" s="37" t="str">
        <f t="shared" si="105"/>
        <v xml:space="preserve"> </v>
      </c>
      <c r="F1364">
        <v>0.05</v>
      </c>
      <c r="G1364" s="37" t="str">
        <f t="shared" si="106"/>
        <v>Normal Discount</v>
      </c>
      <c r="H1364" s="37" t="str">
        <f t="shared" si="107"/>
        <v>Low</v>
      </c>
      <c r="I1364">
        <v>1</v>
      </c>
      <c r="J1364" t="str" cm="1">
        <f t="array" ref="J1364">_xlfn.IFS(I1364&lt;=3,"small",I1364&lt;=6,"Medium",I1364&lt;=9,"Large")</f>
        <v>small</v>
      </c>
      <c r="K1364" s="36">
        <v>45132</v>
      </c>
      <c r="L1364" s="36">
        <v>45139</v>
      </c>
      <c r="M1364" t="s">
        <v>612</v>
      </c>
      <c r="N1364" t="s">
        <v>599</v>
      </c>
      <c r="O1364" s="37" t="str">
        <f t="shared" si="108"/>
        <v>Digital Payment</v>
      </c>
      <c r="P1364">
        <v>28.3</v>
      </c>
      <c r="Q1364" s="37" t="str">
        <f>IF(P1364&gt;500,"High","low")</f>
        <v>low</v>
      </c>
      <c r="R1364" s="37" t="str">
        <f t="shared" si="109"/>
        <v>AVERAGE</v>
      </c>
      <c r="S1364" t="s">
        <v>600</v>
      </c>
    </row>
    <row r="1365" spans="1:19" x14ac:dyDescent="0.2">
      <c r="A1365" t="s">
        <v>1976</v>
      </c>
      <c r="B1365" t="s">
        <v>83</v>
      </c>
      <c r="C1365" t="s">
        <v>602</v>
      </c>
      <c r="D1365">
        <v>3224.5</v>
      </c>
      <c r="E1365" s="37" t="str">
        <f t="shared" si="105"/>
        <v xml:space="preserve"> </v>
      </c>
      <c r="F1365">
        <v>0.39</v>
      </c>
      <c r="G1365" s="37" t="str">
        <f t="shared" si="106"/>
        <v>Heavy Discount</v>
      </c>
      <c r="H1365" s="37" t="str">
        <f t="shared" si="107"/>
        <v>Medium</v>
      </c>
      <c r="I1365">
        <v>9</v>
      </c>
      <c r="J1365" t="str" cm="1">
        <f t="array" ref="J1365">_xlfn.IFS(I1365&lt;=3,"small",I1365&lt;=6,"Medium",I1365&lt;=9,"Large")</f>
        <v>Large</v>
      </c>
      <c r="K1365" s="36">
        <v>45654</v>
      </c>
      <c r="L1365" s="36">
        <v>45660</v>
      </c>
      <c r="M1365" t="s">
        <v>603</v>
      </c>
      <c r="N1365" t="s">
        <v>599</v>
      </c>
      <c r="O1365" s="37" t="str">
        <f t="shared" si="108"/>
        <v>Digital Payment</v>
      </c>
      <c r="P1365">
        <v>252.9</v>
      </c>
      <c r="Q1365" s="37" t="str">
        <f>IF(P1365&gt;500,"High","low")</f>
        <v>low</v>
      </c>
      <c r="R1365" s="37" t="str">
        <f t="shared" si="109"/>
        <v>AVERAGE</v>
      </c>
      <c r="S1365" t="s">
        <v>609</v>
      </c>
    </row>
    <row r="1366" spans="1:19" x14ac:dyDescent="0.2">
      <c r="A1366" t="s">
        <v>1977</v>
      </c>
      <c r="B1366" t="s">
        <v>67</v>
      </c>
      <c r="C1366" t="s">
        <v>614</v>
      </c>
      <c r="D1366">
        <v>1604.08</v>
      </c>
      <c r="E1366" s="37" t="str">
        <f t="shared" si="105"/>
        <v xml:space="preserve"> </v>
      </c>
      <c r="F1366">
        <v>0.22</v>
      </c>
      <c r="G1366" s="37" t="str">
        <f t="shared" si="106"/>
        <v>Normal Discount</v>
      </c>
      <c r="H1366" s="37" t="str">
        <f t="shared" si="107"/>
        <v>Medium</v>
      </c>
      <c r="I1366">
        <v>7</v>
      </c>
      <c r="J1366" t="str" cm="1">
        <f t="array" ref="J1366">_xlfn.IFS(I1366&lt;=3,"small",I1366&lt;=6,"Medium",I1366&lt;=9,"Large")</f>
        <v>Large</v>
      </c>
      <c r="K1366" s="36">
        <v>44944</v>
      </c>
      <c r="L1366" s="36">
        <v>44950</v>
      </c>
      <c r="M1366" t="s">
        <v>603</v>
      </c>
      <c r="N1366" t="s">
        <v>599</v>
      </c>
      <c r="O1366" s="37" t="str">
        <f t="shared" si="108"/>
        <v>Digital Payment</v>
      </c>
      <c r="P1366">
        <v>348.38</v>
      </c>
      <c r="Q1366" s="37" t="str">
        <f>IF(P1366&gt;500,"High","low")</f>
        <v>low</v>
      </c>
      <c r="R1366" s="37" t="str">
        <f t="shared" si="109"/>
        <v>AVERAGE</v>
      </c>
      <c r="S1366" t="s">
        <v>615</v>
      </c>
    </row>
    <row r="1367" spans="1:19" x14ac:dyDescent="0.2">
      <c r="A1367" t="s">
        <v>1978</v>
      </c>
      <c r="B1367" t="s">
        <v>83</v>
      </c>
      <c r="C1367" t="s">
        <v>597</v>
      </c>
      <c r="D1367">
        <v>2215.96</v>
      </c>
      <c r="E1367" s="37" t="str">
        <f t="shared" si="105"/>
        <v xml:space="preserve"> </v>
      </c>
      <c r="F1367">
        <v>0.2</v>
      </c>
      <c r="G1367" s="37" t="str">
        <f t="shared" si="106"/>
        <v>Normal Discount</v>
      </c>
      <c r="H1367" s="37" t="str">
        <f t="shared" si="107"/>
        <v>Medium</v>
      </c>
      <c r="I1367">
        <v>1</v>
      </c>
      <c r="J1367" t="str" cm="1">
        <f t="array" ref="J1367">_xlfn.IFS(I1367&lt;=3,"small",I1367&lt;=6,"Medium",I1367&lt;=9,"Large")</f>
        <v>small</v>
      </c>
      <c r="K1367" s="36">
        <v>45103</v>
      </c>
      <c r="L1367" s="36">
        <v>45108</v>
      </c>
      <c r="M1367" t="s">
        <v>598</v>
      </c>
      <c r="N1367" t="s">
        <v>608</v>
      </c>
      <c r="O1367" s="37" t="str">
        <f t="shared" si="108"/>
        <v>Cash Payment</v>
      </c>
      <c r="P1367">
        <v>363.15</v>
      </c>
      <c r="Q1367" s="37" t="str">
        <f>IF(P1367&gt;500,"High","low")</f>
        <v>low</v>
      </c>
      <c r="R1367" s="37" t="str">
        <f t="shared" si="109"/>
        <v>AVERAGE</v>
      </c>
      <c r="S1367" t="s">
        <v>600</v>
      </c>
    </row>
    <row r="1368" spans="1:19" x14ac:dyDescent="0.2">
      <c r="A1368" t="s">
        <v>1979</v>
      </c>
      <c r="B1368" t="s">
        <v>90</v>
      </c>
      <c r="C1368" t="s">
        <v>617</v>
      </c>
      <c r="D1368">
        <v>4378.13</v>
      </c>
      <c r="E1368" s="37" t="str">
        <f t="shared" si="105"/>
        <v xml:space="preserve"> </v>
      </c>
      <c r="F1368">
        <v>0.46</v>
      </c>
      <c r="G1368" s="37" t="str">
        <f t="shared" si="106"/>
        <v>Heavy Discount</v>
      </c>
      <c r="H1368" s="37" t="str">
        <f t="shared" si="107"/>
        <v>High</v>
      </c>
      <c r="I1368">
        <v>4</v>
      </c>
      <c r="J1368" t="str" cm="1">
        <f t="array" ref="J1368">_xlfn.IFS(I1368&lt;=3,"small",I1368&lt;=6,"Medium",I1368&lt;=9,"Large")</f>
        <v>Medium</v>
      </c>
      <c r="K1368" s="36">
        <v>45577</v>
      </c>
      <c r="L1368" s="36">
        <v>45580</v>
      </c>
      <c r="M1368" t="s">
        <v>612</v>
      </c>
      <c r="N1368" t="s">
        <v>599</v>
      </c>
      <c r="O1368" s="37" t="str">
        <f t="shared" si="108"/>
        <v>Digital Payment</v>
      </c>
      <c r="P1368">
        <v>428.23</v>
      </c>
      <c r="Q1368" s="37" t="str">
        <f>IF(P1368&gt;500,"High","low")</f>
        <v>low</v>
      </c>
      <c r="R1368" s="37" t="str">
        <f t="shared" si="109"/>
        <v>AVERAGE</v>
      </c>
      <c r="S1368" t="s">
        <v>620</v>
      </c>
    </row>
    <row r="1369" spans="1:19" x14ac:dyDescent="0.2">
      <c r="A1369" t="s">
        <v>1980</v>
      </c>
      <c r="B1369" t="s">
        <v>83</v>
      </c>
      <c r="C1369" t="s">
        <v>617</v>
      </c>
      <c r="D1369">
        <v>4902.1000000000004</v>
      </c>
      <c r="E1369" s="37" t="str">
        <f t="shared" si="105"/>
        <v xml:space="preserve"> </v>
      </c>
      <c r="F1369">
        <v>0.5</v>
      </c>
      <c r="G1369" s="37" t="str">
        <f t="shared" si="106"/>
        <v>Heavy Discount</v>
      </c>
      <c r="H1369" s="37" t="str">
        <f t="shared" si="107"/>
        <v>High</v>
      </c>
      <c r="I1369">
        <v>5</v>
      </c>
      <c r="J1369" t="str" cm="1">
        <f t="array" ref="J1369">_xlfn.IFS(I1369&lt;=3,"small",I1369&lt;=6,"Medium",I1369&lt;=9,"Large")</f>
        <v>Medium</v>
      </c>
      <c r="K1369" s="36">
        <v>45367</v>
      </c>
      <c r="L1369" s="36">
        <v>45368</v>
      </c>
      <c r="M1369" t="s">
        <v>598</v>
      </c>
      <c r="N1369" t="s">
        <v>604</v>
      </c>
      <c r="O1369" s="37" t="str">
        <f t="shared" si="108"/>
        <v>Digital Payment</v>
      </c>
      <c r="P1369">
        <v>315.27</v>
      </c>
      <c r="Q1369" s="37" t="str">
        <f>IF(P1369&gt;500,"High","low")</f>
        <v>low</v>
      </c>
      <c r="R1369" s="37" t="str">
        <f t="shared" si="109"/>
        <v>AVERAGE</v>
      </c>
      <c r="S1369" t="s">
        <v>615</v>
      </c>
    </row>
    <row r="1370" spans="1:19" x14ac:dyDescent="0.2">
      <c r="A1370" t="s">
        <v>1981</v>
      </c>
      <c r="B1370" t="s">
        <v>75</v>
      </c>
      <c r="C1370" t="s">
        <v>607</v>
      </c>
      <c r="D1370">
        <v>1307.81</v>
      </c>
      <c r="E1370" s="37" t="str">
        <f t="shared" si="105"/>
        <v xml:space="preserve"> </v>
      </c>
      <c r="F1370">
        <v>0.38</v>
      </c>
      <c r="G1370" s="37" t="str">
        <f t="shared" si="106"/>
        <v>Heavy Discount</v>
      </c>
      <c r="H1370" s="37" t="str">
        <f t="shared" si="107"/>
        <v>Medium</v>
      </c>
      <c r="I1370">
        <v>2</v>
      </c>
      <c r="J1370" t="str" cm="1">
        <f t="array" ref="J1370">_xlfn.IFS(I1370&lt;=3,"small",I1370&lt;=6,"Medium",I1370&lt;=9,"Large")</f>
        <v>small</v>
      </c>
      <c r="K1370" s="36">
        <v>45647</v>
      </c>
      <c r="L1370" s="36">
        <v>45649</v>
      </c>
      <c r="M1370" t="s">
        <v>612</v>
      </c>
      <c r="N1370" t="s">
        <v>604</v>
      </c>
      <c r="O1370" s="37" t="str">
        <f t="shared" si="108"/>
        <v>Digital Payment</v>
      </c>
      <c r="P1370">
        <v>374.7</v>
      </c>
      <c r="Q1370" s="37" t="str">
        <f>IF(P1370&gt;500,"High","low")</f>
        <v>low</v>
      </c>
      <c r="R1370" s="37" t="str">
        <f t="shared" si="109"/>
        <v>AVERAGE</v>
      </c>
      <c r="S1370" t="s">
        <v>615</v>
      </c>
    </row>
    <row r="1371" spans="1:19" x14ac:dyDescent="0.2">
      <c r="A1371" t="s">
        <v>1982</v>
      </c>
      <c r="B1371" t="s">
        <v>83</v>
      </c>
      <c r="C1371" t="s">
        <v>597</v>
      </c>
      <c r="D1371">
        <v>4746.4399999999996</v>
      </c>
      <c r="E1371" s="37" t="str">
        <f t="shared" si="105"/>
        <v xml:space="preserve"> </v>
      </c>
      <c r="F1371">
        <v>0.4</v>
      </c>
      <c r="G1371" s="37" t="str">
        <f t="shared" si="106"/>
        <v>Heavy Discount</v>
      </c>
      <c r="H1371" s="37" t="str">
        <f t="shared" si="107"/>
        <v>Medium</v>
      </c>
      <c r="I1371">
        <v>3</v>
      </c>
      <c r="J1371" t="str" cm="1">
        <f t="array" ref="J1371">_xlfn.IFS(I1371&lt;=3,"small",I1371&lt;=6,"Medium",I1371&lt;=9,"Large")</f>
        <v>small</v>
      </c>
      <c r="K1371" s="36">
        <v>45457</v>
      </c>
      <c r="L1371" s="36">
        <v>45464</v>
      </c>
      <c r="M1371" t="s">
        <v>612</v>
      </c>
      <c r="N1371" t="s">
        <v>604</v>
      </c>
      <c r="O1371" s="37" t="str">
        <f t="shared" si="108"/>
        <v>Digital Payment</v>
      </c>
      <c r="P1371">
        <v>722.41</v>
      </c>
      <c r="Q1371" s="37" t="str">
        <f>IF(P1371&gt;500,"High","low")</f>
        <v>High</v>
      </c>
      <c r="R1371" s="37" t="str">
        <f t="shared" si="109"/>
        <v>Good</v>
      </c>
      <c r="S1371" t="s">
        <v>609</v>
      </c>
    </row>
    <row r="1372" spans="1:19" x14ac:dyDescent="0.2">
      <c r="A1372" t="s">
        <v>1983</v>
      </c>
      <c r="B1372" t="s">
        <v>90</v>
      </c>
      <c r="C1372" t="s">
        <v>602</v>
      </c>
      <c r="D1372">
        <v>3474.76</v>
      </c>
      <c r="E1372" s="37" t="str">
        <f t="shared" si="105"/>
        <v xml:space="preserve"> </v>
      </c>
      <c r="F1372">
        <v>0.1</v>
      </c>
      <c r="G1372" s="37" t="str">
        <f t="shared" si="106"/>
        <v>Normal Discount</v>
      </c>
      <c r="H1372" s="37" t="str">
        <f t="shared" si="107"/>
        <v>Low</v>
      </c>
      <c r="I1372">
        <v>2</v>
      </c>
      <c r="J1372" t="str" cm="1">
        <f t="array" ref="J1372">_xlfn.IFS(I1372&lt;=3,"small",I1372&lt;=6,"Medium",I1372&lt;=9,"Large")</f>
        <v>small</v>
      </c>
      <c r="K1372" s="36">
        <v>44996</v>
      </c>
      <c r="L1372" s="36">
        <v>44997</v>
      </c>
      <c r="M1372" t="s">
        <v>612</v>
      </c>
      <c r="N1372" t="s">
        <v>604</v>
      </c>
      <c r="O1372" s="37" t="str">
        <f t="shared" si="108"/>
        <v>Digital Payment</v>
      </c>
      <c r="P1372">
        <v>824.15</v>
      </c>
      <c r="Q1372" s="37" t="str">
        <f>IF(P1372&gt;500,"High","low")</f>
        <v>High</v>
      </c>
      <c r="R1372" s="37" t="str">
        <f t="shared" si="109"/>
        <v>Good</v>
      </c>
      <c r="S1372" t="s">
        <v>615</v>
      </c>
    </row>
    <row r="1373" spans="1:19" x14ac:dyDescent="0.2">
      <c r="A1373" t="s">
        <v>1984</v>
      </c>
      <c r="B1373" t="s">
        <v>90</v>
      </c>
      <c r="C1373" t="s">
        <v>617</v>
      </c>
      <c r="D1373">
        <v>4761.93</v>
      </c>
      <c r="E1373" s="37" t="str">
        <f t="shared" si="105"/>
        <v xml:space="preserve"> </v>
      </c>
      <c r="F1373">
        <v>0.1</v>
      </c>
      <c r="G1373" s="37" t="str">
        <f t="shared" si="106"/>
        <v>Normal Discount</v>
      </c>
      <c r="H1373" s="37" t="str">
        <f t="shared" si="107"/>
        <v>Low</v>
      </c>
      <c r="I1373">
        <v>4</v>
      </c>
      <c r="J1373" t="str" cm="1">
        <f t="array" ref="J1373">_xlfn.IFS(I1373&lt;=3,"small",I1373&lt;=6,"Medium",I1373&lt;=9,"Large")</f>
        <v>Medium</v>
      </c>
      <c r="K1373" s="36">
        <v>45554</v>
      </c>
      <c r="L1373" s="36">
        <v>45560</v>
      </c>
      <c r="M1373" t="s">
        <v>603</v>
      </c>
      <c r="N1373" t="s">
        <v>599</v>
      </c>
      <c r="O1373" s="37" t="str">
        <f t="shared" si="108"/>
        <v>Digital Payment</v>
      </c>
      <c r="P1373">
        <v>400.65</v>
      </c>
      <c r="Q1373" s="37" t="str">
        <f>IF(P1373&gt;500,"High","low")</f>
        <v>low</v>
      </c>
      <c r="R1373" s="37" t="str">
        <f t="shared" si="109"/>
        <v>AVERAGE</v>
      </c>
      <c r="S1373" t="s">
        <v>605</v>
      </c>
    </row>
    <row r="1374" spans="1:19" x14ac:dyDescent="0.2">
      <c r="A1374" t="s">
        <v>1985</v>
      </c>
      <c r="B1374" t="s">
        <v>67</v>
      </c>
      <c r="C1374" t="s">
        <v>597</v>
      </c>
      <c r="D1374">
        <v>2855.6</v>
      </c>
      <c r="E1374" s="37" t="str">
        <f t="shared" si="105"/>
        <v xml:space="preserve"> </v>
      </c>
      <c r="F1374">
        <v>0.49</v>
      </c>
      <c r="G1374" s="37" t="str">
        <f t="shared" si="106"/>
        <v>Heavy Discount</v>
      </c>
      <c r="H1374" s="37" t="str">
        <f t="shared" si="107"/>
        <v>High</v>
      </c>
      <c r="I1374">
        <v>7</v>
      </c>
      <c r="J1374" t="str" cm="1">
        <f t="array" ref="J1374">_xlfn.IFS(I1374&lt;=3,"small",I1374&lt;=6,"Medium",I1374&lt;=9,"Large")</f>
        <v>Large</v>
      </c>
      <c r="K1374" s="36">
        <v>45448</v>
      </c>
      <c r="L1374" s="36">
        <v>45455</v>
      </c>
      <c r="M1374" t="s">
        <v>612</v>
      </c>
      <c r="N1374" t="s">
        <v>599</v>
      </c>
      <c r="O1374" s="37" t="str">
        <f t="shared" si="108"/>
        <v>Digital Payment</v>
      </c>
      <c r="P1374">
        <v>588.39</v>
      </c>
      <c r="Q1374" s="37" t="str">
        <f>IF(P1374&gt;500,"High","low")</f>
        <v>High</v>
      </c>
      <c r="R1374" s="37" t="str">
        <f t="shared" si="109"/>
        <v>Good</v>
      </c>
      <c r="S1374" t="s">
        <v>628</v>
      </c>
    </row>
    <row r="1375" spans="1:19" x14ac:dyDescent="0.2">
      <c r="A1375" t="s">
        <v>1986</v>
      </c>
      <c r="B1375" t="s">
        <v>83</v>
      </c>
      <c r="C1375" t="s">
        <v>607</v>
      </c>
      <c r="D1375">
        <v>4807.71</v>
      </c>
      <c r="E1375" s="37" t="str">
        <f t="shared" si="105"/>
        <v xml:space="preserve"> </v>
      </c>
      <c r="F1375">
        <v>0.35</v>
      </c>
      <c r="G1375" s="37" t="str">
        <f t="shared" si="106"/>
        <v>Heavy Discount</v>
      </c>
      <c r="H1375" s="37" t="str">
        <f t="shared" si="107"/>
        <v>Medium</v>
      </c>
      <c r="I1375">
        <v>5</v>
      </c>
      <c r="J1375" t="str" cm="1">
        <f t="array" ref="J1375">_xlfn.IFS(I1375&lt;=3,"small",I1375&lt;=6,"Medium",I1375&lt;=9,"Large")</f>
        <v>Medium</v>
      </c>
      <c r="K1375" s="36">
        <v>45183</v>
      </c>
      <c r="L1375" s="36">
        <v>45184</v>
      </c>
      <c r="M1375" t="s">
        <v>598</v>
      </c>
      <c r="N1375" t="s">
        <v>599</v>
      </c>
      <c r="O1375" s="37" t="str">
        <f t="shared" si="108"/>
        <v>Digital Payment</v>
      </c>
      <c r="P1375">
        <v>270.47000000000003</v>
      </c>
      <c r="Q1375" s="37" t="str">
        <f>IF(P1375&gt;500,"High","low")</f>
        <v>low</v>
      </c>
      <c r="R1375" s="37" t="str">
        <f t="shared" si="109"/>
        <v>AVERAGE</v>
      </c>
      <c r="S1375" t="s">
        <v>628</v>
      </c>
    </row>
    <row r="1376" spans="1:19" x14ac:dyDescent="0.2">
      <c r="A1376" t="s">
        <v>1987</v>
      </c>
      <c r="B1376" t="s">
        <v>90</v>
      </c>
      <c r="C1376" t="s">
        <v>614</v>
      </c>
      <c r="D1376">
        <v>4473.03</v>
      </c>
      <c r="E1376" s="37" t="str">
        <f t="shared" si="105"/>
        <v xml:space="preserve"> </v>
      </c>
      <c r="F1376">
        <v>0.34</v>
      </c>
      <c r="G1376" s="37" t="str">
        <f t="shared" si="106"/>
        <v>Heavy Discount</v>
      </c>
      <c r="H1376" s="37" t="str">
        <f t="shared" si="107"/>
        <v>Medium</v>
      </c>
      <c r="I1376">
        <v>7</v>
      </c>
      <c r="J1376" t="str" cm="1">
        <f t="array" ref="J1376">_xlfn.IFS(I1376&lt;=3,"small",I1376&lt;=6,"Medium",I1376&lt;=9,"Large")</f>
        <v>Large</v>
      </c>
      <c r="K1376" s="36">
        <v>45183</v>
      </c>
      <c r="L1376" s="36">
        <v>45185</v>
      </c>
      <c r="M1376" t="s">
        <v>598</v>
      </c>
      <c r="N1376" t="s">
        <v>608</v>
      </c>
      <c r="O1376" s="37" t="str">
        <f t="shared" si="108"/>
        <v>Cash Payment</v>
      </c>
      <c r="P1376">
        <v>695.95</v>
      </c>
      <c r="Q1376" s="37" t="str">
        <f>IF(P1376&gt;500,"High","low")</f>
        <v>High</v>
      </c>
      <c r="R1376" s="37" t="str">
        <f t="shared" si="109"/>
        <v>Good</v>
      </c>
      <c r="S1376" t="s">
        <v>605</v>
      </c>
    </row>
    <row r="1377" spans="1:19" x14ac:dyDescent="0.2">
      <c r="A1377" t="s">
        <v>1988</v>
      </c>
      <c r="B1377" t="s">
        <v>75</v>
      </c>
      <c r="C1377" t="s">
        <v>607</v>
      </c>
      <c r="D1377">
        <v>730.1</v>
      </c>
      <c r="E1377" s="37" t="str">
        <f t="shared" si="105"/>
        <v xml:space="preserve"> </v>
      </c>
      <c r="F1377">
        <v>0.14000000000000001</v>
      </c>
      <c r="G1377" s="37" t="str">
        <f t="shared" si="106"/>
        <v>Normal Discount</v>
      </c>
      <c r="H1377" s="37" t="str">
        <f t="shared" si="107"/>
        <v>Low</v>
      </c>
      <c r="I1377">
        <v>1</v>
      </c>
      <c r="J1377" t="str" cm="1">
        <f t="array" ref="J1377">_xlfn.IFS(I1377&lt;=3,"small",I1377&lt;=6,"Medium",I1377&lt;=9,"Large")</f>
        <v>small</v>
      </c>
      <c r="K1377" s="36">
        <v>45485</v>
      </c>
      <c r="L1377" s="36">
        <v>45489</v>
      </c>
      <c r="M1377" t="s">
        <v>603</v>
      </c>
      <c r="N1377" t="s">
        <v>604</v>
      </c>
      <c r="O1377" s="37" t="str">
        <f t="shared" si="108"/>
        <v>Digital Payment</v>
      </c>
      <c r="P1377">
        <v>81.31</v>
      </c>
      <c r="Q1377" s="37" t="str">
        <f>IF(P1377&gt;500,"High","low")</f>
        <v>low</v>
      </c>
      <c r="R1377" s="37" t="str">
        <f t="shared" si="109"/>
        <v>AVERAGE</v>
      </c>
      <c r="S1377" t="s">
        <v>615</v>
      </c>
    </row>
    <row r="1378" spans="1:19" x14ac:dyDescent="0.2">
      <c r="A1378" t="s">
        <v>1989</v>
      </c>
      <c r="B1378" t="s">
        <v>67</v>
      </c>
      <c r="C1378" t="s">
        <v>607</v>
      </c>
      <c r="D1378">
        <v>1622.87</v>
      </c>
      <c r="E1378" s="37" t="str">
        <f t="shared" si="105"/>
        <v xml:space="preserve"> </v>
      </c>
      <c r="F1378">
        <v>0.44</v>
      </c>
      <c r="G1378" s="37" t="str">
        <f t="shared" si="106"/>
        <v>Heavy Discount</v>
      </c>
      <c r="H1378" s="37" t="str">
        <f t="shared" si="107"/>
        <v>High</v>
      </c>
      <c r="I1378">
        <v>3</v>
      </c>
      <c r="J1378" t="str" cm="1">
        <f t="array" ref="J1378">_xlfn.IFS(I1378&lt;=3,"small",I1378&lt;=6,"Medium",I1378&lt;=9,"Large")</f>
        <v>small</v>
      </c>
      <c r="K1378" s="36">
        <v>45156</v>
      </c>
      <c r="L1378" s="36">
        <v>45158</v>
      </c>
      <c r="M1378" t="s">
        <v>612</v>
      </c>
      <c r="N1378" t="s">
        <v>608</v>
      </c>
      <c r="O1378" s="37" t="str">
        <f t="shared" si="108"/>
        <v>Cash Payment</v>
      </c>
      <c r="P1378">
        <v>217.21</v>
      </c>
      <c r="Q1378" s="37" t="str">
        <f>IF(P1378&gt;500,"High","low")</f>
        <v>low</v>
      </c>
      <c r="R1378" s="37" t="str">
        <f t="shared" si="109"/>
        <v>AVERAGE</v>
      </c>
      <c r="S1378" t="s">
        <v>609</v>
      </c>
    </row>
    <row r="1379" spans="1:19" x14ac:dyDescent="0.2">
      <c r="A1379" t="s">
        <v>1990</v>
      </c>
      <c r="B1379" t="s">
        <v>75</v>
      </c>
      <c r="C1379" t="s">
        <v>597</v>
      </c>
      <c r="D1379">
        <v>1291.01</v>
      </c>
      <c r="E1379" s="37" t="str">
        <f t="shared" si="105"/>
        <v xml:space="preserve"> </v>
      </c>
      <c r="F1379">
        <v>0.02</v>
      </c>
      <c r="G1379" s="37" t="str">
        <f t="shared" si="106"/>
        <v>Normal Discount</v>
      </c>
      <c r="H1379" s="37" t="str">
        <f t="shared" si="107"/>
        <v>Low</v>
      </c>
      <c r="I1379">
        <v>2</v>
      </c>
      <c r="J1379" t="str" cm="1">
        <f t="array" ref="J1379">_xlfn.IFS(I1379&lt;=3,"small",I1379&lt;=6,"Medium",I1379&lt;=9,"Large")</f>
        <v>small</v>
      </c>
      <c r="K1379" s="36">
        <v>45593</v>
      </c>
      <c r="L1379" s="36">
        <v>45595</v>
      </c>
      <c r="M1379" t="s">
        <v>603</v>
      </c>
      <c r="N1379" t="s">
        <v>608</v>
      </c>
      <c r="O1379" s="37" t="str">
        <f t="shared" si="108"/>
        <v>Cash Payment</v>
      </c>
      <c r="P1379">
        <v>266</v>
      </c>
      <c r="Q1379" s="37" t="str">
        <f>IF(P1379&gt;500,"High","low")</f>
        <v>low</v>
      </c>
      <c r="R1379" s="37" t="str">
        <f t="shared" si="109"/>
        <v>AVERAGE</v>
      </c>
      <c r="S1379" t="s">
        <v>605</v>
      </c>
    </row>
    <row r="1380" spans="1:19" x14ac:dyDescent="0.2">
      <c r="A1380" t="s">
        <v>1991</v>
      </c>
      <c r="B1380" t="s">
        <v>83</v>
      </c>
      <c r="C1380" t="s">
        <v>617</v>
      </c>
      <c r="D1380">
        <v>2903.29</v>
      </c>
      <c r="E1380" s="37" t="str">
        <f t="shared" si="105"/>
        <v xml:space="preserve"> </v>
      </c>
      <c r="F1380">
        <v>0.14000000000000001</v>
      </c>
      <c r="G1380" s="37" t="str">
        <f t="shared" si="106"/>
        <v>Normal Discount</v>
      </c>
      <c r="H1380" s="37" t="str">
        <f t="shared" si="107"/>
        <v>Low</v>
      </c>
      <c r="I1380">
        <v>1</v>
      </c>
      <c r="J1380" t="str" cm="1">
        <f t="array" ref="J1380">_xlfn.IFS(I1380&lt;=3,"small",I1380&lt;=6,"Medium",I1380&lt;=9,"Large")</f>
        <v>small</v>
      </c>
      <c r="K1380" s="36">
        <v>45591</v>
      </c>
      <c r="L1380" s="36">
        <v>45596</v>
      </c>
      <c r="M1380" t="s">
        <v>598</v>
      </c>
      <c r="N1380" t="s">
        <v>608</v>
      </c>
      <c r="O1380" s="37" t="str">
        <f t="shared" si="108"/>
        <v>Cash Payment</v>
      </c>
      <c r="P1380">
        <v>402.71</v>
      </c>
      <c r="Q1380" s="37" t="str">
        <f>IF(P1380&gt;500,"High","low")</f>
        <v>low</v>
      </c>
      <c r="R1380" s="37" t="str">
        <f t="shared" si="109"/>
        <v>AVERAGE</v>
      </c>
      <c r="S1380" t="s">
        <v>620</v>
      </c>
    </row>
    <row r="1381" spans="1:19" x14ac:dyDescent="0.2">
      <c r="A1381" t="s">
        <v>1992</v>
      </c>
      <c r="B1381" t="s">
        <v>83</v>
      </c>
      <c r="C1381" t="s">
        <v>597</v>
      </c>
      <c r="D1381">
        <v>4033.72</v>
      </c>
      <c r="E1381" s="37" t="str">
        <f t="shared" si="105"/>
        <v xml:space="preserve"> </v>
      </c>
      <c r="F1381">
        <v>0.09</v>
      </c>
      <c r="G1381" s="37" t="str">
        <f t="shared" si="106"/>
        <v>Normal Discount</v>
      </c>
      <c r="H1381" s="37" t="str">
        <f t="shared" si="107"/>
        <v>Low</v>
      </c>
      <c r="I1381">
        <v>5</v>
      </c>
      <c r="J1381" t="str" cm="1">
        <f t="array" ref="J1381">_xlfn.IFS(I1381&lt;=3,"small",I1381&lt;=6,"Medium",I1381&lt;=9,"Large")</f>
        <v>Medium</v>
      </c>
      <c r="K1381" s="36">
        <v>45144</v>
      </c>
      <c r="L1381" s="36">
        <v>45145</v>
      </c>
      <c r="M1381" t="s">
        <v>612</v>
      </c>
      <c r="N1381" t="s">
        <v>604</v>
      </c>
      <c r="O1381" s="37" t="str">
        <f t="shared" si="108"/>
        <v>Digital Payment</v>
      </c>
      <c r="P1381">
        <v>450.98</v>
      </c>
      <c r="Q1381" s="37" t="str">
        <f>IF(P1381&gt;500,"High","low")</f>
        <v>low</v>
      </c>
      <c r="R1381" s="37" t="str">
        <f t="shared" si="109"/>
        <v>AVERAGE</v>
      </c>
      <c r="S1381" t="s">
        <v>628</v>
      </c>
    </row>
    <row r="1382" spans="1:19" x14ac:dyDescent="0.2">
      <c r="A1382" t="s">
        <v>1993</v>
      </c>
      <c r="B1382" t="s">
        <v>83</v>
      </c>
      <c r="C1382" t="s">
        <v>614</v>
      </c>
      <c r="D1382">
        <v>3821.12</v>
      </c>
      <c r="E1382" s="37" t="str">
        <f t="shared" si="105"/>
        <v xml:space="preserve"> </v>
      </c>
      <c r="F1382">
        <v>0.36</v>
      </c>
      <c r="G1382" s="37" t="str">
        <f t="shared" si="106"/>
        <v>Heavy Discount</v>
      </c>
      <c r="H1382" s="37" t="str">
        <f t="shared" si="107"/>
        <v>Medium</v>
      </c>
      <c r="I1382">
        <v>3</v>
      </c>
      <c r="J1382" t="str" cm="1">
        <f t="array" ref="J1382">_xlfn.IFS(I1382&lt;=3,"small",I1382&lt;=6,"Medium",I1382&lt;=9,"Large")</f>
        <v>small</v>
      </c>
      <c r="K1382" s="36">
        <v>45541</v>
      </c>
      <c r="L1382" s="36">
        <v>45542</v>
      </c>
      <c r="M1382" t="s">
        <v>603</v>
      </c>
      <c r="N1382" t="s">
        <v>608</v>
      </c>
      <c r="O1382" s="37" t="str">
        <f t="shared" si="108"/>
        <v>Cash Payment</v>
      </c>
      <c r="P1382">
        <v>873.75</v>
      </c>
      <c r="Q1382" s="37" t="str">
        <f>IF(P1382&gt;500,"High","low")</f>
        <v>High</v>
      </c>
      <c r="R1382" s="37" t="str">
        <f t="shared" si="109"/>
        <v>Good</v>
      </c>
      <c r="S1382" t="s">
        <v>600</v>
      </c>
    </row>
    <row r="1383" spans="1:19" x14ac:dyDescent="0.2">
      <c r="A1383" t="s">
        <v>1994</v>
      </c>
      <c r="B1383" t="s">
        <v>67</v>
      </c>
      <c r="C1383" t="s">
        <v>597</v>
      </c>
      <c r="D1383">
        <v>3661.07</v>
      </c>
      <c r="E1383" s="37" t="str">
        <f t="shared" si="105"/>
        <v xml:space="preserve"> </v>
      </c>
      <c r="F1383">
        <v>0.36</v>
      </c>
      <c r="G1383" s="37" t="str">
        <f t="shared" si="106"/>
        <v>Heavy Discount</v>
      </c>
      <c r="H1383" s="37" t="str">
        <f t="shared" si="107"/>
        <v>Medium</v>
      </c>
      <c r="I1383">
        <v>8</v>
      </c>
      <c r="J1383" t="str" cm="1">
        <f t="array" ref="J1383">_xlfn.IFS(I1383&lt;=3,"small",I1383&lt;=6,"Medium",I1383&lt;=9,"Large")</f>
        <v>Large</v>
      </c>
      <c r="K1383" s="36">
        <v>45090</v>
      </c>
      <c r="L1383" s="36">
        <v>45092</v>
      </c>
      <c r="M1383" t="s">
        <v>612</v>
      </c>
      <c r="N1383" t="s">
        <v>608</v>
      </c>
      <c r="O1383" s="37" t="str">
        <f t="shared" si="108"/>
        <v>Cash Payment</v>
      </c>
      <c r="P1383">
        <v>679.11</v>
      </c>
      <c r="Q1383" s="37" t="str">
        <f>IF(P1383&gt;500,"High","low")</f>
        <v>High</v>
      </c>
      <c r="R1383" s="37" t="str">
        <f t="shared" si="109"/>
        <v>Good</v>
      </c>
      <c r="S1383" t="s">
        <v>620</v>
      </c>
    </row>
    <row r="1384" spans="1:19" x14ac:dyDescent="0.2">
      <c r="A1384" t="s">
        <v>1995</v>
      </c>
      <c r="B1384" t="s">
        <v>90</v>
      </c>
      <c r="C1384" t="s">
        <v>602</v>
      </c>
      <c r="D1384">
        <v>1938.8</v>
      </c>
      <c r="E1384" s="37" t="str">
        <f t="shared" si="105"/>
        <v xml:space="preserve"> </v>
      </c>
      <c r="F1384">
        <v>0.27</v>
      </c>
      <c r="G1384" s="37" t="str">
        <f t="shared" si="106"/>
        <v>Normal Discount</v>
      </c>
      <c r="H1384" s="37" t="str">
        <f t="shared" si="107"/>
        <v>Medium</v>
      </c>
      <c r="I1384">
        <v>5</v>
      </c>
      <c r="J1384" t="str" cm="1">
        <f t="array" ref="J1384">_xlfn.IFS(I1384&lt;=3,"small",I1384&lt;=6,"Medium",I1384&lt;=9,"Large")</f>
        <v>Medium</v>
      </c>
      <c r="K1384" s="36">
        <v>45318</v>
      </c>
      <c r="L1384" s="36">
        <v>45324</v>
      </c>
      <c r="M1384" t="s">
        <v>598</v>
      </c>
      <c r="N1384" t="s">
        <v>608</v>
      </c>
      <c r="O1384" s="37" t="str">
        <f t="shared" si="108"/>
        <v>Cash Payment</v>
      </c>
      <c r="P1384">
        <v>400.99</v>
      </c>
      <c r="Q1384" s="37" t="str">
        <f>IF(P1384&gt;500,"High","low")</f>
        <v>low</v>
      </c>
      <c r="R1384" s="37" t="str">
        <f t="shared" si="109"/>
        <v>AVERAGE</v>
      </c>
      <c r="S1384" t="s">
        <v>615</v>
      </c>
    </row>
    <row r="1385" spans="1:19" x14ac:dyDescent="0.2">
      <c r="A1385" t="s">
        <v>1996</v>
      </c>
      <c r="B1385" t="s">
        <v>67</v>
      </c>
      <c r="C1385" t="s">
        <v>607</v>
      </c>
      <c r="D1385">
        <v>784.22</v>
      </c>
      <c r="E1385" s="37" t="str">
        <f t="shared" si="105"/>
        <v xml:space="preserve"> </v>
      </c>
      <c r="F1385">
        <v>0</v>
      </c>
      <c r="G1385" s="37" t="str">
        <f t="shared" si="106"/>
        <v>Normal Discount</v>
      </c>
      <c r="H1385" s="37" t="str">
        <f t="shared" si="107"/>
        <v>Low</v>
      </c>
      <c r="I1385">
        <v>5</v>
      </c>
      <c r="J1385" t="str" cm="1">
        <f t="array" ref="J1385">_xlfn.IFS(I1385&lt;=3,"small",I1385&lt;=6,"Medium",I1385&lt;=9,"Large")</f>
        <v>Medium</v>
      </c>
      <c r="K1385" s="36">
        <v>44979</v>
      </c>
      <c r="L1385" s="36">
        <v>44983</v>
      </c>
      <c r="M1385" t="s">
        <v>612</v>
      </c>
      <c r="N1385" t="s">
        <v>599</v>
      </c>
      <c r="O1385" s="37" t="str">
        <f t="shared" si="108"/>
        <v>Digital Payment</v>
      </c>
      <c r="P1385">
        <v>114.18</v>
      </c>
      <c r="Q1385" s="37" t="str">
        <f>IF(P1385&gt;500,"High","low")</f>
        <v>low</v>
      </c>
      <c r="R1385" s="37" t="str">
        <f t="shared" si="109"/>
        <v>AVERAGE</v>
      </c>
      <c r="S1385" t="s">
        <v>615</v>
      </c>
    </row>
    <row r="1386" spans="1:19" x14ac:dyDescent="0.2">
      <c r="A1386" t="s">
        <v>1997</v>
      </c>
      <c r="B1386" t="s">
        <v>75</v>
      </c>
      <c r="C1386" t="s">
        <v>617</v>
      </c>
      <c r="D1386">
        <v>1131.8599999999999</v>
      </c>
      <c r="E1386" s="37" t="str">
        <f t="shared" si="105"/>
        <v xml:space="preserve"> </v>
      </c>
      <c r="F1386">
        <v>0.44</v>
      </c>
      <c r="G1386" s="37" t="str">
        <f t="shared" si="106"/>
        <v>Heavy Discount</v>
      </c>
      <c r="H1386" s="37" t="str">
        <f t="shared" si="107"/>
        <v>High</v>
      </c>
      <c r="I1386">
        <v>7</v>
      </c>
      <c r="J1386" t="str" cm="1">
        <f t="array" ref="J1386">_xlfn.IFS(I1386&lt;=3,"small",I1386&lt;=6,"Medium",I1386&lt;=9,"Large")</f>
        <v>Large</v>
      </c>
      <c r="K1386" s="36">
        <v>45401</v>
      </c>
      <c r="L1386" s="36">
        <v>45406</v>
      </c>
      <c r="M1386" t="s">
        <v>612</v>
      </c>
      <c r="N1386" t="s">
        <v>608</v>
      </c>
      <c r="O1386" s="37" t="str">
        <f t="shared" si="108"/>
        <v>Cash Payment</v>
      </c>
      <c r="P1386">
        <v>128.91</v>
      </c>
      <c r="Q1386" s="37" t="str">
        <f>IF(P1386&gt;500,"High","low")</f>
        <v>low</v>
      </c>
      <c r="R1386" s="37" t="str">
        <f t="shared" si="109"/>
        <v>AVERAGE</v>
      </c>
      <c r="S1386" t="s">
        <v>628</v>
      </c>
    </row>
    <row r="1387" spans="1:19" x14ac:dyDescent="0.2">
      <c r="A1387" t="s">
        <v>1998</v>
      </c>
      <c r="B1387" t="s">
        <v>67</v>
      </c>
      <c r="C1387" t="s">
        <v>614</v>
      </c>
      <c r="D1387">
        <v>3734.22</v>
      </c>
      <c r="E1387" s="37" t="str">
        <f t="shared" si="105"/>
        <v xml:space="preserve"> </v>
      </c>
      <c r="F1387">
        <v>0.48</v>
      </c>
      <c r="G1387" s="37" t="str">
        <f t="shared" si="106"/>
        <v>Heavy Discount</v>
      </c>
      <c r="H1387" s="37" t="str">
        <f t="shared" si="107"/>
        <v>High</v>
      </c>
      <c r="I1387">
        <v>8</v>
      </c>
      <c r="J1387" t="str" cm="1">
        <f t="array" ref="J1387">_xlfn.IFS(I1387&lt;=3,"small",I1387&lt;=6,"Medium",I1387&lt;=9,"Large")</f>
        <v>Large</v>
      </c>
      <c r="K1387" s="36">
        <v>44930</v>
      </c>
      <c r="L1387" s="36">
        <v>44934</v>
      </c>
      <c r="M1387" t="s">
        <v>603</v>
      </c>
      <c r="N1387" t="s">
        <v>604</v>
      </c>
      <c r="O1387" s="37" t="str">
        <f t="shared" si="108"/>
        <v>Digital Payment</v>
      </c>
      <c r="P1387">
        <v>419.78</v>
      </c>
      <c r="Q1387" s="37" t="str">
        <f>IF(P1387&gt;500,"High","low")</f>
        <v>low</v>
      </c>
      <c r="R1387" s="37" t="str">
        <f t="shared" si="109"/>
        <v>AVERAGE</v>
      </c>
      <c r="S1387" t="s">
        <v>609</v>
      </c>
    </row>
    <row r="1388" spans="1:19" x14ac:dyDescent="0.2">
      <c r="A1388" t="s">
        <v>1999</v>
      </c>
      <c r="B1388" t="s">
        <v>75</v>
      </c>
      <c r="C1388" t="s">
        <v>607</v>
      </c>
      <c r="D1388">
        <v>822.92</v>
      </c>
      <c r="E1388" s="37" t="str">
        <f t="shared" si="105"/>
        <v xml:space="preserve"> </v>
      </c>
      <c r="F1388">
        <v>0.1</v>
      </c>
      <c r="G1388" s="37" t="str">
        <f t="shared" si="106"/>
        <v>Normal Discount</v>
      </c>
      <c r="H1388" s="37" t="str">
        <f t="shared" si="107"/>
        <v>Low</v>
      </c>
      <c r="I1388">
        <v>1</v>
      </c>
      <c r="J1388" t="str" cm="1">
        <f t="array" ref="J1388">_xlfn.IFS(I1388&lt;=3,"small",I1388&lt;=6,"Medium",I1388&lt;=9,"Large")</f>
        <v>small</v>
      </c>
      <c r="K1388" s="36">
        <v>45487</v>
      </c>
      <c r="L1388" s="36">
        <v>45494</v>
      </c>
      <c r="M1388" t="s">
        <v>603</v>
      </c>
      <c r="N1388" t="s">
        <v>599</v>
      </c>
      <c r="O1388" s="37" t="str">
        <f t="shared" si="108"/>
        <v>Digital Payment</v>
      </c>
      <c r="P1388">
        <v>245.29</v>
      </c>
      <c r="Q1388" s="37" t="str">
        <f>IF(P1388&gt;500,"High","low")</f>
        <v>low</v>
      </c>
      <c r="R1388" s="37" t="str">
        <f t="shared" si="109"/>
        <v>AVERAGE</v>
      </c>
      <c r="S1388" t="s">
        <v>609</v>
      </c>
    </row>
    <row r="1389" spans="1:19" x14ac:dyDescent="0.2">
      <c r="A1389" t="s">
        <v>2000</v>
      </c>
      <c r="B1389" t="s">
        <v>67</v>
      </c>
      <c r="C1389" t="s">
        <v>597</v>
      </c>
      <c r="D1389">
        <v>1192.44</v>
      </c>
      <c r="E1389" s="37" t="str">
        <f t="shared" si="105"/>
        <v xml:space="preserve"> </v>
      </c>
      <c r="F1389">
        <v>0.42</v>
      </c>
      <c r="G1389" s="37" t="str">
        <f t="shared" si="106"/>
        <v>Heavy Discount</v>
      </c>
      <c r="H1389" s="37" t="str">
        <f t="shared" si="107"/>
        <v>High</v>
      </c>
      <c r="I1389">
        <v>5</v>
      </c>
      <c r="J1389" t="str" cm="1">
        <f t="array" ref="J1389">_xlfn.IFS(I1389&lt;=3,"small",I1389&lt;=6,"Medium",I1389&lt;=9,"Large")</f>
        <v>Medium</v>
      </c>
      <c r="K1389" s="36">
        <v>45550</v>
      </c>
      <c r="L1389" s="36">
        <v>45554</v>
      </c>
      <c r="M1389" t="s">
        <v>612</v>
      </c>
      <c r="N1389" t="s">
        <v>604</v>
      </c>
      <c r="O1389" s="37" t="str">
        <f t="shared" si="108"/>
        <v>Digital Payment</v>
      </c>
      <c r="P1389">
        <v>258.16000000000003</v>
      </c>
      <c r="Q1389" s="37" t="str">
        <f>IF(P1389&gt;500,"High","low")</f>
        <v>low</v>
      </c>
      <c r="R1389" s="37" t="str">
        <f t="shared" si="109"/>
        <v>AVERAGE</v>
      </c>
      <c r="S1389" t="s">
        <v>620</v>
      </c>
    </row>
    <row r="1390" spans="1:19" x14ac:dyDescent="0.2">
      <c r="A1390" t="s">
        <v>2001</v>
      </c>
      <c r="B1390" t="s">
        <v>90</v>
      </c>
      <c r="C1390" t="s">
        <v>602</v>
      </c>
      <c r="D1390">
        <v>2180.31</v>
      </c>
      <c r="E1390" s="37" t="str">
        <f t="shared" si="105"/>
        <v xml:space="preserve"> </v>
      </c>
      <c r="F1390">
        <v>0.49</v>
      </c>
      <c r="G1390" s="37" t="str">
        <f t="shared" si="106"/>
        <v>Heavy Discount</v>
      </c>
      <c r="H1390" s="37" t="str">
        <f t="shared" si="107"/>
        <v>High</v>
      </c>
      <c r="I1390">
        <v>9</v>
      </c>
      <c r="J1390" t="str" cm="1">
        <f t="array" ref="J1390">_xlfn.IFS(I1390&lt;=3,"small",I1390&lt;=6,"Medium",I1390&lt;=9,"Large")</f>
        <v>Large</v>
      </c>
      <c r="K1390" s="36">
        <v>45123</v>
      </c>
      <c r="L1390" s="36">
        <v>45128</v>
      </c>
      <c r="M1390" t="s">
        <v>612</v>
      </c>
      <c r="N1390" t="s">
        <v>599</v>
      </c>
      <c r="O1390" s="37" t="str">
        <f t="shared" si="108"/>
        <v>Digital Payment</v>
      </c>
      <c r="P1390">
        <v>163.5</v>
      </c>
      <c r="Q1390" s="37" t="str">
        <f>IF(P1390&gt;500,"High","low")</f>
        <v>low</v>
      </c>
      <c r="R1390" s="37" t="str">
        <f t="shared" si="109"/>
        <v>AVERAGE</v>
      </c>
      <c r="S1390" t="s">
        <v>628</v>
      </c>
    </row>
    <row r="1391" spans="1:19" x14ac:dyDescent="0.2">
      <c r="A1391" t="s">
        <v>2002</v>
      </c>
      <c r="B1391" t="s">
        <v>75</v>
      </c>
      <c r="C1391" t="s">
        <v>597</v>
      </c>
      <c r="D1391">
        <v>453.35</v>
      </c>
      <c r="E1391" s="37" t="str">
        <f t="shared" si="105"/>
        <v xml:space="preserve"> </v>
      </c>
      <c r="F1391">
        <v>0.16</v>
      </c>
      <c r="G1391" s="37" t="str">
        <f t="shared" si="106"/>
        <v>Normal Discount</v>
      </c>
      <c r="H1391" s="37" t="str">
        <f t="shared" si="107"/>
        <v>Low</v>
      </c>
      <c r="I1391">
        <v>9</v>
      </c>
      <c r="J1391" t="str" cm="1">
        <f t="array" ref="J1391">_xlfn.IFS(I1391&lt;=3,"small",I1391&lt;=6,"Medium",I1391&lt;=9,"Large")</f>
        <v>Large</v>
      </c>
      <c r="K1391" s="36">
        <v>45608</v>
      </c>
      <c r="L1391" s="36">
        <v>45615</v>
      </c>
      <c r="M1391" t="s">
        <v>598</v>
      </c>
      <c r="N1391" t="s">
        <v>604</v>
      </c>
      <c r="O1391" s="37" t="str">
        <f t="shared" si="108"/>
        <v>Digital Payment</v>
      </c>
      <c r="P1391">
        <v>95.57</v>
      </c>
      <c r="Q1391" s="37" t="str">
        <f>IF(P1391&gt;500,"High","low")</f>
        <v>low</v>
      </c>
      <c r="R1391" s="37" t="str">
        <f t="shared" si="109"/>
        <v>AVERAGE</v>
      </c>
      <c r="S1391" t="s">
        <v>600</v>
      </c>
    </row>
    <row r="1392" spans="1:19" x14ac:dyDescent="0.2">
      <c r="A1392" t="s">
        <v>2003</v>
      </c>
      <c r="B1392" t="s">
        <v>83</v>
      </c>
      <c r="C1392" t="s">
        <v>607</v>
      </c>
      <c r="D1392">
        <v>1142.19</v>
      </c>
      <c r="E1392" s="37" t="str">
        <f t="shared" si="105"/>
        <v xml:space="preserve"> </v>
      </c>
      <c r="F1392">
        <v>0.09</v>
      </c>
      <c r="G1392" s="37" t="str">
        <f t="shared" si="106"/>
        <v>Normal Discount</v>
      </c>
      <c r="H1392" s="37" t="str">
        <f t="shared" si="107"/>
        <v>Low</v>
      </c>
      <c r="I1392">
        <v>7</v>
      </c>
      <c r="J1392" t="str" cm="1">
        <f t="array" ref="J1392">_xlfn.IFS(I1392&lt;=3,"small",I1392&lt;=6,"Medium",I1392&lt;=9,"Large")</f>
        <v>Large</v>
      </c>
      <c r="K1392" s="36">
        <v>45556</v>
      </c>
      <c r="L1392" s="36">
        <v>45562</v>
      </c>
      <c r="M1392" t="s">
        <v>598</v>
      </c>
      <c r="N1392" t="s">
        <v>608</v>
      </c>
      <c r="O1392" s="37" t="str">
        <f t="shared" si="108"/>
        <v>Cash Payment</v>
      </c>
      <c r="P1392">
        <v>86.59</v>
      </c>
      <c r="Q1392" s="37" t="str">
        <f>IF(P1392&gt;500,"High","low")</f>
        <v>low</v>
      </c>
      <c r="R1392" s="37" t="str">
        <f t="shared" si="109"/>
        <v>AVERAGE</v>
      </c>
      <c r="S1392" t="s">
        <v>605</v>
      </c>
    </row>
    <row r="1393" spans="1:19" x14ac:dyDescent="0.2">
      <c r="A1393" t="s">
        <v>2004</v>
      </c>
      <c r="B1393" t="s">
        <v>83</v>
      </c>
      <c r="C1393" t="s">
        <v>614</v>
      </c>
      <c r="D1393">
        <v>833.86</v>
      </c>
      <c r="E1393" s="37" t="str">
        <f t="shared" si="105"/>
        <v xml:space="preserve"> </v>
      </c>
      <c r="F1393">
        <v>0.49</v>
      </c>
      <c r="G1393" s="37" t="str">
        <f t="shared" si="106"/>
        <v>Heavy Discount</v>
      </c>
      <c r="H1393" s="37" t="str">
        <f t="shared" si="107"/>
        <v>High</v>
      </c>
      <c r="I1393">
        <v>4</v>
      </c>
      <c r="J1393" t="str" cm="1">
        <f t="array" ref="J1393">_xlfn.IFS(I1393&lt;=3,"small",I1393&lt;=6,"Medium",I1393&lt;=9,"Large")</f>
        <v>Medium</v>
      </c>
      <c r="K1393" s="36">
        <v>45001</v>
      </c>
      <c r="L1393" s="36">
        <v>45007</v>
      </c>
      <c r="M1393" t="s">
        <v>598</v>
      </c>
      <c r="N1393" t="s">
        <v>599</v>
      </c>
      <c r="O1393" s="37" t="str">
        <f t="shared" si="108"/>
        <v>Digital Payment</v>
      </c>
      <c r="P1393">
        <v>104.15</v>
      </c>
      <c r="Q1393" s="37" t="str">
        <f>IF(P1393&gt;500,"High","low")</f>
        <v>low</v>
      </c>
      <c r="R1393" s="37" t="str">
        <f t="shared" si="109"/>
        <v>AVERAGE</v>
      </c>
      <c r="S1393" t="s">
        <v>615</v>
      </c>
    </row>
    <row r="1394" spans="1:19" x14ac:dyDescent="0.2">
      <c r="A1394" t="s">
        <v>2005</v>
      </c>
      <c r="B1394" t="s">
        <v>67</v>
      </c>
      <c r="C1394" t="s">
        <v>617</v>
      </c>
      <c r="D1394">
        <v>4761.4799999999996</v>
      </c>
      <c r="E1394" s="37" t="str">
        <f t="shared" si="105"/>
        <v>Excellent Order</v>
      </c>
      <c r="F1394">
        <v>0.03</v>
      </c>
      <c r="G1394" s="37" t="str">
        <f t="shared" si="106"/>
        <v>Normal Discount</v>
      </c>
      <c r="H1394" s="37" t="str">
        <f t="shared" si="107"/>
        <v>Low</v>
      </c>
      <c r="I1394">
        <v>2</v>
      </c>
      <c r="J1394" t="str" cm="1">
        <f t="array" ref="J1394">_xlfn.IFS(I1394&lt;=3,"small",I1394&lt;=6,"Medium",I1394&lt;=9,"Large")</f>
        <v>small</v>
      </c>
      <c r="K1394" s="36">
        <v>45131</v>
      </c>
      <c r="L1394" s="36">
        <v>45138</v>
      </c>
      <c r="M1394" t="s">
        <v>603</v>
      </c>
      <c r="N1394" t="s">
        <v>599</v>
      </c>
      <c r="O1394" s="37" t="str">
        <f t="shared" si="108"/>
        <v>Digital Payment</v>
      </c>
      <c r="P1394">
        <v>1244.54</v>
      </c>
      <c r="Q1394" s="37" t="str">
        <f>IF(P1394&gt;500,"High","low")</f>
        <v>High</v>
      </c>
      <c r="R1394" s="37" t="str">
        <f t="shared" si="109"/>
        <v>Excellent</v>
      </c>
      <c r="S1394" t="s">
        <v>628</v>
      </c>
    </row>
    <row r="1395" spans="1:19" x14ac:dyDescent="0.2">
      <c r="A1395" t="s">
        <v>2006</v>
      </c>
      <c r="B1395" t="s">
        <v>83</v>
      </c>
      <c r="C1395" t="s">
        <v>607</v>
      </c>
      <c r="D1395">
        <v>1038.48</v>
      </c>
      <c r="E1395" s="37" t="str">
        <f t="shared" si="105"/>
        <v xml:space="preserve"> </v>
      </c>
      <c r="F1395">
        <v>0.14000000000000001</v>
      </c>
      <c r="G1395" s="37" t="str">
        <f t="shared" si="106"/>
        <v>Normal Discount</v>
      </c>
      <c r="H1395" s="37" t="str">
        <f t="shared" si="107"/>
        <v>Low</v>
      </c>
      <c r="I1395">
        <v>5</v>
      </c>
      <c r="J1395" t="str" cm="1">
        <f t="array" ref="J1395">_xlfn.IFS(I1395&lt;=3,"small",I1395&lt;=6,"Medium",I1395&lt;=9,"Large")</f>
        <v>Medium</v>
      </c>
      <c r="K1395" s="36">
        <v>45522</v>
      </c>
      <c r="L1395" s="36">
        <v>45527</v>
      </c>
      <c r="M1395" t="s">
        <v>598</v>
      </c>
      <c r="N1395" t="s">
        <v>599</v>
      </c>
      <c r="O1395" s="37" t="str">
        <f t="shared" si="108"/>
        <v>Digital Payment</v>
      </c>
      <c r="P1395">
        <v>289.31</v>
      </c>
      <c r="Q1395" s="37" t="str">
        <f>IF(P1395&gt;500,"High","low")</f>
        <v>low</v>
      </c>
      <c r="R1395" s="37" t="str">
        <f t="shared" si="109"/>
        <v>AVERAGE</v>
      </c>
      <c r="S1395" t="s">
        <v>600</v>
      </c>
    </row>
    <row r="1396" spans="1:19" x14ac:dyDescent="0.2">
      <c r="A1396" t="s">
        <v>2007</v>
      </c>
      <c r="B1396" t="s">
        <v>75</v>
      </c>
      <c r="C1396" t="s">
        <v>614</v>
      </c>
      <c r="D1396">
        <v>4322.67</v>
      </c>
      <c r="E1396" s="37" t="str">
        <f t="shared" si="105"/>
        <v>Excellent Order</v>
      </c>
      <c r="F1396">
        <v>0.37</v>
      </c>
      <c r="G1396" s="37" t="str">
        <f t="shared" si="106"/>
        <v>Heavy Discount</v>
      </c>
      <c r="H1396" s="37" t="str">
        <f t="shared" si="107"/>
        <v>Medium</v>
      </c>
      <c r="I1396">
        <v>4</v>
      </c>
      <c r="J1396" t="str" cm="1">
        <f t="array" ref="J1396">_xlfn.IFS(I1396&lt;=3,"small",I1396&lt;=6,"Medium",I1396&lt;=9,"Large")</f>
        <v>Medium</v>
      </c>
      <c r="K1396" s="36">
        <v>45472</v>
      </c>
      <c r="L1396" s="36">
        <v>45476</v>
      </c>
      <c r="M1396" t="s">
        <v>603</v>
      </c>
      <c r="N1396" t="s">
        <v>599</v>
      </c>
      <c r="O1396" s="37" t="str">
        <f t="shared" si="108"/>
        <v>Digital Payment</v>
      </c>
      <c r="P1396">
        <v>1145.53</v>
      </c>
      <c r="Q1396" s="37" t="str">
        <f>IF(P1396&gt;500,"High","low")</f>
        <v>High</v>
      </c>
      <c r="R1396" s="37" t="str">
        <f t="shared" si="109"/>
        <v>Excellent</v>
      </c>
      <c r="S1396" t="s">
        <v>615</v>
      </c>
    </row>
    <row r="1397" spans="1:19" x14ac:dyDescent="0.2">
      <c r="A1397" t="s">
        <v>2008</v>
      </c>
      <c r="B1397" t="s">
        <v>83</v>
      </c>
      <c r="C1397" t="s">
        <v>607</v>
      </c>
      <c r="D1397">
        <v>662.51</v>
      </c>
      <c r="E1397" s="37" t="str">
        <f t="shared" si="105"/>
        <v xml:space="preserve"> </v>
      </c>
      <c r="F1397">
        <v>0.31</v>
      </c>
      <c r="G1397" s="37" t="str">
        <f t="shared" si="106"/>
        <v>Heavy Discount</v>
      </c>
      <c r="H1397" s="37" t="str">
        <f t="shared" si="107"/>
        <v>Medium</v>
      </c>
      <c r="I1397">
        <v>1</v>
      </c>
      <c r="J1397" t="str" cm="1">
        <f t="array" ref="J1397">_xlfn.IFS(I1397&lt;=3,"small",I1397&lt;=6,"Medium",I1397&lt;=9,"Large")</f>
        <v>small</v>
      </c>
      <c r="K1397" s="36">
        <v>45279</v>
      </c>
      <c r="L1397" s="36">
        <v>45285</v>
      </c>
      <c r="M1397" t="s">
        <v>598</v>
      </c>
      <c r="N1397" t="s">
        <v>604</v>
      </c>
      <c r="O1397" s="37" t="str">
        <f t="shared" si="108"/>
        <v>Digital Payment</v>
      </c>
      <c r="P1397">
        <v>124.94</v>
      </c>
      <c r="Q1397" s="37" t="str">
        <f>IF(P1397&gt;500,"High","low")</f>
        <v>low</v>
      </c>
      <c r="R1397" s="37" t="str">
        <f t="shared" si="109"/>
        <v>AVERAGE</v>
      </c>
      <c r="S1397" t="s">
        <v>609</v>
      </c>
    </row>
    <row r="1398" spans="1:19" x14ac:dyDescent="0.2">
      <c r="A1398" t="s">
        <v>2009</v>
      </c>
      <c r="B1398" t="s">
        <v>90</v>
      </c>
      <c r="C1398" t="s">
        <v>602</v>
      </c>
      <c r="D1398">
        <v>4361.3999999999996</v>
      </c>
      <c r="E1398" s="37" t="str">
        <f t="shared" si="105"/>
        <v xml:space="preserve"> </v>
      </c>
      <c r="F1398">
        <v>0.34</v>
      </c>
      <c r="G1398" s="37" t="str">
        <f t="shared" si="106"/>
        <v>Heavy Discount</v>
      </c>
      <c r="H1398" s="37" t="str">
        <f t="shared" si="107"/>
        <v>Medium</v>
      </c>
      <c r="I1398">
        <v>7</v>
      </c>
      <c r="J1398" t="str" cm="1">
        <f t="array" ref="J1398">_xlfn.IFS(I1398&lt;=3,"small",I1398&lt;=6,"Medium",I1398&lt;=9,"Large")</f>
        <v>Large</v>
      </c>
      <c r="K1398" s="36">
        <v>45452</v>
      </c>
      <c r="L1398" s="36">
        <v>45459</v>
      </c>
      <c r="M1398" t="s">
        <v>598</v>
      </c>
      <c r="N1398" t="s">
        <v>599</v>
      </c>
      <c r="O1398" s="37" t="str">
        <f t="shared" si="108"/>
        <v>Digital Payment</v>
      </c>
      <c r="P1398">
        <v>712.12</v>
      </c>
      <c r="Q1398" s="37" t="str">
        <f>IF(P1398&gt;500,"High","low")</f>
        <v>High</v>
      </c>
      <c r="R1398" s="37" t="str">
        <f t="shared" si="109"/>
        <v>Good</v>
      </c>
      <c r="S1398" t="s">
        <v>620</v>
      </c>
    </row>
    <row r="1399" spans="1:19" x14ac:dyDescent="0.2">
      <c r="A1399" t="s">
        <v>2010</v>
      </c>
      <c r="B1399" t="s">
        <v>90</v>
      </c>
      <c r="C1399" t="s">
        <v>597</v>
      </c>
      <c r="D1399">
        <v>3037.23</v>
      </c>
      <c r="E1399" s="37" t="str">
        <f t="shared" si="105"/>
        <v xml:space="preserve"> </v>
      </c>
      <c r="F1399">
        <v>0.35</v>
      </c>
      <c r="G1399" s="37" t="str">
        <f t="shared" si="106"/>
        <v>Heavy Discount</v>
      </c>
      <c r="H1399" s="37" t="str">
        <f t="shared" si="107"/>
        <v>Medium</v>
      </c>
      <c r="I1399">
        <v>3</v>
      </c>
      <c r="J1399" t="str" cm="1">
        <f t="array" ref="J1399">_xlfn.IFS(I1399&lt;=3,"small",I1399&lt;=6,"Medium",I1399&lt;=9,"Large")</f>
        <v>small</v>
      </c>
      <c r="K1399" s="36">
        <v>45258</v>
      </c>
      <c r="L1399" s="36">
        <v>45262</v>
      </c>
      <c r="M1399" t="s">
        <v>598</v>
      </c>
      <c r="N1399" t="s">
        <v>608</v>
      </c>
      <c r="O1399" s="37" t="str">
        <f t="shared" si="108"/>
        <v>Cash Payment</v>
      </c>
      <c r="P1399">
        <v>338.43</v>
      </c>
      <c r="Q1399" s="37" t="str">
        <f>IF(P1399&gt;500,"High","low")</f>
        <v>low</v>
      </c>
      <c r="R1399" s="37" t="str">
        <f t="shared" si="109"/>
        <v>AVERAGE</v>
      </c>
      <c r="S1399" t="s">
        <v>600</v>
      </c>
    </row>
    <row r="1400" spans="1:19" x14ac:dyDescent="0.2">
      <c r="A1400" t="s">
        <v>2011</v>
      </c>
      <c r="B1400" t="s">
        <v>67</v>
      </c>
      <c r="C1400" t="s">
        <v>617</v>
      </c>
      <c r="D1400">
        <v>4263.5600000000004</v>
      </c>
      <c r="E1400" s="37" t="str">
        <f t="shared" si="105"/>
        <v>Excellent Order</v>
      </c>
      <c r="F1400">
        <v>0.34</v>
      </c>
      <c r="G1400" s="37" t="str">
        <f t="shared" si="106"/>
        <v>Heavy Discount</v>
      </c>
      <c r="H1400" s="37" t="str">
        <f t="shared" si="107"/>
        <v>Medium</v>
      </c>
      <c r="I1400">
        <v>6</v>
      </c>
      <c r="J1400" t="str" cm="1">
        <f t="array" ref="J1400">_xlfn.IFS(I1400&lt;=3,"small",I1400&lt;=6,"Medium",I1400&lt;=9,"Large")</f>
        <v>Medium</v>
      </c>
      <c r="K1400" s="36">
        <v>45129</v>
      </c>
      <c r="L1400" s="36">
        <v>45133</v>
      </c>
      <c r="M1400" t="s">
        <v>612</v>
      </c>
      <c r="N1400" t="s">
        <v>608</v>
      </c>
      <c r="O1400" s="37" t="str">
        <f t="shared" si="108"/>
        <v>Cash Payment</v>
      </c>
      <c r="P1400">
        <v>1063.9000000000001</v>
      </c>
      <c r="Q1400" s="37" t="str">
        <f>IF(P1400&gt;500,"High","low")</f>
        <v>High</v>
      </c>
      <c r="R1400" s="37" t="str">
        <f t="shared" si="109"/>
        <v>Excellent</v>
      </c>
      <c r="S1400" t="s">
        <v>628</v>
      </c>
    </row>
    <row r="1401" spans="1:19" x14ac:dyDescent="0.2">
      <c r="A1401" t="s">
        <v>2012</v>
      </c>
      <c r="B1401" t="s">
        <v>75</v>
      </c>
      <c r="C1401" t="s">
        <v>614</v>
      </c>
      <c r="D1401">
        <v>4350.01</v>
      </c>
      <c r="E1401" s="37" t="str">
        <f t="shared" si="105"/>
        <v>Excellent Order</v>
      </c>
      <c r="F1401">
        <v>0.17</v>
      </c>
      <c r="G1401" s="37" t="str">
        <f t="shared" si="106"/>
        <v>Normal Discount</v>
      </c>
      <c r="H1401" s="37" t="str">
        <f t="shared" si="107"/>
        <v>Low</v>
      </c>
      <c r="I1401">
        <v>5</v>
      </c>
      <c r="J1401" t="str" cm="1">
        <f t="array" ref="J1401">_xlfn.IFS(I1401&lt;=3,"small",I1401&lt;=6,"Medium",I1401&lt;=9,"Large")</f>
        <v>Medium</v>
      </c>
      <c r="K1401" s="36">
        <v>45164</v>
      </c>
      <c r="L1401" s="36">
        <v>45170</v>
      </c>
      <c r="M1401" t="s">
        <v>612</v>
      </c>
      <c r="N1401" t="s">
        <v>604</v>
      </c>
      <c r="O1401" s="37" t="str">
        <f t="shared" si="108"/>
        <v>Digital Payment</v>
      </c>
      <c r="P1401">
        <v>894.8</v>
      </c>
      <c r="Q1401" s="37" t="str">
        <f>IF(P1401&gt;500,"High","low")</f>
        <v>High</v>
      </c>
      <c r="R1401" s="37" t="str">
        <f t="shared" si="109"/>
        <v>Good</v>
      </c>
      <c r="S1401" t="s">
        <v>609</v>
      </c>
    </row>
    <row r="1402" spans="1:19" x14ac:dyDescent="0.2">
      <c r="A1402" t="s">
        <v>2013</v>
      </c>
      <c r="B1402" t="s">
        <v>90</v>
      </c>
      <c r="C1402" t="s">
        <v>617</v>
      </c>
      <c r="D1402">
        <v>3022.23</v>
      </c>
      <c r="E1402" s="37" t="str">
        <f t="shared" si="105"/>
        <v xml:space="preserve"> </v>
      </c>
      <c r="F1402">
        <v>0.16</v>
      </c>
      <c r="G1402" s="37" t="str">
        <f t="shared" si="106"/>
        <v>Normal Discount</v>
      </c>
      <c r="H1402" s="37" t="str">
        <f t="shared" si="107"/>
        <v>Low</v>
      </c>
      <c r="I1402">
        <v>4</v>
      </c>
      <c r="J1402" t="str" cm="1">
        <f t="array" ref="J1402">_xlfn.IFS(I1402&lt;=3,"small",I1402&lt;=6,"Medium",I1402&lt;=9,"Large")</f>
        <v>Medium</v>
      </c>
      <c r="K1402" s="36">
        <v>45328</v>
      </c>
      <c r="L1402" s="36">
        <v>45329</v>
      </c>
      <c r="M1402" t="s">
        <v>598</v>
      </c>
      <c r="N1402" t="s">
        <v>604</v>
      </c>
      <c r="O1402" s="37" t="str">
        <f t="shared" si="108"/>
        <v>Digital Payment</v>
      </c>
      <c r="P1402">
        <v>551.17999999999995</v>
      </c>
      <c r="Q1402" s="37" t="str">
        <f>IF(P1402&gt;500,"High","low")</f>
        <v>High</v>
      </c>
      <c r="R1402" s="37" t="str">
        <f t="shared" si="109"/>
        <v>Good</v>
      </c>
      <c r="S1402" t="s">
        <v>628</v>
      </c>
    </row>
    <row r="1403" spans="1:19" x14ac:dyDescent="0.2">
      <c r="A1403" t="s">
        <v>2014</v>
      </c>
      <c r="B1403" t="s">
        <v>90</v>
      </c>
      <c r="C1403" t="s">
        <v>617</v>
      </c>
      <c r="D1403">
        <v>4596.7</v>
      </c>
      <c r="E1403" s="37" t="str">
        <f t="shared" si="105"/>
        <v xml:space="preserve"> </v>
      </c>
      <c r="F1403">
        <v>0.21</v>
      </c>
      <c r="G1403" s="37" t="str">
        <f t="shared" si="106"/>
        <v>Normal Discount</v>
      </c>
      <c r="H1403" s="37" t="str">
        <f t="shared" si="107"/>
        <v>Medium</v>
      </c>
      <c r="I1403">
        <v>3</v>
      </c>
      <c r="J1403" t="str" cm="1">
        <f t="array" ref="J1403">_xlfn.IFS(I1403&lt;=3,"small",I1403&lt;=6,"Medium",I1403&lt;=9,"Large")</f>
        <v>small</v>
      </c>
      <c r="K1403" s="36">
        <v>45315</v>
      </c>
      <c r="L1403" s="36">
        <v>45316</v>
      </c>
      <c r="M1403" t="s">
        <v>612</v>
      </c>
      <c r="N1403" t="s">
        <v>599</v>
      </c>
      <c r="O1403" s="37" t="str">
        <f t="shared" si="108"/>
        <v>Digital Payment</v>
      </c>
      <c r="P1403">
        <v>527.46</v>
      </c>
      <c r="Q1403" s="37" t="str">
        <f>IF(P1403&gt;500,"High","low")</f>
        <v>High</v>
      </c>
      <c r="R1403" s="37" t="str">
        <f t="shared" si="109"/>
        <v>Good</v>
      </c>
      <c r="S1403" t="s">
        <v>620</v>
      </c>
    </row>
    <row r="1404" spans="1:19" x14ac:dyDescent="0.2">
      <c r="A1404" t="s">
        <v>2015</v>
      </c>
      <c r="B1404" t="s">
        <v>75</v>
      </c>
      <c r="C1404" t="s">
        <v>617</v>
      </c>
      <c r="D1404">
        <v>2968.7</v>
      </c>
      <c r="E1404" s="37" t="str">
        <f t="shared" si="105"/>
        <v xml:space="preserve"> </v>
      </c>
      <c r="F1404">
        <v>0.4</v>
      </c>
      <c r="G1404" s="37" t="str">
        <f t="shared" si="106"/>
        <v>Heavy Discount</v>
      </c>
      <c r="H1404" s="37" t="str">
        <f t="shared" si="107"/>
        <v>Medium</v>
      </c>
      <c r="I1404">
        <v>9</v>
      </c>
      <c r="J1404" t="str" cm="1">
        <f t="array" ref="J1404">_xlfn.IFS(I1404&lt;=3,"small",I1404&lt;=6,"Medium",I1404&lt;=9,"Large")</f>
        <v>Large</v>
      </c>
      <c r="K1404" s="36">
        <v>45566</v>
      </c>
      <c r="L1404" s="36">
        <v>45573</v>
      </c>
      <c r="M1404" t="s">
        <v>603</v>
      </c>
      <c r="N1404" t="s">
        <v>599</v>
      </c>
      <c r="O1404" s="37" t="str">
        <f t="shared" si="108"/>
        <v>Digital Payment</v>
      </c>
      <c r="P1404">
        <v>378.73</v>
      </c>
      <c r="Q1404" s="37" t="str">
        <f>IF(P1404&gt;500,"High","low")</f>
        <v>low</v>
      </c>
      <c r="R1404" s="37" t="str">
        <f t="shared" si="109"/>
        <v>AVERAGE</v>
      </c>
      <c r="S1404" t="s">
        <v>605</v>
      </c>
    </row>
    <row r="1405" spans="1:19" x14ac:dyDescent="0.2">
      <c r="A1405" t="s">
        <v>2016</v>
      </c>
      <c r="B1405" t="s">
        <v>83</v>
      </c>
      <c r="C1405" t="s">
        <v>614</v>
      </c>
      <c r="D1405">
        <v>3591.57</v>
      </c>
      <c r="E1405" s="37" t="str">
        <f t="shared" si="105"/>
        <v xml:space="preserve"> </v>
      </c>
      <c r="F1405">
        <v>0.47</v>
      </c>
      <c r="G1405" s="37" t="str">
        <f t="shared" si="106"/>
        <v>Heavy Discount</v>
      </c>
      <c r="H1405" s="37" t="str">
        <f t="shared" si="107"/>
        <v>High</v>
      </c>
      <c r="I1405">
        <v>5</v>
      </c>
      <c r="J1405" t="str" cm="1">
        <f t="array" ref="J1405">_xlfn.IFS(I1405&lt;=3,"small",I1405&lt;=6,"Medium",I1405&lt;=9,"Large")</f>
        <v>Medium</v>
      </c>
      <c r="K1405" s="36">
        <v>44993</v>
      </c>
      <c r="L1405" s="36">
        <v>45000</v>
      </c>
      <c r="M1405" t="s">
        <v>603</v>
      </c>
      <c r="N1405" t="s">
        <v>608</v>
      </c>
      <c r="O1405" s="37" t="str">
        <f t="shared" si="108"/>
        <v>Cash Payment</v>
      </c>
      <c r="P1405">
        <v>399.73</v>
      </c>
      <c r="Q1405" s="37" t="str">
        <f>IF(P1405&gt;500,"High","low")</f>
        <v>low</v>
      </c>
      <c r="R1405" s="37" t="str">
        <f t="shared" si="109"/>
        <v>AVERAGE</v>
      </c>
      <c r="S1405" t="s">
        <v>620</v>
      </c>
    </row>
    <row r="1406" spans="1:19" x14ac:dyDescent="0.2">
      <c r="A1406" t="s">
        <v>2017</v>
      </c>
      <c r="B1406" t="s">
        <v>83</v>
      </c>
      <c r="C1406" t="s">
        <v>614</v>
      </c>
      <c r="D1406">
        <v>2138.79</v>
      </c>
      <c r="E1406" s="37" t="str">
        <f t="shared" si="105"/>
        <v xml:space="preserve"> </v>
      </c>
      <c r="F1406">
        <v>0.23</v>
      </c>
      <c r="G1406" s="37" t="str">
        <f t="shared" si="106"/>
        <v>Normal Discount</v>
      </c>
      <c r="H1406" s="37" t="str">
        <f t="shared" si="107"/>
        <v>Medium</v>
      </c>
      <c r="I1406">
        <v>7</v>
      </c>
      <c r="J1406" t="str" cm="1">
        <f t="array" ref="J1406">_xlfn.IFS(I1406&lt;=3,"small",I1406&lt;=6,"Medium",I1406&lt;=9,"Large")</f>
        <v>Large</v>
      </c>
      <c r="K1406" s="36">
        <v>45076</v>
      </c>
      <c r="L1406" s="36">
        <v>45077</v>
      </c>
      <c r="M1406" t="s">
        <v>612</v>
      </c>
      <c r="N1406" t="s">
        <v>608</v>
      </c>
      <c r="O1406" s="37" t="str">
        <f t="shared" si="108"/>
        <v>Cash Payment</v>
      </c>
      <c r="P1406">
        <v>447.99</v>
      </c>
      <c r="Q1406" s="37" t="str">
        <f>IF(P1406&gt;500,"High","low")</f>
        <v>low</v>
      </c>
      <c r="R1406" s="37" t="str">
        <f t="shared" si="109"/>
        <v>AVERAGE</v>
      </c>
      <c r="S1406" t="s">
        <v>605</v>
      </c>
    </row>
    <row r="1407" spans="1:19" x14ac:dyDescent="0.2">
      <c r="A1407" t="s">
        <v>2018</v>
      </c>
      <c r="B1407" t="s">
        <v>67</v>
      </c>
      <c r="C1407" t="s">
        <v>617</v>
      </c>
      <c r="D1407">
        <v>4578.93</v>
      </c>
      <c r="E1407" s="37" t="str">
        <f t="shared" si="105"/>
        <v>Excellent Order</v>
      </c>
      <c r="F1407">
        <v>0.04</v>
      </c>
      <c r="G1407" s="37" t="str">
        <f t="shared" si="106"/>
        <v>Normal Discount</v>
      </c>
      <c r="H1407" s="37" t="str">
        <f t="shared" si="107"/>
        <v>Low</v>
      </c>
      <c r="I1407">
        <v>4</v>
      </c>
      <c r="J1407" t="str" cm="1">
        <f t="array" ref="J1407">_xlfn.IFS(I1407&lt;=3,"small",I1407&lt;=6,"Medium",I1407&lt;=9,"Large")</f>
        <v>Medium</v>
      </c>
      <c r="K1407" s="36">
        <v>45060</v>
      </c>
      <c r="L1407" s="36">
        <v>45067</v>
      </c>
      <c r="M1407" t="s">
        <v>598</v>
      </c>
      <c r="N1407" t="s">
        <v>604</v>
      </c>
      <c r="O1407" s="37" t="str">
        <f t="shared" si="108"/>
        <v>Digital Payment</v>
      </c>
      <c r="P1407">
        <v>928.89</v>
      </c>
      <c r="Q1407" s="37" t="str">
        <f>IF(P1407&gt;500,"High","low")</f>
        <v>High</v>
      </c>
      <c r="R1407" s="37" t="str">
        <f t="shared" si="109"/>
        <v>Good</v>
      </c>
      <c r="S1407" t="s">
        <v>605</v>
      </c>
    </row>
    <row r="1408" spans="1:19" x14ac:dyDescent="0.2">
      <c r="A1408" t="s">
        <v>2019</v>
      </c>
      <c r="B1408" t="s">
        <v>83</v>
      </c>
      <c r="C1408" t="s">
        <v>597</v>
      </c>
      <c r="D1408">
        <v>4138.3999999999996</v>
      </c>
      <c r="E1408" s="37" t="str">
        <f t="shared" si="105"/>
        <v xml:space="preserve"> </v>
      </c>
      <c r="F1408">
        <v>0.47</v>
      </c>
      <c r="G1408" s="37" t="str">
        <f t="shared" si="106"/>
        <v>Heavy Discount</v>
      </c>
      <c r="H1408" s="37" t="str">
        <f t="shared" si="107"/>
        <v>High</v>
      </c>
      <c r="I1408">
        <v>1</v>
      </c>
      <c r="J1408" t="str" cm="1">
        <f t="array" ref="J1408">_xlfn.IFS(I1408&lt;=3,"small",I1408&lt;=6,"Medium",I1408&lt;=9,"Large")</f>
        <v>small</v>
      </c>
      <c r="K1408" s="36">
        <v>45337</v>
      </c>
      <c r="L1408" s="36">
        <v>45338</v>
      </c>
      <c r="M1408" t="s">
        <v>612</v>
      </c>
      <c r="N1408" t="s">
        <v>604</v>
      </c>
      <c r="O1408" s="37" t="str">
        <f t="shared" si="108"/>
        <v>Digital Payment</v>
      </c>
      <c r="P1408">
        <v>384.22</v>
      </c>
      <c r="Q1408" s="37" t="str">
        <f>IF(P1408&gt;500,"High","low")</f>
        <v>low</v>
      </c>
      <c r="R1408" s="37" t="str">
        <f t="shared" si="109"/>
        <v>AVERAGE</v>
      </c>
      <c r="S1408" t="s">
        <v>600</v>
      </c>
    </row>
    <row r="1409" spans="1:19" x14ac:dyDescent="0.2">
      <c r="A1409" t="s">
        <v>2020</v>
      </c>
      <c r="B1409" t="s">
        <v>75</v>
      </c>
      <c r="C1409" t="s">
        <v>607</v>
      </c>
      <c r="D1409">
        <v>916.89</v>
      </c>
      <c r="E1409" s="37" t="str">
        <f t="shared" si="105"/>
        <v xml:space="preserve"> </v>
      </c>
      <c r="F1409">
        <v>0.04</v>
      </c>
      <c r="G1409" s="37" t="str">
        <f t="shared" si="106"/>
        <v>Normal Discount</v>
      </c>
      <c r="H1409" s="37" t="str">
        <f t="shared" si="107"/>
        <v>Low</v>
      </c>
      <c r="I1409">
        <v>2</v>
      </c>
      <c r="J1409" t="str" cm="1">
        <f t="array" ref="J1409">_xlfn.IFS(I1409&lt;=3,"small",I1409&lt;=6,"Medium",I1409&lt;=9,"Large")</f>
        <v>small</v>
      </c>
      <c r="K1409" s="36">
        <v>45139</v>
      </c>
      <c r="L1409" s="36">
        <v>45145</v>
      </c>
      <c r="M1409" t="s">
        <v>612</v>
      </c>
      <c r="N1409" t="s">
        <v>599</v>
      </c>
      <c r="O1409" s="37" t="str">
        <f t="shared" si="108"/>
        <v>Digital Payment</v>
      </c>
      <c r="P1409">
        <v>121.93</v>
      </c>
      <c r="Q1409" s="37" t="str">
        <f>IF(P1409&gt;500,"High","low")</f>
        <v>low</v>
      </c>
      <c r="R1409" s="37" t="str">
        <f t="shared" si="109"/>
        <v>AVERAGE</v>
      </c>
      <c r="S1409" t="s">
        <v>620</v>
      </c>
    </row>
    <row r="1410" spans="1:19" x14ac:dyDescent="0.2">
      <c r="A1410" t="s">
        <v>2021</v>
      </c>
      <c r="B1410" t="s">
        <v>90</v>
      </c>
      <c r="C1410" t="s">
        <v>617</v>
      </c>
      <c r="D1410">
        <v>2924.3</v>
      </c>
      <c r="E1410" s="37" t="str">
        <f t="shared" si="105"/>
        <v xml:space="preserve"> </v>
      </c>
      <c r="F1410">
        <v>0.08</v>
      </c>
      <c r="G1410" s="37" t="str">
        <f t="shared" si="106"/>
        <v>Normal Discount</v>
      </c>
      <c r="H1410" s="37" t="str">
        <f t="shared" si="107"/>
        <v>Low</v>
      </c>
      <c r="I1410">
        <v>5</v>
      </c>
      <c r="J1410" t="str" cm="1">
        <f t="array" ref="J1410">_xlfn.IFS(I1410&lt;=3,"small",I1410&lt;=6,"Medium",I1410&lt;=9,"Large")</f>
        <v>Medium</v>
      </c>
      <c r="K1410" s="36">
        <v>45475</v>
      </c>
      <c r="L1410" s="36">
        <v>45482</v>
      </c>
      <c r="M1410" t="s">
        <v>603</v>
      </c>
      <c r="N1410" t="s">
        <v>608</v>
      </c>
      <c r="O1410" s="37" t="str">
        <f t="shared" si="108"/>
        <v>Cash Payment</v>
      </c>
      <c r="P1410">
        <v>158.66</v>
      </c>
      <c r="Q1410" s="37" t="str">
        <f>IF(P1410&gt;500,"High","low")</f>
        <v>low</v>
      </c>
      <c r="R1410" s="37" t="str">
        <f t="shared" si="109"/>
        <v>AVERAGE</v>
      </c>
      <c r="S1410" t="s">
        <v>605</v>
      </c>
    </row>
    <row r="1411" spans="1:19" x14ac:dyDescent="0.2">
      <c r="A1411" t="s">
        <v>2022</v>
      </c>
      <c r="B1411" t="s">
        <v>83</v>
      </c>
      <c r="C1411" t="s">
        <v>602</v>
      </c>
      <c r="D1411">
        <v>4494.45</v>
      </c>
      <c r="E1411" s="37" t="str">
        <f t="shared" ref="E1411:E1474" si="110">IF(AND(D1411&gt;4000,P1411&gt;800),"Excellent Order"," ")</f>
        <v xml:space="preserve"> </v>
      </c>
      <c r="F1411">
        <v>0.43</v>
      </c>
      <c r="G1411" s="37" t="str">
        <f t="shared" ref="G1411:G1474" si="111">IF(F1411&gt;30%,"Heavy Discount","Normal Discount")</f>
        <v>Heavy Discount</v>
      </c>
      <c r="H1411" s="37" t="str">
        <f t="shared" ref="H1411:H1474" si="112">IF(F1411&gt;0.4,"High",IF(F1411&gt;=0.2,"Medium","Low"))</f>
        <v>High</v>
      </c>
      <c r="I1411">
        <v>8</v>
      </c>
      <c r="J1411" t="str" cm="1">
        <f t="array" ref="J1411">_xlfn.IFS(I1411&lt;=3,"small",I1411&lt;=6,"Medium",I1411&lt;=9,"Large")</f>
        <v>Large</v>
      </c>
      <c r="K1411" s="36">
        <v>45427</v>
      </c>
      <c r="L1411" s="36">
        <v>45433</v>
      </c>
      <c r="M1411" t="s">
        <v>598</v>
      </c>
      <c r="N1411" t="s">
        <v>604</v>
      </c>
      <c r="O1411" s="37" t="str">
        <f t="shared" ref="O1411:O1474" si="113">IF(OR(N1411="Card",N1411="UPI"),"Digital Payment","Cash Payment")</f>
        <v>Digital Payment</v>
      </c>
      <c r="P1411">
        <v>424.41</v>
      </c>
      <c r="Q1411" s="37" t="str">
        <f>IF(P1411&gt;500,"High","low")</f>
        <v>low</v>
      </c>
      <c r="R1411" s="37" t="str">
        <f t="shared" ref="R1411:R1474" si="114">IF(P1411&gt;1000,"Excellent",IF(P1411&gt;=500,"Good","AVERAGE"))</f>
        <v>AVERAGE</v>
      </c>
      <c r="S1411" t="s">
        <v>620</v>
      </c>
    </row>
    <row r="1412" spans="1:19" x14ac:dyDescent="0.2">
      <c r="A1412" t="s">
        <v>2023</v>
      </c>
      <c r="B1412" t="s">
        <v>67</v>
      </c>
      <c r="C1412" t="s">
        <v>617</v>
      </c>
      <c r="D1412">
        <v>3986.02</v>
      </c>
      <c r="E1412" s="37" t="str">
        <f t="shared" si="110"/>
        <v xml:space="preserve"> </v>
      </c>
      <c r="F1412">
        <v>0.28000000000000003</v>
      </c>
      <c r="G1412" s="37" t="str">
        <f t="shared" si="111"/>
        <v>Normal Discount</v>
      </c>
      <c r="H1412" s="37" t="str">
        <f t="shared" si="112"/>
        <v>Medium</v>
      </c>
      <c r="I1412">
        <v>8</v>
      </c>
      <c r="J1412" t="str" cm="1">
        <f t="array" ref="J1412">_xlfn.IFS(I1412&lt;=3,"small",I1412&lt;=6,"Medium",I1412&lt;=9,"Large")</f>
        <v>Large</v>
      </c>
      <c r="K1412" s="36">
        <v>45559</v>
      </c>
      <c r="L1412" s="36">
        <v>45564</v>
      </c>
      <c r="M1412" t="s">
        <v>603</v>
      </c>
      <c r="N1412" t="s">
        <v>599</v>
      </c>
      <c r="O1412" s="37" t="str">
        <f t="shared" si="113"/>
        <v>Digital Payment</v>
      </c>
      <c r="P1412">
        <v>726.08</v>
      </c>
      <c r="Q1412" s="37" t="str">
        <f>IF(P1412&gt;500,"High","low")</f>
        <v>High</v>
      </c>
      <c r="R1412" s="37" t="str">
        <f t="shared" si="114"/>
        <v>Good</v>
      </c>
      <c r="S1412" t="s">
        <v>628</v>
      </c>
    </row>
    <row r="1413" spans="1:19" x14ac:dyDescent="0.2">
      <c r="A1413" t="s">
        <v>2024</v>
      </c>
      <c r="B1413" t="s">
        <v>83</v>
      </c>
      <c r="C1413" t="s">
        <v>614</v>
      </c>
      <c r="D1413">
        <v>4816.51</v>
      </c>
      <c r="E1413" s="37" t="str">
        <f t="shared" si="110"/>
        <v xml:space="preserve"> </v>
      </c>
      <c r="F1413">
        <v>0.18</v>
      </c>
      <c r="G1413" s="37" t="str">
        <f t="shared" si="111"/>
        <v>Normal Discount</v>
      </c>
      <c r="H1413" s="37" t="str">
        <f t="shared" si="112"/>
        <v>Low</v>
      </c>
      <c r="I1413">
        <v>8</v>
      </c>
      <c r="J1413" t="str" cm="1">
        <f t="array" ref="J1413">_xlfn.IFS(I1413&lt;=3,"small",I1413&lt;=6,"Medium",I1413&lt;=9,"Large")</f>
        <v>Large</v>
      </c>
      <c r="K1413" s="36">
        <v>45152</v>
      </c>
      <c r="L1413" s="36">
        <v>45159</v>
      </c>
      <c r="M1413" t="s">
        <v>612</v>
      </c>
      <c r="N1413" t="s">
        <v>604</v>
      </c>
      <c r="O1413" s="37" t="str">
        <f t="shared" si="113"/>
        <v>Digital Payment</v>
      </c>
      <c r="P1413">
        <v>695.41</v>
      </c>
      <c r="Q1413" s="37" t="str">
        <f>IF(P1413&gt;500,"High","low")</f>
        <v>High</v>
      </c>
      <c r="R1413" s="37" t="str">
        <f t="shared" si="114"/>
        <v>Good</v>
      </c>
      <c r="S1413" t="s">
        <v>600</v>
      </c>
    </row>
    <row r="1414" spans="1:19" x14ac:dyDescent="0.2">
      <c r="A1414" t="s">
        <v>2025</v>
      </c>
      <c r="B1414" t="s">
        <v>75</v>
      </c>
      <c r="C1414" t="s">
        <v>607</v>
      </c>
      <c r="D1414">
        <v>1233.3800000000001</v>
      </c>
      <c r="E1414" s="37" t="str">
        <f t="shared" si="110"/>
        <v xml:space="preserve"> </v>
      </c>
      <c r="F1414">
        <v>0.47</v>
      </c>
      <c r="G1414" s="37" t="str">
        <f t="shared" si="111"/>
        <v>Heavy Discount</v>
      </c>
      <c r="H1414" s="37" t="str">
        <f t="shared" si="112"/>
        <v>High</v>
      </c>
      <c r="I1414">
        <v>9</v>
      </c>
      <c r="J1414" t="str" cm="1">
        <f t="array" ref="J1414">_xlfn.IFS(I1414&lt;=3,"small",I1414&lt;=6,"Medium",I1414&lt;=9,"Large")</f>
        <v>Large</v>
      </c>
      <c r="K1414" s="36">
        <v>45309</v>
      </c>
      <c r="L1414" s="36">
        <v>45311</v>
      </c>
      <c r="M1414" t="s">
        <v>612</v>
      </c>
      <c r="N1414" t="s">
        <v>599</v>
      </c>
      <c r="O1414" s="37" t="str">
        <f t="shared" si="113"/>
        <v>Digital Payment</v>
      </c>
      <c r="P1414">
        <v>242.74</v>
      </c>
      <c r="Q1414" s="37" t="str">
        <f>IF(P1414&gt;500,"High","low")</f>
        <v>low</v>
      </c>
      <c r="R1414" s="37" t="str">
        <f t="shared" si="114"/>
        <v>AVERAGE</v>
      </c>
      <c r="S1414" t="s">
        <v>620</v>
      </c>
    </row>
    <row r="1415" spans="1:19" x14ac:dyDescent="0.2">
      <c r="A1415" t="s">
        <v>2026</v>
      </c>
      <c r="B1415" t="s">
        <v>67</v>
      </c>
      <c r="C1415" t="s">
        <v>602</v>
      </c>
      <c r="D1415">
        <v>1900.55</v>
      </c>
      <c r="E1415" s="37" t="str">
        <f t="shared" si="110"/>
        <v xml:space="preserve"> </v>
      </c>
      <c r="F1415">
        <v>0.48</v>
      </c>
      <c r="G1415" s="37" t="str">
        <f t="shared" si="111"/>
        <v>Heavy Discount</v>
      </c>
      <c r="H1415" s="37" t="str">
        <f t="shared" si="112"/>
        <v>High</v>
      </c>
      <c r="I1415">
        <v>2</v>
      </c>
      <c r="J1415" t="str" cm="1">
        <f t="array" ref="J1415">_xlfn.IFS(I1415&lt;=3,"small",I1415&lt;=6,"Medium",I1415&lt;=9,"Large")</f>
        <v>small</v>
      </c>
      <c r="K1415" s="36">
        <v>45474</v>
      </c>
      <c r="L1415" s="36">
        <v>45481</v>
      </c>
      <c r="M1415" t="s">
        <v>598</v>
      </c>
      <c r="N1415" t="s">
        <v>604</v>
      </c>
      <c r="O1415" s="37" t="str">
        <f t="shared" si="113"/>
        <v>Digital Payment</v>
      </c>
      <c r="P1415">
        <v>295.14</v>
      </c>
      <c r="Q1415" s="37" t="str">
        <f>IF(P1415&gt;500,"High","low")</f>
        <v>low</v>
      </c>
      <c r="R1415" s="37" t="str">
        <f t="shared" si="114"/>
        <v>AVERAGE</v>
      </c>
      <c r="S1415" t="s">
        <v>615</v>
      </c>
    </row>
    <row r="1416" spans="1:19" x14ac:dyDescent="0.2">
      <c r="A1416" t="s">
        <v>2027</v>
      </c>
      <c r="B1416" t="s">
        <v>83</v>
      </c>
      <c r="C1416" t="s">
        <v>607</v>
      </c>
      <c r="D1416">
        <v>2585.2399999999998</v>
      </c>
      <c r="E1416" s="37" t="str">
        <f t="shared" si="110"/>
        <v xml:space="preserve"> </v>
      </c>
      <c r="F1416">
        <v>0.17</v>
      </c>
      <c r="G1416" s="37" t="str">
        <f t="shared" si="111"/>
        <v>Normal Discount</v>
      </c>
      <c r="H1416" s="37" t="str">
        <f t="shared" si="112"/>
        <v>Low</v>
      </c>
      <c r="I1416">
        <v>4</v>
      </c>
      <c r="J1416" t="str" cm="1">
        <f t="array" ref="J1416">_xlfn.IFS(I1416&lt;=3,"small",I1416&lt;=6,"Medium",I1416&lt;=9,"Large")</f>
        <v>Medium</v>
      </c>
      <c r="K1416" s="36">
        <v>45115</v>
      </c>
      <c r="L1416" s="36">
        <v>45121</v>
      </c>
      <c r="M1416" t="s">
        <v>598</v>
      </c>
      <c r="N1416" t="s">
        <v>599</v>
      </c>
      <c r="O1416" s="37" t="str">
        <f t="shared" si="113"/>
        <v>Digital Payment</v>
      </c>
      <c r="P1416">
        <v>189.77</v>
      </c>
      <c r="Q1416" s="37" t="str">
        <f>IF(P1416&gt;500,"High","low")</f>
        <v>low</v>
      </c>
      <c r="R1416" s="37" t="str">
        <f t="shared" si="114"/>
        <v>AVERAGE</v>
      </c>
      <c r="S1416" t="s">
        <v>609</v>
      </c>
    </row>
    <row r="1417" spans="1:19" x14ac:dyDescent="0.2">
      <c r="A1417" t="s">
        <v>2028</v>
      </c>
      <c r="B1417" t="s">
        <v>67</v>
      </c>
      <c r="C1417" t="s">
        <v>607</v>
      </c>
      <c r="D1417">
        <v>1240.08</v>
      </c>
      <c r="E1417" s="37" t="str">
        <f t="shared" si="110"/>
        <v xml:space="preserve"> </v>
      </c>
      <c r="F1417">
        <v>0.43</v>
      </c>
      <c r="G1417" s="37" t="str">
        <f t="shared" si="111"/>
        <v>Heavy Discount</v>
      </c>
      <c r="H1417" s="37" t="str">
        <f t="shared" si="112"/>
        <v>High</v>
      </c>
      <c r="I1417">
        <v>6</v>
      </c>
      <c r="J1417" t="str" cm="1">
        <f t="array" ref="J1417">_xlfn.IFS(I1417&lt;=3,"small",I1417&lt;=6,"Medium",I1417&lt;=9,"Large")</f>
        <v>Medium</v>
      </c>
      <c r="K1417" s="36">
        <v>45144</v>
      </c>
      <c r="L1417" s="36">
        <v>45145</v>
      </c>
      <c r="M1417" t="s">
        <v>603</v>
      </c>
      <c r="N1417" t="s">
        <v>604</v>
      </c>
      <c r="O1417" s="37" t="str">
        <f t="shared" si="113"/>
        <v>Digital Payment</v>
      </c>
      <c r="P1417">
        <v>268.66000000000003</v>
      </c>
      <c r="Q1417" s="37" t="str">
        <f>IF(P1417&gt;500,"High","low")</f>
        <v>low</v>
      </c>
      <c r="R1417" s="37" t="str">
        <f t="shared" si="114"/>
        <v>AVERAGE</v>
      </c>
      <c r="S1417" t="s">
        <v>620</v>
      </c>
    </row>
    <row r="1418" spans="1:19" x14ac:dyDescent="0.2">
      <c r="A1418" t="s">
        <v>2029</v>
      </c>
      <c r="B1418" t="s">
        <v>75</v>
      </c>
      <c r="C1418" t="s">
        <v>602</v>
      </c>
      <c r="D1418">
        <v>2030.82</v>
      </c>
      <c r="E1418" s="37" t="str">
        <f t="shared" si="110"/>
        <v xml:space="preserve"> </v>
      </c>
      <c r="F1418">
        <v>0.34</v>
      </c>
      <c r="G1418" s="37" t="str">
        <f t="shared" si="111"/>
        <v>Heavy Discount</v>
      </c>
      <c r="H1418" s="37" t="str">
        <f t="shared" si="112"/>
        <v>Medium</v>
      </c>
      <c r="I1418">
        <v>6</v>
      </c>
      <c r="J1418" t="str" cm="1">
        <f t="array" ref="J1418">_xlfn.IFS(I1418&lt;=3,"small",I1418&lt;=6,"Medium",I1418&lt;=9,"Large")</f>
        <v>Medium</v>
      </c>
      <c r="K1418" s="36">
        <v>45306</v>
      </c>
      <c r="L1418" s="36">
        <v>45310</v>
      </c>
      <c r="M1418" t="s">
        <v>598</v>
      </c>
      <c r="N1418" t="s">
        <v>604</v>
      </c>
      <c r="O1418" s="37" t="str">
        <f t="shared" si="113"/>
        <v>Digital Payment</v>
      </c>
      <c r="P1418">
        <v>581.23</v>
      </c>
      <c r="Q1418" s="37" t="str">
        <f>IF(P1418&gt;500,"High","low")</f>
        <v>High</v>
      </c>
      <c r="R1418" s="37" t="str">
        <f t="shared" si="114"/>
        <v>Good</v>
      </c>
      <c r="S1418" t="s">
        <v>620</v>
      </c>
    </row>
    <row r="1419" spans="1:19" x14ac:dyDescent="0.2">
      <c r="A1419" t="s">
        <v>2030</v>
      </c>
      <c r="B1419" t="s">
        <v>90</v>
      </c>
      <c r="C1419" t="s">
        <v>617</v>
      </c>
      <c r="D1419">
        <v>2733.94</v>
      </c>
      <c r="E1419" s="37" t="str">
        <f t="shared" si="110"/>
        <v xml:space="preserve"> </v>
      </c>
      <c r="F1419">
        <v>0.14000000000000001</v>
      </c>
      <c r="G1419" s="37" t="str">
        <f t="shared" si="111"/>
        <v>Normal Discount</v>
      </c>
      <c r="H1419" s="37" t="str">
        <f t="shared" si="112"/>
        <v>Low</v>
      </c>
      <c r="I1419">
        <v>5</v>
      </c>
      <c r="J1419" t="str" cm="1">
        <f t="array" ref="J1419">_xlfn.IFS(I1419&lt;=3,"small",I1419&lt;=6,"Medium",I1419&lt;=9,"Large")</f>
        <v>Medium</v>
      </c>
      <c r="K1419" s="36">
        <v>45102</v>
      </c>
      <c r="L1419" s="36">
        <v>45104</v>
      </c>
      <c r="M1419" t="s">
        <v>598</v>
      </c>
      <c r="N1419" t="s">
        <v>608</v>
      </c>
      <c r="O1419" s="37" t="str">
        <f t="shared" si="113"/>
        <v>Cash Payment</v>
      </c>
      <c r="P1419">
        <v>323.58</v>
      </c>
      <c r="Q1419" s="37" t="str">
        <f>IF(P1419&gt;500,"High","low")</f>
        <v>low</v>
      </c>
      <c r="R1419" s="37" t="str">
        <f t="shared" si="114"/>
        <v>AVERAGE</v>
      </c>
      <c r="S1419" t="s">
        <v>620</v>
      </c>
    </row>
    <row r="1420" spans="1:19" x14ac:dyDescent="0.2">
      <c r="A1420" t="s">
        <v>2031</v>
      </c>
      <c r="B1420" t="s">
        <v>75</v>
      </c>
      <c r="C1420" t="s">
        <v>617</v>
      </c>
      <c r="D1420">
        <v>1037.56</v>
      </c>
      <c r="E1420" s="37" t="str">
        <f t="shared" si="110"/>
        <v xml:space="preserve"> </v>
      </c>
      <c r="F1420">
        <v>0.47</v>
      </c>
      <c r="G1420" s="37" t="str">
        <f t="shared" si="111"/>
        <v>Heavy Discount</v>
      </c>
      <c r="H1420" s="37" t="str">
        <f t="shared" si="112"/>
        <v>High</v>
      </c>
      <c r="I1420">
        <v>2</v>
      </c>
      <c r="J1420" t="str" cm="1">
        <f t="array" ref="J1420">_xlfn.IFS(I1420&lt;=3,"small",I1420&lt;=6,"Medium",I1420&lt;=9,"Large")</f>
        <v>small</v>
      </c>
      <c r="K1420" s="36">
        <v>45137</v>
      </c>
      <c r="L1420" s="36">
        <v>45138</v>
      </c>
      <c r="M1420" t="s">
        <v>612</v>
      </c>
      <c r="N1420" t="s">
        <v>604</v>
      </c>
      <c r="O1420" s="37" t="str">
        <f t="shared" si="113"/>
        <v>Digital Payment</v>
      </c>
      <c r="P1420">
        <v>105.72</v>
      </c>
      <c r="Q1420" s="37" t="str">
        <f>IF(P1420&gt;500,"High","low")</f>
        <v>low</v>
      </c>
      <c r="R1420" s="37" t="str">
        <f t="shared" si="114"/>
        <v>AVERAGE</v>
      </c>
      <c r="S1420" t="s">
        <v>605</v>
      </c>
    </row>
    <row r="1421" spans="1:19" x14ac:dyDescent="0.2">
      <c r="A1421" t="s">
        <v>2032</v>
      </c>
      <c r="B1421" t="s">
        <v>75</v>
      </c>
      <c r="C1421" t="s">
        <v>617</v>
      </c>
      <c r="D1421">
        <v>1357.77</v>
      </c>
      <c r="E1421" s="37" t="str">
        <f t="shared" si="110"/>
        <v xml:space="preserve"> </v>
      </c>
      <c r="F1421">
        <v>0.03</v>
      </c>
      <c r="G1421" s="37" t="str">
        <f t="shared" si="111"/>
        <v>Normal Discount</v>
      </c>
      <c r="H1421" s="37" t="str">
        <f t="shared" si="112"/>
        <v>Low</v>
      </c>
      <c r="I1421">
        <v>8</v>
      </c>
      <c r="J1421" t="str" cm="1">
        <f t="array" ref="J1421">_xlfn.IFS(I1421&lt;=3,"small",I1421&lt;=6,"Medium",I1421&lt;=9,"Large")</f>
        <v>Large</v>
      </c>
      <c r="K1421" s="36">
        <v>45656</v>
      </c>
      <c r="L1421" s="36">
        <v>45663</v>
      </c>
      <c r="M1421" t="s">
        <v>612</v>
      </c>
      <c r="N1421" t="s">
        <v>599</v>
      </c>
      <c r="O1421" s="37" t="str">
        <f t="shared" si="113"/>
        <v>Digital Payment</v>
      </c>
      <c r="P1421">
        <v>352.36</v>
      </c>
      <c r="Q1421" s="37" t="str">
        <f>IF(P1421&gt;500,"High","low")</f>
        <v>low</v>
      </c>
      <c r="R1421" s="37" t="str">
        <f t="shared" si="114"/>
        <v>AVERAGE</v>
      </c>
      <c r="S1421" t="s">
        <v>609</v>
      </c>
    </row>
    <row r="1422" spans="1:19" x14ac:dyDescent="0.2">
      <c r="A1422" t="s">
        <v>2033</v>
      </c>
      <c r="B1422" t="s">
        <v>75</v>
      </c>
      <c r="C1422" t="s">
        <v>597</v>
      </c>
      <c r="D1422">
        <v>711.73</v>
      </c>
      <c r="E1422" s="37" t="str">
        <f t="shared" si="110"/>
        <v xml:space="preserve"> </v>
      </c>
      <c r="F1422">
        <v>0.16</v>
      </c>
      <c r="G1422" s="37" t="str">
        <f t="shared" si="111"/>
        <v>Normal Discount</v>
      </c>
      <c r="H1422" s="37" t="str">
        <f t="shared" si="112"/>
        <v>Low</v>
      </c>
      <c r="I1422">
        <v>1</v>
      </c>
      <c r="J1422" t="str" cm="1">
        <f t="array" ref="J1422">_xlfn.IFS(I1422&lt;=3,"small",I1422&lt;=6,"Medium",I1422&lt;=9,"Large")</f>
        <v>small</v>
      </c>
      <c r="K1422" s="36">
        <v>45269</v>
      </c>
      <c r="L1422" s="36">
        <v>45276</v>
      </c>
      <c r="M1422" t="s">
        <v>612</v>
      </c>
      <c r="N1422" t="s">
        <v>608</v>
      </c>
      <c r="O1422" s="37" t="str">
        <f t="shared" si="113"/>
        <v>Cash Payment</v>
      </c>
      <c r="P1422">
        <v>83.81</v>
      </c>
      <c r="Q1422" s="37" t="str">
        <f>IF(P1422&gt;500,"High","low")</f>
        <v>low</v>
      </c>
      <c r="R1422" s="37" t="str">
        <f t="shared" si="114"/>
        <v>AVERAGE</v>
      </c>
      <c r="S1422" t="s">
        <v>628</v>
      </c>
    </row>
    <row r="1423" spans="1:19" x14ac:dyDescent="0.2">
      <c r="A1423" t="s">
        <v>2034</v>
      </c>
      <c r="B1423" t="s">
        <v>75</v>
      </c>
      <c r="C1423" t="s">
        <v>617</v>
      </c>
      <c r="D1423">
        <v>3595.57</v>
      </c>
      <c r="E1423" s="37" t="str">
        <f t="shared" si="110"/>
        <v xml:space="preserve"> </v>
      </c>
      <c r="F1423">
        <v>0.2</v>
      </c>
      <c r="G1423" s="37" t="str">
        <f t="shared" si="111"/>
        <v>Normal Discount</v>
      </c>
      <c r="H1423" s="37" t="str">
        <f t="shared" si="112"/>
        <v>Medium</v>
      </c>
      <c r="I1423">
        <v>1</v>
      </c>
      <c r="J1423" t="str" cm="1">
        <f t="array" ref="J1423">_xlfn.IFS(I1423&lt;=3,"small",I1423&lt;=6,"Medium",I1423&lt;=9,"Large")</f>
        <v>small</v>
      </c>
      <c r="K1423" s="36">
        <v>45414</v>
      </c>
      <c r="L1423" s="36">
        <v>45417</v>
      </c>
      <c r="M1423" t="s">
        <v>598</v>
      </c>
      <c r="N1423" t="s">
        <v>604</v>
      </c>
      <c r="O1423" s="37" t="str">
        <f t="shared" si="113"/>
        <v>Digital Payment</v>
      </c>
      <c r="P1423">
        <v>519.49</v>
      </c>
      <c r="Q1423" s="37" t="str">
        <f>IF(P1423&gt;500,"High","low")</f>
        <v>High</v>
      </c>
      <c r="R1423" s="37" t="str">
        <f t="shared" si="114"/>
        <v>Good</v>
      </c>
      <c r="S1423" t="s">
        <v>600</v>
      </c>
    </row>
    <row r="1424" spans="1:19" x14ac:dyDescent="0.2">
      <c r="A1424" t="s">
        <v>2035</v>
      </c>
      <c r="B1424" t="s">
        <v>90</v>
      </c>
      <c r="C1424" t="s">
        <v>602</v>
      </c>
      <c r="D1424">
        <v>1871.6</v>
      </c>
      <c r="E1424" s="37" t="str">
        <f t="shared" si="110"/>
        <v xml:space="preserve"> </v>
      </c>
      <c r="F1424">
        <v>0.35</v>
      </c>
      <c r="G1424" s="37" t="str">
        <f t="shared" si="111"/>
        <v>Heavy Discount</v>
      </c>
      <c r="H1424" s="37" t="str">
        <f t="shared" si="112"/>
        <v>Medium</v>
      </c>
      <c r="I1424">
        <v>1</v>
      </c>
      <c r="J1424" t="str" cm="1">
        <f t="array" ref="J1424">_xlfn.IFS(I1424&lt;=3,"small",I1424&lt;=6,"Medium",I1424&lt;=9,"Large")</f>
        <v>small</v>
      </c>
      <c r="K1424" s="36">
        <v>45273</v>
      </c>
      <c r="L1424" s="36">
        <v>45276</v>
      </c>
      <c r="M1424" t="s">
        <v>598</v>
      </c>
      <c r="N1424" t="s">
        <v>599</v>
      </c>
      <c r="O1424" s="37" t="str">
        <f t="shared" si="113"/>
        <v>Digital Payment</v>
      </c>
      <c r="P1424">
        <v>197.54</v>
      </c>
      <c r="Q1424" s="37" t="str">
        <f>IF(P1424&gt;500,"High","low")</f>
        <v>low</v>
      </c>
      <c r="R1424" s="37" t="str">
        <f t="shared" si="114"/>
        <v>AVERAGE</v>
      </c>
      <c r="S1424" t="s">
        <v>600</v>
      </c>
    </row>
    <row r="1425" spans="1:19" x14ac:dyDescent="0.2">
      <c r="A1425" t="s">
        <v>2036</v>
      </c>
      <c r="B1425" t="s">
        <v>90</v>
      </c>
      <c r="C1425" t="s">
        <v>597</v>
      </c>
      <c r="D1425">
        <v>1179.3</v>
      </c>
      <c r="E1425" s="37" t="str">
        <f t="shared" si="110"/>
        <v xml:space="preserve"> </v>
      </c>
      <c r="F1425">
        <v>0.02</v>
      </c>
      <c r="G1425" s="37" t="str">
        <f t="shared" si="111"/>
        <v>Normal Discount</v>
      </c>
      <c r="H1425" s="37" t="str">
        <f t="shared" si="112"/>
        <v>Low</v>
      </c>
      <c r="I1425">
        <v>9</v>
      </c>
      <c r="J1425" t="str" cm="1">
        <f t="array" ref="J1425">_xlfn.IFS(I1425&lt;=3,"small",I1425&lt;=6,"Medium",I1425&lt;=9,"Large")</f>
        <v>Large</v>
      </c>
      <c r="K1425" s="36">
        <v>45249</v>
      </c>
      <c r="L1425" s="36">
        <v>45254</v>
      </c>
      <c r="M1425" t="s">
        <v>612</v>
      </c>
      <c r="N1425" t="s">
        <v>608</v>
      </c>
      <c r="O1425" s="37" t="str">
        <f t="shared" si="113"/>
        <v>Cash Payment</v>
      </c>
      <c r="P1425">
        <v>244.3</v>
      </c>
      <c r="Q1425" s="37" t="str">
        <f>IF(P1425&gt;500,"High","low")</f>
        <v>low</v>
      </c>
      <c r="R1425" s="37" t="str">
        <f t="shared" si="114"/>
        <v>AVERAGE</v>
      </c>
      <c r="S1425" t="s">
        <v>600</v>
      </c>
    </row>
    <row r="1426" spans="1:19" x14ac:dyDescent="0.2">
      <c r="A1426" t="s">
        <v>2037</v>
      </c>
      <c r="B1426" t="s">
        <v>67</v>
      </c>
      <c r="C1426" t="s">
        <v>617</v>
      </c>
      <c r="D1426">
        <v>2585.89</v>
      </c>
      <c r="E1426" s="37" t="str">
        <f t="shared" si="110"/>
        <v xml:space="preserve"> </v>
      </c>
      <c r="F1426">
        <v>0.44</v>
      </c>
      <c r="G1426" s="37" t="str">
        <f t="shared" si="111"/>
        <v>Heavy Discount</v>
      </c>
      <c r="H1426" s="37" t="str">
        <f t="shared" si="112"/>
        <v>High</v>
      </c>
      <c r="I1426">
        <v>5</v>
      </c>
      <c r="J1426" t="str" cm="1">
        <f t="array" ref="J1426">_xlfn.IFS(I1426&lt;=3,"small",I1426&lt;=6,"Medium",I1426&lt;=9,"Large")</f>
        <v>Medium</v>
      </c>
      <c r="K1426" s="36">
        <v>45420</v>
      </c>
      <c r="L1426" s="36">
        <v>45423</v>
      </c>
      <c r="M1426" t="s">
        <v>598</v>
      </c>
      <c r="N1426" t="s">
        <v>604</v>
      </c>
      <c r="O1426" s="37" t="str">
        <f t="shared" si="113"/>
        <v>Digital Payment</v>
      </c>
      <c r="P1426">
        <v>420.25</v>
      </c>
      <c r="Q1426" s="37" t="str">
        <f>IF(P1426&gt;500,"High","low")</f>
        <v>low</v>
      </c>
      <c r="R1426" s="37" t="str">
        <f t="shared" si="114"/>
        <v>AVERAGE</v>
      </c>
      <c r="S1426" t="s">
        <v>600</v>
      </c>
    </row>
    <row r="1427" spans="1:19" x14ac:dyDescent="0.2">
      <c r="A1427" t="s">
        <v>2038</v>
      </c>
      <c r="B1427" t="s">
        <v>83</v>
      </c>
      <c r="C1427" t="s">
        <v>597</v>
      </c>
      <c r="D1427">
        <v>434.42</v>
      </c>
      <c r="E1427" s="37" t="str">
        <f t="shared" si="110"/>
        <v xml:space="preserve"> </v>
      </c>
      <c r="F1427">
        <v>0.33</v>
      </c>
      <c r="G1427" s="37" t="str">
        <f t="shared" si="111"/>
        <v>Heavy Discount</v>
      </c>
      <c r="H1427" s="37" t="str">
        <f t="shared" si="112"/>
        <v>Medium</v>
      </c>
      <c r="I1427">
        <v>2</v>
      </c>
      <c r="J1427" t="str" cm="1">
        <f t="array" ref="J1427">_xlfn.IFS(I1427&lt;=3,"small",I1427&lt;=6,"Medium",I1427&lt;=9,"Large")</f>
        <v>small</v>
      </c>
      <c r="K1427" s="36">
        <v>45413</v>
      </c>
      <c r="L1427" s="36">
        <v>45418</v>
      </c>
      <c r="M1427" t="s">
        <v>612</v>
      </c>
      <c r="N1427" t="s">
        <v>604</v>
      </c>
      <c r="O1427" s="37" t="str">
        <f t="shared" si="113"/>
        <v>Digital Payment</v>
      </c>
      <c r="P1427">
        <v>61.89</v>
      </c>
      <c r="Q1427" s="37" t="str">
        <f>IF(P1427&gt;500,"High","low")</f>
        <v>low</v>
      </c>
      <c r="R1427" s="37" t="str">
        <f t="shared" si="114"/>
        <v>AVERAGE</v>
      </c>
      <c r="S1427" t="s">
        <v>600</v>
      </c>
    </row>
    <row r="1428" spans="1:19" x14ac:dyDescent="0.2">
      <c r="A1428" t="s">
        <v>2039</v>
      </c>
      <c r="B1428" t="s">
        <v>90</v>
      </c>
      <c r="C1428" t="s">
        <v>602</v>
      </c>
      <c r="D1428">
        <v>4624.6899999999996</v>
      </c>
      <c r="E1428" s="37" t="str">
        <f t="shared" si="110"/>
        <v xml:space="preserve"> </v>
      </c>
      <c r="F1428">
        <v>0.14000000000000001</v>
      </c>
      <c r="G1428" s="37" t="str">
        <f t="shared" si="111"/>
        <v>Normal Discount</v>
      </c>
      <c r="H1428" s="37" t="str">
        <f t="shared" si="112"/>
        <v>Low</v>
      </c>
      <c r="I1428">
        <v>1</v>
      </c>
      <c r="J1428" t="str" cm="1">
        <f t="array" ref="J1428">_xlfn.IFS(I1428&lt;=3,"small",I1428&lt;=6,"Medium",I1428&lt;=9,"Large")</f>
        <v>small</v>
      </c>
      <c r="K1428" s="36">
        <v>45003</v>
      </c>
      <c r="L1428" s="36">
        <v>45009</v>
      </c>
      <c r="M1428" t="s">
        <v>598</v>
      </c>
      <c r="N1428" t="s">
        <v>599</v>
      </c>
      <c r="O1428" s="37" t="str">
        <f t="shared" si="113"/>
        <v>Digital Payment</v>
      </c>
      <c r="P1428">
        <v>532.71</v>
      </c>
      <c r="Q1428" s="37" t="str">
        <f>IF(P1428&gt;500,"High","low")</f>
        <v>High</v>
      </c>
      <c r="R1428" s="37" t="str">
        <f t="shared" si="114"/>
        <v>Good</v>
      </c>
      <c r="S1428" t="s">
        <v>615</v>
      </c>
    </row>
    <row r="1429" spans="1:19" x14ac:dyDescent="0.2">
      <c r="A1429" t="s">
        <v>2040</v>
      </c>
      <c r="B1429" t="s">
        <v>90</v>
      </c>
      <c r="C1429" t="s">
        <v>617</v>
      </c>
      <c r="D1429">
        <v>1542.89</v>
      </c>
      <c r="E1429" s="37" t="str">
        <f t="shared" si="110"/>
        <v xml:space="preserve"> </v>
      </c>
      <c r="F1429">
        <v>0.33</v>
      </c>
      <c r="G1429" s="37" t="str">
        <f t="shared" si="111"/>
        <v>Heavy Discount</v>
      </c>
      <c r="H1429" s="37" t="str">
        <f t="shared" si="112"/>
        <v>Medium</v>
      </c>
      <c r="I1429">
        <v>4</v>
      </c>
      <c r="J1429" t="str" cm="1">
        <f t="array" ref="J1429">_xlfn.IFS(I1429&lt;=3,"small",I1429&lt;=6,"Medium",I1429&lt;=9,"Large")</f>
        <v>Medium</v>
      </c>
      <c r="K1429" s="36">
        <v>44929</v>
      </c>
      <c r="L1429" s="36">
        <v>44935</v>
      </c>
      <c r="M1429" t="s">
        <v>612</v>
      </c>
      <c r="N1429" t="s">
        <v>608</v>
      </c>
      <c r="O1429" s="37" t="str">
        <f t="shared" si="113"/>
        <v>Cash Payment</v>
      </c>
      <c r="P1429">
        <v>445.36</v>
      </c>
      <c r="Q1429" s="37" t="str">
        <f>IF(P1429&gt;500,"High","low")</f>
        <v>low</v>
      </c>
      <c r="R1429" s="37" t="str">
        <f t="shared" si="114"/>
        <v>AVERAGE</v>
      </c>
      <c r="S1429" t="s">
        <v>605</v>
      </c>
    </row>
    <row r="1430" spans="1:19" x14ac:dyDescent="0.2">
      <c r="A1430" t="s">
        <v>2041</v>
      </c>
      <c r="B1430" t="s">
        <v>83</v>
      </c>
      <c r="C1430" t="s">
        <v>614</v>
      </c>
      <c r="D1430">
        <v>4443.68</v>
      </c>
      <c r="E1430" s="37" t="str">
        <f t="shared" si="110"/>
        <v xml:space="preserve"> </v>
      </c>
      <c r="F1430">
        <v>0.27</v>
      </c>
      <c r="G1430" s="37" t="str">
        <f t="shared" si="111"/>
        <v>Normal Discount</v>
      </c>
      <c r="H1430" s="37" t="str">
        <f t="shared" si="112"/>
        <v>Medium</v>
      </c>
      <c r="I1430">
        <v>2</v>
      </c>
      <c r="J1430" t="str" cm="1">
        <f t="array" ref="J1430">_xlfn.IFS(I1430&lt;=3,"small",I1430&lt;=6,"Medium",I1430&lt;=9,"Large")</f>
        <v>small</v>
      </c>
      <c r="K1430" s="36">
        <v>45464</v>
      </c>
      <c r="L1430" s="36">
        <v>45471</v>
      </c>
      <c r="M1430" t="s">
        <v>603</v>
      </c>
      <c r="N1430" t="s">
        <v>608</v>
      </c>
      <c r="O1430" s="37" t="str">
        <f t="shared" si="113"/>
        <v>Cash Payment</v>
      </c>
      <c r="P1430">
        <v>317.08999999999997</v>
      </c>
      <c r="Q1430" s="37" t="str">
        <f>IF(P1430&gt;500,"High","low")</f>
        <v>low</v>
      </c>
      <c r="R1430" s="37" t="str">
        <f t="shared" si="114"/>
        <v>AVERAGE</v>
      </c>
      <c r="S1430" t="s">
        <v>628</v>
      </c>
    </row>
    <row r="1431" spans="1:19" x14ac:dyDescent="0.2">
      <c r="A1431" t="s">
        <v>2042</v>
      </c>
      <c r="B1431" t="s">
        <v>90</v>
      </c>
      <c r="C1431" t="s">
        <v>602</v>
      </c>
      <c r="D1431">
        <v>2538.34</v>
      </c>
      <c r="E1431" s="37" t="str">
        <f t="shared" si="110"/>
        <v xml:space="preserve"> </v>
      </c>
      <c r="F1431">
        <v>0.17</v>
      </c>
      <c r="G1431" s="37" t="str">
        <f t="shared" si="111"/>
        <v>Normal Discount</v>
      </c>
      <c r="H1431" s="37" t="str">
        <f t="shared" si="112"/>
        <v>Low</v>
      </c>
      <c r="I1431">
        <v>3</v>
      </c>
      <c r="J1431" t="str" cm="1">
        <f t="array" ref="J1431">_xlfn.IFS(I1431&lt;=3,"small",I1431&lt;=6,"Medium",I1431&lt;=9,"Large")</f>
        <v>small</v>
      </c>
      <c r="K1431" s="36">
        <v>45379</v>
      </c>
      <c r="L1431" s="36">
        <v>45384</v>
      </c>
      <c r="M1431" t="s">
        <v>598</v>
      </c>
      <c r="N1431" t="s">
        <v>608</v>
      </c>
      <c r="O1431" s="37" t="str">
        <f t="shared" si="113"/>
        <v>Cash Payment</v>
      </c>
      <c r="P1431">
        <v>301.02999999999997</v>
      </c>
      <c r="Q1431" s="37" t="str">
        <f>IF(P1431&gt;500,"High","low")</f>
        <v>low</v>
      </c>
      <c r="R1431" s="37" t="str">
        <f t="shared" si="114"/>
        <v>AVERAGE</v>
      </c>
      <c r="S1431" t="s">
        <v>628</v>
      </c>
    </row>
    <row r="1432" spans="1:19" x14ac:dyDescent="0.2">
      <c r="A1432" t="s">
        <v>2043</v>
      </c>
      <c r="B1432" t="s">
        <v>75</v>
      </c>
      <c r="C1432" t="s">
        <v>607</v>
      </c>
      <c r="D1432">
        <v>4265.74</v>
      </c>
      <c r="E1432" s="37" t="str">
        <f t="shared" si="110"/>
        <v xml:space="preserve"> </v>
      </c>
      <c r="F1432">
        <v>0.01</v>
      </c>
      <c r="G1432" s="37" t="str">
        <f t="shared" si="111"/>
        <v>Normal Discount</v>
      </c>
      <c r="H1432" s="37" t="str">
        <f t="shared" si="112"/>
        <v>Low</v>
      </c>
      <c r="I1432">
        <v>2</v>
      </c>
      <c r="J1432" t="str" cm="1">
        <f t="array" ref="J1432">_xlfn.IFS(I1432&lt;=3,"small",I1432&lt;=6,"Medium",I1432&lt;=9,"Large")</f>
        <v>small</v>
      </c>
      <c r="K1432" s="36">
        <v>44929</v>
      </c>
      <c r="L1432" s="36">
        <v>44935</v>
      </c>
      <c r="M1432" t="s">
        <v>603</v>
      </c>
      <c r="N1432" t="s">
        <v>608</v>
      </c>
      <c r="O1432" s="37" t="str">
        <f t="shared" si="113"/>
        <v>Cash Payment</v>
      </c>
      <c r="P1432">
        <v>582.12</v>
      </c>
      <c r="Q1432" s="37" t="str">
        <f>IF(P1432&gt;500,"High","low")</f>
        <v>High</v>
      </c>
      <c r="R1432" s="37" t="str">
        <f t="shared" si="114"/>
        <v>Good</v>
      </c>
      <c r="S1432" t="s">
        <v>620</v>
      </c>
    </row>
    <row r="1433" spans="1:19" x14ac:dyDescent="0.2">
      <c r="A1433" t="s">
        <v>2044</v>
      </c>
      <c r="B1433" t="s">
        <v>75</v>
      </c>
      <c r="C1433" t="s">
        <v>607</v>
      </c>
      <c r="D1433">
        <v>1310.6199999999999</v>
      </c>
      <c r="E1433" s="37" t="str">
        <f t="shared" si="110"/>
        <v xml:space="preserve"> </v>
      </c>
      <c r="F1433">
        <v>0.28000000000000003</v>
      </c>
      <c r="G1433" s="37" t="str">
        <f t="shared" si="111"/>
        <v>Normal Discount</v>
      </c>
      <c r="H1433" s="37" t="str">
        <f t="shared" si="112"/>
        <v>Medium</v>
      </c>
      <c r="I1433">
        <v>8</v>
      </c>
      <c r="J1433" t="str" cm="1">
        <f t="array" ref="J1433">_xlfn.IFS(I1433&lt;=3,"small",I1433&lt;=6,"Medium",I1433&lt;=9,"Large")</f>
        <v>Large</v>
      </c>
      <c r="K1433" s="36">
        <v>45165</v>
      </c>
      <c r="L1433" s="36">
        <v>45170</v>
      </c>
      <c r="M1433" t="s">
        <v>612</v>
      </c>
      <c r="N1433" t="s">
        <v>604</v>
      </c>
      <c r="O1433" s="37" t="str">
        <f t="shared" si="113"/>
        <v>Digital Payment</v>
      </c>
      <c r="P1433">
        <v>333.44</v>
      </c>
      <c r="Q1433" s="37" t="str">
        <f>IF(P1433&gt;500,"High","low")</f>
        <v>low</v>
      </c>
      <c r="R1433" s="37" t="str">
        <f t="shared" si="114"/>
        <v>AVERAGE</v>
      </c>
      <c r="S1433" t="s">
        <v>609</v>
      </c>
    </row>
    <row r="1434" spans="1:19" x14ac:dyDescent="0.2">
      <c r="A1434" t="s">
        <v>2045</v>
      </c>
      <c r="B1434" t="s">
        <v>83</v>
      </c>
      <c r="C1434" t="s">
        <v>602</v>
      </c>
      <c r="D1434">
        <v>958.83</v>
      </c>
      <c r="E1434" s="37" t="str">
        <f t="shared" si="110"/>
        <v xml:space="preserve"> </v>
      </c>
      <c r="F1434">
        <v>0.04</v>
      </c>
      <c r="G1434" s="37" t="str">
        <f t="shared" si="111"/>
        <v>Normal Discount</v>
      </c>
      <c r="H1434" s="37" t="str">
        <f t="shared" si="112"/>
        <v>Low</v>
      </c>
      <c r="I1434">
        <v>3</v>
      </c>
      <c r="J1434" t="str" cm="1">
        <f t="array" ref="J1434">_xlfn.IFS(I1434&lt;=3,"small",I1434&lt;=6,"Medium",I1434&lt;=9,"Large")</f>
        <v>small</v>
      </c>
      <c r="K1434" s="36">
        <v>45170</v>
      </c>
      <c r="L1434" s="36">
        <v>45172</v>
      </c>
      <c r="M1434" t="s">
        <v>603</v>
      </c>
      <c r="N1434" t="s">
        <v>599</v>
      </c>
      <c r="O1434" s="37" t="str">
        <f t="shared" si="113"/>
        <v>Digital Payment</v>
      </c>
      <c r="P1434">
        <v>276.08</v>
      </c>
      <c r="Q1434" s="37" t="str">
        <f>IF(P1434&gt;500,"High","low")</f>
        <v>low</v>
      </c>
      <c r="R1434" s="37" t="str">
        <f t="shared" si="114"/>
        <v>AVERAGE</v>
      </c>
      <c r="S1434" t="s">
        <v>600</v>
      </c>
    </row>
    <row r="1435" spans="1:19" x14ac:dyDescent="0.2">
      <c r="A1435" t="s">
        <v>2046</v>
      </c>
      <c r="B1435" t="s">
        <v>67</v>
      </c>
      <c r="C1435" t="s">
        <v>607</v>
      </c>
      <c r="D1435">
        <v>4262.12</v>
      </c>
      <c r="E1435" s="37" t="str">
        <f t="shared" si="110"/>
        <v xml:space="preserve"> </v>
      </c>
      <c r="F1435">
        <v>0.41</v>
      </c>
      <c r="G1435" s="37" t="str">
        <f t="shared" si="111"/>
        <v>Heavy Discount</v>
      </c>
      <c r="H1435" s="37" t="str">
        <f t="shared" si="112"/>
        <v>High</v>
      </c>
      <c r="I1435">
        <v>2</v>
      </c>
      <c r="J1435" t="str" cm="1">
        <f t="array" ref="J1435">_xlfn.IFS(I1435&lt;=3,"small",I1435&lt;=6,"Medium",I1435&lt;=9,"Large")</f>
        <v>small</v>
      </c>
      <c r="K1435" s="36">
        <v>45353</v>
      </c>
      <c r="L1435" s="36">
        <v>45360</v>
      </c>
      <c r="M1435" t="s">
        <v>598</v>
      </c>
      <c r="N1435" t="s">
        <v>608</v>
      </c>
      <c r="O1435" s="37" t="str">
        <f t="shared" si="113"/>
        <v>Cash Payment</v>
      </c>
      <c r="P1435">
        <v>221.32</v>
      </c>
      <c r="Q1435" s="37" t="str">
        <f>IF(P1435&gt;500,"High","low")</f>
        <v>low</v>
      </c>
      <c r="R1435" s="37" t="str">
        <f t="shared" si="114"/>
        <v>AVERAGE</v>
      </c>
      <c r="S1435" t="s">
        <v>600</v>
      </c>
    </row>
    <row r="1436" spans="1:19" x14ac:dyDescent="0.2">
      <c r="A1436" t="s">
        <v>2047</v>
      </c>
      <c r="B1436" t="s">
        <v>67</v>
      </c>
      <c r="C1436" t="s">
        <v>602</v>
      </c>
      <c r="D1436">
        <v>1143.33</v>
      </c>
      <c r="E1436" s="37" t="str">
        <f t="shared" si="110"/>
        <v xml:space="preserve"> </v>
      </c>
      <c r="F1436">
        <v>0.04</v>
      </c>
      <c r="G1436" s="37" t="str">
        <f t="shared" si="111"/>
        <v>Normal Discount</v>
      </c>
      <c r="H1436" s="37" t="str">
        <f t="shared" si="112"/>
        <v>Low</v>
      </c>
      <c r="I1436">
        <v>6</v>
      </c>
      <c r="J1436" t="str" cm="1">
        <f t="array" ref="J1436">_xlfn.IFS(I1436&lt;=3,"small",I1436&lt;=6,"Medium",I1436&lt;=9,"Large")</f>
        <v>Medium</v>
      </c>
      <c r="K1436" s="36">
        <v>45468</v>
      </c>
      <c r="L1436" s="36">
        <v>45470</v>
      </c>
      <c r="M1436" t="s">
        <v>603</v>
      </c>
      <c r="N1436" t="s">
        <v>604</v>
      </c>
      <c r="O1436" s="37" t="str">
        <f t="shared" si="113"/>
        <v>Digital Payment</v>
      </c>
      <c r="P1436">
        <v>331.53</v>
      </c>
      <c r="Q1436" s="37" t="str">
        <f>IF(P1436&gt;500,"High","low")</f>
        <v>low</v>
      </c>
      <c r="R1436" s="37" t="str">
        <f t="shared" si="114"/>
        <v>AVERAGE</v>
      </c>
      <c r="S1436" t="s">
        <v>628</v>
      </c>
    </row>
    <row r="1437" spans="1:19" x14ac:dyDescent="0.2">
      <c r="A1437" t="s">
        <v>2048</v>
      </c>
      <c r="B1437" t="s">
        <v>83</v>
      </c>
      <c r="C1437" t="s">
        <v>614</v>
      </c>
      <c r="D1437">
        <v>3756.36</v>
      </c>
      <c r="E1437" s="37" t="str">
        <f t="shared" si="110"/>
        <v xml:space="preserve"> </v>
      </c>
      <c r="F1437">
        <v>0.21</v>
      </c>
      <c r="G1437" s="37" t="str">
        <f t="shared" si="111"/>
        <v>Normal Discount</v>
      </c>
      <c r="H1437" s="37" t="str">
        <f t="shared" si="112"/>
        <v>Medium</v>
      </c>
      <c r="I1437">
        <v>7</v>
      </c>
      <c r="J1437" t="str" cm="1">
        <f t="array" ref="J1437">_xlfn.IFS(I1437&lt;=3,"small",I1437&lt;=6,"Medium",I1437&lt;=9,"Large")</f>
        <v>Large</v>
      </c>
      <c r="K1437" s="36">
        <v>45269</v>
      </c>
      <c r="L1437" s="36">
        <v>45276</v>
      </c>
      <c r="M1437" t="s">
        <v>612</v>
      </c>
      <c r="N1437" t="s">
        <v>608</v>
      </c>
      <c r="O1437" s="37" t="str">
        <f t="shared" si="113"/>
        <v>Cash Payment</v>
      </c>
      <c r="P1437">
        <v>1091.22</v>
      </c>
      <c r="Q1437" s="37" t="str">
        <f>IF(P1437&gt;500,"High","low")</f>
        <v>High</v>
      </c>
      <c r="R1437" s="37" t="str">
        <f t="shared" si="114"/>
        <v>Excellent</v>
      </c>
      <c r="S1437" t="s">
        <v>628</v>
      </c>
    </row>
    <row r="1438" spans="1:19" x14ac:dyDescent="0.2">
      <c r="A1438" t="s">
        <v>2049</v>
      </c>
      <c r="B1438" t="s">
        <v>83</v>
      </c>
      <c r="C1438" t="s">
        <v>602</v>
      </c>
      <c r="D1438">
        <v>1788.46</v>
      </c>
      <c r="E1438" s="37" t="str">
        <f t="shared" si="110"/>
        <v xml:space="preserve"> </v>
      </c>
      <c r="F1438">
        <v>0.22</v>
      </c>
      <c r="G1438" s="37" t="str">
        <f t="shared" si="111"/>
        <v>Normal Discount</v>
      </c>
      <c r="H1438" s="37" t="str">
        <f t="shared" si="112"/>
        <v>Medium</v>
      </c>
      <c r="I1438">
        <v>9</v>
      </c>
      <c r="J1438" t="str" cm="1">
        <f t="array" ref="J1438">_xlfn.IFS(I1438&lt;=3,"small",I1438&lt;=6,"Medium",I1438&lt;=9,"Large")</f>
        <v>Large</v>
      </c>
      <c r="K1438" s="36">
        <v>45328</v>
      </c>
      <c r="L1438" s="36">
        <v>45331</v>
      </c>
      <c r="M1438" t="s">
        <v>603</v>
      </c>
      <c r="N1438" t="s">
        <v>604</v>
      </c>
      <c r="O1438" s="37" t="str">
        <f t="shared" si="113"/>
        <v>Digital Payment</v>
      </c>
      <c r="P1438">
        <v>496.9</v>
      </c>
      <c r="Q1438" s="37" t="str">
        <f>IF(P1438&gt;500,"High","low")</f>
        <v>low</v>
      </c>
      <c r="R1438" s="37" t="str">
        <f t="shared" si="114"/>
        <v>AVERAGE</v>
      </c>
      <c r="S1438" t="s">
        <v>609</v>
      </c>
    </row>
    <row r="1439" spans="1:19" x14ac:dyDescent="0.2">
      <c r="A1439" t="s">
        <v>2050</v>
      </c>
      <c r="B1439" t="s">
        <v>75</v>
      </c>
      <c r="C1439" t="s">
        <v>617</v>
      </c>
      <c r="D1439">
        <v>3766.15</v>
      </c>
      <c r="E1439" s="37" t="str">
        <f t="shared" si="110"/>
        <v xml:space="preserve"> </v>
      </c>
      <c r="F1439">
        <v>0.28000000000000003</v>
      </c>
      <c r="G1439" s="37" t="str">
        <f t="shared" si="111"/>
        <v>Normal Discount</v>
      </c>
      <c r="H1439" s="37" t="str">
        <f t="shared" si="112"/>
        <v>Medium</v>
      </c>
      <c r="I1439">
        <v>4</v>
      </c>
      <c r="J1439" t="str" cm="1">
        <f t="array" ref="J1439">_xlfn.IFS(I1439&lt;=3,"small",I1439&lt;=6,"Medium",I1439&lt;=9,"Large")</f>
        <v>Medium</v>
      </c>
      <c r="K1439" s="36">
        <v>45443</v>
      </c>
      <c r="L1439" s="36">
        <v>45445</v>
      </c>
      <c r="M1439" t="s">
        <v>612</v>
      </c>
      <c r="N1439" t="s">
        <v>608</v>
      </c>
      <c r="O1439" s="37" t="str">
        <f t="shared" si="113"/>
        <v>Cash Payment</v>
      </c>
      <c r="P1439">
        <v>1054.2</v>
      </c>
      <c r="Q1439" s="37" t="str">
        <f>IF(P1439&gt;500,"High","low")</f>
        <v>High</v>
      </c>
      <c r="R1439" s="37" t="str">
        <f t="shared" si="114"/>
        <v>Excellent</v>
      </c>
      <c r="S1439" t="s">
        <v>605</v>
      </c>
    </row>
    <row r="1440" spans="1:19" x14ac:dyDescent="0.2">
      <c r="A1440" t="s">
        <v>2051</v>
      </c>
      <c r="B1440" t="s">
        <v>67</v>
      </c>
      <c r="C1440" t="s">
        <v>617</v>
      </c>
      <c r="D1440">
        <v>4547.47</v>
      </c>
      <c r="E1440" s="37" t="str">
        <f t="shared" si="110"/>
        <v>Excellent Order</v>
      </c>
      <c r="F1440">
        <v>0.02</v>
      </c>
      <c r="G1440" s="37" t="str">
        <f t="shared" si="111"/>
        <v>Normal Discount</v>
      </c>
      <c r="H1440" s="37" t="str">
        <f t="shared" si="112"/>
        <v>Low</v>
      </c>
      <c r="I1440">
        <v>5</v>
      </c>
      <c r="J1440" t="str" cm="1">
        <f t="array" ref="J1440">_xlfn.IFS(I1440&lt;=3,"small",I1440&lt;=6,"Medium",I1440&lt;=9,"Large")</f>
        <v>Medium</v>
      </c>
      <c r="K1440" s="36">
        <v>45547</v>
      </c>
      <c r="L1440" s="36">
        <v>45554</v>
      </c>
      <c r="M1440" t="s">
        <v>612</v>
      </c>
      <c r="N1440" t="s">
        <v>604</v>
      </c>
      <c r="O1440" s="37" t="str">
        <f t="shared" si="113"/>
        <v>Digital Payment</v>
      </c>
      <c r="P1440">
        <v>1139.82</v>
      </c>
      <c r="Q1440" s="37" t="str">
        <f>IF(P1440&gt;500,"High","low")</f>
        <v>High</v>
      </c>
      <c r="R1440" s="37" t="str">
        <f t="shared" si="114"/>
        <v>Excellent</v>
      </c>
      <c r="S1440" t="s">
        <v>609</v>
      </c>
    </row>
    <row r="1441" spans="1:19" x14ac:dyDescent="0.2">
      <c r="A1441" t="s">
        <v>2052</v>
      </c>
      <c r="B1441" t="s">
        <v>90</v>
      </c>
      <c r="C1441" t="s">
        <v>597</v>
      </c>
      <c r="D1441">
        <v>4910.03</v>
      </c>
      <c r="E1441" s="37" t="str">
        <f t="shared" si="110"/>
        <v xml:space="preserve"> </v>
      </c>
      <c r="F1441">
        <v>0.1</v>
      </c>
      <c r="G1441" s="37" t="str">
        <f t="shared" si="111"/>
        <v>Normal Discount</v>
      </c>
      <c r="H1441" s="37" t="str">
        <f t="shared" si="112"/>
        <v>Low</v>
      </c>
      <c r="I1441">
        <v>6</v>
      </c>
      <c r="J1441" t="str" cm="1">
        <f t="array" ref="J1441">_xlfn.IFS(I1441&lt;=3,"small",I1441&lt;=6,"Medium",I1441&lt;=9,"Large")</f>
        <v>Medium</v>
      </c>
      <c r="K1441" s="36">
        <v>45183</v>
      </c>
      <c r="L1441" s="36">
        <v>45184</v>
      </c>
      <c r="M1441" t="s">
        <v>603</v>
      </c>
      <c r="N1441" t="s">
        <v>608</v>
      </c>
      <c r="O1441" s="37" t="str">
        <f t="shared" si="113"/>
        <v>Cash Payment</v>
      </c>
      <c r="P1441">
        <v>613.95000000000005</v>
      </c>
      <c r="Q1441" s="37" t="str">
        <f>IF(P1441&gt;500,"High","low")</f>
        <v>High</v>
      </c>
      <c r="R1441" s="37" t="str">
        <f t="shared" si="114"/>
        <v>Good</v>
      </c>
      <c r="S1441" t="s">
        <v>609</v>
      </c>
    </row>
    <row r="1442" spans="1:19" x14ac:dyDescent="0.2">
      <c r="A1442" t="s">
        <v>2053</v>
      </c>
      <c r="B1442" t="s">
        <v>75</v>
      </c>
      <c r="C1442" t="s">
        <v>607</v>
      </c>
      <c r="D1442">
        <v>1863.07</v>
      </c>
      <c r="E1442" s="37" t="str">
        <f t="shared" si="110"/>
        <v xml:space="preserve"> </v>
      </c>
      <c r="F1442">
        <v>0.1</v>
      </c>
      <c r="G1442" s="37" t="str">
        <f t="shared" si="111"/>
        <v>Normal Discount</v>
      </c>
      <c r="H1442" s="37" t="str">
        <f t="shared" si="112"/>
        <v>Low</v>
      </c>
      <c r="I1442">
        <v>3</v>
      </c>
      <c r="J1442" t="str" cm="1">
        <f t="array" ref="J1442">_xlfn.IFS(I1442&lt;=3,"small",I1442&lt;=6,"Medium",I1442&lt;=9,"Large")</f>
        <v>small</v>
      </c>
      <c r="K1442" s="36">
        <v>44990</v>
      </c>
      <c r="L1442" s="36">
        <v>44995</v>
      </c>
      <c r="M1442" t="s">
        <v>612</v>
      </c>
      <c r="N1442" t="s">
        <v>599</v>
      </c>
      <c r="O1442" s="37" t="str">
        <f t="shared" si="113"/>
        <v>Digital Payment</v>
      </c>
      <c r="P1442">
        <v>466.39</v>
      </c>
      <c r="Q1442" s="37" t="str">
        <f>IF(P1442&gt;500,"High","low")</f>
        <v>low</v>
      </c>
      <c r="R1442" s="37" t="str">
        <f t="shared" si="114"/>
        <v>AVERAGE</v>
      </c>
      <c r="S1442" t="s">
        <v>600</v>
      </c>
    </row>
    <row r="1443" spans="1:19" x14ac:dyDescent="0.2">
      <c r="A1443" t="s">
        <v>2054</v>
      </c>
      <c r="B1443" t="s">
        <v>83</v>
      </c>
      <c r="C1443" t="s">
        <v>607</v>
      </c>
      <c r="D1443">
        <v>1900.88</v>
      </c>
      <c r="E1443" s="37" t="str">
        <f t="shared" si="110"/>
        <v xml:space="preserve"> </v>
      </c>
      <c r="F1443">
        <v>0.3</v>
      </c>
      <c r="G1443" s="37" t="str">
        <f t="shared" si="111"/>
        <v>Normal Discount</v>
      </c>
      <c r="H1443" s="37" t="str">
        <f t="shared" si="112"/>
        <v>Medium</v>
      </c>
      <c r="I1443">
        <v>3</v>
      </c>
      <c r="J1443" t="str" cm="1">
        <f t="array" ref="J1443">_xlfn.IFS(I1443&lt;=3,"small",I1443&lt;=6,"Medium",I1443&lt;=9,"Large")</f>
        <v>small</v>
      </c>
      <c r="K1443" s="36">
        <v>45657</v>
      </c>
      <c r="L1443" s="36">
        <v>45658</v>
      </c>
      <c r="M1443" t="s">
        <v>612</v>
      </c>
      <c r="N1443" t="s">
        <v>599</v>
      </c>
      <c r="O1443" s="37" t="str">
        <f t="shared" si="113"/>
        <v>Digital Payment</v>
      </c>
      <c r="P1443">
        <v>327.47000000000003</v>
      </c>
      <c r="Q1443" s="37" t="str">
        <f>IF(P1443&gt;500,"High","low")</f>
        <v>low</v>
      </c>
      <c r="R1443" s="37" t="str">
        <f t="shared" si="114"/>
        <v>AVERAGE</v>
      </c>
      <c r="S1443" t="s">
        <v>628</v>
      </c>
    </row>
    <row r="1444" spans="1:19" x14ac:dyDescent="0.2">
      <c r="A1444" t="s">
        <v>2055</v>
      </c>
      <c r="B1444" t="s">
        <v>67</v>
      </c>
      <c r="C1444" t="s">
        <v>602</v>
      </c>
      <c r="D1444">
        <v>4908.8</v>
      </c>
      <c r="E1444" s="37" t="str">
        <f t="shared" si="110"/>
        <v>Excellent Order</v>
      </c>
      <c r="F1444">
        <v>0.13</v>
      </c>
      <c r="G1444" s="37" t="str">
        <f t="shared" si="111"/>
        <v>Normal Discount</v>
      </c>
      <c r="H1444" s="37" t="str">
        <f t="shared" si="112"/>
        <v>Low</v>
      </c>
      <c r="I1444">
        <v>3</v>
      </c>
      <c r="J1444" t="str" cm="1">
        <f t="array" ref="J1444">_xlfn.IFS(I1444&lt;=3,"small",I1444&lt;=6,"Medium",I1444&lt;=9,"Large")</f>
        <v>small</v>
      </c>
      <c r="K1444" s="36">
        <v>45068</v>
      </c>
      <c r="L1444" s="36">
        <v>45070</v>
      </c>
      <c r="M1444" t="s">
        <v>598</v>
      </c>
      <c r="N1444" t="s">
        <v>599</v>
      </c>
      <c r="O1444" s="37" t="str">
        <f t="shared" si="113"/>
        <v>Digital Payment</v>
      </c>
      <c r="P1444">
        <v>908.76</v>
      </c>
      <c r="Q1444" s="37" t="str">
        <f>IF(P1444&gt;500,"High","low")</f>
        <v>High</v>
      </c>
      <c r="R1444" s="37" t="str">
        <f t="shared" si="114"/>
        <v>Good</v>
      </c>
      <c r="S1444" t="s">
        <v>605</v>
      </c>
    </row>
    <row r="1445" spans="1:19" x14ac:dyDescent="0.2">
      <c r="A1445" t="s">
        <v>2056</v>
      </c>
      <c r="B1445" t="s">
        <v>90</v>
      </c>
      <c r="C1445" t="s">
        <v>607</v>
      </c>
      <c r="D1445">
        <v>4321.49</v>
      </c>
      <c r="E1445" s="37" t="str">
        <f t="shared" si="110"/>
        <v xml:space="preserve"> </v>
      </c>
      <c r="F1445">
        <v>7.0000000000000007E-2</v>
      </c>
      <c r="G1445" s="37" t="str">
        <f t="shared" si="111"/>
        <v>Normal Discount</v>
      </c>
      <c r="H1445" s="37" t="str">
        <f t="shared" si="112"/>
        <v>Low</v>
      </c>
      <c r="I1445">
        <v>5</v>
      </c>
      <c r="J1445" t="str" cm="1">
        <f t="array" ref="J1445">_xlfn.IFS(I1445&lt;=3,"small",I1445&lt;=6,"Medium",I1445&lt;=9,"Large")</f>
        <v>Medium</v>
      </c>
      <c r="K1445" s="36">
        <v>45223</v>
      </c>
      <c r="L1445" s="36">
        <v>45229</v>
      </c>
      <c r="M1445" t="s">
        <v>612</v>
      </c>
      <c r="N1445" t="s">
        <v>599</v>
      </c>
      <c r="O1445" s="37" t="str">
        <f t="shared" si="113"/>
        <v>Digital Payment</v>
      </c>
      <c r="P1445">
        <v>240.85</v>
      </c>
      <c r="Q1445" s="37" t="str">
        <f>IF(P1445&gt;500,"High","low")</f>
        <v>low</v>
      </c>
      <c r="R1445" s="37" t="str">
        <f t="shared" si="114"/>
        <v>AVERAGE</v>
      </c>
      <c r="S1445" t="s">
        <v>615</v>
      </c>
    </row>
    <row r="1446" spans="1:19" x14ac:dyDescent="0.2">
      <c r="A1446" t="s">
        <v>2057</v>
      </c>
      <c r="B1446" t="s">
        <v>90</v>
      </c>
      <c r="C1446" t="s">
        <v>617</v>
      </c>
      <c r="D1446">
        <v>320.95</v>
      </c>
      <c r="E1446" s="37" t="str">
        <f t="shared" si="110"/>
        <v xml:space="preserve"> </v>
      </c>
      <c r="F1446">
        <v>0.01</v>
      </c>
      <c r="G1446" s="37" t="str">
        <f t="shared" si="111"/>
        <v>Normal Discount</v>
      </c>
      <c r="H1446" s="37" t="str">
        <f t="shared" si="112"/>
        <v>Low</v>
      </c>
      <c r="I1446">
        <v>6</v>
      </c>
      <c r="J1446" t="str" cm="1">
        <f t="array" ref="J1446">_xlfn.IFS(I1446&lt;=3,"small",I1446&lt;=6,"Medium",I1446&lt;=9,"Large")</f>
        <v>Medium</v>
      </c>
      <c r="K1446" s="36">
        <v>44999</v>
      </c>
      <c r="L1446" s="36">
        <v>45003</v>
      </c>
      <c r="M1446" t="s">
        <v>603</v>
      </c>
      <c r="N1446" t="s">
        <v>604</v>
      </c>
      <c r="O1446" s="37" t="str">
        <f t="shared" si="113"/>
        <v>Digital Payment</v>
      </c>
      <c r="P1446">
        <v>54.17</v>
      </c>
      <c r="Q1446" s="37" t="str">
        <f>IF(P1446&gt;500,"High","low")</f>
        <v>low</v>
      </c>
      <c r="R1446" s="37" t="str">
        <f t="shared" si="114"/>
        <v>AVERAGE</v>
      </c>
      <c r="S1446" t="s">
        <v>605</v>
      </c>
    </row>
    <row r="1447" spans="1:19" x14ac:dyDescent="0.2">
      <c r="A1447" t="s">
        <v>2058</v>
      </c>
      <c r="B1447" t="s">
        <v>75</v>
      </c>
      <c r="C1447" t="s">
        <v>614</v>
      </c>
      <c r="D1447">
        <v>2909.9</v>
      </c>
      <c r="E1447" s="37" t="str">
        <f t="shared" si="110"/>
        <v xml:space="preserve"> </v>
      </c>
      <c r="F1447">
        <v>0.42</v>
      </c>
      <c r="G1447" s="37" t="str">
        <f t="shared" si="111"/>
        <v>Heavy Discount</v>
      </c>
      <c r="H1447" s="37" t="str">
        <f t="shared" si="112"/>
        <v>High</v>
      </c>
      <c r="I1447">
        <v>9</v>
      </c>
      <c r="J1447" t="str" cm="1">
        <f t="array" ref="J1447">_xlfn.IFS(I1447&lt;=3,"small",I1447&lt;=6,"Medium",I1447&lt;=9,"Large")</f>
        <v>Large</v>
      </c>
      <c r="K1447" s="36">
        <v>45619</v>
      </c>
      <c r="L1447" s="36">
        <v>45621</v>
      </c>
      <c r="M1447" t="s">
        <v>612</v>
      </c>
      <c r="N1447" t="s">
        <v>599</v>
      </c>
      <c r="O1447" s="37" t="str">
        <f t="shared" si="113"/>
        <v>Digital Payment</v>
      </c>
      <c r="P1447">
        <v>342.55</v>
      </c>
      <c r="Q1447" s="37" t="str">
        <f>IF(P1447&gt;500,"High","low")</f>
        <v>low</v>
      </c>
      <c r="R1447" s="37" t="str">
        <f t="shared" si="114"/>
        <v>AVERAGE</v>
      </c>
      <c r="S1447" t="s">
        <v>609</v>
      </c>
    </row>
    <row r="1448" spans="1:19" x14ac:dyDescent="0.2">
      <c r="A1448" t="s">
        <v>2059</v>
      </c>
      <c r="B1448" t="s">
        <v>67</v>
      </c>
      <c r="C1448" t="s">
        <v>602</v>
      </c>
      <c r="D1448">
        <v>988.1</v>
      </c>
      <c r="E1448" s="37" t="str">
        <f t="shared" si="110"/>
        <v xml:space="preserve"> </v>
      </c>
      <c r="F1448">
        <v>0.49</v>
      </c>
      <c r="G1448" s="37" t="str">
        <f t="shared" si="111"/>
        <v>Heavy Discount</v>
      </c>
      <c r="H1448" s="37" t="str">
        <f t="shared" si="112"/>
        <v>High</v>
      </c>
      <c r="I1448">
        <v>9</v>
      </c>
      <c r="J1448" t="str" cm="1">
        <f t="array" ref="J1448">_xlfn.IFS(I1448&lt;=3,"small",I1448&lt;=6,"Medium",I1448&lt;=9,"Large")</f>
        <v>Large</v>
      </c>
      <c r="K1448" s="36">
        <v>45655</v>
      </c>
      <c r="L1448" s="36">
        <v>45660</v>
      </c>
      <c r="M1448" t="s">
        <v>598</v>
      </c>
      <c r="N1448" t="s">
        <v>608</v>
      </c>
      <c r="O1448" s="37" t="str">
        <f t="shared" si="113"/>
        <v>Cash Payment</v>
      </c>
      <c r="P1448">
        <v>132.75</v>
      </c>
      <c r="Q1448" s="37" t="str">
        <f>IF(P1448&gt;500,"High","low")</f>
        <v>low</v>
      </c>
      <c r="R1448" s="37" t="str">
        <f t="shared" si="114"/>
        <v>AVERAGE</v>
      </c>
      <c r="S1448" t="s">
        <v>605</v>
      </c>
    </row>
    <row r="1449" spans="1:19" x14ac:dyDescent="0.2">
      <c r="A1449" t="s">
        <v>2060</v>
      </c>
      <c r="B1449" t="s">
        <v>67</v>
      </c>
      <c r="C1449" t="s">
        <v>607</v>
      </c>
      <c r="D1449">
        <v>4970.66</v>
      </c>
      <c r="E1449" s="37" t="str">
        <f t="shared" si="110"/>
        <v>Excellent Order</v>
      </c>
      <c r="F1449">
        <v>0.35</v>
      </c>
      <c r="G1449" s="37" t="str">
        <f t="shared" si="111"/>
        <v>Heavy Discount</v>
      </c>
      <c r="H1449" s="37" t="str">
        <f t="shared" si="112"/>
        <v>Medium</v>
      </c>
      <c r="I1449">
        <v>5</v>
      </c>
      <c r="J1449" t="str" cm="1">
        <f t="array" ref="J1449">_xlfn.IFS(I1449&lt;=3,"small",I1449&lt;=6,"Medium",I1449&lt;=9,"Large")</f>
        <v>Medium</v>
      </c>
      <c r="K1449" s="36">
        <v>45341</v>
      </c>
      <c r="L1449" s="36">
        <v>45345</v>
      </c>
      <c r="M1449" t="s">
        <v>612</v>
      </c>
      <c r="N1449" t="s">
        <v>599</v>
      </c>
      <c r="O1449" s="37" t="str">
        <f t="shared" si="113"/>
        <v>Digital Payment</v>
      </c>
      <c r="P1449">
        <v>839.37</v>
      </c>
      <c r="Q1449" s="37" t="str">
        <f>IF(P1449&gt;500,"High","low")</f>
        <v>High</v>
      </c>
      <c r="R1449" s="37" t="str">
        <f t="shared" si="114"/>
        <v>Good</v>
      </c>
      <c r="S1449" t="s">
        <v>605</v>
      </c>
    </row>
    <row r="1450" spans="1:19" x14ac:dyDescent="0.2">
      <c r="A1450" t="s">
        <v>2061</v>
      </c>
      <c r="B1450" t="s">
        <v>83</v>
      </c>
      <c r="C1450" t="s">
        <v>617</v>
      </c>
      <c r="D1450">
        <v>780.72</v>
      </c>
      <c r="E1450" s="37" t="str">
        <f t="shared" si="110"/>
        <v xml:space="preserve"> </v>
      </c>
      <c r="F1450">
        <v>0.21</v>
      </c>
      <c r="G1450" s="37" t="str">
        <f t="shared" si="111"/>
        <v>Normal Discount</v>
      </c>
      <c r="H1450" s="37" t="str">
        <f t="shared" si="112"/>
        <v>Medium</v>
      </c>
      <c r="I1450">
        <v>8</v>
      </c>
      <c r="J1450" t="str" cm="1">
        <f t="array" ref="J1450">_xlfn.IFS(I1450&lt;=3,"small",I1450&lt;=6,"Medium",I1450&lt;=9,"Large")</f>
        <v>Large</v>
      </c>
      <c r="K1450" s="36">
        <v>45048</v>
      </c>
      <c r="L1450" s="36">
        <v>45052</v>
      </c>
      <c r="M1450" t="s">
        <v>612</v>
      </c>
      <c r="N1450" t="s">
        <v>599</v>
      </c>
      <c r="O1450" s="37" t="str">
        <f t="shared" si="113"/>
        <v>Digital Payment</v>
      </c>
      <c r="P1450">
        <v>173.3</v>
      </c>
      <c r="Q1450" s="37" t="str">
        <f>IF(P1450&gt;500,"High","low")</f>
        <v>low</v>
      </c>
      <c r="R1450" s="37" t="str">
        <f t="shared" si="114"/>
        <v>AVERAGE</v>
      </c>
      <c r="S1450" t="s">
        <v>605</v>
      </c>
    </row>
    <row r="1451" spans="1:19" x14ac:dyDescent="0.2">
      <c r="A1451" t="s">
        <v>2062</v>
      </c>
      <c r="B1451" t="s">
        <v>67</v>
      </c>
      <c r="C1451" t="s">
        <v>597</v>
      </c>
      <c r="D1451">
        <v>2840.8</v>
      </c>
      <c r="E1451" s="37" t="str">
        <f t="shared" si="110"/>
        <v xml:space="preserve"> </v>
      </c>
      <c r="F1451">
        <v>0.06</v>
      </c>
      <c r="G1451" s="37" t="str">
        <f t="shared" si="111"/>
        <v>Normal Discount</v>
      </c>
      <c r="H1451" s="37" t="str">
        <f t="shared" si="112"/>
        <v>Low</v>
      </c>
      <c r="I1451">
        <v>7</v>
      </c>
      <c r="J1451" t="str" cm="1">
        <f t="array" ref="J1451">_xlfn.IFS(I1451&lt;=3,"small",I1451&lt;=6,"Medium",I1451&lt;=9,"Large")</f>
        <v>Large</v>
      </c>
      <c r="K1451" s="36">
        <v>45241</v>
      </c>
      <c r="L1451" s="36">
        <v>45246</v>
      </c>
      <c r="M1451" t="s">
        <v>612</v>
      </c>
      <c r="N1451" t="s">
        <v>604</v>
      </c>
      <c r="O1451" s="37" t="str">
        <f t="shared" si="113"/>
        <v>Digital Payment</v>
      </c>
      <c r="P1451">
        <v>195.91</v>
      </c>
      <c r="Q1451" s="37" t="str">
        <f>IF(P1451&gt;500,"High","low")</f>
        <v>low</v>
      </c>
      <c r="R1451" s="37" t="str">
        <f t="shared" si="114"/>
        <v>AVERAGE</v>
      </c>
      <c r="S1451" t="s">
        <v>609</v>
      </c>
    </row>
    <row r="1452" spans="1:19" x14ac:dyDescent="0.2">
      <c r="A1452" t="s">
        <v>2063</v>
      </c>
      <c r="B1452" t="s">
        <v>67</v>
      </c>
      <c r="C1452" t="s">
        <v>607</v>
      </c>
      <c r="D1452">
        <v>3359.47</v>
      </c>
      <c r="E1452" s="37" t="str">
        <f t="shared" si="110"/>
        <v xml:space="preserve"> </v>
      </c>
      <c r="F1452">
        <v>0.24</v>
      </c>
      <c r="G1452" s="37" t="str">
        <f t="shared" si="111"/>
        <v>Normal Discount</v>
      </c>
      <c r="H1452" s="37" t="str">
        <f t="shared" si="112"/>
        <v>Medium</v>
      </c>
      <c r="I1452">
        <v>4</v>
      </c>
      <c r="J1452" t="str" cm="1">
        <f t="array" ref="J1452">_xlfn.IFS(I1452&lt;=3,"small",I1452&lt;=6,"Medium",I1452&lt;=9,"Large")</f>
        <v>Medium</v>
      </c>
      <c r="K1452" s="36">
        <v>45376</v>
      </c>
      <c r="L1452" s="36">
        <v>45382</v>
      </c>
      <c r="M1452" t="s">
        <v>612</v>
      </c>
      <c r="N1452" t="s">
        <v>608</v>
      </c>
      <c r="O1452" s="37" t="str">
        <f t="shared" si="113"/>
        <v>Cash Payment</v>
      </c>
      <c r="P1452">
        <v>675.69</v>
      </c>
      <c r="Q1452" s="37" t="str">
        <f>IF(P1452&gt;500,"High","low")</f>
        <v>High</v>
      </c>
      <c r="R1452" s="37" t="str">
        <f t="shared" si="114"/>
        <v>Good</v>
      </c>
      <c r="S1452" t="s">
        <v>628</v>
      </c>
    </row>
    <row r="1453" spans="1:19" x14ac:dyDescent="0.2">
      <c r="A1453" t="s">
        <v>2064</v>
      </c>
      <c r="B1453" t="s">
        <v>75</v>
      </c>
      <c r="C1453" t="s">
        <v>614</v>
      </c>
      <c r="D1453">
        <v>4691.62</v>
      </c>
      <c r="E1453" s="37" t="str">
        <f t="shared" si="110"/>
        <v xml:space="preserve"> </v>
      </c>
      <c r="F1453">
        <v>0.23</v>
      </c>
      <c r="G1453" s="37" t="str">
        <f t="shared" si="111"/>
        <v>Normal Discount</v>
      </c>
      <c r="H1453" s="37" t="str">
        <f t="shared" si="112"/>
        <v>Medium</v>
      </c>
      <c r="I1453">
        <v>1</v>
      </c>
      <c r="J1453" t="str" cm="1">
        <f t="array" ref="J1453">_xlfn.IFS(I1453&lt;=3,"small",I1453&lt;=6,"Medium",I1453&lt;=9,"Large")</f>
        <v>small</v>
      </c>
      <c r="K1453" s="36">
        <v>45488</v>
      </c>
      <c r="L1453" s="36">
        <v>45495</v>
      </c>
      <c r="M1453" t="s">
        <v>598</v>
      </c>
      <c r="N1453" t="s">
        <v>604</v>
      </c>
      <c r="O1453" s="37" t="str">
        <f t="shared" si="113"/>
        <v>Digital Payment</v>
      </c>
      <c r="P1453">
        <v>586.89</v>
      </c>
      <c r="Q1453" s="37" t="str">
        <f>IF(P1453&gt;500,"High","low")</f>
        <v>High</v>
      </c>
      <c r="R1453" s="37" t="str">
        <f t="shared" si="114"/>
        <v>Good</v>
      </c>
      <c r="S1453" t="s">
        <v>615</v>
      </c>
    </row>
    <row r="1454" spans="1:19" x14ac:dyDescent="0.2">
      <c r="A1454" t="s">
        <v>2065</v>
      </c>
      <c r="B1454" t="s">
        <v>67</v>
      </c>
      <c r="C1454" t="s">
        <v>614</v>
      </c>
      <c r="D1454">
        <v>4251.57</v>
      </c>
      <c r="E1454" s="37" t="str">
        <f t="shared" si="110"/>
        <v>Excellent Order</v>
      </c>
      <c r="F1454">
        <v>0.21</v>
      </c>
      <c r="G1454" s="37" t="str">
        <f t="shared" si="111"/>
        <v>Normal Discount</v>
      </c>
      <c r="H1454" s="37" t="str">
        <f t="shared" si="112"/>
        <v>Medium</v>
      </c>
      <c r="I1454">
        <v>3</v>
      </c>
      <c r="J1454" t="str" cm="1">
        <f t="array" ref="J1454">_xlfn.IFS(I1454&lt;=3,"small",I1454&lt;=6,"Medium",I1454&lt;=9,"Large")</f>
        <v>small</v>
      </c>
      <c r="K1454" s="36">
        <v>45120</v>
      </c>
      <c r="L1454" s="36">
        <v>45123</v>
      </c>
      <c r="M1454" t="s">
        <v>612</v>
      </c>
      <c r="N1454" t="s">
        <v>604</v>
      </c>
      <c r="O1454" s="37" t="str">
        <f t="shared" si="113"/>
        <v>Digital Payment</v>
      </c>
      <c r="P1454">
        <v>1091.73</v>
      </c>
      <c r="Q1454" s="37" t="str">
        <f>IF(P1454&gt;500,"High","low")</f>
        <v>High</v>
      </c>
      <c r="R1454" s="37" t="str">
        <f t="shared" si="114"/>
        <v>Excellent</v>
      </c>
      <c r="S1454" t="s">
        <v>600</v>
      </c>
    </row>
    <row r="1455" spans="1:19" x14ac:dyDescent="0.2">
      <c r="A1455" t="s">
        <v>2066</v>
      </c>
      <c r="B1455" t="s">
        <v>90</v>
      </c>
      <c r="C1455" t="s">
        <v>607</v>
      </c>
      <c r="D1455">
        <v>1304.2</v>
      </c>
      <c r="E1455" s="37" t="str">
        <f t="shared" si="110"/>
        <v xml:space="preserve"> </v>
      </c>
      <c r="F1455">
        <v>0.19</v>
      </c>
      <c r="G1455" s="37" t="str">
        <f t="shared" si="111"/>
        <v>Normal Discount</v>
      </c>
      <c r="H1455" s="37" t="str">
        <f t="shared" si="112"/>
        <v>Low</v>
      </c>
      <c r="I1455">
        <v>5</v>
      </c>
      <c r="J1455" t="str" cm="1">
        <f t="array" ref="J1455">_xlfn.IFS(I1455&lt;=3,"small",I1455&lt;=6,"Medium",I1455&lt;=9,"Large")</f>
        <v>Medium</v>
      </c>
      <c r="K1455" s="36">
        <v>45452</v>
      </c>
      <c r="L1455" s="36">
        <v>45458</v>
      </c>
      <c r="M1455" t="s">
        <v>612</v>
      </c>
      <c r="N1455" t="s">
        <v>599</v>
      </c>
      <c r="O1455" s="37" t="str">
        <f t="shared" si="113"/>
        <v>Digital Payment</v>
      </c>
      <c r="P1455">
        <v>356.72</v>
      </c>
      <c r="Q1455" s="37" t="str">
        <f>IF(P1455&gt;500,"High","low")</f>
        <v>low</v>
      </c>
      <c r="R1455" s="37" t="str">
        <f t="shared" si="114"/>
        <v>AVERAGE</v>
      </c>
      <c r="S1455" t="s">
        <v>600</v>
      </c>
    </row>
    <row r="1456" spans="1:19" x14ac:dyDescent="0.2">
      <c r="A1456" t="s">
        <v>2067</v>
      </c>
      <c r="B1456" t="s">
        <v>75</v>
      </c>
      <c r="C1456" t="s">
        <v>607</v>
      </c>
      <c r="D1456">
        <v>2905.86</v>
      </c>
      <c r="E1456" s="37" t="str">
        <f t="shared" si="110"/>
        <v xml:space="preserve"> </v>
      </c>
      <c r="F1456">
        <v>0.25</v>
      </c>
      <c r="G1456" s="37" t="str">
        <f t="shared" si="111"/>
        <v>Normal Discount</v>
      </c>
      <c r="H1456" s="37" t="str">
        <f t="shared" si="112"/>
        <v>Medium</v>
      </c>
      <c r="I1456">
        <v>3</v>
      </c>
      <c r="J1456" t="str" cm="1">
        <f t="array" ref="J1456">_xlfn.IFS(I1456&lt;=3,"small",I1456&lt;=6,"Medium",I1456&lt;=9,"Large")</f>
        <v>small</v>
      </c>
      <c r="K1456" s="36">
        <v>45325</v>
      </c>
      <c r="L1456" s="36">
        <v>45332</v>
      </c>
      <c r="M1456" t="s">
        <v>612</v>
      </c>
      <c r="N1456" t="s">
        <v>608</v>
      </c>
      <c r="O1456" s="37" t="str">
        <f t="shared" si="113"/>
        <v>Cash Payment</v>
      </c>
      <c r="P1456">
        <v>217.68</v>
      </c>
      <c r="Q1456" s="37" t="str">
        <f>IF(P1456&gt;500,"High","low")</f>
        <v>low</v>
      </c>
      <c r="R1456" s="37" t="str">
        <f t="shared" si="114"/>
        <v>AVERAGE</v>
      </c>
      <c r="S1456" t="s">
        <v>605</v>
      </c>
    </row>
    <row r="1457" spans="1:19" x14ac:dyDescent="0.2">
      <c r="A1457" t="s">
        <v>2068</v>
      </c>
      <c r="B1457" t="s">
        <v>75</v>
      </c>
      <c r="C1457" t="s">
        <v>617</v>
      </c>
      <c r="D1457">
        <v>4772.51</v>
      </c>
      <c r="E1457" s="37" t="str">
        <f t="shared" si="110"/>
        <v>Excellent Order</v>
      </c>
      <c r="F1457">
        <v>0.04</v>
      </c>
      <c r="G1457" s="37" t="str">
        <f t="shared" si="111"/>
        <v>Normal Discount</v>
      </c>
      <c r="H1457" s="37" t="str">
        <f t="shared" si="112"/>
        <v>Low</v>
      </c>
      <c r="I1457">
        <v>4</v>
      </c>
      <c r="J1457" t="str" cm="1">
        <f t="array" ref="J1457">_xlfn.IFS(I1457&lt;=3,"small",I1457&lt;=6,"Medium",I1457&lt;=9,"Large")</f>
        <v>Medium</v>
      </c>
      <c r="K1457" s="36">
        <v>45207</v>
      </c>
      <c r="L1457" s="36">
        <v>45214</v>
      </c>
      <c r="M1457" t="s">
        <v>603</v>
      </c>
      <c r="N1457" t="s">
        <v>608</v>
      </c>
      <c r="O1457" s="37" t="str">
        <f t="shared" si="113"/>
        <v>Cash Payment</v>
      </c>
      <c r="P1457">
        <v>1282.32</v>
      </c>
      <c r="Q1457" s="37" t="str">
        <f>IF(P1457&gt;500,"High","low")</f>
        <v>High</v>
      </c>
      <c r="R1457" s="37" t="str">
        <f t="shared" si="114"/>
        <v>Excellent</v>
      </c>
      <c r="S1457" t="s">
        <v>615</v>
      </c>
    </row>
    <row r="1458" spans="1:19" x14ac:dyDescent="0.2">
      <c r="A1458" t="s">
        <v>2069</v>
      </c>
      <c r="B1458" t="s">
        <v>83</v>
      </c>
      <c r="C1458" t="s">
        <v>607</v>
      </c>
      <c r="D1458">
        <v>3705.01</v>
      </c>
      <c r="E1458" s="37" t="str">
        <f t="shared" si="110"/>
        <v xml:space="preserve"> </v>
      </c>
      <c r="F1458">
        <v>0.02</v>
      </c>
      <c r="G1458" s="37" t="str">
        <f t="shared" si="111"/>
        <v>Normal Discount</v>
      </c>
      <c r="H1458" s="37" t="str">
        <f t="shared" si="112"/>
        <v>Low</v>
      </c>
      <c r="I1458">
        <v>9</v>
      </c>
      <c r="J1458" t="str" cm="1">
        <f t="array" ref="J1458">_xlfn.IFS(I1458&lt;=3,"small",I1458&lt;=6,"Medium",I1458&lt;=9,"Large")</f>
        <v>Large</v>
      </c>
      <c r="K1458" s="36">
        <v>45384</v>
      </c>
      <c r="L1458" s="36">
        <v>45390</v>
      </c>
      <c r="M1458" t="s">
        <v>612</v>
      </c>
      <c r="N1458" t="s">
        <v>604</v>
      </c>
      <c r="O1458" s="37" t="str">
        <f t="shared" si="113"/>
        <v>Digital Payment</v>
      </c>
      <c r="P1458">
        <v>686.53</v>
      </c>
      <c r="Q1458" s="37" t="str">
        <f>IF(P1458&gt;500,"High","low")</f>
        <v>High</v>
      </c>
      <c r="R1458" s="37" t="str">
        <f t="shared" si="114"/>
        <v>Good</v>
      </c>
      <c r="S1458" t="s">
        <v>600</v>
      </c>
    </row>
    <row r="1459" spans="1:19" x14ac:dyDescent="0.2">
      <c r="A1459" t="s">
        <v>2070</v>
      </c>
      <c r="B1459" t="s">
        <v>67</v>
      </c>
      <c r="C1459" t="s">
        <v>597</v>
      </c>
      <c r="D1459">
        <v>3472.85</v>
      </c>
      <c r="E1459" s="37" t="str">
        <f t="shared" si="110"/>
        <v xml:space="preserve"> </v>
      </c>
      <c r="F1459">
        <v>0.03</v>
      </c>
      <c r="G1459" s="37" t="str">
        <f t="shared" si="111"/>
        <v>Normal Discount</v>
      </c>
      <c r="H1459" s="37" t="str">
        <f t="shared" si="112"/>
        <v>Low</v>
      </c>
      <c r="I1459">
        <v>9</v>
      </c>
      <c r="J1459" t="str" cm="1">
        <f t="array" ref="J1459">_xlfn.IFS(I1459&lt;=3,"small",I1459&lt;=6,"Medium",I1459&lt;=9,"Large")</f>
        <v>Large</v>
      </c>
      <c r="K1459" s="36">
        <v>45274</v>
      </c>
      <c r="L1459" s="36">
        <v>45280</v>
      </c>
      <c r="M1459" t="s">
        <v>598</v>
      </c>
      <c r="N1459" t="s">
        <v>604</v>
      </c>
      <c r="O1459" s="37" t="str">
        <f t="shared" si="113"/>
        <v>Digital Payment</v>
      </c>
      <c r="P1459">
        <v>315.89999999999998</v>
      </c>
      <c r="Q1459" s="37" t="str">
        <f>IF(P1459&gt;500,"High","low")</f>
        <v>low</v>
      </c>
      <c r="R1459" s="37" t="str">
        <f t="shared" si="114"/>
        <v>AVERAGE</v>
      </c>
      <c r="S1459" t="s">
        <v>600</v>
      </c>
    </row>
    <row r="1460" spans="1:19" x14ac:dyDescent="0.2">
      <c r="A1460" t="s">
        <v>2071</v>
      </c>
      <c r="B1460" t="s">
        <v>83</v>
      </c>
      <c r="C1460" t="s">
        <v>617</v>
      </c>
      <c r="D1460">
        <v>3799.02</v>
      </c>
      <c r="E1460" s="37" t="str">
        <f t="shared" si="110"/>
        <v xml:space="preserve"> </v>
      </c>
      <c r="F1460">
        <v>0.1</v>
      </c>
      <c r="G1460" s="37" t="str">
        <f t="shared" si="111"/>
        <v>Normal Discount</v>
      </c>
      <c r="H1460" s="37" t="str">
        <f t="shared" si="112"/>
        <v>Low</v>
      </c>
      <c r="I1460">
        <v>9</v>
      </c>
      <c r="J1460" t="str" cm="1">
        <f t="array" ref="J1460">_xlfn.IFS(I1460&lt;=3,"small",I1460&lt;=6,"Medium",I1460&lt;=9,"Large")</f>
        <v>Large</v>
      </c>
      <c r="K1460" s="36">
        <v>45446</v>
      </c>
      <c r="L1460" s="36">
        <v>45448</v>
      </c>
      <c r="M1460" t="s">
        <v>612</v>
      </c>
      <c r="N1460" t="s">
        <v>608</v>
      </c>
      <c r="O1460" s="37" t="str">
        <f t="shared" si="113"/>
        <v>Cash Payment</v>
      </c>
      <c r="P1460">
        <v>198.94</v>
      </c>
      <c r="Q1460" s="37" t="str">
        <f>IF(P1460&gt;500,"High","low")</f>
        <v>low</v>
      </c>
      <c r="R1460" s="37" t="str">
        <f t="shared" si="114"/>
        <v>AVERAGE</v>
      </c>
      <c r="S1460" t="s">
        <v>609</v>
      </c>
    </row>
    <row r="1461" spans="1:19" x14ac:dyDescent="0.2">
      <c r="A1461" t="s">
        <v>2072</v>
      </c>
      <c r="B1461" t="s">
        <v>90</v>
      </c>
      <c r="C1461" t="s">
        <v>602</v>
      </c>
      <c r="D1461">
        <v>1680.28</v>
      </c>
      <c r="E1461" s="37" t="str">
        <f t="shared" si="110"/>
        <v xml:space="preserve"> </v>
      </c>
      <c r="F1461">
        <v>0.14000000000000001</v>
      </c>
      <c r="G1461" s="37" t="str">
        <f t="shared" si="111"/>
        <v>Normal Discount</v>
      </c>
      <c r="H1461" s="37" t="str">
        <f t="shared" si="112"/>
        <v>Low</v>
      </c>
      <c r="I1461">
        <v>9</v>
      </c>
      <c r="J1461" t="str" cm="1">
        <f t="array" ref="J1461">_xlfn.IFS(I1461&lt;=3,"small",I1461&lt;=6,"Medium",I1461&lt;=9,"Large")</f>
        <v>Large</v>
      </c>
      <c r="K1461" s="36">
        <v>45624</v>
      </c>
      <c r="L1461" s="36">
        <v>45630</v>
      </c>
      <c r="M1461" t="s">
        <v>598</v>
      </c>
      <c r="N1461" t="s">
        <v>604</v>
      </c>
      <c r="O1461" s="37" t="str">
        <f t="shared" si="113"/>
        <v>Digital Payment</v>
      </c>
      <c r="P1461">
        <v>337.96</v>
      </c>
      <c r="Q1461" s="37" t="str">
        <f>IF(P1461&gt;500,"High","low")</f>
        <v>low</v>
      </c>
      <c r="R1461" s="37" t="str">
        <f t="shared" si="114"/>
        <v>AVERAGE</v>
      </c>
      <c r="S1461" t="s">
        <v>620</v>
      </c>
    </row>
    <row r="1462" spans="1:19" x14ac:dyDescent="0.2">
      <c r="A1462" t="s">
        <v>2073</v>
      </c>
      <c r="B1462" t="s">
        <v>75</v>
      </c>
      <c r="C1462" t="s">
        <v>597</v>
      </c>
      <c r="D1462">
        <v>3673.34</v>
      </c>
      <c r="E1462" s="37" t="str">
        <f t="shared" si="110"/>
        <v xml:space="preserve"> </v>
      </c>
      <c r="F1462">
        <v>0.08</v>
      </c>
      <c r="G1462" s="37" t="str">
        <f t="shared" si="111"/>
        <v>Normal Discount</v>
      </c>
      <c r="H1462" s="37" t="str">
        <f t="shared" si="112"/>
        <v>Low</v>
      </c>
      <c r="I1462">
        <v>1</v>
      </c>
      <c r="J1462" t="str" cm="1">
        <f t="array" ref="J1462">_xlfn.IFS(I1462&lt;=3,"small",I1462&lt;=6,"Medium",I1462&lt;=9,"Large")</f>
        <v>small</v>
      </c>
      <c r="K1462" s="36">
        <v>45304</v>
      </c>
      <c r="L1462" s="36">
        <v>45311</v>
      </c>
      <c r="M1462" t="s">
        <v>603</v>
      </c>
      <c r="N1462" t="s">
        <v>608</v>
      </c>
      <c r="O1462" s="37" t="str">
        <f t="shared" si="113"/>
        <v>Cash Payment</v>
      </c>
      <c r="P1462">
        <v>672.27</v>
      </c>
      <c r="Q1462" s="37" t="str">
        <f>IF(P1462&gt;500,"High","low")</f>
        <v>High</v>
      </c>
      <c r="R1462" s="37" t="str">
        <f t="shared" si="114"/>
        <v>Good</v>
      </c>
      <c r="S1462" t="s">
        <v>628</v>
      </c>
    </row>
    <row r="1463" spans="1:19" x14ac:dyDescent="0.2">
      <c r="A1463" t="s">
        <v>2074</v>
      </c>
      <c r="B1463" t="s">
        <v>75</v>
      </c>
      <c r="C1463" t="s">
        <v>617</v>
      </c>
      <c r="D1463">
        <v>1240.99</v>
      </c>
      <c r="E1463" s="37" t="str">
        <f t="shared" si="110"/>
        <v xml:space="preserve"> </v>
      </c>
      <c r="F1463">
        <v>0.13</v>
      </c>
      <c r="G1463" s="37" t="str">
        <f t="shared" si="111"/>
        <v>Normal Discount</v>
      </c>
      <c r="H1463" s="37" t="str">
        <f t="shared" si="112"/>
        <v>Low</v>
      </c>
      <c r="I1463">
        <v>9</v>
      </c>
      <c r="J1463" t="str" cm="1">
        <f t="array" ref="J1463">_xlfn.IFS(I1463&lt;=3,"small",I1463&lt;=6,"Medium",I1463&lt;=9,"Large")</f>
        <v>Large</v>
      </c>
      <c r="K1463" s="36">
        <v>45366</v>
      </c>
      <c r="L1463" s="36">
        <v>45372</v>
      </c>
      <c r="M1463" t="s">
        <v>598</v>
      </c>
      <c r="N1463" t="s">
        <v>608</v>
      </c>
      <c r="O1463" s="37" t="str">
        <f t="shared" si="113"/>
        <v>Cash Payment</v>
      </c>
      <c r="P1463">
        <v>284.08</v>
      </c>
      <c r="Q1463" s="37" t="str">
        <f>IF(P1463&gt;500,"High","low")</f>
        <v>low</v>
      </c>
      <c r="R1463" s="37" t="str">
        <f t="shared" si="114"/>
        <v>AVERAGE</v>
      </c>
      <c r="S1463" t="s">
        <v>609</v>
      </c>
    </row>
    <row r="1464" spans="1:19" x14ac:dyDescent="0.2">
      <c r="A1464" t="s">
        <v>2075</v>
      </c>
      <c r="B1464" t="s">
        <v>75</v>
      </c>
      <c r="C1464" t="s">
        <v>617</v>
      </c>
      <c r="D1464">
        <v>2197.6999999999998</v>
      </c>
      <c r="E1464" s="37" t="str">
        <f t="shared" si="110"/>
        <v xml:space="preserve"> </v>
      </c>
      <c r="F1464">
        <v>0.09</v>
      </c>
      <c r="G1464" s="37" t="str">
        <f t="shared" si="111"/>
        <v>Normal Discount</v>
      </c>
      <c r="H1464" s="37" t="str">
        <f t="shared" si="112"/>
        <v>Low</v>
      </c>
      <c r="I1464">
        <v>2</v>
      </c>
      <c r="J1464" t="str" cm="1">
        <f t="array" ref="J1464">_xlfn.IFS(I1464&lt;=3,"small",I1464&lt;=6,"Medium",I1464&lt;=9,"Large")</f>
        <v>small</v>
      </c>
      <c r="K1464" s="36">
        <v>45427</v>
      </c>
      <c r="L1464" s="36">
        <v>45429</v>
      </c>
      <c r="M1464" t="s">
        <v>612</v>
      </c>
      <c r="N1464" t="s">
        <v>608</v>
      </c>
      <c r="O1464" s="37" t="str">
        <f t="shared" si="113"/>
        <v>Cash Payment</v>
      </c>
      <c r="P1464">
        <v>388.32</v>
      </c>
      <c r="Q1464" s="37" t="str">
        <f>IF(P1464&gt;500,"High","low")</f>
        <v>low</v>
      </c>
      <c r="R1464" s="37" t="str">
        <f t="shared" si="114"/>
        <v>AVERAGE</v>
      </c>
      <c r="S1464" t="s">
        <v>628</v>
      </c>
    </row>
    <row r="1465" spans="1:19" x14ac:dyDescent="0.2">
      <c r="A1465" t="s">
        <v>2076</v>
      </c>
      <c r="B1465" t="s">
        <v>90</v>
      </c>
      <c r="C1465" t="s">
        <v>614</v>
      </c>
      <c r="D1465">
        <v>4460.6499999999996</v>
      </c>
      <c r="E1465" s="37" t="str">
        <f t="shared" si="110"/>
        <v xml:space="preserve"> </v>
      </c>
      <c r="F1465">
        <v>0.08</v>
      </c>
      <c r="G1465" s="37" t="str">
        <f t="shared" si="111"/>
        <v>Normal Discount</v>
      </c>
      <c r="H1465" s="37" t="str">
        <f t="shared" si="112"/>
        <v>Low</v>
      </c>
      <c r="I1465">
        <v>8</v>
      </c>
      <c r="J1465" t="str" cm="1">
        <f t="array" ref="J1465">_xlfn.IFS(I1465&lt;=3,"small",I1465&lt;=6,"Medium",I1465&lt;=9,"Large")</f>
        <v>Large</v>
      </c>
      <c r="K1465" s="36">
        <v>45010</v>
      </c>
      <c r="L1465" s="36">
        <v>45016</v>
      </c>
      <c r="M1465" t="s">
        <v>598</v>
      </c>
      <c r="N1465" t="s">
        <v>604</v>
      </c>
      <c r="O1465" s="37" t="str">
        <f t="shared" si="113"/>
        <v>Digital Payment</v>
      </c>
      <c r="P1465">
        <v>247.84</v>
      </c>
      <c r="Q1465" s="37" t="str">
        <f>IF(P1465&gt;500,"High","low")</f>
        <v>low</v>
      </c>
      <c r="R1465" s="37" t="str">
        <f t="shared" si="114"/>
        <v>AVERAGE</v>
      </c>
      <c r="S1465" t="s">
        <v>620</v>
      </c>
    </row>
    <row r="1466" spans="1:19" x14ac:dyDescent="0.2">
      <c r="A1466" t="s">
        <v>2077</v>
      </c>
      <c r="B1466" t="s">
        <v>90</v>
      </c>
      <c r="C1466" t="s">
        <v>617</v>
      </c>
      <c r="D1466">
        <v>192.96</v>
      </c>
      <c r="E1466" s="37" t="str">
        <f t="shared" si="110"/>
        <v xml:space="preserve"> </v>
      </c>
      <c r="F1466">
        <v>0.15</v>
      </c>
      <c r="G1466" s="37" t="str">
        <f t="shared" si="111"/>
        <v>Normal Discount</v>
      </c>
      <c r="H1466" s="37" t="str">
        <f t="shared" si="112"/>
        <v>Low</v>
      </c>
      <c r="I1466">
        <v>9</v>
      </c>
      <c r="J1466" t="str" cm="1">
        <f t="array" ref="J1466">_xlfn.IFS(I1466&lt;=3,"small",I1466&lt;=6,"Medium",I1466&lt;=9,"Large")</f>
        <v>Large</v>
      </c>
      <c r="K1466" s="36">
        <v>44968</v>
      </c>
      <c r="L1466" s="36">
        <v>44972</v>
      </c>
      <c r="M1466" t="s">
        <v>603</v>
      </c>
      <c r="N1466" t="s">
        <v>604</v>
      </c>
      <c r="O1466" s="37" t="str">
        <f t="shared" si="113"/>
        <v>Digital Payment</v>
      </c>
      <c r="P1466">
        <v>30.52</v>
      </c>
      <c r="Q1466" s="37" t="str">
        <f>IF(P1466&gt;500,"High","low")</f>
        <v>low</v>
      </c>
      <c r="R1466" s="37" t="str">
        <f t="shared" si="114"/>
        <v>AVERAGE</v>
      </c>
      <c r="S1466" t="s">
        <v>628</v>
      </c>
    </row>
    <row r="1467" spans="1:19" x14ac:dyDescent="0.2">
      <c r="A1467" t="s">
        <v>2078</v>
      </c>
      <c r="B1467" t="s">
        <v>83</v>
      </c>
      <c r="C1467" t="s">
        <v>597</v>
      </c>
      <c r="D1467">
        <v>2130.16</v>
      </c>
      <c r="E1467" s="37" t="str">
        <f t="shared" si="110"/>
        <v xml:space="preserve"> </v>
      </c>
      <c r="F1467">
        <v>0.2</v>
      </c>
      <c r="G1467" s="37" t="str">
        <f t="shared" si="111"/>
        <v>Normal Discount</v>
      </c>
      <c r="H1467" s="37" t="str">
        <f t="shared" si="112"/>
        <v>Medium</v>
      </c>
      <c r="I1467">
        <v>8</v>
      </c>
      <c r="J1467" t="str" cm="1">
        <f t="array" ref="J1467">_xlfn.IFS(I1467&lt;=3,"small",I1467&lt;=6,"Medium",I1467&lt;=9,"Large")</f>
        <v>Large</v>
      </c>
      <c r="K1467" s="36">
        <v>45195</v>
      </c>
      <c r="L1467" s="36">
        <v>45199</v>
      </c>
      <c r="M1467" t="s">
        <v>612</v>
      </c>
      <c r="N1467" t="s">
        <v>608</v>
      </c>
      <c r="O1467" s="37" t="str">
        <f t="shared" si="113"/>
        <v>Cash Payment</v>
      </c>
      <c r="P1467">
        <v>554.44000000000005</v>
      </c>
      <c r="Q1467" s="37" t="str">
        <f>IF(P1467&gt;500,"High","low")</f>
        <v>High</v>
      </c>
      <c r="R1467" s="37" t="str">
        <f t="shared" si="114"/>
        <v>Good</v>
      </c>
      <c r="S1467" t="s">
        <v>615</v>
      </c>
    </row>
    <row r="1468" spans="1:19" x14ac:dyDescent="0.2">
      <c r="A1468" t="s">
        <v>2079</v>
      </c>
      <c r="B1468" t="s">
        <v>83</v>
      </c>
      <c r="C1468" t="s">
        <v>607</v>
      </c>
      <c r="D1468">
        <v>1407.43</v>
      </c>
      <c r="E1468" s="37" t="str">
        <f t="shared" si="110"/>
        <v xml:space="preserve"> </v>
      </c>
      <c r="F1468">
        <v>0.37</v>
      </c>
      <c r="G1468" s="37" t="str">
        <f t="shared" si="111"/>
        <v>Heavy Discount</v>
      </c>
      <c r="H1468" s="37" t="str">
        <f t="shared" si="112"/>
        <v>Medium</v>
      </c>
      <c r="I1468">
        <v>9</v>
      </c>
      <c r="J1468" t="str" cm="1">
        <f t="array" ref="J1468">_xlfn.IFS(I1468&lt;=3,"small",I1468&lt;=6,"Medium",I1468&lt;=9,"Large")</f>
        <v>Large</v>
      </c>
      <c r="K1468" s="36">
        <v>45457</v>
      </c>
      <c r="L1468" s="36">
        <v>45462</v>
      </c>
      <c r="M1468" t="s">
        <v>603</v>
      </c>
      <c r="N1468" t="s">
        <v>604</v>
      </c>
      <c r="O1468" s="37" t="str">
        <f t="shared" si="113"/>
        <v>Digital Payment</v>
      </c>
      <c r="P1468">
        <v>205</v>
      </c>
      <c r="Q1468" s="37" t="str">
        <f>IF(P1468&gt;500,"High","low")</f>
        <v>low</v>
      </c>
      <c r="R1468" s="37" t="str">
        <f t="shared" si="114"/>
        <v>AVERAGE</v>
      </c>
      <c r="S1468" t="s">
        <v>609</v>
      </c>
    </row>
    <row r="1469" spans="1:19" x14ac:dyDescent="0.2">
      <c r="A1469" t="s">
        <v>2080</v>
      </c>
      <c r="B1469" t="s">
        <v>83</v>
      </c>
      <c r="C1469" t="s">
        <v>597</v>
      </c>
      <c r="D1469">
        <v>1073.0899999999999</v>
      </c>
      <c r="E1469" s="37" t="str">
        <f t="shared" si="110"/>
        <v xml:space="preserve"> </v>
      </c>
      <c r="F1469">
        <v>0.48</v>
      </c>
      <c r="G1469" s="37" t="str">
        <f t="shared" si="111"/>
        <v>Heavy Discount</v>
      </c>
      <c r="H1469" s="37" t="str">
        <f t="shared" si="112"/>
        <v>High</v>
      </c>
      <c r="I1469">
        <v>5</v>
      </c>
      <c r="J1469" t="str" cm="1">
        <f t="array" ref="J1469">_xlfn.IFS(I1469&lt;=3,"small",I1469&lt;=6,"Medium",I1469&lt;=9,"Large")</f>
        <v>Medium</v>
      </c>
      <c r="K1469" s="36">
        <v>44960</v>
      </c>
      <c r="L1469" s="36">
        <v>44965</v>
      </c>
      <c r="M1469" t="s">
        <v>612</v>
      </c>
      <c r="N1469" t="s">
        <v>599</v>
      </c>
      <c r="O1469" s="37" t="str">
        <f t="shared" si="113"/>
        <v>Digital Payment</v>
      </c>
      <c r="P1469">
        <v>124</v>
      </c>
      <c r="Q1469" s="37" t="str">
        <f>IF(P1469&gt;500,"High","low")</f>
        <v>low</v>
      </c>
      <c r="R1469" s="37" t="str">
        <f t="shared" si="114"/>
        <v>AVERAGE</v>
      </c>
      <c r="S1469" t="s">
        <v>609</v>
      </c>
    </row>
    <row r="1470" spans="1:19" x14ac:dyDescent="0.2">
      <c r="A1470" t="s">
        <v>2081</v>
      </c>
      <c r="B1470" t="s">
        <v>67</v>
      </c>
      <c r="C1470" t="s">
        <v>602</v>
      </c>
      <c r="D1470">
        <v>4209.0200000000004</v>
      </c>
      <c r="E1470" s="37" t="str">
        <f t="shared" si="110"/>
        <v xml:space="preserve"> </v>
      </c>
      <c r="F1470">
        <v>0.46</v>
      </c>
      <c r="G1470" s="37" t="str">
        <f t="shared" si="111"/>
        <v>Heavy Discount</v>
      </c>
      <c r="H1470" s="37" t="str">
        <f t="shared" si="112"/>
        <v>High</v>
      </c>
      <c r="I1470">
        <v>7</v>
      </c>
      <c r="J1470" t="str" cm="1">
        <f t="array" ref="J1470">_xlfn.IFS(I1470&lt;=3,"small",I1470&lt;=6,"Medium",I1470&lt;=9,"Large")</f>
        <v>Large</v>
      </c>
      <c r="K1470" s="36">
        <v>45400</v>
      </c>
      <c r="L1470" s="36">
        <v>45403</v>
      </c>
      <c r="M1470" t="s">
        <v>603</v>
      </c>
      <c r="N1470" t="s">
        <v>599</v>
      </c>
      <c r="O1470" s="37" t="str">
        <f t="shared" si="113"/>
        <v>Digital Payment</v>
      </c>
      <c r="P1470">
        <v>516.82000000000005</v>
      </c>
      <c r="Q1470" s="37" t="str">
        <f>IF(P1470&gt;500,"High","low")</f>
        <v>High</v>
      </c>
      <c r="R1470" s="37" t="str">
        <f t="shared" si="114"/>
        <v>Good</v>
      </c>
      <c r="S1470" t="s">
        <v>620</v>
      </c>
    </row>
    <row r="1471" spans="1:19" x14ac:dyDescent="0.2">
      <c r="A1471" t="s">
        <v>2082</v>
      </c>
      <c r="B1471" t="s">
        <v>75</v>
      </c>
      <c r="C1471" t="s">
        <v>617</v>
      </c>
      <c r="D1471">
        <v>3512.84</v>
      </c>
      <c r="E1471" s="37" t="str">
        <f t="shared" si="110"/>
        <v xml:space="preserve"> </v>
      </c>
      <c r="F1471">
        <v>0.24</v>
      </c>
      <c r="G1471" s="37" t="str">
        <f t="shared" si="111"/>
        <v>Normal Discount</v>
      </c>
      <c r="H1471" s="37" t="str">
        <f t="shared" si="112"/>
        <v>Medium</v>
      </c>
      <c r="I1471">
        <v>3</v>
      </c>
      <c r="J1471" t="str" cm="1">
        <f t="array" ref="J1471">_xlfn.IFS(I1471&lt;=3,"small",I1471&lt;=6,"Medium",I1471&lt;=9,"Large")</f>
        <v>small</v>
      </c>
      <c r="K1471" s="36">
        <v>45100</v>
      </c>
      <c r="L1471" s="36">
        <v>45106</v>
      </c>
      <c r="M1471" t="s">
        <v>612</v>
      </c>
      <c r="N1471" t="s">
        <v>604</v>
      </c>
      <c r="O1471" s="37" t="str">
        <f t="shared" si="113"/>
        <v>Digital Payment</v>
      </c>
      <c r="P1471">
        <v>268.11</v>
      </c>
      <c r="Q1471" s="37" t="str">
        <f>IF(P1471&gt;500,"High","low")</f>
        <v>low</v>
      </c>
      <c r="R1471" s="37" t="str">
        <f t="shared" si="114"/>
        <v>AVERAGE</v>
      </c>
      <c r="S1471" t="s">
        <v>605</v>
      </c>
    </row>
    <row r="1472" spans="1:19" x14ac:dyDescent="0.2">
      <c r="A1472" t="s">
        <v>2083</v>
      </c>
      <c r="B1472" t="s">
        <v>75</v>
      </c>
      <c r="C1472" t="s">
        <v>617</v>
      </c>
      <c r="D1472">
        <v>651.9</v>
      </c>
      <c r="E1472" s="37" t="str">
        <f t="shared" si="110"/>
        <v xml:space="preserve"> </v>
      </c>
      <c r="F1472">
        <v>0.23</v>
      </c>
      <c r="G1472" s="37" t="str">
        <f t="shared" si="111"/>
        <v>Normal Discount</v>
      </c>
      <c r="H1472" s="37" t="str">
        <f t="shared" si="112"/>
        <v>Medium</v>
      </c>
      <c r="I1472">
        <v>4</v>
      </c>
      <c r="J1472" t="str" cm="1">
        <f t="array" ref="J1472">_xlfn.IFS(I1472&lt;=3,"small",I1472&lt;=6,"Medium",I1472&lt;=9,"Large")</f>
        <v>Medium</v>
      </c>
      <c r="K1472" s="36">
        <v>45654</v>
      </c>
      <c r="L1472" s="36">
        <v>45658</v>
      </c>
      <c r="M1472" t="s">
        <v>603</v>
      </c>
      <c r="N1472" t="s">
        <v>599</v>
      </c>
      <c r="O1472" s="37" t="str">
        <f t="shared" si="113"/>
        <v>Digital Payment</v>
      </c>
      <c r="P1472">
        <v>95.12</v>
      </c>
      <c r="Q1472" s="37" t="str">
        <f>IF(P1472&gt;500,"High","low")</f>
        <v>low</v>
      </c>
      <c r="R1472" s="37" t="str">
        <f t="shared" si="114"/>
        <v>AVERAGE</v>
      </c>
      <c r="S1472" t="s">
        <v>615</v>
      </c>
    </row>
    <row r="1473" spans="1:19" x14ac:dyDescent="0.2">
      <c r="A1473" t="s">
        <v>2084</v>
      </c>
      <c r="B1473" t="s">
        <v>83</v>
      </c>
      <c r="C1473" t="s">
        <v>617</v>
      </c>
      <c r="D1473">
        <v>2522.87</v>
      </c>
      <c r="E1473" s="37" t="str">
        <f t="shared" si="110"/>
        <v xml:space="preserve"> </v>
      </c>
      <c r="F1473">
        <v>0.06</v>
      </c>
      <c r="G1473" s="37" t="str">
        <f t="shared" si="111"/>
        <v>Normal Discount</v>
      </c>
      <c r="H1473" s="37" t="str">
        <f t="shared" si="112"/>
        <v>Low</v>
      </c>
      <c r="I1473">
        <v>4</v>
      </c>
      <c r="J1473" t="str" cm="1">
        <f t="array" ref="J1473">_xlfn.IFS(I1473&lt;=3,"small",I1473&lt;=6,"Medium",I1473&lt;=9,"Large")</f>
        <v>Medium</v>
      </c>
      <c r="K1473" s="36">
        <v>45299</v>
      </c>
      <c r="L1473" s="36">
        <v>45301</v>
      </c>
      <c r="M1473" t="s">
        <v>603</v>
      </c>
      <c r="N1473" t="s">
        <v>604</v>
      </c>
      <c r="O1473" s="37" t="str">
        <f t="shared" si="113"/>
        <v>Digital Payment</v>
      </c>
      <c r="P1473">
        <v>617.23</v>
      </c>
      <c r="Q1473" s="37" t="str">
        <f>IF(P1473&gt;500,"High","low")</f>
        <v>High</v>
      </c>
      <c r="R1473" s="37" t="str">
        <f t="shared" si="114"/>
        <v>Good</v>
      </c>
      <c r="S1473" t="s">
        <v>600</v>
      </c>
    </row>
    <row r="1474" spans="1:19" x14ac:dyDescent="0.2">
      <c r="A1474" t="s">
        <v>2085</v>
      </c>
      <c r="B1474" t="s">
        <v>75</v>
      </c>
      <c r="C1474" t="s">
        <v>617</v>
      </c>
      <c r="D1474">
        <v>2387.84</v>
      </c>
      <c r="E1474" s="37" t="str">
        <f t="shared" si="110"/>
        <v xml:space="preserve"> </v>
      </c>
      <c r="F1474">
        <v>0.49</v>
      </c>
      <c r="G1474" s="37" t="str">
        <f t="shared" si="111"/>
        <v>Heavy Discount</v>
      </c>
      <c r="H1474" s="37" t="str">
        <f t="shared" si="112"/>
        <v>High</v>
      </c>
      <c r="I1474">
        <v>4</v>
      </c>
      <c r="J1474" t="str" cm="1">
        <f t="array" ref="J1474">_xlfn.IFS(I1474&lt;=3,"small",I1474&lt;=6,"Medium",I1474&lt;=9,"Large")</f>
        <v>Medium</v>
      </c>
      <c r="K1474" s="36">
        <v>45432</v>
      </c>
      <c r="L1474" s="36">
        <v>45438</v>
      </c>
      <c r="M1474" t="s">
        <v>598</v>
      </c>
      <c r="N1474" t="s">
        <v>599</v>
      </c>
      <c r="O1474" s="37" t="str">
        <f t="shared" si="113"/>
        <v>Digital Payment</v>
      </c>
      <c r="P1474">
        <v>155.27000000000001</v>
      </c>
      <c r="Q1474" s="37" t="str">
        <f>IF(P1474&gt;500,"High","low")</f>
        <v>low</v>
      </c>
      <c r="R1474" s="37" t="str">
        <f t="shared" si="114"/>
        <v>AVERAGE</v>
      </c>
      <c r="S1474" t="s">
        <v>620</v>
      </c>
    </row>
    <row r="1475" spans="1:19" x14ac:dyDescent="0.2">
      <c r="A1475" t="s">
        <v>2086</v>
      </c>
      <c r="B1475" t="s">
        <v>83</v>
      </c>
      <c r="C1475" t="s">
        <v>614</v>
      </c>
      <c r="D1475">
        <v>798.39</v>
      </c>
      <c r="E1475" s="37" t="str">
        <f t="shared" ref="E1475:E1538" si="115">IF(AND(D1475&gt;4000,P1475&gt;800),"Excellent Order"," ")</f>
        <v xml:space="preserve"> </v>
      </c>
      <c r="F1475">
        <v>0.38</v>
      </c>
      <c r="G1475" s="37" t="str">
        <f t="shared" ref="G1475:G1538" si="116">IF(F1475&gt;30%,"Heavy Discount","Normal Discount")</f>
        <v>Heavy Discount</v>
      </c>
      <c r="H1475" s="37" t="str">
        <f t="shared" ref="H1475:H1538" si="117">IF(F1475&gt;0.4,"High",IF(F1475&gt;=0.2,"Medium","Low"))</f>
        <v>Medium</v>
      </c>
      <c r="I1475">
        <v>8</v>
      </c>
      <c r="J1475" t="str" cm="1">
        <f t="array" ref="J1475">_xlfn.IFS(I1475&lt;=3,"small",I1475&lt;=6,"Medium",I1475&lt;=9,"Large")</f>
        <v>Large</v>
      </c>
      <c r="K1475" s="36">
        <v>45111</v>
      </c>
      <c r="L1475" s="36">
        <v>45116</v>
      </c>
      <c r="M1475" t="s">
        <v>598</v>
      </c>
      <c r="N1475" t="s">
        <v>604</v>
      </c>
      <c r="O1475" s="37" t="str">
        <f t="shared" ref="O1475:O1538" si="118">IF(OR(N1475="Card",N1475="UPI"),"Digital Payment","Cash Payment")</f>
        <v>Digital Payment</v>
      </c>
      <c r="P1475">
        <v>222.9</v>
      </c>
      <c r="Q1475" s="37" t="str">
        <f>IF(P1475&gt;500,"High","low")</f>
        <v>low</v>
      </c>
      <c r="R1475" s="37" t="str">
        <f t="shared" ref="R1475:R1538" si="119">IF(P1475&gt;1000,"Excellent",IF(P1475&gt;=500,"Good","AVERAGE"))</f>
        <v>AVERAGE</v>
      </c>
      <c r="S1475" t="s">
        <v>628</v>
      </c>
    </row>
    <row r="1476" spans="1:19" x14ac:dyDescent="0.2">
      <c r="A1476" t="s">
        <v>2087</v>
      </c>
      <c r="B1476" t="s">
        <v>67</v>
      </c>
      <c r="C1476" t="s">
        <v>614</v>
      </c>
      <c r="D1476">
        <v>4018.84</v>
      </c>
      <c r="E1476" s="37" t="str">
        <f t="shared" si="115"/>
        <v xml:space="preserve"> </v>
      </c>
      <c r="F1476">
        <v>0.42</v>
      </c>
      <c r="G1476" s="37" t="str">
        <f t="shared" si="116"/>
        <v>Heavy Discount</v>
      </c>
      <c r="H1476" s="37" t="str">
        <f t="shared" si="117"/>
        <v>High</v>
      </c>
      <c r="I1476">
        <v>2</v>
      </c>
      <c r="J1476" t="str" cm="1">
        <f t="array" ref="J1476">_xlfn.IFS(I1476&lt;=3,"small",I1476&lt;=6,"Medium",I1476&lt;=9,"Large")</f>
        <v>small</v>
      </c>
      <c r="K1476" s="36">
        <v>45126</v>
      </c>
      <c r="L1476" s="36">
        <v>45132</v>
      </c>
      <c r="M1476" t="s">
        <v>612</v>
      </c>
      <c r="N1476" t="s">
        <v>604</v>
      </c>
      <c r="O1476" s="37" t="str">
        <f t="shared" si="118"/>
        <v>Digital Payment</v>
      </c>
      <c r="P1476">
        <v>653.99</v>
      </c>
      <c r="Q1476" s="37" t="str">
        <f>IF(P1476&gt;500,"High","low")</f>
        <v>High</v>
      </c>
      <c r="R1476" s="37" t="str">
        <f t="shared" si="119"/>
        <v>Good</v>
      </c>
      <c r="S1476" t="s">
        <v>620</v>
      </c>
    </row>
    <row r="1477" spans="1:19" x14ac:dyDescent="0.2">
      <c r="A1477" t="s">
        <v>2088</v>
      </c>
      <c r="B1477" t="s">
        <v>67</v>
      </c>
      <c r="C1477" t="s">
        <v>607</v>
      </c>
      <c r="D1477">
        <v>1896.7</v>
      </c>
      <c r="E1477" s="37" t="str">
        <f t="shared" si="115"/>
        <v xml:space="preserve"> </v>
      </c>
      <c r="F1477">
        <v>0.12</v>
      </c>
      <c r="G1477" s="37" t="str">
        <f t="shared" si="116"/>
        <v>Normal Discount</v>
      </c>
      <c r="H1477" s="37" t="str">
        <f t="shared" si="117"/>
        <v>Low</v>
      </c>
      <c r="I1477">
        <v>2</v>
      </c>
      <c r="J1477" t="str" cm="1">
        <f t="array" ref="J1477">_xlfn.IFS(I1477&lt;=3,"small",I1477&lt;=6,"Medium",I1477&lt;=9,"Large")</f>
        <v>small</v>
      </c>
      <c r="K1477" s="36">
        <v>45535</v>
      </c>
      <c r="L1477" s="36">
        <v>45536</v>
      </c>
      <c r="M1477" t="s">
        <v>612</v>
      </c>
      <c r="N1477" t="s">
        <v>608</v>
      </c>
      <c r="O1477" s="37" t="str">
        <f t="shared" si="118"/>
        <v>Cash Payment</v>
      </c>
      <c r="P1477">
        <v>406.41</v>
      </c>
      <c r="Q1477" s="37" t="str">
        <f>IF(P1477&gt;500,"High","low")</f>
        <v>low</v>
      </c>
      <c r="R1477" s="37" t="str">
        <f t="shared" si="119"/>
        <v>AVERAGE</v>
      </c>
      <c r="S1477" t="s">
        <v>605</v>
      </c>
    </row>
    <row r="1478" spans="1:19" x14ac:dyDescent="0.2">
      <c r="A1478" t="s">
        <v>2089</v>
      </c>
      <c r="B1478" t="s">
        <v>90</v>
      </c>
      <c r="C1478" t="s">
        <v>617</v>
      </c>
      <c r="D1478">
        <v>3833.5</v>
      </c>
      <c r="E1478" s="37" t="str">
        <f t="shared" si="115"/>
        <v xml:space="preserve"> </v>
      </c>
      <c r="F1478">
        <v>0.2</v>
      </c>
      <c r="G1478" s="37" t="str">
        <f t="shared" si="116"/>
        <v>Normal Discount</v>
      </c>
      <c r="H1478" s="37" t="str">
        <f t="shared" si="117"/>
        <v>Medium</v>
      </c>
      <c r="I1478">
        <v>5</v>
      </c>
      <c r="J1478" t="str" cm="1">
        <f t="array" ref="J1478">_xlfn.IFS(I1478&lt;=3,"small",I1478&lt;=6,"Medium",I1478&lt;=9,"Large")</f>
        <v>Medium</v>
      </c>
      <c r="K1478" s="36">
        <v>45059</v>
      </c>
      <c r="L1478" s="36">
        <v>45061</v>
      </c>
      <c r="M1478" t="s">
        <v>603</v>
      </c>
      <c r="N1478" t="s">
        <v>604</v>
      </c>
      <c r="O1478" s="37" t="str">
        <f t="shared" si="118"/>
        <v>Digital Payment</v>
      </c>
      <c r="P1478">
        <v>549.36</v>
      </c>
      <c r="Q1478" s="37" t="str">
        <f>IF(P1478&gt;500,"High","low")</f>
        <v>High</v>
      </c>
      <c r="R1478" s="37" t="str">
        <f t="shared" si="119"/>
        <v>Good</v>
      </c>
      <c r="S1478" t="s">
        <v>605</v>
      </c>
    </row>
    <row r="1479" spans="1:19" x14ac:dyDescent="0.2">
      <c r="A1479" t="s">
        <v>2090</v>
      </c>
      <c r="B1479" t="s">
        <v>67</v>
      </c>
      <c r="C1479" t="s">
        <v>602</v>
      </c>
      <c r="D1479">
        <v>1041.1099999999999</v>
      </c>
      <c r="E1479" s="37" t="str">
        <f t="shared" si="115"/>
        <v xml:space="preserve"> </v>
      </c>
      <c r="F1479">
        <v>0.05</v>
      </c>
      <c r="G1479" s="37" t="str">
        <f t="shared" si="116"/>
        <v>Normal Discount</v>
      </c>
      <c r="H1479" s="37" t="str">
        <f t="shared" si="117"/>
        <v>Low</v>
      </c>
      <c r="I1479">
        <v>6</v>
      </c>
      <c r="J1479" t="str" cm="1">
        <f t="array" ref="J1479">_xlfn.IFS(I1479&lt;=3,"small",I1479&lt;=6,"Medium",I1479&lt;=9,"Large")</f>
        <v>Medium</v>
      </c>
      <c r="K1479" s="36">
        <v>44969</v>
      </c>
      <c r="L1479" s="36">
        <v>44975</v>
      </c>
      <c r="M1479" t="s">
        <v>598</v>
      </c>
      <c r="N1479" t="s">
        <v>604</v>
      </c>
      <c r="O1479" s="37" t="str">
        <f t="shared" si="118"/>
        <v>Digital Payment</v>
      </c>
      <c r="P1479">
        <v>121.49</v>
      </c>
      <c r="Q1479" s="37" t="str">
        <f>IF(P1479&gt;500,"High","low")</f>
        <v>low</v>
      </c>
      <c r="R1479" s="37" t="str">
        <f t="shared" si="119"/>
        <v>AVERAGE</v>
      </c>
      <c r="S1479" t="s">
        <v>615</v>
      </c>
    </row>
    <row r="1480" spans="1:19" x14ac:dyDescent="0.2">
      <c r="A1480" t="s">
        <v>2091</v>
      </c>
      <c r="B1480" t="s">
        <v>83</v>
      </c>
      <c r="C1480" t="s">
        <v>607</v>
      </c>
      <c r="D1480">
        <v>1643.86</v>
      </c>
      <c r="E1480" s="37" t="str">
        <f t="shared" si="115"/>
        <v xml:space="preserve"> </v>
      </c>
      <c r="F1480">
        <v>0.47</v>
      </c>
      <c r="G1480" s="37" t="str">
        <f t="shared" si="116"/>
        <v>Heavy Discount</v>
      </c>
      <c r="H1480" s="37" t="str">
        <f t="shared" si="117"/>
        <v>High</v>
      </c>
      <c r="I1480">
        <v>4</v>
      </c>
      <c r="J1480" t="str" cm="1">
        <f t="array" ref="J1480">_xlfn.IFS(I1480&lt;=3,"small",I1480&lt;=6,"Medium",I1480&lt;=9,"Large")</f>
        <v>Medium</v>
      </c>
      <c r="K1480" s="36">
        <v>45030</v>
      </c>
      <c r="L1480" s="36">
        <v>45034</v>
      </c>
      <c r="M1480" t="s">
        <v>612</v>
      </c>
      <c r="N1480" t="s">
        <v>608</v>
      </c>
      <c r="O1480" s="37" t="str">
        <f t="shared" si="118"/>
        <v>Cash Payment</v>
      </c>
      <c r="P1480">
        <v>120.98</v>
      </c>
      <c r="Q1480" s="37" t="str">
        <f>IF(P1480&gt;500,"High","low")</f>
        <v>low</v>
      </c>
      <c r="R1480" s="37" t="str">
        <f t="shared" si="119"/>
        <v>AVERAGE</v>
      </c>
      <c r="S1480" t="s">
        <v>609</v>
      </c>
    </row>
    <row r="1481" spans="1:19" x14ac:dyDescent="0.2">
      <c r="A1481" t="s">
        <v>2092</v>
      </c>
      <c r="B1481" t="s">
        <v>67</v>
      </c>
      <c r="C1481" t="s">
        <v>617</v>
      </c>
      <c r="D1481">
        <v>566.34</v>
      </c>
      <c r="E1481" s="37" t="str">
        <f t="shared" si="115"/>
        <v xml:space="preserve"> </v>
      </c>
      <c r="F1481">
        <v>0.14000000000000001</v>
      </c>
      <c r="G1481" s="37" t="str">
        <f t="shared" si="116"/>
        <v>Normal Discount</v>
      </c>
      <c r="H1481" s="37" t="str">
        <f t="shared" si="117"/>
        <v>Low</v>
      </c>
      <c r="I1481">
        <v>7</v>
      </c>
      <c r="J1481" t="str" cm="1">
        <f t="array" ref="J1481">_xlfn.IFS(I1481&lt;=3,"small",I1481&lt;=6,"Medium",I1481&lt;=9,"Large")</f>
        <v>Large</v>
      </c>
      <c r="K1481" s="36">
        <v>44943</v>
      </c>
      <c r="L1481" s="36">
        <v>44948</v>
      </c>
      <c r="M1481" t="s">
        <v>598</v>
      </c>
      <c r="N1481" t="s">
        <v>604</v>
      </c>
      <c r="O1481" s="37" t="str">
        <f t="shared" si="118"/>
        <v>Digital Payment</v>
      </c>
      <c r="P1481">
        <v>95.08</v>
      </c>
      <c r="Q1481" s="37" t="str">
        <f>IF(P1481&gt;500,"High","low")</f>
        <v>low</v>
      </c>
      <c r="R1481" s="37" t="str">
        <f t="shared" si="119"/>
        <v>AVERAGE</v>
      </c>
      <c r="S1481" t="s">
        <v>605</v>
      </c>
    </row>
    <row r="1482" spans="1:19" x14ac:dyDescent="0.2">
      <c r="A1482" t="s">
        <v>2093</v>
      </c>
      <c r="B1482" t="s">
        <v>90</v>
      </c>
      <c r="C1482" t="s">
        <v>614</v>
      </c>
      <c r="D1482">
        <v>803.05</v>
      </c>
      <c r="E1482" s="37" t="str">
        <f t="shared" si="115"/>
        <v xml:space="preserve"> </v>
      </c>
      <c r="F1482">
        <v>0.3</v>
      </c>
      <c r="G1482" s="37" t="str">
        <f t="shared" si="116"/>
        <v>Normal Discount</v>
      </c>
      <c r="H1482" s="37" t="str">
        <f t="shared" si="117"/>
        <v>Medium</v>
      </c>
      <c r="I1482">
        <v>4</v>
      </c>
      <c r="J1482" t="str" cm="1">
        <f t="array" ref="J1482">_xlfn.IFS(I1482&lt;=3,"small",I1482&lt;=6,"Medium",I1482&lt;=9,"Large")</f>
        <v>Medium</v>
      </c>
      <c r="K1482" s="36">
        <v>45015</v>
      </c>
      <c r="L1482" s="36">
        <v>45021</v>
      </c>
      <c r="M1482" t="s">
        <v>612</v>
      </c>
      <c r="N1482" t="s">
        <v>604</v>
      </c>
      <c r="O1482" s="37" t="str">
        <f t="shared" si="118"/>
        <v>Digital Payment</v>
      </c>
      <c r="P1482">
        <v>124.25</v>
      </c>
      <c r="Q1482" s="37" t="str">
        <f>IF(P1482&gt;500,"High","low")</f>
        <v>low</v>
      </c>
      <c r="R1482" s="37" t="str">
        <f t="shared" si="119"/>
        <v>AVERAGE</v>
      </c>
      <c r="S1482" t="s">
        <v>628</v>
      </c>
    </row>
    <row r="1483" spans="1:19" x14ac:dyDescent="0.2">
      <c r="A1483" t="s">
        <v>2094</v>
      </c>
      <c r="B1483" t="s">
        <v>75</v>
      </c>
      <c r="C1483" t="s">
        <v>602</v>
      </c>
      <c r="D1483">
        <v>4427.6000000000004</v>
      </c>
      <c r="E1483" s="37" t="str">
        <f t="shared" si="115"/>
        <v>Excellent Order</v>
      </c>
      <c r="F1483">
        <v>0.08</v>
      </c>
      <c r="G1483" s="37" t="str">
        <f t="shared" si="116"/>
        <v>Normal Discount</v>
      </c>
      <c r="H1483" s="37" t="str">
        <f t="shared" si="117"/>
        <v>Low</v>
      </c>
      <c r="I1483">
        <v>8</v>
      </c>
      <c r="J1483" t="str" cm="1">
        <f t="array" ref="J1483">_xlfn.IFS(I1483&lt;=3,"small",I1483&lt;=6,"Medium",I1483&lt;=9,"Large")</f>
        <v>Large</v>
      </c>
      <c r="K1483" s="36">
        <v>45416</v>
      </c>
      <c r="L1483" s="36">
        <v>45421</v>
      </c>
      <c r="M1483" t="s">
        <v>598</v>
      </c>
      <c r="N1483" t="s">
        <v>599</v>
      </c>
      <c r="O1483" s="37" t="str">
        <f t="shared" si="118"/>
        <v>Digital Payment</v>
      </c>
      <c r="P1483">
        <v>854.88</v>
      </c>
      <c r="Q1483" s="37" t="str">
        <f>IF(P1483&gt;500,"High","low")</f>
        <v>High</v>
      </c>
      <c r="R1483" s="37" t="str">
        <f t="shared" si="119"/>
        <v>Good</v>
      </c>
      <c r="S1483" t="s">
        <v>600</v>
      </c>
    </row>
    <row r="1484" spans="1:19" x14ac:dyDescent="0.2">
      <c r="A1484" t="s">
        <v>2095</v>
      </c>
      <c r="B1484" t="s">
        <v>83</v>
      </c>
      <c r="C1484" t="s">
        <v>607</v>
      </c>
      <c r="D1484">
        <v>634.65</v>
      </c>
      <c r="E1484" s="37" t="str">
        <f t="shared" si="115"/>
        <v xml:space="preserve"> </v>
      </c>
      <c r="F1484">
        <v>0.4</v>
      </c>
      <c r="G1484" s="37" t="str">
        <f t="shared" si="116"/>
        <v>Heavy Discount</v>
      </c>
      <c r="H1484" s="37" t="str">
        <f t="shared" si="117"/>
        <v>Medium</v>
      </c>
      <c r="I1484">
        <v>2</v>
      </c>
      <c r="J1484" t="str" cm="1">
        <f t="array" ref="J1484">_xlfn.IFS(I1484&lt;=3,"small",I1484&lt;=6,"Medium",I1484&lt;=9,"Large")</f>
        <v>small</v>
      </c>
      <c r="K1484" s="36">
        <v>45612</v>
      </c>
      <c r="L1484" s="36">
        <v>45619</v>
      </c>
      <c r="M1484" t="s">
        <v>612</v>
      </c>
      <c r="N1484" t="s">
        <v>599</v>
      </c>
      <c r="O1484" s="37" t="str">
        <f t="shared" si="118"/>
        <v>Digital Payment</v>
      </c>
      <c r="P1484">
        <v>95.49</v>
      </c>
      <c r="Q1484" s="37" t="str">
        <f>IF(P1484&gt;500,"High","low")</f>
        <v>low</v>
      </c>
      <c r="R1484" s="37" t="str">
        <f t="shared" si="119"/>
        <v>AVERAGE</v>
      </c>
      <c r="S1484" t="s">
        <v>600</v>
      </c>
    </row>
    <row r="1485" spans="1:19" x14ac:dyDescent="0.2">
      <c r="A1485" t="s">
        <v>2096</v>
      </c>
      <c r="B1485" t="s">
        <v>75</v>
      </c>
      <c r="C1485" t="s">
        <v>602</v>
      </c>
      <c r="D1485">
        <v>569.08000000000004</v>
      </c>
      <c r="E1485" s="37" t="str">
        <f t="shared" si="115"/>
        <v xml:space="preserve"> </v>
      </c>
      <c r="F1485">
        <v>0.09</v>
      </c>
      <c r="G1485" s="37" t="str">
        <f t="shared" si="116"/>
        <v>Normal Discount</v>
      </c>
      <c r="H1485" s="37" t="str">
        <f t="shared" si="117"/>
        <v>Low</v>
      </c>
      <c r="I1485">
        <v>4</v>
      </c>
      <c r="J1485" t="str" cm="1">
        <f t="array" ref="J1485">_xlfn.IFS(I1485&lt;=3,"small",I1485&lt;=6,"Medium",I1485&lt;=9,"Large")</f>
        <v>Medium</v>
      </c>
      <c r="K1485" s="36">
        <v>45087</v>
      </c>
      <c r="L1485" s="36">
        <v>45088</v>
      </c>
      <c r="M1485" t="s">
        <v>598</v>
      </c>
      <c r="N1485" t="s">
        <v>604</v>
      </c>
      <c r="O1485" s="37" t="str">
        <f t="shared" si="118"/>
        <v>Digital Payment</v>
      </c>
      <c r="P1485">
        <v>92.15</v>
      </c>
      <c r="Q1485" s="37" t="str">
        <f>IF(P1485&gt;500,"High","low")</f>
        <v>low</v>
      </c>
      <c r="R1485" s="37" t="str">
        <f t="shared" si="119"/>
        <v>AVERAGE</v>
      </c>
      <c r="S1485" t="s">
        <v>600</v>
      </c>
    </row>
    <row r="1486" spans="1:19" x14ac:dyDescent="0.2">
      <c r="A1486" t="s">
        <v>2097</v>
      </c>
      <c r="B1486" t="s">
        <v>90</v>
      </c>
      <c r="C1486" t="s">
        <v>617</v>
      </c>
      <c r="D1486">
        <v>4707.8500000000004</v>
      </c>
      <c r="E1486" s="37" t="str">
        <f t="shared" si="115"/>
        <v>Excellent Order</v>
      </c>
      <c r="F1486">
        <v>0.4</v>
      </c>
      <c r="G1486" s="37" t="str">
        <f t="shared" si="116"/>
        <v>Heavy Discount</v>
      </c>
      <c r="H1486" s="37" t="str">
        <f t="shared" si="117"/>
        <v>Medium</v>
      </c>
      <c r="I1486">
        <v>7</v>
      </c>
      <c r="J1486" t="str" cm="1">
        <f t="array" ref="J1486">_xlfn.IFS(I1486&lt;=3,"small",I1486&lt;=6,"Medium",I1486&lt;=9,"Large")</f>
        <v>Large</v>
      </c>
      <c r="K1486" s="36">
        <v>45480</v>
      </c>
      <c r="L1486" s="36">
        <v>45483</v>
      </c>
      <c r="M1486" t="s">
        <v>603</v>
      </c>
      <c r="N1486" t="s">
        <v>608</v>
      </c>
      <c r="O1486" s="37" t="str">
        <f t="shared" si="118"/>
        <v>Cash Payment</v>
      </c>
      <c r="P1486">
        <v>1163.08</v>
      </c>
      <c r="Q1486" s="37" t="str">
        <f>IF(P1486&gt;500,"High","low")</f>
        <v>High</v>
      </c>
      <c r="R1486" s="37" t="str">
        <f t="shared" si="119"/>
        <v>Excellent</v>
      </c>
      <c r="S1486" t="s">
        <v>615</v>
      </c>
    </row>
    <row r="1487" spans="1:19" x14ac:dyDescent="0.2">
      <c r="A1487" t="s">
        <v>2098</v>
      </c>
      <c r="B1487" t="s">
        <v>90</v>
      </c>
      <c r="C1487" t="s">
        <v>597</v>
      </c>
      <c r="D1487">
        <v>3264.93</v>
      </c>
      <c r="E1487" s="37" t="str">
        <f t="shared" si="115"/>
        <v xml:space="preserve"> </v>
      </c>
      <c r="F1487">
        <v>0.2</v>
      </c>
      <c r="G1487" s="37" t="str">
        <f t="shared" si="116"/>
        <v>Normal Discount</v>
      </c>
      <c r="H1487" s="37" t="str">
        <f t="shared" si="117"/>
        <v>Medium</v>
      </c>
      <c r="I1487">
        <v>5</v>
      </c>
      <c r="J1487" t="str" cm="1">
        <f t="array" ref="J1487">_xlfn.IFS(I1487&lt;=3,"small",I1487&lt;=6,"Medium",I1487&lt;=9,"Large")</f>
        <v>Medium</v>
      </c>
      <c r="K1487" s="36">
        <v>45629</v>
      </c>
      <c r="L1487" s="36">
        <v>45631</v>
      </c>
      <c r="M1487" t="s">
        <v>612</v>
      </c>
      <c r="N1487" t="s">
        <v>608</v>
      </c>
      <c r="O1487" s="37" t="str">
        <f t="shared" si="118"/>
        <v>Cash Payment</v>
      </c>
      <c r="P1487">
        <v>266.81</v>
      </c>
      <c r="Q1487" s="37" t="str">
        <f>IF(P1487&gt;500,"High","low")</f>
        <v>low</v>
      </c>
      <c r="R1487" s="37" t="str">
        <f t="shared" si="119"/>
        <v>AVERAGE</v>
      </c>
      <c r="S1487" t="s">
        <v>609</v>
      </c>
    </row>
    <row r="1488" spans="1:19" x14ac:dyDescent="0.2">
      <c r="A1488" t="s">
        <v>2099</v>
      </c>
      <c r="B1488" t="s">
        <v>90</v>
      </c>
      <c r="C1488" t="s">
        <v>602</v>
      </c>
      <c r="D1488">
        <v>594.49</v>
      </c>
      <c r="E1488" s="37" t="str">
        <f t="shared" si="115"/>
        <v xml:space="preserve"> </v>
      </c>
      <c r="F1488">
        <v>0.28999999999999998</v>
      </c>
      <c r="G1488" s="37" t="str">
        <f t="shared" si="116"/>
        <v>Normal Discount</v>
      </c>
      <c r="H1488" s="37" t="str">
        <f t="shared" si="117"/>
        <v>Medium</v>
      </c>
      <c r="I1488">
        <v>2</v>
      </c>
      <c r="J1488" t="str" cm="1">
        <f t="array" ref="J1488">_xlfn.IFS(I1488&lt;=3,"small",I1488&lt;=6,"Medium",I1488&lt;=9,"Large")</f>
        <v>small</v>
      </c>
      <c r="K1488" s="36">
        <v>44982</v>
      </c>
      <c r="L1488" s="36">
        <v>44987</v>
      </c>
      <c r="M1488" t="s">
        <v>598</v>
      </c>
      <c r="N1488" t="s">
        <v>599</v>
      </c>
      <c r="O1488" s="37" t="str">
        <f t="shared" si="118"/>
        <v>Digital Payment</v>
      </c>
      <c r="P1488">
        <v>90.32</v>
      </c>
      <c r="Q1488" s="37" t="str">
        <f>IF(P1488&gt;500,"High","low")</f>
        <v>low</v>
      </c>
      <c r="R1488" s="37" t="str">
        <f t="shared" si="119"/>
        <v>AVERAGE</v>
      </c>
      <c r="S1488" t="s">
        <v>609</v>
      </c>
    </row>
    <row r="1489" spans="1:19" x14ac:dyDescent="0.2">
      <c r="A1489" t="s">
        <v>2100</v>
      </c>
      <c r="B1489" t="s">
        <v>75</v>
      </c>
      <c r="C1489" t="s">
        <v>602</v>
      </c>
      <c r="D1489">
        <v>4861.41</v>
      </c>
      <c r="E1489" s="37" t="str">
        <f t="shared" si="115"/>
        <v xml:space="preserve"> </v>
      </c>
      <c r="F1489">
        <v>0.13</v>
      </c>
      <c r="G1489" s="37" t="str">
        <f t="shared" si="116"/>
        <v>Normal Discount</v>
      </c>
      <c r="H1489" s="37" t="str">
        <f t="shared" si="117"/>
        <v>Low</v>
      </c>
      <c r="I1489">
        <v>3</v>
      </c>
      <c r="J1489" t="str" cm="1">
        <f t="array" ref="J1489">_xlfn.IFS(I1489&lt;=3,"small",I1489&lt;=6,"Medium",I1489&lt;=9,"Large")</f>
        <v>small</v>
      </c>
      <c r="K1489" s="36">
        <v>45609</v>
      </c>
      <c r="L1489" s="36">
        <v>45612</v>
      </c>
      <c r="M1489" t="s">
        <v>603</v>
      </c>
      <c r="N1489" t="s">
        <v>604</v>
      </c>
      <c r="O1489" s="37" t="str">
        <f t="shared" si="118"/>
        <v>Digital Payment</v>
      </c>
      <c r="P1489">
        <v>412.69</v>
      </c>
      <c r="Q1489" s="37" t="str">
        <f>IF(P1489&gt;500,"High","low")</f>
        <v>low</v>
      </c>
      <c r="R1489" s="37" t="str">
        <f t="shared" si="119"/>
        <v>AVERAGE</v>
      </c>
      <c r="S1489" t="s">
        <v>620</v>
      </c>
    </row>
    <row r="1490" spans="1:19" x14ac:dyDescent="0.2">
      <c r="A1490" t="s">
        <v>2101</v>
      </c>
      <c r="B1490" t="s">
        <v>75</v>
      </c>
      <c r="C1490" t="s">
        <v>614</v>
      </c>
      <c r="D1490">
        <v>820.79</v>
      </c>
      <c r="E1490" s="37" t="str">
        <f t="shared" si="115"/>
        <v xml:space="preserve"> </v>
      </c>
      <c r="F1490">
        <v>0.44</v>
      </c>
      <c r="G1490" s="37" t="str">
        <f t="shared" si="116"/>
        <v>Heavy Discount</v>
      </c>
      <c r="H1490" s="37" t="str">
        <f t="shared" si="117"/>
        <v>High</v>
      </c>
      <c r="I1490">
        <v>4</v>
      </c>
      <c r="J1490" t="str" cm="1">
        <f t="array" ref="J1490">_xlfn.IFS(I1490&lt;=3,"small",I1490&lt;=6,"Medium",I1490&lt;=9,"Large")</f>
        <v>Medium</v>
      </c>
      <c r="K1490" s="36">
        <v>45520</v>
      </c>
      <c r="L1490" s="36">
        <v>45526</v>
      </c>
      <c r="M1490" t="s">
        <v>612</v>
      </c>
      <c r="N1490" t="s">
        <v>599</v>
      </c>
      <c r="O1490" s="37" t="str">
        <f t="shared" si="118"/>
        <v>Digital Payment</v>
      </c>
      <c r="P1490">
        <v>233.37</v>
      </c>
      <c r="Q1490" s="37" t="str">
        <f>IF(P1490&gt;500,"High","low")</f>
        <v>low</v>
      </c>
      <c r="R1490" s="37" t="str">
        <f t="shared" si="119"/>
        <v>AVERAGE</v>
      </c>
      <c r="S1490" t="s">
        <v>615</v>
      </c>
    </row>
    <row r="1491" spans="1:19" x14ac:dyDescent="0.2">
      <c r="A1491" t="s">
        <v>2102</v>
      </c>
      <c r="B1491" t="s">
        <v>75</v>
      </c>
      <c r="C1491" t="s">
        <v>617</v>
      </c>
      <c r="D1491">
        <v>3855.09</v>
      </c>
      <c r="E1491" s="37" t="str">
        <f t="shared" si="115"/>
        <v xml:space="preserve"> </v>
      </c>
      <c r="F1491">
        <v>0.38</v>
      </c>
      <c r="G1491" s="37" t="str">
        <f t="shared" si="116"/>
        <v>Heavy Discount</v>
      </c>
      <c r="H1491" s="37" t="str">
        <f t="shared" si="117"/>
        <v>Medium</v>
      </c>
      <c r="I1491">
        <v>5</v>
      </c>
      <c r="J1491" t="str" cm="1">
        <f t="array" ref="J1491">_xlfn.IFS(I1491&lt;=3,"small",I1491&lt;=6,"Medium",I1491&lt;=9,"Large")</f>
        <v>Medium</v>
      </c>
      <c r="K1491" s="36">
        <v>45120</v>
      </c>
      <c r="L1491" s="36">
        <v>45121</v>
      </c>
      <c r="M1491" t="s">
        <v>598</v>
      </c>
      <c r="N1491" t="s">
        <v>608</v>
      </c>
      <c r="O1491" s="37" t="str">
        <f t="shared" si="118"/>
        <v>Cash Payment</v>
      </c>
      <c r="P1491">
        <v>991.62</v>
      </c>
      <c r="Q1491" s="37" t="str">
        <f>IF(P1491&gt;500,"High","low")</f>
        <v>High</v>
      </c>
      <c r="R1491" s="37" t="str">
        <f t="shared" si="119"/>
        <v>Good</v>
      </c>
      <c r="S1491" t="s">
        <v>615</v>
      </c>
    </row>
    <row r="1492" spans="1:19" x14ac:dyDescent="0.2">
      <c r="A1492" t="s">
        <v>2103</v>
      </c>
      <c r="B1492" t="s">
        <v>75</v>
      </c>
      <c r="C1492" t="s">
        <v>602</v>
      </c>
      <c r="D1492">
        <v>270.77</v>
      </c>
      <c r="E1492" s="37" t="str">
        <f t="shared" si="115"/>
        <v xml:space="preserve"> </v>
      </c>
      <c r="F1492">
        <v>0.18</v>
      </c>
      <c r="G1492" s="37" t="str">
        <f t="shared" si="116"/>
        <v>Normal Discount</v>
      </c>
      <c r="H1492" s="37" t="str">
        <f t="shared" si="117"/>
        <v>Low</v>
      </c>
      <c r="I1492">
        <v>7</v>
      </c>
      <c r="J1492" t="str" cm="1">
        <f t="array" ref="J1492">_xlfn.IFS(I1492&lt;=3,"small",I1492&lt;=6,"Medium",I1492&lt;=9,"Large")</f>
        <v>Large</v>
      </c>
      <c r="K1492" s="36">
        <v>45391</v>
      </c>
      <c r="L1492" s="36">
        <v>45397</v>
      </c>
      <c r="M1492" t="s">
        <v>612</v>
      </c>
      <c r="N1492" t="s">
        <v>608</v>
      </c>
      <c r="O1492" s="37" t="str">
        <f t="shared" si="118"/>
        <v>Cash Payment</v>
      </c>
      <c r="P1492">
        <v>70.87</v>
      </c>
      <c r="Q1492" s="37" t="str">
        <f>IF(P1492&gt;500,"High","low")</f>
        <v>low</v>
      </c>
      <c r="R1492" s="37" t="str">
        <f t="shared" si="119"/>
        <v>AVERAGE</v>
      </c>
      <c r="S1492" t="s">
        <v>628</v>
      </c>
    </row>
    <row r="1493" spans="1:19" x14ac:dyDescent="0.2">
      <c r="A1493" t="s">
        <v>2104</v>
      </c>
      <c r="B1493" t="s">
        <v>90</v>
      </c>
      <c r="C1493" t="s">
        <v>617</v>
      </c>
      <c r="D1493">
        <v>3160.25</v>
      </c>
      <c r="E1493" s="37" t="str">
        <f t="shared" si="115"/>
        <v xml:space="preserve"> </v>
      </c>
      <c r="F1493">
        <v>0.28999999999999998</v>
      </c>
      <c r="G1493" s="37" t="str">
        <f t="shared" si="116"/>
        <v>Normal Discount</v>
      </c>
      <c r="H1493" s="37" t="str">
        <f t="shared" si="117"/>
        <v>Medium</v>
      </c>
      <c r="I1493">
        <v>3</v>
      </c>
      <c r="J1493" t="str" cm="1">
        <f t="array" ref="J1493">_xlfn.IFS(I1493&lt;=3,"small",I1493&lt;=6,"Medium",I1493&lt;=9,"Large")</f>
        <v>small</v>
      </c>
      <c r="K1493" s="36">
        <v>44995</v>
      </c>
      <c r="L1493" s="36">
        <v>45002</v>
      </c>
      <c r="M1493" t="s">
        <v>612</v>
      </c>
      <c r="N1493" t="s">
        <v>608</v>
      </c>
      <c r="O1493" s="37" t="str">
        <f t="shared" si="118"/>
        <v>Cash Payment</v>
      </c>
      <c r="P1493">
        <v>266.33999999999997</v>
      </c>
      <c r="Q1493" s="37" t="str">
        <f>IF(P1493&gt;500,"High","low")</f>
        <v>low</v>
      </c>
      <c r="R1493" s="37" t="str">
        <f t="shared" si="119"/>
        <v>AVERAGE</v>
      </c>
      <c r="S1493" t="s">
        <v>600</v>
      </c>
    </row>
    <row r="1494" spans="1:19" x14ac:dyDescent="0.2">
      <c r="A1494" t="s">
        <v>2105</v>
      </c>
      <c r="B1494" t="s">
        <v>90</v>
      </c>
      <c r="C1494" t="s">
        <v>614</v>
      </c>
      <c r="D1494">
        <v>2778.85</v>
      </c>
      <c r="E1494" s="37" t="str">
        <f t="shared" si="115"/>
        <v xml:space="preserve"> </v>
      </c>
      <c r="F1494">
        <v>0.06</v>
      </c>
      <c r="G1494" s="37" t="str">
        <f t="shared" si="116"/>
        <v>Normal Discount</v>
      </c>
      <c r="H1494" s="37" t="str">
        <f t="shared" si="117"/>
        <v>Low</v>
      </c>
      <c r="I1494">
        <v>9</v>
      </c>
      <c r="J1494" t="str" cm="1">
        <f t="array" ref="J1494">_xlfn.IFS(I1494&lt;=3,"small",I1494&lt;=6,"Medium",I1494&lt;=9,"Large")</f>
        <v>Large</v>
      </c>
      <c r="K1494" s="36">
        <v>44946</v>
      </c>
      <c r="L1494" s="36">
        <v>44947</v>
      </c>
      <c r="M1494" t="s">
        <v>603</v>
      </c>
      <c r="N1494" t="s">
        <v>599</v>
      </c>
      <c r="O1494" s="37" t="str">
        <f t="shared" si="118"/>
        <v>Digital Payment</v>
      </c>
      <c r="P1494">
        <v>747.05</v>
      </c>
      <c r="Q1494" s="37" t="str">
        <f>IF(P1494&gt;500,"High","low")</f>
        <v>High</v>
      </c>
      <c r="R1494" s="37" t="str">
        <f t="shared" si="119"/>
        <v>Good</v>
      </c>
      <c r="S1494" t="s">
        <v>600</v>
      </c>
    </row>
    <row r="1495" spans="1:19" x14ac:dyDescent="0.2">
      <c r="A1495" t="s">
        <v>2106</v>
      </c>
      <c r="B1495" t="s">
        <v>83</v>
      </c>
      <c r="C1495" t="s">
        <v>617</v>
      </c>
      <c r="D1495">
        <v>1119.22</v>
      </c>
      <c r="E1495" s="37" t="str">
        <f t="shared" si="115"/>
        <v xml:space="preserve"> </v>
      </c>
      <c r="F1495">
        <v>0.08</v>
      </c>
      <c r="G1495" s="37" t="str">
        <f t="shared" si="116"/>
        <v>Normal Discount</v>
      </c>
      <c r="H1495" s="37" t="str">
        <f t="shared" si="117"/>
        <v>Low</v>
      </c>
      <c r="I1495">
        <v>3</v>
      </c>
      <c r="J1495" t="str" cm="1">
        <f t="array" ref="J1495">_xlfn.IFS(I1495&lt;=3,"small",I1495&lt;=6,"Medium",I1495&lt;=9,"Large")</f>
        <v>small</v>
      </c>
      <c r="K1495" s="36">
        <v>45580</v>
      </c>
      <c r="L1495" s="36">
        <v>45582</v>
      </c>
      <c r="M1495" t="s">
        <v>612</v>
      </c>
      <c r="N1495" t="s">
        <v>608</v>
      </c>
      <c r="O1495" s="37" t="str">
        <f t="shared" si="118"/>
        <v>Cash Payment</v>
      </c>
      <c r="P1495">
        <v>96.03</v>
      </c>
      <c r="Q1495" s="37" t="str">
        <f>IF(P1495&gt;500,"High","low")</f>
        <v>low</v>
      </c>
      <c r="R1495" s="37" t="str">
        <f t="shared" si="119"/>
        <v>AVERAGE</v>
      </c>
      <c r="S1495" t="s">
        <v>620</v>
      </c>
    </row>
    <row r="1496" spans="1:19" x14ac:dyDescent="0.2">
      <c r="A1496" t="s">
        <v>2107</v>
      </c>
      <c r="B1496" t="s">
        <v>83</v>
      </c>
      <c r="C1496" t="s">
        <v>614</v>
      </c>
      <c r="D1496">
        <v>3251.42</v>
      </c>
      <c r="E1496" s="37" t="str">
        <f t="shared" si="115"/>
        <v xml:space="preserve"> </v>
      </c>
      <c r="F1496">
        <v>0.27</v>
      </c>
      <c r="G1496" s="37" t="str">
        <f t="shared" si="116"/>
        <v>Normal Discount</v>
      </c>
      <c r="H1496" s="37" t="str">
        <f t="shared" si="117"/>
        <v>Medium</v>
      </c>
      <c r="I1496">
        <v>5</v>
      </c>
      <c r="J1496" t="str" cm="1">
        <f t="array" ref="J1496">_xlfn.IFS(I1496&lt;=3,"small",I1496&lt;=6,"Medium",I1496&lt;=9,"Large")</f>
        <v>Medium</v>
      </c>
      <c r="K1496" s="36">
        <v>45130</v>
      </c>
      <c r="L1496" s="36">
        <v>45132</v>
      </c>
      <c r="M1496" t="s">
        <v>598</v>
      </c>
      <c r="N1496" t="s">
        <v>604</v>
      </c>
      <c r="O1496" s="37" t="str">
        <f t="shared" si="118"/>
        <v>Digital Payment</v>
      </c>
      <c r="P1496">
        <v>541.35</v>
      </c>
      <c r="Q1496" s="37" t="str">
        <f>IF(P1496&gt;500,"High","low")</f>
        <v>High</v>
      </c>
      <c r="R1496" s="37" t="str">
        <f t="shared" si="119"/>
        <v>Good</v>
      </c>
      <c r="S1496" t="s">
        <v>605</v>
      </c>
    </row>
    <row r="1497" spans="1:19" x14ac:dyDescent="0.2">
      <c r="A1497" t="s">
        <v>2108</v>
      </c>
      <c r="B1497" t="s">
        <v>75</v>
      </c>
      <c r="C1497" t="s">
        <v>614</v>
      </c>
      <c r="D1497">
        <v>3123.56</v>
      </c>
      <c r="E1497" s="37" t="str">
        <f t="shared" si="115"/>
        <v xml:space="preserve"> </v>
      </c>
      <c r="F1497">
        <v>0.32</v>
      </c>
      <c r="G1497" s="37" t="str">
        <f t="shared" si="116"/>
        <v>Heavy Discount</v>
      </c>
      <c r="H1497" s="37" t="str">
        <f t="shared" si="117"/>
        <v>Medium</v>
      </c>
      <c r="I1497">
        <v>5</v>
      </c>
      <c r="J1497" t="str" cm="1">
        <f t="array" ref="J1497">_xlfn.IFS(I1497&lt;=3,"small",I1497&lt;=6,"Medium",I1497&lt;=9,"Large")</f>
        <v>Medium</v>
      </c>
      <c r="K1497" s="36">
        <v>45223</v>
      </c>
      <c r="L1497" s="36">
        <v>45230</v>
      </c>
      <c r="M1497" t="s">
        <v>612</v>
      </c>
      <c r="N1497" t="s">
        <v>608</v>
      </c>
      <c r="O1497" s="37" t="str">
        <f t="shared" si="118"/>
        <v>Cash Payment</v>
      </c>
      <c r="P1497">
        <v>234.31</v>
      </c>
      <c r="Q1497" s="37" t="str">
        <f>IF(P1497&gt;500,"High","low")</f>
        <v>low</v>
      </c>
      <c r="R1497" s="37" t="str">
        <f t="shared" si="119"/>
        <v>AVERAGE</v>
      </c>
      <c r="S1497" t="s">
        <v>605</v>
      </c>
    </row>
    <row r="1498" spans="1:19" x14ac:dyDescent="0.2">
      <c r="A1498" t="s">
        <v>2109</v>
      </c>
      <c r="B1498" t="s">
        <v>67</v>
      </c>
      <c r="C1498" t="s">
        <v>607</v>
      </c>
      <c r="D1498">
        <v>4011.92</v>
      </c>
      <c r="E1498" s="37" t="str">
        <f t="shared" si="115"/>
        <v>Excellent Order</v>
      </c>
      <c r="F1498">
        <v>0.28000000000000003</v>
      </c>
      <c r="G1498" s="37" t="str">
        <f t="shared" si="116"/>
        <v>Normal Discount</v>
      </c>
      <c r="H1498" s="37" t="str">
        <f t="shared" si="117"/>
        <v>Medium</v>
      </c>
      <c r="I1498">
        <v>7</v>
      </c>
      <c r="J1498" t="str" cm="1">
        <f t="array" ref="J1498">_xlfn.IFS(I1498&lt;=3,"small",I1498&lt;=6,"Medium",I1498&lt;=9,"Large")</f>
        <v>Large</v>
      </c>
      <c r="K1498" s="36">
        <v>45113</v>
      </c>
      <c r="L1498" s="36">
        <v>45118</v>
      </c>
      <c r="M1498" t="s">
        <v>612</v>
      </c>
      <c r="N1498" t="s">
        <v>608</v>
      </c>
      <c r="O1498" s="37" t="str">
        <f t="shared" si="118"/>
        <v>Cash Payment</v>
      </c>
      <c r="P1498">
        <v>1133.48</v>
      </c>
      <c r="Q1498" s="37" t="str">
        <f>IF(P1498&gt;500,"High","low")</f>
        <v>High</v>
      </c>
      <c r="R1498" s="37" t="str">
        <f t="shared" si="119"/>
        <v>Excellent</v>
      </c>
      <c r="S1498" t="s">
        <v>600</v>
      </c>
    </row>
    <row r="1499" spans="1:19" x14ac:dyDescent="0.2">
      <c r="A1499" t="s">
        <v>2110</v>
      </c>
      <c r="B1499" t="s">
        <v>67</v>
      </c>
      <c r="C1499" t="s">
        <v>617</v>
      </c>
      <c r="D1499">
        <v>4391.78</v>
      </c>
      <c r="E1499" s="37" t="str">
        <f t="shared" si="115"/>
        <v>Excellent Order</v>
      </c>
      <c r="F1499">
        <v>0.28000000000000003</v>
      </c>
      <c r="G1499" s="37" t="str">
        <f t="shared" si="116"/>
        <v>Normal Discount</v>
      </c>
      <c r="H1499" s="37" t="str">
        <f t="shared" si="117"/>
        <v>Medium</v>
      </c>
      <c r="I1499">
        <v>6</v>
      </c>
      <c r="J1499" t="str" cm="1">
        <f t="array" ref="J1499">_xlfn.IFS(I1499&lt;=3,"small",I1499&lt;=6,"Medium",I1499&lt;=9,"Large")</f>
        <v>Medium</v>
      </c>
      <c r="K1499" s="36">
        <v>44976</v>
      </c>
      <c r="L1499" s="36">
        <v>44981</v>
      </c>
      <c r="M1499" t="s">
        <v>603</v>
      </c>
      <c r="N1499" t="s">
        <v>608</v>
      </c>
      <c r="O1499" s="37" t="str">
        <f t="shared" si="118"/>
        <v>Cash Payment</v>
      </c>
      <c r="P1499">
        <v>1299.7</v>
      </c>
      <c r="Q1499" s="37" t="str">
        <f>IF(P1499&gt;500,"High","low")</f>
        <v>High</v>
      </c>
      <c r="R1499" s="37" t="str">
        <f t="shared" si="119"/>
        <v>Excellent</v>
      </c>
      <c r="S1499" t="s">
        <v>600</v>
      </c>
    </row>
    <row r="1500" spans="1:19" x14ac:dyDescent="0.2">
      <c r="A1500" t="s">
        <v>2111</v>
      </c>
      <c r="B1500" t="s">
        <v>90</v>
      </c>
      <c r="C1500" t="s">
        <v>597</v>
      </c>
      <c r="D1500">
        <v>2599.5100000000002</v>
      </c>
      <c r="E1500" s="37" t="str">
        <f t="shared" si="115"/>
        <v xml:space="preserve"> </v>
      </c>
      <c r="F1500">
        <v>0.37</v>
      </c>
      <c r="G1500" s="37" t="str">
        <f t="shared" si="116"/>
        <v>Heavy Discount</v>
      </c>
      <c r="H1500" s="37" t="str">
        <f t="shared" si="117"/>
        <v>Medium</v>
      </c>
      <c r="I1500">
        <v>3</v>
      </c>
      <c r="J1500" t="str" cm="1">
        <f t="array" ref="J1500">_xlfn.IFS(I1500&lt;=3,"small",I1500&lt;=6,"Medium",I1500&lt;=9,"Large")</f>
        <v>small</v>
      </c>
      <c r="K1500" s="36">
        <v>45128</v>
      </c>
      <c r="L1500" s="36">
        <v>45130</v>
      </c>
      <c r="M1500" t="s">
        <v>603</v>
      </c>
      <c r="N1500" t="s">
        <v>604</v>
      </c>
      <c r="O1500" s="37" t="str">
        <f t="shared" si="118"/>
        <v>Digital Payment</v>
      </c>
      <c r="P1500">
        <v>405.05</v>
      </c>
      <c r="Q1500" s="37" t="str">
        <f>IF(P1500&gt;500,"High","low")</f>
        <v>low</v>
      </c>
      <c r="R1500" s="37" t="str">
        <f t="shared" si="119"/>
        <v>AVERAGE</v>
      </c>
      <c r="S1500" t="s">
        <v>600</v>
      </c>
    </row>
    <row r="1501" spans="1:19" x14ac:dyDescent="0.2">
      <c r="A1501" t="s">
        <v>2112</v>
      </c>
      <c r="B1501" t="s">
        <v>90</v>
      </c>
      <c r="C1501" t="s">
        <v>607</v>
      </c>
      <c r="D1501">
        <v>2502.4499999999998</v>
      </c>
      <c r="E1501" s="37" t="str">
        <f t="shared" si="115"/>
        <v xml:space="preserve"> </v>
      </c>
      <c r="F1501">
        <v>0.45</v>
      </c>
      <c r="G1501" s="37" t="str">
        <f t="shared" si="116"/>
        <v>Heavy Discount</v>
      </c>
      <c r="H1501" s="37" t="str">
        <f t="shared" si="117"/>
        <v>High</v>
      </c>
      <c r="I1501">
        <v>1</v>
      </c>
      <c r="J1501" t="str" cm="1">
        <f t="array" ref="J1501">_xlfn.IFS(I1501&lt;=3,"small",I1501&lt;=6,"Medium",I1501&lt;=9,"Large")</f>
        <v>small</v>
      </c>
      <c r="K1501" s="36">
        <v>45349</v>
      </c>
      <c r="L1501" s="36">
        <v>45356</v>
      </c>
      <c r="M1501" t="s">
        <v>598</v>
      </c>
      <c r="N1501" t="s">
        <v>599</v>
      </c>
      <c r="O1501" s="37" t="str">
        <f t="shared" si="118"/>
        <v>Digital Payment</v>
      </c>
      <c r="P1501">
        <v>719.03</v>
      </c>
      <c r="Q1501" s="37" t="str">
        <f>IF(P1501&gt;500,"High","low")</f>
        <v>High</v>
      </c>
      <c r="R1501" s="37" t="str">
        <f t="shared" si="119"/>
        <v>Good</v>
      </c>
      <c r="S1501" t="s">
        <v>609</v>
      </c>
    </row>
    <row r="1502" spans="1:19" x14ac:dyDescent="0.2">
      <c r="A1502" t="s">
        <v>2113</v>
      </c>
      <c r="B1502" t="s">
        <v>90</v>
      </c>
      <c r="C1502" t="s">
        <v>614</v>
      </c>
      <c r="D1502">
        <v>3145.82</v>
      </c>
      <c r="E1502" s="37" t="str">
        <f t="shared" si="115"/>
        <v xml:space="preserve"> </v>
      </c>
      <c r="F1502">
        <v>0.19</v>
      </c>
      <c r="G1502" s="37" t="str">
        <f t="shared" si="116"/>
        <v>Normal Discount</v>
      </c>
      <c r="H1502" s="37" t="str">
        <f t="shared" si="117"/>
        <v>Low</v>
      </c>
      <c r="I1502">
        <v>6</v>
      </c>
      <c r="J1502" t="str" cm="1">
        <f t="array" ref="J1502">_xlfn.IFS(I1502&lt;=3,"small",I1502&lt;=6,"Medium",I1502&lt;=9,"Large")</f>
        <v>Medium</v>
      </c>
      <c r="K1502" s="36">
        <v>45084</v>
      </c>
      <c r="L1502" s="36">
        <v>45086</v>
      </c>
      <c r="M1502" t="s">
        <v>603</v>
      </c>
      <c r="N1502" t="s">
        <v>608</v>
      </c>
      <c r="O1502" s="37" t="str">
        <f t="shared" si="118"/>
        <v>Cash Payment</v>
      </c>
      <c r="P1502">
        <v>230.3</v>
      </c>
      <c r="Q1502" s="37" t="str">
        <f>IF(P1502&gt;500,"High","low")</f>
        <v>low</v>
      </c>
      <c r="R1502" s="37" t="str">
        <f t="shared" si="119"/>
        <v>AVERAGE</v>
      </c>
      <c r="S1502" t="s">
        <v>605</v>
      </c>
    </row>
    <row r="1503" spans="1:19" x14ac:dyDescent="0.2">
      <c r="A1503" t="s">
        <v>2114</v>
      </c>
      <c r="B1503" t="s">
        <v>83</v>
      </c>
      <c r="C1503" t="s">
        <v>597</v>
      </c>
      <c r="D1503">
        <v>3673.12</v>
      </c>
      <c r="E1503" s="37" t="str">
        <f t="shared" si="115"/>
        <v xml:space="preserve"> </v>
      </c>
      <c r="F1503">
        <v>0.27</v>
      </c>
      <c r="G1503" s="37" t="str">
        <f t="shared" si="116"/>
        <v>Normal Discount</v>
      </c>
      <c r="H1503" s="37" t="str">
        <f t="shared" si="117"/>
        <v>Medium</v>
      </c>
      <c r="I1503">
        <v>6</v>
      </c>
      <c r="J1503" t="str" cm="1">
        <f t="array" ref="J1503">_xlfn.IFS(I1503&lt;=3,"small",I1503&lt;=6,"Medium",I1503&lt;=9,"Large")</f>
        <v>Medium</v>
      </c>
      <c r="K1503" s="36">
        <v>45091</v>
      </c>
      <c r="L1503" s="36">
        <v>45097</v>
      </c>
      <c r="M1503" t="s">
        <v>603</v>
      </c>
      <c r="N1503" t="s">
        <v>608</v>
      </c>
      <c r="O1503" s="37" t="str">
        <f t="shared" si="118"/>
        <v>Cash Payment</v>
      </c>
      <c r="P1503">
        <v>1019.89</v>
      </c>
      <c r="Q1503" s="37" t="str">
        <f>IF(P1503&gt;500,"High","low")</f>
        <v>High</v>
      </c>
      <c r="R1503" s="37" t="str">
        <f t="shared" si="119"/>
        <v>Excellent</v>
      </c>
      <c r="S1503" t="s">
        <v>620</v>
      </c>
    </row>
    <row r="1504" spans="1:19" x14ac:dyDescent="0.2">
      <c r="A1504" t="s">
        <v>2115</v>
      </c>
      <c r="B1504" t="s">
        <v>83</v>
      </c>
      <c r="C1504" t="s">
        <v>602</v>
      </c>
      <c r="D1504">
        <v>1845.24</v>
      </c>
      <c r="E1504" s="37" t="str">
        <f t="shared" si="115"/>
        <v xml:space="preserve"> </v>
      </c>
      <c r="F1504">
        <v>0.45</v>
      </c>
      <c r="G1504" s="37" t="str">
        <f t="shared" si="116"/>
        <v>Heavy Discount</v>
      </c>
      <c r="H1504" s="37" t="str">
        <f t="shared" si="117"/>
        <v>High</v>
      </c>
      <c r="I1504">
        <v>4</v>
      </c>
      <c r="J1504" t="str" cm="1">
        <f t="array" ref="J1504">_xlfn.IFS(I1504&lt;=3,"small",I1504&lt;=6,"Medium",I1504&lt;=9,"Large")</f>
        <v>Medium</v>
      </c>
      <c r="K1504" s="36">
        <v>45229</v>
      </c>
      <c r="L1504" s="36">
        <v>45234</v>
      </c>
      <c r="M1504" t="s">
        <v>598</v>
      </c>
      <c r="N1504" t="s">
        <v>599</v>
      </c>
      <c r="O1504" s="37" t="str">
        <f t="shared" si="118"/>
        <v>Digital Payment</v>
      </c>
      <c r="P1504">
        <v>251.12</v>
      </c>
      <c r="Q1504" s="37" t="str">
        <f>IF(P1504&gt;500,"High","low")</f>
        <v>low</v>
      </c>
      <c r="R1504" s="37" t="str">
        <f t="shared" si="119"/>
        <v>AVERAGE</v>
      </c>
      <c r="S1504" t="s">
        <v>600</v>
      </c>
    </row>
    <row r="1505" spans="1:19" x14ac:dyDescent="0.2">
      <c r="A1505" t="s">
        <v>2116</v>
      </c>
      <c r="B1505" t="s">
        <v>90</v>
      </c>
      <c r="C1505" t="s">
        <v>602</v>
      </c>
      <c r="D1505">
        <v>2572.75</v>
      </c>
      <c r="E1505" s="37" t="str">
        <f t="shared" si="115"/>
        <v xml:space="preserve"> </v>
      </c>
      <c r="F1505">
        <v>0.23</v>
      </c>
      <c r="G1505" s="37" t="str">
        <f t="shared" si="116"/>
        <v>Normal Discount</v>
      </c>
      <c r="H1505" s="37" t="str">
        <f t="shared" si="117"/>
        <v>Medium</v>
      </c>
      <c r="I1505">
        <v>2</v>
      </c>
      <c r="J1505" t="str" cm="1">
        <f t="array" ref="J1505">_xlfn.IFS(I1505&lt;=3,"small",I1505&lt;=6,"Medium",I1505&lt;=9,"Large")</f>
        <v>small</v>
      </c>
      <c r="K1505" s="36">
        <v>45052</v>
      </c>
      <c r="L1505" s="36">
        <v>45058</v>
      </c>
      <c r="M1505" t="s">
        <v>612</v>
      </c>
      <c r="N1505" t="s">
        <v>599</v>
      </c>
      <c r="O1505" s="37" t="str">
        <f t="shared" si="118"/>
        <v>Digital Payment</v>
      </c>
      <c r="P1505">
        <v>558.12</v>
      </c>
      <c r="Q1505" s="37" t="str">
        <f>IF(P1505&gt;500,"High","low")</f>
        <v>High</v>
      </c>
      <c r="R1505" s="37" t="str">
        <f t="shared" si="119"/>
        <v>Good</v>
      </c>
      <c r="S1505" t="s">
        <v>615</v>
      </c>
    </row>
    <row r="1506" spans="1:19" x14ac:dyDescent="0.2">
      <c r="A1506" t="s">
        <v>2117</v>
      </c>
      <c r="B1506" t="s">
        <v>90</v>
      </c>
      <c r="C1506" t="s">
        <v>607</v>
      </c>
      <c r="D1506">
        <v>2967.01</v>
      </c>
      <c r="E1506" s="37" t="str">
        <f t="shared" si="115"/>
        <v xml:space="preserve"> </v>
      </c>
      <c r="F1506">
        <v>0.22</v>
      </c>
      <c r="G1506" s="37" t="str">
        <f t="shared" si="116"/>
        <v>Normal Discount</v>
      </c>
      <c r="H1506" s="37" t="str">
        <f t="shared" si="117"/>
        <v>Medium</v>
      </c>
      <c r="I1506">
        <v>9</v>
      </c>
      <c r="J1506" t="str" cm="1">
        <f t="array" ref="J1506">_xlfn.IFS(I1506&lt;=3,"small",I1506&lt;=6,"Medium",I1506&lt;=9,"Large")</f>
        <v>Large</v>
      </c>
      <c r="K1506" s="36">
        <v>45656</v>
      </c>
      <c r="L1506" s="36">
        <v>45661</v>
      </c>
      <c r="M1506" t="s">
        <v>612</v>
      </c>
      <c r="N1506" t="s">
        <v>604</v>
      </c>
      <c r="O1506" s="37" t="str">
        <f t="shared" si="118"/>
        <v>Digital Payment</v>
      </c>
      <c r="P1506">
        <v>413.72</v>
      </c>
      <c r="Q1506" s="37" t="str">
        <f>IF(P1506&gt;500,"High","low")</f>
        <v>low</v>
      </c>
      <c r="R1506" s="37" t="str">
        <f t="shared" si="119"/>
        <v>AVERAGE</v>
      </c>
      <c r="S1506" t="s">
        <v>605</v>
      </c>
    </row>
    <row r="1507" spans="1:19" x14ac:dyDescent="0.2">
      <c r="A1507" t="s">
        <v>2118</v>
      </c>
      <c r="B1507" t="s">
        <v>90</v>
      </c>
      <c r="C1507" t="s">
        <v>597</v>
      </c>
      <c r="D1507">
        <v>4943.05</v>
      </c>
      <c r="E1507" s="37" t="str">
        <f t="shared" si="115"/>
        <v>Excellent Order</v>
      </c>
      <c r="F1507">
        <v>0.38</v>
      </c>
      <c r="G1507" s="37" t="str">
        <f t="shared" si="116"/>
        <v>Heavy Discount</v>
      </c>
      <c r="H1507" s="37" t="str">
        <f t="shared" si="117"/>
        <v>Medium</v>
      </c>
      <c r="I1507">
        <v>6</v>
      </c>
      <c r="J1507" t="str" cm="1">
        <f t="array" ref="J1507">_xlfn.IFS(I1507&lt;=3,"small",I1507&lt;=6,"Medium",I1507&lt;=9,"Large")</f>
        <v>Medium</v>
      </c>
      <c r="K1507" s="36">
        <v>45239</v>
      </c>
      <c r="L1507" s="36">
        <v>45244</v>
      </c>
      <c r="M1507" t="s">
        <v>612</v>
      </c>
      <c r="N1507" t="s">
        <v>599</v>
      </c>
      <c r="O1507" s="37" t="str">
        <f t="shared" si="118"/>
        <v>Digital Payment</v>
      </c>
      <c r="P1507">
        <v>987.27</v>
      </c>
      <c r="Q1507" s="37" t="str">
        <f>IF(P1507&gt;500,"High","low")</f>
        <v>High</v>
      </c>
      <c r="R1507" s="37" t="str">
        <f t="shared" si="119"/>
        <v>Good</v>
      </c>
      <c r="S1507" t="s">
        <v>615</v>
      </c>
    </row>
    <row r="1508" spans="1:19" x14ac:dyDescent="0.2">
      <c r="A1508" t="s">
        <v>2119</v>
      </c>
      <c r="B1508" t="s">
        <v>67</v>
      </c>
      <c r="C1508" t="s">
        <v>617</v>
      </c>
      <c r="D1508">
        <v>2979.79</v>
      </c>
      <c r="E1508" s="37" t="str">
        <f t="shared" si="115"/>
        <v xml:space="preserve"> </v>
      </c>
      <c r="F1508">
        <v>0.44</v>
      </c>
      <c r="G1508" s="37" t="str">
        <f t="shared" si="116"/>
        <v>Heavy Discount</v>
      </c>
      <c r="H1508" s="37" t="str">
        <f t="shared" si="117"/>
        <v>High</v>
      </c>
      <c r="I1508">
        <v>1</v>
      </c>
      <c r="J1508" t="str" cm="1">
        <f t="array" ref="J1508">_xlfn.IFS(I1508&lt;=3,"small",I1508&lt;=6,"Medium",I1508&lt;=9,"Large")</f>
        <v>small</v>
      </c>
      <c r="K1508" s="36">
        <v>45188</v>
      </c>
      <c r="L1508" s="36">
        <v>45189</v>
      </c>
      <c r="M1508" t="s">
        <v>598</v>
      </c>
      <c r="N1508" t="s">
        <v>599</v>
      </c>
      <c r="O1508" s="37" t="str">
        <f t="shared" si="118"/>
        <v>Digital Payment</v>
      </c>
      <c r="P1508">
        <v>319.77</v>
      </c>
      <c r="Q1508" s="37" t="str">
        <f>IF(P1508&gt;500,"High","low")</f>
        <v>low</v>
      </c>
      <c r="R1508" s="37" t="str">
        <f t="shared" si="119"/>
        <v>AVERAGE</v>
      </c>
      <c r="S1508" t="s">
        <v>615</v>
      </c>
    </row>
    <row r="1509" spans="1:19" x14ac:dyDescent="0.2">
      <c r="A1509" t="s">
        <v>2120</v>
      </c>
      <c r="B1509" t="s">
        <v>83</v>
      </c>
      <c r="C1509" t="s">
        <v>597</v>
      </c>
      <c r="D1509">
        <v>1198.51</v>
      </c>
      <c r="E1509" s="37" t="str">
        <f t="shared" si="115"/>
        <v xml:space="preserve"> </v>
      </c>
      <c r="F1509">
        <v>0.37</v>
      </c>
      <c r="G1509" s="37" t="str">
        <f t="shared" si="116"/>
        <v>Heavy Discount</v>
      </c>
      <c r="H1509" s="37" t="str">
        <f t="shared" si="117"/>
        <v>Medium</v>
      </c>
      <c r="I1509">
        <v>8</v>
      </c>
      <c r="J1509" t="str" cm="1">
        <f t="array" ref="J1509">_xlfn.IFS(I1509&lt;=3,"small",I1509&lt;=6,"Medium",I1509&lt;=9,"Large")</f>
        <v>Large</v>
      </c>
      <c r="K1509" s="36">
        <v>45547</v>
      </c>
      <c r="L1509" s="36">
        <v>45551</v>
      </c>
      <c r="M1509" t="s">
        <v>598</v>
      </c>
      <c r="N1509" t="s">
        <v>604</v>
      </c>
      <c r="O1509" s="37" t="str">
        <f t="shared" si="118"/>
        <v>Digital Payment</v>
      </c>
      <c r="P1509">
        <v>247.2</v>
      </c>
      <c r="Q1509" s="37" t="str">
        <f>IF(P1509&gt;500,"High","low")</f>
        <v>low</v>
      </c>
      <c r="R1509" s="37" t="str">
        <f t="shared" si="119"/>
        <v>AVERAGE</v>
      </c>
      <c r="S1509" t="s">
        <v>628</v>
      </c>
    </row>
    <row r="1510" spans="1:19" x14ac:dyDescent="0.2">
      <c r="A1510" t="s">
        <v>2121</v>
      </c>
      <c r="B1510" t="s">
        <v>67</v>
      </c>
      <c r="C1510" t="s">
        <v>607</v>
      </c>
      <c r="D1510">
        <v>2981.15</v>
      </c>
      <c r="E1510" s="37" t="str">
        <f t="shared" si="115"/>
        <v xml:space="preserve"> </v>
      </c>
      <c r="F1510">
        <v>0.05</v>
      </c>
      <c r="G1510" s="37" t="str">
        <f t="shared" si="116"/>
        <v>Normal Discount</v>
      </c>
      <c r="H1510" s="37" t="str">
        <f t="shared" si="117"/>
        <v>Low</v>
      </c>
      <c r="I1510">
        <v>7</v>
      </c>
      <c r="J1510" t="str" cm="1">
        <f t="array" ref="J1510">_xlfn.IFS(I1510&lt;=3,"small",I1510&lt;=6,"Medium",I1510&lt;=9,"Large")</f>
        <v>Large</v>
      </c>
      <c r="K1510" s="36">
        <v>45520</v>
      </c>
      <c r="L1510" s="36">
        <v>45522</v>
      </c>
      <c r="M1510" t="s">
        <v>598</v>
      </c>
      <c r="N1510" t="s">
        <v>599</v>
      </c>
      <c r="O1510" s="37" t="str">
        <f t="shared" si="118"/>
        <v>Digital Payment</v>
      </c>
      <c r="P1510">
        <v>528.45000000000005</v>
      </c>
      <c r="Q1510" s="37" t="str">
        <f>IF(P1510&gt;500,"High","low")</f>
        <v>High</v>
      </c>
      <c r="R1510" s="37" t="str">
        <f t="shared" si="119"/>
        <v>Good</v>
      </c>
      <c r="S1510" t="s">
        <v>615</v>
      </c>
    </row>
    <row r="1511" spans="1:19" x14ac:dyDescent="0.2">
      <c r="A1511" t="s">
        <v>2122</v>
      </c>
      <c r="B1511" t="s">
        <v>67</v>
      </c>
      <c r="C1511" t="s">
        <v>617</v>
      </c>
      <c r="D1511">
        <v>4115.55</v>
      </c>
      <c r="E1511" s="37" t="str">
        <f t="shared" si="115"/>
        <v xml:space="preserve"> </v>
      </c>
      <c r="F1511">
        <v>0.23</v>
      </c>
      <c r="G1511" s="37" t="str">
        <f t="shared" si="116"/>
        <v>Normal Discount</v>
      </c>
      <c r="H1511" s="37" t="str">
        <f t="shared" si="117"/>
        <v>Medium</v>
      </c>
      <c r="I1511">
        <v>6</v>
      </c>
      <c r="J1511" t="str" cm="1">
        <f t="array" ref="J1511">_xlfn.IFS(I1511&lt;=3,"small",I1511&lt;=6,"Medium",I1511&lt;=9,"Large")</f>
        <v>Medium</v>
      </c>
      <c r="K1511" s="36">
        <v>45370</v>
      </c>
      <c r="L1511" s="36">
        <v>45371</v>
      </c>
      <c r="M1511" t="s">
        <v>603</v>
      </c>
      <c r="N1511" t="s">
        <v>599</v>
      </c>
      <c r="O1511" s="37" t="str">
        <f t="shared" si="118"/>
        <v>Digital Payment</v>
      </c>
      <c r="P1511">
        <v>578.54</v>
      </c>
      <c r="Q1511" s="37" t="str">
        <f>IF(P1511&gt;500,"High","low")</f>
        <v>High</v>
      </c>
      <c r="R1511" s="37" t="str">
        <f t="shared" si="119"/>
        <v>Good</v>
      </c>
      <c r="S1511" t="s">
        <v>600</v>
      </c>
    </row>
    <row r="1512" spans="1:19" x14ac:dyDescent="0.2">
      <c r="A1512" t="s">
        <v>2123</v>
      </c>
      <c r="B1512" t="s">
        <v>90</v>
      </c>
      <c r="C1512" t="s">
        <v>617</v>
      </c>
      <c r="D1512">
        <v>4301.28</v>
      </c>
      <c r="E1512" s="37" t="str">
        <f t="shared" si="115"/>
        <v xml:space="preserve"> </v>
      </c>
      <c r="F1512">
        <v>0.11</v>
      </c>
      <c r="G1512" s="37" t="str">
        <f t="shared" si="116"/>
        <v>Normal Discount</v>
      </c>
      <c r="H1512" s="37" t="str">
        <f t="shared" si="117"/>
        <v>Low</v>
      </c>
      <c r="I1512">
        <v>1</v>
      </c>
      <c r="J1512" t="str" cm="1">
        <f t="array" ref="J1512">_xlfn.IFS(I1512&lt;=3,"small",I1512&lt;=6,"Medium",I1512&lt;=9,"Large")</f>
        <v>small</v>
      </c>
      <c r="K1512" s="36">
        <v>45407</v>
      </c>
      <c r="L1512" s="36">
        <v>45412</v>
      </c>
      <c r="M1512" t="s">
        <v>598</v>
      </c>
      <c r="N1512" t="s">
        <v>608</v>
      </c>
      <c r="O1512" s="37" t="str">
        <f t="shared" si="118"/>
        <v>Cash Payment</v>
      </c>
      <c r="P1512">
        <v>687.34</v>
      </c>
      <c r="Q1512" s="37" t="str">
        <f>IF(P1512&gt;500,"High","low")</f>
        <v>High</v>
      </c>
      <c r="R1512" s="37" t="str">
        <f t="shared" si="119"/>
        <v>Good</v>
      </c>
      <c r="S1512" t="s">
        <v>615</v>
      </c>
    </row>
    <row r="1513" spans="1:19" x14ac:dyDescent="0.2">
      <c r="A1513" t="s">
        <v>2124</v>
      </c>
      <c r="B1513" t="s">
        <v>90</v>
      </c>
      <c r="C1513" t="s">
        <v>602</v>
      </c>
      <c r="D1513">
        <v>4021.23</v>
      </c>
      <c r="E1513" s="37" t="str">
        <f t="shared" si="115"/>
        <v xml:space="preserve"> </v>
      </c>
      <c r="F1513">
        <v>0.16</v>
      </c>
      <c r="G1513" s="37" t="str">
        <f t="shared" si="116"/>
        <v>Normal Discount</v>
      </c>
      <c r="H1513" s="37" t="str">
        <f t="shared" si="117"/>
        <v>Low</v>
      </c>
      <c r="I1513">
        <v>5</v>
      </c>
      <c r="J1513" t="str" cm="1">
        <f t="array" ref="J1513">_xlfn.IFS(I1513&lt;=3,"small",I1513&lt;=6,"Medium",I1513&lt;=9,"Large")</f>
        <v>Medium</v>
      </c>
      <c r="K1513" s="36">
        <v>45538</v>
      </c>
      <c r="L1513" s="36">
        <v>45542</v>
      </c>
      <c r="M1513" t="s">
        <v>603</v>
      </c>
      <c r="N1513" t="s">
        <v>599</v>
      </c>
      <c r="O1513" s="37" t="str">
        <f t="shared" si="118"/>
        <v>Digital Payment</v>
      </c>
      <c r="P1513">
        <v>703</v>
      </c>
      <c r="Q1513" s="37" t="str">
        <f>IF(P1513&gt;500,"High","low")</f>
        <v>High</v>
      </c>
      <c r="R1513" s="37" t="str">
        <f t="shared" si="119"/>
        <v>Good</v>
      </c>
      <c r="S1513" t="s">
        <v>615</v>
      </c>
    </row>
    <row r="1514" spans="1:19" x14ac:dyDescent="0.2">
      <c r="A1514" t="s">
        <v>2125</v>
      </c>
      <c r="B1514" t="s">
        <v>75</v>
      </c>
      <c r="C1514" t="s">
        <v>597</v>
      </c>
      <c r="D1514">
        <v>4452.2299999999996</v>
      </c>
      <c r="E1514" s="37" t="str">
        <f t="shared" si="115"/>
        <v xml:space="preserve"> </v>
      </c>
      <c r="F1514">
        <v>0.23</v>
      </c>
      <c r="G1514" s="37" t="str">
        <f t="shared" si="116"/>
        <v>Normal Discount</v>
      </c>
      <c r="H1514" s="37" t="str">
        <f t="shared" si="117"/>
        <v>Medium</v>
      </c>
      <c r="I1514">
        <v>4</v>
      </c>
      <c r="J1514" t="str" cm="1">
        <f t="array" ref="J1514">_xlfn.IFS(I1514&lt;=3,"small",I1514&lt;=6,"Medium",I1514&lt;=9,"Large")</f>
        <v>Medium</v>
      </c>
      <c r="K1514" s="36">
        <v>45545</v>
      </c>
      <c r="L1514" s="36">
        <v>45549</v>
      </c>
      <c r="M1514" t="s">
        <v>612</v>
      </c>
      <c r="N1514" t="s">
        <v>608</v>
      </c>
      <c r="O1514" s="37" t="str">
        <f t="shared" si="118"/>
        <v>Cash Payment</v>
      </c>
      <c r="P1514">
        <v>685.62</v>
      </c>
      <c r="Q1514" s="37" t="str">
        <f>IF(P1514&gt;500,"High","low")</f>
        <v>High</v>
      </c>
      <c r="R1514" s="37" t="str">
        <f t="shared" si="119"/>
        <v>Good</v>
      </c>
      <c r="S1514" t="s">
        <v>620</v>
      </c>
    </row>
    <row r="1515" spans="1:19" x14ac:dyDescent="0.2">
      <c r="A1515" t="s">
        <v>2126</v>
      </c>
      <c r="B1515" t="s">
        <v>75</v>
      </c>
      <c r="C1515" t="s">
        <v>617</v>
      </c>
      <c r="D1515">
        <v>1740.36</v>
      </c>
      <c r="E1515" s="37" t="str">
        <f t="shared" si="115"/>
        <v xml:space="preserve"> </v>
      </c>
      <c r="F1515">
        <v>0.11</v>
      </c>
      <c r="G1515" s="37" t="str">
        <f t="shared" si="116"/>
        <v>Normal Discount</v>
      </c>
      <c r="H1515" s="37" t="str">
        <f t="shared" si="117"/>
        <v>Low</v>
      </c>
      <c r="I1515">
        <v>7</v>
      </c>
      <c r="J1515" t="str" cm="1">
        <f t="array" ref="J1515">_xlfn.IFS(I1515&lt;=3,"small",I1515&lt;=6,"Medium",I1515&lt;=9,"Large")</f>
        <v>Large</v>
      </c>
      <c r="K1515" s="36">
        <v>45553</v>
      </c>
      <c r="L1515" s="36">
        <v>45554</v>
      </c>
      <c r="M1515" t="s">
        <v>603</v>
      </c>
      <c r="N1515" t="s">
        <v>599</v>
      </c>
      <c r="O1515" s="37" t="str">
        <f t="shared" si="118"/>
        <v>Digital Payment</v>
      </c>
      <c r="P1515">
        <v>117.38</v>
      </c>
      <c r="Q1515" s="37" t="str">
        <f>IF(P1515&gt;500,"High","low")</f>
        <v>low</v>
      </c>
      <c r="R1515" s="37" t="str">
        <f t="shared" si="119"/>
        <v>AVERAGE</v>
      </c>
      <c r="S1515" t="s">
        <v>628</v>
      </c>
    </row>
    <row r="1516" spans="1:19" x14ac:dyDescent="0.2">
      <c r="A1516" t="s">
        <v>2127</v>
      </c>
      <c r="B1516" t="s">
        <v>67</v>
      </c>
      <c r="C1516" t="s">
        <v>607</v>
      </c>
      <c r="D1516">
        <v>2587.1</v>
      </c>
      <c r="E1516" s="37" t="str">
        <f t="shared" si="115"/>
        <v xml:space="preserve"> </v>
      </c>
      <c r="F1516">
        <v>0.26</v>
      </c>
      <c r="G1516" s="37" t="str">
        <f t="shared" si="116"/>
        <v>Normal Discount</v>
      </c>
      <c r="H1516" s="37" t="str">
        <f t="shared" si="117"/>
        <v>Medium</v>
      </c>
      <c r="I1516">
        <v>2</v>
      </c>
      <c r="J1516" t="str" cm="1">
        <f t="array" ref="J1516">_xlfn.IFS(I1516&lt;=3,"small",I1516&lt;=6,"Medium",I1516&lt;=9,"Large")</f>
        <v>small</v>
      </c>
      <c r="K1516" s="36">
        <v>45259</v>
      </c>
      <c r="L1516" s="36">
        <v>45262</v>
      </c>
      <c r="M1516" t="s">
        <v>603</v>
      </c>
      <c r="N1516" t="s">
        <v>599</v>
      </c>
      <c r="O1516" s="37" t="str">
        <f t="shared" si="118"/>
        <v>Digital Payment</v>
      </c>
      <c r="P1516">
        <v>638.66</v>
      </c>
      <c r="Q1516" s="37" t="str">
        <f>IF(P1516&gt;500,"High","low")</f>
        <v>High</v>
      </c>
      <c r="R1516" s="37" t="str">
        <f t="shared" si="119"/>
        <v>Good</v>
      </c>
      <c r="S1516" t="s">
        <v>600</v>
      </c>
    </row>
    <row r="1517" spans="1:19" x14ac:dyDescent="0.2">
      <c r="A1517" t="s">
        <v>2128</v>
      </c>
      <c r="B1517" t="s">
        <v>83</v>
      </c>
      <c r="C1517" t="s">
        <v>602</v>
      </c>
      <c r="D1517">
        <v>3920</v>
      </c>
      <c r="E1517" s="37" t="str">
        <f t="shared" si="115"/>
        <v xml:space="preserve"> </v>
      </c>
      <c r="F1517">
        <v>0.32</v>
      </c>
      <c r="G1517" s="37" t="str">
        <f t="shared" si="116"/>
        <v>Heavy Discount</v>
      </c>
      <c r="H1517" s="37" t="str">
        <f t="shared" si="117"/>
        <v>Medium</v>
      </c>
      <c r="I1517">
        <v>1</v>
      </c>
      <c r="J1517" t="str" cm="1">
        <f t="array" ref="J1517">_xlfn.IFS(I1517&lt;=3,"small",I1517&lt;=6,"Medium",I1517&lt;=9,"Large")</f>
        <v>small</v>
      </c>
      <c r="K1517" s="36">
        <v>45214</v>
      </c>
      <c r="L1517" s="36">
        <v>45217</v>
      </c>
      <c r="M1517" t="s">
        <v>603</v>
      </c>
      <c r="N1517" t="s">
        <v>599</v>
      </c>
      <c r="O1517" s="37" t="str">
        <f t="shared" si="118"/>
        <v>Digital Payment</v>
      </c>
      <c r="P1517">
        <v>847.03</v>
      </c>
      <c r="Q1517" s="37" t="str">
        <f>IF(P1517&gt;500,"High","low")</f>
        <v>High</v>
      </c>
      <c r="R1517" s="37" t="str">
        <f t="shared" si="119"/>
        <v>Good</v>
      </c>
      <c r="S1517" t="s">
        <v>605</v>
      </c>
    </row>
    <row r="1518" spans="1:19" x14ac:dyDescent="0.2">
      <c r="A1518" t="s">
        <v>2129</v>
      </c>
      <c r="B1518" t="s">
        <v>90</v>
      </c>
      <c r="C1518" t="s">
        <v>617</v>
      </c>
      <c r="D1518">
        <v>1395.8</v>
      </c>
      <c r="E1518" s="37" t="str">
        <f t="shared" si="115"/>
        <v xml:space="preserve"> </v>
      </c>
      <c r="F1518">
        <v>0.44</v>
      </c>
      <c r="G1518" s="37" t="str">
        <f t="shared" si="116"/>
        <v>Heavy Discount</v>
      </c>
      <c r="H1518" s="37" t="str">
        <f t="shared" si="117"/>
        <v>High</v>
      </c>
      <c r="I1518">
        <v>7</v>
      </c>
      <c r="J1518" t="str" cm="1">
        <f t="array" ref="J1518">_xlfn.IFS(I1518&lt;=3,"small",I1518&lt;=6,"Medium",I1518&lt;=9,"Large")</f>
        <v>Large</v>
      </c>
      <c r="K1518" s="36">
        <v>45329</v>
      </c>
      <c r="L1518" s="36">
        <v>45334</v>
      </c>
      <c r="M1518" t="s">
        <v>598</v>
      </c>
      <c r="N1518" t="s">
        <v>608</v>
      </c>
      <c r="O1518" s="37" t="str">
        <f t="shared" si="118"/>
        <v>Cash Payment</v>
      </c>
      <c r="P1518">
        <v>307.48</v>
      </c>
      <c r="Q1518" s="37" t="str">
        <f>IF(P1518&gt;500,"High","low")</f>
        <v>low</v>
      </c>
      <c r="R1518" s="37" t="str">
        <f t="shared" si="119"/>
        <v>AVERAGE</v>
      </c>
      <c r="S1518" t="s">
        <v>609</v>
      </c>
    </row>
    <row r="1519" spans="1:19" x14ac:dyDescent="0.2">
      <c r="A1519" t="s">
        <v>2130</v>
      </c>
      <c r="B1519" t="s">
        <v>90</v>
      </c>
      <c r="C1519" t="s">
        <v>597</v>
      </c>
      <c r="D1519">
        <v>1920.75</v>
      </c>
      <c r="E1519" s="37" t="str">
        <f t="shared" si="115"/>
        <v xml:space="preserve"> </v>
      </c>
      <c r="F1519">
        <v>0.11</v>
      </c>
      <c r="G1519" s="37" t="str">
        <f t="shared" si="116"/>
        <v>Normal Discount</v>
      </c>
      <c r="H1519" s="37" t="str">
        <f t="shared" si="117"/>
        <v>Low</v>
      </c>
      <c r="I1519">
        <v>8</v>
      </c>
      <c r="J1519" t="str" cm="1">
        <f t="array" ref="J1519">_xlfn.IFS(I1519&lt;=3,"small",I1519&lt;=6,"Medium",I1519&lt;=9,"Large")</f>
        <v>Large</v>
      </c>
      <c r="K1519" s="36">
        <v>44957</v>
      </c>
      <c r="L1519" s="36">
        <v>44963</v>
      </c>
      <c r="M1519" t="s">
        <v>598</v>
      </c>
      <c r="N1519" t="s">
        <v>608</v>
      </c>
      <c r="O1519" s="37" t="str">
        <f t="shared" si="118"/>
        <v>Cash Payment</v>
      </c>
      <c r="P1519">
        <v>120.75</v>
      </c>
      <c r="Q1519" s="37" t="str">
        <f>IF(P1519&gt;500,"High","low")</f>
        <v>low</v>
      </c>
      <c r="R1519" s="37" t="str">
        <f t="shared" si="119"/>
        <v>AVERAGE</v>
      </c>
      <c r="S1519" t="s">
        <v>600</v>
      </c>
    </row>
    <row r="1520" spans="1:19" x14ac:dyDescent="0.2">
      <c r="A1520" t="s">
        <v>2131</v>
      </c>
      <c r="B1520" t="s">
        <v>67</v>
      </c>
      <c r="C1520" t="s">
        <v>602</v>
      </c>
      <c r="D1520">
        <v>4172.66</v>
      </c>
      <c r="E1520" s="37" t="str">
        <f t="shared" si="115"/>
        <v>Excellent Order</v>
      </c>
      <c r="F1520">
        <v>0.16</v>
      </c>
      <c r="G1520" s="37" t="str">
        <f t="shared" si="116"/>
        <v>Normal Discount</v>
      </c>
      <c r="H1520" s="37" t="str">
        <f t="shared" si="117"/>
        <v>Low</v>
      </c>
      <c r="I1520">
        <v>5</v>
      </c>
      <c r="J1520" t="str" cm="1">
        <f t="array" ref="J1520">_xlfn.IFS(I1520&lt;=3,"small",I1520&lt;=6,"Medium",I1520&lt;=9,"Large")</f>
        <v>Medium</v>
      </c>
      <c r="K1520" s="36">
        <v>45645</v>
      </c>
      <c r="L1520" s="36">
        <v>45651</v>
      </c>
      <c r="M1520" t="s">
        <v>612</v>
      </c>
      <c r="N1520" t="s">
        <v>608</v>
      </c>
      <c r="O1520" s="37" t="str">
        <f t="shared" si="118"/>
        <v>Cash Payment</v>
      </c>
      <c r="P1520">
        <v>1014.81</v>
      </c>
      <c r="Q1520" s="37" t="str">
        <f>IF(P1520&gt;500,"High","low")</f>
        <v>High</v>
      </c>
      <c r="R1520" s="37" t="str">
        <f t="shared" si="119"/>
        <v>Excellent</v>
      </c>
      <c r="S1520" t="s">
        <v>620</v>
      </c>
    </row>
    <row r="1521" spans="1:19" x14ac:dyDescent="0.2">
      <c r="A1521" t="s">
        <v>2132</v>
      </c>
      <c r="B1521" t="s">
        <v>75</v>
      </c>
      <c r="C1521" t="s">
        <v>597</v>
      </c>
      <c r="D1521">
        <v>3873.42</v>
      </c>
      <c r="E1521" s="37" t="str">
        <f t="shared" si="115"/>
        <v xml:space="preserve"> </v>
      </c>
      <c r="F1521">
        <v>0.2</v>
      </c>
      <c r="G1521" s="37" t="str">
        <f t="shared" si="116"/>
        <v>Normal Discount</v>
      </c>
      <c r="H1521" s="37" t="str">
        <f t="shared" si="117"/>
        <v>Medium</v>
      </c>
      <c r="I1521">
        <v>8</v>
      </c>
      <c r="J1521" t="str" cm="1">
        <f t="array" ref="J1521">_xlfn.IFS(I1521&lt;=3,"small",I1521&lt;=6,"Medium",I1521&lt;=9,"Large")</f>
        <v>Large</v>
      </c>
      <c r="K1521" s="36">
        <v>45482</v>
      </c>
      <c r="L1521" s="36">
        <v>45489</v>
      </c>
      <c r="M1521" t="s">
        <v>603</v>
      </c>
      <c r="N1521" t="s">
        <v>599</v>
      </c>
      <c r="O1521" s="37" t="str">
        <f t="shared" si="118"/>
        <v>Digital Payment</v>
      </c>
      <c r="P1521">
        <v>945.04</v>
      </c>
      <c r="Q1521" s="37" t="str">
        <f>IF(P1521&gt;500,"High","low")</f>
        <v>High</v>
      </c>
      <c r="R1521" s="37" t="str">
        <f t="shared" si="119"/>
        <v>Good</v>
      </c>
      <c r="S1521" t="s">
        <v>600</v>
      </c>
    </row>
    <row r="1522" spans="1:19" x14ac:dyDescent="0.2">
      <c r="A1522" t="s">
        <v>2133</v>
      </c>
      <c r="B1522" t="s">
        <v>83</v>
      </c>
      <c r="C1522" t="s">
        <v>597</v>
      </c>
      <c r="D1522">
        <v>4858.88</v>
      </c>
      <c r="E1522" s="37" t="str">
        <f t="shared" si="115"/>
        <v>Excellent Order</v>
      </c>
      <c r="F1522">
        <v>0.11</v>
      </c>
      <c r="G1522" s="37" t="str">
        <f t="shared" si="116"/>
        <v>Normal Discount</v>
      </c>
      <c r="H1522" s="37" t="str">
        <f t="shared" si="117"/>
        <v>Low</v>
      </c>
      <c r="I1522">
        <v>4</v>
      </c>
      <c r="J1522" t="str" cm="1">
        <f t="array" ref="J1522">_xlfn.IFS(I1522&lt;=3,"small",I1522&lt;=6,"Medium",I1522&lt;=9,"Large")</f>
        <v>Medium</v>
      </c>
      <c r="K1522" s="36">
        <v>45333</v>
      </c>
      <c r="L1522" s="36">
        <v>45336</v>
      </c>
      <c r="M1522" t="s">
        <v>603</v>
      </c>
      <c r="N1522" t="s">
        <v>608</v>
      </c>
      <c r="O1522" s="37" t="str">
        <f t="shared" si="118"/>
        <v>Cash Payment</v>
      </c>
      <c r="P1522">
        <v>1208.18</v>
      </c>
      <c r="Q1522" s="37" t="str">
        <f>IF(P1522&gt;500,"High","low")</f>
        <v>High</v>
      </c>
      <c r="R1522" s="37" t="str">
        <f t="shared" si="119"/>
        <v>Excellent</v>
      </c>
      <c r="S1522" t="s">
        <v>600</v>
      </c>
    </row>
    <row r="1523" spans="1:19" x14ac:dyDescent="0.2">
      <c r="A1523" t="s">
        <v>2134</v>
      </c>
      <c r="B1523" t="s">
        <v>75</v>
      </c>
      <c r="C1523" t="s">
        <v>597</v>
      </c>
      <c r="D1523">
        <v>4980.2700000000004</v>
      </c>
      <c r="E1523" s="37" t="str">
        <f t="shared" si="115"/>
        <v>Excellent Order</v>
      </c>
      <c r="F1523">
        <v>0.17</v>
      </c>
      <c r="G1523" s="37" t="str">
        <f t="shared" si="116"/>
        <v>Normal Discount</v>
      </c>
      <c r="H1523" s="37" t="str">
        <f t="shared" si="117"/>
        <v>Low</v>
      </c>
      <c r="I1523">
        <v>8</v>
      </c>
      <c r="J1523" t="str" cm="1">
        <f t="array" ref="J1523">_xlfn.IFS(I1523&lt;=3,"small",I1523&lt;=6,"Medium",I1523&lt;=9,"Large")</f>
        <v>Large</v>
      </c>
      <c r="K1523" s="36">
        <v>45414</v>
      </c>
      <c r="L1523" s="36">
        <v>45420</v>
      </c>
      <c r="M1523" t="s">
        <v>603</v>
      </c>
      <c r="N1523" t="s">
        <v>599</v>
      </c>
      <c r="O1523" s="37" t="str">
        <f t="shared" si="118"/>
        <v>Digital Payment</v>
      </c>
      <c r="P1523">
        <v>1014.29</v>
      </c>
      <c r="Q1523" s="37" t="str">
        <f>IF(P1523&gt;500,"High","low")</f>
        <v>High</v>
      </c>
      <c r="R1523" s="37" t="str">
        <f t="shared" si="119"/>
        <v>Excellent</v>
      </c>
      <c r="S1523" t="s">
        <v>609</v>
      </c>
    </row>
    <row r="1524" spans="1:19" x14ac:dyDescent="0.2">
      <c r="A1524" t="s">
        <v>2135</v>
      </c>
      <c r="B1524" t="s">
        <v>75</v>
      </c>
      <c r="C1524" t="s">
        <v>602</v>
      </c>
      <c r="D1524">
        <v>1279.6500000000001</v>
      </c>
      <c r="E1524" s="37" t="str">
        <f t="shared" si="115"/>
        <v xml:space="preserve"> </v>
      </c>
      <c r="F1524">
        <v>0.44</v>
      </c>
      <c r="G1524" s="37" t="str">
        <f t="shared" si="116"/>
        <v>Heavy Discount</v>
      </c>
      <c r="H1524" s="37" t="str">
        <f t="shared" si="117"/>
        <v>High</v>
      </c>
      <c r="I1524">
        <v>3</v>
      </c>
      <c r="J1524" t="str" cm="1">
        <f t="array" ref="J1524">_xlfn.IFS(I1524&lt;=3,"small",I1524&lt;=6,"Medium",I1524&lt;=9,"Large")</f>
        <v>small</v>
      </c>
      <c r="K1524" s="36">
        <v>44953</v>
      </c>
      <c r="L1524" s="36">
        <v>44958</v>
      </c>
      <c r="M1524" t="s">
        <v>603</v>
      </c>
      <c r="N1524" t="s">
        <v>604</v>
      </c>
      <c r="O1524" s="37" t="str">
        <f t="shared" si="118"/>
        <v>Digital Payment</v>
      </c>
      <c r="P1524">
        <v>228.57</v>
      </c>
      <c r="Q1524" s="37" t="str">
        <f>IF(P1524&gt;500,"High","low")</f>
        <v>low</v>
      </c>
      <c r="R1524" s="37" t="str">
        <f t="shared" si="119"/>
        <v>AVERAGE</v>
      </c>
      <c r="S1524" t="s">
        <v>620</v>
      </c>
    </row>
    <row r="1525" spans="1:19" x14ac:dyDescent="0.2">
      <c r="A1525" t="s">
        <v>2136</v>
      </c>
      <c r="B1525" t="s">
        <v>75</v>
      </c>
      <c r="C1525" t="s">
        <v>617</v>
      </c>
      <c r="D1525">
        <v>4512.2</v>
      </c>
      <c r="E1525" s="37" t="str">
        <f t="shared" si="115"/>
        <v>Excellent Order</v>
      </c>
      <c r="F1525">
        <v>7.0000000000000007E-2</v>
      </c>
      <c r="G1525" s="37" t="str">
        <f t="shared" si="116"/>
        <v>Normal Discount</v>
      </c>
      <c r="H1525" s="37" t="str">
        <f t="shared" si="117"/>
        <v>Low</v>
      </c>
      <c r="I1525">
        <v>7</v>
      </c>
      <c r="J1525" t="str" cm="1">
        <f t="array" ref="J1525">_xlfn.IFS(I1525&lt;=3,"small",I1525&lt;=6,"Medium",I1525&lt;=9,"Large")</f>
        <v>Large</v>
      </c>
      <c r="K1525" s="36">
        <v>45428</v>
      </c>
      <c r="L1525" s="36">
        <v>45431</v>
      </c>
      <c r="M1525" t="s">
        <v>598</v>
      </c>
      <c r="N1525" t="s">
        <v>608</v>
      </c>
      <c r="O1525" s="37" t="str">
        <f t="shared" si="118"/>
        <v>Cash Payment</v>
      </c>
      <c r="P1525">
        <v>1210.0899999999999</v>
      </c>
      <c r="Q1525" s="37" t="str">
        <f>IF(P1525&gt;500,"High","low")</f>
        <v>High</v>
      </c>
      <c r="R1525" s="37" t="str">
        <f t="shared" si="119"/>
        <v>Excellent</v>
      </c>
      <c r="S1525" t="s">
        <v>620</v>
      </c>
    </row>
    <row r="1526" spans="1:19" x14ac:dyDescent="0.2">
      <c r="A1526" t="s">
        <v>2137</v>
      </c>
      <c r="B1526" t="s">
        <v>75</v>
      </c>
      <c r="C1526" t="s">
        <v>614</v>
      </c>
      <c r="D1526">
        <v>563.13</v>
      </c>
      <c r="E1526" s="37" t="str">
        <f t="shared" si="115"/>
        <v xml:space="preserve"> </v>
      </c>
      <c r="F1526">
        <v>0.22</v>
      </c>
      <c r="G1526" s="37" t="str">
        <f t="shared" si="116"/>
        <v>Normal Discount</v>
      </c>
      <c r="H1526" s="37" t="str">
        <f t="shared" si="117"/>
        <v>Medium</v>
      </c>
      <c r="I1526">
        <v>6</v>
      </c>
      <c r="J1526" t="str" cm="1">
        <f t="array" ref="J1526">_xlfn.IFS(I1526&lt;=3,"small",I1526&lt;=6,"Medium",I1526&lt;=9,"Large")</f>
        <v>Medium</v>
      </c>
      <c r="K1526" s="36">
        <v>45567</v>
      </c>
      <c r="L1526" s="36">
        <v>45568</v>
      </c>
      <c r="M1526" t="s">
        <v>603</v>
      </c>
      <c r="N1526" t="s">
        <v>599</v>
      </c>
      <c r="O1526" s="37" t="str">
        <f t="shared" si="118"/>
        <v>Digital Payment</v>
      </c>
      <c r="P1526">
        <v>110.16</v>
      </c>
      <c r="Q1526" s="37" t="str">
        <f>IF(P1526&gt;500,"High","low")</f>
        <v>low</v>
      </c>
      <c r="R1526" s="37" t="str">
        <f t="shared" si="119"/>
        <v>AVERAGE</v>
      </c>
      <c r="S1526" t="s">
        <v>600</v>
      </c>
    </row>
    <row r="1527" spans="1:19" x14ac:dyDescent="0.2">
      <c r="A1527" t="s">
        <v>2138</v>
      </c>
      <c r="B1527" t="s">
        <v>90</v>
      </c>
      <c r="C1527" t="s">
        <v>617</v>
      </c>
      <c r="D1527">
        <v>3578.02</v>
      </c>
      <c r="E1527" s="37" t="str">
        <f t="shared" si="115"/>
        <v xml:space="preserve"> </v>
      </c>
      <c r="F1527">
        <v>0.16</v>
      </c>
      <c r="G1527" s="37" t="str">
        <f t="shared" si="116"/>
        <v>Normal Discount</v>
      </c>
      <c r="H1527" s="37" t="str">
        <f t="shared" si="117"/>
        <v>Low</v>
      </c>
      <c r="I1527">
        <v>1</v>
      </c>
      <c r="J1527" t="str" cm="1">
        <f t="array" ref="J1527">_xlfn.IFS(I1527&lt;=3,"small",I1527&lt;=6,"Medium",I1527&lt;=9,"Large")</f>
        <v>small</v>
      </c>
      <c r="K1527" s="36">
        <v>45076</v>
      </c>
      <c r="L1527" s="36">
        <v>45080</v>
      </c>
      <c r="M1527" t="s">
        <v>598</v>
      </c>
      <c r="N1527" t="s">
        <v>599</v>
      </c>
      <c r="O1527" s="37" t="str">
        <f t="shared" si="118"/>
        <v>Digital Payment</v>
      </c>
      <c r="P1527">
        <v>261.93</v>
      </c>
      <c r="Q1527" s="37" t="str">
        <f>IF(P1527&gt;500,"High","low")</f>
        <v>low</v>
      </c>
      <c r="R1527" s="37" t="str">
        <f t="shared" si="119"/>
        <v>AVERAGE</v>
      </c>
      <c r="S1527" t="s">
        <v>600</v>
      </c>
    </row>
    <row r="1528" spans="1:19" x14ac:dyDescent="0.2">
      <c r="A1528" t="s">
        <v>2139</v>
      </c>
      <c r="B1528" t="s">
        <v>90</v>
      </c>
      <c r="C1528" t="s">
        <v>602</v>
      </c>
      <c r="D1528">
        <v>1178.49</v>
      </c>
      <c r="E1528" s="37" t="str">
        <f t="shared" si="115"/>
        <v xml:space="preserve"> </v>
      </c>
      <c r="F1528">
        <v>0.04</v>
      </c>
      <c r="G1528" s="37" t="str">
        <f t="shared" si="116"/>
        <v>Normal Discount</v>
      </c>
      <c r="H1528" s="37" t="str">
        <f t="shared" si="117"/>
        <v>Low</v>
      </c>
      <c r="I1528">
        <v>5</v>
      </c>
      <c r="J1528" t="str" cm="1">
        <f t="array" ref="J1528">_xlfn.IFS(I1528&lt;=3,"small",I1528&lt;=6,"Medium",I1528&lt;=9,"Large")</f>
        <v>Medium</v>
      </c>
      <c r="K1528" s="36">
        <v>45251</v>
      </c>
      <c r="L1528" s="36">
        <v>45258</v>
      </c>
      <c r="M1528" t="s">
        <v>612</v>
      </c>
      <c r="N1528" t="s">
        <v>604</v>
      </c>
      <c r="O1528" s="37" t="str">
        <f t="shared" si="118"/>
        <v>Digital Payment</v>
      </c>
      <c r="P1528">
        <v>161.6</v>
      </c>
      <c r="Q1528" s="37" t="str">
        <f>IF(P1528&gt;500,"High","low")</f>
        <v>low</v>
      </c>
      <c r="R1528" s="37" t="str">
        <f t="shared" si="119"/>
        <v>AVERAGE</v>
      </c>
      <c r="S1528" t="s">
        <v>628</v>
      </c>
    </row>
    <row r="1529" spans="1:19" x14ac:dyDescent="0.2">
      <c r="A1529" t="s">
        <v>2140</v>
      </c>
      <c r="B1529" t="s">
        <v>75</v>
      </c>
      <c r="C1529" t="s">
        <v>614</v>
      </c>
      <c r="D1529">
        <v>1571.52</v>
      </c>
      <c r="E1529" s="37" t="str">
        <f t="shared" si="115"/>
        <v xml:space="preserve"> </v>
      </c>
      <c r="F1529">
        <v>0.05</v>
      </c>
      <c r="G1529" s="37" t="str">
        <f t="shared" si="116"/>
        <v>Normal Discount</v>
      </c>
      <c r="H1529" s="37" t="str">
        <f t="shared" si="117"/>
        <v>Low</v>
      </c>
      <c r="I1529">
        <v>4</v>
      </c>
      <c r="J1529" t="str" cm="1">
        <f t="array" ref="J1529">_xlfn.IFS(I1529&lt;=3,"small",I1529&lt;=6,"Medium",I1529&lt;=9,"Large")</f>
        <v>Medium</v>
      </c>
      <c r="K1529" s="36">
        <v>45206</v>
      </c>
      <c r="L1529" s="36">
        <v>45208</v>
      </c>
      <c r="M1529" t="s">
        <v>612</v>
      </c>
      <c r="N1529" t="s">
        <v>599</v>
      </c>
      <c r="O1529" s="37" t="str">
        <f t="shared" si="118"/>
        <v>Digital Payment</v>
      </c>
      <c r="P1529">
        <v>358.76</v>
      </c>
      <c r="Q1529" s="37" t="str">
        <f>IF(P1529&gt;500,"High","low")</f>
        <v>low</v>
      </c>
      <c r="R1529" s="37" t="str">
        <f t="shared" si="119"/>
        <v>AVERAGE</v>
      </c>
      <c r="S1529" t="s">
        <v>605</v>
      </c>
    </row>
    <row r="1530" spans="1:19" x14ac:dyDescent="0.2">
      <c r="A1530" t="s">
        <v>2141</v>
      </c>
      <c r="B1530" t="s">
        <v>83</v>
      </c>
      <c r="C1530" t="s">
        <v>614</v>
      </c>
      <c r="D1530">
        <v>4736.97</v>
      </c>
      <c r="E1530" s="37" t="str">
        <f t="shared" si="115"/>
        <v xml:space="preserve"> </v>
      </c>
      <c r="F1530">
        <v>0.39</v>
      </c>
      <c r="G1530" s="37" t="str">
        <f t="shared" si="116"/>
        <v>Heavy Discount</v>
      </c>
      <c r="H1530" s="37" t="str">
        <f t="shared" si="117"/>
        <v>Medium</v>
      </c>
      <c r="I1530">
        <v>6</v>
      </c>
      <c r="J1530" t="str" cm="1">
        <f t="array" ref="J1530">_xlfn.IFS(I1530&lt;=3,"small",I1530&lt;=6,"Medium",I1530&lt;=9,"Large")</f>
        <v>Medium</v>
      </c>
      <c r="K1530" s="36">
        <v>45562</v>
      </c>
      <c r="L1530" s="36">
        <v>45566</v>
      </c>
      <c r="M1530" t="s">
        <v>598</v>
      </c>
      <c r="N1530" t="s">
        <v>604</v>
      </c>
      <c r="O1530" s="37" t="str">
        <f t="shared" si="118"/>
        <v>Digital Payment</v>
      </c>
      <c r="P1530">
        <v>723.67</v>
      </c>
      <c r="Q1530" s="37" t="str">
        <f>IF(P1530&gt;500,"High","low")</f>
        <v>High</v>
      </c>
      <c r="R1530" s="37" t="str">
        <f t="shared" si="119"/>
        <v>Good</v>
      </c>
      <c r="S1530" t="s">
        <v>609</v>
      </c>
    </row>
    <row r="1531" spans="1:19" x14ac:dyDescent="0.2">
      <c r="A1531" t="s">
        <v>2142</v>
      </c>
      <c r="B1531" t="s">
        <v>67</v>
      </c>
      <c r="C1531" t="s">
        <v>614</v>
      </c>
      <c r="D1531">
        <v>1389.44</v>
      </c>
      <c r="E1531" s="37" t="str">
        <f t="shared" si="115"/>
        <v xml:space="preserve"> </v>
      </c>
      <c r="F1531">
        <v>0.43</v>
      </c>
      <c r="G1531" s="37" t="str">
        <f t="shared" si="116"/>
        <v>Heavy Discount</v>
      </c>
      <c r="H1531" s="37" t="str">
        <f t="shared" si="117"/>
        <v>High</v>
      </c>
      <c r="I1531">
        <v>9</v>
      </c>
      <c r="J1531" t="str" cm="1">
        <f t="array" ref="J1531">_xlfn.IFS(I1531&lt;=3,"small",I1531&lt;=6,"Medium",I1531&lt;=9,"Large")</f>
        <v>Large</v>
      </c>
      <c r="K1531" s="36">
        <v>45215</v>
      </c>
      <c r="L1531" s="36">
        <v>45218</v>
      </c>
      <c r="M1531" t="s">
        <v>598</v>
      </c>
      <c r="N1531" t="s">
        <v>608</v>
      </c>
      <c r="O1531" s="37" t="str">
        <f t="shared" si="118"/>
        <v>Cash Payment</v>
      </c>
      <c r="P1531">
        <v>347.45</v>
      </c>
      <c r="Q1531" s="37" t="str">
        <f>IF(P1531&gt;500,"High","low")</f>
        <v>low</v>
      </c>
      <c r="R1531" s="37" t="str">
        <f t="shared" si="119"/>
        <v>AVERAGE</v>
      </c>
      <c r="S1531" t="s">
        <v>615</v>
      </c>
    </row>
    <row r="1532" spans="1:19" x14ac:dyDescent="0.2">
      <c r="A1532" t="s">
        <v>2143</v>
      </c>
      <c r="B1532" t="s">
        <v>83</v>
      </c>
      <c r="C1532" t="s">
        <v>607</v>
      </c>
      <c r="D1532">
        <v>3398.57</v>
      </c>
      <c r="E1532" s="37" t="str">
        <f t="shared" si="115"/>
        <v xml:space="preserve"> </v>
      </c>
      <c r="F1532">
        <v>0.37</v>
      </c>
      <c r="G1532" s="37" t="str">
        <f t="shared" si="116"/>
        <v>Heavy Discount</v>
      </c>
      <c r="H1532" s="37" t="str">
        <f t="shared" si="117"/>
        <v>Medium</v>
      </c>
      <c r="I1532">
        <v>4</v>
      </c>
      <c r="J1532" t="str" cm="1">
        <f t="array" ref="J1532">_xlfn.IFS(I1532&lt;=3,"small",I1532&lt;=6,"Medium",I1532&lt;=9,"Large")</f>
        <v>Medium</v>
      </c>
      <c r="K1532" s="36">
        <v>45502</v>
      </c>
      <c r="L1532" s="36">
        <v>45506</v>
      </c>
      <c r="M1532" t="s">
        <v>603</v>
      </c>
      <c r="N1532" t="s">
        <v>604</v>
      </c>
      <c r="O1532" s="37" t="str">
        <f t="shared" si="118"/>
        <v>Digital Payment</v>
      </c>
      <c r="P1532">
        <v>566.91999999999996</v>
      </c>
      <c r="Q1532" s="37" t="str">
        <f>IF(P1532&gt;500,"High","low")</f>
        <v>High</v>
      </c>
      <c r="R1532" s="37" t="str">
        <f t="shared" si="119"/>
        <v>Good</v>
      </c>
      <c r="S1532" t="s">
        <v>615</v>
      </c>
    </row>
    <row r="1533" spans="1:19" x14ac:dyDescent="0.2">
      <c r="A1533" t="s">
        <v>2144</v>
      </c>
      <c r="B1533" t="s">
        <v>83</v>
      </c>
      <c r="C1533" t="s">
        <v>602</v>
      </c>
      <c r="D1533">
        <v>972.83</v>
      </c>
      <c r="E1533" s="37" t="str">
        <f t="shared" si="115"/>
        <v xml:space="preserve"> </v>
      </c>
      <c r="F1533">
        <v>0.27</v>
      </c>
      <c r="G1533" s="37" t="str">
        <f t="shared" si="116"/>
        <v>Normal Discount</v>
      </c>
      <c r="H1533" s="37" t="str">
        <f t="shared" si="117"/>
        <v>Medium</v>
      </c>
      <c r="I1533">
        <v>2</v>
      </c>
      <c r="J1533" t="str" cm="1">
        <f t="array" ref="J1533">_xlfn.IFS(I1533&lt;=3,"small",I1533&lt;=6,"Medium",I1533&lt;=9,"Large")</f>
        <v>small</v>
      </c>
      <c r="K1533" s="36">
        <v>45645</v>
      </c>
      <c r="L1533" s="36">
        <v>45652</v>
      </c>
      <c r="M1533" t="s">
        <v>603</v>
      </c>
      <c r="N1533" t="s">
        <v>599</v>
      </c>
      <c r="O1533" s="37" t="str">
        <f t="shared" si="118"/>
        <v>Digital Payment</v>
      </c>
      <c r="P1533">
        <v>142.35</v>
      </c>
      <c r="Q1533" s="37" t="str">
        <f>IF(P1533&gt;500,"High","low")</f>
        <v>low</v>
      </c>
      <c r="R1533" s="37" t="str">
        <f t="shared" si="119"/>
        <v>AVERAGE</v>
      </c>
      <c r="S1533" t="s">
        <v>628</v>
      </c>
    </row>
    <row r="1534" spans="1:19" x14ac:dyDescent="0.2">
      <c r="A1534" t="s">
        <v>2145</v>
      </c>
      <c r="B1534" t="s">
        <v>83</v>
      </c>
      <c r="C1534" t="s">
        <v>607</v>
      </c>
      <c r="D1534">
        <v>557.61</v>
      </c>
      <c r="E1534" s="37" t="str">
        <f t="shared" si="115"/>
        <v xml:space="preserve"> </v>
      </c>
      <c r="F1534">
        <v>0.39</v>
      </c>
      <c r="G1534" s="37" t="str">
        <f t="shared" si="116"/>
        <v>Heavy Discount</v>
      </c>
      <c r="H1534" s="37" t="str">
        <f t="shared" si="117"/>
        <v>Medium</v>
      </c>
      <c r="I1534">
        <v>8</v>
      </c>
      <c r="J1534" t="str" cm="1">
        <f t="array" ref="J1534">_xlfn.IFS(I1534&lt;=3,"small",I1534&lt;=6,"Medium",I1534&lt;=9,"Large")</f>
        <v>Large</v>
      </c>
      <c r="K1534" s="36">
        <v>45480</v>
      </c>
      <c r="L1534" s="36">
        <v>45483</v>
      </c>
      <c r="M1534" t="s">
        <v>603</v>
      </c>
      <c r="N1534" t="s">
        <v>608</v>
      </c>
      <c r="O1534" s="37" t="str">
        <f t="shared" si="118"/>
        <v>Cash Payment</v>
      </c>
      <c r="P1534">
        <v>76.58</v>
      </c>
      <c r="Q1534" s="37" t="str">
        <f>IF(P1534&gt;500,"High","low")</f>
        <v>low</v>
      </c>
      <c r="R1534" s="37" t="str">
        <f t="shared" si="119"/>
        <v>AVERAGE</v>
      </c>
      <c r="S1534" t="s">
        <v>615</v>
      </c>
    </row>
    <row r="1535" spans="1:19" x14ac:dyDescent="0.2">
      <c r="A1535" t="s">
        <v>2146</v>
      </c>
      <c r="B1535" t="s">
        <v>75</v>
      </c>
      <c r="C1535" t="s">
        <v>614</v>
      </c>
      <c r="D1535">
        <v>1762.65</v>
      </c>
      <c r="E1535" s="37" t="str">
        <f t="shared" si="115"/>
        <v xml:space="preserve"> </v>
      </c>
      <c r="F1535">
        <v>0.08</v>
      </c>
      <c r="G1535" s="37" t="str">
        <f t="shared" si="116"/>
        <v>Normal Discount</v>
      </c>
      <c r="H1535" s="37" t="str">
        <f t="shared" si="117"/>
        <v>Low</v>
      </c>
      <c r="I1535">
        <v>1</v>
      </c>
      <c r="J1535" t="str" cm="1">
        <f t="array" ref="J1535">_xlfn.IFS(I1535&lt;=3,"small",I1535&lt;=6,"Medium",I1535&lt;=9,"Large")</f>
        <v>small</v>
      </c>
      <c r="K1535" s="36">
        <v>45128</v>
      </c>
      <c r="L1535" s="36">
        <v>45133</v>
      </c>
      <c r="M1535" t="s">
        <v>603</v>
      </c>
      <c r="N1535" t="s">
        <v>599</v>
      </c>
      <c r="O1535" s="37" t="str">
        <f t="shared" si="118"/>
        <v>Digital Payment</v>
      </c>
      <c r="P1535">
        <v>226.92</v>
      </c>
      <c r="Q1535" s="37" t="str">
        <f>IF(P1535&gt;500,"High","low")</f>
        <v>low</v>
      </c>
      <c r="R1535" s="37" t="str">
        <f t="shared" si="119"/>
        <v>AVERAGE</v>
      </c>
      <c r="S1535" t="s">
        <v>620</v>
      </c>
    </row>
    <row r="1536" spans="1:19" x14ac:dyDescent="0.2">
      <c r="A1536" t="s">
        <v>2147</v>
      </c>
      <c r="B1536" t="s">
        <v>90</v>
      </c>
      <c r="C1536" t="s">
        <v>607</v>
      </c>
      <c r="D1536">
        <v>3158.56</v>
      </c>
      <c r="E1536" s="37" t="str">
        <f t="shared" si="115"/>
        <v xml:space="preserve"> </v>
      </c>
      <c r="F1536">
        <v>0.39</v>
      </c>
      <c r="G1536" s="37" t="str">
        <f t="shared" si="116"/>
        <v>Heavy Discount</v>
      </c>
      <c r="H1536" s="37" t="str">
        <f t="shared" si="117"/>
        <v>Medium</v>
      </c>
      <c r="I1536">
        <v>6</v>
      </c>
      <c r="J1536" t="str" cm="1">
        <f t="array" ref="J1536">_xlfn.IFS(I1536&lt;=3,"small",I1536&lt;=6,"Medium",I1536&lt;=9,"Large")</f>
        <v>Medium</v>
      </c>
      <c r="K1536" s="36">
        <v>45498</v>
      </c>
      <c r="L1536" s="36">
        <v>45500</v>
      </c>
      <c r="M1536" t="s">
        <v>612</v>
      </c>
      <c r="N1536" t="s">
        <v>599</v>
      </c>
      <c r="O1536" s="37" t="str">
        <f t="shared" si="118"/>
        <v>Digital Payment</v>
      </c>
      <c r="P1536">
        <v>536.42999999999995</v>
      </c>
      <c r="Q1536" s="37" t="str">
        <f>IF(P1536&gt;500,"High","low")</f>
        <v>High</v>
      </c>
      <c r="R1536" s="37" t="str">
        <f t="shared" si="119"/>
        <v>Good</v>
      </c>
      <c r="S1536" t="s">
        <v>600</v>
      </c>
    </row>
    <row r="1537" spans="1:19" x14ac:dyDescent="0.2">
      <c r="A1537" t="s">
        <v>2148</v>
      </c>
      <c r="B1537" t="s">
        <v>83</v>
      </c>
      <c r="C1537" t="s">
        <v>607</v>
      </c>
      <c r="D1537">
        <v>1314.93</v>
      </c>
      <c r="E1537" s="37" t="str">
        <f t="shared" si="115"/>
        <v xml:space="preserve"> </v>
      </c>
      <c r="F1537">
        <v>0.21</v>
      </c>
      <c r="G1537" s="37" t="str">
        <f t="shared" si="116"/>
        <v>Normal Discount</v>
      </c>
      <c r="H1537" s="37" t="str">
        <f t="shared" si="117"/>
        <v>Medium</v>
      </c>
      <c r="I1537">
        <v>4</v>
      </c>
      <c r="J1537" t="str" cm="1">
        <f t="array" ref="J1537">_xlfn.IFS(I1537&lt;=3,"small",I1537&lt;=6,"Medium",I1537&lt;=9,"Large")</f>
        <v>Medium</v>
      </c>
      <c r="K1537" s="36">
        <v>45288</v>
      </c>
      <c r="L1537" s="36">
        <v>45295</v>
      </c>
      <c r="M1537" t="s">
        <v>603</v>
      </c>
      <c r="N1537" t="s">
        <v>608</v>
      </c>
      <c r="O1537" s="37" t="str">
        <f t="shared" si="118"/>
        <v>Cash Payment</v>
      </c>
      <c r="P1537">
        <v>262.73</v>
      </c>
      <c r="Q1537" s="37" t="str">
        <f>IF(P1537&gt;500,"High","low")</f>
        <v>low</v>
      </c>
      <c r="R1537" s="37" t="str">
        <f t="shared" si="119"/>
        <v>AVERAGE</v>
      </c>
      <c r="S1537" t="s">
        <v>615</v>
      </c>
    </row>
    <row r="1538" spans="1:19" x14ac:dyDescent="0.2">
      <c r="A1538" t="s">
        <v>2149</v>
      </c>
      <c r="B1538" t="s">
        <v>75</v>
      </c>
      <c r="C1538" t="s">
        <v>602</v>
      </c>
      <c r="D1538">
        <v>1570.83</v>
      </c>
      <c r="E1538" s="37" t="str">
        <f t="shared" si="115"/>
        <v xml:space="preserve"> </v>
      </c>
      <c r="F1538">
        <v>0.38</v>
      </c>
      <c r="G1538" s="37" t="str">
        <f t="shared" si="116"/>
        <v>Heavy Discount</v>
      </c>
      <c r="H1538" s="37" t="str">
        <f t="shared" si="117"/>
        <v>Medium</v>
      </c>
      <c r="I1538">
        <v>6</v>
      </c>
      <c r="J1538" t="str" cm="1">
        <f t="array" ref="J1538">_xlfn.IFS(I1538&lt;=3,"small",I1538&lt;=6,"Medium",I1538&lt;=9,"Large")</f>
        <v>Medium</v>
      </c>
      <c r="K1538" s="36">
        <v>45233</v>
      </c>
      <c r="L1538" s="36">
        <v>45238</v>
      </c>
      <c r="M1538" t="s">
        <v>603</v>
      </c>
      <c r="N1538" t="s">
        <v>599</v>
      </c>
      <c r="O1538" s="37" t="str">
        <f t="shared" si="118"/>
        <v>Digital Payment</v>
      </c>
      <c r="P1538">
        <v>441.72</v>
      </c>
      <c r="Q1538" s="37" t="str">
        <f>IF(P1538&gt;500,"High","low")</f>
        <v>low</v>
      </c>
      <c r="R1538" s="37" t="str">
        <f t="shared" si="119"/>
        <v>AVERAGE</v>
      </c>
      <c r="S1538" t="s">
        <v>600</v>
      </c>
    </row>
    <row r="1539" spans="1:19" x14ac:dyDescent="0.2">
      <c r="A1539" t="s">
        <v>2150</v>
      </c>
      <c r="B1539" t="s">
        <v>83</v>
      </c>
      <c r="C1539" t="s">
        <v>597</v>
      </c>
      <c r="D1539">
        <v>3572.78</v>
      </c>
      <c r="E1539" s="37" t="str">
        <f t="shared" ref="E1539:E1602" si="120">IF(AND(D1539&gt;4000,P1539&gt;800),"Excellent Order"," ")</f>
        <v xml:space="preserve"> </v>
      </c>
      <c r="F1539">
        <v>0.11</v>
      </c>
      <c r="G1539" s="37" t="str">
        <f t="shared" ref="G1539:G1602" si="121">IF(F1539&gt;30%,"Heavy Discount","Normal Discount")</f>
        <v>Normal Discount</v>
      </c>
      <c r="H1539" s="37" t="str">
        <f t="shared" ref="H1539:H1602" si="122">IF(F1539&gt;0.4,"High",IF(F1539&gt;=0.2,"Medium","Low"))</f>
        <v>Low</v>
      </c>
      <c r="I1539">
        <v>3</v>
      </c>
      <c r="J1539" t="str" cm="1">
        <f t="array" ref="J1539">_xlfn.IFS(I1539&lt;=3,"small",I1539&lt;=6,"Medium",I1539&lt;=9,"Large")</f>
        <v>small</v>
      </c>
      <c r="K1539" s="36">
        <v>45303</v>
      </c>
      <c r="L1539" s="36">
        <v>45305</v>
      </c>
      <c r="M1539" t="s">
        <v>598</v>
      </c>
      <c r="N1539" t="s">
        <v>604</v>
      </c>
      <c r="O1539" s="37" t="str">
        <f t="shared" ref="O1539:O1602" si="123">IF(OR(N1539="Card",N1539="UPI"),"Digital Payment","Cash Payment")</f>
        <v>Digital Payment</v>
      </c>
      <c r="P1539">
        <v>832.26</v>
      </c>
      <c r="Q1539" s="37" t="str">
        <f>IF(P1539&gt;500,"High","low")</f>
        <v>High</v>
      </c>
      <c r="R1539" s="37" t="str">
        <f t="shared" ref="R1539:R1602" si="124">IF(P1539&gt;1000,"Excellent",IF(P1539&gt;=500,"Good","AVERAGE"))</f>
        <v>Good</v>
      </c>
      <c r="S1539" t="s">
        <v>609</v>
      </c>
    </row>
    <row r="1540" spans="1:19" x14ac:dyDescent="0.2">
      <c r="A1540" t="s">
        <v>2151</v>
      </c>
      <c r="B1540" t="s">
        <v>83</v>
      </c>
      <c r="C1540" t="s">
        <v>607</v>
      </c>
      <c r="D1540">
        <v>603.70000000000005</v>
      </c>
      <c r="E1540" s="37" t="str">
        <f t="shared" si="120"/>
        <v xml:space="preserve"> </v>
      </c>
      <c r="F1540">
        <v>0.42</v>
      </c>
      <c r="G1540" s="37" t="str">
        <f t="shared" si="121"/>
        <v>Heavy Discount</v>
      </c>
      <c r="H1540" s="37" t="str">
        <f t="shared" si="122"/>
        <v>High</v>
      </c>
      <c r="I1540">
        <v>9</v>
      </c>
      <c r="J1540" t="str" cm="1">
        <f t="array" ref="J1540">_xlfn.IFS(I1540&lt;=3,"small",I1540&lt;=6,"Medium",I1540&lt;=9,"Large")</f>
        <v>Large</v>
      </c>
      <c r="K1540" s="36">
        <v>44991</v>
      </c>
      <c r="L1540" s="36">
        <v>44996</v>
      </c>
      <c r="M1540" t="s">
        <v>612</v>
      </c>
      <c r="N1540" t="s">
        <v>608</v>
      </c>
      <c r="O1540" s="37" t="str">
        <f t="shared" si="123"/>
        <v>Cash Payment</v>
      </c>
      <c r="P1540">
        <v>62.1</v>
      </c>
      <c r="Q1540" s="37" t="str">
        <f>IF(P1540&gt;500,"High","low")</f>
        <v>low</v>
      </c>
      <c r="R1540" s="37" t="str">
        <f t="shared" si="124"/>
        <v>AVERAGE</v>
      </c>
      <c r="S1540" t="s">
        <v>605</v>
      </c>
    </row>
    <row r="1541" spans="1:19" x14ac:dyDescent="0.2">
      <c r="A1541" t="s">
        <v>2152</v>
      </c>
      <c r="B1541" t="s">
        <v>75</v>
      </c>
      <c r="C1541" t="s">
        <v>607</v>
      </c>
      <c r="D1541">
        <v>2289.83</v>
      </c>
      <c r="E1541" s="37" t="str">
        <f t="shared" si="120"/>
        <v xml:space="preserve"> </v>
      </c>
      <c r="F1541">
        <v>0.28000000000000003</v>
      </c>
      <c r="G1541" s="37" t="str">
        <f t="shared" si="121"/>
        <v>Normal Discount</v>
      </c>
      <c r="H1541" s="37" t="str">
        <f t="shared" si="122"/>
        <v>Medium</v>
      </c>
      <c r="I1541">
        <v>3</v>
      </c>
      <c r="J1541" t="str" cm="1">
        <f t="array" ref="J1541">_xlfn.IFS(I1541&lt;=3,"small",I1541&lt;=6,"Medium",I1541&lt;=9,"Large")</f>
        <v>small</v>
      </c>
      <c r="K1541" s="36">
        <v>45460</v>
      </c>
      <c r="L1541" s="36">
        <v>45466</v>
      </c>
      <c r="M1541" t="s">
        <v>598</v>
      </c>
      <c r="N1541" t="s">
        <v>608</v>
      </c>
      <c r="O1541" s="37" t="str">
        <f t="shared" si="123"/>
        <v>Cash Payment</v>
      </c>
      <c r="P1541">
        <v>374.31</v>
      </c>
      <c r="Q1541" s="37" t="str">
        <f>IF(P1541&gt;500,"High","low")</f>
        <v>low</v>
      </c>
      <c r="R1541" s="37" t="str">
        <f t="shared" si="124"/>
        <v>AVERAGE</v>
      </c>
      <c r="S1541" t="s">
        <v>628</v>
      </c>
    </row>
    <row r="1542" spans="1:19" x14ac:dyDescent="0.2">
      <c r="A1542" t="s">
        <v>2153</v>
      </c>
      <c r="B1542" t="s">
        <v>90</v>
      </c>
      <c r="C1542" t="s">
        <v>614</v>
      </c>
      <c r="D1542">
        <v>4714.5</v>
      </c>
      <c r="E1542" s="37" t="str">
        <f t="shared" si="120"/>
        <v xml:space="preserve"> </v>
      </c>
      <c r="F1542">
        <v>0</v>
      </c>
      <c r="G1542" s="37" t="str">
        <f t="shared" si="121"/>
        <v>Normal Discount</v>
      </c>
      <c r="H1542" s="37" t="str">
        <f t="shared" si="122"/>
        <v>Low</v>
      </c>
      <c r="I1542">
        <v>3</v>
      </c>
      <c r="J1542" t="str" cm="1">
        <f t="array" ref="J1542">_xlfn.IFS(I1542&lt;=3,"small",I1542&lt;=6,"Medium",I1542&lt;=9,"Large")</f>
        <v>small</v>
      </c>
      <c r="K1542" s="36">
        <v>45204</v>
      </c>
      <c r="L1542" s="36">
        <v>45209</v>
      </c>
      <c r="M1542" t="s">
        <v>603</v>
      </c>
      <c r="N1542" t="s">
        <v>608</v>
      </c>
      <c r="O1542" s="37" t="str">
        <f t="shared" si="123"/>
        <v>Cash Payment</v>
      </c>
      <c r="P1542">
        <v>597.09</v>
      </c>
      <c r="Q1542" s="37" t="str">
        <f>IF(P1542&gt;500,"High","low")</f>
        <v>High</v>
      </c>
      <c r="R1542" s="37" t="str">
        <f t="shared" si="124"/>
        <v>Good</v>
      </c>
      <c r="S1542" t="s">
        <v>600</v>
      </c>
    </row>
    <row r="1543" spans="1:19" x14ac:dyDescent="0.2">
      <c r="A1543" t="s">
        <v>2154</v>
      </c>
      <c r="B1543" t="s">
        <v>90</v>
      </c>
      <c r="C1543" t="s">
        <v>614</v>
      </c>
      <c r="D1543">
        <v>2045.16</v>
      </c>
      <c r="E1543" s="37" t="str">
        <f t="shared" si="120"/>
        <v xml:space="preserve"> </v>
      </c>
      <c r="F1543">
        <v>0.26</v>
      </c>
      <c r="G1543" s="37" t="str">
        <f t="shared" si="121"/>
        <v>Normal Discount</v>
      </c>
      <c r="H1543" s="37" t="str">
        <f t="shared" si="122"/>
        <v>Medium</v>
      </c>
      <c r="I1543">
        <v>5</v>
      </c>
      <c r="J1543" t="str" cm="1">
        <f t="array" ref="J1543">_xlfn.IFS(I1543&lt;=3,"small",I1543&lt;=6,"Medium",I1543&lt;=9,"Large")</f>
        <v>Medium</v>
      </c>
      <c r="K1543" s="36">
        <v>45400</v>
      </c>
      <c r="L1543" s="36">
        <v>45404</v>
      </c>
      <c r="M1543" t="s">
        <v>612</v>
      </c>
      <c r="N1543" t="s">
        <v>608</v>
      </c>
      <c r="O1543" s="37" t="str">
        <f t="shared" si="123"/>
        <v>Cash Payment</v>
      </c>
      <c r="P1543">
        <v>226.42</v>
      </c>
      <c r="Q1543" s="37" t="str">
        <f>IF(P1543&gt;500,"High","low")</f>
        <v>low</v>
      </c>
      <c r="R1543" s="37" t="str">
        <f t="shared" si="124"/>
        <v>AVERAGE</v>
      </c>
      <c r="S1543" t="s">
        <v>620</v>
      </c>
    </row>
    <row r="1544" spans="1:19" x14ac:dyDescent="0.2">
      <c r="A1544" t="s">
        <v>2155</v>
      </c>
      <c r="B1544" t="s">
        <v>67</v>
      </c>
      <c r="C1544" t="s">
        <v>614</v>
      </c>
      <c r="D1544">
        <v>2227.59</v>
      </c>
      <c r="E1544" s="37" t="str">
        <f t="shared" si="120"/>
        <v xml:space="preserve"> </v>
      </c>
      <c r="F1544">
        <v>0.16</v>
      </c>
      <c r="G1544" s="37" t="str">
        <f t="shared" si="121"/>
        <v>Normal Discount</v>
      </c>
      <c r="H1544" s="37" t="str">
        <f t="shared" si="122"/>
        <v>Low</v>
      </c>
      <c r="I1544">
        <v>7</v>
      </c>
      <c r="J1544" t="str" cm="1">
        <f t="array" ref="J1544">_xlfn.IFS(I1544&lt;=3,"small",I1544&lt;=6,"Medium",I1544&lt;=9,"Large")</f>
        <v>Large</v>
      </c>
      <c r="K1544" s="36">
        <v>45374</v>
      </c>
      <c r="L1544" s="36">
        <v>45376</v>
      </c>
      <c r="M1544" t="s">
        <v>603</v>
      </c>
      <c r="N1544" t="s">
        <v>608</v>
      </c>
      <c r="O1544" s="37" t="str">
        <f t="shared" si="123"/>
        <v>Cash Payment</v>
      </c>
      <c r="P1544">
        <v>477.96</v>
      </c>
      <c r="Q1544" s="37" t="str">
        <f>IF(P1544&gt;500,"High","low")</f>
        <v>low</v>
      </c>
      <c r="R1544" s="37" t="str">
        <f t="shared" si="124"/>
        <v>AVERAGE</v>
      </c>
      <c r="S1544" t="s">
        <v>620</v>
      </c>
    </row>
    <row r="1545" spans="1:19" x14ac:dyDescent="0.2">
      <c r="A1545" t="s">
        <v>2156</v>
      </c>
      <c r="B1545" t="s">
        <v>75</v>
      </c>
      <c r="C1545" t="s">
        <v>617</v>
      </c>
      <c r="D1545">
        <v>3717.2</v>
      </c>
      <c r="E1545" s="37" t="str">
        <f t="shared" si="120"/>
        <v xml:space="preserve"> </v>
      </c>
      <c r="F1545">
        <v>0.03</v>
      </c>
      <c r="G1545" s="37" t="str">
        <f t="shared" si="121"/>
        <v>Normal Discount</v>
      </c>
      <c r="H1545" s="37" t="str">
        <f t="shared" si="122"/>
        <v>Low</v>
      </c>
      <c r="I1545">
        <v>6</v>
      </c>
      <c r="J1545" t="str" cm="1">
        <f t="array" ref="J1545">_xlfn.IFS(I1545&lt;=3,"small",I1545&lt;=6,"Medium",I1545&lt;=9,"Large")</f>
        <v>Medium</v>
      </c>
      <c r="K1545" s="36">
        <v>45309</v>
      </c>
      <c r="L1545" s="36">
        <v>45313</v>
      </c>
      <c r="M1545" t="s">
        <v>603</v>
      </c>
      <c r="N1545" t="s">
        <v>604</v>
      </c>
      <c r="O1545" s="37" t="str">
        <f t="shared" si="123"/>
        <v>Digital Payment</v>
      </c>
      <c r="P1545">
        <v>290.57</v>
      </c>
      <c r="Q1545" s="37" t="str">
        <f>IF(P1545&gt;500,"High","low")</f>
        <v>low</v>
      </c>
      <c r="R1545" s="37" t="str">
        <f t="shared" si="124"/>
        <v>AVERAGE</v>
      </c>
      <c r="S1545" t="s">
        <v>609</v>
      </c>
    </row>
    <row r="1546" spans="1:19" x14ac:dyDescent="0.2">
      <c r="A1546" t="s">
        <v>2157</v>
      </c>
      <c r="B1546" t="s">
        <v>67</v>
      </c>
      <c r="C1546" t="s">
        <v>607</v>
      </c>
      <c r="D1546">
        <v>3917.16</v>
      </c>
      <c r="E1546" s="37" t="str">
        <f t="shared" si="120"/>
        <v xml:space="preserve"> </v>
      </c>
      <c r="F1546">
        <v>0.22</v>
      </c>
      <c r="G1546" s="37" t="str">
        <f t="shared" si="121"/>
        <v>Normal Discount</v>
      </c>
      <c r="H1546" s="37" t="str">
        <f t="shared" si="122"/>
        <v>Medium</v>
      </c>
      <c r="I1546">
        <v>7</v>
      </c>
      <c r="J1546" t="str" cm="1">
        <f t="array" ref="J1546">_xlfn.IFS(I1546&lt;=3,"small",I1546&lt;=6,"Medium",I1546&lt;=9,"Large")</f>
        <v>Large</v>
      </c>
      <c r="K1546" s="36">
        <v>44950</v>
      </c>
      <c r="L1546" s="36">
        <v>44955</v>
      </c>
      <c r="M1546" t="s">
        <v>612</v>
      </c>
      <c r="N1546" t="s">
        <v>608</v>
      </c>
      <c r="O1546" s="37" t="str">
        <f t="shared" si="123"/>
        <v>Cash Payment</v>
      </c>
      <c r="P1546">
        <v>221.3</v>
      </c>
      <c r="Q1546" s="37" t="str">
        <f>IF(P1546&gt;500,"High","low")</f>
        <v>low</v>
      </c>
      <c r="R1546" s="37" t="str">
        <f t="shared" si="124"/>
        <v>AVERAGE</v>
      </c>
      <c r="S1546" t="s">
        <v>600</v>
      </c>
    </row>
    <row r="1547" spans="1:19" x14ac:dyDescent="0.2">
      <c r="A1547" t="s">
        <v>2158</v>
      </c>
      <c r="B1547" t="s">
        <v>67</v>
      </c>
      <c r="C1547" t="s">
        <v>614</v>
      </c>
      <c r="D1547">
        <v>3871.07</v>
      </c>
      <c r="E1547" s="37" t="str">
        <f t="shared" si="120"/>
        <v xml:space="preserve"> </v>
      </c>
      <c r="F1547">
        <v>0.16</v>
      </c>
      <c r="G1547" s="37" t="str">
        <f t="shared" si="121"/>
        <v>Normal Discount</v>
      </c>
      <c r="H1547" s="37" t="str">
        <f t="shared" si="122"/>
        <v>Low</v>
      </c>
      <c r="I1547">
        <v>9</v>
      </c>
      <c r="J1547" t="str" cm="1">
        <f t="array" ref="J1547">_xlfn.IFS(I1547&lt;=3,"small",I1547&lt;=6,"Medium",I1547&lt;=9,"Large")</f>
        <v>Large</v>
      </c>
      <c r="K1547" s="36">
        <v>45468</v>
      </c>
      <c r="L1547" s="36">
        <v>45472</v>
      </c>
      <c r="M1547" t="s">
        <v>598</v>
      </c>
      <c r="N1547" t="s">
        <v>599</v>
      </c>
      <c r="O1547" s="37" t="str">
        <f t="shared" si="123"/>
        <v>Digital Payment</v>
      </c>
      <c r="P1547">
        <v>593.79</v>
      </c>
      <c r="Q1547" s="37" t="str">
        <f>IF(P1547&gt;500,"High","low")</f>
        <v>High</v>
      </c>
      <c r="R1547" s="37" t="str">
        <f t="shared" si="124"/>
        <v>Good</v>
      </c>
      <c r="S1547" t="s">
        <v>628</v>
      </c>
    </row>
    <row r="1548" spans="1:19" x14ac:dyDescent="0.2">
      <c r="A1548" t="s">
        <v>2159</v>
      </c>
      <c r="B1548" t="s">
        <v>67</v>
      </c>
      <c r="C1548" t="s">
        <v>602</v>
      </c>
      <c r="D1548">
        <v>4989.55</v>
      </c>
      <c r="E1548" s="37" t="str">
        <f t="shared" si="120"/>
        <v xml:space="preserve"> </v>
      </c>
      <c r="F1548">
        <v>0.1</v>
      </c>
      <c r="G1548" s="37" t="str">
        <f t="shared" si="121"/>
        <v>Normal Discount</v>
      </c>
      <c r="H1548" s="37" t="str">
        <f t="shared" si="122"/>
        <v>Low</v>
      </c>
      <c r="I1548">
        <v>3</v>
      </c>
      <c r="J1548" t="str" cm="1">
        <f t="array" ref="J1548">_xlfn.IFS(I1548&lt;=3,"small",I1548&lt;=6,"Medium",I1548&lt;=9,"Large")</f>
        <v>small</v>
      </c>
      <c r="K1548" s="36">
        <v>44966</v>
      </c>
      <c r="L1548" s="36">
        <v>44969</v>
      </c>
      <c r="M1548" t="s">
        <v>598</v>
      </c>
      <c r="N1548" t="s">
        <v>604</v>
      </c>
      <c r="O1548" s="37" t="str">
        <f t="shared" si="123"/>
        <v>Digital Payment</v>
      </c>
      <c r="P1548">
        <v>420.84</v>
      </c>
      <c r="Q1548" s="37" t="str">
        <f>IF(P1548&gt;500,"High","low")</f>
        <v>low</v>
      </c>
      <c r="R1548" s="37" t="str">
        <f t="shared" si="124"/>
        <v>AVERAGE</v>
      </c>
      <c r="S1548" t="s">
        <v>628</v>
      </c>
    </row>
    <row r="1549" spans="1:19" x14ac:dyDescent="0.2">
      <c r="A1549" t="s">
        <v>2160</v>
      </c>
      <c r="B1549" t="s">
        <v>90</v>
      </c>
      <c r="C1549" t="s">
        <v>617</v>
      </c>
      <c r="D1549">
        <v>450.11</v>
      </c>
      <c r="E1549" s="37" t="str">
        <f t="shared" si="120"/>
        <v xml:space="preserve"> </v>
      </c>
      <c r="F1549">
        <v>0.17</v>
      </c>
      <c r="G1549" s="37" t="str">
        <f t="shared" si="121"/>
        <v>Normal Discount</v>
      </c>
      <c r="H1549" s="37" t="str">
        <f t="shared" si="122"/>
        <v>Low</v>
      </c>
      <c r="I1549">
        <v>5</v>
      </c>
      <c r="J1549" t="str" cm="1">
        <f t="array" ref="J1549">_xlfn.IFS(I1549&lt;=3,"small",I1549&lt;=6,"Medium",I1549&lt;=9,"Large")</f>
        <v>Medium</v>
      </c>
      <c r="K1549" s="36">
        <v>45007</v>
      </c>
      <c r="L1549" s="36">
        <v>45013</v>
      </c>
      <c r="M1549" t="s">
        <v>603</v>
      </c>
      <c r="N1549" t="s">
        <v>599</v>
      </c>
      <c r="O1549" s="37" t="str">
        <f t="shared" si="123"/>
        <v>Digital Payment</v>
      </c>
      <c r="P1549">
        <v>80</v>
      </c>
      <c r="Q1549" s="37" t="str">
        <f>IF(P1549&gt;500,"High","low")</f>
        <v>low</v>
      </c>
      <c r="R1549" s="37" t="str">
        <f t="shared" si="124"/>
        <v>AVERAGE</v>
      </c>
      <c r="S1549" t="s">
        <v>605</v>
      </c>
    </row>
    <row r="1550" spans="1:19" x14ac:dyDescent="0.2">
      <c r="A1550" t="s">
        <v>2161</v>
      </c>
      <c r="B1550" t="s">
        <v>75</v>
      </c>
      <c r="C1550" t="s">
        <v>597</v>
      </c>
      <c r="D1550">
        <v>4913.04</v>
      </c>
      <c r="E1550" s="37" t="str">
        <f t="shared" si="120"/>
        <v>Excellent Order</v>
      </c>
      <c r="F1550">
        <v>0.09</v>
      </c>
      <c r="G1550" s="37" t="str">
        <f t="shared" si="121"/>
        <v>Normal Discount</v>
      </c>
      <c r="H1550" s="37" t="str">
        <f t="shared" si="122"/>
        <v>Low</v>
      </c>
      <c r="I1550">
        <v>5</v>
      </c>
      <c r="J1550" t="str" cm="1">
        <f t="array" ref="J1550">_xlfn.IFS(I1550&lt;=3,"small",I1550&lt;=6,"Medium",I1550&lt;=9,"Large")</f>
        <v>Medium</v>
      </c>
      <c r="K1550" s="36">
        <v>45576</v>
      </c>
      <c r="L1550" s="36">
        <v>45581</v>
      </c>
      <c r="M1550" t="s">
        <v>598</v>
      </c>
      <c r="N1550" t="s">
        <v>604</v>
      </c>
      <c r="O1550" s="37" t="str">
        <f t="shared" si="123"/>
        <v>Digital Payment</v>
      </c>
      <c r="P1550">
        <v>921.26</v>
      </c>
      <c r="Q1550" s="37" t="str">
        <f>IF(P1550&gt;500,"High","low")</f>
        <v>High</v>
      </c>
      <c r="R1550" s="37" t="str">
        <f t="shared" si="124"/>
        <v>Good</v>
      </c>
      <c r="S1550" t="s">
        <v>628</v>
      </c>
    </row>
    <row r="1551" spans="1:19" x14ac:dyDescent="0.2">
      <c r="A1551" t="s">
        <v>2162</v>
      </c>
      <c r="B1551" t="s">
        <v>67</v>
      </c>
      <c r="C1551" t="s">
        <v>607</v>
      </c>
      <c r="D1551">
        <v>4755.93</v>
      </c>
      <c r="E1551" s="37" t="str">
        <f t="shared" si="120"/>
        <v xml:space="preserve"> </v>
      </c>
      <c r="F1551">
        <v>0.15</v>
      </c>
      <c r="G1551" s="37" t="str">
        <f t="shared" si="121"/>
        <v>Normal Discount</v>
      </c>
      <c r="H1551" s="37" t="str">
        <f t="shared" si="122"/>
        <v>Low</v>
      </c>
      <c r="I1551">
        <v>3</v>
      </c>
      <c r="J1551" t="str" cm="1">
        <f t="array" ref="J1551">_xlfn.IFS(I1551&lt;=3,"small",I1551&lt;=6,"Medium",I1551&lt;=9,"Large")</f>
        <v>small</v>
      </c>
      <c r="K1551" s="36">
        <v>45510</v>
      </c>
      <c r="L1551" s="36">
        <v>45513</v>
      </c>
      <c r="M1551" t="s">
        <v>612</v>
      </c>
      <c r="N1551" t="s">
        <v>604</v>
      </c>
      <c r="O1551" s="37" t="str">
        <f t="shared" si="123"/>
        <v>Digital Payment</v>
      </c>
      <c r="P1551">
        <v>434.89</v>
      </c>
      <c r="Q1551" s="37" t="str">
        <f>IF(P1551&gt;500,"High","low")</f>
        <v>low</v>
      </c>
      <c r="R1551" s="37" t="str">
        <f t="shared" si="124"/>
        <v>AVERAGE</v>
      </c>
      <c r="S1551" t="s">
        <v>620</v>
      </c>
    </row>
    <row r="1552" spans="1:19" x14ac:dyDescent="0.2">
      <c r="A1552" t="s">
        <v>2163</v>
      </c>
      <c r="B1552" t="s">
        <v>75</v>
      </c>
      <c r="C1552" t="s">
        <v>607</v>
      </c>
      <c r="D1552">
        <v>4275.4799999999996</v>
      </c>
      <c r="E1552" s="37" t="str">
        <f t="shared" si="120"/>
        <v>Excellent Order</v>
      </c>
      <c r="F1552">
        <v>0.06</v>
      </c>
      <c r="G1552" s="37" t="str">
        <f t="shared" si="121"/>
        <v>Normal Discount</v>
      </c>
      <c r="H1552" s="37" t="str">
        <f t="shared" si="122"/>
        <v>Low</v>
      </c>
      <c r="I1552">
        <v>9</v>
      </c>
      <c r="J1552" t="str" cm="1">
        <f t="array" ref="J1552">_xlfn.IFS(I1552&lt;=3,"small",I1552&lt;=6,"Medium",I1552&lt;=9,"Large")</f>
        <v>Large</v>
      </c>
      <c r="K1552" s="36">
        <v>45408</v>
      </c>
      <c r="L1552" s="36">
        <v>45415</v>
      </c>
      <c r="M1552" t="s">
        <v>598</v>
      </c>
      <c r="N1552" t="s">
        <v>608</v>
      </c>
      <c r="O1552" s="37" t="str">
        <f t="shared" si="123"/>
        <v>Cash Payment</v>
      </c>
      <c r="P1552">
        <v>958.43</v>
      </c>
      <c r="Q1552" s="37" t="str">
        <f>IF(P1552&gt;500,"High","low")</f>
        <v>High</v>
      </c>
      <c r="R1552" s="37" t="str">
        <f t="shared" si="124"/>
        <v>Good</v>
      </c>
      <c r="S1552" t="s">
        <v>620</v>
      </c>
    </row>
    <row r="1553" spans="1:19" x14ac:dyDescent="0.2">
      <c r="A1553" t="s">
        <v>2164</v>
      </c>
      <c r="B1553" t="s">
        <v>75</v>
      </c>
      <c r="C1553" t="s">
        <v>602</v>
      </c>
      <c r="D1553">
        <v>2325.2199999999998</v>
      </c>
      <c r="E1553" s="37" t="str">
        <f t="shared" si="120"/>
        <v xml:space="preserve"> </v>
      </c>
      <c r="F1553">
        <v>0.04</v>
      </c>
      <c r="G1553" s="37" t="str">
        <f t="shared" si="121"/>
        <v>Normal Discount</v>
      </c>
      <c r="H1553" s="37" t="str">
        <f t="shared" si="122"/>
        <v>Low</v>
      </c>
      <c r="I1553">
        <v>9</v>
      </c>
      <c r="J1553" t="str" cm="1">
        <f t="array" ref="J1553">_xlfn.IFS(I1553&lt;=3,"small",I1553&lt;=6,"Medium",I1553&lt;=9,"Large")</f>
        <v>Large</v>
      </c>
      <c r="K1553" s="36">
        <v>45169</v>
      </c>
      <c r="L1553" s="36">
        <v>45175</v>
      </c>
      <c r="M1553" t="s">
        <v>612</v>
      </c>
      <c r="N1553" t="s">
        <v>604</v>
      </c>
      <c r="O1553" s="37" t="str">
        <f t="shared" si="123"/>
        <v>Digital Payment</v>
      </c>
      <c r="P1553">
        <v>182.54</v>
      </c>
      <c r="Q1553" s="37" t="str">
        <f>IF(P1553&gt;500,"High","low")</f>
        <v>low</v>
      </c>
      <c r="R1553" s="37" t="str">
        <f t="shared" si="124"/>
        <v>AVERAGE</v>
      </c>
      <c r="S1553" t="s">
        <v>609</v>
      </c>
    </row>
    <row r="1554" spans="1:19" x14ac:dyDescent="0.2">
      <c r="A1554" t="s">
        <v>2165</v>
      </c>
      <c r="B1554" t="s">
        <v>90</v>
      </c>
      <c r="C1554" t="s">
        <v>597</v>
      </c>
      <c r="D1554">
        <v>4367.42</v>
      </c>
      <c r="E1554" s="37" t="str">
        <f t="shared" si="120"/>
        <v>Excellent Order</v>
      </c>
      <c r="F1554">
        <v>0.46</v>
      </c>
      <c r="G1554" s="37" t="str">
        <f t="shared" si="121"/>
        <v>Heavy Discount</v>
      </c>
      <c r="H1554" s="37" t="str">
        <f t="shared" si="122"/>
        <v>High</v>
      </c>
      <c r="I1554">
        <v>6</v>
      </c>
      <c r="J1554" t="str" cm="1">
        <f t="array" ref="J1554">_xlfn.IFS(I1554&lt;=3,"small",I1554&lt;=6,"Medium",I1554&lt;=9,"Large")</f>
        <v>Medium</v>
      </c>
      <c r="K1554" s="36">
        <v>45593</v>
      </c>
      <c r="L1554" s="36">
        <v>45598</v>
      </c>
      <c r="M1554" t="s">
        <v>612</v>
      </c>
      <c r="N1554" t="s">
        <v>599</v>
      </c>
      <c r="O1554" s="37" t="str">
        <f t="shared" si="123"/>
        <v>Digital Payment</v>
      </c>
      <c r="P1554">
        <v>892.54</v>
      </c>
      <c r="Q1554" s="37" t="str">
        <f>IF(P1554&gt;500,"High","low")</f>
        <v>High</v>
      </c>
      <c r="R1554" s="37" t="str">
        <f t="shared" si="124"/>
        <v>Good</v>
      </c>
      <c r="S1554" t="s">
        <v>620</v>
      </c>
    </row>
    <row r="1555" spans="1:19" x14ac:dyDescent="0.2">
      <c r="A1555" t="s">
        <v>2166</v>
      </c>
      <c r="B1555" t="s">
        <v>67</v>
      </c>
      <c r="C1555" t="s">
        <v>597</v>
      </c>
      <c r="D1555">
        <v>1182.08</v>
      </c>
      <c r="E1555" s="37" t="str">
        <f t="shared" si="120"/>
        <v xml:space="preserve"> </v>
      </c>
      <c r="F1555">
        <v>0.45</v>
      </c>
      <c r="G1555" s="37" t="str">
        <f t="shared" si="121"/>
        <v>Heavy Discount</v>
      </c>
      <c r="H1555" s="37" t="str">
        <f t="shared" si="122"/>
        <v>High</v>
      </c>
      <c r="I1555">
        <v>5</v>
      </c>
      <c r="J1555" t="str" cm="1">
        <f t="array" ref="J1555">_xlfn.IFS(I1555&lt;=3,"small",I1555&lt;=6,"Medium",I1555&lt;=9,"Large")</f>
        <v>Medium</v>
      </c>
      <c r="K1555" s="36">
        <v>45244</v>
      </c>
      <c r="L1555" s="36">
        <v>45247</v>
      </c>
      <c r="M1555" t="s">
        <v>612</v>
      </c>
      <c r="N1555" t="s">
        <v>608</v>
      </c>
      <c r="O1555" s="37" t="str">
        <f t="shared" si="123"/>
        <v>Cash Payment</v>
      </c>
      <c r="P1555">
        <v>249.83</v>
      </c>
      <c r="Q1555" s="37" t="str">
        <f>IF(P1555&gt;500,"High","low")</f>
        <v>low</v>
      </c>
      <c r="R1555" s="37" t="str">
        <f t="shared" si="124"/>
        <v>AVERAGE</v>
      </c>
      <c r="S1555" t="s">
        <v>615</v>
      </c>
    </row>
    <row r="1556" spans="1:19" x14ac:dyDescent="0.2">
      <c r="A1556" t="s">
        <v>2167</v>
      </c>
      <c r="B1556" t="s">
        <v>67</v>
      </c>
      <c r="C1556" t="s">
        <v>617</v>
      </c>
      <c r="D1556">
        <v>3979.11</v>
      </c>
      <c r="E1556" s="37" t="str">
        <f t="shared" si="120"/>
        <v xml:space="preserve"> </v>
      </c>
      <c r="F1556">
        <v>0.41</v>
      </c>
      <c r="G1556" s="37" t="str">
        <f t="shared" si="121"/>
        <v>Heavy Discount</v>
      </c>
      <c r="H1556" s="37" t="str">
        <f t="shared" si="122"/>
        <v>High</v>
      </c>
      <c r="I1556">
        <v>4</v>
      </c>
      <c r="J1556" t="str" cm="1">
        <f t="array" ref="J1556">_xlfn.IFS(I1556&lt;=3,"small",I1556&lt;=6,"Medium",I1556&lt;=9,"Large")</f>
        <v>Medium</v>
      </c>
      <c r="K1556" s="36">
        <v>45376</v>
      </c>
      <c r="L1556" s="36">
        <v>45383</v>
      </c>
      <c r="M1556" t="s">
        <v>603</v>
      </c>
      <c r="N1556" t="s">
        <v>604</v>
      </c>
      <c r="O1556" s="37" t="str">
        <f t="shared" si="123"/>
        <v>Digital Payment</v>
      </c>
      <c r="P1556">
        <v>1004.14</v>
      </c>
      <c r="Q1556" s="37" t="str">
        <f>IF(P1556&gt;500,"High","low")</f>
        <v>High</v>
      </c>
      <c r="R1556" s="37" t="str">
        <f t="shared" si="124"/>
        <v>Excellent</v>
      </c>
      <c r="S1556" t="s">
        <v>615</v>
      </c>
    </row>
    <row r="1557" spans="1:19" x14ac:dyDescent="0.2">
      <c r="A1557" t="s">
        <v>2168</v>
      </c>
      <c r="B1557" t="s">
        <v>75</v>
      </c>
      <c r="C1557" t="s">
        <v>607</v>
      </c>
      <c r="D1557">
        <v>1007.67</v>
      </c>
      <c r="E1557" s="37" t="str">
        <f t="shared" si="120"/>
        <v xml:space="preserve"> </v>
      </c>
      <c r="F1557">
        <v>0.12</v>
      </c>
      <c r="G1557" s="37" t="str">
        <f t="shared" si="121"/>
        <v>Normal Discount</v>
      </c>
      <c r="H1557" s="37" t="str">
        <f t="shared" si="122"/>
        <v>Low</v>
      </c>
      <c r="I1557">
        <v>4</v>
      </c>
      <c r="J1557" t="str" cm="1">
        <f t="array" ref="J1557">_xlfn.IFS(I1557&lt;=3,"small",I1557&lt;=6,"Medium",I1557&lt;=9,"Large")</f>
        <v>Medium</v>
      </c>
      <c r="K1557" s="36">
        <v>45458</v>
      </c>
      <c r="L1557" s="36">
        <v>45464</v>
      </c>
      <c r="M1557" t="s">
        <v>612</v>
      </c>
      <c r="N1557" t="s">
        <v>608</v>
      </c>
      <c r="O1557" s="37" t="str">
        <f t="shared" si="123"/>
        <v>Cash Payment</v>
      </c>
      <c r="P1557">
        <v>273.8</v>
      </c>
      <c r="Q1557" s="37" t="str">
        <f>IF(P1557&gt;500,"High","low")</f>
        <v>low</v>
      </c>
      <c r="R1557" s="37" t="str">
        <f t="shared" si="124"/>
        <v>AVERAGE</v>
      </c>
      <c r="S1557" t="s">
        <v>628</v>
      </c>
    </row>
    <row r="1558" spans="1:19" x14ac:dyDescent="0.2">
      <c r="A1558" t="s">
        <v>2169</v>
      </c>
      <c r="B1558" t="s">
        <v>83</v>
      </c>
      <c r="C1558" t="s">
        <v>614</v>
      </c>
      <c r="D1558">
        <v>4095.27</v>
      </c>
      <c r="E1558" s="37" t="str">
        <f t="shared" si="120"/>
        <v>Excellent Order</v>
      </c>
      <c r="F1558">
        <v>0.36</v>
      </c>
      <c r="G1558" s="37" t="str">
        <f t="shared" si="121"/>
        <v>Heavy Discount</v>
      </c>
      <c r="H1558" s="37" t="str">
        <f t="shared" si="122"/>
        <v>Medium</v>
      </c>
      <c r="I1558">
        <v>5</v>
      </c>
      <c r="J1558" t="str" cm="1">
        <f t="array" ref="J1558">_xlfn.IFS(I1558&lt;=3,"small",I1558&lt;=6,"Medium",I1558&lt;=9,"Large")</f>
        <v>Medium</v>
      </c>
      <c r="K1558" s="36">
        <v>45045</v>
      </c>
      <c r="L1558" s="36">
        <v>45048</v>
      </c>
      <c r="M1558" t="s">
        <v>612</v>
      </c>
      <c r="N1558" t="s">
        <v>608</v>
      </c>
      <c r="O1558" s="37" t="str">
        <f t="shared" si="123"/>
        <v>Cash Payment</v>
      </c>
      <c r="P1558">
        <v>890.96</v>
      </c>
      <c r="Q1558" s="37" t="str">
        <f>IF(P1558&gt;500,"High","low")</f>
        <v>High</v>
      </c>
      <c r="R1558" s="37" t="str">
        <f t="shared" si="124"/>
        <v>Good</v>
      </c>
      <c r="S1558" t="s">
        <v>609</v>
      </c>
    </row>
    <row r="1559" spans="1:19" x14ac:dyDescent="0.2">
      <c r="A1559" t="s">
        <v>2170</v>
      </c>
      <c r="B1559" t="s">
        <v>90</v>
      </c>
      <c r="C1559" t="s">
        <v>602</v>
      </c>
      <c r="D1559">
        <v>3111.19</v>
      </c>
      <c r="E1559" s="37" t="str">
        <f t="shared" si="120"/>
        <v xml:space="preserve"> </v>
      </c>
      <c r="F1559">
        <v>0.28999999999999998</v>
      </c>
      <c r="G1559" s="37" t="str">
        <f t="shared" si="121"/>
        <v>Normal Discount</v>
      </c>
      <c r="H1559" s="37" t="str">
        <f t="shared" si="122"/>
        <v>Medium</v>
      </c>
      <c r="I1559">
        <v>2</v>
      </c>
      <c r="J1559" t="str" cm="1">
        <f t="array" ref="J1559">_xlfn.IFS(I1559&lt;=3,"small",I1559&lt;=6,"Medium",I1559&lt;=9,"Large")</f>
        <v>small</v>
      </c>
      <c r="K1559" s="36">
        <v>45558</v>
      </c>
      <c r="L1559" s="36">
        <v>45563</v>
      </c>
      <c r="M1559" t="s">
        <v>598</v>
      </c>
      <c r="N1559" t="s">
        <v>599</v>
      </c>
      <c r="O1559" s="37" t="str">
        <f t="shared" si="123"/>
        <v>Digital Payment</v>
      </c>
      <c r="P1559">
        <v>638.37</v>
      </c>
      <c r="Q1559" s="37" t="str">
        <f>IF(P1559&gt;500,"High","low")</f>
        <v>High</v>
      </c>
      <c r="R1559" s="37" t="str">
        <f t="shared" si="124"/>
        <v>Good</v>
      </c>
      <c r="S1559" t="s">
        <v>628</v>
      </c>
    </row>
    <row r="1560" spans="1:19" x14ac:dyDescent="0.2">
      <c r="A1560" t="s">
        <v>2171</v>
      </c>
      <c r="B1560" t="s">
        <v>90</v>
      </c>
      <c r="C1560" t="s">
        <v>602</v>
      </c>
      <c r="D1560">
        <v>580.35</v>
      </c>
      <c r="E1560" s="37" t="str">
        <f t="shared" si="120"/>
        <v xml:space="preserve"> </v>
      </c>
      <c r="F1560">
        <v>0.03</v>
      </c>
      <c r="G1560" s="37" t="str">
        <f t="shared" si="121"/>
        <v>Normal Discount</v>
      </c>
      <c r="H1560" s="37" t="str">
        <f t="shared" si="122"/>
        <v>Low</v>
      </c>
      <c r="I1560">
        <v>8</v>
      </c>
      <c r="J1560" t="str" cm="1">
        <f t="array" ref="J1560">_xlfn.IFS(I1560&lt;=3,"small",I1560&lt;=6,"Medium",I1560&lt;=9,"Large")</f>
        <v>Large</v>
      </c>
      <c r="K1560" s="36">
        <v>45505</v>
      </c>
      <c r="L1560" s="36">
        <v>45508</v>
      </c>
      <c r="M1560" t="s">
        <v>603</v>
      </c>
      <c r="N1560" t="s">
        <v>604</v>
      </c>
      <c r="O1560" s="37" t="str">
        <f t="shared" si="123"/>
        <v>Digital Payment</v>
      </c>
      <c r="P1560">
        <v>127.29</v>
      </c>
      <c r="Q1560" s="37" t="str">
        <f>IF(P1560&gt;500,"High","low")</f>
        <v>low</v>
      </c>
      <c r="R1560" s="37" t="str">
        <f t="shared" si="124"/>
        <v>AVERAGE</v>
      </c>
      <c r="S1560" t="s">
        <v>628</v>
      </c>
    </row>
    <row r="1561" spans="1:19" x14ac:dyDescent="0.2">
      <c r="A1561" t="s">
        <v>2172</v>
      </c>
      <c r="B1561" t="s">
        <v>90</v>
      </c>
      <c r="C1561" t="s">
        <v>602</v>
      </c>
      <c r="D1561">
        <v>4487.07</v>
      </c>
      <c r="E1561" s="37" t="str">
        <f t="shared" si="120"/>
        <v>Excellent Order</v>
      </c>
      <c r="F1561">
        <v>0.45</v>
      </c>
      <c r="G1561" s="37" t="str">
        <f t="shared" si="121"/>
        <v>Heavy Discount</v>
      </c>
      <c r="H1561" s="37" t="str">
        <f t="shared" si="122"/>
        <v>High</v>
      </c>
      <c r="I1561">
        <v>7</v>
      </c>
      <c r="J1561" t="str" cm="1">
        <f t="array" ref="J1561">_xlfn.IFS(I1561&lt;=3,"small",I1561&lt;=6,"Medium",I1561&lt;=9,"Large")</f>
        <v>Large</v>
      </c>
      <c r="K1561" s="36">
        <v>45624</v>
      </c>
      <c r="L1561" s="36">
        <v>45631</v>
      </c>
      <c r="M1561" t="s">
        <v>598</v>
      </c>
      <c r="N1561" t="s">
        <v>599</v>
      </c>
      <c r="O1561" s="37" t="str">
        <f t="shared" si="123"/>
        <v>Digital Payment</v>
      </c>
      <c r="P1561">
        <v>815.99</v>
      </c>
      <c r="Q1561" s="37" t="str">
        <f>IF(P1561&gt;500,"High","low")</f>
        <v>High</v>
      </c>
      <c r="R1561" s="37" t="str">
        <f t="shared" si="124"/>
        <v>Good</v>
      </c>
      <c r="S1561" t="s">
        <v>620</v>
      </c>
    </row>
    <row r="1562" spans="1:19" x14ac:dyDescent="0.2">
      <c r="A1562" t="s">
        <v>2173</v>
      </c>
      <c r="B1562" t="s">
        <v>90</v>
      </c>
      <c r="C1562" t="s">
        <v>602</v>
      </c>
      <c r="D1562">
        <v>2931.99</v>
      </c>
      <c r="E1562" s="37" t="str">
        <f t="shared" si="120"/>
        <v xml:space="preserve"> </v>
      </c>
      <c r="F1562">
        <v>0.5</v>
      </c>
      <c r="G1562" s="37" t="str">
        <f t="shared" si="121"/>
        <v>Heavy Discount</v>
      </c>
      <c r="H1562" s="37" t="str">
        <f t="shared" si="122"/>
        <v>High</v>
      </c>
      <c r="I1562">
        <v>7</v>
      </c>
      <c r="J1562" t="str" cm="1">
        <f t="array" ref="J1562">_xlfn.IFS(I1562&lt;=3,"small",I1562&lt;=6,"Medium",I1562&lt;=9,"Large")</f>
        <v>Large</v>
      </c>
      <c r="K1562" s="36">
        <v>45432</v>
      </c>
      <c r="L1562" s="36">
        <v>45434</v>
      </c>
      <c r="M1562" t="s">
        <v>612</v>
      </c>
      <c r="N1562" t="s">
        <v>604</v>
      </c>
      <c r="O1562" s="37" t="str">
        <f t="shared" si="123"/>
        <v>Digital Payment</v>
      </c>
      <c r="P1562">
        <v>598.78</v>
      </c>
      <c r="Q1562" s="37" t="str">
        <f>IF(P1562&gt;500,"High","low")</f>
        <v>High</v>
      </c>
      <c r="R1562" s="37" t="str">
        <f t="shared" si="124"/>
        <v>Good</v>
      </c>
      <c r="S1562" t="s">
        <v>615</v>
      </c>
    </row>
    <row r="1563" spans="1:19" x14ac:dyDescent="0.2">
      <c r="A1563" t="s">
        <v>2174</v>
      </c>
      <c r="B1563" t="s">
        <v>67</v>
      </c>
      <c r="C1563" t="s">
        <v>614</v>
      </c>
      <c r="D1563">
        <v>3315.62</v>
      </c>
      <c r="E1563" s="37" t="str">
        <f t="shared" si="120"/>
        <v xml:space="preserve"> </v>
      </c>
      <c r="F1563">
        <v>0.35</v>
      </c>
      <c r="G1563" s="37" t="str">
        <f t="shared" si="121"/>
        <v>Heavy Discount</v>
      </c>
      <c r="H1563" s="37" t="str">
        <f t="shared" si="122"/>
        <v>Medium</v>
      </c>
      <c r="I1563">
        <v>1</v>
      </c>
      <c r="J1563" t="str" cm="1">
        <f t="array" ref="J1563">_xlfn.IFS(I1563&lt;=3,"small",I1563&lt;=6,"Medium",I1563&lt;=9,"Large")</f>
        <v>small</v>
      </c>
      <c r="K1563" s="36">
        <v>45351</v>
      </c>
      <c r="L1563" s="36">
        <v>45358</v>
      </c>
      <c r="M1563" t="s">
        <v>603</v>
      </c>
      <c r="N1563" t="s">
        <v>604</v>
      </c>
      <c r="O1563" s="37" t="str">
        <f t="shared" si="123"/>
        <v>Digital Payment</v>
      </c>
      <c r="P1563">
        <v>916.74</v>
      </c>
      <c r="Q1563" s="37" t="str">
        <f>IF(P1563&gt;500,"High","low")</f>
        <v>High</v>
      </c>
      <c r="R1563" s="37" t="str">
        <f t="shared" si="124"/>
        <v>Good</v>
      </c>
      <c r="S1563" t="s">
        <v>609</v>
      </c>
    </row>
    <row r="1564" spans="1:19" x14ac:dyDescent="0.2">
      <c r="A1564" t="s">
        <v>2175</v>
      </c>
      <c r="B1564" t="s">
        <v>67</v>
      </c>
      <c r="C1564" t="s">
        <v>614</v>
      </c>
      <c r="D1564">
        <v>1489.2</v>
      </c>
      <c r="E1564" s="37" t="str">
        <f t="shared" si="120"/>
        <v xml:space="preserve"> </v>
      </c>
      <c r="F1564">
        <v>0.12</v>
      </c>
      <c r="G1564" s="37" t="str">
        <f t="shared" si="121"/>
        <v>Normal Discount</v>
      </c>
      <c r="H1564" s="37" t="str">
        <f t="shared" si="122"/>
        <v>Low</v>
      </c>
      <c r="I1564">
        <v>8</v>
      </c>
      <c r="J1564" t="str" cm="1">
        <f t="array" ref="J1564">_xlfn.IFS(I1564&lt;=3,"small",I1564&lt;=6,"Medium",I1564&lt;=9,"Large")</f>
        <v>Large</v>
      </c>
      <c r="K1564" s="36">
        <v>45158</v>
      </c>
      <c r="L1564" s="36">
        <v>45161</v>
      </c>
      <c r="M1564" t="s">
        <v>598</v>
      </c>
      <c r="N1564" t="s">
        <v>608</v>
      </c>
      <c r="O1564" s="37" t="str">
        <f t="shared" si="123"/>
        <v>Cash Payment</v>
      </c>
      <c r="P1564">
        <v>332.97</v>
      </c>
      <c r="Q1564" s="37" t="str">
        <f>IF(P1564&gt;500,"High","low")</f>
        <v>low</v>
      </c>
      <c r="R1564" s="37" t="str">
        <f t="shared" si="124"/>
        <v>AVERAGE</v>
      </c>
      <c r="S1564" t="s">
        <v>615</v>
      </c>
    </row>
    <row r="1565" spans="1:19" x14ac:dyDescent="0.2">
      <c r="A1565" t="s">
        <v>2176</v>
      </c>
      <c r="B1565" t="s">
        <v>83</v>
      </c>
      <c r="C1565" t="s">
        <v>617</v>
      </c>
      <c r="D1565">
        <v>4371.01</v>
      </c>
      <c r="E1565" s="37" t="str">
        <f t="shared" si="120"/>
        <v xml:space="preserve"> </v>
      </c>
      <c r="F1565">
        <v>0.28000000000000003</v>
      </c>
      <c r="G1565" s="37" t="str">
        <f t="shared" si="121"/>
        <v>Normal Discount</v>
      </c>
      <c r="H1565" s="37" t="str">
        <f t="shared" si="122"/>
        <v>Medium</v>
      </c>
      <c r="I1565">
        <v>1</v>
      </c>
      <c r="J1565" t="str" cm="1">
        <f t="array" ref="J1565">_xlfn.IFS(I1565&lt;=3,"small",I1565&lt;=6,"Medium",I1565&lt;=9,"Large")</f>
        <v>small</v>
      </c>
      <c r="K1565" s="36">
        <v>45502</v>
      </c>
      <c r="L1565" s="36">
        <v>45507</v>
      </c>
      <c r="M1565" t="s">
        <v>598</v>
      </c>
      <c r="N1565" t="s">
        <v>608</v>
      </c>
      <c r="O1565" s="37" t="str">
        <f t="shared" si="123"/>
        <v>Cash Payment</v>
      </c>
      <c r="P1565">
        <v>547.69000000000005</v>
      </c>
      <c r="Q1565" s="37" t="str">
        <f>IF(P1565&gt;500,"High","low")</f>
        <v>High</v>
      </c>
      <c r="R1565" s="37" t="str">
        <f t="shared" si="124"/>
        <v>Good</v>
      </c>
      <c r="S1565" t="s">
        <v>605</v>
      </c>
    </row>
    <row r="1566" spans="1:19" x14ac:dyDescent="0.2">
      <c r="A1566" t="s">
        <v>2177</v>
      </c>
      <c r="B1566" t="s">
        <v>90</v>
      </c>
      <c r="C1566" t="s">
        <v>607</v>
      </c>
      <c r="D1566">
        <v>2771.48</v>
      </c>
      <c r="E1566" s="37" t="str">
        <f t="shared" si="120"/>
        <v xml:space="preserve"> </v>
      </c>
      <c r="F1566">
        <v>0.05</v>
      </c>
      <c r="G1566" s="37" t="str">
        <f t="shared" si="121"/>
        <v>Normal Discount</v>
      </c>
      <c r="H1566" s="37" t="str">
        <f t="shared" si="122"/>
        <v>Low</v>
      </c>
      <c r="I1566">
        <v>9</v>
      </c>
      <c r="J1566" t="str" cm="1">
        <f t="array" ref="J1566">_xlfn.IFS(I1566&lt;=3,"small",I1566&lt;=6,"Medium",I1566&lt;=9,"Large")</f>
        <v>Large</v>
      </c>
      <c r="K1566" s="36">
        <v>45228</v>
      </c>
      <c r="L1566" s="36">
        <v>45234</v>
      </c>
      <c r="M1566" t="s">
        <v>603</v>
      </c>
      <c r="N1566" t="s">
        <v>599</v>
      </c>
      <c r="O1566" s="37" t="str">
        <f t="shared" si="123"/>
        <v>Digital Payment</v>
      </c>
      <c r="P1566">
        <v>633.97</v>
      </c>
      <c r="Q1566" s="37" t="str">
        <f>IF(P1566&gt;500,"High","low")</f>
        <v>High</v>
      </c>
      <c r="R1566" s="37" t="str">
        <f t="shared" si="124"/>
        <v>Good</v>
      </c>
      <c r="S1566" t="s">
        <v>620</v>
      </c>
    </row>
    <row r="1567" spans="1:19" x14ac:dyDescent="0.2">
      <c r="A1567" t="s">
        <v>2178</v>
      </c>
      <c r="B1567" t="s">
        <v>90</v>
      </c>
      <c r="C1567" t="s">
        <v>614</v>
      </c>
      <c r="D1567">
        <v>2163.4899999999998</v>
      </c>
      <c r="E1567" s="37" t="str">
        <f t="shared" si="120"/>
        <v xml:space="preserve"> </v>
      </c>
      <c r="F1567">
        <v>0.15</v>
      </c>
      <c r="G1567" s="37" t="str">
        <f t="shared" si="121"/>
        <v>Normal Discount</v>
      </c>
      <c r="H1567" s="37" t="str">
        <f t="shared" si="122"/>
        <v>Low</v>
      </c>
      <c r="I1567">
        <v>6</v>
      </c>
      <c r="J1567" t="str" cm="1">
        <f t="array" ref="J1567">_xlfn.IFS(I1567&lt;=3,"small",I1567&lt;=6,"Medium",I1567&lt;=9,"Large")</f>
        <v>Medium</v>
      </c>
      <c r="K1567" s="36">
        <v>45370</v>
      </c>
      <c r="L1567" s="36">
        <v>45372</v>
      </c>
      <c r="M1567" t="s">
        <v>603</v>
      </c>
      <c r="N1567" t="s">
        <v>599</v>
      </c>
      <c r="O1567" s="37" t="str">
        <f t="shared" si="123"/>
        <v>Digital Payment</v>
      </c>
      <c r="P1567">
        <v>157.18</v>
      </c>
      <c r="Q1567" s="37" t="str">
        <f>IF(P1567&gt;500,"High","low")</f>
        <v>low</v>
      </c>
      <c r="R1567" s="37" t="str">
        <f t="shared" si="124"/>
        <v>AVERAGE</v>
      </c>
      <c r="S1567" t="s">
        <v>620</v>
      </c>
    </row>
    <row r="1568" spans="1:19" x14ac:dyDescent="0.2">
      <c r="A1568" t="s">
        <v>2179</v>
      </c>
      <c r="B1568" t="s">
        <v>75</v>
      </c>
      <c r="C1568" t="s">
        <v>617</v>
      </c>
      <c r="D1568">
        <v>2717.98</v>
      </c>
      <c r="E1568" s="37" t="str">
        <f t="shared" si="120"/>
        <v xml:space="preserve"> </v>
      </c>
      <c r="F1568">
        <v>0.36</v>
      </c>
      <c r="G1568" s="37" t="str">
        <f t="shared" si="121"/>
        <v>Heavy Discount</v>
      </c>
      <c r="H1568" s="37" t="str">
        <f t="shared" si="122"/>
        <v>Medium</v>
      </c>
      <c r="I1568">
        <v>8</v>
      </c>
      <c r="J1568" t="str" cm="1">
        <f t="array" ref="J1568">_xlfn.IFS(I1568&lt;=3,"small",I1568&lt;=6,"Medium",I1568&lt;=9,"Large")</f>
        <v>Large</v>
      </c>
      <c r="K1568" s="36">
        <v>45465</v>
      </c>
      <c r="L1568" s="36">
        <v>45467</v>
      </c>
      <c r="M1568" t="s">
        <v>612</v>
      </c>
      <c r="N1568" t="s">
        <v>604</v>
      </c>
      <c r="O1568" s="37" t="str">
        <f t="shared" si="123"/>
        <v>Digital Payment</v>
      </c>
      <c r="P1568">
        <v>443.76</v>
      </c>
      <c r="Q1568" s="37" t="str">
        <f>IF(P1568&gt;500,"High","low")</f>
        <v>low</v>
      </c>
      <c r="R1568" s="37" t="str">
        <f t="shared" si="124"/>
        <v>AVERAGE</v>
      </c>
      <c r="S1568" t="s">
        <v>600</v>
      </c>
    </row>
    <row r="1569" spans="1:19" x14ac:dyDescent="0.2">
      <c r="A1569" t="s">
        <v>2180</v>
      </c>
      <c r="B1569" t="s">
        <v>67</v>
      </c>
      <c r="C1569" t="s">
        <v>597</v>
      </c>
      <c r="D1569">
        <v>3546.23</v>
      </c>
      <c r="E1569" s="37" t="str">
        <f t="shared" si="120"/>
        <v xml:space="preserve"> </v>
      </c>
      <c r="F1569">
        <v>0.15</v>
      </c>
      <c r="G1569" s="37" t="str">
        <f t="shared" si="121"/>
        <v>Normal Discount</v>
      </c>
      <c r="H1569" s="37" t="str">
        <f t="shared" si="122"/>
        <v>Low</v>
      </c>
      <c r="I1569">
        <v>1</v>
      </c>
      <c r="J1569" t="str" cm="1">
        <f t="array" ref="J1569">_xlfn.IFS(I1569&lt;=3,"small",I1569&lt;=6,"Medium",I1569&lt;=9,"Large")</f>
        <v>small</v>
      </c>
      <c r="K1569" s="36">
        <v>45112</v>
      </c>
      <c r="L1569" s="36">
        <v>45114</v>
      </c>
      <c r="M1569" t="s">
        <v>598</v>
      </c>
      <c r="N1569" t="s">
        <v>608</v>
      </c>
      <c r="O1569" s="37" t="str">
        <f t="shared" si="123"/>
        <v>Cash Payment</v>
      </c>
      <c r="P1569">
        <v>525.77</v>
      </c>
      <c r="Q1569" s="37" t="str">
        <f>IF(P1569&gt;500,"High","low")</f>
        <v>High</v>
      </c>
      <c r="R1569" s="37" t="str">
        <f t="shared" si="124"/>
        <v>Good</v>
      </c>
      <c r="S1569" t="s">
        <v>605</v>
      </c>
    </row>
    <row r="1570" spans="1:19" x14ac:dyDescent="0.2">
      <c r="A1570" t="s">
        <v>2181</v>
      </c>
      <c r="B1570" t="s">
        <v>90</v>
      </c>
      <c r="C1570" t="s">
        <v>607</v>
      </c>
      <c r="D1570">
        <v>3505.73</v>
      </c>
      <c r="E1570" s="37" t="str">
        <f t="shared" si="120"/>
        <v xml:space="preserve"> </v>
      </c>
      <c r="F1570">
        <v>7.0000000000000007E-2</v>
      </c>
      <c r="G1570" s="37" t="str">
        <f t="shared" si="121"/>
        <v>Normal Discount</v>
      </c>
      <c r="H1570" s="37" t="str">
        <f t="shared" si="122"/>
        <v>Low</v>
      </c>
      <c r="I1570">
        <v>6</v>
      </c>
      <c r="J1570" t="str" cm="1">
        <f t="array" ref="J1570">_xlfn.IFS(I1570&lt;=3,"small",I1570&lt;=6,"Medium",I1570&lt;=9,"Large")</f>
        <v>Medium</v>
      </c>
      <c r="K1570" s="36">
        <v>45078</v>
      </c>
      <c r="L1570" s="36">
        <v>45082</v>
      </c>
      <c r="M1570" t="s">
        <v>598</v>
      </c>
      <c r="N1570" t="s">
        <v>604</v>
      </c>
      <c r="O1570" s="37" t="str">
        <f t="shared" si="123"/>
        <v>Digital Payment</v>
      </c>
      <c r="P1570">
        <v>468.32</v>
      </c>
      <c r="Q1570" s="37" t="str">
        <f>IF(P1570&gt;500,"High","low")</f>
        <v>low</v>
      </c>
      <c r="R1570" s="37" t="str">
        <f t="shared" si="124"/>
        <v>AVERAGE</v>
      </c>
      <c r="S1570" t="s">
        <v>605</v>
      </c>
    </row>
    <row r="1571" spans="1:19" x14ac:dyDescent="0.2">
      <c r="A1571" t="s">
        <v>2182</v>
      </c>
      <c r="B1571" t="s">
        <v>83</v>
      </c>
      <c r="C1571" t="s">
        <v>614</v>
      </c>
      <c r="D1571">
        <v>1852.13</v>
      </c>
      <c r="E1571" s="37" t="str">
        <f t="shared" si="120"/>
        <v xml:space="preserve"> </v>
      </c>
      <c r="F1571">
        <v>0</v>
      </c>
      <c r="G1571" s="37" t="str">
        <f t="shared" si="121"/>
        <v>Normal Discount</v>
      </c>
      <c r="H1571" s="37" t="str">
        <f t="shared" si="122"/>
        <v>Low</v>
      </c>
      <c r="I1571">
        <v>1</v>
      </c>
      <c r="J1571" t="str" cm="1">
        <f t="array" ref="J1571">_xlfn.IFS(I1571&lt;=3,"small",I1571&lt;=6,"Medium",I1571&lt;=9,"Large")</f>
        <v>small</v>
      </c>
      <c r="K1571" s="36">
        <v>45461</v>
      </c>
      <c r="L1571" s="36">
        <v>45463</v>
      </c>
      <c r="M1571" t="s">
        <v>598</v>
      </c>
      <c r="N1571" t="s">
        <v>599</v>
      </c>
      <c r="O1571" s="37" t="str">
        <f t="shared" si="123"/>
        <v>Digital Payment</v>
      </c>
      <c r="P1571">
        <v>381.21</v>
      </c>
      <c r="Q1571" s="37" t="str">
        <f>IF(P1571&gt;500,"High","low")</f>
        <v>low</v>
      </c>
      <c r="R1571" s="37" t="str">
        <f t="shared" si="124"/>
        <v>AVERAGE</v>
      </c>
      <c r="S1571" t="s">
        <v>620</v>
      </c>
    </row>
    <row r="1572" spans="1:19" x14ac:dyDescent="0.2">
      <c r="A1572" t="s">
        <v>2183</v>
      </c>
      <c r="B1572" t="s">
        <v>83</v>
      </c>
      <c r="C1572" t="s">
        <v>597</v>
      </c>
      <c r="D1572">
        <v>1987.77</v>
      </c>
      <c r="E1572" s="37" t="str">
        <f t="shared" si="120"/>
        <v xml:space="preserve"> </v>
      </c>
      <c r="F1572">
        <v>0.28999999999999998</v>
      </c>
      <c r="G1572" s="37" t="str">
        <f t="shared" si="121"/>
        <v>Normal Discount</v>
      </c>
      <c r="H1572" s="37" t="str">
        <f t="shared" si="122"/>
        <v>Medium</v>
      </c>
      <c r="I1572">
        <v>3</v>
      </c>
      <c r="J1572" t="str" cm="1">
        <f t="array" ref="J1572">_xlfn.IFS(I1572&lt;=3,"small",I1572&lt;=6,"Medium",I1572&lt;=9,"Large")</f>
        <v>small</v>
      </c>
      <c r="K1572" s="36">
        <v>45446</v>
      </c>
      <c r="L1572" s="36">
        <v>45452</v>
      </c>
      <c r="M1572" t="s">
        <v>603</v>
      </c>
      <c r="N1572" t="s">
        <v>604</v>
      </c>
      <c r="O1572" s="37" t="str">
        <f t="shared" si="123"/>
        <v>Digital Payment</v>
      </c>
      <c r="P1572">
        <v>183.44</v>
      </c>
      <c r="Q1572" s="37" t="str">
        <f>IF(P1572&gt;500,"High","low")</f>
        <v>low</v>
      </c>
      <c r="R1572" s="37" t="str">
        <f t="shared" si="124"/>
        <v>AVERAGE</v>
      </c>
      <c r="S1572" t="s">
        <v>620</v>
      </c>
    </row>
    <row r="1573" spans="1:19" x14ac:dyDescent="0.2">
      <c r="A1573" t="s">
        <v>2184</v>
      </c>
      <c r="B1573" t="s">
        <v>67</v>
      </c>
      <c r="C1573" t="s">
        <v>617</v>
      </c>
      <c r="D1573">
        <v>2854.97</v>
      </c>
      <c r="E1573" s="37" t="str">
        <f t="shared" si="120"/>
        <v xml:space="preserve"> </v>
      </c>
      <c r="F1573">
        <v>0.48</v>
      </c>
      <c r="G1573" s="37" t="str">
        <f t="shared" si="121"/>
        <v>Heavy Discount</v>
      </c>
      <c r="H1573" s="37" t="str">
        <f t="shared" si="122"/>
        <v>High</v>
      </c>
      <c r="I1573">
        <v>2</v>
      </c>
      <c r="J1573" t="str" cm="1">
        <f t="array" ref="J1573">_xlfn.IFS(I1573&lt;=3,"small",I1573&lt;=6,"Medium",I1573&lt;=9,"Large")</f>
        <v>small</v>
      </c>
      <c r="K1573" s="36">
        <v>45140</v>
      </c>
      <c r="L1573" s="36">
        <v>45144</v>
      </c>
      <c r="M1573" t="s">
        <v>612</v>
      </c>
      <c r="N1573" t="s">
        <v>608</v>
      </c>
      <c r="O1573" s="37" t="str">
        <f t="shared" si="123"/>
        <v>Cash Payment</v>
      </c>
      <c r="P1573">
        <v>815.09</v>
      </c>
      <c r="Q1573" s="37" t="str">
        <f>IF(P1573&gt;500,"High","low")</f>
        <v>High</v>
      </c>
      <c r="R1573" s="37" t="str">
        <f t="shared" si="124"/>
        <v>Good</v>
      </c>
      <c r="S1573" t="s">
        <v>615</v>
      </c>
    </row>
    <row r="1574" spans="1:19" x14ac:dyDescent="0.2">
      <c r="A1574" t="s">
        <v>2185</v>
      </c>
      <c r="B1574" t="s">
        <v>83</v>
      </c>
      <c r="C1574" t="s">
        <v>614</v>
      </c>
      <c r="D1574">
        <v>4629.59</v>
      </c>
      <c r="E1574" s="37" t="str">
        <f t="shared" si="120"/>
        <v xml:space="preserve"> </v>
      </c>
      <c r="F1574">
        <v>0.24</v>
      </c>
      <c r="G1574" s="37" t="str">
        <f t="shared" si="121"/>
        <v>Normal Discount</v>
      </c>
      <c r="H1574" s="37" t="str">
        <f t="shared" si="122"/>
        <v>Medium</v>
      </c>
      <c r="I1574">
        <v>2</v>
      </c>
      <c r="J1574" t="str" cm="1">
        <f t="array" ref="J1574">_xlfn.IFS(I1574&lt;=3,"small",I1574&lt;=6,"Medium",I1574&lt;=9,"Large")</f>
        <v>small</v>
      </c>
      <c r="K1574" s="36">
        <v>45582</v>
      </c>
      <c r="L1574" s="36">
        <v>45588</v>
      </c>
      <c r="M1574" t="s">
        <v>612</v>
      </c>
      <c r="N1574" t="s">
        <v>599</v>
      </c>
      <c r="O1574" s="37" t="str">
        <f t="shared" si="123"/>
        <v>Digital Payment</v>
      </c>
      <c r="P1574">
        <v>529.49</v>
      </c>
      <c r="Q1574" s="37" t="str">
        <f>IF(P1574&gt;500,"High","low")</f>
        <v>High</v>
      </c>
      <c r="R1574" s="37" t="str">
        <f t="shared" si="124"/>
        <v>Good</v>
      </c>
      <c r="S1574" t="s">
        <v>609</v>
      </c>
    </row>
    <row r="1575" spans="1:19" x14ac:dyDescent="0.2">
      <c r="A1575" t="s">
        <v>2186</v>
      </c>
      <c r="B1575" t="s">
        <v>83</v>
      </c>
      <c r="C1575" t="s">
        <v>614</v>
      </c>
      <c r="D1575">
        <v>3752.61</v>
      </c>
      <c r="E1575" s="37" t="str">
        <f t="shared" si="120"/>
        <v xml:space="preserve"> </v>
      </c>
      <c r="F1575">
        <v>0.11</v>
      </c>
      <c r="G1575" s="37" t="str">
        <f t="shared" si="121"/>
        <v>Normal Discount</v>
      </c>
      <c r="H1575" s="37" t="str">
        <f t="shared" si="122"/>
        <v>Low</v>
      </c>
      <c r="I1575">
        <v>4</v>
      </c>
      <c r="J1575" t="str" cm="1">
        <f t="array" ref="J1575">_xlfn.IFS(I1575&lt;=3,"small",I1575&lt;=6,"Medium",I1575&lt;=9,"Large")</f>
        <v>Medium</v>
      </c>
      <c r="K1575" s="36">
        <v>45413</v>
      </c>
      <c r="L1575" s="36">
        <v>45420</v>
      </c>
      <c r="M1575" t="s">
        <v>598</v>
      </c>
      <c r="N1575" t="s">
        <v>608</v>
      </c>
      <c r="O1575" s="37" t="str">
        <f t="shared" si="123"/>
        <v>Cash Payment</v>
      </c>
      <c r="P1575">
        <v>838.33</v>
      </c>
      <c r="Q1575" s="37" t="str">
        <f>IF(P1575&gt;500,"High","low")</f>
        <v>High</v>
      </c>
      <c r="R1575" s="37" t="str">
        <f t="shared" si="124"/>
        <v>Good</v>
      </c>
      <c r="S1575" t="s">
        <v>615</v>
      </c>
    </row>
    <row r="1576" spans="1:19" x14ac:dyDescent="0.2">
      <c r="A1576" t="s">
        <v>2187</v>
      </c>
      <c r="B1576" t="s">
        <v>67</v>
      </c>
      <c r="C1576" t="s">
        <v>597</v>
      </c>
      <c r="D1576">
        <v>2013.03</v>
      </c>
      <c r="E1576" s="37" t="str">
        <f t="shared" si="120"/>
        <v xml:space="preserve"> </v>
      </c>
      <c r="F1576">
        <v>0.23</v>
      </c>
      <c r="G1576" s="37" t="str">
        <f t="shared" si="121"/>
        <v>Normal Discount</v>
      </c>
      <c r="H1576" s="37" t="str">
        <f t="shared" si="122"/>
        <v>Medium</v>
      </c>
      <c r="I1576">
        <v>7</v>
      </c>
      <c r="J1576" t="str" cm="1">
        <f t="array" ref="J1576">_xlfn.IFS(I1576&lt;=3,"small",I1576&lt;=6,"Medium",I1576&lt;=9,"Large")</f>
        <v>Large</v>
      </c>
      <c r="K1576" s="36">
        <v>45624</v>
      </c>
      <c r="L1576" s="36">
        <v>45625</v>
      </c>
      <c r="M1576" t="s">
        <v>598</v>
      </c>
      <c r="N1576" t="s">
        <v>599</v>
      </c>
      <c r="O1576" s="37" t="str">
        <f t="shared" si="123"/>
        <v>Digital Payment</v>
      </c>
      <c r="P1576">
        <v>320.92</v>
      </c>
      <c r="Q1576" s="37" t="str">
        <f>IF(P1576&gt;500,"High","low")</f>
        <v>low</v>
      </c>
      <c r="R1576" s="37" t="str">
        <f t="shared" si="124"/>
        <v>AVERAGE</v>
      </c>
      <c r="S1576" t="s">
        <v>615</v>
      </c>
    </row>
    <row r="1577" spans="1:19" x14ac:dyDescent="0.2">
      <c r="A1577" t="s">
        <v>2188</v>
      </c>
      <c r="B1577" t="s">
        <v>90</v>
      </c>
      <c r="C1577" t="s">
        <v>614</v>
      </c>
      <c r="D1577">
        <v>1751.46</v>
      </c>
      <c r="E1577" s="37" t="str">
        <f t="shared" si="120"/>
        <v xml:space="preserve"> </v>
      </c>
      <c r="F1577">
        <v>0.3</v>
      </c>
      <c r="G1577" s="37" t="str">
        <f t="shared" si="121"/>
        <v>Normal Discount</v>
      </c>
      <c r="H1577" s="37" t="str">
        <f t="shared" si="122"/>
        <v>Medium</v>
      </c>
      <c r="I1577">
        <v>3</v>
      </c>
      <c r="J1577" t="str" cm="1">
        <f t="array" ref="J1577">_xlfn.IFS(I1577&lt;=3,"small",I1577&lt;=6,"Medium",I1577&lt;=9,"Large")</f>
        <v>small</v>
      </c>
      <c r="K1577" s="36">
        <v>45339</v>
      </c>
      <c r="L1577" s="36">
        <v>45345</v>
      </c>
      <c r="M1577" t="s">
        <v>612</v>
      </c>
      <c r="N1577" t="s">
        <v>599</v>
      </c>
      <c r="O1577" s="37" t="str">
        <f t="shared" si="123"/>
        <v>Digital Payment</v>
      </c>
      <c r="P1577">
        <v>177.17</v>
      </c>
      <c r="Q1577" s="37" t="str">
        <f>IF(P1577&gt;500,"High","low")</f>
        <v>low</v>
      </c>
      <c r="R1577" s="37" t="str">
        <f t="shared" si="124"/>
        <v>AVERAGE</v>
      </c>
      <c r="S1577" t="s">
        <v>600</v>
      </c>
    </row>
    <row r="1578" spans="1:19" x14ac:dyDescent="0.2">
      <c r="A1578" t="s">
        <v>2189</v>
      </c>
      <c r="B1578" t="s">
        <v>90</v>
      </c>
      <c r="C1578" t="s">
        <v>602</v>
      </c>
      <c r="D1578">
        <v>2665.82</v>
      </c>
      <c r="E1578" s="37" t="str">
        <f t="shared" si="120"/>
        <v xml:space="preserve"> </v>
      </c>
      <c r="F1578">
        <v>0.4</v>
      </c>
      <c r="G1578" s="37" t="str">
        <f t="shared" si="121"/>
        <v>Heavy Discount</v>
      </c>
      <c r="H1578" s="37" t="str">
        <f t="shared" si="122"/>
        <v>Medium</v>
      </c>
      <c r="I1578">
        <v>7</v>
      </c>
      <c r="J1578" t="str" cm="1">
        <f t="array" ref="J1578">_xlfn.IFS(I1578&lt;=3,"small",I1578&lt;=6,"Medium",I1578&lt;=9,"Large")</f>
        <v>Large</v>
      </c>
      <c r="K1578" s="36">
        <v>45245</v>
      </c>
      <c r="L1578" s="36">
        <v>45248</v>
      </c>
      <c r="M1578" t="s">
        <v>603</v>
      </c>
      <c r="N1578" t="s">
        <v>608</v>
      </c>
      <c r="O1578" s="37" t="str">
        <f t="shared" si="123"/>
        <v>Cash Payment</v>
      </c>
      <c r="P1578">
        <v>415.79</v>
      </c>
      <c r="Q1578" s="37" t="str">
        <f>IF(P1578&gt;500,"High","low")</f>
        <v>low</v>
      </c>
      <c r="R1578" s="37" t="str">
        <f t="shared" si="124"/>
        <v>AVERAGE</v>
      </c>
      <c r="S1578" t="s">
        <v>615</v>
      </c>
    </row>
    <row r="1579" spans="1:19" x14ac:dyDescent="0.2">
      <c r="A1579" t="s">
        <v>2190</v>
      </c>
      <c r="B1579" t="s">
        <v>83</v>
      </c>
      <c r="C1579" t="s">
        <v>614</v>
      </c>
      <c r="D1579">
        <v>4362.96</v>
      </c>
      <c r="E1579" s="37" t="str">
        <f t="shared" si="120"/>
        <v xml:space="preserve"> </v>
      </c>
      <c r="F1579">
        <v>0.23</v>
      </c>
      <c r="G1579" s="37" t="str">
        <f t="shared" si="121"/>
        <v>Normal Discount</v>
      </c>
      <c r="H1579" s="37" t="str">
        <f t="shared" si="122"/>
        <v>Medium</v>
      </c>
      <c r="I1579">
        <v>9</v>
      </c>
      <c r="J1579" t="str" cm="1">
        <f t="array" ref="J1579">_xlfn.IFS(I1579&lt;=3,"small",I1579&lt;=6,"Medium",I1579&lt;=9,"Large")</f>
        <v>Large</v>
      </c>
      <c r="K1579" s="36">
        <v>45592</v>
      </c>
      <c r="L1579" s="36">
        <v>45599</v>
      </c>
      <c r="M1579" t="s">
        <v>612</v>
      </c>
      <c r="N1579" t="s">
        <v>608</v>
      </c>
      <c r="O1579" s="37" t="str">
        <f t="shared" si="123"/>
        <v>Cash Payment</v>
      </c>
      <c r="P1579">
        <v>613.45000000000005</v>
      </c>
      <c r="Q1579" s="37" t="str">
        <f>IF(P1579&gt;500,"High","low")</f>
        <v>High</v>
      </c>
      <c r="R1579" s="37" t="str">
        <f t="shared" si="124"/>
        <v>Good</v>
      </c>
      <c r="S1579" t="s">
        <v>609</v>
      </c>
    </row>
    <row r="1580" spans="1:19" x14ac:dyDescent="0.2">
      <c r="A1580" t="s">
        <v>2191</v>
      </c>
      <c r="B1580" t="s">
        <v>83</v>
      </c>
      <c r="C1580" t="s">
        <v>607</v>
      </c>
      <c r="D1580">
        <v>142.53</v>
      </c>
      <c r="E1580" s="37" t="str">
        <f t="shared" si="120"/>
        <v xml:space="preserve"> </v>
      </c>
      <c r="F1580">
        <v>0.09</v>
      </c>
      <c r="G1580" s="37" t="str">
        <f t="shared" si="121"/>
        <v>Normal Discount</v>
      </c>
      <c r="H1580" s="37" t="str">
        <f t="shared" si="122"/>
        <v>Low</v>
      </c>
      <c r="I1580">
        <v>4</v>
      </c>
      <c r="J1580" t="str" cm="1">
        <f t="array" ref="J1580">_xlfn.IFS(I1580&lt;=3,"small",I1580&lt;=6,"Medium",I1580&lt;=9,"Large")</f>
        <v>Medium</v>
      </c>
      <c r="K1580" s="36">
        <v>45329</v>
      </c>
      <c r="L1580" s="36">
        <v>45333</v>
      </c>
      <c r="M1580" t="s">
        <v>603</v>
      </c>
      <c r="N1580" t="s">
        <v>604</v>
      </c>
      <c r="O1580" s="37" t="str">
        <f t="shared" si="123"/>
        <v>Digital Payment</v>
      </c>
      <c r="P1580">
        <v>34.93</v>
      </c>
      <c r="Q1580" s="37" t="str">
        <f>IF(P1580&gt;500,"High","low")</f>
        <v>low</v>
      </c>
      <c r="R1580" s="37" t="str">
        <f t="shared" si="124"/>
        <v>AVERAGE</v>
      </c>
      <c r="S1580" t="s">
        <v>609</v>
      </c>
    </row>
    <row r="1581" spans="1:19" x14ac:dyDescent="0.2">
      <c r="A1581" t="s">
        <v>2192</v>
      </c>
      <c r="B1581" t="s">
        <v>90</v>
      </c>
      <c r="C1581" t="s">
        <v>597</v>
      </c>
      <c r="D1581">
        <v>3581.38</v>
      </c>
      <c r="E1581" s="37" t="str">
        <f t="shared" si="120"/>
        <v xml:space="preserve"> </v>
      </c>
      <c r="F1581">
        <v>0.09</v>
      </c>
      <c r="G1581" s="37" t="str">
        <f t="shared" si="121"/>
        <v>Normal Discount</v>
      </c>
      <c r="H1581" s="37" t="str">
        <f t="shared" si="122"/>
        <v>Low</v>
      </c>
      <c r="I1581">
        <v>7</v>
      </c>
      <c r="J1581" t="str" cm="1">
        <f t="array" ref="J1581">_xlfn.IFS(I1581&lt;=3,"small",I1581&lt;=6,"Medium",I1581&lt;=9,"Large")</f>
        <v>Large</v>
      </c>
      <c r="K1581" s="36">
        <v>45550</v>
      </c>
      <c r="L1581" s="36">
        <v>45555</v>
      </c>
      <c r="M1581" t="s">
        <v>603</v>
      </c>
      <c r="N1581" t="s">
        <v>599</v>
      </c>
      <c r="O1581" s="37" t="str">
        <f t="shared" si="123"/>
        <v>Digital Payment</v>
      </c>
      <c r="P1581">
        <v>768.73</v>
      </c>
      <c r="Q1581" s="37" t="str">
        <f>IF(P1581&gt;500,"High","low")</f>
        <v>High</v>
      </c>
      <c r="R1581" s="37" t="str">
        <f t="shared" si="124"/>
        <v>Good</v>
      </c>
      <c r="S1581" t="s">
        <v>600</v>
      </c>
    </row>
    <row r="1582" spans="1:19" x14ac:dyDescent="0.2">
      <c r="A1582" t="s">
        <v>2193</v>
      </c>
      <c r="B1582" t="s">
        <v>67</v>
      </c>
      <c r="C1582" t="s">
        <v>607</v>
      </c>
      <c r="D1582">
        <v>1543.11</v>
      </c>
      <c r="E1582" s="37" t="str">
        <f t="shared" si="120"/>
        <v xml:space="preserve"> </v>
      </c>
      <c r="F1582">
        <v>0.45</v>
      </c>
      <c r="G1582" s="37" t="str">
        <f t="shared" si="121"/>
        <v>Heavy Discount</v>
      </c>
      <c r="H1582" s="37" t="str">
        <f t="shared" si="122"/>
        <v>High</v>
      </c>
      <c r="I1582">
        <v>1</v>
      </c>
      <c r="J1582" t="str" cm="1">
        <f t="array" ref="J1582">_xlfn.IFS(I1582&lt;=3,"small",I1582&lt;=6,"Medium",I1582&lt;=9,"Large")</f>
        <v>small</v>
      </c>
      <c r="K1582" s="36">
        <v>45462</v>
      </c>
      <c r="L1582" s="36">
        <v>45464</v>
      </c>
      <c r="M1582" t="s">
        <v>603</v>
      </c>
      <c r="N1582" t="s">
        <v>608</v>
      </c>
      <c r="O1582" s="37" t="str">
        <f t="shared" si="123"/>
        <v>Cash Payment</v>
      </c>
      <c r="P1582">
        <v>398.57</v>
      </c>
      <c r="Q1582" s="37" t="str">
        <f>IF(P1582&gt;500,"High","low")</f>
        <v>low</v>
      </c>
      <c r="R1582" s="37" t="str">
        <f t="shared" si="124"/>
        <v>AVERAGE</v>
      </c>
      <c r="S1582" t="s">
        <v>615</v>
      </c>
    </row>
    <row r="1583" spans="1:19" x14ac:dyDescent="0.2">
      <c r="A1583" t="s">
        <v>2194</v>
      </c>
      <c r="B1583" t="s">
        <v>83</v>
      </c>
      <c r="C1583" t="s">
        <v>617</v>
      </c>
      <c r="D1583">
        <v>1121.1500000000001</v>
      </c>
      <c r="E1583" s="37" t="str">
        <f t="shared" si="120"/>
        <v xml:space="preserve"> </v>
      </c>
      <c r="F1583">
        <v>0.12</v>
      </c>
      <c r="G1583" s="37" t="str">
        <f t="shared" si="121"/>
        <v>Normal Discount</v>
      </c>
      <c r="H1583" s="37" t="str">
        <f t="shared" si="122"/>
        <v>Low</v>
      </c>
      <c r="I1583">
        <v>2</v>
      </c>
      <c r="J1583" t="str" cm="1">
        <f t="array" ref="J1583">_xlfn.IFS(I1583&lt;=3,"small",I1583&lt;=6,"Medium",I1583&lt;=9,"Large")</f>
        <v>small</v>
      </c>
      <c r="K1583" s="36">
        <v>44965</v>
      </c>
      <c r="L1583" s="36">
        <v>44971</v>
      </c>
      <c r="M1583" t="s">
        <v>598</v>
      </c>
      <c r="N1583" t="s">
        <v>608</v>
      </c>
      <c r="O1583" s="37" t="str">
        <f t="shared" si="123"/>
        <v>Cash Payment</v>
      </c>
      <c r="P1583">
        <v>67.72</v>
      </c>
      <c r="Q1583" s="37" t="str">
        <f>IF(P1583&gt;500,"High","low")</f>
        <v>low</v>
      </c>
      <c r="R1583" s="37" t="str">
        <f t="shared" si="124"/>
        <v>AVERAGE</v>
      </c>
      <c r="S1583" t="s">
        <v>620</v>
      </c>
    </row>
    <row r="1584" spans="1:19" x14ac:dyDescent="0.2">
      <c r="A1584" t="s">
        <v>2195</v>
      </c>
      <c r="B1584" t="s">
        <v>75</v>
      </c>
      <c r="C1584" t="s">
        <v>607</v>
      </c>
      <c r="D1584">
        <v>159.47999999999999</v>
      </c>
      <c r="E1584" s="37" t="str">
        <f t="shared" si="120"/>
        <v xml:space="preserve"> </v>
      </c>
      <c r="F1584">
        <v>0.36</v>
      </c>
      <c r="G1584" s="37" t="str">
        <f t="shared" si="121"/>
        <v>Heavy Discount</v>
      </c>
      <c r="H1584" s="37" t="str">
        <f t="shared" si="122"/>
        <v>Medium</v>
      </c>
      <c r="I1584">
        <v>8</v>
      </c>
      <c r="J1584" t="str" cm="1">
        <f t="array" ref="J1584">_xlfn.IFS(I1584&lt;=3,"small",I1584&lt;=6,"Medium",I1584&lt;=9,"Large")</f>
        <v>Large</v>
      </c>
      <c r="K1584" s="36">
        <v>45613</v>
      </c>
      <c r="L1584" s="36">
        <v>45618</v>
      </c>
      <c r="M1584" t="s">
        <v>612</v>
      </c>
      <c r="N1584" t="s">
        <v>604</v>
      </c>
      <c r="O1584" s="37" t="str">
        <f t="shared" si="123"/>
        <v>Digital Payment</v>
      </c>
      <c r="P1584">
        <v>41.18</v>
      </c>
      <c r="Q1584" s="37" t="str">
        <f>IF(P1584&gt;500,"High","low")</f>
        <v>low</v>
      </c>
      <c r="R1584" s="37" t="str">
        <f t="shared" si="124"/>
        <v>AVERAGE</v>
      </c>
      <c r="S1584" t="s">
        <v>620</v>
      </c>
    </row>
    <row r="1585" spans="1:19" x14ac:dyDescent="0.2">
      <c r="A1585" t="s">
        <v>2196</v>
      </c>
      <c r="B1585" t="s">
        <v>67</v>
      </c>
      <c r="C1585" t="s">
        <v>602</v>
      </c>
      <c r="D1585">
        <v>4493.29</v>
      </c>
      <c r="E1585" s="37" t="str">
        <f t="shared" si="120"/>
        <v xml:space="preserve"> </v>
      </c>
      <c r="F1585">
        <v>0.13</v>
      </c>
      <c r="G1585" s="37" t="str">
        <f t="shared" si="121"/>
        <v>Normal Discount</v>
      </c>
      <c r="H1585" s="37" t="str">
        <f t="shared" si="122"/>
        <v>Low</v>
      </c>
      <c r="I1585">
        <v>3</v>
      </c>
      <c r="J1585" t="str" cm="1">
        <f t="array" ref="J1585">_xlfn.IFS(I1585&lt;=3,"small",I1585&lt;=6,"Medium",I1585&lt;=9,"Large")</f>
        <v>small</v>
      </c>
      <c r="K1585" s="36">
        <v>45627</v>
      </c>
      <c r="L1585" s="36">
        <v>45634</v>
      </c>
      <c r="M1585" t="s">
        <v>603</v>
      </c>
      <c r="N1585" t="s">
        <v>599</v>
      </c>
      <c r="O1585" s="37" t="str">
        <f t="shared" si="123"/>
        <v>Digital Payment</v>
      </c>
      <c r="P1585">
        <v>687.15</v>
      </c>
      <c r="Q1585" s="37" t="str">
        <f>IF(P1585&gt;500,"High","low")</f>
        <v>High</v>
      </c>
      <c r="R1585" s="37" t="str">
        <f t="shared" si="124"/>
        <v>Good</v>
      </c>
      <c r="S1585" t="s">
        <v>620</v>
      </c>
    </row>
    <row r="1586" spans="1:19" x14ac:dyDescent="0.2">
      <c r="A1586" t="s">
        <v>2197</v>
      </c>
      <c r="B1586" t="s">
        <v>83</v>
      </c>
      <c r="C1586" t="s">
        <v>602</v>
      </c>
      <c r="D1586">
        <v>4570.0200000000004</v>
      </c>
      <c r="E1586" s="37" t="str">
        <f t="shared" si="120"/>
        <v xml:space="preserve"> </v>
      </c>
      <c r="F1586">
        <v>0.36</v>
      </c>
      <c r="G1586" s="37" t="str">
        <f t="shared" si="121"/>
        <v>Heavy Discount</v>
      </c>
      <c r="H1586" s="37" t="str">
        <f t="shared" si="122"/>
        <v>Medium</v>
      </c>
      <c r="I1586">
        <v>5</v>
      </c>
      <c r="J1586" t="str" cm="1">
        <f t="array" ref="J1586">_xlfn.IFS(I1586&lt;=3,"small",I1586&lt;=6,"Medium",I1586&lt;=9,"Large")</f>
        <v>Medium</v>
      </c>
      <c r="K1586" s="36">
        <v>45539</v>
      </c>
      <c r="L1586" s="36">
        <v>45541</v>
      </c>
      <c r="M1586" t="s">
        <v>612</v>
      </c>
      <c r="N1586" t="s">
        <v>608</v>
      </c>
      <c r="O1586" s="37" t="str">
        <f t="shared" si="123"/>
        <v>Cash Payment</v>
      </c>
      <c r="P1586">
        <v>523.88</v>
      </c>
      <c r="Q1586" s="37" t="str">
        <f>IF(P1586&gt;500,"High","low")</f>
        <v>High</v>
      </c>
      <c r="R1586" s="37" t="str">
        <f t="shared" si="124"/>
        <v>Good</v>
      </c>
      <c r="S1586" t="s">
        <v>609</v>
      </c>
    </row>
    <row r="1587" spans="1:19" x14ac:dyDescent="0.2">
      <c r="A1587" t="s">
        <v>2198</v>
      </c>
      <c r="B1587" t="s">
        <v>83</v>
      </c>
      <c r="C1587" t="s">
        <v>607</v>
      </c>
      <c r="D1587">
        <v>400.95</v>
      </c>
      <c r="E1587" s="37" t="str">
        <f t="shared" si="120"/>
        <v xml:space="preserve"> </v>
      </c>
      <c r="F1587">
        <v>0.04</v>
      </c>
      <c r="G1587" s="37" t="str">
        <f t="shared" si="121"/>
        <v>Normal Discount</v>
      </c>
      <c r="H1587" s="37" t="str">
        <f t="shared" si="122"/>
        <v>Low</v>
      </c>
      <c r="I1587">
        <v>8</v>
      </c>
      <c r="J1587" t="str" cm="1">
        <f t="array" ref="J1587">_xlfn.IFS(I1587&lt;=3,"small",I1587&lt;=6,"Medium",I1587&lt;=9,"Large")</f>
        <v>Large</v>
      </c>
      <c r="K1587" s="36">
        <v>45083</v>
      </c>
      <c r="L1587" s="36">
        <v>45089</v>
      </c>
      <c r="M1587" t="s">
        <v>603</v>
      </c>
      <c r="N1587" t="s">
        <v>604</v>
      </c>
      <c r="O1587" s="37" t="str">
        <f t="shared" si="123"/>
        <v>Digital Payment</v>
      </c>
      <c r="P1587">
        <v>40.49</v>
      </c>
      <c r="Q1587" s="37" t="str">
        <f>IF(P1587&gt;500,"High","low")</f>
        <v>low</v>
      </c>
      <c r="R1587" s="37" t="str">
        <f t="shared" si="124"/>
        <v>AVERAGE</v>
      </c>
      <c r="S1587" t="s">
        <v>620</v>
      </c>
    </row>
    <row r="1588" spans="1:19" x14ac:dyDescent="0.2">
      <c r="A1588" t="s">
        <v>2199</v>
      </c>
      <c r="B1588" t="s">
        <v>75</v>
      </c>
      <c r="C1588" t="s">
        <v>617</v>
      </c>
      <c r="D1588">
        <v>2656.9</v>
      </c>
      <c r="E1588" s="37" t="str">
        <f t="shared" si="120"/>
        <v xml:space="preserve"> </v>
      </c>
      <c r="F1588">
        <v>0.1</v>
      </c>
      <c r="G1588" s="37" t="str">
        <f t="shared" si="121"/>
        <v>Normal Discount</v>
      </c>
      <c r="H1588" s="37" t="str">
        <f t="shared" si="122"/>
        <v>Low</v>
      </c>
      <c r="I1588">
        <v>5</v>
      </c>
      <c r="J1588" t="str" cm="1">
        <f t="array" ref="J1588">_xlfn.IFS(I1588&lt;=3,"small",I1588&lt;=6,"Medium",I1588&lt;=9,"Large")</f>
        <v>Medium</v>
      </c>
      <c r="K1588" s="36">
        <v>45162</v>
      </c>
      <c r="L1588" s="36">
        <v>45167</v>
      </c>
      <c r="M1588" t="s">
        <v>598</v>
      </c>
      <c r="N1588" t="s">
        <v>604</v>
      </c>
      <c r="O1588" s="37" t="str">
        <f t="shared" si="123"/>
        <v>Digital Payment</v>
      </c>
      <c r="P1588">
        <v>363.09</v>
      </c>
      <c r="Q1588" s="37" t="str">
        <f>IF(P1588&gt;500,"High","low")</f>
        <v>low</v>
      </c>
      <c r="R1588" s="37" t="str">
        <f t="shared" si="124"/>
        <v>AVERAGE</v>
      </c>
      <c r="S1588" t="s">
        <v>609</v>
      </c>
    </row>
    <row r="1589" spans="1:19" x14ac:dyDescent="0.2">
      <c r="A1589" t="s">
        <v>2200</v>
      </c>
      <c r="B1589" t="s">
        <v>75</v>
      </c>
      <c r="C1589" t="s">
        <v>614</v>
      </c>
      <c r="D1589">
        <v>847.61</v>
      </c>
      <c r="E1589" s="37" t="str">
        <f t="shared" si="120"/>
        <v xml:space="preserve"> </v>
      </c>
      <c r="F1589">
        <v>0.2</v>
      </c>
      <c r="G1589" s="37" t="str">
        <f t="shared" si="121"/>
        <v>Normal Discount</v>
      </c>
      <c r="H1589" s="37" t="str">
        <f t="shared" si="122"/>
        <v>Medium</v>
      </c>
      <c r="I1589">
        <v>1</v>
      </c>
      <c r="J1589" t="str" cm="1">
        <f t="array" ref="J1589">_xlfn.IFS(I1589&lt;=3,"small",I1589&lt;=6,"Medium",I1589&lt;=9,"Large")</f>
        <v>small</v>
      </c>
      <c r="K1589" s="36">
        <v>45346</v>
      </c>
      <c r="L1589" s="36">
        <v>45353</v>
      </c>
      <c r="M1589" t="s">
        <v>612</v>
      </c>
      <c r="N1589" t="s">
        <v>599</v>
      </c>
      <c r="O1589" s="37" t="str">
        <f t="shared" si="123"/>
        <v>Digital Payment</v>
      </c>
      <c r="P1589">
        <v>115.75</v>
      </c>
      <c r="Q1589" s="37" t="str">
        <f>IF(P1589&gt;500,"High","low")</f>
        <v>low</v>
      </c>
      <c r="R1589" s="37" t="str">
        <f t="shared" si="124"/>
        <v>AVERAGE</v>
      </c>
      <c r="S1589" t="s">
        <v>628</v>
      </c>
    </row>
    <row r="1590" spans="1:19" x14ac:dyDescent="0.2">
      <c r="A1590" t="s">
        <v>2201</v>
      </c>
      <c r="B1590" t="s">
        <v>90</v>
      </c>
      <c r="C1590" t="s">
        <v>602</v>
      </c>
      <c r="D1590">
        <v>3817.57</v>
      </c>
      <c r="E1590" s="37" t="str">
        <f t="shared" si="120"/>
        <v xml:space="preserve"> </v>
      </c>
      <c r="F1590">
        <v>0.26</v>
      </c>
      <c r="G1590" s="37" t="str">
        <f t="shared" si="121"/>
        <v>Normal Discount</v>
      </c>
      <c r="H1590" s="37" t="str">
        <f t="shared" si="122"/>
        <v>Medium</v>
      </c>
      <c r="I1590">
        <v>2</v>
      </c>
      <c r="J1590" t="str" cm="1">
        <f t="array" ref="J1590">_xlfn.IFS(I1590&lt;=3,"small",I1590&lt;=6,"Medium",I1590&lt;=9,"Large")</f>
        <v>small</v>
      </c>
      <c r="K1590" s="36">
        <v>45404</v>
      </c>
      <c r="L1590" s="36">
        <v>45411</v>
      </c>
      <c r="M1590" t="s">
        <v>603</v>
      </c>
      <c r="N1590" t="s">
        <v>604</v>
      </c>
      <c r="O1590" s="37" t="str">
        <f t="shared" si="123"/>
        <v>Digital Payment</v>
      </c>
      <c r="P1590">
        <v>326.91000000000003</v>
      </c>
      <c r="Q1590" s="37" t="str">
        <f>IF(P1590&gt;500,"High","low")</f>
        <v>low</v>
      </c>
      <c r="R1590" s="37" t="str">
        <f t="shared" si="124"/>
        <v>AVERAGE</v>
      </c>
      <c r="S1590" t="s">
        <v>600</v>
      </c>
    </row>
    <row r="1591" spans="1:19" x14ac:dyDescent="0.2">
      <c r="A1591" t="s">
        <v>2202</v>
      </c>
      <c r="B1591" t="s">
        <v>67</v>
      </c>
      <c r="C1591" t="s">
        <v>607</v>
      </c>
      <c r="D1591">
        <v>3360.42</v>
      </c>
      <c r="E1591" s="37" t="str">
        <f t="shared" si="120"/>
        <v xml:space="preserve"> </v>
      </c>
      <c r="F1591">
        <v>0.18</v>
      </c>
      <c r="G1591" s="37" t="str">
        <f t="shared" si="121"/>
        <v>Normal Discount</v>
      </c>
      <c r="H1591" s="37" t="str">
        <f t="shared" si="122"/>
        <v>Low</v>
      </c>
      <c r="I1591">
        <v>3</v>
      </c>
      <c r="J1591" t="str" cm="1">
        <f t="array" ref="J1591">_xlfn.IFS(I1591&lt;=3,"small",I1591&lt;=6,"Medium",I1591&lt;=9,"Large")</f>
        <v>small</v>
      </c>
      <c r="K1591" s="36">
        <v>45305</v>
      </c>
      <c r="L1591" s="36">
        <v>45308</v>
      </c>
      <c r="M1591" t="s">
        <v>603</v>
      </c>
      <c r="N1591" t="s">
        <v>604</v>
      </c>
      <c r="O1591" s="37" t="str">
        <f t="shared" si="123"/>
        <v>Digital Payment</v>
      </c>
      <c r="P1591">
        <v>671.61</v>
      </c>
      <c r="Q1591" s="37" t="str">
        <f>IF(P1591&gt;500,"High","low")</f>
        <v>High</v>
      </c>
      <c r="R1591" s="37" t="str">
        <f t="shared" si="124"/>
        <v>Good</v>
      </c>
      <c r="S1591" t="s">
        <v>628</v>
      </c>
    </row>
    <row r="1592" spans="1:19" x14ac:dyDescent="0.2">
      <c r="A1592" t="s">
        <v>2203</v>
      </c>
      <c r="B1592" t="s">
        <v>67</v>
      </c>
      <c r="C1592" t="s">
        <v>607</v>
      </c>
      <c r="D1592">
        <v>1555.94</v>
      </c>
      <c r="E1592" s="37" t="str">
        <f t="shared" si="120"/>
        <v xml:space="preserve"> </v>
      </c>
      <c r="F1592">
        <v>0.28999999999999998</v>
      </c>
      <c r="G1592" s="37" t="str">
        <f t="shared" si="121"/>
        <v>Normal Discount</v>
      </c>
      <c r="H1592" s="37" t="str">
        <f t="shared" si="122"/>
        <v>Medium</v>
      </c>
      <c r="I1592">
        <v>2</v>
      </c>
      <c r="J1592" t="str" cm="1">
        <f t="array" ref="J1592">_xlfn.IFS(I1592&lt;=3,"small",I1592&lt;=6,"Medium",I1592&lt;=9,"Large")</f>
        <v>small</v>
      </c>
      <c r="K1592" s="36">
        <v>45628</v>
      </c>
      <c r="L1592" s="36">
        <v>45634</v>
      </c>
      <c r="M1592" t="s">
        <v>603</v>
      </c>
      <c r="N1592" t="s">
        <v>599</v>
      </c>
      <c r="O1592" s="37" t="str">
        <f t="shared" si="123"/>
        <v>Digital Payment</v>
      </c>
      <c r="P1592">
        <v>109.94</v>
      </c>
      <c r="Q1592" s="37" t="str">
        <f>IF(P1592&gt;500,"High","low")</f>
        <v>low</v>
      </c>
      <c r="R1592" s="37" t="str">
        <f t="shared" si="124"/>
        <v>AVERAGE</v>
      </c>
      <c r="S1592" t="s">
        <v>605</v>
      </c>
    </row>
    <row r="1593" spans="1:19" x14ac:dyDescent="0.2">
      <c r="A1593" t="s">
        <v>2204</v>
      </c>
      <c r="B1593" t="s">
        <v>90</v>
      </c>
      <c r="C1593" t="s">
        <v>607</v>
      </c>
      <c r="D1593">
        <v>673.11</v>
      </c>
      <c r="E1593" s="37" t="str">
        <f t="shared" si="120"/>
        <v xml:space="preserve"> </v>
      </c>
      <c r="F1593">
        <v>0.16</v>
      </c>
      <c r="G1593" s="37" t="str">
        <f t="shared" si="121"/>
        <v>Normal Discount</v>
      </c>
      <c r="H1593" s="37" t="str">
        <f t="shared" si="122"/>
        <v>Low</v>
      </c>
      <c r="I1593">
        <v>9</v>
      </c>
      <c r="J1593" t="str" cm="1">
        <f t="array" ref="J1593">_xlfn.IFS(I1593&lt;=3,"small",I1593&lt;=6,"Medium",I1593&lt;=9,"Large")</f>
        <v>Large</v>
      </c>
      <c r="K1593" s="36">
        <v>45616</v>
      </c>
      <c r="L1593" s="36">
        <v>45619</v>
      </c>
      <c r="M1593" t="s">
        <v>603</v>
      </c>
      <c r="N1593" t="s">
        <v>604</v>
      </c>
      <c r="O1593" s="37" t="str">
        <f t="shared" si="123"/>
        <v>Digital Payment</v>
      </c>
      <c r="P1593">
        <v>117.82</v>
      </c>
      <c r="Q1593" s="37" t="str">
        <f>IF(P1593&gt;500,"High","low")</f>
        <v>low</v>
      </c>
      <c r="R1593" s="37" t="str">
        <f t="shared" si="124"/>
        <v>AVERAGE</v>
      </c>
      <c r="S1593" t="s">
        <v>605</v>
      </c>
    </row>
    <row r="1594" spans="1:19" x14ac:dyDescent="0.2">
      <c r="A1594" t="s">
        <v>2205</v>
      </c>
      <c r="B1594" t="s">
        <v>67</v>
      </c>
      <c r="C1594" t="s">
        <v>614</v>
      </c>
      <c r="D1594">
        <v>4172.9799999999996</v>
      </c>
      <c r="E1594" s="37" t="str">
        <f t="shared" si="120"/>
        <v xml:space="preserve"> </v>
      </c>
      <c r="F1594">
        <v>0.34</v>
      </c>
      <c r="G1594" s="37" t="str">
        <f t="shared" si="121"/>
        <v>Heavy Discount</v>
      </c>
      <c r="H1594" s="37" t="str">
        <f t="shared" si="122"/>
        <v>Medium</v>
      </c>
      <c r="I1594">
        <v>5</v>
      </c>
      <c r="J1594" t="str" cm="1">
        <f t="array" ref="J1594">_xlfn.IFS(I1594&lt;=3,"small",I1594&lt;=6,"Medium",I1594&lt;=9,"Large")</f>
        <v>Medium</v>
      </c>
      <c r="K1594" s="36">
        <v>45577</v>
      </c>
      <c r="L1594" s="36">
        <v>45578</v>
      </c>
      <c r="M1594" t="s">
        <v>603</v>
      </c>
      <c r="N1594" t="s">
        <v>608</v>
      </c>
      <c r="O1594" s="37" t="str">
        <f t="shared" si="123"/>
        <v>Cash Payment</v>
      </c>
      <c r="P1594">
        <v>617.25</v>
      </c>
      <c r="Q1594" s="37" t="str">
        <f>IF(P1594&gt;500,"High","low")</f>
        <v>High</v>
      </c>
      <c r="R1594" s="37" t="str">
        <f t="shared" si="124"/>
        <v>Good</v>
      </c>
      <c r="S1594" t="s">
        <v>615</v>
      </c>
    </row>
    <row r="1595" spans="1:19" x14ac:dyDescent="0.2">
      <c r="A1595" t="s">
        <v>2206</v>
      </c>
      <c r="B1595" t="s">
        <v>67</v>
      </c>
      <c r="C1595" t="s">
        <v>597</v>
      </c>
      <c r="D1595">
        <v>3403.84</v>
      </c>
      <c r="E1595" s="37" t="str">
        <f t="shared" si="120"/>
        <v xml:space="preserve"> </v>
      </c>
      <c r="F1595">
        <v>0.26</v>
      </c>
      <c r="G1595" s="37" t="str">
        <f t="shared" si="121"/>
        <v>Normal Discount</v>
      </c>
      <c r="H1595" s="37" t="str">
        <f t="shared" si="122"/>
        <v>Medium</v>
      </c>
      <c r="I1595">
        <v>1</v>
      </c>
      <c r="J1595" t="str" cm="1">
        <f t="array" ref="J1595">_xlfn.IFS(I1595&lt;=3,"small",I1595&lt;=6,"Medium",I1595&lt;=9,"Large")</f>
        <v>small</v>
      </c>
      <c r="K1595" s="36">
        <v>45051</v>
      </c>
      <c r="L1595" s="36">
        <v>45056</v>
      </c>
      <c r="M1595" t="s">
        <v>598</v>
      </c>
      <c r="N1595" t="s">
        <v>608</v>
      </c>
      <c r="O1595" s="37" t="str">
        <f t="shared" si="123"/>
        <v>Cash Payment</v>
      </c>
      <c r="P1595">
        <v>863.89</v>
      </c>
      <c r="Q1595" s="37" t="str">
        <f>IF(P1595&gt;500,"High","low")</f>
        <v>High</v>
      </c>
      <c r="R1595" s="37" t="str">
        <f t="shared" si="124"/>
        <v>Good</v>
      </c>
      <c r="S1595" t="s">
        <v>620</v>
      </c>
    </row>
    <row r="1596" spans="1:19" x14ac:dyDescent="0.2">
      <c r="A1596" t="s">
        <v>2207</v>
      </c>
      <c r="B1596" t="s">
        <v>67</v>
      </c>
      <c r="C1596" t="s">
        <v>617</v>
      </c>
      <c r="D1596">
        <v>133.41999999999999</v>
      </c>
      <c r="E1596" s="37" t="str">
        <f t="shared" si="120"/>
        <v xml:space="preserve"> </v>
      </c>
      <c r="F1596">
        <v>0.35</v>
      </c>
      <c r="G1596" s="37" t="str">
        <f t="shared" si="121"/>
        <v>Heavy Discount</v>
      </c>
      <c r="H1596" s="37" t="str">
        <f t="shared" si="122"/>
        <v>Medium</v>
      </c>
      <c r="I1596">
        <v>8</v>
      </c>
      <c r="J1596" t="str" cm="1">
        <f t="array" ref="J1596">_xlfn.IFS(I1596&lt;=3,"small",I1596&lt;=6,"Medium",I1596&lt;=9,"Large")</f>
        <v>Large</v>
      </c>
      <c r="K1596" s="36">
        <v>45395</v>
      </c>
      <c r="L1596" s="36">
        <v>45396</v>
      </c>
      <c r="M1596" t="s">
        <v>612</v>
      </c>
      <c r="N1596" t="s">
        <v>604</v>
      </c>
      <c r="O1596" s="37" t="str">
        <f t="shared" si="123"/>
        <v>Digital Payment</v>
      </c>
      <c r="P1596">
        <v>14.02</v>
      </c>
      <c r="Q1596" s="37" t="str">
        <f>IF(P1596&gt;500,"High","low")</f>
        <v>low</v>
      </c>
      <c r="R1596" s="37" t="str">
        <f t="shared" si="124"/>
        <v>AVERAGE</v>
      </c>
      <c r="S1596" t="s">
        <v>605</v>
      </c>
    </row>
    <row r="1597" spans="1:19" x14ac:dyDescent="0.2">
      <c r="A1597" t="s">
        <v>2208</v>
      </c>
      <c r="B1597" t="s">
        <v>67</v>
      </c>
      <c r="C1597" t="s">
        <v>597</v>
      </c>
      <c r="D1597">
        <v>3176.57</v>
      </c>
      <c r="E1597" s="37" t="str">
        <f t="shared" si="120"/>
        <v xml:space="preserve"> </v>
      </c>
      <c r="F1597">
        <v>0.22</v>
      </c>
      <c r="G1597" s="37" t="str">
        <f t="shared" si="121"/>
        <v>Normal Discount</v>
      </c>
      <c r="H1597" s="37" t="str">
        <f t="shared" si="122"/>
        <v>Medium</v>
      </c>
      <c r="I1597">
        <v>3</v>
      </c>
      <c r="J1597" t="str" cm="1">
        <f t="array" ref="J1597">_xlfn.IFS(I1597&lt;=3,"small",I1597&lt;=6,"Medium",I1597&lt;=9,"Large")</f>
        <v>small</v>
      </c>
      <c r="K1597" s="36">
        <v>45074</v>
      </c>
      <c r="L1597" s="36">
        <v>45079</v>
      </c>
      <c r="M1597" t="s">
        <v>598</v>
      </c>
      <c r="N1597" t="s">
        <v>604</v>
      </c>
      <c r="O1597" s="37" t="str">
        <f t="shared" si="123"/>
        <v>Digital Payment</v>
      </c>
      <c r="P1597">
        <v>603.6</v>
      </c>
      <c r="Q1597" s="37" t="str">
        <f>IF(P1597&gt;500,"High","low")</f>
        <v>High</v>
      </c>
      <c r="R1597" s="37" t="str">
        <f t="shared" si="124"/>
        <v>Good</v>
      </c>
      <c r="S1597" t="s">
        <v>609</v>
      </c>
    </row>
    <row r="1598" spans="1:19" x14ac:dyDescent="0.2">
      <c r="A1598" t="s">
        <v>2209</v>
      </c>
      <c r="B1598" t="s">
        <v>67</v>
      </c>
      <c r="C1598" t="s">
        <v>617</v>
      </c>
      <c r="D1598">
        <v>4070.45</v>
      </c>
      <c r="E1598" s="37" t="str">
        <f t="shared" si="120"/>
        <v xml:space="preserve"> </v>
      </c>
      <c r="F1598">
        <v>0.44</v>
      </c>
      <c r="G1598" s="37" t="str">
        <f t="shared" si="121"/>
        <v>Heavy Discount</v>
      </c>
      <c r="H1598" s="37" t="str">
        <f t="shared" si="122"/>
        <v>High</v>
      </c>
      <c r="I1598">
        <v>9</v>
      </c>
      <c r="J1598" t="str" cm="1">
        <f t="array" ref="J1598">_xlfn.IFS(I1598&lt;=3,"small",I1598&lt;=6,"Medium",I1598&lt;=9,"Large")</f>
        <v>Large</v>
      </c>
      <c r="K1598" s="36">
        <v>45611</v>
      </c>
      <c r="L1598" s="36">
        <v>45614</v>
      </c>
      <c r="M1598" t="s">
        <v>598</v>
      </c>
      <c r="N1598" t="s">
        <v>604</v>
      </c>
      <c r="O1598" s="37" t="str">
        <f t="shared" si="123"/>
        <v>Digital Payment</v>
      </c>
      <c r="P1598">
        <v>323.74</v>
      </c>
      <c r="Q1598" s="37" t="str">
        <f>IF(P1598&gt;500,"High","low")</f>
        <v>low</v>
      </c>
      <c r="R1598" s="37" t="str">
        <f t="shared" si="124"/>
        <v>AVERAGE</v>
      </c>
      <c r="S1598" t="s">
        <v>609</v>
      </c>
    </row>
    <row r="1599" spans="1:19" x14ac:dyDescent="0.2">
      <c r="A1599" t="s">
        <v>2210</v>
      </c>
      <c r="B1599" t="s">
        <v>75</v>
      </c>
      <c r="C1599" t="s">
        <v>617</v>
      </c>
      <c r="D1599">
        <v>2994.76</v>
      </c>
      <c r="E1599" s="37" t="str">
        <f t="shared" si="120"/>
        <v xml:space="preserve"> </v>
      </c>
      <c r="F1599">
        <v>0.19</v>
      </c>
      <c r="G1599" s="37" t="str">
        <f t="shared" si="121"/>
        <v>Normal Discount</v>
      </c>
      <c r="H1599" s="37" t="str">
        <f t="shared" si="122"/>
        <v>Low</v>
      </c>
      <c r="I1599">
        <v>9</v>
      </c>
      <c r="J1599" t="str" cm="1">
        <f t="array" ref="J1599">_xlfn.IFS(I1599&lt;=3,"small",I1599&lt;=6,"Medium",I1599&lt;=9,"Large")</f>
        <v>Large</v>
      </c>
      <c r="K1599" s="36">
        <v>45208</v>
      </c>
      <c r="L1599" s="36">
        <v>45209</v>
      </c>
      <c r="M1599" t="s">
        <v>612</v>
      </c>
      <c r="N1599" t="s">
        <v>604</v>
      </c>
      <c r="O1599" s="37" t="str">
        <f t="shared" si="123"/>
        <v>Digital Payment</v>
      </c>
      <c r="P1599">
        <v>686.48</v>
      </c>
      <c r="Q1599" s="37" t="str">
        <f>IF(P1599&gt;500,"High","low")</f>
        <v>High</v>
      </c>
      <c r="R1599" s="37" t="str">
        <f t="shared" si="124"/>
        <v>Good</v>
      </c>
      <c r="S1599" t="s">
        <v>609</v>
      </c>
    </row>
    <row r="1600" spans="1:19" x14ac:dyDescent="0.2">
      <c r="A1600" t="s">
        <v>2211</v>
      </c>
      <c r="B1600" t="s">
        <v>67</v>
      </c>
      <c r="C1600" t="s">
        <v>607</v>
      </c>
      <c r="D1600">
        <v>2181.1</v>
      </c>
      <c r="E1600" s="37" t="str">
        <f t="shared" si="120"/>
        <v xml:space="preserve"> </v>
      </c>
      <c r="F1600">
        <v>0.15</v>
      </c>
      <c r="G1600" s="37" t="str">
        <f t="shared" si="121"/>
        <v>Normal Discount</v>
      </c>
      <c r="H1600" s="37" t="str">
        <f t="shared" si="122"/>
        <v>Low</v>
      </c>
      <c r="I1600">
        <v>6</v>
      </c>
      <c r="J1600" t="str" cm="1">
        <f t="array" ref="J1600">_xlfn.IFS(I1600&lt;=3,"small",I1600&lt;=6,"Medium",I1600&lt;=9,"Large")</f>
        <v>Medium</v>
      </c>
      <c r="K1600" s="36">
        <v>45077</v>
      </c>
      <c r="L1600" s="36">
        <v>45079</v>
      </c>
      <c r="M1600" t="s">
        <v>598</v>
      </c>
      <c r="N1600" t="s">
        <v>599</v>
      </c>
      <c r="O1600" s="37" t="str">
        <f t="shared" si="123"/>
        <v>Digital Payment</v>
      </c>
      <c r="P1600">
        <v>286.25</v>
      </c>
      <c r="Q1600" s="37" t="str">
        <f>IF(P1600&gt;500,"High","low")</f>
        <v>low</v>
      </c>
      <c r="R1600" s="37" t="str">
        <f t="shared" si="124"/>
        <v>AVERAGE</v>
      </c>
      <c r="S1600" t="s">
        <v>600</v>
      </c>
    </row>
    <row r="1601" spans="1:19" x14ac:dyDescent="0.2">
      <c r="A1601" t="s">
        <v>2212</v>
      </c>
      <c r="B1601" t="s">
        <v>75</v>
      </c>
      <c r="C1601" t="s">
        <v>602</v>
      </c>
      <c r="D1601">
        <v>2961.2</v>
      </c>
      <c r="E1601" s="37" t="str">
        <f t="shared" si="120"/>
        <v xml:space="preserve"> </v>
      </c>
      <c r="F1601">
        <v>0.28000000000000003</v>
      </c>
      <c r="G1601" s="37" t="str">
        <f t="shared" si="121"/>
        <v>Normal Discount</v>
      </c>
      <c r="H1601" s="37" t="str">
        <f t="shared" si="122"/>
        <v>Medium</v>
      </c>
      <c r="I1601">
        <v>4</v>
      </c>
      <c r="J1601" t="str" cm="1">
        <f t="array" ref="J1601">_xlfn.IFS(I1601&lt;=3,"small",I1601&lt;=6,"Medium",I1601&lt;=9,"Large")</f>
        <v>Medium</v>
      </c>
      <c r="K1601" s="36">
        <v>45315</v>
      </c>
      <c r="L1601" s="36">
        <v>45321</v>
      </c>
      <c r="M1601" t="s">
        <v>603</v>
      </c>
      <c r="N1601" t="s">
        <v>608</v>
      </c>
      <c r="O1601" s="37" t="str">
        <f t="shared" si="123"/>
        <v>Cash Payment</v>
      </c>
      <c r="P1601">
        <v>858.04</v>
      </c>
      <c r="Q1601" s="37" t="str">
        <f>IF(P1601&gt;500,"High","low")</f>
        <v>High</v>
      </c>
      <c r="R1601" s="37" t="str">
        <f t="shared" si="124"/>
        <v>Good</v>
      </c>
      <c r="S1601" t="s">
        <v>615</v>
      </c>
    </row>
    <row r="1602" spans="1:19" x14ac:dyDescent="0.2">
      <c r="A1602" t="s">
        <v>2213</v>
      </c>
      <c r="B1602" t="s">
        <v>67</v>
      </c>
      <c r="C1602" t="s">
        <v>607</v>
      </c>
      <c r="D1602">
        <v>3136.59</v>
      </c>
      <c r="E1602" s="37" t="str">
        <f t="shared" si="120"/>
        <v xml:space="preserve"> </v>
      </c>
      <c r="F1602">
        <v>0.25</v>
      </c>
      <c r="G1602" s="37" t="str">
        <f t="shared" si="121"/>
        <v>Normal Discount</v>
      </c>
      <c r="H1602" s="37" t="str">
        <f t="shared" si="122"/>
        <v>Medium</v>
      </c>
      <c r="I1602">
        <v>9</v>
      </c>
      <c r="J1602" t="str" cm="1">
        <f t="array" ref="J1602">_xlfn.IFS(I1602&lt;=3,"small",I1602&lt;=6,"Medium",I1602&lt;=9,"Large")</f>
        <v>Large</v>
      </c>
      <c r="K1602" s="36">
        <v>45403</v>
      </c>
      <c r="L1602" s="36">
        <v>45409</v>
      </c>
      <c r="M1602" t="s">
        <v>612</v>
      </c>
      <c r="N1602" t="s">
        <v>608</v>
      </c>
      <c r="O1602" s="37" t="str">
        <f t="shared" si="123"/>
        <v>Cash Payment</v>
      </c>
      <c r="P1602">
        <v>867.99</v>
      </c>
      <c r="Q1602" s="37" t="str">
        <f>IF(P1602&gt;500,"High","low")</f>
        <v>High</v>
      </c>
      <c r="R1602" s="37" t="str">
        <f t="shared" si="124"/>
        <v>Good</v>
      </c>
      <c r="S1602" t="s">
        <v>600</v>
      </c>
    </row>
    <row r="1603" spans="1:19" x14ac:dyDescent="0.2">
      <c r="A1603" t="s">
        <v>2214</v>
      </c>
      <c r="B1603" t="s">
        <v>90</v>
      </c>
      <c r="C1603" t="s">
        <v>614</v>
      </c>
      <c r="D1603">
        <v>3236.17</v>
      </c>
      <c r="E1603" s="37" t="str">
        <f t="shared" ref="E1603:E1666" si="125">IF(AND(D1603&gt;4000,P1603&gt;800),"Excellent Order"," ")</f>
        <v xml:space="preserve"> </v>
      </c>
      <c r="F1603">
        <v>0.26</v>
      </c>
      <c r="G1603" s="37" t="str">
        <f t="shared" ref="G1603:G1666" si="126">IF(F1603&gt;30%,"Heavy Discount","Normal Discount")</f>
        <v>Normal Discount</v>
      </c>
      <c r="H1603" s="37" t="str">
        <f t="shared" ref="H1603:H1666" si="127">IF(F1603&gt;0.4,"High",IF(F1603&gt;=0.2,"Medium","Low"))</f>
        <v>Medium</v>
      </c>
      <c r="I1603">
        <v>9</v>
      </c>
      <c r="J1603" t="str" cm="1">
        <f t="array" ref="J1603">_xlfn.IFS(I1603&lt;=3,"small",I1603&lt;=6,"Medium",I1603&lt;=9,"Large")</f>
        <v>Large</v>
      </c>
      <c r="K1603" s="36">
        <v>44930</v>
      </c>
      <c r="L1603" s="36">
        <v>44937</v>
      </c>
      <c r="M1603" t="s">
        <v>612</v>
      </c>
      <c r="N1603" t="s">
        <v>599</v>
      </c>
      <c r="O1603" s="37" t="str">
        <f t="shared" ref="O1603:O1666" si="128">IF(OR(N1603="Card",N1603="UPI"),"Digital Payment","Cash Payment")</f>
        <v>Digital Payment</v>
      </c>
      <c r="P1603">
        <v>549.05999999999995</v>
      </c>
      <c r="Q1603" s="37" t="str">
        <f>IF(P1603&gt;500,"High","low")</f>
        <v>High</v>
      </c>
      <c r="R1603" s="37" t="str">
        <f t="shared" ref="R1603:R1666" si="129">IF(P1603&gt;1000,"Excellent",IF(P1603&gt;=500,"Good","AVERAGE"))</f>
        <v>Good</v>
      </c>
      <c r="S1603" t="s">
        <v>620</v>
      </c>
    </row>
    <row r="1604" spans="1:19" x14ac:dyDescent="0.2">
      <c r="A1604" t="s">
        <v>2215</v>
      </c>
      <c r="B1604" t="s">
        <v>83</v>
      </c>
      <c r="C1604" t="s">
        <v>617</v>
      </c>
      <c r="D1604">
        <v>4838.5200000000004</v>
      </c>
      <c r="E1604" s="37" t="str">
        <f t="shared" si="125"/>
        <v>Excellent Order</v>
      </c>
      <c r="F1604">
        <v>0.4</v>
      </c>
      <c r="G1604" s="37" t="str">
        <f t="shared" si="126"/>
        <v>Heavy Discount</v>
      </c>
      <c r="H1604" s="37" t="str">
        <f t="shared" si="127"/>
        <v>Medium</v>
      </c>
      <c r="I1604">
        <v>2</v>
      </c>
      <c r="J1604" t="str" cm="1">
        <f t="array" ref="J1604">_xlfn.IFS(I1604&lt;=3,"small",I1604&lt;=6,"Medium",I1604&lt;=9,"Large")</f>
        <v>small</v>
      </c>
      <c r="K1604" s="36">
        <v>45088</v>
      </c>
      <c r="L1604" s="36">
        <v>45091</v>
      </c>
      <c r="M1604" t="s">
        <v>598</v>
      </c>
      <c r="N1604" t="s">
        <v>599</v>
      </c>
      <c r="O1604" s="37" t="str">
        <f t="shared" si="128"/>
        <v>Digital Payment</v>
      </c>
      <c r="P1604">
        <v>1196.7</v>
      </c>
      <c r="Q1604" s="37" t="str">
        <f>IF(P1604&gt;500,"High","low")</f>
        <v>High</v>
      </c>
      <c r="R1604" s="37" t="str">
        <f t="shared" si="129"/>
        <v>Excellent</v>
      </c>
      <c r="S1604" t="s">
        <v>605</v>
      </c>
    </row>
    <row r="1605" spans="1:19" x14ac:dyDescent="0.2">
      <c r="A1605" t="s">
        <v>2216</v>
      </c>
      <c r="B1605" t="s">
        <v>75</v>
      </c>
      <c r="C1605" t="s">
        <v>602</v>
      </c>
      <c r="D1605">
        <v>975.37</v>
      </c>
      <c r="E1605" s="37" t="str">
        <f t="shared" si="125"/>
        <v xml:space="preserve"> </v>
      </c>
      <c r="F1605">
        <v>0.28999999999999998</v>
      </c>
      <c r="G1605" s="37" t="str">
        <f t="shared" si="126"/>
        <v>Normal Discount</v>
      </c>
      <c r="H1605" s="37" t="str">
        <f t="shared" si="127"/>
        <v>Medium</v>
      </c>
      <c r="I1605">
        <v>6</v>
      </c>
      <c r="J1605" t="str" cm="1">
        <f t="array" ref="J1605">_xlfn.IFS(I1605&lt;=3,"small",I1605&lt;=6,"Medium",I1605&lt;=9,"Large")</f>
        <v>Medium</v>
      </c>
      <c r="K1605" s="36">
        <v>45529</v>
      </c>
      <c r="L1605" s="36">
        <v>45533</v>
      </c>
      <c r="M1605" t="s">
        <v>612</v>
      </c>
      <c r="N1605" t="s">
        <v>608</v>
      </c>
      <c r="O1605" s="37" t="str">
        <f t="shared" si="128"/>
        <v>Cash Payment</v>
      </c>
      <c r="P1605">
        <v>66.87</v>
      </c>
      <c r="Q1605" s="37" t="str">
        <f>IF(P1605&gt;500,"High","low")</f>
        <v>low</v>
      </c>
      <c r="R1605" s="37" t="str">
        <f t="shared" si="129"/>
        <v>AVERAGE</v>
      </c>
      <c r="S1605" t="s">
        <v>628</v>
      </c>
    </row>
    <row r="1606" spans="1:19" x14ac:dyDescent="0.2">
      <c r="A1606" t="s">
        <v>2217</v>
      </c>
      <c r="B1606" t="s">
        <v>67</v>
      </c>
      <c r="C1606" t="s">
        <v>617</v>
      </c>
      <c r="D1606">
        <v>3153.16</v>
      </c>
      <c r="E1606" s="37" t="str">
        <f t="shared" si="125"/>
        <v xml:space="preserve"> </v>
      </c>
      <c r="F1606">
        <v>0.44</v>
      </c>
      <c r="G1606" s="37" t="str">
        <f t="shared" si="126"/>
        <v>Heavy Discount</v>
      </c>
      <c r="H1606" s="37" t="str">
        <f t="shared" si="127"/>
        <v>High</v>
      </c>
      <c r="I1606">
        <v>4</v>
      </c>
      <c r="J1606" t="str" cm="1">
        <f t="array" ref="J1606">_xlfn.IFS(I1606&lt;=3,"small",I1606&lt;=6,"Medium",I1606&lt;=9,"Large")</f>
        <v>Medium</v>
      </c>
      <c r="K1606" s="36">
        <v>45368</v>
      </c>
      <c r="L1606" s="36">
        <v>45371</v>
      </c>
      <c r="M1606" t="s">
        <v>612</v>
      </c>
      <c r="N1606" t="s">
        <v>599</v>
      </c>
      <c r="O1606" s="37" t="str">
        <f t="shared" si="128"/>
        <v>Digital Payment</v>
      </c>
      <c r="P1606">
        <v>774.35</v>
      </c>
      <c r="Q1606" s="37" t="str">
        <f>IF(P1606&gt;500,"High","low")</f>
        <v>High</v>
      </c>
      <c r="R1606" s="37" t="str">
        <f t="shared" si="129"/>
        <v>Good</v>
      </c>
      <c r="S1606" t="s">
        <v>600</v>
      </c>
    </row>
    <row r="1607" spans="1:19" x14ac:dyDescent="0.2">
      <c r="A1607" t="s">
        <v>2218</v>
      </c>
      <c r="B1607" t="s">
        <v>90</v>
      </c>
      <c r="C1607" t="s">
        <v>617</v>
      </c>
      <c r="D1607">
        <v>1021.17</v>
      </c>
      <c r="E1607" s="37" t="str">
        <f t="shared" si="125"/>
        <v xml:space="preserve"> </v>
      </c>
      <c r="F1607">
        <v>0.31</v>
      </c>
      <c r="G1607" s="37" t="str">
        <f t="shared" si="126"/>
        <v>Heavy Discount</v>
      </c>
      <c r="H1607" s="37" t="str">
        <f t="shared" si="127"/>
        <v>Medium</v>
      </c>
      <c r="I1607">
        <v>3</v>
      </c>
      <c r="J1607" t="str" cm="1">
        <f t="array" ref="J1607">_xlfn.IFS(I1607&lt;=3,"small",I1607&lt;=6,"Medium",I1607&lt;=9,"Large")</f>
        <v>small</v>
      </c>
      <c r="K1607" s="36">
        <v>45052</v>
      </c>
      <c r="L1607" s="36">
        <v>45055</v>
      </c>
      <c r="M1607" t="s">
        <v>598</v>
      </c>
      <c r="N1607" t="s">
        <v>604</v>
      </c>
      <c r="O1607" s="37" t="str">
        <f t="shared" si="128"/>
        <v>Digital Payment</v>
      </c>
      <c r="P1607">
        <v>165.33</v>
      </c>
      <c r="Q1607" s="37" t="str">
        <f>IF(P1607&gt;500,"High","low")</f>
        <v>low</v>
      </c>
      <c r="R1607" s="37" t="str">
        <f t="shared" si="129"/>
        <v>AVERAGE</v>
      </c>
      <c r="S1607" t="s">
        <v>600</v>
      </c>
    </row>
    <row r="1608" spans="1:19" x14ac:dyDescent="0.2">
      <c r="A1608" t="s">
        <v>2219</v>
      </c>
      <c r="B1608" t="s">
        <v>83</v>
      </c>
      <c r="C1608" t="s">
        <v>607</v>
      </c>
      <c r="D1608">
        <v>1128.79</v>
      </c>
      <c r="E1608" s="37" t="str">
        <f t="shared" si="125"/>
        <v xml:space="preserve"> </v>
      </c>
      <c r="F1608">
        <v>0.01</v>
      </c>
      <c r="G1608" s="37" t="str">
        <f t="shared" si="126"/>
        <v>Normal Discount</v>
      </c>
      <c r="H1608" s="37" t="str">
        <f t="shared" si="127"/>
        <v>Low</v>
      </c>
      <c r="I1608">
        <v>6</v>
      </c>
      <c r="J1608" t="str" cm="1">
        <f t="array" ref="J1608">_xlfn.IFS(I1608&lt;=3,"small",I1608&lt;=6,"Medium",I1608&lt;=9,"Large")</f>
        <v>Medium</v>
      </c>
      <c r="K1608" s="36">
        <v>45042</v>
      </c>
      <c r="L1608" s="36">
        <v>45046</v>
      </c>
      <c r="M1608" t="s">
        <v>612</v>
      </c>
      <c r="N1608" t="s">
        <v>604</v>
      </c>
      <c r="O1608" s="37" t="str">
        <f t="shared" si="128"/>
        <v>Digital Payment</v>
      </c>
      <c r="P1608">
        <v>83.14</v>
      </c>
      <c r="Q1608" s="37" t="str">
        <f>IF(P1608&gt;500,"High","low")</f>
        <v>low</v>
      </c>
      <c r="R1608" s="37" t="str">
        <f t="shared" si="129"/>
        <v>AVERAGE</v>
      </c>
      <c r="S1608" t="s">
        <v>620</v>
      </c>
    </row>
    <row r="1609" spans="1:19" x14ac:dyDescent="0.2">
      <c r="A1609" t="s">
        <v>2220</v>
      </c>
      <c r="B1609" t="s">
        <v>75</v>
      </c>
      <c r="C1609" t="s">
        <v>602</v>
      </c>
      <c r="D1609">
        <v>3379.36</v>
      </c>
      <c r="E1609" s="37" t="str">
        <f t="shared" si="125"/>
        <v xml:space="preserve"> </v>
      </c>
      <c r="F1609">
        <v>0.44</v>
      </c>
      <c r="G1609" s="37" t="str">
        <f t="shared" si="126"/>
        <v>Heavy Discount</v>
      </c>
      <c r="H1609" s="37" t="str">
        <f t="shared" si="127"/>
        <v>High</v>
      </c>
      <c r="I1609">
        <v>8</v>
      </c>
      <c r="J1609" t="str" cm="1">
        <f t="array" ref="J1609">_xlfn.IFS(I1609&lt;=3,"small",I1609&lt;=6,"Medium",I1609&lt;=9,"Large")</f>
        <v>Large</v>
      </c>
      <c r="K1609" s="36">
        <v>45466</v>
      </c>
      <c r="L1609" s="36">
        <v>45471</v>
      </c>
      <c r="M1609" t="s">
        <v>603</v>
      </c>
      <c r="N1609" t="s">
        <v>599</v>
      </c>
      <c r="O1609" s="37" t="str">
        <f t="shared" si="128"/>
        <v>Digital Payment</v>
      </c>
      <c r="P1609">
        <v>404.12</v>
      </c>
      <c r="Q1609" s="37" t="str">
        <f>IF(P1609&gt;500,"High","low")</f>
        <v>low</v>
      </c>
      <c r="R1609" s="37" t="str">
        <f t="shared" si="129"/>
        <v>AVERAGE</v>
      </c>
      <c r="S1609" t="s">
        <v>628</v>
      </c>
    </row>
    <row r="1610" spans="1:19" x14ac:dyDescent="0.2">
      <c r="A1610" t="s">
        <v>2221</v>
      </c>
      <c r="B1610" t="s">
        <v>83</v>
      </c>
      <c r="C1610" t="s">
        <v>602</v>
      </c>
      <c r="D1610">
        <v>4588.18</v>
      </c>
      <c r="E1610" s="37" t="str">
        <f t="shared" si="125"/>
        <v xml:space="preserve"> </v>
      </c>
      <c r="F1610">
        <v>0.42</v>
      </c>
      <c r="G1610" s="37" t="str">
        <f t="shared" si="126"/>
        <v>Heavy Discount</v>
      </c>
      <c r="H1610" s="37" t="str">
        <f t="shared" si="127"/>
        <v>High</v>
      </c>
      <c r="I1610">
        <v>9</v>
      </c>
      <c r="J1610" t="str" cm="1">
        <f t="array" ref="J1610">_xlfn.IFS(I1610&lt;=3,"small",I1610&lt;=6,"Medium",I1610&lt;=9,"Large")</f>
        <v>Large</v>
      </c>
      <c r="K1610" s="36">
        <v>45063</v>
      </c>
      <c r="L1610" s="36">
        <v>45067</v>
      </c>
      <c r="M1610" t="s">
        <v>598</v>
      </c>
      <c r="N1610" t="s">
        <v>608</v>
      </c>
      <c r="O1610" s="37" t="str">
        <f t="shared" si="128"/>
        <v>Cash Payment</v>
      </c>
      <c r="P1610">
        <v>572.79</v>
      </c>
      <c r="Q1610" s="37" t="str">
        <f>IF(P1610&gt;500,"High","low")</f>
        <v>High</v>
      </c>
      <c r="R1610" s="37" t="str">
        <f t="shared" si="129"/>
        <v>Good</v>
      </c>
      <c r="S1610" t="s">
        <v>628</v>
      </c>
    </row>
    <row r="1611" spans="1:19" x14ac:dyDescent="0.2">
      <c r="A1611" t="s">
        <v>2222</v>
      </c>
      <c r="B1611" t="s">
        <v>90</v>
      </c>
      <c r="C1611" t="s">
        <v>617</v>
      </c>
      <c r="D1611">
        <v>879.32</v>
      </c>
      <c r="E1611" s="37" t="str">
        <f t="shared" si="125"/>
        <v xml:space="preserve"> </v>
      </c>
      <c r="F1611">
        <v>0.02</v>
      </c>
      <c r="G1611" s="37" t="str">
        <f t="shared" si="126"/>
        <v>Normal Discount</v>
      </c>
      <c r="H1611" s="37" t="str">
        <f t="shared" si="127"/>
        <v>Low</v>
      </c>
      <c r="I1611">
        <v>9</v>
      </c>
      <c r="J1611" t="str" cm="1">
        <f t="array" ref="J1611">_xlfn.IFS(I1611&lt;=3,"small",I1611&lt;=6,"Medium",I1611&lt;=9,"Large")</f>
        <v>Large</v>
      </c>
      <c r="K1611" s="36">
        <v>45600</v>
      </c>
      <c r="L1611" s="36">
        <v>45605</v>
      </c>
      <c r="M1611" t="s">
        <v>603</v>
      </c>
      <c r="N1611" t="s">
        <v>604</v>
      </c>
      <c r="O1611" s="37" t="str">
        <f t="shared" si="128"/>
        <v>Digital Payment</v>
      </c>
      <c r="P1611">
        <v>201.52</v>
      </c>
      <c r="Q1611" s="37" t="str">
        <f>IF(P1611&gt;500,"High","low")</f>
        <v>low</v>
      </c>
      <c r="R1611" s="37" t="str">
        <f t="shared" si="129"/>
        <v>AVERAGE</v>
      </c>
      <c r="S1611" t="s">
        <v>600</v>
      </c>
    </row>
    <row r="1612" spans="1:19" x14ac:dyDescent="0.2">
      <c r="A1612" t="s">
        <v>2223</v>
      </c>
      <c r="B1612" t="s">
        <v>75</v>
      </c>
      <c r="C1612" t="s">
        <v>602</v>
      </c>
      <c r="D1612">
        <v>4816.08</v>
      </c>
      <c r="E1612" s="37" t="str">
        <f t="shared" si="125"/>
        <v>Excellent Order</v>
      </c>
      <c r="F1612">
        <v>0.06</v>
      </c>
      <c r="G1612" s="37" t="str">
        <f t="shared" si="126"/>
        <v>Normal Discount</v>
      </c>
      <c r="H1612" s="37" t="str">
        <f t="shared" si="127"/>
        <v>Low</v>
      </c>
      <c r="I1612">
        <v>2</v>
      </c>
      <c r="J1612" t="str" cm="1">
        <f t="array" ref="J1612">_xlfn.IFS(I1612&lt;=3,"small",I1612&lt;=6,"Medium",I1612&lt;=9,"Large")</f>
        <v>small</v>
      </c>
      <c r="K1612" s="36">
        <v>45113</v>
      </c>
      <c r="L1612" s="36">
        <v>45114</v>
      </c>
      <c r="M1612" t="s">
        <v>598</v>
      </c>
      <c r="N1612" t="s">
        <v>604</v>
      </c>
      <c r="O1612" s="37" t="str">
        <f t="shared" si="128"/>
        <v>Digital Payment</v>
      </c>
      <c r="P1612">
        <v>1187.79</v>
      </c>
      <c r="Q1612" s="37" t="str">
        <f>IF(P1612&gt;500,"High","low")</f>
        <v>High</v>
      </c>
      <c r="R1612" s="37" t="str">
        <f t="shared" si="129"/>
        <v>Excellent</v>
      </c>
      <c r="S1612" t="s">
        <v>609</v>
      </c>
    </row>
    <row r="1613" spans="1:19" x14ac:dyDescent="0.2">
      <c r="A1613" t="s">
        <v>2224</v>
      </c>
      <c r="B1613" t="s">
        <v>83</v>
      </c>
      <c r="C1613" t="s">
        <v>602</v>
      </c>
      <c r="D1613">
        <v>1664.92</v>
      </c>
      <c r="E1613" s="37" t="str">
        <f t="shared" si="125"/>
        <v xml:space="preserve"> </v>
      </c>
      <c r="F1613">
        <v>0.28000000000000003</v>
      </c>
      <c r="G1613" s="37" t="str">
        <f t="shared" si="126"/>
        <v>Normal Discount</v>
      </c>
      <c r="H1613" s="37" t="str">
        <f t="shared" si="127"/>
        <v>Medium</v>
      </c>
      <c r="I1613">
        <v>8</v>
      </c>
      <c r="J1613" t="str" cm="1">
        <f t="array" ref="J1613">_xlfn.IFS(I1613&lt;=3,"small",I1613&lt;=6,"Medium",I1613&lt;=9,"Large")</f>
        <v>Large</v>
      </c>
      <c r="K1613" s="36">
        <v>45404</v>
      </c>
      <c r="L1613" s="36">
        <v>45405</v>
      </c>
      <c r="M1613" t="s">
        <v>612</v>
      </c>
      <c r="N1613" t="s">
        <v>604</v>
      </c>
      <c r="O1613" s="37" t="str">
        <f t="shared" si="128"/>
        <v>Digital Payment</v>
      </c>
      <c r="P1613">
        <v>305.23</v>
      </c>
      <c r="Q1613" s="37" t="str">
        <f>IF(P1613&gt;500,"High","low")</f>
        <v>low</v>
      </c>
      <c r="R1613" s="37" t="str">
        <f t="shared" si="129"/>
        <v>AVERAGE</v>
      </c>
      <c r="S1613" t="s">
        <v>609</v>
      </c>
    </row>
    <row r="1614" spans="1:19" x14ac:dyDescent="0.2">
      <c r="A1614" t="s">
        <v>2225</v>
      </c>
      <c r="B1614" t="s">
        <v>67</v>
      </c>
      <c r="C1614" t="s">
        <v>607</v>
      </c>
      <c r="D1614">
        <v>2017.44</v>
      </c>
      <c r="E1614" s="37" t="str">
        <f t="shared" si="125"/>
        <v xml:space="preserve"> </v>
      </c>
      <c r="F1614">
        <v>0.02</v>
      </c>
      <c r="G1614" s="37" t="str">
        <f t="shared" si="126"/>
        <v>Normal Discount</v>
      </c>
      <c r="H1614" s="37" t="str">
        <f t="shared" si="127"/>
        <v>Low</v>
      </c>
      <c r="I1614">
        <v>8</v>
      </c>
      <c r="J1614" t="str" cm="1">
        <f t="array" ref="J1614">_xlfn.IFS(I1614&lt;=3,"small",I1614&lt;=6,"Medium",I1614&lt;=9,"Large")</f>
        <v>Large</v>
      </c>
      <c r="K1614" s="36">
        <v>45327</v>
      </c>
      <c r="L1614" s="36">
        <v>45328</v>
      </c>
      <c r="M1614" t="s">
        <v>603</v>
      </c>
      <c r="N1614" t="s">
        <v>608</v>
      </c>
      <c r="O1614" s="37" t="str">
        <f t="shared" si="128"/>
        <v>Cash Payment</v>
      </c>
      <c r="P1614">
        <v>267.69</v>
      </c>
      <c r="Q1614" s="37" t="str">
        <f>IF(P1614&gt;500,"High","low")</f>
        <v>low</v>
      </c>
      <c r="R1614" s="37" t="str">
        <f t="shared" si="129"/>
        <v>AVERAGE</v>
      </c>
      <c r="S1614" t="s">
        <v>620</v>
      </c>
    </row>
    <row r="1615" spans="1:19" x14ac:dyDescent="0.2">
      <c r="A1615" t="s">
        <v>2226</v>
      </c>
      <c r="B1615" t="s">
        <v>75</v>
      </c>
      <c r="C1615" t="s">
        <v>597</v>
      </c>
      <c r="D1615">
        <v>853.04</v>
      </c>
      <c r="E1615" s="37" t="str">
        <f t="shared" si="125"/>
        <v xml:space="preserve"> </v>
      </c>
      <c r="F1615">
        <v>0.21</v>
      </c>
      <c r="G1615" s="37" t="str">
        <f t="shared" si="126"/>
        <v>Normal Discount</v>
      </c>
      <c r="H1615" s="37" t="str">
        <f t="shared" si="127"/>
        <v>Medium</v>
      </c>
      <c r="I1615">
        <v>5</v>
      </c>
      <c r="J1615" t="str" cm="1">
        <f t="array" ref="J1615">_xlfn.IFS(I1615&lt;=3,"small",I1615&lt;=6,"Medium",I1615&lt;=9,"Large")</f>
        <v>Medium</v>
      </c>
      <c r="K1615" s="36">
        <v>45306</v>
      </c>
      <c r="L1615" s="36">
        <v>45310</v>
      </c>
      <c r="M1615" t="s">
        <v>603</v>
      </c>
      <c r="N1615" t="s">
        <v>604</v>
      </c>
      <c r="O1615" s="37" t="str">
        <f t="shared" si="128"/>
        <v>Digital Payment</v>
      </c>
      <c r="P1615">
        <v>129.54</v>
      </c>
      <c r="Q1615" s="37" t="str">
        <f>IF(P1615&gt;500,"High","low")</f>
        <v>low</v>
      </c>
      <c r="R1615" s="37" t="str">
        <f t="shared" si="129"/>
        <v>AVERAGE</v>
      </c>
      <c r="S1615" t="s">
        <v>605</v>
      </c>
    </row>
    <row r="1616" spans="1:19" x14ac:dyDescent="0.2">
      <c r="A1616" t="s">
        <v>2227</v>
      </c>
      <c r="B1616" t="s">
        <v>83</v>
      </c>
      <c r="C1616" t="s">
        <v>614</v>
      </c>
      <c r="D1616">
        <v>3117.6</v>
      </c>
      <c r="E1616" s="37" t="str">
        <f t="shared" si="125"/>
        <v xml:space="preserve"> </v>
      </c>
      <c r="F1616">
        <v>0.49</v>
      </c>
      <c r="G1616" s="37" t="str">
        <f t="shared" si="126"/>
        <v>Heavy Discount</v>
      </c>
      <c r="H1616" s="37" t="str">
        <f t="shared" si="127"/>
        <v>High</v>
      </c>
      <c r="I1616">
        <v>4</v>
      </c>
      <c r="J1616" t="str" cm="1">
        <f t="array" ref="J1616">_xlfn.IFS(I1616&lt;=3,"small",I1616&lt;=6,"Medium",I1616&lt;=9,"Large")</f>
        <v>Medium</v>
      </c>
      <c r="K1616" s="36">
        <v>44959</v>
      </c>
      <c r="L1616" s="36">
        <v>44964</v>
      </c>
      <c r="M1616" t="s">
        <v>598</v>
      </c>
      <c r="N1616" t="s">
        <v>604</v>
      </c>
      <c r="O1616" s="37" t="str">
        <f t="shared" si="128"/>
        <v>Digital Payment</v>
      </c>
      <c r="P1616">
        <v>642.97</v>
      </c>
      <c r="Q1616" s="37" t="str">
        <f>IF(P1616&gt;500,"High","low")</f>
        <v>High</v>
      </c>
      <c r="R1616" s="37" t="str">
        <f t="shared" si="129"/>
        <v>Good</v>
      </c>
      <c r="S1616" t="s">
        <v>615</v>
      </c>
    </row>
    <row r="1617" spans="1:19" x14ac:dyDescent="0.2">
      <c r="A1617" t="s">
        <v>2228</v>
      </c>
      <c r="B1617" t="s">
        <v>90</v>
      </c>
      <c r="C1617" t="s">
        <v>597</v>
      </c>
      <c r="D1617">
        <v>3022.46</v>
      </c>
      <c r="E1617" s="37" t="str">
        <f t="shared" si="125"/>
        <v xml:space="preserve"> </v>
      </c>
      <c r="F1617">
        <v>0.09</v>
      </c>
      <c r="G1617" s="37" t="str">
        <f t="shared" si="126"/>
        <v>Normal Discount</v>
      </c>
      <c r="H1617" s="37" t="str">
        <f t="shared" si="127"/>
        <v>Low</v>
      </c>
      <c r="I1617">
        <v>9</v>
      </c>
      <c r="J1617" t="str" cm="1">
        <f t="array" ref="J1617">_xlfn.IFS(I1617&lt;=3,"small",I1617&lt;=6,"Medium",I1617&lt;=9,"Large")</f>
        <v>Large</v>
      </c>
      <c r="K1617" s="36">
        <v>44939</v>
      </c>
      <c r="L1617" s="36">
        <v>44941</v>
      </c>
      <c r="M1617" t="s">
        <v>598</v>
      </c>
      <c r="N1617" t="s">
        <v>608</v>
      </c>
      <c r="O1617" s="37" t="str">
        <f t="shared" si="128"/>
        <v>Cash Payment</v>
      </c>
      <c r="P1617">
        <v>628.29</v>
      </c>
      <c r="Q1617" s="37" t="str">
        <f>IF(P1617&gt;500,"High","low")</f>
        <v>High</v>
      </c>
      <c r="R1617" s="37" t="str">
        <f t="shared" si="129"/>
        <v>Good</v>
      </c>
      <c r="S1617" t="s">
        <v>605</v>
      </c>
    </row>
    <row r="1618" spans="1:19" x14ac:dyDescent="0.2">
      <c r="A1618" t="s">
        <v>2229</v>
      </c>
      <c r="B1618" t="s">
        <v>90</v>
      </c>
      <c r="C1618" t="s">
        <v>602</v>
      </c>
      <c r="D1618">
        <v>2267.12</v>
      </c>
      <c r="E1618" s="37" t="str">
        <f t="shared" si="125"/>
        <v xml:space="preserve"> </v>
      </c>
      <c r="F1618">
        <v>0.1</v>
      </c>
      <c r="G1618" s="37" t="str">
        <f t="shared" si="126"/>
        <v>Normal Discount</v>
      </c>
      <c r="H1618" s="37" t="str">
        <f t="shared" si="127"/>
        <v>Low</v>
      </c>
      <c r="I1618">
        <v>4</v>
      </c>
      <c r="J1618" t="str" cm="1">
        <f t="array" ref="J1618">_xlfn.IFS(I1618&lt;=3,"small",I1618&lt;=6,"Medium",I1618&lt;=9,"Large")</f>
        <v>Medium</v>
      </c>
      <c r="K1618" s="36">
        <v>45222</v>
      </c>
      <c r="L1618" s="36">
        <v>45229</v>
      </c>
      <c r="M1618" t="s">
        <v>603</v>
      </c>
      <c r="N1618" t="s">
        <v>604</v>
      </c>
      <c r="O1618" s="37" t="str">
        <f t="shared" si="128"/>
        <v>Digital Payment</v>
      </c>
      <c r="P1618">
        <v>216</v>
      </c>
      <c r="Q1618" s="37" t="str">
        <f>IF(P1618&gt;500,"High","low")</f>
        <v>low</v>
      </c>
      <c r="R1618" s="37" t="str">
        <f t="shared" si="129"/>
        <v>AVERAGE</v>
      </c>
      <c r="S1618" t="s">
        <v>620</v>
      </c>
    </row>
    <row r="1619" spans="1:19" x14ac:dyDescent="0.2">
      <c r="A1619" t="s">
        <v>2230</v>
      </c>
      <c r="B1619" t="s">
        <v>75</v>
      </c>
      <c r="C1619" t="s">
        <v>617</v>
      </c>
      <c r="D1619">
        <v>2432.85</v>
      </c>
      <c r="E1619" s="37" t="str">
        <f t="shared" si="125"/>
        <v xml:space="preserve"> </v>
      </c>
      <c r="F1619">
        <v>0.34</v>
      </c>
      <c r="G1619" s="37" t="str">
        <f t="shared" si="126"/>
        <v>Heavy Discount</v>
      </c>
      <c r="H1619" s="37" t="str">
        <f t="shared" si="127"/>
        <v>Medium</v>
      </c>
      <c r="I1619">
        <v>4</v>
      </c>
      <c r="J1619" t="str" cm="1">
        <f t="array" ref="J1619">_xlfn.IFS(I1619&lt;=3,"small",I1619&lt;=6,"Medium",I1619&lt;=9,"Large")</f>
        <v>Medium</v>
      </c>
      <c r="K1619" s="36">
        <v>45180</v>
      </c>
      <c r="L1619" s="36">
        <v>45183</v>
      </c>
      <c r="M1619" t="s">
        <v>603</v>
      </c>
      <c r="N1619" t="s">
        <v>604</v>
      </c>
      <c r="O1619" s="37" t="str">
        <f t="shared" si="128"/>
        <v>Digital Payment</v>
      </c>
      <c r="P1619">
        <v>426.1</v>
      </c>
      <c r="Q1619" s="37" t="str">
        <f>IF(P1619&gt;500,"High","low")</f>
        <v>low</v>
      </c>
      <c r="R1619" s="37" t="str">
        <f t="shared" si="129"/>
        <v>AVERAGE</v>
      </c>
      <c r="S1619" t="s">
        <v>620</v>
      </c>
    </row>
    <row r="1620" spans="1:19" x14ac:dyDescent="0.2">
      <c r="A1620" t="s">
        <v>2231</v>
      </c>
      <c r="B1620" t="s">
        <v>83</v>
      </c>
      <c r="C1620" t="s">
        <v>614</v>
      </c>
      <c r="D1620">
        <v>3152.58</v>
      </c>
      <c r="E1620" s="37" t="str">
        <f t="shared" si="125"/>
        <v xml:space="preserve"> </v>
      </c>
      <c r="F1620">
        <v>0.02</v>
      </c>
      <c r="G1620" s="37" t="str">
        <f t="shared" si="126"/>
        <v>Normal Discount</v>
      </c>
      <c r="H1620" s="37" t="str">
        <f t="shared" si="127"/>
        <v>Low</v>
      </c>
      <c r="I1620">
        <v>3</v>
      </c>
      <c r="J1620" t="str" cm="1">
        <f t="array" ref="J1620">_xlfn.IFS(I1620&lt;=3,"small",I1620&lt;=6,"Medium",I1620&lt;=9,"Large")</f>
        <v>small</v>
      </c>
      <c r="K1620" s="36">
        <v>45285</v>
      </c>
      <c r="L1620" s="36">
        <v>45289</v>
      </c>
      <c r="M1620" t="s">
        <v>603</v>
      </c>
      <c r="N1620" t="s">
        <v>599</v>
      </c>
      <c r="O1620" s="37" t="str">
        <f t="shared" si="128"/>
        <v>Digital Payment</v>
      </c>
      <c r="P1620">
        <v>604.79</v>
      </c>
      <c r="Q1620" s="37" t="str">
        <f>IF(P1620&gt;500,"High","low")</f>
        <v>High</v>
      </c>
      <c r="R1620" s="37" t="str">
        <f t="shared" si="129"/>
        <v>Good</v>
      </c>
      <c r="S1620" t="s">
        <v>609</v>
      </c>
    </row>
    <row r="1621" spans="1:19" x14ac:dyDescent="0.2">
      <c r="A1621" t="s">
        <v>2232</v>
      </c>
      <c r="B1621" t="s">
        <v>75</v>
      </c>
      <c r="C1621" t="s">
        <v>614</v>
      </c>
      <c r="D1621">
        <v>2959.13</v>
      </c>
      <c r="E1621" s="37" t="str">
        <f t="shared" si="125"/>
        <v xml:space="preserve"> </v>
      </c>
      <c r="F1621">
        <v>0.41</v>
      </c>
      <c r="G1621" s="37" t="str">
        <f t="shared" si="126"/>
        <v>Heavy Discount</v>
      </c>
      <c r="H1621" s="37" t="str">
        <f t="shared" si="127"/>
        <v>High</v>
      </c>
      <c r="I1621">
        <v>3</v>
      </c>
      <c r="J1621" t="str" cm="1">
        <f t="array" ref="J1621">_xlfn.IFS(I1621&lt;=3,"small",I1621&lt;=6,"Medium",I1621&lt;=9,"Large")</f>
        <v>small</v>
      </c>
      <c r="K1621" s="36">
        <v>44940</v>
      </c>
      <c r="L1621" s="36">
        <v>44941</v>
      </c>
      <c r="M1621" t="s">
        <v>612</v>
      </c>
      <c r="N1621" t="s">
        <v>604</v>
      </c>
      <c r="O1621" s="37" t="str">
        <f t="shared" si="128"/>
        <v>Digital Payment</v>
      </c>
      <c r="P1621">
        <v>702.47</v>
      </c>
      <c r="Q1621" s="37" t="str">
        <f>IF(P1621&gt;500,"High","low")</f>
        <v>High</v>
      </c>
      <c r="R1621" s="37" t="str">
        <f t="shared" si="129"/>
        <v>Good</v>
      </c>
      <c r="S1621" t="s">
        <v>628</v>
      </c>
    </row>
    <row r="1622" spans="1:19" x14ac:dyDescent="0.2">
      <c r="A1622" t="s">
        <v>2233</v>
      </c>
      <c r="B1622" t="s">
        <v>75</v>
      </c>
      <c r="C1622" t="s">
        <v>617</v>
      </c>
      <c r="D1622">
        <v>1933.89</v>
      </c>
      <c r="E1622" s="37" t="str">
        <f t="shared" si="125"/>
        <v xml:space="preserve"> </v>
      </c>
      <c r="F1622">
        <v>0.1</v>
      </c>
      <c r="G1622" s="37" t="str">
        <f t="shared" si="126"/>
        <v>Normal Discount</v>
      </c>
      <c r="H1622" s="37" t="str">
        <f t="shared" si="127"/>
        <v>Low</v>
      </c>
      <c r="I1622">
        <v>3</v>
      </c>
      <c r="J1622" t="str" cm="1">
        <f t="array" ref="J1622">_xlfn.IFS(I1622&lt;=3,"small",I1622&lt;=6,"Medium",I1622&lt;=9,"Large")</f>
        <v>small</v>
      </c>
      <c r="K1622" s="36">
        <v>45190</v>
      </c>
      <c r="L1622" s="36">
        <v>45192</v>
      </c>
      <c r="M1622" t="s">
        <v>603</v>
      </c>
      <c r="N1622" t="s">
        <v>608</v>
      </c>
      <c r="O1622" s="37" t="str">
        <f t="shared" si="128"/>
        <v>Cash Payment</v>
      </c>
      <c r="P1622">
        <v>322.52999999999997</v>
      </c>
      <c r="Q1622" s="37" t="str">
        <f>IF(P1622&gt;500,"High","low")</f>
        <v>low</v>
      </c>
      <c r="R1622" s="37" t="str">
        <f t="shared" si="129"/>
        <v>AVERAGE</v>
      </c>
      <c r="S1622" t="s">
        <v>620</v>
      </c>
    </row>
    <row r="1623" spans="1:19" x14ac:dyDescent="0.2">
      <c r="A1623" t="s">
        <v>2234</v>
      </c>
      <c r="B1623" t="s">
        <v>83</v>
      </c>
      <c r="C1623" t="s">
        <v>614</v>
      </c>
      <c r="D1623">
        <v>4432.16</v>
      </c>
      <c r="E1623" s="37" t="str">
        <f t="shared" si="125"/>
        <v>Excellent Order</v>
      </c>
      <c r="F1623">
        <v>0.27</v>
      </c>
      <c r="G1623" s="37" t="str">
        <f t="shared" si="126"/>
        <v>Normal Discount</v>
      </c>
      <c r="H1623" s="37" t="str">
        <f t="shared" si="127"/>
        <v>Medium</v>
      </c>
      <c r="I1623">
        <v>7</v>
      </c>
      <c r="J1623" t="str" cm="1">
        <f t="array" ref="J1623">_xlfn.IFS(I1623&lt;=3,"small",I1623&lt;=6,"Medium",I1623&lt;=9,"Large")</f>
        <v>Large</v>
      </c>
      <c r="K1623" s="36">
        <v>45086</v>
      </c>
      <c r="L1623" s="36">
        <v>45091</v>
      </c>
      <c r="M1623" t="s">
        <v>612</v>
      </c>
      <c r="N1623" t="s">
        <v>608</v>
      </c>
      <c r="O1623" s="37" t="str">
        <f t="shared" si="128"/>
        <v>Cash Payment</v>
      </c>
      <c r="P1623">
        <v>1259.45</v>
      </c>
      <c r="Q1623" s="37" t="str">
        <f>IF(P1623&gt;500,"High","low")</f>
        <v>High</v>
      </c>
      <c r="R1623" s="37" t="str">
        <f t="shared" si="129"/>
        <v>Excellent</v>
      </c>
      <c r="S1623" t="s">
        <v>615</v>
      </c>
    </row>
    <row r="1624" spans="1:19" x14ac:dyDescent="0.2">
      <c r="A1624" t="s">
        <v>2235</v>
      </c>
      <c r="B1624" t="s">
        <v>83</v>
      </c>
      <c r="C1624" t="s">
        <v>617</v>
      </c>
      <c r="D1624">
        <v>3371.54</v>
      </c>
      <c r="E1624" s="37" t="str">
        <f t="shared" si="125"/>
        <v xml:space="preserve"> </v>
      </c>
      <c r="F1624">
        <v>0.12</v>
      </c>
      <c r="G1624" s="37" t="str">
        <f t="shared" si="126"/>
        <v>Normal Discount</v>
      </c>
      <c r="H1624" s="37" t="str">
        <f t="shared" si="127"/>
        <v>Low</v>
      </c>
      <c r="I1624">
        <v>5</v>
      </c>
      <c r="J1624" t="str" cm="1">
        <f t="array" ref="J1624">_xlfn.IFS(I1624&lt;=3,"small",I1624&lt;=6,"Medium",I1624&lt;=9,"Large")</f>
        <v>Medium</v>
      </c>
      <c r="K1624" s="36">
        <v>45251</v>
      </c>
      <c r="L1624" s="36">
        <v>45256</v>
      </c>
      <c r="M1624" t="s">
        <v>598</v>
      </c>
      <c r="N1624" t="s">
        <v>599</v>
      </c>
      <c r="O1624" s="37" t="str">
        <f t="shared" si="128"/>
        <v>Digital Payment</v>
      </c>
      <c r="P1624">
        <v>729.61</v>
      </c>
      <c r="Q1624" s="37" t="str">
        <f>IF(P1624&gt;500,"High","low")</f>
        <v>High</v>
      </c>
      <c r="R1624" s="37" t="str">
        <f t="shared" si="129"/>
        <v>Good</v>
      </c>
      <c r="S1624" t="s">
        <v>605</v>
      </c>
    </row>
    <row r="1625" spans="1:19" x14ac:dyDescent="0.2">
      <c r="A1625" t="s">
        <v>2236</v>
      </c>
      <c r="B1625" t="s">
        <v>67</v>
      </c>
      <c r="C1625" t="s">
        <v>614</v>
      </c>
      <c r="D1625">
        <v>1106.49</v>
      </c>
      <c r="E1625" s="37" t="str">
        <f t="shared" si="125"/>
        <v xml:space="preserve"> </v>
      </c>
      <c r="F1625">
        <v>0.33</v>
      </c>
      <c r="G1625" s="37" t="str">
        <f t="shared" si="126"/>
        <v>Heavy Discount</v>
      </c>
      <c r="H1625" s="37" t="str">
        <f t="shared" si="127"/>
        <v>Medium</v>
      </c>
      <c r="I1625">
        <v>9</v>
      </c>
      <c r="J1625" t="str" cm="1">
        <f t="array" ref="J1625">_xlfn.IFS(I1625&lt;=3,"small",I1625&lt;=6,"Medium",I1625&lt;=9,"Large")</f>
        <v>Large</v>
      </c>
      <c r="K1625" s="36">
        <v>45616</v>
      </c>
      <c r="L1625" s="36">
        <v>45621</v>
      </c>
      <c r="M1625" t="s">
        <v>598</v>
      </c>
      <c r="N1625" t="s">
        <v>608</v>
      </c>
      <c r="O1625" s="37" t="str">
        <f t="shared" si="128"/>
        <v>Cash Payment</v>
      </c>
      <c r="P1625">
        <v>255.09</v>
      </c>
      <c r="Q1625" s="37" t="str">
        <f>IF(P1625&gt;500,"High","low")</f>
        <v>low</v>
      </c>
      <c r="R1625" s="37" t="str">
        <f t="shared" si="129"/>
        <v>AVERAGE</v>
      </c>
      <c r="S1625" t="s">
        <v>605</v>
      </c>
    </row>
    <row r="1626" spans="1:19" x14ac:dyDescent="0.2">
      <c r="A1626" t="s">
        <v>2237</v>
      </c>
      <c r="B1626" t="s">
        <v>83</v>
      </c>
      <c r="C1626" t="s">
        <v>597</v>
      </c>
      <c r="D1626">
        <v>1667.52</v>
      </c>
      <c r="E1626" s="37" t="str">
        <f t="shared" si="125"/>
        <v xml:space="preserve"> </v>
      </c>
      <c r="F1626">
        <v>0.28999999999999998</v>
      </c>
      <c r="G1626" s="37" t="str">
        <f t="shared" si="126"/>
        <v>Normal Discount</v>
      </c>
      <c r="H1626" s="37" t="str">
        <f t="shared" si="127"/>
        <v>Medium</v>
      </c>
      <c r="I1626">
        <v>2</v>
      </c>
      <c r="J1626" t="str" cm="1">
        <f t="array" ref="J1626">_xlfn.IFS(I1626&lt;=3,"small",I1626&lt;=6,"Medium",I1626&lt;=9,"Large")</f>
        <v>small</v>
      </c>
      <c r="K1626" s="36">
        <v>45603</v>
      </c>
      <c r="L1626" s="36">
        <v>45607</v>
      </c>
      <c r="M1626" t="s">
        <v>603</v>
      </c>
      <c r="N1626" t="s">
        <v>599</v>
      </c>
      <c r="O1626" s="37" t="str">
        <f t="shared" si="128"/>
        <v>Digital Payment</v>
      </c>
      <c r="P1626">
        <v>327.84</v>
      </c>
      <c r="Q1626" s="37" t="str">
        <f>IF(P1626&gt;500,"High","low")</f>
        <v>low</v>
      </c>
      <c r="R1626" s="37" t="str">
        <f t="shared" si="129"/>
        <v>AVERAGE</v>
      </c>
      <c r="S1626" t="s">
        <v>615</v>
      </c>
    </row>
    <row r="1627" spans="1:19" x14ac:dyDescent="0.2">
      <c r="A1627" t="s">
        <v>2238</v>
      </c>
      <c r="B1627" t="s">
        <v>90</v>
      </c>
      <c r="C1627" t="s">
        <v>614</v>
      </c>
      <c r="D1627">
        <v>3960.6</v>
      </c>
      <c r="E1627" s="37" t="str">
        <f t="shared" si="125"/>
        <v xml:space="preserve"> </v>
      </c>
      <c r="F1627">
        <v>0.47</v>
      </c>
      <c r="G1627" s="37" t="str">
        <f t="shared" si="126"/>
        <v>Heavy Discount</v>
      </c>
      <c r="H1627" s="37" t="str">
        <f t="shared" si="127"/>
        <v>High</v>
      </c>
      <c r="I1627">
        <v>4</v>
      </c>
      <c r="J1627" t="str" cm="1">
        <f t="array" ref="J1627">_xlfn.IFS(I1627&lt;=3,"small",I1627&lt;=6,"Medium",I1627&lt;=9,"Large")</f>
        <v>Medium</v>
      </c>
      <c r="K1627" s="36">
        <v>44971</v>
      </c>
      <c r="L1627" s="36">
        <v>44974</v>
      </c>
      <c r="M1627" t="s">
        <v>603</v>
      </c>
      <c r="N1627" t="s">
        <v>608</v>
      </c>
      <c r="O1627" s="37" t="str">
        <f t="shared" si="128"/>
        <v>Cash Payment</v>
      </c>
      <c r="P1627">
        <v>1035.1500000000001</v>
      </c>
      <c r="Q1627" s="37" t="str">
        <f>IF(P1627&gt;500,"High","low")</f>
        <v>High</v>
      </c>
      <c r="R1627" s="37" t="str">
        <f t="shared" si="129"/>
        <v>Excellent</v>
      </c>
      <c r="S1627" t="s">
        <v>628</v>
      </c>
    </row>
    <row r="1628" spans="1:19" x14ac:dyDescent="0.2">
      <c r="A1628" t="s">
        <v>2239</v>
      </c>
      <c r="B1628" t="s">
        <v>75</v>
      </c>
      <c r="C1628" t="s">
        <v>607</v>
      </c>
      <c r="D1628">
        <v>612.16999999999996</v>
      </c>
      <c r="E1628" s="37" t="str">
        <f t="shared" si="125"/>
        <v xml:space="preserve"> </v>
      </c>
      <c r="F1628">
        <v>0.22</v>
      </c>
      <c r="G1628" s="37" t="str">
        <f t="shared" si="126"/>
        <v>Normal Discount</v>
      </c>
      <c r="H1628" s="37" t="str">
        <f t="shared" si="127"/>
        <v>Medium</v>
      </c>
      <c r="I1628">
        <v>2</v>
      </c>
      <c r="J1628" t="str" cm="1">
        <f t="array" ref="J1628">_xlfn.IFS(I1628&lt;=3,"small",I1628&lt;=6,"Medium",I1628&lt;=9,"Large")</f>
        <v>small</v>
      </c>
      <c r="K1628" s="36">
        <v>45379</v>
      </c>
      <c r="L1628" s="36">
        <v>45382</v>
      </c>
      <c r="M1628" t="s">
        <v>603</v>
      </c>
      <c r="N1628" t="s">
        <v>599</v>
      </c>
      <c r="O1628" s="37" t="str">
        <f t="shared" si="128"/>
        <v>Digital Payment</v>
      </c>
      <c r="P1628">
        <v>85.64</v>
      </c>
      <c r="Q1628" s="37" t="str">
        <f>IF(P1628&gt;500,"High","low")</f>
        <v>low</v>
      </c>
      <c r="R1628" s="37" t="str">
        <f t="shared" si="129"/>
        <v>AVERAGE</v>
      </c>
      <c r="S1628" t="s">
        <v>628</v>
      </c>
    </row>
    <row r="1629" spans="1:19" x14ac:dyDescent="0.2">
      <c r="A1629" t="s">
        <v>2240</v>
      </c>
      <c r="B1629" t="s">
        <v>75</v>
      </c>
      <c r="C1629" t="s">
        <v>617</v>
      </c>
      <c r="D1629">
        <v>3776.14</v>
      </c>
      <c r="E1629" s="37" t="str">
        <f t="shared" si="125"/>
        <v xml:space="preserve"> </v>
      </c>
      <c r="F1629">
        <v>0.44</v>
      </c>
      <c r="G1629" s="37" t="str">
        <f t="shared" si="126"/>
        <v>Heavy Discount</v>
      </c>
      <c r="H1629" s="37" t="str">
        <f t="shared" si="127"/>
        <v>High</v>
      </c>
      <c r="I1629">
        <v>8</v>
      </c>
      <c r="J1629" t="str" cm="1">
        <f t="array" ref="J1629">_xlfn.IFS(I1629&lt;=3,"small",I1629&lt;=6,"Medium",I1629&lt;=9,"Large")</f>
        <v>Large</v>
      </c>
      <c r="K1629" s="36">
        <v>45592</v>
      </c>
      <c r="L1629" s="36">
        <v>45594</v>
      </c>
      <c r="M1629" t="s">
        <v>603</v>
      </c>
      <c r="N1629" t="s">
        <v>599</v>
      </c>
      <c r="O1629" s="37" t="str">
        <f t="shared" si="128"/>
        <v>Digital Payment</v>
      </c>
      <c r="P1629">
        <v>219.05</v>
      </c>
      <c r="Q1629" s="37" t="str">
        <f>IF(P1629&gt;500,"High","low")</f>
        <v>low</v>
      </c>
      <c r="R1629" s="37" t="str">
        <f t="shared" si="129"/>
        <v>AVERAGE</v>
      </c>
      <c r="S1629" t="s">
        <v>609</v>
      </c>
    </row>
    <row r="1630" spans="1:19" x14ac:dyDescent="0.2">
      <c r="A1630" t="s">
        <v>2241</v>
      </c>
      <c r="B1630" t="s">
        <v>90</v>
      </c>
      <c r="C1630" t="s">
        <v>614</v>
      </c>
      <c r="D1630">
        <v>1858.33</v>
      </c>
      <c r="E1630" s="37" t="str">
        <f t="shared" si="125"/>
        <v xml:space="preserve"> </v>
      </c>
      <c r="F1630">
        <v>0.28999999999999998</v>
      </c>
      <c r="G1630" s="37" t="str">
        <f t="shared" si="126"/>
        <v>Normal Discount</v>
      </c>
      <c r="H1630" s="37" t="str">
        <f t="shared" si="127"/>
        <v>Medium</v>
      </c>
      <c r="I1630">
        <v>4</v>
      </c>
      <c r="J1630" t="str" cm="1">
        <f t="array" ref="J1630">_xlfn.IFS(I1630&lt;=3,"small",I1630&lt;=6,"Medium",I1630&lt;=9,"Large")</f>
        <v>Medium</v>
      </c>
      <c r="K1630" s="36">
        <v>45259</v>
      </c>
      <c r="L1630" s="36">
        <v>45265</v>
      </c>
      <c r="M1630" t="s">
        <v>598</v>
      </c>
      <c r="N1630" t="s">
        <v>608</v>
      </c>
      <c r="O1630" s="37" t="str">
        <f t="shared" si="128"/>
        <v>Cash Payment</v>
      </c>
      <c r="P1630">
        <v>146.12</v>
      </c>
      <c r="Q1630" s="37" t="str">
        <f>IF(P1630&gt;500,"High","low")</f>
        <v>low</v>
      </c>
      <c r="R1630" s="37" t="str">
        <f t="shared" si="129"/>
        <v>AVERAGE</v>
      </c>
      <c r="S1630" t="s">
        <v>605</v>
      </c>
    </row>
    <row r="1631" spans="1:19" x14ac:dyDescent="0.2">
      <c r="A1631" t="s">
        <v>2242</v>
      </c>
      <c r="B1631" t="s">
        <v>83</v>
      </c>
      <c r="C1631" t="s">
        <v>617</v>
      </c>
      <c r="D1631">
        <v>2803.29</v>
      </c>
      <c r="E1631" s="37" t="str">
        <f t="shared" si="125"/>
        <v xml:space="preserve"> </v>
      </c>
      <c r="F1631">
        <v>0.46</v>
      </c>
      <c r="G1631" s="37" t="str">
        <f t="shared" si="126"/>
        <v>Heavy Discount</v>
      </c>
      <c r="H1631" s="37" t="str">
        <f t="shared" si="127"/>
        <v>High</v>
      </c>
      <c r="I1631">
        <v>1</v>
      </c>
      <c r="J1631" t="str" cm="1">
        <f t="array" ref="J1631">_xlfn.IFS(I1631&lt;=3,"small",I1631&lt;=6,"Medium",I1631&lt;=9,"Large")</f>
        <v>small</v>
      </c>
      <c r="K1631" s="36">
        <v>45476</v>
      </c>
      <c r="L1631" s="36">
        <v>45477</v>
      </c>
      <c r="M1631" t="s">
        <v>612</v>
      </c>
      <c r="N1631" t="s">
        <v>599</v>
      </c>
      <c r="O1631" s="37" t="str">
        <f t="shared" si="128"/>
        <v>Digital Payment</v>
      </c>
      <c r="P1631">
        <v>440.38</v>
      </c>
      <c r="Q1631" s="37" t="str">
        <f>IF(P1631&gt;500,"High","low")</f>
        <v>low</v>
      </c>
      <c r="R1631" s="37" t="str">
        <f t="shared" si="129"/>
        <v>AVERAGE</v>
      </c>
      <c r="S1631" t="s">
        <v>605</v>
      </c>
    </row>
    <row r="1632" spans="1:19" x14ac:dyDescent="0.2">
      <c r="A1632" t="s">
        <v>2243</v>
      </c>
      <c r="B1632" t="s">
        <v>90</v>
      </c>
      <c r="C1632" t="s">
        <v>607</v>
      </c>
      <c r="D1632">
        <v>1474.73</v>
      </c>
      <c r="E1632" s="37" t="str">
        <f t="shared" si="125"/>
        <v xml:space="preserve"> </v>
      </c>
      <c r="F1632">
        <v>0.15</v>
      </c>
      <c r="G1632" s="37" t="str">
        <f t="shared" si="126"/>
        <v>Normal Discount</v>
      </c>
      <c r="H1632" s="37" t="str">
        <f t="shared" si="127"/>
        <v>Low</v>
      </c>
      <c r="I1632">
        <v>3</v>
      </c>
      <c r="J1632" t="str" cm="1">
        <f t="array" ref="J1632">_xlfn.IFS(I1632&lt;=3,"small",I1632&lt;=6,"Medium",I1632&lt;=9,"Large")</f>
        <v>small</v>
      </c>
      <c r="K1632" s="36">
        <v>45030</v>
      </c>
      <c r="L1632" s="36">
        <v>45036</v>
      </c>
      <c r="M1632" t="s">
        <v>598</v>
      </c>
      <c r="N1632" t="s">
        <v>599</v>
      </c>
      <c r="O1632" s="37" t="str">
        <f t="shared" si="128"/>
        <v>Digital Payment</v>
      </c>
      <c r="P1632">
        <v>218.39</v>
      </c>
      <c r="Q1632" s="37" t="str">
        <f>IF(P1632&gt;500,"High","low")</f>
        <v>low</v>
      </c>
      <c r="R1632" s="37" t="str">
        <f t="shared" si="129"/>
        <v>AVERAGE</v>
      </c>
      <c r="S1632" t="s">
        <v>600</v>
      </c>
    </row>
    <row r="1633" spans="1:19" x14ac:dyDescent="0.2">
      <c r="A1633" t="s">
        <v>2244</v>
      </c>
      <c r="B1633" t="s">
        <v>90</v>
      </c>
      <c r="C1633" t="s">
        <v>614</v>
      </c>
      <c r="D1633">
        <v>4933.6400000000003</v>
      </c>
      <c r="E1633" s="37" t="str">
        <f t="shared" si="125"/>
        <v xml:space="preserve"> </v>
      </c>
      <c r="F1633">
        <v>0.27</v>
      </c>
      <c r="G1633" s="37" t="str">
        <f t="shared" si="126"/>
        <v>Normal Discount</v>
      </c>
      <c r="H1633" s="37" t="str">
        <f t="shared" si="127"/>
        <v>Medium</v>
      </c>
      <c r="I1633">
        <v>7</v>
      </c>
      <c r="J1633" t="str" cm="1">
        <f t="array" ref="J1633">_xlfn.IFS(I1633&lt;=3,"small",I1633&lt;=6,"Medium",I1633&lt;=9,"Large")</f>
        <v>Large</v>
      </c>
      <c r="K1633" s="36">
        <v>45081</v>
      </c>
      <c r="L1633" s="36">
        <v>45087</v>
      </c>
      <c r="M1633" t="s">
        <v>603</v>
      </c>
      <c r="N1633" t="s">
        <v>604</v>
      </c>
      <c r="O1633" s="37" t="str">
        <f t="shared" si="128"/>
        <v>Digital Payment</v>
      </c>
      <c r="P1633">
        <v>798.1</v>
      </c>
      <c r="Q1633" s="37" t="str">
        <f>IF(P1633&gt;500,"High","low")</f>
        <v>High</v>
      </c>
      <c r="R1633" s="37" t="str">
        <f t="shared" si="129"/>
        <v>Good</v>
      </c>
      <c r="S1633" t="s">
        <v>600</v>
      </c>
    </row>
    <row r="1634" spans="1:19" x14ac:dyDescent="0.2">
      <c r="A1634" t="s">
        <v>2245</v>
      </c>
      <c r="B1634" t="s">
        <v>67</v>
      </c>
      <c r="C1634" t="s">
        <v>614</v>
      </c>
      <c r="D1634">
        <v>4538.62</v>
      </c>
      <c r="E1634" s="37" t="str">
        <f t="shared" si="125"/>
        <v>Excellent Order</v>
      </c>
      <c r="F1634">
        <v>0.2</v>
      </c>
      <c r="G1634" s="37" t="str">
        <f t="shared" si="126"/>
        <v>Normal Discount</v>
      </c>
      <c r="H1634" s="37" t="str">
        <f t="shared" si="127"/>
        <v>Medium</v>
      </c>
      <c r="I1634">
        <v>3</v>
      </c>
      <c r="J1634" t="str" cm="1">
        <f t="array" ref="J1634">_xlfn.IFS(I1634&lt;=3,"small",I1634&lt;=6,"Medium",I1634&lt;=9,"Large")</f>
        <v>small</v>
      </c>
      <c r="K1634" s="36">
        <v>45007</v>
      </c>
      <c r="L1634" s="36">
        <v>45013</v>
      </c>
      <c r="M1634" t="s">
        <v>598</v>
      </c>
      <c r="N1634" t="s">
        <v>599</v>
      </c>
      <c r="O1634" s="37" t="str">
        <f t="shared" si="128"/>
        <v>Digital Payment</v>
      </c>
      <c r="P1634">
        <v>838.44</v>
      </c>
      <c r="Q1634" s="37" t="str">
        <f>IF(P1634&gt;500,"High","low")</f>
        <v>High</v>
      </c>
      <c r="R1634" s="37" t="str">
        <f t="shared" si="129"/>
        <v>Good</v>
      </c>
      <c r="S1634" t="s">
        <v>609</v>
      </c>
    </row>
    <row r="1635" spans="1:19" x14ac:dyDescent="0.2">
      <c r="A1635" t="s">
        <v>2246</v>
      </c>
      <c r="B1635" t="s">
        <v>90</v>
      </c>
      <c r="C1635" t="s">
        <v>607</v>
      </c>
      <c r="D1635">
        <v>4649.3999999999996</v>
      </c>
      <c r="E1635" s="37" t="str">
        <f t="shared" si="125"/>
        <v xml:space="preserve"> </v>
      </c>
      <c r="F1635">
        <v>0.03</v>
      </c>
      <c r="G1635" s="37" t="str">
        <f t="shared" si="126"/>
        <v>Normal Discount</v>
      </c>
      <c r="H1635" s="37" t="str">
        <f t="shared" si="127"/>
        <v>Low</v>
      </c>
      <c r="I1635">
        <v>5</v>
      </c>
      <c r="J1635" t="str" cm="1">
        <f t="array" ref="J1635">_xlfn.IFS(I1635&lt;=3,"small",I1635&lt;=6,"Medium",I1635&lt;=9,"Large")</f>
        <v>Medium</v>
      </c>
      <c r="K1635" s="36">
        <v>45105</v>
      </c>
      <c r="L1635" s="36">
        <v>45106</v>
      </c>
      <c r="M1635" t="s">
        <v>598</v>
      </c>
      <c r="N1635" t="s">
        <v>599</v>
      </c>
      <c r="O1635" s="37" t="str">
        <f t="shared" si="128"/>
        <v>Digital Payment</v>
      </c>
      <c r="P1635">
        <v>706.53</v>
      </c>
      <c r="Q1635" s="37" t="str">
        <f>IF(P1635&gt;500,"High","low")</f>
        <v>High</v>
      </c>
      <c r="R1635" s="37" t="str">
        <f t="shared" si="129"/>
        <v>Good</v>
      </c>
      <c r="S1635" t="s">
        <v>628</v>
      </c>
    </row>
    <row r="1636" spans="1:19" x14ac:dyDescent="0.2">
      <c r="A1636" t="s">
        <v>2247</v>
      </c>
      <c r="B1636" t="s">
        <v>75</v>
      </c>
      <c r="C1636" t="s">
        <v>607</v>
      </c>
      <c r="D1636">
        <v>1005.4</v>
      </c>
      <c r="E1636" s="37" t="str">
        <f t="shared" si="125"/>
        <v xml:space="preserve"> </v>
      </c>
      <c r="F1636">
        <v>0.28999999999999998</v>
      </c>
      <c r="G1636" s="37" t="str">
        <f t="shared" si="126"/>
        <v>Normal Discount</v>
      </c>
      <c r="H1636" s="37" t="str">
        <f t="shared" si="127"/>
        <v>Medium</v>
      </c>
      <c r="I1636">
        <v>2</v>
      </c>
      <c r="J1636" t="str" cm="1">
        <f t="array" ref="J1636">_xlfn.IFS(I1636&lt;=3,"small",I1636&lt;=6,"Medium",I1636&lt;=9,"Large")</f>
        <v>small</v>
      </c>
      <c r="K1636" s="36">
        <v>45325</v>
      </c>
      <c r="L1636" s="36">
        <v>45326</v>
      </c>
      <c r="M1636" t="s">
        <v>603</v>
      </c>
      <c r="N1636" t="s">
        <v>608</v>
      </c>
      <c r="O1636" s="37" t="str">
        <f t="shared" si="128"/>
        <v>Cash Payment</v>
      </c>
      <c r="P1636">
        <v>61.89</v>
      </c>
      <c r="Q1636" s="37" t="str">
        <f>IF(P1636&gt;500,"High","low")</f>
        <v>low</v>
      </c>
      <c r="R1636" s="37" t="str">
        <f t="shared" si="129"/>
        <v>AVERAGE</v>
      </c>
      <c r="S1636" t="s">
        <v>615</v>
      </c>
    </row>
    <row r="1637" spans="1:19" x14ac:dyDescent="0.2">
      <c r="A1637" t="s">
        <v>2248</v>
      </c>
      <c r="B1637" t="s">
        <v>90</v>
      </c>
      <c r="C1637" t="s">
        <v>607</v>
      </c>
      <c r="D1637">
        <v>4224.28</v>
      </c>
      <c r="E1637" s="37" t="str">
        <f t="shared" si="125"/>
        <v>Excellent Order</v>
      </c>
      <c r="F1637">
        <v>0.4</v>
      </c>
      <c r="G1637" s="37" t="str">
        <f t="shared" si="126"/>
        <v>Heavy Discount</v>
      </c>
      <c r="H1637" s="37" t="str">
        <f t="shared" si="127"/>
        <v>Medium</v>
      </c>
      <c r="I1637">
        <v>8</v>
      </c>
      <c r="J1637" t="str" cm="1">
        <f t="array" ref="J1637">_xlfn.IFS(I1637&lt;=3,"small",I1637&lt;=6,"Medium",I1637&lt;=9,"Large")</f>
        <v>Large</v>
      </c>
      <c r="K1637" s="36">
        <v>45244</v>
      </c>
      <c r="L1637" s="36">
        <v>45251</v>
      </c>
      <c r="M1637" t="s">
        <v>603</v>
      </c>
      <c r="N1637" t="s">
        <v>608</v>
      </c>
      <c r="O1637" s="37" t="str">
        <f t="shared" si="128"/>
        <v>Cash Payment</v>
      </c>
      <c r="P1637">
        <v>1055.77</v>
      </c>
      <c r="Q1637" s="37" t="str">
        <f>IF(P1637&gt;500,"High","low")</f>
        <v>High</v>
      </c>
      <c r="R1637" s="37" t="str">
        <f t="shared" si="129"/>
        <v>Excellent</v>
      </c>
      <c r="S1637" t="s">
        <v>609</v>
      </c>
    </row>
    <row r="1638" spans="1:19" x14ac:dyDescent="0.2">
      <c r="A1638" t="s">
        <v>2249</v>
      </c>
      <c r="B1638" t="s">
        <v>75</v>
      </c>
      <c r="C1638" t="s">
        <v>617</v>
      </c>
      <c r="D1638">
        <v>2723.45</v>
      </c>
      <c r="E1638" s="37" t="str">
        <f t="shared" si="125"/>
        <v xml:space="preserve"> </v>
      </c>
      <c r="F1638">
        <v>0.28000000000000003</v>
      </c>
      <c r="G1638" s="37" t="str">
        <f t="shared" si="126"/>
        <v>Normal Discount</v>
      </c>
      <c r="H1638" s="37" t="str">
        <f t="shared" si="127"/>
        <v>Medium</v>
      </c>
      <c r="I1638">
        <v>4</v>
      </c>
      <c r="J1638" t="str" cm="1">
        <f t="array" ref="J1638">_xlfn.IFS(I1638&lt;=3,"small",I1638&lt;=6,"Medium",I1638&lt;=9,"Large")</f>
        <v>Medium</v>
      </c>
      <c r="K1638" s="36">
        <v>45535</v>
      </c>
      <c r="L1638" s="36">
        <v>45536</v>
      </c>
      <c r="M1638" t="s">
        <v>612</v>
      </c>
      <c r="N1638" t="s">
        <v>604</v>
      </c>
      <c r="O1638" s="37" t="str">
        <f t="shared" si="128"/>
        <v>Digital Payment</v>
      </c>
      <c r="P1638">
        <v>772.59</v>
      </c>
      <c r="Q1638" s="37" t="str">
        <f>IF(P1638&gt;500,"High","low")</f>
        <v>High</v>
      </c>
      <c r="R1638" s="37" t="str">
        <f t="shared" si="129"/>
        <v>Good</v>
      </c>
      <c r="S1638" t="s">
        <v>620</v>
      </c>
    </row>
    <row r="1639" spans="1:19" x14ac:dyDescent="0.2">
      <c r="A1639" t="s">
        <v>2250</v>
      </c>
      <c r="B1639" t="s">
        <v>75</v>
      </c>
      <c r="C1639" t="s">
        <v>607</v>
      </c>
      <c r="D1639">
        <v>3568.51</v>
      </c>
      <c r="E1639" s="37" t="str">
        <f t="shared" si="125"/>
        <v xml:space="preserve"> </v>
      </c>
      <c r="F1639">
        <v>0.14000000000000001</v>
      </c>
      <c r="G1639" s="37" t="str">
        <f t="shared" si="126"/>
        <v>Normal Discount</v>
      </c>
      <c r="H1639" s="37" t="str">
        <f t="shared" si="127"/>
        <v>Low</v>
      </c>
      <c r="I1639">
        <v>1</v>
      </c>
      <c r="J1639" t="str" cm="1">
        <f t="array" ref="J1639">_xlfn.IFS(I1639&lt;=3,"small",I1639&lt;=6,"Medium",I1639&lt;=9,"Large")</f>
        <v>small</v>
      </c>
      <c r="K1639" s="36">
        <v>44956</v>
      </c>
      <c r="L1639" s="36">
        <v>44963</v>
      </c>
      <c r="M1639" t="s">
        <v>603</v>
      </c>
      <c r="N1639" t="s">
        <v>608</v>
      </c>
      <c r="O1639" s="37" t="str">
        <f t="shared" si="128"/>
        <v>Cash Payment</v>
      </c>
      <c r="P1639">
        <v>694.99</v>
      </c>
      <c r="Q1639" s="37" t="str">
        <f>IF(P1639&gt;500,"High","low")</f>
        <v>High</v>
      </c>
      <c r="R1639" s="37" t="str">
        <f t="shared" si="129"/>
        <v>Good</v>
      </c>
      <c r="S1639" t="s">
        <v>605</v>
      </c>
    </row>
    <row r="1640" spans="1:19" x14ac:dyDescent="0.2">
      <c r="A1640" t="s">
        <v>2251</v>
      </c>
      <c r="B1640" t="s">
        <v>75</v>
      </c>
      <c r="C1640" t="s">
        <v>617</v>
      </c>
      <c r="D1640">
        <v>1165.77</v>
      </c>
      <c r="E1640" s="37" t="str">
        <f t="shared" si="125"/>
        <v xml:space="preserve"> </v>
      </c>
      <c r="F1640">
        <v>0.13</v>
      </c>
      <c r="G1640" s="37" t="str">
        <f t="shared" si="126"/>
        <v>Normal Discount</v>
      </c>
      <c r="H1640" s="37" t="str">
        <f t="shared" si="127"/>
        <v>Low</v>
      </c>
      <c r="I1640">
        <v>4</v>
      </c>
      <c r="J1640" t="str" cm="1">
        <f t="array" ref="J1640">_xlfn.IFS(I1640&lt;=3,"small",I1640&lt;=6,"Medium",I1640&lt;=9,"Large")</f>
        <v>Medium</v>
      </c>
      <c r="K1640" s="36">
        <v>45086</v>
      </c>
      <c r="L1640" s="36">
        <v>45088</v>
      </c>
      <c r="M1640" t="s">
        <v>598</v>
      </c>
      <c r="N1640" t="s">
        <v>604</v>
      </c>
      <c r="O1640" s="37" t="str">
        <f t="shared" si="128"/>
        <v>Digital Payment</v>
      </c>
      <c r="P1640">
        <v>194.67</v>
      </c>
      <c r="Q1640" s="37" t="str">
        <f>IF(P1640&gt;500,"High","low")</f>
        <v>low</v>
      </c>
      <c r="R1640" s="37" t="str">
        <f t="shared" si="129"/>
        <v>AVERAGE</v>
      </c>
      <c r="S1640" t="s">
        <v>600</v>
      </c>
    </row>
    <row r="1641" spans="1:19" x14ac:dyDescent="0.2">
      <c r="A1641" t="s">
        <v>2252</v>
      </c>
      <c r="B1641" t="s">
        <v>83</v>
      </c>
      <c r="C1641" t="s">
        <v>597</v>
      </c>
      <c r="D1641">
        <v>3588.72</v>
      </c>
      <c r="E1641" s="37" t="str">
        <f t="shared" si="125"/>
        <v xml:space="preserve"> </v>
      </c>
      <c r="F1641">
        <v>0.12</v>
      </c>
      <c r="G1641" s="37" t="str">
        <f t="shared" si="126"/>
        <v>Normal Discount</v>
      </c>
      <c r="H1641" s="37" t="str">
        <f t="shared" si="127"/>
        <v>Low</v>
      </c>
      <c r="I1641">
        <v>8</v>
      </c>
      <c r="J1641" t="str" cm="1">
        <f t="array" ref="J1641">_xlfn.IFS(I1641&lt;=3,"small",I1641&lt;=6,"Medium",I1641&lt;=9,"Large")</f>
        <v>Large</v>
      </c>
      <c r="K1641" s="36">
        <v>45360</v>
      </c>
      <c r="L1641" s="36">
        <v>45362</v>
      </c>
      <c r="M1641" t="s">
        <v>612</v>
      </c>
      <c r="N1641" t="s">
        <v>599</v>
      </c>
      <c r="O1641" s="37" t="str">
        <f t="shared" si="128"/>
        <v>Digital Payment</v>
      </c>
      <c r="P1641">
        <v>281.74</v>
      </c>
      <c r="Q1641" s="37" t="str">
        <f>IF(P1641&gt;500,"High","low")</f>
        <v>low</v>
      </c>
      <c r="R1641" s="37" t="str">
        <f t="shared" si="129"/>
        <v>AVERAGE</v>
      </c>
      <c r="S1641" t="s">
        <v>628</v>
      </c>
    </row>
    <row r="1642" spans="1:19" x14ac:dyDescent="0.2">
      <c r="A1642" t="s">
        <v>2253</v>
      </c>
      <c r="B1642" t="s">
        <v>67</v>
      </c>
      <c r="C1642" t="s">
        <v>614</v>
      </c>
      <c r="D1642">
        <v>4579.91</v>
      </c>
      <c r="E1642" s="37" t="str">
        <f t="shared" si="125"/>
        <v>Excellent Order</v>
      </c>
      <c r="F1642">
        <v>0.49</v>
      </c>
      <c r="G1642" s="37" t="str">
        <f t="shared" si="126"/>
        <v>Heavy Discount</v>
      </c>
      <c r="H1642" s="37" t="str">
        <f t="shared" si="127"/>
        <v>High</v>
      </c>
      <c r="I1642">
        <v>9</v>
      </c>
      <c r="J1642" t="str" cm="1">
        <f t="array" ref="J1642">_xlfn.IFS(I1642&lt;=3,"small",I1642&lt;=6,"Medium",I1642&lt;=9,"Large")</f>
        <v>Large</v>
      </c>
      <c r="K1642" s="36">
        <v>44933</v>
      </c>
      <c r="L1642" s="36">
        <v>44938</v>
      </c>
      <c r="M1642" t="s">
        <v>612</v>
      </c>
      <c r="N1642" t="s">
        <v>604</v>
      </c>
      <c r="O1642" s="37" t="str">
        <f t="shared" si="128"/>
        <v>Digital Payment</v>
      </c>
      <c r="P1642">
        <v>1286.05</v>
      </c>
      <c r="Q1642" s="37" t="str">
        <f>IF(P1642&gt;500,"High","low")</f>
        <v>High</v>
      </c>
      <c r="R1642" s="37" t="str">
        <f t="shared" si="129"/>
        <v>Excellent</v>
      </c>
      <c r="S1642" t="s">
        <v>605</v>
      </c>
    </row>
    <row r="1643" spans="1:19" x14ac:dyDescent="0.2">
      <c r="A1643" t="s">
        <v>2254</v>
      </c>
      <c r="B1643" t="s">
        <v>75</v>
      </c>
      <c r="C1643" t="s">
        <v>614</v>
      </c>
      <c r="D1643">
        <v>1410.66</v>
      </c>
      <c r="E1643" s="37" t="str">
        <f t="shared" si="125"/>
        <v xml:space="preserve"> </v>
      </c>
      <c r="F1643">
        <v>0.2</v>
      </c>
      <c r="G1643" s="37" t="str">
        <f t="shared" si="126"/>
        <v>Normal Discount</v>
      </c>
      <c r="H1643" s="37" t="str">
        <f t="shared" si="127"/>
        <v>Medium</v>
      </c>
      <c r="I1643">
        <v>1</v>
      </c>
      <c r="J1643" t="str" cm="1">
        <f t="array" ref="J1643">_xlfn.IFS(I1643&lt;=3,"small",I1643&lt;=6,"Medium",I1643&lt;=9,"Large")</f>
        <v>small</v>
      </c>
      <c r="K1643" s="36">
        <v>45371</v>
      </c>
      <c r="L1643" s="36">
        <v>45375</v>
      </c>
      <c r="M1643" t="s">
        <v>603</v>
      </c>
      <c r="N1643" t="s">
        <v>604</v>
      </c>
      <c r="O1643" s="37" t="str">
        <f t="shared" si="128"/>
        <v>Digital Payment</v>
      </c>
      <c r="P1643">
        <v>198.08</v>
      </c>
      <c r="Q1643" s="37" t="str">
        <f>IF(P1643&gt;500,"High","low")</f>
        <v>low</v>
      </c>
      <c r="R1643" s="37" t="str">
        <f t="shared" si="129"/>
        <v>AVERAGE</v>
      </c>
      <c r="S1643" t="s">
        <v>615</v>
      </c>
    </row>
    <row r="1644" spans="1:19" x14ac:dyDescent="0.2">
      <c r="A1644" t="s">
        <v>2255</v>
      </c>
      <c r="B1644" t="s">
        <v>75</v>
      </c>
      <c r="C1644" t="s">
        <v>602</v>
      </c>
      <c r="D1644">
        <v>1243.46</v>
      </c>
      <c r="E1644" s="37" t="str">
        <f t="shared" si="125"/>
        <v xml:space="preserve"> </v>
      </c>
      <c r="F1644">
        <v>0.16</v>
      </c>
      <c r="G1644" s="37" t="str">
        <f t="shared" si="126"/>
        <v>Normal Discount</v>
      </c>
      <c r="H1644" s="37" t="str">
        <f t="shared" si="127"/>
        <v>Low</v>
      </c>
      <c r="I1644">
        <v>6</v>
      </c>
      <c r="J1644" t="str" cm="1">
        <f t="array" ref="J1644">_xlfn.IFS(I1644&lt;=3,"small",I1644&lt;=6,"Medium",I1644&lt;=9,"Large")</f>
        <v>Medium</v>
      </c>
      <c r="K1644" s="36">
        <v>45641</v>
      </c>
      <c r="L1644" s="36">
        <v>45644</v>
      </c>
      <c r="M1644" t="s">
        <v>603</v>
      </c>
      <c r="N1644" t="s">
        <v>599</v>
      </c>
      <c r="O1644" s="37" t="str">
        <f t="shared" si="128"/>
        <v>Digital Payment</v>
      </c>
      <c r="P1644">
        <v>303.22000000000003</v>
      </c>
      <c r="Q1644" s="37" t="str">
        <f>IF(P1644&gt;500,"High","low")</f>
        <v>low</v>
      </c>
      <c r="R1644" s="37" t="str">
        <f t="shared" si="129"/>
        <v>AVERAGE</v>
      </c>
      <c r="S1644" t="s">
        <v>620</v>
      </c>
    </row>
    <row r="1645" spans="1:19" x14ac:dyDescent="0.2">
      <c r="A1645" t="s">
        <v>2256</v>
      </c>
      <c r="B1645" t="s">
        <v>83</v>
      </c>
      <c r="C1645" t="s">
        <v>597</v>
      </c>
      <c r="D1645">
        <v>611.63</v>
      </c>
      <c r="E1645" s="37" t="str">
        <f t="shared" si="125"/>
        <v xml:space="preserve"> </v>
      </c>
      <c r="F1645">
        <v>0.21</v>
      </c>
      <c r="G1645" s="37" t="str">
        <f t="shared" si="126"/>
        <v>Normal Discount</v>
      </c>
      <c r="H1645" s="37" t="str">
        <f t="shared" si="127"/>
        <v>Medium</v>
      </c>
      <c r="I1645">
        <v>4</v>
      </c>
      <c r="J1645" t="str" cm="1">
        <f t="array" ref="J1645">_xlfn.IFS(I1645&lt;=3,"small",I1645&lt;=6,"Medium",I1645&lt;=9,"Large")</f>
        <v>Medium</v>
      </c>
      <c r="K1645" s="36">
        <v>45235</v>
      </c>
      <c r="L1645" s="36">
        <v>45241</v>
      </c>
      <c r="M1645" t="s">
        <v>612</v>
      </c>
      <c r="N1645" t="s">
        <v>608</v>
      </c>
      <c r="O1645" s="37" t="str">
        <f t="shared" si="128"/>
        <v>Cash Payment</v>
      </c>
      <c r="P1645">
        <v>60.15</v>
      </c>
      <c r="Q1645" s="37" t="str">
        <f>IF(P1645&gt;500,"High","low")</f>
        <v>low</v>
      </c>
      <c r="R1645" s="37" t="str">
        <f t="shared" si="129"/>
        <v>AVERAGE</v>
      </c>
      <c r="S1645" t="s">
        <v>620</v>
      </c>
    </row>
    <row r="1646" spans="1:19" x14ac:dyDescent="0.2">
      <c r="A1646" t="s">
        <v>2257</v>
      </c>
      <c r="B1646" t="s">
        <v>75</v>
      </c>
      <c r="C1646" t="s">
        <v>607</v>
      </c>
      <c r="D1646">
        <v>1407.35</v>
      </c>
      <c r="E1646" s="37" t="str">
        <f t="shared" si="125"/>
        <v xml:space="preserve"> </v>
      </c>
      <c r="F1646">
        <v>0.06</v>
      </c>
      <c r="G1646" s="37" t="str">
        <f t="shared" si="126"/>
        <v>Normal Discount</v>
      </c>
      <c r="H1646" s="37" t="str">
        <f t="shared" si="127"/>
        <v>Low</v>
      </c>
      <c r="I1646">
        <v>8</v>
      </c>
      <c r="J1646" t="str" cm="1">
        <f t="array" ref="J1646">_xlfn.IFS(I1646&lt;=3,"small",I1646&lt;=6,"Medium",I1646&lt;=9,"Large")</f>
        <v>Large</v>
      </c>
      <c r="K1646" s="36">
        <v>45516</v>
      </c>
      <c r="L1646" s="36">
        <v>45518</v>
      </c>
      <c r="M1646" t="s">
        <v>603</v>
      </c>
      <c r="N1646" t="s">
        <v>599</v>
      </c>
      <c r="O1646" s="37" t="str">
        <f t="shared" si="128"/>
        <v>Digital Payment</v>
      </c>
      <c r="P1646">
        <v>390.18</v>
      </c>
      <c r="Q1646" s="37" t="str">
        <f>IF(P1646&gt;500,"High","low")</f>
        <v>low</v>
      </c>
      <c r="R1646" s="37" t="str">
        <f t="shared" si="129"/>
        <v>AVERAGE</v>
      </c>
      <c r="S1646" t="s">
        <v>600</v>
      </c>
    </row>
    <row r="1647" spans="1:19" x14ac:dyDescent="0.2">
      <c r="A1647" t="s">
        <v>2258</v>
      </c>
      <c r="B1647" t="s">
        <v>90</v>
      </c>
      <c r="C1647" t="s">
        <v>607</v>
      </c>
      <c r="D1647">
        <v>2725.38</v>
      </c>
      <c r="E1647" s="37" t="str">
        <f t="shared" si="125"/>
        <v xml:space="preserve"> </v>
      </c>
      <c r="F1647">
        <v>0.1</v>
      </c>
      <c r="G1647" s="37" t="str">
        <f t="shared" si="126"/>
        <v>Normal Discount</v>
      </c>
      <c r="H1647" s="37" t="str">
        <f t="shared" si="127"/>
        <v>Low</v>
      </c>
      <c r="I1647">
        <v>1</v>
      </c>
      <c r="J1647" t="str" cm="1">
        <f t="array" ref="J1647">_xlfn.IFS(I1647&lt;=3,"small",I1647&lt;=6,"Medium",I1647&lt;=9,"Large")</f>
        <v>small</v>
      </c>
      <c r="K1647" s="36">
        <v>45589</v>
      </c>
      <c r="L1647" s="36">
        <v>45595</v>
      </c>
      <c r="M1647" t="s">
        <v>603</v>
      </c>
      <c r="N1647" t="s">
        <v>608</v>
      </c>
      <c r="O1647" s="37" t="str">
        <f t="shared" si="128"/>
        <v>Cash Payment</v>
      </c>
      <c r="P1647">
        <v>621.39</v>
      </c>
      <c r="Q1647" s="37" t="str">
        <f>IF(P1647&gt;500,"High","low")</f>
        <v>High</v>
      </c>
      <c r="R1647" s="37" t="str">
        <f t="shared" si="129"/>
        <v>Good</v>
      </c>
      <c r="S1647" t="s">
        <v>600</v>
      </c>
    </row>
    <row r="1648" spans="1:19" x14ac:dyDescent="0.2">
      <c r="A1648" t="s">
        <v>2259</v>
      </c>
      <c r="B1648" t="s">
        <v>90</v>
      </c>
      <c r="C1648" t="s">
        <v>597</v>
      </c>
      <c r="D1648">
        <v>4180.3100000000004</v>
      </c>
      <c r="E1648" s="37" t="str">
        <f t="shared" si="125"/>
        <v xml:space="preserve"> </v>
      </c>
      <c r="F1648">
        <v>0.25</v>
      </c>
      <c r="G1648" s="37" t="str">
        <f t="shared" si="126"/>
        <v>Normal Discount</v>
      </c>
      <c r="H1648" s="37" t="str">
        <f t="shared" si="127"/>
        <v>Medium</v>
      </c>
      <c r="I1648">
        <v>5</v>
      </c>
      <c r="J1648" t="str" cm="1">
        <f t="array" ref="J1648">_xlfn.IFS(I1648&lt;=3,"small",I1648&lt;=6,"Medium",I1648&lt;=9,"Large")</f>
        <v>Medium</v>
      </c>
      <c r="K1648" s="36">
        <v>45304</v>
      </c>
      <c r="L1648" s="36">
        <v>45311</v>
      </c>
      <c r="M1648" t="s">
        <v>603</v>
      </c>
      <c r="N1648" t="s">
        <v>604</v>
      </c>
      <c r="O1648" s="37" t="str">
        <f t="shared" si="128"/>
        <v>Digital Payment</v>
      </c>
      <c r="P1648">
        <v>536.51</v>
      </c>
      <c r="Q1648" s="37" t="str">
        <f>IF(P1648&gt;500,"High","low")</f>
        <v>High</v>
      </c>
      <c r="R1648" s="37" t="str">
        <f t="shared" si="129"/>
        <v>Good</v>
      </c>
      <c r="S1648" t="s">
        <v>605</v>
      </c>
    </row>
    <row r="1649" spans="1:19" x14ac:dyDescent="0.2">
      <c r="A1649" t="s">
        <v>2260</v>
      </c>
      <c r="B1649" t="s">
        <v>67</v>
      </c>
      <c r="C1649" t="s">
        <v>607</v>
      </c>
      <c r="D1649">
        <v>1466.12</v>
      </c>
      <c r="E1649" s="37" t="str">
        <f t="shared" si="125"/>
        <v xml:space="preserve"> </v>
      </c>
      <c r="F1649">
        <v>0.4</v>
      </c>
      <c r="G1649" s="37" t="str">
        <f t="shared" si="126"/>
        <v>Heavy Discount</v>
      </c>
      <c r="H1649" s="37" t="str">
        <f t="shared" si="127"/>
        <v>Medium</v>
      </c>
      <c r="I1649">
        <v>1</v>
      </c>
      <c r="J1649" t="str" cm="1">
        <f t="array" ref="J1649">_xlfn.IFS(I1649&lt;=3,"small",I1649&lt;=6,"Medium",I1649&lt;=9,"Large")</f>
        <v>small</v>
      </c>
      <c r="K1649" s="36">
        <v>45113</v>
      </c>
      <c r="L1649" s="36">
        <v>45116</v>
      </c>
      <c r="M1649" t="s">
        <v>612</v>
      </c>
      <c r="N1649" t="s">
        <v>599</v>
      </c>
      <c r="O1649" s="37" t="str">
        <f t="shared" si="128"/>
        <v>Digital Payment</v>
      </c>
      <c r="P1649">
        <v>351.32</v>
      </c>
      <c r="Q1649" s="37" t="str">
        <f>IF(P1649&gt;500,"High","low")</f>
        <v>low</v>
      </c>
      <c r="R1649" s="37" t="str">
        <f t="shared" si="129"/>
        <v>AVERAGE</v>
      </c>
      <c r="S1649" t="s">
        <v>600</v>
      </c>
    </row>
    <row r="1650" spans="1:19" x14ac:dyDescent="0.2">
      <c r="A1650" t="s">
        <v>2261</v>
      </c>
      <c r="B1650" t="s">
        <v>75</v>
      </c>
      <c r="C1650" t="s">
        <v>602</v>
      </c>
      <c r="D1650">
        <v>3143.61</v>
      </c>
      <c r="E1650" s="37" t="str">
        <f t="shared" si="125"/>
        <v xml:space="preserve"> </v>
      </c>
      <c r="F1650">
        <v>0.44</v>
      </c>
      <c r="G1650" s="37" t="str">
        <f t="shared" si="126"/>
        <v>Heavy Discount</v>
      </c>
      <c r="H1650" s="37" t="str">
        <f t="shared" si="127"/>
        <v>High</v>
      </c>
      <c r="I1650">
        <v>4</v>
      </c>
      <c r="J1650" t="str" cm="1">
        <f t="array" ref="J1650">_xlfn.IFS(I1650&lt;=3,"small",I1650&lt;=6,"Medium",I1650&lt;=9,"Large")</f>
        <v>Medium</v>
      </c>
      <c r="K1650" s="36">
        <v>45277</v>
      </c>
      <c r="L1650" s="36">
        <v>45282</v>
      </c>
      <c r="M1650" t="s">
        <v>603</v>
      </c>
      <c r="N1650" t="s">
        <v>604</v>
      </c>
      <c r="O1650" s="37" t="str">
        <f t="shared" si="128"/>
        <v>Digital Payment</v>
      </c>
      <c r="P1650">
        <v>396.32</v>
      </c>
      <c r="Q1650" s="37" t="str">
        <f>IF(P1650&gt;500,"High","low")</f>
        <v>low</v>
      </c>
      <c r="R1650" s="37" t="str">
        <f t="shared" si="129"/>
        <v>AVERAGE</v>
      </c>
      <c r="S1650" t="s">
        <v>615</v>
      </c>
    </row>
    <row r="1651" spans="1:19" x14ac:dyDescent="0.2">
      <c r="A1651" t="s">
        <v>2262</v>
      </c>
      <c r="B1651" t="s">
        <v>83</v>
      </c>
      <c r="C1651" t="s">
        <v>617</v>
      </c>
      <c r="D1651">
        <v>2449.9899999999998</v>
      </c>
      <c r="E1651" s="37" t="str">
        <f t="shared" si="125"/>
        <v xml:space="preserve"> </v>
      </c>
      <c r="F1651">
        <v>0.43</v>
      </c>
      <c r="G1651" s="37" t="str">
        <f t="shared" si="126"/>
        <v>Heavy Discount</v>
      </c>
      <c r="H1651" s="37" t="str">
        <f t="shared" si="127"/>
        <v>High</v>
      </c>
      <c r="I1651">
        <v>2</v>
      </c>
      <c r="J1651" t="str" cm="1">
        <f t="array" ref="J1651">_xlfn.IFS(I1651&lt;=3,"small",I1651&lt;=6,"Medium",I1651&lt;=9,"Large")</f>
        <v>small</v>
      </c>
      <c r="K1651" s="36">
        <v>44954</v>
      </c>
      <c r="L1651" s="36">
        <v>44959</v>
      </c>
      <c r="M1651" t="s">
        <v>603</v>
      </c>
      <c r="N1651" t="s">
        <v>599</v>
      </c>
      <c r="O1651" s="37" t="str">
        <f t="shared" si="128"/>
        <v>Digital Payment</v>
      </c>
      <c r="P1651">
        <v>254.02</v>
      </c>
      <c r="Q1651" s="37" t="str">
        <f>IF(P1651&gt;500,"High","low")</f>
        <v>low</v>
      </c>
      <c r="R1651" s="37" t="str">
        <f t="shared" si="129"/>
        <v>AVERAGE</v>
      </c>
      <c r="S1651" t="s">
        <v>628</v>
      </c>
    </row>
    <row r="1652" spans="1:19" x14ac:dyDescent="0.2">
      <c r="A1652" t="s">
        <v>2263</v>
      </c>
      <c r="B1652" t="s">
        <v>90</v>
      </c>
      <c r="C1652" t="s">
        <v>614</v>
      </c>
      <c r="D1652">
        <v>1514.04</v>
      </c>
      <c r="E1652" s="37" t="str">
        <f t="shared" si="125"/>
        <v xml:space="preserve"> </v>
      </c>
      <c r="F1652">
        <v>0.47</v>
      </c>
      <c r="G1652" s="37" t="str">
        <f t="shared" si="126"/>
        <v>Heavy Discount</v>
      </c>
      <c r="H1652" s="37" t="str">
        <f t="shared" si="127"/>
        <v>High</v>
      </c>
      <c r="I1652">
        <v>9</v>
      </c>
      <c r="J1652" t="str" cm="1">
        <f t="array" ref="J1652">_xlfn.IFS(I1652&lt;=3,"small",I1652&lt;=6,"Medium",I1652&lt;=9,"Large")</f>
        <v>Large</v>
      </c>
      <c r="K1652" s="36">
        <v>45416</v>
      </c>
      <c r="L1652" s="36">
        <v>45422</v>
      </c>
      <c r="M1652" t="s">
        <v>603</v>
      </c>
      <c r="N1652" t="s">
        <v>608</v>
      </c>
      <c r="O1652" s="37" t="str">
        <f t="shared" si="128"/>
        <v>Cash Payment</v>
      </c>
      <c r="P1652">
        <v>381.42</v>
      </c>
      <c r="Q1652" s="37" t="str">
        <f>IF(P1652&gt;500,"High","low")</f>
        <v>low</v>
      </c>
      <c r="R1652" s="37" t="str">
        <f t="shared" si="129"/>
        <v>AVERAGE</v>
      </c>
      <c r="S1652" t="s">
        <v>600</v>
      </c>
    </row>
    <row r="1653" spans="1:19" x14ac:dyDescent="0.2">
      <c r="A1653" t="s">
        <v>2264</v>
      </c>
      <c r="B1653" t="s">
        <v>83</v>
      </c>
      <c r="C1653" t="s">
        <v>597</v>
      </c>
      <c r="D1653">
        <v>2600.7600000000002</v>
      </c>
      <c r="E1653" s="37" t="str">
        <f t="shared" si="125"/>
        <v xml:space="preserve"> </v>
      </c>
      <c r="F1653">
        <v>0.06</v>
      </c>
      <c r="G1653" s="37" t="str">
        <f t="shared" si="126"/>
        <v>Normal Discount</v>
      </c>
      <c r="H1653" s="37" t="str">
        <f t="shared" si="127"/>
        <v>Low</v>
      </c>
      <c r="I1653">
        <v>2</v>
      </c>
      <c r="J1653" t="str" cm="1">
        <f t="array" ref="J1653">_xlfn.IFS(I1653&lt;=3,"small",I1653&lt;=6,"Medium",I1653&lt;=9,"Large")</f>
        <v>small</v>
      </c>
      <c r="K1653" s="36">
        <v>45270</v>
      </c>
      <c r="L1653" s="36">
        <v>45272</v>
      </c>
      <c r="M1653" t="s">
        <v>612</v>
      </c>
      <c r="N1653" t="s">
        <v>599</v>
      </c>
      <c r="O1653" s="37" t="str">
        <f t="shared" si="128"/>
        <v>Digital Payment</v>
      </c>
      <c r="P1653">
        <v>734.68</v>
      </c>
      <c r="Q1653" s="37" t="str">
        <f>IF(P1653&gt;500,"High","low")</f>
        <v>High</v>
      </c>
      <c r="R1653" s="37" t="str">
        <f t="shared" si="129"/>
        <v>Good</v>
      </c>
      <c r="S1653" t="s">
        <v>628</v>
      </c>
    </row>
    <row r="1654" spans="1:19" x14ac:dyDescent="0.2">
      <c r="A1654" t="s">
        <v>2265</v>
      </c>
      <c r="B1654" t="s">
        <v>83</v>
      </c>
      <c r="C1654" t="s">
        <v>614</v>
      </c>
      <c r="D1654">
        <v>923.02</v>
      </c>
      <c r="E1654" s="37" t="str">
        <f t="shared" si="125"/>
        <v xml:space="preserve"> </v>
      </c>
      <c r="F1654">
        <v>0.02</v>
      </c>
      <c r="G1654" s="37" t="str">
        <f t="shared" si="126"/>
        <v>Normal Discount</v>
      </c>
      <c r="H1654" s="37" t="str">
        <f t="shared" si="127"/>
        <v>Low</v>
      </c>
      <c r="I1654">
        <v>4</v>
      </c>
      <c r="J1654" t="str" cm="1">
        <f t="array" ref="J1654">_xlfn.IFS(I1654&lt;=3,"small",I1654&lt;=6,"Medium",I1654&lt;=9,"Large")</f>
        <v>Medium</v>
      </c>
      <c r="K1654" s="36">
        <v>45617</v>
      </c>
      <c r="L1654" s="36">
        <v>45618</v>
      </c>
      <c r="M1654" t="s">
        <v>598</v>
      </c>
      <c r="N1654" t="s">
        <v>599</v>
      </c>
      <c r="O1654" s="37" t="str">
        <f t="shared" si="128"/>
        <v>Digital Payment</v>
      </c>
      <c r="P1654">
        <v>58.12</v>
      </c>
      <c r="Q1654" s="37" t="str">
        <f>IF(P1654&gt;500,"High","low")</f>
        <v>low</v>
      </c>
      <c r="R1654" s="37" t="str">
        <f t="shared" si="129"/>
        <v>AVERAGE</v>
      </c>
      <c r="S1654" t="s">
        <v>615</v>
      </c>
    </row>
    <row r="1655" spans="1:19" x14ac:dyDescent="0.2">
      <c r="A1655" t="s">
        <v>2266</v>
      </c>
      <c r="B1655" t="s">
        <v>90</v>
      </c>
      <c r="C1655" t="s">
        <v>617</v>
      </c>
      <c r="D1655">
        <v>3233.93</v>
      </c>
      <c r="E1655" s="37" t="str">
        <f t="shared" si="125"/>
        <v xml:space="preserve"> </v>
      </c>
      <c r="F1655">
        <v>0.05</v>
      </c>
      <c r="G1655" s="37" t="str">
        <f t="shared" si="126"/>
        <v>Normal Discount</v>
      </c>
      <c r="H1655" s="37" t="str">
        <f t="shared" si="127"/>
        <v>Low</v>
      </c>
      <c r="I1655">
        <v>3</v>
      </c>
      <c r="J1655" t="str" cm="1">
        <f t="array" ref="J1655">_xlfn.IFS(I1655&lt;=3,"small",I1655&lt;=6,"Medium",I1655&lt;=9,"Large")</f>
        <v>small</v>
      </c>
      <c r="K1655" s="36">
        <v>45648</v>
      </c>
      <c r="L1655" s="36">
        <v>45652</v>
      </c>
      <c r="M1655" t="s">
        <v>612</v>
      </c>
      <c r="N1655" t="s">
        <v>608</v>
      </c>
      <c r="O1655" s="37" t="str">
        <f t="shared" si="128"/>
        <v>Cash Payment</v>
      </c>
      <c r="P1655">
        <v>232.06</v>
      </c>
      <c r="Q1655" s="37" t="str">
        <f>IF(P1655&gt;500,"High","low")</f>
        <v>low</v>
      </c>
      <c r="R1655" s="37" t="str">
        <f t="shared" si="129"/>
        <v>AVERAGE</v>
      </c>
      <c r="S1655" t="s">
        <v>628</v>
      </c>
    </row>
    <row r="1656" spans="1:19" x14ac:dyDescent="0.2">
      <c r="A1656" t="s">
        <v>2267</v>
      </c>
      <c r="B1656" t="s">
        <v>83</v>
      </c>
      <c r="C1656" t="s">
        <v>597</v>
      </c>
      <c r="D1656">
        <v>666.75</v>
      </c>
      <c r="E1656" s="37" t="str">
        <f t="shared" si="125"/>
        <v xml:space="preserve"> </v>
      </c>
      <c r="F1656">
        <v>0.3</v>
      </c>
      <c r="G1656" s="37" t="str">
        <f t="shared" si="126"/>
        <v>Normal Discount</v>
      </c>
      <c r="H1656" s="37" t="str">
        <f t="shared" si="127"/>
        <v>Medium</v>
      </c>
      <c r="I1656">
        <v>1</v>
      </c>
      <c r="J1656" t="str" cm="1">
        <f t="array" ref="J1656">_xlfn.IFS(I1656&lt;=3,"small",I1656&lt;=6,"Medium",I1656&lt;=9,"Large")</f>
        <v>small</v>
      </c>
      <c r="K1656" s="36">
        <v>45432</v>
      </c>
      <c r="L1656" s="36">
        <v>45435</v>
      </c>
      <c r="M1656" t="s">
        <v>612</v>
      </c>
      <c r="N1656" t="s">
        <v>604</v>
      </c>
      <c r="O1656" s="37" t="str">
        <f t="shared" si="128"/>
        <v>Digital Payment</v>
      </c>
      <c r="P1656">
        <v>181.06</v>
      </c>
      <c r="Q1656" s="37" t="str">
        <f>IF(P1656&gt;500,"High","low")</f>
        <v>low</v>
      </c>
      <c r="R1656" s="37" t="str">
        <f t="shared" si="129"/>
        <v>AVERAGE</v>
      </c>
      <c r="S1656" t="s">
        <v>615</v>
      </c>
    </row>
    <row r="1657" spans="1:19" x14ac:dyDescent="0.2">
      <c r="A1657" t="s">
        <v>2268</v>
      </c>
      <c r="B1657" t="s">
        <v>90</v>
      </c>
      <c r="C1657" t="s">
        <v>617</v>
      </c>
      <c r="D1657">
        <v>3681.8</v>
      </c>
      <c r="E1657" s="37" t="str">
        <f t="shared" si="125"/>
        <v xml:space="preserve"> </v>
      </c>
      <c r="F1657">
        <v>0.28000000000000003</v>
      </c>
      <c r="G1657" s="37" t="str">
        <f t="shared" si="126"/>
        <v>Normal Discount</v>
      </c>
      <c r="H1657" s="37" t="str">
        <f t="shared" si="127"/>
        <v>Medium</v>
      </c>
      <c r="I1657">
        <v>1</v>
      </c>
      <c r="J1657" t="str" cm="1">
        <f t="array" ref="J1657">_xlfn.IFS(I1657&lt;=3,"small",I1657&lt;=6,"Medium",I1657&lt;=9,"Large")</f>
        <v>small</v>
      </c>
      <c r="K1657" s="36">
        <v>45122</v>
      </c>
      <c r="L1657" s="36">
        <v>45125</v>
      </c>
      <c r="M1657" t="s">
        <v>603</v>
      </c>
      <c r="N1657" t="s">
        <v>599</v>
      </c>
      <c r="O1657" s="37" t="str">
        <f t="shared" si="128"/>
        <v>Digital Payment</v>
      </c>
      <c r="P1657">
        <v>1055.98</v>
      </c>
      <c r="Q1657" s="37" t="str">
        <f>IF(P1657&gt;500,"High","low")</f>
        <v>High</v>
      </c>
      <c r="R1657" s="37" t="str">
        <f t="shared" si="129"/>
        <v>Excellent</v>
      </c>
      <c r="S1657" t="s">
        <v>620</v>
      </c>
    </row>
    <row r="1658" spans="1:19" x14ac:dyDescent="0.2">
      <c r="A1658" t="s">
        <v>2269</v>
      </c>
      <c r="B1658" t="s">
        <v>83</v>
      </c>
      <c r="C1658" t="s">
        <v>607</v>
      </c>
      <c r="D1658">
        <v>970.79</v>
      </c>
      <c r="E1658" s="37" t="str">
        <f t="shared" si="125"/>
        <v xml:space="preserve"> </v>
      </c>
      <c r="F1658">
        <v>0.34</v>
      </c>
      <c r="G1658" s="37" t="str">
        <f t="shared" si="126"/>
        <v>Heavy Discount</v>
      </c>
      <c r="H1658" s="37" t="str">
        <f t="shared" si="127"/>
        <v>Medium</v>
      </c>
      <c r="I1658">
        <v>2</v>
      </c>
      <c r="J1658" t="str" cm="1">
        <f t="array" ref="J1658">_xlfn.IFS(I1658&lt;=3,"small",I1658&lt;=6,"Medium",I1658&lt;=9,"Large")</f>
        <v>small</v>
      </c>
      <c r="K1658" s="36">
        <v>45181</v>
      </c>
      <c r="L1658" s="36">
        <v>45188</v>
      </c>
      <c r="M1658" t="s">
        <v>612</v>
      </c>
      <c r="N1658" t="s">
        <v>604</v>
      </c>
      <c r="O1658" s="37" t="str">
        <f t="shared" si="128"/>
        <v>Digital Payment</v>
      </c>
      <c r="P1658">
        <v>219.95</v>
      </c>
      <c r="Q1658" s="37" t="str">
        <f>IF(P1658&gt;500,"High","low")</f>
        <v>low</v>
      </c>
      <c r="R1658" s="37" t="str">
        <f t="shared" si="129"/>
        <v>AVERAGE</v>
      </c>
      <c r="S1658" t="s">
        <v>615</v>
      </c>
    </row>
    <row r="1659" spans="1:19" x14ac:dyDescent="0.2">
      <c r="A1659" t="s">
        <v>2270</v>
      </c>
      <c r="B1659" t="s">
        <v>90</v>
      </c>
      <c r="C1659" t="s">
        <v>607</v>
      </c>
      <c r="D1659">
        <v>4990.9799999999996</v>
      </c>
      <c r="E1659" s="37" t="str">
        <f t="shared" si="125"/>
        <v xml:space="preserve"> </v>
      </c>
      <c r="F1659">
        <v>0.19</v>
      </c>
      <c r="G1659" s="37" t="str">
        <f t="shared" si="126"/>
        <v>Normal Discount</v>
      </c>
      <c r="H1659" s="37" t="str">
        <f t="shared" si="127"/>
        <v>Low</v>
      </c>
      <c r="I1659">
        <v>8</v>
      </c>
      <c r="J1659" t="str" cm="1">
        <f t="array" ref="J1659">_xlfn.IFS(I1659&lt;=3,"small",I1659&lt;=6,"Medium",I1659&lt;=9,"Large")</f>
        <v>Large</v>
      </c>
      <c r="K1659" s="36">
        <v>45141</v>
      </c>
      <c r="L1659" s="36">
        <v>45146</v>
      </c>
      <c r="M1659" t="s">
        <v>603</v>
      </c>
      <c r="N1659" t="s">
        <v>608</v>
      </c>
      <c r="O1659" s="37" t="str">
        <f t="shared" si="128"/>
        <v>Cash Payment</v>
      </c>
      <c r="P1659">
        <v>786.75</v>
      </c>
      <c r="Q1659" s="37" t="str">
        <f>IF(P1659&gt;500,"High","low")</f>
        <v>High</v>
      </c>
      <c r="R1659" s="37" t="str">
        <f t="shared" si="129"/>
        <v>Good</v>
      </c>
      <c r="S1659" t="s">
        <v>605</v>
      </c>
    </row>
    <row r="1660" spans="1:19" x14ac:dyDescent="0.2">
      <c r="A1660" t="s">
        <v>2271</v>
      </c>
      <c r="B1660" t="s">
        <v>75</v>
      </c>
      <c r="C1660" t="s">
        <v>607</v>
      </c>
      <c r="D1660">
        <v>4136</v>
      </c>
      <c r="E1660" s="37" t="str">
        <f t="shared" si="125"/>
        <v xml:space="preserve"> </v>
      </c>
      <c r="F1660">
        <v>0.2</v>
      </c>
      <c r="G1660" s="37" t="str">
        <f t="shared" si="126"/>
        <v>Normal Discount</v>
      </c>
      <c r="H1660" s="37" t="str">
        <f t="shared" si="127"/>
        <v>Medium</v>
      </c>
      <c r="I1660">
        <v>2</v>
      </c>
      <c r="J1660" t="str" cm="1">
        <f t="array" ref="J1660">_xlfn.IFS(I1660&lt;=3,"small",I1660&lt;=6,"Medium",I1660&lt;=9,"Large")</f>
        <v>small</v>
      </c>
      <c r="K1660" s="36">
        <v>45639</v>
      </c>
      <c r="L1660" s="36">
        <v>45642</v>
      </c>
      <c r="M1660" t="s">
        <v>603</v>
      </c>
      <c r="N1660" t="s">
        <v>604</v>
      </c>
      <c r="O1660" s="37" t="str">
        <f t="shared" si="128"/>
        <v>Digital Payment</v>
      </c>
      <c r="P1660">
        <v>741.73</v>
      </c>
      <c r="Q1660" s="37" t="str">
        <f>IF(P1660&gt;500,"High","low")</f>
        <v>High</v>
      </c>
      <c r="R1660" s="37" t="str">
        <f t="shared" si="129"/>
        <v>Good</v>
      </c>
      <c r="S1660" t="s">
        <v>628</v>
      </c>
    </row>
    <row r="1661" spans="1:19" x14ac:dyDescent="0.2">
      <c r="A1661" t="s">
        <v>2272</v>
      </c>
      <c r="B1661" t="s">
        <v>67</v>
      </c>
      <c r="C1661" t="s">
        <v>617</v>
      </c>
      <c r="D1661">
        <v>1784.82</v>
      </c>
      <c r="E1661" s="37" t="str">
        <f t="shared" si="125"/>
        <v xml:space="preserve"> </v>
      </c>
      <c r="F1661">
        <v>0.27</v>
      </c>
      <c r="G1661" s="37" t="str">
        <f t="shared" si="126"/>
        <v>Normal Discount</v>
      </c>
      <c r="H1661" s="37" t="str">
        <f t="shared" si="127"/>
        <v>Medium</v>
      </c>
      <c r="I1661">
        <v>1</v>
      </c>
      <c r="J1661" t="str" cm="1">
        <f t="array" ref="J1661">_xlfn.IFS(I1661&lt;=3,"small",I1661&lt;=6,"Medium",I1661&lt;=9,"Large")</f>
        <v>small</v>
      </c>
      <c r="K1661" s="36">
        <v>45041</v>
      </c>
      <c r="L1661" s="36">
        <v>45042</v>
      </c>
      <c r="M1661" t="s">
        <v>598</v>
      </c>
      <c r="N1661" t="s">
        <v>604</v>
      </c>
      <c r="O1661" s="37" t="str">
        <f t="shared" si="128"/>
        <v>Digital Payment</v>
      </c>
      <c r="P1661">
        <v>254.78</v>
      </c>
      <c r="Q1661" s="37" t="str">
        <f>IF(P1661&gt;500,"High","low")</f>
        <v>low</v>
      </c>
      <c r="R1661" s="37" t="str">
        <f t="shared" si="129"/>
        <v>AVERAGE</v>
      </c>
      <c r="S1661" t="s">
        <v>628</v>
      </c>
    </row>
    <row r="1662" spans="1:19" x14ac:dyDescent="0.2">
      <c r="A1662" t="s">
        <v>2273</v>
      </c>
      <c r="B1662" t="s">
        <v>90</v>
      </c>
      <c r="C1662" t="s">
        <v>617</v>
      </c>
      <c r="D1662">
        <v>2188.4</v>
      </c>
      <c r="E1662" s="37" t="str">
        <f t="shared" si="125"/>
        <v xml:space="preserve"> </v>
      </c>
      <c r="F1662">
        <v>0.04</v>
      </c>
      <c r="G1662" s="37" t="str">
        <f t="shared" si="126"/>
        <v>Normal Discount</v>
      </c>
      <c r="H1662" s="37" t="str">
        <f t="shared" si="127"/>
        <v>Low</v>
      </c>
      <c r="I1662">
        <v>6</v>
      </c>
      <c r="J1662" t="str" cm="1">
        <f t="array" ref="J1662">_xlfn.IFS(I1662&lt;=3,"small",I1662&lt;=6,"Medium",I1662&lt;=9,"Large")</f>
        <v>Medium</v>
      </c>
      <c r="K1662" s="36">
        <v>45577</v>
      </c>
      <c r="L1662" s="36">
        <v>45579</v>
      </c>
      <c r="M1662" t="s">
        <v>603</v>
      </c>
      <c r="N1662" t="s">
        <v>608</v>
      </c>
      <c r="O1662" s="37" t="str">
        <f t="shared" si="128"/>
        <v>Cash Payment</v>
      </c>
      <c r="P1662">
        <v>625.79999999999995</v>
      </c>
      <c r="Q1662" s="37" t="str">
        <f>IF(P1662&gt;500,"High","low")</f>
        <v>High</v>
      </c>
      <c r="R1662" s="37" t="str">
        <f t="shared" si="129"/>
        <v>Good</v>
      </c>
      <c r="S1662" t="s">
        <v>600</v>
      </c>
    </row>
    <row r="1663" spans="1:19" x14ac:dyDescent="0.2">
      <c r="A1663" t="s">
        <v>2274</v>
      </c>
      <c r="B1663" t="s">
        <v>90</v>
      </c>
      <c r="C1663" t="s">
        <v>617</v>
      </c>
      <c r="D1663">
        <v>1370.04</v>
      </c>
      <c r="E1663" s="37" t="str">
        <f t="shared" si="125"/>
        <v xml:space="preserve"> </v>
      </c>
      <c r="F1663">
        <v>0.4</v>
      </c>
      <c r="G1663" s="37" t="str">
        <f t="shared" si="126"/>
        <v>Heavy Discount</v>
      </c>
      <c r="H1663" s="37" t="str">
        <f t="shared" si="127"/>
        <v>Medium</v>
      </c>
      <c r="I1663">
        <v>1</v>
      </c>
      <c r="J1663" t="str" cm="1">
        <f t="array" ref="J1663">_xlfn.IFS(I1663&lt;=3,"small",I1663&lt;=6,"Medium",I1663&lt;=9,"Large")</f>
        <v>small</v>
      </c>
      <c r="K1663" s="36">
        <v>45065</v>
      </c>
      <c r="L1663" s="36">
        <v>45069</v>
      </c>
      <c r="M1663" t="s">
        <v>612</v>
      </c>
      <c r="N1663" t="s">
        <v>599</v>
      </c>
      <c r="O1663" s="37" t="str">
        <f t="shared" si="128"/>
        <v>Digital Payment</v>
      </c>
      <c r="P1663">
        <v>301.92</v>
      </c>
      <c r="Q1663" s="37" t="str">
        <f>IF(P1663&gt;500,"High","low")</f>
        <v>low</v>
      </c>
      <c r="R1663" s="37" t="str">
        <f t="shared" si="129"/>
        <v>AVERAGE</v>
      </c>
      <c r="S1663" t="s">
        <v>620</v>
      </c>
    </row>
    <row r="1664" spans="1:19" x14ac:dyDescent="0.2">
      <c r="A1664" t="s">
        <v>2275</v>
      </c>
      <c r="B1664" t="s">
        <v>67</v>
      </c>
      <c r="C1664" t="s">
        <v>614</v>
      </c>
      <c r="D1664">
        <v>3858.86</v>
      </c>
      <c r="E1664" s="37" t="str">
        <f t="shared" si="125"/>
        <v xml:space="preserve"> </v>
      </c>
      <c r="F1664">
        <v>0.46</v>
      </c>
      <c r="G1664" s="37" t="str">
        <f t="shared" si="126"/>
        <v>Heavy Discount</v>
      </c>
      <c r="H1664" s="37" t="str">
        <f t="shared" si="127"/>
        <v>High</v>
      </c>
      <c r="I1664">
        <v>9</v>
      </c>
      <c r="J1664" t="str" cm="1">
        <f t="array" ref="J1664">_xlfn.IFS(I1664&lt;=3,"small",I1664&lt;=6,"Medium",I1664&lt;=9,"Large")</f>
        <v>Large</v>
      </c>
      <c r="K1664" s="36">
        <v>45637</v>
      </c>
      <c r="L1664" s="36">
        <v>45644</v>
      </c>
      <c r="M1664" t="s">
        <v>603</v>
      </c>
      <c r="N1664" t="s">
        <v>604</v>
      </c>
      <c r="O1664" s="37" t="str">
        <f t="shared" si="128"/>
        <v>Digital Payment</v>
      </c>
      <c r="P1664">
        <v>1107.49</v>
      </c>
      <c r="Q1664" s="37" t="str">
        <f>IF(P1664&gt;500,"High","low")</f>
        <v>High</v>
      </c>
      <c r="R1664" s="37" t="str">
        <f t="shared" si="129"/>
        <v>Excellent</v>
      </c>
      <c r="S1664" t="s">
        <v>609</v>
      </c>
    </row>
    <row r="1665" spans="1:19" x14ac:dyDescent="0.2">
      <c r="A1665" t="s">
        <v>2276</v>
      </c>
      <c r="B1665" t="s">
        <v>90</v>
      </c>
      <c r="C1665" t="s">
        <v>617</v>
      </c>
      <c r="D1665">
        <v>1965.56</v>
      </c>
      <c r="E1665" s="37" t="str">
        <f t="shared" si="125"/>
        <v xml:space="preserve"> </v>
      </c>
      <c r="F1665">
        <v>0.19</v>
      </c>
      <c r="G1665" s="37" t="str">
        <f t="shared" si="126"/>
        <v>Normal Discount</v>
      </c>
      <c r="H1665" s="37" t="str">
        <f t="shared" si="127"/>
        <v>Low</v>
      </c>
      <c r="I1665">
        <v>6</v>
      </c>
      <c r="J1665" t="str" cm="1">
        <f t="array" ref="J1665">_xlfn.IFS(I1665&lt;=3,"small",I1665&lt;=6,"Medium",I1665&lt;=9,"Large")</f>
        <v>Medium</v>
      </c>
      <c r="K1665" s="36">
        <v>45455</v>
      </c>
      <c r="L1665" s="36">
        <v>45459</v>
      </c>
      <c r="M1665" t="s">
        <v>612</v>
      </c>
      <c r="N1665" t="s">
        <v>604</v>
      </c>
      <c r="O1665" s="37" t="str">
        <f t="shared" si="128"/>
        <v>Digital Payment</v>
      </c>
      <c r="P1665">
        <v>542.49</v>
      </c>
      <c r="Q1665" s="37" t="str">
        <f>IF(P1665&gt;500,"High","low")</f>
        <v>High</v>
      </c>
      <c r="R1665" s="37" t="str">
        <f t="shared" si="129"/>
        <v>Good</v>
      </c>
      <c r="S1665" t="s">
        <v>615</v>
      </c>
    </row>
    <row r="1666" spans="1:19" x14ac:dyDescent="0.2">
      <c r="A1666" t="s">
        <v>2277</v>
      </c>
      <c r="B1666" t="s">
        <v>90</v>
      </c>
      <c r="C1666" t="s">
        <v>607</v>
      </c>
      <c r="D1666">
        <v>3800.41</v>
      </c>
      <c r="E1666" s="37" t="str">
        <f t="shared" si="125"/>
        <v xml:space="preserve"> </v>
      </c>
      <c r="F1666">
        <v>0.37</v>
      </c>
      <c r="G1666" s="37" t="str">
        <f t="shared" si="126"/>
        <v>Heavy Discount</v>
      </c>
      <c r="H1666" s="37" t="str">
        <f t="shared" si="127"/>
        <v>Medium</v>
      </c>
      <c r="I1666">
        <v>6</v>
      </c>
      <c r="J1666" t="str" cm="1">
        <f t="array" ref="J1666">_xlfn.IFS(I1666&lt;=3,"small",I1666&lt;=6,"Medium",I1666&lt;=9,"Large")</f>
        <v>Medium</v>
      </c>
      <c r="K1666" s="36">
        <v>44981</v>
      </c>
      <c r="L1666" s="36">
        <v>44988</v>
      </c>
      <c r="M1666" t="s">
        <v>612</v>
      </c>
      <c r="N1666" t="s">
        <v>608</v>
      </c>
      <c r="O1666" s="37" t="str">
        <f t="shared" si="128"/>
        <v>Cash Payment</v>
      </c>
      <c r="P1666">
        <v>841.21</v>
      </c>
      <c r="Q1666" s="37" t="str">
        <f>IF(P1666&gt;500,"High","low")</f>
        <v>High</v>
      </c>
      <c r="R1666" s="37" t="str">
        <f t="shared" si="129"/>
        <v>Good</v>
      </c>
      <c r="S1666" t="s">
        <v>609</v>
      </c>
    </row>
    <row r="1667" spans="1:19" x14ac:dyDescent="0.2">
      <c r="A1667" t="s">
        <v>2278</v>
      </c>
      <c r="B1667" t="s">
        <v>83</v>
      </c>
      <c r="C1667" t="s">
        <v>602</v>
      </c>
      <c r="D1667">
        <v>190.17</v>
      </c>
      <c r="E1667" s="37" t="str">
        <f t="shared" ref="E1667:E1730" si="130">IF(AND(D1667&gt;4000,P1667&gt;800),"Excellent Order"," ")</f>
        <v xml:space="preserve"> </v>
      </c>
      <c r="F1667">
        <v>0.27</v>
      </c>
      <c r="G1667" s="37" t="str">
        <f t="shared" ref="G1667:G1730" si="131">IF(F1667&gt;30%,"Heavy Discount","Normal Discount")</f>
        <v>Normal Discount</v>
      </c>
      <c r="H1667" s="37" t="str">
        <f t="shared" ref="H1667:H1730" si="132">IF(F1667&gt;0.4,"High",IF(F1667&gt;=0.2,"Medium","Low"))</f>
        <v>Medium</v>
      </c>
      <c r="I1667">
        <v>1</v>
      </c>
      <c r="J1667" t="str" cm="1">
        <f t="array" ref="J1667">_xlfn.IFS(I1667&lt;=3,"small",I1667&lt;=6,"Medium",I1667&lt;=9,"Large")</f>
        <v>small</v>
      </c>
      <c r="K1667" s="36">
        <v>45520</v>
      </c>
      <c r="L1667" s="36">
        <v>45521</v>
      </c>
      <c r="M1667" t="s">
        <v>612</v>
      </c>
      <c r="N1667" t="s">
        <v>599</v>
      </c>
      <c r="O1667" s="37" t="str">
        <f t="shared" ref="O1667:O1730" si="133">IF(OR(N1667="Card",N1667="UPI"),"Digital Payment","Cash Payment")</f>
        <v>Digital Payment</v>
      </c>
      <c r="P1667">
        <v>20.63</v>
      </c>
      <c r="Q1667" s="37" t="str">
        <f>IF(P1667&gt;500,"High","low")</f>
        <v>low</v>
      </c>
      <c r="R1667" s="37" t="str">
        <f t="shared" ref="R1667:R1730" si="134">IF(P1667&gt;1000,"Excellent",IF(P1667&gt;=500,"Good","AVERAGE"))</f>
        <v>AVERAGE</v>
      </c>
      <c r="S1667" t="s">
        <v>605</v>
      </c>
    </row>
    <row r="1668" spans="1:19" x14ac:dyDescent="0.2">
      <c r="A1668" t="s">
        <v>2279</v>
      </c>
      <c r="B1668" t="s">
        <v>67</v>
      </c>
      <c r="C1668" t="s">
        <v>617</v>
      </c>
      <c r="D1668">
        <v>764.54</v>
      </c>
      <c r="E1668" s="37" t="str">
        <f t="shared" si="130"/>
        <v xml:space="preserve"> </v>
      </c>
      <c r="F1668">
        <v>0.12</v>
      </c>
      <c r="G1668" s="37" t="str">
        <f t="shared" si="131"/>
        <v>Normal Discount</v>
      </c>
      <c r="H1668" s="37" t="str">
        <f t="shared" si="132"/>
        <v>Low</v>
      </c>
      <c r="I1668">
        <v>7</v>
      </c>
      <c r="J1668" t="str" cm="1">
        <f t="array" ref="J1668">_xlfn.IFS(I1668&lt;=3,"small",I1668&lt;=6,"Medium",I1668&lt;=9,"Large")</f>
        <v>Large</v>
      </c>
      <c r="K1668" s="36">
        <v>45464</v>
      </c>
      <c r="L1668" s="36">
        <v>45467</v>
      </c>
      <c r="M1668" t="s">
        <v>603</v>
      </c>
      <c r="N1668" t="s">
        <v>604</v>
      </c>
      <c r="O1668" s="37" t="str">
        <f t="shared" si="133"/>
        <v>Digital Payment</v>
      </c>
      <c r="P1668">
        <v>124.11</v>
      </c>
      <c r="Q1668" s="37" t="str">
        <f>IF(P1668&gt;500,"High","low")</f>
        <v>low</v>
      </c>
      <c r="R1668" s="37" t="str">
        <f t="shared" si="134"/>
        <v>AVERAGE</v>
      </c>
      <c r="S1668" t="s">
        <v>615</v>
      </c>
    </row>
    <row r="1669" spans="1:19" x14ac:dyDescent="0.2">
      <c r="A1669" t="s">
        <v>2280</v>
      </c>
      <c r="B1669" t="s">
        <v>75</v>
      </c>
      <c r="C1669" t="s">
        <v>602</v>
      </c>
      <c r="D1669">
        <v>1888.37</v>
      </c>
      <c r="E1669" s="37" t="str">
        <f t="shared" si="130"/>
        <v xml:space="preserve"> </v>
      </c>
      <c r="F1669">
        <v>0.03</v>
      </c>
      <c r="G1669" s="37" t="str">
        <f t="shared" si="131"/>
        <v>Normal Discount</v>
      </c>
      <c r="H1669" s="37" t="str">
        <f t="shared" si="132"/>
        <v>Low</v>
      </c>
      <c r="I1669">
        <v>3</v>
      </c>
      <c r="J1669" t="str" cm="1">
        <f t="array" ref="J1669">_xlfn.IFS(I1669&lt;=3,"small",I1669&lt;=6,"Medium",I1669&lt;=9,"Large")</f>
        <v>small</v>
      </c>
      <c r="K1669" s="36">
        <v>45485</v>
      </c>
      <c r="L1669" s="36">
        <v>45492</v>
      </c>
      <c r="M1669" t="s">
        <v>598</v>
      </c>
      <c r="N1669" t="s">
        <v>599</v>
      </c>
      <c r="O1669" s="37" t="str">
        <f t="shared" si="133"/>
        <v>Digital Payment</v>
      </c>
      <c r="P1669">
        <v>412.55</v>
      </c>
      <c r="Q1669" s="37" t="str">
        <f>IF(P1669&gt;500,"High","low")</f>
        <v>low</v>
      </c>
      <c r="R1669" s="37" t="str">
        <f t="shared" si="134"/>
        <v>AVERAGE</v>
      </c>
      <c r="S1669" t="s">
        <v>605</v>
      </c>
    </row>
    <row r="1670" spans="1:19" x14ac:dyDescent="0.2">
      <c r="A1670" t="s">
        <v>2281</v>
      </c>
      <c r="B1670" t="s">
        <v>90</v>
      </c>
      <c r="C1670" t="s">
        <v>607</v>
      </c>
      <c r="D1670">
        <v>633.65</v>
      </c>
      <c r="E1670" s="37" t="str">
        <f t="shared" si="130"/>
        <v xml:space="preserve"> </v>
      </c>
      <c r="F1670">
        <v>0.12</v>
      </c>
      <c r="G1670" s="37" t="str">
        <f t="shared" si="131"/>
        <v>Normal Discount</v>
      </c>
      <c r="H1670" s="37" t="str">
        <f t="shared" si="132"/>
        <v>Low</v>
      </c>
      <c r="I1670">
        <v>1</v>
      </c>
      <c r="J1670" t="str" cm="1">
        <f t="array" ref="J1670">_xlfn.IFS(I1670&lt;=3,"small",I1670&lt;=6,"Medium",I1670&lt;=9,"Large")</f>
        <v>small</v>
      </c>
      <c r="K1670" s="36">
        <v>45436</v>
      </c>
      <c r="L1670" s="36">
        <v>45437</v>
      </c>
      <c r="M1670" t="s">
        <v>598</v>
      </c>
      <c r="N1670" t="s">
        <v>604</v>
      </c>
      <c r="O1670" s="37" t="str">
        <f t="shared" si="133"/>
        <v>Digital Payment</v>
      </c>
      <c r="P1670">
        <v>105.97</v>
      </c>
      <c r="Q1670" s="37" t="str">
        <f>IF(P1670&gt;500,"High","low")</f>
        <v>low</v>
      </c>
      <c r="R1670" s="37" t="str">
        <f t="shared" si="134"/>
        <v>AVERAGE</v>
      </c>
      <c r="S1670" t="s">
        <v>605</v>
      </c>
    </row>
    <row r="1671" spans="1:19" x14ac:dyDescent="0.2">
      <c r="A1671" t="s">
        <v>2282</v>
      </c>
      <c r="B1671" t="s">
        <v>67</v>
      </c>
      <c r="C1671" t="s">
        <v>617</v>
      </c>
      <c r="D1671">
        <v>3045.53</v>
      </c>
      <c r="E1671" s="37" t="str">
        <f t="shared" si="130"/>
        <v xml:space="preserve"> </v>
      </c>
      <c r="F1671">
        <v>0.3</v>
      </c>
      <c r="G1671" s="37" t="str">
        <f t="shared" si="131"/>
        <v>Normal Discount</v>
      </c>
      <c r="H1671" s="37" t="str">
        <f t="shared" si="132"/>
        <v>Medium</v>
      </c>
      <c r="I1671">
        <v>9</v>
      </c>
      <c r="J1671" t="str" cm="1">
        <f t="array" ref="J1671">_xlfn.IFS(I1671&lt;=3,"small",I1671&lt;=6,"Medium",I1671&lt;=9,"Large")</f>
        <v>Large</v>
      </c>
      <c r="K1671" s="36">
        <v>45423</v>
      </c>
      <c r="L1671" s="36">
        <v>45427</v>
      </c>
      <c r="M1671" t="s">
        <v>612</v>
      </c>
      <c r="N1671" t="s">
        <v>599</v>
      </c>
      <c r="O1671" s="37" t="str">
        <f t="shared" si="133"/>
        <v>Digital Payment</v>
      </c>
      <c r="P1671">
        <v>489.2</v>
      </c>
      <c r="Q1671" s="37" t="str">
        <f>IF(P1671&gt;500,"High","low")</f>
        <v>low</v>
      </c>
      <c r="R1671" s="37" t="str">
        <f t="shared" si="134"/>
        <v>AVERAGE</v>
      </c>
      <c r="S1671" t="s">
        <v>615</v>
      </c>
    </row>
    <row r="1672" spans="1:19" x14ac:dyDescent="0.2">
      <c r="A1672" t="s">
        <v>2283</v>
      </c>
      <c r="B1672" t="s">
        <v>83</v>
      </c>
      <c r="C1672" t="s">
        <v>614</v>
      </c>
      <c r="D1672">
        <v>349.08</v>
      </c>
      <c r="E1672" s="37" t="str">
        <f t="shared" si="130"/>
        <v xml:space="preserve"> </v>
      </c>
      <c r="F1672">
        <v>0.02</v>
      </c>
      <c r="G1672" s="37" t="str">
        <f t="shared" si="131"/>
        <v>Normal Discount</v>
      </c>
      <c r="H1672" s="37" t="str">
        <f t="shared" si="132"/>
        <v>Low</v>
      </c>
      <c r="I1672">
        <v>8</v>
      </c>
      <c r="J1672" t="str" cm="1">
        <f t="array" ref="J1672">_xlfn.IFS(I1672&lt;=3,"small",I1672&lt;=6,"Medium",I1672&lt;=9,"Large")</f>
        <v>Large</v>
      </c>
      <c r="K1672" s="36">
        <v>45464</v>
      </c>
      <c r="L1672" s="36">
        <v>45465</v>
      </c>
      <c r="M1672" t="s">
        <v>603</v>
      </c>
      <c r="N1672" t="s">
        <v>599</v>
      </c>
      <c r="O1672" s="37" t="str">
        <f t="shared" si="133"/>
        <v>Digital Payment</v>
      </c>
      <c r="P1672">
        <v>54.38</v>
      </c>
      <c r="Q1672" s="37" t="str">
        <f>IF(P1672&gt;500,"High","low")</f>
        <v>low</v>
      </c>
      <c r="R1672" s="37" t="str">
        <f t="shared" si="134"/>
        <v>AVERAGE</v>
      </c>
      <c r="S1672" t="s">
        <v>620</v>
      </c>
    </row>
    <row r="1673" spans="1:19" x14ac:dyDescent="0.2">
      <c r="A1673" t="s">
        <v>2284</v>
      </c>
      <c r="B1673" t="s">
        <v>75</v>
      </c>
      <c r="C1673" t="s">
        <v>614</v>
      </c>
      <c r="D1673">
        <v>4312.84</v>
      </c>
      <c r="E1673" s="37" t="str">
        <f t="shared" si="130"/>
        <v xml:space="preserve"> </v>
      </c>
      <c r="F1673">
        <v>0.42</v>
      </c>
      <c r="G1673" s="37" t="str">
        <f t="shared" si="131"/>
        <v>Heavy Discount</v>
      </c>
      <c r="H1673" s="37" t="str">
        <f t="shared" si="132"/>
        <v>High</v>
      </c>
      <c r="I1673">
        <v>4</v>
      </c>
      <c r="J1673" t="str" cm="1">
        <f t="array" ref="J1673">_xlfn.IFS(I1673&lt;=3,"small",I1673&lt;=6,"Medium",I1673&lt;=9,"Large")</f>
        <v>Medium</v>
      </c>
      <c r="K1673" s="36">
        <v>45239</v>
      </c>
      <c r="L1673" s="36">
        <v>45243</v>
      </c>
      <c r="M1673" t="s">
        <v>603</v>
      </c>
      <c r="N1673" t="s">
        <v>604</v>
      </c>
      <c r="O1673" s="37" t="str">
        <f t="shared" si="133"/>
        <v>Digital Payment</v>
      </c>
      <c r="P1673">
        <v>408.31</v>
      </c>
      <c r="Q1673" s="37" t="str">
        <f>IF(P1673&gt;500,"High","low")</f>
        <v>low</v>
      </c>
      <c r="R1673" s="37" t="str">
        <f t="shared" si="134"/>
        <v>AVERAGE</v>
      </c>
      <c r="S1673" t="s">
        <v>600</v>
      </c>
    </row>
    <row r="1674" spans="1:19" x14ac:dyDescent="0.2">
      <c r="A1674" t="s">
        <v>2285</v>
      </c>
      <c r="B1674" t="s">
        <v>67</v>
      </c>
      <c r="C1674" t="s">
        <v>602</v>
      </c>
      <c r="D1674">
        <v>3830.41</v>
      </c>
      <c r="E1674" s="37" t="str">
        <f t="shared" si="130"/>
        <v xml:space="preserve"> </v>
      </c>
      <c r="F1674">
        <v>0.49</v>
      </c>
      <c r="G1674" s="37" t="str">
        <f t="shared" si="131"/>
        <v>Heavy Discount</v>
      </c>
      <c r="H1674" s="37" t="str">
        <f t="shared" si="132"/>
        <v>High</v>
      </c>
      <c r="I1674">
        <v>3</v>
      </c>
      <c r="J1674" t="str" cm="1">
        <f t="array" ref="J1674">_xlfn.IFS(I1674&lt;=3,"small",I1674&lt;=6,"Medium",I1674&lt;=9,"Large")</f>
        <v>small</v>
      </c>
      <c r="K1674" s="36">
        <v>45135</v>
      </c>
      <c r="L1674" s="36">
        <v>45138</v>
      </c>
      <c r="M1674" t="s">
        <v>612</v>
      </c>
      <c r="N1674" t="s">
        <v>608</v>
      </c>
      <c r="O1674" s="37" t="str">
        <f t="shared" si="133"/>
        <v>Cash Payment</v>
      </c>
      <c r="P1674">
        <v>560.66</v>
      </c>
      <c r="Q1674" s="37" t="str">
        <f>IF(P1674&gt;500,"High","low")</f>
        <v>High</v>
      </c>
      <c r="R1674" s="37" t="str">
        <f t="shared" si="134"/>
        <v>Good</v>
      </c>
      <c r="S1674" t="s">
        <v>620</v>
      </c>
    </row>
    <row r="1675" spans="1:19" x14ac:dyDescent="0.2">
      <c r="A1675" t="s">
        <v>2286</v>
      </c>
      <c r="B1675" t="s">
        <v>75</v>
      </c>
      <c r="C1675" t="s">
        <v>614</v>
      </c>
      <c r="D1675">
        <v>1159.6600000000001</v>
      </c>
      <c r="E1675" s="37" t="str">
        <f t="shared" si="130"/>
        <v xml:space="preserve"> </v>
      </c>
      <c r="F1675">
        <v>0.04</v>
      </c>
      <c r="G1675" s="37" t="str">
        <f t="shared" si="131"/>
        <v>Normal Discount</v>
      </c>
      <c r="H1675" s="37" t="str">
        <f t="shared" si="132"/>
        <v>Low</v>
      </c>
      <c r="I1675">
        <v>2</v>
      </c>
      <c r="J1675" t="str" cm="1">
        <f t="array" ref="J1675">_xlfn.IFS(I1675&lt;=3,"small",I1675&lt;=6,"Medium",I1675&lt;=9,"Large")</f>
        <v>small</v>
      </c>
      <c r="K1675" s="36">
        <v>45046</v>
      </c>
      <c r="L1675" s="36">
        <v>45052</v>
      </c>
      <c r="M1675" t="s">
        <v>598</v>
      </c>
      <c r="N1675" t="s">
        <v>604</v>
      </c>
      <c r="O1675" s="37" t="str">
        <f t="shared" si="133"/>
        <v>Digital Payment</v>
      </c>
      <c r="P1675">
        <v>344.37</v>
      </c>
      <c r="Q1675" s="37" t="str">
        <f>IF(P1675&gt;500,"High","low")</f>
        <v>low</v>
      </c>
      <c r="R1675" s="37" t="str">
        <f t="shared" si="134"/>
        <v>AVERAGE</v>
      </c>
      <c r="S1675" t="s">
        <v>609</v>
      </c>
    </row>
    <row r="1676" spans="1:19" x14ac:dyDescent="0.2">
      <c r="A1676" t="s">
        <v>2287</v>
      </c>
      <c r="B1676" t="s">
        <v>75</v>
      </c>
      <c r="C1676" t="s">
        <v>614</v>
      </c>
      <c r="D1676">
        <v>2470.58</v>
      </c>
      <c r="E1676" s="37" t="str">
        <f t="shared" si="130"/>
        <v xml:space="preserve"> </v>
      </c>
      <c r="F1676">
        <v>0.12</v>
      </c>
      <c r="G1676" s="37" t="str">
        <f t="shared" si="131"/>
        <v>Normal Discount</v>
      </c>
      <c r="H1676" s="37" t="str">
        <f t="shared" si="132"/>
        <v>Low</v>
      </c>
      <c r="I1676">
        <v>2</v>
      </c>
      <c r="J1676" t="str" cm="1">
        <f t="array" ref="J1676">_xlfn.IFS(I1676&lt;=3,"small",I1676&lt;=6,"Medium",I1676&lt;=9,"Large")</f>
        <v>small</v>
      </c>
      <c r="K1676" s="36">
        <v>45384</v>
      </c>
      <c r="L1676" s="36">
        <v>45388</v>
      </c>
      <c r="M1676" t="s">
        <v>612</v>
      </c>
      <c r="N1676" t="s">
        <v>604</v>
      </c>
      <c r="O1676" s="37" t="str">
        <f t="shared" si="133"/>
        <v>Digital Payment</v>
      </c>
      <c r="P1676">
        <v>281.95999999999998</v>
      </c>
      <c r="Q1676" s="37" t="str">
        <f>IF(P1676&gt;500,"High","low")</f>
        <v>low</v>
      </c>
      <c r="R1676" s="37" t="str">
        <f t="shared" si="134"/>
        <v>AVERAGE</v>
      </c>
      <c r="S1676" t="s">
        <v>609</v>
      </c>
    </row>
    <row r="1677" spans="1:19" x14ac:dyDescent="0.2">
      <c r="A1677" t="s">
        <v>2288</v>
      </c>
      <c r="B1677" t="s">
        <v>75</v>
      </c>
      <c r="C1677" t="s">
        <v>614</v>
      </c>
      <c r="D1677">
        <v>2313.88</v>
      </c>
      <c r="E1677" s="37" t="str">
        <f t="shared" si="130"/>
        <v xml:space="preserve"> </v>
      </c>
      <c r="F1677">
        <v>0.34</v>
      </c>
      <c r="G1677" s="37" t="str">
        <f t="shared" si="131"/>
        <v>Heavy Discount</v>
      </c>
      <c r="H1677" s="37" t="str">
        <f t="shared" si="132"/>
        <v>Medium</v>
      </c>
      <c r="I1677">
        <v>3</v>
      </c>
      <c r="J1677" t="str" cm="1">
        <f t="array" ref="J1677">_xlfn.IFS(I1677&lt;=3,"small",I1677&lt;=6,"Medium",I1677&lt;=9,"Large")</f>
        <v>small</v>
      </c>
      <c r="K1677" s="36">
        <v>45148</v>
      </c>
      <c r="L1677" s="36">
        <v>45149</v>
      </c>
      <c r="M1677" t="s">
        <v>603</v>
      </c>
      <c r="N1677" t="s">
        <v>599</v>
      </c>
      <c r="O1677" s="37" t="str">
        <f t="shared" si="133"/>
        <v>Digital Payment</v>
      </c>
      <c r="P1677">
        <v>295.31</v>
      </c>
      <c r="Q1677" s="37" t="str">
        <f>IF(P1677&gt;500,"High","low")</f>
        <v>low</v>
      </c>
      <c r="R1677" s="37" t="str">
        <f t="shared" si="134"/>
        <v>AVERAGE</v>
      </c>
      <c r="S1677" t="s">
        <v>615</v>
      </c>
    </row>
    <row r="1678" spans="1:19" x14ac:dyDescent="0.2">
      <c r="A1678" t="s">
        <v>2289</v>
      </c>
      <c r="B1678" t="s">
        <v>90</v>
      </c>
      <c r="C1678" t="s">
        <v>607</v>
      </c>
      <c r="D1678">
        <v>3651.84</v>
      </c>
      <c r="E1678" s="37" t="str">
        <f t="shared" si="130"/>
        <v xml:space="preserve"> </v>
      </c>
      <c r="F1678">
        <v>0.4</v>
      </c>
      <c r="G1678" s="37" t="str">
        <f t="shared" si="131"/>
        <v>Heavy Discount</v>
      </c>
      <c r="H1678" s="37" t="str">
        <f t="shared" si="132"/>
        <v>Medium</v>
      </c>
      <c r="I1678">
        <v>1</v>
      </c>
      <c r="J1678" t="str" cm="1">
        <f t="array" ref="J1678">_xlfn.IFS(I1678&lt;=3,"small",I1678&lt;=6,"Medium",I1678&lt;=9,"Large")</f>
        <v>small</v>
      </c>
      <c r="K1678" s="36">
        <v>45517</v>
      </c>
      <c r="L1678" s="36">
        <v>45522</v>
      </c>
      <c r="M1678" t="s">
        <v>603</v>
      </c>
      <c r="N1678" t="s">
        <v>599</v>
      </c>
      <c r="O1678" s="37" t="str">
        <f t="shared" si="133"/>
        <v>Digital Payment</v>
      </c>
      <c r="P1678">
        <v>1062.08</v>
      </c>
      <c r="Q1678" s="37" t="str">
        <f>IF(P1678&gt;500,"High","low")</f>
        <v>High</v>
      </c>
      <c r="R1678" s="37" t="str">
        <f t="shared" si="134"/>
        <v>Excellent</v>
      </c>
      <c r="S1678" t="s">
        <v>600</v>
      </c>
    </row>
    <row r="1679" spans="1:19" x14ac:dyDescent="0.2">
      <c r="A1679" t="s">
        <v>2290</v>
      </c>
      <c r="B1679" t="s">
        <v>90</v>
      </c>
      <c r="C1679" t="s">
        <v>614</v>
      </c>
      <c r="D1679">
        <v>2067.39</v>
      </c>
      <c r="E1679" s="37" t="str">
        <f t="shared" si="130"/>
        <v xml:space="preserve"> </v>
      </c>
      <c r="F1679">
        <v>0.17</v>
      </c>
      <c r="G1679" s="37" t="str">
        <f t="shared" si="131"/>
        <v>Normal Discount</v>
      </c>
      <c r="H1679" s="37" t="str">
        <f t="shared" si="132"/>
        <v>Low</v>
      </c>
      <c r="I1679">
        <v>7</v>
      </c>
      <c r="J1679" t="str" cm="1">
        <f t="array" ref="J1679">_xlfn.IFS(I1679&lt;=3,"small",I1679&lt;=6,"Medium",I1679&lt;=9,"Large")</f>
        <v>Large</v>
      </c>
      <c r="K1679" s="36">
        <v>45429</v>
      </c>
      <c r="L1679" s="36">
        <v>45433</v>
      </c>
      <c r="M1679" t="s">
        <v>603</v>
      </c>
      <c r="N1679" t="s">
        <v>604</v>
      </c>
      <c r="O1679" s="37" t="str">
        <f t="shared" si="133"/>
        <v>Digital Payment</v>
      </c>
      <c r="P1679">
        <v>368.03</v>
      </c>
      <c r="Q1679" s="37" t="str">
        <f>IF(P1679&gt;500,"High","low")</f>
        <v>low</v>
      </c>
      <c r="R1679" s="37" t="str">
        <f t="shared" si="134"/>
        <v>AVERAGE</v>
      </c>
      <c r="S1679" t="s">
        <v>628</v>
      </c>
    </row>
    <row r="1680" spans="1:19" x14ac:dyDescent="0.2">
      <c r="A1680" t="s">
        <v>2291</v>
      </c>
      <c r="B1680" t="s">
        <v>83</v>
      </c>
      <c r="C1680" t="s">
        <v>597</v>
      </c>
      <c r="D1680">
        <v>261.38</v>
      </c>
      <c r="E1680" s="37" t="str">
        <f t="shared" si="130"/>
        <v xml:space="preserve"> </v>
      </c>
      <c r="F1680">
        <v>0.26</v>
      </c>
      <c r="G1680" s="37" t="str">
        <f t="shared" si="131"/>
        <v>Normal Discount</v>
      </c>
      <c r="H1680" s="37" t="str">
        <f t="shared" si="132"/>
        <v>Medium</v>
      </c>
      <c r="I1680">
        <v>2</v>
      </c>
      <c r="J1680" t="str" cm="1">
        <f t="array" ref="J1680">_xlfn.IFS(I1680&lt;=3,"small",I1680&lt;=6,"Medium",I1680&lt;=9,"Large")</f>
        <v>small</v>
      </c>
      <c r="K1680" s="36">
        <v>44967</v>
      </c>
      <c r="L1680" s="36">
        <v>44972</v>
      </c>
      <c r="M1680" t="s">
        <v>612</v>
      </c>
      <c r="N1680" t="s">
        <v>599</v>
      </c>
      <c r="O1680" s="37" t="str">
        <f t="shared" si="133"/>
        <v>Digital Payment</v>
      </c>
      <c r="P1680">
        <v>63.5</v>
      </c>
      <c r="Q1680" s="37" t="str">
        <f>IF(P1680&gt;500,"High","low")</f>
        <v>low</v>
      </c>
      <c r="R1680" s="37" t="str">
        <f t="shared" si="134"/>
        <v>AVERAGE</v>
      </c>
      <c r="S1680" t="s">
        <v>628</v>
      </c>
    </row>
    <row r="1681" spans="1:19" x14ac:dyDescent="0.2">
      <c r="A1681" t="s">
        <v>2292</v>
      </c>
      <c r="B1681" t="s">
        <v>83</v>
      </c>
      <c r="C1681" t="s">
        <v>617</v>
      </c>
      <c r="D1681">
        <v>1441.31</v>
      </c>
      <c r="E1681" s="37" t="str">
        <f t="shared" si="130"/>
        <v xml:space="preserve"> </v>
      </c>
      <c r="F1681">
        <v>0.45</v>
      </c>
      <c r="G1681" s="37" t="str">
        <f t="shared" si="131"/>
        <v>Heavy Discount</v>
      </c>
      <c r="H1681" s="37" t="str">
        <f t="shared" si="132"/>
        <v>High</v>
      </c>
      <c r="I1681">
        <v>6</v>
      </c>
      <c r="J1681" t="str" cm="1">
        <f t="array" ref="J1681">_xlfn.IFS(I1681&lt;=3,"small",I1681&lt;=6,"Medium",I1681&lt;=9,"Large")</f>
        <v>Medium</v>
      </c>
      <c r="K1681" s="36">
        <v>45594</v>
      </c>
      <c r="L1681" s="36">
        <v>45599</v>
      </c>
      <c r="M1681" t="s">
        <v>603</v>
      </c>
      <c r="N1681" t="s">
        <v>608</v>
      </c>
      <c r="O1681" s="37" t="str">
        <f t="shared" si="133"/>
        <v>Cash Payment</v>
      </c>
      <c r="P1681">
        <v>160.82</v>
      </c>
      <c r="Q1681" s="37" t="str">
        <f>IF(P1681&gt;500,"High","low")</f>
        <v>low</v>
      </c>
      <c r="R1681" s="37" t="str">
        <f t="shared" si="134"/>
        <v>AVERAGE</v>
      </c>
      <c r="S1681" t="s">
        <v>600</v>
      </c>
    </row>
    <row r="1682" spans="1:19" x14ac:dyDescent="0.2">
      <c r="A1682" t="s">
        <v>2293</v>
      </c>
      <c r="B1682" t="s">
        <v>67</v>
      </c>
      <c r="C1682" t="s">
        <v>614</v>
      </c>
      <c r="D1682">
        <v>2384.36</v>
      </c>
      <c r="E1682" s="37" t="str">
        <f t="shared" si="130"/>
        <v xml:space="preserve"> </v>
      </c>
      <c r="F1682">
        <v>0.19</v>
      </c>
      <c r="G1682" s="37" t="str">
        <f t="shared" si="131"/>
        <v>Normal Discount</v>
      </c>
      <c r="H1682" s="37" t="str">
        <f t="shared" si="132"/>
        <v>Low</v>
      </c>
      <c r="I1682">
        <v>6</v>
      </c>
      <c r="J1682" t="str" cm="1">
        <f t="array" ref="J1682">_xlfn.IFS(I1682&lt;=3,"small",I1682&lt;=6,"Medium",I1682&lt;=9,"Large")</f>
        <v>Medium</v>
      </c>
      <c r="K1682" s="36">
        <v>45329</v>
      </c>
      <c r="L1682" s="36">
        <v>45334</v>
      </c>
      <c r="M1682" t="s">
        <v>598</v>
      </c>
      <c r="N1682" t="s">
        <v>604</v>
      </c>
      <c r="O1682" s="37" t="str">
        <f t="shared" si="133"/>
        <v>Digital Payment</v>
      </c>
      <c r="P1682">
        <v>359.24</v>
      </c>
      <c r="Q1682" s="37" t="str">
        <f>IF(P1682&gt;500,"High","low")</f>
        <v>low</v>
      </c>
      <c r="R1682" s="37" t="str">
        <f t="shared" si="134"/>
        <v>AVERAGE</v>
      </c>
      <c r="S1682" t="s">
        <v>605</v>
      </c>
    </row>
    <row r="1683" spans="1:19" x14ac:dyDescent="0.2">
      <c r="A1683" t="s">
        <v>2294</v>
      </c>
      <c r="B1683" t="s">
        <v>83</v>
      </c>
      <c r="C1683" t="s">
        <v>614</v>
      </c>
      <c r="D1683">
        <v>4875.01</v>
      </c>
      <c r="E1683" s="37" t="str">
        <f t="shared" si="130"/>
        <v>Excellent Order</v>
      </c>
      <c r="F1683">
        <v>0.04</v>
      </c>
      <c r="G1683" s="37" t="str">
        <f t="shared" si="131"/>
        <v>Normal Discount</v>
      </c>
      <c r="H1683" s="37" t="str">
        <f t="shared" si="132"/>
        <v>Low</v>
      </c>
      <c r="I1683">
        <v>4</v>
      </c>
      <c r="J1683" t="str" cm="1">
        <f t="array" ref="J1683">_xlfn.IFS(I1683&lt;=3,"small",I1683&lt;=6,"Medium",I1683&lt;=9,"Large")</f>
        <v>Medium</v>
      </c>
      <c r="K1683" s="36">
        <v>44927</v>
      </c>
      <c r="L1683" s="36">
        <v>44928</v>
      </c>
      <c r="M1683" t="s">
        <v>603</v>
      </c>
      <c r="N1683" t="s">
        <v>608</v>
      </c>
      <c r="O1683" s="37" t="str">
        <f t="shared" si="133"/>
        <v>Cash Payment</v>
      </c>
      <c r="P1683">
        <v>1002.17</v>
      </c>
      <c r="Q1683" s="37" t="str">
        <f>IF(P1683&gt;500,"High","low")</f>
        <v>High</v>
      </c>
      <c r="R1683" s="37" t="str">
        <f t="shared" si="134"/>
        <v>Excellent</v>
      </c>
      <c r="S1683" t="s">
        <v>615</v>
      </c>
    </row>
    <row r="1684" spans="1:19" x14ac:dyDescent="0.2">
      <c r="A1684" t="s">
        <v>2295</v>
      </c>
      <c r="B1684" t="s">
        <v>75</v>
      </c>
      <c r="C1684" t="s">
        <v>614</v>
      </c>
      <c r="D1684">
        <v>4417.68</v>
      </c>
      <c r="E1684" s="37" t="str">
        <f t="shared" si="130"/>
        <v xml:space="preserve"> </v>
      </c>
      <c r="F1684">
        <v>0.5</v>
      </c>
      <c r="G1684" s="37" t="str">
        <f t="shared" si="131"/>
        <v>Heavy Discount</v>
      </c>
      <c r="H1684" s="37" t="str">
        <f t="shared" si="132"/>
        <v>High</v>
      </c>
      <c r="I1684">
        <v>4</v>
      </c>
      <c r="J1684" t="str" cm="1">
        <f t="array" ref="J1684">_xlfn.IFS(I1684&lt;=3,"small",I1684&lt;=6,"Medium",I1684&lt;=9,"Large")</f>
        <v>Medium</v>
      </c>
      <c r="K1684" s="36">
        <v>44960</v>
      </c>
      <c r="L1684" s="36">
        <v>44961</v>
      </c>
      <c r="M1684" t="s">
        <v>612</v>
      </c>
      <c r="N1684" t="s">
        <v>599</v>
      </c>
      <c r="O1684" s="37" t="str">
        <f t="shared" si="133"/>
        <v>Digital Payment</v>
      </c>
      <c r="P1684">
        <v>497.57</v>
      </c>
      <c r="Q1684" s="37" t="str">
        <f>IF(P1684&gt;500,"High","low")</f>
        <v>low</v>
      </c>
      <c r="R1684" s="37" t="str">
        <f t="shared" si="134"/>
        <v>AVERAGE</v>
      </c>
      <c r="S1684" t="s">
        <v>605</v>
      </c>
    </row>
    <row r="1685" spans="1:19" x14ac:dyDescent="0.2">
      <c r="A1685" t="s">
        <v>2296</v>
      </c>
      <c r="B1685" t="s">
        <v>75</v>
      </c>
      <c r="C1685" t="s">
        <v>597</v>
      </c>
      <c r="D1685">
        <v>988.89</v>
      </c>
      <c r="E1685" s="37" t="str">
        <f t="shared" si="130"/>
        <v xml:space="preserve"> </v>
      </c>
      <c r="F1685">
        <v>0.09</v>
      </c>
      <c r="G1685" s="37" t="str">
        <f t="shared" si="131"/>
        <v>Normal Discount</v>
      </c>
      <c r="H1685" s="37" t="str">
        <f t="shared" si="132"/>
        <v>Low</v>
      </c>
      <c r="I1685">
        <v>1</v>
      </c>
      <c r="J1685" t="str" cm="1">
        <f t="array" ref="J1685">_xlfn.IFS(I1685&lt;=3,"small",I1685&lt;=6,"Medium",I1685&lt;=9,"Large")</f>
        <v>small</v>
      </c>
      <c r="K1685" s="36">
        <v>45270</v>
      </c>
      <c r="L1685" s="36">
        <v>45273</v>
      </c>
      <c r="M1685" t="s">
        <v>612</v>
      </c>
      <c r="N1685" t="s">
        <v>599</v>
      </c>
      <c r="O1685" s="37" t="str">
        <f t="shared" si="133"/>
        <v>Digital Payment</v>
      </c>
      <c r="P1685">
        <v>144.57</v>
      </c>
      <c r="Q1685" s="37" t="str">
        <f>IF(P1685&gt;500,"High","low")</f>
        <v>low</v>
      </c>
      <c r="R1685" s="37" t="str">
        <f t="shared" si="134"/>
        <v>AVERAGE</v>
      </c>
      <c r="S1685" t="s">
        <v>628</v>
      </c>
    </row>
    <row r="1686" spans="1:19" x14ac:dyDescent="0.2">
      <c r="A1686" t="s">
        <v>2297</v>
      </c>
      <c r="B1686" t="s">
        <v>90</v>
      </c>
      <c r="C1686" t="s">
        <v>614</v>
      </c>
      <c r="D1686">
        <v>3644.05</v>
      </c>
      <c r="E1686" s="37" t="str">
        <f t="shared" si="130"/>
        <v xml:space="preserve"> </v>
      </c>
      <c r="F1686">
        <v>0.02</v>
      </c>
      <c r="G1686" s="37" t="str">
        <f t="shared" si="131"/>
        <v>Normal Discount</v>
      </c>
      <c r="H1686" s="37" t="str">
        <f t="shared" si="132"/>
        <v>Low</v>
      </c>
      <c r="I1686">
        <v>6</v>
      </c>
      <c r="J1686" t="str" cm="1">
        <f t="array" ref="J1686">_xlfn.IFS(I1686&lt;=3,"small",I1686&lt;=6,"Medium",I1686&lt;=9,"Large")</f>
        <v>Medium</v>
      </c>
      <c r="K1686" s="36">
        <v>45351</v>
      </c>
      <c r="L1686" s="36">
        <v>45355</v>
      </c>
      <c r="M1686" t="s">
        <v>612</v>
      </c>
      <c r="N1686" t="s">
        <v>608</v>
      </c>
      <c r="O1686" s="37" t="str">
        <f t="shared" si="133"/>
        <v>Cash Payment</v>
      </c>
      <c r="P1686">
        <v>615.82000000000005</v>
      </c>
      <c r="Q1686" s="37" t="str">
        <f>IF(P1686&gt;500,"High","low")</f>
        <v>High</v>
      </c>
      <c r="R1686" s="37" t="str">
        <f t="shared" si="134"/>
        <v>Good</v>
      </c>
      <c r="S1686" t="s">
        <v>605</v>
      </c>
    </row>
    <row r="1687" spans="1:19" x14ac:dyDescent="0.2">
      <c r="A1687" t="s">
        <v>2298</v>
      </c>
      <c r="B1687" t="s">
        <v>75</v>
      </c>
      <c r="C1687" t="s">
        <v>614</v>
      </c>
      <c r="D1687">
        <v>4690.4399999999996</v>
      </c>
      <c r="E1687" s="37" t="str">
        <f t="shared" si="130"/>
        <v>Excellent Order</v>
      </c>
      <c r="F1687">
        <v>0.21</v>
      </c>
      <c r="G1687" s="37" t="str">
        <f t="shared" si="131"/>
        <v>Normal Discount</v>
      </c>
      <c r="H1687" s="37" t="str">
        <f t="shared" si="132"/>
        <v>Medium</v>
      </c>
      <c r="I1687">
        <v>8</v>
      </c>
      <c r="J1687" t="str" cm="1">
        <f t="array" ref="J1687">_xlfn.IFS(I1687&lt;=3,"small",I1687&lt;=6,"Medium",I1687&lt;=9,"Large")</f>
        <v>Large</v>
      </c>
      <c r="K1687" s="36">
        <v>44991</v>
      </c>
      <c r="L1687" s="36">
        <v>44997</v>
      </c>
      <c r="M1687" t="s">
        <v>598</v>
      </c>
      <c r="N1687" t="s">
        <v>604</v>
      </c>
      <c r="O1687" s="37" t="str">
        <f t="shared" si="133"/>
        <v>Digital Payment</v>
      </c>
      <c r="P1687">
        <v>1221.24</v>
      </c>
      <c r="Q1687" s="37" t="str">
        <f>IF(P1687&gt;500,"High","low")</f>
        <v>High</v>
      </c>
      <c r="R1687" s="37" t="str">
        <f t="shared" si="134"/>
        <v>Excellent</v>
      </c>
      <c r="S1687" t="s">
        <v>605</v>
      </c>
    </row>
    <row r="1688" spans="1:19" x14ac:dyDescent="0.2">
      <c r="A1688" t="s">
        <v>2299</v>
      </c>
      <c r="B1688" t="s">
        <v>67</v>
      </c>
      <c r="C1688" t="s">
        <v>617</v>
      </c>
      <c r="D1688">
        <v>143.08000000000001</v>
      </c>
      <c r="E1688" s="37" t="str">
        <f t="shared" si="130"/>
        <v xml:space="preserve"> </v>
      </c>
      <c r="F1688">
        <v>0.06</v>
      </c>
      <c r="G1688" s="37" t="str">
        <f t="shared" si="131"/>
        <v>Normal Discount</v>
      </c>
      <c r="H1688" s="37" t="str">
        <f t="shared" si="132"/>
        <v>Low</v>
      </c>
      <c r="I1688">
        <v>4</v>
      </c>
      <c r="J1688" t="str" cm="1">
        <f t="array" ref="J1688">_xlfn.IFS(I1688&lt;=3,"small",I1688&lt;=6,"Medium",I1688&lt;=9,"Large")</f>
        <v>Medium</v>
      </c>
      <c r="K1688" s="36">
        <v>45512</v>
      </c>
      <c r="L1688" s="36">
        <v>45514</v>
      </c>
      <c r="M1688" t="s">
        <v>598</v>
      </c>
      <c r="N1688" t="s">
        <v>604</v>
      </c>
      <c r="O1688" s="37" t="str">
        <f t="shared" si="133"/>
        <v>Digital Payment</v>
      </c>
      <c r="P1688">
        <v>31.93</v>
      </c>
      <c r="Q1688" s="37" t="str">
        <f>IF(P1688&gt;500,"High","low")</f>
        <v>low</v>
      </c>
      <c r="R1688" s="37" t="str">
        <f t="shared" si="134"/>
        <v>AVERAGE</v>
      </c>
      <c r="S1688" t="s">
        <v>615</v>
      </c>
    </row>
    <row r="1689" spans="1:19" x14ac:dyDescent="0.2">
      <c r="A1689" t="s">
        <v>2300</v>
      </c>
      <c r="B1689" t="s">
        <v>75</v>
      </c>
      <c r="C1689" t="s">
        <v>597</v>
      </c>
      <c r="D1689">
        <v>3632.63</v>
      </c>
      <c r="E1689" s="37" t="str">
        <f t="shared" si="130"/>
        <v xml:space="preserve"> </v>
      </c>
      <c r="F1689">
        <v>0.49</v>
      </c>
      <c r="G1689" s="37" t="str">
        <f t="shared" si="131"/>
        <v>Heavy Discount</v>
      </c>
      <c r="H1689" s="37" t="str">
        <f t="shared" si="132"/>
        <v>High</v>
      </c>
      <c r="I1689">
        <v>1</v>
      </c>
      <c r="J1689" t="str" cm="1">
        <f t="array" ref="J1689">_xlfn.IFS(I1689&lt;=3,"small",I1689&lt;=6,"Medium",I1689&lt;=9,"Large")</f>
        <v>small</v>
      </c>
      <c r="K1689" s="36">
        <v>45442</v>
      </c>
      <c r="L1689" s="36">
        <v>45448</v>
      </c>
      <c r="M1689" t="s">
        <v>612</v>
      </c>
      <c r="N1689" t="s">
        <v>608</v>
      </c>
      <c r="O1689" s="37" t="str">
        <f t="shared" si="133"/>
        <v>Cash Payment</v>
      </c>
      <c r="P1689">
        <v>1013.85</v>
      </c>
      <c r="Q1689" s="37" t="str">
        <f>IF(P1689&gt;500,"High","low")</f>
        <v>High</v>
      </c>
      <c r="R1689" s="37" t="str">
        <f t="shared" si="134"/>
        <v>Excellent</v>
      </c>
      <c r="S1689" t="s">
        <v>605</v>
      </c>
    </row>
    <row r="1690" spans="1:19" x14ac:dyDescent="0.2">
      <c r="A1690" t="s">
        <v>2301</v>
      </c>
      <c r="B1690" t="s">
        <v>75</v>
      </c>
      <c r="C1690" t="s">
        <v>597</v>
      </c>
      <c r="D1690">
        <v>2350.73</v>
      </c>
      <c r="E1690" s="37" t="str">
        <f t="shared" si="130"/>
        <v xml:space="preserve"> </v>
      </c>
      <c r="F1690">
        <v>0.19</v>
      </c>
      <c r="G1690" s="37" t="str">
        <f t="shared" si="131"/>
        <v>Normal Discount</v>
      </c>
      <c r="H1690" s="37" t="str">
        <f t="shared" si="132"/>
        <v>Low</v>
      </c>
      <c r="I1690">
        <v>4</v>
      </c>
      <c r="J1690" t="str" cm="1">
        <f t="array" ref="J1690">_xlfn.IFS(I1690&lt;=3,"small",I1690&lt;=6,"Medium",I1690&lt;=9,"Large")</f>
        <v>Medium</v>
      </c>
      <c r="K1690" s="36">
        <v>45324</v>
      </c>
      <c r="L1690" s="36">
        <v>45329</v>
      </c>
      <c r="M1690" t="s">
        <v>603</v>
      </c>
      <c r="N1690" t="s">
        <v>608</v>
      </c>
      <c r="O1690" s="37" t="str">
        <f t="shared" si="133"/>
        <v>Cash Payment</v>
      </c>
      <c r="P1690">
        <v>685.8</v>
      </c>
      <c r="Q1690" s="37" t="str">
        <f>IF(P1690&gt;500,"High","low")</f>
        <v>High</v>
      </c>
      <c r="R1690" s="37" t="str">
        <f t="shared" si="134"/>
        <v>Good</v>
      </c>
      <c r="S1690" t="s">
        <v>620</v>
      </c>
    </row>
    <row r="1691" spans="1:19" x14ac:dyDescent="0.2">
      <c r="A1691" t="s">
        <v>2302</v>
      </c>
      <c r="B1691" t="s">
        <v>67</v>
      </c>
      <c r="C1691" t="s">
        <v>614</v>
      </c>
      <c r="D1691">
        <v>3433.16</v>
      </c>
      <c r="E1691" s="37" t="str">
        <f t="shared" si="130"/>
        <v xml:space="preserve"> </v>
      </c>
      <c r="F1691">
        <v>0.41</v>
      </c>
      <c r="G1691" s="37" t="str">
        <f t="shared" si="131"/>
        <v>Heavy Discount</v>
      </c>
      <c r="H1691" s="37" t="str">
        <f t="shared" si="132"/>
        <v>High</v>
      </c>
      <c r="I1691">
        <v>2</v>
      </c>
      <c r="J1691" t="str" cm="1">
        <f t="array" ref="J1691">_xlfn.IFS(I1691&lt;=3,"small",I1691&lt;=6,"Medium",I1691&lt;=9,"Large")</f>
        <v>small</v>
      </c>
      <c r="K1691" s="36">
        <v>44947</v>
      </c>
      <c r="L1691" s="36">
        <v>44951</v>
      </c>
      <c r="M1691" t="s">
        <v>612</v>
      </c>
      <c r="N1691" t="s">
        <v>604</v>
      </c>
      <c r="O1691" s="37" t="str">
        <f t="shared" si="133"/>
        <v>Digital Payment</v>
      </c>
      <c r="P1691">
        <v>577.45000000000005</v>
      </c>
      <c r="Q1691" s="37" t="str">
        <f>IF(P1691&gt;500,"High","low")</f>
        <v>High</v>
      </c>
      <c r="R1691" s="37" t="str">
        <f t="shared" si="134"/>
        <v>Good</v>
      </c>
      <c r="S1691" t="s">
        <v>609</v>
      </c>
    </row>
    <row r="1692" spans="1:19" x14ac:dyDescent="0.2">
      <c r="A1692" t="s">
        <v>2303</v>
      </c>
      <c r="B1692" t="s">
        <v>83</v>
      </c>
      <c r="C1692" t="s">
        <v>597</v>
      </c>
      <c r="D1692">
        <v>3067.39</v>
      </c>
      <c r="E1692" s="37" t="str">
        <f t="shared" si="130"/>
        <v xml:space="preserve"> </v>
      </c>
      <c r="F1692">
        <v>0.09</v>
      </c>
      <c r="G1692" s="37" t="str">
        <f t="shared" si="131"/>
        <v>Normal Discount</v>
      </c>
      <c r="H1692" s="37" t="str">
        <f t="shared" si="132"/>
        <v>Low</v>
      </c>
      <c r="I1692">
        <v>4</v>
      </c>
      <c r="J1692" t="str" cm="1">
        <f t="array" ref="J1692">_xlfn.IFS(I1692&lt;=3,"small",I1692&lt;=6,"Medium",I1692&lt;=9,"Large")</f>
        <v>Medium</v>
      </c>
      <c r="K1692" s="36">
        <v>45080</v>
      </c>
      <c r="L1692" s="36">
        <v>45085</v>
      </c>
      <c r="M1692" t="s">
        <v>598</v>
      </c>
      <c r="N1692" t="s">
        <v>604</v>
      </c>
      <c r="O1692" s="37" t="str">
        <f t="shared" si="133"/>
        <v>Digital Payment</v>
      </c>
      <c r="P1692">
        <v>475.46</v>
      </c>
      <c r="Q1692" s="37" t="str">
        <f>IF(P1692&gt;500,"High","low")</f>
        <v>low</v>
      </c>
      <c r="R1692" s="37" t="str">
        <f t="shared" si="134"/>
        <v>AVERAGE</v>
      </c>
      <c r="S1692" t="s">
        <v>600</v>
      </c>
    </row>
    <row r="1693" spans="1:19" x14ac:dyDescent="0.2">
      <c r="A1693" t="s">
        <v>2304</v>
      </c>
      <c r="B1693" t="s">
        <v>83</v>
      </c>
      <c r="C1693" t="s">
        <v>602</v>
      </c>
      <c r="D1693">
        <v>4924.8599999999997</v>
      </c>
      <c r="E1693" s="37" t="str">
        <f t="shared" si="130"/>
        <v>Excellent Order</v>
      </c>
      <c r="F1693">
        <v>7.0000000000000007E-2</v>
      </c>
      <c r="G1693" s="37" t="str">
        <f t="shared" si="131"/>
        <v>Normal Discount</v>
      </c>
      <c r="H1693" s="37" t="str">
        <f t="shared" si="132"/>
        <v>Low</v>
      </c>
      <c r="I1693">
        <v>8</v>
      </c>
      <c r="J1693" t="str" cm="1">
        <f t="array" ref="J1693">_xlfn.IFS(I1693&lt;=3,"small",I1693&lt;=6,"Medium",I1693&lt;=9,"Large")</f>
        <v>Large</v>
      </c>
      <c r="K1693" s="36">
        <v>45170</v>
      </c>
      <c r="L1693" s="36">
        <v>45176</v>
      </c>
      <c r="M1693" t="s">
        <v>612</v>
      </c>
      <c r="N1693" t="s">
        <v>599</v>
      </c>
      <c r="O1693" s="37" t="str">
        <f t="shared" si="133"/>
        <v>Digital Payment</v>
      </c>
      <c r="P1693">
        <v>936.39</v>
      </c>
      <c r="Q1693" s="37" t="str">
        <f>IF(P1693&gt;500,"High","low")</f>
        <v>High</v>
      </c>
      <c r="R1693" s="37" t="str">
        <f t="shared" si="134"/>
        <v>Good</v>
      </c>
      <c r="S1693" t="s">
        <v>620</v>
      </c>
    </row>
    <row r="1694" spans="1:19" x14ac:dyDescent="0.2">
      <c r="A1694" t="s">
        <v>2305</v>
      </c>
      <c r="B1694" t="s">
        <v>67</v>
      </c>
      <c r="C1694" t="s">
        <v>597</v>
      </c>
      <c r="D1694">
        <v>1515.2</v>
      </c>
      <c r="E1694" s="37" t="str">
        <f t="shared" si="130"/>
        <v xml:space="preserve"> </v>
      </c>
      <c r="F1694">
        <v>0.32</v>
      </c>
      <c r="G1694" s="37" t="str">
        <f t="shared" si="131"/>
        <v>Heavy Discount</v>
      </c>
      <c r="H1694" s="37" t="str">
        <f t="shared" si="132"/>
        <v>Medium</v>
      </c>
      <c r="I1694">
        <v>3</v>
      </c>
      <c r="J1694" t="str" cm="1">
        <f t="array" ref="J1694">_xlfn.IFS(I1694&lt;=3,"small",I1694&lt;=6,"Medium",I1694&lt;=9,"Large")</f>
        <v>small</v>
      </c>
      <c r="K1694" s="36">
        <v>44995</v>
      </c>
      <c r="L1694" s="36">
        <v>44998</v>
      </c>
      <c r="M1694" t="s">
        <v>598</v>
      </c>
      <c r="N1694" t="s">
        <v>599</v>
      </c>
      <c r="O1694" s="37" t="str">
        <f t="shared" si="133"/>
        <v>Digital Payment</v>
      </c>
      <c r="P1694">
        <v>415.87</v>
      </c>
      <c r="Q1694" s="37" t="str">
        <f>IF(P1694&gt;500,"High","low")</f>
        <v>low</v>
      </c>
      <c r="R1694" s="37" t="str">
        <f t="shared" si="134"/>
        <v>AVERAGE</v>
      </c>
      <c r="S1694" t="s">
        <v>628</v>
      </c>
    </row>
    <row r="1695" spans="1:19" x14ac:dyDescent="0.2">
      <c r="A1695" t="s">
        <v>2306</v>
      </c>
      <c r="B1695" t="s">
        <v>90</v>
      </c>
      <c r="C1695" t="s">
        <v>597</v>
      </c>
      <c r="D1695">
        <v>3952.1</v>
      </c>
      <c r="E1695" s="37" t="str">
        <f t="shared" si="130"/>
        <v xml:space="preserve"> </v>
      </c>
      <c r="F1695">
        <v>0.45</v>
      </c>
      <c r="G1695" s="37" t="str">
        <f t="shared" si="131"/>
        <v>Heavy Discount</v>
      </c>
      <c r="H1695" s="37" t="str">
        <f t="shared" si="132"/>
        <v>High</v>
      </c>
      <c r="I1695">
        <v>5</v>
      </c>
      <c r="J1695" t="str" cm="1">
        <f t="array" ref="J1695">_xlfn.IFS(I1695&lt;=3,"small",I1695&lt;=6,"Medium",I1695&lt;=9,"Large")</f>
        <v>Medium</v>
      </c>
      <c r="K1695" s="36">
        <v>45448</v>
      </c>
      <c r="L1695" s="36">
        <v>45449</v>
      </c>
      <c r="M1695" t="s">
        <v>612</v>
      </c>
      <c r="N1695" t="s">
        <v>604</v>
      </c>
      <c r="O1695" s="37" t="str">
        <f t="shared" si="133"/>
        <v>Digital Payment</v>
      </c>
      <c r="P1695">
        <v>217.12</v>
      </c>
      <c r="Q1695" s="37" t="str">
        <f>IF(P1695&gt;500,"High","low")</f>
        <v>low</v>
      </c>
      <c r="R1695" s="37" t="str">
        <f t="shared" si="134"/>
        <v>AVERAGE</v>
      </c>
      <c r="S1695" t="s">
        <v>605</v>
      </c>
    </row>
    <row r="1696" spans="1:19" x14ac:dyDescent="0.2">
      <c r="A1696" t="s">
        <v>2307</v>
      </c>
      <c r="B1696" t="s">
        <v>75</v>
      </c>
      <c r="C1696" t="s">
        <v>597</v>
      </c>
      <c r="D1696">
        <v>1249.74</v>
      </c>
      <c r="E1696" s="37" t="str">
        <f t="shared" si="130"/>
        <v xml:space="preserve"> </v>
      </c>
      <c r="F1696">
        <v>0.06</v>
      </c>
      <c r="G1696" s="37" t="str">
        <f t="shared" si="131"/>
        <v>Normal Discount</v>
      </c>
      <c r="H1696" s="37" t="str">
        <f t="shared" si="132"/>
        <v>Low</v>
      </c>
      <c r="I1696">
        <v>2</v>
      </c>
      <c r="J1696" t="str" cm="1">
        <f t="array" ref="J1696">_xlfn.IFS(I1696&lt;=3,"small",I1696&lt;=6,"Medium",I1696&lt;=9,"Large")</f>
        <v>small</v>
      </c>
      <c r="K1696" s="36">
        <v>45537</v>
      </c>
      <c r="L1696" s="36">
        <v>45543</v>
      </c>
      <c r="M1696" t="s">
        <v>612</v>
      </c>
      <c r="N1696" t="s">
        <v>608</v>
      </c>
      <c r="O1696" s="37" t="str">
        <f t="shared" si="133"/>
        <v>Cash Payment</v>
      </c>
      <c r="P1696">
        <v>134.96</v>
      </c>
      <c r="Q1696" s="37" t="str">
        <f>IF(P1696&gt;500,"High","low")</f>
        <v>low</v>
      </c>
      <c r="R1696" s="37" t="str">
        <f t="shared" si="134"/>
        <v>AVERAGE</v>
      </c>
      <c r="S1696" t="s">
        <v>620</v>
      </c>
    </row>
    <row r="1697" spans="1:19" x14ac:dyDescent="0.2">
      <c r="A1697" t="s">
        <v>2308</v>
      </c>
      <c r="B1697" t="s">
        <v>67</v>
      </c>
      <c r="C1697" t="s">
        <v>607</v>
      </c>
      <c r="D1697">
        <v>2234.48</v>
      </c>
      <c r="E1697" s="37" t="str">
        <f t="shared" si="130"/>
        <v xml:space="preserve"> </v>
      </c>
      <c r="F1697">
        <v>0.28999999999999998</v>
      </c>
      <c r="G1697" s="37" t="str">
        <f t="shared" si="131"/>
        <v>Normal Discount</v>
      </c>
      <c r="H1697" s="37" t="str">
        <f t="shared" si="132"/>
        <v>Medium</v>
      </c>
      <c r="I1697">
        <v>9</v>
      </c>
      <c r="J1697" t="str" cm="1">
        <f t="array" ref="J1697">_xlfn.IFS(I1697&lt;=3,"small",I1697&lt;=6,"Medium",I1697&lt;=9,"Large")</f>
        <v>Large</v>
      </c>
      <c r="K1697" s="36">
        <v>45391</v>
      </c>
      <c r="L1697" s="36">
        <v>45397</v>
      </c>
      <c r="M1697" t="s">
        <v>598</v>
      </c>
      <c r="N1697" t="s">
        <v>604</v>
      </c>
      <c r="O1697" s="37" t="str">
        <f t="shared" si="133"/>
        <v>Digital Payment</v>
      </c>
      <c r="P1697">
        <v>579.62</v>
      </c>
      <c r="Q1697" s="37" t="str">
        <f>IF(P1697&gt;500,"High","low")</f>
        <v>High</v>
      </c>
      <c r="R1697" s="37" t="str">
        <f t="shared" si="134"/>
        <v>Good</v>
      </c>
      <c r="S1697" t="s">
        <v>620</v>
      </c>
    </row>
    <row r="1698" spans="1:19" x14ac:dyDescent="0.2">
      <c r="A1698" t="s">
        <v>2309</v>
      </c>
      <c r="B1698" t="s">
        <v>75</v>
      </c>
      <c r="C1698" t="s">
        <v>607</v>
      </c>
      <c r="D1698">
        <v>4879.37</v>
      </c>
      <c r="E1698" s="37" t="str">
        <f t="shared" si="130"/>
        <v>Excellent Order</v>
      </c>
      <c r="F1698">
        <v>0.04</v>
      </c>
      <c r="G1698" s="37" t="str">
        <f t="shared" si="131"/>
        <v>Normal Discount</v>
      </c>
      <c r="H1698" s="37" t="str">
        <f t="shared" si="132"/>
        <v>Low</v>
      </c>
      <c r="I1698">
        <v>3</v>
      </c>
      <c r="J1698" t="str" cm="1">
        <f t="array" ref="J1698">_xlfn.IFS(I1698&lt;=3,"small",I1698&lt;=6,"Medium",I1698&lt;=9,"Large")</f>
        <v>small</v>
      </c>
      <c r="K1698" s="36">
        <v>44958</v>
      </c>
      <c r="L1698" s="36">
        <v>44960</v>
      </c>
      <c r="M1698" t="s">
        <v>603</v>
      </c>
      <c r="N1698" t="s">
        <v>599</v>
      </c>
      <c r="O1698" s="37" t="str">
        <f t="shared" si="133"/>
        <v>Digital Payment</v>
      </c>
      <c r="P1698">
        <v>880.8</v>
      </c>
      <c r="Q1698" s="37" t="str">
        <f>IF(P1698&gt;500,"High","low")</f>
        <v>High</v>
      </c>
      <c r="R1698" s="37" t="str">
        <f t="shared" si="134"/>
        <v>Good</v>
      </c>
      <c r="S1698" t="s">
        <v>628</v>
      </c>
    </row>
    <row r="1699" spans="1:19" x14ac:dyDescent="0.2">
      <c r="A1699" t="s">
        <v>2310</v>
      </c>
      <c r="B1699" t="s">
        <v>90</v>
      </c>
      <c r="C1699" t="s">
        <v>607</v>
      </c>
      <c r="D1699">
        <v>3854.07</v>
      </c>
      <c r="E1699" s="37" t="str">
        <f t="shared" si="130"/>
        <v xml:space="preserve"> </v>
      </c>
      <c r="F1699">
        <v>0.41</v>
      </c>
      <c r="G1699" s="37" t="str">
        <f t="shared" si="131"/>
        <v>Heavy Discount</v>
      </c>
      <c r="H1699" s="37" t="str">
        <f t="shared" si="132"/>
        <v>High</v>
      </c>
      <c r="I1699">
        <v>1</v>
      </c>
      <c r="J1699" t="str" cm="1">
        <f t="array" ref="J1699">_xlfn.IFS(I1699&lt;=3,"small",I1699&lt;=6,"Medium",I1699&lt;=9,"Large")</f>
        <v>small</v>
      </c>
      <c r="K1699" s="36">
        <v>45511</v>
      </c>
      <c r="L1699" s="36">
        <v>45517</v>
      </c>
      <c r="M1699" t="s">
        <v>598</v>
      </c>
      <c r="N1699" t="s">
        <v>608</v>
      </c>
      <c r="O1699" s="37" t="str">
        <f t="shared" si="133"/>
        <v>Cash Payment</v>
      </c>
      <c r="P1699">
        <v>995.6</v>
      </c>
      <c r="Q1699" s="37" t="str">
        <f>IF(P1699&gt;500,"High","low")</f>
        <v>High</v>
      </c>
      <c r="R1699" s="37" t="str">
        <f t="shared" si="134"/>
        <v>Good</v>
      </c>
      <c r="S1699" t="s">
        <v>620</v>
      </c>
    </row>
    <row r="1700" spans="1:19" x14ac:dyDescent="0.2">
      <c r="A1700" t="s">
        <v>2311</v>
      </c>
      <c r="B1700" t="s">
        <v>75</v>
      </c>
      <c r="C1700" t="s">
        <v>597</v>
      </c>
      <c r="D1700">
        <v>1647.52</v>
      </c>
      <c r="E1700" s="37" t="str">
        <f t="shared" si="130"/>
        <v xml:space="preserve"> </v>
      </c>
      <c r="F1700">
        <v>0.45</v>
      </c>
      <c r="G1700" s="37" t="str">
        <f t="shared" si="131"/>
        <v>Heavy Discount</v>
      </c>
      <c r="H1700" s="37" t="str">
        <f t="shared" si="132"/>
        <v>High</v>
      </c>
      <c r="I1700">
        <v>7</v>
      </c>
      <c r="J1700" t="str" cm="1">
        <f t="array" ref="J1700">_xlfn.IFS(I1700&lt;=3,"small",I1700&lt;=6,"Medium",I1700&lt;=9,"Large")</f>
        <v>Large</v>
      </c>
      <c r="K1700" s="36">
        <v>45341</v>
      </c>
      <c r="L1700" s="36">
        <v>45348</v>
      </c>
      <c r="M1700" t="s">
        <v>603</v>
      </c>
      <c r="N1700" t="s">
        <v>608</v>
      </c>
      <c r="O1700" s="37" t="str">
        <f t="shared" si="133"/>
        <v>Cash Payment</v>
      </c>
      <c r="P1700">
        <v>350.75</v>
      </c>
      <c r="Q1700" s="37" t="str">
        <f>IF(P1700&gt;500,"High","low")</f>
        <v>low</v>
      </c>
      <c r="R1700" s="37" t="str">
        <f t="shared" si="134"/>
        <v>AVERAGE</v>
      </c>
      <c r="S1700" t="s">
        <v>600</v>
      </c>
    </row>
    <row r="1701" spans="1:19" x14ac:dyDescent="0.2">
      <c r="A1701" t="s">
        <v>2312</v>
      </c>
      <c r="B1701" t="s">
        <v>67</v>
      </c>
      <c r="C1701" t="s">
        <v>602</v>
      </c>
      <c r="D1701">
        <v>3134.91</v>
      </c>
      <c r="E1701" s="37" t="str">
        <f t="shared" si="130"/>
        <v xml:space="preserve"> </v>
      </c>
      <c r="F1701">
        <v>0.31</v>
      </c>
      <c r="G1701" s="37" t="str">
        <f t="shared" si="131"/>
        <v>Heavy Discount</v>
      </c>
      <c r="H1701" s="37" t="str">
        <f t="shared" si="132"/>
        <v>Medium</v>
      </c>
      <c r="I1701">
        <v>5</v>
      </c>
      <c r="J1701" t="str" cm="1">
        <f t="array" ref="J1701">_xlfn.IFS(I1701&lt;=3,"small",I1701&lt;=6,"Medium",I1701&lt;=9,"Large")</f>
        <v>Medium</v>
      </c>
      <c r="K1701" s="36">
        <v>45159</v>
      </c>
      <c r="L1701" s="36">
        <v>45160</v>
      </c>
      <c r="M1701" t="s">
        <v>612</v>
      </c>
      <c r="N1701" t="s">
        <v>599</v>
      </c>
      <c r="O1701" s="37" t="str">
        <f t="shared" si="133"/>
        <v>Digital Payment</v>
      </c>
      <c r="P1701">
        <v>793.94</v>
      </c>
      <c r="Q1701" s="37" t="str">
        <f>IF(P1701&gt;500,"High","low")</f>
        <v>High</v>
      </c>
      <c r="R1701" s="37" t="str">
        <f t="shared" si="134"/>
        <v>Good</v>
      </c>
      <c r="S1701" t="s">
        <v>628</v>
      </c>
    </row>
    <row r="1702" spans="1:19" x14ac:dyDescent="0.2">
      <c r="A1702" t="s">
        <v>2313</v>
      </c>
      <c r="B1702" t="s">
        <v>75</v>
      </c>
      <c r="C1702" t="s">
        <v>597</v>
      </c>
      <c r="D1702">
        <v>343.49</v>
      </c>
      <c r="E1702" s="37" t="str">
        <f t="shared" si="130"/>
        <v xml:space="preserve"> </v>
      </c>
      <c r="F1702">
        <v>0.34</v>
      </c>
      <c r="G1702" s="37" t="str">
        <f t="shared" si="131"/>
        <v>Heavy Discount</v>
      </c>
      <c r="H1702" s="37" t="str">
        <f t="shared" si="132"/>
        <v>Medium</v>
      </c>
      <c r="I1702">
        <v>9</v>
      </c>
      <c r="J1702" t="str" cm="1">
        <f t="array" ref="J1702">_xlfn.IFS(I1702&lt;=3,"small",I1702&lt;=6,"Medium",I1702&lt;=9,"Large")</f>
        <v>Large</v>
      </c>
      <c r="K1702" s="36">
        <v>45325</v>
      </c>
      <c r="L1702" s="36">
        <v>45328</v>
      </c>
      <c r="M1702" t="s">
        <v>598</v>
      </c>
      <c r="N1702" t="s">
        <v>599</v>
      </c>
      <c r="O1702" s="37" t="str">
        <f t="shared" si="133"/>
        <v>Digital Payment</v>
      </c>
      <c r="P1702">
        <v>53.1</v>
      </c>
      <c r="Q1702" s="37" t="str">
        <f>IF(P1702&gt;500,"High","low")</f>
        <v>low</v>
      </c>
      <c r="R1702" s="37" t="str">
        <f t="shared" si="134"/>
        <v>AVERAGE</v>
      </c>
      <c r="S1702" t="s">
        <v>628</v>
      </c>
    </row>
    <row r="1703" spans="1:19" x14ac:dyDescent="0.2">
      <c r="A1703" t="s">
        <v>2314</v>
      </c>
      <c r="B1703" t="s">
        <v>83</v>
      </c>
      <c r="C1703" t="s">
        <v>614</v>
      </c>
      <c r="D1703">
        <v>1405.34</v>
      </c>
      <c r="E1703" s="37" t="str">
        <f t="shared" si="130"/>
        <v xml:space="preserve"> </v>
      </c>
      <c r="F1703">
        <v>0.03</v>
      </c>
      <c r="G1703" s="37" t="str">
        <f t="shared" si="131"/>
        <v>Normal Discount</v>
      </c>
      <c r="H1703" s="37" t="str">
        <f t="shared" si="132"/>
        <v>Low</v>
      </c>
      <c r="I1703">
        <v>3</v>
      </c>
      <c r="J1703" t="str" cm="1">
        <f t="array" ref="J1703">_xlfn.IFS(I1703&lt;=3,"small",I1703&lt;=6,"Medium",I1703&lt;=9,"Large")</f>
        <v>small</v>
      </c>
      <c r="K1703" s="36">
        <v>45104</v>
      </c>
      <c r="L1703" s="36">
        <v>45107</v>
      </c>
      <c r="M1703" t="s">
        <v>612</v>
      </c>
      <c r="N1703" t="s">
        <v>608</v>
      </c>
      <c r="O1703" s="37" t="str">
        <f t="shared" si="133"/>
        <v>Cash Payment</v>
      </c>
      <c r="P1703">
        <v>73.77</v>
      </c>
      <c r="Q1703" s="37" t="str">
        <f>IF(P1703&gt;500,"High","low")</f>
        <v>low</v>
      </c>
      <c r="R1703" s="37" t="str">
        <f t="shared" si="134"/>
        <v>AVERAGE</v>
      </c>
      <c r="S1703" t="s">
        <v>615</v>
      </c>
    </row>
    <row r="1704" spans="1:19" x14ac:dyDescent="0.2">
      <c r="A1704" t="s">
        <v>2315</v>
      </c>
      <c r="B1704" t="s">
        <v>90</v>
      </c>
      <c r="C1704" t="s">
        <v>602</v>
      </c>
      <c r="D1704">
        <v>3620.11</v>
      </c>
      <c r="E1704" s="37" t="str">
        <f t="shared" si="130"/>
        <v xml:space="preserve"> </v>
      </c>
      <c r="F1704">
        <v>0.04</v>
      </c>
      <c r="G1704" s="37" t="str">
        <f t="shared" si="131"/>
        <v>Normal Discount</v>
      </c>
      <c r="H1704" s="37" t="str">
        <f t="shared" si="132"/>
        <v>Low</v>
      </c>
      <c r="I1704">
        <v>1</v>
      </c>
      <c r="J1704" t="str" cm="1">
        <f t="array" ref="J1704">_xlfn.IFS(I1704&lt;=3,"small",I1704&lt;=6,"Medium",I1704&lt;=9,"Large")</f>
        <v>small</v>
      </c>
      <c r="K1704" s="36">
        <v>45441</v>
      </c>
      <c r="L1704" s="36">
        <v>45446</v>
      </c>
      <c r="M1704" t="s">
        <v>612</v>
      </c>
      <c r="N1704" t="s">
        <v>608</v>
      </c>
      <c r="O1704" s="37" t="str">
        <f t="shared" si="133"/>
        <v>Cash Payment</v>
      </c>
      <c r="P1704">
        <v>790.99</v>
      </c>
      <c r="Q1704" s="37" t="str">
        <f>IF(P1704&gt;500,"High","low")</f>
        <v>High</v>
      </c>
      <c r="R1704" s="37" t="str">
        <f t="shared" si="134"/>
        <v>Good</v>
      </c>
      <c r="S1704" t="s">
        <v>605</v>
      </c>
    </row>
    <row r="1705" spans="1:19" x14ac:dyDescent="0.2">
      <c r="A1705" t="s">
        <v>2316</v>
      </c>
      <c r="B1705" t="s">
        <v>90</v>
      </c>
      <c r="C1705" t="s">
        <v>607</v>
      </c>
      <c r="D1705">
        <v>2893.46</v>
      </c>
      <c r="E1705" s="37" t="str">
        <f t="shared" si="130"/>
        <v xml:space="preserve"> </v>
      </c>
      <c r="F1705">
        <v>0.09</v>
      </c>
      <c r="G1705" s="37" t="str">
        <f t="shared" si="131"/>
        <v>Normal Discount</v>
      </c>
      <c r="H1705" s="37" t="str">
        <f t="shared" si="132"/>
        <v>Low</v>
      </c>
      <c r="I1705">
        <v>7</v>
      </c>
      <c r="J1705" t="str" cm="1">
        <f t="array" ref="J1705">_xlfn.IFS(I1705&lt;=3,"small",I1705&lt;=6,"Medium",I1705&lt;=9,"Large")</f>
        <v>Large</v>
      </c>
      <c r="K1705" s="36">
        <v>45030</v>
      </c>
      <c r="L1705" s="36">
        <v>45037</v>
      </c>
      <c r="M1705" t="s">
        <v>598</v>
      </c>
      <c r="N1705" t="s">
        <v>608</v>
      </c>
      <c r="O1705" s="37" t="str">
        <f t="shared" si="133"/>
        <v>Cash Payment</v>
      </c>
      <c r="P1705">
        <v>504.21</v>
      </c>
      <c r="Q1705" s="37" t="str">
        <f>IF(P1705&gt;500,"High","low")</f>
        <v>High</v>
      </c>
      <c r="R1705" s="37" t="str">
        <f t="shared" si="134"/>
        <v>Good</v>
      </c>
      <c r="S1705" t="s">
        <v>628</v>
      </c>
    </row>
    <row r="1706" spans="1:19" x14ac:dyDescent="0.2">
      <c r="A1706" t="s">
        <v>2317</v>
      </c>
      <c r="B1706" t="s">
        <v>90</v>
      </c>
      <c r="C1706" t="s">
        <v>617</v>
      </c>
      <c r="D1706">
        <v>2401.4</v>
      </c>
      <c r="E1706" s="37" t="str">
        <f t="shared" si="130"/>
        <v xml:space="preserve"> </v>
      </c>
      <c r="F1706">
        <v>0.14000000000000001</v>
      </c>
      <c r="G1706" s="37" t="str">
        <f t="shared" si="131"/>
        <v>Normal Discount</v>
      </c>
      <c r="H1706" s="37" t="str">
        <f t="shared" si="132"/>
        <v>Low</v>
      </c>
      <c r="I1706">
        <v>8</v>
      </c>
      <c r="J1706" t="str" cm="1">
        <f t="array" ref="J1706">_xlfn.IFS(I1706&lt;=3,"small",I1706&lt;=6,"Medium",I1706&lt;=9,"Large")</f>
        <v>Large</v>
      </c>
      <c r="K1706" s="36">
        <v>44961</v>
      </c>
      <c r="L1706" s="36">
        <v>44962</v>
      </c>
      <c r="M1706" t="s">
        <v>612</v>
      </c>
      <c r="N1706" t="s">
        <v>599</v>
      </c>
      <c r="O1706" s="37" t="str">
        <f t="shared" si="133"/>
        <v>Digital Payment</v>
      </c>
      <c r="P1706">
        <v>710.43</v>
      </c>
      <c r="Q1706" s="37" t="str">
        <f>IF(P1706&gt;500,"High","low")</f>
        <v>High</v>
      </c>
      <c r="R1706" s="37" t="str">
        <f t="shared" si="134"/>
        <v>Good</v>
      </c>
      <c r="S1706" t="s">
        <v>605</v>
      </c>
    </row>
    <row r="1707" spans="1:19" x14ac:dyDescent="0.2">
      <c r="A1707" t="s">
        <v>2318</v>
      </c>
      <c r="B1707" t="s">
        <v>67</v>
      </c>
      <c r="C1707" t="s">
        <v>602</v>
      </c>
      <c r="D1707">
        <v>3485.29</v>
      </c>
      <c r="E1707" s="37" t="str">
        <f t="shared" si="130"/>
        <v xml:space="preserve"> </v>
      </c>
      <c r="F1707">
        <v>0.38</v>
      </c>
      <c r="G1707" s="37" t="str">
        <f t="shared" si="131"/>
        <v>Heavy Discount</v>
      </c>
      <c r="H1707" s="37" t="str">
        <f t="shared" si="132"/>
        <v>Medium</v>
      </c>
      <c r="I1707">
        <v>2</v>
      </c>
      <c r="J1707" t="str" cm="1">
        <f t="array" ref="J1707">_xlfn.IFS(I1707&lt;=3,"small",I1707&lt;=6,"Medium",I1707&lt;=9,"Large")</f>
        <v>small</v>
      </c>
      <c r="K1707" s="36">
        <v>45553</v>
      </c>
      <c r="L1707" s="36">
        <v>45554</v>
      </c>
      <c r="M1707" t="s">
        <v>612</v>
      </c>
      <c r="N1707" t="s">
        <v>599</v>
      </c>
      <c r="O1707" s="37" t="str">
        <f t="shared" si="133"/>
        <v>Digital Payment</v>
      </c>
      <c r="P1707">
        <v>279.02999999999997</v>
      </c>
      <c r="Q1707" s="37" t="str">
        <f>IF(P1707&gt;500,"High","low")</f>
        <v>low</v>
      </c>
      <c r="R1707" s="37" t="str">
        <f t="shared" si="134"/>
        <v>AVERAGE</v>
      </c>
      <c r="S1707" t="s">
        <v>628</v>
      </c>
    </row>
    <row r="1708" spans="1:19" x14ac:dyDescent="0.2">
      <c r="A1708" t="s">
        <v>2319</v>
      </c>
      <c r="B1708" t="s">
        <v>90</v>
      </c>
      <c r="C1708" t="s">
        <v>607</v>
      </c>
      <c r="D1708">
        <v>2052.4499999999998</v>
      </c>
      <c r="E1708" s="37" t="str">
        <f t="shared" si="130"/>
        <v xml:space="preserve"> </v>
      </c>
      <c r="F1708">
        <v>0.22</v>
      </c>
      <c r="G1708" s="37" t="str">
        <f t="shared" si="131"/>
        <v>Normal Discount</v>
      </c>
      <c r="H1708" s="37" t="str">
        <f t="shared" si="132"/>
        <v>Medium</v>
      </c>
      <c r="I1708">
        <v>2</v>
      </c>
      <c r="J1708" t="str" cm="1">
        <f t="array" ref="J1708">_xlfn.IFS(I1708&lt;=3,"small",I1708&lt;=6,"Medium",I1708&lt;=9,"Large")</f>
        <v>small</v>
      </c>
      <c r="K1708" s="36">
        <v>45236</v>
      </c>
      <c r="L1708" s="36">
        <v>45238</v>
      </c>
      <c r="M1708" t="s">
        <v>603</v>
      </c>
      <c r="N1708" t="s">
        <v>608</v>
      </c>
      <c r="O1708" s="37" t="str">
        <f t="shared" si="133"/>
        <v>Cash Payment</v>
      </c>
      <c r="P1708">
        <v>420.51</v>
      </c>
      <c r="Q1708" s="37" t="str">
        <f>IF(P1708&gt;500,"High","low")</f>
        <v>low</v>
      </c>
      <c r="R1708" s="37" t="str">
        <f t="shared" si="134"/>
        <v>AVERAGE</v>
      </c>
      <c r="S1708" t="s">
        <v>609</v>
      </c>
    </row>
    <row r="1709" spans="1:19" x14ac:dyDescent="0.2">
      <c r="A1709" t="s">
        <v>2320</v>
      </c>
      <c r="B1709" t="s">
        <v>83</v>
      </c>
      <c r="C1709" t="s">
        <v>602</v>
      </c>
      <c r="D1709">
        <v>228.17</v>
      </c>
      <c r="E1709" s="37" t="str">
        <f t="shared" si="130"/>
        <v xml:space="preserve"> </v>
      </c>
      <c r="F1709">
        <v>0.04</v>
      </c>
      <c r="G1709" s="37" t="str">
        <f t="shared" si="131"/>
        <v>Normal Discount</v>
      </c>
      <c r="H1709" s="37" t="str">
        <f t="shared" si="132"/>
        <v>Low</v>
      </c>
      <c r="I1709">
        <v>9</v>
      </c>
      <c r="J1709" t="str" cm="1">
        <f t="array" ref="J1709">_xlfn.IFS(I1709&lt;=3,"small",I1709&lt;=6,"Medium",I1709&lt;=9,"Large")</f>
        <v>Large</v>
      </c>
      <c r="K1709" s="36">
        <v>45643</v>
      </c>
      <c r="L1709" s="36">
        <v>45647</v>
      </c>
      <c r="M1709" t="s">
        <v>603</v>
      </c>
      <c r="N1709" t="s">
        <v>604</v>
      </c>
      <c r="O1709" s="37" t="str">
        <f t="shared" si="133"/>
        <v>Digital Payment</v>
      </c>
      <c r="P1709">
        <v>28.59</v>
      </c>
      <c r="Q1709" s="37" t="str">
        <f>IF(P1709&gt;500,"High","low")</f>
        <v>low</v>
      </c>
      <c r="R1709" s="37" t="str">
        <f t="shared" si="134"/>
        <v>AVERAGE</v>
      </c>
      <c r="S1709" t="s">
        <v>615</v>
      </c>
    </row>
    <row r="1710" spans="1:19" x14ac:dyDescent="0.2">
      <c r="A1710" t="s">
        <v>2321</v>
      </c>
      <c r="B1710" t="s">
        <v>67</v>
      </c>
      <c r="C1710" t="s">
        <v>602</v>
      </c>
      <c r="D1710">
        <v>2261.0300000000002</v>
      </c>
      <c r="E1710" s="37" t="str">
        <f t="shared" si="130"/>
        <v xml:space="preserve"> </v>
      </c>
      <c r="F1710">
        <v>0.43</v>
      </c>
      <c r="G1710" s="37" t="str">
        <f t="shared" si="131"/>
        <v>Heavy Discount</v>
      </c>
      <c r="H1710" s="37" t="str">
        <f t="shared" si="132"/>
        <v>High</v>
      </c>
      <c r="I1710">
        <v>4</v>
      </c>
      <c r="J1710" t="str" cm="1">
        <f t="array" ref="J1710">_xlfn.IFS(I1710&lt;=3,"small",I1710&lt;=6,"Medium",I1710&lt;=9,"Large")</f>
        <v>Medium</v>
      </c>
      <c r="K1710" s="36">
        <v>45038</v>
      </c>
      <c r="L1710" s="36">
        <v>45045</v>
      </c>
      <c r="M1710" t="s">
        <v>612</v>
      </c>
      <c r="N1710" t="s">
        <v>608</v>
      </c>
      <c r="O1710" s="37" t="str">
        <f t="shared" si="133"/>
        <v>Cash Payment</v>
      </c>
      <c r="P1710">
        <v>397.01</v>
      </c>
      <c r="Q1710" s="37" t="str">
        <f>IF(P1710&gt;500,"High","low")</f>
        <v>low</v>
      </c>
      <c r="R1710" s="37" t="str">
        <f t="shared" si="134"/>
        <v>AVERAGE</v>
      </c>
      <c r="S1710" t="s">
        <v>600</v>
      </c>
    </row>
    <row r="1711" spans="1:19" x14ac:dyDescent="0.2">
      <c r="A1711" t="s">
        <v>2322</v>
      </c>
      <c r="B1711" t="s">
        <v>83</v>
      </c>
      <c r="C1711" t="s">
        <v>597</v>
      </c>
      <c r="D1711">
        <v>4520.43</v>
      </c>
      <c r="E1711" s="37" t="str">
        <f t="shared" si="130"/>
        <v xml:space="preserve"> </v>
      </c>
      <c r="F1711">
        <v>0.5</v>
      </c>
      <c r="G1711" s="37" t="str">
        <f t="shared" si="131"/>
        <v>Heavy Discount</v>
      </c>
      <c r="H1711" s="37" t="str">
        <f t="shared" si="132"/>
        <v>High</v>
      </c>
      <c r="I1711">
        <v>1</v>
      </c>
      <c r="J1711" t="str" cm="1">
        <f t="array" ref="J1711">_xlfn.IFS(I1711&lt;=3,"small",I1711&lt;=6,"Medium",I1711&lt;=9,"Large")</f>
        <v>small</v>
      </c>
      <c r="K1711" s="36">
        <v>45637</v>
      </c>
      <c r="L1711" s="36">
        <v>45640</v>
      </c>
      <c r="M1711" t="s">
        <v>603</v>
      </c>
      <c r="N1711" t="s">
        <v>608</v>
      </c>
      <c r="O1711" s="37" t="str">
        <f t="shared" si="133"/>
        <v>Cash Payment</v>
      </c>
      <c r="P1711">
        <v>308.89999999999998</v>
      </c>
      <c r="Q1711" s="37" t="str">
        <f>IF(P1711&gt;500,"High","low")</f>
        <v>low</v>
      </c>
      <c r="R1711" s="37" t="str">
        <f t="shared" si="134"/>
        <v>AVERAGE</v>
      </c>
      <c r="S1711" t="s">
        <v>620</v>
      </c>
    </row>
    <row r="1712" spans="1:19" x14ac:dyDescent="0.2">
      <c r="A1712" t="s">
        <v>2323</v>
      </c>
      <c r="B1712" t="s">
        <v>75</v>
      </c>
      <c r="C1712" t="s">
        <v>614</v>
      </c>
      <c r="D1712">
        <v>4297.41</v>
      </c>
      <c r="E1712" s="37" t="str">
        <f t="shared" si="130"/>
        <v>Excellent Order</v>
      </c>
      <c r="F1712">
        <v>0.23</v>
      </c>
      <c r="G1712" s="37" t="str">
        <f t="shared" si="131"/>
        <v>Normal Discount</v>
      </c>
      <c r="H1712" s="37" t="str">
        <f t="shared" si="132"/>
        <v>Medium</v>
      </c>
      <c r="I1712">
        <v>9</v>
      </c>
      <c r="J1712" t="str" cm="1">
        <f t="array" ref="J1712">_xlfn.IFS(I1712&lt;=3,"small",I1712&lt;=6,"Medium",I1712&lt;=9,"Large")</f>
        <v>Large</v>
      </c>
      <c r="K1712" s="36">
        <v>45027</v>
      </c>
      <c r="L1712" s="36">
        <v>45032</v>
      </c>
      <c r="M1712" t="s">
        <v>603</v>
      </c>
      <c r="N1712" t="s">
        <v>608</v>
      </c>
      <c r="O1712" s="37" t="str">
        <f t="shared" si="133"/>
        <v>Cash Payment</v>
      </c>
      <c r="P1712">
        <v>1139.8900000000001</v>
      </c>
      <c r="Q1712" s="37" t="str">
        <f>IF(P1712&gt;500,"High","low")</f>
        <v>High</v>
      </c>
      <c r="R1712" s="37" t="str">
        <f t="shared" si="134"/>
        <v>Excellent</v>
      </c>
      <c r="S1712" t="s">
        <v>609</v>
      </c>
    </row>
    <row r="1713" spans="1:19" x14ac:dyDescent="0.2">
      <c r="A1713" t="s">
        <v>2324</v>
      </c>
      <c r="B1713" t="s">
        <v>75</v>
      </c>
      <c r="C1713" t="s">
        <v>617</v>
      </c>
      <c r="D1713">
        <v>2104.09</v>
      </c>
      <c r="E1713" s="37" t="str">
        <f t="shared" si="130"/>
        <v xml:space="preserve"> </v>
      </c>
      <c r="F1713">
        <v>0.26</v>
      </c>
      <c r="G1713" s="37" t="str">
        <f t="shared" si="131"/>
        <v>Normal Discount</v>
      </c>
      <c r="H1713" s="37" t="str">
        <f t="shared" si="132"/>
        <v>Medium</v>
      </c>
      <c r="I1713">
        <v>9</v>
      </c>
      <c r="J1713" t="str" cm="1">
        <f t="array" ref="J1713">_xlfn.IFS(I1713&lt;=3,"small",I1713&lt;=6,"Medium",I1713&lt;=9,"Large")</f>
        <v>Large</v>
      </c>
      <c r="K1713" s="36">
        <v>45336</v>
      </c>
      <c r="L1713" s="36">
        <v>45342</v>
      </c>
      <c r="M1713" t="s">
        <v>612</v>
      </c>
      <c r="N1713" t="s">
        <v>599</v>
      </c>
      <c r="O1713" s="37" t="str">
        <f t="shared" si="133"/>
        <v>Digital Payment</v>
      </c>
      <c r="P1713">
        <v>574.14</v>
      </c>
      <c r="Q1713" s="37" t="str">
        <f>IF(P1713&gt;500,"High","low")</f>
        <v>High</v>
      </c>
      <c r="R1713" s="37" t="str">
        <f t="shared" si="134"/>
        <v>Good</v>
      </c>
      <c r="S1713" t="s">
        <v>605</v>
      </c>
    </row>
    <row r="1714" spans="1:19" x14ac:dyDescent="0.2">
      <c r="A1714" t="s">
        <v>2325</v>
      </c>
      <c r="B1714" t="s">
        <v>75</v>
      </c>
      <c r="C1714" t="s">
        <v>607</v>
      </c>
      <c r="D1714">
        <v>208.89</v>
      </c>
      <c r="E1714" s="37" t="str">
        <f t="shared" si="130"/>
        <v xml:space="preserve"> </v>
      </c>
      <c r="F1714">
        <v>0.04</v>
      </c>
      <c r="G1714" s="37" t="str">
        <f t="shared" si="131"/>
        <v>Normal Discount</v>
      </c>
      <c r="H1714" s="37" t="str">
        <f t="shared" si="132"/>
        <v>Low</v>
      </c>
      <c r="I1714">
        <v>6</v>
      </c>
      <c r="J1714" t="str" cm="1">
        <f t="array" ref="J1714">_xlfn.IFS(I1714&lt;=3,"small",I1714&lt;=6,"Medium",I1714&lt;=9,"Large")</f>
        <v>Medium</v>
      </c>
      <c r="K1714" s="36">
        <v>45521</v>
      </c>
      <c r="L1714" s="36">
        <v>45523</v>
      </c>
      <c r="M1714" t="s">
        <v>598</v>
      </c>
      <c r="N1714" t="s">
        <v>608</v>
      </c>
      <c r="O1714" s="37" t="str">
        <f t="shared" si="133"/>
        <v>Cash Payment</v>
      </c>
      <c r="P1714">
        <v>36.119999999999997</v>
      </c>
      <c r="Q1714" s="37" t="str">
        <f>IF(P1714&gt;500,"High","low")</f>
        <v>low</v>
      </c>
      <c r="R1714" s="37" t="str">
        <f t="shared" si="134"/>
        <v>AVERAGE</v>
      </c>
      <c r="S1714" t="s">
        <v>615</v>
      </c>
    </row>
    <row r="1715" spans="1:19" x14ac:dyDescent="0.2">
      <c r="A1715" t="s">
        <v>2326</v>
      </c>
      <c r="B1715" t="s">
        <v>75</v>
      </c>
      <c r="C1715" t="s">
        <v>602</v>
      </c>
      <c r="D1715">
        <v>3217.91</v>
      </c>
      <c r="E1715" s="37" t="str">
        <f t="shared" si="130"/>
        <v xml:space="preserve"> </v>
      </c>
      <c r="F1715">
        <v>0.19</v>
      </c>
      <c r="G1715" s="37" t="str">
        <f t="shared" si="131"/>
        <v>Normal Discount</v>
      </c>
      <c r="H1715" s="37" t="str">
        <f t="shared" si="132"/>
        <v>Low</v>
      </c>
      <c r="I1715">
        <v>6</v>
      </c>
      <c r="J1715" t="str" cm="1">
        <f t="array" ref="J1715">_xlfn.IFS(I1715&lt;=3,"small",I1715&lt;=6,"Medium",I1715&lt;=9,"Large")</f>
        <v>Medium</v>
      </c>
      <c r="K1715" s="36">
        <v>45148</v>
      </c>
      <c r="L1715" s="36">
        <v>45154</v>
      </c>
      <c r="M1715" t="s">
        <v>598</v>
      </c>
      <c r="N1715" t="s">
        <v>608</v>
      </c>
      <c r="O1715" s="37" t="str">
        <f t="shared" si="133"/>
        <v>Cash Payment</v>
      </c>
      <c r="P1715">
        <v>228.09</v>
      </c>
      <c r="Q1715" s="37" t="str">
        <f>IF(P1715&gt;500,"High","low")</f>
        <v>low</v>
      </c>
      <c r="R1715" s="37" t="str">
        <f t="shared" si="134"/>
        <v>AVERAGE</v>
      </c>
      <c r="S1715" t="s">
        <v>628</v>
      </c>
    </row>
    <row r="1716" spans="1:19" x14ac:dyDescent="0.2">
      <c r="A1716" t="s">
        <v>2327</v>
      </c>
      <c r="B1716" t="s">
        <v>83</v>
      </c>
      <c r="C1716" t="s">
        <v>617</v>
      </c>
      <c r="D1716">
        <v>3731.85</v>
      </c>
      <c r="E1716" s="37" t="str">
        <f t="shared" si="130"/>
        <v xml:space="preserve"> </v>
      </c>
      <c r="F1716">
        <v>0.19</v>
      </c>
      <c r="G1716" s="37" t="str">
        <f t="shared" si="131"/>
        <v>Normal Discount</v>
      </c>
      <c r="H1716" s="37" t="str">
        <f t="shared" si="132"/>
        <v>Low</v>
      </c>
      <c r="I1716">
        <v>9</v>
      </c>
      <c r="J1716" t="str" cm="1">
        <f t="array" ref="J1716">_xlfn.IFS(I1716&lt;=3,"small",I1716&lt;=6,"Medium",I1716&lt;=9,"Large")</f>
        <v>Large</v>
      </c>
      <c r="K1716" s="36">
        <v>45280</v>
      </c>
      <c r="L1716" s="36">
        <v>45281</v>
      </c>
      <c r="M1716" t="s">
        <v>612</v>
      </c>
      <c r="N1716" t="s">
        <v>608</v>
      </c>
      <c r="O1716" s="37" t="str">
        <f t="shared" si="133"/>
        <v>Cash Payment</v>
      </c>
      <c r="P1716">
        <v>728.78</v>
      </c>
      <c r="Q1716" s="37" t="str">
        <f>IF(P1716&gt;500,"High","low")</f>
        <v>High</v>
      </c>
      <c r="R1716" s="37" t="str">
        <f t="shared" si="134"/>
        <v>Good</v>
      </c>
      <c r="S1716" t="s">
        <v>628</v>
      </c>
    </row>
    <row r="1717" spans="1:19" x14ac:dyDescent="0.2">
      <c r="A1717" t="s">
        <v>2328</v>
      </c>
      <c r="B1717" t="s">
        <v>67</v>
      </c>
      <c r="C1717" t="s">
        <v>602</v>
      </c>
      <c r="D1717">
        <v>1541.79</v>
      </c>
      <c r="E1717" s="37" t="str">
        <f t="shared" si="130"/>
        <v xml:space="preserve"> </v>
      </c>
      <c r="F1717">
        <v>0.48</v>
      </c>
      <c r="G1717" s="37" t="str">
        <f t="shared" si="131"/>
        <v>Heavy Discount</v>
      </c>
      <c r="H1717" s="37" t="str">
        <f t="shared" si="132"/>
        <v>High</v>
      </c>
      <c r="I1717">
        <v>2</v>
      </c>
      <c r="J1717" t="str" cm="1">
        <f t="array" ref="J1717">_xlfn.IFS(I1717&lt;=3,"small",I1717&lt;=6,"Medium",I1717&lt;=9,"Large")</f>
        <v>small</v>
      </c>
      <c r="K1717" s="36">
        <v>45594</v>
      </c>
      <c r="L1717" s="36">
        <v>45599</v>
      </c>
      <c r="M1717" t="s">
        <v>598</v>
      </c>
      <c r="N1717" t="s">
        <v>599</v>
      </c>
      <c r="O1717" s="37" t="str">
        <f t="shared" si="133"/>
        <v>Digital Payment</v>
      </c>
      <c r="P1717">
        <v>187.59</v>
      </c>
      <c r="Q1717" s="37" t="str">
        <f>IF(P1717&gt;500,"High","low")</f>
        <v>low</v>
      </c>
      <c r="R1717" s="37" t="str">
        <f t="shared" si="134"/>
        <v>AVERAGE</v>
      </c>
      <c r="S1717" t="s">
        <v>615</v>
      </c>
    </row>
    <row r="1718" spans="1:19" x14ac:dyDescent="0.2">
      <c r="A1718" t="s">
        <v>2329</v>
      </c>
      <c r="B1718" t="s">
        <v>67</v>
      </c>
      <c r="C1718" t="s">
        <v>614</v>
      </c>
      <c r="D1718">
        <v>2435.65</v>
      </c>
      <c r="E1718" s="37" t="str">
        <f t="shared" si="130"/>
        <v xml:space="preserve"> </v>
      </c>
      <c r="F1718">
        <v>0.33</v>
      </c>
      <c r="G1718" s="37" t="str">
        <f t="shared" si="131"/>
        <v>Heavy Discount</v>
      </c>
      <c r="H1718" s="37" t="str">
        <f t="shared" si="132"/>
        <v>Medium</v>
      </c>
      <c r="I1718">
        <v>9</v>
      </c>
      <c r="J1718" t="str" cm="1">
        <f t="array" ref="J1718">_xlfn.IFS(I1718&lt;=3,"small",I1718&lt;=6,"Medium",I1718&lt;=9,"Large")</f>
        <v>Large</v>
      </c>
      <c r="K1718" s="36">
        <v>45537</v>
      </c>
      <c r="L1718" s="36">
        <v>45540</v>
      </c>
      <c r="M1718" t="s">
        <v>612</v>
      </c>
      <c r="N1718" t="s">
        <v>604</v>
      </c>
      <c r="O1718" s="37" t="str">
        <f t="shared" si="133"/>
        <v>Digital Payment</v>
      </c>
      <c r="P1718">
        <v>136.99</v>
      </c>
      <c r="Q1718" s="37" t="str">
        <f>IF(P1718&gt;500,"High","low")</f>
        <v>low</v>
      </c>
      <c r="R1718" s="37" t="str">
        <f t="shared" si="134"/>
        <v>AVERAGE</v>
      </c>
      <c r="S1718" t="s">
        <v>615</v>
      </c>
    </row>
    <row r="1719" spans="1:19" x14ac:dyDescent="0.2">
      <c r="A1719" t="s">
        <v>2330</v>
      </c>
      <c r="B1719" t="s">
        <v>90</v>
      </c>
      <c r="C1719" t="s">
        <v>617</v>
      </c>
      <c r="D1719">
        <v>4960.1000000000004</v>
      </c>
      <c r="E1719" s="37" t="str">
        <f t="shared" si="130"/>
        <v>Excellent Order</v>
      </c>
      <c r="F1719">
        <v>0.39</v>
      </c>
      <c r="G1719" s="37" t="str">
        <f t="shared" si="131"/>
        <v>Heavy Discount</v>
      </c>
      <c r="H1719" s="37" t="str">
        <f t="shared" si="132"/>
        <v>Medium</v>
      </c>
      <c r="I1719">
        <v>4</v>
      </c>
      <c r="J1719" t="str" cm="1">
        <f t="array" ref="J1719">_xlfn.IFS(I1719&lt;=3,"small",I1719&lt;=6,"Medium",I1719&lt;=9,"Large")</f>
        <v>Medium</v>
      </c>
      <c r="K1719" s="36">
        <v>45166</v>
      </c>
      <c r="L1719" s="36">
        <v>45169</v>
      </c>
      <c r="M1719" t="s">
        <v>603</v>
      </c>
      <c r="N1719" t="s">
        <v>604</v>
      </c>
      <c r="O1719" s="37" t="str">
        <f t="shared" si="133"/>
        <v>Digital Payment</v>
      </c>
      <c r="P1719">
        <v>1276.8599999999999</v>
      </c>
      <c r="Q1719" s="37" t="str">
        <f>IF(P1719&gt;500,"High","low")</f>
        <v>High</v>
      </c>
      <c r="R1719" s="37" t="str">
        <f t="shared" si="134"/>
        <v>Excellent</v>
      </c>
      <c r="S1719" t="s">
        <v>609</v>
      </c>
    </row>
    <row r="1720" spans="1:19" x14ac:dyDescent="0.2">
      <c r="A1720" t="s">
        <v>2331</v>
      </c>
      <c r="B1720" t="s">
        <v>83</v>
      </c>
      <c r="C1720" t="s">
        <v>607</v>
      </c>
      <c r="D1720">
        <v>2924.08</v>
      </c>
      <c r="E1720" s="37" t="str">
        <f t="shared" si="130"/>
        <v xml:space="preserve"> </v>
      </c>
      <c r="F1720">
        <v>0.06</v>
      </c>
      <c r="G1720" s="37" t="str">
        <f t="shared" si="131"/>
        <v>Normal Discount</v>
      </c>
      <c r="H1720" s="37" t="str">
        <f t="shared" si="132"/>
        <v>Low</v>
      </c>
      <c r="I1720">
        <v>4</v>
      </c>
      <c r="J1720" t="str" cm="1">
        <f t="array" ref="J1720">_xlfn.IFS(I1720&lt;=3,"small",I1720&lt;=6,"Medium",I1720&lt;=9,"Large")</f>
        <v>Medium</v>
      </c>
      <c r="K1720" s="36">
        <v>45551</v>
      </c>
      <c r="L1720" s="36">
        <v>45555</v>
      </c>
      <c r="M1720" t="s">
        <v>598</v>
      </c>
      <c r="N1720" t="s">
        <v>599</v>
      </c>
      <c r="O1720" s="37" t="str">
        <f t="shared" si="133"/>
        <v>Digital Payment</v>
      </c>
      <c r="P1720">
        <v>240.54</v>
      </c>
      <c r="Q1720" s="37" t="str">
        <f>IF(P1720&gt;500,"High","low")</f>
        <v>low</v>
      </c>
      <c r="R1720" s="37" t="str">
        <f t="shared" si="134"/>
        <v>AVERAGE</v>
      </c>
      <c r="S1720" t="s">
        <v>609</v>
      </c>
    </row>
    <row r="1721" spans="1:19" x14ac:dyDescent="0.2">
      <c r="A1721" t="s">
        <v>2332</v>
      </c>
      <c r="B1721" t="s">
        <v>75</v>
      </c>
      <c r="C1721" t="s">
        <v>602</v>
      </c>
      <c r="D1721">
        <v>1820.27</v>
      </c>
      <c r="E1721" s="37" t="str">
        <f t="shared" si="130"/>
        <v xml:space="preserve"> </v>
      </c>
      <c r="F1721">
        <v>0.21</v>
      </c>
      <c r="G1721" s="37" t="str">
        <f t="shared" si="131"/>
        <v>Normal Discount</v>
      </c>
      <c r="H1721" s="37" t="str">
        <f t="shared" si="132"/>
        <v>Medium</v>
      </c>
      <c r="I1721">
        <v>9</v>
      </c>
      <c r="J1721" t="str" cm="1">
        <f t="array" ref="J1721">_xlfn.IFS(I1721&lt;=3,"small",I1721&lt;=6,"Medium",I1721&lt;=9,"Large")</f>
        <v>Large</v>
      </c>
      <c r="K1721" s="36">
        <v>45305</v>
      </c>
      <c r="L1721" s="36">
        <v>45306</v>
      </c>
      <c r="M1721" t="s">
        <v>603</v>
      </c>
      <c r="N1721" t="s">
        <v>599</v>
      </c>
      <c r="O1721" s="37" t="str">
        <f t="shared" si="133"/>
        <v>Digital Payment</v>
      </c>
      <c r="P1721">
        <v>512.01</v>
      </c>
      <c r="Q1721" s="37" t="str">
        <f>IF(P1721&gt;500,"High","low")</f>
        <v>High</v>
      </c>
      <c r="R1721" s="37" t="str">
        <f t="shared" si="134"/>
        <v>Good</v>
      </c>
      <c r="S1721" t="s">
        <v>609</v>
      </c>
    </row>
    <row r="1722" spans="1:19" x14ac:dyDescent="0.2">
      <c r="A1722" t="s">
        <v>2333</v>
      </c>
      <c r="B1722" t="s">
        <v>83</v>
      </c>
      <c r="C1722" t="s">
        <v>614</v>
      </c>
      <c r="D1722">
        <v>3174.7</v>
      </c>
      <c r="E1722" s="37" t="str">
        <f t="shared" si="130"/>
        <v xml:space="preserve"> </v>
      </c>
      <c r="F1722">
        <v>0.1</v>
      </c>
      <c r="G1722" s="37" t="str">
        <f t="shared" si="131"/>
        <v>Normal Discount</v>
      </c>
      <c r="H1722" s="37" t="str">
        <f t="shared" si="132"/>
        <v>Low</v>
      </c>
      <c r="I1722">
        <v>7</v>
      </c>
      <c r="J1722" t="str" cm="1">
        <f t="array" ref="J1722">_xlfn.IFS(I1722&lt;=3,"small",I1722&lt;=6,"Medium",I1722&lt;=9,"Large")</f>
        <v>Large</v>
      </c>
      <c r="K1722" s="36">
        <v>45070</v>
      </c>
      <c r="L1722" s="36">
        <v>45077</v>
      </c>
      <c r="M1722" t="s">
        <v>603</v>
      </c>
      <c r="N1722" t="s">
        <v>608</v>
      </c>
      <c r="O1722" s="37" t="str">
        <f t="shared" si="133"/>
        <v>Cash Payment</v>
      </c>
      <c r="P1722">
        <v>685.02</v>
      </c>
      <c r="Q1722" s="37" t="str">
        <f>IF(P1722&gt;500,"High","low")</f>
        <v>High</v>
      </c>
      <c r="R1722" s="37" t="str">
        <f t="shared" si="134"/>
        <v>Good</v>
      </c>
      <c r="S1722" t="s">
        <v>615</v>
      </c>
    </row>
    <row r="1723" spans="1:19" x14ac:dyDescent="0.2">
      <c r="A1723" t="s">
        <v>2334</v>
      </c>
      <c r="B1723" t="s">
        <v>90</v>
      </c>
      <c r="C1723" t="s">
        <v>617</v>
      </c>
      <c r="D1723">
        <v>982.11</v>
      </c>
      <c r="E1723" s="37" t="str">
        <f t="shared" si="130"/>
        <v xml:space="preserve"> </v>
      </c>
      <c r="F1723">
        <v>0.43</v>
      </c>
      <c r="G1723" s="37" t="str">
        <f t="shared" si="131"/>
        <v>Heavy Discount</v>
      </c>
      <c r="H1723" s="37" t="str">
        <f t="shared" si="132"/>
        <v>High</v>
      </c>
      <c r="I1723">
        <v>5</v>
      </c>
      <c r="J1723" t="str" cm="1">
        <f t="array" ref="J1723">_xlfn.IFS(I1723&lt;=3,"small",I1723&lt;=6,"Medium",I1723&lt;=9,"Large")</f>
        <v>Medium</v>
      </c>
      <c r="K1723" s="36">
        <v>45169</v>
      </c>
      <c r="L1723" s="36">
        <v>45176</v>
      </c>
      <c r="M1723" t="s">
        <v>612</v>
      </c>
      <c r="N1723" t="s">
        <v>608</v>
      </c>
      <c r="O1723" s="37" t="str">
        <f t="shared" si="133"/>
        <v>Cash Payment</v>
      </c>
      <c r="P1723">
        <v>84.23</v>
      </c>
      <c r="Q1723" s="37" t="str">
        <f>IF(P1723&gt;500,"High","low")</f>
        <v>low</v>
      </c>
      <c r="R1723" s="37" t="str">
        <f t="shared" si="134"/>
        <v>AVERAGE</v>
      </c>
      <c r="S1723" t="s">
        <v>615</v>
      </c>
    </row>
    <row r="1724" spans="1:19" x14ac:dyDescent="0.2">
      <c r="A1724" t="s">
        <v>2335</v>
      </c>
      <c r="B1724" t="s">
        <v>90</v>
      </c>
      <c r="C1724" t="s">
        <v>602</v>
      </c>
      <c r="D1724">
        <v>1076.3399999999999</v>
      </c>
      <c r="E1724" s="37" t="str">
        <f t="shared" si="130"/>
        <v xml:space="preserve"> </v>
      </c>
      <c r="F1724">
        <v>0.08</v>
      </c>
      <c r="G1724" s="37" t="str">
        <f t="shared" si="131"/>
        <v>Normal Discount</v>
      </c>
      <c r="H1724" s="37" t="str">
        <f t="shared" si="132"/>
        <v>Low</v>
      </c>
      <c r="I1724">
        <v>8</v>
      </c>
      <c r="J1724" t="str" cm="1">
        <f t="array" ref="J1724">_xlfn.IFS(I1724&lt;=3,"small",I1724&lt;=6,"Medium",I1724&lt;=9,"Large")</f>
        <v>Large</v>
      </c>
      <c r="K1724" s="36">
        <v>45406</v>
      </c>
      <c r="L1724" s="36">
        <v>45409</v>
      </c>
      <c r="M1724" t="s">
        <v>598</v>
      </c>
      <c r="N1724" t="s">
        <v>604</v>
      </c>
      <c r="O1724" s="37" t="str">
        <f t="shared" si="133"/>
        <v>Digital Payment</v>
      </c>
      <c r="P1724">
        <v>125.46</v>
      </c>
      <c r="Q1724" s="37" t="str">
        <f>IF(P1724&gt;500,"High","low")</f>
        <v>low</v>
      </c>
      <c r="R1724" s="37" t="str">
        <f t="shared" si="134"/>
        <v>AVERAGE</v>
      </c>
      <c r="S1724" t="s">
        <v>609</v>
      </c>
    </row>
    <row r="1725" spans="1:19" x14ac:dyDescent="0.2">
      <c r="A1725" t="s">
        <v>2336</v>
      </c>
      <c r="B1725" t="s">
        <v>83</v>
      </c>
      <c r="C1725" t="s">
        <v>602</v>
      </c>
      <c r="D1725">
        <v>4632.13</v>
      </c>
      <c r="E1725" s="37" t="str">
        <f t="shared" si="130"/>
        <v>Excellent Order</v>
      </c>
      <c r="F1725">
        <v>0.22</v>
      </c>
      <c r="G1725" s="37" t="str">
        <f t="shared" si="131"/>
        <v>Normal Discount</v>
      </c>
      <c r="H1725" s="37" t="str">
        <f t="shared" si="132"/>
        <v>Medium</v>
      </c>
      <c r="I1725">
        <v>1</v>
      </c>
      <c r="J1725" t="str" cm="1">
        <f t="array" ref="J1725">_xlfn.IFS(I1725&lt;=3,"small",I1725&lt;=6,"Medium",I1725&lt;=9,"Large")</f>
        <v>small</v>
      </c>
      <c r="K1725" s="36">
        <v>45270</v>
      </c>
      <c r="L1725" s="36">
        <v>45275</v>
      </c>
      <c r="M1725" t="s">
        <v>612</v>
      </c>
      <c r="N1725" t="s">
        <v>604</v>
      </c>
      <c r="O1725" s="37" t="str">
        <f t="shared" si="133"/>
        <v>Digital Payment</v>
      </c>
      <c r="P1725">
        <v>1362.56</v>
      </c>
      <c r="Q1725" s="37" t="str">
        <f>IF(P1725&gt;500,"High","low")</f>
        <v>High</v>
      </c>
      <c r="R1725" s="37" t="str">
        <f t="shared" si="134"/>
        <v>Excellent</v>
      </c>
      <c r="S1725" t="s">
        <v>609</v>
      </c>
    </row>
    <row r="1726" spans="1:19" x14ac:dyDescent="0.2">
      <c r="A1726" t="s">
        <v>2337</v>
      </c>
      <c r="B1726" t="s">
        <v>83</v>
      </c>
      <c r="C1726" t="s">
        <v>607</v>
      </c>
      <c r="D1726">
        <v>1272.08</v>
      </c>
      <c r="E1726" s="37" t="str">
        <f t="shared" si="130"/>
        <v xml:space="preserve"> </v>
      </c>
      <c r="F1726">
        <v>0.03</v>
      </c>
      <c r="G1726" s="37" t="str">
        <f t="shared" si="131"/>
        <v>Normal Discount</v>
      </c>
      <c r="H1726" s="37" t="str">
        <f t="shared" si="132"/>
        <v>Low</v>
      </c>
      <c r="I1726">
        <v>7</v>
      </c>
      <c r="J1726" t="str" cm="1">
        <f t="array" ref="J1726">_xlfn.IFS(I1726&lt;=3,"small",I1726&lt;=6,"Medium",I1726&lt;=9,"Large")</f>
        <v>Large</v>
      </c>
      <c r="K1726" s="36">
        <v>44995</v>
      </c>
      <c r="L1726" s="36">
        <v>45000</v>
      </c>
      <c r="M1726" t="s">
        <v>612</v>
      </c>
      <c r="N1726" t="s">
        <v>608</v>
      </c>
      <c r="O1726" s="37" t="str">
        <f t="shared" si="133"/>
        <v>Cash Payment</v>
      </c>
      <c r="P1726">
        <v>269.86</v>
      </c>
      <c r="Q1726" s="37" t="str">
        <f>IF(P1726&gt;500,"High","low")</f>
        <v>low</v>
      </c>
      <c r="R1726" s="37" t="str">
        <f t="shared" si="134"/>
        <v>AVERAGE</v>
      </c>
      <c r="S1726" t="s">
        <v>615</v>
      </c>
    </row>
    <row r="1727" spans="1:19" x14ac:dyDescent="0.2">
      <c r="A1727" t="s">
        <v>2338</v>
      </c>
      <c r="B1727" t="s">
        <v>83</v>
      </c>
      <c r="C1727" t="s">
        <v>614</v>
      </c>
      <c r="D1727">
        <v>1622.87</v>
      </c>
      <c r="E1727" s="37" t="str">
        <f t="shared" si="130"/>
        <v xml:space="preserve"> </v>
      </c>
      <c r="F1727">
        <v>0.32</v>
      </c>
      <c r="G1727" s="37" t="str">
        <f t="shared" si="131"/>
        <v>Heavy Discount</v>
      </c>
      <c r="H1727" s="37" t="str">
        <f t="shared" si="132"/>
        <v>Medium</v>
      </c>
      <c r="I1727">
        <v>4</v>
      </c>
      <c r="J1727" t="str" cm="1">
        <f t="array" ref="J1727">_xlfn.IFS(I1727&lt;=3,"small",I1727&lt;=6,"Medium",I1727&lt;=9,"Large")</f>
        <v>Medium</v>
      </c>
      <c r="K1727" s="36">
        <v>45642</v>
      </c>
      <c r="L1727" s="36">
        <v>45647</v>
      </c>
      <c r="M1727" t="s">
        <v>598</v>
      </c>
      <c r="N1727" t="s">
        <v>599</v>
      </c>
      <c r="O1727" s="37" t="str">
        <f t="shared" si="133"/>
        <v>Digital Payment</v>
      </c>
      <c r="P1727">
        <v>276.73</v>
      </c>
      <c r="Q1727" s="37" t="str">
        <f>IF(P1727&gt;500,"High","low")</f>
        <v>low</v>
      </c>
      <c r="R1727" s="37" t="str">
        <f t="shared" si="134"/>
        <v>AVERAGE</v>
      </c>
      <c r="S1727" t="s">
        <v>628</v>
      </c>
    </row>
    <row r="1728" spans="1:19" x14ac:dyDescent="0.2">
      <c r="A1728" t="s">
        <v>2339</v>
      </c>
      <c r="B1728" t="s">
        <v>67</v>
      </c>
      <c r="C1728" t="s">
        <v>597</v>
      </c>
      <c r="D1728">
        <v>2764.51</v>
      </c>
      <c r="E1728" s="37" t="str">
        <f t="shared" si="130"/>
        <v xml:space="preserve"> </v>
      </c>
      <c r="F1728">
        <v>0.24</v>
      </c>
      <c r="G1728" s="37" t="str">
        <f t="shared" si="131"/>
        <v>Normal Discount</v>
      </c>
      <c r="H1728" s="37" t="str">
        <f t="shared" si="132"/>
        <v>Medium</v>
      </c>
      <c r="I1728">
        <v>2</v>
      </c>
      <c r="J1728" t="str" cm="1">
        <f t="array" ref="J1728">_xlfn.IFS(I1728&lt;=3,"small",I1728&lt;=6,"Medium",I1728&lt;=9,"Large")</f>
        <v>small</v>
      </c>
      <c r="K1728" s="36">
        <v>44938</v>
      </c>
      <c r="L1728" s="36">
        <v>44939</v>
      </c>
      <c r="M1728" t="s">
        <v>603</v>
      </c>
      <c r="N1728" t="s">
        <v>599</v>
      </c>
      <c r="O1728" s="37" t="str">
        <f t="shared" si="133"/>
        <v>Digital Payment</v>
      </c>
      <c r="P1728">
        <v>797.61</v>
      </c>
      <c r="Q1728" s="37" t="str">
        <f>IF(P1728&gt;500,"High","low")</f>
        <v>High</v>
      </c>
      <c r="R1728" s="37" t="str">
        <f t="shared" si="134"/>
        <v>Good</v>
      </c>
      <c r="S1728" t="s">
        <v>609</v>
      </c>
    </row>
    <row r="1729" spans="1:19" x14ac:dyDescent="0.2">
      <c r="A1729" t="s">
        <v>2340</v>
      </c>
      <c r="B1729" t="s">
        <v>75</v>
      </c>
      <c r="C1729" t="s">
        <v>602</v>
      </c>
      <c r="D1729">
        <v>4508.49</v>
      </c>
      <c r="E1729" s="37" t="str">
        <f t="shared" si="130"/>
        <v xml:space="preserve"> </v>
      </c>
      <c r="F1729">
        <v>0.25</v>
      </c>
      <c r="G1729" s="37" t="str">
        <f t="shared" si="131"/>
        <v>Normal Discount</v>
      </c>
      <c r="H1729" s="37" t="str">
        <f t="shared" si="132"/>
        <v>Medium</v>
      </c>
      <c r="I1729">
        <v>2</v>
      </c>
      <c r="J1729" t="str" cm="1">
        <f t="array" ref="J1729">_xlfn.IFS(I1729&lt;=3,"small",I1729&lt;=6,"Medium",I1729&lt;=9,"Large")</f>
        <v>small</v>
      </c>
      <c r="K1729" s="36">
        <v>45019</v>
      </c>
      <c r="L1729" s="36">
        <v>45026</v>
      </c>
      <c r="M1729" t="s">
        <v>612</v>
      </c>
      <c r="N1729" t="s">
        <v>599</v>
      </c>
      <c r="O1729" s="37" t="str">
        <f t="shared" si="133"/>
        <v>Digital Payment</v>
      </c>
      <c r="P1729">
        <v>259.72000000000003</v>
      </c>
      <c r="Q1729" s="37" t="str">
        <f>IF(P1729&gt;500,"High","low")</f>
        <v>low</v>
      </c>
      <c r="R1729" s="37" t="str">
        <f t="shared" si="134"/>
        <v>AVERAGE</v>
      </c>
      <c r="S1729" t="s">
        <v>609</v>
      </c>
    </row>
    <row r="1730" spans="1:19" x14ac:dyDescent="0.2">
      <c r="A1730" t="s">
        <v>2341</v>
      </c>
      <c r="B1730" t="s">
        <v>83</v>
      </c>
      <c r="C1730" t="s">
        <v>617</v>
      </c>
      <c r="D1730">
        <v>3929.1</v>
      </c>
      <c r="E1730" s="37" t="str">
        <f t="shared" si="130"/>
        <v xml:space="preserve"> </v>
      </c>
      <c r="F1730">
        <v>0.05</v>
      </c>
      <c r="G1730" s="37" t="str">
        <f t="shared" si="131"/>
        <v>Normal Discount</v>
      </c>
      <c r="H1730" s="37" t="str">
        <f t="shared" si="132"/>
        <v>Low</v>
      </c>
      <c r="I1730">
        <v>9</v>
      </c>
      <c r="J1730" t="str" cm="1">
        <f t="array" ref="J1730">_xlfn.IFS(I1730&lt;=3,"small",I1730&lt;=6,"Medium",I1730&lt;=9,"Large")</f>
        <v>Large</v>
      </c>
      <c r="K1730" s="36">
        <v>45496</v>
      </c>
      <c r="L1730" s="36">
        <v>45503</v>
      </c>
      <c r="M1730" t="s">
        <v>603</v>
      </c>
      <c r="N1730" t="s">
        <v>604</v>
      </c>
      <c r="O1730" s="37" t="str">
        <f t="shared" si="133"/>
        <v>Digital Payment</v>
      </c>
      <c r="P1730">
        <v>573.15</v>
      </c>
      <c r="Q1730" s="37" t="str">
        <f>IF(P1730&gt;500,"High","low")</f>
        <v>High</v>
      </c>
      <c r="R1730" s="37" t="str">
        <f t="shared" si="134"/>
        <v>Good</v>
      </c>
      <c r="S1730" t="s">
        <v>615</v>
      </c>
    </row>
    <row r="1731" spans="1:19" x14ac:dyDescent="0.2">
      <c r="A1731" t="s">
        <v>2342</v>
      </c>
      <c r="B1731" t="s">
        <v>83</v>
      </c>
      <c r="C1731" t="s">
        <v>607</v>
      </c>
      <c r="D1731">
        <v>314.54000000000002</v>
      </c>
      <c r="E1731" s="37" t="str">
        <f t="shared" ref="E1731:E1794" si="135">IF(AND(D1731&gt;4000,P1731&gt;800),"Excellent Order"," ")</f>
        <v xml:space="preserve"> </v>
      </c>
      <c r="F1731">
        <v>0.26</v>
      </c>
      <c r="G1731" s="37" t="str">
        <f t="shared" ref="G1731:G1794" si="136">IF(F1731&gt;30%,"Heavy Discount","Normal Discount")</f>
        <v>Normal Discount</v>
      </c>
      <c r="H1731" s="37" t="str">
        <f t="shared" ref="H1731:H1794" si="137">IF(F1731&gt;0.4,"High",IF(F1731&gt;=0.2,"Medium","Low"))</f>
        <v>Medium</v>
      </c>
      <c r="I1731">
        <v>6</v>
      </c>
      <c r="J1731" t="str" cm="1">
        <f t="array" ref="J1731">_xlfn.IFS(I1731&lt;=3,"small",I1731&lt;=6,"Medium",I1731&lt;=9,"Large")</f>
        <v>Medium</v>
      </c>
      <c r="K1731" s="36">
        <v>45413</v>
      </c>
      <c r="L1731" s="36">
        <v>45414</v>
      </c>
      <c r="M1731" t="s">
        <v>603</v>
      </c>
      <c r="N1731" t="s">
        <v>604</v>
      </c>
      <c r="O1731" s="37" t="str">
        <f t="shared" ref="O1731:O1794" si="138">IF(OR(N1731="Card",N1731="UPI"),"Digital Payment","Cash Payment")</f>
        <v>Digital Payment</v>
      </c>
      <c r="P1731">
        <v>80.069999999999993</v>
      </c>
      <c r="Q1731" s="37" t="str">
        <f>IF(P1731&gt;500,"High","low")</f>
        <v>low</v>
      </c>
      <c r="R1731" s="37" t="str">
        <f t="shared" ref="R1731:R1794" si="139">IF(P1731&gt;1000,"Excellent",IF(P1731&gt;=500,"Good","AVERAGE"))</f>
        <v>AVERAGE</v>
      </c>
      <c r="S1731" t="s">
        <v>600</v>
      </c>
    </row>
    <row r="1732" spans="1:19" x14ac:dyDescent="0.2">
      <c r="A1732" t="s">
        <v>2343</v>
      </c>
      <c r="B1732" t="s">
        <v>83</v>
      </c>
      <c r="C1732" t="s">
        <v>607</v>
      </c>
      <c r="D1732">
        <v>3495.85</v>
      </c>
      <c r="E1732" s="37" t="str">
        <f t="shared" si="135"/>
        <v xml:space="preserve"> </v>
      </c>
      <c r="F1732">
        <v>0.28000000000000003</v>
      </c>
      <c r="G1732" s="37" t="str">
        <f t="shared" si="136"/>
        <v>Normal Discount</v>
      </c>
      <c r="H1732" s="37" t="str">
        <f t="shared" si="137"/>
        <v>Medium</v>
      </c>
      <c r="I1732">
        <v>4</v>
      </c>
      <c r="J1732" t="str" cm="1">
        <f t="array" ref="J1732">_xlfn.IFS(I1732&lt;=3,"small",I1732&lt;=6,"Medium",I1732&lt;=9,"Large")</f>
        <v>Medium</v>
      </c>
      <c r="K1732" s="36">
        <v>45346</v>
      </c>
      <c r="L1732" s="36">
        <v>45353</v>
      </c>
      <c r="M1732" t="s">
        <v>612</v>
      </c>
      <c r="N1732" t="s">
        <v>599</v>
      </c>
      <c r="O1732" s="37" t="str">
        <f t="shared" si="138"/>
        <v>Digital Payment</v>
      </c>
      <c r="P1732">
        <v>1009.54</v>
      </c>
      <c r="Q1732" s="37" t="str">
        <f>IF(P1732&gt;500,"High","low")</f>
        <v>High</v>
      </c>
      <c r="R1732" s="37" t="str">
        <f t="shared" si="139"/>
        <v>Excellent</v>
      </c>
      <c r="S1732" t="s">
        <v>600</v>
      </c>
    </row>
    <row r="1733" spans="1:19" x14ac:dyDescent="0.2">
      <c r="A1733" t="s">
        <v>2344</v>
      </c>
      <c r="B1733" t="s">
        <v>90</v>
      </c>
      <c r="C1733" t="s">
        <v>602</v>
      </c>
      <c r="D1733">
        <v>2569.9</v>
      </c>
      <c r="E1733" s="37" t="str">
        <f t="shared" si="135"/>
        <v xml:space="preserve"> </v>
      </c>
      <c r="F1733">
        <v>0.48</v>
      </c>
      <c r="G1733" s="37" t="str">
        <f t="shared" si="136"/>
        <v>Heavy Discount</v>
      </c>
      <c r="H1733" s="37" t="str">
        <f t="shared" si="137"/>
        <v>High</v>
      </c>
      <c r="I1733">
        <v>2</v>
      </c>
      <c r="J1733" t="str" cm="1">
        <f t="array" ref="J1733">_xlfn.IFS(I1733&lt;=3,"small",I1733&lt;=6,"Medium",I1733&lt;=9,"Large")</f>
        <v>small</v>
      </c>
      <c r="K1733" s="36">
        <v>45614</v>
      </c>
      <c r="L1733" s="36">
        <v>45617</v>
      </c>
      <c r="M1733" t="s">
        <v>612</v>
      </c>
      <c r="N1733" t="s">
        <v>608</v>
      </c>
      <c r="O1733" s="37" t="str">
        <f t="shared" si="138"/>
        <v>Cash Payment</v>
      </c>
      <c r="P1733">
        <v>632.26</v>
      </c>
      <c r="Q1733" s="37" t="str">
        <f>IF(P1733&gt;500,"High","low")</f>
        <v>High</v>
      </c>
      <c r="R1733" s="37" t="str">
        <f t="shared" si="139"/>
        <v>Good</v>
      </c>
      <c r="S1733" t="s">
        <v>609</v>
      </c>
    </row>
    <row r="1734" spans="1:19" x14ac:dyDescent="0.2">
      <c r="A1734" t="s">
        <v>2345</v>
      </c>
      <c r="B1734" t="s">
        <v>90</v>
      </c>
      <c r="C1734" t="s">
        <v>602</v>
      </c>
      <c r="D1734">
        <v>2430.21</v>
      </c>
      <c r="E1734" s="37" t="str">
        <f t="shared" si="135"/>
        <v xml:space="preserve"> </v>
      </c>
      <c r="F1734">
        <v>0.02</v>
      </c>
      <c r="G1734" s="37" t="str">
        <f t="shared" si="136"/>
        <v>Normal Discount</v>
      </c>
      <c r="H1734" s="37" t="str">
        <f t="shared" si="137"/>
        <v>Low</v>
      </c>
      <c r="I1734">
        <v>7</v>
      </c>
      <c r="J1734" t="str" cm="1">
        <f t="array" ref="J1734">_xlfn.IFS(I1734&lt;=3,"small",I1734&lt;=6,"Medium",I1734&lt;=9,"Large")</f>
        <v>Large</v>
      </c>
      <c r="K1734" s="36">
        <v>44934</v>
      </c>
      <c r="L1734" s="36">
        <v>44938</v>
      </c>
      <c r="M1734" t="s">
        <v>598</v>
      </c>
      <c r="N1734" t="s">
        <v>608</v>
      </c>
      <c r="O1734" s="37" t="str">
        <f t="shared" si="138"/>
        <v>Cash Payment</v>
      </c>
      <c r="P1734">
        <v>508.69</v>
      </c>
      <c r="Q1734" s="37" t="str">
        <f>IF(P1734&gt;500,"High","low")</f>
        <v>High</v>
      </c>
      <c r="R1734" s="37" t="str">
        <f t="shared" si="139"/>
        <v>Good</v>
      </c>
      <c r="S1734" t="s">
        <v>605</v>
      </c>
    </row>
    <row r="1735" spans="1:19" x14ac:dyDescent="0.2">
      <c r="A1735" t="s">
        <v>2346</v>
      </c>
      <c r="B1735" t="s">
        <v>67</v>
      </c>
      <c r="C1735" t="s">
        <v>602</v>
      </c>
      <c r="D1735">
        <v>3488.64</v>
      </c>
      <c r="E1735" s="37" t="str">
        <f t="shared" si="135"/>
        <v xml:space="preserve"> </v>
      </c>
      <c r="F1735">
        <v>0.46</v>
      </c>
      <c r="G1735" s="37" t="str">
        <f t="shared" si="136"/>
        <v>Heavy Discount</v>
      </c>
      <c r="H1735" s="37" t="str">
        <f t="shared" si="137"/>
        <v>High</v>
      </c>
      <c r="I1735">
        <v>9</v>
      </c>
      <c r="J1735" t="str" cm="1">
        <f t="array" ref="J1735">_xlfn.IFS(I1735&lt;=3,"small",I1735&lt;=6,"Medium",I1735&lt;=9,"Large")</f>
        <v>Large</v>
      </c>
      <c r="K1735" s="36">
        <v>44996</v>
      </c>
      <c r="L1735" s="36">
        <v>45003</v>
      </c>
      <c r="M1735" t="s">
        <v>603</v>
      </c>
      <c r="N1735" t="s">
        <v>599</v>
      </c>
      <c r="O1735" s="37" t="str">
        <f t="shared" si="138"/>
        <v>Digital Payment</v>
      </c>
      <c r="P1735">
        <v>286.58999999999997</v>
      </c>
      <c r="Q1735" s="37" t="str">
        <f>IF(P1735&gt;500,"High","low")</f>
        <v>low</v>
      </c>
      <c r="R1735" s="37" t="str">
        <f t="shared" si="139"/>
        <v>AVERAGE</v>
      </c>
      <c r="S1735" t="s">
        <v>620</v>
      </c>
    </row>
    <row r="1736" spans="1:19" x14ac:dyDescent="0.2">
      <c r="A1736" t="s">
        <v>2347</v>
      </c>
      <c r="B1736" t="s">
        <v>75</v>
      </c>
      <c r="C1736" t="s">
        <v>597</v>
      </c>
      <c r="D1736">
        <v>1061.54</v>
      </c>
      <c r="E1736" s="37" t="str">
        <f t="shared" si="135"/>
        <v xml:space="preserve"> </v>
      </c>
      <c r="F1736">
        <v>0.24</v>
      </c>
      <c r="G1736" s="37" t="str">
        <f t="shared" si="136"/>
        <v>Normal Discount</v>
      </c>
      <c r="H1736" s="37" t="str">
        <f t="shared" si="137"/>
        <v>Medium</v>
      </c>
      <c r="I1736">
        <v>2</v>
      </c>
      <c r="J1736" t="str" cm="1">
        <f t="array" ref="J1736">_xlfn.IFS(I1736&lt;=3,"small",I1736&lt;=6,"Medium",I1736&lt;=9,"Large")</f>
        <v>small</v>
      </c>
      <c r="K1736" s="36">
        <v>45493</v>
      </c>
      <c r="L1736" s="36">
        <v>45497</v>
      </c>
      <c r="M1736" t="s">
        <v>603</v>
      </c>
      <c r="N1736" t="s">
        <v>604</v>
      </c>
      <c r="O1736" s="37" t="str">
        <f t="shared" si="138"/>
        <v>Digital Payment</v>
      </c>
      <c r="P1736">
        <v>195.54</v>
      </c>
      <c r="Q1736" s="37" t="str">
        <f>IF(P1736&gt;500,"High","low")</f>
        <v>low</v>
      </c>
      <c r="R1736" s="37" t="str">
        <f t="shared" si="139"/>
        <v>AVERAGE</v>
      </c>
      <c r="S1736" t="s">
        <v>600</v>
      </c>
    </row>
    <row r="1737" spans="1:19" x14ac:dyDescent="0.2">
      <c r="A1737" t="s">
        <v>2348</v>
      </c>
      <c r="B1737" t="s">
        <v>67</v>
      </c>
      <c r="C1737" t="s">
        <v>602</v>
      </c>
      <c r="D1737">
        <v>4909.29</v>
      </c>
      <c r="E1737" s="37" t="str">
        <f t="shared" si="135"/>
        <v>Excellent Order</v>
      </c>
      <c r="F1737">
        <v>0.11</v>
      </c>
      <c r="G1737" s="37" t="str">
        <f t="shared" si="136"/>
        <v>Normal Discount</v>
      </c>
      <c r="H1737" s="37" t="str">
        <f t="shared" si="137"/>
        <v>Low</v>
      </c>
      <c r="I1737">
        <v>4</v>
      </c>
      <c r="J1737" t="str" cm="1">
        <f t="array" ref="J1737">_xlfn.IFS(I1737&lt;=3,"small",I1737&lt;=6,"Medium",I1737&lt;=9,"Large")</f>
        <v>Medium</v>
      </c>
      <c r="K1737" s="36">
        <v>45276</v>
      </c>
      <c r="L1737" s="36">
        <v>45283</v>
      </c>
      <c r="M1737" t="s">
        <v>612</v>
      </c>
      <c r="N1737" t="s">
        <v>608</v>
      </c>
      <c r="O1737" s="37" t="str">
        <f t="shared" si="138"/>
        <v>Cash Payment</v>
      </c>
      <c r="P1737">
        <v>950.75</v>
      </c>
      <c r="Q1737" s="37" t="str">
        <f>IF(P1737&gt;500,"High","low")</f>
        <v>High</v>
      </c>
      <c r="R1737" s="37" t="str">
        <f t="shared" si="139"/>
        <v>Good</v>
      </c>
      <c r="S1737" t="s">
        <v>605</v>
      </c>
    </row>
    <row r="1738" spans="1:19" x14ac:dyDescent="0.2">
      <c r="A1738" t="s">
        <v>2349</v>
      </c>
      <c r="B1738" t="s">
        <v>75</v>
      </c>
      <c r="C1738" t="s">
        <v>614</v>
      </c>
      <c r="D1738">
        <v>3262</v>
      </c>
      <c r="E1738" s="37" t="str">
        <f t="shared" si="135"/>
        <v xml:space="preserve"> </v>
      </c>
      <c r="F1738">
        <v>0.33</v>
      </c>
      <c r="G1738" s="37" t="str">
        <f t="shared" si="136"/>
        <v>Heavy Discount</v>
      </c>
      <c r="H1738" s="37" t="str">
        <f t="shared" si="137"/>
        <v>Medium</v>
      </c>
      <c r="I1738">
        <v>1</v>
      </c>
      <c r="J1738" t="str" cm="1">
        <f t="array" ref="J1738">_xlfn.IFS(I1738&lt;=3,"small",I1738&lt;=6,"Medium",I1738&lt;=9,"Large")</f>
        <v>small</v>
      </c>
      <c r="K1738" s="36">
        <v>44987</v>
      </c>
      <c r="L1738" s="36">
        <v>44991</v>
      </c>
      <c r="M1738" t="s">
        <v>603</v>
      </c>
      <c r="N1738" t="s">
        <v>599</v>
      </c>
      <c r="O1738" s="37" t="str">
        <f t="shared" si="138"/>
        <v>Digital Payment</v>
      </c>
      <c r="P1738">
        <v>838.56</v>
      </c>
      <c r="Q1738" s="37" t="str">
        <f>IF(P1738&gt;500,"High","low")</f>
        <v>High</v>
      </c>
      <c r="R1738" s="37" t="str">
        <f t="shared" si="139"/>
        <v>Good</v>
      </c>
      <c r="S1738" t="s">
        <v>609</v>
      </c>
    </row>
    <row r="1739" spans="1:19" x14ac:dyDescent="0.2">
      <c r="A1739" t="s">
        <v>2350</v>
      </c>
      <c r="B1739" t="s">
        <v>90</v>
      </c>
      <c r="C1739" t="s">
        <v>617</v>
      </c>
      <c r="D1739">
        <v>1891.72</v>
      </c>
      <c r="E1739" s="37" t="str">
        <f t="shared" si="135"/>
        <v xml:space="preserve"> </v>
      </c>
      <c r="F1739">
        <v>0.26</v>
      </c>
      <c r="G1739" s="37" t="str">
        <f t="shared" si="136"/>
        <v>Normal Discount</v>
      </c>
      <c r="H1739" s="37" t="str">
        <f t="shared" si="137"/>
        <v>Medium</v>
      </c>
      <c r="I1739">
        <v>1</v>
      </c>
      <c r="J1739" t="str" cm="1">
        <f t="array" ref="J1739">_xlfn.IFS(I1739&lt;=3,"small",I1739&lt;=6,"Medium",I1739&lt;=9,"Large")</f>
        <v>small</v>
      </c>
      <c r="K1739" s="36">
        <v>45180</v>
      </c>
      <c r="L1739" s="36">
        <v>45182</v>
      </c>
      <c r="M1739" t="s">
        <v>598</v>
      </c>
      <c r="N1739" t="s">
        <v>604</v>
      </c>
      <c r="O1739" s="37" t="str">
        <f t="shared" si="138"/>
        <v>Digital Payment</v>
      </c>
      <c r="P1739">
        <v>411.01</v>
      </c>
      <c r="Q1739" s="37" t="str">
        <f>IF(P1739&gt;500,"High","low")</f>
        <v>low</v>
      </c>
      <c r="R1739" s="37" t="str">
        <f t="shared" si="139"/>
        <v>AVERAGE</v>
      </c>
      <c r="S1739" t="s">
        <v>620</v>
      </c>
    </row>
    <row r="1740" spans="1:19" x14ac:dyDescent="0.2">
      <c r="A1740" t="s">
        <v>2351</v>
      </c>
      <c r="B1740" t="s">
        <v>90</v>
      </c>
      <c r="C1740" t="s">
        <v>602</v>
      </c>
      <c r="D1740">
        <v>3040.99</v>
      </c>
      <c r="E1740" s="37" t="str">
        <f t="shared" si="135"/>
        <v xml:space="preserve"> </v>
      </c>
      <c r="F1740">
        <v>0.11</v>
      </c>
      <c r="G1740" s="37" t="str">
        <f t="shared" si="136"/>
        <v>Normal Discount</v>
      </c>
      <c r="H1740" s="37" t="str">
        <f t="shared" si="137"/>
        <v>Low</v>
      </c>
      <c r="I1740">
        <v>3</v>
      </c>
      <c r="J1740" t="str" cm="1">
        <f t="array" ref="J1740">_xlfn.IFS(I1740&lt;=3,"small",I1740&lt;=6,"Medium",I1740&lt;=9,"Large")</f>
        <v>small</v>
      </c>
      <c r="K1740" s="36">
        <v>45265</v>
      </c>
      <c r="L1740" s="36">
        <v>45271</v>
      </c>
      <c r="M1740" t="s">
        <v>603</v>
      </c>
      <c r="N1740" t="s">
        <v>599</v>
      </c>
      <c r="O1740" s="37" t="str">
        <f t="shared" si="138"/>
        <v>Digital Payment</v>
      </c>
      <c r="P1740">
        <v>794.81</v>
      </c>
      <c r="Q1740" s="37" t="str">
        <f>IF(P1740&gt;500,"High","low")</f>
        <v>High</v>
      </c>
      <c r="R1740" s="37" t="str">
        <f t="shared" si="139"/>
        <v>Good</v>
      </c>
      <c r="S1740" t="s">
        <v>615</v>
      </c>
    </row>
    <row r="1741" spans="1:19" x14ac:dyDescent="0.2">
      <c r="A1741" t="s">
        <v>2352</v>
      </c>
      <c r="B1741" t="s">
        <v>90</v>
      </c>
      <c r="C1741" t="s">
        <v>597</v>
      </c>
      <c r="D1741">
        <v>1160.71</v>
      </c>
      <c r="E1741" s="37" t="str">
        <f t="shared" si="135"/>
        <v xml:space="preserve"> </v>
      </c>
      <c r="F1741">
        <v>0.31</v>
      </c>
      <c r="G1741" s="37" t="str">
        <f t="shared" si="136"/>
        <v>Heavy Discount</v>
      </c>
      <c r="H1741" s="37" t="str">
        <f t="shared" si="137"/>
        <v>Medium</v>
      </c>
      <c r="I1741">
        <v>1</v>
      </c>
      <c r="J1741" t="str" cm="1">
        <f t="array" ref="J1741">_xlfn.IFS(I1741&lt;=3,"small",I1741&lt;=6,"Medium",I1741&lt;=9,"Large")</f>
        <v>small</v>
      </c>
      <c r="K1741" s="36">
        <v>45230</v>
      </c>
      <c r="L1741" s="36">
        <v>45231</v>
      </c>
      <c r="M1741" t="s">
        <v>603</v>
      </c>
      <c r="N1741" t="s">
        <v>604</v>
      </c>
      <c r="O1741" s="37" t="str">
        <f t="shared" si="138"/>
        <v>Digital Payment</v>
      </c>
      <c r="P1741">
        <v>226.54</v>
      </c>
      <c r="Q1741" s="37" t="str">
        <f>IF(P1741&gt;500,"High","low")</f>
        <v>low</v>
      </c>
      <c r="R1741" s="37" t="str">
        <f t="shared" si="139"/>
        <v>AVERAGE</v>
      </c>
      <c r="S1741" t="s">
        <v>605</v>
      </c>
    </row>
    <row r="1742" spans="1:19" x14ac:dyDescent="0.2">
      <c r="A1742" t="s">
        <v>2353</v>
      </c>
      <c r="B1742" t="s">
        <v>67</v>
      </c>
      <c r="C1742" t="s">
        <v>617</v>
      </c>
      <c r="D1742">
        <v>3205.83</v>
      </c>
      <c r="E1742" s="37" t="str">
        <f t="shared" si="135"/>
        <v xml:space="preserve"> </v>
      </c>
      <c r="F1742">
        <v>0.24</v>
      </c>
      <c r="G1742" s="37" t="str">
        <f t="shared" si="136"/>
        <v>Normal Discount</v>
      </c>
      <c r="H1742" s="37" t="str">
        <f t="shared" si="137"/>
        <v>Medium</v>
      </c>
      <c r="I1742">
        <v>4</v>
      </c>
      <c r="J1742" t="str" cm="1">
        <f t="array" ref="J1742">_xlfn.IFS(I1742&lt;=3,"small",I1742&lt;=6,"Medium",I1742&lt;=9,"Large")</f>
        <v>Medium</v>
      </c>
      <c r="K1742" s="36">
        <v>45248</v>
      </c>
      <c r="L1742" s="36">
        <v>45249</v>
      </c>
      <c r="M1742" t="s">
        <v>598</v>
      </c>
      <c r="N1742" t="s">
        <v>604</v>
      </c>
      <c r="O1742" s="37" t="str">
        <f t="shared" si="138"/>
        <v>Digital Payment</v>
      </c>
      <c r="P1742">
        <v>268.89999999999998</v>
      </c>
      <c r="Q1742" s="37" t="str">
        <f>IF(P1742&gt;500,"High","low")</f>
        <v>low</v>
      </c>
      <c r="R1742" s="37" t="str">
        <f t="shared" si="139"/>
        <v>AVERAGE</v>
      </c>
      <c r="S1742" t="s">
        <v>620</v>
      </c>
    </row>
    <row r="1743" spans="1:19" x14ac:dyDescent="0.2">
      <c r="A1743" t="s">
        <v>2354</v>
      </c>
      <c r="B1743" t="s">
        <v>83</v>
      </c>
      <c r="C1743" t="s">
        <v>607</v>
      </c>
      <c r="D1743">
        <v>238.26</v>
      </c>
      <c r="E1743" s="37" t="str">
        <f t="shared" si="135"/>
        <v xml:space="preserve"> </v>
      </c>
      <c r="F1743">
        <v>0.34</v>
      </c>
      <c r="G1743" s="37" t="str">
        <f t="shared" si="136"/>
        <v>Heavy Discount</v>
      </c>
      <c r="H1743" s="37" t="str">
        <f t="shared" si="137"/>
        <v>Medium</v>
      </c>
      <c r="I1743">
        <v>6</v>
      </c>
      <c r="J1743" t="str" cm="1">
        <f t="array" ref="J1743">_xlfn.IFS(I1743&lt;=3,"small",I1743&lt;=6,"Medium",I1743&lt;=9,"Large")</f>
        <v>Medium</v>
      </c>
      <c r="K1743" s="36">
        <v>45545</v>
      </c>
      <c r="L1743" s="36">
        <v>45548</v>
      </c>
      <c r="M1743" t="s">
        <v>603</v>
      </c>
      <c r="N1743" t="s">
        <v>608</v>
      </c>
      <c r="O1743" s="37" t="str">
        <f t="shared" si="138"/>
        <v>Cash Payment</v>
      </c>
      <c r="P1743">
        <v>56.54</v>
      </c>
      <c r="Q1743" s="37" t="str">
        <f>IF(P1743&gt;500,"High","low")</f>
        <v>low</v>
      </c>
      <c r="R1743" s="37" t="str">
        <f t="shared" si="139"/>
        <v>AVERAGE</v>
      </c>
      <c r="S1743" t="s">
        <v>609</v>
      </c>
    </row>
    <row r="1744" spans="1:19" x14ac:dyDescent="0.2">
      <c r="A1744" t="s">
        <v>2355</v>
      </c>
      <c r="B1744" t="s">
        <v>83</v>
      </c>
      <c r="C1744" t="s">
        <v>602</v>
      </c>
      <c r="D1744">
        <v>1771.79</v>
      </c>
      <c r="E1744" s="37" t="str">
        <f t="shared" si="135"/>
        <v xml:space="preserve"> </v>
      </c>
      <c r="F1744">
        <v>0.34</v>
      </c>
      <c r="G1744" s="37" t="str">
        <f t="shared" si="136"/>
        <v>Heavy Discount</v>
      </c>
      <c r="H1744" s="37" t="str">
        <f t="shared" si="137"/>
        <v>Medium</v>
      </c>
      <c r="I1744">
        <v>5</v>
      </c>
      <c r="J1744" t="str" cm="1">
        <f t="array" ref="J1744">_xlfn.IFS(I1744&lt;=3,"small",I1744&lt;=6,"Medium",I1744&lt;=9,"Large")</f>
        <v>Medium</v>
      </c>
      <c r="K1744" s="36">
        <v>45078</v>
      </c>
      <c r="L1744" s="36">
        <v>45084</v>
      </c>
      <c r="M1744" t="s">
        <v>603</v>
      </c>
      <c r="N1744" t="s">
        <v>604</v>
      </c>
      <c r="O1744" s="37" t="str">
        <f t="shared" si="138"/>
        <v>Digital Payment</v>
      </c>
      <c r="P1744">
        <v>370.38</v>
      </c>
      <c r="Q1744" s="37" t="str">
        <f>IF(P1744&gt;500,"High","low")</f>
        <v>low</v>
      </c>
      <c r="R1744" s="37" t="str">
        <f t="shared" si="139"/>
        <v>AVERAGE</v>
      </c>
      <c r="S1744" t="s">
        <v>600</v>
      </c>
    </row>
    <row r="1745" spans="1:19" x14ac:dyDescent="0.2">
      <c r="A1745" t="s">
        <v>2356</v>
      </c>
      <c r="B1745" t="s">
        <v>90</v>
      </c>
      <c r="C1745" t="s">
        <v>617</v>
      </c>
      <c r="D1745">
        <v>3762.83</v>
      </c>
      <c r="E1745" s="37" t="str">
        <f t="shared" si="135"/>
        <v xml:space="preserve"> </v>
      </c>
      <c r="F1745">
        <v>0.24</v>
      </c>
      <c r="G1745" s="37" t="str">
        <f t="shared" si="136"/>
        <v>Normal Discount</v>
      </c>
      <c r="H1745" s="37" t="str">
        <f t="shared" si="137"/>
        <v>Medium</v>
      </c>
      <c r="I1745">
        <v>9</v>
      </c>
      <c r="J1745" t="str" cm="1">
        <f t="array" ref="J1745">_xlfn.IFS(I1745&lt;=3,"small",I1745&lt;=6,"Medium",I1745&lt;=9,"Large")</f>
        <v>Large</v>
      </c>
      <c r="K1745" s="36">
        <v>45302</v>
      </c>
      <c r="L1745" s="36">
        <v>45307</v>
      </c>
      <c r="M1745" t="s">
        <v>598</v>
      </c>
      <c r="N1745" t="s">
        <v>599</v>
      </c>
      <c r="O1745" s="37" t="str">
        <f t="shared" si="138"/>
        <v>Digital Payment</v>
      </c>
      <c r="P1745">
        <v>515.66999999999996</v>
      </c>
      <c r="Q1745" s="37" t="str">
        <f>IF(P1745&gt;500,"High","low")</f>
        <v>High</v>
      </c>
      <c r="R1745" s="37" t="str">
        <f t="shared" si="139"/>
        <v>Good</v>
      </c>
      <c r="S1745" t="s">
        <v>605</v>
      </c>
    </row>
    <row r="1746" spans="1:19" x14ac:dyDescent="0.2">
      <c r="A1746" t="s">
        <v>2357</v>
      </c>
      <c r="B1746" t="s">
        <v>83</v>
      </c>
      <c r="C1746" t="s">
        <v>607</v>
      </c>
      <c r="D1746">
        <v>4059.09</v>
      </c>
      <c r="E1746" s="37" t="str">
        <f t="shared" si="135"/>
        <v>Excellent Order</v>
      </c>
      <c r="F1746">
        <v>0.2</v>
      </c>
      <c r="G1746" s="37" t="str">
        <f t="shared" si="136"/>
        <v>Normal Discount</v>
      </c>
      <c r="H1746" s="37" t="str">
        <f t="shared" si="137"/>
        <v>Medium</v>
      </c>
      <c r="I1746">
        <v>2</v>
      </c>
      <c r="J1746" t="str" cm="1">
        <f t="array" ref="J1746">_xlfn.IFS(I1746&lt;=3,"small",I1746&lt;=6,"Medium",I1746&lt;=9,"Large")</f>
        <v>small</v>
      </c>
      <c r="K1746" s="36">
        <v>45210</v>
      </c>
      <c r="L1746" s="36">
        <v>45211</v>
      </c>
      <c r="M1746" t="s">
        <v>612</v>
      </c>
      <c r="N1746" t="s">
        <v>604</v>
      </c>
      <c r="O1746" s="37" t="str">
        <f t="shared" si="138"/>
        <v>Digital Payment</v>
      </c>
      <c r="P1746">
        <v>1034.6400000000001</v>
      </c>
      <c r="Q1746" s="37" t="str">
        <f>IF(P1746&gt;500,"High","low")</f>
        <v>High</v>
      </c>
      <c r="R1746" s="37" t="str">
        <f t="shared" si="139"/>
        <v>Excellent</v>
      </c>
      <c r="S1746" t="s">
        <v>600</v>
      </c>
    </row>
    <row r="1747" spans="1:19" x14ac:dyDescent="0.2">
      <c r="A1747" t="s">
        <v>2358</v>
      </c>
      <c r="B1747" t="s">
        <v>83</v>
      </c>
      <c r="C1747" t="s">
        <v>597</v>
      </c>
      <c r="D1747">
        <v>1339.31</v>
      </c>
      <c r="E1747" s="37" t="str">
        <f t="shared" si="135"/>
        <v xml:space="preserve"> </v>
      </c>
      <c r="F1747">
        <v>0.03</v>
      </c>
      <c r="G1747" s="37" t="str">
        <f t="shared" si="136"/>
        <v>Normal Discount</v>
      </c>
      <c r="H1747" s="37" t="str">
        <f t="shared" si="137"/>
        <v>Low</v>
      </c>
      <c r="I1747">
        <v>2</v>
      </c>
      <c r="J1747" t="str" cm="1">
        <f t="array" ref="J1747">_xlfn.IFS(I1747&lt;=3,"small",I1747&lt;=6,"Medium",I1747&lt;=9,"Large")</f>
        <v>small</v>
      </c>
      <c r="K1747" s="36">
        <v>44960</v>
      </c>
      <c r="L1747" s="36">
        <v>44964</v>
      </c>
      <c r="M1747" t="s">
        <v>612</v>
      </c>
      <c r="N1747" t="s">
        <v>608</v>
      </c>
      <c r="O1747" s="37" t="str">
        <f t="shared" si="138"/>
        <v>Cash Payment</v>
      </c>
      <c r="P1747">
        <v>362.69</v>
      </c>
      <c r="Q1747" s="37" t="str">
        <f>IF(P1747&gt;500,"High","low")</f>
        <v>low</v>
      </c>
      <c r="R1747" s="37" t="str">
        <f t="shared" si="139"/>
        <v>AVERAGE</v>
      </c>
      <c r="S1747" t="s">
        <v>615</v>
      </c>
    </row>
    <row r="1748" spans="1:19" x14ac:dyDescent="0.2">
      <c r="A1748" t="s">
        <v>2359</v>
      </c>
      <c r="B1748" t="s">
        <v>67</v>
      </c>
      <c r="C1748" t="s">
        <v>614</v>
      </c>
      <c r="D1748">
        <v>2743.11</v>
      </c>
      <c r="E1748" s="37" t="str">
        <f t="shared" si="135"/>
        <v xml:space="preserve"> </v>
      </c>
      <c r="F1748">
        <v>0.25</v>
      </c>
      <c r="G1748" s="37" t="str">
        <f t="shared" si="136"/>
        <v>Normal Discount</v>
      </c>
      <c r="H1748" s="37" t="str">
        <f t="shared" si="137"/>
        <v>Medium</v>
      </c>
      <c r="I1748">
        <v>3</v>
      </c>
      <c r="J1748" t="str" cm="1">
        <f t="array" ref="J1748">_xlfn.IFS(I1748&lt;=3,"small",I1748&lt;=6,"Medium",I1748&lt;=9,"Large")</f>
        <v>small</v>
      </c>
      <c r="K1748" s="36">
        <v>45239</v>
      </c>
      <c r="L1748" s="36">
        <v>45241</v>
      </c>
      <c r="M1748" t="s">
        <v>612</v>
      </c>
      <c r="N1748" t="s">
        <v>604</v>
      </c>
      <c r="O1748" s="37" t="str">
        <f t="shared" si="138"/>
        <v>Digital Payment</v>
      </c>
      <c r="P1748">
        <v>640.45000000000005</v>
      </c>
      <c r="Q1748" s="37" t="str">
        <f>IF(P1748&gt;500,"High","low")</f>
        <v>High</v>
      </c>
      <c r="R1748" s="37" t="str">
        <f t="shared" si="139"/>
        <v>Good</v>
      </c>
      <c r="S1748" t="s">
        <v>600</v>
      </c>
    </row>
    <row r="1749" spans="1:19" x14ac:dyDescent="0.2">
      <c r="A1749" t="s">
        <v>2360</v>
      </c>
      <c r="B1749" t="s">
        <v>75</v>
      </c>
      <c r="C1749" t="s">
        <v>602</v>
      </c>
      <c r="D1749">
        <v>2689.62</v>
      </c>
      <c r="E1749" s="37" t="str">
        <f t="shared" si="135"/>
        <v xml:space="preserve"> </v>
      </c>
      <c r="F1749">
        <v>0.12</v>
      </c>
      <c r="G1749" s="37" t="str">
        <f t="shared" si="136"/>
        <v>Normal Discount</v>
      </c>
      <c r="H1749" s="37" t="str">
        <f t="shared" si="137"/>
        <v>Low</v>
      </c>
      <c r="I1749">
        <v>4</v>
      </c>
      <c r="J1749" t="str" cm="1">
        <f t="array" ref="J1749">_xlfn.IFS(I1749&lt;=3,"small",I1749&lt;=6,"Medium",I1749&lt;=9,"Large")</f>
        <v>Medium</v>
      </c>
      <c r="K1749" s="36">
        <v>45505</v>
      </c>
      <c r="L1749" s="36">
        <v>45510</v>
      </c>
      <c r="M1749" t="s">
        <v>612</v>
      </c>
      <c r="N1749" t="s">
        <v>599</v>
      </c>
      <c r="O1749" s="37" t="str">
        <f t="shared" si="138"/>
        <v>Digital Payment</v>
      </c>
      <c r="P1749">
        <v>459.93</v>
      </c>
      <c r="Q1749" s="37" t="str">
        <f>IF(P1749&gt;500,"High","low")</f>
        <v>low</v>
      </c>
      <c r="R1749" s="37" t="str">
        <f t="shared" si="139"/>
        <v>AVERAGE</v>
      </c>
      <c r="S1749" t="s">
        <v>605</v>
      </c>
    </row>
    <row r="1750" spans="1:19" x14ac:dyDescent="0.2">
      <c r="A1750" t="s">
        <v>2361</v>
      </c>
      <c r="B1750" t="s">
        <v>90</v>
      </c>
      <c r="C1750" t="s">
        <v>614</v>
      </c>
      <c r="D1750">
        <v>2165.13</v>
      </c>
      <c r="E1750" s="37" t="str">
        <f t="shared" si="135"/>
        <v xml:space="preserve"> </v>
      </c>
      <c r="F1750">
        <v>0.03</v>
      </c>
      <c r="G1750" s="37" t="str">
        <f t="shared" si="136"/>
        <v>Normal Discount</v>
      </c>
      <c r="H1750" s="37" t="str">
        <f t="shared" si="137"/>
        <v>Low</v>
      </c>
      <c r="I1750">
        <v>9</v>
      </c>
      <c r="J1750" t="str" cm="1">
        <f t="array" ref="J1750">_xlfn.IFS(I1750&lt;=3,"small",I1750&lt;=6,"Medium",I1750&lt;=9,"Large")</f>
        <v>Large</v>
      </c>
      <c r="K1750" s="36">
        <v>45208</v>
      </c>
      <c r="L1750" s="36">
        <v>45213</v>
      </c>
      <c r="M1750" t="s">
        <v>612</v>
      </c>
      <c r="N1750" t="s">
        <v>599</v>
      </c>
      <c r="O1750" s="37" t="str">
        <f t="shared" si="138"/>
        <v>Digital Payment</v>
      </c>
      <c r="P1750">
        <v>275.68</v>
      </c>
      <c r="Q1750" s="37" t="str">
        <f>IF(P1750&gt;500,"High","low")</f>
        <v>low</v>
      </c>
      <c r="R1750" s="37" t="str">
        <f t="shared" si="139"/>
        <v>AVERAGE</v>
      </c>
      <c r="S1750" t="s">
        <v>628</v>
      </c>
    </row>
    <row r="1751" spans="1:19" x14ac:dyDescent="0.2">
      <c r="A1751" t="s">
        <v>2362</v>
      </c>
      <c r="B1751" t="s">
        <v>90</v>
      </c>
      <c r="C1751" t="s">
        <v>597</v>
      </c>
      <c r="D1751">
        <v>1219.32</v>
      </c>
      <c r="E1751" s="37" t="str">
        <f t="shared" si="135"/>
        <v xml:space="preserve"> </v>
      </c>
      <c r="F1751">
        <v>0.17</v>
      </c>
      <c r="G1751" s="37" t="str">
        <f t="shared" si="136"/>
        <v>Normal Discount</v>
      </c>
      <c r="H1751" s="37" t="str">
        <f t="shared" si="137"/>
        <v>Low</v>
      </c>
      <c r="I1751">
        <v>6</v>
      </c>
      <c r="J1751" t="str" cm="1">
        <f t="array" ref="J1751">_xlfn.IFS(I1751&lt;=3,"small",I1751&lt;=6,"Medium",I1751&lt;=9,"Large")</f>
        <v>Medium</v>
      </c>
      <c r="K1751" s="36">
        <v>45629</v>
      </c>
      <c r="L1751" s="36">
        <v>45631</v>
      </c>
      <c r="M1751" t="s">
        <v>603</v>
      </c>
      <c r="N1751" t="s">
        <v>599</v>
      </c>
      <c r="O1751" s="37" t="str">
        <f t="shared" si="138"/>
        <v>Digital Payment</v>
      </c>
      <c r="P1751">
        <v>130.63999999999999</v>
      </c>
      <c r="Q1751" s="37" t="str">
        <f>IF(P1751&gt;500,"High","low")</f>
        <v>low</v>
      </c>
      <c r="R1751" s="37" t="str">
        <f t="shared" si="139"/>
        <v>AVERAGE</v>
      </c>
      <c r="S1751" t="s">
        <v>600</v>
      </c>
    </row>
    <row r="1752" spans="1:19" x14ac:dyDescent="0.2">
      <c r="A1752" t="s">
        <v>2363</v>
      </c>
      <c r="B1752" t="s">
        <v>67</v>
      </c>
      <c r="C1752" t="s">
        <v>617</v>
      </c>
      <c r="D1752">
        <v>3545.82</v>
      </c>
      <c r="E1752" s="37" t="str">
        <f t="shared" si="135"/>
        <v xml:space="preserve"> </v>
      </c>
      <c r="F1752">
        <v>0.04</v>
      </c>
      <c r="G1752" s="37" t="str">
        <f t="shared" si="136"/>
        <v>Normal Discount</v>
      </c>
      <c r="H1752" s="37" t="str">
        <f t="shared" si="137"/>
        <v>Low</v>
      </c>
      <c r="I1752">
        <v>9</v>
      </c>
      <c r="J1752" t="str" cm="1">
        <f t="array" ref="J1752">_xlfn.IFS(I1752&lt;=3,"small",I1752&lt;=6,"Medium",I1752&lt;=9,"Large")</f>
        <v>Large</v>
      </c>
      <c r="K1752" s="36">
        <v>45588</v>
      </c>
      <c r="L1752" s="36">
        <v>45595</v>
      </c>
      <c r="M1752" t="s">
        <v>603</v>
      </c>
      <c r="N1752" t="s">
        <v>604</v>
      </c>
      <c r="O1752" s="37" t="str">
        <f t="shared" si="138"/>
        <v>Digital Payment</v>
      </c>
      <c r="P1752">
        <v>913.57</v>
      </c>
      <c r="Q1752" s="37" t="str">
        <f>IF(P1752&gt;500,"High","low")</f>
        <v>High</v>
      </c>
      <c r="R1752" s="37" t="str">
        <f t="shared" si="139"/>
        <v>Good</v>
      </c>
      <c r="S1752" t="s">
        <v>605</v>
      </c>
    </row>
    <row r="1753" spans="1:19" x14ac:dyDescent="0.2">
      <c r="A1753" t="s">
        <v>2364</v>
      </c>
      <c r="B1753" t="s">
        <v>67</v>
      </c>
      <c r="C1753" t="s">
        <v>617</v>
      </c>
      <c r="D1753">
        <v>1336.57</v>
      </c>
      <c r="E1753" s="37" t="str">
        <f t="shared" si="135"/>
        <v xml:space="preserve"> </v>
      </c>
      <c r="F1753">
        <v>0.28999999999999998</v>
      </c>
      <c r="G1753" s="37" t="str">
        <f t="shared" si="136"/>
        <v>Normal Discount</v>
      </c>
      <c r="H1753" s="37" t="str">
        <f t="shared" si="137"/>
        <v>Medium</v>
      </c>
      <c r="I1753">
        <v>5</v>
      </c>
      <c r="J1753" t="str" cm="1">
        <f t="array" ref="J1753">_xlfn.IFS(I1753&lt;=3,"small",I1753&lt;=6,"Medium",I1753&lt;=9,"Large")</f>
        <v>Medium</v>
      </c>
      <c r="K1753" s="36">
        <v>45406</v>
      </c>
      <c r="L1753" s="36">
        <v>45408</v>
      </c>
      <c r="M1753" t="s">
        <v>598</v>
      </c>
      <c r="N1753" t="s">
        <v>604</v>
      </c>
      <c r="O1753" s="37" t="str">
        <f t="shared" si="138"/>
        <v>Digital Payment</v>
      </c>
      <c r="P1753">
        <v>284.27999999999997</v>
      </c>
      <c r="Q1753" s="37" t="str">
        <f>IF(P1753&gt;500,"High","low")</f>
        <v>low</v>
      </c>
      <c r="R1753" s="37" t="str">
        <f t="shared" si="139"/>
        <v>AVERAGE</v>
      </c>
      <c r="S1753" t="s">
        <v>620</v>
      </c>
    </row>
    <row r="1754" spans="1:19" x14ac:dyDescent="0.2">
      <c r="A1754" t="s">
        <v>2365</v>
      </c>
      <c r="B1754" t="s">
        <v>83</v>
      </c>
      <c r="C1754" t="s">
        <v>597</v>
      </c>
      <c r="D1754">
        <v>4564.03</v>
      </c>
      <c r="E1754" s="37" t="str">
        <f t="shared" si="135"/>
        <v>Excellent Order</v>
      </c>
      <c r="F1754">
        <v>0.25</v>
      </c>
      <c r="G1754" s="37" t="str">
        <f t="shared" si="136"/>
        <v>Normal Discount</v>
      </c>
      <c r="H1754" s="37" t="str">
        <f t="shared" si="137"/>
        <v>Medium</v>
      </c>
      <c r="I1754">
        <v>9</v>
      </c>
      <c r="J1754" t="str" cm="1">
        <f t="array" ref="J1754">_xlfn.IFS(I1754&lt;=3,"small",I1754&lt;=6,"Medium",I1754&lt;=9,"Large")</f>
        <v>Large</v>
      </c>
      <c r="K1754" s="36">
        <v>45545</v>
      </c>
      <c r="L1754" s="36">
        <v>45546</v>
      </c>
      <c r="M1754" t="s">
        <v>603</v>
      </c>
      <c r="N1754" t="s">
        <v>608</v>
      </c>
      <c r="O1754" s="37" t="str">
        <f t="shared" si="138"/>
        <v>Cash Payment</v>
      </c>
      <c r="P1754">
        <v>959.29</v>
      </c>
      <c r="Q1754" s="37" t="str">
        <f>IF(P1754&gt;500,"High","low")</f>
        <v>High</v>
      </c>
      <c r="R1754" s="37" t="str">
        <f t="shared" si="139"/>
        <v>Good</v>
      </c>
      <c r="S1754" t="s">
        <v>600</v>
      </c>
    </row>
    <row r="1755" spans="1:19" x14ac:dyDescent="0.2">
      <c r="A1755" t="s">
        <v>2366</v>
      </c>
      <c r="B1755" t="s">
        <v>90</v>
      </c>
      <c r="C1755" t="s">
        <v>597</v>
      </c>
      <c r="D1755">
        <v>2689.66</v>
      </c>
      <c r="E1755" s="37" t="str">
        <f t="shared" si="135"/>
        <v xml:space="preserve"> </v>
      </c>
      <c r="F1755">
        <v>0.4</v>
      </c>
      <c r="G1755" s="37" t="str">
        <f t="shared" si="136"/>
        <v>Heavy Discount</v>
      </c>
      <c r="H1755" s="37" t="str">
        <f t="shared" si="137"/>
        <v>Medium</v>
      </c>
      <c r="I1755">
        <v>9</v>
      </c>
      <c r="J1755" t="str" cm="1">
        <f t="array" ref="J1755">_xlfn.IFS(I1755&lt;=3,"small",I1755&lt;=6,"Medium",I1755&lt;=9,"Large")</f>
        <v>Large</v>
      </c>
      <c r="K1755" s="36">
        <v>45132</v>
      </c>
      <c r="L1755" s="36">
        <v>45134</v>
      </c>
      <c r="M1755" t="s">
        <v>603</v>
      </c>
      <c r="N1755" t="s">
        <v>604</v>
      </c>
      <c r="O1755" s="37" t="str">
        <f t="shared" si="138"/>
        <v>Digital Payment</v>
      </c>
      <c r="P1755">
        <v>269.27</v>
      </c>
      <c r="Q1755" s="37" t="str">
        <f>IF(P1755&gt;500,"High","low")</f>
        <v>low</v>
      </c>
      <c r="R1755" s="37" t="str">
        <f t="shared" si="139"/>
        <v>AVERAGE</v>
      </c>
      <c r="S1755" t="s">
        <v>605</v>
      </c>
    </row>
    <row r="1756" spans="1:19" x14ac:dyDescent="0.2">
      <c r="A1756" t="s">
        <v>2367</v>
      </c>
      <c r="B1756" t="s">
        <v>75</v>
      </c>
      <c r="C1756" t="s">
        <v>602</v>
      </c>
      <c r="D1756">
        <v>4365.34</v>
      </c>
      <c r="E1756" s="37" t="str">
        <f t="shared" si="135"/>
        <v>Excellent Order</v>
      </c>
      <c r="F1756">
        <v>0.13</v>
      </c>
      <c r="G1756" s="37" t="str">
        <f t="shared" si="136"/>
        <v>Normal Discount</v>
      </c>
      <c r="H1756" s="37" t="str">
        <f t="shared" si="137"/>
        <v>Low</v>
      </c>
      <c r="I1756">
        <v>1</v>
      </c>
      <c r="J1756" t="str" cm="1">
        <f t="array" ref="J1756">_xlfn.IFS(I1756&lt;=3,"small",I1756&lt;=6,"Medium",I1756&lt;=9,"Large")</f>
        <v>small</v>
      </c>
      <c r="K1756" s="36">
        <v>45475</v>
      </c>
      <c r="L1756" s="36">
        <v>45478</v>
      </c>
      <c r="M1756" t="s">
        <v>598</v>
      </c>
      <c r="N1756" t="s">
        <v>608</v>
      </c>
      <c r="O1756" s="37" t="str">
        <f t="shared" si="138"/>
        <v>Cash Payment</v>
      </c>
      <c r="P1756">
        <v>824.64</v>
      </c>
      <c r="Q1756" s="37" t="str">
        <f>IF(P1756&gt;500,"High","low")</f>
        <v>High</v>
      </c>
      <c r="R1756" s="37" t="str">
        <f t="shared" si="139"/>
        <v>Good</v>
      </c>
      <c r="S1756" t="s">
        <v>620</v>
      </c>
    </row>
    <row r="1757" spans="1:19" x14ac:dyDescent="0.2">
      <c r="A1757" t="s">
        <v>2368</v>
      </c>
      <c r="B1757" t="s">
        <v>67</v>
      </c>
      <c r="C1757" t="s">
        <v>607</v>
      </c>
      <c r="D1757">
        <v>1524.64</v>
      </c>
      <c r="E1757" s="37" t="str">
        <f t="shared" si="135"/>
        <v xml:space="preserve"> </v>
      </c>
      <c r="F1757">
        <v>0.19</v>
      </c>
      <c r="G1757" s="37" t="str">
        <f t="shared" si="136"/>
        <v>Normal Discount</v>
      </c>
      <c r="H1757" s="37" t="str">
        <f t="shared" si="137"/>
        <v>Low</v>
      </c>
      <c r="I1757">
        <v>9</v>
      </c>
      <c r="J1757" t="str" cm="1">
        <f t="array" ref="J1757">_xlfn.IFS(I1757&lt;=3,"small",I1757&lt;=6,"Medium",I1757&lt;=9,"Large")</f>
        <v>Large</v>
      </c>
      <c r="K1757" s="36">
        <v>45569</v>
      </c>
      <c r="L1757" s="36">
        <v>45574</v>
      </c>
      <c r="M1757" t="s">
        <v>598</v>
      </c>
      <c r="N1757" t="s">
        <v>599</v>
      </c>
      <c r="O1757" s="37" t="str">
        <f t="shared" si="138"/>
        <v>Digital Payment</v>
      </c>
      <c r="P1757">
        <v>452.63</v>
      </c>
      <c r="Q1757" s="37" t="str">
        <f>IF(P1757&gt;500,"High","low")</f>
        <v>low</v>
      </c>
      <c r="R1757" s="37" t="str">
        <f t="shared" si="139"/>
        <v>AVERAGE</v>
      </c>
      <c r="S1757" t="s">
        <v>628</v>
      </c>
    </row>
    <row r="1758" spans="1:19" x14ac:dyDescent="0.2">
      <c r="A1758" t="s">
        <v>2369</v>
      </c>
      <c r="B1758" t="s">
        <v>75</v>
      </c>
      <c r="C1758" t="s">
        <v>614</v>
      </c>
      <c r="D1758">
        <v>4054.69</v>
      </c>
      <c r="E1758" s="37" t="str">
        <f t="shared" si="135"/>
        <v xml:space="preserve"> </v>
      </c>
      <c r="F1758">
        <v>0.34</v>
      </c>
      <c r="G1758" s="37" t="str">
        <f t="shared" si="136"/>
        <v>Heavy Discount</v>
      </c>
      <c r="H1758" s="37" t="str">
        <f t="shared" si="137"/>
        <v>Medium</v>
      </c>
      <c r="I1758">
        <v>7</v>
      </c>
      <c r="J1758" t="str" cm="1">
        <f t="array" ref="J1758">_xlfn.IFS(I1758&lt;=3,"small",I1758&lt;=6,"Medium",I1758&lt;=9,"Large")</f>
        <v>Large</v>
      </c>
      <c r="K1758" s="36">
        <v>44990</v>
      </c>
      <c r="L1758" s="36">
        <v>44995</v>
      </c>
      <c r="M1758" t="s">
        <v>603</v>
      </c>
      <c r="N1758" t="s">
        <v>608</v>
      </c>
      <c r="O1758" s="37" t="str">
        <f t="shared" si="138"/>
        <v>Cash Payment</v>
      </c>
      <c r="P1758">
        <v>655.52</v>
      </c>
      <c r="Q1758" s="37" t="str">
        <f>IF(P1758&gt;500,"High","low")</f>
        <v>High</v>
      </c>
      <c r="R1758" s="37" t="str">
        <f t="shared" si="139"/>
        <v>Good</v>
      </c>
      <c r="S1758" t="s">
        <v>615</v>
      </c>
    </row>
    <row r="1759" spans="1:19" x14ac:dyDescent="0.2">
      <c r="A1759" t="s">
        <v>2370</v>
      </c>
      <c r="B1759" t="s">
        <v>75</v>
      </c>
      <c r="C1759" t="s">
        <v>614</v>
      </c>
      <c r="D1759">
        <v>656.95</v>
      </c>
      <c r="E1759" s="37" t="str">
        <f t="shared" si="135"/>
        <v xml:space="preserve"> </v>
      </c>
      <c r="F1759">
        <v>0.5</v>
      </c>
      <c r="G1759" s="37" t="str">
        <f t="shared" si="136"/>
        <v>Heavy Discount</v>
      </c>
      <c r="H1759" s="37" t="str">
        <f t="shared" si="137"/>
        <v>High</v>
      </c>
      <c r="I1759">
        <v>8</v>
      </c>
      <c r="J1759" t="str" cm="1">
        <f t="array" ref="J1759">_xlfn.IFS(I1759&lt;=3,"small",I1759&lt;=6,"Medium",I1759&lt;=9,"Large")</f>
        <v>Large</v>
      </c>
      <c r="K1759" s="36">
        <v>45290</v>
      </c>
      <c r="L1759" s="36">
        <v>45294</v>
      </c>
      <c r="M1759" t="s">
        <v>598</v>
      </c>
      <c r="N1759" t="s">
        <v>604</v>
      </c>
      <c r="O1759" s="37" t="str">
        <f t="shared" si="138"/>
        <v>Digital Payment</v>
      </c>
      <c r="P1759">
        <v>123.45</v>
      </c>
      <c r="Q1759" s="37" t="str">
        <f>IF(P1759&gt;500,"High","low")</f>
        <v>low</v>
      </c>
      <c r="R1759" s="37" t="str">
        <f t="shared" si="139"/>
        <v>AVERAGE</v>
      </c>
      <c r="S1759" t="s">
        <v>605</v>
      </c>
    </row>
    <row r="1760" spans="1:19" x14ac:dyDescent="0.2">
      <c r="A1760" t="s">
        <v>2371</v>
      </c>
      <c r="B1760" t="s">
        <v>90</v>
      </c>
      <c r="C1760" t="s">
        <v>617</v>
      </c>
      <c r="D1760">
        <v>3857.47</v>
      </c>
      <c r="E1760" s="37" t="str">
        <f t="shared" si="135"/>
        <v xml:space="preserve"> </v>
      </c>
      <c r="F1760">
        <v>0.45</v>
      </c>
      <c r="G1760" s="37" t="str">
        <f t="shared" si="136"/>
        <v>Heavy Discount</v>
      </c>
      <c r="H1760" s="37" t="str">
        <f t="shared" si="137"/>
        <v>High</v>
      </c>
      <c r="I1760">
        <v>3</v>
      </c>
      <c r="J1760" t="str" cm="1">
        <f t="array" ref="J1760">_xlfn.IFS(I1760&lt;=3,"small",I1760&lt;=6,"Medium",I1760&lt;=9,"Large")</f>
        <v>small</v>
      </c>
      <c r="K1760" s="36">
        <v>45144</v>
      </c>
      <c r="L1760" s="36">
        <v>45145</v>
      </c>
      <c r="M1760" t="s">
        <v>612</v>
      </c>
      <c r="N1760" t="s">
        <v>599</v>
      </c>
      <c r="O1760" s="37" t="str">
        <f t="shared" si="138"/>
        <v>Digital Payment</v>
      </c>
      <c r="P1760">
        <v>1037.6400000000001</v>
      </c>
      <c r="Q1760" s="37" t="str">
        <f>IF(P1760&gt;500,"High","low")</f>
        <v>High</v>
      </c>
      <c r="R1760" s="37" t="str">
        <f t="shared" si="139"/>
        <v>Excellent</v>
      </c>
      <c r="S1760" t="s">
        <v>628</v>
      </c>
    </row>
    <row r="1761" spans="1:19" x14ac:dyDescent="0.2">
      <c r="A1761" t="s">
        <v>2372</v>
      </c>
      <c r="B1761" t="s">
        <v>90</v>
      </c>
      <c r="C1761" t="s">
        <v>617</v>
      </c>
      <c r="D1761">
        <v>1996.03</v>
      </c>
      <c r="E1761" s="37" t="str">
        <f t="shared" si="135"/>
        <v xml:space="preserve"> </v>
      </c>
      <c r="F1761">
        <v>0.26</v>
      </c>
      <c r="G1761" s="37" t="str">
        <f t="shared" si="136"/>
        <v>Normal Discount</v>
      </c>
      <c r="H1761" s="37" t="str">
        <f t="shared" si="137"/>
        <v>Medium</v>
      </c>
      <c r="I1761">
        <v>1</v>
      </c>
      <c r="J1761" t="str" cm="1">
        <f t="array" ref="J1761">_xlfn.IFS(I1761&lt;=3,"small",I1761&lt;=6,"Medium",I1761&lt;=9,"Large")</f>
        <v>small</v>
      </c>
      <c r="K1761" s="36">
        <v>45542</v>
      </c>
      <c r="L1761" s="36">
        <v>45549</v>
      </c>
      <c r="M1761" t="s">
        <v>598</v>
      </c>
      <c r="N1761" t="s">
        <v>608</v>
      </c>
      <c r="O1761" s="37" t="str">
        <f t="shared" si="138"/>
        <v>Cash Payment</v>
      </c>
      <c r="P1761">
        <v>535.80999999999995</v>
      </c>
      <c r="Q1761" s="37" t="str">
        <f>IF(P1761&gt;500,"High","low")</f>
        <v>High</v>
      </c>
      <c r="R1761" s="37" t="str">
        <f t="shared" si="139"/>
        <v>Good</v>
      </c>
      <c r="S1761" t="s">
        <v>605</v>
      </c>
    </row>
    <row r="1762" spans="1:19" x14ac:dyDescent="0.2">
      <c r="A1762" t="s">
        <v>2373</v>
      </c>
      <c r="B1762" t="s">
        <v>67</v>
      </c>
      <c r="C1762" t="s">
        <v>602</v>
      </c>
      <c r="D1762">
        <v>2402.9499999999998</v>
      </c>
      <c r="E1762" s="37" t="str">
        <f t="shared" si="135"/>
        <v xml:space="preserve"> </v>
      </c>
      <c r="F1762">
        <v>0.34</v>
      </c>
      <c r="G1762" s="37" t="str">
        <f t="shared" si="136"/>
        <v>Heavy Discount</v>
      </c>
      <c r="H1762" s="37" t="str">
        <f t="shared" si="137"/>
        <v>Medium</v>
      </c>
      <c r="I1762">
        <v>4</v>
      </c>
      <c r="J1762" t="str" cm="1">
        <f t="array" ref="J1762">_xlfn.IFS(I1762&lt;=3,"small",I1762&lt;=6,"Medium",I1762&lt;=9,"Large")</f>
        <v>Medium</v>
      </c>
      <c r="K1762" s="36">
        <v>45333</v>
      </c>
      <c r="L1762" s="36">
        <v>45337</v>
      </c>
      <c r="M1762" t="s">
        <v>603</v>
      </c>
      <c r="N1762" t="s">
        <v>599</v>
      </c>
      <c r="O1762" s="37" t="str">
        <f t="shared" si="138"/>
        <v>Digital Payment</v>
      </c>
      <c r="P1762">
        <v>159.83000000000001</v>
      </c>
      <c r="Q1762" s="37" t="str">
        <f>IF(P1762&gt;500,"High","low")</f>
        <v>low</v>
      </c>
      <c r="R1762" s="37" t="str">
        <f t="shared" si="139"/>
        <v>AVERAGE</v>
      </c>
      <c r="S1762" t="s">
        <v>609</v>
      </c>
    </row>
    <row r="1763" spans="1:19" x14ac:dyDescent="0.2">
      <c r="A1763" t="s">
        <v>2374</v>
      </c>
      <c r="B1763" t="s">
        <v>90</v>
      </c>
      <c r="C1763" t="s">
        <v>597</v>
      </c>
      <c r="D1763">
        <v>917.36</v>
      </c>
      <c r="E1763" s="37" t="str">
        <f t="shared" si="135"/>
        <v xml:space="preserve"> </v>
      </c>
      <c r="F1763">
        <v>0.27</v>
      </c>
      <c r="G1763" s="37" t="str">
        <f t="shared" si="136"/>
        <v>Normal Discount</v>
      </c>
      <c r="H1763" s="37" t="str">
        <f t="shared" si="137"/>
        <v>Medium</v>
      </c>
      <c r="I1763">
        <v>1</v>
      </c>
      <c r="J1763" t="str" cm="1">
        <f t="array" ref="J1763">_xlfn.IFS(I1763&lt;=3,"small",I1763&lt;=6,"Medium",I1763&lt;=9,"Large")</f>
        <v>small</v>
      </c>
      <c r="K1763" s="36">
        <v>44984</v>
      </c>
      <c r="L1763" s="36">
        <v>44985</v>
      </c>
      <c r="M1763" t="s">
        <v>612</v>
      </c>
      <c r="N1763" t="s">
        <v>599</v>
      </c>
      <c r="O1763" s="37" t="str">
        <f t="shared" si="138"/>
        <v>Digital Payment</v>
      </c>
      <c r="P1763">
        <v>252.93</v>
      </c>
      <c r="Q1763" s="37" t="str">
        <f>IF(P1763&gt;500,"High","low")</f>
        <v>low</v>
      </c>
      <c r="R1763" s="37" t="str">
        <f t="shared" si="139"/>
        <v>AVERAGE</v>
      </c>
      <c r="S1763" t="s">
        <v>620</v>
      </c>
    </row>
    <row r="1764" spans="1:19" x14ac:dyDescent="0.2">
      <c r="A1764" t="s">
        <v>2375</v>
      </c>
      <c r="B1764" t="s">
        <v>90</v>
      </c>
      <c r="C1764" t="s">
        <v>614</v>
      </c>
      <c r="D1764">
        <v>191.28</v>
      </c>
      <c r="E1764" s="37" t="str">
        <f t="shared" si="135"/>
        <v xml:space="preserve"> </v>
      </c>
      <c r="F1764">
        <v>0.22</v>
      </c>
      <c r="G1764" s="37" t="str">
        <f t="shared" si="136"/>
        <v>Normal Discount</v>
      </c>
      <c r="H1764" s="37" t="str">
        <f t="shared" si="137"/>
        <v>Medium</v>
      </c>
      <c r="I1764">
        <v>1</v>
      </c>
      <c r="J1764" t="str" cm="1">
        <f t="array" ref="J1764">_xlfn.IFS(I1764&lt;=3,"small",I1764&lt;=6,"Medium",I1764&lt;=9,"Large")</f>
        <v>small</v>
      </c>
      <c r="K1764" s="36">
        <v>45490</v>
      </c>
      <c r="L1764" s="36">
        <v>45491</v>
      </c>
      <c r="M1764" t="s">
        <v>612</v>
      </c>
      <c r="N1764" t="s">
        <v>608</v>
      </c>
      <c r="O1764" s="37" t="str">
        <f t="shared" si="138"/>
        <v>Cash Payment</v>
      </c>
      <c r="P1764">
        <v>40.94</v>
      </c>
      <c r="Q1764" s="37" t="str">
        <f>IF(P1764&gt;500,"High","low")</f>
        <v>low</v>
      </c>
      <c r="R1764" s="37" t="str">
        <f t="shared" si="139"/>
        <v>AVERAGE</v>
      </c>
      <c r="S1764" t="s">
        <v>615</v>
      </c>
    </row>
    <row r="1765" spans="1:19" x14ac:dyDescent="0.2">
      <c r="A1765" t="s">
        <v>2376</v>
      </c>
      <c r="B1765" t="s">
        <v>90</v>
      </c>
      <c r="C1765" t="s">
        <v>602</v>
      </c>
      <c r="D1765">
        <v>3364.37</v>
      </c>
      <c r="E1765" s="37" t="str">
        <f t="shared" si="135"/>
        <v xml:space="preserve"> </v>
      </c>
      <c r="F1765">
        <v>0.3</v>
      </c>
      <c r="G1765" s="37" t="str">
        <f t="shared" si="136"/>
        <v>Normal Discount</v>
      </c>
      <c r="H1765" s="37" t="str">
        <f t="shared" si="137"/>
        <v>Medium</v>
      </c>
      <c r="I1765">
        <v>4</v>
      </c>
      <c r="J1765" t="str" cm="1">
        <f t="array" ref="J1765">_xlfn.IFS(I1765&lt;=3,"small",I1765&lt;=6,"Medium",I1765&lt;=9,"Large")</f>
        <v>Medium</v>
      </c>
      <c r="K1765" s="36">
        <v>45193</v>
      </c>
      <c r="L1765" s="36">
        <v>45200</v>
      </c>
      <c r="M1765" t="s">
        <v>603</v>
      </c>
      <c r="N1765" t="s">
        <v>604</v>
      </c>
      <c r="O1765" s="37" t="str">
        <f t="shared" si="138"/>
        <v>Digital Payment</v>
      </c>
      <c r="P1765">
        <v>456.25</v>
      </c>
      <c r="Q1765" s="37" t="str">
        <f>IF(P1765&gt;500,"High","low")</f>
        <v>low</v>
      </c>
      <c r="R1765" s="37" t="str">
        <f t="shared" si="139"/>
        <v>AVERAGE</v>
      </c>
      <c r="S1765" t="s">
        <v>628</v>
      </c>
    </row>
    <row r="1766" spans="1:19" x14ac:dyDescent="0.2">
      <c r="A1766" t="s">
        <v>2377</v>
      </c>
      <c r="B1766" t="s">
        <v>75</v>
      </c>
      <c r="C1766" t="s">
        <v>617</v>
      </c>
      <c r="D1766">
        <v>2979.82</v>
      </c>
      <c r="E1766" s="37" t="str">
        <f t="shared" si="135"/>
        <v xml:space="preserve"> </v>
      </c>
      <c r="F1766">
        <v>0.19</v>
      </c>
      <c r="G1766" s="37" t="str">
        <f t="shared" si="136"/>
        <v>Normal Discount</v>
      </c>
      <c r="H1766" s="37" t="str">
        <f t="shared" si="137"/>
        <v>Low</v>
      </c>
      <c r="I1766">
        <v>8</v>
      </c>
      <c r="J1766" t="str" cm="1">
        <f t="array" ref="J1766">_xlfn.IFS(I1766&lt;=3,"small",I1766&lt;=6,"Medium",I1766&lt;=9,"Large")</f>
        <v>Large</v>
      </c>
      <c r="K1766" s="36">
        <v>45191</v>
      </c>
      <c r="L1766" s="36">
        <v>45197</v>
      </c>
      <c r="M1766" t="s">
        <v>612</v>
      </c>
      <c r="N1766" t="s">
        <v>599</v>
      </c>
      <c r="O1766" s="37" t="str">
        <f t="shared" si="138"/>
        <v>Digital Payment</v>
      </c>
      <c r="P1766">
        <v>720.26</v>
      </c>
      <c r="Q1766" s="37" t="str">
        <f>IF(P1766&gt;500,"High","low")</f>
        <v>High</v>
      </c>
      <c r="R1766" s="37" t="str">
        <f t="shared" si="139"/>
        <v>Good</v>
      </c>
      <c r="S1766" t="s">
        <v>615</v>
      </c>
    </row>
    <row r="1767" spans="1:19" x14ac:dyDescent="0.2">
      <c r="A1767" t="s">
        <v>2378</v>
      </c>
      <c r="B1767" t="s">
        <v>67</v>
      </c>
      <c r="C1767" t="s">
        <v>617</v>
      </c>
      <c r="D1767">
        <v>3149.9</v>
      </c>
      <c r="E1767" s="37" t="str">
        <f t="shared" si="135"/>
        <v xml:space="preserve"> </v>
      </c>
      <c r="F1767">
        <v>0.14000000000000001</v>
      </c>
      <c r="G1767" s="37" t="str">
        <f t="shared" si="136"/>
        <v>Normal Discount</v>
      </c>
      <c r="H1767" s="37" t="str">
        <f t="shared" si="137"/>
        <v>Low</v>
      </c>
      <c r="I1767">
        <v>1</v>
      </c>
      <c r="J1767" t="str" cm="1">
        <f t="array" ref="J1767">_xlfn.IFS(I1767&lt;=3,"small",I1767&lt;=6,"Medium",I1767&lt;=9,"Large")</f>
        <v>small</v>
      </c>
      <c r="K1767" s="36">
        <v>45252</v>
      </c>
      <c r="L1767" s="36">
        <v>45259</v>
      </c>
      <c r="M1767" t="s">
        <v>598</v>
      </c>
      <c r="N1767" t="s">
        <v>608</v>
      </c>
      <c r="O1767" s="37" t="str">
        <f t="shared" si="138"/>
        <v>Cash Payment</v>
      </c>
      <c r="P1767">
        <v>542.02</v>
      </c>
      <c r="Q1767" s="37" t="str">
        <f>IF(P1767&gt;500,"High","low")</f>
        <v>High</v>
      </c>
      <c r="R1767" s="37" t="str">
        <f t="shared" si="139"/>
        <v>Good</v>
      </c>
      <c r="S1767" t="s">
        <v>609</v>
      </c>
    </row>
    <row r="1768" spans="1:19" x14ac:dyDescent="0.2">
      <c r="A1768" t="s">
        <v>2379</v>
      </c>
      <c r="B1768" t="s">
        <v>83</v>
      </c>
      <c r="C1768" t="s">
        <v>614</v>
      </c>
      <c r="D1768">
        <v>1349.51</v>
      </c>
      <c r="E1768" s="37" t="str">
        <f t="shared" si="135"/>
        <v xml:space="preserve"> </v>
      </c>
      <c r="F1768">
        <v>0.35</v>
      </c>
      <c r="G1768" s="37" t="str">
        <f t="shared" si="136"/>
        <v>Heavy Discount</v>
      </c>
      <c r="H1768" s="37" t="str">
        <f t="shared" si="137"/>
        <v>Medium</v>
      </c>
      <c r="I1768">
        <v>9</v>
      </c>
      <c r="J1768" t="str" cm="1">
        <f t="array" ref="J1768">_xlfn.IFS(I1768&lt;=3,"small",I1768&lt;=6,"Medium",I1768&lt;=9,"Large")</f>
        <v>Large</v>
      </c>
      <c r="K1768" s="36">
        <v>45509</v>
      </c>
      <c r="L1768" s="36">
        <v>45515</v>
      </c>
      <c r="M1768" t="s">
        <v>598</v>
      </c>
      <c r="N1768" t="s">
        <v>599</v>
      </c>
      <c r="O1768" s="37" t="str">
        <f t="shared" si="138"/>
        <v>Digital Payment</v>
      </c>
      <c r="P1768">
        <v>252.4</v>
      </c>
      <c r="Q1768" s="37" t="str">
        <f>IF(P1768&gt;500,"High","low")</f>
        <v>low</v>
      </c>
      <c r="R1768" s="37" t="str">
        <f t="shared" si="139"/>
        <v>AVERAGE</v>
      </c>
      <c r="S1768" t="s">
        <v>609</v>
      </c>
    </row>
    <row r="1769" spans="1:19" x14ac:dyDescent="0.2">
      <c r="A1769" t="s">
        <v>2380</v>
      </c>
      <c r="B1769" t="s">
        <v>75</v>
      </c>
      <c r="C1769" t="s">
        <v>617</v>
      </c>
      <c r="D1769">
        <v>1272.46</v>
      </c>
      <c r="E1769" s="37" t="str">
        <f t="shared" si="135"/>
        <v xml:space="preserve"> </v>
      </c>
      <c r="F1769">
        <v>0.44</v>
      </c>
      <c r="G1769" s="37" t="str">
        <f t="shared" si="136"/>
        <v>Heavy Discount</v>
      </c>
      <c r="H1769" s="37" t="str">
        <f t="shared" si="137"/>
        <v>High</v>
      </c>
      <c r="I1769">
        <v>6</v>
      </c>
      <c r="J1769" t="str" cm="1">
        <f t="array" ref="J1769">_xlfn.IFS(I1769&lt;=3,"small",I1769&lt;=6,"Medium",I1769&lt;=9,"Large")</f>
        <v>Medium</v>
      </c>
      <c r="K1769" s="36">
        <v>45548</v>
      </c>
      <c r="L1769" s="36">
        <v>45549</v>
      </c>
      <c r="M1769" t="s">
        <v>603</v>
      </c>
      <c r="N1769" t="s">
        <v>604</v>
      </c>
      <c r="O1769" s="37" t="str">
        <f t="shared" si="138"/>
        <v>Digital Payment</v>
      </c>
      <c r="P1769">
        <v>266.5</v>
      </c>
      <c r="Q1769" s="37" t="str">
        <f>IF(P1769&gt;500,"High","low")</f>
        <v>low</v>
      </c>
      <c r="R1769" s="37" t="str">
        <f t="shared" si="139"/>
        <v>AVERAGE</v>
      </c>
      <c r="S1769" t="s">
        <v>628</v>
      </c>
    </row>
    <row r="1770" spans="1:19" x14ac:dyDescent="0.2">
      <c r="A1770" t="s">
        <v>2381</v>
      </c>
      <c r="B1770" t="s">
        <v>90</v>
      </c>
      <c r="C1770" t="s">
        <v>617</v>
      </c>
      <c r="D1770">
        <v>4168.45</v>
      </c>
      <c r="E1770" s="37" t="str">
        <f t="shared" si="135"/>
        <v>Excellent Order</v>
      </c>
      <c r="F1770">
        <v>0.14000000000000001</v>
      </c>
      <c r="G1770" s="37" t="str">
        <f t="shared" si="136"/>
        <v>Normal Discount</v>
      </c>
      <c r="H1770" s="37" t="str">
        <f t="shared" si="137"/>
        <v>Low</v>
      </c>
      <c r="I1770">
        <v>5</v>
      </c>
      <c r="J1770" t="str" cm="1">
        <f t="array" ref="J1770">_xlfn.IFS(I1770&lt;=3,"small",I1770&lt;=6,"Medium",I1770&lt;=9,"Large")</f>
        <v>Medium</v>
      </c>
      <c r="K1770" s="36">
        <v>45072</v>
      </c>
      <c r="L1770" s="36">
        <v>45079</v>
      </c>
      <c r="M1770" t="s">
        <v>612</v>
      </c>
      <c r="N1770" t="s">
        <v>608</v>
      </c>
      <c r="O1770" s="37" t="str">
        <f t="shared" si="138"/>
        <v>Cash Payment</v>
      </c>
      <c r="P1770">
        <v>1048.83</v>
      </c>
      <c r="Q1770" s="37" t="str">
        <f>IF(P1770&gt;500,"High","low")</f>
        <v>High</v>
      </c>
      <c r="R1770" s="37" t="str">
        <f t="shared" si="139"/>
        <v>Excellent</v>
      </c>
      <c r="S1770" t="s">
        <v>620</v>
      </c>
    </row>
    <row r="1771" spans="1:19" x14ac:dyDescent="0.2">
      <c r="A1771" t="s">
        <v>2382</v>
      </c>
      <c r="B1771" t="s">
        <v>75</v>
      </c>
      <c r="C1771" t="s">
        <v>607</v>
      </c>
      <c r="D1771">
        <v>3830.14</v>
      </c>
      <c r="E1771" s="37" t="str">
        <f t="shared" si="135"/>
        <v xml:space="preserve"> </v>
      </c>
      <c r="F1771">
        <v>0.35</v>
      </c>
      <c r="G1771" s="37" t="str">
        <f t="shared" si="136"/>
        <v>Heavy Discount</v>
      </c>
      <c r="H1771" s="37" t="str">
        <f t="shared" si="137"/>
        <v>Medium</v>
      </c>
      <c r="I1771">
        <v>9</v>
      </c>
      <c r="J1771" t="str" cm="1">
        <f t="array" ref="J1771">_xlfn.IFS(I1771&lt;=3,"small",I1771&lt;=6,"Medium",I1771&lt;=9,"Large")</f>
        <v>Large</v>
      </c>
      <c r="K1771" s="36">
        <v>44991</v>
      </c>
      <c r="L1771" s="36">
        <v>44994</v>
      </c>
      <c r="M1771" t="s">
        <v>603</v>
      </c>
      <c r="N1771" t="s">
        <v>608</v>
      </c>
      <c r="O1771" s="37" t="str">
        <f t="shared" si="138"/>
        <v>Cash Payment</v>
      </c>
      <c r="P1771">
        <v>643.20000000000005</v>
      </c>
      <c r="Q1771" s="37" t="str">
        <f>IF(P1771&gt;500,"High","low")</f>
        <v>High</v>
      </c>
      <c r="R1771" s="37" t="str">
        <f t="shared" si="139"/>
        <v>Good</v>
      </c>
      <c r="S1771" t="s">
        <v>628</v>
      </c>
    </row>
    <row r="1772" spans="1:19" x14ac:dyDescent="0.2">
      <c r="A1772" t="s">
        <v>2383</v>
      </c>
      <c r="B1772" t="s">
        <v>90</v>
      </c>
      <c r="C1772" t="s">
        <v>597</v>
      </c>
      <c r="D1772">
        <v>1750.27</v>
      </c>
      <c r="E1772" s="37" t="str">
        <f t="shared" si="135"/>
        <v xml:space="preserve"> </v>
      </c>
      <c r="F1772">
        <v>0.22</v>
      </c>
      <c r="G1772" s="37" t="str">
        <f t="shared" si="136"/>
        <v>Normal Discount</v>
      </c>
      <c r="H1772" s="37" t="str">
        <f t="shared" si="137"/>
        <v>Medium</v>
      </c>
      <c r="I1772">
        <v>9</v>
      </c>
      <c r="J1772" t="str" cm="1">
        <f t="array" ref="J1772">_xlfn.IFS(I1772&lt;=3,"small",I1772&lt;=6,"Medium",I1772&lt;=9,"Large")</f>
        <v>Large</v>
      </c>
      <c r="K1772" s="36">
        <v>45294</v>
      </c>
      <c r="L1772" s="36">
        <v>45296</v>
      </c>
      <c r="M1772" t="s">
        <v>598</v>
      </c>
      <c r="N1772" t="s">
        <v>604</v>
      </c>
      <c r="O1772" s="37" t="str">
        <f t="shared" si="138"/>
        <v>Digital Payment</v>
      </c>
      <c r="P1772">
        <v>201.07</v>
      </c>
      <c r="Q1772" s="37" t="str">
        <f>IF(P1772&gt;500,"High","low")</f>
        <v>low</v>
      </c>
      <c r="R1772" s="37" t="str">
        <f t="shared" si="139"/>
        <v>AVERAGE</v>
      </c>
      <c r="S1772" t="s">
        <v>600</v>
      </c>
    </row>
    <row r="1773" spans="1:19" x14ac:dyDescent="0.2">
      <c r="A1773" t="s">
        <v>2384</v>
      </c>
      <c r="B1773" t="s">
        <v>90</v>
      </c>
      <c r="C1773" t="s">
        <v>617</v>
      </c>
      <c r="D1773">
        <v>3225.25</v>
      </c>
      <c r="E1773" s="37" t="str">
        <f t="shared" si="135"/>
        <v xml:space="preserve"> </v>
      </c>
      <c r="F1773">
        <v>0.15</v>
      </c>
      <c r="G1773" s="37" t="str">
        <f t="shared" si="136"/>
        <v>Normal Discount</v>
      </c>
      <c r="H1773" s="37" t="str">
        <f t="shared" si="137"/>
        <v>Low</v>
      </c>
      <c r="I1773">
        <v>9</v>
      </c>
      <c r="J1773" t="str" cm="1">
        <f t="array" ref="J1773">_xlfn.IFS(I1773&lt;=3,"small",I1773&lt;=6,"Medium",I1773&lt;=9,"Large")</f>
        <v>Large</v>
      </c>
      <c r="K1773" s="36">
        <v>45517</v>
      </c>
      <c r="L1773" s="36">
        <v>45524</v>
      </c>
      <c r="M1773" t="s">
        <v>603</v>
      </c>
      <c r="N1773" t="s">
        <v>608</v>
      </c>
      <c r="O1773" s="37" t="str">
        <f t="shared" si="138"/>
        <v>Cash Payment</v>
      </c>
      <c r="P1773">
        <v>655.03</v>
      </c>
      <c r="Q1773" s="37" t="str">
        <f>IF(P1773&gt;500,"High","low")</f>
        <v>High</v>
      </c>
      <c r="R1773" s="37" t="str">
        <f t="shared" si="139"/>
        <v>Good</v>
      </c>
      <c r="S1773" t="s">
        <v>609</v>
      </c>
    </row>
    <row r="1774" spans="1:19" x14ac:dyDescent="0.2">
      <c r="A1774" t="s">
        <v>2385</v>
      </c>
      <c r="B1774" t="s">
        <v>75</v>
      </c>
      <c r="C1774" t="s">
        <v>607</v>
      </c>
      <c r="D1774">
        <v>4157.9399999999996</v>
      </c>
      <c r="E1774" s="37" t="str">
        <f t="shared" si="135"/>
        <v>Excellent Order</v>
      </c>
      <c r="F1774">
        <v>0.31</v>
      </c>
      <c r="G1774" s="37" t="str">
        <f t="shared" si="136"/>
        <v>Heavy Discount</v>
      </c>
      <c r="H1774" s="37" t="str">
        <f t="shared" si="137"/>
        <v>Medium</v>
      </c>
      <c r="I1774">
        <v>3</v>
      </c>
      <c r="J1774" t="str" cm="1">
        <f t="array" ref="J1774">_xlfn.IFS(I1774&lt;=3,"small",I1774&lt;=6,"Medium",I1774&lt;=9,"Large")</f>
        <v>small</v>
      </c>
      <c r="K1774" s="36">
        <v>45319</v>
      </c>
      <c r="L1774" s="36">
        <v>45325</v>
      </c>
      <c r="M1774" t="s">
        <v>603</v>
      </c>
      <c r="N1774" t="s">
        <v>599</v>
      </c>
      <c r="O1774" s="37" t="str">
        <f t="shared" si="138"/>
        <v>Digital Payment</v>
      </c>
      <c r="P1774">
        <v>1217.8399999999999</v>
      </c>
      <c r="Q1774" s="37" t="str">
        <f>IF(P1774&gt;500,"High","low")</f>
        <v>High</v>
      </c>
      <c r="R1774" s="37" t="str">
        <f t="shared" si="139"/>
        <v>Excellent</v>
      </c>
      <c r="S1774" t="s">
        <v>615</v>
      </c>
    </row>
    <row r="1775" spans="1:19" x14ac:dyDescent="0.2">
      <c r="A1775" t="s">
        <v>2386</v>
      </c>
      <c r="B1775" t="s">
        <v>67</v>
      </c>
      <c r="C1775" t="s">
        <v>602</v>
      </c>
      <c r="D1775">
        <v>4455.26</v>
      </c>
      <c r="E1775" s="37" t="str">
        <f t="shared" si="135"/>
        <v xml:space="preserve"> </v>
      </c>
      <c r="F1775">
        <v>0.47</v>
      </c>
      <c r="G1775" s="37" t="str">
        <f t="shared" si="136"/>
        <v>Heavy Discount</v>
      </c>
      <c r="H1775" s="37" t="str">
        <f t="shared" si="137"/>
        <v>High</v>
      </c>
      <c r="I1775">
        <v>8</v>
      </c>
      <c r="J1775" t="str" cm="1">
        <f t="array" ref="J1775">_xlfn.IFS(I1775&lt;=3,"small",I1775&lt;=6,"Medium",I1775&lt;=9,"Large")</f>
        <v>Large</v>
      </c>
      <c r="K1775" s="36">
        <v>45370</v>
      </c>
      <c r="L1775" s="36">
        <v>45372</v>
      </c>
      <c r="M1775" t="s">
        <v>612</v>
      </c>
      <c r="N1775" t="s">
        <v>604</v>
      </c>
      <c r="O1775" s="37" t="str">
        <f t="shared" si="138"/>
        <v>Digital Payment</v>
      </c>
      <c r="P1775">
        <v>331.29</v>
      </c>
      <c r="Q1775" s="37" t="str">
        <f>IF(P1775&gt;500,"High","low")</f>
        <v>low</v>
      </c>
      <c r="R1775" s="37" t="str">
        <f t="shared" si="139"/>
        <v>AVERAGE</v>
      </c>
      <c r="S1775" t="s">
        <v>605</v>
      </c>
    </row>
    <row r="1776" spans="1:19" x14ac:dyDescent="0.2">
      <c r="A1776" t="s">
        <v>2387</v>
      </c>
      <c r="B1776" t="s">
        <v>90</v>
      </c>
      <c r="C1776" t="s">
        <v>617</v>
      </c>
      <c r="D1776">
        <v>128.44999999999999</v>
      </c>
      <c r="E1776" s="37" t="str">
        <f t="shared" si="135"/>
        <v xml:space="preserve"> </v>
      </c>
      <c r="F1776">
        <v>0.18</v>
      </c>
      <c r="G1776" s="37" t="str">
        <f t="shared" si="136"/>
        <v>Normal Discount</v>
      </c>
      <c r="H1776" s="37" t="str">
        <f t="shared" si="137"/>
        <v>Low</v>
      </c>
      <c r="I1776">
        <v>4</v>
      </c>
      <c r="J1776" t="str" cm="1">
        <f t="array" ref="J1776">_xlfn.IFS(I1776&lt;=3,"small",I1776&lt;=6,"Medium",I1776&lt;=9,"Large")</f>
        <v>Medium</v>
      </c>
      <c r="K1776" s="36">
        <v>45063</v>
      </c>
      <c r="L1776" s="36">
        <v>45069</v>
      </c>
      <c r="M1776" t="s">
        <v>603</v>
      </c>
      <c r="N1776" t="s">
        <v>604</v>
      </c>
      <c r="O1776" s="37" t="str">
        <f t="shared" si="138"/>
        <v>Digital Payment</v>
      </c>
      <c r="P1776">
        <v>6.64</v>
      </c>
      <c r="Q1776" s="37" t="str">
        <f>IF(P1776&gt;500,"High","low")</f>
        <v>low</v>
      </c>
      <c r="R1776" s="37" t="str">
        <f t="shared" si="139"/>
        <v>AVERAGE</v>
      </c>
      <c r="S1776" t="s">
        <v>615</v>
      </c>
    </row>
    <row r="1777" spans="1:19" x14ac:dyDescent="0.2">
      <c r="A1777" t="s">
        <v>2388</v>
      </c>
      <c r="B1777" t="s">
        <v>67</v>
      </c>
      <c r="C1777" t="s">
        <v>602</v>
      </c>
      <c r="D1777">
        <v>4085.97</v>
      </c>
      <c r="E1777" s="37" t="str">
        <f t="shared" si="135"/>
        <v xml:space="preserve"> </v>
      </c>
      <c r="F1777">
        <v>0.38</v>
      </c>
      <c r="G1777" s="37" t="str">
        <f t="shared" si="136"/>
        <v>Heavy Discount</v>
      </c>
      <c r="H1777" s="37" t="str">
        <f t="shared" si="137"/>
        <v>Medium</v>
      </c>
      <c r="I1777">
        <v>4</v>
      </c>
      <c r="J1777" t="str" cm="1">
        <f t="array" ref="J1777">_xlfn.IFS(I1777&lt;=3,"small",I1777&lt;=6,"Medium",I1777&lt;=9,"Large")</f>
        <v>Medium</v>
      </c>
      <c r="K1777" s="36">
        <v>45610</v>
      </c>
      <c r="L1777" s="36">
        <v>45613</v>
      </c>
      <c r="M1777" t="s">
        <v>598</v>
      </c>
      <c r="N1777" t="s">
        <v>604</v>
      </c>
      <c r="O1777" s="37" t="str">
        <f t="shared" si="138"/>
        <v>Digital Payment</v>
      </c>
      <c r="P1777">
        <v>600.91</v>
      </c>
      <c r="Q1777" s="37" t="str">
        <f>IF(P1777&gt;500,"High","low")</f>
        <v>High</v>
      </c>
      <c r="R1777" s="37" t="str">
        <f t="shared" si="139"/>
        <v>Good</v>
      </c>
      <c r="S1777" t="s">
        <v>609</v>
      </c>
    </row>
    <row r="1778" spans="1:19" x14ac:dyDescent="0.2">
      <c r="A1778" t="s">
        <v>2389</v>
      </c>
      <c r="B1778" t="s">
        <v>83</v>
      </c>
      <c r="C1778" t="s">
        <v>617</v>
      </c>
      <c r="D1778">
        <v>1816.92</v>
      </c>
      <c r="E1778" s="37" t="str">
        <f t="shared" si="135"/>
        <v xml:space="preserve"> </v>
      </c>
      <c r="F1778">
        <v>0.16</v>
      </c>
      <c r="G1778" s="37" t="str">
        <f t="shared" si="136"/>
        <v>Normal Discount</v>
      </c>
      <c r="H1778" s="37" t="str">
        <f t="shared" si="137"/>
        <v>Low</v>
      </c>
      <c r="I1778">
        <v>7</v>
      </c>
      <c r="J1778" t="str" cm="1">
        <f t="array" ref="J1778">_xlfn.IFS(I1778&lt;=3,"small",I1778&lt;=6,"Medium",I1778&lt;=9,"Large")</f>
        <v>Large</v>
      </c>
      <c r="K1778" s="36">
        <v>45065</v>
      </c>
      <c r="L1778" s="36">
        <v>45069</v>
      </c>
      <c r="M1778" t="s">
        <v>598</v>
      </c>
      <c r="N1778" t="s">
        <v>599</v>
      </c>
      <c r="O1778" s="37" t="str">
        <f t="shared" si="138"/>
        <v>Digital Payment</v>
      </c>
      <c r="P1778">
        <v>337.97</v>
      </c>
      <c r="Q1778" s="37" t="str">
        <f>IF(P1778&gt;500,"High","low")</f>
        <v>low</v>
      </c>
      <c r="R1778" s="37" t="str">
        <f t="shared" si="139"/>
        <v>AVERAGE</v>
      </c>
      <c r="S1778" t="s">
        <v>615</v>
      </c>
    </row>
    <row r="1779" spans="1:19" x14ac:dyDescent="0.2">
      <c r="A1779" t="s">
        <v>2390</v>
      </c>
      <c r="B1779" t="s">
        <v>90</v>
      </c>
      <c r="C1779" t="s">
        <v>614</v>
      </c>
      <c r="D1779">
        <v>3620.05</v>
      </c>
      <c r="E1779" s="37" t="str">
        <f t="shared" si="135"/>
        <v xml:space="preserve"> </v>
      </c>
      <c r="F1779">
        <v>0.4</v>
      </c>
      <c r="G1779" s="37" t="str">
        <f t="shared" si="136"/>
        <v>Heavy Discount</v>
      </c>
      <c r="H1779" s="37" t="str">
        <f t="shared" si="137"/>
        <v>Medium</v>
      </c>
      <c r="I1779">
        <v>8</v>
      </c>
      <c r="J1779" t="str" cm="1">
        <f t="array" ref="J1779">_xlfn.IFS(I1779&lt;=3,"small",I1779&lt;=6,"Medium",I1779&lt;=9,"Large")</f>
        <v>Large</v>
      </c>
      <c r="K1779" s="36">
        <v>45057</v>
      </c>
      <c r="L1779" s="36">
        <v>45058</v>
      </c>
      <c r="M1779" t="s">
        <v>612</v>
      </c>
      <c r="N1779" t="s">
        <v>608</v>
      </c>
      <c r="O1779" s="37" t="str">
        <f t="shared" si="138"/>
        <v>Cash Payment</v>
      </c>
      <c r="P1779">
        <v>643.44000000000005</v>
      </c>
      <c r="Q1779" s="37" t="str">
        <f>IF(P1779&gt;500,"High","low")</f>
        <v>High</v>
      </c>
      <c r="R1779" s="37" t="str">
        <f t="shared" si="139"/>
        <v>Good</v>
      </c>
      <c r="S1779" t="s">
        <v>620</v>
      </c>
    </row>
    <row r="1780" spans="1:19" x14ac:dyDescent="0.2">
      <c r="A1780" t="s">
        <v>2391</v>
      </c>
      <c r="B1780" t="s">
        <v>67</v>
      </c>
      <c r="C1780" t="s">
        <v>607</v>
      </c>
      <c r="D1780">
        <v>1919.87</v>
      </c>
      <c r="E1780" s="37" t="str">
        <f t="shared" si="135"/>
        <v xml:space="preserve"> </v>
      </c>
      <c r="F1780">
        <v>0.38</v>
      </c>
      <c r="G1780" s="37" t="str">
        <f t="shared" si="136"/>
        <v>Heavy Discount</v>
      </c>
      <c r="H1780" s="37" t="str">
        <f t="shared" si="137"/>
        <v>Medium</v>
      </c>
      <c r="I1780">
        <v>4</v>
      </c>
      <c r="J1780" t="str" cm="1">
        <f t="array" ref="J1780">_xlfn.IFS(I1780&lt;=3,"small",I1780&lt;=6,"Medium",I1780&lt;=9,"Large")</f>
        <v>Medium</v>
      </c>
      <c r="K1780" s="36">
        <v>45643</v>
      </c>
      <c r="L1780" s="36">
        <v>45646</v>
      </c>
      <c r="M1780" t="s">
        <v>612</v>
      </c>
      <c r="N1780" t="s">
        <v>608</v>
      </c>
      <c r="O1780" s="37" t="str">
        <f t="shared" si="138"/>
        <v>Cash Payment</v>
      </c>
      <c r="P1780">
        <v>247.22</v>
      </c>
      <c r="Q1780" s="37" t="str">
        <f>IF(P1780&gt;500,"High","low")</f>
        <v>low</v>
      </c>
      <c r="R1780" s="37" t="str">
        <f t="shared" si="139"/>
        <v>AVERAGE</v>
      </c>
      <c r="S1780" t="s">
        <v>628</v>
      </c>
    </row>
    <row r="1781" spans="1:19" x14ac:dyDescent="0.2">
      <c r="A1781" t="s">
        <v>2392</v>
      </c>
      <c r="B1781" t="s">
        <v>67</v>
      </c>
      <c r="C1781" t="s">
        <v>607</v>
      </c>
      <c r="D1781">
        <v>3070.62</v>
      </c>
      <c r="E1781" s="37" t="str">
        <f t="shared" si="135"/>
        <v xml:space="preserve"> </v>
      </c>
      <c r="F1781">
        <v>0.38</v>
      </c>
      <c r="G1781" s="37" t="str">
        <f t="shared" si="136"/>
        <v>Heavy Discount</v>
      </c>
      <c r="H1781" s="37" t="str">
        <f t="shared" si="137"/>
        <v>Medium</v>
      </c>
      <c r="I1781">
        <v>6</v>
      </c>
      <c r="J1781" t="str" cm="1">
        <f t="array" ref="J1781">_xlfn.IFS(I1781&lt;=3,"small",I1781&lt;=6,"Medium",I1781&lt;=9,"Large")</f>
        <v>Medium</v>
      </c>
      <c r="K1781" s="36">
        <v>45598</v>
      </c>
      <c r="L1781" s="36">
        <v>45602</v>
      </c>
      <c r="M1781" t="s">
        <v>612</v>
      </c>
      <c r="N1781" t="s">
        <v>604</v>
      </c>
      <c r="O1781" s="37" t="str">
        <f t="shared" si="138"/>
        <v>Digital Payment</v>
      </c>
      <c r="P1781">
        <v>870.03</v>
      </c>
      <c r="Q1781" s="37" t="str">
        <f>IF(P1781&gt;500,"High","low")</f>
        <v>High</v>
      </c>
      <c r="R1781" s="37" t="str">
        <f t="shared" si="139"/>
        <v>Good</v>
      </c>
      <c r="S1781" t="s">
        <v>605</v>
      </c>
    </row>
    <row r="1782" spans="1:19" x14ac:dyDescent="0.2">
      <c r="A1782" t="s">
        <v>2393</v>
      </c>
      <c r="B1782" t="s">
        <v>83</v>
      </c>
      <c r="C1782" t="s">
        <v>614</v>
      </c>
      <c r="D1782">
        <v>3269.23</v>
      </c>
      <c r="E1782" s="37" t="str">
        <f t="shared" si="135"/>
        <v xml:space="preserve"> </v>
      </c>
      <c r="F1782">
        <v>0.5</v>
      </c>
      <c r="G1782" s="37" t="str">
        <f t="shared" si="136"/>
        <v>Heavy Discount</v>
      </c>
      <c r="H1782" s="37" t="str">
        <f t="shared" si="137"/>
        <v>High</v>
      </c>
      <c r="I1782">
        <v>1</v>
      </c>
      <c r="J1782" t="str" cm="1">
        <f t="array" ref="J1782">_xlfn.IFS(I1782&lt;=3,"small",I1782&lt;=6,"Medium",I1782&lt;=9,"Large")</f>
        <v>small</v>
      </c>
      <c r="K1782" s="36">
        <v>45588</v>
      </c>
      <c r="L1782" s="36">
        <v>45590</v>
      </c>
      <c r="M1782" t="s">
        <v>603</v>
      </c>
      <c r="N1782" t="s">
        <v>599</v>
      </c>
      <c r="O1782" s="37" t="str">
        <f t="shared" si="138"/>
        <v>Digital Payment</v>
      </c>
      <c r="P1782">
        <v>362.81</v>
      </c>
      <c r="Q1782" s="37" t="str">
        <f>IF(P1782&gt;500,"High","low")</f>
        <v>low</v>
      </c>
      <c r="R1782" s="37" t="str">
        <f t="shared" si="139"/>
        <v>AVERAGE</v>
      </c>
      <c r="S1782" t="s">
        <v>628</v>
      </c>
    </row>
    <row r="1783" spans="1:19" x14ac:dyDescent="0.2">
      <c r="A1783" t="s">
        <v>2394</v>
      </c>
      <c r="B1783" t="s">
        <v>67</v>
      </c>
      <c r="C1783" t="s">
        <v>597</v>
      </c>
      <c r="D1783">
        <v>2084.46</v>
      </c>
      <c r="E1783" s="37" t="str">
        <f t="shared" si="135"/>
        <v xml:space="preserve"> </v>
      </c>
      <c r="F1783">
        <v>7.0000000000000007E-2</v>
      </c>
      <c r="G1783" s="37" t="str">
        <f t="shared" si="136"/>
        <v>Normal Discount</v>
      </c>
      <c r="H1783" s="37" t="str">
        <f t="shared" si="137"/>
        <v>Low</v>
      </c>
      <c r="I1783">
        <v>2</v>
      </c>
      <c r="J1783" t="str" cm="1">
        <f t="array" ref="J1783">_xlfn.IFS(I1783&lt;=3,"small",I1783&lt;=6,"Medium",I1783&lt;=9,"Large")</f>
        <v>small</v>
      </c>
      <c r="K1783" s="36">
        <v>45360</v>
      </c>
      <c r="L1783" s="36">
        <v>45365</v>
      </c>
      <c r="M1783" t="s">
        <v>598</v>
      </c>
      <c r="N1783" t="s">
        <v>599</v>
      </c>
      <c r="O1783" s="37" t="str">
        <f t="shared" si="138"/>
        <v>Digital Payment</v>
      </c>
      <c r="P1783">
        <v>168.01</v>
      </c>
      <c r="Q1783" s="37" t="str">
        <f>IF(P1783&gt;500,"High","low")</f>
        <v>low</v>
      </c>
      <c r="R1783" s="37" t="str">
        <f t="shared" si="139"/>
        <v>AVERAGE</v>
      </c>
      <c r="S1783" t="s">
        <v>600</v>
      </c>
    </row>
    <row r="1784" spans="1:19" x14ac:dyDescent="0.2">
      <c r="A1784" t="s">
        <v>2395</v>
      </c>
      <c r="B1784" t="s">
        <v>67</v>
      </c>
      <c r="C1784" t="s">
        <v>607</v>
      </c>
      <c r="D1784">
        <v>2612.65</v>
      </c>
      <c r="E1784" s="37" t="str">
        <f t="shared" si="135"/>
        <v xml:space="preserve"> </v>
      </c>
      <c r="F1784">
        <v>0.19</v>
      </c>
      <c r="G1784" s="37" t="str">
        <f t="shared" si="136"/>
        <v>Normal Discount</v>
      </c>
      <c r="H1784" s="37" t="str">
        <f t="shared" si="137"/>
        <v>Low</v>
      </c>
      <c r="I1784">
        <v>5</v>
      </c>
      <c r="J1784" t="str" cm="1">
        <f t="array" ref="J1784">_xlfn.IFS(I1784&lt;=3,"small",I1784&lt;=6,"Medium",I1784&lt;=9,"Large")</f>
        <v>Medium</v>
      </c>
      <c r="K1784" s="36">
        <v>45033</v>
      </c>
      <c r="L1784" s="36">
        <v>45040</v>
      </c>
      <c r="M1784" t="s">
        <v>612</v>
      </c>
      <c r="N1784" t="s">
        <v>599</v>
      </c>
      <c r="O1784" s="37" t="str">
        <f t="shared" si="138"/>
        <v>Digital Payment</v>
      </c>
      <c r="P1784">
        <v>276.76</v>
      </c>
      <c r="Q1784" s="37" t="str">
        <f>IF(P1784&gt;500,"High","low")</f>
        <v>low</v>
      </c>
      <c r="R1784" s="37" t="str">
        <f t="shared" si="139"/>
        <v>AVERAGE</v>
      </c>
      <c r="S1784" t="s">
        <v>600</v>
      </c>
    </row>
    <row r="1785" spans="1:19" x14ac:dyDescent="0.2">
      <c r="A1785" t="s">
        <v>2396</v>
      </c>
      <c r="B1785" t="s">
        <v>83</v>
      </c>
      <c r="C1785" t="s">
        <v>602</v>
      </c>
      <c r="D1785">
        <v>3658.94</v>
      </c>
      <c r="E1785" s="37" t="str">
        <f t="shared" si="135"/>
        <v xml:space="preserve"> </v>
      </c>
      <c r="F1785">
        <v>0.32</v>
      </c>
      <c r="G1785" s="37" t="str">
        <f t="shared" si="136"/>
        <v>Heavy Discount</v>
      </c>
      <c r="H1785" s="37" t="str">
        <f t="shared" si="137"/>
        <v>Medium</v>
      </c>
      <c r="I1785">
        <v>4</v>
      </c>
      <c r="J1785" t="str" cm="1">
        <f t="array" ref="J1785">_xlfn.IFS(I1785&lt;=3,"small",I1785&lt;=6,"Medium",I1785&lt;=9,"Large")</f>
        <v>Medium</v>
      </c>
      <c r="K1785" s="36">
        <v>44952</v>
      </c>
      <c r="L1785" s="36">
        <v>44953</v>
      </c>
      <c r="M1785" t="s">
        <v>603</v>
      </c>
      <c r="N1785" t="s">
        <v>604</v>
      </c>
      <c r="O1785" s="37" t="str">
        <f t="shared" si="138"/>
        <v>Digital Payment</v>
      </c>
      <c r="P1785">
        <v>271.89</v>
      </c>
      <c r="Q1785" s="37" t="str">
        <f>IF(P1785&gt;500,"High","low")</f>
        <v>low</v>
      </c>
      <c r="R1785" s="37" t="str">
        <f t="shared" si="139"/>
        <v>AVERAGE</v>
      </c>
      <c r="S1785" t="s">
        <v>615</v>
      </c>
    </row>
    <row r="1786" spans="1:19" x14ac:dyDescent="0.2">
      <c r="A1786" t="s">
        <v>2397</v>
      </c>
      <c r="B1786" t="s">
        <v>90</v>
      </c>
      <c r="C1786" t="s">
        <v>607</v>
      </c>
      <c r="D1786">
        <v>2433.9</v>
      </c>
      <c r="E1786" s="37" t="str">
        <f t="shared" si="135"/>
        <v xml:space="preserve"> </v>
      </c>
      <c r="F1786">
        <v>0.3</v>
      </c>
      <c r="G1786" s="37" t="str">
        <f t="shared" si="136"/>
        <v>Normal Discount</v>
      </c>
      <c r="H1786" s="37" t="str">
        <f t="shared" si="137"/>
        <v>Medium</v>
      </c>
      <c r="I1786">
        <v>3</v>
      </c>
      <c r="J1786" t="str" cm="1">
        <f t="array" ref="J1786">_xlfn.IFS(I1786&lt;=3,"small",I1786&lt;=6,"Medium",I1786&lt;=9,"Large")</f>
        <v>small</v>
      </c>
      <c r="K1786" s="36">
        <v>45505</v>
      </c>
      <c r="L1786" s="36">
        <v>45506</v>
      </c>
      <c r="M1786" t="s">
        <v>598</v>
      </c>
      <c r="N1786" t="s">
        <v>608</v>
      </c>
      <c r="O1786" s="37" t="str">
        <f t="shared" si="138"/>
        <v>Cash Payment</v>
      </c>
      <c r="P1786">
        <v>636.38</v>
      </c>
      <c r="Q1786" s="37" t="str">
        <f>IF(P1786&gt;500,"High","low")</f>
        <v>High</v>
      </c>
      <c r="R1786" s="37" t="str">
        <f t="shared" si="139"/>
        <v>Good</v>
      </c>
      <c r="S1786" t="s">
        <v>615</v>
      </c>
    </row>
    <row r="1787" spans="1:19" x14ac:dyDescent="0.2">
      <c r="A1787" t="s">
        <v>2398</v>
      </c>
      <c r="B1787" t="s">
        <v>67</v>
      </c>
      <c r="C1787" t="s">
        <v>597</v>
      </c>
      <c r="D1787">
        <v>168.5</v>
      </c>
      <c r="E1787" s="37" t="str">
        <f t="shared" si="135"/>
        <v xml:space="preserve"> </v>
      </c>
      <c r="F1787">
        <v>0.39</v>
      </c>
      <c r="G1787" s="37" t="str">
        <f t="shared" si="136"/>
        <v>Heavy Discount</v>
      </c>
      <c r="H1787" s="37" t="str">
        <f t="shared" si="137"/>
        <v>Medium</v>
      </c>
      <c r="I1787">
        <v>6</v>
      </c>
      <c r="J1787" t="str" cm="1">
        <f t="array" ref="J1787">_xlfn.IFS(I1787&lt;=3,"small",I1787&lt;=6,"Medium",I1787&lt;=9,"Large")</f>
        <v>Medium</v>
      </c>
      <c r="K1787" s="36">
        <v>45108</v>
      </c>
      <c r="L1787" s="36">
        <v>45109</v>
      </c>
      <c r="M1787" t="s">
        <v>598</v>
      </c>
      <c r="N1787" t="s">
        <v>599</v>
      </c>
      <c r="O1787" s="37" t="str">
        <f t="shared" si="138"/>
        <v>Digital Payment</v>
      </c>
      <c r="P1787">
        <v>25.34</v>
      </c>
      <c r="Q1787" s="37" t="str">
        <f>IF(P1787&gt;500,"High","low")</f>
        <v>low</v>
      </c>
      <c r="R1787" s="37" t="str">
        <f t="shared" si="139"/>
        <v>AVERAGE</v>
      </c>
      <c r="S1787" t="s">
        <v>609</v>
      </c>
    </row>
    <row r="1788" spans="1:19" x14ac:dyDescent="0.2">
      <c r="A1788" t="s">
        <v>2399</v>
      </c>
      <c r="B1788" t="s">
        <v>67</v>
      </c>
      <c r="C1788" t="s">
        <v>602</v>
      </c>
      <c r="D1788">
        <v>163.22999999999999</v>
      </c>
      <c r="E1788" s="37" t="str">
        <f t="shared" si="135"/>
        <v xml:space="preserve"> </v>
      </c>
      <c r="F1788">
        <v>0.02</v>
      </c>
      <c r="G1788" s="37" t="str">
        <f t="shared" si="136"/>
        <v>Normal Discount</v>
      </c>
      <c r="H1788" s="37" t="str">
        <f t="shared" si="137"/>
        <v>Low</v>
      </c>
      <c r="I1788">
        <v>6</v>
      </c>
      <c r="J1788" t="str" cm="1">
        <f t="array" ref="J1788">_xlfn.IFS(I1788&lt;=3,"small",I1788&lt;=6,"Medium",I1788&lt;=9,"Large")</f>
        <v>Medium</v>
      </c>
      <c r="K1788" s="36">
        <v>45565</v>
      </c>
      <c r="L1788" s="36">
        <v>45571</v>
      </c>
      <c r="M1788" t="s">
        <v>612</v>
      </c>
      <c r="N1788" t="s">
        <v>608</v>
      </c>
      <c r="O1788" s="37" t="str">
        <f t="shared" si="138"/>
        <v>Cash Payment</v>
      </c>
      <c r="P1788">
        <v>42.06</v>
      </c>
      <c r="Q1788" s="37" t="str">
        <f>IF(P1788&gt;500,"High","low")</f>
        <v>low</v>
      </c>
      <c r="R1788" s="37" t="str">
        <f t="shared" si="139"/>
        <v>AVERAGE</v>
      </c>
      <c r="S1788" t="s">
        <v>605</v>
      </c>
    </row>
    <row r="1789" spans="1:19" x14ac:dyDescent="0.2">
      <c r="A1789" t="s">
        <v>2400</v>
      </c>
      <c r="B1789" t="s">
        <v>67</v>
      </c>
      <c r="C1789" t="s">
        <v>602</v>
      </c>
      <c r="D1789">
        <v>3340.42</v>
      </c>
      <c r="E1789" s="37" t="str">
        <f t="shared" si="135"/>
        <v xml:space="preserve"> </v>
      </c>
      <c r="F1789">
        <v>0.35</v>
      </c>
      <c r="G1789" s="37" t="str">
        <f t="shared" si="136"/>
        <v>Heavy Discount</v>
      </c>
      <c r="H1789" s="37" t="str">
        <f t="shared" si="137"/>
        <v>Medium</v>
      </c>
      <c r="I1789">
        <v>8</v>
      </c>
      <c r="J1789" t="str" cm="1">
        <f t="array" ref="J1789">_xlfn.IFS(I1789&lt;=3,"small",I1789&lt;=6,"Medium",I1789&lt;=9,"Large")</f>
        <v>Large</v>
      </c>
      <c r="K1789" s="36">
        <v>45304</v>
      </c>
      <c r="L1789" s="36">
        <v>45306</v>
      </c>
      <c r="M1789" t="s">
        <v>598</v>
      </c>
      <c r="N1789" t="s">
        <v>599</v>
      </c>
      <c r="O1789" s="37" t="str">
        <f t="shared" si="138"/>
        <v>Digital Payment</v>
      </c>
      <c r="P1789">
        <v>699.79</v>
      </c>
      <c r="Q1789" s="37" t="str">
        <f>IF(P1789&gt;500,"High","low")</f>
        <v>High</v>
      </c>
      <c r="R1789" s="37" t="str">
        <f t="shared" si="139"/>
        <v>Good</v>
      </c>
      <c r="S1789" t="s">
        <v>605</v>
      </c>
    </row>
    <row r="1790" spans="1:19" x14ac:dyDescent="0.2">
      <c r="A1790" t="s">
        <v>2401</v>
      </c>
      <c r="B1790" t="s">
        <v>75</v>
      </c>
      <c r="C1790" t="s">
        <v>614</v>
      </c>
      <c r="D1790">
        <v>4251.46</v>
      </c>
      <c r="E1790" s="37" t="str">
        <f t="shared" si="135"/>
        <v xml:space="preserve"> </v>
      </c>
      <c r="F1790">
        <v>0.37</v>
      </c>
      <c r="G1790" s="37" t="str">
        <f t="shared" si="136"/>
        <v>Heavy Discount</v>
      </c>
      <c r="H1790" s="37" t="str">
        <f t="shared" si="137"/>
        <v>Medium</v>
      </c>
      <c r="I1790">
        <v>2</v>
      </c>
      <c r="J1790" t="str" cm="1">
        <f t="array" ref="J1790">_xlfn.IFS(I1790&lt;=3,"small",I1790&lt;=6,"Medium",I1790&lt;=9,"Large")</f>
        <v>small</v>
      </c>
      <c r="K1790" s="36">
        <v>45574</v>
      </c>
      <c r="L1790" s="36">
        <v>45575</v>
      </c>
      <c r="M1790" t="s">
        <v>603</v>
      </c>
      <c r="N1790" t="s">
        <v>599</v>
      </c>
      <c r="O1790" s="37" t="str">
        <f t="shared" si="138"/>
        <v>Digital Payment</v>
      </c>
      <c r="P1790">
        <v>716.95</v>
      </c>
      <c r="Q1790" s="37" t="str">
        <f>IF(P1790&gt;500,"High","low")</f>
        <v>High</v>
      </c>
      <c r="R1790" s="37" t="str">
        <f t="shared" si="139"/>
        <v>Good</v>
      </c>
      <c r="S1790" t="s">
        <v>605</v>
      </c>
    </row>
    <row r="1791" spans="1:19" x14ac:dyDescent="0.2">
      <c r="A1791" t="s">
        <v>2402</v>
      </c>
      <c r="B1791" t="s">
        <v>83</v>
      </c>
      <c r="C1791" t="s">
        <v>617</v>
      </c>
      <c r="D1791">
        <v>3947.84</v>
      </c>
      <c r="E1791" s="37" t="str">
        <f t="shared" si="135"/>
        <v xml:space="preserve"> </v>
      </c>
      <c r="F1791">
        <v>0.03</v>
      </c>
      <c r="G1791" s="37" t="str">
        <f t="shared" si="136"/>
        <v>Normal Discount</v>
      </c>
      <c r="H1791" s="37" t="str">
        <f t="shared" si="137"/>
        <v>Low</v>
      </c>
      <c r="I1791">
        <v>7</v>
      </c>
      <c r="J1791" t="str" cm="1">
        <f t="array" ref="J1791">_xlfn.IFS(I1791&lt;=3,"small",I1791&lt;=6,"Medium",I1791&lt;=9,"Large")</f>
        <v>Large</v>
      </c>
      <c r="K1791" s="36">
        <v>44950</v>
      </c>
      <c r="L1791" s="36">
        <v>44951</v>
      </c>
      <c r="M1791" t="s">
        <v>612</v>
      </c>
      <c r="N1791" t="s">
        <v>604</v>
      </c>
      <c r="O1791" s="37" t="str">
        <f t="shared" si="138"/>
        <v>Digital Payment</v>
      </c>
      <c r="P1791">
        <v>298.38</v>
      </c>
      <c r="Q1791" s="37" t="str">
        <f>IF(P1791&gt;500,"High","low")</f>
        <v>low</v>
      </c>
      <c r="R1791" s="37" t="str">
        <f t="shared" si="139"/>
        <v>AVERAGE</v>
      </c>
      <c r="S1791" t="s">
        <v>600</v>
      </c>
    </row>
    <row r="1792" spans="1:19" x14ac:dyDescent="0.2">
      <c r="A1792" t="s">
        <v>2403</v>
      </c>
      <c r="B1792" t="s">
        <v>75</v>
      </c>
      <c r="C1792" t="s">
        <v>614</v>
      </c>
      <c r="D1792">
        <v>1620.96</v>
      </c>
      <c r="E1792" s="37" t="str">
        <f t="shared" si="135"/>
        <v xml:space="preserve"> </v>
      </c>
      <c r="F1792">
        <v>0.27</v>
      </c>
      <c r="G1792" s="37" t="str">
        <f t="shared" si="136"/>
        <v>Normal Discount</v>
      </c>
      <c r="H1792" s="37" t="str">
        <f t="shared" si="137"/>
        <v>Medium</v>
      </c>
      <c r="I1792">
        <v>7</v>
      </c>
      <c r="J1792" t="str" cm="1">
        <f t="array" ref="J1792">_xlfn.IFS(I1792&lt;=3,"small",I1792&lt;=6,"Medium",I1792&lt;=9,"Large")</f>
        <v>Large</v>
      </c>
      <c r="K1792" s="36">
        <v>45195</v>
      </c>
      <c r="L1792" s="36">
        <v>45201</v>
      </c>
      <c r="M1792" t="s">
        <v>603</v>
      </c>
      <c r="N1792" t="s">
        <v>604</v>
      </c>
      <c r="O1792" s="37" t="str">
        <f t="shared" si="138"/>
        <v>Digital Payment</v>
      </c>
      <c r="P1792">
        <v>96.1</v>
      </c>
      <c r="Q1792" s="37" t="str">
        <f>IF(P1792&gt;500,"High","low")</f>
        <v>low</v>
      </c>
      <c r="R1792" s="37" t="str">
        <f t="shared" si="139"/>
        <v>AVERAGE</v>
      </c>
      <c r="S1792" t="s">
        <v>605</v>
      </c>
    </row>
    <row r="1793" spans="1:19" x14ac:dyDescent="0.2">
      <c r="A1793" t="s">
        <v>2404</v>
      </c>
      <c r="B1793" t="s">
        <v>83</v>
      </c>
      <c r="C1793" t="s">
        <v>617</v>
      </c>
      <c r="D1793">
        <v>2408.5300000000002</v>
      </c>
      <c r="E1793" s="37" t="str">
        <f t="shared" si="135"/>
        <v xml:space="preserve"> </v>
      </c>
      <c r="F1793">
        <v>0.12</v>
      </c>
      <c r="G1793" s="37" t="str">
        <f t="shared" si="136"/>
        <v>Normal Discount</v>
      </c>
      <c r="H1793" s="37" t="str">
        <f t="shared" si="137"/>
        <v>Low</v>
      </c>
      <c r="I1793">
        <v>2</v>
      </c>
      <c r="J1793" t="str" cm="1">
        <f t="array" ref="J1793">_xlfn.IFS(I1793&lt;=3,"small",I1793&lt;=6,"Medium",I1793&lt;=9,"Large")</f>
        <v>small</v>
      </c>
      <c r="K1793" s="36">
        <v>45257</v>
      </c>
      <c r="L1793" s="36">
        <v>45263</v>
      </c>
      <c r="M1793" t="s">
        <v>598</v>
      </c>
      <c r="N1793" t="s">
        <v>604</v>
      </c>
      <c r="O1793" s="37" t="str">
        <f t="shared" si="138"/>
        <v>Digital Payment</v>
      </c>
      <c r="P1793">
        <v>456.03</v>
      </c>
      <c r="Q1793" s="37" t="str">
        <f>IF(P1793&gt;500,"High","low")</f>
        <v>low</v>
      </c>
      <c r="R1793" s="37" t="str">
        <f t="shared" si="139"/>
        <v>AVERAGE</v>
      </c>
      <c r="S1793" t="s">
        <v>605</v>
      </c>
    </row>
    <row r="1794" spans="1:19" x14ac:dyDescent="0.2">
      <c r="A1794" t="s">
        <v>2405</v>
      </c>
      <c r="B1794" t="s">
        <v>90</v>
      </c>
      <c r="C1794" t="s">
        <v>614</v>
      </c>
      <c r="D1794">
        <v>1247.3900000000001</v>
      </c>
      <c r="E1794" s="37" t="str">
        <f t="shared" si="135"/>
        <v xml:space="preserve"> </v>
      </c>
      <c r="F1794">
        <v>0.4</v>
      </c>
      <c r="G1794" s="37" t="str">
        <f t="shared" si="136"/>
        <v>Heavy Discount</v>
      </c>
      <c r="H1794" s="37" t="str">
        <f t="shared" si="137"/>
        <v>Medium</v>
      </c>
      <c r="I1794">
        <v>6</v>
      </c>
      <c r="J1794" t="str" cm="1">
        <f t="array" ref="J1794">_xlfn.IFS(I1794&lt;=3,"small",I1794&lt;=6,"Medium",I1794&lt;=9,"Large")</f>
        <v>Medium</v>
      </c>
      <c r="K1794" s="36">
        <v>45156</v>
      </c>
      <c r="L1794" s="36">
        <v>45158</v>
      </c>
      <c r="M1794" t="s">
        <v>603</v>
      </c>
      <c r="N1794" t="s">
        <v>608</v>
      </c>
      <c r="O1794" s="37" t="str">
        <f t="shared" si="138"/>
        <v>Cash Payment</v>
      </c>
      <c r="P1794">
        <v>124.75</v>
      </c>
      <c r="Q1794" s="37" t="str">
        <f>IF(P1794&gt;500,"High","low")</f>
        <v>low</v>
      </c>
      <c r="R1794" s="37" t="str">
        <f t="shared" si="139"/>
        <v>AVERAGE</v>
      </c>
      <c r="S1794" t="s">
        <v>600</v>
      </c>
    </row>
    <row r="1795" spans="1:19" x14ac:dyDescent="0.2">
      <c r="A1795" t="s">
        <v>2406</v>
      </c>
      <c r="B1795" t="s">
        <v>90</v>
      </c>
      <c r="C1795" t="s">
        <v>617</v>
      </c>
      <c r="D1795">
        <v>4946.83</v>
      </c>
      <c r="E1795" s="37" t="str">
        <f t="shared" ref="E1795:E1858" si="140">IF(AND(D1795&gt;4000,P1795&gt;800),"Excellent Order"," ")</f>
        <v xml:space="preserve"> </v>
      </c>
      <c r="F1795">
        <v>0.02</v>
      </c>
      <c r="G1795" s="37" t="str">
        <f t="shared" ref="G1795:G1858" si="141">IF(F1795&gt;30%,"Heavy Discount","Normal Discount")</f>
        <v>Normal Discount</v>
      </c>
      <c r="H1795" s="37" t="str">
        <f t="shared" ref="H1795:H1858" si="142">IF(F1795&gt;0.4,"High",IF(F1795&gt;=0.2,"Medium","Low"))</f>
        <v>Low</v>
      </c>
      <c r="I1795">
        <v>5</v>
      </c>
      <c r="J1795" t="str" cm="1">
        <f t="array" ref="J1795">_xlfn.IFS(I1795&lt;=3,"small",I1795&lt;=6,"Medium",I1795&lt;=9,"Large")</f>
        <v>Medium</v>
      </c>
      <c r="K1795" s="36">
        <v>45035</v>
      </c>
      <c r="L1795" s="36">
        <v>45041</v>
      </c>
      <c r="M1795" t="s">
        <v>612</v>
      </c>
      <c r="N1795" t="s">
        <v>604</v>
      </c>
      <c r="O1795" s="37" t="str">
        <f t="shared" ref="O1795:O1858" si="143">IF(OR(N1795="Card",N1795="UPI"),"Digital Payment","Cash Payment")</f>
        <v>Digital Payment</v>
      </c>
      <c r="P1795">
        <v>795.25</v>
      </c>
      <c r="Q1795" s="37" t="str">
        <f>IF(P1795&gt;500,"High","low")</f>
        <v>High</v>
      </c>
      <c r="R1795" s="37" t="str">
        <f t="shared" ref="R1795:R1858" si="144">IF(P1795&gt;1000,"Excellent",IF(P1795&gt;=500,"Good","AVERAGE"))</f>
        <v>Good</v>
      </c>
      <c r="S1795" t="s">
        <v>620</v>
      </c>
    </row>
    <row r="1796" spans="1:19" x14ac:dyDescent="0.2">
      <c r="A1796" t="s">
        <v>2407</v>
      </c>
      <c r="B1796" t="s">
        <v>67</v>
      </c>
      <c r="C1796" t="s">
        <v>607</v>
      </c>
      <c r="D1796">
        <v>1376.48</v>
      </c>
      <c r="E1796" s="37" t="str">
        <f t="shared" si="140"/>
        <v xml:space="preserve"> </v>
      </c>
      <c r="F1796">
        <v>7.0000000000000007E-2</v>
      </c>
      <c r="G1796" s="37" t="str">
        <f t="shared" si="141"/>
        <v>Normal Discount</v>
      </c>
      <c r="H1796" s="37" t="str">
        <f t="shared" si="142"/>
        <v>Low</v>
      </c>
      <c r="I1796">
        <v>2</v>
      </c>
      <c r="J1796" t="str" cm="1">
        <f t="array" ref="J1796">_xlfn.IFS(I1796&lt;=3,"small",I1796&lt;=6,"Medium",I1796&lt;=9,"Large")</f>
        <v>small</v>
      </c>
      <c r="K1796" s="36">
        <v>45114</v>
      </c>
      <c r="L1796" s="36">
        <v>45120</v>
      </c>
      <c r="M1796" t="s">
        <v>598</v>
      </c>
      <c r="N1796" t="s">
        <v>604</v>
      </c>
      <c r="O1796" s="37" t="str">
        <f t="shared" si="143"/>
        <v>Digital Payment</v>
      </c>
      <c r="P1796">
        <v>394.51</v>
      </c>
      <c r="Q1796" s="37" t="str">
        <f>IF(P1796&gt;500,"High","low")</f>
        <v>low</v>
      </c>
      <c r="R1796" s="37" t="str">
        <f t="shared" si="144"/>
        <v>AVERAGE</v>
      </c>
      <c r="S1796" t="s">
        <v>605</v>
      </c>
    </row>
    <row r="1797" spans="1:19" x14ac:dyDescent="0.2">
      <c r="A1797" t="s">
        <v>2408</v>
      </c>
      <c r="B1797" t="s">
        <v>83</v>
      </c>
      <c r="C1797" t="s">
        <v>602</v>
      </c>
      <c r="D1797">
        <v>2139.6799999999998</v>
      </c>
      <c r="E1797" s="37" t="str">
        <f t="shared" si="140"/>
        <v xml:space="preserve"> </v>
      </c>
      <c r="F1797">
        <v>0.05</v>
      </c>
      <c r="G1797" s="37" t="str">
        <f t="shared" si="141"/>
        <v>Normal Discount</v>
      </c>
      <c r="H1797" s="37" t="str">
        <f t="shared" si="142"/>
        <v>Low</v>
      </c>
      <c r="I1797">
        <v>9</v>
      </c>
      <c r="J1797" t="str" cm="1">
        <f t="array" ref="J1797">_xlfn.IFS(I1797&lt;=3,"small",I1797&lt;=6,"Medium",I1797&lt;=9,"Large")</f>
        <v>Large</v>
      </c>
      <c r="K1797" s="36">
        <v>45068</v>
      </c>
      <c r="L1797" s="36">
        <v>45074</v>
      </c>
      <c r="M1797" t="s">
        <v>603</v>
      </c>
      <c r="N1797" t="s">
        <v>599</v>
      </c>
      <c r="O1797" s="37" t="str">
        <f t="shared" si="143"/>
        <v>Digital Payment</v>
      </c>
      <c r="P1797">
        <v>178.49</v>
      </c>
      <c r="Q1797" s="37" t="str">
        <f>IF(P1797&gt;500,"High","low")</f>
        <v>low</v>
      </c>
      <c r="R1797" s="37" t="str">
        <f t="shared" si="144"/>
        <v>AVERAGE</v>
      </c>
      <c r="S1797" t="s">
        <v>605</v>
      </c>
    </row>
    <row r="1798" spans="1:19" x14ac:dyDescent="0.2">
      <c r="A1798" t="s">
        <v>2409</v>
      </c>
      <c r="B1798" t="s">
        <v>90</v>
      </c>
      <c r="C1798" t="s">
        <v>617</v>
      </c>
      <c r="D1798">
        <v>3437.53</v>
      </c>
      <c r="E1798" s="37" t="str">
        <f t="shared" si="140"/>
        <v xml:space="preserve"> </v>
      </c>
      <c r="F1798">
        <v>0.03</v>
      </c>
      <c r="G1798" s="37" t="str">
        <f t="shared" si="141"/>
        <v>Normal Discount</v>
      </c>
      <c r="H1798" s="37" t="str">
        <f t="shared" si="142"/>
        <v>Low</v>
      </c>
      <c r="I1798">
        <v>8</v>
      </c>
      <c r="J1798" t="str" cm="1">
        <f t="array" ref="J1798">_xlfn.IFS(I1798&lt;=3,"small",I1798&lt;=6,"Medium",I1798&lt;=9,"Large")</f>
        <v>Large</v>
      </c>
      <c r="K1798" s="36">
        <v>44972</v>
      </c>
      <c r="L1798" s="36">
        <v>44975</v>
      </c>
      <c r="M1798" t="s">
        <v>598</v>
      </c>
      <c r="N1798" t="s">
        <v>604</v>
      </c>
      <c r="O1798" s="37" t="str">
        <f t="shared" si="143"/>
        <v>Digital Payment</v>
      </c>
      <c r="P1798">
        <v>779.08</v>
      </c>
      <c r="Q1798" s="37" t="str">
        <f>IF(P1798&gt;500,"High","low")</f>
        <v>High</v>
      </c>
      <c r="R1798" s="37" t="str">
        <f t="shared" si="144"/>
        <v>Good</v>
      </c>
      <c r="S1798" t="s">
        <v>628</v>
      </c>
    </row>
    <row r="1799" spans="1:19" x14ac:dyDescent="0.2">
      <c r="A1799" t="s">
        <v>2410</v>
      </c>
      <c r="B1799" t="s">
        <v>83</v>
      </c>
      <c r="C1799" t="s">
        <v>607</v>
      </c>
      <c r="D1799">
        <v>4392.49</v>
      </c>
      <c r="E1799" s="37" t="str">
        <f t="shared" si="140"/>
        <v xml:space="preserve"> </v>
      </c>
      <c r="F1799">
        <v>0.3</v>
      </c>
      <c r="G1799" s="37" t="str">
        <f t="shared" si="141"/>
        <v>Normal Discount</v>
      </c>
      <c r="H1799" s="37" t="str">
        <f t="shared" si="142"/>
        <v>Medium</v>
      </c>
      <c r="I1799">
        <v>7</v>
      </c>
      <c r="J1799" t="str" cm="1">
        <f t="array" ref="J1799">_xlfn.IFS(I1799&lt;=3,"small",I1799&lt;=6,"Medium",I1799&lt;=9,"Large")</f>
        <v>Large</v>
      </c>
      <c r="K1799" s="36">
        <v>45169</v>
      </c>
      <c r="L1799" s="36">
        <v>45175</v>
      </c>
      <c r="M1799" t="s">
        <v>598</v>
      </c>
      <c r="N1799" t="s">
        <v>608</v>
      </c>
      <c r="O1799" s="37" t="str">
        <f t="shared" si="143"/>
        <v>Cash Payment</v>
      </c>
      <c r="P1799">
        <v>452.53</v>
      </c>
      <c r="Q1799" s="37" t="str">
        <f>IF(P1799&gt;500,"High","low")</f>
        <v>low</v>
      </c>
      <c r="R1799" s="37" t="str">
        <f t="shared" si="144"/>
        <v>AVERAGE</v>
      </c>
      <c r="S1799" t="s">
        <v>615</v>
      </c>
    </row>
    <row r="1800" spans="1:19" x14ac:dyDescent="0.2">
      <c r="A1800" t="s">
        <v>2411</v>
      </c>
      <c r="B1800" t="s">
        <v>90</v>
      </c>
      <c r="C1800" t="s">
        <v>597</v>
      </c>
      <c r="D1800">
        <v>352.23</v>
      </c>
      <c r="E1800" s="37" t="str">
        <f t="shared" si="140"/>
        <v xml:space="preserve"> </v>
      </c>
      <c r="F1800">
        <v>0.43</v>
      </c>
      <c r="G1800" s="37" t="str">
        <f t="shared" si="141"/>
        <v>Heavy Discount</v>
      </c>
      <c r="H1800" s="37" t="str">
        <f t="shared" si="142"/>
        <v>High</v>
      </c>
      <c r="I1800">
        <v>6</v>
      </c>
      <c r="J1800" t="str" cm="1">
        <f t="array" ref="J1800">_xlfn.IFS(I1800&lt;=3,"small",I1800&lt;=6,"Medium",I1800&lt;=9,"Large")</f>
        <v>Medium</v>
      </c>
      <c r="K1800" s="36">
        <v>45067</v>
      </c>
      <c r="L1800" s="36">
        <v>45071</v>
      </c>
      <c r="M1800" t="s">
        <v>612</v>
      </c>
      <c r="N1800" t="s">
        <v>604</v>
      </c>
      <c r="O1800" s="37" t="str">
        <f t="shared" si="143"/>
        <v>Digital Payment</v>
      </c>
      <c r="P1800">
        <v>38.83</v>
      </c>
      <c r="Q1800" s="37" t="str">
        <f>IF(P1800&gt;500,"High","low")</f>
        <v>low</v>
      </c>
      <c r="R1800" s="37" t="str">
        <f t="shared" si="144"/>
        <v>AVERAGE</v>
      </c>
      <c r="S1800" t="s">
        <v>609</v>
      </c>
    </row>
    <row r="1801" spans="1:19" x14ac:dyDescent="0.2">
      <c r="A1801" t="s">
        <v>2412</v>
      </c>
      <c r="B1801" t="s">
        <v>75</v>
      </c>
      <c r="C1801" t="s">
        <v>614</v>
      </c>
      <c r="D1801">
        <v>1575</v>
      </c>
      <c r="E1801" s="37" t="str">
        <f t="shared" si="140"/>
        <v xml:space="preserve"> </v>
      </c>
      <c r="F1801">
        <v>0.26</v>
      </c>
      <c r="G1801" s="37" t="str">
        <f t="shared" si="141"/>
        <v>Normal Discount</v>
      </c>
      <c r="H1801" s="37" t="str">
        <f t="shared" si="142"/>
        <v>Medium</v>
      </c>
      <c r="I1801">
        <v>5</v>
      </c>
      <c r="J1801" t="str" cm="1">
        <f t="array" ref="J1801">_xlfn.IFS(I1801&lt;=3,"small",I1801&lt;=6,"Medium",I1801&lt;=9,"Large")</f>
        <v>Medium</v>
      </c>
      <c r="K1801" s="36">
        <v>45078</v>
      </c>
      <c r="L1801" s="36">
        <v>45083</v>
      </c>
      <c r="M1801" t="s">
        <v>603</v>
      </c>
      <c r="N1801" t="s">
        <v>608</v>
      </c>
      <c r="O1801" s="37" t="str">
        <f t="shared" si="143"/>
        <v>Cash Payment</v>
      </c>
      <c r="P1801">
        <v>330.22</v>
      </c>
      <c r="Q1801" s="37" t="str">
        <f>IF(P1801&gt;500,"High","low")</f>
        <v>low</v>
      </c>
      <c r="R1801" s="37" t="str">
        <f t="shared" si="144"/>
        <v>AVERAGE</v>
      </c>
      <c r="S1801" t="s">
        <v>600</v>
      </c>
    </row>
    <row r="1802" spans="1:19" x14ac:dyDescent="0.2">
      <c r="A1802" t="s">
        <v>2413</v>
      </c>
      <c r="B1802" t="s">
        <v>90</v>
      </c>
      <c r="C1802" t="s">
        <v>597</v>
      </c>
      <c r="D1802">
        <v>2888.03</v>
      </c>
      <c r="E1802" s="37" t="str">
        <f t="shared" si="140"/>
        <v xml:space="preserve"> </v>
      </c>
      <c r="F1802">
        <v>0.11</v>
      </c>
      <c r="G1802" s="37" t="str">
        <f t="shared" si="141"/>
        <v>Normal Discount</v>
      </c>
      <c r="H1802" s="37" t="str">
        <f t="shared" si="142"/>
        <v>Low</v>
      </c>
      <c r="I1802">
        <v>9</v>
      </c>
      <c r="J1802" t="str" cm="1">
        <f t="array" ref="J1802">_xlfn.IFS(I1802&lt;=3,"small",I1802&lt;=6,"Medium",I1802&lt;=9,"Large")</f>
        <v>Large</v>
      </c>
      <c r="K1802" s="36">
        <v>45326</v>
      </c>
      <c r="L1802" s="36">
        <v>45330</v>
      </c>
      <c r="M1802" t="s">
        <v>603</v>
      </c>
      <c r="N1802" t="s">
        <v>604</v>
      </c>
      <c r="O1802" s="37" t="str">
        <f t="shared" si="143"/>
        <v>Digital Payment</v>
      </c>
      <c r="P1802">
        <v>238.9</v>
      </c>
      <c r="Q1802" s="37" t="str">
        <f>IF(P1802&gt;500,"High","low")</f>
        <v>low</v>
      </c>
      <c r="R1802" s="37" t="str">
        <f t="shared" si="144"/>
        <v>AVERAGE</v>
      </c>
      <c r="S1802" t="s">
        <v>609</v>
      </c>
    </row>
    <row r="1803" spans="1:19" x14ac:dyDescent="0.2">
      <c r="A1803" t="s">
        <v>2414</v>
      </c>
      <c r="B1803" t="s">
        <v>75</v>
      </c>
      <c r="C1803" t="s">
        <v>607</v>
      </c>
      <c r="D1803">
        <v>3129.73</v>
      </c>
      <c r="E1803" s="37" t="str">
        <f t="shared" si="140"/>
        <v xml:space="preserve"> </v>
      </c>
      <c r="F1803">
        <v>0.17</v>
      </c>
      <c r="G1803" s="37" t="str">
        <f t="shared" si="141"/>
        <v>Normal Discount</v>
      </c>
      <c r="H1803" s="37" t="str">
        <f t="shared" si="142"/>
        <v>Low</v>
      </c>
      <c r="I1803">
        <v>5</v>
      </c>
      <c r="J1803" t="str" cm="1">
        <f t="array" ref="J1803">_xlfn.IFS(I1803&lt;=3,"small",I1803&lt;=6,"Medium",I1803&lt;=9,"Large")</f>
        <v>Medium</v>
      </c>
      <c r="K1803" s="36">
        <v>45467</v>
      </c>
      <c r="L1803" s="36">
        <v>45474</v>
      </c>
      <c r="M1803" t="s">
        <v>598</v>
      </c>
      <c r="N1803" t="s">
        <v>604</v>
      </c>
      <c r="O1803" s="37" t="str">
        <f t="shared" si="143"/>
        <v>Digital Payment</v>
      </c>
      <c r="P1803">
        <v>459.81</v>
      </c>
      <c r="Q1803" s="37" t="str">
        <f>IF(P1803&gt;500,"High","low")</f>
        <v>low</v>
      </c>
      <c r="R1803" s="37" t="str">
        <f t="shared" si="144"/>
        <v>AVERAGE</v>
      </c>
      <c r="S1803" t="s">
        <v>600</v>
      </c>
    </row>
    <row r="1804" spans="1:19" x14ac:dyDescent="0.2">
      <c r="A1804" t="s">
        <v>2415</v>
      </c>
      <c r="B1804" t="s">
        <v>90</v>
      </c>
      <c r="C1804" t="s">
        <v>597</v>
      </c>
      <c r="D1804">
        <v>443.13</v>
      </c>
      <c r="E1804" s="37" t="str">
        <f t="shared" si="140"/>
        <v xml:space="preserve"> </v>
      </c>
      <c r="F1804">
        <v>0.18</v>
      </c>
      <c r="G1804" s="37" t="str">
        <f t="shared" si="141"/>
        <v>Normal Discount</v>
      </c>
      <c r="H1804" s="37" t="str">
        <f t="shared" si="142"/>
        <v>Low</v>
      </c>
      <c r="I1804">
        <v>6</v>
      </c>
      <c r="J1804" t="str" cm="1">
        <f t="array" ref="J1804">_xlfn.IFS(I1804&lt;=3,"small",I1804&lt;=6,"Medium",I1804&lt;=9,"Large")</f>
        <v>Medium</v>
      </c>
      <c r="K1804" s="36">
        <v>44945</v>
      </c>
      <c r="L1804" s="36">
        <v>44947</v>
      </c>
      <c r="M1804" t="s">
        <v>598</v>
      </c>
      <c r="N1804" t="s">
        <v>599</v>
      </c>
      <c r="O1804" s="37" t="str">
        <f t="shared" si="143"/>
        <v>Digital Payment</v>
      </c>
      <c r="P1804">
        <v>64.28</v>
      </c>
      <c r="Q1804" s="37" t="str">
        <f>IF(P1804&gt;500,"High","low")</f>
        <v>low</v>
      </c>
      <c r="R1804" s="37" t="str">
        <f t="shared" si="144"/>
        <v>AVERAGE</v>
      </c>
      <c r="S1804" t="s">
        <v>620</v>
      </c>
    </row>
    <row r="1805" spans="1:19" x14ac:dyDescent="0.2">
      <c r="A1805" t="s">
        <v>2416</v>
      </c>
      <c r="B1805" t="s">
        <v>67</v>
      </c>
      <c r="C1805" t="s">
        <v>597</v>
      </c>
      <c r="D1805">
        <v>3353.99</v>
      </c>
      <c r="E1805" s="37" t="str">
        <f t="shared" si="140"/>
        <v xml:space="preserve"> </v>
      </c>
      <c r="F1805">
        <v>0.23</v>
      </c>
      <c r="G1805" s="37" t="str">
        <f t="shared" si="141"/>
        <v>Normal Discount</v>
      </c>
      <c r="H1805" s="37" t="str">
        <f t="shared" si="142"/>
        <v>Medium</v>
      </c>
      <c r="I1805">
        <v>3</v>
      </c>
      <c r="J1805" t="str" cm="1">
        <f t="array" ref="J1805">_xlfn.IFS(I1805&lt;=3,"small",I1805&lt;=6,"Medium",I1805&lt;=9,"Large")</f>
        <v>small</v>
      </c>
      <c r="K1805" s="36">
        <v>45519</v>
      </c>
      <c r="L1805" s="36">
        <v>45521</v>
      </c>
      <c r="M1805" t="s">
        <v>612</v>
      </c>
      <c r="N1805" t="s">
        <v>604</v>
      </c>
      <c r="O1805" s="37" t="str">
        <f t="shared" si="143"/>
        <v>Digital Payment</v>
      </c>
      <c r="P1805">
        <v>549.48</v>
      </c>
      <c r="Q1805" s="37" t="str">
        <f>IF(P1805&gt;500,"High","low")</f>
        <v>High</v>
      </c>
      <c r="R1805" s="37" t="str">
        <f t="shared" si="144"/>
        <v>Good</v>
      </c>
      <c r="S1805" t="s">
        <v>600</v>
      </c>
    </row>
    <row r="1806" spans="1:19" x14ac:dyDescent="0.2">
      <c r="A1806" t="s">
        <v>2417</v>
      </c>
      <c r="B1806" t="s">
        <v>75</v>
      </c>
      <c r="C1806" t="s">
        <v>607</v>
      </c>
      <c r="D1806">
        <v>2687.52</v>
      </c>
      <c r="E1806" s="37" t="str">
        <f t="shared" si="140"/>
        <v xml:space="preserve"> </v>
      </c>
      <c r="F1806">
        <v>0.21</v>
      </c>
      <c r="G1806" s="37" t="str">
        <f t="shared" si="141"/>
        <v>Normal Discount</v>
      </c>
      <c r="H1806" s="37" t="str">
        <f t="shared" si="142"/>
        <v>Medium</v>
      </c>
      <c r="I1806">
        <v>9</v>
      </c>
      <c r="J1806" t="str" cm="1">
        <f t="array" ref="J1806">_xlfn.IFS(I1806&lt;=3,"small",I1806&lt;=6,"Medium",I1806&lt;=9,"Large")</f>
        <v>Large</v>
      </c>
      <c r="K1806" s="36">
        <v>45405</v>
      </c>
      <c r="L1806" s="36">
        <v>45409</v>
      </c>
      <c r="M1806" t="s">
        <v>612</v>
      </c>
      <c r="N1806" t="s">
        <v>604</v>
      </c>
      <c r="O1806" s="37" t="str">
        <f t="shared" si="143"/>
        <v>Digital Payment</v>
      </c>
      <c r="P1806">
        <v>348.37</v>
      </c>
      <c r="Q1806" s="37" t="str">
        <f>IF(P1806&gt;500,"High","low")</f>
        <v>low</v>
      </c>
      <c r="R1806" s="37" t="str">
        <f t="shared" si="144"/>
        <v>AVERAGE</v>
      </c>
      <c r="S1806" t="s">
        <v>615</v>
      </c>
    </row>
    <row r="1807" spans="1:19" x14ac:dyDescent="0.2">
      <c r="A1807" t="s">
        <v>2418</v>
      </c>
      <c r="B1807" t="s">
        <v>90</v>
      </c>
      <c r="C1807" t="s">
        <v>602</v>
      </c>
      <c r="D1807">
        <v>4155.37</v>
      </c>
      <c r="E1807" s="37" t="str">
        <f t="shared" si="140"/>
        <v xml:space="preserve"> </v>
      </c>
      <c r="F1807">
        <v>0.34</v>
      </c>
      <c r="G1807" s="37" t="str">
        <f t="shared" si="141"/>
        <v>Heavy Discount</v>
      </c>
      <c r="H1807" s="37" t="str">
        <f t="shared" si="142"/>
        <v>Medium</v>
      </c>
      <c r="I1807">
        <v>8</v>
      </c>
      <c r="J1807" t="str" cm="1">
        <f t="array" ref="J1807">_xlfn.IFS(I1807&lt;=3,"small",I1807&lt;=6,"Medium",I1807&lt;=9,"Large")</f>
        <v>Large</v>
      </c>
      <c r="K1807" s="36">
        <v>45102</v>
      </c>
      <c r="L1807" s="36">
        <v>45108</v>
      </c>
      <c r="M1807" t="s">
        <v>603</v>
      </c>
      <c r="N1807" t="s">
        <v>604</v>
      </c>
      <c r="O1807" s="37" t="str">
        <f t="shared" si="143"/>
        <v>Digital Payment</v>
      </c>
      <c r="P1807">
        <v>491.76</v>
      </c>
      <c r="Q1807" s="37" t="str">
        <f>IF(P1807&gt;500,"High","low")</f>
        <v>low</v>
      </c>
      <c r="R1807" s="37" t="str">
        <f t="shared" si="144"/>
        <v>AVERAGE</v>
      </c>
      <c r="S1807" t="s">
        <v>605</v>
      </c>
    </row>
    <row r="1808" spans="1:19" x14ac:dyDescent="0.2">
      <c r="A1808" t="s">
        <v>2419</v>
      </c>
      <c r="B1808" t="s">
        <v>67</v>
      </c>
      <c r="C1808" t="s">
        <v>617</v>
      </c>
      <c r="D1808">
        <v>1188.73</v>
      </c>
      <c r="E1808" s="37" t="str">
        <f t="shared" si="140"/>
        <v xml:space="preserve"> </v>
      </c>
      <c r="F1808">
        <v>0.17</v>
      </c>
      <c r="G1808" s="37" t="str">
        <f t="shared" si="141"/>
        <v>Normal Discount</v>
      </c>
      <c r="H1808" s="37" t="str">
        <f t="shared" si="142"/>
        <v>Low</v>
      </c>
      <c r="I1808">
        <v>9</v>
      </c>
      <c r="J1808" t="str" cm="1">
        <f t="array" ref="J1808">_xlfn.IFS(I1808&lt;=3,"small",I1808&lt;=6,"Medium",I1808&lt;=9,"Large")</f>
        <v>Large</v>
      </c>
      <c r="K1808" s="36">
        <v>45147</v>
      </c>
      <c r="L1808" s="36">
        <v>45149</v>
      </c>
      <c r="M1808" t="s">
        <v>598</v>
      </c>
      <c r="N1808" t="s">
        <v>604</v>
      </c>
      <c r="O1808" s="37" t="str">
        <f t="shared" si="143"/>
        <v>Digital Payment</v>
      </c>
      <c r="P1808">
        <v>291.82</v>
      </c>
      <c r="Q1808" s="37" t="str">
        <f>IF(P1808&gt;500,"High","low")</f>
        <v>low</v>
      </c>
      <c r="R1808" s="37" t="str">
        <f t="shared" si="144"/>
        <v>AVERAGE</v>
      </c>
      <c r="S1808" t="s">
        <v>615</v>
      </c>
    </row>
    <row r="1809" spans="1:19" x14ac:dyDescent="0.2">
      <c r="A1809" t="s">
        <v>2420</v>
      </c>
      <c r="B1809" t="s">
        <v>75</v>
      </c>
      <c r="C1809" t="s">
        <v>614</v>
      </c>
      <c r="D1809">
        <v>1055.6300000000001</v>
      </c>
      <c r="E1809" s="37" t="str">
        <f t="shared" si="140"/>
        <v xml:space="preserve"> </v>
      </c>
      <c r="F1809">
        <v>0.33</v>
      </c>
      <c r="G1809" s="37" t="str">
        <f t="shared" si="141"/>
        <v>Heavy Discount</v>
      </c>
      <c r="H1809" s="37" t="str">
        <f t="shared" si="142"/>
        <v>Medium</v>
      </c>
      <c r="I1809">
        <v>1</v>
      </c>
      <c r="J1809" t="str" cm="1">
        <f t="array" ref="J1809">_xlfn.IFS(I1809&lt;=3,"small",I1809&lt;=6,"Medium",I1809&lt;=9,"Large")</f>
        <v>small</v>
      </c>
      <c r="K1809" s="36">
        <v>45214</v>
      </c>
      <c r="L1809" s="36">
        <v>45219</v>
      </c>
      <c r="M1809" t="s">
        <v>598</v>
      </c>
      <c r="N1809" t="s">
        <v>604</v>
      </c>
      <c r="O1809" s="37" t="str">
        <f t="shared" si="143"/>
        <v>Digital Payment</v>
      </c>
      <c r="P1809">
        <v>73.83</v>
      </c>
      <c r="Q1809" s="37" t="str">
        <f>IF(P1809&gt;500,"High","low")</f>
        <v>low</v>
      </c>
      <c r="R1809" s="37" t="str">
        <f t="shared" si="144"/>
        <v>AVERAGE</v>
      </c>
      <c r="S1809" t="s">
        <v>620</v>
      </c>
    </row>
    <row r="1810" spans="1:19" x14ac:dyDescent="0.2">
      <c r="A1810" t="s">
        <v>2421</v>
      </c>
      <c r="B1810" t="s">
        <v>67</v>
      </c>
      <c r="C1810" t="s">
        <v>617</v>
      </c>
      <c r="D1810">
        <v>3987.35</v>
      </c>
      <c r="E1810" s="37" t="str">
        <f t="shared" si="140"/>
        <v xml:space="preserve"> </v>
      </c>
      <c r="F1810">
        <v>0.27</v>
      </c>
      <c r="G1810" s="37" t="str">
        <f t="shared" si="141"/>
        <v>Normal Discount</v>
      </c>
      <c r="H1810" s="37" t="str">
        <f t="shared" si="142"/>
        <v>Medium</v>
      </c>
      <c r="I1810">
        <v>1</v>
      </c>
      <c r="J1810" t="str" cm="1">
        <f t="array" ref="J1810">_xlfn.IFS(I1810&lt;=3,"small",I1810&lt;=6,"Medium",I1810&lt;=9,"Large")</f>
        <v>small</v>
      </c>
      <c r="K1810" s="36">
        <v>45484</v>
      </c>
      <c r="L1810" s="36">
        <v>45485</v>
      </c>
      <c r="M1810" t="s">
        <v>603</v>
      </c>
      <c r="N1810" t="s">
        <v>604</v>
      </c>
      <c r="O1810" s="37" t="str">
        <f t="shared" si="143"/>
        <v>Digital Payment</v>
      </c>
      <c r="P1810">
        <v>1046.5</v>
      </c>
      <c r="Q1810" s="37" t="str">
        <f>IF(P1810&gt;500,"High","low")</f>
        <v>High</v>
      </c>
      <c r="R1810" s="37" t="str">
        <f t="shared" si="144"/>
        <v>Excellent</v>
      </c>
      <c r="S1810" t="s">
        <v>628</v>
      </c>
    </row>
    <row r="1811" spans="1:19" x14ac:dyDescent="0.2">
      <c r="A1811" t="s">
        <v>2422</v>
      </c>
      <c r="B1811" t="s">
        <v>83</v>
      </c>
      <c r="C1811" t="s">
        <v>614</v>
      </c>
      <c r="D1811">
        <v>3548.96</v>
      </c>
      <c r="E1811" s="37" t="str">
        <f t="shared" si="140"/>
        <v xml:space="preserve"> </v>
      </c>
      <c r="F1811">
        <v>0.02</v>
      </c>
      <c r="G1811" s="37" t="str">
        <f t="shared" si="141"/>
        <v>Normal Discount</v>
      </c>
      <c r="H1811" s="37" t="str">
        <f t="shared" si="142"/>
        <v>Low</v>
      </c>
      <c r="I1811">
        <v>2</v>
      </c>
      <c r="J1811" t="str" cm="1">
        <f t="array" ref="J1811">_xlfn.IFS(I1811&lt;=3,"small",I1811&lt;=6,"Medium",I1811&lt;=9,"Large")</f>
        <v>small</v>
      </c>
      <c r="K1811" s="36">
        <v>45519</v>
      </c>
      <c r="L1811" s="36">
        <v>45522</v>
      </c>
      <c r="M1811" t="s">
        <v>612</v>
      </c>
      <c r="N1811" t="s">
        <v>604</v>
      </c>
      <c r="O1811" s="37" t="str">
        <f t="shared" si="143"/>
        <v>Digital Payment</v>
      </c>
      <c r="P1811">
        <v>921.3</v>
      </c>
      <c r="Q1811" s="37" t="str">
        <f>IF(P1811&gt;500,"High","low")</f>
        <v>High</v>
      </c>
      <c r="R1811" s="37" t="str">
        <f t="shared" si="144"/>
        <v>Good</v>
      </c>
      <c r="S1811" t="s">
        <v>605</v>
      </c>
    </row>
    <row r="1812" spans="1:19" x14ac:dyDescent="0.2">
      <c r="A1812" t="s">
        <v>2423</v>
      </c>
      <c r="B1812" t="s">
        <v>83</v>
      </c>
      <c r="C1812" t="s">
        <v>617</v>
      </c>
      <c r="D1812">
        <v>3979.2</v>
      </c>
      <c r="E1812" s="37" t="str">
        <f t="shared" si="140"/>
        <v xml:space="preserve"> </v>
      </c>
      <c r="F1812">
        <v>0.46</v>
      </c>
      <c r="G1812" s="37" t="str">
        <f t="shared" si="141"/>
        <v>Heavy Discount</v>
      </c>
      <c r="H1812" s="37" t="str">
        <f t="shared" si="142"/>
        <v>High</v>
      </c>
      <c r="I1812">
        <v>4</v>
      </c>
      <c r="J1812" t="str" cm="1">
        <f t="array" ref="J1812">_xlfn.IFS(I1812&lt;=3,"small",I1812&lt;=6,"Medium",I1812&lt;=9,"Large")</f>
        <v>Medium</v>
      </c>
      <c r="K1812" s="36">
        <v>45509</v>
      </c>
      <c r="L1812" s="36">
        <v>45514</v>
      </c>
      <c r="M1812" t="s">
        <v>603</v>
      </c>
      <c r="N1812" t="s">
        <v>599</v>
      </c>
      <c r="O1812" s="37" t="str">
        <f t="shared" si="143"/>
        <v>Digital Payment</v>
      </c>
      <c r="P1812">
        <v>1126.73</v>
      </c>
      <c r="Q1812" s="37" t="str">
        <f>IF(P1812&gt;500,"High","low")</f>
        <v>High</v>
      </c>
      <c r="R1812" s="37" t="str">
        <f t="shared" si="144"/>
        <v>Excellent</v>
      </c>
      <c r="S1812" t="s">
        <v>609</v>
      </c>
    </row>
    <row r="1813" spans="1:19" x14ac:dyDescent="0.2">
      <c r="A1813" t="s">
        <v>2424</v>
      </c>
      <c r="B1813" t="s">
        <v>75</v>
      </c>
      <c r="C1813" t="s">
        <v>597</v>
      </c>
      <c r="D1813">
        <v>3931.48</v>
      </c>
      <c r="E1813" s="37" t="str">
        <f t="shared" si="140"/>
        <v xml:space="preserve"> </v>
      </c>
      <c r="F1813">
        <v>0.09</v>
      </c>
      <c r="G1813" s="37" t="str">
        <f t="shared" si="141"/>
        <v>Normal Discount</v>
      </c>
      <c r="H1813" s="37" t="str">
        <f t="shared" si="142"/>
        <v>Low</v>
      </c>
      <c r="I1813">
        <v>5</v>
      </c>
      <c r="J1813" t="str" cm="1">
        <f t="array" ref="J1813">_xlfn.IFS(I1813&lt;=3,"small",I1813&lt;=6,"Medium",I1813&lt;=9,"Large")</f>
        <v>Medium</v>
      </c>
      <c r="K1813" s="36">
        <v>45251</v>
      </c>
      <c r="L1813" s="36">
        <v>45257</v>
      </c>
      <c r="M1813" t="s">
        <v>612</v>
      </c>
      <c r="N1813" t="s">
        <v>608</v>
      </c>
      <c r="O1813" s="37" t="str">
        <f t="shared" si="143"/>
        <v>Cash Payment</v>
      </c>
      <c r="P1813">
        <v>432.2</v>
      </c>
      <c r="Q1813" s="37" t="str">
        <f>IF(P1813&gt;500,"High","low")</f>
        <v>low</v>
      </c>
      <c r="R1813" s="37" t="str">
        <f t="shared" si="144"/>
        <v>AVERAGE</v>
      </c>
      <c r="S1813" t="s">
        <v>605</v>
      </c>
    </row>
    <row r="1814" spans="1:19" x14ac:dyDescent="0.2">
      <c r="A1814" t="s">
        <v>2425</v>
      </c>
      <c r="B1814" t="s">
        <v>90</v>
      </c>
      <c r="C1814" t="s">
        <v>602</v>
      </c>
      <c r="D1814">
        <v>609.6</v>
      </c>
      <c r="E1814" s="37" t="str">
        <f t="shared" si="140"/>
        <v xml:space="preserve"> </v>
      </c>
      <c r="F1814">
        <v>0.23</v>
      </c>
      <c r="G1814" s="37" t="str">
        <f t="shared" si="141"/>
        <v>Normal Discount</v>
      </c>
      <c r="H1814" s="37" t="str">
        <f t="shared" si="142"/>
        <v>Medium</v>
      </c>
      <c r="I1814">
        <v>7</v>
      </c>
      <c r="J1814" t="str" cm="1">
        <f t="array" ref="J1814">_xlfn.IFS(I1814&lt;=3,"small",I1814&lt;=6,"Medium",I1814&lt;=9,"Large")</f>
        <v>Large</v>
      </c>
      <c r="K1814" s="36">
        <v>45561</v>
      </c>
      <c r="L1814" s="36">
        <v>45563</v>
      </c>
      <c r="M1814" t="s">
        <v>598</v>
      </c>
      <c r="N1814" t="s">
        <v>608</v>
      </c>
      <c r="O1814" s="37" t="str">
        <f t="shared" si="143"/>
        <v>Cash Payment</v>
      </c>
      <c r="P1814">
        <v>170.14</v>
      </c>
      <c r="Q1814" s="37" t="str">
        <f>IF(P1814&gt;500,"High","low")</f>
        <v>low</v>
      </c>
      <c r="R1814" s="37" t="str">
        <f t="shared" si="144"/>
        <v>AVERAGE</v>
      </c>
      <c r="S1814" t="s">
        <v>620</v>
      </c>
    </row>
    <row r="1815" spans="1:19" x14ac:dyDescent="0.2">
      <c r="A1815" t="s">
        <v>2426</v>
      </c>
      <c r="B1815" t="s">
        <v>75</v>
      </c>
      <c r="C1815" t="s">
        <v>597</v>
      </c>
      <c r="D1815">
        <v>1465.06</v>
      </c>
      <c r="E1815" s="37" t="str">
        <f t="shared" si="140"/>
        <v xml:space="preserve"> </v>
      </c>
      <c r="F1815">
        <v>0.47</v>
      </c>
      <c r="G1815" s="37" t="str">
        <f t="shared" si="141"/>
        <v>Heavy Discount</v>
      </c>
      <c r="H1815" s="37" t="str">
        <f t="shared" si="142"/>
        <v>High</v>
      </c>
      <c r="I1815">
        <v>4</v>
      </c>
      <c r="J1815" t="str" cm="1">
        <f t="array" ref="J1815">_xlfn.IFS(I1815&lt;=3,"small",I1815&lt;=6,"Medium",I1815&lt;=9,"Large")</f>
        <v>Medium</v>
      </c>
      <c r="K1815" s="36">
        <v>45343</v>
      </c>
      <c r="L1815" s="36">
        <v>45346</v>
      </c>
      <c r="M1815" t="s">
        <v>612</v>
      </c>
      <c r="N1815" t="s">
        <v>604</v>
      </c>
      <c r="O1815" s="37" t="str">
        <f t="shared" si="143"/>
        <v>Digital Payment</v>
      </c>
      <c r="P1815">
        <v>238.23</v>
      </c>
      <c r="Q1815" s="37" t="str">
        <f>IF(P1815&gt;500,"High","low")</f>
        <v>low</v>
      </c>
      <c r="R1815" s="37" t="str">
        <f t="shared" si="144"/>
        <v>AVERAGE</v>
      </c>
      <c r="S1815" t="s">
        <v>615</v>
      </c>
    </row>
    <row r="1816" spans="1:19" x14ac:dyDescent="0.2">
      <c r="A1816" t="s">
        <v>2427</v>
      </c>
      <c r="B1816" t="s">
        <v>67</v>
      </c>
      <c r="C1816" t="s">
        <v>602</v>
      </c>
      <c r="D1816">
        <v>1374.42</v>
      </c>
      <c r="E1816" s="37" t="str">
        <f t="shared" si="140"/>
        <v xml:space="preserve"> </v>
      </c>
      <c r="F1816">
        <v>0.12</v>
      </c>
      <c r="G1816" s="37" t="str">
        <f t="shared" si="141"/>
        <v>Normal Discount</v>
      </c>
      <c r="H1816" s="37" t="str">
        <f t="shared" si="142"/>
        <v>Low</v>
      </c>
      <c r="I1816">
        <v>1</v>
      </c>
      <c r="J1816" t="str" cm="1">
        <f t="array" ref="J1816">_xlfn.IFS(I1816&lt;=3,"small",I1816&lt;=6,"Medium",I1816&lt;=9,"Large")</f>
        <v>small</v>
      </c>
      <c r="K1816" s="36">
        <v>45422</v>
      </c>
      <c r="L1816" s="36">
        <v>45429</v>
      </c>
      <c r="M1816" t="s">
        <v>612</v>
      </c>
      <c r="N1816" t="s">
        <v>608</v>
      </c>
      <c r="O1816" s="37" t="str">
        <f t="shared" si="143"/>
        <v>Cash Payment</v>
      </c>
      <c r="P1816">
        <v>303.66000000000003</v>
      </c>
      <c r="Q1816" s="37" t="str">
        <f>IF(P1816&gt;500,"High","low")</f>
        <v>low</v>
      </c>
      <c r="R1816" s="37" t="str">
        <f t="shared" si="144"/>
        <v>AVERAGE</v>
      </c>
      <c r="S1816" t="s">
        <v>628</v>
      </c>
    </row>
    <row r="1817" spans="1:19" x14ac:dyDescent="0.2">
      <c r="A1817" t="s">
        <v>2428</v>
      </c>
      <c r="B1817" t="s">
        <v>90</v>
      </c>
      <c r="C1817" t="s">
        <v>607</v>
      </c>
      <c r="D1817">
        <v>4679.4799999999996</v>
      </c>
      <c r="E1817" s="37" t="str">
        <f t="shared" si="140"/>
        <v>Excellent Order</v>
      </c>
      <c r="F1817">
        <v>0.01</v>
      </c>
      <c r="G1817" s="37" t="str">
        <f t="shared" si="141"/>
        <v>Normal Discount</v>
      </c>
      <c r="H1817" s="37" t="str">
        <f t="shared" si="142"/>
        <v>Low</v>
      </c>
      <c r="I1817">
        <v>8</v>
      </c>
      <c r="J1817" t="str" cm="1">
        <f t="array" ref="J1817">_xlfn.IFS(I1817&lt;=3,"small",I1817&lt;=6,"Medium",I1817&lt;=9,"Large")</f>
        <v>Large</v>
      </c>
      <c r="K1817" s="36">
        <v>44949</v>
      </c>
      <c r="L1817" s="36">
        <v>44955</v>
      </c>
      <c r="M1817" t="s">
        <v>603</v>
      </c>
      <c r="N1817" t="s">
        <v>608</v>
      </c>
      <c r="O1817" s="37" t="str">
        <f t="shared" si="143"/>
        <v>Cash Payment</v>
      </c>
      <c r="P1817">
        <v>1230.45</v>
      </c>
      <c r="Q1817" s="37" t="str">
        <f>IF(P1817&gt;500,"High","low")</f>
        <v>High</v>
      </c>
      <c r="R1817" s="37" t="str">
        <f t="shared" si="144"/>
        <v>Excellent</v>
      </c>
      <c r="S1817" t="s">
        <v>605</v>
      </c>
    </row>
    <row r="1818" spans="1:19" x14ac:dyDescent="0.2">
      <c r="A1818" t="s">
        <v>2429</v>
      </c>
      <c r="B1818" t="s">
        <v>83</v>
      </c>
      <c r="C1818" t="s">
        <v>614</v>
      </c>
      <c r="D1818">
        <v>2488.59</v>
      </c>
      <c r="E1818" s="37" t="str">
        <f t="shared" si="140"/>
        <v xml:space="preserve"> </v>
      </c>
      <c r="F1818">
        <v>0.25</v>
      </c>
      <c r="G1818" s="37" t="str">
        <f t="shared" si="141"/>
        <v>Normal Discount</v>
      </c>
      <c r="H1818" s="37" t="str">
        <f t="shared" si="142"/>
        <v>Medium</v>
      </c>
      <c r="I1818">
        <v>3</v>
      </c>
      <c r="J1818" t="str" cm="1">
        <f t="array" ref="J1818">_xlfn.IFS(I1818&lt;=3,"small",I1818&lt;=6,"Medium",I1818&lt;=9,"Large")</f>
        <v>small</v>
      </c>
      <c r="K1818" s="36">
        <v>45388</v>
      </c>
      <c r="L1818" s="36">
        <v>45392</v>
      </c>
      <c r="M1818" t="s">
        <v>598</v>
      </c>
      <c r="N1818" t="s">
        <v>599</v>
      </c>
      <c r="O1818" s="37" t="str">
        <f t="shared" si="143"/>
        <v>Digital Payment</v>
      </c>
      <c r="P1818">
        <v>163.38999999999999</v>
      </c>
      <c r="Q1818" s="37" t="str">
        <f>IF(P1818&gt;500,"High","low")</f>
        <v>low</v>
      </c>
      <c r="R1818" s="37" t="str">
        <f t="shared" si="144"/>
        <v>AVERAGE</v>
      </c>
      <c r="S1818" t="s">
        <v>620</v>
      </c>
    </row>
    <row r="1819" spans="1:19" x14ac:dyDescent="0.2">
      <c r="A1819" t="s">
        <v>2430</v>
      </c>
      <c r="B1819" t="s">
        <v>90</v>
      </c>
      <c r="C1819" t="s">
        <v>614</v>
      </c>
      <c r="D1819">
        <v>644.17999999999995</v>
      </c>
      <c r="E1819" s="37" t="str">
        <f t="shared" si="140"/>
        <v xml:space="preserve"> </v>
      </c>
      <c r="F1819">
        <v>0.11</v>
      </c>
      <c r="G1819" s="37" t="str">
        <f t="shared" si="141"/>
        <v>Normal Discount</v>
      </c>
      <c r="H1819" s="37" t="str">
        <f t="shared" si="142"/>
        <v>Low</v>
      </c>
      <c r="I1819">
        <v>9</v>
      </c>
      <c r="J1819" t="str" cm="1">
        <f t="array" ref="J1819">_xlfn.IFS(I1819&lt;=3,"small",I1819&lt;=6,"Medium",I1819&lt;=9,"Large")</f>
        <v>Large</v>
      </c>
      <c r="K1819" s="36">
        <v>45305</v>
      </c>
      <c r="L1819" s="36">
        <v>45306</v>
      </c>
      <c r="M1819" t="s">
        <v>598</v>
      </c>
      <c r="N1819" t="s">
        <v>608</v>
      </c>
      <c r="O1819" s="37" t="str">
        <f t="shared" si="143"/>
        <v>Cash Payment</v>
      </c>
      <c r="P1819">
        <v>37.799999999999997</v>
      </c>
      <c r="Q1819" s="37" t="str">
        <f>IF(P1819&gt;500,"High","low")</f>
        <v>low</v>
      </c>
      <c r="R1819" s="37" t="str">
        <f t="shared" si="144"/>
        <v>AVERAGE</v>
      </c>
      <c r="S1819" t="s">
        <v>620</v>
      </c>
    </row>
    <row r="1820" spans="1:19" x14ac:dyDescent="0.2">
      <c r="A1820" t="s">
        <v>2431</v>
      </c>
      <c r="B1820" t="s">
        <v>83</v>
      </c>
      <c r="C1820" t="s">
        <v>607</v>
      </c>
      <c r="D1820">
        <v>1518.93</v>
      </c>
      <c r="E1820" s="37" t="str">
        <f t="shared" si="140"/>
        <v xml:space="preserve"> </v>
      </c>
      <c r="F1820">
        <v>0.28999999999999998</v>
      </c>
      <c r="G1820" s="37" t="str">
        <f t="shared" si="141"/>
        <v>Normal Discount</v>
      </c>
      <c r="H1820" s="37" t="str">
        <f t="shared" si="142"/>
        <v>Medium</v>
      </c>
      <c r="I1820">
        <v>2</v>
      </c>
      <c r="J1820" t="str" cm="1">
        <f t="array" ref="J1820">_xlfn.IFS(I1820&lt;=3,"small",I1820&lt;=6,"Medium",I1820&lt;=9,"Large")</f>
        <v>small</v>
      </c>
      <c r="K1820" s="36">
        <v>45536</v>
      </c>
      <c r="L1820" s="36">
        <v>45543</v>
      </c>
      <c r="M1820" t="s">
        <v>603</v>
      </c>
      <c r="N1820" t="s">
        <v>604</v>
      </c>
      <c r="O1820" s="37" t="str">
        <f t="shared" si="143"/>
        <v>Digital Payment</v>
      </c>
      <c r="P1820">
        <v>152.58000000000001</v>
      </c>
      <c r="Q1820" s="37" t="str">
        <f>IF(P1820&gt;500,"High","low")</f>
        <v>low</v>
      </c>
      <c r="R1820" s="37" t="str">
        <f t="shared" si="144"/>
        <v>AVERAGE</v>
      </c>
      <c r="S1820" t="s">
        <v>615</v>
      </c>
    </row>
    <row r="1821" spans="1:19" x14ac:dyDescent="0.2">
      <c r="A1821" t="s">
        <v>2432</v>
      </c>
      <c r="B1821" t="s">
        <v>90</v>
      </c>
      <c r="C1821" t="s">
        <v>617</v>
      </c>
      <c r="D1821">
        <v>4372.32</v>
      </c>
      <c r="E1821" s="37" t="str">
        <f t="shared" si="140"/>
        <v>Excellent Order</v>
      </c>
      <c r="F1821">
        <v>0.41</v>
      </c>
      <c r="G1821" s="37" t="str">
        <f t="shared" si="141"/>
        <v>Heavy Discount</v>
      </c>
      <c r="H1821" s="37" t="str">
        <f t="shared" si="142"/>
        <v>High</v>
      </c>
      <c r="I1821">
        <v>1</v>
      </c>
      <c r="J1821" t="str" cm="1">
        <f t="array" ref="J1821">_xlfn.IFS(I1821&lt;=3,"small",I1821&lt;=6,"Medium",I1821&lt;=9,"Large")</f>
        <v>small</v>
      </c>
      <c r="K1821" s="36">
        <v>45115</v>
      </c>
      <c r="L1821" s="36">
        <v>45119</v>
      </c>
      <c r="M1821" t="s">
        <v>598</v>
      </c>
      <c r="N1821" t="s">
        <v>599</v>
      </c>
      <c r="O1821" s="37" t="str">
        <f t="shared" si="143"/>
        <v>Digital Payment</v>
      </c>
      <c r="P1821">
        <v>831.55</v>
      </c>
      <c r="Q1821" s="37" t="str">
        <f>IF(P1821&gt;500,"High","low")</f>
        <v>High</v>
      </c>
      <c r="R1821" s="37" t="str">
        <f t="shared" si="144"/>
        <v>Good</v>
      </c>
      <c r="S1821" t="s">
        <v>600</v>
      </c>
    </row>
    <row r="1822" spans="1:19" x14ac:dyDescent="0.2">
      <c r="A1822" t="s">
        <v>2433</v>
      </c>
      <c r="B1822" t="s">
        <v>90</v>
      </c>
      <c r="C1822" t="s">
        <v>607</v>
      </c>
      <c r="D1822">
        <v>4250.63</v>
      </c>
      <c r="E1822" s="37" t="str">
        <f t="shared" si="140"/>
        <v>Excellent Order</v>
      </c>
      <c r="F1822">
        <v>0.26</v>
      </c>
      <c r="G1822" s="37" t="str">
        <f t="shared" si="141"/>
        <v>Normal Discount</v>
      </c>
      <c r="H1822" s="37" t="str">
        <f t="shared" si="142"/>
        <v>Medium</v>
      </c>
      <c r="I1822">
        <v>8</v>
      </c>
      <c r="J1822" t="str" cm="1">
        <f t="array" ref="J1822">_xlfn.IFS(I1822&lt;=3,"small",I1822&lt;=6,"Medium",I1822&lt;=9,"Large")</f>
        <v>Large</v>
      </c>
      <c r="K1822" s="36">
        <v>45570</v>
      </c>
      <c r="L1822" s="36">
        <v>45573</v>
      </c>
      <c r="M1822" t="s">
        <v>603</v>
      </c>
      <c r="N1822" t="s">
        <v>599</v>
      </c>
      <c r="O1822" s="37" t="str">
        <f t="shared" si="143"/>
        <v>Digital Payment</v>
      </c>
      <c r="P1822">
        <v>1039.3900000000001</v>
      </c>
      <c r="Q1822" s="37" t="str">
        <f>IF(P1822&gt;500,"High","low")</f>
        <v>High</v>
      </c>
      <c r="R1822" s="37" t="str">
        <f t="shared" si="144"/>
        <v>Excellent</v>
      </c>
      <c r="S1822" t="s">
        <v>600</v>
      </c>
    </row>
    <row r="1823" spans="1:19" x14ac:dyDescent="0.2">
      <c r="A1823" t="s">
        <v>2434</v>
      </c>
      <c r="B1823" t="s">
        <v>90</v>
      </c>
      <c r="C1823" t="s">
        <v>607</v>
      </c>
      <c r="D1823">
        <v>4511.66</v>
      </c>
      <c r="E1823" s="37" t="str">
        <f t="shared" si="140"/>
        <v>Excellent Order</v>
      </c>
      <c r="F1823">
        <v>0.32</v>
      </c>
      <c r="G1823" s="37" t="str">
        <f t="shared" si="141"/>
        <v>Heavy Discount</v>
      </c>
      <c r="H1823" s="37" t="str">
        <f t="shared" si="142"/>
        <v>Medium</v>
      </c>
      <c r="I1823">
        <v>3</v>
      </c>
      <c r="J1823" t="str" cm="1">
        <f t="array" ref="J1823">_xlfn.IFS(I1823&lt;=3,"small",I1823&lt;=6,"Medium",I1823&lt;=9,"Large")</f>
        <v>small</v>
      </c>
      <c r="K1823" s="36">
        <v>45375</v>
      </c>
      <c r="L1823" s="36">
        <v>45376</v>
      </c>
      <c r="M1823" t="s">
        <v>603</v>
      </c>
      <c r="N1823" t="s">
        <v>599</v>
      </c>
      <c r="O1823" s="37" t="str">
        <f t="shared" si="143"/>
        <v>Digital Payment</v>
      </c>
      <c r="P1823">
        <v>1100.25</v>
      </c>
      <c r="Q1823" s="37" t="str">
        <f>IF(P1823&gt;500,"High","low")</f>
        <v>High</v>
      </c>
      <c r="R1823" s="37" t="str">
        <f t="shared" si="144"/>
        <v>Excellent</v>
      </c>
      <c r="S1823" t="s">
        <v>628</v>
      </c>
    </row>
    <row r="1824" spans="1:19" x14ac:dyDescent="0.2">
      <c r="A1824" t="s">
        <v>2435</v>
      </c>
      <c r="B1824" t="s">
        <v>67</v>
      </c>
      <c r="C1824" t="s">
        <v>602</v>
      </c>
      <c r="D1824">
        <v>2003.79</v>
      </c>
      <c r="E1824" s="37" t="str">
        <f t="shared" si="140"/>
        <v xml:space="preserve"> </v>
      </c>
      <c r="F1824">
        <v>0.33</v>
      </c>
      <c r="G1824" s="37" t="str">
        <f t="shared" si="141"/>
        <v>Heavy Discount</v>
      </c>
      <c r="H1824" s="37" t="str">
        <f t="shared" si="142"/>
        <v>Medium</v>
      </c>
      <c r="I1824">
        <v>1</v>
      </c>
      <c r="J1824" t="str" cm="1">
        <f t="array" ref="J1824">_xlfn.IFS(I1824&lt;=3,"small",I1824&lt;=6,"Medium",I1824&lt;=9,"Large")</f>
        <v>small</v>
      </c>
      <c r="K1824" s="36">
        <v>45568</v>
      </c>
      <c r="L1824" s="36">
        <v>45572</v>
      </c>
      <c r="M1824" t="s">
        <v>603</v>
      </c>
      <c r="N1824" t="s">
        <v>599</v>
      </c>
      <c r="O1824" s="37" t="str">
        <f t="shared" si="143"/>
        <v>Digital Payment</v>
      </c>
      <c r="P1824">
        <v>547.57000000000005</v>
      </c>
      <c r="Q1824" s="37" t="str">
        <f>IF(P1824&gt;500,"High","low")</f>
        <v>High</v>
      </c>
      <c r="R1824" s="37" t="str">
        <f t="shared" si="144"/>
        <v>Good</v>
      </c>
      <c r="S1824" t="s">
        <v>620</v>
      </c>
    </row>
    <row r="1825" spans="1:19" x14ac:dyDescent="0.2">
      <c r="A1825" t="s">
        <v>2436</v>
      </c>
      <c r="B1825" t="s">
        <v>67</v>
      </c>
      <c r="C1825" t="s">
        <v>607</v>
      </c>
      <c r="D1825">
        <v>3242.57</v>
      </c>
      <c r="E1825" s="37" t="str">
        <f t="shared" si="140"/>
        <v xml:space="preserve"> </v>
      </c>
      <c r="F1825">
        <v>0.41</v>
      </c>
      <c r="G1825" s="37" t="str">
        <f t="shared" si="141"/>
        <v>Heavy Discount</v>
      </c>
      <c r="H1825" s="37" t="str">
        <f t="shared" si="142"/>
        <v>High</v>
      </c>
      <c r="I1825">
        <v>3</v>
      </c>
      <c r="J1825" t="str" cm="1">
        <f t="array" ref="J1825">_xlfn.IFS(I1825&lt;=3,"small",I1825&lt;=6,"Medium",I1825&lt;=9,"Large")</f>
        <v>small</v>
      </c>
      <c r="K1825" s="36">
        <v>45275</v>
      </c>
      <c r="L1825" s="36">
        <v>45278</v>
      </c>
      <c r="M1825" t="s">
        <v>603</v>
      </c>
      <c r="N1825" t="s">
        <v>599</v>
      </c>
      <c r="O1825" s="37" t="str">
        <f t="shared" si="143"/>
        <v>Digital Payment</v>
      </c>
      <c r="P1825">
        <v>613.13</v>
      </c>
      <c r="Q1825" s="37" t="str">
        <f>IF(P1825&gt;500,"High","low")</f>
        <v>High</v>
      </c>
      <c r="R1825" s="37" t="str">
        <f t="shared" si="144"/>
        <v>Good</v>
      </c>
      <c r="S1825" t="s">
        <v>605</v>
      </c>
    </row>
    <row r="1826" spans="1:19" x14ac:dyDescent="0.2">
      <c r="A1826" t="s">
        <v>2437</v>
      </c>
      <c r="B1826" t="s">
        <v>75</v>
      </c>
      <c r="C1826" t="s">
        <v>614</v>
      </c>
      <c r="D1826">
        <v>1463.05</v>
      </c>
      <c r="E1826" s="37" t="str">
        <f t="shared" si="140"/>
        <v xml:space="preserve"> </v>
      </c>
      <c r="F1826">
        <v>0.34</v>
      </c>
      <c r="G1826" s="37" t="str">
        <f t="shared" si="141"/>
        <v>Heavy Discount</v>
      </c>
      <c r="H1826" s="37" t="str">
        <f t="shared" si="142"/>
        <v>Medium</v>
      </c>
      <c r="I1826">
        <v>8</v>
      </c>
      <c r="J1826" t="str" cm="1">
        <f t="array" ref="J1826">_xlfn.IFS(I1826&lt;=3,"small",I1826&lt;=6,"Medium",I1826&lt;=9,"Large")</f>
        <v>Large</v>
      </c>
      <c r="K1826" s="36">
        <v>45624</v>
      </c>
      <c r="L1826" s="36">
        <v>45625</v>
      </c>
      <c r="M1826" t="s">
        <v>598</v>
      </c>
      <c r="N1826" t="s">
        <v>604</v>
      </c>
      <c r="O1826" s="37" t="str">
        <f t="shared" si="143"/>
        <v>Digital Payment</v>
      </c>
      <c r="P1826">
        <v>278.06</v>
      </c>
      <c r="Q1826" s="37" t="str">
        <f>IF(P1826&gt;500,"High","low")</f>
        <v>low</v>
      </c>
      <c r="R1826" s="37" t="str">
        <f t="shared" si="144"/>
        <v>AVERAGE</v>
      </c>
      <c r="S1826" t="s">
        <v>628</v>
      </c>
    </row>
    <row r="1827" spans="1:19" x14ac:dyDescent="0.2">
      <c r="A1827" t="s">
        <v>2438</v>
      </c>
      <c r="B1827" t="s">
        <v>75</v>
      </c>
      <c r="C1827" t="s">
        <v>597</v>
      </c>
      <c r="D1827">
        <v>986.04</v>
      </c>
      <c r="E1827" s="37" t="str">
        <f t="shared" si="140"/>
        <v xml:space="preserve"> </v>
      </c>
      <c r="F1827">
        <v>0.49</v>
      </c>
      <c r="G1827" s="37" t="str">
        <f t="shared" si="141"/>
        <v>Heavy Discount</v>
      </c>
      <c r="H1827" s="37" t="str">
        <f t="shared" si="142"/>
        <v>High</v>
      </c>
      <c r="I1827">
        <v>4</v>
      </c>
      <c r="J1827" t="str" cm="1">
        <f t="array" ref="J1827">_xlfn.IFS(I1827&lt;=3,"small",I1827&lt;=6,"Medium",I1827&lt;=9,"Large")</f>
        <v>Medium</v>
      </c>
      <c r="K1827" s="36">
        <v>44954</v>
      </c>
      <c r="L1827" s="36">
        <v>44956</v>
      </c>
      <c r="M1827" t="s">
        <v>598</v>
      </c>
      <c r="N1827" t="s">
        <v>604</v>
      </c>
      <c r="O1827" s="37" t="str">
        <f t="shared" si="143"/>
        <v>Digital Payment</v>
      </c>
      <c r="P1827">
        <v>68.63</v>
      </c>
      <c r="Q1827" s="37" t="str">
        <f>IF(P1827&gt;500,"High","low")</f>
        <v>low</v>
      </c>
      <c r="R1827" s="37" t="str">
        <f t="shared" si="144"/>
        <v>AVERAGE</v>
      </c>
      <c r="S1827" t="s">
        <v>620</v>
      </c>
    </row>
    <row r="1828" spans="1:19" x14ac:dyDescent="0.2">
      <c r="A1828" t="s">
        <v>2439</v>
      </c>
      <c r="B1828" t="s">
        <v>83</v>
      </c>
      <c r="C1828" t="s">
        <v>602</v>
      </c>
      <c r="D1828">
        <v>207.32</v>
      </c>
      <c r="E1828" s="37" t="str">
        <f t="shared" si="140"/>
        <v xml:space="preserve"> </v>
      </c>
      <c r="F1828">
        <v>0.23</v>
      </c>
      <c r="G1828" s="37" t="str">
        <f t="shared" si="141"/>
        <v>Normal Discount</v>
      </c>
      <c r="H1828" s="37" t="str">
        <f t="shared" si="142"/>
        <v>Medium</v>
      </c>
      <c r="I1828">
        <v>7</v>
      </c>
      <c r="J1828" t="str" cm="1">
        <f t="array" ref="J1828">_xlfn.IFS(I1828&lt;=3,"small",I1828&lt;=6,"Medium",I1828&lt;=9,"Large")</f>
        <v>Large</v>
      </c>
      <c r="K1828" s="36">
        <v>45599</v>
      </c>
      <c r="L1828" s="36">
        <v>45600</v>
      </c>
      <c r="M1828" t="s">
        <v>603</v>
      </c>
      <c r="N1828" t="s">
        <v>604</v>
      </c>
      <c r="O1828" s="37" t="str">
        <f t="shared" si="143"/>
        <v>Digital Payment</v>
      </c>
      <c r="P1828">
        <v>50.03</v>
      </c>
      <c r="Q1828" s="37" t="str">
        <f>IF(P1828&gt;500,"High","low")</f>
        <v>low</v>
      </c>
      <c r="R1828" s="37" t="str">
        <f t="shared" si="144"/>
        <v>AVERAGE</v>
      </c>
      <c r="S1828" t="s">
        <v>628</v>
      </c>
    </row>
    <row r="1829" spans="1:19" x14ac:dyDescent="0.2">
      <c r="A1829" t="s">
        <v>2440</v>
      </c>
      <c r="B1829" t="s">
        <v>67</v>
      </c>
      <c r="C1829" t="s">
        <v>602</v>
      </c>
      <c r="D1829">
        <v>1194.8599999999999</v>
      </c>
      <c r="E1829" s="37" t="str">
        <f t="shared" si="140"/>
        <v xml:space="preserve"> </v>
      </c>
      <c r="F1829">
        <v>0.03</v>
      </c>
      <c r="G1829" s="37" t="str">
        <f t="shared" si="141"/>
        <v>Normal Discount</v>
      </c>
      <c r="H1829" s="37" t="str">
        <f t="shared" si="142"/>
        <v>Low</v>
      </c>
      <c r="I1829">
        <v>8</v>
      </c>
      <c r="J1829" t="str" cm="1">
        <f t="array" ref="J1829">_xlfn.IFS(I1829&lt;=3,"small",I1829&lt;=6,"Medium",I1829&lt;=9,"Large")</f>
        <v>Large</v>
      </c>
      <c r="K1829" s="36">
        <v>45205</v>
      </c>
      <c r="L1829" s="36">
        <v>45212</v>
      </c>
      <c r="M1829" t="s">
        <v>598</v>
      </c>
      <c r="N1829" t="s">
        <v>599</v>
      </c>
      <c r="O1829" s="37" t="str">
        <f t="shared" si="143"/>
        <v>Digital Payment</v>
      </c>
      <c r="P1829">
        <v>203.3</v>
      </c>
      <c r="Q1829" s="37" t="str">
        <f>IF(P1829&gt;500,"High","low")</f>
        <v>low</v>
      </c>
      <c r="R1829" s="37" t="str">
        <f t="shared" si="144"/>
        <v>AVERAGE</v>
      </c>
      <c r="S1829" t="s">
        <v>615</v>
      </c>
    </row>
    <row r="1830" spans="1:19" x14ac:dyDescent="0.2">
      <c r="A1830" t="s">
        <v>2441</v>
      </c>
      <c r="B1830" t="s">
        <v>83</v>
      </c>
      <c r="C1830" t="s">
        <v>617</v>
      </c>
      <c r="D1830">
        <v>3061.43</v>
      </c>
      <c r="E1830" s="37" t="str">
        <f t="shared" si="140"/>
        <v xml:space="preserve"> </v>
      </c>
      <c r="F1830">
        <v>0.2</v>
      </c>
      <c r="G1830" s="37" t="str">
        <f t="shared" si="141"/>
        <v>Normal Discount</v>
      </c>
      <c r="H1830" s="37" t="str">
        <f t="shared" si="142"/>
        <v>Medium</v>
      </c>
      <c r="I1830">
        <v>7</v>
      </c>
      <c r="J1830" t="str" cm="1">
        <f t="array" ref="J1830">_xlfn.IFS(I1830&lt;=3,"small",I1830&lt;=6,"Medium",I1830&lt;=9,"Large")</f>
        <v>Large</v>
      </c>
      <c r="K1830" s="36">
        <v>45522</v>
      </c>
      <c r="L1830" s="36">
        <v>45528</v>
      </c>
      <c r="M1830" t="s">
        <v>598</v>
      </c>
      <c r="N1830" t="s">
        <v>599</v>
      </c>
      <c r="O1830" s="37" t="str">
        <f t="shared" si="143"/>
        <v>Digital Payment</v>
      </c>
      <c r="P1830">
        <v>312.8</v>
      </c>
      <c r="Q1830" s="37" t="str">
        <f>IF(P1830&gt;500,"High","low")</f>
        <v>low</v>
      </c>
      <c r="R1830" s="37" t="str">
        <f t="shared" si="144"/>
        <v>AVERAGE</v>
      </c>
      <c r="S1830" t="s">
        <v>620</v>
      </c>
    </row>
    <row r="1831" spans="1:19" x14ac:dyDescent="0.2">
      <c r="A1831" t="s">
        <v>2442</v>
      </c>
      <c r="B1831" t="s">
        <v>75</v>
      </c>
      <c r="C1831" t="s">
        <v>597</v>
      </c>
      <c r="D1831">
        <v>4530.63</v>
      </c>
      <c r="E1831" s="37" t="str">
        <f t="shared" si="140"/>
        <v xml:space="preserve"> </v>
      </c>
      <c r="F1831">
        <v>0.42</v>
      </c>
      <c r="G1831" s="37" t="str">
        <f t="shared" si="141"/>
        <v>Heavy Discount</v>
      </c>
      <c r="H1831" s="37" t="str">
        <f t="shared" si="142"/>
        <v>High</v>
      </c>
      <c r="I1831">
        <v>1</v>
      </c>
      <c r="J1831" t="str" cm="1">
        <f t="array" ref="J1831">_xlfn.IFS(I1831&lt;=3,"small",I1831&lt;=6,"Medium",I1831&lt;=9,"Large")</f>
        <v>small</v>
      </c>
      <c r="K1831" s="36">
        <v>44974</v>
      </c>
      <c r="L1831" s="36">
        <v>44977</v>
      </c>
      <c r="M1831" t="s">
        <v>603</v>
      </c>
      <c r="N1831" t="s">
        <v>599</v>
      </c>
      <c r="O1831" s="37" t="str">
        <f t="shared" si="143"/>
        <v>Digital Payment</v>
      </c>
      <c r="P1831">
        <v>368.21</v>
      </c>
      <c r="Q1831" s="37" t="str">
        <f>IF(P1831&gt;500,"High","low")</f>
        <v>low</v>
      </c>
      <c r="R1831" s="37" t="str">
        <f t="shared" si="144"/>
        <v>AVERAGE</v>
      </c>
      <c r="S1831" t="s">
        <v>600</v>
      </c>
    </row>
    <row r="1832" spans="1:19" x14ac:dyDescent="0.2">
      <c r="A1832" t="s">
        <v>2443</v>
      </c>
      <c r="B1832" t="s">
        <v>83</v>
      </c>
      <c r="C1832" t="s">
        <v>602</v>
      </c>
      <c r="D1832">
        <v>753.76</v>
      </c>
      <c r="E1832" s="37" t="str">
        <f t="shared" si="140"/>
        <v xml:space="preserve"> </v>
      </c>
      <c r="F1832">
        <v>7.0000000000000007E-2</v>
      </c>
      <c r="G1832" s="37" t="str">
        <f t="shared" si="141"/>
        <v>Normal Discount</v>
      </c>
      <c r="H1832" s="37" t="str">
        <f t="shared" si="142"/>
        <v>Low</v>
      </c>
      <c r="I1832">
        <v>4</v>
      </c>
      <c r="J1832" t="str" cm="1">
        <f t="array" ref="J1832">_xlfn.IFS(I1832&lt;=3,"small",I1832&lt;=6,"Medium",I1832&lt;=9,"Large")</f>
        <v>Medium</v>
      </c>
      <c r="K1832" s="36">
        <v>45484</v>
      </c>
      <c r="L1832" s="36">
        <v>45489</v>
      </c>
      <c r="M1832" t="s">
        <v>612</v>
      </c>
      <c r="N1832" t="s">
        <v>608</v>
      </c>
      <c r="O1832" s="37" t="str">
        <f t="shared" si="143"/>
        <v>Cash Payment</v>
      </c>
      <c r="P1832">
        <v>205.25</v>
      </c>
      <c r="Q1832" s="37" t="str">
        <f>IF(P1832&gt;500,"High","low")</f>
        <v>low</v>
      </c>
      <c r="R1832" s="37" t="str">
        <f t="shared" si="144"/>
        <v>AVERAGE</v>
      </c>
      <c r="S1832" t="s">
        <v>615</v>
      </c>
    </row>
    <row r="1833" spans="1:19" x14ac:dyDescent="0.2">
      <c r="A1833" t="s">
        <v>2444</v>
      </c>
      <c r="B1833" t="s">
        <v>75</v>
      </c>
      <c r="C1833" t="s">
        <v>607</v>
      </c>
      <c r="D1833">
        <v>4598.26</v>
      </c>
      <c r="E1833" s="37" t="str">
        <f t="shared" si="140"/>
        <v>Excellent Order</v>
      </c>
      <c r="F1833">
        <v>0.37</v>
      </c>
      <c r="G1833" s="37" t="str">
        <f t="shared" si="141"/>
        <v>Heavy Discount</v>
      </c>
      <c r="H1833" s="37" t="str">
        <f t="shared" si="142"/>
        <v>Medium</v>
      </c>
      <c r="I1833">
        <v>9</v>
      </c>
      <c r="J1833" t="str" cm="1">
        <f t="array" ref="J1833">_xlfn.IFS(I1833&lt;=3,"small",I1833&lt;=6,"Medium",I1833&lt;=9,"Large")</f>
        <v>Large</v>
      </c>
      <c r="K1833" s="36">
        <v>45309</v>
      </c>
      <c r="L1833" s="36">
        <v>45316</v>
      </c>
      <c r="M1833" t="s">
        <v>612</v>
      </c>
      <c r="N1833" t="s">
        <v>604</v>
      </c>
      <c r="O1833" s="37" t="str">
        <f t="shared" si="143"/>
        <v>Digital Payment</v>
      </c>
      <c r="P1833">
        <v>892.53</v>
      </c>
      <c r="Q1833" s="37" t="str">
        <f>IF(P1833&gt;500,"High","low")</f>
        <v>High</v>
      </c>
      <c r="R1833" s="37" t="str">
        <f t="shared" si="144"/>
        <v>Good</v>
      </c>
      <c r="S1833" t="s">
        <v>615</v>
      </c>
    </row>
    <row r="1834" spans="1:19" x14ac:dyDescent="0.2">
      <c r="A1834" t="s">
        <v>2445</v>
      </c>
      <c r="B1834" t="s">
        <v>67</v>
      </c>
      <c r="C1834" t="s">
        <v>602</v>
      </c>
      <c r="D1834">
        <v>1792.39</v>
      </c>
      <c r="E1834" s="37" t="str">
        <f t="shared" si="140"/>
        <v xml:space="preserve"> </v>
      </c>
      <c r="F1834">
        <v>0.27</v>
      </c>
      <c r="G1834" s="37" t="str">
        <f t="shared" si="141"/>
        <v>Normal Discount</v>
      </c>
      <c r="H1834" s="37" t="str">
        <f t="shared" si="142"/>
        <v>Medium</v>
      </c>
      <c r="I1834">
        <v>7</v>
      </c>
      <c r="J1834" t="str" cm="1">
        <f t="array" ref="J1834">_xlfn.IFS(I1834&lt;=3,"small",I1834&lt;=6,"Medium",I1834&lt;=9,"Large")</f>
        <v>Large</v>
      </c>
      <c r="K1834" s="36">
        <v>45483</v>
      </c>
      <c r="L1834" s="36">
        <v>45486</v>
      </c>
      <c r="M1834" t="s">
        <v>612</v>
      </c>
      <c r="N1834" t="s">
        <v>608</v>
      </c>
      <c r="O1834" s="37" t="str">
        <f t="shared" si="143"/>
        <v>Cash Payment</v>
      </c>
      <c r="P1834">
        <v>366.63</v>
      </c>
      <c r="Q1834" s="37" t="str">
        <f>IF(P1834&gt;500,"High","low")</f>
        <v>low</v>
      </c>
      <c r="R1834" s="37" t="str">
        <f t="shared" si="144"/>
        <v>AVERAGE</v>
      </c>
      <c r="S1834" t="s">
        <v>628</v>
      </c>
    </row>
    <row r="1835" spans="1:19" x14ac:dyDescent="0.2">
      <c r="A1835" t="s">
        <v>2446</v>
      </c>
      <c r="B1835" t="s">
        <v>90</v>
      </c>
      <c r="C1835" t="s">
        <v>602</v>
      </c>
      <c r="D1835">
        <v>2191.46</v>
      </c>
      <c r="E1835" s="37" t="str">
        <f t="shared" si="140"/>
        <v xml:space="preserve"> </v>
      </c>
      <c r="F1835">
        <v>0.45</v>
      </c>
      <c r="G1835" s="37" t="str">
        <f t="shared" si="141"/>
        <v>Heavy Discount</v>
      </c>
      <c r="H1835" s="37" t="str">
        <f t="shared" si="142"/>
        <v>High</v>
      </c>
      <c r="I1835">
        <v>1</v>
      </c>
      <c r="J1835" t="str" cm="1">
        <f t="array" ref="J1835">_xlfn.IFS(I1835&lt;=3,"small",I1835&lt;=6,"Medium",I1835&lt;=9,"Large")</f>
        <v>small</v>
      </c>
      <c r="K1835" s="36">
        <v>45144</v>
      </c>
      <c r="L1835" s="36">
        <v>45149</v>
      </c>
      <c r="M1835" t="s">
        <v>603</v>
      </c>
      <c r="N1835" t="s">
        <v>599</v>
      </c>
      <c r="O1835" s="37" t="str">
        <f t="shared" si="143"/>
        <v>Digital Payment</v>
      </c>
      <c r="P1835">
        <v>241.48</v>
      </c>
      <c r="Q1835" s="37" t="str">
        <f>IF(P1835&gt;500,"High","low")</f>
        <v>low</v>
      </c>
      <c r="R1835" s="37" t="str">
        <f t="shared" si="144"/>
        <v>AVERAGE</v>
      </c>
      <c r="S1835" t="s">
        <v>620</v>
      </c>
    </row>
    <row r="1836" spans="1:19" x14ac:dyDescent="0.2">
      <c r="A1836" t="s">
        <v>2447</v>
      </c>
      <c r="B1836" t="s">
        <v>67</v>
      </c>
      <c r="C1836" t="s">
        <v>602</v>
      </c>
      <c r="D1836">
        <v>1888.39</v>
      </c>
      <c r="E1836" s="37" t="str">
        <f t="shared" si="140"/>
        <v xml:space="preserve"> </v>
      </c>
      <c r="F1836">
        <v>0.37</v>
      </c>
      <c r="G1836" s="37" t="str">
        <f t="shared" si="141"/>
        <v>Heavy Discount</v>
      </c>
      <c r="H1836" s="37" t="str">
        <f t="shared" si="142"/>
        <v>Medium</v>
      </c>
      <c r="I1836">
        <v>8</v>
      </c>
      <c r="J1836" t="str" cm="1">
        <f t="array" ref="J1836">_xlfn.IFS(I1836&lt;=3,"small",I1836&lt;=6,"Medium",I1836&lt;=9,"Large")</f>
        <v>Large</v>
      </c>
      <c r="K1836" s="36">
        <v>45533</v>
      </c>
      <c r="L1836" s="36">
        <v>45537</v>
      </c>
      <c r="M1836" t="s">
        <v>598</v>
      </c>
      <c r="N1836" t="s">
        <v>608</v>
      </c>
      <c r="O1836" s="37" t="str">
        <f t="shared" si="143"/>
        <v>Cash Payment</v>
      </c>
      <c r="P1836">
        <v>354.22</v>
      </c>
      <c r="Q1836" s="37" t="str">
        <f>IF(P1836&gt;500,"High","low")</f>
        <v>low</v>
      </c>
      <c r="R1836" s="37" t="str">
        <f t="shared" si="144"/>
        <v>AVERAGE</v>
      </c>
      <c r="S1836" t="s">
        <v>600</v>
      </c>
    </row>
    <row r="1837" spans="1:19" x14ac:dyDescent="0.2">
      <c r="A1837" t="s">
        <v>2448</v>
      </c>
      <c r="B1837" t="s">
        <v>83</v>
      </c>
      <c r="C1837" t="s">
        <v>617</v>
      </c>
      <c r="D1837">
        <v>2102.1799999999998</v>
      </c>
      <c r="E1837" s="37" t="str">
        <f t="shared" si="140"/>
        <v xml:space="preserve"> </v>
      </c>
      <c r="F1837">
        <v>0.33</v>
      </c>
      <c r="G1837" s="37" t="str">
        <f t="shared" si="141"/>
        <v>Heavy Discount</v>
      </c>
      <c r="H1837" s="37" t="str">
        <f t="shared" si="142"/>
        <v>Medium</v>
      </c>
      <c r="I1837">
        <v>4</v>
      </c>
      <c r="J1837" t="str" cm="1">
        <f t="array" ref="J1837">_xlfn.IFS(I1837&lt;=3,"small",I1837&lt;=6,"Medium",I1837&lt;=9,"Large")</f>
        <v>Medium</v>
      </c>
      <c r="K1837" s="36">
        <v>45233</v>
      </c>
      <c r="L1837" s="36">
        <v>45239</v>
      </c>
      <c r="M1837" t="s">
        <v>603</v>
      </c>
      <c r="N1837" t="s">
        <v>608</v>
      </c>
      <c r="O1837" s="37" t="str">
        <f t="shared" si="143"/>
        <v>Cash Payment</v>
      </c>
      <c r="P1837">
        <v>188.69</v>
      </c>
      <c r="Q1837" s="37" t="str">
        <f>IF(P1837&gt;500,"High","low")</f>
        <v>low</v>
      </c>
      <c r="R1837" s="37" t="str">
        <f t="shared" si="144"/>
        <v>AVERAGE</v>
      </c>
      <c r="S1837" t="s">
        <v>605</v>
      </c>
    </row>
    <row r="1838" spans="1:19" x14ac:dyDescent="0.2">
      <c r="A1838" t="s">
        <v>2449</v>
      </c>
      <c r="B1838" t="s">
        <v>83</v>
      </c>
      <c r="C1838" t="s">
        <v>602</v>
      </c>
      <c r="D1838">
        <v>1370.05</v>
      </c>
      <c r="E1838" s="37" t="str">
        <f t="shared" si="140"/>
        <v xml:space="preserve"> </v>
      </c>
      <c r="F1838">
        <v>0.44</v>
      </c>
      <c r="G1838" s="37" t="str">
        <f t="shared" si="141"/>
        <v>Heavy Discount</v>
      </c>
      <c r="H1838" s="37" t="str">
        <f t="shared" si="142"/>
        <v>High</v>
      </c>
      <c r="I1838">
        <v>7</v>
      </c>
      <c r="J1838" t="str" cm="1">
        <f t="array" ref="J1838">_xlfn.IFS(I1838&lt;=3,"small",I1838&lt;=6,"Medium",I1838&lt;=9,"Large")</f>
        <v>Large</v>
      </c>
      <c r="K1838" s="36">
        <v>45104</v>
      </c>
      <c r="L1838" s="36">
        <v>45106</v>
      </c>
      <c r="M1838" t="s">
        <v>612</v>
      </c>
      <c r="N1838" t="s">
        <v>604</v>
      </c>
      <c r="O1838" s="37" t="str">
        <f t="shared" si="143"/>
        <v>Digital Payment</v>
      </c>
      <c r="P1838">
        <v>211.97</v>
      </c>
      <c r="Q1838" s="37" t="str">
        <f>IF(P1838&gt;500,"High","low")</f>
        <v>low</v>
      </c>
      <c r="R1838" s="37" t="str">
        <f t="shared" si="144"/>
        <v>AVERAGE</v>
      </c>
      <c r="S1838" t="s">
        <v>600</v>
      </c>
    </row>
    <row r="1839" spans="1:19" x14ac:dyDescent="0.2">
      <c r="A1839" t="s">
        <v>2450</v>
      </c>
      <c r="B1839" t="s">
        <v>67</v>
      </c>
      <c r="C1839" t="s">
        <v>602</v>
      </c>
      <c r="D1839">
        <v>3523.16</v>
      </c>
      <c r="E1839" s="37" t="str">
        <f t="shared" si="140"/>
        <v xml:space="preserve"> </v>
      </c>
      <c r="F1839">
        <v>0.45</v>
      </c>
      <c r="G1839" s="37" t="str">
        <f t="shared" si="141"/>
        <v>Heavy Discount</v>
      </c>
      <c r="H1839" s="37" t="str">
        <f t="shared" si="142"/>
        <v>High</v>
      </c>
      <c r="I1839">
        <v>6</v>
      </c>
      <c r="J1839" t="str" cm="1">
        <f t="array" ref="J1839">_xlfn.IFS(I1839&lt;=3,"small",I1839&lt;=6,"Medium",I1839&lt;=9,"Large")</f>
        <v>Medium</v>
      </c>
      <c r="K1839" s="36">
        <v>45473</v>
      </c>
      <c r="L1839" s="36">
        <v>45480</v>
      </c>
      <c r="M1839" t="s">
        <v>598</v>
      </c>
      <c r="N1839" t="s">
        <v>604</v>
      </c>
      <c r="O1839" s="37" t="str">
        <f t="shared" si="143"/>
        <v>Digital Payment</v>
      </c>
      <c r="P1839">
        <v>392.91</v>
      </c>
      <c r="Q1839" s="37" t="str">
        <f>IF(P1839&gt;500,"High","low")</f>
        <v>low</v>
      </c>
      <c r="R1839" s="37" t="str">
        <f t="shared" si="144"/>
        <v>AVERAGE</v>
      </c>
      <c r="S1839" t="s">
        <v>620</v>
      </c>
    </row>
    <row r="1840" spans="1:19" x14ac:dyDescent="0.2">
      <c r="A1840" t="s">
        <v>2451</v>
      </c>
      <c r="B1840" t="s">
        <v>67</v>
      </c>
      <c r="C1840" t="s">
        <v>617</v>
      </c>
      <c r="D1840">
        <v>3815.1</v>
      </c>
      <c r="E1840" s="37" t="str">
        <f t="shared" si="140"/>
        <v xml:space="preserve"> </v>
      </c>
      <c r="F1840">
        <v>0.19</v>
      </c>
      <c r="G1840" s="37" t="str">
        <f t="shared" si="141"/>
        <v>Normal Discount</v>
      </c>
      <c r="H1840" s="37" t="str">
        <f t="shared" si="142"/>
        <v>Low</v>
      </c>
      <c r="I1840">
        <v>7</v>
      </c>
      <c r="J1840" t="str" cm="1">
        <f t="array" ref="J1840">_xlfn.IFS(I1840&lt;=3,"small",I1840&lt;=6,"Medium",I1840&lt;=9,"Large")</f>
        <v>Large</v>
      </c>
      <c r="K1840" s="36">
        <v>45347</v>
      </c>
      <c r="L1840" s="36">
        <v>45348</v>
      </c>
      <c r="M1840" t="s">
        <v>612</v>
      </c>
      <c r="N1840" t="s">
        <v>604</v>
      </c>
      <c r="O1840" s="37" t="str">
        <f t="shared" si="143"/>
        <v>Digital Payment</v>
      </c>
      <c r="P1840">
        <v>349.61</v>
      </c>
      <c r="Q1840" s="37" t="str">
        <f>IF(P1840&gt;500,"High","low")</f>
        <v>low</v>
      </c>
      <c r="R1840" s="37" t="str">
        <f t="shared" si="144"/>
        <v>AVERAGE</v>
      </c>
      <c r="S1840" t="s">
        <v>628</v>
      </c>
    </row>
    <row r="1841" spans="1:19" x14ac:dyDescent="0.2">
      <c r="A1841" t="s">
        <v>2452</v>
      </c>
      <c r="B1841" t="s">
        <v>75</v>
      </c>
      <c r="C1841" t="s">
        <v>597</v>
      </c>
      <c r="D1841">
        <v>4133.25</v>
      </c>
      <c r="E1841" s="37" t="str">
        <f t="shared" si="140"/>
        <v>Excellent Order</v>
      </c>
      <c r="F1841">
        <v>0.46</v>
      </c>
      <c r="G1841" s="37" t="str">
        <f t="shared" si="141"/>
        <v>Heavy Discount</v>
      </c>
      <c r="H1841" s="37" t="str">
        <f t="shared" si="142"/>
        <v>High</v>
      </c>
      <c r="I1841">
        <v>1</v>
      </c>
      <c r="J1841" t="str" cm="1">
        <f t="array" ref="J1841">_xlfn.IFS(I1841&lt;=3,"small",I1841&lt;=6,"Medium",I1841&lt;=9,"Large")</f>
        <v>small</v>
      </c>
      <c r="K1841" s="36">
        <v>44982</v>
      </c>
      <c r="L1841" s="36">
        <v>44985</v>
      </c>
      <c r="M1841" t="s">
        <v>612</v>
      </c>
      <c r="N1841" t="s">
        <v>599</v>
      </c>
      <c r="O1841" s="37" t="str">
        <f t="shared" si="143"/>
        <v>Digital Payment</v>
      </c>
      <c r="P1841">
        <v>1032.76</v>
      </c>
      <c r="Q1841" s="37" t="str">
        <f>IF(P1841&gt;500,"High","low")</f>
        <v>High</v>
      </c>
      <c r="R1841" s="37" t="str">
        <f t="shared" si="144"/>
        <v>Excellent</v>
      </c>
      <c r="S1841" t="s">
        <v>620</v>
      </c>
    </row>
    <row r="1842" spans="1:19" x14ac:dyDescent="0.2">
      <c r="A1842" t="s">
        <v>2453</v>
      </c>
      <c r="B1842" t="s">
        <v>83</v>
      </c>
      <c r="C1842" t="s">
        <v>614</v>
      </c>
      <c r="D1842">
        <v>1772.32</v>
      </c>
      <c r="E1842" s="37" t="str">
        <f t="shared" si="140"/>
        <v xml:space="preserve"> </v>
      </c>
      <c r="F1842">
        <v>0.03</v>
      </c>
      <c r="G1842" s="37" t="str">
        <f t="shared" si="141"/>
        <v>Normal Discount</v>
      </c>
      <c r="H1842" s="37" t="str">
        <f t="shared" si="142"/>
        <v>Low</v>
      </c>
      <c r="I1842">
        <v>6</v>
      </c>
      <c r="J1842" t="str" cm="1">
        <f t="array" ref="J1842">_xlfn.IFS(I1842&lt;=3,"small",I1842&lt;=6,"Medium",I1842&lt;=9,"Large")</f>
        <v>Medium</v>
      </c>
      <c r="K1842" s="36">
        <v>45497</v>
      </c>
      <c r="L1842" s="36">
        <v>45499</v>
      </c>
      <c r="M1842" t="s">
        <v>603</v>
      </c>
      <c r="N1842" t="s">
        <v>608</v>
      </c>
      <c r="O1842" s="37" t="str">
        <f t="shared" si="143"/>
        <v>Cash Payment</v>
      </c>
      <c r="P1842">
        <v>381.8</v>
      </c>
      <c r="Q1842" s="37" t="str">
        <f>IF(P1842&gt;500,"High","low")</f>
        <v>low</v>
      </c>
      <c r="R1842" s="37" t="str">
        <f t="shared" si="144"/>
        <v>AVERAGE</v>
      </c>
      <c r="S1842" t="s">
        <v>609</v>
      </c>
    </row>
    <row r="1843" spans="1:19" x14ac:dyDescent="0.2">
      <c r="A1843" t="s">
        <v>2454</v>
      </c>
      <c r="B1843" t="s">
        <v>83</v>
      </c>
      <c r="C1843" t="s">
        <v>617</v>
      </c>
      <c r="D1843">
        <v>3846.67</v>
      </c>
      <c r="E1843" s="37" t="str">
        <f t="shared" si="140"/>
        <v xml:space="preserve"> </v>
      </c>
      <c r="F1843">
        <v>0.38</v>
      </c>
      <c r="G1843" s="37" t="str">
        <f t="shared" si="141"/>
        <v>Heavy Discount</v>
      </c>
      <c r="H1843" s="37" t="str">
        <f t="shared" si="142"/>
        <v>Medium</v>
      </c>
      <c r="I1843">
        <v>3</v>
      </c>
      <c r="J1843" t="str" cm="1">
        <f t="array" ref="J1843">_xlfn.IFS(I1843&lt;=3,"small",I1843&lt;=6,"Medium",I1843&lt;=9,"Large")</f>
        <v>small</v>
      </c>
      <c r="K1843" s="36">
        <v>45458</v>
      </c>
      <c r="L1843" s="36">
        <v>45463</v>
      </c>
      <c r="M1843" t="s">
        <v>603</v>
      </c>
      <c r="N1843" t="s">
        <v>608</v>
      </c>
      <c r="O1843" s="37" t="str">
        <f t="shared" si="143"/>
        <v>Cash Payment</v>
      </c>
      <c r="P1843">
        <v>961.26</v>
      </c>
      <c r="Q1843" s="37" t="str">
        <f>IF(P1843&gt;500,"High","low")</f>
        <v>High</v>
      </c>
      <c r="R1843" s="37" t="str">
        <f t="shared" si="144"/>
        <v>Good</v>
      </c>
      <c r="S1843" t="s">
        <v>600</v>
      </c>
    </row>
    <row r="1844" spans="1:19" x14ac:dyDescent="0.2">
      <c r="A1844" t="s">
        <v>2455</v>
      </c>
      <c r="B1844" t="s">
        <v>67</v>
      </c>
      <c r="C1844" t="s">
        <v>617</v>
      </c>
      <c r="D1844">
        <v>3224.61</v>
      </c>
      <c r="E1844" s="37" t="str">
        <f t="shared" si="140"/>
        <v xml:space="preserve"> </v>
      </c>
      <c r="F1844">
        <v>0.17</v>
      </c>
      <c r="G1844" s="37" t="str">
        <f t="shared" si="141"/>
        <v>Normal Discount</v>
      </c>
      <c r="H1844" s="37" t="str">
        <f t="shared" si="142"/>
        <v>Low</v>
      </c>
      <c r="I1844">
        <v>4</v>
      </c>
      <c r="J1844" t="str" cm="1">
        <f t="array" ref="J1844">_xlfn.IFS(I1844&lt;=3,"small",I1844&lt;=6,"Medium",I1844&lt;=9,"Large")</f>
        <v>Medium</v>
      </c>
      <c r="K1844" s="36">
        <v>45614</v>
      </c>
      <c r="L1844" s="36">
        <v>45621</v>
      </c>
      <c r="M1844" t="s">
        <v>603</v>
      </c>
      <c r="N1844" t="s">
        <v>604</v>
      </c>
      <c r="O1844" s="37" t="str">
        <f t="shared" si="143"/>
        <v>Digital Payment</v>
      </c>
      <c r="P1844">
        <v>835.1</v>
      </c>
      <c r="Q1844" s="37" t="str">
        <f>IF(P1844&gt;500,"High","low")</f>
        <v>High</v>
      </c>
      <c r="R1844" s="37" t="str">
        <f t="shared" si="144"/>
        <v>Good</v>
      </c>
      <c r="S1844" t="s">
        <v>620</v>
      </c>
    </row>
    <row r="1845" spans="1:19" x14ac:dyDescent="0.2">
      <c r="A1845" t="s">
        <v>2456</v>
      </c>
      <c r="B1845" t="s">
        <v>90</v>
      </c>
      <c r="C1845" t="s">
        <v>602</v>
      </c>
      <c r="D1845">
        <v>4793.79</v>
      </c>
      <c r="E1845" s="37" t="str">
        <f t="shared" si="140"/>
        <v xml:space="preserve"> </v>
      </c>
      <c r="F1845">
        <v>0.24</v>
      </c>
      <c r="G1845" s="37" t="str">
        <f t="shared" si="141"/>
        <v>Normal Discount</v>
      </c>
      <c r="H1845" s="37" t="str">
        <f t="shared" si="142"/>
        <v>Medium</v>
      </c>
      <c r="I1845">
        <v>1</v>
      </c>
      <c r="J1845" t="str" cm="1">
        <f t="array" ref="J1845">_xlfn.IFS(I1845&lt;=3,"small",I1845&lt;=6,"Medium",I1845&lt;=9,"Large")</f>
        <v>small</v>
      </c>
      <c r="K1845" s="36">
        <v>45012</v>
      </c>
      <c r="L1845" s="36">
        <v>45019</v>
      </c>
      <c r="M1845" t="s">
        <v>598</v>
      </c>
      <c r="N1845" t="s">
        <v>608</v>
      </c>
      <c r="O1845" s="37" t="str">
        <f t="shared" si="143"/>
        <v>Cash Payment</v>
      </c>
      <c r="P1845">
        <v>706.8</v>
      </c>
      <c r="Q1845" s="37" t="str">
        <f>IF(P1845&gt;500,"High","low")</f>
        <v>High</v>
      </c>
      <c r="R1845" s="37" t="str">
        <f t="shared" si="144"/>
        <v>Good</v>
      </c>
      <c r="S1845" t="s">
        <v>600</v>
      </c>
    </row>
    <row r="1846" spans="1:19" x14ac:dyDescent="0.2">
      <c r="A1846" t="s">
        <v>2457</v>
      </c>
      <c r="B1846" t="s">
        <v>83</v>
      </c>
      <c r="C1846" t="s">
        <v>602</v>
      </c>
      <c r="D1846">
        <v>2181.4499999999998</v>
      </c>
      <c r="E1846" s="37" t="str">
        <f t="shared" si="140"/>
        <v xml:space="preserve"> </v>
      </c>
      <c r="F1846">
        <v>0.42</v>
      </c>
      <c r="G1846" s="37" t="str">
        <f t="shared" si="141"/>
        <v>Heavy Discount</v>
      </c>
      <c r="H1846" s="37" t="str">
        <f t="shared" si="142"/>
        <v>High</v>
      </c>
      <c r="I1846">
        <v>8</v>
      </c>
      <c r="J1846" t="str" cm="1">
        <f t="array" ref="J1846">_xlfn.IFS(I1846&lt;=3,"small",I1846&lt;=6,"Medium",I1846&lt;=9,"Large")</f>
        <v>Large</v>
      </c>
      <c r="K1846" s="36">
        <v>45586</v>
      </c>
      <c r="L1846" s="36">
        <v>45591</v>
      </c>
      <c r="M1846" t="s">
        <v>598</v>
      </c>
      <c r="N1846" t="s">
        <v>608</v>
      </c>
      <c r="O1846" s="37" t="str">
        <f t="shared" si="143"/>
        <v>Cash Payment</v>
      </c>
      <c r="P1846">
        <v>521.47</v>
      </c>
      <c r="Q1846" s="37" t="str">
        <f>IF(P1846&gt;500,"High","low")</f>
        <v>High</v>
      </c>
      <c r="R1846" s="37" t="str">
        <f t="shared" si="144"/>
        <v>Good</v>
      </c>
      <c r="S1846" t="s">
        <v>609</v>
      </c>
    </row>
    <row r="1847" spans="1:19" x14ac:dyDescent="0.2">
      <c r="A1847" t="s">
        <v>2458</v>
      </c>
      <c r="B1847" t="s">
        <v>90</v>
      </c>
      <c r="C1847" t="s">
        <v>614</v>
      </c>
      <c r="D1847">
        <v>4962.32</v>
      </c>
      <c r="E1847" s="37" t="str">
        <f t="shared" si="140"/>
        <v>Excellent Order</v>
      </c>
      <c r="F1847">
        <v>0.32</v>
      </c>
      <c r="G1847" s="37" t="str">
        <f t="shared" si="141"/>
        <v>Heavy Discount</v>
      </c>
      <c r="H1847" s="37" t="str">
        <f t="shared" si="142"/>
        <v>Medium</v>
      </c>
      <c r="I1847">
        <v>2</v>
      </c>
      <c r="J1847" t="str" cm="1">
        <f t="array" ref="J1847">_xlfn.IFS(I1847&lt;=3,"small",I1847&lt;=6,"Medium",I1847&lt;=9,"Large")</f>
        <v>small</v>
      </c>
      <c r="K1847" s="36">
        <v>45500</v>
      </c>
      <c r="L1847" s="36">
        <v>45503</v>
      </c>
      <c r="M1847" t="s">
        <v>612</v>
      </c>
      <c r="N1847" t="s">
        <v>599</v>
      </c>
      <c r="O1847" s="37" t="str">
        <f t="shared" si="143"/>
        <v>Digital Payment</v>
      </c>
      <c r="P1847">
        <v>1158.6300000000001</v>
      </c>
      <c r="Q1847" s="37" t="str">
        <f>IF(P1847&gt;500,"High","low")</f>
        <v>High</v>
      </c>
      <c r="R1847" s="37" t="str">
        <f t="shared" si="144"/>
        <v>Excellent</v>
      </c>
      <c r="S1847" t="s">
        <v>609</v>
      </c>
    </row>
    <row r="1848" spans="1:19" x14ac:dyDescent="0.2">
      <c r="A1848" t="s">
        <v>2459</v>
      </c>
      <c r="B1848" t="s">
        <v>67</v>
      </c>
      <c r="C1848" t="s">
        <v>602</v>
      </c>
      <c r="D1848">
        <v>3727.93</v>
      </c>
      <c r="E1848" s="37" t="str">
        <f t="shared" si="140"/>
        <v xml:space="preserve"> </v>
      </c>
      <c r="F1848">
        <v>0.23</v>
      </c>
      <c r="G1848" s="37" t="str">
        <f t="shared" si="141"/>
        <v>Normal Discount</v>
      </c>
      <c r="H1848" s="37" t="str">
        <f t="shared" si="142"/>
        <v>Medium</v>
      </c>
      <c r="I1848">
        <v>3</v>
      </c>
      <c r="J1848" t="str" cm="1">
        <f t="array" ref="J1848">_xlfn.IFS(I1848&lt;=3,"small",I1848&lt;=6,"Medium",I1848&lt;=9,"Large")</f>
        <v>small</v>
      </c>
      <c r="K1848" s="36">
        <v>45532</v>
      </c>
      <c r="L1848" s="36">
        <v>45538</v>
      </c>
      <c r="M1848" t="s">
        <v>603</v>
      </c>
      <c r="N1848" t="s">
        <v>608</v>
      </c>
      <c r="O1848" s="37" t="str">
        <f t="shared" si="143"/>
        <v>Cash Payment</v>
      </c>
      <c r="P1848">
        <v>416.29</v>
      </c>
      <c r="Q1848" s="37" t="str">
        <f>IF(P1848&gt;500,"High","low")</f>
        <v>low</v>
      </c>
      <c r="R1848" s="37" t="str">
        <f t="shared" si="144"/>
        <v>AVERAGE</v>
      </c>
      <c r="S1848" t="s">
        <v>620</v>
      </c>
    </row>
    <row r="1849" spans="1:19" x14ac:dyDescent="0.2">
      <c r="A1849" t="s">
        <v>2460</v>
      </c>
      <c r="B1849" t="s">
        <v>67</v>
      </c>
      <c r="C1849" t="s">
        <v>607</v>
      </c>
      <c r="D1849">
        <v>3903.76</v>
      </c>
      <c r="E1849" s="37" t="str">
        <f t="shared" si="140"/>
        <v xml:space="preserve"> </v>
      </c>
      <c r="F1849">
        <v>0.08</v>
      </c>
      <c r="G1849" s="37" t="str">
        <f t="shared" si="141"/>
        <v>Normal Discount</v>
      </c>
      <c r="H1849" s="37" t="str">
        <f t="shared" si="142"/>
        <v>Low</v>
      </c>
      <c r="I1849">
        <v>7</v>
      </c>
      <c r="J1849" t="str" cm="1">
        <f t="array" ref="J1849">_xlfn.IFS(I1849&lt;=3,"small",I1849&lt;=6,"Medium",I1849&lt;=9,"Large")</f>
        <v>Large</v>
      </c>
      <c r="K1849" s="36">
        <v>44940</v>
      </c>
      <c r="L1849" s="36">
        <v>44945</v>
      </c>
      <c r="M1849" t="s">
        <v>598</v>
      </c>
      <c r="N1849" t="s">
        <v>604</v>
      </c>
      <c r="O1849" s="37" t="str">
        <f t="shared" si="143"/>
        <v>Digital Payment</v>
      </c>
      <c r="P1849">
        <v>867.75</v>
      </c>
      <c r="Q1849" s="37" t="str">
        <f>IF(P1849&gt;500,"High","low")</f>
        <v>High</v>
      </c>
      <c r="R1849" s="37" t="str">
        <f t="shared" si="144"/>
        <v>Good</v>
      </c>
      <c r="S1849" t="s">
        <v>609</v>
      </c>
    </row>
    <row r="1850" spans="1:19" x14ac:dyDescent="0.2">
      <c r="A1850" t="s">
        <v>2461</v>
      </c>
      <c r="B1850" t="s">
        <v>75</v>
      </c>
      <c r="C1850" t="s">
        <v>602</v>
      </c>
      <c r="D1850">
        <v>225.95</v>
      </c>
      <c r="E1850" s="37" t="str">
        <f t="shared" si="140"/>
        <v xml:space="preserve"> </v>
      </c>
      <c r="F1850">
        <v>0.47</v>
      </c>
      <c r="G1850" s="37" t="str">
        <f t="shared" si="141"/>
        <v>Heavy Discount</v>
      </c>
      <c r="H1850" s="37" t="str">
        <f t="shared" si="142"/>
        <v>High</v>
      </c>
      <c r="I1850">
        <v>2</v>
      </c>
      <c r="J1850" t="str" cm="1">
        <f t="array" ref="J1850">_xlfn.IFS(I1850&lt;=3,"small",I1850&lt;=6,"Medium",I1850&lt;=9,"Large")</f>
        <v>small</v>
      </c>
      <c r="K1850" s="36">
        <v>45031</v>
      </c>
      <c r="L1850" s="36">
        <v>45038</v>
      </c>
      <c r="M1850" t="s">
        <v>603</v>
      </c>
      <c r="N1850" t="s">
        <v>604</v>
      </c>
      <c r="O1850" s="37" t="str">
        <f t="shared" si="143"/>
        <v>Digital Payment</v>
      </c>
      <c r="P1850">
        <v>63.72</v>
      </c>
      <c r="Q1850" s="37" t="str">
        <f>IF(P1850&gt;500,"High","low")</f>
        <v>low</v>
      </c>
      <c r="R1850" s="37" t="str">
        <f t="shared" si="144"/>
        <v>AVERAGE</v>
      </c>
      <c r="S1850" t="s">
        <v>600</v>
      </c>
    </row>
    <row r="1851" spans="1:19" x14ac:dyDescent="0.2">
      <c r="A1851" t="s">
        <v>2462</v>
      </c>
      <c r="B1851" t="s">
        <v>83</v>
      </c>
      <c r="C1851" t="s">
        <v>602</v>
      </c>
      <c r="D1851">
        <v>2537.25</v>
      </c>
      <c r="E1851" s="37" t="str">
        <f t="shared" si="140"/>
        <v xml:space="preserve"> </v>
      </c>
      <c r="F1851">
        <v>0.17</v>
      </c>
      <c r="G1851" s="37" t="str">
        <f t="shared" si="141"/>
        <v>Normal Discount</v>
      </c>
      <c r="H1851" s="37" t="str">
        <f t="shared" si="142"/>
        <v>Low</v>
      </c>
      <c r="I1851">
        <v>4</v>
      </c>
      <c r="J1851" t="str" cm="1">
        <f t="array" ref="J1851">_xlfn.IFS(I1851&lt;=3,"small",I1851&lt;=6,"Medium",I1851&lt;=9,"Large")</f>
        <v>Medium</v>
      </c>
      <c r="K1851" s="36">
        <v>45104</v>
      </c>
      <c r="L1851" s="36">
        <v>45106</v>
      </c>
      <c r="M1851" t="s">
        <v>598</v>
      </c>
      <c r="N1851" t="s">
        <v>608</v>
      </c>
      <c r="O1851" s="37" t="str">
        <f t="shared" si="143"/>
        <v>Cash Payment</v>
      </c>
      <c r="P1851">
        <v>561.88</v>
      </c>
      <c r="Q1851" s="37" t="str">
        <f>IF(P1851&gt;500,"High","low")</f>
        <v>High</v>
      </c>
      <c r="R1851" s="37" t="str">
        <f t="shared" si="144"/>
        <v>Good</v>
      </c>
      <c r="S1851" t="s">
        <v>628</v>
      </c>
    </row>
    <row r="1852" spans="1:19" x14ac:dyDescent="0.2">
      <c r="A1852" t="s">
        <v>2463</v>
      </c>
      <c r="B1852" t="s">
        <v>90</v>
      </c>
      <c r="C1852" t="s">
        <v>607</v>
      </c>
      <c r="D1852">
        <v>2688.85</v>
      </c>
      <c r="E1852" s="37" t="str">
        <f t="shared" si="140"/>
        <v xml:space="preserve"> </v>
      </c>
      <c r="F1852">
        <v>0.05</v>
      </c>
      <c r="G1852" s="37" t="str">
        <f t="shared" si="141"/>
        <v>Normal Discount</v>
      </c>
      <c r="H1852" s="37" t="str">
        <f t="shared" si="142"/>
        <v>Low</v>
      </c>
      <c r="I1852">
        <v>7</v>
      </c>
      <c r="J1852" t="str" cm="1">
        <f t="array" ref="J1852">_xlfn.IFS(I1852&lt;=3,"small",I1852&lt;=6,"Medium",I1852&lt;=9,"Large")</f>
        <v>Large</v>
      </c>
      <c r="K1852" s="36">
        <v>45135</v>
      </c>
      <c r="L1852" s="36">
        <v>45137</v>
      </c>
      <c r="M1852" t="s">
        <v>612</v>
      </c>
      <c r="N1852" t="s">
        <v>604</v>
      </c>
      <c r="O1852" s="37" t="str">
        <f t="shared" si="143"/>
        <v>Digital Payment</v>
      </c>
      <c r="P1852">
        <v>354.49</v>
      </c>
      <c r="Q1852" s="37" t="str">
        <f>IF(P1852&gt;500,"High","low")</f>
        <v>low</v>
      </c>
      <c r="R1852" s="37" t="str">
        <f t="shared" si="144"/>
        <v>AVERAGE</v>
      </c>
      <c r="S1852" t="s">
        <v>615</v>
      </c>
    </row>
    <row r="1853" spans="1:19" x14ac:dyDescent="0.2">
      <c r="A1853" t="s">
        <v>2464</v>
      </c>
      <c r="B1853" t="s">
        <v>75</v>
      </c>
      <c r="C1853" t="s">
        <v>614</v>
      </c>
      <c r="D1853">
        <v>298.94</v>
      </c>
      <c r="E1853" s="37" t="str">
        <f t="shared" si="140"/>
        <v xml:space="preserve"> </v>
      </c>
      <c r="F1853">
        <v>0.28000000000000003</v>
      </c>
      <c r="G1853" s="37" t="str">
        <f t="shared" si="141"/>
        <v>Normal Discount</v>
      </c>
      <c r="H1853" s="37" t="str">
        <f t="shared" si="142"/>
        <v>Medium</v>
      </c>
      <c r="I1853">
        <v>3</v>
      </c>
      <c r="J1853" t="str" cm="1">
        <f t="array" ref="J1853">_xlfn.IFS(I1853&lt;=3,"small",I1853&lt;=6,"Medium",I1853&lt;=9,"Large")</f>
        <v>small</v>
      </c>
      <c r="K1853" s="36">
        <v>44995</v>
      </c>
      <c r="L1853" s="36">
        <v>44997</v>
      </c>
      <c r="M1853" t="s">
        <v>612</v>
      </c>
      <c r="N1853" t="s">
        <v>604</v>
      </c>
      <c r="O1853" s="37" t="str">
        <f t="shared" si="143"/>
        <v>Digital Payment</v>
      </c>
      <c r="P1853">
        <v>67.41</v>
      </c>
      <c r="Q1853" s="37" t="str">
        <f>IF(P1853&gt;500,"High","low")</f>
        <v>low</v>
      </c>
      <c r="R1853" s="37" t="str">
        <f t="shared" si="144"/>
        <v>AVERAGE</v>
      </c>
      <c r="S1853" t="s">
        <v>615</v>
      </c>
    </row>
    <row r="1854" spans="1:19" x14ac:dyDescent="0.2">
      <c r="A1854" t="s">
        <v>2465</v>
      </c>
      <c r="B1854" t="s">
        <v>83</v>
      </c>
      <c r="C1854" t="s">
        <v>607</v>
      </c>
      <c r="D1854">
        <v>1629.44</v>
      </c>
      <c r="E1854" s="37" t="str">
        <f t="shared" si="140"/>
        <v xml:space="preserve"> </v>
      </c>
      <c r="F1854">
        <v>0.2</v>
      </c>
      <c r="G1854" s="37" t="str">
        <f t="shared" si="141"/>
        <v>Normal Discount</v>
      </c>
      <c r="H1854" s="37" t="str">
        <f t="shared" si="142"/>
        <v>Medium</v>
      </c>
      <c r="I1854">
        <v>2</v>
      </c>
      <c r="J1854" t="str" cm="1">
        <f t="array" ref="J1854">_xlfn.IFS(I1854&lt;=3,"small",I1854&lt;=6,"Medium",I1854&lt;=9,"Large")</f>
        <v>small</v>
      </c>
      <c r="K1854" s="36">
        <v>44989</v>
      </c>
      <c r="L1854" s="36">
        <v>44992</v>
      </c>
      <c r="M1854" t="s">
        <v>612</v>
      </c>
      <c r="N1854" t="s">
        <v>608</v>
      </c>
      <c r="O1854" s="37" t="str">
        <f t="shared" si="143"/>
        <v>Cash Payment</v>
      </c>
      <c r="P1854">
        <v>318.25</v>
      </c>
      <c r="Q1854" s="37" t="str">
        <f>IF(P1854&gt;500,"High","low")</f>
        <v>low</v>
      </c>
      <c r="R1854" s="37" t="str">
        <f t="shared" si="144"/>
        <v>AVERAGE</v>
      </c>
      <c r="S1854" t="s">
        <v>615</v>
      </c>
    </row>
    <row r="1855" spans="1:19" x14ac:dyDescent="0.2">
      <c r="A1855" t="s">
        <v>2466</v>
      </c>
      <c r="B1855" t="s">
        <v>75</v>
      </c>
      <c r="C1855" t="s">
        <v>617</v>
      </c>
      <c r="D1855">
        <v>4782.66</v>
      </c>
      <c r="E1855" s="37" t="str">
        <f t="shared" si="140"/>
        <v>Excellent Order</v>
      </c>
      <c r="F1855">
        <v>0.3</v>
      </c>
      <c r="G1855" s="37" t="str">
        <f t="shared" si="141"/>
        <v>Normal Discount</v>
      </c>
      <c r="H1855" s="37" t="str">
        <f t="shared" si="142"/>
        <v>Medium</v>
      </c>
      <c r="I1855">
        <v>8</v>
      </c>
      <c r="J1855" t="str" cm="1">
        <f t="array" ref="J1855">_xlfn.IFS(I1855&lt;=3,"small",I1855&lt;=6,"Medium",I1855&lt;=9,"Large")</f>
        <v>Large</v>
      </c>
      <c r="K1855" s="36">
        <v>45097</v>
      </c>
      <c r="L1855" s="36">
        <v>45104</v>
      </c>
      <c r="M1855" t="s">
        <v>612</v>
      </c>
      <c r="N1855" t="s">
        <v>608</v>
      </c>
      <c r="O1855" s="37" t="str">
        <f t="shared" si="143"/>
        <v>Cash Payment</v>
      </c>
      <c r="P1855">
        <v>1202.5</v>
      </c>
      <c r="Q1855" s="37" t="str">
        <f>IF(P1855&gt;500,"High","low")</f>
        <v>High</v>
      </c>
      <c r="R1855" s="37" t="str">
        <f t="shared" si="144"/>
        <v>Excellent</v>
      </c>
      <c r="S1855" t="s">
        <v>605</v>
      </c>
    </row>
    <row r="1856" spans="1:19" x14ac:dyDescent="0.2">
      <c r="A1856" t="s">
        <v>2467</v>
      </c>
      <c r="B1856" t="s">
        <v>67</v>
      </c>
      <c r="C1856" t="s">
        <v>607</v>
      </c>
      <c r="D1856">
        <v>2187.9499999999998</v>
      </c>
      <c r="E1856" s="37" t="str">
        <f t="shared" si="140"/>
        <v xml:space="preserve"> </v>
      </c>
      <c r="F1856">
        <v>0.12</v>
      </c>
      <c r="G1856" s="37" t="str">
        <f t="shared" si="141"/>
        <v>Normal Discount</v>
      </c>
      <c r="H1856" s="37" t="str">
        <f t="shared" si="142"/>
        <v>Low</v>
      </c>
      <c r="I1856">
        <v>2</v>
      </c>
      <c r="J1856" t="str" cm="1">
        <f t="array" ref="J1856">_xlfn.IFS(I1856&lt;=3,"small",I1856&lt;=6,"Medium",I1856&lt;=9,"Large")</f>
        <v>small</v>
      </c>
      <c r="K1856" s="36">
        <v>45308</v>
      </c>
      <c r="L1856" s="36">
        <v>45313</v>
      </c>
      <c r="M1856" t="s">
        <v>612</v>
      </c>
      <c r="N1856" t="s">
        <v>608</v>
      </c>
      <c r="O1856" s="37" t="str">
        <f t="shared" si="143"/>
        <v>Cash Payment</v>
      </c>
      <c r="P1856">
        <v>258.05</v>
      </c>
      <c r="Q1856" s="37" t="str">
        <f>IF(P1856&gt;500,"High","low")</f>
        <v>low</v>
      </c>
      <c r="R1856" s="37" t="str">
        <f t="shared" si="144"/>
        <v>AVERAGE</v>
      </c>
      <c r="S1856" t="s">
        <v>615</v>
      </c>
    </row>
    <row r="1857" spans="1:19" x14ac:dyDescent="0.2">
      <c r="A1857" t="s">
        <v>2468</v>
      </c>
      <c r="B1857" t="s">
        <v>83</v>
      </c>
      <c r="C1857" t="s">
        <v>597</v>
      </c>
      <c r="D1857">
        <v>1014.84</v>
      </c>
      <c r="E1857" s="37" t="str">
        <f t="shared" si="140"/>
        <v xml:space="preserve"> </v>
      </c>
      <c r="F1857">
        <v>0.19</v>
      </c>
      <c r="G1857" s="37" t="str">
        <f t="shared" si="141"/>
        <v>Normal Discount</v>
      </c>
      <c r="H1857" s="37" t="str">
        <f t="shared" si="142"/>
        <v>Low</v>
      </c>
      <c r="I1857">
        <v>7</v>
      </c>
      <c r="J1857" t="str" cm="1">
        <f t="array" ref="J1857">_xlfn.IFS(I1857&lt;=3,"small",I1857&lt;=6,"Medium",I1857&lt;=9,"Large")</f>
        <v>Large</v>
      </c>
      <c r="K1857" s="36">
        <v>45236</v>
      </c>
      <c r="L1857" s="36">
        <v>45241</v>
      </c>
      <c r="M1857" t="s">
        <v>612</v>
      </c>
      <c r="N1857" t="s">
        <v>604</v>
      </c>
      <c r="O1857" s="37" t="str">
        <f t="shared" si="143"/>
        <v>Digital Payment</v>
      </c>
      <c r="P1857">
        <v>91.9</v>
      </c>
      <c r="Q1857" s="37" t="str">
        <f>IF(P1857&gt;500,"High","low")</f>
        <v>low</v>
      </c>
      <c r="R1857" s="37" t="str">
        <f t="shared" si="144"/>
        <v>AVERAGE</v>
      </c>
      <c r="S1857" t="s">
        <v>620</v>
      </c>
    </row>
    <row r="1858" spans="1:19" x14ac:dyDescent="0.2">
      <c r="A1858" t="s">
        <v>2469</v>
      </c>
      <c r="B1858" t="s">
        <v>75</v>
      </c>
      <c r="C1858" t="s">
        <v>617</v>
      </c>
      <c r="D1858">
        <v>2615.36</v>
      </c>
      <c r="E1858" s="37" t="str">
        <f t="shared" si="140"/>
        <v xml:space="preserve"> </v>
      </c>
      <c r="F1858">
        <v>0.49</v>
      </c>
      <c r="G1858" s="37" t="str">
        <f t="shared" si="141"/>
        <v>Heavy Discount</v>
      </c>
      <c r="H1858" s="37" t="str">
        <f t="shared" si="142"/>
        <v>High</v>
      </c>
      <c r="I1858">
        <v>3</v>
      </c>
      <c r="J1858" t="str" cm="1">
        <f t="array" ref="J1858">_xlfn.IFS(I1858&lt;=3,"small",I1858&lt;=6,"Medium",I1858&lt;=9,"Large")</f>
        <v>small</v>
      </c>
      <c r="K1858" s="36">
        <v>45625</v>
      </c>
      <c r="L1858" s="36">
        <v>45629</v>
      </c>
      <c r="M1858" t="s">
        <v>603</v>
      </c>
      <c r="N1858" t="s">
        <v>599</v>
      </c>
      <c r="O1858" s="37" t="str">
        <f t="shared" si="143"/>
        <v>Digital Payment</v>
      </c>
      <c r="P1858">
        <v>413.56</v>
      </c>
      <c r="Q1858" s="37" t="str">
        <f>IF(P1858&gt;500,"High","low")</f>
        <v>low</v>
      </c>
      <c r="R1858" s="37" t="str">
        <f t="shared" si="144"/>
        <v>AVERAGE</v>
      </c>
      <c r="S1858" t="s">
        <v>628</v>
      </c>
    </row>
    <row r="1859" spans="1:19" x14ac:dyDescent="0.2">
      <c r="A1859" t="s">
        <v>2470</v>
      </c>
      <c r="B1859" t="s">
        <v>75</v>
      </c>
      <c r="C1859" t="s">
        <v>602</v>
      </c>
      <c r="D1859">
        <v>265.45</v>
      </c>
      <c r="E1859" s="37" t="str">
        <f t="shared" ref="E1859:E1922" si="145">IF(AND(D1859&gt;4000,P1859&gt;800),"Excellent Order"," ")</f>
        <v xml:space="preserve"> </v>
      </c>
      <c r="F1859">
        <v>0.47</v>
      </c>
      <c r="G1859" s="37" t="str">
        <f t="shared" ref="G1859:G1922" si="146">IF(F1859&gt;30%,"Heavy Discount","Normal Discount")</f>
        <v>Heavy Discount</v>
      </c>
      <c r="H1859" s="37" t="str">
        <f t="shared" ref="H1859:H1922" si="147">IF(F1859&gt;0.4,"High",IF(F1859&gt;=0.2,"Medium","Low"))</f>
        <v>High</v>
      </c>
      <c r="I1859">
        <v>4</v>
      </c>
      <c r="J1859" t="str" cm="1">
        <f t="array" ref="J1859">_xlfn.IFS(I1859&lt;=3,"small",I1859&lt;=6,"Medium",I1859&lt;=9,"Large")</f>
        <v>Medium</v>
      </c>
      <c r="K1859" s="36">
        <v>45093</v>
      </c>
      <c r="L1859" s="36">
        <v>45094</v>
      </c>
      <c r="M1859" t="s">
        <v>603</v>
      </c>
      <c r="N1859" t="s">
        <v>599</v>
      </c>
      <c r="O1859" s="37" t="str">
        <f t="shared" ref="O1859:O1922" si="148">IF(OR(N1859="Card",N1859="UPI"),"Digital Payment","Cash Payment")</f>
        <v>Digital Payment</v>
      </c>
      <c r="P1859">
        <v>54.84</v>
      </c>
      <c r="Q1859" s="37" t="str">
        <f>IF(P1859&gt;500,"High","low")</f>
        <v>low</v>
      </c>
      <c r="R1859" s="37" t="str">
        <f t="shared" ref="R1859:R1922" si="149">IF(P1859&gt;1000,"Excellent",IF(P1859&gt;=500,"Good","AVERAGE"))</f>
        <v>AVERAGE</v>
      </c>
      <c r="S1859" t="s">
        <v>609</v>
      </c>
    </row>
    <row r="1860" spans="1:19" x14ac:dyDescent="0.2">
      <c r="A1860" t="s">
        <v>2471</v>
      </c>
      <c r="B1860" t="s">
        <v>90</v>
      </c>
      <c r="C1860" t="s">
        <v>617</v>
      </c>
      <c r="D1860">
        <v>2628.34</v>
      </c>
      <c r="E1860" s="37" t="str">
        <f t="shared" si="145"/>
        <v xml:space="preserve"> </v>
      </c>
      <c r="F1860">
        <v>0.43</v>
      </c>
      <c r="G1860" s="37" t="str">
        <f t="shared" si="146"/>
        <v>Heavy Discount</v>
      </c>
      <c r="H1860" s="37" t="str">
        <f t="shared" si="147"/>
        <v>High</v>
      </c>
      <c r="I1860">
        <v>6</v>
      </c>
      <c r="J1860" t="str" cm="1">
        <f t="array" ref="J1860">_xlfn.IFS(I1860&lt;=3,"small",I1860&lt;=6,"Medium",I1860&lt;=9,"Large")</f>
        <v>Medium</v>
      </c>
      <c r="K1860" s="36">
        <v>45650</v>
      </c>
      <c r="L1860" s="36">
        <v>45651</v>
      </c>
      <c r="M1860" t="s">
        <v>598</v>
      </c>
      <c r="N1860" t="s">
        <v>608</v>
      </c>
      <c r="O1860" s="37" t="str">
        <f t="shared" si="148"/>
        <v>Cash Payment</v>
      </c>
      <c r="P1860">
        <v>195.02</v>
      </c>
      <c r="Q1860" s="37" t="str">
        <f>IF(P1860&gt;500,"High","low")</f>
        <v>low</v>
      </c>
      <c r="R1860" s="37" t="str">
        <f t="shared" si="149"/>
        <v>AVERAGE</v>
      </c>
      <c r="S1860" t="s">
        <v>609</v>
      </c>
    </row>
    <row r="1861" spans="1:19" x14ac:dyDescent="0.2">
      <c r="A1861" t="s">
        <v>2472</v>
      </c>
      <c r="B1861" t="s">
        <v>75</v>
      </c>
      <c r="C1861" t="s">
        <v>614</v>
      </c>
      <c r="D1861">
        <v>3011.91</v>
      </c>
      <c r="E1861" s="37" t="str">
        <f t="shared" si="145"/>
        <v xml:space="preserve"> </v>
      </c>
      <c r="F1861">
        <v>0.39</v>
      </c>
      <c r="G1861" s="37" t="str">
        <f t="shared" si="146"/>
        <v>Heavy Discount</v>
      </c>
      <c r="H1861" s="37" t="str">
        <f t="shared" si="147"/>
        <v>Medium</v>
      </c>
      <c r="I1861">
        <v>3</v>
      </c>
      <c r="J1861" t="str" cm="1">
        <f t="array" ref="J1861">_xlfn.IFS(I1861&lt;=3,"small",I1861&lt;=6,"Medium",I1861&lt;=9,"Large")</f>
        <v>small</v>
      </c>
      <c r="K1861" s="36">
        <v>45555</v>
      </c>
      <c r="L1861" s="36">
        <v>45560</v>
      </c>
      <c r="M1861" t="s">
        <v>603</v>
      </c>
      <c r="N1861" t="s">
        <v>604</v>
      </c>
      <c r="O1861" s="37" t="str">
        <f t="shared" si="148"/>
        <v>Digital Payment</v>
      </c>
      <c r="P1861">
        <v>348.8</v>
      </c>
      <c r="Q1861" s="37" t="str">
        <f>IF(P1861&gt;500,"High","low")</f>
        <v>low</v>
      </c>
      <c r="R1861" s="37" t="str">
        <f t="shared" si="149"/>
        <v>AVERAGE</v>
      </c>
      <c r="S1861" t="s">
        <v>620</v>
      </c>
    </row>
    <row r="1862" spans="1:19" x14ac:dyDescent="0.2">
      <c r="A1862" t="s">
        <v>2473</v>
      </c>
      <c r="B1862" t="s">
        <v>83</v>
      </c>
      <c r="C1862" t="s">
        <v>614</v>
      </c>
      <c r="D1862">
        <v>1852.7</v>
      </c>
      <c r="E1862" s="37" t="str">
        <f t="shared" si="145"/>
        <v xml:space="preserve"> </v>
      </c>
      <c r="F1862">
        <v>0.08</v>
      </c>
      <c r="G1862" s="37" t="str">
        <f t="shared" si="146"/>
        <v>Normal Discount</v>
      </c>
      <c r="H1862" s="37" t="str">
        <f t="shared" si="147"/>
        <v>Low</v>
      </c>
      <c r="I1862">
        <v>1</v>
      </c>
      <c r="J1862" t="str" cm="1">
        <f t="array" ref="J1862">_xlfn.IFS(I1862&lt;=3,"small",I1862&lt;=6,"Medium",I1862&lt;=9,"Large")</f>
        <v>small</v>
      </c>
      <c r="K1862" s="36">
        <v>45159</v>
      </c>
      <c r="L1862" s="36">
        <v>45165</v>
      </c>
      <c r="M1862" t="s">
        <v>612</v>
      </c>
      <c r="N1862" t="s">
        <v>604</v>
      </c>
      <c r="O1862" s="37" t="str">
        <f t="shared" si="148"/>
        <v>Digital Payment</v>
      </c>
      <c r="P1862">
        <v>170</v>
      </c>
      <c r="Q1862" s="37" t="str">
        <f>IF(P1862&gt;500,"High","low")</f>
        <v>low</v>
      </c>
      <c r="R1862" s="37" t="str">
        <f t="shared" si="149"/>
        <v>AVERAGE</v>
      </c>
      <c r="S1862" t="s">
        <v>628</v>
      </c>
    </row>
    <row r="1863" spans="1:19" x14ac:dyDescent="0.2">
      <c r="A1863" t="s">
        <v>2474</v>
      </c>
      <c r="B1863" t="s">
        <v>83</v>
      </c>
      <c r="C1863" t="s">
        <v>607</v>
      </c>
      <c r="D1863">
        <v>3836.62</v>
      </c>
      <c r="E1863" s="37" t="str">
        <f t="shared" si="145"/>
        <v xml:space="preserve"> </v>
      </c>
      <c r="F1863">
        <v>0.23</v>
      </c>
      <c r="G1863" s="37" t="str">
        <f t="shared" si="146"/>
        <v>Normal Discount</v>
      </c>
      <c r="H1863" s="37" t="str">
        <f t="shared" si="147"/>
        <v>Medium</v>
      </c>
      <c r="I1863">
        <v>8</v>
      </c>
      <c r="J1863" t="str" cm="1">
        <f t="array" ref="J1863">_xlfn.IFS(I1863&lt;=3,"small",I1863&lt;=6,"Medium",I1863&lt;=9,"Large")</f>
        <v>Large</v>
      </c>
      <c r="K1863" s="36">
        <v>45089</v>
      </c>
      <c r="L1863" s="36">
        <v>45094</v>
      </c>
      <c r="M1863" t="s">
        <v>612</v>
      </c>
      <c r="N1863" t="s">
        <v>608</v>
      </c>
      <c r="O1863" s="37" t="str">
        <f t="shared" si="148"/>
        <v>Cash Payment</v>
      </c>
      <c r="P1863">
        <v>930.63</v>
      </c>
      <c r="Q1863" s="37" t="str">
        <f>IF(P1863&gt;500,"High","low")</f>
        <v>High</v>
      </c>
      <c r="R1863" s="37" t="str">
        <f t="shared" si="149"/>
        <v>Good</v>
      </c>
      <c r="S1863" t="s">
        <v>628</v>
      </c>
    </row>
    <row r="1864" spans="1:19" x14ac:dyDescent="0.2">
      <c r="A1864" t="s">
        <v>2475</v>
      </c>
      <c r="B1864" t="s">
        <v>90</v>
      </c>
      <c r="C1864" t="s">
        <v>617</v>
      </c>
      <c r="D1864">
        <v>765</v>
      </c>
      <c r="E1864" s="37" t="str">
        <f t="shared" si="145"/>
        <v xml:space="preserve"> </v>
      </c>
      <c r="F1864">
        <v>0.36</v>
      </c>
      <c r="G1864" s="37" t="str">
        <f t="shared" si="146"/>
        <v>Heavy Discount</v>
      </c>
      <c r="H1864" s="37" t="str">
        <f t="shared" si="147"/>
        <v>Medium</v>
      </c>
      <c r="I1864">
        <v>4</v>
      </c>
      <c r="J1864" t="str" cm="1">
        <f t="array" ref="J1864">_xlfn.IFS(I1864&lt;=3,"small",I1864&lt;=6,"Medium",I1864&lt;=9,"Large")</f>
        <v>Medium</v>
      </c>
      <c r="K1864" s="36">
        <v>45519</v>
      </c>
      <c r="L1864" s="36">
        <v>45521</v>
      </c>
      <c r="M1864" t="s">
        <v>603</v>
      </c>
      <c r="N1864" t="s">
        <v>599</v>
      </c>
      <c r="O1864" s="37" t="str">
        <f t="shared" si="148"/>
        <v>Digital Payment</v>
      </c>
      <c r="P1864">
        <v>172.98</v>
      </c>
      <c r="Q1864" s="37" t="str">
        <f>IF(P1864&gt;500,"High","low")</f>
        <v>low</v>
      </c>
      <c r="R1864" s="37" t="str">
        <f t="shared" si="149"/>
        <v>AVERAGE</v>
      </c>
      <c r="S1864" t="s">
        <v>600</v>
      </c>
    </row>
    <row r="1865" spans="1:19" x14ac:dyDescent="0.2">
      <c r="A1865" t="s">
        <v>2476</v>
      </c>
      <c r="B1865" t="s">
        <v>83</v>
      </c>
      <c r="C1865" t="s">
        <v>602</v>
      </c>
      <c r="D1865">
        <v>4403.1000000000004</v>
      </c>
      <c r="E1865" s="37" t="str">
        <f t="shared" si="145"/>
        <v>Excellent Order</v>
      </c>
      <c r="F1865">
        <v>0.13</v>
      </c>
      <c r="G1865" s="37" t="str">
        <f t="shared" si="146"/>
        <v>Normal Discount</v>
      </c>
      <c r="H1865" s="37" t="str">
        <f t="shared" si="147"/>
        <v>Low</v>
      </c>
      <c r="I1865">
        <v>1</v>
      </c>
      <c r="J1865" t="str" cm="1">
        <f t="array" ref="J1865">_xlfn.IFS(I1865&lt;=3,"small",I1865&lt;=6,"Medium",I1865&lt;=9,"Large")</f>
        <v>small</v>
      </c>
      <c r="K1865" s="36">
        <v>45430</v>
      </c>
      <c r="L1865" s="36">
        <v>45433</v>
      </c>
      <c r="M1865" t="s">
        <v>612</v>
      </c>
      <c r="N1865" t="s">
        <v>608</v>
      </c>
      <c r="O1865" s="37" t="str">
        <f t="shared" si="148"/>
        <v>Cash Payment</v>
      </c>
      <c r="P1865">
        <v>908.6</v>
      </c>
      <c r="Q1865" s="37" t="str">
        <f>IF(P1865&gt;500,"High","low")</f>
        <v>High</v>
      </c>
      <c r="R1865" s="37" t="str">
        <f t="shared" si="149"/>
        <v>Good</v>
      </c>
      <c r="S1865" t="s">
        <v>609</v>
      </c>
    </row>
    <row r="1866" spans="1:19" x14ac:dyDescent="0.2">
      <c r="A1866" t="s">
        <v>2477</v>
      </c>
      <c r="B1866" t="s">
        <v>67</v>
      </c>
      <c r="C1866" t="s">
        <v>614</v>
      </c>
      <c r="D1866">
        <v>4781.68</v>
      </c>
      <c r="E1866" s="37" t="str">
        <f t="shared" si="145"/>
        <v xml:space="preserve"> </v>
      </c>
      <c r="F1866">
        <v>0.02</v>
      </c>
      <c r="G1866" s="37" t="str">
        <f t="shared" si="146"/>
        <v>Normal Discount</v>
      </c>
      <c r="H1866" s="37" t="str">
        <f t="shared" si="147"/>
        <v>Low</v>
      </c>
      <c r="I1866">
        <v>2</v>
      </c>
      <c r="J1866" t="str" cm="1">
        <f t="array" ref="J1866">_xlfn.IFS(I1866&lt;=3,"small",I1866&lt;=6,"Medium",I1866&lt;=9,"Large")</f>
        <v>small</v>
      </c>
      <c r="K1866" s="36">
        <v>45191</v>
      </c>
      <c r="L1866" s="36">
        <v>45196</v>
      </c>
      <c r="M1866" t="s">
        <v>598</v>
      </c>
      <c r="N1866" t="s">
        <v>604</v>
      </c>
      <c r="O1866" s="37" t="str">
        <f t="shared" si="148"/>
        <v>Digital Payment</v>
      </c>
      <c r="P1866">
        <v>792.64</v>
      </c>
      <c r="Q1866" s="37" t="str">
        <f>IF(P1866&gt;500,"High","low")</f>
        <v>High</v>
      </c>
      <c r="R1866" s="37" t="str">
        <f t="shared" si="149"/>
        <v>Good</v>
      </c>
      <c r="S1866" t="s">
        <v>628</v>
      </c>
    </row>
    <row r="1867" spans="1:19" x14ac:dyDescent="0.2">
      <c r="A1867" t="s">
        <v>2478</v>
      </c>
      <c r="B1867" t="s">
        <v>83</v>
      </c>
      <c r="C1867" t="s">
        <v>602</v>
      </c>
      <c r="D1867">
        <v>106.05</v>
      </c>
      <c r="E1867" s="37" t="str">
        <f t="shared" si="145"/>
        <v xml:space="preserve"> </v>
      </c>
      <c r="F1867">
        <v>0.21</v>
      </c>
      <c r="G1867" s="37" t="str">
        <f t="shared" si="146"/>
        <v>Normal Discount</v>
      </c>
      <c r="H1867" s="37" t="str">
        <f t="shared" si="147"/>
        <v>Medium</v>
      </c>
      <c r="I1867">
        <v>6</v>
      </c>
      <c r="J1867" t="str" cm="1">
        <f t="array" ref="J1867">_xlfn.IFS(I1867&lt;=3,"small",I1867&lt;=6,"Medium",I1867&lt;=9,"Large")</f>
        <v>Medium</v>
      </c>
      <c r="K1867" s="36">
        <v>45432</v>
      </c>
      <c r="L1867" s="36">
        <v>45436</v>
      </c>
      <c r="M1867" t="s">
        <v>603</v>
      </c>
      <c r="N1867" t="s">
        <v>604</v>
      </c>
      <c r="O1867" s="37" t="str">
        <f t="shared" si="148"/>
        <v>Digital Payment</v>
      </c>
      <c r="P1867">
        <v>17.170000000000002</v>
      </c>
      <c r="Q1867" s="37" t="str">
        <f>IF(P1867&gt;500,"High","low")</f>
        <v>low</v>
      </c>
      <c r="R1867" s="37" t="str">
        <f t="shared" si="149"/>
        <v>AVERAGE</v>
      </c>
      <c r="S1867" t="s">
        <v>628</v>
      </c>
    </row>
    <row r="1868" spans="1:19" x14ac:dyDescent="0.2">
      <c r="A1868" t="s">
        <v>2479</v>
      </c>
      <c r="B1868" t="s">
        <v>83</v>
      </c>
      <c r="C1868" t="s">
        <v>597</v>
      </c>
      <c r="D1868">
        <v>4229.34</v>
      </c>
      <c r="E1868" s="37" t="str">
        <f t="shared" si="145"/>
        <v xml:space="preserve"> </v>
      </c>
      <c r="F1868">
        <v>0.21</v>
      </c>
      <c r="G1868" s="37" t="str">
        <f t="shared" si="146"/>
        <v>Normal Discount</v>
      </c>
      <c r="H1868" s="37" t="str">
        <f t="shared" si="147"/>
        <v>Medium</v>
      </c>
      <c r="I1868">
        <v>1</v>
      </c>
      <c r="J1868" t="str" cm="1">
        <f t="array" ref="J1868">_xlfn.IFS(I1868&lt;=3,"small",I1868&lt;=6,"Medium",I1868&lt;=9,"Large")</f>
        <v>small</v>
      </c>
      <c r="K1868" s="36">
        <v>45561</v>
      </c>
      <c r="L1868" s="36">
        <v>45565</v>
      </c>
      <c r="M1868" t="s">
        <v>603</v>
      </c>
      <c r="N1868" t="s">
        <v>599</v>
      </c>
      <c r="O1868" s="37" t="str">
        <f t="shared" si="148"/>
        <v>Digital Payment</v>
      </c>
      <c r="P1868">
        <v>758.52</v>
      </c>
      <c r="Q1868" s="37" t="str">
        <f>IF(P1868&gt;500,"High","low")</f>
        <v>High</v>
      </c>
      <c r="R1868" s="37" t="str">
        <f t="shared" si="149"/>
        <v>Good</v>
      </c>
      <c r="S1868" t="s">
        <v>609</v>
      </c>
    </row>
    <row r="1869" spans="1:19" x14ac:dyDescent="0.2">
      <c r="A1869" t="s">
        <v>2480</v>
      </c>
      <c r="B1869" t="s">
        <v>75</v>
      </c>
      <c r="C1869" t="s">
        <v>614</v>
      </c>
      <c r="D1869">
        <v>2579.92</v>
      </c>
      <c r="E1869" s="37" t="str">
        <f t="shared" si="145"/>
        <v xml:space="preserve"> </v>
      </c>
      <c r="F1869">
        <v>0.03</v>
      </c>
      <c r="G1869" s="37" t="str">
        <f t="shared" si="146"/>
        <v>Normal Discount</v>
      </c>
      <c r="H1869" s="37" t="str">
        <f t="shared" si="147"/>
        <v>Low</v>
      </c>
      <c r="I1869">
        <v>9</v>
      </c>
      <c r="J1869" t="str" cm="1">
        <f t="array" ref="J1869">_xlfn.IFS(I1869&lt;=3,"small",I1869&lt;=6,"Medium",I1869&lt;=9,"Large")</f>
        <v>Large</v>
      </c>
      <c r="K1869" s="36">
        <v>44986</v>
      </c>
      <c r="L1869" s="36">
        <v>44992</v>
      </c>
      <c r="M1869" t="s">
        <v>598</v>
      </c>
      <c r="N1869" t="s">
        <v>608</v>
      </c>
      <c r="O1869" s="37" t="str">
        <f t="shared" si="148"/>
        <v>Cash Payment</v>
      </c>
      <c r="P1869">
        <v>656.93</v>
      </c>
      <c r="Q1869" s="37" t="str">
        <f>IF(P1869&gt;500,"High","low")</f>
        <v>High</v>
      </c>
      <c r="R1869" s="37" t="str">
        <f t="shared" si="149"/>
        <v>Good</v>
      </c>
      <c r="S1869" t="s">
        <v>605</v>
      </c>
    </row>
    <row r="1870" spans="1:19" x14ac:dyDescent="0.2">
      <c r="A1870" t="s">
        <v>2481</v>
      </c>
      <c r="B1870" t="s">
        <v>75</v>
      </c>
      <c r="C1870" t="s">
        <v>607</v>
      </c>
      <c r="D1870">
        <v>2360.89</v>
      </c>
      <c r="E1870" s="37" t="str">
        <f t="shared" si="145"/>
        <v xml:space="preserve"> </v>
      </c>
      <c r="F1870">
        <v>0.16</v>
      </c>
      <c r="G1870" s="37" t="str">
        <f t="shared" si="146"/>
        <v>Normal Discount</v>
      </c>
      <c r="H1870" s="37" t="str">
        <f t="shared" si="147"/>
        <v>Low</v>
      </c>
      <c r="I1870">
        <v>7</v>
      </c>
      <c r="J1870" t="str" cm="1">
        <f t="array" ref="J1870">_xlfn.IFS(I1870&lt;=3,"small",I1870&lt;=6,"Medium",I1870&lt;=9,"Large")</f>
        <v>Large</v>
      </c>
      <c r="K1870" s="36">
        <v>44988</v>
      </c>
      <c r="L1870" s="36">
        <v>44995</v>
      </c>
      <c r="M1870" t="s">
        <v>603</v>
      </c>
      <c r="N1870" t="s">
        <v>599</v>
      </c>
      <c r="O1870" s="37" t="str">
        <f t="shared" si="148"/>
        <v>Digital Payment</v>
      </c>
      <c r="P1870">
        <v>469.93</v>
      </c>
      <c r="Q1870" s="37" t="str">
        <f>IF(P1870&gt;500,"High","low")</f>
        <v>low</v>
      </c>
      <c r="R1870" s="37" t="str">
        <f t="shared" si="149"/>
        <v>AVERAGE</v>
      </c>
      <c r="S1870" t="s">
        <v>600</v>
      </c>
    </row>
    <row r="1871" spans="1:19" x14ac:dyDescent="0.2">
      <c r="A1871" t="s">
        <v>2482</v>
      </c>
      <c r="B1871" t="s">
        <v>83</v>
      </c>
      <c r="C1871" t="s">
        <v>597</v>
      </c>
      <c r="D1871">
        <v>1269.53</v>
      </c>
      <c r="E1871" s="37" t="str">
        <f t="shared" si="145"/>
        <v xml:space="preserve"> </v>
      </c>
      <c r="F1871">
        <v>0.46</v>
      </c>
      <c r="G1871" s="37" t="str">
        <f t="shared" si="146"/>
        <v>Heavy Discount</v>
      </c>
      <c r="H1871" s="37" t="str">
        <f t="shared" si="147"/>
        <v>High</v>
      </c>
      <c r="I1871">
        <v>8</v>
      </c>
      <c r="J1871" t="str" cm="1">
        <f t="array" ref="J1871">_xlfn.IFS(I1871&lt;=3,"small",I1871&lt;=6,"Medium",I1871&lt;=9,"Large")</f>
        <v>Large</v>
      </c>
      <c r="K1871" s="36">
        <v>45032</v>
      </c>
      <c r="L1871" s="36">
        <v>45037</v>
      </c>
      <c r="M1871" t="s">
        <v>603</v>
      </c>
      <c r="N1871" t="s">
        <v>599</v>
      </c>
      <c r="O1871" s="37" t="str">
        <f t="shared" si="148"/>
        <v>Digital Payment</v>
      </c>
      <c r="P1871">
        <v>300.39</v>
      </c>
      <c r="Q1871" s="37" t="str">
        <f>IF(P1871&gt;500,"High","low")</f>
        <v>low</v>
      </c>
      <c r="R1871" s="37" t="str">
        <f t="shared" si="149"/>
        <v>AVERAGE</v>
      </c>
      <c r="S1871" t="s">
        <v>609</v>
      </c>
    </row>
    <row r="1872" spans="1:19" x14ac:dyDescent="0.2">
      <c r="A1872" t="s">
        <v>2483</v>
      </c>
      <c r="B1872" t="s">
        <v>90</v>
      </c>
      <c r="C1872" t="s">
        <v>617</v>
      </c>
      <c r="D1872">
        <v>2291.89</v>
      </c>
      <c r="E1872" s="37" t="str">
        <f t="shared" si="145"/>
        <v xml:space="preserve"> </v>
      </c>
      <c r="F1872">
        <v>0.13</v>
      </c>
      <c r="G1872" s="37" t="str">
        <f t="shared" si="146"/>
        <v>Normal Discount</v>
      </c>
      <c r="H1872" s="37" t="str">
        <f t="shared" si="147"/>
        <v>Low</v>
      </c>
      <c r="I1872">
        <v>8</v>
      </c>
      <c r="J1872" t="str" cm="1">
        <f t="array" ref="J1872">_xlfn.IFS(I1872&lt;=3,"small",I1872&lt;=6,"Medium",I1872&lt;=9,"Large")</f>
        <v>Large</v>
      </c>
      <c r="K1872" s="36">
        <v>45070</v>
      </c>
      <c r="L1872" s="36">
        <v>45071</v>
      </c>
      <c r="M1872" t="s">
        <v>603</v>
      </c>
      <c r="N1872" t="s">
        <v>608</v>
      </c>
      <c r="O1872" s="37" t="str">
        <f t="shared" si="148"/>
        <v>Cash Payment</v>
      </c>
      <c r="P1872">
        <v>264.25</v>
      </c>
      <c r="Q1872" s="37" t="str">
        <f>IF(P1872&gt;500,"High","low")</f>
        <v>low</v>
      </c>
      <c r="R1872" s="37" t="str">
        <f t="shared" si="149"/>
        <v>AVERAGE</v>
      </c>
      <c r="S1872" t="s">
        <v>628</v>
      </c>
    </row>
    <row r="1873" spans="1:19" x14ac:dyDescent="0.2">
      <c r="A1873" t="s">
        <v>2484</v>
      </c>
      <c r="B1873" t="s">
        <v>75</v>
      </c>
      <c r="C1873" t="s">
        <v>602</v>
      </c>
      <c r="D1873">
        <v>4757.09</v>
      </c>
      <c r="E1873" s="37" t="str">
        <f t="shared" si="145"/>
        <v>Excellent Order</v>
      </c>
      <c r="F1873">
        <v>0.28000000000000003</v>
      </c>
      <c r="G1873" s="37" t="str">
        <f t="shared" si="146"/>
        <v>Normal Discount</v>
      </c>
      <c r="H1873" s="37" t="str">
        <f t="shared" si="147"/>
        <v>Medium</v>
      </c>
      <c r="I1873">
        <v>6</v>
      </c>
      <c r="J1873" t="str" cm="1">
        <f t="array" ref="J1873">_xlfn.IFS(I1873&lt;=3,"small",I1873&lt;=6,"Medium",I1873&lt;=9,"Large")</f>
        <v>Medium</v>
      </c>
      <c r="K1873" s="36">
        <v>45326</v>
      </c>
      <c r="L1873" s="36">
        <v>45329</v>
      </c>
      <c r="M1873" t="s">
        <v>598</v>
      </c>
      <c r="N1873" t="s">
        <v>604</v>
      </c>
      <c r="O1873" s="37" t="str">
        <f t="shared" si="148"/>
        <v>Digital Payment</v>
      </c>
      <c r="P1873">
        <v>806.05</v>
      </c>
      <c r="Q1873" s="37" t="str">
        <f>IF(P1873&gt;500,"High","low")</f>
        <v>High</v>
      </c>
      <c r="R1873" s="37" t="str">
        <f t="shared" si="149"/>
        <v>Good</v>
      </c>
      <c r="S1873" t="s">
        <v>609</v>
      </c>
    </row>
    <row r="1874" spans="1:19" x14ac:dyDescent="0.2">
      <c r="A1874" t="s">
        <v>2485</v>
      </c>
      <c r="B1874" t="s">
        <v>90</v>
      </c>
      <c r="C1874" t="s">
        <v>614</v>
      </c>
      <c r="D1874">
        <v>1132.8599999999999</v>
      </c>
      <c r="E1874" s="37" t="str">
        <f t="shared" si="145"/>
        <v xml:space="preserve"> </v>
      </c>
      <c r="F1874">
        <v>0.24</v>
      </c>
      <c r="G1874" s="37" t="str">
        <f t="shared" si="146"/>
        <v>Normal Discount</v>
      </c>
      <c r="H1874" s="37" t="str">
        <f t="shared" si="147"/>
        <v>Medium</v>
      </c>
      <c r="I1874">
        <v>8</v>
      </c>
      <c r="J1874" t="str" cm="1">
        <f t="array" ref="J1874">_xlfn.IFS(I1874&lt;=3,"small",I1874&lt;=6,"Medium",I1874&lt;=9,"Large")</f>
        <v>Large</v>
      </c>
      <c r="K1874" s="36">
        <v>45470</v>
      </c>
      <c r="L1874" s="36">
        <v>45474</v>
      </c>
      <c r="M1874" t="s">
        <v>603</v>
      </c>
      <c r="N1874" t="s">
        <v>599</v>
      </c>
      <c r="O1874" s="37" t="str">
        <f t="shared" si="148"/>
        <v>Digital Payment</v>
      </c>
      <c r="P1874">
        <v>235.18</v>
      </c>
      <c r="Q1874" s="37" t="str">
        <f>IF(P1874&gt;500,"High","low")</f>
        <v>low</v>
      </c>
      <c r="R1874" s="37" t="str">
        <f t="shared" si="149"/>
        <v>AVERAGE</v>
      </c>
      <c r="S1874" t="s">
        <v>628</v>
      </c>
    </row>
    <row r="1875" spans="1:19" x14ac:dyDescent="0.2">
      <c r="A1875" t="s">
        <v>2486</v>
      </c>
      <c r="B1875" t="s">
        <v>83</v>
      </c>
      <c r="C1875" t="s">
        <v>597</v>
      </c>
      <c r="D1875">
        <v>977.3</v>
      </c>
      <c r="E1875" s="37" t="str">
        <f t="shared" si="145"/>
        <v xml:space="preserve"> </v>
      </c>
      <c r="F1875">
        <v>0.43</v>
      </c>
      <c r="G1875" s="37" t="str">
        <f t="shared" si="146"/>
        <v>Heavy Discount</v>
      </c>
      <c r="H1875" s="37" t="str">
        <f t="shared" si="147"/>
        <v>High</v>
      </c>
      <c r="I1875">
        <v>7</v>
      </c>
      <c r="J1875" t="str" cm="1">
        <f t="array" ref="J1875">_xlfn.IFS(I1875&lt;=3,"small",I1875&lt;=6,"Medium",I1875&lt;=9,"Large")</f>
        <v>Large</v>
      </c>
      <c r="K1875" s="36">
        <v>45284</v>
      </c>
      <c r="L1875" s="36">
        <v>45289</v>
      </c>
      <c r="M1875" t="s">
        <v>612</v>
      </c>
      <c r="N1875" t="s">
        <v>608</v>
      </c>
      <c r="O1875" s="37" t="str">
        <f t="shared" si="148"/>
        <v>Cash Payment</v>
      </c>
      <c r="P1875">
        <v>125.86</v>
      </c>
      <c r="Q1875" s="37" t="str">
        <f>IF(P1875&gt;500,"High","low")</f>
        <v>low</v>
      </c>
      <c r="R1875" s="37" t="str">
        <f t="shared" si="149"/>
        <v>AVERAGE</v>
      </c>
      <c r="S1875" t="s">
        <v>628</v>
      </c>
    </row>
    <row r="1876" spans="1:19" x14ac:dyDescent="0.2">
      <c r="A1876" t="s">
        <v>2487</v>
      </c>
      <c r="B1876" t="s">
        <v>83</v>
      </c>
      <c r="C1876" t="s">
        <v>597</v>
      </c>
      <c r="D1876">
        <v>1285.29</v>
      </c>
      <c r="E1876" s="37" t="str">
        <f t="shared" si="145"/>
        <v xml:space="preserve"> </v>
      </c>
      <c r="F1876">
        <v>0.33</v>
      </c>
      <c r="G1876" s="37" t="str">
        <f t="shared" si="146"/>
        <v>Heavy Discount</v>
      </c>
      <c r="H1876" s="37" t="str">
        <f t="shared" si="147"/>
        <v>Medium</v>
      </c>
      <c r="I1876">
        <v>1</v>
      </c>
      <c r="J1876" t="str" cm="1">
        <f t="array" ref="J1876">_xlfn.IFS(I1876&lt;=3,"small",I1876&lt;=6,"Medium",I1876&lt;=9,"Large")</f>
        <v>small</v>
      </c>
      <c r="K1876" s="36">
        <v>45413</v>
      </c>
      <c r="L1876" s="36">
        <v>45420</v>
      </c>
      <c r="M1876" t="s">
        <v>598</v>
      </c>
      <c r="N1876" t="s">
        <v>599</v>
      </c>
      <c r="O1876" s="37" t="str">
        <f t="shared" si="148"/>
        <v>Digital Payment</v>
      </c>
      <c r="P1876">
        <v>231.18</v>
      </c>
      <c r="Q1876" s="37" t="str">
        <f>IF(P1876&gt;500,"High","low")</f>
        <v>low</v>
      </c>
      <c r="R1876" s="37" t="str">
        <f t="shared" si="149"/>
        <v>AVERAGE</v>
      </c>
      <c r="S1876" t="s">
        <v>615</v>
      </c>
    </row>
    <row r="1877" spans="1:19" x14ac:dyDescent="0.2">
      <c r="A1877" t="s">
        <v>2488</v>
      </c>
      <c r="B1877" t="s">
        <v>67</v>
      </c>
      <c r="C1877" t="s">
        <v>614</v>
      </c>
      <c r="D1877">
        <v>2803.99</v>
      </c>
      <c r="E1877" s="37" t="str">
        <f t="shared" si="145"/>
        <v xml:space="preserve"> </v>
      </c>
      <c r="F1877">
        <v>0.08</v>
      </c>
      <c r="G1877" s="37" t="str">
        <f t="shared" si="146"/>
        <v>Normal Discount</v>
      </c>
      <c r="H1877" s="37" t="str">
        <f t="shared" si="147"/>
        <v>Low</v>
      </c>
      <c r="I1877">
        <v>3</v>
      </c>
      <c r="J1877" t="str" cm="1">
        <f t="array" ref="J1877">_xlfn.IFS(I1877&lt;=3,"small",I1877&lt;=6,"Medium",I1877&lt;=9,"Large")</f>
        <v>small</v>
      </c>
      <c r="K1877" s="36">
        <v>45173</v>
      </c>
      <c r="L1877" s="36">
        <v>45178</v>
      </c>
      <c r="M1877" t="s">
        <v>598</v>
      </c>
      <c r="N1877" t="s">
        <v>604</v>
      </c>
      <c r="O1877" s="37" t="str">
        <f t="shared" si="148"/>
        <v>Digital Payment</v>
      </c>
      <c r="P1877">
        <v>729.11</v>
      </c>
      <c r="Q1877" s="37" t="str">
        <f>IF(P1877&gt;500,"High","low")</f>
        <v>High</v>
      </c>
      <c r="R1877" s="37" t="str">
        <f t="shared" si="149"/>
        <v>Good</v>
      </c>
      <c r="S1877" t="s">
        <v>605</v>
      </c>
    </row>
    <row r="1878" spans="1:19" x14ac:dyDescent="0.2">
      <c r="A1878" t="s">
        <v>2489</v>
      </c>
      <c r="B1878" t="s">
        <v>75</v>
      </c>
      <c r="C1878" t="s">
        <v>617</v>
      </c>
      <c r="D1878">
        <v>4658.47</v>
      </c>
      <c r="E1878" s="37" t="str">
        <f t="shared" si="145"/>
        <v xml:space="preserve"> </v>
      </c>
      <c r="F1878">
        <v>7.0000000000000007E-2</v>
      </c>
      <c r="G1878" s="37" t="str">
        <f t="shared" si="146"/>
        <v>Normal Discount</v>
      </c>
      <c r="H1878" s="37" t="str">
        <f t="shared" si="147"/>
        <v>Low</v>
      </c>
      <c r="I1878">
        <v>9</v>
      </c>
      <c r="J1878" t="str" cm="1">
        <f t="array" ref="J1878">_xlfn.IFS(I1878&lt;=3,"small",I1878&lt;=6,"Medium",I1878&lt;=9,"Large")</f>
        <v>Large</v>
      </c>
      <c r="K1878" s="36">
        <v>45158</v>
      </c>
      <c r="L1878" s="36">
        <v>45165</v>
      </c>
      <c r="M1878" t="s">
        <v>612</v>
      </c>
      <c r="N1878" t="s">
        <v>604</v>
      </c>
      <c r="O1878" s="37" t="str">
        <f t="shared" si="148"/>
        <v>Digital Payment</v>
      </c>
      <c r="P1878">
        <v>323.01</v>
      </c>
      <c r="Q1878" s="37" t="str">
        <f>IF(P1878&gt;500,"High","low")</f>
        <v>low</v>
      </c>
      <c r="R1878" s="37" t="str">
        <f t="shared" si="149"/>
        <v>AVERAGE</v>
      </c>
      <c r="S1878" t="s">
        <v>605</v>
      </c>
    </row>
    <row r="1879" spans="1:19" x14ac:dyDescent="0.2">
      <c r="A1879" t="s">
        <v>2490</v>
      </c>
      <c r="B1879" t="s">
        <v>83</v>
      </c>
      <c r="C1879" t="s">
        <v>617</v>
      </c>
      <c r="D1879">
        <v>2912.02</v>
      </c>
      <c r="E1879" s="37" t="str">
        <f t="shared" si="145"/>
        <v xml:space="preserve"> </v>
      </c>
      <c r="F1879">
        <v>0.28000000000000003</v>
      </c>
      <c r="G1879" s="37" t="str">
        <f t="shared" si="146"/>
        <v>Normal Discount</v>
      </c>
      <c r="H1879" s="37" t="str">
        <f t="shared" si="147"/>
        <v>Medium</v>
      </c>
      <c r="I1879">
        <v>8</v>
      </c>
      <c r="J1879" t="str" cm="1">
        <f t="array" ref="J1879">_xlfn.IFS(I1879&lt;=3,"small",I1879&lt;=6,"Medium",I1879&lt;=9,"Large")</f>
        <v>Large</v>
      </c>
      <c r="K1879" s="36">
        <v>44964</v>
      </c>
      <c r="L1879" s="36">
        <v>44966</v>
      </c>
      <c r="M1879" t="s">
        <v>612</v>
      </c>
      <c r="N1879" t="s">
        <v>608</v>
      </c>
      <c r="O1879" s="37" t="str">
        <f t="shared" si="148"/>
        <v>Cash Payment</v>
      </c>
      <c r="P1879">
        <v>734.54</v>
      </c>
      <c r="Q1879" s="37" t="str">
        <f>IF(P1879&gt;500,"High","low")</f>
        <v>High</v>
      </c>
      <c r="R1879" s="37" t="str">
        <f t="shared" si="149"/>
        <v>Good</v>
      </c>
      <c r="S1879" t="s">
        <v>620</v>
      </c>
    </row>
    <row r="1880" spans="1:19" x14ac:dyDescent="0.2">
      <c r="A1880" t="s">
        <v>2491</v>
      </c>
      <c r="B1880" t="s">
        <v>67</v>
      </c>
      <c r="C1880" t="s">
        <v>607</v>
      </c>
      <c r="D1880">
        <v>1293.06</v>
      </c>
      <c r="E1880" s="37" t="str">
        <f t="shared" si="145"/>
        <v xml:space="preserve"> </v>
      </c>
      <c r="F1880">
        <v>0.02</v>
      </c>
      <c r="G1880" s="37" t="str">
        <f t="shared" si="146"/>
        <v>Normal Discount</v>
      </c>
      <c r="H1880" s="37" t="str">
        <f t="shared" si="147"/>
        <v>Low</v>
      </c>
      <c r="I1880">
        <v>5</v>
      </c>
      <c r="J1880" t="str" cm="1">
        <f t="array" ref="J1880">_xlfn.IFS(I1880&lt;=3,"small",I1880&lt;=6,"Medium",I1880&lt;=9,"Large")</f>
        <v>Medium</v>
      </c>
      <c r="K1880" s="36">
        <v>45605</v>
      </c>
      <c r="L1880" s="36">
        <v>45609</v>
      </c>
      <c r="M1880" t="s">
        <v>612</v>
      </c>
      <c r="N1880" t="s">
        <v>604</v>
      </c>
      <c r="O1880" s="37" t="str">
        <f t="shared" si="148"/>
        <v>Digital Payment</v>
      </c>
      <c r="P1880">
        <v>259.63</v>
      </c>
      <c r="Q1880" s="37" t="str">
        <f>IF(P1880&gt;500,"High","low")</f>
        <v>low</v>
      </c>
      <c r="R1880" s="37" t="str">
        <f t="shared" si="149"/>
        <v>AVERAGE</v>
      </c>
      <c r="S1880" t="s">
        <v>615</v>
      </c>
    </row>
    <row r="1881" spans="1:19" x14ac:dyDescent="0.2">
      <c r="A1881" t="s">
        <v>2492</v>
      </c>
      <c r="B1881" t="s">
        <v>75</v>
      </c>
      <c r="C1881" t="s">
        <v>617</v>
      </c>
      <c r="D1881">
        <v>2258.2199999999998</v>
      </c>
      <c r="E1881" s="37" t="str">
        <f t="shared" si="145"/>
        <v xml:space="preserve"> </v>
      </c>
      <c r="F1881">
        <v>0.2</v>
      </c>
      <c r="G1881" s="37" t="str">
        <f t="shared" si="146"/>
        <v>Normal Discount</v>
      </c>
      <c r="H1881" s="37" t="str">
        <f t="shared" si="147"/>
        <v>Medium</v>
      </c>
      <c r="I1881">
        <v>1</v>
      </c>
      <c r="J1881" t="str" cm="1">
        <f t="array" ref="J1881">_xlfn.IFS(I1881&lt;=3,"small",I1881&lt;=6,"Medium",I1881&lt;=9,"Large")</f>
        <v>small</v>
      </c>
      <c r="K1881" s="36">
        <v>45372</v>
      </c>
      <c r="L1881" s="36">
        <v>45374</v>
      </c>
      <c r="M1881" t="s">
        <v>612</v>
      </c>
      <c r="N1881" t="s">
        <v>608</v>
      </c>
      <c r="O1881" s="37" t="str">
        <f t="shared" si="148"/>
        <v>Cash Payment</v>
      </c>
      <c r="P1881">
        <v>345.1</v>
      </c>
      <c r="Q1881" s="37" t="str">
        <f>IF(P1881&gt;500,"High","low")</f>
        <v>low</v>
      </c>
      <c r="R1881" s="37" t="str">
        <f t="shared" si="149"/>
        <v>AVERAGE</v>
      </c>
      <c r="S1881" t="s">
        <v>620</v>
      </c>
    </row>
    <row r="1882" spans="1:19" x14ac:dyDescent="0.2">
      <c r="A1882" t="s">
        <v>2493</v>
      </c>
      <c r="B1882" t="s">
        <v>83</v>
      </c>
      <c r="C1882" t="s">
        <v>607</v>
      </c>
      <c r="D1882">
        <v>2012.96</v>
      </c>
      <c r="E1882" s="37" t="str">
        <f t="shared" si="145"/>
        <v xml:space="preserve"> </v>
      </c>
      <c r="F1882">
        <v>0.2</v>
      </c>
      <c r="G1882" s="37" t="str">
        <f t="shared" si="146"/>
        <v>Normal Discount</v>
      </c>
      <c r="H1882" s="37" t="str">
        <f t="shared" si="147"/>
        <v>Medium</v>
      </c>
      <c r="I1882">
        <v>2</v>
      </c>
      <c r="J1882" t="str" cm="1">
        <f t="array" ref="J1882">_xlfn.IFS(I1882&lt;=3,"small",I1882&lt;=6,"Medium",I1882&lt;=9,"Large")</f>
        <v>small</v>
      </c>
      <c r="K1882" s="36">
        <v>45373</v>
      </c>
      <c r="L1882" s="36">
        <v>45376</v>
      </c>
      <c r="M1882" t="s">
        <v>603</v>
      </c>
      <c r="N1882" t="s">
        <v>608</v>
      </c>
      <c r="O1882" s="37" t="str">
        <f t="shared" si="148"/>
        <v>Cash Payment</v>
      </c>
      <c r="P1882">
        <v>383.09</v>
      </c>
      <c r="Q1882" s="37" t="str">
        <f>IF(P1882&gt;500,"High","low")</f>
        <v>low</v>
      </c>
      <c r="R1882" s="37" t="str">
        <f t="shared" si="149"/>
        <v>AVERAGE</v>
      </c>
      <c r="S1882" t="s">
        <v>615</v>
      </c>
    </row>
    <row r="1883" spans="1:19" x14ac:dyDescent="0.2">
      <c r="A1883" t="s">
        <v>2494</v>
      </c>
      <c r="B1883" t="s">
        <v>83</v>
      </c>
      <c r="C1883" t="s">
        <v>597</v>
      </c>
      <c r="D1883">
        <v>328.19</v>
      </c>
      <c r="E1883" s="37" t="str">
        <f t="shared" si="145"/>
        <v xml:space="preserve"> </v>
      </c>
      <c r="F1883">
        <v>0.1</v>
      </c>
      <c r="G1883" s="37" t="str">
        <f t="shared" si="146"/>
        <v>Normal Discount</v>
      </c>
      <c r="H1883" s="37" t="str">
        <f t="shared" si="147"/>
        <v>Low</v>
      </c>
      <c r="I1883">
        <v>9</v>
      </c>
      <c r="J1883" t="str" cm="1">
        <f t="array" ref="J1883">_xlfn.IFS(I1883&lt;=3,"small",I1883&lt;=6,"Medium",I1883&lt;=9,"Large")</f>
        <v>Large</v>
      </c>
      <c r="K1883" s="36">
        <v>45543</v>
      </c>
      <c r="L1883" s="36">
        <v>45546</v>
      </c>
      <c r="M1883" t="s">
        <v>598</v>
      </c>
      <c r="N1883" t="s">
        <v>608</v>
      </c>
      <c r="O1883" s="37" t="str">
        <f t="shared" si="148"/>
        <v>Cash Payment</v>
      </c>
      <c r="P1883">
        <v>66.13</v>
      </c>
      <c r="Q1883" s="37" t="str">
        <f>IF(P1883&gt;500,"High","low")</f>
        <v>low</v>
      </c>
      <c r="R1883" s="37" t="str">
        <f t="shared" si="149"/>
        <v>AVERAGE</v>
      </c>
      <c r="S1883" t="s">
        <v>609</v>
      </c>
    </row>
    <row r="1884" spans="1:19" x14ac:dyDescent="0.2">
      <c r="A1884" t="s">
        <v>2495</v>
      </c>
      <c r="B1884" t="s">
        <v>75</v>
      </c>
      <c r="C1884" t="s">
        <v>614</v>
      </c>
      <c r="D1884">
        <v>2602.15</v>
      </c>
      <c r="E1884" s="37" t="str">
        <f t="shared" si="145"/>
        <v xml:space="preserve"> </v>
      </c>
      <c r="F1884">
        <v>0.15</v>
      </c>
      <c r="G1884" s="37" t="str">
        <f t="shared" si="146"/>
        <v>Normal Discount</v>
      </c>
      <c r="H1884" s="37" t="str">
        <f t="shared" si="147"/>
        <v>Low</v>
      </c>
      <c r="I1884">
        <v>8</v>
      </c>
      <c r="J1884" t="str" cm="1">
        <f t="array" ref="J1884">_xlfn.IFS(I1884&lt;=3,"small",I1884&lt;=6,"Medium",I1884&lt;=9,"Large")</f>
        <v>Large</v>
      </c>
      <c r="K1884" s="36">
        <v>44942</v>
      </c>
      <c r="L1884" s="36">
        <v>44948</v>
      </c>
      <c r="M1884" t="s">
        <v>612</v>
      </c>
      <c r="N1884" t="s">
        <v>604</v>
      </c>
      <c r="O1884" s="37" t="str">
        <f t="shared" si="148"/>
        <v>Digital Payment</v>
      </c>
      <c r="P1884">
        <v>638</v>
      </c>
      <c r="Q1884" s="37" t="str">
        <f>IF(P1884&gt;500,"High","low")</f>
        <v>High</v>
      </c>
      <c r="R1884" s="37" t="str">
        <f t="shared" si="149"/>
        <v>Good</v>
      </c>
      <c r="S1884" t="s">
        <v>628</v>
      </c>
    </row>
    <row r="1885" spans="1:19" x14ac:dyDescent="0.2">
      <c r="A1885" t="s">
        <v>2496</v>
      </c>
      <c r="B1885" t="s">
        <v>75</v>
      </c>
      <c r="C1885" t="s">
        <v>617</v>
      </c>
      <c r="D1885">
        <v>717.43</v>
      </c>
      <c r="E1885" s="37" t="str">
        <f t="shared" si="145"/>
        <v xml:space="preserve"> </v>
      </c>
      <c r="F1885">
        <v>0.16</v>
      </c>
      <c r="G1885" s="37" t="str">
        <f t="shared" si="146"/>
        <v>Normal Discount</v>
      </c>
      <c r="H1885" s="37" t="str">
        <f t="shared" si="147"/>
        <v>Low</v>
      </c>
      <c r="I1885">
        <v>9</v>
      </c>
      <c r="J1885" t="str" cm="1">
        <f t="array" ref="J1885">_xlfn.IFS(I1885&lt;=3,"small",I1885&lt;=6,"Medium",I1885&lt;=9,"Large")</f>
        <v>Large</v>
      </c>
      <c r="K1885" s="36">
        <v>44980</v>
      </c>
      <c r="L1885" s="36">
        <v>44984</v>
      </c>
      <c r="M1885" t="s">
        <v>603</v>
      </c>
      <c r="N1885" t="s">
        <v>608</v>
      </c>
      <c r="O1885" s="37" t="str">
        <f t="shared" si="148"/>
        <v>Cash Payment</v>
      </c>
      <c r="P1885">
        <v>179.74</v>
      </c>
      <c r="Q1885" s="37" t="str">
        <f>IF(P1885&gt;500,"High","low")</f>
        <v>low</v>
      </c>
      <c r="R1885" s="37" t="str">
        <f t="shared" si="149"/>
        <v>AVERAGE</v>
      </c>
      <c r="S1885" t="s">
        <v>620</v>
      </c>
    </row>
    <row r="1886" spans="1:19" x14ac:dyDescent="0.2">
      <c r="A1886" t="s">
        <v>2497</v>
      </c>
      <c r="B1886" t="s">
        <v>75</v>
      </c>
      <c r="C1886" t="s">
        <v>607</v>
      </c>
      <c r="D1886">
        <v>4227</v>
      </c>
      <c r="E1886" s="37" t="str">
        <f t="shared" si="145"/>
        <v>Excellent Order</v>
      </c>
      <c r="F1886">
        <v>0.01</v>
      </c>
      <c r="G1886" s="37" t="str">
        <f t="shared" si="146"/>
        <v>Normal Discount</v>
      </c>
      <c r="H1886" s="37" t="str">
        <f t="shared" si="147"/>
        <v>Low</v>
      </c>
      <c r="I1886">
        <v>2</v>
      </c>
      <c r="J1886" t="str" cm="1">
        <f t="array" ref="J1886">_xlfn.IFS(I1886&lt;=3,"small",I1886&lt;=6,"Medium",I1886&lt;=9,"Large")</f>
        <v>small</v>
      </c>
      <c r="K1886" s="36">
        <v>44944</v>
      </c>
      <c r="L1886" s="36">
        <v>44946</v>
      </c>
      <c r="M1886" t="s">
        <v>603</v>
      </c>
      <c r="N1886" t="s">
        <v>608</v>
      </c>
      <c r="O1886" s="37" t="str">
        <f t="shared" si="148"/>
        <v>Cash Payment</v>
      </c>
      <c r="P1886">
        <v>993.36</v>
      </c>
      <c r="Q1886" s="37" t="str">
        <f>IF(P1886&gt;500,"High","low")</f>
        <v>High</v>
      </c>
      <c r="R1886" s="37" t="str">
        <f t="shared" si="149"/>
        <v>Good</v>
      </c>
      <c r="S1886" t="s">
        <v>615</v>
      </c>
    </row>
    <row r="1887" spans="1:19" x14ac:dyDescent="0.2">
      <c r="A1887" t="s">
        <v>2498</v>
      </c>
      <c r="B1887" t="s">
        <v>83</v>
      </c>
      <c r="C1887" t="s">
        <v>597</v>
      </c>
      <c r="D1887">
        <v>2789.92</v>
      </c>
      <c r="E1887" s="37" t="str">
        <f t="shared" si="145"/>
        <v xml:space="preserve"> </v>
      </c>
      <c r="F1887">
        <v>0.4</v>
      </c>
      <c r="G1887" s="37" t="str">
        <f t="shared" si="146"/>
        <v>Heavy Discount</v>
      </c>
      <c r="H1887" s="37" t="str">
        <f t="shared" si="147"/>
        <v>Medium</v>
      </c>
      <c r="I1887">
        <v>3</v>
      </c>
      <c r="J1887" t="str" cm="1">
        <f t="array" ref="J1887">_xlfn.IFS(I1887&lt;=3,"small",I1887&lt;=6,"Medium",I1887&lt;=9,"Large")</f>
        <v>small</v>
      </c>
      <c r="K1887" s="36">
        <v>45475</v>
      </c>
      <c r="L1887" s="36">
        <v>45481</v>
      </c>
      <c r="M1887" t="s">
        <v>603</v>
      </c>
      <c r="N1887" t="s">
        <v>599</v>
      </c>
      <c r="O1887" s="37" t="str">
        <f t="shared" si="148"/>
        <v>Digital Payment</v>
      </c>
      <c r="P1887">
        <v>151.43</v>
      </c>
      <c r="Q1887" s="37" t="str">
        <f>IF(P1887&gt;500,"High","low")</f>
        <v>low</v>
      </c>
      <c r="R1887" s="37" t="str">
        <f t="shared" si="149"/>
        <v>AVERAGE</v>
      </c>
      <c r="S1887" t="s">
        <v>605</v>
      </c>
    </row>
    <row r="1888" spans="1:19" x14ac:dyDescent="0.2">
      <c r="A1888" t="s">
        <v>2499</v>
      </c>
      <c r="B1888" t="s">
        <v>83</v>
      </c>
      <c r="C1888" t="s">
        <v>617</v>
      </c>
      <c r="D1888">
        <v>4238.57</v>
      </c>
      <c r="E1888" s="37" t="str">
        <f t="shared" si="145"/>
        <v>Excellent Order</v>
      </c>
      <c r="F1888">
        <v>0.48</v>
      </c>
      <c r="G1888" s="37" t="str">
        <f t="shared" si="146"/>
        <v>Heavy Discount</v>
      </c>
      <c r="H1888" s="37" t="str">
        <f t="shared" si="147"/>
        <v>High</v>
      </c>
      <c r="I1888">
        <v>3</v>
      </c>
      <c r="J1888" t="str" cm="1">
        <f t="array" ref="J1888">_xlfn.IFS(I1888&lt;=3,"small",I1888&lt;=6,"Medium",I1888&lt;=9,"Large")</f>
        <v>small</v>
      </c>
      <c r="K1888" s="36">
        <v>45222</v>
      </c>
      <c r="L1888" s="36">
        <v>45228</v>
      </c>
      <c r="M1888" t="s">
        <v>598</v>
      </c>
      <c r="N1888" t="s">
        <v>604</v>
      </c>
      <c r="O1888" s="37" t="str">
        <f t="shared" si="148"/>
        <v>Digital Payment</v>
      </c>
      <c r="P1888">
        <v>802.26</v>
      </c>
      <c r="Q1888" s="37" t="str">
        <f>IF(P1888&gt;500,"High","low")</f>
        <v>High</v>
      </c>
      <c r="R1888" s="37" t="str">
        <f t="shared" si="149"/>
        <v>Good</v>
      </c>
      <c r="S1888" t="s">
        <v>600</v>
      </c>
    </row>
    <row r="1889" spans="1:19" x14ac:dyDescent="0.2">
      <c r="A1889" t="s">
        <v>2500</v>
      </c>
      <c r="B1889" t="s">
        <v>67</v>
      </c>
      <c r="C1889" t="s">
        <v>602</v>
      </c>
      <c r="D1889">
        <v>4784.62</v>
      </c>
      <c r="E1889" s="37" t="str">
        <f t="shared" si="145"/>
        <v xml:space="preserve"> </v>
      </c>
      <c r="F1889">
        <v>0.14000000000000001</v>
      </c>
      <c r="G1889" s="37" t="str">
        <f t="shared" si="146"/>
        <v>Normal Discount</v>
      </c>
      <c r="H1889" s="37" t="str">
        <f t="shared" si="147"/>
        <v>Low</v>
      </c>
      <c r="I1889">
        <v>1</v>
      </c>
      <c r="J1889" t="str" cm="1">
        <f t="array" ref="J1889">_xlfn.IFS(I1889&lt;=3,"small",I1889&lt;=6,"Medium",I1889&lt;=9,"Large")</f>
        <v>small</v>
      </c>
      <c r="K1889" s="36">
        <v>45501</v>
      </c>
      <c r="L1889" s="36">
        <v>45502</v>
      </c>
      <c r="M1889" t="s">
        <v>603</v>
      </c>
      <c r="N1889" t="s">
        <v>608</v>
      </c>
      <c r="O1889" s="37" t="str">
        <f t="shared" si="148"/>
        <v>Cash Payment</v>
      </c>
      <c r="P1889">
        <v>755.25</v>
      </c>
      <c r="Q1889" s="37" t="str">
        <f>IF(P1889&gt;500,"High","low")</f>
        <v>High</v>
      </c>
      <c r="R1889" s="37" t="str">
        <f t="shared" si="149"/>
        <v>Good</v>
      </c>
      <c r="S1889" t="s">
        <v>620</v>
      </c>
    </row>
    <row r="1890" spans="1:19" x14ac:dyDescent="0.2">
      <c r="A1890" t="s">
        <v>2501</v>
      </c>
      <c r="B1890" t="s">
        <v>90</v>
      </c>
      <c r="C1890" t="s">
        <v>597</v>
      </c>
      <c r="D1890">
        <v>4721.62</v>
      </c>
      <c r="E1890" s="37" t="str">
        <f t="shared" si="145"/>
        <v>Excellent Order</v>
      </c>
      <c r="F1890">
        <v>0.06</v>
      </c>
      <c r="G1890" s="37" t="str">
        <f t="shared" si="146"/>
        <v>Normal Discount</v>
      </c>
      <c r="H1890" s="37" t="str">
        <f t="shared" si="147"/>
        <v>Low</v>
      </c>
      <c r="I1890">
        <v>2</v>
      </c>
      <c r="J1890" t="str" cm="1">
        <f t="array" ref="J1890">_xlfn.IFS(I1890&lt;=3,"small",I1890&lt;=6,"Medium",I1890&lt;=9,"Large")</f>
        <v>small</v>
      </c>
      <c r="K1890" s="36">
        <v>44994</v>
      </c>
      <c r="L1890" s="36">
        <v>44996</v>
      </c>
      <c r="M1890" t="s">
        <v>612</v>
      </c>
      <c r="N1890" t="s">
        <v>599</v>
      </c>
      <c r="O1890" s="37" t="str">
        <f t="shared" si="148"/>
        <v>Digital Payment</v>
      </c>
      <c r="P1890">
        <v>916.35</v>
      </c>
      <c r="Q1890" s="37" t="str">
        <f>IF(P1890&gt;500,"High","low")</f>
        <v>High</v>
      </c>
      <c r="R1890" s="37" t="str">
        <f t="shared" si="149"/>
        <v>Good</v>
      </c>
      <c r="S1890" t="s">
        <v>600</v>
      </c>
    </row>
    <row r="1891" spans="1:19" x14ac:dyDescent="0.2">
      <c r="A1891" t="s">
        <v>2502</v>
      </c>
      <c r="B1891" t="s">
        <v>75</v>
      </c>
      <c r="C1891" t="s">
        <v>617</v>
      </c>
      <c r="D1891">
        <v>592.1</v>
      </c>
      <c r="E1891" s="37" t="str">
        <f t="shared" si="145"/>
        <v xml:space="preserve"> </v>
      </c>
      <c r="F1891">
        <v>0.48</v>
      </c>
      <c r="G1891" s="37" t="str">
        <f t="shared" si="146"/>
        <v>Heavy Discount</v>
      </c>
      <c r="H1891" s="37" t="str">
        <f t="shared" si="147"/>
        <v>High</v>
      </c>
      <c r="I1891">
        <v>5</v>
      </c>
      <c r="J1891" t="str" cm="1">
        <f t="array" ref="J1891">_xlfn.IFS(I1891&lt;=3,"small",I1891&lt;=6,"Medium",I1891&lt;=9,"Large")</f>
        <v>Medium</v>
      </c>
      <c r="K1891" s="36">
        <v>45327</v>
      </c>
      <c r="L1891" s="36">
        <v>45331</v>
      </c>
      <c r="M1891" t="s">
        <v>612</v>
      </c>
      <c r="N1891" t="s">
        <v>608</v>
      </c>
      <c r="O1891" s="37" t="str">
        <f t="shared" si="148"/>
        <v>Cash Payment</v>
      </c>
      <c r="P1891">
        <v>119.23</v>
      </c>
      <c r="Q1891" s="37" t="str">
        <f>IF(P1891&gt;500,"High","low")</f>
        <v>low</v>
      </c>
      <c r="R1891" s="37" t="str">
        <f t="shared" si="149"/>
        <v>AVERAGE</v>
      </c>
      <c r="S1891" t="s">
        <v>605</v>
      </c>
    </row>
    <row r="1892" spans="1:19" x14ac:dyDescent="0.2">
      <c r="A1892" t="s">
        <v>2503</v>
      </c>
      <c r="B1892" t="s">
        <v>83</v>
      </c>
      <c r="C1892" t="s">
        <v>597</v>
      </c>
      <c r="D1892">
        <v>4729.6000000000004</v>
      </c>
      <c r="E1892" s="37" t="str">
        <f t="shared" si="145"/>
        <v>Excellent Order</v>
      </c>
      <c r="F1892">
        <v>0.37</v>
      </c>
      <c r="G1892" s="37" t="str">
        <f t="shared" si="146"/>
        <v>Heavy Discount</v>
      </c>
      <c r="H1892" s="37" t="str">
        <f t="shared" si="147"/>
        <v>Medium</v>
      </c>
      <c r="I1892">
        <v>7</v>
      </c>
      <c r="J1892" t="str" cm="1">
        <f t="array" ref="J1892">_xlfn.IFS(I1892&lt;=3,"small",I1892&lt;=6,"Medium",I1892&lt;=9,"Large")</f>
        <v>Large</v>
      </c>
      <c r="K1892" s="36">
        <v>45408</v>
      </c>
      <c r="L1892" s="36">
        <v>45412</v>
      </c>
      <c r="M1892" t="s">
        <v>612</v>
      </c>
      <c r="N1892" t="s">
        <v>599</v>
      </c>
      <c r="O1892" s="37" t="str">
        <f t="shared" si="148"/>
        <v>Digital Payment</v>
      </c>
      <c r="P1892">
        <v>964.98</v>
      </c>
      <c r="Q1892" s="37" t="str">
        <f>IF(P1892&gt;500,"High","low")</f>
        <v>High</v>
      </c>
      <c r="R1892" s="37" t="str">
        <f t="shared" si="149"/>
        <v>Good</v>
      </c>
      <c r="S1892" t="s">
        <v>628</v>
      </c>
    </row>
    <row r="1893" spans="1:19" x14ac:dyDescent="0.2">
      <c r="A1893" t="s">
        <v>2504</v>
      </c>
      <c r="B1893" t="s">
        <v>83</v>
      </c>
      <c r="C1893" t="s">
        <v>614</v>
      </c>
      <c r="D1893">
        <v>3999.16</v>
      </c>
      <c r="E1893" s="37" t="str">
        <f t="shared" si="145"/>
        <v xml:space="preserve"> </v>
      </c>
      <c r="F1893">
        <v>0.45</v>
      </c>
      <c r="G1893" s="37" t="str">
        <f t="shared" si="146"/>
        <v>Heavy Discount</v>
      </c>
      <c r="H1893" s="37" t="str">
        <f t="shared" si="147"/>
        <v>High</v>
      </c>
      <c r="I1893">
        <v>6</v>
      </c>
      <c r="J1893" t="str" cm="1">
        <f t="array" ref="J1893">_xlfn.IFS(I1893&lt;=3,"small",I1893&lt;=6,"Medium",I1893&lt;=9,"Large")</f>
        <v>Medium</v>
      </c>
      <c r="K1893" s="36">
        <v>45614</v>
      </c>
      <c r="L1893" s="36">
        <v>45616</v>
      </c>
      <c r="M1893" t="s">
        <v>612</v>
      </c>
      <c r="N1893" t="s">
        <v>599</v>
      </c>
      <c r="O1893" s="37" t="str">
        <f t="shared" si="148"/>
        <v>Digital Payment</v>
      </c>
      <c r="P1893">
        <v>549.86</v>
      </c>
      <c r="Q1893" s="37" t="str">
        <f>IF(P1893&gt;500,"High","low")</f>
        <v>High</v>
      </c>
      <c r="R1893" s="37" t="str">
        <f t="shared" si="149"/>
        <v>Good</v>
      </c>
      <c r="S1893" t="s">
        <v>628</v>
      </c>
    </row>
    <row r="1894" spans="1:19" x14ac:dyDescent="0.2">
      <c r="A1894" t="s">
        <v>2505</v>
      </c>
      <c r="B1894" t="s">
        <v>75</v>
      </c>
      <c r="C1894" t="s">
        <v>614</v>
      </c>
      <c r="D1894">
        <v>3910.52</v>
      </c>
      <c r="E1894" s="37" t="str">
        <f t="shared" si="145"/>
        <v xml:space="preserve"> </v>
      </c>
      <c r="F1894">
        <v>0.18</v>
      </c>
      <c r="G1894" s="37" t="str">
        <f t="shared" si="146"/>
        <v>Normal Discount</v>
      </c>
      <c r="H1894" s="37" t="str">
        <f t="shared" si="147"/>
        <v>Low</v>
      </c>
      <c r="I1894">
        <v>2</v>
      </c>
      <c r="J1894" t="str" cm="1">
        <f t="array" ref="J1894">_xlfn.IFS(I1894&lt;=3,"small",I1894&lt;=6,"Medium",I1894&lt;=9,"Large")</f>
        <v>small</v>
      </c>
      <c r="K1894" s="36">
        <v>44945</v>
      </c>
      <c r="L1894" s="36">
        <v>44950</v>
      </c>
      <c r="M1894" t="s">
        <v>603</v>
      </c>
      <c r="N1894" t="s">
        <v>599</v>
      </c>
      <c r="O1894" s="37" t="str">
        <f t="shared" si="148"/>
        <v>Digital Payment</v>
      </c>
      <c r="P1894">
        <v>632.48</v>
      </c>
      <c r="Q1894" s="37" t="str">
        <f>IF(P1894&gt;500,"High","low")</f>
        <v>High</v>
      </c>
      <c r="R1894" s="37" t="str">
        <f t="shared" si="149"/>
        <v>Good</v>
      </c>
      <c r="S1894" t="s">
        <v>605</v>
      </c>
    </row>
    <row r="1895" spans="1:19" x14ac:dyDescent="0.2">
      <c r="A1895" t="s">
        <v>2506</v>
      </c>
      <c r="B1895" t="s">
        <v>90</v>
      </c>
      <c r="C1895" t="s">
        <v>614</v>
      </c>
      <c r="D1895">
        <v>541.63</v>
      </c>
      <c r="E1895" s="37" t="str">
        <f t="shared" si="145"/>
        <v xml:space="preserve"> </v>
      </c>
      <c r="F1895">
        <v>0.24</v>
      </c>
      <c r="G1895" s="37" t="str">
        <f t="shared" si="146"/>
        <v>Normal Discount</v>
      </c>
      <c r="H1895" s="37" t="str">
        <f t="shared" si="147"/>
        <v>Medium</v>
      </c>
      <c r="I1895">
        <v>8</v>
      </c>
      <c r="J1895" t="str" cm="1">
        <f t="array" ref="J1895">_xlfn.IFS(I1895&lt;=3,"small",I1895&lt;=6,"Medium",I1895&lt;=9,"Large")</f>
        <v>Large</v>
      </c>
      <c r="K1895" s="36">
        <v>45524</v>
      </c>
      <c r="L1895" s="36">
        <v>45529</v>
      </c>
      <c r="M1895" t="s">
        <v>598</v>
      </c>
      <c r="N1895" t="s">
        <v>604</v>
      </c>
      <c r="O1895" s="37" t="str">
        <f t="shared" si="148"/>
        <v>Digital Payment</v>
      </c>
      <c r="P1895">
        <v>29.24</v>
      </c>
      <c r="Q1895" s="37" t="str">
        <f>IF(P1895&gt;500,"High","low")</f>
        <v>low</v>
      </c>
      <c r="R1895" s="37" t="str">
        <f t="shared" si="149"/>
        <v>AVERAGE</v>
      </c>
      <c r="S1895" t="s">
        <v>628</v>
      </c>
    </row>
    <row r="1896" spans="1:19" x14ac:dyDescent="0.2">
      <c r="A1896" t="s">
        <v>2507</v>
      </c>
      <c r="B1896" t="s">
        <v>75</v>
      </c>
      <c r="C1896" t="s">
        <v>602</v>
      </c>
      <c r="D1896">
        <v>979.62</v>
      </c>
      <c r="E1896" s="37" t="str">
        <f t="shared" si="145"/>
        <v xml:space="preserve"> </v>
      </c>
      <c r="F1896">
        <v>0.47</v>
      </c>
      <c r="G1896" s="37" t="str">
        <f t="shared" si="146"/>
        <v>Heavy Discount</v>
      </c>
      <c r="H1896" s="37" t="str">
        <f t="shared" si="147"/>
        <v>High</v>
      </c>
      <c r="I1896">
        <v>4</v>
      </c>
      <c r="J1896" t="str" cm="1">
        <f t="array" ref="J1896">_xlfn.IFS(I1896&lt;=3,"small",I1896&lt;=6,"Medium",I1896&lt;=9,"Large")</f>
        <v>Medium</v>
      </c>
      <c r="K1896" s="36">
        <v>45375</v>
      </c>
      <c r="L1896" s="36">
        <v>45376</v>
      </c>
      <c r="M1896" t="s">
        <v>612</v>
      </c>
      <c r="N1896" t="s">
        <v>608</v>
      </c>
      <c r="O1896" s="37" t="str">
        <f t="shared" si="148"/>
        <v>Cash Payment</v>
      </c>
      <c r="P1896">
        <v>278.08</v>
      </c>
      <c r="Q1896" s="37" t="str">
        <f>IF(P1896&gt;500,"High","low")</f>
        <v>low</v>
      </c>
      <c r="R1896" s="37" t="str">
        <f t="shared" si="149"/>
        <v>AVERAGE</v>
      </c>
      <c r="S1896" t="s">
        <v>628</v>
      </c>
    </row>
    <row r="1897" spans="1:19" x14ac:dyDescent="0.2">
      <c r="A1897" t="s">
        <v>2508</v>
      </c>
      <c r="B1897" t="s">
        <v>90</v>
      </c>
      <c r="C1897" t="s">
        <v>614</v>
      </c>
      <c r="D1897">
        <v>4878.3</v>
      </c>
      <c r="E1897" s="37" t="str">
        <f t="shared" si="145"/>
        <v>Excellent Order</v>
      </c>
      <c r="F1897">
        <v>0.23</v>
      </c>
      <c r="G1897" s="37" t="str">
        <f t="shared" si="146"/>
        <v>Normal Discount</v>
      </c>
      <c r="H1897" s="37" t="str">
        <f t="shared" si="147"/>
        <v>Medium</v>
      </c>
      <c r="I1897">
        <v>2</v>
      </c>
      <c r="J1897" t="str" cm="1">
        <f t="array" ref="J1897">_xlfn.IFS(I1897&lt;=3,"small",I1897&lt;=6,"Medium",I1897&lt;=9,"Large")</f>
        <v>small</v>
      </c>
      <c r="K1897" s="36">
        <v>45235</v>
      </c>
      <c r="L1897" s="36">
        <v>45241</v>
      </c>
      <c r="M1897" t="s">
        <v>598</v>
      </c>
      <c r="N1897" t="s">
        <v>604</v>
      </c>
      <c r="O1897" s="37" t="str">
        <f t="shared" si="148"/>
        <v>Digital Payment</v>
      </c>
      <c r="P1897">
        <v>1448.83</v>
      </c>
      <c r="Q1897" s="37" t="str">
        <f>IF(P1897&gt;500,"High","low")</f>
        <v>High</v>
      </c>
      <c r="R1897" s="37" t="str">
        <f t="shared" si="149"/>
        <v>Excellent</v>
      </c>
      <c r="S1897" t="s">
        <v>600</v>
      </c>
    </row>
    <row r="1898" spans="1:19" x14ac:dyDescent="0.2">
      <c r="A1898" t="s">
        <v>2509</v>
      </c>
      <c r="B1898" t="s">
        <v>83</v>
      </c>
      <c r="C1898" t="s">
        <v>602</v>
      </c>
      <c r="D1898">
        <v>1145.51</v>
      </c>
      <c r="E1898" s="37" t="str">
        <f t="shared" si="145"/>
        <v xml:space="preserve"> </v>
      </c>
      <c r="F1898">
        <v>0.34</v>
      </c>
      <c r="G1898" s="37" t="str">
        <f t="shared" si="146"/>
        <v>Heavy Discount</v>
      </c>
      <c r="H1898" s="37" t="str">
        <f t="shared" si="147"/>
        <v>Medium</v>
      </c>
      <c r="I1898">
        <v>4</v>
      </c>
      <c r="J1898" t="str" cm="1">
        <f t="array" ref="J1898">_xlfn.IFS(I1898&lt;=3,"small",I1898&lt;=6,"Medium",I1898&lt;=9,"Large")</f>
        <v>Medium</v>
      </c>
      <c r="K1898" s="36">
        <v>45072</v>
      </c>
      <c r="L1898" s="36">
        <v>45079</v>
      </c>
      <c r="M1898" t="s">
        <v>612</v>
      </c>
      <c r="N1898" t="s">
        <v>604</v>
      </c>
      <c r="O1898" s="37" t="str">
        <f t="shared" si="148"/>
        <v>Digital Payment</v>
      </c>
      <c r="P1898">
        <v>172.1</v>
      </c>
      <c r="Q1898" s="37" t="str">
        <f>IF(P1898&gt;500,"High","low")</f>
        <v>low</v>
      </c>
      <c r="R1898" s="37" t="str">
        <f t="shared" si="149"/>
        <v>AVERAGE</v>
      </c>
      <c r="S1898" t="s">
        <v>615</v>
      </c>
    </row>
    <row r="1899" spans="1:19" x14ac:dyDescent="0.2">
      <c r="A1899" t="s">
        <v>2510</v>
      </c>
      <c r="B1899" t="s">
        <v>90</v>
      </c>
      <c r="C1899" t="s">
        <v>614</v>
      </c>
      <c r="D1899">
        <v>928.36</v>
      </c>
      <c r="E1899" s="37" t="str">
        <f t="shared" si="145"/>
        <v xml:space="preserve"> </v>
      </c>
      <c r="F1899">
        <v>0.35</v>
      </c>
      <c r="G1899" s="37" t="str">
        <f t="shared" si="146"/>
        <v>Heavy Discount</v>
      </c>
      <c r="H1899" s="37" t="str">
        <f t="shared" si="147"/>
        <v>Medium</v>
      </c>
      <c r="I1899">
        <v>8</v>
      </c>
      <c r="J1899" t="str" cm="1">
        <f t="array" ref="J1899">_xlfn.IFS(I1899&lt;=3,"small",I1899&lt;=6,"Medium",I1899&lt;=9,"Large")</f>
        <v>Large</v>
      </c>
      <c r="K1899" s="36">
        <v>45018</v>
      </c>
      <c r="L1899" s="36">
        <v>45024</v>
      </c>
      <c r="M1899" t="s">
        <v>598</v>
      </c>
      <c r="N1899" t="s">
        <v>599</v>
      </c>
      <c r="O1899" s="37" t="str">
        <f t="shared" si="148"/>
        <v>Digital Payment</v>
      </c>
      <c r="P1899">
        <v>143.81</v>
      </c>
      <c r="Q1899" s="37" t="str">
        <f>IF(P1899&gt;500,"High","low")</f>
        <v>low</v>
      </c>
      <c r="R1899" s="37" t="str">
        <f t="shared" si="149"/>
        <v>AVERAGE</v>
      </c>
      <c r="S1899" t="s">
        <v>600</v>
      </c>
    </row>
    <row r="1900" spans="1:19" x14ac:dyDescent="0.2">
      <c r="A1900" t="s">
        <v>2511</v>
      </c>
      <c r="B1900" t="s">
        <v>67</v>
      </c>
      <c r="C1900" t="s">
        <v>597</v>
      </c>
      <c r="D1900">
        <v>1875.52</v>
      </c>
      <c r="E1900" s="37" t="str">
        <f t="shared" si="145"/>
        <v xml:space="preserve"> </v>
      </c>
      <c r="F1900">
        <v>0.42</v>
      </c>
      <c r="G1900" s="37" t="str">
        <f t="shared" si="146"/>
        <v>Heavy Discount</v>
      </c>
      <c r="H1900" s="37" t="str">
        <f t="shared" si="147"/>
        <v>High</v>
      </c>
      <c r="I1900">
        <v>1</v>
      </c>
      <c r="J1900" t="str" cm="1">
        <f t="array" ref="J1900">_xlfn.IFS(I1900&lt;=3,"small",I1900&lt;=6,"Medium",I1900&lt;=9,"Large")</f>
        <v>small</v>
      </c>
      <c r="K1900" s="36">
        <v>45387</v>
      </c>
      <c r="L1900" s="36">
        <v>45394</v>
      </c>
      <c r="M1900" t="s">
        <v>612</v>
      </c>
      <c r="N1900" t="s">
        <v>599</v>
      </c>
      <c r="O1900" s="37" t="str">
        <f t="shared" si="148"/>
        <v>Digital Payment</v>
      </c>
      <c r="P1900">
        <v>309.24</v>
      </c>
      <c r="Q1900" s="37" t="str">
        <f>IF(P1900&gt;500,"High","low")</f>
        <v>low</v>
      </c>
      <c r="R1900" s="37" t="str">
        <f t="shared" si="149"/>
        <v>AVERAGE</v>
      </c>
      <c r="S1900" t="s">
        <v>605</v>
      </c>
    </row>
    <row r="1901" spans="1:19" x14ac:dyDescent="0.2">
      <c r="A1901" t="s">
        <v>2512</v>
      </c>
      <c r="B1901" t="s">
        <v>83</v>
      </c>
      <c r="C1901" t="s">
        <v>617</v>
      </c>
      <c r="D1901">
        <v>4575.45</v>
      </c>
      <c r="E1901" s="37" t="str">
        <f t="shared" si="145"/>
        <v xml:space="preserve"> </v>
      </c>
      <c r="F1901">
        <v>0.49</v>
      </c>
      <c r="G1901" s="37" t="str">
        <f t="shared" si="146"/>
        <v>Heavy Discount</v>
      </c>
      <c r="H1901" s="37" t="str">
        <f t="shared" si="147"/>
        <v>High</v>
      </c>
      <c r="I1901">
        <v>9</v>
      </c>
      <c r="J1901" t="str" cm="1">
        <f t="array" ref="J1901">_xlfn.IFS(I1901&lt;=3,"small",I1901&lt;=6,"Medium",I1901&lt;=9,"Large")</f>
        <v>Large</v>
      </c>
      <c r="K1901" s="36">
        <v>45345</v>
      </c>
      <c r="L1901" s="36">
        <v>45346</v>
      </c>
      <c r="M1901" t="s">
        <v>612</v>
      </c>
      <c r="N1901" t="s">
        <v>608</v>
      </c>
      <c r="O1901" s="37" t="str">
        <f t="shared" si="148"/>
        <v>Cash Payment</v>
      </c>
      <c r="P1901">
        <v>564.44000000000005</v>
      </c>
      <c r="Q1901" s="37" t="str">
        <f>IF(P1901&gt;500,"High","low")</f>
        <v>High</v>
      </c>
      <c r="R1901" s="37" t="str">
        <f t="shared" si="149"/>
        <v>Good</v>
      </c>
      <c r="S1901" t="s">
        <v>620</v>
      </c>
    </row>
    <row r="1902" spans="1:19" x14ac:dyDescent="0.2">
      <c r="A1902" t="s">
        <v>2513</v>
      </c>
      <c r="B1902" t="s">
        <v>67</v>
      </c>
      <c r="C1902" t="s">
        <v>617</v>
      </c>
      <c r="D1902">
        <v>2433.35</v>
      </c>
      <c r="E1902" s="37" t="str">
        <f t="shared" si="145"/>
        <v xml:space="preserve"> </v>
      </c>
      <c r="F1902">
        <v>0.17</v>
      </c>
      <c r="G1902" s="37" t="str">
        <f t="shared" si="146"/>
        <v>Normal Discount</v>
      </c>
      <c r="H1902" s="37" t="str">
        <f t="shared" si="147"/>
        <v>Low</v>
      </c>
      <c r="I1902">
        <v>8</v>
      </c>
      <c r="J1902" t="str" cm="1">
        <f t="array" ref="J1902">_xlfn.IFS(I1902&lt;=3,"small",I1902&lt;=6,"Medium",I1902&lt;=9,"Large")</f>
        <v>Large</v>
      </c>
      <c r="K1902" s="36">
        <v>45255</v>
      </c>
      <c r="L1902" s="36">
        <v>45256</v>
      </c>
      <c r="M1902" t="s">
        <v>612</v>
      </c>
      <c r="N1902" t="s">
        <v>599</v>
      </c>
      <c r="O1902" s="37" t="str">
        <f t="shared" si="148"/>
        <v>Digital Payment</v>
      </c>
      <c r="P1902">
        <v>386.61</v>
      </c>
      <c r="Q1902" s="37" t="str">
        <f>IF(P1902&gt;500,"High","low")</f>
        <v>low</v>
      </c>
      <c r="R1902" s="37" t="str">
        <f t="shared" si="149"/>
        <v>AVERAGE</v>
      </c>
      <c r="S1902" t="s">
        <v>628</v>
      </c>
    </row>
    <row r="1903" spans="1:19" x14ac:dyDescent="0.2">
      <c r="A1903" t="s">
        <v>2514</v>
      </c>
      <c r="B1903" t="s">
        <v>75</v>
      </c>
      <c r="C1903" t="s">
        <v>614</v>
      </c>
      <c r="D1903">
        <v>4610.8599999999997</v>
      </c>
      <c r="E1903" s="37" t="str">
        <f t="shared" si="145"/>
        <v xml:space="preserve"> </v>
      </c>
      <c r="F1903">
        <v>0.12</v>
      </c>
      <c r="G1903" s="37" t="str">
        <f t="shared" si="146"/>
        <v>Normal Discount</v>
      </c>
      <c r="H1903" s="37" t="str">
        <f t="shared" si="147"/>
        <v>Low</v>
      </c>
      <c r="I1903">
        <v>8</v>
      </c>
      <c r="J1903" t="str" cm="1">
        <f t="array" ref="J1903">_xlfn.IFS(I1903&lt;=3,"small",I1903&lt;=6,"Medium",I1903&lt;=9,"Large")</f>
        <v>Large</v>
      </c>
      <c r="K1903" s="36">
        <v>45263</v>
      </c>
      <c r="L1903" s="36">
        <v>45267</v>
      </c>
      <c r="M1903" t="s">
        <v>603</v>
      </c>
      <c r="N1903" t="s">
        <v>604</v>
      </c>
      <c r="O1903" s="37" t="str">
        <f t="shared" si="148"/>
        <v>Digital Payment</v>
      </c>
      <c r="P1903">
        <v>643.96</v>
      </c>
      <c r="Q1903" s="37" t="str">
        <f>IF(P1903&gt;500,"High","low")</f>
        <v>High</v>
      </c>
      <c r="R1903" s="37" t="str">
        <f t="shared" si="149"/>
        <v>Good</v>
      </c>
      <c r="S1903" t="s">
        <v>600</v>
      </c>
    </row>
    <row r="1904" spans="1:19" x14ac:dyDescent="0.2">
      <c r="A1904" t="s">
        <v>2515</v>
      </c>
      <c r="B1904" t="s">
        <v>75</v>
      </c>
      <c r="C1904" t="s">
        <v>617</v>
      </c>
      <c r="D1904">
        <v>1738.26</v>
      </c>
      <c r="E1904" s="37" t="str">
        <f t="shared" si="145"/>
        <v xml:space="preserve"> </v>
      </c>
      <c r="F1904">
        <v>0.04</v>
      </c>
      <c r="G1904" s="37" t="str">
        <f t="shared" si="146"/>
        <v>Normal Discount</v>
      </c>
      <c r="H1904" s="37" t="str">
        <f t="shared" si="147"/>
        <v>Low</v>
      </c>
      <c r="I1904">
        <v>9</v>
      </c>
      <c r="J1904" t="str" cm="1">
        <f t="array" ref="J1904">_xlfn.IFS(I1904&lt;=3,"small",I1904&lt;=6,"Medium",I1904&lt;=9,"Large")</f>
        <v>Large</v>
      </c>
      <c r="K1904" s="36">
        <v>45344</v>
      </c>
      <c r="L1904" s="36">
        <v>45348</v>
      </c>
      <c r="M1904" t="s">
        <v>598</v>
      </c>
      <c r="N1904" t="s">
        <v>608</v>
      </c>
      <c r="O1904" s="37" t="str">
        <f t="shared" si="148"/>
        <v>Cash Payment</v>
      </c>
      <c r="P1904">
        <v>95.41</v>
      </c>
      <c r="Q1904" s="37" t="str">
        <f>IF(P1904&gt;500,"High","low")</f>
        <v>low</v>
      </c>
      <c r="R1904" s="37" t="str">
        <f t="shared" si="149"/>
        <v>AVERAGE</v>
      </c>
      <c r="S1904" t="s">
        <v>605</v>
      </c>
    </row>
    <row r="1905" spans="1:19" x14ac:dyDescent="0.2">
      <c r="A1905" t="s">
        <v>2516</v>
      </c>
      <c r="B1905" t="s">
        <v>75</v>
      </c>
      <c r="C1905" t="s">
        <v>614</v>
      </c>
      <c r="D1905">
        <v>1209.99</v>
      </c>
      <c r="E1905" s="37" t="str">
        <f t="shared" si="145"/>
        <v xml:space="preserve"> </v>
      </c>
      <c r="F1905">
        <v>0.43</v>
      </c>
      <c r="G1905" s="37" t="str">
        <f t="shared" si="146"/>
        <v>Heavy Discount</v>
      </c>
      <c r="H1905" s="37" t="str">
        <f t="shared" si="147"/>
        <v>High</v>
      </c>
      <c r="I1905">
        <v>7</v>
      </c>
      <c r="J1905" t="str" cm="1">
        <f t="array" ref="J1905">_xlfn.IFS(I1905&lt;=3,"small",I1905&lt;=6,"Medium",I1905&lt;=9,"Large")</f>
        <v>Large</v>
      </c>
      <c r="K1905" s="36">
        <v>45511</v>
      </c>
      <c r="L1905" s="36">
        <v>45516</v>
      </c>
      <c r="M1905" t="s">
        <v>612</v>
      </c>
      <c r="N1905" t="s">
        <v>604</v>
      </c>
      <c r="O1905" s="37" t="str">
        <f t="shared" si="148"/>
        <v>Digital Payment</v>
      </c>
      <c r="P1905">
        <v>98.81</v>
      </c>
      <c r="Q1905" s="37" t="str">
        <f>IF(P1905&gt;500,"High","low")</f>
        <v>low</v>
      </c>
      <c r="R1905" s="37" t="str">
        <f t="shared" si="149"/>
        <v>AVERAGE</v>
      </c>
      <c r="S1905" t="s">
        <v>605</v>
      </c>
    </row>
    <row r="1906" spans="1:19" x14ac:dyDescent="0.2">
      <c r="A1906" t="s">
        <v>2517</v>
      </c>
      <c r="B1906" t="s">
        <v>90</v>
      </c>
      <c r="C1906" t="s">
        <v>614</v>
      </c>
      <c r="D1906">
        <v>2526.4899999999998</v>
      </c>
      <c r="E1906" s="37" t="str">
        <f t="shared" si="145"/>
        <v xml:space="preserve"> </v>
      </c>
      <c r="F1906">
        <v>0.15</v>
      </c>
      <c r="G1906" s="37" t="str">
        <f t="shared" si="146"/>
        <v>Normal Discount</v>
      </c>
      <c r="H1906" s="37" t="str">
        <f t="shared" si="147"/>
        <v>Low</v>
      </c>
      <c r="I1906">
        <v>9</v>
      </c>
      <c r="J1906" t="str" cm="1">
        <f t="array" ref="J1906">_xlfn.IFS(I1906&lt;=3,"small",I1906&lt;=6,"Medium",I1906&lt;=9,"Large")</f>
        <v>Large</v>
      </c>
      <c r="K1906" s="36">
        <v>45001</v>
      </c>
      <c r="L1906" s="36">
        <v>45003</v>
      </c>
      <c r="M1906" t="s">
        <v>612</v>
      </c>
      <c r="N1906" t="s">
        <v>604</v>
      </c>
      <c r="O1906" s="37" t="str">
        <f t="shared" si="148"/>
        <v>Digital Payment</v>
      </c>
      <c r="P1906">
        <v>176.01</v>
      </c>
      <c r="Q1906" s="37" t="str">
        <f>IF(P1906&gt;500,"High","low")</f>
        <v>low</v>
      </c>
      <c r="R1906" s="37" t="str">
        <f t="shared" si="149"/>
        <v>AVERAGE</v>
      </c>
      <c r="S1906" t="s">
        <v>600</v>
      </c>
    </row>
    <row r="1907" spans="1:19" x14ac:dyDescent="0.2">
      <c r="A1907" t="s">
        <v>2518</v>
      </c>
      <c r="B1907" t="s">
        <v>83</v>
      </c>
      <c r="C1907" t="s">
        <v>607</v>
      </c>
      <c r="D1907">
        <v>3115.84</v>
      </c>
      <c r="E1907" s="37" t="str">
        <f t="shared" si="145"/>
        <v xml:space="preserve"> </v>
      </c>
      <c r="F1907">
        <v>0.02</v>
      </c>
      <c r="G1907" s="37" t="str">
        <f t="shared" si="146"/>
        <v>Normal Discount</v>
      </c>
      <c r="H1907" s="37" t="str">
        <f t="shared" si="147"/>
        <v>Low</v>
      </c>
      <c r="I1907">
        <v>1</v>
      </c>
      <c r="J1907" t="str" cm="1">
        <f t="array" ref="J1907">_xlfn.IFS(I1907&lt;=3,"small",I1907&lt;=6,"Medium",I1907&lt;=9,"Large")</f>
        <v>small</v>
      </c>
      <c r="K1907" s="36">
        <v>45011</v>
      </c>
      <c r="L1907" s="36">
        <v>45014</v>
      </c>
      <c r="M1907" t="s">
        <v>598</v>
      </c>
      <c r="N1907" t="s">
        <v>599</v>
      </c>
      <c r="O1907" s="37" t="str">
        <f t="shared" si="148"/>
        <v>Digital Payment</v>
      </c>
      <c r="P1907">
        <v>341.8</v>
      </c>
      <c r="Q1907" s="37" t="str">
        <f>IF(P1907&gt;500,"High","low")</f>
        <v>low</v>
      </c>
      <c r="R1907" s="37" t="str">
        <f t="shared" si="149"/>
        <v>AVERAGE</v>
      </c>
      <c r="S1907" t="s">
        <v>600</v>
      </c>
    </row>
    <row r="1908" spans="1:19" x14ac:dyDescent="0.2">
      <c r="A1908" t="s">
        <v>2519</v>
      </c>
      <c r="B1908" t="s">
        <v>75</v>
      </c>
      <c r="C1908" t="s">
        <v>607</v>
      </c>
      <c r="D1908">
        <v>2018.35</v>
      </c>
      <c r="E1908" s="37" t="str">
        <f t="shared" si="145"/>
        <v xml:space="preserve"> </v>
      </c>
      <c r="F1908">
        <v>0.43</v>
      </c>
      <c r="G1908" s="37" t="str">
        <f t="shared" si="146"/>
        <v>Heavy Discount</v>
      </c>
      <c r="H1908" s="37" t="str">
        <f t="shared" si="147"/>
        <v>High</v>
      </c>
      <c r="I1908">
        <v>1</v>
      </c>
      <c r="J1908" t="str" cm="1">
        <f t="array" ref="J1908">_xlfn.IFS(I1908&lt;=3,"small",I1908&lt;=6,"Medium",I1908&lt;=9,"Large")</f>
        <v>small</v>
      </c>
      <c r="K1908" s="36">
        <v>45629</v>
      </c>
      <c r="L1908" s="36">
        <v>45631</v>
      </c>
      <c r="M1908" t="s">
        <v>603</v>
      </c>
      <c r="N1908" t="s">
        <v>604</v>
      </c>
      <c r="O1908" s="37" t="str">
        <f t="shared" si="148"/>
        <v>Digital Payment</v>
      </c>
      <c r="P1908">
        <v>151.26</v>
      </c>
      <c r="Q1908" s="37" t="str">
        <f>IF(P1908&gt;500,"High","low")</f>
        <v>low</v>
      </c>
      <c r="R1908" s="37" t="str">
        <f t="shared" si="149"/>
        <v>AVERAGE</v>
      </c>
      <c r="S1908" t="s">
        <v>605</v>
      </c>
    </row>
    <row r="1909" spans="1:19" x14ac:dyDescent="0.2">
      <c r="A1909" t="s">
        <v>2520</v>
      </c>
      <c r="B1909" t="s">
        <v>75</v>
      </c>
      <c r="C1909" t="s">
        <v>607</v>
      </c>
      <c r="D1909">
        <v>1795.55</v>
      </c>
      <c r="E1909" s="37" t="str">
        <f t="shared" si="145"/>
        <v xml:space="preserve"> </v>
      </c>
      <c r="F1909">
        <v>0.25</v>
      </c>
      <c r="G1909" s="37" t="str">
        <f t="shared" si="146"/>
        <v>Normal Discount</v>
      </c>
      <c r="H1909" s="37" t="str">
        <f t="shared" si="147"/>
        <v>Medium</v>
      </c>
      <c r="I1909">
        <v>4</v>
      </c>
      <c r="J1909" t="str" cm="1">
        <f t="array" ref="J1909">_xlfn.IFS(I1909&lt;=3,"small",I1909&lt;=6,"Medium",I1909&lt;=9,"Large")</f>
        <v>Medium</v>
      </c>
      <c r="K1909" s="36">
        <v>45264</v>
      </c>
      <c r="L1909" s="36">
        <v>45270</v>
      </c>
      <c r="M1909" t="s">
        <v>603</v>
      </c>
      <c r="N1909" t="s">
        <v>599</v>
      </c>
      <c r="O1909" s="37" t="str">
        <f t="shared" si="148"/>
        <v>Digital Payment</v>
      </c>
      <c r="P1909">
        <v>193.11</v>
      </c>
      <c r="Q1909" s="37" t="str">
        <f>IF(P1909&gt;500,"High","low")</f>
        <v>low</v>
      </c>
      <c r="R1909" s="37" t="str">
        <f t="shared" si="149"/>
        <v>AVERAGE</v>
      </c>
      <c r="S1909" t="s">
        <v>628</v>
      </c>
    </row>
    <row r="1910" spans="1:19" x14ac:dyDescent="0.2">
      <c r="A1910" t="s">
        <v>2521</v>
      </c>
      <c r="B1910" t="s">
        <v>83</v>
      </c>
      <c r="C1910" t="s">
        <v>602</v>
      </c>
      <c r="D1910">
        <v>1168.49</v>
      </c>
      <c r="E1910" s="37" t="str">
        <f t="shared" si="145"/>
        <v xml:space="preserve"> </v>
      </c>
      <c r="F1910">
        <v>0.42</v>
      </c>
      <c r="G1910" s="37" t="str">
        <f t="shared" si="146"/>
        <v>Heavy Discount</v>
      </c>
      <c r="H1910" s="37" t="str">
        <f t="shared" si="147"/>
        <v>High</v>
      </c>
      <c r="I1910">
        <v>2</v>
      </c>
      <c r="J1910" t="str" cm="1">
        <f t="array" ref="J1910">_xlfn.IFS(I1910&lt;=3,"small",I1910&lt;=6,"Medium",I1910&lt;=9,"Large")</f>
        <v>small</v>
      </c>
      <c r="K1910" s="36">
        <v>45103</v>
      </c>
      <c r="L1910" s="36">
        <v>45108</v>
      </c>
      <c r="M1910" t="s">
        <v>603</v>
      </c>
      <c r="N1910" t="s">
        <v>604</v>
      </c>
      <c r="O1910" s="37" t="str">
        <f t="shared" si="148"/>
        <v>Digital Payment</v>
      </c>
      <c r="P1910">
        <v>59.61</v>
      </c>
      <c r="Q1910" s="37" t="str">
        <f>IF(P1910&gt;500,"High","low")</f>
        <v>low</v>
      </c>
      <c r="R1910" s="37" t="str">
        <f t="shared" si="149"/>
        <v>AVERAGE</v>
      </c>
      <c r="S1910" t="s">
        <v>628</v>
      </c>
    </row>
    <row r="1911" spans="1:19" x14ac:dyDescent="0.2">
      <c r="A1911" t="s">
        <v>2522</v>
      </c>
      <c r="B1911" t="s">
        <v>75</v>
      </c>
      <c r="C1911" t="s">
        <v>607</v>
      </c>
      <c r="D1911">
        <v>1447.53</v>
      </c>
      <c r="E1911" s="37" t="str">
        <f t="shared" si="145"/>
        <v xml:space="preserve"> </v>
      </c>
      <c r="F1911">
        <v>0.28000000000000003</v>
      </c>
      <c r="G1911" s="37" t="str">
        <f t="shared" si="146"/>
        <v>Normal Discount</v>
      </c>
      <c r="H1911" s="37" t="str">
        <f t="shared" si="147"/>
        <v>Medium</v>
      </c>
      <c r="I1911">
        <v>8</v>
      </c>
      <c r="J1911" t="str" cm="1">
        <f t="array" ref="J1911">_xlfn.IFS(I1911&lt;=3,"small",I1911&lt;=6,"Medium",I1911&lt;=9,"Large")</f>
        <v>Large</v>
      </c>
      <c r="K1911" s="36">
        <v>45376</v>
      </c>
      <c r="L1911" s="36">
        <v>45381</v>
      </c>
      <c r="M1911" t="s">
        <v>598</v>
      </c>
      <c r="N1911" t="s">
        <v>599</v>
      </c>
      <c r="O1911" s="37" t="str">
        <f t="shared" si="148"/>
        <v>Digital Payment</v>
      </c>
      <c r="P1911">
        <v>430.2</v>
      </c>
      <c r="Q1911" s="37" t="str">
        <f>IF(P1911&gt;500,"High","low")</f>
        <v>low</v>
      </c>
      <c r="R1911" s="37" t="str">
        <f t="shared" si="149"/>
        <v>AVERAGE</v>
      </c>
      <c r="S1911" t="s">
        <v>620</v>
      </c>
    </row>
    <row r="1912" spans="1:19" x14ac:dyDescent="0.2">
      <c r="A1912" t="s">
        <v>2523</v>
      </c>
      <c r="B1912" t="s">
        <v>67</v>
      </c>
      <c r="C1912" t="s">
        <v>614</v>
      </c>
      <c r="D1912">
        <v>3398.28</v>
      </c>
      <c r="E1912" s="37" t="str">
        <f t="shared" si="145"/>
        <v xml:space="preserve"> </v>
      </c>
      <c r="F1912">
        <v>0.16</v>
      </c>
      <c r="G1912" s="37" t="str">
        <f t="shared" si="146"/>
        <v>Normal Discount</v>
      </c>
      <c r="H1912" s="37" t="str">
        <f t="shared" si="147"/>
        <v>Low</v>
      </c>
      <c r="I1912">
        <v>1</v>
      </c>
      <c r="J1912" t="str" cm="1">
        <f t="array" ref="J1912">_xlfn.IFS(I1912&lt;=3,"small",I1912&lt;=6,"Medium",I1912&lt;=9,"Large")</f>
        <v>small</v>
      </c>
      <c r="K1912" s="36">
        <v>45071</v>
      </c>
      <c r="L1912" s="36">
        <v>45076</v>
      </c>
      <c r="M1912" t="s">
        <v>603</v>
      </c>
      <c r="N1912" t="s">
        <v>608</v>
      </c>
      <c r="O1912" s="37" t="str">
        <f t="shared" si="148"/>
        <v>Cash Payment</v>
      </c>
      <c r="P1912">
        <v>262.72000000000003</v>
      </c>
      <c r="Q1912" s="37" t="str">
        <f>IF(P1912&gt;500,"High","low")</f>
        <v>low</v>
      </c>
      <c r="R1912" s="37" t="str">
        <f t="shared" si="149"/>
        <v>AVERAGE</v>
      </c>
      <c r="S1912" t="s">
        <v>609</v>
      </c>
    </row>
    <row r="1913" spans="1:19" x14ac:dyDescent="0.2">
      <c r="A1913" t="s">
        <v>2524</v>
      </c>
      <c r="B1913" t="s">
        <v>83</v>
      </c>
      <c r="C1913" t="s">
        <v>597</v>
      </c>
      <c r="D1913">
        <v>1912.38</v>
      </c>
      <c r="E1913" s="37" t="str">
        <f t="shared" si="145"/>
        <v xml:space="preserve"> </v>
      </c>
      <c r="F1913">
        <v>0.06</v>
      </c>
      <c r="G1913" s="37" t="str">
        <f t="shared" si="146"/>
        <v>Normal Discount</v>
      </c>
      <c r="H1913" s="37" t="str">
        <f t="shared" si="147"/>
        <v>Low</v>
      </c>
      <c r="I1913">
        <v>4</v>
      </c>
      <c r="J1913" t="str" cm="1">
        <f t="array" ref="J1913">_xlfn.IFS(I1913&lt;=3,"small",I1913&lt;=6,"Medium",I1913&lt;=9,"Large")</f>
        <v>Medium</v>
      </c>
      <c r="K1913" s="36">
        <v>45173</v>
      </c>
      <c r="L1913" s="36">
        <v>45178</v>
      </c>
      <c r="M1913" t="s">
        <v>612</v>
      </c>
      <c r="N1913" t="s">
        <v>599</v>
      </c>
      <c r="O1913" s="37" t="str">
        <f t="shared" si="148"/>
        <v>Digital Payment</v>
      </c>
      <c r="P1913">
        <v>497.26</v>
      </c>
      <c r="Q1913" s="37" t="str">
        <f>IF(P1913&gt;500,"High","low")</f>
        <v>low</v>
      </c>
      <c r="R1913" s="37" t="str">
        <f t="shared" si="149"/>
        <v>AVERAGE</v>
      </c>
      <c r="S1913" t="s">
        <v>620</v>
      </c>
    </row>
    <row r="1914" spans="1:19" x14ac:dyDescent="0.2">
      <c r="A1914" t="s">
        <v>2525</v>
      </c>
      <c r="B1914" t="s">
        <v>83</v>
      </c>
      <c r="C1914" t="s">
        <v>607</v>
      </c>
      <c r="D1914">
        <v>490.81</v>
      </c>
      <c r="E1914" s="37" t="str">
        <f t="shared" si="145"/>
        <v xml:space="preserve"> </v>
      </c>
      <c r="F1914">
        <v>0.22</v>
      </c>
      <c r="G1914" s="37" t="str">
        <f t="shared" si="146"/>
        <v>Normal Discount</v>
      </c>
      <c r="H1914" s="37" t="str">
        <f t="shared" si="147"/>
        <v>Medium</v>
      </c>
      <c r="I1914">
        <v>9</v>
      </c>
      <c r="J1914" t="str" cm="1">
        <f t="array" ref="J1914">_xlfn.IFS(I1914&lt;=3,"small",I1914&lt;=6,"Medium",I1914&lt;=9,"Large")</f>
        <v>Large</v>
      </c>
      <c r="K1914" s="36">
        <v>45055</v>
      </c>
      <c r="L1914" s="36">
        <v>45059</v>
      </c>
      <c r="M1914" t="s">
        <v>598</v>
      </c>
      <c r="N1914" t="s">
        <v>599</v>
      </c>
      <c r="O1914" s="37" t="str">
        <f t="shared" si="148"/>
        <v>Digital Payment</v>
      </c>
      <c r="P1914">
        <v>37.07</v>
      </c>
      <c r="Q1914" s="37" t="str">
        <f>IF(P1914&gt;500,"High","low")</f>
        <v>low</v>
      </c>
      <c r="R1914" s="37" t="str">
        <f t="shared" si="149"/>
        <v>AVERAGE</v>
      </c>
      <c r="S1914" t="s">
        <v>615</v>
      </c>
    </row>
    <row r="1915" spans="1:19" x14ac:dyDescent="0.2">
      <c r="A1915" t="s">
        <v>2526</v>
      </c>
      <c r="B1915" t="s">
        <v>83</v>
      </c>
      <c r="C1915" t="s">
        <v>607</v>
      </c>
      <c r="D1915">
        <v>776.96</v>
      </c>
      <c r="E1915" s="37" t="str">
        <f t="shared" si="145"/>
        <v xml:space="preserve"> </v>
      </c>
      <c r="F1915">
        <v>0.01</v>
      </c>
      <c r="G1915" s="37" t="str">
        <f t="shared" si="146"/>
        <v>Normal Discount</v>
      </c>
      <c r="H1915" s="37" t="str">
        <f t="shared" si="147"/>
        <v>Low</v>
      </c>
      <c r="I1915">
        <v>2</v>
      </c>
      <c r="J1915" t="str" cm="1">
        <f t="array" ref="J1915">_xlfn.IFS(I1915&lt;=3,"small",I1915&lt;=6,"Medium",I1915&lt;=9,"Large")</f>
        <v>small</v>
      </c>
      <c r="K1915" s="36">
        <v>45515</v>
      </c>
      <c r="L1915" s="36">
        <v>45516</v>
      </c>
      <c r="M1915" t="s">
        <v>598</v>
      </c>
      <c r="N1915" t="s">
        <v>599</v>
      </c>
      <c r="O1915" s="37" t="str">
        <f t="shared" si="148"/>
        <v>Digital Payment</v>
      </c>
      <c r="P1915">
        <v>99.32</v>
      </c>
      <c r="Q1915" s="37" t="str">
        <f>IF(P1915&gt;500,"High","low")</f>
        <v>low</v>
      </c>
      <c r="R1915" s="37" t="str">
        <f t="shared" si="149"/>
        <v>AVERAGE</v>
      </c>
      <c r="S1915" t="s">
        <v>628</v>
      </c>
    </row>
    <row r="1916" spans="1:19" x14ac:dyDescent="0.2">
      <c r="A1916" t="s">
        <v>2527</v>
      </c>
      <c r="B1916" t="s">
        <v>67</v>
      </c>
      <c r="C1916" t="s">
        <v>597</v>
      </c>
      <c r="D1916">
        <v>1924.66</v>
      </c>
      <c r="E1916" s="37" t="str">
        <f t="shared" si="145"/>
        <v xml:space="preserve"> </v>
      </c>
      <c r="F1916">
        <v>0.3</v>
      </c>
      <c r="G1916" s="37" t="str">
        <f t="shared" si="146"/>
        <v>Normal Discount</v>
      </c>
      <c r="H1916" s="37" t="str">
        <f t="shared" si="147"/>
        <v>Medium</v>
      </c>
      <c r="I1916">
        <v>6</v>
      </c>
      <c r="J1916" t="str" cm="1">
        <f t="array" ref="J1916">_xlfn.IFS(I1916&lt;=3,"small",I1916&lt;=6,"Medium",I1916&lt;=9,"Large")</f>
        <v>Medium</v>
      </c>
      <c r="K1916" s="36">
        <v>45640</v>
      </c>
      <c r="L1916" s="36">
        <v>45641</v>
      </c>
      <c r="M1916" t="s">
        <v>612</v>
      </c>
      <c r="N1916" t="s">
        <v>599</v>
      </c>
      <c r="O1916" s="37" t="str">
        <f t="shared" si="148"/>
        <v>Digital Payment</v>
      </c>
      <c r="P1916">
        <v>549.28</v>
      </c>
      <c r="Q1916" s="37" t="str">
        <f>IF(P1916&gt;500,"High","low")</f>
        <v>High</v>
      </c>
      <c r="R1916" s="37" t="str">
        <f t="shared" si="149"/>
        <v>Good</v>
      </c>
      <c r="S1916" t="s">
        <v>600</v>
      </c>
    </row>
    <row r="1917" spans="1:19" x14ac:dyDescent="0.2">
      <c r="A1917" t="s">
        <v>2528</v>
      </c>
      <c r="B1917" t="s">
        <v>83</v>
      </c>
      <c r="C1917" t="s">
        <v>614</v>
      </c>
      <c r="D1917">
        <v>4630.0600000000004</v>
      </c>
      <c r="E1917" s="37" t="str">
        <f t="shared" si="145"/>
        <v xml:space="preserve"> </v>
      </c>
      <c r="F1917">
        <v>0.21</v>
      </c>
      <c r="G1917" s="37" t="str">
        <f t="shared" si="146"/>
        <v>Normal Discount</v>
      </c>
      <c r="H1917" s="37" t="str">
        <f t="shared" si="147"/>
        <v>Medium</v>
      </c>
      <c r="I1917">
        <v>4</v>
      </c>
      <c r="J1917" t="str" cm="1">
        <f t="array" ref="J1917">_xlfn.IFS(I1917&lt;=3,"small",I1917&lt;=6,"Medium",I1917&lt;=9,"Large")</f>
        <v>Medium</v>
      </c>
      <c r="K1917" s="36">
        <v>45007</v>
      </c>
      <c r="L1917" s="36">
        <v>45009</v>
      </c>
      <c r="M1917" t="s">
        <v>598</v>
      </c>
      <c r="N1917" t="s">
        <v>604</v>
      </c>
      <c r="O1917" s="37" t="str">
        <f t="shared" si="148"/>
        <v>Digital Payment</v>
      </c>
      <c r="P1917">
        <v>591.25</v>
      </c>
      <c r="Q1917" s="37" t="str">
        <f>IF(P1917&gt;500,"High","low")</f>
        <v>High</v>
      </c>
      <c r="R1917" s="37" t="str">
        <f t="shared" si="149"/>
        <v>Good</v>
      </c>
      <c r="S1917" t="s">
        <v>609</v>
      </c>
    </row>
    <row r="1918" spans="1:19" x14ac:dyDescent="0.2">
      <c r="A1918" t="s">
        <v>2529</v>
      </c>
      <c r="B1918" t="s">
        <v>67</v>
      </c>
      <c r="C1918" t="s">
        <v>602</v>
      </c>
      <c r="D1918">
        <v>1957.25</v>
      </c>
      <c r="E1918" s="37" t="str">
        <f t="shared" si="145"/>
        <v xml:space="preserve"> </v>
      </c>
      <c r="F1918">
        <v>7.0000000000000007E-2</v>
      </c>
      <c r="G1918" s="37" t="str">
        <f t="shared" si="146"/>
        <v>Normal Discount</v>
      </c>
      <c r="H1918" s="37" t="str">
        <f t="shared" si="147"/>
        <v>Low</v>
      </c>
      <c r="I1918">
        <v>4</v>
      </c>
      <c r="J1918" t="str" cm="1">
        <f t="array" ref="J1918">_xlfn.IFS(I1918&lt;=3,"small",I1918&lt;=6,"Medium",I1918&lt;=9,"Large")</f>
        <v>Medium</v>
      </c>
      <c r="K1918" s="36">
        <v>45557</v>
      </c>
      <c r="L1918" s="36">
        <v>45559</v>
      </c>
      <c r="M1918" t="s">
        <v>598</v>
      </c>
      <c r="N1918" t="s">
        <v>608</v>
      </c>
      <c r="O1918" s="37" t="str">
        <f t="shared" si="148"/>
        <v>Cash Payment</v>
      </c>
      <c r="P1918">
        <v>418.18</v>
      </c>
      <c r="Q1918" s="37" t="str">
        <f>IF(P1918&gt;500,"High","low")</f>
        <v>low</v>
      </c>
      <c r="R1918" s="37" t="str">
        <f t="shared" si="149"/>
        <v>AVERAGE</v>
      </c>
      <c r="S1918" t="s">
        <v>628</v>
      </c>
    </row>
    <row r="1919" spans="1:19" x14ac:dyDescent="0.2">
      <c r="A1919" t="s">
        <v>2530</v>
      </c>
      <c r="B1919" t="s">
        <v>83</v>
      </c>
      <c r="C1919" t="s">
        <v>607</v>
      </c>
      <c r="D1919">
        <v>397.15</v>
      </c>
      <c r="E1919" s="37" t="str">
        <f t="shared" si="145"/>
        <v xml:space="preserve"> </v>
      </c>
      <c r="F1919">
        <v>0.27</v>
      </c>
      <c r="G1919" s="37" t="str">
        <f t="shared" si="146"/>
        <v>Normal Discount</v>
      </c>
      <c r="H1919" s="37" t="str">
        <f t="shared" si="147"/>
        <v>Medium</v>
      </c>
      <c r="I1919">
        <v>6</v>
      </c>
      <c r="J1919" t="str" cm="1">
        <f t="array" ref="J1919">_xlfn.IFS(I1919&lt;=3,"small",I1919&lt;=6,"Medium",I1919&lt;=9,"Large")</f>
        <v>Medium</v>
      </c>
      <c r="K1919" s="36">
        <v>45139</v>
      </c>
      <c r="L1919" s="36">
        <v>45146</v>
      </c>
      <c r="M1919" t="s">
        <v>598</v>
      </c>
      <c r="N1919" t="s">
        <v>608</v>
      </c>
      <c r="O1919" s="37" t="str">
        <f t="shared" si="148"/>
        <v>Cash Payment</v>
      </c>
      <c r="P1919">
        <v>51.46</v>
      </c>
      <c r="Q1919" s="37" t="str">
        <f>IF(P1919&gt;500,"High","low")</f>
        <v>low</v>
      </c>
      <c r="R1919" s="37" t="str">
        <f t="shared" si="149"/>
        <v>AVERAGE</v>
      </c>
      <c r="S1919" t="s">
        <v>600</v>
      </c>
    </row>
    <row r="1920" spans="1:19" x14ac:dyDescent="0.2">
      <c r="A1920" t="s">
        <v>2531</v>
      </c>
      <c r="B1920" t="s">
        <v>90</v>
      </c>
      <c r="C1920" t="s">
        <v>597</v>
      </c>
      <c r="D1920">
        <v>2148.17</v>
      </c>
      <c r="E1920" s="37" t="str">
        <f t="shared" si="145"/>
        <v xml:space="preserve"> </v>
      </c>
      <c r="F1920">
        <v>0.4</v>
      </c>
      <c r="G1920" s="37" t="str">
        <f t="shared" si="146"/>
        <v>Heavy Discount</v>
      </c>
      <c r="H1920" s="37" t="str">
        <f t="shared" si="147"/>
        <v>Medium</v>
      </c>
      <c r="I1920">
        <v>4</v>
      </c>
      <c r="J1920" t="str" cm="1">
        <f t="array" ref="J1920">_xlfn.IFS(I1920&lt;=3,"small",I1920&lt;=6,"Medium",I1920&lt;=9,"Large")</f>
        <v>Medium</v>
      </c>
      <c r="K1920" s="36">
        <v>45295</v>
      </c>
      <c r="L1920" s="36">
        <v>45301</v>
      </c>
      <c r="M1920" t="s">
        <v>598</v>
      </c>
      <c r="N1920" t="s">
        <v>608</v>
      </c>
      <c r="O1920" s="37" t="str">
        <f t="shared" si="148"/>
        <v>Cash Payment</v>
      </c>
      <c r="P1920">
        <v>613.78</v>
      </c>
      <c r="Q1920" s="37" t="str">
        <f>IF(P1920&gt;500,"High","low")</f>
        <v>High</v>
      </c>
      <c r="R1920" s="37" t="str">
        <f t="shared" si="149"/>
        <v>Good</v>
      </c>
      <c r="S1920" t="s">
        <v>605</v>
      </c>
    </row>
    <row r="1921" spans="1:19" x14ac:dyDescent="0.2">
      <c r="A1921" t="s">
        <v>2532</v>
      </c>
      <c r="B1921" t="s">
        <v>75</v>
      </c>
      <c r="C1921" t="s">
        <v>614</v>
      </c>
      <c r="D1921">
        <v>3377.21</v>
      </c>
      <c r="E1921" s="37" t="str">
        <f t="shared" si="145"/>
        <v xml:space="preserve"> </v>
      </c>
      <c r="F1921">
        <v>0.49</v>
      </c>
      <c r="G1921" s="37" t="str">
        <f t="shared" si="146"/>
        <v>Heavy Discount</v>
      </c>
      <c r="H1921" s="37" t="str">
        <f t="shared" si="147"/>
        <v>High</v>
      </c>
      <c r="I1921">
        <v>9</v>
      </c>
      <c r="J1921" t="str" cm="1">
        <f t="array" ref="J1921">_xlfn.IFS(I1921&lt;=3,"small",I1921&lt;=6,"Medium",I1921&lt;=9,"Large")</f>
        <v>Large</v>
      </c>
      <c r="K1921" s="36">
        <v>45033</v>
      </c>
      <c r="L1921" s="36">
        <v>45038</v>
      </c>
      <c r="M1921" t="s">
        <v>612</v>
      </c>
      <c r="N1921" t="s">
        <v>604</v>
      </c>
      <c r="O1921" s="37" t="str">
        <f t="shared" si="148"/>
        <v>Digital Payment</v>
      </c>
      <c r="P1921">
        <v>177.71</v>
      </c>
      <c r="Q1921" s="37" t="str">
        <f>IF(P1921&gt;500,"High","low")</f>
        <v>low</v>
      </c>
      <c r="R1921" s="37" t="str">
        <f t="shared" si="149"/>
        <v>AVERAGE</v>
      </c>
      <c r="S1921" t="s">
        <v>615</v>
      </c>
    </row>
    <row r="1922" spans="1:19" x14ac:dyDescent="0.2">
      <c r="A1922" t="s">
        <v>2533</v>
      </c>
      <c r="B1922" t="s">
        <v>90</v>
      </c>
      <c r="C1922" t="s">
        <v>617</v>
      </c>
      <c r="D1922">
        <v>3008.62</v>
      </c>
      <c r="E1922" s="37" t="str">
        <f t="shared" si="145"/>
        <v xml:space="preserve"> </v>
      </c>
      <c r="F1922">
        <v>0.26</v>
      </c>
      <c r="G1922" s="37" t="str">
        <f t="shared" si="146"/>
        <v>Normal Discount</v>
      </c>
      <c r="H1922" s="37" t="str">
        <f t="shared" si="147"/>
        <v>Medium</v>
      </c>
      <c r="I1922">
        <v>8</v>
      </c>
      <c r="J1922" t="str" cm="1">
        <f t="array" ref="J1922">_xlfn.IFS(I1922&lt;=3,"small",I1922&lt;=6,"Medium",I1922&lt;=9,"Large")</f>
        <v>Large</v>
      </c>
      <c r="K1922" s="36">
        <v>45575</v>
      </c>
      <c r="L1922" s="36">
        <v>45580</v>
      </c>
      <c r="M1922" t="s">
        <v>612</v>
      </c>
      <c r="N1922" t="s">
        <v>599</v>
      </c>
      <c r="O1922" s="37" t="str">
        <f t="shared" si="148"/>
        <v>Digital Payment</v>
      </c>
      <c r="P1922">
        <v>339.32</v>
      </c>
      <c r="Q1922" s="37" t="str">
        <f>IF(P1922&gt;500,"High","low")</f>
        <v>low</v>
      </c>
      <c r="R1922" s="37" t="str">
        <f t="shared" si="149"/>
        <v>AVERAGE</v>
      </c>
      <c r="S1922" t="s">
        <v>628</v>
      </c>
    </row>
    <row r="1923" spans="1:19" x14ac:dyDescent="0.2">
      <c r="A1923" t="s">
        <v>2534</v>
      </c>
      <c r="B1923" t="s">
        <v>75</v>
      </c>
      <c r="C1923" t="s">
        <v>602</v>
      </c>
      <c r="D1923">
        <v>1466.13</v>
      </c>
      <c r="E1923" s="37" t="str">
        <f t="shared" ref="E1923:E1986" si="150">IF(AND(D1923&gt;4000,P1923&gt;800),"Excellent Order"," ")</f>
        <v xml:space="preserve"> </v>
      </c>
      <c r="F1923">
        <v>0.06</v>
      </c>
      <c r="G1923" s="37" t="str">
        <f t="shared" ref="G1923:G1986" si="151">IF(F1923&gt;30%,"Heavy Discount","Normal Discount")</f>
        <v>Normal Discount</v>
      </c>
      <c r="H1923" s="37" t="str">
        <f t="shared" ref="H1923:H1986" si="152">IF(F1923&gt;0.4,"High",IF(F1923&gt;=0.2,"Medium","Low"))</f>
        <v>Low</v>
      </c>
      <c r="I1923">
        <v>8</v>
      </c>
      <c r="J1923" t="str" cm="1">
        <f t="array" ref="J1923">_xlfn.IFS(I1923&lt;=3,"small",I1923&lt;=6,"Medium",I1923&lt;=9,"Large")</f>
        <v>Large</v>
      </c>
      <c r="K1923" s="36">
        <v>45021</v>
      </c>
      <c r="L1923" s="36">
        <v>45024</v>
      </c>
      <c r="M1923" t="s">
        <v>612</v>
      </c>
      <c r="N1923" t="s">
        <v>604</v>
      </c>
      <c r="O1923" s="37" t="str">
        <f t="shared" ref="O1923:O1986" si="153">IF(OR(N1923="Card",N1923="UPI"),"Digital Payment","Cash Payment")</f>
        <v>Digital Payment</v>
      </c>
      <c r="P1923">
        <v>224.75</v>
      </c>
      <c r="Q1923" s="37" t="str">
        <f>IF(P1923&gt;500,"High","low")</f>
        <v>low</v>
      </c>
      <c r="R1923" s="37" t="str">
        <f t="shared" ref="R1923:R1986" si="154">IF(P1923&gt;1000,"Excellent",IF(P1923&gt;=500,"Good","AVERAGE"))</f>
        <v>AVERAGE</v>
      </c>
      <c r="S1923" t="s">
        <v>609</v>
      </c>
    </row>
    <row r="1924" spans="1:19" x14ac:dyDescent="0.2">
      <c r="A1924" t="s">
        <v>2535</v>
      </c>
      <c r="B1924" t="s">
        <v>67</v>
      </c>
      <c r="C1924" t="s">
        <v>597</v>
      </c>
      <c r="D1924">
        <v>3471.64</v>
      </c>
      <c r="E1924" s="37" t="str">
        <f t="shared" si="150"/>
        <v xml:space="preserve"> </v>
      </c>
      <c r="F1924">
        <v>0.41</v>
      </c>
      <c r="G1924" s="37" t="str">
        <f t="shared" si="151"/>
        <v>Heavy Discount</v>
      </c>
      <c r="H1924" s="37" t="str">
        <f t="shared" si="152"/>
        <v>High</v>
      </c>
      <c r="I1924">
        <v>5</v>
      </c>
      <c r="J1924" t="str" cm="1">
        <f t="array" ref="J1924">_xlfn.IFS(I1924&lt;=3,"small",I1924&lt;=6,"Medium",I1924&lt;=9,"Large")</f>
        <v>Medium</v>
      </c>
      <c r="K1924" s="36">
        <v>45025</v>
      </c>
      <c r="L1924" s="36">
        <v>45026</v>
      </c>
      <c r="M1924" t="s">
        <v>598</v>
      </c>
      <c r="N1924" t="s">
        <v>599</v>
      </c>
      <c r="O1924" s="37" t="str">
        <f t="shared" si="153"/>
        <v>Digital Payment</v>
      </c>
      <c r="P1924">
        <v>889.15</v>
      </c>
      <c r="Q1924" s="37" t="str">
        <f>IF(P1924&gt;500,"High","low")</f>
        <v>High</v>
      </c>
      <c r="R1924" s="37" t="str">
        <f t="shared" si="154"/>
        <v>Good</v>
      </c>
      <c r="S1924" t="s">
        <v>628</v>
      </c>
    </row>
    <row r="1925" spans="1:19" x14ac:dyDescent="0.2">
      <c r="A1925" t="s">
        <v>2536</v>
      </c>
      <c r="B1925" t="s">
        <v>90</v>
      </c>
      <c r="C1925" t="s">
        <v>597</v>
      </c>
      <c r="D1925">
        <v>3190.06</v>
      </c>
      <c r="E1925" s="37" t="str">
        <f t="shared" si="150"/>
        <v xml:space="preserve"> </v>
      </c>
      <c r="F1925">
        <v>0.35</v>
      </c>
      <c r="G1925" s="37" t="str">
        <f t="shared" si="151"/>
        <v>Heavy Discount</v>
      </c>
      <c r="H1925" s="37" t="str">
        <f t="shared" si="152"/>
        <v>Medium</v>
      </c>
      <c r="I1925">
        <v>6</v>
      </c>
      <c r="J1925" t="str" cm="1">
        <f t="array" ref="J1925">_xlfn.IFS(I1925&lt;=3,"small",I1925&lt;=6,"Medium",I1925&lt;=9,"Large")</f>
        <v>Medium</v>
      </c>
      <c r="K1925" s="36">
        <v>45615</v>
      </c>
      <c r="L1925" s="36">
        <v>45622</v>
      </c>
      <c r="M1925" t="s">
        <v>612</v>
      </c>
      <c r="N1925" t="s">
        <v>604</v>
      </c>
      <c r="O1925" s="37" t="str">
        <f t="shared" si="153"/>
        <v>Digital Payment</v>
      </c>
      <c r="P1925">
        <v>616.49</v>
      </c>
      <c r="Q1925" s="37" t="str">
        <f>IF(P1925&gt;500,"High","low")</f>
        <v>High</v>
      </c>
      <c r="R1925" s="37" t="str">
        <f t="shared" si="154"/>
        <v>Good</v>
      </c>
      <c r="S1925" t="s">
        <v>609</v>
      </c>
    </row>
    <row r="1926" spans="1:19" x14ac:dyDescent="0.2">
      <c r="A1926" t="s">
        <v>2537</v>
      </c>
      <c r="B1926" t="s">
        <v>83</v>
      </c>
      <c r="C1926" t="s">
        <v>597</v>
      </c>
      <c r="D1926">
        <v>943.65</v>
      </c>
      <c r="E1926" s="37" t="str">
        <f t="shared" si="150"/>
        <v xml:space="preserve"> </v>
      </c>
      <c r="F1926">
        <v>0.48</v>
      </c>
      <c r="G1926" s="37" t="str">
        <f t="shared" si="151"/>
        <v>Heavy Discount</v>
      </c>
      <c r="H1926" s="37" t="str">
        <f t="shared" si="152"/>
        <v>High</v>
      </c>
      <c r="I1926">
        <v>1</v>
      </c>
      <c r="J1926" t="str" cm="1">
        <f t="array" ref="J1926">_xlfn.IFS(I1926&lt;=3,"small",I1926&lt;=6,"Medium",I1926&lt;=9,"Large")</f>
        <v>small</v>
      </c>
      <c r="K1926" s="36">
        <v>44974</v>
      </c>
      <c r="L1926" s="36">
        <v>44981</v>
      </c>
      <c r="M1926" t="s">
        <v>603</v>
      </c>
      <c r="N1926" t="s">
        <v>599</v>
      </c>
      <c r="O1926" s="37" t="str">
        <f t="shared" si="153"/>
        <v>Digital Payment</v>
      </c>
      <c r="P1926">
        <v>258.27999999999997</v>
      </c>
      <c r="Q1926" s="37" t="str">
        <f>IF(P1926&gt;500,"High","low")</f>
        <v>low</v>
      </c>
      <c r="R1926" s="37" t="str">
        <f t="shared" si="154"/>
        <v>AVERAGE</v>
      </c>
      <c r="S1926" t="s">
        <v>609</v>
      </c>
    </row>
    <row r="1927" spans="1:19" x14ac:dyDescent="0.2">
      <c r="A1927" t="s">
        <v>2538</v>
      </c>
      <c r="B1927" t="s">
        <v>75</v>
      </c>
      <c r="C1927" t="s">
        <v>607</v>
      </c>
      <c r="D1927">
        <v>894.51</v>
      </c>
      <c r="E1927" s="37" t="str">
        <f t="shared" si="150"/>
        <v xml:space="preserve"> </v>
      </c>
      <c r="F1927">
        <v>0.27</v>
      </c>
      <c r="G1927" s="37" t="str">
        <f t="shared" si="151"/>
        <v>Normal Discount</v>
      </c>
      <c r="H1927" s="37" t="str">
        <f t="shared" si="152"/>
        <v>Medium</v>
      </c>
      <c r="I1927">
        <v>1</v>
      </c>
      <c r="J1927" t="str" cm="1">
        <f t="array" ref="J1927">_xlfn.IFS(I1927&lt;=3,"small",I1927&lt;=6,"Medium",I1927&lt;=9,"Large")</f>
        <v>small</v>
      </c>
      <c r="K1927" s="36">
        <v>45102</v>
      </c>
      <c r="L1927" s="36">
        <v>45107</v>
      </c>
      <c r="M1927" t="s">
        <v>612</v>
      </c>
      <c r="N1927" t="s">
        <v>608</v>
      </c>
      <c r="O1927" s="37" t="str">
        <f t="shared" si="153"/>
        <v>Cash Payment</v>
      </c>
      <c r="P1927">
        <v>242.35</v>
      </c>
      <c r="Q1927" s="37" t="str">
        <f>IF(P1927&gt;500,"High","low")</f>
        <v>low</v>
      </c>
      <c r="R1927" s="37" t="str">
        <f t="shared" si="154"/>
        <v>AVERAGE</v>
      </c>
      <c r="S1927" t="s">
        <v>605</v>
      </c>
    </row>
    <row r="1928" spans="1:19" x14ac:dyDescent="0.2">
      <c r="A1928" t="s">
        <v>2539</v>
      </c>
      <c r="B1928" t="s">
        <v>75</v>
      </c>
      <c r="C1928" t="s">
        <v>617</v>
      </c>
      <c r="D1928">
        <v>2781.2</v>
      </c>
      <c r="E1928" s="37" t="str">
        <f t="shared" si="150"/>
        <v xml:space="preserve"> </v>
      </c>
      <c r="F1928">
        <v>0.18</v>
      </c>
      <c r="G1928" s="37" t="str">
        <f t="shared" si="151"/>
        <v>Normal Discount</v>
      </c>
      <c r="H1928" s="37" t="str">
        <f t="shared" si="152"/>
        <v>Low</v>
      </c>
      <c r="I1928">
        <v>9</v>
      </c>
      <c r="J1928" t="str" cm="1">
        <f t="array" ref="J1928">_xlfn.IFS(I1928&lt;=3,"small",I1928&lt;=6,"Medium",I1928&lt;=9,"Large")</f>
        <v>Large</v>
      </c>
      <c r="K1928" s="36">
        <v>45325</v>
      </c>
      <c r="L1928" s="36">
        <v>45331</v>
      </c>
      <c r="M1928" t="s">
        <v>603</v>
      </c>
      <c r="N1928" t="s">
        <v>608</v>
      </c>
      <c r="O1928" s="37" t="str">
        <f t="shared" si="153"/>
        <v>Cash Payment</v>
      </c>
      <c r="P1928">
        <v>803.29</v>
      </c>
      <c r="Q1928" s="37" t="str">
        <f>IF(P1928&gt;500,"High","low")</f>
        <v>High</v>
      </c>
      <c r="R1928" s="37" t="str">
        <f t="shared" si="154"/>
        <v>Good</v>
      </c>
      <c r="S1928" t="s">
        <v>609</v>
      </c>
    </row>
    <row r="1929" spans="1:19" x14ac:dyDescent="0.2">
      <c r="A1929" t="s">
        <v>2540</v>
      </c>
      <c r="B1929" t="s">
        <v>90</v>
      </c>
      <c r="C1929" t="s">
        <v>602</v>
      </c>
      <c r="D1929">
        <v>3331.25</v>
      </c>
      <c r="E1929" s="37" t="str">
        <f t="shared" si="150"/>
        <v xml:space="preserve"> </v>
      </c>
      <c r="F1929">
        <v>0.48</v>
      </c>
      <c r="G1929" s="37" t="str">
        <f t="shared" si="151"/>
        <v>Heavy Discount</v>
      </c>
      <c r="H1929" s="37" t="str">
        <f t="shared" si="152"/>
        <v>High</v>
      </c>
      <c r="I1929">
        <v>4</v>
      </c>
      <c r="J1929" t="str" cm="1">
        <f t="array" ref="J1929">_xlfn.IFS(I1929&lt;=3,"small",I1929&lt;=6,"Medium",I1929&lt;=9,"Large")</f>
        <v>Medium</v>
      </c>
      <c r="K1929" s="36">
        <v>44971</v>
      </c>
      <c r="L1929" s="36">
        <v>44973</v>
      </c>
      <c r="M1929" t="s">
        <v>612</v>
      </c>
      <c r="N1929" t="s">
        <v>608</v>
      </c>
      <c r="O1929" s="37" t="str">
        <f t="shared" si="153"/>
        <v>Cash Payment</v>
      </c>
      <c r="P1929">
        <v>318.72000000000003</v>
      </c>
      <c r="Q1929" s="37" t="str">
        <f>IF(P1929&gt;500,"High","low")</f>
        <v>low</v>
      </c>
      <c r="R1929" s="37" t="str">
        <f t="shared" si="154"/>
        <v>AVERAGE</v>
      </c>
      <c r="S1929" t="s">
        <v>620</v>
      </c>
    </row>
    <row r="1930" spans="1:19" x14ac:dyDescent="0.2">
      <c r="A1930" t="s">
        <v>2541</v>
      </c>
      <c r="B1930" t="s">
        <v>67</v>
      </c>
      <c r="C1930" t="s">
        <v>614</v>
      </c>
      <c r="D1930">
        <v>4813.3599999999997</v>
      </c>
      <c r="E1930" s="37" t="str">
        <f t="shared" si="150"/>
        <v xml:space="preserve"> </v>
      </c>
      <c r="F1930">
        <v>0.27</v>
      </c>
      <c r="G1930" s="37" t="str">
        <f t="shared" si="151"/>
        <v>Normal Discount</v>
      </c>
      <c r="H1930" s="37" t="str">
        <f t="shared" si="152"/>
        <v>Medium</v>
      </c>
      <c r="I1930">
        <v>3</v>
      </c>
      <c r="J1930" t="str" cm="1">
        <f t="array" ref="J1930">_xlfn.IFS(I1930&lt;=3,"small",I1930&lt;=6,"Medium",I1930&lt;=9,"Large")</f>
        <v>small</v>
      </c>
      <c r="K1930" s="36">
        <v>45184</v>
      </c>
      <c r="L1930" s="36">
        <v>45186</v>
      </c>
      <c r="M1930" t="s">
        <v>598</v>
      </c>
      <c r="N1930" t="s">
        <v>608</v>
      </c>
      <c r="O1930" s="37" t="str">
        <f t="shared" si="153"/>
        <v>Cash Payment</v>
      </c>
      <c r="P1930">
        <v>748.84</v>
      </c>
      <c r="Q1930" s="37" t="str">
        <f>IF(P1930&gt;500,"High","low")</f>
        <v>High</v>
      </c>
      <c r="R1930" s="37" t="str">
        <f t="shared" si="154"/>
        <v>Good</v>
      </c>
      <c r="S1930" t="s">
        <v>615</v>
      </c>
    </row>
    <row r="1931" spans="1:19" x14ac:dyDescent="0.2">
      <c r="A1931" t="s">
        <v>2542</v>
      </c>
      <c r="B1931" t="s">
        <v>90</v>
      </c>
      <c r="C1931" t="s">
        <v>614</v>
      </c>
      <c r="D1931">
        <v>2167.46</v>
      </c>
      <c r="E1931" s="37" t="str">
        <f t="shared" si="150"/>
        <v xml:space="preserve"> </v>
      </c>
      <c r="F1931">
        <v>0.01</v>
      </c>
      <c r="G1931" s="37" t="str">
        <f t="shared" si="151"/>
        <v>Normal Discount</v>
      </c>
      <c r="H1931" s="37" t="str">
        <f t="shared" si="152"/>
        <v>Low</v>
      </c>
      <c r="I1931">
        <v>5</v>
      </c>
      <c r="J1931" t="str" cm="1">
        <f t="array" ref="J1931">_xlfn.IFS(I1931&lt;=3,"small",I1931&lt;=6,"Medium",I1931&lt;=9,"Large")</f>
        <v>Medium</v>
      </c>
      <c r="K1931" s="36">
        <v>45240</v>
      </c>
      <c r="L1931" s="36">
        <v>45247</v>
      </c>
      <c r="M1931" t="s">
        <v>598</v>
      </c>
      <c r="N1931" t="s">
        <v>608</v>
      </c>
      <c r="O1931" s="37" t="str">
        <f t="shared" si="153"/>
        <v>Cash Payment</v>
      </c>
      <c r="P1931">
        <v>339.98</v>
      </c>
      <c r="Q1931" s="37" t="str">
        <f>IF(P1931&gt;500,"High","low")</f>
        <v>low</v>
      </c>
      <c r="R1931" s="37" t="str">
        <f t="shared" si="154"/>
        <v>AVERAGE</v>
      </c>
      <c r="S1931" t="s">
        <v>605</v>
      </c>
    </row>
    <row r="1932" spans="1:19" x14ac:dyDescent="0.2">
      <c r="A1932" t="s">
        <v>2543</v>
      </c>
      <c r="B1932" t="s">
        <v>67</v>
      </c>
      <c r="C1932" t="s">
        <v>617</v>
      </c>
      <c r="D1932">
        <v>3848.2</v>
      </c>
      <c r="E1932" s="37" t="str">
        <f t="shared" si="150"/>
        <v xml:space="preserve"> </v>
      </c>
      <c r="F1932">
        <v>0.24</v>
      </c>
      <c r="G1932" s="37" t="str">
        <f t="shared" si="151"/>
        <v>Normal Discount</v>
      </c>
      <c r="H1932" s="37" t="str">
        <f t="shared" si="152"/>
        <v>Medium</v>
      </c>
      <c r="I1932">
        <v>9</v>
      </c>
      <c r="J1932" t="str" cm="1">
        <f t="array" ref="J1932">_xlfn.IFS(I1932&lt;=3,"small",I1932&lt;=6,"Medium",I1932&lt;=9,"Large")</f>
        <v>Large</v>
      </c>
      <c r="K1932" s="36">
        <v>45092</v>
      </c>
      <c r="L1932" s="36">
        <v>45094</v>
      </c>
      <c r="M1932" t="s">
        <v>612</v>
      </c>
      <c r="N1932" t="s">
        <v>608</v>
      </c>
      <c r="O1932" s="37" t="str">
        <f t="shared" si="153"/>
        <v>Cash Payment</v>
      </c>
      <c r="P1932">
        <v>310.79000000000002</v>
      </c>
      <c r="Q1932" s="37" t="str">
        <f>IF(P1932&gt;500,"High","low")</f>
        <v>low</v>
      </c>
      <c r="R1932" s="37" t="str">
        <f t="shared" si="154"/>
        <v>AVERAGE</v>
      </c>
      <c r="S1932" t="s">
        <v>628</v>
      </c>
    </row>
    <row r="1933" spans="1:19" x14ac:dyDescent="0.2">
      <c r="A1933" t="s">
        <v>2544</v>
      </c>
      <c r="B1933" t="s">
        <v>67</v>
      </c>
      <c r="C1933" t="s">
        <v>597</v>
      </c>
      <c r="D1933">
        <v>670.95</v>
      </c>
      <c r="E1933" s="37" t="str">
        <f t="shared" si="150"/>
        <v xml:space="preserve"> </v>
      </c>
      <c r="F1933">
        <v>0</v>
      </c>
      <c r="G1933" s="37" t="str">
        <f t="shared" si="151"/>
        <v>Normal Discount</v>
      </c>
      <c r="H1933" s="37" t="str">
        <f t="shared" si="152"/>
        <v>Low</v>
      </c>
      <c r="I1933">
        <v>9</v>
      </c>
      <c r="J1933" t="str" cm="1">
        <f t="array" ref="J1933">_xlfn.IFS(I1933&lt;=3,"small",I1933&lt;=6,"Medium",I1933&lt;=9,"Large")</f>
        <v>Large</v>
      </c>
      <c r="K1933" s="36">
        <v>45441</v>
      </c>
      <c r="L1933" s="36">
        <v>45448</v>
      </c>
      <c r="M1933" t="s">
        <v>612</v>
      </c>
      <c r="N1933" t="s">
        <v>604</v>
      </c>
      <c r="O1933" s="37" t="str">
        <f t="shared" si="153"/>
        <v>Digital Payment</v>
      </c>
      <c r="P1933">
        <v>192.08</v>
      </c>
      <c r="Q1933" s="37" t="str">
        <f>IF(P1933&gt;500,"High","low")</f>
        <v>low</v>
      </c>
      <c r="R1933" s="37" t="str">
        <f t="shared" si="154"/>
        <v>AVERAGE</v>
      </c>
      <c r="S1933" t="s">
        <v>628</v>
      </c>
    </row>
    <row r="1934" spans="1:19" x14ac:dyDescent="0.2">
      <c r="A1934" t="s">
        <v>2545</v>
      </c>
      <c r="B1934" t="s">
        <v>75</v>
      </c>
      <c r="C1934" t="s">
        <v>597</v>
      </c>
      <c r="D1934">
        <v>4459.08</v>
      </c>
      <c r="E1934" s="37" t="str">
        <f t="shared" si="150"/>
        <v xml:space="preserve"> </v>
      </c>
      <c r="F1934">
        <v>0.37</v>
      </c>
      <c r="G1934" s="37" t="str">
        <f t="shared" si="151"/>
        <v>Heavy Discount</v>
      </c>
      <c r="H1934" s="37" t="str">
        <f t="shared" si="152"/>
        <v>Medium</v>
      </c>
      <c r="I1934">
        <v>3</v>
      </c>
      <c r="J1934" t="str" cm="1">
        <f t="array" ref="J1934">_xlfn.IFS(I1934&lt;=3,"small",I1934&lt;=6,"Medium",I1934&lt;=9,"Large")</f>
        <v>small</v>
      </c>
      <c r="K1934" s="36">
        <v>45656</v>
      </c>
      <c r="L1934" s="36">
        <v>45659</v>
      </c>
      <c r="M1934" t="s">
        <v>598</v>
      </c>
      <c r="N1934" t="s">
        <v>608</v>
      </c>
      <c r="O1934" s="37" t="str">
        <f t="shared" si="153"/>
        <v>Cash Payment</v>
      </c>
      <c r="P1934">
        <v>627.32000000000005</v>
      </c>
      <c r="Q1934" s="37" t="str">
        <f>IF(P1934&gt;500,"High","low")</f>
        <v>High</v>
      </c>
      <c r="R1934" s="37" t="str">
        <f t="shared" si="154"/>
        <v>Good</v>
      </c>
      <c r="S1934" t="s">
        <v>605</v>
      </c>
    </row>
    <row r="1935" spans="1:19" x14ac:dyDescent="0.2">
      <c r="A1935" t="s">
        <v>2546</v>
      </c>
      <c r="B1935" t="s">
        <v>90</v>
      </c>
      <c r="C1935" t="s">
        <v>597</v>
      </c>
      <c r="D1935">
        <v>3202.23</v>
      </c>
      <c r="E1935" s="37" t="str">
        <f t="shared" si="150"/>
        <v xml:space="preserve"> </v>
      </c>
      <c r="F1935">
        <v>0.28000000000000003</v>
      </c>
      <c r="G1935" s="37" t="str">
        <f t="shared" si="151"/>
        <v>Normal Discount</v>
      </c>
      <c r="H1935" s="37" t="str">
        <f t="shared" si="152"/>
        <v>Medium</v>
      </c>
      <c r="I1935">
        <v>7</v>
      </c>
      <c r="J1935" t="str" cm="1">
        <f t="array" ref="J1935">_xlfn.IFS(I1935&lt;=3,"small",I1935&lt;=6,"Medium",I1935&lt;=9,"Large")</f>
        <v>Large</v>
      </c>
      <c r="K1935" s="36">
        <v>45407</v>
      </c>
      <c r="L1935" s="36">
        <v>45412</v>
      </c>
      <c r="M1935" t="s">
        <v>603</v>
      </c>
      <c r="N1935" t="s">
        <v>599</v>
      </c>
      <c r="O1935" s="37" t="str">
        <f t="shared" si="153"/>
        <v>Digital Payment</v>
      </c>
      <c r="P1935">
        <v>671.88</v>
      </c>
      <c r="Q1935" s="37" t="str">
        <f>IF(P1935&gt;500,"High","low")</f>
        <v>High</v>
      </c>
      <c r="R1935" s="37" t="str">
        <f t="shared" si="154"/>
        <v>Good</v>
      </c>
      <c r="S1935" t="s">
        <v>605</v>
      </c>
    </row>
    <row r="1936" spans="1:19" x14ac:dyDescent="0.2">
      <c r="A1936" t="s">
        <v>2547</v>
      </c>
      <c r="B1936" t="s">
        <v>90</v>
      </c>
      <c r="C1936" t="s">
        <v>597</v>
      </c>
      <c r="D1936">
        <v>3182.25</v>
      </c>
      <c r="E1936" s="37" t="str">
        <f t="shared" si="150"/>
        <v xml:space="preserve"> </v>
      </c>
      <c r="F1936">
        <v>0.05</v>
      </c>
      <c r="G1936" s="37" t="str">
        <f t="shared" si="151"/>
        <v>Normal Discount</v>
      </c>
      <c r="H1936" s="37" t="str">
        <f t="shared" si="152"/>
        <v>Low</v>
      </c>
      <c r="I1936">
        <v>3</v>
      </c>
      <c r="J1936" t="str" cm="1">
        <f t="array" ref="J1936">_xlfn.IFS(I1936&lt;=3,"small",I1936&lt;=6,"Medium",I1936&lt;=9,"Large")</f>
        <v>small</v>
      </c>
      <c r="K1936" s="36">
        <v>45398</v>
      </c>
      <c r="L1936" s="36">
        <v>45403</v>
      </c>
      <c r="M1936" t="s">
        <v>612</v>
      </c>
      <c r="N1936" t="s">
        <v>608</v>
      </c>
      <c r="O1936" s="37" t="str">
        <f t="shared" si="153"/>
        <v>Cash Payment</v>
      </c>
      <c r="P1936">
        <v>639.77</v>
      </c>
      <c r="Q1936" s="37" t="str">
        <f>IF(P1936&gt;500,"High","low")</f>
        <v>High</v>
      </c>
      <c r="R1936" s="37" t="str">
        <f t="shared" si="154"/>
        <v>Good</v>
      </c>
      <c r="S1936" t="s">
        <v>609</v>
      </c>
    </row>
    <row r="1937" spans="1:19" x14ac:dyDescent="0.2">
      <c r="A1937" t="s">
        <v>2548</v>
      </c>
      <c r="B1937" t="s">
        <v>67</v>
      </c>
      <c r="C1937" t="s">
        <v>597</v>
      </c>
      <c r="D1937">
        <v>797.97</v>
      </c>
      <c r="E1937" s="37" t="str">
        <f t="shared" si="150"/>
        <v xml:space="preserve"> </v>
      </c>
      <c r="F1937">
        <v>0.41</v>
      </c>
      <c r="G1937" s="37" t="str">
        <f t="shared" si="151"/>
        <v>Heavy Discount</v>
      </c>
      <c r="H1937" s="37" t="str">
        <f t="shared" si="152"/>
        <v>High</v>
      </c>
      <c r="I1937">
        <v>3</v>
      </c>
      <c r="J1937" t="str" cm="1">
        <f t="array" ref="J1937">_xlfn.IFS(I1937&lt;=3,"small",I1937&lt;=6,"Medium",I1937&lt;=9,"Large")</f>
        <v>small</v>
      </c>
      <c r="K1937" s="36">
        <v>45625</v>
      </c>
      <c r="L1937" s="36">
        <v>45631</v>
      </c>
      <c r="M1937" t="s">
        <v>612</v>
      </c>
      <c r="N1937" t="s">
        <v>608</v>
      </c>
      <c r="O1937" s="37" t="str">
        <f t="shared" si="153"/>
        <v>Cash Payment</v>
      </c>
      <c r="P1937">
        <v>87.17</v>
      </c>
      <c r="Q1937" s="37" t="str">
        <f>IF(P1937&gt;500,"High","low")</f>
        <v>low</v>
      </c>
      <c r="R1937" s="37" t="str">
        <f t="shared" si="154"/>
        <v>AVERAGE</v>
      </c>
      <c r="S1937" t="s">
        <v>600</v>
      </c>
    </row>
    <row r="1938" spans="1:19" x14ac:dyDescent="0.2">
      <c r="A1938" t="s">
        <v>2549</v>
      </c>
      <c r="B1938" t="s">
        <v>90</v>
      </c>
      <c r="C1938" t="s">
        <v>617</v>
      </c>
      <c r="D1938">
        <v>293.95999999999998</v>
      </c>
      <c r="E1938" s="37" t="str">
        <f t="shared" si="150"/>
        <v xml:space="preserve"> </v>
      </c>
      <c r="F1938">
        <v>0.27</v>
      </c>
      <c r="G1938" s="37" t="str">
        <f t="shared" si="151"/>
        <v>Normal Discount</v>
      </c>
      <c r="H1938" s="37" t="str">
        <f t="shared" si="152"/>
        <v>Medium</v>
      </c>
      <c r="I1938">
        <v>4</v>
      </c>
      <c r="J1938" t="str" cm="1">
        <f t="array" ref="J1938">_xlfn.IFS(I1938&lt;=3,"small",I1938&lt;=6,"Medium",I1938&lt;=9,"Large")</f>
        <v>Medium</v>
      </c>
      <c r="K1938" s="36">
        <v>45535</v>
      </c>
      <c r="L1938" s="36">
        <v>45540</v>
      </c>
      <c r="M1938" t="s">
        <v>612</v>
      </c>
      <c r="N1938" t="s">
        <v>599</v>
      </c>
      <c r="O1938" s="37" t="str">
        <f t="shared" si="153"/>
        <v>Digital Payment</v>
      </c>
      <c r="P1938">
        <v>56.75</v>
      </c>
      <c r="Q1938" s="37" t="str">
        <f>IF(P1938&gt;500,"High","low")</f>
        <v>low</v>
      </c>
      <c r="R1938" s="37" t="str">
        <f t="shared" si="154"/>
        <v>AVERAGE</v>
      </c>
      <c r="S1938" t="s">
        <v>609</v>
      </c>
    </row>
    <row r="1939" spans="1:19" x14ac:dyDescent="0.2">
      <c r="A1939" t="s">
        <v>2550</v>
      </c>
      <c r="B1939" t="s">
        <v>83</v>
      </c>
      <c r="C1939" t="s">
        <v>607</v>
      </c>
      <c r="D1939">
        <v>3537.1</v>
      </c>
      <c r="E1939" s="37" t="str">
        <f t="shared" si="150"/>
        <v xml:space="preserve"> </v>
      </c>
      <c r="F1939">
        <v>0.06</v>
      </c>
      <c r="G1939" s="37" t="str">
        <f t="shared" si="151"/>
        <v>Normal Discount</v>
      </c>
      <c r="H1939" s="37" t="str">
        <f t="shared" si="152"/>
        <v>Low</v>
      </c>
      <c r="I1939">
        <v>2</v>
      </c>
      <c r="J1939" t="str" cm="1">
        <f t="array" ref="J1939">_xlfn.IFS(I1939&lt;=3,"small",I1939&lt;=6,"Medium",I1939&lt;=9,"Large")</f>
        <v>small</v>
      </c>
      <c r="K1939" s="36">
        <v>45117</v>
      </c>
      <c r="L1939" s="36">
        <v>45123</v>
      </c>
      <c r="M1939" t="s">
        <v>603</v>
      </c>
      <c r="N1939" t="s">
        <v>608</v>
      </c>
      <c r="O1939" s="37" t="str">
        <f t="shared" si="153"/>
        <v>Cash Payment</v>
      </c>
      <c r="P1939">
        <v>403.52</v>
      </c>
      <c r="Q1939" s="37" t="str">
        <f>IF(P1939&gt;500,"High","low")</f>
        <v>low</v>
      </c>
      <c r="R1939" s="37" t="str">
        <f t="shared" si="154"/>
        <v>AVERAGE</v>
      </c>
      <c r="S1939" t="s">
        <v>628</v>
      </c>
    </row>
    <row r="1940" spans="1:19" x14ac:dyDescent="0.2">
      <c r="A1940" t="s">
        <v>2551</v>
      </c>
      <c r="B1940" t="s">
        <v>83</v>
      </c>
      <c r="C1940" t="s">
        <v>602</v>
      </c>
      <c r="D1940">
        <v>673.58</v>
      </c>
      <c r="E1940" s="37" t="str">
        <f t="shared" si="150"/>
        <v xml:space="preserve"> </v>
      </c>
      <c r="F1940">
        <v>0.08</v>
      </c>
      <c r="G1940" s="37" t="str">
        <f t="shared" si="151"/>
        <v>Normal Discount</v>
      </c>
      <c r="H1940" s="37" t="str">
        <f t="shared" si="152"/>
        <v>Low</v>
      </c>
      <c r="I1940">
        <v>6</v>
      </c>
      <c r="J1940" t="str" cm="1">
        <f t="array" ref="J1940">_xlfn.IFS(I1940&lt;=3,"small",I1940&lt;=6,"Medium",I1940&lt;=9,"Large")</f>
        <v>Medium</v>
      </c>
      <c r="K1940" s="36">
        <v>44969</v>
      </c>
      <c r="L1940" s="36">
        <v>44972</v>
      </c>
      <c r="M1940" t="s">
        <v>598</v>
      </c>
      <c r="N1940" t="s">
        <v>604</v>
      </c>
      <c r="O1940" s="37" t="str">
        <f t="shared" si="153"/>
        <v>Digital Payment</v>
      </c>
      <c r="P1940">
        <v>81.819999999999993</v>
      </c>
      <c r="Q1940" s="37" t="str">
        <f>IF(P1940&gt;500,"High","low")</f>
        <v>low</v>
      </c>
      <c r="R1940" s="37" t="str">
        <f t="shared" si="154"/>
        <v>AVERAGE</v>
      </c>
      <c r="S1940" t="s">
        <v>628</v>
      </c>
    </row>
    <row r="1941" spans="1:19" x14ac:dyDescent="0.2">
      <c r="A1941" t="s">
        <v>2552</v>
      </c>
      <c r="B1941" t="s">
        <v>90</v>
      </c>
      <c r="C1941" t="s">
        <v>597</v>
      </c>
      <c r="D1941">
        <v>722.15</v>
      </c>
      <c r="E1941" s="37" t="str">
        <f t="shared" si="150"/>
        <v xml:space="preserve"> </v>
      </c>
      <c r="F1941">
        <v>0.41</v>
      </c>
      <c r="G1941" s="37" t="str">
        <f t="shared" si="151"/>
        <v>Heavy Discount</v>
      </c>
      <c r="H1941" s="37" t="str">
        <f t="shared" si="152"/>
        <v>High</v>
      </c>
      <c r="I1941">
        <v>5</v>
      </c>
      <c r="J1941" t="str" cm="1">
        <f t="array" ref="J1941">_xlfn.IFS(I1941&lt;=3,"small",I1941&lt;=6,"Medium",I1941&lt;=9,"Large")</f>
        <v>Medium</v>
      </c>
      <c r="K1941" s="36">
        <v>45609</v>
      </c>
      <c r="L1941" s="36">
        <v>45614</v>
      </c>
      <c r="M1941" t="s">
        <v>612</v>
      </c>
      <c r="N1941" t="s">
        <v>604</v>
      </c>
      <c r="O1941" s="37" t="str">
        <f t="shared" si="153"/>
        <v>Digital Payment</v>
      </c>
      <c r="P1941">
        <v>135.49</v>
      </c>
      <c r="Q1941" s="37" t="str">
        <f>IF(P1941&gt;500,"High","low")</f>
        <v>low</v>
      </c>
      <c r="R1941" s="37" t="str">
        <f t="shared" si="154"/>
        <v>AVERAGE</v>
      </c>
      <c r="S1941" t="s">
        <v>628</v>
      </c>
    </row>
    <row r="1942" spans="1:19" x14ac:dyDescent="0.2">
      <c r="A1942" t="s">
        <v>2553</v>
      </c>
      <c r="B1942" t="s">
        <v>90</v>
      </c>
      <c r="C1942" t="s">
        <v>607</v>
      </c>
      <c r="D1942">
        <v>1018.75</v>
      </c>
      <c r="E1942" s="37" t="str">
        <f t="shared" si="150"/>
        <v xml:space="preserve"> </v>
      </c>
      <c r="F1942">
        <v>0.18</v>
      </c>
      <c r="G1942" s="37" t="str">
        <f t="shared" si="151"/>
        <v>Normal Discount</v>
      </c>
      <c r="H1942" s="37" t="str">
        <f t="shared" si="152"/>
        <v>Low</v>
      </c>
      <c r="I1942">
        <v>2</v>
      </c>
      <c r="J1942" t="str" cm="1">
        <f t="array" ref="J1942">_xlfn.IFS(I1942&lt;=3,"small",I1942&lt;=6,"Medium",I1942&lt;=9,"Large")</f>
        <v>small</v>
      </c>
      <c r="K1942" s="36">
        <v>45163</v>
      </c>
      <c r="L1942" s="36">
        <v>45169</v>
      </c>
      <c r="M1942" t="s">
        <v>603</v>
      </c>
      <c r="N1942" t="s">
        <v>599</v>
      </c>
      <c r="O1942" s="37" t="str">
        <f t="shared" si="153"/>
        <v>Digital Payment</v>
      </c>
      <c r="P1942">
        <v>167.29</v>
      </c>
      <c r="Q1942" s="37" t="str">
        <f>IF(P1942&gt;500,"High","low")</f>
        <v>low</v>
      </c>
      <c r="R1942" s="37" t="str">
        <f t="shared" si="154"/>
        <v>AVERAGE</v>
      </c>
      <c r="S1942" t="s">
        <v>609</v>
      </c>
    </row>
    <row r="1943" spans="1:19" x14ac:dyDescent="0.2">
      <c r="A1943" t="s">
        <v>2554</v>
      </c>
      <c r="B1943" t="s">
        <v>67</v>
      </c>
      <c r="C1943" t="s">
        <v>614</v>
      </c>
      <c r="D1943">
        <v>578.96</v>
      </c>
      <c r="E1943" s="37" t="str">
        <f t="shared" si="150"/>
        <v xml:space="preserve"> </v>
      </c>
      <c r="F1943">
        <v>0.41</v>
      </c>
      <c r="G1943" s="37" t="str">
        <f t="shared" si="151"/>
        <v>Heavy Discount</v>
      </c>
      <c r="H1943" s="37" t="str">
        <f t="shared" si="152"/>
        <v>High</v>
      </c>
      <c r="I1943">
        <v>2</v>
      </c>
      <c r="J1943" t="str" cm="1">
        <f t="array" ref="J1943">_xlfn.IFS(I1943&lt;=3,"small",I1943&lt;=6,"Medium",I1943&lt;=9,"Large")</f>
        <v>small</v>
      </c>
      <c r="K1943" s="36">
        <v>45627</v>
      </c>
      <c r="L1943" s="36">
        <v>45628</v>
      </c>
      <c r="M1943" t="s">
        <v>598</v>
      </c>
      <c r="N1943" t="s">
        <v>608</v>
      </c>
      <c r="O1943" s="37" t="str">
        <f t="shared" si="153"/>
        <v>Cash Payment</v>
      </c>
      <c r="P1943">
        <v>90.21</v>
      </c>
      <c r="Q1943" s="37" t="str">
        <f>IF(P1943&gt;500,"High","low")</f>
        <v>low</v>
      </c>
      <c r="R1943" s="37" t="str">
        <f t="shared" si="154"/>
        <v>AVERAGE</v>
      </c>
      <c r="S1943" t="s">
        <v>609</v>
      </c>
    </row>
    <row r="1944" spans="1:19" x14ac:dyDescent="0.2">
      <c r="A1944" t="s">
        <v>2555</v>
      </c>
      <c r="B1944" t="s">
        <v>83</v>
      </c>
      <c r="C1944" t="s">
        <v>617</v>
      </c>
      <c r="D1944">
        <v>3164.42</v>
      </c>
      <c r="E1944" s="37" t="str">
        <f t="shared" si="150"/>
        <v xml:space="preserve"> </v>
      </c>
      <c r="F1944">
        <v>0.03</v>
      </c>
      <c r="G1944" s="37" t="str">
        <f t="shared" si="151"/>
        <v>Normal Discount</v>
      </c>
      <c r="H1944" s="37" t="str">
        <f t="shared" si="152"/>
        <v>Low</v>
      </c>
      <c r="I1944">
        <v>2</v>
      </c>
      <c r="J1944" t="str" cm="1">
        <f t="array" ref="J1944">_xlfn.IFS(I1944&lt;=3,"small",I1944&lt;=6,"Medium",I1944&lt;=9,"Large")</f>
        <v>small</v>
      </c>
      <c r="K1944" s="36">
        <v>45458</v>
      </c>
      <c r="L1944" s="36">
        <v>45463</v>
      </c>
      <c r="M1944" t="s">
        <v>603</v>
      </c>
      <c r="N1944" t="s">
        <v>599</v>
      </c>
      <c r="O1944" s="37" t="str">
        <f t="shared" si="153"/>
        <v>Digital Payment</v>
      </c>
      <c r="P1944">
        <v>469.39</v>
      </c>
      <c r="Q1944" s="37" t="str">
        <f>IF(P1944&gt;500,"High","low")</f>
        <v>low</v>
      </c>
      <c r="R1944" s="37" t="str">
        <f t="shared" si="154"/>
        <v>AVERAGE</v>
      </c>
      <c r="S1944" t="s">
        <v>620</v>
      </c>
    </row>
    <row r="1945" spans="1:19" x14ac:dyDescent="0.2">
      <c r="A1945" t="s">
        <v>2556</v>
      </c>
      <c r="B1945" t="s">
        <v>83</v>
      </c>
      <c r="C1945" t="s">
        <v>607</v>
      </c>
      <c r="D1945">
        <v>2167.8200000000002</v>
      </c>
      <c r="E1945" s="37" t="str">
        <f t="shared" si="150"/>
        <v xml:space="preserve"> </v>
      </c>
      <c r="F1945">
        <v>0.12</v>
      </c>
      <c r="G1945" s="37" t="str">
        <f t="shared" si="151"/>
        <v>Normal Discount</v>
      </c>
      <c r="H1945" s="37" t="str">
        <f t="shared" si="152"/>
        <v>Low</v>
      </c>
      <c r="I1945">
        <v>4</v>
      </c>
      <c r="J1945" t="str" cm="1">
        <f t="array" ref="J1945">_xlfn.IFS(I1945&lt;=3,"small",I1945&lt;=6,"Medium",I1945&lt;=9,"Large")</f>
        <v>Medium</v>
      </c>
      <c r="K1945" s="36">
        <v>45611</v>
      </c>
      <c r="L1945" s="36">
        <v>45618</v>
      </c>
      <c r="M1945" t="s">
        <v>603</v>
      </c>
      <c r="N1945" t="s">
        <v>608</v>
      </c>
      <c r="O1945" s="37" t="str">
        <f t="shared" si="153"/>
        <v>Cash Payment</v>
      </c>
      <c r="P1945">
        <v>517.4</v>
      </c>
      <c r="Q1945" s="37" t="str">
        <f>IF(P1945&gt;500,"High","low")</f>
        <v>High</v>
      </c>
      <c r="R1945" s="37" t="str">
        <f t="shared" si="154"/>
        <v>Good</v>
      </c>
      <c r="S1945" t="s">
        <v>605</v>
      </c>
    </row>
    <row r="1946" spans="1:19" x14ac:dyDescent="0.2">
      <c r="A1946" t="s">
        <v>2557</v>
      </c>
      <c r="B1946" t="s">
        <v>75</v>
      </c>
      <c r="C1946" t="s">
        <v>597</v>
      </c>
      <c r="D1946">
        <v>1403.87</v>
      </c>
      <c r="E1946" s="37" t="str">
        <f t="shared" si="150"/>
        <v xml:space="preserve"> </v>
      </c>
      <c r="F1946">
        <v>0.38</v>
      </c>
      <c r="G1946" s="37" t="str">
        <f t="shared" si="151"/>
        <v>Heavy Discount</v>
      </c>
      <c r="H1946" s="37" t="str">
        <f t="shared" si="152"/>
        <v>Medium</v>
      </c>
      <c r="I1946">
        <v>3</v>
      </c>
      <c r="J1946" t="str" cm="1">
        <f t="array" ref="J1946">_xlfn.IFS(I1946&lt;=3,"small",I1946&lt;=6,"Medium",I1946&lt;=9,"Large")</f>
        <v>small</v>
      </c>
      <c r="K1946" s="36">
        <v>45583</v>
      </c>
      <c r="L1946" s="36">
        <v>45588</v>
      </c>
      <c r="M1946" t="s">
        <v>612</v>
      </c>
      <c r="N1946" t="s">
        <v>608</v>
      </c>
      <c r="O1946" s="37" t="str">
        <f t="shared" si="153"/>
        <v>Cash Payment</v>
      </c>
      <c r="P1946">
        <v>168.78</v>
      </c>
      <c r="Q1946" s="37" t="str">
        <f>IF(P1946&gt;500,"High","low")</f>
        <v>low</v>
      </c>
      <c r="R1946" s="37" t="str">
        <f t="shared" si="154"/>
        <v>AVERAGE</v>
      </c>
      <c r="S1946" t="s">
        <v>605</v>
      </c>
    </row>
    <row r="1947" spans="1:19" x14ac:dyDescent="0.2">
      <c r="A1947" t="s">
        <v>2558</v>
      </c>
      <c r="B1947" t="s">
        <v>67</v>
      </c>
      <c r="C1947" t="s">
        <v>597</v>
      </c>
      <c r="D1947">
        <v>2259.67</v>
      </c>
      <c r="E1947" s="37" t="str">
        <f t="shared" si="150"/>
        <v xml:space="preserve"> </v>
      </c>
      <c r="F1947">
        <v>0.32</v>
      </c>
      <c r="G1947" s="37" t="str">
        <f t="shared" si="151"/>
        <v>Heavy Discount</v>
      </c>
      <c r="H1947" s="37" t="str">
        <f t="shared" si="152"/>
        <v>Medium</v>
      </c>
      <c r="I1947">
        <v>9</v>
      </c>
      <c r="J1947" t="str" cm="1">
        <f t="array" ref="J1947">_xlfn.IFS(I1947&lt;=3,"small",I1947&lt;=6,"Medium",I1947&lt;=9,"Large")</f>
        <v>Large</v>
      </c>
      <c r="K1947" s="36">
        <v>45504</v>
      </c>
      <c r="L1947" s="36">
        <v>45506</v>
      </c>
      <c r="M1947" t="s">
        <v>598</v>
      </c>
      <c r="N1947" t="s">
        <v>608</v>
      </c>
      <c r="O1947" s="37" t="str">
        <f t="shared" si="153"/>
        <v>Cash Payment</v>
      </c>
      <c r="P1947">
        <v>289.61</v>
      </c>
      <c r="Q1947" s="37" t="str">
        <f>IF(P1947&gt;500,"High","low")</f>
        <v>low</v>
      </c>
      <c r="R1947" s="37" t="str">
        <f t="shared" si="154"/>
        <v>AVERAGE</v>
      </c>
      <c r="S1947" t="s">
        <v>628</v>
      </c>
    </row>
    <row r="1948" spans="1:19" x14ac:dyDescent="0.2">
      <c r="A1948" t="s">
        <v>2559</v>
      </c>
      <c r="B1948" t="s">
        <v>75</v>
      </c>
      <c r="C1948" t="s">
        <v>597</v>
      </c>
      <c r="D1948">
        <v>4236.29</v>
      </c>
      <c r="E1948" s="37" t="str">
        <f t="shared" si="150"/>
        <v>Excellent Order</v>
      </c>
      <c r="F1948">
        <v>0.15</v>
      </c>
      <c r="G1948" s="37" t="str">
        <f t="shared" si="151"/>
        <v>Normal Discount</v>
      </c>
      <c r="H1948" s="37" t="str">
        <f t="shared" si="152"/>
        <v>Low</v>
      </c>
      <c r="I1948">
        <v>5</v>
      </c>
      <c r="J1948" t="str" cm="1">
        <f t="array" ref="J1948">_xlfn.IFS(I1948&lt;=3,"small",I1948&lt;=6,"Medium",I1948&lt;=9,"Large")</f>
        <v>Medium</v>
      </c>
      <c r="K1948" s="36">
        <v>45152</v>
      </c>
      <c r="L1948" s="36">
        <v>45157</v>
      </c>
      <c r="M1948" t="s">
        <v>598</v>
      </c>
      <c r="N1948" t="s">
        <v>599</v>
      </c>
      <c r="O1948" s="37" t="str">
        <f t="shared" si="153"/>
        <v>Digital Payment</v>
      </c>
      <c r="P1948">
        <v>825.36</v>
      </c>
      <c r="Q1948" s="37" t="str">
        <f>IF(P1948&gt;500,"High","low")</f>
        <v>High</v>
      </c>
      <c r="R1948" s="37" t="str">
        <f t="shared" si="154"/>
        <v>Good</v>
      </c>
      <c r="S1948" t="s">
        <v>628</v>
      </c>
    </row>
    <row r="1949" spans="1:19" x14ac:dyDescent="0.2">
      <c r="A1949" t="s">
        <v>2560</v>
      </c>
      <c r="B1949" t="s">
        <v>83</v>
      </c>
      <c r="C1949" t="s">
        <v>607</v>
      </c>
      <c r="D1949">
        <v>4642.6899999999996</v>
      </c>
      <c r="E1949" s="37" t="str">
        <f t="shared" si="150"/>
        <v>Excellent Order</v>
      </c>
      <c r="F1949">
        <v>0.47</v>
      </c>
      <c r="G1949" s="37" t="str">
        <f t="shared" si="151"/>
        <v>Heavy Discount</v>
      </c>
      <c r="H1949" s="37" t="str">
        <f t="shared" si="152"/>
        <v>High</v>
      </c>
      <c r="I1949">
        <v>1</v>
      </c>
      <c r="J1949" t="str" cm="1">
        <f t="array" ref="J1949">_xlfn.IFS(I1949&lt;=3,"small",I1949&lt;=6,"Medium",I1949&lt;=9,"Large")</f>
        <v>small</v>
      </c>
      <c r="K1949" s="36">
        <v>45360</v>
      </c>
      <c r="L1949" s="36">
        <v>45367</v>
      </c>
      <c r="M1949" t="s">
        <v>603</v>
      </c>
      <c r="N1949" t="s">
        <v>604</v>
      </c>
      <c r="O1949" s="37" t="str">
        <f t="shared" si="153"/>
        <v>Digital Payment</v>
      </c>
      <c r="P1949">
        <v>1351.38</v>
      </c>
      <c r="Q1949" s="37" t="str">
        <f>IF(P1949&gt;500,"High","low")</f>
        <v>High</v>
      </c>
      <c r="R1949" s="37" t="str">
        <f t="shared" si="154"/>
        <v>Excellent</v>
      </c>
      <c r="S1949" t="s">
        <v>628</v>
      </c>
    </row>
    <row r="1950" spans="1:19" x14ac:dyDescent="0.2">
      <c r="A1950" t="s">
        <v>2561</v>
      </c>
      <c r="B1950" t="s">
        <v>67</v>
      </c>
      <c r="C1950" t="s">
        <v>597</v>
      </c>
      <c r="D1950">
        <v>2488.63</v>
      </c>
      <c r="E1950" s="37" t="str">
        <f t="shared" si="150"/>
        <v xml:space="preserve"> </v>
      </c>
      <c r="F1950">
        <v>0.11</v>
      </c>
      <c r="G1950" s="37" t="str">
        <f t="shared" si="151"/>
        <v>Normal Discount</v>
      </c>
      <c r="H1950" s="37" t="str">
        <f t="shared" si="152"/>
        <v>Low</v>
      </c>
      <c r="I1950">
        <v>2</v>
      </c>
      <c r="J1950" t="str" cm="1">
        <f t="array" ref="J1950">_xlfn.IFS(I1950&lt;=3,"small",I1950&lt;=6,"Medium",I1950&lt;=9,"Large")</f>
        <v>small</v>
      </c>
      <c r="K1950" s="36">
        <v>45380</v>
      </c>
      <c r="L1950" s="36">
        <v>45387</v>
      </c>
      <c r="M1950" t="s">
        <v>612</v>
      </c>
      <c r="N1950" t="s">
        <v>608</v>
      </c>
      <c r="O1950" s="37" t="str">
        <f t="shared" si="153"/>
        <v>Cash Payment</v>
      </c>
      <c r="P1950">
        <v>305.52999999999997</v>
      </c>
      <c r="Q1950" s="37" t="str">
        <f>IF(P1950&gt;500,"High","low")</f>
        <v>low</v>
      </c>
      <c r="R1950" s="37" t="str">
        <f t="shared" si="154"/>
        <v>AVERAGE</v>
      </c>
      <c r="S1950" t="s">
        <v>609</v>
      </c>
    </row>
    <row r="1951" spans="1:19" x14ac:dyDescent="0.2">
      <c r="A1951" t="s">
        <v>2562</v>
      </c>
      <c r="B1951" t="s">
        <v>90</v>
      </c>
      <c r="C1951" t="s">
        <v>607</v>
      </c>
      <c r="D1951">
        <v>2877.09</v>
      </c>
      <c r="E1951" s="37" t="str">
        <f t="shared" si="150"/>
        <v xml:space="preserve"> </v>
      </c>
      <c r="F1951">
        <v>0.42</v>
      </c>
      <c r="G1951" s="37" t="str">
        <f t="shared" si="151"/>
        <v>Heavy Discount</v>
      </c>
      <c r="H1951" s="37" t="str">
        <f t="shared" si="152"/>
        <v>High</v>
      </c>
      <c r="I1951">
        <v>7</v>
      </c>
      <c r="J1951" t="str" cm="1">
        <f t="array" ref="J1951">_xlfn.IFS(I1951&lt;=3,"small",I1951&lt;=6,"Medium",I1951&lt;=9,"Large")</f>
        <v>Large</v>
      </c>
      <c r="K1951" s="36">
        <v>45053</v>
      </c>
      <c r="L1951" s="36">
        <v>45057</v>
      </c>
      <c r="M1951" t="s">
        <v>603</v>
      </c>
      <c r="N1951" t="s">
        <v>599</v>
      </c>
      <c r="O1951" s="37" t="str">
        <f t="shared" si="153"/>
        <v>Digital Payment</v>
      </c>
      <c r="P1951">
        <v>443.1</v>
      </c>
      <c r="Q1951" s="37" t="str">
        <f>IF(P1951&gt;500,"High","low")</f>
        <v>low</v>
      </c>
      <c r="R1951" s="37" t="str">
        <f t="shared" si="154"/>
        <v>AVERAGE</v>
      </c>
      <c r="S1951" t="s">
        <v>628</v>
      </c>
    </row>
    <row r="1952" spans="1:19" x14ac:dyDescent="0.2">
      <c r="A1952" t="s">
        <v>2563</v>
      </c>
      <c r="B1952" t="s">
        <v>67</v>
      </c>
      <c r="C1952" t="s">
        <v>597</v>
      </c>
      <c r="D1952">
        <v>1360.28</v>
      </c>
      <c r="E1952" s="37" t="str">
        <f t="shared" si="150"/>
        <v xml:space="preserve"> </v>
      </c>
      <c r="F1952">
        <v>0.35</v>
      </c>
      <c r="G1952" s="37" t="str">
        <f t="shared" si="151"/>
        <v>Heavy Discount</v>
      </c>
      <c r="H1952" s="37" t="str">
        <f t="shared" si="152"/>
        <v>Medium</v>
      </c>
      <c r="I1952">
        <v>8</v>
      </c>
      <c r="J1952" t="str" cm="1">
        <f t="array" ref="J1952">_xlfn.IFS(I1952&lt;=3,"small",I1952&lt;=6,"Medium",I1952&lt;=9,"Large")</f>
        <v>Large</v>
      </c>
      <c r="K1952" s="36">
        <v>45568</v>
      </c>
      <c r="L1952" s="36">
        <v>45571</v>
      </c>
      <c r="M1952" t="s">
        <v>612</v>
      </c>
      <c r="N1952" t="s">
        <v>604</v>
      </c>
      <c r="O1952" s="37" t="str">
        <f t="shared" si="153"/>
        <v>Digital Payment</v>
      </c>
      <c r="P1952">
        <v>111.66</v>
      </c>
      <c r="Q1952" s="37" t="str">
        <f>IF(P1952&gt;500,"High","low")</f>
        <v>low</v>
      </c>
      <c r="R1952" s="37" t="str">
        <f t="shared" si="154"/>
        <v>AVERAGE</v>
      </c>
      <c r="S1952" t="s">
        <v>605</v>
      </c>
    </row>
    <row r="1953" spans="1:19" x14ac:dyDescent="0.2">
      <c r="A1953" t="s">
        <v>2564</v>
      </c>
      <c r="B1953" t="s">
        <v>90</v>
      </c>
      <c r="C1953" t="s">
        <v>614</v>
      </c>
      <c r="D1953">
        <v>2616.64</v>
      </c>
      <c r="E1953" s="37" t="str">
        <f t="shared" si="150"/>
        <v xml:space="preserve"> </v>
      </c>
      <c r="F1953">
        <v>0.06</v>
      </c>
      <c r="G1953" s="37" t="str">
        <f t="shared" si="151"/>
        <v>Normal Discount</v>
      </c>
      <c r="H1953" s="37" t="str">
        <f t="shared" si="152"/>
        <v>Low</v>
      </c>
      <c r="I1953">
        <v>6</v>
      </c>
      <c r="J1953" t="str" cm="1">
        <f t="array" ref="J1953">_xlfn.IFS(I1953&lt;=3,"small",I1953&lt;=6,"Medium",I1953&lt;=9,"Large")</f>
        <v>Medium</v>
      </c>
      <c r="K1953" s="36">
        <v>45353</v>
      </c>
      <c r="L1953" s="36">
        <v>45355</v>
      </c>
      <c r="M1953" t="s">
        <v>612</v>
      </c>
      <c r="N1953" t="s">
        <v>599</v>
      </c>
      <c r="O1953" s="37" t="str">
        <f t="shared" si="153"/>
        <v>Digital Payment</v>
      </c>
      <c r="P1953">
        <v>550.03</v>
      </c>
      <c r="Q1953" s="37" t="str">
        <f>IF(P1953&gt;500,"High","low")</f>
        <v>High</v>
      </c>
      <c r="R1953" s="37" t="str">
        <f t="shared" si="154"/>
        <v>Good</v>
      </c>
      <c r="S1953" t="s">
        <v>609</v>
      </c>
    </row>
    <row r="1954" spans="1:19" x14ac:dyDescent="0.2">
      <c r="A1954" t="s">
        <v>2565</v>
      </c>
      <c r="B1954" t="s">
        <v>90</v>
      </c>
      <c r="C1954" t="s">
        <v>614</v>
      </c>
      <c r="D1954">
        <v>3765.79</v>
      </c>
      <c r="E1954" s="37" t="str">
        <f t="shared" si="150"/>
        <v xml:space="preserve"> </v>
      </c>
      <c r="F1954">
        <v>0.28000000000000003</v>
      </c>
      <c r="G1954" s="37" t="str">
        <f t="shared" si="151"/>
        <v>Normal Discount</v>
      </c>
      <c r="H1954" s="37" t="str">
        <f t="shared" si="152"/>
        <v>Medium</v>
      </c>
      <c r="I1954">
        <v>7</v>
      </c>
      <c r="J1954" t="str" cm="1">
        <f t="array" ref="J1954">_xlfn.IFS(I1954&lt;=3,"small",I1954&lt;=6,"Medium",I1954&lt;=9,"Large")</f>
        <v>Large</v>
      </c>
      <c r="K1954" s="36">
        <v>45327</v>
      </c>
      <c r="L1954" s="36">
        <v>45334</v>
      </c>
      <c r="M1954" t="s">
        <v>612</v>
      </c>
      <c r="N1954" t="s">
        <v>599</v>
      </c>
      <c r="O1954" s="37" t="str">
        <f t="shared" si="153"/>
        <v>Digital Payment</v>
      </c>
      <c r="P1954">
        <v>424.8</v>
      </c>
      <c r="Q1954" s="37" t="str">
        <f>IF(P1954&gt;500,"High","low")</f>
        <v>low</v>
      </c>
      <c r="R1954" s="37" t="str">
        <f t="shared" si="154"/>
        <v>AVERAGE</v>
      </c>
      <c r="S1954" t="s">
        <v>615</v>
      </c>
    </row>
    <row r="1955" spans="1:19" x14ac:dyDescent="0.2">
      <c r="A1955" t="s">
        <v>2566</v>
      </c>
      <c r="B1955" t="s">
        <v>67</v>
      </c>
      <c r="C1955" t="s">
        <v>602</v>
      </c>
      <c r="D1955">
        <v>2511.4699999999998</v>
      </c>
      <c r="E1955" s="37" t="str">
        <f t="shared" si="150"/>
        <v xml:space="preserve"> </v>
      </c>
      <c r="F1955">
        <v>0.46</v>
      </c>
      <c r="G1955" s="37" t="str">
        <f t="shared" si="151"/>
        <v>Heavy Discount</v>
      </c>
      <c r="H1955" s="37" t="str">
        <f t="shared" si="152"/>
        <v>High</v>
      </c>
      <c r="I1955">
        <v>2</v>
      </c>
      <c r="J1955" t="str" cm="1">
        <f t="array" ref="J1955">_xlfn.IFS(I1955&lt;=3,"small",I1955&lt;=6,"Medium",I1955&lt;=9,"Large")</f>
        <v>small</v>
      </c>
      <c r="K1955" s="36">
        <v>44999</v>
      </c>
      <c r="L1955" s="36">
        <v>45002</v>
      </c>
      <c r="M1955" t="s">
        <v>603</v>
      </c>
      <c r="N1955" t="s">
        <v>604</v>
      </c>
      <c r="O1955" s="37" t="str">
        <f t="shared" si="153"/>
        <v>Digital Payment</v>
      </c>
      <c r="P1955">
        <v>455.84</v>
      </c>
      <c r="Q1955" s="37" t="str">
        <f>IF(P1955&gt;500,"High","low")</f>
        <v>low</v>
      </c>
      <c r="R1955" s="37" t="str">
        <f t="shared" si="154"/>
        <v>AVERAGE</v>
      </c>
      <c r="S1955" t="s">
        <v>620</v>
      </c>
    </row>
    <row r="1956" spans="1:19" x14ac:dyDescent="0.2">
      <c r="A1956" t="s">
        <v>2567</v>
      </c>
      <c r="B1956" t="s">
        <v>90</v>
      </c>
      <c r="C1956" t="s">
        <v>597</v>
      </c>
      <c r="D1956">
        <v>1580.16</v>
      </c>
      <c r="E1956" s="37" t="str">
        <f t="shared" si="150"/>
        <v xml:space="preserve"> </v>
      </c>
      <c r="F1956">
        <v>0.31</v>
      </c>
      <c r="G1956" s="37" t="str">
        <f t="shared" si="151"/>
        <v>Heavy Discount</v>
      </c>
      <c r="H1956" s="37" t="str">
        <f t="shared" si="152"/>
        <v>Medium</v>
      </c>
      <c r="I1956">
        <v>6</v>
      </c>
      <c r="J1956" t="str" cm="1">
        <f t="array" ref="J1956">_xlfn.IFS(I1956&lt;=3,"small",I1956&lt;=6,"Medium",I1956&lt;=9,"Large")</f>
        <v>Medium</v>
      </c>
      <c r="K1956" s="36">
        <v>45074</v>
      </c>
      <c r="L1956" s="36">
        <v>45078</v>
      </c>
      <c r="M1956" t="s">
        <v>603</v>
      </c>
      <c r="N1956" t="s">
        <v>604</v>
      </c>
      <c r="O1956" s="37" t="str">
        <f t="shared" si="153"/>
        <v>Digital Payment</v>
      </c>
      <c r="P1956">
        <v>244.95</v>
      </c>
      <c r="Q1956" s="37" t="str">
        <f>IF(P1956&gt;500,"High","low")</f>
        <v>low</v>
      </c>
      <c r="R1956" s="37" t="str">
        <f t="shared" si="154"/>
        <v>AVERAGE</v>
      </c>
      <c r="S1956" t="s">
        <v>615</v>
      </c>
    </row>
    <row r="1957" spans="1:19" x14ac:dyDescent="0.2">
      <c r="A1957" t="s">
        <v>2568</v>
      </c>
      <c r="B1957" t="s">
        <v>75</v>
      </c>
      <c r="C1957" t="s">
        <v>597</v>
      </c>
      <c r="D1957">
        <v>2951.97</v>
      </c>
      <c r="E1957" s="37" t="str">
        <f t="shared" si="150"/>
        <v xml:space="preserve"> </v>
      </c>
      <c r="F1957">
        <v>0.26</v>
      </c>
      <c r="G1957" s="37" t="str">
        <f t="shared" si="151"/>
        <v>Normal Discount</v>
      </c>
      <c r="H1957" s="37" t="str">
        <f t="shared" si="152"/>
        <v>Medium</v>
      </c>
      <c r="I1957">
        <v>6</v>
      </c>
      <c r="J1957" t="str" cm="1">
        <f t="array" ref="J1957">_xlfn.IFS(I1957&lt;=3,"small",I1957&lt;=6,"Medium",I1957&lt;=9,"Large")</f>
        <v>Medium</v>
      </c>
      <c r="K1957" s="36">
        <v>45347</v>
      </c>
      <c r="L1957" s="36">
        <v>45349</v>
      </c>
      <c r="M1957" t="s">
        <v>612</v>
      </c>
      <c r="N1957" t="s">
        <v>604</v>
      </c>
      <c r="O1957" s="37" t="str">
        <f t="shared" si="153"/>
        <v>Digital Payment</v>
      </c>
      <c r="P1957">
        <v>720.2</v>
      </c>
      <c r="Q1957" s="37" t="str">
        <f>IF(P1957&gt;500,"High","low")</f>
        <v>High</v>
      </c>
      <c r="R1957" s="37" t="str">
        <f t="shared" si="154"/>
        <v>Good</v>
      </c>
      <c r="S1957" t="s">
        <v>600</v>
      </c>
    </row>
    <row r="1958" spans="1:19" x14ac:dyDescent="0.2">
      <c r="A1958" t="s">
        <v>2569</v>
      </c>
      <c r="B1958" t="s">
        <v>83</v>
      </c>
      <c r="C1958" t="s">
        <v>607</v>
      </c>
      <c r="D1958">
        <v>4738.6099999999997</v>
      </c>
      <c r="E1958" s="37" t="str">
        <f t="shared" si="150"/>
        <v>Excellent Order</v>
      </c>
      <c r="F1958">
        <v>0.18</v>
      </c>
      <c r="G1958" s="37" t="str">
        <f t="shared" si="151"/>
        <v>Normal Discount</v>
      </c>
      <c r="H1958" s="37" t="str">
        <f t="shared" si="152"/>
        <v>Low</v>
      </c>
      <c r="I1958">
        <v>4</v>
      </c>
      <c r="J1958" t="str" cm="1">
        <f t="array" ref="J1958">_xlfn.IFS(I1958&lt;=3,"small",I1958&lt;=6,"Medium",I1958&lt;=9,"Large")</f>
        <v>Medium</v>
      </c>
      <c r="K1958" s="36">
        <v>45362</v>
      </c>
      <c r="L1958" s="36">
        <v>45368</v>
      </c>
      <c r="M1958" t="s">
        <v>598</v>
      </c>
      <c r="N1958" t="s">
        <v>599</v>
      </c>
      <c r="O1958" s="37" t="str">
        <f t="shared" si="153"/>
        <v>Digital Payment</v>
      </c>
      <c r="P1958">
        <v>1223.6199999999999</v>
      </c>
      <c r="Q1958" s="37" t="str">
        <f>IF(P1958&gt;500,"High","low")</f>
        <v>High</v>
      </c>
      <c r="R1958" s="37" t="str">
        <f t="shared" si="154"/>
        <v>Excellent</v>
      </c>
      <c r="S1958" t="s">
        <v>605</v>
      </c>
    </row>
    <row r="1959" spans="1:19" x14ac:dyDescent="0.2">
      <c r="A1959" t="s">
        <v>2570</v>
      </c>
      <c r="B1959" t="s">
        <v>90</v>
      </c>
      <c r="C1959" t="s">
        <v>607</v>
      </c>
      <c r="D1959">
        <v>4451.12</v>
      </c>
      <c r="E1959" s="37" t="str">
        <f t="shared" si="150"/>
        <v>Excellent Order</v>
      </c>
      <c r="F1959">
        <v>0.39</v>
      </c>
      <c r="G1959" s="37" t="str">
        <f t="shared" si="151"/>
        <v>Heavy Discount</v>
      </c>
      <c r="H1959" s="37" t="str">
        <f t="shared" si="152"/>
        <v>Medium</v>
      </c>
      <c r="I1959">
        <v>4</v>
      </c>
      <c r="J1959" t="str" cm="1">
        <f t="array" ref="J1959">_xlfn.IFS(I1959&lt;=3,"small",I1959&lt;=6,"Medium",I1959&lt;=9,"Large")</f>
        <v>Medium</v>
      </c>
      <c r="K1959" s="36">
        <v>45517</v>
      </c>
      <c r="L1959" s="36">
        <v>45523</v>
      </c>
      <c r="M1959" t="s">
        <v>612</v>
      </c>
      <c r="N1959" t="s">
        <v>608</v>
      </c>
      <c r="O1959" s="37" t="str">
        <f t="shared" si="153"/>
        <v>Cash Payment</v>
      </c>
      <c r="P1959">
        <v>1043.1500000000001</v>
      </c>
      <c r="Q1959" s="37" t="str">
        <f>IF(P1959&gt;500,"High","low")</f>
        <v>High</v>
      </c>
      <c r="R1959" s="37" t="str">
        <f t="shared" si="154"/>
        <v>Excellent</v>
      </c>
      <c r="S1959" t="s">
        <v>615</v>
      </c>
    </row>
    <row r="1960" spans="1:19" x14ac:dyDescent="0.2">
      <c r="A1960" t="s">
        <v>2571</v>
      </c>
      <c r="B1960" t="s">
        <v>75</v>
      </c>
      <c r="C1960" t="s">
        <v>597</v>
      </c>
      <c r="D1960">
        <v>3869.29</v>
      </c>
      <c r="E1960" s="37" t="str">
        <f t="shared" si="150"/>
        <v xml:space="preserve"> </v>
      </c>
      <c r="F1960">
        <v>0.46</v>
      </c>
      <c r="G1960" s="37" t="str">
        <f t="shared" si="151"/>
        <v>Heavy Discount</v>
      </c>
      <c r="H1960" s="37" t="str">
        <f t="shared" si="152"/>
        <v>High</v>
      </c>
      <c r="I1960">
        <v>2</v>
      </c>
      <c r="J1960" t="str" cm="1">
        <f t="array" ref="J1960">_xlfn.IFS(I1960&lt;=3,"small",I1960&lt;=6,"Medium",I1960&lt;=9,"Large")</f>
        <v>small</v>
      </c>
      <c r="K1960" s="36">
        <v>45208</v>
      </c>
      <c r="L1960" s="36">
        <v>45214</v>
      </c>
      <c r="M1960" t="s">
        <v>603</v>
      </c>
      <c r="N1960" t="s">
        <v>608</v>
      </c>
      <c r="O1960" s="37" t="str">
        <f t="shared" si="153"/>
        <v>Cash Payment</v>
      </c>
      <c r="P1960">
        <v>629.1</v>
      </c>
      <c r="Q1960" s="37" t="str">
        <f>IF(P1960&gt;500,"High","low")</f>
        <v>High</v>
      </c>
      <c r="R1960" s="37" t="str">
        <f t="shared" si="154"/>
        <v>Good</v>
      </c>
      <c r="S1960" t="s">
        <v>620</v>
      </c>
    </row>
    <row r="1961" spans="1:19" x14ac:dyDescent="0.2">
      <c r="A1961" t="s">
        <v>2572</v>
      </c>
      <c r="B1961" t="s">
        <v>90</v>
      </c>
      <c r="C1961" t="s">
        <v>602</v>
      </c>
      <c r="D1961">
        <v>1453.43</v>
      </c>
      <c r="E1961" s="37" t="str">
        <f t="shared" si="150"/>
        <v xml:space="preserve"> </v>
      </c>
      <c r="F1961">
        <v>0.38</v>
      </c>
      <c r="G1961" s="37" t="str">
        <f t="shared" si="151"/>
        <v>Heavy Discount</v>
      </c>
      <c r="H1961" s="37" t="str">
        <f t="shared" si="152"/>
        <v>Medium</v>
      </c>
      <c r="I1961">
        <v>3</v>
      </c>
      <c r="J1961" t="str" cm="1">
        <f t="array" ref="J1961">_xlfn.IFS(I1961&lt;=3,"small",I1961&lt;=6,"Medium",I1961&lt;=9,"Large")</f>
        <v>small</v>
      </c>
      <c r="K1961" s="36">
        <v>45335</v>
      </c>
      <c r="L1961" s="36">
        <v>45337</v>
      </c>
      <c r="M1961" t="s">
        <v>603</v>
      </c>
      <c r="N1961" t="s">
        <v>608</v>
      </c>
      <c r="O1961" s="37" t="str">
        <f t="shared" si="153"/>
        <v>Cash Payment</v>
      </c>
      <c r="P1961">
        <v>223.46</v>
      </c>
      <c r="Q1961" s="37" t="str">
        <f>IF(P1961&gt;500,"High","low")</f>
        <v>low</v>
      </c>
      <c r="R1961" s="37" t="str">
        <f t="shared" si="154"/>
        <v>AVERAGE</v>
      </c>
      <c r="S1961" t="s">
        <v>605</v>
      </c>
    </row>
    <row r="1962" spans="1:19" x14ac:dyDescent="0.2">
      <c r="A1962" t="s">
        <v>2573</v>
      </c>
      <c r="B1962" t="s">
        <v>83</v>
      </c>
      <c r="C1962" t="s">
        <v>597</v>
      </c>
      <c r="D1962">
        <v>1283.6400000000001</v>
      </c>
      <c r="E1962" s="37" t="str">
        <f t="shared" si="150"/>
        <v xml:space="preserve"> </v>
      </c>
      <c r="F1962">
        <v>0.36</v>
      </c>
      <c r="G1962" s="37" t="str">
        <f t="shared" si="151"/>
        <v>Heavy Discount</v>
      </c>
      <c r="H1962" s="37" t="str">
        <f t="shared" si="152"/>
        <v>Medium</v>
      </c>
      <c r="I1962">
        <v>6</v>
      </c>
      <c r="J1962" t="str" cm="1">
        <f t="array" ref="J1962">_xlfn.IFS(I1962&lt;=3,"small",I1962&lt;=6,"Medium",I1962&lt;=9,"Large")</f>
        <v>Medium</v>
      </c>
      <c r="K1962" s="36">
        <v>45246</v>
      </c>
      <c r="L1962" s="36">
        <v>45250</v>
      </c>
      <c r="M1962" t="s">
        <v>598</v>
      </c>
      <c r="N1962" t="s">
        <v>599</v>
      </c>
      <c r="O1962" s="37" t="str">
        <f t="shared" si="153"/>
        <v>Digital Payment</v>
      </c>
      <c r="P1962">
        <v>196.51</v>
      </c>
      <c r="Q1962" s="37" t="str">
        <f>IF(P1962&gt;500,"High","low")</f>
        <v>low</v>
      </c>
      <c r="R1962" s="37" t="str">
        <f t="shared" si="154"/>
        <v>AVERAGE</v>
      </c>
      <c r="S1962" t="s">
        <v>600</v>
      </c>
    </row>
    <row r="1963" spans="1:19" x14ac:dyDescent="0.2">
      <c r="A1963" t="s">
        <v>2574</v>
      </c>
      <c r="B1963" t="s">
        <v>75</v>
      </c>
      <c r="C1963" t="s">
        <v>607</v>
      </c>
      <c r="D1963">
        <v>4208.83</v>
      </c>
      <c r="E1963" s="37" t="str">
        <f t="shared" si="150"/>
        <v xml:space="preserve"> </v>
      </c>
      <c r="F1963">
        <v>0.1</v>
      </c>
      <c r="G1963" s="37" t="str">
        <f t="shared" si="151"/>
        <v>Normal Discount</v>
      </c>
      <c r="H1963" s="37" t="str">
        <f t="shared" si="152"/>
        <v>Low</v>
      </c>
      <c r="I1963">
        <v>4</v>
      </c>
      <c r="J1963" t="str" cm="1">
        <f t="array" ref="J1963">_xlfn.IFS(I1963&lt;=3,"small",I1963&lt;=6,"Medium",I1963&lt;=9,"Large")</f>
        <v>Medium</v>
      </c>
      <c r="K1963" s="36">
        <v>45341</v>
      </c>
      <c r="L1963" s="36">
        <v>45345</v>
      </c>
      <c r="M1963" t="s">
        <v>598</v>
      </c>
      <c r="N1963" t="s">
        <v>604</v>
      </c>
      <c r="O1963" s="37" t="str">
        <f t="shared" si="153"/>
        <v>Digital Payment</v>
      </c>
      <c r="P1963">
        <v>738.26</v>
      </c>
      <c r="Q1963" s="37" t="str">
        <f>IF(P1963&gt;500,"High","low")</f>
        <v>High</v>
      </c>
      <c r="R1963" s="37" t="str">
        <f t="shared" si="154"/>
        <v>Good</v>
      </c>
      <c r="S1963" t="s">
        <v>605</v>
      </c>
    </row>
    <row r="1964" spans="1:19" x14ac:dyDescent="0.2">
      <c r="A1964" t="s">
        <v>2575</v>
      </c>
      <c r="B1964" t="s">
        <v>83</v>
      </c>
      <c r="C1964" t="s">
        <v>597</v>
      </c>
      <c r="D1964">
        <v>988.46</v>
      </c>
      <c r="E1964" s="37" t="str">
        <f t="shared" si="150"/>
        <v xml:space="preserve"> </v>
      </c>
      <c r="F1964">
        <v>0.42</v>
      </c>
      <c r="G1964" s="37" t="str">
        <f t="shared" si="151"/>
        <v>Heavy Discount</v>
      </c>
      <c r="H1964" s="37" t="str">
        <f t="shared" si="152"/>
        <v>High</v>
      </c>
      <c r="I1964">
        <v>3</v>
      </c>
      <c r="J1964" t="str" cm="1">
        <f t="array" ref="J1964">_xlfn.IFS(I1964&lt;=3,"small",I1964&lt;=6,"Medium",I1964&lt;=9,"Large")</f>
        <v>small</v>
      </c>
      <c r="K1964" s="36">
        <v>45295</v>
      </c>
      <c r="L1964" s="36">
        <v>45296</v>
      </c>
      <c r="M1964" t="s">
        <v>603</v>
      </c>
      <c r="N1964" t="s">
        <v>599</v>
      </c>
      <c r="O1964" s="37" t="str">
        <f t="shared" si="153"/>
        <v>Digital Payment</v>
      </c>
      <c r="P1964">
        <v>202.37</v>
      </c>
      <c r="Q1964" s="37" t="str">
        <f>IF(P1964&gt;500,"High","low")</f>
        <v>low</v>
      </c>
      <c r="R1964" s="37" t="str">
        <f t="shared" si="154"/>
        <v>AVERAGE</v>
      </c>
      <c r="S1964" t="s">
        <v>628</v>
      </c>
    </row>
    <row r="1965" spans="1:19" x14ac:dyDescent="0.2">
      <c r="A1965" t="s">
        <v>2576</v>
      </c>
      <c r="B1965" t="s">
        <v>83</v>
      </c>
      <c r="C1965" t="s">
        <v>607</v>
      </c>
      <c r="D1965">
        <v>3067.5</v>
      </c>
      <c r="E1965" s="37" t="str">
        <f t="shared" si="150"/>
        <v xml:space="preserve"> </v>
      </c>
      <c r="F1965">
        <v>0.02</v>
      </c>
      <c r="G1965" s="37" t="str">
        <f t="shared" si="151"/>
        <v>Normal Discount</v>
      </c>
      <c r="H1965" s="37" t="str">
        <f t="shared" si="152"/>
        <v>Low</v>
      </c>
      <c r="I1965">
        <v>1</v>
      </c>
      <c r="J1965" t="str" cm="1">
        <f t="array" ref="J1965">_xlfn.IFS(I1965&lt;=3,"small",I1965&lt;=6,"Medium",I1965&lt;=9,"Large")</f>
        <v>small</v>
      </c>
      <c r="K1965" s="36">
        <v>45320</v>
      </c>
      <c r="L1965" s="36">
        <v>45327</v>
      </c>
      <c r="M1965" t="s">
        <v>603</v>
      </c>
      <c r="N1965" t="s">
        <v>608</v>
      </c>
      <c r="O1965" s="37" t="str">
        <f t="shared" si="153"/>
        <v>Cash Payment</v>
      </c>
      <c r="P1965">
        <v>401.94</v>
      </c>
      <c r="Q1965" s="37" t="str">
        <f>IF(P1965&gt;500,"High","low")</f>
        <v>low</v>
      </c>
      <c r="R1965" s="37" t="str">
        <f t="shared" si="154"/>
        <v>AVERAGE</v>
      </c>
      <c r="S1965" t="s">
        <v>628</v>
      </c>
    </row>
    <row r="1966" spans="1:19" x14ac:dyDescent="0.2">
      <c r="A1966" t="s">
        <v>2577</v>
      </c>
      <c r="B1966" t="s">
        <v>75</v>
      </c>
      <c r="C1966" t="s">
        <v>597</v>
      </c>
      <c r="D1966">
        <v>2250.7600000000002</v>
      </c>
      <c r="E1966" s="37" t="str">
        <f t="shared" si="150"/>
        <v xml:space="preserve"> </v>
      </c>
      <c r="F1966">
        <v>0.38</v>
      </c>
      <c r="G1966" s="37" t="str">
        <f t="shared" si="151"/>
        <v>Heavy Discount</v>
      </c>
      <c r="H1966" s="37" t="str">
        <f t="shared" si="152"/>
        <v>Medium</v>
      </c>
      <c r="I1966">
        <v>3</v>
      </c>
      <c r="J1966" t="str" cm="1">
        <f t="array" ref="J1966">_xlfn.IFS(I1966&lt;=3,"small",I1966&lt;=6,"Medium",I1966&lt;=9,"Large")</f>
        <v>small</v>
      </c>
      <c r="K1966" s="36">
        <v>45348</v>
      </c>
      <c r="L1966" s="36">
        <v>45350</v>
      </c>
      <c r="M1966" t="s">
        <v>598</v>
      </c>
      <c r="N1966" t="s">
        <v>608</v>
      </c>
      <c r="O1966" s="37" t="str">
        <f t="shared" si="153"/>
        <v>Cash Payment</v>
      </c>
      <c r="P1966">
        <v>524.45000000000005</v>
      </c>
      <c r="Q1966" s="37" t="str">
        <f>IF(P1966&gt;500,"High","low")</f>
        <v>High</v>
      </c>
      <c r="R1966" s="37" t="str">
        <f t="shared" si="154"/>
        <v>Good</v>
      </c>
      <c r="S1966" t="s">
        <v>628</v>
      </c>
    </row>
    <row r="1967" spans="1:19" x14ac:dyDescent="0.2">
      <c r="A1967" t="s">
        <v>2578</v>
      </c>
      <c r="B1967" t="s">
        <v>75</v>
      </c>
      <c r="C1967" t="s">
        <v>617</v>
      </c>
      <c r="D1967">
        <v>2393.13</v>
      </c>
      <c r="E1967" s="37" t="str">
        <f t="shared" si="150"/>
        <v xml:space="preserve"> </v>
      </c>
      <c r="F1967">
        <v>0.11</v>
      </c>
      <c r="G1967" s="37" t="str">
        <f t="shared" si="151"/>
        <v>Normal Discount</v>
      </c>
      <c r="H1967" s="37" t="str">
        <f t="shared" si="152"/>
        <v>Low</v>
      </c>
      <c r="I1967">
        <v>1</v>
      </c>
      <c r="J1967" t="str" cm="1">
        <f t="array" ref="J1967">_xlfn.IFS(I1967&lt;=3,"small",I1967&lt;=6,"Medium",I1967&lt;=9,"Large")</f>
        <v>small</v>
      </c>
      <c r="K1967" s="36">
        <v>45547</v>
      </c>
      <c r="L1967" s="36">
        <v>45550</v>
      </c>
      <c r="M1967" t="s">
        <v>603</v>
      </c>
      <c r="N1967" t="s">
        <v>608</v>
      </c>
      <c r="O1967" s="37" t="str">
        <f t="shared" si="153"/>
        <v>Cash Payment</v>
      </c>
      <c r="P1967">
        <v>661.89</v>
      </c>
      <c r="Q1967" s="37" t="str">
        <f>IF(P1967&gt;500,"High","low")</f>
        <v>High</v>
      </c>
      <c r="R1967" s="37" t="str">
        <f t="shared" si="154"/>
        <v>Good</v>
      </c>
      <c r="S1967" t="s">
        <v>620</v>
      </c>
    </row>
    <row r="1968" spans="1:19" x14ac:dyDescent="0.2">
      <c r="A1968" t="s">
        <v>2579</v>
      </c>
      <c r="B1968" t="s">
        <v>75</v>
      </c>
      <c r="C1968" t="s">
        <v>607</v>
      </c>
      <c r="D1968">
        <v>2327.2600000000002</v>
      </c>
      <c r="E1968" s="37" t="str">
        <f t="shared" si="150"/>
        <v xml:space="preserve"> </v>
      </c>
      <c r="F1968">
        <v>0.24</v>
      </c>
      <c r="G1968" s="37" t="str">
        <f t="shared" si="151"/>
        <v>Normal Discount</v>
      </c>
      <c r="H1968" s="37" t="str">
        <f t="shared" si="152"/>
        <v>Medium</v>
      </c>
      <c r="I1968">
        <v>4</v>
      </c>
      <c r="J1968" t="str" cm="1">
        <f t="array" ref="J1968">_xlfn.IFS(I1968&lt;=3,"small",I1968&lt;=6,"Medium",I1968&lt;=9,"Large")</f>
        <v>Medium</v>
      </c>
      <c r="K1968" s="36">
        <v>45562</v>
      </c>
      <c r="L1968" s="36">
        <v>45567</v>
      </c>
      <c r="M1968" t="s">
        <v>612</v>
      </c>
      <c r="N1968" t="s">
        <v>604</v>
      </c>
      <c r="O1968" s="37" t="str">
        <f t="shared" si="153"/>
        <v>Digital Payment</v>
      </c>
      <c r="P1968">
        <v>155.72999999999999</v>
      </c>
      <c r="Q1968" s="37" t="str">
        <f>IF(P1968&gt;500,"High","low")</f>
        <v>low</v>
      </c>
      <c r="R1968" s="37" t="str">
        <f t="shared" si="154"/>
        <v>AVERAGE</v>
      </c>
      <c r="S1968" t="s">
        <v>600</v>
      </c>
    </row>
    <row r="1969" spans="1:19" x14ac:dyDescent="0.2">
      <c r="A1969" t="s">
        <v>2580</v>
      </c>
      <c r="B1969" t="s">
        <v>67</v>
      </c>
      <c r="C1969" t="s">
        <v>602</v>
      </c>
      <c r="D1969">
        <v>4509.76</v>
      </c>
      <c r="E1969" s="37" t="str">
        <f t="shared" si="150"/>
        <v xml:space="preserve"> </v>
      </c>
      <c r="F1969">
        <v>0.35</v>
      </c>
      <c r="G1969" s="37" t="str">
        <f t="shared" si="151"/>
        <v>Heavy Discount</v>
      </c>
      <c r="H1969" s="37" t="str">
        <f t="shared" si="152"/>
        <v>Medium</v>
      </c>
      <c r="I1969">
        <v>4</v>
      </c>
      <c r="J1969" t="str" cm="1">
        <f t="array" ref="J1969">_xlfn.IFS(I1969&lt;=3,"small",I1969&lt;=6,"Medium",I1969&lt;=9,"Large")</f>
        <v>Medium</v>
      </c>
      <c r="K1969" s="36">
        <v>45523</v>
      </c>
      <c r="L1969" s="36">
        <v>45527</v>
      </c>
      <c r="M1969" t="s">
        <v>598</v>
      </c>
      <c r="N1969" t="s">
        <v>604</v>
      </c>
      <c r="O1969" s="37" t="str">
        <f t="shared" si="153"/>
        <v>Digital Payment</v>
      </c>
      <c r="P1969">
        <v>249.88</v>
      </c>
      <c r="Q1969" s="37" t="str">
        <f>IF(P1969&gt;500,"High","low")</f>
        <v>low</v>
      </c>
      <c r="R1969" s="37" t="str">
        <f t="shared" si="154"/>
        <v>AVERAGE</v>
      </c>
      <c r="S1969" t="s">
        <v>600</v>
      </c>
    </row>
    <row r="1970" spans="1:19" x14ac:dyDescent="0.2">
      <c r="A1970" t="s">
        <v>2581</v>
      </c>
      <c r="B1970" t="s">
        <v>75</v>
      </c>
      <c r="C1970" t="s">
        <v>617</v>
      </c>
      <c r="D1970">
        <v>526.76</v>
      </c>
      <c r="E1970" s="37" t="str">
        <f t="shared" si="150"/>
        <v xml:space="preserve"> </v>
      </c>
      <c r="F1970">
        <v>0.38</v>
      </c>
      <c r="G1970" s="37" t="str">
        <f t="shared" si="151"/>
        <v>Heavy Discount</v>
      </c>
      <c r="H1970" s="37" t="str">
        <f t="shared" si="152"/>
        <v>Medium</v>
      </c>
      <c r="I1970">
        <v>1</v>
      </c>
      <c r="J1970" t="str" cm="1">
        <f t="array" ref="J1970">_xlfn.IFS(I1970&lt;=3,"small",I1970&lt;=6,"Medium",I1970&lt;=9,"Large")</f>
        <v>small</v>
      </c>
      <c r="K1970" s="36">
        <v>45422</v>
      </c>
      <c r="L1970" s="36">
        <v>45423</v>
      </c>
      <c r="M1970" t="s">
        <v>603</v>
      </c>
      <c r="N1970" t="s">
        <v>608</v>
      </c>
      <c r="O1970" s="37" t="str">
        <f t="shared" si="153"/>
        <v>Cash Payment</v>
      </c>
      <c r="P1970">
        <v>115.3</v>
      </c>
      <c r="Q1970" s="37" t="str">
        <f>IF(P1970&gt;500,"High","low")</f>
        <v>low</v>
      </c>
      <c r="R1970" s="37" t="str">
        <f t="shared" si="154"/>
        <v>AVERAGE</v>
      </c>
      <c r="S1970" t="s">
        <v>600</v>
      </c>
    </row>
    <row r="1971" spans="1:19" x14ac:dyDescent="0.2">
      <c r="A1971" t="s">
        <v>2582</v>
      </c>
      <c r="B1971" t="s">
        <v>75</v>
      </c>
      <c r="C1971" t="s">
        <v>597</v>
      </c>
      <c r="D1971">
        <v>3936.22</v>
      </c>
      <c r="E1971" s="37" t="str">
        <f t="shared" si="150"/>
        <v xml:space="preserve"> </v>
      </c>
      <c r="F1971">
        <v>0.44</v>
      </c>
      <c r="G1971" s="37" t="str">
        <f t="shared" si="151"/>
        <v>Heavy Discount</v>
      </c>
      <c r="H1971" s="37" t="str">
        <f t="shared" si="152"/>
        <v>High</v>
      </c>
      <c r="I1971">
        <v>7</v>
      </c>
      <c r="J1971" t="str" cm="1">
        <f t="array" ref="J1971">_xlfn.IFS(I1971&lt;=3,"small",I1971&lt;=6,"Medium",I1971&lt;=9,"Large")</f>
        <v>Large</v>
      </c>
      <c r="K1971" s="36">
        <v>45398</v>
      </c>
      <c r="L1971" s="36">
        <v>45402</v>
      </c>
      <c r="M1971" t="s">
        <v>598</v>
      </c>
      <c r="N1971" t="s">
        <v>608</v>
      </c>
      <c r="O1971" s="37" t="str">
        <f t="shared" si="153"/>
        <v>Cash Payment</v>
      </c>
      <c r="P1971">
        <v>832.4</v>
      </c>
      <c r="Q1971" s="37" t="str">
        <f>IF(P1971&gt;500,"High","low")</f>
        <v>High</v>
      </c>
      <c r="R1971" s="37" t="str">
        <f t="shared" si="154"/>
        <v>Good</v>
      </c>
      <c r="S1971" t="s">
        <v>605</v>
      </c>
    </row>
    <row r="1972" spans="1:19" x14ac:dyDescent="0.2">
      <c r="A1972" t="s">
        <v>2583</v>
      </c>
      <c r="B1972" t="s">
        <v>75</v>
      </c>
      <c r="C1972" t="s">
        <v>607</v>
      </c>
      <c r="D1972">
        <v>4191.5600000000004</v>
      </c>
      <c r="E1972" s="37" t="str">
        <f t="shared" si="150"/>
        <v xml:space="preserve"> </v>
      </c>
      <c r="F1972">
        <v>0.14000000000000001</v>
      </c>
      <c r="G1972" s="37" t="str">
        <f t="shared" si="151"/>
        <v>Normal Discount</v>
      </c>
      <c r="H1972" s="37" t="str">
        <f t="shared" si="152"/>
        <v>Low</v>
      </c>
      <c r="I1972">
        <v>5</v>
      </c>
      <c r="J1972" t="str" cm="1">
        <f t="array" ref="J1972">_xlfn.IFS(I1972&lt;=3,"small",I1972&lt;=6,"Medium",I1972&lt;=9,"Large")</f>
        <v>Medium</v>
      </c>
      <c r="K1972" s="36">
        <v>45024</v>
      </c>
      <c r="L1972" s="36">
        <v>45030</v>
      </c>
      <c r="M1972" t="s">
        <v>603</v>
      </c>
      <c r="N1972" t="s">
        <v>608</v>
      </c>
      <c r="O1972" s="37" t="str">
        <f t="shared" si="153"/>
        <v>Cash Payment</v>
      </c>
      <c r="P1972">
        <v>689.91</v>
      </c>
      <c r="Q1972" s="37" t="str">
        <f>IF(P1972&gt;500,"High","low")</f>
        <v>High</v>
      </c>
      <c r="R1972" s="37" t="str">
        <f t="shared" si="154"/>
        <v>Good</v>
      </c>
      <c r="S1972" t="s">
        <v>605</v>
      </c>
    </row>
    <row r="1973" spans="1:19" x14ac:dyDescent="0.2">
      <c r="A1973" t="s">
        <v>2584</v>
      </c>
      <c r="B1973" t="s">
        <v>75</v>
      </c>
      <c r="C1973" t="s">
        <v>617</v>
      </c>
      <c r="D1973">
        <v>4720.1000000000004</v>
      </c>
      <c r="E1973" s="37" t="str">
        <f t="shared" si="150"/>
        <v>Excellent Order</v>
      </c>
      <c r="F1973">
        <v>0.11</v>
      </c>
      <c r="G1973" s="37" t="str">
        <f t="shared" si="151"/>
        <v>Normal Discount</v>
      </c>
      <c r="H1973" s="37" t="str">
        <f t="shared" si="152"/>
        <v>Low</v>
      </c>
      <c r="I1973">
        <v>1</v>
      </c>
      <c r="J1973" t="str" cm="1">
        <f t="array" ref="J1973">_xlfn.IFS(I1973&lt;=3,"small",I1973&lt;=6,"Medium",I1973&lt;=9,"Large")</f>
        <v>small</v>
      </c>
      <c r="K1973" s="36">
        <v>45298</v>
      </c>
      <c r="L1973" s="36">
        <v>45305</v>
      </c>
      <c r="M1973" t="s">
        <v>603</v>
      </c>
      <c r="N1973" t="s">
        <v>608</v>
      </c>
      <c r="O1973" s="37" t="str">
        <f t="shared" si="153"/>
        <v>Cash Payment</v>
      </c>
      <c r="P1973">
        <v>1213.3399999999999</v>
      </c>
      <c r="Q1973" s="37" t="str">
        <f>IF(P1973&gt;500,"High","low")</f>
        <v>High</v>
      </c>
      <c r="R1973" s="37" t="str">
        <f t="shared" si="154"/>
        <v>Excellent</v>
      </c>
      <c r="S1973" t="s">
        <v>628</v>
      </c>
    </row>
    <row r="1974" spans="1:19" x14ac:dyDescent="0.2">
      <c r="A1974" t="s">
        <v>2585</v>
      </c>
      <c r="B1974" t="s">
        <v>90</v>
      </c>
      <c r="C1974" t="s">
        <v>602</v>
      </c>
      <c r="D1974">
        <v>2317.7399999999998</v>
      </c>
      <c r="E1974" s="37" t="str">
        <f t="shared" si="150"/>
        <v xml:space="preserve"> </v>
      </c>
      <c r="F1974">
        <v>0.5</v>
      </c>
      <c r="G1974" s="37" t="str">
        <f t="shared" si="151"/>
        <v>Heavy Discount</v>
      </c>
      <c r="H1974" s="37" t="str">
        <f t="shared" si="152"/>
        <v>High</v>
      </c>
      <c r="I1974">
        <v>5</v>
      </c>
      <c r="J1974" t="str" cm="1">
        <f t="array" ref="J1974">_xlfn.IFS(I1974&lt;=3,"small",I1974&lt;=6,"Medium",I1974&lt;=9,"Large")</f>
        <v>Medium</v>
      </c>
      <c r="K1974" s="36">
        <v>45078</v>
      </c>
      <c r="L1974" s="36">
        <v>45081</v>
      </c>
      <c r="M1974" t="s">
        <v>598</v>
      </c>
      <c r="N1974" t="s">
        <v>599</v>
      </c>
      <c r="O1974" s="37" t="str">
        <f t="shared" si="153"/>
        <v>Digital Payment</v>
      </c>
      <c r="P1974">
        <v>550.13</v>
      </c>
      <c r="Q1974" s="37" t="str">
        <f>IF(P1974&gt;500,"High","low")</f>
        <v>High</v>
      </c>
      <c r="R1974" s="37" t="str">
        <f t="shared" si="154"/>
        <v>Good</v>
      </c>
      <c r="S1974" t="s">
        <v>609</v>
      </c>
    </row>
    <row r="1975" spans="1:19" x14ac:dyDescent="0.2">
      <c r="A1975" t="s">
        <v>2586</v>
      </c>
      <c r="B1975" t="s">
        <v>67</v>
      </c>
      <c r="C1975" t="s">
        <v>607</v>
      </c>
      <c r="D1975">
        <v>2550.3200000000002</v>
      </c>
      <c r="E1975" s="37" t="str">
        <f t="shared" si="150"/>
        <v xml:space="preserve"> </v>
      </c>
      <c r="F1975">
        <v>0.1</v>
      </c>
      <c r="G1975" s="37" t="str">
        <f t="shared" si="151"/>
        <v>Normal Discount</v>
      </c>
      <c r="H1975" s="37" t="str">
        <f t="shared" si="152"/>
        <v>Low</v>
      </c>
      <c r="I1975">
        <v>7</v>
      </c>
      <c r="J1975" t="str" cm="1">
        <f t="array" ref="J1975">_xlfn.IFS(I1975&lt;=3,"small",I1975&lt;=6,"Medium",I1975&lt;=9,"Large")</f>
        <v>Large</v>
      </c>
      <c r="K1975" s="36">
        <v>45007</v>
      </c>
      <c r="L1975" s="36">
        <v>45012</v>
      </c>
      <c r="M1975" t="s">
        <v>603</v>
      </c>
      <c r="N1975" t="s">
        <v>608</v>
      </c>
      <c r="O1975" s="37" t="str">
        <f t="shared" si="153"/>
        <v>Cash Payment</v>
      </c>
      <c r="P1975">
        <v>743.84</v>
      </c>
      <c r="Q1975" s="37" t="str">
        <f>IF(P1975&gt;500,"High","low")</f>
        <v>High</v>
      </c>
      <c r="R1975" s="37" t="str">
        <f t="shared" si="154"/>
        <v>Good</v>
      </c>
      <c r="S1975" t="s">
        <v>615</v>
      </c>
    </row>
    <row r="1976" spans="1:19" x14ac:dyDescent="0.2">
      <c r="A1976" t="s">
        <v>2587</v>
      </c>
      <c r="B1976" t="s">
        <v>83</v>
      </c>
      <c r="C1976" t="s">
        <v>617</v>
      </c>
      <c r="D1976">
        <v>4810.34</v>
      </c>
      <c r="E1976" s="37" t="str">
        <f t="shared" si="150"/>
        <v>Excellent Order</v>
      </c>
      <c r="F1976">
        <v>0.33</v>
      </c>
      <c r="G1976" s="37" t="str">
        <f t="shared" si="151"/>
        <v>Heavy Discount</v>
      </c>
      <c r="H1976" s="37" t="str">
        <f t="shared" si="152"/>
        <v>Medium</v>
      </c>
      <c r="I1976">
        <v>6</v>
      </c>
      <c r="J1976" t="str" cm="1">
        <f t="array" ref="J1976">_xlfn.IFS(I1976&lt;=3,"small",I1976&lt;=6,"Medium",I1976&lt;=9,"Large")</f>
        <v>Medium</v>
      </c>
      <c r="K1976" s="36">
        <v>44943</v>
      </c>
      <c r="L1976" s="36">
        <v>44948</v>
      </c>
      <c r="M1976" t="s">
        <v>612</v>
      </c>
      <c r="N1976" t="s">
        <v>599</v>
      </c>
      <c r="O1976" s="37" t="str">
        <f t="shared" si="153"/>
        <v>Digital Payment</v>
      </c>
      <c r="P1976">
        <v>1245.7</v>
      </c>
      <c r="Q1976" s="37" t="str">
        <f>IF(P1976&gt;500,"High","low")</f>
        <v>High</v>
      </c>
      <c r="R1976" s="37" t="str">
        <f t="shared" si="154"/>
        <v>Excellent</v>
      </c>
      <c r="S1976" t="s">
        <v>609</v>
      </c>
    </row>
    <row r="1977" spans="1:19" x14ac:dyDescent="0.2">
      <c r="A1977" t="s">
        <v>2588</v>
      </c>
      <c r="B1977" t="s">
        <v>75</v>
      </c>
      <c r="C1977" t="s">
        <v>617</v>
      </c>
      <c r="D1977">
        <v>2346.41</v>
      </c>
      <c r="E1977" s="37" t="str">
        <f t="shared" si="150"/>
        <v xml:space="preserve"> </v>
      </c>
      <c r="F1977">
        <v>0.48</v>
      </c>
      <c r="G1977" s="37" t="str">
        <f t="shared" si="151"/>
        <v>Heavy Discount</v>
      </c>
      <c r="H1977" s="37" t="str">
        <f t="shared" si="152"/>
        <v>High</v>
      </c>
      <c r="I1977">
        <v>5</v>
      </c>
      <c r="J1977" t="str" cm="1">
        <f t="array" ref="J1977">_xlfn.IFS(I1977&lt;=3,"small",I1977&lt;=6,"Medium",I1977&lt;=9,"Large")</f>
        <v>Medium</v>
      </c>
      <c r="K1977" s="36">
        <v>45539</v>
      </c>
      <c r="L1977" s="36">
        <v>45543</v>
      </c>
      <c r="M1977" t="s">
        <v>612</v>
      </c>
      <c r="N1977" t="s">
        <v>608</v>
      </c>
      <c r="O1977" s="37" t="str">
        <f t="shared" si="153"/>
        <v>Cash Payment</v>
      </c>
      <c r="P1977">
        <v>165.35</v>
      </c>
      <c r="Q1977" s="37" t="str">
        <f>IF(P1977&gt;500,"High","low")</f>
        <v>low</v>
      </c>
      <c r="R1977" s="37" t="str">
        <f t="shared" si="154"/>
        <v>AVERAGE</v>
      </c>
      <c r="S1977" t="s">
        <v>609</v>
      </c>
    </row>
    <row r="1978" spans="1:19" x14ac:dyDescent="0.2">
      <c r="A1978" t="s">
        <v>2589</v>
      </c>
      <c r="B1978" t="s">
        <v>90</v>
      </c>
      <c r="C1978" t="s">
        <v>617</v>
      </c>
      <c r="D1978">
        <v>2567.39</v>
      </c>
      <c r="E1978" s="37" t="str">
        <f t="shared" si="150"/>
        <v xml:space="preserve"> </v>
      </c>
      <c r="F1978">
        <v>0.45</v>
      </c>
      <c r="G1978" s="37" t="str">
        <f t="shared" si="151"/>
        <v>Heavy Discount</v>
      </c>
      <c r="H1978" s="37" t="str">
        <f t="shared" si="152"/>
        <v>High</v>
      </c>
      <c r="I1978">
        <v>8</v>
      </c>
      <c r="J1978" t="str" cm="1">
        <f t="array" ref="J1978">_xlfn.IFS(I1978&lt;=3,"small",I1978&lt;=6,"Medium",I1978&lt;=9,"Large")</f>
        <v>Large</v>
      </c>
      <c r="K1978" s="36">
        <v>44996</v>
      </c>
      <c r="L1978" s="36">
        <v>45001</v>
      </c>
      <c r="M1978" t="s">
        <v>612</v>
      </c>
      <c r="N1978" t="s">
        <v>608</v>
      </c>
      <c r="O1978" s="37" t="str">
        <f t="shared" si="153"/>
        <v>Cash Payment</v>
      </c>
      <c r="P1978">
        <v>395.39</v>
      </c>
      <c r="Q1978" s="37" t="str">
        <f>IF(P1978&gt;500,"High","low")</f>
        <v>low</v>
      </c>
      <c r="R1978" s="37" t="str">
        <f t="shared" si="154"/>
        <v>AVERAGE</v>
      </c>
      <c r="S1978" t="s">
        <v>620</v>
      </c>
    </row>
    <row r="1979" spans="1:19" x14ac:dyDescent="0.2">
      <c r="A1979" t="s">
        <v>2590</v>
      </c>
      <c r="B1979" t="s">
        <v>90</v>
      </c>
      <c r="C1979" t="s">
        <v>614</v>
      </c>
      <c r="D1979">
        <v>1728.05</v>
      </c>
      <c r="E1979" s="37" t="str">
        <f t="shared" si="150"/>
        <v xml:space="preserve"> </v>
      </c>
      <c r="F1979">
        <v>0.22</v>
      </c>
      <c r="G1979" s="37" t="str">
        <f t="shared" si="151"/>
        <v>Normal Discount</v>
      </c>
      <c r="H1979" s="37" t="str">
        <f t="shared" si="152"/>
        <v>Medium</v>
      </c>
      <c r="I1979">
        <v>9</v>
      </c>
      <c r="J1979" t="str" cm="1">
        <f t="array" ref="J1979">_xlfn.IFS(I1979&lt;=3,"small",I1979&lt;=6,"Medium",I1979&lt;=9,"Large")</f>
        <v>Large</v>
      </c>
      <c r="K1979" s="36">
        <v>45438</v>
      </c>
      <c r="L1979" s="36">
        <v>45444</v>
      </c>
      <c r="M1979" t="s">
        <v>603</v>
      </c>
      <c r="N1979" t="s">
        <v>604</v>
      </c>
      <c r="O1979" s="37" t="str">
        <f t="shared" si="153"/>
        <v>Digital Payment</v>
      </c>
      <c r="P1979">
        <v>240.41</v>
      </c>
      <c r="Q1979" s="37" t="str">
        <f>IF(P1979&gt;500,"High","low")</f>
        <v>low</v>
      </c>
      <c r="R1979" s="37" t="str">
        <f t="shared" si="154"/>
        <v>AVERAGE</v>
      </c>
      <c r="S1979" t="s">
        <v>615</v>
      </c>
    </row>
    <row r="1980" spans="1:19" x14ac:dyDescent="0.2">
      <c r="A1980" t="s">
        <v>2591</v>
      </c>
      <c r="B1980" t="s">
        <v>90</v>
      </c>
      <c r="C1980" t="s">
        <v>597</v>
      </c>
      <c r="D1980">
        <v>254.97</v>
      </c>
      <c r="E1980" s="37" t="str">
        <f t="shared" si="150"/>
        <v xml:space="preserve"> </v>
      </c>
      <c r="F1980">
        <v>0.32</v>
      </c>
      <c r="G1980" s="37" t="str">
        <f t="shared" si="151"/>
        <v>Heavy Discount</v>
      </c>
      <c r="H1980" s="37" t="str">
        <f t="shared" si="152"/>
        <v>Medium</v>
      </c>
      <c r="I1980">
        <v>1</v>
      </c>
      <c r="J1980" t="str" cm="1">
        <f t="array" ref="J1980">_xlfn.IFS(I1980&lt;=3,"small",I1980&lt;=6,"Medium",I1980&lt;=9,"Large")</f>
        <v>small</v>
      </c>
      <c r="K1980" s="36">
        <v>45164</v>
      </c>
      <c r="L1980" s="36">
        <v>45170</v>
      </c>
      <c r="M1980" t="s">
        <v>612</v>
      </c>
      <c r="N1980" t="s">
        <v>599</v>
      </c>
      <c r="O1980" s="37" t="str">
        <f t="shared" si="153"/>
        <v>Digital Payment</v>
      </c>
      <c r="P1980">
        <v>65.97</v>
      </c>
      <c r="Q1980" s="37" t="str">
        <f>IF(P1980&gt;500,"High","low")</f>
        <v>low</v>
      </c>
      <c r="R1980" s="37" t="str">
        <f t="shared" si="154"/>
        <v>AVERAGE</v>
      </c>
      <c r="S1980" t="s">
        <v>609</v>
      </c>
    </row>
    <row r="1981" spans="1:19" x14ac:dyDescent="0.2">
      <c r="A1981" t="s">
        <v>2592</v>
      </c>
      <c r="B1981" t="s">
        <v>83</v>
      </c>
      <c r="C1981" t="s">
        <v>607</v>
      </c>
      <c r="D1981">
        <v>2221.9699999999998</v>
      </c>
      <c r="E1981" s="37" t="str">
        <f t="shared" si="150"/>
        <v xml:space="preserve"> </v>
      </c>
      <c r="F1981">
        <v>0.26</v>
      </c>
      <c r="G1981" s="37" t="str">
        <f t="shared" si="151"/>
        <v>Normal Discount</v>
      </c>
      <c r="H1981" s="37" t="str">
        <f t="shared" si="152"/>
        <v>Medium</v>
      </c>
      <c r="I1981">
        <v>6</v>
      </c>
      <c r="J1981" t="str" cm="1">
        <f t="array" ref="J1981">_xlfn.IFS(I1981&lt;=3,"small",I1981&lt;=6,"Medium",I1981&lt;=9,"Large")</f>
        <v>Medium</v>
      </c>
      <c r="K1981" s="36">
        <v>45341</v>
      </c>
      <c r="L1981" s="36">
        <v>45346</v>
      </c>
      <c r="M1981" t="s">
        <v>612</v>
      </c>
      <c r="N1981" t="s">
        <v>608</v>
      </c>
      <c r="O1981" s="37" t="str">
        <f t="shared" si="153"/>
        <v>Cash Payment</v>
      </c>
      <c r="P1981">
        <v>242</v>
      </c>
      <c r="Q1981" s="37" t="str">
        <f>IF(P1981&gt;500,"High","low")</f>
        <v>low</v>
      </c>
      <c r="R1981" s="37" t="str">
        <f t="shared" si="154"/>
        <v>AVERAGE</v>
      </c>
      <c r="S1981" t="s">
        <v>609</v>
      </c>
    </row>
    <row r="1982" spans="1:19" x14ac:dyDescent="0.2">
      <c r="A1982" t="s">
        <v>2593</v>
      </c>
      <c r="B1982" t="s">
        <v>75</v>
      </c>
      <c r="C1982" t="s">
        <v>607</v>
      </c>
      <c r="D1982">
        <v>3309.95</v>
      </c>
      <c r="E1982" s="37" t="str">
        <f t="shared" si="150"/>
        <v xml:space="preserve"> </v>
      </c>
      <c r="F1982">
        <v>0.17</v>
      </c>
      <c r="G1982" s="37" t="str">
        <f t="shared" si="151"/>
        <v>Normal Discount</v>
      </c>
      <c r="H1982" s="37" t="str">
        <f t="shared" si="152"/>
        <v>Low</v>
      </c>
      <c r="I1982">
        <v>2</v>
      </c>
      <c r="J1982" t="str" cm="1">
        <f t="array" ref="J1982">_xlfn.IFS(I1982&lt;=3,"small",I1982&lt;=6,"Medium",I1982&lt;=9,"Large")</f>
        <v>small</v>
      </c>
      <c r="K1982" s="36">
        <v>44983</v>
      </c>
      <c r="L1982" s="36">
        <v>44986</v>
      </c>
      <c r="M1982" t="s">
        <v>612</v>
      </c>
      <c r="N1982" t="s">
        <v>604</v>
      </c>
      <c r="O1982" s="37" t="str">
        <f t="shared" si="153"/>
        <v>Digital Payment</v>
      </c>
      <c r="P1982">
        <v>256.5</v>
      </c>
      <c r="Q1982" s="37" t="str">
        <f>IF(P1982&gt;500,"High","low")</f>
        <v>low</v>
      </c>
      <c r="R1982" s="37" t="str">
        <f t="shared" si="154"/>
        <v>AVERAGE</v>
      </c>
      <c r="S1982" t="s">
        <v>628</v>
      </c>
    </row>
    <row r="1983" spans="1:19" x14ac:dyDescent="0.2">
      <c r="A1983" t="s">
        <v>2594</v>
      </c>
      <c r="B1983" t="s">
        <v>67</v>
      </c>
      <c r="C1983" t="s">
        <v>607</v>
      </c>
      <c r="D1983">
        <v>3480.73</v>
      </c>
      <c r="E1983" s="37" t="str">
        <f t="shared" si="150"/>
        <v xml:space="preserve"> </v>
      </c>
      <c r="F1983">
        <v>7.0000000000000007E-2</v>
      </c>
      <c r="G1983" s="37" t="str">
        <f t="shared" si="151"/>
        <v>Normal Discount</v>
      </c>
      <c r="H1983" s="37" t="str">
        <f t="shared" si="152"/>
        <v>Low</v>
      </c>
      <c r="I1983">
        <v>8</v>
      </c>
      <c r="J1983" t="str" cm="1">
        <f t="array" ref="J1983">_xlfn.IFS(I1983&lt;=3,"small",I1983&lt;=6,"Medium",I1983&lt;=9,"Large")</f>
        <v>Large</v>
      </c>
      <c r="K1983" s="36">
        <v>45330</v>
      </c>
      <c r="L1983" s="36">
        <v>45336</v>
      </c>
      <c r="M1983" t="s">
        <v>598</v>
      </c>
      <c r="N1983" t="s">
        <v>608</v>
      </c>
      <c r="O1983" s="37" t="str">
        <f t="shared" si="153"/>
        <v>Cash Payment</v>
      </c>
      <c r="P1983">
        <v>241.96</v>
      </c>
      <c r="Q1983" s="37" t="str">
        <f>IF(P1983&gt;500,"High","low")</f>
        <v>low</v>
      </c>
      <c r="R1983" s="37" t="str">
        <f t="shared" si="154"/>
        <v>AVERAGE</v>
      </c>
      <c r="S1983" t="s">
        <v>609</v>
      </c>
    </row>
    <row r="1984" spans="1:19" x14ac:dyDescent="0.2">
      <c r="A1984" t="s">
        <v>2595</v>
      </c>
      <c r="B1984" t="s">
        <v>67</v>
      </c>
      <c r="C1984" t="s">
        <v>617</v>
      </c>
      <c r="D1984">
        <v>131.88999999999999</v>
      </c>
      <c r="E1984" s="37" t="str">
        <f t="shared" si="150"/>
        <v xml:space="preserve"> </v>
      </c>
      <c r="F1984">
        <v>0.4</v>
      </c>
      <c r="G1984" s="37" t="str">
        <f t="shared" si="151"/>
        <v>Heavy Discount</v>
      </c>
      <c r="H1984" s="37" t="str">
        <f t="shared" si="152"/>
        <v>Medium</v>
      </c>
      <c r="I1984">
        <v>5</v>
      </c>
      <c r="J1984" t="str" cm="1">
        <f t="array" ref="J1984">_xlfn.IFS(I1984&lt;=3,"small",I1984&lt;=6,"Medium",I1984&lt;=9,"Large")</f>
        <v>Medium</v>
      </c>
      <c r="K1984" s="36">
        <v>45356</v>
      </c>
      <c r="L1984" s="36">
        <v>45360</v>
      </c>
      <c r="M1984" t="s">
        <v>598</v>
      </c>
      <c r="N1984" t="s">
        <v>599</v>
      </c>
      <c r="O1984" s="37" t="str">
        <f t="shared" si="153"/>
        <v>Digital Payment</v>
      </c>
      <c r="P1984">
        <v>25.12</v>
      </c>
      <c r="Q1984" s="37" t="str">
        <f>IF(P1984&gt;500,"High","low")</f>
        <v>low</v>
      </c>
      <c r="R1984" s="37" t="str">
        <f t="shared" si="154"/>
        <v>AVERAGE</v>
      </c>
      <c r="S1984" t="s">
        <v>609</v>
      </c>
    </row>
    <row r="1985" spans="1:19" x14ac:dyDescent="0.2">
      <c r="A1985" t="s">
        <v>2596</v>
      </c>
      <c r="B1985" t="s">
        <v>90</v>
      </c>
      <c r="C1985" t="s">
        <v>597</v>
      </c>
      <c r="D1985">
        <v>4025.16</v>
      </c>
      <c r="E1985" s="37" t="str">
        <f t="shared" si="150"/>
        <v xml:space="preserve"> </v>
      </c>
      <c r="F1985">
        <v>0.05</v>
      </c>
      <c r="G1985" s="37" t="str">
        <f t="shared" si="151"/>
        <v>Normal Discount</v>
      </c>
      <c r="H1985" s="37" t="str">
        <f t="shared" si="152"/>
        <v>Low</v>
      </c>
      <c r="I1985">
        <v>1</v>
      </c>
      <c r="J1985" t="str" cm="1">
        <f t="array" ref="J1985">_xlfn.IFS(I1985&lt;=3,"small",I1985&lt;=6,"Medium",I1985&lt;=9,"Large")</f>
        <v>small</v>
      </c>
      <c r="K1985" s="36">
        <v>45056</v>
      </c>
      <c r="L1985" s="36">
        <v>45063</v>
      </c>
      <c r="M1985" t="s">
        <v>612</v>
      </c>
      <c r="N1985" t="s">
        <v>604</v>
      </c>
      <c r="O1985" s="37" t="str">
        <f t="shared" si="153"/>
        <v>Digital Payment</v>
      </c>
      <c r="P1985">
        <v>509.11</v>
      </c>
      <c r="Q1985" s="37" t="str">
        <f>IF(P1985&gt;500,"High","low")</f>
        <v>High</v>
      </c>
      <c r="R1985" s="37" t="str">
        <f t="shared" si="154"/>
        <v>Good</v>
      </c>
      <c r="S1985" t="s">
        <v>605</v>
      </c>
    </row>
    <row r="1986" spans="1:19" x14ac:dyDescent="0.2">
      <c r="A1986" t="s">
        <v>2597</v>
      </c>
      <c r="B1986" t="s">
        <v>83</v>
      </c>
      <c r="C1986" t="s">
        <v>602</v>
      </c>
      <c r="D1986">
        <v>2512.84</v>
      </c>
      <c r="E1986" s="37" t="str">
        <f t="shared" si="150"/>
        <v xml:space="preserve"> </v>
      </c>
      <c r="F1986">
        <v>0.3</v>
      </c>
      <c r="G1986" s="37" t="str">
        <f t="shared" si="151"/>
        <v>Normal Discount</v>
      </c>
      <c r="H1986" s="37" t="str">
        <f t="shared" si="152"/>
        <v>Medium</v>
      </c>
      <c r="I1986">
        <v>5</v>
      </c>
      <c r="J1986" t="str" cm="1">
        <f t="array" ref="J1986">_xlfn.IFS(I1986&lt;=3,"small",I1986&lt;=6,"Medium",I1986&lt;=9,"Large")</f>
        <v>Medium</v>
      </c>
      <c r="K1986" s="36">
        <v>45543</v>
      </c>
      <c r="L1986" s="36">
        <v>45544</v>
      </c>
      <c r="M1986" t="s">
        <v>603</v>
      </c>
      <c r="N1986" t="s">
        <v>604</v>
      </c>
      <c r="O1986" s="37" t="str">
        <f t="shared" si="153"/>
        <v>Digital Payment</v>
      </c>
      <c r="P1986">
        <v>244.58</v>
      </c>
      <c r="Q1986" s="37" t="str">
        <f>IF(P1986&gt;500,"High","low")</f>
        <v>low</v>
      </c>
      <c r="R1986" s="37" t="str">
        <f t="shared" si="154"/>
        <v>AVERAGE</v>
      </c>
      <c r="S1986" t="s">
        <v>620</v>
      </c>
    </row>
    <row r="1987" spans="1:19" x14ac:dyDescent="0.2">
      <c r="A1987" t="s">
        <v>2598</v>
      </c>
      <c r="B1987" t="s">
        <v>83</v>
      </c>
      <c r="C1987" t="s">
        <v>607</v>
      </c>
      <c r="D1987">
        <v>2651.65</v>
      </c>
      <c r="E1987" s="37" t="str">
        <f t="shared" ref="E1987:E2050" si="155">IF(AND(D1987&gt;4000,P1987&gt;800),"Excellent Order"," ")</f>
        <v xml:space="preserve"> </v>
      </c>
      <c r="F1987">
        <v>0.3</v>
      </c>
      <c r="G1987" s="37" t="str">
        <f t="shared" ref="G1987:G2050" si="156">IF(F1987&gt;30%,"Heavy Discount","Normal Discount")</f>
        <v>Normal Discount</v>
      </c>
      <c r="H1987" s="37" t="str">
        <f t="shared" ref="H1987:H2050" si="157">IF(F1987&gt;0.4,"High",IF(F1987&gt;=0.2,"Medium","Low"))</f>
        <v>Medium</v>
      </c>
      <c r="I1987">
        <v>5</v>
      </c>
      <c r="J1987" t="str" cm="1">
        <f t="array" ref="J1987">_xlfn.IFS(I1987&lt;=3,"small",I1987&lt;=6,"Medium",I1987&lt;=9,"Large")</f>
        <v>Medium</v>
      </c>
      <c r="K1987" s="36">
        <v>45520</v>
      </c>
      <c r="L1987" s="36">
        <v>45526</v>
      </c>
      <c r="M1987" t="s">
        <v>612</v>
      </c>
      <c r="N1987" t="s">
        <v>608</v>
      </c>
      <c r="O1987" s="37" t="str">
        <f t="shared" ref="O1987:O2050" si="158">IF(OR(N1987="Card",N1987="UPI"),"Digital Payment","Cash Payment")</f>
        <v>Cash Payment</v>
      </c>
      <c r="P1987">
        <v>735.5</v>
      </c>
      <c r="Q1987" s="37" t="str">
        <f>IF(P1987&gt;500,"High","low")</f>
        <v>High</v>
      </c>
      <c r="R1987" s="37" t="str">
        <f t="shared" ref="R1987:R2050" si="159">IF(P1987&gt;1000,"Excellent",IF(P1987&gt;=500,"Good","AVERAGE"))</f>
        <v>Good</v>
      </c>
      <c r="S1987" t="s">
        <v>605</v>
      </c>
    </row>
    <row r="1988" spans="1:19" x14ac:dyDescent="0.2">
      <c r="A1988" t="s">
        <v>2599</v>
      </c>
      <c r="B1988" t="s">
        <v>83</v>
      </c>
      <c r="C1988" t="s">
        <v>597</v>
      </c>
      <c r="D1988">
        <v>4812.54</v>
      </c>
      <c r="E1988" s="37" t="str">
        <f t="shared" si="155"/>
        <v xml:space="preserve"> </v>
      </c>
      <c r="F1988">
        <v>0.17</v>
      </c>
      <c r="G1988" s="37" t="str">
        <f t="shared" si="156"/>
        <v>Normal Discount</v>
      </c>
      <c r="H1988" s="37" t="str">
        <f t="shared" si="157"/>
        <v>Low</v>
      </c>
      <c r="I1988">
        <v>2</v>
      </c>
      <c r="J1988" t="str" cm="1">
        <f t="array" ref="J1988">_xlfn.IFS(I1988&lt;=3,"small",I1988&lt;=6,"Medium",I1988&lt;=9,"Large")</f>
        <v>small</v>
      </c>
      <c r="K1988" s="36">
        <v>44976</v>
      </c>
      <c r="L1988" s="36">
        <v>44977</v>
      </c>
      <c r="M1988" t="s">
        <v>598</v>
      </c>
      <c r="N1988" t="s">
        <v>599</v>
      </c>
      <c r="O1988" s="37" t="str">
        <f t="shared" si="158"/>
        <v>Digital Payment</v>
      </c>
      <c r="P1988">
        <v>258.69</v>
      </c>
      <c r="Q1988" s="37" t="str">
        <f>IF(P1988&gt;500,"High","low")</f>
        <v>low</v>
      </c>
      <c r="R1988" s="37" t="str">
        <f t="shared" si="159"/>
        <v>AVERAGE</v>
      </c>
      <c r="S1988" t="s">
        <v>628</v>
      </c>
    </row>
    <row r="1989" spans="1:19" x14ac:dyDescent="0.2">
      <c r="A1989" t="s">
        <v>2600</v>
      </c>
      <c r="B1989" t="s">
        <v>67</v>
      </c>
      <c r="C1989" t="s">
        <v>597</v>
      </c>
      <c r="D1989">
        <v>1493.86</v>
      </c>
      <c r="E1989" s="37" t="str">
        <f t="shared" si="155"/>
        <v xml:space="preserve"> </v>
      </c>
      <c r="F1989">
        <v>7.0000000000000007E-2</v>
      </c>
      <c r="G1989" s="37" t="str">
        <f t="shared" si="156"/>
        <v>Normal Discount</v>
      </c>
      <c r="H1989" s="37" t="str">
        <f t="shared" si="157"/>
        <v>Low</v>
      </c>
      <c r="I1989">
        <v>4</v>
      </c>
      <c r="J1989" t="str" cm="1">
        <f t="array" ref="J1989">_xlfn.IFS(I1989&lt;=3,"small",I1989&lt;=6,"Medium",I1989&lt;=9,"Large")</f>
        <v>Medium</v>
      </c>
      <c r="K1989" s="36">
        <v>45396</v>
      </c>
      <c r="L1989" s="36">
        <v>45398</v>
      </c>
      <c r="M1989" t="s">
        <v>603</v>
      </c>
      <c r="N1989" t="s">
        <v>608</v>
      </c>
      <c r="O1989" s="37" t="str">
        <f t="shared" si="158"/>
        <v>Cash Payment</v>
      </c>
      <c r="P1989">
        <v>239.47</v>
      </c>
      <c r="Q1989" s="37" t="str">
        <f>IF(P1989&gt;500,"High","low")</f>
        <v>low</v>
      </c>
      <c r="R1989" s="37" t="str">
        <f t="shared" si="159"/>
        <v>AVERAGE</v>
      </c>
      <c r="S1989" t="s">
        <v>628</v>
      </c>
    </row>
    <row r="1990" spans="1:19" x14ac:dyDescent="0.2">
      <c r="A1990" t="s">
        <v>2601</v>
      </c>
      <c r="B1990" t="s">
        <v>90</v>
      </c>
      <c r="C1990" t="s">
        <v>614</v>
      </c>
      <c r="D1990">
        <v>3832.09</v>
      </c>
      <c r="E1990" s="37" t="str">
        <f t="shared" si="155"/>
        <v xml:space="preserve"> </v>
      </c>
      <c r="F1990">
        <v>0.4</v>
      </c>
      <c r="G1990" s="37" t="str">
        <f t="shared" si="156"/>
        <v>Heavy Discount</v>
      </c>
      <c r="H1990" s="37" t="str">
        <f t="shared" si="157"/>
        <v>Medium</v>
      </c>
      <c r="I1990">
        <v>6</v>
      </c>
      <c r="J1990" t="str" cm="1">
        <f t="array" ref="J1990">_xlfn.IFS(I1990&lt;=3,"small",I1990&lt;=6,"Medium",I1990&lt;=9,"Large")</f>
        <v>Medium</v>
      </c>
      <c r="K1990" s="36">
        <v>45411</v>
      </c>
      <c r="L1990" s="36">
        <v>45414</v>
      </c>
      <c r="M1990" t="s">
        <v>612</v>
      </c>
      <c r="N1990" t="s">
        <v>604</v>
      </c>
      <c r="O1990" s="37" t="str">
        <f t="shared" si="158"/>
        <v>Digital Payment</v>
      </c>
      <c r="P1990">
        <v>656.81</v>
      </c>
      <c r="Q1990" s="37" t="str">
        <f>IF(P1990&gt;500,"High","low")</f>
        <v>High</v>
      </c>
      <c r="R1990" s="37" t="str">
        <f t="shared" si="159"/>
        <v>Good</v>
      </c>
      <c r="S1990" t="s">
        <v>605</v>
      </c>
    </row>
    <row r="1991" spans="1:19" x14ac:dyDescent="0.2">
      <c r="A1991" t="s">
        <v>2602</v>
      </c>
      <c r="B1991" t="s">
        <v>75</v>
      </c>
      <c r="C1991" t="s">
        <v>607</v>
      </c>
      <c r="D1991">
        <v>2916.4</v>
      </c>
      <c r="E1991" s="37" t="str">
        <f t="shared" si="155"/>
        <v xml:space="preserve"> </v>
      </c>
      <c r="F1991">
        <v>0.23</v>
      </c>
      <c r="G1991" s="37" t="str">
        <f t="shared" si="156"/>
        <v>Normal Discount</v>
      </c>
      <c r="H1991" s="37" t="str">
        <f t="shared" si="157"/>
        <v>Medium</v>
      </c>
      <c r="I1991">
        <v>1</v>
      </c>
      <c r="J1991" t="str" cm="1">
        <f t="array" ref="J1991">_xlfn.IFS(I1991&lt;=3,"small",I1991&lt;=6,"Medium",I1991&lt;=9,"Large")</f>
        <v>small</v>
      </c>
      <c r="K1991" s="36">
        <v>45424</v>
      </c>
      <c r="L1991" s="36">
        <v>45428</v>
      </c>
      <c r="M1991" t="s">
        <v>612</v>
      </c>
      <c r="N1991" t="s">
        <v>608</v>
      </c>
      <c r="O1991" s="37" t="str">
        <f t="shared" si="158"/>
        <v>Cash Payment</v>
      </c>
      <c r="P1991">
        <v>538.80999999999995</v>
      </c>
      <c r="Q1991" s="37" t="str">
        <f>IF(P1991&gt;500,"High","low")</f>
        <v>High</v>
      </c>
      <c r="R1991" s="37" t="str">
        <f t="shared" si="159"/>
        <v>Good</v>
      </c>
      <c r="S1991" t="s">
        <v>609</v>
      </c>
    </row>
    <row r="1992" spans="1:19" x14ac:dyDescent="0.2">
      <c r="A1992" t="s">
        <v>2603</v>
      </c>
      <c r="B1992" t="s">
        <v>67</v>
      </c>
      <c r="C1992" t="s">
        <v>617</v>
      </c>
      <c r="D1992">
        <v>3533.91</v>
      </c>
      <c r="E1992" s="37" t="str">
        <f t="shared" si="155"/>
        <v xml:space="preserve"> </v>
      </c>
      <c r="F1992">
        <v>0.36</v>
      </c>
      <c r="G1992" s="37" t="str">
        <f t="shared" si="156"/>
        <v>Heavy Discount</v>
      </c>
      <c r="H1992" s="37" t="str">
        <f t="shared" si="157"/>
        <v>Medium</v>
      </c>
      <c r="I1992">
        <v>9</v>
      </c>
      <c r="J1992" t="str" cm="1">
        <f t="array" ref="J1992">_xlfn.IFS(I1992&lt;=3,"small",I1992&lt;=6,"Medium",I1992&lt;=9,"Large")</f>
        <v>Large</v>
      </c>
      <c r="K1992" s="36">
        <v>45258</v>
      </c>
      <c r="L1992" s="36">
        <v>45263</v>
      </c>
      <c r="M1992" t="s">
        <v>603</v>
      </c>
      <c r="N1992" t="s">
        <v>608</v>
      </c>
      <c r="O1992" s="37" t="str">
        <f t="shared" si="158"/>
        <v>Cash Payment</v>
      </c>
      <c r="P1992">
        <v>848.82</v>
      </c>
      <c r="Q1992" s="37" t="str">
        <f>IF(P1992&gt;500,"High","low")</f>
        <v>High</v>
      </c>
      <c r="R1992" s="37" t="str">
        <f t="shared" si="159"/>
        <v>Good</v>
      </c>
      <c r="S1992" t="s">
        <v>615</v>
      </c>
    </row>
    <row r="1993" spans="1:19" x14ac:dyDescent="0.2">
      <c r="A1993" t="s">
        <v>2604</v>
      </c>
      <c r="B1993" t="s">
        <v>90</v>
      </c>
      <c r="C1993" t="s">
        <v>597</v>
      </c>
      <c r="D1993">
        <v>2147.31</v>
      </c>
      <c r="E1993" s="37" t="str">
        <f t="shared" si="155"/>
        <v xml:space="preserve"> </v>
      </c>
      <c r="F1993">
        <v>0.01</v>
      </c>
      <c r="G1993" s="37" t="str">
        <f t="shared" si="156"/>
        <v>Normal Discount</v>
      </c>
      <c r="H1993" s="37" t="str">
        <f t="shared" si="157"/>
        <v>Low</v>
      </c>
      <c r="I1993">
        <v>7</v>
      </c>
      <c r="J1993" t="str" cm="1">
        <f t="array" ref="J1993">_xlfn.IFS(I1993&lt;=3,"small",I1993&lt;=6,"Medium",I1993&lt;=9,"Large")</f>
        <v>Large</v>
      </c>
      <c r="K1993" s="36">
        <v>45071</v>
      </c>
      <c r="L1993" s="36">
        <v>45078</v>
      </c>
      <c r="M1993" t="s">
        <v>598</v>
      </c>
      <c r="N1993" t="s">
        <v>599</v>
      </c>
      <c r="O1993" s="37" t="str">
        <f t="shared" si="158"/>
        <v>Digital Payment</v>
      </c>
      <c r="P1993">
        <v>110.79</v>
      </c>
      <c r="Q1993" s="37" t="str">
        <f>IF(P1993&gt;500,"High","low")</f>
        <v>low</v>
      </c>
      <c r="R1993" s="37" t="str">
        <f t="shared" si="159"/>
        <v>AVERAGE</v>
      </c>
      <c r="S1993" t="s">
        <v>605</v>
      </c>
    </row>
    <row r="1994" spans="1:19" x14ac:dyDescent="0.2">
      <c r="A1994" t="s">
        <v>2605</v>
      </c>
      <c r="B1994" t="s">
        <v>90</v>
      </c>
      <c r="C1994" t="s">
        <v>597</v>
      </c>
      <c r="D1994">
        <v>1468.12</v>
      </c>
      <c r="E1994" s="37" t="str">
        <f t="shared" si="155"/>
        <v xml:space="preserve"> </v>
      </c>
      <c r="F1994">
        <v>0.04</v>
      </c>
      <c r="G1994" s="37" t="str">
        <f t="shared" si="156"/>
        <v>Normal Discount</v>
      </c>
      <c r="H1994" s="37" t="str">
        <f t="shared" si="157"/>
        <v>Low</v>
      </c>
      <c r="I1994">
        <v>6</v>
      </c>
      <c r="J1994" t="str" cm="1">
        <f t="array" ref="J1994">_xlfn.IFS(I1994&lt;=3,"small",I1994&lt;=6,"Medium",I1994&lt;=9,"Large")</f>
        <v>Medium</v>
      </c>
      <c r="K1994" s="36">
        <v>45132</v>
      </c>
      <c r="L1994" s="36">
        <v>45135</v>
      </c>
      <c r="M1994" t="s">
        <v>598</v>
      </c>
      <c r="N1994" t="s">
        <v>599</v>
      </c>
      <c r="O1994" s="37" t="str">
        <f t="shared" si="158"/>
        <v>Digital Payment</v>
      </c>
      <c r="P1994">
        <v>160.28</v>
      </c>
      <c r="Q1994" s="37" t="str">
        <f>IF(P1994&gt;500,"High","low")</f>
        <v>low</v>
      </c>
      <c r="R1994" s="37" t="str">
        <f t="shared" si="159"/>
        <v>AVERAGE</v>
      </c>
      <c r="S1994" t="s">
        <v>600</v>
      </c>
    </row>
    <row r="1995" spans="1:19" x14ac:dyDescent="0.2">
      <c r="A1995" t="s">
        <v>2606</v>
      </c>
      <c r="B1995" t="s">
        <v>75</v>
      </c>
      <c r="C1995" t="s">
        <v>602</v>
      </c>
      <c r="D1995">
        <v>2776.02</v>
      </c>
      <c r="E1995" s="37" t="str">
        <f t="shared" si="155"/>
        <v xml:space="preserve"> </v>
      </c>
      <c r="F1995">
        <v>0.09</v>
      </c>
      <c r="G1995" s="37" t="str">
        <f t="shared" si="156"/>
        <v>Normal Discount</v>
      </c>
      <c r="H1995" s="37" t="str">
        <f t="shared" si="157"/>
        <v>Low</v>
      </c>
      <c r="I1995">
        <v>1</v>
      </c>
      <c r="J1995" t="str" cm="1">
        <f t="array" ref="J1995">_xlfn.IFS(I1995&lt;=3,"small",I1995&lt;=6,"Medium",I1995&lt;=9,"Large")</f>
        <v>small</v>
      </c>
      <c r="K1995" s="36">
        <v>45016</v>
      </c>
      <c r="L1995" s="36">
        <v>45020</v>
      </c>
      <c r="M1995" t="s">
        <v>612</v>
      </c>
      <c r="N1995" t="s">
        <v>608</v>
      </c>
      <c r="O1995" s="37" t="str">
        <f t="shared" si="158"/>
        <v>Cash Payment</v>
      </c>
      <c r="P1995">
        <v>681.13</v>
      </c>
      <c r="Q1995" s="37" t="str">
        <f>IF(P1995&gt;500,"High","low")</f>
        <v>High</v>
      </c>
      <c r="R1995" s="37" t="str">
        <f t="shared" si="159"/>
        <v>Good</v>
      </c>
      <c r="S1995" t="s">
        <v>615</v>
      </c>
    </row>
    <row r="1996" spans="1:19" x14ac:dyDescent="0.2">
      <c r="A1996" t="s">
        <v>2607</v>
      </c>
      <c r="B1996" t="s">
        <v>75</v>
      </c>
      <c r="C1996" t="s">
        <v>614</v>
      </c>
      <c r="D1996">
        <v>1937.21</v>
      </c>
      <c r="E1996" s="37" t="str">
        <f t="shared" si="155"/>
        <v xml:space="preserve"> </v>
      </c>
      <c r="F1996">
        <v>0.06</v>
      </c>
      <c r="G1996" s="37" t="str">
        <f t="shared" si="156"/>
        <v>Normal Discount</v>
      </c>
      <c r="H1996" s="37" t="str">
        <f t="shared" si="157"/>
        <v>Low</v>
      </c>
      <c r="I1996">
        <v>8</v>
      </c>
      <c r="J1996" t="str" cm="1">
        <f t="array" ref="J1996">_xlfn.IFS(I1996&lt;=3,"small",I1996&lt;=6,"Medium",I1996&lt;=9,"Large")</f>
        <v>Large</v>
      </c>
      <c r="K1996" s="36">
        <v>45377</v>
      </c>
      <c r="L1996" s="36">
        <v>45381</v>
      </c>
      <c r="M1996" t="s">
        <v>598</v>
      </c>
      <c r="N1996" t="s">
        <v>599</v>
      </c>
      <c r="O1996" s="37" t="str">
        <f t="shared" si="158"/>
        <v>Digital Payment</v>
      </c>
      <c r="P1996">
        <v>261.17</v>
      </c>
      <c r="Q1996" s="37" t="str">
        <f>IF(P1996&gt;500,"High","low")</f>
        <v>low</v>
      </c>
      <c r="R1996" s="37" t="str">
        <f t="shared" si="159"/>
        <v>AVERAGE</v>
      </c>
      <c r="S1996" t="s">
        <v>615</v>
      </c>
    </row>
    <row r="1997" spans="1:19" x14ac:dyDescent="0.2">
      <c r="A1997" t="s">
        <v>2608</v>
      </c>
      <c r="B1997" t="s">
        <v>75</v>
      </c>
      <c r="C1997" t="s">
        <v>597</v>
      </c>
      <c r="D1997">
        <v>1192.26</v>
      </c>
      <c r="E1997" s="37" t="str">
        <f t="shared" si="155"/>
        <v xml:space="preserve"> </v>
      </c>
      <c r="F1997">
        <v>0.1</v>
      </c>
      <c r="G1997" s="37" t="str">
        <f t="shared" si="156"/>
        <v>Normal Discount</v>
      </c>
      <c r="H1997" s="37" t="str">
        <f t="shared" si="157"/>
        <v>Low</v>
      </c>
      <c r="I1997">
        <v>8</v>
      </c>
      <c r="J1997" t="str" cm="1">
        <f t="array" ref="J1997">_xlfn.IFS(I1997&lt;=3,"small",I1997&lt;=6,"Medium",I1997&lt;=9,"Large")</f>
        <v>Large</v>
      </c>
      <c r="K1997" s="36">
        <v>45096</v>
      </c>
      <c r="L1997" s="36">
        <v>45099</v>
      </c>
      <c r="M1997" t="s">
        <v>612</v>
      </c>
      <c r="N1997" t="s">
        <v>604</v>
      </c>
      <c r="O1997" s="37" t="str">
        <f t="shared" si="158"/>
        <v>Digital Payment</v>
      </c>
      <c r="P1997">
        <v>231.26</v>
      </c>
      <c r="Q1997" s="37" t="str">
        <f>IF(P1997&gt;500,"High","low")</f>
        <v>low</v>
      </c>
      <c r="R1997" s="37" t="str">
        <f t="shared" si="159"/>
        <v>AVERAGE</v>
      </c>
      <c r="S1997" t="s">
        <v>615</v>
      </c>
    </row>
    <row r="1998" spans="1:19" x14ac:dyDescent="0.2">
      <c r="A1998" t="s">
        <v>2609</v>
      </c>
      <c r="B1998" t="s">
        <v>83</v>
      </c>
      <c r="C1998" t="s">
        <v>597</v>
      </c>
      <c r="D1998">
        <v>4212.26</v>
      </c>
      <c r="E1998" s="37" t="str">
        <f t="shared" si="155"/>
        <v xml:space="preserve"> </v>
      </c>
      <c r="F1998">
        <v>0.34</v>
      </c>
      <c r="G1998" s="37" t="str">
        <f t="shared" si="156"/>
        <v>Heavy Discount</v>
      </c>
      <c r="H1998" s="37" t="str">
        <f t="shared" si="157"/>
        <v>Medium</v>
      </c>
      <c r="I1998">
        <v>4</v>
      </c>
      <c r="J1998" t="str" cm="1">
        <f t="array" ref="J1998">_xlfn.IFS(I1998&lt;=3,"small",I1998&lt;=6,"Medium",I1998&lt;=9,"Large")</f>
        <v>Medium</v>
      </c>
      <c r="K1998" s="36">
        <v>45164</v>
      </c>
      <c r="L1998" s="36">
        <v>45170</v>
      </c>
      <c r="M1998" t="s">
        <v>612</v>
      </c>
      <c r="N1998" t="s">
        <v>599</v>
      </c>
      <c r="O1998" s="37" t="str">
        <f t="shared" si="158"/>
        <v>Digital Payment</v>
      </c>
      <c r="P1998">
        <v>508.01</v>
      </c>
      <c r="Q1998" s="37" t="str">
        <f>IF(P1998&gt;500,"High","low")</f>
        <v>High</v>
      </c>
      <c r="R1998" s="37" t="str">
        <f t="shared" si="159"/>
        <v>Good</v>
      </c>
      <c r="S1998" t="s">
        <v>609</v>
      </c>
    </row>
    <row r="1999" spans="1:19" x14ac:dyDescent="0.2">
      <c r="A1999" t="s">
        <v>2610</v>
      </c>
      <c r="B1999" t="s">
        <v>75</v>
      </c>
      <c r="C1999" t="s">
        <v>617</v>
      </c>
      <c r="D1999">
        <v>2431.5700000000002</v>
      </c>
      <c r="E1999" s="37" t="str">
        <f t="shared" si="155"/>
        <v xml:space="preserve"> </v>
      </c>
      <c r="F1999">
        <v>0.02</v>
      </c>
      <c r="G1999" s="37" t="str">
        <f t="shared" si="156"/>
        <v>Normal Discount</v>
      </c>
      <c r="H1999" s="37" t="str">
        <f t="shared" si="157"/>
        <v>Low</v>
      </c>
      <c r="I1999">
        <v>4</v>
      </c>
      <c r="J1999" t="str" cm="1">
        <f t="array" ref="J1999">_xlfn.IFS(I1999&lt;=3,"small",I1999&lt;=6,"Medium",I1999&lt;=9,"Large")</f>
        <v>Medium</v>
      </c>
      <c r="K1999" s="36">
        <v>45389</v>
      </c>
      <c r="L1999" s="36">
        <v>45392</v>
      </c>
      <c r="M1999" t="s">
        <v>612</v>
      </c>
      <c r="N1999" t="s">
        <v>604</v>
      </c>
      <c r="O1999" s="37" t="str">
        <f t="shared" si="158"/>
        <v>Digital Payment</v>
      </c>
      <c r="P1999">
        <v>172.57</v>
      </c>
      <c r="Q1999" s="37" t="str">
        <f>IF(P1999&gt;500,"High","low")</f>
        <v>low</v>
      </c>
      <c r="R1999" s="37" t="str">
        <f t="shared" si="159"/>
        <v>AVERAGE</v>
      </c>
      <c r="S1999" t="s">
        <v>628</v>
      </c>
    </row>
    <row r="2000" spans="1:19" x14ac:dyDescent="0.2">
      <c r="A2000" t="s">
        <v>2611</v>
      </c>
      <c r="B2000" t="s">
        <v>90</v>
      </c>
      <c r="C2000" t="s">
        <v>617</v>
      </c>
      <c r="D2000">
        <v>4251.8500000000004</v>
      </c>
      <c r="E2000" s="37" t="str">
        <f t="shared" si="155"/>
        <v xml:space="preserve"> </v>
      </c>
      <c r="F2000">
        <v>0.02</v>
      </c>
      <c r="G2000" s="37" t="str">
        <f t="shared" si="156"/>
        <v>Normal Discount</v>
      </c>
      <c r="H2000" s="37" t="str">
        <f t="shared" si="157"/>
        <v>Low</v>
      </c>
      <c r="I2000">
        <v>1</v>
      </c>
      <c r="J2000" t="str" cm="1">
        <f t="array" ref="J2000">_xlfn.IFS(I2000&lt;=3,"small",I2000&lt;=6,"Medium",I2000&lt;=9,"Large")</f>
        <v>small</v>
      </c>
      <c r="K2000" s="36">
        <v>45326</v>
      </c>
      <c r="L2000" s="36">
        <v>45329</v>
      </c>
      <c r="M2000" t="s">
        <v>612</v>
      </c>
      <c r="N2000" t="s">
        <v>608</v>
      </c>
      <c r="O2000" s="37" t="str">
        <f t="shared" si="158"/>
        <v>Cash Payment</v>
      </c>
      <c r="P2000">
        <v>480.53</v>
      </c>
      <c r="Q2000" s="37" t="str">
        <f>IF(P2000&gt;500,"High","low")</f>
        <v>low</v>
      </c>
      <c r="R2000" s="37" t="str">
        <f t="shared" si="159"/>
        <v>AVERAGE</v>
      </c>
      <c r="S2000" t="s">
        <v>620</v>
      </c>
    </row>
    <row r="2001" spans="1:19" x14ac:dyDescent="0.2">
      <c r="A2001" t="s">
        <v>2612</v>
      </c>
      <c r="B2001" t="s">
        <v>75</v>
      </c>
      <c r="C2001" t="s">
        <v>602</v>
      </c>
      <c r="D2001">
        <v>2422.75</v>
      </c>
      <c r="E2001" s="37" t="str">
        <f t="shared" si="155"/>
        <v xml:space="preserve"> </v>
      </c>
      <c r="F2001">
        <v>0.02</v>
      </c>
      <c r="G2001" s="37" t="str">
        <f t="shared" si="156"/>
        <v>Normal Discount</v>
      </c>
      <c r="H2001" s="37" t="str">
        <f t="shared" si="157"/>
        <v>Low</v>
      </c>
      <c r="I2001">
        <v>9</v>
      </c>
      <c r="J2001" t="str" cm="1">
        <f t="array" ref="J2001">_xlfn.IFS(I2001&lt;=3,"small",I2001&lt;=6,"Medium",I2001&lt;=9,"Large")</f>
        <v>Large</v>
      </c>
      <c r="K2001" s="36">
        <v>45092</v>
      </c>
      <c r="L2001" s="36">
        <v>45094</v>
      </c>
      <c r="M2001" t="s">
        <v>603</v>
      </c>
      <c r="N2001" t="s">
        <v>608</v>
      </c>
      <c r="O2001" s="37" t="str">
        <f t="shared" si="158"/>
        <v>Cash Payment</v>
      </c>
      <c r="P2001">
        <v>620.4</v>
      </c>
      <c r="Q2001" s="37" t="str">
        <f>IF(P2001&gt;500,"High","low")</f>
        <v>High</v>
      </c>
      <c r="R2001" s="37" t="str">
        <f t="shared" si="159"/>
        <v>Good</v>
      </c>
      <c r="S2001" t="s">
        <v>628</v>
      </c>
    </row>
    <row r="2002" spans="1:19" x14ac:dyDescent="0.2">
      <c r="A2002" t="s">
        <v>2613</v>
      </c>
      <c r="B2002" t="s">
        <v>90</v>
      </c>
      <c r="C2002" t="s">
        <v>602</v>
      </c>
      <c r="D2002">
        <v>2828.31</v>
      </c>
      <c r="E2002" s="37" t="str">
        <f t="shared" si="155"/>
        <v xml:space="preserve"> </v>
      </c>
      <c r="F2002">
        <v>0.35</v>
      </c>
      <c r="G2002" s="37" t="str">
        <f t="shared" si="156"/>
        <v>Heavy Discount</v>
      </c>
      <c r="H2002" s="37" t="str">
        <f t="shared" si="157"/>
        <v>Medium</v>
      </c>
      <c r="I2002">
        <v>8</v>
      </c>
      <c r="J2002" t="str" cm="1">
        <f t="array" ref="J2002">_xlfn.IFS(I2002&lt;=3,"small",I2002&lt;=6,"Medium",I2002&lt;=9,"Large")</f>
        <v>Large</v>
      </c>
      <c r="K2002" s="36">
        <v>45580</v>
      </c>
      <c r="L2002" s="36">
        <v>45585</v>
      </c>
      <c r="M2002" t="s">
        <v>612</v>
      </c>
      <c r="N2002" t="s">
        <v>608</v>
      </c>
      <c r="O2002" s="37" t="str">
        <f t="shared" si="158"/>
        <v>Cash Payment</v>
      </c>
      <c r="P2002">
        <v>382.22</v>
      </c>
      <c r="Q2002" s="37" t="str">
        <f>IF(P2002&gt;500,"High","low")</f>
        <v>low</v>
      </c>
      <c r="R2002" s="37" t="str">
        <f t="shared" si="159"/>
        <v>AVERAGE</v>
      </c>
      <c r="S2002" t="s">
        <v>609</v>
      </c>
    </row>
    <row r="2003" spans="1:19" x14ac:dyDescent="0.2">
      <c r="A2003" t="s">
        <v>2614</v>
      </c>
      <c r="B2003" t="s">
        <v>67</v>
      </c>
      <c r="C2003" t="s">
        <v>602</v>
      </c>
      <c r="D2003">
        <v>4976.87</v>
      </c>
      <c r="E2003" s="37" t="str">
        <f t="shared" si="155"/>
        <v>Excellent Order</v>
      </c>
      <c r="F2003">
        <v>0.27</v>
      </c>
      <c r="G2003" s="37" t="str">
        <f t="shared" si="156"/>
        <v>Normal Discount</v>
      </c>
      <c r="H2003" s="37" t="str">
        <f t="shared" si="157"/>
        <v>Medium</v>
      </c>
      <c r="I2003">
        <v>7</v>
      </c>
      <c r="J2003" t="str" cm="1">
        <f t="array" ref="J2003">_xlfn.IFS(I2003&lt;=3,"small",I2003&lt;=6,"Medium",I2003&lt;=9,"Large")</f>
        <v>Large</v>
      </c>
      <c r="K2003" s="36">
        <v>45346</v>
      </c>
      <c r="L2003" s="36">
        <v>45349</v>
      </c>
      <c r="M2003" t="s">
        <v>603</v>
      </c>
      <c r="N2003" t="s">
        <v>608</v>
      </c>
      <c r="O2003" s="37" t="str">
        <f t="shared" si="158"/>
        <v>Cash Payment</v>
      </c>
      <c r="P2003">
        <v>931.86</v>
      </c>
      <c r="Q2003" s="37" t="str">
        <f>IF(P2003&gt;500,"High","low")</f>
        <v>High</v>
      </c>
      <c r="R2003" s="37" t="str">
        <f t="shared" si="159"/>
        <v>Good</v>
      </c>
      <c r="S2003" t="s">
        <v>628</v>
      </c>
    </row>
    <row r="2004" spans="1:19" x14ac:dyDescent="0.2">
      <c r="A2004" t="s">
        <v>2615</v>
      </c>
      <c r="B2004" t="s">
        <v>83</v>
      </c>
      <c r="C2004" t="s">
        <v>617</v>
      </c>
      <c r="D2004">
        <v>4762.37</v>
      </c>
      <c r="E2004" s="37" t="str">
        <f t="shared" si="155"/>
        <v xml:space="preserve"> </v>
      </c>
      <c r="F2004">
        <v>0.19</v>
      </c>
      <c r="G2004" s="37" t="str">
        <f t="shared" si="156"/>
        <v>Normal Discount</v>
      </c>
      <c r="H2004" s="37" t="str">
        <f t="shared" si="157"/>
        <v>Low</v>
      </c>
      <c r="I2004">
        <v>2</v>
      </c>
      <c r="J2004" t="str" cm="1">
        <f t="array" ref="J2004">_xlfn.IFS(I2004&lt;=3,"small",I2004&lt;=6,"Medium",I2004&lt;=9,"Large")</f>
        <v>small</v>
      </c>
      <c r="K2004" s="36">
        <v>45323</v>
      </c>
      <c r="L2004" s="36">
        <v>45325</v>
      </c>
      <c r="M2004" t="s">
        <v>612</v>
      </c>
      <c r="N2004" t="s">
        <v>608</v>
      </c>
      <c r="O2004" s="37" t="str">
        <f t="shared" si="158"/>
        <v>Cash Payment</v>
      </c>
      <c r="P2004">
        <v>253.69</v>
      </c>
      <c r="Q2004" s="37" t="str">
        <f>IF(P2004&gt;500,"High","low")</f>
        <v>low</v>
      </c>
      <c r="R2004" s="37" t="str">
        <f t="shared" si="159"/>
        <v>AVERAGE</v>
      </c>
      <c r="S2004" t="s">
        <v>609</v>
      </c>
    </row>
    <row r="2005" spans="1:19" x14ac:dyDescent="0.2">
      <c r="A2005" t="s">
        <v>2616</v>
      </c>
      <c r="B2005" t="s">
        <v>67</v>
      </c>
      <c r="C2005" t="s">
        <v>617</v>
      </c>
      <c r="D2005">
        <v>1431.28</v>
      </c>
      <c r="E2005" s="37" t="str">
        <f t="shared" si="155"/>
        <v xml:space="preserve"> </v>
      </c>
      <c r="F2005">
        <v>0.34</v>
      </c>
      <c r="G2005" s="37" t="str">
        <f t="shared" si="156"/>
        <v>Heavy Discount</v>
      </c>
      <c r="H2005" s="37" t="str">
        <f t="shared" si="157"/>
        <v>Medium</v>
      </c>
      <c r="I2005">
        <v>7</v>
      </c>
      <c r="J2005" t="str" cm="1">
        <f t="array" ref="J2005">_xlfn.IFS(I2005&lt;=3,"small",I2005&lt;=6,"Medium",I2005&lt;=9,"Large")</f>
        <v>Large</v>
      </c>
      <c r="K2005" s="36">
        <v>45113</v>
      </c>
      <c r="L2005" s="36">
        <v>45114</v>
      </c>
      <c r="M2005" t="s">
        <v>603</v>
      </c>
      <c r="N2005" t="s">
        <v>599</v>
      </c>
      <c r="O2005" s="37" t="str">
        <f t="shared" si="158"/>
        <v>Digital Payment</v>
      </c>
      <c r="P2005">
        <v>258.37</v>
      </c>
      <c r="Q2005" s="37" t="str">
        <f>IF(P2005&gt;500,"High","low")</f>
        <v>low</v>
      </c>
      <c r="R2005" s="37" t="str">
        <f t="shared" si="159"/>
        <v>AVERAGE</v>
      </c>
      <c r="S2005" t="s">
        <v>615</v>
      </c>
    </row>
    <row r="2006" spans="1:19" x14ac:dyDescent="0.2">
      <c r="A2006" t="s">
        <v>2617</v>
      </c>
      <c r="B2006" t="s">
        <v>67</v>
      </c>
      <c r="C2006" t="s">
        <v>614</v>
      </c>
      <c r="D2006">
        <v>4356.41</v>
      </c>
      <c r="E2006" s="37" t="str">
        <f t="shared" si="155"/>
        <v>Excellent Order</v>
      </c>
      <c r="F2006">
        <v>0.28000000000000003</v>
      </c>
      <c r="G2006" s="37" t="str">
        <f t="shared" si="156"/>
        <v>Normal Discount</v>
      </c>
      <c r="H2006" s="37" t="str">
        <f t="shared" si="157"/>
        <v>Medium</v>
      </c>
      <c r="I2006">
        <v>4</v>
      </c>
      <c r="J2006" t="str" cm="1">
        <f t="array" ref="J2006">_xlfn.IFS(I2006&lt;=3,"small",I2006&lt;=6,"Medium",I2006&lt;=9,"Large")</f>
        <v>Medium</v>
      </c>
      <c r="K2006" s="36">
        <v>45593</v>
      </c>
      <c r="L2006" s="36">
        <v>45599</v>
      </c>
      <c r="M2006" t="s">
        <v>603</v>
      </c>
      <c r="N2006" t="s">
        <v>599</v>
      </c>
      <c r="O2006" s="37" t="str">
        <f t="shared" si="158"/>
        <v>Digital Payment</v>
      </c>
      <c r="P2006">
        <v>1006.95</v>
      </c>
      <c r="Q2006" s="37" t="str">
        <f>IF(P2006&gt;500,"High","low")</f>
        <v>High</v>
      </c>
      <c r="R2006" s="37" t="str">
        <f t="shared" si="159"/>
        <v>Excellent</v>
      </c>
      <c r="S2006" t="s">
        <v>600</v>
      </c>
    </row>
    <row r="2007" spans="1:19" x14ac:dyDescent="0.2">
      <c r="A2007" t="s">
        <v>2618</v>
      </c>
      <c r="B2007" t="s">
        <v>90</v>
      </c>
      <c r="C2007" t="s">
        <v>607</v>
      </c>
      <c r="D2007">
        <v>2012.98</v>
      </c>
      <c r="E2007" s="37" t="str">
        <f t="shared" si="155"/>
        <v xml:space="preserve"> </v>
      </c>
      <c r="F2007">
        <v>0</v>
      </c>
      <c r="G2007" s="37" t="str">
        <f t="shared" si="156"/>
        <v>Normal Discount</v>
      </c>
      <c r="H2007" s="37" t="str">
        <f t="shared" si="157"/>
        <v>Low</v>
      </c>
      <c r="I2007">
        <v>3</v>
      </c>
      <c r="J2007" t="str" cm="1">
        <f t="array" ref="J2007">_xlfn.IFS(I2007&lt;=3,"small",I2007&lt;=6,"Medium",I2007&lt;=9,"Large")</f>
        <v>small</v>
      </c>
      <c r="K2007" s="36">
        <v>45190</v>
      </c>
      <c r="L2007" s="36">
        <v>45192</v>
      </c>
      <c r="M2007" t="s">
        <v>612</v>
      </c>
      <c r="N2007" t="s">
        <v>608</v>
      </c>
      <c r="O2007" s="37" t="str">
        <f t="shared" si="158"/>
        <v>Cash Payment</v>
      </c>
      <c r="P2007">
        <v>393.48</v>
      </c>
      <c r="Q2007" s="37" t="str">
        <f>IF(P2007&gt;500,"High","low")</f>
        <v>low</v>
      </c>
      <c r="R2007" s="37" t="str">
        <f t="shared" si="159"/>
        <v>AVERAGE</v>
      </c>
      <c r="S2007" t="s">
        <v>628</v>
      </c>
    </row>
    <row r="2008" spans="1:19" x14ac:dyDescent="0.2">
      <c r="A2008" t="s">
        <v>2619</v>
      </c>
      <c r="B2008" t="s">
        <v>67</v>
      </c>
      <c r="C2008" t="s">
        <v>607</v>
      </c>
      <c r="D2008">
        <v>449.12</v>
      </c>
      <c r="E2008" s="37" t="str">
        <f t="shared" si="155"/>
        <v xml:space="preserve"> </v>
      </c>
      <c r="F2008">
        <v>0.42</v>
      </c>
      <c r="G2008" s="37" t="str">
        <f t="shared" si="156"/>
        <v>Heavy Discount</v>
      </c>
      <c r="H2008" s="37" t="str">
        <f t="shared" si="157"/>
        <v>High</v>
      </c>
      <c r="I2008">
        <v>4</v>
      </c>
      <c r="J2008" t="str" cm="1">
        <f t="array" ref="J2008">_xlfn.IFS(I2008&lt;=3,"small",I2008&lt;=6,"Medium",I2008&lt;=9,"Large")</f>
        <v>Medium</v>
      </c>
      <c r="K2008" s="36">
        <v>45013</v>
      </c>
      <c r="L2008" s="36">
        <v>45019</v>
      </c>
      <c r="M2008" t="s">
        <v>603</v>
      </c>
      <c r="N2008" t="s">
        <v>604</v>
      </c>
      <c r="O2008" s="37" t="str">
        <f t="shared" si="158"/>
        <v>Digital Payment</v>
      </c>
      <c r="P2008">
        <v>25.01</v>
      </c>
      <c r="Q2008" s="37" t="str">
        <f>IF(P2008&gt;500,"High","low")</f>
        <v>low</v>
      </c>
      <c r="R2008" s="37" t="str">
        <f t="shared" si="159"/>
        <v>AVERAGE</v>
      </c>
      <c r="S2008" t="s">
        <v>600</v>
      </c>
    </row>
    <row r="2009" spans="1:19" x14ac:dyDescent="0.2">
      <c r="A2009" t="s">
        <v>2620</v>
      </c>
      <c r="B2009" t="s">
        <v>90</v>
      </c>
      <c r="C2009" t="s">
        <v>614</v>
      </c>
      <c r="D2009">
        <v>2921.33</v>
      </c>
      <c r="E2009" s="37" t="str">
        <f t="shared" si="155"/>
        <v xml:space="preserve"> </v>
      </c>
      <c r="F2009">
        <v>0.18</v>
      </c>
      <c r="G2009" s="37" t="str">
        <f t="shared" si="156"/>
        <v>Normal Discount</v>
      </c>
      <c r="H2009" s="37" t="str">
        <f t="shared" si="157"/>
        <v>Low</v>
      </c>
      <c r="I2009">
        <v>6</v>
      </c>
      <c r="J2009" t="str" cm="1">
        <f t="array" ref="J2009">_xlfn.IFS(I2009&lt;=3,"small",I2009&lt;=6,"Medium",I2009&lt;=9,"Large")</f>
        <v>Medium</v>
      </c>
      <c r="K2009" s="36">
        <v>45159</v>
      </c>
      <c r="L2009" s="36">
        <v>45164</v>
      </c>
      <c r="M2009" t="s">
        <v>603</v>
      </c>
      <c r="N2009" t="s">
        <v>599</v>
      </c>
      <c r="O2009" s="37" t="str">
        <f t="shared" si="158"/>
        <v>Digital Payment</v>
      </c>
      <c r="P2009">
        <v>161.52000000000001</v>
      </c>
      <c r="Q2009" s="37" t="str">
        <f>IF(P2009&gt;500,"High","low")</f>
        <v>low</v>
      </c>
      <c r="R2009" s="37" t="str">
        <f t="shared" si="159"/>
        <v>AVERAGE</v>
      </c>
      <c r="S2009" t="s">
        <v>605</v>
      </c>
    </row>
    <row r="2010" spans="1:19" x14ac:dyDescent="0.2">
      <c r="A2010" t="s">
        <v>2621</v>
      </c>
      <c r="B2010" t="s">
        <v>75</v>
      </c>
      <c r="C2010" t="s">
        <v>607</v>
      </c>
      <c r="D2010">
        <v>4887.55</v>
      </c>
      <c r="E2010" s="37" t="str">
        <f t="shared" si="155"/>
        <v>Excellent Order</v>
      </c>
      <c r="F2010">
        <v>0.2</v>
      </c>
      <c r="G2010" s="37" t="str">
        <f t="shared" si="156"/>
        <v>Normal Discount</v>
      </c>
      <c r="H2010" s="37" t="str">
        <f t="shared" si="157"/>
        <v>Medium</v>
      </c>
      <c r="I2010">
        <v>7</v>
      </c>
      <c r="J2010" t="str" cm="1">
        <f t="array" ref="J2010">_xlfn.IFS(I2010&lt;=3,"small",I2010&lt;=6,"Medium",I2010&lt;=9,"Large")</f>
        <v>Large</v>
      </c>
      <c r="K2010" s="36">
        <v>45235</v>
      </c>
      <c r="L2010" s="36">
        <v>45236</v>
      </c>
      <c r="M2010" t="s">
        <v>598</v>
      </c>
      <c r="N2010" t="s">
        <v>608</v>
      </c>
      <c r="O2010" s="37" t="str">
        <f t="shared" si="158"/>
        <v>Cash Payment</v>
      </c>
      <c r="P2010">
        <v>1328.36</v>
      </c>
      <c r="Q2010" s="37" t="str">
        <f>IF(P2010&gt;500,"High","low")</f>
        <v>High</v>
      </c>
      <c r="R2010" s="37" t="str">
        <f t="shared" si="159"/>
        <v>Excellent</v>
      </c>
      <c r="S2010" t="s">
        <v>600</v>
      </c>
    </row>
    <row r="2011" spans="1:19" x14ac:dyDescent="0.2">
      <c r="A2011" t="s">
        <v>2622</v>
      </c>
      <c r="B2011" t="s">
        <v>75</v>
      </c>
      <c r="C2011" t="s">
        <v>617</v>
      </c>
      <c r="D2011">
        <v>4874.1400000000003</v>
      </c>
      <c r="E2011" s="37" t="str">
        <f t="shared" si="155"/>
        <v xml:space="preserve"> </v>
      </c>
      <c r="F2011">
        <v>0.39</v>
      </c>
      <c r="G2011" s="37" t="str">
        <f t="shared" si="156"/>
        <v>Heavy Discount</v>
      </c>
      <c r="H2011" s="37" t="str">
        <f t="shared" si="157"/>
        <v>Medium</v>
      </c>
      <c r="I2011">
        <v>2</v>
      </c>
      <c r="J2011" t="str" cm="1">
        <f t="array" ref="J2011">_xlfn.IFS(I2011&lt;=3,"small",I2011&lt;=6,"Medium",I2011&lt;=9,"Large")</f>
        <v>small</v>
      </c>
      <c r="K2011" s="36">
        <v>45641</v>
      </c>
      <c r="L2011" s="36">
        <v>45644</v>
      </c>
      <c r="M2011" t="s">
        <v>612</v>
      </c>
      <c r="N2011" t="s">
        <v>608</v>
      </c>
      <c r="O2011" s="37" t="str">
        <f t="shared" si="158"/>
        <v>Cash Payment</v>
      </c>
      <c r="P2011">
        <v>505.04</v>
      </c>
      <c r="Q2011" s="37" t="str">
        <f>IF(P2011&gt;500,"High","low")</f>
        <v>High</v>
      </c>
      <c r="R2011" s="37" t="str">
        <f t="shared" si="159"/>
        <v>Good</v>
      </c>
      <c r="S2011" t="s">
        <v>600</v>
      </c>
    </row>
    <row r="2012" spans="1:19" x14ac:dyDescent="0.2">
      <c r="A2012" t="s">
        <v>2623</v>
      </c>
      <c r="B2012" t="s">
        <v>90</v>
      </c>
      <c r="C2012" t="s">
        <v>607</v>
      </c>
      <c r="D2012">
        <v>719.68</v>
      </c>
      <c r="E2012" s="37" t="str">
        <f t="shared" si="155"/>
        <v xml:space="preserve"> </v>
      </c>
      <c r="F2012">
        <v>0.09</v>
      </c>
      <c r="G2012" s="37" t="str">
        <f t="shared" si="156"/>
        <v>Normal Discount</v>
      </c>
      <c r="H2012" s="37" t="str">
        <f t="shared" si="157"/>
        <v>Low</v>
      </c>
      <c r="I2012">
        <v>7</v>
      </c>
      <c r="J2012" t="str" cm="1">
        <f t="array" ref="J2012">_xlfn.IFS(I2012&lt;=3,"small",I2012&lt;=6,"Medium",I2012&lt;=9,"Large")</f>
        <v>Large</v>
      </c>
      <c r="K2012" s="36">
        <v>45059</v>
      </c>
      <c r="L2012" s="36">
        <v>45062</v>
      </c>
      <c r="M2012" t="s">
        <v>598</v>
      </c>
      <c r="N2012" t="s">
        <v>599</v>
      </c>
      <c r="O2012" s="37" t="str">
        <f t="shared" si="158"/>
        <v>Digital Payment</v>
      </c>
      <c r="P2012">
        <v>158.86000000000001</v>
      </c>
      <c r="Q2012" s="37" t="str">
        <f>IF(P2012&gt;500,"High","low")</f>
        <v>low</v>
      </c>
      <c r="R2012" s="37" t="str">
        <f t="shared" si="159"/>
        <v>AVERAGE</v>
      </c>
      <c r="S2012" t="s">
        <v>609</v>
      </c>
    </row>
    <row r="2013" spans="1:19" x14ac:dyDescent="0.2">
      <c r="A2013" t="s">
        <v>2624</v>
      </c>
      <c r="B2013" t="s">
        <v>75</v>
      </c>
      <c r="C2013" t="s">
        <v>617</v>
      </c>
      <c r="D2013">
        <v>3879.06</v>
      </c>
      <c r="E2013" s="37" t="str">
        <f t="shared" si="155"/>
        <v xml:space="preserve"> </v>
      </c>
      <c r="F2013">
        <v>0.01</v>
      </c>
      <c r="G2013" s="37" t="str">
        <f t="shared" si="156"/>
        <v>Normal Discount</v>
      </c>
      <c r="H2013" s="37" t="str">
        <f t="shared" si="157"/>
        <v>Low</v>
      </c>
      <c r="I2013">
        <v>2</v>
      </c>
      <c r="J2013" t="str" cm="1">
        <f t="array" ref="J2013">_xlfn.IFS(I2013&lt;=3,"small",I2013&lt;=6,"Medium",I2013&lt;=9,"Large")</f>
        <v>small</v>
      </c>
      <c r="K2013" s="36">
        <v>45571</v>
      </c>
      <c r="L2013" s="36">
        <v>45578</v>
      </c>
      <c r="M2013" t="s">
        <v>612</v>
      </c>
      <c r="N2013" t="s">
        <v>604</v>
      </c>
      <c r="O2013" s="37" t="str">
        <f t="shared" si="158"/>
        <v>Digital Payment</v>
      </c>
      <c r="P2013">
        <v>224.46</v>
      </c>
      <c r="Q2013" s="37" t="str">
        <f>IF(P2013&gt;500,"High","low")</f>
        <v>low</v>
      </c>
      <c r="R2013" s="37" t="str">
        <f t="shared" si="159"/>
        <v>AVERAGE</v>
      </c>
      <c r="S2013" t="s">
        <v>620</v>
      </c>
    </row>
    <row r="2014" spans="1:19" x14ac:dyDescent="0.2">
      <c r="A2014" t="s">
        <v>2625</v>
      </c>
      <c r="B2014" t="s">
        <v>83</v>
      </c>
      <c r="C2014" t="s">
        <v>614</v>
      </c>
      <c r="D2014">
        <v>4033.88</v>
      </c>
      <c r="E2014" s="37" t="str">
        <f t="shared" si="155"/>
        <v xml:space="preserve"> </v>
      </c>
      <c r="F2014">
        <v>0.45</v>
      </c>
      <c r="G2014" s="37" t="str">
        <f t="shared" si="156"/>
        <v>Heavy Discount</v>
      </c>
      <c r="H2014" s="37" t="str">
        <f t="shared" si="157"/>
        <v>High</v>
      </c>
      <c r="I2014">
        <v>2</v>
      </c>
      <c r="J2014" t="str" cm="1">
        <f t="array" ref="J2014">_xlfn.IFS(I2014&lt;=3,"small",I2014&lt;=6,"Medium",I2014&lt;=9,"Large")</f>
        <v>small</v>
      </c>
      <c r="K2014" s="36">
        <v>45399</v>
      </c>
      <c r="L2014" s="36">
        <v>45402</v>
      </c>
      <c r="M2014" t="s">
        <v>603</v>
      </c>
      <c r="N2014" t="s">
        <v>599</v>
      </c>
      <c r="O2014" s="37" t="str">
        <f t="shared" si="158"/>
        <v>Digital Payment</v>
      </c>
      <c r="P2014">
        <v>509.12</v>
      </c>
      <c r="Q2014" s="37" t="str">
        <f>IF(P2014&gt;500,"High","low")</f>
        <v>High</v>
      </c>
      <c r="R2014" s="37" t="str">
        <f t="shared" si="159"/>
        <v>Good</v>
      </c>
      <c r="S2014" t="s">
        <v>628</v>
      </c>
    </row>
    <row r="2015" spans="1:19" x14ac:dyDescent="0.2">
      <c r="A2015" t="s">
        <v>2626</v>
      </c>
      <c r="B2015" t="s">
        <v>67</v>
      </c>
      <c r="C2015" t="s">
        <v>602</v>
      </c>
      <c r="D2015">
        <v>1906.85</v>
      </c>
      <c r="E2015" s="37" t="str">
        <f t="shared" si="155"/>
        <v xml:space="preserve"> </v>
      </c>
      <c r="F2015">
        <v>0.25</v>
      </c>
      <c r="G2015" s="37" t="str">
        <f t="shared" si="156"/>
        <v>Normal Discount</v>
      </c>
      <c r="H2015" s="37" t="str">
        <f t="shared" si="157"/>
        <v>Medium</v>
      </c>
      <c r="I2015">
        <v>1</v>
      </c>
      <c r="J2015" t="str" cm="1">
        <f t="array" ref="J2015">_xlfn.IFS(I2015&lt;=3,"small",I2015&lt;=6,"Medium",I2015&lt;=9,"Large")</f>
        <v>small</v>
      </c>
      <c r="K2015" s="36">
        <v>45230</v>
      </c>
      <c r="L2015" s="36">
        <v>45233</v>
      </c>
      <c r="M2015" t="s">
        <v>612</v>
      </c>
      <c r="N2015" t="s">
        <v>608</v>
      </c>
      <c r="O2015" s="37" t="str">
        <f t="shared" si="158"/>
        <v>Cash Payment</v>
      </c>
      <c r="P2015">
        <v>250.24</v>
      </c>
      <c r="Q2015" s="37" t="str">
        <f>IF(P2015&gt;500,"High","low")</f>
        <v>low</v>
      </c>
      <c r="R2015" s="37" t="str">
        <f t="shared" si="159"/>
        <v>AVERAGE</v>
      </c>
      <c r="S2015" t="s">
        <v>615</v>
      </c>
    </row>
    <row r="2016" spans="1:19" x14ac:dyDescent="0.2">
      <c r="A2016" t="s">
        <v>2627</v>
      </c>
      <c r="B2016" t="s">
        <v>83</v>
      </c>
      <c r="C2016" t="s">
        <v>614</v>
      </c>
      <c r="D2016">
        <v>3327.12</v>
      </c>
      <c r="E2016" s="37" t="str">
        <f t="shared" si="155"/>
        <v xml:space="preserve"> </v>
      </c>
      <c r="F2016">
        <v>0.17</v>
      </c>
      <c r="G2016" s="37" t="str">
        <f t="shared" si="156"/>
        <v>Normal Discount</v>
      </c>
      <c r="H2016" s="37" t="str">
        <f t="shared" si="157"/>
        <v>Low</v>
      </c>
      <c r="I2016">
        <v>7</v>
      </c>
      <c r="J2016" t="str" cm="1">
        <f t="array" ref="J2016">_xlfn.IFS(I2016&lt;=3,"small",I2016&lt;=6,"Medium",I2016&lt;=9,"Large")</f>
        <v>Large</v>
      </c>
      <c r="K2016" s="36">
        <v>45206</v>
      </c>
      <c r="L2016" s="36">
        <v>45207</v>
      </c>
      <c r="M2016" t="s">
        <v>603</v>
      </c>
      <c r="N2016" t="s">
        <v>599</v>
      </c>
      <c r="O2016" s="37" t="str">
        <f t="shared" si="158"/>
        <v>Digital Payment</v>
      </c>
      <c r="P2016">
        <v>875.26</v>
      </c>
      <c r="Q2016" s="37" t="str">
        <f>IF(P2016&gt;500,"High","low")</f>
        <v>High</v>
      </c>
      <c r="R2016" s="37" t="str">
        <f t="shared" si="159"/>
        <v>Good</v>
      </c>
      <c r="S2016" t="s">
        <v>600</v>
      </c>
    </row>
    <row r="2017" spans="1:19" x14ac:dyDescent="0.2">
      <c r="A2017" t="s">
        <v>2628</v>
      </c>
      <c r="B2017" t="s">
        <v>67</v>
      </c>
      <c r="C2017" t="s">
        <v>607</v>
      </c>
      <c r="D2017">
        <v>2491.98</v>
      </c>
      <c r="E2017" s="37" t="str">
        <f t="shared" si="155"/>
        <v xml:space="preserve"> </v>
      </c>
      <c r="F2017">
        <v>0.41</v>
      </c>
      <c r="G2017" s="37" t="str">
        <f t="shared" si="156"/>
        <v>Heavy Discount</v>
      </c>
      <c r="H2017" s="37" t="str">
        <f t="shared" si="157"/>
        <v>High</v>
      </c>
      <c r="I2017">
        <v>1</v>
      </c>
      <c r="J2017" t="str" cm="1">
        <f t="array" ref="J2017">_xlfn.IFS(I2017&lt;=3,"small",I2017&lt;=6,"Medium",I2017&lt;=9,"Large")</f>
        <v>small</v>
      </c>
      <c r="K2017" s="36">
        <v>45127</v>
      </c>
      <c r="L2017" s="36">
        <v>45129</v>
      </c>
      <c r="M2017" t="s">
        <v>612</v>
      </c>
      <c r="N2017" t="s">
        <v>604</v>
      </c>
      <c r="O2017" s="37" t="str">
        <f t="shared" si="158"/>
        <v>Digital Payment</v>
      </c>
      <c r="P2017">
        <v>625.79999999999995</v>
      </c>
      <c r="Q2017" s="37" t="str">
        <f>IF(P2017&gt;500,"High","low")</f>
        <v>High</v>
      </c>
      <c r="R2017" s="37" t="str">
        <f t="shared" si="159"/>
        <v>Good</v>
      </c>
      <c r="S2017" t="s">
        <v>609</v>
      </c>
    </row>
    <row r="2018" spans="1:19" x14ac:dyDescent="0.2">
      <c r="A2018" t="s">
        <v>2629</v>
      </c>
      <c r="B2018" t="s">
        <v>75</v>
      </c>
      <c r="C2018" t="s">
        <v>617</v>
      </c>
      <c r="D2018">
        <v>1216.68</v>
      </c>
      <c r="E2018" s="37" t="str">
        <f t="shared" si="155"/>
        <v xml:space="preserve"> </v>
      </c>
      <c r="F2018">
        <v>0.01</v>
      </c>
      <c r="G2018" s="37" t="str">
        <f t="shared" si="156"/>
        <v>Normal Discount</v>
      </c>
      <c r="H2018" s="37" t="str">
        <f t="shared" si="157"/>
        <v>Low</v>
      </c>
      <c r="I2018">
        <v>3</v>
      </c>
      <c r="J2018" t="str" cm="1">
        <f t="array" ref="J2018">_xlfn.IFS(I2018&lt;=3,"small",I2018&lt;=6,"Medium",I2018&lt;=9,"Large")</f>
        <v>small</v>
      </c>
      <c r="K2018" s="36">
        <v>45417</v>
      </c>
      <c r="L2018" s="36">
        <v>45424</v>
      </c>
      <c r="M2018" t="s">
        <v>598</v>
      </c>
      <c r="N2018" t="s">
        <v>599</v>
      </c>
      <c r="O2018" s="37" t="str">
        <f t="shared" si="158"/>
        <v>Digital Payment</v>
      </c>
      <c r="P2018">
        <v>313.89999999999998</v>
      </c>
      <c r="Q2018" s="37" t="str">
        <f>IF(P2018&gt;500,"High","low")</f>
        <v>low</v>
      </c>
      <c r="R2018" s="37" t="str">
        <f t="shared" si="159"/>
        <v>AVERAGE</v>
      </c>
      <c r="S2018" t="s">
        <v>620</v>
      </c>
    </row>
    <row r="2019" spans="1:19" x14ac:dyDescent="0.2">
      <c r="A2019" t="s">
        <v>2630</v>
      </c>
      <c r="B2019" t="s">
        <v>83</v>
      </c>
      <c r="C2019" t="s">
        <v>607</v>
      </c>
      <c r="D2019">
        <v>3830.19</v>
      </c>
      <c r="E2019" s="37" t="str">
        <f t="shared" si="155"/>
        <v xml:space="preserve"> </v>
      </c>
      <c r="F2019">
        <v>0.1</v>
      </c>
      <c r="G2019" s="37" t="str">
        <f t="shared" si="156"/>
        <v>Normal Discount</v>
      </c>
      <c r="H2019" s="37" t="str">
        <f t="shared" si="157"/>
        <v>Low</v>
      </c>
      <c r="I2019">
        <v>8</v>
      </c>
      <c r="J2019" t="str" cm="1">
        <f t="array" ref="J2019">_xlfn.IFS(I2019&lt;=3,"small",I2019&lt;=6,"Medium",I2019&lt;=9,"Large")</f>
        <v>Large</v>
      </c>
      <c r="K2019" s="36">
        <v>45644</v>
      </c>
      <c r="L2019" s="36">
        <v>45650</v>
      </c>
      <c r="M2019" t="s">
        <v>598</v>
      </c>
      <c r="N2019" t="s">
        <v>604</v>
      </c>
      <c r="O2019" s="37" t="str">
        <f t="shared" si="158"/>
        <v>Digital Payment</v>
      </c>
      <c r="P2019">
        <v>1093.32</v>
      </c>
      <c r="Q2019" s="37" t="str">
        <f>IF(P2019&gt;500,"High","low")</f>
        <v>High</v>
      </c>
      <c r="R2019" s="37" t="str">
        <f t="shared" si="159"/>
        <v>Excellent</v>
      </c>
      <c r="S2019" t="s">
        <v>620</v>
      </c>
    </row>
    <row r="2020" spans="1:19" x14ac:dyDescent="0.2">
      <c r="A2020" t="s">
        <v>2631</v>
      </c>
      <c r="B2020" t="s">
        <v>75</v>
      </c>
      <c r="C2020" t="s">
        <v>607</v>
      </c>
      <c r="D2020">
        <v>1387.49</v>
      </c>
      <c r="E2020" s="37" t="str">
        <f t="shared" si="155"/>
        <v xml:space="preserve"> </v>
      </c>
      <c r="F2020">
        <v>0.08</v>
      </c>
      <c r="G2020" s="37" t="str">
        <f t="shared" si="156"/>
        <v>Normal Discount</v>
      </c>
      <c r="H2020" s="37" t="str">
        <f t="shared" si="157"/>
        <v>Low</v>
      </c>
      <c r="I2020">
        <v>1</v>
      </c>
      <c r="J2020" t="str" cm="1">
        <f t="array" ref="J2020">_xlfn.IFS(I2020&lt;=3,"small",I2020&lt;=6,"Medium",I2020&lt;=9,"Large")</f>
        <v>small</v>
      </c>
      <c r="K2020" s="36">
        <v>45224</v>
      </c>
      <c r="L2020" s="36">
        <v>45230</v>
      </c>
      <c r="M2020" t="s">
        <v>612</v>
      </c>
      <c r="N2020" t="s">
        <v>599</v>
      </c>
      <c r="O2020" s="37" t="str">
        <f t="shared" si="158"/>
        <v>Digital Payment</v>
      </c>
      <c r="P2020">
        <v>198.45</v>
      </c>
      <c r="Q2020" s="37" t="str">
        <f>IF(P2020&gt;500,"High","low")</f>
        <v>low</v>
      </c>
      <c r="R2020" s="37" t="str">
        <f t="shared" si="159"/>
        <v>AVERAGE</v>
      </c>
      <c r="S2020" t="s">
        <v>600</v>
      </c>
    </row>
    <row r="2021" spans="1:19" x14ac:dyDescent="0.2">
      <c r="A2021" t="s">
        <v>2632</v>
      </c>
      <c r="B2021" t="s">
        <v>67</v>
      </c>
      <c r="C2021" t="s">
        <v>602</v>
      </c>
      <c r="D2021">
        <v>1768.19</v>
      </c>
      <c r="E2021" s="37" t="str">
        <f t="shared" si="155"/>
        <v xml:space="preserve"> </v>
      </c>
      <c r="F2021">
        <v>0.37</v>
      </c>
      <c r="G2021" s="37" t="str">
        <f t="shared" si="156"/>
        <v>Heavy Discount</v>
      </c>
      <c r="H2021" s="37" t="str">
        <f t="shared" si="157"/>
        <v>Medium</v>
      </c>
      <c r="I2021">
        <v>6</v>
      </c>
      <c r="J2021" t="str" cm="1">
        <f t="array" ref="J2021">_xlfn.IFS(I2021&lt;=3,"small",I2021&lt;=6,"Medium",I2021&lt;=9,"Large")</f>
        <v>Medium</v>
      </c>
      <c r="K2021" s="36">
        <v>45063</v>
      </c>
      <c r="L2021" s="36">
        <v>45070</v>
      </c>
      <c r="M2021" t="s">
        <v>612</v>
      </c>
      <c r="N2021" t="s">
        <v>599</v>
      </c>
      <c r="O2021" s="37" t="str">
        <f t="shared" si="158"/>
        <v>Digital Payment</v>
      </c>
      <c r="P2021">
        <v>184.71</v>
      </c>
      <c r="Q2021" s="37" t="str">
        <f>IF(P2021&gt;500,"High","low")</f>
        <v>low</v>
      </c>
      <c r="R2021" s="37" t="str">
        <f t="shared" si="159"/>
        <v>AVERAGE</v>
      </c>
      <c r="S2021" t="s">
        <v>609</v>
      </c>
    </row>
    <row r="2022" spans="1:19" x14ac:dyDescent="0.2">
      <c r="A2022" t="s">
        <v>2633</v>
      </c>
      <c r="B2022" t="s">
        <v>90</v>
      </c>
      <c r="C2022" t="s">
        <v>607</v>
      </c>
      <c r="D2022">
        <v>1031.0899999999999</v>
      </c>
      <c r="E2022" s="37" t="str">
        <f t="shared" si="155"/>
        <v xml:space="preserve"> </v>
      </c>
      <c r="F2022">
        <v>0.16</v>
      </c>
      <c r="G2022" s="37" t="str">
        <f t="shared" si="156"/>
        <v>Normal Discount</v>
      </c>
      <c r="H2022" s="37" t="str">
        <f t="shared" si="157"/>
        <v>Low</v>
      </c>
      <c r="I2022">
        <v>2</v>
      </c>
      <c r="J2022" t="str" cm="1">
        <f t="array" ref="J2022">_xlfn.IFS(I2022&lt;=3,"small",I2022&lt;=6,"Medium",I2022&lt;=9,"Large")</f>
        <v>small</v>
      </c>
      <c r="K2022" s="36">
        <v>45374</v>
      </c>
      <c r="L2022" s="36">
        <v>45380</v>
      </c>
      <c r="M2022" t="s">
        <v>603</v>
      </c>
      <c r="N2022" t="s">
        <v>599</v>
      </c>
      <c r="O2022" s="37" t="str">
        <f t="shared" si="158"/>
        <v>Digital Payment</v>
      </c>
      <c r="P2022">
        <v>241.54</v>
      </c>
      <c r="Q2022" s="37" t="str">
        <f>IF(P2022&gt;500,"High","low")</f>
        <v>low</v>
      </c>
      <c r="R2022" s="37" t="str">
        <f t="shared" si="159"/>
        <v>AVERAGE</v>
      </c>
      <c r="S2022" t="s">
        <v>628</v>
      </c>
    </row>
    <row r="2023" spans="1:19" x14ac:dyDescent="0.2">
      <c r="A2023" t="s">
        <v>2634</v>
      </c>
      <c r="B2023" t="s">
        <v>90</v>
      </c>
      <c r="C2023" t="s">
        <v>602</v>
      </c>
      <c r="D2023">
        <v>3624.43</v>
      </c>
      <c r="E2023" s="37" t="str">
        <f t="shared" si="155"/>
        <v xml:space="preserve"> </v>
      </c>
      <c r="F2023">
        <v>0.39</v>
      </c>
      <c r="G2023" s="37" t="str">
        <f t="shared" si="156"/>
        <v>Heavy Discount</v>
      </c>
      <c r="H2023" s="37" t="str">
        <f t="shared" si="157"/>
        <v>Medium</v>
      </c>
      <c r="I2023">
        <v>9</v>
      </c>
      <c r="J2023" t="str" cm="1">
        <f t="array" ref="J2023">_xlfn.IFS(I2023&lt;=3,"small",I2023&lt;=6,"Medium",I2023&lt;=9,"Large")</f>
        <v>Large</v>
      </c>
      <c r="K2023" s="36">
        <v>45123</v>
      </c>
      <c r="L2023" s="36">
        <v>45125</v>
      </c>
      <c r="M2023" t="s">
        <v>598</v>
      </c>
      <c r="N2023" t="s">
        <v>608</v>
      </c>
      <c r="O2023" s="37" t="str">
        <f t="shared" si="158"/>
        <v>Cash Payment</v>
      </c>
      <c r="P2023">
        <v>256.64999999999998</v>
      </c>
      <c r="Q2023" s="37" t="str">
        <f>IF(P2023&gt;500,"High","low")</f>
        <v>low</v>
      </c>
      <c r="R2023" s="37" t="str">
        <f t="shared" si="159"/>
        <v>AVERAGE</v>
      </c>
      <c r="S2023" t="s">
        <v>620</v>
      </c>
    </row>
    <row r="2024" spans="1:19" x14ac:dyDescent="0.2">
      <c r="A2024" t="s">
        <v>2635</v>
      </c>
      <c r="B2024" t="s">
        <v>83</v>
      </c>
      <c r="C2024" t="s">
        <v>617</v>
      </c>
      <c r="D2024">
        <v>2347.75</v>
      </c>
      <c r="E2024" s="37" t="str">
        <f t="shared" si="155"/>
        <v xml:space="preserve"> </v>
      </c>
      <c r="F2024">
        <v>0.02</v>
      </c>
      <c r="G2024" s="37" t="str">
        <f t="shared" si="156"/>
        <v>Normal Discount</v>
      </c>
      <c r="H2024" s="37" t="str">
        <f t="shared" si="157"/>
        <v>Low</v>
      </c>
      <c r="I2024">
        <v>2</v>
      </c>
      <c r="J2024" t="str" cm="1">
        <f t="array" ref="J2024">_xlfn.IFS(I2024&lt;=3,"small",I2024&lt;=6,"Medium",I2024&lt;=9,"Large")</f>
        <v>small</v>
      </c>
      <c r="K2024" s="36">
        <v>45017</v>
      </c>
      <c r="L2024" s="36">
        <v>45021</v>
      </c>
      <c r="M2024" t="s">
        <v>598</v>
      </c>
      <c r="N2024" t="s">
        <v>599</v>
      </c>
      <c r="O2024" s="37" t="str">
        <f t="shared" si="158"/>
        <v>Digital Payment</v>
      </c>
      <c r="P2024">
        <v>691.15</v>
      </c>
      <c r="Q2024" s="37" t="str">
        <f>IF(P2024&gt;500,"High","low")</f>
        <v>High</v>
      </c>
      <c r="R2024" s="37" t="str">
        <f t="shared" si="159"/>
        <v>Good</v>
      </c>
      <c r="S2024" t="s">
        <v>605</v>
      </c>
    </row>
    <row r="2025" spans="1:19" x14ac:dyDescent="0.2">
      <c r="A2025" t="s">
        <v>2636</v>
      </c>
      <c r="B2025" t="s">
        <v>75</v>
      </c>
      <c r="C2025" t="s">
        <v>617</v>
      </c>
      <c r="D2025">
        <v>2272.5300000000002</v>
      </c>
      <c r="E2025" s="37" t="str">
        <f t="shared" si="155"/>
        <v xml:space="preserve"> </v>
      </c>
      <c r="F2025">
        <v>0.3</v>
      </c>
      <c r="G2025" s="37" t="str">
        <f t="shared" si="156"/>
        <v>Normal Discount</v>
      </c>
      <c r="H2025" s="37" t="str">
        <f t="shared" si="157"/>
        <v>Medium</v>
      </c>
      <c r="I2025">
        <v>6</v>
      </c>
      <c r="J2025" t="str" cm="1">
        <f t="array" ref="J2025">_xlfn.IFS(I2025&lt;=3,"small",I2025&lt;=6,"Medium",I2025&lt;=9,"Large")</f>
        <v>Medium</v>
      </c>
      <c r="K2025" s="36">
        <v>45575</v>
      </c>
      <c r="L2025" s="36">
        <v>45577</v>
      </c>
      <c r="M2025" t="s">
        <v>603</v>
      </c>
      <c r="N2025" t="s">
        <v>599</v>
      </c>
      <c r="O2025" s="37" t="str">
        <f t="shared" si="158"/>
        <v>Digital Payment</v>
      </c>
      <c r="P2025">
        <v>536.94000000000005</v>
      </c>
      <c r="Q2025" s="37" t="str">
        <f>IF(P2025&gt;500,"High","low")</f>
        <v>High</v>
      </c>
      <c r="R2025" s="37" t="str">
        <f t="shared" si="159"/>
        <v>Good</v>
      </c>
      <c r="S2025" t="s">
        <v>620</v>
      </c>
    </row>
    <row r="2026" spans="1:19" x14ac:dyDescent="0.2">
      <c r="A2026" t="s">
        <v>2637</v>
      </c>
      <c r="B2026" t="s">
        <v>75</v>
      </c>
      <c r="C2026" t="s">
        <v>602</v>
      </c>
      <c r="D2026">
        <v>3062.36</v>
      </c>
      <c r="E2026" s="37" t="str">
        <f t="shared" si="155"/>
        <v xml:space="preserve"> </v>
      </c>
      <c r="F2026">
        <v>0.16</v>
      </c>
      <c r="G2026" s="37" t="str">
        <f t="shared" si="156"/>
        <v>Normal Discount</v>
      </c>
      <c r="H2026" s="37" t="str">
        <f t="shared" si="157"/>
        <v>Low</v>
      </c>
      <c r="I2026">
        <v>4</v>
      </c>
      <c r="J2026" t="str" cm="1">
        <f t="array" ref="J2026">_xlfn.IFS(I2026&lt;=3,"small",I2026&lt;=6,"Medium",I2026&lt;=9,"Large")</f>
        <v>Medium</v>
      </c>
      <c r="K2026" s="36">
        <v>44987</v>
      </c>
      <c r="L2026" s="36">
        <v>44989</v>
      </c>
      <c r="M2026" t="s">
        <v>598</v>
      </c>
      <c r="N2026" t="s">
        <v>599</v>
      </c>
      <c r="O2026" s="37" t="str">
        <f t="shared" si="158"/>
        <v>Digital Payment</v>
      </c>
      <c r="P2026">
        <v>371.38</v>
      </c>
      <c r="Q2026" s="37" t="str">
        <f>IF(P2026&gt;500,"High","low")</f>
        <v>low</v>
      </c>
      <c r="R2026" s="37" t="str">
        <f t="shared" si="159"/>
        <v>AVERAGE</v>
      </c>
      <c r="S2026" t="s">
        <v>600</v>
      </c>
    </row>
    <row r="2027" spans="1:19" x14ac:dyDescent="0.2">
      <c r="A2027" t="s">
        <v>2638</v>
      </c>
      <c r="B2027" t="s">
        <v>83</v>
      </c>
      <c r="C2027" t="s">
        <v>614</v>
      </c>
      <c r="D2027">
        <v>870.59</v>
      </c>
      <c r="E2027" s="37" t="str">
        <f t="shared" si="155"/>
        <v xml:space="preserve"> </v>
      </c>
      <c r="F2027">
        <v>0.09</v>
      </c>
      <c r="G2027" s="37" t="str">
        <f t="shared" si="156"/>
        <v>Normal Discount</v>
      </c>
      <c r="H2027" s="37" t="str">
        <f t="shared" si="157"/>
        <v>Low</v>
      </c>
      <c r="I2027">
        <v>9</v>
      </c>
      <c r="J2027" t="str" cm="1">
        <f t="array" ref="J2027">_xlfn.IFS(I2027&lt;=3,"small",I2027&lt;=6,"Medium",I2027&lt;=9,"Large")</f>
        <v>Large</v>
      </c>
      <c r="K2027" s="36">
        <v>44998</v>
      </c>
      <c r="L2027" s="36">
        <v>45004</v>
      </c>
      <c r="M2027" t="s">
        <v>603</v>
      </c>
      <c r="N2027" t="s">
        <v>608</v>
      </c>
      <c r="O2027" s="37" t="str">
        <f t="shared" si="158"/>
        <v>Cash Payment</v>
      </c>
      <c r="P2027">
        <v>215.7</v>
      </c>
      <c r="Q2027" s="37" t="str">
        <f>IF(P2027&gt;500,"High","low")</f>
        <v>low</v>
      </c>
      <c r="R2027" s="37" t="str">
        <f t="shared" si="159"/>
        <v>AVERAGE</v>
      </c>
      <c r="S2027" t="s">
        <v>609</v>
      </c>
    </row>
    <row r="2028" spans="1:19" x14ac:dyDescent="0.2">
      <c r="A2028" t="s">
        <v>2639</v>
      </c>
      <c r="B2028" t="s">
        <v>90</v>
      </c>
      <c r="C2028" t="s">
        <v>617</v>
      </c>
      <c r="D2028">
        <v>4500.95</v>
      </c>
      <c r="E2028" s="37" t="str">
        <f t="shared" si="155"/>
        <v>Excellent Order</v>
      </c>
      <c r="F2028">
        <v>0.41</v>
      </c>
      <c r="G2028" s="37" t="str">
        <f t="shared" si="156"/>
        <v>Heavy Discount</v>
      </c>
      <c r="H2028" s="37" t="str">
        <f t="shared" si="157"/>
        <v>High</v>
      </c>
      <c r="I2028">
        <v>1</v>
      </c>
      <c r="J2028" t="str" cm="1">
        <f t="array" ref="J2028">_xlfn.IFS(I2028&lt;=3,"small",I2028&lt;=6,"Medium",I2028&lt;=9,"Large")</f>
        <v>small</v>
      </c>
      <c r="K2028" s="36">
        <v>45378</v>
      </c>
      <c r="L2028" s="36">
        <v>45380</v>
      </c>
      <c r="M2028" t="s">
        <v>598</v>
      </c>
      <c r="N2028" t="s">
        <v>599</v>
      </c>
      <c r="O2028" s="37" t="str">
        <f t="shared" si="158"/>
        <v>Digital Payment</v>
      </c>
      <c r="P2028">
        <v>1250.68</v>
      </c>
      <c r="Q2028" s="37" t="str">
        <f>IF(P2028&gt;500,"High","low")</f>
        <v>High</v>
      </c>
      <c r="R2028" s="37" t="str">
        <f t="shared" si="159"/>
        <v>Excellent</v>
      </c>
      <c r="S2028" t="s">
        <v>609</v>
      </c>
    </row>
    <row r="2029" spans="1:19" x14ac:dyDescent="0.2">
      <c r="A2029" t="s">
        <v>2640</v>
      </c>
      <c r="B2029" t="s">
        <v>67</v>
      </c>
      <c r="C2029" t="s">
        <v>614</v>
      </c>
      <c r="D2029">
        <v>2379.0300000000002</v>
      </c>
      <c r="E2029" s="37" t="str">
        <f t="shared" si="155"/>
        <v xml:space="preserve"> </v>
      </c>
      <c r="F2029">
        <v>0.21</v>
      </c>
      <c r="G2029" s="37" t="str">
        <f t="shared" si="156"/>
        <v>Normal Discount</v>
      </c>
      <c r="H2029" s="37" t="str">
        <f t="shared" si="157"/>
        <v>Medium</v>
      </c>
      <c r="I2029">
        <v>1</v>
      </c>
      <c r="J2029" t="str" cm="1">
        <f t="array" ref="J2029">_xlfn.IFS(I2029&lt;=3,"small",I2029&lt;=6,"Medium",I2029&lt;=9,"Large")</f>
        <v>small</v>
      </c>
      <c r="K2029" s="36">
        <v>45565</v>
      </c>
      <c r="L2029" s="36">
        <v>45567</v>
      </c>
      <c r="M2029" t="s">
        <v>603</v>
      </c>
      <c r="N2029" t="s">
        <v>608</v>
      </c>
      <c r="O2029" s="37" t="str">
        <f t="shared" si="158"/>
        <v>Cash Payment</v>
      </c>
      <c r="P2029">
        <v>209.56</v>
      </c>
      <c r="Q2029" s="37" t="str">
        <f>IF(P2029&gt;500,"High","low")</f>
        <v>low</v>
      </c>
      <c r="R2029" s="37" t="str">
        <f t="shared" si="159"/>
        <v>AVERAGE</v>
      </c>
      <c r="S2029" t="s">
        <v>609</v>
      </c>
    </row>
    <row r="2030" spans="1:19" x14ac:dyDescent="0.2">
      <c r="A2030" t="s">
        <v>2641</v>
      </c>
      <c r="B2030" t="s">
        <v>83</v>
      </c>
      <c r="C2030" t="s">
        <v>617</v>
      </c>
      <c r="D2030">
        <v>1895.98</v>
      </c>
      <c r="E2030" s="37" t="str">
        <f t="shared" si="155"/>
        <v xml:space="preserve"> </v>
      </c>
      <c r="F2030">
        <v>0.28999999999999998</v>
      </c>
      <c r="G2030" s="37" t="str">
        <f t="shared" si="156"/>
        <v>Normal Discount</v>
      </c>
      <c r="H2030" s="37" t="str">
        <f t="shared" si="157"/>
        <v>Medium</v>
      </c>
      <c r="I2030">
        <v>3</v>
      </c>
      <c r="J2030" t="str" cm="1">
        <f t="array" ref="J2030">_xlfn.IFS(I2030&lt;=3,"small",I2030&lt;=6,"Medium",I2030&lt;=9,"Large")</f>
        <v>small</v>
      </c>
      <c r="K2030" s="36">
        <v>45125</v>
      </c>
      <c r="L2030" s="36">
        <v>45131</v>
      </c>
      <c r="M2030" t="s">
        <v>598</v>
      </c>
      <c r="N2030" t="s">
        <v>599</v>
      </c>
      <c r="O2030" s="37" t="str">
        <f t="shared" si="158"/>
        <v>Digital Payment</v>
      </c>
      <c r="P2030">
        <v>407.97</v>
      </c>
      <c r="Q2030" s="37" t="str">
        <f>IF(P2030&gt;500,"High","low")</f>
        <v>low</v>
      </c>
      <c r="R2030" s="37" t="str">
        <f t="shared" si="159"/>
        <v>AVERAGE</v>
      </c>
      <c r="S2030" t="s">
        <v>609</v>
      </c>
    </row>
    <row r="2031" spans="1:19" x14ac:dyDescent="0.2">
      <c r="A2031" t="s">
        <v>2642</v>
      </c>
      <c r="B2031" t="s">
        <v>67</v>
      </c>
      <c r="C2031" t="s">
        <v>617</v>
      </c>
      <c r="D2031">
        <v>720.78</v>
      </c>
      <c r="E2031" s="37" t="str">
        <f t="shared" si="155"/>
        <v xml:space="preserve"> </v>
      </c>
      <c r="F2031">
        <v>0.02</v>
      </c>
      <c r="G2031" s="37" t="str">
        <f t="shared" si="156"/>
        <v>Normal Discount</v>
      </c>
      <c r="H2031" s="37" t="str">
        <f t="shared" si="157"/>
        <v>Low</v>
      </c>
      <c r="I2031">
        <v>6</v>
      </c>
      <c r="J2031" t="str" cm="1">
        <f t="array" ref="J2031">_xlfn.IFS(I2031&lt;=3,"small",I2031&lt;=6,"Medium",I2031&lt;=9,"Large")</f>
        <v>Medium</v>
      </c>
      <c r="K2031" s="36">
        <v>45209</v>
      </c>
      <c r="L2031" s="36">
        <v>45215</v>
      </c>
      <c r="M2031" t="s">
        <v>612</v>
      </c>
      <c r="N2031" t="s">
        <v>604</v>
      </c>
      <c r="O2031" s="37" t="str">
        <f t="shared" si="158"/>
        <v>Digital Payment</v>
      </c>
      <c r="P2031">
        <v>61.84</v>
      </c>
      <c r="Q2031" s="37" t="str">
        <f>IF(P2031&gt;500,"High","low")</f>
        <v>low</v>
      </c>
      <c r="R2031" s="37" t="str">
        <f t="shared" si="159"/>
        <v>AVERAGE</v>
      </c>
      <c r="S2031" t="s">
        <v>605</v>
      </c>
    </row>
    <row r="2032" spans="1:19" x14ac:dyDescent="0.2">
      <c r="A2032" t="s">
        <v>2643</v>
      </c>
      <c r="B2032" t="s">
        <v>90</v>
      </c>
      <c r="C2032" t="s">
        <v>597</v>
      </c>
      <c r="D2032">
        <v>922.98</v>
      </c>
      <c r="E2032" s="37" t="str">
        <f t="shared" si="155"/>
        <v xml:space="preserve"> </v>
      </c>
      <c r="F2032">
        <v>0.4</v>
      </c>
      <c r="G2032" s="37" t="str">
        <f t="shared" si="156"/>
        <v>Heavy Discount</v>
      </c>
      <c r="H2032" s="37" t="str">
        <f t="shared" si="157"/>
        <v>Medium</v>
      </c>
      <c r="I2032">
        <v>3</v>
      </c>
      <c r="J2032" t="str" cm="1">
        <f t="array" ref="J2032">_xlfn.IFS(I2032&lt;=3,"small",I2032&lt;=6,"Medium",I2032&lt;=9,"Large")</f>
        <v>small</v>
      </c>
      <c r="K2032" s="36">
        <v>45077</v>
      </c>
      <c r="L2032" s="36">
        <v>45079</v>
      </c>
      <c r="M2032" t="s">
        <v>612</v>
      </c>
      <c r="N2032" t="s">
        <v>599</v>
      </c>
      <c r="O2032" s="37" t="str">
        <f t="shared" si="158"/>
        <v>Digital Payment</v>
      </c>
      <c r="P2032">
        <v>177.3</v>
      </c>
      <c r="Q2032" s="37" t="str">
        <f>IF(P2032&gt;500,"High","low")</f>
        <v>low</v>
      </c>
      <c r="R2032" s="37" t="str">
        <f t="shared" si="159"/>
        <v>AVERAGE</v>
      </c>
      <c r="S2032" t="s">
        <v>600</v>
      </c>
    </row>
    <row r="2033" spans="1:19" x14ac:dyDescent="0.2">
      <c r="A2033" t="s">
        <v>2644</v>
      </c>
      <c r="B2033" t="s">
        <v>75</v>
      </c>
      <c r="C2033" t="s">
        <v>607</v>
      </c>
      <c r="D2033">
        <v>4609.7700000000004</v>
      </c>
      <c r="E2033" s="37" t="str">
        <f t="shared" si="155"/>
        <v xml:space="preserve"> </v>
      </c>
      <c r="F2033">
        <v>0.14000000000000001</v>
      </c>
      <c r="G2033" s="37" t="str">
        <f t="shared" si="156"/>
        <v>Normal Discount</v>
      </c>
      <c r="H2033" s="37" t="str">
        <f t="shared" si="157"/>
        <v>Low</v>
      </c>
      <c r="I2033">
        <v>7</v>
      </c>
      <c r="J2033" t="str" cm="1">
        <f t="array" ref="J2033">_xlfn.IFS(I2033&lt;=3,"small",I2033&lt;=6,"Medium",I2033&lt;=9,"Large")</f>
        <v>Large</v>
      </c>
      <c r="K2033" s="36">
        <v>44966</v>
      </c>
      <c r="L2033" s="36">
        <v>44967</v>
      </c>
      <c r="M2033" t="s">
        <v>612</v>
      </c>
      <c r="N2033" t="s">
        <v>608</v>
      </c>
      <c r="O2033" s="37" t="str">
        <f t="shared" si="158"/>
        <v>Cash Payment</v>
      </c>
      <c r="P2033">
        <v>440.79</v>
      </c>
      <c r="Q2033" s="37" t="str">
        <f>IF(P2033&gt;500,"High","low")</f>
        <v>low</v>
      </c>
      <c r="R2033" s="37" t="str">
        <f t="shared" si="159"/>
        <v>AVERAGE</v>
      </c>
      <c r="S2033" t="s">
        <v>600</v>
      </c>
    </row>
    <row r="2034" spans="1:19" x14ac:dyDescent="0.2">
      <c r="A2034" t="s">
        <v>2645</v>
      </c>
      <c r="B2034" t="s">
        <v>90</v>
      </c>
      <c r="C2034" t="s">
        <v>607</v>
      </c>
      <c r="D2034">
        <v>2337.42</v>
      </c>
      <c r="E2034" s="37" t="str">
        <f t="shared" si="155"/>
        <v xml:space="preserve"> </v>
      </c>
      <c r="F2034">
        <v>0.35</v>
      </c>
      <c r="G2034" s="37" t="str">
        <f t="shared" si="156"/>
        <v>Heavy Discount</v>
      </c>
      <c r="H2034" s="37" t="str">
        <f t="shared" si="157"/>
        <v>Medium</v>
      </c>
      <c r="I2034">
        <v>9</v>
      </c>
      <c r="J2034" t="str" cm="1">
        <f t="array" ref="J2034">_xlfn.IFS(I2034&lt;=3,"small",I2034&lt;=6,"Medium",I2034&lt;=9,"Large")</f>
        <v>Large</v>
      </c>
      <c r="K2034" s="36">
        <v>45297</v>
      </c>
      <c r="L2034" s="36">
        <v>45302</v>
      </c>
      <c r="M2034" t="s">
        <v>612</v>
      </c>
      <c r="N2034" t="s">
        <v>608</v>
      </c>
      <c r="O2034" s="37" t="str">
        <f t="shared" si="158"/>
        <v>Cash Payment</v>
      </c>
      <c r="P2034">
        <v>415.11</v>
      </c>
      <c r="Q2034" s="37" t="str">
        <f>IF(P2034&gt;500,"High","low")</f>
        <v>low</v>
      </c>
      <c r="R2034" s="37" t="str">
        <f t="shared" si="159"/>
        <v>AVERAGE</v>
      </c>
      <c r="S2034" t="s">
        <v>620</v>
      </c>
    </row>
    <row r="2035" spans="1:19" x14ac:dyDescent="0.2">
      <c r="A2035" t="s">
        <v>2646</v>
      </c>
      <c r="B2035" t="s">
        <v>83</v>
      </c>
      <c r="C2035" t="s">
        <v>614</v>
      </c>
      <c r="D2035">
        <v>3638.7</v>
      </c>
      <c r="E2035" s="37" t="str">
        <f t="shared" si="155"/>
        <v xml:space="preserve"> </v>
      </c>
      <c r="F2035">
        <v>0.38</v>
      </c>
      <c r="G2035" s="37" t="str">
        <f t="shared" si="156"/>
        <v>Heavy Discount</v>
      </c>
      <c r="H2035" s="37" t="str">
        <f t="shared" si="157"/>
        <v>Medium</v>
      </c>
      <c r="I2035">
        <v>2</v>
      </c>
      <c r="J2035" t="str" cm="1">
        <f t="array" ref="J2035">_xlfn.IFS(I2035&lt;=3,"small",I2035&lt;=6,"Medium",I2035&lt;=9,"Large")</f>
        <v>small</v>
      </c>
      <c r="K2035" s="36">
        <v>45403</v>
      </c>
      <c r="L2035" s="36">
        <v>45408</v>
      </c>
      <c r="M2035" t="s">
        <v>612</v>
      </c>
      <c r="N2035" t="s">
        <v>608</v>
      </c>
      <c r="O2035" s="37" t="str">
        <f t="shared" si="158"/>
        <v>Cash Payment</v>
      </c>
      <c r="P2035">
        <v>635.54</v>
      </c>
      <c r="Q2035" s="37" t="str">
        <f>IF(P2035&gt;500,"High","low")</f>
        <v>High</v>
      </c>
      <c r="R2035" s="37" t="str">
        <f t="shared" si="159"/>
        <v>Good</v>
      </c>
      <c r="S2035" t="s">
        <v>620</v>
      </c>
    </row>
    <row r="2036" spans="1:19" x14ac:dyDescent="0.2">
      <c r="A2036" t="s">
        <v>2647</v>
      </c>
      <c r="B2036" t="s">
        <v>75</v>
      </c>
      <c r="C2036" t="s">
        <v>607</v>
      </c>
      <c r="D2036">
        <v>494.53</v>
      </c>
      <c r="E2036" s="37" t="str">
        <f t="shared" si="155"/>
        <v xml:space="preserve"> </v>
      </c>
      <c r="F2036">
        <v>0.06</v>
      </c>
      <c r="G2036" s="37" t="str">
        <f t="shared" si="156"/>
        <v>Normal Discount</v>
      </c>
      <c r="H2036" s="37" t="str">
        <f t="shared" si="157"/>
        <v>Low</v>
      </c>
      <c r="I2036">
        <v>4</v>
      </c>
      <c r="J2036" t="str" cm="1">
        <f t="array" ref="J2036">_xlfn.IFS(I2036&lt;=3,"small",I2036&lt;=6,"Medium",I2036&lt;=9,"Large")</f>
        <v>Medium</v>
      </c>
      <c r="K2036" s="36">
        <v>44984</v>
      </c>
      <c r="L2036" s="36">
        <v>44988</v>
      </c>
      <c r="M2036" t="s">
        <v>598</v>
      </c>
      <c r="N2036" t="s">
        <v>608</v>
      </c>
      <c r="O2036" s="37" t="str">
        <f t="shared" si="158"/>
        <v>Cash Payment</v>
      </c>
      <c r="P2036">
        <v>61.64</v>
      </c>
      <c r="Q2036" s="37" t="str">
        <f>IF(P2036&gt;500,"High","low")</f>
        <v>low</v>
      </c>
      <c r="R2036" s="37" t="str">
        <f t="shared" si="159"/>
        <v>AVERAGE</v>
      </c>
      <c r="S2036" t="s">
        <v>628</v>
      </c>
    </row>
    <row r="2037" spans="1:19" x14ac:dyDescent="0.2">
      <c r="A2037" t="s">
        <v>2648</v>
      </c>
      <c r="B2037" t="s">
        <v>83</v>
      </c>
      <c r="C2037" t="s">
        <v>614</v>
      </c>
      <c r="D2037">
        <v>3252.98</v>
      </c>
      <c r="E2037" s="37" t="str">
        <f t="shared" si="155"/>
        <v xml:space="preserve"> </v>
      </c>
      <c r="F2037">
        <v>0.15</v>
      </c>
      <c r="G2037" s="37" t="str">
        <f t="shared" si="156"/>
        <v>Normal Discount</v>
      </c>
      <c r="H2037" s="37" t="str">
        <f t="shared" si="157"/>
        <v>Low</v>
      </c>
      <c r="I2037">
        <v>3</v>
      </c>
      <c r="J2037" t="str" cm="1">
        <f t="array" ref="J2037">_xlfn.IFS(I2037&lt;=3,"small",I2037&lt;=6,"Medium",I2037&lt;=9,"Large")</f>
        <v>small</v>
      </c>
      <c r="K2037" s="36">
        <v>45474</v>
      </c>
      <c r="L2037" s="36">
        <v>45476</v>
      </c>
      <c r="M2037" t="s">
        <v>612</v>
      </c>
      <c r="N2037" t="s">
        <v>599</v>
      </c>
      <c r="O2037" s="37" t="str">
        <f t="shared" si="158"/>
        <v>Digital Payment</v>
      </c>
      <c r="P2037">
        <v>206.73</v>
      </c>
      <c r="Q2037" s="37" t="str">
        <f>IF(P2037&gt;500,"High","low")</f>
        <v>low</v>
      </c>
      <c r="R2037" s="37" t="str">
        <f t="shared" si="159"/>
        <v>AVERAGE</v>
      </c>
      <c r="S2037" t="s">
        <v>615</v>
      </c>
    </row>
    <row r="2038" spans="1:19" x14ac:dyDescent="0.2">
      <c r="A2038" t="s">
        <v>2649</v>
      </c>
      <c r="B2038" t="s">
        <v>83</v>
      </c>
      <c r="C2038" t="s">
        <v>617</v>
      </c>
      <c r="D2038">
        <v>4615.4399999999996</v>
      </c>
      <c r="E2038" s="37" t="str">
        <f t="shared" si="155"/>
        <v>Excellent Order</v>
      </c>
      <c r="F2038">
        <v>0.36</v>
      </c>
      <c r="G2038" s="37" t="str">
        <f t="shared" si="156"/>
        <v>Heavy Discount</v>
      </c>
      <c r="H2038" s="37" t="str">
        <f t="shared" si="157"/>
        <v>Medium</v>
      </c>
      <c r="I2038">
        <v>6</v>
      </c>
      <c r="J2038" t="str" cm="1">
        <f t="array" ref="J2038">_xlfn.IFS(I2038&lt;=3,"small",I2038&lt;=6,"Medium",I2038&lt;=9,"Large")</f>
        <v>Medium</v>
      </c>
      <c r="K2038" s="36">
        <v>45179</v>
      </c>
      <c r="L2038" s="36">
        <v>45186</v>
      </c>
      <c r="M2038" t="s">
        <v>598</v>
      </c>
      <c r="N2038" t="s">
        <v>608</v>
      </c>
      <c r="O2038" s="37" t="str">
        <f t="shared" si="158"/>
        <v>Cash Payment</v>
      </c>
      <c r="P2038">
        <v>1140.32</v>
      </c>
      <c r="Q2038" s="37" t="str">
        <f>IF(P2038&gt;500,"High","low")</f>
        <v>High</v>
      </c>
      <c r="R2038" s="37" t="str">
        <f t="shared" si="159"/>
        <v>Excellent</v>
      </c>
      <c r="S2038" t="s">
        <v>620</v>
      </c>
    </row>
    <row r="2039" spans="1:19" x14ac:dyDescent="0.2">
      <c r="A2039" t="s">
        <v>2650</v>
      </c>
      <c r="B2039" t="s">
        <v>90</v>
      </c>
      <c r="C2039" t="s">
        <v>597</v>
      </c>
      <c r="D2039">
        <v>1569.82</v>
      </c>
      <c r="E2039" s="37" t="str">
        <f t="shared" si="155"/>
        <v xml:space="preserve"> </v>
      </c>
      <c r="F2039">
        <v>0.12</v>
      </c>
      <c r="G2039" s="37" t="str">
        <f t="shared" si="156"/>
        <v>Normal Discount</v>
      </c>
      <c r="H2039" s="37" t="str">
        <f t="shared" si="157"/>
        <v>Low</v>
      </c>
      <c r="I2039">
        <v>5</v>
      </c>
      <c r="J2039" t="str" cm="1">
        <f t="array" ref="J2039">_xlfn.IFS(I2039&lt;=3,"small",I2039&lt;=6,"Medium",I2039&lt;=9,"Large")</f>
        <v>Medium</v>
      </c>
      <c r="K2039" s="36">
        <v>45640</v>
      </c>
      <c r="L2039" s="36">
        <v>45643</v>
      </c>
      <c r="M2039" t="s">
        <v>598</v>
      </c>
      <c r="N2039" t="s">
        <v>599</v>
      </c>
      <c r="O2039" s="37" t="str">
        <f t="shared" si="158"/>
        <v>Digital Payment</v>
      </c>
      <c r="P2039">
        <v>265.02</v>
      </c>
      <c r="Q2039" s="37" t="str">
        <f>IF(P2039&gt;500,"High","low")</f>
        <v>low</v>
      </c>
      <c r="R2039" s="37" t="str">
        <f t="shared" si="159"/>
        <v>AVERAGE</v>
      </c>
      <c r="S2039" t="s">
        <v>600</v>
      </c>
    </row>
    <row r="2040" spans="1:19" x14ac:dyDescent="0.2">
      <c r="A2040" t="s">
        <v>2651</v>
      </c>
      <c r="B2040" t="s">
        <v>83</v>
      </c>
      <c r="C2040" t="s">
        <v>597</v>
      </c>
      <c r="D2040">
        <v>2937.79</v>
      </c>
      <c r="E2040" s="37" t="str">
        <f t="shared" si="155"/>
        <v xml:space="preserve"> </v>
      </c>
      <c r="F2040">
        <v>0.42</v>
      </c>
      <c r="G2040" s="37" t="str">
        <f t="shared" si="156"/>
        <v>Heavy Discount</v>
      </c>
      <c r="H2040" s="37" t="str">
        <f t="shared" si="157"/>
        <v>High</v>
      </c>
      <c r="I2040">
        <v>3</v>
      </c>
      <c r="J2040" t="str" cm="1">
        <f t="array" ref="J2040">_xlfn.IFS(I2040&lt;=3,"small",I2040&lt;=6,"Medium",I2040&lt;=9,"Large")</f>
        <v>small</v>
      </c>
      <c r="K2040" s="36">
        <v>45342</v>
      </c>
      <c r="L2040" s="36">
        <v>45347</v>
      </c>
      <c r="M2040" t="s">
        <v>612</v>
      </c>
      <c r="N2040" t="s">
        <v>604</v>
      </c>
      <c r="O2040" s="37" t="str">
        <f t="shared" si="158"/>
        <v>Digital Payment</v>
      </c>
      <c r="P2040">
        <v>645.48</v>
      </c>
      <c r="Q2040" s="37" t="str">
        <f>IF(P2040&gt;500,"High","low")</f>
        <v>High</v>
      </c>
      <c r="R2040" s="37" t="str">
        <f t="shared" si="159"/>
        <v>Good</v>
      </c>
      <c r="S2040" t="s">
        <v>628</v>
      </c>
    </row>
    <row r="2041" spans="1:19" x14ac:dyDescent="0.2">
      <c r="A2041" t="s">
        <v>2652</v>
      </c>
      <c r="B2041" t="s">
        <v>90</v>
      </c>
      <c r="C2041" t="s">
        <v>617</v>
      </c>
      <c r="D2041">
        <v>4707.07</v>
      </c>
      <c r="E2041" s="37" t="str">
        <f t="shared" si="155"/>
        <v>Excellent Order</v>
      </c>
      <c r="F2041">
        <v>0.16</v>
      </c>
      <c r="G2041" s="37" t="str">
        <f t="shared" si="156"/>
        <v>Normal Discount</v>
      </c>
      <c r="H2041" s="37" t="str">
        <f t="shared" si="157"/>
        <v>Low</v>
      </c>
      <c r="I2041">
        <v>9</v>
      </c>
      <c r="J2041" t="str" cm="1">
        <f t="array" ref="J2041">_xlfn.IFS(I2041&lt;=3,"small",I2041&lt;=6,"Medium",I2041&lt;=9,"Large")</f>
        <v>Large</v>
      </c>
      <c r="K2041" s="36">
        <v>45165</v>
      </c>
      <c r="L2041" s="36">
        <v>45171</v>
      </c>
      <c r="M2041" t="s">
        <v>612</v>
      </c>
      <c r="N2041" t="s">
        <v>608</v>
      </c>
      <c r="O2041" s="37" t="str">
        <f t="shared" si="158"/>
        <v>Cash Payment</v>
      </c>
      <c r="P2041">
        <v>1262.92</v>
      </c>
      <c r="Q2041" s="37" t="str">
        <f>IF(P2041&gt;500,"High","low")</f>
        <v>High</v>
      </c>
      <c r="R2041" s="37" t="str">
        <f t="shared" si="159"/>
        <v>Excellent</v>
      </c>
      <c r="S2041" t="s">
        <v>620</v>
      </c>
    </row>
    <row r="2042" spans="1:19" x14ac:dyDescent="0.2">
      <c r="A2042" t="s">
        <v>2653</v>
      </c>
      <c r="B2042" t="s">
        <v>75</v>
      </c>
      <c r="C2042" t="s">
        <v>602</v>
      </c>
      <c r="D2042">
        <v>3624.68</v>
      </c>
      <c r="E2042" s="37" t="str">
        <f t="shared" si="155"/>
        <v xml:space="preserve"> </v>
      </c>
      <c r="F2042">
        <v>0.2</v>
      </c>
      <c r="G2042" s="37" t="str">
        <f t="shared" si="156"/>
        <v>Normal Discount</v>
      </c>
      <c r="H2042" s="37" t="str">
        <f t="shared" si="157"/>
        <v>Medium</v>
      </c>
      <c r="I2042">
        <v>8</v>
      </c>
      <c r="J2042" t="str" cm="1">
        <f t="array" ref="J2042">_xlfn.IFS(I2042&lt;=3,"small",I2042&lt;=6,"Medium",I2042&lt;=9,"Large")</f>
        <v>Large</v>
      </c>
      <c r="K2042" s="36">
        <v>45310</v>
      </c>
      <c r="L2042" s="36">
        <v>45313</v>
      </c>
      <c r="M2042" t="s">
        <v>603</v>
      </c>
      <c r="N2042" t="s">
        <v>608</v>
      </c>
      <c r="O2042" s="37" t="str">
        <f t="shared" si="158"/>
        <v>Cash Payment</v>
      </c>
      <c r="P2042">
        <v>412.78</v>
      </c>
      <c r="Q2042" s="37" t="str">
        <f>IF(P2042&gt;500,"High","low")</f>
        <v>low</v>
      </c>
      <c r="R2042" s="37" t="str">
        <f t="shared" si="159"/>
        <v>AVERAGE</v>
      </c>
      <c r="S2042" t="s">
        <v>628</v>
      </c>
    </row>
    <row r="2043" spans="1:19" x14ac:dyDescent="0.2">
      <c r="A2043" t="s">
        <v>2654</v>
      </c>
      <c r="B2043" t="s">
        <v>90</v>
      </c>
      <c r="C2043" t="s">
        <v>602</v>
      </c>
      <c r="D2043">
        <v>405.39</v>
      </c>
      <c r="E2043" s="37" t="str">
        <f t="shared" si="155"/>
        <v xml:space="preserve"> </v>
      </c>
      <c r="F2043">
        <v>0.05</v>
      </c>
      <c r="G2043" s="37" t="str">
        <f t="shared" si="156"/>
        <v>Normal Discount</v>
      </c>
      <c r="H2043" s="37" t="str">
        <f t="shared" si="157"/>
        <v>Low</v>
      </c>
      <c r="I2043">
        <v>3</v>
      </c>
      <c r="J2043" t="str" cm="1">
        <f t="array" ref="J2043">_xlfn.IFS(I2043&lt;=3,"small",I2043&lt;=6,"Medium",I2043&lt;=9,"Large")</f>
        <v>small</v>
      </c>
      <c r="K2043" s="36">
        <v>45333</v>
      </c>
      <c r="L2043" s="36">
        <v>45337</v>
      </c>
      <c r="M2043" t="s">
        <v>603</v>
      </c>
      <c r="N2043" t="s">
        <v>608</v>
      </c>
      <c r="O2043" s="37" t="str">
        <f t="shared" si="158"/>
        <v>Cash Payment</v>
      </c>
      <c r="P2043">
        <v>78.91</v>
      </c>
      <c r="Q2043" s="37" t="str">
        <f>IF(P2043&gt;500,"High","low")</f>
        <v>low</v>
      </c>
      <c r="R2043" s="37" t="str">
        <f t="shared" si="159"/>
        <v>AVERAGE</v>
      </c>
      <c r="S2043" t="s">
        <v>605</v>
      </c>
    </row>
    <row r="2044" spans="1:19" x14ac:dyDescent="0.2">
      <c r="A2044" t="s">
        <v>2655</v>
      </c>
      <c r="B2044" t="s">
        <v>75</v>
      </c>
      <c r="C2044" t="s">
        <v>607</v>
      </c>
      <c r="D2044">
        <v>1955.81</v>
      </c>
      <c r="E2044" s="37" t="str">
        <f t="shared" si="155"/>
        <v xml:space="preserve"> </v>
      </c>
      <c r="F2044">
        <v>7.0000000000000007E-2</v>
      </c>
      <c r="G2044" s="37" t="str">
        <f t="shared" si="156"/>
        <v>Normal Discount</v>
      </c>
      <c r="H2044" s="37" t="str">
        <f t="shared" si="157"/>
        <v>Low</v>
      </c>
      <c r="I2044">
        <v>5</v>
      </c>
      <c r="J2044" t="str" cm="1">
        <f t="array" ref="J2044">_xlfn.IFS(I2044&lt;=3,"small",I2044&lt;=6,"Medium",I2044&lt;=9,"Large")</f>
        <v>Medium</v>
      </c>
      <c r="K2044" s="36">
        <v>45094</v>
      </c>
      <c r="L2044" s="36">
        <v>45097</v>
      </c>
      <c r="M2044" t="s">
        <v>612</v>
      </c>
      <c r="N2044" t="s">
        <v>599</v>
      </c>
      <c r="O2044" s="37" t="str">
        <f t="shared" si="158"/>
        <v>Digital Payment</v>
      </c>
      <c r="P2044">
        <v>498.6</v>
      </c>
      <c r="Q2044" s="37" t="str">
        <f>IF(P2044&gt;500,"High","low")</f>
        <v>low</v>
      </c>
      <c r="R2044" s="37" t="str">
        <f t="shared" si="159"/>
        <v>AVERAGE</v>
      </c>
      <c r="S2044" t="s">
        <v>605</v>
      </c>
    </row>
    <row r="2045" spans="1:19" x14ac:dyDescent="0.2">
      <c r="A2045" t="s">
        <v>2656</v>
      </c>
      <c r="B2045" t="s">
        <v>90</v>
      </c>
      <c r="C2045" t="s">
        <v>614</v>
      </c>
      <c r="D2045">
        <v>520.29</v>
      </c>
      <c r="E2045" s="37" t="str">
        <f t="shared" si="155"/>
        <v xml:space="preserve"> </v>
      </c>
      <c r="F2045">
        <v>0.14000000000000001</v>
      </c>
      <c r="G2045" s="37" t="str">
        <f t="shared" si="156"/>
        <v>Normal Discount</v>
      </c>
      <c r="H2045" s="37" t="str">
        <f t="shared" si="157"/>
        <v>Low</v>
      </c>
      <c r="I2045">
        <v>5</v>
      </c>
      <c r="J2045" t="str" cm="1">
        <f t="array" ref="J2045">_xlfn.IFS(I2045&lt;=3,"small",I2045&lt;=6,"Medium",I2045&lt;=9,"Large")</f>
        <v>Medium</v>
      </c>
      <c r="K2045" s="36">
        <v>45037</v>
      </c>
      <c r="L2045" s="36">
        <v>45039</v>
      </c>
      <c r="M2045" t="s">
        <v>603</v>
      </c>
      <c r="N2045" t="s">
        <v>604</v>
      </c>
      <c r="O2045" s="37" t="str">
        <f t="shared" si="158"/>
        <v>Digital Payment</v>
      </c>
      <c r="P2045">
        <v>147.36000000000001</v>
      </c>
      <c r="Q2045" s="37" t="str">
        <f>IF(P2045&gt;500,"High","low")</f>
        <v>low</v>
      </c>
      <c r="R2045" s="37" t="str">
        <f t="shared" si="159"/>
        <v>AVERAGE</v>
      </c>
      <c r="S2045" t="s">
        <v>600</v>
      </c>
    </row>
    <row r="2046" spans="1:19" x14ac:dyDescent="0.2">
      <c r="A2046" t="s">
        <v>2657</v>
      </c>
      <c r="B2046" t="s">
        <v>67</v>
      </c>
      <c r="C2046" t="s">
        <v>597</v>
      </c>
      <c r="D2046">
        <v>4320.46</v>
      </c>
      <c r="E2046" s="37" t="str">
        <f t="shared" si="155"/>
        <v xml:space="preserve"> </v>
      </c>
      <c r="F2046">
        <v>0.02</v>
      </c>
      <c r="G2046" s="37" t="str">
        <f t="shared" si="156"/>
        <v>Normal Discount</v>
      </c>
      <c r="H2046" s="37" t="str">
        <f t="shared" si="157"/>
        <v>Low</v>
      </c>
      <c r="I2046">
        <v>5</v>
      </c>
      <c r="J2046" t="str" cm="1">
        <f t="array" ref="J2046">_xlfn.IFS(I2046&lt;=3,"small",I2046&lt;=6,"Medium",I2046&lt;=9,"Large")</f>
        <v>Medium</v>
      </c>
      <c r="K2046" s="36">
        <v>45358</v>
      </c>
      <c r="L2046" s="36">
        <v>45360</v>
      </c>
      <c r="M2046" t="s">
        <v>598</v>
      </c>
      <c r="N2046" t="s">
        <v>599</v>
      </c>
      <c r="O2046" s="37" t="str">
        <f t="shared" si="158"/>
        <v>Digital Payment</v>
      </c>
      <c r="P2046">
        <v>290</v>
      </c>
      <c r="Q2046" s="37" t="str">
        <f>IF(P2046&gt;500,"High","low")</f>
        <v>low</v>
      </c>
      <c r="R2046" s="37" t="str">
        <f t="shared" si="159"/>
        <v>AVERAGE</v>
      </c>
      <c r="S2046" t="s">
        <v>609</v>
      </c>
    </row>
    <row r="2047" spans="1:19" x14ac:dyDescent="0.2">
      <c r="A2047" t="s">
        <v>2658</v>
      </c>
      <c r="B2047" t="s">
        <v>67</v>
      </c>
      <c r="C2047" t="s">
        <v>607</v>
      </c>
      <c r="D2047">
        <v>3146.15</v>
      </c>
      <c r="E2047" s="37" t="str">
        <f t="shared" si="155"/>
        <v xml:space="preserve"> </v>
      </c>
      <c r="F2047">
        <v>0.1</v>
      </c>
      <c r="G2047" s="37" t="str">
        <f t="shared" si="156"/>
        <v>Normal Discount</v>
      </c>
      <c r="H2047" s="37" t="str">
        <f t="shared" si="157"/>
        <v>Low</v>
      </c>
      <c r="I2047">
        <v>8</v>
      </c>
      <c r="J2047" t="str" cm="1">
        <f t="array" ref="J2047">_xlfn.IFS(I2047&lt;=3,"small",I2047&lt;=6,"Medium",I2047&lt;=9,"Large")</f>
        <v>Large</v>
      </c>
      <c r="K2047" s="36">
        <v>45651</v>
      </c>
      <c r="L2047" s="36">
        <v>45652</v>
      </c>
      <c r="M2047" t="s">
        <v>612</v>
      </c>
      <c r="N2047" t="s">
        <v>604</v>
      </c>
      <c r="O2047" s="37" t="str">
        <f t="shared" si="158"/>
        <v>Digital Payment</v>
      </c>
      <c r="P2047">
        <v>274.82</v>
      </c>
      <c r="Q2047" s="37" t="str">
        <f>IF(P2047&gt;500,"High","low")</f>
        <v>low</v>
      </c>
      <c r="R2047" s="37" t="str">
        <f t="shared" si="159"/>
        <v>AVERAGE</v>
      </c>
      <c r="S2047" t="s">
        <v>628</v>
      </c>
    </row>
    <row r="2048" spans="1:19" x14ac:dyDescent="0.2">
      <c r="A2048" t="s">
        <v>2659</v>
      </c>
      <c r="B2048" t="s">
        <v>83</v>
      </c>
      <c r="C2048" t="s">
        <v>617</v>
      </c>
      <c r="D2048">
        <v>4786.2700000000004</v>
      </c>
      <c r="E2048" s="37" t="str">
        <f t="shared" si="155"/>
        <v xml:space="preserve"> </v>
      </c>
      <c r="F2048">
        <v>0.2</v>
      </c>
      <c r="G2048" s="37" t="str">
        <f t="shared" si="156"/>
        <v>Normal Discount</v>
      </c>
      <c r="H2048" s="37" t="str">
        <f t="shared" si="157"/>
        <v>Medium</v>
      </c>
      <c r="I2048">
        <v>3</v>
      </c>
      <c r="J2048" t="str" cm="1">
        <f t="array" ref="J2048">_xlfn.IFS(I2048&lt;=3,"small",I2048&lt;=6,"Medium",I2048&lt;=9,"Large")</f>
        <v>small</v>
      </c>
      <c r="K2048" s="36">
        <v>45605</v>
      </c>
      <c r="L2048" s="36">
        <v>45607</v>
      </c>
      <c r="M2048" t="s">
        <v>612</v>
      </c>
      <c r="N2048" t="s">
        <v>608</v>
      </c>
      <c r="O2048" s="37" t="str">
        <f t="shared" si="158"/>
        <v>Cash Payment</v>
      </c>
      <c r="P2048">
        <v>385.14</v>
      </c>
      <c r="Q2048" s="37" t="str">
        <f>IF(P2048&gt;500,"High","low")</f>
        <v>low</v>
      </c>
      <c r="R2048" s="37" t="str">
        <f t="shared" si="159"/>
        <v>AVERAGE</v>
      </c>
      <c r="S2048" t="s">
        <v>609</v>
      </c>
    </row>
    <row r="2049" spans="1:19" x14ac:dyDescent="0.2">
      <c r="A2049" t="s">
        <v>2660</v>
      </c>
      <c r="B2049" t="s">
        <v>90</v>
      </c>
      <c r="C2049" t="s">
        <v>597</v>
      </c>
      <c r="D2049">
        <v>196.81</v>
      </c>
      <c r="E2049" s="37" t="str">
        <f t="shared" si="155"/>
        <v xml:space="preserve"> </v>
      </c>
      <c r="F2049">
        <v>0.19</v>
      </c>
      <c r="G2049" s="37" t="str">
        <f t="shared" si="156"/>
        <v>Normal Discount</v>
      </c>
      <c r="H2049" s="37" t="str">
        <f t="shared" si="157"/>
        <v>Low</v>
      </c>
      <c r="I2049">
        <v>3</v>
      </c>
      <c r="J2049" t="str" cm="1">
        <f t="array" ref="J2049">_xlfn.IFS(I2049&lt;=3,"small",I2049&lt;=6,"Medium",I2049&lt;=9,"Large")</f>
        <v>small</v>
      </c>
      <c r="K2049" s="36">
        <v>45222</v>
      </c>
      <c r="L2049" s="36">
        <v>45227</v>
      </c>
      <c r="M2049" t="s">
        <v>603</v>
      </c>
      <c r="N2049" t="s">
        <v>599</v>
      </c>
      <c r="O2049" s="37" t="str">
        <f t="shared" si="158"/>
        <v>Digital Payment</v>
      </c>
      <c r="P2049">
        <v>15.1</v>
      </c>
      <c r="Q2049" s="37" t="str">
        <f>IF(P2049&gt;500,"High","low")</f>
        <v>low</v>
      </c>
      <c r="R2049" s="37" t="str">
        <f t="shared" si="159"/>
        <v>AVERAGE</v>
      </c>
      <c r="S2049" t="s">
        <v>615</v>
      </c>
    </row>
    <row r="2050" spans="1:19" x14ac:dyDescent="0.2">
      <c r="A2050" t="s">
        <v>2661</v>
      </c>
      <c r="B2050" t="s">
        <v>90</v>
      </c>
      <c r="C2050" t="s">
        <v>614</v>
      </c>
      <c r="D2050">
        <v>2173.13</v>
      </c>
      <c r="E2050" s="37" t="str">
        <f t="shared" si="155"/>
        <v xml:space="preserve"> </v>
      </c>
      <c r="F2050">
        <v>0.1</v>
      </c>
      <c r="G2050" s="37" t="str">
        <f t="shared" si="156"/>
        <v>Normal Discount</v>
      </c>
      <c r="H2050" s="37" t="str">
        <f t="shared" si="157"/>
        <v>Low</v>
      </c>
      <c r="I2050">
        <v>8</v>
      </c>
      <c r="J2050" t="str" cm="1">
        <f t="array" ref="J2050">_xlfn.IFS(I2050&lt;=3,"small",I2050&lt;=6,"Medium",I2050&lt;=9,"Large")</f>
        <v>Large</v>
      </c>
      <c r="K2050" s="36">
        <v>45211</v>
      </c>
      <c r="L2050" s="36">
        <v>45213</v>
      </c>
      <c r="M2050" t="s">
        <v>598</v>
      </c>
      <c r="N2050" t="s">
        <v>599</v>
      </c>
      <c r="O2050" s="37" t="str">
        <f t="shared" si="158"/>
        <v>Digital Payment</v>
      </c>
      <c r="P2050">
        <v>609.37</v>
      </c>
      <c r="Q2050" s="37" t="str">
        <f>IF(P2050&gt;500,"High","low")</f>
        <v>High</v>
      </c>
      <c r="R2050" s="37" t="str">
        <f t="shared" si="159"/>
        <v>Good</v>
      </c>
      <c r="S2050" t="s">
        <v>620</v>
      </c>
    </row>
    <row r="2051" spans="1:19" x14ac:dyDescent="0.2">
      <c r="A2051" t="s">
        <v>2662</v>
      </c>
      <c r="B2051" t="s">
        <v>75</v>
      </c>
      <c r="C2051" t="s">
        <v>614</v>
      </c>
      <c r="D2051">
        <v>611.38</v>
      </c>
      <c r="E2051" s="37" t="str">
        <f t="shared" ref="E2051:E2114" si="160">IF(AND(D2051&gt;4000,P2051&gt;800),"Excellent Order"," ")</f>
        <v xml:space="preserve"> </v>
      </c>
      <c r="F2051">
        <v>0.04</v>
      </c>
      <c r="G2051" s="37" t="str">
        <f t="shared" ref="G2051:G2114" si="161">IF(F2051&gt;30%,"Heavy Discount","Normal Discount")</f>
        <v>Normal Discount</v>
      </c>
      <c r="H2051" s="37" t="str">
        <f t="shared" ref="H2051:H2114" si="162">IF(F2051&gt;0.4,"High",IF(F2051&gt;=0.2,"Medium","Low"))</f>
        <v>Low</v>
      </c>
      <c r="I2051">
        <v>9</v>
      </c>
      <c r="J2051" t="str" cm="1">
        <f t="array" ref="J2051">_xlfn.IFS(I2051&lt;=3,"small",I2051&lt;=6,"Medium",I2051&lt;=9,"Large")</f>
        <v>Large</v>
      </c>
      <c r="K2051" s="36">
        <v>45227</v>
      </c>
      <c r="L2051" s="36">
        <v>45229</v>
      </c>
      <c r="M2051" t="s">
        <v>598</v>
      </c>
      <c r="N2051" t="s">
        <v>604</v>
      </c>
      <c r="O2051" s="37" t="str">
        <f t="shared" ref="O2051:O2114" si="163">IF(OR(N2051="Card",N2051="UPI"),"Digital Payment","Cash Payment")</f>
        <v>Digital Payment</v>
      </c>
      <c r="P2051">
        <v>128.38999999999999</v>
      </c>
      <c r="Q2051" s="37" t="str">
        <f>IF(P2051&gt;500,"High","low")</f>
        <v>low</v>
      </c>
      <c r="R2051" s="37" t="str">
        <f t="shared" ref="R2051:R2114" si="164">IF(P2051&gt;1000,"Excellent",IF(P2051&gt;=500,"Good","AVERAGE"))</f>
        <v>AVERAGE</v>
      </c>
      <c r="S2051" t="s">
        <v>600</v>
      </c>
    </row>
    <row r="2052" spans="1:19" x14ac:dyDescent="0.2">
      <c r="A2052" t="s">
        <v>2663</v>
      </c>
      <c r="B2052" t="s">
        <v>83</v>
      </c>
      <c r="C2052" t="s">
        <v>602</v>
      </c>
      <c r="D2052">
        <v>1817.39</v>
      </c>
      <c r="E2052" s="37" t="str">
        <f t="shared" si="160"/>
        <v xml:space="preserve"> </v>
      </c>
      <c r="F2052">
        <v>0.16</v>
      </c>
      <c r="G2052" s="37" t="str">
        <f t="shared" si="161"/>
        <v>Normal Discount</v>
      </c>
      <c r="H2052" s="37" t="str">
        <f t="shared" si="162"/>
        <v>Low</v>
      </c>
      <c r="I2052">
        <v>5</v>
      </c>
      <c r="J2052" t="str" cm="1">
        <f t="array" ref="J2052">_xlfn.IFS(I2052&lt;=3,"small",I2052&lt;=6,"Medium",I2052&lt;=9,"Large")</f>
        <v>Medium</v>
      </c>
      <c r="K2052" s="36">
        <v>45529</v>
      </c>
      <c r="L2052" s="36">
        <v>45532</v>
      </c>
      <c r="M2052" t="s">
        <v>598</v>
      </c>
      <c r="N2052" t="s">
        <v>599</v>
      </c>
      <c r="O2052" s="37" t="str">
        <f t="shared" si="163"/>
        <v>Digital Payment</v>
      </c>
      <c r="P2052">
        <v>488.92</v>
      </c>
      <c r="Q2052" s="37" t="str">
        <f>IF(P2052&gt;500,"High","low")</f>
        <v>low</v>
      </c>
      <c r="R2052" s="37" t="str">
        <f t="shared" si="164"/>
        <v>AVERAGE</v>
      </c>
      <c r="S2052" t="s">
        <v>628</v>
      </c>
    </row>
    <row r="2053" spans="1:19" x14ac:dyDescent="0.2">
      <c r="A2053" t="s">
        <v>2664</v>
      </c>
      <c r="B2053" t="s">
        <v>90</v>
      </c>
      <c r="C2053" t="s">
        <v>607</v>
      </c>
      <c r="D2053">
        <v>893.25</v>
      </c>
      <c r="E2053" s="37" t="str">
        <f t="shared" si="160"/>
        <v xml:space="preserve"> </v>
      </c>
      <c r="F2053">
        <v>0.37</v>
      </c>
      <c r="G2053" s="37" t="str">
        <f t="shared" si="161"/>
        <v>Heavy Discount</v>
      </c>
      <c r="H2053" s="37" t="str">
        <f t="shared" si="162"/>
        <v>Medium</v>
      </c>
      <c r="I2053">
        <v>8</v>
      </c>
      <c r="J2053" t="str" cm="1">
        <f t="array" ref="J2053">_xlfn.IFS(I2053&lt;=3,"small",I2053&lt;=6,"Medium",I2053&lt;=9,"Large")</f>
        <v>Large</v>
      </c>
      <c r="K2053" s="36">
        <v>45435</v>
      </c>
      <c r="L2053" s="36">
        <v>45439</v>
      </c>
      <c r="M2053" t="s">
        <v>603</v>
      </c>
      <c r="N2053" t="s">
        <v>608</v>
      </c>
      <c r="O2053" s="37" t="str">
        <f t="shared" si="163"/>
        <v>Cash Payment</v>
      </c>
      <c r="P2053">
        <v>140.76</v>
      </c>
      <c r="Q2053" s="37" t="str">
        <f>IF(P2053&gt;500,"High","low")</f>
        <v>low</v>
      </c>
      <c r="R2053" s="37" t="str">
        <f t="shared" si="164"/>
        <v>AVERAGE</v>
      </c>
      <c r="S2053" t="s">
        <v>609</v>
      </c>
    </row>
    <row r="2054" spans="1:19" x14ac:dyDescent="0.2">
      <c r="A2054" t="s">
        <v>2665</v>
      </c>
      <c r="B2054" t="s">
        <v>83</v>
      </c>
      <c r="C2054" t="s">
        <v>617</v>
      </c>
      <c r="D2054">
        <v>1711.09</v>
      </c>
      <c r="E2054" s="37" t="str">
        <f t="shared" si="160"/>
        <v xml:space="preserve"> </v>
      </c>
      <c r="F2054">
        <v>0.26</v>
      </c>
      <c r="G2054" s="37" t="str">
        <f t="shared" si="161"/>
        <v>Normal Discount</v>
      </c>
      <c r="H2054" s="37" t="str">
        <f t="shared" si="162"/>
        <v>Medium</v>
      </c>
      <c r="I2054">
        <v>5</v>
      </c>
      <c r="J2054" t="str" cm="1">
        <f t="array" ref="J2054">_xlfn.IFS(I2054&lt;=3,"small",I2054&lt;=6,"Medium",I2054&lt;=9,"Large")</f>
        <v>Medium</v>
      </c>
      <c r="K2054" s="36">
        <v>45472</v>
      </c>
      <c r="L2054" s="36">
        <v>45474</v>
      </c>
      <c r="M2054" t="s">
        <v>598</v>
      </c>
      <c r="N2054" t="s">
        <v>599</v>
      </c>
      <c r="O2054" s="37" t="str">
        <f t="shared" si="163"/>
        <v>Digital Payment</v>
      </c>
      <c r="P2054">
        <v>467.29</v>
      </c>
      <c r="Q2054" s="37" t="str">
        <f>IF(P2054&gt;500,"High","low")</f>
        <v>low</v>
      </c>
      <c r="R2054" s="37" t="str">
        <f t="shared" si="164"/>
        <v>AVERAGE</v>
      </c>
      <c r="S2054" t="s">
        <v>605</v>
      </c>
    </row>
    <row r="2055" spans="1:19" x14ac:dyDescent="0.2">
      <c r="A2055" t="s">
        <v>2666</v>
      </c>
      <c r="B2055" t="s">
        <v>67</v>
      </c>
      <c r="C2055" t="s">
        <v>597</v>
      </c>
      <c r="D2055">
        <v>4114.38</v>
      </c>
      <c r="E2055" s="37" t="str">
        <f t="shared" si="160"/>
        <v>Excellent Order</v>
      </c>
      <c r="F2055">
        <v>0.47</v>
      </c>
      <c r="G2055" s="37" t="str">
        <f t="shared" si="161"/>
        <v>Heavy Discount</v>
      </c>
      <c r="H2055" s="37" t="str">
        <f t="shared" si="162"/>
        <v>High</v>
      </c>
      <c r="I2055">
        <v>4</v>
      </c>
      <c r="J2055" t="str" cm="1">
        <f t="array" ref="J2055">_xlfn.IFS(I2055&lt;=3,"small",I2055&lt;=6,"Medium",I2055&lt;=9,"Large")</f>
        <v>Medium</v>
      </c>
      <c r="K2055" s="36">
        <v>45016</v>
      </c>
      <c r="L2055" s="36">
        <v>45021</v>
      </c>
      <c r="M2055" t="s">
        <v>598</v>
      </c>
      <c r="N2055" t="s">
        <v>604</v>
      </c>
      <c r="O2055" s="37" t="str">
        <f t="shared" si="163"/>
        <v>Digital Payment</v>
      </c>
      <c r="P2055">
        <v>860.34</v>
      </c>
      <c r="Q2055" s="37" t="str">
        <f>IF(P2055&gt;500,"High","low")</f>
        <v>High</v>
      </c>
      <c r="R2055" s="37" t="str">
        <f t="shared" si="164"/>
        <v>Good</v>
      </c>
      <c r="S2055" t="s">
        <v>600</v>
      </c>
    </row>
    <row r="2056" spans="1:19" x14ac:dyDescent="0.2">
      <c r="A2056" t="s">
        <v>2667</v>
      </c>
      <c r="B2056" t="s">
        <v>90</v>
      </c>
      <c r="C2056" t="s">
        <v>614</v>
      </c>
      <c r="D2056">
        <v>887.43</v>
      </c>
      <c r="E2056" s="37" t="str">
        <f t="shared" si="160"/>
        <v xml:space="preserve"> </v>
      </c>
      <c r="F2056">
        <v>7.0000000000000007E-2</v>
      </c>
      <c r="G2056" s="37" t="str">
        <f t="shared" si="161"/>
        <v>Normal Discount</v>
      </c>
      <c r="H2056" s="37" t="str">
        <f t="shared" si="162"/>
        <v>Low</v>
      </c>
      <c r="I2056">
        <v>2</v>
      </c>
      <c r="J2056" t="str" cm="1">
        <f t="array" ref="J2056">_xlfn.IFS(I2056&lt;=3,"small",I2056&lt;=6,"Medium",I2056&lt;=9,"Large")</f>
        <v>small</v>
      </c>
      <c r="K2056" s="36">
        <v>45426</v>
      </c>
      <c r="L2056" s="36">
        <v>45430</v>
      </c>
      <c r="M2056" t="s">
        <v>598</v>
      </c>
      <c r="N2056" t="s">
        <v>599</v>
      </c>
      <c r="O2056" s="37" t="str">
        <f t="shared" si="163"/>
        <v>Digital Payment</v>
      </c>
      <c r="P2056">
        <v>221.32</v>
      </c>
      <c r="Q2056" s="37" t="str">
        <f>IF(P2056&gt;500,"High","low")</f>
        <v>low</v>
      </c>
      <c r="R2056" s="37" t="str">
        <f t="shared" si="164"/>
        <v>AVERAGE</v>
      </c>
      <c r="S2056" t="s">
        <v>628</v>
      </c>
    </row>
    <row r="2057" spans="1:19" x14ac:dyDescent="0.2">
      <c r="A2057" t="s">
        <v>2668</v>
      </c>
      <c r="B2057" t="s">
        <v>90</v>
      </c>
      <c r="C2057" t="s">
        <v>597</v>
      </c>
      <c r="D2057">
        <v>2420.96</v>
      </c>
      <c r="E2057" s="37" t="str">
        <f t="shared" si="160"/>
        <v xml:space="preserve"> </v>
      </c>
      <c r="F2057">
        <v>0.1</v>
      </c>
      <c r="G2057" s="37" t="str">
        <f t="shared" si="161"/>
        <v>Normal Discount</v>
      </c>
      <c r="H2057" s="37" t="str">
        <f t="shared" si="162"/>
        <v>Low</v>
      </c>
      <c r="I2057">
        <v>4</v>
      </c>
      <c r="J2057" t="str" cm="1">
        <f t="array" ref="J2057">_xlfn.IFS(I2057&lt;=3,"small",I2057&lt;=6,"Medium",I2057&lt;=9,"Large")</f>
        <v>Medium</v>
      </c>
      <c r="K2057" s="36">
        <v>45453</v>
      </c>
      <c r="L2057" s="36">
        <v>45455</v>
      </c>
      <c r="M2057" t="s">
        <v>598</v>
      </c>
      <c r="N2057" t="s">
        <v>608</v>
      </c>
      <c r="O2057" s="37" t="str">
        <f t="shared" si="163"/>
        <v>Cash Payment</v>
      </c>
      <c r="P2057">
        <v>470.87</v>
      </c>
      <c r="Q2057" s="37" t="str">
        <f>IF(P2057&gt;500,"High","low")</f>
        <v>low</v>
      </c>
      <c r="R2057" s="37" t="str">
        <f t="shared" si="164"/>
        <v>AVERAGE</v>
      </c>
      <c r="S2057" t="s">
        <v>609</v>
      </c>
    </row>
    <row r="2058" spans="1:19" x14ac:dyDescent="0.2">
      <c r="A2058" t="s">
        <v>2669</v>
      </c>
      <c r="B2058" t="s">
        <v>83</v>
      </c>
      <c r="C2058" t="s">
        <v>617</v>
      </c>
      <c r="D2058">
        <v>4615.76</v>
      </c>
      <c r="E2058" s="37" t="str">
        <f t="shared" si="160"/>
        <v xml:space="preserve"> </v>
      </c>
      <c r="F2058">
        <v>0.14000000000000001</v>
      </c>
      <c r="G2058" s="37" t="str">
        <f t="shared" si="161"/>
        <v>Normal Discount</v>
      </c>
      <c r="H2058" s="37" t="str">
        <f t="shared" si="162"/>
        <v>Low</v>
      </c>
      <c r="I2058">
        <v>2</v>
      </c>
      <c r="J2058" t="str" cm="1">
        <f t="array" ref="J2058">_xlfn.IFS(I2058&lt;=3,"small",I2058&lt;=6,"Medium",I2058&lt;=9,"Large")</f>
        <v>small</v>
      </c>
      <c r="K2058" s="36">
        <v>45508</v>
      </c>
      <c r="L2058" s="36">
        <v>45512</v>
      </c>
      <c r="M2058" t="s">
        <v>612</v>
      </c>
      <c r="N2058" t="s">
        <v>599</v>
      </c>
      <c r="O2058" s="37" t="str">
        <f t="shared" si="163"/>
        <v>Digital Payment</v>
      </c>
      <c r="P2058">
        <v>575.52</v>
      </c>
      <c r="Q2058" s="37" t="str">
        <f>IF(P2058&gt;500,"High","low")</f>
        <v>High</v>
      </c>
      <c r="R2058" s="37" t="str">
        <f t="shared" si="164"/>
        <v>Good</v>
      </c>
      <c r="S2058" t="s">
        <v>615</v>
      </c>
    </row>
    <row r="2059" spans="1:19" x14ac:dyDescent="0.2">
      <c r="A2059" t="s">
        <v>2670</v>
      </c>
      <c r="B2059" t="s">
        <v>90</v>
      </c>
      <c r="C2059" t="s">
        <v>597</v>
      </c>
      <c r="D2059">
        <v>4994.0200000000004</v>
      </c>
      <c r="E2059" s="37" t="str">
        <f t="shared" si="160"/>
        <v>Excellent Order</v>
      </c>
      <c r="F2059">
        <v>0.01</v>
      </c>
      <c r="G2059" s="37" t="str">
        <f t="shared" si="161"/>
        <v>Normal Discount</v>
      </c>
      <c r="H2059" s="37" t="str">
        <f t="shared" si="162"/>
        <v>Low</v>
      </c>
      <c r="I2059">
        <v>7</v>
      </c>
      <c r="J2059" t="str" cm="1">
        <f t="array" ref="J2059">_xlfn.IFS(I2059&lt;=3,"small",I2059&lt;=6,"Medium",I2059&lt;=9,"Large")</f>
        <v>Large</v>
      </c>
      <c r="K2059" s="36">
        <v>45655</v>
      </c>
      <c r="L2059" s="36">
        <v>45660</v>
      </c>
      <c r="M2059" t="s">
        <v>603</v>
      </c>
      <c r="N2059" t="s">
        <v>599</v>
      </c>
      <c r="O2059" s="37" t="str">
        <f t="shared" si="163"/>
        <v>Digital Payment</v>
      </c>
      <c r="P2059">
        <v>955.03</v>
      </c>
      <c r="Q2059" s="37" t="str">
        <f>IF(P2059&gt;500,"High","low")</f>
        <v>High</v>
      </c>
      <c r="R2059" s="37" t="str">
        <f t="shared" si="164"/>
        <v>Good</v>
      </c>
      <c r="S2059" t="s">
        <v>609</v>
      </c>
    </row>
    <row r="2060" spans="1:19" x14ac:dyDescent="0.2">
      <c r="A2060" t="s">
        <v>2671</v>
      </c>
      <c r="B2060" t="s">
        <v>83</v>
      </c>
      <c r="C2060" t="s">
        <v>607</v>
      </c>
      <c r="D2060">
        <v>1328.14</v>
      </c>
      <c r="E2060" s="37" t="str">
        <f t="shared" si="160"/>
        <v xml:space="preserve"> </v>
      </c>
      <c r="F2060">
        <v>0.47</v>
      </c>
      <c r="G2060" s="37" t="str">
        <f t="shared" si="161"/>
        <v>Heavy Discount</v>
      </c>
      <c r="H2060" s="37" t="str">
        <f t="shared" si="162"/>
        <v>High</v>
      </c>
      <c r="I2060">
        <v>7</v>
      </c>
      <c r="J2060" t="str" cm="1">
        <f t="array" ref="J2060">_xlfn.IFS(I2060&lt;=3,"small",I2060&lt;=6,"Medium",I2060&lt;=9,"Large")</f>
        <v>Large</v>
      </c>
      <c r="K2060" s="36">
        <v>44997</v>
      </c>
      <c r="L2060" s="36">
        <v>45000</v>
      </c>
      <c r="M2060" t="s">
        <v>598</v>
      </c>
      <c r="N2060" t="s">
        <v>599</v>
      </c>
      <c r="O2060" s="37" t="str">
        <f t="shared" si="163"/>
        <v>Digital Payment</v>
      </c>
      <c r="P2060">
        <v>307.7</v>
      </c>
      <c r="Q2060" s="37" t="str">
        <f>IF(P2060&gt;500,"High","low")</f>
        <v>low</v>
      </c>
      <c r="R2060" s="37" t="str">
        <f t="shared" si="164"/>
        <v>AVERAGE</v>
      </c>
      <c r="S2060" t="s">
        <v>605</v>
      </c>
    </row>
    <row r="2061" spans="1:19" x14ac:dyDescent="0.2">
      <c r="A2061" t="s">
        <v>2672</v>
      </c>
      <c r="B2061" t="s">
        <v>90</v>
      </c>
      <c r="C2061" t="s">
        <v>602</v>
      </c>
      <c r="D2061">
        <v>4684.28</v>
      </c>
      <c r="E2061" s="37" t="str">
        <f t="shared" si="160"/>
        <v>Excellent Order</v>
      </c>
      <c r="F2061">
        <v>0.22</v>
      </c>
      <c r="G2061" s="37" t="str">
        <f t="shared" si="161"/>
        <v>Normal Discount</v>
      </c>
      <c r="H2061" s="37" t="str">
        <f t="shared" si="162"/>
        <v>Medium</v>
      </c>
      <c r="I2061">
        <v>9</v>
      </c>
      <c r="J2061" t="str" cm="1">
        <f t="array" ref="J2061">_xlfn.IFS(I2061&lt;=3,"small",I2061&lt;=6,"Medium",I2061&lt;=9,"Large")</f>
        <v>Large</v>
      </c>
      <c r="K2061" s="36">
        <v>45568</v>
      </c>
      <c r="L2061" s="36">
        <v>45571</v>
      </c>
      <c r="M2061" t="s">
        <v>612</v>
      </c>
      <c r="N2061" t="s">
        <v>599</v>
      </c>
      <c r="O2061" s="37" t="str">
        <f t="shared" si="163"/>
        <v>Digital Payment</v>
      </c>
      <c r="P2061">
        <v>1016.89</v>
      </c>
      <c r="Q2061" s="37" t="str">
        <f>IF(P2061&gt;500,"High","low")</f>
        <v>High</v>
      </c>
      <c r="R2061" s="37" t="str">
        <f t="shared" si="164"/>
        <v>Excellent</v>
      </c>
      <c r="S2061" t="s">
        <v>615</v>
      </c>
    </row>
    <row r="2062" spans="1:19" x14ac:dyDescent="0.2">
      <c r="A2062" t="s">
        <v>2673</v>
      </c>
      <c r="B2062" t="s">
        <v>75</v>
      </c>
      <c r="C2062" t="s">
        <v>597</v>
      </c>
      <c r="D2062">
        <v>1380.8</v>
      </c>
      <c r="E2062" s="37" t="str">
        <f t="shared" si="160"/>
        <v xml:space="preserve"> </v>
      </c>
      <c r="F2062">
        <v>0.24</v>
      </c>
      <c r="G2062" s="37" t="str">
        <f t="shared" si="161"/>
        <v>Normal Discount</v>
      </c>
      <c r="H2062" s="37" t="str">
        <f t="shared" si="162"/>
        <v>Medium</v>
      </c>
      <c r="I2062">
        <v>4</v>
      </c>
      <c r="J2062" t="str" cm="1">
        <f t="array" ref="J2062">_xlfn.IFS(I2062&lt;=3,"small",I2062&lt;=6,"Medium",I2062&lt;=9,"Large")</f>
        <v>Medium</v>
      </c>
      <c r="K2062" s="36">
        <v>45280</v>
      </c>
      <c r="L2062" s="36">
        <v>45281</v>
      </c>
      <c r="M2062" t="s">
        <v>612</v>
      </c>
      <c r="N2062" t="s">
        <v>604</v>
      </c>
      <c r="O2062" s="37" t="str">
        <f t="shared" si="163"/>
        <v>Digital Payment</v>
      </c>
      <c r="P2062">
        <v>229.84</v>
      </c>
      <c r="Q2062" s="37" t="str">
        <f>IF(P2062&gt;500,"High","low")</f>
        <v>low</v>
      </c>
      <c r="R2062" s="37" t="str">
        <f t="shared" si="164"/>
        <v>AVERAGE</v>
      </c>
      <c r="S2062" t="s">
        <v>609</v>
      </c>
    </row>
    <row r="2063" spans="1:19" x14ac:dyDescent="0.2">
      <c r="A2063" t="s">
        <v>2674</v>
      </c>
      <c r="B2063" t="s">
        <v>83</v>
      </c>
      <c r="C2063" t="s">
        <v>602</v>
      </c>
      <c r="D2063">
        <v>2126.29</v>
      </c>
      <c r="E2063" s="37" t="str">
        <f t="shared" si="160"/>
        <v xml:space="preserve"> </v>
      </c>
      <c r="F2063">
        <v>0.08</v>
      </c>
      <c r="G2063" s="37" t="str">
        <f t="shared" si="161"/>
        <v>Normal Discount</v>
      </c>
      <c r="H2063" s="37" t="str">
        <f t="shared" si="162"/>
        <v>Low</v>
      </c>
      <c r="I2063">
        <v>5</v>
      </c>
      <c r="J2063" t="str" cm="1">
        <f t="array" ref="J2063">_xlfn.IFS(I2063&lt;=3,"small",I2063&lt;=6,"Medium",I2063&lt;=9,"Large")</f>
        <v>Medium</v>
      </c>
      <c r="K2063" s="36">
        <v>45567</v>
      </c>
      <c r="L2063" s="36">
        <v>45572</v>
      </c>
      <c r="M2063" t="s">
        <v>612</v>
      </c>
      <c r="N2063" t="s">
        <v>608</v>
      </c>
      <c r="O2063" s="37" t="str">
        <f t="shared" si="163"/>
        <v>Cash Payment</v>
      </c>
      <c r="P2063">
        <v>117.62</v>
      </c>
      <c r="Q2063" s="37" t="str">
        <f>IF(P2063&gt;500,"High","low")</f>
        <v>low</v>
      </c>
      <c r="R2063" s="37" t="str">
        <f t="shared" si="164"/>
        <v>AVERAGE</v>
      </c>
      <c r="S2063" t="s">
        <v>609</v>
      </c>
    </row>
    <row r="2064" spans="1:19" x14ac:dyDescent="0.2">
      <c r="A2064" t="s">
        <v>2675</v>
      </c>
      <c r="B2064" t="s">
        <v>90</v>
      </c>
      <c r="C2064" t="s">
        <v>617</v>
      </c>
      <c r="D2064">
        <v>4401.83</v>
      </c>
      <c r="E2064" s="37" t="str">
        <f t="shared" si="160"/>
        <v>Excellent Order</v>
      </c>
      <c r="F2064">
        <v>0.44</v>
      </c>
      <c r="G2064" s="37" t="str">
        <f t="shared" si="161"/>
        <v>Heavy Discount</v>
      </c>
      <c r="H2064" s="37" t="str">
        <f t="shared" si="162"/>
        <v>High</v>
      </c>
      <c r="I2064">
        <v>4</v>
      </c>
      <c r="J2064" t="str" cm="1">
        <f t="array" ref="J2064">_xlfn.IFS(I2064&lt;=3,"small",I2064&lt;=6,"Medium",I2064&lt;=9,"Large")</f>
        <v>Medium</v>
      </c>
      <c r="K2064" s="36">
        <v>45559</v>
      </c>
      <c r="L2064" s="36">
        <v>45566</v>
      </c>
      <c r="M2064" t="s">
        <v>598</v>
      </c>
      <c r="N2064" t="s">
        <v>604</v>
      </c>
      <c r="O2064" s="37" t="str">
        <f t="shared" si="163"/>
        <v>Digital Payment</v>
      </c>
      <c r="P2064">
        <v>857.53</v>
      </c>
      <c r="Q2064" s="37" t="str">
        <f>IF(P2064&gt;500,"High","low")</f>
        <v>High</v>
      </c>
      <c r="R2064" s="37" t="str">
        <f t="shared" si="164"/>
        <v>Good</v>
      </c>
      <c r="S2064" t="s">
        <v>620</v>
      </c>
    </row>
    <row r="2065" spans="1:19" x14ac:dyDescent="0.2">
      <c r="A2065" t="s">
        <v>2676</v>
      </c>
      <c r="B2065" t="s">
        <v>67</v>
      </c>
      <c r="C2065" t="s">
        <v>602</v>
      </c>
      <c r="D2065">
        <v>3952.26</v>
      </c>
      <c r="E2065" s="37" t="str">
        <f t="shared" si="160"/>
        <v xml:space="preserve"> </v>
      </c>
      <c r="F2065">
        <v>0.35</v>
      </c>
      <c r="G2065" s="37" t="str">
        <f t="shared" si="161"/>
        <v>Heavy Discount</v>
      </c>
      <c r="H2065" s="37" t="str">
        <f t="shared" si="162"/>
        <v>Medium</v>
      </c>
      <c r="I2065">
        <v>4</v>
      </c>
      <c r="J2065" t="str" cm="1">
        <f t="array" ref="J2065">_xlfn.IFS(I2065&lt;=3,"small",I2065&lt;=6,"Medium",I2065&lt;=9,"Large")</f>
        <v>Medium</v>
      </c>
      <c r="K2065" s="36">
        <v>45108</v>
      </c>
      <c r="L2065" s="36">
        <v>45114</v>
      </c>
      <c r="M2065" t="s">
        <v>598</v>
      </c>
      <c r="N2065" t="s">
        <v>599</v>
      </c>
      <c r="O2065" s="37" t="str">
        <f t="shared" si="163"/>
        <v>Digital Payment</v>
      </c>
      <c r="P2065">
        <v>1112.18</v>
      </c>
      <c r="Q2065" s="37" t="str">
        <f>IF(P2065&gt;500,"High","low")</f>
        <v>High</v>
      </c>
      <c r="R2065" s="37" t="str">
        <f t="shared" si="164"/>
        <v>Excellent</v>
      </c>
      <c r="S2065" t="s">
        <v>600</v>
      </c>
    </row>
    <row r="2066" spans="1:19" x14ac:dyDescent="0.2">
      <c r="A2066" t="s">
        <v>2677</v>
      </c>
      <c r="B2066" t="s">
        <v>90</v>
      </c>
      <c r="C2066" t="s">
        <v>597</v>
      </c>
      <c r="D2066">
        <v>4301.6899999999996</v>
      </c>
      <c r="E2066" s="37" t="str">
        <f t="shared" si="160"/>
        <v>Excellent Order</v>
      </c>
      <c r="F2066">
        <v>0.22</v>
      </c>
      <c r="G2066" s="37" t="str">
        <f t="shared" si="161"/>
        <v>Normal Discount</v>
      </c>
      <c r="H2066" s="37" t="str">
        <f t="shared" si="162"/>
        <v>Medium</v>
      </c>
      <c r="I2066">
        <v>5</v>
      </c>
      <c r="J2066" t="str" cm="1">
        <f t="array" ref="J2066">_xlfn.IFS(I2066&lt;=3,"small",I2066&lt;=6,"Medium",I2066&lt;=9,"Large")</f>
        <v>Medium</v>
      </c>
      <c r="K2066" s="36">
        <v>45051</v>
      </c>
      <c r="L2066" s="36">
        <v>45053</v>
      </c>
      <c r="M2066" t="s">
        <v>612</v>
      </c>
      <c r="N2066" t="s">
        <v>608</v>
      </c>
      <c r="O2066" s="37" t="str">
        <f t="shared" si="163"/>
        <v>Cash Payment</v>
      </c>
      <c r="P2066">
        <v>1210.3800000000001</v>
      </c>
      <c r="Q2066" s="37" t="str">
        <f>IF(P2066&gt;500,"High","low")</f>
        <v>High</v>
      </c>
      <c r="R2066" s="37" t="str">
        <f t="shared" si="164"/>
        <v>Excellent</v>
      </c>
      <c r="S2066" t="s">
        <v>615</v>
      </c>
    </row>
    <row r="2067" spans="1:19" x14ac:dyDescent="0.2">
      <c r="A2067" t="s">
        <v>2678</v>
      </c>
      <c r="B2067" t="s">
        <v>67</v>
      </c>
      <c r="C2067" t="s">
        <v>597</v>
      </c>
      <c r="D2067">
        <v>4021.26</v>
      </c>
      <c r="E2067" s="37" t="str">
        <f t="shared" si="160"/>
        <v>Excellent Order</v>
      </c>
      <c r="F2067">
        <v>0.44</v>
      </c>
      <c r="G2067" s="37" t="str">
        <f t="shared" si="161"/>
        <v>Heavy Discount</v>
      </c>
      <c r="H2067" s="37" t="str">
        <f t="shared" si="162"/>
        <v>High</v>
      </c>
      <c r="I2067">
        <v>3</v>
      </c>
      <c r="J2067" t="str" cm="1">
        <f t="array" ref="J2067">_xlfn.IFS(I2067&lt;=3,"small",I2067&lt;=6,"Medium",I2067&lt;=9,"Large")</f>
        <v>small</v>
      </c>
      <c r="K2067" s="36">
        <v>45036</v>
      </c>
      <c r="L2067" s="36">
        <v>45042</v>
      </c>
      <c r="M2067" t="s">
        <v>612</v>
      </c>
      <c r="N2067" t="s">
        <v>604</v>
      </c>
      <c r="O2067" s="37" t="str">
        <f t="shared" si="163"/>
        <v>Digital Payment</v>
      </c>
      <c r="P2067">
        <v>1066.1300000000001</v>
      </c>
      <c r="Q2067" s="37" t="str">
        <f>IF(P2067&gt;500,"High","low")</f>
        <v>High</v>
      </c>
      <c r="R2067" s="37" t="str">
        <f t="shared" si="164"/>
        <v>Excellent</v>
      </c>
      <c r="S2067" t="s">
        <v>600</v>
      </c>
    </row>
    <row r="2068" spans="1:19" x14ac:dyDescent="0.2">
      <c r="A2068" t="s">
        <v>2679</v>
      </c>
      <c r="B2068" t="s">
        <v>67</v>
      </c>
      <c r="C2068" t="s">
        <v>614</v>
      </c>
      <c r="D2068">
        <v>1251.8</v>
      </c>
      <c r="E2068" s="37" t="str">
        <f t="shared" si="160"/>
        <v xml:space="preserve"> </v>
      </c>
      <c r="F2068">
        <v>0.45</v>
      </c>
      <c r="G2068" s="37" t="str">
        <f t="shared" si="161"/>
        <v>Heavy Discount</v>
      </c>
      <c r="H2068" s="37" t="str">
        <f t="shared" si="162"/>
        <v>High</v>
      </c>
      <c r="I2068">
        <v>9</v>
      </c>
      <c r="J2068" t="str" cm="1">
        <f t="array" ref="J2068">_xlfn.IFS(I2068&lt;=3,"small",I2068&lt;=6,"Medium",I2068&lt;=9,"Large")</f>
        <v>Large</v>
      </c>
      <c r="K2068" s="36">
        <v>45312</v>
      </c>
      <c r="L2068" s="36">
        <v>45318</v>
      </c>
      <c r="M2068" t="s">
        <v>612</v>
      </c>
      <c r="N2068" t="s">
        <v>599</v>
      </c>
      <c r="O2068" s="37" t="str">
        <f t="shared" si="163"/>
        <v>Digital Payment</v>
      </c>
      <c r="P2068">
        <v>256.42</v>
      </c>
      <c r="Q2068" s="37" t="str">
        <f>IF(P2068&gt;500,"High","low")</f>
        <v>low</v>
      </c>
      <c r="R2068" s="37" t="str">
        <f t="shared" si="164"/>
        <v>AVERAGE</v>
      </c>
      <c r="S2068" t="s">
        <v>605</v>
      </c>
    </row>
    <row r="2069" spans="1:19" x14ac:dyDescent="0.2">
      <c r="A2069" t="s">
        <v>2680</v>
      </c>
      <c r="B2069" t="s">
        <v>75</v>
      </c>
      <c r="C2069" t="s">
        <v>597</v>
      </c>
      <c r="D2069">
        <v>2838.1</v>
      </c>
      <c r="E2069" s="37" t="str">
        <f t="shared" si="160"/>
        <v xml:space="preserve"> </v>
      </c>
      <c r="F2069">
        <v>0.02</v>
      </c>
      <c r="G2069" s="37" t="str">
        <f t="shared" si="161"/>
        <v>Normal Discount</v>
      </c>
      <c r="H2069" s="37" t="str">
        <f t="shared" si="162"/>
        <v>Low</v>
      </c>
      <c r="I2069">
        <v>7</v>
      </c>
      <c r="J2069" t="str" cm="1">
        <f t="array" ref="J2069">_xlfn.IFS(I2069&lt;=3,"small",I2069&lt;=6,"Medium",I2069&lt;=9,"Large")</f>
        <v>Large</v>
      </c>
      <c r="K2069" s="36">
        <v>45090</v>
      </c>
      <c r="L2069" s="36">
        <v>45092</v>
      </c>
      <c r="M2069" t="s">
        <v>612</v>
      </c>
      <c r="N2069" t="s">
        <v>604</v>
      </c>
      <c r="O2069" s="37" t="str">
        <f t="shared" si="163"/>
        <v>Digital Payment</v>
      </c>
      <c r="P2069">
        <v>503.33</v>
      </c>
      <c r="Q2069" s="37" t="str">
        <f>IF(P2069&gt;500,"High","low")</f>
        <v>High</v>
      </c>
      <c r="R2069" s="37" t="str">
        <f t="shared" si="164"/>
        <v>Good</v>
      </c>
      <c r="S2069" t="s">
        <v>620</v>
      </c>
    </row>
    <row r="2070" spans="1:19" x14ac:dyDescent="0.2">
      <c r="A2070" t="s">
        <v>2681</v>
      </c>
      <c r="B2070" t="s">
        <v>83</v>
      </c>
      <c r="C2070" t="s">
        <v>602</v>
      </c>
      <c r="D2070">
        <v>1987.73</v>
      </c>
      <c r="E2070" s="37" t="str">
        <f t="shared" si="160"/>
        <v xml:space="preserve"> </v>
      </c>
      <c r="F2070">
        <v>0.06</v>
      </c>
      <c r="G2070" s="37" t="str">
        <f t="shared" si="161"/>
        <v>Normal Discount</v>
      </c>
      <c r="H2070" s="37" t="str">
        <f t="shared" si="162"/>
        <v>Low</v>
      </c>
      <c r="I2070">
        <v>1</v>
      </c>
      <c r="J2070" t="str" cm="1">
        <f t="array" ref="J2070">_xlfn.IFS(I2070&lt;=3,"small",I2070&lt;=6,"Medium",I2070&lt;=9,"Large")</f>
        <v>small</v>
      </c>
      <c r="K2070" s="36">
        <v>45466</v>
      </c>
      <c r="L2070" s="36">
        <v>45467</v>
      </c>
      <c r="M2070" t="s">
        <v>598</v>
      </c>
      <c r="N2070" t="s">
        <v>599</v>
      </c>
      <c r="O2070" s="37" t="str">
        <f t="shared" si="163"/>
        <v>Digital Payment</v>
      </c>
      <c r="P2070">
        <v>110.83</v>
      </c>
      <c r="Q2070" s="37" t="str">
        <f>IF(P2070&gt;500,"High","low")</f>
        <v>low</v>
      </c>
      <c r="R2070" s="37" t="str">
        <f t="shared" si="164"/>
        <v>AVERAGE</v>
      </c>
      <c r="S2070" t="s">
        <v>609</v>
      </c>
    </row>
    <row r="2071" spans="1:19" x14ac:dyDescent="0.2">
      <c r="A2071" t="s">
        <v>2682</v>
      </c>
      <c r="B2071" t="s">
        <v>90</v>
      </c>
      <c r="C2071" t="s">
        <v>614</v>
      </c>
      <c r="D2071">
        <v>2352.58</v>
      </c>
      <c r="E2071" s="37" t="str">
        <f t="shared" si="160"/>
        <v xml:space="preserve"> </v>
      </c>
      <c r="F2071">
        <v>0.01</v>
      </c>
      <c r="G2071" s="37" t="str">
        <f t="shared" si="161"/>
        <v>Normal Discount</v>
      </c>
      <c r="H2071" s="37" t="str">
        <f t="shared" si="162"/>
        <v>Low</v>
      </c>
      <c r="I2071">
        <v>1</v>
      </c>
      <c r="J2071" t="str" cm="1">
        <f t="array" ref="J2071">_xlfn.IFS(I2071&lt;=3,"small",I2071&lt;=6,"Medium",I2071&lt;=9,"Large")</f>
        <v>small</v>
      </c>
      <c r="K2071" s="36">
        <v>45141</v>
      </c>
      <c r="L2071" s="36">
        <v>45146</v>
      </c>
      <c r="M2071" t="s">
        <v>612</v>
      </c>
      <c r="N2071" t="s">
        <v>608</v>
      </c>
      <c r="O2071" s="37" t="str">
        <f t="shared" si="163"/>
        <v>Cash Payment</v>
      </c>
      <c r="P2071">
        <v>323.68</v>
      </c>
      <c r="Q2071" s="37" t="str">
        <f>IF(P2071&gt;500,"High","low")</f>
        <v>low</v>
      </c>
      <c r="R2071" s="37" t="str">
        <f t="shared" si="164"/>
        <v>AVERAGE</v>
      </c>
      <c r="S2071" t="s">
        <v>615</v>
      </c>
    </row>
    <row r="2072" spans="1:19" x14ac:dyDescent="0.2">
      <c r="A2072" t="s">
        <v>2683</v>
      </c>
      <c r="B2072" t="s">
        <v>75</v>
      </c>
      <c r="C2072" t="s">
        <v>597</v>
      </c>
      <c r="D2072">
        <v>854.39</v>
      </c>
      <c r="E2072" s="37" t="str">
        <f t="shared" si="160"/>
        <v xml:space="preserve"> </v>
      </c>
      <c r="F2072">
        <v>0.28999999999999998</v>
      </c>
      <c r="G2072" s="37" t="str">
        <f t="shared" si="161"/>
        <v>Normal Discount</v>
      </c>
      <c r="H2072" s="37" t="str">
        <f t="shared" si="162"/>
        <v>Medium</v>
      </c>
      <c r="I2072">
        <v>1</v>
      </c>
      <c r="J2072" t="str" cm="1">
        <f t="array" ref="J2072">_xlfn.IFS(I2072&lt;=3,"small",I2072&lt;=6,"Medium",I2072&lt;=9,"Large")</f>
        <v>small</v>
      </c>
      <c r="K2072" s="36">
        <v>45029</v>
      </c>
      <c r="L2072" s="36">
        <v>45033</v>
      </c>
      <c r="M2072" t="s">
        <v>612</v>
      </c>
      <c r="N2072" t="s">
        <v>599</v>
      </c>
      <c r="O2072" s="37" t="str">
        <f t="shared" si="163"/>
        <v>Digital Payment</v>
      </c>
      <c r="P2072">
        <v>225.05</v>
      </c>
      <c r="Q2072" s="37" t="str">
        <f>IF(P2072&gt;500,"High","low")</f>
        <v>low</v>
      </c>
      <c r="R2072" s="37" t="str">
        <f t="shared" si="164"/>
        <v>AVERAGE</v>
      </c>
      <c r="S2072" t="s">
        <v>605</v>
      </c>
    </row>
    <row r="2073" spans="1:19" x14ac:dyDescent="0.2">
      <c r="A2073" t="s">
        <v>2684</v>
      </c>
      <c r="B2073" t="s">
        <v>90</v>
      </c>
      <c r="C2073" t="s">
        <v>597</v>
      </c>
      <c r="D2073">
        <v>1647.26</v>
      </c>
      <c r="E2073" s="37" t="str">
        <f t="shared" si="160"/>
        <v xml:space="preserve"> </v>
      </c>
      <c r="F2073">
        <v>0.11</v>
      </c>
      <c r="G2073" s="37" t="str">
        <f t="shared" si="161"/>
        <v>Normal Discount</v>
      </c>
      <c r="H2073" s="37" t="str">
        <f t="shared" si="162"/>
        <v>Low</v>
      </c>
      <c r="I2073">
        <v>3</v>
      </c>
      <c r="J2073" t="str" cm="1">
        <f t="array" ref="J2073">_xlfn.IFS(I2073&lt;=3,"small",I2073&lt;=6,"Medium",I2073&lt;=9,"Large")</f>
        <v>small</v>
      </c>
      <c r="K2073" s="36">
        <v>45330</v>
      </c>
      <c r="L2073" s="36">
        <v>45334</v>
      </c>
      <c r="M2073" t="s">
        <v>598</v>
      </c>
      <c r="N2073" t="s">
        <v>604</v>
      </c>
      <c r="O2073" s="37" t="str">
        <f t="shared" si="163"/>
        <v>Digital Payment</v>
      </c>
      <c r="P2073">
        <v>147.63999999999999</v>
      </c>
      <c r="Q2073" s="37" t="str">
        <f>IF(P2073&gt;500,"High","low")</f>
        <v>low</v>
      </c>
      <c r="R2073" s="37" t="str">
        <f t="shared" si="164"/>
        <v>AVERAGE</v>
      </c>
      <c r="S2073" t="s">
        <v>620</v>
      </c>
    </row>
    <row r="2074" spans="1:19" x14ac:dyDescent="0.2">
      <c r="A2074" t="s">
        <v>2685</v>
      </c>
      <c r="B2074" t="s">
        <v>67</v>
      </c>
      <c r="C2074" t="s">
        <v>617</v>
      </c>
      <c r="D2074">
        <v>4302.47</v>
      </c>
      <c r="E2074" s="37" t="str">
        <f t="shared" si="160"/>
        <v>Excellent Order</v>
      </c>
      <c r="F2074">
        <v>0.42</v>
      </c>
      <c r="G2074" s="37" t="str">
        <f t="shared" si="161"/>
        <v>Heavy Discount</v>
      </c>
      <c r="H2074" s="37" t="str">
        <f t="shared" si="162"/>
        <v>High</v>
      </c>
      <c r="I2074">
        <v>9</v>
      </c>
      <c r="J2074" t="str" cm="1">
        <f t="array" ref="J2074">_xlfn.IFS(I2074&lt;=3,"small",I2074&lt;=6,"Medium",I2074&lt;=9,"Large")</f>
        <v>Large</v>
      </c>
      <c r="K2074" s="36">
        <v>45091</v>
      </c>
      <c r="L2074" s="36">
        <v>45097</v>
      </c>
      <c r="M2074" t="s">
        <v>603</v>
      </c>
      <c r="N2074" t="s">
        <v>599</v>
      </c>
      <c r="O2074" s="37" t="str">
        <f t="shared" si="163"/>
        <v>Digital Payment</v>
      </c>
      <c r="P2074">
        <v>1083.3499999999999</v>
      </c>
      <c r="Q2074" s="37" t="str">
        <f>IF(P2074&gt;500,"High","low")</f>
        <v>High</v>
      </c>
      <c r="R2074" s="37" t="str">
        <f t="shared" si="164"/>
        <v>Excellent</v>
      </c>
      <c r="S2074" t="s">
        <v>620</v>
      </c>
    </row>
    <row r="2075" spans="1:19" x14ac:dyDescent="0.2">
      <c r="A2075" t="s">
        <v>2686</v>
      </c>
      <c r="B2075" t="s">
        <v>83</v>
      </c>
      <c r="C2075" t="s">
        <v>614</v>
      </c>
      <c r="D2075">
        <v>4498.04</v>
      </c>
      <c r="E2075" s="37" t="str">
        <f t="shared" si="160"/>
        <v xml:space="preserve"> </v>
      </c>
      <c r="F2075">
        <v>0.23</v>
      </c>
      <c r="G2075" s="37" t="str">
        <f t="shared" si="161"/>
        <v>Normal Discount</v>
      </c>
      <c r="H2075" s="37" t="str">
        <f t="shared" si="162"/>
        <v>Medium</v>
      </c>
      <c r="I2075">
        <v>8</v>
      </c>
      <c r="J2075" t="str" cm="1">
        <f t="array" ref="J2075">_xlfn.IFS(I2075&lt;=3,"small",I2075&lt;=6,"Medium",I2075&lt;=9,"Large")</f>
        <v>Large</v>
      </c>
      <c r="K2075" s="36">
        <v>45497</v>
      </c>
      <c r="L2075" s="36">
        <v>45504</v>
      </c>
      <c r="M2075" t="s">
        <v>603</v>
      </c>
      <c r="N2075" t="s">
        <v>608</v>
      </c>
      <c r="O2075" s="37" t="str">
        <f t="shared" si="163"/>
        <v>Cash Payment</v>
      </c>
      <c r="P2075">
        <v>529.95000000000005</v>
      </c>
      <c r="Q2075" s="37" t="str">
        <f>IF(P2075&gt;500,"High","low")</f>
        <v>High</v>
      </c>
      <c r="R2075" s="37" t="str">
        <f t="shared" si="164"/>
        <v>Good</v>
      </c>
      <c r="S2075" t="s">
        <v>615</v>
      </c>
    </row>
    <row r="2076" spans="1:19" x14ac:dyDescent="0.2">
      <c r="A2076" t="s">
        <v>2687</v>
      </c>
      <c r="B2076" t="s">
        <v>90</v>
      </c>
      <c r="C2076" t="s">
        <v>617</v>
      </c>
      <c r="D2076">
        <v>3089.75</v>
      </c>
      <c r="E2076" s="37" t="str">
        <f t="shared" si="160"/>
        <v xml:space="preserve"> </v>
      </c>
      <c r="F2076">
        <v>0.42</v>
      </c>
      <c r="G2076" s="37" t="str">
        <f t="shared" si="161"/>
        <v>Heavy Discount</v>
      </c>
      <c r="H2076" s="37" t="str">
        <f t="shared" si="162"/>
        <v>High</v>
      </c>
      <c r="I2076">
        <v>9</v>
      </c>
      <c r="J2076" t="str" cm="1">
        <f t="array" ref="J2076">_xlfn.IFS(I2076&lt;=3,"small",I2076&lt;=6,"Medium",I2076&lt;=9,"Large")</f>
        <v>Large</v>
      </c>
      <c r="K2076" s="36">
        <v>44970</v>
      </c>
      <c r="L2076" s="36">
        <v>44973</v>
      </c>
      <c r="M2076" t="s">
        <v>598</v>
      </c>
      <c r="N2076" t="s">
        <v>604</v>
      </c>
      <c r="O2076" s="37" t="str">
        <f t="shared" si="163"/>
        <v>Digital Payment</v>
      </c>
      <c r="P2076">
        <v>577.19000000000005</v>
      </c>
      <c r="Q2076" s="37" t="str">
        <f>IF(P2076&gt;500,"High","low")</f>
        <v>High</v>
      </c>
      <c r="R2076" s="37" t="str">
        <f t="shared" si="164"/>
        <v>Good</v>
      </c>
      <c r="S2076" t="s">
        <v>605</v>
      </c>
    </row>
    <row r="2077" spans="1:19" x14ac:dyDescent="0.2">
      <c r="A2077" t="s">
        <v>2688</v>
      </c>
      <c r="B2077" t="s">
        <v>90</v>
      </c>
      <c r="C2077" t="s">
        <v>617</v>
      </c>
      <c r="D2077">
        <v>2541.5100000000002</v>
      </c>
      <c r="E2077" s="37" t="str">
        <f t="shared" si="160"/>
        <v xml:space="preserve"> </v>
      </c>
      <c r="F2077">
        <v>0.28000000000000003</v>
      </c>
      <c r="G2077" s="37" t="str">
        <f t="shared" si="161"/>
        <v>Normal Discount</v>
      </c>
      <c r="H2077" s="37" t="str">
        <f t="shared" si="162"/>
        <v>Medium</v>
      </c>
      <c r="I2077">
        <v>5</v>
      </c>
      <c r="J2077" t="str" cm="1">
        <f t="array" ref="J2077">_xlfn.IFS(I2077&lt;=3,"small",I2077&lt;=6,"Medium",I2077&lt;=9,"Large")</f>
        <v>Medium</v>
      </c>
      <c r="K2077" s="36">
        <v>45066</v>
      </c>
      <c r="L2077" s="36">
        <v>45070</v>
      </c>
      <c r="M2077" t="s">
        <v>612</v>
      </c>
      <c r="N2077" t="s">
        <v>604</v>
      </c>
      <c r="O2077" s="37" t="str">
        <f t="shared" si="163"/>
        <v>Digital Payment</v>
      </c>
      <c r="P2077">
        <v>312.77</v>
      </c>
      <c r="Q2077" s="37" t="str">
        <f>IF(P2077&gt;500,"High","low")</f>
        <v>low</v>
      </c>
      <c r="R2077" s="37" t="str">
        <f t="shared" si="164"/>
        <v>AVERAGE</v>
      </c>
      <c r="S2077" t="s">
        <v>609</v>
      </c>
    </row>
    <row r="2078" spans="1:19" x14ac:dyDescent="0.2">
      <c r="A2078" t="s">
        <v>2689</v>
      </c>
      <c r="B2078" t="s">
        <v>67</v>
      </c>
      <c r="C2078" t="s">
        <v>617</v>
      </c>
      <c r="D2078">
        <v>3592.91</v>
      </c>
      <c r="E2078" s="37" t="str">
        <f t="shared" si="160"/>
        <v xml:space="preserve"> </v>
      </c>
      <c r="F2078">
        <v>0.4</v>
      </c>
      <c r="G2078" s="37" t="str">
        <f t="shared" si="161"/>
        <v>Heavy Discount</v>
      </c>
      <c r="H2078" s="37" t="str">
        <f t="shared" si="162"/>
        <v>Medium</v>
      </c>
      <c r="I2078">
        <v>7</v>
      </c>
      <c r="J2078" t="str" cm="1">
        <f t="array" ref="J2078">_xlfn.IFS(I2078&lt;=3,"small",I2078&lt;=6,"Medium",I2078&lt;=9,"Large")</f>
        <v>Large</v>
      </c>
      <c r="K2078" s="36">
        <v>44958</v>
      </c>
      <c r="L2078" s="36">
        <v>44962</v>
      </c>
      <c r="M2078" t="s">
        <v>598</v>
      </c>
      <c r="N2078" t="s">
        <v>604</v>
      </c>
      <c r="O2078" s="37" t="str">
        <f t="shared" si="163"/>
        <v>Digital Payment</v>
      </c>
      <c r="P2078">
        <v>425.52</v>
      </c>
      <c r="Q2078" s="37" t="str">
        <f>IF(P2078&gt;500,"High","low")</f>
        <v>low</v>
      </c>
      <c r="R2078" s="37" t="str">
        <f t="shared" si="164"/>
        <v>AVERAGE</v>
      </c>
      <c r="S2078" t="s">
        <v>615</v>
      </c>
    </row>
    <row r="2079" spans="1:19" x14ac:dyDescent="0.2">
      <c r="A2079" t="s">
        <v>2690</v>
      </c>
      <c r="B2079" t="s">
        <v>90</v>
      </c>
      <c r="C2079" t="s">
        <v>607</v>
      </c>
      <c r="D2079">
        <v>3083.38</v>
      </c>
      <c r="E2079" s="37" t="str">
        <f t="shared" si="160"/>
        <v xml:space="preserve"> </v>
      </c>
      <c r="F2079">
        <v>0.19</v>
      </c>
      <c r="G2079" s="37" t="str">
        <f t="shared" si="161"/>
        <v>Normal Discount</v>
      </c>
      <c r="H2079" s="37" t="str">
        <f t="shared" si="162"/>
        <v>Low</v>
      </c>
      <c r="I2079">
        <v>9</v>
      </c>
      <c r="J2079" t="str" cm="1">
        <f t="array" ref="J2079">_xlfn.IFS(I2079&lt;=3,"small",I2079&lt;=6,"Medium",I2079&lt;=9,"Large")</f>
        <v>Large</v>
      </c>
      <c r="K2079" s="36">
        <v>45175</v>
      </c>
      <c r="L2079" s="36">
        <v>45181</v>
      </c>
      <c r="M2079" t="s">
        <v>598</v>
      </c>
      <c r="N2079" t="s">
        <v>604</v>
      </c>
      <c r="O2079" s="37" t="str">
        <f t="shared" si="163"/>
        <v>Digital Payment</v>
      </c>
      <c r="P2079">
        <v>826.71</v>
      </c>
      <c r="Q2079" s="37" t="str">
        <f>IF(P2079&gt;500,"High","low")</f>
        <v>High</v>
      </c>
      <c r="R2079" s="37" t="str">
        <f t="shared" si="164"/>
        <v>Good</v>
      </c>
      <c r="S2079" t="s">
        <v>605</v>
      </c>
    </row>
    <row r="2080" spans="1:19" x14ac:dyDescent="0.2">
      <c r="A2080" t="s">
        <v>2691</v>
      </c>
      <c r="B2080" t="s">
        <v>90</v>
      </c>
      <c r="C2080" t="s">
        <v>617</v>
      </c>
      <c r="D2080">
        <v>4920.01</v>
      </c>
      <c r="E2080" s="37" t="str">
        <f t="shared" si="160"/>
        <v>Excellent Order</v>
      </c>
      <c r="F2080">
        <v>0.47</v>
      </c>
      <c r="G2080" s="37" t="str">
        <f t="shared" si="161"/>
        <v>Heavy Discount</v>
      </c>
      <c r="H2080" s="37" t="str">
        <f t="shared" si="162"/>
        <v>High</v>
      </c>
      <c r="I2080">
        <v>5</v>
      </c>
      <c r="J2080" t="str" cm="1">
        <f t="array" ref="J2080">_xlfn.IFS(I2080&lt;=3,"small",I2080&lt;=6,"Medium",I2080&lt;=9,"Large")</f>
        <v>Medium</v>
      </c>
      <c r="K2080" s="36">
        <v>45469</v>
      </c>
      <c r="L2080" s="36">
        <v>45475</v>
      </c>
      <c r="M2080" t="s">
        <v>598</v>
      </c>
      <c r="N2080" t="s">
        <v>604</v>
      </c>
      <c r="O2080" s="37" t="str">
        <f t="shared" si="163"/>
        <v>Digital Payment</v>
      </c>
      <c r="P2080">
        <v>1096.1600000000001</v>
      </c>
      <c r="Q2080" s="37" t="str">
        <f>IF(P2080&gt;500,"High","low")</f>
        <v>High</v>
      </c>
      <c r="R2080" s="37" t="str">
        <f t="shared" si="164"/>
        <v>Excellent</v>
      </c>
      <c r="S2080" t="s">
        <v>628</v>
      </c>
    </row>
    <row r="2081" spans="1:19" x14ac:dyDescent="0.2">
      <c r="A2081" t="s">
        <v>2692</v>
      </c>
      <c r="B2081" t="s">
        <v>67</v>
      </c>
      <c r="C2081" t="s">
        <v>602</v>
      </c>
      <c r="D2081">
        <v>1031.44</v>
      </c>
      <c r="E2081" s="37" t="str">
        <f t="shared" si="160"/>
        <v xml:space="preserve"> </v>
      </c>
      <c r="F2081">
        <v>0.33</v>
      </c>
      <c r="G2081" s="37" t="str">
        <f t="shared" si="161"/>
        <v>Heavy Discount</v>
      </c>
      <c r="H2081" s="37" t="str">
        <f t="shared" si="162"/>
        <v>Medium</v>
      </c>
      <c r="I2081">
        <v>8</v>
      </c>
      <c r="J2081" t="str" cm="1">
        <f t="array" ref="J2081">_xlfn.IFS(I2081&lt;=3,"small",I2081&lt;=6,"Medium",I2081&lt;=9,"Large")</f>
        <v>Large</v>
      </c>
      <c r="K2081" s="36">
        <v>45456</v>
      </c>
      <c r="L2081" s="36">
        <v>45461</v>
      </c>
      <c r="M2081" t="s">
        <v>612</v>
      </c>
      <c r="N2081" t="s">
        <v>608</v>
      </c>
      <c r="O2081" s="37" t="str">
        <f t="shared" si="163"/>
        <v>Cash Payment</v>
      </c>
      <c r="P2081">
        <v>107.1</v>
      </c>
      <c r="Q2081" s="37" t="str">
        <f>IF(P2081&gt;500,"High","low")</f>
        <v>low</v>
      </c>
      <c r="R2081" s="37" t="str">
        <f t="shared" si="164"/>
        <v>AVERAGE</v>
      </c>
      <c r="S2081" t="s">
        <v>620</v>
      </c>
    </row>
    <row r="2082" spans="1:19" x14ac:dyDescent="0.2">
      <c r="A2082" t="s">
        <v>2693</v>
      </c>
      <c r="B2082" t="s">
        <v>75</v>
      </c>
      <c r="C2082" t="s">
        <v>597</v>
      </c>
      <c r="D2082">
        <v>2300.3200000000002</v>
      </c>
      <c r="E2082" s="37" t="str">
        <f t="shared" si="160"/>
        <v xml:space="preserve"> </v>
      </c>
      <c r="F2082">
        <v>0.3</v>
      </c>
      <c r="G2082" s="37" t="str">
        <f t="shared" si="161"/>
        <v>Normal Discount</v>
      </c>
      <c r="H2082" s="37" t="str">
        <f t="shared" si="162"/>
        <v>Medium</v>
      </c>
      <c r="I2082">
        <v>8</v>
      </c>
      <c r="J2082" t="str" cm="1">
        <f t="array" ref="J2082">_xlfn.IFS(I2082&lt;=3,"small",I2082&lt;=6,"Medium",I2082&lt;=9,"Large")</f>
        <v>Large</v>
      </c>
      <c r="K2082" s="36">
        <v>45595</v>
      </c>
      <c r="L2082" s="36">
        <v>45602</v>
      </c>
      <c r="M2082" t="s">
        <v>598</v>
      </c>
      <c r="N2082" t="s">
        <v>604</v>
      </c>
      <c r="O2082" s="37" t="str">
        <f t="shared" si="163"/>
        <v>Digital Payment</v>
      </c>
      <c r="P2082">
        <v>389.8</v>
      </c>
      <c r="Q2082" s="37" t="str">
        <f>IF(P2082&gt;500,"High","low")</f>
        <v>low</v>
      </c>
      <c r="R2082" s="37" t="str">
        <f t="shared" si="164"/>
        <v>AVERAGE</v>
      </c>
      <c r="S2082" t="s">
        <v>628</v>
      </c>
    </row>
    <row r="2083" spans="1:19" x14ac:dyDescent="0.2">
      <c r="A2083" t="s">
        <v>2694</v>
      </c>
      <c r="B2083" t="s">
        <v>67</v>
      </c>
      <c r="C2083" t="s">
        <v>607</v>
      </c>
      <c r="D2083">
        <v>4599.38</v>
      </c>
      <c r="E2083" s="37" t="str">
        <f t="shared" si="160"/>
        <v>Excellent Order</v>
      </c>
      <c r="F2083">
        <v>0.18</v>
      </c>
      <c r="G2083" s="37" t="str">
        <f t="shared" si="161"/>
        <v>Normal Discount</v>
      </c>
      <c r="H2083" s="37" t="str">
        <f t="shared" si="162"/>
        <v>Low</v>
      </c>
      <c r="I2083">
        <v>3</v>
      </c>
      <c r="J2083" t="str" cm="1">
        <f t="array" ref="J2083">_xlfn.IFS(I2083&lt;=3,"small",I2083&lt;=6,"Medium",I2083&lt;=9,"Large")</f>
        <v>small</v>
      </c>
      <c r="K2083" s="36">
        <v>45339</v>
      </c>
      <c r="L2083" s="36">
        <v>45345</v>
      </c>
      <c r="M2083" t="s">
        <v>598</v>
      </c>
      <c r="N2083" t="s">
        <v>599</v>
      </c>
      <c r="O2083" s="37" t="str">
        <f t="shared" si="163"/>
        <v>Digital Payment</v>
      </c>
      <c r="P2083">
        <v>819.36</v>
      </c>
      <c r="Q2083" s="37" t="str">
        <f>IF(P2083&gt;500,"High","low")</f>
        <v>High</v>
      </c>
      <c r="R2083" s="37" t="str">
        <f t="shared" si="164"/>
        <v>Good</v>
      </c>
      <c r="S2083" t="s">
        <v>600</v>
      </c>
    </row>
    <row r="2084" spans="1:19" x14ac:dyDescent="0.2">
      <c r="A2084" t="s">
        <v>2695</v>
      </c>
      <c r="B2084" t="s">
        <v>75</v>
      </c>
      <c r="C2084" t="s">
        <v>617</v>
      </c>
      <c r="D2084">
        <v>4582.21</v>
      </c>
      <c r="E2084" s="37" t="str">
        <f t="shared" si="160"/>
        <v>Excellent Order</v>
      </c>
      <c r="F2084">
        <v>0.47</v>
      </c>
      <c r="G2084" s="37" t="str">
        <f t="shared" si="161"/>
        <v>Heavy Discount</v>
      </c>
      <c r="H2084" s="37" t="str">
        <f t="shared" si="162"/>
        <v>High</v>
      </c>
      <c r="I2084">
        <v>5</v>
      </c>
      <c r="J2084" t="str" cm="1">
        <f t="array" ref="J2084">_xlfn.IFS(I2084&lt;=3,"small",I2084&lt;=6,"Medium",I2084&lt;=9,"Large")</f>
        <v>Medium</v>
      </c>
      <c r="K2084" s="36">
        <v>45529</v>
      </c>
      <c r="L2084" s="36">
        <v>45534</v>
      </c>
      <c r="M2084" t="s">
        <v>612</v>
      </c>
      <c r="N2084" t="s">
        <v>604</v>
      </c>
      <c r="O2084" s="37" t="str">
        <f t="shared" si="163"/>
        <v>Digital Payment</v>
      </c>
      <c r="P2084">
        <v>1064.8399999999999</v>
      </c>
      <c r="Q2084" s="37" t="str">
        <f>IF(P2084&gt;500,"High","low")</f>
        <v>High</v>
      </c>
      <c r="R2084" s="37" t="str">
        <f t="shared" si="164"/>
        <v>Excellent</v>
      </c>
      <c r="S2084" t="s">
        <v>605</v>
      </c>
    </row>
    <row r="2085" spans="1:19" x14ac:dyDescent="0.2">
      <c r="A2085" t="s">
        <v>2696</v>
      </c>
      <c r="B2085" t="s">
        <v>83</v>
      </c>
      <c r="C2085" t="s">
        <v>597</v>
      </c>
      <c r="D2085">
        <v>2527.1999999999998</v>
      </c>
      <c r="E2085" s="37" t="str">
        <f t="shared" si="160"/>
        <v xml:space="preserve"> </v>
      </c>
      <c r="F2085">
        <v>0.17</v>
      </c>
      <c r="G2085" s="37" t="str">
        <f t="shared" si="161"/>
        <v>Normal Discount</v>
      </c>
      <c r="H2085" s="37" t="str">
        <f t="shared" si="162"/>
        <v>Low</v>
      </c>
      <c r="I2085">
        <v>8</v>
      </c>
      <c r="J2085" t="str" cm="1">
        <f t="array" ref="J2085">_xlfn.IFS(I2085&lt;=3,"small",I2085&lt;=6,"Medium",I2085&lt;=9,"Large")</f>
        <v>Large</v>
      </c>
      <c r="K2085" s="36">
        <v>45458</v>
      </c>
      <c r="L2085" s="36">
        <v>45459</v>
      </c>
      <c r="M2085" t="s">
        <v>612</v>
      </c>
      <c r="N2085" t="s">
        <v>604</v>
      </c>
      <c r="O2085" s="37" t="str">
        <f t="shared" si="163"/>
        <v>Digital Payment</v>
      </c>
      <c r="P2085">
        <v>556.08000000000004</v>
      </c>
      <c r="Q2085" s="37" t="str">
        <f>IF(P2085&gt;500,"High","low")</f>
        <v>High</v>
      </c>
      <c r="R2085" s="37" t="str">
        <f t="shared" si="164"/>
        <v>Good</v>
      </c>
      <c r="S2085" t="s">
        <v>620</v>
      </c>
    </row>
    <row r="2086" spans="1:19" x14ac:dyDescent="0.2">
      <c r="A2086" t="s">
        <v>2697</v>
      </c>
      <c r="B2086" t="s">
        <v>75</v>
      </c>
      <c r="C2086" t="s">
        <v>614</v>
      </c>
      <c r="D2086">
        <v>760.56</v>
      </c>
      <c r="E2086" s="37" t="str">
        <f t="shared" si="160"/>
        <v xml:space="preserve"> </v>
      </c>
      <c r="F2086">
        <v>0.42</v>
      </c>
      <c r="G2086" s="37" t="str">
        <f t="shared" si="161"/>
        <v>Heavy Discount</v>
      </c>
      <c r="H2086" s="37" t="str">
        <f t="shared" si="162"/>
        <v>High</v>
      </c>
      <c r="I2086">
        <v>3</v>
      </c>
      <c r="J2086" t="str" cm="1">
        <f t="array" ref="J2086">_xlfn.IFS(I2086&lt;=3,"small",I2086&lt;=6,"Medium",I2086&lt;=9,"Large")</f>
        <v>small</v>
      </c>
      <c r="K2086" s="36">
        <v>45597</v>
      </c>
      <c r="L2086" s="36">
        <v>45603</v>
      </c>
      <c r="M2086" t="s">
        <v>603</v>
      </c>
      <c r="N2086" t="s">
        <v>599</v>
      </c>
      <c r="O2086" s="37" t="str">
        <f t="shared" si="163"/>
        <v>Digital Payment</v>
      </c>
      <c r="P2086">
        <v>166.15</v>
      </c>
      <c r="Q2086" s="37" t="str">
        <f>IF(P2086&gt;500,"High","low")</f>
        <v>low</v>
      </c>
      <c r="R2086" s="37" t="str">
        <f t="shared" si="164"/>
        <v>AVERAGE</v>
      </c>
      <c r="S2086" t="s">
        <v>605</v>
      </c>
    </row>
    <row r="2087" spans="1:19" x14ac:dyDescent="0.2">
      <c r="A2087" t="s">
        <v>2698</v>
      </c>
      <c r="B2087" t="s">
        <v>75</v>
      </c>
      <c r="C2087" t="s">
        <v>614</v>
      </c>
      <c r="D2087">
        <v>4093.29</v>
      </c>
      <c r="E2087" s="37" t="str">
        <f t="shared" si="160"/>
        <v xml:space="preserve"> </v>
      </c>
      <c r="F2087">
        <v>0.2</v>
      </c>
      <c r="G2087" s="37" t="str">
        <f t="shared" si="161"/>
        <v>Normal Discount</v>
      </c>
      <c r="H2087" s="37" t="str">
        <f t="shared" si="162"/>
        <v>Medium</v>
      </c>
      <c r="I2087">
        <v>3</v>
      </c>
      <c r="J2087" t="str" cm="1">
        <f t="array" ref="J2087">_xlfn.IFS(I2087&lt;=3,"small",I2087&lt;=6,"Medium",I2087&lt;=9,"Large")</f>
        <v>small</v>
      </c>
      <c r="K2087" s="36">
        <v>44957</v>
      </c>
      <c r="L2087" s="36">
        <v>44963</v>
      </c>
      <c r="M2087" t="s">
        <v>603</v>
      </c>
      <c r="N2087" t="s">
        <v>608</v>
      </c>
      <c r="O2087" s="37" t="str">
        <f t="shared" si="163"/>
        <v>Cash Payment</v>
      </c>
      <c r="P2087">
        <v>594.20000000000005</v>
      </c>
      <c r="Q2087" s="37" t="str">
        <f>IF(P2087&gt;500,"High","low")</f>
        <v>High</v>
      </c>
      <c r="R2087" s="37" t="str">
        <f t="shared" si="164"/>
        <v>Good</v>
      </c>
      <c r="S2087" t="s">
        <v>605</v>
      </c>
    </row>
    <row r="2088" spans="1:19" x14ac:dyDescent="0.2">
      <c r="A2088" t="s">
        <v>2699</v>
      </c>
      <c r="B2088" t="s">
        <v>83</v>
      </c>
      <c r="C2088" t="s">
        <v>597</v>
      </c>
      <c r="D2088">
        <v>2967.31</v>
      </c>
      <c r="E2088" s="37" t="str">
        <f t="shared" si="160"/>
        <v xml:space="preserve"> </v>
      </c>
      <c r="F2088">
        <v>0.38</v>
      </c>
      <c r="G2088" s="37" t="str">
        <f t="shared" si="161"/>
        <v>Heavy Discount</v>
      </c>
      <c r="H2088" s="37" t="str">
        <f t="shared" si="162"/>
        <v>Medium</v>
      </c>
      <c r="I2088">
        <v>6</v>
      </c>
      <c r="J2088" t="str" cm="1">
        <f t="array" ref="J2088">_xlfn.IFS(I2088&lt;=3,"small",I2088&lt;=6,"Medium",I2088&lt;=9,"Large")</f>
        <v>Medium</v>
      </c>
      <c r="K2088" s="36">
        <v>45624</v>
      </c>
      <c r="L2088" s="36">
        <v>45629</v>
      </c>
      <c r="M2088" t="s">
        <v>612</v>
      </c>
      <c r="N2088" t="s">
        <v>604</v>
      </c>
      <c r="O2088" s="37" t="str">
        <f t="shared" si="163"/>
        <v>Digital Payment</v>
      </c>
      <c r="P2088">
        <v>319.98</v>
      </c>
      <c r="Q2088" s="37" t="str">
        <f>IF(P2088&gt;500,"High","low")</f>
        <v>low</v>
      </c>
      <c r="R2088" s="37" t="str">
        <f t="shared" si="164"/>
        <v>AVERAGE</v>
      </c>
      <c r="S2088" t="s">
        <v>609</v>
      </c>
    </row>
    <row r="2089" spans="1:19" x14ac:dyDescent="0.2">
      <c r="A2089" t="s">
        <v>2700</v>
      </c>
      <c r="B2089" t="s">
        <v>75</v>
      </c>
      <c r="C2089" t="s">
        <v>602</v>
      </c>
      <c r="D2089">
        <v>3888.51</v>
      </c>
      <c r="E2089" s="37" t="str">
        <f t="shared" si="160"/>
        <v xml:space="preserve"> </v>
      </c>
      <c r="F2089">
        <v>0.46</v>
      </c>
      <c r="G2089" s="37" t="str">
        <f t="shared" si="161"/>
        <v>Heavy Discount</v>
      </c>
      <c r="H2089" s="37" t="str">
        <f t="shared" si="162"/>
        <v>High</v>
      </c>
      <c r="I2089">
        <v>7</v>
      </c>
      <c r="J2089" t="str" cm="1">
        <f t="array" ref="J2089">_xlfn.IFS(I2089&lt;=3,"small",I2089&lt;=6,"Medium",I2089&lt;=9,"Large")</f>
        <v>Large</v>
      </c>
      <c r="K2089" s="36">
        <v>45317</v>
      </c>
      <c r="L2089" s="36">
        <v>45318</v>
      </c>
      <c r="M2089" t="s">
        <v>598</v>
      </c>
      <c r="N2089" t="s">
        <v>608</v>
      </c>
      <c r="O2089" s="37" t="str">
        <f t="shared" si="163"/>
        <v>Cash Payment</v>
      </c>
      <c r="P2089">
        <v>683.09</v>
      </c>
      <c r="Q2089" s="37" t="str">
        <f>IF(P2089&gt;500,"High","low")</f>
        <v>High</v>
      </c>
      <c r="R2089" s="37" t="str">
        <f t="shared" si="164"/>
        <v>Good</v>
      </c>
      <c r="S2089" t="s">
        <v>620</v>
      </c>
    </row>
    <row r="2090" spans="1:19" x14ac:dyDescent="0.2">
      <c r="A2090" t="s">
        <v>2701</v>
      </c>
      <c r="B2090" t="s">
        <v>67</v>
      </c>
      <c r="C2090" t="s">
        <v>597</v>
      </c>
      <c r="D2090">
        <v>2366.37</v>
      </c>
      <c r="E2090" s="37" t="str">
        <f t="shared" si="160"/>
        <v xml:space="preserve"> </v>
      </c>
      <c r="F2090">
        <v>0.23</v>
      </c>
      <c r="G2090" s="37" t="str">
        <f t="shared" si="161"/>
        <v>Normal Discount</v>
      </c>
      <c r="H2090" s="37" t="str">
        <f t="shared" si="162"/>
        <v>Medium</v>
      </c>
      <c r="I2090">
        <v>7</v>
      </c>
      <c r="J2090" t="str" cm="1">
        <f t="array" ref="J2090">_xlfn.IFS(I2090&lt;=3,"small",I2090&lt;=6,"Medium",I2090&lt;=9,"Large")</f>
        <v>Large</v>
      </c>
      <c r="K2090" s="36">
        <v>45150</v>
      </c>
      <c r="L2090" s="36">
        <v>45151</v>
      </c>
      <c r="M2090" t="s">
        <v>603</v>
      </c>
      <c r="N2090" t="s">
        <v>599</v>
      </c>
      <c r="O2090" s="37" t="str">
        <f t="shared" si="163"/>
        <v>Digital Payment</v>
      </c>
      <c r="P2090">
        <v>564.97</v>
      </c>
      <c r="Q2090" s="37" t="str">
        <f>IF(P2090&gt;500,"High","low")</f>
        <v>High</v>
      </c>
      <c r="R2090" s="37" t="str">
        <f t="shared" si="164"/>
        <v>Good</v>
      </c>
      <c r="S2090" t="s">
        <v>628</v>
      </c>
    </row>
    <row r="2091" spans="1:19" x14ac:dyDescent="0.2">
      <c r="A2091" t="s">
        <v>2702</v>
      </c>
      <c r="B2091" t="s">
        <v>75</v>
      </c>
      <c r="C2091" t="s">
        <v>597</v>
      </c>
      <c r="D2091">
        <v>1099.03</v>
      </c>
      <c r="E2091" s="37" t="str">
        <f t="shared" si="160"/>
        <v xml:space="preserve"> </v>
      </c>
      <c r="F2091">
        <v>0.26</v>
      </c>
      <c r="G2091" s="37" t="str">
        <f t="shared" si="161"/>
        <v>Normal Discount</v>
      </c>
      <c r="H2091" s="37" t="str">
        <f t="shared" si="162"/>
        <v>Medium</v>
      </c>
      <c r="I2091">
        <v>6</v>
      </c>
      <c r="J2091" t="str" cm="1">
        <f t="array" ref="J2091">_xlfn.IFS(I2091&lt;=3,"small",I2091&lt;=6,"Medium",I2091&lt;=9,"Large")</f>
        <v>Medium</v>
      </c>
      <c r="K2091" s="36">
        <v>45429</v>
      </c>
      <c r="L2091" s="36">
        <v>45431</v>
      </c>
      <c r="M2091" t="s">
        <v>612</v>
      </c>
      <c r="N2091" t="s">
        <v>608</v>
      </c>
      <c r="O2091" s="37" t="str">
        <f t="shared" si="163"/>
        <v>Cash Payment</v>
      </c>
      <c r="P2091">
        <v>301.68</v>
      </c>
      <c r="Q2091" s="37" t="str">
        <f>IF(P2091&gt;500,"High","low")</f>
        <v>low</v>
      </c>
      <c r="R2091" s="37" t="str">
        <f t="shared" si="164"/>
        <v>AVERAGE</v>
      </c>
      <c r="S2091" t="s">
        <v>609</v>
      </c>
    </row>
    <row r="2092" spans="1:19" x14ac:dyDescent="0.2">
      <c r="A2092" t="s">
        <v>2703</v>
      </c>
      <c r="B2092" t="s">
        <v>83</v>
      </c>
      <c r="C2092" t="s">
        <v>607</v>
      </c>
      <c r="D2092">
        <v>217.55</v>
      </c>
      <c r="E2092" s="37" t="str">
        <f t="shared" si="160"/>
        <v xml:space="preserve"> </v>
      </c>
      <c r="F2092">
        <v>0.17</v>
      </c>
      <c r="G2092" s="37" t="str">
        <f t="shared" si="161"/>
        <v>Normal Discount</v>
      </c>
      <c r="H2092" s="37" t="str">
        <f t="shared" si="162"/>
        <v>Low</v>
      </c>
      <c r="I2092">
        <v>7</v>
      </c>
      <c r="J2092" t="str" cm="1">
        <f t="array" ref="J2092">_xlfn.IFS(I2092&lt;=3,"small",I2092&lt;=6,"Medium",I2092&lt;=9,"Large")</f>
        <v>Large</v>
      </c>
      <c r="K2092" s="36">
        <v>45481</v>
      </c>
      <c r="L2092" s="36">
        <v>45485</v>
      </c>
      <c r="M2092" t="s">
        <v>603</v>
      </c>
      <c r="N2092" t="s">
        <v>599</v>
      </c>
      <c r="O2092" s="37" t="str">
        <f t="shared" si="163"/>
        <v>Digital Payment</v>
      </c>
      <c r="P2092">
        <v>50.77</v>
      </c>
      <c r="Q2092" s="37" t="str">
        <f>IF(P2092&gt;500,"High","low")</f>
        <v>low</v>
      </c>
      <c r="R2092" s="37" t="str">
        <f t="shared" si="164"/>
        <v>AVERAGE</v>
      </c>
      <c r="S2092" t="s">
        <v>620</v>
      </c>
    </row>
    <row r="2093" spans="1:19" x14ac:dyDescent="0.2">
      <c r="A2093" t="s">
        <v>2704</v>
      </c>
      <c r="B2093" t="s">
        <v>67</v>
      </c>
      <c r="C2093" t="s">
        <v>614</v>
      </c>
      <c r="D2093">
        <v>2839.78</v>
      </c>
      <c r="E2093" s="37" t="str">
        <f t="shared" si="160"/>
        <v xml:space="preserve"> </v>
      </c>
      <c r="F2093">
        <v>0.03</v>
      </c>
      <c r="G2093" s="37" t="str">
        <f t="shared" si="161"/>
        <v>Normal Discount</v>
      </c>
      <c r="H2093" s="37" t="str">
        <f t="shared" si="162"/>
        <v>Low</v>
      </c>
      <c r="I2093">
        <v>7</v>
      </c>
      <c r="J2093" t="str" cm="1">
        <f t="array" ref="J2093">_xlfn.IFS(I2093&lt;=3,"small",I2093&lt;=6,"Medium",I2093&lt;=9,"Large")</f>
        <v>Large</v>
      </c>
      <c r="K2093" s="36">
        <v>45435</v>
      </c>
      <c r="L2093" s="36">
        <v>45440</v>
      </c>
      <c r="M2093" t="s">
        <v>603</v>
      </c>
      <c r="N2093" t="s">
        <v>608</v>
      </c>
      <c r="O2093" s="37" t="str">
        <f t="shared" si="163"/>
        <v>Cash Payment</v>
      </c>
      <c r="P2093">
        <v>422.52</v>
      </c>
      <c r="Q2093" s="37" t="str">
        <f>IF(P2093&gt;500,"High","low")</f>
        <v>low</v>
      </c>
      <c r="R2093" s="37" t="str">
        <f t="shared" si="164"/>
        <v>AVERAGE</v>
      </c>
      <c r="S2093" t="s">
        <v>605</v>
      </c>
    </row>
    <row r="2094" spans="1:19" x14ac:dyDescent="0.2">
      <c r="A2094" t="s">
        <v>2705</v>
      </c>
      <c r="B2094" t="s">
        <v>83</v>
      </c>
      <c r="C2094" t="s">
        <v>614</v>
      </c>
      <c r="D2094">
        <v>889.13</v>
      </c>
      <c r="E2094" s="37" t="str">
        <f t="shared" si="160"/>
        <v xml:space="preserve"> </v>
      </c>
      <c r="F2094">
        <v>0.33</v>
      </c>
      <c r="G2094" s="37" t="str">
        <f t="shared" si="161"/>
        <v>Heavy Discount</v>
      </c>
      <c r="H2094" s="37" t="str">
        <f t="shared" si="162"/>
        <v>Medium</v>
      </c>
      <c r="I2094">
        <v>4</v>
      </c>
      <c r="J2094" t="str" cm="1">
        <f t="array" ref="J2094">_xlfn.IFS(I2094&lt;=3,"small",I2094&lt;=6,"Medium",I2094&lt;=9,"Large")</f>
        <v>Medium</v>
      </c>
      <c r="K2094" s="36">
        <v>44975</v>
      </c>
      <c r="L2094" s="36">
        <v>44976</v>
      </c>
      <c r="M2094" t="s">
        <v>612</v>
      </c>
      <c r="N2094" t="s">
        <v>608</v>
      </c>
      <c r="O2094" s="37" t="str">
        <f t="shared" si="163"/>
        <v>Cash Payment</v>
      </c>
      <c r="P2094">
        <v>257.23</v>
      </c>
      <c r="Q2094" s="37" t="str">
        <f>IF(P2094&gt;500,"High","low")</f>
        <v>low</v>
      </c>
      <c r="R2094" s="37" t="str">
        <f t="shared" si="164"/>
        <v>AVERAGE</v>
      </c>
      <c r="S2094" t="s">
        <v>615</v>
      </c>
    </row>
    <row r="2095" spans="1:19" x14ac:dyDescent="0.2">
      <c r="A2095" t="s">
        <v>2706</v>
      </c>
      <c r="B2095" t="s">
        <v>83</v>
      </c>
      <c r="C2095" t="s">
        <v>617</v>
      </c>
      <c r="D2095">
        <v>1016.97</v>
      </c>
      <c r="E2095" s="37" t="str">
        <f t="shared" si="160"/>
        <v xml:space="preserve"> </v>
      </c>
      <c r="F2095">
        <v>0.06</v>
      </c>
      <c r="G2095" s="37" t="str">
        <f t="shared" si="161"/>
        <v>Normal Discount</v>
      </c>
      <c r="H2095" s="37" t="str">
        <f t="shared" si="162"/>
        <v>Low</v>
      </c>
      <c r="I2095">
        <v>8</v>
      </c>
      <c r="J2095" t="str" cm="1">
        <f t="array" ref="J2095">_xlfn.IFS(I2095&lt;=3,"small",I2095&lt;=6,"Medium",I2095&lt;=9,"Large")</f>
        <v>Large</v>
      </c>
      <c r="K2095" s="36">
        <v>45289</v>
      </c>
      <c r="L2095" s="36">
        <v>45296</v>
      </c>
      <c r="M2095" t="s">
        <v>598</v>
      </c>
      <c r="N2095" t="s">
        <v>604</v>
      </c>
      <c r="O2095" s="37" t="str">
        <f t="shared" si="163"/>
        <v>Digital Payment</v>
      </c>
      <c r="P2095">
        <v>271.17</v>
      </c>
      <c r="Q2095" s="37" t="str">
        <f>IF(P2095&gt;500,"High","low")</f>
        <v>low</v>
      </c>
      <c r="R2095" s="37" t="str">
        <f t="shared" si="164"/>
        <v>AVERAGE</v>
      </c>
      <c r="S2095" t="s">
        <v>600</v>
      </c>
    </row>
    <row r="2096" spans="1:19" x14ac:dyDescent="0.2">
      <c r="A2096" t="s">
        <v>2707</v>
      </c>
      <c r="B2096" t="s">
        <v>90</v>
      </c>
      <c r="C2096" t="s">
        <v>597</v>
      </c>
      <c r="D2096">
        <v>2237.9</v>
      </c>
      <c r="E2096" s="37" t="str">
        <f t="shared" si="160"/>
        <v xml:space="preserve"> </v>
      </c>
      <c r="F2096">
        <v>0.18</v>
      </c>
      <c r="G2096" s="37" t="str">
        <f t="shared" si="161"/>
        <v>Normal Discount</v>
      </c>
      <c r="H2096" s="37" t="str">
        <f t="shared" si="162"/>
        <v>Low</v>
      </c>
      <c r="I2096">
        <v>8</v>
      </c>
      <c r="J2096" t="str" cm="1">
        <f t="array" ref="J2096">_xlfn.IFS(I2096&lt;=3,"small",I2096&lt;=6,"Medium",I2096&lt;=9,"Large")</f>
        <v>Large</v>
      </c>
      <c r="K2096" s="36">
        <v>45636</v>
      </c>
      <c r="L2096" s="36">
        <v>45640</v>
      </c>
      <c r="M2096" t="s">
        <v>603</v>
      </c>
      <c r="N2096" t="s">
        <v>599</v>
      </c>
      <c r="O2096" s="37" t="str">
        <f t="shared" si="163"/>
        <v>Digital Payment</v>
      </c>
      <c r="P2096">
        <v>618.15</v>
      </c>
      <c r="Q2096" s="37" t="str">
        <f>IF(P2096&gt;500,"High","low")</f>
        <v>High</v>
      </c>
      <c r="R2096" s="37" t="str">
        <f t="shared" si="164"/>
        <v>Good</v>
      </c>
      <c r="S2096" t="s">
        <v>628</v>
      </c>
    </row>
    <row r="2097" spans="1:19" x14ac:dyDescent="0.2">
      <c r="A2097" t="s">
        <v>2708</v>
      </c>
      <c r="B2097" t="s">
        <v>90</v>
      </c>
      <c r="C2097" t="s">
        <v>597</v>
      </c>
      <c r="D2097">
        <v>2266.1799999999998</v>
      </c>
      <c r="E2097" s="37" t="str">
        <f t="shared" si="160"/>
        <v xml:space="preserve"> </v>
      </c>
      <c r="F2097">
        <v>0.17</v>
      </c>
      <c r="G2097" s="37" t="str">
        <f t="shared" si="161"/>
        <v>Normal Discount</v>
      </c>
      <c r="H2097" s="37" t="str">
        <f t="shared" si="162"/>
        <v>Low</v>
      </c>
      <c r="I2097">
        <v>2</v>
      </c>
      <c r="J2097" t="str" cm="1">
        <f t="array" ref="J2097">_xlfn.IFS(I2097&lt;=3,"small",I2097&lt;=6,"Medium",I2097&lt;=9,"Large")</f>
        <v>small</v>
      </c>
      <c r="K2097" s="36">
        <v>45629</v>
      </c>
      <c r="L2097" s="36">
        <v>45635</v>
      </c>
      <c r="M2097" t="s">
        <v>603</v>
      </c>
      <c r="N2097" t="s">
        <v>599</v>
      </c>
      <c r="O2097" s="37" t="str">
        <f t="shared" si="163"/>
        <v>Digital Payment</v>
      </c>
      <c r="P2097">
        <v>273.98</v>
      </c>
      <c r="Q2097" s="37" t="str">
        <f>IF(P2097&gt;500,"High","low")</f>
        <v>low</v>
      </c>
      <c r="R2097" s="37" t="str">
        <f t="shared" si="164"/>
        <v>AVERAGE</v>
      </c>
      <c r="S2097" t="s">
        <v>620</v>
      </c>
    </row>
    <row r="2098" spans="1:19" x14ac:dyDescent="0.2">
      <c r="A2098" t="s">
        <v>2709</v>
      </c>
      <c r="B2098" t="s">
        <v>83</v>
      </c>
      <c r="C2098" t="s">
        <v>602</v>
      </c>
      <c r="D2098">
        <v>1444.5</v>
      </c>
      <c r="E2098" s="37" t="str">
        <f t="shared" si="160"/>
        <v xml:space="preserve"> </v>
      </c>
      <c r="F2098">
        <v>0.08</v>
      </c>
      <c r="G2098" s="37" t="str">
        <f t="shared" si="161"/>
        <v>Normal Discount</v>
      </c>
      <c r="H2098" s="37" t="str">
        <f t="shared" si="162"/>
        <v>Low</v>
      </c>
      <c r="I2098">
        <v>5</v>
      </c>
      <c r="J2098" t="str" cm="1">
        <f t="array" ref="J2098">_xlfn.IFS(I2098&lt;=3,"small",I2098&lt;=6,"Medium",I2098&lt;=9,"Large")</f>
        <v>Medium</v>
      </c>
      <c r="K2098" s="36">
        <v>44941</v>
      </c>
      <c r="L2098" s="36">
        <v>44946</v>
      </c>
      <c r="M2098" t="s">
        <v>612</v>
      </c>
      <c r="N2098" t="s">
        <v>604</v>
      </c>
      <c r="O2098" s="37" t="str">
        <f t="shared" si="163"/>
        <v>Digital Payment</v>
      </c>
      <c r="P2098">
        <v>427.18</v>
      </c>
      <c r="Q2098" s="37" t="str">
        <f>IF(P2098&gt;500,"High","low")</f>
        <v>low</v>
      </c>
      <c r="R2098" s="37" t="str">
        <f t="shared" si="164"/>
        <v>AVERAGE</v>
      </c>
      <c r="S2098" t="s">
        <v>605</v>
      </c>
    </row>
    <row r="2099" spans="1:19" x14ac:dyDescent="0.2">
      <c r="A2099" t="s">
        <v>2710</v>
      </c>
      <c r="B2099" t="s">
        <v>83</v>
      </c>
      <c r="C2099" t="s">
        <v>614</v>
      </c>
      <c r="D2099">
        <v>746.42</v>
      </c>
      <c r="E2099" s="37" t="str">
        <f t="shared" si="160"/>
        <v xml:space="preserve"> </v>
      </c>
      <c r="F2099">
        <v>0.33</v>
      </c>
      <c r="G2099" s="37" t="str">
        <f t="shared" si="161"/>
        <v>Heavy Discount</v>
      </c>
      <c r="H2099" s="37" t="str">
        <f t="shared" si="162"/>
        <v>Medium</v>
      </c>
      <c r="I2099">
        <v>2</v>
      </c>
      <c r="J2099" t="str" cm="1">
        <f t="array" ref="J2099">_xlfn.IFS(I2099&lt;=3,"small",I2099&lt;=6,"Medium",I2099&lt;=9,"Large")</f>
        <v>small</v>
      </c>
      <c r="K2099" s="36">
        <v>45272</v>
      </c>
      <c r="L2099" s="36">
        <v>45278</v>
      </c>
      <c r="M2099" t="s">
        <v>612</v>
      </c>
      <c r="N2099" t="s">
        <v>608</v>
      </c>
      <c r="O2099" s="37" t="str">
        <f t="shared" si="163"/>
        <v>Cash Payment</v>
      </c>
      <c r="P2099">
        <v>87.65</v>
      </c>
      <c r="Q2099" s="37" t="str">
        <f>IF(P2099&gt;500,"High","low")</f>
        <v>low</v>
      </c>
      <c r="R2099" s="37" t="str">
        <f t="shared" si="164"/>
        <v>AVERAGE</v>
      </c>
      <c r="S2099" t="s">
        <v>628</v>
      </c>
    </row>
    <row r="2100" spans="1:19" x14ac:dyDescent="0.2">
      <c r="A2100" t="s">
        <v>2711</v>
      </c>
      <c r="B2100" t="s">
        <v>83</v>
      </c>
      <c r="C2100" t="s">
        <v>602</v>
      </c>
      <c r="D2100">
        <v>4730.2700000000004</v>
      </c>
      <c r="E2100" s="37" t="str">
        <f t="shared" si="160"/>
        <v xml:space="preserve"> </v>
      </c>
      <c r="F2100">
        <v>0.09</v>
      </c>
      <c r="G2100" s="37" t="str">
        <f t="shared" si="161"/>
        <v>Normal Discount</v>
      </c>
      <c r="H2100" s="37" t="str">
        <f t="shared" si="162"/>
        <v>Low</v>
      </c>
      <c r="I2100">
        <v>3</v>
      </c>
      <c r="J2100" t="str" cm="1">
        <f t="array" ref="J2100">_xlfn.IFS(I2100&lt;=3,"small",I2100&lt;=6,"Medium",I2100&lt;=9,"Large")</f>
        <v>small</v>
      </c>
      <c r="K2100" s="36">
        <v>45394</v>
      </c>
      <c r="L2100" s="36">
        <v>45398</v>
      </c>
      <c r="M2100" t="s">
        <v>598</v>
      </c>
      <c r="N2100" t="s">
        <v>608</v>
      </c>
      <c r="O2100" s="37" t="str">
        <f t="shared" si="163"/>
        <v>Cash Payment</v>
      </c>
      <c r="P2100">
        <v>429.77</v>
      </c>
      <c r="Q2100" s="37" t="str">
        <f>IF(P2100&gt;500,"High","low")</f>
        <v>low</v>
      </c>
      <c r="R2100" s="37" t="str">
        <f t="shared" si="164"/>
        <v>AVERAGE</v>
      </c>
      <c r="S2100" t="s">
        <v>600</v>
      </c>
    </row>
    <row r="2101" spans="1:19" x14ac:dyDescent="0.2">
      <c r="A2101" t="s">
        <v>2712</v>
      </c>
      <c r="B2101" t="s">
        <v>90</v>
      </c>
      <c r="C2101" t="s">
        <v>607</v>
      </c>
      <c r="D2101">
        <v>745.04</v>
      </c>
      <c r="E2101" s="37" t="str">
        <f t="shared" si="160"/>
        <v xml:space="preserve"> </v>
      </c>
      <c r="F2101">
        <v>0.39</v>
      </c>
      <c r="G2101" s="37" t="str">
        <f t="shared" si="161"/>
        <v>Heavy Discount</v>
      </c>
      <c r="H2101" s="37" t="str">
        <f t="shared" si="162"/>
        <v>Medium</v>
      </c>
      <c r="I2101">
        <v>3</v>
      </c>
      <c r="J2101" t="str" cm="1">
        <f t="array" ref="J2101">_xlfn.IFS(I2101&lt;=3,"small",I2101&lt;=6,"Medium",I2101&lt;=9,"Large")</f>
        <v>small</v>
      </c>
      <c r="K2101" s="36">
        <v>45419</v>
      </c>
      <c r="L2101" s="36">
        <v>45426</v>
      </c>
      <c r="M2101" t="s">
        <v>603</v>
      </c>
      <c r="N2101" t="s">
        <v>608</v>
      </c>
      <c r="O2101" s="37" t="str">
        <f t="shared" si="163"/>
        <v>Cash Payment</v>
      </c>
      <c r="P2101">
        <v>76.760000000000005</v>
      </c>
      <c r="Q2101" s="37" t="str">
        <f>IF(P2101&gt;500,"High","low")</f>
        <v>low</v>
      </c>
      <c r="R2101" s="37" t="str">
        <f t="shared" si="164"/>
        <v>AVERAGE</v>
      </c>
      <c r="S2101" t="s">
        <v>628</v>
      </c>
    </row>
    <row r="2102" spans="1:19" x14ac:dyDescent="0.2">
      <c r="A2102" t="s">
        <v>2713</v>
      </c>
      <c r="B2102" t="s">
        <v>90</v>
      </c>
      <c r="C2102" t="s">
        <v>617</v>
      </c>
      <c r="D2102">
        <v>1818.79</v>
      </c>
      <c r="E2102" s="37" t="str">
        <f t="shared" si="160"/>
        <v xml:space="preserve"> </v>
      </c>
      <c r="F2102">
        <v>0.12</v>
      </c>
      <c r="G2102" s="37" t="str">
        <f t="shared" si="161"/>
        <v>Normal Discount</v>
      </c>
      <c r="H2102" s="37" t="str">
        <f t="shared" si="162"/>
        <v>Low</v>
      </c>
      <c r="I2102">
        <v>5</v>
      </c>
      <c r="J2102" t="str" cm="1">
        <f t="array" ref="J2102">_xlfn.IFS(I2102&lt;=3,"small",I2102&lt;=6,"Medium",I2102&lt;=9,"Large")</f>
        <v>Medium</v>
      </c>
      <c r="K2102" s="36">
        <v>45165</v>
      </c>
      <c r="L2102" s="36">
        <v>45166</v>
      </c>
      <c r="M2102" t="s">
        <v>598</v>
      </c>
      <c r="N2102" t="s">
        <v>608</v>
      </c>
      <c r="O2102" s="37" t="str">
        <f t="shared" si="163"/>
        <v>Cash Payment</v>
      </c>
      <c r="P2102">
        <v>386.08</v>
      </c>
      <c r="Q2102" s="37" t="str">
        <f>IF(P2102&gt;500,"High","low")</f>
        <v>low</v>
      </c>
      <c r="R2102" s="37" t="str">
        <f t="shared" si="164"/>
        <v>AVERAGE</v>
      </c>
      <c r="S2102" t="s">
        <v>615</v>
      </c>
    </row>
    <row r="2103" spans="1:19" x14ac:dyDescent="0.2">
      <c r="A2103" t="s">
        <v>2714</v>
      </c>
      <c r="B2103" t="s">
        <v>75</v>
      </c>
      <c r="C2103" t="s">
        <v>602</v>
      </c>
      <c r="D2103">
        <v>1593.85</v>
      </c>
      <c r="E2103" s="37" t="str">
        <f t="shared" si="160"/>
        <v xml:space="preserve"> </v>
      </c>
      <c r="F2103">
        <v>0.14000000000000001</v>
      </c>
      <c r="G2103" s="37" t="str">
        <f t="shared" si="161"/>
        <v>Normal Discount</v>
      </c>
      <c r="H2103" s="37" t="str">
        <f t="shared" si="162"/>
        <v>Low</v>
      </c>
      <c r="I2103">
        <v>8</v>
      </c>
      <c r="J2103" t="str" cm="1">
        <f t="array" ref="J2103">_xlfn.IFS(I2103&lt;=3,"small",I2103&lt;=6,"Medium",I2103&lt;=9,"Large")</f>
        <v>Large</v>
      </c>
      <c r="K2103" s="36">
        <v>45592</v>
      </c>
      <c r="L2103" s="36">
        <v>45596</v>
      </c>
      <c r="M2103" t="s">
        <v>612</v>
      </c>
      <c r="N2103" t="s">
        <v>608</v>
      </c>
      <c r="O2103" s="37" t="str">
        <f t="shared" si="163"/>
        <v>Cash Payment</v>
      </c>
      <c r="P2103">
        <v>239.34</v>
      </c>
      <c r="Q2103" s="37" t="str">
        <f>IF(P2103&gt;500,"High","low")</f>
        <v>low</v>
      </c>
      <c r="R2103" s="37" t="str">
        <f t="shared" si="164"/>
        <v>AVERAGE</v>
      </c>
      <c r="S2103" t="s">
        <v>600</v>
      </c>
    </row>
    <row r="2104" spans="1:19" x14ac:dyDescent="0.2">
      <c r="A2104" t="s">
        <v>2715</v>
      </c>
      <c r="B2104" t="s">
        <v>75</v>
      </c>
      <c r="C2104" t="s">
        <v>614</v>
      </c>
      <c r="D2104">
        <v>4345.0600000000004</v>
      </c>
      <c r="E2104" s="37" t="str">
        <f t="shared" si="160"/>
        <v xml:space="preserve"> </v>
      </c>
      <c r="F2104">
        <v>0.17</v>
      </c>
      <c r="G2104" s="37" t="str">
        <f t="shared" si="161"/>
        <v>Normal Discount</v>
      </c>
      <c r="H2104" s="37" t="str">
        <f t="shared" si="162"/>
        <v>Low</v>
      </c>
      <c r="I2104">
        <v>3</v>
      </c>
      <c r="J2104" t="str" cm="1">
        <f t="array" ref="J2104">_xlfn.IFS(I2104&lt;=3,"small",I2104&lt;=6,"Medium",I2104&lt;=9,"Large")</f>
        <v>small</v>
      </c>
      <c r="K2104" s="36">
        <v>45003</v>
      </c>
      <c r="L2104" s="36">
        <v>45009</v>
      </c>
      <c r="M2104" t="s">
        <v>612</v>
      </c>
      <c r="N2104" t="s">
        <v>599</v>
      </c>
      <c r="O2104" s="37" t="str">
        <f t="shared" si="163"/>
        <v>Digital Payment</v>
      </c>
      <c r="P2104">
        <v>391.68</v>
      </c>
      <c r="Q2104" s="37" t="str">
        <f>IF(P2104&gt;500,"High","low")</f>
        <v>low</v>
      </c>
      <c r="R2104" s="37" t="str">
        <f t="shared" si="164"/>
        <v>AVERAGE</v>
      </c>
      <c r="S2104" t="s">
        <v>615</v>
      </c>
    </row>
    <row r="2105" spans="1:19" x14ac:dyDescent="0.2">
      <c r="A2105" t="s">
        <v>2716</v>
      </c>
      <c r="B2105" t="s">
        <v>83</v>
      </c>
      <c r="C2105" t="s">
        <v>607</v>
      </c>
      <c r="D2105">
        <v>2109.31</v>
      </c>
      <c r="E2105" s="37" t="str">
        <f t="shared" si="160"/>
        <v xml:space="preserve"> </v>
      </c>
      <c r="F2105">
        <v>0.08</v>
      </c>
      <c r="G2105" s="37" t="str">
        <f t="shared" si="161"/>
        <v>Normal Discount</v>
      </c>
      <c r="H2105" s="37" t="str">
        <f t="shared" si="162"/>
        <v>Low</v>
      </c>
      <c r="I2105">
        <v>7</v>
      </c>
      <c r="J2105" t="str" cm="1">
        <f t="array" ref="J2105">_xlfn.IFS(I2105&lt;=3,"small",I2105&lt;=6,"Medium",I2105&lt;=9,"Large")</f>
        <v>Large</v>
      </c>
      <c r="K2105" s="36">
        <v>45159</v>
      </c>
      <c r="L2105" s="36">
        <v>45162</v>
      </c>
      <c r="M2105" t="s">
        <v>598</v>
      </c>
      <c r="N2105" t="s">
        <v>608</v>
      </c>
      <c r="O2105" s="37" t="str">
        <f t="shared" si="163"/>
        <v>Cash Payment</v>
      </c>
      <c r="P2105">
        <v>499.76</v>
      </c>
      <c r="Q2105" s="37" t="str">
        <f>IF(P2105&gt;500,"High","low")</f>
        <v>low</v>
      </c>
      <c r="R2105" s="37" t="str">
        <f t="shared" si="164"/>
        <v>AVERAGE</v>
      </c>
      <c r="S2105" t="s">
        <v>609</v>
      </c>
    </row>
    <row r="2106" spans="1:19" x14ac:dyDescent="0.2">
      <c r="A2106" t="s">
        <v>2717</v>
      </c>
      <c r="B2106" t="s">
        <v>67</v>
      </c>
      <c r="C2106" t="s">
        <v>597</v>
      </c>
      <c r="D2106">
        <v>707.81</v>
      </c>
      <c r="E2106" s="37" t="str">
        <f t="shared" si="160"/>
        <v xml:space="preserve"> </v>
      </c>
      <c r="F2106">
        <v>0.22</v>
      </c>
      <c r="G2106" s="37" t="str">
        <f t="shared" si="161"/>
        <v>Normal Discount</v>
      </c>
      <c r="H2106" s="37" t="str">
        <f t="shared" si="162"/>
        <v>Medium</v>
      </c>
      <c r="I2106">
        <v>5</v>
      </c>
      <c r="J2106" t="str" cm="1">
        <f t="array" ref="J2106">_xlfn.IFS(I2106&lt;=3,"small",I2106&lt;=6,"Medium",I2106&lt;=9,"Large")</f>
        <v>Medium</v>
      </c>
      <c r="K2106" s="36">
        <v>45372</v>
      </c>
      <c r="L2106" s="36">
        <v>45376</v>
      </c>
      <c r="M2106" t="s">
        <v>612</v>
      </c>
      <c r="N2106" t="s">
        <v>604</v>
      </c>
      <c r="O2106" s="37" t="str">
        <f t="shared" si="163"/>
        <v>Digital Payment</v>
      </c>
      <c r="P2106">
        <v>60.13</v>
      </c>
      <c r="Q2106" s="37" t="str">
        <f>IF(P2106&gt;500,"High","low")</f>
        <v>low</v>
      </c>
      <c r="R2106" s="37" t="str">
        <f t="shared" si="164"/>
        <v>AVERAGE</v>
      </c>
      <c r="S2106" t="s">
        <v>605</v>
      </c>
    </row>
    <row r="2107" spans="1:19" x14ac:dyDescent="0.2">
      <c r="A2107" t="s">
        <v>2718</v>
      </c>
      <c r="B2107" t="s">
        <v>67</v>
      </c>
      <c r="C2107" t="s">
        <v>607</v>
      </c>
      <c r="D2107">
        <v>150.28</v>
      </c>
      <c r="E2107" s="37" t="str">
        <f t="shared" si="160"/>
        <v xml:space="preserve"> </v>
      </c>
      <c r="F2107">
        <v>0.04</v>
      </c>
      <c r="G2107" s="37" t="str">
        <f t="shared" si="161"/>
        <v>Normal Discount</v>
      </c>
      <c r="H2107" s="37" t="str">
        <f t="shared" si="162"/>
        <v>Low</v>
      </c>
      <c r="I2107">
        <v>4</v>
      </c>
      <c r="J2107" t="str" cm="1">
        <f t="array" ref="J2107">_xlfn.IFS(I2107&lt;=3,"small",I2107&lt;=6,"Medium",I2107&lt;=9,"Large")</f>
        <v>Medium</v>
      </c>
      <c r="K2107" s="36">
        <v>45097</v>
      </c>
      <c r="L2107" s="36">
        <v>45103</v>
      </c>
      <c r="M2107" t="s">
        <v>612</v>
      </c>
      <c r="N2107" t="s">
        <v>604</v>
      </c>
      <c r="O2107" s="37" t="str">
        <f t="shared" si="163"/>
        <v>Digital Payment</v>
      </c>
      <c r="P2107">
        <v>10.24</v>
      </c>
      <c r="Q2107" s="37" t="str">
        <f>IF(P2107&gt;500,"High","low")</f>
        <v>low</v>
      </c>
      <c r="R2107" s="37" t="str">
        <f t="shared" si="164"/>
        <v>AVERAGE</v>
      </c>
      <c r="S2107" t="s">
        <v>615</v>
      </c>
    </row>
    <row r="2108" spans="1:19" x14ac:dyDescent="0.2">
      <c r="A2108" t="s">
        <v>2719</v>
      </c>
      <c r="B2108" t="s">
        <v>90</v>
      </c>
      <c r="C2108" t="s">
        <v>602</v>
      </c>
      <c r="D2108">
        <v>3637.55</v>
      </c>
      <c r="E2108" s="37" t="str">
        <f t="shared" si="160"/>
        <v xml:space="preserve"> </v>
      </c>
      <c r="F2108">
        <v>0.21</v>
      </c>
      <c r="G2108" s="37" t="str">
        <f t="shared" si="161"/>
        <v>Normal Discount</v>
      </c>
      <c r="H2108" s="37" t="str">
        <f t="shared" si="162"/>
        <v>Medium</v>
      </c>
      <c r="I2108">
        <v>2</v>
      </c>
      <c r="J2108" t="str" cm="1">
        <f t="array" ref="J2108">_xlfn.IFS(I2108&lt;=3,"small",I2108&lt;=6,"Medium",I2108&lt;=9,"Large")</f>
        <v>small</v>
      </c>
      <c r="K2108" s="36">
        <v>45460</v>
      </c>
      <c r="L2108" s="36">
        <v>45463</v>
      </c>
      <c r="M2108" t="s">
        <v>603</v>
      </c>
      <c r="N2108" t="s">
        <v>608</v>
      </c>
      <c r="O2108" s="37" t="str">
        <f t="shared" si="163"/>
        <v>Cash Payment</v>
      </c>
      <c r="P2108">
        <v>961.52</v>
      </c>
      <c r="Q2108" s="37" t="str">
        <f>IF(P2108&gt;500,"High","low")</f>
        <v>High</v>
      </c>
      <c r="R2108" s="37" t="str">
        <f t="shared" si="164"/>
        <v>Good</v>
      </c>
      <c r="S2108" t="s">
        <v>628</v>
      </c>
    </row>
    <row r="2109" spans="1:19" x14ac:dyDescent="0.2">
      <c r="A2109" t="s">
        <v>2720</v>
      </c>
      <c r="B2109" t="s">
        <v>90</v>
      </c>
      <c r="C2109" t="s">
        <v>614</v>
      </c>
      <c r="D2109">
        <v>3601.06</v>
      </c>
      <c r="E2109" s="37" t="str">
        <f t="shared" si="160"/>
        <v xml:space="preserve"> </v>
      </c>
      <c r="F2109">
        <v>0.17</v>
      </c>
      <c r="G2109" s="37" t="str">
        <f t="shared" si="161"/>
        <v>Normal Discount</v>
      </c>
      <c r="H2109" s="37" t="str">
        <f t="shared" si="162"/>
        <v>Low</v>
      </c>
      <c r="I2109">
        <v>6</v>
      </c>
      <c r="J2109" t="str" cm="1">
        <f t="array" ref="J2109">_xlfn.IFS(I2109&lt;=3,"small",I2109&lt;=6,"Medium",I2109&lt;=9,"Large")</f>
        <v>Medium</v>
      </c>
      <c r="K2109" s="36">
        <v>45199</v>
      </c>
      <c r="L2109" s="36">
        <v>45205</v>
      </c>
      <c r="M2109" t="s">
        <v>603</v>
      </c>
      <c r="N2109" t="s">
        <v>608</v>
      </c>
      <c r="O2109" s="37" t="str">
        <f t="shared" si="163"/>
        <v>Cash Payment</v>
      </c>
      <c r="P2109">
        <v>667.76</v>
      </c>
      <c r="Q2109" s="37" t="str">
        <f>IF(P2109&gt;500,"High","low")</f>
        <v>High</v>
      </c>
      <c r="R2109" s="37" t="str">
        <f t="shared" si="164"/>
        <v>Good</v>
      </c>
      <c r="S2109" t="s">
        <v>628</v>
      </c>
    </row>
    <row r="2110" spans="1:19" x14ac:dyDescent="0.2">
      <c r="A2110" t="s">
        <v>2721</v>
      </c>
      <c r="B2110" t="s">
        <v>90</v>
      </c>
      <c r="C2110" t="s">
        <v>602</v>
      </c>
      <c r="D2110">
        <v>2147.14</v>
      </c>
      <c r="E2110" s="37" t="str">
        <f t="shared" si="160"/>
        <v xml:space="preserve"> </v>
      </c>
      <c r="F2110">
        <v>0.17</v>
      </c>
      <c r="G2110" s="37" t="str">
        <f t="shared" si="161"/>
        <v>Normal Discount</v>
      </c>
      <c r="H2110" s="37" t="str">
        <f t="shared" si="162"/>
        <v>Low</v>
      </c>
      <c r="I2110">
        <v>4</v>
      </c>
      <c r="J2110" t="str" cm="1">
        <f t="array" ref="J2110">_xlfn.IFS(I2110&lt;=3,"small",I2110&lt;=6,"Medium",I2110&lt;=9,"Large")</f>
        <v>Medium</v>
      </c>
      <c r="K2110" s="36">
        <v>44951</v>
      </c>
      <c r="L2110" s="36">
        <v>44956</v>
      </c>
      <c r="M2110" t="s">
        <v>612</v>
      </c>
      <c r="N2110" t="s">
        <v>604</v>
      </c>
      <c r="O2110" s="37" t="str">
        <f t="shared" si="163"/>
        <v>Digital Payment</v>
      </c>
      <c r="P2110">
        <v>449.8</v>
      </c>
      <c r="Q2110" s="37" t="str">
        <f>IF(P2110&gt;500,"High","low")</f>
        <v>low</v>
      </c>
      <c r="R2110" s="37" t="str">
        <f t="shared" si="164"/>
        <v>AVERAGE</v>
      </c>
      <c r="S2110" t="s">
        <v>600</v>
      </c>
    </row>
    <row r="2111" spans="1:19" x14ac:dyDescent="0.2">
      <c r="A2111" t="s">
        <v>2722</v>
      </c>
      <c r="B2111" t="s">
        <v>83</v>
      </c>
      <c r="C2111" t="s">
        <v>597</v>
      </c>
      <c r="D2111">
        <v>718.91</v>
      </c>
      <c r="E2111" s="37" t="str">
        <f t="shared" si="160"/>
        <v xml:space="preserve"> </v>
      </c>
      <c r="F2111">
        <v>0.33</v>
      </c>
      <c r="G2111" s="37" t="str">
        <f t="shared" si="161"/>
        <v>Heavy Discount</v>
      </c>
      <c r="H2111" s="37" t="str">
        <f t="shared" si="162"/>
        <v>Medium</v>
      </c>
      <c r="I2111">
        <v>4</v>
      </c>
      <c r="J2111" t="str" cm="1">
        <f t="array" ref="J2111">_xlfn.IFS(I2111&lt;=3,"small",I2111&lt;=6,"Medium",I2111&lt;=9,"Large")</f>
        <v>Medium</v>
      </c>
      <c r="K2111" s="36">
        <v>45172</v>
      </c>
      <c r="L2111" s="36">
        <v>45178</v>
      </c>
      <c r="M2111" t="s">
        <v>603</v>
      </c>
      <c r="N2111" t="s">
        <v>599</v>
      </c>
      <c r="O2111" s="37" t="str">
        <f t="shared" si="163"/>
        <v>Digital Payment</v>
      </c>
      <c r="P2111">
        <v>215.47</v>
      </c>
      <c r="Q2111" s="37" t="str">
        <f>IF(P2111&gt;500,"High","low")</f>
        <v>low</v>
      </c>
      <c r="R2111" s="37" t="str">
        <f t="shared" si="164"/>
        <v>AVERAGE</v>
      </c>
      <c r="S2111" t="s">
        <v>609</v>
      </c>
    </row>
    <row r="2112" spans="1:19" x14ac:dyDescent="0.2">
      <c r="A2112" t="s">
        <v>2723</v>
      </c>
      <c r="B2112" t="s">
        <v>67</v>
      </c>
      <c r="C2112" t="s">
        <v>597</v>
      </c>
      <c r="D2112">
        <v>1921.01</v>
      </c>
      <c r="E2112" s="37" t="str">
        <f t="shared" si="160"/>
        <v xml:space="preserve"> </v>
      </c>
      <c r="F2112">
        <v>0.38</v>
      </c>
      <c r="G2112" s="37" t="str">
        <f t="shared" si="161"/>
        <v>Heavy Discount</v>
      </c>
      <c r="H2112" s="37" t="str">
        <f t="shared" si="162"/>
        <v>Medium</v>
      </c>
      <c r="I2112">
        <v>5</v>
      </c>
      <c r="J2112" t="str" cm="1">
        <f t="array" ref="J2112">_xlfn.IFS(I2112&lt;=3,"small",I2112&lt;=6,"Medium",I2112&lt;=9,"Large")</f>
        <v>Medium</v>
      </c>
      <c r="K2112" s="36">
        <v>45475</v>
      </c>
      <c r="L2112" s="36">
        <v>45482</v>
      </c>
      <c r="M2112" t="s">
        <v>598</v>
      </c>
      <c r="N2112" t="s">
        <v>604</v>
      </c>
      <c r="O2112" s="37" t="str">
        <f t="shared" si="163"/>
        <v>Digital Payment</v>
      </c>
      <c r="P2112">
        <v>555.17999999999995</v>
      </c>
      <c r="Q2112" s="37" t="str">
        <f>IF(P2112&gt;500,"High","low")</f>
        <v>High</v>
      </c>
      <c r="R2112" s="37" t="str">
        <f t="shared" si="164"/>
        <v>Good</v>
      </c>
      <c r="S2112" t="s">
        <v>615</v>
      </c>
    </row>
    <row r="2113" spans="1:19" x14ac:dyDescent="0.2">
      <c r="A2113" t="s">
        <v>2724</v>
      </c>
      <c r="B2113" t="s">
        <v>75</v>
      </c>
      <c r="C2113" t="s">
        <v>614</v>
      </c>
      <c r="D2113">
        <v>2990.42</v>
      </c>
      <c r="E2113" s="37" t="str">
        <f t="shared" si="160"/>
        <v xml:space="preserve"> </v>
      </c>
      <c r="F2113">
        <v>0.18</v>
      </c>
      <c r="G2113" s="37" t="str">
        <f t="shared" si="161"/>
        <v>Normal Discount</v>
      </c>
      <c r="H2113" s="37" t="str">
        <f t="shared" si="162"/>
        <v>Low</v>
      </c>
      <c r="I2113">
        <v>9</v>
      </c>
      <c r="J2113" t="str" cm="1">
        <f t="array" ref="J2113">_xlfn.IFS(I2113&lt;=3,"small",I2113&lt;=6,"Medium",I2113&lt;=9,"Large")</f>
        <v>Large</v>
      </c>
      <c r="K2113" s="36">
        <v>45400</v>
      </c>
      <c r="L2113" s="36">
        <v>45401</v>
      </c>
      <c r="M2113" t="s">
        <v>598</v>
      </c>
      <c r="N2113" t="s">
        <v>604</v>
      </c>
      <c r="O2113" s="37" t="str">
        <f t="shared" si="163"/>
        <v>Digital Payment</v>
      </c>
      <c r="P2113">
        <v>459.83</v>
      </c>
      <c r="Q2113" s="37" t="str">
        <f>IF(P2113&gt;500,"High","low")</f>
        <v>low</v>
      </c>
      <c r="R2113" s="37" t="str">
        <f t="shared" si="164"/>
        <v>AVERAGE</v>
      </c>
      <c r="S2113" t="s">
        <v>628</v>
      </c>
    </row>
    <row r="2114" spans="1:19" x14ac:dyDescent="0.2">
      <c r="A2114" t="s">
        <v>2725</v>
      </c>
      <c r="B2114" t="s">
        <v>83</v>
      </c>
      <c r="C2114" t="s">
        <v>617</v>
      </c>
      <c r="D2114">
        <v>3549.32</v>
      </c>
      <c r="E2114" s="37" t="str">
        <f t="shared" si="160"/>
        <v xml:space="preserve"> </v>
      </c>
      <c r="F2114">
        <v>0.13</v>
      </c>
      <c r="G2114" s="37" t="str">
        <f t="shared" si="161"/>
        <v>Normal Discount</v>
      </c>
      <c r="H2114" s="37" t="str">
        <f t="shared" si="162"/>
        <v>Low</v>
      </c>
      <c r="I2114">
        <v>1</v>
      </c>
      <c r="J2114" t="str" cm="1">
        <f t="array" ref="J2114">_xlfn.IFS(I2114&lt;=3,"small",I2114&lt;=6,"Medium",I2114&lt;=9,"Large")</f>
        <v>small</v>
      </c>
      <c r="K2114" s="36">
        <v>45239</v>
      </c>
      <c r="L2114" s="36">
        <v>45243</v>
      </c>
      <c r="M2114" t="s">
        <v>598</v>
      </c>
      <c r="N2114" t="s">
        <v>599</v>
      </c>
      <c r="O2114" s="37" t="str">
        <f t="shared" si="163"/>
        <v>Digital Payment</v>
      </c>
      <c r="P2114">
        <v>615.35</v>
      </c>
      <c r="Q2114" s="37" t="str">
        <f>IF(P2114&gt;500,"High","low")</f>
        <v>High</v>
      </c>
      <c r="R2114" s="37" t="str">
        <f t="shared" si="164"/>
        <v>Good</v>
      </c>
      <c r="S2114" t="s">
        <v>628</v>
      </c>
    </row>
    <row r="2115" spans="1:19" x14ac:dyDescent="0.2">
      <c r="A2115" t="s">
        <v>2726</v>
      </c>
      <c r="B2115" t="s">
        <v>75</v>
      </c>
      <c r="C2115" t="s">
        <v>607</v>
      </c>
      <c r="D2115">
        <v>483.38</v>
      </c>
      <c r="E2115" s="37" t="str">
        <f t="shared" ref="E2115:E2178" si="165">IF(AND(D2115&gt;4000,P2115&gt;800),"Excellent Order"," ")</f>
        <v xml:space="preserve"> </v>
      </c>
      <c r="F2115">
        <v>0.25</v>
      </c>
      <c r="G2115" s="37" t="str">
        <f t="shared" ref="G2115:G2178" si="166">IF(F2115&gt;30%,"Heavy Discount","Normal Discount")</f>
        <v>Normal Discount</v>
      </c>
      <c r="H2115" s="37" t="str">
        <f t="shared" ref="H2115:H2178" si="167">IF(F2115&gt;0.4,"High",IF(F2115&gt;=0.2,"Medium","Low"))</f>
        <v>Medium</v>
      </c>
      <c r="I2115">
        <v>5</v>
      </c>
      <c r="J2115" t="str" cm="1">
        <f t="array" ref="J2115">_xlfn.IFS(I2115&lt;=3,"small",I2115&lt;=6,"Medium",I2115&lt;=9,"Large")</f>
        <v>Medium</v>
      </c>
      <c r="K2115" s="36">
        <v>45395</v>
      </c>
      <c r="L2115" s="36">
        <v>45399</v>
      </c>
      <c r="M2115" t="s">
        <v>612</v>
      </c>
      <c r="N2115" t="s">
        <v>608</v>
      </c>
      <c r="O2115" s="37" t="str">
        <f t="shared" ref="O2115:O2178" si="168">IF(OR(N2115="Card",N2115="UPI"),"Digital Payment","Cash Payment")</f>
        <v>Cash Payment</v>
      </c>
      <c r="P2115">
        <v>31.41</v>
      </c>
      <c r="Q2115" s="37" t="str">
        <f>IF(P2115&gt;500,"High","low")</f>
        <v>low</v>
      </c>
      <c r="R2115" s="37" t="str">
        <f t="shared" ref="R2115:R2178" si="169">IF(P2115&gt;1000,"Excellent",IF(P2115&gt;=500,"Good","AVERAGE"))</f>
        <v>AVERAGE</v>
      </c>
      <c r="S2115" t="s">
        <v>620</v>
      </c>
    </row>
    <row r="2116" spans="1:19" x14ac:dyDescent="0.2">
      <c r="A2116" t="s">
        <v>2727</v>
      </c>
      <c r="B2116" t="s">
        <v>75</v>
      </c>
      <c r="C2116" t="s">
        <v>607</v>
      </c>
      <c r="D2116">
        <v>2825.91</v>
      </c>
      <c r="E2116" s="37" t="str">
        <f t="shared" si="165"/>
        <v xml:space="preserve"> </v>
      </c>
      <c r="F2116">
        <v>0.39</v>
      </c>
      <c r="G2116" s="37" t="str">
        <f t="shared" si="166"/>
        <v>Heavy Discount</v>
      </c>
      <c r="H2116" s="37" t="str">
        <f t="shared" si="167"/>
        <v>Medium</v>
      </c>
      <c r="I2116">
        <v>5</v>
      </c>
      <c r="J2116" t="str" cm="1">
        <f t="array" ref="J2116">_xlfn.IFS(I2116&lt;=3,"small",I2116&lt;=6,"Medium",I2116&lt;=9,"Large")</f>
        <v>Medium</v>
      </c>
      <c r="K2116" s="36">
        <v>45281</v>
      </c>
      <c r="L2116" s="36">
        <v>45288</v>
      </c>
      <c r="M2116" t="s">
        <v>603</v>
      </c>
      <c r="N2116" t="s">
        <v>604</v>
      </c>
      <c r="O2116" s="37" t="str">
        <f t="shared" si="168"/>
        <v>Digital Payment</v>
      </c>
      <c r="P2116">
        <v>486.31</v>
      </c>
      <c r="Q2116" s="37" t="str">
        <f>IF(P2116&gt;500,"High","low")</f>
        <v>low</v>
      </c>
      <c r="R2116" s="37" t="str">
        <f t="shared" si="169"/>
        <v>AVERAGE</v>
      </c>
      <c r="S2116" t="s">
        <v>620</v>
      </c>
    </row>
    <row r="2117" spans="1:19" x14ac:dyDescent="0.2">
      <c r="A2117" t="s">
        <v>2728</v>
      </c>
      <c r="B2117" t="s">
        <v>83</v>
      </c>
      <c r="C2117" t="s">
        <v>597</v>
      </c>
      <c r="D2117">
        <v>1453.01</v>
      </c>
      <c r="E2117" s="37" t="str">
        <f t="shared" si="165"/>
        <v xml:space="preserve"> </v>
      </c>
      <c r="F2117">
        <v>0.32</v>
      </c>
      <c r="G2117" s="37" t="str">
        <f t="shared" si="166"/>
        <v>Heavy Discount</v>
      </c>
      <c r="H2117" s="37" t="str">
        <f t="shared" si="167"/>
        <v>Medium</v>
      </c>
      <c r="I2117">
        <v>2</v>
      </c>
      <c r="J2117" t="str" cm="1">
        <f t="array" ref="J2117">_xlfn.IFS(I2117&lt;=3,"small",I2117&lt;=6,"Medium",I2117&lt;=9,"Large")</f>
        <v>small</v>
      </c>
      <c r="K2117" s="36">
        <v>45647</v>
      </c>
      <c r="L2117" s="36">
        <v>45653</v>
      </c>
      <c r="M2117" t="s">
        <v>603</v>
      </c>
      <c r="N2117" t="s">
        <v>599</v>
      </c>
      <c r="O2117" s="37" t="str">
        <f t="shared" si="168"/>
        <v>Digital Payment</v>
      </c>
      <c r="P2117">
        <v>174.45</v>
      </c>
      <c r="Q2117" s="37" t="str">
        <f>IF(P2117&gt;500,"High","low")</f>
        <v>low</v>
      </c>
      <c r="R2117" s="37" t="str">
        <f t="shared" si="169"/>
        <v>AVERAGE</v>
      </c>
      <c r="S2117" t="s">
        <v>600</v>
      </c>
    </row>
    <row r="2118" spans="1:19" x14ac:dyDescent="0.2">
      <c r="A2118" t="s">
        <v>2729</v>
      </c>
      <c r="B2118" t="s">
        <v>75</v>
      </c>
      <c r="C2118" t="s">
        <v>602</v>
      </c>
      <c r="D2118">
        <v>3124.6</v>
      </c>
      <c r="E2118" s="37" t="str">
        <f t="shared" si="165"/>
        <v xml:space="preserve"> </v>
      </c>
      <c r="F2118">
        <v>0.02</v>
      </c>
      <c r="G2118" s="37" t="str">
        <f t="shared" si="166"/>
        <v>Normal Discount</v>
      </c>
      <c r="H2118" s="37" t="str">
        <f t="shared" si="167"/>
        <v>Low</v>
      </c>
      <c r="I2118">
        <v>3</v>
      </c>
      <c r="J2118" t="str" cm="1">
        <f t="array" ref="J2118">_xlfn.IFS(I2118&lt;=3,"small",I2118&lt;=6,"Medium",I2118&lt;=9,"Large")</f>
        <v>small</v>
      </c>
      <c r="K2118" s="36">
        <v>45385</v>
      </c>
      <c r="L2118" s="36">
        <v>45391</v>
      </c>
      <c r="M2118" t="s">
        <v>598</v>
      </c>
      <c r="N2118" t="s">
        <v>604</v>
      </c>
      <c r="O2118" s="37" t="str">
        <f t="shared" si="168"/>
        <v>Digital Payment</v>
      </c>
      <c r="P2118">
        <v>747.48</v>
      </c>
      <c r="Q2118" s="37" t="str">
        <f>IF(P2118&gt;500,"High","low")</f>
        <v>High</v>
      </c>
      <c r="R2118" s="37" t="str">
        <f t="shared" si="169"/>
        <v>Good</v>
      </c>
      <c r="S2118" t="s">
        <v>600</v>
      </c>
    </row>
    <row r="2119" spans="1:19" x14ac:dyDescent="0.2">
      <c r="A2119" t="s">
        <v>2730</v>
      </c>
      <c r="B2119" t="s">
        <v>67</v>
      </c>
      <c r="C2119" t="s">
        <v>602</v>
      </c>
      <c r="D2119">
        <v>3275.89</v>
      </c>
      <c r="E2119" s="37" t="str">
        <f t="shared" si="165"/>
        <v xml:space="preserve"> </v>
      </c>
      <c r="F2119">
        <v>0.24</v>
      </c>
      <c r="G2119" s="37" t="str">
        <f t="shared" si="166"/>
        <v>Normal Discount</v>
      </c>
      <c r="H2119" s="37" t="str">
        <f t="shared" si="167"/>
        <v>Medium</v>
      </c>
      <c r="I2119">
        <v>4</v>
      </c>
      <c r="J2119" t="str" cm="1">
        <f t="array" ref="J2119">_xlfn.IFS(I2119&lt;=3,"small",I2119&lt;=6,"Medium",I2119&lt;=9,"Large")</f>
        <v>Medium</v>
      </c>
      <c r="K2119" s="36">
        <v>45442</v>
      </c>
      <c r="L2119" s="36">
        <v>45446</v>
      </c>
      <c r="M2119" t="s">
        <v>603</v>
      </c>
      <c r="N2119" t="s">
        <v>599</v>
      </c>
      <c r="O2119" s="37" t="str">
        <f t="shared" si="168"/>
        <v>Digital Payment</v>
      </c>
      <c r="P2119">
        <v>460.56</v>
      </c>
      <c r="Q2119" s="37" t="str">
        <f>IF(P2119&gt;500,"High","low")</f>
        <v>low</v>
      </c>
      <c r="R2119" s="37" t="str">
        <f t="shared" si="169"/>
        <v>AVERAGE</v>
      </c>
      <c r="S2119" t="s">
        <v>620</v>
      </c>
    </row>
    <row r="2120" spans="1:19" x14ac:dyDescent="0.2">
      <c r="A2120" t="s">
        <v>2731</v>
      </c>
      <c r="B2120" t="s">
        <v>75</v>
      </c>
      <c r="C2120" t="s">
        <v>617</v>
      </c>
      <c r="D2120">
        <v>4561.96</v>
      </c>
      <c r="E2120" s="37" t="str">
        <f t="shared" si="165"/>
        <v xml:space="preserve"> </v>
      </c>
      <c r="F2120">
        <v>0.5</v>
      </c>
      <c r="G2120" s="37" t="str">
        <f t="shared" si="166"/>
        <v>Heavy Discount</v>
      </c>
      <c r="H2120" s="37" t="str">
        <f t="shared" si="167"/>
        <v>High</v>
      </c>
      <c r="I2120">
        <v>1</v>
      </c>
      <c r="J2120" t="str" cm="1">
        <f t="array" ref="J2120">_xlfn.IFS(I2120&lt;=3,"small",I2120&lt;=6,"Medium",I2120&lt;=9,"Large")</f>
        <v>small</v>
      </c>
      <c r="K2120" s="36">
        <v>44984</v>
      </c>
      <c r="L2120" s="36">
        <v>44985</v>
      </c>
      <c r="M2120" t="s">
        <v>603</v>
      </c>
      <c r="N2120" t="s">
        <v>604</v>
      </c>
      <c r="O2120" s="37" t="str">
        <f t="shared" si="168"/>
        <v>Digital Payment</v>
      </c>
      <c r="P2120">
        <v>243.69</v>
      </c>
      <c r="Q2120" s="37" t="str">
        <f>IF(P2120&gt;500,"High","low")</f>
        <v>low</v>
      </c>
      <c r="R2120" s="37" t="str">
        <f t="shared" si="169"/>
        <v>AVERAGE</v>
      </c>
      <c r="S2120" t="s">
        <v>628</v>
      </c>
    </row>
    <row r="2121" spans="1:19" x14ac:dyDescent="0.2">
      <c r="A2121" t="s">
        <v>2732</v>
      </c>
      <c r="B2121" t="s">
        <v>67</v>
      </c>
      <c r="C2121" t="s">
        <v>602</v>
      </c>
      <c r="D2121">
        <v>2110.85</v>
      </c>
      <c r="E2121" s="37" t="str">
        <f t="shared" si="165"/>
        <v xml:space="preserve"> </v>
      </c>
      <c r="F2121">
        <v>0.18</v>
      </c>
      <c r="G2121" s="37" t="str">
        <f t="shared" si="166"/>
        <v>Normal Discount</v>
      </c>
      <c r="H2121" s="37" t="str">
        <f t="shared" si="167"/>
        <v>Low</v>
      </c>
      <c r="I2121">
        <v>3</v>
      </c>
      <c r="J2121" t="str" cm="1">
        <f t="array" ref="J2121">_xlfn.IFS(I2121&lt;=3,"small",I2121&lt;=6,"Medium",I2121&lt;=9,"Large")</f>
        <v>small</v>
      </c>
      <c r="K2121" s="36">
        <v>45098</v>
      </c>
      <c r="L2121" s="36">
        <v>45104</v>
      </c>
      <c r="M2121" t="s">
        <v>598</v>
      </c>
      <c r="N2121" t="s">
        <v>604</v>
      </c>
      <c r="O2121" s="37" t="str">
        <f t="shared" si="168"/>
        <v>Digital Payment</v>
      </c>
      <c r="P2121">
        <v>480.91</v>
      </c>
      <c r="Q2121" s="37" t="str">
        <f>IF(P2121&gt;500,"High","low")</f>
        <v>low</v>
      </c>
      <c r="R2121" s="37" t="str">
        <f t="shared" si="169"/>
        <v>AVERAGE</v>
      </c>
      <c r="S2121" t="s">
        <v>609</v>
      </c>
    </row>
    <row r="2122" spans="1:19" x14ac:dyDescent="0.2">
      <c r="A2122" t="s">
        <v>2733</v>
      </c>
      <c r="B2122" t="s">
        <v>67</v>
      </c>
      <c r="C2122" t="s">
        <v>607</v>
      </c>
      <c r="D2122">
        <v>2734.19</v>
      </c>
      <c r="E2122" s="37" t="str">
        <f t="shared" si="165"/>
        <v xml:space="preserve"> </v>
      </c>
      <c r="F2122">
        <v>0.22</v>
      </c>
      <c r="G2122" s="37" t="str">
        <f t="shared" si="166"/>
        <v>Normal Discount</v>
      </c>
      <c r="H2122" s="37" t="str">
        <f t="shared" si="167"/>
        <v>Medium</v>
      </c>
      <c r="I2122">
        <v>1</v>
      </c>
      <c r="J2122" t="str" cm="1">
        <f t="array" ref="J2122">_xlfn.IFS(I2122&lt;=3,"small",I2122&lt;=6,"Medium",I2122&lt;=9,"Large")</f>
        <v>small</v>
      </c>
      <c r="K2122" s="36">
        <v>45256</v>
      </c>
      <c r="L2122" s="36">
        <v>45263</v>
      </c>
      <c r="M2122" t="s">
        <v>603</v>
      </c>
      <c r="N2122" t="s">
        <v>608</v>
      </c>
      <c r="O2122" s="37" t="str">
        <f t="shared" si="168"/>
        <v>Cash Payment</v>
      </c>
      <c r="P2122">
        <v>276.98</v>
      </c>
      <c r="Q2122" s="37" t="str">
        <f>IF(P2122&gt;500,"High","low")</f>
        <v>low</v>
      </c>
      <c r="R2122" s="37" t="str">
        <f t="shared" si="169"/>
        <v>AVERAGE</v>
      </c>
      <c r="S2122" t="s">
        <v>609</v>
      </c>
    </row>
    <row r="2123" spans="1:19" x14ac:dyDescent="0.2">
      <c r="A2123" t="s">
        <v>2734</v>
      </c>
      <c r="B2123" t="s">
        <v>67</v>
      </c>
      <c r="C2123" t="s">
        <v>602</v>
      </c>
      <c r="D2123">
        <v>1414.25</v>
      </c>
      <c r="E2123" s="37" t="str">
        <f t="shared" si="165"/>
        <v xml:space="preserve"> </v>
      </c>
      <c r="F2123">
        <v>0.14000000000000001</v>
      </c>
      <c r="G2123" s="37" t="str">
        <f t="shared" si="166"/>
        <v>Normal Discount</v>
      </c>
      <c r="H2123" s="37" t="str">
        <f t="shared" si="167"/>
        <v>Low</v>
      </c>
      <c r="I2123">
        <v>1</v>
      </c>
      <c r="J2123" t="str" cm="1">
        <f t="array" ref="J2123">_xlfn.IFS(I2123&lt;=3,"small",I2123&lt;=6,"Medium",I2123&lt;=9,"Large")</f>
        <v>small</v>
      </c>
      <c r="K2123" s="36">
        <v>45199</v>
      </c>
      <c r="L2123" s="36">
        <v>45203</v>
      </c>
      <c r="M2123" t="s">
        <v>598</v>
      </c>
      <c r="N2123" t="s">
        <v>604</v>
      </c>
      <c r="O2123" s="37" t="str">
        <f t="shared" si="168"/>
        <v>Digital Payment</v>
      </c>
      <c r="P2123">
        <v>167.89</v>
      </c>
      <c r="Q2123" s="37" t="str">
        <f>IF(P2123&gt;500,"High","low")</f>
        <v>low</v>
      </c>
      <c r="R2123" s="37" t="str">
        <f t="shared" si="169"/>
        <v>AVERAGE</v>
      </c>
      <c r="S2123" t="s">
        <v>605</v>
      </c>
    </row>
    <row r="2124" spans="1:19" x14ac:dyDescent="0.2">
      <c r="A2124" t="s">
        <v>2735</v>
      </c>
      <c r="B2124" t="s">
        <v>90</v>
      </c>
      <c r="C2124" t="s">
        <v>617</v>
      </c>
      <c r="D2124">
        <v>1504.13</v>
      </c>
      <c r="E2124" s="37" t="str">
        <f t="shared" si="165"/>
        <v xml:space="preserve"> </v>
      </c>
      <c r="F2124">
        <v>0.25</v>
      </c>
      <c r="G2124" s="37" t="str">
        <f t="shared" si="166"/>
        <v>Normal Discount</v>
      </c>
      <c r="H2124" s="37" t="str">
        <f t="shared" si="167"/>
        <v>Medium</v>
      </c>
      <c r="I2124">
        <v>9</v>
      </c>
      <c r="J2124" t="str" cm="1">
        <f t="array" ref="J2124">_xlfn.IFS(I2124&lt;=3,"small",I2124&lt;=6,"Medium",I2124&lt;=9,"Large")</f>
        <v>Large</v>
      </c>
      <c r="K2124" s="36">
        <v>45156</v>
      </c>
      <c r="L2124" s="36">
        <v>45161</v>
      </c>
      <c r="M2124" t="s">
        <v>598</v>
      </c>
      <c r="N2124" t="s">
        <v>608</v>
      </c>
      <c r="O2124" s="37" t="str">
        <f t="shared" si="168"/>
        <v>Cash Payment</v>
      </c>
      <c r="P2124">
        <v>104.59</v>
      </c>
      <c r="Q2124" s="37" t="str">
        <f>IF(P2124&gt;500,"High","low")</f>
        <v>low</v>
      </c>
      <c r="R2124" s="37" t="str">
        <f t="shared" si="169"/>
        <v>AVERAGE</v>
      </c>
      <c r="S2124" t="s">
        <v>600</v>
      </c>
    </row>
    <row r="2125" spans="1:19" x14ac:dyDescent="0.2">
      <c r="A2125" t="s">
        <v>2736</v>
      </c>
      <c r="B2125" t="s">
        <v>75</v>
      </c>
      <c r="C2125" t="s">
        <v>607</v>
      </c>
      <c r="D2125">
        <v>325.57</v>
      </c>
      <c r="E2125" s="37" t="str">
        <f t="shared" si="165"/>
        <v xml:space="preserve"> </v>
      </c>
      <c r="F2125">
        <v>0.08</v>
      </c>
      <c r="G2125" s="37" t="str">
        <f t="shared" si="166"/>
        <v>Normal Discount</v>
      </c>
      <c r="H2125" s="37" t="str">
        <f t="shared" si="167"/>
        <v>Low</v>
      </c>
      <c r="I2125">
        <v>4</v>
      </c>
      <c r="J2125" t="str" cm="1">
        <f t="array" ref="J2125">_xlfn.IFS(I2125&lt;=3,"small",I2125&lt;=6,"Medium",I2125&lt;=9,"Large")</f>
        <v>Medium</v>
      </c>
      <c r="K2125" s="36">
        <v>45072</v>
      </c>
      <c r="L2125" s="36">
        <v>45079</v>
      </c>
      <c r="M2125" t="s">
        <v>612</v>
      </c>
      <c r="N2125" t="s">
        <v>604</v>
      </c>
      <c r="O2125" s="37" t="str">
        <f t="shared" si="168"/>
        <v>Digital Payment</v>
      </c>
      <c r="P2125">
        <v>79.760000000000005</v>
      </c>
      <c r="Q2125" s="37" t="str">
        <f>IF(P2125&gt;500,"High","low")</f>
        <v>low</v>
      </c>
      <c r="R2125" s="37" t="str">
        <f t="shared" si="169"/>
        <v>AVERAGE</v>
      </c>
      <c r="S2125" t="s">
        <v>600</v>
      </c>
    </row>
    <row r="2126" spans="1:19" x14ac:dyDescent="0.2">
      <c r="A2126" t="s">
        <v>2737</v>
      </c>
      <c r="B2126" t="s">
        <v>83</v>
      </c>
      <c r="C2126" t="s">
        <v>602</v>
      </c>
      <c r="D2126">
        <v>1501.74</v>
      </c>
      <c r="E2126" s="37" t="str">
        <f t="shared" si="165"/>
        <v xml:space="preserve"> </v>
      </c>
      <c r="F2126">
        <v>0.12</v>
      </c>
      <c r="G2126" s="37" t="str">
        <f t="shared" si="166"/>
        <v>Normal Discount</v>
      </c>
      <c r="H2126" s="37" t="str">
        <f t="shared" si="167"/>
        <v>Low</v>
      </c>
      <c r="I2126">
        <v>4</v>
      </c>
      <c r="J2126" t="str" cm="1">
        <f t="array" ref="J2126">_xlfn.IFS(I2126&lt;=3,"small",I2126&lt;=6,"Medium",I2126&lt;=9,"Large")</f>
        <v>Medium</v>
      </c>
      <c r="K2126" s="36">
        <v>45363</v>
      </c>
      <c r="L2126" s="36">
        <v>45368</v>
      </c>
      <c r="M2126" t="s">
        <v>598</v>
      </c>
      <c r="N2126" t="s">
        <v>599</v>
      </c>
      <c r="O2126" s="37" t="str">
        <f t="shared" si="168"/>
        <v>Digital Payment</v>
      </c>
      <c r="P2126">
        <v>167.28</v>
      </c>
      <c r="Q2126" s="37" t="str">
        <f>IF(P2126&gt;500,"High","low")</f>
        <v>low</v>
      </c>
      <c r="R2126" s="37" t="str">
        <f t="shared" si="169"/>
        <v>AVERAGE</v>
      </c>
      <c r="S2126" t="s">
        <v>605</v>
      </c>
    </row>
    <row r="2127" spans="1:19" x14ac:dyDescent="0.2">
      <c r="A2127" t="s">
        <v>2738</v>
      </c>
      <c r="B2127" t="s">
        <v>83</v>
      </c>
      <c r="C2127" t="s">
        <v>607</v>
      </c>
      <c r="D2127">
        <v>412.76</v>
      </c>
      <c r="E2127" s="37" t="str">
        <f t="shared" si="165"/>
        <v xml:space="preserve"> </v>
      </c>
      <c r="F2127">
        <v>0.36</v>
      </c>
      <c r="G2127" s="37" t="str">
        <f t="shared" si="166"/>
        <v>Heavy Discount</v>
      </c>
      <c r="H2127" s="37" t="str">
        <f t="shared" si="167"/>
        <v>Medium</v>
      </c>
      <c r="I2127">
        <v>4</v>
      </c>
      <c r="J2127" t="str" cm="1">
        <f t="array" ref="J2127">_xlfn.IFS(I2127&lt;=3,"small",I2127&lt;=6,"Medium",I2127&lt;=9,"Large")</f>
        <v>Medium</v>
      </c>
      <c r="K2127" s="36">
        <v>45201</v>
      </c>
      <c r="L2127" s="36">
        <v>45206</v>
      </c>
      <c r="M2127" t="s">
        <v>603</v>
      </c>
      <c r="N2127" t="s">
        <v>608</v>
      </c>
      <c r="O2127" s="37" t="str">
        <f t="shared" si="168"/>
        <v>Cash Payment</v>
      </c>
      <c r="P2127">
        <v>99.35</v>
      </c>
      <c r="Q2127" s="37" t="str">
        <f>IF(P2127&gt;500,"High","low")</f>
        <v>low</v>
      </c>
      <c r="R2127" s="37" t="str">
        <f t="shared" si="169"/>
        <v>AVERAGE</v>
      </c>
      <c r="S2127" t="s">
        <v>620</v>
      </c>
    </row>
    <row r="2128" spans="1:19" x14ac:dyDescent="0.2">
      <c r="A2128" t="s">
        <v>2739</v>
      </c>
      <c r="B2128" t="s">
        <v>75</v>
      </c>
      <c r="C2128" t="s">
        <v>597</v>
      </c>
      <c r="D2128">
        <v>4823.1899999999996</v>
      </c>
      <c r="E2128" s="37" t="str">
        <f t="shared" si="165"/>
        <v xml:space="preserve"> </v>
      </c>
      <c r="F2128">
        <v>7.0000000000000007E-2</v>
      </c>
      <c r="G2128" s="37" t="str">
        <f t="shared" si="166"/>
        <v>Normal Discount</v>
      </c>
      <c r="H2128" s="37" t="str">
        <f t="shared" si="167"/>
        <v>Low</v>
      </c>
      <c r="I2128">
        <v>9</v>
      </c>
      <c r="J2128" t="str" cm="1">
        <f t="array" ref="J2128">_xlfn.IFS(I2128&lt;=3,"small",I2128&lt;=6,"Medium",I2128&lt;=9,"Large")</f>
        <v>Large</v>
      </c>
      <c r="K2128" s="36">
        <v>45495</v>
      </c>
      <c r="L2128" s="36">
        <v>45500</v>
      </c>
      <c r="M2128" t="s">
        <v>603</v>
      </c>
      <c r="N2128" t="s">
        <v>608</v>
      </c>
      <c r="O2128" s="37" t="str">
        <f t="shared" si="168"/>
        <v>Cash Payment</v>
      </c>
      <c r="P2128">
        <v>270.58</v>
      </c>
      <c r="Q2128" s="37" t="str">
        <f>IF(P2128&gt;500,"High","low")</f>
        <v>low</v>
      </c>
      <c r="R2128" s="37" t="str">
        <f t="shared" si="169"/>
        <v>AVERAGE</v>
      </c>
      <c r="S2128" t="s">
        <v>620</v>
      </c>
    </row>
    <row r="2129" spans="1:19" x14ac:dyDescent="0.2">
      <c r="A2129" t="s">
        <v>2740</v>
      </c>
      <c r="B2129" t="s">
        <v>90</v>
      </c>
      <c r="C2129" t="s">
        <v>597</v>
      </c>
      <c r="D2129">
        <v>3158.89</v>
      </c>
      <c r="E2129" s="37" t="str">
        <f t="shared" si="165"/>
        <v xml:space="preserve"> </v>
      </c>
      <c r="F2129">
        <v>0.46</v>
      </c>
      <c r="G2129" s="37" t="str">
        <f t="shared" si="166"/>
        <v>Heavy Discount</v>
      </c>
      <c r="H2129" s="37" t="str">
        <f t="shared" si="167"/>
        <v>High</v>
      </c>
      <c r="I2129">
        <v>8</v>
      </c>
      <c r="J2129" t="str" cm="1">
        <f t="array" ref="J2129">_xlfn.IFS(I2129&lt;=3,"small",I2129&lt;=6,"Medium",I2129&lt;=9,"Large")</f>
        <v>Large</v>
      </c>
      <c r="K2129" s="36">
        <v>45261</v>
      </c>
      <c r="L2129" s="36">
        <v>45263</v>
      </c>
      <c r="M2129" t="s">
        <v>598</v>
      </c>
      <c r="N2129" t="s">
        <v>599</v>
      </c>
      <c r="O2129" s="37" t="str">
        <f t="shared" si="168"/>
        <v>Digital Payment</v>
      </c>
      <c r="P2129">
        <v>667.11</v>
      </c>
      <c r="Q2129" s="37" t="str">
        <f>IF(P2129&gt;500,"High","low")</f>
        <v>High</v>
      </c>
      <c r="R2129" s="37" t="str">
        <f t="shared" si="169"/>
        <v>Good</v>
      </c>
      <c r="S2129" t="s">
        <v>609</v>
      </c>
    </row>
    <row r="2130" spans="1:19" x14ac:dyDescent="0.2">
      <c r="A2130" t="s">
        <v>2741</v>
      </c>
      <c r="B2130" t="s">
        <v>90</v>
      </c>
      <c r="C2130" t="s">
        <v>597</v>
      </c>
      <c r="D2130">
        <v>948.43</v>
      </c>
      <c r="E2130" s="37" t="str">
        <f t="shared" si="165"/>
        <v xml:space="preserve"> </v>
      </c>
      <c r="F2130">
        <v>0.15</v>
      </c>
      <c r="G2130" s="37" t="str">
        <f t="shared" si="166"/>
        <v>Normal Discount</v>
      </c>
      <c r="H2130" s="37" t="str">
        <f t="shared" si="167"/>
        <v>Low</v>
      </c>
      <c r="I2130">
        <v>4</v>
      </c>
      <c r="J2130" t="str" cm="1">
        <f t="array" ref="J2130">_xlfn.IFS(I2130&lt;=3,"small",I2130&lt;=6,"Medium",I2130&lt;=9,"Large")</f>
        <v>Medium</v>
      </c>
      <c r="K2130" s="36">
        <v>45226</v>
      </c>
      <c r="L2130" s="36">
        <v>45228</v>
      </c>
      <c r="M2130" t="s">
        <v>612</v>
      </c>
      <c r="N2130" t="s">
        <v>608</v>
      </c>
      <c r="O2130" s="37" t="str">
        <f t="shared" si="168"/>
        <v>Cash Payment</v>
      </c>
      <c r="P2130">
        <v>75.989999999999995</v>
      </c>
      <c r="Q2130" s="37" t="str">
        <f>IF(P2130&gt;500,"High","low")</f>
        <v>low</v>
      </c>
      <c r="R2130" s="37" t="str">
        <f t="shared" si="169"/>
        <v>AVERAGE</v>
      </c>
      <c r="S2130" t="s">
        <v>615</v>
      </c>
    </row>
    <row r="2131" spans="1:19" x14ac:dyDescent="0.2">
      <c r="A2131" t="s">
        <v>2742</v>
      </c>
      <c r="B2131" t="s">
        <v>67</v>
      </c>
      <c r="C2131" t="s">
        <v>602</v>
      </c>
      <c r="D2131">
        <v>672.16</v>
      </c>
      <c r="E2131" s="37" t="str">
        <f t="shared" si="165"/>
        <v xml:space="preserve"> </v>
      </c>
      <c r="F2131">
        <v>0.28999999999999998</v>
      </c>
      <c r="G2131" s="37" t="str">
        <f t="shared" si="166"/>
        <v>Normal Discount</v>
      </c>
      <c r="H2131" s="37" t="str">
        <f t="shared" si="167"/>
        <v>Medium</v>
      </c>
      <c r="I2131">
        <v>6</v>
      </c>
      <c r="J2131" t="str" cm="1">
        <f t="array" ref="J2131">_xlfn.IFS(I2131&lt;=3,"small",I2131&lt;=6,"Medium",I2131&lt;=9,"Large")</f>
        <v>Medium</v>
      </c>
      <c r="K2131" s="36">
        <v>45073</v>
      </c>
      <c r="L2131" s="36">
        <v>45078</v>
      </c>
      <c r="M2131" t="s">
        <v>598</v>
      </c>
      <c r="N2131" t="s">
        <v>599</v>
      </c>
      <c r="O2131" s="37" t="str">
        <f t="shared" si="168"/>
        <v>Digital Payment</v>
      </c>
      <c r="P2131">
        <v>104.51</v>
      </c>
      <c r="Q2131" s="37" t="str">
        <f>IF(P2131&gt;500,"High","low")</f>
        <v>low</v>
      </c>
      <c r="R2131" s="37" t="str">
        <f t="shared" si="169"/>
        <v>AVERAGE</v>
      </c>
      <c r="S2131" t="s">
        <v>628</v>
      </c>
    </row>
    <row r="2132" spans="1:19" x14ac:dyDescent="0.2">
      <c r="A2132" t="s">
        <v>2743</v>
      </c>
      <c r="B2132" t="s">
        <v>75</v>
      </c>
      <c r="C2132" t="s">
        <v>617</v>
      </c>
      <c r="D2132">
        <v>1913.6</v>
      </c>
      <c r="E2132" s="37" t="str">
        <f t="shared" si="165"/>
        <v xml:space="preserve"> </v>
      </c>
      <c r="F2132">
        <v>0.16</v>
      </c>
      <c r="G2132" s="37" t="str">
        <f t="shared" si="166"/>
        <v>Normal Discount</v>
      </c>
      <c r="H2132" s="37" t="str">
        <f t="shared" si="167"/>
        <v>Low</v>
      </c>
      <c r="I2132">
        <v>2</v>
      </c>
      <c r="J2132" t="str" cm="1">
        <f t="array" ref="J2132">_xlfn.IFS(I2132&lt;=3,"small",I2132&lt;=6,"Medium",I2132&lt;=9,"Large")</f>
        <v>small</v>
      </c>
      <c r="K2132" s="36">
        <v>45475</v>
      </c>
      <c r="L2132" s="36">
        <v>45479</v>
      </c>
      <c r="M2132" t="s">
        <v>598</v>
      </c>
      <c r="N2132" t="s">
        <v>604</v>
      </c>
      <c r="O2132" s="37" t="str">
        <f t="shared" si="168"/>
        <v>Digital Payment</v>
      </c>
      <c r="P2132">
        <v>243.87</v>
      </c>
      <c r="Q2132" s="37" t="str">
        <f>IF(P2132&gt;500,"High","low")</f>
        <v>low</v>
      </c>
      <c r="R2132" s="37" t="str">
        <f t="shared" si="169"/>
        <v>AVERAGE</v>
      </c>
      <c r="S2132" t="s">
        <v>615</v>
      </c>
    </row>
    <row r="2133" spans="1:19" x14ac:dyDescent="0.2">
      <c r="A2133" t="s">
        <v>2744</v>
      </c>
      <c r="B2133" t="s">
        <v>75</v>
      </c>
      <c r="C2133" t="s">
        <v>607</v>
      </c>
      <c r="D2133">
        <v>1607.47</v>
      </c>
      <c r="E2133" s="37" t="str">
        <f t="shared" si="165"/>
        <v xml:space="preserve"> </v>
      </c>
      <c r="F2133">
        <v>0.24</v>
      </c>
      <c r="G2133" s="37" t="str">
        <f t="shared" si="166"/>
        <v>Normal Discount</v>
      </c>
      <c r="H2133" s="37" t="str">
        <f t="shared" si="167"/>
        <v>Medium</v>
      </c>
      <c r="I2133">
        <v>6</v>
      </c>
      <c r="J2133" t="str" cm="1">
        <f t="array" ref="J2133">_xlfn.IFS(I2133&lt;=3,"small",I2133&lt;=6,"Medium",I2133&lt;=9,"Large")</f>
        <v>Medium</v>
      </c>
      <c r="K2133" s="36">
        <v>44984</v>
      </c>
      <c r="L2133" s="36">
        <v>44989</v>
      </c>
      <c r="M2133" t="s">
        <v>612</v>
      </c>
      <c r="N2133" t="s">
        <v>608</v>
      </c>
      <c r="O2133" s="37" t="str">
        <f t="shared" si="168"/>
        <v>Cash Payment</v>
      </c>
      <c r="P2133">
        <v>393.98</v>
      </c>
      <c r="Q2133" s="37" t="str">
        <f>IF(P2133&gt;500,"High","low")</f>
        <v>low</v>
      </c>
      <c r="R2133" s="37" t="str">
        <f t="shared" si="169"/>
        <v>AVERAGE</v>
      </c>
      <c r="S2133" t="s">
        <v>628</v>
      </c>
    </row>
    <row r="2134" spans="1:19" x14ac:dyDescent="0.2">
      <c r="A2134" t="s">
        <v>2745</v>
      </c>
      <c r="B2134" t="s">
        <v>83</v>
      </c>
      <c r="C2134" t="s">
        <v>614</v>
      </c>
      <c r="D2134">
        <v>1468.35</v>
      </c>
      <c r="E2134" s="37" t="str">
        <f t="shared" si="165"/>
        <v xml:space="preserve"> </v>
      </c>
      <c r="F2134">
        <v>0.45</v>
      </c>
      <c r="G2134" s="37" t="str">
        <f t="shared" si="166"/>
        <v>Heavy Discount</v>
      </c>
      <c r="H2134" s="37" t="str">
        <f t="shared" si="167"/>
        <v>High</v>
      </c>
      <c r="I2134">
        <v>1</v>
      </c>
      <c r="J2134" t="str" cm="1">
        <f t="array" ref="J2134">_xlfn.IFS(I2134&lt;=3,"small",I2134&lt;=6,"Medium",I2134&lt;=9,"Large")</f>
        <v>small</v>
      </c>
      <c r="K2134" s="36">
        <v>45194</v>
      </c>
      <c r="L2134" s="36">
        <v>45196</v>
      </c>
      <c r="M2134" t="s">
        <v>612</v>
      </c>
      <c r="N2134" t="s">
        <v>599</v>
      </c>
      <c r="O2134" s="37" t="str">
        <f t="shared" si="168"/>
        <v>Digital Payment</v>
      </c>
      <c r="P2134">
        <v>364.56</v>
      </c>
      <c r="Q2134" s="37" t="str">
        <f>IF(P2134&gt;500,"High","low")</f>
        <v>low</v>
      </c>
      <c r="R2134" s="37" t="str">
        <f t="shared" si="169"/>
        <v>AVERAGE</v>
      </c>
      <c r="S2134" t="s">
        <v>609</v>
      </c>
    </row>
    <row r="2135" spans="1:19" x14ac:dyDescent="0.2">
      <c r="A2135" t="s">
        <v>2746</v>
      </c>
      <c r="B2135" t="s">
        <v>75</v>
      </c>
      <c r="C2135" t="s">
        <v>597</v>
      </c>
      <c r="D2135">
        <v>2394.16</v>
      </c>
      <c r="E2135" s="37" t="str">
        <f t="shared" si="165"/>
        <v xml:space="preserve"> </v>
      </c>
      <c r="F2135">
        <v>0.03</v>
      </c>
      <c r="G2135" s="37" t="str">
        <f t="shared" si="166"/>
        <v>Normal Discount</v>
      </c>
      <c r="H2135" s="37" t="str">
        <f t="shared" si="167"/>
        <v>Low</v>
      </c>
      <c r="I2135">
        <v>5</v>
      </c>
      <c r="J2135" t="str" cm="1">
        <f t="array" ref="J2135">_xlfn.IFS(I2135&lt;=3,"small",I2135&lt;=6,"Medium",I2135&lt;=9,"Large")</f>
        <v>Medium</v>
      </c>
      <c r="K2135" s="36">
        <v>44958</v>
      </c>
      <c r="L2135" s="36">
        <v>44960</v>
      </c>
      <c r="M2135" t="s">
        <v>598</v>
      </c>
      <c r="N2135" t="s">
        <v>604</v>
      </c>
      <c r="O2135" s="37" t="str">
        <f t="shared" si="168"/>
        <v>Digital Payment</v>
      </c>
      <c r="P2135">
        <v>629.59</v>
      </c>
      <c r="Q2135" s="37" t="str">
        <f>IF(P2135&gt;500,"High","low")</f>
        <v>High</v>
      </c>
      <c r="R2135" s="37" t="str">
        <f t="shared" si="169"/>
        <v>Good</v>
      </c>
      <c r="S2135" t="s">
        <v>615</v>
      </c>
    </row>
    <row r="2136" spans="1:19" x14ac:dyDescent="0.2">
      <c r="A2136" t="s">
        <v>2747</v>
      </c>
      <c r="B2136" t="s">
        <v>90</v>
      </c>
      <c r="C2136" t="s">
        <v>597</v>
      </c>
      <c r="D2136">
        <v>4573.08</v>
      </c>
      <c r="E2136" s="37" t="str">
        <f t="shared" si="165"/>
        <v xml:space="preserve"> </v>
      </c>
      <c r="F2136">
        <v>0.43</v>
      </c>
      <c r="G2136" s="37" t="str">
        <f t="shared" si="166"/>
        <v>Heavy Discount</v>
      </c>
      <c r="H2136" s="37" t="str">
        <f t="shared" si="167"/>
        <v>High</v>
      </c>
      <c r="I2136">
        <v>8</v>
      </c>
      <c r="J2136" t="str" cm="1">
        <f t="array" ref="J2136">_xlfn.IFS(I2136&lt;=3,"small",I2136&lt;=6,"Medium",I2136&lt;=9,"Large")</f>
        <v>Large</v>
      </c>
      <c r="K2136" s="36">
        <v>45336</v>
      </c>
      <c r="L2136" s="36">
        <v>45343</v>
      </c>
      <c r="M2136" t="s">
        <v>612</v>
      </c>
      <c r="N2136" t="s">
        <v>604</v>
      </c>
      <c r="O2136" s="37" t="str">
        <f t="shared" si="168"/>
        <v>Digital Payment</v>
      </c>
      <c r="P2136">
        <v>246.6</v>
      </c>
      <c r="Q2136" s="37" t="str">
        <f>IF(P2136&gt;500,"High","low")</f>
        <v>low</v>
      </c>
      <c r="R2136" s="37" t="str">
        <f t="shared" si="169"/>
        <v>AVERAGE</v>
      </c>
      <c r="S2136" t="s">
        <v>600</v>
      </c>
    </row>
    <row r="2137" spans="1:19" x14ac:dyDescent="0.2">
      <c r="A2137" t="s">
        <v>2748</v>
      </c>
      <c r="B2137" t="s">
        <v>75</v>
      </c>
      <c r="C2137" t="s">
        <v>614</v>
      </c>
      <c r="D2137">
        <v>2883.45</v>
      </c>
      <c r="E2137" s="37" t="str">
        <f t="shared" si="165"/>
        <v xml:space="preserve"> </v>
      </c>
      <c r="F2137">
        <v>0.28000000000000003</v>
      </c>
      <c r="G2137" s="37" t="str">
        <f t="shared" si="166"/>
        <v>Normal Discount</v>
      </c>
      <c r="H2137" s="37" t="str">
        <f t="shared" si="167"/>
        <v>Medium</v>
      </c>
      <c r="I2137">
        <v>1</v>
      </c>
      <c r="J2137" t="str" cm="1">
        <f t="array" ref="J2137">_xlfn.IFS(I2137&lt;=3,"small",I2137&lt;=6,"Medium",I2137&lt;=9,"Large")</f>
        <v>small</v>
      </c>
      <c r="K2137" s="36">
        <v>45357</v>
      </c>
      <c r="L2137" s="36">
        <v>45364</v>
      </c>
      <c r="M2137" t="s">
        <v>603</v>
      </c>
      <c r="N2137" t="s">
        <v>608</v>
      </c>
      <c r="O2137" s="37" t="str">
        <f t="shared" si="168"/>
        <v>Cash Payment</v>
      </c>
      <c r="P2137">
        <v>756.72</v>
      </c>
      <c r="Q2137" s="37" t="str">
        <f>IF(P2137&gt;500,"High","low")</f>
        <v>High</v>
      </c>
      <c r="R2137" s="37" t="str">
        <f t="shared" si="169"/>
        <v>Good</v>
      </c>
      <c r="S2137" t="s">
        <v>600</v>
      </c>
    </row>
    <row r="2138" spans="1:19" x14ac:dyDescent="0.2">
      <c r="A2138" t="s">
        <v>2749</v>
      </c>
      <c r="B2138" t="s">
        <v>83</v>
      </c>
      <c r="C2138" t="s">
        <v>614</v>
      </c>
      <c r="D2138">
        <v>2654.03</v>
      </c>
      <c r="E2138" s="37" t="str">
        <f t="shared" si="165"/>
        <v xml:space="preserve"> </v>
      </c>
      <c r="F2138">
        <v>0.33</v>
      </c>
      <c r="G2138" s="37" t="str">
        <f t="shared" si="166"/>
        <v>Heavy Discount</v>
      </c>
      <c r="H2138" s="37" t="str">
        <f t="shared" si="167"/>
        <v>Medium</v>
      </c>
      <c r="I2138">
        <v>2</v>
      </c>
      <c r="J2138" t="str" cm="1">
        <f t="array" ref="J2138">_xlfn.IFS(I2138&lt;=3,"small",I2138&lt;=6,"Medium",I2138&lt;=9,"Large")</f>
        <v>small</v>
      </c>
      <c r="K2138" s="36">
        <v>45527</v>
      </c>
      <c r="L2138" s="36">
        <v>45528</v>
      </c>
      <c r="M2138" t="s">
        <v>598</v>
      </c>
      <c r="N2138" t="s">
        <v>604</v>
      </c>
      <c r="O2138" s="37" t="str">
        <f t="shared" si="168"/>
        <v>Digital Payment</v>
      </c>
      <c r="P2138">
        <v>293.12</v>
      </c>
      <c r="Q2138" s="37" t="str">
        <f>IF(P2138&gt;500,"High","low")</f>
        <v>low</v>
      </c>
      <c r="R2138" s="37" t="str">
        <f t="shared" si="169"/>
        <v>AVERAGE</v>
      </c>
      <c r="S2138" t="s">
        <v>609</v>
      </c>
    </row>
    <row r="2139" spans="1:19" x14ac:dyDescent="0.2">
      <c r="A2139" t="s">
        <v>2750</v>
      </c>
      <c r="B2139" t="s">
        <v>67</v>
      </c>
      <c r="C2139" t="s">
        <v>602</v>
      </c>
      <c r="D2139">
        <v>4052.09</v>
      </c>
      <c r="E2139" s="37" t="str">
        <f t="shared" si="165"/>
        <v>Excellent Order</v>
      </c>
      <c r="F2139">
        <v>0.03</v>
      </c>
      <c r="G2139" s="37" t="str">
        <f t="shared" si="166"/>
        <v>Normal Discount</v>
      </c>
      <c r="H2139" s="37" t="str">
        <f t="shared" si="167"/>
        <v>Low</v>
      </c>
      <c r="I2139">
        <v>3</v>
      </c>
      <c r="J2139" t="str" cm="1">
        <f t="array" ref="J2139">_xlfn.IFS(I2139&lt;=3,"small",I2139&lt;=6,"Medium",I2139&lt;=9,"Large")</f>
        <v>small</v>
      </c>
      <c r="K2139" s="36">
        <v>45148</v>
      </c>
      <c r="L2139" s="36">
        <v>45149</v>
      </c>
      <c r="M2139" t="s">
        <v>603</v>
      </c>
      <c r="N2139" t="s">
        <v>599</v>
      </c>
      <c r="O2139" s="37" t="str">
        <f t="shared" si="168"/>
        <v>Digital Payment</v>
      </c>
      <c r="P2139">
        <v>1048.56</v>
      </c>
      <c r="Q2139" s="37" t="str">
        <f>IF(P2139&gt;500,"High","low")</f>
        <v>High</v>
      </c>
      <c r="R2139" s="37" t="str">
        <f t="shared" si="169"/>
        <v>Excellent</v>
      </c>
      <c r="S2139" t="s">
        <v>609</v>
      </c>
    </row>
    <row r="2140" spans="1:19" x14ac:dyDescent="0.2">
      <c r="A2140" t="s">
        <v>2751</v>
      </c>
      <c r="B2140" t="s">
        <v>83</v>
      </c>
      <c r="C2140" t="s">
        <v>607</v>
      </c>
      <c r="D2140">
        <v>119.72</v>
      </c>
      <c r="E2140" s="37" t="str">
        <f t="shared" si="165"/>
        <v xml:space="preserve"> </v>
      </c>
      <c r="F2140">
        <v>0.38</v>
      </c>
      <c r="G2140" s="37" t="str">
        <f t="shared" si="166"/>
        <v>Heavy Discount</v>
      </c>
      <c r="H2140" s="37" t="str">
        <f t="shared" si="167"/>
        <v>Medium</v>
      </c>
      <c r="I2140">
        <v>7</v>
      </c>
      <c r="J2140" t="str" cm="1">
        <f t="array" ref="J2140">_xlfn.IFS(I2140&lt;=3,"small",I2140&lt;=6,"Medium",I2140&lt;=9,"Large")</f>
        <v>Large</v>
      </c>
      <c r="K2140" s="36">
        <v>44977</v>
      </c>
      <c r="L2140" s="36">
        <v>44981</v>
      </c>
      <c r="M2140" t="s">
        <v>612</v>
      </c>
      <c r="N2140" t="s">
        <v>608</v>
      </c>
      <c r="O2140" s="37" t="str">
        <f t="shared" si="168"/>
        <v>Cash Payment</v>
      </c>
      <c r="P2140">
        <v>31.02</v>
      </c>
      <c r="Q2140" s="37" t="str">
        <f>IF(P2140&gt;500,"High","low")</f>
        <v>low</v>
      </c>
      <c r="R2140" s="37" t="str">
        <f t="shared" si="169"/>
        <v>AVERAGE</v>
      </c>
      <c r="S2140" t="s">
        <v>615</v>
      </c>
    </row>
    <row r="2141" spans="1:19" x14ac:dyDescent="0.2">
      <c r="A2141" t="s">
        <v>2752</v>
      </c>
      <c r="B2141" t="s">
        <v>83</v>
      </c>
      <c r="C2141" t="s">
        <v>597</v>
      </c>
      <c r="D2141">
        <v>1067.19</v>
      </c>
      <c r="E2141" s="37" t="str">
        <f t="shared" si="165"/>
        <v xml:space="preserve"> </v>
      </c>
      <c r="F2141">
        <v>0.06</v>
      </c>
      <c r="G2141" s="37" t="str">
        <f t="shared" si="166"/>
        <v>Normal Discount</v>
      </c>
      <c r="H2141" s="37" t="str">
        <f t="shared" si="167"/>
        <v>Low</v>
      </c>
      <c r="I2141">
        <v>8</v>
      </c>
      <c r="J2141" t="str" cm="1">
        <f t="array" ref="J2141">_xlfn.IFS(I2141&lt;=3,"small",I2141&lt;=6,"Medium",I2141&lt;=9,"Large")</f>
        <v>Large</v>
      </c>
      <c r="K2141" s="36">
        <v>45388</v>
      </c>
      <c r="L2141" s="36">
        <v>45395</v>
      </c>
      <c r="M2141" t="s">
        <v>603</v>
      </c>
      <c r="N2141" t="s">
        <v>608</v>
      </c>
      <c r="O2141" s="37" t="str">
        <f t="shared" si="168"/>
        <v>Cash Payment</v>
      </c>
      <c r="P2141">
        <v>112.88</v>
      </c>
      <c r="Q2141" s="37" t="str">
        <f>IF(P2141&gt;500,"High","low")</f>
        <v>low</v>
      </c>
      <c r="R2141" s="37" t="str">
        <f t="shared" si="169"/>
        <v>AVERAGE</v>
      </c>
      <c r="S2141" t="s">
        <v>600</v>
      </c>
    </row>
    <row r="2142" spans="1:19" x14ac:dyDescent="0.2">
      <c r="A2142" t="s">
        <v>2753</v>
      </c>
      <c r="B2142" t="s">
        <v>67</v>
      </c>
      <c r="C2142" t="s">
        <v>617</v>
      </c>
      <c r="D2142">
        <v>2531.31</v>
      </c>
      <c r="E2142" s="37" t="str">
        <f t="shared" si="165"/>
        <v xml:space="preserve"> </v>
      </c>
      <c r="F2142">
        <v>0.48</v>
      </c>
      <c r="G2142" s="37" t="str">
        <f t="shared" si="166"/>
        <v>Heavy Discount</v>
      </c>
      <c r="H2142" s="37" t="str">
        <f t="shared" si="167"/>
        <v>High</v>
      </c>
      <c r="I2142">
        <v>4</v>
      </c>
      <c r="J2142" t="str" cm="1">
        <f t="array" ref="J2142">_xlfn.IFS(I2142&lt;=3,"small",I2142&lt;=6,"Medium",I2142&lt;=9,"Large")</f>
        <v>Medium</v>
      </c>
      <c r="K2142" s="36">
        <v>45631</v>
      </c>
      <c r="L2142" s="36">
        <v>45632</v>
      </c>
      <c r="M2142" t="s">
        <v>612</v>
      </c>
      <c r="N2142" t="s">
        <v>608</v>
      </c>
      <c r="O2142" s="37" t="str">
        <f t="shared" si="168"/>
        <v>Cash Payment</v>
      </c>
      <c r="P2142">
        <v>282.22000000000003</v>
      </c>
      <c r="Q2142" s="37" t="str">
        <f>IF(P2142&gt;500,"High","low")</f>
        <v>low</v>
      </c>
      <c r="R2142" s="37" t="str">
        <f t="shared" si="169"/>
        <v>AVERAGE</v>
      </c>
      <c r="S2142" t="s">
        <v>600</v>
      </c>
    </row>
    <row r="2143" spans="1:19" x14ac:dyDescent="0.2">
      <c r="A2143" t="s">
        <v>2754</v>
      </c>
      <c r="B2143" t="s">
        <v>83</v>
      </c>
      <c r="C2143" t="s">
        <v>602</v>
      </c>
      <c r="D2143">
        <v>3556.01</v>
      </c>
      <c r="E2143" s="37" t="str">
        <f t="shared" si="165"/>
        <v xml:space="preserve"> </v>
      </c>
      <c r="F2143">
        <v>0.4</v>
      </c>
      <c r="G2143" s="37" t="str">
        <f t="shared" si="166"/>
        <v>Heavy Discount</v>
      </c>
      <c r="H2143" s="37" t="str">
        <f t="shared" si="167"/>
        <v>Medium</v>
      </c>
      <c r="I2143">
        <v>8</v>
      </c>
      <c r="J2143" t="str" cm="1">
        <f t="array" ref="J2143">_xlfn.IFS(I2143&lt;=3,"small",I2143&lt;=6,"Medium",I2143&lt;=9,"Large")</f>
        <v>Large</v>
      </c>
      <c r="K2143" s="36">
        <v>45499</v>
      </c>
      <c r="L2143" s="36">
        <v>45502</v>
      </c>
      <c r="M2143" t="s">
        <v>598</v>
      </c>
      <c r="N2143" t="s">
        <v>599</v>
      </c>
      <c r="O2143" s="37" t="str">
        <f t="shared" si="168"/>
        <v>Digital Payment</v>
      </c>
      <c r="P2143">
        <v>321.85000000000002</v>
      </c>
      <c r="Q2143" s="37" t="str">
        <f>IF(P2143&gt;500,"High","low")</f>
        <v>low</v>
      </c>
      <c r="R2143" s="37" t="str">
        <f t="shared" si="169"/>
        <v>AVERAGE</v>
      </c>
      <c r="S2143" t="s">
        <v>605</v>
      </c>
    </row>
    <row r="2144" spans="1:19" x14ac:dyDescent="0.2">
      <c r="A2144" t="s">
        <v>2755</v>
      </c>
      <c r="B2144" t="s">
        <v>83</v>
      </c>
      <c r="C2144" t="s">
        <v>602</v>
      </c>
      <c r="D2144">
        <v>2476.64</v>
      </c>
      <c r="E2144" s="37" t="str">
        <f t="shared" si="165"/>
        <v xml:space="preserve"> </v>
      </c>
      <c r="F2144">
        <v>0.25</v>
      </c>
      <c r="G2144" s="37" t="str">
        <f t="shared" si="166"/>
        <v>Normal Discount</v>
      </c>
      <c r="H2144" s="37" t="str">
        <f t="shared" si="167"/>
        <v>Medium</v>
      </c>
      <c r="I2144">
        <v>1</v>
      </c>
      <c r="J2144" t="str" cm="1">
        <f t="array" ref="J2144">_xlfn.IFS(I2144&lt;=3,"small",I2144&lt;=6,"Medium",I2144&lt;=9,"Large")</f>
        <v>small</v>
      </c>
      <c r="K2144" s="36">
        <v>45385</v>
      </c>
      <c r="L2144" s="36">
        <v>45388</v>
      </c>
      <c r="M2144" t="s">
        <v>612</v>
      </c>
      <c r="N2144" t="s">
        <v>608</v>
      </c>
      <c r="O2144" s="37" t="str">
        <f t="shared" si="168"/>
        <v>Cash Payment</v>
      </c>
      <c r="P2144">
        <v>234.45</v>
      </c>
      <c r="Q2144" s="37" t="str">
        <f>IF(P2144&gt;500,"High","low")</f>
        <v>low</v>
      </c>
      <c r="R2144" s="37" t="str">
        <f t="shared" si="169"/>
        <v>AVERAGE</v>
      </c>
      <c r="S2144" t="s">
        <v>615</v>
      </c>
    </row>
    <row r="2145" spans="1:19" x14ac:dyDescent="0.2">
      <c r="A2145" t="s">
        <v>2756</v>
      </c>
      <c r="B2145" t="s">
        <v>75</v>
      </c>
      <c r="C2145" t="s">
        <v>617</v>
      </c>
      <c r="D2145">
        <v>902.21</v>
      </c>
      <c r="E2145" s="37" t="str">
        <f t="shared" si="165"/>
        <v xml:space="preserve"> </v>
      </c>
      <c r="F2145">
        <v>0.46</v>
      </c>
      <c r="G2145" s="37" t="str">
        <f t="shared" si="166"/>
        <v>Heavy Discount</v>
      </c>
      <c r="H2145" s="37" t="str">
        <f t="shared" si="167"/>
        <v>High</v>
      </c>
      <c r="I2145">
        <v>3</v>
      </c>
      <c r="J2145" t="str" cm="1">
        <f t="array" ref="J2145">_xlfn.IFS(I2145&lt;=3,"small",I2145&lt;=6,"Medium",I2145&lt;=9,"Large")</f>
        <v>small</v>
      </c>
      <c r="K2145" s="36">
        <v>45523</v>
      </c>
      <c r="L2145" s="36">
        <v>45530</v>
      </c>
      <c r="M2145" t="s">
        <v>598</v>
      </c>
      <c r="N2145" t="s">
        <v>604</v>
      </c>
      <c r="O2145" s="37" t="str">
        <f t="shared" si="168"/>
        <v>Digital Payment</v>
      </c>
      <c r="P2145">
        <v>260.48</v>
      </c>
      <c r="Q2145" s="37" t="str">
        <f>IF(P2145&gt;500,"High","low")</f>
        <v>low</v>
      </c>
      <c r="R2145" s="37" t="str">
        <f t="shared" si="169"/>
        <v>AVERAGE</v>
      </c>
      <c r="S2145" t="s">
        <v>605</v>
      </c>
    </row>
    <row r="2146" spans="1:19" x14ac:dyDescent="0.2">
      <c r="A2146" t="s">
        <v>2757</v>
      </c>
      <c r="B2146" t="s">
        <v>75</v>
      </c>
      <c r="C2146" t="s">
        <v>617</v>
      </c>
      <c r="D2146">
        <v>4656.92</v>
      </c>
      <c r="E2146" s="37" t="str">
        <f t="shared" si="165"/>
        <v xml:space="preserve"> </v>
      </c>
      <c r="F2146">
        <v>0.08</v>
      </c>
      <c r="G2146" s="37" t="str">
        <f t="shared" si="166"/>
        <v>Normal Discount</v>
      </c>
      <c r="H2146" s="37" t="str">
        <f t="shared" si="167"/>
        <v>Low</v>
      </c>
      <c r="I2146">
        <v>4</v>
      </c>
      <c r="J2146" t="str" cm="1">
        <f t="array" ref="J2146">_xlfn.IFS(I2146&lt;=3,"small",I2146&lt;=6,"Medium",I2146&lt;=9,"Large")</f>
        <v>Medium</v>
      </c>
      <c r="K2146" s="36">
        <v>45204</v>
      </c>
      <c r="L2146" s="36">
        <v>45210</v>
      </c>
      <c r="M2146" t="s">
        <v>612</v>
      </c>
      <c r="N2146" t="s">
        <v>604</v>
      </c>
      <c r="O2146" s="37" t="str">
        <f t="shared" si="168"/>
        <v>Digital Payment</v>
      </c>
      <c r="P2146">
        <v>680.8</v>
      </c>
      <c r="Q2146" s="37" t="str">
        <f>IF(P2146&gt;500,"High","low")</f>
        <v>High</v>
      </c>
      <c r="R2146" s="37" t="str">
        <f t="shared" si="169"/>
        <v>Good</v>
      </c>
      <c r="S2146" t="s">
        <v>600</v>
      </c>
    </row>
    <row r="2147" spans="1:19" x14ac:dyDescent="0.2">
      <c r="A2147" t="s">
        <v>2758</v>
      </c>
      <c r="B2147" t="s">
        <v>67</v>
      </c>
      <c r="C2147" t="s">
        <v>617</v>
      </c>
      <c r="D2147">
        <v>1710.46</v>
      </c>
      <c r="E2147" s="37" t="str">
        <f t="shared" si="165"/>
        <v xml:space="preserve"> </v>
      </c>
      <c r="F2147">
        <v>0.5</v>
      </c>
      <c r="G2147" s="37" t="str">
        <f t="shared" si="166"/>
        <v>Heavy Discount</v>
      </c>
      <c r="H2147" s="37" t="str">
        <f t="shared" si="167"/>
        <v>High</v>
      </c>
      <c r="I2147">
        <v>5</v>
      </c>
      <c r="J2147" t="str" cm="1">
        <f t="array" ref="J2147">_xlfn.IFS(I2147&lt;=3,"small",I2147&lt;=6,"Medium",I2147&lt;=9,"Large")</f>
        <v>Medium</v>
      </c>
      <c r="K2147" s="36">
        <v>45379</v>
      </c>
      <c r="L2147" s="36">
        <v>45380</v>
      </c>
      <c r="M2147" t="s">
        <v>612</v>
      </c>
      <c r="N2147" t="s">
        <v>604</v>
      </c>
      <c r="O2147" s="37" t="str">
        <f t="shared" si="168"/>
        <v>Digital Payment</v>
      </c>
      <c r="P2147">
        <v>102.54</v>
      </c>
      <c r="Q2147" s="37" t="str">
        <f>IF(P2147&gt;500,"High","low")</f>
        <v>low</v>
      </c>
      <c r="R2147" s="37" t="str">
        <f t="shared" si="169"/>
        <v>AVERAGE</v>
      </c>
      <c r="S2147" t="s">
        <v>615</v>
      </c>
    </row>
    <row r="2148" spans="1:19" x14ac:dyDescent="0.2">
      <c r="A2148" t="s">
        <v>2759</v>
      </c>
      <c r="B2148" t="s">
        <v>75</v>
      </c>
      <c r="C2148" t="s">
        <v>614</v>
      </c>
      <c r="D2148">
        <v>3962.26</v>
      </c>
      <c r="E2148" s="37" t="str">
        <f t="shared" si="165"/>
        <v xml:space="preserve"> </v>
      </c>
      <c r="F2148">
        <v>0.36</v>
      </c>
      <c r="G2148" s="37" t="str">
        <f t="shared" si="166"/>
        <v>Heavy Discount</v>
      </c>
      <c r="H2148" s="37" t="str">
        <f t="shared" si="167"/>
        <v>Medium</v>
      </c>
      <c r="I2148">
        <v>9</v>
      </c>
      <c r="J2148" t="str" cm="1">
        <f t="array" ref="J2148">_xlfn.IFS(I2148&lt;=3,"small",I2148&lt;=6,"Medium",I2148&lt;=9,"Large")</f>
        <v>Large</v>
      </c>
      <c r="K2148" s="36">
        <v>44966</v>
      </c>
      <c r="L2148" s="36">
        <v>44969</v>
      </c>
      <c r="M2148" t="s">
        <v>603</v>
      </c>
      <c r="N2148" t="s">
        <v>604</v>
      </c>
      <c r="O2148" s="37" t="str">
        <f t="shared" si="168"/>
        <v>Digital Payment</v>
      </c>
      <c r="P2148">
        <v>524.35</v>
      </c>
      <c r="Q2148" s="37" t="str">
        <f>IF(P2148&gt;500,"High","low")</f>
        <v>High</v>
      </c>
      <c r="R2148" s="37" t="str">
        <f t="shared" si="169"/>
        <v>Good</v>
      </c>
      <c r="S2148" t="s">
        <v>615</v>
      </c>
    </row>
    <row r="2149" spans="1:19" x14ac:dyDescent="0.2">
      <c r="A2149" t="s">
        <v>2760</v>
      </c>
      <c r="B2149" t="s">
        <v>75</v>
      </c>
      <c r="C2149" t="s">
        <v>597</v>
      </c>
      <c r="D2149">
        <v>4467.93</v>
      </c>
      <c r="E2149" s="37" t="str">
        <f t="shared" si="165"/>
        <v xml:space="preserve"> </v>
      </c>
      <c r="F2149">
        <v>0.05</v>
      </c>
      <c r="G2149" s="37" t="str">
        <f t="shared" si="166"/>
        <v>Normal Discount</v>
      </c>
      <c r="H2149" s="37" t="str">
        <f t="shared" si="167"/>
        <v>Low</v>
      </c>
      <c r="I2149">
        <v>2</v>
      </c>
      <c r="J2149" t="str" cm="1">
        <f t="array" ref="J2149">_xlfn.IFS(I2149&lt;=3,"small",I2149&lt;=6,"Medium",I2149&lt;=9,"Large")</f>
        <v>small</v>
      </c>
      <c r="K2149" s="36">
        <v>45492</v>
      </c>
      <c r="L2149" s="36">
        <v>45498</v>
      </c>
      <c r="M2149" t="s">
        <v>603</v>
      </c>
      <c r="N2149" t="s">
        <v>599</v>
      </c>
      <c r="O2149" s="37" t="str">
        <f t="shared" si="168"/>
        <v>Digital Payment</v>
      </c>
      <c r="P2149">
        <v>277.75</v>
      </c>
      <c r="Q2149" s="37" t="str">
        <f>IF(P2149&gt;500,"High","low")</f>
        <v>low</v>
      </c>
      <c r="R2149" s="37" t="str">
        <f t="shared" si="169"/>
        <v>AVERAGE</v>
      </c>
      <c r="S2149" t="s">
        <v>609</v>
      </c>
    </row>
    <row r="2150" spans="1:19" x14ac:dyDescent="0.2">
      <c r="A2150" t="s">
        <v>2761</v>
      </c>
      <c r="B2150" t="s">
        <v>83</v>
      </c>
      <c r="C2150" t="s">
        <v>614</v>
      </c>
      <c r="D2150">
        <v>1797.6</v>
      </c>
      <c r="E2150" s="37" t="str">
        <f t="shared" si="165"/>
        <v xml:space="preserve"> </v>
      </c>
      <c r="F2150">
        <v>0.27</v>
      </c>
      <c r="G2150" s="37" t="str">
        <f t="shared" si="166"/>
        <v>Normal Discount</v>
      </c>
      <c r="H2150" s="37" t="str">
        <f t="shared" si="167"/>
        <v>Medium</v>
      </c>
      <c r="I2150">
        <v>7</v>
      </c>
      <c r="J2150" t="str" cm="1">
        <f t="array" ref="J2150">_xlfn.IFS(I2150&lt;=3,"small",I2150&lt;=6,"Medium",I2150&lt;=9,"Large")</f>
        <v>Large</v>
      </c>
      <c r="K2150" s="36">
        <v>45091</v>
      </c>
      <c r="L2150" s="36">
        <v>45093</v>
      </c>
      <c r="M2150" t="s">
        <v>598</v>
      </c>
      <c r="N2150" t="s">
        <v>599</v>
      </c>
      <c r="O2150" s="37" t="str">
        <f t="shared" si="168"/>
        <v>Digital Payment</v>
      </c>
      <c r="P2150">
        <v>530.98</v>
      </c>
      <c r="Q2150" s="37" t="str">
        <f>IF(P2150&gt;500,"High","low")</f>
        <v>High</v>
      </c>
      <c r="R2150" s="37" t="str">
        <f t="shared" si="169"/>
        <v>Good</v>
      </c>
      <c r="S2150" t="s">
        <v>620</v>
      </c>
    </row>
    <row r="2151" spans="1:19" x14ac:dyDescent="0.2">
      <c r="A2151" t="s">
        <v>2762</v>
      </c>
      <c r="B2151" t="s">
        <v>90</v>
      </c>
      <c r="C2151" t="s">
        <v>597</v>
      </c>
      <c r="D2151">
        <v>4242.03</v>
      </c>
      <c r="E2151" s="37" t="str">
        <f t="shared" si="165"/>
        <v>Excellent Order</v>
      </c>
      <c r="F2151">
        <v>0.36</v>
      </c>
      <c r="G2151" s="37" t="str">
        <f t="shared" si="166"/>
        <v>Heavy Discount</v>
      </c>
      <c r="H2151" s="37" t="str">
        <f t="shared" si="167"/>
        <v>Medium</v>
      </c>
      <c r="I2151">
        <v>3</v>
      </c>
      <c r="J2151" t="str" cm="1">
        <f t="array" ref="J2151">_xlfn.IFS(I2151&lt;=3,"small",I2151&lt;=6,"Medium",I2151&lt;=9,"Large")</f>
        <v>small</v>
      </c>
      <c r="K2151" s="36">
        <v>45173</v>
      </c>
      <c r="L2151" s="36">
        <v>45178</v>
      </c>
      <c r="M2151" t="s">
        <v>598</v>
      </c>
      <c r="N2151" t="s">
        <v>599</v>
      </c>
      <c r="O2151" s="37" t="str">
        <f t="shared" si="168"/>
        <v>Digital Payment</v>
      </c>
      <c r="P2151">
        <v>917.4</v>
      </c>
      <c r="Q2151" s="37" t="str">
        <f>IF(P2151&gt;500,"High","low")</f>
        <v>High</v>
      </c>
      <c r="R2151" s="37" t="str">
        <f t="shared" si="169"/>
        <v>Good</v>
      </c>
      <c r="S2151" t="s">
        <v>609</v>
      </c>
    </row>
    <row r="2152" spans="1:19" x14ac:dyDescent="0.2">
      <c r="A2152" t="s">
        <v>2763</v>
      </c>
      <c r="B2152" t="s">
        <v>75</v>
      </c>
      <c r="C2152" t="s">
        <v>614</v>
      </c>
      <c r="D2152">
        <v>3582.79</v>
      </c>
      <c r="E2152" s="37" t="str">
        <f t="shared" si="165"/>
        <v xml:space="preserve"> </v>
      </c>
      <c r="F2152">
        <v>0.31</v>
      </c>
      <c r="G2152" s="37" t="str">
        <f t="shared" si="166"/>
        <v>Heavy Discount</v>
      </c>
      <c r="H2152" s="37" t="str">
        <f t="shared" si="167"/>
        <v>Medium</v>
      </c>
      <c r="I2152">
        <v>2</v>
      </c>
      <c r="J2152" t="str" cm="1">
        <f t="array" ref="J2152">_xlfn.IFS(I2152&lt;=3,"small",I2152&lt;=6,"Medium",I2152&lt;=9,"Large")</f>
        <v>small</v>
      </c>
      <c r="K2152" s="36">
        <v>45264</v>
      </c>
      <c r="L2152" s="36">
        <v>45271</v>
      </c>
      <c r="M2152" t="s">
        <v>603</v>
      </c>
      <c r="N2152" t="s">
        <v>599</v>
      </c>
      <c r="O2152" s="37" t="str">
        <f t="shared" si="168"/>
        <v>Digital Payment</v>
      </c>
      <c r="P2152">
        <v>638.04</v>
      </c>
      <c r="Q2152" s="37" t="str">
        <f>IF(P2152&gt;500,"High","low")</f>
        <v>High</v>
      </c>
      <c r="R2152" s="37" t="str">
        <f t="shared" si="169"/>
        <v>Good</v>
      </c>
      <c r="S2152" t="s">
        <v>615</v>
      </c>
    </row>
    <row r="2153" spans="1:19" x14ac:dyDescent="0.2">
      <c r="A2153" t="s">
        <v>2764</v>
      </c>
      <c r="B2153" t="s">
        <v>90</v>
      </c>
      <c r="C2153" t="s">
        <v>607</v>
      </c>
      <c r="D2153">
        <v>4530.9799999999996</v>
      </c>
      <c r="E2153" s="37" t="str">
        <f t="shared" si="165"/>
        <v xml:space="preserve"> </v>
      </c>
      <c r="F2153">
        <v>0.21</v>
      </c>
      <c r="G2153" s="37" t="str">
        <f t="shared" si="166"/>
        <v>Normal Discount</v>
      </c>
      <c r="H2153" s="37" t="str">
        <f t="shared" si="167"/>
        <v>Medium</v>
      </c>
      <c r="I2153">
        <v>9</v>
      </c>
      <c r="J2153" t="str" cm="1">
        <f t="array" ref="J2153">_xlfn.IFS(I2153&lt;=3,"small",I2153&lt;=6,"Medium",I2153&lt;=9,"Large")</f>
        <v>Large</v>
      </c>
      <c r="K2153" s="36">
        <v>45450</v>
      </c>
      <c r="L2153" s="36">
        <v>45455</v>
      </c>
      <c r="M2153" t="s">
        <v>598</v>
      </c>
      <c r="N2153" t="s">
        <v>608</v>
      </c>
      <c r="O2153" s="37" t="str">
        <f t="shared" si="168"/>
        <v>Cash Payment</v>
      </c>
      <c r="P2153">
        <v>354.05</v>
      </c>
      <c r="Q2153" s="37" t="str">
        <f>IF(P2153&gt;500,"High","low")</f>
        <v>low</v>
      </c>
      <c r="R2153" s="37" t="str">
        <f t="shared" si="169"/>
        <v>AVERAGE</v>
      </c>
      <c r="S2153" t="s">
        <v>615</v>
      </c>
    </row>
    <row r="2154" spans="1:19" x14ac:dyDescent="0.2">
      <c r="A2154" t="s">
        <v>2765</v>
      </c>
      <c r="B2154" t="s">
        <v>75</v>
      </c>
      <c r="C2154" t="s">
        <v>597</v>
      </c>
      <c r="D2154">
        <v>1331.42</v>
      </c>
      <c r="E2154" s="37" t="str">
        <f t="shared" si="165"/>
        <v xml:space="preserve"> </v>
      </c>
      <c r="F2154">
        <v>0.12</v>
      </c>
      <c r="G2154" s="37" t="str">
        <f t="shared" si="166"/>
        <v>Normal Discount</v>
      </c>
      <c r="H2154" s="37" t="str">
        <f t="shared" si="167"/>
        <v>Low</v>
      </c>
      <c r="I2154">
        <v>3</v>
      </c>
      <c r="J2154" t="str" cm="1">
        <f t="array" ref="J2154">_xlfn.IFS(I2154&lt;=3,"small",I2154&lt;=6,"Medium",I2154&lt;=9,"Large")</f>
        <v>small</v>
      </c>
      <c r="K2154" s="36">
        <v>45331</v>
      </c>
      <c r="L2154" s="36">
        <v>45334</v>
      </c>
      <c r="M2154" t="s">
        <v>598</v>
      </c>
      <c r="N2154" t="s">
        <v>608</v>
      </c>
      <c r="O2154" s="37" t="str">
        <f t="shared" si="168"/>
        <v>Cash Payment</v>
      </c>
      <c r="P2154">
        <v>155.22999999999999</v>
      </c>
      <c r="Q2154" s="37" t="str">
        <f>IF(P2154&gt;500,"High","low")</f>
        <v>low</v>
      </c>
      <c r="R2154" s="37" t="str">
        <f t="shared" si="169"/>
        <v>AVERAGE</v>
      </c>
      <c r="S2154" t="s">
        <v>605</v>
      </c>
    </row>
    <row r="2155" spans="1:19" x14ac:dyDescent="0.2">
      <c r="A2155" t="s">
        <v>2766</v>
      </c>
      <c r="B2155" t="s">
        <v>75</v>
      </c>
      <c r="C2155" t="s">
        <v>602</v>
      </c>
      <c r="D2155">
        <v>4663.26</v>
      </c>
      <c r="E2155" s="37" t="str">
        <f t="shared" si="165"/>
        <v>Excellent Order</v>
      </c>
      <c r="F2155">
        <v>0.12</v>
      </c>
      <c r="G2155" s="37" t="str">
        <f t="shared" si="166"/>
        <v>Normal Discount</v>
      </c>
      <c r="H2155" s="37" t="str">
        <f t="shared" si="167"/>
        <v>Low</v>
      </c>
      <c r="I2155">
        <v>8</v>
      </c>
      <c r="J2155" t="str" cm="1">
        <f t="array" ref="J2155">_xlfn.IFS(I2155&lt;=3,"small",I2155&lt;=6,"Medium",I2155&lt;=9,"Large")</f>
        <v>Large</v>
      </c>
      <c r="K2155" s="36">
        <v>44966</v>
      </c>
      <c r="L2155" s="36">
        <v>44973</v>
      </c>
      <c r="M2155" t="s">
        <v>603</v>
      </c>
      <c r="N2155" t="s">
        <v>604</v>
      </c>
      <c r="O2155" s="37" t="str">
        <f t="shared" si="168"/>
        <v>Digital Payment</v>
      </c>
      <c r="P2155">
        <v>1131.72</v>
      </c>
      <c r="Q2155" s="37" t="str">
        <f>IF(P2155&gt;500,"High","low")</f>
        <v>High</v>
      </c>
      <c r="R2155" s="37" t="str">
        <f t="shared" si="169"/>
        <v>Excellent</v>
      </c>
      <c r="S2155" t="s">
        <v>600</v>
      </c>
    </row>
    <row r="2156" spans="1:19" x14ac:dyDescent="0.2">
      <c r="A2156" t="s">
        <v>2767</v>
      </c>
      <c r="B2156" t="s">
        <v>67</v>
      </c>
      <c r="C2156" t="s">
        <v>597</v>
      </c>
      <c r="D2156">
        <v>420</v>
      </c>
      <c r="E2156" s="37" t="str">
        <f t="shared" si="165"/>
        <v xml:space="preserve"> </v>
      </c>
      <c r="F2156">
        <v>0.46</v>
      </c>
      <c r="G2156" s="37" t="str">
        <f t="shared" si="166"/>
        <v>Heavy Discount</v>
      </c>
      <c r="H2156" s="37" t="str">
        <f t="shared" si="167"/>
        <v>High</v>
      </c>
      <c r="I2156">
        <v>1</v>
      </c>
      <c r="J2156" t="str" cm="1">
        <f t="array" ref="J2156">_xlfn.IFS(I2156&lt;=3,"small",I2156&lt;=6,"Medium",I2156&lt;=9,"Large")</f>
        <v>small</v>
      </c>
      <c r="K2156" s="36">
        <v>44956</v>
      </c>
      <c r="L2156" s="36">
        <v>44958</v>
      </c>
      <c r="M2156" t="s">
        <v>612</v>
      </c>
      <c r="N2156" t="s">
        <v>608</v>
      </c>
      <c r="O2156" s="37" t="str">
        <f t="shared" si="168"/>
        <v>Cash Payment</v>
      </c>
      <c r="P2156">
        <v>115.7</v>
      </c>
      <c r="Q2156" s="37" t="str">
        <f>IF(P2156&gt;500,"High","low")</f>
        <v>low</v>
      </c>
      <c r="R2156" s="37" t="str">
        <f t="shared" si="169"/>
        <v>AVERAGE</v>
      </c>
      <c r="S2156" t="s">
        <v>600</v>
      </c>
    </row>
    <row r="2157" spans="1:19" x14ac:dyDescent="0.2">
      <c r="A2157" t="s">
        <v>2768</v>
      </c>
      <c r="B2157" t="s">
        <v>67</v>
      </c>
      <c r="C2157" t="s">
        <v>597</v>
      </c>
      <c r="D2157">
        <v>3988.99</v>
      </c>
      <c r="E2157" s="37" t="str">
        <f t="shared" si="165"/>
        <v xml:space="preserve"> </v>
      </c>
      <c r="F2157">
        <v>0.12</v>
      </c>
      <c r="G2157" s="37" t="str">
        <f t="shared" si="166"/>
        <v>Normal Discount</v>
      </c>
      <c r="H2157" s="37" t="str">
        <f t="shared" si="167"/>
        <v>Low</v>
      </c>
      <c r="I2157">
        <v>5</v>
      </c>
      <c r="J2157" t="str" cm="1">
        <f t="array" ref="J2157">_xlfn.IFS(I2157&lt;=3,"small",I2157&lt;=6,"Medium",I2157&lt;=9,"Large")</f>
        <v>Medium</v>
      </c>
      <c r="K2157" s="36">
        <v>45223</v>
      </c>
      <c r="L2157" s="36">
        <v>45230</v>
      </c>
      <c r="M2157" t="s">
        <v>598</v>
      </c>
      <c r="N2157" t="s">
        <v>599</v>
      </c>
      <c r="O2157" s="37" t="str">
        <f t="shared" si="168"/>
        <v>Digital Payment</v>
      </c>
      <c r="P2157">
        <v>1017.66</v>
      </c>
      <c r="Q2157" s="37" t="str">
        <f>IF(P2157&gt;500,"High","low")</f>
        <v>High</v>
      </c>
      <c r="R2157" s="37" t="str">
        <f t="shared" si="169"/>
        <v>Excellent</v>
      </c>
      <c r="S2157" t="s">
        <v>609</v>
      </c>
    </row>
    <row r="2158" spans="1:19" x14ac:dyDescent="0.2">
      <c r="A2158" t="s">
        <v>2769</v>
      </c>
      <c r="B2158" t="s">
        <v>67</v>
      </c>
      <c r="C2158" t="s">
        <v>597</v>
      </c>
      <c r="D2158">
        <v>2234.7600000000002</v>
      </c>
      <c r="E2158" s="37" t="str">
        <f t="shared" si="165"/>
        <v xml:space="preserve"> </v>
      </c>
      <c r="F2158">
        <v>0.48</v>
      </c>
      <c r="G2158" s="37" t="str">
        <f t="shared" si="166"/>
        <v>Heavy Discount</v>
      </c>
      <c r="H2158" s="37" t="str">
        <f t="shared" si="167"/>
        <v>High</v>
      </c>
      <c r="I2158">
        <v>5</v>
      </c>
      <c r="J2158" t="str" cm="1">
        <f t="array" ref="J2158">_xlfn.IFS(I2158&lt;=3,"small",I2158&lt;=6,"Medium",I2158&lt;=9,"Large")</f>
        <v>Medium</v>
      </c>
      <c r="K2158" s="36">
        <v>45229</v>
      </c>
      <c r="L2158" s="36">
        <v>45231</v>
      </c>
      <c r="M2158" t="s">
        <v>598</v>
      </c>
      <c r="N2158" t="s">
        <v>608</v>
      </c>
      <c r="O2158" s="37" t="str">
        <f t="shared" si="168"/>
        <v>Cash Payment</v>
      </c>
      <c r="P2158">
        <v>485.3</v>
      </c>
      <c r="Q2158" s="37" t="str">
        <f>IF(P2158&gt;500,"High","low")</f>
        <v>low</v>
      </c>
      <c r="R2158" s="37" t="str">
        <f t="shared" si="169"/>
        <v>AVERAGE</v>
      </c>
      <c r="S2158" t="s">
        <v>609</v>
      </c>
    </row>
    <row r="2159" spans="1:19" x14ac:dyDescent="0.2">
      <c r="A2159" t="s">
        <v>2770</v>
      </c>
      <c r="B2159" t="s">
        <v>90</v>
      </c>
      <c r="C2159" t="s">
        <v>607</v>
      </c>
      <c r="D2159">
        <v>971.66</v>
      </c>
      <c r="E2159" s="37" t="str">
        <f t="shared" si="165"/>
        <v xml:space="preserve"> </v>
      </c>
      <c r="F2159">
        <v>0.11</v>
      </c>
      <c r="G2159" s="37" t="str">
        <f t="shared" si="166"/>
        <v>Normal Discount</v>
      </c>
      <c r="H2159" s="37" t="str">
        <f t="shared" si="167"/>
        <v>Low</v>
      </c>
      <c r="I2159">
        <v>6</v>
      </c>
      <c r="J2159" t="str" cm="1">
        <f t="array" ref="J2159">_xlfn.IFS(I2159&lt;=3,"small",I2159&lt;=6,"Medium",I2159&lt;=9,"Large")</f>
        <v>Medium</v>
      </c>
      <c r="K2159" s="36">
        <v>45186</v>
      </c>
      <c r="L2159" s="36">
        <v>45193</v>
      </c>
      <c r="M2159" t="s">
        <v>612</v>
      </c>
      <c r="N2159" t="s">
        <v>599</v>
      </c>
      <c r="O2159" s="37" t="str">
        <f t="shared" si="168"/>
        <v>Digital Payment</v>
      </c>
      <c r="P2159">
        <v>180.44</v>
      </c>
      <c r="Q2159" s="37" t="str">
        <f>IF(P2159&gt;500,"High","low")</f>
        <v>low</v>
      </c>
      <c r="R2159" s="37" t="str">
        <f t="shared" si="169"/>
        <v>AVERAGE</v>
      </c>
      <c r="S2159" t="s">
        <v>620</v>
      </c>
    </row>
    <row r="2160" spans="1:19" x14ac:dyDescent="0.2">
      <c r="A2160" t="s">
        <v>2771</v>
      </c>
      <c r="B2160" t="s">
        <v>83</v>
      </c>
      <c r="C2160" t="s">
        <v>614</v>
      </c>
      <c r="D2160">
        <v>489.07</v>
      </c>
      <c r="E2160" s="37" t="str">
        <f t="shared" si="165"/>
        <v xml:space="preserve"> </v>
      </c>
      <c r="F2160">
        <v>0.19</v>
      </c>
      <c r="G2160" s="37" t="str">
        <f t="shared" si="166"/>
        <v>Normal Discount</v>
      </c>
      <c r="H2160" s="37" t="str">
        <f t="shared" si="167"/>
        <v>Low</v>
      </c>
      <c r="I2160">
        <v>7</v>
      </c>
      <c r="J2160" t="str" cm="1">
        <f t="array" ref="J2160">_xlfn.IFS(I2160&lt;=3,"small",I2160&lt;=6,"Medium",I2160&lt;=9,"Large")</f>
        <v>Large</v>
      </c>
      <c r="K2160" s="36">
        <v>45532</v>
      </c>
      <c r="L2160" s="36">
        <v>45533</v>
      </c>
      <c r="M2160" t="s">
        <v>598</v>
      </c>
      <c r="N2160" t="s">
        <v>599</v>
      </c>
      <c r="O2160" s="37" t="str">
        <f t="shared" si="168"/>
        <v>Digital Payment</v>
      </c>
      <c r="P2160">
        <v>81.27</v>
      </c>
      <c r="Q2160" s="37" t="str">
        <f>IF(P2160&gt;500,"High","low")</f>
        <v>low</v>
      </c>
      <c r="R2160" s="37" t="str">
        <f t="shared" si="169"/>
        <v>AVERAGE</v>
      </c>
      <c r="S2160" t="s">
        <v>628</v>
      </c>
    </row>
    <row r="2161" spans="1:19" x14ac:dyDescent="0.2">
      <c r="A2161" t="s">
        <v>2772</v>
      </c>
      <c r="B2161" t="s">
        <v>75</v>
      </c>
      <c r="C2161" t="s">
        <v>602</v>
      </c>
      <c r="D2161">
        <v>2008.78</v>
      </c>
      <c r="E2161" s="37" t="str">
        <f t="shared" si="165"/>
        <v xml:space="preserve"> </v>
      </c>
      <c r="F2161">
        <v>0.01</v>
      </c>
      <c r="G2161" s="37" t="str">
        <f t="shared" si="166"/>
        <v>Normal Discount</v>
      </c>
      <c r="H2161" s="37" t="str">
        <f t="shared" si="167"/>
        <v>Low</v>
      </c>
      <c r="I2161">
        <v>3</v>
      </c>
      <c r="J2161" t="str" cm="1">
        <f t="array" ref="J2161">_xlfn.IFS(I2161&lt;=3,"small",I2161&lt;=6,"Medium",I2161&lt;=9,"Large")</f>
        <v>small</v>
      </c>
      <c r="K2161" s="36">
        <v>45358</v>
      </c>
      <c r="L2161" s="36">
        <v>45365</v>
      </c>
      <c r="M2161" t="s">
        <v>603</v>
      </c>
      <c r="N2161" t="s">
        <v>599</v>
      </c>
      <c r="O2161" s="37" t="str">
        <f t="shared" si="168"/>
        <v>Digital Payment</v>
      </c>
      <c r="P2161">
        <v>179.47</v>
      </c>
      <c r="Q2161" s="37" t="str">
        <f>IF(P2161&gt;500,"High","low")</f>
        <v>low</v>
      </c>
      <c r="R2161" s="37" t="str">
        <f t="shared" si="169"/>
        <v>AVERAGE</v>
      </c>
      <c r="S2161" t="s">
        <v>620</v>
      </c>
    </row>
    <row r="2162" spans="1:19" x14ac:dyDescent="0.2">
      <c r="A2162" t="s">
        <v>2773</v>
      </c>
      <c r="B2162" t="s">
        <v>75</v>
      </c>
      <c r="C2162" t="s">
        <v>614</v>
      </c>
      <c r="D2162">
        <v>2007.69</v>
      </c>
      <c r="E2162" s="37" t="str">
        <f t="shared" si="165"/>
        <v xml:space="preserve"> </v>
      </c>
      <c r="F2162">
        <v>0.45</v>
      </c>
      <c r="G2162" s="37" t="str">
        <f t="shared" si="166"/>
        <v>Heavy Discount</v>
      </c>
      <c r="H2162" s="37" t="str">
        <f t="shared" si="167"/>
        <v>High</v>
      </c>
      <c r="I2162">
        <v>5</v>
      </c>
      <c r="J2162" t="str" cm="1">
        <f t="array" ref="J2162">_xlfn.IFS(I2162&lt;=3,"small",I2162&lt;=6,"Medium",I2162&lt;=9,"Large")</f>
        <v>Medium</v>
      </c>
      <c r="K2162" s="36">
        <v>45239</v>
      </c>
      <c r="L2162" s="36">
        <v>45245</v>
      </c>
      <c r="M2162" t="s">
        <v>603</v>
      </c>
      <c r="N2162" t="s">
        <v>604</v>
      </c>
      <c r="O2162" s="37" t="str">
        <f t="shared" si="168"/>
        <v>Digital Payment</v>
      </c>
      <c r="P2162">
        <v>159.74</v>
      </c>
      <c r="Q2162" s="37" t="str">
        <f>IF(P2162&gt;500,"High","low")</f>
        <v>low</v>
      </c>
      <c r="R2162" s="37" t="str">
        <f t="shared" si="169"/>
        <v>AVERAGE</v>
      </c>
      <c r="S2162" t="s">
        <v>615</v>
      </c>
    </row>
    <row r="2163" spans="1:19" x14ac:dyDescent="0.2">
      <c r="A2163" t="s">
        <v>2774</v>
      </c>
      <c r="B2163" t="s">
        <v>75</v>
      </c>
      <c r="C2163" t="s">
        <v>614</v>
      </c>
      <c r="D2163">
        <v>1226.79</v>
      </c>
      <c r="E2163" s="37" t="str">
        <f t="shared" si="165"/>
        <v xml:space="preserve"> </v>
      </c>
      <c r="F2163">
        <v>0.05</v>
      </c>
      <c r="G2163" s="37" t="str">
        <f t="shared" si="166"/>
        <v>Normal Discount</v>
      </c>
      <c r="H2163" s="37" t="str">
        <f t="shared" si="167"/>
        <v>Low</v>
      </c>
      <c r="I2163">
        <v>8</v>
      </c>
      <c r="J2163" t="str" cm="1">
        <f t="array" ref="J2163">_xlfn.IFS(I2163&lt;=3,"small",I2163&lt;=6,"Medium",I2163&lt;=9,"Large")</f>
        <v>Large</v>
      </c>
      <c r="K2163" s="36">
        <v>45168</v>
      </c>
      <c r="L2163" s="36">
        <v>45174</v>
      </c>
      <c r="M2163" t="s">
        <v>598</v>
      </c>
      <c r="N2163" t="s">
        <v>608</v>
      </c>
      <c r="O2163" s="37" t="str">
        <f t="shared" si="168"/>
        <v>Cash Payment</v>
      </c>
      <c r="P2163">
        <v>309</v>
      </c>
      <c r="Q2163" s="37" t="str">
        <f>IF(P2163&gt;500,"High","low")</f>
        <v>low</v>
      </c>
      <c r="R2163" s="37" t="str">
        <f t="shared" si="169"/>
        <v>AVERAGE</v>
      </c>
      <c r="S2163" t="s">
        <v>609</v>
      </c>
    </row>
    <row r="2164" spans="1:19" x14ac:dyDescent="0.2">
      <c r="A2164" t="s">
        <v>2775</v>
      </c>
      <c r="B2164" t="s">
        <v>90</v>
      </c>
      <c r="C2164" t="s">
        <v>617</v>
      </c>
      <c r="D2164">
        <v>1156.03</v>
      </c>
      <c r="E2164" s="37" t="str">
        <f t="shared" si="165"/>
        <v xml:space="preserve"> </v>
      </c>
      <c r="F2164">
        <v>0.18</v>
      </c>
      <c r="G2164" s="37" t="str">
        <f t="shared" si="166"/>
        <v>Normal Discount</v>
      </c>
      <c r="H2164" s="37" t="str">
        <f t="shared" si="167"/>
        <v>Low</v>
      </c>
      <c r="I2164">
        <v>6</v>
      </c>
      <c r="J2164" t="str" cm="1">
        <f t="array" ref="J2164">_xlfn.IFS(I2164&lt;=3,"small",I2164&lt;=6,"Medium",I2164&lt;=9,"Large")</f>
        <v>Medium</v>
      </c>
      <c r="K2164" s="36">
        <v>45657</v>
      </c>
      <c r="L2164" s="36">
        <v>45659</v>
      </c>
      <c r="M2164" t="s">
        <v>598</v>
      </c>
      <c r="N2164" t="s">
        <v>599</v>
      </c>
      <c r="O2164" s="37" t="str">
        <f t="shared" si="168"/>
        <v>Digital Payment</v>
      </c>
      <c r="P2164">
        <v>285.98</v>
      </c>
      <c r="Q2164" s="37" t="str">
        <f>IF(P2164&gt;500,"High","low")</f>
        <v>low</v>
      </c>
      <c r="R2164" s="37" t="str">
        <f t="shared" si="169"/>
        <v>AVERAGE</v>
      </c>
      <c r="S2164" t="s">
        <v>609</v>
      </c>
    </row>
    <row r="2165" spans="1:19" x14ac:dyDescent="0.2">
      <c r="A2165" t="s">
        <v>2776</v>
      </c>
      <c r="B2165" t="s">
        <v>67</v>
      </c>
      <c r="C2165" t="s">
        <v>607</v>
      </c>
      <c r="D2165">
        <v>2057.62</v>
      </c>
      <c r="E2165" s="37" t="str">
        <f t="shared" si="165"/>
        <v xml:space="preserve"> </v>
      </c>
      <c r="F2165">
        <v>0.42</v>
      </c>
      <c r="G2165" s="37" t="str">
        <f t="shared" si="166"/>
        <v>Heavy Discount</v>
      </c>
      <c r="H2165" s="37" t="str">
        <f t="shared" si="167"/>
        <v>High</v>
      </c>
      <c r="I2165">
        <v>2</v>
      </c>
      <c r="J2165" t="str" cm="1">
        <f t="array" ref="J2165">_xlfn.IFS(I2165&lt;=3,"small",I2165&lt;=6,"Medium",I2165&lt;=9,"Large")</f>
        <v>small</v>
      </c>
      <c r="K2165" s="36">
        <v>45454</v>
      </c>
      <c r="L2165" s="36">
        <v>45456</v>
      </c>
      <c r="M2165" t="s">
        <v>603</v>
      </c>
      <c r="N2165" t="s">
        <v>604</v>
      </c>
      <c r="O2165" s="37" t="str">
        <f t="shared" si="168"/>
        <v>Digital Payment</v>
      </c>
      <c r="P2165">
        <v>112.06</v>
      </c>
      <c r="Q2165" s="37" t="str">
        <f>IF(P2165&gt;500,"High","low")</f>
        <v>low</v>
      </c>
      <c r="R2165" s="37" t="str">
        <f t="shared" si="169"/>
        <v>AVERAGE</v>
      </c>
      <c r="S2165" t="s">
        <v>620</v>
      </c>
    </row>
    <row r="2166" spans="1:19" x14ac:dyDescent="0.2">
      <c r="A2166" t="s">
        <v>2777</v>
      </c>
      <c r="B2166" t="s">
        <v>83</v>
      </c>
      <c r="C2166" t="s">
        <v>617</v>
      </c>
      <c r="D2166">
        <v>2109.56</v>
      </c>
      <c r="E2166" s="37" t="str">
        <f t="shared" si="165"/>
        <v xml:space="preserve"> </v>
      </c>
      <c r="F2166">
        <v>0.4</v>
      </c>
      <c r="G2166" s="37" t="str">
        <f t="shared" si="166"/>
        <v>Heavy Discount</v>
      </c>
      <c r="H2166" s="37" t="str">
        <f t="shared" si="167"/>
        <v>Medium</v>
      </c>
      <c r="I2166">
        <v>7</v>
      </c>
      <c r="J2166" t="str" cm="1">
        <f t="array" ref="J2166">_xlfn.IFS(I2166&lt;=3,"small",I2166&lt;=6,"Medium",I2166&lt;=9,"Large")</f>
        <v>Large</v>
      </c>
      <c r="K2166" s="36">
        <v>45418</v>
      </c>
      <c r="L2166" s="36">
        <v>45420</v>
      </c>
      <c r="M2166" t="s">
        <v>612</v>
      </c>
      <c r="N2166" t="s">
        <v>604</v>
      </c>
      <c r="O2166" s="37" t="str">
        <f t="shared" si="168"/>
        <v>Digital Payment</v>
      </c>
      <c r="P2166">
        <v>379.79</v>
      </c>
      <c r="Q2166" s="37" t="str">
        <f>IF(P2166&gt;500,"High","low")</f>
        <v>low</v>
      </c>
      <c r="R2166" s="37" t="str">
        <f t="shared" si="169"/>
        <v>AVERAGE</v>
      </c>
      <c r="S2166" t="s">
        <v>620</v>
      </c>
    </row>
    <row r="2167" spans="1:19" x14ac:dyDescent="0.2">
      <c r="A2167" t="s">
        <v>2778</v>
      </c>
      <c r="B2167" t="s">
        <v>90</v>
      </c>
      <c r="C2167" t="s">
        <v>607</v>
      </c>
      <c r="D2167">
        <v>2267.59</v>
      </c>
      <c r="E2167" s="37" t="str">
        <f t="shared" si="165"/>
        <v xml:space="preserve"> </v>
      </c>
      <c r="F2167">
        <v>0.42</v>
      </c>
      <c r="G2167" s="37" t="str">
        <f t="shared" si="166"/>
        <v>Heavy Discount</v>
      </c>
      <c r="H2167" s="37" t="str">
        <f t="shared" si="167"/>
        <v>High</v>
      </c>
      <c r="I2167">
        <v>3</v>
      </c>
      <c r="J2167" t="str" cm="1">
        <f t="array" ref="J2167">_xlfn.IFS(I2167&lt;=3,"small",I2167&lt;=6,"Medium",I2167&lt;=9,"Large")</f>
        <v>small</v>
      </c>
      <c r="K2167" s="36">
        <v>45237</v>
      </c>
      <c r="L2167" s="36">
        <v>45243</v>
      </c>
      <c r="M2167" t="s">
        <v>603</v>
      </c>
      <c r="N2167" t="s">
        <v>608</v>
      </c>
      <c r="O2167" s="37" t="str">
        <f t="shared" si="168"/>
        <v>Cash Payment</v>
      </c>
      <c r="P2167">
        <v>199.3</v>
      </c>
      <c r="Q2167" s="37" t="str">
        <f>IF(P2167&gt;500,"High","low")</f>
        <v>low</v>
      </c>
      <c r="R2167" s="37" t="str">
        <f t="shared" si="169"/>
        <v>AVERAGE</v>
      </c>
      <c r="S2167" t="s">
        <v>600</v>
      </c>
    </row>
    <row r="2168" spans="1:19" x14ac:dyDescent="0.2">
      <c r="A2168" t="s">
        <v>2779</v>
      </c>
      <c r="B2168" t="s">
        <v>67</v>
      </c>
      <c r="C2168" t="s">
        <v>614</v>
      </c>
      <c r="D2168">
        <v>4356.92</v>
      </c>
      <c r="E2168" s="37" t="str">
        <f t="shared" si="165"/>
        <v>Excellent Order</v>
      </c>
      <c r="F2168">
        <v>0.46</v>
      </c>
      <c r="G2168" s="37" t="str">
        <f t="shared" si="166"/>
        <v>Heavy Discount</v>
      </c>
      <c r="H2168" s="37" t="str">
        <f t="shared" si="167"/>
        <v>High</v>
      </c>
      <c r="I2168">
        <v>9</v>
      </c>
      <c r="J2168" t="str" cm="1">
        <f t="array" ref="J2168">_xlfn.IFS(I2168&lt;=3,"small",I2168&lt;=6,"Medium",I2168&lt;=9,"Large")</f>
        <v>Large</v>
      </c>
      <c r="K2168" s="36">
        <v>45585</v>
      </c>
      <c r="L2168" s="36">
        <v>45590</v>
      </c>
      <c r="M2168" t="s">
        <v>612</v>
      </c>
      <c r="N2168" t="s">
        <v>608</v>
      </c>
      <c r="O2168" s="37" t="str">
        <f t="shared" si="168"/>
        <v>Cash Payment</v>
      </c>
      <c r="P2168">
        <v>1053.17</v>
      </c>
      <c r="Q2168" s="37" t="str">
        <f>IF(P2168&gt;500,"High","low")</f>
        <v>High</v>
      </c>
      <c r="R2168" s="37" t="str">
        <f t="shared" si="169"/>
        <v>Excellent</v>
      </c>
      <c r="S2168" t="s">
        <v>605</v>
      </c>
    </row>
    <row r="2169" spans="1:19" x14ac:dyDescent="0.2">
      <c r="A2169" t="s">
        <v>2780</v>
      </c>
      <c r="B2169" t="s">
        <v>90</v>
      </c>
      <c r="C2169" t="s">
        <v>614</v>
      </c>
      <c r="D2169">
        <v>3095.15</v>
      </c>
      <c r="E2169" s="37" t="str">
        <f t="shared" si="165"/>
        <v xml:space="preserve"> </v>
      </c>
      <c r="F2169">
        <v>0.46</v>
      </c>
      <c r="G2169" s="37" t="str">
        <f t="shared" si="166"/>
        <v>Heavy Discount</v>
      </c>
      <c r="H2169" s="37" t="str">
        <f t="shared" si="167"/>
        <v>High</v>
      </c>
      <c r="I2169">
        <v>4</v>
      </c>
      <c r="J2169" t="str" cm="1">
        <f t="array" ref="J2169">_xlfn.IFS(I2169&lt;=3,"small",I2169&lt;=6,"Medium",I2169&lt;=9,"Large")</f>
        <v>Medium</v>
      </c>
      <c r="K2169" s="36">
        <v>45072</v>
      </c>
      <c r="L2169" s="36">
        <v>45075</v>
      </c>
      <c r="M2169" t="s">
        <v>612</v>
      </c>
      <c r="N2169" t="s">
        <v>604</v>
      </c>
      <c r="O2169" s="37" t="str">
        <f t="shared" si="168"/>
        <v>Digital Payment</v>
      </c>
      <c r="P2169">
        <v>296.87</v>
      </c>
      <c r="Q2169" s="37" t="str">
        <f>IF(P2169&gt;500,"High","low")</f>
        <v>low</v>
      </c>
      <c r="R2169" s="37" t="str">
        <f t="shared" si="169"/>
        <v>AVERAGE</v>
      </c>
      <c r="S2169" t="s">
        <v>620</v>
      </c>
    </row>
    <row r="2170" spans="1:19" x14ac:dyDescent="0.2">
      <c r="A2170" t="s">
        <v>2781</v>
      </c>
      <c r="B2170" t="s">
        <v>83</v>
      </c>
      <c r="C2170" t="s">
        <v>607</v>
      </c>
      <c r="D2170">
        <v>200.12</v>
      </c>
      <c r="E2170" s="37" t="str">
        <f t="shared" si="165"/>
        <v xml:space="preserve"> </v>
      </c>
      <c r="F2170">
        <v>0.39</v>
      </c>
      <c r="G2170" s="37" t="str">
        <f t="shared" si="166"/>
        <v>Heavy Discount</v>
      </c>
      <c r="H2170" s="37" t="str">
        <f t="shared" si="167"/>
        <v>Medium</v>
      </c>
      <c r="I2170">
        <v>4</v>
      </c>
      <c r="J2170" t="str" cm="1">
        <f t="array" ref="J2170">_xlfn.IFS(I2170&lt;=3,"small",I2170&lt;=6,"Medium",I2170&lt;=9,"Large")</f>
        <v>Medium</v>
      </c>
      <c r="K2170" s="36">
        <v>45656</v>
      </c>
      <c r="L2170" s="36">
        <v>45657</v>
      </c>
      <c r="M2170" t="s">
        <v>612</v>
      </c>
      <c r="N2170" t="s">
        <v>608</v>
      </c>
      <c r="O2170" s="37" t="str">
        <f t="shared" si="168"/>
        <v>Cash Payment</v>
      </c>
      <c r="P2170">
        <v>35.65</v>
      </c>
      <c r="Q2170" s="37" t="str">
        <f>IF(P2170&gt;500,"High","low")</f>
        <v>low</v>
      </c>
      <c r="R2170" s="37" t="str">
        <f t="shared" si="169"/>
        <v>AVERAGE</v>
      </c>
      <c r="S2170" t="s">
        <v>615</v>
      </c>
    </row>
    <row r="2171" spans="1:19" x14ac:dyDescent="0.2">
      <c r="A2171" t="s">
        <v>2782</v>
      </c>
      <c r="B2171" t="s">
        <v>67</v>
      </c>
      <c r="C2171" t="s">
        <v>614</v>
      </c>
      <c r="D2171">
        <v>2643.59</v>
      </c>
      <c r="E2171" s="37" t="str">
        <f t="shared" si="165"/>
        <v xml:space="preserve"> </v>
      </c>
      <c r="F2171">
        <v>0.28999999999999998</v>
      </c>
      <c r="G2171" s="37" t="str">
        <f t="shared" si="166"/>
        <v>Normal Discount</v>
      </c>
      <c r="H2171" s="37" t="str">
        <f t="shared" si="167"/>
        <v>Medium</v>
      </c>
      <c r="I2171">
        <v>4</v>
      </c>
      <c r="J2171" t="str" cm="1">
        <f t="array" ref="J2171">_xlfn.IFS(I2171&lt;=3,"small",I2171&lt;=6,"Medium",I2171&lt;=9,"Large")</f>
        <v>Medium</v>
      </c>
      <c r="K2171" s="36">
        <v>45077</v>
      </c>
      <c r="L2171" s="36">
        <v>45078</v>
      </c>
      <c r="M2171" t="s">
        <v>612</v>
      </c>
      <c r="N2171" t="s">
        <v>599</v>
      </c>
      <c r="O2171" s="37" t="str">
        <f t="shared" si="168"/>
        <v>Digital Payment</v>
      </c>
      <c r="P2171">
        <v>577.05999999999995</v>
      </c>
      <c r="Q2171" s="37" t="str">
        <f>IF(P2171&gt;500,"High","low")</f>
        <v>High</v>
      </c>
      <c r="R2171" s="37" t="str">
        <f t="shared" si="169"/>
        <v>Good</v>
      </c>
      <c r="S2171" t="s">
        <v>600</v>
      </c>
    </row>
    <row r="2172" spans="1:19" x14ac:dyDescent="0.2">
      <c r="A2172" t="s">
        <v>2783</v>
      </c>
      <c r="B2172" t="s">
        <v>90</v>
      </c>
      <c r="C2172" t="s">
        <v>614</v>
      </c>
      <c r="D2172">
        <v>3836.01</v>
      </c>
      <c r="E2172" s="37" t="str">
        <f t="shared" si="165"/>
        <v xml:space="preserve"> </v>
      </c>
      <c r="F2172">
        <v>0.28000000000000003</v>
      </c>
      <c r="G2172" s="37" t="str">
        <f t="shared" si="166"/>
        <v>Normal Discount</v>
      </c>
      <c r="H2172" s="37" t="str">
        <f t="shared" si="167"/>
        <v>Medium</v>
      </c>
      <c r="I2172">
        <v>8</v>
      </c>
      <c r="J2172" t="str" cm="1">
        <f t="array" ref="J2172">_xlfn.IFS(I2172&lt;=3,"small",I2172&lt;=6,"Medium",I2172&lt;=9,"Large")</f>
        <v>Large</v>
      </c>
      <c r="K2172" s="36">
        <v>45389</v>
      </c>
      <c r="L2172" s="36">
        <v>45390</v>
      </c>
      <c r="M2172" t="s">
        <v>612</v>
      </c>
      <c r="N2172" t="s">
        <v>599</v>
      </c>
      <c r="O2172" s="37" t="str">
        <f t="shared" si="168"/>
        <v>Digital Payment</v>
      </c>
      <c r="P2172">
        <v>566.22</v>
      </c>
      <c r="Q2172" s="37" t="str">
        <f>IF(P2172&gt;500,"High","low")</f>
        <v>High</v>
      </c>
      <c r="R2172" s="37" t="str">
        <f t="shared" si="169"/>
        <v>Good</v>
      </c>
      <c r="S2172" t="s">
        <v>605</v>
      </c>
    </row>
    <row r="2173" spans="1:19" x14ac:dyDescent="0.2">
      <c r="A2173" t="s">
        <v>2784</v>
      </c>
      <c r="B2173" t="s">
        <v>83</v>
      </c>
      <c r="C2173" t="s">
        <v>602</v>
      </c>
      <c r="D2173">
        <v>376.43</v>
      </c>
      <c r="E2173" s="37" t="str">
        <f t="shared" si="165"/>
        <v xml:space="preserve"> </v>
      </c>
      <c r="F2173">
        <v>0.01</v>
      </c>
      <c r="G2173" s="37" t="str">
        <f t="shared" si="166"/>
        <v>Normal Discount</v>
      </c>
      <c r="H2173" s="37" t="str">
        <f t="shared" si="167"/>
        <v>Low</v>
      </c>
      <c r="I2173">
        <v>1</v>
      </c>
      <c r="J2173" t="str" cm="1">
        <f t="array" ref="J2173">_xlfn.IFS(I2173&lt;=3,"small",I2173&lt;=6,"Medium",I2173&lt;=9,"Large")</f>
        <v>small</v>
      </c>
      <c r="K2173" s="36">
        <v>44937</v>
      </c>
      <c r="L2173" s="36">
        <v>44941</v>
      </c>
      <c r="M2173" t="s">
        <v>612</v>
      </c>
      <c r="N2173" t="s">
        <v>604</v>
      </c>
      <c r="O2173" s="37" t="str">
        <f t="shared" si="168"/>
        <v>Digital Payment</v>
      </c>
      <c r="P2173">
        <v>81.99</v>
      </c>
      <c r="Q2173" s="37" t="str">
        <f>IF(P2173&gt;500,"High","low")</f>
        <v>low</v>
      </c>
      <c r="R2173" s="37" t="str">
        <f t="shared" si="169"/>
        <v>AVERAGE</v>
      </c>
      <c r="S2173" t="s">
        <v>600</v>
      </c>
    </row>
    <row r="2174" spans="1:19" x14ac:dyDescent="0.2">
      <c r="A2174" t="s">
        <v>2785</v>
      </c>
      <c r="B2174" t="s">
        <v>75</v>
      </c>
      <c r="C2174" t="s">
        <v>617</v>
      </c>
      <c r="D2174">
        <v>2170.7800000000002</v>
      </c>
      <c r="E2174" s="37" t="str">
        <f t="shared" si="165"/>
        <v xml:space="preserve"> </v>
      </c>
      <c r="F2174">
        <v>0.36</v>
      </c>
      <c r="G2174" s="37" t="str">
        <f t="shared" si="166"/>
        <v>Heavy Discount</v>
      </c>
      <c r="H2174" s="37" t="str">
        <f t="shared" si="167"/>
        <v>Medium</v>
      </c>
      <c r="I2174">
        <v>3</v>
      </c>
      <c r="J2174" t="str" cm="1">
        <f t="array" ref="J2174">_xlfn.IFS(I2174&lt;=3,"small",I2174&lt;=6,"Medium",I2174&lt;=9,"Large")</f>
        <v>small</v>
      </c>
      <c r="K2174" s="36">
        <v>45353</v>
      </c>
      <c r="L2174" s="36">
        <v>45356</v>
      </c>
      <c r="M2174" t="s">
        <v>598</v>
      </c>
      <c r="N2174" t="s">
        <v>599</v>
      </c>
      <c r="O2174" s="37" t="str">
        <f t="shared" si="168"/>
        <v>Digital Payment</v>
      </c>
      <c r="P2174">
        <v>604.61</v>
      </c>
      <c r="Q2174" s="37" t="str">
        <f>IF(P2174&gt;500,"High","low")</f>
        <v>High</v>
      </c>
      <c r="R2174" s="37" t="str">
        <f t="shared" si="169"/>
        <v>Good</v>
      </c>
      <c r="S2174" t="s">
        <v>600</v>
      </c>
    </row>
    <row r="2175" spans="1:19" x14ac:dyDescent="0.2">
      <c r="A2175" t="s">
        <v>2786</v>
      </c>
      <c r="B2175" t="s">
        <v>83</v>
      </c>
      <c r="C2175" t="s">
        <v>617</v>
      </c>
      <c r="D2175">
        <v>2310.9299999999998</v>
      </c>
      <c r="E2175" s="37" t="str">
        <f t="shared" si="165"/>
        <v xml:space="preserve"> </v>
      </c>
      <c r="F2175">
        <v>0.11</v>
      </c>
      <c r="G2175" s="37" t="str">
        <f t="shared" si="166"/>
        <v>Normal Discount</v>
      </c>
      <c r="H2175" s="37" t="str">
        <f t="shared" si="167"/>
        <v>Low</v>
      </c>
      <c r="I2175">
        <v>8</v>
      </c>
      <c r="J2175" t="str" cm="1">
        <f t="array" ref="J2175">_xlfn.IFS(I2175&lt;=3,"small",I2175&lt;=6,"Medium",I2175&lt;=9,"Large")</f>
        <v>Large</v>
      </c>
      <c r="K2175" s="36">
        <v>45227</v>
      </c>
      <c r="L2175" s="36">
        <v>45232</v>
      </c>
      <c r="M2175" t="s">
        <v>603</v>
      </c>
      <c r="N2175" t="s">
        <v>599</v>
      </c>
      <c r="O2175" s="37" t="str">
        <f t="shared" si="168"/>
        <v>Digital Payment</v>
      </c>
      <c r="P2175">
        <v>531.38</v>
      </c>
      <c r="Q2175" s="37" t="str">
        <f>IF(P2175&gt;500,"High","low")</f>
        <v>High</v>
      </c>
      <c r="R2175" s="37" t="str">
        <f t="shared" si="169"/>
        <v>Good</v>
      </c>
      <c r="S2175" t="s">
        <v>620</v>
      </c>
    </row>
    <row r="2176" spans="1:19" x14ac:dyDescent="0.2">
      <c r="A2176" t="s">
        <v>2787</v>
      </c>
      <c r="B2176" t="s">
        <v>75</v>
      </c>
      <c r="C2176" t="s">
        <v>617</v>
      </c>
      <c r="D2176">
        <v>4774.7</v>
      </c>
      <c r="E2176" s="37" t="str">
        <f t="shared" si="165"/>
        <v xml:space="preserve"> </v>
      </c>
      <c r="F2176">
        <v>0.41</v>
      </c>
      <c r="G2176" s="37" t="str">
        <f t="shared" si="166"/>
        <v>Heavy Discount</v>
      </c>
      <c r="H2176" s="37" t="str">
        <f t="shared" si="167"/>
        <v>High</v>
      </c>
      <c r="I2176">
        <v>7</v>
      </c>
      <c r="J2176" t="str" cm="1">
        <f t="array" ref="J2176">_xlfn.IFS(I2176&lt;=3,"small",I2176&lt;=6,"Medium",I2176&lt;=9,"Large")</f>
        <v>Large</v>
      </c>
      <c r="K2176" s="36">
        <v>44965</v>
      </c>
      <c r="L2176" s="36">
        <v>44971</v>
      </c>
      <c r="M2176" t="s">
        <v>603</v>
      </c>
      <c r="N2176" t="s">
        <v>599</v>
      </c>
      <c r="O2176" s="37" t="str">
        <f t="shared" si="168"/>
        <v>Digital Payment</v>
      </c>
      <c r="P2176">
        <v>623.91</v>
      </c>
      <c r="Q2176" s="37" t="str">
        <f>IF(P2176&gt;500,"High","low")</f>
        <v>High</v>
      </c>
      <c r="R2176" s="37" t="str">
        <f t="shared" si="169"/>
        <v>Good</v>
      </c>
      <c r="S2176" t="s">
        <v>628</v>
      </c>
    </row>
    <row r="2177" spans="1:19" x14ac:dyDescent="0.2">
      <c r="A2177" t="s">
        <v>2788</v>
      </c>
      <c r="B2177" t="s">
        <v>90</v>
      </c>
      <c r="C2177" t="s">
        <v>597</v>
      </c>
      <c r="D2177">
        <v>2430.85</v>
      </c>
      <c r="E2177" s="37" t="str">
        <f t="shared" si="165"/>
        <v xml:space="preserve"> </v>
      </c>
      <c r="F2177">
        <v>0.28000000000000003</v>
      </c>
      <c r="G2177" s="37" t="str">
        <f t="shared" si="166"/>
        <v>Normal Discount</v>
      </c>
      <c r="H2177" s="37" t="str">
        <f t="shared" si="167"/>
        <v>Medium</v>
      </c>
      <c r="I2177">
        <v>6</v>
      </c>
      <c r="J2177" t="str" cm="1">
        <f t="array" ref="J2177">_xlfn.IFS(I2177&lt;=3,"small",I2177&lt;=6,"Medium",I2177&lt;=9,"Large")</f>
        <v>Medium</v>
      </c>
      <c r="K2177" s="36">
        <v>45517</v>
      </c>
      <c r="L2177" s="36">
        <v>45520</v>
      </c>
      <c r="M2177" t="s">
        <v>598</v>
      </c>
      <c r="N2177" t="s">
        <v>604</v>
      </c>
      <c r="O2177" s="37" t="str">
        <f t="shared" si="168"/>
        <v>Digital Payment</v>
      </c>
      <c r="P2177">
        <v>335.53</v>
      </c>
      <c r="Q2177" s="37" t="str">
        <f>IF(P2177&gt;500,"High","low")</f>
        <v>low</v>
      </c>
      <c r="R2177" s="37" t="str">
        <f t="shared" si="169"/>
        <v>AVERAGE</v>
      </c>
      <c r="S2177" t="s">
        <v>628</v>
      </c>
    </row>
    <row r="2178" spans="1:19" x14ac:dyDescent="0.2">
      <c r="A2178" t="s">
        <v>2789</v>
      </c>
      <c r="B2178" t="s">
        <v>67</v>
      </c>
      <c r="C2178" t="s">
        <v>602</v>
      </c>
      <c r="D2178">
        <v>3774.51</v>
      </c>
      <c r="E2178" s="37" t="str">
        <f t="shared" si="165"/>
        <v xml:space="preserve"> </v>
      </c>
      <c r="F2178">
        <v>0.49</v>
      </c>
      <c r="G2178" s="37" t="str">
        <f t="shared" si="166"/>
        <v>Heavy Discount</v>
      </c>
      <c r="H2178" s="37" t="str">
        <f t="shared" si="167"/>
        <v>High</v>
      </c>
      <c r="I2178">
        <v>7</v>
      </c>
      <c r="J2178" t="str" cm="1">
        <f t="array" ref="J2178">_xlfn.IFS(I2178&lt;=3,"small",I2178&lt;=6,"Medium",I2178&lt;=9,"Large")</f>
        <v>Large</v>
      </c>
      <c r="K2178" s="36">
        <v>45391</v>
      </c>
      <c r="L2178" s="36">
        <v>45392</v>
      </c>
      <c r="M2178" t="s">
        <v>598</v>
      </c>
      <c r="N2178" t="s">
        <v>604</v>
      </c>
      <c r="O2178" s="37" t="str">
        <f t="shared" si="168"/>
        <v>Digital Payment</v>
      </c>
      <c r="P2178">
        <v>504.44</v>
      </c>
      <c r="Q2178" s="37" t="str">
        <f>IF(P2178&gt;500,"High","low")</f>
        <v>High</v>
      </c>
      <c r="R2178" s="37" t="str">
        <f t="shared" si="169"/>
        <v>Good</v>
      </c>
      <c r="S2178" t="s">
        <v>609</v>
      </c>
    </row>
    <row r="2179" spans="1:19" x14ac:dyDescent="0.2">
      <c r="A2179" t="s">
        <v>2790</v>
      </c>
      <c r="B2179" t="s">
        <v>67</v>
      </c>
      <c r="C2179" t="s">
        <v>617</v>
      </c>
      <c r="D2179">
        <v>1584.22</v>
      </c>
      <c r="E2179" s="37" t="str">
        <f t="shared" ref="E2179:E2242" si="170">IF(AND(D2179&gt;4000,P2179&gt;800),"Excellent Order"," ")</f>
        <v xml:space="preserve"> </v>
      </c>
      <c r="F2179">
        <v>0.11</v>
      </c>
      <c r="G2179" s="37" t="str">
        <f t="shared" ref="G2179:G2242" si="171">IF(F2179&gt;30%,"Heavy Discount","Normal Discount")</f>
        <v>Normal Discount</v>
      </c>
      <c r="H2179" s="37" t="str">
        <f t="shared" ref="H2179:H2242" si="172">IF(F2179&gt;0.4,"High",IF(F2179&gt;=0.2,"Medium","Low"))</f>
        <v>Low</v>
      </c>
      <c r="I2179">
        <v>1</v>
      </c>
      <c r="J2179" t="str" cm="1">
        <f t="array" ref="J2179">_xlfn.IFS(I2179&lt;=3,"small",I2179&lt;=6,"Medium",I2179&lt;=9,"Large")</f>
        <v>small</v>
      </c>
      <c r="K2179" s="36">
        <v>45078</v>
      </c>
      <c r="L2179" s="36">
        <v>45083</v>
      </c>
      <c r="M2179" t="s">
        <v>612</v>
      </c>
      <c r="N2179" t="s">
        <v>604</v>
      </c>
      <c r="O2179" s="37" t="str">
        <f t="shared" ref="O2179:O2242" si="173">IF(OR(N2179="Card",N2179="UPI"),"Digital Payment","Cash Payment")</f>
        <v>Digital Payment</v>
      </c>
      <c r="P2179">
        <v>269.39</v>
      </c>
      <c r="Q2179" s="37" t="str">
        <f>IF(P2179&gt;500,"High","low")</f>
        <v>low</v>
      </c>
      <c r="R2179" s="37" t="str">
        <f t="shared" ref="R2179:R2242" si="174">IF(P2179&gt;1000,"Excellent",IF(P2179&gt;=500,"Good","AVERAGE"))</f>
        <v>AVERAGE</v>
      </c>
      <c r="S2179" t="s">
        <v>605</v>
      </c>
    </row>
    <row r="2180" spans="1:19" x14ac:dyDescent="0.2">
      <c r="A2180" t="s">
        <v>2791</v>
      </c>
      <c r="B2180" t="s">
        <v>90</v>
      </c>
      <c r="C2180" t="s">
        <v>617</v>
      </c>
      <c r="D2180">
        <v>3918.6</v>
      </c>
      <c r="E2180" s="37" t="str">
        <f t="shared" si="170"/>
        <v xml:space="preserve"> </v>
      </c>
      <c r="F2180">
        <v>0.36</v>
      </c>
      <c r="G2180" s="37" t="str">
        <f t="shared" si="171"/>
        <v>Heavy Discount</v>
      </c>
      <c r="H2180" s="37" t="str">
        <f t="shared" si="172"/>
        <v>Medium</v>
      </c>
      <c r="I2180">
        <v>8</v>
      </c>
      <c r="J2180" t="str" cm="1">
        <f t="array" ref="J2180">_xlfn.IFS(I2180&lt;=3,"small",I2180&lt;=6,"Medium",I2180&lt;=9,"Large")</f>
        <v>Large</v>
      </c>
      <c r="K2180" s="36">
        <v>45218</v>
      </c>
      <c r="L2180" s="36">
        <v>45221</v>
      </c>
      <c r="M2180" t="s">
        <v>603</v>
      </c>
      <c r="N2180" t="s">
        <v>608</v>
      </c>
      <c r="O2180" s="37" t="str">
        <f t="shared" si="173"/>
        <v>Cash Payment</v>
      </c>
      <c r="P2180">
        <v>284.37</v>
      </c>
      <c r="Q2180" s="37" t="str">
        <f>IF(P2180&gt;500,"High","low")</f>
        <v>low</v>
      </c>
      <c r="R2180" s="37" t="str">
        <f t="shared" si="174"/>
        <v>AVERAGE</v>
      </c>
      <c r="S2180" t="s">
        <v>609</v>
      </c>
    </row>
    <row r="2181" spans="1:19" x14ac:dyDescent="0.2">
      <c r="A2181" t="s">
        <v>2792</v>
      </c>
      <c r="B2181" t="s">
        <v>67</v>
      </c>
      <c r="C2181" t="s">
        <v>602</v>
      </c>
      <c r="D2181">
        <v>1681.05</v>
      </c>
      <c r="E2181" s="37" t="str">
        <f t="shared" si="170"/>
        <v xml:space="preserve"> </v>
      </c>
      <c r="F2181">
        <v>0.27</v>
      </c>
      <c r="G2181" s="37" t="str">
        <f t="shared" si="171"/>
        <v>Normal Discount</v>
      </c>
      <c r="H2181" s="37" t="str">
        <f t="shared" si="172"/>
        <v>Medium</v>
      </c>
      <c r="I2181">
        <v>4</v>
      </c>
      <c r="J2181" t="str" cm="1">
        <f t="array" ref="J2181">_xlfn.IFS(I2181&lt;=3,"small",I2181&lt;=6,"Medium",I2181&lt;=9,"Large")</f>
        <v>Medium</v>
      </c>
      <c r="K2181" s="36">
        <v>45442</v>
      </c>
      <c r="L2181" s="36">
        <v>45449</v>
      </c>
      <c r="M2181" t="s">
        <v>612</v>
      </c>
      <c r="N2181" t="s">
        <v>599</v>
      </c>
      <c r="O2181" s="37" t="str">
        <f t="shared" si="173"/>
        <v>Digital Payment</v>
      </c>
      <c r="P2181">
        <v>92.6</v>
      </c>
      <c r="Q2181" s="37" t="str">
        <f>IF(P2181&gt;500,"High","low")</f>
        <v>low</v>
      </c>
      <c r="R2181" s="37" t="str">
        <f t="shared" si="174"/>
        <v>AVERAGE</v>
      </c>
      <c r="S2181" t="s">
        <v>609</v>
      </c>
    </row>
    <row r="2182" spans="1:19" x14ac:dyDescent="0.2">
      <c r="A2182" t="s">
        <v>2793</v>
      </c>
      <c r="B2182" t="s">
        <v>67</v>
      </c>
      <c r="C2182" t="s">
        <v>614</v>
      </c>
      <c r="D2182">
        <v>2207.12</v>
      </c>
      <c r="E2182" s="37" t="str">
        <f t="shared" si="170"/>
        <v xml:space="preserve"> </v>
      </c>
      <c r="F2182">
        <v>0.47</v>
      </c>
      <c r="G2182" s="37" t="str">
        <f t="shared" si="171"/>
        <v>Heavy Discount</v>
      </c>
      <c r="H2182" s="37" t="str">
        <f t="shared" si="172"/>
        <v>High</v>
      </c>
      <c r="I2182">
        <v>1</v>
      </c>
      <c r="J2182" t="str" cm="1">
        <f t="array" ref="J2182">_xlfn.IFS(I2182&lt;=3,"small",I2182&lt;=6,"Medium",I2182&lt;=9,"Large")</f>
        <v>small</v>
      </c>
      <c r="K2182" s="36">
        <v>45631</v>
      </c>
      <c r="L2182" s="36">
        <v>45637</v>
      </c>
      <c r="M2182" t="s">
        <v>598</v>
      </c>
      <c r="N2182" t="s">
        <v>608</v>
      </c>
      <c r="O2182" s="37" t="str">
        <f t="shared" si="173"/>
        <v>Cash Payment</v>
      </c>
      <c r="P2182">
        <v>281.43</v>
      </c>
      <c r="Q2182" s="37" t="str">
        <f>IF(P2182&gt;500,"High","low")</f>
        <v>low</v>
      </c>
      <c r="R2182" s="37" t="str">
        <f t="shared" si="174"/>
        <v>AVERAGE</v>
      </c>
      <c r="S2182" t="s">
        <v>605</v>
      </c>
    </row>
    <row r="2183" spans="1:19" x14ac:dyDescent="0.2">
      <c r="A2183" t="s">
        <v>2794</v>
      </c>
      <c r="B2183" t="s">
        <v>75</v>
      </c>
      <c r="C2183" t="s">
        <v>617</v>
      </c>
      <c r="D2183">
        <v>2449.46</v>
      </c>
      <c r="E2183" s="37" t="str">
        <f t="shared" si="170"/>
        <v xml:space="preserve"> </v>
      </c>
      <c r="F2183">
        <v>0.13</v>
      </c>
      <c r="G2183" s="37" t="str">
        <f t="shared" si="171"/>
        <v>Normal Discount</v>
      </c>
      <c r="H2183" s="37" t="str">
        <f t="shared" si="172"/>
        <v>Low</v>
      </c>
      <c r="I2183">
        <v>4</v>
      </c>
      <c r="J2183" t="str" cm="1">
        <f t="array" ref="J2183">_xlfn.IFS(I2183&lt;=3,"small",I2183&lt;=6,"Medium",I2183&lt;=9,"Large")</f>
        <v>Medium</v>
      </c>
      <c r="K2183" s="36">
        <v>45540</v>
      </c>
      <c r="L2183" s="36">
        <v>45542</v>
      </c>
      <c r="M2183" t="s">
        <v>612</v>
      </c>
      <c r="N2183" t="s">
        <v>608</v>
      </c>
      <c r="O2183" s="37" t="str">
        <f t="shared" si="173"/>
        <v>Cash Payment</v>
      </c>
      <c r="P2183">
        <v>622.85</v>
      </c>
      <c r="Q2183" s="37" t="str">
        <f>IF(P2183&gt;500,"High","low")</f>
        <v>High</v>
      </c>
      <c r="R2183" s="37" t="str">
        <f t="shared" si="174"/>
        <v>Good</v>
      </c>
      <c r="S2183" t="s">
        <v>615</v>
      </c>
    </row>
    <row r="2184" spans="1:19" x14ac:dyDescent="0.2">
      <c r="A2184" t="s">
        <v>2795</v>
      </c>
      <c r="B2184" t="s">
        <v>90</v>
      </c>
      <c r="C2184" t="s">
        <v>614</v>
      </c>
      <c r="D2184">
        <v>4639.18</v>
      </c>
      <c r="E2184" s="37" t="str">
        <f t="shared" si="170"/>
        <v>Excellent Order</v>
      </c>
      <c r="F2184">
        <v>0.03</v>
      </c>
      <c r="G2184" s="37" t="str">
        <f t="shared" si="171"/>
        <v>Normal Discount</v>
      </c>
      <c r="H2184" s="37" t="str">
        <f t="shared" si="172"/>
        <v>Low</v>
      </c>
      <c r="I2184">
        <v>2</v>
      </c>
      <c r="J2184" t="str" cm="1">
        <f t="array" ref="J2184">_xlfn.IFS(I2184&lt;=3,"small",I2184&lt;=6,"Medium",I2184&lt;=9,"Large")</f>
        <v>small</v>
      </c>
      <c r="K2184" s="36">
        <v>45622</v>
      </c>
      <c r="L2184" s="36">
        <v>45625</v>
      </c>
      <c r="M2184" t="s">
        <v>612</v>
      </c>
      <c r="N2184" t="s">
        <v>608</v>
      </c>
      <c r="O2184" s="37" t="str">
        <f t="shared" si="173"/>
        <v>Cash Payment</v>
      </c>
      <c r="P2184">
        <v>1239.24</v>
      </c>
      <c r="Q2184" s="37" t="str">
        <f>IF(P2184&gt;500,"High","low")</f>
        <v>High</v>
      </c>
      <c r="R2184" s="37" t="str">
        <f t="shared" si="174"/>
        <v>Excellent</v>
      </c>
      <c r="S2184" t="s">
        <v>628</v>
      </c>
    </row>
    <row r="2185" spans="1:19" x14ac:dyDescent="0.2">
      <c r="A2185" t="s">
        <v>2796</v>
      </c>
      <c r="B2185" t="s">
        <v>83</v>
      </c>
      <c r="C2185" t="s">
        <v>617</v>
      </c>
      <c r="D2185">
        <v>361.92</v>
      </c>
      <c r="E2185" s="37" t="str">
        <f t="shared" si="170"/>
        <v xml:space="preserve"> </v>
      </c>
      <c r="F2185">
        <v>0.27</v>
      </c>
      <c r="G2185" s="37" t="str">
        <f t="shared" si="171"/>
        <v>Normal Discount</v>
      </c>
      <c r="H2185" s="37" t="str">
        <f t="shared" si="172"/>
        <v>Medium</v>
      </c>
      <c r="I2185">
        <v>5</v>
      </c>
      <c r="J2185" t="str" cm="1">
        <f t="array" ref="J2185">_xlfn.IFS(I2185&lt;=3,"small",I2185&lt;=6,"Medium",I2185&lt;=9,"Large")</f>
        <v>Medium</v>
      </c>
      <c r="K2185" s="36">
        <v>45523</v>
      </c>
      <c r="L2185" s="36">
        <v>45529</v>
      </c>
      <c r="M2185" t="s">
        <v>603</v>
      </c>
      <c r="N2185" t="s">
        <v>599</v>
      </c>
      <c r="O2185" s="37" t="str">
        <f t="shared" si="173"/>
        <v>Digital Payment</v>
      </c>
      <c r="P2185">
        <v>85.78</v>
      </c>
      <c r="Q2185" s="37" t="str">
        <f>IF(P2185&gt;500,"High","low")</f>
        <v>low</v>
      </c>
      <c r="R2185" s="37" t="str">
        <f t="shared" si="174"/>
        <v>AVERAGE</v>
      </c>
      <c r="S2185" t="s">
        <v>605</v>
      </c>
    </row>
    <row r="2186" spans="1:19" x14ac:dyDescent="0.2">
      <c r="A2186" t="s">
        <v>2797</v>
      </c>
      <c r="B2186" t="s">
        <v>75</v>
      </c>
      <c r="C2186" t="s">
        <v>607</v>
      </c>
      <c r="D2186">
        <v>1064.6500000000001</v>
      </c>
      <c r="E2186" s="37" t="str">
        <f t="shared" si="170"/>
        <v xml:space="preserve"> </v>
      </c>
      <c r="F2186">
        <v>0.26</v>
      </c>
      <c r="G2186" s="37" t="str">
        <f t="shared" si="171"/>
        <v>Normal Discount</v>
      </c>
      <c r="H2186" s="37" t="str">
        <f t="shared" si="172"/>
        <v>Medium</v>
      </c>
      <c r="I2186">
        <v>1</v>
      </c>
      <c r="J2186" t="str" cm="1">
        <f t="array" ref="J2186">_xlfn.IFS(I2186&lt;=3,"small",I2186&lt;=6,"Medium",I2186&lt;=9,"Large")</f>
        <v>small</v>
      </c>
      <c r="K2186" s="36">
        <v>45591</v>
      </c>
      <c r="L2186" s="36">
        <v>45593</v>
      </c>
      <c r="M2186" t="s">
        <v>603</v>
      </c>
      <c r="N2186" t="s">
        <v>599</v>
      </c>
      <c r="O2186" s="37" t="str">
        <f t="shared" si="173"/>
        <v>Digital Payment</v>
      </c>
      <c r="P2186">
        <v>102.32</v>
      </c>
      <c r="Q2186" s="37" t="str">
        <f>IF(P2186&gt;500,"High","low")</f>
        <v>low</v>
      </c>
      <c r="R2186" s="37" t="str">
        <f t="shared" si="174"/>
        <v>AVERAGE</v>
      </c>
      <c r="S2186" t="s">
        <v>609</v>
      </c>
    </row>
    <row r="2187" spans="1:19" x14ac:dyDescent="0.2">
      <c r="A2187" t="s">
        <v>2798</v>
      </c>
      <c r="B2187" t="s">
        <v>90</v>
      </c>
      <c r="C2187" t="s">
        <v>597</v>
      </c>
      <c r="D2187">
        <v>3558.14</v>
      </c>
      <c r="E2187" s="37" t="str">
        <f t="shared" si="170"/>
        <v xml:space="preserve"> </v>
      </c>
      <c r="F2187">
        <v>0.16</v>
      </c>
      <c r="G2187" s="37" t="str">
        <f t="shared" si="171"/>
        <v>Normal Discount</v>
      </c>
      <c r="H2187" s="37" t="str">
        <f t="shared" si="172"/>
        <v>Low</v>
      </c>
      <c r="I2187">
        <v>1</v>
      </c>
      <c r="J2187" t="str" cm="1">
        <f t="array" ref="J2187">_xlfn.IFS(I2187&lt;=3,"small",I2187&lt;=6,"Medium",I2187&lt;=9,"Large")</f>
        <v>small</v>
      </c>
      <c r="K2187" s="36">
        <v>45488</v>
      </c>
      <c r="L2187" s="36">
        <v>45489</v>
      </c>
      <c r="M2187" t="s">
        <v>603</v>
      </c>
      <c r="N2187" t="s">
        <v>604</v>
      </c>
      <c r="O2187" s="37" t="str">
        <f t="shared" si="173"/>
        <v>Digital Payment</v>
      </c>
      <c r="P2187">
        <v>617.09</v>
      </c>
      <c r="Q2187" s="37" t="str">
        <f>IF(P2187&gt;500,"High","low")</f>
        <v>High</v>
      </c>
      <c r="R2187" s="37" t="str">
        <f t="shared" si="174"/>
        <v>Good</v>
      </c>
      <c r="S2187" t="s">
        <v>620</v>
      </c>
    </row>
    <row r="2188" spans="1:19" x14ac:dyDescent="0.2">
      <c r="A2188" t="s">
        <v>2799</v>
      </c>
      <c r="B2188" t="s">
        <v>75</v>
      </c>
      <c r="C2188" t="s">
        <v>617</v>
      </c>
      <c r="D2188">
        <v>2930.13</v>
      </c>
      <c r="E2188" s="37" t="str">
        <f t="shared" si="170"/>
        <v xml:space="preserve"> </v>
      </c>
      <c r="F2188">
        <v>0.49</v>
      </c>
      <c r="G2188" s="37" t="str">
        <f t="shared" si="171"/>
        <v>Heavy Discount</v>
      </c>
      <c r="H2188" s="37" t="str">
        <f t="shared" si="172"/>
        <v>High</v>
      </c>
      <c r="I2188">
        <v>5</v>
      </c>
      <c r="J2188" t="str" cm="1">
        <f t="array" ref="J2188">_xlfn.IFS(I2188&lt;=3,"small",I2188&lt;=6,"Medium",I2188&lt;=9,"Large")</f>
        <v>Medium</v>
      </c>
      <c r="K2188" s="36">
        <v>45274</v>
      </c>
      <c r="L2188" s="36">
        <v>45276</v>
      </c>
      <c r="M2188" t="s">
        <v>612</v>
      </c>
      <c r="N2188" t="s">
        <v>604</v>
      </c>
      <c r="O2188" s="37" t="str">
        <f t="shared" si="173"/>
        <v>Digital Payment</v>
      </c>
      <c r="P2188">
        <v>518.28</v>
      </c>
      <c r="Q2188" s="37" t="str">
        <f>IF(P2188&gt;500,"High","low")</f>
        <v>High</v>
      </c>
      <c r="R2188" s="37" t="str">
        <f t="shared" si="174"/>
        <v>Good</v>
      </c>
      <c r="S2188" t="s">
        <v>620</v>
      </c>
    </row>
    <row r="2189" spans="1:19" x14ac:dyDescent="0.2">
      <c r="A2189" t="s">
        <v>2800</v>
      </c>
      <c r="B2189" t="s">
        <v>83</v>
      </c>
      <c r="C2189" t="s">
        <v>607</v>
      </c>
      <c r="D2189">
        <v>1332.5</v>
      </c>
      <c r="E2189" s="37" t="str">
        <f t="shared" si="170"/>
        <v xml:space="preserve"> </v>
      </c>
      <c r="F2189">
        <v>0.03</v>
      </c>
      <c r="G2189" s="37" t="str">
        <f t="shared" si="171"/>
        <v>Normal Discount</v>
      </c>
      <c r="H2189" s="37" t="str">
        <f t="shared" si="172"/>
        <v>Low</v>
      </c>
      <c r="I2189">
        <v>2</v>
      </c>
      <c r="J2189" t="str" cm="1">
        <f t="array" ref="J2189">_xlfn.IFS(I2189&lt;=3,"small",I2189&lt;=6,"Medium",I2189&lt;=9,"Large")</f>
        <v>small</v>
      </c>
      <c r="K2189" s="36">
        <v>45490</v>
      </c>
      <c r="L2189" s="36">
        <v>45494</v>
      </c>
      <c r="M2189" t="s">
        <v>612</v>
      </c>
      <c r="N2189" t="s">
        <v>608</v>
      </c>
      <c r="O2189" s="37" t="str">
        <f t="shared" si="173"/>
        <v>Cash Payment</v>
      </c>
      <c r="P2189">
        <v>130.47999999999999</v>
      </c>
      <c r="Q2189" s="37" t="str">
        <f>IF(P2189&gt;500,"High","low")</f>
        <v>low</v>
      </c>
      <c r="R2189" s="37" t="str">
        <f t="shared" si="174"/>
        <v>AVERAGE</v>
      </c>
      <c r="S2189" t="s">
        <v>615</v>
      </c>
    </row>
    <row r="2190" spans="1:19" x14ac:dyDescent="0.2">
      <c r="A2190" t="s">
        <v>2801</v>
      </c>
      <c r="B2190" t="s">
        <v>83</v>
      </c>
      <c r="C2190" t="s">
        <v>602</v>
      </c>
      <c r="D2190">
        <v>1517.08</v>
      </c>
      <c r="E2190" s="37" t="str">
        <f t="shared" si="170"/>
        <v xml:space="preserve"> </v>
      </c>
      <c r="F2190">
        <v>0.28000000000000003</v>
      </c>
      <c r="G2190" s="37" t="str">
        <f t="shared" si="171"/>
        <v>Normal Discount</v>
      </c>
      <c r="H2190" s="37" t="str">
        <f t="shared" si="172"/>
        <v>Medium</v>
      </c>
      <c r="I2190">
        <v>9</v>
      </c>
      <c r="J2190" t="str" cm="1">
        <f t="array" ref="J2190">_xlfn.IFS(I2190&lt;=3,"small",I2190&lt;=6,"Medium",I2190&lt;=9,"Large")</f>
        <v>Large</v>
      </c>
      <c r="K2190" s="36">
        <v>45188</v>
      </c>
      <c r="L2190" s="36">
        <v>45193</v>
      </c>
      <c r="M2190" t="s">
        <v>598</v>
      </c>
      <c r="N2190" t="s">
        <v>608</v>
      </c>
      <c r="O2190" s="37" t="str">
        <f t="shared" si="173"/>
        <v>Cash Payment</v>
      </c>
      <c r="P2190">
        <v>214.89</v>
      </c>
      <c r="Q2190" s="37" t="str">
        <f>IF(P2190&gt;500,"High","low")</f>
        <v>low</v>
      </c>
      <c r="R2190" s="37" t="str">
        <f t="shared" si="174"/>
        <v>AVERAGE</v>
      </c>
      <c r="S2190" t="s">
        <v>628</v>
      </c>
    </row>
    <row r="2191" spans="1:19" x14ac:dyDescent="0.2">
      <c r="A2191" t="s">
        <v>2802</v>
      </c>
      <c r="B2191" t="s">
        <v>90</v>
      </c>
      <c r="C2191" t="s">
        <v>607</v>
      </c>
      <c r="D2191">
        <v>1899.82</v>
      </c>
      <c r="E2191" s="37" t="str">
        <f t="shared" si="170"/>
        <v xml:space="preserve"> </v>
      </c>
      <c r="F2191">
        <v>0.13</v>
      </c>
      <c r="G2191" s="37" t="str">
        <f t="shared" si="171"/>
        <v>Normal Discount</v>
      </c>
      <c r="H2191" s="37" t="str">
        <f t="shared" si="172"/>
        <v>Low</v>
      </c>
      <c r="I2191">
        <v>7</v>
      </c>
      <c r="J2191" t="str" cm="1">
        <f t="array" ref="J2191">_xlfn.IFS(I2191&lt;=3,"small",I2191&lt;=6,"Medium",I2191&lt;=9,"Large")</f>
        <v>Large</v>
      </c>
      <c r="K2191" s="36">
        <v>45228</v>
      </c>
      <c r="L2191" s="36">
        <v>45230</v>
      </c>
      <c r="M2191" t="s">
        <v>598</v>
      </c>
      <c r="N2191" t="s">
        <v>599</v>
      </c>
      <c r="O2191" s="37" t="str">
        <f t="shared" si="173"/>
        <v>Digital Payment</v>
      </c>
      <c r="P2191">
        <v>234.84</v>
      </c>
      <c r="Q2191" s="37" t="str">
        <f>IF(P2191&gt;500,"High","low")</f>
        <v>low</v>
      </c>
      <c r="R2191" s="37" t="str">
        <f t="shared" si="174"/>
        <v>AVERAGE</v>
      </c>
      <c r="S2191" t="s">
        <v>600</v>
      </c>
    </row>
    <row r="2192" spans="1:19" x14ac:dyDescent="0.2">
      <c r="A2192" t="s">
        <v>2803</v>
      </c>
      <c r="B2192" t="s">
        <v>83</v>
      </c>
      <c r="C2192" t="s">
        <v>602</v>
      </c>
      <c r="D2192">
        <v>2306.6999999999998</v>
      </c>
      <c r="E2192" s="37" t="str">
        <f t="shared" si="170"/>
        <v xml:space="preserve"> </v>
      </c>
      <c r="F2192">
        <v>0</v>
      </c>
      <c r="G2192" s="37" t="str">
        <f t="shared" si="171"/>
        <v>Normal Discount</v>
      </c>
      <c r="H2192" s="37" t="str">
        <f t="shared" si="172"/>
        <v>Low</v>
      </c>
      <c r="I2192">
        <v>4</v>
      </c>
      <c r="J2192" t="str" cm="1">
        <f t="array" ref="J2192">_xlfn.IFS(I2192&lt;=3,"small",I2192&lt;=6,"Medium",I2192&lt;=9,"Large")</f>
        <v>Medium</v>
      </c>
      <c r="K2192" s="36">
        <v>45636</v>
      </c>
      <c r="L2192" s="36">
        <v>45641</v>
      </c>
      <c r="M2192" t="s">
        <v>598</v>
      </c>
      <c r="N2192" t="s">
        <v>608</v>
      </c>
      <c r="O2192" s="37" t="str">
        <f t="shared" si="173"/>
        <v>Cash Payment</v>
      </c>
      <c r="P2192">
        <v>261.27</v>
      </c>
      <c r="Q2192" s="37" t="str">
        <f>IF(P2192&gt;500,"High","low")</f>
        <v>low</v>
      </c>
      <c r="R2192" s="37" t="str">
        <f t="shared" si="174"/>
        <v>AVERAGE</v>
      </c>
      <c r="S2192" t="s">
        <v>600</v>
      </c>
    </row>
    <row r="2193" spans="1:19" x14ac:dyDescent="0.2">
      <c r="A2193" t="s">
        <v>2804</v>
      </c>
      <c r="B2193" t="s">
        <v>75</v>
      </c>
      <c r="C2193" t="s">
        <v>617</v>
      </c>
      <c r="D2193">
        <v>4108.33</v>
      </c>
      <c r="E2193" s="37" t="str">
        <f t="shared" si="170"/>
        <v xml:space="preserve"> </v>
      </c>
      <c r="F2193">
        <v>0.49</v>
      </c>
      <c r="G2193" s="37" t="str">
        <f t="shared" si="171"/>
        <v>Heavy Discount</v>
      </c>
      <c r="H2193" s="37" t="str">
        <f t="shared" si="172"/>
        <v>High</v>
      </c>
      <c r="I2193">
        <v>7</v>
      </c>
      <c r="J2193" t="str" cm="1">
        <f t="array" ref="J2193">_xlfn.IFS(I2193&lt;=3,"small",I2193&lt;=6,"Medium",I2193&lt;=9,"Large")</f>
        <v>Large</v>
      </c>
      <c r="K2193" s="36">
        <v>45652</v>
      </c>
      <c r="L2193" s="36">
        <v>45658</v>
      </c>
      <c r="M2193" t="s">
        <v>598</v>
      </c>
      <c r="N2193" t="s">
        <v>608</v>
      </c>
      <c r="O2193" s="37" t="str">
        <f t="shared" si="173"/>
        <v>Cash Payment</v>
      </c>
      <c r="P2193">
        <v>622.63</v>
      </c>
      <c r="Q2193" s="37" t="str">
        <f>IF(P2193&gt;500,"High","low")</f>
        <v>High</v>
      </c>
      <c r="R2193" s="37" t="str">
        <f t="shared" si="174"/>
        <v>Good</v>
      </c>
      <c r="S2193" t="s">
        <v>628</v>
      </c>
    </row>
    <row r="2194" spans="1:19" x14ac:dyDescent="0.2">
      <c r="A2194" t="s">
        <v>2805</v>
      </c>
      <c r="B2194" t="s">
        <v>83</v>
      </c>
      <c r="C2194" t="s">
        <v>602</v>
      </c>
      <c r="D2194">
        <v>167.7</v>
      </c>
      <c r="E2194" s="37" t="str">
        <f t="shared" si="170"/>
        <v xml:space="preserve"> </v>
      </c>
      <c r="F2194">
        <v>0.24</v>
      </c>
      <c r="G2194" s="37" t="str">
        <f t="shared" si="171"/>
        <v>Normal Discount</v>
      </c>
      <c r="H2194" s="37" t="str">
        <f t="shared" si="172"/>
        <v>Medium</v>
      </c>
      <c r="I2194">
        <v>8</v>
      </c>
      <c r="J2194" t="str" cm="1">
        <f t="array" ref="J2194">_xlfn.IFS(I2194&lt;=3,"small",I2194&lt;=6,"Medium",I2194&lt;=9,"Large")</f>
        <v>Large</v>
      </c>
      <c r="K2194" s="36">
        <v>45556</v>
      </c>
      <c r="L2194" s="36">
        <v>45558</v>
      </c>
      <c r="M2194" t="s">
        <v>598</v>
      </c>
      <c r="N2194" t="s">
        <v>604</v>
      </c>
      <c r="O2194" s="37" t="str">
        <f t="shared" si="173"/>
        <v>Digital Payment</v>
      </c>
      <c r="P2194">
        <v>21.72</v>
      </c>
      <c r="Q2194" s="37" t="str">
        <f>IF(P2194&gt;500,"High","low")</f>
        <v>low</v>
      </c>
      <c r="R2194" s="37" t="str">
        <f t="shared" si="174"/>
        <v>AVERAGE</v>
      </c>
      <c r="S2194" t="s">
        <v>600</v>
      </c>
    </row>
    <row r="2195" spans="1:19" x14ac:dyDescent="0.2">
      <c r="A2195" t="s">
        <v>2806</v>
      </c>
      <c r="B2195" t="s">
        <v>75</v>
      </c>
      <c r="C2195" t="s">
        <v>607</v>
      </c>
      <c r="D2195">
        <v>4500.3</v>
      </c>
      <c r="E2195" s="37" t="str">
        <f t="shared" si="170"/>
        <v>Excellent Order</v>
      </c>
      <c r="F2195">
        <v>0.43</v>
      </c>
      <c r="G2195" s="37" t="str">
        <f t="shared" si="171"/>
        <v>Heavy Discount</v>
      </c>
      <c r="H2195" s="37" t="str">
        <f t="shared" si="172"/>
        <v>High</v>
      </c>
      <c r="I2195">
        <v>8</v>
      </c>
      <c r="J2195" t="str" cm="1">
        <f t="array" ref="J2195">_xlfn.IFS(I2195&lt;=3,"small",I2195&lt;=6,"Medium",I2195&lt;=9,"Large")</f>
        <v>Large</v>
      </c>
      <c r="K2195" s="36">
        <v>45371</v>
      </c>
      <c r="L2195" s="36">
        <v>45377</v>
      </c>
      <c r="M2195" t="s">
        <v>598</v>
      </c>
      <c r="N2195" t="s">
        <v>604</v>
      </c>
      <c r="O2195" s="37" t="str">
        <f t="shared" si="173"/>
        <v>Digital Payment</v>
      </c>
      <c r="P2195">
        <v>1269.6400000000001</v>
      </c>
      <c r="Q2195" s="37" t="str">
        <f>IF(P2195&gt;500,"High","low")</f>
        <v>High</v>
      </c>
      <c r="R2195" s="37" t="str">
        <f t="shared" si="174"/>
        <v>Excellent</v>
      </c>
      <c r="S2195" t="s">
        <v>628</v>
      </c>
    </row>
    <row r="2196" spans="1:19" x14ac:dyDescent="0.2">
      <c r="A2196" t="s">
        <v>2807</v>
      </c>
      <c r="B2196" t="s">
        <v>75</v>
      </c>
      <c r="C2196" t="s">
        <v>597</v>
      </c>
      <c r="D2196">
        <v>2123.83</v>
      </c>
      <c r="E2196" s="37" t="str">
        <f t="shared" si="170"/>
        <v xml:space="preserve"> </v>
      </c>
      <c r="F2196">
        <v>0.42</v>
      </c>
      <c r="G2196" s="37" t="str">
        <f t="shared" si="171"/>
        <v>Heavy Discount</v>
      </c>
      <c r="H2196" s="37" t="str">
        <f t="shared" si="172"/>
        <v>High</v>
      </c>
      <c r="I2196">
        <v>8</v>
      </c>
      <c r="J2196" t="str" cm="1">
        <f t="array" ref="J2196">_xlfn.IFS(I2196&lt;=3,"small",I2196&lt;=6,"Medium",I2196&lt;=9,"Large")</f>
        <v>Large</v>
      </c>
      <c r="K2196" s="36">
        <v>45215</v>
      </c>
      <c r="L2196" s="36">
        <v>45216</v>
      </c>
      <c r="M2196" t="s">
        <v>598</v>
      </c>
      <c r="N2196" t="s">
        <v>604</v>
      </c>
      <c r="O2196" s="37" t="str">
        <f t="shared" si="173"/>
        <v>Digital Payment</v>
      </c>
      <c r="P2196">
        <v>440.61</v>
      </c>
      <c r="Q2196" s="37" t="str">
        <f>IF(P2196&gt;500,"High","low")</f>
        <v>low</v>
      </c>
      <c r="R2196" s="37" t="str">
        <f t="shared" si="174"/>
        <v>AVERAGE</v>
      </c>
      <c r="S2196" t="s">
        <v>620</v>
      </c>
    </row>
    <row r="2197" spans="1:19" x14ac:dyDescent="0.2">
      <c r="A2197" t="s">
        <v>2808</v>
      </c>
      <c r="B2197" t="s">
        <v>83</v>
      </c>
      <c r="C2197" t="s">
        <v>614</v>
      </c>
      <c r="D2197">
        <v>1229.44</v>
      </c>
      <c r="E2197" s="37" t="str">
        <f t="shared" si="170"/>
        <v xml:space="preserve"> </v>
      </c>
      <c r="F2197">
        <v>0.41</v>
      </c>
      <c r="G2197" s="37" t="str">
        <f t="shared" si="171"/>
        <v>Heavy Discount</v>
      </c>
      <c r="H2197" s="37" t="str">
        <f t="shared" si="172"/>
        <v>High</v>
      </c>
      <c r="I2197">
        <v>5</v>
      </c>
      <c r="J2197" t="str" cm="1">
        <f t="array" ref="J2197">_xlfn.IFS(I2197&lt;=3,"small",I2197&lt;=6,"Medium",I2197&lt;=9,"Large")</f>
        <v>Medium</v>
      </c>
      <c r="K2197" s="36">
        <v>45307</v>
      </c>
      <c r="L2197" s="36">
        <v>45310</v>
      </c>
      <c r="M2197" t="s">
        <v>603</v>
      </c>
      <c r="N2197" t="s">
        <v>599</v>
      </c>
      <c r="O2197" s="37" t="str">
        <f t="shared" si="173"/>
        <v>Digital Payment</v>
      </c>
      <c r="P2197">
        <v>240.08</v>
      </c>
      <c r="Q2197" s="37" t="str">
        <f>IF(P2197&gt;500,"High","low")</f>
        <v>low</v>
      </c>
      <c r="R2197" s="37" t="str">
        <f t="shared" si="174"/>
        <v>AVERAGE</v>
      </c>
      <c r="S2197" t="s">
        <v>615</v>
      </c>
    </row>
    <row r="2198" spans="1:19" x14ac:dyDescent="0.2">
      <c r="A2198" t="s">
        <v>2809</v>
      </c>
      <c r="B2198" t="s">
        <v>90</v>
      </c>
      <c r="C2198" t="s">
        <v>614</v>
      </c>
      <c r="D2198">
        <v>2591.2199999999998</v>
      </c>
      <c r="E2198" s="37" t="str">
        <f t="shared" si="170"/>
        <v xml:space="preserve"> </v>
      </c>
      <c r="F2198">
        <v>0.23</v>
      </c>
      <c r="G2198" s="37" t="str">
        <f t="shared" si="171"/>
        <v>Normal Discount</v>
      </c>
      <c r="H2198" s="37" t="str">
        <f t="shared" si="172"/>
        <v>Medium</v>
      </c>
      <c r="I2198">
        <v>7</v>
      </c>
      <c r="J2198" t="str" cm="1">
        <f t="array" ref="J2198">_xlfn.IFS(I2198&lt;=3,"small",I2198&lt;=6,"Medium",I2198&lt;=9,"Large")</f>
        <v>Large</v>
      </c>
      <c r="K2198" s="36">
        <v>45322</v>
      </c>
      <c r="L2198" s="36">
        <v>45328</v>
      </c>
      <c r="M2198" t="s">
        <v>598</v>
      </c>
      <c r="N2198" t="s">
        <v>608</v>
      </c>
      <c r="O2198" s="37" t="str">
        <f t="shared" si="173"/>
        <v>Cash Payment</v>
      </c>
      <c r="P2198">
        <v>400.23</v>
      </c>
      <c r="Q2198" s="37" t="str">
        <f>IF(P2198&gt;500,"High","low")</f>
        <v>low</v>
      </c>
      <c r="R2198" s="37" t="str">
        <f t="shared" si="174"/>
        <v>AVERAGE</v>
      </c>
      <c r="S2198" t="s">
        <v>620</v>
      </c>
    </row>
    <row r="2199" spans="1:19" x14ac:dyDescent="0.2">
      <c r="A2199" t="s">
        <v>2810</v>
      </c>
      <c r="B2199" t="s">
        <v>67</v>
      </c>
      <c r="C2199" t="s">
        <v>597</v>
      </c>
      <c r="D2199">
        <v>3332.38</v>
      </c>
      <c r="E2199" s="37" t="str">
        <f t="shared" si="170"/>
        <v xml:space="preserve"> </v>
      </c>
      <c r="F2199">
        <v>0.45</v>
      </c>
      <c r="G2199" s="37" t="str">
        <f t="shared" si="171"/>
        <v>Heavy Discount</v>
      </c>
      <c r="H2199" s="37" t="str">
        <f t="shared" si="172"/>
        <v>High</v>
      </c>
      <c r="I2199">
        <v>7</v>
      </c>
      <c r="J2199" t="str" cm="1">
        <f t="array" ref="J2199">_xlfn.IFS(I2199&lt;=3,"small",I2199&lt;=6,"Medium",I2199&lt;=9,"Large")</f>
        <v>Large</v>
      </c>
      <c r="K2199" s="36">
        <v>45213</v>
      </c>
      <c r="L2199" s="36">
        <v>45215</v>
      </c>
      <c r="M2199" t="s">
        <v>612</v>
      </c>
      <c r="N2199" t="s">
        <v>599</v>
      </c>
      <c r="O2199" s="37" t="str">
        <f t="shared" si="173"/>
        <v>Digital Payment</v>
      </c>
      <c r="P2199">
        <v>545.49</v>
      </c>
      <c r="Q2199" s="37" t="str">
        <f>IF(P2199&gt;500,"High","low")</f>
        <v>High</v>
      </c>
      <c r="R2199" s="37" t="str">
        <f t="shared" si="174"/>
        <v>Good</v>
      </c>
      <c r="S2199" t="s">
        <v>609</v>
      </c>
    </row>
    <row r="2200" spans="1:19" x14ac:dyDescent="0.2">
      <c r="A2200" t="s">
        <v>2811</v>
      </c>
      <c r="B2200" t="s">
        <v>83</v>
      </c>
      <c r="C2200" t="s">
        <v>614</v>
      </c>
      <c r="D2200">
        <v>319.29000000000002</v>
      </c>
      <c r="E2200" s="37" t="str">
        <f t="shared" si="170"/>
        <v xml:space="preserve"> </v>
      </c>
      <c r="F2200">
        <v>0.18</v>
      </c>
      <c r="G2200" s="37" t="str">
        <f t="shared" si="171"/>
        <v>Normal Discount</v>
      </c>
      <c r="H2200" s="37" t="str">
        <f t="shared" si="172"/>
        <v>Low</v>
      </c>
      <c r="I2200">
        <v>2</v>
      </c>
      <c r="J2200" t="str" cm="1">
        <f t="array" ref="J2200">_xlfn.IFS(I2200&lt;=3,"small",I2200&lt;=6,"Medium",I2200&lt;=9,"Large")</f>
        <v>small</v>
      </c>
      <c r="K2200" s="36">
        <v>45472</v>
      </c>
      <c r="L2200" s="36">
        <v>45479</v>
      </c>
      <c r="M2200" t="s">
        <v>612</v>
      </c>
      <c r="N2200" t="s">
        <v>604</v>
      </c>
      <c r="O2200" s="37" t="str">
        <f t="shared" si="173"/>
        <v>Digital Payment</v>
      </c>
      <c r="P2200">
        <v>51.94</v>
      </c>
      <c r="Q2200" s="37" t="str">
        <f>IF(P2200&gt;500,"High","low")</f>
        <v>low</v>
      </c>
      <c r="R2200" s="37" t="str">
        <f t="shared" si="174"/>
        <v>AVERAGE</v>
      </c>
      <c r="S2200" t="s">
        <v>609</v>
      </c>
    </row>
    <row r="2201" spans="1:19" x14ac:dyDescent="0.2">
      <c r="A2201" t="s">
        <v>2812</v>
      </c>
      <c r="B2201" t="s">
        <v>75</v>
      </c>
      <c r="C2201" t="s">
        <v>617</v>
      </c>
      <c r="D2201">
        <v>3607.31</v>
      </c>
      <c r="E2201" s="37" t="str">
        <f t="shared" si="170"/>
        <v xml:space="preserve"> </v>
      </c>
      <c r="F2201">
        <v>0.2</v>
      </c>
      <c r="G2201" s="37" t="str">
        <f t="shared" si="171"/>
        <v>Normal Discount</v>
      </c>
      <c r="H2201" s="37" t="str">
        <f t="shared" si="172"/>
        <v>Medium</v>
      </c>
      <c r="I2201">
        <v>3</v>
      </c>
      <c r="J2201" t="str" cm="1">
        <f t="array" ref="J2201">_xlfn.IFS(I2201&lt;=3,"small",I2201&lt;=6,"Medium",I2201&lt;=9,"Large")</f>
        <v>small</v>
      </c>
      <c r="K2201" s="36">
        <v>44958</v>
      </c>
      <c r="L2201" s="36">
        <v>44959</v>
      </c>
      <c r="M2201" t="s">
        <v>612</v>
      </c>
      <c r="N2201" t="s">
        <v>608</v>
      </c>
      <c r="O2201" s="37" t="str">
        <f t="shared" si="173"/>
        <v>Cash Payment</v>
      </c>
      <c r="P2201">
        <v>196.17</v>
      </c>
      <c r="Q2201" s="37" t="str">
        <f>IF(P2201&gt;500,"High","low")</f>
        <v>low</v>
      </c>
      <c r="R2201" s="37" t="str">
        <f t="shared" si="174"/>
        <v>AVERAGE</v>
      </c>
      <c r="S2201" t="s">
        <v>605</v>
      </c>
    </row>
    <row r="2202" spans="1:19" x14ac:dyDescent="0.2">
      <c r="A2202" t="s">
        <v>2813</v>
      </c>
      <c r="B2202" t="s">
        <v>75</v>
      </c>
      <c r="C2202" t="s">
        <v>617</v>
      </c>
      <c r="D2202">
        <v>3827.73</v>
      </c>
      <c r="E2202" s="37" t="str">
        <f t="shared" si="170"/>
        <v xml:space="preserve"> </v>
      </c>
      <c r="F2202">
        <v>0.13</v>
      </c>
      <c r="G2202" s="37" t="str">
        <f t="shared" si="171"/>
        <v>Normal Discount</v>
      </c>
      <c r="H2202" s="37" t="str">
        <f t="shared" si="172"/>
        <v>Low</v>
      </c>
      <c r="I2202">
        <v>2</v>
      </c>
      <c r="J2202" t="str" cm="1">
        <f t="array" ref="J2202">_xlfn.IFS(I2202&lt;=3,"small",I2202&lt;=6,"Medium",I2202&lt;=9,"Large")</f>
        <v>small</v>
      </c>
      <c r="K2202" s="36">
        <v>45461</v>
      </c>
      <c r="L2202" s="36">
        <v>45463</v>
      </c>
      <c r="M2202" t="s">
        <v>603</v>
      </c>
      <c r="N2202" t="s">
        <v>604</v>
      </c>
      <c r="O2202" s="37" t="str">
        <f t="shared" si="173"/>
        <v>Digital Payment</v>
      </c>
      <c r="P2202">
        <v>1108.0899999999999</v>
      </c>
      <c r="Q2202" s="37" t="str">
        <f>IF(P2202&gt;500,"High","low")</f>
        <v>High</v>
      </c>
      <c r="R2202" s="37" t="str">
        <f t="shared" si="174"/>
        <v>Excellent</v>
      </c>
      <c r="S2202" t="s">
        <v>615</v>
      </c>
    </row>
    <row r="2203" spans="1:19" x14ac:dyDescent="0.2">
      <c r="A2203" t="s">
        <v>2814</v>
      </c>
      <c r="B2203" t="s">
        <v>83</v>
      </c>
      <c r="C2203" t="s">
        <v>607</v>
      </c>
      <c r="D2203">
        <v>914.29</v>
      </c>
      <c r="E2203" s="37" t="str">
        <f t="shared" si="170"/>
        <v xml:space="preserve"> </v>
      </c>
      <c r="F2203">
        <v>0.22</v>
      </c>
      <c r="G2203" s="37" t="str">
        <f t="shared" si="171"/>
        <v>Normal Discount</v>
      </c>
      <c r="H2203" s="37" t="str">
        <f t="shared" si="172"/>
        <v>Medium</v>
      </c>
      <c r="I2203">
        <v>3</v>
      </c>
      <c r="J2203" t="str" cm="1">
        <f t="array" ref="J2203">_xlfn.IFS(I2203&lt;=3,"small",I2203&lt;=6,"Medium",I2203&lt;=9,"Large")</f>
        <v>small</v>
      </c>
      <c r="K2203" s="36">
        <v>45540</v>
      </c>
      <c r="L2203" s="36">
        <v>45544</v>
      </c>
      <c r="M2203" t="s">
        <v>612</v>
      </c>
      <c r="N2203" t="s">
        <v>608</v>
      </c>
      <c r="O2203" s="37" t="str">
        <f t="shared" si="173"/>
        <v>Cash Payment</v>
      </c>
      <c r="P2203">
        <v>209.39</v>
      </c>
      <c r="Q2203" s="37" t="str">
        <f>IF(P2203&gt;500,"High","low")</f>
        <v>low</v>
      </c>
      <c r="R2203" s="37" t="str">
        <f t="shared" si="174"/>
        <v>AVERAGE</v>
      </c>
      <c r="S2203" t="s">
        <v>615</v>
      </c>
    </row>
    <row r="2204" spans="1:19" x14ac:dyDescent="0.2">
      <c r="A2204" t="s">
        <v>2815</v>
      </c>
      <c r="B2204" t="s">
        <v>90</v>
      </c>
      <c r="C2204" t="s">
        <v>607</v>
      </c>
      <c r="D2204">
        <v>922.62</v>
      </c>
      <c r="E2204" s="37" t="str">
        <f t="shared" si="170"/>
        <v xml:space="preserve"> </v>
      </c>
      <c r="F2204">
        <v>0.49</v>
      </c>
      <c r="G2204" s="37" t="str">
        <f t="shared" si="171"/>
        <v>Heavy Discount</v>
      </c>
      <c r="H2204" s="37" t="str">
        <f t="shared" si="172"/>
        <v>High</v>
      </c>
      <c r="I2204">
        <v>9</v>
      </c>
      <c r="J2204" t="str" cm="1">
        <f t="array" ref="J2204">_xlfn.IFS(I2204&lt;=3,"small",I2204&lt;=6,"Medium",I2204&lt;=9,"Large")</f>
        <v>Large</v>
      </c>
      <c r="K2204" s="36">
        <v>45507</v>
      </c>
      <c r="L2204" s="36">
        <v>45512</v>
      </c>
      <c r="M2204" t="s">
        <v>612</v>
      </c>
      <c r="N2204" t="s">
        <v>604</v>
      </c>
      <c r="O2204" s="37" t="str">
        <f t="shared" si="173"/>
        <v>Digital Payment</v>
      </c>
      <c r="P2204">
        <v>172.37</v>
      </c>
      <c r="Q2204" s="37" t="str">
        <f>IF(P2204&gt;500,"High","low")</f>
        <v>low</v>
      </c>
      <c r="R2204" s="37" t="str">
        <f t="shared" si="174"/>
        <v>AVERAGE</v>
      </c>
      <c r="S2204" t="s">
        <v>615</v>
      </c>
    </row>
    <row r="2205" spans="1:19" x14ac:dyDescent="0.2">
      <c r="A2205" t="s">
        <v>2816</v>
      </c>
      <c r="B2205" t="s">
        <v>90</v>
      </c>
      <c r="C2205" t="s">
        <v>602</v>
      </c>
      <c r="D2205">
        <v>1098.54</v>
      </c>
      <c r="E2205" s="37" t="str">
        <f t="shared" si="170"/>
        <v xml:space="preserve"> </v>
      </c>
      <c r="F2205">
        <v>0.28999999999999998</v>
      </c>
      <c r="G2205" s="37" t="str">
        <f t="shared" si="171"/>
        <v>Normal Discount</v>
      </c>
      <c r="H2205" s="37" t="str">
        <f t="shared" si="172"/>
        <v>Medium</v>
      </c>
      <c r="I2205">
        <v>7</v>
      </c>
      <c r="J2205" t="str" cm="1">
        <f t="array" ref="J2205">_xlfn.IFS(I2205&lt;=3,"small",I2205&lt;=6,"Medium",I2205&lt;=9,"Large")</f>
        <v>Large</v>
      </c>
      <c r="K2205" s="36">
        <v>45478</v>
      </c>
      <c r="L2205" s="36">
        <v>45480</v>
      </c>
      <c r="M2205" t="s">
        <v>603</v>
      </c>
      <c r="N2205" t="s">
        <v>599</v>
      </c>
      <c r="O2205" s="37" t="str">
        <f t="shared" si="173"/>
        <v>Digital Payment</v>
      </c>
      <c r="P2205">
        <v>119.88</v>
      </c>
      <c r="Q2205" s="37" t="str">
        <f>IF(P2205&gt;500,"High","low")</f>
        <v>low</v>
      </c>
      <c r="R2205" s="37" t="str">
        <f t="shared" si="174"/>
        <v>AVERAGE</v>
      </c>
      <c r="S2205" t="s">
        <v>620</v>
      </c>
    </row>
    <row r="2206" spans="1:19" x14ac:dyDescent="0.2">
      <c r="A2206" t="s">
        <v>2817</v>
      </c>
      <c r="B2206" t="s">
        <v>75</v>
      </c>
      <c r="C2206" t="s">
        <v>607</v>
      </c>
      <c r="D2206">
        <v>4003.48</v>
      </c>
      <c r="E2206" s="37" t="str">
        <f t="shared" si="170"/>
        <v xml:space="preserve"> </v>
      </c>
      <c r="F2206">
        <v>0.42</v>
      </c>
      <c r="G2206" s="37" t="str">
        <f t="shared" si="171"/>
        <v>Heavy Discount</v>
      </c>
      <c r="H2206" s="37" t="str">
        <f t="shared" si="172"/>
        <v>High</v>
      </c>
      <c r="I2206">
        <v>4</v>
      </c>
      <c r="J2206" t="str" cm="1">
        <f t="array" ref="J2206">_xlfn.IFS(I2206&lt;=3,"small",I2206&lt;=6,"Medium",I2206&lt;=9,"Large")</f>
        <v>Medium</v>
      </c>
      <c r="K2206" s="36">
        <v>45305</v>
      </c>
      <c r="L2206" s="36">
        <v>45306</v>
      </c>
      <c r="M2206" t="s">
        <v>612</v>
      </c>
      <c r="N2206" t="s">
        <v>599</v>
      </c>
      <c r="O2206" s="37" t="str">
        <f t="shared" si="173"/>
        <v>Digital Payment</v>
      </c>
      <c r="P2206">
        <v>204.51</v>
      </c>
      <c r="Q2206" s="37" t="str">
        <f>IF(P2206&gt;500,"High","low")</f>
        <v>low</v>
      </c>
      <c r="R2206" s="37" t="str">
        <f t="shared" si="174"/>
        <v>AVERAGE</v>
      </c>
      <c r="S2206" t="s">
        <v>615</v>
      </c>
    </row>
    <row r="2207" spans="1:19" x14ac:dyDescent="0.2">
      <c r="A2207" t="s">
        <v>2818</v>
      </c>
      <c r="B2207" t="s">
        <v>75</v>
      </c>
      <c r="C2207" t="s">
        <v>617</v>
      </c>
      <c r="D2207">
        <v>1432.81</v>
      </c>
      <c r="E2207" s="37" t="str">
        <f t="shared" si="170"/>
        <v xml:space="preserve"> </v>
      </c>
      <c r="F2207">
        <v>0.13</v>
      </c>
      <c r="G2207" s="37" t="str">
        <f t="shared" si="171"/>
        <v>Normal Discount</v>
      </c>
      <c r="H2207" s="37" t="str">
        <f t="shared" si="172"/>
        <v>Low</v>
      </c>
      <c r="I2207">
        <v>8</v>
      </c>
      <c r="J2207" t="str" cm="1">
        <f t="array" ref="J2207">_xlfn.IFS(I2207&lt;=3,"small",I2207&lt;=6,"Medium",I2207&lt;=9,"Large")</f>
        <v>Large</v>
      </c>
      <c r="K2207" s="36">
        <v>44957</v>
      </c>
      <c r="L2207" s="36">
        <v>44958</v>
      </c>
      <c r="M2207" t="s">
        <v>603</v>
      </c>
      <c r="N2207" t="s">
        <v>608</v>
      </c>
      <c r="O2207" s="37" t="str">
        <f t="shared" si="173"/>
        <v>Cash Payment</v>
      </c>
      <c r="P2207">
        <v>171.35</v>
      </c>
      <c r="Q2207" s="37" t="str">
        <f>IF(P2207&gt;500,"High","low")</f>
        <v>low</v>
      </c>
      <c r="R2207" s="37" t="str">
        <f t="shared" si="174"/>
        <v>AVERAGE</v>
      </c>
      <c r="S2207" t="s">
        <v>620</v>
      </c>
    </row>
    <row r="2208" spans="1:19" x14ac:dyDescent="0.2">
      <c r="A2208" t="s">
        <v>2819</v>
      </c>
      <c r="B2208" t="s">
        <v>90</v>
      </c>
      <c r="C2208" t="s">
        <v>607</v>
      </c>
      <c r="D2208">
        <v>4000.09</v>
      </c>
      <c r="E2208" s="37" t="str">
        <f t="shared" si="170"/>
        <v>Excellent Order</v>
      </c>
      <c r="F2208">
        <v>0.48</v>
      </c>
      <c r="G2208" s="37" t="str">
        <f t="shared" si="171"/>
        <v>Heavy Discount</v>
      </c>
      <c r="H2208" s="37" t="str">
        <f t="shared" si="172"/>
        <v>High</v>
      </c>
      <c r="I2208">
        <v>7</v>
      </c>
      <c r="J2208" t="str" cm="1">
        <f t="array" ref="J2208">_xlfn.IFS(I2208&lt;=3,"small",I2208&lt;=6,"Medium",I2208&lt;=9,"Large")</f>
        <v>Large</v>
      </c>
      <c r="K2208" s="36">
        <v>45322</v>
      </c>
      <c r="L2208" s="36">
        <v>45325</v>
      </c>
      <c r="M2208" t="s">
        <v>612</v>
      </c>
      <c r="N2208" t="s">
        <v>604</v>
      </c>
      <c r="O2208" s="37" t="str">
        <f t="shared" si="173"/>
        <v>Digital Payment</v>
      </c>
      <c r="P2208">
        <v>982.27</v>
      </c>
      <c r="Q2208" s="37" t="str">
        <f>IF(P2208&gt;500,"High","low")</f>
        <v>High</v>
      </c>
      <c r="R2208" s="37" t="str">
        <f t="shared" si="174"/>
        <v>Good</v>
      </c>
      <c r="S2208" t="s">
        <v>605</v>
      </c>
    </row>
    <row r="2209" spans="1:19" x14ac:dyDescent="0.2">
      <c r="A2209" t="s">
        <v>2820</v>
      </c>
      <c r="B2209" t="s">
        <v>67</v>
      </c>
      <c r="C2209" t="s">
        <v>614</v>
      </c>
      <c r="D2209">
        <v>2748.57</v>
      </c>
      <c r="E2209" s="37" t="str">
        <f t="shared" si="170"/>
        <v xml:space="preserve"> </v>
      </c>
      <c r="F2209">
        <v>0.01</v>
      </c>
      <c r="G2209" s="37" t="str">
        <f t="shared" si="171"/>
        <v>Normal Discount</v>
      </c>
      <c r="H2209" s="37" t="str">
        <f t="shared" si="172"/>
        <v>Low</v>
      </c>
      <c r="I2209">
        <v>6</v>
      </c>
      <c r="J2209" t="str" cm="1">
        <f t="array" ref="J2209">_xlfn.IFS(I2209&lt;=3,"small",I2209&lt;=6,"Medium",I2209&lt;=9,"Large")</f>
        <v>Medium</v>
      </c>
      <c r="K2209" s="36">
        <v>45224</v>
      </c>
      <c r="L2209" s="36">
        <v>45229</v>
      </c>
      <c r="M2209" t="s">
        <v>612</v>
      </c>
      <c r="N2209" t="s">
        <v>604</v>
      </c>
      <c r="O2209" s="37" t="str">
        <f t="shared" si="173"/>
        <v>Digital Payment</v>
      </c>
      <c r="P2209">
        <v>804.81</v>
      </c>
      <c r="Q2209" s="37" t="str">
        <f>IF(P2209&gt;500,"High","low")</f>
        <v>High</v>
      </c>
      <c r="R2209" s="37" t="str">
        <f t="shared" si="174"/>
        <v>Good</v>
      </c>
      <c r="S2209" t="s">
        <v>605</v>
      </c>
    </row>
    <row r="2210" spans="1:19" x14ac:dyDescent="0.2">
      <c r="A2210" t="s">
        <v>2821</v>
      </c>
      <c r="B2210" t="s">
        <v>83</v>
      </c>
      <c r="C2210" t="s">
        <v>602</v>
      </c>
      <c r="D2210">
        <v>3859.14</v>
      </c>
      <c r="E2210" s="37" t="str">
        <f t="shared" si="170"/>
        <v xml:space="preserve"> </v>
      </c>
      <c r="F2210">
        <v>0.47</v>
      </c>
      <c r="G2210" s="37" t="str">
        <f t="shared" si="171"/>
        <v>Heavy Discount</v>
      </c>
      <c r="H2210" s="37" t="str">
        <f t="shared" si="172"/>
        <v>High</v>
      </c>
      <c r="I2210">
        <v>4</v>
      </c>
      <c r="J2210" t="str" cm="1">
        <f t="array" ref="J2210">_xlfn.IFS(I2210&lt;=3,"small",I2210&lt;=6,"Medium",I2210&lt;=9,"Large")</f>
        <v>Medium</v>
      </c>
      <c r="K2210" s="36">
        <v>45196</v>
      </c>
      <c r="L2210" s="36">
        <v>45202</v>
      </c>
      <c r="M2210" t="s">
        <v>598</v>
      </c>
      <c r="N2210" t="s">
        <v>604</v>
      </c>
      <c r="O2210" s="37" t="str">
        <f t="shared" si="173"/>
        <v>Digital Payment</v>
      </c>
      <c r="P2210">
        <v>926.1</v>
      </c>
      <c r="Q2210" s="37" t="str">
        <f>IF(P2210&gt;500,"High","low")</f>
        <v>High</v>
      </c>
      <c r="R2210" s="37" t="str">
        <f t="shared" si="174"/>
        <v>Good</v>
      </c>
      <c r="S2210" t="s">
        <v>609</v>
      </c>
    </row>
    <row r="2211" spans="1:19" x14ac:dyDescent="0.2">
      <c r="A2211" t="s">
        <v>2822</v>
      </c>
      <c r="B2211" t="s">
        <v>75</v>
      </c>
      <c r="C2211" t="s">
        <v>602</v>
      </c>
      <c r="D2211">
        <v>2813</v>
      </c>
      <c r="E2211" s="37" t="str">
        <f t="shared" si="170"/>
        <v xml:space="preserve"> </v>
      </c>
      <c r="F2211">
        <v>0.45</v>
      </c>
      <c r="G2211" s="37" t="str">
        <f t="shared" si="171"/>
        <v>Heavy Discount</v>
      </c>
      <c r="H2211" s="37" t="str">
        <f t="shared" si="172"/>
        <v>High</v>
      </c>
      <c r="I2211">
        <v>5</v>
      </c>
      <c r="J2211" t="str" cm="1">
        <f t="array" ref="J2211">_xlfn.IFS(I2211&lt;=3,"small",I2211&lt;=6,"Medium",I2211&lt;=9,"Large")</f>
        <v>Medium</v>
      </c>
      <c r="K2211" s="36">
        <v>45626</v>
      </c>
      <c r="L2211" s="36">
        <v>45629</v>
      </c>
      <c r="M2211" t="s">
        <v>612</v>
      </c>
      <c r="N2211" t="s">
        <v>599</v>
      </c>
      <c r="O2211" s="37" t="str">
        <f t="shared" si="173"/>
        <v>Digital Payment</v>
      </c>
      <c r="P2211">
        <v>444.17</v>
      </c>
      <c r="Q2211" s="37" t="str">
        <f>IF(P2211&gt;500,"High","low")</f>
        <v>low</v>
      </c>
      <c r="R2211" s="37" t="str">
        <f t="shared" si="174"/>
        <v>AVERAGE</v>
      </c>
      <c r="S2211" t="s">
        <v>600</v>
      </c>
    </row>
    <row r="2212" spans="1:19" x14ac:dyDescent="0.2">
      <c r="A2212" t="s">
        <v>2823</v>
      </c>
      <c r="B2212" t="s">
        <v>75</v>
      </c>
      <c r="C2212" t="s">
        <v>617</v>
      </c>
      <c r="D2212">
        <v>1745.27</v>
      </c>
      <c r="E2212" s="37" t="str">
        <f t="shared" si="170"/>
        <v xml:space="preserve"> </v>
      </c>
      <c r="F2212">
        <v>0.03</v>
      </c>
      <c r="G2212" s="37" t="str">
        <f t="shared" si="171"/>
        <v>Normal Discount</v>
      </c>
      <c r="H2212" s="37" t="str">
        <f t="shared" si="172"/>
        <v>Low</v>
      </c>
      <c r="I2212">
        <v>8</v>
      </c>
      <c r="J2212" t="str" cm="1">
        <f t="array" ref="J2212">_xlfn.IFS(I2212&lt;=3,"small",I2212&lt;=6,"Medium",I2212&lt;=9,"Large")</f>
        <v>Large</v>
      </c>
      <c r="K2212" s="36">
        <v>45405</v>
      </c>
      <c r="L2212" s="36">
        <v>45412</v>
      </c>
      <c r="M2212" t="s">
        <v>598</v>
      </c>
      <c r="N2212" t="s">
        <v>608</v>
      </c>
      <c r="O2212" s="37" t="str">
        <f t="shared" si="173"/>
        <v>Cash Payment</v>
      </c>
      <c r="P2212">
        <v>457.07</v>
      </c>
      <c r="Q2212" s="37" t="str">
        <f>IF(P2212&gt;500,"High","low")</f>
        <v>low</v>
      </c>
      <c r="R2212" s="37" t="str">
        <f t="shared" si="174"/>
        <v>AVERAGE</v>
      </c>
      <c r="S2212" t="s">
        <v>600</v>
      </c>
    </row>
    <row r="2213" spans="1:19" x14ac:dyDescent="0.2">
      <c r="A2213" t="s">
        <v>2824</v>
      </c>
      <c r="B2213" t="s">
        <v>90</v>
      </c>
      <c r="C2213" t="s">
        <v>607</v>
      </c>
      <c r="D2213">
        <v>4562.5</v>
      </c>
      <c r="E2213" s="37" t="str">
        <f t="shared" si="170"/>
        <v>Excellent Order</v>
      </c>
      <c r="F2213">
        <v>0.3</v>
      </c>
      <c r="G2213" s="37" t="str">
        <f t="shared" si="171"/>
        <v>Normal Discount</v>
      </c>
      <c r="H2213" s="37" t="str">
        <f t="shared" si="172"/>
        <v>Medium</v>
      </c>
      <c r="I2213">
        <v>3</v>
      </c>
      <c r="J2213" t="str" cm="1">
        <f t="array" ref="J2213">_xlfn.IFS(I2213&lt;=3,"small",I2213&lt;=6,"Medium",I2213&lt;=9,"Large")</f>
        <v>small</v>
      </c>
      <c r="K2213" s="36">
        <v>45553</v>
      </c>
      <c r="L2213" s="36">
        <v>45558</v>
      </c>
      <c r="M2213" t="s">
        <v>598</v>
      </c>
      <c r="N2213" t="s">
        <v>608</v>
      </c>
      <c r="O2213" s="37" t="str">
        <f t="shared" si="173"/>
        <v>Cash Payment</v>
      </c>
      <c r="P2213">
        <v>1364.11</v>
      </c>
      <c r="Q2213" s="37" t="str">
        <f>IF(P2213&gt;500,"High","low")</f>
        <v>High</v>
      </c>
      <c r="R2213" s="37" t="str">
        <f t="shared" si="174"/>
        <v>Excellent</v>
      </c>
      <c r="S2213" t="s">
        <v>620</v>
      </c>
    </row>
    <row r="2214" spans="1:19" x14ac:dyDescent="0.2">
      <c r="A2214" t="s">
        <v>2825</v>
      </c>
      <c r="B2214" t="s">
        <v>83</v>
      </c>
      <c r="C2214" t="s">
        <v>614</v>
      </c>
      <c r="D2214">
        <v>3604.95</v>
      </c>
      <c r="E2214" s="37" t="str">
        <f t="shared" si="170"/>
        <v xml:space="preserve"> </v>
      </c>
      <c r="F2214">
        <v>0.39</v>
      </c>
      <c r="G2214" s="37" t="str">
        <f t="shared" si="171"/>
        <v>Heavy Discount</v>
      </c>
      <c r="H2214" s="37" t="str">
        <f t="shared" si="172"/>
        <v>Medium</v>
      </c>
      <c r="I2214">
        <v>3</v>
      </c>
      <c r="J2214" t="str" cm="1">
        <f t="array" ref="J2214">_xlfn.IFS(I2214&lt;=3,"small",I2214&lt;=6,"Medium",I2214&lt;=9,"Large")</f>
        <v>small</v>
      </c>
      <c r="K2214" s="36">
        <v>45151</v>
      </c>
      <c r="L2214" s="36">
        <v>45156</v>
      </c>
      <c r="M2214" t="s">
        <v>612</v>
      </c>
      <c r="N2214" t="s">
        <v>604</v>
      </c>
      <c r="O2214" s="37" t="str">
        <f t="shared" si="173"/>
        <v>Digital Payment</v>
      </c>
      <c r="P2214">
        <v>457.85</v>
      </c>
      <c r="Q2214" s="37" t="str">
        <f>IF(P2214&gt;500,"High","low")</f>
        <v>low</v>
      </c>
      <c r="R2214" s="37" t="str">
        <f t="shared" si="174"/>
        <v>AVERAGE</v>
      </c>
      <c r="S2214" t="s">
        <v>609</v>
      </c>
    </row>
    <row r="2215" spans="1:19" x14ac:dyDescent="0.2">
      <c r="A2215" t="s">
        <v>2826</v>
      </c>
      <c r="B2215" t="s">
        <v>90</v>
      </c>
      <c r="C2215" t="s">
        <v>607</v>
      </c>
      <c r="D2215">
        <v>2471.87</v>
      </c>
      <c r="E2215" s="37" t="str">
        <f t="shared" si="170"/>
        <v xml:space="preserve"> </v>
      </c>
      <c r="F2215">
        <v>0.2</v>
      </c>
      <c r="G2215" s="37" t="str">
        <f t="shared" si="171"/>
        <v>Normal Discount</v>
      </c>
      <c r="H2215" s="37" t="str">
        <f t="shared" si="172"/>
        <v>Medium</v>
      </c>
      <c r="I2215">
        <v>5</v>
      </c>
      <c r="J2215" t="str" cm="1">
        <f t="array" ref="J2215">_xlfn.IFS(I2215&lt;=3,"small",I2215&lt;=6,"Medium",I2215&lt;=9,"Large")</f>
        <v>Medium</v>
      </c>
      <c r="K2215" s="36">
        <v>45528</v>
      </c>
      <c r="L2215" s="36">
        <v>45530</v>
      </c>
      <c r="M2215" t="s">
        <v>612</v>
      </c>
      <c r="N2215" t="s">
        <v>604</v>
      </c>
      <c r="O2215" s="37" t="str">
        <f t="shared" si="173"/>
        <v>Digital Payment</v>
      </c>
      <c r="P2215">
        <v>376.81</v>
      </c>
      <c r="Q2215" s="37" t="str">
        <f>IF(P2215&gt;500,"High","low")</f>
        <v>low</v>
      </c>
      <c r="R2215" s="37" t="str">
        <f t="shared" si="174"/>
        <v>AVERAGE</v>
      </c>
      <c r="S2215" t="s">
        <v>605</v>
      </c>
    </row>
    <row r="2216" spans="1:19" x14ac:dyDescent="0.2">
      <c r="A2216" t="s">
        <v>2827</v>
      </c>
      <c r="B2216" t="s">
        <v>83</v>
      </c>
      <c r="C2216" t="s">
        <v>597</v>
      </c>
      <c r="D2216">
        <v>3223.4</v>
      </c>
      <c r="E2216" s="37" t="str">
        <f t="shared" si="170"/>
        <v xml:space="preserve"> </v>
      </c>
      <c r="F2216">
        <v>0.05</v>
      </c>
      <c r="G2216" s="37" t="str">
        <f t="shared" si="171"/>
        <v>Normal Discount</v>
      </c>
      <c r="H2216" s="37" t="str">
        <f t="shared" si="172"/>
        <v>Low</v>
      </c>
      <c r="I2216">
        <v>9</v>
      </c>
      <c r="J2216" t="str" cm="1">
        <f t="array" ref="J2216">_xlfn.IFS(I2216&lt;=3,"small",I2216&lt;=6,"Medium",I2216&lt;=9,"Large")</f>
        <v>Large</v>
      </c>
      <c r="K2216" s="36">
        <v>45440</v>
      </c>
      <c r="L2216" s="36">
        <v>45443</v>
      </c>
      <c r="M2216" t="s">
        <v>603</v>
      </c>
      <c r="N2216" t="s">
        <v>604</v>
      </c>
      <c r="O2216" s="37" t="str">
        <f t="shared" si="173"/>
        <v>Digital Payment</v>
      </c>
      <c r="P2216">
        <v>509.07</v>
      </c>
      <c r="Q2216" s="37" t="str">
        <f>IF(P2216&gt;500,"High","low")</f>
        <v>High</v>
      </c>
      <c r="R2216" s="37" t="str">
        <f t="shared" si="174"/>
        <v>Good</v>
      </c>
      <c r="S2216" t="s">
        <v>628</v>
      </c>
    </row>
    <row r="2217" spans="1:19" x14ac:dyDescent="0.2">
      <c r="A2217" t="s">
        <v>2828</v>
      </c>
      <c r="B2217" t="s">
        <v>83</v>
      </c>
      <c r="C2217" t="s">
        <v>607</v>
      </c>
      <c r="D2217">
        <v>3117.63</v>
      </c>
      <c r="E2217" s="37" t="str">
        <f t="shared" si="170"/>
        <v xml:space="preserve"> </v>
      </c>
      <c r="F2217">
        <v>0.41</v>
      </c>
      <c r="G2217" s="37" t="str">
        <f t="shared" si="171"/>
        <v>Heavy Discount</v>
      </c>
      <c r="H2217" s="37" t="str">
        <f t="shared" si="172"/>
        <v>High</v>
      </c>
      <c r="I2217">
        <v>5</v>
      </c>
      <c r="J2217" t="str" cm="1">
        <f t="array" ref="J2217">_xlfn.IFS(I2217&lt;=3,"small",I2217&lt;=6,"Medium",I2217&lt;=9,"Large")</f>
        <v>Medium</v>
      </c>
      <c r="K2217" s="36">
        <v>45341</v>
      </c>
      <c r="L2217" s="36">
        <v>45344</v>
      </c>
      <c r="M2217" t="s">
        <v>598</v>
      </c>
      <c r="N2217" t="s">
        <v>608</v>
      </c>
      <c r="O2217" s="37" t="str">
        <f t="shared" si="173"/>
        <v>Cash Payment</v>
      </c>
      <c r="P2217">
        <v>454.81</v>
      </c>
      <c r="Q2217" s="37" t="str">
        <f>IF(P2217&gt;500,"High","low")</f>
        <v>low</v>
      </c>
      <c r="R2217" s="37" t="str">
        <f t="shared" si="174"/>
        <v>AVERAGE</v>
      </c>
      <c r="S2217" t="s">
        <v>628</v>
      </c>
    </row>
    <row r="2218" spans="1:19" x14ac:dyDescent="0.2">
      <c r="A2218" t="s">
        <v>2829</v>
      </c>
      <c r="B2218" t="s">
        <v>83</v>
      </c>
      <c r="C2218" t="s">
        <v>617</v>
      </c>
      <c r="D2218">
        <v>1854.77</v>
      </c>
      <c r="E2218" s="37" t="str">
        <f t="shared" si="170"/>
        <v xml:space="preserve"> </v>
      </c>
      <c r="F2218">
        <v>0.23</v>
      </c>
      <c r="G2218" s="37" t="str">
        <f t="shared" si="171"/>
        <v>Normal Discount</v>
      </c>
      <c r="H2218" s="37" t="str">
        <f t="shared" si="172"/>
        <v>Medium</v>
      </c>
      <c r="I2218">
        <v>1</v>
      </c>
      <c r="J2218" t="str" cm="1">
        <f t="array" ref="J2218">_xlfn.IFS(I2218&lt;=3,"small",I2218&lt;=6,"Medium",I2218&lt;=9,"Large")</f>
        <v>small</v>
      </c>
      <c r="K2218" s="36">
        <v>45365</v>
      </c>
      <c r="L2218" s="36">
        <v>45368</v>
      </c>
      <c r="M2218" t="s">
        <v>612</v>
      </c>
      <c r="N2218" t="s">
        <v>608</v>
      </c>
      <c r="O2218" s="37" t="str">
        <f t="shared" si="173"/>
        <v>Cash Payment</v>
      </c>
      <c r="P2218">
        <v>391.25</v>
      </c>
      <c r="Q2218" s="37" t="str">
        <f>IF(P2218&gt;500,"High","low")</f>
        <v>low</v>
      </c>
      <c r="R2218" s="37" t="str">
        <f t="shared" si="174"/>
        <v>AVERAGE</v>
      </c>
      <c r="S2218" t="s">
        <v>605</v>
      </c>
    </row>
    <row r="2219" spans="1:19" x14ac:dyDescent="0.2">
      <c r="A2219" t="s">
        <v>2830</v>
      </c>
      <c r="B2219" t="s">
        <v>75</v>
      </c>
      <c r="C2219" t="s">
        <v>607</v>
      </c>
      <c r="D2219">
        <v>2176.48</v>
      </c>
      <c r="E2219" s="37" t="str">
        <f t="shared" si="170"/>
        <v xml:space="preserve"> </v>
      </c>
      <c r="F2219">
        <v>0.13</v>
      </c>
      <c r="G2219" s="37" t="str">
        <f t="shared" si="171"/>
        <v>Normal Discount</v>
      </c>
      <c r="H2219" s="37" t="str">
        <f t="shared" si="172"/>
        <v>Low</v>
      </c>
      <c r="I2219">
        <v>5</v>
      </c>
      <c r="J2219" t="str" cm="1">
        <f t="array" ref="J2219">_xlfn.IFS(I2219&lt;=3,"small",I2219&lt;=6,"Medium",I2219&lt;=9,"Large")</f>
        <v>Medium</v>
      </c>
      <c r="K2219" s="36">
        <v>44961</v>
      </c>
      <c r="L2219" s="36">
        <v>44962</v>
      </c>
      <c r="M2219" t="s">
        <v>598</v>
      </c>
      <c r="N2219" t="s">
        <v>599</v>
      </c>
      <c r="O2219" s="37" t="str">
        <f t="shared" si="173"/>
        <v>Digital Payment</v>
      </c>
      <c r="P2219">
        <v>583.20000000000005</v>
      </c>
      <c r="Q2219" s="37" t="str">
        <f>IF(P2219&gt;500,"High","low")</f>
        <v>High</v>
      </c>
      <c r="R2219" s="37" t="str">
        <f t="shared" si="174"/>
        <v>Good</v>
      </c>
      <c r="S2219" t="s">
        <v>605</v>
      </c>
    </row>
    <row r="2220" spans="1:19" x14ac:dyDescent="0.2">
      <c r="A2220" t="s">
        <v>2831</v>
      </c>
      <c r="B2220" t="s">
        <v>67</v>
      </c>
      <c r="C2220" t="s">
        <v>602</v>
      </c>
      <c r="D2220">
        <v>1659.46</v>
      </c>
      <c r="E2220" s="37" t="str">
        <f t="shared" si="170"/>
        <v xml:space="preserve"> </v>
      </c>
      <c r="F2220">
        <v>0.04</v>
      </c>
      <c r="G2220" s="37" t="str">
        <f t="shared" si="171"/>
        <v>Normal Discount</v>
      </c>
      <c r="H2220" s="37" t="str">
        <f t="shared" si="172"/>
        <v>Low</v>
      </c>
      <c r="I2220">
        <v>9</v>
      </c>
      <c r="J2220" t="str" cm="1">
        <f t="array" ref="J2220">_xlfn.IFS(I2220&lt;=3,"small",I2220&lt;=6,"Medium",I2220&lt;=9,"Large")</f>
        <v>Large</v>
      </c>
      <c r="K2220" s="36">
        <v>44953</v>
      </c>
      <c r="L2220" s="36">
        <v>44957</v>
      </c>
      <c r="M2220" t="s">
        <v>598</v>
      </c>
      <c r="N2220" t="s">
        <v>608</v>
      </c>
      <c r="O2220" s="37" t="str">
        <f t="shared" si="173"/>
        <v>Cash Payment</v>
      </c>
      <c r="P2220">
        <v>442.23</v>
      </c>
      <c r="Q2220" s="37" t="str">
        <f>IF(P2220&gt;500,"High","low")</f>
        <v>low</v>
      </c>
      <c r="R2220" s="37" t="str">
        <f t="shared" si="174"/>
        <v>AVERAGE</v>
      </c>
      <c r="S2220" t="s">
        <v>628</v>
      </c>
    </row>
    <row r="2221" spans="1:19" x14ac:dyDescent="0.2">
      <c r="A2221" t="s">
        <v>2832</v>
      </c>
      <c r="B2221" t="s">
        <v>90</v>
      </c>
      <c r="C2221" t="s">
        <v>614</v>
      </c>
      <c r="D2221">
        <v>4997.6400000000003</v>
      </c>
      <c r="E2221" s="37" t="str">
        <f t="shared" si="170"/>
        <v xml:space="preserve"> </v>
      </c>
      <c r="F2221">
        <v>0.32</v>
      </c>
      <c r="G2221" s="37" t="str">
        <f t="shared" si="171"/>
        <v>Heavy Discount</v>
      </c>
      <c r="H2221" s="37" t="str">
        <f t="shared" si="172"/>
        <v>Medium</v>
      </c>
      <c r="I2221">
        <v>7</v>
      </c>
      <c r="J2221" t="str" cm="1">
        <f t="array" ref="J2221">_xlfn.IFS(I2221&lt;=3,"small",I2221&lt;=6,"Medium",I2221&lt;=9,"Large")</f>
        <v>Large</v>
      </c>
      <c r="K2221" s="36">
        <v>45571</v>
      </c>
      <c r="L2221" s="36">
        <v>45573</v>
      </c>
      <c r="M2221" t="s">
        <v>612</v>
      </c>
      <c r="N2221" t="s">
        <v>608</v>
      </c>
      <c r="O2221" s="37" t="str">
        <f t="shared" si="173"/>
        <v>Cash Payment</v>
      </c>
      <c r="P2221">
        <v>378.93</v>
      </c>
      <c r="Q2221" s="37" t="str">
        <f>IF(P2221&gt;500,"High","low")</f>
        <v>low</v>
      </c>
      <c r="R2221" s="37" t="str">
        <f t="shared" si="174"/>
        <v>AVERAGE</v>
      </c>
      <c r="S2221" t="s">
        <v>609</v>
      </c>
    </row>
    <row r="2222" spans="1:19" x14ac:dyDescent="0.2">
      <c r="A2222" t="s">
        <v>2833</v>
      </c>
      <c r="B2222" t="s">
        <v>67</v>
      </c>
      <c r="C2222" t="s">
        <v>617</v>
      </c>
      <c r="D2222">
        <v>2942.32</v>
      </c>
      <c r="E2222" s="37" t="str">
        <f t="shared" si="170"/>
        <v xml:space="preserve"> </v>
      </c>
      <c r="F2222">
        <v>0.02</v>
      </c>
      <c r="G2222" s="37" t="str">
        <f t="shared" si="171"/>
        <v>Normal Discount</v>
      </c>
      <c r="H2222" s="37" t="str">
        <f t="shared" si="172"/>
        <v>Low</v>
      </c>
      <c r="I2222">
        <v>9</v>
      </c>
      <c r="J2222" t="str" cm="1">
        <f t="array" ref="J2222">_xlfn.IFS(I2222&lt;=3,"small",I2222&lt;=6,"Medium",I2222&lt;=9,"Large")</f>
        <v>Large</v>
      </c>
      <c r="K2222" s="36">
        <v>45001</v>
      </c>
      <c r="L2222" s="36">
        <v>45007</v>
      </c>
      <c r="M2222" t="s">
        <v>612</v>
      </c>
      <c r="N2222" t="s">
        <v>599</v>
      </c>
      <c r="O2222" s="37" t="str">
        <f t="shared" si="173"/>
        <v>Digital Payment</v>
      </c>
      <c r="P2222">
        <v>168.72</v>
      </c>
      <c r="Q2222" s="37" t="str">
        <f>IF(P2222&gt;500,"High","low")</f>
        <v>low</v>
      </c>
      <c r="R2222" s="37" t="str">
        <f t="shared" si="174"/>
        <v>AVERAGE</v>
      </c>
      <c r="S2222" t="s">
        <v>609</v>
      </c>
    </row>
    <row r="2223" spans="1:19" x14ac:dyDescent="0.2">
      <c r="A2223" t="s">
        <v>2834</v>
      </c>
      <c r="B2223" t="s">
        <v>90</v>
      </c>
      <c r="C2223" t="s">
        <v>597</v>
      </c>
      <c r="D2223">
        <v>551.07000000000005</v>
      </c>
      <c r="E2223" s="37" t="str">
        <f t="shared" si="170"/>
        <v xml:space="preserve"> </v>
      </c>
      <c r="F2223">
        <v>0.4</v>
      </c>
      <c r="G2223" s="37" t="str">
        <f t="shared" si="171"/>
        <v>Heavy Discount</v>
      </c>
      <c r="H2223" s="37" t="str">
        <f t="shared" si="172"/>
        <v>Medium</v>
      </c>
      <c r="I2223">
        <v>5</v>
      </c>
      <c r="J2223" t="str" cm="1">
        <f t="array" ref="J2223">_xlfn.IFS(I2223&lt;=3,"small",I2223&lt;=6,"Medium",I2223&lt;=9,"Large")</f>
        <v>Medium</v>
      </c>
      <c r="K2223" s="36">
        <v>45530</v>
      </c>
      <c r="L2223" s="36">
        <v>45533</v>
      </c>
      <c r="M2223" t="s">
        <v>598</v>
      </c>
      <c r="N2223" t="s">
        <v>608</v>
      </c>
      <c r="O2223" s="37" t="str">
        <f t="shared" si="173"/>
        <v>Cash Payment</v>
      </c>
      <c r="P2223">
        <v>87.59</v>
      </c>
      <c r="Q2223" s="37" t="str">
        <f>IF(P2223&gt;500,"High","low")</f>
        <v>low</v>
      </c>
      <c r="R2223" s="37" t="str">
        <f t="shared" si="174"/>
        <v>AVERAGE</v>
      </c>
      <c r="S2223" t="s">
        <v>615</v>
      </c>
    </row>
    <row r="2224" spans="1:19" x14ac:dyDescent="0.2">
      <c r="A2224" t="s">
        <v>2835</v>
      </c>
      <c r="B2224" t="s">
        <v>83</v>
      </c>
      <c r="C2224" t="s">
        <v>614</v>
      </c>
      <c r="D2224">
        <v>2643.63</v>
      </c>
      <c r="E2224" s="37" t="str">
        <f t="shared" si="170"/>
        <v xml:space="preserve"> </v>
      </c>
      <c r="F2224">
        <v>0.39</v>
      </c>
      <c r="G2224" s="37" t="str">
        <f t="shared" si="171"/>
        <v>Heavy Discount</v>
      </c>
      <c r="H2224" s="37" t="str">
        <f t="shared" si="172"/>
        <v>Medium</v>
      </c>
      <c r="I2224">
        <v>3</v>
      </c>
      <c r="J2224" t="str" cm="1">
        <f t="array" ref="J2224">_xlfn.IFS(I2224&lt;=3,"small",I2224&lt;=6,"Medium",I2224&lt;=9,"Large")</f>
        <v>small</v>
      </c>
      <c r="K2224" s="36">
        <v>45326</v>
      </c>
      <c r="L2224" s="36">
        <v>45331</v>
      </c>
      <c r="M2224" t="s">
        <v>612</v>
      </c>
      <c r="N2224" t="s">
        <v>608</v>
      </c>
      <c r="O2224" s="37" t="str">
        <f t="shared" si="173"/>
        <v>Cash Payment</v>
      </c>
      <c r="P2224">
        <v>226.97</v>
      </c>
      <c r="Q2224" s="37" t="str">
        <f>IF(P2224&gt;500,"High","low")</f>
        <v>low</v>
      </c>
      <c r="R2224" s="37" t="str">
        <f t="shared" si="174"/>
        <v>AVERAGE</v>
      </c>
      <c r="S2224" t="s">
        <v>628</v>
      </c>
    </row>
    <row r="2225" spans="1:19" x14ac:dyDescent="0.2">
      <c r="A2225" t="s">
        <v>2836</v>
      </c>
      <c r="B2225" t="s">
        <v>75</v>
      </c>
      <c r="C2225" t="s">
        <v>614</v>
      </c>
      <c r="D2225">
        <v>344.81</v>
      </c>
      <c r="E2225" s="37" t="str">
        <f t="shared" si="170"/>
        <v xml:space="preserve"> </v>
      </c>
      <c r="F2225">
        <v>0.16</v>
      </c>
      <c r="G2225" s="37" t="str">
        <f t="shared" si="171"/>
        <v>Normal Discount</v>
      </c>
      <c r="H2225" s="37" t="str">
        <f t="shared" si="172"/>
        <v>Low</v>
      </c>
      <c r="I2225">
        <v>2</v>
      </c>
      <c r="J2225" t="str" cm="1">
        <f t="array" ref="J2225">_xlfn.IFS(I2225&lt;=3,"small",I2225&lt;=6,"Medium",I2225&lt;=9,"Large")</f>
        <v>small</v>
      </c>
      <c r="K2225" s="36">
        <v>45298</v>
      </c>
      <c r="L2225" s="36">
        <v>45304</v>
      </c>
      <c r="M2225" t="s">
        <v>598</v>
      </c>
      <c r="N2225" t="s">
        <v>604</v>
      </c>
      <c r="O2225" s="37" t="str">
        <f t="shared" si="173"/>
        <v>Digital Payment</v>
      </c>
      <c r="P2225">
        <v>23.26</v>
      </c>
      <c r="Q2225" s="37" t="str">
        <f>IF(P2225&gt;500,"High","low")</f>
        <v>low</v>
      </c>
      <c r="R2225" s="37" t="str">
        <f t="shared" si="174"/>
        <v>AVERAGE</v>
      </c>
      <c r="S2225" t="s">
        <v>605</v>
      </c>
    </row>
    <row r="2226" spans="1:19" x14ac:dyDescent="0.2">
      <c r="A2226" t="s">
        <v>2837</v>
      </c>
      <c r="B2226" t="s">
        <v>67</v>
      </c>
      <c r="C2226" t="s">
        <v>602</v>
      </c>
      <c r="D2226">
        <v>1514.4</v>
      </c>
      <c r="E2226" s="37" t="str">
        <f t="shared" si="170"/>
        <v xml:space="preserve"> </v>
      </c>
      <c r="F2226">
        <v>0.24</v>
      </c>
      <c r="G2226" s="37" t="str">
        <f t="shared" si="171"/>
        <v>Normal Discount</v>
      </c>
      <c r="H2226" s="37" t="str">
        <f t="shared" si="172"/>
        <v>Medium</v>
      </c>
      <c r="I2226">
        <v>9</v>
      </c>
      <c r="J2226" t="str" cm="1">
        <f t="array" ref="J2226">_xlfn.IFS(I2226&lt;=3,"small",I2226&lt;=6,"Medium",I2226&lt;=9,"Large")</f>
        <v>Large</v>
      </c>
      <c r="K2226" s="36">
        <v>45272</v>
      </c>
      <c r="L2226" s="36">
        <v>45278</v>
      </c>
      <c r="M2226" t="s">
        <v>603</v>
      </c>
      <c r="N2226" t="s">
        <v>599</v>
      </c>
      <c r="O2226" s="37" t="str">
        <f t="shared" si="173"/>
        <v>Digital Payment</v>
      </c>
      <c r="P2226">
        <v>116.49</v>
      </c>
      <c r="Q2226" s="37" t="str">
        <f>IF(P2226&gt;500,"High","low")</f>
        <v>low</v>
      </c>
      <c r="R2226" s="37" t="str">
        <f t="shared" si="174"/>
        <v>AVERAGE</v>
      </c>
      <c r="S2226" t="s">
        <v>600</v>
      </c>
    </row>
    <row r="2227" spans="1:19" x14ac:dyDescent="0.2">
      <c r="A2227" t="s">
        <v>2838</v>
      </c>
      <c r="B2227" t="s">
        <v>75</v>
      </c>
      <c r="C2227" t="s">
        <v>602</v>
      </c>
      <c r="D2227">
        <v>2285.21</v>
      </c>
      <c r="E2227" s="37" t="str">
        <f t="shared" si="170"/>
        <v xml:space="preserve"> </v>
      </c>
      <c r="F2227">
        <v>0.33</v>
      </c>
      <c r="G2227" s="37" t="str">
        <f t="shared" si="171"/>
        <v>Heavy Discount</v>
      </c>
      <c r="H2227" s="37" t="str">
        <f t="shared" si="172"/>
        <v>Medium</v>
      </c>
      <c r="I2227">
        <v>5</v>
      </c>
      <c r="J2227" t="str" cm="1">
        <f t="array" ref="J2227">_xlfn.IFS(I2227&lt;=3,"small",I2227&lt;=6,"Medium",I2227&lt;=9,"Large")</f>
        <v>Medium</v>
      </c>
      <c r="K2227" s="36">
        <v>45270</v>
      </c>
      <c r="L2227" s="36">
        <v>45275</v>
      </c>
      <c r="M2227" t="s">
        <v>603</v>
      </c>
      <c r="N2227" t="s">
        <v>604</v>
      </c>
      <c r="O2227" s="37" t="str">
        <f t="shared" si="173"/>
        <v>Digital Payment</v>
      </c>
      <c r="P2227">
        <v>476.95</v>
      </c>
      <c r="Q2227" s="37" t="str">
        <f>IF(P2227&gt;500,"High","low")</f>
        <v>low</v>
      </c>
      <c r="R2227" s="37" t="str">
        <f t="shared" si="174"/>
        <v>AVERAGE</v>
      </c>
      <c r="S2227" t="s">
        <v>600</v>
      </c>
    </row>
    <row r="2228" spans="1:19" x14ac:dyDescent="0.2">
      <c r="A2228" t="s">
        <v>2839</v>
      </c>
      <c r="B2228" t="s">
        <v>90</v>
      </c>
      <c r="C2228" t="s">
        <v>602</v>
      </c>
      <c r="D2228">
        <v>2717.93</v>
      </c>
      <c r="E2228" s="37" t="str">
        <f t="shared" si="170"/>
        <v xml:space="preserve"> </v>
      </c>
      <c r="F2228">
        <v>0.48</v>
      </c>
      <c r="G2228" s="37" t="str">
        <f t="shared" si="171"/>
        <v>Heavy Discount</v>
      </c>
      <c r="H2228" s="37" t="str">
        <f t="shared" si="172"/>
        <v>High</v>
      </c>
      <c r="I2228">
        <v>1</v>
      </c>
      <c r="J2228" t="str" cm="1">
        <f t="array" ref="J2228">_xlfn.IFS(I2228&lt;=3,"small",I2228&lt;=6,"Medium",I2228&lt;=9,"Large")</f>
        <v>small</v>
      </c>
      <c r="K2228" s="36">
        <v>45122</v>
      </c>
      <c r="L2228" s="36">
        <v>45124</v>
      </c>
      <c r="M2228" t="s">
        <v>612</v>
      </c>
      <c r="N2228" t="s">
        <v>599</v>
      </c>
      <c r="O2228" s="37" t="str">
        <f t="shared" si="173"/>
        <v>Digital Payment</v>
      </c>
      <c r="P2228">
        <v>373.99</v>
      </c>
      <c r="Q2228" s="37" t="str">
        <f>IF(P2228&gt;500,"High","low")</f>
        <v>low</v>
      </c>
      <c r="R2228" s="37" t="str">
        <f t="shared" si="174"/>
        <v>AVERAGE</v>
      </c>
      <c r="S2228" t="s">
        <v>628</v>
      </c>
    </row>
    <row r="2229" spans="1:19" x14ac:dyDescent="0.2">
      <c r="A2229" t="s">
        <v>2840</v>
      </c>
      <c r="B2229" t="s">
        <v>75</v>
      </c>
      <c r="C2229" t="s">
        <v>617</v>
      </c>
      <c r="D2229">
        <v>4883.29</v>
      </c>
      <c r="E2229" s="37" t="str">
        <f t="shared" si="170"/>
        <v>Excellent Order</v>
      </c>
      <c r="F2229">
        <v>0.26</v>
      </c>
      <c r="G2229" s="37" t="str">
        <f t="shared" si="171"/>
        <v>Normal Discount</v>
      </c>
      <c r="H2229" s="37" t="str">
        <f t="shared" si="172"/>
        <v>Medium</v>
      </c>
      <c r="I2229">
        <v>2</v>
      </c>
      <c r="J2229" t="str" cm="1">
        <f t="array" ref="J2229">_xlfn.IFS(I2229&lt;=3,"small",I2229&lt;=6,"Medium",I2229&lt;=9,"Large")</f>
        <v>small</v>
      </c>
      <c r="K2229" s="36">
        <v>45386</v>
      </c>
      <c r="L2229" s="36">
        <v>45393</v>
      </c>
      <c r="M2229" t="s">
        <v>598</v>
      </c>
      <c r="N2229" t="s">
        <v>599</v>
      </c>
      <c r="O2229" s="37" t="str">
        <f t="shared" si="173"/>
        <v>Digital Payment</v>
      </c>
      <c r="P2229">
        <v>1015.04</v>
      </c>
      <c r="Q2229" s="37" t="str">
        <f>IF(P2229&gt;500,"High","low")</f>
        <v>High</v>
      </c>
      <c r="R2229" s="37" t="str">
        <f t="shared" si="174"/>
        <v>Excellent</v>
      </c>
      <c r="S2229" t="s">
        <v>605</v>
      </c>
    </row>
    <row r="2230" spans="1:19" x14ac:dyDescent="0.2">
      <c r="A2230" t="s">
        <v>2841</v>
      </c>
      <c r="B2230" t="s">
        <v>75</v>
      </c>
      <c r="C2230" t="s">
        <v>607</v>
      </c>
      <c r="D2230">
        <v>4912.8900000000003</v>
      </c>
      <c r="E2230" s="37" t="str">
        <f t="shared" si="170"/>
        <v xml:space="preserve"> </v>
      </c>
      <c r="F2230">
        <v>0.5</v>
      </c>
      <c r="G2230" s="37" t="str">
        <f t="shared" si="171"/>
        <v>Heavy Discount</v>
      </c>
      <c r="H2230" s="37" t="str">
        <f t="shared" si="172"/>
        <v>High</v>
      </c>
      <c r="I2230">
        <v>2</v>
      </c>
      <c r="J2230" t="str" cm="1">
        <f t="array" ref="J2230">_xlfn.IFS(I2230&lt;=3,"small",I2230&lt;=6,"Medium",I2230&lt;=9,"Large")</f>
        <v>small</v>
      </c>
      <c r="K2230" s="36">
        <v>45136</v>
      </c>
      <c r="L2230" s="36">
        <v>45137</v>
      </c>
      <c r="M2230" t="s">
        <v>603</v>
      </c>
      <c r="N2230" t="s">
        <v>608</v>
      </c>
      <c r="O2230" s="37" t="str">
        <f t="shared" si="173"/>
        <v>Cash Payment</v>
      </c>
      <c r="P2230">
        <v>302.51</v>
      </c>
      <c r="Q2230" s="37" t="str">
        <f>IF(P2230&gt;500,"High","low")</f>
        <v>low</v>
      </c>
      <c r="R2230" s="37" t="str">
        <f t="shared" si="174"/>
        <v>AVERAGE</v>
      </c>
      <c r="S2230" t="s">
        <v>620</v>
      </c>
    </row>
    <row r="2231" spans="1:19" x14ac:dyDescent="0.2">
      <c r="A2231" t="s">
        <v>2842</v>
      </c>
      <c r="B2231" t="s">
        <v>67</v>
      </c>
      <c r="C2231" t="s">
        <v>614</v>
      </c>
      <c r="D2231">
        <v>580.54</v>
      </c>
      <c r="E2231" s="37" t="str">
        <f t="shared" si="170"/>
        <v xml:space="preserve"> </v>
      </c>
      <c r="F2231">
        <v>0.16</v>
      </c>
      <c r="G2231" s="37" t="str">
        <f t="shared" si="171"/>
        <v>Normal Discount</v>
      </c>
      <c r="H2231" s="37" t="str">
        <f t="shared" si="172"/>
        <v>Low</v>
      </c>
      <c r="I2231">
        <v>4</v>
      </c>
      <c r="J2231" t="str" cm="1">
        <f t="array" ref="J2231">_xlfn.IFS(I2231&lt;=3,"small",I2231&lt;=6,"Medium",I2231&lt;=9,"Large")</f>
        <v>Medium</v>
      </c>
      <c r="K2231" s="36">
        <v>45557</v>
      </c>
      <c r="L2231" s="36">
        <v>45564</v>
      </c>
      <c r="M2231" t="s">
        <v>598</v>
      </c>
      <c r="N2231" t="s">
        <v>604</v>
      </c>
      <c r="O2231" s="37" t="str">
        <f t="shared" si="173"/>
        <v>Digital Payment</v>
      </c>
      <c r="P2231">
        <v>164.42</v>
      </c>
      <c r="Q2231" s="37" t="str">
        <f>IF(P2231&gt;500,"High","low")</f>
        <v>low</v>
      </c>
      <c r="R2231" s="37" t="str">
        <f t="shared" si="174"/>
        <v>AVERAGE</v>
      </c>
      <c r="S2231" t="s">
        <v>600</v>
      </c>
    </row>
    <row r="2232" spans="1:19" x14ac:dyDescent="0.2">
      <c r="A2232" t="s">
        <v>2843</v>
      </c>
      <c r="B2232" t="s">
        <v>83</v>
      </c>
      <c r="C2232" t="s">
        <v>607</v>
      </c>
      <c r="D2232">
        <v>2736.85</v>
      </c>
      <c r="E2232" s="37" t="str">
        <f t="shared" si="170"/>
        <v xml:space="preserve"> </v>
      </c>
      <c r="F2232">
        <v>0.26</v>
      </c>
      <c r="G2232" s="37" t="str">
        <f t="shared" si="171"/>
        <v>Normal Discount</v>
      </c>
      <c r="H2232" s="37" t="str">
        <f t="shared" si="172"/>
        <v>Medium</v>
      </c>
      <c r="I2232">
        <v>6</v>
      </c>
      <c r="J2232" t="str" cm="1">
        <f t="array" ref="J2232">_xlfn.IFS(I2232&lt;=3,"small",I2232&lt;=6,"Medium",I2232&lt;=9,"Large")</f>
        <v>Medium</v>
      </c>
      <c r="K2232" s="36">
        <v>45610</v>
      </c>
      <c r="L2232" s="36">
        <v>45613</v>
      </c>
      <c r="M2232" t="s">
        <v>612</v>
      </c>
      <c r="N2232" t="s">
        <v>599</v>
      </c>
      <c r="O2232" s="37" t="str">
        <f t="shared" si="173"/>
        <v>Digital Payment</v>
      </c>
      <c r="P2232">
        <v>798.45</v>
      </c>
      <c r="Q2232" s="37" t="str">
        <f>IF(P2232&gt;500,"High","low")</f>
        <v>High</v>
      </c>
      <c r="R2232" s="37" t="str">
        <f t="shared" si="174"/>
        <v>Good</v>
      </c>
      <c r="S2232" t="s">
        <v>609</v>
      </c>
    </row>
    <row r="2233" spans="1:19" x14ac:dyDescent="0.2">
      <c r="A2233" t="s">
        <v>2844</v>
      </c>
      <c r="B2233" t="s">
        <v>75</v>
      </c>
      <c r="C2233" t="s">
        <v>607</v>
      </c>
      <c r="D2233">
        <v>4103.84</v>
      </c>
      <c r="E2233" s="37" t="str">
        <f t="shared" si="170"/>
        <v>Excellent Order</v>
      </c>
      <c r="F2233">
        <v>0.06</v>
      </c>
      <c r="G2233" s="37" t="str">
        <f t="shared" si="171"/>
        <v>Normal Discount</v>
      </c>
      <c r="H2233" s="37" t="str">
        <f t="shared" si="172"/>
        <v>Low</v>
      </c>
      <c r="I2233">
        <v>8</v>
      </c>
      <c r="J2233" t="str" cm="1">
        <f t="array" ref="J2233">_xlfn.IFS(I2233&lt;=3,"small",I2233&lt;=6,"Medium",I2233&lt;=9,"Large")</f>
        <v>Large</v>
      </c>
      <c r="K2233" s="36">
        <v>45454</v>
      </c>
      <c r="L2233" s="36">
        <v>45458</v>
      </c>
      <c r="M2233" t="s">
        <v>603</v>
      </c>
      <c r="N2233" t="s">
        <v>599</v>
      </c>
      <c r="O2233" s="37" t="str">
        <f t="shared" si="173"/>
        <v>Digital Payment</v>
      </c>
      <c r="P2233">
        <v>1163.8</v>
      </c>
      <c r="Q2233" s="37" t="str">
        <f>IF(P2233&gt;500,"High","low")</f>
        <v>High</v>
      </c>
      <c r="R2233" s="37" t="str">
        <f t="shared" si="174"/>
        <v>Excellent</v>
      </c>
      <c r="S2233" t="s">
        <v>605</v>
      </c>
    </row>
    <row r="2234" spans="1:19" x14ac:dyDescent="0.2">
      <c r="A2234" t="s">
        <v>2845</v>
      </c>
      <c r="B2234" t="s">
        <v>83</v>
      </c>
      <c r="C2234" t="s">
        <v>602</v>
      </c>
      <c r="D2234">
        <v>1264.79</v>
      </c>
      <c r="E2234" s="37" t="str">
        <f t="shared" si="170"/>
        <v xml:space="preserve"> </v>
      </c>
      <c r="F2234">
        <v>0.28000000000000003</v>
      </c>
      <c r="G2234" s="37" t="str">
        <f t="shared" si="171"/>
        <v>Normal Discount</v>
      </c>
      <c r="H2234" s="37" t="str">
        <f t="shared" si="172"/>
        <v>Medium</v>
      </c>
      <c r="I2234">
        <v>3</v>
      </c>
      <c r="J2234" t="str" cm="1">
        <f t="array" ref="J2234">_xlfn.IFS(I2234&lt;=3,"small",I2234&lt;=6,"Medium",I2234&lt;=9,"Large")</f>
        <v>small</v>
      </c>
      <c r="K2234" s="36">
        <v>45555</v>
      </c>
      <c r="L2234" s="36">
        <v>45556</v>
      </c>
      <c r="M2234" t="s">
        <v>603</v>
      </c>
      <c r="N2234" t="s">
        <v>599</v>
      </c>
      <c r="O2234" s="37" t="str">
        <f t="shared" si="173"/>
        <v>Digital Payment</v>
      </c>
      <c r="P2234">
        <v>138.22999999999999</v>
      </c>
      <c r="Q2234" s="37" t="str">
        <f>IF(P2234&gt;500,"High","low")</f>
        <v>low</v>
      </c>
      <c r="R2234" s="37" t="str">
        <f t="shared" si="174"/>
        <v>AVERAGE</v>
      </c>
      <c r="S2234" t="s">
        <v>605</v>
      </c>
    </row>
    <row r="2235" spans="1:19" x14ac:dyDescent="0.2">
      <c r="A2235" t="s">
        <v>2846</v>
      </c>
      <c r="B2235" t="s">
        <v>90</v>
      </c>
      <c r="C2235" t="s">
        <v>607</v>
      </c>
      <c r="D2235">
        <v>3777.76</v>
      </c>
      <c r="E2235" s="37" t="str">
        <f t="shared" si="170"/>
        <v xml:space="preserve"> </v>
      </c>
      <c r="F2235">
        <v>0.27</v>
      </c>
      <c r="G2235" s="37" t="str">
        <f t="shared" si="171"/>
        <v>Normal Discount</v>
      </c>
      <c r="H2235" s="37" t="str">
        <f t="shared" si="172"/>
        <v>Medium</v>
      </c>
      <c r="I2235">
        <v>6</v>
      </c>
      <c r="J2235" t="str" cm="1">
        <f t="array" ref="J2235">_xlfn.IFS(I2235&lt;=3,"small",I2235&lt;=6,"Medium",I2235&lt;=9,"Large")</f>
        <v>Medium</v>
      </c>
      <c r="K2235" s="36">
        <v>45224</v>
      </c>
      <c r="L2235" s="36">
        <v>45226</v>
      </c>
      <c r="M2235" t="s">
        <v>598</v>
      </c>
      <c r="N2235" t="s">
        <v>599</v>
      </c>
      <c r="O2235" s="37" t="str">
        <f t="shared" si="173"/>
        <v>Digital Payment</v>
      </c>
      <c r="P2235">
        <v>1001.18</v>
      </c>
      <c r="Q2235" s="37" t="str">
        <f>IF(P2235&gt;500,"High","low")</f>
        <v>High</v>
      </c>
      <c r="R2235" s="37" t="str">
        <f t="shared" si="174"/>
        <v>Excellent</v>
      </c>
      <c r="S2235" t="s">
        <v>628</v>
      </c>
    </row>
    <row r="2236" spans="1:19" x14ac:dyDescent="0.2">
      <c r="A2236" t="s">
        <v>2847</v>
      </c>
      <c r="B2236" t="s">
        <v>75</v>
      </c>
      <c r="C2236" t="s">
        <v>614</v>
      </c>
      <c r="D2236">
        <v>4405.2299999999996</v>
      </c>
      <c r="E2236" s="37" t="str">
        <f t="shared" si="170"/>
        <v xml:space="preserve"> </v>
      </c>
      <c r="F2236">
        <v>0.42</v>
      </c>
      <c r="G2236" s="37" t="str">
        <f t="shared" si="171"/>
        <v>Heavy Discount</v>
      </c>
      <c r="H2236" s="37" t="str">
        <f t="shared" si="172"/>
        <v>High</v>
      </c>
      <c r="I2236">
        <v>4</v>
      </c>
      <c r="J2236" t="str" cm="1">
        <f t="array" ref="J2236">_xlfn.IFS(I2236&lt;=3,"small",I2236&lt;=6,"Medium",I2236&lt;=9,"Large")</f>
        <v>Medium</v>
      </c>
      <c r="K2236" s="36">
        <v>45330</v>
      </c>
      <c r="L2236" s="36">
        <v>45333</v>
      </c>
      <c r="M2236" t="s">
        <v>603</v>
      </c>
      <c r="N2236" t="s">
        <v>608</v>
      </c>
      <c r="O2236" s="37" t="str">
        <f t="shared" si="173"/>
        <v>Cash Payment</v>
      </c>
      <c r="P2236">
        <v>647.80999999999995</v>
      </c>
      <c r="Q2236" s="37" t="str">
        <f>IF(P2236&gt;500,"High","low")</f>
        <v>High</v>
      </c>
      <c r="R2236" s="37" t="str">
        <f t="shared" si="174"/>
        <v>Good</v>
      </c>
      <c r="S2236" t="s">
        <v>600</v>
      </c>
    </row>
    <row r="2237" spans="1:19" x14ac:dyDescent="0.2">
      <c r="A2237" t="s">
        <v>2848</v>
      </c>
      <c r="B2237" t="s">
        <v>67</v>
      </c>
      <c r="C2237" t="s">
        <v>614</v>
      </c>
      <c r="D2237">
        <v>3346.19</v>
      </c>
      <c r="E2237" s="37" t="str">
        <f t="shared" si="170"/>
        <v xml:space="preserve"> </v>
      </c>
      <c r="F2237">
        <v>0.5</v>
      </c>
      <c r="G2237" s="37" t="str">
        <f t="shared" si="171"/>
        <v>Heavy Discount</v>
      </c>
      <c r="H2237" s="37" t="str">
        <f t="shared" si="172"/>
        <v>High</v>
      </c>
      <c r="I2237">
        <v>8</v>
      </c>
      <c r="J2237" t="str" cm="1">
        <f t="array" ref="J2237">_xlfn.IFS(I2237&lt;=3,"small",I2237&lt;=6,"Medium",I2237&lt;=9,"Large")</f>
        <v>Large</v>
      </c>
      <c r="K2237" s="36">
        <v>45116</v>
      </c>
      <c r="L2237" s="36">
        <v>45118</v>
      </c>
      <c r="M2237" t="s">
        <v>598</v>
      </c>
      <c r="N2237" t="s">
        <v>608</v>
      </c>
      <c r="O2237" s="37" t="str">
        <f t="shared" si="173"/>
        <v>Cash Payment</v>
      </c>
      <c r="P2237">
        <v>751.37</v>
      </c>
      <c r="Q2237" s="37" t="str">
        <f>IF(P2237&gt;500,"High","low")</f>
        <v>High</v>
      </c>
      <c r="R2237" s="37" t="str">
        <f t="shared" si="174"/>
        <v>Good</v>
      </c>
      <c r="S2237" t="s">
        <v>605</v>
      </c>
    </row>
    <row r="2238" spans="1:19" x14ac:dyDescent="0.2">
      <c r="A2238" t="s">
        <v>2849</v>
      </c>
      <c r="B2238" t="s">
        <v>90</v>
      </c>
      <c r="C2238" t="s">
        <v>597</v>
      </c>
      <c r="D2238">
        <v>1705.75</v>
      </c>
      <c r="E2238" s="37" t="str">
        <f t="shared" si="170"/>
        <v xml:space="preserve"> </v>
      </c>
      <c r="F2238">
        <v>0.49</v>
      </c>
      <c r="G2238" s="37" t="str">
        <f t="shared" si="171"/>
        <v>Heavy Discount</v>
      </c>
      <c r="H2238" s="37" t="str">
        <f t="shared" si="172"/>
        <v>High</v>
      </c>
      <c r="I2238">
        <v>9</v>
      </c>
      <c r="J2238" t="str" cm="1">
        <f t="array" ref="J2238">_xlfn.IFS(I2238&lt;=3,"small",I2238&lt;=6,"Medium",I2238&lt;=9,"Large")</f>
        <v>Large</v>
      </c>
      <c r="K2238" s="36">
        <v>45298</v>
      </c>
      <c r="L2238" s="36">
        <v>45300</v>
      </c>
      <c r="M2238" t="s">
        <v>598</v>
      </c>
      <c r="N2238" t="s">
        <v>599</v>
      </c>
      <c r="O2238" s="37" t="str">
        <f t="shared" si="173"/>
        <v>Digital Payment</v>
      </c>
      <c r="P2238">
        <v>165.81</v>
      </c>
      <c r="Q2238" s="37" t="str">
        <f>IF(P2238&gt;500,"High","low")</f>
        <v>low</v>
      </c>
      <c r="R2238" s="37" t="str">
        <f t="shared" si="174"/>
        <v>AVERAGE</v>
      </c>
      <c r="S2238" t="s">
        <v>615</v>
      </c>
    </row>
    <row r="2239" spans="1:19" x14ac:dyDescent="0.2">
      <c r="A2239" t="s">
        <v>2850</v>
      </c>
      <c r="B2239" t="s">
        <v>90</v>
      </c>
      <c r="C2239" t="s">
        <v>617</v>
      </c>
      <c r="D2239">
        <v>4623.3500000000004</v>
      </c>
      <c r="E2239" s="37" t="str">
        <f t="shared" si="170"/>
        <v xml:space="preserve"> </v>
      </c>
      <c r="F2239">
        <v>0.12</v>
      </c>
      <c r="G2239" s="37" t="str">
        <f t="shared" si="171"/>
        <v>Normal Discount</v>
      </c>
      <c r="H2239" s="37" t="str">
        <f t="shared" si="172"/>
        <v>Low</v>
      </c>
      <c r="I2239">
        <v>9</v>
      </c>
      <c r="J2239" t="str" cm="1">
        <f t="array" ref="J2239">_xlfn.IFS(I2239&lt;=3,"small",I2239&lt;=6,"Medium",I2239&lt;=9,"Large")</f>
        <v>Large</v>
      </c>
      <c r="K2239" s="36">
        <v>45033</v>
      </c>
      <c r="L2239" s="36">
        <v>45035</v>
      </c>
      <c r="M2239" t="s">
        <v>612</v>
      </c>
      <c r="N2239" t="s">
        <v>604</v>
      </c>
      <c r="O2239" s="37" t="str">
        <f t="shared" si="173"/>
        <v>Digital Payment</v>
      </c>
      <c r="P2239">
        <v>718.16</v>
      </c>
      <c r="Q2239" s="37" t="str">
        <f>IF(P2239&gt;500,"High","low")</f>
        <v>High</v>
      </c>
      <c r="R2239" s="37" t="str">
        <f t="shared" si="174"/>
        <v>Good</v>
      </c>
      <c r="S2239" t="s">
        <v>615</v>
      </c>
    </row>
    <row r="2240" spans="1:19" x14ac:dyDescent="0.2">
      <c r="A2240" t="s">
        <v>2851</v>
      </c>
      <c r="B2240" t="s">
        <v>67</v>
      </c>
      <c r="C2240" t="s">
        <v>607</v>
      </c>
      <c r="D2240">
        <v>4429.25</v>
      </c>
      <c r="E2240" s="37" t="str">
        <f t="shared" si="170"/>
        <v>Excellent Order</v>
      </c>
      <c r="F2240">
        <v>0.17</v>
      </c>
      <c r="G2240" s="37" t="str">
        <f t="shared" si="171"/>
        <v>Normal Discount</v>
      </c>
      <c r="H2240" s="37" t="str">
        <f t="shared" si="172"/>
        <v>Low</v>
      </c>
      <c r="I2240">
        <v>6</v>
      </c>
      <c r="J2240" t="str" cm="1">
        <f t="array" ref="J2240">_xlfn.IFS(I2240&lt;=3,"small",I2240&lt;=6,"Medium",I2240&lt;=9,"Large")</f>
        <v>Medium</v>
      </c>
      <c r="K2240" s="36">
        <v>45594</v>
      </c>
      <c r="L2240" s="36">
        <v>45596</v>
      </c>
      <c r="M2240" t="s">
        <v>612</v>
      </c>
      <c r="N2240" t="s">
        <v>604</v>
      </c>
      <c r="O2240" s="37" t="str">
        <f t="shared" si="173"/>
        <v>Digital Payment</v>
      </c>
      <c r="P2240">
        <v>1212.07</v>
      </c>
      <c r="Q2240" s="37" t="str">
        <f>IF(P2240&gt;500,"High","low")</f>
        <v>High</v>
      </c>
      <c r="R2240" s="37" t="str">
        <f t="shared" si="174"/>
        <v>Excellent</v>
      </c>
      <c r="S2240" t="s">
        <v>605</v>
      </c>
    </row>
    <row r="2241" spans="1:19" x14ac:dyDescent="0.2">
      <c r="A2241" t="s">
        <v>2852</v>
      </c>
      <c r="B2241" t="s">
        <v>75</v>
      </c>
      <c r="C2241" t="s">
        <v>617</v>
      </c>
      <c r="D2241">
        <v>3607.54</v>
      </c>
      <c r="E2241" s="37" t="str">
        <f t="shared" si="170"/>
        <v xml:space="preserve"> </v>
      </c>
      <c r="F2241">
        <v>0.14000000000000001</v>
      </c>
      <c r="G2241" s="37" t="str">
        <f t="shared" si="171"/>
        <v>Normal Discount</v>
      </c>
      <c r="H2241" s="37" t="str">
        <f t="shared" si="172"/>
        <v>Low</v>
      </c>
      <c r="I2241">
        <v>2</v>
      </c>
      <c r="J2241" t="str" cm="1">
        <f t="array" ref="J2241">_xlfn.IFS(I2241&lt;=3,"small",I2241&lt;=6,"Medium",I2241&lt;=9,"Large")</f>
        <v>small</v>
      </c>
      <c r="K2241" s="36">
        <v>45370</v>
      </c>
      <c r="L2241" s="36">
        <v>45374</v>
      </c>
      <c r="M2241" t="s">
        <v>603</v>
      </c>
      <c r="N2241" t="s">
        <v>599</v>
      </c>
      <c r="O2241" s="37" t="str">
        <f t="shared" si="173"/>
        <v>Digital Payment</v>
      </c>
      <c r="P2241">
        <v>593.08000000000004</v>
      </c>
      <c r="Q2241" s="37" t="str">
        <f>IF(P2241&gt;500,"High","low")</f>
        <v>High</v>
      </c>
      <c r="R2241" s="37" t="str">
        <f t="shared" si="174"/>
        <v>Good</v>
      </c>
      <c r="S2241" t="s">
        <v>609</v>
      </c>
    </row>
    <row r="2242" spans="1:19" x14ac:dyDescent="0.2">
      <c r="A2242" t="s">
        <v>2853</v>
      </c>
      <c r="B2242" t="s">
        <v>75</v>
      </c>
      <c r="C2242" t="s">
        <v>617</v>
      </c>
      <c r="D2242">
        <v>1881.97</v>
      </c>
      <c r="E2242" s="37" t="str">
        <f t="shared" si="170"/>
        <v xml:space="preserve"> </v>
      </c>
      <c r="F2242">
        <v>0.1</v>
      </c>
      <c r="G2242" s="37" t="str">
        <f t="shared" si="171"/>
        <v>Normal Discount</v>
      </c>
      <c r="H2242" s="37" t="str">
        <f t="shared" si="172"/>
        <v>Low</v>
      </c>
      <c r="I2242">
        <v>2</v>
      </c>
      <c r="J2242" t="str" cm="1">
        <f t="array" ref="J2242">_xlfn.IFS(I2242&lt;=3,"small",I2242&lt;=6,"Medium",I2242&lt;=9,"Large")</f>
        <v>small</v>
      </c>
      <c r="K2242" s="36">
        <v>45223</v>
      </c>
      <c r="L2242" s="36">
        <v>45225</v>
      </c>
      <c r="M2242" t="s">
        <v>612</v>
      </c>
      <c r="N2242" t="s">
        <v>599</v>
      </c>
      <c r="O2242" s="37" t="str">
        <f t="shared" si="173"/>
        <v>Digital Payment</v>
      </c>
      <c r="P2242">
        <v>531.89</v>
      </c>
      <c r="Q2242" s="37" t="str">
        <f>IF(P2242&gt;500,"High","low")</f>
        <v>High</v>
      </c>
      <c r="R2242" s="37" t="str">
        <f t="shared" si="174"/>
        <v>Good</v>
      </c>
      <c r="S2242" t="s">
        <v>620</v>
      </c>
    </row>
    <row r="2243" spans="1:19" x14ac:dyDescent="0.2">
      <c r="A2243" t="s">
        <v>2854</v>
      </c>
      <c r="B2243" t="s">
        <v>90</v>
      </c>
      <c r="C2243" t="s">
        <v>617</v>
      </c>
      <c r="D2243">
        <v>3980.29</v>
      </c>
      <c r="E2243" s="37" t="str">
        <f t="shared" ref="E2243:E2306" si="175">IF(AND(D2243&gt;4000,P2243&gt;800),"Excellent Order"," ")</f>
        <v xml:space="preserve"> </v>
      </c>
      <c r="F2243">
        <v>0.08</v>
      </c>
      <c r="G2243" s="37" t="str">
        <f t="shared" ref="G2243:G2306" si="176">IF(F2243&gt;30%,"Heavy Discount","Normal Discount")</f>
        <v>Normal Discount</v>
      </c>
      <c r="H2243" s="37" t="str">
        <f t="shared" ref="H2243:H2306" si="177">IF(F2243&gt;0.4,"High",IF(F2243&gt;=0.2,"Medium","Low"))</f>
        <v>Low</v>
      </c>
      <c r="I2243">
        <v>9</v>
      </c>
      <c r="J2243" t="str" cm="1">
        <f t="array" ref="J2243">_xlfn.IFS(I2243&lt;=3,"small",I2243&lt;=6,"Medium",I2243&lt;=9,"Large")</f>
        <v>Large</v>
      </c>
      <c r="K2243" s="36">
        <v>45311</v>
      </c>
      <c r="L2243" s="36">
        <v>45316</v>
      </c>
      <c r="M2243" t="s">
        <v>603</v>
      </c>
      <c r="N2243" t="s">
        <v>608</v>
      </c>
      <c r="O2243" s="37" t="str">
        <f t="shared" ref="O2243:O2306" si="178">IF(OR(N2243="Card",N2243="UPI"),"Digital Payment","Cash Payment")</f>
        <v>Cash Payment</v>
      </c>
      <c r="P2243">
        <v>554.41</v>
      </c>
      <c r="Q2243" s="37" t="str">
        <f>IF(P2243&gt;500,"High","low")</f>
        <v>High</v>
      </c>
      <c r="R2243" s="37" t="str">
        <f t="shared" ref="R2243:R2306" si="179">IF(P2243&gt;1000,"Excellent",IF(P2243&gt;=500,"Good","AVERAGE"))</f>
        <v>Good</v>
      </c>
      <c r="S2243" t="s">
        <v>615</v>
      </c>
    </row>
    <row r="2244" spans="1:19" x14ac:dyDescent="0.2">
      <c r="A2244" t="s">
        <v>2855</v>
      </c>
      <c r="B2244" t="s">
        <v>75</v>
      </c>
      <c r="C2244" t="s">
        <v>617</v>
      </c>
      <c r="D2244">
        <v>1648.93</v>
      </c>
      <c r="E2244" s="37" t="str">
        <f t="shared" si="175"/>
        <v xml:space="preserve"> </v>
      </c>
      <c r="F2244">
        <v>0.26</v>
      </c>
      <c r="G2244" s="37" t="str">
        <f t="shared" si="176"/>
        <v>Normal Discount</v>
      </c>
      <c r="H2244" s="37" t="str">
        <f t="shared" si="177"/>
        <v>Medium</v>
      </c>
      <c r="I2244">
        <v>5</v>
      </c>
      <c r="J2244" t="str" cm="1">
        <f t="array" ref="J2244">_xlfn.IFS(I2244&lt;=3,"small",I2244&lt;=6,"Medium",I2244&lt;=9,"Large")</f>
        <v>Medium</v>
      </c>
      <c r="K2244" s="36">
        <v>45454</v>
      </c>
      <c r="L2244" s="36">
        <v>45456</v>
      </c>
      <c r="M2244" t="s">
        <v>612</v>
      </c>
      <c r="N2244" t="s">
        <v>604</v>
      </c>
      <c r="O2244" s="37" t="str">
        <f t="shared" si="178"/>
        <v>Digital Payment</v>
      </c>
      <c r="P2244">
        <v>327.66000000000003</v>
      </c>
      <c r="Q2244" s="37" t="str">
        <f>IF(P2244&gt;500,"High","low")</f>
        <v>low</v>
      </c>
      <c r="R2244" s="37" t="str">
        <f t="shared" si="179"/>
        <v>AVERAGE</v>
      </c>
      <c r="S2244" t="s">
        <v>605</v>
      </c>
    </row>
    <row r="2245" spans="1:19" x14ac:dyDescent="0.2">
      <c r="A2245" t="s">
        <v>2856</v>
      </c>
      <c r="B2245" t="s">
        <v>83</v>
      </c>
      <c r="C2245" t="s">
        <v>614</v>
      </c>
      <c r="D2245">
        <v>1339.47</v>
      </c>
      <c r="E2245" s="37" t="str">
        <f t="shared" si="175"/>
        <v xml:space="preserve"> </v>
      </c>
      <c r="F2245">
        <v>0.44</v>
      </c>
      <c r="G2245" s="37" t="str">
        <f t="shared" si="176"/>
        <v>Heavy Discount</v>
      </c>
      <c r="H2245" s="37" t="str">
        <f t="shared" si="177"/>
        <v>High</v>
      </c>
      <c r="I2245">
        <v>7</v>
      </c>
      <c r="J2245" t="str" cm="1">
        <f t="array" ref="J2245">_xlfn.IFS(I2245&lt;=3,"small",I2245&lt;=6,"Medium",I2245&lt;=9,"Large")</f>
        <v>Large</v>
      </c>
      <c r="K2245" s="36">
        <v>45314</v>
      </c>
      <c r="L2245" s="36">
        <v>45318</v>
      </c>
      <c r="M2245" t="s">
        <v>612</v>
      </c>
      <c r="N2245" t="s">
        <v>604</v>
      </c>
      <c r="O2245" s="37" t="str">
        <f t="shared" si="178"/>
        <v>Digital Payment</v>
      </c>
      <c r="P2245">
        <v>214.95</v>
      </c>
      <c r="Q2245" s="37" t="str">
        <f>IF(P2245&gt;500,"High","low")</f>
        <v>low</v>
      </c>
      <c r="R2245" s="37" t="str">
        <f t="shared" si="179"/>
        <v>AVERAGE</v>
      </c>
      <c r="S2245" t="s">
        <v>605</v>
      </c>
    </row>
    <row r="2246" spans="1:19" x14ac:dyDescent="0.2">
      <c r="A2246" t="s">
        <v>2857</v>
      </c>
      <c r="B2246" t="s">
        <v>67</v>
      </c>
      <c r="C2246" t="s">
        <v>607</v>
      </c>
      <c r="D2246">
        <v>2623.57</v>
      </c>
      <c r="E2246" s="37" t="str">
        <f t="shared" si="175"/>
        <v xml:space="preserve"> </v>
      </c>
      <c r="F2246">
        <v>0.28999999999999998</v>
      </c>
      <c r="G2246" s="37" t="str">
        <f t="shared" si="176"/>
        <v>Normal Discount</v>
      </c>
      <c r="H2246" s="37" t="str">
        <f t="shared" si="177"/>
        <v>Medium</v>
      </c>
      <c r="I2246">
        <v>6</v>
      </c>
      <c r="J2246" t="str" cm="1">
        <f t="array" ref="J2246">_xlfn.IFS(I2246&lt;=3,"small",I2246&lt;=6,"Medium",I2246&lt;=9,"Large")</f>
        <v>Medium</v>
      </c>
      <c r="K2246" s="36">
        <v>45236</v>
      </c>
      <c r="L2246" s="36">
        <v>45238</v>
      </c>
      <c r="M2246" t="s">
        <v>603</v>
      </c>
      <c r="N2246" t="s">
        <v>604</v>
      </c>
      <c r="O2246" s="37" t="str">
        <f t="shared" si="178"/>
        <v>Digital Payment</v>
      </c>
      <c r="P2246">
        <v>216.05</v>
      </c>
      <c r="Q2246" s="37" t="str">
        <f>IF(P2246&gt;500,"High","low")</f>
        <v>low</v>
      </c>
      <c r="R2246" s="37" t="str">
        <f t="shared" si="179"/>
        <v>AVERAGE</v>
      </c>
      <c r="S2246" t="s">
        <v>605</v>
      </c>
    </row>
    <row r="2247" spans="1:19" x14ac:dyDescent="0.2">
      <c r="A2247" t="s">
        <v>2858</v>
      </c>
      <c r="B2247" t="s">
        <v>83</v>
      </c>
      <c r="C2247" t="s">
        <v>597</v>
      </c>
      <c r="D2247">
        <v>4985.96</v>
      </c>
      <c r="E2247" s="37" t="str">
        <f t="shared" si="175"/>
        <v>Excellent Order</v>
      </c>
      <c r="F2247">
        <v>0.44</v>
      </c>
      <c r="G2247" s="37" t="str">
        <f t="shared" si="176"/>
        <v>Heavy Discount</v>
      </c>
      <c r="H2247" s="37" t="str">
        <f t="shared" si="177"/>
        <v>High</v>
      </c>
      <c r="I2247">
        <v>9</v>
      </c>
      <c r="J2247" t="str" cm="1">
        <f t="array" ref="J2247">_xlfn.IFS(I2247&lt;=3,"small",I2247&lt;=6,"Medium",I2247&lt;=9,"Large")</f>
        <v>Large</v>
      </c>
      <c r="K2247" s="36">
        <v>44955</v>
      </c>
      <c r="L2247" s="36">
        <v>44958</v>
      </c>
      <c r="M2247" t="s">
        <v>612</v>
      </c>
      <c r="N2247" t="s">
        <v>608</v>
      </c>
      <c r="O2247" s="37" t="str">
        <f t="shared" si="178"/>
        <v>Cash Payment</v>
      </c>
      <c r="P2247">
        <v>846.9</v>
      </c>
      <c r="Q2247" s="37" t="str">
        <f>IF(P2247&gt;500,"High","low")</f>
        <v>High</v>
      </c>
      <c r="R2247" s="37" t="str">
        <f t="shared" si="179"/>
        <v>Good</v>
      </c>
      <c r="S2247" t="s">
        <v>620</v>
      </c>
    </row>
    <row r="2248" spans="1:19" x14ac:dyDescent="0.2">
      <c r="A2248" t="s">
        <v>2859</v>
      </c>
      <c r="B2248" t="s">
        <v>75</v>
      </c>
      <c r="C2248" t="s">
        <v>617</v>
      </c>
      <c r="D2248">
        <v>4041.18</v>
      </c>
      <c r="E2248" s="37" t="str">
        <f t="shared" si="175"/>
        <v xml:space="preserve"> </v>
      </c>
      <c r="F2248">
        <v>0.48</v>
      </c>
      <c r="G2248" s="37" t="str">
        <f t="shared" si="176"/>
        <v>Heavy Discount</v>
      </c>
      <c r="H2248" s="37" t="str">
        <f t="shared" si="177"/>
        <v>High</v>
      </c>
      <c r="I2248">
        <v>5</v>
      </c>
      <c r="J2248" t="str" cm="1">
        <f t="array" ref="J2248">_xlfn.IFS(I2248&lt;=3,"small",I2248&lt;=6,"Medium",I2248&lt;=9,"Large")</f>
        <v>Medium</v>
      </c>
      <c r="K2248" s="36">
        <v>45638</v>
      </c>
      <c r="L2248" s="36">
        <v>45639</v>
      </c>
      <c r="M2248" t="s">
        <v>598</v>
      </c>
      <c r="N2248" t="s">
        <v>599</v>
      </c>
      <c r="O2248" s="37" t="str">
        <f t="shared" si="178"/>
        <v>Digital Payment</v>
      </c>
      <c r="P2248">
        <v>565.83000000000004</v>
      </c>
      <c r="Q2248" s="37" t="str">
        <f>IF(P2248&gt;500,"High","low")</f>
        <v>High</v>
      </c>
      <c r="R2248" s="37" t="str">
        <f t="shared" si="179"/>
        <v>Good</v>
      </c>
      <c r="S2248" t="s">
        <v>620</v>
      </c>
    </row>
    <row r="2249" spans="1:19" x14ac:dyDescent="0.2">
      <c r="A2249" t="s">
        <v>2860</v>
      </c>
      <c r="B2249" t="s">
        <v>90</v>
      </c>
      <c r="C2249" t="s">
        <v>597</v>
      </c>
      <c r="D2249">
        <v>3675.98</v>
      </c>
      <c r="E2249" s="37" t="str">
        <f t="shared" si="175"/>
        <v xml:space="preserve"> </v>
      </c>
      <c r="F2249">
        <v>0.19</v>
      </c>
      <c r="G2249" s="37" t="str">
        <f t="shared" si="176"/>
        <v>Normal Discount</v>
      </c>
      <c r="H2249" s="37" t="str">
        <f t="shared" si="177"/>
        <v>Low</v>
      </c>
      <c r="I2249">
        <v>8</v>
      </c>
      <c r="J2249" t="str" cm="1">
        <f t="array" ref="J2249">_xlfn.IFS(I2249&lt;=3,"small",I2249&lt;=6,"Medium",I2249&lt;=9,"Large")</f>
        <v>Large</v>
      </c>
      <c r="K2249" s="36">
        <v>45120</v>
      </c>
      <c r="L2249" s="36">
        <v>45124</v>
      </c>
      <c r="M2249" t="s">
        <v>612</v>
      </c>
      <c r="N2249" t="s">
        <v>608</v>
      </c>
      <c r="O2249" s="37" t="str">
        <f t="shared" si="178"/>
        <v>Cash Payment</v>
      </c>
      <c r="P2249">
        <v>364.46</v>
      </c>
      <c r="Q2249" s="37" t="str">
        <f>IF(P2249&gt;500,"High","low")</f>
        <v>low</v>
      </c>
      <c r="R2249" s="37" t="str">
        <f t="shared" si="179"/>
        <v>AVERAGE</v>
      </c>
      <c r="S2249" t="s">
        <v>615</v>
      </c>
    </row>
    <row r="2250" spans="1:19" x14ac:dyDescent="0.2">
      <c r="A2250" t="s">
        <v>2861</v>
      </c>
      <c r="B2250" t="s">
        <v>67</v>
      </c>
      <c r="C2250" t="s">
        <v>614</v>
      </c>
      <c r="D2250">
        <v>2314.86</v>
      </c>
      <c r="E2250" s="37" t="str">
        <f t="shared" si="175"/>
        <v xml:space="preserve"> </v>
      </c>
      <c r="F2250">
        <v>0.42</v>
      </c>
      <c r="G2250" s="37" t="str">
        <f t="shared" si="176"/>
        <v>Heavy Discount</v>
      </c>
      <c r="H2250" s="37" t="str">
        <f t="shared" si="177"/>
        <v>High</v>
      </c>
      <c r="I2250">
        <v>4</v>
      </c>
      <c r="J2250" t="str" cm="1">
        <f t="array" ref="J2250">_xlfn.IFS(I2250&lt;=3,"small",I2250&lt;=6,"Medium",I2250&lt;=9,"Large")</f>
        <v>Medium</v>
      </c>
      <c r="K2250" s="36">
        <v>45590</v>
      </c>
      <c r="L2250" s="36">
        <v>45596</v>
      </c>
      <c r="M2250" t="s">
        <v>598</v>
      </c>
      <c r="N2250" t="s">
        <v>599</v>
      </c>
      <c r="O2250" s="37" t="str">
        <f t="shared" si="178"/>
        <v>Digital Payment</v>
      </c>
      <c r="P2250">
        <v>360.92</v>
      </c>
      <c r="Q2250" s="37" t="str">
        <f>IF(P2250&gt;500,"High","low")</f>
        <v>low</v>
      </c>
      <c r="R2250" s="37" t="str">
        <f t="shared" si="179"/>
        <v>AVERAGE</v>
      </c>
      <c r="S2250" t="s">
        <v>600</v>
      </c>
    </row>
    <row r="2251" spans="1:19" x14ac:dyDescent="0.2">
      <c r="A2251" t="s">
        <v>2862</v>
      </c>
      <c r="B2251" t="s">
        <v>75</v>
      </c>
      <c r="C2251" t="s">
        <v>614</v>
      </c>
      <c r="D2251">
        <v>1628.56</v>
      </c>
      <c r="E2251" s="37" t="str">
        <f t="shared" si="175"/>
        <v xml:space="preserve"> </v>
      </c>
      <c r="F2251">
        <v>0.03</v>
      </c>
      <c r="G2251" s="37" t="str">
        <f t="shared" si="176"/>
        <v>Normal Discount</v>
      </c>
      <c r="H2251" s="37" t="str">
        <f t="shared" si="177"/>
        <v>Low</v>
      </c>
      <c r="I2251">
        <v>7</v>
      </c>
      <c r="J2251" t="str" cm="1">
        <f t="array" ref="J2251">_xlfn.IFS(I2251&lt;=3,"small",I2251&lt;=6,"Medium",I2251&lt;=9,"Large")</f>
        <v>Large</v>
      </c>
      <c r="K2251" s="36">
        <v>44989</v>
      </c>
      <c r="L2251" s="36">
        <v>44995</v>
      </c>
      <c r="M2251" t="s">
        <v>603</v>
      </c>
      <c r="N2251" t="s">
        <v>604</v>
      </c>
      <c r="O2251" s="37" t="str">
        <f t="shared" si="178"/>
        <v>Digital Payment</v>
      </c>
      <c r="P2251">
        <v>196.8</v>
      </c>
      <c r="Q2251" s="37" t="str">
        <f>IF(P2251&gt;500,"High","low")</f>
        <v>low</v>
      </c>
      <c r="R2251" s="37" t="str">
        <f t="shared" si="179"/>
        <v>AVERAGE</v>
      </c>
      <c r="S2251" t="s">
        <v>605</v>
      </c>
    </row>
    <row r="2252" spans="1:19" x14ac:dyDescent="0.2">
      <c r="A2252" t="s">
        <v>2863</v>
      </c>
      <c r="B2252" t="s">
        <v>75</v>
      </c>
      <c r="C2252" t="s">
        <v>602</v>
      </c>
      <c r="D2252">
        <v>4293.91</v>
      </c>
      <c r="E2252" s="37" t="str">
        <f t="shared" si="175"/>
        <v xml:space="preserve"> </v>
      </c>
      <c r="F2252">
        <v>0.24</v>
      </c>
      <c r="G2252" s="37" t="str">
        <f t="shared" si="176"/>
        <v>Normal Discount</v>
      </c>
      <c r="H2252" s="37" t="str">
        <f t="shared" si="177"/>
        <v>Medium</v>
      </c>
      <c r="I2252">
        <v>9</v>
      </c>
      <c r="J2252" t="str" cm="1">
        <f t="array" ref="J2252">_xlfn.IFS(I2252&lt;=3,"small",I2252&lt;=6,"Medium",I2252&lt;=9,"Large")</f>
        <v>Large</v>
      </c>
      <c r="K2252" s="36">
        <v>45420</v>
      </c>
      <c r="L2252" s="36">
        <v>45423</v>
      </c>
      <c r="M2252" t="s">
        <v>603</v>
      </c>
      <c r="N2252" t="s">
        <v>599</v>
      </c>
      <c r="O2252" s="37" t="str">
        <f t="shared" si="178"/>
        <v>Digital Payment</v>
      </c>
      <c r="P2252">
        <v>491.13</v>
      </c>
      <c r="Q2252" s="37" t="str">
        <f>IF(P2252&gt;500,"High","low")</f>
        <v>low</v>
      </c>
      <c r="R2252" s="37" t="str">
        <f t="shared" si="179"/>
        <v>AVERAGE</v>
      </c>
      <c r="S2252" t="s">
        <v>620</v>
      </c>
    </row>
    <row r="2253" spans="1:19" x14ac:dyDescent="0.2">
      <c r="A2253" t="s">
        <v>2864</v>
      </c>
      <c r="B2253" t="s">
        <v>90</v>
      </c>
      <c r="C2253" t="s">
        <v>617</v>
      </c>
      <c r="D2253">
        <v>2881.89</v>
      </c>
      <c r="E2253" s="37" t="str">
        <f t="shared" si="175"/>
        <v xml:space="preserve"> </v>
      </c>
      <c r="F2253">
        <v>0.18</v>
      </c>
      <c r="G2253" s="37" t="str">
        <f t="shared" si="176"/>
        <v>Normal Discount</v>
      </c>
      <c r="H2253" s="37" t="str">
        <f t="shared" si="177"/>
        <v>Low</v>
      </c>
      <c r="I2253">
        <v>2</v>
      </c>
      <c r="J2253" t="str" cm="1">
        <f t="array" ref="J2253">_xlfn.IFS(I2253&lt;=3,"small",I2253&lt;=6,"Medium",I2253&lt;=9,"Large")</f>
        <v>small</v>
      </c>
      <c r="K2253" s="36">
        <v>45196</v>
      </c>
      <c r="L2253" s="36">
        <v>45200</v>
      </c>
      <c r="M2253" t="s">
        <v>612</v>
      </c>
      <c r="N2253" t="s">
        <v>604</v>
      </c>
      <c r="O2253" s="37" t="str">
        <f t="shared" si="178"/>
        <v>Digital Payment</v>
      </c>
      <c r="P2253">
        <v>762.87</v>
      </c>
      <c r="Q2253" s="37" t="str">
        <f>IF(P2253&gt;500,"High","low")</f>
        <v>High</v>
      </c>
      <c r="R2253" s="37" t="str">
        <f t="shared" si="179"/>
        <v>Good</v>
      </c>
      <c r="S2253" t="s">
        <v>600</v>
      </c>
    </row>
    <row r="2254" spans="1:19" x14ac:dyDescent="0.2">
      <c r="A2254" t="s">
        <v>2865</v>
      </c>
      <c r="B2254" t="s">
        <v>90</v>
      </c>
      <c r="C2254" t="s">
        <v>602</v>
      </c>
      <c r="D2254">
        <v>4084.95</v>
      </c>
      <c r="E2254" s="37" t="str">
        <f t="shared" si="175"/>
        <v>Excellent Order</v>
      </c>
      <c r="F2254">
        <v>0.1</v>
      </c>
      <c r="G2254" s="37" t="str">
        <f t="shared" si="176"/>
        <v>Normal Discount</v>
      </c>
      <c r="H2254" s="37" t="str">
        <f t="shared" si="177"/>
        <v>Low</v>
      </c>
      <c r="I2254">
        <v>9</v>
      </c>
      <c r="J2254" t="str" cm="1">
        <f t="array" ref="J2254">_xlfn.IFS(I2254&lt;=3,"small",I2254&lt;=6,"Medium",I2254&lt;=9,"Large")</f>
        <v>Large</v>
      </c>
      <c r="K2254" s="36">
        <v>45564</v>
      </c>
      <c r="L2254" s="36">
        <v>45565</v>
      </c>
      <c r="M2254" t="s">
        <v>612</v>
      </c>
      <c r="N2254" t="s">
        <v>599</v>
      </c>
      <c r="O2254" s="37" t="str">
        <f t="shared" si="178"/>
        <v>Digital Payment</v>
      </c>
      <c r="P2254">
        <v>987.38</v>
      </c>
      <c r="Q2254" s="37" t="str">
        <f>IF(P2254&gt;500,"High","low")</f>
        <v>High</v>
      </c>
      <c r="R2254" s="37" t="str">
        <f t="shared" si="179"/>
        <v>Good</v>
      </c>
      <c r="S2254" t="s">
        <v>628</v>
      </c>
    </row>
    <row r="2255" spans="1:19" x14ac:dyDescent="0.2">
      <c r="A2255" t="s">
        <v>2866</v>
      </c>
      <c r="B2255" t="s">
        <v>83</v>
      </c>
      <c r="C2255" t="s">
        <v>597</v>
      </c>
      <c r="D2255">
        <v>2489.9899999999998</v>
      </c>
      <c r="E2255" s="37" t="str">
        <f t="shared" si="175"/>
        <v xml:space="preserve"> </v>
      </c>
      <c r="F2255">
        <v>0.22</v>
      </c>
      <c r="G2255" s="37" t="str">
        <f t="shared" si="176"/>
        <v>Normal Discount</v>
      </c>
      <c r="H2255" s="37" t="str">
        <f t="shared" si="177"/>
        <v>Medium</v>
      </c>
      <c r="I2255">
        <v>8</v>
      </c>
      <c r="J2255" t="str" cm="1">
        <f t="array" ref="J2255">_xlfn.IFS(I2255&lt;=3,"small",I2255&lt;=6,"Medium",I2255&lt;=9,"Large")</f>
        <v>Large</v>
      </c>
      <c r="K2255" s="36">
        <v>45098</v>
      </c>
      <c r="L2255" s="36">
        <v>45103</v>
      </c>
      <c r="M2255" t="s">
        <v>612</v>
      </c>
      <c r="N2255" t="s">
        <v>599</v>
      </c>
      <c r="O2255" s="37" t="str">
        <f t="shared" si="178"/>
        <v>Digital Payment</v>
      </c>
      <c r="P2255">
        <v>545.86</v>
      </c>
      <c r="Q2255" s="37" t="str">
        <f>IF(P2255&gt;500,"High","low")</f>
        <v>High</v>
      </c>
      <c r="R2255" s="37" t="str">
        <f t="shared" si="179"/>
        <v>Good</v>
      </c>
      <c r="S2255" t="s">
        <v>628</v>
      </c>
    </row>
    <row r="2256" spans="1:19" x14ac:dyDescent="0.2">
      <c r="A2256" t="s">
        <v>2867</v>
      </c>
      <c r="B2256" t="s">
        <v>67</v>
      </c>
      <c r="C2256" t="s">
        <v>607</v>
      </c>
      <c r="D2256">
        <v>3794.39</v>
      </c>
      <c r="E2256" s="37" t="str">
        <f t="shared" si="175"/>
        <v xml:space="preserve"> </v>
      </c>
      <c r="F2256">
        <v>0.22</v>
      </c>
      <c r="G2256" s="37" t="str">
        <f t="shared" si="176"/>
        <v>Normal Discount</v>
      </c>
      <c r="H2256" s="37" t="str">
        <f t="shared" si="177"/>
        <v>Medium</v>
      </c>
      <c r="I2256">
        <v>1</v>
      </c>
      <c r="J2256" t="str" cm="1">
        <f t="array" ref="J2256">_xlfn.IFS(I2256&lt;=3,"small",I2256&lt;=6,"Medium",I2256&lt;=9,"Large")</f>
        <v>small</v>
      </c>
      <c r="K2256" s="36">
        <v>45609</v>
      </c>
      <c r="L2256" s="36">
        <v>45616</v>
      </c>
      <c r="M2256" t="s">
        <v>612</v>
      </c>
      <c r="N2256" t="s">
        <v>599</v>
      </c>
      <c r="O2256" s="37" t="str">
        <f t="shared" si="178"/>
        <v>Digital Payment</v>
      </c>
      <c r="P2256">
        <v>535.61</v>
      </c>
      <c r="Q2256" s="37" t="str">
        <f>IF(P2256&gt;500,"High","low")</f>
        <v>High</v>
      </c>
      <c r="R2256" s="37" t="str">
        <f t="shared" si="179"/>
        <v>Good</v>
      </c>
      <c r="S2256" t="s">
        <v>620</v>
      </c>
    </row>
    <row r="2257" spans="1:19" x14ac:dyDescent="0.2">
      <c r="A2257" t="s">
        <v>2868</v>
      </c>
      <c r="B2257" t="s">
        <v>67</v>
      </c>
      <c r="C2257" t="s">
        <v>602</v>
      </c>
      <c r="D2257">
        <v>4351.93</v>
      </c>
      <c r="E2257" s="37" t="str">
        <f t="shared" si="175"/>
        <v xml:space="preserve"> </v>
      </c>
      <c r="F2257">
        <v>0.4</v>
      </c>
      <c r="G2257" s="37" t="str">
        <f t="shared" si="176"/>
        <v>Heavy Discount</v>
      </c>
      <c r="H2257" s="37" t="str">
        <f t="shared" si="177"/>
        <v>Medium</v>
      </c>
      <c r="I2257">
        <v>7</v>
      </c>
      <c r="J2257" t="str" cm="1">
        <f t="array" ref="J2257">_xlfn.IFS(I2257&lt;=3,"small",I2257&lt;=6,"Medium",I2257&lt;=9,"Large")</f>
        <v>Large</v>
      </c>
      <c r="K2257" s="36">
        <v>45055</v>
      </c>
      <c r="L2257" s="36">
        <v>45056</v>
      </c>
      <c r="M2257" t="s">
        <v>598</v>
      </c>
      <c r="N2257" t="s">
        <v>608</v>
      </c>
      <c r="O2257" s="37" t="str">
        <f t="shared" si="178"/>
        <v>Cash Payment</v>
      </c>
      <c r="P2257">
        <v>469.13</v>
      </c>
      <c r="Q2257" s="37" t="str">
        <f>IF(P2257&gt;500,"High","low")</f>
        <v>low</v>
      </c>
      <c r="R2257" s="37" t="str">
        <f t="shared" si="179"/>
        <v>AVERAGE</v>
      </c>
      <c r="S2257" t="s">
        <v>615</v>
      </c>
    </row>
    <row r="2258" spans="1:19" x14ac:dyDescent="0.2">
      <c r="A2258" t="s">
        <v>2869</v>
      </c>
      <c r="B2258" t="s">
        <v>90</v>
      </c>
      <c r="C2258" t="s">
        <v>614</v>
      </c>
      <c r="D2258">
        <v>2017.81</v>
      </c>
      <c r="E2258" s="37" t="str">
        <f t="shared" si="175"/>
        <v xml:space="preserve"> </v>
      </c>
      <c r="F2258">
        <v>0.43</v>
      </c>
      <c r="G2258" s="37" t="str">
        <f t="shared" si="176"/>
        <v>Heavy Discount</v>
      </c>
      <c r="H2258" s="37" t="str">
        <f t="shared" si="177"/>
        <v>High</v>
      </c>
      <c r="I2258">
        <v>5</v>
      </c>
      <c r="J2258" t="str" cm="1">
        <f t="array" ref="J2258">_xlfn.IFS(I2258&lt;=3,"small",I2258&lt;=6,"Medium",I2258&lt;=9,"Large")</f>
        <v>Medium</v>
      </c>
      <c r="K2258" s="36">
        <v>45279</v>
      </c>
      <c r="L2258" s="36">
        <v>45284</v>
      </c>
      <c r="M2258" t="s">
        <v>612</v>
      </c>
      <c r="N2258" t="s">
        <v>604</v>
      </c>
      <c r="O2258" s="37" t="str">
        <f t="shared" si="178"/>
        <v>Digital Payment</v>
      </c>
      <c r="P2258">
        <v>419.34</v>
      </c>
      <c r="Q2258" s="37" t="str">
        <f>IF(P2258&gt;500,"High","low")</f>
        <v>low</v>
      </c>
      <c r="R2258" s="37" t="str">
        <f t="shared" si="179"/>
        <v>AVERAGE</v>
      </c>
      <c r="S2258" t="s">
        <v>609</v>
      </c>
    </row>
    <row r="2259" spans="1:19" x14ac:dyDescent="0.2">
      <c r="A2259" t="s">
        <v>2870</v>
      </c>
      <c r="B2259" t="s">
        <v>83</v>
      </c>
      <c r="C2259" t="s">
        <v>617</v>
      </c>
      <c r="D2259">
        <v>166.49</v>
      </c>
      <c r="E2259" s="37" t="str">
        <f t="shared" si="175"/>
        <v xml:space="preserve"> </v>
      </c>
      <c r="F2259">
        <v>0.33</v>
      </c>
      <c r="G2259" s="37" t="str">
        <f t="shared" si="176"/>
        <v>Heavy Discount</v>
      </c>
      <c r="H2259" s="37" t="str">
        <f t="shared" si="177"/>
        <v>Medium</v>
      </c>
      <c r="I2259">
        <v>5</v>
      </c>
      <c r="J2259" t="str" cm="1">
        <f t="array" ref="J2259">_xlfn.IFS(I2259&lt;=3,"small",I2259&lt;=6,"Medium",I2259&lt;=9,"Large")</f>
        <v>Medium</v>
      </c>
      <c r="K2259" s="36">
        <v>45566</v>
      </c>
      <c r="L2259" s="36">
        <v>45568</v>
      </c>
      <c r="M2259" t="s">
        <v>603</v>
      </c>
      <c r="N2259" t="s">
        <v>608</v>
      </c>
      <c r="O2259" s="37" t="str">
        <f t="shared" si="178"/>
        <v>Cash Payment</v>
      </c>
      <c r="P2259">
        <v>19.93</v>
      </c>
      <c r="Q2259" s="37" t="str">
        <f>IF(P2259&gt;500,"High","low")</f>
        <v>low</v>
      </c>
      <c r="R2259" s="37" t="str">
        <f t="shared" si="179"/>
        <v>AVERAGE</v>
      </c>
      <c r="S2259" t="s">
        <v>615</v>
      </c>
    </row>
    <row r="2260" spans="1:19" x14ac:dyDescent="0.2">
      <c r="A2260" t="s">
        <v>2871</v>
      </c>
      <c r="B2260" t="s">
        <v>67</v>
      </c>
      <c r="C2260" t="s">
        <v>597</v>
      </c>
      <c r="D2260">
        <v>1349.14</v>
      </c>
      <c r="E2260" s="37" t="str">
        <f t="shared" si="175"/>
        <v xml:space="preserve"> </v>
      </c>
      <c r="F2260">
        <v>0.32</v>
      </c>
      <c r="G2260" s="37" t="str">
        <f t="shared" si="176"/>
        <v>Heavy Discount</v>
      </c>
      <c r="H2260" s="37" t="str">
        <f t="shared" si="177"/>
        <v>Medium</v>
      </c>
      <c r="I2260">
        <v>7</v>
      </c>
      <c r="J2260" t="str" cm="1">
        <f t="array" ref="J2260">_xlfn.IFS(I2260&lt;=3,"small",I2260&lt;=6,"Medium",I2260&lt;=9,"Large")</f>
        <v>Large</v>
      </c>
      <c r="K2260" s="36">
        <v>45577</v>
      </c>
      <c r="L2260" s="36">
        <v>45580</v>
      </c>
      <c r="M2260" t="s">
        <v>612</v>
      </c>
      <c r="N2260" t="s">
        <v>599</v>
      </c>
      <c r="O2260" s="37" t="str">
        <f t="shared" si="178"/>
        <v>Digital Payment</v>
      </c>
      <c r="P2260">
        <v>320.38</v>
      </c>
      <c r="Q2260" s="37" t="str">
        <f>IF(P2260&gt;500,"High","low")</f>
        <v>low</v>
      </c>
      <c r="R2260" s="37" t="str">
        <f t="shared" si="179"/>
        <v>AVERAGE</v>
      </c>
      <c r="S2260" t="s">
        <v>600</v>
      </c>
    </row>
    <row r="2261" spans="1:19" x14ac:dyDescent="0.2">
      <c r="A2261" t="s">
        <v>2872</v>
      </c>
      <c r="B2261" t="s">
        <v>90</v>
      </c>
      <c r="C2261" t="s">
        <v>614</v>
      </c>
      <c r="D2261">
        <v>4583.08</v>
      </c>
      <c r="E2261" s="37" t="str">
        <f t="shared" si="175"/>
        <v xml:space="preserve"> </v>
      </c>
      <c r="F2261">
        <v>0.06</v>
      </c>
      <c r="G2261" s="37" t="str">
        <f t="shared" si="176"/>
        <v>Normal Discount</v>
      </c>
      <c r="H2261" s="37" t="str">
        <f t="shared" si="177"/>
        <v>Low</v>
      </c>
      <c r="I2261">
        <v>4</v>
      </c>
      <c r="J2261" t="str" cm="1">
        <f t="array" ref="J2261">_xlfn.IFS(I2261&lt;=3,"small",I2261&lt;=6,"Medium",I2261&lt;=9,"Large")</f>
        <v>Medium</v>
      </c>
      <c r="K2261" s="36">
        <v>45074</v>
      </c>
      <c r="L2261" s="36">
        <v>45078</v>
      </c>
      <c r="M2261" t="s">
        <v>612</v>
      </c>
      <c r="N2261" t="s">
        <v>604</v>
      </c>
      <c r="O2261" s="37" t="str">
        <f t="shared" si="178"/>
        <v>Digital Payment</v>
      </c>
      <c r="P2261">
        <v>781.34</v>
      </c>
      <c r="Q2261" s="37" t="str">
        <f>IF(P2261&gt;500,"High","low")</f>
        <v>High</v>
      </c>
      <c r="R2261" s="37" t="str">
        <f t="shared" si="179"/>
        <v>Good</v>
      </c>
      <c r="S2261" t="s">
        <v>600</v>
      </c>
    </row>
    <row r="2262" spans="1:19" x14ac:dyDescent="0.2">
      <c r="A2262" t="s">
        <v>2873</v>
      </c>
      <c r="B2262" t="s">
        <v>75</v>
      </c>
      <c r="C2262" t="s">
        <v>607</v>
      </c>
      <c r="D2262">
        <v>3468.96</v>
      </c>
      <c r="E2262" s="37" t="str">
        <f t="shared" si="175"/>
        <v xml:space="preserve"> </v>
      </c>
      <c r="F2262">
        <v>0.28999999999999998</v>
      </c>
      <c r="G2262" s="37" t="str">
        <f t="shared" si="176"/>
        <v>Normal Discount</v>
      </c>
      <c r="H2262" s="37" t="str">
        <f t="shared" si="177"/>
        <v>Medium</v>
      </c>
      <c r="I2262">
        <v>1</v>
      </c>
      <c r="J2262" t="str" cm="1">
        <f t="array" ref="J2262">_xlfn.IFS(I2262&lt;=3,"small",I2262&lt;=6,"Medium",I2262&lt;=9,"Large")</f>
        <v>small</v>
      </c>
      <c r="K2262" s="36">
        <v>45005</v>
      </c>
      <c r="L2262" s="36">
        <v>45012</v>
      </c>
      <c r="M2262" t="s">
        <v>598</v>
      </c>
      <c r="N2262" t="s">
        <v>604</v>
      </c>
      <c r="O2262" s="37" t="str">
        <f t="shared" si="178"/>
        <v>Digital Payment</v>
      </c>
      <c r="P2262">
        <v>962.92</v>
      </c>
      <c r="Q2262" s="37" t="str">
        <f>IF(P2262&gt;500,"High","low")</f>
        <v>High</v>
      </c>
      <c r="R2262" s="37" t="str">
        <f t="shared" si="179"/>
        <v>Good</v>
      </c>
      <c r="S2262" t="s">
        <v>609</v>
      </c>
    </row>
    <row r="2263" spans="1:19" x14ac:dyDescent="0.2">
      <c r="A2263" t="s">
        <v>2874</v>
      </c>
      <c r="B2263" t="s">
        <v>67</v>
      </c>
      <c r="C2263" t="s">
        <v>617</v>
      </c>
      <c r="D2263">
        <v>3712.37</v>
      </c>
      <c r="E2263" s="37" t="str">
        <f t="shared" si="175"/>
        <v xml:space="preserve"> </v>
      </c>
      <c r="F2263">
        <v>0.14000000000000001</v>
      </c>
      <c r="G2263" s="37" t="str">
        <f t="shared" si="176"/>
        <v>Normal Discount</v>
      </c>
      <c r="H2263" s="37" t="str">
        <f t="shared" si="177"/>
        <v>Low</v>
      </c>
      <c r="I2263">
        <v>6</v>
      </c>
      <c r="J2263" t="str" cm="1">
        <f t="array" ref="J2263">_xlfn.IFS(I2263&lt;=3,"small",I2263&lt;=6,"Medium",I2263&lt;=9,"Large")</f>
        <v>Medium</v>
      </c>
      <c r="K2263" s="36">
        <v>45146</v>
      </c>
      <c r="L2263" s="36">
        <v>45151</v>
      </c>
      <c r="M2263" t="s">
        <v>612</v>
      </c>
      <c r="N2263" t="s">
        <v>608</v>
      </c>
      <c r="O2263" s="37" t="str">
        <f t="shared" si="178"/>
        <v>Cash Payment</v>
      </c>
      <c r="P2263">
        <v>1018.32</v>
      </c>
      <c r="Q2263" s="37" t="str">
        <f>IF(P2263&gt;500,"High","low")</f>
        <v>High</v>
      </c>
      <c r="R2263" s="37" t="str">
        <f t="shared" si="179"/>
        <v>Excellent</v>
      </c>
      <c r="S2263" t="s">
        <v>620</v>
      </c>
    </row>
    <row r="2264" spans="1:19" x14ac:dyDescent="0.2">
      <c r="A2264" t="s">
        <v>2875</v>
      </c>
      <c r="B2264" t="s">
        <v>83</v>
      </c>
      <c r="C2264" t="s">
        <v>607</v>
      </c>
      <c r="D2264">
        <v>1693.91</v>
      </c>
      <c r="E2264" s="37" t="str">
        <f t="shared" si="175"/>
        <v xml:space="preserve"> </v>
      </c>
      <c r="F2264">
        <v>0.15</v>
      </c>
      <c r="G2264" s="37" t="str">
        <f t="shared" si="176"/>
        <v>Normal Discount</v>
      </c>
      <c r="H2264" s="37" t="str">
        <f t="shared" si="177"/>
        <v>Low</v>
      </c>
      <c r="I2264">
        <v>1</v>
      </c>
      <c r="J2264" t="str" cm="1">
        <f t="array" ref="J2264">_xlfn.IFS(I2264&lt;=3,"small",I2264&lt;=6,"Medium",I2264&lt;=9,"Large")</f>
        <v>small</v>
      </c>
      <c r="K2264" s="36">
        <v>45331</v>
      </c>
      <c r="L2264" s="36">
        <v>45337</v>
      </c>
      <c r="M2264" t="s">
        <v>612</v>
      </c>
      <c r="N2264" t="s">
        <v>604</v>
      </c>
      <c r="O2264" s="37" t="str">
        <f t="shared" si="178"/>
        <v>Digital Payment</v>
      </c>
      <c r="P2264">
        <v>272.41000000000003</v>
      </c>
      <c r="Q2264" s="37" t="str">
        <f>IF(P2264&gt;500,"High","low")</f>
        <v>low</v>
      </c>
      <c r="R2264" s="37" t="str">
        <f t="shared" si="179"/>
        <v>AVERAGE</v>
      </c>
      <c r="S2264" t="s">
        <v>628</v>
      </c>
    </row>
    <row r="2265" spans="1:19" x14ac:dyDescent="0.2">
      <c r="A2265" t="s">
        <v>2876</v>
      </c>
      <c r="B2265" t="s">
        <v>83</v>
      </c>
      <c r="C2265" t="s">
        <v>607</v>
      </c>
      <c r="D2265">
        <v>3536.24</v>
      </c>
      <c r="E2265" s="37" t="str">
        <f t="shared" si="175"/>
        <v xml:space="preserve"> </v>
      </c>
      <c r="F2265">
        <v>0.05</v>
      </c>
      <c r="G2265" s="37" t="str">
        <f t="shared" si="176"/>
        <v>Normal Discount</v>
      </c>
      <c r="H2265" s="37" t="str">
        <f t="shared" si="177"/>
        <v>Low</v>
      </c>
      <c r="I2265">
        <v>1</v>
      </c>
      <c r="J2265" t="str" cm="1">
        <f t="array" ref="J2265">_xlfn.IFS(I2265&lt;=3,"small",I2265&lt;=6,"Medium",I2265&lt;=9,"Large")</f>
        <v>small</v>
      </c>
      <c r="K2265" s="36">
        <v>45013</v>
      </c>
      <c r="L2265" s="36">
        <v>45017</v>
      </c>
      <c r="M2265" t="s">
        <v>598</v>
      </c>
      <c r="N2265" t="s">
        <v>604</v>
      </c>
      <c r="O2265" s="37" t="str">
        <f t="shared" si="178"/>
        <v>Digital Payment</v>
      </c>
      <c r="P2265">
        <v>1020.42</v>
      </c>
      <c r="Q2265" s="37" t="str">
        <f>IF(P2265&gt;500,"High","low")</f>
        <v>High</v>
      </c>
      <c r="R2265" s="37" t="str">
        <f t="shared" si="179"/>
        <v>Excellent</v>
      </c>
      <c r="S2265" t="s">
        <v>620</v>
      </c>
    </row>
    <row r="2266" spans="1:19" x14ac:dyDescent="0.2">
      <c r="A2266" t="s">
        <v>2877</v>
      </c>
      <c r="B2266" t="s">
        <v>83</v>
      </c>
      <c r="C2266" t="s">
        <v>617</v>
      </c>
      <c r="D2266">
        <v>3266.78</v>
      </c>
      <c r="E2266" s="37" t="str">
        <f t="shared" si="175"/>
        <v xml:space="preserve"> </v>
      </c>
      <c r="F2266">
        <v>0.32</v>
      </c>
      <c r="G2266" s="37" t="str">
        <f t="shared" si="176"/>
        <v>Heavy Discount</v>
      </c>
      <c r="H2266" s="37" t="str">
        <f t="shared" si="177"/>
        <v>Medium</v>
      </c>
      <c r="I2266">
        <v>8</v>
      </c>
      <c r="J2266" t="str" cm="1">
        <f t="array" ref="J2266">_xlfn.IFS(I2266&lt;=3,"small",I2266&lt;=6,"Medium",I2266&lt;=9,"Large")</f>
        <v>Large</v>
      </c>
      <c r="K2266" s="36">
        <v>45330</v>
      </c>
      <c r="L2266" s="36">
        <v>45331</v>
      </c>
      <c r="M2266" t="s">
        <v>598</v>
      </c>
      <c r="N2266" t="s">
        <v>599</v>
      </c>
      <c r="O2266" s="37" t="str">
        <f t="shared" si="178"/>
        <v>Digital Payment</v>
      </c>
      <c r="P2266">
        <v>702.98</v>
      </c>
      <c r="Q2266" s="37" t="str">
        <f>IF(P2266&gt;500,"High","low")</f>
        <v>High</v>
      </c>
      <c r="R2266" s="37" t="str">
        <f t="shared" si="179"/>
        <v>Good</v>
      </c>
      <c r="S2266" t="s">
        <v>609</v>
      </c>
    </row>
    <row r="2267" spans="1:19" x14ac:dyDescent="0.2">
      <c r="A2267" t="s">
        <v>2878</v>
      </c>
      <c r="B2267" t="s">
        <v>75</v>
      </c>
      <c r="C2267" t="s">
        <v>617</v>
      </c>
      <c r="D2267">
        <v>974.03</v>
      </c>
      <c r="E2267" s="37" t="str">
        <f t="shared" si="175"/>
        <v xml:space="preserve"> </v>
      </c>
      <c r="F2267">
        <v>0.28999999999999998</v>
      </c>
      <c r="G2267" s="37" t="str">
        <f t="shared" si="176"/>
        <v>Normal Discount</v>
      </c>
      <c r="H2267" s="37" t="str">
        <f t="shared" si="177"/>
        <v>Medium</v>
      </c>
      <c r="I2267">
        <v>4</v>
      </c>
      <c r="J2267" t="str" cm="1">
        <f t="array" ref="J2267">_xlfn.IFS(I2267&lt;=3,"small",I2267&lt;=6,"Medium",I2267&lt;=9,"Large")</f>
        <v>Medium</v>
      </c>
      <c r="K2267" s="36">
        <v>45043</v>
      </c>
      <c r="L2267" s="36">
        <v>45045</v>
      </c>
      <c r="M2267" t="s">
        <v>598</v>
      </c>
      <c r="N2267" t="s">
        <v>599</v>
      </c>
      <c r="O2267" s="37" t="str">
        <f t="shared" si="178"/>
        <v>Digital Payment</v>
      </c>
      <c r="P2267">
        <v>196.04</v>
      </c>
      <c r="Q2267" s="37" t="str">
        <f>IF(P2267&gt;500,"High","low")</f>
        <v>low</v>
      </c>
      <c r="R2267" s="37" t="str">
        <f t="shared" si="179"/>
        <v>AVERAGE</v>
      </c>
      <c r="S2267" t="s">
        <v>620</v>
      </c>
    </row>
    <row r="2268" spans="1:19" x14ac:dyDescent="0.2">
      <c r="A2268" t="s">
        <v>2879</v>
      </c>
      <c r="B2268" t="s">
        <v>67</v>
      </c>
      <c r="C2268" t="s">
        <v>607</v>
      </c>
      <c r="D2268">
        <v>4846.58</v>
      </c>
      <c r="E2268" s="37" t="str">
        <f t="shared" si="175"/>
        <v xml:space="preserve"> </v>
      </c>
      <c r="F2268">
        <v>0.11</v>
      </c>
      <c r="G2268" s="37" t="str">
        <f t="shared" si="176"/>
        <v>Normal Discount</v>
      </c>
      <c r="H2268" s="37" t="str">
        <f t="shared" si="177"/>
        <v>Low</v>
      </c>
      <c r="I2268">
        <v>5</v>
      </c>
      <c r="J2268" t="str" cm="1">
        <f t="array" ref="J2268">_xlfn.IFS(I2268&lt;=3,"small",I2268&lt;=6,"Medium",I2268&lt;=9,"Large")</f>
        <v>Medium</v>
      </c>
      <c r="K2268" s="36">
        <v>45428</v>
      </c>
      <c r="L2268" s="36">
        <v>45429</v>
      </c>
      <c r="M2268" t="s">
        <v>603</v>
      </c>
      <c r="N2268" t="s">
        <v>599</v>
      </c>
      <c r="O2268" s="37" t="str">
        <f t="shared" si="178"/>
        <v>Digital Payment</v>
      </c>
      <c r="P2268">
        <v>355.43</v>
      </c>
      <c r="Q2268" s="37" t="str">
        <f>IF(P2268&gt;500,"High","low")</f>
        <v>low</v>
      </c>
      <c r="R2268" s="37" t="str">
        <f t="shared" si="179"/>
        <v>AVERAGE</v>
      </c>
      <c r="S2268" t="s">
        <v>615</v>
      </c>
    </row>
    <row r="2269" spans="1:19" x14ac:dyDescent="0.2">
      <c r="A2269" t="s">
        <v>2880</v>
      </c>
      <c r="B2269" t="s">
        <v>67</v>
      </c>
      <c r="C2269" t="s">
        <v>597</v>
      </c>
      <c r="D2269">
        <v>1834.73</v>
      </c>
      <c r="E2269" s="37" t="str">
        <f t="shared" si="175"/>
        <v xml:space="preserve"> </v>
      </c>
      <c r="F2269">
        <v>0.13</v>
      </c>
      <c r="G2269" s="37" t="str">
        <f t="shared" si="176"/>
        <v>Normal Discount</v>
      </c>
      <c r="H2269" s="37" t="str">
        <f t="shared" si="177"/>
        <v>Low</v>
      </c>
      <c r="I2269">
        <v>1</v>
      </c>
      <c r="J2269" t="str" cm="1">
        <f t="array" ref="J2269">_xlfn.IFS(I2269&lt;=3,"small",I2269&lt;=6,"Medium",I2269&lt;=9,"Large")</f>
        <v>small</v>
      </c>
      <c r="K2269" s="36">
        <v>45583</v>
      </c>
      <c r="L2269" s="36">
        <v>45588</v>
      </c>
      <c r="M2269" t="s">
        <v>598</v>
      </c>
      <c r="N2269" t="s">
        <v>608</v>
      </c>
      <c r="O2269" s="37" t="str">
        <f t="shared" si="178"/>
        <v>Cash Payment</v>
      </c>
      <c r="P2269">
        <v>542.38</v>
      </c>
      <c r="Q2269" s="37" t="str">
        <f>IF(P2269&gt;500,"High","low")</f>
        <v>High</v>
      </c>
      <c r="R2269" s="37" t="str">
        <f t="shared" si="179"/>
        <v>Good</v>
      </c>
      <c r="S2269" t="s">
        <v>615</v>
      </c>
    </row>
    <row r="2270" spans="1:19" x14ac:dyDescent="0.2">
      <c r="A2270" t="s">
        <v>2881</v>
      </c>
      <c r="B2270" t="s">
        <v>75</v>
      </c>
      <c r="C2270" t="s">
        <v>617</v>
      </c>
      <c r="D2270">
        <v>1713.51</v>
      </c>
      <c r="E2270" s="37" t="str">
        <f t="shared" si="175"/>
        <v xml:space="preserve"> </v>
      </c>
      <c r="F2270">
        <v>0.39</v>
      </c>
      <c r="G2270" s="37" t="str">
        <f t="shared" si="176"/>
        <v>Heavy Discount</v>
      </c>
      <c r="H2270" s="37" t="str">
        <f t="shared" si="177"/>
        <v>Medium</v>
      </c>
      <c r="I2270">
        <v>7</v>
      </c>
      <c r="J2270" t="str" cm="1">
        <f t="array" ref="J2270">_xlfn.IFS(I2270&lt;=3,"small",I2270&lt;=6,"Medium",I2270&lt;=9,"Large")</f>
        <v>Large</v>
      </c>
      <c r="K2270" s="36">
        <v>45544</v>
      </c>
      <c r="L2270" s="36">
        <v>45547</v>
      </c>
      <c r="M2270" t="s">
        <v>603</v>
      </c>
      <c r="N2270" t="s">
        <v>608</v>
      </c>
      <c r="O2270" s="37" t="str">
        <f t="shared" si="178"/>
        <v>Cash Payment</v>
      </c>
      <c r="P2270">
        <v>124.92</v>
      </c>
      <c r="Q2270" s="37" t="str">
        <f>IF(P2270&gt;500,"High","low")</f>
        <v>low</v>
      </c>
      <c r="R2270" s="37" t="str">
        <f t="shared" si="179"/>
        <v>AVERAGE</v>
      </c>
      <c r="S2270" t="s">
        <v>609</v>
      </c>
    </row>
    <row r="2271" spans="1:19" x14ac:dyDescent="0.2">
      <c r="A2271" t="s">
        <v>2882</v>
      </c>
      <c r="B2271" t="s">
        <v>67</v>
      </c>
      <c r="C2271" t="s">
        <v>614</v>
      </c>
      <c r="D2271">
        <v>1908.89</v>
      </c>
      <c r="E2271" s="37" t="str">
        <f t="shared" si="175"/>
        <v xml:space="preserve"> </v>
      </c>
      <c r="F2271">
        <v>0.4</v>
      </c>
      <c r="G2271" s="37" t="str">
        <f t="shared" si="176"/>
        <v>Heavy Discount</v>
      </c>
      <c r="H2271" s="37" t="str">
        <f t="shared" si="177"/>
        <v>Medium</v>
      </c>
      <c r="I2271">
        <v>2</v>
      </c>
      <c r="J2271" t="str" cm="1">
        <f t="array" ref="J2271">_xlfn.IFS(I2271&lt;=3,"small",I2271&lt;=6,"Medium",I2271&lt;=9,"Large")</f>
        <v>small</v>
      </c>
      <c r="K2271" s="36">
        <v>45517</v>
      </c>
      <c r="L2271" s="36">
        <v>45522</v>
      </c>
      <c r="M2271" t="s">
        <v>603</v>
      </c>
      <c r="N2271" t="s">
        <v>599</v>
      </c>
      <c r="O2271" s="37" t="str">
        <f t="shared" si="178"/>
        <v>Digital Payment</v>
      </c>
      <c r="P2271">
        <v>224.05</v>
      </c>
      <c r="Q2271" s="37" t="str">
        <f>IF(P2271&gt;500,"High","low")</f>
        <v>low</v>
      </c>
      <c r="R2271" s="37" t="str">
        <f t="shared" si="179"/>
        <v>AVERAGE</v>
      </c>
      <c r="S2271" t="s">
        <v>615</v>
      </c>
    </row>
    <row r="2272" spans="1:19" x14ac:dyDescent="0.2">
      <c r="A2272" t="s">
        <v>2883</v>
      </c>
      <c r="B2272" t="s">
        <v>75</v>
      </c>
      <c r="C2272" t="s">
        <v>602</v>
      </c>
      <c r="D2272">
        <v>549.42999999999995</v>
      </c>
      <c r="E2272" s="37" t="str">
        <f t="shared" si="175"/>
        <v xml:space="preserve"> </v>
      </c>
      <c r="F2272">
        <v>0.25</v>
      </c>
      <c r="G2272" s="37" t="str">
        <f t="shared" si="176"/>
        <v>Normal Discount</v>
      </c>
      <c r="H2272" s="37" t="str">
        <f t="shared" si="177"/>
        <v>Medium</v>
      </c>
      <c r="I2272">
        <v>6</v>
      </c>
      <c r="J2272" t="str" cm="1">
        <f t="array" ref="J2272">_xlfn.IFS(I2272&lt;=3,"small",I2272&lt;=6,"Medium",I2272&lt;=9,"Large")</f>
        <v>Medium</v>
      </c>
      <c r="K2272" s="36">
        <v>45100</v>
      </c>
      <c r="L2272" s="36">
        <v>45105</v>
      </c>
      <c r="M2272" t="s">
        <v>598</v>
      </c>
      <c r="N2272" t="s">
        <v>599</v>
      </c>
      <c r="O2272" s="37" t="str">
        <f t="shared" si="178"/>
        <v>Digital Payment</v>
      </c>
      <c r="P2272">
        <v>50.87</v>
      </c>
      <c r="Q2272" s="37" t="str">
        <f>IF(P2272&gt;500,"High","low")</f>
        <v>low</v>
      </c>
      <c r="R2272" s="37" t="str">
        <f t="shared" si="179"/>
        <v>AVERAGE</v>
      </c>
      <c r="S2272" t="s">
        <v>615</v>
      </c>
    </row>
    <row r="2273" spans="1:19" x14ac:dyDescent="0.2">
      <c r="A2273" t="s">
        <v>2884</v>
      </c>
      <c r="B2273" t="s">
        <v>75</v>
      </c>
      <c r="C2273" t="s">
        <v>597</v>
      </c>
      <c r="D2273">
        <v>3162.32</v>
      </c>
      <c r="E2273" s="37" t="str">
        <f t="shared" si="175"/>
        <v xml:space="preserve"> </v>
      </c>
      <c r="F2273">
        <v>7.0000000000000007E-2</v>
      </c>
      <c r="G2273" s="37" t="str">
        <f t="shared" si="176"/>
        <v>Normal Discount</v>
      </c>
      <c r="H2273" s="37" t="str">
        <f t="shared" si="177"/>
        <v>Low</v>
      </c>
      <c r="I2273">
        <v>9</v>
      </c>
      <c r="J2273" t="str" cm="1">
        <f t="array" ref="J2273">_xlfn.IFS(I2273&lt;=3,"small",I2273&lt;=6,"Medium",I2273&lt;=9,"Large")</f>
        <v>Large</v>
      </c>
      <c r="K2273" s="36">
        <v>45032</v>
      </c>
      <c r="L2273" s="36">
        <v>45039</v>
      </c>
      <c r="M2273" t="s">
        <v>612</v>
      </c>
      <c r="N2273" t="s">
        <v>599</v>
      </c>
      <c r="O2273" s="37" t="str">
        <f t="shared" si="178"/>
        <v>Digital Payment</v>
      </c>
      <c r="P2273">
        <v>203.25</v>
      </c>
      <c r="Q2273" s="37" t="str">
        <f>IF(P2273&gt;500,"High","low")</f>
        <v>low</v>
      </c>
      <c r="R2273" s="37" t="str">
        <f t="shared" si="179"/>
        <v>AVERAGE</v>
      </c>
      <c r="S2273" t="s">
        <v>605</v>
      </c>
    </row>
    <row r="2274" spans="1:19" x14ac:dyDescent="0.2">
      <c r="A2274" t="s">
        <v>2885</v>
      </c>
      <c r="B2274" t="s">
        <v>75</v>
      </c>
      <c r="C2274" t="s">
        <v>617</v>
      </c>
      <c r="D2274">
        <v>1269.26</v>
      </c>
      <c r="E2274" s="37" t="str">
        <f t="shared" si="175"/>
        <v xml:space="preserve"> </v>
      </c>
      <c r="F2274">
        <v>0.03</v>
      </c>
      <c r="G2274" s="37" t="str">
        <f t="shared" si="176"/>
        <v>Normal Discount</v>
      </c>
      <c r="H2274" s="37" t="str">
        <f t="shared" si="177"/>
        <v>Low</v>
      </c>
      <c r="I2274">
        <v>2</v>
      </c>
      <c r="J2274" t="str" cm="1">
        <f t="array" ref="J2274">_xlfn.IFS(I2274&lt;=3,"small",I2274&lt;=6,"Medium",I2274&lt;=9,"Large")</f>
        <v>small</v>
      </c>
      <c r="K2274" s="36">
        <v>45023</v>
      </c>
      <c r="L2274" s="36">
        <v>45029</v>
      </c>
      <c r="M2274" t="s">
        <v>612</v>
      </c>
      <c r="N2274" t="s">
        <v>608</v>
      </c>
      <c r="O2274" s="37" t="str">
        <f t="shared" si="178"/>
        <v>Cash Payment</v>
      </c>
      <c r="P2274">
        <v>380.4</v>
      </c>
      <c r="Q2274" s="37" t="str">
        <f>IF(P2274&gt;500,"High","low")</f>
        <v>low</v>
      </c>
      <c r="R2274" s="37" t="str">
        <f t="shared" si="179"/>
        <v>AVERAGE</v>
      </c>
      <c r="S2274" t="s">
        <v>628</v>
      </c>
    </row>
    <row r="2275" spans="1:19" x14ac:dyDescent="0.2">
      <c r="A2275" t="s">
        <v>2886</v>
      </c>
      <c r="B2275" t="s">
        <v>83</v>
      </c>
      <c r="C2275" t="s">
        <v>617</v>
      </c>
      <c r="D2275">
        <v>4036.23</v>
      </c>
      <c r="E2275" s="37" t="str">
        <f t="shared" si="175"/>
        <v xml:space="preserve"> </v>
      </c>
      <c r="F2275">
        <v>0.14000000000000001</v>
      </c>
      <c r="G2275" s="37" t="str">
        <f t="shared" si="176"/>
        <v>Normal Discount</v>
      </c>
      <c r="H2275" s="37" t="str">
        <f t="shared" si="177"/>
        <v>Low</v>
      </c>
      <c r="I2275">
        <v>6</v>
      </c>
      <c r="J2275" t="str" cm="1">
        <f t="array" ref="J2275">_xlfn.IFS(I2275&lt;=3,"small",I2275&lt;=6,"Medium",I2275&lt;=9,"Large")</f>
        <v>Medium</v>
      </c>
      <c r="K2275" s="36">
        <v>45404</v>
      </c>
      <c r="L2275" s="36">
        <v>45405</v>
      </c>
      <c r="M2275" t="s">
        <v>603</v>
      </c>
      <c r="N2275" t="s">
        <v>599</v>
      </c>
      <c r="O2275" s="37" t="str">
        <f t="shared" si="178"/>
        <v>Digital Payment</v>
      </c>
      <c r="P2275">
        <v>523.67999999999995</v>
      </c>
      <c r="Q2275" s="37" t="str">
        <f>IF(P2275&gt;500,"High","low")</f>
        <v>High</v>
      </c>
      <c r="R2275" s="37" t="str">
        <f t="shared" si="179"/>
        <v>Good</v>
      </c>
      <c r="S2275" t="s">
        <v>609</v>
      </c>
    </row>
    <row r="2276" spans="1:19" x14ac:dyDescent="0.2">
      <c r="A2276" t="s">
        <v>2887</v>
      </c>
      <c r="B2276" t="s">
        <v>67</v>
      </c>
      <c r="C2276" t="s">
        <v>597</v>
      </c>
      <c r="D2276">
        <v>2031.37</v>
      </c>
      <c r="E2276" s="37" t="str">
        <f t="shared" si="175"/>
        <v xml:space="preserve"> </v>
      </c>
      <c r="F2276">
        <v>0.37</v>
      </c>
      <c r="G2276" s="37" t="str">
        <f t="shared" si="176"/>
        <v>Heavy Discount</v>
      </c>
      <c r="H2276" s="37" t="str">
        <f t="shared" si="177"/>
        <v>Medium</v>
      </c>
      <c r="I2276">
        <v>5</v>
      </c>
      <c r="J2276" t="str" cm="1">
        <f t="array" ref="J2276">_xlfn.IFS(I2276&lt;=3,"small",I2276&lt;=6,"Medium",I2276&lt;=9,"Large")</f>
        <v>Medium</v>
      </c>
      <c r="K2276" s="36">
        <v>45474</v>
      </c>
      <c r="L2276" s="36">
        <v>45479</v>
      </c>
      <c r="M2276" t="s">
        <v>612</v>
      </c>
      <c r="N2276" t="s">
        <v>604</v>
      </c>
      <c r="O2276" s="37" t="str">
        <f t="shared" si="178"/>
        <v>Digital Payment</v>
      </c>
      <c r="P2276">
        <v>124.98</v>
      </c>
      <c r="Q2276" s="37" t="str">
        <f>IF(P2276&gt;500,"High","low")</f>
        <v>low</v>
      </c>
      <c r="R2276" s="37" t="str">
        <f t="shared" si="179"/>
        <v>AVERAGE</v>
      </c>
      <c r="S2276" t="s">
        <v>600</v>
      </c>
    </row>
    <row r="2277" spans="1:19" x14ac:dyDescent="0.2">
      <c r="A2277" t="s">
        <v>2888</v>
      </c>
      <c r="B2277" t="s">
        <v>75</v>
      </c>
      <c r="C2277" t="s">
        <v>602</v>
      </c>
      <c r="D2277">
        <v>2346.94</v>
      </c>
      <c r="E2277" s="37" t="str">
        <f t="shared" si="175"/>
        <v xml:space="preserve"> </v>
      </c>
      <c r="F2277">
        <v>0.3</v>
      </c>
      <c r="G2277" s="37" t="str">
        <f t="shared" si="176"/>
        <v>Normal Discount</v>
      </c>
      <c r="H2277" s="37" t="str">
        <f t="shared" si="177"/>
        <v>Medium</v>
      </c>
      <c r="I2277">
        <v>2</v>
      </c>
      <c r="J2277" t="str" cm="1">
        <f t="array" ref="J2277">_xlfn.IFS(I2277&lt;=3,"small",I2277&lt;=6,"Medium",I2277&lt;=9,"Large")</f>
        <v>small</v>
      </c>
      <c r="K2277" s="36">
        <v>45539</v>
      </c>
      <c r="L2277" s="36">
        <v>45542</v>
      </c>
      <c r="M2277" t="s">
        <v>598</v>
      </c>
      <c r="N2277" t="s">
        <v>608</v>
      </c>
      <c r="O2277" s="37" t="str">
        <f t="shared" si="178"/>
        <v>Cash Payment</v>
      </c>
      <c r="P2277">
        <v>190.68</v>
      </c>
      <c r="Q2277" s="37" t="str">
        <f>IF(P2277&gt;500,"High","low")</f>
        <v>low</v>
      </c>
      <c r="R2277" s="37" t="str">
        <f t="shared" si="179"/>
        <v>AVERAGE</v>
      </c>
      <c r="S2277" t="s">
        <v>620</v>
      </c>
    </row>
    <row r="2278" spans="1:19" x14ac:dyDescent="0.2">
      <c r="A2278" t="s">
        <v>2889</v>
      </c>
      <c r="B2278" t="s">
        <v>67</v>
      </c>
      <c r="C2278" t="s">
        <v>607</v>
      </c>
      <c r="D2278">
        <v>3267.47</v>
      </c>
      <c r="E2278" s="37" t="str">
        <f t="shared" si="175"/>
        <v xml:space="preserve"> </v>
      </c>
      <c r="F2278">
        <v>0.36</v>
      </c>
      <c r="G2278" s="37" t="str">
        <f t="shared" si="176"/>
        <v>Heavy Discount</v>
      </c>
      <c r="H2278" s="37" t="str">
        <f t="shared" si="177"/>
        <v>Medium</v>
      </c>
      <c r="I2278">
        <v>9</v>
      </c>
      <c r="J2278" t="str" cm="1">
        <f t="array" ref="J2278">_xlfn.IFS(I2278&lt;=3,"small",I2278&lt;=6,"Medium",I2278&lt;=9,"Large")</f>
        <v>Large</v>
      </c>
      <c r="K2278" s="36">
        <v>45487</v>
      </c>
      <c r="L2278" s="36">
        <v>45489</v>
      </c>
      <c r="M2278" t="s">
        <v>598</v>
      </c>
      <c r="N2278" t="s">
        <v>599</v>
      </c>
      <c r="O2278" s="37" t="str">
        <f t="shared" si="178"/>
        <v>Digital Payment</v>
      </c>
      <c r="P2278">
        <v>356.5</v>
      </c>
      <c r="Q2278" s="37" t="str">
        <f>IF(P2278&gt;500,"High","low")</f>
        <v>low</v>
      </c>
      <c r="R2278" s="37" t="str">
        <f t="shared" si="179"/>
        <v>AVERAGE</v>
      </c>
      <c r="S2278" t="s">
        <v>605</v>
      </c>
    </row>
    <row r="2279" spans="1:19" x14ac:dyDescent="0.2">
      <c r="A2279" t="s">
        <v>2890</v>
      </c>
      <c r="B2279" t="s">
        <v>83</v>
      </c>
      <c r="C2279" t="s">
        <v>614</v>
      </c>
      <c r="D2279">
        <v>3833.17</v>
      </c>
      <c r="E2279" s="37" t="str">
        <f t="shared" si="175"/>
        <v xml:space="preserve"> </v>
      </c>
      <c r="F2279">
        <v>0.24</v>
      </c>
      <c r="G2279" s="37" t="str">
        <f t="shared" si="176"/>
        <v>Normal Discount</v>
      </c>
      <c r="H2279" s="37" t="str">
        <f t="shared" si="177"/>
        <v>Medium</v>
      </c>
      <c r="I2279">
        <v>2</v>
      </c>
      <c r="J2279" t="str" cm="1">
        <f t="array" ref="J2279">_xlfn.IFS(I2279&lt;=3,"small",I2279&lt;=6,"Medium",I2279&lt;=9,"Large")</f>
        <v>small</v>
      </c>
      <c r="K2279" s="36">
        <v>45348</v>
      </c>
      <c r="L2279" s="36">
        <v>45349</v>
      </c>
      <c r="M2279" t="s">
        <v>612</v>
      </c>
      <c r="N2279" t="s">
        <v>599</v>
      </c>
      <c r="O2279" s="37" t="str">
        <f t="shared" si="178"/>
        <v>Digital Payment</v>
      </c>
      <c r="P2279">
        <v>228.73</v>
      </c>
      <c r="Q2279" s="37" t="str">
        <f>IF(P2279&gt;500,"High","low")</f>
        <v>low</v>
      </c>
      <c r="R2279" s="37" t="str">
        <f t="shared" si="179"/>
        <v>AVERAGE</v>
      </c>
      <c r="S2279" t="s">
        <v>600</v>
      </c>
    </row>
    <row r="2280" spans="1:19" x14ac:dyDescent="0.2">
      <c r="A2280" t="s">
        <v>2891</v>
      </c>
      <c r="B2280" t="s">
        <v>75</v>
      </c>
      <c r="C2280" t="s">
        <v>617</v>
      </c>
      <c r="D2280">
        <v>1232.46</v>
      </c>
      <c r="E2280" s="37" t="str">
        <f t="shared" si="175"/>
        <v xml:space="preserve"> </v>
      </c>
      <c r="F2280">
        <v>0.38</v>
      </c>
      <c r="G2280" s="37" t="str">
        <f t="shared" si="176"/>
        <v>Heavy Discount</v>
      </c>
      <c r="H2280" s="37" t="str">
        <f t="shared" si="177"/>
        <v>Medium</v>
      </c>
      <c r="I2280">
        <v>1</v>
      </c>
      <c r="J2280" t="str" cm="1">
        <f t="array" ref="J2280">_xlfn.IFS(I2280&lt;=3,"small",I2280&lt;=6,"Medium",I2280&lt;=9,"Large")</f>
        <v>small</v>
      </c>
      <c r="K2280" s="36">
        <v>45654</v>
      </c>
      <c r="L2280" s="36">
        <v>45659</v>
      </c>
      <c r="M2280" t="s">
        <v>612</v>
      </c>
      <c r="N2280" t="s">
        <v>599</v>
      </c>
      <c r="O2280" s="37" t="str">
        <f t="shared" si="178"/>
        <v>Digital Payment</v>
      </c>
      <c r="P2280">
        <v>106.83</v>
      </c>
      <c r="Q2280" s="37" t="str">
        <f>IF(P2280&gt;500,"High","low")</f>
        <v>low</v>
      </c>
      <c r="R2280" s="37" t="str">
        <f t="shared" si="179"/>
        <v>AVERAGE</v>
      </c>
      <c r="S2280" t="s">
        <v>600</v>
      </c>
    </row>
    <row r="2281" spans="1:19" x14ac:dyDescent="0.2">
      <c r="A2281" t="s">
        <v>2892</v>
      </c>
      <c r="B2281" t="s">
        <v>90</v>
      </c>
      <c r="C2281" t="s">
        <v>602</v>
      </c>
      <c r="D2281">
        <v>4834.84</v>
      </c>
      <c r="E2281" s="37" t="str">
        <f t="shared" si="175"/>
        <v xml:space="preserve"> </v>
      </c>
      <c r="F2281">
        <v>0.24</v>
      </c>
      <c r="G2281" s="37" t="str">
        <f t="shared" si="176"/>
        <v>Normal Discount</v>
      </c>
      <c r="H2281" s="37" t="str">
        <f t="shared" si="177"/>
        <v>Medium</v>
      </c>
      <c r="I2281">
        <v>9</v>
      </c>
      <c r="J2281" t="str" cm="1">
        <f t="array" ref="J2281">_xlfn.IFS(I2281&lt;=3,"small",I2281&lt;=6,"Medium",I2281&lt;=9,"Large")</f>
        <v>Large</v>
      </c>
      <c r="K2281" s="36">
        <v>45527</v>
      </c>
      <c r="L2281" s="36">
        <v>45531</v>
      </c>
      <c r="M2281" t="s">
        <v>603</v>
      </c>
      <c r="N2281" t="s">
        <v>608</v>
      </c>
      <c r="O2281" s="37" t="str">
        <f t="shared" si="178"/>
        <v>Cash Payment</v>
      </c>
      <c r="P2281">
        <v>280.47000000000003</v>
      </c>
      <c r="Q2281" s="37" t="str">
        <f>IF(P2281&gt;500,"High","low")</f>
        <v>low</v>
      </c>
      <c r="R2281" s="37" t="str">
        <f t="shared" si="179"/>
        <v>AVERAGE</v>
      </c>
      <c r="S2281" t="s">
        <v>628</v>
      </c>
    </row>
    <row r="2282" spans="1:19" x14ac:dyDescent="0.2">
      <c r="A2282" t="s">
        <v>2893</v>
      </c>
      <c r="B2282" t="s">
        <v>83</v>
      </c>
      <c r="C2282" t="s">
        <v>614</v>
      </c>
      <c r="D2282">
        <v>3149.38</v>
      </c>
      <c r="E2282" s="37" t="str">
        <f t="shared" si="175"/>
        <v xml:space="preserve"> </v>
      </c>
      <c r="F2282">
        <v>0.04</v>
      </c>
      <c r="G2282" s="37" t="str">
        <f t="shared" si="176"/>
        <v>Normal Discount</v>
      </c>
      <c r="H2282" s="37" t="str">
        <f t="shared" si="177"/>
        <v>Low</v>
      </c>
      <c r="I2282">
        <v>9</v>
      </c>
      <c r="J2282" t="str" cm="1">
        <f t="array" ref="J2282">_xlfn.IFS(I2282&lt;=3,"small",I2282&lt;=6,"Medium",I2282&lt;=9,"Large")</f>
        <v>Large</v>
      </c>
      <c r="K2282" s="36">
        <v>45337</v>
      </c>
      <c r="L2282" s="36">
        <v>45344</v>
      </c>
      <c r="M2282" t="s">
        <v>612</v>
      </c>
      <c r="N2282" t="s">
        <v>608</v>
      </c>
      <c r="O2282" s="37" t="str">
        <f t="shared" si="178"/>
        <v>Cash Payment</v>
      </c>
      <c r="P2282">
        <v>288.69</v>
      </c>
      <c r="Q2282" s="37" t="str">
        <f>IF(P2282&gt;500,"High","low")</f>
        <v>low</v>
      </c>
      <c r="R2282" s="37" t="str">
        <f t="shared" si="179"/>
        <v>AVERAGE</v>
      </c>
      <c r="S2282" t="s">
        <v>628</v>
      </c>
    </row>
    <row r="2283" spans="1:19" x14ac:dyDescent="0.2">
      <c r="A2283" t="s">
        <v>2894</v>
      </c>
      <c r="B2283" t="s">
        <v>90</v>
      </c>
      <c r="C2283" t="s">
        <v>597</v>
      </c>
      <c r="D2283">
        <v>127.63</v>
      </c>
      <c r="E2283" s="37" t="str">
        <f t="shared" si="175"/>
        <v xml:space="preserve"> </v>
      </c>
      <c r="F2283">
        <v>0.04</v>
      </c>
      <c r="G2283" s="37" t="str">
        <f t="shared" si="176"/>
        <v>Normal Discount</v>
      </c>
      <c r="H2283" s="37" t="str">
        <f t="shared" si="177"/>
        <v>Low</v>
      </c>
      <c r="I2283">
        <v>9</v>
      </c>
      <c r="J2283" t="str" cm="1">
        <f t="array" ref="J2283">_xlfn.IFS(I2283&lt;=3,"small",I2283&lt;=6,"Medium",I2283&lt;=9,"Large")</f>
        <v>Large</v>
      </c>
      <c r="K2283" s="36">
        <v>45251</v>
      </c>
      <c r="L2283" s="36">
        <v>45253</v>
      </c>
      <c r="M2283" t="s">
        <v>603</v>
      </c>
      <c r="N2283" t="s">
        <v>604</v>
      </c>
      <c r="O2283" s="37" t="str">
        <f t="shared" si="178"/>
        <v>Digital Payment</v>
      </c>
      <c r="P2283">
        <v>20.59</v>
      </c>
      <c r="Q2283" s="37" t="str">
        <f>IF(P2283&gt;500,"High","low")</f>
        <v>low</v>
      </c>
      <c r="R2283" s="37" t="str">
        <f t="shared" si="179"/>
        <v>AVERAGE</v>
      </c>
      <c r="S2283" t="s">
        <v>615</v>
      </c>
    </row>
    <row r="2284" spans="1:19" x14ac:dyDescent="0.2">
      <c r="A2284" t="s">
        <v>2895</v>
      </c>
      <c r="B2284" t="s">
        <v>67</v>
      </c>
      <c r="C2284" t="s">
        <v>617</v>
      </c>
      <c r="D2284">
        <v>2136.5500000000002</v>
      </c>
      <c r="E2284" s="37" t="str">
        <f t="shared" si="175"/>
        <v xml:space="preserve"> </v>
      </c>
      <c r="F2284">
        <v>0.42</v>
      </c>
      <c r="G2284" s="37" t="str">
        <f t="shared" si="176"/>
        <v>Heavy Discount</v>
      </c>
      <c r="H2284" s="37" t="str">
        <f t="shared" si="177"/>
        <v>High</v>
      </c>
      <c r="I2284">
        <v>8</v>
      </c>
      <c r="J2284" t="str" cm="1">
        <f t="array" ref="J2284">_xlfn.IFS(I2284&lt;=3,"small",I2284&lt;=6,"Medium",I2284&lt;=9,"Large")</f>
        <v>Large</v>
      </c>
      <c r="K2284" s="36">
        <v>45395</v>
      </c>
      <c r="L2284" s="36">
        <v>45396</v>
      </c>
      <c r="M2284" t="s">
        <v>612</v>
      </c>
      <c r="N2284" t="s">
        <v>608</v>
      </c>
      <c r="O2284" s="37" t="str">
        <f t="shared" si="178"/>
        <v>Cash Payment</v>
      </c>
      <c r="P2284">
        <v>628.04</v>
      </c>
      <c r="Q2284" s="37" t="str">
        <f>IF(P2284&gt;500,"High","low")</f>
        <v>High</v>
      </c>
      <c r="R2284" s="37" t="str">
        <f t="shared" si="179"/>
        <v>Good</v>
      </c>
      <c r="S2284" t="s">
        <v>600</v>
      </c>
    </row>
    <row r="2285" spans="1:19" x14ac:dyDescent="0.2">
      <c r="A2285" t="s">
        <v>2896</v>
      </c>
      <c r="B2285" t="s">
        <v>67</v>
      </c>
      <c r="C2285" t="s">
        <v>607</v>
      </c>
      <c r="D2285">
        <v>2240.41</v>
      </c>
      <c r="E2285" s="37" t="str">
        <f t="shared" si="175"/>
        <v xml:space="preserve"> </v>
      </c>
      <c r="F2285">
        <v>0.31</v>
      </c>
      <c r="G2285" s="37" t="str">
        <f t="shared" si="176"/>
        <v>Heavy Discount</v>
      </c>
      <c r="H2285" s="37" t="str">
        <f t="shared" si="177"/>
        <v>Medium</v>
      </c>
      <c r="I2285">
        <v>4</v>
      </c>
      <c r="J2285" t="str" cm="1">
        <f t="array" ref="J2285">_xlfn.IFS(I2285&lt;=3,"small",I2285&lt;=6,"Medium",I2285&lt;=9,"Large")</f>
        <v>Medium</v>
      </c>
      <c r="K2285" s="36">
        <v>45353</v>
      </c>
      <c r="L2285" s="36">
        <v>45360</v>
      </c>
      <c r="M2285" t="s">
        <v>612</v>
      </c>
      <c r="N2285" t="s">
        <v>608</v>
      </c>
      <c r="O2285" s="37" t="str">
        <f t="shared" si="178"/>
        <v>Cash Payment</v>
      </c>
      <c r="P2285">
        <v>491.11</v>
      </c>
      <c r="Q2285" s="37" t="str">
        <f>IF(P2285&gt;500,"High","low")</f>
        <v>low</v>
      </c>
      <c r="R2285" s="37" t="str">
        <f t="shared" si="179"/>
        <v>AVERAGE</v>
      </c>
      <c r="S2285" t="s">
        <v>609</v>
      </c>
    </row>
    <row r="2286" spans="1:19" x14ac:dyDescent="0.2">
      <c r="A2286" t="s">
        <v>2897</v>
      </c>
      <c r="B2286" t="s">
        <v>83</v>
      </c>
      <c r="C2286" t="s">
        <v>597</v>
      </c>
      <c r="D2286">
        <v>4064.91</v>
      </c>
      <c r="E2286" s="37" t="str">
        <f t="shared" si="175"/>
        <v xml:space="preserve"> </v>
      </c>
      <c r="F2286">
        <v>0.14000000000000001</v>
      </c>
      <c r="G2286" s="37" t="str">
        <f t="shared" si="176"/>
        <v>Normal Discount</v>
      </c>
      <c r="H2286" s="37" t="str">
        <f t="shared" si="177"/>
        <v>Low</v>
      </c>
      <c r="I2286">
        <v>9</v>
      </c>
      <c r="J2286" t="str" cm="1">
        <f t="array" ref="J2286">_xlfn.IFS(I2286&lt;=3,"small",I2286&lt;=6,"Medium",I2286&lt;=9,"Large")</f>
        <v>Large</v>
      </c>
      <c r="K2286" s="36">
        <v>45281</v>
      </c>
      <c r="L2286" s="36">
        <v>45284</v>
      </c>
      <c r="M2286" t="s">
        <v>612</v>
      </c>
      <c r="N2286" t="s">
        <v>599</v>
      </c>
      <c r="O2286" s="37" t="str">
        <f t="shared" si="178"/>
        <v>Digital Payment</v>
      </c>
      <c r="P2286">
        <v>749.06</v>
      </c>
      <c r="Q2286" s="37" t="str">
        <f>IF(P2286&gt;500,"High","low")</f>
        <v>High</v>
      </c>
      <c r="R2286" s="37" t="str">
        <f t="shared" si="179"/>
        <v>Good</v>
      </c>
      <c r="S2286" t="s">
        <v>620</v>
      </c>
    </row>
    <row r="2287" spans="1:19" x14ac:dyDescent="0.2">
      <c r="A2287" t="s">
        <v>2898</v>
      </c>
      <c r="B2287" t="s">
        <v>67</v>
      </c>
      <c r="C2287" t="s">
        <v>617</v>
      </c>
      <c r="D2287">
        <v>1595.18</v>
      </c>
      <c r="E2287" s="37" t="str">
        <f t="shared" si="175"/>
        <v xml:space="preserve"> </v>
      </c>
      <c r="F2287">
        <v>0.38</v>
      </c>
      <c r="G2287" s="37" t="str">
        <f t="shared" si="176"/>
        <v>Heavy Discount</v>
      </c>
      <c r="H2287" s="37" t="str">
        <f t="shared" si="177"/>
        <v>Medium</v>
      </c>
      <c r="I2287">
        <v>2</v>
      </c>
      <c r="J2287" t="str" cm="1">
        <f t="array" ref="J2287">_xlfn.IFS(I2287&lt;=3,"small",I2287&lt;=6,"Medium",I2287&lt;=9,"Large")</f>
        <v>small</v>
      </c>
      <c r="K2287" s="36">
        <v>45252</v>
      </c>
      <c r="L2287" s="36">
        <v>45255</v>
      </c>
      <c r="M2287" t="s">
        <v>612</v>
      </c>
      <c r="N2287" t="s">
        <v>604</v>
      </c>
      <c r="O2287" s="37" t="str">
        <f t="shared" si="178"/>
        <v>Digital Payment</v>
      </c>
      <c r="P2287">
        <v>474.41</v>
      </c>
      <c r="Q2287" s="37" t="str">
        <f>IF(P2287&gt;500,"High","low")</f>
        <v>low</v>
      </c>
      <c r="R2287" s="37" t="str">
        <f t="shared" si="179"/>
        <v>AVERAGE</v>
      </c>
      <c r="S2287" t="s">
        <v>615</v>
      </c>
    </row>
    <row r="2288" spans="1:19" x14ac:dyDescent="0.2">
      <c r="A2288" t="s">
        <v>2899</v>
      </c>
      <c r="B2288" t="s">
        <v>90</v>
      </c>
      <c r="C2288" t="s">
        <v>602</v>
      </c>
      <c r="D2288">
        <v>1723.01</v>
      </c>
      <c r="E2288" s="37" t="str">
        <f t="shared" si="175"/>
        <v xml:space="preserve"> </v>
      </c>
      <c r="F2288">
        <v>7.0000000000000007E-2</v>
      </c>
      <c r="G2288" s="37" t="str">
        <f t="shared" si="176"/>
        <v>Normal Discount</v>
      </c>
      <c r="H2288" s="37" t="str">
        <f t="shared" si="177"/>
        <v>Low</v>
      </c>
      <c r="I2288">
        <v>1</v>
      </c>
      <c r="J2288" t="str" cm="1">
        <f t="array" ref="J2288">_xlfn.IFS(I2288&lt;=3,"small",I2288&lt;=6,"Medium",I2288&lt;=9,"Large")</f>
        <v>small</v>
      </c>
      <c r="K2288" s="36">
        <v>44935</v>
      </c>
      <c r="L2288" s="36">
        <v>44937</v>
      </c>
      <c r="M2288" t="s">
        <v>598</v>
      </c>
      <c r="N2288" t="s">
        <v>604</v>
      </c>
      <c r="O2288" s="37" t="str">
        <f t="shared" si="178"/>
        <v>Digital Payment</v>
      </c>
      <c r="P2288">
        <v>389.16</v>
      </c>
      <c r="Q2288" s="37" t="str">
        <f>IF(P2288&gt;500,"High","low")</f>
        <v>low</v>
      </c>
      <c r="R2288" s="37" t="str">
        <f t="shared" si="179"/>
        <v>AVERAGE</v>
      </c>
      <c r="S2288" t="s">
        <v>609</v>
      </c>
    </row>
    <row r="2289" spans="1:19" x14ac:dyDescent="0.2">
      <c r="A2289" t="s">
        <v>2900</v>
      </c>
      <c r="B2289" t="s">
        <v>75</v>
      </c>
      <c r="C2289" t="s">
        <v>614</v>
      </c>
      <c r="D2289">
        <v>445.42</v>
      </c>
      <c r="E2289" s="37" t="str">
        <f t="shared" si="175"/>
        <v xml:space="preserve"> </v>
      </c>
      <c r="F2289">
        <v>0.32</v>
      </c>
      <c r="G2289" s="37" t="str">
        <f t="shared" si="176"/>
        <v>Heavy Discount</v>
      </c>
      <c r="H2289" s="37" t="str">
        <f t="shared" si="177"/>
        <v>Medium</v>
      </c>
      <c r="I2289">
        <v>7</v>
      </c>
      <c r="J2289" t="str" cm="1">
        <f t="array" ref="J2289">_xlfn.IFS(I2289&lt;=3,"small",I2289&lt;=6,"Medium",I2289&lt;=9,"Large")</f>
        <v>Large</v>
      </c>
      <c r="K2289" s="36">
        <v>45017</v>
      </c>
      <c r="L2289" s="36">
        <v>45020</v>
      </c>
      <c r="M2289" t="s">
        <v>612</v>
      </c>
      <c r="N2289" t="s">
        <v>604</v>
      </c>
      <c r="O2289" s="37" t="str">
        <f t="shared" si="178"/>
        <v>Digital Payment</v>
      </c>
      <c r="P2289">
        <v>63.49</v>
      </c>
      <c r="Q2289" s="37" t="str">
        <f>IF(P2289&gt;500,"High","low")</f>
        <v>low</v>
      </c>
      <c r="R2289" s="37" t="str">
        <f t="shared" si="179"/>
        <v>AVERAGE</v>
      </c>
      <c r="S2289" t="s">
        <v>615</v>
      </c>
    </row>
    <row r="2290" spans="1:19" x14ac:dyDescent="0.2">
      <c r="A2290" t="s">
        <v>2901</v>
      </c>
      <c r="B2290" t="s">
        <v>75</v>
      </c>
      <c r="C2290" t="s">
        <v>614</v>
      </c>
      <c r="D2290">
        <v>1489.38</v>
      </c>
      <c r="E2290" s="37" t="str">
        <f t="shared" si="175"/>
        <v xml:space="preserve"> </v>
      </c>
      <c r="F2290">
        <v>0.49</v>
      </c>
      <c r="G2290" s="37" t="str">
        <f t="shared" si="176"/>
        <v>Heavy Discount</v>
      </c>
      <c r="H2290" s="37" t="str">
        <f t="shared" si="177"/>
        <v>High</v>
      </c>
      <c r="I2290">
        <v>6</v>
      </c>
      <c r="J2290" t="str" cm="1">
        <f t="array" ref="J2290">_xlfn.IFS(I2290&lt;=3,"small",I2290&lt;=6,"Medium",I2290&lt;=9,"Large")</f>
        <v>Medium</v>
      </c>
      <c r="K2290" s="36">
        <v>45631</v>
      </c>
      <c r="L2290" s="36">
        <v>45632</v>
      </c>
      <c r="M2290" t="s">
        <v>603</v>
      </c>
      <c r="N2290" t="s">
        <v>599</v>
      </c>
      <c r="O2290" s="37" t="str">
        <f t="shared" si="178"/>
        <v>Digital Payment</v>
      </c>
      <c r="P2290">
        <v>369.72</v>
      </c>
      <c r="Q2290" s="37" t="str">
        <f>IF(P2290&gt;500,"High","low")</f>
        <v>low</v>
      </c>
      <c r="R2290" s="37" t="str">
        <f t="shared" si="179"/>
        <v>AVERAGE</v>
      </c>
      <c r="S2290" t="s">
        <v>609</v>
      </c>
    </row>
    <row r="2291" spans="1:19" x14ac:dyDescent="0.2">
      <c r="A2291" t="s">
        <v>2902</v>
      </c>
      <c r="B2291" t="s">
        <v>75</v>
      </c>
      <c r="C2291" t="s">
        <v>617</v>
      </c>
      <c r="D2291">
        <v>3613.11</v>
      </c>
      <c r="E2291" s="37" t="str">
        <f t="shared" si="175"/>
        <v xml:space="preserve"> </v>
      </c>
      <c r="F2291">
        <v>0.08</v>
      </c>
      <c r="G2291" s="37" t="str">
        <f t="shared" si="176"/>
        <v>Normal Discount</v>
      </c>
      <c r="H2291" s="37" t="str">
        <f t="shared" si="177"/>
        <v>Low</v>
      </c>
      <c r="I2291">
        <v>3</v>
      </c>
      <c r="J2291" t="str" cm="1">
        <f t="array" ref="J2291">_xlfn.IFS(I2291&lt;=3,"small",I2291&lt;=6,"Medium",I2291&lt;=9,"Large")</f>
        <v>small</v>
      </c>
      <c r="K2291" s="36">
        <v>45212</v>
      </c>
      <c r="L2291" s="36">
        <v>45213</v>
      </c>
      <c r="M2291" t="s">
        <v>598</v>
      </c>
      <c r="N2291" t="s">
        <v>608</v>
      </c>
      <c r="O2291" s="37" t="str">
        <f t="shared" si="178"/>
        <v>Cash Payment</v>
      </c>
      <c r="P2291">
        <v>616.02</v>
      </c>
      <c r="Q2291" s="37" t="str">
        <f>IF(P2291&gt;500,"High","low")</f>
        <v>High</v>
      </c>
      <c r="R2291" s="37" t="str">
        <f t="shared" si="179"/>
        <v>Good</v>
      </c>
      <c r="S2291" t="s">
        <v>615</v>
      </c>
    </row>
    <row r="2292" spans="1:19" x14ac:dyDescent="0.2">
      <c r="A2292" t="s">
        <v>2903</v>
      </c>
      <c r="B2292" t="s">
        <v>83</v>
      </c>
      <c r="C2292" t="s">
        <v>597</v>
      </c>
      <c r="D2292">
        <v>3210.31</v>
      </c>
      <c r="E2292" s="37" t="str">
        <f t="shared" si="175"/>
        <v xml:space="preserve"> </v>
      </c>
      <c r="F2292">
        <v>7.0000000000000007E-2</v>
      </c>
      <c r="G2292" s="37" t="str">
        <f t="shared" si="176"/>
        <v>Normal Discount</v>
      </c>
      <c r="H2292" s="37" t="str">
        <f t="shared" si="177"/>
        <v>Low</v>
      </c>
      <c r="I2292">
        <v>2</v>
      </c>
      <c r="J2292" t="str" cm="1">
        <f t="array" ref="J2292">_xlfn.IFS(I2292&lt;=3,"small",I2292&lt;=6,"Medium",I2292&lt;=9,"Large")</f>
        <v>small</v>
      </c>
      <c r="K2292" s="36">
        <v>45069</v>
      </c>
      <c r="L2292" s="36">
        <v>45075</v>
      </c>
      <c r="M2292" t="s">
        <v>603</v>
      </c>
      <c r="N2292" t="s">
        <v>604</v>
      </c>
      <c r="O2292" s="37" t="str">
        <f t="shared" si="178"/>
        <v>Digital Payment</v>
      </c>
      <c r="P2292">
        <v>192.76</v>
      </c>
      <c r="Q2292" s="37" t="str">
        <f>IF(P2292&gt;500,"High","low")</f>
        <v>low</v>
      </c>
      <c r="R2292" s="37" t="str">
        <f t="shared" si="179"/>
        <v>AVERAGE</v>
      </c>
      <c r="S2292" t="s">
        <v>620</v>
      </c>
    </row>
    <row r="2293" spans="1:19" x14ac:dyDescent="0.2">
      <c r="A2293" t="s">
        <v>2904</v>
      </c>
      <c r="B2293" t="s">
        <v>67</v>
      </c>
      <c r="C2293" t="s">
        <v>607</v>
      </c>
      <c r="D2293">
        <v>498.83</v>
      </c>
      <c r="E2293" s="37" t="str">
        <f t="shared" si="175"/>
        <v xml:space="preserve"> </v>
      </c>
      <c r="F2293">
        <v>0.23</v>
      </c>
      <c r="G2293" s="37" t="str">
        <f t="shared" si="176"/>
        <v>Normal Discount</v>
      </c>
      <c r="H2293" s="37" t="str">
        <f t="shared" si="177"/>
        <v>Medium</v>
      </c>
      <c r="I2293">
        <v>8</v>
      </c>
      <c r="J2293" t="str" cm="1">
        <f t="array" ref="J2293">_xlfn.IFS(I2293&lt;=3,"small",I2293&lt;=6,"Medium",I2293&lt;=9,"Large")</f>
        <v>Large</v>
      </c>
      <c r="K2293" s="36">
        <v>45342</v>
      </c>
      <c r="L2293" s="36">
        <v>45343</v>
      </c>
      <c r="M2293" t="s">
        <v>598</v>
      </c>
      <c r="N2293" t="s">
        <v>604</v>
      </c>
      <c r="O2293" s="37" t="str">
        <f t="shared" si="178"/>
        <v>Digital Payment</v>
      </c>
      <c r="P2293">
        <v>104.24</v>
      </c>
      <c r="Q2293" s="37" t="str">
        <f>IF(P2293&gt;500,"High","low")</f>
        <v>low</v>
      </c>
      <c r="R2293" s="37" t="str">
        <f t="shared" si="179"/>
        <v>AVERAGE</v>
      </c>
      <c r="S2293" t="s">
        <v>609</v>
      </c>
    </row>
    <row r="2294" spans="1:19" x14ac:dyDescent="0.2">
      <c r="A2294" t="s">
        <v>2905</v>
      </c>
      <c r="B2294" t="s">
        <v>90</v>
      </c>
      <c r="C2294" t="s">
        <v>602</v>
      </c>
      <c r="D2294">
        <v>662</v>
      </c>
      <c r="E2294" s="37" t="str">
        <f t="shared" si="175"/>
        <v xml:space="preserve"> </v>
      </c>
      <c r="F2294">
        <v>0.32</v>
      </c>
      <c r="G2294" s="37" t="str">
        <f t="shared" si="176"/>
        <v>Heavy Discount</v>
      </c>
      <c r="H2294" s="37" t="str">
        <f t="shared" si="177"/>
        <v>Medium</v>
      </c>
      <c r="I2294">
        <v>4</v>
      </c>
      <c r="J2294" t="str" cm="1">
        <f t="array" ref="J2294">_xlfn.IFS(I2294&lt;=3,"small",I2294&lt;=6,"Medium",I2294&lt;=9,"Large")</f>
        <v>Medium</v>
      </c>
      <c r="K2294" s="36">
        <v>45650</v>
      </c>
      <c r="L2294" s="36">
        <v>45656</v>
      </c>
      <c r="M2294" t="s">
        <v>612</v>
      </c>
      <c r="N2294" t="s">
        <v>604</v>
      </c>
      <c r="O2294" s="37" t="str">
        <f t="shared" si="178"/>
        <v>Digital Payment</v>
      </c>
      <c r="P2294">
        <v>153.97</v>
      </c>
      <c r="Q2294" s="37" t="str">
        <f>IF(P2294&gt;500,"High","low")</f>
        <v>low</v>
      </c>
      <c r="R2294" s="37" t="str">
        <f t="shared" si="179"/>
        <v>AVERAGE</v>
      </c>
      <c r="S2294" t="s">
        <v>615</v>
      </c>
    </row>
    <row r="2295" spans="1:19" x14ac:dyDescent="0.2">
      <c r="A2295" t="s">
        <v>2906</v>
      </c>
      <c r="B2295" t="s">
        <v>67</v>
      </c>
      <c r="C2295" t="s">
        <v>617</v>
      </c>
      <c r="D2295">
        <v>1946.94</v>
      </c>
      <c r="E2295" s="37" t="str">
        <f t="shared" si="175"/>
        <v xml:space="preserve"> </v>
      </c>
      <c r="F2295">
        <v>0.01</v>
      </c>
      <c r="G2295" s="37" t="str">
        <f t="shared" si="176"/>
        <v>Normal Discount</v>
      </c>
      <c r="H2295" s="37" t="str">
        <f t="shared" si="177"/>
        <v>Low</v>
      </c>
      <c r="I2295">
        <v>6</v>
      </c>
      <c r="J2295" t="str" cm="1">
        <f t="array" ref="J2295">_xlfn.IFS(I2295&lt;=3,"small",I2295&lt;=6,"Medium",I2295&lt;=9,"Large")</f>
        <v>Medium</v>
      </c>
      <c r="K2295" s="36">
        <v>45558</v>
      </c>
      <c r="L2295" s="36">
        <v>45563</v>
      </c>
      <c r="M2295" t="s">
        <v>603</v>
      </c>
      <c r="N2295" t="s">
        <v>604</v>
      </c>
      <c r="O2295" s="37" t="str">
        <f t="shared" si="178"/>
        <v>Digital Payment</v>
      </c>
      <c r="P2295">
        <v>573.82000000000005</v>
      </c>
      <c r="Q2295" s="37" t="str">
        <f>IF(P2295&gt;500,"High","low")</f>
        <v>High</v>
      </c>
      <c r="R2295" s="37" t="str">
        <f t="shared" si="179"/>
        <v>Good</v>
      </c>
      <c r="S2295" t="s">
        <v>620</v>
      </c>
    </row>
    <row r="2296" spans="1:19" x14ac:dyDescent="0.2">
      <c r="A2296" t="s">
        <v>2907</v>
      </c>
      <c r="B2296" t="s">
        <v>67</v>
      </c>
      <c r="C2296" t="s">
        <v>602</v>
      </c>
      <c r="D2296">
        <v>3744.41</v>
      </c>
      <c r="E2296" s="37" t="str">
        <f t="shared" si="175"/>
        <v xml:space="preserve"> </v>
      </c>
      <c r="F2296">
        <v>0.25</v>
      </c>
      <c r="G2296" s="37" t="str">
        <f t="shared" si="176"/>
        <v>Normal Discount</v>
      </c>
      <c r="H2296" s="37" t="str">
        <f t="shared" si="177"/>
        <v>Medium</v>
      </c>
      <c r="I2296">
        <v>4</v>
      </c>
      <c r="J2296" t="str" cm="1">
        <f t="array" ref="J2296">_xlfn.IFS(I2296&lt;=3,"small",I2296&lt;=6,"Medium",I2296&lt;=9,"Large")</f>
        <v>Medium</v>
      </c>
      <c r="K2296" s="36">
        <v>44987</v>
      </c>
      <c r="L2296" s="36">
        <v>44990</v>
      </c>
      <c r="M2296" t="s">
        <v>612</v>
      </c>
      <c r="N2296" t="s">
        <v>599</v>
      </c>
      <c r="O2296" s="37" t="str">
        <f t="shared" si="178"/>
        <v>Digital Payment</v>
      </c>
      <c r="P2296">
        <v>278.75</v>
      </c>
      <c r="Q2296" s="37" t="str">
        <f>IF(P2296&gt;500,"High","low")</f>
        <v>low</v>
      </c>
      <c r="R2296" s="37" t="str">
        <f t="shared" si="179"/>
        <v>AVERAGE</v>
      </c>
      <c r="S2296" t="s">
        <v>605</v>
      </c>
    </row>
    <row r="2297" spans="1:19" x14ac:dyDescent="0.2">
      <c r="A2297" t="s">
        <v>2908</v>
      </c>
      <c r="B2297" t="s">
        <v>67</v>
      </c>
      <c r="C2297" t="s">
        <v>614</v>
      </c>
      <c r="D2297">
        <v>4181.3</v>
      </c>
      <c r="E2297" s="37" t="str">
        <f t="shared" si="175"/>
        <v xml:space="preserve"> </v>
      </c>
      <c r="F2297">
        <v>0.04</v>
      </c>
      <c r="G2297" s="37" t="str">
        <f t="shared" si="176"/>
        <v>Normal Discount</v>
      </c>
      <c r="H2297" s="37" t="str">
        <f t="shared" si="177"/>
        <v>Low</v>
      </c>
      <c r="I2297">
        <v>9</v>
      </c>
      <c r="J2297" t="str" cm="1">
        <f t="array" ref="J2297">_xlfn.IFS(I2297&lt;=3,"small",I2297&lt;=6,"Medium",I2297&lt;=9,"Large")</f>
        <v>Large</v>
      </c>
      <c r="K2297" s="36">
        <v>45220</v>
      </c>
      <c r="L2297" s="36">
        <v>45225</v>
      </c>
      <c r="M2297" t="s">
        <v>598</v>
      </c>
      <c r="N2297" t="s">
        <v>608</v>
      </c>
      <c r="O2297" s="37" t="str">
        <f t="shared" si="178"/>
        <v>Cash Payment</v>
      </c>
      <c r="P2297">
        <v>545.91999999999996</v>
      </c>
      <c r="Q2297" s="37" t="str">
        <f>IF(P2297&gt;500,"High","low")</f>
        <v>High</v>
      </c>
      <c r="R2297" s="37" t="str">
        <f t="shared" si="179"/>
        <v>Good</v>
      </c>
      <c r="S2297" t="s">
        <v>620</v>
      </c>
    </row>
    <row r="2298" spans="1:19" x14ac:dyDescent="0.2">
      <c r="A2298" t="s">
        <v>2909</v>
      </c>
      <c r="B2298" t="s">
        <v>75</v>
      </c>
      <c r="C2298" t="s">
        <v>607</v>
      </c>
      <c r="D2298">
        <v>171.66</v>
      </c>
      <c r="E2298" s="37" t="str">
        <f t="shared" si="175"/>
        <v xml:space="preserve"> </v>
      </c>
      <c r="F2298">
        <v>0.12</v>
      </c>
      <c r="G2298" s="37" t="str">
        <f t="shared" si="176"/>
        <v>Normal Discount</v>
      </c>
      <c r="H2298" s="37" t="str">
        <f t="shared" si="177"/>
        <v>Low</v>
      </c>
      <c r="I2298">
        <v>5</v>
      </c>
      <c r="J2298" t="str" cm="1">
        <f t="array" ref="J2298">_xlfn.IFS(I2298&lt;=3,"small",I2298&lt;=6,"Medium",I2298&lt;=9,"Large")</f>
        <v>Medium</v>
      </c>
      <c r="K2298" s="36">
        <v>45266</v>
      </c>
      <c r="L2298" s="36">
        <v>45269</v>
      </c>
      <c r="M2298" t="s">
        <v>612</v>
      </c>
      <c r="N2298" t="s">
        <v>604</v>
      </c>
      <c r="O2298" s="37" t="str">
        <f t="shared" si="178"/>
        <v>Digital Payment</v>
      </c>
      <c r="P2298">
        <v>39.57</v>
      </c>
      <c r="Q2298" s="37" t="str">
        <f>IF(P2298&gt;500,"High","low")</f>
        <v>low</v>
      </c>
      <c r="R2298" s="37" t="str">
        <f t="shared" si="179"/>
        <v>AVERAGE</v>
      </c>
      <c r="S2298" t="s">
        <v>620</v>
      </c>
    </row>
    <row r="2299" spans="1:19" x14ac:dyDescent="0.2">
      <c r="A2299" t="s">
        <v>2910</v>
      </c>
      <c r="B2299" t="s">
        <v>90</v>
      </c>
      <c r="C2299" t="s">
        <v>602</v>
      </c>
      <c r="D2299">
        <v>1712.15</v>
      </c>
      <c r="E2299" s="37" t="str">
        <f t="shared" si="175"/>
        <v xml:space="preserve"> </v>
      </c>
      <c r="F2299">
        <v>0.36</v>
      </c>
      <c r="G2299" s="37" t="str">
        <f t="shared" si="176"/>
        <v>Heavy Discount</v>
      </c>
      <c r="H2299" s="37" t="str">
        <f t="shared" si="177"/>
        <v>Medium</v>
      </c>
      <c r="I2299">
        <v>6</v>
      </c>
      <c r="J2299" t="str" cm="1">
        <f t="array" ref="J2299">_xlfn.IFS(I2299&lt;=3,"small",I2299&lt;=6,"Medium",I2299&lt;=9,"Large")</f>
        <v>Medium</v>
      </c>
      <c r="K2299" s="36">
        <v>45112</v>
      </c>
      <c r="L2299" s="36">
        <v>45118</v>
      </c>
      <c r="M2299" t="s">
        <v>603</v>
      </c>
      <c r="N2299" t="s">
        <v>608</v>
      </c>
      <c r="O2299" s="37" t="str">
        <f t="shared" si="178"/>
        <v>Cash Payment</v>
      </c>
      <c r="P2299">
        <v>362.07</v>
      </c>
      <c r="Q2299" s="37" t="str">
        <f>IF(P2299&gt;500,"High","low")</f>
        <v>low</v>
      </c>
      <c r="R2299" s="37" t="str">
        <f t="shared" si="179"/>
        <v>AVERAGE</v>
      </c>
      <c r="S2299" t="s">
        <v>615</v>
      </c>
    </row>
    <row r="2300" spans="1:19" x14ac:dyDescent="0.2">
      <c r="A2300" t="s">
        <v>2911</v>
      </c>
      <c r="B2300" t="s">
        <v>90</v>
      </c>
      <c r="C2300" t="s">
        <v>617</v>
      </c>
      <c r="D2300">
        <v>2178.88</v>
      </c>
      <c r="E2300" s="37" t="str">
        <f t="shared" si="175"/>
        <v xml:space="preserve"> </v>
      </c>
      <c r="F2300">
        <v>0.37</v>
      </c>
      <c r="G2300" s="37" t="str">
        <f t="shared" si="176"/>
        <v>Heavy Discount</v>
      </c>
      <c r="H2300" s="37" t="str">
        <f t="shared" si="177"/>
        <v>Medium</v>
      </c>
      <c r="I2300">
        <v>9</v>
      </c>
      <c r="J2300" t="str" cm="1">
        <f t="array" ref="J2300">_xlfn.IFS(I2300&lt;=3,"small",I2300&lt;=6,"Medium",I2300&lt;=9,"Large")</f>
        <v>Large</v>
      </c>
      <c r="K2300" s="36">
        <v>45018</v>
      </c>
      <c r="L2300" s="36">
        <v>45021</v>
      </c>
      <c r="M2300" t="s">
        <v>598</v>
      </c>
      <c r="N2300" t="s">
        <v>608</v>
      </c>
      <c r="O2300" s="37" t="str">
        <f t="shared" si="178"/>
        <v>Cash Payment</v>
      </c>
      <c r="P2300">
        <v>390.12</v>
      </c>
      <c r="Q2300" s="37" t="str">
        <f>IF(P2300&gt;500,"High","low")</f>
        <v>low</v>
      </c>
      <c r="R2300" s="37" t="str">
        <f t="shared" si="179"/>
        <v>AVERAGE</v>
      </c>
      <c r="S2300" t="s">
        <v>609</v>
      </c>
    </row>
    <row r="2301" spans="1:19" x14ac:dyDescent="0.2">
      <c r="A2301" t="s">
        <v>2912</v>
      </c>
      <c r="B2301" t="s">
        <v>67</v>
      </c>
      <c r="C2301" t="s">
        <v>607</v>
      </c>
      <c r="D2301">
        <v>4564.55</v>
      </c>
      <c r="E2301" s="37" t="str">
        <f t="shared" si="175"/>
        <v xml:space="preserve"> </v>
      </c>
      <c r="F2301">
        <v>0.36</v>
      </c>
      <c r="G2301" s="37" t="str">
        <f t="shared" si="176"/>
        <v>Heavy Discount</v>
      </c>
      <c r="H2301" s="37" t="str">
        <f t="shared" si="177"/>
        <v>Medium</v>
      </c>
      <c r="I2301">
        <v>6</v>
      </c>
      <c r="J2301" t="str" cm="1">
        <f t="array" ref="J2301">_xlfn.IFS(I2301&lt;=3,"small",I2301&lt;=6,"Medium",I2301&lt;=9,"Large")</f>
        <v>Medium</v>
      </c>
      <c r="K2301" s="36">
        <v>45157</v>
      </c>
      <c r="L2301" s="36">
        <v>45160</v>
      </c>
      <c r="M2301" t="s">
        <v>598</v>
      </c>
      <c r="N2301" t="s">
        <v>599</v>
      </c>
      <c r="O2301" s="37" t="str">
        <f t="shared" si="178"/>
        <v>Digital Payment</v>
      </c>
      <c r="P2301">
        <v>443.99</v>
      </c>
      <c r="Q2301" s="37" t="str">
        <f>IF(P2301&gt;500,"High","low")</f>
        <v>low</v>
      </c>
      <c r="R2301" s="37" t="str">
        <f t="shared" si="179"/>
        <v>AVERAGE</v>
      </c>
      <c r="S2301" t="s">
        <v>628</v>
      </c>
    </row>
    <row r="2302" spans="1:19" x14ac:dyDescent="0.2">
      <c r="A2302" t="s">
        <v>2913</v>
      </c>
      <c r="B2302" t="s">
        <v>75</v>
      </c>
      <c r="C2302" t="s">
        <v>597</v>
      </c>
      <c r="D2302">
        <v>2556.89</v>
      </c>
      <c r="E2302" s="37" t="str">
        <f t="shared" si="175"/>
        <v xml:space="preserve"> </v>
      </c>
      <c r="F2302">
        <v>0.03</v>
      </c>
      <c r="G2302" s="37" t="str">
        <f t="shared" si="176"/>
        <v>Normal Discount</v>
      </c>
      <c r="H2302" s="37" t="str">
        <f t="shared" si="177"/>
        <v>Low</v>
      </c>
      <c r="I2302">
        <v>2</v>
      </c>
      <c r="J2302" t="str" cm="1">
        <f t="array" ref="J2302">_xlfn.IFS(I2302&lt;=3,"small",I2302&lt;=6,"Medium",I2302&lt;=9,"Large")</f>
        <v>small</v>
      </c>
      <c r="K2302" s="36">
        <v>45463</v>
      </c>
      <c r="L2302" s="36">
        <v>45467</v>
      </c>
      <c r="M2302" t="s">
        <v>612</v>
      </c>
      <c r="N2302" t="s">
        <v>599</v>
      </c>
      <c r="O2302" s="37" t="str">
        <f t="shared" si="178"/>
        <v>Digital Payment</v>
      </c>
      <c r="P2302">
        <v>262.63</v>
      </c>
      <c r="Q2302" s="37" t="str">
        <f>IF(P2302&gt;500,"High","low")</f>
        <v>low</v>
      </c>
      <c r="R2302" s="37" t="str">
        <f t="shared" si="179"/>
        <v>AVERAGE</v>
      </c>
      <c r="S2302" t="s">
        <v>628</v>
      </c>
    </row>
    <row r="2303" spans="1:19" x14ac:dyDescent="0.2">
      <c r="A2303" t="s">
        <v>2914</v>
      </c>
      <c r="B2303" t="s">
        <v>75</v>
      </c>
      <c r="C2303" t="s">
        <v>617</v>
      </c>
      <c r="D2303">
        <v>1421.53</v>
      </c>
      <c r="E2303" s="37" t="str">
        <f t="shared" si="175"/>
        <v xml:space="preserve"> </v>
      </c>
      <c r="F2303">
        <v>0.39</v>
      </c>
      <c r="G2303" s="37" t="str">
        <f t="shared" si="176"/>
        <v>Heavy Discount</v>
      </c>
      <c r="H2303" s="37" t="str">
        <f t="shared" si="177"/>
        <v>Medium</v>
      </c>
      <c r="I2303">
        <v>1</v>
      </c>
      <c r="J2303" t="str" cm="1">
        <f t="array" ref="J2303">_xlfn.IFS(I2303&lt;=3,"small",I2303&lt;=6,"Medium",I2303&lt;=9,"Large")</f>
        <v>small</v>
      </c>
      <c r="K2303" s="36">
        <v>45065</v>
      </c>
      <c r="L2303" s="36">
        <v>45070</v>
      </c>
      <c r="M2303" t="s">
        <v>612</v>
      </c>
      <c r="N2303" t="s">
        <v>604</v>
      </c>
      <c r="O2303" s="37" t="str">
        <f t="shared" si="178"/>
        <v>Digital Payment</v>
      </c>
      <c r="P2303">
        <v>415.24</v>
      </c>
      <c r="Q2303" s="37" t="str">
        <f>IF(P2303&gt;500,"High","low")</f>
        <v>low</v>
      </c>
      <c r="R2303" s="37" t="str">
        <f t="shared" si="179"/>
        <v>AVERAGE</v>
      </c>
      <c r="S2303" t="s">
        <v>609</v>
      </c>
    </row>
    <row r="2304" spans="1:19" x14ac:dyDescent="0.2">
      <c r="A2304" t="s">
        <v>2915</v>
      </c>
      <c r="B2304" t="s">
        <v>90</v>
      </c>
      <c r="C2304" t="s">
        <v>602</v>
      </c>
      <c r="D2304">
        <v>2011.23</v>
      </c>
      <c r="E2304" s="37" t="str">
        <f t="shared" si="175"/>
        <v xml:space="preserve"> </v>
      </c>
      <c r="F2304">
        <v>0.22</v>
      </c>
      <c r="G2304" s="37" t="str">
        <f t="shared" si="176"/>
        <v>Normal Discount</v>
      </c>
      <c r="H2304" s="37" t="str">
        <f t="shared" si="177"/>
        <v>Medium</v>
      </c>
      <c r="I2304">
        <v>9</v>
      </c>
      <c r="J2304" t="str" cm="1">
        <f t="array" ref="J2304">_xlfn.IFS(I2304&lt;=3,"small",I2304&lt;=6,"Medium",I2304&lt;=9,"Large")</f>
        <v>Large</v>
      </c>
      <c r="K2304" s="36">
        <v>45588</v>
      </c>
      <c r="L2304" s="36">
        <v>45590</v>
      </c>
      <c r="M2304" t="s">
        <v>598</v>
      </c>
      <c r="N2304" t="s">
        <v>604</v>
      </c>
      <c r="O2304" s="37" t="str">
        <f t="shared" si="178"/>
        <v>Digital Payment</v>
      </c>
      <c r="P2304">
        <v>153.9</v>
      </c>
      <c r="Q2304" s="37" t="str">
        <f>IF(P2304&gt;500,"High","low")</f>
        <v>low</v>
      </c>
      <c r="R2304" s="37" t="str">
        <f t="shared" si="179"/>
        <v>AVERAGE</v>
      </c>
      <c r="S2304" t="s">
        <v>620</v>
      </c>
    </row>
    <row r="2305" spans="1:19" x14ac:dyDescent="0.2">
      <c r="A2305" t="s">
        <v>2916</v>
      </c>
      <c r="B2305" t="s">
        <v>75</v>
      </c>
      <c r="C2305" t="s">
        <v>607</v>
      </c>
      <c r="D2305">
        <v>2238.5300000000002</v>
      </c>
      <c r="E2305" s="37" t="str">
        <f t="shared" si="175"/>
        <v xml:space="preserve"> </v>
      </c>
      <c r="F2305">
        <v>0.24</v>
      </c>
      <c r="G2305" s="37" t="str">
        <f t="shared" si="176"/>
        <v>Normal Discount</v>
      </c>
      <c r="H2305" s="37" t="str">
        <f t="shared" si="177"/>
        <v>Medium</v>
      </c>
      <c r="I2305">
        <v>2</v>
      </c>
      <c r="J2305" t="str" cm="1">
        <f t="array" ref="J2305">_xlfn.IFS(I2305&lt;=3,"small",I2305&lt;=6,"Medium",I2305&lt;=9,"Large")</f>
        <v>small</v>
      </c>
      <c r="K2305" s="36">
        <v>45116</v>
      </c>
      <c r="L2305" s="36">
        <v>45121</v>
      </c>
      <c r="M2305" t="s">
        <v>603</v>
      </c>
      <c r="N2305" t="s">
        <v>604</v>
      </c>
      <c r="O2305" s="37" t="str">
        <f t="shared" si="178"/>
        <v>Digital Payment</v>
      </c>
      <c r="P2305">
        <v>520.96</v>
      </c>
      <c r="Q2305" s="37" t="str">
        <f>IF(P2305&gt;500,"High","low")</f>
        <v>High</v>
      </c>
      <c r="R2305" s="37" t="str">
        <f t="shared" si="179"/>
        <v>Good</v>
      </c>
      <c r="S2305" t="s">
        <v>615</v>
      </c>
    </row>
    <row r="2306" spans="1:19" x14ac:dyDescent="0.2">
      <c r="A2306" t="s">
        <v>2917</v>
      </c>
      <c r="B2306" t="s">
        <v>75</v>
      </c>
      <c r="C2306" t="s">
        <v>617</v>
      </c>
      <c r="D2306">
        <v>3382.98</v>
      </c>
      <c r="E2306" s="37" t="str">
        <f t="shared" si="175"/>
        <v xml:space="preserve"> </v>
      </c>
      <c r="F2306">
        <v>0.21</v>
      </c>
      <c r="G2306" s="37" t="str">
        <f t="shared" si="176"/>
        <v>Normal Discount</v>
      </c>
      <c r="H2306" s="37" t="str">
        <f t="shared" si="177"/>
        <v>Medium</v>
      </c>
      <c r="I2306">
        <v>2</v>
      </c>
      <c r="J2306" t="str" cm="1">
        <f t="array" ref="J2306">_xlfn.IFS(I2306&lt;=3,"small",I2306&lt;=6,"Medium",I2306&lt;=9,"Large")</f>
        <v>small</v>
      </c>
      <c r="K2306" s="36">
        <v>45510</v>
      </c>
      <c r="L2306" s="36">
        <v>45516</v>
      </c>
      <c r="M2306" t="s">
        <v>603</v>
      </c>
      <c r="N2306" t="s">
        <v>599</v>
      </c>
      <c r="O2306" s="37" t="str">
        <f t="shared" si="178"/>
        <v>Digital Payment</v>
      </c>
      <c r="P2306">
        <v>170.8</v>
      </c>
      <c r="Q2306" s="37" t="str">
        <f>IF(P2306&gt;500,"High","low")</f>
        <v>low</v>
      </c>
      <c r="R2306" s="37" t="str">
        <f t="shared" si="179"/>
        <v>AVERAGE</v>
      </c>
      <c r="S2306" t="s">
        <v>600</v>
      </c>
    </row>
    <row r="2307" spans="1:19" x14ac:dyDescent="0.2">
      <c r="A2307" t="s">
        <v>2918</v>
      </c>
      <c r="B2307" t="s">
        <v>75</v>
      </c>
      <c r="C2307" t="s">
        <v>607</v>
      </c>
      <c r="D2307">
        <v>301.33</v>
      </c>
      <c r="E2307" s="37" t="str">
        <f t="shared" ref="E2307:E2370" si="180">IF(AND(D2307&gt;4000,P2307&gt;800),"Excellent Order"," ")</f>
        <v xml:space="preserve"> </v>
      </c>
      <c r="F2307">
        <v>0.43</v>
      </c>
      <c r="G2307" s="37" t="str">
        <f t="shared" ref="G2307:G2370" si="181">IF(F2307&gt;30%,"Heavy Discount","Normal Discount")</f>
        <v>Heavy Discount</v>
      </c>
      <c r="H2307" s="37" t="str">
        <f t="shared" ref="H2307:H2370" si="182">IF(F2307&gt;0.4,"High",IF(F2307&gt;=0.2,"Medium","Low"))</f>
        <v>High</v>
      </c>
      <c r="I2307">
        <v>4</v>
      </c>
      <c r="J2307" t="str" cm="1">
        <f t="array" ref="J2307">_xlfn.IFS(I2307&lt;=3,"small",I2307&lt;=6,"Medium",I2307&lt;=9,"Large")</f>
        <v>Medium</v>
      </c>
      <c r="K2307" s="36">
        <v>45279</v>
      </c>
      <c r="L2307" s="36">
        <v>45282</v>
      </c>
      <c r="M2307" t="s">
        <v>603</v>
      </c>
      <c r="N2307" t="s">
        <v>599</v>
      </c>
      <c r="O2307" s="37" t="str">
        <f t="shared" ref="O2307:O2370" si="183">IF(OR(N2307="Card",N2307="UPI"),"Digital Payment","Cash Payment")</f>
        <v>Digital Payment</v>
      </c>
      <c r="P2307">
        <v>24.39</v>
      </c>
      <c r="Q2307" s="37" t="str">
        <f>IF(P2307&gt;500,"High","low")</f>
        <v>low</v>
      </c>
      <c r="R2307" s="37" t="str">
        <f t="shared" ref="R2307:R2370" si="184">IF(P2307&gt;1000,"Excellent",IF(P2307&gt;=500,"Good","AVERAGE"))</f>
        <v>AVERAGE</v>
      </c>
      <c r="S2307" t="s">
        <v>600</v>
      </c>
    </row>
    <row r="2308" spans="1:19" x14ac:dyDescent="0.2">
      <c r="A2308" t="s">
        <v>2919</v>
      </c>
      <c r="B2308" t="s">
        <v>83</v>
      </c>
      <c r="C2308" t="s">
        <v>607</v>
      </c>
      <c r="D2308">
        <v>2008.31</v>
      </c>
      <c r="E2308" s="37" t="str">
        <f t="shared" si="180"/>
        <v xml:space="preserve"> </v>
      </c>
      <c r="F2308">
        <v>0.34</v>
      </c>
      <c r="G2308" s="37" t="str">
        <f t="shared" si="181"/>
        <v>Heavy Discount</v>
      </c>
      <c r="H2308" s="37" t="str">
        <f t="shared" si="182"/>
        <v>Medium</v>
      </c>
      <c r="I2308">
        <v>3</v>
      </c>
      <c r="J2308" t="str" cm="1">
        <f t="array" ref="J2308">_xlfn.IFS(I2308&lt;=3,"small",I2308&lt;=6,"Medium",I2308&lt;=9,"Large")</f>
        <v>small</v>
      </c>
      <c r="K2308" s="36">
        <v>44965</v>
      </c>
      <c r="L2308" s="36">
        <v>44967</v>
      </c>
      <c r="M2308" t="s">
        <v>612</v>
      </c>
      <c r="N2308" t="s">
        <v>608</v>
      </c>
      <c r="O2308" s="37" t="str">
        <f t="shared" si="183"/>
        <v>Cash Payment</v>
      </c>
      <c r="P2308">
        <v>529.29</v>
      </c>
      <c r="Q2308" s="37" t="str">
        <f>IF(P2308&gt;500,"High","low")</f>
        <v>High</v>
      </c>
      <c r="R2308" s="37" t="str">
        <f t="shared" si="184"/>
        <v>Good</v>
      </c>
      <c r="S2308" t="s">
        <v>620</v>
      </c>
    </row>
    <row r="2309" spans="1:19" x14ac:dyDescent="0.2">
      <c r="A2309" t="s">
        <v>2920</v>
      </c>
      <c r="B2309" t="s">
        <v>67</v>
      </c>
      <c r="C2309" t="s">
        <v>607</v>
      </c>
      <c r="D2309">
        <v>3268.12</v>
      </c>
      <c r="E2309" s="37" t="str">
        <f t="shared" si="180"/>
        <v xml:space="preserve"> </v>
      </c>
      <c r="F2309">
        <v>0.25</v>
      </c>
      <c r="G2309" s="37" t="str">
        <f t="shared" si="181"/>
        <v>Normal Discount</v>
      </c>
      <c r="H2309" s="37" t="str">
        <f t="shared" si="182"/>
        <v>Medium</v>
      </c>
      <c r="I2309">
        <v>7</v>
      </c>
      <c r="J2309" t="str" cm="1">
        <f t="array" ref="J2309">_xlfn.IFS(I2309&lt;=3,"small",I2309&lt;=6,"Medium",I2309&lt;=9,"Large")</f>
        <v>Large</v>
      </c>
      <c r="K2309" s="36">
        <v>44999</v>
      </c>
      <c r="L2309" s="36">
        <v>45001</v>
      </c>
      <c r="M2309" t="s">
        <v>612</v>
      </c>
      <c r="N2309" t="s">
        <v>608</v>
      </c>
      <c r="O2309" s="37" t="str">
        <f t="shared" si="183"/>
        <v>Cash Payment</v>
      </c>
      <c r="P2309">
        <v>416.46</v>
      </c>
      <c r="Q2309" s="37" t="str">
        <f>IF(P2309&gt;500,"High","low")</f>
        <v>low</v>
      </c>
      <c r="R2309" s="37" t="str">
        <f t="shared" si="184"/>
        <v>AVERAGE</v>
      </c>
      <c r="S2309" t="s">
        <v>609</v>
      </c>
    </row>
    <row r="2310" spans="1:19" x14ac:dyDescent="0.2">
      <c r="A2310" t="s">
        <v>2921</v>
      </c>
      <c r="B2310" t="s">
        <v>90</v>
      </c>
      <c r="C2310" t="s">
        <v>602</v>
      </c>
      <c r="D2310">
        <v>1488.28</v>
      </c>
      <c r="E2310" s="37" t="str">
        <f t="shared" si="180"/>
        <v xml:space="preserve"> </v>
      </c>
      <c r="F2310">
        <v>0.42</v>
      </c>
      <c r="G2310" s="37" t="str">
        <f t="shared" si="181"/>
        <v>Heavy Discount</v>
      </c>
      <c r="H2310" s="37" t="str">
        <f t="shared" si="182"/>
        <v>High</v>
      </c>
      <c r="I2310">
        <v>7</v>
      </c>
      <c r="J2310" t="str" cm="1">
        <f t="array" ref="J2310">_xlfn.IFS(I2310&lt;=3,"small",I2310&lt;=6,"Medium",I2310&lt;=9,"Large")</f>
        <v>Large</v>
      </c>
      <c r="K2310" s="36">
        <v>44948</v>
      </c>
      <c r="L2310" s="36">
        <v>44950</v>
      </c>
      <c r="M2310" t="s">
        <v>598</v>
      </c>
      <c r="N2310" t="s">
        <v>608</v>
      </c>
      <c r="O2310" s="37" t="str">
        <f t="shared" si="183"/>
        <v>Cash Payment</v>
      </c>
      <c r="P2310">
        <v>444.53</v>
      </c>
      <c r="Q2310" s="37" t="str">
        <f>IF(P2310&gt;500,"High","low")</f>
        <v>low</v>
      </c>
      <c r="R2310" s="37" t="str">
        <f t="shared" si="184"/>
        <v>AVERAGE</v>
      </c>
      <c r="S2310" t="s">
        <v>615</v>
      </c>
    </row>
    <row r="2311" spans="1:19" x14ac:dyDescent="0.2">
      <c r="A2311" t="s">
        <v>2922</v>
      </c>
      <c r="B2311" t="s">
        <v>90</v>
      </c>
      <c r="C2311" t="s">
        <v>617</v>
      </c>
      <c r="D2311">
        <v>2999.58</v>
      </c>
      <c r="E2311" s="37" t="str">
        <f t="shared" si="180"/>
        <v xml:space="preserve"> </v>
      </c>
      <c r="F2311">
        <v>0.4</v>
      </c>
      <c r="G2311" s="37" t="str">
        <f t="shared" si="181"/>
        <v>Heavy Discount</v>
      </c>
      <c r="H2311" s="37" t="str">
        <f t="shared" si="182"/>
        <v>Medium</v>
      </c>
      <c r="I2311">
        <v>3</v>
      </c>
      <c r="J2311" t="str" cm="1">
        <f t="array" ref="J2311">_xlfn.IFS(I2311&lt;=3,"small",I2311&lt;=6,"Medium",I2311&lt;=9,"Large")</f>
        <v>small</v>
      </c>
      <c r="K2311" s="36">
        <v>45639</v>
      </c>
      <c r="L2311" s="36">
        <v>45643</v>
      </c>
      <c r="M2311" t="s">
        <v>612</v>
      </c>
      <c r="N2311" t="s">
        <v>599</v>
      </c>
      <c r="O2311" s="37" t="str">
        <f t="shared" si="183"/>
        <v>Digital Payment</v>
      </c>
      <c r="P2311">
        <v>698.4</v>
      </c>
      <c r="Q2311" s="37" t="str">
        <f>IF(P2311&gt;500,"High","low")</f>
        <v>High</v>
      </c>
      <c r="R2311" s="37" t="str">
        <f t="shared" si="184"/>
        <v>Good</v>
      </c>
      <c r="S2311" t="s">
        <v>609</v>
      </c>
    </row>
    <row r="2312" spans="1:19" x14ac:dyDescent="0.2">
      <c r="A2312" t="s">
        <v>2923</v>
      </c>
      <c r="B2312" t="s">
        <v>83</v>
      </c>
      <c r="C2312" t="s">
        <v>614</v>
      </c>
      <c r="D2312">
        <v>1850.67</v>
      </c>
      <c r="E2312" s="37" t="str">
        <f t="shared" si="180"/>
        <v xml:space="preserve"> </v>
      </c>
      <c r="F2312">
        <v>0</v>
      </c>
      <c r="G2312" s="37" t="str">
        <f t="shared" si="181"/>
        <v>Normal Discount</v>
      </c>
      <c r="H2312" s="37" t="str">
        <f t="shared" si="182"/>
        <v>Low</v>
      </c>
      <c r="I2312">
        <v>3</v>
      </c>
      <c r="J2312" t="str" cm="1">
        <f t="array" ref="J2312">_xlfn.IFS(I2312&lt;=3,"small",I2312&lt;=6,"Medium",I2312&lt;=9,"Large")</f>
        <v>small</v>
      </c>
      <c r="K2312" s="36">
        <v>44957</v>
      </c>
      <c r="L2312" s="36">
        <v>44958</v>
      </c>
      <c r="M2312" t="s">
        <v>612</v>
      </c>
      <c r="N2312" t="s">
        <v>599</v>
      </c>
      <c r="O2312" s="37" t="str">
        <f t="shared" si="183"/>
        <v>Digital Payment</v>
      </c>
      <c r="P2312">
        <v>262.24</v>
      </c>
      <c r="Q2312" s="37" t="str">
        <f>IF(P2312&gt;500,"High","low")</f>
        <v>low</v>
      </c>
      <c r="R2312" s="37" t="str">
        <f t="shared" si="184"/>
        <v>AVERAGE</v>
      </c>
      <c r="S2312" t="s">
        <v>620</v>
      </c>
    </row>
    <row r="2313" spans="1:19" x14ac:dyDescent="0.2">
      <c r="A2313" t="s">
        <v>2924</v>
      </c>
      <c r="B2313" t="s">
        <v>67</v>
      </c>
      <c r="C2313" t="s">
        <v>614</v>
      </c>
      <c r="D2313">
        <v>3817.73</v>
      </c>
      <c r="E2313" s="37" t="str">
        <f t="shared" si="180"/>
        <v xml:space="preserve"> </v>
      </c>
      <c r="F2313">
        <v>0.24</v>
      </c>
      <c r="G2313" s="37" t="str">
        <f t="shared" si="181"/>
        <v>Normal Discount</v>
      </c>
      <c r="H2313" s="37" t="str">
        <f t="shared" si="182"/>
        <v>Medium</v>
      </c>
      <c r="I2313">
        <v>9</v>
      </c>
      <c r="J2313" t="str" cm="1">
        <f t="array" ref="J2313">_xlfn.IFS(I2313&lt;=3,"small",I2313&lt;=6,"Medium",I2313&lt;=9,"Large")</f>
        <v>Large</v>
      </c>
      <c r="K2313" s="36">
        <v>45216</v>
      </c>
      <c r="L2313" s="36">
        <v>45219</v>
      </c>
      <c r="M2313" t="s">
        <v>612</v>
      </c>
      <c r="N2313" t="s">
        <v>599</v>
      </c>
      <c r="O2313" s="37" t="str">
        <f t="shared" si="183"/>
        <v>Digital Payment</v>
      </c>
      <c r="P2313">
        <v>598.38</v>
      </c>
      <c r="Q2313" s="37" t="str">
        <f>IF(P2313&gt;500,"High","low")</f>
        <v>High</v>
      </c>
      <c r="R2313" s="37" t="str">
        <f t="shared" si="184"/>
        <v>Good</v>
      </c>
      <c r="S2313" t="s">
        <v>615</v>
      </c>
    </row>
    <row r="2314" spans="1:19" x14ac:dyDescent="0.2">
      <c r="A2314" t="s">
        <v>2925</v>
      </c>
      <c r="B2314" t="s">
        <v>90</v>
      </c>
      <c r="C2314" t="s">
        <v>602</v>
      </c>
      <c r="D2314">
        <v>396.93</v>
      </c>
      <c r="E2314" s="37" t="str">
        <f t="shared" si="180"/>
        <v xml:space="preserve"> </v>
      </c>
      <c r="F2314">
        <v>0.02</v>
      </c>
      <c r="G2314" s="37" t="str">
        <f t="shared" si="181"/>
        <v>Normal Discount</v>
      </c>
      <c r="H2314" s="37" t="str">
        <f t="shared" si="182"/>
        <v>Low</v>
      </c>
      <c r="I2314">
        <v>7</v>
      </c>
      <c r="J2314" t="str" cm="1">
        <f t="array" ref="J2314">_xlfn.IFS(I2314&lt;=3,"small",I2314&lt;=6,"Medium",I2314&lt;=9,"Large")</f>
        <v>Large</v>
      </c>
      <c r="K2314" s="36">
        <v>45004</v>
      </c>
      <c r="L2314" s="36">
        <v>45007</v>
      </c>
      <c r="M2314" t="s">
        <v>603</v>
      </c>
      <c r="N2314" t="s">
        <v>599</v>
      </c>
      <c r="O2314" s="37" t="str">
        <f t="shared" si="183"/>
        <v>Digital Payment</v>
      </c>
      <c r="P2314">
        <v>43.76</v>
      </c>
      <c r="Q2314" s="37" t="str">
        <f>IF(P2314&gt;500,"High","low")</f>
        <v>low</v>
      </c>
      <c r="R2314" s="37" t="str">
        <f t="shared" si="184"/>
        <v>AVERAGE</v>
      </c>
      <c r="S2314" t="s">
        <v>605</v>
      </c>
    </row>
    <row r="2315" spans="1:19" x14ac:dyDescent="0.2">
      <c r="A2315" t="s">
        <v>2926</v>
      </c>
      <c r="B2315" t="s">
        <v>75</v>
      </c>
      <c r="C2315" t="s">
        <v>602</v>
      </c>
      <c r="D2315">
        <v>4598.01</v>
      </c>
      <c r="E2315" s="37" t="str">
        <f t="shared" si="180"/>
        <v>Excellent Order</v>
      </c>
      <c r="F2315">
        <v>0.15</v>
      </c>
      <c r="G2315" s="37" t="str">
        <f t="shared" si="181"/>
        <v>Normal Discount</v>
      </c>
      <c r="H2315" s="37" t="str">
        <f t="shared" si="182"/>
        <v>Low</v>
      </c>
      <c r="I2315">
        <v>3</v>
      </c>
      <c r="J2315" t="str" cm="1">
        <f t="array" ref="J2315">_xlfn.IFS(I2315&lt;=3,"small",I2315&lt;=6,"Medium",I2315&lt;=9,"Large")</f>
        <v>small</v>
      </c>
      <c r="K2315" s="36">
        <v>45369</v>
      </c>
      <c r="L2315" s="36">
        <v>45374</v>
      </c>
      <c r="M2315" t="s">
        <v>598</v>
      </c>
      <c r="N2315" t="s">
        <v>599</v>
      </c>
      <c r="O2315" s="37" t="str">
        <f t="shared" si="183"/>
        <v>Digital Payment</v>
      </c>
      <c r="P2315">
        <v>1169.8900000000001</v>
      </c>
      <c r="Q2315" s="37" t="str">
        <f>IF(P2315&gt;500,"High","low")</f>
        <v>High</v>
      </c>
      <c r="R2315" s="37" t="str">
        <f t="shared" si="184"/>
        <v>Excellent</v>
      </c>
      <c r="S2315" t="s">
        <v>628</v>
      </c>
    </row>
    <row r="2316" spans="1:19" x14ac:dyDescent="0.2">
      <c r="A2316" t="s">
        <v>2927</v>
      </c>
      <c r="B2316" t="s">
        <v>90</v>
      </c>
      <c r="C2316" t="s">
        <v>607</v>
      </c>
      <c r="D2316">
        <v>940.9</v>
      </c>
      <c r="E2316" s="37" t="str">
        <f t="shared" si="180"/>
        <v xml:space="preserve"> </v>
      </c>
      <c r="F2316">
        <v>0.4</v>
      </c>
      <c r="G2316" s="37" t="str">
        <f t="shared" si="181"/>
        <v>Heavy Discount</v>
      </c>
      <c r="H2316" s="37" t="str">
        <f t="shared" si="182"/>
        <v>Medium</v>
      </c>
      <c r="I2316">
        <v>3</v>
      </c>
      <c r="J2316" t="str" cm="1">
        <f t="array" ref="J2316">_xlfn.IFS(I2316&lt;=3,"small",I2316&lt;=6,"Medium",I2316&lt;=9,"Large")</f>
        <v>small</v>
      </c>
      <c r="K2316" s="36">
        <v>45363</v>
      </c>
      <c r="L2316" s="36">
        <v>45365</v>
      </c>
      <c r="M2316" t="s">
        <v>598</v>
      </c>
      <c r="N2316" t="s">
        <v>604</v>
      </c>
      <c r="O2316" s="37" t="str">
        <f t="shared" si="183"/>
        <v>Digital Payment</v>
      </c>
      <c r="P2316">
        <v>48.78</v>
      </c>
      <c r="Q2316" s="37" t="str">
        <f>IF(P2316&gt;500,"High","low")</f>
        <v>low</v>
      </c>
      <c r="R2316" s="37" t="str">
        <f t="shared" si="184"/>
        <v>AVERAGE</v>
      </c>
      <c r="S2316" t="s">
        <v>609</v>
      </c>
    </row>
    <row r="2317" spans="1:19" x14ac:dyDescent="0.2">
      <c r="A2317" t="s">
        <v>2928</v>
      </c>
      <c r="B2317" t="s">
        <v>75</v>
      </c>
      <c r="C2317" t="s">
        <v>617</v>
      </c>
      <c r="D2317">
        <v>876.88</v>
      </c>
      <c r="E2317" s="37" t="str">
        <f t="shared" si="180"/>
        <v xml:space="preserve"> </v>
      </c>
      <c r="F2317">
        <v>0.47</v>
      </c>
      <c r="G2317" s="37" t="str">
        <f t="shared" si="181"/>
        <v>Heavy Discount</v>
      </c>
      <c r="H2317" s="37" t="str">
        <f t="shared" si="182"/>
        <v>High</v>
      </c>
      <c r="I2317">
        <v>3</v>
      </c>
      <c r="J2317" t="str" cm="1">
        <f t="array" ref="J2317">_xlfn.IFS(I2317&lt;=3,"small",I2317&lt;=6,"Medium",I2317&lt;=9,"Large")</f>
        <v>small</v>
      </c>
      <c r="K2317" s="36">
        <v>45287</v>
      </c>
      <c r="L2317" s="36">
        <v>45291</v>
      </c>
      <c r="M2317" t="s">
        <v>612</v>
      </c>
      <c r="N2317" t="s">
        <v>608</v>
      </c>
      <c r="O2317" s="37" t="str">
        <f t="shared" si="183"/>
        <v>Cash Payment</v>
      </c>
      <c r="P2317">
        <v>96.21</v>
      </c>
      <c r="Q2317" s="37" t="str">
        <f>IF(P2317&gt;500,"High","low")</f>
        <v>low</v>
      </c>
      <c r="R2317" s="37" t="str">
        <f t="shared" si="184"/>
        <v>AVERAGE</v>
      </c>
      <c r="S2317" t="s">
        <v>609</v>
      </c>
    </row>
    <row r="2318" spans="1:19" x14ac:dyDescent="0.2">
      <c r="A2318" t="s">
        <v>2929</v>
      </c>
      <c r="B2318" t="s">
        <v>83</v>
      </c>
      <c r="C2318" t="s">
        <v>617</v>
      </c>
      <c r="D2318">
        <v>4219.1499999999996</v>
      </c>
      <c r="E2318" s="37" t="str">
        <f t="shared" si="180"/>
        <v>Excellent Order</v>
      </c>
      <c r="F2318">
        <v>0.12</v>
      </c>
      <c r="G2318" s="37" t="str">
        <f t="shared" si="181"/>
        <v>Normal Discount</v>
      </c>
      <c r="H2318" s="37" t="str">
        <f t="shared" si="182"/>
        <v>Low</v>
      </c>
      <c r="I2318">
        <v>9</v>
      </c>
      <c r="J2318" t="str" cm="1">
        <f t="array" ref="J2318">_xlfn.IFS(I2318&lt;=3,"small",I2318&lt;=6,"Medium",I2318&lt;=9,"Large")</f>
        <v>Large</v>
      </c>
      <c r="K2318" s="36">
        <v>45652</v>
      </c>
      <c r="L2318" s="36">
        <v>45659</v>
      </c>
      <c r="M2318" t="s">
        <v>612</v>
      </c>
      <c r="N2318" t="s">
        <v>604</v>
      </c>
      <c r="O2318" s="37" t="str">
        <f t="shared" si="183"/>
        <v>Digital Payment</v>
      </c>
      <c r="P2318">
        <v>1129.05</v>
      </c>
      <c r="Q2318" s="37" t="str">
        <f>IF(P2318&gt;500,"High","low")</f>
        <v>High</v>
      </c>
      <c r="R2318" s="37" t="str">
        <f t="shared" si="184"/>
        <v>Excellent</v>
      </c>
      <c r="S2318" t="s">
        <v>620</v>
      </c>
    </row>
    <row r="2319" spans="1:19" x14ac:dyDescent="0.2">
      <c r="A2319" t="s">
        <v>2930</v>
      </c>
      <c r="B2319" t="s">
        <v>75</v>
      </c>
      <c r="C2319" t="s">
        <v>597</v>
      </c>
      <c r="D2319">
        <v>4359.49</v>
      </c>
      <c r="E2319" s="37" t="str">
        <f t="shared" si="180"/>
        <v>Excellent Order</v>
      </c>
      <c r="F2319">
        <v>0.01</v>
      </c>
      <c r="G2319" s="37" t="str">
        <f t="shared" si="181"/>
        <v>Normal Discount</v>
      </c>
      <c r="H2319" s="37" t="str">
        <f t="shared" si="182"/>
        <v>Low</v>
      </c>
      <c r="I2319">
        <v>8</v>
      </c>
      <c r="J2319" t="str" cm="1">
        <f t="array" ref="J2319">_xlfn.IFS(I2319&lt;=3,"small",I2319&lt;=6,"Medium",I2319&lt;=9,"Large")</f>
        <v>Large</v>
      </c>
      <c r="K2319" s="36">
        <v>44980</v>
      </c>
      <c r="L2319" s="36">
        <v>44987</v>
      </c>
      <c r="M2319" t="s">
        <v>603</v>
      </c>
      <c r="N2319" t="s">
        <v>608</v>
      </c>
      <c r="O2319" s="37" t="str">
        <f t="shared" si="183"/>
        <v>Cash Payment</v>
      </c>
      <c r="P2319">
        <v>1279.42</v>
      </c>
      <c r="Q2319" s="37" t="str">
        <f>IF(P2319&gt;500,"High","low")</f>
        <v>High</v>
      </c>
      <c r="R2319" s="37" t="str">
        <f t="shared" si="184"/>
        <v>Excellent</v>
      </c>
      <c r="S2319" t="s">
        <v>609</v>
      </c>
    </row>
    <row r="2320" spans="1:19" x14ac:dyDescent="0.2">
      <c r="A2320" t="s">
        <v>2931</v>
      </c>
      <c r="B2320" t="s">
        <v>90</v>
      </c>
      <c r="C2320" t="s">
        <v>597</v>
      </c>
      <c r="D2320">
        <v>555.57000000000005</v>
      </c>
      <c r="E2320" s="37" t="str">
        <f t="shared" si="180"/>
        <v xml:space="preserve"> </v>
      </c>
      <c r="F2320">
        <v>0.2</v>
      </c>
      <c r="G2320" s="37" t="str">
        <f t="shared" si="181"/>
        <v>Normal Discount</v>
      </c>
      <c r="H2320" s="37" t="str">
        <f t="shared" si="182"/>
        <v>Medium</v>
      </c>
      <c r="I2320">
        <v>7</v>
      </c>
      <c r="J2320" t="str" cm="1">
        <f t="array" ref="J2320">_xlfn.IFS(I2320&lt;=3,"small",I2320&lt;=6,"Medium",I2320&lt;=9,"Large")</f>
        <v>Large</v>
      </c>
      <c r="K2320" s="36">
        <v>45297</v>
      </c>
      <c r="L2320" s="36">
        <v>45304</v>
      </c>
      <c r="M2320" t="s">
        <v>603</v>
      </c>
      <c r="N2320" t="s">
        <v>604</v>
      </c>
      <c r="O2320" s="37" t="str">
        <f t="shared" si="183"/>
        <v>Digital Payment</v>
      </c>
      <c r="P2320">
        <v>88.78</v>
      </c>
      <c r="Q2320" s="37" t="str">
        <f>IF(P2320&gt;500,"High","low")</f>
        <v>low</v>
      </c>
      <c r="R2320" s="37" t="str">
        <f t="shared" si="184"/>
        <v>AVERAGE</v>
      </c>
      <c r="S2320" t="s">
        <v>620</v>
      </c>
    </row>
    <row r="2321" spans="1:19" x14ac:dyDescent="0.2">
      <c r="A2321" t="s">
        <v>2932</v>
      </c>
      <c r="B2321" t="s">
        <v>90</v>
      </c>
      <c r="C2321" t="s">
        <v>614</v>
      </c>
      <c r="D2321">
        <v>4552.72</v>
      </c>
      <c r="E2321" s="37" t="str">
        <f t="shared" si="180"/>
        <v>Excellent Order</v>
      </c>
      <c r="F2321">
        <v>0.17</v>
      </c>
      <c r="G2321" s="37" t="str">
        <f t="shared" si="181"/>
        <v>Normal Discount</v>
      </c>
      <c r="H2321" s="37" t="str">
        <f t="shared" si="182"/>
        <v>Low</v>
      </c>
      <c r="I2321">
        <v>8</v>
      </c>
      <c r="J2321" t="str" cm="1">
        <f t="array" ref="J2321">_xlfn.IFS(I2321&lt;=3,"small",I2321&lt;=6,"Medium",I2321&lt;=9,"Large")</f>
        <v>Large</v>
      </c>
      <c r="K2321" s="36">
        <v>45508</v>
      </c>
      <c r="L2321" s="36">
        <v>45510</v>
      </c>
      <c r="M2321" t="s">
        <v>612</v>
      </c>
      <c r="N2321" t="s">
        <v>604</v>
      </c>
      <c r="O2321" s="37" t="str">
        <f t="shared" si="183"/>
        <v>Digital Payment</v>
      </c>
      <c r="P2321">
        <v>1169.3599999999999</v>
      </c>
      <c r="Q2321" s="37" t="str">
        <f>IF(P2321&gt;500,"High","low")</f>
        <v>High</v>
      </c>
      <c r="R2321" s="37" t="str">
        <f t="shared" si="184"/>
        <v>Excellent</v>
      </c>
      <c r="S2321" t="s">
        <v>605</v>
      </c>
    </row>
    <row r="2322" spans="1:19" x14ac:dyDescent="0.2">
      <c r="A2322" t="s">
        <v>2933</v>
      </c>
      <c r="B2322" t="s">
        <v>90</v>
      </c>
      <c r="C2322" t="s">
        <v>597</v>
      </c>
      <c r="D2322">
        <v>1439.16</v>
      </c>
      <c r="E2322" s="37" t="str">
        <f t="shared" si="180"/>
        <v xml:space="preserve"> </v>
      </c>
      <c r="F2322">
        <v>0.34</v>
      </c>
      <c r="G2322" s="37" t="str">
        <f t="shared" si="181"/>
        <v>Heavy Discount</v>
      </c>
      <c r="H2322" s="37" t="str">
        <f t="shared" si="182"/>
        <v>Medium</v>
      </c>
      <c r="I2322">
        <v>1</v>
      </c>
      <c r="J2322" t="str" cm="1">
        <f t="array" ref="J2322">_xlfn.IFS(I2322&lt;=3,"small",I2322&lt;=6,"Medium",I2322&lt;=9,"Large")</f>
        <v>small</v>
      </c>
      <c r="K2322" s="36">
        <v>45023</v>
      </c>
      <c r="L2322" s="36">
        <v>45028</v>
      </c>
      <c r="M2322" t="s">
        <v>603</v>
      </c>
      <c r="N2322" t="s">
        <v>599</v>
      </c>
      <c r="O2322" s="37" t="str">
        <f t="shared" si="183"/>
        <v>Digital Payment</v>
      </c>
      <c r="P2322">
        <v>365.39</v>
      </c>
      <c r="Q2322" s="37" t="str">
        <f>IF(P2322&gt;500,"High","low")</f>
        <v>low</v>
      </c>
      <c r="R2322" s="37" t="str">
        <f t="shared" si="184"/>
        <v>AVERAGE</v>
      </c>
      <c r="S2322" t="s">
        <v>605</v>
      </c>
    </row>
    <row r="2323" spans="1:19" x14ac:dyDescent="0.2">
      <c r="A2323" t="s">
        <v>2934</v>
      </c>
      <c r="B2323" t="s">
        <v>83</v>
      </c>
      <c r="C2323" t="s">
        <v>597</v>
      </c>
      <c r="D2323">
        <v>3131.25</v>
      </c>
      <c r="E2323" s="37" t="str">
        <f t="shared" si="180"/>
        <v xml:space="preserve"> </v>
      </c>
      <c r="F2323">
        <v>0.25</v>
      </c>
      <c r="G2323" s="37" t="str">
        <f t="shared" si="181"/>
        <v>Normal Discount</v>
      </c>
      <c r="H2323" s="37" t="str">
        <f t="shared" si="182"/>
        <v>Medium</v>
      </c>
      <c r="I2323">
        <v>9</v>
      </c>
      <c r="J2323" t="str" cm="1">
        <f t="array" ref="J2323">_xlfn.IFS(I2323&lt;=3,"small",I2323&lt;=6,"Medium",I2323&lt;=9,"Large")</f>
        <v>Large</v>
      </c>
      <c r="K2323" s="36">
        <v>45456</v>
      </c>
      <c r="L2323" s="36">
        <v>45457</v>
      </c>
      <c r="M2323" t="s">
        <v>612</v>
      </c>
      <c r="N2323" t="s">
        <v>599</v>
      </c>
      <c r="O2323" s="37" t="str">
        <f t="shared" si="183"/>
        <v>Digital Payment</v>
      </c>
      <c r="P2323">
        <v>761.2</v>
      </c>
      <c r="Q2323" s="37" t="str">
        <f>IF(P2323&gt;500,"High","low")</f>
        <v>High</v>
      </c>
      <c r="R2323" s="37" t="str">
        <f t="shared" si="184"/>
        <v>Good</v>
      </c>
      <c r="S2323" t="s">
        <v>605</v>
      </c>
    </row>
    <row r="2324" spans="1:19" x14ac:dyDescent="0.2">
      <c r="A2324" t="s">
        <v>2935</v>
      </c>
      <c r="B2324" t="s">
        <v>83</v>
      </c>
      <c r="C2324" t="s">
        <v>614</v>
      </c>
      <c r="D2324">
        <v>436.11</v>
      </c>
      <c r="E2324" s="37" t="str">
        <f t="shared" si="180"/>
        <v xml:space="preserve"> </v>
      </c>
      <c r="F2324">
        <v>0.2</v>
      </c>
      <c r="G2324" s="37" t="str">
        <f t="shared" si="181"/>
        <v>Normal Discount</v>
      </c>
      <c r="H2324" s="37" t="str">
        <f t="shared" si="182"/>
        <v>Medium</v>
      </c>
      <c r="I2324">
        <v>5</v>
      </c>
      <c r="J2324" t="str" cm="1">
        <f t="array" ref="J2324">_xlfn.IFS(I2324&lt;=3,"small",I2324&lt;=6,"Medium",I2324&lt;=9,"Large")</f>
        <v>Medium</v>
      </c>
      <c r="K2324" s="36">
        <v>45574</v>
      </c>
      <c r="L2324" s="36">
        <v>45577</v>
      </c>
      <c r="M2324" t="s">
        <v>598</v>
      </c>
      <c r="N2324" t="s">
        <v>599</v>
      </c>
      <c r="O2324" s="37" t="str">
        <f t="shared" si="183"/>
        <v>Digital Payment</v>
      </c>
      <c r="P2324">
        <v>113.6</v>
      </c>
      <c r="Q2324" s="37" t="str">
        <f>IF(P2324&gt;500,"High","low")</f>
        <v>low</v>
      </c>
      <c r="R2324" s="37" t="str">
        <f t="shared" si="184"/>
        <v>AVERAGE</v>
      </c>
      <c r="S2324" t="s">
        <v>628</v>
      </c>
    </row>
    <row r="2325" spans="1:19" x14ac:dyDescent="0.2">
      <c r="A2325" t="s">
        <v>2936</v>
      </c>
      <c r="B2325" t="s">
        <v>67</v>
      </c>
      <c r="C2325" t="s">
        <v>614</v>
      </c>
      <c r="D2325">
        <v>1965.24</v>
      </c>
      <c r="E2325" s="37" t="str">
        <f t="shared" si="180"/>
        <v xml:space="preserve"> </v>
      </c>
      <c r="F2325">
        <v>0.11</v>
      </c>
      <c r="G2325" s="37" t="str">
        <f t="shared" si="181"/>
        <v>Normal Discount</v>
      </c>
      <c r="H2325" s="37" t="str">
        <f t="shared" si="182"/>
        <v>Low</v>
      </c>
      <c r="I2325">
        <v>5</v>
      </c>
      <c r="J2325" t="str" cm="1">
        <f t="array" ref="J2325">_xlfn.IFS(I2325&lt;=3,"small",I2325&lt;=6,"Medium",I2325&lt;=9,"Large")</f>
        <v>Medium</v>
      </c>
      <c r="K2325" s="36">
        <v>45573</v>
      </c>
      <c r="L2325" s="36">
        <v>45575</v>
      </c>
      <c r="M2325" t="s">
        <v>603</v>
      </c>
      <c r="N2325" t="s">
        <v>604</v>
      </c>
      <c r="O2325" s="37" t="str">
        <f t="shared" si="183"/>
        <v>Digital Payment</v>
      </c>
      <c r="P2325">
        <v>563.04</v>
      </c>
      <c r="Q2325" s="37" t="str">
        <f>IF(P2325&gt;500,"High","low")</f>
        <v>High</v>
      </c>
      <c r="R2325" s="37" t="str">
        <f t="shared" si="184"/>
        <v>Good</v>
      </c>
      <c r="S2325" t="s">
        <v>620</v>
      </c>
    </row>
    <row r="2326" spans="1:19" x14ac:dyDescent="0.2">
      <c r="A2326" t="s">
        <v>2937</v>
      </c>
      <c r="B2326" t="s">
        <v>90</v>
      </c>
      <c r="C2326" t="s">
        <v>597</v>
      </c>
      <c r="D2326">
        <v>2308.5500000000002</v>
      </c>
      <c r="E2326" s="37" t="str">
        <f t="shared" si="180"/>
        <v xml:space="preserve"> </v>
      </c>
      <c r="F2326">
        <v>0.41</v>
      </c>
      <c r="G2326" s="37" t="str">
        <f t="shared" si="181"/>
        <v>Heavy Discount</v>
      </c>
      <c r="H2326" s="37" t="str">
        <f t="shared" si="182"/>
        <v>High</v>
      </c>
      <c r="I2326">
        <v>5</v>
      </c>
      <c r="J2326" t="str" cm="1">
        <f t="array" ref="J2326">_xlfn.IFS(I2326&lt;=3,"small",I2326&lt;=6,"Medium",I2326&lt;=9,"Large")</f>
        <v>Medium</v>
      </c>
      <c r="K2326" s="36">
        <v>45320</v>
      </c>
      <c r="L2326" s="36">
        <v>45323</v>
      </c>
      <c r="M2326" t="s">
        <v>603</v>
      </c>
      <c r="N2326" t="s">
        <v>604</v>
      </c>
      <c r="O2326" s="37" t="str">
        <f t="shared" si="183"/>
        <v>Digital Payment</v>
      </c>
      <c r="P2326">
        <v>146.02000000000001</v>
      </c>
      <c r="Q2326" s="37" t="str">
        <f>IF(P2326&gt;500,"High","low")</f>
        <v>low</v>
      </c>
      <c r="R2326" s="37" t="str">
        <f t="shared" si="184"/>
        <v>AVERAGE</v>
      </c>
      <c r="S2326" t="s">
        <v>620</v>
      </c>
    </row>
    <row r="2327" spans="1:19" x14ac:dyDescent="0.2">
      <c r="A2327" t="s">
        <v>2938</v>
      </c>
      <c r="B2327" t="s">
        <v>75</v>
      </c>
      <c r="C2327" t="s">
        <v>617</v>
      </c>
      <c r="D2327">
        <v>3039.15</v>
      </c>
      <c r="E2327" s="37" t="str">
        <f t="shared" si="180"/>
        <v xml:space="preserve"> </v>
      </c>
      <c r="F2327">
        <v>0.12</v>
      </c>
      <c r="G2327" s="37" t="str">
        <f t="shared" si="181"/>
        <v>Normal Discount</v>
      </c>
      <c r="H2327" s="37" t="str">
        <f t="shared" si="182"/>
        <v>Low</v>
      </c>
      <c r="I2327">
        <v>9</v>
      </c>
      <c r="J2327" t="str" cm="1">
        <f t="array" ref="J2327">_xlfn.IFS(I2327&lt;=3,"small",I2327&lt;=6,"Medium",I2327&lt;=9,"Large")</f>
        <v>Large</v>
      </c>
      <c r="K2327" s="36">
        <v>44962</v>
      </c>
      <c r="L2327" s="36">
        <v>44967</v>
      </c>
      <c r="M2327" t="s">
        <v>598</v>
      </c>
      <c r="N2327" t="s">
        <v>599</v>
      </c>
      <c r="O2327" s="37" t="str">
        <f t="shared" si="183"/>
        <v>Digital Payment</v>
      </c>
      <c r="P2327">
        <v>424.8</v>
      </c>
      <c r="Q2327" s="37" t="str">
        <f>IF(P2327&gt;500,"High","low")</f>
        <v>low</v>
      </c>
      <c r="R2327" s="37" t="str">
        <f t="shared" si="184"/>
        <v>AVERAGE</v>
      </c>
      <c r="S2327" t="s">
        <v>615</v>
      </c>
    </row>
    <row r="2328" spans="1:19" x14ac:dyDescent="0.2">
      <c r="A2328" t="s">
        <v>2939</v>
      </c>
      <c r="B2328" t="s">
        <v>83</v>
      </c>
      <c r="C2328" t="s">
        <v>597</v>
      </c>
      <c r="D2328">
        <v>2673.83</v>
      </c>
      <c r="E2328" s="37" t="str">
        <f t="shared" si="180"/>
        <v xml:space="preserve"> </v>
      </c>
      <c r="F2328">
        <v>0.03</v>
      </c>
      <c r="G2328" s="37" t="str">
        <f t="shared" si="181"/>
        <v>Normal Discount</v>
      </c>
      <c r="H2328" s="37" t="str">
        <f t="shared" si="182"/>
        <v>Low</v>
      </c>
      <c r="I2328">
        <v>5</v>
      </c>
      <c r="J2328" t="str" cm="1">
        <f t="array" ref="J2328">_xlfn.IFS(I2328&lt;=3,"small",I2328&lt;=6,"Medium",I2328&lt;=9,"Large")</f>
        <v>Medium</v>
      </c>
      <c r="K2328" s="36">
        <v>45244</v>
      </c>
      <c r="L2328" s="36">
        <v>45250</v>
      </c>
      <c r="M2328" t="s">
        <v>598</v>
      </c>
      <c r="N2328" t="s">
        <v>599</v>
      </c>
      <c r="O2328" s="37" t="str">
        <f t="shared" si="183"/>
        <v>Digital Payment</v>
      </c>
      <c r="P2328">
        <v>602.39</v>
      </c>
      <c r="Q2328" s="37" t="str">
        <f>IF(P2328&gt;500,"High","low")</f>
        <v>High</v>
      </c>
      <c r="R2328" s="37" t="str">
        <f t="shared" si="184"/>
        <v>Good</v>
      </c>
      <c r="S2328" t="s">
        <v>605</v>
      </c>
    </row>
    <row r="2329" spans="1:19" x14ac:dyDescent="0.2">
      <c r="A2329" t="s">
        <v>2940</v>
      </c>
      <c r="B2329" t="s">
        <v>90</v>
      </c>
      <c r="C2329" t="s">
        <v>607</v>
      </c>
      <c r="D2329">
        <v>2361.3200000000002</v>
      </c>
      <c r="E2329" s="37" t="str">
        <f t="shared" si="180"/>
        <v xml:space="preserve"> </v>
      </c>
      <c r="F2329">
        <v>0.28000000000000003</v>
      </c>
      <c r="G2329" s="37" t="str">
        <f t="shared" si="181"/>
        <v>Normal Discount</v>
      </c>
      <c r="H2329" s="37" t="str">
        <f t="shared" si="182"/>
        <v>Medium</v>
      </c>
      <c r="I2329">
        <v>2</v>
      </c>
      <c r="J2329" t="str" cm="1">
        <f t="array" ref="J2329">_xlfn.IFS(I2329&lt;=3,"small",I2329&lt;=6,"Medium",I2329&lt;=9,"Large")</f>
        <v>small</v>
      </c>
      <c r="K2329" s="36">
        <v>45296</v>
      </c>
      <c r="L2329" s="36">
        <v>45297</v>
      </c>
      <c r="M2329" t="s">
        <v>603</v>
      </c>
      <c r="N2329" t="s">
        <v>604</v>
      </c>
      <c r="O2329" s="37" t="str">
        <f t="shared" si="183"/>
        <v>Digital Payment</v>
      </c>
      <c r="P2329">
        <v>233.02</v>
      </c>
      <c r="Q2329" s="37" t="str">
        <f>IF(P2329&gt;500,"High","low")</f>
        <v>low</v>
      </c>
      <c r="R2329" s="37" t="str">
        <f t="shared" si="184"/>
        <v>AVERAGE</v>
      </c>
      <c r="S2329" t="s">
        <v>605</v>
      </c>
    </row>
    <row r="2330" spans="1:19" x14ac:dyDescent="0.2">
      <c r="A2330" t="s">
        <v>2941</v>
      </c>
      <c r="B2330" t="s">
        <v>90</v>
      </c>
      <c r="C2330" t="s">
        <v>607</v>
      </c>
      <c r="D2330">
        <v>4802.24</v>
      </c>
      <c r="E2330" s="37" t="str">
        <f t="shared" si="180"/>
        <v>Excellent Order</v>
      </c>
      <c r="F2330">
        <v>0.16</v>
      </c>
      <c r="G2330" s="37" t="str">
        <f t="shared" si="181"/>
        <v>Normal Discount</v>
      </c>
      <c r="H2330" s="37" t="str">
        <f t="shared" si="182"/>
        <v>Low</v>
      </c>
      <c r="I2330">
        <v>6</v>
      </c>
      <c r="J2330" t="str" cm="1">
        <f t="array" ref="J2330">_xlfn.IFS(I2330&lt;=3,"small",I2330&lt;=6,"Medium",I2330&lt;=9,"Large")</f>
        <v>Medium</v>
      </c>
      <c r="K2330" s="36">
        <v>44977</v>
      </c>
      <c r="L2330" s="36">
        <v>44984</v>
      </c>
      <c r="M2330" t="s">
        <v>603</v>
      </c>
      <c r="N2330" t="s">
        <v>604</v>
      </c>
      <c r="O2330" s="37" t="str">
        <f t="shared" si="183"/>
        <v>Digital Payment</v>
      </c>
      <c r="P2330">
        <v>877.8</v>
      </c>
      <c r="Q2330" s="37" t="str">
        <f>IF(P2330&gt;500,"High","low")</f>
        <v>High</v>
      </c>
      <c r="R2330" s="37" t="str">
        <f t="shared" si="184"/>
        <v>Good</v>
      </c>
      <c r="S2330" t="s">
        <v>609</v>
      </c>
    </row>
    <row r="2331" spans="1:19" x14ac:dyDescent="0.2">
      <c r="A2331" t="s">
        <v>2942</v>
      </c>
      <c r="B2331" t="s">
        <v>83</v>
      </c>
      <c r="C2331" t="s">
        <v>607</v>
      </c>
      <c r="D2331">
        <v>1006.61</v>
      </c>
      <c r="E2331" s="37" t="str">
        <f t="shared" si="180"/>
        <v xml:space="preserve"> </v>
      </c>
      <c r="F2331">
        <v>0.36</v>
      </c>
      <c r="G2331" s="37" t="str">
        <f t="shared" si="181"/>
        <v>Heavy Discount</v>
      </c>
      <c r="H2331" s="37" t="str">
        <f t="shared" si="182"/>
        <v>Medium</v>
      </c>
      <c r="I2331">
        <v>7</v>
      </c>
      <c r="J2331" t="str" cm="1">
        <f t="array" ref="J2331">_xlfn.IFS(I2331&lt;=3,"small",I2331&lt;=6,"Medium",I2331&lt;=9,"Large")</f>
        <v>Large</v>
      </c>
      <c r="K2331" s="36">
        <v>45213</v>
      </c>
      <c r="L2331" s="36">
        <v>45217</v>
      </c>
      <c r="M2331" t="s">
        <v>612</v>
      </c>
      <c r="N2331" t="s">
        <v>599</v>
      </c>
      <c r="O2331" s="37" t="str">
        <f t="shared" si="183"/>
        <v>Digital Payment</v>
      </c>
      <c r="P2331">
        <v>207.21</v>
      </c>
      <c r="Q2331" s="37" t="str">
        <f>IF(P2331&gt;500,"High","low")</f>
        <v>low</v>
      </c>
      <c r="R2331" s="37" t="str">
        <f t="shared" si="184"/>
        <v>AVERAGE</v>
      </c>
      <c r="S2331" t="s">
        <v>620</v>
      </c>
    </row>
    <row r="2332" spans="1:19" x14ac:dyDescent="0.2">
      <c r="A2332" t="s">
        <v>2943</v>
      </c>
      <c r="B2332" t="s">
        <v>67</v>
      </c>
      <c r="C2332" t="s">
        <v>602</v>
      </c>
      <c r="D2332">
        <v>874.17</v>
      </c>
      <c r="E2332" s="37" t="str">
        <f t="shared" si="180"/>
        <v xml:space="preserve"> </v>
      </c>
      <c r="F2332">
        <v>0.04</v>
      </c>
      <c r="G2332" s="37" t="str">
        <f t="shared" si="181"/>
        <v>Normal Discount</v>
      </c>
      <c r="H2332" s="37" t="str">
        <f t="shared" si="182"/>
        <v>Low</v>
      </c>
      <c r="I2332">
        <v>7</v>
      </c>
      <c r="J2332" t="str" cm="1">
        <f t="array" ref="J2332">_xlfn.IFS(I2332&lt;=3,"small",I2332&lt;=6,"Medium",I2332&lt;=9,"Large")</f>
        <v>Large</v>
      </c>
      <c r="K2332" s="36">
        <v>45576</v>
      </c>
      <c r="L2332" s="36">
        <v>45577</v>
      </c>
      <c r="M2332" t="s">
        <v>603</v>
      </c>
      <c r="N2332" t="s">
        <v>608</v>
      </c>
      <c r="O2332" s="37" t="str">
        <f t="shared" si="183"/>
        <v>Cash Payment</v>
      </c>
      <c r="P2332">
        <v>80.319999999999993</v>
      </c>
      <c r="Q2332" s="37" t="str">
        <f>IF(P2332&gt;500,"High","low")</f>
        <v>low</v>
      </c>
      <c r="R2332" s="37" t="str">
        <f t="shared" si="184"/>
        <v>AVERAGE</v>
      </c>
      <c r="S2332" t="s">
        <v>620</v>
      </c>
    </row>
    <row r="2333" spans="1:19" x14ac:dyDescent="0.2">
      <c r="A2333" t="s">
        <v>2944</v>
      </c>
      <c r="B2333" t="s">
        <v>83</v>
      </c>
      <c r="C2333" t="s">
        <v>607</v>
      </c>
      <c r="D2333">
        <v>3595.75</v>
      </c>
      <c r="E2333" s="37" t="str">
        <f t="shared" si="180"/>
        <v xml:space="preserve"> </v>
      </c>
      <c r="F2333">
        <v>0.48</v>
      </c>
      <c r="G2333" s="37" t="str">
        <f t="shared" si="181"/>
        <v>Heavy Discount</v>
      </c>
      <c r="H2333" s="37" t="str">
        <f t="shared" si="182"/>
        <v>High</v>
      </c>
      <c r="I2333">
        <v>7</v>
      </c>
      <c r="J2333" t="str" cm="1">
        <f t="array" ref="J2333">_xlfn.IFS(I2333&lt;=3,"small",I2333&lt;=6,"Medium",I2333&lt;=9,"Large")</f>
        <v>Large</v>
      </c>
      <c r="K2333" s="36">
        <v>45522</v>
      </c>
      <c r="L2333" s="36">
        <v>45528</v>
      </c>
      <c r="M2333" t="s">
        <v>612</v>
      </c>
      <c r="N2333" t="s">
        <v>608</v>
      </c>
      <c r="O2333" s="37" t="str">
        <f t="shared" si="183"/>
        <v>Cash Payment</v>
      </c>
      <c r="P2333">
        <v>795.14</v>
      </c>
      <c r="Q2333" s="37" t="str">
        <f>IF(P2333&gt;500,"High","low")</f>
        <v>High</v>
      </c>
      <c r="R2333" s="37" t="str">
        <f t="shared" si="184"/>
        <v>Good</v>
      </c>
      <c r="S2333" t="s">
        <v>615</v>
      </c>
    </row>
    <row r="2334" spans="1:19" x14ac:dyDescent="0.2">
      <c r="A2334" t="s">
        <v>2945</v>
      </c>
      <c r="B2334" t="s">
        <v>83</v>
      </c>
      <c r="C2334" t="s">
        <v>617</v>
      </c>
      <c r="D2334">
        <v>465.3</v>
      </c>
      <c r="E2334" s="37" t="str">
        <f t="shared" si="180"/>
        <v xml:space="preserve"> </v>
      </c>
      <c r="F2334">
        <v>0.09</v>
      </c>
      <c r="G2334" s="37" t="str">
        <f t="shared" si="181"/>
        <v>Normal Discount</v>
      </c>
      <c r="H2334" s="37" t="str">
        <f t="shared" si="182"/>
        <v>Low</v>
      </c>
      <c r="I2334">
        <v>2</v>
      </c>
      <c r="J2334" t="str" cm="1">
        <f t="array" ref="J2334">_xlfn.IFS(I2334&lt;=3,"small",I2334&lt;=6,"Medium",I2334&lt;=9,"Large")</f>
        <v>small</v>
      </c>
      <c r="K2334" s="36">
        <v>45169</v>
      </c>
      <c r="L2334" s="36">
        <v>45173</v>
      </c>
      <c r="M2334" t="s">
        <v>598</v>
      </c>
      <c r="N2334" t="s">
        <v>608</v>
      </c>
      <c r="O2334" s="37" t="str">
        <f t="shared" si="183"/>
        <v>Cash Payment</v>
      </c>
      <c r="P2334">
        <v>27.68</v>
      </c>
      <c r="Q2334" s="37" t="str">
        <f>IF(P2334&gt;500,"High","low")</f>
        <v>low</v>
      </c>
      <c r="R2334" s="37" t="str">
        <f t="shared" si="184"/>
        <v>AVERAGE</v>
      </c>
      <c r="S2334" t="s">
        <v>615</v>
      </c>
    </row>
    <row r="2335" spans="1:19" x14ac:dyDescent="0.2">
      <c r="A2335" t="s">
        <v>2946</v>
      </c>
      <c r="B2335" t="s">
        <v>75</v>
      </c>
      <c r="C2335" t="s">
        <v>602</v>
      </c>
      <c r="D2335">
        <v>2466.17</v>
      </c>
      <c r="E2335" s="37" t="str">
        <f t="shared" si="180"/>
        <v xml:space="preserve"> </v>
      </c>
      <c r="F2335">
        <v>0.18</v>
      </c>
      <c r="G2335" s="37" t="str">
        <f t="shared" si="181"/>
        <v>Normal Discount</v>
      </c>
      <c r="H2335" s="37" t="str">
        <f t="shared" si="182"/>
        <v>Low</v>
      </c>
      <c r="I2335">
        <v>6</v>
      </c>
      <c r="J2335" t="str" cm="1">
        <f t="array" ref="J2335">_xlfn.IFS(I2335&lt;=3,"small",I2335&lt;=6,"Medium",I2335&lt;=9,"Large")</f>
        <v>Medium</v>
      </c>
      <c r="K2335" s="36">
        <v>45217</v>
      </c>
      <c r="L2335" s="36">
        <v>45219</v>
      </c>
      <c r="M2335" t="s">
        <v>598</v>
      </c>
      <c r="N2335" t="s">
        <v>604</v>
      </c>
      <c r="O2335" s="37" t="str">
        <f t="shared" si="183"/>
        <v>Digital Payment</v>
      </c>
      <c r="P2335">
        <v>140.6</v>
      </c>
      <c r="Q2335" s="37" t="str">
        <f>IF(P2335&gt;500,"High","low")</f>
        <v>low</v>
      </c>
      <c r="R2335" s="37" t="str">
        <f t="shared" si="184"/>
        <v>AVERAGE</v>
      </c>
      <c r="S2335" t="s">
        <v>605</v>
      </c>
    </row>
    <row r="2336" spans="1:19" x14ac:dyDescent="0.2">
      <c r="A2336" t="s">
        <v>2947</v>
      </c>
      <c r="B2336" t="s">
        <v>75</v>
      </c>
      <c r="C2336" t="s">
        <v>602</v>
      </c>
      <c r="D2336">
        <v>2471.86</v>
      </c>
      <c r="E2336" s="37" t="str">
        <f t="shared" si="180"/>
        <v xml:space="preserve"> </v>
      </c>
      <c r="F2336">
        <v>0.24</v>
      </c>
      <c r="G2336" s="37" t="str">
        <f t="shared" si="181"/>
        <v>Normal Discount</v>
      </c>
      <c r="H2336" s="37" t="str">
        <f t="shared" si="182"/>
        <v>Medium</v>
      </c>
      <c r="I2336">
        <v>9</v>
      </c>
      <c r="J2336" t="str" cm="1">
        <f t="array" ref="J2336">_xlfn.IFS(I2336&lt;=3,"small",I2336&lt;=6,"Medium",I2336&lt;=9,"Large")</f>
        <v>Large</v>
      </c>
      <c r="K2336" s="36">
        <v>45339</v>
      </c>
      <c r="L2336" s="36">
        <v>45345</v>
      </c>
      <c r="M2336" t="s">
        <v>612</v>
      </c>
      <c r="N2336" t="s">
        <v>608</v>
      </c>
      <c r="O2336" s="37" t="str">
        <f t="shared" si="183"/>
        <v>Cash Payment</v>
      </c>
      <c r="P2336">
        <v>581.91</v>
      </c>
      <c r="Q2336" s="37" t="str">
        <f>IF(P2336&gt;500,"High","low")</f>
        <v>High</v>
      </c>
      <c r="R2336" s="37" t="str">
        <f t="shared" si="184"/>
        <v>Good</v>
      </c>
      <c r="S2336" t="s">
        <v>609</v>
      </c>
    </row>
    <row r="2337" spans="1:19" x14ac:dyDescent="0.2">
      <c r="A2337" t="s">
        <v>2948</v>
      </c>
      <c r="B2337" t="s">
        <v>67</v>
      </c>
      <c r="C2337" t="s">
        <v>607</v>
      </c>
      <c r="D2337">
        <v>1619.12</v>
      </c>
      <c r="E2337" s="37" t="str">
        <f t="shared" si="180"/>
        <v xml:space="preserve"> </v>
      </c>
      <c r="F2337">
        <v>0.45</v>
      </c>
      <c r="G2337" s="37" t="str">
        <f t="shared" si="181"/>
        <v>Heavy Discount</v>
      </c>
      <c r="H2337" s="37" t="str">
        <f t="shared" si="182"/>
        <v>High</v>
      </c>
      <c r="I2337">
        <v>1</v>
      </c>
      <c r="J2337" t="str" cm="1">
        <f t="array" ref="J2337">_xlfn.IFS(I2337&lt;=3,"small",I2337&lt;=6,"Medium",I2337&lt;=9,"Large")</f>
        <v>small</v>
      </c>
      <c r="K2337" s="36">
        <v>45148</v>
      </c>
      <c r="L2337" s="36">
        <v>45149</v>
      </c>
      <c r="M2337" t="s">
        <v>598</v>
      </c>
      <c r="N2337" t="s">
        <v>608</v>
      </c>
      <c r="O2337" s="37" t="str">
        <f t="shared" si="183"/>
        <v>Cash Payment</v>
      </c>
      <c r="P2337">
        <v>344.87</v>
      </c>
      <c r="Q2337" s="37" t="str">
        <f>IF(P2337&gt;500,"High","low")</f>
        <v>low</v>
      </c>
      <c r="R2337" s="37" t="str">
        <f t="shared" si="184"/>
        <v>AVERAGE</v>
      </c>
      <c r="S2337" t="s">
        <v>615</v>
      </c>
    </row>
    <row r="2338" spans="1:19" x14ac:dyDescent="0.2">
      <c r="A2338" t="s">
        <v>2949</v>
      </c>
      <c r="B2338" t="s">
        <v>90</v>
      </c>
      <c r="C2338" t="s">
        <v>597</v>
      </c>
      <c r="D2338">
        <v>4659.17</v>
      </c>
      <c r="E2338" s="37" t="str">
        <f t="shared" si="180"/>
        <v>Excellent Order</v>
      </c>
      <c r="F2338">
        <v>0.36</v>
      </c>
      <c r="G2338" s="37" t="str">
        <f t="shared" si="181"/>
        <v>Heavy Discount</v>
      </c>
      <c r="H2338" s="37" t="str">
        <f t="shared" si="182"/>
        <v>Medium</v>
      </c>
      <c r="I2338">
        <v>3</v>
      </c>
      <c r="J2338" t="str" cm="1">
        <f t="array" ref="J2338">_xlfn.IFS(I2338&lt;=3,"small",I2338&lt;=6,"Medium",I2338&lt;=9,"Large")</f>
        <v>small</v>
      </c>
      <c r="K2338" s="36">
        <v>44957</v>
      </c>
      <c r="L2338" s="36">
        <v>44959</v>
      </c>
      <c r="M2338" t="s">
        <v>603</v>
      </c>
      <c r="N2338" t="s">
        <v>599</v>
      </c>
      <c r="O2338" s="37" t="str">
        <f t="shared" si="183"/>
        <v>Digital Payment</v>
      </c>
      <c r="P2338">
        <v>1123.83</v>
      </c>
      <c r="Q2338" s="37" t="str">
        <f>IF(P2338&gt;500,"High","low")</f>
        <v>High</v>
      </c>
      <c r="R2338" s="37" t="str">
        <f t="shared" si="184"/>
        <v>Excellent</v>
      </c>
      <c r="S2338" t="s">
        <v>609</v>
      </c>
    </row>
    <row r="2339" spans="1:19" x14ac:dyDescent="0.2">
      <c r="A2339" t="s">
        <v>2950</v>
      </c>
      <c r="B2339" t="s">
        <v>83</v>
      </c>
      <c r="C2339" t="s">
        <v>614</v>
      </c>
      <c r="D2339">
        <v>1484.46</v>
      </c>
      <c r="E2339" s="37" t="str">
        <f t="shared" si="180"/>
        <v xml:space="preserve"> </v>
      </c>
      <c r="F2339">
        <v>7.0000000000000007E-2</v>
      </c>
      <c r="G2339" s="37" t="str">
        <f t="shared" si="181"/>
        <v>Normal Discount</v>
      </c>
      <c r="H2339" s="37" t="str">
        <f t="shared" si="182"/>
        <v>Low</v>
      </c>
      <c r="I2339">
        <v>6</v>
      </c>
      <c r="J2339" t="str" cm="1">
        <f t="array" ref="J2339">_xlfn.IFS(I2339&lt;=3,"small",I2339&lt;=6,"Medium",I2339&lt;=9,"Large")</f>
        <v>Medium</v>
      </c>
      <c r="K2339" s="36">
        <v>45558</v>
      </c>
      <c r="L2339" s="36">
        <v>45559</v>
      </c>
      <c r="M2339" t="s">
        <v>598</v>
      </c>
      <c r="N2339" t="s">
        <v>599</v>
      </c>
      <c r="O2339" s="37" t="str">
        <f t="shared" si="183"/>
        <v>Digital Payment</v>
      </c>
      <c r="P2339">
        <v>79.64</v>
      </c>
      <c r="Q2339" s="37" t="str">
        <f>IF(P2339&gt;500,"High","low")</f>
        <v>low</v>
      </c>
      <c r="R2339" s="37" t="str">
        <f t="shared" si="184"/>
        <v>AVERAGE</v>
      </c>
      <c r="S2339" t="s">
        <v>605</v>
      </c>
    </row>
    <row r="2340" spans="1:19" x14ac:dyDescent="0.2">
      <c r="A2340" t="s">
        <v>2951</v>
      </c>
      <c r="B2340" t="s">
        <v>67</v>
      </c>
      <c r="C2340" t="s">
        <v>597</v>
      </c>
      <c r="D2340">
        <v>1513.37</v>
      </c>
      <c r="E2340" s="37" t="str">
        <f t="shared" si="180"/>
        <v xml:space="preserve"> </v>
      </c>
      <c r="F2340">
        <v>0.22</v>
      </c>
      <c r="G2340" s="37" t="str">
        <f t="shared" si="181"/>
        <v>Normal Discount</v>
      </c>
      <c r="H2340" s="37" t="str">
        <f t="shared" si="182"/>
        <v>Medium</v>
      </c>
      <c r="I2340">
        <v>7</v>
      </c>
      <c r="J2340" t="str" cm="1">
        <f t="array" ref="J2340">_xlfn.IFS(I2340&lt;=3,"small",I2340&lt;=6,"Medium",I2340&lt;=9,"Large")</f>
        <v>Large</v>
      </c>
      <c r="K2340" s="36">
        <v>44994</v>
      </c>
      <c r="L2340" s="36">
        <v>44996</v>
      </c>
      <c r="M2340" t="s">
        <v>603</v>
      </c>
      <c r="N2340" t="s">
        <v>608</v>
      </c>
      <c r="O2340" s="37" t="str">
        <f t="shared" si="183"/>
        <v>Cash Payment</v>
      </c>
      <c r="P2340">
        <v>105.16</v>
      </c>
      <c r="Q2340" s="37" t="str">
        <f>IF(P2340&gt;500,"High","low")</f>
        <v>low</v>
      </c>
      <c r="R2340" s="37" t="str">
        <f t="shared" si="184"/>
        <v>AVERAGE</v>
      </c>
      <c r="S2340" t="s">
        <v>609</v>
      </c>
    </row>
    <row r="2341" spans="1:19" x14ac:dyDescent="0.2">
      <c r="A2341" t="s">
        <v>2952</v>
      </c>
      <c r="B2341" t="s">
        <v>75</v>
      </c>
      <c r="C2341" t="s">
        <v>597</v>
      </c>
      <c r="D2341">
        <v>1248.07</v>
      </c>
      <c r="E2341" s="37" t="str">
        <f t="shared" si="180"/>
        <v xml:space="preserve"> </v>
      </c>
      <c r="F2341">
        <v>0.27</v>
      </c>
      <c r="G2341" s="37" t="str">
        <f t="shared" si="181"/>
        <v>Normal Discount</v>
      </c>
      <c r="H2341" s="37" t="str">
        <f t="shared" si="182"/>
        <v>Medium</v>
      </c>
      <c r="I2341">
        <v>2</v>
      </c>
      <c r="J2341" t="str" cm="1">
        <f t="array" ref="J2341">_xlfn.IFS(I2341&lt;=3,"small",I2341&lt;=6,"Medium",I2341&lt;=9,"Large")</f>
        <v>small</v>
      </c>
      <c r="K2341" s="36">
        <v>45408</v>
      </c>
      <c r="L2341" s="36">
        <v>45413</v>
      </c>
      <c r="M2341" t="s">
        <v>598</v>
      </c>
      <c r="N2341" t="s">
        <v>608</v>
      </c>
      <c r="O2341" s="37" t="str">
        <f t="shared" si="183"/>
        <v>Cash Payment</v>
      </c>
      <c r="P2341">
        <v>158.19</v>
      </c>
      <c r="Q2341" s="37" t="str">
        <f>IF(P2341&gt;500,"High","low")</f>
        <v>low</v>
      </c>
      <c r="R2341" s="37" t="str">
        <f t="shared" si="184"/>
        <v>AVERAGE</v>
      </c>
      <c r="S2341" t="s">
        <v>600</v>
      </c>
    </row>
    <row r="2342" spans="1:19" x14ac:dyDescent="0.2">
      <c r="A2342" t="s">
        <v>2953</v>
      </c>
      <c r="B2342" t="s">
        <v>83</v>
      </c>
      <c r="C2342" t="s">
        <v>602</v>
      </c>
      <c r="D2342">
        <v>814.36</v>
      </c>
      <c r="E2342" s="37" t="str">
        <f t="shared" si="180"/>
        <v xml:space="preserve"> </v>
      </c>
      <c r="F2342">
        <v>0.35</v>
      </c>
      <c r="G2342" s="37" t="str">
        <f t="shared" si="181"/>
        <v>Heavy Discount</v>
      </c>
      <c r="H2342" s="37" t="str">
        <f t="shared" si="182"/>
        <v>Medium</v>
      </c>
      <c r="I2342">
        <v>8</v>
      </c>
      <c r="J2342" t="str" cm="1">
        <f t="array" ref="J2342">_xlfn.IFS(I2342&lt;=3,"small",I2342&lt;=6,"Medium",I2342&lt;=9,"Large")</f>
        <v>Large</v>
      </c>
      <c r="K2342" s="36">
        <v>45022</v>
      </c>
      <c r="L2342" s="36">
        <v>45027</v>
      </c>
      <c r="M2342" t="s">
        <v>598</v>
      </c>
      <c r="N2342" t="s">
        <v>599</v>
      </c>
      <c r="O2342" s="37" t="str">
        <f t="shared" si="183"/>
        <v>Digital Payment</v>
      </c>
      <c r="P2342">
        <v>61.78</v>
      </c>
      <c r="Q2342" s="37" t="str">
        <f>IF(P2342&gt;500,"High","low")</f>
        <v>low</v>
      </c>
      <c r="R2342" s="37" t="str">
        <f t="shared" si="184"/>
        <v>AVERAGE</v>
      </c>
      <c r="S2342" t="s">
        <v>600</v>
      </c>
    </row>
    <row r="2343" spans="1:19" x14ac:dyDescent="0.2">
      <c r="A2343" t="s">
        <v>2954</v>
      </c>
      <c r="B2343" t="s">
        <v>90</v>
      </c>
      <c r="C2343" t="s">
        <v>602</v>
      </c>
      <c r="D2343">
        <v>1883.65</v>
      </c>
      <c r="E2343" s="37" t="str">
        <f t="shared" si="180"/>
        <v xml:space="preserve"> </v>
      </c>
      <c r="F2343">
        <v>0.28999999999999998</v>
      </c>
      <c r="G2343" s="37" t="str">
        <f t="shared" si="181"/>
        <v>Normal Discount</v>
      </c>
      <c r="H2343" s="37" t="str">
        <f t="shared" si="182"/>
        <v>Medium</v>
      </c>
      <c r="I2343">
        <v>6</v>
      </c>
      <c r="J2343" t="str" cm="1">
        <f t="array" ref="J2343">_xlfn.IFS(I2343&lt;=3,"small",I2343&lt;=6,"Medium",I2343&lt;=9,"Large")</f>
        <v>Medium</v>
      </c>
      <c r="K2343" s="36">
        <v>45151</v>
      </c>
      <c r="L2343" s="36">
        <v>45155</v>
      </c>
      <c r="M2343" t="s">
        <v>603</v>
      </c>
      <c r="N2343" t="s">
        <v>608</v>
      </c>
      <c r="O2343" s="37" t="str">
        <f t="shared" si="183"/>
        <v>Cash Payment</v>
      </c>
      <c r="P2343">
        <v>250.34</v>
      </c>
      <c r="Q2343" s="37" t="str">
        <f>IF(P2343&gt;500,"High","low")</f>
        <v>low</v>
      </c>
      <c r="R2343" s="37" t="str">
        <f t="shared" si="184"/>
        <v>AVERAGE</v>
      </c>
      <c r="S2343" t="s">
        <v>620</v>
      </c>
    </row>
    <row r="2344" spans="1:19" x14ac:dyDescent="0.2">
      <c r="A2344" t="s">
        <v>2955</v>
      </c>
      <c r="B2344" t="s">
        <v>75</v>
      </c>
      <c r="C2344" t="s">
        <v>602</v>
      </c>
      <c r="D2344">
        <v>3436.35</v>
      </c>
      <c r="E2344" s="37" t="str">
        <f t="shared" si="180"/>
        <v xml:space="preserve"> </v>
      </c>
      <c r="F2344">
        <v>0.23</v>
      </c>
      <c r="G2344" s="37" t="str">
        <f t="shared" si="181"/>
        <v>Normal Discount</v>
      </c>
      <c r="H2344" s="37" t="str">
        <f t="shared" si="182"/>
        <v>Medium</v>
      </c>
      <c r="I2344">
        <v>9</v>
      </c>
      <c r="J2344" t="str" cm="1">
        <f t="array" ref="J2344">_xlfn.IFS(I2344&lt;=3,"small",I2344&lt;=6,"Medium",I2344&lt;=9,"Large")</f>
        <v>Large</v>
      </c>
      <c r="K2344" s="36">
        <v>45475</v>
      </c>
      <c r="L2344" s="36">
        <v>45476</v>
      </c>
      <c r="M2344" t="s">
        <v>603</v>
      </c>
      <c r="N2344" t="s">
        <v>599</v>
      </c>
      <c r="O2344" s="37" t="str">
        <f t="shared" si="183"/>
        <v>Digital Payment</v>
      </c>
      <c r="P2344">
        <v>653.28</v>
      </c>
      <c r="Q2344" s="37" t="str">
        <f>IF(P2344&gt;500,"High","low")</f>
        <v>High</v>
      </c>
      <c r="R2344" s="37" t="str">
        <f t="shared" si="184"/>
        <v>Good</v>
      </c>
      <c r="S2344" t="s">
        <v>609</v>
      </c>
    </row>
    <row r="2345" spans="1:19" x14ac:dyDescent="0.2">
      <c r="A2345" t="s">
        <v>2956</v>
      </c>
      <c r="B2345" t="s">
        <v>75</v>
      </c>
      <c r="C2345" t="s">
        <v>617</v>
      </c>
      <c r="D2345">
        <v>3736.6</v>
      </c>
      <c r="E2345" s="37" t="str">
        <f t="shared" si="180"/>
        <v xml:space="preserve"> </v>
      </c>
      <c r="F2345">
        <v>0.38</v>
      </c>
      <c r="G2345" s="37" t="str">
        <f t="shared" si="181"/>
        <v>Heavy Discount</v>
      </c>
      <c r="H2345" s="37" t="str">
        <f t="shared" si="182"/>
        <v>Medium</v>
      </c>
      <c r="I2345">
        <v>9</v>
      </c>
      <c r="J2345" t="str" cm="1">
        <f t="array" ref="J2345">_xlfn.IFS(I2345&lt;=3,"small",I2345&lt;=6,"Medium",I2345&lt;=9,"Large")</f>
        <v>Large</v>
      </c>
      <c r="K2345" s="36">
        <v>45272</v>
      </c>
      <c r="L2345" s="36">
        <v>45278</v>
      </c>
      <c r="M2345" t="s">
        <v>612</v>
      </c>
      <c r="N2345" t="s">
        <v>599</v>
      </c>
      <c r="O2345" s="37" t="str">
        <f t="shared" si="183"/>
        <v>Digital Payment</v>
      </c>
      <c r="P2345">
        <v>702.9</v>
      </c>
      <c r="Q2345" s="37" t="str">
        <f>IF(P2345&gt;500,"High","low")</f>
        <v>High</v>
      </c>
      <c r="R2345" s="37" t="str">
        <f t="shared" si="184"/>
        <v>Good</v>
      </c>
      <c r="S2345" t="s">
        <v>609</v>
      </c>
    </row>
    <row r="2346" spans="1:19" x14ac:dyDescent="0.2">
      <c r="A2346" t="s">
        <v>2957</v>
      </c>
      <c r="B2346" t="s">
        <v>75</v>
      </c>
      <c r="C2346" t="s">
        <v>617</v>
      </c>
      <c r="D2346">
        <v>4085.75</v>
      </c>
      <c r="E2346" s="37" t="str">
        <f t="shared" si="180"/>
        <v xml:space="preserve"> </v>
      </c>
      <c r="F2346">
        <v>0.19</v>
      </c>
      <c r="G2346" s="37" t="str">
        <f t="shared" si="181"/>
        <v>Normal Discount</v>
      </c>
      <c r="H2346" s="37" t="str">
        <f t="shared" si="182"/>
        <v>Low</v>
      </c>
      <c r="I2346">
        <v>9</v>
      </c>
      <c r="J2346" t="str" cm="1">
        <f t="array" ref="J2346">_xlfn.IFS(I2346&lt;=3,"small",I2346&lt;=6,"Medium",I2346&lt;=9,"Large")</f>
        <v>Large</v>
      </c>
      <c r="K2346" s="36">
        <v>45149</v>
      </c>
      <c r="L2346" s="36">
        <v>45150</v>
      </c>
      <c r="M2346" t="s">
        <v>612</v>
      </c>
      <c r="N2346" t="s">
        <v>604</v>
      </c>
      <c r="O2346" s="37" t="str">
        <f t="shared" si="183"/>
        <v>Digital Payment</v>
      </c>
      <c r="P2346">
        <v>297.7</v>
      </c>
      <c r="Q2346" s="37" t="str">
        <f>IF(P2346&gt;500,"High","low")</f>
        <v>low</v>
      </c>
      <c r="R2346" s="37" t="str">
        <f t="shared" si="184"/>
        <v>AVERAGE</v>
      </c>
      <c r="S2346" t="s">
        <v>600</v>
      </c>
    </row>
    <row r="2347" spans="1:19" x14ac:dyDescent="0.2">
      <c r="A2347" t="s">
        <v>2958</v>
      </c>
      <c r="B2347" t="s">
        <v>67</v>
      </c>
      <c r="C2347" t="s">
        <v>614</v>
      </c>
      <c r="D2347">
        <v>1067.97</v>
      </c>
      <c r="E2347" s="37" t="str">
        <f t="shared" si="180"/>
        <v xml:space="preserve"> </v>
      </c>
      <c r="F2347">
        <v>0.49</v>
      </c>
      <c r="G2347" s="37" t="str">
        <f t="shared" si="181"/>
        <v>Heavy Discount</v>
      </c>
      <c r="H2347" s="37" t="str">
        <f t="shared" si="182"/>
        <v>High</v>
      </c>
      <c r="I2347">
        <v>9</v>
      </c>
      <c r="J2347" t="str" cm="1">
        <f t="array" ref="J2347">_xlfn.IFS(I2347&lt;=3,"small",I2347&lt;=6,"Medium",I2347&lt;=9,"Large")</f>
        <v>Large</v>
      </c>
      <c r="K2347" s="36">
        <v>45210</v>
      </c>
      <c r="L2347" s="36">
        <v>45216</v>
      </c>
      <c r="M2347" t="s">
        <v>603</v>
      </c>
      <c r="N2347" t="s">
        <v>599</v>
      </c>
      <c r="O2347" s="37" t="str">
        <f t="shared" si="183"/>
        <v>Digital Payment</v>
      </c>
      <c r="P2347">
        <v>72.58</v>
      </c>
      <c r="Q2347" s="37" t="str">
        <f>IF(P2347&gt;500,"High","low")</f>
        <v>low</v>
      </c>
      <c r="R2347" s="37" t="str">
        <f t="shared" si="184"/>
        <v>AVERAGE</v>
      </c>
      <c r="S2347" t="s">
        <v>605</v>
      </c>
    </row>
    <row r="2348" spans="1:19" x14ac:dyDescent="0.2">
      <c r="A2348" t="s">
        <v>2959</v>
      </c>
      <c r="B2348" t="s">
        <v>90</v>
      </c>
      <c r="C2348" t="s">
        <v>602</v>
      </c>
      <c r="D2348">
        <v>274.60000000000002</v>
      </c>
      <c r="E2348" s="37" t="str">
        <f t="shared" si="180"/>
        <v xml:space="preserve"> </v>
      </c>
      <c r="F2348">
        <v>0.47</v>
      </c>
      <c r="G2348" s="37" t="str">
        <f t="shared" si="181"/>
        <v>Heavy Discount</v>
      </c>
      <c r="H2348" s="37" t="str">
        <f t="shared" si="182"/>
        <v>High</v>
      </c>
      <c r="I2348">
        <v>2</v>
      </c>
      <c r="J2348" t="str" cm="1">
        <f t="array" ref="J2348">_xlfn.IFS(I2348&lt;=3,"small",I2348&lt;=6,"Medium",I2348&lt;=9,"Large")</f>
        <v>small</v>
      </c>
      <c r="K2348" s="36">
        <v>45180</v>
      </c>
      <c r="L2348" s="36">
        <v>45184</v>
      </c>
      <c r="M2348" t="s">
        <v>603</v>
      </c>
      <c r="N2348" t="s">
        <v>599</v>
      </c>
      <c r="O2348" s="37" t="str">
        <f t="shared" si="183"/>
        <v>Digital Payment</v>
      </c>
      <c r="P2348">
        <v>16.78</v>
      </c>
      <c r="Q2348" s="37" t="str">
        <f>IF(P2348&gt;500,"High","low")</f>
        <v>low</v>
      </c>
      <c r="R2348" s="37" t="str">
        <f t="shared" si="184"/>
        <v>AVERAGE</v>
      </c>
      <c r="S2348" t="s">
        <v>615</v>
      </c>
    </row>
    <row r="2349" spans="1:19" x14ac:dyDescent="0.2">
      <c r="A2349" t="s">
        <v>2960</v>
      </c>
      <c r="B2349" t="s">
        <v>83</v>
      </c>
      <c r="C2349" t="s">
        <v>607</v>
      </c>
      <c r="D2349">
        <v>4875.96</v>
      </c>
      <c r="E2349" s="37" t="str">
        <f t="shared" si="180"/>
        <v>Excellent Order</v>
      </c>
      <c r="F2349">
        <v>0.35</v>
      </c>
      <c r="G2349" s="37" t="str">
        <f t="shared" si="181"/>
        <v>Heavy Discount</v>
      </c>
      <c r="H2349" s="37" t="str">
        <f t="shared" si="182"/>
        <v>Medium</v>
      </c>
      <c r="I2349">
        <v>7</v>
      </c>
      <c r="J2349" t="str" cm="1">
        <f t="array" ref="J2349">_xlfn.IFS(I2349&lt;=3,"small",I2349&lt;=6,"Medium",I2349&lt;=9,"Large")</f>
        <v>Large</v>
      </c>
      <c r="K2349" s="36">
        <v>45604</v>
      </c>
      <c r="L2349" s="36">
        <v>45611</v>
      </c>
      <c r="M2349" t="s">
        <v>612</v>
      </c>
      <c r="N2349" t="s">
        <v>604</v>
      </c>
      <c r="O2349" s="37" t="str">
        <f t="shared" si="183"/>
        <v>Digital Payment</v>
      </c>
      <c r="P2349">
        <v>1316.13</v>
      </c>
      <c r="Q2349" s="37" t="str">
        <f>IF(P2349&gt;500,"High","low")</f>
        <v>High</v>
      </c>
      <c r="R2349" s="37" t="str">
        <f t="shared" si="184"/>
        <v>Excellent</v>
      </c>
      <c r="S2349" t="s">
        <v>615</v>
      </c>
    </row>
    <row r="2350" spans="1:19" x14ac:dyDescent="0.2">
      <c r="A2350" t="s">
        <v>2961</v>
      </c>
      <c r="B2350" t="s">
        <v>67</v>
      </c>
      <c r="C2350" t="s">
        <v>602</v>
      </c>
      <c r="D2350">
        <v>170.23</v>
      </c>
      <c r="E2350" s="37" t="str">
        <f t="shared" si="180"/>
        <v xml:space="preserve"> </v>
      </c>
      <c r="F2350">
        <v>0.44</v>
      </c>
      <c r="G2350" s="37" t="str">
        <f t="shared" si="181"/>
        <v>Heavy Discount</v>
      </c>
      <c r="H2350" s="37" t="str">
        <f t="shared" si="182"/>
        <v>High</v>
      </c>
      <c r="I2350">
        <v>5</v>
      </c>
      <c r="J2350" t="str" cm="1">
        <f t="array" ref="J2350">_xlfn.IFS(I2350&lt;=3,"small",I2350&lt;=6,"Medium",I2350&lt;=9,"Large")</f>
        <v>Medium</v>
      </c>
      <c r="K2350" s="36">
        <v>45046</v>
      </c>
      <c r="L2350" s="36">
        <v>45052</v>
      </c>
      <c r="M2350" t="s">
        <v>603</v>
      </c>
      <c r="N2350" t="s">
        <v>604</v>
      </c>
      <c r="O2350" s="37" t="str">
        <f t="shared" si="183"/>
        <v>Digital Payment</v>
      </c>
      <c r="P2350">
        <v>40.96</v>
      </c>
      <c r="Q2350" s="37" t="str">
        <f>IF(P2350&gt;500,"High","low")</f>
        <v>low</v>
      </c>
      <c r="R2350" s="37" t="str">
        <f t="shared" si="184"/>
        <v>AVERAGE</v>
      </c>
      <c r="S2350" t="s">
        <v>615</v>
      </c>
    </row>
    <row r="2351" spans="1:19" x14ac:dyDescent="0.2">
      <c r="A2351" t="s">
        <v>2962</v>
      </c>
      <c r="B2351" t="s">
        <v>67</v>
      </c>
      <c r="C2351" t="s">
        <v>617</v>
      </c>
      <c r="D2351">
        <v>4807.33</v>
      </c>
      <c r="E2351" s="37" t="str">
        <f t="shared" si="180"/>
        <v>Excellent Order</v>
      </c>
      <c r="F2351">
        <v>0.2</v>
      </c>
      <c r="G2351" s="37" t="str">
        <f t="shared" si="181"/>
        <v>Normal Discount</v>
      </c>
      <c r="H2351" s="37" t="str">
        <f t="shared" si="182"/>
        <v>Medium</v>
      </c>
      <c r="I2351">
        <v>9</v>
      </c>
      <c r="J2351" t="str" cm="1">
        <f t="array" ref="J2351">_xlfn.IFS(I2351&lt;=3,"small",I2351&lt;=6,"Medium",I2351&lt;=9,"Large")</f>
        <v>Large</v>
      </c>
      <c r="K2351" s="36">
        <v>45064</v>
      </c>
      <c r="L2351" s="36">
        <v>45071</v>
      </c>
      <c r="M2351" t="s">
        <v>598</v>
      </c>
      <c r="N2351" t="s">
        <v>604</v>
      </c>
      <c r="O2351" s="37" t="str">
        <f t="shared" si="183"/>
        <v>Digital Payment</v>
      </c>
      <c r="P2351">
        <v>1230.27</v>
      </c>
      <c r="Q2351" s="37" t="str">
        <f>IF(P2351&gt;500,"High","low")</f>
        <v>High</v>
      </c>
      <c r="R2351" s="37" t="str">
        <f t="shared" si="184"/>
        <v>Excellent</v>
      </c>
      <c r="S2351" t="s">
        <v>609</v>
      </c>
    </row>
    <row r="2352" spans="1:19" x14ac:dyDescent="0.2">
      <c r="A2352" t="s">
        <v>2963</v>
      </c>
      <c r="B2352" t="s">
        <v>67</v>
      </c>
      <c r="C2352" t="s">
        <v>602</v>
      </c>
      <c r="D2352">
        <v>4161.1899999999996</v>
      </c>
      <c r="E2352" s="37" t="str">
        <f t="shared" si="180"/>
        <v xml:space="preserve"> </v>
      </c>
      <c r="F2352">
        <v>0.28999999999999998</v>
      </c>
      <c r="G2352" s="37" t="str">
        <f t="shared" si="181"/>
        <v>Normal Discount</v>
      </c>
      <c r="H2352" s="37" t="str">
        <f t="shared" si="182"/>
        <v>Medium</v>
      </c>
      <c r="I2352">
        <v>1</v>
      </c>
      <c r="J2352" t="str" cm="1">
        <f t="array" ref="J2352">_xlfn.IFS(I2352&lt;=3,"small",I2352&lt;=6,"Medium",I2352&lt;=9,"Large")</f>
        <v>small</v>
      </c>
      <c r="K2352" s="36">
        <v>45254</v>
      </c>
      <c r="L2352" s="36">
        <v>45256</v>
      </c>
      <c r="M2352" t="s">
        <v>598</v>
      </c>
      <c r="N2352" t="s">
        <v>604</v>
      </c>
      <c r="O2352" s="37" t="str">
        <f t="shared" si="183"/>
        <v>Digital Payment</v>
      </c>
      <c r="P2352">
        <v>227.56</v>
      </c>
      <c r="Q2352" s="37" t="str">
        <f>IF(P2352&gt;500,"High","low")</f>
        <v>low</v>
      </c>
      <c r="R2352" s="37" t="str">
        <f t="shared" si="184"/>
        <v>AVERAGE</v>
      </c>
      <c r="S2352" t="s">
        <v>600</v>
      </c>
    </row>
    <row r="2353" spans="1:19" x14ac:dyDescent="0.2">
      <c r="A2353" t="s">
        <v>2964</v>
      </c>
      <c r="B2353" t="s">
        <v>75</v>
      </c>
      <c r="C2353" t="s">
        <v>617</v>
      </c>
      <c r="D2353">
        <v>4569.17</v>
      </c>
      <c r="E2353" s="37" t="str">
        <f t="shared" si="180"/>
        <v>Excellent Order</v>
      </c>
      <c r="F2353">
        <v>0.14000000000000001</v>
      </c>
      <c r="G2353" s="37" t="str">
        <f t="shared" si="181"/>
        <v>Normal Discount</v>
      </c>
      <c r="H2353" s="37" t="str">
        <f t="shared" si="182"/>
        <v>Low</v>
      </c>
      <c r="I2353">
        <v>7</v>
      </c>
      <c r="J2353" t="str" cm="1">
        <f t="array" ref="J2353">_xlfn.IFS(I2353&lt;=3,"small",I2353&lt;=6,"Medium",I2353&lt;=9,"Large")</f>
        <v>Large</v>
      </c>
      <c r="K2353" s="36">
        <v>45521</v>
      </c>
      <c r="L2353" s="36">
        <v>45528</v>
      </c>
      <c r="M2353" t="s">
        <v>612</v>
      </c>
      <c r="N2353" t="s">
        <v>604</v>
      </c>
      <c r="O2353" s="37" t="str">
        <f t="shared" si="183"/>
        <v>Digital Payment</v>
      </c>
      <c r="P2353">
        <v>1048.68</v>
      </c>
      <c r="Q2353" s="37" t="str">
        <f>IF(P2353&gt;500,"High","low")</f>
        <v>High</v>
      </c>
      <c r="R2353" s="37" t="str">
        <f t="shared" si="184"/>
        <v>Excellent</v>
      </c>
      <c r="S2353" t="s">
        <v>605</v>
      </c>
    </row>
    <row r="2354" spans="1:19" x14ac:dyDescent="0.2">
      <c r="A2354" t="s">
        <v>2965</v>
      </c>
      <c r="B2354" t="s">
        <v>90</v>
      </c>
      <c r="C2354" t="s">
        <v>602</v>
      </c>
      <c r="D2354">
        <v>1997.21</v>
      </c>
      <c r="E2354" s="37" t="str">
        <f t="shared" si="180"/>
        <v xml:space="preserve"> </v>
      </c>
      <c r="F2354">
        <v>0.44</v>
      </c>
      <c r="G2354" s="37" t="str">
        <f t="shared" si="181"/>
        <v>Heavy Discount</v>
      </c>
      <c r="H2354" s="37" t="str">
        <f t="shared" si="182"/>
        <v>High</v>
      </c>
      <c r="I2354">
        <v>5</v>
      </c>
      <c r="J2354" t="str" cm="1">
        <f t="array" ref="J2354">_xlfn.IFS(I2354&lt;=3,"small",I2354&lt;=6,"Medium",I2354&lt;=9,"Large")</f>
        <v>Medium</v>
      </c>
      <c r="K2354" s="36">
        <v>45466</v>
      </c>
      <c r="L2354" s="36">
        <v>45467</v>
      </c>
      <c r="M2354" t="s">
        <v>598</v>
      </c>
      <c r="N2354" t="s">
        <v>608</v>
      </c>
      <c r="O2354" s="37" t="str">
        <f t="shared" si="183"/>
        <v>Cash Payment</v>
      </c>
      <c r="P2354">
        <v>416.16</v>
      </c>
      <c r="Q2354" s="37" t="str">
        <f>IF(P2354&gt;500,"High","low")</f>
        <v>low</v>
      </c>
      <c r="R2354" s="37" t="str">
        <f t="shared" si="184"/>
        <v>AVERAGE</v>
      </c>
      <c r="S2354" t="s">
        <v>628</v>
      </c>
    </row>
    <row r="2355" spans="1:19" x14ac:dyDescent="0.2">
      <c r="A2355" t="s">
        <v>2966</v>
      </c>
      <c r="B2355" t="s">
        <v>67</v>
      </c>
      <c r="C2355" t="s">
        <v>607</v>
      </c>
      <c r="D2355">
        <v>1066.29</v>
      </c>
      <c r="E2355" s="37" t="str">
        <f t="shared" si="180"/>
        <v xml:space="preserve"> </v>
      </c>
      <c r="F2355">
        <v>0.24</v>
      </c>
      <c r="G2355" s="37" t="str">
        <f t="shared" si="181"/>
        <v>Normal Discount</v>
      </c>
      <c r="H2355" s="37" t="str">
        <f t="shared" si="182"/>
        <v>Medium</v>
      </c>
      <c r="I2355">
        <v>9</v>
      </c>
      <c r="J2355" t="str" cm="1">
        <f t="array" ref="J2355">_xlfn.IFS(I2355&lt;=3,"small",I2355&lt;=6,"Medium",I2355&lt;=9,"Large")</f>
        <v>Large</v>
      </c>
      <c r="K2355" s="36">
        <v>45635</v>
      </c>
      <c r="L2355" s="36">
        <v>45642</v>
      </c>
      <c r="M2355" t="s">
        <v>598</v>
      </c>
      <c r="N2355" t="s">
        <v>604</v>
      </c>
      <c r="O2355" s="37" t="str">
        <f t="shared" si="183"/>
        <v>Digital Payment</v>
      </c>
      <c r="P2355">
        <v>79.19</v>
      </c>
      <c r="Q2355" s="37" t="str">
        <f>IF(P2355&gt;500,"High","low")</f>
        <v>low</v>
      </c>
      <c r="R2355" s="37" t="str">
        <f t="shared" si="184"/>
        <v>AVERAGE</v>
      </c>
      <c r="S2355" t="s">
        <v>600</v>
      </c>
    </row>
    <row r="2356" spans="1:19" x14ac:dyDescent="0.2">
      <c r="A2356" t="s">
        <v>2967</v>
      </c>
      <c r="B2356" t="s">
        <v>83</v>
      </c>
      <c r="C2356" t="s">
        <v>614</v>
      </c>
      <c r="D2356">
        <v>3071.67</v>
      </c>
      <c r="E2356" s="37" t="str">
        <f t="shared" si="180"/>
        <v xml:space="preserve"> </v>
      </c>
      <c r="F2356">
        <v>0.27</v>
      </c>
      <c r="G2356" s="37" t="str">
        <f t="shared" si="181"/>
        <v>Normal Discount</v>
      </c>
      <c r="H2356" s="37" t="str">
        <f t="shared" si="182"/>
        <v>Medium</v>
      </c>
      <c r="I2356">
        <v>7</v>
      </c>
      <c r="J2356" t="str" cm="1">
        <f t="array" ref="J2356">_xlfn.IFS(I2356&lt;=3,"small",I2356&lt;=6,"Medium",I2356&lt;=9,"Large")</f>
        <v>Large</v>
      </c>
      <c r="K2356" s="36">
        <v>45014</v>
      </c>
      <c r="L2356" s="36">
        <v>45018</v>
      </c>
      <c r="M2356" t="s">
        <v>612</v>
      </c>
      <c r="N2356" t="s">
        <v>599</v>
      </c>
      <c r="O2356" s="37" t="str">
        <f t="shared" si="183"/>
        <v>Digital Payment</v>
      </c>
      <c r="P2356">
        <v>600.6</v>
      </c>
      <c r="Q2356" s="37" t="str">
        <f>IF(P2356&gt;500,"High","low")</f>
        <v>High</v>
      </c>
      <c r="R2356" s="37" t="str">
        <f t="shared" si="184"/>
        <v>Good</v>
      </c>
      <c r="S2356" t="s">
        <v>620</v>
      </c>
    </row>
    <row r="2357" spans="1:19" x14ac:dyDescent="0.2">
      <c r="A2357" t="s">
        <v>2968</v>
      </c>
      <c r="B2357" t="s">
        <v>90</v>
      </c>
      <c r="C2357" t="s">
        <v>607</v>
      </c>
      <c r="D2357">
        <v>3732.13</v>
      </c>
      <c r="E2357" s="37" t="str">
        <f t="shared" si="180"/>
        <v xml:space="preserve"> </v>
      </c>
      <c r="F2357">
        <v>0.43</v>
      </c>
      <c r="G2357" s="37" t="str">
        <f t="shared" si="181"/>
        <v>Heavy Discount</v>
      </c>
      <c r="H2357" s="37" t="str">
        <f t="shared" si="182"/>
        <v>High</v>
      </c>
      <c r="I2357">
        <v>4</v>
      </c>
      <c r="J2357" t="str" cm="1">
        <f t="array" ref="J2357">_xlfn.IFS(I2357&lt;=3,"small",I2357&lt;=6,"Medium",I2357&lt;=9,"Large")</f>
        <v>Medium</v>
      </c>
      <c r="K2357" s="36">
        <v>45299</v>
      </c>
      <c r="L2357" s="36">
        <v>45303</v>
      </c>
      <c r="M2357" t="s">
        <v>598</v>
      </c>
      <c r="N2357" t="s">
        <v>599</v>
      </c>
      <c r="O2357" s="37" t="str">
        <f t="shared" si="183"/>
        <v>Digital Payment</v>
      </c>
      <c r="P2357">
        <v>246.23</v>
      </c>
      <c r="Q2357" s="37" t="str">
        <f>IF(P2357&gt;500,"High","low")</f>
        <v>low</v>
      </c>
      <c r="R2357" s="37" t="str">
        <f t="shared" si="184"/>
        <v>AVERAGE</v>
      </c>
      <c r="S2357" t="s">
        <v>615</v>
      </c>
    </row>
    <row r="2358" spans="1:19" x14ac:dyDescent="0.2">
      <c r="A2358" t="s">
        <v>2969</v>
      </c>
      <c r="B2358" t="s">
        <v>83</v>
      </c>
      <c r="C2358" t="s">
        <v>617</v>
      </c>
      <c r="D2358">
        <v>741.22</v>
      </c>
      <c r="E2358" s="37" t="str">
        <f t="shared" si="180"/>
        <v xml:space="preserve"> </v>
      </c>
      <c r="F2358">
        <v>0.4</v>
      </c>
      <c r="G2358" s="37" t="str">
        <f t="shared" si="181"/>
        <v>Heavy Discount</v>
      </c>
      <c r="H2358" s="37" t="str">
        <f t="shared" si="182"/>
        <v>Medium</v>
      </c>
      <c r="I2358">
        <v>8</v>
      </c>
      <c r="J2358" t="str" cm="1">
        <f t="array" ref="J2358">_xlfn.IFS(I2358&lt;=3,"small",I2358&lt;=6,"Medium",I2358&lt;=9,"Large")</f>
        <v>Large</v>
      </c>
      <c r="K2358" s="36">
        <v>45560</v>
      </c>
      <c r="L2358" s="36">
        <v>45567</v>
      </c>
      <c r="M2358" t="s">
        <v>612</v>
      </c>
      <c r="N2358" t="s">
        <v>604</v>
      </c>
      <c r="O2358" s="37" t="str">
        <f t="shared" si="183"/>
        <v>Digital Payment</v>
      </c>
      <c r="P2358">
        <v>121.06</v>
      </c>
      <c r="Q2358" s="37" t="str">
        <f>IF(P2358&gt;500,"High","low")</f>
        <v>low</v>
      </c>
      <c r="R2358" s="37" t="str">
        <f t="shared" si="184"/>
        <v>AVERAGE</v>
      </c>
      <c r="S2358" t="s">
        <v>615</v>
      </c>
    </row>
    <row r="2359" spans="1:19" x14ac:dyDescent="0.2">
      <c r="A2359" t="s">
        <v>2970</v>
      </c>
      <c r="B2359" t="s">
        <v>90</v>
      </c>
      <c r="C2359" t="s">
        <v>597</v>
      </c>
      <c r="D2359">
        <v>4008.35</v>
      </c>
      <c r="E2359" s="37" t="str">
        <f t="shared" si="180"/>
        <v>Excellent Order</v>
      </c>
      <c r="F2359">
        <v>0.16</v>
      </c>
      <c r="G2359" s="37" t="str">
        <f t="shared" si="181"/>
        <v>Normal Discount</v>
      </c>
      <c r="H2359" s="37" t="str">
        <f t="shared" si="182"/>
        <v>Low</v>
      </c>
      <c r="I2359">
        <v>9</v>
      </c>
      <c r="J2359" t="str" cm="1">
        <f t="array" ref="J2359">_xlfn.IFS(I2359&lt;=3,"small",I2359&lt;=6,"Medium",I2359&lt;=9,"Large")</f>
        <v>Large</v>
      </c>
      <c r="K2359" s="36">
        <v>45317</v>
      </c>
      <c r="L2359" s="36">
        <v>45318</v>
      </c>
      <c r="M2359" t="s">
        <v>598</v>
      </c>
      <c r="N2359" t="s">
        <v>608</v>
      </c>
      <c r="O2359" s="37" t="str">
        <f t="shared" si="183"/>
        <v>Cash Payment</v>
      </c>
      <c r="P2359">
        <v>885.48</v>
      </c>
      <c r="Q2359" s="37" t="str">
        <f>IF(P2359&gt;500,"High","low")</f>
        <v>High</v>
      </c>
      <c r="R2359" s="37" t="str">
        <f t="shared" si="184"/>
        <v>Good</v>
      </c>
      <c r="S2359" t="s">
        <v>605</v>
      </c>
    </row>
    <row r="2360" spans="1:19" x14ac:dyDescent="0.2">
      <c r="A2360" t="s">
        <v>2971</v>
      </c>
      <c r="B2360" t="s">
        <v>83</v>
      </c>
      <c r="C2360" t="s">
        <v>607</v>
      </c>
      <c r="D2360">
        <v>1122.1099999999999</v>
      </c>
      <c r="E2360" s="37" t="str">
        <f t="shared" si="180"/>
        <v xml:space="preserve"> </v>
      </c>
      <c r="F2360">
        <v>0.04</v>
      </c>
      <c r="G2360" s="37" t="str">
        <f t="shared" si="181"/>
        <v>Normal Discount</v>
      </c>
      <c r="H2360" s="37" t="str">
        <f t="shared" si="182"/>
        <v>Low</v>
      </c>
      <c r="I2360">
        <v>9</v>
      </c>
      <c r="J2360" t="str" cm="1">
        <f t="array" ref="J2360">_xlfn.IFS(I2360&lt;=3,"small",I2360&lt;=6,"Medium",I2360&lt;=9,"Large")</f>
        <v>Large</v>
      </c>
      <c r="K2360" s="36">
        <v>45266</v>
      </c>
      <c r="L2360" s="36">
        <v>45269</v>
      </c>
      <c r="M2360" t="s">
        <v>603</v>
      </c>
      <c r="N2360" t="s">
        <v>608</v>
      </c>
      <c r="O2360" s="37" t="str">
        <f t="shared" si="183"/>
        <v>Cash Payment</v>
      </c>
      <c r="P2360">
        <v>73.33</v>
      </c>
      <c r="Q2360" s="37" t="str">
        <f>IF(P2360&gt;500,"High","low")</f>
        <v>low</v>
      </c>
      <c r="R2360" s="37" t="str">
        <f t="shared" si="184"/>
        <v>AVERAGE</v>
      </c>
      <c r="S2360" t="s">
        <v>609</v>
      </c>
    </row>
    <row r="2361" spans="1:19" x14ac:dyDescent="0.2">
      <c r="A2361" t="s">
        <v>2972</v>
      </c>
      <c r="B2361" t="s">
        <v>75</v>
      </c>
      <c r="C2361" t="s">
        <v>602</v>
      </c>
      <c r="D2361">
        <v>2509.2199999999998</v>
      </c>
      <c r="E2361" s="37" t="str">
        <f t="shared" si="180"/>
        <v xml:space="preserve"> </v>
      </c>
      <c r="F2361">
        <v>0.08</v>
      </c>
      <c r="G2361" s="37" t="str">
        <f t="shared" si="181"/>
        <v>Normal Discount</v>
      </c>
      <c r="H2361" s="37" t="str">
        <f t="shared" si="182"/>
        <v>Low</v>
      </c>
      <c r="I2361">
        <v>4</v>
      </c>
      <c r="J2361" t="str" cm="1">
        <f t="array" ref="J2361">_xlfn.IFS(I2361&lt;=3,"small",I2361&lt;=6,"Medium",I2361&lt;=9,"Large")</f>
        <v>Medium</v>
      </c>
      <c r="K2361" s="36">
        <v>45440</v>
      </c>
      <c r="L2361" s="36">
        <v>45446</v>
      </c>
      <c r="M2361" t="s">
        <v>598</v>
      </c>
      <c r="N2361" t="s">
        <v>599</v>
      </c>
      <c r="O2361" s="37" t="str">
        <f t="shared" si="183"/>
        <v>Digital Payment</v>
      </c>
      <c r="P2361">
        <v>446.11</v>
      </c>
      <c r="Q2361" s="37" t="str">
        <f>IF(P2361&gt;500,"High","low")</f>
        <v>low</v>
      </c>
      <c r="R2361" s="37" t="str">
        <f t="shared" si="184"/>
        <v>AVERAGE</v>
      </c>
      <c r="S2361" t="s">
        <v>620</v>
      </c>
    </row>
    <row r="2362" spans="1:19" x14ac:dyDescent="0.2">
      <c r="A2362" t="s">
        <v>2973</v>
      </c>
      <c r="B2362" t="s">
        <v>67</v>
      </c>
      <c r="C2362" t="s">
        <v>614</v>
      </c>
      <c r="D2362">
        <v>4296.76</v>
      </c>
      <c r="E2362" s="37" t="str">
        <f t="shared" si="180"/>
        <v>Excellent Order</v>
      </c>
      <c r="F2362">
        <v>0.17</v>
      </c>
      <c r="G2362" s="37" t="str">
        <f t="shared" si="181"/>
        <v>Normal Discount</v>
      </c>
      <c r="H2362" s="37" t="str">
        <f t="shared" si="182"/>
        <v>Low</v>
      </c>
      <c r="I2362">
        <v>6</v>
      </c>
      <c r="J2362" t="str" cm="1">
        <f t="array" ref="J2362">_xlfn.IFS(I2362&lt;=3,"small",I2362&lt;=6,"Medium",I2362&lt;=9,"Large")</f>
        <v>Medium</v>
      </c>
      <c r="K2362" s="36">
        <v>45192</v>
      </c>
      <c r="L2362" s="36">
        <v>45194</v>
      </c>
      <c r="M2362" t="s">
        <v>612</v>
      </c>
      <c r="N2362" t="s">
        <v>599</v>
      </c>
      <c r="O2362" s="37" t="str">
        <f t="shared" si="183"/>
        <v>Digital Payment</v>
      </c>
      <c r="P2362">
        <v>956.26</v>
      </c>
      <c r="Q2362" s="37" t="str">
        <f>IF(P2362&gt;500,"High","low")</f>
        <v>High</v>
      </c>
      <c r="R2362" s="37" t="str">
        <f t="shared" si="184"/>
        <v>Good</v>
      </c>
      <c r="S2362" t="s">
        <v>605</v>
      </c>
    </row>
    <row r="2363" spans="1:19" x14ac:dyDescent="0.2">
      <c r="A2363" t="s">
        <v>2974</v>
      </c>
      <c r="B2363" t="s">
        <v>83</v>
      </c>
      <c r="C2363" t="s">
        <v>602</v>
      </c>
      <c r="D2363">
        <v>1047.78</v>
      </c>
      <c r="E2363" s="37" t="str">
        <f t="shared" si="180"/>
        <v xml:space="preserve"> </v>
      </c>
      <c r="F2363">
        <v>0.15</v>
      </c>
      <c r="G2363" s="37" t="str">
        <f t="shared" si="181"/>
        <v>Normal Discount</v>
      </c>
      <c r="H2363" s="37" t="str">
        <f t="shared" si="182"/>
        <v>Low</v>
      </c>
      <c r="I2363">
        <v>4</v>
      </c>
      <c r="J2363" t="str" cm="1">
        <f t="array" ref="J2363">_xlfn.IFS(I2363&lt;=3,"small",I2363&lt;=6,"Medium",I2363&lt;=9,"Large")</f>
        <v>Medium</v>
      </c>
      <c r="K2363" s="36">
        <v>45008</v>
      </c>
      <c r="L2363" s="36">
        <v>45011</v>
      </c>
      <c r="M2363" t="s">
        <v>598</v>
      </c>
      <c r="N2363" t="s">
        <v>599</v>
      </c>
      <c r="O2363" s="37" t="str">
        <f t="shared" si="183"/>
        <v>Digital Payment</v>
      </c>
      <c r="P2363">
        <v>65.64</v>
      </c>
      <c r="Q2363" s="37" t="str">
        <f>IF(P2363&gt;500,"High","low")</f>
        <v>low</v>
      </c>
      <c r="R2363" s="37" t="str">
        <f t="shared" si="184"/>
        <v>AVERAGE</v>
      </c>
      <c r="S2363" t="s">
        <v>600</v>
      </c>
    </row>
    <row r="2364" spans="1:19" x14ac:dyDescent="0.2">
      <c r="A2364" t="s">
        <v>2975</v>
      </c>
      <c r="B2364" t="s">
        <v>90</v>
      </c>
      <c r="C2364" t="s">
        <v>602</v>
      </c>
      <c r="D2364">
        <v>1285.23</v>
      </c>
      <c r="E2364" s="37" t="str">
        <f t="shared" si="180"/>
        <v xml:space="preserve"> </v>
      </c>
      <c r="F2364">
        <v>0.02</v>
      </c>
      <c r="G2364" s="37" t="str">
        <f t="shared" si="181"/>
        <v>Normal Discount</v>
      </c>
      <c r="H2364" s="37" t="str">
        <f t="shared" si="182"/>
        <v>Low</v>
      </c>
      <c r="I2364">
        <v>1</v>
      </c>
      <c r="J2364" t="str" cm="1">
        <f t="array" ref="J2364">_xlfn.IFS(I2364&lt;=3,"small",I2364&lt;=6,"Medium",I2364&lt;=9,"Large")</f>
        <v>small</v>
      </c>
      <c r="K2364" s="36">
        <v>45324</v>
      </c>
      <c r="L2364" s="36">
        <v>45327</v>
      </c>
      <c r="M2364" t="s">
        <v>612</v>
      </c>
      <c r="N2364" t="s">
        <v>608</v>
      </c>
      <c r="O2364" s="37" t="str">
        <f t="shared" si="183"/>
        <v>Cash Payment</v>
      </c>
      <c r="P2364">
        <v>343.87</v>
      </c>
      <c r="Q2364" s="37" t="str">
        <f>IF(P2364&gt;500,"High","low")</f>
        <v>low</v>
      </c>
      <c r="R2364" s="37" t="str">
        <f t="shared" si="184"/>
        <v>AVERAGE</v>
      </c>
      <c r="S2364" t="s">
        <v>605</v>
      </c>
    </row>
    <row r="2365" spans="1:19" x14ac:dyDescent="0.2">
      <c r="A2365" t="s">
        <v>2976</v>
      </c>
      <c r="B2365" t="s">
        <v>67</v>
      </c>
      <c r="C2365" t="s">
        <v>607</v>
      </c>
      <c r="D2365">
        <v>407.58</v>
      </c>
      <c r="E2365" s="37" t="str">
        <f t="shared" si="180"/>
        <v xml:space="preserve"> </v>
      </c>
      <c r="F2365">
        <v>0.22</v>
      </c>
      <c r="G2365" s="37" t="str">
        <f t="shared" si="181"/>
        <v>Normal Discount</v>
      </c>
      <c r="H2365" s="37" t="str">
        <f t="shared" si="182"/>
        <v>Medium</v>
      </c>
      <c r="I2365">
        <v>6</v>
      </c>
      <c r="J2365" t="str" cm="1">
        <f t="array" ref="J2365">_xlfn.IFS(I2365&lt;=3,"small",I2365&lt;=6,"Medium",I2365&lt;=9,"Large")</f>
        <v>Medium</v>
      </c>
      <c r="K2365" s="36">
        <v>45640</v>
      </c>
      <c r="L2365" s="36">
        <v>45646</v>
      </c>
      <c r="M2365" t="s">
        <v>612</v>
      </c>
      <c r="N2365" t="s">
        <v>608</v>
      </c>
      <c r="O2365" s="37" t="str">
        <f t="shared" si="183"/>
        <v>Cash Payment</v>
      </c>
      <c r="P2365">
        <v>56.5</v>
      </c>
      <c r="Q2365" s="37" t="str">
        <f>IF(P2365&gt;500,"High","low")</f>
        <v>low</v>
      </c>
      <c r="R2365" s="37" t="str">
        <f t="shared" si="184"/>
        <v>AVERAGE</v>
      </c>
      <c r="S2365" t="s">
        <v>609</v>
      </c>
    </row>
    <row r="2366" spans="1:19" x14ac:dyDescent="0.2">
      <c r="A2366" t="s">
        <v>2977</v>
      </c>
      <c r="B2366" t="s">
        <v>67</v>
      </c>
      <c r="C2366" t="s">
        <v>614</v>
      </c>
      <c r="D2366">
        <v>818.41</v>
      </c>
      <c r="E2366" s="37" t="str">
        <f t="shared" si="180"/>
        <v xml:space="preserve"> </v>
      </c>
      <c r="F2366">
        <v>0.05</v>
      </c>
      <c r="G2366" s="37" t="str">
        <f t="shared" si="181"/>
        <v>Normal Discount</v>
      </c>
      <c r="H2366" s="37" t="str">
        <f t="shared" si="182"/>
        <v>Low</v>
      </c>
      <c r="I2366">
        <v>8</v>
      </c>
      <c r="J2366" t="str" cm="1">
        <f t="array" ref="J2366">_xlfn.IFS(I2366&lt;=3,"small",I2366&lt;=6,"Medium",I2366&lt;=9,"Large")</f>
        <v>Large</v>
      </c>
      <c r="K2366" s="36">
        <v>45284</v>
      </c>
      <c r="L2366" s="36">
        <v>45286</v>
      </c>
      <c r="M2366" t="s">
        <v>612</v>
      </c>
      <c r="N2366" t="s">
        <v>608</v>
      </c>
      <c r="O2366" s="37" t="str">
        <f t="shared" si="183"/>
        <v>Cash Payment</v>
      </c>
      <c r="P2366">
        <v>105.25</v>
      </c>
      <c r="Q2366" s="37" t="str">
        <f>IF(P2366&gt;500,"High","low")</f>
        <v>low</v>
      </c>
      <c r="R2366" s="37" t="str">
        <f t="shared" si="184"/>
        <v>AVERAGE</v>
      </c>
      <c r="S2366" t="s">
        <v>628</v>
      </c>
    </row>
    <row r="2367" spans="1:19" x14ac:dyDescent="0.2">
      <c r="A2367" t="s">
        <v>2978</v>
      </c>
      <c r="B2367" t="s">
        <v>90</v>
      </c>
      <c r="C2367" t="s">
        <v>597</v>
      </c>
      <c r="D2367">
        <v>817.98</v>
      </c>
      <c r="E2367" s="37" t="str">
        <f t="shared" si="180"/>
        <v xml:space="preserve"> </v>
      </c>
      <c r="F2367">
        <v>0.11</v>
      </c>
      <c r="G2367" s="37" t="str">
        <f t="shared" si="181"/>
        <v>Normal Discount</v>
      </c>
      <c r="H2367" s="37" t="str">
        <f t="shared" si="182"/>
        <v>Low</v>
      </c>
      <c r="I2367">
        <v>6</v>
      </c>
      <c r="J2367" t="str" cm="1">
        <f t="array" ref="J2367">_xlfn.IFS(I2367&lt;=3,"small",I2367&lt;=6,"Medium",I2367&lt;=9,"Large")</f>
        <v>Medium</v>
      </c>
      <c r="K2367" s="36">
        <v>45107</v>
      </c>
      <c r="L2367" s="36">
        <v>45114</v>
      </c>
      <c r="M2367" t="s">
        <v>598</v>
      </c>
      <c r="N2367" t="s">
        <v>608</v>
      </c>
      <c r="O2367" s="37" t="str">
        <f t="shared" si="183"/>
        <v>Cash Payment</v>
      </c>
      <c r="P2367">
        <v>65.739999999999995</v>
      </c>
      <c r="Q2367" s="37" t="str">
        <f>IF(P2367&gt;500,"High","low")</f>
        <v>low</v>
      </c>
      <c r="R2367" s="37" t="str">
        <f t="shared" si="184"/>
        <v>AVERAGE</v>
      </c>
      <c r="S2367" t="s">
        <v>615</v>
      </c>
    </row>
    <row r="2368" spans="1:19" x14ac:dyDescent="0.2">
      <c r="A2368" t="s">
        <v>2979</v>
      </c>
      <c r="B2368" t="s">
        <v>83</v>
      </c>
      <c r="C2368" t="s">
        <v>602</v>
      </c>
      <c r="D2368">
        <v>1096.79</v>
      </c>
      <c r="E2368" s="37" t="str">
        <f t="shared" si="180"/>
        <v xml:space="preserve"> </v>
      </c>
      <c r="F2368">
        <v>0.39</v>
      </c>
      <c r="G2368" s="37" t="str">
        <f t="shared" si="181"/>
        <v>Heavy Discount</v>
      </c>
      <c r="H2368" s="37" t="str">
        <f t="shared" si="182"/>
        <v>Medium</v>
      </c>
      <c r="I2368">
        <v>3</v>
      </c>
      <c r="J2368" t="str" cm="1">
        <f t="array" ref="J2368">_xlfn.IFS(I2368&lt;=3,"small",I2368&lt;=6,"Medium",I2368&lt;=9,"Large")</f>
        <v>small</v>
      </c>
      <c r="K2368" s="36">
        <v>45441</v>
      </c>
      <c r="L2368" s="36">
        <v>45446</v>
      </c>
      <c r="M2368" t="s">
        <v>603</v>
      </c>
      <c r="N2368" t="s">
        <v>608</v>
      </c>
      <c r="O2368" s="37" t="str">
        <f t="shared" si="183"/>
        <v>Cash Payment</v>
      </c>
      <c r="P2368">
        <v>325.02</v>
      </c>
      <c r="Q2368" s="37" t="str">
        <f>IF(P2368&gt;500,"High","low")</f>
        <v>low</v>
      </c>
      <c r="R2368" s="37" t="str">
        <f t="shared" si="184"/>
        <v>AVERAGE</v>
      </c>
      <c r="S2368" t="s">
        <v>628</v>
      </c>
    </row>
    <row r="2369" spans="1:19" x14ac:dyDescent="0.2">
      <c r="A2369" t="s">
        <v>2980</v>
      </c>
      <c r="B2369" t="s">
        <v>75</v>
      </c>
      <c r="C2369" t="s">
        <v>614</v>
      </c>
      <c r="D2369">
        <v>1502.38</v>
      </c>
      <c r="E2369" s="37" t="str">
        <f t="shared" si="180"/>
        <v xml:space="preserve"> </v>
      </c>
      <c r="F2369">
        <v>0.25</v>
      </c>
      <c r="G2369" s="37" t="str">
        <f t="shared" si="181"/>
        <v>Normal Discount</v>
      </c>
      <c r="H2369" s="37" t="str">
        <f t="shared" si="182"/>
        <v>Medium</v>
      </c>
      <c r="I2369">
        <v>8</v>
      </c>
      <c r="J2369" t="str" cm="1">
        <f t="array" ref="J2369">_xlfn.IFS(I2369&lt;=3,"small",I2369&lt;=6,"Medium",I2369&lt;=9,"Large")</f>
        <v>Large</v>
      </c>
      <c r="K2369" s="36">
        <v>45486</v>
      </c>
      <c r="L2369" s="36">
        <v>45487</v>
      </c>
      <c r="M2369" t="s">
        <v>598</v>
      </c>
      <c r="N2369" t="s">
        <v>604</v>
      </c>
      <c r="O2369" s="37" t="str">
        <f t="shared" si="183"/>
        <v>Digital Payment</v>
      </c>
      <c r="P2369">
        <v>292.29000000000002</v>
      </c>
      <c r="Q2369" s="37" t="str">
        <f>IF(P2369&gt;500,"High","low")</f>
        <v>low</v>
      </c>
      <c r="R2369" s="37" t="str">
        <f t="shared" si="184"/>
        <v>AVERAGE</v>
      </c>
      <c r="S2369" t="s">
        <v>605</v>
      </c>
    </row>
    <row r="2370" spans="1:19" x14ac:dyDescent="0.2">
      <c r="A2370" t="s">
        <v>2981</v>
      </c>
      <c r="B2370" t="s">
        <v>75</v>
      </c>
      <c r="C2370" t="s">
        <v>597</v>
      </c>
      <c r="D2370">
        <v>4093.42</v>
      </c>
      <c r="E2370" s="37" t="str">
        <f t="shared" si="180"/>
        <v>Excellent Order</v>
      </c>
      <c r="F2370">
        <v>0.19</v>
      </c>
      <c r="G2370" s="37" t="str">
        <f t="shared" si="181"/>
        <v>Normal Discount</v>
      </c>
      <c r="H2370" s="37" t="str">
        <f t="shared" si="182"/>
        <v>Low</v>
      </c>
      <c r="I2370">
        <v>9</v>
      </c>
      <c r="J2370" t="str" cm="1">
        <f t="array" ref="J2370">_xlfn.IFS(I2370&lt;=3,"small",I2370&lt;=6,"Medium",I2370&lt;=9,"Large")</f>
        <v>Large</v>
      </c>
      <c r="K2370" s="36">
        <v>45062</v>
      </c>
      <c r="L2370" s="36">
        <v>45068</v>
      </c>
      <c r="M2370" t="s">
        <v>603</v>
      </c>
      <c r="N2370" t="s">
        <v>604</v>
      </c>
      <c r="O2370" s="37" t="str">
        <f t="shared" si="183"/>
        <v>Digital Payment</v>
      </c>
      <c r="P2370">
        <v>801.55</v>
      </c>
      <c r="Q2370" s="37" t="str">
        <f>IF(P2370&gt;500,"High","low")</f>
        <v>High</v>
      </c>
      <c r="R2370" s="37" t="str">
        <f t="shared" si="184"/>
        <v>Good</v>
      </c>
      <c r="S2370" t="s">
        <v>615</v>
      </c>
    </row>
    <row r="2371" spans="1:19" x14ac:dyDescent="0.2">
      <c r="A2371" t="s">
        <v>2982</v>
      </c>
      <c r="B2371" t="s">
        <v>83</v>
      </c>
      <c r="C2371" t="s">
        <v>602</v>
      </c>
      <c r="D2371">
        <v>4587.24</v>
      </c>
      <c r="E2371" s="37" t="str">
        <f t="shared" ref="E2371:E2434" si="185">IF(AND(D2371&gt;4000,P2371&gt;800),"Excellent Order"," ")</f>
        <v>Excellent Order</v>
      </c>
      <c r="F2371">
        <v>0.09</v>
      </c>
      <c r="G2371" s="37" t="str">
        <f t="shared" ref="G2371:G2434" si="186">IF(F2371&gt;30%,"Heavy Discount","Normal Discount")</f>
        <v>Normal Discount</v>
      </c>
      <c r="H2371" s="37" t="str">
        <f t="shared" ref="H2371:H2434" si="187">IF(F2371&gt;0.4,"High",IF(F2371&gt;=0.2,"Medium","Low"))</f>
        <v>Low</v>
      </c>
      <c r="I2371">
        <v>1</v>
      </c>
      <c r="J2371" t="str" cm="1">
        <f t="array" ref="J2371">_xlfn.IFS(I2371&lt;=3,"small",I2371&lt;=6,"Medium",I2371&lt;=9,"Large")</f>
        <v>small</v>
      </c>
      <c r="K2371" s="36">
        <v>45191</v>
      </c>
      <c r="L2371" s="36">
        <v>45195</v>
      </c>
      <c r="M2371" t="s">
        <v>612</v>
      </c>
      <c r="N2371" t="s">
        <v>608</v>
      </c>
      <c r="O2371" s="37" t="str">
        <f t="shared" ref="O2371:O2434" si="188">IF(OR(N2371="Card",N2371="UPI"),"Digital Payment","Cash Payment")</f>
        <v>Cash Payment</v>
      </c>
      <c r="P2371">
        <v>928.81</v>
      </c>
      <c r="Q2371" s="37" t="str">
        <f>IF(P2371&gt;500,"High","low")</f>
        <v>High</v>
      </c>
      <c r="R2371" s="37" t="str">
        <f t="shared" ref="R2371:R2434" si="189">IF(P2371&gt;1000,"Excellent",IF(P2371&gt;=500,"Good","AVERAGE"))</f>
        <v>Good</v>
      </c>
      <c r="S2371" t="s">
        <v>615</v>
      </c>
    </row>
    <row r="2372" spans="1:19" x14ac:dyDescent="0.2">
      <c r="A2372" t="s">
        <v>2983</v>
      </c>
      <c r="B2372" t="s">
        <v>67</v>
      </c>
      <c r="C2372" t="s">
        <v>614</v>
      </c>
      <c r="D2372">
        <v>2090.77</v>
      </c>
      <c r="E2372" s="37" t="str">
        <f t="shared" si="185"/>
        <v xml:space="preserve"> </v>
      </c>
      <c r="F2372">
        <v>0.43</v>
      </c>
      <c r="G2372" s="37" t="str">
        <f t="shared" si="186"/>
        <v>Heavy Discount</v>
      </c>
      <c r="H2372" s="37" t="str">
        <f t="shared" si="187"/>
        <v>High</v>
      </c>
      <c r="I2372">
        <v>6</v>
      </c>
      <c r="J2372" t="str" cm="1">
        <f t="array" ref="J2372">_xlfn.IFS(I2372&lt;=3,"small",I2372&lt;=6,"Medium",I2372&lt;=9,"Large")</f>
        <v>Medium</v>
      </c>
      <c r="K2372" s="36">
        <v>45129</v>
      </c>
      <c r="L2372" s="36">
        <v>45130</v>
      </c>
      <c r="M2372" t="s">
        <v>603</v>
      </c>
      <c r="N2372" t="s">
        <v>608</v>
      </c>
      <c r="O2372" s="37" t="str">
        <f t="shared" si="188"/>
        <v>Cash Payment</v>
      </c>
      <c r="P2372">
        <v>322.68</v>
      </c>
      <c r="Q2372" s="37" t="str">
        <f>IF(P2372&gt;500,"High","low")</f>
        <v>low</v>
      </c>
      <c r="R2372" s="37" t="str">
        <f t="shared" si="189"/>
        <v>AVERAGE</v>
      </c>
      <c r="S2372" t="s">
        <v>620</v>
      </c>
    </row>
    <row r="2373" spans="1:19" x14ac:dyDescent="0.2">
      <c r="A2373" t="s">
        <v>2984</v>
      </c>
      <c r="B2373" t="s">
        <v>67</v>
      </c>
      <c r="C2373" t="s">
        <v>607</v>
      </c>
      <c r="D2373">
        <v>728.22</v>
      </c>
      <c r="E2373" s="37" t="str">
        <f t="shared" si="185"/>
        <v xml:space="preserve"> </v>
      </c>
      <c r="F2373">
        <v>0.45</v>
      </c>
      <c r="G2373" s="37" t="str">
        <f t="shared" si="186"/>
        <v>Heavy Discount</v>
      </c>
      <c r="H2373" s="37" t="str">
        <f t="shared" si="187"/>
        <v>High</v>
      </c>
      <c r="I2373">
        <v>8</v>
      </c>
      <c r="J2373" t="str" cm="1">
        <f t="array" ref="J2373">_xlfn.IFS(I2373&lt;=3,"small",I2373&lt;=6,"Medium",I2373&lt;=9,"Large")</f>
        <v>Large</v>
      </c>
      <c r="K2373" s="36">
        <v>45408</v>
      </c>
      <c r="L2373" s="36">
        <v>45411</v>
      </c>
      <c r="M2373" t="s">
        <v>612</v>
      </c>
      <c r="N2373" t="s">
        <v>608</v>
      </c>
      <c r="O2373" s="37" t="str">
        <f t="shared" si="188"/>
        <v>Cash Payment</v>
      </c>
      <c r="P2373">
        <v>106.1</v>
      </c>
      <c r="Q2373" s="37" t="str">
        <f>IF(P2373&gt;500,"High","low")</f>
        <v>low</v>
      </c>
      <c r="R2373" s="37" t="str">
        <f t="shared" si="189"/>
        <v>AVERAGE</v>
      </c>
      <c r="S2373" t="s">
        <v>620</v>
      </c>
    </row>
    <row r="2374" spans="1:19" x14ac:dyDescent="0.2">
      <c r="A2374" t="s">
        <v>2985</v>
      </c>
      <c r="B2374" t="s">
        <v>67</v>
      </c>
      <c r="C2374" t="s">
        <v>602</v>
      </c>
      <c r="D2374">
        <v>1196.67</v>
      </c>
      <c r="E2374" s="37" t="str">
        <f t="shared" si="185"/>
        <v xml:space="preserve"> </v>
      </c>
      <c r="F2374">
        <v>0.26</v>
      </c>
      <c r="G2374" s="37" t="str">
        <f t="shared" si="186"/>
        <v>Normal Discount</v>
      </c>
      <c r="H2374" s="37" t="str">
        <f t="shared" si="187"/>
        <v>Medium</v>
      </c>
      <c r="I2374">
        <v>2</v>
      </c>
      <c r="J2374" t="str" cm="1">
        <f t="array" ref="J2374">_xlfn.IFS(I2374&lt;=3,"small",I2374&lt;=6,"Medium",I2374&lt;=9,"Large")</f>
        <v>small</v>
      </c>
      <c r="K2374" s="36">
        <v>45213</v>
      </c>
      <c r="L2374" s="36">
        <v>45219</v>
      </c>
      <c r="M2374" t="s">
        <v>612</v>
      </c>
      <c r="N2374" t="s">
        <v>608</v>
      </c>
      <c r="O2374" s="37" t="str">
        <f t="shared" si="188"/>
        <v>Cash Payment</v>
      </c>
      <c r="P2374">
        <v>224.03</v>
      </c>
      <c r="Q2374" s="37" t="str">
        <f>IF(P2374&gt;500,"High","low")</f>
        <v>low</v>
      </c>
      <c r="R2374" s="37" t="str">
        <f t="shared" si="189"/>
        <v>AVERAGE</v>
      </c>
      <c r="S2374" t="s">
        <v>609</v>
      </c>
    </row>
    <row r="2375" spans="1:19" x14ac:dyDescent="0.2">
      <c r="A2375" t="s">
        <v>2986</v>
      </c>
      <c r="B2375" t="s">
        <v>67</v>
      </c>
      <c r="C2375" t="s">
        <v>602</v>
      </c>
      <c r="D2375">
        <v>3707.41</v>
      </c>
      <c r="E2375" s="37" t="str">
        <f t="shared" si="185"/>
        <v xml:space="preserve"> </v>
      </c>
      <c r="F2375">
        <v>0.46</v>
      </c>
      <c r="G2375" s="37" t="str">
        <f t="shared" si="186"/>
        <v>Heavy Discount</v>
      </c>
      <c r="H2375" s="37" t="str">
        <f t="shared" si="187"/>
        <v>High</v>
      </c>
      <c r="I2375">
        <v>4</v>
      </c>
      <c r="J2375" t="str" cm="1">
        <f t="array" ref="J2375">_xlfn.IFS(I2375&lt;=3,"small",I2375&lt;=6,"Medium",I2375&lt;=9,"Large")</f>
        <v>Medium</v>
      </c>
      <c r="K2375" s="36">
        <v>45059</v>
      </c>
      <c r="L2375" s="36">
        <v>45064</v>
      </c>
      <c r="M2375" t="s">
        <v>612</v>
      </c>
      <c r="N2375" t="s">
        <v>608</v>
      </c>
      <c r="O2375" s="37" t="str">
        <f t="shared" si="188"/>
        <v>Cash Payment</v>
      </c>
      <c r="P2375">
        <v>338.3</v>
      </c>
      <c r="Q2375" s="37" t="str">
        <f>IF(P2375&gt;500,"High","low")</f>
        <v>low</v>
      </c>
      <c r="R2375" s="37" t="str">
        <f t="shared" si="189"/>
        <v>AVERAGE</v>
      </c>
      <c r="S2375" t="s">
        <v>620</v>
      </c>
    </row>
    <row r="2376" spans="1:19" x14ac:dyDescent="0.2">
      <c r="A2376" t="s">
        <v>2987</v>
      </c>
      <c r="B2376" t="s">
        <v>83</v>
      </c>
      <c r="C2376" t="s">
        <v>614</v>
      </c>
      <c r="D2376">
        <v>3419.39</v>
      </c>
      <c r="E2376" s="37" t="str">
        <f t="shared" si="185"/>
        <v xml:space="preserve"> </v>
      </c>
      <c r="F2376">
        <v>0.23</v>
      </c>
      <c r="G2376" s="37" t="str">
        <f t="shared" si="186"/>
        <v>Normal Discount</v>
      </c>
      <c r="H2376" s="37" t="str">
        <f t="shared" si="187"/>
        <v>Medium</v>
      </c>
      <c r="I2376">
        <v>1</v>
      </c>
      <c r="J2376" t="str" cm="1">
        <f t="array" ref="J2376">_xlfn.IFS(I2376&lt;=3,"small",I2376&lt;=6,"Medium",I2376&lt;=9,"Large")</f>
        <v>small</v>
      </c>
      <c r="K2376" s="36">
        <v>45023</v>
      </c>
      <c r="L2376" s="36">
        <v>45028</v>
      </c>
      <c r="M2376" t="s">
        <v>598</v>
      </c>
      <c r="N2376" t="s">
        <v>604</v>
      </c>
      <c r="O2376" s="37" t="str">
        <f t="shared" si="188"/>
        <v>Digital Payment</v>
      </c>
      <c r="P2376">
        <v>674.36</v>
      </c>
      <c r="Q2376" s="37" t="str">
        <f>IF(P2376&gt;500,"High","low")</f>
        <v>High</v>
      </c>
      <c r="R2376" s="37" t="str">
        <f t="shared" si="189"/>
        <v>Good</v>
      </c>
      <c r="S2376" t="s">
        <v>615</v>
      </c>
    </row>
    <row r="2377" spans="1:19" x14ac:dyDescent="0.2">
      <c r="A2377" t="s">
        <v>2988</v>
      </c>
      <c r="B2377" t="s">
        <v>67</v>
      </c>
      <c r="C2377" t="s">
        <v>602</v>
      </c>
      <c r="D2377">
        <v>4839.32</v>
      </c>
      <c r="E2377" s="37" t="str">
        <f t="shared" si="185"/>
        <v>Excellent Order</v>
      </c>
      <c r="F2377">
        <v>0.05</v>
      </c>
      <c r="G2377" s="37" t="str">
        <f t="shared" si="186"/>
        <v>Normal Discount</v>
      </c>
      <c r="H2377" s="37" t="str">
        <f t="shared" si="187"/>
        <v>Low</v>
      </c>
      <c r="I2377">
        <v>4</v>
      </c>
      <c r="J2377" t="str" cm="1">
        <f t="array" ref="J2377">_xlfn.IFS(I2377&lt;=3,"small",I2377&lt;=6,"Medium",I2377&lt;=9,"Large")</f>
        <v>Medium</v>
      </c>
      <c r="K2377" s="36">
        <v>45020</v>
      </c>
      <c r="L2377" s="36">
        <v>45021</v>
      </c>
      <c r="M2377" t="s">
        <v>598</v>
      </c>
      <c r="N2377" t="s">
        <v>604</v>
      </c>
      <c r="O2377" s="37" t="str">
        <f t="shared" si="188"/>
        <v>Digital Payment</v>
      </c>
      <c r="P2377">
        <v>844.24</v>
      </c>
      <c r="Q2377" s="37" t="str">
        <f>IF(P2377&gt;500,"High","low")</f>
        <v>High</v>
      </c>
      <c r="R2377" s="37" t="str">
        <f t="shared" si="189"/>
        <v>Good</v>
      </c>
      <c r="S2377" t="s">
        <v>600</v>
      </c>
    </row>
    <row r="2378" spans="1:19" x14ac:dyDescent="0.2">
      <c r="A2378" t="s">
        <v>2989</v>
      </c>
      <c r="B2378" t="s">
        <v>90</v>
      </c>
      <c r="C2378" t="s">
        <v>597</v>
      </c>
      <c r="D2378">
        <v>170.99</v>
      </c>
      <c r="E2378" s="37" t="str">
        <f t="shared" si="185"/>
        <v xml:space="preserve"> </v>
      </c>
      <c r="F2378">
        <v>0.01</v>
      </c>
      <c r="G2378" s="37" t="str">
        <f t="shared" si="186"/>
        <v>Normal Discount</v>
      </c>
      <c r="H2378" s="37" t="str">
        <f t="shared" si="187"/>
        <v>Low</v>
      </c>
      <c r="I2378">
        <v>2</v>
      </c>
      <c r="J2378" t="str" cm="1">
        <f t="array" ref="J2378">_xlfn.IFS(I2378&lt;=3,"small",I2378&lt;=6,"Medium",I2378&lt;=9,"Large")</f>
        <v>small</v>
      </c>
      <c r="K2378" s="36">
        <v>45020</v>
      </c>
      <c r="L2378" s="36">
        <v>45026</v>
      </c>
      <c r="M2378" t="s">
        <v>598</v>
      </c>
      <c r="N2378" t="s">
        <v>608</v>
      </c>
      <c r="O2378" s="37" t="str">
        <f t="shared" si="188"/>
        <v>Cash Payment</v>
      </c>
      <c r="P2378">
        <v>14.88</v>
      </c>
      <c r="Q2378" s="37" t="str">
        <f>IF(P2378&gt;500,"High","low")</f>
        <v>low</v>
      </c>
      <c r="R2378" s="37" t="str">
        <f t="shared" si="189"/>
        <v>AVERAGE</v>
      </c>
      <c r="S2378" t="s">
        <v>615</v>
      </c>
    </row>
    <row r="2379" spans="1:19" x14ac:dyDescent="0.2">
      <c r="A2379" t="s">
        <v>2990</v>
      </c>
      <c r="B2379" t="s">
        <v>67</v>
      </c>
      <c r="C2379" t="s">
        <v>602</v>
      </c>
      <c r="D2379">
        <v>3778.72</v>
      </c>
      <c r="E2379" s="37" t="str">
        <f t="shared" si="185"/>
        <v xml:space="preserve"> </v>
      </c>
      <c r="F2379">
        <v>0.06</v>
      </c>
      <c r="G2379" s="37" t="str">
        <f t="shared" si="186"/>
        <v>Normal Discount</v>
      </c>
      <c r="H2379" s="37" t="str">
        <f t="shared" si="187"/>
        <v>Low</v>
      </c>
      <c r="I2379">
        <v>3</v>
      </c>
      <c r="J2379" t="str" cm="1">
        <f t="array" ref="J2379">_xlfn.IFS(I2379&lt;=3,"small",I2379&lt;=6,"Medium",I2379&lt;=9,"Large")</f>
        <v>small</v>
      </c>
      <c r="K2379" s="36">
        <v>45645</v>
      </c>
      <c r="L2379" s="36">
        <v>45652</v>
      </c>
      <c r="M2379" t="s">
        <v>603</v>
      </c>
      <c r="N2379" t="s">
        <v>604</v>
      </c>
      <c r="O2379" s="37" t="str">
        <f t="shared" si="188"/>
        <v>Digital Payment</v>
      </c>
      <c r="P2379">
        <v>925.29</v>
      </c>
      <c r="Q2379" s="37" t="str">
        <f>IF(P2379&gt;500,"High","low")</f>
        <v>High</v>
      </c>
      <c r="R2379" s="37" t="str">
        <f t="shared" si="189"/>
        <v>Good</v>
      </c>
      <c r="S2379" t="s">
        <v>600</v>
      </c>
    </row>
    <row r="2380" spans="1:19" x14ac:dyDescent="0.2">
      <c r="A2380" t="s">
        <v>2991</v>
      </c>
      <c r="B2380" t="s">
        <v>75</v>
      </c>
      <c r="C2380" t="s">
        <v>617</v>
      </c>
      <c r="D2380">
        <v>2578.39</v>
      </c>
      <c r="E2380" s="37" t="str">
        <f t="shared" si="185"/>
        <v xml:space="preserve"> </v>
      </c>
      <c r="F2380">
        <v>0.31</v>
      </c>
      <c r="G2380" s="37" t="str">
        <f t="shared" si="186"/>
        <v>Heavy Discount</v>
      </c>
      <c r="H2380" s="37" t="str">
        <f t="shared" si="187"/>
        <v>Medium</v>
      </c>
      <c r="I2380">
        <v>4</v>
      </c>
      <c r="J2380" t="str" cm="1">
        <f t="array" ref="J2380">_xlfn.IFS(I2380&lt;=3,"small",I2380&lt;=6,"Medium",I2380&lt;=9,"Large")</f>
        <v>Medium</v>
      </c>
      <c r="K2380" s="36">
        <v>45221</v>
      </c>
      <c r="L2380" s="36">
        <v>45224</v>
      </c>
      <c r="M2380" t="s">
        <v>598</v>
      </c>
      <c r="N2380" t="s">
        <v>599</v>
      </c>
      <c r="O2380" s="37" t="str">
        <f t="shared" si="188"/>
        <v>Digital Payment</v>
      </c>
      <c r="P2380">
        <v>177.57</v>
      </c>
      <c r="Q2380" s="37" t="str">
        <f>IF(P2380&gt;500,"High","low")</f>
        <v>low</v>
      </c>
      <c r="R2380" s="37" t="str">
        <f t="shared" si="189"/>
        <v>AVERAGE</v>
      </c>
      <c r="S2380" t="s">
        <v>605</v>
      </c>
    </row>
    <row r="2381" spans="1:19" x14ac:dyDescent="0.2">
      <c r="A2381" t="s">
        <v>2992</v>
      </c>
      <c r="B2381" t="s">
        <v>67</v>
      </c>
      <c r="C2381" t="s">
        <v>597</v>
      </c>
      <c r="D2381">
        <v>4523.2</v>
      </c>
      <c r="E2381" s="37" t="str">
        <f t="shared" si="185"/>
        <v xml:space="preserve"> </v>
      </c>
      <c r="F2381">
        <v>0.16</v>
      </c>
      <c r="G2381" s="37" t="str">
        <f t="shared" si="186"/>
        <v>Normal Discount</v>
      </c>
      <c r="H2381" s="37" t="str">
        <f t="shared" si="187"/>
        <v>Low</v>
      </c>
      <c r="I2381">
        <v>3</v>
      </c>
      <c r="J2381" t="str" cm="1">
        <f t="array" ref="J2381">_xlfn.IFS(I2381&lt;=3,"small",I2381&lt;=6,"Medium",I2381&lt;=9,"Large")</f>
        <v>small</v>
      </c>
      <c r="K2381" s="36">
        <v>44942</v>
      </c>
      <c r="L2381" s="36">
        <v>44944</v>
      </c>
      <c r="M2381" t="s">
        <v>612</v>
      </c>
      <c r="N2381" t="s">
        <v>604</v>
      </c>
      <c r="O2381" s="37" t="str">
        <f t="shared" si="188"/>
        <v>Digital Payment</v>
      </c>
      <c r="P2381">
        <v>497.79</v>
      </c>
      <c r="Q2381" s="37" t="str">
        <f>IF(P2381&gt;500,"High","low")</f>
        <v>low</v>
      </c>
      <c r="R2381" s="37" t="str">
        <f t="shared" si="189"/>
        <v>AVERAGE</v>
      </c>
      <c r="S2381" t="s">
        <v>605</v>
      </c>
    </row>
    <row r="2382" spans="1:19" x14ac:dyDescent="0.2">
      <c r="A2382" t="s">
        <v>2993</v>
      </c>
      <c r="B2382" t="s">
        <v>83</v>
      </c>
      <c r="C2382" t="s">
        <v>614</v>
      </c>
      <c r="D2382">
        <v>2923.22</v>
      </c>
      <c r="E2382" s="37" t="str">
        <f t="shared" si="185"/>
        <v xml:space="preserve"> </v>
      </c>
      <c r="F2382">
        <v>0.32</v>
      </c>
      <c r="G2382" s="37" t="str">
        <f t="shared" si="186"/>
        <v>Heavy Discount</v>
      </c>
      <c r="H2382" s="37" t="str">
        <f t="shared" si="187"/>
        <v>Medium</v>
      </c>
      <c r="I2382">
        <v>6</v>
      </c>
      <c r="J2382" t="str" cm="1">
        <f t="array" ref="J2382">_xlfn.IFS(I2382&lt;=3,"small",I2382&lt;=6,"Medium",I2382&lt;=9,"Large")</f>
        <v>Medium</v>
      </c>
      <c r="K2382" s="36">
        <v>45400</v>
      </c>
      <c r="L2382" s="36">
        <v>45404</v>
      </c>
      <c r="M2382" t="s">
        <v>612</v>
      </c>
      <c r="N2382" t="s">
        <v>599</v>
      </c>
      <c r="O2382" s="37" t="str">
        <f t="shared" si="188"/>
        <v>Digital Payment</v>
      </c>
      <c r="P2382">
        <v>269.63</v>
      </c>
      <c r="Q2382" s="37" t="str">
        <f>IF(P2382&gt;500,"High","low")</f>
        <v>low</v>
      </c>
      <c r="R2382" s="37" t="str">
        <f t="shared" si="189"/>
        <v>AVERAGE</v>
      </c>
      <c r="S2382" t="s">
        <v>605</v>
      </c>
    </row>
    <row r="2383" spans="1:19" x14ac:dyDescent="0.2">
      <c r="A2383" t="s">
        <v>2994</v>
      </c>
      <c r="B2383" t="s">
        <v>75</v>
      </c>
      <c r="C2383" t="s">
        <v>597</v>
      </c>
      <c r="D2383">
        <v>2288.67</v>
      </c>
      <c r="E2383" s="37" t="str">
        <f t="shared" si="185"/>
        <v xml:space="preserve"> </v>
      </c>
      <c r="F2383">
        <v>0.25</v>
      </c>
      <c r="G2383" s="37" t="str">
        <f t="shared" si="186"/>
        <v>Normal Discount</v>
      </c>
      <c r="H2383" s="37" t="str">
        <f t="shared" si="187"/>
        <v>Medium</v>
      </c>
      <c r="I2383">
        <v>7</v>
      </c>
      <c r="J2383" t="str" cm="1">
        <f t="array" ref="J2383">_xlfn.IFS(I2383&lt;=3,"small",I2383&lt;=6,"Medium",I2383&lt;=9,"Large")</f>
        <v>Large</v>
      </c>
      <c r="K2383" s="36">
        <v>45386</v>
      </c>
      <c r="L2383" s="36">
        <v>45391</v>
      </c>
      <c r="M2383" t="s">
        <v>598</v>
      </c>
      <c r="N2383" t="s">
        <v>599</v>
      </c>
      <c r="O2383" s="37" t="str">
        <f t="shared" si="188"/>
        <v>Digital Payment</v>
      </c>
      <c r="P2383">
        <v>376.36</v>
      </c>
      <c r="Q2383" s="37" t="str">
        <f>IF(P2383&gt;500,"High","low")</f>
        <v>low</v>
      </c>
      <c r="R2383" s="37" t="str">
        <f t="shared" si="189"/>
        <v>AVERAGE</v>
      </c>
      <c r="S2383" t="s">
        <v>620</v>
      </c>
    </row>
    <row r="2384" spans="1:19" x14ac:dyDescent="0.2">
      <c r="A2384" t="s">
        <v>2995</v>
      </c>
      <c r="B2384" t="s">
        <v>83</v>
      </c>
      <c r="C2384" t="s">
        <v>617</v>
      </c>
      <c r="D2384">
        <v>3362.67</v>
      </c>
      <c r="E2384" s="37" t="str">
        <f t="shared" si="185"/>
        <v xml:space="preserve"> </v>
      </c>
      <c r="F2384">
        <v>0.17</v>
      </c>
      <c r="G2384" s="37" t="str">
        <f t="shared" si="186"/>
        <v>Normal Discount</v>
      </c>
      <c r="H2384" s="37" t="str">
        <f t="shared" si="187"/>
        <v>Low</v>
      </c>
      <c r="I2384">
        <v>7</v>
      </c>
      <c r="J2384" t="str" cm="1">
        <f t="array" ref="J2384">_xlfn.IFS(I2384&lt;=3,"small",I2384&lt;=6,"Medium",I2384&lt;=9,"Large")</f>
        <v>Large</v>
      </c>
      <c r="K2384" s="36">
        <v>45137</v>
      </c>
      <c r="L2384" s="36">
        <v>45141</v>
      </c>
      <c r="M2384" t="s">
        <v>603</v>
      </c>
      <c r="N2384" t="s">
        <v>608</v>
      </c>
      <c r="O2384" s="37" t="str">
        <f t="shared" si="188"/>
        <v>Cash Payment</v>
      </c>
      <c r="P2384">
        <v>763.47</v>
      </c>
      <c r="Q2384" s="37" t="str">
        <f>IF(P2384&gt;500,"High","low")</f>
        <v>High</v>
      </c>
      <c r="R2384" s="37" t="str">
        <f t="shared" si="189"/>
        <v>Good</v>
      </c>
      <c r="S2384" t="s">
        <v>628</v>
      </c>
    </row>
    <row r="2385" spans="1:19" x14ac:dyDescent="0.2">
      <c r="A2385" t="s">
        <v>2996</v>
      </c>
      <c r="B2385" t="s">
        <v>83</v>
      </c>
      <c r="C2385" t="s">
        <v>617</v>
      </c>
      <c r="D2385">
        <v>4184.26</v>
      </c>
      <c r="E2385" s="37" t="str">
        <f t="shared" si="185"/>
        <v xml:space="preserve"> </v>
      </c>
      <c r="F2385">
        <v>0.11</v>
      </c>
      <c r="G2385" s="37" t="str">
        <f t="shared" si="186"/>
        <v>Normal Discount</v>
      </c>
      <c r="H2385" s="37" t="str">
        <f t="shared" si="187"/>
        <v>Low</v>
      </c>
      <c r="I2385">
        <v>1</v>
      </c>
      <c r="J2385" t="str" cm="1">
        <f t="array" ref="J2385">_xlfn.IFS(I2385&lt;=3,"small",I2385&lt;=6,"Medium",I2385&lt;=9,"Large")</f>
        <v>small</v>
      </c>
      <c r="K2385" s="36">
        <v>45485</v>
      </c>
      <c r="L2385" s="36">
        <v>45488</v>
      </c>
      <c r="M2385" t="s">
        <v>603</v>
      </c>
      <c r="N2385" t="s">
        <v>599</v>
      </c>
      <c r="O2385" s="37" t="str">
        <f t="shared" si="188"/>
        <v>Digital Payment</v>
      </c>
      <c r="P2385">
        <v>462.58</v>
      </c>
      <c r="Q2385" s="37" t="str">
        <f>IF(P2385&gt;500,"High","low")</f>
        <v>low</v>
      </c>
      <c r="R2385" s="37" t="str">
        <f t="shared" si="189"/>
        <v>AVERAGE</v>
      </c>
      <c r="S2385" t="s">
        <v>628</v>
      </c>
    </row>
    <row r="2386" spans="1:19" x14ac:dyDescent="0.2">
      <c r="A2386" t="s">
        <v>2997</v>
      </c>
      <c r="B2386" t="s">
        <v>75</v>
      </c>
      <c r="C2386" t="s">
        <v>602</v>
      </c>
      <c r="D2386">
        <v>1484.24</v>
      </c>
      <c r="E2386" s="37" t="str">
        <f t="shared" si="185"/>
        <v xml:space="preserve"> </v>
      </c>
      <c r="F2386">
        <v>0.04</v>
      </c>
      <c r="G2386" s="37" t="str">
        <f t="shared" si="186"/>
        <v>Normal Discount</v>
      </c>
      <c r="H2386" s="37" t="str">
        <f t="shared" si="187"/>
        <v>Low</v>
      </c>
      <c r="I2386">
        <v>5</v>
      </c>
      <c r="J2386" t="str" cm="1">
        <f t="array" ref="J2386">_xlfn.IFS(I2386&lt;=3,"small",I2386&lt;=6,"Medium",I2386&lt;=9,"Large")</f>
        <v>Medium</v>
      </c>
      <c r="K2386" s="36">
        <v>45369</v>
      </c>
      <c r="L2386" s="36">
        <v>45370</v>
      </c>
      <c r="M2386" t="s">
        <v>598</v>
      </c>
      <c r="N2386" t="s">
        <v>608</v>
      </c>
      <c r="O2386" s="37" t="str">
        <f t="shared" si="188"/>
        <v>Cash Payment</v>
      </c>
      <c r="P2386">
        <v>130.37</v>
      </c>
      <c r="Q2386" s="37" t="str">
        <f>IF(P2386&gt;500,"High","low")</f>
        <v>low</v>
      </c>
      <c r="R2386" s="37" t="str">
        <f t="shared" si="189"/>
        <v>AVERAGE</v>
      </c>
      <c r="S2386" t="s">
        <v>620</v>
      </c>
    </row>
    <row r="2387" spans="1:19" x14ac:dyDescent="0.2">
      <c r="A2387" t="s">
        <v>2998</v>
      </c>
      <c r="B2387" t="s">
        <v>83</v>
      </c>
      <c r="C2387" t="s">
        <v>602</v>
      </c>
      <c r="D2387">
        <v>626.88</v>
      </c>
      <c r="E2387" s="37" t="str">
        <f t="shared" si="185"/>
        <v xml:space="preserve"> </v>
      </c>
      <c r="F2387">
        <v>0.39</v>
      </c>
      <c r="G2387" s="37" t="str">
        <f t="shared" si="186"/>
        <v>Heavy Discount</v>
      </c>
      <c r="H2387" s="37" t="str">
        <f t="shared" si="187"/>
        <v>Medium</v>
      </c>
      <c r="I2387">
        <v>3</v>
      </c>
      <c r="J2387" t="str" cm="1">
        <f t="array" ref="J2387">_xlfn.IFS(I2387&lt;=3,"small",I2387&lt;=6,"Medium",I2387&lt;=9,"Large")</f>
        <v>small</v>
      </c>
      <c r="K2387" s="36">
        <v>45025</v>
      </c>
      <c r="L2387" s="36">
        <v>45028</v>
      </c>
      <c r="M2387" t="s">
        <v>612</v>
      </c>
      <c r="N2387" t="s">
        <v>604</v>
      </c>
      <c r="O2387" s="37" t="str">
        <f t="shared" si="188"/>
        <v>Digital Payment</v>
      </c>
      <c r="P2387">
        <v>119.99</v>
      </c>
      <c r="Q2387" s="37" t="str">
        <f>IF(P2387&gt;500,"High","low")</f>
        <v>low</v>
      </c>
      <c r="R2387" s="37" t="str">
        <f t="shared" si="189"/>
        <v>AVERAGE</v>
      </c>
      <c r="S2387" t="s">
        <v>605</v>
      </c>
    </row>
    <row r="2388" spans="1:19" x14ac:dyDescent="0.2">
      <c r="A2388" t="s">
        <v>2999</v>
      </c>
      <c r="B2388" t="s">
        <v>83</v>
      </c>
      <c r="C2388" t="s">
        <v>607</v>
      </c>
      <c r="D2388">
        <v>2221.79</v>
      </c>
      <c r="E2388" s="37" t="str">
        <f t="shared" si="185"/>
        <v xml:space="preserve"> </v>
      </c>
      <c r="F2388">
        <v>0.41</v>
      </c>
      <c r="G2388" s="37" t="str">
        <f t="shared" si="186"/>
        <v>Heavy Discount</v>
      </c>
      <c r="H2388" s="37" t="str">
        <f t="shared" si="187"/>
        <v>High</v>
      </c>
      <c r="I2388">
        <v>1</v>
      </c>
      <c r="J2388" t="str" cm="1">
        <f t="array" ref="J2388">_xlfn.IFS(I2388&lt;=3,"small",I2388&lt;=6,"Medium",I2388&lt;=9,"Large")</f>
        <v>small</v>
      </c>
      <c r="K2388" s="36">
        <v>44946</v>
      </c>
      <c r="L2388" s="36">
        <v>44953</v>
      </c>
      <c r="M2388" t="s">
        <v>612</v>
      </c>
      <c r="N2388" t="s">
        <v>604</v>
      </c>
      <c r="O2388" s="37" t="str">
        <f t="shared" si="188"/>
        <v>Digital Payment</v>
      </c>
      <c r="P2388">
        <v>480.81</v>
      </c>
      <c r="Q2388" s="37" t="str">
        <f>IF(P2388&gt;500,"High","low")</f>
        <v>low</v>
      </c>
      <c r="R2388" s="37" t="str">
        <f t="shared" si="189"/>
        <v>AVERAGE</v>
      </c>
      <c r="S2388" t="s">
        <v>628</v>
      </c>
    </row>
    <row r="2389" spans="1:19" x14ac:dyDescent="0.2">
      <c r="A2389" t="s">
        <v>3000</v>
      </c>
      <c r="B2389" t="s">
        <v>67</v>
      </c>
      <c r="C2389" t="s">
        <v>597</v>
      </c>
      <c r="D2389">
        <v>1151.1500000000001</v>
      </c>
      <c r="E2389" s="37" t="str">
        <f t="shared" si="185"/>
        <v xml:space="preserve"> </v>
      </c>
      <c r="F2389">
        <v>0.27</v>
      </c>
      <c r="G2389" s="37" t="str">
        <f t="shared" si="186"/>
        <v>Normal Discount</v>
      </c>
      <c r="H2389" s="37" t="str">
        <f t="shared" si="187"/>
        <v>Medium</v>
      </c>
      <c r="I2389">
        <v>1</v>
      </c>
      <c r="J2389" t="str" cm="1">
        <f t="array" ref="J2389">_xlfn.IFS(I2389&lt;=3,"small",I2389&lt;=6,"Medium",I2389&lt;=9,"Large")</f>
        <v>small</v>
      </c>
      <c r="K2389" s="36">
        <v>44947</v>
      </c>
      <c r="L2389" s="36">
        <v>44954</v>
      </c>
      <c r="M2389" t="s">
        <v>598</v>
      </c>
      <c r="N2389" t="s">
        <v>599</v>
      </c>
      <c r="O2389" s="37" t="str">
        <f t="shared" si="188"/>
        <v>Digital Payment</v>
      </c>
      <c r="P2389">
        <v>331.24</v>
      </c>
      <c r="Q2389" s="37" t="str">
        <f>IF(P2389&gt;500,"High","low")</f>
        <v>low</v>
      </c>
      <c r="R2389" s="37" t="str">
        <f t="shared" si="189"/>
        <v>AVERAGE</v>
      </c>
      <c r="S2389" t="s">
        <v>605</v>
      </c>
    </row>
    <row r="2390" spans="1:19" x14ac:dyDescent="0.2">
      <c r="A2390" t="s">
        <v>3001</v>
      </c>
      <c r="B2390" t="s">
        <v>90</v>
      </c>
      <c r="C2390" t="s">
        <v>607</v>
      </c>
      <c r="D2390">
        <v>2204.75</v>
      </c>
      <c r="E2390" s="37" t="str">
        <f t="shared" si="185"/>
        <v xml:space="preserve"> </v>
      </c>
      <c r="F2390">
        <v>0.08</v>
      </c>
      <c r="G2390" s="37" t="str">
        <f t="shared" si="186"/>
        <v>Normal Discount</v>
      </c>
      <c r="H2390" s="37" t="str">
        <f t="shared" si="187"/>
        <v>Low</v>
      </c>
      <c r="I2390">
        <v>2</v>
      </c>
      <c r="J2390" t="str" cm="1">
        <f t="array" ref="J2390">_xlfn.IFS(I2390&lt;=3,"small",I2390&lt;=6,"Medium",I2390&lt;=9,"Large")</f>
        <v>small</v>
      </c>
      <c r="K2390" s="36">
        <v>45107</v>
      </c>
      <c r="L2390" s="36">
        <v>45112</v>
      </c>
      <c r="M2390" t="s">
        <v>612</v>
      </c>
      <c r="N2390" t="s">
        <v>604</v>
      </c>
      <c r="O2390" s="37" t="str">
        <f t="shared" si="188"/>
        <v>Digital Payment</v>
      </c>
      <c r="P2390">
        <v>445.35</v>
      </c>
      <c r="Q2390" s="37" t="str">
        <f>IF(P2390&gt;500,"High","low")</f>
        <v>low</v>
      </c>
      <c r="R2390" s="37" t="str">
        <f t="shared" si="189"/>
        <v>AVERAGE</v>
      </c>
      <c r="S2390" t="s">
        <v>600</v>
      </c>
    </row>
    <row r="2391" spans="1:19" x14ac:dyDescent="0.2">
      <c r="A2391" t="s">
        <v>3002</v>
      </c>
      <c r="B2391" t="s">
        <v>83</v>
      </c>
      <c r="C2391" t="s">
        <v>617</v>
      </c>
      <c r="D2391">
        <v>4956.1400000000003</v>
      </c>
      <c r="E2391" s="37" t="str">
        <f t="shared" si="185"/>
        <v>Excellent Order</v>
      </c>
      <c r="F2391">
        <v>0.13</v>
      </c>
      <c r="G2391" s="37" t="str">
        <f t="shared" si="186"/>
        <v>Normal Discount</v>
      </c>
      <c r="H2391" s="37" t="str">
        <f t="shared" si="187"/>
        <v>Low</v>
      </c>
      <c r="I2391">
        <v>8</v>
      </c>
      <c r="J2391" t="str" cm="1">
        <f t="array" ref="J2391">_xlfn.IFS(I2391&lt;=3,"small",I2391&lt;=6,"Medium",I2391&lt;=9,"Large")</f>
        <v>Large</v>
      </c>
      <c r="K2391" s="36">
        <v>45411</v>
      </c>
      <c r="L2391" s="36">
        <v>45412</v>
      </c>
      <c r="M2391" t="s">
        <v>612</v>
      </c>
      <c r="N2391" t="s">
        <v>604</v>
      </c>
      <c r="O2391" s="37" t="str">
        <f t="shared" si="188"/>
        <v>Digital Payment</v>
      </c>
      <c r="P2391">
        <v>951.51</v>
      </c>
      <c r="Q2391" s="37" t="str">
        <f>IF(P2391&gt;500,"High","low")</f>
        <v>High</v>
      </c>
      <c r="R2391" s="37" t="str">
        <f t="shared" si="189"/>
        <v>Good</v>
      </c>
      <c r="S2391" t="s">
        <v>628</v>
      </c>
    </row>
    <row r="2392" spans="1:19" x14ac:dyDescent="0.2">
      <c r="A2392" t="s">
        <v>3003</v>
      </c>
      <c r="B2392" t="s">
        <v>83</v>
      </c>
      <c r="C2392" t="s">
        <v>602</v>
      </c>
      <c r="D2392">
        <v>2913.2</v>
      </c>
      <c r="E2392" s="37" t="str">
        <f t="shared" si="185"/>
        <v xml:space="preserve"> </v>
      </c>
      <c r="F2392">
        <v>0.48</v>
      </c>
      <c r="G2392" s="37" t="str">
        <f t="shared" si="186"/>
        <v>Heavy Discount</v>
      </c>
      <c r="H2392" s="37" t="str">
        <f t="shared" si="187"/>
        <v>High</v>
      </c>
      <c r="I2392">
        <v>4</v>
      </c>
      <c r="J2392" t="str" cm="1">
        <f t="array" ref="J2392">_xlfn.IFS(I2392&lt;=3,"small",I2392&lt;=6,"Medium",I2392&lt;=9,"Large")</f>
        <v>Medium</v>
      </c>
      <c r="K2392" s="36">
        <v>45620</v>
      </c>
      <c r="L2392" s="36">
        <v>45624</v>
      </c>
      <c r="M2392" t="s">
        <v>598</v>
      </c>
      <c r="N2392" t="s">
        <v>608</v>
      </c>
      <c r="O2392" s="37" t="str">
        <f t="shared" si="188"/>
        <v>Cash Payment</v>
      </c>
      <c r="P2392">
        <v>489.84</v>
      </c>
      <c r="Q2392" s="37" t="str">
        <f>IF(P2392&gt;500,"High","low")</f>
        <v>low</v>
      </c>
      <c r="R2392" s="37" t="str">
        <f t="shared" si="189"/>
        <v>AVERAGE</v>
      </c>
      <c r="S2392" t="s">
        <v>600</v>
      </c>
    </row>
    <row r="2393" spans="1:19" x14ac:dyDescent="0.2">
      <c r="A2393" t="s">
        <v>3004</v>
      </c>
      <c r="B2393" t="s">
        <v>83</v>
      </c>
      <c r="C2393" t="s">
        <v>602</v>
      </c>
      <c r="D2393">
        <v>3498.64</v>
      </c>
      <c r="E2393" s="37" t="str">
        <f t="shared" si="185"/>
        <v xml:space="preserve"> </v>
      </c>
      <c r="F2393">
        <v>0.11</v>
      </c>
      <c r="G2393" s="37" t="str">
        <f t="shared" si="186"/>
        <v>Normal Discount</v>
      </c>
      <c r="H2393" s="37" t="str">
        <f t="shared" si="187"/>
        <v>Low</v>
      </c>
      <c r="I2393">
        <v>3</v>
      </c>
      <c r="J2393" t="str" cm="1">
        <f t="array" ref="J2393">_xlfn.IFS(I2393&lt;=3,"small",I2393&lt;=6,"Medium",I2393&lt;=9,"Large")</f>
        <v>small</v>
      </c>
      <c r="K2393" s="36">
        <v>45487</v>
      </c>
      <c r="L2393" s="36">
        <v>45492</v>
      </c>
      <c r="M2393" t="s">
        <v>603</v>
      </c>
      <c r="N2393" t="s">
        <v>599</v>
      </c>
      <c r="O2393" s="37" t="str">
        <f t="shared" si="188"/>
        <v>Digital Payment</v>
      </c>
      <c r="P2393">
        <v>419.42</v>
      </c>
      <c r="Q2393" s="37" t="str">
        <f>IF(P2393&gt;500,"High","low")</f>
        <v>low</v>
      </c>
      <c r="R2393" s="37" t="str">
        <f t="shared" si="189"/>
        <v>AVERAGE</v>
      </c>
      <c r="S2393" t="s">
        <v>620</v>
      </c>
    </row>
    <row r="2394" spans="1:19" x14ac:dyDescent="0.2">
      <c r="A2394" t="s">
        <v>3005</v>
      </c>
      <c r="B2394" t="s">
        <v>67</v>
      </c>
      <c r="C2394" t="s">
        <v>602</v>
      </c>
      <c r="D2394">
        <v>3421.85</v>
      </c>
      <c r="E2394" s="37" t="str">
        <f t="shared" si="185"/>
        <v xml:space="preserve"> </v>
      </c>
      <c r="F2394">
        <v>0.03</v>
      </c>
      <c r="G2394" s="37" t="str">
        <f t="shared" si="186"/>
        <v>Normal Discount</v>
      </c>
      <c r="H2394" s="37" t="str">
        <f t="shared" si="187"/>
        <v>Low</v>
      </c>
      <c r="I2394">
        <v>8</v>
      </c>
      <c r="J2394" t="str" cm="1">
        <f t="array" ref="J2394">_xlfn.IFS(I2394&lt;=3,"small",I2394&lt;=6,"Medium",I2394&lt;=9,"Large")</f>
        <v>Large</v>
      </c>
      <c r="K2394" s="36">
        <v>45326</v>
      </c>
      <c r="L2394" s="36">
        <v>45327</v>
      </c>
      <c r="M2394" t="s">
        <v>603</v>
      </c>
      <c r="N2394" t="s">
        <v>599</v>
      </c>
      <c r="O2394" s="37" t="str">
        <f t="shared" si="188"/>
        <v>Digital Payment</v>
      </c>
      <c r="P2394">
        <v>984.7</v>
      </c>
      <c r="Q2394" s="37" t="str">
        <f>IF(P2394&gt;500,"High","low")</f>
        <v>High</v>
      </c>
      <c r="R2394" s="37" t="str">
        <f t="shared" si="189"/>
        <v>Good</v>
      </c>
      <c r="S2394" t="s">
        <v>620</v>
      </c>
    </row>
    <row r="2395" spans="1:19" x14ac:dyDescent="0.2">
      <c r="A2395" t="s">
        <v>3006</v>
      </c>
      <c r="B2395" t="s">
        <v>90</v>
      </c>
      <c r="C2395" t="s">
        <v>614</v>
      </c>
      <c r="D2395">
        <v>4121.43</v>
      </c>
      <c r="E2395" s="37" t="str">
        <f t="shared" si="185"/>
        <v>Excellent Order</v>
      </c>
      <c r="F2395">
        <v>0.28000000000000003</v>
      </c>
      <c r="G2395" s="37" t="str">
        <f t="shared" si="186"/>
        <v>Normal Discount</v>
      </c>
      <c r="H2395" s="37" t="str">
        <f t="shared" si="187"/>
        <v>Medium</v>
      </c>
      <c r="I2395">
        <v>2</v>
      </c>
      <c r="J2395" t="str" cm="1">
        <f t="array" ref="J2395">_xlfn.IFS(I2395&lt;=3,"small",I2395&lt;=6,"Medium",I2395&lt;=9,"Large")</f>
        <v>small</v>
      </c>
      <c r="K2395" s="36">
        <v>45198</v>
      </c>
      <c r="L2395" s="36">
        <v>45199</v>
      </c>
      <c r="M2395" t="s">
        <v>603</v>
      </c>
      <c r="N2395" t="s">
        <v>608</v>
      </c>
      <c r="O2395" s="37" t="str">
        <f t="shared" si="188"/>
        <v>Cash Payment</v>
      </c>
      <c r="P2395">
        <v>938.45</v>
      </c>
      <c r="Q2395" s="37" t="str">
        <f>IF(P2395&gt;500,"High","low")</f>
        <v>High</v>
      </c>
      <c r="R2395" s="37" t="str">
        <f t="shared" si="189"/>
        <v>Good</v>
      </c>
      <c r="S2395" t="s">
        <v>628</v>
      </c>
    </row>
    <row r="2396" spans="1:19" x14ac:dyDescent="0.2">
      <c r="A2396" t="s">
        <v>3007</v>
      </c>
      <c r="B2396" t="s">
        <v>75</v>
      </c>
      <c r="C2396" t="s">
        <v>617</v>
      </c>
      <c r="D2396">
        <v>4726.2299999999996</v>
      </c>
      <c r="E2396" s="37" t="str">
        <f t="shared" si="185"/>
        <v xml:space="preserve"> </v>
      </c>
      <c r="F2396">
        <v>0.13</v>
      </c>
      <c r="G2396" s="37" t="str">
        <f t="shared" si="186"/>
        <v>Normal Discount</v>
      </c>
      <c r="H2396" s="37" t="str">
        <f t="shared" si="187"/>
        <v>Low</v>
      </c>
      <c r="I2396">
        <v>9</v>
      </c>
      <c r="J2396" t="str" cm="1">
        <f t="array" ref="J2396">_xlfn.IFS(I2396&lt;=3,"small",I2396&lt;=6,"Medium",I2396&lt;=9,"Large")</f>
        <v>Large</v>
      </c>
      <c r="K2396" s="36">
        <v>44949</v>
      </c>
      <c r="L2396" s="36">
        <v>44953</v>
      </c>
      <c r="M2396" t="s">
        <v>598</v>
      </c>
      <c r="N2396" t="s">
        <v>599</v>
      </c>
      <c r="O2396" s="37" t="str">
        <f t="shared" si="188"/>
        <v>Digital Payment</v>
      </c>
      <c r="P2396">
        <v>795.99</v>
      </c>
      <c r="Q2396" s="37" t="str">
        <f>IF(P2396&gt;500,"High","low")</f>
        <v>High</v>
      </c>
      <c r="R2396" s="37" t="str">
        <f t="shared" si="189"/>
        <v>Good</v>
      </c>
      <c r="S2396" t="s">
        <v>615</v>
      </c>
    </row>
    <row r="2397" spans="1:19" x14ac:dyDescent="0.2">
      <c r="A2397" t="s">
        <v>3008</v>
      </c>
      <c r="B2397" t="s">
        <v>67</v>
      </c>
      <c r="C2397" t="s">
        <v>602</v>
      </c>
      <c r="D2397">
        <v>3328.21</v>
      </c>
      <c r="E2397" s="37" t="str">
        <f t="shared" si="185"/>
        <v xml:space="preserve"> </v>
      </c>
      <c r="F2397">
        <v>0.48</v>
      </c>
      <c r="G2397" s="37" t="str">
        <f t="shared" si="186"/>
        <v>Heavy Discount</v>
      </c>
      <c r="H2397" s="37" t="str">
        <f t="shared" si="187"/>
        <v>High</v>
      </c>
      <c r="I2397">
        <v>4</v>
      </c>
      <c r="J2397" t="str" cm="1">
        <f t="array" ref="J2397">_xlfn.IFS(I2397&lt;=3,"small",I2397&lt;=6,"Medium",I2397&lt;=9,"Large")</f>
        <v>Medium</v>
      </c>
      <c r="K2397" s="36">
        <v>45034</v>
      </c>
      <c r="L2397" s="36">
        <v>45040</v>
      </c>
      <c r="M2397" t="s">
        <v>598</v>
      </c>
      <c r="N2397" t="s">
        <v>599</v>
      </c>
      <c r="O2397" s="37" t="str">
        <f t="shared" si="188"/>
        <v>Digital Payment</v>
      </c>
      <c r="P2397">
        <v>609.20000000000005</v>
      </c>
      <c r="Q2397" s="37" t="str">
        <f>IF(P2397&gt;500,"High","low")</f>
        <v>High</v>
      </c>
      <c r="R2397" s="37" t="str">
        <f t="shared" si="189"/>
        <v>Good</v>
      </c>
      <c r="S2397" t="s">
        <v>609</v>
      </c>
    </row>
    <row r="2398" spans="1:19" x14ac:dyDescent="0.2">
      <c r="A2398" t="s">
        <v>3009</v>
      </c>
      <c r="B2398" t="s">
        <v>67</v>
      </c>
      <c r="C2398" t="s">
        <v>617</v>
      </c>
      <c r="D2398">
        <v>2432.86</v>
      </c>
      <c r="E2398" s="37" t="str">
        <f t="shared" si="185"/>
        <v xml:space="preserve"> </v>
      </c>
      <c r="F2398">
        <v>0.28999999999999998</v>
      </c>
      <c r="G2398" s="37" t="str">
        <f t="shared" si="186"/>
        <v>Normal Discount</v>
      </c>
      <c r="H2398" s="37" t="str">
        <f t="shared" si="187"/>
        <v>Medium</v>
      </c>
      <c r="I2398">
        <v>9</v>
      </c>
      <c r="J2398" t="str" cm="1">
        <f t="array" ref="J2398">_xlfn.IFS(I2398&lt;=3,"small",I2398&lt;=6,"Medium",I2398&lt;=9,"Large")</f>
        <v>Large</v>
      </c>
      <c r="K2398" s="36">
        <v>45531</v>
      </c>
      <c r="L2398" s="36">
        <v>45538</v>
      </c>
      <c r="M2398" t="s">
        <v>612</v>
      </c>
      <c r="N2398" t="s">
        <v>604</v>
      </c>
      <c r="O2398" s="37" t="str">
        <f t="shared" si="188"/>
        <v>Digital Payment</v>
      </c>
      <c r="P2398">
        <v>704.36</v>
      </c>
      <c r="Q2398" s="37" t="str">
        <f>IF(P2398&gt;500,"High","low")</f>
        <v>High</v>
      </c>
      <c r="R2398" s="37" t="str">
        <f t="shared" si="189"/>
        <v>Good</v>
      </c>
      <c r="S2398" t="s">
        <v>628</v>
      </c>
    </row>
    <row r="2399" spans="1:19" x14ac:dyDescent="0.2">
      <c r="A2399" t="s">
        <v>3010</v>
      </c>
      <c r="B2399" t="s">
        <v>90</v>
      </c>
      <c r="C2399" t="s">
        <v>602</v>
      </c>
      <c r="D2399">
        <v>1657.37</v>
      </c>
      <c r="E2399" s="37" t="str">
        <f t="shared" si="185"/>
        <v xml:space="preserve"> </v>
      </c>
      <c r="F2399">
        <v>0.48</v>
      </c>
      <c r="G2399" s="37" t="str">
        <f t="shared" si="186"/>
        <v>Heavy Discount</v>
      </c>
      <c r="H2399" s="37" t="str">
        <f t="shared" si="187"/>
        <v>High</v>
      </c>
      <c r="I2399">
        <v>1</v>
      </c>
      <c r="J2399" t="str" cm="1">
        <f t="array" ref="J2399">_xlfn.IFS(I2399&lt;=3,"small",I2399&lt;=6,"Medium",I2399&lt;=9,"Large")</f>
        <v>small</v>
      </c>
      <c r="K2399" s="36">
        <v>45603</v>
      </c>
      <c r="L2399" s="36">
        <v>45606</v>
      </c>
      <c r="M2399" t="s">
        <v>603</v>
      </c>
      <c r="N2399" t="s">
        <v>608</v>
      </c>
      <c r="O2399" s="37" t="str">
        <f t="shared" si="188"/>
        <v>Cash Payment</v>
      </c>
      <c r="P2399">
        <v>284.01</v>
      </c>
      <c r="Q2399" s="37" t="str">
        <f>IF(P2399&gt;500,"High","low")</f>
        <v>low</v>
      </c>
      <c r="R2399" s="37" t="str">
        <f t="shared" si="189"/>
        <v>AVERAGE</v>
      </c>
      <c r="S2399" t="s">
        <v>620</v>
      </c>
    </row>
    <row r="2400" spans="1:19" x14ac:dyDescent="0.2">
      <c r="A2400" t="s">
        <v>3011</v>
      </c>
      <c r="B2400" t="s">
        <v>90</v>
      </c>
      <c r="C2400" t="s">
        <v>597</v>
      </c>
      <c r="D2400">
        <v>1865.34</v>
      </c>
      <c r="E2400" s="37" t="str">
        <f t="shared" si="185"/>
        <v xml:space="preserve"> </v>
      </c>
      <c r="F2400">
        <v>0.39</v>
      </c>
      <c r="G2400" s="37" t="str">
        <f t="shared" si="186"/>
        <v>Heavy Discount</v>
      </c>
      <c r="H2400" s="37" t="str">
        <f t="shared" si="187"/>
        <v>Medium</v>
      </c>
      <c r="I2400">
        <v>5</v>
      </c>
      <c r="J2400" t="str" cm="1">
        <f t="array" ref="J2400">_xlfn.IFS(I2400&lt;=3,"small",I2400&lt;=6,"Medium",I2400&lt;=9,"Large")</f>
        <v>Medium</v>
      </c>
      <c r="K2400" s="36">
        <v>44950</v>
      </c>
      <c r="L2400" s="36">
        <v>44956</v>
      </c>
      <c r="M2400" t="s">
        <v>612</v>
      </c>
      <c r="N2400" t="s">
        <v>599</v>
      </c>
      <c r="O2400" s="37" t="str">
        <f t="shared" si="188"/>
        <v>Digital Payment</v>
      </c>
      <c r="P2400">
        <v>556.52</v>
      </c>
      <c r="Q2400" s="37" t="str">
        <f>IF(P2400&gt;500,"High","low")</f>
        <v>High</v>
      </c>
      <c r="R2400" s="37" t="str">
        <f t="shared" si="189"/>
        <v>Good</v>
      </c>
      <c r="S2400" t="s">
        <v>620</v>
      </c>
    </row>
    <row r="2401" spans="1:19" x14ac:dyDescent="0.2">
      <c r="A2401" t="s">
        <v>3012</v>
      </c>
      <c r="B2401" t="s">
        <v>67</v>
      </c>
      <c r="C2401" t="s">
        <v>617</v>
      </c>
      <c r="D2401">
        <v>1738.95</v>
      </c>
      <c r="E2401" s="37" t="str">
        <f t="shared" si="185"/>
        <v xml:space="preserve"> </v>
      </c>
      <c r="F2401">
        <v>0.36</v>
      </c>
      <c r="G2401" s="37" t="str">
        <f t="shared" si="186"/>
        <v>Heavy Discount</v>
      </c>
      <c r="H2401" s="37" t="str">
        <f t="shared" si="187"/>
        <v>Medium</v>
      </c>
      <c r="I2401">
        <v>7</v>
      </c>
      <c r="J2401" t="str" cm="1">
        <f t="array" ref="J2401">_xlfn.IFS(I2401&lt;=3,"small",I2401&lt;=6,"Medium",I2401&lt;=9,"Large")</f>
        <v>Large</v>
      </c>
      <c r="K2401" s="36">
        <v>45379</v>
      </c>
      <c r="L2401" s="36">
        <v>45386</v>
      </c>
      <c r="M2401" t="s">
        <v>612</v>
      </c>
      <c r="N2401" t="s">
        <v>608</v>
      </c>
      <c r="O2401" s="37" t="str">
        <f t="shared" si="188"/>
        <v>Cash Payment</v>
      </c>
      <c r="P2401">
        <v>335.3</v>
      </c>
      <c r="Q2401" s="37" t="str">
        <f>IF(P2401&gt;500,"High","low")</f>
        <v>low</v>
      </c>
      <c r="R2401" s="37" t="str">
        <f t="shared" si="189"/>
        <v>AVERAGE</v>
      </c>
      <c r="S2401" t="s">
        <v>620</v>
      </c>
    </row>
    <row r="2402" spans="1:19" x14ac:dyDescent="0.2">
      <c r="A2402" t="s">
        <v>3013</v>
      </c>
      <c r="B2402" t="s">
        <v>75</v>
      </c>
      <c r="C2402" t="s">
        <v>607</v>
      </c>
      <c r="D2402">
        <v>1689.88</v>
      </c>
      <c r="E2402" s="37" t="str">
        <f t="shared" si="185"/>
        <v xml:space="preserve"> </v>
      </c>
      <c r="F2402">
        <v>0.42</v>
      </c>
      <c r="G2402" s="37" t="str">
        <f t="shared" si="186"/>
        <v>Heavy Discount</v>
      </c>
      <c r="H2402" s="37" t="str">
        <f t="shared" si="187"/>
        <v>High</v>
      </c>
      <c r="I2402">
        <v>4</v>
      </c>
      <c r="J2402" t="str" cm="1">
        <f t="array" ref="J2402">_xlfn.IFS(I2402&lt;=3,"small",I2402&lt;=6,"Medium",I2402&lt;=9,"Large")</f>
        <v>Medium</v>
      </c>
      <c r="K2402" s="36">
        <v>45545</v>
      </c>
      <c r="L2402" s="36">
        <v>45551</v>
      </c>
      <c r="M2402" t="s">
        <v>598</v>
      </c>
      <c r="N2402" t="s">
        <v>599</v>
      </c>
      <c r="O2402" s="37" t="str">
        <f t="shared" si="188"/>
        <v>Digital Payment</v>
      </c>
      <c r="P2402">
        <v>471.92</v>
      </c>
      <c r="Q2402" s="37" t="str">
        <f>IF(P2402&gt;500,"High","low")</f>
        <v>low</v>
      </c>
      <c r="R2402" s="37" t="str">
        <f t="shared" si="189"/>
        <v>AVERAGE</v>
      </c>
      <c r="S2402" t="s">
        <v>609</v>
      </c>
    </row>
    <row r="2403" spans="1:19" x14ac:dyDescent="0.2">
      <c r="A2403" t="s">
        <v>3014</v>
      </c>
      <c r="B2403" t="s">
        <v>67</v>
      </c>
      <c r="C2403" t="s">
        <v>614</v>
      </c>
      <c r="D2403">
        <v>3503.66</v>
      </c>
      <c r="E2403" s="37" t="str">
        <f t="shared" si="185"/>
        <v xml:space="preserve"> </v>
      </c>
      <c r="F2403">
        <v>0.3</v>
      </c>
      <c r="G2403" s="37" t="str">
        <f t="shared" si="186"/>
        <v>Normal Discount</v>
      </c>
      <c r="H2403" s="37" t="str">
        <f t="shared" si="187"/>
        <v>Medium</v>
      </c>
      <c r="I2403">
        <v>5</v>
      </c>
      <c r="J2403" t="str" cm="1">
        <f t="array" ref="J2403">_xlfn.IFS(I2403&lt;=3,"small",I2403&lt;=6,"Medium",I2403&lt;=9,"Large")</f>
        <v>Medium</v>
      </c>
      <c r="K2403" s="36">
        <v>45467</v>
      </c>
      <c r="L2403" s="36">
        <v>45473</v>
      </c>
      <c r="M2403" t="s">
        <v>598</v>
      </c>
      <c r="N2403" t="s">
        <v>599</v>
      </c>
      <c r="O2403" s="37" t="str">
        <f t="shared" si="188"/>
        <v>Digital Payment</v>
      </c>
      <c r="P2403">
        <v>809.21</v>
      </c>
      <c r="Q2403" s="37" t="str">
        <f>IF(P2403&gt;500,"High","low")</f>
        <v>High</v>
      </c>
      <c r="R2403" s="37" t="str">
        <f t="shared" si="189"/>
        <v>Good</v>
      </c>
      <c r="S2403" t="s">
        <v>609</v>
      </c>
    </row>
    <row r="2404" spans="1:19" x14ac:dyDescent="0.2">
      <c r="A2404" t="s">
        <v>3015</v>
      </c>
      <c r="B2404" t="s">
        <v>90</v>
      </c>
      <c r="C2404" t="s">
        <v>607</v>
      </c>
      <c r="D2404">
        <v>2979.77</v>
      </c>
      <c r="E2404" s="37" t="str">
        <f t="shared" si="185"/>
        <v xml:space="preserve"> </v>
      </c>
      <c r="F2404">
        <v>0.01</v>
      </c>
      <c r="G2404" s="37" t="str">
        <f t="shared" si="186"/>
        <v>Normal Discount</v>
      </c>
      <c r="H2404" s="37" t="str">
        <f t="shared" si="187"/>
        <v>Low</v>
      </c>
      <c r="I2404">
        <v>9</v>
      </c>
      <c r="J2404" t="str" cm="1">
        <f t="array" ref="J2404">_xlfn.IFS(I2404&lt;=3,"small",I2404&lt;=6,"Medium",I2404&lt;=9,"Large")</f>
        <v>Large</v>
      </c>
      <c r="K2404" s="36">
        <v>45041</v>
      </c>
      <c r="L2404" s="36">
        <v>45047</v>
      </c>
      <c r="M2404" t="s">
        <v>612</v>
      </c>
      <c r="N2404" t="s">
        <v>608</v>
      </c>
      <c r="O2404" s="37" t="str">
        <f t="shared" si="188"/>
        <v>Cash Payment</v>
      </c>
      <c r="P2404">
        <v>230.04</v>
      </c>
      <c r="Q2404" s="37" t="str">
        <f>IF(P2404&gt;500,"High","low")</f>
        <v>low</v>
      </c>
      <c r="R2404" s="37" t="str">
        <f t="shared" si="189"/>
        <v>AVERAGE</v>
      </c>
      <c r="S2404" t="s">
        <v>615</v>
      </c>
    </row>
    <row r="2405" spans="1:19" x14ac:dyDescent="0.2">
      <c r="A2405" t="s">
        <v>3016</v>
      </c>
      <c r="B2405" t="s">
        <v>75</v>
      </c>
      <c r="C2405" t="s">
        <v>617</v>
      </c>
      <c r="D2405">
        <v>1089.78</v>
      </c>
      <c r="E2405" s="37" t="str">
        <f t="shared" si="185"/>
        <v xml:space="preserve"> </v>
      </c>
      <c r="F2405">
        <v>0.2</v>
      </c>
      <c r="G2405" s="37" t="str">
        <f t="shared" si="186"/>
        <v>Normal Discount</v>
      </c>
      <c r="H2405" s="37" t="str">
        <f t="shared" si="187"/>
        <v>Medium</v>
      </c>
      <c r="I2405">
        <v>6</v>
      </c>
      <c r="J2405" t="str" cm="1">
        <f t="array" ref="J2405">_xlfn.IFS(I2405&lt;=3,"small",I2405&lt;=6,"Medium",I2405&lt;=9,"Large")</f>
        <v>Medium</v>
      </c>
      <c r="K2405" s="36">
        <v>45320</v>
      </c>
      <c r="L2405" s="36">
        <v>45323</v>
      </c>
      <c r="M2405" t="s">
        <v>603</v>
      </c>
      <c r="N2405" t="s">
        <v>608</v>
      </c>
      <c r="O2405" s="37" t="str">
        <f t="shared" si="188"/>
        <v>Cash Payment</v>
      </c>
      <c r="P2405">
        <v>222.13</v>
      </c>
      <c r="Q2405" s="37" t="str">
        <f>IF(P2405&gt;500,"High","low")</f>
        <v>low</v>
      </c>
      <c r="R2405" s="37" t="str">
        <f t="shared" si="189"/>
        <v>AVERAGE</v>
      </c>
      <c r="S2405" t="s">
        <v>609</v>
      </c>
    </row>
    <row r="2406" spans="1:19" x14ac:dyDescent="0.2">
      <c r="A2406" t="s">
        <v>3017</v>
      </c>
      <c r="B2406" t="s">
        <v>90</v>
      </c>
      <c r="C2406" t="s">
        <v>602</v>
      </c>
      <c r="D2406">
        <v>4851.17</v>
      </c>
      <c r="E2406" s="37" t="str">
        <f t="shared" si="185"/>
        <v>Excellent Order</v>
      </c>
      <c r="F2406">
        <v>0.11</v>
      </c>
      <c r="G2406" s="37" t="str">
        <f t="shared" si="186"/>
        <v>Normal Discount</v>
      </c>
      <c r="H2406" s="37" t="str">
        <f t="shared" si="187"/>
        <v>Low</v>
      </c>
      <c r="I2406">
        <v>6</v>
      </c>
      <c r="J2406" t="str" cm="1">
        <f t="array" ref="J2406">_xlfn.IFS(I2406&lt;=3,"small",I2406&lt;=6,"Medium",I2406&lt;=9,"Large")</f>
        <v>Medium</v>
      </c>
      <c r="K2406" s="36">
        <v>45546</v>
      </c>
      <c r="L2406" s="36">
        <v>45552</v>
      </c>
      <c r="M2406" t="s">
        <v>598</v>
      </c>
      <c r="N2406" t="s">
        <v>608</v>
      </c>
      <c r="O2406" s="37" t="str">
        <f t="shared" si="188"/>
        <v>Cash Payment</v>
      </c>
      <c r="P2406">
        <v>1398.3</v>
      </c>
      <c r="Q2406" s="37" t="str">
        <f>IF(P2406&gt;500,"High","low")</f>
        <v>High</v>
      </c>
      <c r="R2406" s="37" t="str">
        <f t="shared" si="189"/>
        <v>Excellent</v>
      </c>
      <c r="S2406" t="s">
        <v>620</v>
      </c>
    </row>
    <row r="2407" spans="1:19" x14ac:dyDescent="0.2">
      <c r="A2407" t="s">
        <v>3018</v>
      </c>
      <c r="B2407" t="s">
        <v>75</v>
      </c>
      <c r="C2407" t="s">
        <v>617</v>
      </c>
      <c r="D2407">
        <v>2195.86</v>
      </c>
      <c r="E2407" s="37" t="str">
        <f t="shared" si="185"/>
        <v xml:space="preserve"> </v>
      </c>
      <c r="F2407">
        <v>0.22</v>
      </c>
      <c r="G2407" s="37" t="str">
        <f t="shared" si="186"/>
        <v>Normal Discount</v>
      </c>
      <c r="H2407" s="37" t="str">
        <f t="shared" si="187"/>
        <v>Medium</v>
      </c>
      <c r="I2407">
        <v>2</v>
      </c>
      <c r="J2407" t="str" cm="1">
        <f t="array" ref="J2407">_xlfn.IFS(I2407&lt;=3,"small",I2407&lt;=6,"Medium",I2407&lt;=9,"Large")</f>
        <v>small</v>
      </c>
      <c r="K2407" s="36">
        <v>45511</v>
      </c>
      <c r="L2407" s="36">
        <v>45514</v>
      </c>
      <c r="M2407" t="s">
        <v>603</v>
      </c>
      <c r="N2407" t="s">
        <v>608</v>
      </c>
      <c r="O2407" s="37" t="str">
        <f t="shared" si="188"/>
        <v>Cash Payment</v>
      </c>
      <c r="P2407">
        <v>292.93</v>
      </c>
      <c r="Q2407" s="37" t="str">
        <f>IF(P2407&gt;500,"High","low")</f>
        <v>low</v>
      </c>
      <c r="R2407" s="37" t="str">
        <f t="shared" si="189"/>
        <v>AVERAGE</v>
      </c>
      <c r="S2407" t="s">
        <v>628</v>
      </c>
    </row>
    <row r="2408" spans="1:19" x14ac:dyDescent="0.2">
      <c r="A2408" t="s">
        <v>3019</v>
      </c>
      <c r="B2408" t="s">
        <v>83</v>
      </c>
      <c r="C2408" t="s">
        <v>614</v>
      </c>
      <c r="D2408">
        <v>2873.82</v>
      </c>
      <c r="E2408" s="37" t="str">
        <f t="shared" si="185"/>
        <v xml:space="preserve"> </v>
      </c>
      <c r="F2408">
        <v>0.24</v>
      </c>
      <c r="G2408" s="37" t="str">
        <f t="shared" si="186"/>
        <v>Normal Discount</v>
      </c>
      <c r="H2408" s="37" t="str">
        <f t="shared" si="187"/>
        <v>Medium</v>
      </c>
      <c r="I2408">
        <v>1</v>
      </c>
      <c r="J2408" t="str" cm="1">
        <f t="array" ref="J2408">_xlfn.IFS(I2408&lt;=3,"small",I2408&lt;=6,"Medium",I2408&lt;=9,"Large")</f>
        <v>small</v>
      </c>
      <c r="K2408" s="36">
        <v>45588</v>
      </c>
      <c r="L2408" s="36">
        <v>45593</v>
      </c>
      <c r="M2408" t="s">
        <v>598</v>
      </c>
      <c r="N2408" t="s">
        <v>608</v>
      </c>
      <c r="O2408" s="37" t="str">
        <f t="shared" si="188"/>
        <v>Cash Payment</v>
      </c>
      <c r="P2408">
        <v>400.29</v>
      </c>
      <c r="Q2408" s="37" t="str">
        <f>IF(P2408&gt;500,"High","low")</f>
        <v>low</v>
      </c>
      <c r="R2408" s="37" t="str">
        <f t="shared" si="189"/>
        <v>AVERAGE</v>
      </c>
      <c r="S2408" t="s">
        <v>609</v>
      </c>
    </row>
    <row r="2409" spans="1:19" x14ac:dyDescent="0.2">
      <c r="A2409" t="s">
        <v>3020</v>
      </c>
      <c r="B2409" t="s">
        <v>90</v>
      </c>
      <c r="C2409" t="s">
        <v>617</v>
      </c>
      <c r="D2409">
        <v>3542.74</v>
      </c>
      <c r="E2409" s="37" t="str">
        <f t="shared" si="185"/>
        <v xml:space="preserve"> </v>
      </c>
      <c r="F2409">
        <v>0.06</v>
      </c>
      <c r="G2409" s="37" t="str">
        <f t="shared" si="186"/>
        <v>Normal Discount</v>
      </c>
      <c r="H2409" s="37" t="str">
        <f t="shared" si="187"/>
        <v>Low</v>
      </c>
      <c r="I2409">
        <v>4</v>
      </c>
      <c r="J2409" t="str" cm="1">
        <f t="array" ref="J2409">_xlfn.IFS(I2409&lt;=3,"small",I2409&lt;=6,"Medium",I2409&lt;=9,"Large")</f>
        <v>Medium</v>
      </c>
      <c r="K2409" s="36">
        <v>45522</v>
      </c>
      <c r="L2409" s="36">
        <v>45523</v>
      </c>
      <c r="M2409" t="s">
        <v>612</v>
      </c>
      <c r="N2409" t="s">
        <v>604</v>
      </c>
      <c r="O2409" s="37" t="str">
        <f t="shared" si="188"/>
        <v>Digital Payment</v>
      </c>
      <c r="P2409">
        <v>279.60000000000002</v>
      </c>
      <c r="Q2409" s="37" t="str">
        <f>IF(P2409&gt;500,"High","low")</f>
        <v>low</v>
      </c>
      <c r="R2409" s="37" t="str">
        <f t="shared" si="189"/>
        <v>AVERAGE</v>
      </c>
      <c r="S2409" t="s">
        <v>620</v>
      </c>
    </row>
    <row r="2410" spans="1:19" x14ac:dyDescent="0.2">
      <c r="A2410" t="s">
        <v>3021</v>
      </c>
      <c r="B2410" t="s">
        <v>90</v>
      </c>
      <c r="C2410" t="s">
        <v>602</v>
      </c>
      <c r="D2410">
        <v>3107.02</v>
      </c>
      <c r="E2410" s="37" t="str">
        <f t="shared" si="185"/>
        <v xml:space="preserve"> </v>
      </c>
      <c r="F2410">
        <v>0.01</v>
      </c>
      <c r="G2410" s="37" t="str">
        <f t="shared" si="186"/>
        <v>Normal Discount</v>
      </c>
      <c r="H2410" s="37" t="str">
        <f t="shared" si="187"/>
        <v>Low</v>
      </c>
      <c r="I2410">
        <v>3</v>
      </c>
      <c r="J2410" t="str" cm="1">
        <f t="array" ref="J2410">_xlfn.IFS(I2410&lt;=3,"small",I2410&lt;=6,"Medium",I2410&lt;=9,"Large")</f>
        <v>small</v>
      </c>
      <c r="K2410" s="36">
        <v>45330</v>
      </c>
      <c r="L2410" s="36">
        <v>45332</v>
      </c>
      <c r="M2410" t="s">
        <v>612</v>
      </c>
      <c r="N2410" t="s">
        <v>608</v>
      </c>
      <c r="O2410" s="37" t="str">
        <f t="shared" si="188"/>
        <v>Cash Payment</v>
      </c>
      <c r="P2410">
        <v>552.65</v>
      </c>
      <c r="Q2410" s="37" t="str">
        <f>IF(P2410&gt;500,"High","low")</f>
        <v>High</v>
      </c>
      <c r="R2410" s="37" t="str">
        <f t="shared" si="189"/>
        <v>Good</v>
      </c>
      <c r="S2410" t="s">
        <v>628</v>
      </c>
    </row>
    <row r="2411" spans="1:19" x14ac:dyDescent="0.2">
      <c r="A2411" t="s">
        <v>3022</v>
      </c>
      <c r="B2411" t="s">
        <v>67</v>
      </c>
      <c r="C2411" t="s">
        <v>607</v>
      </c>
      <c r="D2411">
        <v>1624.15</v>
      </c>
      <c r="E2411" s="37" t="str">
        <f t="shared" si="185"/>
        <v xml:space="preserve"> </v>
      </c>
      <c r="F2411">
        <v>7.0000000000000007E-2</v>
      </c>
      <c r="G2411" s="37" t="str">
        <f t="shared" si="186"/>
        <v>Normal Discount</v>
      </c>
      <c r="H2411" s="37" t="str">
        <f t="shared" si="187"/>
        <v>Low</v>
      </c>
      <c r="I2411">
        <v>7</v>
      </c>
      <c r="J2411" t="str" cm="1">
        <f t="array" ref="J2411">_xlfn.IFS(I2411&lt;=3,"small",I2411&lt;=6,"Medium",I2411&lt;=9,"Large")</f>
        <v>Large</v>
      </c>
      <c r="K2411" s="36">
        <v>45529</v>
      </c>
      <c r="L2411" s="36">
        <v>45531</v>
      </c>
      <c r="M2411" t="s">
        <v>612</v>
      </c>
      <c r="N2411" t="s">
        <v>599</v>
      </c>
      <c r="O2411" s="37" t="str">
        <f t="shared" si="188"/>
        <v>Digital Payment</v>
      </c>
      <c r="P2411">
        <v>202.46</v>
      </c>
      <c r="Q2411" s="37" t="str">
        <f>IF(P2411&gt;500,"High","low")</f>
        <v>low</v>
      </c>
      <c r="R2411" s="37" t="str">
        <f t="shared" si="189"/>
        <v>AVERAGE</v>
      </c>
      <c r="S2411" t="s">
        <v>609</v>
      </c>
    </row>
    <row r="2412" spans="1:19" x14ac:dyDescent="0.2">
      <c r="A2412" t="s">
        <v>3023</v>
      </c>
      <c r="B2412" t="s">
        <v>90</v>
      </c>
      <c r="C2412" t="s">
        <v>597</v>
      </c>
      <c r="D2412">
        <v>4008.76</v>
      </c>
      <c r="E2412" s="37" t="str">
        <f t="shared" si="185"/>
        <v>Excellent Order</v>
      </c>
      <c r="F2412">
        <v>0.43</v>
      </c>
      <c r="G2412" s="37" t="str">
        <f t="shared" si="186"/>
        <v>Heavy Discount</v>
      </c>
      <c r="H2412" s="37" t="str">
        <f t="shared" si="187"/>
        <v>High</v>
      </c>
      <c r="I2412">
        <v>7</v>
      </c>
      <c r="J2412" t="str" cm="1">
        <f t="array" ref="J2412">_xlfn.IFS(I2412&lt;=3,"small",I2412&lt;=6,"Medium",I2412&lt;=9,"Large")</f>
        <v>Large</v>
      </c>
      <c r="K2412" s="36">
        <v>45028</v>
      </c>
      <c r="L2412" s="36">
        <v>45032</v>
      </c>
      <c r="M2412" t="s">
        <v>612</v>
      </c>
      <c r="N2412" t="s">
        <v>599</v>
      </c>
      <c r="O2412" s="37" t="str">
        <f t="shared" si="188"/>
        <v>Digital Payment</v>
      </c>
      <c r="P2412">
        <v>973.65</v>
      </c>
      <c r="Q2412" s="37" t="str">
        <f>IF(P2412&gt;500,"High","low")</f>
        <v>High</v>
      </c>
      <c r="R2412" s="37" t="str">
        <f t="shared" si="189"/>
        <v>Good</v>
      </c>
      <c r="S2412" t="s">
        <v>609</v>
      </c>
    </row>
    <row r="2413" spans="1:19" x14ac:dyDescent="0.2">
      <c r="A2413" t="s">
        <v>3024</v>
      </c>
      <c r="B2413" t="s">
        <v>90</v>
      </c>
      <c r="C2413" t="s">
        <v>607</v>
      </c>
      <c r="D2413">
        <v>639.75</v>
      </c>
      <c r="E2413" s="37" t="str">
        <f t="shared" si="185"/>
        <v xml:space="preserve"> </v>
      </c>
      <c r="F2413">
        <v>0.38</v>
      </c>
      <c r="G2413" s="37" t="str">
        <f t="shared" si="186"/>
        <v>Heavy Discount</v>
      </c>
      <c r="H2413" s="37" t="str">
        <f t="shared" si="187"/>
        <v>Medium</v>
      </c>
      <c r="I2413">
        <v>6</v>
      </c>
      <c r="J2413" t="str" cm="1">
        <f t="array" ref="J2413">_xlfn.IFS(I2413&lt;=3,"small",I2413&lt;=6,"Medium",I2413&lt;=9,"Large")</f>
        <v>Medium</v>
      </c>
      <c r="K2413" s="36">
        <v>45192</v>
      </c>
      <c r="L2413" s="36">
        <v>45193</v>
      </c>
      <c r="M2413" t="s">
        <v>612</v>
      </c>
      <c r="N2413" t="s">
        <v>599</v>
      </c>
      <c r="O2413" s="37" t="str">
        <f t="shared" si="188"/>
        <v>Digital Payment</v>
      </c>
      <c r="P2413">
        <v>64.930000000000007</v>
      </c>
      <c r="Q2413" s="37" t="str">
        <f>IF(P2413&gt;500,"High","low")</f>
        <v>low</v>
      </c>
      <c r="R2413" s="37" t="str">
        <f t="shared" si="189"/>
        <v>AVERAGE</v>
      </c>
      <c r="S2413" t="s">
        <v>600</v>
      </c>
    </row>
    <row r="2414" spans="1:19" x14ac:dyDescent="0.2">
      <c r="A2414" t="s">
        <v>3025</v>
      </c>
      <c r="B2414" t="s">
        <v>83</v>
      </c>
      <c r="C2414" t="s">
        <v>602</v>
      </c>
      <c r="D2414">
        <v>2888.08</v>
      </c>
      <c r="E2414" s="37" t="str">
        <f t="shared" si="185"/>
        <v xml:space="preserve"> </v>
      </c>
      <c r="F2414">
        <v>0.4</v>
      </c>
      <c r="G2414" s="37" t="str">
        <f t="shared" si="186"/>
        <v>Heavy Discount</v>
      </c>
      <c r="H2414" s="37" t="str">
        <f t="shared" si="187"/>
        <v>Medium</v>
      </c>
      <c r="I2414">
        <v>5</v>
      </c>
      <c r="J2414" t="str" cm="1">
        <f t="array" ref="J2414">_xlfn.IFS(I2414&lt;=3,"small",I2414&lt;=6,"Medium",I2414&lt;=9,"Large")</f>
        <v>Medium</v>
      </c>
      <c r="K2414" s="36">
        <v>45009</v>
      </c>
      <c r="L2414" s="36">
        <v>45014</v>
      </c>
      <c r="M2414" t="s">
        <v>612</v>
      </c>
      <c r="N2414" t="s">
        <v>604</v>
      </c>
      <c r="O2414" s="37" t="str">
        <f t="shared" si="188"/>
        <v>Digital Payment</v>
      </c>
      <c r="P2414">
        <v>677.2</v>
      </c>
      <c r="Q2414" s="37" t="str">
        <f>IF(P2414&gt;500,"High","low")</f>
        <v>High</v>
      </c>
      <c r="R2414" s="37" t="str">
        <f t="shared" si="189"/>
        <v>Good</v>
      </c>
      <c r="S2414" t="s">
        <v>605</v>
      </c>
    </row>
    <row r="2415" spans="1:19" x14ac:dyDescent="0.2">
      <c r="A2415" t="s">
        <v>3026</v>
      </c>
      <c r="B2415" t="s">
        <v>90</v>
      </c>
      <c r="C2415" t="s">
        <v>602</v>
      </c>
      <c r="D2415">
        <v>1439.25</v>
      </c>
      <c r="E2415" s="37" t="str">
        <f t="shared" si="185"/>
        <v xml:space="preserve"> </v>
      </c>
      <c r="F2415">
        <v>0.14000000000000001</v>
      </c>
      <c r="G2415" s="37" t="str">
        <f t="shared" si="186"/>
        <v>Normal Discount</v>
      </c>
      <c r="H2415" s="37" t="str">
        <f t="shared" si="187"/>
        <v>Low</v>
      </c>
      <c r="I2415">
        <v>3</v>
      </c>
      <c r="J2415" t="str" cm="1">
        <f t="array" ref="J2415">_xlfn.IFS(I2415&lt;=3,"small",I2415&lt;=6,"Medium",I2415&lt;=9,"Large")</f>
        <v>small</v>
      </c>
      <c r="K2415" s="36">
        <v>45646</v>
      </c>
      <c r="L2415" s="36">
        <v>45647</v>
      </c>
      <c r="M2415" t="s">
        <v>603</v>
      </c>
      <c r="N2415" t="s">
        <v>608</v>
      </c>
      <c r="O2415" s="37" t="str">
        <f t="shared" si="188"/>
        <v>Cash Payment</v>
      </c>
      <c r="P2415">
        <v>219.31</v>
      </c>
      <c r="Q2415" s="37" t="str">
        <f>IF(P2415&gt;500,"High","low")</f>
        <v>low</v>
      </c>
      <c r="R2415" s="37" t="str">
        <f t="shared" si="189"/>
        <v>AVERAGE</v>
      </c>
      <c r="S2415" t="s">
        <v>609</v>
      </c>
    </row>
    <row r="2416" spans="1:19" x14ac:dyDescent="0.2">
      <c r="A2416" t="s">
        <v>3027</v>
      </c>
      <c r="B2416" t="s">
        <v>83</v>
      </c>
      <c r="C2416" t="s">
        <v>614</v>
      </c>
      <c r="D2416">
        <v>3117.24</v>
      </c>
      <c r="E2416" s="37" t="str">
        <f t="shared" si="185"/>
        <v xml:space="preserve"> </v>
      </c>
      <c r="F2416">
        <v>0.12</v>
      </c>
      <c r="G2416" s="37" t="str">
        <f t="shared" si="186"/>
        <v>Normal Discount</v>
      </c>
      <c r="H2416" s="37" t="str">
        <f t="shared" si="187"/>
        <v>Low</v>
      </c>
      <c r="I2416">
        <v>4</v>
      </c>
      <c r="J2416" t="str" cm="1">
        <f t="array" ref="J2416">_xlfn.IFS(I2416&lt;=3,"small",I2416&lt;=6,"Medium",I2416&lt;=9,"Large")</f>
        <v>Medium</v>
      </c>
      <c r="K2416" s="36">
        <v>45222</v>
      </c>
      <c r="L2416" s="36">
        <v>45226</v>
      </c>
      <c r="M2416" t="s">
        <v>603</v>
      </c>
      <c r="N2416" t="s">
        <v>604</v>
      </c>
      <c r="O2416" s="37" t="str">
        <f t="shared" si="188"/>
        <v>Digital Payment</v>
      </c>
      <c r="P2416">
        <v>887.45</v>
      </c>
      <c r="Q2416" s="37" t="str">
        <f>IF(P2416&gt;500,"High","low")</f>
        <v>High</v>
      </c>
      <c r="R2416" s="37" t="str">
        <f t="shared" si="189"/>
        <v>Good</v>
      </c>
      <c r="S2416" t="s">
        <v>609</v>
      </c>
    </row>
    <row r="2417" spans="1:19" x14ac:dyDescent="0.2">
      <c r="A2417" t="s">
        <v>3028</v>
      </c>
      <c r="B2417" t="s">
        <v>83</v>
      </c>
      <c r="C2417" t="s">
        <v>617</v>
      </c>
      <c r="D2417">
        <v>1168.17</v>
      </c>
      <c r="E2417" s="37" t="str">
        <f t="shared" si="185"/>
        <v xml:space="preserve"> </v>
      </c>
      <c r="F2417">
        <v>0.02</v>
      </c>
      <c r="G2417" s="37" t="str">
        <f t="shared" si="186"/>
        <v>Normal Discount</v>
      </c>
      <c r="H2417" s="37" t="str">
        <f t="shared" si="187"/>
        <v>Low</v>
      </c>
      <c r="I2417">
        <v>5</v>
      </c>
      <c r="J2417" t="str" cm="1">
        <f t="array" ref="J2417">_xlfn.IFS(I2417&lt;=3,"small",I2417&lt;=6,"Medium",I2417&lt;=9,"Large")</f>
        <v>Medium</v>
      </c>
      <c r="K2417" s="36">
        <v>45172</v>
      </c>
      <c r="L2417" s="36">
        <v>45174</v>
      </c>
      <c r="M2417" t="s">
        <v>612</v>
      </c>
      <c r="N2417" t="s">
        <v>604</v>
      </c>
      <c r="O2417" s="37" t="str">
        <f t="shared" si="188"/>
        <v>Digital Payment</v>
      </c>
      <c r="P2417">
        <v>225.91</v>
      </c>
      <c r="Q2417" s="37" t="str">
        <f>IF(P2417&gt;500,"High","low")</f>
        <v>low</v>
      </c>
      <c r="R2417" s="37" t="str">
        <f t="shared" si="189"/>
        <v>AVERAGE</v>
      </c>
      <c r="S2417" t="s">
        <v>615</v>
      </c>
    </row>
    <row r="2418" spans="1:19" x14ac:dyDescent="0.2">
      <c r="A2418" t="s">
        <v>3029</v>
      </c>
      <c r="B2418" t="s">
        <v>83</v>
      </c>
      <c r="C2418" t="s">
        <v>617</v>
      </c>
      <c r="D2418">
        <v>3883.78</v>
      </c>
      <c r="E2418" s="37" t="str">
        <f t="shared" si="185"/>
        <v xml:space="preserve"> </v>
      </c>
      <c r="F2418">
        <v>0.24</v>
      </c>
      <c r="G2418" s="37" t="str">
        <f t="shared" si="186"/>
        <v>Normal Discount</v>
      </c>
      <c r="H2418" s="37" t="str">
        <f t="shared" si="187"/>
        <v>Medium</v>
      </c>
      <c r="I2418">
        <v>4</v>
      </c>
      <c r="J2418" t="str" cm="1">
        <f t="array" ref="J2418">_xlfn.IFS(I2418&lt;=3,"small",I2418&lt;=6,"Medium",I2418&lt;=9,"Large")</f>
        <v>Medium</v>
      </c>
      <c r="K2418" s="36">
        <v>45187</v>
      </c>
      <c r="L2418" s="36">
        <v>45192</v>
      </c>
      <c r="M2418" t="s">
        <v>598</v>
      </c>
      <c r="N2418" t="s">
        <v>599</v>
      </c>
      <c r="O2418" s="37" t="str">
        <f t="shared" si="188"/>
        <v>Digital Payment</v>
      </c>
      <c r="P2418">
        <v>1054.78</v>
      </c>
      <c r="Q2418" s="37" t="str">
        <f>IF(P2418&gt;500,"High","low")</f>
        <v>High</v>
      </c>
      <c r="R2418" s="37" t="str">
        <f t="shared" si="189"/>
        <v>Excellent</v>
      </c>
      <c r="S2418" t="s">
        <v>605</v>
      </c>
    </row>
    <row r="2419" spans="1:19" x14ac:dyDescent="0.2">
      <c r="A2419" t="s">
        <v>3030</v>
      </c>
      <c r="B2419" t="s">
        <v>83</v>
      </c>
      <c r="C2419" t="s">
        <v>607</v>
      </c>
      <c r="D2419">
        <v>1214.93</v>
      </c>
      <c r="E2419" s="37" t="str">
        <f t="shared" si="185"/>
        <v xml:space="preserve"> </v>
      </c>
      <c r="F2419">
        <v>0.19</v>
      </c>
      <c r="G2419" s="37" t="str">
        <f t="shared" si="186"/>
        <v>Normal Discount</v>
      </c>
      <c r="H2419" s="37" t="str">
        <f t="shared" si="187"/>
        <v>Low</v>
      </c>
      <c r="I2419">
        <v>3</v>
      </c>
      <c r="J2419" t="str" cm="1">
        <f t="array" ref="J2419">_xlfn.IFS(I2419&lt;=3,"small",I2419&lt;=6,"Medium",I2419&lt;=9,"Large")</f>
        <v>small</v>
      </c>
      <c r="K2419" s="36">
        <v>45633</v>
      </c>
      <c r="L2419" s="36">
        <v>45639</v>
      </c>
      <c r="M2419" t="s">
        <v>598</v>
      </c>
      <c r="N2419" t="s">
        <v>599</v>
      </c>
      <c r="O2419" s="37" t="str">
        <f t="shared" si="188"/>
        <v>Digital Payment</v>
      </c>
      <c r="P2419">
        <v>138.87</v>
      </c>
      <c r="Q2419" s="37" t="str">
        <f>IF(P2419&gt;500,"High","low")</f>
        <v>low</v>
      </c>
      <c r="R2419" s="37" t="str">
        <f t="shared" si="189"/>
        <v>AVERAGE</v>
      </c>
      <c r="S2419" t="s">
        <v>620</v>
      </c>
    </row>
    <row r="2420" spans="1:19" x14ac:dyDescent="0.2">
      <c r="A2420" t="s">
        <v>3031</v>
      </c>
      <c r="B2420" t="s">
        <v>75</v>
      </c>
      <c r="C2420" t="s">
        <v>597</v>
      </c>
      <c r="D2420">
        <v>4462.92</v>
      </c>
      <c r="E2420" s="37" t="str">
        <f t="shared" si="185"/>
        <v>Excellent Order</v>
      </c>
      <c r="F2420">
        <v>0.42</v>
      </c>
      <c r="G2420" s="37" t="str">
        <f t="shared" si="186"/>
        <v>Heavy Discount</v>
      </c>
      <c r="H2420" s="37" t="str">
        <f t="shared" si="187"/>
        <v>High</v>
      </c>
      <c r="I2420">
        <v>2</v>
      </c>
      <c r="J2420" t="str" cm="1">
        <f t="array" ref="J2420">_xlfn.IFS(I2420&lt;=3,"small",I2420&lt;=6,"Medium",I2420&lt;=9,"Large")</f>
        <v>small</v>
      </c>
      <c r="K2420" s="36">
        <v>45078</v>
      </c>
      <c r="L2420" s="36">
        <v>45084</v>
      </c>
      <c r="M2420" t="s">
        <v>598</v>
      </c>
      <c r="N2420" t="s">
        <v>599</v>
      </c>
      <c r="O2420" s="37" t="str">
        <f t="shared" si="188"/>
        <v>Digital Payment</v>
      </c>
      <c r="P2420">
        <v>1279.69</v>
      </c>
      <c r="Q2420" s="37" t="str">
        <f>IF(P2420&gt;500,"High","low")</f>
        <v>High</v>
      </c>
      <c r="R2420" s="37" t="str">
        <f t="shared" si="189"/>
        <v>Excellent</v>
      </c>
      <c r="S2420" t="s">
        <v>600</v>
      </c>
    </row>
    <row r="2421" spans="1:19" x14ac:dyDescent="0.2">
      <c r="A2421" t="s">
        <v>3032</v>
      </c>
      <c r="B2421" t="s">
        <v>67</v>
      </c>
      <c r="C2421" t="s">
        <v>597</v>
      </c>
      <c r="D2421">
        <v>4321.62</v>
      </c>
      <c r="E2421" s="37" t="str">
        <f t="shared" si="185"/>
        <v xml:space="preserve"> </v>
      </c>
      <c r="F2421">
        <v>0.34</v>
      </c>
      <c r="G2421" s="37" t="str">
        <f t="shared" si="186"/>
        <v>Heavy Discount</v>
      </c>
      <c r="H2421" s="37" t="str">
        <f t="shared" si="187"/>
        <v>Medium</v>
      </c>
      <c r="I2421">
        <v>5</v>
      </c>
      <c r="J2421" t="str" cm="1">
        <f t="array" ref="J2421">_xlfn.IFS(I2421&lt;=3,"small",I2421&lt;=6,"Medium",I2421&lt;=9,"Large")</f>
        <v>Medium</v>
      </c>
      <c r="K2421" s="36">
        <v>45300</v>
      </c>
      <c r="L2421" s="36">
        <v>45302</v>
      </c>
      <c r="M2421" t="s">
        <v>612</v>
      </c>
      <c r="N2421" t="s">
        <v>599</v>
      </c>
      <c r="O2421" s="37" t="str">
        <f t="shared" si="188"/>
        <v>Digital Payment</v>
      </c>
      <c r="P2421">
        <v>450.37</v>
      </c>
      <c r="Q2421" s="37" t="str">
        <f>IF(P2421&gt;500,"High","low")</f>
        <v>low</v>
      </c>
      <c r="R2421" s="37" t="str">
        <f t="shared" si="189"/>
        <v>AVERAGE</v>
      </c>
      <c r="S2421" t="s">
        <v>609</v>
      </c>
    </row>
    <row r="2422" spans="1:19" x14ac:dyDescent="0.2">
      <c r="A2422" t="s">
        <v>3033</v>
      </c>
      <c r="B2422" t="s">
        <v>75</v>
      </c>
      <c r="C2422" t="s">
        <v>614</v>
      </c>
      <c r="D2422">
        <v>1875.73</v>
      </c>
      <c r="E2422" s="37" t="str">
        <f t="shared" si="185"/>
        <v xml:space="preserve"> </v>
      </c>
      <c r="F2422">
        <v>7.0000000000000007E-2</v>
      </c>
      <c r="G2422" s="37" t="str">
        <f t="shared" si="186"/>
        <v>Normal Discount</v>
      </c>
      <c r="H2422" s="37" t="str">
        <f t="shared" si="187"/>
        <v>Low</v>
      </c>
      <c r="I2422">
        <v>2</v>
      </c>
      <c r="J2422" t="str" cm="1">
        <f t="array" ref="J2422">_xlfn.IFS(I2422&lt;=3,"small",I2422&lt;=6,"Medium",I2422&lt;=9,"Large")</f>
        <v>small</v>
      </c>
      <c r="K2422" s="36">
        <v>45272</v>
      </c>
      <c r="L2422" s="36">
        <v>45275</v>
      </c>
      <c r="M2422" t="s">
        <v>612</v>
      </c>
      <c r="N2422" t="s">
        <v>599</v>
      </c>
      <c r="O2422" s="37" t="str">
        <f t="shared" si="188"/>
        <v>Digital Payment</v>
      </c>
      <c r="P2422">
        <v>537.25</v>
      </c>
      <c r="Q2422" s="37" t="str">
        <f>IF(P2422&gt;500,"High","low")</f>
        <v>High</v>
      </c>
      <c r="R2422" s="37" t="str">
        <f t="shared" si="189"/>
        <v>Good</v>
      </c>
      <c r="S2422" t="s">
        <v>620</v>
      </c>
    </row>
    <row r="2423" spans="1:19" x14ac:dyDescent="0.2">
      <c r="A2423" t="s">
        <v>3034</v>
      </c>
      <c r="B2423" t="s">
        <v>90</v>
      </c>
      <c r="C2423" t="s">
        <v>602</v>
      </c>
      <c r="D2423">
        <v>1990.52</v>
      </c>
      <c r="E2423" s="37" t="str">
        <f t="shared" si="185"/>
        <v xml:space="preserve"> </v>
      </c>
      <c r="F2423">
        <v>0.49</v>
      </c>
      <c r="G2423" s="37" t="str">
        <f t="shared" si="186"/>
        <v>Heavy Discount</v>
      </c>
      <c r="H2423" s="37" t="str">
        <f t="shared" si="187"/>
        <v>High</v>
      </c>
      <c r="I2423">
        <v>2</v>
      </c>
      <c r="J2423" t="str" cm="1">
        <f t="array" ref="J2423">_xlfn.IFS(I2423&lt;=3,"small",I2423&lt;=6,"Medium",I2423&lt;=9,"Large")</f>
        <v>small</v>
      </c>
      <c r="K2423" s="36">
        <v>45597</v>
      </c>
      <c r="L2423" s="36">
        <v>45601</v>
      </c>
      <c r="M2423" t="s">
        <v>598</v>
      </c>
      <c r="N2423" t="s">
        <v>604</v>
      </c>
      <c r="O2423" s="37" t="str">
        <f t="shared" si="188"/>
        <v>Digital Payment</v>
      </c>
      <c r="P2423">
        <v>535.28</v>
      </c>
      <c r="Q2423" s="37" t="str">
        <f>IF(P2423&gt;500,"High","low")</f>
        <v>High</v>
      </c>
      <c r="R2423" s="37" t="str">
        <f t="shared" si="189"/>
        <v>Good</v>
      </c>
      <c r="S2423" t="s">
        <v>609</v>
      </c>
    </row>
    <row r="2424" spans="1:19" x14ac:dyDescent="0.2">
      <c r="A2424" t="s">
        <v>3035</v>
      </c>
      <c r="B2424" t="s">
        <v>75</v>
      </c>
      <c r="C2424" t="s">
        <v>614</v>
      </c>
      <c r="D2424">
        <v>3537.37</v>
      </c>
      <c r="E2424" s="37" t="str">
        <f t="shared" si="185"/>
        <v xml:space="preserve"> </v>
      </c>
      <c r="F2424">
        <v>0.39</v>
      </c>
      <c r="G2424" s="37" t="str">
        <f t="shared" si="186"/>
        <v>Heavy Discount</v>
      </c>
      <c r="H2424" s="37" t="str">
        <f t="shared" si="187"/>
        <v>Medium</v>
      </c>
      <c r="I2424">
        <v>2</v>
      </c>
      <c r="J2424" t="str" cm="1">
        <f t="array" ref="J2424">_xlfn.IFS(I2424&lt;=3,"small",I2424&lt;=6,"Medium",I2424&lt;=9,"Large")</f>
        <v>small</v>
      </c>
      <c r="K2424" s="36">
        <v>45421</v>
      </c>
      <c r="L2424" s="36">
        <v>45423</v>
      </c>
      <c r="M2424" t="s">
        <v>603</v>
      </c>
      <c r="N2424" t="s">
        <v>608</v>
      </c>
      <c r="O2424" s="37" t="str">
        <f t="shared" si="188"/>
        <v>Cash Payment</v>
      </c>
      <c r="P2424">
        <v>355.6</v>
      </c>
      <c r="Q2424" s="37" t="str">
        <f>IF(P2424&gt;500,"High","low")</f>
        <v>low</v>
      </c>
      <c r="R2424" s="37" t="str">
        <f t="shared" si="189"/>
        <v>AVERAGE</v>
      </c>
      <c r="S2424" t="s">
        <v>615</v>
      </c>
    </row>
    <row r="2425" spans="1:19" x14ac:dyDescent="0.2">
      <c r="A2425" t="s">
        <v>3036</v>
      </c>
      <c r="B2425" t="s">
        <v>75</v>
      </c>
      <c r="C2425" t="s">
        <v>617</v>
      </c>
      <c r="D2425">
        <v>542.83000000000004</v>
      </c>
      <c r="E2425" s="37" t="str">
        <f t="shared" si="185"/>
        <v xml:space="preserve"> </v>
      </c>
      <c r="F2425">
        <v>0.36</v>
      </c>
      <c r="G2425" s="37" t="str">
        <f t="shared" si="186"/>
        <v>Heavy Discount</v>
      </c>
      <c r="H2425" s="37" t="str">
        <f t="shared" si="187"/>
        <v>Medium</v>
      </c>
      <c r="I2425">
        <v>2</v>
      </c>
      <c r="J2425" t="str" cm="1">
        <f t="array" ref="J2425">_xlfn.IFS(I2425&lt;=3,"small",I2425&lt;=6,"Medium",I2425&lt;=9,"Large")</f>
        <v>small</v>
      </c>
      <c r="K2425" s="36">
        <v>45044</v>
      </c>
      <c r="L2425" s="36">
        <v>45049</v>
      </c>
      <c r="M2425" t="s">
        <v>603</v>
      </c>
      <c r="N2425" t="s">
        <v>599</v>
      </c>
      <c r="O2425" s="37" t="str">
        <f t="shared" si="188"/>
        <v>Digital Payment</v>
      </c>
      <c r="P2425">
        <v>116.27</v>
      </c>
      <c r="Q2425" s="37" t="str">
        <f>IF(P2425&gt;500,"High","low")</f>
        <v>low</v>
      </c>
      <c r="R2425" s="37" t="str">
        <f t="shared" si="189"/>
        <v>AVERAGE</v>
      </c>
      <c r="S2425" t="s">
        <v>615</v>
      </c>
    </row>
    <row r="2426" spans="1:19" x14ac:dyDescent="0.2">
      <c r="A2426" t="s">
        <v>3037</v>
      </c>
      <c r="B2426" t="s">
        <v>90</v>
      </c>
      <c r="C2426" t="s">
        <v>602</v>
      </c>
      <c r="D2426">
        <v>496.51</v>
      </c>
      <c r="E2426" s="37" t="str">
        <f t="shared" si="185"/>
        <v xml:space="preserve"> </v>
      </c>
      <c r="F2426">
        <v>0.11</v>
      </c>
      <c r="G2426" s="37" t="str">
        <f t="shared" si="186"/>
        <v>Normal Discount</v>
      </c>
      <c r="H2426" s="37" t="str">
        <f t="shared" si="187"/>
        <v>Low</v>
      </c>
      <c r="I2426">
        <v>8</v>
      </c>
      <c r="J2426" t="str" cm="1">
        <f t="array" ref="J2426">_xlfn.IFS(I2426&lt;=3,"small",I2426&lt;=6,"Medium",I2426&lt;=9,"Large")</f>
        <v>Large</v>
      </c>
      <c r="K2426" s="36">
        <v>45554</v>
      </c>
      <c r="L2426" s="36">
        <v>45555</v>
      </c>
      <c r="M2426" t="s">
        <v>603</v>
      </c>
      <c r="N2426" t="s">
        <v>608</v>
      </c>
      <c r="O2426" s="37" t="str">
        <f t="shared" si="188"/>
        <v>Cash Payment</v>
      </c>
      <c r="P2426">
        <v>70.650000000000006</v>
      </c>
      <c r="Q2426" s="37" t="str">
        <f>IF(P2426&gt;500,"High","low")</f>
        <v>low</v>
      </c>
      <c r="R2426" s="37" t="str">
        <f t="shared" si="189"/>
        <v>AVERAGE</v>
      </c>
      <c r="S2426" t="s">
        <v>620</v>
      </c>
    </row>
    <row r="2427" spans="1:19" x14ac:dyDescent="0.2">
      <c r="A2427" t="s">
        <v>3038</v>
      </c>
      <c r="B2427" t="s">
        <v>90</v>
      </c>
      <c r="C2427" t="s">
        <v>614</v>
      </c>
      <c r="D2427">
        <v>767.99</v>
      </c>
      <c r="E2427" s="37" t="str">
        <f t="shared" si="185"/>
        <v xml:space="preserve"> </v>
      </c>
      <c r="F2427">
        <v>0.45</v>
      </c>
      <c r="G2427" s="37" t="str">
        <f t="shared" si="186"/>
        <v>Heavy Discount</v>
      </c>
      <c r="H2427" s="37" t="str">
        <f t="shared" si="187"/>
        <v>High</v>
      </c>
      <c r="I2427">
        <v>7</v>
      </c>
      <c r="J2427" t="str" cm="1">
        <f t="array" ref="J2427">_xlfn.IFS(I2427&lt;=3,"small",I2427&lt;=6,"Medium",I2427&lt;=9,"Large")</f>
        <v>Large</v>
      </c>
      <c r="K2427" s="36">
        <v>45633</v>
      </c>
      <c r="L2427" s="36">
        <v>45637</v>
      </c>
      <c r="M2427" t="s">
        <v>598</v>
      </c>
      <c r="N2427" t="s">
        <v>604</v>
      </c>
      <c r="O2427" s="37" t="str">
        <f t="shared" si="188"/>
        <v>Digital Payment</v>
      </c>
      <c r="P2427">
        <v>115.5</v>
      </c>
      <c r="Q2427" s="37" t="str">
        <f>IF(P2427&gt;500,"High","low")</f>
        <v>low</v>
      </c>
      <c r="R2427" s="37" t="str">
        <f t="shared" si="189"/>
        <v>AVERAGE</v>
      </c>
      <c r="S2427" t="s">
        <v>628</v>
      </c>
    </row>
    <row r="2428" spans="1:19" x14ac:dyDescent="0.2">
      <c r="A2428" t="s">
        <v>3039</v>
      </c>
      <c r="B2428" t="s">
        <v>90</v>
      </c>
      <c r="C2428" t="s">
        <v>607</v>
      </c>
      <c r="D2428">
        <v>2856.13</v>
      </c>
      <c r="E2428" s="37" t="str">
        <f t="shared" si="185"/>
        <v xml:space="preserve"> </v>
      </c>
      <c r="F2428">
        <v>0.24</v>
      </c>
      <c r="G2428" s="37" t="str">
        <f t="shared" si="186"/>
        <v>Normal Discount</v>
      </c>
      <c r="H2428" s="37" t="str">
        <f t="shared" si="187"/>
        <v>Medium</v>
      </c>
      <c r="I2428">
        <v>9</v>
      </c>
      <c r="J2428" t="str" cm="1">
        <f t="array" ref="J2428">_xlfn.IFS(I2428&lt;=3,"small",I2428&lt;=6,"Medium",I2428&lt;=9,"Large")</f>
        <v>Large</v>
      </c>
      <c r="K2428" s="36">
        <v>45300</v>
      </c>
      <c r="L2428" s="36">
        <v>45302</v>
      </c>
      <c r="M2428" t="s">
        <v>612</v>
      </c>
      <c r="N2428" t="s">
        <v>599</v>
      </c>
      <c r="O2428" s="37" t="str">
        <f t="shared" si="188"/>
        <v>Digital Payment</v>
      </c>
      <c r="P2428">
        <v>171.02</v>
      </c>
      <c r="Q2428" s="37" t="str">
        <f>IF(P2428&gt;500,"High","low")</f>
        <v>low</v>
      </c>
      <c r="R2428" s="37" t="str">
        <f t="shared" si="189"/>
        <v>AVERAGE</v>
      </c>
      <c r="S2428" t="s">
        <v>609</v>
      </c>
    </row>
    <row r="2429" spans="1:19" x14ac:dyDescent="0.2">
      <c r="A2429" t="s">
        <v>3040</v>
      </c>
      <c r="B2429" t="s">
        <v>75</v>
      </c>
      <c r="C2429" t="s">
        <v>617</v>
      </c>
      <c r="D2429">
        <v>830.11</v>
      </c>
      <c r="E2429" s="37" t="str">
        <f t="shared" si="185"/>
        <v xml:space="preserve"> </v>
      </c>
      <c r="F2429">
        <v>0.15</v>
      </c>
      <c r="G2429" s="37" t="str">
        <f t="shared" si="186"/>
        <v>Normal Discount</v>
      </c>
      <c r="H2429" s="37" t="str">
        <f t="shared" si="187"/>
        <v>Low</v>
      </c>
      <c r="I2429">
        <v>3</v>
      </c>
      <c r="J2429" t="str" cm="1">
        <f t="array" ref="J2429">_xlfn.IFS(I2429&lt;=3,"small",I2429&lt;=6,"Medium",I2429&lt;=9,"Large")</f>
        <v>small</v>
      </c>
      <c r="K2429" s="36">
        <v>45055</v>
      </c>
      <c r="L2429" s="36">
        <v>45058</v>
      </c>
      <c r="M2429" t="s">
        <v>598</v>
      </c>
      <c r="N2429" t="s">
        <v>608</v>
      </c>
      <c r="O2429" s="37" t="str">
        <f t="shared" si="188"/>
        <v>Cash Payment</v>
      </c>
      <c r="P2429">
        <v>213.42</v>
      </c>
      <c r="Q2429" s="37" t="str">
        <f>IF(P2429&gt;500,"High","low")</f>
        <v>low</v>
      </c>
      <c r="R2429" s="37" t="str">
        <f t="shared" si="189"/>
        <v>AVERAGE</v>
      </c>
      <c r="S2429" t="s">
        <v>628</v>
      </c>
    </row>
    <row r="2430" spans="1:19" x14ac:dyDescent="0.2">
      <c r="A2430" t="s">
        <v>3041</v>
      </c>
      <c r="B2430" t="s">
        <v>75</v>
      </c>
      <c r="C2430" t="s">
        <v>597</v>
      </c>
      <c r="D2430">
        <v>1460.32</v>
      </c>
      <c r="E2430" s="37" t="str">
        <f t="shared" si="185"/>
        <v xml:space="preserve"> </v>
      </c>
      <c r="F2430">
        <v>0.33</v>
      </c>
      <c r="G2430" s="37" t="str">
        <f t="shared" si="186"/>
        <v>Heavy Discount</v>
      </c>
      <c r="H2430" s="37" t="str">
        <f t="shared" si="187"/>
        <v>Medium</v>
      </c>
      <c r="I2430">
        <v>1</v>
      </c>
      <c r="J2430" t="str" cm="1">
        <f t="array" ref="J2430">_xlfn.IFS(I2430&lt;=3,"small",I2430&lt;=6,"Medium",I2430&lt;=9,"Large")</f>
        <v>small</v>
      </c>
      <c r="K2430" s="36">
        <v>45129</v>
      </c>
      <c r="L2430" s="36">
        <v>45136</v>
      </c>
      <c r="M2430" t="s">
        <v>603</v>
      </c>
      <c r="N2430" t="s">
        <v>608</v>
      </c>
      <c r="O2430" s="37" t="str">
        <f t="shared" si="188"/>
        <v>Cash Payment</v>
      </c>
      <c r="P2430">
        <v>167.78</v>
      </c>
      <c r="Q2430" s="37" t="str">
        <f>IF(P2430&gt;500,"High","low")</f>
        <v>low</v>
      </c>
      <c r="R2430" s="37" t="str">
        <f t="shared" si="189"/>
        <v>AVERAGE</v>
      </c>
      <c r="S2430" t="s">
        <v>620</v>
      </c>
    </row>
    <row r="2431" spans="1:19" x14ac:dyDescent="0.2">
      <c r="A2431" t="s">
        <v>3042</v>
      </c>
      <c r="B2431" t="s">
        <v>90</v>
      </c>
      <c r="C2431" t="s">
        <v>614</v>
      </c>
      <c r="D2431">
        <v>3269.87</v>
      </c>
      <c r="E2431" s="37" t="str">
        <f t="shared" si="185"/>
        <v xml:space="preserve"> </v>
      </c>
      <c r="F2431">
        <v>0.11</v>
      </c>
      <c r="G2431" s="37" t="str">
        <f t="shared" si="186"/>
        <v>Normal Discount</v>
      </c>
      <c r="H2431" s="37" t="str">
        <f t="shared" si="187"/>
        <v>Low</v>
      </c>
      <c r="I2431">
        <v>6</v>
      </c>
      <c r="J2431" t="str" cm="1">
        <f t="array" ref="J2431">_xlfn.IFS(I2431&lt;=3,"small",I2431&lt;=6,"Medium",I2431&lt;=9,"Large")</f>
        <v>Medium</v>
      </c>
      <c r="K2431" s="36">
        <v>45125</v>
      </c>
      <c r="L2431" s="36">
        <v>45127</v>
      </c>
      <c r="M2431" t="s">
        <v>603</v>
      </c>
      <c r="N2431" t="s">
        <v>599</v>
      </c>
      <c r="O2431" s="37" t="str">
        <f t="shared" si="188"/>
        <v>Digital Payment</v>
      </c>
      <c r="P2431">
        <v>791.94</v>
      </c>
      <c r="Q2431" s="37" t="str">
        <f>IF(P2431&gt;500,"High","low")</f>
        <v>High</v>
      </c>
      <c r="R2431" s="37" t="str">
        <f t="shared" si="189"/>
        <v>Good</v>
      </c>
      <c r="S2431" t="s">
        <v>600</v>
      </c>
    </row>
    <row r="2432" spans="1:19" x14ac:dyDescent="0.2">
      <c r="A2432" t="s">
        <v>3043</v>
      </c>
      <c r="B2432" t="s">
        <v>67</v>
      </c>
      <c r="C2432" t="s">
        <v>617</v>
      </c>
      <c r="D2432">
        <v>176.56</v>
      </c>
      <c r="E2432" s="37" t="str">
        <f t="shared" si="185"/>
        <v xml:space="preserve"> </v>
      </c>
      <c r="F2432">
        <v>0.45</v>
      </c>
      <c r="G2432" s="37" t="str">
        <f t="shared" si="186"/>
        <v>Heavy Discount</v>
      </c>
      <c r="H2432" s="37" t="str">
        <f t="shared" si="187"/>
        <v>High</v>
      </c>
      <c r="I2432">
        <v>9</v>
      </c>
      <c r="J2432" t="str" cm="1">
        <f t="array" ref="J2432">_xlfn.IFS(I2432&lt;=3,"small",I2432&lt;=6,"Medium",I2432&lt;=9,"Large")</f>
        <v>Large</v>
      </c>
      <c r="K2432" s="36">
        <v>45003</v>
      </c>
      <c r="L2432" s="36">
        <v>45010</v>
      </c>
      <c r="M2432" t="s">
        <v>603</v>
      </c>
      <c r="N2432" t="s">
        <v>604</v>
      </c>
      <c r="O2432" s="37" t="str">
        <f t="shared" si="188"/>
        <v>Digital Payment</v>
      </c>
      <c r="P2432">
        <v>34.83</v>
      </c>
      <c r="Q2432" s="37" t="str">
        <f>IF(P2432&gt;500,"High","low")</f>
        <v>low</v>
      </c>
      <c r="R2432" s="37" t="str">
        <f t="shared" si="189"/>
        <v>AVERAGE</v>
      </c>
      <c r="S2432" t="s">
        <v>600</v>
      </c>
    </row>
    <row r="2433" spans="1:19" x14ac:dyDescent="0.2">
      <c r="A2433" t="s">
        <v>3044</v>
      </c>
      <c r="B2433" t="s">
        <v>67</v>
      </c>
      <c r="C2433" t="s">
        <v>617</v>
      </c>
      <c r="D2433">
        <v>983.16</v>
      </c>
      <c r="E2433" s="37" t="str">
        <f t="shared" si="185"/>
        <v xml:space="preserve"> </v>
      </c>
      <c r="F2433">
        <v>0.43</v>
      </c>
      <c r="G2433" s="37" t="str">
        <f t="shared" si="186"/>
        <v>Heavy Discount</v>
      </c>
      <c r="H2433" s="37" t="str">
        <f t="shared" si="187"/>
        <v>High</v>
      </c>
      <c r="I2433">
        <v>1</v>
      </c>
      <c r="J2433" t="str" cm="1">
        <f t="array" ref="J2433">_xlfn.IFS(I2433&lt;=3,"small",I2433&lt;=6,"Medium",I2433&lt;=9,"Large")</f>
        <v>small</v>
      </c>
      <c r="K2433" s="36">
        <v>45373</v>
      </c>
      <c r="L2433" s="36">
        <v>45379</v>
      </c>
      <c r="M2433" t="s">
        <v>612</v>
      </c>
      <c r="N2433" t="s">
        <v>599</v>
      </c>
      <c r="O2433" s="37" t="str">
        <f t="shared" si="188"/>
        <v>Digital Payment</v>
      </c>
      <c r="P2433">
        <v>287.77</v>
      </c>
      <c r="Q2433" s="37" t="str">
        <f>IF(P2433&gt;500,"High","low")</f>
        <v>low</v>
      </c>
      <c r="R2433" s="37" t="str">
        <f t="shared" si="189"/>
        <v>AVERAGE</v>
      </c>
      <c r="S2433" t="s">
        <v>609</v>
      </c>
    </row>
    <row r="2434" spans="1:19" x14ac:dyDescent="0.2">
      <c r="A2434" t="s">
        <v>3045</v>
      </c>
      <c r="B2434" t="s">
        <v>83</v>
      </c>
      <c r="C2434" t="s">
        <v>597</v>
      </c>
      <c r="D2434">
        <v>4656.66</v>
      </c>
      <c r="E2434" s="37" t="str">
        <f t="shared" si="185"/>
        <v xml:space="preserve"> </v>
      </c>
      <c r="F2434">
        <v>0.23</v>
      </c>
      <c r="G2434" s="37" t="str">
        <f t="shared" si="186"/>
        <v>Normal Discount</v>
      </c>
      <c r="H2434" s="37" t="str">
        <f t="shared" si="187"/>
        <v>Medium</v>
      </c>
      <c r="I2434">
        <v>1</v>
      </c>
      <c r="J2434" t="str" cm="1">
        <f t="array" ref="J2434">_xlfn.IFS(I2434&lt;=3,"small",I2434&lt;=6,"Medium",I2434&lt;=9,"Large")</f>
        <v>small</v>
      </c>
      <c r="K2434" s="36">
        <v>45352</v>
      </c>
      <c r="L2434" s="36">
        <v>45357</v>
      </c>
      <c r="M2434" t="s">
        <v>612</v>
      </c>
      <c r="N2434" t="s">
        <v>604</v>
      </c>
      <c r="O2434" s="37" t="str">
        <f t="shared" si="188"/>
        <v>Digital Payment</v>
      </c>
      <c r="P2434">
        <v>466.59</v>
      </c>
      <c r="Q2434" s="37" t="str">
        <f>IF(P2434&gt;500,"High","low")</f>
        <v>low</v>
      </c>
      <c r="R2434" s="37" t="str">
        <f t="shared" si="189"/>
        <v>AVERAGE</v>
      </c>
      <c r="S2434" t="s">
        <v>609</v>
      </c>
    </row>
    <row r="2435" spans="1:19" x14ac:dyDescent="0.2">
      <c r="A2435" t="s">
        <v>3046</v>
      </c>
      <c r="B2435" t="s">
        <v>90</v>
      </c>
      <c r="C2435" t="s">
        <v>597</v>
      </c>
      <c r="D2435">
        <v>3351.53</v>
      </c>
      <c r="E2435" s="37" t="str">
        <f t="shared" ref="E2435:E2498" si="190">IF(AND(D2435&gt;4000,P2435&gt;800),"Excellent Order"," ")</f>
        <v xml:space="preserve"> </v>
      </c>
      <c r="F2435">
        <v>0.1</v>
      </c>
      <c r="G2435" s="37" t="str">
        <f t="shared" ref="G2435:G2498" si="191">IF(F2435&gt;30%,"Heavy Discount","Normal Discount")</f>
        <v>Normal Discount</v>
      </c>
      <c r="H2435" s="37" t="str">
        <f t="shared" ref="H2435:H2498" si="192">IF(F2435&gt;0.4,"High",IF(F2435&gt;=0.2,"Medium","Low"))</f>
        <v>Low</v>
      </c>
      <c r="I2435">
        <v>4</v>
      </c>
      <c r="J2435" t="str" cm="1">
        <f t="array" ref="J2435">_xlfn.IFS(I2435&lt;=3,"small",I2435&lt;=6,"Medium",I2435&lt;=9,"Large")</f>
        <v>Medium</v>
      </c>
      <c r="K2435" s="36">
        <v>45597</v>
      </c>
      <c r="L2435" s="36">
        <v>45600</v>
      </c>
      <c r="M2435" t="s">
        <v>598</v>
      </c>
      <c r="N2435" t="s">
        <v>604</v>
      </c>
      <c r="O2435" s="37" t="str">
        <f t="shared" ref="O2435:O2498" si="193">IF(OR(N2435="Card",N2435="UPI"),"Digital Payment","Cash Payment")</f>
        <v>Digital Payment</v>
      </c>
      <c r="P2435">
        <v>436.12</v>
      </c>
      <c r="Q2435" s="37" t="str">
        <f>IF(P2435&gt;500,"High","low")</f>
        <v>low</v>
      </c>
      <c r="R2435" s="37" t="str">
        <f t="shared" ref="R2435:R2498" si="194">IF(P2435&gt;1000,"Excellent",IF(P2435&gt;=500,"Good","AVERAGE"))</f>
        <v>AVERAGE</v>
      </c>
      <c r="S2435" t="s">
        <v>600</v>
      </c>
    </row>
    <row r="2436" spans="1:19" x14ac:dyDescent="0.2">
      <c r="A2436" t="s">
        <v>3047</v>
      </c>
      <c r="B2436" t="s">
        <v>83</v>
      </c>
      <c r="C2436" t="s">
        <v>597</v>
      </c>
      <c r="D2436">
        <v>1597.2</v>
      </c>
      <c r="E2436" s="37" t="str">
        <f t="shared" si="190"/>
        <v xml:space="preserve"> </v>
      </c>
      <c r="F2436">
        <v>0.25</v>
      </c>
      <c r="G2436" s="37" t="str">
        <f t="shared" si="191"/>
        <v>Normal Discount</v>
      </c>
      <c r="H2436" s="37" t="str">
        <f t="shared" si="192"/>
        <v>Medium</v>
      </c>
      <c r="I2436">
        <v>1</v>
      </c>
      <c r="J2436" t="str" cm="1">
        <f t="array" ref="J2436">_xlfn.IFS(I2436&lt;=3,"small",I2436&lt;=6,"Medium",I2436&lt;=9,"Large")</f>
        <v>small</v>
      </c>
      <c r="K2436" s="36">
        <v>45434</v>
      </c>
      <c r="L2436" s="36">
        <v>45440</v>
      </c>
      <c r="M2436" t="s">
        <v>612</v>
      </c>
      <c r="N2436" t="s">
        <v>604</v>
      </c>
      <c r="O2436" s="37" t="str">
        <f t="shared" si="193"/>
        <v>Digital Payment</v>
      </c>
      <c r="P2436">
        <v>146.33000000000001</v>
      </c>
      <c r="Q2436" s="37" t="str">
        <f>IF(P2436&gt;500,"High","low")</f>
        <v>low</v>
      </c>
      <c r="R2436" s="37" t="str">
        <f t="shared" si="194"/>
        <v>AVERAGE</v>
      </c>
      <c r="S2436" t="s">
        <v>615</v>
      </c>
    </row>
    <row r="2437" spans="1:19" x14ac:dyDescent="0.2">
      <c r="A2437" t="s">
        <v>3048</v>
      </c>
      <c r="B2437" t="s">
        <v>67</v>
      </c>
      <c r="C2437" t="s">
        <v>614</v>
      </c>
      <c r="D2437">
        <v>321.99</v>
      </c>
      <c r="E2437" s="37" t="str">
        <f t="shared" si="190"/>
        <v xml:space="preserve"> </v>
      </c>
      <c r="F2437">
        <v>7.0000000000000007E-2</v>
      </c>
      <c r="G2437" s="37" t="str">
        <f t="shared" si="191"/>
        <v>Normal Discount</v>
      </c>
      <c r="H2437" s="37" t="str">
        <f t="shared" si="192"/>
        <v>Low</v>
      </c>
      <c r="I2437">
        <v>9</v>
      </c>
      <c r="J2437" t="str" cm="1">
        <f t="array" ref="J2437">_xlfn.IFS(I2437&lt;=3,"small",I2437&lt;=6,"Medium",I2437&lt;=9,"Large")</f>
        <v>Large</v>
      </c>
      <c r="K2437" s="36">
        <v>44978</v>
      </c>
      <c r="L2437" s="36">
        <v>44985</v>
      </c>
      <c r="M2437" t="s">
        <v>612</v>
      </c>
      <c r="N2437" t="s">
        <v>608</v>
      </c>
      <c r="O2437" s="37" t="str">
        <f t="shared" si="193"/>
        <v>Cash Payment</v>
      </c>
      <c r="P2437">
        <v>83.1</v>
      </c>
      <c r="Q2437" s="37" t="str">
        <f>IF(P2437&gt;500,"High","low")</f>
        <v>low</v>
      </c>
      <c r="R2437" s="37" t="str">
        <f t="shared" si="194"/>
        <v>AVERAGE</v>
      </c>
      <c r="S2437" t="s">
        <v>605</v>
      </c>
    </row>
    <row r="2438" spans="1:19" x14ac:dyDescent="0.2">
      <c r="A2438" t="s">
        <v>3049</v>
      </c>
      <c r="B2438" t="s">
        <v>83</v>
      </c>
      <c r="C2438" t="s">
        <v>597</v>
      </c>
      <c r="D2438">
        <v>2971.64</v>
      </c>
      <c r="E2438" s="37" t="str">
        <f t="shared" si="190"/>
        <v xml:space="preserve"> </v>
      </c>
      <c r="F2438">
        <v>0.13</v>
      </c>
      <c r="G2438" s="37" t="str">
        <f t="shared" si="191"/>
        <v>Normal Discount</v>
      </c>
      <c r="H2438" s="37" t="str">
        <f t="shared" si="192"/>
        <v>Low</v>
      </c>
      <c r="I2438">
        <v>6</v>
      </c>
      <c r="J2438" t="str" cm="1">
        <f t="array" ref="J2438">_xlfn.IFS(I2438&lt;=3,"small",I2438&lt;=6,"Medium",I2438&lt;=9,"Large")</f>
        <v>Medium</v>
      </c>
      <c r="K2438" s="36">
        <v>45104</v>
      </c>
      <c r="L2438" s="36">
        <v>45107</v>
      </c>
      <c r="M2438" t="s">
        <v>603</v>
      </c>
      <c r="N2438" t="s">
        <v>599</v>
      </c>
      <c r="O2438" s="37" t="str">
        <f t="shared" si="193"/>
        <v>Digital Payment</v>
      </c>
      <c r="P2438">
        <v>393.99</v>
      </c>
      <c r="Q2438" s="37" t="str">
        <f>IF(P2438&gt;500,"High","low")</f>
        <v>low</v>
      </c>
      <c r="R2438" s="37" t="str">
        <f t="shared" si="194"/>
        <v>AVERAGE</v>
      </c>
      <c r="S2438" t="s">
        <v>609</v>
      </c>
    </row>
    <row r="2439" spans="1:19" x14ac:dyDescent="0.2">
      <c r="A2439" t="s">
        <v>3050</v>
      </c>
      <c r="B2439" t="s">
        <v>90</v>
      </c>
      <c r="C2439" t="s">
        <v>607</v>
      </c>
      <c r="D2439">
        <v>1192.04</v>
      </c>
      <c r="E2439" s="37" t="str">
        <f t="shared" si="190"/>
        <v xml:space="preserve"> </v>
      </c>
      <c r="F2439">
        <v>0.24</v>
      </c>
      <c r="G2439" s="37" t="str">
        <f t="shared" si="191"/>
        <v>Normal Discount</v>
      </c>
      <c r="H2439" s="37" t="str">
        <f t="shared" si="192"/>
        <v>Medium</v>
      </c>
      <c r="I2439">
        <v>5</v>
      </c>
      <c r="J2439" t="str" cm="1">
        <f t="array" ref="J2439">_xlfn.IFS(I2439&lt;=3,"small",I2439&lt;=6,"Medium",I2439&lt;=9,"Large")</f>
        <v>Medium</v>
      </c>
      <c r="K2439" s="36">
        <v>45375</v>
      </c>
      <c r="L2439" s="36">
        <v>45382</v>
      </c>
      <c r="M2439" t="s">
        <v>598</v>
      </c>
      <c r="N2439" t="s">
        <v>608</v>
      </c>
      <c r="O2439" s="37" t="str">
        <f t="shared" si="193"/>
        <v>Cash Payment</v>
      </c>
      <c r="P2439">
        <v>117.75</v>
      </c>
      <c r="Q2439" s="37" t="str">
        <f>IF(P2439&gt;500,"High","low")</f>
        <v>low</v>
      </c>
      <c r="R2439" s="37" t="str">
        <f t="shared" si="194"/>
        <v>AVERAGE</v>
      </c>
      <c r="S2439" t="s">
        <v>620</v>
      </c>
    </row>
    <row r="2440" spans="1:19" x14ac:dyDescent="0.2">
      <c r="A2440" t="s">
        <v>3051</v>
      </c>
      <c r="B2440" t="s">
        <v>90</v>
      </c>
      <c r="C2440" t="s">
        <v>617</v>
      </c>
      <c r="D2440">
        <v>4804.8599999999997</v>
      </c>
      <c r="E2440" s="37" t="str">
        <f t="shared" si="190"/>
        <v>Excellent Order</v>
      </c>
      <c r="F2440">
        <v>0.01</v>
      </c>
      <c r="G2440" s="37" t="str">
        <f t="shared" si="191"/>
        <v>Normal Discount</v>
      </c>
      <c r="H2440" s="37" t="str">
        <f t="shared" si="192"/>
        <v>Low</v>
      </c>
      <c r="I2440">
        <v>5</v>
      </c>
      <c r="J2440" t="str" cm="1">
        <f t="array" ref="J2440">_xlfn.IFS(I2440&lt;=3,"small",I2440&lt;=6,"Medium",I2440&lt;=9,"Large")</f>
        <v>Medium</v>
      </c>
      <c r="K2440" s="36">
        <v>45039</v>
      </c>
      <c r="L2440" s="36">
        <v>45043</v>
      </c>
      <c r="M2440" t="s">
        <v>603</v>
      </c>
      <c r="N2440" t="s">
        <v>604</v>
      </c>
      <c r="O2440" s="37" t="str">
        <f t="shared" si="193"/>
        <v>Digital Payment</v>
      </c>
      <c r="P2440">
        <v>951.36</v>
      </c>
      <c r="Q2440" s="37" t="str">
        <f>IF(P2440&gt;500,"High","low")</f>
        <v>High</v>
      </c>
      <c r="R2440" s="37" t="str">
        <f t="shared" si="194"/>
        <v>Good</v>
      </c>
      <c r="S2440" t="s">
        <v>609</v>
      </c>
    </row>
    <row r="2441" spans="1:19" x14ac:dyDescent="0.2">
      <c r="A2441" t="s">
        <v>3052</v>
      </c>
      <c r="B2441" t="s">
        <v>90</v>
      </c>
      <c r="C2441" t="s">
        <v>597</v>
      </c>
      <c r="D2441">
        <v>3466.11</v>
      </c>
      <c r="E2441" s="37" t="str">
        <f t="shared" si="190"/>
        <v xml:space="preserve"> </v>
      </c>
      <c r="F2441">
        <v>0.38</v>
      </c>
      <c r="G2441" s="37" t="str">
        <f t="shared" si="191"/>
        <v>Heavy Discount</v>
      </c>
      <c r="H2441" s="37" t="str">
        <f t="shared" si="192"/>
        <v>Medium</v>
      </c>
      <c r="I2441">
        <v>2</v>
      </c>
      <c r="J2441" t="str" cm="1">
        <f t="array" ref="J2441">_xlfn.IFS(I2441&lt;=3,"small",I2441&lt;=6,"Medium",I2441&lt;=9,"Large")</f>
        <v>small</v>
      </c>
      <c r="K2441" s="36">
        <v>45162</v>
      </c>
      <c r="L2441" s="36">
        <v>45167</v>
      </c>
      <c r="M2441" t="s">
        <v>612</v>
      </c>
      <c r="N2441" t="s">
        <v>608</v>
      </c>
      <c r="O2441" s="37" t="str">
        <f t="shared" si="193"/>
        <v>Cash Payment</v>
      </c>
      <c r="P2441">
        <v>500.49</v>
      </c>
      <c r="Q2441" s="37" t="str">
        <f>IF(P2441&gt;500,"High","low")</f>
        <v>High</v>
      </c>
      <c r="R2441" s="37" t="str">
        <f t="shared" si="194"/>
        <v>Good</v>
      </c>
      <c r="S2441" t="s">
        <v>620</v>
      </c>
    </row>
    <row r="2442" spans="1:19" x14ac:dyDescent="0.2">
      <c r="A2442" t="s">
        <v>3053</v>
      </c>
      <c r="B2442" t="s">
        <v>75</v>
      </c>
      <c r="C2442" t="s">
        <v>617</v>
      </c>
      <c r="D2442">
        <v>4873.21</v>
      </c>
      <c r="E2442" s="37" t="str">
        <f t="shared" si="190"/>
        <v>Excellent Order</v>
      </c>
      <c r="F2442">
        <v>0.1</v>
      </c>
      <c r="G2442" s="37" t="str">
        <f t="shared" si="191"/>
        <v>Normal Discount</v>
      </c>
      <c r="H2442" s="37" t="str">
        <f t="shared" si="192"/>
        <v>Low</v>
      </c>
      <c r="I2442">
        <v>3</v>
      </c>
      <c r="J2442" t="str" cm="1">
        <f t="array" ref="J2442">_xlfn.IFS(I2442&lt;=3,"small",I2442&lt;=6,"Medium",I2442&lt;=9,"Large")</f>
        <v>small</v>
      </c>
      <c r="K2442" s="36">
        <v>45092</v>
      </c>
      <c r="L2442" s="36">
        <v>45097</v>
      </c>
      <c r="M2442" t="s">
        <v>598</v>
      </c>
      <c r="N2442" t="s">
        <v>608</v>
      </c>
      <c r="O2442" s="37" t="str">
        <f t="shared" si="193"/>
        <v>Cash Payment</v>
      </c>
      <c r="P2442">
        <v>1233.2</v>
      </c>
      <c r="Q2442" s="37" t="str">
        <f>IF(P2442&gt;500,"High","low")</f>
        <v>High</v>
      </c>
      <c r="R2442" s="37" t="str">
        <f t="shared" si="194"/>
        <v>Excellent</v>
      </c>
      <c r="S2442" t="s">
        <v>600</v>
      </c>
    </row>
    <row r="2443" spans="1:19" x14ac:dyDescent="0.2">
      <c r="A2443" t="s">
        <v>3054</v>
      </c>
      <c r="B2443" t="s">
        <v>83</v>
      </c>
      <c r="C2443" t="s">
        <v>602</v>
      </c>
      <c r="D2443">
        <v>4259.6000000000004</v>
      </c>
      <c r="E2443" s="37" t="str">
        <f t="shared" si="190"/>
        <v>Excellent Order</v>
      </c>
      <c r="F2443">
        <v>0.43</v>
      </c>
      <c r="G2443" s="37" t="str">
        <f t="shared" si="191"/>
        <v>Heavy Discount</v>
      </c>
      <c r="H2443" s="37" t="str">
        <f t="shared" si="192"/>
        <v>High</v>
      </c>
      <c r="I2443">
        <v>7</v>
      </c>
      <c r="J2443" t="str" cm="1">
        <f t="array" ref="J2443">_xlfn.IFS(I2443&lt;=3,"small",I2443&lt;=6,"Medium",I2443&lt;=9,"Large")</f>
        <v>Large</v>
      </c>
      <c r="K2443" s="36">
        <v>45477</v>
      </c>
      <c r="L2443" s="36">
        <v>45480</v>
      </c>
      <c r="M2443" t="s">
        <v>612</v>
      </c>
      <c r="N2443" t="s">
        <v>604</v>
      </c>
      <c r="O2443" s="37" t="str">
        <f t="shared" si="193"/>
        <v>Digital Payment</v>
      </c>
      <c r="P2443">
        <v>1026.28</v>
      </c>
      <c r="Q2443" s="37" t="str">
        <f>IF(P2443&gt;500,"High","low")</f>
        <v>High</v>
      </c>
      <c r="R2443" s="37" t="str">
        <f t="shared" si="194"/>
        <v>Excellent</v>
      </c>
      <c r="S2443" t="s">
        <v>609</v>
      </c>
    </row>
    <row r="2444" spans="1:19" x14ac:dyDescent="0.2">
      <c r="A2444" t="s">
        <v>3055</v>
      </c>
      <c r="B2444" t="s">
        <v>67</v>
      </c>
      <c r="C2444" t="s">
        <v>602</v>
      </c>
      <c r="D2444">
        <v>2466.83</v>
      </c>
      <c r="E2444" s="37" t="str">
        <f t="shared" si="190"/>
        <v xml:space="preserve"> </v>
      </c>
      <c r="F2444">
        <v>0.01</v>
      </c>
      <c r="G2444" s="37" t="str">
        <f t="shared" si="191"/>
        <v>Normal Discount</v>
      </c>
      <c r="H2444" s="37" t="str">
        <f t="shared" si="192"/>
        <v>Low</v>
      </c>
      <c r="I2444">
        <v>4</v>
      </c>
      <c r="J2444" t="str" cm="1">
        <f t="array" ref="J2444">_xlfn.IFS(I2444&lt;=3,"small",I2444&lt;=6,"Medium",I2444&lt;=9,"Large")</f>
        <v>Medium</v>
      </c>
      <c r="K2444" s="36">
        <v>45224</v>
      </c>
      <c r="L2444" s="36">
        <v>45225</v>
      </c>
      <c r="M2444" t="s">
        <v>612</v>
      </c>
      <c r="N2444" t="s">
        <v>604</v>
      </c>
      <c r="O2444" s="37" t="str">
        <f t="shared" si="193"/>
        <v>Digital Payment</v>
      </c>
      <c r="P2444">
        <v>197.3</v>
      </c>
      <c r="Q2444" s="37" t="str">
        <f>IF(P2444&gt;500,"High","low")</f>
        <v>low</v>
      </c>
      <c r="R2444" s="37" t="str">
        <f t="shared" si="194"/>
        <v>AVERAGE</v>
      </c>
      <c r="S2444" t="s">
        <v>615</v>
      </c>
    </row>
    <row r="2445" spans="1:19" x14ac:dyDescent="0.2">
      <c r="A2445" t="s">
        <v>3056</v>
      </c>
      <c r="B2445" t="s">
        <v>67</v>
      </c>
      <c r="C2445" t="s">
        <v>597</v>
      </c>
      <c r="D2445">
        <v>3380.86</v>
      </c>
      <c r="E2445" s="37" t="str">
        <f t="shared" si="190"/>
        <v xml:space="preserve"> </v>
      </c>
      <c r="F2445">
        <v>0.27</v>
      </c>
      <c r="G2445" s="37" t="str">
        <f t="shared" si="191"/>
        <v>Normal Discount</v>
      </c>
      <c r="H2445" s="37" t="str">
        <f t="shared" si="192"/>
        <v>Medium</v>
      </c>
      <c r="I2445">
        <v>6</v>
      </c>
      <c r="J2445" t="str" cm="1">
        <f t="array" ref="J2445">_xlfn.IFS(I2445&lt;=3,"small",I2445&lt;=6,"Medium",I2445&lt;=9,"Large")</f>
        <v>Medium</v>
      </c>
      <c r="K2445" s="36">
        <v>45306</v>
      </c>
      <c r="L2445" s="36">
        <v>45307</v>
      </c>
      <c r="M2445" t="s">
        <v>598</v>
      </c>
      <c r="N2445" t="s">
        <v>608</v>
      </c>
      <c r="O2445" s="37" t="str">
        <f t="shared" si="193"/>
        <v>Cash Payment</v>
      </c>
      <c r="P2445">
        <v>892.45</v>
      </c>
      <c r="Q2445" s="37" t="str">
        <f>IF(P2445&gt;500,"High","low")</f>
        <v>High</v>
      </c>
      <c r="R2445" s="37" t="str">
        <f t="shared" si="194"/>
        <v>Good</v>
      </c>
      <c r="S2445" t="s">
        <v>620</v>
      </c>
    </row>
    <row r="2446" spans="1:19" x14ac:dyDescent="0.2">
      <c r="A2446" t="s">
        <v>3057</v>
      </c>
      <c r="B2446" t="s">
        <v>67</v>
      </c>
      <c r="C2446" t="s">
        <v>617</v>
      </c>
      <c r="D2446">
        <v>4079.33</v>
      </c>
      <c r="E2446" s="37" t="str">
        <f t="shared" si="190"/>
        <v>Excellent Order</v>
      </c>
      <c r="F2446">
        <v>0.39</v>
      </c>
      <c r="G2446" s="37" t="str">
        <f t="shared" si="191"/>
        <v>Heavy Discount</v>
      </c>
      <c r="H2446" s="37" t="str">
        <f t="shared" si="192"/>
        <v>Medium</v>
      </c>
      <c r="I2446">
        <v>8</v>
      </c>
      <c r="J2446" t="str" cm="1">
        <f t="array" ref="J2446">_xlfn.IFS(I2446&lt;=3,"small",I2446&lt;=6,"Medium",I2446&lt;=9,"Large")</f>
        <v>Large</v>
      </c>
      <c r="K2446" s="36">
        <v>45537</v>
      </c>
      <c r="L2446" s="36">
        <v>45541</v>
      </c>
      <c r="M2446" t="s">
        <v>598</v>
      </c>
      <c r="N2446" t="s">
        <v>604</v>
      </c>
      <c r="O2446" s="37" t="str">
        <f t="shared" si="193"/>
        <v>Digital Payment</v>
      </c>
      <c r="P2446">
        <v>1206.02</v>
      </c>
      <c r="Q2446" s="37" t="str">
        <f>IF(P2446&gt;500,"High","low")</f>
        <v>High</v>
      </c>
      <c r="R2446" s="37" t="str">
        <f t="shared" si="194"/>
        <v>Excellent</v>
      </c>
      <c r="S2446" t="s">
        <v>615</v>
      </c>
    </row>
    <row r="2447" spans="1:19" x14ac:dyDescent="0.2">
      <c r="A2447" t="s">
        <v>3058</v>
      </c>
      <c r="B2447" t="s">
        <v>75</v>
      </c>
      <c r="C2447" t="s">
        <v>602</v>
      </c>
      <c r="D2447">
        <v>2933.07</v>
      </c>
      <c r="E2447" s="37" t="str">
        <f t="shared" si="190"/>
        <v xml:space="preserve"> </v>
      </c>
      <c r="F2447">
        <v>0.12</v>
      </c>
      <c r="G2447" s="37" t="str">
        <f t="shared" si="191"/>
        <v>Normal Discount</v>
      </c>
      <c r="H2447" s="37" t="str">
        <f t="shared" si="192"/>
        <v>Low</v>
      </c>
      <c r="I2447">
        <v>1</v>
      </c>
      <c r="J2447" t="str" cm="1">
        <f t="array" ref="J2447">_xlfn.IFS(I2447&lt;=3,"small",I2447&lt;=6,"Medium",I2447&lt;=9,"Large")</f>
        <v>small</v>
      </c>
      <c r="K2447" s="36">
        <v>45093</v>
      </c>
      <c r="L2447" s="36">
        <v>45097</v>
      </c>
      <c r="M2447" t="s">
        <v>603</v>
      </c>
      <c r="N2447" t="s">
        <v>604</v>
      </c>
      <c r="O2447" s="37" t="str">
        <f t="shared" si="193"/>
        <v>Digital Payment</v>
      </c>
      <c r="P2447">
        <v>697.28</v>
      </c>
      <c r="Q2447" s="37" t="str">
        <f>IF(P2447&gt;500,"High","low")</f>
        <v>High</v>
      </c>
      <c r="R2447" s="37" t="str">
        <f t="shared" si="194"/>
        <v>Good</v>
      </c>
      <c r="S2447" t="s">
        <v>620</v>
      </c>
    </row>
    <row r="2448" spans="1:19" x14ac:dyDescent="0.2">
      <c r="A2448" t="s">
        <v>3059</v>
      </c>
      <c r="B2448" t="s">
        <v>75</v>
      </c>
      <c r="C2448" t="s">
        <v>597</v>
      </c>
      <c r="D2448">
        <v>401.29</v>
      </c>
      <c r="E2448" s="37" t="str">
        <f t="shared" si="190"/>
        <v xml:space="preserve"> </v>
      </c>
      <c r="F2448">
        <v>0.35</v>
      </c>
      <c r="G2448" s="37" t="str">
        <f t="shared" si="191"/>
        <v>Heavy Discount</v>
      </c>
      <c r="H2448" s="37" t="str">
        <f t="shared" si="192"/>
        <v>Medium</v>
      </c>
      <c r="I2448">
        <v>6</v>
      </c>
      <c r="J2448" t="str" cm="1">
        <f t="array" ref="J2448">_xlfn.IFS(I2448&lt;=3,"small",I2448&lt;=6,"Medium",I2448&lt;=9,"Large")</f>
        <v>Medium</v>
      </c>
      <c r="K2448" s="36">
        <v>45480</v>
      </c>
      <c r="L2448" s="36">
        <v>45487</v>
      </c>
      <c r="M2448" t="s">
        <v>598</v>
      </c>
      <c r="N2448" t="s">
        <v>604</v>
      </c>
      <c r="O2448" s="37" t="str">
        <f t="shared" si="193"/>
        <v>Digital Payment</v>
      </c>
      <c r="P2448">
        <v>102.73</v>
      </c>
      <c r="Q2448" s="37" t="str">
        <f>IF(P2448&gt;500,"High","low")</f>
        <v>low</v>
      </c>
      <c r="R2448" s="37" t="str">
        <f t="shared" si="194"/>
        <v>AVERAGE</v>
      </c>
      <c r="S2448" t="s">
        <v>628</v>
      </c>
    </row>
    <row r="2449" spans="1:19" x14ac:dyDescent="0.2">
      <c r="A2449" t="s">
        <v>3060</v>
      </c>
      <c r="B2449" t="s">
        <v>90</v>
      </c>
      <c r="C2449" t="s">
        <v>617</v>
      </c>
      <c r="D2449">
        <v>2405.19</v>
      </c>
      <c r="E2449" s="37" t="str">
        <f t="shared" si="190"/>
        <v xml:space="preserve"> </v>
      </c>
      <c r="F2449">
        <v>0.36</v>
      </c>
      <c r="G2449" s="37" t="str">
        <f t="shared" si="191"/>
        <v>Heavy Discount</v>
      </c>
      <c r="H2449" s="37" t="str">
        <f t="shared" si="192"/>
        <v>Medium</v>
      </c>
      <c r="I2449">
        <v>1</v>
      </c>
      <c r="J2449" t="str" cm="1">
        <f t="array" ref="J2449">_xlfn.IFS(I2449&lt;=3,"small",I2449&lt;=6,"Medium",I2449&lt;=9,"Large")</f>
        <v>small</v>
      </c>
      <c r="K2449" s="36">
        <v>45288</v>
      </c>
      <c r="L2449" s="36">
        <v>45292</v>
      </c>
      <c r="M2449" t="s">
        <v>603</v>
      </c>
      <c r="N2449" t="s">
        <v>599</v>
      </c>
      <c r="O2449" s="37" t="str">
        <f t="shared" si="193"/>
        <v>Digital Payment</v>
      </c>
      <c r="P2449">
        <v>671.91</v>
      </c>
      <c r="Q2449" s="37" t="str">
        <f>IF(P2449&gt;500,"High","low")</f>
        <v>High</v>
      </c>
      <c r="R2449" s="37" t="str">
        <f t="shared" si="194"/>
        <v>Good</v>
      </c>
      <c r="S2449" t="s">
        <v>605</v>
      </c>
    </row>
    <row r="2450" spans="1:19" x14ac:dyDescent="0.2">
      <c r="A2450" t="s">
        <v>3061</v>
      </c>
      <c r="B2450" t="s">
        <v>67</v>
      </c>
      <c r="C2450" t="s">
        <v>597</v>
      </c>
      <c r="D2450">
        <v>739.81</v>
      </c>
      <c r="E2450" s="37" t="str">
        <f t="shared" si="190"/>
        <v xml:space="preserve"> </v>
      </c>
      <c r="F2450">
        <v>0.32</v>
      </c>
      <c r="G2450" s="37" t="str">
        <f t="shared" si="191"/>
        <v>Heavy Discount</v>
      </c>
      <c r="H2450" s="37" t="str">
        <f t="shared" si="192"/>
        <v>Medium</v>
      </c>
      <c r="I2450">
        <v>8</v>
      </c>
      <c r="J2450" t="str" cm="1">
        <f t="array" ref="J2450">_xlfn.IFS(I2450&lt;=3,"small",I2450&lt;=6,"Medium",I2450&lt;=9,"Large")</f>
        <v>Large</v>
      </c>
      <c r="K2450" s="36">
        <v>45380</v>
      </c>
      <c r="L2450" s="36">
        <v>45384</v>
      </c>
      <c r="M2450" t="s">
        <v>603</v>
      </c>
      <c r="N2450" t="s">
        <v>608</v>
      </c>
      <c r="O2450" s="37" t="str">
        <f t="shared" si="193"/>
        <v>Cash Payment</v>
      </c>
      <c r="P2450">
        <v>182.34</v>
      </c>
      <c r="Q2450" s="37" t="str">
        <f>IF(P2450&gt;500,"High","low")</f>
        <v>low</v>
      </c>
      <c r="R2450" s="37" t="str">
        <f t="shared" si="194"/>
        <v>AVERAGE</v>
      </c>
      <c r="S2450" t="s">
        <v>615</v>
      </c>
    </row>
    <row r="2451" spans="1:19" x14ac:dyDescent="0.2">
      <c r="A2451" t="s">
        <v>3062</v>
      </c>
      <c r="B2451" t="s">
        <v>75</v>
      </c>
      <c r="C2451" t="s">
        <v>617</v>
      </c>
      <c r="D2451">
        <v>3602.75</v>
      </c>
      <c r="E2451" s="37" t="str">
        <f t="shared" si="190"/>
        <v xml:space="preserve"> </v>
      </c>
      <c r="F2451">
        <v>0.18</v>
      </c>
      <c r="G2451" s="37" t="str">
        <f t="shared" si="191"/>
        <v>Normal Discount</v>
      </c>
      <c r="H2451" s="37" t="str">
        <f t="shared" si="192"/>
        <v>Low</v>
      </c>
      <c r="I2451">
        <v>4</v>
      </c>
      <c r="J2451" t="str" cm="1">
        <f t="array" ref="J2451">_xlfn.IFS(I2451&lt;=3,"small",I2451&lt;=6,"Medium",I2451&lt;=9,"Large")</f>
        <v>Medium</v>
      </c>
      <c r="K2451" s="36">
        <v>45430</v>
      </c>
      <c r="L2451" s="36">
        <v>45433</v>
      </c>
      <c r="M2451" t="s">
        <v>598</v>
      </c>
      <c r="N2451" t="s">
        <v>608</v>
      </c>
      <c r="O2451" s="37" t="str">
        <f t="shared" si="193"/>
        <v>Cash Payment</v>
      </c>
      <c r="P2451">
        <v>706.8</v>
      </c>
      <c r="Q2451" s="37" t="str">
        <f>IF(P2451&gt;500,"High","low")</f>
        <v>High</v>
      </c>
      <c r="R2451" s="37" t="str">
        <f t="shared" si="194"/>
        <v>Good</v>
      </c>
      <c r="S2451" t="s">
        <v>605</v>
      </c>
    </row>
    <row r="2452" spans="1:19" x14ac:dyDescent="0.2">
      <c r="A2452" t="s">
        <v>3063</v>
      </c>
      <c r="B2452" t="s">
        <v>90</v>
      </c>
      <c r="C2452" t="s">
        <v>602</v>
      </c>
      <c r="D2452">
        <v>3435.08</v>
      </c>
      <c r="E2452" s="37" t="str">
        <f t="shared" si="190"/>
        <v xml:space="preserve"> </v>
      </c>
      <c r="F2452">
        <v>0.39</v>
      </c>
      <c r="G2452" s="37" t="str">
        <f t="shared" si="191"/>
        <v>Heavy Discount</v>
      </c>
      <c r="H2452" s="37" t="str">
        <f t="shared" si="192"/>
        <v>Medium</v>
      </c>
      <c r="I2452">
        <v>5</v>
      </c>
      <c r="J2452" t="str" cm="1">
        <f t="array" ref="J2452">_xlfn.IFS(I2452&lt;=3,"small",I2452&lt;=6,"Medium",I2452&lt;=9,"Large")</f>
        <v>Medium</v>
      </c>
      <c r="K2452" s="36">
        <v>45543</v>
      </c>
      <c r="L2452" s="36">
        <v>45547</v>
      </c>
      <c r="M2452" t="s">
        <v>603</v>
      </c>
      <c r="N2452" t="s">
        <v>599</v>
      </c>
      <c r="O2452" s="37" t="str">
        <f t="shared" si="193"/>
        <v>Digital Payment</v>
      </c>
      <c r="P2452">
        <v>230.29</v>
      </c>
      <c r="Q2452" s="37" t="str">
        <f>IF(P2452&gt;500,"High","low")</f>
        <v>low</v>
      </c>
      <c r="R2452" s="37" t="str">
        <f t="shared" si="194"/>
        <v>AVERAGE</v>
      </c>
      <c r="S2452" t="s">
        <v>615</v>
      </c>
    </row>
    <row r="2453" spans="1:19" x14ac:dyDescent="0.2">
      <c r="A2453" t="s">
        <v>3064</v>
      </c>
      <c r="B2453" t="s">
        <v>67</v>
      </c>
      <c r="C2453" t="s">
        <v>597</v>
      </c>
      <c r="D2453">
        <v>4965.25</v>
      </c>
      <c r="E2453" s="37" t="str">
        <f t="shared" si="190"/>
        <v>Excellent Order</v>
      </c>
      <c r="F2453">
        <v>0.31</v>
      </c>
      <c r="G2453" s="37" t="str">
        <f t="shared" si="191"/>
        <v>Heavy Discount</v>
      </c>
      <c r="H2453" s="37" t="str">
        <f t="shared" si="192"/>
        <v>Medium</v>
      </c>
      <c r="I2453">
        <v>2</v>
      </c>
      <c r="J2453" t="str" cm="1">
        <f t="array" ref="J2453">_xlfn.IFS(I2453&lt;=3,"small",I2453&lt;=6,"Medium",I2453&lt;=9,"Large")</f>
        <v>small</v>
      </c>
      <c r="K2453" s="36">
        <v>45383</v>
      </c>
      <c r="L2453" s="36">
        <v>45390</v>
      </c>
      <c r="M2453" t="s">
        <v>612</v>
      </c>
      <c r="N2453" t="s">
        <v>608</v>
      </c>
      <c r="O2453" s="37" t="str">
        <f t="shared" si="193"/>
        <v>Cash Payment</v>
      </c>
      <c r="P2453">
        <v>849.61</v>
      </c>
      <c r="Q2453" s="37" t="str">
        <f>IF(P2453&gt;500,"High","low")</f>
        <v>High</v>
      </c>
      <c r="R2453" s="37" t="str">
        <f t="shared" si="194"/>
        <v>Good</v>
      </c>
      <c r="S2453" t="s">
        <v>605</v>
      </c>
    </row>
    <row r="2454" spans="1:19" x14ac:dyDescent="0.2">
      <c r="A2454" t="s">
        <v>3065</v>
      </c>
      <c r="B2454" t="s">
        <v>83</v>
      </c>
      <c r="C2454" t="s">
        <v>602</v>
      </c>
      <c r="D2454">
        <v>3181.17</v>
      </c>
      <c r="E2454" s="37" t="str">
        <f t="shared" si="190"/>
        <v xml:space="preserve"> </v>
      </c>
      <c r="F2454">
        <v>0.3</v>
      </c>
      <c r="G2454" s="37" t="str">
        <f t="shared" si="191"/>
        <v>Normal Discount</v>
      </c>
      <c r="H2454" s="37" t="str">
        <f t="shared" si="192"/>
        <v>Medium</v>
      </c>
      <c r="I2454">
        <v>3</v>
      </c>
      <c r="J2454" t="str" cm="1">
        <f t="array" ref="J2454">_xlfn.IFS(I2454&lt;=3,"small",I2454&lt;=6,"Medium",I2454&lt;=9,"Large")</f>
        <v>small</v>
      </c>
      <c r="K2454" s="36">
        <v>45224</v>
      </c>
      <c r="L2454" s="36">
        <v>45230</v>
      </c>
      <c r="M2454" t="s">
        <v>598</v>
      </c>
      <c r="N2454" t="s">
        <v>608</v>
      </c>
      <c r="O2454" s="37" t="str">
        <f t="shared" si="193"/>
        <v>Cash Payment</v>
      </c>
      <c r="P2454">
        <v>781.72</v>
      </c>
      <c r="Q2454" s="37" t="str">
        <f>IF(P2454&gt;500,"High","low")</f>
        <v>High</v>
      </c>
      <c r="R2454" s="37" t="str">
        <f t="shared" si="194"/>
        <v>Good</v>
      </c>
      <c r="S2454" t="s">
        <v>615</v>
      </c>
    </row>
    <row r="2455" spans="1:19" x14ac:dyDescent="0.2">
      <c r="A2455" t="s">
        <v>3066</v>
      </c>
      <c r="B2455" t="s">
        <v>90</v>
      </c>
      <c r="C2455" t="s">
        <v>597</v>
      </c>
      <c r="D2455">
        <v>4020.68</v>
      </c>
      <c r="E2455" s="37" t="str">
        <f t="shared" si="190"/>
        <v xml:space="preserve"> </v>
      </c>
      <c r="F2455">
        <v>0.41</v>
      </c>
      <c r="G2455" s="37" t="str">
        <f t="shared" si="191"/>
        <v>Heavy Discount</v>
      </c>
      <c r="H2455" s="37" t="str">
        <f t="shared" si="192"/>
        <v>High</v>
      </c>
      <c r="I2455">
        <v>7</v>
      </c>
      <c r="J2455" t="str" cm="1">
        <f t="array" ref="J2455">_xlfn.IFS(I2455&lt;=3,"small",I2455&lt;=6,"Medium",I2455&lt;=9,"Large")</f>
        <v>Large</v>
      </c>
      <c r="K2455" s="36">
        <v>45634</v>
      </c>
      <c r="L2455" s="36">
        <v>45635</v>
      </c>
      <c r="M2455" t="s">
        <v>612</v>
      </c>
      <c r="N2455" t="s">
        <v>604</v>
      </c>
      <c r="O2455" s="37" t="str">
        <f t="shared" si="193"/>
        <v>Digital Payment</v>
      </c>
      <c r="P2455">
        <v>458.58</v>
      </c>
      <c r="Q2455" s="37" t="str">
        <f>IF(P2455&gt;500,"High","low")</f>
        <v>low</v>
      </c>
      <c r="R2455" s="37" t="str">
        <f t="shared" si="194"/>
        <v>AVERAGE</v>
      </c>
      <c r="S2455" t="s">
        <v>615</v>
      </c>
    </row>
    <row r="2456" spans="1:19" x14ac:dyDescent="0.2">
      <c r="A2456" t="s">
        <v>3067</v>
      </c>
      <c r="B2456" t="s">
        <v>75</v>
      </c>
      <c r="C2456" t="s">
        <v>614</v>
      </c>
      <c r="D2456">
        <v>1414.61</v>
      </c>
      <c r="E2456" s="37" t="str">
        <f t="shared" si="190"/>
        <v xml:space="preserve"> </v>
      </c>
      <c r="F2456">
        <v>0.12</v>
      </c>
      <c r="G2456" s="37" t="str">
        <f t="shared" si="191"/>
        <v>Normal Discount</v>
      </c>
      <c r="H2456" s="37" t="str">
        <f t="shared" si="192"/>
        <v>Low</v>
      </c>
      <c r="I2456">
        <v>7</v>
      </c>
      <c r="J2456" t="str" cm="1">
        <f t="array" ref="J2456">_xlfn.IFS(I2456&lt;=3,"small",I2456&lt;=6,"Medium",I2456&lt;=9,"Large")</f>
        <v>Large</v>
      </c>
      <c r="K2456" s="36">
        <v>45591</v>
      </c>
      <c r="L2456" s="36">
        <v>45593</v>
      </c>
      <c r="M2456" t="s">
        <v>612</v>
      </c>
      <c r="N2456" t="s">
        <v>599</v>
      </c>
      <c r="O2456" s="37" t="str">
        <f t="shared" si="193"/>
        <v>Digital Payment</v>
      </c>
      <c r="P2456">
        <v>301.85000000000002</v>
      </c>
      <c r="Q2456" s="37" t="str">
        <f>IF(P2456&gt;500,"High","low")</f>
        <v>low</v>
      </c>
      <c r="R2456" s="37" t="str">
        <f t="shared" si="194"/>
        <v>AVERAGE</v>
      </c>
      <c r="S2456" t="s">
        <v>615</v>
      </c>
    </row>
    <row r="2457" spans="1:19" x14ac:dyDescent="0.2">
      <c r="A2457" t="s">
        <v>3068</v>
      </c>
      <c r="B2457" t="s">
        <v>75</v>
      </c>
      <c r="C2457" t="s">
        <v>602</v>
      </c>
      <c r="D2457">
        <v>1766.12</v>
      </c>
      <c r="E2457" s="37" t="str">
        <f t="shared" si="190"/>
        <v xml:space="preserve"> </v>
      </c>
      <c r="F2457">
        <v>0.12</v>
      </c>
      <c r="G2457" s="37" t="str">
        <f t="shared" si="191"/>
        <v>Normal Discount</v>
      </c>
      <c r="H2457" s="37" t="str">
        <f t="shared" si="192"/>
        <v>Low</v>
      </c>
      <c r="I2457">
        <v>8</v>
      </c>
      <c r="J2457" t="str" cm="1">
        <f t="array" ref="J2457">_xlfn.IFS(I2457&lt;=3,"small",I2457&lt;=6,"Medium",I2457&lt;=9,"Large")</f>
        <v>Large</v>
      </c>
      <c r="K2457" s="36">
        <v>45111</v>
      </c>
      <c r="L2457" s="36">
        <v>45117</v>
      </c>
      <c r="M2457" t="s">
        <v>603</v>
      </c>
      <c r="N2457" t="s">
        <v>608</v>
      </c>
      <c r="O2457" s="37" t="str">
        <f t="shared" si="193"/>
        <v>Cash Payment</v>
      </c>
      <c r="P2457">
        <v>227.46</v>
      </c>
      <c r="Q2457" s="37" t="str">
        <f>IF(P2457&gt;500,"High","low")</f>
        <v>low</v>
      </c>
      <c r="R2457" s="37" t="str">
        <f t="shared" si="194"/>
        <v>AVERAGE</v>
      </c>
      <c r="S2457" t="s">
        <v>600</v>
      </c>
    </row>
    <row r="2458" spans="1:19" x14ac:dyDescent="0.2">
      <c r="A2458" t="s">
        <v>3069</v>
      </c>
      <c r="B2458" t="s">
        <v>90</v>
      </c>
      <c r="C2458" t="s">
        <v>602</v>
      </c>
      <c r="D2458">
        <v>4593.42</v>
      </c>
      <c r="E2458" s="37" t="str">
        <f t="shared" si="190"/>
        <v>Excellent Order</v>
      </c>
      <c r="F2458">
        <v>0.19</v>
      </c>
      <c r="G2458" s="37" t="str">
        <f t="shared" si="191"/>
        <v>Normal Discount</v>
      </c>
      <c r="H2458" s="37" t="str">
        <f t="shared" si="192"/>
        <v>Low</v>
      </c>
      <c r="I2458">
        <v>3</v>
      </c>
      <c r="J2458" t="str" cm="1">
        <f t="array" ref="J2458">_xlfn.IFS(I2458&lt;=3,"small",I2458&lt;=6,"Medium",I2458&lt;=9,"Large")</f>
        <v>small</v>
      </c>
      <c r="K2458" s="36">
        <v>45344</v>
      </c>
      <c r="L2458" s="36">
        <v>45350</v>
      </c>
      <c r="M2458" t="s">
        <v>612</v>
      </c>
      <c r="N2458" t="s">
        <v>608</v>
      </c>
      <c r="O2458" s="37" t="str">
        <f t="shared" si="193"/>
        <v>Cash Payment</v>
      </c>
      <c r="P2458">
        <v>1219.75</v>
      </c>
      <c r="Q2458" s="37" t="str">
        <f>IF(P2458&gt;500,"High","low")</f>
        <v>High</v>
      </c>
      <c r="R2458" s="37" t="str">
        <f t="shared" si="194"/>
        <v>Excellent</v>
      </c>
      <c r="S2458" t="s">
        <v>609</v>
      </c>
    </row>
    <row r="2459" spans="1:19" x14ac:dyDescent="0.2">
      <c r="A2459" t="s">
        <v>3070</v>
      </c>
      <c r="B2459" t="s">
        <v>90</v>
      </c>
      <c r="C2459" t="s">
        <v>607</v>
      </c>
      <c r="D2459">
        <v>3800.44</v>
      </c>
      <c r="E2459" s="37" t="str">
        <f t="shared" si="190"/>
        <v xml:space="preserve"> </v>
      </c>
      <c r="F2459">
        <v>0.04</v>
      </c>
      <c r="G2459" s="37" t="str">
        <f t="shared" si="191"/>
        <v>Normal Discount</v>
      </c>
      <c r="H2459" s="37" t="str">
        <f t="shared" si="192"/>
        <v>Low</v>
      </c>
      <c r="I2459">
        <v>2</v>
      </c>
      <c r="J2459" t="str" cm="1">
        <f t="array" ref="J2459">_xlfn.IFS(I2459&lt;=3,"small",I2459&lt;=6,"Medium",I2459&lt;=9,"Large")</f>
        <v>small</v>
      </c>
      <c r="K2459" s="36">
        <v>45641</v>
      </c>
      <c r="L2459" s="36">
        <v>45642</v>
      </c>
      <c r="M2459" t="s">
        <v>603</v>
      </c>
      <c r="N2459" t="s">
        <v>599</v>
      </c>
      <c r="O2459" s="37" t="str">
        <f t="shared" si="193"/>
        <v>Digital Payment</v>
      </c>
      <c r="P2459">
        <v>535.15</v>
      </c>
      <c r="Q2459" s="37" t="str">
        <f>IF(P2459&gt;500,"High","low")</f>
        <v>High</v>
      </c>
      <c r="R2459" s="37" t="str">
        <f t="shared" si="194"/>
        <v>Good</v>
      </c>
      <c r="S2459" t="s">
        <v>615</v>
      </c>
    </row>
    <row r="2460" spans="1:19" x14ac:dyDescent="0.2">
      <c r="A2460" t="s">
        <v>3071</v>
      </c>
      <c r="B2460" t="s">
        <v>75</v>
      </c>
      <c r="C2460" t="s">
        <v>602</v>
      </c>
      <c r="D2460">
        <v>3310.82</v>
      </c>
      <c r="E2460" s="37" t="str">
        <f t="shared" si="190"/>
        <v xml:space="preserve"> </v>
      </c>
      <c r="F2460">
        <v>0.17</v>
      </c>
      <c r="G2460" s="37" t="str">
        <f t="shared" si="191"/>
        <v>Normal Discount</v>
      </c>
      <c r="H2460" s="37" t="str">
        <f t="shared" si="192"/>
        <v>Low</v>
      </c>
      <c r="I2460">
        <v>2</v>
      </c>
      <c r="J2460" t="str" cm="1">
        <f t="array" ref="J2460">_xlfn.IFS(I2460&lt;=3,"small",I2460&lt;=6,"Medium",I2460&lt;=9,"Large")</f>
        <v>small</v>
      </c>
      <c r="K2460" s="36">
        <v>45601</v>
      </c>
      <c r="L2460" s="36">
        <v>45605</v>
      </c>
      <c r="M2460" t="s">
        <v>612</v>
      </c>
      <c r="N2460" t="s">
        <v>608</v>
      </c>
      <c r="O2460" s="37" t="str">
        <f t="shared" si="193"/>
        <v>Cash Payment</v>
      </c>
      <c r="P2460">
        <v>203.18</v>
      </c>
      <c r="Q2460" s="37" t="str">
        <f>IF(P2460&gt;500,"High","low")</f>
        <v>low</v>
      </c>
      <c r="R2460" s="37" t="str">
        <f t="shared" si="194"/>
        <v>AVERAGE</v>
      </c>
      <c r="S2460" t="s">
        <v>605</v>
      </c>
    </row>
    <row r="2461" spans="1:19" x14ac:dyDescent="0.2">
      <c r="A2461" t="s">
        <v>3072</v>
      </c>
      <c r="B2461" t="s">
        <v>83</v>
      </c>
      <c r="C2461" t="s">
        <v>617</v>
      </c>
      <c r="D2461">
        <v>1344.74</v>
      </c>
      <c r="E2461" s="37" t="str">
        <f t="shared" si="190"/>
        <v xml:space="preserve"> </v>
      </c>
      <c r="F2461">
        <v>0.2</v>
      </c>
      <c r="G2461" s="37" t="str">
        <f t="shared" si="191"/>
        <v>Normal Discount</v>
      </c>
      <c r="H2461" s="37" t="str">
        <f t="shared" si="192"/>
        <v>Medium</v>
      </c>
      <c r="I2461">
        <v>6</v>
      </c>
      <c r="J2461" t="str" cm="1">
        <f t="array" ref="J2461">_xlfn.IFS(I2461&lt;=3,"small",I2461&lt;=6,"Medium",I2461&lt;=9,"Large")</f>
        <v>Medium</v>
      </c>
      <c r="K2461" s="36">
        <v>45049</v>
      </c>
      <c r="L2461" s="36">
        <v>45052</v>
      </c>
      <c r="M2461" t="s">
        <v>603</v>
      </c>
      <c r="N2461" t="s">
        <v>608</v>
      </c>
      <c r="O2461" s="37" t="str">
        <f t="shared" si="193"/>
        <v>Cash Payment</v>
      </c>
      <c r="P2461">
        <v>263.01</v>
      </c>
      <c r="Q2461" s="37" t="str">
        <f>IF(P2461&gt;500,"High","low")</f>
        <v>low</v>
      </c>
      <c r="R2461" s="37" t="str">
        <f t="shared" si="194"/>
        <v>AVERAGE</v>
      </c>
      <c r="S2461" t="s">
        <v>628</v>
      </c>
    </row>
    <row r="2462" spans="1:19" x14ac:dyDescent="0.2">
      <c r="A2462" t="s">
        <v>3073</v>
      </c>
      <c r="B2462" t="s">
        <v>67</v>
      </c>
      <c r="C2462" t="s">
        <v>597</v>
      </c>
      <c r="D2462">
        <v>3523.03</v>
      </c>
      <c r="E2462" s="37" t="str">
        <f t="shared" si="190"/>
        <v xml:space="preserve"> </v>
      </c>
      <c r="F2462">
        <v>0.25</v>
      </c>
      <c r="G2462" s="37" t="str">
        <f t="shared" si="191"/>
        <v>Normal Discount</v>
      </c>
      <c r="H2462" s="37" t="str">
        <f t="shared" si="192"/>
        <v>Medium</v>
      </c>
      <c r="I2462">
        <v>2</v>
      </c>
      <c r="J2462" t="str" cm="1">
        <f t="array" ref="J2462">_xlfn.IFS(I2462&lt;=3,"small",I2462&lt;=6,"Medium",I2462&lt;=9,"Large")</f>
        <v>small</v>
      </c>
      <c r="K2462" s="36">
        <v>45163</v>
      </c>
      <c r="L2462" s="36">
        <v>45168</v>
      </c>
      <c r="M2462" t="s">
        <v>612</v>
      </c>
      <c r="N2462" t="s">
        <v>604</v>
      </c>
      <c r="O2462" s="37" t="str">
        <f t="shared" si="193"/>
        <v>Digital Payment</v>
      </c>
      <c r="P2462">
        <v>216.45</v>
      </c>
      <c r="Q2462" s="37" t="str">
        <f>IF(P2462&gt;500,"High","low")</f>
        <v>low</v>
      </c>
      <c r="R2462" s="37" t="str">
        <f t="shared" si="194"/>
        <v>AVERAGE</v>
      </c>
      <c r="S2462" t="s">
        <v>620</v>
      </c>
    </row>
    <row r="2463" spans="1:19" x14ac:dyDescent="0.2">
      <c r="A2463" t="s">
        <v>3074</v>
      </c>
      <c r="B2463" t="s">
        <v>83</v>
      </c>
      <c r="C2463" t="s">
        <v>614</v>
      </c>
      <c r="D2463">
        <v>4445.1400000000003</v>
      </c>
      <c r="E2463" s="37" t="str">
        <f t="shared" si="190"/>
        <v xml:space="preserve"> </v>
      </c>
      <c r="F2463">
        <v>0.13</v>
      </c>
      <c r="G2463" s="37" t="str">
        <f t="shared" si="191"/>
        <v>Normal Discount</v>
      </c>
      <c r="H2463" s="37" t="str">
        <f t="shared" si="192"/>
        <v>Low</v>
      </c>
      <c r="I2463">
        <v>4</v>
      </c>
      <c r="J2463" t="str" cm="1">
        <f t="array" ref="J2463">_xlfn.IFS(I2463&lt;=3,"small",I2463&lt;=6,"Medium",I2463&lt;=9,"Large")</f>
        <v>Medium</v>
      </c>
      <c r="K2463" s="36">
        <v>45370</v>
      </c>
      <c r="L2463" s="36">
        <v>45377</v>
      </c>
      <c r="M2463" t="s">
        <v>603</v>
      </c>
      <c r="N2463" t="s">
        <v>599</v>
      </c>
      <c r="O2463" s="37" t="str">
        <f t="shared" si="193"/>
        <v>Digital Payment</v>
      </c>
      <c r="P2463">
        <v>461.94</v>
      </c>
      <c r="Q2463" s="37" t="str">
        <f>IF(P2463&gt;500,"High","low")</f>
        <v>low</v>
      </c>
      <c r="R2463" s="37" t="str">
        <f t="shared" si="194"/>
        <v>AVERAGE</v>
      </c>
      <c r="S2463" t="s">
        <v>605</v>
      </c>
    </row>
    <row r="2464" spans="1:19" x14ac:dyDescent="0.2">
      <c r="A2464" t="s">
        <v>3075</v>
      </c>
      <c r="B2464" t="s">
        <v>90</v>
      </c>
      <c r="C2464" t="s">
        <v>617</v>
      </c>
      <c r="D2464">
        <v>1230.9100000000001</v>
      </c>
      <c r="E2464" s="37" t="str">
        <f t="shared" si="190"/>
        <v xml:space="preserve"> </v>
      </c>
      <c r="F2464">
        <v>0.45</v>
      </c>
      <c r="G2464" s="37" t="str">
        <f t="shared" si="191"/>
        <v>Heavy Discount</v>
      </c>
      <c r="H2464" s="37" t="str">
        <f t="shared" si="192"/>
        <v>High</v>
      </c>
      <c r="I2464">
        <v>9</v>
      </c>
      <c r="J2464" t="str" cm="1">
        <f t="array" ref="J2464">_xlfn.IFS(I2464&lt;=3,"small",I2464&lt;=6,"Medium",I2464&lt;=9,"Large")</f>
        <v>Large</v>
      </c>
      <c r="K2464" s="36">
        <v>45530</v>
      </c>
      <c r="L2464" s="36">
        <v>45532</v>
      </c>
      <c r="M2464" t="s">
        <v>603</v>
      </c>
      <c r="N2464" t="s">
        <v>604</v>
      </c>
      <c r="O2464" s="37" t="str">
        <f t="shared" si="193"/>
        <v>Digital Payment</v>
      </c>
      <c r="P2464">
        <v>215.85</v>
      </c>
      <c r="Q2464" s="37" t="str">
        <f>IF(P2464&gt;500,"High","low")</f>
        <v>low</v>
      </c>
      <c r="R2464" s="37" t="str">
        <f t="shared" si="194"/>
        <v>AVERAGE</v>
      </c>
      <c r="S2464" t="s">
        <v>600</v>
      </c>
    </row>
    <row r="2465" spans="1:19" x14ac:dyDescent="0.2">
      <c r="A2465" t="s">
        <v>3076</v>
      </c>
      <c r="B2465" t="s">
        <v>83</v>
      </c>
      <c r="C2465" t="s">
        <v>617</v>
      </c>
      <c r="D2465">
        <v>3560.01</v>
      </c>
      <c r="E2465" s="37" t="str">
        <f t="shared" si="190"/>
        <v xml:space="preserve"> </v>
      </c>
      <c r="F2465">
        <v>0.14000000000000001</v>
      </c>
      <c r="G2465" s="37" t="str">
        <f t="shared" si="191"/>
        <v>Normal Discount</v>
      </c>
      <c r="H2465" s="37" t="str">
        <f t="shared" si="192"/>
        <v>Low</v>
      </c>
      <c r="I2465">
        <v>3</v>
      </c>
      <c r="J2465" t="str" cm="1">
        <f t="array" ref="J2465">_xlfn.IFS(I2465&lt;=3,"small",I2465&lt;=6,"Medium",I2465&lt;=9,"Large")</f>
        <v>small</v>
      </c>
      <c r="K2465" s="36">
        <v>45353</v>
      </c>
      <c r="L2465" s="36">
        <v>45355</v>
      </c>
      <c r="M2465" t="s">
        <v>598</v>
      </c>
      <c r="N2465" t="s">
        <v>604</v>
      </c>
      <c r="O2465" s="37" t="str">
        <f t="shared" si="193"/>
        <v>Digital Payment</v>
      </c>
      <c r="P2465">
        <v>884.02</v>
      </c>
      <c r="Q2465" s="37" t="str">
        <f>IF(P2465&gt;500,"High","low")</f>
        <v>High</v>
      </c>
      <c r="R2465" s="37" t="str">
        <f t="shared" si="194"/>
        <v>Good</v>
      </c>
      <c r="S2465" t="s">
        <v>605</v>
      </c>
    </row>
    <row r="2466" spans="1:19" x14ac:dyDescent="0.2">
      <c r="A2466" t="s">
        <v>3077</v>
      </c>
      <c r="B2466" t="s">
        <v>75</v>
      </c>
      <c r="C2466" t="s">
        <v>617</v>
      </c>
      <c r="D2466">
        <v>2029.1</v>
      </c>
      <c r="E2466" s="37" t="str">
        <f t="shared" si="190"/>
        <v xml:space="preserve"> </v>
      </c>
      <c r="F2466">
        <v>0.43</v>
      </c>
      <c r="G2466" s="37" t="str">
        <f t="shared" si="191"/>
        <v>Heavy Discount</v>
      </c>
      <c r="H2466" s="37" t="str">
        <f t="shared" si="192"/>
        <v>High</v>
      </c>
      <c r="I2466">
        <v>1</v>
      </c>
      <c r="J2466" t="str" cm="1">
        <f t="array" ref="J2466">_xlfn.IFS(I2466&lt;=3,"small",I2466&lt;=6,"Medium",I2466&lt;=9,"Large")</f>
        <v>small</v>
      </c>
      <c r="K2466" s="36">
        <v>44987</v>
      </c>
      <c r="L2466" s="36">
        <v>44993</v>
      </c>
      <c r="M2466" t="s">
        <v>603</v>
      </c>
      <c r="N2466" t="s">
        <v>599</v>
      </c>
      <c r="O2466" s="37" t="str">
        <f t="shared" si="193"/>
        <v>Digital Payment</v>
      </c>
      <c r="P2466">
        <v>263.81</v>
      </c>
      <c r="Q2466" s="37" t="str">
        <f>IF(P2466&gt;500,"High","low")</f>
        <v>low</v>
      </c>
      <c r="R2466" s="37" t="str">
        <f t="shared" si="194"/>
        <v>AVERAGE</v>
      </c>
      <c r="S2466" t="s">
        <v>609</v>
      </c>
    </row>
    <row r="2467" spans="1:19" x14ac:dyDescent="0.2">
      <c r="A2467" t="s">
        <v>3078</v>
      </c>
      <c r="B2467" t="s">
        <v>90</v>
      </c>
      <c r="C2467" t="s">
        <v>617</v>
      </c>
      <c r="D2467">
        <v>681.96</v>
      </c>
      <c r="E2467" s="37" t="str">
        <f t="shared" si="190"/>
        <v xml:space="preserve"> </v>
      </c>
      <c r="F2467">
        <v>0.22</v>
      </c>
      <c r="G2467" s="37" t="str">
        <f t="shared" si="191"/>
        <v>Normal Discount</v>
      </c>
      <c r="H2467" s="37" t="str">
        <f t="shared" si="192"/>
        <v>Medium</v>
      </c>
      <c r="I2467">
        <v>2</v>
      </c>
      <c r="J2467" t="str" cm="1">
        <f t="array" ref="J2467">_xlfn.IFS(I2467&lt;=3,"small",I2467&lt;=6,"Medium",I2467&lt;=9,"Large")</f>
        <v>small</v>
      </c>
      <c r="K2467" s="36">
        <v>45635</v>
      </c>
      <c r="L2467" s="36">
        <v>45639</v>
      </c>
      <c r="M2467" t="s">
        <v>603</v>
      </c>
      <c r="N2467" t="s">
        <v>608</v>
      </c>
      <c r="O2467" s="37" t="str">
        <f t="shared" si="193"/>
        <v>Cash Payment</v>
      </c>
      <c r="P2467">
        <v>83.43</v>
      </c>
      <c r="Q2467" s="37" t="str">
        <f>IF(P2467&gt;500,"High","low")</f>
        <v>low</v>
      </c>
      <c r="R2467" s="37" t="str">
        <f t="shared" si="194"/>
        <v>AVERAGE</v>
      </c>
      <c r="S2467" t="s">
        <v>600</v>
      </c>
    </row>
    <row r="2468" spans="1:19" x14ac:dyDescent="0.2">
      <c r="A2468" t="s">
        <v>3079</v>
      </c>
      <c r="B2468" t="s">
        <v>67</v>
      </c>
      <c r="C2468" t="s">
        <v>614</v>
      </c>
      <c r="D2468">
        <v>3840.96</v>
      </c>
      <c r="E2468" s="37" t="str">
        <f t="shared" si="190"/>
        <v xml:space="preserve"> </v>
      </c>
      <c r="F2468">
        <v>0.36</v>
      </c>
      <c r="G2468" s="37" t="str">
        <f t="shared" si="191"/>
        <v>Heavy Discount</v>
      </c>
      <c r="H2468" s="37" t="str">
        <f t="shared" si="192"/>
        <v>Medium</v>
      </c>
      <c r="I2468">
        <v>7</v>
      </c>
      <c r="J2468" t="str" cm="1">
        <f t="array" ref="J2468">_xlfn.IFS(I2468&lt;=3,"small",I2468&lt;=6,"Medium",I2468&lt;=9,"Large")</f>
        <v>Large</v>
      </c>
      <c r="K2468" s="36">
        <v>45018</v>
      </c>
      <c r="L2468" s="36">
        <v>45022</v>
      </c>
      <c r="M2468" t="s">
        <v>598</v>
      </c>
      <c r="N2468" t="s">
        <v>599</v>
      </c>
      <c r="O2468" s="37" t="str">
        <f t="shared" si="193"/>
        <v>Digital Payment</v>
      </c>
      <c r="P2468">
        <v>300.55</v>
      </c>
      <c r="Q2468" s="37" t="str">
        <f>IF(P2468&gt;500,"High","low")</f>
        <v>low</v>
      </c>
      <c r="R2468" s="37" t="str">
        <f t="shared" si="194"/>
        <v>AVERAGE</v>
      </c>
      <c r="S2468" t="s">
        <v>605</v>
      </c>
    </row>
    <row r="2469" spans="1:19" x14ac:dyDescent="0.2">
      <c r="A2469" t="s">
        <v>3080</v>
      </c>
      <c r="B2469" t="s">
        <v>75</v>
      </c>
      <c r="C2469" t="s">
        <v>607</v>
      </c>
      <c r="D2469">
        <v>918.97</v>
      </c>
      <c r="E2469" s="37" t="str">
        <f t="shared" si="190"/>
        <v xml:space="preserve"> </v>
      </c>
      <c r="F2469">
        <v>0.06</v>
      </c>
      <c r="G2469" s="37" t="str">
        <f t="shared" si="191"/>
        <v>Normal Discount</v>
      </c>
      <c r="H2469" s="37" t="str">
        <f t="shared" si="192"/>
        <v>Low</v>
      </c>
      <c r="I2469">
        <v>9</v>
      </c>
      <c r="J2469" t="str" cm="1">
        <f t="array" ref="J2469">_xlfn.IFS(I2469&lt;=3,"small",I2469&lt;=6,"Medium",I2469&lt;=9,"Large")</f>
        <v>Large</v>
      </c>
      <c r="K2469" s="36">
        <v>45160</v>
      </c>
      <c r="L2469" s="36">
        <v>45162</v>
      </c>
      <c r="M2469" t="s">
        <v>598</v>
      </c>
      <c r="N2469" t="s">
        <v>608</v>
      </c>
      <c r="O2469" s="37" t="str">
        <f t="shared" si="193"/>
        <v>Cash Payment</v>
      </c>
      <c r="P2469">
        <v>180.5</v>
      </c>
      <c r="Q2469" s="37" t="str">
        <f>IF(P2469&gt;500,"High","low")</f>
        <v>low</v>
      </c>
      <c r="R2469" s="37" t="str">
        <f t="shared" si="194"/>
        <v>AVERAGE</v>
      </c>
      <c r="S2469" t="s">
        <v>600</v>
      </c>
    </row>
    <row r="2470" spans="1:19" x14ac:dyDescent="0.2">
      <c r="A2470" t="s">
        <v>3081</v>
      </c>
      <c r="B2470" t="s">
        <v>75</v>
      </c>
      <c r="C2470" t="s">
        <v>602</v>
      </c>
      <c r="D2470">
        <v>1339.19</v>
      </c>
      <c r="E2470" s="37" t="str">
        <f t="shared" si="190"/>
        <v xml:space="preserve"> </v>
      </c>
      <c r="F2470">
        <v>0.27</v>
      </c>
      <c r="G2470" s="37" t="str">
        <f t="shared" si="191"/>
        <v>Normal Discount</v>
      </c>
      <c r="H2470" s="37" t="str">
        <f t="shared" si="192"/>
        <v>Medium</v>
      </c>
      <c r="I2470">
        <v>9</v>
      </c>
      <c r="J2470" t="str" cm="1">
        <f t="array" ref="J2470">_xlfn.IFS(I2470&lt;=3,"small",I2470&lt;=6,"Medium",I2470&lt;=9,"Large")</f>
        <v>Large</v>
      </c>
      <c r="K2470" s="36">
        <v>45457</v>
      </c>
      <c r="L2470" s="36">
        <v>45463</v>
      </c>
      <c r="M2470" t="s">
        <v>603</v>
      </c>
      <c r="N2470" t="s">
        <v>608</v>
      </c>
      <c r="O2470" s="37" t="str">
        <f t="shared" si="193"/>
        <v>Cash Payment</v>
      </c>
      <c r="P2470">
        <v>245.25</v>
      </c>
      <c r="Q2470" s="37" t="str">
        <f>IF(P2470&gt;500,"High","low")</f>
        <v>low</v>
      </c>
      <c r="R2470" s="37" t="str">
        <f t="shared" si="194"/>
        <v>AVERAGE</v>
      </c>
      <c r="S2470" t="s">
        <v>605</v>
      </c>
    </row>
    <row r="2471" spans="1:19" x14ac:dyDescent="0.2">
      <c r="A2471" t="s">
        <v>3082</v>
      </c>
      <c r="B2471" t="s">
        <v>67</v>
      </c>
      <c r="C2471" t="s">
        <v>617</v>
      </c>
      <c r="D2471">
        <v>3936.42</v>
      </c>
      <c r="E2471" s="37" t="str">
        <f t="shared" si="190"/>
        <v xml:space="preserve"> </v>
      </c>
      <c r="F2471">
        <v>0.48</v>
      </c>
      <c r="G2471" s="37" t="str">
        <f t="shared" si="191"/>
        <v>Heavy Discount</v>
      </c>
      <c r="H2471" s="37" t="str">
        <f t="shared" si="192"/>
        <v>High</v>
      </c>
      <c r="I2471">
        <v>4</v>
      </c>
      <c r="J2471" t="str" cm="1">
        <f t="array" ref="J2471">_xlfn.IFS(I2471&lt;=3,"small",I2471&lt;=6,"Medium",I2471&lt;=9,"Large")</f>
        <v>Medium</v>
      </c>
      <c r="K2471" s="36">
        <v>45556</v>
      </c>
      <c r="L2471" s="36">
        <v>45559</v>
      </c>
      <c r="M2471" t="s">
        <v>603</v>
      </c>
      <c r="N2471" t="s">
        <v>599</v>
      </c>
      <c r="O2471" s="37" t="str">
        <f t="shared" si="193"/>
        <v>Digital Payment</v>
      </c>
      <c r="P2471">
        <v>205.55</v>
      </c>
      <c r="Q2471" s="37" t="str">
        <f>IF(P2471&gt;500,"High","low")</f>
        <v>low</v>
      </c>
      <c r="R2471" s="37" t="str">
        <f t="shared" si="194"/>
        <v>AVERAGE</v>
      </c>
      <c r="S2471" t="s">
        <v>605</v>
      </c>
    </row>
    <row r="2472" spans="1:19" x14ac:dyDescent="0.2">
      <c r="A2472" t="s">
        <v>3083</v>
      </c>
      <c r="B2472" t="s">
        <v>67</v>
      </c>
      <c r="C2472" t="s">
        <v>602</v>
      </c>
      <c r="D2472">
        <v>3736.45</v>
      </c>
      <c r="E2472" s="37" t="str">
        <f t="shared" si="190"/>
        <v xml:space="preserve"> </v>
      </c>
      <c r="F2472">
        <v>0.33</v>
      </c>
      <c r="G2472" s="37" t="str">
        <f t="shared" si="191"/>
        <v>Heavy Discount</v>
      </c>
      <c r="H2472" s="37" t="str">
        <f t="shared" si="192"/>
        <v>Medium</v>
      </c>
      <c r="I2472">
        <v>8</v>
      </c>
      <c r="J2472" t="str" cm="1">
        <f t="array" ref="J2472">_xlfn.IFS(I2472&lt;=3,"small",I2472&lt;=6,"Medium",I2472&lt;=9,"Large")</f>
        <v>Large</v>
      </c>
      <c r="K2472" s="36">
        <v>45294</v>
      </c>
      <c r="L2472" s="36">
        <v>45296</v>
      </c>
      <c r="M2472" t="s">
        <v>612</v>
      </c>
      <c r="N2472" t="s">
        <v>604</v>
      </c>
      <c r="O2472" s="37" t="str">
        <f t="shared" si="193"/>
        <v>Digital Payment</v>
      </c>
      <c r="P2472">
        <v>843.43</v>
      </c>
      <c r="Q2472" s="37" t="str">
        <f>IF(P2472&gt;500,"High","low")</f>
        <v>High</v>
      </c>
      <c r="R2472" s="37" t="str">
        <f t="shared" si="194"/>
        <v>Good</v>
      </c>
      <c r="S2472" t="s">
        <v>628</v>
      </c>
    </row>
    <row r="2473" spans="1:19" x14ac:dyDescent="0.2">
      <c r="A2473" t="s">
        <v>3084</v>
      </c>
      <c r="B2473" t="s">
        <v>83</v>
      </c>
      <c r="C2473" t="s">
        <v>602</v>
      </c>
      <c r="D2473">
        <v>1345.5</v>
      </c>
      <c r="E2473" s="37" t="str">
        <f t="shared" si="190"/>
        <v xml:space="preserve"> </v>
      </c>
      <c r="F2473">
        <v>0.41</v>
      </c>
      <c r="G2473" s="37" t="str">
        <f t="shared" si="191"/>
        <v>Heavy Discount</v>
      </c>
      <c r="H2473" s="37" t="str">
        <f t="shared" si="192"/>
        <v>High</v>
      </c>
      <c r="I2473">
        <v>1</v>
      </c>
      <c r="J2473" t="str" cm="1">
        <f t="array" ref="J2473">_xlfn.IFS(I2473&lt;=3,"small",I2473&lt;=6,"Medium",I2473&lt;=9,"Large")</f>
        <v>small</v>
      </c>
      <c r="K2473" s="36">
        <v>45163</v>
      </c>
      <c r="L2473" s="36">
        <v>45169</v>
      </c>
      <c r="M2473" t="s">
        <v>612</v>
      </c>
      <c r="N2473" t="s">
        <v>604</v>
      </c>
      <c r="O2473" s="37" t="str">
        <f t="shared" si="193"/>
        <v>Digital Payment</v>
      </c>
      <c r="P2473">
        <v>222.14</v>
      </c>
      <c r="Q2473" s="37" t="str">
        <f>IF(P2473&gt;500,"High","low")</f>
        <v>low</v>
      </c>
      <c r="R2473" s="37" t="str">
        <f t="shared" si="194"/>
        <v>AVERAGE</v>
      </c>
      <c r="S2473" t="s">
        <v>609</v>
      </c>
    </row>
    <row r="2474" spans="1:19" x14ac:dyDescent="0.2">
      <c r="A2474" t="s">
        <v>3085</v>
      </c>
      <c r="B2474" t="s">
        <v>90</v>
      </c>
      <c r="C2474" t="s">
        <v>617</v>
      </c>
      <c r="D2474">
        <v>4710.7299999999996</v>
      </c>
      <c r="E2474" s="37" t="str">
        <f t="shared" si="190"/>
        <v xml:space="preserve"> </v>
      </c>
      <c r="F2474">
        <v>0.13</v>
      </c>
      <c r="G2474" s="37" t="str">
        <f t="shared" si="191"/>
        <v>Normal Discount</v>
      </c>
      <c r="H2474" s="37" t="str">
        <f t="shared" si="192"/>
        <v>Low</v>
      </c>
      <c r="I2474">
        <v>6</v>
      </c>
      <c r="J2474" t="str" cm="1">
        <f t="array" ref="J2474">_xlfn.IFS(I2474&lt;=3,"small",I2474&lt;=6,"Medium",I2474&lt;=9,"Large")</f>
        <v>Medium</v>
      </c>
      <c r="K2474" s="36">
        <v>45617</v>
      </c>
      <c r="L2474" s="36">
        <v>45620</v>
      </c>
      <c r="M2474" t="s">
        <v>598</v>
      </c>
      <c r="N2474" t="s">
        <v>599</v>
      </c>
      <c r="O2474" s="37" t="str">
        <f t="shared" si="193"/>
        <v>Digital Payment</v>
      </c>
      <c r="P2474">
        <v>576.05999999999995</v>
      </c>
      <c r="Q2474" s="37" t="str">
        <f>IF(P2474&gt;500,"High","low")</f>
        <v>High</v>
      </c>
      <c r="R2474" s="37" t="str">
        <f t="shared" si="194"/>
        <v>Good</v>
      </c>
      <c r="S2474" t="s">
        <v>628</v>
      </c>
    </row>
    <row r="2475" spans="1:19" x14ac:dyDescent="0.2">
      <c r="A2475" t="s">
        <v>3086</v>
      </c>
      <c r="B2475" t="s">
        <v>67</v>
      </c>
      <c r="C2475" t="s">
        <v>607</v>
      </c>
      <c r="D2475">
        <v>1154.9000000000001</v>
      </c>
      <c r="E2475" s="37" t="str">
        <f t="shared" si="190"/>
        <v xml:space="preserve"> </v>
      </c>
      <c r="F2475">
        <v>0.4</v>
      </c>
      <c r="G2475" s="37" t="str">
        <f t="shared" si="191"/>
        <v>Heavy Discount</v>
      </c>
      <c r="H2475" s="37" t="str">
        <f t="shared" si="192"/>
        <v>Medium</v>
      </c>
      <c r="I2475">
        <v>8</v>
      </c>
      <c r="J2475" t="str" cm="1">
        <f t="array" ref="J2475">_xlfn.IFS(I2475&lt;=3,"small",I2475&lt;=6,"Medium",I2475&lt;=9,"Large")</f>
        <v>Large</v>
      </c>
      <c r="K2475" s="36">
        <v>45217</v>
      </c>
      <c r="L2475" s="36">
        <v>45218</v>
      </c>
      <c r="M2475" t="s">
        <v>603</v>
      </c>
      <c r="N2475" t="s">
        <v>599</v>
      </c>
      <c r="O2475" s="37" t="str">
        <f t="shared" si="193"/>
        <v>Digital Payment</v>
      </c>
      <c r="P2475">
        <v>262.97000000000003</v>
      </c>
      <c r="Q2475" s="37" t="str">
        <f>IF(P2475&gt;500,"High","low")</f>
        <v>low</v>
      </c>
      <c r="R2475" s="37" t="str">
        <f t="shared" si="194"/>
        <v>AVERAGE</v>
      </c>
      <c r="S2475" t="s">
        <v>628</v>
      </c>
    </row>
    <row r="2476" spans="1:19" x14ac:dyDescent="0.2">
      <c r="A2476" t="s">
        <v>3087</v>
      </c>
      <c r="B2476" t="s">
        <v>67</v>
      </c>
      <c r="C2476" t="s">
        <v>602</v>
      </c>
      <c r="D2476">
        <v>4968.75</v>
      </c>
      <c r="E2476" s="37" t="str">
        <f t="shared" si="190"/>
        <v>Excellent Order</v>
      </c>
      <c r="F2476">
        <v>0.18</v>
      </c>
      <c r="G2476" s="37" t="str">
        <f t="shared" si="191"/>
        <v>Normal Discount</v>
      </c>
      <c r="H2476" s="37" t="str">
        <f t="shared" si="192"/>
        <v>Low</v>
      </c>
      <c r="I2476">
        <v>2</v>
      </c>
      <c r="J2476" t="str" cm="1">
        <f t="array" ref="J2476">_xlfn.IFS(I2476&lt;=3,"small",I2476&lt;=6,"Medium",I2476&lt;=9,"Large")</f>
        <v>small</v>
      </c>
      <c r="K2476" s="36">
        <v>45287</v>
      </c>
      <c r="L2476" s="36">
        <v>45291</v>
      </c>
      <c r="M2476" t="s">
        <v>612</v>
      </c>
      <c r="N2476" t="s">
        <v>608</v>
      </c>
      <c r="O2476" s="37" t="str">
        <f t="shared" si="193"/>
        <v>Cash Payment</v>
      </c>
      <c r="P2476">
        <v>1256.8399999999999</v>
      </c>
      <c r="Q2476" s="37" t="str">
        <f>IF(P2476&gt;500,"High","low")</f>
        <v>High</v>
      </c>
      <c r="R2476" s="37" t="str">
        <f t="shared" si="194"/>
        <v>Excellent</v>
      </c>
      <c r="S2476" t="s">
        <v>609</v>
      </c>
    </row>
    <row r="2477" spans="1:19" x14ac:dyDescent="0.2">
      <c r="A2477" t="s">
        <v>3088</v>
      </c>
      <c r="B2477" t="s">
        <v>90</v>
      </c>
      <c r="C2477" t="s">
        <v>597</v>
      </c>
      <c r="D2477">
        <v>3715.71</v>
      </c>
      <c r="E2477" s="37" t="str">
        <f t="shared" si="190"/>
        <v xml:space="preserve"> </v>
      </c>
      <c r="F2477">
        <v>0.24</v>
      </c>
      <c r="G2477" s="37" t="str">
        <f t="shared" si="191"/>
        <v>Normal Discount</v>
      </c>
      <c r="H2477" s="37" t="str">
        <f t="shared" si="192"/>
        <v>Medium</v>
      </c>
      <c r="I2477">
        <v>8</v>
      </c>
      <c r="J2477" t="str" cm="1">
        <f t="array" ref="J2477">_xlfn.IFS(I2477&lt;=3,"small",I2477&lt;=6,"Medium",I2477&lt;=9,"Large")</f>
        <v>Large</v>
      </c>
      <c r="K2477" s="36">
        <v>45064</v>
      </c>
      <c r="L2477" s="36">
        <v>45070</v>
      </c>
      <c r="M2477" t="s">
        <v>612</v>
      </c>
      <c r="N2477" t="s">
        <v>604</v>
      </c>
      <c r="O2477" s="37" t="str">
        <f t="shared" si="193"/>
        <v>Digital Payment</v>
      </c>
      <c r="P2477">
        <v>740.49</v>
      </c>
      <c r="Q2477" s="37" t="str">
        <f>IF(P2477&gt;500,"High","low")</f>
        <v>High</v>
      </c>
      <c r="R2477" s="37" t="str">
        <f t="shared" si="194"/>
        <v>Good</v>
      </c>
      <c r="S2477" t="s">
        <v>600</v>
      </c>
    </row>
    <row r="2478" spans="1:19" x14ac:dyDescent="0.2">
      <c r="A2478" t="s">
        <v>3089</v>
      </c>
      <c r="B2478" t="s">
        <v>67</v>
      </c>
      <c r="C2478" t="s">
        <v>602</v>
      </c>
      <c r="D2478">
        <v>2023.29</v>
      </c>
      <c r="E2478" s="37" t="str">
        <f t="shared" si="190"/>
        <v xml:space="preserve"> </v>
      </c>
      <c r="F2478">
        <v>0.09</v>
      </c>
      <c r="G2478" s="37" t="str">
        <f t="shared" si="191"/>
        <v>Normal Discount</v>
      </c>
      <c r="H2478" s="37" t="str">
        <f t="shared" si="192"/>
        <v>Low</v>
      </c>
      <c r="I2478">
        <v>4</v>
      </c>
      <c r="J2478" t="str" cm="1">
        <f t="array" ref="J2478">_xlfn.IFS(I2478&lt;=3,"small",I2478&lt;=6,"Medium",I2478&lt;=9,"Large")</f>
        <v>Medium</v>
      </c>
      <c r="K2478" s="36">
        <v>45550</v>
      </c>
      <c r="L2478" s="36">
        <v>45553</v>
      </c>
      <c r="M2478" t="s">
        <v>603</v>
      </c>
      <c r="N2478" t="s">
        <v>599</v>
      </c>
      <c r="O2478" s="37" t="str">
        <f t="shared" si="193"/>
        <v>Digital Payment</v>
      </c>
      <c r="P2478">
        <v>148.93</v>
      </c>
      <c r="Q2478" s="37" t="str">
        <f>IF(P2478&gt;500,"High","low")</f>
        <v>low</v>
      </c>
      <c r="R2478" s="37" t="str">
        <f t="shared" si="194"/>
        <v>AVERAGE</v>
      </c>
      <c r="S2478" t="s">
        <v>600</v>
      </c>
    </row>
    <row r="2479" spans="1:19" x14ac:dyDescent="0.2">
      <c r="A2479" t="s">
        <v>3090</v>
      </c>
      <c r="B2479" t="s">
        <v>67</v>
      </c>
      <c r="C2479" t="s">
        <v>617</v>
      </c>
      <c r="D2479">
        <v>738.71</v>
      </c>
      <c r="E2479" s="37" t="str">
        <f t="shared" si="190"/>
        <v xml:space="preserve"> </v>
      </c>
      <c r="F2479">
        <v>0.24</v>
      </c>
      <c r="G2479" s="37" t="str">
        <f t="shared" si="191"/>
        <v>Normal Discount</v>
      </c>
      <c r="H2479" s="37" t="str">
        <f t="shared" si="192"/>
        <v>Medium</v>
      </c>
      <c r="I2479">
        <v>2</v>
      </c>
      <c r="J2479" t="str" cm="1">
        <f t="array" ref="J2479">_xlfn.IFS(I2479&lt;=3,"small",I2479&lt;=6,"Medium",I2479&lt;=9,"Large")</f>
        <v>small</v>
      </c>
      <c r="K2479" s="36">
        <v>45168</v>
      </c>
      <c r="L2479" s="36">
        <v>45170</v>
      </c>
      <c r="M2479" t="s">
        <v>598</v>
      </c>
      <c r="N2479" t="s">
        <v>608</v>
      </c>
      <c r="O2479" s="37" t="str">
        <f t="shared" si="193"/>
        <v>Cash Payment</v>
      </c>
      <c r="P2479">
        <v>204.22</v>
      </c>
      <c r="Q2479" s="37" t="str">
        <f>IF(P2479&gt;500,"High","low")</f>
        <v>low</v>
      </c>
      <c r="R2479" s="37" t="str">
        <f t="shared" si="194"/>
        <v>AVERAGE</v>
      </c>
      <c r="S2479" t="s">
        <v>600</v>
      </c>
    </row>
    <row r="2480" spans="1:19" x14ac:dyDescent="0.2">
      <c r="A2480" t="s">
        <v>3091</v>
      </c>
      <c r="B2480" t="s">
        <v>83</v>
      </c>
      <c r="C2480" t="s">
        <v>614</v>
      </c>
      <c r="D2480">
        <v>1670.5</v>
      </c>
      <c r="E2480" s="37" t="str">
        <f t="shared" si="190"/>
        <v xml:space="preserve"> </v>
      </c>
      <c r="F2480">
        <v>0.26</v>
      </c>
      <c r="G2480" s="37" t="str">
        <f t="shared" si="191"/>
        <v>Normal Discount</v>
      </c>
      <c r="H2480" s="37" t="str">
        <f t="shared" si="192"/>
        <v>Medium</v>
      </c>
      <c r="I2480">
        <v>4</v>
      </c>
      <c r="J2480" t="str" cm="1">
        <f t="array" ref="J2480">_xlfn.IFS(I2480&lt;=3,"small",I2480&lt;=6,"Medium",I2480&lt;=9,"Large")</f>
        <v>Medium</v>
      </c>
      <c r="K2480" s="36">
        <v>45218</v>
      </c>
      <c r="L2480" s="36">
        <v>45225</v>
      </c>
      <c r="M2480" t="s">
        <v>598</v>
      </c>
      <c r="N2480" t="s">
        <v>599</v>
      </c>
      <c r="O2480" s="37" t="str">
        <f t="shared" si="193"/>
        <v>Digital Payment</v>
      </c>
      <c r="P2480">
        <v>90.97</v>
      </c>
      <c r="Q2480" s="37" t="str">
        <f>IF(P2480&gt;500,"High","low")</f>
        <v>low</v>
      </c>
      <c r="R2480" s="37" t="str">
        <f t="shared" si="194"/>
        <v>AVERAGE</v>
      </c>
      <c r="S2480" t="s">
        <v>628</v>
      </c>
    </row>
    <row r="2481" spans="1:19" x14ac:dyDescent="0.2">
      <c r="A2481" t="s">
        <v>3092</v>
      </c>
      <c r="B2481" t="s">
        <v>75</v>
      </c>
      <c r="C2481" t="s">
        <v>602</v>
      </c>
      <c r="D2481">
        <v>1049.32</v>
      </c>
      <c r="E2481" s="37" t="str">
        <f t="shared" si="190"/>
        <v xml:space="preserve"> </v>
      </c>
      <c r="F2481">
        <v>0.31</v>
      </c>
      <c r="G2481" s="37" t="str">
        <f t="shared" si="191"/>
        <v>Heavy Discount</v>
      </c>
      <c r="H2481" s="37" t="str">
        <f t="shared" si="192"/>
        <v>Medium</v>
      </c>
      <c r="I2481">
        <v>8</v>
      </c>
      <c r="J2481" t="str" cm="1">
        <f t="array" ref="J2481">_xlfn.IFS(I2481&lt;=3,"small",I2481&lt;=6,"Medium",I2481&lt;=9,"Large")</f>
        <v>Large</v>
      </c>
      <c r="K2481" s="36">
        <v>45363</v>
      </c>
      <c r="L2481" s="36">
        <v>45364</v>
      </c>
      <c r="M2481" t="s">
        <v>612</v>
      </c>
      <c r="N2481" t="s">
        <v>608</v>
      </c>
      <c r="O2481" s="37" t="str">
        <f t="shared" si="193"/>
        <v>Cash Payment</v>
      </c>
      <c r="P2481">
        <v>107.38</v>
      </c>
      <c r="Q2481" s="37" t="str">
        <f>IF(P2481&gt;500,"High","low")</f>
        <v>low</v>
      </c>
      <c r="R2481" s="37" t="str">
        <f t="shared" si="194"/>
        <v>AVERAGE</v>
      </c>
      <c r="S2481" t="s">
        <v>609</v>
      </c>
    </row>
    <row r="2482" spans="1:19" x14ac:dyDescent="0.2">
      <c r="A2482" t="s">
        <v>3093</v>
      </c>
      <c r="B2482" t="s">
        <v>75</v>
      </c>
      <c r="C2482" t="s">
        <v>607</v>
      </c>
      <c r="D2482">
        <v>3147.01</v>
      </c>
      <c r="E2482" s="37" t="str">
        <f t="shared" si="190"/>
        <v xml:space="preserve"> </v>
      </c>
      <c r="F2482">
        <v>0.43</v>
      </c>
      <c r="G2482" s="37" t="str">
        <f t="shared" si="191"/>
        <v>Heavy Discount</v>
      </c>
      <c r="H2482" s="37" t="str">
        <f t="shared" si="192"/>
        <v>High</v>
      </c>
      <c r="I2482">
        <v>4</v>
      </c>
      <c r="J2482" t="str" cm="1">
        <f t="array" ref="J2482">_xlfn.IFS(I2482&lt;=3,"small",I2482&lt;=6,"Medium",I2482&lt;=9,"Large")</f>
        <v>Medium</v>
      </c>
      <c r="K2482" s="36">
        <v>44980</v>
      </c>
      <c r="L2482" s="36">
        <v>44982</v>
      </c>
      <c r="M2482" t="s">
        <v>598</v>
      </c>
      <c r="N2482" t="s">
        <v>604</v>
      </c>
      <c r="O2482" s="37" t="str">
        <f t="shared" si="193"/>
        <v>Digital Payment</v>
      </c>
      <c r="P2482">
        <v>365.37</v>
      </c>
      <c r="Q2482" s="37" t="str">
        <f>IF(P2482&gt;500,"High","low")</f>
        <v>low</v>
      </c>
      <c r="R2482" s="37" t="str">
        <f t="shared" si="194"/>
        <v>AVERAGE</v>
      </c>
      <c r="S2482" t="s">
        <v>600</v>
      </c>
    </row>
    <row r="2483" spans="1:19" x14ac:dyDescent="0.2">
      <c r="A2483" t="s">
        <v>3094</v>
      </c>
      <c r="B2483" t="s">
        <v>75</v>
      </c>
      <c r="C2483" t="s">
        <v>597</v>
      </c>
      <c r="D2483">
        <v>1848.59</v>
      </c>
      <c r="E2483" s="37" t="str">
        <f t="shared" si="190"/>
        <v xml:space="preserve"> </v>
      </c>
      <c r="F2483">
        <v>0.15</v>
      </c>
      <c r="G2483" s="37" t="str">
        <f t="shared" si="191"/>
        <v>Normal Discount</v>
      </c>
      <c r="H2483" s="37" t="str">
        <f t="shared" si="192"/>
        <v>Low</v>
      </c>
      <c r="I2483">
        <v>8</v>
      </c>
      <c r="J2483" t="str" cm="1">
        <f t="array" ref="J2483">_xlfn.IFS(I2483&lt;=3,"small",I2483&lt;=6,"Medium",I2483&lt;=9,"Large")</f>
        <v>Large</v>
      </c>
      <c r="K2483" s="36">
        <v>45454</v>
      </c>
      <c r="L2483" s="36">
        <v>45460</v>
      </c>
      <c r="M2483" t="s">
        <v>612</v>
      </c>
      <c r="N2483" t="s">
        <v>599</v>
      </c>
      <c r="O2483" s="37" t="str">
        <f t="shared" si="193"/>
        <v>Digital Payment</v>
      </c>
      <c r="P2483">
        <v>263.42</v>
      </c>
      <c r="Q2483" s="37" t="str">
        <f>IF(P2483&gt;500,"High","low")</f>
        <v>low</v>
      </c>
      <c r="R2483" s="37" t="str">
        <f t="shared" si="194"/>
        <v>AVERAGE</v>
      </c>
      <c r="S2483" t="s">
        <v>620</v>
      </c>
    </row>
    <row r="2484" spans="1:19" x14ac:dyDescent="0.2">
      <c r="A2484" t="s">
        <v>3095</v>
      </c>
      <c r="B2484" t="s">
        <v>75</v>
      </c>
      <c r="C2484" t="s">
        <v>597</v>
      </c>
      <c r="D2484">
        <v>1545.54</v>
      </c>
      <c r="E2484" s="37" t="str">
        <f t="shared" si="190"/>
        <v xml:space="preserve"> </v>
      </c>
      <c r="F2484">
        <v>0.49</v>
      </c>
      <c r="G2484" s="37" t="str">
        <f t="shared" si="191"/>
        <v>Heavy Discount</v>
      </c>
      <c r="H2484" s="37" t="str">
        <f t="shared" si="192"/>
        <v>High</v>
      </c>
      <c r="I2484">
        <v>7</v>
      </c>
      <c r="J2484" t="str" cm="1">
        <f t="array" ref="J2484">_xlfn.IFS(I2484&lt;=3,"small",I2484&lt;=6,"Medium",I2484&lt;=9,"Large")</f>
        <v>Large</v>
      </c>
      <c r="K2484" s="36">
        <v>44976</v>
      </c>
      <c r="L2484" s="36">
        <v>44977</v>
      </c>
      <c r="M2484" t="s">
        <v>612</v>
      </c>
      <c r="N2484" t="s">
        <v>599</v>
      </c>
      <c r="O2484" s="37" t="str">
        <f t="shared" si="193"/>
        <v>Digital Payment</v>
      </c>
      <c r="P2484">
        <v>214.63</v>
      </c>
      <c r="Q2484" s="37" t="str">
        <f>IF(P2484&gt;500,"High","low")</f>
        <v>low</v>
      </c>
      <c r="R2484" s="37" t="str">
        <f t="shared" si="194"/>
        <v>AVERAGE</v>
      </c>
      <c r="S2484" t="s">
        <v>628</v>
      </c>
    </row>
    <row r="2485" spans="1:19" x14ac:dyDescent="0.2">
      <c r="A2485" t="s">
        <v>3096</v>
      </c>
      <c r="B2485" t="s">
        <v>67</v>
      </c>
      <c r="C2485" t="s">
        <v>614</v>
      </c>
      <c r="D2485">
        <v>3809.95</v>
      </c>
      <c r="E2485" s="37" t="str">
        <f t="shared" si="190"/>
        <v xml:space="preserve"> </v>
      </c>
      <c r="F2485">
        <v>0.42</v>
      </c>
      <c r="G2485" s="37" t="str">
        <f t="shared" si="191"/>
        <v>Heavy Discount</v>
      </c>
      <c r="H2485" s="37" t="str">
        <f t="shared" si="192"/>
        <v>High</v>
      </c>
      <c r="I2485">
        <v>5</v>
      </c>
      <c r="J2485" t="str" cm="1">
        <f t="array" ref="J2485">_xlfn.IFS(I2485&lt;=3,"small",I2485&lt;=6,"Medium",I2485&lt;=9,"Large")</f>
        <v>Medium</v>
      </c>
      <c r="K2485" s="36">
        <v>45115</v>
      </c>
      <c r="L2485" s="36">
        <v>45120</v>
      </c>
      <c r="M2485" t="s">
        <v>598</v>
      </c>
      <c r="N2485" t="s">
        <v>599</v>
      </c>
      <c r="O2485" s="37" t="str">
        <f t="shared" si="193"/>
        <v>Digital Payment</v>
      </c>
      <c r="P2485">
        <v>1046.74</v>
      </c>
      <c r="Q2485" s="37" t="str">
        <f>IF(P2485&gt;500,"High","low")</f>
        <v>High</v>
      </c>
      <c r="R2485" s="37" t="str">
        <f t="shared" si="194"/>
        <v>Excellent</v>
      </c>
      <c r="S2485" t="s">
        <v>615</v>
      </c>
    </row>
    <row r="2486" spans="1:19" x14ac:dyDescent="0.2">
      <c r="A2486" t="s">
        <v>3097</v>
      </c>
      <c r="B2486" t="s">
        <v>90</v>
      </c>
      <c r="C2486" t="s">
        <v>614</v>
      </c>
      <c r="D2486">
        <v>1229.94</v>
      </c>
      <c r="E2486" s="37" t="str">
        <f t="shared" si="190"/>
        <v xml:space="preserve"> </v>
      </c>
      <c r="F2486">
        <v>0.2</v>
      </c>
      <c r="G2486" s="37" t="str">
        <f t="shared" si="191"/>
        <v>Normal Discount</v>
      </c>
      <c r="H2486" s="37" t="str">
        <f t="shared" si="192"/>
        <v>Medium</v>
      </c>
      <c r="I2486">
        <v>8</v>
      </c>
      <c r="J2486" t="str" cm="1">
        <f t="array" ref="J2486">_xlfn.IFS(I2486&lt;=3,"small",I2486&lt;=6,"Medium",I2486&lt;=9,"Large")</f>
        <v>Large</v>
      </c>
      <c r="K2486" s="36">
        <v>45439</v>
      </c>
      <c r="L2486" s="36">
        <v>45440</v>
      </c>
      <c r="M2486" t="s">
        <v>603</v>
      </c>
      <c r="N2486" t="s">
        <v>604</v>
      </c>
      <c r="O2486" s="37" t="str">
        <f t="shared" si="193"/>
        <v>Digital Payment</v>
      </c>
      <c r="P2486">
        <v>306.3</v>
      </c>
      <c r="Q2486" s="37" t="str">
        <f>IF(P2486&gt;500,"High","low")</f>
        <v>low</v>
      </c>
      <c r="R2486" s="37" t="str">
        <f t="shared" si="194"/>
        <v>AVERAGE</v>
      </c>
      <c r="S2486" t="s">
        <v>600</v>
      </c>
    </row>
    <row r="2487" spans="1:19" x14ac:dyDescent="0.2">
      <c r="A2487" t="s">
        <v>3098</v>
      </c>
      <c r="B2487" t="s">
        <v>90</v>
      </c>
      <c r="C2487" t="s">
        <v>602</v>
      </c>
      <c r="D2487">
        <v>2975.76</v>
      </c>
      <c r="E2487" s="37" t="str">
        <f t="shared" si="190"/>
        <v xml:space="preserve"> </v>
      </c>
      <c r="F2487">
        <v>0.11</v>
      </c>
      <c r="G2487" s="37" t="str">
        <f t="shared" si="191"/>
        <v>Normal Discount</v>
      </c>
      <c r="H2487" s="37" t="str">
        <f t="shared" si="192"/>
        <v>Low</v>
      </c>
      <c r="I2487">
        <v>2</v>
      </c>
      <c r="J2487" t="str" cm="1">
        <f t="array" ref="J2487">_xlfn.IFS(I2487&lt;=3,"small",I2487&lt;=6,"Medium",I2487&lt;=9,"Large")</f>
        <v>small</v>
      </c>
      <c r="K2487" s="36">
        <v>45608</v>
      </c>
      <c r="L2487" s="36">
        <v>45615</v>
      </c>
      <c r="M2487" t="s">
        <v>612</v>
      </c>
      <c r="N2487" t="s">
        <v>608</v>
      </c>
      <c r="O2487" s="37" t="str">
        <f t="shared" si="193"/>
        <v>Cash Payment</v>
      </c>
      <c r="P2487">
        <v>298.64</v>
      </c>
      <c r="Q2487" s="37" t="str">
        <f>IF(P2487&gt;500,"High","low")</f>
        <v>low</v>
      </c>
      <c r="R2487" s="37" t="str">
        <f t="shared" si="194"/>
        <v>AVERAGE</v>
      </c>
      <c r="S2487" t="s">
        <v>628</v>
      </c>
    </row>
    <row r="2488" spans="1:19" x14ac:dyDescent="0.2">
      <c r="A2488" t="s">
        <v>3099</v>
      </c>
      <c r="B2488" t="s">
        <v>83</v>
      </c>
      <c r="C2488" t="s">
        <v>617</v>
      </c>
      <c r="D2488">
        <v>1053.52</v>
      </c>
      <c r="E2488" s="37" t="str">
        <f t="shared" si="190"/>
        <v xml:space="preserve"> </v>
      </c>
      <c r="F2488">
        <v>0.04</v>
      </c>
      <c r="G2488" s="37" t="str">
        <f t="shared" si="191"/>
        <v>Normal Discount</v>
      </c>
      <c r="H2488" s="37" t="str">
        <f t="shared" si="192"/>
        <v>Low</v>
      </c>
      <c r="I2488">
        <v>3</v>
      </c>
      <c r="J2488" t="str" cm="1">
        <f t="array" ref="J2488">_xlfn.IFS(I2488&lt;=3,"small",I2488&lt;=6,"Medium",I2488&lt;=9,"Large")</f>
        <v>small</v>
      </c>
      <c r="K2488" s="36">
        <v>45103</v>
      </c>
      <c r="L2488" s="36">
        <v>45109</v>
      </c>
      <c r="M2488" t="s">
        <v>612</v>
      </c>
      <c r="N2488" t="s">
        <v>604</v>
      </c>
      <c r="O2488" s="37" t="str">
        <f t="shared" si="193"/>
        <v>Digital Payment</v>
      </c>
      <c r="P2488">
        <v>303.97000000000003</v>
      </c>
      <c r="Q2488" s="37" t="str">
        <f>IF(P2488&gt;500,"High","low")</f>
        <v>low</v>
      </c>
      <c r="R2488" s="37" t="str">
        <f t="shared" si="194"/>
        <v>AVERAGE</v>
      </c>
      <c r="S2488" t="s">
        <v>609</v>
      </c>
    </row>
    <row r="2489" spans="1:19" x14ac:dyDescent="0.2">
      <c r="A2489" t="s">
        <v>3100</v>
      </c>
      <c r="B2489" t="s">
        <v>83</v>
      </c>
      <c r="C2489" t="s">
        <v>607</v>
      </c>
      <c r="D2489">
        <v>3602.51</v>
      </c>
      <c r="E2489" s="37" t="str">
        <f t="shared" si="190"/>
        <v xml:space="preserve"> </v>
      </c>
      <c r="F2489">
        <v>0.12</v>
      </c>
      <c r="G2489" s="37" t="str">
        <f t="shared" si="191"/>
        <v>Normal Discount</v>
      </c>
      <c r="H2489" s="37" t="str">
        <f t="shared" si="192"/>
        <v>Low</v>
      </c>
      <c r="I2489">
        <v>4</v>
      </c>
      <c r="J2489" t="str" cm="1">
        <f t="array" ref="J2489">_xlfn.IFS(I2489&lt;=3,"small",I2489&lt;=6,"Medium",I2489&lt;=9,"Large")</f>
        <v>Medium</v>
      </c>
      <c r="K2489" s="36">
        <v>45145</v>
      </c>
      <c r="L2489" s="36">
        <v>45148</v>
      </c>
      <c r="M2489" t="s">
        <v>603</v>
      </c>
      <c r="N2489" t="s">
        <v>599</v>
      </c>
      <c r="O2489" s="37" t="str">
        <f t="shared" si="193"/>
        <v>Digital Payment</v>
      </c>
      <c r="P2489">
        <v>506.4</v>
      </c>
      <c r="Q2489" s="37" t="str">
        <f>IF(P2489&gt;500,"High","low")</f>
        <v>High</v>
      </c>
      <c r="R2489" s="37" t="str">
        <f t="shared" si="194"/>
        <v>Good</v>
      </c>
      <c r="S2489" t="s">
        <v>609</v>
      </c>
    </row>
    <row r="2490" spans="1:19" x14ac:dyDescent="0.2">
      <c r="A2490" t="s">
        <v>3101</v>
      </c>
      <c r="B2490" t="s">
        <v>67</v>
      </c>
      <c r="C2490" t="s">
        <v>597</v>
      </c>
      <c r="D2490">
        <v>3163.1</v>
      </c>
      <c r="E2490" s="37" t="str">
        <f t="shared" si="190"/>
        <v xml:space="preserve"> </v>
      </c>
      <c r="F2490">
        <v>0.44</v>
      </c>
      <c r="G2490" s="37" t="str">
        <f t="shared" si="191"/>
        <v>Heavy Discount</v>
      </c>
      <c r="H2490" s="37" t="str">
        <f t="shared" si="192"/>
        <v>High</v>
      </c>
      <c r="I2490">
        <v>5</v>
      </c>
      <c r="J2490" t="str" cm="1">
        <f t="array" ref="J2490">_xlfn.IFS(I2490&lt;=3,"small",I2490&lt;=6,"Medium",I2490&lt;=9,"Large")</f>
        <v>Medium</v>
      </c>
      <c r="K2490" s="36">
        <v>45585</v>
      </c>
      <c r="L2490" s="36">
        <v>45590</v>
      </c>
      <c r="M2490" t="s">
        <v>612</v>
      </c>
      <c r="N2490" t="s">
        <v>604</v>
      </c>
      <c r="O2490" s="37" t="str">
        <f t="shared" si="193"/>
        <v>Digital Payment</v>
      </c>
      <c r="P2490">
        <v>330.98</v>
      </c>
      <c r="Q2490" s="37" t="str">
        <f>IF(P2490&gt;500,"High","low")</f>
        <v>low</v>
      </c>
      <c r="R2490" s="37" t="str">
        <f t="shared" si="194"/>
        <v>AVERAGE</v>
      </c>
      <c r="S2490" t="s">
        <v>615</v>
      </c>
    </row>
    <row r="2491" spans="1:19" x14ac:dyDescent="0.2">
      <c r="A2491" t="s">
        <v>3102</v>
      </c>
      <c r="B2491" t="s">
        <v>90</v>
      </c>
      <c r="C2491" t="s">
        <v>614</v>
      </c>
      <c r="D2491">
        <v>4010.95</v>
      </c>
      <c r="E2491" s="37" t="str">
        <f t="shared" si="190"/>
        <v>Excellent Order</v>
      </c>
      <c r="F2491">
        <v>0.15</v>
      </c>
      <c r="G2491" s="37" t="str">
        <f t="shared" si="191"/>
        <v>Normal Discount</v>
      </c>
      <c r="H2491" s="37" t="str">
        <f t="shared" si="192"/>
        <v>Low</v>
      </c>
      <c r="I2491">
        <v>5</v>
      </c>
      <c r="J2491" t="str" cm="1">
        <f t="array" ref="J2491">_xlfn.IFS(I2491&lt;=3,"small",I2491&lt;=6,"Medium",I2491&lt;=9,"Large")</f>
        <v>Medium</v>
      </c>
      <c r="K2491" s="36">
        <v>45646</v>
      </c>
      <c r="L2491" s="36">
        <v>45652</v>
      </c>
      <c r="M2491" t="s">
        <v>603</v>
      </c>
      <c r="N2491" t="s">
        <v>608</v>
      </c>
      <c r="O2491" s="37" t="str">
        <f t="shared" si="193"/>
        <v>Cash Payment</v>
      </c>
      <c r="P2491">
        <v>1148.8599999999999</v>
      </c>
      <c r="Q2491" s="37" t="str">
        <f>IF(P2491&gt;500,"High","low")</f>
        <v>High</v>
      </c>
      <c r="R2491" s="37" t="str">
        <f t="shared" si="194"/>
        <v>Excellent</v>
      </c>
      <c r="S2491" t="s">
        <v>600</v>
      </c>
    </row>
    <row r="2492" spans="1:19" x14ac:dyDescent="0.2">
      <c r="A2492" t="s">
        <v>3103</v>
      </c>
      <c r="B2492" t="s">
        <v>90</v>
      </c>
      <c r="C2492" t="s">
        <v>607</v>
      </c>
      <c r="D2492">
        <v>435.64</v>
      </c>
      <c r="E2492" s="37" t="str">
        <f t="shared" si="190"/>
        <v xml:space="preserve"> </v>
      </c>
      <c r="F2492">
        <v>7.0000000000000007E-2</v>
      </c>
      <c r="G2492" s="37" t="str">
        <f t="shared" si="191"/>
        <v>Normal Discount</v>
      </c>
      <c r="H2492" s="37" t="str">
        <f t="shared" si="192"/>
        <v>Low</v>
      </c>
      <c r="I2492">
        <v>1</v>
      </c>
      <c r="J2492" t="str" cm="1">
        <f t="array" ref="J2492">_xlfn.IFS(I2492&lt;=3,"small",I2492&lt;=6,"Medium",I2492&lt;=9,"Large")</f>
        <v>small</v>
      </c>
      <c r="K2492" s="36">
        <v>45182</v>
      </c>
      <c r="L2492" s="36">
        <v>45183</v>
      </c>
      <c r="M2492" t="s">
        <v>603</v>
      </c>
      <c r="N2492" t="s">
        <v>604</v>
      </c>
      <c r="O2492" s="37" t="str">
        <f t="shared" si="193"/>
        <v>Digital Payment</v>
      </c>
      <c r="P2492">
        <v>84.07</v>
      </c>
      <c r="Q2492" s="37" t="str">
        <f>IF(P2492&gt;500,"High","low")</f>
        <v>low</v>
      </c>
      <c r="R2492" s="37" t="str">
        <f t="shared" si="194"/>
        <v>AVERAGE</v>
      </c>
      <c r="S2492" t="s">
        <v>615</v>
      </c>
    </row>
    <row r="2493" spans="1:19" x14ac:dyDescent="0.2">
      <c r="A2493" t="s">
        <v>3104</v>
      </c>
      <c r="B2493" t="s">
        <v>75</v>
      </c>
      <c r="C2493" t="s">
        <v>617</v>
      </c>
      <c r="D2493">
        <v>1129.52</v>
      </c>
      <c r="E2493" s="37" t="str">
        <f t="shared" si="190"/>
        <v xml:space="preserve"> </v>
      </c>
      <c r="F2493">
        <v>0.01</v>
      </c>
      <c r="G2493" s="37" t="str">
        <f t="shared" si="191"/>
        <v>Normal Discount</v>
      </c>
      <c r="H2493" s="37" t="str">
        <f t="shared" si="192"/>
        <v>Low</v>
      </c>
      <c r="I2493">
        <v>1</v>
      </c>
      <c r="J2493" t="str" cm="1">
        <f t="array" ref="J2493">_xlfn.IFS(I2493&lt;=3,"small",I2493&lt;=6,"Medium",I2493&lt;=9,"Large")</f>
        <v>small</v>
      </c>
      <c r="K2493" s="36">
        <v>45284</v>
      </c>
      <c r="L2493" s="36">
        <v>45285</v>
      </c>
      <c r="M2493" t="s">
        <v>603</v>
      </c>
      <c r="N2493" t="s">
        <v>599</v>
      </c>
      <c r="O2493" s="37" t="str">
        <f t="shared" si="193"/>
        <v>Digital Payment</v>
      </c>
      <c r="P2493">
        <v>222.99</v>
      </c>
      <c r="Q2493" s="37" t="str">
        <f>IF(P2493&gt;500,"High","low")</f>
        <v>low</v>
      </c>
      <c r="R2493" s="37" t="str">
        <f t="shared" si="194"/>
        <v>AVERAGE</v>
      </c>
      <c r="S2493" t="s">
        <v>609</v>
      </c>
    </row>
    <row r="2494" spans="1:19" x14ac:dyDescent="0.2">
      <c r="A2494" t="s">
        <v>3105</v>
      </c>
      <c r="B2494" t="s">
        <v>67</v>
      </c>
      <c r="C2494" t="s">
        <v>597</v>
      </c>
      <c r="D2494">
        <v>856.86</v>
      </c>
      <c r="E2494" s="37" t="str">
        <f t="shared" si="190"/>
        <v xml:space="preserve"> </v>
      </c>
      <c r="F2494">
        <v>0.15</v>
      </c>
      <c r="G2494" s="37" t="str">
        <f t="shared" si="191"/>
        <v>Normal Discount</v>
      </c>
      <c r="H2494" s="37" t="str">
        <f t="shared" si="192"/>
        <v>Low</v>
      </c>
      <c r="I2494">
        <v>1</v>
      </c>
      <c r="J2494" t="str" cm="1">
        <f t="array" ref="J2494">_xlfn.IFS(I2494&lt;=3,"small",I2494&lt;=6,"Medium",I2494&lt;=9,"Large")</f>
        <v>small</v>
      </c>
      <c r="K2494" s="36">
        <v>45574</v>
      </c>
      <c r="L2494" s="36">
        <v>45577</v>
      </c>
      <c r="M2494" t="s">
        <v>598</v>
      </c>
      <c r="N2494" t="s">
        <v>599</v>
      </c>
      <c r="O2494" s="37" t="str">
        <f t="shared" si="193"/>
        <v>Digital Payment</v>
      </c>
      <c r="P2494">
        <v>183.37</v>
      </c>
      <c r="Q2494" s="37" t="str">
        <f>IF(P2494&gt;500,"High","low")</f>
        <v>low</v>
      </c>
      <c r="R2494" s="37" t="str">
        <f t="shared" si="194"/>
        <v>AVERAGE</v>
      </c>
      <c r="S2494" t="s">
        <v>600</v>
      </c>
    </row>
    <row r="2495" spans="1:19" x14ac:dyDescent="0.2">
      <c r="A2495" t="s">
        <v>3106</v>
      </c>
      <c r="B2495" t="s">
        <v>67</v>
      </c>
      <c r="C2495" t="s">
        <v>597</v>
      </c>
      <c r="D2495">
        <v>1033.75</v>
      </c>
      <c r="E2495" s="37" t="str">
        <f t="shared" si="190"/>
        <v xml:space="preserve"> </v>
      </c>
      <c r="F2495">
        <v>0.11</v>
      </c>
      <c r="G2495" s="37" t="str">
        <f t="shared" si="191"/>
        <v>Normal Discount</v>
      </c>
      <c r="H2495" s="37" t="str">
        <f t="shared" si="192"/>
        <v>Low</v>
      </c>
      <c r="I2495">
        <v>5</v>
      </c>
      <c r="J2495" t="str" cm="1">
        <f t="array" ref="J2495">_xlfn.IFS(I2495&lt;=3,"small",I2495&lt;=6,"Medium",I2495&lt;=9,"Large")</f>
        <v>Medium</v>
      </c>
      <c r="K2495" s="36">
        <v>45116</v>
      </c>
      <c r="L2495" s="36">
        <v>45123</v>
      </c>
      <c r="M2495" t="s">
        <v>612</v>
      </c>
      <c r="N2495" t="s">
        <v>599</v>
      </c>
      <c r="O2495" s="37" t="str">
        <f t="shared" si="193"/>
        <v>Digital Payment</v>
      </c>
      <c r="P2495">
        <v>213.27</v>
      </c>
      <c r="Q2495" s="37" t="str">
        <f>IF(P2495&gt;500,"High","low")</f>
        <v>low</v>
      </c>
      <c r="R2495" s="37" t="str">
        <f t="shared" si="194"/>
        <v>AVERAGE</v>
      </c>
      <c r="S2495" t="s">
        <v>620</v>
      </c>
    </row>
    <row r="2496" spans="1:19" x14ac:dyDescent="0.2">
      <c r="A2496" t="s">
        <v>3107</v>
      </c>
      <c r="B2496" t="s">
        <v>75</v>
      </c>
      <c r="C2496" t="s">
        <v>617</v>
      </c>
      <c r="D2496">
        <v>604.77</v>
      </c>
      <c r="E2496" s="37" t="str">
        <f t="shared" si="190"/>
        <v xml:space="preserve"> </v>
      </c>
      <c r="F2496">
        <v>0.05</v>
      </c>
      <c r="G2496" s="37" t="str">
        <f t="shared" si="191"/>
        <v>Normal Discount</v>
      </c>
      <c r="H2496" s="37" t="str">
        <f t="shared" si="192"/>
        <v>Low</v>
      </c>
      <c r="I2496">
        <v>2</v>
      </c>
      <c r="J2496" t="str" cm="1">
        <f t="array" ref="J2496">_xlfn.IFS(I2496&lt;=3,"small",I2496&lt;=6,"Medium",I2496&lt;=9,"Large")</f>
        <v>small</v>
      </c>
      <c r="K2496" s="36">
        <v>45386</v>
      </c>
      <c r="L2496" s="36">
        <v>45390</v>
      </c>
      <c r="M2496" t="s">
        <v>612</v>
      </c>
      <c r="N2496" t="s">
        <v>599</v>
      </c>
      <c r="O2496" s="37" t="str">
        <f t="shared" si="193"/>
        <v>Digital Payment</v>
      </c>
      <c r="P2496">
        <v>125.47</v>
      </c>
      <c r="Q2496" s="37" t="str">
        <f>IF(P2496&gt;500,"High","low")</f>
        <v>low</v>
      </c>
      <c r="R2496" s="37" t="str">
        <f t="shared" si="194"/>
        <v>AVERAGE</v>
      </c>
      <c r="S2496" t="s">
        <v>620</v>
      </c>
    </row>
    <row r="2497" spans="1:19" x14ac:dyDescent="0.2">
      <c r="A2497" t="s">
        <v>3108</v>
      </c>
      <c r="B2497" t="s">
        <v>67</v>
      </c>
      <c r="C2497" t="s">
        <v>597</v>
      </c>
      <c r="D2497">
        <v>2854.2</v>
      </c>
      <c r="E2497" s="37" t="str">
        <f t="shared" si="190"/>
        <v xml:space="preserve"> </v>
      </c>
      <c r="F2497">
        <v>0.48</v>
      </c>
      <c r="G2497" s="37" t="str">
        <f t="shared" si="191"/>
        <v>Heavy Discount</v>
      </c>
      <c r="H2497" s="37" t="str">
        <f t="shared" si="192"/>
        <v>High</v>
      </c>
      <c r="I2497">
        <v>3</v>
      </c>
      <c r="J2497" t="str" cm="1">
        <f t="array" ref="J2497">_xlfn.IFS(I2497&lt;=3,"small",I2497&lt;=6,"Medium",I2497&lt;=9,"Large")</f>
        <v>small</v>
      </c>
      <c r="K2497" s="36">
        <v>44935</v>
      </c>
      <c r="L2497" s="36">
        <v>44939</v>
      </c>
      <c r="M2497" t="s">
        <v>612</v>
      </c>
      <c r="N2497" t="s">
        <v>608</v>
      </c>
      <c r="O2497" s="37" t="str">
        <f t="shared" si="193"/>
        <v>Cash Payment</v>
      </c>
      <c r="P2497">
        <v>144.11000000000001</v>
      </c>
      <c r="Q2497" s="37" t="str">
        <f>IF(P2497&gt;500,"High","low")</f>
        <v>low</v>
      </c>
      <c r="R2497" s="37" t="str">
        <f t="shared" si="194"/>
        <v>AVERAGE</v>
      </c>
      <c r="S2497" t="s">
        <v>620</v>
      </c>
    </row>
    <row r="2498" spans="1:19" x14ac:dyDescent="0.2">
      <c r="A2498" t="s">
        <v>3109</v>
      </c>
      <c r="B2498" t="s">
        <v>67</v>
      </c>
      <c r="C2498" t="s">
        <v>617</v>
      </c>
      <c r="D2498">
        <v>3007.81</v>
      </c>
      <c r="E2498" s="37" t="str">
        <f t="shared" si="190"/>
        <v xml:space="preserve"> </v>
      </c>
      <c r="F2498">
        <v>0.13</v>
      </c>
      <c r="G2498" s="37" t="str">
        <f t="shared" si="191"/>
        <v>Normal Discount</v>
      </c>
      <c r="H2498" s="37" t="str">
        <f t="shared" si="192"/>
        <v>Low</v>
      </c>
      <c r="I2498">
        <v>8</v>
      </c>
      <c r="J2498" t="str" cm="1">
        <f t="array" ref="J2498">_xlfn.IFS(I2498&lt;=3,"small",I2498&lt;=6,"Medium",I2498&lt;=9,"Large")</f>
        <v>Large</v>
      </c>
      <c r="K2498" s="36">
        <v>45606</v>
      </c>
      <c r="L2498" s="36">
        <v>45612</v>
      </c>
      <c r="M2498" t="s">
        <v>603</v>
      </c>
      <c r="N2498" t="s">
        <v>604</v>
      </c>
      <c r="O2498" s="37" t="str">
        <f t="shared" si="193"/>
        <v>Digital Payment</v>
      </c>
      <c r="P2498">
        <v>665.99</v>
      </c>
      <c r="Q2498" s="37" t="str">
        <f>IF(P2498&gt;500,"High","low")</f>
        <v>High</v>
      </c>
      <c r="R2498" s="37" t="str">
        <f t="shared" si="194"/>
        <v>Good</v>
      </c>
      <c r="S2498" t="s">
        <v>615</v>
      </c>
    </row>
    <row r="2499" spans="1:19" x14ac:dyDescent="0.2">
      <c r="A2499" t="s">
        <v>3110</v>
      </c>
      <c r="B2499" t="s">
        <v>83</v>
      </c>
      <c r="C2499" t="s">
        <v>597</v>
      </c>
      <c r="D2499">
        <v>4233.1000000000004</v>
      </c>
      <c r="E2499" s="37" t="str">
        <f t="shared" ref="E2499:E2562" si="195">IF(AND(D2499&gt;4000,P2499&gt;800),"Excellent Order"," ")</f>
        <v>Excellent Order</v>
      </c>
      <c r="F2499">
        <v>0</v>
      </c>
      <c r="G2499" s="37" t="str">
        <f t="shared" ref="G2499:G2562" si="196">IF(F2499&gt;30%,"Heavy Discount","Normal Discount")</f>
        <v>Normal Discount</v>
      </c>
      <c r="H2499" s="37" t="str">
        <f t="shared" ref="H2499:H2562" si="197">IF(F2499&gt;0.4,"High",IF(F2499&gt;=0.2,"Medium","Low"))</f>
        <v>Low</v>
      </c>
      <c r="I2499">
        <v>8</v>
      </c>
      <c r="J2499" t="str" cm="1">
        <f t="array" ref="J2499">_xlfn.IFS(I2499&lt;=3,"small",I2499&lt;=6,"Medium",I2499&lt;=9,"Large")</f>
        <v>Large</v>
      </c>
      <c r="K2499" s="36">
        <v>45411</v>
      </c>
      <c r="L2499" s="36">
        <v>45418</v>
      </c>
      <c r="M2499" t="s">
        <v>598</v>
      </c>
      <c r="N2499" t="s">
        <v>608</v>
      </c>
      <c r="O2499" s="37" t="str">
        <f t="shared" ref="O2499:O2562" si="198">IF(OR(N2499="Card",N2499="UPI"),"Digital Payment","Cash Payment")</f>
        <v>Cash Payment</v>
      </c>
      <c r="P2499">
        <v>997.04</v>
      </c>
      <c r="Q2499" s="37" t="str">
        <f>IF(P2499&gt;500,"High","low")</f>
        <v>High</v>
      </c>
      <c r="R2499" s="37" t="str">
        <f t="shared" ref="R2499:R2562" si="199">IF(P2499&gt;1000,"Excellent",IF(P2499&gt;=500,"Good","AVERAGE"))</f>
        <v>Good</v>
      </c>
      <c r="S2499" t="s">
        <v>605</v>
      </c>
    </row>
    <row r="2500" spans="1:19" x14ac:dyDescent="0.2">
      <c r="A2500" t="s">
        <v>3111</v>
      </c>
      <c r="B2500" t="s">
        <v>90</v>
      </c>
      <c r="C2500" t="s">
        <v>602</v>
      </c>
      <c r="D2500">
        <v>2146.92</v>
      </c>
      <c r="E2500" s="37" t="str">
        <f t="shared" si="195"/>
        <v xml:space="preserve"> </v>
      </c>
      <c r="F2500">
        <v>0.47</v>
      </c>
      <c r="G2500" s="37" t="str">
        <f t="shared" si="196"/>
        <v>Heavy Discount</v>
      </c>
      <c r="H2500" s="37" t="str">
        <f t="shared" si="197"/>
        <v>High</v>
      </c>
      <c r="I2500">
        <v>2</v>
      </c>
      <c r="J2500" t="str" cm="1">
        <f t="array" ref="J2500">_xlfn.IFS(I2500&lt;=3,"small",I2500&lt;=6,"Medium",I2500&lt;=9,"Large")</f>
        <v>small</v>
      </c>
      <c r="K2500" s="36">
        <v>45115</v>
      </c>
      <c r="L2500" s="36">
        <v>45121</v>
      </c>
      <c r="M2500" t="s">
        <v>612</v>
      </c>
      <c r="N2500" t="s">
        <v>604</v>
      </c>
      <c r="O2500" s="37" t="str">
        <f t="shared" si="198"/>
        <v>Digital Payment</v>
      </c>
      <c r="P2500">
        <v>121.8</v>
      </c>
      <c r="Q2500" s="37" t="str">
        <f>IF(P2500&gt;500,"High","low")</f>
        <v>low</v>
      </c>
      <c r="R2500" s="37" t="str">
        <f t="shared" si="199"/>
        <v>AVERAGE</v>
      </c>
      <c r="S2500" t="s">
        <v>600</v>
      </c>
    </row>
    <row r="2501" spans="1:19" x14ac:dyDescent="0.2">
      <c r="A2501" t="s">
        <v>3112</v>
      </c>
      <c r="B2501" t="s">
        <v>67</v>
      </c>
      <c r="C2501" t="s">
        <v>617</v>
      </c>
      <c r="D2501">
        <v>2708.69</v>
      </c>
      <c r="E2501" s="37" t="str">
        <f t="shared" si="195"/>
        <v xml:space="preserve"> </v>
      </c>
      <c r="F2501">
        <v>0.28999999999999998</v>
      </c>
      <c r="G2501" s="37" t="str">
        <f t="shared" si="196"/>
        <v>Normal Discount</v>
      </c>
      <c r="H2501" s="37" t="str">
        <f t="shared" si="197"/>
        <v>Medium</v>
      </c>
      <c r="I2501">
        <v>8</v>
      </c>
      <c r="J2501" t="str" cm="1">
        <f t="array" ref="J2501">_xlfn.IFS(I2501&lt;=3,"small",I2501&lt;=6,"Medium",I2501&lt;=9,"Large")</f>
        <v>Large</v>
      </c>
      <c r="K2501" s="36">
        <v>44949</v>
      </c>
      <c r="L2501" s="36">
        <v>44953</v>
      </c>
      <c r="M2501" t="s">
        <v>612</v>
      </c>
      <c r="N2501" t="s">
        <v>599</v>
      </c>
      <c r="O2501" s="37" t="str">
        <f t="shared" si="198"/>
        <v>Digital Payment</v>
      </c>
      <c r="P2501">
        <v>558.30999999999995</v>
      </c>
      <c r="Q2501" s="37" t="str">
        <f>IF(P2501&gt;500,"High","low")</f>
        <v>High</v>
      </c>
      <c r="R2501" s="37" t="str">
        <f t="shared" si="199"/>
        <v>Good</v>
      </c>
      <c r="S2501" t="s">
        <v>605</v>
      </c>
    </row>
    <row r="2502" spans="1:19" x14ac:dyDescent="0.2">
      <c r="A2502" t="s">
        <v>3113</v>
      </c>
      <c r="B2502" t="s">
        <v>83</v>
      </c>
      <c r="C2502" t="s">
        <v>607</v>
      </c>
      <c r="D2502">
        <v>4957.3900000000003</v>
      </c>
      <c r="E2502" s="37" t="str">
        <f t="shared" si="195"/>
        <v xml:space="preserve"> </v>
      </c>
      <c r="F2502">
        <v>0.04</v>
      </c>
      <c r="G2502" s="37" t="str">
        <f t="shared" si="196"/>
        <v>Normal Discount</v>
      </c>
      <c r="H2502" s="37" t="str">
        <f t="shared" si="197"/>
        <v>Low</v>
      </c>
      <c r="I2502">
        <v>9</v>
      </c>
      <c r="J2502" t="str" cm="1">
        <f t="array" ref="J2502">_xlfn.IFS(I2502&lt;=3,"small",I2502&lt;=6,"Medium",I2502&lt;=9,"Large")</f>
        <v>Large</v>
      </c>
      <c r="K2502" s="36">
        <v>45223</v>
      </c>
      <c r="L2502" s="36">
        <v>45228</v>
      </c>
      <c r="M2502" t="s">
        <v>612</v>
      </c>
      <c r="N2502" t="s">
        <v>604</v>
      </c>
      <c r="O2502" s="37" t="str">
        <f t="shared" si="198"/>
        <v>Digital Payment</v>
      </c>
      <c r="P2502">
        <v>575.86</v>
      </c>
      <c r="Q2502" s="37" t="str">
        <f>IF(P2502&gt;500,"High","low")</f>
        <v>High</v>
      </c>
      <c r="R2502" s="37" t="str">
        <f t="shared" si="199"/>
        <v>Good</v>
      </c>
      <c r="S2502" t="s">
        <v>620</v>
      </c>
    </row>
    <row r="2503" spans="1:19" x14ac:dyDescent="0.2">
      <c r="A2503" t="s">
        <v>3114</v>
      </c>
      <c r="B2503" t="s">
        <v>90</v>
      </c>
      <c r="C2503" t="s">
        <v>602</v>
      </c>
      <c r="D2503">
        <v>2706.04</v>
      </c>
      <c r="E2503" s="37" t="str">
        <f t="shared" si="195"/>
        <v xml:space="preserve"> </v>
      </c>
      <c r="F2503">
        <v>0.02</v>
      </c>
      <c r="G2503" s="37" t="str">
        <f t="shared" si="196"/>
        <v>Normal Discount</v>
      </c>
      <c r="H2503" s="37" t="str">
        <f t="shared" si="197"/>
        <v>Low</v>
      </c>
      <c r="I2503">
        <v>6</v>
      </c>
      <c r="J2503" t="str" cm="1">
        <f t="array" ref="J2503">_xlfn.IFS(I2503&lt;=3,"small",I2503&lt;=6,"Medium",I2503&lt;=9,"Large")</f>
        <v>Medium</v>
      </c>
      <c r="K2503" s="36">
        <v>45254</v>
      </c>
      <c r="L2503" s="36">
        <v>45260</v>
      </c>
      <c r="M2503" t="s">
        <v>598</v>
      </c>
      <c r="N2503" t="s">
        <v>604</v>
      </c>
      <c r="O2503" s="37" t="str">
        <f t="shared" si="198"/>
        <v>Digital Payment</v>
      </c>
      <c r="P2503">
        <v>560.33000000000004</v>
      </c>
      <c r="Q2503" s="37" t="str">
        <f>IF(P2503&gt;500,"High","low")</f>
        <v>High</v>
      </c>
      <c r="R2503" s="37" t="str">
        <f t="shared" si="199"/>
        <v>Good</v>
      </c>
      <c r="S2503" t="s">
        <v>605</v>
      </c>
    </row>
    <row r="2504" spans="1:19" x14ac:dyDescent="0.2">
      <c r="A2504" t="s">
        <v>3115</v>
      </c>
      <c r="B2504" t="s">
        <v>75</v>
      </c>
      <c r="C2504" t="s">
        <v>607</v>
      </c>
      <c r="D2504">
        <v>2910.52</v>
      </c>
      <c r="E2504" s="37" t="str">
        <f t="shared" si="195"/>
        <v xml:space="preserve"> </v>
      </c>
      <c r="F2504">
        <v>0.05</v>
      </c>
      <c r="G2504" s="37" t="str">
        <f t="shared" si="196"/>
        <v>Normal Discount</v>
      </c>
      <c r="H2504" s="37" t="str">
        <f t="shared" si="197"/>
        <v>Low</v>
      </c>
      <c r="I2504">
        <v>1</v>
      </c>
      <c r="J2504" t="str" cm="1">
        <f t="array" ref="J2504">_xlfn.IFS(I2504&lt;=3,"small",I2504&lt;=6,"Medium",I2504&lt;=9,"Large")</f>
        <v>small</v>
      </c>
      <c r="K2504" s="36">
        <v>45589</v>
      </c>
      <c r="L2504" s="36">
        <v>45593</v>
      </c>
      <c r="M2504" t="s">
        <v>603</v>
      </c>
      <c r="N2504" t="s">
        <v>599</v>
      </c>
      <c r="O2504" s="37" t="str">
        <f t="shared" si="198"/>
        <v>Digital Payment</v>
      </c>
      <c r="P2504">
        <v>338.29</v>
      </c>
      <c r="Q2504" s="37" t="str">
        <f>IF(P2504&gt;500,"High","low")</f>
        <v>low</v>
      </c>
      <c r="R2504" s="37" t="str">
        <f t="shared" si="199"/>
        <v>AVERAGE</v>
      </c>
      <c r="S2504" t="s">
        <v>605</v>
      </c>
    </row>
    <row r="2505" spans="1:19" x14ac:dyDescent="0.2">
      <c r="A2505" t="s">
        <v>3116</v>
      </c>
      <c r="B2505" t="s">
        <v>83</v>
      </c>
      <c r="C2505" t="s">
        <v>597</v>
      </c>
      <c r="D2505">
        <v>4980</v>
      </c>
      <c r="E2505" s="37" t="str">
        <f t="shared" si="195"/>
        <v xml:space="preserve"> </v>
      </c>
      <c r="F2505">
        <v>0.3</v>
      </c>
      <c r="G2505" s="37" t="str">
        <f t="shared" si="196"/>
        <v>Normal Discount</v>
      </c>
      <c r="H2505" s="37" t="str">
        <f t="shared" si="197"/>
        <v>Medium</v>
      </c>
      <c r="I2505">
        <v>3</v>
      </c>
      <c r="J2505" t="str" cm="1">
        <f t="array" ref="J2505">_xlfn.IFS(I2505&lt;=3,"small",I2505&lt;=6,"Medium",I2505&lt;=9,"Large")</f>
        <v>small</v>
      </c>
      <c r="K2505" s="36">
        <v>44937</v>
      </c>
      <c r="L2505" s="36">
        <v>44942</v>
      </c>
      <c r="M2505" t="s">
        <v>598</v>
      </c>
      <c r="N2505" t="s">
        <v>599</v>
      </c>
      <c r="O2505" s="37" t="str">
        <f t="shared" si="198"/>
        <v>Digital Payment</v>
      </c>
      <c r="P2505">
        <v>368.42</v>
      </c>
      <c r="Q2505" s="37" t="str">
        <f>IF(P2505&gt;500,"High","low")</f>
        <v>low</v>
      </c>
      <c r="R2505" s="37" t="str">
        <f t="shared" si="199"/>
        <v>AVERAGE</v>
      </c>
      <c r="S2505" t="s">
        <v>615</v>
      </c>
    </row>
    <row r="2506" spans="1:19" x14ac:dyDescent="0.2">
      <c r="A2506" t="s">
        <v>3117</v>
      </c>
      <c r="B2506" t="s">
        <v>83</v>
      </c>
      <c r="C2506" t="s">
        <v>607</v>
      </c>
      <c r="D2506">
        <v>4971.2299999999996</v>
      </c>
      <c r="E2506" s="37" t="str">
        <f t="shared" si="195"/>
        <v xml:space="preserve"> </v>
      </c>
      <c r="F2506">
        <v>0.03</v>
      </c>
      <c r="G2506" s="37" t="str">
        <f t="shared" si="196"/>
        <v>Normal Discount</v>
      </c>
      <c r="H2506" s="37" t="str">
        <f t="shared" si="197"/>
        <v>Low</v>
      </c>
      <c r="I2506">
        <v>5</v>
      </c>
      <c r="J2506" t="str" cm="1">
        <f t="array" ref="J2506">_xlfn.IFS(I2506&lt;=3,"small",I2506&lt;=6,"Medium",I2506&lt;=9,"Large")</f>
        <v>Medium</v>
      </c>
      <c r="K2506" s="36">
        <v>44927</v>
      </c>
      <c r="L2506" s="36">
        <v>44931</v>
      </c>
      <c r="M2506" t="s">
        <v>598</v>
      </c>
      <c r="N2506" t="s">
        <v>599</v>
      </c>
      <c r="O2506" s="37" t="str">
        <f t="shared" si="198"/>
        <v>Digital Payment</v>
      </c>
      <c r="P2506">
        <v>470.1</v>
      </c>
      <c r="Q2506" s="37" t="str">
        <f>IF(P2506&gt;500,"High","low")</f>
        <v>low</v>
      </c>
      <c r="R2506" s="37" t="str">
        <f t="shared" si="199"/>
        <v>AVERAGE</v>
      </c>
      <c r="S2506" t="s">
        <v>600</v>
      </c>
    </row>
    <row r="2507" spans="1:19" x14ac:dyDescent="0.2">
      <c r="A2507" t="s">
        <v>3118</v>
      </c>
      <c r="B2507" t="s">
        <v>90</v>
      </c>
      <c r="C2507" t="s">
        <v>602</v>
      </c>
      <c r="D2507">
        <v>2177.75</v>
      </c>
      <c r="E2507" s="37" t="str">
        <f t="shared" si="195"/>
        <v xml:space="preserve"> </v>
      </c>
      <c r="F2507">
        <v>0.28000000000000003</v>
      </c>
      <c r="G2507" s="37" t="str">
        <f t="shared" si="196"/>
        <v>Normal Discount</v>
      </c>
      <c r="H2507" s="37" t="str">
        <f t="shared" si="197"/>
        <v>Medium</v>
      </c>
      <c r="I2507">
        <v>3</v>
      </c>
      <c r="J2507" t="str" cm="1">
        <f t="array" ref="J2507">_xlfn.IFS(I2507&lt;=3,"small",I2507&lt;=6,"Medium",I2507&lt;=9,"Large")</f>
        <v>small</v>
      </c>
      <c r="K2507" s="36">
        <v>45103</v>
      </c>
      <c r="L2507" s="36">
        <v>45106</v>
      </c>
      <c r="M2507" t="s">
        <v>603</v>
      </c>
      <c r="N2507" t="s">
        <v>604</v>
      </c>
      <c r="O2507" s="37" t="str">
        <f t="shared" si="198"/>
        <v>Digital Payment</v>
      </c>
      <c r="P2507">
        <v>608.55999999999995</v>
      </c>
      <c r="Q2507" s="37" t="str">
        <f>IF(P2507&gt;500,"High","low")</f>
        <v>High</v>
      </c>
      <c r="R2507" s="37" t="str">
        <f t="shared" si="199"/>
        <v>Good</v>
      </c>
      <c r="S2507" t="s">
        <v>609</v>
      </c>
    </row>
    <row r="2508" spans="1:19" x14ac:dyDescent="0.2">
      <c r="A2508" t="s">
        <v>3119</v>
      </c>
      <c r="B2508" t="s">
        <v>75</v>
      </c>
      <c r="C2508" t="s">
        <v>617</v>
      </c>
      <c r="D2508">
        <v>3211.24</v>
      </c>
      <c r="E2508" s="37" t="str">
        <f t="shared" si="195"/>
        <v xml:space="preserve"> </v>
      </c>
      <c r="F2508">
        <v>0.33</v>
      </c>
      <c r="G2508" s="37" t="str">
        <f t="shared" si="196"/>
        <v>Heavy Discount</v>
      </c>
      <c r="H2508" s="37" t="str">
        <f t="shared" si="197"/>
        <v>Medium</v>
      </c>
      <c r="I2508">
        <v>3</v>
      </c>
      <c r="J2508" t="str" cm="1">
        <f t="array" ref="J2508">_xlfn.IFS(I2508&lt;=3,"small",I2508&lt;=6,"Medium",I2508&lt;=9,"Large")</f>
        <v>small</v>
      </c>
      <c r="K2508" s="36">
        <v>45251</v>
      </c>
      <c r="L2508" s="36">
        <v>45256</v>
      </c>
      <c r="M2508" t="s">
        <v>598</v>
      </c>
      <c r="N2508" t="s">
        <v>599</v>
      </c>
      <c r="O2508" s="37" t="str">
        <f t="shared" si="198"/>
        <v>Digital Payment</v>
      </c>
      <c r="P2508">
        <v>513.1</v>
      </c>
      <c r="Q2508" s="37" t="str">
        <f>IF(P2508&gt;500,"High","low")</f>
        <v>High</v>
      </c>
      <c r="R2508" s="37" t="str">
        <f t="shared" si="199"/>
        <v>Good</v>
      </c>
      <c r="S2508" t="s">
        <v>605</v>
      </c>
    </row>
    <row r="2509" spans="1:19" x14ac:dyDescent="0.2">
      <c r="A2509" t="s">
        <v>3120</v>
      </c>
      <c r="B2509" t="s">
        <v>83</v>
      </c>
      <c r="C2509" t="s">
        <v>614</v>
      </c>
      <c r="D2509">
        <v>2455.9299999999998</v>
      </c>
      <c r="E2509" s="37" t="str">
        <f t="shared" si="195"/>
        <v xml:space="preserve"> </v>
      </c>
      <c r="F2509">
        <v>7.0000000000000007E-2</v>
      </c>
      <c r="G2509" s="37" t="str">
        <f t="shared" si="196"/>
        <v>Normal Discount</v>
      </c>
      <c r="H2509" s="37" t="str">
        <f t="shared" si="197"/>
        <v>Low</v>
      </c>
      <c r="I2509">
        <v>9</v>
      </c>
      <c r="J2509" t="str" cm="1">
        <f t="array" ref="J2509">_xlfn.IFS(I2509&lt;=3,"small",I2509&lt;=6,"Medium",I2509&lt;=9,"Large")</f>
        <v>Large</v>
      </c>
      <c r="K2509" s="36">
        <v>45068</v>
      </c>
      <c r="L2509" s="36">
        <v>45075</v>
      </c>
      <c r="M2509" t="s">
        <v>603</v>
      </c>
      <c r="N2509" t="s">
        <v>608</v>
      </c>
      <c r="O2509" s="37" t="str">
        <f t="shared" si="198"/>
        <v>Cash Payment</v>
      </c>
      <c r="P2509">
        <v>685.41</v>
      </c>
      <c r="Q2509" s="37" t="str">
        <f>IF(P2509&gt;500,"High","low")</f>
        <v>High</v>
      </c>
      <c r="R2509" s="37" t="str">
        <f t="shared" si="199"/>
        <v>Good</v>
      </c>
      <c r="S2509" t="s">
        <v>620</v>
      </c>
    </row>
    <row r="2510" spans="1:19" x14ac:dyDescent="0.2">
      <c r="A2510" t="s">
        <v>3121</v>
      </c>
      <c r="B2510" t="s">
        <v>67</v>
      </c>
      <c r="C2510" t="s">
        <v>607</v>
      </c>
      <c r="D2510">
        <v>3631.51</v>
      </c>
      <c r="E2510" s="37" t="str">
        <f t="shared" si="195"/>
        <v xml:space="preserve"> </v>
      </c>
      <c r="F2510">
        <v>0.24</v>
      </c>
      <c r="G2510" s="37" t="str">
        <f t="shared" si="196"/>
        <v>Normal Discount</v>
      </c>
      <c r="H2510" s="37" t="str">
        <f t="shared" si="197"/>
        <v>Medium</v>
      </c>
      <c r="I2510">
        <v>5</v>
      </c>
      <c r="J2510" t="str" cm="1">
        <f t="array" ref="J2510">_xlfn.IFS(I2510&lt;=3,"small",I2510&lt;=6,"Medium",I2510&lt;=9,"Large")</f>
        <v>Medium</v>
      </c>
      <c r="K2510" s="36">
        <v>45445</v>
      </c>
      <c r="L2510" s="36">
        <v>45449</v>
      </c>
      <c r="M2510" t="s">
        <v>598</v>
      </c>
      <c r="N2510" t="s">
        <v>604</v>
      </c>
      <c r="O2510" s="37" t="str">
        <f t="shared" si="198"/>
        <v>Digital Payment</v>
      </c>
      <c r="P2510">
        <v>620.96</v>
      </c>
      <c r="Q2510" s="37" t="str">
        <f>IF(P2510&gt;500,"High","low")</f>
        <v>High</v>
      </c>
      <c r="R2510" s="37" t="str">
        <f t="shared" si="199"/>
        <v>Good</v>
      </c>
      <c r="S2510" t="s">
        <v>620</v>
      </c>
    </row>
    <row r="2511" spans="1:19" x14ac:dyDescent="0.2">
      <c r="A2511" t="s">
        <v>3122</v>
      </c>
      <c r="B2511" t="s">
        <v>67</v>
      </c>
      <c r="C2511" t="s">
        <v>614</v>
      </c>
      <c r="D2511">
        <v>4698.09</v>
      </c>
      <c r="E2511" s="37" t="str">
        <f t="shared" si="195"/>
        <v>Excellent Order</v>
      </c>
      <c r="F2511">
        <v>0.48</v>
      </c>
      <c r="G2511" s="37" t="str">
        <f t="shared" si="196"/>
        <v>Heavy Discount</v>
      </c>
      <c r="H2511" s="37" t="str">
        <f t="shared" si="197"/>
        <v>High</v>
      </c>
      <c r="I2511">
        <v>8</v>
      </c>
      <c r="J2511" t="str" cm="1">
        <f t="array" ref="J2511">_xlfn.IFS(I2511&lt;=3,"small",I2511&lt;=6,"Medium",I2511&lt;=9,"Large")</f>
        <v>Large</v>
      </c>
      <c r="K2511" s="36">
        <v>45049</v>
      </c>
      <c r="L2511" s="36">
        <v>45051</v>
      </c>
      <c r="M2511" t="s">
        <v>598</v>
      </c>
      <c r="N2511" t="s">
        <v>599</v>
      </c>
      <c r="O2511" s="37" t="str">
        <f t="shared" si="198"/>
        <v>Digital Payment</v>
      </c>
      <c r="P2511">
        <v>1290.04</v>
      </c>
      <c r="Q2511" s="37" t="str">
        <f>IF(P2511&gt;500,"High","low")</f>
        <v>High</v>
      </c>
      <c r="R2511" s="37" t="str">
        <f t="shared" si="199"/>
        <v>Excellent</v>
      </c>
      <c r="S2511" t="s">
        <v>615</v>
      </c>
    </row>
    <row r="2512" spans="1:19" x14ac:dyDescent="0.2">
      <c r="A2512" t="s">
        <v>3123</v>
      </c>
      <c r="B2512" t="s">
        <v>67</v>
      </c>
      <c r="C2512" t="s">
        <v>607</v>
      </c>
      <c r="D2512">
        <v>1617.33</v>
      </c>
      <c r="E2512" s="37" t="str">
        <f t="shared" si="195"/>
        <v xml:space="preserve"> </v>
      </c>
      <c r="F2512">
        <v>0.42</v>
      </c>
      <c r="G2512" s="37" t="str">
        <f t="shared" si="196"/>
        <v>Heavy Discount</v>
      </c>
      <c r="H2512" s="37" t="str">
        <f t="shared" si="197"/>
        <v>High</v>
      </c>
      <c r="I2512">
        <v>7</v>
      </c>
      <c r="J2512" t="str" cm="1">
        <f t="array" ref="J2512">_xlfn.IFS(I2512&lt;=3,"small",I2512&lt;=6,"Medium",I2512&lt;=9,"Large")</f>
        <v>Large</v>
      </c>
      <c r="K2512" s="36">
        <v>45370</v>
      </c>
      <c r="L2512" s="36">
        <v>45374</v>
      </c>
      <c r="M2512" t="s">
        <v>598</v>
      </c>
      <c r="N2512" t="s">
        <v>608</v>
      </c>
      <c r="O2512" s="37" t="str">
        <f t="shared" si="198"/>
        <v>Cash Payment</v>
      </c>
      <c r="P2512">
        <v>310.36</v>
      </c>
      <c r="Q2512" s="37" t="str">
        <f>IF(P2512&gt;500,"High","low")</f>
        <v>low</v>
      </c>
      <c r="R2512" s="37" t="str">
        <f t="shared" si="199"/>
        <v>AVERAGE</v>
      </c>
      <c r="S2512" t="s">
        <v>605</v>
      </c>
    </row>
    <row r="2513" spans="1:19" x14ac:dyDescent="0.2">
      <c r="A2513" t="s">
        <v>3124</v>
      </c>
      <c r="B2513" t="s">
        <v>75</v>
      </c>
      <c r="C2513" t="s">
        <v>607</v>
      </c>
      <c r="D2513">
        <v>4112.49</v>
      </c>
      <c r="E2513" s="37" t="str">
        <f t="shared" si="195"/>
        <v xml:space="preserve"> </v>
      </c>
      <c r="F2513">
        <v>0.36</v>
      </c>
      <c r="G2513" s="37" t="str">
        <f t="shared" si="196"/>
        <v>Heavy Discount</v>
      </c>
      <c r="H2513" s="37" t="str">
        <f t="shared" si="197"/>
        <v>Medium</v>
      </c>
      <c r="I2513">
        <v>4</v>
      </c>
      <c r="J2513" t="str" cm="1">
        <f t="array" ref="J2513">_xlfn.IFS(I2513&lt;=3,"small",I2513&lt;=6,"Medium",I2513&lt;=9,"Large")</f>
        <v>Medium</v>
      </c>
      <c r="K2513" s="36">
        <v>45462</v>
      </c>
      <c r="L2513" s="36">
        <v>45464</v>
      </c>
      <c r="M2513" t="s">
        <v>612</v>
      </c>
      <c r="N2513" t="s">
        <v>604</v>
      </c>
      <c r="O2513" s="37" t="str">
        <f t="shared" si="198"/>
        <v>Digital Payment</v>
      </c>
      <c r="P2513">
        <v>566.52</v>
      </c>
      <c r="Q2513" s="37" t="str">
        <f>IF(P2513&gt;500,"High","low")</f>
        <v>High</v>
      </c>
      <c r="R2513" s="37" t="str">
        <f t="shared" si="199"/>
        <v>Good</v>
      </c>
      <c r="S2513" t="s">
        <v>615</v>
      </c>
    </row>
    <row r="2514" spans="1:19" x14ac:dyDescent="0.2">
      <c r="A2514" t="s">
        <v>3125</v>
      </c>
      <c r="B2514" t="s">
        <v>83</v>
      </c>
      <c r="C2514" t="s">
        <v>617</v>
      </c>
      <c r="D2514">
        <v>3308.76</v>
      </c>
      <c r="E2514" s="37" t="str">
        <f t="shared" si="195"/>
        <v xml:space="preserve"> </v>
      </c>
      <c r="F2514">
        <v>0.26</v>
      </c>
      <c r="G2514" s="37" t="str">
        <f t="shared" si="196"/>
        <v>Normal Discount</v>
      </c>
      <c r="H2514" s="37" t="str">
        <f t="shared" si="197"/>
        <v>Medium</v>
      </c>
      <c r="I2514">
        <v>3</v>
      </c>
      <c r="J2514" t="str" cm="1">
        <f t="array" ref="J2514">_xlfn.IFS(I2514&lt;=3,"small",I2514&lt;=6,"Medium",I2514&lt;=9,"Large")</f>
        <v>small</v>
      </c>
      <c r="K2514" s="36">
        <v>45165</v>
      </c>
      <c r="L2514" s="36">
        <v>45167</v>
      </c>
      <c r="M2514" t="s">
        <v>603</v>
      </c>
      <c r="N2514" t="s">
        <v>608</v>
      </c>
      <c r="O2514" s="37" t="str">
        <f t="shared" si="198"/>
        <v>Cash Payment</v>
      </c>
      <c r="P2514">
        <v>349.18</v>
      </c>
      <c r="Q2514" s="37" t="str">
        <f>IF(P2514&gt;500,"High","low")</f>
        <v>low</v>
      </c>
      <c r="R2514" s="37" t="str">
        <f t="shared" si="199"/>
        <v>AVERAGE</v>
      </c>
      <c r="S2514" t="s">
        <v>605</v>
      </c>
    </row>
    <row r="2515" spans="1:19" x14ac:dyDescent="0.2">
      <c r="A2515" t="s">
        <v>3126</v>
      </c>
      <c r="B2515" t="s">
        <v>67</v>
      </c>
      <c r="C2515" t="s">
        <v>597</v>
      </c>
      <c r="D2515">
        <v>1472.91</v>
      </c>
      <c r="E2515" s="37" t="str">
        <f t="shared" si="195"/>
        <v xml:space="preserve"> </v>
      </c>
      <c r="F2515">
        <v>0.2</v>
      </c>
      <c r="G2515" s="37" t="str">
        <f t="shared" si="196"/>
        <v>Normal Discount</v>
      </c>
      <c r="H2515" s="37" t="str">
        <f t="shared" si="197"/>
        <v>Medium</v>
      </c>
      <c r="I2515">
        <v>3</v>
      </c>
      <c r="J2515" t="str" cm="1">
        <f t="array" ref="J2515">_xlfn.IFS(I2515&lt;=3,"small",I2515&lt;=6,"Medium",I2515&lt;=9,"Large")</f>
        <v>small</v>
      </c>
      <c r="K2515" s="36">
        <v>45081</v>
      </c>
      <c r="L2515" s="36">
        <v>45082</v>
      </c>
      <c r="M2515" t="s">
        <v>603</v>
      </c>
      <c r="N2515" t="s">
        <v>604</v>
      </c>
      <c r="O2515" s="37" t="str">
        <f t="shared" si="198"/>
        <v>Digital Payment</v>
      </c>
      <c r="P2515">
        <v>210.34</v>
      </c>
      <c r="Q2515" s="37" t="str">
        <f>IF(P2515&gt;500,"High","low")</f>
        <v>low</v>
      </c>
      <c r="R2515" s="37" t="str">
        <f t="shared" si="199"/>
        <v>AVERAGE</v>
      </c>
      <c r="S2515" t="s">
        <v>620</v>
      </c>
    </row>
    <row r="2516" spans="1:19" x14ac:dyDescent="0.2">
      <c r="A2516" t="s">
        <v>3127</v>
      </c>
      <c r="B2516" t="s">
        <v>75</v>
      </c>
      <c r="C2516" t="s">
        <v>602</v>
      </c>
      <c r="D2516">
        <v>4006.77</v>
      </c>
      <c r="E2516" s="37" t="str">
        <f t="shared" si="195"/>
        <v xml:space="preserve"> </v>
      </c>
      <c r="F2516">
        <v>0.23</v>
      </c>
      <c r="G2516" s="37" t="str">
        <f t="shared" si="196"/>
        <v>Normal Discount</v>
      </c>
      <c r="H2516" s="37" t="str">
        <f t="shared" si="197"/>
        <v>Medium</v>
      </c>
      <c r="I2516">
        <v>2</v>
      </c>
      <c r="J2516" t="str" cm="1">
        <f t="array" ref="J2516">_xlfn.IFS(I2516&lt;=3,"small",I2516&lt;=6,"Medium",I2516&lt;=9,"Large")</f>
        <v>small</v>
      </c>
      <c r="K2516" s="36">
        <v>44933</v>
      </c>
      <c r="L2516" s="36">
        <v>44940</v>
      </c>
      <c r="M2516" t="s">
        <v>612</v>
      </c>
      <c r="N2516" t="s">
        <v>599</v>
      </c>
      <c r="O2516" s="37" t="str">
        <f t="shared" si="198"/>
        <v>Digital Payment</v>
      </c>
      <c r="P2516">
        <v>377.56</v>
      </c>
      <c r="Q2516" s="37" t="str">
        <f>IF(P2516&gt;500,"High","low")</f>
        <v>low</v>
      </c>
      <c r="R2516" s="37" t="str">
        <f t="shared" si="199"/>
        <v>AVERAGE</v>
      </c>
      <c r="S2516" t="s">
        <v>605</v>
      </c>
    </row>
    <row r="2517" spans="1:19" x14ac:dyDescent="0.2">
      <c r="A2517" t="s">
        <v>3128</v>
      </c>
      <c r="B2517" t="s">
        <v>67</v>
      </c>
      <c r="C2517" t="s">
        <v>602</v>
      </c>
      <c r="D2517">
        <v>2192.9499999999998</v>
      </c>
      <c r="E2517" s="37" t="str">
        <f t="shared" si="195"/>
        <v xml:space="preserve"> </v>
      </c>
      <c r="F2517">
        <v>0.38</v>
      </c>
      <c r="G2517" s="37" t="str">
        <f t="shared" si="196"/>
        <v>Heavy Discount</v>
      </c>
      <c r="H2517" s="37" t="str">
        <f t="shared" si="197"/>
        <v>Medium</v>
      </c>
      <c r="I2517">
        <v>5</v>
      </c>
      <c r="J2517" t="str" cm="1">
        <f t="array" ref="J2517">_xlfn.IFS(I2517&lt;=3,"small",I2517&lt;=6,"Medium",I2517&lt;=9,"Large")</f>
        <v>Medium</v>
      </c>
      <c r="K2517" s="36">
        <v>45364</v>
      </c>
      <c r="L2517" s="36">
        <v>45370</v>
      </c>
      <c r="M2517" t="s">
        <v>598</v>
      </c>
      <c r="N2517" t="s">
        <v>608</v>
      </c>
      <c r="O2517" s="37" t="str">
        <f t="shared" si="198"/>
        <v>Cash Payment</v>
      </c>
      <c r="P2517">
        <v>647.71</v>
      </c>
      <c r="Q2517" s="37" t="str">
        <f>IF(P2517&gt;500,"High","low")</f>
        <v>High</v>
      </c>
      <c r="R2517" s="37" t="str">
        <f t="shared" si="199"/>
        <v>Good</v>
      </c>
      <c r="S2517" t="s">
        <v>609</v>
      </c>
    </row>
    <row r="2518" spans="1:19" x14ac:dyDescent="0.2">
      <c r="A2518" t="s">
        <v>3129</v>
      </c>
      <c r="B2518" t="s">
        <v>90</v>
      </c>
      <c r="C2518" t="s">
        <v>602</v>
      </c>
      <c r="D2518">
        <v>689.95</v>
      </c>
      <c r="E2518" s="37" t="str">
        <f t="shared" si="195"/>
        <v xml:space="preserve"> </v>
      </c>
      <c r="F2518">
        <v>0.28000000000000003</v>
      </c>
      <c r="G2518" s="37" t="str">
        <f t="shared" si="196"/>
        <v>Normal Discount</v>
      </c>
      <c r="H2518" s="37" t="str">
        <f t="shared" si="197"/>
        <v>Medium</v>
      </c>
      <c r="I2518">
        <v>2</v>
      </c>
      <c r="J2518" t="str" cm="1">
        <f t="array" ref="J2518">_xlfn.IFS(I2518&lt;=3,"small",I2518&lt;=6,"Medium",I2518&lt;=9,"Large")</f>
        <v>small</v>
      </c>
      <c r="K2518" s="36">
        <v>45398</v>
      </c>
      <c r="L2518" s="36">
        <v>45402</v>
      </c>
      <c r="M2518" t="s">
        <v>612</v>
      </c>
      <c r="N2518" t="s">
        <v>599</v>
      </c>
      <c r="O2518" s="37" t="str">
        <f t="shared" si="198"/>
        <v>Digital Payment</v>
      </c>
      <c r="P2518">
        <v>94.63</v>
      </c>
      <c r="Q2518" s="37" t="str">
        <f>IF(P2518&gt;500,"High","low")</f>
        <v>low</v>
      </c>
      <c r="R2518" s="37" t="str">
        <f t="shared" si="199"/>
        <v>AVERAGE</v>
      </c>
      <c r="S2518" t="s">
        <v>615</v>
      </c>
    </row>
    <row r="2519" spans="1:19" x14ac:dyDescent="0.2">
      <c r="A2519" t="s">
        <v>3130</v>
      </c>
      <c r="B2519" t="s">
        <v>83</v>
      </c>
      <c r="C2519" t="s">
        <v>597</v>
      </c>
      <c r="D2519">
        <v>4967.74</v>
      </c>
      <c r="E2519" s="37" t="str">
        <f t="shared" si="195"/>
        <v>Excellent Order</v>
      </c>
      <c r="F2519">
        <v>0.38</v>
      </c>
      <c r="G2519" s="37" t="str">
        <f t="shared" si="196"/>
        <v>Heavy Discount</v>
      </c>
      <c r="H2519" s="37" t="str">
        <f t="shared" si="197"/>
        <v>Medium</v>
      </c>
      <c r="I2519">
        <v>2</v>
      </c>
      <c r="J2519" t="str" cm="1">
        <f t="array" ref="J2519">_xlfn.IFS(I2519&lt;=3,"small",I2519&lt;=6,"Medium",I2519&lt;=9,"Large")</f>
        <v>small</v>
      </c>
      <c r="K2519" s="36">
        <v>45383</v>
      </c>
      <c r="L2519" s="36">
        <v>45384</v>
      </c>
      <c r="M2519" t="s">
        <v>612</v>
      </c>
      <c r="N2519" t="s">
        <v>604</v>
      </c>
      <c r="O2519" s="37" t="str">
        <f t="shared" si="198"/>
        <v>Digital Payment</v>
      </c>
      <c r="P2519">
        <v>940.06</v>
      </c>
      <c r="Q2519" s="37" t="str">
        <f>IF(P2519&gt;500,"High","low")</f>
        <v>High</v>
      </c>
      <c r="R2519" s="37" t="str">
        <f t="shared" si="199"/>
        <v>Good</v>
      </c>
      <c r="S2519" t="s">
        <v>615</v>
      </c>
    </row>
    <row r="2520" spans="1:19" x14ac:dyDescent="0.2">
      <c r="A2520" t="s">
        <v>3131</v>
      </c>
      <c r="B2520" t="s">
        <v>83</v>
      </c>
      <c r="C2520" t="s">
        <v>614</v>
      </c>
      <c r="D2520">
        <v>2185.67</v>
      </c>
      <c r="E2520" s="37" t="str">
        <f t="shared" si="195"/>
        <v xml:space="preserve"> </v>
      </c>
      <c r="F2520">
        <v>0.48</v>
      </c>
      <c r="G2520" s="37" t="str">
        <f t="shared" si="196"/>
        <v>Heavy Discount</v>
      </c>
      <c r="H2520" s="37" t="str">
        <f t="shared" si="197"/>
        <v>High</v>
      </c>
      <c r="I2520">
        <v>4</v>
      </c>
      <c r="J2520" t="str" cm="1">
        <f t="array" ref="J2520">_xlfn.IFS(I2520&lt;=3,"small",I2520&lt;=6,"Medium",I2520&lt;=9,"Large")</f>
        <v>Medium</v>
      </c>
      <c r="K2520" s="36">
        <v>45375</v>
      </c>
      <c r="L2520" s="36">
        <v>45376</v>
      </c>
      <c r="M2520" t="s">
        <v>598</v>
      </c>
      <c r="N2520" t="s">
        <v>604</v>
      </c>
      <c r="O2520" s="37" t="str">
        <f t="shared" si="198"/>
        <v>Digital Payment</v>
      </c>
      <c r="P2520">
        <v>653.9</v>
      </c>
      <c r="Q2520" s="37" t="str">
        <f>IF(P2520&gt;500,"High","low")</f>
        <v>High</v>
      </c>
      <c r="R2520" s="37" t="str">
        <f t="shared" si="199"/>
        <v>Good</v>
      </c>
      <c r="S2520" t="s">
        <v>620</v>
      </c>
    </row>
    <row r="2521" spans="1:19" x14ac:dyDescent="0.2">
      <c r="A2521" t="s">
        <v>3132</v>
      </c>
      <c r="B2521" t="s">
        <v>75</v>
      </c>
      <c r="C2521" t="s">
        <v>602</v>
      </c>
      <c r="D2521">
        <v>2753.61</v>
      </c>
      <c r="E2521" s="37" t="str">
        <f t="shared" si="195"/>
        <v xml:space="preserve"> </v>
      </c>
      <c r="F2521">
        <v>0.32</v>
      </c>
      <c r="G2521" s="37" t="str">
        <f t="shared" si="196"/>
        <v>Heavy Discount</v>
      </c>
      <c r="H2521" s="37" t="str">
        <f t="shared" si="197"/>
        <v>Medium</v>
      </c>
      <c r="I2521">
        <v>6</v>
      </c>
      <c r="J2521" t="str" cm="1">
        <f t="array" ref="J2521">_xlfn.IFS(I2521&lt;=3,"small",I2521&lt;=6,"Medium",I2521&lt;=9,"Large")</f>
        <v>Medium</v>
      </c>
      <c r="K2521" s="36">
        <v>45542</v>
      </c>
      <c r="L2521" s="36">
        <v>45547</v>
      </c>
      <c r="M2521" t="s">
        <v>598</v>
      </c>
      <c r="N2521" t="s">
        <v>608</v>
      </c>
      <c r="O2521" s="37" t="str">
        <f t="shared" si="198"/>
        <v>Cash Payment</v>
      </c>
      <c r="P2521">
        <v>494.9</v>
      </c>
      <c r="Q2521" s="37" t="str">
        <f>IF(P2521&gt;500,"High","low")</f>
        <v>low</v>
      </c>
      <c r="R2521" s="37" t="str">
        <f t="shared" si="199"/>
        <v>AVERAGE</v>
      </c>
      <c r="S2521" t="s">
        <v>615</v>
      </c>
    </row>
    <row r="2522" spans="1:19" x14ac:dyDescent="0.2">
      <c r="A2522" t="s">
        <v>3133</v>
      </c>
      <c r="B2522" t="s">
        <v>75</v>
      </c>
      <c r="C2522" t="s">
        <v>614</v>
      </c>
      <c r="D2522">
        <v>4059.01</v>
      </c>
      <c r="E2522" s="37" t="str">
        <f t="shared" si="195"/>
        <v xml:space="preserve"> </v>
      </c>
      <c r="F2522">
        <v>0.3</v>
      </c>
      <c r="G2522" s="37" t="str">
        <f t="shared" si="196"/>
        <v>Normal Discount</v>
      </c>
      <c r="H2522" s="37" t="str">
        <f t="shared" si="197"/>
        <v>Medium</v>
      </c>
      <c r="I2522">
        <v>6</v>
      </c>
      <c r="J2522" t="str" cm="1">
        <f t="array" ref="J2522">_xlfn.IFS(I2522&lt;=3,"small",I2522&lt;=6,"Medium",I2522&lt;=9,"Large")</f>
        <v>Medium</v>
      </c>
      <c r="K2522" s="36">
        <v>45541</v>
      </c>
      <c r="L2522" s="36">
        <v>45543</v>
      </c>
      <c r="M2522" t="s">
        <v>603</v>
      </c>
      <c r="N2522" t="s">
        <v>599</v>
      </c>
      <c r="O2522" s="37" t="str">
        <f t="shared" si="198"/>
        <v>Digital Payment</v>
      </c>
      <c r="P2522">
        <v>518.20000000000005</v>
      </c>
      <c r="Q2522" s="37" t="str">
        <f>IF(P2522&gt;500,"High","low")</f>
        <v>High</v>
      </c>
      <c r="R2522" s="37" t="str">
        <f t="shared" si="199"/>
        <v>Good</v>
      </c>
      <c r="S2522" t="s">
        <v>620</v>
      </c>
    </row>
    <row r="2523" spans="1:19" x14ac:dyDescent="0.2">
      <c r="A2523" t="s">
        <v>3134</v>
      </c>
      <c r="B2523" t="s">
        <v>83</v>
      </c>
      <c r="C2523" t="s">
        <v>597</v>
      </c>
      <c r="D2523">
        <v>4808.29</v>
      </c>
      <c r="E2523" s="37" t="str">
        <f t="shared" si="195"/>
        <v>Excellent Order</v>
      </c>
      <c r="F2523">
        <v>0.2</v>
      </c>
      <c r="G2523" s="37" t="str">
        <f t="shared" si="196"/>
        <v>Normal Discount</v>
      </c>
      <c r="H2523" s="37" t="str">
        <f t="shared" si="197"/>
        <v>Medium</v>
      </c>
      <c r="I2523">
        <v>8</v>
      </c>
      <c r="J2523" t="str" cm="1">
        <f t="array" ref="J2523">_xlfn.IFS(I2523&lt;=3,"small",I2523&lt;=6,"Medium",I2523&lt;=9,"Large")</f>
        <v>Large</v>
      </c>
      <c r="K2523" s="36">
        <v>45029</v>
      </c>
      <c r="L2523" s="36">
        <v>45030</v>
      </c>
      <c r="M2523" t="s">
        <v>612</v>
      </c>
      <c r="N2523" t="s">
        <v>604</v>
      </c>
      <c r="O2523" s="37" t="str">
        <f t="shared" si="198"/>
        <v>Digital Payment</v>
      </c>
      <c r="P2523">
        <v>978.5</v>
      </c>
      <c r="Q2523" s="37" t="str">
        <f>IF(P2523&gt;500,"High","low")</f>
        <v>High</v>
      </c>
      <c r="R2523" s="37" t="str">
        <f t="shared" si="199"/>
        <v>Good</v>
      </c>
      <c r="S2523" t="s">
        <v>620</v>
      </c>
    </row>
    <row r="2524" spans="1:19" x14ac:dyDescent="0.2">
      <c r="A2524" t="s">
        <v>3135</v>
      </c>
      <c r="B2524" t="s">
        <v>67</v>
      </c>
      <c r="C2524" t="s">
        <v>597</v>
      </c>
      <c r="D2524">
        <v>4377.1499999999996</v>
      </c>
      <c r="E2524" s="37" t="str">
        <f t="shared" si="195"/>
        <v>Excellent Order</v>
      </c>
      <c r="F2524">
        <v>0.1</v>
      </c>
      <c r="G2524" s="37" t="str">
        <f t="shared" si="196"/>
        <v>Normal Discount</v>
      </c>
      <c r="H2524" s="37" t="str">
        <f t="shared" si="197"/>
        <v>Low</v>
      </c>
      <c r="I2524">
        <v>6</v>
      </c>
      <c r="J2524" t="str" cm="1">
        <f t="array" ref="J2524">_xlfn.IFS(I2524&lt;=3,"small",I2524&lt;=6,"Medium",I2524&lt;=9,"Large")</f>
        <v>Medium</v>
      </c>
      <c r="K2524" s="36">
        <v>45586</v>
      </c>
      <c r="L2524" s="36">
        <v>45593</v>
      </c>
      <c r="M2524" t="s">
        <v>598</v>
      </c>
      <c r="N2524" t="s">
        <v>599</v>
      </c>
      <c r="O2524" s="37" t="str">
        <f t="shared" si="198"/>
        <v>Digital Payment</v>
      </c>
      <c r="P2524">
        <v>1113.07</v>
      </c>
      <c r="Q2524" s="37" t="str">
        <f>IF(P2524&gt;500,"High","low")</f>
        <v>High</v>
      </c>
      <c r="R2524" s="37" t="str">
        <f t="shared" si="199"/>
        <v>Excellent</v>
      </c>
      <c r="S2524" t="s">
        <v>600</v>
      </c>
    </row>
    <row r="2525" spans="1:19" x14ac:dyDescent="0.2">
      <c r="A2525" t="s">
        <v>3136</v>
      </c>
      <c r="B2525" t="s">
        <v>67</v>
      </c>
      <c r="C2525" t="s">
        <v>617</v>
      </c>
      <c r="D2525">
        <v>2672.76</v>
      </c>
      <c r="E2525" s="37" t="str">
        <f t="shared" si="195"/>
        <v xml:space="preserve"> </v>
      </c>
      <c r="F2525">
        <v>0.19</v>
      </c>
      <c r="G2525" s="37" t="str">
        <f t="shared" si="196"/>
        <v>Normal Discount</v>
      </c>
      <c r="H2525" s="37" t="str">
        <f t="shared" si="197"/>
        <v>Low</v>
      </c>
      <c r="I2525">
        <v>6</v>
      </c>
      <c r="J2525" t="str" cm="1">
        <f t="array" ref="J2525">_xlfn.IFS(I2525&lt;=3,"small",I2525&lt;=6,"Medium",I2525&lt;=9,"Large")</f>
        <v>Medium</v>
      </c>
      <c r="K2525" s="36">
        <v>45112</v>
      </c>
      <c r="L2525" s="36">
        <v>45116</v>
      </c>
      <c r="M2525" t="s">
        <v>603</v>
      </c>
      <c r="N2525" t="s">
        <v>599</v>
      </c>
      <c r="O2525" s="37" t="str">
        <f t="shared" si="198"/>
        <v>Digital Payment</v>
      </c>
      <c r="P2525">
        <v>545.54</v>
      </c>
      <c r="Q2525" s="37" t="str">
        <f>IF(P2525&gt;500,"High","low")</f>
        <v>High</v>
      </c>
      <c r="R2525" s="37" t="str">
        <f t="shared" si="199"/>
        <v>Good</v>
      </c>
      <c r="S2525" t="s">
        <v>615</v>
      </c>
    </row>
    <row r="2526" spans="1:19" x14ac:dyDescent="0.2">
      <c r="A2526" t="s">
        <v>3137</v>
      </c>
      <c r="B2526" t="s">
        <v>90</v>
      </c>
      <c r="C2526" t="s">
        <v>602</v>
      </c>
      <c r="D2526">
        <v>2773.91</v>
      </c>
      <c r="E2526" s="37" t="str">
        <f t="shared" si="195"/>
        <v xml:space="preserve"> </v>
      </c>
      <c r="F2526">
        <v>0.26</v>
      </c>
      <c r="G2526" s="37" t="str">
        <f t="shared" si="196"/>
        <v>Normal Discount</v>
      </c>
      <c r="H2526" s="37" t="str">
        <f t="shared" si="197"/>
        <v>Medium</v>
      </c>
      <c r="I2526">
        <v>4</v>
      </c>
      <c r="J2526" t="str" cm="1">
        <f t="array" ref="J2526">_xlfn.IFS(I2526&lt;=3,"small",I2526&lt;=6,"Medium",I2526&lt;=9,"Large")</f>
        <v>Medium</v>
      </c>
      <c r="K2526" s="36">
        <v>45614</v>
      </c>
      <c r="L2526" s="36">
        <v>45617</v>
      </c>
      <c r="M2526" t="s">
        <v>598</v>
      </c>
      <c r="N2526" t="s">
        <v>599</v>
      </c>
      <c r="O2526" s="37" t="str">
        <f t="shared" si="198"/>
        <v>Digital Payment</v>
      </c>
      <c r="P2526">
        <v>291.51</v>
      </c>
      <c r="Q2526" s="37" t="str">
        <f>IF(P2526&gt;500,"High","low")</f>
        <v>low</v>
      </c>
      <c r="R2526" s="37" t="str">
        <f t="shared" si="199"/>
        <v>AVERAGE</v>
      </c>
      <c r="S2526" t="s">
        <v>620</v>
      </c>
    </row>
    <row r="2527" spans="1:19" x14ac:dyDescent="0.2">
      <c r="A2527" t="s">
        <v>3138</v>
      </c>
      <c r="B2527" t="s">
        <v>67</v>
      </c>
      <c r="C2527" t="s">
        <v>617</v>
      </c>
      <c r="D2527">
        <v>1476.35</v>
      </c>
      <c r="E2527" s="37" t="str">
        <f t="shared" si="195"/>
        <v xml:space="preserve"> </v>
      </c>
      <c r="F2527">
        <v>0.02</v>
      </c>
      <c r="G2527" s="37" t="str">
        <f t="shared" si="196"/>
        <v>Normal Discount</v>
      </c>
      <c r="H2527" s="37" t="str">
        <f t="shared" si="197"/>
        <v>Low</v>
      </c>
      <c r="I2527">
        <v>5</v>
      </c>
      <c r="J2527" t="str" cm="1">
        <f t="array" ref="J2527">_xlfn.IFS(I2527&lt;=3,"small",I2527&lt;=6,"Medium",I2527&lt;=9,"Large")</f>
        <v>Medium</v>
      </c>
      <c r="K2527" s="36">
        <v>45344</v>
      </c>
      <c r="L2527" s="36">
        <v>45348</v>
      </c>
      <c r="M2527" t="s">
        <v>603</v>
      </c>
      <c r="N2527" t="s">
        <v>608</v>
      </c>
      <c r="O2527" s="37" t="str">
        <f t="shared" si="198"/>
        <v>Cash Payment</v>
      </c>
      <c r="P2527">
        <v>144.85</v>
      </c>
      <c r="Q2527" s="37" t="str">
        <f>IF(P2527&gt;500,"High","low")</f>
        <v>low</v>
      </c>
      <c r="R2527" s="37" t="str">
        <f t="shared" si="199"/>
        <v>AVERAGE</v>
      </c>
      <c r="S2527" t="s">
        <v>615</v>
      </c>
    </row>
    <row r="2528" spans="1:19" x14ac:dyDescent="0.2">
      <c r="A2528" t="s">
        <v>3139</v>
      </c>
      <c r="B2528" t="s">
        <v>75</v>
      </c>
      <c r="C2528" t="s">
        <v>602</v>
      </c>
      <c r="D2528">
        <v>2367.73</v>
      </c>
      <c r="E2528" s="37" t="str">
        <f t="shared" si="195"/>
        <v xml:space="preserve"> </v>
      </c>
      <c r="F2528">
        <v>0.24</v>
      </c>
      <c r="G2528" s="37" t="str">
        <f t="shared" si="196"/>
        <v>Normal Discount</v>
      </c>
      <c r="H2528" s="37" t="str">
        <f t="shared" si="197"/>
        <v>Medium</v>
      </c>
      <c r="I2528">
        <v>7</v>
      </c>
      <c r="J2528" t="str" cm="1">
        <f t="array" ref="J2528">_xlfn.IFS(I2528&lt;=3,"small",I2528&lt;=6,"Medium",I2528&lt;=9,"Large")</f>
        <v>Large</v>
      </c>
      <c r="K2528" s="36">
        <v>45279</v>
      </c>
      <c r="L2528" s="36">
        <v>45281</v>
      </c>
      <c r="M2528" t="s">
        <v>603</v>
      </c>
      <c r="N2528" t="s">
        <v>599</v>
      </c>
      <c r="O2528" s="37" t="str">
        <f t="shared" si="198"/>
        <v>Digital Payment</v>
      </c>
      <c r="P2528">
        <v>542.91</v>
      </c>
      <c r="Q2528" s="37" t="str">
        <f>IF(P2528&gt;500,"High","low")</f>
        <v>High</v>
      </c>
      <c r="R2528" s="37" t="str">
        <f t="shared" si="199"/>
        <v>Good</v>
      </c>
      <c r="S2528" t="s">
        <v>605</v>
      </c>
    </row>
    <row r="2529" spans="1:19" x14ac:dyDescent="0.2">
      <c r="A2529" t="s">
        <v>3140</v>
      </c>
      <c r="B2529" t="s">
        <v>75</v>
      </c>
      <c r="C2529" t="s">
        <v>597</v>
      </c>
      <c r="D2529">
        <v>4739.51</v>
      </c>
      <c r="E2529" s="37" t="str">
        <f t="shared" si="195"/>
        <v>Excellent Order</v>
      </c>
      <c r="F2529">
        <v>0.43</v>
      </c>
      <c r="G2529" s="37" t="str">
        <f t="shared" si="196"/>
        <v>Heavy Discount</v>
      </c>
      <c r="H2529" s="37" t="str">
        <f t="shared" si="197"/>
        <v>High</v>
      </c>
      <c r="I2529">
        <v>9</v>
      </c>
      <c r="J2529" t="str" cm="1">
        <f t="array" ref="J2529">_xlfn.IFS(I2529&lt;=3,"small",I2529&lt;=6,"Medium",I2529&lt;=9,"Large")</f>
        <v>Large</v>
      </c>
      <c r="K2529" s="36">
        <v>45222</v>
      </c>
      <c r="L2529" s="36">
        <v>45227</v>
      </c>
      <c r="M2529" t="s">
        <v>603</v>
      </c>
      <c r="N2529" t="s">
        <v>608</v>
      </c>
      <c r="O2529" s="37" t="str">
        <f t="shared" si="198"/>
        <v>Cash Payment</v>
      </c>
      <c r="P2529">
        <v>1242.78</v>
      </c>
      <c r="Q2529" s="37" t="str">
        <f>IF(P2529&gt;500,"High","low")</f>
        <v>High</v>
      </c>
      <c r="R2529" s="37" t="str">
        <f t="shared" si="199"/>
        <v>Excellent</v>
      </c>
      <c r="S2529" t="s">
        <v>628</v>
      </c>
    </row>
    <row r="2530" spans="1:19" x14ac:dyDescent="0.2">
      <c r="A2530" t="s">
        <v>3141</v>
      </c>
      <c r="B2530" t="s">
        <v>67</v>
      </c>
      <c r="C2530" t="s">
        <v>597</v>
      </c>
      <c r="D2530">
        <v>3662.01</v>
      </c>
      <c r="E2530" s="37" t="str">
        <f t="shared" si="195"/>
        <v xml:space="preserve"> </v>
      </c>
      <c r="F2530">
        <v>0.49</v>
      </c>
      <c r="G2530" s="37" t="str">
        <f t="shared" si="196"/>
        <v>Heavy Discount</v>
      </c>
      <c r="H2530" s="37" t="str">
        <f t="shared" si="197"/>
        <v>High</v>
      </c>
      <c r="I2530">
        <v>4</v>
      </c>
      <c r="J2530" t="str" cm="1">
        <f t="array" ref="J2530">_xlfn.IFS(I2530&lt;=3,"small",I2530&lt;=6,"Medium",I2530&lt;=9,"Large")</f>
        <v>Medium</v>
      </c>
      <c r="K2530" s="36">
        <v>45443</v>
      </c>
      <c r="L2530" s="36">
        <v>45447</v>
      </c>
      <c r="M2530" t="s">
        <v>598</v>
      </c>
      <c r="N2530" t="s">
        <v>604</v>
      </c>
      <c r="O2530" s="37" t="str">
        <f t="shared" si="198"/>
        <v>Digital Payment</v>
      </c>
      <c r="P2530">
        <v>823.18</v>
      </c>
      <c r="Q2530" s="37" t="str">
        <f>IF(P2530&gt;500,"High","low")</f>
        <v>High</v>
      </c>
      <c r="R2530" s="37" t="str">
        <f t="shared" si="199"/>
        <v>Good</v>
      </c>
      <c r="S2530" t="s">
        <v>628</v>
      </c>
    </row>
    <row r="2531" spans="1:19" x14ac:dyDescent="0.2">
      <c r="A2531" t="s">
        <v>3142</v>
      </c>
      <c r="B2531" t="s">
        <v>75</v>
      </c>
      <c r="C2531" t="s">
        <v>607</v>
      </c>
      <c r="D2531">
        <v>158.19999999999999</v>
      </c>
      <c r="E2531" s="37" t="str">
        <f t="shared" si="195"/>
        <v xml:space="preserve"> </v>
      </c>
      <c r="F2531">
        <v>0.43</v>
      </c>
      <c r="G2531" s="37" t="str">
        <f t="shared" si="196"/>
        <v>Heavy Discount</v>
      </c>
      <c r="H2531" s="37" t="str">
        <f t="shared" si="197"/>
        <v>High</v>
      </c>
      <c r="I2531">
        <v>1</v>
      </c>
      <c r="J2531" t="str" cm="1">
        <f t="array" ref="J2531">_xlfn.IFS(I2531&lt;=3,"small",I2531&lt;=6,"Medium",I2531&lt;=9,"Large")</f>
        <v>small</v>
      </c>
      <c r="K2531" s="36">
        <v>45448</v>
      </c>
      <c r="L2531" s="36">
        <v>45452</v>
      </c>
      <c r="M2531" t="s">
        <v>598</v>
      </c>
      <c r="N2531" t="s">
        <v>599</v>
      </c>
      <c r="O2531" s="37" t="str">
        <f t="shared" si="198"/>
        <v>Digital Payment</v>
      </c>
      <c r="P2531">
        <v>11.6</v>
      </c>
      <c r="Q2531" s="37" t="str">
        <f>IF(P2531&gt;500,"High","low")</f>
        <v>low</v>
      </c>
      <c r="R2531" s="37" t="str">
        <f t="shared" si="199"/>
        <v>AVERAGE</v>
      </c>
      <c r="S2531" t="s">
        <v>628</v>
      </c>
    </row>
    <row r="2532" spans="1:19" x14ac:dyDescent="0.2">
      <c r="A2532" t="s">
        <v>3143</v>
      </c>
      <c r="B2532" t="s">
        <v>83</v>
      </c>
      <c r="C2532" t="s">
        <v>607</v>
      </c>
      <c r="D2532">
        <v>670.88</v>
      </c>
      <c r="E2532" s="37" t="str">
        <f t="shared" si="195"/>
        <v xml:space="preserve"> </v>
      </c>
      <c r="F2532">
        <v>0.09</v>
      </c>
      <c r="G2532" s="37" t="str">
        <f t="shared" si="196"/>
        <v>Normal Discount</v>
      </c>
      <c r="H2532" s="37" t="str">
        <f t="shared" si="197"/>
        <v>Low</v>
      </c>
      <c r="I2532">
        <v>6</v>
      </c>
      <c r="J2532" t="str" cm="1">
        <f t="array" ref="J2532">_xlfn.IFS(I2532&lt;=3,"small",I2532&lt;=6,"Medium",I2532&lt;=9,"Large")</f>
        <v>Medium</v>
      </c>
      <c r="K2532" s="36">
        <v>45410</v>
      </c>
      <c r="L2532" s="36">
        <v>45416</v>
      </c>
      <c r="M2532" t="s">
        <v>603</v>
      </c>
      <c r="N2532" t="s">
        <v>608</v>
      </c>
      <c r="O2532" s="37" t="str">
        <f t="shared" si="198"/>
        <v>Cash Payment</v>
      </c>
      <c r="P2532">
        <v>87.59</v>
      </c>
      <c r="Q2532" s="37" t="str">
        <f>IF(P2532&gt;500,"High","low")</f>
        <v>low</v>
      </c>
      <c r="R2532" s="37" t="str">
        <f t="shared" si="199"/>
        <v>AVERAGE</v>
      </c>
      <c r="S2532" t="s">
        <v>600</v>
      </c>
    </row>
    <row r="2533" spans="1:19" x14ac:dyDescent="0.2">
      <c r="A2533" t="s">
        <v>3144</v>
      </c>
      <c r="B2533" t="s">
        <v>83</v>
      </c>
      <c r="C2533" t="s">
        <v>597</v>
      </c>
      <c r="D2533">
        <v>4626.68</v>
      </c>
      <c r="E2533" s="37" t="str">
        <f t="shared" si="195"/>
        <v>Excellent Order</v>
      </c>
      <c r="F2533">
        <v>0.08</v>
      </c>
      <c r="G2533" s="37" t="str">
        <f t="shared" si="196"/>
        <v>Normal Discount</v>
      </c>
      <c r="H2533" s="37" t="str">
        <f t="shared" si="197"/>
        <v>Low</v>
      </c>
      <c r="I2533">
        <v>2</v>
      </c>
      <c r="J2533" t="str" cm="1">
        <f t="array" ref="J2533">_xlfn.IFS(I2533&lt;=3,"small",I2533&lt;=6,"Medium",I2533&lt;=9,"Large")</f>
        <v>small</v>
      </c>
      <c r="K2533" s="36">
        <v>45148</v>
      </c>
      <c r="L2533" s="36">
        <v>45149</v>
      </c>
      <c r="M2533" t="s">
        <v>612</v>
      </c>
      <c r="N2533" t="s">
        <v>608</v>
      </c>
      <c r="O2533" s="37" t="str">
        <f t="shared" si="198"/>
        <v>Cash Payment</v>
      </c>
      <c r="P2533">
        <v>1024.24</v>
      </c>
      <c r="Q2533" s="37" t="str">
        <f>IF(P2533&gt;500,"High","low")</f>
        <v>High</v>
      </c>
      <c r="R2533" s="37" t="str">
        <f t="shared" si="199"/>
        <v>Excellent</v>
      </c>
      <c r="S2533" t="s">
        <v>600</v>
      </c>
    </row>
    <row r="2534" spans="1:19" x14ac:dyDescent="0.2">
      <c r="A2534" t="s">
        <v>3145</v>
      </c>
      <c r="B2534" t="s">
        <v>67</v>
      </c>
      <c r="C2534" t="s">
        <v>597</v>
      </c>
      <c r="D2534">
        <v>4258.72</v>
      </c>
      <c r="E2534" s="37" t="str">
        <f t="shared" si="195"/>
        <v>Excellent Order</v>
      </c>
      <c r="F2534">
        <v>0.2</v>
      </c>
      <c r="G2534" s="37" t="str">
        <f t="shared" si="196"/>
        <v>Normal Discount</v>
      </c>
      <c r="H2534" s="37" t="str">
        <f t="shared" si="197"/>
        <v>Medium</v>
      </c>
      <c r="I2534">
        <v>7</v>
      </c>
      <c r="J2534" t="str" cm="1">
        <f t="array" ref="J2534">_xlfn.IFS(I2534&lt;=3,"small",I2534&lt;=6,"Medium",I2534&lt;=9,"Large")</f>
        <v>Large</v>
      </c>
      <c r="K2534" s="36">
        <v>45511</v>
      </c>
      <c r="L2534" s="36">
        <v>45517</v>
      </c>
      <c r="M2534" t="s">
        <v>612</v>
      </c>
      <c r="N2534" t="s">
        <v>608</v>
      </c>
      <c r="O2534" s="37" t="str">
        <f t="shared" si="198"/>
        <v>Cash Payment</v>
      </c>
      <c r="P2534">
        <v>969.97</v>
      </c>
      <c r="Q2534" s="37" t="str">
        <f>IF(P2534&gt;500,"High","low")</f>
        <v>High</v>
      </c>
      <c r="R2534" s="37" t="str">
        <f t="shared" si="199"/>
        <v>Good</v>
      </c>
      <c r="S2534" t="s">
        <v>628</v>
      </c>
    </row>
    <row r="2535" spans="1:19" x14ac:dyDescent="0.2">
      <c r="A2535" t="s">
        <v>3146</v>
      </c>
      <c r="B2535" t="s">
        <v>83</v>
      </c>
      <c r="C2535" t="s">
        <v>614</v>
      </c>
      <c r="D2535">
        <v>2482.21</v>
      </c>
      <c r="E2535" s="37" t="str">
        <f t="shared" si="195"/>
        <v xml:space="preserve"> </v>
      </c>
      <c r="F2535">
        <v>0.11</v>
      </c>
      <c r="G2535" s="37" t="str">
        <f t="shared" si="196"/>
        <v>Normal Discount</v>
      </c>
      <c r="H2535" s="37" t="str">
        <f t="shared" si="197"/>
        <v>Low</v>
      </c>
      <c r="I2535">
        <v>6</v>
      </c>
      <c r="J2535" t="str" cm="1">
        <f t="array" ref="J2535">_xlfn.IFS(I2535&lt;=3,"small",I2535&lt;=6,"Medium",I2535&lt;=9,"Large")</f>
        <v>Medium</v>
      </c>
      <c r="K2535" s="36">
        <v>45612</v>
      </c>
      <c r="L2535" s="36">
        <v>45616</v>
      </c>
      <c r="M2535" t="s">
        <v>612</v>
      </c>
      <c r="N2535" t="s">
        <v>608</v>
      </c>
      <c r="O2535" s="37" t="str">
        <f t="shared" si="198"/>
        <v>Cash Payment</v>
      </c>
      <c r="P2535">
        <v>412.15</v>
      </c>
      <c r="Q2535" s="37" t="str">
        <f>IF(P2535&gt;500,"High","low")</f>
        <v>low</v>
      </c>
      <c r="R2535" s="37" t="str">
        <f t="shared" si="199"/>
        <v>AVERAGE</v>
      </c>
      <c r="S2535" t="s">
        <v>609</v>
      </c>
    </row>
    <row r="2536" spans="1:19" x14ac:dyDescent="0.2">
      <c r="A2536" t="s">
        <v>3147</v>
      </c>
      <c r="B2536" t="s">
        <v>83</v>
      </c>
      <c r="C2536" t="s">
        <v>614</v>
      </c>
      <c r="D2536">
        <v>3123.19</v>
      </c>
      <c r="E2536" s="37" t="str">
        <f t="shared" si="195"/>
        <v xml:space="preserve"> </v>
      </c>
      <c r="F2536">
        <v>0.34</v>
      </c>
      <c r="G2536" s="37" t="str">
        <f t="shared" si="196"/>
        <v>Heavy Discount</v>
      </c>
      <c r="H2536" s="37" t="str">
        <f t="shared" si="197"/>
        <v>Medium</v>
      </c>
      <c r="I2536">
        <v>9</v>
      </c>
      <c r="J2536" t="str" cm="1">
        <f t="array" ref="J2536">_xlfn.IFS(I2536&lt;=3,"small",I2536&lt;=6,"Medium",I2536&lt;=9,"Large")</f>
        <v>Large</v>
      </c>
      <c r="K2536" s="36">
        <v>45470</v>
      </c>
      <c r="L2536" s="36">
        <v>45472</v>
      </c>
      <c r="M2536" t="s">
        <v>603</v>
      </c>
      <c r="N2536" t="s">
        <v>608</v>
      </c>
      <c r="O2536" s="37" t="str">
        <f t="shared" si="198"/>
        <v>Cash Payment</v>
      </c>
      <c r="P2536">
        <v>388.89</v>
      </c>
      <c r="Q2536" s="37" t="str">
        <f>IF(P2536&gt;500,"High","low")</f>
        <v>low</v>
      </c>
      <c r="R2536" s="37" t="str">
        <f t="shared" si="199"/>
        <v>AVERAGE</v>
      </c>
      <c r="S2536" t="s">
        <v>605</v>
      </c>
    </row>
    <row r="2537" spans="1:19" x14ac:dyDescent="0.2">
      <c r="A2537" t="s">
        <v>3148</v>
      </c>
      <c r="B2537" t="s">
        <v>90</v>
      </c>
      <c r="C2537" t="s">
        <v>617</v>
      </c>
      <c r="D2537">
        <v>1519.27</v>
      </c>
      <c r="E2537" s="37" t="str">
        <f t="shared" si="195"/>
        <v xml:space="preserve"> </v>
      </c>
      <c r="F2537">
        <v>0.04</v>
      </c>
      <c r="G2537" s="37" t="str">
        <f t="shared" si="196"/>
        <v>Normal Discount</v>
      </c>
      <c r="H2537" s="37" t="str">
        <f t="shared" si="197"/>
        <v>Low</v>
      </c>
      <c r="I2537">
        <v>6</v>
      </c>
      <c r="J2537" t="str" cm="1">
        <f t="array" ref="J2537">_xlfn.IFS(I2537&lt;=3,"small",I2537&lt;=6,"Medium",I2537&lt;=9,"Large")</f>
        <v>Medium</v>
      </c>
      <c r="K2537" s="36">
        <v>45523</v>
      </c>
      <c r="L2537" s="36">
        <v>45526</v>
      </c>
      <c r="M2537" t="s">
        <v>612</v>
      </c>
      <c r="N2537" t="s">
        <v>608</v>
      </c>
      <c r="O2537" s="37" t="str">
        <f t="shared" si="198"/>
        <v>Cash Payment</v>
      </c>
      <c r="P2537">
        <v>110.99</v>
      </c>
      <c r="Q2537" s="37" t="str">
        <f>IF(P2537&gt;500,"High","low")</f>
        <v>low</v>
      </c>
      <c r="R2537" s="37" t="str">
        <f t="shared" si="199"/>
        <v>AVERAGE</v>
      </c>
      <c r="S2537" t="s">
        <v>615</v>
      </c>
    </row>
    <row r="2538" spans="1:19" x14ac:dyDescent="0.2">
      <c r="A2538" t="s">
        <v>3149</v>
      </c>
      <c r="B2538" t="s">
        <v>90</v>
      </c>
      <c r="C2538" t="s">
        <v>607</v>
      </c>
      <c r="D2538">
        <v>3984.87</v>
      </c>
      <c r="E2538" s="37" t="str">
        <f t="shared" si="195"/>
        <v xml:space="preserve"> </v>
      </c>
      <c r="F2538">
        <v>0.22</v>
      </c>
      <c r="G2538" s="37" t="str">
        <f t="shared" si="196"/>
        <v>Normal Discount</v>
      </c>
      <c r="H2538" s="37" t="str">
        <f t="shared" si="197"/>
        <v>Medium</v>
      </c>
      <c r="I2538">
        <v>6</v>
      </c>
      <c r="J2538" t="str" cm="1">
        <f t="array" ref="J2538">_xlfn.IFS(I2538&lt;=3,"small",I2538&lt;=6,"Medium",I2538&lt;=9,"Large")</f>
        <v>Medium</v>
      </c>
      <c r="K2538" s="36">
        <v>45431</v>
      </c>
      <c r="L2538" s="36">
        <v>45432</v>
      </c>
      <c r="M2538" t="s">
        <v>598</v>
      </c>
      <c r="N2538" t="s">
        <v>608</v>
      </c>
      <c r="O2538" s="37" t="str">
        <f t="shared" si="198"/>
        <v>Cash Payment</v>
      </c>
      <c r="P2538">
        <v>252.03</v>
      </c>
      <c r="Q2538" s="37" t="str">
        <f>IF(P2538&gt;500,"High","low")</f>
        <v>low</v>
      </c>
      <c r="R2538" s="37" t="str">
        <f t="shared" si="199"/>
        <v>AVERAGE</v>
      </c>
      <c r="S2538" t="s">
        <v>600</v>
      </c>
    </row>
    <row r="2539" spans="1:19" x14ac:dyDescent="0.2">
      <c r="A2539" t="s">
        <v>3150</v>
      </c>
      <c r="B2539" t="s">
        <v>83</v>
      </c>
      <c r="C2539" t="s">
        <v>607</v>
      </c>
      <c r="D2539">
        <v>3056.26</v>
      </c>
      <c r="E2539" s="37" t="str">
        <f t="shared" si="195"/>
        <v xml:space="preserve"> </v>
      </c>
      <c r="F2539">
        <v>0.14000000000000001</v>
      </c>
      <c r="G2539" s="37" t="str">
        <f t="shared" si="196"/>
        <v>Normal Discount</v>
      </c>
      <c r="H2539" s="37" t="str">
        <f t="shared" si="197"/>
        <v>Low</v>
      </c>
      <c r="I2539">
        <v>4</v>
      </c>
      <c r="J2539" t="str" cm="1">
        <f t="array" ref="J2539">_xlfn.IFS(I2539&lt;=3,"small",I2539&lt;=6,"Medium",I2539&lt;=9,"Large")</f>
        <v>Medium</v>
      </c>
      <c r="K2539" s="36">
        <v>45208</v>
      </c>
      <c r="L2539" s="36">
        <v>45215</v>
      </c>
      <c r="M2539" t="s">
        <v>612</v>
      </c>
      <c r="N2539" t="s">
        <v>599</v>
      </c>
      <c r="O2539" s="37" t="str">
        <f t="shared" si="198"/>
        <v>Digital Payment</v>
      </c>
      <c r="P2539">
        <v>240.03</v>
      </c>
      <c r="Q2539" s="37" t="str">
        <f>IF(P2539&gt;500,"High","low")</f>
        <v>low</v>
      </c>
      <c r="R2539" s="37" t="str">
        <f t="shared" si="199"/>
        <v>AVERAGE</v>
      </c>
      <c r="S2539" t="s">
        <v>620</v>
      </c>
    </row>
    <row r="2540" spans="1:19" x14ac:dyDescent="0.2">
      <c r="A2540" t="s">
        <v>3151</v>
      </c>
      <c r="B2540" t="s">
        <v>67</v>
      </c>
      <c r="C2540" t="s">
        <v>597</v>
      </c>
      <c r="D2540">
        <v>3504.65</v>
      </c>
      <c r="E2540" s="37" t="str">
        <f t="shared" si="195"/>
        <v xml:space="preserve"> </v>
      </c>
      <c r="F2540">
        <v>0.3</v>
      </c>
      <c r="G2540" s="37" t="str">
        <f t="shared" si="196"/>
        <v>Normal Discount</v>
      </c>
      <c r="H2540" s="37" t="str">
        <f t="shared" si="197"/>
        <v>Medium</v>
      </c>
      <c r="I2540">
        <v>9</v>
      </c>
      <c r="J2540" t="str" cm="1">
        <f t="array" ref="J2540">_xlfn.IFS(I2540&lt;=3,"small",I2540&lt;=6,"Medium",I2540&lt;=9,"Large")</f>
        <v>Large</v>
      </c>
      <c r="K2540" s="36">
        <v>45319</v>
      </c>
      <c r="L2540" s="36">
        <v>45323</v>
      </c>
      <c r="M2540" t="s">
        <v>603</v>
      </c>
      <c r="N2540" t="s">
        <v>608</v>
      </c>
      <c r="O2540" s="37" t="str">
        <f t="shared" si="198"/>
        <v>Cash Payment</v>
      </c>
      <c r="P2540">
        <v>470.85</v>
      </c>
      <c r="Q2540" s="37" t="str">
        <f>IF(P2540&gt;500,"High","low")</f>
        <v>low</v>
      </c>
      <c r="R2540" s="37" t="str">
        <f t="shared" si="199"/>
        <v>AVERAGE</v>
      </c>
      <c r="S2540" t="s">
        <v>605</v>
      </c>
    </row>
    <row r="2541" spans="1:19" x14ac:dyDescent="0.2">
      <c r="A2541" t="s">
        <v>3152</v>
      </c>
      <c r="B2541" t="s">
        <v>90</v>
      </c>
      <c r="C2541" t="s">
        <v>597</v>
      </c>
      <c r="D2541">
        <v>1937.06</v>
      </c>
      <c r="E2541" s="37" t="str">
        <f t="shared" si="195"/>
        <v xml:space="preserve"> </v>
      </c>
      <c r="F2541">
        <v>0.4</v>
      </c>
      <c r="G2541" s="37" t="str">
        <f t="shared" si="196"/>
        <v>Heavy Discount</v>
      </c>
      <c r="H2541" s="37" t="str">
        <f t="shared" si="197"/>
        <v>Medium</v>
      </c>
      <c r="I2541">
        <v>3</v>
      </c>
      <c r="J2541" t="str" cm="1">
        <f t="array" ref="J2541">_xlfn.IFS(I2541&lt;=3,"small",I2541&lt;=6,"Medium",I2541&lt;=9,"Large")</f>
        <v>small</v>
      </c>
      <c r="K2541" s="36">
        <v>45379</v>
      </c>
      <c r="L2541" s="36">
        <v>45382</v>
      </c>
      <c r="M2541" t="s">
        <v>603</v>
      </c>
      <c r="N2541" t="s">
        <v>604</v>
      </c>
      <c r="O2541" s="37" t="str">
        <f t="shared" si="198"/>
        <v>Digital Payment</v>
      </c>
      <c r="P2541">
        <v>392.25</v>
      </c>
      <c r="Q2541" s="37" t="str">
        <f>IF(P2541&gt;500,"High","low")</f>
        <v>low</v>
      </c>
      <c r="R2541" s="37" t="str">
        <f t="shared" si="199"/>
        <v>AVERAGE</v>
      </c>
      <c r="S2541" t="s">
        <v>615</v>
      </c>
    </row>
    <row r="2542" spans="1:19" x14ac:dyDescent="0.2">
      <c r="A2542" t="s">
        <v>3153</v>
      </c>
      <c r="B2542" t="s">
        <v>75</v>
      </c>
      <c r="C2542" t="s">
        <v>617</v>
      </c>
      <c r="D2542">
        <v>2209.15</v>
      </c>
      <c r="E2542" s="37" t="str">
        <f t="shared" si="195"/>
        <v xml:space="preserve"> </v>
      </c>
      <c r="F2542">
        <v>0.46</v>
      </c>
      <c r="G2542" s="37" t="str">
        <f t="shared" si="196"/>
        <v>Heavy Discount</v>
      </c>
      <c r="H2542" s="37" t="str">
        <f t="shared" si="197"/>
        <v>High</v>
      </c>
      <c r="I2542">
        <v>1</v>
      </c>
      <c r="J2542" t="str" cm="1">
        <f t="array" ref="J2542">_xlfn.IFS(I2542&lt;=3,"small",I2542&lt;=6,"Medium",I2542&lt;=9,"Large")</f>
        <v>small</v>
      </c>
      <c r="K2542" s="36">
        <v>44981</v>
      </c>
      <c r="L2542" s="36">
        <v>44985</v>
      </c>
      <c r="M2542" t="s">
        <v>612</v>
      </c>
      <c r="N2542" t="s">
        <v>604</v>
      </c>
      <c r="O2542" s="37" t="str">
        <f t="shared" si="198"/>
        <v>Digital Payment</v>
      </c>
      <c r="P2542">
        <v>578.89</v>
      </c>
      <c r="Q2542" s="37" t="str">
        <f>IF(P2542&gt;500,"High","low")</f>
        <v>High</v>
      </c>
      <c r="R2542" s="37" t="str">
        <f t="shared" si="199"/>
        <v>Good</v>
      </c>
      <c r="S2542" t="s">
        <v>620</v>
      </c>
    </row>
    <row r="2543" spans="1:19" x14ac:dyDescent="0.2">
      <c r="A2543" t="s">
        <v>3154</v>
      </c>
      <c r="B2543" t="s">
        <v>75</v>
      </c>
      <c r="C2543" t="s">
        <v>607</v>
      </c>
      <c r="D2543">
        <v>1117.6400000000001</v>
      </c>
      <c r="E2543" s="37" t="str">
        <f t="shared" si="195"/>
        <v xml:space="preserve"> </v>
      </c>
      <c r="F2543">
        <v>0.48</v>
      </c>
      <c r="G2543" s="37" t="str">
        <f t="shared" si="196"/>
        <v>Heavy Discount</v>
      </c>
      <c r="H2543" s="37" t="str">
        <f t="shared" si="197"/>
        <v>High</v>
      </c>
      <c r="I2543">
        <v>8</v>
      </c>
      <c r="J2543" t="str" cm="1">
        <f t="array" ref="J2543">_xlfn.IFS(I2543&lt;=3,"small",I2543&lt;=6,"Medium",I2543&lt;=9,"Large")</f>
        <v>Large</v>
      </c>
      <c r="K2543" s="36">
        <v>45574</v>
      </c>
      <c r="L2543" s="36">
        <v>45579</v>
      </c>
      <c r="M2543" t="s">
        <v>603</v>
      </c>
      <c r="N2543" t="s">
        <v>608</v>
      </c>
      <c r="O2543" s="37" t="str">
        <f t="shared" si="198"/>
        <v>Cash Payment</v>
      </c>
      <c r="P2543">
        <v>125.95</v>
      </c>
      <c r="Q2543" s="37" t="str">
        <f>IF(P2543&gt;500,"High","low")</f>
        <v>low</v>
      </c>
      <c r="R2543" s="37" t="str">
        <f t="shared" si="199"/>
        <v>AVERAGE</v>
      </c>
      <c r="S2543" t="s">
        <v>609</v>
      </c>
    </row>
    <row r="2544" spans="1:19" x14ac:dyDescent="0.2">
      <c r="A2544" t="s">
        <v>3155</v>
      </c>
      <c r="B2544" t="s">
        <v>75</v>
      </c>
      <c r="C2544" t="s">
        <v>614</v>
      </c>
      <c r="D2544">
        <v>4745.46</v>
      </c>
      <c r="E2544" s="37" t="str">
        <f t="shared" si="195"/>
        <v xml:space="preserve"> </v>
      </c>
      <c r="F2544">
        <v>0.18</v>
      </c>
      <c r="G2544" s="37" t="str">
        <f t="shared" si="196"/>
        <v>Normal Discount</v>
      </c>
      <c r="H2544" s="37" t="str">
        <f t="shared" si="197"/>
        <v>Low</v>
      </c>
      <c r="I2544">
        <v>8</v>
      </c>
      <c r="J2544" t="str" cm="1">
        <f t="array" ref="J2544">_xlfn.IFS(I2544&lt;=3,"small",I2544&lt;=6,"Medium",I2544&lt;=9,"Large")</f>
        <v>Large</v>
      </c>
      <c r="K2544" s="36">
        <v>45554</v>
      </c>
      <c r="L2544" s="36">
        <v>45556</v>
      </c>
      <c r="M2544" t="s">
        <v>598</v>
      </c>
      <c r="N2544" t="s">
        <v>604</v>
      </c>
      <c r="O2544" s="37" t="str">
        <f t="shared" si="198"/>
        <v>Digital Payment</v>
      </c>
      <c r="P2544">
        <v>326.94</v>
      </c>
      <c r="Q2544" s="37" t="str">
        <f>IF(P2544&gt;500,"High","low")</f>
        <v>low</v>
      </c>
      <c r="R2544" s="37" t="str">
        <f t="shared" si="199"/>
        <v>AVERAGE</v>
      </c>
      <c r="S2544" t="s">
        <v>600</v>
      </c>
    </row>
    <row r="2545" spans="1:19" x14ac:dyDescent="0.2">
      <c r="A2545" t="s">
        <v>3156</v>
      </c>
      <c r="B2545" t="s">
        <v>67</v>
      </c>
      <c r="C2545" t="s">
        <v>602</v>
      </c>
      <c r="D2545">
        <v>4738.13</v>
      </c>
      <c r="E2545" s="37" t="str">
        <f t="shared" si="195"/>
        <v>Excellent Order</v>
      </c>
      <c r="F2545">
        <v>0.43</v>
      </c>
      <c r="G2545" s="37" t="str">
        <f t="shared" si="196"/>
        <v>Heavy Discount</v>
      </c>
      <c r="H2545" s="37" t="str">
        <f t="shared" si="197"/>
        <v>High</v>
      </c>
      <c r="I2545">
        <v>1</v>
      </c>
      <c r="J2545" t="str" cm="1">
        <f t="array" ref="J2545">_xlfn.IFS(I2545&lt;=3,"small",I2545&lt;=6,"Medium",I2545&lt;=9,"Large")</f>
        <v>small</v>
      </c>
      <c r="K2545" s="36">
        <v>44982</v>
      </c>
      <c r="L2545" s="36">
        <v>44987</v>
      </c>
      <c r="M2545" t="s">
        <v>603</v>
      </c>
      <c r="N2545" t="s">
        <v>604</v>
      </c>
      <c r="O2545" s="37" t="str">
        <f t="shared" si="198"/>
        <v>Digital Payment</v>
      </c>
      <c r="P2545">
        <v>1381</v>
      </c>
      <c r="Q2545" s="37" t="str">
        <f>IF(P2545&gt;500,"High","low")</f>
        <v>High</v>
      </c>
      <c r="R2545" s="37" t="str">
        <f t="shared" si="199"/>
        <v>Excellent</v>
      </c>
      <c r="S2545" t="s">
        <v>620</v>
      </c>
    </row>
    <row r="2546" spans="1:19" x14ac:dyDescent="0.2">
      <c r="A2546" t="s">
        <v>3157</v>
      </c>
      <c r="B2546" t="s">
        <v>83</v>
      </c>
      <c r="C2546" t="s">
        <v>617</v>
      </c>
      <c r="D2546">
        <v>4106.9799999999996</v>
      </c>
      <c r="E2546" s="37" t="str">
        <f t="shared" si="195"/>
        <v>Excellent Order</v>
      </c>
      <c r="F2546">
        <v>0.3</v>
      </c>
      <c r="G2546" s="37" t="str">
        <f t="shared" si="196"/>
        <v>Normal Discount</v>
      </c>
      <c r="H2546" s="37" t="str">
        <f t="shared" si="197"/>
        <v>Medium</v>
      </c>
      <c r="I2546">
        <v>9</v>
      </c>
      <c r="J2546" t="str" cm="1">
        <f t="array" ref="J2546">_xlfn.IFS(I2546&lt;=3,"small",I2546&lt;=6,"Medium",I2546&lt;=9,"Large")</f>
        <v>Large</v>
      </c>
      <c r="K2546" s="36">
        <v>44982</v>
      </c>
      <c r="L2546" s="36">
        <v>44983</v>
      </c>
      <c r="M2546" t="s">
        <v>598</v>
      </c>
      <c r="N2546" t="s">
        <v>604</v>
      </c>
      <c r="O2546" s="37" t="str">
        <f t="shared" si="198"/>
        <v>Digital Payment</v>
      </c>
      <c r="P2546">
        <v>838.7</v>
      </c>
      <c r="Q2546" s="37" t="str">
        <f>IF(P2546&gt;500,"High","low")</f>
        <v>High</v>
      </c>
      <c r="R2546" s="37" t="str">
        <f t="shared" si="199"/>
        <v>Good</v>
      </c>
      <c r="S2546" t="s">
        <v>628</v>
      </c>
    </row>
    <row r="2547" spans="1:19" x14ac:dyDescent="0.2">
      <c r="A2547" t="s">
        <v>3158</v>
      </c>
      <c r="B2547" t="s">
        <v>75</v>
      </c>
      <c r="C2547" t="s">
        <v>602</v>
      </c>
      <c r="D2547">
        <v>4684.22</v>
      </c>
      <c r="E2547" s="37" t="str">
        <f t="shared" si="195"/>
        <v xml:space="preserve"> </v>
      </c>
      <c r="F2547">
        <v>0.35</v>
      </c>
      <c r="G2547" s="37" t="str">
        <f t="shared" si="196"/>
        <v>Heavy Discount</v>
      </c>
      <c r="H2547" s="37" t="str">
        <f t="shared" si="197"/>
        <v>Medium</v>
      </c>
      <c r="I2547">
        <v>2</v>
      </c>
      <c r="J2547" t="str" cm="1">
        <f t="array" ref="J2547">_xlfn.IFS(I2547&lt;=3,"small",I2547&lt;=6,"Medium",I2547&lt;=9,"Large")</f>
        <v>small</v>
      </c>
      <c r="K2547" s="36">
        <v>45090</v>
      </c>
      <c r="L2547" s="36">
        <v>45097</v>
      </c>
      <c r="M2547" t="s">
        <v>612</v>
      </c>
      <c r="N2547" t="s">
        <v>604</v>
      </c>
      <c r="O2547" s="37" t="str">
        <f t="shared" si="198"/>
        <v>Digital Payment</v>
      </c>
      <c r="P2547">
        <v>400.67</v>
      </c>
      <c r="Q2547" s="37" t="str">
        <f>IF(P2547&gt;500,"High","low")</f>
        <v>low</v>
      </c>
      <c r="R2547" s="37" t="str">
        <f t="shared" si="199"/>
        <v>AVERAGE</v>
      </c>
      <c r="S2547" t="s">
        <v>600</v>
      </c>
    </row>
    <row r="2548" spans="1:19" x14ac:dyDescent="0.2">
      <c r="A2548" t="s">
        <v>3159</v>
      </c>
      <c r="B2548" t="s">
        <v>67</v>
      </c>
      <c r="C2548" t="s">
        <v>614</v>
      </c>
      <c r="D2548">
        <v>3360.11</v>
      </c>
      <c r="E2548" s="37" t="str">
        <f t="shared" si="195"/>
        <v xml:space="preserve"> </v>
      </c>
      <c r="F2548">
        <v>0.43</v>
      </c>
      <c r="G2548" s="37" t="str">
        <f t="shared" si="196"/>
        <v>Heavy Discount</v>
      </c>
      <c r="H2548" s="37" t="str">
        <f t="shared" si="197"/>
        <v>High</v>
      </c>
      <c r="I2548">
        <v>6</v>
      </c>
      <c r="J2548" t="str" cm="1">
        <f t="array" ref="J2548">_xlfn.IFS(I2548&lt;=3,"small",I2548&lt;=6,"Medium",I2548&lt;=9,"Large")</f>
        <v>Medium</v>
      </c>
      <c r="K2548" s="36">
        <v>45415</v>
      </c>
      <c r="L2548" s="36">
        <v>45418</v>
      </c>
      <c r="M2548" t="s">
        <v>598</v>
      </c>
      <c r="N2548" t="s">
        <v>599</v>
      </c>
      <c r="O2548" s="37" t="str">
        <f t="shared" si="198"/>
        <v>Digital Payment</v>
      </c>
      <c r="P2548">
        <v>378.56</v>
      </c>
      <c r="Q2548" s="37" t="str">
        <f>IF(P2548&gt;500,"High","low")</f>
        <v>low</v>
      </c>
      <c r="R2548" s="37" t="str">
        <f t="shared" si="199"/>
        <v>AVERAGE</v>
      </c>
      <c r="S2548" t="s">
        <v>620</v>
      </c>
    </row>
    <row r="2549" spans="1:19" x14ac:dyDescent="0.2">
      <c r="A2549" t="s">
        <v>3160</v>
      </c>
      <c r="B2549" t="s">
        <v>90</v>
      </c>
      <c r="C2549" t="s">
        <v>614</v>
      </c>
      <c r="D2549">
        <v>1249.79</v>
      </c>
      <c r="E2549" s="37" t="str">
        <f t="shared" si="195"/>
        <v xml:space="preserve"> </v>
      </c>
      <c r="F2549">
        <v>7.0000000000000007E-2</v>
      </c>
      <c r="G2549" s="37" t="str">
        <f t="shared" si="196"/>
        <v>Normal Discount</v>
      </c>
      <c r="H2549" s="37" t="str">
        <f t="shared" si="197"/>
        <v>Low</v>
      </c>
      <c r="I2549">
        <v>9</v>
      </c>
      <c r="J2549" t="str" cm="1">
        <f t="array" ref="J2549">_xlfn.IFS(I2549&lt;=3,"small",I2549&lt;=6,"Medium",I2549&lt;=9,"Large")</f>
        <v>Large</v>
      </c>
      <c r="K2549" s="36">
        <v>44934</v>
      </c>
      <c r="L2549" s="36">
        <v>44939</v>
      </c>
      <c r="M2549" t="s">
        <v>598</v>
      </c>
      <c r="N2549" t="s">
        <v>608</v>
      </c>
      <c r="O2549" s="37" t="str">
        <f t="shared" si="198"/>
        <v>Cash Payment</v>
      </c>
      <c r="P2549">
        <v>193.31</v>
      </c>
      <c r="Q2549" s="37" t="str">
        <f>IF(P2549&gt;500,"High","low")</f>
        <v>low</v>
      </c>
      <c r="R2549" s="37" t="str">
        <f t="shared" si="199"/>
        <v>AVERAGE</v>
      </c>
      <c r="S2549" t="s">
        <v>600</v>
      </c>
    </row>
    <row r="2550" spans="1:19" x14ac:dyDescent="0.2">
      <c r="A2550" t="s">
        <v>3161</v>
      </c>
      <c r="B2550" t="s">
        <v>83</v>
      </c>
      <c r="C2550" t="s">
        <v>602</v>
      </c>
      <c r="D2550">
        <v>3825.03</v>
      </c>
      <c r="E2550" s="37" t="str">
        <f t="shared" si="195"/>
        <v xml:space="preserve"> </v>
      </c>
      <c r="F2550">
        <v>0.47</v>
      </c>
      <c r="G2550" s="37" t="str">
        <f t="shared" si="196"/>
        <v>Heavy Discount</v>
      </c>
      <c r="H2550" s="37" t="str">
        <f t="shared" si="197"/>
        <v>High</v>
      </c>
      <c r="I2550">
        <v>6</v>
      </c>
      <c r="J2550" t="str" cm="1">
        <f t="array" ref="J2550">_xlfn.IFS(I2550&lt;=3,"small",I2550&lt;=6,"Medium",I2550&lt;=9,"Large")</f>
        <v>Medium</v>
      </c>
      <c r="K2550" s="36">
        <v>45538</v>
      </c>
      <c r="L2550" s="36">
        <v>45542</v>
      </c>
      <c r="M2550" t="s">
        <v>598</v>
      </c>
      <c r="N2550" t="s">
        <v>608</v>
      </c>
      <c r="O2550" s="37" t="str">
        <f t="shared" si="198"/>
        <v>Cash Payment</v>
      </c>
      <c r="P2550">
        <v>1116.31</v>
      </c>
      <c r="Q2550" s="37" t="str">
        <f>IF(P2550&gt;500,"High","low")</f>
        <v>High</v>
      </c>
      <c r="R2550" s="37" t="str">
        <f t="shared" si="199"/>
        <v>Excellent</v>
      </c>
      <c r="S2550" t="s">
        <v>620</v>
      </c>
    </row>
    <row r="2551" spans="1:19" x14ac:dyDescent="0.2">
      <c r="A2551" t="s">
        <v>3162</v>
      </c>
      <c r="B2551" t="s">
        <v>90</v>
      </c>
      <c r="C2551" t="s">
        <v>617</v>
      </c>
      <c r="D2551">
        <v>1693.85</v>
      </c>
      <c r="E2551" s="37" t="str">
        <f t="shared" si="195"/>
        <v xml:space="preserve"> </v>
      </c>
      <c r="F2551">
        <v>0.27</v>
      </c>
      <c r="G2551" s="37" t="str">
        <f t="shared" si="196"/>
        <v>Normal Discount</v>
      </c>
      <c r="H2551" s="37" t="str">
        <f t="shared" si="197"/>
        <v>Medium</v>
      </c>
      <c r="I2551">
        <v>7</v>
      </c>
      <c r="J2551" t="str" cm="1">
        <f t="array" ref="J2551">_xlfn.IFS(I2551&lt;=3,"small",I2551&lt;=6,"Medium",I2551&lt;=9,"Large")</f>
        <v>Large</v>
      </c>
      <c r="K2551" s="36">
        <v>45073</v>
      </c>
      <c r="L2551" s="36">
        <v>45078</v>
      </c>
      <c r="M2551" t="s">
        <v>612</v>
      </c>
      <c r="N2551" t="s">
        <v>599</v>
      </c>
      <c r="O2551" s="37" t="str">
        <f t="shared" si="198"/>
        <v>Digital Payment</v>
      </c>
      <c r="P2551">
        <v>134.36000000000001</v>
      </c>
      <c r="Q2551" s="37" t="str">
        <f>IF(P2551&gt;500,"High","low")</f>
        <v>low</v>
      </c>
      <c r="R2551" s="37" t="str">
        <f t="shared" si="199"/>
        <v>AVERAGE</v>
      </c>
      <c r="S2551" t="s">
        <v>628</v>
      </c>
    </row>
    <row r="2552" spans="1:19" x14ac:dyDescent="0.2">
      <c r="A2552" t="s">
        <v>3163</v>
      </c>
      <c r="B2552" t="s">
        <v>67</v>
      </c>
      <c r="C2552" t="s">
        <v>602</v>
      </c>
      <c r="D2552">
        <v>2258.36</v>
      </c>
      <c r="E2552" s="37" t="str">
        <f t="shared" si="195"/>
        <v xml:space="preserve"> </v>
      </c>
      <c r="F2552">
        <v>0.17</v>
      </c>
      <c r="G2552" s="37" t="str">
        <f t="shared" si="196"/>
        <v>Normal Discount</v>
      </c>
      <c r="H2552" s="37" t="str">
        <f t="shared" si="197"/>
        <v>Low</v>
      </c>
      <c r="I2552">
        <v>9</v>
      </c>
      <c r="J2552" t="str" cm="1">
        <f t="array" ref="J2552">_xlfn.IFS(I2552&lt;=3,"small",I2552&lt;=6,"Medium",I2552&lt;=9,"Large")</f>
        <v>Large</v>
      </c>
      <c r="K2552" s="36">
        <v>45332</v>
      </c>
      <c r="L2552" s="36">
        <v>45338</v>
      </c>
      <c r="M2552" t="s">
        <v>598</v>
      </c>
      <c r="N2552" t="s">
        <v>599</v>
      </c>
      <c r="O2552" s="37" t="str">
        <f t="shared" si="198"/>
        <v>Digital Payment</v>
      </c>
      <c r="P2552">
        <v>354.14</v>
      </c>
      <c r="Q2552" s="37" t="str">
        <f>IF(P2552&gt;500,"High","low")</f>
        <v>low</v>
      </c>
      <c r="R2552" s="37" t="str">
        <f t="shared" si="199"/>
        <v>AVERAGE</v>
      </c>
      <c r="S2552" t="s">
        <v>605</v>
      </c>
    </row>
    <row r="2553" spans="1:19" x14ac:dyDescent="0.2">
      <c r="A2553" t="s">
        <v>3164</v>
      </c>
      <c r="B2553" t="s">
        <v>75</v>
      </c>
      <c r="C2553" t="s">
        <v>617</v>
      </c>
      <c r="D2553">
        <v>1444.32</v>
      </c>
      <c r="E2553" s="37" t="str">
        <f t="shared" si="195"/>
        <v xml:space="preserve"> </v>
      </c>
      <c r="F2553">
        <v>0.17</v>
      </c>
      <c r="G2553" s="37" t="str">
        <f t="shared" si="196"/>
        <v>Normal Discount</v>
      </c>
      <c r="H2553" s="37" t="str">
        <f t="shared" si="197"/>
        <v>Low</v>
      </c>
      <c r="I2553">
        <v>5</v>
      </c>
      <c r="J2553" t="str" cm="1">
        <f t="array" ref="J2553">_xlfn.IFS(I2553&lt;=3,"small",I2553&lt;=6,"Medium",I2553&lt;=9,"Large")</f>
        <v>Medium</v>
      </c>
      <c r="K2553" s="36">
        <v>44992</v>
      </c>
      <c r="L2553" s="36">
        <v>44995</v>
      </c>
      <c r="M2553" t="s">
        <v>598</v>
      </c>
      <c r="N2553" t="s">
        <v>608</v>
      </c>
      <c r="O2553" s="37" t="str">
        <f t="shared" si="198"/>
        <v>Cash Payment</v>
      </c>
      <c r="P2553">
        <v>230.08</v>
      </c>
      <c r="Q2553" s="37" t="str">
        <f>IF(P2553&gt;500,"High","low")</f>
        <v>low</v>
      </c>
      <c r="R2553" s="37" t="str">
        <f t="shared" si="199"/>
        <v>AVERAGE</v>
      </c>
      <c r="S2553" t="s">
        <v>628</v>
      </c>
    </row>
    <row r="2554" spans="1:19" x14ac:dyDescent="0.2">
      <c r="A2554" t="s">
        <v>3165</v>
      </c>
      <c r="B2554" t="s">
        <v>75</v>
      </c>
      <c r="C2554" t="s">
        <v>617</v>
      </c>
      <c r="D2554">
        <v>2175.75</v>
      </c>
      <c r="E2554" s="37" t="str">
        <f t="shared" si="195"/>
        <v xml:space="preserve"> </v>
      </c>
      <c r="F2554">
        <v>0.38</v>
      </c>
      <c r="G2554" s="37" t="str">
        <f t="shared" si="196"/>
        <v>Heavy Discount</v>
      </c>
      <c r="H2554" s="37" t="str">
        <f t="shared" si="197"/>
        <v>Medium</v>
      </c>
      <c r="I2554">
        <v>1</v>
      </c>
      <c r="J2554" t="str" cm="1">
        <f t="array" ref="J2554">_xlfn.IFS(I2554&lt;=3,"small",I2554&lt;=6,"Medium",I2554&lt;=9,"Large")</f>
        <v>small</v>
      </c>
      <c r="K2554" s="36">
        <v>45065</v>
      </c>
      <c r="L2554" s="36">
        <v>45072</v>
      </c>
      <c r="M2554" t="s">
        <v>598</v>
      </c>
      <c r="N2554" t="s">
        <v>604</v>
      </c>
      <c r="O2554" s="37" t="str">
        <f t="shared" si="198"/>
        <v>Digital Payment</v>
      </c>
      <c r="P2554">
        <v>648.47</v>
      </c>
      <c r="Q2554" s="37" t="str">
        <f>IF(P2554&gt;500,"High","low")</f>
        <v>High</v>
      </c>
      <c r="R2554" s="37" t="str">
        <f t="shared" si="199"/>
        <v>Good</v>
      </c>
      <c r="S2554" t="s">
        <v>620</v>
      </c>
    </row>
    <row r="2555" spans="1:19" x14ac:dyDescent="0.2">
      <c r="A2555" t="s">
        <v>3166</v>
      </c>
      <c r="B2555" t="s">
        <v>67</v>
      </c>
      <c r="C2555" t="s">
        <v>597</v>
      </c>
      <c r="D2555">
        <v>3428.66</v>
      </c>
      <c r="E2555" s="37" t="str">
        <f t="shared" si="195"/>
        <v xml:space="preserve"> </v>
      </c>
      <c r="F2555">
        <v>0.34</v>
      </c>
      <c r="G2555" s="37" t="str">
        <f t="shared" si="196"/>
        <v>Heavy Discount</v>
      </c>
      <c r="H2555" s="37" t="str">
        <f t="shared" si="197"/>
        <v>Medium</v>
      </c>
      <c r="I2555">
        <v>9</v>
      </c>
      <c r="J2555" t="str" cm="1">
        <f t="array" ref="J2555">_xlfn.IFS(I2555&lt;=3,"small",I2555&lt;=6,"Medium",I2555&lt;=9,"Large")</f>
        <v>Large</v>
      </c>
      <c r="K2555" s="36">
        <v>45121</v>
      </c>
      <c r="L2555" s="36">
        <v>45125</v>
      </c>
      <c r="M2555" t="s">
        <v>603</v>
      </c>
      <c r="N2555" t="s">
        <v>599</v>
      </c>
      <c r="O2555" s="37" t="str">
        <f t="shared" si="198"/>
        <v>Digital Payment</v>
      </c>
      <c r="P2555">
        <v>336.64</v>
      </c>
      <c r="Q2555" s="37" t="str">
        <f>IF(P2555&gt;500,"High","low")</f>
        <v>low</v>
      </c>
      <c r="R2555" s="37" t="str">
        <f t="shared" si="199"/>
        <v>AVERAGE</v>
      </c>
      <c r="S2555" t="s">
        <v>620</v>
      </c>
    </row>
    <row r="2556" spans="1:19" x14ac:dyDescent="0.2">
      <c r="A2556" t="s">
        <v>3167</v>
      </c>
      <c r="B2556" t="s">
        <v>75</v>
      </c>
      <c r="C2556" t="s">
        <v>607</v>
      </c>
      <c r="D2556">
        <v>641.99</v>
      </c>
      <c r="E2556" s="37" t="str">
        <f t="shared" si="195"/>
        <v xml:space="preserve"> </v>
      </c>
      <c r="F2556">
        <v>0.36</v>
      </c>
      <c r="G2556" s="37" t="str">
        <f t="shared" si="196"/>
        <v>Heavy Discount</v>
      </c>
      <c r="H2556" s="37" t="str">
        <f t="shared" si="197"/>
        <v>Medium</v>
      </c>
      <c r="I2556">
        <v>7</v>
      </c>
      <c r="J2556" t="str" cm="1">
        <f t="array" ref="J2556">_xlfn.IFS(I2556&lt;=3,"small",I2556&lt;=6,"Medium",I2556&lt;=9,"Large")</f>
        <v>Large</v>
      </c>
      <c r="K2556" s="36">
        <v>45215</v>
      </c>
      <c r="L2556" s="36">
        <v>45222</v>
      </c>
      <c r="M2556" t="s">
        <v>598</v>
      </c>
      <c r="N2556" t="s">
        <v>604</v>
      </c>
      <c r="O2556" s="37" t="str">
        <f t="shared" si="198"/>
        <v>Digital Payment</v>
      </c>
      <c r="P2556">
        <v>107.27</v>
      </c>
      <c r="Q2556" s="37" t="str">
        <f>IF(P2556&gt;500,"High","low")</f>
        <v>low</v>
      </c>
      <c r="R2556" s="37" t="str">
        <f t="shared" si="199"/>
        <v>AVERAGE</v>
      </c>
      <c r="S2556" t="s">
        <v>600</v>
      </c>
    </row>
    <row r="2557" spans="1:19" x14ac:dyDescent="0.2">
      <c r="A2557" t="s">
        <v>3168</v>
      </c>
      <c r="B2557" t="s">
        <v>83</v>
      </c>
      <c r="C2557" t="s">
        <v>607</v>
      </c>
      <c r="D2557">
        <v>615.51</v>
      </c>
      <c r="E2557" s="37" t="str">
        <f t="shared" si="195"/>
        <v xml:space="preserve"> </v>
      </c>
      <c r="F2557">
        <v>0.13</v>
      </c>
      <c r="G2557" s="37" t="str">
        <f t="shared" si="196"/>
        <v>Normal Discount</v>
      </c>
      <c r="H2557" s="37" t="str">
        <f t="shared" si="197"/>
        <v>Low</v>
      </c>
      <c r="I2557">
        <v>8</v>
      </c>
      <c r="J2557" t="str" cm="1">
        <f t="array" ref="J2557">_xlfn.IFS(I2557&lt;=3,"small",I2557&lt;=6,"Medium",I2557&lt;=9,"Large")</f>
        <v>Large</v>
      </c>
      <c r="K2557" s="36">
        <v>45384</v>
      </c>
      <c r="L2557" s="36">
        <v>45385</v>
      </c>
      <c r="M2557" t="s">
        <v>598</v>
      </c>
      <c r="N2557" t="s">
        <v>599</v>
      </c>
      <c r="O2557" s="37" t="str">
        <f t="shared" si="198"/>
        <v>Digital Payment</v>
      </c>
      <c r="P2557">
        <v>182.63</v>
      </c>
      <c r="Q2557" s="37" t="str">
        <f>IF(P2557&gt;500,"High","low")</f>
        <v>low</v>
      </c>
      <c r="R2557" s="37" t="str">
        <f t="shared" si="199"/>
        <v>AVERAGE</v>
      </c>
      <c r="S2557" t="s">
        <v>620</v>
      </c>
    </row>
    <row r="2558" spans="1:19" x14ac:dyDescent="0.2">
      <c r="A2558" t="s">
        <v>3169</v>
      </c>
      <c r="B2558" t="s">
        <v>67</v>
      </c>
      <c r="C2558" t="s">
        <v>614</v>
      </c>
      <c r="D2558">
        <v>3450.47</v>
      </c>
      <c r="E2558" s="37" t="str">
        <f t="shared" si="195"/>
        <v xml:space="preserve"> </v>
      </c>
      <c r="F2558">
        <v>0.09</v>
      </c>
      <c r="G2558" s="37" t="str">
        <f t="shared" si="196"/>
        <v>Normal Discount</v>
      </c>
      <c r="H2558" s="37" t="str">
        <f t="shared" si="197"/>
        <v>Low</v>
      </c>
      <c r="I2558">
        <v>2</v>
      </c>
      <c r="J2558" t="str" cm="1">
        <f t="array" ref="J2558">_xlfn.IFS(I2558&lt;=3,"small",I2558&lt;=6,"Medium",I2558&lt;=9,"Large")</f>
        <v>small</v>
      </c>
      <c r="K2558" s="36">
        <v>45355</v>
      </c>
      <c r="L2558" s="36">
        <v>45360</v>
      </c>
      <c r="M2558" t="s">
        <v>612</v>
      </c>
      <c r="N2558" t="s">
        <v>604</v>
      </c>
      <c r="O2558" s="37" t="str">
        <f t="shared" si="198"/>
        <v>Digital Payment</v>
      </c>
      <c r="P2558">
        <v>739.2</v>
      </c>
      <c r="Q2558" s="37" t="str">
        <f>IF(P2558&gt;500,"High","low")</f>
        <v>High</v>
      </c>
      <c r="R2558" s="37" t="str">
        <f t="shared" si="199"/>
        <v>Good</v>
      </c>
      <c r="S2558" t="s">
        <v>628</v>
      </c>
    </row>
    <row r="2559" spans="1:19" x14ac:dyDescent="0.2">
      <c r="A2559" t="s">
        <v>3170</v>
      </c>
      <c r="B2559" t="s">
        <v>90</v>
      </c>
      <c r="C2559" t="s">
        <v>597</v>
      </c>
      <c r="D2559">
        <v>3919.95</v>
      </c>
      <c r="E2559" s="37" t="str">
        <f t="shared" si="195"/>
        <v xml:space="preserve"> </v>
      </c>
      <c r="F2559">
        <v>0.36</v>
      </c>
      <c r="G2559" s="37" t="str">
        <f t="shared" si="196"/>
        <v>Heavy Discount</v>
      </c>
      <c r="H2559" s="37" t="str">
        <f t="shared" si="197"/>
        <v>Medium</v>
      </c>
      <c r="I2559">
        <v>5</v>
      </c>
      <c r="J2559" t="str" cm="1">
        <f t="array" ref="J2559">_xlfn.IFS(I2559&lt;=3,"small",I2559&lt;=6,"Medium",I2559&lt;=9,"Large")</f>
        <v>Medium</v>
      </c>
      <c r="K2559" s="36">
        <v>45121</v>
      </c>
      <c r="L2559" s="36">
        <v>45123</v>
      </c>
      <c r="M2559" t="s">
        <v>603</v>
      </c>
      <c r="N2559" t="s">
        <v>599</v>
      </c>
      <c r="O2559" s="37" t="str">
        <f t="shared" si="198"/>
        <v>Digital Payment</v>
      </c>
      <c r="P2559">
        <v>357.76</v>
      </c>
      <c r="Q2559" s="37" t="str">
        <f>IF(P2559&gt;500,"High","low")</f>
        <v>low</v>
      </c>
      <c r="R2559" s="37" t="str">
        <f t="shared" si="199"/>
        <v>AVERAGE</v>
      </c>
      <c r="S2559" t="s">
        <v>620</v>
      </c>
    </row>
    <row r="2560" spans="1:19" x14ac:dyDescent="0.2">
      <c r="A2560" t="s">
        <v>3171</v>
      </c>
      <c r="B2560" t="s">
        <v>67</v>
      </c>
      <c r="C2560" t="s">
        <v>607</v>
      </c>
      <c r="D2560">
        <v>2802.19</v>
      </c>
      <c r="E2560" s="37" t="str">
        <f t="shared" si="195"/>
        <v xml:space="preserve"> </v>
      </c>
      <c r="F2560">
        <v>0.15</v>
      </c>
      <c r="G2560" s="37" t="str">
        <f t="shared" si="196"/>
        <v>Normal Discount</v>
      </c>
      <c r="H2560" s="37" t="str">
        <f t="shared" si="197"/>
        <v>Low</v>
      </c>
      <c r="I2560">
        <v>8</v>
      </c>
      <c r="J2560" t="str" cm="1">
        <f t="array" ref="J2560">_xlfn.IFS(I2560&lt;=3,"small",I2560&lt;=6,"Medium",I2560&lt;=9,"Large")</f>
        <v>Large</v>
      </c>
      <c r="K2560" s="36">
        <v>45561</v>
      </c>
      <c r="L2560" s="36">
        <v>45568</v>
      </c>
      <c r="M2560" t="s">
        <v>598</v>
      </c>
      <c r="N2560" t="s">
        <v>599</v>
      </c>
      <c r="O2560" s="37" t="str">
        <f t="shared" si="198"/>
        <v>Digital Payment</v>
      </c>
      <c r="P2560">
        <v>795.85</v>
      </c>
      <c r="Q2560" s="37" t="str">
        <f>IF(P2560&gt;500,"High","low")</f>
        <v>High</v>
      </c>
      <c r="R2560" s="37" t="str">
        <f t="shared" si="199"/>
        <v>Good</v>
      </c>
      <c r="S2560" t="s">
        <v>600</v>
      </c>
    </row>
    <row r="2561" spans="1:19" x14ac:dyDescent="0.2">
      <c r="A2561" t="s">
        <v>3172</v>
      </c>
      <c r="B2561" t="s">
        <v>83</v>
      </c>
      <c r="C2561" t="s">
        <v>617</v>
      </c>
      <c r="D2561">
        <v>990.04</v>
      </c>
      <c r="E2561" s="37" t="str">
        <f t="shared" si="195"/>
        <v xml:space="preserve"> </v>
      </c>
      <c r="F2561">
        <v>0.11</v>
      </c>
      <c r="G2561" s="37" t="str">
        <f t="shared" si="196"/>
        <v>Normal Discount</v>
      </c>
      <c r="H2561" s="37" t="str">
        <f t="shared" si="197"/>
        <v>Low</v>
      </c>
      <c r="I2561">
        <v>7</v>
      </c>
      <c r="J2561" t="str" cm="1">
        <f t="array" ref="J2561">_xlfn.IFS(I2561&lt;=3,"small",I2561&lt;=6,"Medium",I2561&lt;=9,"Large")</f>
        <v>Large</v>
      </c>
      <c r="K2561" s="36">
        <v>45221</v>
      </c>
      <c r="L2561" s="36">
        <v>45224</v>
      </c>
      <c r="M2561" t="s">
        <v>612</v>
      </c>
      <c r="N2561" t="s">
        <v>599</v>
      </c>
      <c r="O2561" s="37" t="str">
        <f t="shared" si="198"/>
        <v>Digital Payment</v>
      </c>
      <c r="P2561">
        <v>183.85</v>
      </c>
      <c r="Q2561" s="37" t="str">
        <f>IF(P2561&gt;500,"High","low")</f>
        <v>low</v>
      </c>
      <c r="R2561" s="37" t="str">
        <f t="shared" si="199"/>
        <v>AVERAGE</v>
      </c>
      <c r="S2561" t="s">
        <v>600</v>
      </c>
    </row>
    <row r="2562" spans="1:19" x14ac:dyDescent="0.2">
      <c r="A2562" t="s">
        <v>3173</v>
      </c>
      <c r="B2562" t="s">
        <v>83</v>
      </c>
      <c r="C2562" t="s">
        <v>617</v>
      </c>
      <c r="D2562">
        <v>2210.71</v>
      </c>
      <c r="E2562" s="37" t="str">
        <f t="shared" si="195"/>
        <v xml:space="preserve"> </v>
      </c>
      <c r="F2562">
        <v>0.11</v>
      </c>
      <c r="G2562" s="37" t="str">
        <f t="shared" si="196"/>
        <v>Normal Discount</v>
      </c>
      <c r="H2562" s="37" t="str">
        <f t="shared" si="197"/>
        <v>Low</v>
      </c>
      <c r="I2562">
        <v>7</v>
      </c>
      <c r="J2562" t="str" cm="1">
        <f t="array" ref="J2562">_xlfn.IFS(I2562&lt;=3,"small",I2562&lt;=6,"Medium",I2562&lt;=9,"Large")</f>
        <v>Large</v>
      </c>
      <c r="K2562" s="36">
        <v>45347</v>
      </c>
      <c r="L2562" s="36">
        <v>45349</v>
      </c>
      <c r="M2562" t="s">
        <v>603</v>
      </c>
      <c r="N2562" t="s">
        <v>604</v>
      </c>
      <c r="O2562" s="37" t="str">
        <f t="shared" si="198"/>
        <v>Digital Payment</v>
      </c>
      <c r="P2562">
        <v>560.42999999999995</v>
      </c>
      <c r="Q2562" s="37" t="str">
        <f>IF(P2562&gt;500,"High","low")</f>
        <v>High</v>
      </c>
      <c r="R2562" s="37" t="str">
        <f t="shared" si="199"/>
        <v>Good</v>
      </c>
      <c r="S2562" t="s">
        <v>605</v>
      </c>
    </row>
    <row r="2563" spans="1:19" x14ac:dyDescent="0.2">
      <c r="A2563" t="s">
        <v>3174</v>
      </c>
      <c r="B2563" t="s">
        <v>67</v>
      </c>
      <c r="C2563" t="s">
        <v>602</v>
      </c>
      <c r="D2563">
        <v>3815.06</v>
      </c>
      <c r="E2563" s="37" t="str">
        <f t="shared" ref="E2563:E2626" si="200">IF(AND(D2563&gt;4000,P2563&gt;800),"Excellent Order"," ")</f>
        <v xml:space="preserve"> </v>
      </c>
      <c r="F2563">
        <v>7.0000000000000007E-2</v>
      </c>
      <c r="G2563" s="37" t="str">
        <f t="shared" ref="G2563:G2626" si="201">IF(F2563&gt;30%,"Heavy Discount","Normal Discount")</f>
        <v>Normal Discount</v>
      </c>
      <c r="H2563" s="37" t="str">
        <f t="shared" ref="H2563:H2626" si="202">IF(F2563&gt;0.4,"High",IF(F2563&gt;=0.2,"Medium","Low"))</f>
        <v>Low</v>
      </c>
      <c r="I2563">
        <v>4</v>
      </c>
      <c r="J2563" t="str" cm="1">
        <f t="array" ref="J2563">_xlfn.IFS(I2563&lt;=3,"small",I2563&lt;=6,"Medium",I2563&lt;=9,"Large")</f>
        <v>Medium</v>
      </c>
      <c r="K2563" s="36">
        <v>45536</v>
      </c>
      <c r="L2563" s="36">
        <v>45542</v>
      </c>
      <c r="M2563" t="s">
        <v>598</v>
      </c>
      <c r="N2563" t="s">
        <v>599</v>
      </c>
      <c r="O2563" s="37" t="str">
        <f t="shared" ref="O2563:O2626" si="203">IF(OR(N2563="Card",N2563="UPI"),"Digital Payment","Cash Payment")</f>
        <v>Digital Payment</v>
      </c>
      <c r="P2563">
        <v>959.5</v>
      </c>
      <c r="Q2563" s="37" t="str">
        <f>IF(P2563&gt;500,"High","low")</f>
        <v>High</v>
      </c>
      <c r="R2563" s="37" t="str">
        <f t="shared" ref="R2563:R2626" si="204">IF(P2563&gt;1000,"Excellent",IF(P2563&gt;=500,"Good","AVERAGE"))</f>
        <v>Good</v>
      </c>
      <c r="S2563" t="s">
        <v>620</v>
      </c>
    </row>
    <row r="2564" spans="1:19" x14ac:dyDescent="0.2">
      <c r="A2564" t="s">
        <v>3175</v>
      </c>
      <c r="B2564" t="s">
        <v>67</v>
      </c>
      <c r="C2564" t="s">
        <v>602</v>
      </c>
      <c r="D2564">
        <v>3460.09</v>
      </c>
      <c r="E2564" s="37" t="str">
        <f t="shared" si="200"/>
        <v xml:space="preserve"> </v>
      </c>
      <c r="F2564">
        <v>0.21</v>
      </c>
      <c r="G2564" s="37" t="str">
        <f t="shared" si="201"/>
        <v>Normal Discount</v>
      </c>
      <c r="H2564" s="37" t="str">
        <f t="shared" si="202"/>
        <v>Medium</v>
      </c>
      <c r="I2564">
        <v>2</v>
      </c>
      <c r="J2564" t="str" cm="1">
        <f t="array" ref="J2564">_xlfn.IFS(I2564&lt;=3,"small",I2564&lt;=6,"Medium",I2564&lt;=9,"Large")</f>
        <v>small</v>
      </c>
      <c r="K2564" s="36">
        <v>44976</v>
      </c>
      <c r="L2564" s="36">
        <v>44980</v>
      </c>
      <c r="M2564" t="s">
        <v>598</v>
      </c>
      <c r="N2564" t="s">
        <v>608</v>
      </c>
      <c r="O2564" s="37" t="str">
        <f t="shared" si="203"/>
        <v>Cash Payment</v>
      </c>
      <c r="P2564">
        <v>650.96</v>
      </c>
      <c r="Q2564" s="37" t="str">
        <f>IF(P2564&gt;500,"High","low")</f>
        <v>High</v>
      </c>
      <c r="R2564" s="37" t="str">
        <f t="shared" si="204"/>
        <v>Good</v>
      </c>
      <c r="S2564" t="s">
        <v>609</v>
      </c>
    </row>
    <row r="2565" spans="1:19" x14ac:dyDescent="0.2">
      <c r="A2565" t="s">
        <v>3176</v>
      </c>
      <c r="B2565" t="s">
        <v>75</v>
      </c>
      <c r="C2565" t="s">
        <v>617</v>
      </c>
      <c r="D2565">
        <v>638.34</v>
      </c>
      <c r="E2565" s="37" t="str">
        <f t="shared" si="200"/>
        <v xml:space="preserve"> </v>
      </c>
      <c r="F2565">
        <v>0.13</v>
      </c>
      <c r="G2565" s="37" t="str">
        <f t="shared" si="201"/>
        <v>Normal Discount</v>
      </c>
      <c r="H2565" s="37" t="str">
        <f t="shared" si="202"/>
        <v>Low</v>
      </c>
      <c r="I2565">
        <v>3</v>
      </c>
      <c r="J2565" t="str" cm="1">
        <f t="array" ref="J2565">_xlfn.IFS(I2565&lt;=3,"small",I2565&lt;=6,"Medium",I2565&lt;=9,"Large")</f>
        <v>small</v>
      </c>
      <c r="K2565" s="36">
        <v>45196</v>
      </c>
      <c r="L2565" s="36">
        <v>45198</v>
      </c>
      <c r="M2565" t="s">
        <v>598</v>
      </c>
      <c r="N2565" t="s">
        <v>608</v>
      </c>
      <c r="O2565" s="37" t="str">
        <f t="shared" si="203"/>
        <v>Cash Payment</v>
      </c>
      <c r="P2565">
        <v>162.16999999999999</v>
      </c>
      <c r="Q2565" s="37" t="str">
        <f>IF(P2565&gt;500,"High","low")</f>
        <v>low</v>
      </c>
      <c r="R2565" s="37" t="str">
        <f t="shared" si="204"/>
        <v>AVERAGE</v>
      </c>
      <c r="S2565" t="s">
        <v>615</v>
      </c>
    </row>
    <row r="2566" spans="1:19" x14ac:dyDescent="0.2">
      <c r="A2566" t="s">
        <v>3177</v>
      </c>
      <c r="B2566" t="s">
        <v>83</v>
      </c>
      <c r="C2566" t="s">
        <v>617</v>
      </c>
      <c r="D2566">
        <v>4848.82</v>
      </c>
      <c r="E2566" s="37" t="str">
        <f t="shared" si="200"/>
        <v>Excellent Order</v>
      </c>
      <c r="F2566">
        <v>0.45</v>
      </c>
      <c r="G2566" s="37" t="str">
        <f t="shared" si="201"/>
        <v>Heavy Discount</v>
      </c>
      <c r="H2566" s="37" t="str">
        <f t="shared" si="202"/>
        <v>High</v>
      </c>
      <c r="I2566">
        <v>9</v>
      </c>
      <c r="J2566" t="str" cm="1">
        <f t="array" ref="J2566">_xlfn.IFS(I2566&lt;=3,"small",I2566&lt;=6,"Medium",I2566&lt;=9,"Large")</f>
        <v>Large</v>
      </c>
      <c r="K2566" s="36">
        <v>45304</v>
      </c>
      <c r="L2566" s="36">
        <v>45311</v>
      </c>
      <c r="M2566" t="s">
        <v>603</v>
      </c>
      <c r="N2566" t="s">
        <v>604</v>
      </c>
      <c r="O2566" s="37" t="str">
        <f t="shared" si="203"/>
        <v>Digital Payment</v>
      </c>
      <c r="P2566">
        <v>1315.09</v>
      </c>
      <c r="Q2566" s="37" t="str">
        <f>IF(P2566&gt;500,"High","low")</f>
        <v>High</v>
      </c>
      <c r="R2566" s="37" t="str">
        <f t="shared" si="204"/>
        <v>Excellent</v>
      </c>
      <c r="S2566" t="s">
        <v>628</v>
      </c>
    </row>
    <row r="2567" spans="1:19" x14ac:dyDescent="0.2">
      <c r="A2567" t="s">
        <v>3178</v>
      </c>
      <c r="B2567" t="s">
        <v>67</v>
      </c>
      <c r="C2567" t="s">
        <v>602</v>
      </c>
      <c r="D2567">
        <v>1194.48</v>
      </c>
      <c r="E2567" s="37" t="str">
        <f t="shared" si="200"/>
        <v xml:space="preserve"> </v>
      </c>
      <c r="F2567">
        <v>0.34</v>
      </c>
      <c r="G2567" s="37" t="str">
        <f t="shared" si="201"/>
        <v>Heavy Discount</v>
      </c>
      <c r="H2567" s="37" t="str">
        <f t="shared" si="202"/>
        <v>Medium</v>
      </c>
      <c r="I2567">
        <v>4</v>
      </c>
      <c r="J2567" t="str" cm="1">
        <f t="array" ref="J2567">_xlfn.IFS(I2567&lt;=3,"small",I2567&lt;=6,"Medium",I2567&lt;=9,"Large")</f>
        <v>Medium</v>
      </c>
      <c r="K2567" s="36">
        <v>45530</v>
      </c>
      <c r="L2567" s="36">
        <v>45533</v>
      </c>
      <c r="M2567" t="s">
        <v>603</v>
      </c>
      <c r="N2567" t="s">
        <v>599</v>
      </c>
      <c r="O2567" s="37" t="str">
        <f t="shared" si="203"/>
        <v>Digital Payment</v>
      </c>
      <c r="P2567">
        <v>302.39</v>
      </c>
      <c r="Q2567" s="37" t="str">
        <f>IF(P2567&gt;500,"High","low")</f>
        <v>low</v>
      </c>
      <c r="R2567" s="37" t="str">
        <f t="shared" si="204"/>
        <v>AVERAGE</v>
      </c>
      <c r="S2567" t="s">
        <v>600</v>
      </c>
    </row>
    <row r="2568" spans="1:19" x14ac:dyDescent="0.2">
      <c r="A2568" t="s">
        <v>3179</v>
      </c>
      <c r="B2568" t="s">
        <v>67</v>
      </c>
      <c r="C2568" t="s">
        <v>607</v>
      </c>
      <c r="D2568">
        <v>1179.9100000000001</v>
      </c>
      <c r="E2568" s="37" t="str">
        <f t="shared" si="200"/>
        <v xml:space="preserve"> </v>
      </c>
      <c r="F2568">
        <v>0.37</v>
      </c>
      <c r="G2568" s="37" t="str">
        <f t="shared" si="201"/>
        <v>Heavy Discount</v>
      </c>
      <c r="H2568" s="37" t="str">
        <f t="shared" si="202"/>
        <v>Medium</v>
      </c>
      <c r="I2568">
        <v>1</v>
      </c>
      <c r="J2568" t="str" cm="1">
        <f t="array" ref="J2568">_xlfn.IFS(I2568&lt;=3,"small",I2568&lt;=6,"Medium",I2568&lt;=9,"Large")</f>
        <v>small</v>
      </c>
      <c r="K2568" s="36">
        <v>45468</v>
      </c>
      <c r="L2568" s="36">
        <v>45475</v>
      </c>
      <c r="M2568" t="s">
        <v>612</v>
      </c>
      <c r="N2568" t="s">
        <v>599</v>
      </c>
      <c r="O2568" s="37" t="str">
        <f t="shared" si="203"/>
        <v>Digital Payment</v>
      </c>
      <c r="P2568">
        <v>245.15</v>
      </c>
      <c r="Q2568" s="37" t="str">
        <f>IF(P2568&gt;500,"High","low")</f>
        <v>low</v>
      </c>
      <c r="R2568" s="37" t="str">
        <f t="shared" si="204"/>
        <v>AVERAGE</v>
      </c>
      <c r="S2568" t="s">
        <v>600</v>
      </c>
    </row>
    <row r="2569" spans="1:19" x14ac:dyDescent="0.2">
      <c r="A2569" t="s">
        <v>3180</v>
      </c>
      <c r="B2569" t="s">
        <v>83</v>
      </c>
      <c r="C2569" t="s">
        <v>614</v>
      </c>
      <c r="D2569">
        <v>2353.3000000000002</v>
      </c>
      <c r="E2569" s="37" t="str">
        <f t="shared" si="200"/>
        <v xml:space="preserve"> </v>
      </c>
      <c r="F2569">
        <v>0.2</v>
      </c>
      <c r="G2569" s="37" t="str">
        <f t="shared" si="201"/>
        <v>Normal Discount</v>
      </c>
      <c r="H2569" s="37" t="str">
        <f t="shared" si="202"/>
        <v>Medium</v>
      </c>
      <c r="I2569">
        <v>4</v>
      </c>
      <c r="J2569" t="str" cm="1">
        <f t="array" ref="J2569">_xlfn.IFS(I2569&lt;=3,"small",I2569&lt;=6,"Medium",I2569&lt;=9,"Large")</f>
        <v>Medium</v>
      </c>
      <c r="K2569" s="36">
        <v>45084</v>
      </c>
      <c r="L2569" s="36">
        <v>45087</v>
      </c>
      <c r="M2569" t="s">
        <v>598</v>
      </c>
      <c r="N2569" t="s">
        <v>608</v>
      </c>
      <c r="O2569" s="37" t="str">
        <f t="shared" si="203"/>
        <v>Cash Payment</v>
      </c>
      <c r="P2569">
        <v>463.37</v>
      </c>
      <c r="Q2569" s="37" t="str">
        <f>IF(P2569&gt;500,"High","low")</f>
        <v>low</v>
      </c>
      <c r="R2569" s="37" t="str">
        <f t="shared" si="204"/>
        <v>AVERAGE</v>
      </c>
      <c r="S2569" t="s">
        <v>609</v>
      </c>
    </row>
    <row r="2570" spans="1:19" x14ac:dyDescent="0.2">
      <c r="A2570" t="s">
        <v>3181</v>
      </c>
      <c r="B2570" t="s">
        <v>67</v>
      </c>
      <c r="C2570" t="s">
        <v>602</v>
      </c>
      <c r="D2570">
        <v>1703.49</v>
      </c>
      <c r="E2570" s="37" t="str">
        <f t="shared" si="200"/>
        <v xml:space="preserve"> </v>
      </c>
      <c r="F2570">
        <v>0.3</v>
      </c>
      <c r="G2570" s="37" t="str">
        <f t="shared" si="201"/>
        <v>Normal Discount</v>
      </c>
      <c r="H2570" s="37" t="str">
        <f t="shared" si="202"/>
        <v>Medium</v>
      </c>
      <c r="I2570">
        <v>8</v>
      </c>
      <c r="J2570" t="str" cm="1">
        <f t="array" ref="J2570">_xlfn.IFS(I2570&lt;=3,"small",I2570&lt;=6,"Medium",I2570&lt;=9,"Large")</f>
        <v>Large</v>
      </c>
      <c r="K2570" s="36">
        <v>45047</v>
      </c>
      <c r="L2570" s="36">
        <v>45049</v>
      </c>
      <c r="M2570" t="s">
        <v>598</v>
      </c>
      <c r="N2570" t="s">
        <v>604</v>
      </c>
      <c r="O2570" s="37" t="str">
        <f t="shared" si="203"/>
        <v>Digital Payment</v>
      </c>
      <c r="P2570">
        <v>282.54000000000002</v>
      </c>
      <c r="Q2570" s="37" t="str">
        <f>IF(P2570&gt;500,"High","low")</f>
        <v>low</v>
      </c>
      <c r="R2570" s="37" t="str">
        <f t="shared" si="204"/>
        <v>AVERAGE</v>
      </c>
      <c r="S2570" t="s">
        <v>609</v>
      </c>
    </row>
    <row r="2571" spans="1:19" x14ac:dyDescent="0.2">
      <c r="A2571" t="s">
        <v>3182</v>
      </c>
      <c r="B2571" t="s">
        <v>75</v>
      </c>
      <c r="C2571" t="s">
        <v>607</v>
      </c>
      <c r="D2571">
        <v>4921.53</v>
      </c>
      <c r="E2571" s="37" t="str">
        <f t="shared" si="200"/>
        <v xml:space="preserve"> </v>
      </c>
      <c r="F2571">
        <v>0.25</v>
      </c>
      <c r="G2571" s="37" t="str">
        <f t="shared" si="201"/>
        <v>Normal Discount</v>
      </c>
      <c r="H2571" s="37" t="str">
        <f t="shared" si="202"/>
        <v>Medium</v>
      </c>
      <c r="I2571">
        <v>8</v>
      </c>
      <c r="J2571" t="str" cm="1">
        <f t="array" ref="J2571">_xlfn.IFS(I2571&lt;=3,"small",I2571&lt;=6,"Medium",I2571&lt;=9,"Large")</f>
        <v>Large</v>
      </c>
      <c r="K2571" s="36">
        <v>45593</v>
      </c>
      <c r="L2571" s="36">
        <v>45595</v>
      </c>
      <c r="M2571" t="s">
        <v>603</v>
      </c>
      <c r="N2571" t="s">
        <v>608</v>
      </c>
      <c r="O2571" s="37" t="str">
        <f t="shared" si="203"/>
        <v>Cash Payment</v>
      </c>
      <c r="P2571">
        <v>345.85</v>
      </c>
      <c r="Q2571" s="37" t="str">
        <f>IF(P2571&gt;500,"High","low")</f>
        <v>low</v>
      </c>
      <c r="R2571" s="37" t="str">
        <f t="shared" si="204"/>
        <v>AVERAGE</v>
      </c>
      <c r="S2571" t="s">
        <v>600</v>
      </c>
    </row>
    <row r="2572" spans="1:19" x14ac:dyDescent="0.2">
      <c r="A2572" t="s">
        <v>3183</v>
      </c>
      <c r="B2572" t="s">
        <v>83</v>
      </c>
      <c r="C2572" t="s">
        <v>607</v>
      </c>
      <c r="D2572">
        <v>474.8</v>
      </c>
      <c r="E2572" s="37" t="str">
        <f t="shared" si="200"/>
        <v xml:space="preserve"> </v>
      </c>
      <c r="F2572">
        <v>0.08</v>
      </c>
      <c r="G2572" s="37" t="str">
        <f t="shared" si="201"/>
        <v>Normal Discount</v>
      </c>
      <c r="H2572" s="37" t="str">
        <f t="shared" si="202"/>
        <v>Low</v>
      </c>
      <c r="I2572">
        <v>2</v>
      </c>
      <c r="J2572" t="str" cm="1">
        <f t="array" ref="J2572">_xlfn.IFS(I2572&lt;=3,"small",I2572&lt;=6,"Medium",I2572&lt;=9,"Large")</f>
        <v>small</v>
      </c>
      <c r="K2572" s="36">
        <v>45504</v>
      </c>
      <c r="L2572" s="36">
        <v>45508</v>
      </c>
      <c r="M2572" t="s">
        <v>598</v>
      </c>
      <c r="N2572" t="s">
        <v>604</v>
      </c>
      <c r="O2572" s="37" t="str">
        <f t="shared" si="203"/>
        <v>Digital Payment</v>
      </c>
      <c r="P2572">
        <v>80.42</v>
      </c>
      <c r="Q2572" s="37" t="str">
        <f>IF(P2572&gt;500,"High","low")</f>
        <v>low</v>
      </c>
      <c r="R2572" s="37" t="str">
        <f t="shared" si="204"/>
        <v>AVERAGE</v>
      </c>
      <c r="S2572" t="s">
        <v>620</v>
      </c>
    </row>
    <row r="2573" spans="1:19" x14ac:dyDescent="0.2">
      <c r="A2573" t="s">
        <v>3184</v>
      </c>
      <c r="B2573" t="s">
        <v>75</v>
      </c>
      <c r="C2573" t="s">
        <v>607</v>
      </c>
      <c r="D2573">
        <v>1601.55</v>
      </c>
      <c r="E2573" s="37" t="str">
        <f t="shared" si="200"/>
        <v xml:space="preserve"> </v>
      </c>
      <c r="F2573">
        <v>0.02</v>
      </c>
      <c r="G2573" s="37" t="str">
        <f t="shared" si="201"/>
        <v>Normal Discount</v>
      </c>
      <c r="H2573" s="37" t="str">
        <f t="shared" si="202"/>
        <v>Low</v>
      </c>
      <c r="I2573">
        <v>4</v>
      </c>
      <c r="J2573" t="str" cm="1">
        <f t="array" ref="J2573">_xlfn.IFS(I2573&lt;=3,"small",I2573&lt;=6,"Medium",I2573&lt;=9,"Large")</f>
        <v>Medium</v>
      </c>
      <c r="K2573" s="36">
        <v>45027</v>
      </c>
      <c r="L2573" s="36">
        <v>45029</v>
      </c>
      <c r="M2573" t="s">
        <v>598</v>
      </c>
      <c r="N2573" t="s">
        <v>608</v>
      </c>
      <c r="O2573" s="37" t="str">
        <f t="shared" si="203"/>
        <v>Cash Payment</v>
      </c>
      <c r="P2573">
        <v>332.09</v>
      </c>
      <c r="Q2573" s="37" t="str">
        <f>IF(P2573&gt;500,"High","low")</f>
        <v>low</v>
      </c>
      <c r="R2573" s="37" t="str">
        <f t="shared" si="204"/>
        <v>AVERAGE</v>
      </c>
      <c r="S2573" t="s">
        <v>620</v>
      </c>
    </row>
    <row r="2574" spans="1:19" x14ac:dyDescent="0.2">
      <c r="A2574" t="s">
        <v>3185</v>
      </c>
      <c r="B2574" t="s">
        <v>75</v>
      </c>
      <c r="C2574" t="s">
        <v>597</v>
      </c>
      <c r="D2574">
        <v>1975.34</v>
      </c>
      <c r="E2574" s="37" t="str">
        <f t="shared" si="200"/>
        <v xml:space="preserve"> </v>
      </c>
      <c r="F2574">
        <v>0.34</v>
      </c>
      <c r="G2574" s="37" t="str">
        <f t="shared" si="201"/>
        <v>Heavy Discount</v>
      </c>
      <c r="H2574" s="37" t="str">
        <f t="shared" si="202"/>
        <v>Medium</v>
      </c>
      <c r="I2574">
        <v>7</v>
      </c>
      <c r="J2574" t="str" cm="1">
        <f t="array" ref="J2574">_xlfn.IFS(I2574&lt;=3,"small",I2574&lt;=6,"Medium",I2574&lt;=9,"Large")</f>
        <v>Large</v>
      </c>
      <c r="K2574" s="36">
        <v>45259</v>
      </c>
      <c r="L2574" s="36">
        <v>45262</v>
      </c>
      <c r="M2574" t="s">
        <v>603</v>
      </c>
      <c r="N2574" t="s">
        <v>604</v>
      </c>
      <c r="O2574" s="37" t="str">
        <f t="shared" si="203"/>
        <v>Digital Payment</v>
      </c>
      <c r="P2574">
        <v>322.20999999999998</v>
      </c>
      <c r="Q2574" s="37" t="str">
        <f>IF(P2574&gt;500,"High","low")</f>
        <v>low</v>
      </c>
      <c r="R2574" s="37" t="str">
        <f t="shared" si="204"/>
        <v>AVERAGE</v>
      </c>
      <c r="S2574" t="s">
        <v>628</v>
      </c>
    </row>
    <row r="2575" spans="1:19" x14ac:dyDescent="0.2">
      <c r="A2575" t="s">
        <v>3186</v>
      </c>
      <c r="B2575" t="s">
        <v>75</v>
      </c>
      <c r="C2575" t="s">
        <v>597</v>
      </c>
      <c r="D2575">
        <v>2517.9499999999998</v>
      </c>
      <c r="E2575" s="37" t="str">
        <f t="shared" si="200"/>
        <v xml:space="preserve"> </v>
      </c>
      <c r="F2575">
        <v>0.06</v>
      </c>
      <c r="G2575" s="37" t="str">
        <f t="shared" si="201"/>
        <v>Normal Discount</v>
      </c>
      <c r="H2575" s="37" t="str">
        <f t="shared" si="202"/>
        <v>Low</v>
      </c>
      <c r="I2575">
        <v>8</v>
      </c>
      <c r="J2575" t="str" cm="1">
        <f t="array" ref="J2575">_xlfn.IFS(I2575&lt;=3,"small",I2575&lt;=6,"Medium",I2575&lt;=9,"Large")</f>
        <v>Large</v>
      </c>
      <c r="K2575" s="36">
        <v>45221</v>
      </c>
      <c r="L2575" s="36">
        <v>45227</v>
      </c>
      <c r="M2575" t="s">
        <v>612</v>
      </c>
      <c r="N2575" t="s">
        <v>599</v>
      </c>
      <c r="O2575" s="37" t="str">
        <f t="shared" si="203"/>
        <v>Digital Payment</v>
      </c>
      <c r="P2575">
        <v>389.37</v>
      </c>
      <c r="Q2575" s="37" t="str">
        <f>IF(P2575&gt;500,"High","low")</f>
        <v>low</v>
      </c>
      <c r="R2575" s="37" t="str">
        <f t="shared" si="204"/>
        <v>AVERAGE</v>
      </c>
      <c r="S2575" t="s">
        <v>615</v>
      </c>
    </row>
    <row r="2576" spans="1:19" x14ac:dyDescent="0.2">
      <c r="A2576" t="s">
        <v>3187</v>
      </c>
      <c r="B2576" t="s">
        <v>75</v>
      </c>
      <c r="C2576" t="s">
        <v>607</v>
      </c>
      <c r="D2576">
        <v>180.39</v>
      </c>
      <c r="E2576" s="37" t="str">
        <f t="shared" si="200"/>
        <v xml:space="preserve"> </v>
      </c>
      <c r="F2576">
        <v>0.03</v>
      </c>
      <c r="G2576" s="37" t="str">
        <f t="shared" si="201"/>
        <v>Normal Discount</v>
      </c>
      <c r="H2576" s="37" t="str">
        <f t="shared" si="202"/>
        <v>Low</v>
      </c>
      <c r="I2576">
        <v>1</v>
      </c>
      <c r="J2576" t="str" cm="1">
        <f t="array" ref="J2576">_xlfn.IFS(I2576&lt;=3,"small",I2576&lt;=6,"Medium",I2576&lt;=9,"Large")</f>
        <v>small</v>
      </c>
      <c r="K2576" s="36">
        <v>45352</v>
      </c>
      <c r="L2576" s="36">
        <v>45359</v>
      </c>
      <c r="M2576" t="s">
        <v>598</v>
      </c>
      <c r="N2576" t="s">
        <v>599</v>
      </c>
      <c r="O2576" s="37" t="str">
        <f t="shared" si="203"/>
        <v>Digital Payment</v>
      </c>
      <c r="P2576">
        <v>19.670000000000002</v>
      </c>
      <c r="Q2576" s="37" t="str">
        <f>IF(P2576&gt;500,"High","low")</f>
        <v>low</v>
      </c>
      <c r="R2576" s="37" t="str">
        <f t="shared" si="204"/>
        <v>AVERAGE</v>
      </c>
      <c r="S2576" t="s">
        <v>609</v>
      </c>
    </row>
    <row r="2577" spans="1:19" x14ac:dyDescent="0.2">
      <c r="A2577" t="s">
        <v>3188</v>
      </c>
      <c r="B2577" t="s">
        <v>83</v>
      </c>
      <c r="C2577" t="s">
        <v>617</v>
      </c>
      <c r="D2577">
        <v>503.57</v>
      </c>
      <c r="E2577" s="37" t="str">
        <f t="shared" si="200"/>
        <v xml:space="preserve"> </v>
      </c>
      <c r="F2577">
        <v>0.22</v>
      </c>
      <c r="G2577" s="37" t="str">
        <f t="shared" si="201"/>
        <v>Normal Discount</v>
      </c>
      <c r="H2577" s="37" t="str">
        <f t="shared" si="202"/>
        <v>Medium</v>
      </c>
      <c r="I2577">
        <v>8</v>
      </c>
      <c r="J2577" t="str" cm="1">
        <f t="array" ref="J2577">_xlfn.IFS(I2577&lt;=3,"small",I2577&lt;=6,"Medium",I2577&lt;=9,"Large")</f>
        <v>Large</v>
      </c>
      <c r="K2577" s="36">
        <v>45010</v>
      </c>
      <c r="L2577" s="36">
        <v>45016</v>
      </c>
      <c r="M2577" t="s">
        <v>612</v>
      </c>
      <c r="N2577" t="s">
        <v>604</v>
      </c>
      <c r="O2577" s="37" t="str">
        <f t="shared" si="203"/>
        <v>Digital Payment</v>
      </c>
      <c r="P2577">
        <v>71.260000000000005</v>
      </c>
      <c r="Q2577" s="37" t="str">
        <f>IF(P2577&gt;500,"High","low")</f>
        <v>low</v>
      </c>
      <c r="R2577" s="37" t="str">
        <f t="shared" si="204"/>
        <v>AVERAGE</v>
      </c>
      <c r="S2577" t="s">
        <v>600</v>
      </c>
    </row>
    <row r="2578" spans="1:19" x14ac:dyDescent="0.2">
      <c r="A2578" t="s">
        <v>3189</v>
      </c>
      <c r="B2578" t="s">
        <v>75</v>
      </c>
      <c r="C2578" t="s">
        <v>597</v>
      </c>
      <c r="D2578">
        <v>1363.27</v>
      </c>
      <c r="E2578" s="37" t="str">
        <f t="shared" si="200"/>
        <v xml:space="preserve"> </v>
      </c>
      <c r="F2578">
        <v>0.37</v>
      </c>
      <c r="G2578" s="37" t="str">
        <f t="shared" si="201"/>
        <v>Heavy Discount</v>
      </c>
      <c r="H2578" s="37" t="str">
        <f t="shared" si="202"/>
        <v>Medium</v>
      </c>
      <c r="I2578">
        <v>1</v>
      </c>
      <c r="J2578" t="str" cm="1">
        <f t="array" ref="J2578">_xlfn.IFS(I2578&lt;=3,"small",I2578&lt;=6,"Medium",I2578&lt;=9,"Large")</f>
        <v>small</v>
      </c>
      <c r="K2578" s="36">
        <v>44981</v>
      </c>
      <c r="L2578" s="36">
        <v>44983</v>
      </c>
      <c r="M2578" t="s">
        <v>612</v>
      </c>
      <c r="N2578" t="s">
        <v>604</v>
      </c>
      <c r="O2578" s="37" t="str">
        <f t="shared" si="203"/>
        <v>Digital Payment</v>
      </c>
      <c r="P2578">
        <v>137.69999999999999</v>
      </c>
      <c r="Q2578" s="37" t="str">
        <f>IF(P2578&gt;500,"High","low")</f>
        <v>low</v>
      </c>
      <c r="R2578" s="37" t="str">
        <f t="shared" si="204"/>
        <v>AVERAGE</v>
      </c>
      <c r="S2578" t="s">
        <v>605</v>
      </c>
    </row>
    <row r="2579" spans="1:19" x14ac:dyDescent="0.2">
      <c r="A2579" t="s">
        <v>3190</v>
      </c>
      <c r="B2579" t="s">
        <v>75</v>
      </c>
      <c r="C2579" t="s">
        <v>602</v>
      </c>
      <c r="D2579">
        <v>2814.61</v>
      </c>
      <c r="E2579" s="37" t="str">
        <f t="shared" si="200"/>
        <v xml:space="preserve"> </v>
      </c>
      <c r="F2579">
        <v>0.38</v>
      </c>
      <c r="G2579" s="37" t="str">
        <f t="shared" si="201"/>
        <v>Heavy Discount</v>
      </c>
      <c r="H2579" s="37" t="str">
        <f t="shared" si="202"/>
        <v>Medium</v>
      </c>
      <c r="I2579">
        <v>6</v>
      </c>
      <c r="J2579" t="str" cm="1">
        <f t="array" ref="J2579">_xlfn.IFS(I2579&lt;=3,"small",I2579&lt;=6,"Medium",I2579&lt;=9,"Large")</f>
        <v>Medium</v>
      </c>
      <c r="K2579" s="36">
        <v>45168</v>
      </c>
      <c r="L2579" s="36">
        <v>45169</v>
      </c>
      <c r="M2579" t="s">
        <v>603</v>
      </c>
      <c r="N2579" t="s">
        <v>604</v>
      </c>
      <c r="O2579" s="37" t="str">
        <f t="shared" si="203"/>
        <v>Digital Payment</v>
      </c>
      <c r="P2579">
        <v>195.55</v>
      </c>
      <c r="Q2579" s="37" t="str">
        <f>IF(P2579&gt;500,"High","low")</f>
        <v>low</v>
      </c>
      <c r="R2579" s="37" t="str">
        <f t="shared" si="204"/>
        <v>AVERAGE</v>
      </c>
      <c r="S2579" t="s">
        <v>605</v>
      </c>
    </row>
    <row r="2580" spans="1:19" x14ac:dyDescent="0.2">
      <c r="A2580" t="s">
        <v>3191</v>
      </c>
      <c r="B2580" t="s">
        <v>67</v>
      </c>
      <c r="C2580" t="s">
        <v>597</v>
      </c>
      <c r="D2580">
        <v>3862.08</v>
      </c>
      <c r="E2580" s="37" t="str">
        <f t="shared" si="200"/>
        <v xml:space="preserve"> </v>
      </c>
      <c r="F2580">
        <v>0.44</v>
      </c>
      <c r="G2580" s="37" t="str">
        <f t="shared" si="201"/>
        <v>Heavy Discount</v>
      </c>
      <c r="H2580" s="37" t="str">
        <f t="shared" si="202"/>
        <v>High</v>
      </c>
      <c r="I2580">
        <v>5</v>
      </c>
      <c r="J2580" t="str" cm="1">
        <f t="array" ref="J2580">_xlfn.IFS(I2580&lt;=3,"small",I2580&lt;=6,"Medium",I2580&lt;=9,"Large")</f>
        <v>Medium</v>
      </c>
      <c r="K2580" s="36">
        <v>45072</v>
      </c>
      <c r="L2580" s="36">
        <v>45075</v>
      </c>
      <c r="M2580" t="s">
        <v>603</v>
      </c>
      <c r="N2580" t="s">
        <v>604</v>
      </c>
      <c r="O2580" s="37" t="str">
        <f t="shared" si="203"/>
        <v>Digital Payment</v>
      </c>
      <c r="P2580">
        <v>892.36</v>
      </c>
      <c r="Q2580" s="37" t="str">
        <f>IF(P2580&gt;500,"High","low")</f>
        <v>High</v>
      </c>
      <c r="R2580" s="37" t="str">
        <f t="shared" si="204"/>
        <v>Good</v>
      </c>
      <c r="S2580" t="s">
        <v>628</v>
      </c>
    </row>
    <row r="2581" spans="1:19" x14ac:dyDescent="0.2">
      <c r="A2581" t="s">
        <v>3192</v>
      </c>
      <c r="B2581" t="s">
        <v>83</v>
      </c>
      <c r="C2581" t="s">
        <v>617</v>
      </c>
      <c r="D2581">
        <v>3463.83</v>
      </c>
      <c r="E2581" s="37" t="str">
        <f t="shared" si="200"/>
        <v xml:space="preserve"> </v>
      </c>
      <c r="F2581">
        <v>0.1</v>
      </c>
      <c r="G2581" s="37" t="str">
        <f t="shared" si="201"/>
        <v>Normal Discount</v>
      </c>
      <c r="H2581" s="37" t="str">
        <f t="shared" si="202"/>
        <v>Low</v>
      </c>
      <c r="I2581">
        <v>7</v>
      </c>
      <c r="J2581" t="str" cm="1">
        <f t="array" ref="J2581">_xlfn.IFS(I2581&lt;=3,"small",I2581&lt;=6,"Medium",I2581&lt;=9,"Large")</f>
        <v>Large</v>
      </c>
      <c r="K2581" s="36">
        <v>45600</v>
      </c>
      <c r="L2581" s="36">
        <v>45603</v>
      </c>
      <c r="M2581" t="s">
        <v>603</v>
      </c>
      <c r="N2581" t="s">
        <v>604</v>
      </c>
      <c r="O2581" s="37" t="str">
        <f t="shared" si="203"/>
        <v>Digital Payment</v>
      </c>
      <c r="P2581">
        <v>779.14</v>
      </c>
      <c r="Q2581" s="37" t="str">
        <f>IF(P2581&gt;500,"High","low")</f>
        <v>High</v>
      </c>
      <c r="R2581" s="37" t="str">
        <f t="shared" si="204"/>
        <v>Good</v>
      </c>
      <c r="S2581" t="s">
        <v>628</v>
      </c>
    </row>
    <row r="2582" spans="1:19" x14ac:dyDescent="0.2">
      <c r="A2582" t="s">
        <v>3193</v>
      </c>
      <c r="B2582" t="s">
        <v>83</v>
      </c>
      <c r="C2582" t="s">
        <v>614</v>
      </c>
      <c r="D2582">
        <v>2878.42</v>
      </c>
      <c r="E2582" s="37" t="str">
        <f t="shared" si="200"/>
        <v xml:space="preserve"> </v>
      </c>
      <c r="F2582">
        <v>0.49</v>
      </c>
      <c r="G2582" s="37" t="str">
        <f t="shared" si="201"/>
        <v>Heavy Discount</v>
      </c>
      <c r="H2582" s="37" t="str">
        <f t="shared" si="202"/>
        <v>High</v>
      </c>
      <c r="I2582">
        <v>6</v>
      </c>
      <c r="J2582" t="str" cm="1">
        <f t="array" ref="J2582">_xlfn.IFS(I2582&lt;=3,"small",I2582&lt;=6,"Medium",I2582&lt;=9,"Large")</f>
        <v>Medium</v>
      </c>
      <c r="K2582" s="36">
        <v>45623</v>
      </c>
      <c r="L2582" s="36">
        <v>45627</v>
      </c>
      <c r="M2582" t="s">
        <v>603</v>
      </c>
      <c r="N2582" t="s">
        <v>608</v>
      </c>
      <c r="O2582" s="37" t="str">
        <f t="shared" si="203"/>
        <v>Cash Payment</v>
      </c>
      <c r="P2582">
        <v>516.23</v>
      </c>
      <c r="Q2582" s="37" t="str">
        <f>IF(P2582&gt;500,"High","low")</f>
        <v>High</v>
      </c>
      <c r="R2582" s="37" t="str">
        <f t="shared" si="204"/>
        <v>Good</v>
      </c>
      <c r="S2582" t="s">
        <v>615</v>
      </c>
    </row>
    <row r="2583" spans="1:19" x14ac:dyDescent="0.2">
      <c r="A2583" t="s">
        <v>3194</v>
      </c>
      <c r="B2583" t="s">
        <v>90</v>
      </c>
      <c r="C2583" t="s">
        <v>597</v>
      </c>
      <c r="D2583">
        <v>2046.44</v>
      </c>
      <c r="E2583" s="37" t="str">
        <f t="shared" si="200"/>
        <v xml:space="preserve"> </v>
      </c>
      <c r="F2583">
        <v>0.38</v>
      </c>
      <c r="G2583" s="37" t="str">
        <f t="shared" si="201"/>
        <v>Heavy Discount</v>
      </c>
      <c r="H2583" s="37" t="str">
        <f t="shared" si="202"/>
        <v>Medium</v>
      </c>
      <c r="I2583">
        <v>1</v>
      </c>
      <c r="J2583" t="str" cm="1">
        <f t="array" ref="J2583">_xlfn.IFS(I2583&lt;=3,"small",I2583&lt;=6,"Medium",I2583&lt;=9,"Large")</f>
        <v>small</v>
      </c>
      <c r="K2583" s="36">
        <v>45294</v>
      </c>
      <c r="L2583" s="36">
        <v>45298</v>
      </c>
      <c r="M2583" t="s">
        <v>603</v>
      </c>
      <c r="N2583" t="s">
        <v>604</v>
      </c>
      <c r="O2583" s="37" t="str">
        <f t="shared" si="203"/>
        <v>Digital Payment</v>
      </c>
      <c r="P2583">
        <v>142.79</v>
      </c>
      <c r="Q2583" s="37" t="str">
        <f>IF(P2583&gt;500,"High","low")</f>
        <v>low</v>
      </c>
      <c r="R2583" s="37" t="str">
        <f t="shared" si="204"/>
        <v>AVERAGE</v>
      </c>
      <c r="S2583" t="s">
        <v>609</v>
      </c>
    </row>
    <row r="2584" spans="1:19" x14ac:dyDescent="0.2">
      <c r="A2584" t="s">
        <v>3195</v>
      </c>
      <c r="B2584" t="s">
        <v>83</v>
      </c>
      <c r="C2584" t="s">
        <v>607</v>
      </c>
      <c r="D2584">
        <v>4366.3999999999996</v>
      </c>
      <c r="E2584" s="37" t="str">
        <f t="shared" si="200"/>
        <v>Excellent Order</v>
      </c>
      <c r="F2584">
        <v>0.08</v>
      </c>
      <c r="G2584" s="37" t="str">
        <f t="shared" si="201"/>
        <v>Normal Discount</v>
      </c>
      <c r="H2584" s="37" t="str">
        <f t="shared" si="202"/>
        <v>Low</v>
      </c>
      <c r="I2584">
        <v>6</v>
      </c>
      <c r="J2584" t="str" cm="1">
        <f t="array" ref="J2584">_xlfn.IFS(I2584&lt;=3,"small",I2584&lt;=6,"Medium",I2584&lt;=9,"Large")</f>
        <v>Medium</v>
      </c>
      <c r="K2584" s="36">
        <v>45099</v>
      </c>
      <c r="L2584" s="36">
        <v>45104</v>
      </c>
      <c r="M2584" t="s">
        <v>612</v>
      </c>
      <c r="N2584" t="s">
        <v>599</v>
      </c>
      <c r="O2584" s="37" t="str">
        <f t="shared" si="203"/>
        <v>Digital Payment</v>
      </c>
      <c r="P2584">
        <v>891.27</v>
      </c>
      <c r="Q2584" s="37" t="str">
        <f>IF(P2584&gt;500,"High","low")</f>
        <v>High</v>
      </c>
      <c r="R2584" s="37" t="str">
        <f t="shared" si="204"/>
        <v>Good</v>
      </c>
      <c r="S2584" t="s">
        <v>620</v>
      </c>
    </row>
    <row r="2585" spans="1:19" x14ac:dyDescent="0.2">
      <c r="A2585" t="s">
        <v>3196</v>
      </c>
      <c r="B2585" t="s">
        <v>83</v>
      </c>
      <c r="C2585" t="s">
        <v>607</v>
      </c>
      <c r="D2585">
        <v>2352.89</v>
      </c>
      <c r="E2585" s="37" t="str">
        <f t="shared" si="200"/>
        <v xml:space="preserve"> </v>
      </c>
      <c r="F2585">
        <v>0.42</v>
      </c>
      <c r="G2585" s="37" t="str">
        <f t="shared" si="201"/>
        <v>Heavy Discount</v>
      </c>
      <c r="H2585" s="37" t="str">
        <f t="shared" si="202"/>
        <v>High</v>
      </c>
      <c r="I2585">
        <v>3</v>
      </c>
      <c r="J2585" t="str" cm="1">
        <f t="array" ref="J2585">_xlfn.IFS(I2585&lt;=3,"small",I2585&lt;=6,"Medium",I2585&lt;=9,"Large")</f>
        <v>small</v>
      </c>
      <c r="K2585" s="36">
        <v>45519</v>
      </c>
      <c r="L2585" s="36">
        <v>45523</v>
      </c>
      <c r="M2585" t="s">
        <v>612</v>
      </c>
      <c r="N2585" t="s">
        <v>604</v>
      </c>
      <c r="O2585" s="37" t="str">
        <f t="shared" si="203"/>
        <v>Digital Payment</v>
      </c>
      <c r="P2585">
        <v>281.79000000000002</v>
      </c>
      <c r="Q2585" s="37" t="str">
        <f>IF(P2585&gt;500,"High","low")</f>
        <v>low</v>
      </c>
      <c r="R2585" s="37" t="str">
        <f t="shared" si="204"/>
        <v>AVERAGE</v>
      </c>
      <c r="S2585" t="s">
        <v>620</v>
      </c>
    </row>
    <row r="2586" spans="1:19" x14ac:dyDescent="0.2">
      <c r="A2586" t="s">
        <v>3197</v>
      </c>
      <c r="B2586" t="s">
        <v>90</v>
      </c>
      <c r="C2586" t="s">
        <v>607</v>
      </c>
      <c r="D2586">
        <v>1566.34</v>
      </c>
      <c r="E2586" s="37" t="str">
        <f t="shared" si="200"/>
        <v xml:space="preserve"> </v>
      </c>
      <c r="F2586">
        <v>0.25</v>
      </c>
      <c r="G2586" s="37" t="str">
        <f t="shared" si="201"/>
        <v>Normal Discount</v>
      </c>
      <c r="H2586" s="37" t="str">
        <f t="shared" si="202"/>
        <v>Medium</v>
      </c>
      <c r="I2586">
        <v>6</v>
      </c>
      <c r="J2586" t="str" cm="1">
        <f t="array" ref="J2586">_xlfn.IFS(I2586&lt;=3,"small",I2586&lt;=6,"Medium",I2586&lt;=9,"Large")</f>
        <v>Medium</v>
      </c>
      <c r="K2586" s="36">
        <v>44957</v>
      </c>
      <c r="L2586" s="36">
        <v>44958</v>
      </c>
      <c r="M2586" t="s">
        <v>612</v>
      </c>
      <c r="N2586" t="s">
        <v>599</v>
      </c>
      <c r="O2586" s="37" t="str">
        <f t="shared" si="203"/>
        <v>Digital Payment</v>
      </c>
      <c r="P2586">
        <v>450.02</v>
      </c>
      <c r="Q2586" s="37" t="str">
        <f>IF(P2586&gt;500,"High","low")</f>
        <v>low</v>
      </c>
      <c r="R2586" s="37" t="str">
        <f t="shared" si="204"/>
        <v>AVERAGE</v>
      </c>
      <c r="S2586" t="s">
        <v>609</v>
      </c>
    </row>
    <row r="2587" spans="1:19" x14ac:dyDescent="0.2">
      <c r="A2587" t="s">
        <v>3198</v>
      </c>
      <c r="B2587" t="s">
        <v>83</v>
      </c>
      <c r="C2587" t="s">
        <v>614</v>
      </c>
      <c r="D2587">
        <v>3183.74</v>
      </c>
      <c r="E2587" s="37" t="str">
        <f t="shared" si="200"/>
        <v xml:space="preserve"> </v>
      </c>
      <c r="F2587">
        <v>0.03</v>
      </c>
      <c r="G2587" s="37" t="str">
        <f t="shared" si="201"/>
        <v>Normal Discount</v>
      </c>
      <c r="H2587" s="37" t="str">
        <f t="shared" si="202"/>
        <v>Low</v>
      </c>
      <c r="I2587">
        <v>7</v>
      </c>
      <c r="J2587" t="str" cm="1">
        <f t="array" ref="J2587">_xlfn.IFS(I2587&lt;=3,"small",I2587&lt;=6,"Medium",I2587&lt;=9,"Large")</f>
        <v>Large</v>
      </c>
      <c r="K2587" s="36">
        <v>45319</v>
      </c>
      <c r="L2587" s="36">
        <v>45323</v>
      </c>
      <c r="M2587" t="s">
        <v>603</v>
      </c>
      <c r="N2587" t="s">
        <v>599</v>
      </c>
      <c r="O2587" s="37" t="str">
        <f t="shared" si="203"/>
        <v>Digital Payment</v>
      </c>
      <c r="P2587">
        <v>197.64</v>
      </c>
      <c r="Q2587" s="37" t="str">
        <f>IF(P2587&gt;500,"High","low")</f>
        <v>low</v>
      </c>
      <c r="R2587" s="37" t="str">
        <f t="shared" si="204"/>
        <v>AVERAGE</v>
      </c>
      <c r="S2587" t="s">
        <v>628</v>
      </c>
    </row>
    <row r="2588" spans="1:19" x14ac:dyDescent="0.2">
      <c r="A2588" t="s">
        <v>3199</v>
      </c>
      <c r="B2588" t="s">
        <v>83</v>
      </c>
      <c r="C2588" t="s">
        <v>617</v>
      </c>
      <c r="D2588">
        <v>3491.36</v>
      </c>
      <c r="E2588" s="37" t="str">
        <f t="shared" si="200"/>
        <v xml:space="preserve"> </v>
      </c>
      <c r="F2588">
        <v>7.0000000000000007E-2</v>
      </c>
      <c r="G2588" s="37" t="str">
        <f t="shared" si="201"/>
        <v>Normal Discount</v>
      </c>
      <c r="H2588" s="37" t="str">
        <f t="shared" si="202"/>
        <v>Low</v>
      </c>
      <c r="I2588">
        <v>6</v>
      </c>
      <c r="J2588" t="str" cm="1">
        <f t="array" ref="J2588">_xlfn.IFS(I2588&lt;=3,"small",I2588&lt;=6,"Medium",I2588&lt;=9,"Large")</f>
        <v>Medium</v>
      </c>
      <c r="K2588" s="36">
        <v>45335</v>
      </c>
      <c r="L2588" s="36">
        <v>45342</v>
      </c>
      <c r="M2588" t="s">
        <v>603</v>
      </c>
      <c r="N2588" t="s">
        <v>608</v>
      </c>
      <c r="O2588" s="37" t="str">
        <f t="shared" si="203"/>
        <v>Cash Payment</v>
      </c>
      <c r="P2588">
        <v>177.1</v>
      </c>
      <c r="Q2588" s="37" t="str">
        <f>IF(P2588&gt;500,"High","low")</f>
        <v>low</v>
      </c>
      <c r="R2588" s="37" t="str">
        <f t="shared" si="204"/>
        <v>AVERAGE</v>
      </c>
      <c r="S2588" t="s">
        <v>628</v>
      </c>
    </row>
    <row r="2589" spans="1:19" x14ac:dyDescent="0.2">
      <c r="A2589" t="s">
        <v>3200</v>
      </c>
      <c r="B2589" t="s">
        <v>83</v>
      </c>
      <c r="C2589" t="s">
        <v>602</v>
      </c>
      <c r="D2589">
        <v>2052.5</v>
      </c>
      <c r="E2589" s="37" t="str">
        <f t="shared" si="200"/>
        <v xml:space="preserve"> </v>
      </c>
      <c r="F2589">
        <v>0.22</v>
      </c>
      <c r="G2589" s="37" t="str">
        <f t="shared" si="201"/>
        <v>Normal Discount</v>
      </c>
      <c r="H2589" s="37" t="str">
        <f t="shared" si="202"/>
        <v>Medium</v>
      </c>
      <c r="I2589">
        <v>9</v>
      </c>
      <c r="J2589" t="str" cm="1">
        <f t="array" ref="J2589">_xlfn.IFS(I2589&lt;=3,"small",I2589&lt;=6,"Medium",I2589&lt;=9,"Large")</f>
        <v>Large</v>
      </c>
      <c r="K2589" s="36">
        <v>45605</v>
      </c>
      <c r="L2589" s="36">
        <v>45610</v>
      </c>
      <c r="M2589" t="s">
        <v>598</v>
      </c>
      <c r="N2589" t="s">
        <v>599</v>
      </c>
      <c r="O2589" s="37" t="str">
        <f t="shared" si="203"/>
        <v>Digital Payment</v>
      </c>
      <c r="P2589">
        <v>529.80999999999995</v>
      </c>
      <c r="Q2589" s="37" t="str">
        <f>IF(P2589&gt;500,"High","low")</f>
        <v>High</v>
      </c>
      <c r="R2589" s="37" t="str">
        <f t="shared" si="204"/>
        <v>Good</v>
      </c>
      <c r="S2589" t="s">
        <v>628</v>
      </c>
    </row>
    <row r="2590" spans="1:19" x14ac:dyDescent="0.2">
      <c r="A2590" t="s">
        <v>3201</v>
      </c>
      <c r="B2590" t="s">
        <v>83</v>
      </c>
      <c r="C2590" t="s">
        <v>617</v>
      </c>
      <c r="D2590">
        <v>237.9</v>
      </c>
      <c r="E2590" s="37" t="str">
        <f t="shared" si="200"/>
        <v xml:space="preserve"> </v>
      </c>
      <c r="F2590">
        <v>0.27</v>
      </c>
      <c r="G2590" s="37" t="str">
        <f t="shared" si="201"/>
        <v>Normal Discount</v>
      </c>
      <c r="H2590" s="37" t="str">
        <f t="shared" si="202"/>
        <v>Medium</v>
      </c>
      <c r="I2590">
        <v>9</v>
      </c>
      <c r="J2590" t="str" cm="1">
        <f t="array" ref="J2590">_xlfn.IFS(I2590&lt;=3,"small",I2590&lt;=6,"Medium",I2590&lt;=9,"Large")</f>
        <v>Large</v>
      </c>
      <c r="K2590" s="36">
        <v>45187</v>
      </c>
      <c r="L2590" s="36">
        <v>45190</v>
      </c>
      <c r="M2590" t="s">
        <v>598</v>
      </c>
      <c r="N2590" t="s">
        <v>604</v>
      </c>
      <c r="O2590" s="37" t="str">
        <f t="shared" si="203"/>
        <v>Digital Payment</v>
      </c>
      <c r="P2590">
        <v>25.69</v>
      </c>
      <c r="Q2590" s="37" t="str">
        <f>IF(P2590&gt;500,"High","low")</f>
        <v>low</v>
      </c>
      <c r="R2590" s="37" t="str">
        <f t="shared" si="204"/>
        <v>AVERAGE</v>
      </c>
      <c r="S2590" t="s">
        <v>600</v>
      </c>
    </row>
    <row r="2591" spans="1:19" x14ac:dyDescent="0.2">
      <c r="A2591" t="s">
        <v>3202</v>
      </c>
      <c r="B2591" t="s">
        <v>90</v>
      </c>
      <c r="C2591" t="s">
        <v>614</v>
      </c>
      <c r="D2591">
        <v>561.24</v>
      </c>
      <c r="E2591" s="37" t="str">
        <f t="shared" si="200"/>
        <v xml:space="preserve"> </v>
      </c>
      <c r="F2591">
        <v>0.47</v>
      </c>
      <c r="G2591" s="37" t="str">
        <f t="shared" si="201"/>
        <v>Heavy Discount</v>
      </c>
      <c r="H2591" s="37" t="str">
        <f t="shared" si="202"/>
        <v>High</v>
      </c>
      <c r="I2591">
        <v>8</v>
      </c>
      <c r="J2591" t="str" cm="1">
        <f t="array" ref="J2591">_xlfn.IFS(I2591&lt;=3,"small",I2591&lt;=6,"Medium",I2591&lt;=9,"Large")</f>
        <v>Large</v>
      </c>
      <c r="K2591" s="36">
        <v>45594</v>
      </c>
      <c r="L2591" s="36">
        <v>45598</v>
      </c>
      <c r="M2591" t="s">
        <v>612</v>
      </c>
      <c r="N2591" t="s">
        <v>599</v>
      </c>
      <c r="O2591" s="37" t="str">
        <f t="shared" si="203"/>
        <v>Digital Payment</v>
      </c>
      <c r="P2591">
        <v>122.07</v>
      </c>
      <c r="Q2591" s="37" t="str">
        <f>IF(P2591&gt;500,"High","low")</f>
        <v>low</v>
      </c>
      <c r="R2591" s="37" t="str">
        <f t="shared" si="204"/>
        <v>AVERAGE</v>
      </c>
      <c r="S2591" t="s">
        <v>620</v>
      </c>
    </row>
    <row r="2592" spans="1:19" x14ac:dyDescent="0.2">
      <c r="A2592" t="s">
        <v>3203</v>
      </c>
      <c r="B2592" t="s">
        <v>83</v>
      </c>
      <c r="C2592" t="s">
        <v>607</v>
      </c>
      <c r="D2592">
        <v>4243.43</v>
      </c>
      <c r="E2592" s="37" t="str">
        <f t="shared" si="200"/>
        <v xml:space="preserve"> </v>
      </c>
      <c r="F2592">
        <v>0.11</v>
      </c>
      <c r="G2592" s="37" t="str">
        <f t="shared" si="201"/>
        <v>Normal Discount</v>
      </c>
      <c r="H2592" s="37" t="str">
        <f t="shared" si="202"/>
        <v>Low</v>
      </c>
      <c r="I2592">
        <v>5</v>
      </c>
      <c r="J2592" t="str" cm="1">
        <f t="array" ref="J2592">_xlfn.IFS(I2592&lt;=3,"small",I2592&lt;=6,"Medium",I2592&lt;=9,"Large")</f>
        <v>Medium</v>
      </c>
      <c r="K2592" s="36">
        <v>45555</v>
      </c>
      <c r="L2592" s="36">
        <v>45560</v>
      </c>
      <c r="M2592" t="s">
        <v>612</v>
      </c>
      <c r="N2592" t="s">
        <v>608</v>
      </c>
      <c r="O2592" s="37" t="str">
        <f t="shared" si="203"/>
        <v>Cash Payment</v>
      </c>
      <c r="P2592">
        <v>582.4</v>
      </c>
      <c r="Q2592" s="37" t="str">
        <f>IF(P2592&gt;500,"High","low")</f>
        <v>High</v>
      </c>
      <c r="R2592" s="37" t="str">
        <f t="shared" si="204"/>
        <v>Good</v>
      </c>
      <c r="S2592" t="s">
        <v>600</v>
      </c>
    </row>
    <row r="2593" spans="1:19" x14ac:dyDescent="0.2">
      <c r="A2593" t="s">
        <v>3204</v>
      </c>
      <c r="B2593" t="s">
        <v>83</v>
      </c>
      <c r="C2593" t="s">
        <v>617</v>
      </c>
      <c r="D2593">
        <v>377.08</v>
      </c>
      <c r="E2593" s="37" t="str">
        <f t="shared" si="200"/>
        <v xml:space="preserve"> </v>
      </c>
      <c r="F2593">
        <v>0.24</v>
      </c>
      <c r="G2593" s="37" t="str">
        <f t="shared" si="201"/>
        <v>Normal Discount</v>
      </c>
      <c r="H2593" s="37" t="str">
        <f t="shared" si="202"/>
        <v>Medium</v>
      </c>
      <c r="I2593">
        <v>3</v>
      </c>
      <c r="J2593" t="str" cm="1">
        <f t="array" ref="J2593">_xlfn.IFS(I2593&lt;=3,"small",I2593&lt;=6,"Medium",I2593&lt;=9,"Large")</f>
        <v>small</v>
      </c>
      <c r="K2593" s="36">
        <v>45445</v>
      </c>
      <c r="L2593" s="36">
        <v>45449</v>
      </c>
      <c r="M2593" t="s">
        <v>603</v>
      </c>
      <c r="N2593" t="s">
        <v>604</v>
      </c>
      <c r="O2593" s="37" t="str">
        <f t="shared" si="203"/>
        <v>Digital Payment</v>
      </c>
      <c r="P2593">
        <v>96.48</v>
      </c>
      <c r="Q2593" s="37" t="str">
        <f>IF(P2593&gt;500,"High","low")</f>
        <v>low</v>
      </c>
      <c r="R2593" s="37" t="str">
        <f t="shared" si="204"/>
        <v>AVERAGE</v>
      </c>
      <c r="S2593" t="s">
        <v>615</v>
      </c>
    </row>
    <row r="2594" spans="1:19" x14ac:dyDescent="0.2">
      <c r="A2594" t="s">
        <v>3205</v>
      </c>
      <c r="B2594" t="s">
        <v>90</v>
      </c>
      <c r="C2594" t="s">
        <v>602</v>
      </c>
      <c r="D2594">
        <v>3000.9</v>
      </c>
      <c r="E2594" s="37" t="str">
        <f t="shared" si="200"/>
        <v xml:space="preserve"> </v>
      </c>
      <c r="F2594">
        <v>0.11</v>
      </c>
      <c r="G2594" s="37" t="str">
        <f t="shared" si="201"/>
        <v>Normal Discount</v>
      </c>
      <c r="H2594" s="37" t="str">
        <f t="shared" si="202"/>
        <v>Low</v>
      </c>
      <c r="I2594">
        <v>4</v>
      </c>
      <c r="J2594" t="str" cm="1">
        <f t="array" ref="J2594">_xlfn.IFS(I2594&lt;=3,"small",I2594&lt;=6,"Medium",I2594&lt;=9,"Large")</f>
        <v>Medium</v>
      </c>
      <c r="K2594" s="36">
        <v>45172</v>
      </c>
      <c r="L2594" s="36">
        <v>45176</v>
      </c>
      <c r="M2594" t="s">
        <v>598</v>
      </c>
      <c r="N2594" t="s">
        <v>599</v>
      </c>
      <c r="O2594" s="37" t="str">
        <f t="shared" si="203"/>
        <v>Digital Payment</v>
      </c>
      <c r="P2594">
        <v>790.44</v>
      </c>
      <c r="Q2594" s="37" t="str">
        <f>IF(P2594&gt;500,"High","low")</f>
        <v>High</v>
      </c>
      <c r="R2594" s="37" t="str">
        <f t="shared" si="204"/>
        <v>Good</v>
      </c>
      <c r="S2594" t="s">
        <v>605</v>
      </c>
    </row>
    <row r="2595" spans="1:19" x14ac:dyDescent="0.2">
      <c r="A2595" t="s">
        <v>3206</v>
      </c>
      <c r="B2595" t="s">
        <v>67</v>
      </c>
      <c r="C2595" t="s">
        <v>607</v>
      </c>
      <c r="D2595">
        <v>1000.18</v>
      </c>
      <c r="E2595" s="37" t="str">
        <f t="shared" si="200"/>
        <v xml:space="preserve"> </v>
      </c>
      <c r="F2595">
        <v>0.28000000000000003</v>
      </c>
      <c r="G2595" s="37" t="str">
        <f t="shared" si="201"/>
        <v>Normal Discount</v>
      </c>
      <c r="H2595" s="37" t="str">
        <f t="shared" si="202"/>
        <v>Medium</v>
      </c>
      <c r="I2595">
        <v>8</v>
      </c>
      <c r="J2595" t="str" cm="1">
        <f t="array" ref="J2595">_xlfn.IFS(I2595&lt;=3,"small",I2595&lt;=6,"Medium",I2595&lt;=9,"Large")</f>
        <v>Large</v>
      </c>
      <c r="K2595" s="36">
        <v>45352</v>
      </c>
      <c r="L2595" s="36">
        <v>45355</v>
      </c>
      <c r="M2595" t="s">
        <v>612</v>
      </c>
      <c r="N2595" t="s">
        <v>604</v>
      </c>
      <c r="O2595" s="37" t="str">
        <f t="shared" si="203"/>
        <v>Digital Payment</v>
      </c>
      <c r="P2595">
        <v>285.52</v>
      </c>
      <c r="Q2595" s="37" t="str">
        <f>IF(P2595&gt;500,"High","low")</f>
        <v>low</v>
      </c>
      <c r="R2595" s="37" t="str">
        <f t="shared" si="204"/>
        <v>AVERAGE</v>
      </c>
      <c r="S2595" t="s">
        <v>620</v>
      </c>
    </row>
    <row r="2596" spans="1:19" x14ac:dyDescent="0.2">
      <c r="A2596" t="s">
        <v>3207</v>
      </c>
      <c r="B2596" t="s">
        <v>75</v>
      </c>
      <c r="C2596" t="s">
        <v>602</v>
      </c>
      <c r="D2596">
        <v>1221.74</v>
      </c>
      <c r="E2596" s="37" t="str">
        <f t="shared" si="200"/>
        <v xml:space="preserve"> </v>
      </c>
      <c r="F2596">
        <v>0.45</v>
      </c>
      <c r="G2596" s="37" t="str">
        <f t="shared" si="201"/>
        <v>Heavy Discount</v>
      </c>
      <c r="H2596" s="37" t="str">
        <f t="shared" si="202"/>
        <v>High</v>
      </c>
      <c r="I2596">
        <v>9</v>
      </c>
      <c r="J2596" t="str" cm="1">
        <f t="array" ref="J2596">_xlfn.IFS(I2596&lt;=3,"small",I2596&lt;=6,"Medium",I2596&lt;=9,"Large")</f>
        <v>Large</v>
      </c>
      <c r="K2596" s="36">
        <v>45374</v>
      </c>
      <c r="L2596" s="36">
        <v>45379</v>
      </c>
      <c r="M2596" t="s">
        <v>603</v>
      </c>
      <c r="N2596" t="s">
        <v>599</v>
      </c>
      <c r="O2596" s="37" t="str">
        <f t="shared" si="203"/>
        <v>Digital Payment</v>
      </c>
      <c r="P2596">
        <v>178.76</v>
      </c>
      <c r="Q2596" s="37" t="str">
        <f>IF(P2596&gt;500,"High","low")</f>
        <v>low</v>
      </c>
      <c r="R2596" s="37" t="str">
        <f t="shared" si="204"/>
        <v>AVERAGE</v>
      </c>
      <c r="S2596" t="s">
        <v>609</v>
      </c>
    </row>
    <row r="2597" spans="1:19" x14ac:dyDescent="0.2">
      <c r="A2597" t="s">
        <v>3208</v>
      </c>
      <c r="B2597" t="s">
        <v>67</v>
      </c>
      <c r="C2597" t="s">
        <v>597</v>
      </c>
      <c r="D2597">
        <v>1439.34</v>
      </c>
      <c r="E2597" s="37" t="str">
        <f t="shared" si="200"/>
        <v xml:space="preserve"> </v>
      </c>
      <c r="F2597">
        <v>0.28000000000000003</v>
      </c>
      <c r="G2597" s="37" t="str">
        <f t="shared" si="201"/>
        <v>Normal Discount</v>
      </c>
      <c r="H2597" s="37" t="str">
        <f t="shared" si="202"/>
        <v>Medium</v>
      </c>
      <c r="I2597">
        <v>8</v>
      </c>
      <c r="J2597" t="str" cm="1">
        <f t="array" ref="J2597">_xlfn.IFS(I2597&lt;=3,"small",I2597&lt;=6,"Medium",I2597&lt;=9,"Large")</f>
        <v>Large</v>
      </c>
      <c r="K2597" s="36">
        <v>45562</v>
      </c>
      <c r="L2597" s="36">
        <v>45566</v>
      </c>
      <c r="M2597" t="s">
        <v>598</v>
      </c>
      <c r="N2597" t="s">
        <v>604</v>
      </c>
      <c r="O2597" s="37" t="str">
        <f t="shared" si="203"/>
        <v>Digital Payment</v>
      </c>
      <c r="P2597">
        <v>74.11</v>
      </c>
      <c r="Q2597" s="37" t="str">
        <f>IF(P2597&gt;500,"High","low")</f>
        <v>low</v>
      </c>
      <c r="R2597" s="37" t="str">
        <f t="shared" si="204"/>
        <v>AVERAGE</v>
      </c>
      <c r="S2597" t="s">
        <v>628</v>
      </c>
    </row>
    <row r="2598" spans="1:19" x14ac:dyDescent="0.2">
      <c r="A2598" t="s">
        <v>3209</v>
      </c>
      <c r="B2598" t="s">
        <v>90</v>
      </c>
      <c r="C2598" t="s">
        <v>602</v>
      </c>
      <c r="D2598">
        <v>287.63</v>
      </c>
      <c r="E2598" s="37" t="str">
        <f t="shared" si="200"/>
        <v xml:space="preserve"> </v>
      </c>
      <c r="F2598">
        <v>0.26</v>
      </c>
      <c r="G2598" s="37" t="str">
        <f t="shared" si="201"/>
        <v>Normal Discount</v>
      </c>
      <c r="H2598" s="37" t="str">
        <f t="shared" si="202"/>
        <v>Medium</v>
      </c>
      <c r="I2598">
        <v>3</v>
      </c>
      <c r="J2598" t="str" cm="1">
        <f t="array" ref="J2598">_xlfn.IFS(I2598&lt;=3,"small",I2598&lt;=6,"Medium",I2598&lt;=9,"Large")</f>
        <v>small</v>
      </c>
      <c r="K2598" s="36">
        <v>45143</v>
      </c>
      <c r="L2598" s="36">
        <v>45146</v>
      </c>
      <c r="M2598" t="s">
        <v>598</v>
      </c>
      <c r="N2598" t="s">
        <v>608</v>
      </c>
      <c r="O2598" s="37" t="str">
        <f t="shared" si="203"/>
        <v>Cash Payment</v>
      </c>
      <c r="P2598">
        <v>24.74</v>
      </c>
      <c r="Q2598" s="37" t="str">
        <f>IF(P2598&gt;500,"High","low")</f>
        <v>low</v>
      </c>
      <c r="R2598" s="37" t="str">
        <f t="shared" si="204"/>
        <v>AVERAGE</v>
      </c>
      <c r="S2598" t="s">
        <v>615</v>
      </c>
    </row>
    <row r="2599" spans="1:19" x14ac:dyDescent="0.2">
      <c r="A2599" t="s">
        <v>3210</v>
      </c>
      <c r="B2599" t="s">
        <v>75</v>
      </c>
      <c r="C2599" t="s">
        <v>607</v>
      </c>
      <c r="D2599">
        <v>968.45</v>
      </c>
      <c r="E2599" s="37" t="str">
        <f t="shared" si="200"/>
        <v xml:space="preserve"> </v>
      </c>
      <c r="F2599">
        <v>0.38</v>
      </c>
      <c r="G2599" s="37" t="str">
        <f t="shared" si="201"/>
        <v>Heavy Discount</v>
      </c>
      <c r="H2599" s="37" t="str">
        <f t="shared" si="202"/>
        <v>Medium</v>
      </c>
      <c r="I2599">
        <v>7</v>
      </c>
      <c r="J2599" t="str" cm="1">
        <f t="array" ref="J2599">_xlfn.IFS(I2599&lt;=3,"small",I2599&lt;=6,"Medium",I2599&lt;=9,"Large")</f>
        <v>Large</v>
      </c>
      <c r="K2599" s="36">
        <v>45456</v>
      </c>
      <c r="L2599" s="36">
        <v>45462</v>
      </c>
      <c r="M2599" t="s">
        <v>598</v>
      </c>
      <c r="N2599" t="s">
        <v>608</v>
      </c>
      <c r="O2599" s="37" t="str">
        <f t="shared" si="203"/>
        <v>Cash Payment</v>
      </c>
      <c r="P2599">
        <v>122.99</v>
      </c>
      <c r="Q2599" s="37" t="str">
        <f>IF(P2599&gt;500,"High","low")</f>
        <v>low</v>
      </c>
      <c r="R2599" s="37" t="str">
        <f t="shared" si="204"/>
        <v>AVERAGE</v>
      </c>
      <c r="S2599" t="s">
        <v>609</v>
      </c>
    </row>
    <row r="2600" spans="1:19" x14ac:dyDescent="0.2">
      <c r="A2600" t="s">
        <v>3211</v>
      </c>
      <c r="B2600" t="s">
        <v>90</v>
      </c>
      <c r="C2600" t="s">
        <v>597</v>
      </c>
      <c r="D2600">
        <v>3287.45</v>
      </c>
      <c r="E2600" s="37" t="str">
        <f t="shared" si="200"/>
        <v xml:space="preserve"> </v>
      </c>
      <c r="F2600">
        <v>7.0000000000000007E-2</v>
      </c>
      <c r="G2600" s="37" t="str">
        <f t="shared" si="201"/>
        <v>Normal Discount</v>
      </c>
      <c r="H2600" s="37" t="str">
        <f t="shared" si="202"/>
        <v>Low</v>
      </c>
      <c r="I2600">
        <v>8</v>
      </c>
      <c r="J2600" t="str" cm="1">
        <f t="array" ref="J2600">_xlfn.IFS(I2600&lt;=3,"small",I2600&lt;=6,"Medium",I2600&lt;=9,"Large")</f>
        <v>Large</v>
      </c>
      <c r="K2600" s="36">
        <v>45043</v>
      </c>
      <c r="L2600" s="36">
        <v>45048</v>
      </c>
      <c r="M2600" t="s">
        <v>612</v>
      </c>
      <c r="N2600" t="s">
        <v>599</v>
      </c>
      <c r="O2600" s="37" t="str">
        <f t="shared" si="203"/>
        <v>Digital Payment</v>
      </c>
      <c r="P2600">
        <v>828.53</v>
      </c>
      <c r="Q2600" s="37" t="str">
        <f>IF(P2600&gt;500,"High","low")</f>
        <v>High</v>
      </c>
      <c r="R2600" s="37" t="str">
        <f t="shared" si="204"/>
        <v>Good</v>
      </c>
      <c r="S2600" t="s">
        <v>600</v>
      </c>
    </row>
    <row r="2601" spans="1:19" x14ac:dyDescent="0.2">
      <c r="A2601" t="s">
        <v>3212</v>
      </c>
      <c r="B2601" t="s">
        <v>90</v>
      </c>
      <c r="C2601" t="s">
        <v>607</v>
      </c>
      <c r="D2601">
        <v>2543.71</v>
      </c>
      <c r="E2601" s="37" t="str">
        <f t="shared" si="200"/>
        <v xml:space="preserve"> </v>
      </c>
      <c r="F2601">
        <v>0.45</v>
      </c>
      <c r="G2601" s="37" t="str">
        <f t="shared" si="201"/>
        <v>Heavy Discount</v>
      </c>
      <c r="H2601" s="37" t="str">
        <f t="shared" si="202"/>
        <v>High</v>
      </c>
      <c r="I2601">
        <v>3</v>
      </c>
      <c r="J2601" t="str" cm="1">
        <f t="array" ref="J2601">_xlfn.IFS(I2601&lt;=3,"small",I2601&lt;=6,"Medium",I2601&lt;=9,"Large")</f>
        <v>small</v>
      </c>
      <c r="K2601" s="36">
        <v>45165</v>
      </c>
      <c r="L2601" s="36">
        <v>45167</v>
      </c>
      <c r="M2601" t="s">
        <v>612</v>
      </c>
      <c r="N2601" t="s">
        <v>608</v>
      </c>
      <c r="O2601" s="37" t="str">
        <f t="shared" si="203"/>
        <v>Cash Payment</v>
      </c>
      <c r="P2601">
        <v>706.15</v>
      </c>
      <c r="Q2601" s="37" t="str">
        <f>IF(P2601&gt;500,"High","low")</f>
        <v>High</v>
      </c>
      <c r="R2601" s="37" t="str">
        <f t="shared" si="204"/>
        <v>Good</v>
      </c>
      <c r="S2601" t="s">
        <v>600</v>
      </c>
    </row>
    <row r="2602" spans="1:19" x14ac:dyDescent="0.2">
      <c r="A2602" t="s">
        <v>3213</v>
      </c>
      <c r="B2602" t="s">
        <v>83</v>
      </c>
      <c r="C2602" t="s">
        <v>607</v>
      </c>
      <c r="D2602">
        <v>4006.91</v>
      </c>
      <c r="E2602" s="37" t="str">
        <f t="shared" si="200"/>
        <v xml:space="preserve"> </v>
      </c>
      <c r="F2602">
        <v>0.28999999999999998</v>
      </c>
      <c r="G2602" s="37" t="str">
        <f t="shared" si="201"/>
        <v>Normal Discount</v>
      </c>
      <c r="H2602" s="37" t="str">
        <f t="shared" si="202"/>
        <v>Medium</v>
      </c>
      <c r="I2602">
        <v>1</v>
      </c>
      <c r="J2602" t="str" cm="1">
        <f t="array" ref="J2602">_xlfn.IFS(I2602&lt;=3,"small",I2602&lt;=6,"Medium",I2602&lt;=9,"Large")</f>
        <v>small</v>
      </c>
      <c r="K2602" s="36">
        <v>45528</v>
      </c>
      <c r="L2602" s="36">
        <v>45533</v>
      </c>
      <c r="M2602" t="s">
        <v>598</v>
      </c>
      <c r="N2602" t="s">
        <v>599</v>
      </c>
      <c r="O2602" s="37" t="str">
        <f t="shared" si="203"/>
        <v>Digital Payment</v>
      </c>
      <c r="P2602">
        <v>410.84</v>
      </c>
      <c r="Q2602" s="37" t="str">
        <f>IF(P2602&gt;500,"High","low")</f>
        <v>low</v>
      </c>
      <c r="R2602" s="37" t="str">
        <f t="shared" si="204"/>
        <v>AVERAGE</v>
      </c>
      <c r="S2602" t="s">
        <v>628</v>
      </c>
    </row>
    <row r="2603" spans="1:19" x14ac:dyDescent="0.2">
      <c r="A2603" t="s">
        <v>3214</v>
      </c>
      <c r="B2603" t="s">
        <v>75</v>
      </c>
      <c r="C2603" t="s">
        <v>597</v>
      </c>
      <c r="D2603">
        <v>400.09</v>
      </c>
      <c r="E2603" s="37" t="str">
        <f t="shared" si="200"/>
        <v xml:space="preserve"> </v>
      </c>
      <c r="F2603">
        <v>0.34</v>
      </c>
      <c r="G2603" s="37" t="str">
        <f t="shared" si="201"/>
        <v>Heavy Discount</v>
      </c>
      <c r="H2603" s="37" t="str">
        <f t="shared" si="202"/>
        <v>Medium</v>
      </c>
      <c r="I2603">
        <v>7</v>
      </c>
      <c r="J2603" t="str" cm="1">
        <f t="array" ref="J2603">_xlfn.IFS(I2603&lt;=3,"small",I2603&lt;=6,"Medium",I2603&lt;=9,"Large")</f>
        <v>Large</v>
      </c>
      <c r="K2603" s="36">
        <v>45202</v>
      </c>
      <c r="L2603" s="36">
        <v>45206</v>
      </c>
      <c r="M2603" t="s">
        <v>603</v>
      </c>
      <c r="N2603" t="s">
        <v>608</v>
      </c>
      <c r="O2603" s="37" t="str">
        <f t="shared" si="203"/>
        <v>Cash Payment</v>
      </c>
      <c r="P2603">
        <v>59.05</v>
      </c>
      <c r="Q2603" s="37" t="str">
        <f>IF(P2603&gt;500,"High","low")</f>
        <v>low</v>
      </c>
      <c r="R2603" s="37" t="str">
        <f t="shared" si="204"/>
        <v>AVERAGE</v>
      </c>
      <c r="S2603" t="s">
        <v>609</v>
      </c>
    </row>
    <row r="2604" spans="1:19" x14ac:dyDescent="0.2">
      <c r="A2604" t="s">
        <v>3215</v>
      </c>
      <c r="B2604" t="s">
        <v>83</v>
      </c>
      <c r="C2604" t="s">
        <v>602</v>
      </c>
      <c r="D2604">
        <v>4455.6000000000004</v>
      </c>
      <c r="E2604" s="37" t="str">
        <f t="shared" si="200"/>
        <v>Excellent Order</v>
      </c>
      <c r="F2604">
        <v>0.41</v>
      </c>
      <c r="G2604" s="37" t="str">
        <f t="shared" si="201"/>
        <v>Heavy Discount</v>
      </c>
      <c r="H2604" s="37" t="str">
        <f t="shared" si="202"/>
        <v>High</v>
      </c>
      <c r="I2604">
        <v>3</v>
      </c>
      <c r="J2604" t="str" cm="1">
        <f t="array" ref="J2604">_xlfn.IFS(I2604&lt;=3,"small",I2604&lt;=6,"Medium",I2604&lt;=9,"Large")</f>
        <v>small</v>
      </c>
      <c r="K2604" s="36">
        <v>44928</v>
      </c>
      <c r="L2604" s="36">
        <v>44932</v>
      </c>
      <c r="M2604" t="s">
        <v>612</v>
      </c>
      <c r="N2604" t="s">
        <v>599</v>
      </c>
      <c r="O2604" s="37" t="str">
        <f t="shared" si="203"/>
        <v>Digital Payment</v>
      </c>
      <c r="P2604">
        <v>853.45</v>
      </c>
      <c r="Q2604" s="37" t="str">
        <f>IF(P2604&gt;500,"High","low")</f>
        <v>High</v>
      </c>
      <c r="R2604" s="37" t="str">
        <f t="shared" si="204"/>
        <v>Good</v>
      </c>
      <c r="S2604" t="s">
        <v>620</v>
      </c>
    </row>
    <row r="2605" spans="1:19" x14ac:dyDescent="0.2">
      <c r="A2605" t="s">
        <v>3216</v>
      </c>
      <c r="B2605" t="s">
        <v>75</v>
      </c>
      <c r="C2605" t="s">
        <v>614</v>
      </c>
      <c r="D2605">
        <v>4982.3500000000004</v>
      </c>
      <c r="E2605" s="37" t="str">
        <f t="shared" si="200"/>
        <v xml:space="preserve"> </v>
      </c>
      <c r="F2605">
        <v>0.32</v>
      </c>
      <c r="G2605" s="37" t="str">
        <f t="shared" si="201"/>
        <v>Heavy Discount</v>
      </c>
      <c r="H2605" s="37" t="str">
        <f t="shared" si="202"/>
        <v>Medium</v>
      </c>
      <c r="I2605">
        <v>1</v>
      </c>
      <c r="J2605" t="str" cm="1">
        <f t="array" ref="J2605">_xlfn.IFS(I2605&lt;=3,"small",I2605&lt;=6,"Medium",I2605&lt;=9,"Large")</f>
        <v>small</v>
      </c>
      <c r="K2605" s="36">
        <v>45588</v>
      </c>
      <c r="L2605" s="36">
        <v>45593</v>
      </c>
      <c r="M2605" t="s">
        <v>603</v>
      </c>
      <c r="N2605" t="s">
        <v>604</v>
      </c>
      <c r="O2605" s="37" t="str">
        <f t="shared" si="203"/>
        <v>Digital Payment</v>
      </c>
      <c r="P2605">
        <v>594.21</v>
      </c>
      <c r="Q2605" s="37" t="str">
        <f>IF(P2605&gt;500,"High","low")</f>
        <v>High</v>
      </c>
      <c r="R2605" s="37" t="str">
        <f t="shared" si="204"/>
        <v>Good</v>
      </c>
      <c r="S2605" t="s">
        <v>628</v>
      </c>
    </row>
    <row r="2606" spans="1:19" x14ac:dyDescent="0.2">
      <c r="A2606" t="s">
        <v>3217</v>
      </c>
      <c r="B2606" t="s">
        <v>90</v>
      </c>
      <c r="C2606" t="s">
        <v>614</v>
      </c>
      <c r="D2606">
        <v>177.13</v>
      </c>
      <c r="E2606" s="37" t="str">
        <f t="shared" si="200"/>
        <v xml:space="preserve"> </v>
      </c>
      <c r="F2606">
        <v>0.32</v>
      </c>
      <c r="G2606" s="37" t="str">
        <f t="shared" si="201"/>
        <v>Heavy Discount</v>
      </c>
      <c r="H2606" s="37" t="str">
        <f t="shared" si="202"/>
        <v>Medium</v>
      </c>
      <c r="I2606">
        <v>7</v>
      </c>
      <c r="J2606" t="str" cm="1">
        <f t="array" ref="J2606">_xlfn.IFS(I2606&lt;=3,"small",I2606&lt;=6,"Medium",I2606&lt;=9,"Large")</f>
        <v>Large</v>
      </c>
      <c r="K2606" s="36">
        <v>45544</v>
      </c>
      <c r="L2606" s="36">
        <v>45551</v>
      </c>
      <c r="M2606" t="s">
        <v>603</v>
      </c>
      <c r="N2606" t="s">
        <v>599</v>
      </c>
      <c r="O2606" s="37" t="str">
        <f t="shared" si="203"/>
        <v>Digital Payment</v>
      </c>
      <c r="P2606">
        <v>24.04</v>
      </c>
      <c r="Q2606" s="37" t="str">
        <f>IF(P2606&gt;500,"High","low")</f>
        <v>low</v>
      </c>
      <c r="R2606" s="37" t="str">
        <f t="shared" si="204"/>
        <v>AVERAGE</v>
      </c>
      <c r="S2606" t="s">
        <v>620</v>
      </c>
    </row>
    <row r="2607" spans="1:19" x14ac:dyDescent="0.2">
      <c r="A2607" t="s">
        <v>3218</v>
      </c>
      <c r="B2607" t="s">
        <v>90</v>
      </c>
      <c r="C2607" t="s">
        <v>614</v>
      </c>
      <c r="D2607">
        <v>4841.4399999999996</v>
      </c>
      <c r="E2607" s="37" t="str">
        <f t="shared" si="200"/>
        <v>Excellent Order</v>
      </c>
      <c r="F2607">
        <v>0.36</v>
      </c>
      <c r="G2607" s="37" t="str">
        <f t="shared" si="201"/>
        <v>Heavy Discount</v>
      </c>
      <c r="H2607" s="37" t="str">
        <f t="shared" si="202"/>
        <v>Medium</v>
      </c>
      <c r="I2607">
        <v>7</v>
      </c>
      <c r="J2607" t="str" cm="1">
        <f t="array" ref="J2607">_xlfn.IFS(I2607&lt;=3,"small",I2607&lt;=6,"Medium",I2607&lt;=9,"Large")</f>
        <v>Large</v>
      </c>
      <c r="K2607" s="36">
        <v>45301</v>
      </c>
      <c r="L2607" s="36">
        <v>45304</v>
      </c>
      <c r="M2607" t="s">
        <v>598</v>
      </c>
      <c r="N2607" t="s">
        <v>599</v>
      </c>
      <c r="O2607" s="37" t="str">
        <f t="shared" si="203"/>
        <v>Digital Payment</v>
      </c>
      <c r="P2607">
        <v>1194.3900000000001</v>
      </c>
      <c r="Q2607" s="37" t="str">
        <f>IF(P2607&gt;500,"High","low")</f>
        <v>High</v>
      </c>
      <c r="R2607" s="37" t="str">
        <f t="shared" si="204"/>
        <v>Excellent</v>
      </c>
      <c r="S2607" t="s">
        <v>605</v>
      </c>
    </row>
    <row r="2608" spans="1:19" x14ac:dyDescent="0.2">
      <c r="A2608" t="s">
        <v>3219</v>
      </c>
      <c r="B2608" t="s">
        <v>67</v>
      </c>
      <c r="C2608" t="s">
        <v>614</v>
      </c>
      <c r="D2608">
        <v>1255.73</v>
      </c>
      <c r="E2608" s="37" t="str">
        <f t="shared" si="200"/>
        <v xml:space="preserve"> </v>
      </c>
      <c r="F2608">
        <v>0.03</v>
      </c>
      <c r="G2608" s="37" t="str">
        <f t="shared" si="201"/>
        <v>Normal Discount</v>
      </c>
      <c r="H2608" s="37" t="str">
        <f t="shared" si="202"/>
        <v>Low</v>
      </c>
      <c r="I2608">
        <v>4</v>
      </c>
      <c r="J2608" t="str" cm="1">
        <f t="array" ref="J2608">_xlfn.IFS(I2608&lt;=3,"small",I2608&lt;=6,"Medium",I2608&lt;=9,"Large")</f>
        <v>Medium</v>
      </c>
      <c r="K2608" s="36">
        <v>45216</v>
      </c>
      <c r="L2608" s="36">
        <v>45223</v>
      </c>
      <c r="M2608" t="s">
        <v>598</v>
      </c>
      <c r="N2608" t="s">
        <v>599</v>
      </c>
      <c r="O2608" s="37" t="str">
        <f t="shared" si="203"/>
        <v>Digital Payment</v>
      </c>
      <c r="P2608">
        <v>115.8</v>
      </c>
      <c r="Q2608" s="37" t="str">
        <f>IF(P2608&gt;500,"High","low")</f>
        <v>low</v>
      </c>
      <c r="R2608" s="37" t="str">
        <f t="shared" si="204"/>
        <v>AVERAGE</v>
      </c>
      <c r="S2608" t="s">
        <v>605</v>
      </c>
    </row>
    <row r="2609" spans="1:19" x14ac:dyDescent="0.2">
      <c r="A2609" t="s">
        <v>3220</v>
      </c>
      <c r="B2609" t="s">
        <v>75</v>
      </c>
      <c r="C2609" t="s">
        <v>617</v>
      </c>
      <c r="D2609">
        <v>3493.46</v>
      </c>
      <c r="E2609" s="37" t="str">
        <f t="shared" si="200"/>
        <v xml:space="preserve"> </v>
      </c>
      <c r="F2609">
        <v>0.19</v>
      </c>
      <c r="G2609" s="37" t="str">
        <f t="shared" si="201"/>
        <v>Normal Discount</v>
      </c>
      <c r="H2609" s="37" t="str">
        <f t="shared" si="202"/>
        <v>Low</v>
      </c>
      <c r="I2609">
        <v>2</v>
      </c>
      <c r="J2609" t="str" cm="1">
        <f t="array" ref="J2609">_xlfn.IFS(I2609&lt;=3,"small",I2609&lt;=6,"Medium",I2609&lt;=9,"Large")</f>
        <v>small</v>
      </c>
      <c r="K2609" s="36">
        <v>45051</v>
      </c>
      <c r="L2609" s="36">
        <v>45058</v>
      </c>
      <c r="M2609" t="s">
        <v>603</v>
      </c>
      <c r="N2609" t="s">
        <v>604</v>
      </c>
      <c r="O2609" s="37" t="str">
        <f t="shared" si="203"/>
        <v>Digital Payment</v>
      </c>
      <c r="P2609">
        <v>645.44000000000005</v>
      </c>
      <c r="Q2609" s="37" t="str">
        <f>IF(P2609&gt;500,"High","low")</f>
        <v>High</v>
      </c>
      <c r="R2609" s="37" t="str">
        <f t="shared" si="204"/>
        <v>Good</v>
      </c>
      <c r="S2609" t="s">
        <v>615</v>
      </c>
    </row>
    <row r="2610" spans="1:19" x14ac:dyDescent="0.2">
      <c r="A2610" t="s">
        <v>3221</v>
      </c>
      <c r="B2610" t="s">
        <v>83</v>
      </c>
      <c r="C2610" t="s">
        <v>614</v>
      </c>
      <c r="D2610">
        <v>1533.17</v>
      </c>
      <c r="E2610" s="37" t="str">
        <f t="shared" si="200"/>
        <v xml:space="preserve"> </v>
      </c>
      <c r="F2610">
        <v>0.48</v>
      </c>
      <c r="G2610" s="37" t="str">
        <f t="shared" si="201"/>
        <v>Heavy Discount</v>
      </c>
      <c r="H2610" s="37" t="str">
        <f t="shared" si="202"/>
        <v>High</v>
      </c>
      <c r="I2610">
        <v>5</v>
      </c>
      <c r="J2610" t="str" cm="1">
        <f t="array" ref="J2610">_xlfn.IFS(I2610&lt;=3,"small",I2610&lt;=6,"Medium",I2610&lt;=9,"Large")</f>
        <v>Medium</v>
      </c>
      <c r="K2610" s="36">
        <v>45089</v>
      </c>
      <c r="L2610" s="36">
        <v>45094</v>
      </c>
      <c r="M2610" t="s">
        <v>603</v>
      </c>
      <c r="N2610" t="s">
        <v>608</v>
      </c>
      <c r="O2610" s="37" t="str">
        <f t="shared" si="203"/>
        <v>Cash Payment</v>
      </c>
      <c r="P2610">
        <v>299.39999999999998</v>
      </c>
      <c r="Q2610" s="37" t="str">
        <f>IF(P2610&gt;500,"High","low")</f>
        <v>low</v>
      </c>
      <c r="R2610" s="37" t="str">
        <f t="shared" si="204"/>
        <v>AVERAGE</v>
      </c>
      <c r="S2610" t="s">
        <v>628</v>
      </c>
    </row>
    <row r="2611" spans="1:19" x14ac:dyDescent="0.2">
      <c r="A2611" t="s">
        <v>3222</v>
      </c>
      <c r="B2611" t="s">
        <v>67</v>
      </c>
      <c r="C2611" t="s">
        <v>597</v>
      </c>
      <c r="D2611">
        <v>2656.88</v>
      </c>
      <c r="E2611" s="37" t="str">
        <f t="shared" si="200"/>
        <v xml:space="preserve"> </v>
      </c>
      <c r="F2611">
        <v>0.13</v>
      </c>
      <c r="G2611" s="37" t="str">
        <f t="shared" si="201"/>
        <v>Normal Discount</v>
      </c>
      <c r="H2611" s="37" t="str">
        <f t="shared" si="202"/>
        <v>Low</v>
      </c>
      <c r="I2611">
        <v>9</v>
      </c>
      <c r="J2611" t="str" cm="1">
        <f t="array" ref="J2611">_xlfn.IFS(I2611&lt;=3,"small",I2611&lt;=6,"Medium",I2611&lt;=9,"Large")</f>
        <v>Large</v>
      </c>
      <c r="K2611" s="36">
        <v>45123</v>
      </c>
      <c r="L2611" s="36">
        <v>45127</v>
      </c>
      <c r="M2611" t="s">
        <v>598</v>
      </c>
      <c r="N2611" t="s">
        <v>608</v>
      </c>
      <c r="O2611" s="37" t="str">
        <f t="shared" si="203"/>
        <v>Cash Payment</v>
      </c>
      <c r="P2611">
        <v>227.04</v>
      </c>
      <c r="Q2611" s="37" t="str">
        <f>IF(P2611&gt;500,"High","low")</f>
        <v>low</v>
      </c>
      <c r="R2611" s="37" t="str">
        <f t="shared" si="204"/>
        <v>AVERAGE</v>
      </c>
      <c r="S2611" t="s">
        <v>609</v>
      </c>
    </row>
    <row r="2612" spans="1:19" x14ac:dyDescent="0.2">
      <c r="A2612" t="s">
        <v>3223</v>
      </c>
      <c r="B2612" t="s">
        <v>67</v>
      </c>
      <c r="C2612" t="s">
        <v>614</v>
      </c>
      <c r="D2612">
        <v>2601.0500000000002</v>
      </c>
      <c r="E2612" s="37" t="str">
        <f t="shared" si="200"/>
        <v xml:space="preserve"> </v>
      </c>
      <c r="F2612">
        <v>0.27</v>
      </c>
      <c r="G2612" s="37" t="str">
        <f t="shared" si="201"/>
        <v>Normal Discount</v>
      </c>
      <c r="H2612" s="37" t="str">
        <f t="shared" si="202"/>
        <v>Medium</v>
      </c>
      <c r="I2612">
        <v>6</v>
      </c>
      <c r="J2612" t="str" cm="1">
        <f t="array" ref="J2612">_xlfn.IFS(I2612&lt;=3,"small",I2612&lt;=6,"Medium",I2612&lt;=9,"Large")</f>
        <v>Medium</v>
      </c>
      <c r="K2612" s="36">
        <v>45453</v>
      </c>
      <c r="L2612" s="36">
        <v>45457</v>
      </c>
      <c r="M2612" t="s">
        <v>612</v>
      </c>
      <c r="N2612" t="s">
        <v>604</v>
      </c>
      <c r="O2612" s="37" t="str">
        <f t="shared" si="203"/>
        <v>Digital Payment</v>
      </c>
      <c r="P2612">
        <v>586.72</v>
      </c>
      <c r="Q2612" s="37" t="str">
        <f>IF(P2612&gt;500,"High","low")</f>
        <v>High</v>
      </c>
      <c r="R2612" s="37" t="str">
        <f t="shared" si="204"/>
        <v>Good</v>
      </c>
      <c r="S2612" t="s">
        <v>620</v>
      </c>
    </row>
    <row r="2613" spans="1:19" x14ac:dyDescent="0.2">
      <c r="A2613" t="s">
        <v>3224</v>
      </c>
      <c r="B2613" t="s">
        <v>67</v>
      </c>
      <c r="C2613" t="s">
        <v>607</v>
      </c>
      <c r="D2613">
        <v>1869.42</v>
      </c>
      <c r="E2613" s="37" t="str">
        <f t="shared" si="200"/>
        <v xml:space="preserve"> </v>
      </c>
      <c r="F2613">
        <v>0.09</v>
      </c>
      <c r="G2613" s="37" t="str">
        <f t="shared" si="201"/>
        <v>Normal Discount</v>
      </c>
      <c r="H2613" s="37" t="str">
        <f t="shared" si="202"/>
        <v>Low</v>
      </c>
      <c r="I2613">
        <v>9</v>
      </c>
      <c r="J2613" t="str" cm="1">
        <f t="array" ref="J2613">_xlfn.IFS(I2613&lt;=3,"small",I2613&lt;=6,"Medium",I2613&lt;=9,"Large")</f>
        <v>Large</v>
      </c>
      <c r="K2613" s="36">
        <v>45221</v>
      </c>
      <c r="L2613" s="36">
        <v>45228</v>
      </c>
      <c r="M2613" t="s">
        <v>612</v>
      </c>
      <c r="N2613" t="s">
        <v>608</v>
      </c>
      <c r="O2613" s="37" t="str">
        <f t="shared" si="203"/>
        <v>Cash Payment</v>
      </c>
      <c r="P2613">
        <v>186.83</v>
      </c>
      <c r="Q2613" s="37" t="str">
        <f>IF(P2613&gt;500,"High","low")</f>
        <v>low</v>
      </c>
      <c r="R2613" s="37" t="str">
        <f t="shared" si="204"/>
        <v>AVERAGE</v>
      </c>
      <c r="S2613" t="s">
        <v>628</v>
      </c>
    </row>
    <row r="2614" spans="1:19" x14ac:dyDescent="0.2">
      <c r="A2614" t="s">
        <v>3225</v>
      </c>
      <c r="B2614" t="s">
        <v>83</v>
      </c>
      <c r="C2614" t="s">
        <v>614</v>
      </c>
      <c r="D2614">
        <v>3615.98</v>
      </c>
      <c r="E2614" s="37" t="str">
        <f t="shared" si="200"/>
        <v xml:space="preserve"> </v>
      </c>
      <c r="F2614">
        <v>0.16</v>
      </c>
      <c r="G2614" s="37" t="str">
        <f t="shared" si="201"/>
        <v>Normal Discount</v>
      </c>
      <c r="H2614" s="37" t="str">
        <f t="shared" si="202"/>
        <v>Low</v>
      </c>
      <c r="I2614">
        <v>1</v>
      </c>
      <c r="J2614" t="str" cm="1">
        <f t="array" ref="J2614">_xlfn.IFS(I2614&lt;=3,"small",I2614&lt;=6,"Medium",I2614&lt;=9,"Large")</f>
        <v>small</v>
      </c>
      <c r="K2614" s="36">
        <v>45389</v>
      </c>
      <c r="L2614" s="36">
        <v>45390</v>
      </c>
      <c r="M2614" t="s">
        <v>612</v>
      </c>
      <c r="N2614" t="s">
        <v>604</v>
      </c>
      <c r="O2614" s="37" t="str">
        <f t="shared" si="203"/>
        <v>Digital Payment</v>
      </c>
      <c r="P2614">
        <v>811.34</v>
      </c>
      <c r="Q2614" s="37" t="str">
        <f>IF(P2614&gt;500,"High","low")</f>
        <v>High</v>
      </c>
      <c r="R2614" s="37" t="str">
        <f t="shared" si="204"/>
        <v>Good</v>
      </c>
      <c r="S2614" t="s">
        <v>620</v>
      </c>
    </row>
    <row r="2615" spans="1:19" x14ac:dyDescent="0.2">
      <c r="A2615" t="s">
        <v>3226</v>
      </c>
      <c r="B2615" t="s">
        <v>67</v>
      </c>
      <c r="C2615" t="s">
        <v>602</v>
      </c>
      <c r="D2615">
        <v>3038.22</v>
      </c>
      <c r="E2615" s="37" t="str">
        <f t="shared" si="200"/>
        <v xml:space="preserve"> </v>
      </c>
      <c r="F2615">
        <v>0.36</v>
      </c>
      <c r="G2615" s="37" t="str">
        <f t="shared" si="201"/>
        <v>Heavy Discount</v>
      </c>
      <c r="H2615" s="37" t="str">
        <f t="shared" si="202"/>
        <v>Medium</v>
      </c>
      <c r="I2615">
        <v>2</v>
      </c>
      <c r="J2615" t="str" cm="1">
        <f t="array" ref="J2615">_xlfn.IFS(I2615&lt;=3,"small",I2615&lt;=6,"Medium",I2615&lt;=9,"Large")</f>
        <v>small</v>
      </c>
      <c r="K2615" s="36">
        <v>45466</v>
      </c>
      <c r="L2615" s="36">
        <v>45469</v>
      </c>
      <c r="M2615" t="s">
        <v>598</v>
      </c>
      <c r="N2615" t="s">
        <v>608</v>
      </c>
      <c r="O2615" s="37" t="str">
        <f t="shared" si="203"/>
        <v>Cash Payment</v>
      </c>
      <c r="P2615">
        <v>455.18</v>
      </c>
      <c r="Q2615" s="37" t="str">
        <f>IF(P2615&gt;500,"High","low")</f>
        <v>low</v>
      </c>
      <c r="R2615" s="37" t="str">
        <f t="shared" si="204"/>
        <v>AVERAGE</v>
      </c>
      <c r="S2615" t="s">
        <v>615</v>
      </c>
    </row>
    <row r="2616" spans="1:19" x14ac:dyDescent="0.2">
      <c r="A2616" t="s">
        <v>3227</v>
      </c>
      <c r="B2616" t="s">
        <v>83</v>
      </c>
      <c r="C2616" t="s">
        <v>597</v>
      </c>
      <c r="D2616">
        <v>2590.56</v>
      </c>
      <c r="E2616" s="37" t="str">
        <f t="shared" si="200"/>
        <v xml:space="preserve"> </v>
      </c>
      <c r="F2616">
        <v>0.32</v>
      </c>
      <c r="G2616" s="37" t="str">
        <f t="shared" si="201"/>
        <v>Heavy Discount</v>
      </c>
      <c r="H2616" s="37" t="str">
        <f t="shared" si="202"/>
        <v>Medium</v>
      </c>
      <c r="I2616">
        <v>6</v>
      </c>
      <c r="J2616" t="str" cm="1">
        <f t="array" ref="J2616">_xlfn.IFS(I2616&lt;=3,"small",I2616&lt;=6,"Medium",I2616&lt;=9,"Large")</f>
        <v>Medium</v>
      </c>
      <c r="K2616" s="36">
        <v>44938</v>
      </c>
      <c r="L2616" s="36">
        <v>44939</v>
      </c>
      <c r="M2616" t="s">
        <v>598</v>
      </c>
      <c r="N2616" t="s">
        <v>599</v>
      </c>
      <c r="O2616" s="37" t="str">
        <f t="shared" si="203"/>
        <v>Digital Payment</v>
      </c>
      <c r="P2616">
        <v>525.9</v>
      </c>
      <c r="Q2616" s="37" t="str">
        <f>IF(P2616&gt;500,"High","low")</f>
        <v>High</v>
      </c>
      <c r="R2616" s="37" t="str">
        <f t="shared" si="204"/>
        <v>Good</v>
      </c>
      <c r="S2616" t="s">
        <v>615</v>
      </c>
    </row>
    <row r="2617" spans="1:19" x14ac:dyDescent="0.2">
      <c r="A2617" t="s">
        <v>3228</v>
      </c>
      <c r="B2617" t="s">
        <v>67</v>
      </c>
      <c r="C2617" t="s">
        <v>597</v>
      </c>
      <c r="D2617">
        <v>4915.91</v>
      </c>
      <c r="E2617" s="37" t="str">
        <f t="shared" si="200"/>
        <v>Excellent Order</v>
      </c>
      <c r="F2617">
        <v>0.21</v>
      </c>
      <c r="G2617" s="37" t="str">
        <f t="shared" si="201"/>
        <v>Normal Discount</v>
      </c>
      <c r="H2617" s="37" t="str">
        <f t="shared" si="202"/>
        <v>Medium</v>
      </c>
      <c r="I2617">
        <v>3</v>
      </c>
      <c r="J2617" t="str" cm="1">
        <f t="array" ref="J2617">_xlfn.IFS(I2617&lt;=3,"small",I2617&lt;=6,"Medium",I2617&lt;=9,"Large")</f>
        <v>small</v>
      </c>
      <c r="K2617" s="36">
        <v>45121</v>
      </c>
      <c r="L2617" s="36">
        <v>45127</v>
      </c>
      <c r="M2617" t="s">
        <v>598</v>
      </c>
      <c r="N2617" t="s">
        <v>599</v>
      </c>
      <c r="O2617" s="37" t="str">
        <f t="shared" si="203"/>
        <v>Digital Payment</v>
      </c>
      <c r="P2617">
        <v>961.96</v>
      </c>
      <c r="Q2617" s="37" t="str">
        <f>IF(P2617&gt;500,"High","low")</f>
        <v>High</v>
      </c>
      <c r="R2617" s="37" t="str">
        <f t="shared" si="204"/>
        <v>Good</v>
      </c>
      <c r="S2617" t="s">
        <v>615</v>
      </c>
    </row>
    <row r="2618" spans="1:19" x14ac:dyDescent="0.2">
      <c r="A2618" t="s">
        <v>3229</v>
      </c>
      <c r="B2618" t="s">
        <v>83</v>
      </c>
      <c r="C2618" t="s">
        <v>617</v>
      </c>
      <c r="D2618">
        <v>4706.05</v>
      </c>
      <c r="E2618" s="37" t="str">
        <f t="shared" si="200"/>
        <v>Excellent Order</v>
      </c>
      <c r="F2618">
        <v>0.47</v>
      </c>
      <c r="G2618" s="37" t="str">
        <f t="shared" si="201"/>
        <v>Heavy Discount</v>
      </c>
      <c r="H2618" s="37" t="str">
        <f t="shared" si="202"/>
        <v>High</v>
      </c>
      <c r="I2618">
        <v>2</v>
      </c>
      <c r="J2618" t="str" cm="1">
        <f t="array" ref="J2618">_xlfn.IFS(I2618&lt;=3,"small",I2618&lt;=6,"Medium",I2618&lt;=9,"Large")</f>
        <v>small</v>
      </c>
      <c r="K2618" s="36">
        <v>45192</v>
      </c>
      <c r="L2618" s="36">
        <v>45196</v>
      </c>
      <c r="M2618" t="s">
        <v>598</v>
      </c>
      <c r="N2618" t="s">
        <v>599</v>
      </c>
      <c r="O2618" s="37" t="str">
        <f t="shared" si="203"/>
        <v>Digital Payment</v>
      </c>
      <c r="P2618">
        <v>1393.37</v>
      </c>
      <c r="Q2618" s="37" t="str">
        <f>IF(P2618&gt;500,"High","low")</f>
        <v>High</v>
      </c>
      <c r="R2618" s="37" t="str">
        <f t="shared" si="204"/>
        <v>Excellent</v>
      </c>
      <c r="S2618" t="s">
        <v>609</v>
      </c>
    </row>
    <row r="2619" spans="1:19" x14ac:dyDescent="0.2">
      <c r="A2619" t="s">
        <v>3230</v>
      </c>
      <c r="B2619" t="s">
        <v>90</v>
      </c>
      <c r="C2619" t="s">
        <v>607</v>
      </c>
      <c r="D2619">
        <v>4781.6400000000003</v>
      </c>
      <c r="E2619" s="37" t="str">
        <f t="shared" si="200"/>
        <v xml:space="preserve"> </v>
      </c>
      <c r="F2619">
        <v>0.39</v>
      </c>
      <c r="G2619" s="37" t="str">
        <f t="shared" si="201"/>
        <v>Heavy Discount</v>
      </c>
      <c r="H2619" s="37" t="str">
        <f t="shared" si="202"/>
        <v>Medium</v>
      </c>
      <c r="I2619">
        <v>6</v>
      </c>
      <c r="J2619" t="str" cm="1">
        <f t="array" ref="J2619">_xlfn.IFS(I2619&lt;=3,"small",I2619&lt;=6,"Medium",I2619&lt;=9,"Large")</f>
        <v>Medium</v>
      </c>
      <c r="K2619" s="36">
        <v>45609</v>
      </c>
      <c r="L2619" s="36">
        <v>45616</v>
      </c>
      <c r="M2619" t="s">
        <v>598</v>
      </c>
      <c r="N2619" t="s">
        <v>604</v>
      </c>
      <c r="O2619" s="37" t="str">
        <f t="shared" si="203"/>
        <v>Digital Payment</v>
      </c>
      <c r="P2619">
        <v>315.11</v>
      </c>
      <c r="Q2619" s="37" t="str">
        <f>IF(P2619&gt;500,"High","low")</f>
        <v>low</v>
      </c>
      <c r="R2619" s="37" t="str">
        <f t="shared" si="204"/>
        <v>AVERAGE</v>
      </c>
      <c r="S2619" t="s">
        <v>615</v>
      </c>
    </row>
    <row r="2620" spans="1:19" x14ac:dyDescent="0.2">
      <c r="A2620" t="s">
        <v>3231</v>
      </c>
      <c r="B2620" t="s">
        <v>90</v>
      </c>
      <c r="C2620" t="s">
        <v>597</v>
      </c>
      <c r="D2620">
        <v>4418.49</v>
      </c>
      <c r="E2620" s="37" t="str">
        <f t="shared" si="200"/>
        <v xml:space="preserve"> </v>
      </c>
      <c r="F2620">
        <v>0.13</v>
      </c>
      <c r="G2620" s="37" t="str">
        <f t="shared" si="201"/>
        <v>Normal Discount</v>
      </c>
      <c r="H2620" s="37" t="str">
        <f t="shared" si="202"/>
        <v>Low</v>
      </c>
      <c r="I2620">
        <v>7</v>
      </c>
      <c r="J2620" t="str" cm="1">
        <f t="array" ref="J2620">_xlfn.IFS(I2620&lt;=3,"small",I2620&lt;=6,"Medium",I2620&lt;=9,"Large")</f>
        <v>Large</v>
      </c>
      <c r="K2620" s="36">
        <v>45263</v>
      </c>
      <c r="L2620" s="36">
        <v>45266</v>
      </c>
      <c r="M2620" t="s">
        <v>603</v>
      </c>
      <c r="N2620" t="s">
        <v>604</v>
      </c>
      <c r="O2620" s="37" t="str">
        <f t="shared" si="203"/>
        <v>Digital Payment</v>
      </c>
      <c r="P2620">
        <v>528.04999999999995</v>
      </c>
      <c r="Q2620" s="37" t="str">
        <f>IF(P2620&gt;500,"High","low")</f>
        <v>High</v>
      </c>
      <c r="R2620" s="37" t="str">
        <f t="shared" si="204"/>
        <v>Good</v>
      </c>
      <c r="S2620" t="s">
        <v>615</v>
      </c>
    </row>
    <row r="2621" spans="1:19" x14ac:dyDescent="0.2">
      <c r="A2621" t="s">
        <v>3232</v>
      </c>
      <c r="B2621" t="s">
        <v>90</v>
      </c>
      <c r="C2621" t="s">
        <v>602</v>
      </c>
      <c r="D2621">
        <v>1350.26</v>
      </c>
      <c r="E2621" s="37" t="str">
        <f t="shared" si="200"/>
        <v xml:space="preserve"> </v>
      </c>
      <c r="F2621">
        <v>0.23</v>
      </c>
      <c r="G2621" s="37" t="str">
        <f t="shared" si="201"/>
        <v>Normal Discount</v>
      </c>
      <c r="H2621" s="37" t="str">
        <f t="shared" si="202"/>
        <v>Medium</v>
      </c>
      <c r="I2621">
        <v>4</v>
      </c>
      <c r="J2621" t="str" cm="1">
        <f t="array" ref="J2621">_xlfn.IFS(I2621&lt;=3,"small",I2621&lt;=6,"Medium",I2621&lt;=9,"Large")</f>
        <v>Medium</v>
      </c>
      <c r="K2621" s="36">
        <v>45202</v>
      </c>
      <c r="L2621" s="36">
        <v>45209</v>
      </c>
      <c r="M2621" t="s">
        <v>603</v>
      </c>
      <c r="N2621" t="s">
        <v>608</v>
      </c>
      <c r="O2621" s="37" t="str">
        <f t="shared" si="203"/>
        <v>Cash Payment</v>
      </c>
      <c r="P2621">
        <v>266.62</v>
      </c>
      <c r="Q2621" s="37" t="str">
        <f>IF(P2621&gt;500,"High","low")</f>
        <v>low</v>
      </c>
      <c r="R2621" s="37" t="str">
        <f t="shared" si="204"/>
        <v>AVERAGE</v>
      </c>
      <c r="S2621" t="s">
        <v>605</v>
      </c>
    </row>
    <row r="2622" spans="1:19" x14ac:dyDescent="0.2">
      <c r="A2622" t="s">
        <v>3233</v>
      </c>
      <c r="B2622" t="s">
        <v>90</v>
      </c>
      <c r="C2622" t="s">
        <v>614</v>
      </c>
      <c r="D2622">
        <v>1814.88</v>
      </c>
      <c r="E2622" s="37" t="str">
        <f t="shared" si="200"/>
        <v xml:space="preserve"> </v>
      </c>
      <c r="F2622">
        <v>0.44</v>
      </c>
      <c r="G2622" s="37" t="str">
        <f t="shared" si="201"/>
        <v>Heavy Discount</v>
      </c>
      <c r="H2622" s="37" t="str">
        <f t="shared" si="202"/>
        <v>High</v>
      </c>
      <c r="I2622">
        <v>9</v>
      </c>
      <c r="J2622" t="str" cm="1">
        <f t="array" ref="J2622">_xlfn.IFS(I2622&lt;=3,"small",I2622&lt;=6,"Medium",I2622&lt;=9,"Large")</f>
        <v>Large</v>
      </c>
      <c r="K2622" s="36">
        <v>45420</v>
      </c>
      <c r="L2622" s="36">
        <v>45423</v>
      </c>
      <c r="M2622" t="s">
        <v>598</v>
      </c>
      <c r="N2622" t="s">
        <v>604</v>
      </c>
      <c r="O2622" s="37" t="str">
        <f t="shared" si="203"/>
        <v>Digital Payment</v>
      </c>
      <c r="P2622">
        <v>434.11</v>
      </c>
      <c r="Q2622" s="37" t="str">
        <f>IF(P2622&gt;500,"High","low")</f>
        <v>low</v>
      </c>
      <c r="R2622" s="37" t="str">
        <f t="shared" si="204"/>
        <v>AVERAGE</v>
      </c>
      <c r="S2622" t="s">
        <v>628</v>
      </c>
    </row>
    <row r="2623" spans="1:19" x14ac:dyDescent="0.2">
      <c r="A2623" t="s">
        <v>3234</v>
      </c>
      <c r="B2623" t="s">
        <v>90</v>
      </c>
      <c r="C2623" t="s">
        <v>597</v>
      </c>
      <c r="D2623">
        <v>1232.17</v>
      </c>
      <c r="E2623" s="37" t="str">
        <f t="shared" si="200"/>
        <v xml:space="preserve"> </v>
      </c>
      <c r="F2623">
        <v>0.01</v>
      </c>
      <c r="G2623" s="37" t="str">
        <f t="shared" si="201"/>
        <v>Normal Discount</v>
      </c>
      <c r="H2623" s="37" t="str">
        <f t="shared" si="202"/>
        <v>Low</v>
      </c>
      <c r="I2623">
        <v>3</v>
      </c>
      <c r="J2623" t="str" cm="1">
        <f t="array" ref="J2623">_xlfn.IFS(I2623&lt;=3,"small",I2623&lt;=6,"Medium",I2623&lt;=9,"Large")</f>
        <v>small</v>
      </c>
      <c r="K2623" s="36">
        <v>45171</v>
      </c>
      <c r="L2623" s="36">
        <v>45174</v>
      </c>
      <c r="M2623" t="s">
        <v>598</v>
      </c>
      <c r="N2623" t="s">
        <v>608</v>
      </c>
      <c r="O2623" s="37" t="str">
        <f t="shared" si="203"/>
        <v>Cash Payment</v>
      </c>
      <c r="P2623">
        <v>336.95</v>
      </c>
      <c r="Q2623" s="37" t="str">
        <f>IF(P2623&gt;500,"High","low")</f>
        <v>low</v>
      </c>
      <c r="R2623" s="37" t="str">
        <f t="shared" si="204"/>
        <v>AVERAGE</v>
      </c>
      <c r="S2623" t="s">
        <v>605</v>
      </c>
    </row>
    <row r="2624" spans="1:19" x14ac:dyDescent="0.2">
      <c r="A2624" t="s">
        <v>3235</v>
      </c>
      <c r="B2624" t="s">
        <v>67</v>
      </c>
      <c r="C2624" t="s">
        <v>602</v>
      </c>
      <c r="D2624">
        <v>4932.2700000000004</v>
      </c>
      <c r="E2624" s="37" t="str">
        <f t="shared" si="200"/>
        <v xml:space="preserve"> </v>
      </c>
      <c r="F2624">
        <v>0.28999999999999998</v>
      </c>
      <c r="G2624" s="37" t="str">
        <f t="shared" si="201"/>
        <v>Normal Discount</v>
      </c>
      <c r="H2624" s="37" t="str">
        <f t="shared" si="202"/>
        <v>Medium</v>
      </c>
      <c r="I2624">
        <v>2</v>
      </c>
      <c r="J2624" t="str" cm="1">
        <f t="array" ref="J2624">_xlfn.IFS(I2624&lt;=3,"small",I2624&lt;=6,"Medium",I2624&lt;=9,"Large")</f>
        <v>small</v>
      </c>
      <c r="K2624" s="36">
        <v>44954</v>
      </c>
      <c r="L2624" s="36">
        <v>44960</v>
      </c>
      <c r="M2624" t="s">
        <v>598</v>
      </c>
      <c r="N2624" t="s">
        <v>599</v>
      </c>
      <c r="O2624" s="37" t="str">
        <f t="shared" si="203"/>
        <v>Digital Payment</v>
      </c>
      <c r="P2624">
        <v>368.04</v>
      </c>
      <c r="Q2624" s="37" t="str">
        <f>IF(P2624&gt;500,"High","low")</f>
        <v>low</v>
      </c>
      <c r="R2624" s="37" t="str">
        <f t="shared" si="204"/>
        <v>AVERAGE</v>
      </c>
      <c r="S2624" t="s">
        <v>600</v>
      </c>
    </row>
    <row r="2625" spans="1:19" x14ac:dyDescent="0.2">
      <c r="A2625" t="s">
        <v>3236</v>
      </c>
      <c r="B2625" t="s">
        <v>67</v>
      </c>
      <c r="C2625" t="s">
        <v>614</v>
      </c>
      <c r="D2625">
        <v>848.04</v>
      </c>
      <c r="E2625" s="37" t="str">
        <f t="shared" si="200"/>
        <v xml:space="preserve"> </v>
      </c>
      <c r="F2625">
        <v>0.12</v>
      </c>
      <c r="G2625" s="37" t="str">
        <f t="shared" si="201"/>
        <v>Normal Discount</v>
      </c>
      <c r="H2625" s="37" t="str">
        <f t="shared" si="202"/>
        <v>Low</v>
      </c>
      <c r="I2625">
        <v>5</v>
      </c>
      <c r="J2625" t="str" cm="1">
        <f t="array" ref="J2625">_xlfn.IFS(I2625&lt;=3,"small",I2625&lt;=6,"Medium",I2625&lt;=9,"Large")</f>
        <v>Medium</v>
      </c>
      <c r="K2625" s="36">
        <v>45130</v>
      </c>
      <c r="L2625" s="36">
        <v>45135</v>
      </c>
      <c r="M2625" t="s">
        <v>603</v>
      </c>
      <c r="N2625" t="s">
        <v>608</v>
      </c>
      <c r="O2625" s="37" t="str">
        <f t="shared" si="203"/>
        <v>Cash Payment</v>
      </c>
      <c r="P2625">
        <v>101.64</v>
      </c>
      <c r="Q2625" s="37" t="str">
        <f>IF(P2625&gt;500,"High","low")</f>
        <v>low</v>
      </c>
      <c r="R2625" s="37" t="str">
        <f t="shared" si="204"/>
        <v>AVERAGE</v>
      </c>
      <c r="S2625" t="s">
        <v>628</v>
      </c>
    </row>
    <row r="2626" spans="1:19" x14ac:dyDescent="0.2">
      <c r="A2626" t="s">
        <v>3237</v>
      </c>
      <c r="B2626" t="s">
        <v>67</v>
      </c>
      <c r="C2626" t="s">
        <v>617</v>
      </c>
      <c r="D2626">
        <v>1895.91</v>
      </c>
      <c r="E2626" s="37" t="str">
        <f t="shared" si="200"/>
        <v xml:space="preserve"> </v>
      </c>
      <c r="F2626">
        <v>0.03</v>
      </c>
      <c r="G2626" s="37" t="str">
        <f t="shared" si="201"/>
        <v>Normal Discount</v>
      </c>
      <c r="H2626" s="37" t="str">
        <f t="shared" si="202"/>
        <v>Low</v>
      </c>
      <c r="I2626">
        <v>9</v>
      </c>
      <c r="J2626" t="str" cm="1">
        <f t="array" ref="J2626">_xlfn.IFS(I2626&lt;=3,"small",I2626&lt;=6,"Medium",I2626&lt;=9,"Large")</f>
        <v>Large</v>
      </c>
      <c r="K2626" s="36">
        <v>45239</v>
      </c>
      <c r="L2626" s="36">
        <v>45244</v>
      </c>
      <c r="M2626" t="s">
        <v>603</v>
      </c>
      <c r="N2626" t="s">
        <v>608</v>
      </c>
      <c r="O2626" s="37" t="str">
        <f t="shared" si="203"/>
        <v>Cash Payment</v>
      </c>
      <c r="P2626">
        <v>148.59</v>
      </c>
      <c r="Q2626" s="37" t="str">
        <f>IF(P2626&gt;500,"High","low")</f>
        <v>low</v>
      </c>
      <c r="R2626" s="37" t="str">
        <f t="shared" si="204"/>
        <v>AVERAGE</v>
      </c>
      <c r="S2626" t="s">
        <v>609</v>
      </c>
    </row>
    <row r="2627" spans="1:19" x14ac:dyDescent="0.2">
      <c r="A2627" t="s">
        <v>3238</v>
      </c>
      <c r="B2627" t="s">
        <v>83</v>
      </c>
      <c r="C2627" t="s">
        <v>597</v>
      </c>
      <c r="D2627">
        <v>1075.32</v>
      </c>
      <c r="E2627" s="37" t="str">
        <f t="shared" ref="E2627:E2690" si="205">IF(AND(D2627&gt;4000,P2627&gt;800),"Excellent Order"," ")</f>
        <v xml:space="preserve"> </v>
      </c>
      <c r="F2627">
        <v>0.46</v>
      </c>
      <c r="G2627" s="37" t="str">
        <f t="shared" ref="G2627:G2690" si="206">IF(F2627&gt;30%,"Heavy Discount","Normal Discount")</f>
        <v>Heavy Discount</v>
      </c>
      <c r="H2627" s="37" t="str">
        <f t="shared" ref="H2627:H2690" si="207">IF(F2627&gt;0.4,"High",IF(F2627&gt;=0.2,"Medium","Low"))</f>
        <v>High</v>
      </c>
      <c r="I2627">
        <v>1</v>
      </c>
      <c r="J2627" t="str" cm="1">
        <f t="array" ref="J2627">_xlfn.IFS(I2627&lt;=3,"small",I2627&lt;=6,"Medium",I2627&lt;=9,"Large")</f>
        <v>small</v>
      </c>
      <c r="K2627" s="36">
        <v>45291</v>
      </c>
      <c r="L2627" s="36">
        <v>45298</v>
      </c>
      <c r="M2627" t="s">
        <v>612</v>
      </c>
      <c r="N2627" t="s">
        <v>599</v>
      </c>
      <c r="O2627" s="37" t="str">
        <f t="shared" ref="O2627:O2690" si="208">IF(OR(N2627="Card",N2627="UPI"),"Digital Payment","Cash Payment")</f>
        <v>Digital Payment</v>
      </c>
      <c r="P2627">
        <v>73.44</v>
      </c>
      <c r="Q2627" s="37" t="str">
        <f>IF(P2627&gt;500,"High","low")</f>
        <v>low</v>
      </c>
      <c r="R2627" s="37" t="str">
        <f t="shared" ref="R2627:R2690" si="209">IF(P2627&gt;1000,"Excellent",IF(P2627&gt;=500,"Good","AVERAGE"))</f>
        <v>AVERAGE</v>
      </c>
      <c r="S2627" t="s">
        <v>609</v>
      </c>
    </row>
    <row r="2628" spans="1:19" x14ac:dyDescent="0.2">
      <c r="A2628" t="s">
        <v>3239</v>
      </c>
      <c r="B2628" t="s">
        <v>83</v>
      </c>
      <c r="C2628" t="s">
        <v>597</v>
      </c>
      <c r="D2628">
        <v>1194.92</v>
      </c>
      <c r="E2628" s="37" t="str">
        <f t="shared" si="205"/>
        <v xml:space="preserve"> </v>
      </c>
      <c r="F2628">
        <v>0.41</v>
      </c>
      <c r="G2628" s="37" t="str">
        <f t="shared" si="206"/>
        <v>Heavy Discount</v>
      </c>
      <c r="H2628" s="37" t="str">
        <f t="shared" si="207"/>
        <v>High</v>
      </c>
      <c r="I2628">
        <v>6</v>
      </c>
      <c r="J2628" t="str" cm="1">
        <f t="array" ref="J2628">_xlfn.IFS(I2628&lt;=3,"small",I2628&lt;=6,"Medium",I2628&lt;=9,"Large")</f>
        <v>Medium</v>
      </c>
      <c r="K2628" s="36">
        <v>44963</v>
      </c>
      <c r="L2628" s="36">
        <v>44967</v>
      </c>
      <c r="M2628" t="s">
        <v>603</v>
      </c>
      <c r="N2628" t="s">
        <v>599</v>
      </c>
      <c r="O2628" s="37" t="str">
        <f t="shared" si="208"/>
        <v>Digital Payment</v>
      </c>
      <c r="P2628">
        <v>65.42</v>
      </c>
      <c r="Q2628" s="37" t="str">
        <f>IF(P2628&gt;500,"High","low")</f>
        <v>low</v>
      </c>
      <c r="R2628" s="37" t="str">
        <f t="shared" si="209"/>
        <v>AVERAGE</v>
      </c>
      <c r="S2628" t="s">
        <v>605</v>
      </c>
    </row>
    <row r="2629" spans="1:19" x14ac:dyDescent="0.2">
      <c r="A2629" t="s">
        <v>3240</v>
      </c>
      <c r="B2629" t="s">
        <v>83</v>
      </c>
      <c r="C2629" t="s">
        <v>602</v>
      </c>
      <c r="D2629">
        <v>1310.73</v>
      </c>
      <c r="E2629" s="37" t="str">
        <f t="shared" si="205"/>
        <v xml:space="preserve"> </v>
      </c>
      <c r="F2629">
        <v>0.09</v>
      </c>
      <c r="G2629" s="37" t="str">
        <f t="shared" si="206"/>
        <v>Normal Discount</v>
      </c>
      <c r="H2629" s="37" t="str">
        <f t="shared" si="207"/>
        <v>Low</v>
      </c>
      <c r="I2629">
        <v>8</v>
      </c>
      <c r="J2629" t="str" cm="1">
        <f t="array" ref="J2629">_xlfn.IFS(I2629&lt;=3,"small",I2629&lt;=6,"Medium",I2629&lt;=9,"Large")</f>
        <v>Large</v>
      </c>
      <c r="K2629" s="36">
        <v>45318</v>
      </c>
      <c r="L2629" s="36">
        <v>45324</v>
      </c>
      <c r="M2629" t="s">
        <v>612</v>
      </c>
      <c r="N2629" t="s">
        <v>604</v>
      </c>
      <c r="O2629" s="37" t="str">
        <f t="shared" si="208"/>
        <v>Digital Payment</v>
      </c>
      <c r="P2629">
        <v>329.02</v>
      </c>
      <c r="Q2629" s="37" t="str">
        <f>IF(P2629&gt;500,"High","low")</f>
        <v>low</v>
      </c>
      <c r="R2629" s="37" t="str">
        <f t="shared" si="209"/>
        <v>AVERAGE</v>
      </c>
      <c r="S2629" t="s">
        <v>615</v>
      </c>
    </row>
    <row r="2630" spans="1:19" x14ac:dyDescent="0.2">
      <c r="A2630" t="s">
        <v>3241</v>
      </c>
      <c r="B2630" t="s">
        <v>83</v>
      </c>
      <c r="C2630" t="s">
        <v>607</v>
      </c>
      <c r="D2630">
        <v>3234.39</v>
      </c>
      <c r="E2630" s="37" t="str">
        <f t="shared" si="205"/>
        <v xml:space="preserve"> </v>
      </c>
      <c r="F2630">
        <v>0.42</v>
      </c>
      <c r="G2630" s="37" t="str">
        <f t="shared" si="206"/>
        <v>Heavy Discount</v>
      </c>
      <c r="H2630" s="37" t="str">
        <f t="shared" si="207"/>
        <v>High</v>
      </c>
      <c r="I2630">
        <v>7</v>
      </c>
      <c r="J2630" t="str" cm="1">
        <f t="array" ref="J2630">_xlfn.IFS(I2630&lt;=3,"small",I2630&lt;=6,"Medium",I2630&lt;=9,"Large")</f>
        <v>Large</v>
      </c>
      <c r="K2630" s="36">
        <v>45543</v>
      </c>
      <c r="L2630" s="36">
        <v>45546</v>
      </c>
      <c r="M2630" t="s">
        <v>612</v>
      </c>
      <c r="N2630" t="s">
        <v>608</v>
      </c>
      <c r="O2630" s="37" t="str">
        <f t="shared" si="208"/>
        <v>Cash Payment</v>
      </c>
      <c r="P2630">
        <v>288.14</v>
      </c>
      <c r="Q2630" s="37" t="str">
        <f>IF(P2630&gt;500,"High","low")</f>
        <v>low</v>
      </c>
      <c r="R2630" s="37" t="str">
        <f t="shared" si="209"/>
        <v>AVERAGE</v>
      </c>
      <c r="S2630" t="s">
        <v>609</v>
      </c>
    </row>
    <row r="2631" spans="1:19" x14ac:dyDescent="0.2">
      <c r="A2631" t="s">
        <v>3242</v>
      </c>
      <c r="B2631" t="s">
        <v>90</v>
      </c>
      <c r="C2631" t="s">
        <v>617</v>
      </c>
      <c r="D2631">
        <v>472.64</v>
      </c>
      <c r="E2631" s="37" t="str">
        <f t="shared" si="205"/>
        <v xml:space="preserve"> </v>
      </c>
      <c r="F2631">
        <v>7.0000000000000007E-2</v>
      </c>
      <c r="G2631" s="37" t="str">
        <f t="shared" si="206"/>
        <v>Normal Discount</v>
      </c>
      <c r="H2631" s="37" t="str">
        <f t="shared" si="207"/>
        <v>Low</v>
      </c>
      <c r="I2631">
        <v>6</v>
      </c>
      <c r="J2631" t="str" cm="1">
        <f t="array" ref="J2631">_xlfn.IFS(I2631&lt;=3,"small",I2631&lt;=6,"Medium",I2631&lt;=9,"Large")</f>
        <v>Medium</v>
      </c>
      <c r="K2631" s="36">
        <v>45169</v>
      </c>
      <c r="L2631" s="36">
        <v>45176</v>
      </c>
      <c r="M2631" t="s">
        <v>598</v>
      </c>
      <c r="N2631" t="s">
        <v>604</v>
      </c>
      <c r="O2631" s="37" t="str">
        <f t="shared" si="208"/>
        <v>Digital Payment</v>
      </c>
      <c r="P2631">
        <v>69.45</v>
      </c>
      <c r="Q2631" s="37" t="str">
        <f>IF(P2631&gt;500,"High","low")</f>
        <v>low</v>
      </c>
      <c r="R2631" s="37" t="str">
        <f t="shared" si="209"/>
        <v>AVERAGE</v>
      </c>
      <c r="S2631" t="s">
        <v>620</v>
      </c>
    </row>
    <row r="2632" spans="1:19" x14ac:dyDescent="0.2">
      <c r="A2632" t="s">
        <v>3243</v>
      </c>
      <c r="B2632" t="s">
        <v>90</v>
      </c>
      <c r="C2632" t="s">
        <v>607</v>
      </c>
      <c r="D2632">
        <v>2905.4</v>
      </c>
      <c r="E2632" s="37" t="str">
        <f t="shared" si="205"/>
        <v xml:space="preserve"> </v>
      </c>
      <c r="F2632">
        <v>0.24</v>
      </c>
      <c r="G2632" s="37" t="str">
        <f t="shared" si="206"/>
        <v>Normal Discount</v>
      </c>
      <c r="H2632" s="37" t="str">
        <f t="shared" si="207"/>
        <v>Medium</v>
      </c>
      <c r="I2632">
        <v>3</v>
      </c>
      <c r="J2632" t="str" cm="1">
        <f t="array" ref="J2632">_xlfn.IFS(I2632&lt;=3,"small",I2632&lt;=6,"Medium",I2632&lt;=9,"Large")</f>
        <v>small</v>
      </c>
      <c r="K2632" s="36">
        <v>45026</v>
      </c>
      <c r="L2632" s="36">
        <v>45029</v>
      </c>
      <c r="M2632" t="s">
        <v>598</v>
      </c>
      <c r="N2632" t="s">
        <v>608</v>
      </c>
      <c r="O2632" s="37" t="str">
        <f t="shared" si="208"/>
        <v>Cash Payment</v>
      </c>
      <c r="P2632">
        <v>154.05000000000001</v>
      </c>
      <c r="Q2632" s="37" t="str">
        <f>IF(P2632&gt;500,"High","low")</f>
        <v>low</v>
      </c>
      <c r="R2632" s="37" t="str">
        <f t="shared" si="209"/>
        <v>AVERAGE</v>
      </c>
      <c r="S2632" t="s">
        <v>620</v>
      </c>
    </row>
    <row r="2633" spans="1:19" x14ac:dyDescent="0.2">
      <c r="A2633" t="s">
        <v>3244</v>
      </c>
      <c r="B2633" t="s">
        <v>90</v>
      </c>
      <c r="C2633" t="s">
        <v>597</v>
      </c>
      <c r="D2633">
        <v>4114.5</v>
      </c>
      <c r="E2633" s="37" t="str">
        <f t="shared" si="205"/>
        <v>Excellent Order</v>
      </c>
      <c r="F2633">
        <v>0.36</v>
      </c>
      <c r="G2633" s="37" t="str">
        <f t="shared" si="206"/>
        <v>Heavy Discount</v>
      </c>
      <c r="H2633" s="37" t="str">
        <f t="shared" si="207"/>
        <v>Medium</v>
      </c>
      <c r="I2633">
        <v>9</v>
      </c>
      <c r="J2633" t="str" cm="1">
        <f t="array" ref="J2633">_xlfn.IFS(I2633&lt;=3,"small",I2633&lt;=6,"Medium",I2633&lt;=9,"Large")</f>
        <v>Large</v>
      </c>
      <c r="K2633" s="36">
        <v>44970</v>
      </c>
      <c r="L2633" s="36">
        <v>44973</v>
      </c>
      <c r="M2633" t="s">
        <v>612</v>
      </c>
      <c r="N2633" t="s">
        <v>608</v>
      </c>
      <c r="O2633" s="37" t="str">
        <f t="shared" si="208"/>
        <v>Cash Payment</v>
      </c>
      <c r="P2633">
        <v>1059.24</v>
      </c>
      <c r="Q2633" s="37" t="str">
        <f>IF(P2633&gt;500,"High","low")</f>
        <v>High</v>
      </c>
      <c r="R2633" s="37" t="str">
        <f t="shared" si="209"/>
        <v>Excellent</v>
      </c>
      <c r="S2633" t="s">
        <v>620</v>
      </c>
    </row>
    <row r="2634" spans="1:19" x14ac:dyDescent="0.2">
      <c r="A2634" t="s">
        <v>3245</v>
      </c>
      <c r="B2634" t="s">
        <v>75</v>
      </c>
      <c r="C2634" t="s">
        <v>607</v>
      </c>
      <c r="D2634">
        <v>3855.97</v>
      </c>
      <c r="E2634" s="37" t="str">
        <f t="shared" si="205"/>
        <v xml:space="preserve"> </v>
      </c>
      <c r="F2634">
        <v>0.27</v>
      </c>
      <c r="G2634" s="37" t="str">
        <f t="shared" si="206"/>
        <v>Normal Discount</v>
      </c>
      <c r="H2634" s="37" t="str">
        <f t="shared" si="207"/>
        <v>Medium</v>
      </c>
      <c r="I2634">
        <v>5</v>
      </c>
      <c r="J2634" t="str" cm="1">
        <f t="array" ref="J2634">_xlfn.IFS(I2634&lt;=3,"small",I2634&lt;=6,"Medium",I2634&lt;=9,"Large")</f>
        <v>Medium</v>
      </c>
      <c r="K2634" s="36">
        <v>44991</v>
      </c>
      <c r="L2634" s="36">
        <v>44996</v>
      </c>
      <c r="M2634" t="s">
        <v>598</v>
      </c>
      <c r="N2634" t="s">
        <v>599</v>
      </c>
      <c r="O2634" s="37" t="str">
        <f t="shared" si="208"/>
        <v>Digital Payment</v>
      </c>
      <c r="P2634">
        <v>296.85000000000002</v>
      </c>
      <c r="Q2634" s="37" t="str">
        <f>IF(P2634&gt;500,"High","low")</f>
        <v>low</v>
      </c>
      <c r="R2634" s="37" t="str">
        <f t="shared" si="209"/>
        <v>AVERAGE</v>
      </c>
      <c r="S2634" t="s">
        <v>628</v>
      </c>
    </row>
    <row r="2635" spans="1:19" x14ac:dyDescent="0.2">
      <c r="A2635" t="s">
        <v>3246</v>
      </c>
      <c r="B2635" t="s">
        <v>67</v>
      </c>
      <c r="C2635" t="s">
        <v>614</v>
      </c>
      <c r="D2635">
        <v>840.74</v>
      </c>
      <c r="E2635" s="37" t="str">
        <f t="shared" si="205"/>
        <v xml:space="preserve"> </v>
      </c>
      <c r="F2635">
        <v>0.43</v>
      </c>
      <c r="G2635" s="37" t="str">
        <f t="shared" si="206"/>
        <v>Heavy Discount</v>
      </c>
      <c r="H2635" s="37" t="str">
        <f t="shared" si="207"/>
        <v>High</v>
      </c>
      <c r="I2635">
        <v>1</v>
      </c>
      <c r="J2635" t="str" cm="1">
        <f t="array" ref="J2635">_xlfn.IFS(I2635&lt;=3,"small",I2635&lt;=6,"Medium",I2635&lt;=9,"Large")</f>
        <v>small</v>
      </c>
      <c r="K2635" s="36">
        <v>45104</v>
      </c>
      <c r="L2635" s="36">
        <v>45108</v>
      </c>
      <c r="M2635" t="s">
        <v>612</v>
      </c>
      <c r="N2635" t="s">
        <v>599</v>
      </c>
      <c r="O2635" s="37" t="str">
        <f t="shared" si="208"/>
        <v>Digital Payment</v>
      </c>
      <c r="P2635">
        <v>135.44</v>
      </c>
      <c r="Q2635" s="37" t="str">
        <f>IF(P2635&gt;500,"High","low")</f>
        <v>low</v>
      </c>
      <c r="R2635" s="37" t="str">
        <f t="shared" si="209"/>
        <v>AVERAGE</v>
      </c>
      <c r="S2635" t="s">
        <v>600</v>
      </c>
    </row>
    <row r="2636" spans="1:19" x14ac:dyDescent="0.2">
      <c r="A2636" t="s">
        <v>3247</v>
      </c>
      <c r="B2636" t="s">
        <v>83</v>
      </c>
      <c r="C2636" t="s">
        <v>617</v>
      </c>
      <c r="D2636">
        <v>4582.1899999999996</v>
      </c>
      <c r="E2636" s="37" t="str">
        <f t="shared" si="205"/>
        <v xml:space="preserve"> </v>
      </c>
      <c r="F2636">
        <v>0.31</v>
      </c>
      <c r="G2636" s="37" t="str">
        <f t="shared" si="206"/>
        <v>Heavy Discount</v>
      </c>
      <c r="H2636" s="37" t="str">
        <f t="shared" si="207"/>
        <v>Medium</v>
      </c>
      <c r="I2636">
        <v>9</v>
      </c>
      <c r="J2636" t="str" cm="1">
        <f t="array" ref="J2636">_xlfn.IFS(I2636&lt;=3,"small",I2636&lt;=6,"Medium",I2636&lt;=9,"Large")</f>
        <v>Large</v>
      </c>
      <c r="K2636" s="36">
        <v>45073</v>
      </c>
      <c r="L2636" s="36">
        <v>45076</v>
      </c>
      <c r="M2636" t="s">
        <v>598</v>
      </c>
      <c r="N2636" t="s">
        <v>608</v>
      </c>
      <c r="O2636" s="37" t="str">
        <f t="shared" si="208"/>
        <v>Cash Payment</v>
      </c>
      <c r="P2636">
        <v>641.79</v>
      </c>
      <c r="Q2636" s="37" t="str">
        <f>IF(P2636&gt;500,"High","low")</f>
        <v>High</v>
      </c>
      <c r="R2636" s="37" t="str">
        <f t="shared" si="209"/>
        <v>Good</v>
      </c>
      <c r="S2636" t="s">
        <v>600</v>
      </c>
    </row>
    <row r="2637" spans="1:19" x14ac:dyDescent="0.2">
      <c r="A2637" t="s">
        <v>3248</v>
      </c>
      <c r="B2637" t="s">
        <v>83</v>
      </c>
      <c r="C2637" t="s">
        <v>607</v>
      </c>
      <c r="D2637">
        <v>3873.44</v>
      </c>
      <c r="E2637" s="37" t="str">
        <f t="shared" si="205"/>
        <v xml:space="preserve"> </v>
      </c>
      <c r="F2637">
        <v>0.22</v>
      </c>
      <c r="G2637" s="37" t="str">
        <f t="shared" si="206"/>
        <v>Normal Discount</v>
      </c>
      <c r="H2637" s="37" t="str">
        <f t="shared" si="207"/>
        <v>Medium</v>
      </c>
      <c r="I2637">
        <v>9</v>
      </c>
      <c r="J2637" t="str" cm="1">
        <f t="array" ref="J2637">_xlfn.IFS(I2637&lt;=3,"small",I2637&lt;=6,"Medium",I2637&lt;=9,"Large")</f>
        <v>Large</v>
      </c>
      <c r="K2637" s="36">
        <v>45487</v>
      </c>
      <c r="L2637" s="36">
        <v>45494</v>
      </c>
      <c r="M2637" t="s">
        <v>603</v>
      </c>
      <c r="N2637" t="s">
        <v>604</v>
      </c>
      <c r="O2637" s="37" t="str">
        <f t="shared" si="208"/>
        <v>Digital Payment</v>
      </c>
      <c r="P2637">
        <v>439.51</v>
      </c>
      <c r="Q2637" s="37" t="str">
        <f>IF(P2637&gt;500,"High","low")</f>
        <v>low</v>
      </c>
      <c r="R2637" s="37" t="str">
        <f t="shared" si="209"/>
        <v>AVERAGE</v>
      </c>
      <c r="S2637" t="s">
        <v>605</v>
      </c>
    </row>
    <row r="2638" spans="1:19" x14ac:dyDescent="0.2">
      <c r="A2638" t="s">
        <v>3249</v>
      </c>
      <c r="B2638" t="s">
        <v>90</v>
      </c>
      <c r="C2638" t="s">
        <v>614</v>
      </c>
      <c r="D2638">
        <v>125.98</v>
      </c>
      <c r="E2638" s="37" t="str">
        <f t="shared" si="205"/>
        <v xml:space="preserve"> </v>
      </c>
      <c r="F2638">
        <v>0.46</v>
      </c>
      <c r="G2638" s="37" t="str">
        <f t="shared" si="206"/>
        <v>Heavy Discount</v>
      </c>
      <c r="H2638" s="37" t="str">
        <f t="shared" si="207"/>
        <v>High</v>
      </c>
      <c r="I2638">
        <v>1</v>
      </c>
      <c r="J2638" t="str" cm="1">
        <f t="array" ref="J2638">_xlfn.IFS(I2638&lt;=3,"small",I2638&lt;=6,"Medium",I2638&lt;=9,"Large")</f>
        <v>small</v>
      </c>
      <c r="K2638" s="36">
        <v>44993</v>
      </c>
      <c r="L2638" s="36">
        <v>44996</v>
      </c>
      <c r="M2638" t="s">
        <v>598</v>
      </c>
      <c r="N2638" t="s">
        <v>604</v>
      </c>
      <c r="O2638" s="37" t="str">
        <f t="shared" si="208"/>
        <v>Digital Payment</v>
      </c>
      <c r="P2638">
        <v>20.83</v>
      </c>
      <c r="Q2638" s="37" t="str">
        <f>IF(P2638&gt;500,"High","low")</f>
        <v>low</v>
      </c>
      <c r="R2638" s="37" t="str">
        <f t="shared" si="209"/>
        <v>AVERAGE</v>
      </c>
      <c r="S2638" t="s">
        <v>600</v>
      </c>
    </row>
    <row r="2639" spans="1:19" x14ac:dyDescent="0.2">
      <c r="A2639" t="s">
        <v>3250</v>
      </c>
      <c r="B2639" t="s">
        <v>83</v>
      </c>
      <c r="C2639" t="s">
        <v>602</v>
      </c>
      <c r="D2639">
        <v>3713.13</v>
      </c>
      <c r="E2639" s="37" t="str">
        <f t="shared" si="205"/>
        <v xml:space="preserve"> </v>
      </c>
      <c r="F2639">
        <v>0.02</v>
      </c>
      <c r="G2639" s="37" t="str">
        <f t="shared" si="206"/>
        <v>Normal Discount</v>
      </c>
      <c r="H2639" s="37" t="str">
        <f t="shared" si="207"/>
        <v>Low</v>
      </c>
      <c r="I2639">
        <v>7</v>
      </c>
      <c r="J2639" t="str" cm="1">
        <f t="array" ref="J2639">_xlfn.IFS(I2639&lt;=3,"small",I2639&lt;=6,"Medium",I2639&lt;=9,"Large")</f>
        <v>Large</v>
      </c>
      <c r="K2639" s="36">
        <v>45273</v>
      </c>
      <c r="L2639" s="36">
        <v>45280</v>
      </c>
      <c r="M2639" t="s">
        <v>612</v>
      </c>
      <c r="N2639" t="s">
        <v>608</v>
      </c>
      <c r="O2639" s="37" t="str">
        <f t="shared" si="208"/>
        <v>Cash Payment</v>
      </c>
      <c r="P2639">
        <v>222.16</v>
      </c>
      <c r="Q2639" s="37" t="str">
        <f>IF(P2639&gt;500,"High","low")</f>
        <v>low</v>
      </c>
      <c r="R2639" s="37" t="str">
        <f t="shared" si="209"/>
        <v>AVERAGE</v>
      </c>
      <c r="S2639" t="s">
        <v>628</v>
      </c>
    </row>
    <row r="2640" spans="1:19" x14ac:dyDescent="0.2">
      <c r="A2640" t="s">
        <v>3251</v>
      </c>
      <c r="B2640" t="s">
        <v>83</v>
      </c>
      <c r="C2640" t="s">
        <v>607</v>
      </c>
      <c r="D2640">
        <v>3713.37</v>
      </c>
      <c r="E2640" s="37" t="str">
        <f t="shared" si="205"/>
        <v xml:space="preserve"> </v>
      </c>
      <c r="F2640">
        <v>0.24</v>
      </c>
      <c r="G2640" s="37" t="str">
        <f t="shared" si="206"/>
        <v>Normal Discount</v>
      </c>
      <c r="H2640" s="37" t="str">
        <f t="shared" si="207"/>
        <v>Medium</v>
      </c>
      <c r="I2640">
        <v>9</v>
      </c>
      <c r="J2640" t="str" cm="1">
        <f t="array" ref="J2640">_xlfn.IFS(I2640&lt;=3,"small",I2640&lt;=6,"Medium",I2640&lt;=9,"Large")</f>
        <v>Large</v>
      </c>
      <c r="K2640" s="36">
        <v>44972</v>
      </c>
      <c r="L2640" s="36">
        <v>44974</v>
      </c>
      <c r="M2640" t="s">
        <v>612</v>
      </c>
      <c r="N2640" t="s">
        <v>599</v>
      </c>
      <c r="O2640" s="37" t="str">
        <f t="shared" si="208"/>
        <v>Digital Payment</v>
      </c>
      <c r="P2640">
        <v>523.95000000000005</v>
      </c>
      <c r="Q2640" s="37" t="str">
        <f>IF(P2640&gt;500,"High","low")</f>
        <v>High</v>
      </c>
      <c r="R2640" s="37" t="str">
        <f t="shared" si="209"/>
        <v>Good</v>
      </c>
      <c r="S2640" t="s">
        <v>628</v>
      </c>
    </row>
    <row r="2641" spans="1:19" x14ac:dyDescent="0.2">
      <c r="A2641" t="s">
        <v>3252</v>
      </c>
      <c r="B2641" t="s">
        <v>67</v>
      </c>
      <c r="C2641" t="s">
        <v>617</v>
      </c>
      <c r="D2641">
        <v>2534.4</v>
      </c>
      <c r="E2641" s="37" t="str">
        <f t="shared" si="205"/>
        <v xml:space="preserve"> </v>
      </c>
      <c r="F2641">
        <v>0.33</v>
      </c>
      <c r="G2641" s="37" t="str">
        <f t="shared" si="206"/>
        <v>Heavy Discount</v>
      </c>
      <c r="H2641" s="37" t="str">
        <f t="shared" si="207"/>
        <v>Medium</v>
      </c>
      <c r="I2641">
        <v>2</v>
      </c>
      <c r="J2641" t="str" cm="1">
        <f t="array" ref="J2641">_xlfn.IFS(I2641&lt;=3,"small",I2641&lt;=6,"Medium",I2641&lt;=9,"Large")</f>
        <v>small</v>
      </c>
      <c r="K2641" s="36">
        <v>44996</v>
      </c>
      <c r="L2641" s="36">
        <v>45002</v>
      </c>
      <c r="M2641" t="s">
        <v>603</v>
      </c>
      <c r="N2641" t="s">
        <v>608</v>
      </c>
      <c r="O2641" s="37" t="str">
        <f t="shared" si="208"/>
        <v>Cash Payment</v>
      </c>
      <c r="P2641">
        <v>467.77</v>
      </c>
      <c r="Q2641" s="37" t="str">
        <f>IF(P2641&gt;500,"High","low")</f>
        <v>low</v>
      </c>
      <c r="R2641" s="37" t="str">
        <f t="shared" si="209"/>
        <v>AVERAGE</v>
      </c>
      <c r="S2641" t="s">
        <v>620</v>
      </c>
    </row>
    <row r="2642" spans="1:19" x14ac:dyDescent="0.2">
      <c r="A2642" t="s">
        <v>3253</v>
      </c>
      <c r="B2642" t="s">
        <v>90</v>
      </c>
      <c r="C2642" t="s">
        <v>614</v>
      </c>
      <c r="D2642">
        <v>325.31</v>
      </c>
      <c r="E2642" s="37" t="str">
        <f t="shared" si="205"/>
        <v xml:space="preserve"> </v>
      </c>
      <c r="F2642">
        <v>0.42</v>
      </c>
      <c r="G2642" s="37" t="str">
        <f t="shared" si="206"/>
        <v>Heavy Discount</v>
      </c>
      <c r="H2642" s="37" t="str">
        <f t="shared" si="207"/>
        <v>High</v>
      </c>
      <c r="I2642">
        <v>6</v>
      </c>
      <c r="J2642" t="str" cm="1">
        <f t="array" ref="J2642">_xlfn.IFS(I2642&lt;=3,"small",I2642&lt;=6,"Medium",I2642&lt;=9,"Large")</f>
        <v>Medium</v>
      </c>
      <c r="K2642" s="36">
        <v>45340</v>
      </c>
      <c r="L2642" s="36">
        <v>45341</v>
      </c>
      <c r="M2642" t="s">
        <v>612</v>
      </c>
      <c r="N2642" t="s">
        <v>599</v>
      </c>
      <c r="O2642" s="37" t="str">
        <f t="shared" si="208"/>
        <v>Digital Payment</v>
      </c>
      <c r="P2642">
        <v>65.69</v>
      </c>
      <c r="Q2642" s="37" t="str">
        <f>IF(P2642&gt;500,"High","low")</f>
        <v>low</v>
      </c>
      <c r="R2642" s="37" t="str">
        <f t="shared" si="209"/>
        <v>AVERAGE</v>
      </c>
      <c r="S2642" t="s">
        <v>615</v>
      </c>
    </row>
    <row r="2643" spans="1:19" x14ac:dyDescent="0.2">
      <c r="A2643" t="s">
        <v>3254</v>
      </c>
      <c r="B2643" t="s">
        <v>67</v>
      </c>
      <c r="C2643" t="s">
        <v>607</v>
      </c>
      <c r="D2643">
        <v>2941.54</v>
      </c>
      <c r="E2643" s="37" t="str">
        <f t="shared" si="205"/>
        <v xml:space="preserve"> </v>
      </c>
      <c r="F2643">
        <v>0.27</v>
      </c>
      <c r="G2643" s="37" t="str">
        <f t="shared" si="206"/>
        <v>Normal Discount</v>
      </c>
      <c r="H2643" s="37" t="str">
        <f t="shared" si="207"/>
        <v>Medium</v>
      </c>
      <c r="I2643">
        <v>1</v>
      </c>
      <c r="J2643" t="str" cm="1">
        <f t="array" ref="J2643">_xlfn.IFS(I2643&lt;=3,"small",I2643&lt;=6,"Medium",I2643&lt;=9,"Large")</f>
        <v>small</v>
      </c>
      <c r="K2643" s="36">
        <v>45380</v>
      </c>
      <c r="L2643" s="36">
        <v>45386</v>
      </c>
      <c r="M2643" t="s">
        <v>603</v>
      </c>
      <c r="N2643" t="s">
        <v>599</v>
      </c>
      <c r="O2643" s="37" t="str">
        <f t="shared" si="208"/>
        <v>Digital Payment</v>
      </c>
      <c r="P2643">
        <v>550.09</v>
      </c>
      <c r="Q2643" s="37" t="str">
        <f>IF(P2643&gt;500,"High","low")</f>
        <v>High</v>
      </c>
      <c r="R2643" s="37" t="str">
        <f t="shared" si="209"/>
        <v>Good</v>
      </c>
      <c r="S2643" t="s">
        <v>605</v>
      </c>
    </row>
    <row r="2644" spans="1:19" x14ac:dyDescent="0.2">
      <c r="A2644" t="s">
        <v>3255</v>
      </c>
      <c r="B2644" t="s">
        <v>75</v>
      </c>
      <c r="C2644" t="s">
        <v>602</v>
      </c>
      <c r="D2644">
        <v>3852.16</v>
      </c>
      <c r="E2644" s="37" t="str">
        <f t="shared" si="205"/>
        <v xml:space="preserve"> </v>
      </c>
      <c r="F2644">
        <v>0.44</v>
      </c>
      <c r="G2644" s="37" t="str">
        <f t="shared" si="206"/>
        <v>Heavy Discount</v>
      </c>
      <c r="H2644" s="37" t="str">
        <f t="shared" si="207"/>
        <v>High</v>
      </c>
      <c r="I2644">
        <v>3</v>
      </c>
      <c r="J2644" t="str" cm="1">
        <f t="array" ref="J2644">_xlfn.IFS(I2644&lt;=3,"small",I2644&lt;=6,"Medium",I2644&lt;=9,"Large")</f>
        <v>small</v>
      </c>
      <c r="K2644" s="36">
        <v>45547</v>
      </c>
      <c r="L2644" s="36">
        <v>45553</v>
      </c>
      <c r="M2644" t="s">
        <v>603</v>
      </c>
      <c r="N2644" t="s">
        <v>608</v>
      </c>
      <c r="O2644" s="37" t="str">
        <f t="shared" si="208"/>
        <v>Cash Payment</v>
      </c>
      <c r="P2644">
        <v>630.08000000000004</v>
      </c>
      <c r="Q2644" s="37" t="str">
        <f>IF(P2644&gt;500,"High","low")</f>
        <v>High</v>
      </c>
      <c r="R2644" s="37" t="str">
        <f t="shared" si="209"/>
        <v>Good</v>
      </c>
      <c r="S2644" t="s">
        <v>628</v>
      </c>
    </row>
    <row r="2645" spans="1:19" x14ac:dyDescent="0.2">
      <c r="A2645" t="s">
        <v>3256</v>
      </c>
      <c r="B2645" t="s">
        <v>75</v>
      </c>
      <c r="C2645" t="s">
        <v>607</v>
      </c>
      <c r="D2645">
        <v>1427.28</v>
      </c>
      <c r="E2645" s="37" t="str">
        <f t="shared" si="205"/>
        <v xml:space="preserve"> </v>
      </c>
      <c r="F2645">
        <v>0.21</v>
      </c>
      <c r="G2645" s="37" t="str">
        <f t="shared" si="206"/>
        <v>Normal Discount</v>
      </c>
      <c r="H2645" s="37" t="str">
        <f t="shared" si="207"/>
        <v>Medium</v>
      </c>
      <c r="I2645">
        <v>5</v>
      </c>
      <c r="J2645" t="str" cm="1">
        <f t="array" ref="J2645">_xlfn.IFS(I2645&lt;=3,"small",I2645&lt;=6,"Medium",I2645&lt;=9,"Large")</f>
        <v>Medium</v>
      </c>
      <c r="K2645" s="36">
        <v>45135</v>
      </c>
      <c r="L2645" s="36">
        <v>45141</v>
      </c>
      <c r="M2645" t="s">
        <v>603</v>
      </c>
      <c r="N2645" t="s">
        <v>608</v>
      </c>
      <c r="O2645" s="37" t="str">
        <f t="shared" si="208"/>
        <v>Cash Payment</v>
      </c>
      <c r="P2645">
        <v>279.91000000000003</v>
      </c>
      <c r="Q2645" s="37" t="str">
        <f>IF(P2645&gt;500,"High","low")</f>
        <v>low</v>
      </c>
      <c r="R2645" s="37" t="str">
        <f t="shared" si="209"/>
        <v>AVERAGE</v>
      </c>
      <c r="S2645" t="s">
        <v>609</v>
      </c>
    </row>
    <row r="2646" spans="1:19" x14ac:dyDescent="0.2">
      <c r="A2646" t="s">
        <v>3257</v>
      </c>
      <c r="B2646" t="s">
        <v>75</v>
      </c>
      <c r="C2646" t="s">
        <v>614</v>
      </c>
      <c r="D2646">
        <v>3368.63</v>
      </c>
      <c r="E2646" s="37" t="str">
        <f t="shared" si="205"/>
        <v xml:space="preserve"> </v>
      </c>
      <c r="F2646">
        <v>0.16</v>
      </c>
      <c r="G2646" s="37" t="str">
        <f t="shared" si="206"/>
        <v>Normal Discount</v>
      </c>
      <c r="H2646" s="37" t="str">
        <f t="shared" si="207"/>
        <v>Low</v>
      </c>
      <c r="I2646">
        <v>7</v>
      </c>
      <c r="J2646" t="str" cm="1">
        <f t="array" ref="J2646">_xlfn.IFS(I2646&lt;=3,"small",I2646&lt;=6,"Medium",I2646&lt;=9,"Large")</f>
        <v>Large</v>
      </c>
      <c r="K2646" s="36">
        <v>45133</v>
      </c>
      <c r="L2646" s="36">
        <v>45138</v>
      </c>
      <c r="M2646" t="s">
        <v>603</v>
      </c>
      <c r="N2646" t="s">
        <v>604</v>
      </c>
      <c r="O2646" s="37" t="str">
        <f t="shared" si="208"/>
        <v>Digital Payment</v>
      </c>
      <c r="P2646">
        <v>243.57</v>
      </c>
      <c r="Q2646" s="37" t="str">
        <f>IF(P2646&gt;500,"High","low")</f>
        <v>low</v>
      </c>
      <c r="R2646" s="37" t="str">
        <f t="shared" si="209"/>
        <v>AVERAGE</v>
      </c>
      <c r="S2646" t="s">
        <v>605</v>
      </c>
    </row>
    <row r="2647" spans="1:19" x14ac:dyDescent="0.2">
      <c r="A2647" t="s">
        <v>3258</v>
      </c>
      <c r="B2647" t="s">
        <v>90</v>
      </c>
      <c r="C2647" t="s">
        <v>607</v>
      </c>
      <c r="D2647">
        <v>1834.24</v>
      </c>
      <c r="E2647" s="37" t="str">
        <f t="shared" si="205"/>
        <v xml:space="preserve"> </v>
      </c>
      <c r="F2647">
        <v>0.49</v>
      </c>
      <c r="G2647" s="37" t="str">
        <f t="shared" si="206"/>
        <v>Heavy Discount</v>
      </c>
      <c r="H2647" s="37" t="str">
        <f t="shared" si="207"/>
        <v>High</v>
      </c>
      <c r="I2647">
        <v>5</v>
      </c>
      <c r="J2647" t="str" cm="1">
        <f t="array" ref="J2647">_xlfn.IFS(I2647&lt;=3,"small",I2647&lt;=6,"Medium",I2647&lt;=9,"Large")</f>
        <v>Medium</v>
      </c>
      <c r="K2647" s="36">
        <v>45307</v>
      </c>
      <c r="L2647" s="36">
        <v>45309</v>
      </c>
      <c r="M2647" t="s">
        <v>612</v>
      </c>
      <c r="N2647" t="s">
        <v>599</v>
      </c>
      <c r="O2647" s="37" t="str">
        <f t="shared" si="208"/>
        <v>Digital Payment</v>
      </c>
      <c r="P2647">
        <v>233.69</v>
      </c>
      <c r="Q2647" s="37" t="str">
        <f>IF(P2647&gt;500,"High","low")</f>
        <v>low</v>
      </c>
      <c r="R2647" s="37" t="str">
        <f t="shared" si="209"/>
        <v>AVERAGE</v>
      </c>
      <c r="S2647" t="s">
        <v>615</v>
      </c>
    </row>
    <row r="2648" spans="1:19" x14ac:dyDescent="0.2">
      <c r="A2648" t="s">
        <v>3259</v>
      </c>
      <c r="B2648" t="s">
        <v>83</v>
      </c>
      <c r="C2648" t="s">
        <v>617</v>
      </c>
      <c r="D2648">
        <v>2911.89</v>
      </c>
      <c r="E2648" s="37" t="str">
        <f t="shared" si="205"/>
        <v xml:space="preserve"> </v>
      </c>
      <c r="F2648">
        <v>0.33</v>
      </c>
      <c r="G2648" s="37" t="str">
        <f t="shared" si="206"/>
        <v>Heavy Discount</v>
      </c>
      <c r="H2648" s="37" t="str">
        <f t="shared" si="207"/>
        <v>Medium</v>
      </c>
      <c r="I2648">
        <v>8</v>
      </c>
      <c r="J2648" t="str" cm="1">
        <f t="array" ref="J2648">_xlfn.IFS(I2648&lt;=3,"small",I2648&lt;=6,"Medium",I2648&lt;=9,"Large")</f>
        <v>Large</v>
      </c>
      <c r="K2648" s="36">
        <v>45009</v>
      </c>
      <c r="L2648" s="36">
        <v>45013</v>
      </c>
      <c r="M2648" t="s">
        <v>603</v>
      </c>
      <c r="N2648" t="s">
        <v>599</v>
      </c>
      <c r="O2648" s="37" t="str">
        <f t="shared" si="208"/>
        <v>Digital Payment</v>
      </c>
      <c r="P2648">
        <v>849.33</v>
      </c>
      <c r="Q2648" s="37" t="str">
        <f>IF(P2648&gt;500,"High","low")</f>
        <v>High</v>
      </c>
      <c r="R2648" s="37" t="str">
        <f t="shared" si="209"/>
        <v>Good</v>
      </c>
      <c r="S2648" t="s">
        <v>605</v>
      </c>
    </row>
    <row r="2649" spans="1:19" x14ac:dyDescent="0.2">
      <c r="A2649" t="s">
        <v>3260</v>
      </c>
      <c r="B2649" t="s">
        <v>90</v>
      </c>
      <c r="C2649" t="s">
        <v>597</v>
      </c>
      <c r="D2649">
        <v>1984.37</v>
      </c>
      <c r="E2649" s="37" t="str">
        <f t="shared" si="205"/>
        <v xml:space="preserve"> </v>
      </c>
      <c r="F2649">
        <v>0.21</v>
      </c>
      <c r="G2649" s="37" t="str">
        <f t="shared" si="206"/>
        <v>Normal Discount</v>
      </c>
      <c r="H2649" s="37" t="str">
        <f t="shared" si="207"/>
        <v>Medium</v>
      </c>
      <c r="I2649">
        <v>5</v>
      </c>
      <c r="J2649" t="str" cm="1">
        <f t="array" ref="J2649">_xlfn.IFS(I2649&lt;=3,"small",I2649&lt;=6,"Medium",I2649&lt;=9,"Large")</f>
        <v>Medium</v>
      </c>
      <c r="K2649" s="36">
        <v>45212</v>
      </c>
      <c r="L2649" s="36">
        <v>45213</v>
      </c>
      <c r="M2649" t="s">
        <v>612</v>
      </c>
      <c r="N2649" t="s">
        <v>608</v>
      </c>
      <c r="O2649" s="37" t="str">
        <f t="shared" si="208"/>
        <v>Cash Payment</v>
      </c>
      <c r="P2649">
        <v>573.91</v>
      </c>
      <c r="Q2649" s="37" t="str">
        <f>IF(P2649&gt;500,"High","low")</f>
        <v>High</v>
      </c>
      <c r="R2649" s="37" t="str">
        <f t="shared" si="209"/>
        <v>Good</v>
      </c>
      <c r="S2649" t="s">
        <v>609</v>
      </c>
    </row>
    <row r="2650" spans="1:19" x14ac:dyDescent="0.2">
      <c r="A2650" t="s">
        <v>3261</v>
      </c>
      <c r="B2650" t="s">
        <v>90</v>
      </c>
      <c r="C2650" t="s">
        <v>614</v>
      </c>
      <c r="D2650">
        <v>1588.43</v>
      </c>
      <c r="E2650" s="37" t="str">
        <f t="shared" si="205"/>
        <v xml:space="preserve"> </v>
      </c>
      <c r="F2650">
        <v>0.44</v>
      </c>
      <c r="G2650" s="37" t="str">
        <f t="shared" si="206"/>
        <v>Heavy Discount</v>
      </c>
      <c r="H2650" s="37" t="str">
        <f t="shared" si="207"/>
        <v>High</v>
      </c>
      <c r="I2650">
        <v>6</v>
      </c>
      <c r="J2650" t="str" cm="1">
        <f t="array" ref="J2650">_xlfn.IFS(I2650&lt;=3,"small",I2650&lt;=6,"Medium",I2650&lt;=9,"Large")</f>
        <v>Medium</v>
      </c>
      <c r="K2650" s="36">
        <v>45383</v>
      </c>
      <c r="L2650" s="36">
        <v>45387</v>
      </c>
      <c r="M2650" t="s">
        <v>603</v>
      </c>
      <c r="N2650" t="s">
        <v>604</v>
      </c>
      <c r="O2650" s="37" t="str">
        <f t="shared" si="208"/>
        <v>Digital Payment</v>
      </c>
      <c r="P2650">
        <v>329.56</v>
      </c>
      <c r="Q2650" s="37" t="str">
        <f>IF(P2650&gt;500,"High","low")</f>
        <v>low</v>
      </c>
      <c r="R2650" s="37" t="str">
        <f t="shared" si="209"/>
        <v>AVERAGE</v>
      </c>
      <c r="S2650" t="s">
        <v>609</v>
      </c>
    </row>
    <row r="2651" spans="1:19" x14ac:dyDescent="0.2">
      <c r="A2651" t="s">
        <v>3262</v>
      </c>
      <c r="B2651" t="s">
        <v>83</v>
      </c>
      <c r="C2651" t="s">
        <v>614</v>
      </c>
      <c r="D2651">
        <v>4293.9799999999996</v>
      </c>
      <c r="E2651" s="37" t="str">
        <f t="shared" si="205"/>
        <v xml:space="preserve"> </v>
      </c>
      <c r="F2651">
        <v>0.34</v>
      </c>
      <c r="G2651" s="37" t="str">
        <f t="shared" si="206"/>
        <v>Heavy Discount</v>
      </c>
      <c r="H2651" s="37" t="str">
        <f t="shared" si="207"/>
        <v>Medium</v>
      </c>
      <c r="I2651">
        <v>2</v>
      </c>
      <c r="J2651" t="str" cm="1">
        <f t="array" ref="J2651">_xlfn.IFS(I2651&lt;=3,"small",I2651&lt;=6,"Medium",I2651&lt;=9,"Large")</f>
        <v>small</v>
      </c>
      <c r="K2651" s="36">
        <v>45561</v>
      </c>
      <c r="L2651" s="36">
        <v>45566</v>
      </c>
      <c r="M2651" t="s">
        <v>598</v>
      </c>
      <c r="N2651" t="s">
        <v>604</v>
      </c>
      <c r="O2651" s="37" t="str">
        <f t="shared" si="208"/>
        <v>Digital Payment</v>
      </c>
      <c r="P2651">
        <v>750.71</v>
      </c>
      <c r="Q2651" s="37" t="str">
        <f>IF(P2651&gt;500,"High","low")</f>
        <v>High</v>
      </c>
      <c r="R2651" s="37" t="str">
        <f t="shared" si="209"/>
        <v>Good</v>
      </c>
      <c r="S2651" t="s">
        <v>609</v>
      </c>
    </row>
    <row r="2652" spans="1:19" x14ac:dyDescent="0.2">
      <c r="A2652" t="s">
        <v>3263</v>
      </c>
      <c r="B2652" t="s">
        <v>67</v>
      </c>
      <c r="C2652" t="s">
        <v>614</v>
      </c>
      <c r="D2652">
        <v>3793.81</v>
      </c>
      <c r="E2652" s="37" t="str">
        <f t="shared" si="205"/>
        <v xml:space="preserve"> </v>
      </c>
      <c r="F2652">
        <v>0.32</v>
      </c>
      <c r="G2652" s="37" t="str">
        <f t="shared" si="206"/>
        <v>Heavy Discount</v>
      </c>
      <c r="H2652" s="37" t="str">
        <f t="shared" si="207"/>
        <v>Medium</v>
      </c>
      <c r="I2652">
        <v>5</v>
      </c>
      <c r="J2652" t="str" cm="1">
        <f t="array" ref="J2652">_xlfn.IFS(I2652&lt;=3,"small",I2652&lt;=6,"Medium",I2652&lt;=9,"Large")</f>
        <v>Medium</v>
      </c>
      <c r="K2652" s="36">
        <v>45344</v>
      </c>
      <c r="L2652" s="36">
        <v>45350</v>
      </c>
      <c r="M2652" t="s">
        <v>612</v>
      </c>
      <c r="N2652" t="s">
        <v>608</v>
      </c>
      <c r="O2652" s="37" t="str">
        <f t="shared" si="208"/>
        <v>Cash Payment</v>
      </c>
      <c r="P2652">
        <v>408.06</v>
      </c>
      <c r="Q2652" s="37" t="str">
        <f>IF(P2652&gt;500,"High","low")</f>
        <v>low</v>
      </c>
      <c r="R2652" s="37" t="str">
        <f t="shared" si="209"/>
        <v>AVERAGE</v>
      </c>
      <c r="S2652" t="s">
        <v>600</v>
      </c>
    </row>
    <row r="2653" spans="1:19" x14ac:dyDescent="0.2">
      <c r="A2653" t="s">
        <v>3264</v>
      </c>
      <c r="B2653" t="s">
        <v>75</v>
      </c>
      <c r="C2653" t="s">
        <v>614</v>
      </c>
      <c r="D2653">
        <v>1792.7</v>
      </c>
      <c r="E2653" s="37" t="str">
        <f t="shared" si="205"/>
        <v xml:space="preserve"> </v>
      </c>
      <c r="F2653">
        <v>0.36</v>
      </c>
      <c r="G2653" s="37" t="str">
        <f t="shared" si="206"/>
        <v>Heavy Discount</v>
      </c>
      <c r="H2653" s="37" t="str">
        <f t="shared" si="207"/>
        <v>Medium</v>
      </c>
      <c r="I2653">
        <v>7</v>
      </c>
      <c r="J2653" t="str" cm="1">
        <f t="array" ref="J2653">_xlfn.IFS(I2653&lt;=3,"small",I2653&lt;=6,"Medium",I2653&lt;=9,"Large")</f>
        <v>Large</v>
      </c>
      <c r="K2653" s="36">
        <v>45164</v>
      </c>
      <c r="L2653" s="36">
        <v>45168</v>
      </c>
      <c r="M2653" t="s">
        <v>603</v>
      </c>
      <c r="N2653" t="s">
        <v>599</v>
      </c>
      <c r="O2653" s="37" t="str">
        <f t="shared" si="208"/>
        <v>Digital Payment</v>
      </c>
      <c r="P2653">
        <v>251.06</v>
      </c>
      <c r="Q2653" s="37" t="str">
        <f>IF(P2653&gt;500,"High","low")</f>
        <v>low</v>
      </c>
      <c r="R2653" s="37" t="str">
        <f t="shared" si="209"/>
        <v>AVERAGE</v>
      </c>
      <c r="S2653" t="s">
        <v>615</v>
      </c>
    </row>
    <row r="2654" spans="1:19" x14ac:dyDescent="0.2">
      <c r="A2654" t="s">
        <v>3265</v>
      </c>
      <c r="B2654" t="s">
        <v>67</v>
      </c>
      <c r="C2654" t="s">
        <v>607</v>
      </c>
      <c r="D2654">
        <v>2229.6999999999998</v>
      </c>
      <c r="E2654" s="37" t="str">
        <f t="shared" si="205"/>
        <v xml:space="preserve"> </v>
      </c>
      <c r="F2654">
        <v>0.37</v>
      </c>
      <c r="G2654" s="37" t="str">
        <f t="shared" si="206"/>
        <v>Heavy Discount</v>
      </c>
      <c r="H2654" s="37" t="str">
        <f t="shared" si="207"/>
        <v>Medium</v>
      </c>
      <c r="I2654">
        <v>1</v>
      </c>
      <c r="J2654" t="str" cm="1">
        <f t="array" ref="J2654">_xlfn.IFS(I2654&lt;=3,"small",I2654&lt;=6,"Medium",I2654&lt;=9,"Large")</f>
        <v>small</v>
      </c>
      <c r="K2654" s="36">
        <v>45272</v>
      </c>
      <c r="L2654" s="36">
        <v>45279</v>
      </c>
      <c r="M2654" t="s">
        <v>598</v>
      </c>
      <c r="N2654" t="s">
        <v>599</v>
      </c>
      <c r="O2654" s="37" t="str">
        <f t="shared" si="208"/>
        <v>Digital Payment</v>
      </c>
      <c r="P2654">
        <v>472.08</v>
      </c>
      <c r="Q2654" s="37" t="str">
        <f>IF(P2654&gt;500,"High","low")</f>
        <v>low</v>
      </c>
      <c r="R2654" s="37" t="str">
        <f t="shared" si="209"/>
        <v>AVERAGE</v>
      </c>
      <c r="S2654" t="s">
        <v>628</v>
      </c>
    </row>
    <row r="2655" spans="1:19" x14ac:dyDescent="0.2">
      <c r="A2655" t="s">
        <v>3266</v>
      </c>
      <c r="B2655" t="s">
        <v>75</v>
      </c>
      <c r="C2655" t="s">
        <v>617</v>
      </c>
      <c r="D2655">
        <v>3489.35</v>
      </c>
      <c r="E2655" s="37" t="str">
        <f t="shared" si="205"/>
        <v xml:space="preserve"> </v>
      </c>
      <c r="F2655">
        <v>0.25</v>
      </c>
      <c r="G2655" s="37" t="str">
        <f t="shared" si="206"/>
        <v>Normal Discount</v>
      </c>
      <c r="H2655" s="37" t="str">
        <f t="shared" si="207"/>
        <v>Medium</v>
      </c>
      <c r="I2655">
        <v>9</v>
      </c>
      <c r="J2655" t="str" cm="1">
        <f t="array" ref="J2655">_xlfn.IFS(I2655&lt;=3,"small",I2655&lt;=6,"Medium",I2655&lt;=9,"Large")</f>
        <v>Large</v>
      </c>
      <c r="K2655" s="36">
        <v>45292</v>
      </c>
      <c r="L2655" s="36">
        <v>45295</v>
      </c>
      <c r="M2655" t="s">
        <v>603</v>
      </c>
      <c r="N2655" t="s">
        <v>604</v>
      </c>
      <c r="O2655" s="37" t="str">
        <f t="shared" si="208"/>
        <v>Digital Payment</v>
      </c>
      <c r="P2655">
        <v>883.07</v>
      </c>
      <c r="Q2655" s="37" t="str">
        <f>IF(P2655&gt;500,"High","low")</f>
        <v>High</v>
      </c>
      <c r="R2655" s="37" t="str">
        <f t="shared" si="209"/>
        <v>Good</v>
      </c>
      <c r="S2655" t="s">
        <v>600</v>
      </c>
    </row>
    <row r="2656" spans="1:19" x14ac:dyDescent="0.2">
      <c r="A2656" t="s">
        <v>3267</v>
      </c>
      <c r="B2656" t="s">
        <v>90</v>
      </c>
      <c r="C2656" t="s">
        <v>602</v>
      </c>
      <c r="D2656">
        <v>4074.29</v>
      </c>
      <c r="E2656" s="37" t="str">
        <f t="shared" si="205"/>
        <v>Excellent Order</v>
      </c>
      <c r="F2656">
        <v>0.21</v>
      </c>
      <c r="G2656" s="37" t="str">
        <f t="shared" si="206"/>
        <v>Normal Discount</v>
      </c>
      <c r="H2656" s="37" t="str">
        <f t="shared" si="207"/>
        <v>Medium</v>
      </c>
      <c r="I2656">
        <v>9</v>
      </c>
      <c r="J2656" t="str" cm="1">
        <f t="array" ref="J2656">_xlfn.IFS(I2656&lt;=3,"small",I2656&lt;=6,"Medium",I2656&lt;=9,"Large")</f>
        <v>Large</v>
      </c>
      <c r="K2656" s="36">
        <v>45283</v>
      </c>
      <c r="L2656" s="36">
        <v>45286</v>
      </c>
      <c r="M2656" t="s">
        <v>603</v>
      </c>
      <c r="N2656" t="s">
        <v>604</v>
      </c>
      <c r="O2656" s="37" t="str">
        <f t="shared" si="208"/>
        <v>Digital Payment</v>
      </c>
      <c r="P2656">
        <v>1046.3499999999999</v>
      </c>
      <c r="Q2656" s="37" t="str">
        <f>IF(P2656&gt;500,"High","low")</f>
        <v>High</v>
      </c>
      <c r="R2656" s="37" t="str">
        <f t="shared" si="209"/>
        <v>Excellent</v>
      </c>
      <c r="S2656" t="s">
        <v>628</v>
      </c>
    </row>
    <row r="2657" spans="1:19" x14ac:dyDescent="0.2">
      <c r="A2657" t="s">
        <v>3268</v>
      </c>
      <c r="B2657" t="s">
        <v>75</v>
      </c>
      <c r="C2657" t="s">
        <v>617</v>
      </c>
      <c r="D2657">
        <v>3453.27</v>
      </c>
      <c r="E2657" s="37" t="str">
        <f t="shared" si="205"/>
        <v xml:space="preserve"> </v>
      </c>
      <c r="F2657">
        <v>0.45</v>
      </c>
      <c r="G2657" s="37" t="str">
        <f t="shared" si="206"/>
        <v>Heavy Discount</v>
      </c>
      <c r="H2657" s="37" t="str">
        <f t="shared" si="207"/>
        <v>High</v>
      </c>
      <c r="I2657">
        <v>8</v>
      </c>
      <c r="J2657" t="str" cm="1">
        <f t="array" ref="J2657">_xlfn.IFS(I2657&lt;=3,"small",I2657&lt;=6,"Medium",I2657&lt;=9,"Large")</f>
        <v>Large</v>
      </c>
      <c r="K2657" s="36">
        <v>44987</v>
      </c>
      <c r="L2657" s="36">
        <v>44993</v>
      </c>
      <c r="M2657" t="s">
        <v>598</v>
      </c>
      <c r="N2657" t="s">
        <v>599</v>
      </c>
      <c r="O2657" s="37" t="str">
        <f t="shared" si="208"/>
        <v>Digital Payment</v>
      </c>
      <c r="P2657">
        <v>292.23</v>
      </c>
      <c r="Q2657" s="37" t="str">
        <f>IF(P2657&gt;500,"High","low")</f>
        <v>low</v>
      </c>
      <c r="R2657" s="37" t="str">
        <f t="shared" si="209"/>
        <v>AVERAGE</v>
      </c>
      <c r="S2657" t="s">
        <v>628</v>
      </c>
    </row>
    <row r="2658" spans="1:19" x14ac:dyDescent="0.2">
      <c r="A2658" t="s">
        <v>3269</v>
      </c>
      <c r="B2658" t="s">
        <v>90</v>
      </c>
      <c r="C2658" t="s">
        <v>614</v>
      </c>
      <c r="D2658">
        <v>2750.56</v>
      </c>
      <c r="E2658" s="37" t="str">
        <f t="shared" si="205"/>
        <v xml:space="preserve"> </v>
      </c>
      <c r="F2658">
        <v>0.25</v>
      </c>
      <c r="G2658" s="37" t="str">
        <f t="shared" si="206"/>
        <v>Normal Discount</v>
      </c>
      <c r="H2658" s="37" t="str">
        <f t="shared" si="207"/>
        <v>Medium</v>
      </c>
      <c r="I2658">
        <v>9</v>
      </c>
      <c r="J2658" t="str" cm="1">
        <f t="array" ref="J2658">_xlfn.IFS(I2658&lt;=3,"small",I2658&lt;=6,"Medium",I2658&lt;=9,"Large")</f>
        <v>Large</v>
      </c>
      <c r="K2658" s="36">
        <v>45310</v>
      </c>
      <c r="L2658" s="36">
        <v>45314</v>
      </c>
      <c r="M2658" t="s">
        <v>598</v>
      </c>
      <c r="N2658" t="s">
        <v>604</v>
      </c>
      <c r="O2658" s="37" t="str">
        <f t="shared" si="208"/>
        <v>Digital Payment</v>
      </c>
      <c r="P2658">
        <v>484.96</v>
      </c>
      <c r="Q2658" s="37" t="str">
        <f>IF(P2658&gt;500,"High","low")</f>
        <v>low</v>
      </c>
      <c r="R2658" s="37" t="str">
        <f t="shared" si="209"/>
        <v>AVERAGE</v>
      </c>
      <c r="S2658" t="s">
        <v>615</v>
      </c>
    </row>
    <row r="2659" spans="1:19" x14ac:dyDescent="0.2">
      <c r="A2659" t="s">
        <v>3270</v>
      </c>
      <c r="B2659" t="s">
        <v>67</v>
      </c>
      <c r="C2659" t="s">
        <v>607</v>
      </c>
      <c r="D2659">
        <v>4776.49</v>
      </c>
      <c r="E2659" s="37" t="str">
        <f t="shared" si="205"/>
        <v>Excellent Order</v>
      </c>
      <c r="F2659">
        <v>0.11</v>
      </c>
      <c r="G2659" s="37" t="str">
        <f t="shared" si="206"/>
        <v>Normal Discount</v>
      </c>
      <c r="H2659" s="37" t="str">
        <f t="shared" si="207"/>
        <v>Low</v>
      </c>
      <c r="I2659">
        <v>5</v>
      </c>
      <c r="J2659" t="str" cm="1">
        <f t="array" ref="J2659">_xlfn.IFS(I2659&lt;=3,"small",I2659&lt;=6,"Medium",I2659&lt;=9,"Large")</f>
        <v>Medium</v>
      </c>
      <c r="K2659" s="36">
        <v>45089</v>
      </c>
      <c r="L2659" s="36">
        <v>45093</v>
      </c>
      <c r="M2659" t="s">
        <v>603</v>
      </c>
      <c r="N2659" t="s">
        <v>608</v>
      </c>
      <c r="O2659" s="37" t="str">
        <f t="shared" si="208"/>
        <v>Cash Payment</v>
      </c>
      <c r="P2659">
        <v>1091.68</v>
      </c>
      <c r="Q2659" s="37" t="str">
        <f>IF(P2659&gt;500,"High","low")</f>
        <v>High</v>
      </c>
      <c r="R2659" s="37" t="str">
        <f t="shared" si="209"/>
        <v>Excellent</v>
      </c>
      <c r="S2659" t="s">
        <v>605</v>
      </c>
    </row>
    <row r="2660" spans="1:19" x14ac:dyDescent="0.2">
      <c r="A2660" t="s">
        <v>3271</v>
      </c>
      <c r="B2660" t="s">
        <v>90</v>
      </c>
      <c r="C2660" t="s">
        <v>607</v>
      </c>
      <c r="D2660">
        <v>3893.3</v>
      </c>
      <c r="E2660" s="37" t="str">
        <f t="shared" si="205"/>
        <v xml:space="preserve"> </v>
      </c>
      <c r="F2660">
        <v>0.26</v>
      </c>
      <c r="G2660" s="37" t="str">
        <f t="shared" si="206"/>
        <v>Normal Discount</v>
      </c>
      <c r="H2660" s="37" t="str">
        <f t="shared" si="207"/>
        <v>Medium</v>
      </c>
      <c r="I2660">
        <v>7</v>
      </c>
      <c r="J2660" t="str" cm="1">
        <f t="array" ref="J2660">_xlfn.IFS(I2660&lt;=3,"small",I2660&lt;=6,"Medium",I2660&lt;=9,"Large")</f>
        <v>Large</v>
      </c>
      <c r="K2660" s="36">
        <v>45504</v>
      </c>
      <c r="L2660" s="36">
        <v>45508</v>
      </c>
      <c r="M2660" t="s">
        <v>598</v>
      </c>
      <c r="N2660" t="s">
        <v>599</v>
      </c>
      <c r="O2660" s="37" t="str">
        <f t="shared" si="208"/>
        <v>Digital Payment</v>
      </c>
      <c r="P2660">
        <v>872.37</v>
      </c>
      <c r="Q2660" s="37" t="str">
        <f>IF(P2660&gt;500,"High","low")</f>
        <v>High</v>
      </c>
      <c r="R2660" s="37" t="str">
        <f t="shared" si="209"/>
        <v>Good</v>
      </c>
      <c r="S2660" t="s">
        <v>600</v>
      </c>
    </row>
    <row r="2661" spans="1:19" x14ac:dyDescent="0.2">
      <c r="A2661" t="s">
        <v>3272</v>
      </c>
      <c r="B2661" t="s">
        <v>67</v>
      </c>
      <c r="C2661" t="s">
        <v>614</v>
      </c>
      <c r="D2661">
        <v>666.4</v>
      </c>
      <c r="E2661" s="37" t="str">
        <f t="shared" si="205"/>
        <v xml:space="preserve"> </v>
      </c>
      <c r="F2661">
        <v>0.02</v>
      </c>
      <c r="G2661" s="37" t="str">
        <f t="shared" si="206"/>
        <v>Normal Discount</v>
      </c>
      <c r="H2661" s="37" t="str">
        <f t="shared" si="207"/>
        <v>Low</v>
      </c>
      <c r="I2661">
        <v>1</v>
      </c>
      <c r="J2661" t="str" cm="1">
        <f t="array" ref="J2661">_xlfn.IFS(I2661&lt;=3,"small",I2661&lt;=6,"Medium",I2661&lt;=9,"Large")</f>
        <v>small</v>
      </c>
      <c r="K2661" s="36">
        <v>44939</v>
      </c>
      <c r="L2661" s="36">
        <v>44943</v>
      </c>
      <c r="M2661" t="s">
        <v>603</v>
      </c>
      <c r="N2661" t="s">
        <v>604</v>
      </c>
      <c r="O2661" s="37" t="str">
        <f t="shared" si="208"/>
        <v>Digital Payment</v>
      </c>
      <c r="P2661">
        <v>195.51</v>
      </c>
      <c r="Q2661" s="37" t="str">
        <f>IF(P2661&gt;500,"High","low")</f>
        <v>low</v>
      </c>
      <c r="R2661" s="37" t="str">
        <f t="shared" si="209"/>
        <v>AVERAGE</v>
      </c>
      <c r="S2661" t="s">
        <v>620</v>
      </c>
    </row>
    <row r="2662" spans="1:19" x14ac:dyDescent="0.2">
      <c r="A2662" t="s">
        <v>3273</v>
      </c>
      <c r="B2662" t="s">
        <v>83</v>
      </c>
      <c r="C2662" t="s">
        <v>607</v>
      </c>
      <c r="D2662">
        <v>2834.88</v>
      </c>
      <c r="E2662" s="37" t="str">
        <f t="shared" si="205"/>
        <v xml:space="preserve"> </v>
      </c>
      <c r="F2662">
        <v>0.36</v>
      </c>
      <c r="G2662" s="37" t="str">
        <f t="shared" si="206"/>
        <v>Heavy Discount</v>
      </c>
      <c r="H2662" s="37" t="str">
        <f t="shared" si="207"/>
        <v>Medium</v>
      </c>
      <c r="I2662">
        <v>7</v>
      </c>
      <c r="J2662" t="str" cm="1">
        <f t="array" ref="J2662">_xlfn.IFS(I2662&lt;=3,"small",I2662&lt;=6,"Medium",I2662&lt;=9,"Large")</f>
        <v>Large</v>
      </c>
      <c r="K2662" s="36">
        <v>45498</v>
      </c>
      <c r="L2662" s="36">
        <v>45501</v>
      </c>
      <c r="M2662" t="s">
        <v>612</v>
      </c>
      <c r="N2662" t="s">
        <v>604</v>
      </c>
      <c r="O2662" s="37" t="str">
        <f t="shared" si="208"/>
        <v>Digital Payment</v>
      </c>
      <c r="P2662">
        <v>231.91</v>
      </c>
      <c r="Q2662" s="37" t="str">
        <f>IF(P2662&gt;500,"High","low")</f>
        <v>low</v>
      </c>
      <c r="R2662" s="37" t="str">
        <f t="shared" si="209"/>
        <v>AVERAGE</v>
      </c>
      <c r="S2662" t="s">
        <v>609</v>
      </c>
    </row>
    <row r="2663" spans="1:19" x14ac:dyDescent="0.2">
      <c r="A2663" t="s">
        <v>3274</v>
      </c>
      <c r="B2663" t="s">
        <v>83</v>
      </c>
      <c r="C2663" t="s">
        <v>614</v>
      </c>
      <c r="D2663">
        <v>2106.83</v>
      </c>
      <c r="E2663" s="37" t="str">
        <f t="shared" si="205"/>
        <v xml:space="preserve"> </v>
      </c>
      <c r="F2663">
        <v>0.06</v>
      </c>
      <c r="G2663" s="37" t="str">
        <f t="shared" si="206"/>
        <v>Normal Discount</v>
      </c>
      <c r="H2663" s="37" t="str">
        <f t="shared" si="207"/>
        <v>Low</v>
      </c>
      <c r="I2663">
        <v>9</v>
      </c>
      <c r="J2663" t="str" cm="1">
        <f t="array" ref="J2663">_xlfn.IFS(I2663&lt;=3,"small",I2663&lt;=6,"Medium",I2663&lt;=9,"Large")</f>
        <v>Large</v>
      </c>
      <c r="K2663" s="36">
        <v>45033</v>
      </c>
      <c r="L2663" s="36">
        <v>45039</v>
      </c>
      <c r="M2663" t="s">
        <v>603</v>
      </c>
      <c r="N2663" t="s">
        <v>599</v>
      </c>
      <c r="O2663" s="37" t="str">
        <f t="shared" si="208"/>
        <v>Digital Payment</v>
      </c>
      <c r="P2663">
        <v>348.52</v>
      </c>
      <c r="Q2663" s="37" t="str">
        <f>IF(P2663&gt;500,"High","low")</f>
        <v>low</v>
      </c>
      <c r="R2663" s="37" t="str">
        <f t="shared" si="209"/>
        <v>AVERAGE</v>
      </c>
      <c r="S2663" t="s">
        <v>620</v>
      </c>
    </row>
    <row r="2664" spans="1:19" x14ac:dyDescent="0.2">
      <c r="A2664" t="s">
        <v>3275</v>
      </c>
      <c r="B2664" t="s">
        <v>83</v>
      </c>
      <c r="C2664" t="s">
        <v>617</v>
      </c>
      <c r="D2664">
        <v>3995.18</v>
      </c>
      <c r="E2664" s="37" t="str">
        <f t="shared" si="205"/>
        <v xml:space="preserve"> </v>
      </c>
      <c r="F2664">
        <v>0.06</v>
      </c>
      <c r="G2664" s="37" t="str">
        <f t="shared" si="206"/>
        <v>Normal Discount</v>
      </c>
      <c r="H2664" s="37" t="str">
        <f t="shared" si="207"/>
        <v>Low</v>
      </c>
      <c r="I2664">
        <v>3</v>
      </c>
      <c r="J2664" t="str" cm="1">
        <f t="array" ref="J2664">_xlfn.IFS(I2664&lt;=3,"small",I2664&lt;=6,"Medium",I2664&lt;=9,"Large")</f>
        <v>small</v>
      </c>
      <c r="K2664" s="36">
        <v>45289</v>
      </c>
      <c r="L2664" s="36">
        <v>45291</v>
      </c>
      <c r="M2664" t="s">
        <v>612</v>
      </c>
      <c r="N2664" t="s">
        <v>604</v>
      </c>
      <c r="O2664" s="37" t="str">
        <f t="shared" si="208"/>
        <v>Digital Payment</v>
      </c>
      <c r="P2664">
        <v>277.70999999999998</v>
      </c>
      <c r="Q2664" s="37" t="str">
        <f>IF(P2664&gt;500,"High","low")</f>
        <v>low</v>
      </c>
      <c r="R2664" s="37" t="str">
        <f t="shared" si="209"/>
        <v>AVERAGE</v>
      </c>
      <c r="S2664" t="s">
        <v>609</v>
      </c>
    </row>
    <row r="2665" spans="1:19" x14ac:dyDescent="0.2">
      <c r="A2665" t="s">
        <v>3276</v>
      </c>
      <c r="B2665" t="s">
        <v>90</v>
      </c>
      <c r="C2665" t="s">
        <v>597</v>
      </c>
      <c r="D2665">
        <v>318.85000000000002</v>
      </c>
      <c r="E2665" s="37" t="str">
        <f t="shared" si="205"/>
        <v xml:space="preserve"> </v>
      </c>
      <c r="F2665">
        <v>0.47</v>
      </c>
      <c r="G2665" s="37" t="str">
        <f t="shared" si="206"/>
        <v>Heavy Discount</v>
      </c>
      <c r="H2665" s="37" t="str">
        <f t="shared" si="207"/>
        <v>High</v>
      </c>
      <c r="I2665">
        <v>9</v>
      </c>
      <c r="J2665" t="str" cm="1">
        <f t="array" ref="J2665">_xlfn.IFS(I2665&lt;=3,"small",I2665&lt;=6,"Medium",I2665&lt;=9,"Large")</f>
        <v>Large</v>
      </c>
      <c r="K2665" s="36">
        <v>45191</v>
      </c>
      <c r="L2665" s="36">
        <v>45193</v>
      </c>
      <c r="M2665" t="s">
        <v>598</v>
      </c>
      <c r="N2665" t="s">
        <v>604</v>
      </c>
      <c r="O2665" s="37" t="str">
        <f t="shared" si="208"/>
        <v>Digital Payment</v>
      </c>
      <c r="P2665">
        <v>61.43</v>
      </c>
      <c r="Q2665" s="37" t="str">
        <f>IF(P2665&gt;500,"High","low")</f>
        <v>low</v>
      </c>
      <c r="R2665" s="37" t="str">
        <f t="shared" si="209"/>
        <v>AVERAGE</v>
      </c>
      <c r="S2665" t="s">
        <v>609</v>
      </c>
    </row>
    <row r="2666" spans="1:19" x14ac:dyDescent="0.2">
      <c r="A2666" t="s">
        <v>3277</v>
      </c>
      <c r="B2666" t="s">
        <v>83</v>
      </c>
      <c r="C2666" t="s">
        <v>607</v>
      </c>
      <c r="D2666">
        <v>2112.5500000000002</v>
      </c>
      <c r="E2666" s="37" t="str">
        <f t="shared" si="205"/>
        <v xml:space="preserve"> </v>
      </c>
      <c r="F2666">
        <v>0.39</v>
      </c>
      <c r="G2666" s="37" t="str">
        <f t="shared" si="206"/>
        <v>Heavy Discount</v>
      </c>
      <c r="H2666" s="37" t="str">
        <f t="shared" si="207"/>
        <v>Medium</v>
      </c>
      <c r="I2666">
        <v>5</v>
      </c>
      <c r="J2666" t="str" cm="1">
        <f t="array" ref="J2666">_xlfn.IFS(I2666&lt;=3,"small",I2666&lt;=6,"Medium",I2666&lt;=9,"Large")</f>
        <v>Medium</v>
      </c>
      <c r="K2666" s="36">
        <v>45034</v>
      </c>
      <c r="L2666" s="36">
        <v>45038</v>
      </c>
      <c r="M2666" t="s">
        <v>598</v>
      </c>
      <c r="N2666" t="s">
        <v>608</v>
      </c>
      <c r="O2666" s="37" t="str">
        <f t="shared" si="208"/>
        <v>Cash Payment</v>
      </c>
      <c r="P2666">
        <v>466.75</v>
      </c>
      <c r="Q2666" s="37" t="str">
        <f>IF(P2666&gt;500,"High","low")</f>
        <v>low</v>
      </c>
      <c r="R2666" s="37" t="str">
        <f t="shared" si="209"/>
        <v>AVERAGE</v>
      </c>
      <c r="S2666" t="s">
        <v>620</v>
      </c>
    </row>
    <row r="2667" spans="1:19" x14ac:dyDescent="0.2">
      <c r="A2667" t="s">
        <v>3278</v>
      </c>
      <c r="B2667" t="s">
        <v>75</v>
      </c>
      <c r="C2667" t="s">
        <v>614</v>
      </c>
      <c r="D2667">
        <v>1659.55</v>
      </c>
      <c r="E2667" s="37" t="str">
        <f t="shared" si="205"/>
        <v xml:space="preserve"> </v>
      </c>
      <c r="F2667">
        <v>0.21</v>
      </c>
      <c r="G2667" s="37" t="str">
        <f t="shared" si="206"/>
        <v>Normal Discount</v>
      </c>
      <c r="H2667" s="37" t="str">
        <f t="shared" si="207"/>
        <v>Medium</v>
      </c>
      <c r="I2667">
        <v>9</v>
      </c>
      <c r="J2667" t="str" cm="1">
        <f t="array" ref="J2667">_xlfn.IFS(I2667&lt;=3,"small",I2667&lt;=6,"Medium",I2667&lt;=9,"Large")</f>
        <v>Large</v>
      </c>
      <c r="K2667" s="36">
        <v>45394</v>
      </c>
      <c r="L2667" s="36">
        <v>45398</v>
      </c>
      <c r="M2667" t="s">
        <v>603</v>
      </c>
      <c r="N2667" t="s">
        <v>604</v>
      </c>
      <c r="O2667" s="37" t="str">
        <f t="shared" si="208"/>
        <v>Digital Payment</v>
      </c>
      <c r="P2667">
        <v>114.04</v>
      </c>
      <c r="Q2667" s="37" t="str">
        <f>IF(P2667&gt;500,"High","low")</f>
        <v>low</v>
      </c>
      <c r="R2667" s="37" t="str">
        <f t="shared" si="209"/>
        <v>AVERAGE</v>
      </c>
      <c r="S2667" t="s">
        <v>628</v>
      </c>
    </row>
    <row r="2668" spans="1:19" x14ac:dyDescent="0.2">
      <c r="A2668" t="s">
        <v>3279</v>
      </c>
      <c r="B2668" t="s">
        <v>67</v>
      </c>
      <c r="C2668" t="s">
        <v>614</v>
      </c>
      <c r="D2668">
        <v>791.81</v>
      </c>
      <c r="E2668" s="37" t="str">
        <f t="shared" si="205"/>
        <v xml:space="preserve"> </v>
      </c>
      <c r="F2668">
        <v>0.12</v>
      </c>
      <c r="G2668" s="37" t="str">
        <f t="shared" si="206"/>
        <v>Normal Discount</v>
      </c>
      <c r="H2668" s="37" t="str">
        <f t="shared" si="207"/>
        <v>Low</v>
      </c>
      <c r="I2668">
        <v>8</v>
      </c>
      <c r="J2668" t="str" cm="1">
        <f t="array" ref="J2668">_xlfn.IFS(I2668&lt;=3,"small",I2668&lt;=6,"Medium",I2668&lt;=9,"Large")</f>
        <v>Large</v>
      </c>
      <c r="K2668" s="36">
        <v>45615</v>
      </c>
      <c r="L2668" s="36">
        <v>45616</v>
      </c>
      <c r="M2668" t="s">
        <v>598</v>
      </c>
      <c r="N2668" t="s">
        <v>604</v>
      </c>
      <c r="O2668" s="37" t="str">
        <f t="shared" si="208"/>
        <v>Digital Payment</v>
      </c>
      <c r="P2668">
        <v>145.15</v>
      </c>
      <c r="Q2668" s="37" t="str">
        <f>IF(P2668&gt;500,"High","low")</f>
        <v>low</v>
      </c>
      <c r="R2668" s="37" t="str">
        <f t="shared" si="209"/>
        <v>AVERAGE</v>
      </c>
      <c r="S2668" t="s">
        <v>605</v>
      </c>
    </row>
    <row r="2669" spans="1:19" x14ac:dyDescent="0.2">
      <c r="A2669" t="s">
        <v>3280</v>
      </c>
      <c r="B2669" t="s">
        <v>67</v>
      </c>
      <c r="C2669" t="s">
        <v>607</v>
      </c>
      <c r="D2669">
        <v>1956.14</v>
      </c>
      <c r="E2669" s="37" t="str">
        <f t="shared" si="205"/>
        <v xml:space="preserve"> </v>
      </c>
      <c r="F2669">
        <v>0.42</v>
      </c>
      <c r="G2669" s="37" t="str">
        <f t="shared" si="206"/>
        <v>Heavy Discount</v>
      </c>
      <c r="H2669" s="37" t="str">
        <f t="shared" si="207"/>
        <v>High</v>
      </c>
      <c r="I2669">
        <v>7</v>
      </c>
      <c r="J2669" t="str" cm="1">
        <f t="array" ref="J2669">_xlfn.IFS(I2669&lt;=3,"small",I2669&lt;=6,"Medium",I2669&lt;=9,"Large")</f>
        <v>Large</v>
      </c>
      <c r="K2669" s="36">
        <v>45194</v>
      </c>
      <c r="L2669" s="36">
        <v>45198</v>
      </c>
      <c r="M2669" t="s">
        <v>603</v>
      </c>
      <c r="N2669" t="s">
        <v>608</v>
      </c>
      <c r="O2669" s="37" t="str">
        <f t="shared" si="208"/>
        <v>Cash Payment</v>
      </c>
      <c r="P2669">
        <v>573.34</v>
      </c>
      <c r="Q2669" s="37" t="str">
        <f>IF(P2669&gt;500,"High","low")</f>
        <v>High</v>
      </c>
      <c r="R2669" s="37" t="str">
        <f t="shared" si="209"/>
        <v>Good</v>
      </c>
      <c r="S2669" t="s">
        <v>600</v>
      </c>
    </row>
    <row r="2670" spans="1:19" x14ac:dyDescent="0.2">
      <c r="A2670" t="s">
        <v>3281</v>
      </c>
      <c r="B2670" t="s">
        <v>75</v>
      </c>
      <c r="C2670" t="s">
        <v>602</v>
      </c>
      <c r="D2670">
        <v>3396.72</v>
      </c>
      <c r="E2670" s="37" t="str">
        <f t="shared" si="205"/>
        <v xml:space="preserve"> </v>
      </c>
      <c r="F2670">
        <v>0.48</v>
      </c>
      <c r="G2670" s="37" t="str">
        <f t="shared" si="206"/>
        <v>Heavy Discount</v>
      </c>
      <c r="H2670" s="37" t="str">
        <f t="shared" si="207"/>
        <v>High</v>
      </c>
      <c r="I2670">
        <v>6</v>
      </c>
      <c r="J2670" t="str" cm="1">
        <f t="array" ref="J2670">_xlfn.IFS(I2670&lt;=3,"small",I2670&lt;=6,"Medium",I2670&lt;=9,"Large")</f>
        <v>Medium</v>
      </c>
      <c r="K2670" s="36">
        <v>45161</v>
      </c>
      <c r="L2670" s="36">
        <v>45163</v>
      </c>
      <c r="M2670" t="s">
        <v>603</v>
      </c>
      <c r="N2670" t="s">
        <v>599</v>
      </c>
      <c r="O2670" s="37" t="str">
        <f t="shared" si="208"/>
        <v>Digital Payment</v>
      </c>
      <c r="P2670">
        <v>199.78</v>
      </c>
      <c r="Q2670" s="37" t="str">
        <f>IF(P2670&gt;500,"High","low")</f>
        <v>low</v>
      </c>
      <c r="R2670" s="37" t="str">
        <f t="shared" si="209"/>
        <v>AVERAGE</v>
      </c>
      <c r="S2670" t="s">
        <v>609</v>
      </c>
    </row>
    <row r="2671" spans="1:19" x14ac:dyDescent="0.2">
      <c r="A2671" t="s">
        <v>3282</v>
      </c>
      <c r="B2671" t="s">
        <v>90</v>
      </c>
      <c r="C2671" t="s">
        <v>614</v>
      </c>
      <c r="D2671">
        <v>1872.22</v>
      </c>
      <c r="E2671" s="37" t="str">
        <f t="shared" si="205"/>
        <v xml:space="preserve"> </v>
      </c>
      <c r="F2671">
        <v>0.25</v>
      </c>
      <c r="G2671" s="37" t="str">
        <f t="shared" si="206"/>
        <v>Normal Discount</v>
      </c>
      <c r="H2671" s="37" t="str">
        <f t="shared" si="207"/>
        <v>Medium</v>
      </c>
      <c r="I2671">
        <v>2</v>
      </c>
      <c r="J2671" t="str" cm="1">
        <f t="array" ref="J2671">_xlfn.IFS(I2671&lt;=3,"small",I2671&lt;=6,"Medium",I2671&lt;=9,"Large")</f>
        <v>small</v>
      </c>
      <c r="K2671" s="36">
        <v>45550</v>
      </c>
      <c r="L2671" s="36">
        <v>45555</v>
      </c>
      <c r="M2671" t="s">
        <v>603</v>
      </c>
      <c r="N2671" t="s">
        <v>608</v>
      </c>
      <c r="O2671" s="37" t="str">
        <f t="shared" si="208"/>
        <v>Cash Payment</v>
      </c>
      <c r="P2671">
        <v>176.98</v>
      </c>
      <c r="Q2671" s="37" t="str">
        <f>IF(P2671&gt;500,"High","low")</f>
        <v>low</v>
      </c>
      <c r="R2671" s="37" t="str">
        <f t="shared" si="209"/>
        <v>AVERAGE</v>
      </c>
      <c r="S2671" t="s">
        <v>605</v>
      </c>
    </row>
    <row r="2672" spans="1:19" x14ac:dyDescent="0.2">
      <c r="A2672" t="s">
        <v>3283</v>
      </c>
      <c r="B2672" t="s">
        <v>90</v>
      </c>
      <c r="C2672" t="s">
        <v>607</v>
      </c>
      <c r="D2672">
        <v>2942.03</v>
      </c>
      <c r="E2672" s="37" t="str">
        <f t="shared" si="205"/>
        <v xml:space="preserve"> </v>
      </c>
      <c r="F2672">
        <v>0.28999999999999998</v>
      </c>
      <c r="G2672" s="37" t="str">
        <f t="shared" si="206"/>
        <v>Normal Discount</v>
      </c>
      <c r="H2672" s="37" t="str">
        <f t="shared" si="207"/>
        <v>Medium</v>
      </c>
      <c r="I2672">
        <v>7</v>
      </c>
      <c r="J2672" t="str" cm="1">
        <f t="array" ref="J2672">_xlfn.IFS(I2672&lt;=3,"small",I2672&lt;=6,"Medium",I2672&lt;=9,"Large")</f>
        <v>Large</v>
      </c>
      <c r="K2672" s="36">
        <v>45141</v>
      </c>
      <c r="L2672" s="36">
        <v>45146</v>
      </c>
      <c r="M2672" t="s">
        <v>612</v>
      </c>
      <c r="N2672" t="s">
        <v>608</v>
      </c>
      <c r="O2672" s="37" t="str">
        <f t="shared" si="208"/>
        <v>Cash Payment</v>
      </c>
      <c r="P2672">
        <v>548.85</v>
      </c>
      <c r="Q2672" s="37" t="str">
        <f>IF(P2672&gt;500,"High","low")</f>
        <v>High</v>
      </c>
      <c r="R2672" s="37" t="str">
        <f t="shared" si="209"/>
        <v>Good</v>
      </c>
      <c r="S2672" t="s">
        <v>600</v>
      </c>
    </row>
    <row r="2673" spans="1:19" x14ac:dyDescent="0.2">
      <c r="A2673" t="s">
        <v>3284</v>
      </c>
      <c r="B2673" t="s">
        <v>67</v>
      </c>
      <c r="C2673" t="s">
        <v>614</v>
      </c>
      <c r="D2673">
        <v>3004.78</v>
      </c>
      <c r="E2673" s="37" t="str">
        <f t="shared" si="205"/>
        <v xml:space="preserve"> </v>
      </c>
      <c r="F2673">
        <v>0.12</v>
      </c>
      <c r="G2673" s="37" t="str">
        <f t="shared" si="206"/>
        <v>Normal Discount</v>
      </c>
      <c r="H2673" s="37" t="str">
        <f t="shared" si="207"/>
        <v>Low</v>
      </c>
      <c r="I2673">
        <v>2</v>
      </c>
      <c r="J2673" t="str" cm="1">
        <f t="array" ref="J2673">_xlfn.IFS(I2673&lt;=3,"small",I2673&lt;=6,"Medium",I2673&lt;=9,"Large")</f>
        <v>small</v>
      </c>
      <c r="K2673" s="36">
        <v>45382</v>
      </c>
      <c r="L2673" s="36">
        <v>45386</v>
      </c>
      <c r="M2673" t="s">
        <v>612</v>
      </c>
      <c r="N2673" t="s">
        <v>604</v>
      </c>
      <c r="O2673" s="37" t="str">
        <f t="shared" si="208"/>
        <v>Digital Payment</v>
      </c>
      <c r="P2673">
        <v>685.57</v>
      </c>
      <c r="Q2673" s="37" t="str">
        <f>IF(P2673&gt;500,"High","low")</f>
        <v>High</v>
      </c>
      <c r="R2673" s="37" t="str">
        <f t="shared" si="209"/>
        <v>Good</v>
      </c>
      <c r="S2673" t="s">
        <v>615</v>
      </c>
    </row>
    <row r="2674" spans="1:19" x14ac:dyDescent="0.2">
      <c r="A2674" t="s">
        <v>3285</v>
      </c>
      <c r="B2674" t="s">
        <v>83</v>
      </c>
      <c r="C2674" t="s">
        <v>602</v>
      </c>
      <c r="D2674">
        <v>2976.84</v>
      </c>
      <c r="E2674" s="37" t="str">
        <f t="shared" si="205"/>
        <v xml:space="preserve"> </v>
      </c>
      <c r="F2674">
        <v>0.28999999999999998</v>
      </c>
      <c r="G2674" s="37" t="str">
        <f t="shared" si="206"/>
        <v>Normal Discount</v>
      </c>
      <c r="H2674" s="37" t="str">
        <f t="shared" si="207"/>
        <v>Medium</v>
      </c>
      <c r="I2674">
        <v>6</v>
      </c>
      <c r="J2674" t="str" cm="1">
        <f t="array" ref="J2674">_xlfn.IFS(I2674&lt;=3,"small",I2674&lt;=6,"Medium",I2674&lt;=9,"Large")</f>
        <v>Medium</v>
      </c>
      <c r="K2674" s="36">
        <v>45204</v>
      </c>
      <c r="L2674" s="36">
        <v>45210</v>
      </c>
      <c r="M2674" t="s">
        <v>612</v>
      </c>
      <c r="N2674" t="s">
        <v>599</v>
      </c>
      <c r="O2674" s="37" t="str">
        <f t="shared" si="208"/>
        <v>Digital Payment</v>
      </c>
      <c r="P2674">
        <v>762.27</v>
      </c>
      <c r="Q2674" s="37" t="str">
        <f>IF(P2674&gt;500,"High","low")</f>
        <v>High</v>
      </c>
      <c r="R2674" s="37" t="str">
        <f t="shared" si="209"/>
        <v>Good</v>
      </c>
      <c r="S2674" t="s">
        <v>600</v>
      </c>
    </row>
    <row r="2675" spans="1:19" x14ac:dyDescent="0.2">
      <c r="A2675" t="s">
        <v>3286</v>
      </c>
      <c r="B2675" t="s">
        <v>90</v>
      </c>
      <c r="C2675" t="s">
        <v>597</v>
      </c>
      <c r="D2675">
        <v>2694.71</v>
      </c>
      <c r="E2675" s="37" t="str">
        <f t="shared" si="205"/>
        <v xml:space="preserve"> </v>
      </c>
      <c r="F2675">
        <v>0.2</v>
      </c>
      <c r="G2675" s="37" t="str">
        <f t="shared" si="206"/>
        <v>Normal Discount</v>
      </c>
      <c r="H2675" s="37" t="str">
        <f t="shared" si="207"/>
        <v>Medium</v>
      </c>
      <c r="I2675">
        <v>6</v>
      </c>
      <c r="J2675" t="str" cm="1">
        <f t="array" ref="J2675">_xlfn.IFS(I2675&lt;=3,"small",I2675&lt;=6,"Medium",I2675&lt;=9,"Large")</f>
        <v>Medium</v>
      </c>
      <c r="K2675" s="36">
        <v>45528</v>
      </c>
      <c r="L2675" s="36">
        <v>45532</v>
      </c>
      <c r="M2675" t="s">
        <v>598</v>
      </c>
      <c r="N2675" t="s">
        <v>608</v>
      </c>
      <c r="O2675" s="37" t="str">
        <f t="shared" si="208"/>
        <v>Cash Payment</v>
      </c>
      <c r="P2675">
        <v>335.41</v>
      </c>
      <c r="Q2675" s="37" t="str">
        <f>IF(P2675&gt;500,"High","low")</f>
        <v>low</v>
      </c>
      <c r="R2675" s="37" t="str">
        <f t="shared" si="209"/>
        <v>AVERAGE</v>
      </c>
      <c r="S2675" t="s">
        <v>615</v>
      </c>
    </row>
    <row r="2676" spans="1:19" x14ac:dyDescent="0.2">
      <c r="A2676" t="s">
        <v>3287</v>
      </c>
      <c r="B2676" t="s">
        <v>90</v>
      </c>
      <c r="C2676" t="s">
        <v>602</v>
      </c>
      <c r="D2676">
        <v>673.24</v>
      </c>
      <c r="E2676" s="37" t="str">
        <f t="shared" si="205"/>
        <v xml:space="preserve"> </v>
      </c>
      <c r="F2676">
        <v>0.42</v>
      </c>
      <c r="G2676" s="37" t="str">
        <f t="shared" si="206"/>
        <v>Heavy Discount</v>
      </c>
      <c r="H2676" s="37" t="str">
        <f t="shared" si="207"/>
        <v>High</v>
      </c>
      <c r="I2676">
        <v>9</v>
      </c>
      <c r="J2676" t="str" cm="1">
        <f t="array" ref="J2676">_xlfn.IFS(I2676&lt;=3,"small",I2676&lt;=6,"Medium",I2676&lt;=9,"Large")</f>
        <v>Large</v>
      </c>
      <c r="K2676" s="36">
        <v>45265</v>
      </c>
      <c r="L2676" s="36">
        <v>45270</v>
      </c>
      <c r="M2676" t="s">
        <v>612</v>
      </c>
      <c r="N2676" t="s">
        <v>604</v>
      </c>
      <c r="O2676" s="37" t="str">
        <f t="shared" si="208"/>
        <v>Digital Payment</v>
      </c>
      <c r="P2676">
        <v>90.09</v>
      </c>
      <c r="Q2676" s="37" t="str">
        <f>IF(P2676&gt;500,"High","low")</f>
        <v>low</v>
      </c>
      <c r="R2676" s="37" t="str">
        <f t="shared" si="209"/>
        <v>AVERAGE</v>
      </c>
      <c r="S2676" t="s">
        <v>609</v>
      </c>
    </row>
    <row r="2677" spans="1:19" x14ac:dyDescent="0.2">
      <c r="A2677" t="s">
        <v>3288</v>
      </c>
      <c r="B2677" t="s">
        <v>75</v>
      </c>
      <c r="C2677" t="s">
        <v>617</v>
      </c>
      <c r="D2677">
        <v>1170.43</v>
      </c>
      <c r="E2677" s="37" t="str">
        <f t="shared" si="205"/>
        <v xml:space="preserve"> </v>
      </c>
      <c r="F2677">
        <v>0.19</v>
      </c>
      <c r="G2677" s="37" t="str">
        <f t="shared" si="206"/>
        <v>Normal Discount</v>
      </c>
      <c r="H2677" s="37" t="str">
        <f t="shared" si="207"/>
        <v>Low</v>
      </c>
      <c r="I2677">
        <v>4</v>
      </c>
      <c r="J2677" t="str" cm="1">
        <f t="array" ref="J2677">_xlfn.IFS(I2677&lt;=3,"small",I2677&lt;=6,"Medium",I2677&lt;=9,"Large")</f>
        <v>Medium</v>
      </c>
      <c r="K2677" s="36">
        <v>45645</v>
      </c>
      <c r="L2677" s="36">
        <v>45646</v>
      </c>
      <c r="M2677" t="s">
        <v>612</v>
      </c>
      <c r="N2677" t="s">
        <v>604</v>
      </c>
      <c r="O2677" s="37" t="str">
        <f t="shared" si="208"/>
        <v>Digital Payment</v>
      </c>
      <c r="P2677">
        <v>289.36</v>
      </c>
      <c r="Q2677" s="37" t="str">
        <f>IF(P2677&gt;500,"High","low")</f>
        <v>low</v>
      </c>
      <c r="R2677" s="37" t="str">
        <f t="shared" si="209"/>
        <v>AVERAGE</v>
      </c>
      <c r="S2677" t="s">
        <v>628</v>
      </c>
    </row>
    <row r="2678" spans="1:19" x14ac:dyDescent="0.2">
      <c r="A2678" t="s">
        <v>3289</v>
      </c>
      <c r="B2678" t="s">
        <v>75</v>
      </c>
      <c r="C2678" t="s">
        <v>607</v>
      </c>
      <c r="D2678">
        <v>4020.33</v>
      </c>
      <c r="E2678" s="37" t="str">
        <f t="shared" si="205"/>
        <v xml:space="preserve"> </v>
      </c>
      <c r="F2678">
        <v>0.32</v>
      </c>
      <c r="G2678" s="37" t="str">
        <f t="shared" si="206"/>
        <v>Heavy Discount</v>
      </c>
      <c r="H2678" s="37" t="str">
        <f t="shared" si="207"/>
        <v>Medium</v>
      </c>
      <c r="I2678">
        <v>9</v>
      </c>
      <c r="J2678" t="str" cm="1">
        <f t="array" ref="J2678">_xlfn.IFS(I2678&lt;=3,"small",I2678&lt;=6,"Medium",I2678&lt;=9,"Large")</f>
        <v>Large</v>
      </c>
      <c r="K2678" s="36">
        <v>45091</v>
      </c>
      <c r="L2678" s="36">
        <v>45093</v>
      </c>
      <c r="M2678" t="s">
        <v>598</v>
      </c>
      <c r="N2678" t="s">
        <v>604</v>
      </c>
      <c r="O2678" s="37" t="str">
        <f t="shared" si="208"/>
        <v>Digital Payment</v>
      </c>
      <c r="P2678">
        <v>623.94000000000005</v>
      </c>
      <c r="Q2678" s="37" t="str">
        <f>IF(P2678&gt;500,"High","low")</f>
        <v>High</v>
      </c>
      <c r="R2678" s="37" t="str">
        <f t="shared" si="209"/>
        <v>Good</v>
      </c>
      <c r="S2678" t="s">
        <v>628</v>
      </c>
    </row>
    <row r="2679" spans="1:19" x14ac:dyDescent="0.2">
      <c r="A2679" t="s">
        <v>3290</v>
      </c>
      <c r="B2679" t="s">
        <v>83</v>
      </c>
      <c r="C2679" t="s">
        <v>602</v>
      </c>
      <c r="D2679">
        <v>2561.59</v>
      </c>
      <c r="E2679" s="37" t="str">
        <f t="shared" si="205"/>
        <v xml:space="preserve"> </v>
      </c>
      <c r="F2679">
        <v>0.1</v>
      </c>
      <c r="G2679" s="37" t="str">
        <f t="shared" si="206"/>
        <v>Normal Discount</v>
      </c>
      <c r="H2679" s="37" t="str">
        <f t="shared" si="207"/>
        <v>Low</v>
      </c>
      <c r="I2679">
        <v>2</v>
      </c>
      <c r="J2679" t="str" cm="1">
        <f t="array" ref="J2679">_xlfn.IFS(I2679&lt;=3,"small",I2679&lt;=6,"Medium",I2679&lt;=9,"Large")</f>
        <v>small</v>
      </c>
      <c r="K2679" s="36">
        <v>44967</v>
      </c>
      <c r="L2679" s="36">
        <v>44973</v>
      </c>
      <c r="M2679" t="s">
        <v>598</v>
      </c>
      <c r="N2679" t="s">
        <v>599</v>
      </c>
      <c r="O2679" s="37" t="str">
        <f t="shared" si="208"/>
        <v>Digital Payment</v>
      </c>
      <c r="P2679">
        <v>688.96</v>
      </c>
      <c r="Q2679" s="37" t="str">
        <f>IF(P2679&gt;500,"High","low")</f>
        <v>High</v>
      </c>
      <c r="R2679" s="37" t="str">
        <f t="shared" si="209"/>
        <v>Good</v>
      </c>
      <c r="S2679" t="s">
        <v>605</v>
      </c>
    </row>
    <row r="2680" spans="1:19" x14ac:dyDescent="0.2">
      <c r="A2680" t="s">
        <v>3291</v>
      </c>
      <c r="B2680" t="s">
        <v>90</v>
      </c>
      <c r="C2680" t="s">
        <v>597</v>
      </c>
      <c r="D2680">
        <v>3559.77</v>
      </c>
      <c r="E2680" s="37" t="str">
        <f t="shared" si="205"/>
        <v xml:space="preserve"> </v>
      </c>
      <c r="F2680">
        <v>0.05</v>
      </c>
      <c r="G2680" s="37" t="str">
        <f t="shared" si="206"/>
        <v>Normal Discount</v>
      </c>
      <c r="H2680" s="37" t="str">
        <f t="shared" si="207"/>
        <v>Low</v>
      </c>
      <c r="I2680">
        <v>5</v>
      </c>
      <c r="J2680" t="str" cm="1">
        <f t="array" ref="J2680">_xlfn.IFS(I2680&lt;=3,"small",I2680&lt;=6,"Medium",I2680&lt;=9,"Large")</f>
        <v>Medium</v>
      </c>
      <c r="K2680" s="36">
        <v>45139</v>
      </c>
      <c r="L2680" s="36">
        <v>45146</v>
      </c>
      <c r="M2680" t="s">
        <v>612</v>
      </c>
      <c r="N2680" t="s">
        <v>604</v>
      </c>
      <c r="O2680" s="37" t="str">
        <f t="shared" si="208"/>
        <v>Digital Payment</v>
      </c>
      <c r="P2680">
        <v>996.76</v>
      </c>
      <c r="Q2680" s="37" t="str">
        <f>IF(P2680&gt;500,"High","low")</f>
        <v>High</v>
      </c>
      <c r="R2680" s="37" t="str">
        <f t="shared" si="209"/>
        <v>Good</v>
      </c>
      <c r="S2680" t="s">
        <v>628</v>
      </c>
    </row>
    <row r="2681" spans="1:19" x14ac:dyDescent="0.2">
      <c r="A2681" t="s">
        <v>3292</v>
      </c>
      <c r="B2681" t="s">
        <v>90</v>
      </c>
      <c r="C2681" t="s">
        <v>614</v>
      </c>
      <c r="D2681">
        <v>2892.55</v>
      </c>
      <c r="E2681" s="37" t="str">
        <f t="shared" si="205"/>
        <v xml:space="preserve"> </v>
      </c>
      <c r="F2681">
        <v>0.02</v>
      </c>
      <c r="G2681" s="37" t="str">
        <f t="shared" si="206"/>
        <v>Normal Discount</v>
      </c>
      <c r="H2681" s="37" t="str">
        <f t="shared" si="207"/>
        <v>Low</v>
      </c>
      <c r="I2681">
        <v>3</v>
      </c>
      <c r="J2681" t="str" cm="1">
        <f t="array" ref="J2681">_xlfn.IFS(I2681&lt;=3,"small",I2681&lt;=6,"Medium",I2681&lt;=9,"Large")</f>
        <v>small</v>
      </c>
      <c r="K2681" s="36">
        <v>45041</v>
      </c>
      <c r="L2681" s="36">
        <v>45045</v>
      </c>
      <c r="M2681" t="s">
        <v>612</v>
      </c>
      <c r="N2681" t="s">
        <v>604</v>
      </c>
      <c r="O2681" s="37" t="str">
        <f t="shared" si="208"/>
        <v>Digital Payment</v>
      </c>
      <c r="P2681">
        <v>760.11</v>
      </c>
      <c r="Q2681" s="37" t="str">
        <f>IF(P2681&gt;500,"High","low")</f>
        <v>High</v>
      </c>
      <c r="R2681" s="37" t="str">
        <f t="shared" si="209"/>
        <v>Good</v>
      </c>
      <c r="S2681" t="s">
        <v>605</v>
      </c>
    </row>
    <row r="2682" spans="1:19" x14ac:dyDescent="0.2">
      <c r="A2682" t="s">
        <v>3293</v>
      </c>
      <c r="B2682" t="s">
        <v>75</v>
      </c>
      <c r="C2682" t="s">
        <v>607</v>
      </c>
      <c r="D2682">
        <v>289.58</v>
      </c>
      <c r="E2682" s="37" t="str">
        <f t="shared" si="205"/>
        <v xml:space="preserve"> </v>
      </c>
      <c r="F2682">
        <v>0.21</v>
      </c>
      <c r="G2682" s="37" t="str">
        <f t="shared" si="206"/>
        <v>Normal Discount</v>
      </c>
      <c r="H2682" s="37" t="str">
        <f t="shared" si="207"/>
        <v>Medium</v>
      </c>
      <c r="I2682">
        <v>6</v>
      </c>
      <c r="J2682" t="str" cm="1">
        <f t="array" ref="J2682">_xlfn.IFS(I2682&lt;=3,"small",I2682&lt;=6,"Medium",I2682&lt;=9,"Large")</f>
        <v>Medium</v>
      </c>
      <c r="K2682" s="36">
        <v>45387</v>
      </c>
      <c r="L2682" s="36">
        <v>45391</v>
      </c>
      <c r="M2682" t="s">
        <v>612</v>
      </c>
      <c r="N2682" t="s">
        <v>604</v>
      </c>
      <c r="O2682" s="37" t="str">
        <f t="shared" si="208"/>
        <v>Digital Payment</v>
      </c>
      <c r="P2682">
        <v>20.56</v>
      </c>
      <c r="Q2682" s="37" t="str">
        <f>IF(P2682&gt;500,"High","low")</f>
        <v>low</v>
      </c>
      <c r="R2682" s="37" t="str">
        <f t="shared" si="209"/>
        <v>AVERAGE</v>
      </c>
      <c r="S2682" t="s">
        <v>615</v>
      </c>
    </row>
    <row r="2683" spans="1:19" x14ac:dyDescent="0.2">
      <c r="A2683" t="s">
        <v>3294</v>
      </c>
      <c r="B2683" t="s">
        <v>90</v>
      </c>
      <c r="C2683" t="s">
        <v>602</v>
      </c>
      <c r="D2683">
        <v>4001.45</v>
      </c>
      <c r="E2683" s="37" t="str">
        <f t="shared" si="205"/>
        <v xml:space="preserve"> </v>
      </c>
      <c r="F2683">
        <v>0.08</v>
      </c>
      <c r="G2683" s="37" t="str">
        <f t="shared" si="206"/>
        <v>Normal Discount</v>
      </c>
      <c r="H2683" s="37" t="str">
        <f t="shared" si="207"/>
        <v>Low</v>
      </c>
      <c r="I2683">
        <v>2</v>
      </c>
      <c r="J2683" t="str" cm="1">
        <f t="array" ref="J2683">_xlfn.IFS(I2683&lt;=3,"small",I2683&lt;=6,"Medium",I2683&lt;=9,"Large")</f>
        <v>small</v>
      </c>
      <c r="K2683" s="36">
        <v>45061</v>
      </c>
      <c r="L2683" s="36">
        <v>45062</v>
      </c>
      <c r="M2683" t="s">
        <v>612</v>
      </c>
      <c r="N2683" t="s">
        <v>599</v>
      </c>
      <c r="O2683" s="37" t="str">
        <f t="shared" si="208"/>
        <v>Digital Payment</v>
      </c>
      <c r="P2683">
        <v>740.05</v>
      </c>
      <c r="Q2683" s="37" t="str">
        <f>IF(P2683&gt;500,"High","low")</f>
        <v>High</v>
      </c>
      <c r="R2683" s="37" t="str">
        <f t="shared" si="209"/>
        <v>Good</v>
      </c>
      <c r="S2683" t="s">
        <v>600</v>
      </c>
    </row>
    <row r="2684" spans="1:19" x14ac:dyDescent="0.2">
      <c r="A2684" t="s">
        <v>3295</v>
      </c>
      <c r="B2684" t="s">
        <v>67</v>
      </c>
      <c r="C2684" t="s">
        <v>597</v>
      </c>
      <c r="D2684">
        <v>415.19</v>
      </c>
      <c r="E2684" s="37" t="str">
        <f t="shared" si="205"/>
        <v xml:space="preserve"> </v>
      </c>
      <c r="F2684">
        <v>0.5</v>
      </c>
      <c r="G2684" s="37" t="str">
        <f t="shared" si="206"/>
        <v>Heavy Discount</v>
      </c>
      <c r="H2684" s="37" t="str">
        <f t="shared" si="207"/>
        <v>High</v>
      </c>
      <c r="I2684">
        <v>9</v>
      </c>
      <c r="J2684" t="str" cm="1">
        <f t="array" ref="J2684">_xlfn.IFS(I2684&lt;=3,"small",I2684&lt;=6,"Medium",I2684&lt;=9,"Large")</f>
        <v>Large</v>
      </c>
      <c r="K2684" s="36">
        <v>45271</v>
      </c>
      <c r="L2684" s="36">
        <v>45273</v>
      </c>
      <c r="M2684" t="s">
        <v>612</v>
      </c>
      <c r="N2684" t="s">
        <v>608</v>
      </c>
      <c r="O2684" s="37" t="str">
        <f t="shared" si="208"/>
        <v>Cash Payment</v>
      </c>
      <c r="P2684">
        <v>118.97</v>
      </c>
      <c r="Q2684" s="37" t="str">
        <f>IF(P2684&gt;500,"High","low")</f>
        <v>low</v>
      </c>
      <c r="R2684" s="37" t="str">
        <f t="shared" si="209"/>
        <v>AVERAGE</v>
      </c>
      <c r="S2684" t="s">
        <v>609</v>
      </c>
    </row>
    <row r="2685" spans="1:19" x14ac:dyDescent="0.2">
      <c r="A2685" t="s">
        <v>3296</v>
      </c>
      <c r="B2685" t="s">
        <v>75</v>
      </c>
      <c r="C2685" t="s">
        <v>602</v>
      </c>
      <c r="D2685">
        <v>4721.55</v>
      </c>
      <c r="E2685" s="37" t="str">
        <f t="shared" si="205"/>
        <v>Excellent Order</v>
      </c>
      <c r="F2685">
        <v>0.4</v>
      </c>
      <c r="G2685" s="37" t="str">
        <f t="shared" si="206"/>
        <v>Heavy Discount</v>
      </c>
      <c r="H2685" s="37" t="str">
        <f t="shared" si="207"/>
        <v>Medium</v>
      </c>
      <c r="I2685">
        <v>4</v>
      </c>
      <c r="J2685" t="str" cm="1">
        <f t="array" ref="J2685">_xlfn.IFS(I2685&lt;=3,"small",I2685&lt;=6,"Medium",I2685&lt;=9,"Large")</f>
        <v>Medium</v>
      </c>
      <c r="K2685" s="36">
        <v>44959</v>
      </c>
      <c r="L2685" s="36">
        <v>44963</v>
      </c>
      <c r="M2685" t="s">
        <v>598</v>
      </c>
      <c r="N2685" t="s">
        <v>604</v>
      </c>
      <c r="O2685" s="37" t="str">
        <f t="shared" si="208"/>
        <v>Digital Payment</v>
      </c>
      <c r="P2685">
        <v>1373.64</v>
      </c>
      <c r="Q2685" s="37" t="str">
        <f>IF(P2685&gt;500,"High","low")</f>
        <v>High</v>
      </c>
      <c r="R2685" s="37" t="str">
        <f t="shared" si="209"/>
        <v>Excellent</v>
      </c>
      <c r="S2685" t="s">
        <v>628</v>
      </c>
    </row>
    <row r="2686" spans="1:19" x14ac:dyDescent="0.2">
      <c r="A2686" t="s">
        <v>3297</v>
      </c>
      <c r="B2686" t="s">
        <v>83</v>
      </c>
      <c r="C2686" t="s">
        <v>617</v>
      </c>
      <c r="D2686">
        <v>1155.3499999999999</v>
      </c>
      <c r="E2686" s="37" t="str">
        <f t="shared" si="205"/>
        <v xml:space="preserve"> </v>
      </c>
      <c r="F2686">
        <v>0.35</v>
      </c>
      <c r="G2686" s="37" t="str">
        <f t="shared" si="206"/>
        <v>Heavy Discount</v>
      </c>
      <c r="H2686" s="37" t="str">
        <f t="shared" si="207"/>
        <v>Medium</v>
      </c>
      <c r="I2686">
        <v>7</v>
      </c>
      <c r="J2686" t="str" cm="1">
        <f t="array" ref="J2686">_xlfn.IFS(I2686&lt;=3,"small",I2686&lt;=6,"Medium",I2686&lt;=9,"Large")</f>
        <v>Large</v>
      </c>
      <c r="K2686" s="36">
        <v>45441</v>
      </c>
      <c r="L2686" s="36">
        <v>45447</v>
      </c>
      <c r="M2686" t="s">
        <v>598</v>
      </c>
      <c r="N2686" t="s">
        <v>599</v>
      </c>
      <c r="O2686" s="37" t="str">
        <f t="shared" si="208"/>
        <v>Digital Payment</v>
      </c>
      <c r="P2686">
        <v>209.72</v>
      </c>
      <c r="Q2686" s="37" t="str">
        <f>IF(P2686&gt;500,"High","low")</f>
        <v>low</v>
      </c>
      <c r="R2686" s="37" t="str">
        <f t="shared" si="209"/>
        <v>AVERAGE</v>
      </c>
      <c r="S2686" t="s">
        <v>609</v>
      </c>
    </row>
    <row r="2687" spans="1:19" x14ac:dyDescent="0.2">
      <c r="A2687" t="s">
        <v>3298</v>
      </c>
      <c r="B2687" t="s">
        <v>75</v>
      </c>
      <c r="C2687" t="s">
        <v>607</v>
      </c>
      <c r="D2687">
        <v>2610.79</v>
      </c>
      <c r="E2687" s="37" t="str">
        <f t="shared" si="205"/>
        <v xml:space="preserve"> </v>
      </c>
      <c r="F2687">
        <v>0.4</v>
      </c>
      <c r="G2687" s="37" t="str">
        <f t="shared" si="206"/>
        <v>Heavy Discount</v>
      </c>
      <c r="H2687" s="37" t="str">
        <f t="shared" si="207"/>
        <v>Medium</v>
      </c>
      <c r="I2687">
        <v>5</v>
      </c>
      <c r="J2687" t="str" cm="1">
        <f t="array" ref="J2687">_xlfn.IFS(I2687&lt;=3,"small",I2687&lt;=6,"Medium",I2687&lt;=9,"Large")</f>
        <v>Medium</v>
      </c>
      <c r="K2687" s="36">
        <v>45477</v>
      </c>
      <c r="L2687" s="36">
        <v>45479</v>
      </c>
      <c r="M2687" t="s">
        <v>598</v>
      </c>
      <c r="N2687" t="s">
        <v>608</v>
      </c>
      <c r="O2687" s="37" t="str">
        <f t="shared" si="208"/>
        <v>Cash Payment</v>
      </c>
      <c r="P2687">
        <v>412.96</v>
      </c>
      <c r="Q2687" s="37" t="str">
        <f>IF(P2687&gt;500,"High","low")</f>
        <v>low</v>
      </c>
      <c r="R2687" s="37" t="str">
        <f t="shared" si="209"/>
        <v>AVERAGE</v>
      </c>
      <c r="S2687" t="s">
        <v>609</v>
      </c>
    </row>
    <row r="2688" spans="1:19" x14ac:dyDescent="0.2">
      <c r="A2688" t="s">
        <v>3299</v>
      </c>
      <c r="B2688" t="s">
        <v>90</v>
      </c>
      <c r="C2688" t="s">
        <v>614</v>
      </c>
      <c r="D2688">
        <v>411.58</v>
      </c>
      <c r="E2688" s="37" t="str">
        <f t="shared" si="205"/>
        <v xml:space="preserve"> </v>
      </c>
      <c r="F2688">
        <v>0.13</v>
      </c>
      <c r="G2688" s="37" t="str">
        <f t="shared" si="206"/>
        <v>Normal Discount</v>
      </c>
      <c r="H2688" s="37" t="str">
        <f t="shared" si="207"/>
        <v>Low</v>
      </c>
      <c r="I2688">
        <v>8</v>
      </c>
      <c r="J2688" t="str" cm="1">
        <f t="array" ref="J2688">_xlfn.IFS(I2688&lt;=3,"small",I2688&lt;=6,"Medium",I2688&lt;=9,"Large")</f>
        <v>Large</v>
      </c>
      <c r="K2688" s="36">
        <v>45278</v>
      </c>
      <c r="L2688" s="36">
        <v>45280</v>
      </c>
      <c r="M2688" t="s">
        <v>603</v>
      </c>
      <c r="N2688" t="s">
        <v>599</v>
      </c>
      <c r="O2688" s="37" t="str">
        <f t="shared" si="208"/>
        <v>Digital Payment</v>
      </c>
      <c r="P2688">
        <v>39.979999999999997</v>
      </c>
      <c r="Q2688" s="37" t="str">
        <f>IF(P2688&gt;500,"High","low")</f>
        <v>low</v>
      </c>
      <c r="R2688" s="37" t="str">
        <f t="shared" si="209"/>
        <v>AVERAGE</v>
      </c>
      <c r="S2688" t="s">
        <v>609</v>
      </c>
    </row>
    <row r="2689" spans="1:19" x14ac:dyDescent="0.2">
      <c r="A2689" t="s">
        <v>3300</v>
      </c>
      <c r="B2689" t="s">
        <v>83</v>
      </c>
      <c r="C2689" t="s">
        <v>597</v>
      </c>
      <c r="D2689">
        <v>4485.17</v>
      </c>
      <c r="E2689" s="37" t="str">
        <f t="shared" si="205"/>
        <v>Excellent Order</v>
      </c>
      <c r="F2689">
        <v>0.44</v>
      </c>
      <c r="G2689" s="37" t="str">
        <f t="shared" si="206"/>
        <v>Heavy Discount</v>
      </c>
      <c r="H2689" s="37" t="str">
        <f t="shared" si="207"/>
        <v>High</v>
      </c>
      <c r="I2689">
        <v>4</v>
      </c>
      <c r="J2689" t="str" cm="1">
        <f t="array" ref="J2689">_xlfn.IFS(I2689&lt;=3,"small",I2689&lt;=6,"Medium",I2689&lt;=9,"Large")</f>
        <v>Medium</v>
      </c>
      <c r="K2689" s="36">
        <v>45606</v>
      </c>
      <c r="L2689" s="36">
        <v>45612</v>
      </c>
      <c r="M2689" t="s">
        <v>598</v>
      </c>
      <c r="N2689" t="s">
        <v>608</v>
      </c>
      <c r="O2689" s="37" t="str">
        <f t="shared" si="208"/>
        <v>Cash Payment</v>
      </c>
      <c r="P2689">
        <v>1342.38</v>
      </c>
      <c r="Q2689" s="37" t="str">
        <f>IF(P2689&gt;500,"High","low")</f>
        <v>High</v>
      </c>
      <c r="R2689" s="37" t="str">
        <f t="shared" si="209"/>
        <v>Excellent</v>
      </c>
      <c r="S2689" t="s">
        <v>615</v>
      </c>
    </row>
    <row r="2690" spans="1:19" x14ac:dyDescent="0.2">
      <c r="A2690" t="s">
        <v>3301</v>
      </c>
      <c r="B2690" t="s">
        <v>75</v>
      </c>
      <c r="C2690" t="s">
        <v>602</v>
      </c>
      <c r="D2690">
        <v>4901.71</v>
      </c>
      <c r="E2690" s="37" t="str">
        <f t="shared" si="205"/>
        <v>Excellent Order</v>
      </c>
      <c r="F2690">
        <v>0.5</v>
      </c>
      <c r="G2690" s="37" t="str">
        <f t="shared" si="206"/>
        <v>Heavy Discount</v>
      </c>
      <c r="H2690" s="37" t="str">
        <f t="shared" si="207"/>
        <v>High</v>
      </c>
      <c r="I2690">
        <v>7</v>
      </c>
      <c r="J2690" t="str" cm="1">
        <f t="array" ref="J2690">_xlfn.IFS(I2690&lt;=3,"small",I2690&lt;=6,"Medium",I2690&lt;=9,"Large")</f>
        <v>Large</v>
      </c>
      <c r="K2690" s="36">
        <v>45426</v>
      </c>
      <c r="L2690" s="36">
        <v>45431</v>
      </c>
      <c r="M2690" t="s">
        <v>598</v>
      </c>
      <c r="N2690" t="s">
        <v>608</v>
      </c>
      <c r="O2690" s="37" t="str">
        <f t="shared" si="208"/>
        <v>Cash Payment</v>
      </c>
      <c r="P2690">
        <v>1004.68</v>
      </c>
      <c r="Q2690" s="37" t="str">
        <f>IF(P2690&gt;500,"High","low")</f>
        <v>High</v>
      </c>
      <c r="R2690" s="37" t="str">
        <f t="shared" si="209"/>
        <v>Excellent</v>
      </c>
      <c r="S2690" t="s">
        <v>600</v>
      </c>
    </row>
    <row r="2691" spans="1:19" x14ac:dyDescent="0.2">
      <c r="A2691" t="s">
        <v>3302</v>
      </c>
      <c r="B2691" t="s">
        <v>67</v>
      </c>
      <c r="C2691" t="s">
        <v>607</v>
      </c>
      <c r="D2691">
        <v>816.83</v>
      </c>
      <c r="E2691" s="37" t="str">
        <f t="shared" ref="E2691:E2754" si="210">IF(AND(D2691&gt;4000,P2691&gt;800),"Excellent Order"," ")</f>
        <v xml:space="preserve"> </v>
      </c>
      <c r="F2691">
        <v>0.14000000000000001</v>
      </c>
      <c r="G2691" s="37" t="str">
        <f t="shared" ref="G2691:G2754" si="211">IF(F2691&gt;30%,"Heavy Discount","Normal Discount")</f>
        <v>Normal Discount</v>
      </c>
      <c r="H2691" s="37" t="str">
        <f t="shared" ref="H2691:H2754" si="212">IF(F2691&gt;0.4,"High",IF(F2691&gt;=0.2,"Medium","Low"))</f>
        <v>Low</v>
      </c>
      <c r="I2691">
        <v>5</v>
      </c>
      <c r="J2691" t="str" cm="1">
        <f t="array" ref="J2691">_xlfn.IFS(I2691&lt;=3,"small",I2691&lt;=6,"Medium",I2691&lt;=9,"Large")</f>
        <v>Medium</v>
      </c>
      <c r="K2691" s="36">
        <v>45424</v>
      </c>
      <c r="L2691" s="36">
        <v>45428</v>
      </c>
      <c r="M2691" t="s">
        <v>612</v>
      </c>
      <c r="N2691" t="s">
        <v>599</v>
      </c>
      <c r="O2691" s="37" t="str">
        <f t="shared" ref="O2691:O2754" si="213">IF(OR(N2691="Card",N2691="UPI"),"Digital Payment","Cash Payment")</f>
        <v>Digital Payment</v>
      </c>
      <c r="P2691">
        <v>57.15</v>
      </c>
      <c r="Q2691" s="37" t="str">
        <f>IF(P2691&gt;500,"High","low")</f>
        <v>low</v>
      </c>
      <c r="R2691" s="37" t="str">
        <f t="shared" ref="R2691:R2754" si="214">IF(P2691&gt;1000,"Excellent",IF(P2691&gt;=500,"Good","AVERAGE"))</f>
        <v>AVERAGE</v>
      </c>
      <c r="S2691" t="s">
        <v>628</v>
      </c>
    </row>
    <row r="2692" spans="1:19" x14ac:dyDescent="0.2">
      <c r="A2692" t="s">
        <v>3303</v>
      </c>
      <c r="B2692" t="s">
        <v>67</v>
      </c>
      <c r="C2692" t="s">
        <v>602</v>
      </c>
      <c r="D2692">
        <v>1549.35</v>
      </c>
      <c r="E2692" s="37" t="str">
        <f t="shared" si="210"/>
        <v xml:space="preserve"> </v>
      </c>
      <c r="F2692">
        <v>0.49</v>
      </c>
      <c r="G2692" s="37" t="str">
        <f t="shared" si="211"/>
        <v>Heavy Discount</v>
      </c>
      <c r="H2692" s="37" t="str">
        <f t="shared" si="212"/>
        <v>High</v>
      </c>
      <c r="I2692">
        <v>3</v>
      </c>
      <c r="J2692" t="str" cm="1">
        <f t="array" ref="J2692">_xlfn.IFS(I2692&lt;=3,"small",I2692&lt;=6,"Medium",I2692&lt;=9,"Large")</f>
        <v>small</v>
      </c>
      <c r="K2692" s="36">
        <v>45205</v>
      </c>
      <c r="L2692" s="36">
        <v>45210</v>
      </c>
      <c r="M2692" t="s">
        <v>603</v>
      </c>
      <c r="N2692" t="s">
        <v>599</v>
      </c>
      <c r="O2692" s="37" t="str">
        <f t="shared" si="213"/>
        <v>Digital Payment</v>
      </c>
      <c r="P2692">
        <v>417.19</v>
      </c>
      <c r="Q2692" s="37" t="str">
        <f>IF(P2692&gt;500,"High","low")</f>
        <v>low</v>
      </c>
      <c r="R2692" s="37" t="str">
        <f t="shared" si="214"/>
        <v>AVERAGE</v>
      </c>
      <c r="S2692" t="s">
        <v>600</v>
      </c>
    </row>
    <row r="2693" spans="1:19" x14ac:dyDescent="0.2">
      <c r="A2693" t="s">
        <v>3304</v>
      </c>
      <c r="B2693" t="s">
        <v>75</v>
      </c>
      <c r="C2693" t="s">
        <v>607</v>
      </c>
      <c r="D2693">
        <v>177.78</v>
      </c>
      <c r="E2693" s="37" t="str">
        <f t="shared" si="210"/>
        <v xml:space="preserve"> </v>
      </c>
      <c r="F2693">
        <v>0.16</v>
      </c>
      <c r="G2693" s="37" t="str">
        <f t="shared" si="211"/>
        <v>Normal Discount</v>
      </c>
      <c r="H2693" s="37" t="str">
        <f t="shared" si="212"/>
        <v>Low</v>
      </c>
      <c r="I2693">
        <v>8</v>
      </c>
      <c r="J2693" t="str" cm="1">
        <f t="array" ref="J2693">_xlfn.IFS(I2693&lt;=3,"small",I2693&lt;=6,"Medium",I2693&lt;=9,"Large")</f>
        <v>Large</v>
      </c>
      <c r="K2693" s="36">
        <v>45376</v>
      </c>
      <c r="L2693" s="36">
        <v>45378</v>
      </c>
      <c r="M2693" t="s">
        <v>603</v>
      </c>
      <c r="N2693" t="s">
        <v>599</v>
      </c>
      <c r="O2693" s="37" t="str">
        <f t="shared" si="213"/>
        <v>Digital Payment</v>
      </c>
      <c r="P2693">
        <v>38.07</v>
      </c>
      <c r="Q2693" s="37" t="str">
        <f>IF(P2693&gt;500,"High","low")</f>
        <v>low</v>
      </c>
      <c r="R2693" s="37" t="str">
        <f t="shared" si="214"/>
        <v>AVERAGE</v>
      </c>
      <c r="S2693" t="s">
        <v>628</v>
      </c>
    </row>
    <row r="2694" spans="1:19" x14ac:dyDescent="0.2">
      <c r="A2694" t="s">
        <v>3305</v>
      </c>
      <c r="B2694" t="s">
        <v>67</v>
      </c>
      <c r="C2694" t="s">
        <v>617</v>
      </c>
      <c r="D2694">
        <v>3956.13</v>
      </c>
      <c r="E2694" s="37" t="str">
        <f t="shared" si="210"/>
        <v xml:space="preserve"> </v>
      </c>
      <c r="F2694">
        <v>0.01</v>
      </c>
      <c r="G2694" s="37" t="str">
        <f t="shared" si="211"/>
        <v>Normal Discount</v>
      </c>
      <c r="H2694" s="37" t="str">
        <f t="shared" si="212"/>
        <v>Low</v>
      </c>
      <c r="I2694">
        <v>6</v>
      </c>
      <c r="J2694" t="str" cm="1">
        <f t="array" ref="J2694">_xlfn.IFS(I2694&lt;=3,"small",I2694&lt;=6,"Medium",I2694&lt;=9,"Large")</f>
        <v>Medium</v>
      </c>
      <c r="K2694" s="36">
        <v>45228</v>
      </c>
      <c r="L2694" s="36">
        <v>45232</v>
      </c>
      <c r="M2694" t="s">
        <v>598</v>
      </c>
      <c r="N2694" t="s">
        <v>604</v>
      </c>
      <c r="O2694" s="37" t="str">
        <f t="shared" si="213"/>
        <v>Digital Payment</v>
      </c>
      <c r="P2694">
        <v>525.87</v>
      </c>
      <c r="Q2694" s="37" t="str">
        <f>IF(P2694&gt;500,"High","low")</f>
        <v>High</v>
      </c>
      <c r="R2694" s="37" t="str">
        <f t="shared" si="214"/>
        <v>Good</v>
      </c>
      <c r="S2694" t="s">
        <v>615</v>
      </c>
    </row>
    <row r="2695" spans="1:19" x14ac:dyDescent="0.2">
      <c r="A2695" t="s">
        <v>3306</v>
      </c>
      <c r="B2695" t="s">
        <v>67</v>
      </c>
      <c r="C2695" t="s">
        <v>602</v>
      </c>
      <c r="D2695">
        <v>1626.18</v>
      </c>
      <c r="E2695" s="37" t="str">
        <f t="shared" si="210"/>
        <v xml:space="preserve"> </v>
      </c>
      <c r="F2695">
        <v>0.18</v>
      </c>
      <c r="G2695" s="37" t="str">
        <f t="shared" si="211"/>
        <v>Normal Discount</v>
      </c>
      <c r="H2695" s="37" t="str">
        <f t="shared" si="212"/>
        <v>Low</v>
      </c>
      <c r="I2695">
        <v>4</v>
      </c>
      <c r="J2695" t="str" cm="1">
        <f t="array" ref="J2695">_xlfn.IFS(I2695&lt;=3,"small",I2695&lt;=6,"Medium",I2695&lt;=9,"Large")</f>
        <v>Medium</v>
      </c>
      <c r="K2695" s="36">
        <v>45444</v>
      </c>
      <c r="L2695" s="36">
        <v>45447</v>
      </c>
      <c r="M2695" t="s">
        <v>612</v>
      </c>
      <c r="N2695" t="s">
        <v>608</v>
      </c>
      <c r="O2695" s="37" t="str">
        <f t="shared" si="213"/>
        <v>Cash Payment</v>
      </c>
      <c r="P2695">
        <v>156.61000000000001</v>
      </c>
      <c r="Q2695" s="37" t="str">
        <f>IF(P2695&gt;500,"High","low")</f>
        <v>low</v>
      </c>
      <c r="R2695" s="37" t="str">
        <f t="shared" si="214"/>
        <v>AVERAGE</v>
      </c>
      <c r="S2695" t="s">
        <v>620</v>
      </c>
    </row>
    <row r="2696" spans="1:19" x14ac:dyDescent="0.2">
      <c r="A2696" t="s">
        <v>3307</v>
      </c>
      <c r="B2696" t="s">
        <v>67</v>
      </c>
      <c r="C2696" t="s">
        <v>617</v>
      </c>
      <c r="D2696">
        <v>2985.3</v>
      </c>
      <c r="E2696" s="37" t="str">
        <f t="shared" si="210"/>
        <v xml:space="preserve"> </v>
      </c>
      <c r="F2696">
        <v>0.5</v>
      </c>
      <c r="G2696" s="37" t="str">
        <f t="shared" si="211"/>
        <v>Heavy Discount</v>
      </c>
      <c r="H2696" s="37" t="str">
        <f t="shared" si="212"/>
        <v>High</v>
      </c>
      <c r="I2696">
        <v>9</v>
      </c>
      <c r="J2696" t="str" cm="1">
        <f t="array" ref="J2696">_xlfn.IFS(I2696&lt;=3,"small",I2696&lt;=6,"Medium",I2696&lt;=9,"Large")</f>
        <v>Large</v>
      </c>
      <c r="K2696" s="36">
        <v>45203</v>
      </c>
      <c r="L2696" s="36">
        <v>45206</v>
      </c>
      <c r="M2696" t="s">
        <v>603</v>
      </c>
      <c r="N2696" t="s">
        <v>599</v>
      </c>
      <c r="O2696" s="37" t="str">
        <f t="shared" si="213"/>
        <v>Digital Payment</v>
      </c>
      <c r="P2696">
        <v>645.64</v>
      </c>
      <c r="Q2696" s="37" t="str">
        <f>IF(P2696&gt;500,"High","low")</f>
        <v>High</v>
      </c>
      <c r="R2696" s="37" t="str">
        <f t="shared" si="214"/>
        <v>Good</v>
      </c>
      <c r="S2696" t="s">
        <v>615</v>
      </c>
    </row>
    <row r="2697" spans="1:19" x14ac:dyDescent="0.2">
      <c r="A2697" t="s">
        <v>3308</v>
      </c>
      <c r="B2697" t="s">
        <v>83</v>
      </c>
      <c r="C2697" t="s">
        <v>597</v>
      </c>
      <c r="D2697">
        <v>292.17</v>
      </c>
      <c r="E2697" s="37" t="str">
        <f t="shared" si="210"/>
        <v xml:space="preserve"> </v>
      </c>
      <c r="F2697">
        <v>0.32</v>
      </c>
      <c r="G2697" s="37" t="str">
        <f t="shared" si="211"/>
        <v>Heavy Discount</v>
      </c>
      <c r="H2697" s="37" t="str">
        <f t="shared" si="212"/>
        <v>Medium</v>
      </c>
      <c r="I2697">
        <v>9</v>
      </c>
      <c r="J2697" t="str" cm="1">
        <f t="array" ref="J2697">_xlfn.IFS(I2697&lt;=3,"small",I2697&lt;=6,"Medium",I2697&lt;=9,"Large")</f>
        <v>Large</v>
      </c>
      <c r="K2697" s="36">
        <v>45535</v>
      </c>
      <c r="L2697" s="36">
        <v>45536</v>
      </c>
      <c r="M2697" t="s">
        <v>598</v>
      </c>
      <c r="N2697" t="s">
        <v>599</v>
      </c>
      <c r="O2697" s="37" t="str">
        <f t="shared" si="213"/>
        <v>Digital Payment</v>
      </c>
      <c r="P2697">
        <v>15.3</v>
      </c>
      <c r="Q2697" s="37" t="str">
        <f>IF(P2697&gt;500,"High","low")</f>
        <v>low</v>
      </c>
      <c r="R2697" s="37" t="str">
        <f t="shared" si="214"/>
        <v>AVERAGE</v>
      </c>
      <c r="S2697" t="s">
        <v>600</v>
      </c>
    </row>
    <row r="2698" spans="1:19" x14ac:dyDescent="0.2">
      <c r="A2698" t="s">
        <v>3309</v>
      </c>
      <c r="B2698" t="s">
        <v>67</v>
      </c>
      <c r="C2698" t="s">
        <v>617</v>
      </c>
      <c r="D2698">
        <v>3605.76</v>
      </c>
      <c r="E2698" s="37" t="str">
        <f t="shared" si="210"/>
        <v xml:space="preserve"> </v>
      </c>
      <c r="F2698">
        <v>0.35</v>
      </c>
      <c r="G2698" s="37" t="str">
        <f t="shared" si="211"/>
        <v>Heavy Discount</v>
      </c>
      <c r="H2698" s="37" t="str">
        <f t="shared" si="212"/>
        <v>Medium</v>
      </c>
      <c r="I2698">
        <v>2</v>
      </c>
      <c r="J2698" t="str" cm="1">
        <f t="array" ref="J2698">_xlfn.IFS(I2698&lt;=3,"small",I2698&lt;=6,"Medium",I2698&lt;=9,"Large")</f>
        <v>small</v>
      </c>
      <c r="K2698" s="36">
        <v>45006</v>
      </c>
      <c r="L2698" s="36">
        <v>45012</v>
      </c>
      <c r="M2698" t="s">
        <v>612</v>
      </c>
      <c r="N2698" t="s">
        <v>604</v>
      </c>
      <c r="O2698" s="37" t="str">
        <f t="shared" si="213"/>
        <v>Digital Payment</v>
      </c>
      <c r="P2698">
        <v>959.16</v>
      </c>
      <c r="Q2698" s="37" t="str">
        <f>IF(P2698&gt;500,"High","low")</f>
        <v>High</v>
      </c>
      <c r="R2698" s="37" t="str">
        <f t="shared" si="214"/>
        <v>Good</v>
      </c>
      <c r="S2698" t="s">
        <v>628</v>
      </c>
    </row>
    <row r="2699" spans="1:19" x14ac:dyDescent="0.2">
      <c r="A2699" t="s">
        <v>3310</v>
      </c>
      <c r="B2699" t="s">
        <v>67</v>
      </c>
      <c r="C2699" t="s">
        <v>607</v>
      </c>
      <c r="D2699">
        <v>2694.08</v>
      </c>
      <c r="E2699" s="37" t="str">
        <f t="shared" si="210"/>
        <v xml:space="preserve"> </v>
      </c>
      <c r="F2699">
        <v>0.12</v>
      </c>
      <c r="G2699" s="37" t="str">
        <f t="shared" si="211"/>
        <v>Normal Discount</v>
      </c>
      <c r="H2699" s="37" t="str">
        <f t="shared" si="212"/>
        <v>Low</v>
      </c>
      <c r="I2699">
        <v>9</v>
      </c>
      <c r="J2699" t="str" cm="1">
        <f t="array" ref="J2699">_xlfn.IFS(I2699&lt;=3,"small",I2699&lt;=6,"Medium",I2699&lt;=9,"Large")</f>
        <v>Large</v>
      </c>
      <c r="K2699" s="36">
        <v>45377</v>
      </c>
      <c r="L2699" s="36">
        <v>45382</v>
      </c>
      <c r="M2699" t="s">
        <v>603</v>
      </c>
      <c r="N2699" t="s">
        <v>608</v>
      </c>
      <c r="O2699" s="37" t="str">
        <f t="shared" si="213"/>
        <v>Cash Payment</v>
      </c>
      <c r="P2699">
        <v>558.82000000000005</v>
      </c>
      <c r="Q2699" s="37" t="str">
        <f>IF(P2699&gt;500,"High","low")</f>
        <v>High</v>
      </c>
      <c r="R2699" s="37" t="str">
        <f t="shared" si="214"/>
        <v>Good</v>
      </c>
      <c r="S2699" t="s">
        <v>600</v>
      </c>
    </row>
    <row r="2700" spans="1:19" x14ac:dyDescent="0.2">
      <c r="A2700" t="s">
        <v>3311</v>
      </c>
      <c r="B2700" t="s">
        <v>67</v>
      </c>
      <c r="C2700" t="s">
        <v>597</v>
      </c>
      <c r="D2700">
        <v>3652.4</v>
      </c>
      <c r="E2700" s="37" t="str">
        <f t="shared" si="210"/>
        <v xml:space="preserve"> </v>
      </c>
      <c r="F2700">
        <v>7.0000000000000007E-2</v>
      </c>
      <c r="G2700" s="37" t="str">
        <f t="shared" si="211"/>
        <v>Normal Discount</v>
      </c>
      <c r="H2700" s="37" t="str">
        <f t="shared" si="212"/>
        <v>Low</v>
      </c>
      <c r="I2700">
        <v>4</v>
      </c>
      <c r="J2700" t="str" cm="1">
        <f t="array" ref="J2700">_xlfn.IFS(I2700&lt;=3,"small",I2700&lt;=6,"Medium",I2700&lt;=9,"Large")</f>
        <v>Medium</v>
      </c>
      <c r="K2700" s="36">
        <v>45181</v>
      </c>
      <c r="L2700" s="36">
        <v>45187</v>
      </c>
      <c r="M2700" t="s">
        <v>598</v>
      </c>
      <c r="N2700" t="s">
        <v>608</v>
      </c>
      <c r="O2700" s="37" t="str">
        <f t="shared" si="213"/>
        <v>Cash Payment</v>
      </c>
      <c r="P2700">
        <v>376.56</v>
      </c>
      <c r="Q2700" s="37" t="str">
        <f>IF(P2700&gt;500,"High","low")</f>
        <v>low</v>
      </c>
      <c r="R2700" s="37" t="str">
        <f t="shared" si="214"/>
        <v>AVERAGE</v>
      </c>
      <c r="S2700" t="s">
        <v>605</v>
      </c>
    </row>
    <row r="2701" spans="1:19" x14ac:dyDescent="0.2">
      <c r="A2701" t="s">
        <v>3312</v>
      </c>
      <c r="B2701" t="s">
        <v>83</v>
      </c>
      <c r="C2701" t="s">
        <v>602</v>
      </c>
      <c r="D2701">
        <v>3968.87</v>
      </c>
      <c r="E2701" s="37" t="str">
        <f t="shared" si="210"/>
        <v xml:space="preserve"> </v>
      </c>
      <c r="F2701">
        <v>0.44</v>
      </c>
      <c r="G2701" s="37" t="str">
        <f t="shared" si="211"/>
        <v>Heavy Discount</v>
      </c>
      <c r="H2701" s="37" t="str">
        <f t="shared" si="212"/>
        <v>High</v>
      </c>
      <c r="I2701">
        <v>9</v>
      </c>
      <c r="J2701" t="str" cm="1">
        <f t="array" ref="J2701">_xlfn.IFS(I2701&lt;=3,"small",I2701&lt;=6,"Medium",I2701&lt;=9,"Large")</f>
        <v>Large</v>
      </c>
      <c r="K2701" s="36">
        <v>45591</v>
      </c>
      <c r="L2701" s="36">
        <v>45593</v>
      </c>
      <c r="M2701" t="s">
        <v>612</v>
      </c>
      <c r="N2701" t="s">
        <v>599</v>
      </c>
      <c r="O2701" s="37" t="str">
        <f t="shared" si="213"/>
        <v>Digital Payment</v>
      </c>
      <c r="P2701">
        <v>888.18</v>
      </c>
      <c r="Q2701" s="37" t="str">
        <f>IF(P2701&gt;500,"High","low")</f>
        <v>High</v>
      </c>
      <c r="R2701" s="37" t="str">
        <f t="shared" si="214"/>
        <v>Good</v>
      </c>
      <c r="S2701" t="s">
        <v>600</v>
      </c>
    </row>
    <row r="2702" spans="1:19" x14ac:dyDescent="0.2">
      <c r="A2702" t="s">
        <v>3313</v>
      </c>
      <c r="B2702" t="s">
        <v>75</v>
      </c>
      <c r="C2702" t="s">
        <v>602</v>
      </c>
      <c r="D2702">
        <v>537.29</v>
      </c>
      <c r="E2702" s="37" t="str">
        <f t="shared" si="210"/>
        <v xml:space="preserve"> </v>
      </c>
      <c r="F2702">
        <v>0.21</v>
      </c>
      <c r="G2702" s="37" t="str">
        <f t="shared" si="211"/>
        <v>Normal Discount</v>
      </c>
      <c r="H2702" s="37" t="str">
        <f t="shared" si="212"/>
        <v>Medium</v>
      </c>
      <c r="I2702">
        <v>8</v>
      </c>
      <c r="J2702" t="str" cm="1">
        <f t="array" ref="J2702">_xlfn.IFS(I2702&lt;=3,"small",I2702&lt;=6,"Medium",I2702&lt;=9,"Large")</f>
        <v>Large</v>
      </c>
      <c r="K2702" s="36">
        <v>45140</v>
      </c>
      <c r="L2702" s="36">
        <v>45143</v>
      </c>
      <c r="M2702" t="s">
        <v>598</v>
      </c>
      <c r="N2702" t="s">
        <v>608</v>
      </c>
      <c r="O2702" s="37" t="str">
        <f t="shared" si="213"/>
        <v>Cash Payment</v>
      </c>
      <c r="P2702">
        <v>62.2</v>
      </c>
      <c r="Q2702" s="37" t="str">
        <f>IF(P2702&gt;500,"High","low")</f>
        <v>low</v>
      </c>
      <c r="R2702" s="37" t="str">
        <f t="shared" si="214"/>
        <v>AVERAGE</v>
      </c>
      <c r="S2702" t="s">
        <v>615</v>
      </c>
    </row>
    <row r="2703" spans="1:19" x14ac:dyDescent="0.2">
      <c r="A2703" t="s">
        <v>3314</v>
      </c>
      <c r="B2703" t="s">
        <v>90</v>
      </c>
      <c r="C2703" t="s">
        <v>607</v>
      </c>
      <c r="D2703">
        <v>2932.65</v>
      </c>
      <c r="E2703" s="37" t="str">
        <f t="shared" si="210"/>
        <v xml:space="preserve"> </v>
      </c>
      <c r="F2703">
        <v>0</v>
      </c>
      <c r="G2703" s="37" t="str">
        <f t="shared" si="211"/>
        <v>Normal Discount</v>
      </c>
      <c r="H2703" s="37" t="str">
        <f t="shared" si="212"/>
        <v>Low</v>
      </c>
      <c r="I2703">
        <v>3</v>
      </c>
      <c r="J2703" t="str" cm="1">
        <f t="array" ref="J2703">_xlfn.IFS(I2703&lt;=3,"small",I2703&lt;=6,"Medium",I2703&lt;=9,"Large")</f>
        <v>small</v>
      </c>
      <c r="K2703" s="36">
        <v>45033</v>
      </c>
      <c r="L2703" s="36">
        <v>45037</v>
      </c>
      <c r="M2703" t="s">
        <v>598</v>
      </c>
      <c r="N2703" t="s">
        <v>604</v>
      </c>
      <c r="O2703" s="37" t="str">
        <f t="shared" si="213"/>
        <v>Digital Payment</v>
      </c>
      <c r="P2703">
        <v>795.21</v>
      </c>
      <c r="Q2703" s="37" t="str">
        <f>IF(P2703&gt;500,"High","low")</f>
        <v>High</v>
      </c>
      <c r="R2703" s="37" t="str">
        <f t="shared" si="214"/>
        <v>Good</v>
      </c>
      <c r="S2703" t="s">
        <v>600</v>
      </c>
    </row>
    <row r="2704" spans="1:19" x14ac:dyDescent="0.2">
      <c r="A2704" t="s">
        <v>3315</v>
      </c>
      <c r="B2704" t="s">
        <v>67</v>
      </c>
      <c r="C2704" t="s">
        <v>614</v>
      </c>
      <c r="D2704">
        <v>3284.73</v>
      </c>
      <c r="E2704" s="37" t="str">
        <f t="shared" si="210"/>
        <v xml:space="preserve"> </v>
      </c>
      <c r="F2704">
        <v>0.15</v>
      </c>
      <c r="G2704" s="37" t="str">
        <f t="shared" si="211"/>
        <v>Normal Discount</v>
      </c>
      <c r="H2704" s="37" t="str">
        <f t="shared" si="212"/>
        <v>Low</v>
      </c>
      <c r="I2704">
        <v>7</v>
      </c>
      <c r="J2704" t="str" cm="1">
        <f t="array" ref="J2704">_xlfn.IFS(I2704&lt;=3,"small",I2704&lt;=6,"Medium",I2704&lt;=9,"Large")</f>
        <v>Large</v>
      </c>
      <c r="K2704" s="36">
        <v>45027</v>
      </c>
      <c r="L2704" s="36">
        <v>45033</v>
      </c>
      <c r="M2704" t="s">
        <v>603</v>
      </c>
      <c r="N2704" t="s">
        <v>599</v>
      </c>
      <c r="O2704" s="37" t="str">
        <f t="shared" si="213"/>
        <v>Digital Payment</v>
      </c>
      <c r="P2704">
        <v>707.71</v>
      </c>
      <c r="Q2704" s="37" t="str">
        <f>IF(P2704&gt;500,"High","low")</f>
        <v>High</v>
      </c>
      <c r="R2704" s="37" t="str">
        <f t="shared" si="214"/>
        <v>Good</v>
      </c>
      <c r="S2704" t="s">
        <v>615</v>
      </c>
    </row>
    <row r="2705" spans="1:19" x14ac:dyDescent="0.2">
      <c r="A2705" t="s">
        <v>3316</v>
      </c>
      <c r="B2705" t="s">
        <v>75</v>
      </c>
      <c r="C2705" t="s">
        <v>614</v>
      </c>
      <c r="D2705">
        <v>2631.92</v>
      </c>
      <c r="E2705" s="37" t="str">
        <f t="shared" si="210"/>
        <v xml:space="preserve"> </v>
      </c>
      <c r="F2705">
        <v>0.1</v>
      </c>
      <c r="G2705" s="37" t="str">
        <f t="shared" si="211"/>
        <v>Normal Discount</v>
      </c>
      <c r="H2705" s="37" t="str">
        <f t="shared" si="212"/>
        <v>Low</v>
      </c>
      <c r="I2705">
        <v>2</v>
      </c>
      <c r="J2705" t="str" cm="1">
        <f t="array" ref="J2705">_xlfn.IFS(I2705&lt;=3,"small",I2705&lt;=6,"Medium",I2705&lt;=9,"Large")</f>
        <v>small</v>
      </c>
      <c r="K2705" s="36">
        <v>45551</v>
      </c>
      <c r="L2705" s="36">
        <v>45557</v>
      </c>
      <c r="M2705" t="s">
        <v>598</v>
      </c>
      <c r="N2705" t="s">
        <v>604</v>
      </c>
      <c r="O2705" s="37" t="str">
        <f t="shared" si="213"/>
        <v>Digital Payment</v>
      </c>
      <c r="P2705">
        <v>714.77</v>
      </c>
      <c r="Q2705" s="37" t="str">
        <f>IF(P2705&gt;500,"High","low")</f>
        <v>High</v>
      </c>
      <c r="R2705" s="37" t="str">
        <f t="shared" si="214"/>
        <v>Good</v>
      </c>
      <c r="S2705" t="s">
        <v>600</v>
      </c>
    </row>
    <row r="2706" spans="1:19" x14ac:dyDescent="0.2">
      <c r="A2706" t="s">
        <v>3317</v>
      </c>
      <c r="B2706" t="s">
        <v>67</v>
      </c>
      <c r="C2706" t="s">
        <v>602</v>
      </c>
      <c r="D2706">
        <v>993.81</v>
      </c>
      <c r="E2706" s="37" t="str">
        <f t="shared" si="210"/>
        <v xml:space="preserve"> </v>
      </c>
      <c r="F2706">
        <v>0.3</v>
      </c>
      <c r="G2706" s="37" t="str">
        <f t="shared" si="211"/>
        <v>Normal Discount</v>
      </c>
      <c r="H2706" s="37" t="str">
        <f t="shared" si="212"/>
        <v>Medium</v>
      </c>
      <c r="I2706">
        <v>2</v>
      </c>
      <c r="J2706" t="str" cm="1">
        <f t="array" ref="J2706">_xlfn.IFS(I2706&lt;=3,"small",I2706&lt;=6,"Medium",I2706&lt;=9,"Large")</f>
        <v>small</v>
      </c>
      <c r="K2706" s="36">
        <v>45294</v>
      </c>
      <c r="L2706" s="36">
        <v>45296</v>
      </c>
      <c r="M2706" t="s">
        <v>612</v>
      </c>
      <c r="N2706" t="s">
        <v>599</v>
      </c>
      <c r="O2706" s="37" t="str">
        <f t="shared" si="213"/>
        <v>Digital Payment</v>
      </c>
      <c r="P2706">
        <v>231.01</v>
      </c>
      <c r="Q2706" s="37" t="str">
        <f>IF(P2706&gt;500,"High","low")</f>
        <v>low</v>
      </c>
      <c r="R2706" s="37" t="str">
        <f t="shared" si="214"/>
        <v>AVERAGE</v>
      </c>
      <c r="S2706" t="s">
        <v>620</v>
      </c>
    </row>
    <row r="2707" spans="1:19" x14ac:dyDescent="0.2">
      <c r="A2707" t="s">
        <v>3318</v>
      </c>
      <c r="B2707" t="s">
        <v>83</v>
      </c>
      <c r="C2707" t="s">
        <v>607</v>
      </c>
      <c r="D2707">
        <v>3998.43</v>
      </c>
      <c r="E2707" s="37" t="str">
        <f t="shared" si="210"/>
        <v xml:space="preserve"> </v>
      </c>
      <c r="F2707">
        <v>0.38</v>
      </c>
      <c r="G2707" s="37" t="str">
        <f t="shared" si="211"/>
        <v>Heavy Discount</v>
      </c>
      <c r="H2707" s="37" t="str">
        <f t="shared" si="212"/>
        <v>Medium</v>
      </c>
      <c r="I2707">
        <v>4</v>
      </c>
      <c r="J2707" t="str" cm="1">
        <f t="array" ref="J2707">_xlfn.IFS(I2707&lt;=3,"small",I2707&lt;=6,"Medium",I2707&lt;=9,"Large")</f>
        <v>Medium</v>
      </c>
      <c r="K2707" s="36">
        <v>45630</v>
      </c>
      <c r="L2707" s="36">
        <v>45636</v>
      </c>
      <c r="M2707" t="s">
        <v>598</v>
      </c>
      <c r="N2707" t="s">
        <v>608</v>
      </c>
      <c r="O2707" s="37" t="str">
        <f t="shared" si="213"/>
        <v>Cash Payment</v>
      </c>
      <c r="P2707">
        <v>594.01</v>
      </c>
      <c r="Q2707" s="37" t="str">
        <f>IF(P2707&gt;500,"High","low")</f>
        <v>High</v>
      </c>
      <c r="R2707" s="37" t="str">
        <f t="shared" si="214"/>
        <v>Good</v>
      </c>
      <c r="S2707" t="s">
        <v>605</v>
      </c>
    </row>
    <row r="2708" spans="1:19" x14ac:dyDescent="0.2">
      <c r="A2708" t="s">
        <v>3319</v>
      </c>
      <c r="B2708" t="s">
        <v>75</v>
      </c>
      <c r="C2708" t="s">
        <v>614</v>
      </c>
      <c r="D2708">
        <v>4987.55</v>
      </c>
      <c r="E2708" s="37" t="str">
        <f t="shared" si="210"/>
        <v>Excellent Order</v>
      </c>
      <c r="F2708">
        <v>0.25</v>
      </c>
      <c r="G2708" s="37" t="str">
        <f t="shared" si="211"/>
        <v>Normal Discount</v>
      </c>
      <c r="H2708" s="37" t="str">
        <f t="shared" si="212"/>
        <v>Medium</v>
      </c>
      <c r="I2708">
        <v>7</v>
      </c>
      <c r="J2708" t="str" cm="1">
        <f t="array" ref="J2708">_xlfn.IFS(I2708&lt;=3,"small",I2708&lt;=6,"Medium",I2708&lt;=9,"Large")</f>
        <v>Large</v>
      </c>
      <c r="K2708" s="36">
        <v>45619</v>
      </c>
      <c r="L2708" s="36">
        <v>45620</v>
      </c>
      <c r="M2708" t="s">
        <v>612</v>
      </c>
      <c r="N2708" t="s">
        <v>599</v>
      </c>
      <c r="O2708" s="37" t="str">
        <f t="shared" si="213"/>
        <v>Digital Payment</v>
      </c>
      <c r="P2708">
        <v>1266.26</v>
      </c>
      <c r="Q2708" s="37" t="str">
        <f>IF(P2708&gt;500,"High","low")</f>
        <v>High</v>
      </c>
      <c r="R2708" s="37" t="str">
        <f t="shared" si="214"/>
        <v>Excellent</v>
      </c>
      <c r="S2708" t="s">
        <v>605</v>
      </c>
    </row>
    <row r="2709" spans="1:19" x14ac:dyDescent="0.2">
      <c r="A2709" t="s">
        <v>3320</v>
      </c>
      <c r="B2709" t="s">
        <v>83</v>
      </c>
      <c r="C2709" t="s">
        <v>617</v>
      </c>
      <c r="D2709">
        <v>4849.42</v>
      </c>
      <c r="E2709" s="37" t="str">
        <f t="shared" si="210"/>
        <v>Excellent Order</v>
      </c>
      <c r="F2709">
        <v>0.09</v>
      </c>
      <c r="G2709" s="37" t="str">
        <f t="shared" si="211"/>
        <v>Normal Discount</v>
      </c>
      <c r="H2709" s="37" t="str">
        <f t="shared" si="212"/>
        <v>Low</v>
      </c>
      <c r="I2709">
        <v>4</v>
      </c>
      <c r="J2709" t="str" cm="1">
        <f t="array" ref="J2709">_xlfn.IFS(I2709&lt;=3,"small",I2709&lt;=6,"Medium",I2709&lt;=9,"Large")</f>
        <v>Medium</v>
      </c>
      <c r="K2709" s="36">
        <v>45488</v>
      </c>
      <c r="L2709" s="36">
        <v>45490</v>
      </c>
      <c r="M2709" t="s">
        <v>612</v>
      </c>
      <c r="N2709" t="s">
        <v>599</v>
      </c>
      <c r="O2709" s="37" t="str">
        <f t="shared" si="213"/>
        <v>Digital Payment</v>
      </c>
      <c r="P2709">
        <v>1232.07</v>
      </c>
      <c r="Q2709" s="37" t="str">
        <f>IF(P2709&gt;500,"High","low")</f>
        <v>High</v>
      </c>
      <c r="R2709" s="37" t="str">
        <f t="shared" si="214"/>
        <v>Excellent</v>
      </c>
      <c r="S2709" t="s">
        <v>609</v>
      </c>
    </row>
    <row r="2710" spans="1:19" x14ac:dyDescent="0.2">
      <c r="A2710" t="s">
        <v>3321</v>
      </c>
      <c r="B2710" t="s">
        <v>67</v>
      </c>
      <c r="C2710" t="s">
        <v>602</v>
      </c>
      <c r="D2710">
        <v>3909.89</v>
      </c>
      <c r="E2710" s="37" t="str">
        <f t="shared" si="210"/>
        <v xml:space="preserve"> </v>
      </c>
      <c r="F2710">
        <v>0.03</v>
      </c>
      <c r="G2710" s="37" t="str">
        <f t="shared" si="211"/>
        <v>Normal Discount</v>
      </c>
      <c r="H2710" s="37" t="str">
        <f t="shared" si="212"/>
        <v>Low</v>
      </c>
      <c r="I2710">
        <v>2</v>
      </c>
      <c r="J2710" t="str" cm="1">
        <f t="array" ref="J2710">_xlfn.IFS(I2710&lt;=3,"small",I2710&lt;=6,"Medium",I2710&lt;=9,"Large")</f>
        <v>small</v>
      </c>
      <c r="K2710" s="36">
        <v>44955</v>
      </c>
      <c r="L2710" s="36">
        <v>44962</v>
      </c>
      <c r="M2710" t="s">
        <v>612</v>
      </c>
      <c r="N2710" t="s">
        <v>604</v>
      </c>
      <c r="O2710" s="37" t="str">
        <f t="shared" si="213"/>
        <v>Digital Payment</v>
      </c>
      <c r="P2710">
        <v>1144.42</v>
      </c>
      <c r="Q2710" s="37" t="str">
        <f>IF(P2710&gt;500,"High","low")</f>
        <v>High</v>
      </c>
      <c r="R2710" s="37" t="str">
        <f t="shared" si="214"/>
        <v>Excellent</v>
      </c>
      <c r="S2710" t="s">
        <v>620</v>
      </c>
    </row>
    <row r="2711" spans="1:19" x14ac:dyDescent="0.2">
      <c r="A2711" t="s">
        <v>3322</v>
      </c>
      <c r="B2711" t="s">
        <v>67</v>
      </c>
      <c r="C2711" t="s">
        <v>617</v>
      </c>
      <c r="D2711">
        <v>2148.73</v>
      </c>
      <c r="E2711" s="37" t="str">
        <f t="shared" si="210"/>
        <v xml:space="preserve"> </v>
      </c>
      <c r="F2711">
        <v>0.16</v>
      </c>
      <c r="G2711" s="37" t="str">
        <f t="shared" si="211"/>
        <v>Normal Discount</v>
      </c>
      <c r="H2711" s="37" t="str">
        <f t="shared" si="212"/>
        <v>Low</v>
      </c>
      <c r="I2711">
        <v>2</v>
      </c>
      <c r="J2711" t="str" cm="1">
        <f t="array" ref="J2711">_xlfn.IFS(I2711&lt;=3,"small",I2711&lt;=6,"Medium",I2711&lt;=9,"Large")</f>
        <v>small</v>
      </c>
      <c r="K2711" s="36">
        <v>45283</v>
      </c>
      <c r="L2711" s="36">
        <v>45284</v>
      </c>
      <c r="M2711" t="s">
        <v>598</v>
      </c>
      <c r="N2711" t="s">
        <v>604</v>
      </c>
      <c r="O2711" s="37" t="str">
        <f t="shared" si="213"/>
        <v>Digital Payment</v>
      </c>
      <c r="P2711">
        <v>439.91</v>
      </c>
      <c r="Q2711" s="37" t="str">
        <f>IF(P2711&gt;500,"High","low")</f>
        <v>low</v>
      </c>
      <c r="R2711" s="37" t="str">
        <f t="shared" si="214"/>
        <v>AVERAGE</v>
      </c>
      <c r="S2711" t="s">
        <v>628</v>
      </c>
    </row>
    <row r="2712" spans="1:19" x14ac:dyDescent="0.2">
      <c r="A2712" t="s">
        <v>3323</v>
      </c>
      <c r="B2712" t="s">
        <v>83</v>
      </c>
      <c r="C2712" t="s">
        <v>607</v>
      </c>
      <c r="D2712">
        <v>1752.77</v>
      </c>
      <c r="E2712" s="37" t="str">
        <f t="shared" si="210"/>
        <v xml:space="preserve"> </v>
      </c>
      <c r="F2712">
        <v>0.4</v>
      </c>
      <c r="G2712" s="37" t="str">
        <f t="shared" si="211"/>
        <v>Heavy Discount</v>
      </c>
      <c r="H2712" s="37" t="str">
        <f t="shared" si="212"/>
        <v>Medium</v>
      </c>
      <c r="I2712">
        <v>5</v>
      </c>
      <c r="J2712" t="str" cm="1">
        <f t="array" ref="J2712">_xlfn.IFS(I2712&lt;=3,"small",I2712&lt;=6,"Medium",I2712&lt;=9,"Large")</f>
        <v>Medium</v>
      </c>
      <c r="K2712" s="36">
        <v>45329</v>
      </c>
      <c r="L2712" s="36">
        <v>45336</v>
      </c>
      <c r="M2712" t="s">
        <v>598</v>
      </c>
      <c r="N2712" t="s">
        <v>608</v>
      </c>
      <c r="O2712" s="37" t="str">
        <f t="shared" si="213"/>
        <v>Cash Payment</v>
      </c>
      <c r="P2712">
        <v>388.64</v>
      </c>
      <c r="Q2712" s="37" t="str">
        <f>IF(P2712&gt;500,"High","low")</f>
        <v>low</v>
      </c>
      <c r="R2712" s="37" t="str">
        <f t="shared" si="214"/>
        <v>AVERAGE</v>
      </c>
      <c r="S2712" t="s">
        <v>615</v>
      </c>
    </row>
    <row r="2713" spans="1:19" x14ac:dyDescent="0.2">
      <c r="A2713" t="s">
        <v>3324</v>
      </c>
      <c r="B2713" t="s">
        <v>90</v>
      </c>
      <c r="C2713" t="s">
        <v>617</v>
      </c>
      <c r="D2713">
        <v>435.87</v>
      </c>
      <c r="E2713" s="37" t="str">
        <f t="shared" si="210"/>
        <v xml:space="preserve"> </v>
      </c>
      <c r="F2713">
        <v>0.21</v>
      </c>
      <c r="G2713" s="37" t="str">
        <f t="shared" si="211"/>
        <v>Normal Discount</v>
      </c>
      <c r="H2713" s="37" t="str">
        <f t="shared" si="212"/>
        <v>Medium</v>
      </c>
      <c r="I2713">
        <v>3</v>
      </c>
      <c r="J2713" t="str" cm="1">
        <f t="array" ref="J2713">_xlfn.IFS(I2713&lt;=3,"small",I2713&lt;=6,"Medium",I2713&lt;=9,"Large")</f>
        <v>small</v>
      </c>
      <c r="K2713" s="36">
        <v>45542</v>
      </c>
      <c r="L2713" s="36">
        <v>45544</v>
      </c>
      <c r="M2713" t="s">
        <v>612</v>
      </c>
      <c r="N2713" t="s">
        <v>604</v>
      </c>
      <c r="O2713" s="37" t="str">
        <f t="shared" si="213"/>
        <v>Digital Payment</v>
      </c>
      <c r="P2713">
        <v>74.3</v>
      </c>
      <c r="Q2713" s="37" t="str">
        <f>IF(P2713&gt;500,"High","low")</f>
        <v>low</v>
      </c>
      <c r="R2713" s="37" t="str">
        <f t="shared" si="214"/>
        <v>AVERAGE</v>
      </c>
      <c r="S2713" t="s">
        <v>609</v>
      </c>
    </row>
    <row r="2714" spans="1:19" x14ac:dyDescent="0.2">
      <c r="A2714" t="s">
        <v>3325</v>
      </c>
      <c r="B2714" t="s">
        <v>83</v>
      </c>
      <c r="C2714" t="s">
        <v>614</v>
      </c>
      <c r="D2714">
        <v>2139.8000000000002</v>
      </c>
      <c r="E2714" s="37" t="str">
        <f t="shared" si="210"/>
        <v xml:space="preserve"> </v>
      </c>
      <c r="F2714">
        <v>0.13</v>
      </c>
      <c r="G2714" s="37" t="str">
        <f t="shared" si="211"/>
        <v>Normal Discount</v>
      </c>
      <c r="H2714" s="37" t="str">
        <f t="shared" si="212"/>
        <v>Low</v>
      </c>
      <c r="I2714">
        <v>3</v>
      </c>
      <c r="J2714" t="str" cm="1">
        <f t="array" ref="J2714">_xlfn.IFS(I2714&lt;=3,"small",I2714&lt;=6,"Medium",I2714&lt;=9,"Large")</f>
        <v>small</v>
      </c>
      <c r="K2714" s="36">
        <v>45021</v>
      </c>
      <c r="L2714" s="36">
        <v>45025</v>
      </c>
      <c r="M2714" t="s">
        <v>598</v>
      </c>
      <c r="N2714" t="s">
        <v>599</v>
      </c>
      <c r="O2714" s="37" t="str">
        <f t="shared" si="213"/>
        <v>Digital Payment</v>
      </c>
      <c r="P2714">
        <v>251.47</v>
      </c>
      <c r="Q2714" s="37" t="str">
        <f>IF(P2714&gt;500,"High","low")</f>
        <v>low</v>
      </c>
      <c r="R2714" s="37" t="str">
        <f t="shared" si="214"/>
        <v>AVERAGE</v>
      </c>
      <c r="S2714" t="s">
        <v>600</v>
      </c>
    </row>
    <row r="2715" spans="1:19" x14ac:dyDescent="0.2">
      <c r="A2715" t="s">
        <v>3326</v>
      </c>
      <c r="B2715" t="s">
        <v>67</v>
      </c>
      <c r="C2715" t="s">
        <v>614</v>
      </c>
      <c r="D2715">
        <v>864.64</v>
      </c>
      <c r="E2715" s="37" t="str">
        <f t="shared" si="210"/>
        <v xml:space="preserve"> </v>
      </c>
      <c r="F2715">
        <v>0.01</v>
      </c>
      <c r="G2715" s="37" t="str">
        <f t="shared" si="211"/>
        <v>Normal Discount</v>
      </c>
      <c r="H2715" s="37" t="str">
        <f t="shared" si="212"/>
        <v>Low</v>
      </c>
      <c r="I2715">
        <v>1</v>
      </c>
      <c r="J2715" t="str" cm="1">
        <f t="array" ref="J2715">_xlfn.IFS(I2715&lt;=3,"small",I2715&lt;=6,"Medium",I2715&lt;=9,"Large")</f>
        <v>small</v>
      </c>
      <c r="K2715" s="36">
        <v>45496</v>
      </c>
      <c r="L2715" s="36">
        <v>45503</v>
      </c>
      <c r="M2715" t="s">
        <v>612</v>
      </c>
      <c r="N2715" t="s">
        <v>604</v>
      </c>
      <c r="O2715" s="37" t="str">
        <f t="shared" si="213"/>
        <v>Digital Payment</v>
      </c>
      <c r="P2715">
        <v>61.02</v>
      </c>
      <c r="Q2715" s="37" t="str">
        <f>IF(P2715&gt;500,"High","low")</f>
        <v>low</v>
      </c>
      <c r="R2715" s="37" t="str">
        <f t="shared" si="214"/>
        <v>AVERAGE</v>
      </c>
      <c r="S2715" t="s">
        <v>605</v>
      </c>
    </row>
    <row r="2716" spans="1:19" x14ac:dyDescent="0.2">
      <c r="A2716" t="s">
        <v>3327</v>
      </c>
      <c r="B2716" t="s">
        <v>83</v>
      </c>
      <c r="C2716" t="s">
        <v>597</v>
      </c>
      <c r="D2716">
        <v>1346.24</v>
      </c>
      <c r="E2716" s="37" t="str">
        <f t="shared" si="210"/>
        <v xml:space="preserve"> </v>
      </c>
      <c r="F2716">
        <v>0.25</v>
      </c>
      <c r="G2716" s="37" t="str">
        <f t="shared" si="211"/>
        <v>Normal Discount</v>
      </c>
      <c r="H2716" s="37" t="str">
        <f t="shared" si="212"/>
        <v>Medium</v>
      </c>
      <c r="I2716">
        <v>3</v>
      </c>
      <c r="J2716" t="str" cm="1">
        <f t="array" ref="J2716">_xlfn.IFS(I2716&lt;=3,"small",I2716&lt;=6,"Medium",I2716&lt;=9,"Large")</f>
        <v>small</v>
      </c>
      <c r="K2716" s="36">
        <v>45068</v>
      </c>
      <c r="L2716" s="36">
        <v>45073</v>
      </c>
      <c r="M2716" t="s">
        <v>603</v>
      </c>
      <c r="N2716" t="s">
        <v>604</v>
      </c>
      <c r="O2716" s="37" t="str">
        <f t="shared" si="213"/>
        <v>Digital Payment</v>
      </c>
      <c r="P2716">
        <v>321.17</v>
      </c>
      <c r="Q2716" s="37" t="str">
        <f>IF(P2716&gt;500,"High","low")</f>
        <v>low</v>
      </c>
      <c r="R2716" s="37" t="str">
        <f t="shared" si="214"/>
        <v>AVERAGE</v>
      </c>
      <c r="S2716" t="s">
        <v>615</v>
      </c>
    </row>
    <row r="2717" spans="1:19" x14ac:dyDescent="0.2">
      <c r="A2717" t="s">
        <v>3328</v>
      </c>
      <c r="B2717" t="s">
        <v>90</v>
      </c>
      <c r="C2717" t="s">
        <v>602</v>
      </c>
      <c r="D2717">
        <v>4470.25</v>
      </c>
      <c r="E2717" s="37" t="str">
        <f t="shared" si="210"/>
        <v xml:space="preserve"> </v>
      </c>
      <c r="F2717">
        <v>0.34</v>
      </c>
      <c r="G2717" s="37" t="str">
        <f t="shared" si="211"/>
        <v>Heavy Discount</v>
      </c>
      <c r="H2717" s="37" t="str">
        <f t="shared" si="212"/>
        <v>Medium</v>
      </c>
      <c r="I2717">
        <v>4</v>
      </c>
      <c r="J2717" t="str" cm="1">
        <f t="array" ref="J2717">_xlfn.IFS(I2717&lt;=3,"small",I2717&lt;=6,"Medium",I2717&lt;=9,"Large")</f>
        <v>Medium</v>
      </c>
      <c r="K2717" s="36">
        <v>45051</v>
      </c>
      <c r="L2717" s="36">
        <v>45054</v>
      </c>
      <c r="M2717" t="s">
        <v>603</v>
      </c>
      <c r="N2717" t="s">
        <v>599</v>
      </c>
      <c r="O2717" s="37" t="str">
        <f t="shared" si="213"/>
        <v>Digital Payment</v>
      </c>
      <c r="P2717">
        <v>748.29</v>
      </c>
      <c r="Q2717" s="37" t="str">
        <f>IF(P2717&gt;500,"High","low")</f>
        <v>High</v>
      </c>
      <c r="R2717" s="37" t="str">
        <f t="shared" si="214"/>
        <v>Good</v>
      </c>
      <c r="S2717" t="s">
        <v>628</v>
      </c>
    </row>
    <row r="2718" spans="1:19" x14ac:dyDescent="0.2">
      <c r="A2718" t="s">
        <v>3329</v>
      </c>
      <c r="B2718" t="s">
        <v>83</v>
      </c>
      <c r="C2718" t="s">
        <v>607</v>
      </c>
      <c r="D2718">
        <v>4845.78</v>
      </c>
      <c r="E2718" s="37" t="str">
        <f t="shared" si="210"/>
        <v>Excellent Order</v>
      </c>
      <c r="F2718">
        <v>0.1</v>
      </c>
      <c r="G2718" s="37" t="str">
        <f t="shared" si="211"/>
        <v>Normal Discount</v>
      </c>
      <c r="H2718" s="37" t="str">
        <f t="shared" si="212"/>
        <v>Low</v>
      </c>
      <c r="I2718">
        <v>6</v>
      </c>
      <c r="J2718" t="str" cm="1">
        <f t="array" ref="J2718">_xlfn.IFS(I2718&lt;=3,"small",I2718&lt;=6,"Medium",I2718&lt;=9,"Large")</f>
        <v>Medium</v>
      </c>
      <c r="K2718" s="36">
        <v>44989</v>
      </c>
      <c r="L2718" s="36">
        <v>44991</v>
      </c>
      <c r="M2718" t="s">
        <v>598</v>
      </c>
      <c r="N2718" t="s">
        <v>608</v>
      </c>
      <c r="O2718" s="37" t="str">
        <f t="shared" si="213"/>
        <v>Cash Payment</v>
      </c>
      <c r="P2718">
        <v>1265.73</v>
      </c>
      <c r="Q2718" s="37" t="str">
        <f>IF(P2718&gt;500,"High","low")</f>
        <v>High</v>
      </c>
      <c r="R2718" s="37" t="str">
        <f t="shared" si="214"/>
        <v>Excellent</v>
      </c>
      <c r="S2718" t="s">
        <v>620</v>
      </c>
    </row>
    <row r="2719" spans="1:19" x14ac:dyDescent="0.2">
      <c r="A2719" t="s">
        <v>3330</v>
      </c>
      <c r="B2719" t="s">
        <v>90</v>
      </c>
      <c r="C2719" t="s">
        <v>602</v>
      </c>
      <c r="D2719">
        <v>4747.9399999999996</v>
      </c>
      <c r="E2719" s="37" t="str">
        <f t="shared" si="210"/>
        <v xml:space="preserve"> </v>
      </c>
      <c r="F2719">
        <v>0.27</v>
      </c>
      <c r="G2719" s="37" t="str">
        <f t="shared" si="211"/>
        <v>Normal Discount</v>
      </c>
      <c r="H2719" s="37" t="str">
        <f t="shared" si="212"/>
        <v>Medium</v>
      </c>
      <c r="I2719">
        <v>6</v>
      </c>
      <c r="J2719" t="str" cm="1">
        <f t="array" ref="J2719">_xlfn.IFS(I2719&lt;=3,"small",I2719&lt;=6,"Medium",I2719&lt;=9,"Large")</f>
        <v>Medium</v>
      </c>
      <c r="K2719" s="36">
        <v>45298</v>
      </c>
      <c r="L2719" s="36">
        <v>45300</v>
      </c>
      <c r="M2719" t="s">
        <v>612</v>
      </c>
      <c r="N2719" t="s">
        <v>608</v>
      </c>
      <c r="O2719" s="37" t="str">
        <f t="shared" si="213"/>
        <v>Cash Payment</v>
      </c>
      <c r="P2719">
        <v>750.4</v>
      </c>
      <c r="Q2719" s="37" t="str">
        <f>IF(P2719&gt;500,"High","low")</f>
        <v>High</v>
      </c>
      <c r="R2719" s="37" t="str">
        <f t="shared" si="214"/>
        <v>Good</v>
      </c>
      <c r="S2719" t="s">
        <v>605</v>
      </c>
    </row>
    <row r="2720" spans="1:19" x14ac:dyDescent="0.2">
      <c r="A2720" t="s">
        <v>3331</v>
      </c>
      <c r="B2720" t="s">
        <v>90</v>
      </c>
      <c r="C2720" t="s">
        <v>617</v>
      </c>
      <c r="D2720">
        <v>1047.44</v>
      </c>
      <c r="E2720" s="37" t="str">
        <f t="shared" si="210"/>
        <v xml:space="preserve"> </v>
      </c>
      <c r="F2720">
        <v>0.21</v>
      </c>
      <c r="G2720" s="37" t="str">
        <f t="shared" si="211"/>
        <v>Normal Discount</v>
      </c>
      <c r="H2720" s="37" t="str">
        <f t="shared" si="212"/>
        <v>Medium</v>
      </c>
      <c r="I2720">
        <v>5</v>
      </c>
      <c r="J2720" t="str" cm="1">
        <f t="array" ref="J2720">_xlfn.IFS(I2720&lt;=3,"small",I2720&lt;=6,"Medium",I2720&lt;=9,"Large")</f>
        <v>Medium</v>
      </c>
      <c r="K2720" s="36">
        <v>45130</v>
      </c>
      <c r="L2720" s="36">
        <v>45134</v>
      </c>
      <c r="M2720" t="s">
        <v>612</v>
      </c>
      <c r="N2720" t="s">
        <v>604</v>
      </c>
      <c r="O2720" s="37" t="str">
        <f t="shared" si="213"/>
        <v>Digital Payment</v>
      </c>
      <c r="P2720">
        <v>299.13</v>
      </c>
      <c r="Q2720" s="37" t="str">
        <f>IF(P2720&gt;500,"High","low")</f>
        <v>low</v>
      </c>
      <c r="R2720" s="37" t="str">
        <f t="shared" si="214"/>
        <v>AVERAGE</v>
      </c>
      <c r="S2720" t="s">
        <v>600</v>
      </c>
    </row>
    <row r="2721" spans="1:19" x14ac:dyDescent="0.2">
      <c r="A2721" t="s">
        <v>3332</v>
      </c>
      <c r="B2721" t="s">
        <v>83</v>
      </c>
      <c r="C2721" t="s">
        <v>607</v>
      </c>
      <c r="D2721">
        <v>4514.38</v>
      </c>
      <c r="E2721" s="37" t="str">
        <f t="shared" si="210"/>
        <v xml:space="preserve"> </v>
      </c>
      <c r="F2721">
        <v>0.35</v>
      </c>
      <c r="G2721" s="37" t="str">
        <f t="shared" si="211"/>
        <v>Heavy Discount</v>
      </c>
      <c r="H2721" s="37" t="str">
        <f t="shared" si="212"/>
        <v>Medium</v>
      </c>
      <c r="I2721">
        <v>4</v>
      </c>
      <c r="J2721" t="str" cm="1">
        <f t="array" ref="J2721">_xlfn.IFS(I2721&lt;=3,"small",I2721&lt;=6,"Medium",I2721&lt;=9,"Large")</f>
        <v>Medium</v>
      </c>
      <c r="K2721" s="36">
        <v>45246</v>
      </c>
      <c r="L2721" s="36">
        <v>45250</v>
      </c>
      <c r="M2721" t="s">
        <v>612</v>
      </c>
      <c r="N2721" t="s">
        <v>599</v>
      </c>
      <c r="O2721" s="37" t="str">
        <f t="shared" si="213"/>
        <v>Digital Payment</v>
      </c>
      <c r="P2721">
        <v>645.14</v>
      </c>
      <c r="Q2721" s="37" t="str">
        <f>IF(P2721&gt;500,"High","low")</f>
        <v>High</v>
      </c>
      <c r="R2721" s="37" t="str">
        <f t="shared" si="214"/>
        <v>Good</v>
      </c>
      <c r="S2721" t="s">
        <v>628</v>
      </c>
    </row>
    <row r="2722" spans="1:19" x14ac:dyDescent="0.2">
      <c r="A2722" t="s">
        <v>3333</v>
      </c>
      <c r="B2722" t="s">
        <v>83</v>
      </c>
      <c r="C2722" t="s">
        <v>607</v>
      </c>
      <c r="D2722">
        <v>793.38</v>
      </c>
      <c r="E2722" s="37" t="str">
        <f t="shared" si="210"/>
        <v xml:space="preserve"> </v>
      </c>
      <c r="F2722">
        <v>0.43</v>
      </c>
      <c r="G2722" s="37" t="str">
        <f t="shared" si="211"/>
        <v>Heavy Discount</v>
      </c>
      <c r="H2722" s="37" t="str">
        <f t="shared" si="212"/>
        <v>High</v>
      </c>
      <c r="I2722">
        <v>6</v>
      </c>
      <c r="J2722" t="str" cm="1">
        <f t="array" ref="J2722">_xlfn.IFS(I2722&lt;=3,"small",I2722&lt;=6,"Medium",I2722&lt;=9,"Large")</f>
        <v>Medium</v>
      </c>
      <c r="K2722" s="36">
        <v>45065</v>
      </c>
      <c r="L2722" s="36">
        <v>45068</v>
      </c>
      <c r="M2722" t="s">
        <v>598</v>
      </c>
      <c r="N2722" t="s">
        <v>608</v>
      </c>
      <c r="O2722" s="37" t="str">
        <f t="shared" si="213"/>
        <v>Cash Payment</v>
      </c>
      <c r="P2722">
        <v>126.12</v>
      </c>
      <c r="Q2722" s="37" t="str">
        <f>IF(P2722&gt;500,"High","low")</f>
        <v>low</v>
      </c>
      <c r="R2722" s="37" t="str">
        <f t="shared" si="214"/>
        <v>AVERAGE</v>
      </c>
      <c r="S2722" t="s">
        <v>615</v>
      </c>
    </row>
    <row r="2723" spans="1:19" x14ac:dyDescent="0.2">
      <c r="A2723" t="s">
        <v>3334</v>
      </c>
      <c r="B2723" t="s">
        <v>75</v>
      </c>
      <c r="C2723" t="s">
        <v>614</v>
      </c>
      <c r="D2723">
        <v>2587.54</v>
      </c>
      <c r="E2723" s="37" t="str">
        <f t="shared" si="210"/>
        <v xml:space="preserve"> </v>
      </c>
      <c r="F2723">
        <v>0.15</v>
      </c>
      <c r="G2723" s="37" t="str">
        <f t="shared" si="211"/>
        <v>Normal Discount</v>
      </c>
      <c r="H2723" s="37" t="str">
        <f t="shared" si="212"/>
        <v>Low</v>
      </c>
      <c r="I2723">
        <v>5</v>
      </c>
      <c r="J2723" t="str" cm="1">
        <f t="array" ref="J2723">_xlfn.IFS(I2723&lt;=3,"small",I2723&lt;=6,"Medium",I2723&lt;=9,"Large")</f>
        <v>Medium</v>
      </c>
      <c r="K2723" s="36">
        <v>45101</v>
      </c>
      <c r="L2723" s="36">
        <v>45103</v>
      </c>
      <c r="M2723" t="s">
        <v>603</v>
      </c>
      <c r="N2723" t="s">
        <v>604</v>
      </c>
      <c r="O2723" s="37" t="str">
        <f t="shared" si="213"/>
        <v>Digital Payment</v>
      </c>
      <c r="P2723">
        <v>554.62</v>
      </c>
      <c r="Q2723" s="37" t="str">
        <f>IF(P2723&gt;500,"High","low")</f>
        <v>High</v>
      </c>
      <c r="R2723" s="37" t="str">
        <f t="shared" si="214"/>
        <v>Good</v>
      </c>
      <c r="S2723" t="s">
        <v>628</v>
      </c>
    </row>
    <row r="2724" spans="1:19" x14ac:dyDescent="0.2">
      <c r="A2724" t="s">
        <v>3335</v>
      </c>
      <c r="B2724" t="s">
        <v>67</v>
      </c>
      <c r="C2724" t="s">
        <v>617</v>
      </c>
      <c r="D2724">
        <v>3253.95</v>
      </c>
      <c r="E2724" s="37" t="str">
        <f t="shared" si="210"/>
        <v xml:space="preserve"> </v>
      </c>
      <c r="F2724">
        <v>0.45</v>
      </c>
      <c r="G2724" s="37" t="str">
        <f t="shared" si="211"/>
        <v>Heavy Discount</v>
      </c>
      <c r="H2724" s="37" t="str">
        <f t="shared" si="212"/>
        <v>High</v>
      </c>
      <c r="I2724">
        <v>1</v>
      </c>
      <c r="J2724" t="str" cm="1">
        <f t="array" ref="J2724">_xlfn.IFS(I2724&lt;=3,"small",I2724&lt;=6,"Medium",I2724&lt;=9,"Large")</f>
        <v>small</v>
      </c>
      <c r="K2724" s="36">
        <v>45418</v>
      </c>
      <c r="L2724" s="36">
        <v>45422</v>
      </c>
      <c r="M2724" t="s">
        <v>598</v>
      </c>
      <c r="N2724" t="s">
        <v>608</v>
      </c>
      <c r="O2724" s="37" t="str">
        <f t="shared" si="213"/>
        <v>Cash Payment</v>
      </c>
      <c r="P2724">
        <v>421.15</v>
      </c>
      <c r="Q2724" s="37" t="str">
        <f>IF(P2724&gt;500,"High","low")</f>
        <v>low</v>
      </c>
      <c r="R2724" s="37" t="str">
        <f t="shared" si="214"/>
        <v>AVERAGE</v>
      </c>
      <c r="S2724" t="s">
        <v>609</v>
      </c>
    </row>
    <row r="2725" spans="1:19" x14ac:dyDescent="0.2">
      <c r="A2725" t="s">
        <v>3336</v>
      </c>
      <c r="B2725" t="s">
        <v>90</v>
      </c>
      <c r="C2725" t="s">
        <v>614</v>
      </c>
      <c r="D2725">
        <v>2366.09</v>
      </c>
      <c r="E2725" s="37" t="str">
        <f t="shared" si="210"/>
        <v xml:space="preserve"> </v>
      </c>
      <c r="F2725">
        <v>0.35</v>
      </c>
      <c r="G2725" s="37" t="str">
        <f t="shared" si="211"/>
        <v>Heavy Discount</v>
      </c>
      <c r="H2725" s="37" t="str">
        <f t="shared" si="212"/>
        <v>Medium</v>
      </c>
      <c r="I2725">
        <v>2</v>
      </c>
      <c r="J2725" t="str" cm="1">
        <f t="array" ref="J2725">_xlfn.IFS(I2725&lt;=3,"small",I2725&lt;=6,"Medium",I2725&lt;=9,"Large")</f>
        <v>small</v>
      </c>
      <c r="K2725" s="36">
        <v>45535</v>
      </c>
      <c r="L2725" s="36">
        <v>45540</v>
      </c>
      <c r="M2725" t="s">
        <v>603</v>
      </c>
      <c r="N2725" t="s">
        <v>608</v>
      </c>
      <c r="O2725" s="37" t="str">
        <f t="shared" si="213"/>
        <v>Cash Payment</v>
      </c>
      <c r="P2725">
        <v>489.58</v>
      </c>
      <c r="Q2725" s="37" t="str">
        <f>IF(P2725&gt;500,"High","low")</f>
        <v>low</v>
      </c>
      <c r="R2725" s="37" t="str">
        <f t="shared" si="214"/>
        <v>AVERAGE</v>
      </c>
      <c r="S2725" t="s">
        <v>609</v>
      </c>
    </row>
    <row r="2726" spans="1:19" x14ac:dyDescent="0.2">
      <c r="A2726" t="s">
        <v>3337</v>
      </c>
      <c r="B2726" t="s">
        <v>75</v>
      </c>
      <c r="C2726" t="s">
        <v>614</v>
      </c>
      <c r="D2726">
        <v>4764</v>
      </c>
      <c r="E2726" s="37" t="str">
        <f t="shared" si="210"/>
        <v xml:space="preserve"> </v>
      </c>
      <c r="F2726">
        <v>0.02</v>
      </c>
      <c r="G2726" s="37" t="str">
        <f t="shared" si="211"/>
        <v>Normal Discount</v>
      </c>
      <c r="H2726" s="37" t="str">
        <f t="shared" si="212"/>
        <v>Low</v>
      </c>
      <c r="I2726">
        <v>9</v>
      </c>
      <c r="J2726" t="str" cm="1">
        <f t="array" ref="J2726">_xlfn.IFS(I2726&lt;=3,"small",I2726&lt;=6,"Medium",I2726&lt;=9,"Large")</f>
        <v>Large</v>
      </c>
      <c r="K2726" s="36">
        <v>45108</v>
      </c>
      <c r="L2726" s="36">
        <v>45109</v>
      </c>
      <c r="M2726" t="s">
        <v>612</v>
      </c>
      <c r="N2726" t="s">
        <v>604</v>
      </c>
      <c r="O2726" s="37" t="str">
        <f t="shared" si="213"/>
        <v>Digital Payment</v>
      </c>
      <c r="P2726">
        <v>253.81</v>
      </c>
      <c r="Q2726" s="37" t="str">
        <f>IF(P2726&gt;500,"High","low")</f>
        <v>low</v>
      </c>
      <c r="R2726" s="37" t="str">
        <f t="shared" si="214"/>
        <v>AVERAGE</v>
      </c>
      <c r="S2726" t="s">
        <v>600</v>
      </c>
    </row>
    <row r="2727" spans="1:19" x14ac:dyDescent="0.2">
      <c r="A2727" t="s">
        <v>3338</v>
      </c>
      <c r="B2727" t="s">
        <v>83</v>
      </c>
      <c r="C2727" t="s">
        <v>597</v>
      </c>
      <c r="D2727">
        <v>1732.74</v>
      </c>
      <c r="E2727" s="37" t="str">
        <f t="shared" si="210"/>
        <v xml:space="preserve"> </v>
      </c>
      <c r="F2727">
        <v>0.4</v>
      </c>
      <c r="G2727" s="37" t="str">
        <f t="shared" si="211"/>
        <v>Heavy Discount</v>
      </c>
      <c r="H2727" s="37" t="str">
        <f t="shared" si="212"/>
        <v>Medium</v>
      </c>
      <c r="I2727">
        <v>4</v>
      </c>
      <c r="J2727" t="str" cm="1">
        <f t="array" ref="J2727">_xlfn.IFS(I2727&lt;=3,"small",I2727&lt;=6,"Medium",I2727&lt;=9,"Large")</f>
        <v>Medium</v>
      </c>
      <c r="K2727" s="36">
        <v>45556</v>
      </c>
      <c r="L2727" s="36">
        <v>45557</v>
      </c>
      <c r="M2727" t="s">
        <v>603</v>
      </c>
      <c r="N2727" t="s">
        <v>599</v>
      </c>
      <c r="O2727" s="37" t="str">
        <f t="shared" si="213"/>
        <v>Digital Payment</v>
      </c>
      <c r="P2727">
        <v>192.62</v>
      </c>
      <c r="Q2727" s="37" t="str">
        <f>IF(P2727&gt;500,"High","low")</f>
        <v>low</v>
      </c>
      <c r="R2727" s="37" t="str">
        <f t="shared" si="214"/>
        <v>AVERAGE</v>
      </c>
      <c r="S2727" t="s">
        <v>628</v>
      </c>
    </row>
    <row r="2728" spans="1:19" x14ac:dyDescent="0.2">
      <c r="A2728" t="s">
        <v>3339</v>
      </c>
      <c r="B2728" t="s">
        <v>67</v>
      </c>
      <c r="C2728" t="s">
        <v>614</v>
      </c>
      <c r="D2728">
        <v>2684.15</v>
      </c>
      <c r="E2728" s="37" t="str">
        <f t="shared" si="210"/>
        <v xml:space="preserve"> </v>
      </c>
      <c r="F2728">
        <v>0.25</v>
      </c>
      <c r="G2728" s="37" t="str">
        <f t="shared" si="211"/>
        <v>Normal Discount</v>
      </c>
      <c r="H2728" s="37" t="str">
        <f t="shared" si="212"/>
        <v>Medium</v>
      </c>
      <c r="I2728">
        <v>6</v>
      </c>
      <c r="J2728" t="str" cm="1">
        <f t="array" ref="J2728">_xlfn.IFS(I2728&lt;=3,"small",I2728&lt;=6,"Medium",I2728&lt;=9,"Large")</f>
        <v>Medium</v>
      </c>
      <c r="K2728" s="36">
        <v>45423</v>
      </c>
      <c r="L2728" s="36">
        <v>45427</v>
      </c>
      <c r="M2728" t="s">
        <v>603</v>
      </c>
      <c r="N2728" t="s">
        <v>599</v>
      </c>
      <c r="O2728" s="37" t="str">
        <f t="shared" si="213"/>
        <v>Digital Payment</v>
      </c>
      <c r="P2728">
        <v>290.86</v>
      </c>
      <c r="Q2728" s="37" t="str">
        <f>IF(P2728&gt;500,"High","low")</f>
        <v>low</v>
      </c>
      <c r="R2728" s="37" t="str">
        <f t="shared" si="214"/>
        <v>AVERAGE</v>
      </c>
      <c r="S2728" t="s">
        <v>600</v>
      </c>
    </row>
    <row r="2729" spans="1:19" x14ac:dyDescent="0.2">
      <c r="A2729" t="s">
        <v>3340</v>
      </c>
      <c r="B2729" t="s">
        <v>75</v>
      </c>
      <c r="C2729" t="s">
        <v>602</v>
      </c>
      <c r="D2729">
        <v>469.7</v>
      </c>
      <c r="E2729" s="37" t="str">
        <f t="shared" si="210"/>
        <v xml:space="preserve"> </v>
      </c>
      <c r="F2729">
        <v>0.47</v>
      </c>
      <c r="G2729" s="37" t="str">
        <f t="shared" si="211"/>
        <v>Heavy Discount</v>
      </c>
      <c r="H2729" s="37" t="str">
        <f t="shared" si="212"/>
        <v>High</v>
      </c>
      <c r="I2729">
        <v>5</v>
      </c>
      <c r="J2729" t="str" cm="1">
        <f t="array" ref="J2729">_xlfn.IFS(I2729&lt;=3,"small",I2729&lt;=6,"Medium",I2729&lt;=9,"Large")</f>
        <v>Medium</v>
      </c>
      <c r="K2729" s="36">
        <v>45055</v>
      </c>
      <c r="L2729" s="36">
        <v>45058</v>
      </c>
      <c r="M2729" t="s">
        <v>598</v>
      </c>
      <c r="N2729" t="s">
        <v>608</v>
      </c>
      <c r="O2729" s="37" t="str">
        <f t="shared" si="213"/>
        <v>Cash Payment</v>
      </c>
      <c r="P2729">
        <v>36.520000000000003</v>
      </c>
      <c r="Q2729" s="37" t="str">
        <f>IF(P2729&gt;500,"High","low")</f>
        <v>low</v>
      </c>
      <c r="R2729" s="37" t="str">
        <f t="shared" si="214"/>
        <v>AVERAGE</v>
      </c>
      <c r="S2729" t="s">
        <v>615</v>
      </c>
    </row>
    <row r="2730" spans="1:19" x14ac:dyDescent="0.2">
      <c r="A2730" t="s">
        <v>3341</v>
      </c>
      <c r="B2730" t="s">
        <v>90</v>
      </c>
      <c r="C2730" t="s">
        <v>607</v>
      </c>
      <c r="D2730">
        <v>4275.8999999999996</v>
      </c>
      <c r="E2730" s="37" t="str">
        <f t="shared" si="210"/>
        <v>Excellent Order</v>
      </c>
      <c r="F2730">
        <v>0.16</v>
      </c>
      <c r="G2730" s="37" t="str">
        <f t="shared" si="211"/>
        <v>Normal Discount</v>
      </c>
      <c r="H2730" s="37" t="str">
        <f t="shared" si="212"/>
        <v>Low</v>
      </c>
      <c r="I2730">
        <v>2</v>
      </c>
      <c r="J2730" t="str" cm="1">
        <f t="array" ref="J2730">_xlfn.IFS(I2730&lt;=3,"small",I2730&lt;=6,"Medium",I2730&lt;=9,"Large")</f>
        <v>small</v>
      </c>
      <c r="K2730" s="36">
        <v>45448</v>
      </c>
      <c r="L2730" s="36">
        <v>45455</v>
      </c>
      <c r="M2730" t="s">
        <v>612</v>
      </c>
      <c r="N2730" t="s">
        <v>604</v>
      </c>
      <c r="O2730" s="37" t="str">
        <f t="shared" si="213"/>
        <v>Digital Payment</v>
      </c>
      <c r="P2730">
        <v>1203.1500000000001</v>
      </c>
      <c r="Q2730" s="37" t="str">
        <f>IF(P2730&gt;500,"High","low")</f>
        <v>High</v>
      </c>
      <c r="R2730" s="37" t="str">
        <f t="shared" si="214"/>
        <v>Excellent</v>
      </c>
      <c r="S2730" t="s">
        <v>628</v>
      </c>
    </row>
    <row r="2731" spans="1:19" x14ac:dyDescent="0.2">
      <c r="A2731" t="s">
        <v>3342</v>
      </c>
      <c r="B2731" t="s">
        <v>75</v>
      </c>
      <c r="C2731" t="s">
        <v>614</v>
      </c>
      <c r="D2731">
        <v>2125.48</v>
      </c>
      <c r="E2731" s="37" t="str">
        <f t="shared" si="210"/>
        <v xml:space="preserve"> </v>
      </c>
      <c r="F2731">
        <v>0.3</v>
      </c>
      <c r="G2731" s="37" t="str">
        <f t="shared" si="211"/>
        <v>Normal Discount</v>
      </c>
      <c r="H2731" s="37" t="str">
        <f t="shared" si="212"/>
        <v>Medium</v>
      </c>
      <c r="I2731">
        <v>1</v>
      </c>
      <c r="J2731" t="str" cm="1">
        <f t="array" ref="J2731">_xlfn.IFS(I2731&lt;=3,"small",I2731&lt;=6,"Medium",I2731&lt;=9,"Large")</f>
        <v>small</v>
      </c>
      <c r="K2731" s="36">
        <v>45579</v>
      </c>
      <c r="L2731" s="36">
        <v>45583</v>
      </c>
      <c r="M2731" t="s">
        <v>598</v>
      </c>
      <c r="N2731" t="s">
        <v>599</v>
      </c>
      <c r="O2731" s="37" t="str">
        <f t="shared" si="213"/>
        <v>Digital Payment</v>
      </c>
      <c r="P2731">
        <v>629.13</v>
      </c>
      <c r="Q2731" s="37" t="str">
        <f>IF(P2731&gt;500,"High","low")</f>
        <v>High</v>
      </c>
      <c r="R2731" s="37" t="str">
        <f t="shared" si="214"/>
        <v>Good</v>
      </c>
      <c r="S2731" t="s">
        <v>615</v>
      </c>
    </row>
    <row r="2732" spans="1:19" x14ac:dyDescent="0.2">
      <c r="A2732" t="s">
        <v>3343</v>
      </c>
      <c r="B2732" t="s">
        <v>90</v>
      </c>
      <c r="C2732" t="s">
        <v>602</v>
      </c>
      <c r="D2732">
        <v>3532.61</v>
      </c>
      <c r="E2732" s="37" t="str">
        <f t="shared" si="210"/>
        <v xml:space="preserve"> </v>
      </c>
      <c r="F2732">
        <v>0.48</v>
      </c>
      <c r="G2732" s="37" t="str">
        <f t="shared" si="211"/>
        <v>Heavy Discount</v>
      </c>
      <c r="H2732" s="37" t="str">
        <f t="shared" si="212"/>
        <v>High</v>
      </c>
      <c r="I2732">
        <v>1</v>
      </c>
      <c r="J2732" t="str" cm="1">
        <f t="array" ref="J2732">_xlfn.IFS(I2732&lt;=3,"small",I2732&lt;=6,"Medium",I2732&lt;=9,"Large")</f>
        <v>small</v>
      </c>
      <c r="K2732" s="36">
        <v>45595</v>
      </c>
      <c r="L2732" s="36">
        <v>45599</v>
      </c>
      <c r="M2732" t="s">
        <v>612</v>
      </c>
      <c r="N2732" t="s">
        <v>608</v>
      </c>
      <c r="O2732" s="37" t="str">
        <f t="shared" si="213"/>
        <v>Cash Payment</v>
      </c>
      <c r="P2732">
        <v>212.19</v>
      </c>
      <c r="Q2732" s="37" t="str">
        <f>IF(P2732&gt;500,"High","low")</f>
        <v>low</v>
      </c>
      <c r="R2732" s="37" t="str">
        <f t="shared" si="214"/>
        <v>AVERAGE</v>
      </c>
      <c r="S2732" t="s">
        <v>615</v>
      </c>
    </row>
    <row r="2733" spans="1:19" x14ac:dyDescent="0.2">
      <c r="A2733" t="s">
        <v>3344</v>
      </c>
      <c r="B2733" t="s">
        <v>83</v>
      </c>
      <c r="C2733" t="s">
        <v>617</v>
      </c>
      <c r="D2733">
        <v>3443</v>
      </c>
      <c r="E2733" s="37" t="str">
        <f t="shared" si="210"/>
        <v xml:space="preserve"> </v>
      </c>
      <c r="F2733">
        <v>0.14000000000000001</v>
      </c>
      <c r="G2733" s="37" t="str">
        <f t="shared" si="211"/>
        <v>Normal Discount</v>
      </c>
      <c r="H2733" s="37" t="str">
        <f t="shared" si="212"/>
        <v>Low</v>
      </c>
      <c r="I2733">
        <v>1</v>
      </c>
      <c r="J2733" t="str" cm="1">
        <f t="array" ref="J2733">_xlfn.IFS(I2733&lt;=3,"small",I2733&lt;=6,"Medium",I2733&lt;=9,"Large")</f>
        <v>small</v>
      </c>
      <c r="K2733" s="36">
        <v>45549</v>
      </c>
      <c r="L2733" s="36">
        <v>45550</v>
      </c>
      <c r="M2733" t="s">
        <v>612</v>
      </c>
      <c r="N2733" t="s">
        <v>599</v>
      </c>
      <c r="O2733" s="37" t="str">
        <f t="shared" si="213"/>
        <v>Digital Payment</v>
      </c>
      <c r="P2733">
        <v>554.65</v>
      </c>
      <c r="Q2733" s="37" t="str">
        <f>IF(P2733&gt;500,"High","low")</f>
        <v>High</v>
      </c>
      <c r="R2733" s="37" t="str">
        <f t="shared" si="214"/>
        <v>Good</v>
      </c>
      <c r="S2733" t="s">
        <v>605</v>
      </c>
    </row>
    <row r="2734" spans="1:19" x14ac:dyDescent="0.2">
      <c r="A2734" t="s">
        <v>3345</v>
      </c>
      <c r="B2734" t="s">
        <v>67</v>
      </c>
      <c r="C2734" t="s">
        <v>607</v>
      </c>
      <c r="D2734">
        <v>3413.69</v>
      </c>
      <c r="E2734" s="37" t="str">
        <f t="shared" si="210"/>
        <v xml:space="preserve"> </v>
      </c>
      <c r="F2734">
        <v>0.24</v>
      </c>
      <c r="G2734" s="37" t="str">
        <f t="shared" si="211"/>
        <v>Normal Discount</v>
      </c>
      <c r="H2734" s="37" t="str">
        <f t="shared" si="212"/>
        <v>Medium</v>
      </c>
      <c r="I2734">
        <v>6</v>
      </c>
      <c r="J2734" t="str" cm="1">
        <f t="array" ref="J2734">_xlfn.IFS(I2734&lt;=3,"small",I2734&lt;=6,"Medium",I2734&lt;=9,"Large")</f>
        <v>Medium</v>
      </c>
      <c r="K2734" s="36">
        <v>45187</v>
      </c>
      <c r="L2734" s="36">
        <v>45191</v>
      </c>
      <c r="M2734" t="s">
        <v>612</v>
      </c>
      <c r="N2734" t="s">
        <v>604</v>
      </c>
      <c r="O2734" s="37" t="str">
        <f t="shared" si="213"/>
        <v>Digital Payment</v>
      </c>
      <c r="P2734">
        <v>312.38</v>
      </c>
      <c r="Q2734" s="37" t="str">
        <f>IF(P2734&gt;500,"High","low")</f>
        <v>low</v>
      </c>
      <c r="R2734" s="37" t="str">
        <f t="shared" si="214"/>
        <v>AVERAGE</v>
      </c>
      <c r="S2734" t="s">
        <v>628</v>
      </c>
    </row>
    <row r="2735" spans="1:19" x14ac:dyDescent="0.2">
      <c r="A2735" t="s">
        <v>3346</v>
      </c>
      <c r="B2735" t="s">
        <v>67</v>
      </c>
      <c r="C2735" t="s">
        <v>617</v>
      </c>
      <c r="D2735">
        <v>2584</v>
      </c>
      <c r="E2735" s="37" t="str">
        <f t="shared" si="210"/>
        <v xml:space="preserve"> </v>
      </c>
      <c r="F2735">
        <v>0.38</v>
      </c>
      <c r="G2735" s="37" t="str">
        <f t="shared" si="211"/>
        <v>Heavy Discount</v>
      </c>
      <c r="H2735" s="37" t="str">
        <f t="shared" si="212"/>
        <v>Medium</v>
      </c>
      <c r="I2735">
        <v>7</v>
      </c>
      <c r="J2735" t="str" cm="1">
        <f t="array" ref="J2735">_xlfn.IFS(I2735&lt;=3,"small",I2735&lt;=6,"Medium",I2735&lt;=9,"Large")</f>
        <v>Large</v>
      </c>
      <c r="K2735" s="36">
        <v>44979</v>
      </c>
      <c r="L2735" s="36">
        <v>44982</v>
      </c>
      <c r="M2735" t="s">
        <v>598</v>
      </c>
      <c r="N2735" t="s">
        <v>608</v>
      </c>
      <c r="O2735" s="37" t="str">
        <f t="shared" si="213"/>
        <v>Cash Payment</v>
      </c>
      <c r="P2735">
        <v>665.08</v>
      </c>
      <c r="Q2735" s="37" t="str">
        <f>IF(P2735&gt;500,"High","low")</f>
        <v>High</v>
      </c>
      <c r="R2735" s="37" t="str">
        <f t="shared" si="214"/>
        <v>Good</v>
      </c>
      <c r="S2735" t="s">
        <v>615</v>
      </c>
    </row>
    <row r="2736" spans="1:19" x14ac:dyDescent="0.2">
      <c r="A2736" t="s">
        <v>3347</v>
      </c>
      <c r="B2736" t="s">
        <v>67</v>
      </c>
      <c r="C2736" t="s">
        <v>602</v>
      </c>
      <c r="D2736">
        <v>1459.84</v>
      </c>
      <c r="E2736" s="37" t="str">
        <f t="shared" si="210"/>
        <v xml:space="preserve"> </v>
      </c>
      <c r="F2736">
        <v>0.35</v>
      </c>
      <c r="G2736" s="37" t="str">
        <f t="shared" si="211"/>
        <v>Heavy Discount</v>
      </c>
      <c r="H2736" s="37" t="str">
        <f t="shared" si="212"/>
        <v>Medium</v>
      </c>
      <c r="I2736">
        <v>7</v>
      </c>
      <c r="J2736" t="str" cm="1">
        <f t="array" ref="J2736">_xlfn.IFS(I2736&lt;=3,"small",I2736&lt;=6,"Medium",I2736&lt;=9,"Large")</f>
        <v>Large</v>
      </c>
      <c r="K2736" s="36">
        <v>45017</v>
      </c>
      <c r="L2736" s="36">
        <v>45018</v>
      </c>
      <c r="M2736" t="s">
        <v>598</v>
      </c>
      <c r="N2736" t="s">
        <v>608</v>
      </c>
      <c r="O2736" s="37" t="str">
        <f t="shared" si="213"/>
        <v>Cash Payment</v>
      </c>
      <c r="P2736">
        <v>126.78</v>
      </c>
      <c r="Q2736" s="37" t="str">
        <f>IF(P2736&gt;500,"High","low")</f>
        <v>low</v>
      </c>
      <c r="R2736" s="37" t="str">
        <f t="shared" si="214"/>
        <v>AVERAGE</v>
      </c>
      <c r="S2736" t="s">
        <v>609</v>
      </c>
    </row>
    <row r="2737" spans="1:19" x14ac:dyDescent="0.2">
      <c r="A2737" t="s">
        <v>3348</v>
      </c>
      <c r="B2737" t="s">
        <v>83</v>
      </c>
      <c r="C2737" t="s">
        <v>617</v>
      </c>
      <c r="D2737">
        <v>3162.96</v>
      </c>
      <c r="E2737" s="37" t="str">
        <f t="shared" si="210"/>
        <v xml:space="preserve"> </v>
      </c>
      <c r="F2737">
        <v>0.42</v>
      </c>
      <c r="G2737" s="37" t="str">
        <f t="shared" si="211"/>
        <v>Heavy Discount</v>
      </c>
      <c r="H2737" s="37" t="str">
        <f t="shared" si="212"/>
        <v>High</v>
      </c>
      <c r="I2737">
        <v>9</v>
      </c>
      <c r="J2737" t="str" cm="1">
        <f t="array" ref="J2737">_xlfn.IFS(I2737&lt;=3,"small",I2737&lt;=6,"Medium",I2737&lt;=9,"Large")</f>
        <v>Large</v>
      </c>
      <c r="K2737" s="36">
        <v>45176</v>
      </c>
      <c r="L2737" s="36">
        <v>45182</v>
      </c>
      <c r="M2737" t="s">
        <v>612</v>
      </c>
      <c r="N2737" t="s">
        <v>608</v>
      </c>
      <c r="O2737" s="37" t="str">
        <f t="shared" si="213"/>
        <v>Cash Payment</v>
      </c>
      <c r="P2737">
        <v>303.55</v>
      </c>
      <c r="Q2737" s="37" t="str">
        <f>IF(P2737&gt;500,"High","low")</f>
        <v>low</v>
      </c>
      <c r="R2737" s="37" t="str">
        <f t="shared" si="214"/>
        <v>AVERAGE</v>
      </c>
      <c r="S2737" t="s">
        <v>600</v>
      </c>
    </row>
    <row r="2738" spans="1:19" x14ac:dyDescent="0.2">
      <c r="A2738" t="s">
        <v>3349</v>
      </c>
      <c r="B2738" t="s">
        <v>90</v>
      </c>
      <c r="C2738" t="s">
        <v>617</v>
      </c>
      <c r="D2738">
        <v>4812.78</v>
      </c>
      <c r="E2738" s="37" t="str">
        <f t="shared" si="210"/>
        <v>Excellent Order</v>
      </c>
      <c r="F2738">
        <v>0.26</v>
      </c>
      <c r="G2738" s="37" t="str">
        <f t="shared" si="211"/>
        <v>Normal Discount</v>
      </c>
      <c r="H2738" s="37" t="str">
        <f t="shared" si="212"/>
        <v>Medium</v>
      </c>
      <c r="I2738">
        <v>3</v>
      </c>
      <c r="J2738" t="str" cm="1">
        <f t="array" ref="J2738">_xlfn.IFS(I2738&lt;=3,"small",I2738&lt;=6,"Medium",I2738&lt;=9,"Large")</f>
        <v>small</v>
      </c>
      <c r="K2738" s="36">
        <v>45605</v>
      </c>
      <c r="L2738" s="36">
        <v>45612</v>
      </c>
      <c r="M2738" t="s">
        <v>603</v>
      </c>
      <c r="N2738" t="s">
        <v>599</v>
      </c>
      <c r="O2738" s="37" t="str">
        <f t="shared" si="213"/>
        <v>Digital Payment</v>
      </c>
      <c r="P2738">
        <v>1124.8900000000001</v>
      </c>
      <c r="Q2738" s="37" t="str">
        <f>IF(P2738&gt;500,"High","low")</f>
        <v>High</v>
      </c>
      <c r="R2738" s="37" t="str">
        <f t="shared" si="214"/>
        <v>Excellent</v>
      </c>
      <c r="S2738" t="s">
        <v>600</v>
      </c>
    </row>
    <row r="2739" spans="1:19" x14ac:dyDescent="0.2">
      <c r="A2739" t="s">
        <v>3350</v>
      </c>
      <c r="B2739" t="s">
        <v>83</v>
      </c>
      <c r="C2739" t="s">
        <v>617</v>
      </c>
      <c r="D2739">
        <v>4186.3500000000004</v>
      </c>
      <c r="E2739" s="37" t="str">
        <f t="shared" si="210"/>
        <v xml:space="preserve"> </v>
      </c>
      <c r="F2739">
        <v>0.16</v>
      </c>
      <c r="G2739" s="37" t="str">
        <f t="shared" si="211"/>
        <v>Normal Discount</v>
      </c>
      <c r="H2739" s="37" t="str">
        <f t="shared" si="212"/>
        <v>Low</v>
      </c>
      <c r="I2739">
        <v>9</v>
      </c>
      <c r="J2739" t="str" cm="1">
        <f t="array" ref="J2739">_xlfn.IFS(I2739&lt;=3,"small",I2739&lt;=6,"Medium",I2739&lt;=9,"Large")</f>
        <v>Large</v>
      </c>
      <c r="K2739" s="36">
        <v>45154</v>
      </c>
      <c r="L2739" s="36">
        <v>45155</v>
      </c>
      <c r="M2739" t="s">
        <v>612</v>
      </c>
      <c r="N2739" t="s">
        <v>599</v>
      </c>
      <c r="O2739" s="37" t="str">
        <f t="shared" si="213"/>
        <v>Digital Payment</v>
      </c>
      <c r="P2739">
        <v>302.64999999999998</v>
      </c>
      <c r="Q2739" s="37" t="str">
        <f>IF(P2739&gt;500,"High","low")</f>
        <v>low</v>
      </c>
      <c r="R2739" s="37" t="str">
        <f t="shared" si="214"/>
        <v>AVERAGE</v>
      </c>
      <c r="S2739" t="s">
        <v>600</v>
      </c>
    </row>
    <row r="2740" spans="1:19" x14ac:dyDescent="0.2">
      <c r="A2740" t="s">
        <v>3351</v>
      </c>
      <c r="B2740" t="s">
        <v>67</v>
      </c>
      <c r="C2740" t="s">
        <v>614</v>
      </c>
      <c r="D2740">
        <v>632.96</v>
      </c>
      <c r="E2740" s="37" t="str">
        <f t="shared" si="210"/>
        <v xml:space="preserve"> </v>
      </c>
      <c r="F2740">
        <v>0.27</v>
      </c>
      <c r="G2740" s="37" t="str">
        <f t="shared" si="211"/>
        <v>Normal Discount</v>
      </c>
      <c r="H2740" s="37" t="str">
        <f t="shared" si="212"/>
        <v>Medium</v>
      </c>
      <c r="I2740">
        <v>1</v>
      </c>
      <c r="J2740" t="str" cm="1">
        <f t="array" ref="J2740">_xlfn.IFS(I2740&lt;=3,"small",I2740&lt;=6,"Medium",I2740&lt;=9,"Large")</f>
        <v>small</v>
      </c>
      <c r="K2740" s="36">
        <v>45362</v>
      </c>
      <c r="L2740" s="36">
        <v>45363</v>
      </c>
      <c r="M2740" t="s">
        <v>603</v>
      </c>
      <c r="N2740" t="s">
        <v>599</v>
      </c>
      <c r="O2740" s="37" t="str">
        <f t="shared" si="213"/>
        <v>Digital Payment</v>
      </c>
      <c r="P2740">
        <v>181.86</v>
      </c>
      <c r="Q2740" s="37" t="str">
        <f>IF(P2740&gt;500,"High","low")</f>
        <v>low</v>
      </c>
      <c r="R2740" s="37" t="str">
        <f t="shared" si="214"/>
        <v>AVERAGE</v>
      </c>
      <c r="S2740" t="s">
        <v>600</v>
      </c>
    </row>
    <row r="2741" spans="1:19" x14ac:dyDescent="0.2">
      <c r="A2741" t="s">
        <v>3352</v>
      </c>
      <c r="B2741" t="s">
        <v>83</v>
      </c>
      <c r="C2741" t="s">
        <v>614</v>
      </c>
      <c r="D2741">
        <v>213.62</v>
      </c>
      <c r="E2741" s="37" t="str">
        <f t="shared" si="210"/>
        <v xml:space="preserve"> </v>
      </c>
      <c r="F2741">
        <v>0.17</v>
      </c>
      <c r="G2741" s="37" t="str">
        <f t="shared" si="211"/>
        <v>Normal Discount</v>
      </c>
      <c r="H2741" s="37" t="str">
        <f t="shared" si="212"/>
        <v>Low</v>
      </c>
      <c r="I2741">
        <v>2</v>
      </c>
      <c r="J2741" t="str" cm="1">
        <f t="array" ref="J2741">_xlfn.IFS(I2741&lt;=3,"small",I2741&lt;=6,"Medium",I2741&lt;=9,"Large")</f>
        <v>small</v>
      </c>
      <c r="K2741" s="36">
        <v>45657</v>
      </c>
      <c r="L2741" s="36">
        <v>45662</v>
      </c>
      <c r="M2741" t="s">
        <v>598</v>
      </c>
      <c r="N2741" t="s">
        <v>599</v>
      </c>
      <c r="O2741" s="37" t="str">
        <f t="shared" si="213"/>
        <v>Digital Payment</v>
      </c>
      <c r="P2741">
        <v>49.84</v>
      </c>
      <c r="Q2741" s="37" t="str">
        <f>IF(P2741&gt;500,"High","low")</f>
        <v>low</v>
      </c>
      <c r="R2741" s="37" t="str">
        <f t="shared" si="214"/>
        <v>AVERAGE</v>
      </c>
      <c r="S2741" t="s">
        <v>609</v>
      </c>
    </row>
    <row r="2742" spans="1:19" x14ac:dyDescent="0.2">
      <c r="A2742" t="s">
        <v>3353</v>
      </c>
      <c r="B2742" t="s">
        <v>83</v>
      </c>
      <c r="C2742" t="s">
        <v>614</v>
      </c>
      <c r="D2742">
        <v>2544.96</v>
      </c>
      <c r="E2742" s="37" t="str">
        <f t="shared" si="210"/>
        <v xml:space="preserve"> </v>
      </c>
      <c r="F2742">
        <v>0.09</v>
      </c>
      <c r="G2742" s="37" t="str">
        <f t="shared" si="211"/>
        <v>Normal Discount</v>
      </c>
      <c r="H2742" s="37" t="str">
        <f t="shared" si="212"/>
        <v>Low</v>
      </c>
      <c r="I2742">
        <v>7</v>
      </c>
      <c r="J2742" t="str" cm="1">
        <f t="array" ref="J2742">_xlfn.IFS(I2742&lt;=3,"small",I2742&lt;=6,"Medium",I2742&lt;=9,"Large")</f>
        <v>Large</v>
      </c>
      <c r="K2742" s="36">
        <v>45541</v>
      </c>
      <c r="L2742" s="36">
        <v>45548</v>
      </c>
      <c r="M2742" t="s">
        <v>598</v>
      </c>
      <c r="N2742" t="s">
        <v>604</v>
      </c>
      <c r="O2742" s="37" t="str">
        <f t="shared" si="213"/>
        <v>Digital Payment</v>
      </c>
      <c r="P2742">
        <v>748.97</v>
      </c>
      <c r="Q2742" s="37" t="str">
        <f>IF(P2742&gt;500,"High","low")</f>
        <v>High</v>
      </c>
      <c r="R2742" s="37" t="str">
        <f t="shared" si="214"/>
        <v>Good</v>
      </c>
      <c r="S2742" t="s">
        <v>628</v>
      </c>
    </row>
    <row r="2743" spans="1:19" x14ac:dyDescent="0.2">
      <c r="A2743" t="s">
        <v>3354</v>
      </c>
      <c r="B2743" t="s">
        <v>83</v>
      </c>
      <c r="C2743" t="s">
        <v>607</v>
      </c>
      <c r="D2743">
        <v>3901.56</v>
      </c>
      <c r="E2743" s="37" t="str">
        <f t="shared" si="210"/>
        <v xml:space="preserve"> </v>
      </c>
      <c r="F2743">
        <v>0.28000000000000003</v>
      </c>
      <c r="G2743" s="37" t="str">
        <f t="shared" si="211"/>
        <v>Normal Discount</v>
      </c>
      <c r="H2743" s="37" t="str">
        <f t="shared" si="212"/>
        <v>Medium</v>
      </c>
      <c r="I2743">
        <v>2</v>
      </c>
      <c r="J2743" t="str" cm="1">
        <f t="array" ref="J2743">_xlfn.IFS(I2743&lt;=3,"small",I2743&lt;=6,"Medium",I2743&lt;=9,"Large")</f>
        <v>small</v>
      </c>
      <c r="K2743" s="36">
        <v>45484</v>
      </c>
      <c r="L2743" s="36">
        <v>45486</v>
      </c>
      <c r="M2743" t="s">
        <v>603</v>
      </c>
      <c r="N2743" t="s">
        <v>608</v>
      </c>
      <c r="O2743" s="37" t="str">
        <f t="shared" si="213"/>
        <v>Cash Payment</v>
      </c>
      <c r="P2743">
        <v>631.16999999999996</v>
      </c>
      <c r="Q2743" s="37" t="str">
        <f>IF(P2743&gt;500,"High","low")</f>
        <v>High</v>
      </c>
      <c r="R2743" s="37" t="str">
        <f t="shared" si="214"/>
        <v>Good</v>
      </c>
      <c r="S2743" t="s">
        <v>628</v>
      </c>
    </row>
    <row r="2744" spans="1:19" x14ac:dyDescent="0.2">
      <c r="A2744" t="s">
        <v>3355</v>
      </c>
      <c r="B2744" t="s">
        <v>90</v>
      </c>
      <c r="C2744" t="s">
        <v>602</v>
      </c>
      <c r="D2744">
        <v>1638.12</v>
      </c>
      <c r="E2744" s="37" t="str">
        <f t="shared" si="210"/>
        <v xml:space="preserve"> </v>
      </c>
      <c r="F2744">
        <v>0.02</v>
      </c>
      <c r="G2744" s="37" t="str">
        <f t="shared" si="211"/>
        <v>Normal Discount</v>
      </c>
      <c r="H2744" s="37" t="str">
        <f t="shared" si="212"/>
        <v>Low</v>
      </c>
      <c r="I2744">
        <v>4</v>
      </c>
      <c r="J2744" t="str" cm="1">
        <f t="array" ref="J2744">_xlfn.IFS(I2744&lt;=3,"small",I2744&lt;=6,"Medium",I2744&lt;=9,"Large")</f>
        <v>Medium</v>
      </c>
      <c r="K2744" s="36">
        <v>45015</v>
      </c>
      <c r="L2744" s="36">
        <v>45019</v>
      </c>
      <c r="M2744" t="s">
        <v>598</v>
      </c>
      <c r="N2744" t="s">
        <v>608</v>
      </c>
      <c r="O2744" s="37" t="str">
        <f t="shared" si="213"/>
        <v>Cash Payment</v>
      </c>
      <c r="P2744">
        <v>176.66</v>
      </c>
      <c r="Q2744" s="37" t="str">
        <f>IF(P2744&gt;500,"High","low")</f>
        <v>low</v>
      </c>
      <c r="R2744" s="37" t="str">
        <f t="shared" si="214"/>
        <v>AVERAGE</v>
      </c>
      <c r="S2744" t="s">
        <v>615</v>
      </c>
    </row>
    <row r="2745" spans="1:19" x14ac:dyDescent="0.2">
      <c r="A2745" t="s">
        <v>3356</v>
      </c>
      <c r="B2745" t="s">
        <v>75</v>
      </c>
      <c r="C2745" t="s">
        <v>614</v>
      </c>
      <c r="D2745">
        <v>3536.07</v>
      </c>
      <c r="E2745" s="37" t="str">
        <f t="shared" si="210"/>
        <v xml:space="preserve"> </v>
      </c>
      <c r="F2745">
        <v>0.02</v>
      </c>
      <c r="G2745" s="37" t="str">
        <f t="shared" si="211"/>
        <v>Normal Discount</v>
      </c>
      <c r="H2745" s="37" t="str">
        <f t="shared" si="212"/>
        <v>Low</v>
      </c>
      <c r="I2745">
        <v>2</v>
      </c>
      <c r="J2745" t="str" cm="1">
        <f t="array" ref="J2745">_xlfn.IFS(I2745&lt;=3,"small",I2745&lt;=6,"Medium",I2745&lt;=9,"Large")</f>
        <v>small</v>
      </c>
      <c r="K2745" s="36">
        <v>45221</v>
      </c>
      <c r="L2745" s="36">
        <v>45228</v>
      </c>
      <c r="M2745" t="s">
        <v>598</v>
      </c>
      <c r="N2745" t="s">
        <v>604</v>
      </c>
      <c r="O2745" s="37" t="str">
        <f t="shared" si="213"/>
        <v>Digital Payment</v>
      </c>
      <c r="P2745">
        <v>1004.15</v>
      </c>
      <c r="Q2745" s="37" t="str">
        <f>IF(P2745&gt;500,"High","low")</f>
        <v>High</v>
      </c>
      <c r="R2745" s="37" t="str">
        <f t="shared" si="214"/>
        <v>Excellent</v>
      </c>
      <c r="S2745" t="s">
        <v>615</v>
      </c>
    </row>
    <row r="2746" spans="1:19" x14ac:dyDescent="0.2">
      <c r="A2746" t="s">
        <v>3357</v>
      </c>
      <c r="B2746" t="s">
        <v>75</v>
      </c>
      <c r="C2746" t="s">
        <v>617</v>
      </c>
      <c r="D2746">
        <v>4666.41</v>
      </c>
      <c r="E2746" s="37" t="str">
        <f t="shared" si="210"/>
        <v>Excellent Order</v>
      </c>
      <c r="F2746">
        <v>0.03</v>
      </c>
      <c r="G2746" s="37" t="str">
        <f t="shared" si="211"/>
        <v>Normal Discount</v>
      </c>
      <c r="H2746" s="37" t="str">
        <f t="shared" si="212"/>
        <v>Low</v>
      </c>
      <c r="I2746">
        <v>2</v>
      </c>
      <c r="J2746" t="str" cm="1">
        <f t="array" ref="J2746">_xlfn.IFS(I2746&lt;=3,"small",I2746&lt;=6,"Medium",I2746&lt;=9,"Large")</f>
        <v>small</v>
      </c>
      <c r="K2746" s="36">
        <v>44968</v>
      </c>
      <c r="L2746" s="36">
        <v>44973</v>
      </c>
      <c r="M2746" t="s">
        <v>603</v>
      </c>
      <c r="N2746" t="s">
        <v>604</v>
      </c>
      <c r="O2746" s="37" t="str">
        <f t="shared" si="213"/>
        <v>Digital Payment</v>
      </c>
      <c r="P2746">
        <v>825.34</v>
      </c>
      <c r="Q2746" s="37" t="str">
        <f>IF(P2746&gt;500,"High","low")</f>
        <v>High</v>
      </c>
      <c r="R2746" s="37" t="str">
        <f t="shared" si="214"/>
        <v>Good</v>
      </c>
      <c r="S2746" t="s">
        <v>609</v>
      </c>
    </row>
    <row r="2747" spans="1:19" x14ac:dyDescent="0.2">
      <c r="A2747" t="s">
        <v>3358</v>
      </c>
      <c r="B2747" t="s">
        <v>83</v>
      </c>
      <c r="C2747" t="s">
        <v>617</v>
      </c>
      <c r="D2747">
        <v>2349.02</v>
      </c>
      <c r="E2747" s="37" t="str">
        <f t="shared" si="210"/>
        <v xml:space="preserve"> </v>
      </c>
      <c r="F2747">
        <v>0.34</v>
      </c>
      <c r="G2747" s="37" t="str">
        <f t="shared" si="211"/>
        <v>Heavy Discount</v>
      </c>
      <c r="H2747" s="37" t="str">
        <f t="shared" si="212"/>
        <v>Medium</v>
      </c>
      <c r="I2747">
        <v>1</v>
      </c>
      <c r="J2747" t="str" cm="1">
        <f t="array" ref="J2747">_xlfn.IFS(I2747&lt;=3,"small",I2747&lt;=6,"Medium",I2747&lt;=9,"Large")</f>
        <v>small</v>
      </c>
      <c r="K2747" s="36">
        <v>45614</v>
      </c>
      <c r="L2747" s="36">
        <v>45618</v>
      </c>
      <c r="M2747" t="s">
        <v>598</v>
      </c>
      <c r="N2747" t="s">
        <v>608</v>
      </c>
      <c r="O2747" s="37" t="str">
        <f t="shared" si="213"/>
        <v>Cash Payment</v>
      </c>
      <c r="P2747">
        <v>675.35</v>
      </c>
      <c r="Q2747" s="37" t="str">
        <f>IF(P2747&gt;500,"High","low")</f>
        <v>High</v>
      </c>
      <c r="R2747" s="37" t="str">
        <f t="shared" si="214"/>
        <v>Good</v>
      </c>
      <c r="S2747" t="s">
        <v>620</v>
      </c>
    </row>
    <row r="2748" spans="1:19" x14ac:dyDescent="0.2">
      <c r="A2748" t="s">
        <v>3359</v>
      </c>
      <c r="B2748" t="s">
        <v>75</v>
      </c>
      <c r="C2748" t="s">
        <v>617</v>
      </c>
      <c r="D2748">
        <v>1296.3800000000001</v>
      </c>
      <c r="E2748" s="37" t="str">
        <f t="shared" si="210"/>
        <v xml:space="preserve"> </v>
      </c>
      <c r="F2748">
        <v>0.2</v>
      </c>
      <c r="G2748" s="37" t="str">
        <f t="shared" si="211"/>
        <v>Normal Discount</v>
      </c>
      <c r="H2748" s="37" t="str">
        <f t="shared" si="212"/>
        <v>Medium</v>
      </c>
      <c r="I2748">
        <v>9</v>
      </c>
      <c r="J2748" t="str" cm="1">
        <f t="array" ref="J2748">_xlfn.IFS(I2748&lt;=3,"small",I2748&lt;=6,"Medium",I2748&lt;=9,"Large")</f>
        <v>Large</v>
      </c>
      <c r="K2748" s="36">
        <v>45469</v>
      </c>
      <c r="L2748" s="36">
        <v>45472</v>
      </c>
      <c r="M2748" t="s">
        <v>603</v>
      </c>
      <c r="N2748" t="s">
        <v>599</v>
      </c>
      <c r="O2748" s="37" t="str">
        <f t="shared" si="213"/>
        <v>Digital Payment</v>
      </c>
      <c r="P2748">
        <v>373.82</v>
      </c>
      <c r="Q2748" s="37" t="str">
        <f>IF(P2748&gt;500,"High","low")</f>
        <v>low</v>
      </c>
      <c r="R2748" s="37" t="str">
        <f t="shared" si="214"/>
        <v>AVERAGE</v>
      </c>
      <c r="S2748" t="s">
        <v>628</v>
      </c>
    </row>
    <row r="2749" spans="1:19" x14ac:dyDescent="0.2">
      <c r="A2749" t="s">
        <v>3360</v>
      </c>
      <c r="B2749" t="s">
        <v>75</v>
      </c>
      <c r="C2749" t="s">
        <v>617</v>
      </c>
      <c r="D2749">
        <v>4597.01</v>
      </c>
      <c r="E2749" s="37" t="str">
        <f t="shared" si="210"/>
        <v>Excellent Order</v>
      </c>
      <c r="F2749">
        <v>0.25</v>
      </c>
      <c r="G2749" s="37" t="str">
        <f t="shared" si="211"/>
        <v>Normal Discount</v>
      </c>
      <c r="H2749" s="37" t="str">
        <f t="shared" si="212"/>
        <v>Medium</v>
      </c>
      <c r="I2749">
        <v>3</v>
      </c>
      <c r="J2749" t="str" cm="1">
        <f t="array" ref="J2749">_xlfn.IFS(I2749&lt;=3,"small",I2749&lt;=6,"Medium",I2749&lt;=9,"Large")</f>
        <v>small</v>
      </c>
      <c r="K2749" s="36">
        <v>45509</v>
      </c>
      <c r="L2749" s="36">
        <v>45515</v>
      </c>
      <c r="M2749" t="s">
        <v>603</v>
      </c>
      <c r="N2749" t="s">
        <v>599</v>
      </c>
      <c r="O2749" s="37" t="str">
        <f t="shared" si="213"/>
        <v>Digital Payment</v>
      </c>
      <c r="P2749">
        <v>1148.42</v>
      </c>
      <c r="Q2749" s="37" t="str">
        <f>IF(P2749&gt;500,"High","low")</f>
        <v>High</v>
      </c>
      <c r="R2749" s="37" t="str">
        <f t="shared" si="214"/>
        <v>Excellent</v>
      </c>
      <c r="S2749" t="s">
        <v>615</v>
      </c>
    </row>
    <row r="2750" spans="1:19" x14ac:dyDescent="0.2">
      <c r="A2750" t="s">
        <v>3361</v>
      </c>
      <c r="B2750" t="s">
        <v>83</v>
      </c>
      <c r="C2750" t="s">
        <v>597</v>
      </c>
      <c r="D2750">
        <v>2414.09</v>
      </c>
      <c r="E2750" s="37" t="str">
        <f t="shared" si="210"/>
        <v xml:space="preserve"> </v>
      </c>
      <c r="F2750">
        <v>0.17</v>
      </c>
      <c r="G2750" s="37" t="str">
        <f t="shared" si="211"/>
        <v>Normal Discount</v>
      </c>
      <c r="H2750" s="37" t="str">
        <f t="shared" si="212"/>
        <v>Low</v>
      </c>
      <c r="I2750">
        <v>1</v>
      </c>
      <c r="J2750" t="str" cm="1">
        <f t="array" ref="J2750">_xlfn.IFS(I2750&lt;=3,"small",I2750&lt;=6,"Medium",I2750&lt;=9,"Large")</f>
        <v>small</v>
      </c>
      <c r="K2750" s="36">
        <v>45399</v>
      </c>
      <c r="L2750" s="36">
        <v>45401</v>
      </c>
      <c r="M2750" t="s">
        <v>612</v>
      </c>
      <c r="N2750" t="s">
        <v>608</v>
      </c>
      <c r="O2750" s="37" t="str">
        <f t="shared" si="213"/>
        <v>Cash Payment</v>
      </c>
      <c r="P2750">
        <v>257</v>
      </c>
      <c r="Q2750" s="37" t="str">
        <f>IF(P2750&gt;500,"High","low")</f>
        <v>low</v>
      </c>
      <c r="R2750" s="37" t="str">
        <f t="shared" si="214"/>
        <v>AVERAGE</v>
      </c>
      <c r="S2750" t="s">
        <v>609</v>
      </c>
    </row>
    <row r="2751" spans="1:19" x14ac:dyDescent="0.2">
      <c r="A2751" t="s">
        <v>3362</v>
      </c>
      <c r="B2751" t="s">
        <v>83</v>
      </c>
      <c r="C2751" t="s">
        <v>607</v>
      </c>
      <c r="D2751">
        <v>2098.41</v>
      </c>
      <c r="E2751" s="37" t="str">
        <f t="shared" si="210"/>
        <v xml:space="preserve"> </v>
      </c>
      <c r="F2751">
        <v>0.13</v>
      </c>
      <c r="G2751" s="37" t="str">
        <f t="shared" si="211"/>
        <v>Normal Discount</v>
      </c>
      <c r="H2751" s="37" t="str">
        <f t="shared" si="212"/>
        <v>Low</v>
      </c>
      <c r="I2751">
        <v>6</v>
      </c>
      <c r="J2751" t="str" cm="1">
        <f t="array" ref="J2751">_xlfn.IFS(I2751&lt;=3,"small",I2751&lt;=6,"Medium",I2751&lt;=9,"Large")</f>
        <v>Medium</v>
      </c>
      <c r="K2751" s="36">
        <v>45396</v>
      </c>
      <c r="L2751" s="36">
        <v>45400</v>
      </c>
      <c r="M2751" t="s">
        <v>598</v>
      </c>
      <c r="N2751" t="s">
        <v>608</v>
      </c>
      <c r="O2751" s="37" t="str">
        <f t="shared" si="213"/>
        <v>Cash Payment</v>
      </c>
      <c r="P2751">
        <v>227.72</v>
      </c>
      <c r="Q2751" s="37" t="str">
        <f>IF(P2751&gt;500,"High","low")</f>
        <v>low</v>
      </c>
      <c r="R2751" s="37" t="str">
        <f t="shared" si="214"/>
        <v>AVERAGE</v>
      </c>
      <c r="S2751" t="s">
        <v>605</v>
      </c>
    </row>
    <row r="2752" spans="1:19" x14ac:dyDescent="0.2">
      <c r="A2752" t="s">
        <v>3363</v>
      </c>
      <c r="B2752" t="s">
        <v>67</v>
      </c>
      <c r="C2752" t="s">
        <v>602</v>
      </c>
      <c r="D2752">
        <v>1831.47</v>
      </c>
      <c r="E2752" s="37" t="str">
        <f t="shared" si="210"/>
        <v xml:space="preserve"> </v>
      </c>
      <c r="F2752">
        <v>0.18</v>
      </c>
      <c r="G2752" s="37" t="str">
        <f t="shared" si="211"/>
        <v>Normal Discount</v>
      </c>
      <c r="H2752" s="37" t="str">
        <f t="shared" si="212"/>
        <v>Low</v>
      </c>
      <c r="I2752">
        <v>8</v>
      </c>
      <c r="J2752" t="str" cm="1">
        <f t="array" ref="J2752">_xlfn.IFS(I2752&lt;=3,"small",I2752&lt;=6,"Medium",I2752&lt;=9,"Large")</f>
        <v>Large</v>
      </c>
      <c r="K2752" s="36">
        <v>45001</v>
      </c>
      <c r="L2752" s="36">
        <v>45005</v>
      </c>
      <c r="M2752" t="s">
        <v>612</v>
      </c>
      <c r="N2752" t="s">
        <v>604</v>
      </c>
      <c r="O2752" s="37" t="str">
        <f t="shared" si="213"/>
        <v>Digital Payment</v>
      </c>
      <c r="P2752">
        <v>387.67</v>
      </c>
      <c r="Q2752" s="37" t="str">
        <f>IF(P2752&gt;500,"High","low")</f>
        <v>low</v>
      </c>
      <c r="R2752" s="37" t="str">
        <f t="shared" si="214"/>
        <v>AVERAGE</v>
      </c>
      <c r="S2752" t="s">
        <v>605</v>
      </c>
    </row>
    <row r="2753" spans="1:19" x14ac:dyDescent="0.2">
      <c r="A2753" t="s">
        <v>3364</v>
      </c>
      <c r="B2753" t="s">
        <v>75</v>
      </c>
      <c r="C2753" t="s">
        <v>602</v>
      </c>
      <c r="D2753">
        <v>2172.7800000000002</v>
      </c>
      <c r="E2753" s="37" t="str">
        <f t="shared" si="210"/>
        <v xml:space="preserve"> </v>
      </c>
      <c r="F2753">
        <v>0.1</v>
      </c>
      <c r="G2753" s="37" t="str">
        <f t="shared" si="211"/>
        <v>Normal Discount</v>
      </c>
      <c r="H2753" s="37" t="str">
        <f t="shared" si="212"/>
        <v>Low</v>
      </c>
      <c r="I2753">
        <v>7</v>
      </c>
      <c r="J2753" t="str" cm="1">
        <f t="array" ref="J2753">_xlfn.IFS(I2753&lt;=3,"small",I2753&lt;=6,"Medium",I2753&lt;=9,"Large")</f>
        <v>Large</v>
      </c>
      <c r="K2753" s="36">
        <v>45314</v>
      </c>
      <c r="L2753" s="36">
        <v>45321</v>
      </c>
      <c r="M2753" t="s">
        <v>603</v>
      </c>
      <c r="N2753" t="s">
        <v>604</v>
      </c>
      <c r="O2753" s="37" t="str">
        <f t="shared" si="213"/>
        <v>Digital Payment</v>
      </c>
      <c r="P2753">
        <v>367.82</v>
      </c>
      <c r="Q2753" s="37" t="str">
        <f>IF(P2753&gt;500,"High","low")</f>
        <v>low</v>
      </c>
      <c r="R2753" s="37" t="str">
        <f t="shared" si="214"/>
        <v>AVERAGE</v>
      </c>
      <c r="S2753" t="s">
        <v>628</v>
      </c>
    </row>
    <row r="2754" spans="1:19" x14ac:dyDescent="0.2">
      <c r="A2754" t="s">
        <v>3365</v>
      </c>
      <c r="B2754" t="s">
        <v>90</v>
      </c>
      <c r="C2754" t="s">
        <v>614</v>
      </c>
      <c r="D2754">
        <v>3400.92</v>
      </c>
      <c r="E2754" s="37" t="str">
        <f t="shared" si="210"/>
        <v xml:space="preserve"> </v>
      </c>
      <c r="F2754">
        <v>0.34</v>
      </c>
      <c r="G2754" s="37" t="str">
        <f t="shared" si="211"/>
        <v>Heavy Discount</v>
      </c>
      <c r="H2754" s="37" t="str">
        <f t="shared" si="212"/>
        <v>Medium</v>
      </c>
      <c r="I2754">
        <v>7</v>
      </c>
      <c r="J2754" t="str" cm="1">
        <f t="array" ref="J2754">_xlfn.IFS(I2754&lt;=3,"small",I2754&lt;=6,"Medium",I2754&lt;=9,"Large")</f>
        <v>Large</v>
      </c>
      <c r="K2754" s="36">
        <v>45655</v>
      </c>
      <c r="L2754" s="36">
        <v>45657</v>
      </c>
      <c r="M2754" t="s">
        <v>598</v>
      </c>
      <c r="N2754" t="s">
        <v>608</v>
      </c>
      <c r="O2754" s="37" t="str">
        <f t="shared" si="213"/>
        <v>Cash Payment</v>
      </c>
      <c r="P2754">
        <v>524.21</v>
      </c>
      <c r="Q2754" s="37" t="str">
        <f>IF(P2754&gt;500,"High","low")</f>
        <v>High</v>
      </c>
      <c r="R2754" s="37" t="str">
        <f t="shared" si="214"/>
        <v>Good</v>
      </c>
      <c r="S2754" t="s">
        <v>609</v>
      </c>
    </row>
    <row r="2755" spans="1:19" x14ac:dyDescent="0.2">
      <c r="A2755" t="s">
        <v>3366</v>
      </c>
      <c r="B2755" t="s">
        <v>83</v>
      </c>
      <c r="C2755" t="s">
        <v>597</v>
      </c>
      <c r="D2755">
        <v>2225.23</v>
      </c>
      <c r="E2755" s="37" t="str">
        <f t="shared" ref="E2755:E2818" si="215">IF(AND(D2755&gt;4000,P2755&gt;800),"Excellent Order"," ")</f>
        <v xml:space="preserve"> </v>
      </c>
      <c r="F2755">
        <v>0.05</v>
      </c>
      <c r="G2755" s="37" t="str">
        <f t="shared" ref="G2755:G2818" si="216">IF(F2755&gt;30%,"Heavy Discount","Normal Discount")</f>
        <v>Normal Discount</v>
      </c>
      <c r="H2755" s="37" t="str">
        <f t="shared" ref="H2755:H2818" si="217">IF(F2755&gt;0.4,"High",IF(F2755&gt;=0.2,"Medium","Low"))</f>
        <v>Low</v>
      </c>
      <c r="I2755">
        <v>2</v>
      </c>
      <c r="J2755" t="str" cm="1">
        <f t="array" ref="J2755">_xlfn.IFS(I2755&lt;=3,"small",I2755&lt;=6,"Medium",I2755&lt;=9,"Large")</f>
        <v>small</v>
      </c>
      <c r="K2755" s="36">
        <v>45408</v>
      </c>
      <c r="L2755" s="36">
        <v>45411</v>
      </c>
      <c r="M2755" t="s">
        <v>598</v>
      </c>
      <c r="N2755" t="s">
        <v>604</v>
      </c>
      <c r="O2755" s="37" t="str">
        <f t="shared" ref="O2755:O2818" si="218">IF(OR(N2755="Card",N2755="UPI"),"Digital Payment","Cash Payment")</f>
        <v>Digital Payment</v>
      </c>
      <c r="P2755">
        <v>224.73</v>
      </c>
      <c r="Q2755" s="37" t="str">
        <f>IF(P2755&gt;500,"High","low")</f>
        <v>low</v>
      </c>
      <c r="R2755" s="37" t="str">
        <f t="shared" ref="R2755:R2818" si="219">IF(P2755&gt;1000,"Excellent",IF(P2755&gt;=500,"Good","AVERAGE"))</f>
        <v>AVERAGE</v>
      </c>
      <c r="S2755" t="s">
        <v>628</v>
      </c>
    </row>
    <row r="2756" spans="1:19" x14ac:dyDescent="0.2">
      <c r="A2756" t="s">
        <v>3367</v>
      </c>
      <c r="B2756" t="s">
        <v>67</v>
      </c>
      <c r="C2756" t="s">
        <v>602</v>
      </c>
      <c r="D2756">
        <v>1688.7</v>
      </c>
      <c r="E2756" s="37" t="str">
        <f t="shared" si="215"/>
        <v xml:space="preserve"> </v>
      </c>
      <c r="F2756">
        <v>0.26</v>
      </c>
      <c r="G2756" s="37" t="str">
        <f t="shared" si="216"/>
        <v>Normal Discount</v>
      </c>
      <c r="H2756" s="37" t="str">
        <f t="shared" si="217"/>
        <v>Medium</v>
      </c>
      <c r="I2756">
        <v>4</v>
      </c>
      <c r="J2756" t="str" cm="1">
        <f t="array" ref="J2756">_xlfn.IFS(I2756&lt;=3,"small",I2756&lt;=6,"Medium",I2756&lt;=9,"Large")</f>
        <v>Medium</v>
      </c>
      <c r="K2756" s="36">
        <v>45466</v>
      </c>
      <c r="L2756" s="36">
        <v>45469</v>
      </c>
      <c r="M2756" t="s">
        <v>603</v>
      </c>
      <c r="N2756" t="s">
        <v>599</v>
      </c>
      <c r="O2756" s="37" t="str">
        <f t="shared" si="218"/>
        <v>Digital Payment</v>
      </c>
      <c r="P2756">
        <v>178.11</v>
      </c>
      <c r="Q2756" s="37" t="str">
        <f>IF(P2756&gt;500,"High","low")</f>
        <v>low</v>
      </c>
      <c r="R2756" s="37" t="str">
        <f t="shared" si="219"/>
        <v>AVERAGE</v>
      </c>
      <c r="S2756" t="s">
        <v>609</v>
      </c>
    </row>
    <row r="2757" spans="1:19" x14ac:dyDescent="0.2">
      <c r="A2757" t="s">
        <v>3368</v>
      </c>
      <c r="B2757" t="s">
        <v>90</v>
      </c>
      <c r="C2757" t="s">
        <v>607</v>
      </c>
      <c r="D2757">
        <v>3743.82</v>
      </c>
      <c r="E2757" s="37" t="str">
        <f t="shared" si="215"/>
        <v xml:space="preserve"> </v>
      </c>
      <c r="F2757">
        <v>0.24</v>
      </c>
      <c r="G2757" s="37" t="str">
        <f t="shared" si="216"/>
        <v>Normal Discount</v>
      </c>
      <c r="H2757" s="37" t="str">
        <f t="shared" si="217"/>
        <v>Medium</v>
      </c>
      <c r="I2757">
        <v>6</v>
      </c>
      <c r="J2757" t="str" cm="1">
        <f t="array" ref="J2757">_xlfn.IFS(I2757&lt;=3,"small",I2757&lt;=6,"Medium",I2757&lt;=9,"Large")</f>
        <v>Medium</v>
      </c>
      <c r="K2757" s="36">
        <v>44928</v>
      </c>
      <c r="L2757" s="36">
        <v>44932</v>
      </c>
      <c r="M2757" t="s">
        <v>612</v>
      </c>
      <c r="N2757" t="s">
        <v>608</v>
      </c>
      <c r="O2757" s="37" t="str">
        <f t="shared" si="218"/>
        <v>Cash Payment</v>
      </c>
      <c r="P2757">
        <v>528.72</v>
      </c>
      <c r="Q2757" s="37" t="str">
        <f>IF(P2757&gt;500,"High","low")</f>
        <v>High</v>
      </c>
      <c r="R2757" s="37" t="str">
        <f t="shared" si="219"/>
        <v>Good</v>
      </c>
      <c r="S2757" t="s">
        <v>600</v>
      </c>
    </row>
    <row r="2758" spans="1:19" x14ac:dyDescent="0.2">
      <c r="A2758" t="s">
        <v>3369</v>
      </c>
      <c r="B2758" t="s">
        <v>75</v>
      </c>
      <c r="C2758" t="s">
        <v>617</v>
      </c>
      <c r="D2758">
        <v>1094.56</v>
      </c>
      <c r="E2758" s="37" t="str">
        <f t="shared" si="215"/>
        <v xml:space="preserve"> </v>
      </c>
      <c r="F2758">
        <v>0.15</v>
      </c>
      <c r="G2758" s="37" t="str">
        <f t="shared" si="216"/>
        <v>Normal Discount</v>
      </c>
      <c r="H2758" s="37" t="str">
        <f t="shared" si="217"/>
        <v>Low</v>
      </c>
      <c r="I2758">
        <v>2</v>
      </c>
      <c r="J2758" t="str" cm="1">
        <f t="array" ref="J2758">_xlfn.IFS(I2758&lt;=3,"small",I2758&lt;=6,"Medium",I2758&lt;=9,"Large")</f>
        <v>small</v>
      </c>
      <c r="K2758" s="36">
        <v>45464</v>
      </c>
      <c r="L2758" s="36">
        <v>45466</v>
      </c>
      <c r="M2758" t="s">
        <v>603</v>
      </c>
      <c r="N2758" t="s">
        <v>599</v>
      </c>
      <c r="O2758" s="37" t="str">
        <f t="shared" si="218"/>
        <v>Digital Payment</v>
      </c>
      <c r="P2758">
        <v>227.49</v>
      </c>
      <c r="Q2758" s="37" t="str">
        <f>IF(P2758&gt;500,"High","low")</f>
        <v>low</v>
      </c>
      <c r="R2758" s="37" t="str">
        <f t="shared" si="219"/>
        <v>AVERAGE</v>
      </c>
      <c r="S2758" t="s">
        <v>605</v>
      </c>
    </row>
    <row r="2759" spans="1:19" x14ac:dyDescent="0.2">
      <c r="A2759" t="s">
        <v>3370</v>
      </c>
      <c r="B2759" t="s">
        <v>67</v>
      </c>
      <c r="C2759" t="s">
        <v>614</v>
      </c>
      <c r="D2759">
        <v>1089.48</v>
      </c>
      <c r="E2759" s="37" t="str">
        <f t="shared" si="215"/>
        <v xml:space="preserve"> </v>
      </c>
      <c r="F2759">
        <v>0.05</v>
      </c>
      <c r="G2759" s="37" t="str">
        <f t="shared" si="216"/>
        <v>Normal Discount</v>
      </c>
      <c r="H2759" s="37" t="str">
        <f t="shared" si="217"/>
        <v>Low</v>
      </c>
      <c r="I2759">
        <v>5</v>
      </c>
      <c r="J2759" t="str" cm="1">
        <f t="array" ref="J2759">_xlfn.IFS(I2759&lt;=3,"small",I2759&lt;=6,"Medium",I2759&lt;=9,"Large")</f>
        <v>Medium</v>
      </c>
      <c r="K2759" s="36">
        <v>45097</v>
      </c>
      <c r="L2759" s="36">
        <v>45098</v>
      </c>
      <c r="M2759" t="s">
        <v>598</v>
      </c>
      <c r="N2759" t="s">
        <v>604</v>
      </c>
      <c r="O2759" s="37" t="str">
        <f t="shared" si="218"/>
        <v>Digital Payment</v>
      </c>
      <c r="P2759">
        <v>65.930000000000007</v>
      </c>
      <c r="Q2759" s="37" t="str">
        <f>IF(P2759&gt;500,"High","low")</f>
        <v>low</v>
      </c>
      <c r="R2759" s="37" t="str">
        <f t="shared" si="219"/>
        <v>AVERAGE</v>
      </c>
      <c r="S2759" t="s">
        <v>620</v>
      </c>
    </row>
    <row r="2760" spans="1:19" x14ac:dyDescent="0.2">
      <c r="A2760" t="s">
        <v>3371</v>
      </c>
      <c r="B2760" t="s">
        <v>83</v>
      </c>
      <c r="C2760" t="s">
        <v>607</v>
      </c>
      <c r="D2760">
        <v>3512.53</v>
      </c>
      <c r="E2760" s="37" t="str">
        <f t="shared" si="215"/>
        <v xml:space="preserve"> </v>
      </c>
      <c r="F2760">
        <v>0.35</v>
      </c>
      <c r="G2760" s="37" t="str">
        <f t="shared" si="216"/>
        <v>Heavy Discount</v>
      </c>
      <c r="H2760" s="37" t="str">
        <f t="shared" si="217"/>
        <v>Medium</v>
      </c>
      <c r="I2760">
        <v>5</v>
      </c>
      <c r="J2760" t="str" cm="1">
        <f t="array" ref="J2760">_xlfn.IFS(I2760&lt;=3,"small",I2760&lt;=6,"Medium",I2760&lt;=9,"Large")</f>
        <v>Medium</v>
      </c>
      <c r="K2760" s="36">
        <v>45400</v>
      </c>
      <c r="L2760" s="36">
        <v>45407</v>
      </c>
      <c r="M2760" t="s">
        <v>603</v>
      </c>
      <c r="N2760" t="s">
        <v>604</v>
      </c>
      <c r="O2760" s="37" t="str">
        <f t="shared" si="218"/>
        <v>Digital Payment</v>
      </c>
      <c r="P2760">
        <v>519.08000000000004</v>
      </c>
      <c r="Q2760" s="37" t="str">
        <f>IF(P2760&gt;500,"High","low")</f>
        <v>High</v>
      </c>
      <c r="R2760" s="37" t="str">
        <f t="shared" si="219"/>
        <v>Good</v>
      </c>
      <c r="S2760" t="s">
        <v>620</v>
      </c>
    </row>
    <row r="2761" spans="1:19" x14ac:dyDescent="0.2">
      <c r="A2761" t="s">
        <v>3372</v>
      </c>
      <c r="B2761" t="s">
        <v>90</v>
      </c>
      <c r="C2761" t="s">
        <v>602</v>
      </c>
      <c r="D2761">
        <v>4346.8599999999997</v>
      </c>
      <c r="E2761" s="37" t="str">
        <f t="shared" si="215"/>
        <v>Excellent Order</v>
      </c>
      <c r="F2761">
        <v>0.28000000000000003</v>
      </c>
      <c r="G2761" s="37" t="str">
        <f t="shared" si="216"/>
        <v>Normal Discount</v>
      </c>
      <c r="H2761" s="37" t="str">
        <f t="shared" si="217"/>
        <v>Medium</v>
      </c>
      <c r="I2761">
        <v>3</v>
      </c>
      <c r="J2761" t="str" cm="1">
        <f t="array" ref="J2761">_xlfn.IFS(I2761&lt;=3,"small",I2761&lt;=6,"Medium",I2761&lt;=9,"Large")</f>
        <v>small</v>
      </c>
      <c r="K2761" s="36">
        <v>45348</v>
      </c>
      <c r="L2761" s="36">
        <v>45349</v>
      </c>
      <c r="M2761" t="s">
        <v>612</v>
      </c>
      <c r="N2761" t="s">
        <v>604</v>
      </c>
      <c r="O2761" s="37" t="str">
        <f t="shared" si="218"/>
        <v>Digital Payment</v>
      </c>
      <c r="P2761">
        <v>1029.75</v>
      </c>
      <c r="Q2761" s="37" t="str">
        <f>IF(P2761&gt;500,"High","low")</f>
        <v>High</v>
      </c>
      <c r="R2761" s="37" t="str">
        <f t="shared" si="219"/>
        <v>Excellent</v>
      </c>
      <c r="S2761" t="s">
        <v>628</v>
      </c>
    </row>
    <row r="2762" spans="1:19" x14ac:dyDescent="0.2">
      <c r="A2762" t="s">
        <v>3373</v>
      </c>
      <c r="B2762" t="s">
        <v>83</v>
      </c>
      <c r="C2762" t="s">
        <v>597</v>
      </c>
      <c r="D2762">
        <v>1281.93</v>
      </c>
      <c r="E2762" s="37" t="str">
        <f t="shared" si="215"/>
        <v xml:space="preserve"> </v>
      </c>
      <c r="F2762">
        <v>0.4</v>
      </c>
      <c r="G2762" s="37" t="str">
        <f t="shared" si="216"/>
        <v>Heavy Discount</v>
      </c>
      <c r="H2762" s="37" t="str">
        <f t="shared" si="217"/>
        <v>Medium</v>
      </c>
      <c r="I2762">
        <v>2</v>
      </c>
      <c r="J2762" t="str" cm="1">
        <f t="array" ref="J2762">_xlfn.IFS(I2762&lt;=3,"small",I2762&lt;=6,"Medium",I2762&lt;=9,"Large")</f>
        <v>small</v>
      </c>
      <c r="K2762" s="36">
        <v>45459</v>
      </c>
      <c r="L2762" s="36">
        <v>45465</v>
      </c>
      <c r="M2762" t="s">
        <v>603</v>
      </c>
      <c r="N2762" t="s">
        <v>608</v>
      </c>
      <c r="O2762" s="37" t="str">
        <f t="shared" si="218"/>
        <v>Cash Payment</v>
      </c>
      <c r="P2762">
        <v>199.03</v>
      </c>
      <c r="Q2762" s="37" t="str">
        <f>IF(P2762&gt;500,"High","low")</f>
        <v>low</v>
      </c>
      <c r="R2762" s="37" t="str">
        <f t="shared" si="219"/>
        <v>AVERAGE</v>
      </c>
      <c r="S2762" t="s">
        <v>609</v>
      </c>
    </row>
    <row r="2763" spans="1:19" x14ac:dyDescent="0.2">
      <c r="A2763" t="s">
        <v>3374</v>
      </c>
      <c r="B2763" t="s">
        <v>75</v>
      </c>
      <c r="C2763" t="s">
        <v>614</v>
      </c>
      <c r="D2763">
        <v>1036.51</v>
      </c>
      <c r="E2763" s="37" t="str">
        <f t="shared" si="215"/>
        <v xml:space="preserve"> </v>
      </c>
      <c r="F2763">
        <v>0.12</v>
      </c>
      <c r="G2763" s="37" t="str">
        <f t="shared" si="216"/>
        <v>Normal Discount</v>
      </c>
      <c r="H2763" s="37" t="str">
        <f t="shared" si="217"/>
        <v>Low</v>
      </c>
      <c r="I2763">
        <v>7</v>
      </c>
      <c r="J2763" t="str" cm="1">
        <f t="array" ref="J2763">_xlfn.IFS(I2763&lt;=3,"small",I2763&lt;=6,"Medium",I2763&lt;=9,"Large")</f>
        <v>Large</v>
      </c>
      <c r="K2763" s="36">
        <v>45212</v>
      </c>
      <c r="L2763" s="36">
        <v>45217</v>
      </c>
      <c r="M2763" t="s">
        <v>603</v>
      </c>
      <c r="N2763" t="s">
        <v>599</v>
      </c>
      <c r="O2763" s="37" t="str">
        <f t="shared" si="218"/>
        <v>Digital Payment</v>
      </c>
      <c r="P2763">
        <v>206.5</v>
      </c>
      <c r="Q2763" s="37" t="str">
        <f>IF(P2763&gt;500,"High","low")</f>
        <v>low</v>
      </c>
      <c r="R2763" s="37" t="str">
        <f t="shared" si="219"/>
        <v>AVERAGE</v>
      </c>
      <c r="S2763" t="s">
        <v>605</v>
      </c>
    </row>
    <row r="2764" spans="1:19" x14ac:dyDescent="0.2">
      <c r="A2764" t="s">
        <v>3375</v>
      </c>
      <c r="B2764" t="s">
        <v>90</v>
      </c>
      <c r="C2764" t="s">
        <v>602</v>
      </c>
      <c r="D2764">
        <v>3384.5</v>
      </c>
      <c r="E2764" s="37" t="str">
        <f t="shared" si="215"/>
        <v xml:space="preserve"> </v>
      </c>
      <c r="F2764">
        <v>0.4</v>
      </c>
      <c r="G2764" s="37" t="str">
        <f t="shared" si="216"/>
        <v>Heavy Discount</v>
      </c>
      <c r="H2764" s="37" t="str">
        <f t="shared" si="217"/>
        <v>Medium</v>
      </c>
      <c r="I2764">
        <v>8</v>
      </c>
      <c r="J2764" t="str" cm="1">
        <f t="array" ref="J2764">_xlfn.IFS(I2764&lt;=3,"small",I2764&lt;=6,"Medium",I2764&lt;=9,"Large")</f>
        <v>Large</v>
      </c>
      <c r="K2764" s="36">
        <v>44964</v>
      </c>
      <c r="L2764" s="36">
        <v>44971</v>
      </c>
      <c r="M2764" t="s">
        <v>598</v>
      </c>
      <c r="N2764" t="s">
        <v>608</v>
      </c>
      <c r="O2764" s="37" t="str">
        <f t="shared" si="218"/>
        <v>Cash Payment</v>
      </c>
      <c r="P2764">
        <v>254.28</v>
      </c>
      <c r="Q2764" s="37" t="str">
        <f>IF(P2764&gt;500,"High","low")</f>
        <v>low</v>
      </c>
      <c r="R2764" s="37" t="str">
        <f t="shared" si="219"/>
        <v>AVERAGE</v>
      </c>
      <c r="S2764" t="s">
        <v>628</v>
      </c>
    </row>
    <row r="2765" spans="1:19" x14ac:dyDescent="0.2">
      <c r="A2765" t="s">
        <v>3376</v>
      </c>
      <c r="B2765" t="s">
        <v>75</v>
      </c>
      <c r="C2765" t="s">
        <v>614</v>
      </c>
      <c r="D2765">
        <v>3141.93</v>
      </c>
      <c r="E2765" s="37" t="str">
        <f t="shared" si="215"/>
        <v xml:space="preserve"> </v>
      </c>
      <c r="F2765">
        <v>0.15</v>
      </c>
      <c r="G2765" s="37" t="str">
        <f t="shared" si="216"/>
        <v>Normal Discount</v>
      </c>
      <c r="H2765" s="37" t="str">
        <f t="shared" si="217"/>
        <v>Low</v>
      </c>
      <c r="I2765">
        <v>4</v>
      </c>
      <c r="J2765" t="str" cm="1">
        <f t="array" ref="J2765">_xlfn.IFS(I2765&lt;=3,"small",I2765&lt;=6,"Medium",I2765&lt;=9,"Large")</f>
        <v>Medium</v>
      </c>
      <c r="K2765" s="36">
        <v>45051</v>
      </c>
      <c r="L2765" s="36">
        <v>45057</v>
      </c>
      <c r="M2765" t="s">
        <v>603</v>
      </c>
      <c r="N2765" t="s">
        <v>599</v>
      </c>
      <c r="O2765" s="37" t="str">
        <f t="shared" si="218"/>
        <v>Digital Payment</v>
      </c>
      <c r="P2765">
        <v>894.55</v>
      </c>
      <c r="Q2765" s="37" t="str">
        <f>IF(P2765&gt;500,"High","low")</f>
        <v>High</v>
      </c>
      <c r="R2765" s="37" t="str">
        <f t="shared" si="219"/>
        <v>Good</v>
      </c>
      <c r="S2765" t="s">
        <v>609</v>
      </c>
    </row>
    <row r="2766" spans="1:19" x14ac:dyDescent="0.2">
      <c r="A2766" t="s">
        <v>3377</v>
      </c>
      <c r="B2766" t="s">
        <v>75</v>
      </c>
      <c r="C2766" t="s">
        <v>602</v>
      </c>
      <c r="D2766">
        <v>2291.54</v>
      </c>
      <c r="E2766" s="37" t="str">
        <f t="shared" si="215"/>
        <v xml:space="preserve"> </v>
      </c>
      <c r="F2766">
        <v>0.06</v>
      </c>
      <c r="G2766" s="37" t="str">
        <f t="shared" si="216"/>
        <v>Normal Discount</v>
      </c>
      <c r="H2766" s="37" t="str">
        <f t="shared" si="217"/>
        <v>Low</v>
      </c>
      <c r="I2766">
        <v>4</v>
      </c>
      <c r="J2766" t="str" cm="1">
        <f t="array" ref="J2766">_xlfn.IFS(I2766&lt;=3,"small",I2766&lt;=6,"Medium",I2766&lt;=9,"Large")</f>
        <v>Medium</v>
      </c>
      <c r="K2766" s="36">
        <v>45241</v>
      </c>
      <c r="L2766" s="36">
        <v>45248</v>
      </c>
      <c r="M2766" t="s">
        <v>598</v>
      </c>
      <c r="N2766" t="s">
        <v>604</v>
      </c>
      <c r="O2766" s="37" t="str">
        <f t="shared" si="218"/>
        <v>Digital Payment</v>
      </c>
      <c r="P2766">
        <v>194.21</v>
      </c>
      <c r="Q2766" s="37" t="str">
        <f>IF(P2766&gt;500,"High","low")</f>
        <v>low</v>
      </c>
      <c r="R2766" s="37" t="str">
        <f t="shared" si="219"/>
        <v>AVERAGE</v>
      </c>
      <c r="S2766" t="s">
        <v>600</v>
      </c>
    </row>
    <row r="2767" spans="1:19" x14ac:dyDescent="0.2">
      <c r="A2767" t="s">
        <v>3378</v>
      </c>
      <c r="B2767" t="s">
        <v>67</v>
      </c>
      <c r="C2767" t="s">
        <v>617</v>
      </c>
      <c r="D2767">
        <v>569.72</v>
      </c>
      <c r="E2767" s="37" t="str">
        <f t="shared" si="215"/>
        <v xml:space="preserve"> </v>
      </c>
      <c r="F2767">
        <v>7.0000000000000007E-2</v>
      </c>
      <c r="G2767" s="37" t="str">
        <f t="shared" si="216"/>
        <v>Normal Discount</v>
      </c>
      <c r="H2767" s="37" t="str">
        <f t="shared" si="217"/>
        <v>Low</v>
      </c>
      <c r="I2767">
        <v>9</v>
      </c>
      <c r="J2767" t="str" cm="1">
        <f t="array" ref="J2767">_xlfn.IFS(I2767&lt;=3,"small",I2767&lt;=6,"Medium",I2767&lt;=9,"Large")</f>
        <v>Large</v>
      </c>
      <c r="K2767" s="36">
        <v>45497</v>
      </c>
      <c r="L2767" s="36">
        <v>45499</v>
      </c>
      <c r="M2767" t="s">
        <v>612</v>
      </c>
      <c r="N2767" t="s">
        <v>599</v>
      </c>
      <c r="O2767" s="37" t="str">
        <f t="shared" si="218"/>
        <v>Digital Payment</v>
      </c>
      <c r="P2767">
        <v>120.94</v>
      </c>
      <c r="Q2767" s="37" t="str">
        <f>IF(P2767&gt;500,"High","low")</f>
        <v>low</v>
      </c>
      <c r="R2767" s="37" t="str">
        <f t="shared" si="219"/>
        <v>AVERAGE</v>
      </c>
      <c r="S2767" t="s">
        <v>628</v>
      </c>
    </row>
    <row r="2768" spans="1:19" x14ac:dyDescent="0.2">
      <c r="A2768" t="s">
        <v>3379</v>
      </c>
      <c r="B2768" t="s">
        <v>83</v>
      </c>
      <c r="C2768" t="s">
        <v>597</v>
      </c>
      <c r="D2768">
        <v>549.75</v>
      </c>
      <c r="E2768" s="37" t="str">
        <f t="shared" si="215"/>
        <v xml:space="preserve"> </v>
      </c>
      <c r="F2768">
        <v>0.11</v>
      </c>
      <c r="G2768" s="37" t="str">
        <f t="shared" si="216"/>
        <v>Normal Discount</v>
      </c>
      <c r="H2768" s="37" t="str">
        <f t="shared" si="217"/>
        <v>Low</v>
      </c>
      <c r="I2768">
        <v>4</v>
      </c>
      <c r="J2768" t="str" cm="1">
        <f t="array" ref="J2768">_xlfn.IFS(I2768&lt;=3,"small",I2768&lt;=6,"Medium",I2768&lt;=9,"Large")</f>
        <v>Medium</v>
      </c>
      <c r="K2768" s="36">
        <v>44970</v>
      </c>
      <c r="L2768" s="36">
        <v>44973</v>
      </c>
      <c r="M2768" t="s">
        <v>603</v>
      </c>
      <c r="N2768" t="s">
        <v>608</v>
      </c>
      <c r="O2768" s="37" t="str">
        <f t="shared" si="218"/>
        <v>Cash Payment</v>
      </c>
      <c r="P2768">
        <v>50.37</v>
      </c>
      <c r="Q2768" s="37" t="str">
        <f>IF(P2768&gt;500,"High","low")</f>
        <v>low</v>
      </c>
      <c r="R2768" s="37" t="str">
        <f t="shared" si="219"/>
        <v>AVERAGE</v>
      </c>
      <c r="S2768" t="s">
        <v>609</v>
      </c>
    </row>
    <row r="2769" spans="1:19" x14ac:dyDescent="0.2">
      <c r="A2769" t="s">
        <v>3380</v>
      </c>
      <c r="B2769" t="s">
        <v>90</v>
      </c>
      <c r="C2769" t="s">
        <v>617</v>
      </c>
      <c r="D2769">
        <v>3908.97</v>
      </c>
      <c r="E2769" s="37" t="str">
        <f t="shared" si="215"/>
        <v xml:space="preserve"> </v>
      </c>
      <c r="F2769">
        <v>0.34</v>
      </c>
      <c r="G2769" s="37" t="str">
        <f t="shared" si="216"/>
        <v>Heavy Discount</v>
      </c>
      <c r="H2769" s="37" t="str">
        <f t="shared" si="217"/>
        <v>Medium</v>
      </c>
      <c r="I2769">
        <v>3</v>
      </c>
      <c r="J2769" t="str" cm="1">
        <f t="array" ref="J2769">_xlfn.IFS(I2769&lt;=3,"small",I2769&lt;=6,"Medium",I2769&lt;=9,"Large")</f>
        <v>small</v>
      </c>
      <c r="K2769" s="36">
        <v>45258</v>
      </c>
      <c r="L2769" s="36">
        <v>45263</v>
      </c>
      <c r="M2769" t="s">
        <v>598</v>
      </c>
      <c r="N2769" t="s">
        <v>608</v>
      </c>
      <c r="O2769" s="37" t="str">
        <f t="shared" si="218"/>
        <v>Cash Payment</v>
      </c>
      <c r="P2769">
        <v>1157.28</v>
      </c>
      <c r="Q2769" s="37" t="str">
        <f>IF(P2769&gt;500,"High","low")</f>
        <v>High</v>
      </c>
      <c r="R2769" s="37" t="str">
        <f t="shared" si="219"/>
        <v>Excellent</v>
      </c>
      <c r="S2769" t="s">
        <v>609</v>
      </c>
    </row>
    <row r="2770" spans="1:19" x14ac:dyDescent="0.2">
      <c r="A2770" t="s">
        <v>3381</v>
      </c>
      <c r="B2770" t="s">
        <v>75</v>
      </c>
      <c r="C2770" t="s">
        <v>602</v>
      </c>
      <c r="D2770">
        <v>2313.67</v>
      </c>
      <c r="E2770" s="37" t="str">
        <f t="shared" si="215"/>
        <v xml:space="preserve"> </v>
      </c>
      <c r="F2770">
        <v>0.12</v>
      </c>
      <c r="G2770" s="37" t="str">
        <f t="shared" si="216"/>
        <v>Normal Discount</v>
      </c>
      <c r="H2770" s="37" t="str">
        <f t="shared" si="217"/>
        <v>Low</v>
      </c>
      <c r="I2770">
        <v>1</v>
      </c>
      <c r="J2770" t="str" cm="1">
        <f t="array" ref="J2770">_xlfn.IFS(I2770&lt;=3,"small",I2770&lt;=6,"Medium",I2770&lt;=9,"Large")</f>
        <v>small</v>
      </c>
      <c r="K2770" s="36">
        <v>45469</v>
      </c>
      <c r="L2770" s="36">
        <v>45472</v>
      </c>
      <c r="M2770" t="s">
        <v>598</v>
      </c>
      <c r="N2770" t="s">
        <v>599</v>
      </c>
      <c r="O2770" s="37" t="str">
        <f t="shared" si="218"/>
        <v>Digital Payment</v>
      </c>
      <c r="P2770">
        <v>481.71</v>
      </c>
      <c r="Q2770" s="37" t="str">
        <f>IF(P2770&gt;500,"High","low")</f>
        <v>low</v>
      </c>
      <c r="R2770" s="37" t="str">
        <f t="shared" si="219"/>
        <v>AVERAGE</v>
      </c>
      <c r="S2770" t="s">
        <v>620</v>
      </c>
    </row>
    <row r="2771" spans="1:19" x14ac:dyDescent="0.2">
      <c r="A2771" t="s">
        <v>3382</v>
      </c>
      <c r="B2771" t="s">
        <v>75</v>
      </c>
      <c r="C2771" t="s">
        <v>607</v>
      </c>
      <c r="D2771">
        <v>4304.04</v>
      </c>
      <c r="E2771" s="37" t="str">
        <f t="shared" si="215"/>
        <v xml:space="preserve"> </v>
      </c>
      <c r="F2771">
        <v>0.3</v>
      </c>
      <c r="G2771" s="37" t="str">
        <f t="shared" si="216"/>
        <v>Normal Discount</v>
      </c>
      <c r="H2771" s="37" t="str">
        <f t="shared" si="217"/>
        <v>Medium</v>
      </c>
      <c r="I2771">
        <v>3</v>
      </c>
      <c r="J2771" t="str" cm="1">
        <f t="array" ref="J2771">_xlfn.IFS(I2771&lt;=3,"small",I2771&lt;=6,"Medium",I2771&lt;=9,"Large")</f>
        <v>small</v>
      </c>
      <c r="K2771" s="36">
        <v>45091</v>
      </c>
      <c r="L2771" s="36">
        <v>45096</v>
      </c>
      <c r="M2771" t="s">
        <v>603</v>
      </c>
      <c r="N2771" t="s">
        <v>604</v>
      </c>
      <c r="O2771" s="37" t="str">
        <f t="shared" si="218"/>
        <v>Digital Payment</v>
      </c>
      <c r="P2771">
        <v>775.25</v>
      </c>
      <c r="Q2771" s="37" t="str">
        <f>IF(P2771&gt;500,"High","low")</f>
        <v>High</v>
      </c>
      <c r="R2771" s="37" t="str">
        <f t="shared" si="219"/>
        <v>Good</v>
      </c>
      <c r="S2771" t="s">
        <v>615</v>
      </c>
    </row>
    <row r="2772" spans="1:19" x14ac:dyDescent="0.2">
      <c r="A2772" t="s">
        <v>3383</v>
      </c>
      <c r="B2772" t="s">
        <v>90</v>
      </c>
      <c r="C2772" t="s">
        <v>617</v>
      </c>
      <c r="D2772">
        <v>2916.19</v>
      </c>
      <c r="E2772" s="37" t="str">
        <f t="shared" si="215"/>
        <v xml:space="preserve"> </v>
      </c>
      <c r="F2772">
        <v>0.13</v>
      </c>
      <c r="G2772" s="37" t="str">
        <f t="shared" si="216"/>
        <v>Normal Discount</v>
      </c>
      <c r="H2772" s="37" t="str">
        <f t="shared" si="217"/>
        <v>Low</v>
      </c>
      <c r="I2772">
        <v>5</v>
      </c>
      <c r="J2772" t="str" cm="1">
        <f t="array" ref="J2772">_xlfn.IFS(I2772&lt;=3,"small",I2772&lt;=6,"Medium",I2772&lt;=9,"Large")</f>
        <v>Medium</v>
      </c>
      <c r="K2772" s="36">
        <v>45284</v>
      </c>
      <c r="L2772" s="36">
        <v>45291</v>
      </c>
      <c r="M2772" t="s">
        <v>603</v>
      </c>
      <c r="N2772" t="s">
        <v>599</v>
      </c>
      <c r="O2772" s="37" t="str">
        <f t="shared" si="218"/>
        <v>Digital Payment</v>
      </c>
      <c r="P2772">
        <v>762.19</v>
      </c>
      <c r="Q2772" s="37" t="str">
        <f>IF(P2772&gt;500,"High","low")</f>
        <v>High</v>
      </c>
      <c r="R2772" s="37" t="str">
        <f t="shared" si="219"/>
        <v>Good</v>
      </c>
      <c r="S2772" t="s">
        <v>615</v>
      </c>
    </row>
    <row r="2773" spans="1:19" x14ac:dyDescent="0.2">
      <c r="A2773" t="s">
        <v>3384</v>
      </c>
      <c r="B2773" t="s">
        <v>75</v>
      </c>
      <c r="C2773" t="s">
        <v>607</v>
      </c>
      <c r="D2773">
        <v>3131.82</v>
      </c>
      <c r="E2773" s="37" t="str">
        <f t="shared" si="215"/>
        <v xml:space="preserve"> </v>
      </c>
      <c r="F2773">
        <v>0.18</v>
      </c>
      <c r="G2773" s="37" t="str">
        <f t="shared" si="216"/>
        <v>Normal Discount</v>
      </c>
      <c r="H2773" s="37" t="str">
        <f t="shared" si="217"/>
        <v>Low</v>
      </c>
      <c r="I2773">
        <v>2</v>
      </c>
      <c r="J2773" t="str" cm="1">
        <f t="array" ref="J2773">_xlfn.IFS(I2773&lt;=3,"small",I2773&lt;=6,"Medium",I2773&lt;=9,"Large")</f>
        <v>small</v>
      </c>
      <c r="K2773" s="36">
        <v>45438</v>
      </c>
      <c r="L2773" s="36">
        <v>45441</v>
      </c>
      <c r="M2773" t="s">
        <v>598</v>
      </c>
      <c r="N2773" t="s">
        <v>604</v>
      </c>
      <c r="O2773" s="37" t="str">
        <f t="shared" si="218"/>
        <v>Digital Payment</v>
      </c>
      <c r="P2773">
        <v>290.35000000000002</v>
      </c>
      <c r="Q2773" s="37" t="str">
        <f>IF(P2773&gt;500,"High","low")</f>
        <v>low</v>
      </c>
      <c r="R2773" s="37" t="str">
        <f t="shared" si="219"/>
        <v>AVERAGE</v>
      </c>
      <c r="S2773" t="s">
        <v>615</v>
      </c>
    </row>
    <row r="2774" spans="1:19" x14ac:dyDescent="0.2">
      <c r="A2774" t="s">
        <v>3385</v>
      </c>
      <c r="B2774" t="s">
        <v>67</v>
      </c>
      <c r="C2774" t="s">
        <v>602</v>
      </c>
      <c r="D2774">
        <v>4677.55</v>
      </c>
      <c r="E2774" s="37" t="str">
        <f t="shared" si="215"/>
        <v xml:space="preserve"> </v>
      </c>
      <c r="F2774">
        <v>0.44</v>
      </c>
      <c r="G2774" s="37" t="str">
        <f t="shared" si="216"/>
        <v>Heavy Discount</v>
      </c>
      <c r="H2774" s="37" t="str">
        <f t="shared" si="217"/>
        <v>High</v>
      </c>
      <c r="I2774">
        <v>5</v>
      </c>
      <c r="J2774" t="str" cm="1">
        <f t="array" ref="J2774">_xlfn.IFS(I2774&lt;=3,"small",I2774&lt;=6,"Medium",I2774&lt;=9,"Large")</f>
        <v>Medium</v>
      </c>
      <c r="K2774" s="36">
        <v>45637</v>
      </c>
      <c r="L2774" s="36">
        <v>45644</v>
      </c>
      <c r="M2774" t="s">
        <v>598</v>
      </c>
      <c r="N2774" t="s">
        <v>608</v>
      </c>
      <c r="O2774" s="37" t="str">
        <f t="shared" si="218"/>
        <v>Cash Payment</v>
      </c>
      <c r="P2774">
        <v>730.31</v>
      </c>
      <c r="Q2774" s="37" t="str">
        <f>IF(P2774&gt;500,"High","low")</f>
        <v>High</v>
      </c>
      <c r="R2774" s="37" t="str">
        <f t="shared" si="219"/>
        <v>Good</v>
      </c>
      <c r="S2774" t="s">
        <v>605</v>
      </c>
    </row>
    <row r="2775" spans="1:19" x14ac:dyDescent="0.2">
      <c r="A2775" t="s">
        <v>3386</v>
      </c>
      <c r="B2775" t="s">
        <v>67</v>
      </c>
      <c r="C2775" t="s">
        <v>597</v>
      </c>
      <c r="D2775">
        <v>906.62</v>
      </c>
      <c r="E2775" s="37" t="str">
        <f t="shared" si="215"/>
        <v xml:space="preserve"> </v>
      </c>
      <c r="F2775">
        <v>0.25</v>
      </c>
      <c r="G2775" s="37" t="str">
        <f t="shared" si="216"/>
        <v>Normal Discount</v>
      </c>
      <c r="H2775" s="37" t="str">
        <f t="shared" si="217"/>
        <v>Medium</v>
      </c>
      <c r="I2775">
        <v>9</v>
      </c>
      <c r="J2775" t="str" cm="1">
        <f t="array" ref="J2775">_xlfn.IFS(I2775&lt;=3,"small",I2775&lt;=6,"Medium",I2775&lt;=9,"Large")</f>
        <v>Large</v>
      </c>
      <c r="K2775" s="36">
        <v>45381</v>
      </c>
      <c r="L2775" s="36">
        <v>45388</v>
      </c>
      <c r="M2775" t="s">
        <v>612</v>
      </c>
      <c r="N2775" t="s">
        <v>608</v>
      </c>
      <c r="O2775" s="37" t="str">
        <f t="shared" si="218"/>
        <v>Cash Payment</v>
      </c>
      <c r="P2775">
        <v>266.83999999999997</v>
      </c>
      <c r="Q2775" s="37" t="str">
        <f>IF(P2775&gt;500,"High","low")</f>
        <v>low</v>
      </c>
      <c r="R2775" s="37" t="str">
        <f t="shared" si="219"/>
        <v>AVERAGE</v>
      </c>
      <c r="S2775" t="s">
        <v>600</v>
      </c>
    </row>
    <row r="2776" spans="1:19" x14ac:dyDescent="0.2">
      <c r="A2776" t="s">
        <v>3387</v>
      </c>
      <c r="B2776" t="s">
        <v>67</v>
      </c>
      <c r="C2776" t="s">
        <v>607</v>
      </c>
      <c r="D2776">
        <v>2760.82</v>
      </c>
      <c r="E2776" s="37" t="str">
        <f t="shared" si="215"/>
        <v xml:space="preserve"> </v>
      </c>
      <c r="F2776">
        <v>0.3</v>
      </c>
      <c r="G2776" s="37" t="str">
        <f t="shared" si="216"/>
        <v>Normal Discount</v>
      </c>
      <c r="H2776" s="37" t="str">
        <f t="shared" si="217"/>
        <v>Medium</v>
      </c>
      <c r="I2776">
        <v>6</v>
      </c>
      <c r="J2776" t="str" cm="1">
        <f t="array" ref="J2776">_xlfn.IFS(I2776&lt;=3,"small",I2776&lt;=6,"Medium",I2776&lt;=9,"Large")</f>
        <v>Medium</v>
      </c>
      <c r="K2776" s="36">
        <v>45145</v>
      </c>
      <c r="L2776" s="36">
        <v>45149</v>
      </c>
      <c r="M2776" t="s">
        <v>612</v>
      </c>
      <c r="N2776" t="s">
        <v>608</v>
      </c>
      <c r="O2776" s="37" t="str">
        <f t="shared" si="218"/>
        <v>Cash Payment</v>
      </c>
      <c r="P2776">
        <v>487.84</v>
      </c>
      <c r="Q2776" s="37" t="str">
        <f>IF(P2776&gt;500,"High","low")</f>
        <v>low</v>
      </c>
      <c r="R2776" s="37" t="str">
        <f t="shared" si="219"/>
        <v>AVERAGE</v>
      </c>
      <c r="S2776" t="s">
        <v>605</v>
      </c>
    </row>
    <row r="2777" spans="1:19" x14ac:dyDescent="0.2">
      <c r="A2777" t="s">
        <v>3388</v>
      </c>
      <c r="B2777" t="s">
        <v>67</v>
      </c>
      <c r="C2777" t="s">
        <v>602</v>
      </c>
      <c r="D2777">
        <v>384.88</v>
      </c>
      <c r="E2777" s="37" t="str">
        <f t="shared" si="215"/>
        <v xml:space="preserve"> </v>
      </c>
      <c r="F2777">
        <v>0.09</v>
      </c>
      <c r="G2777" s="37" t="str">
        <f t="shared" si="216"/>
        <v>Normal Discount</v>
      </c>
      <c r="H2777" s="37" t="str">
        <f t="shared" si="217"/>
        <v>Low</v>
      </c>
      <c r="I2777">
        <v>3</v>
      </c>
      <c r="J2777" t="str" cm="1">
        <f t="array" ref="J2777">_xlfn.IFS(I2777&lt;=3,"small",I2777&lt;=6,"Medium",I2777&lt;=9,"Large")</f>
        <v>small</v>
      </c>
      <c r="K2777" s="36">
        <v>45592</v>
      </c>
      <c r="L2777" s="36">
        <v>45595</v>
      </c>
      <c r="M2777" t="s">
        <v>612</v>
      </c>
      <c r="N2777" t="s">
        <v>608</v>
      </c>
      <c r="O2777" s="37" t="str">
        <f t="shared" si="218"/>
        <v>Cash Payment</v>
      </c>
      <c r="P2777">
        <v>79.77</v>
      </c>
      <c r="Q2777" s="37" t="str">
        <f>IF(P2777&gt;500,"High","low")</f>
        <v>low</v>
      </c>
      <c r="R2777" s="37" t="str">
        <f t="shared" si="219"/>
        <v>AVERAGE</v>
      </c>
      <c r="S2777" t="s">
        <v>609</v>
      </c>
    </row>
    <row r="2778" spans="1:19" x14ac:dyDescent="0.2">
      <c r="A2778" t="s">
        <v>3389</v>
      </c>
      <c r="B2778" t="s">
        <v>75</v>
      </c>
      <c r="C2778" t="s">
        <v>607</v>
      </c>
      <c r="D2778">
        <v>1858.73</v>
      </c>
      <c r="E2778" s="37" t="str">
        <f t="shared" si="215"/>
        <v xml:space="preserve"> </v>
      </c>
      <c r="F2778">
        <v>7.0000000000000007E-2</v>
      </c>
      <c r="G2778" s="37" t="str">
        <f t="shared" si="216"/>
        <v>Normal Discount</v>
      </c>
      <c r="H2778" s="37" t="str">
        <f t="shared" si="217"/>
        <v>Low</v>
      </c>
      <c r="I2778">
        <v>5</v>
      </c>
      <c r="J2778" t="str" cm="1">
        <f t="array" ref="J2778">_xlfn.IFS(I2778&lt;=3,"small",I2778&lt;=6,"Medium",I2778&lt;=9,"Large")</f>
        <v>Medium</v>
      </c>
      <c r="K2778" s="36">
        <v>45110</v>
      </c>
      <c r="L2778" s="36">
        <v>45112</v>
      </c>
      <c r="M2778" t="s">
        <v>603</v>
      </c>
      <c r="N2778" t="s">
        <v>599</v>
      </c>
      <c r="O2778" s="37" t="str">
        <f t="shared" si="218"/>
        <v>Digital Payment</v>
      </c>
      <c r="P2778">
        <v>124.59</v>
      </c>
      <c r="Q2778" s="37" t="str">
        <f>IF(P2778&gt;500,"High","low")</f>
        <v>low</v>
      </c>
      <c r="R2778" s="37" t="str">
        <f t="shared" si="219"/>
        <v>AVERAGE</v>
      </c>
      <c r="S2778" t="s">
        <v>615</v>
      </c>
    </row>
    <row r="2779" spans="1:19" x14ac:dyDescent="0.2">
      <c r="A2779" t="s">
        <v>3390</v>
      </c>
      <c r="B2779" t="s">
        <v>90</v>
      </c>
      <c r="C2779" t="s">
        <v>617</v>
      </c>
      <c r="D2779">
        <v>825.68</v>
      </c>
      <c r="E2779" s="37" t="str">
        <f t="shared" si="215"/>
        <v xml:space="preserve"> </v>
      </c>
      <c r="F2779">
        <v>0.21</v>
      </c>
      <c r="G2779" s="37" t="str">
        <f t="shared" si="216"/>
        <v>Normal Discount</v>
      </c>
      <c r="H2779" s="37" t="str">
        <f t="shared" si="217"/>
        <v>Medium</v>
      </c>
      <c r="I2779">
        <v>1</v>
      </c>
      <c r="J2779" t="str" cm="1">
        <f t="array" ref="J2779">_xlfn.IFS(I2779&lt;=3,"small",I2779&lt;=6,"Medium",I2779&lt;=9,"Large")</f>
        <v>small</v>
      </c>
      <c r="K2779" s="36">
        <v>45309</v>
      </c>
      <c r="L2779" s="36">
        <v>45314</v>
      </c>
      <c r="M2779" t="s">
        <v>603</v>
      </c>
      <c r="N2779" t="s">
        <v>604</v>
      </c>
      <c r="O2779" s="37" t="str">
        <f t="shared" si="218"/>
        <v>Digital Payment</v>
      </c>
      <c r="P2779">
        <v>56.14</v>
      </c>
      <c r="Q2779" s="37" t="str">
        <f>IF(P2779&gt;500,"High","low")</f>
        <v>low</v>
      </c>
      <c r="R2779" s="37" t="str">
        <f t="shared" si="219"/>
        <v>AVERAGE</v>
      </c>
      <c r="S2779" t="s">
        <v>628</v>
      </c>
    </row>
    <row r="2780" spans="1:19" x14ac:dyDescent="0.2">
      <c r="A2780" t="s">
        <v>3391</v>
      </c>
      <c r="B2780" t="s">
        <v>90</v>
      </c>
      <c r="C2780" t="s">
        <v>602</v>
      </c>
      <c r="D2780">
        <v>1020.4</v>
      </c>
      <c r="E2780" s="37" t="str">
        <f t="shared" si="215"/>
        <v xml:space="preserve"> </v>
      </c>
      <c r="F2780">
        <v>0.43</v>
      </c>
      <c r="G2780" s="37" t="str">
        <f t="shared" si="216"/>
        <v>Heavy Discount</v>
      </c>
      <c r="H2780" s="37" t="str">
        <f t="shared" si="217"/>
        <v>High</v>
      </c>
      <c r="I2780">
        <v>8</v>
      </c>
      <c r="J2780" t="str" cm="1">
        <f t="array" ref="J2780">_xlfn.IFS(I2780&lt;=3,"small",I2780&lt;=6,"Medium",I2780&lt;=9,"Large")</f>
        <v>Large</v>
      </c>
      <c r="K2780" s="36">
        <v>45225</v>
      </c>
      <c r="L2780" s="36">
        <v>45226</v>
      </c>
      <c r="M2780" t="s">
        <v>612</v>
      </c>
      <c r="N2780" t="s">
        <v>604</v>
      </c>
      <c r="O2780" s="37" t="str">
        <f t="shared" si="218"/>
        <v>Digital Payment</v>
      </c>
      <c r="P2780">
        <v>66.739999999999995</v>
      </c>
      <c r="Q2780" s="37" t="str">
        <f>IF(P2780&gt;500,"High","low")</f>
        <v>low</v>
      </c>
      <c r="R2780" s="37" t="str">
        <f t="shared" si="219"/>
        <v>AVERAGE</v>
      </c>
      <c r="S2780" t="s">
        <v>600</v>
      </c>
    </row>
    <row r="2781" spans="1:19" x14ac:dyDescent="0.2">
      <c r="A2781" t="s">
        <v>3392</v>
      </c>
      <c r="B2781" t="s">
        <v>90</v>
      </c>
      <c r="C2781" t="s">
        <v>617</v>
      </c>
      <c r="D2781">
        <v>4680.49</v>
      </c>
      <c r="E2781" s="37" t="str">
        <f t="shared" si="215"/>
        <v>Excellent Order</v>
      </c>
      <c r="F2781">
        <v>0.12</v>
      </c>
      <c r="G2781" s="37" t="str">
        <f t="shared" si="216"/>
        <v>Normal Discount</v>
      </c>
      <c r="H2781" s="37" t="str">
        <f t="shared" si="217"/>
        <v>Low</v>
      </c>
      <c r="I2781">
        <v>9</v>
      </c>
      <c r="J2781" t="str" cm="1">
        <f t="array" ref="J2781">_xlfn.IFS(I2781&lt;=3,"small",I2781&lt;=6,"Medium",I2781&lt;=9,"Large")</f>
        <v>Large</v>
      </c>
      <c r="K2781" s="36">
        <v>45329</v>
      </c>
      <c r="L2781" s="36">
        <v>45333</v>
      </c>
      <c r="M2781" t="s">
        <v>603</v>
      </c>
      <c r="N2781" t="s">
        <v>604</v>
      </c>
      <c r="O2781" s="37" t="str">
        <f t="shared" si="218"/>
        <v>Digital Payment</v>
      </c>
      <c r="P2781">
        <v>807.91</v>
      </c>
      <c r="Q2781" s="37" t="str">
        <f>IF(P2781&gt;500,"High","low")</f>
        <v>High</v>
      </c>
      <c r="R2781" s="37" t="str">
        <f t="shared" si="219"/>
        <v>Good</v>
      </c>
      <c r="S2781" t="s">
        <v>628</v>
      </c>
    </row>
    <row r="2782" spans="1:19" x14ac:dyDescent="0.2">
      <c r="A2782" t="s">
        <v>3393</v>
      </c>
      <c r="B2782" t="s">
        <v>90</v>
      </c>
      <c r="C2782" t="s">
        <v>614</v>
      </c>
      <c r="D2782">
        <v>3092.34</v>
      </c>
      <c r="E2782" s="37" t="str">
        <f t="shared" si="215"/>
        <v xml:space="preserve"> </v>
      </c>
      <c r="F2782">
        <v>0.31</v>
      </c>
      <c r="G2782" s="37" t="str">
        <f t="shared" si="216"/>
        <v>Heavy Discount</v>
      </c>
      <c r="H2782" s="37" t="str">
        <f t="shared" si="217"/>
        <v>Medium</v>
      </c>
      <c r="I2782">
        <v>5</v>
      </c>
      <c r="J2782" t="str" cm="1">
        <f t="array" ref="J2782">_xlfn.IFS(I2782&lt;=3,"small",I2782&lt;=6,"Medium",I2782&lt;=9,"Large")</f>
        <v>Medium</v>
      </c>
      <c r="K2782" s="36">
        <v>45588</v>
      </c>
      <c r="L2782" s="36">
        <v>45594</v>
      </c>
      <c r="M2782" t="s">
        <v>603</v>
      </c>
      <c r="N2782" t="s">
        <v>599</v>
      </c>
      <c r="O2782" s="37" t="str">
        <f t="shared" si="218"/>
        <v>Digital Payment</v>
      </c>
      <c r="P2782">
        <v>710.3</v>
      </c>
      <c r="Q2782" s="37" t="str">
        <f>IF(P2782&gt;500,"High","low")</f>
        <v>High</v>
      </c>
      <c r="R2782" s="37" t="str">
        <f t="shared" si="219"/>
        <v>Good</v>
      </c>
      <c r="S2782" t="s">
        <v>600</v>
      </c>
    </row>
    <row r="2783" spans="1:19" x14ac:dyDescent="0.2">
      <c r="A2783" t="s">
        <v>3394</v>
      </c>
      <c r="B2783" t="s">
        <v>83</v>
      </c>
      <c r="C2783" t="s">
        <v>602</v>
      </c>
      <c r="D2783">
        <v>4471.57</v>
      </c>
      <c r="E2783" s="37" t="str">
        <f t="shared" si="215"/>
        <v xml:space="preserve"> </v>
      </c>
      <c r="F2783">
        <v>0.44</v>
      </c>
      <c r="G2783" s="37" t="str">
        <f t="shared" si="216"/>
        <v>Heavy Discount</v>
      </c>
      <c r="H2783" s="37" t="str">
        <f t="shared" si="217"/>
        <v>High</v>
      </c>
      <c r="I2783">
        <v>9</v>
      </c>
      <c r="J2783" t="str" cm="1">
        <f t="array" ref="J2783">_xlfn.IFS(I2783&lt;=3,"small",I2783&lt;=6,"Medium",I2783&lt;=9,"Large")</f>
        <v>Large</v>
      </c>
      <c r="K2783" s="36">
        <v>45367</v>
      </c>
      <c r="L2783" s="36">
        <v>45370</v>
      </c>
      <c r="M2783" t="s">
        <v>603</v>
      </c>
      <c r="N2783" t="s">
        <v>608</v>
      </c>
      <c r="O2783" s="37" t="str">
        <f t="shared" si="218"/>
        <v>Cash Payment</v>
      </c>
      <c r="P2783">
        <v>586.55999999999995</v>
      </c>
      <c r="Q2783" s="37" t="str">
        <f>IF(P2783&gt;500,"High","low")</f>
        <v>High</v>
      </c>
      <c r="R2783" s="37" t="str">
        <f t="shared" si="219"/>
        <v>Good</v>
      </c>
      <c r="S2783" t="s">
        <v>605</v>
      </c>
    </row>
    <row r="2784" spans="1:19" x14ac:dyDescent="0.2">
      <c r="A2784" t="s">
        <v>3395</v>
      </c>
      <c r="B2784" t="s">
        <v>90</v>
      </c>
      <c r="C2784" t="s">
        <v>607</v>
      </c>
      <c r="D2784">
        <v>2273.25</v>
      </c>
      <c r="E2784" s="37" t="str">
        <f t="shared" si="215"/>
        <v xml:space="preserve"> </v>
      </c>
      <c r="F2784">
        <v>0.47</v>
      </c>
      <c r="G2784" s="37" t="str">
        <f t="shared" si="216"/>
        <v>Heavy Discount</v>
      </c>
      <c r="H2784" s="37" t="str">
        <f t="shared" si="217"/>
        <v>High</v>
      </c>
      <c r="I2784">
        <v>8</v>
      </c>
      <c r="J2784" t="str" cm="1">
        <f t="array" ref="J2784">_xlfn.IFS(I2784&lt;=3,"small",I2784&lt;=6,"Medium",I2784&lt;=9,"Large")</f>
        <v>Large</v>
      </c>
      <c r="K2784" s="36">
        <v>45503</v>
      </c>
      <c r="L2784" s="36">
        <v>45504</v>
      </c>
      <c r="M2784" t="s">
        <v>603</v>
      </c>
      <c r="N2784" t="s">
        <v>608</v>
      </c>
      <c r="O2784" s="37" t="str">
        <f t="shared" si="218"/>
        <v>Cash Payment</v>
      </c>
      <c r="P2784">
        <v>440.57</v>
      </c>
      <c r="Q2784" s="37" t="str">
        <f>IF(P2784&gt;500,"High","low")</f>
        <v>low</v>
      </c>
      <c r="R2784" s="37" t="str">
        <f t="shared" si="219"/>
        <v>AVERAGE</v>
      </c>
      <c r="S2784" t="s">
        <v>628</v>
      </c>
    </row>
    <row r="2785" spans="1:19" x14ac:dyDescent="0.2">
      <c r="A2785" t="s">
        <v>3396</v>
      </c>
      <c r="B2785" t="s">
        <v>83</v>
      </c>
      <c r="C2785" t="s">
        <v>614</v>
      </c>
      <c r="D2785">
        <v>3028.45</v>
      </c>
      <c r="E2785" s="37" t="str">
        <f t="shared" si="215"/>
        <v xml:space="preserve"> </v>
      </c>
      <c r="F2785">
        <v>0.5</v>
      </c>
      <c r="G2785" s="37" t="str">
        <f t="shared" si="216"/>
        <v>Heavy Discount</v>
      </c>
      <c r="H2785" s="37" t="str">
        <f t="shared" si="217"/>
        <v>High</v>
      </c>
      <c r="I2785">
        <v>8</v>
      </c>
      <c r="J2785" t="str" cm="1">
        <f t="array" ref="J2785">_xlfn.IFS(I2785&lt;=3,"small",I2785&lt;=6,"Medium",I2785&lt;=9,"Large")</f>
        <v>Large</v>
      </c>
      <c r="K2785" s="36">
        <v>45305</v>
      </c>
      <c r="L2785" s="36">
        <v>45311</v>
      </c>
      <c r="M2785" t="s">
        <v>612</v>
      </c>
      <c r="N2785" t="s">
        <v>604</v>
      </c>
      <c r="O2785" s="37" t="str">
        <f t="shared" si="218"/>
        <v>Digital Payment</v>
      </c>
      <c r="P2785">
        <v>588.30999999999995</v>
      </c>
      <c r="Q2785" s="37" t="str">
        <f>IF(P2785&gt;500,"High","low")</f>
        <v>High</v>
      </c>
      <c r="R2785" s="37" t="str">
        <f t="shared" si="219"/>
        <v>Good</v>
      </c>
      <c r="S2785" t="s">
        <v>615</v>
      </c>
    </row>
    <row r="2786" spans="1:19" x14ac:dyDescent="0.2">
      <c r="A2786" t="s">
        <v>3397</v>
      </c>
      <c r="B2786" t="s">
        <v>83</v>
      </c>
      <c r="C2786" t="s">
        <v>617</v>
      </c>
      <c r="D2786">
        <v>257.26</v>
      </c>
      <c r="E2786" s="37" t="str">
        <f t="shared" si="215"/>
        <v xml:space="preserve"> </v>
      </c>
      <c r="F2786">
        <v>0.38</v>
      </c>
      <c r="G2786" s="37" t="str">
        <f t="shared" si="216"/>
        <v>Heavy Discount</v>
      </c>
      <c r="H2786" s="37" t="str">
        <f t="shared" si="217"/>
        <v>Medium</v>
      </c>
      <c r="I2786">
        <v>2</v>
      </c>
      <c r="J2786" t="str" cm="1">
        <f t="array" ref="J2786">_xlfn.IFS(I2786&lt;=3,"small",I2786&lt;=6,"Medium",I2786&lt;=9,"Large")</f>
        <v>small</v>
      </c>
      <c r="K2786" s="36">
        <v>45600</v>
      </c>
      <c r="L2786" s="36">
        <v>45606</v>
      </c>
      <c r="M2786" t="s">
        <v>603</v>
      </c>
      <c r="N2786" t="s">
        <v>608</v>
      </c>
      <c r="O2786" s="37" t="str">
        <f t="shared" si="218"/>
        <v>Cash Payment</v>
      </c>
      <c r="P2786">
        <v>23.05</v>
      </c>
      <c r="Q2786" s="37" t="str">
        <f>IF(P2786&gt;500,"High","low")</f>
        <v>low</v>
      </c>
      <c r="R2786" s="37" t="str">
        <f t="shared" si="219"/>
        <v>AVERAGE</v>
      </c>
      <c r="S2786" t="s">
        <v>600</v>
      </c>
    </row>
    <row r="2787" spans="1:19" x14ac:dyDescent="0.2">
      <c r="A2787" t="s">
        <v>3398</v>
      </c>
      <c r="B2787" t="s">
        <v>67</v>
      </c>
      <c r="C2787" t="s">
        <v>617</v>
      </c>
      <c r="D2787">
        <v>2400.56</v>
      </c>
      <c r="E2787" s="37" t="str">
        <f t="shared" si="215"/>
        <v xml:space="preserve"> </v>
      </c>
      <c r="F2787">
        <v>0.04</v>
      </c>
      <c r="G2787" s="37" t="str">
        <f t="shared" si="216"/>
        <v>Normal Discount</v>
      </c>
      <c r="H2787" s="37" t="str">
        <f t="shared" si="217"/>
        <v>Low</v>
      </c>
      <c r="I2787">
        <v>5</v>
      </c>
      <c r="J2787" t="str" cm="1">
        <f t="array" ref="J2787">_xlfn.IFS(I2787&lt;=3,"small",I2787&lt;=6,"Medium",I2787&lt;=9,"Large")</f>
        <v>Medium</v>
      </c>
      <c r="K2787" s="36">
        <v>45488</v>
      </c>
      <c r="L2787" s="36">
        <v>45494</v>
      </c>
      <c r="M2787" t="s">
        <v>612</v>
      </c>
      <c r="N2787" t="s">
        <v>608</v>
      </c>
      <c r="O2787" s="37" t="str">
        <f t="shared" si="218"/>
        <v>Cash Payment</v>
      </c>
      <c r="P2787">
        <v>570.66999999999996</v>
      </c>
      <c r="Q2787" s="37" t="str">
        <f>IF(P2787&gt;500,"High","low")</f>
        <v>High</v>
      </c>
      <c r="R2787" s="37" t="str">
        <f t="shared" si="219"/>
        <v>Good</v>
      </c>
      <c r="S2787" t="s">
        <v>609</v>
      </c>
    </row>
    <row r="2788" spans="1:19" x14ac:dyDescent="0.2">
      <c r="A2788" t="s">
        <v>3399</v>
      </c>
      <c r="B2788" t="s">
        <v>83</v>
      </c>
      <c r="C2788" t="s">
        <v>607</v>
      </c>
      <c r="D2788">
        <v>2863.88</v>
      </c>
      <c r="E2788" s="37" t="str">
        <f t="shared" si="215"/>
        <v xml:space="preserve"> </v>
      </c>
      <c r="F2788">
        <v>0.44</v>
      </c>
      <c r="G2788" s="37" t="str">
        <f t="shared" si="216"/>
        <v>Heavy Discount</v>
      </c>
      <c r="H2788" s="37" t="str">
        <f t="shared" si="217"/>
        <v>High</v>
      </c>
      <c r="I2788">
        <v>8</v>
      </c>
      <c r="J2788" t="str" cm="1">
        <f t="array" ref="J2788">_xlfn.IFS(I2788&lt;=3,"small",I2788&lt;=6,"Medium",I2788&lt;=9,"Large")</f>
        <v>Large</v>
      </c>
      <c r="K2788" s="36">
        <v>45598</v>
      </c>
      <c r="L2788" s="36">
        <v>45603</v>
      </c>
      <c r="M2788" t="s">
        <v>612</v>
      </c>
      <c r="N2788" t="s">
        <v>599</v>
      </c>
      <c r="O2788" s="37" t="str">
        <f t="shared" si="218"/>
        <v>Digital Payment</v>
      </c>
      <c r="P2788">
        <v>534.33000000000004</v>
      </c>
      <c r="Q2788" s="37" t="str">
        <f>IF(P2788&gt;500,"High","low")</f>
        <v>High</v>
      </c>
      <c r="R2788" s="37" t="str">
        <f t="shared" si="219"/>
        <v>Good</v>
      </c>
      <c r="S2788" t="s">
        <v>600</v>
      </c>
    </row>
    <row r="2789" spans="1:19" x14ac:dyDescent="0.2">
      <c r="A2789" t="s">
        <v>3400</v>
      </c>
      <c r="B2789" t="s">
        <v>75</v>
      </c>
      <c r="C2789" t="s">
        <v>614</v>
      </c>
      <c r="D2789">
        <v>182.21</v>
      </c>
      <c r="E2789" s="37" t="str">
        <f t="shared" si="215"/>
        <v xml:space="preserve"> </v>
      </c>
      <c r="F2789">
        <v>0.44</v>
      </c>
      <c r="G2789" s="37" t="str">
        <f t="shared" si="216"/>
        <v>Heavy Discount</v>
      </c>
      <c r="H2789" s="37" t="str">
        <f t="shared" si="217"/>
        <v>High</v>
      </c>
      <c r="I2789">
        <v>3</v>
      </c>
      <c r="J2789" t="str" cm="1">
        <f t="array" ref="J2789">_xlfn.IFS(I2789&lt;=3,"small",I2789&lt;=6,"Medium",I2789&lt;=9,"Large")</f>
        <v>small</v>
      </c>
      <c r="K2789" s="36">
        <v>45235</v>
      </c>
      <c r="L2789" s="36">
        <v>45239</v>
      </c>
      <c r="M2789" t="s">
        <v>603</v>
      </c>
      <c r="N2789" t="s">
        <v>608</v>
      </c>
      <c r="O2789" s="37" t="str">
        <f t="shared" si="218"/>
        <v>Cash Payment</v>
      </c>
      <c r="P2789">
        <v>14.58</v>
      </c>
      <c r="Q2789" s="37" t="str">
        <f>IF(P2789&gt;500,"High","low")</f>
        <v>low</v>
      </c>
      <c r="R2789" s="37" t="str">
        <f t="shared" si="219"/>
        <v>AVERAGE</v>
      </c>
      <c r="S2789" t="s">
        <v>615</v>
      </c>
    </row>
    <row r="2790" spans="1:19" x14ac:dyDescent="0.2">
      <c r="A2790" t="s">
        <v>3401</v>
      </c>
      <c r="B2790" t="s">
        <v>83</v>
      </c>
      <c r="C2790" t="s">
        <v>597</v>
      </c>
      <c r="D2790">
        <v>3968.5</v>
      </c>
      <c r="E2790" s="37" t="str">
        <f t="shared" si="215"/>
        <v xml:space="preserve"> </v>
      </c>
      <c r="F2790">
        <v>0.28000000000000003</v>
      </c>
      <c r="G2790" s="37" t="str">
        <f t="shared" si="216"/>
        <v>Normal Discount</v>
      </c>
      <c r="H2790" s="37" t="str">
        <f t="shared" si="217"/>
        <v>Medium</v>
      </c>
      <c r="I2790">
        <v>1</v>
      </c>
      <c r="J2790" t="str" cm="1">
        <f t="array" ref="J2790">_xlfn.IFS(I2790&lt;=3,"small",I2790&lt;=6,"Medium",I2790&lt;=9,"Large")</f>
        <v>small</v>
      </c>
      <c r="K2790" s="36">
        <v>45396</v>
      </c>
      <c r="L2790" s="36">
        <v>45402</v>
      </c>
      <c r="M2790" t="s">
        <v>603</v>
      </c>
      <c r="N2790" t="s">
        <v>599</v>
      </c>
      <c r="O2790" s="37" t="str">
        <f t="shared" si="218"/>
        <v>Digital Payment</v>
      </c>
      <c r="P2790">
        <v>1138.6199999999999</v>
      </c>
      <c r="Q2790" s="37" t="str">
        <f>IF(P2790&gt;500,"High","low")</f>
        <v>High</v>
      </c>
      <c r="R2790" s="37" t="str">
        <f t="shared" si="219"/>
        <v>Excellent</v>
      </c>
      <c r="S2790" t="s">
        <v>620</v>
      </c>
    </row>
    <row r="2791" spans="1:19" x14ac:dyDescent="0.2">
      <c r="A2791" t="s">
        <v>3402</v>
      </c>
      <c r="B2791" t="s">
        <v>67</v>
      </c>
      <c r="C2791" t="s">
        <v>607</v>
      </c>
      <c r="D2791">
        <v>1547.57</v>
      </c>
      <c r="E2791" s="37" t="str">
        <f t="shared" si="215"/>
        <v xml:space="preserve"> </v>
      </c>
      <c r="F2791">
        <v>0.03</v>
      </c>
      <c r="G2791" s="37" t="str">
        <f t="shared" si="216"/>
        <v>Normal Discount</v>
      </c>
      <c r="H2791" s="37" t="str">
        <f t="shared" si="217"/>
        <v>Low</v>
      </c>
      <c r="I2791">
        <v>4</v>
      </c>
      <c r="J2791" t="str" cm="1">
        <f t="array" ref="J2791">_xlfn.IFS(I2791&lt;=3,"small",I2791&lt;=6,"Medium",I2791&lt;=9,"Large")</f>
        <v>Medium</v>
      </c>
      <c r="K2791" s="36">
        <v>44977</v>
      </c>
      <c r="L2791" s="36">
        <v>44981</v>
      </c>
      <c r="M2791" t="s">
        <v>612</v>
      </c>
      <c r="N2791" t="s">
        <v>599</v>
      </c>
      <c r="O2791" s="37" t="str">
        <f t="shared" si="218"/>
        <v>Digital Payment</v>
      </c>
      <c r="P2791">
        <v>172.76</v>
      </c>
      <c r="Q2791" s="37" t="str">
        <f>IF(P2791&gt;500,"High","low")</f>
        <v>low</v>
      </c>
      <c r="R2791" s="37" t="str">
        <f t="shared" si="219"/>
        <v>AVERAGE</v>
      </c>
      <c r="S2791" t="s">
        <v>609</v>
      </c>
    </row>
    <row r="2792" spans="1:19" x14ac:dyDescent="0.2">
      <c r="A2792" t="s">
        <v>3403</v>
      </c>
      <c r="B2792" t="s">
        <v>83</v>
      </c>
      <c r="C2792" t="s">
        <v>617</v>
      </c>
      <c r="D2792">
        <v>2317.19</v>
      </c>
      <c r="E2792" s="37" t="str">
        <f t="shared" si="215"/>
        <v xml:space="preserve"> </v>
      </c>
      <c r="F2792">
        <v>0.24</v>
      </c>
      <c r="G2792" s="37" t="str">
        <f t="shared" si="216"/>
        <v>Normal Discount</v>
      </c>
      <c r="H2792" s="37" t="str">
        <f t="shared" si="217"/>
        <v>Medium</v>
      </c>
      <c r="I2792">
        <v>4</v>
      </c>
      <c r="J2792" t="str" cm="1">
        <f t="array" ref="J2792">_xlfn.IFS(I2792&lt;=3,"small",I2792&lt;=6,"Medium",I2792&lt;=9,"Large")</f>
        <v>Medium</v>
      </c>
      <c r="K2792" s="36">
        <v>45202</v>
      </c>
      <c r="L2792" s="36">
        <v>45206</v>
      </c>
      <c r="M2792" t="s">
        <v>603</v>
      </c>
      <c r="N2792" t="s">
        <v>604</v>
      </c>
      <c r="O2792" s="37" t="str">
        <f t="shared" si="218"/>
        <v>Digital Payment</v>
      </c>
      <c r="P2792">
        <v>355.13</v>
      </c>
      <c r="Q2792" s="37" t="str">
        <f>IF(P2792&gt;500,"High","low")</f>
        <v>low</v>
      </c>
      <c r="R2792" s="37" t="str">
        <f t="shared" si="219"/>
        <v>AVERAGE</v>
      </c>
      <c r="S2792" t="s">
        <v>605</v>
      </c>
    </row>
    <row r="2793" spans="1:19" x14ac:dyDescent="0.2">
      <c r="A2793" t="s">
        <v>3404</v>
      </c>
      <c r="B2793" t="s">
        <v>75</v>
      </c>
      <c r="C2793" t="s">
        <v>602</v>
      </c>
      <c r="D2793">
        <v>2724.59</v>
      </c>
      <c r="E2793" s="37" t="str">
        <f t="shared" si="215"/>
        <v xml:space="preserve"> </v>
      </c>
      <c r="F2793">
        <v>0.11</v>
      </c>
      <c r="G2793" s="37" t="str">
        <f t="shared" si="216"/>
        <v>Normal Discount</v>
      </c>
      <c r="H2793" s="37" t="str">
        <f t="shared" si="217"/>
        <v>Low</v>
      </c>
      <c r="I2793">
        <v>4</v>
      </c>
      <c r="J2793" t="str" cm="1">
        <f t="array" ref="J2793">_xlfn.IFS(I2793&lt;=3,"small",I2793&lt;=6,"Medium",I2793&lt;=9,"Large")</f>
        <v>Medium</v>
      </c>
      <c r="K2793" s="36">
        <v>45483</v>
      </c>
      <c r="L2793" s="36">
        <v>45489</v>
      </c>
      <c r="M2793" t="s">
        <v>612</v>
      </c>
      <c r="N2793" t="s">
        <v>604</v>
      </c>
      <c r="O2793" s="37" t="str">
        <f t="shared" si="218"/>
        <v>Digital Payment</v>
      </c>
      <c r="P2793">
        <v>779.57</v>
      </c>
      <c r="Q2793" s="37" t="str">
        <f>IF(P2793&gt;500,"High","low")</f>
        <v>High</v>
      </c>
      <c r="R2793" s="37" t="str">
        <f t="shared" si="219"/>
        <v>Good</v>
      </c>
      <c r="S2793" t="s">
        <v>615</v>
      </c>
    </row>
    <row r="2794" spans="1:19" x14ac:dyDescent="0.2">
      <c r="A2794" t="s">
        <v>3405</v>
      </c>
      <c r="B2794" t="s">
        <v>75</v>
      </c>
      <c r="C2794" t="s">
        <v>614</v>
      </c>
      <c r="D2794">
        <v>4961.7700000000004</v>
      </c>
      <c r="E2794" s="37" t="str">
        <f t="shared" si="215"/>
        <v xml:space="preserve"> </v>
      </c>
      <c r="F2794">
        <v>0.22</v>
      </c>
      <c r="G2794" s="37" t="str">
        <f t="shared" si="216"/>
        <v>Normal Discount</v>
      </c>
      <c r="H2794" s="37" t="str">
        <f t="shared" si="217"/>
        <v>Medium</v>
      </c>
      <c r="I2794">
        <v>4</v>
      </c>
      <c r="J2794" t="str" cm="1">
        <f t="array" ref="J2794">_xlfn.IFS(I2794&lt;=3,"small",I2794&lt;=6,"Medium",I2794&lt;=9,"Large")</f>
        <v>Medium</v>
      </c>
      <c r="K2794" s="36">
        <v>45360</v>
      </c>
      <c r="L2794" s="36">
        <v>45361</v>
      </c>
      <c r="M2794" t="s">
        <v>598</v>
      </c>
      <c r="N2794" t="s">
        <v>604</v>
      </c>
      <c r="O2794" s="37" t="str">
        <f t="shared" si="218"/>
        <v>Digital Payment</v>
      </c>
      <c r="P2794">
        <v>660.51</v>
      </c>
      <c r="Q2794" s="37" t="str">
        <f>IF(P2794&gt;500,"High","low")</f>
        <v>High</v>
      </c>
      <c r="R2794" s="37" t="str">
        <f t="shared" si="219"/>
        <v>Good</v>
      </c>
      <c r="S2794" t="s">
        <v>600</v>
      </c>
    </row>
    <row r="2795" spans="1:19" x14ac:dyDescent="0.2">
      <c r="A2795" t="s">
        <v>3406</v>
      </c>
      <c r="B2795" t="s">
        <v>75</v>
      </c>
      <c r="C2795" t="s">
        <v>597</v>
      </c>
      <c r="D2795">
        <v>586</v>
      </c>
      <c r="E2795" s="37" t="str">
        <f t="shared" si="215"/>
        <v xml:space="preserve"> </v>
      </c>
      <c r="F2795">
        <v>0.36</v>
      </c>
      <c r="G2795" s="37" t="str">
        <f t="shared" si="216"/>
        <v>Heavy Discount</v>
      </c>
      <c r="H2795" s="37" t="str">
        <f t="shared" si="217"/>
        <v>Medium</v>
      </c>
      <c r="I2795">
        <v>9</v>
      </c>
      <c r="J2795" t="str" cm="1">
        <f t="array" ref="J2795">_xlfn.IFS(I2795&lt;=3,"small",I2795&lt;=6,"Medium",I2795&lt;=9,"Large")</f>
        <v>Large</v>
      </c>
      <c r="K2795" s="36">
        <v>45306</v>
      </c>
      <c r="L2795" s="36">
        <v>45312</v>
      </c>
      <c r="M2795" t="s">
        <v>598</v>
      </c>
      <c r="N2795" t="s">
        <v>599</v>
      </c>
      <c r="O2795" s="37" t="str">
        <f t="shared" si="218"/>
        <v>Digital Payment</v>
      </c>
      <c r="P2795">
        <v>56.41</v>
      </c>
      <c r="Q2795" s="37" t="str">
        <f>IF(P2795&gt;500,"High","low")</f>
        <v>low</v>
      </c>
      <c r="R2795" s="37" t="str">
        <f t="shared" si="219"/>
        <v>AVERAGE</v>
      </c>
      <c r="S2795" t="s">
        <v>615</v>
      </c>
    </row>
    <row r="2796" spans="1:19" x14ac:dyDescent="0.2">
      <c r="A2796" t="s">
        <v>3407</v>
      </c>
      <c r="B2796" t="s">
        <v>67</v>
      </c>
      <c r="C2796" t="s">
        <v>602</v>
      </c>
      <c r="D2796">
        <v>2820.87</v>
      </c>
      <c r="E2796" s="37" t="str">
        <f t="shared" si="215"/>
        <v xml:space="preserve"> </v>
      </c>
      <c r="F2796">
        <v>0.33</v>
      </c>
      <c r="G2796" s="37" t="str">
        <f t="shared" si="216"/>
        <v>Heavy Discount</v>
      </c>
      <c r="H2796" s="37" t="str">
        <f t="shared" si="217"/>
        <v>Medium</v>
      </c>
      <c r="I2796">
        <v>1</v>
      </c>
      <c r="J2796" t="str" cm="1">
        <f t="array" ref="J2796">_xlfn.IFS(I2796&lt;=3,"small",I2796&lt;=6,"Medium",I2796&lt;=9,"Large")</f>
        <v>small</v>
      </c>
      <c r="K2796" s="36">
        <v>45041</v>
      </c>
      <c r="L2796" s="36">
        <v>45046</v>
      </c>
      <c r="M2796" t="s">
        <v>612</v>
      </c>
      <c r="N2796" t="s">
        <v>608</v>
      </c>
      <c r="O2796" s="37" t="str">
        <f t="shared" si="218"/>
        <v>Cash Payment</v>
      </c>
      <c r="P2796">
        <v>833.91</v>
      </c>
      <c r="Q2796" s="37" t="str">
        <f>IF(P2796&gt;500,"High","low")</f>
        <v>High</v>
      </c>
      <c r="R2796" s="37" t="str">
        <f t="shared" si="219"/>
        <v>Good</v>
      </c>
      <c r="S2796" t="s">
        <v>600</v>
      </c>
    </row>
    <row r="2797" spans="1:19" x14ac:dyDescent="0.2">
      <c r="A2797" t="s">
        <v>3408</v>
      </c>
      <c r="B2797" t="s">
        <v>67</v>
      </c>
      <c r="C2797" t="s">
        <v>614</v>
      </c>
      <c r="D2797">
        <v>2699.91</v>
      </c>
      <c r="E2797" s="37" t="str">
        <f t="shared" si="215"/>
        <v xml:space="preserve"> </v>
      </c>
      <c r="F2797">
        <v>0.39</v>
      </c>
      <c r="G2797" s="37" t="str">
        <f t="shared" si="216"/>
        <v>Heavy Discount</v>
      </c>
      <c r="H2797" s="37" t="str">
        <f t="shared" si="217"/>
        <v>Medium</v>
      </c>
      <c r="I2797">
        <v>9</v>
      </c>
      <c r="J2797" t="str" cm="1">
        <f t="array" ref="J2797">_xlfn.IFS(I2797&lt;=3,"small",I2797&lt;=6,"Medium",I2797&lt;=9,"Large")</f>
        <v>Large</v>
      </c>
      <c r="K2797" s="36">
        <v>45062</v>
      </c>
      <c r="L2797" s="36">
        <v>45065</v>
      </c>
      <c r="M2797" t="s">
        <v>598</v>
      </c>
      <c r="N2797" t="s">
        <v>608</v>
      </c>
      <c r="O2797" s="37" t="str">
        <f t="shared" si="218"/>
        <v>Cash Payment</v>
      </c>
      <c r="P2797">
        <v>807.05</v>
      </c>
      <c r="Q2797" s="37" t="str">
        <f>IF(P2797&gt;500,"High","low")</f>
        <v>High</v>
      </c>
      <c r="R2797" s="37" t="str">
        <f t="shared" si="219"/>
        <v>Good</v>
      </c>
      <c r="S2797" t="s">
        <v>600</v>
      </c>
    </row>
    <row r="2798" spans="1:19" x14ac:dyDescent="0.2">
      <c r="A2798" t="s">
        <v>3409</v>
      </c>
      <c r="B2798" t="s">
        <v>90</v>
      </c>
      <c r="C2798" t="s">
        <v>607</v>
      </c>
      <c r="D2798">
        <v>437.66</v>
      </c>
      <c r="E2798" s="37" t="str">
        <f t="shared" si="215"/>
        <v xml:space="preserve"> </v>
      </c>
      <c r="F2798">
        <v>0.24</v>
      </c>
      <c r="G2798" s="37" t="str">
        <f t="shared" si="216"/>
        <v>Normal Discount</v>
      </c>
      <c r="H2798" s="37" t="str">
        <f t="shared" si="217"/>
        <v>Medium</v>
      </c>
      <c r="I2798">
        <v>7</v>
      </c>
      <c r="J2798" t="str" cm="1">
        <f t="array" ref="J2798">_xlfn.IFS(I2798&lt;=3,"small",I2798&lt;=6,"Medium",I2798&lt;=9,"Large")</f>
        <v>Large</v>
      </c>
      <c r="K2798" s="36">
        <v>45293</v>
      </c>
      <c r="L2798" s="36">
        <v>45298</v>
      </c>
      <c r="M2798" t="s">
        <v>612</v>
      </c>
      <c r="N2798" t="s">
        <v>608</v>
      </c>
      <c r="O2798" s="37" t="str">
        <f t="shared" si="218"/>
        <v>Cash Payment</v>
      </c>
      <c r="P2798">
        <v>97.14</v>
      </c>
      <c r="Q2798" s="37" t="str">
        <f>IF(P2798&gt;500,"High","low")</f>
        <v>low</v>
      </c>
      <c r="R2798" s="37" t="str">
        <f t="shared" si="219"/>
        <v>AVERAGE</v>
      </c>
      <c r="S2798" t="s">
        <v>609</v>
      </c>
    </row>
    <row r="2799" spans="1:19" x14ac:dyDescent="0.2">
      <c r="A2799" t="s">
        <v>3410</v>
      </c>
      <c r="B2799" t="s">
        <v>67</v>
      </c>
      <c r="C2799" t="s">
        <v>607</v>
      </c>
      <c r="D2799">
        <v>3206.3</v>
      </c>
      <c r="E2799" s="37" t="str">
        <f t="shared" si="215"/>
        <v xml:space="preserve"> </v>
      </c>
      <c r="F2799">
        <v>0.26</v>
      </c>
      <c r="G2799" s="37" t="str">
        <f t="shared" si="216"/>
        <v>Normal Discount</v>
      </c>
      <c r="H2799" s="37" t="str">
        <f t="shared" si="217"/>
        <v>Medium</v>
      </c>
      <c r="I2799">
        <v>5</v>
      </c>
      <c r="J2799" t="str" cm="1">
        <f t="array" ref="J2799">_xlfn.IFS(I2799&lt;=3,"small",I2799&lt;=6,"Medium",I2799&lt;=9,"Large")</f>
        <v>Medium</v>
      </c>
      <c r="K2799" s="36">
        <v>44947</v>
      </c>
      <c r="L2799" s="36">
        <v>44951</v>
      </c>
      <c r="M2799" t="s">
        <v>612</v>
      </c>
      <c r="N2799" t="s">
        <v>599</v>
      </c>
      <c r="O2799" s="37" t="str">
        <f t="shared" si="218"/>
        <v>Digital Payment</v>
      </c>
      <c r="P2799">
        <v>877.03</v>
      </c>
      <c r="Q2799" s="37" t="str">
        <f>IF(P2799&gt;500,"High","low")</f>
        <v>High</v>
      </c>
      <c r="R2799" s="37" t="str">
        <f t="shared" si="219"/>
        <v>Good</v>
      </c>
      <c r="S2799" t="s">
        <v>600</v>
      </c>
    </row>
    <row r="2800" spans="1:19" x14ac:dyDescent="0.2">
      <c r="A2800" t="s">
        <v>3411</v>
      </c>
      <c r="B2800" t="s">
        <v>75</v>
      </c>
      <c r="C2800" t="s">
        <v>614</v>
      </c>
      <c r="D2800">
        <v>1505.59</v>
      </c>
      <c r="E2800" s="37" t="str">
        <f t="shared" si="215"/>
        <v xml:space="preserve"> </v>
      </c>
      <c r="F2800">
        <v>0.47</v>
      </c>
      <c r="G2800" s="37" t="str">
        <f t="shared" si="216"/>
        <v>Heavy Discount</v>
      </c>
      <c r="H2800" s="37" t="str">
        <f t="shared" si="217"/>
        <v>High</v>
      </c>
      <c r="I2800">
        <v>2</v>
      </c>
      <c r="J2800" t="str" cm="1">
        <f t="array" ref="J2800">_xlfn.IFS(I2800&lt;=3,"small",I2800&lt;=6,"Medium",I2800&lt;=9,"Large")</f>
        <v>small</v>
      </c>
      <c r="K2800" s="36">
        <v>45456</v>
      </c>
      <c r="L2800" s="36">
        <v>45461</v>
      </c>
      <c r="M2800" t="s">
        <v>603</v>
      </c>
      <c r="N2800" t="s">
        <v>604</v>
      </c>
      <c r="O2800" s="37" t="str">
        <f t="shared" si="218"/>
        <v>Digital Payment</v>
      </c>
      <c r="P2800">
        <v>451.22</v>
      </c>
      <c r="Q2800" s="37" t="str">
        <f>IF(P2800&gt;500,"High","low")</f>
        <v>low</v>
      </c>
      <c r="R2800" s="37" t="str">
        <f t="shared" si="219"/>
        <v>AVERAGE</v>
      </c>
      <c r="S2800" t="s">
        <v>620</v>
      </c>
    </row>
    <row r="2801" spans="1:19" x14ac:dyDescent="0.2">
      <c r="A2801" t="s">
        <v>3412</v>
      </c>
      <c r="B2801" t="s">
        <v>75</v>
      </c>
      <c r="C2801" t="s">
        <v>597</v>
      </c>
      <c r="D2801">
        <v>608.46</v>
      </c>
      <c r="E2801" s="37" t="str">
        <f t="shared" si="215"/>
        <v xml:space="preserve"> </v>
      </c>
      <c r="F2801">
        <v>0.32</v>
      </c>
      <c r="G2801" s="37" t="str">
        <f t="shared" si="216"/>
        <v>Heavy Discount</v>
      </c>
      <c r="H2801" s="37" t="str">
        <f t="shared" si="217"/>
        <v>Medium</v>
      </c>
      <c r="I2801">
        <v>4</v>
      </c>
      <c r="J2801" t="str" cm="1">
        <f t="array" ref="J2801">_xlfn.IFS(I2801&lt;=3,"small",I2801&lt;=6,"Medium",I2801&lt;=9,"Large")</f>
        <v>Medium</v>
      </c>
      <c r="K2801" s="36">
        <v>45288</v>
      </c>
      <c r="L2801" s="36">
        <v>45291</v>
      </c>
      <c r="M2801" t="s">
        <v>598</v>
      </c>
      <c r="N2801" t="s">
        <v>608</v>
      </c>
      <c r="O2801" s="37" t="str">
        <f t="shared" si="218"/>
        <v>Cash Payment</v>
      </c>
      <c r="P2801">
        <v>52.68</v>
      </c>
      <c r="Q2801" s="37" t="str">
        <f>IF(P2801&gt;500,"High","low")</f>
        <v>low</v>
      </c>
      <c r="R2801" s="37" t="str">
        <f t="shared" si="219"/>
        <v>AVERAGE</v>
      </c>
      <c r="S2801" t="s">
        <v>615</v>
      </c>
    </row>
    <row r="2802" spans="1:19" x14ac:dyDescent="0.2">
      <c r="A2802" t="s">
        <v>3413</v>
      </c>
      <c r="B2802" t="s">
        <v>67</v>
      </c>
      <c r="C2802" t="s">
        <v>614</v>
      </c>
      <c r="D2802">
        <v>975.35</v>
      </c>
      <c r="E2802" s="37" t="str">
        <f t="shared" si="215"/>
        <v xml:space="preserve"> </v>
      </c>
      <c r="F2802">
        <v>0.37</v>
      </c>
      <c r="G2802" s="37" t="str">
        <f t="shared" si="216"/>
        <v>Heavy Discount</v>
      </c>
      <c r="H2802" s="37" t="str">
        <f t="shared" si="217"/>
        <v>Medium</v>
      </c>
      <c r="I2802">
        <v>4</v>
      </c>
      <c r="J2802" t="str" cm="1">
        <f t="array" ref="J2802">_xlfn.IFS(I2802&lt;=3,"small",I2802&lt;=6,"Medium",I2802&lt;=9,"Large")</f>
        <v>Medium</v>
      </c>
      <c r="K2802" s="36">
        <v>45197</v>
      </c>
      <c r="L2802" s="36">
        <v>45203</v>
      </c>
      <c r="M2802" t="s">
        <v>598</v>
      </c>
      <c r="N2802" t="s">
        <v>599</v>
      </c>
      <c r="O2802" s="37" t="str">
        <f t="shared" si="218"/>
        <v>Digital Payment</v>
      </c>
      <c r="P2802">
        <v>254.04</v>
      </c>
      <c r="Q2802" s="37" t="str">
        <f>IF(P2802&gt;500,"High","low")</f>
        <v>low</v>
      </c>
      <c r="R2802" s="37" t="str">
        <f t="shared" si="219"/>
        <v>AVERAGE</v>
      </c>
      <c r="S2802" t="s">
        <v>615</v>
      </c>
    </row>
    <row r="2803" spans="1:19" x14ac:dyDescent="0.2">
      <c r="A2803" t="s">
        <v>3414</v>
      </c>
      <c r="B2803" t="s">
        <v>83</v>
      </c>
      <c r="C2803" t="s">
        <v>602</v>
      </c>
      <c r="D2803">
        <v>4135.66</v>
      </c>
      <c r="E2803" s="37" t="str">
        <f t="shared" si="215"/>
        <v xml:space="preserve"> </v>
      </c>
      <c r="F2803">
        <v>0.33</v>
      </c>
      <c r="G2803" s="37" t="str">
        <f t="shared" si="216"/>
        <v>Heavy Discount</v>
      </c>
      <c r="H2803" s="37" t="str">
        <f t="shared" si="217"/>
        <v>Medium</v>
      </c>
      <c r="I2803">
        <v>4</v>
      </c>
      <c r="J2803" t="str" cm="1">
        <f t="array" ref="J2803">_xlfn.IFS(I2803&lt;=3,"small",I2803&lt;=6,"Medium",I2803&lt;=9,"Large")</f>
        <v>Medium</v>
      </c>
      <c r="K2803" s="36">
        <v>45145</v>
      </c>
      <c r="L2803" s="36">
        <v>45151</v>
      </c>
      <c r="M2803" t="s">
        <v>603</v>
      </c>
      <c r="N2803" t="s">
        <v>599</v>
      </c>
      <c r="O2803" s="37" t="str">
        <f t="shared" si="218"/>
        <v>Digital Payment</v>
      </c>
      <c r="P2803">
        <v>254.68</v>
      </c>
      <c r="Q2803" s="37" t="str">
        <f>IF(P2803&gt;500,"High","low")</f>
        <v>low</v>
      </c>
      <c r="R2803" s="37" t="str">
        <f t="shared" si="219"/>
        <v>AVERAGE</v>
      </c>
      <c r="S2803" t="s">
        <v>600</v>
      </c>
    </row>
    <row r="2804" spans="1:19" x14ac:dyDescent="0.2">
      <c r="A2804" t="s">
        <v>3415</v>
      </c>
      <c r="B2804" t="s">
        <v>67</v>
      </c>
      <c r="C2804" t="s">
        <v>602</v>
      </c>
      <c r="D2804">
        <v>610.21</v>
      </c>
      <c r="E2804" s="37" t="str">
        <f t="shared" si="215"/>
        <v xml:space="preserve"> </v>
      </c>
      <c r="F2804">
        <v>0.32</v>
      </c>
      <c r="G2804" s="37" t="str">
        <f t="shared" si="216"/>
        <v>Heavy Discount</v>
      </c>
      <c r="H2804" s="37" t="str">
        <f t="shared" si="217"/>
        <v>Medium</v>
      </c>
      <c r="I2804">
        <v>2</v>
      </c>
      <c r="J2804" t="str" cm="1">
        <f t="array" ref="J2804">_xlfn.IFS(I2804&lt;=3,"small",I2804&lt;=6,"Medium",I2804&lt;=9,"Large")</f>
        <v>small</v>
      </c>
      <c r="K2804" s="36">
        <v>45245</v>
      </c>
      <c r="L2804" s="36">
        <v>45251</v>
      </c>
      <c r="M2804" t="s">
        <v>612</v>
      </c>
      <c r="N2804" t="s">
        <v>604</v>
      </c>
      <c r="O2804" s="37" t="str">
        <f t="shared" si="218"/>
        <v>Digital Payment</v>
      </c>
      <c r="P2804">
        <v>128.78</v>
      </c>
      <c r="Q2804" s="37" t="str">
        <f>IF(P2804&gt;500,"High","low")</f>
        <v>low</v>
      </c>
      <c r="R2804" s="37" t="str">
        <f t="shared" si="219"/>
        <v>AVERAGE</v>
      </c>
      <c r="S2804" t="s">
        <v>600</v>
      </c>
    </row>
    <row r="2805" spans="1:19" x14ac:dyDescent="0.2">
      <c r="A2805" t="s">
        <v>3416</v>
      </c>
      <c r="B2805" t="s">
        <v>67</v>
      </c>
      <c r="C2805" t="s">
        <v>607</v>
      </c>
      <c r="D2805">
        <v>2387.94</v>
      </c>
      <c r="E2805" s="37" t="str">
        <f t="shared" si="215"/>
        <v xml:space="preserve"> </v>
      </c>
      <c r="F2805">
        <v>0.46</v>
      </c>
      <c r="G2805" s="37" t="str">
        <f t="shared" si="216"/>
        <v>Heavy Discount</v>
      </c>
      <c r="H2805" s="37" t="str">
        <f t="shared" si="217"/>
        <v>High</v>
      </c>
      <c r="I2805">
        <v>8</v>
      </c>
      <c r="J2805" t="str" cm="1">
        <f t="array" ref="J2805">_xlfn.IFS(I2805&lt;=3,"small",I2805&lt;=6,"Medium",I2805&lt;=9,"Large")</f>
        <v>Large</v>
      </c>
      <c r="K2805" s="36">
        <v>45392</v>
      </c>
      <c r="L2805" s="36">
        <v>45397</v>
      </c>
      <c r="M2805" t="s">
        <v>603</v>
      </c>
      <c r="N2805" t="s">
        <v>608</v>
      </c>
      <c r="O2805" s="37" t="str">
        <f t="shared" si="218"/>
        <v>Cash Payment</v>
      </c>
      <c r="P2805">
        <v>491.98</v>
      </c>
      <c r="Q2805" s="37" t="str">
        <f>IF(P2805&gt;500,"High","low")</f>
        <v>low</v>
      </c>
      <c r="R2805" s="37" t="str">
        <f t="shared" si="219"/>
        <v>AVERAGE</v>
      </c>
      <c r="S2805" t="s">
        <v>609</v>
      </c>
    </row>
    <row r="2806" spans="1:19" x14ac:dyDescent="0.2">
      <c r="A2806" t="s">
        <v>3417</v>
      </c>
      <c r="B2806" t="s">
        <v>75</v>
      </c>
      <c r="C2806" t="s">
        <v>614</v>
      </c>
      <c r="D2806">
        <v>1056.8399999999999</v>
      </c>
      <c r="E2806" s="37" t="str">
        <f t="shared" si="215"/>
        <v xml:space="preserve"> </v>
      </c>
      <c r="F2806">
        <v>0.18</v>
      </c>
      <c r="G2806" s="37" t="str">
        <f t="shared" si="216"/>
        <v>Normal Discount</v>
      </c>
      <c r="H2806" s="37" t="str">
        <f t="shared" si="217"/>
        <v>Low</v>
      </c>
      <c r="I2806">
        <v>4</v>
      </c>
      <c r="J2806" t="str" cm="1">
        <f t="array" ref="J2806">_xlfn.IFS(I2806&lt;=3,"small",I2806&lt;=6,"Medium",I2806&lt;=9,"Large")</f>
        <v>Medium</v>
      </c>
      <c r="K2806" s="36">
        <v>45330</v>
      </c>
      <c r="L2806" s="36">
        <v>45337</v>
      </c>
      <c r="M2806" t="s">
        <v>598</v>
      </c>
      <c r="N2806" t="s">
        <v>608</v>
      </c>
      <c r="O2806" s="37" t="str">
        <f t="shared" si="218"/>
        <v>Cash Payment</v>
      </c>
      <c r="P2806">
        <v>181.53</v>
      </c>
      <c r="Q2806" s="37" t="str">
        <f>IF(P2806&gt;500,"High","low")</f>
        <v>low</v>
      </c>
      <c r="R2806" s="37" t="str">
        <f t="shared" si="219"/>
        <v>AVERAGE</v>
      </c>
      <c r="S2806" t="s">
        <v>609</v>
      </c>
    </row>
    <row r="2807" spans="1:19" x14ac:dyDescent="0.2">
      <c r="A2807" t="s">
        <v>3418</v>
      </c>
      <c r="B2807" t="s">
        <v>90</v>
      </c>
      <c r="C2807" t="s">
        <v>607</v>
      </c>
      <c r="D2807">
        <v>895.37</v>
      </c>
      <c r="E2807" s="37" t="str">
        <f t="shared" si="215"/>
        <v xml:space="preserve"> </v>
      </c>
      <c r="F2807">
        <v>0.21</v>
      </c>
      <c r="G2807" s="37" t="str">
        <f t="shared" si="216"/>
        <v>Normal Discount</v>
      </c>
      <c r="H2807" s="37" t="str">
        <f t="shared" si="217"/>
        <v>Medium</v>
      </c>
      <c r="I2807">
        <v>9</v>
      </c>
      <c r="J2807" t="str" cm="1">
        <f t="array" ref="J2807">_xlfn.IFS(I2807&lt;=3,"small",I2807&lt;=6,"Medium",I2807&lt;=9,"Large")</f>
        <v>Large</v>
      </c>
      <c r="K2807" s="36">
        <v>45047</v>
      </c>
      <c r="L2807" s="36">
        <v>45054</v>
      </c>
      <c r="M2807" t="s">
        <v>612</v>
      </c>
      <c r="N2807" t="s">
        <v>608</v>
      </c>
      <c r="O2807" s="37" t="str">
        <f t="shared" si="218"/>
        <v>Cash Payment</v>
      </c>
      <c r="P2807">
        <v>173.61</v>
      </c>
      <c r="Q2807" s="37" t="str">
        <f>IF(P2807&gt;500,"High","low")</f>
        <v>low</v>
      </c>
      <c r="R2807" s="37" t="str">
        <f t="shared" si="219"/>
        <v>AVERAGE</v>
      </c>
      <c r="S2807" t="s">
        <v>600</v>
      </c>
    </row>
    <row r="2808" spans="1:19" x14ac:dyDescent="0.2">
      <c r="A2808" t="s">
        <v>3419</v>
      </c>
      <c r="B2808" t="s">
        <v>75</v>
      </c>
      <c r="C2808" t="s">
        <v>597</v>
      </c>
      <c r="D2808">
        <v>1107.99</v>
      </c>
      <c r="E2808" s="37" t="str">
        <f t="shared" si="215"/>
        <v xml:space="preserve"> </v>
      </c>
      <c r="F2808">
        <v>0.19</v>
      </c>
      <c r="G2808" s="37" t="str">
        <f t="shared" si="216"/>
        <v>Normal Discount</v>
      </c>
      <c r="H2808" s="37" t="str">
        <f t="shared" si="217"/>
        <v>Low</v>
      </c>
      <c r="I2808">
        <v>2</v>
      </c>
      <c r="J2808" t="str" cm="1">
        <f t="array" ref="J2808">_xlfn.IFS(I2808&lt;=3,"small",I2808&lt;=6,"Medium",I2808&lt;=9,"Large")</f>
        <v>small</v>
      </c>
      <c r="K2808" s="36">
        <v>44988</v>
      </c>
      <c r="L2808" s="36">
        <v>44994</v>
      </c>
      <c r="M2808" t="s">
        <v>612</v>
      </c>
      <c r="N2808" t="s">
        <v>608</v>
      </c>
      <c r="O2808" s="37" t="str">
        <f t="shared" si="218"/>
        <v>Cash Payment</v>
      </c>
      <c r="P2808">
        <v>132.34</v>
      </c>
      <c r="Q2808" s="37" t="str">
        <f>IF(P2808&gt;500,"High","low")</f>
        <v>low</v>
      </c>
      <c r="R2808" s="37" t="str">
        <f t="shared" si="219"/>
        <v>AVERAGE</v>
      </c>
      <c r="S2808" t="s">
        <v>628</v>
      </c>
    </row>
    <row r="2809" spans="1:19" x14ac:dyDescent="0.2">
      <c r="A2809" t="s">
        <v>3420</v>
      </c>
      <c r="B2809" t="s">
        <v>90</v>
      </c>
      <c r="C2809" t="s">
        <v>602</v>
      </c>
      <c r="D2809">
        <v>2514.64</v>
      </c>
      <c r="E2809" s="37" t="str">
        <f t="shared" si="215"/>
        <v xml:space="preserve"> </v>
      </c>
      <c r="F2809">
        <v>0.38</v>
      </c>
      <c r="G2809" s="37" t="str">
        <f t="shared" si="216"/>
        <v>Heavy Discount</v>
      </c>
      <c r="H2809" s="37" t="str">
        <f t="shared" si="217"/>
        <v>Medium</v>
      </c>
      <c r="I2809">
        <v>7</v>
      </c>
      <c r="J2809" t="str" cm="1">
        <f t="array" ref="J2809">_xlfn.IFS(I2809&lt;=3,"small",I2809&lt;=6,"Medium",I2809&lt;=9,"Large")</f>
        <v>Large</v>
      </c>
      <c r="K2809" s="36">
        <v>45023</v>
      </c>
      <c r="L2809" s="36">
        <v>45029</v>
      </c>
      <c r="M2809" t="s">
        <v>603</v>
      </c>
      <c r="N2809" t="s">
        <v>604</v>
      </c>
      <c r="O2809" s="37" t="str">
        <f t="shared" si="218"/>
        <v>Digital Payment</v>
      </c>
      <c r="P2809">
        <v>130.34</v>
      </c>
      <c r="Q2809" s="37" t="str">
        <f>IF(P2809&gt;500,"High","low")</f>
        <v>low</v>
      </c>
      <c r="R2809" s="37" t="str">
        <f t="shared" si="219"/>
        <v>AVERAGE</v>
      </c>
      <c r="S2809" t="s">
        <v>605</v>
      </c>
    </row>
    <row r="2810" spans="1:19" x14ac:dyDescent="0.2">
      <c r="A2810" t="s">
        <v>3421</v>
      </c>
      <c r="B2810" t="s">
        <v>75</v>
      </c>
      <c r="C2810" t="s">
        <v>617</v>
      </c>
      <c r="D2810">
        <v>1265.1600000000001</v>
      </c>
      <c r="E2810" s="37" t="str">
        <f t="shared" si="215"/>
        <v xml:space="preserve"> </v>
      </c>
      <c r="F2810">
        <v>0.43</v>
      </c>
      <c r="G2810" s="37" t="str">
        <f t="shared" si="216"/>
        <v>Heavy Discount</v>
      </c>
      <c r="H2810" s="37" t="str">
        <f t="shared" si="217"/>
        <v>High</v>
      </c>
      <c r="I2810">
        <v>5</v>
      </c>
      <c r="J2810" t="str" cm="1">
        <f t="array" ref="J2810">_xlfn.IFS(I2810&lt;=3,"small",I2810&lt;=6,"Medium",I2810&lt;=9,"Large")</f>
        <v>Medium</v>
      </c>
      <c r="K2810" s="36">
        <v>45362</v>
      </c>
      <c r="L2810" s="36">
        <v>45368</v>
      </c>
      <c r="M2810" t="s">
        <v>612</v>
      </c>
      <c r="N2810" t="s">
        <v>608</v>
      </c>
      <c r="O2810" s="37" t="str">
        <f t="shared" si="218"/>
        <v>Cash Payment</v>
      </c>
      <c r="P2810">
        <v>122.78</v>
      </c>
      <c r="Q2810" s="37" t="str">
        <f>IF(P2810&gt;500,"High","low")</f>
        <v>low</v>
      </c>
      <c r="R2810" s="37" t="str">
        <f t="shared" si="219"/>
        <v>AVERAGE</v>
      </c>
      <c r="S2810" t="s">
        <v>600</v>
      </c>
    </row>
    <row r="2811" spans="1:19" x14ac:dyDescent="0.2">
      <c r="A2811" t="s">
        <v>3422</v>
      </c>
      <c r="B2811" t="s">
        <v>67</v>
      </c>
      <c r="C2811" t="s">
        <v>617</v>
      </c>
      <c r="D2811">
        <v>573.99</v>
      </c>
      <c r="E2811" s="37" t="str">
        <f t="shared" si="215"/>
        <v xml:space="preserve"> </v>
      </c>
      <c r="F2811">
        <v>0.18</v>
      </c>
      <c r="G2811" s="37" t="str">
        <f t="shared" si="216"/>
        <v>Normal Discount</v>
      </c>
      <c r="H2811" s="37" t="str">
        <f t="shared" si="217"/>
        <v>Low</v>
      </c>
      <c r="I2811">
        <v>5</v>
      </c>
      <c r="J2811" t="str" cm="1">
        <f t="array" ref="J2811">_xlfn.IFS(I2811&lt;=3,"small",I2811&lt;=6,"Medium",I2811&lt;=9,"Large")</f>
        <v>Medium</v>
      </c>
      <c r="K2811" s="36">
        <v>45340</v>
      </c>
      <c r="L2811" s="36">
        <v>45344</v>
      </c>
      <c r="M2811" t="s">
        <v>598</v>
      </c>
      <c r="N2811" t="s">
        <v>599</v>
      </c>
      <c r="O2811" s="37" t="str">
        <f t="shared" si="218"/>
        <v>Digital Payment</v>
      </c>
      <c r="P2811">
        <v>162.72999999999999</v>
      </c>
      <c r="Q2811" s="37" t="str">
        <f>IF(P2811&gt;500,"High","low")</f>
        <v>low</v>
      </c>
      <c r="R2811" s="37" t="str">
        <f t="shared" si="219"/>
        <v>AVERAGE</v>
      </c>
      <c r="S2811" t="s">
        <v>605</v>
      </c>
    </row>
    <row r="2812" spans="1:19" x14ac:dyDescent="0.2">
      <c r="A2812" t="s">
        <v>3423</v>
      </c>
      <c r="B2812" t="s">
        <v>75</v>
      </c>
      <c r="C2812" t="s">
        <v>614</v>
      </c>
      <c r="D2812">
        <v>4026.86</v>
      </c>
      <c r="E2812" s="37" t="str">
        <f t="shared" si="215"/>
        <v xml:space="preserve"> </v>
      </c>
      <c r="F2812">
        <v>7.0000000000000007E-2</v>
      </c>
      <c r="G2812" s="37" t="str">
        <f t="shared" si="216"/>
        <v>Normal Discount</v>
      </c>
      <c r="H2812" s="37" t="str">
        <f t="shared" si="217"/>
        <v>Low</v>
      </c>
      <c r="I2812">
        <v>7</v>
      </c>
      <c r="J2812" t="str" cm="1">
        <f t="array" ref="J2812">_xlfn.IFS(I2812&lt;=3,"small",I2812&lt;=6,"Medium",I2812&lt;=9,"Large")</f>
        <v>Large</v>
      </c>
      <c r="K2812" s="36">
        <v>45055</v>
      </c>
      <c r="L2812" s="36">
        <v>45059</v>
      </c>
      <c r="M2812" t="s">
        <v>598</v>
      </c>
      <c r="N2812" t="s">
        <v>599</v>
      </c>
      <c r="O2812" s="37" t="str">
        <f t="shared" si="218"/>
        <v>Digital Payment</v>
      </c>
      <c r="P2812">
        <v>474.7</v>
      </c>
      <c r="Q2812" s="37" t="str">
        <f>IF(P2812&gt;500,"High","low")</f>
        <v>low</v>
      </c>
      <c r="R2812" s="37" t="str">
        <f t="shared" si="219"/>
        <v>AVERAGE</v>
      </c>
      <c r="S2812" t="s">
        <v>605</v>
      </c>
    </row>
    <row r="2813" spans="1:19" x14ac:dyDescent="0.2">
      <c r="A2813" t="s">
        <v>3424</v>
      </c>
      <c r="B2813" t="s">
        <v>75</v>
      </c>
      <c r="C2813" t="s">
        <v>614</v>
      </c>
      <c r="D2813">
        <v>2745.12</v>
      </c>
      <c r="E2813" s="37" t="str">
        <f t="shared" si="215"/>
        <v xml:space="preserve"> </v>
      </c>
      <c r="F2813">
        <v>0.25</v>
      </c>
      <c r="G2813" s="37" t="str">
        <f t="shared" si="216"/>
        <v>Normal Discount</v>
      </c>
      <c r="H2813" s="37" t="str">
        <f t="shared" si="217"/>
        <v>Medium</v>
      </c>
      <c r="I2813">
        <v>4</v>
      </c>
      <c r="J2813" t="str" cm="1">
        <f t="array" ref="J2813">_xlfn.IFS(I2813&lt;=3,"small",I2813&lt;=6,"Medium",I2813&lt;=9,"Large")</f>
        <v>Medium</v>
      </c>
      <c r="K2813" s="36">
        <v>45172</v>
      </c>
      <c r="L2813" s="36">
        <v>45175</v>
      </c>
      <c r="M2813" t="s">
        <v>598</v>
      </c>
      <c r="N2813" t="s">
        <v>604</v>
      </c>
      <c r="O2813" s="37" t="str">
        <f t="shared" si="218"/>
        <v>Digital Payment</v>
      </c>
      <c r="P2813">
        <v>626.46</v>
      </c>
      <c r="Q2813" s="37" t="str">
        <f>IF(P2813&gt;500,"High","low")</f>
        <v>High</v>
      </c>
      <c r="R2813" s="37" t="str">
        <f t="shared" si="219"/>
        <v>Good</v>
      </c>
      <c r="S2813" t="s">
        <v>620</v>
      </c>
    </row>
    <row r="2814" spans="1:19" x14ac:dyDescent="0.2">
      <c r="A2814" t="s">
        <v>3425</v>
      </c>
      <c r="B2814" t="s">
        <v>75</v>
      </c>
      <c r="C2814" t="s">
        <v>617</v>
      </c>
      <c r="D2814">
        <v>868.58</v>
      </c>
      <c r="E2814" s="37" t="str">
        <f t="shared" si="215"/>
        <v xml:space="preserve"> </v>
      </c>
      <c r="F2814">
        <v>0.49</v>
      </c>
      <c r="G2814" s="37" t="str">
        <f t="shared" si="216"/>
        <v>Heavy Discount</v>
      </c>
      <c r="H2814" s="37" t="str">
        <f t="shared" si="217"/>
        <v>High</v>
      </c>
      <c r="I2814">
        <v>3</v>
      </c>
      <c r="J2814" t="str" cm="1">
        <f t="array" ref="J2814">_xlfn.IFS(I2814&lt;=3,"small",I2814&lt;=6,"Medium",I2814&lt;=9,"Large")</f>
        <v>small</v>
      </c>
      <c r="K2814" s="36">
        <v>44936</v>
      </c>
      <c r="L2814" s="36">
        <v>44938</v>
      </c>
      <c r="M2814" t="s">
        <v>612</v>
      </c>
      <c r="N2814" t="s">
        <v>604</v>
      </c>
      <c r="O2814" s="37" t="str">
        <f t="shared" si="218"/>
        <v>Digital Payment</v>
      </c>
      <c r="P2814">
        <v>142.25</v>
      </c>
      <c r="Q2814" s="37" t="str">
        <f>IF(P2814&gt;500,"High","low")</f>
        <v>low</v>
      </c>
      <c r="R2814" s="37" t="str">
        <f t="shared" si="219"/>
        <v>AVERAGE</v>
      </c>
      <c r="S2814" t="s">
        <v>615</v>
      </c>
    </row>
    <row r="2815" spans="1:19" x14ac:dyDescent="0.2">
      <c r="A2815" t="s">
        <v>3426</v>
      </c>
      <c r="B2815" t="s">
        <v>67</v>
      </c>
      <c r="C2815" t="s">
        <v>614</v>
      </c>
      <c r="D2815">
        <v>2410.0100000000002</v>
      </c>
      <c r="E2815" s="37" t="str">
        <f t="shared" si="215"/>
        <v xml:space="preserve"> </v>
      </c>
      <c r="F2815">
        <v>0.1</v>
      </c>
      <c r="G2815" s="37" t="str">
        <f t="shared" si="216"/>
        <v>Normal Discount</v>
      </c>
      <c r="H2815" s="37" t="str">
        <f t="shared" si="217"/>
        <v>Low</v>
      </c>
      <c r="I2815">
        <v>9</v>
      </c>
      <c r="J2815" t="str" cm="1">
        <f t="array" ref="J2815">_xlfn.IFS(I2815&lt;=3,"small",I2815&lt;=6,"Medium",I2815&lt;=9,"Large")</f>
        <v>Large</v>
      </c>
      <c r="K2815" s="36">
        <v>45503</v>
      </c>
      <c r="L2815" s="36">
        <v>45510</v>
      </c>
      <c r="M2815" t="s">
        <v>603</v>
      </c>
      <c r="N2815" t="s">
        <v>599</v>
      </c>
      <c r="O2815" s="37" t="str">
        <f t="shared" si="218"/>
        <v>Digital Payment</v>
      </c>
      <c r="P2815">
        <v>711.67</v>
      </c>
      <c r="Q2815" s="37" t="str">
        <f>IF(P2815&gt;500,"High","low")</f>
        <v>High</v>
      </c>
      <c r="R2815" s="37" t="str">
        <f t="shared" si="219"/>
        <v>Good</v>
      </c>
      <c r="S2815" t="s">
        <v>628</v>
      </c>
    </row>
    <row r="2816" spans="1:19" x14ac:dyDescent="0.2">
      <c r="A2816" t="s">
        <v>3427</v>
      </c>
      <c r="B2816" t="s">
        <v>67</v>
      </c>
      <c r="C2816" t="s">
        <v>602</v>
      </c>
      <c r="D2816">
        <v>434.98</v>
      </c>
      <c r="E2816" s="37" t="str">
        <f t="shared" si="215"/>
        <v xml:space="preserve"> </v>
      </c>
      <c r="F2816">
        <v>0.23</v>
      </c>
      <c r="G2816" s="37" t="str">
        <f t="shared" si="216"/>
        <v>Normal Discount</v>
      </c>
      <c r="H2816" s="37" t="str">
        <f t="shared" si="217"/>
        <v>Medium</v>
      </c>
      <c r="I2816">
        <v>3</v>
      </c>
      <c r="J2816" t="str" cm="1">
        <f t="array" ref="J2816">_xlfn.IFS(I2816&lt;=3,"small",I2816&lt;=6,"Medium",I2816&lt;=9,"Large")</f>
        <v>small</v>
      </c>
      <c r="K2816" s="36">
        <v>45343</v>
      </c>
      <c r="L2816" s="36">
        <v>45348</v>
      </c>
      <c r="M2816" t="s">
        <v>598</v>
      </c>
      <c r="N2816" t="s">
        <v>599</v>
      </c>
      <c r="O2816" s="37" t="str">
        <f t="shared" si="218"/>
        <v>Digital Payment</v>
      </c>
      <c r="P2816">
        <v>128.16999999999999</v>
      </c>
      <c r="Q2816" s="37" t="str">
        <f>IF(P2816&gt;500,"High","low")</f>
        <v>low</v>
      </c>
      <c r="R2816" s="37" t="str">
        <f t="shared" si="219"/>
        <v>AVERAGE</v>
      </c>
      <c r="S2816" t="s">
        <v>628</v>
      </c>
    </row>
    <row r="2817" spans="1:19" x14ac:dyDescent="0.2">
      <c r="A2817" t="s">
        <v>3428</v>
      </c>
      <c r="B2817" t="s">
        <v>67</v>
      </c>
      <c r="C2817" t="s">
        <v>597</v>
      </c>
      <c r="D2817">
        <v>2944.11</v>
      </c>
      <c r="E2817" s="37" t="str">
        <f t="shared" si="215"/>
        <v xml:space="preserve"> </v>
      </c>
      <c r="F2817">
        <v>0.14000000000000001</v>
      </c>
      <c r="G2817" s="37" t="str">
        <f t="shared" si="216"/>
        <v>Normal Discount</v>
      </c>
      <c r="H2817" s="37" t="str">
        <f t="shared" si="217"/>
        <v>Low</v>
      </c>
      <c r="I2817">
        <v>5</v>
      </c>
      <c r="J2817" t="str" cm="1">
        <f t="array" ref="J2817">_xlfn.IFS(I2817&lt;=3,"small",I2817&lt;=6,"Medium",I2817&lt;=9,"Large")</f>
        <v>Medium</v>
      </c>
      <c r="K2817" s="36">
        <v>45275</v>
      </c>
      <c r="L2817" s="36">
        <v>45279</v>
      </c>
      <c r="M2817" t="s">
        <v>612</v>
      </c>
      <c r="N2817" t="s">
        <v>599</v>
      </c>
      <c r="O2817" s="37" t="str">
        <f t="shared" si="218"/>
        <v>Digital Payment</v>
      </c>
      <c r="P2817">
        <v>536.70000000000005</v>
      </c>
      <c r="Q2817" s="37" t="str">
        <f>IF(P2817&gt;500,"High","low")</f>
        <v>High</v>
      </c>
      <c r="R2817" s="37" t="str">
        <f t="shared" si="219"/>
        <v>Good</v>
      </c>
      <c r="S2817" t="s">
        <v>628</v>
      </c>
    </row>
    <row r="2818" spans="1:19" x14ac:dyDescent="0.2">
      <c r="A2818" t="s">
        <v>3429</v>
      </c>
      <c r="B2818" t="s">
        <v>67</v>
      </c>
      <c r="C2818" t="s">
        <v>597</v>
      </c>
      <c r="D2818">
        <v>1767.49</v>
      </c>
      <c r="E2818" s="37" t="str">
        <f t="shared" si="215"/>
        <v xml:space="preserve"> </v>
      </c>
      <c r="F2818">
        <v>0.46</v>
      </c>
      <c r="G2818" s="37" t="str">
        <f t="shared" si="216"/>
        <v>Heavy Discount</v>
      </c>
      <c r="H2818" s="37" t="str">
        <f t="shared" si="217"/>
        <v>High</v>
      </c>
      <c r="I2818">
        <v>2</v>
      </c>
      <c r="J2818" t="str" cm="1">
        <f t="array" ref="J2818">_xlfn.IFS(I2818&lt;=3,"small",I2818&lt;=6,"Medium",I2818&lt;=9,"Large")</f>
        <v>small</v>
      </c>
      <c r="K2818" s="36">
        <v>45345</v>
      </c>
      <c r="L2818" s="36">
        <v>45351</v>
      </c>
      <c r="M2818" t="s">
        <v>603</v>
      </c>
      <c r="N2818" t="s">
        <v>599</v>
      </c>
      <c r="O2818" s="37" t="str">
        <f t="shared" si="218"/>
        <v>Digital Payment</v>
      </c>
      <c r="P2818">
        <v>240.63</v>
      </c>
      <c r="Q2818" s="37" t="str">
        <f>IF(P2818&gt;500,"High","low")</f>
        <v>low</v>
      </c>
      <c r="R2818" s="37" t="str">
        <f t="shared" si="219"/>
        <v>AVERAGE</v>
      </c>
      <c r="S2818" t="s">
        <v>615</v>
      </c>
    </row>
    <row r="2819" spans="1:19" x14ac:dyDescent="0.2">
      <c r="A2819" t="s">
        <v>3430</v>
      </c>
      <c r="B2819" t="s">
        <v>90</v>
      </c>
      <c r="C2819" t="s">
        <v>607</v>
      </c>
      <c r="D2819">
        <v>607.29</v>
      </c>
      <c r="E2819" s="37" t="str">
        <f t="shared" ref="E2819:E2882" si="220">IF(AND(D2819&gt;4000,P2819&gt;800),"Excellent Order"," ")</f>
        <v xml:space="preserve"> </v>
      </c>
      <c r="F2819">
        <v>0.28000000000000003</v>
      </c>
      <c r="G2819" s="37" t="str">
        <f t="shared" ref="G2819:G2882" si="221">IF(F2819&gt;30%,"Heavy Discount","Normal Discount")</f>
        <v>Normal Discount</v>
      </c>
      <c r="H2819" s="37" t="str">
        <f t="shared" ref="H2819:H2882" si="222">IF(F2819&gt;0.4,"High",IF(F2819&gt;=0.2,"Medium","Low"))</f>
        <v>Medium</v>
      </c>
      <c r="I2819">
        <v>7</v>
      </c>
      <c r="J2819" t="str" cm="1">
        <f t="array" ref="J2819">_xlfn.IFS(I2819&lt;=3,"small",I2819&lt;=6,"Medium",I2819&lt;=9,"Large")</f>
        <v>Large</v>
      </c>
      <c r="K2819" s="36">
        <v>45091</v>
      </c>
      <c r="L2819" s="36">
        <v>45096</v>
      </c>
      <c r="M2819" t="s">
        <v>612</v>
      </c>
      <c r="N2819" t="s">
        <v>608</v>
      </c>
      <c r="O2819" s="37" t="str">
        <f t="shared" ref="O2819:O2882" si="223">IF(OR(N2819="Card",N2819="UPI"),"Digital Payment","Cash Payment")</f>
        <v>Cash Payment</v>
      </c>
      <c r="P2819">
        <v>91.65</v>
      </c>
      <c r="Q2819" s="37" t="str">
        <f>IF(P2819&gt;500,"High","low")</f>
        <v>low</v>
      </c>
      <c r="R2819" s="37" t="str">
        <f t="shared" ref="R2819:R2882" si="224">IF(P2819&gt;1000,"Excellent",IF(P2819&gt;=500,"Good","AVERAGE"))</f>
        <v>AVERAGE</v>
      </c>
      <c r="S2819" t="s">
        <v>609</v>
      </c>
    </row>
    <row r="2820" spans="1:19" x14ac:dyDescent="0.2">
      <c r="A2820" t="s">
        <v>3431</v>
      </c>
      <c r="B2820" t="s">
        <v>90</v>
      </c>
      <c r="C2820" t="s">
        <v>602</v>
      </c>
      <c r="D2820">
        <v>999.85</v>
      </c>
      <c r="E2820" s="37" t="str">
        <f t="shared" si="220"/>
        <v xml:space="preserve"> </v>
      </c>
      <c r="F2820">
        <v>0.28999999999999998</v>
      </c>
      <c r="G2820" s="37" t="str">
        <f t="shared" si="221"/>
        <v>Normal Discount</v>
      </c>
      <c r="H2820" s="37" t="str">
        <f t="shared" si="222"/>
        <v>Medium</v>
      </c>
      <c r="I2820">
        <v>7</v>
      </c>
      <c r="J2820" t="str" cm="1">
        <f t="array" ref="J2820">_xlfn.IFS(I2820&lt;=3,"small",I2820&lt;=6,"Medium",I2820&lt;=9,"Large")</f>
        <v>Large</v>
      </c>
      <c r="K2820" s="36">
        <v>45105</v>
      </c>
      <c r="L2820" s="36">
        <v>45108</v>
      </c>
      <c r="M2820" t="s">
        <v>598</v>
      </c>
      <c r="N2820" t="s">
        <v>608</v>
      </c>
      <c r="O2820" s="37" t="str">
        <f t="shared" si="223"/>
        <v>Cash Payment</v>
      </c>
      <c r="P2820">
        <v>139.32</v>
      </c>
      <c r="Q2820" s="37" t="str">
        <f>IF(P2820&gt;500,"High","low")</f>
        <v>low</v>
      </c>
      <c r="R2820" s="37" t="str">
        <f t="shared" si="224"/>
        <v>AVERAGE</v>
      </c>
      <c r="S2820" t="s">
        <v>628</v>
      </c>
    </row>
    <row r="2821" spans="1:19" x14ac:dyDescent="0.2">
      <c r="A2821" t="s">
        <v>3432</v>
      </c>
      <c r="B2821" t="s">
        <v>83</v>
      </c>
      <c r="C2821" t="s">
        <v>614</v>
      </c>
      <c r="D2821">
        <v>1793.94</v>
      </c>
      <c r="E2821" s="37" t="str">
        <f t="shared" si="220"/>
        <v xml:space="preserve"> </v>
      </c>
      <c r="F2821">
        <v>0</v>
      </c>
      <c r="G2821" s="37" t="str">
        <f t="shared" si="221"/>
        <v>Normal Discount</v>
      </c>
      <c r="H2821" s="37" t="str">
        <f t="shared" si="222"/>
        <v>Low</v>
      </c>
      <c r="I2821">
        <v>5</v>
      </c>
      <c r="J2821" t="str" cm="1">
        <f t="array" ref="J2821">_xlfn.IFS(I2821&lt;=3,"small",I2821&lt;=6,"Medium",I2821&lt;=9,"Large")</f>
        <v>Medium</v>
      </c>
      <c r="K2821" s="36">
        <v>44980</v>
      </c>
      <c r="L2821" s="36">
        <v>44981</v>
      </c>
      <c r="M2821" t="s">
        <v>612</v>
      </c>
      <c r="N2821" t="s">
        <v>599</v>
      </c>
      <c r="O2821" s="37" t="str">
        <f t="shared" si="223"/>
        <v>Digital Payment</v>
      </c>
      <c r="P2821">
        <v>115.96</v>
      </c>
      <c r="Q2821" s="37" t="str">
        <f>IF(P2821&gt;500,"High","low")</f>
        <v>low</v>
      </c>
      <c r="R2821" s="37" t="str">
        <f t="shared" si="224"/>
        <v>AVERAGE</v>
      </c>
      <c r="S2821" t="s">
        <v>605</v>
      </c>
    </row>
    <row r="2822" spans="1:19" x14ac:dyDescent="0.2">
      <c r="A2822" t="s">
        <v>3433</v>
      </c>
      <c r="B2822" t="s">
        <v>67</v>
      </c>
      <c r="C2822" t="s">
        <v>614</v>
      </c>
      <c r="D2822">
        <v>4051.4</v>
      </c>
      <c r="E2822" s="37" t="str">
        <f t="shared" si="220"/>
        <v xml:space="preserve"> </v>
      </c>
      <c r="F2822">
        <v>0.33</v>
      </c>
      <c r="G2822" s="37" t="str">
        <f t="shared" si="221"/>
        <v>Heavy Discount</v>
      </c>
      <c r="H2822" s="37" t="str">
        <f t="shared" si="222"/>
        <v>Medium</v>
      </c>
      <c r="I2822">
        <v>8</v>
      </c>
      <c r="J2822" t="str" cm="1">
        <f t="array" ref="J2822">_xlfn.IFS(I2822&lt;=3,"small",I2822&lt;=6,"Medium",I2822&lt;=9,"Large")</f>
        <v>Large</v>
      </c>
      <c r="K2822" s="36">
        <v>45245</v>
      </c>
      <c r="L2822" s="36">
        <v>45246</v>
      </c>
      <c r="M2822" t="s">
        <v>598</v>
      </c>
      <c r="N2822" t="s">
        <v>599</v>
      </c>
      <c r="O2822" s="37" t="str">
        <f t="shared" si="223"/>
        <v>Digital Payment</v>
      </c>
      <c r="P2822">
        <v>252.99</v>
      </c>
      <c r="Q2822" s="37" t="str">
        <f>IF(P2822&gt;500,"High","low")</f>
        <v>low</v>
      </c>
      <c r="R2822" s="37" t="str">
        <f t="shared" si="224"/>
        <v>AVERAGE</v>
      </c>
      <c r="S2822" t="s">
        <v>620</v>
      </c>
    </row>
    <row r="2823" spans="1:19" x14ac:dyDescent="0.2">
      <c r="A2823" t="s">
        <v>3434</v>
      </c>
      <c r="B2823" t="s">
        <v>90</v>
      </c>
      <c r="C2823" t="s">
        <v>607</v>
      </c>
      <c r="D2823">
        <v>951.4</v>
      </c>
      <c r="E2823" s="37" t="str">
        <f t="shared" si="220"/>
        <v xml:space="preserve"> </v>
      </c>
      <c r="F2823">
        <v>0.15</v>
      </c>
      <c r="G2823" s="37" t="str">
        <f t="shared" si="221"/>
        <v>Normal Discount</v>
      </c>
      <c r="H2823" s="37" t="str">
        <f t="shared" si="222"/>
        <v>Low</v>
      </c>
      <c r="I2823">
        <v>9</v>
      </c>
      <c r="J2823" t="str" cm="1">
        <f t="array" ref="J2823">_xlfn.IFS(I2823&lt;=3,"small",I2823&lt;=6,"Medium",I2823&lt;=9,"Large")</f>
        <v>Large</v>
      </c>
      <c r="K2823" s="36">
        <v>44972</v>
      </c>
      <c r="L2823" s="36">
        <v>44978</v>
      </c>
      <c r="M2823" t="s">
        <v>598</v>
      </c>
      <c r="N2823" t="s">
        <v>608</v>
      </c>
      <c r="O2823" s="37" t="str">
        <f t="shared" si="223"/>
        <v>Cash Payment</v>
      </c>
      <c r="P2823">
        <v>181.07</v>
      </c>
      <c r="Q2823" s="37" t="str">
        <f>IF(P2823&gt;500,"High","low")</f>
        <v>low</v>
      </c>
      <c r="R2823" s="37" t="str">
        <f t="shared" si="224"/>
        <v>AVERAGE</v>
      </c>
      <c r="S2823" t="s">
        <v>600</v>
      </c>
    </row>
    <row r="2824" spans="1:19" x14ac:dyDescent="0.2">
      <c r="A2824" t="s">
        <v>3435</v>
      </c>
      <c r="B2824" t="s">
        <v>75</v>
      </c>
      <c r="C2824" t="s">
        <v>607</v>
      </c>
      <c r="D2824">
        <v>637.35</v>
      </c>
      <c r="E2824" s="37" t="str">
        <f t="shared" si="220"/>
        <v xml:space="preserve"> </v>
      </c>
      <c r="F2824">
        <v>0.26</v>
      </c>
      <c r="G2824" s="37" t="str">
        <f t="shared" si="221"/>
        <v>Normal Discount</v>
      </c>
      <c r="H2824" s="37" t="str">
        <f t="shared" si="222"/>
        <v>Medium</v>
      </c>
      <c r="I2824">
        <v>4</v>
      </c>
      <c r="J2824" t="str" cm="1">
        <f t="array" ref="J2824">_xlfn.IFS(I2824&lt;=3,"small",I2824&lt;=6,"Medium",I2824&lt;=9,"Large")</f>
        <v>Medium</v>
      </c>
      <c r="K2824" s="36">
        <v>45356</v>
      </c>
      <c r="L2824" s="36">
        <v>45362</v>
      </c>
      <c r="M2824" t="s">
        <v>598</v>
      </c>
      <c r="N2824" t="s">
        <v>604</v>
      </c>
      <c r="O2824" s="37" t="str">
        <f t="shared" si="223"/>
        <v>Digital Payment</v>
      </c>
      <c r="P2824">
        <v>123.53</v>
      </c>
      <c r="Q2824" s="37" t="str">
        <f>IF(P2824&gt;500,"High","low")</f>
        <v>low</v>
      </c>
      <c r="R2824" s="37" t="str">
        <f t="shared" si="224"/>
        <v>AVERAGE</v>
      </c>
      <c r="S2824" t="s">
        <v>628</v>
      </c>
    </row>
    <row r="2825" spans="1:19" x14ac:dyDescent="0.2">
      <c r="A2825" t="s">
        <v>3436</v>
      </c>
      <c r="B2825" t="s">
        <v>67</v>
      </c>
      <c r="C2825" t="s">
        <v>614</v>
      </c>
      <c r="D2825">
        <v>2628.1</v>
      </c>
      <c r="E2825" s="37" t="str">
        <f t="shared" si="220"/>
        <v xml:space="preserve"> </v>
      </c>
      <c r="F2825">
        <v>0.27</v>
      </c>
      <c r="G2825" s="37" t="str">
        <f t="shared" si="221"/>
        <v>Normal Discount</v>
      </c>
      <c r="H2825" s="37" t="str">
        <f t="shared" si="222"/>
        <v>Medium</v>
      </c>
      <c r="I2825">
        <v>2</v>
      </c>
      <c r="J2825" t="str" cm="1">
        <f t="array" ref="J2825">_xlfn.IFS(I2825&lt;=3,"small",I2825&lt;=6,"Medium",I2825&lt;=9,"Large")</f>
        <v>small</v>
      </c>
      <c r="K2825" s="36">
        <v>45303</v>
      </c>
      <c r="L2825" s="36">
        <v>45307</v>
      </c>
      <c r="M2825" t="s">
        <v>598</v>
      </c>
      <c r="N2825" t="s">
        <v>599</v>
      </c>
      <c r="O2825" s="37" t="str">
        <f t="shared" si="223"/>
        <v>Digital Payment</v>
      </c>
      <c r="P2825">
        <v>179.2</v>
      </c>
      <c r="Q2825" s="37" t="str">
        <f>IF(P2825&gt;500,"High","low")</f>
        <v>low</v>
      </c>
      <c r="R2825" s="37" t="str">
        <f t="shared" si="224"/>
        <v>AVERAGE</v>
      </c>
      <c r="S2825" t="s">
        <v>615</v>
      </c>
    </row>
    <row r="2826" spans="1:19" x14ac:dyDescent="0.2">
      <c r="A2826" t="s">
        <v>3437</v>
      </c>
      <c r="B2826" t="s">
        <v>83</v>
      </c>
      <c r="C2826" t="s">
        <v>614</v>
      </c>
      <c r="D2826">
        <v>2837.62</v>
      </c>
      <c r="E2826" s="37" t="str">
        <f t="shared" si="220"/>
        <v xml:space="preserve"> </v>
      </c>
      <c r="F2826">
        <v>0.3</v>
      </c>
      <c r="G2826" s="37" t="str">
        <f t="shared" si="221"/>
        <v>Normal Discount</v>
      </c>
      <c r="H2826" s="37" t="str">
        <f t="shared" si="222"/>
        <v>Medium</v>
      </c>
      <c r="I2826">
        <v>2</v>
      </c>
      <c r="J2826" t="str" cm="1">
        <f t="array" ref="J2826">_xlfn.IFS(I2826&lt;=3,"small",I2826&lt;=6,"Medium",I2826&lt;=9,"Large")</f>
        <v>small</v>
      </c>
      <c r="K2826" s="36">
        <v>45104</v>
      </c>
      <c r="L2826" s="36">
        <v>45111</v>
      </c>
      <c r="M2826" t="s">
        <v>612</v>
      </c>
      <c r="N2826" t="s">
        <v>599</v>
      </c>
      <c r="O2826" s="37" t="str">
        <f t="shared" si="223"/>
        <v>Digital Payment</v>
      </c>
      <c r="P2826">
        <v>416.41</v>
      </c>
      <c r="Q2826" s="37" t="str">
        <f>IF(P2826&gt;500,"High","low")</f>
        <v>low</v>
      </c>
      <c r="R2826" s="37" t="str">
        <f t="shared" si="224"/>
        <v>AVERAGE</v>
      </c>
      <c r="S2826" t="s">
        <v>615</v>
      </c>
    </row>
    <row r="2827" spans="1:19" x14ac:dyDescent="0.2">
      <c r="A2827" t="s">
        <v>3438</v>
      </c>
      <c r="B2827" t="s">
        <v>83</v>
      </c>
      <c r="C2827" t="s">
        <v>602</v>
      </c>
      <c r="D2827">
        <v>542.17999999999995</v>
      </c>
      <c r="E2827" s="37" t="str">
        <f t="shared" si="220"/>
        <v xml:space="preserve"> </v>
      </c>
      <c r="F2827">
        <v>0.41</v>
      </c>
      <c r="G2827" s="37" t="str">
        <f t="shared" si="221"/>
        <v>Heavy Discount</v>
      </c>
      <c r="H2827" s="37" t="str">
        <f t="shared" si="222"/>
        <v>High</v>
      </c>
      <c r="I2827">
        <v>4</v>
      </c>
      <c r="J2827" t="str" cm="1">
        <f t="array" ref="J2827">_xlfn.IFS(I2827&lt;=3,"small",I2827&lt;=6,"Medium",I2827&lt;=9,"Large")</f>
        <v>Medium</v>
      </c>
      <c r="K2827" s="36">
        <v>45445</v>
      </c>
      <c r="L2827" s="36">
        <v>45448</v>
      </c>
      <c r="M2827" t="s">
        <v>612</v>
      </c>
      <c r="N2827" t="s">
        <v>604</v>
      </c>
      <c r="O2827" s="37" t="str">
        <f t="shared" si="223"/>
        <v>Digital Payment</v>
      </c>
      <c r="P2827">
        <v>151.82</v>
      </c>
      <c r="Q2827" s="37" t="str">
        <f>IF(P2827&gt;500,"High","low")</f>
        <v>low</v>
      </c>
      <c r="R2827" s="37" t="str">
        <f t="shared" si="224"/>
        <v>AVERAGE</v>
      </c>
      <c r="S2827" t="s">
        <v>605</v>
      </c>
    </row>
    <row r="2828" spans="1:19" x14ac:dyDescent="0.2">
      <c r="A2828" t="s">
        <v>3439</v>
      </c>
      <c r="B2828" t="s">
        <v>83</v>
      </c>
      <c r="C2828" t="s">
        <v>607</v>
      </c>
      <c r="D2828">
        <v>1493.97</v>
      </c>
      <c r="E2828" s="37" t="str">
        <f t="shared" si="220"/>
        <v xml:space="preserve"> </v>
      </c>
      <c r="F2828">
        <v>0.15</v>
      </c>
      <c r="G2828" s="37" t="str">
        <f t="shared" si="221"/>
        <v>Normal Discount</v>
      </c>
      <c r="H2828" s="37" t="str">
        <f t="shared" si="222"/>
        <v>Low</v>
      </c>
      <c r="I2828">
        <v>6</v>
      </c>
      <c r="J2828" t="str" cm="1">
        <f t="array" ref="J2828">_xlfn.IFS(I2828&lt;=3,"small",I2828&lt;=6,"Medium",I2828&lt;=9,"Large")</f>
        <v>Medium</v>
      </c>
      <c r="K2828" s="36">
        <v>45522</v>
      </c>
      <c r="L2828" s="36">
        <v>45529</v>
      </c>
      <c r="M2828" t="s">
        <v>603</v>
      </c>
      <c r="N2828" t="s">
        <v>608</v>
      </c>
      <c r="O2828" s="37" t="str">
        <f t="shared" si="223"/>
        <v>Cash Payment</v>
      </c>
      <c r="P2828">
        <v>237.81</v>
      </c>
      <c r="Q2828" s="37" t="str">
        <f>IF(P2828&gt;500,"High","low")</f>
        <v>low</v>
      </c>
      <c r="R2828" s="37" t="str">
        <f t="shared" si="224"/>
        <v>AVERAGE</v>
      </c>
      <c r="S2828" t="s">
        <v>620</v>
      </c>
    </row>
    <row r="2829" spans="1:19" x14ac:dyDescent="0.2">
      <c r="A2829" t="s">
        <v>3440</v>
      </c>
      <c r="B2829" t="s">
        <v>75</v>
      </c>
      <c r="C2829" t="s">
        <v>602</v>
      </c>
      <c r="D2829">
        <v>1387.54</v>
      </c>
      <c r="E2829" s="37" t="str">
        <f t="shared" si="220"/>
        <v xml:space="preserve"> </v>
      </c>
      <c r="F2829">
        <v>0.13</v>
      </c>
      <c r="G2829" s="37" t="str">
        <f t="shared" si="221"/>
        <v>Normal Discount</v>
      </c>
      <c r="H2829" s="37" t="str">
        <f t="shared" si="222"/>
        <v>Low</v>
      </c>
      <c r="I2829">
        <v>6</v>
      </c>
      <c r="J2829" t="str" cm="1">
        <f t="array" ref="J2829">_xlfn.IFS(I2829&lt;=3,"small",I2829&lt;=6,"Medium",I2829&lt;=9,"Large")</f>
        <v>Medium</v>
      </c>
      <c r="K2829" s="36">
        <v>45054</v>
      </c>
      <c r="L2829" s="36">
        <v>45057</v>
      </c>
      <c r="M2829" t="s">
        <v>603</v>
      </c>
      <c r="N2829" t="s">
        <v>599</v>
      </c>
      <c r="O2829" s="37" t="str">
        <f t="shared" si="223"/>
        <v>Digital Payment</v>
      </c>
      <c r="P2829">
        <v>192.94</v>
      </c>
      <c r="Q2829" s="37" t="str">
        <f>IF(P2829&gt;500,"High","low")</f>
        <v>low</v>
      </c>
      <c r="R2829" s="37" t="str">
        <f t="shared" si="224"/>
        <v>AVERAGE</v>
      </c>
      <c r="S2829" t="s">
        <v>628</v>
      </c>
    </row>
    <row r="2830" spans="1:19" x14ac:dyDescent="0.2">
      <c r="A2830" t="s">
        <v>3441</v>
      </c>
      <c r="B2830" t="s">
        <v>90</v>
      </c>
      <c r="C2830" t="s">
        <v>614</v>
      </c>
      <c r="D2830">
        <v>1012.49</v>
      </c>
      <c r="E2830" s="37" t="str">
        <f t="shared" si="220"/>
        <v xml:space="preserve"> </v>
      </c>
      <c r="F2830">
        <v>0.4</v>
      </c>
      <c r="G2830" s="37" t="str">
        <f t="shared" si="221"/>
        <v>Heavy Discount</v>
      </c>
      <c r="H2830" s="37" t="str">
        <f t="shared" si="222"/>
        <v>Medium</v>
      </c>
      <c r="I2830">
        <v>2</v>
      </c>
      <c r="J2830" t="str" cm="1">
        <f t="array" ref="J2830">_xlfn.IFS(I2830&lt;=3,"small",I2830&lt;=6,"Medium",I2830&lt;=9,"Large")</f>
        <v>small</v>
      </c>
      <c r="K2830" s="36">
        <v>45417</v>
      </c>
      <c r="L2830" s="36">
        <v>45422</v>
      </c>
      <c r="M2830" t="s">
        <v>603</v>
      </c>
      <c r="N2830" t="s">
        <v>604</v>
      </c>
      <c r="O2830" s="37" t="str">
        <f t="shared" si="223"/>
        <v>Digital Payment</v>
      </c>
      <c r="P2830">
        <v>69.02</v>
      </c>
      <c r="Q2830" s="37" t="str">
        <f>IF(P2830&gt;500,"High","low")</f>
        <v>low</v>
      </c>
      <c r="R2830" s="37" t="str">
        <f t="shared" si="224"/>
        <v>AVERAGE</v>
      </c>
      <c r="S2830" t="s">
        <v>609</v>
      </c>
    </row>
    <row r="2831" spans="1:19" x14ac:dyDescent="0.2">
      <c r="A2831" t="s">
        <v>3442</v>
      </c>
      <c r="B2831" t="s">
        <v>75</v>
      </c>
      <c r="C2831" t="s">
        <v>617</v>
      </c>
      <c r="D2831">
        <v>1646.63</v>
      </c>
      <c r="E2831" s="37" t="str">
        <f t="shared" si="220"/>
        <v xml:space="preserve"> </v>
      </c>
      <c r="F2831">
        <v>0.36</v>
      </c>
      <c r="G2831" s="37" t="str">
        <f t="shared" si="221"/>
        <v>Heavy Discount</v>
      </c>
      <c r="H2831" s="37" t="str">
        <f t="shared" si="222"/>
        <v>Medium</v>
      </c>
      <c r="I2831">
        <v>1</v>
      </c>
      <c r="J2831" t="str" cm="1">
        <f t="array" ref="J2831">_xlfn.IFS(I2831&lt;=3,"small",I2831&lt;=6,"Medium",I2831&lt;=9,"Large")</f>
        <v>small</v>
      </c>
      <c r="K2831" s="36">
        <v>45652</v>
      </c>
      <c r="L2831" s="36">
        <v>45659</v>
      </c>
      <c r="M2831" t="s">
        <v>603</v>
      </c>
      <c r="N2831" t="s">
        <v>604</v>
      </c>
      <c r="O2831" s="37" t="str">
        <f t="shared" si="223"/>
        <v>Digital Payment</v>
      </c>
      <c r="P2831">
        <v>422.78</v>
      </c>
      <c r="Q2831" s="37" t="str">
        <f>IF(P2831&gt;500,"High","low")</f>
        <v>low</v>
      </c>
      <c r="R2831" s="37" t="str">
        <f t="shared" si="224"/>
        <v>AVERAGE</v>
      </c>
      <c r="S2831" t="s">
        <v>615</v>
      </c>
    </row>
    <row r="2832" spans="1:19" x14ac:dyDescent="0.2">
      <c r="A2832" t="s">
        <v>3443</v>
      </c>
      <c r="B2832" t="s">
        <v>67</v>
      </c>
      <c r="C2832" t="s">
        <v>617</v>
      </c>
      <c r="D2832">
        <v>281.83</v>
      </c>
      <c r="E2832" s="37" t="str">
        <f t="shared" si="220"/>
        <v xml:space="preserve"> </v>
      </c>
      <c r="F2832">
        <v>0.11</v>
      </c>
      <c r="G2832" s="37" t="str">
        <f t="shared" si="221"/>
        <v>Normal Discount</v>
      </c>
      <c r="H2832" s="37" t="str">
        <f t="shared" si="222"/>
        <v>Low</v>
      </c>
      <c r="I2832">
        <v>2</v>
      </c>
      <c r="J2832" t="str" cm="1">
        <f t="array" ref="J2832">_xlfn.IFS(I2832&lt;=3,"small",I2832&lt;=6,"Medium",I2832&lt;=9,"Large")</f>
        <v>small</v>
      </c>
      <c r="K2832" s="36">
        <v>45160</v>
      </c>
      <c r="L2832" s="36">
        <v>45164</v>
      </c>
      <c r="M2832" t="s">
        <v>598</v>
      </c>
      <c r="N2832" t="s">
        <v>599</v>
      </c>
      <c r="O2832" s="37" t="str">
        <f t="shared" si="223"/>
        <v>Digital Payment</v>
      </c>
      <c r="P2832">
        <v>55.71</v>
      </c>
      <c r="Q2832" s="37" t="str">
        <f>IF(P2832&gt;500,"High","low")</f>
        <v>low</v>
      </c>
      <c r="R2832" s="37" t="str">
        <f t="shared" si="224"/>
        <v>AVERAGE</v>
      </c>
      <c r="S2832" t="s">
        <v>615</v>
      </c>
    </row>
    <row r="2833" spans="1:19" x14ac:dyDescent="0.2">
      <c r="A2833" t="s">
        <v>3444</v>
      </c>
      <c r="B2833" t="s">
        <v>83</v>
      </c>
      <c r="C2833" t="s">
        <v>614</v>
      </c>
      <c r="D2833">
        <v>3292.59</v>
      </c>
      <c r="E2833" s="37" t="str">
        <f t="shared" si="220"/>
        <v xml:space="preserve"> </v>
      </c>
      <c r="F2833">
        <v>0</v>
      </c>
      <c r="G2833" s="37" t="str">
        <f t="shared" si="221"/>
        <v>Normal Discount</v>
      </c>
      <c r="H2833" s="37" t="str">
        <f t="shared" si="222"/>
        <v>Low</v>
      </c>
      <c r="I2833">
        <v>8</v>
      </c>
      <c r="J2833" t="str" cm="1">
        <f t="array" ref="J2833">_xlfn.IFS(I2833&lt;=3,"small",I2833&lt;=6,"Medium",I2833&lt;=9,"Large")</f>
        <v>Large</v>
      </c>
      <c r="K2833" s="36">
        <v>44938</v>
      </c>
      <c r="L2833" s="36">
        <v>44939</v>
      </c>
      <c r="M2833" t="s">
        <v>598</v>
      </c>
      <c r="N2833" t="s">
        <v>604</v>
      </c>
      <c r="O2833" s="37" t="str">
        <f t="shared" si="223"/>
        <v>Digital Payment</v>
      </c>
      <c r="P2833">
        <v>303.27</v>
      </c>
      <c r="Q2833" s="37" t="str">
        <f>IF(P2833&gt;500,"High","low")</f>
        <v>low</v>
      </c>
      <c r="R2833" s="37" t="str">
        <f t="shared" si="224"/>
        <v>AVERAGE</v>
      </c>
      <c r="S2833" t="s">
        <v>620</v>
      </c>
    </row>
    <row r="2834" spans="1:19" x14ac:dyDescent="0.2">
      <c r="A2834" t="s">
        <v>3445</v>
      </c>
      <c r="B2834" t="s">
        <v>75</v>
      </c>
      <c r="C2834" t="s">
        <v>607</v>
      </c>
      <c r="D2834">
        <v>4943.59</v>
      </c>
      <c r="E2834" s="37" t="str">
        <f t="shared" si="220"/>
        <v xml:space="preserve"> </v>
      </c>
      <c r="F2834">
        <v>0.33</v>
      </c>
      <c r="G2834" s="37" t="str">
        <f t="shared" si="221"/>
        <v>Heavy Discount</v>
      </c>
      <c r="H2834" s="37" t="str">
        <f t="shared" si="222"/>
        <v>Medium</v>
      </c>
      <c r="I2834">
        <v>5</v>
      </c>
      <c r="J2834" t="str" cm="1">
        <f t="array" ref="J2834">_xlfn.IFS(I2834&lt;=3,"small",I2834&lt;=6,"Medium",I2834&lt;=9,"Large")</f>
        <v>Medium</v>
      </c>
      <c r="K2834" s="36">
        <v>45512</v>
      </c>
      <c r="L2834" s="36">
        <v>45515</v>
      </c>
      <c r="M2834" t="s">
        <v>612</v>
      </c>
      <c r="N2834" t="s">
        <v>604</v>
      </c>
      <c r="O2834" s="37" t="str">
        <f t="shared" si="223"/>
        <v>Digital Payment</v>
      </c>
      <c r="P2834">
        <v>760.67</v>
      </c>
      <c r="Q2834" s="37" t="str">
        <f>IF(P2834&gt;500,"High","low")</f>
        <v>High</v>
      </c>
      <c r="R2834" s="37" t="str">
        <f t="shared" si="224"/>
        <v>Good</v>
      </c>
      <c r="S2834" t="s">
        <v>605</v>
      </c>
    </row>
    <row r="2835" spans="1:19" x14ac:dyDescent="0.2">
      <c r="A2835" t="s">
        <v>3446</v>
      </c>
      <c r="B2835" t="s">
        <v>75</v>
      </c>
      <c r="C2835" t="s">
        <v>617</v>
      </c>
      <c r="D2835">
        <v>3206.83</v>
      </c>
      <c r="E2835" s="37" t="str">
        <f t="shared" si="220"/>
        <v xml:space="preserve"> </v>
      </c>
      <c r="F2835">
        <v>0.08</v>
      </c>
      <c r="G2835" s="37" t="str">
        <f t="shared" si="221"/>
        <v>Normal Discount</v>
      </c>
      <c r="H2835" s="37" t="str">
        <f t="shared" si="222"/>
        <v>Low</v>
      </c>
      <c r="I2835">
        <v>3</v>
      </c>
      <c r="J2835" t="str" cm="1">
        <f t="array" ref="J2835">_xlfn.IFS(I2835&lt;=3,"small",I2835&lt;=6,"Medium",I2835&lt;=9,"Large")</f>
        <v>small</v>
      </c>
      <c r="K2835" s="36">
        <v>45476</v>
      </c>
      <c r="L2835" s="36">
        <v>45482</v>
      </c>
      <c r="M2835" t="s">
        <v>612</v>
      </c>
      <c r="N2835" t="s">
        <v>599</v>
      </c>
      <c r="O2835" s="37" t="str">
        <f t="shared" si="223"/>
        <v>Digital Payment</v>
      </c>
      <c r="P2835">
        <v>745</v>
      </c>
      <c r="Q2835" s="37" t="str">
        <f>IF(P2835&gt;500,"High","low")</f>
        <v>High</v>
      </c>
      <c r="R2835" s="37" t="str">
        <f t="shared" si="224"/>
        <v>Good</v>
      </c>
      <c r="S2835" t="s">
        <v>628</v>
      </c>
    </row>
    <row r="2836" spans="1:19" x14ac:dyDescent="0.2">
      <c r="A2836" t="s">
        <v>3447</v>
      </c>
      <c r="B2836" t="s">
        <v>90</v>
      </c>
      <c r="C2836" t="s">
        <v>607</v>
      </c>
      <c r="D2836">
        <v>1869.27</v>
      </c>
      <c r="E2836" s="37" t="str">
        <f t="shared" si="220"/>
        <v xml:space="preserve"> </v>
      </c>
      <c r="F2836">
        <v>0.48</v>
      </c>
      <c r="G2836" s="37" t="str">
        <f t="shared" si="221"/>
        <v>Heavy Discount</v>
      </c>
      <c r="H2836" s="37" t="str">
        <f t="shared" si="222"/>
        <v>High</v>
      </c>
      <c r="I2836">
        <v>9</v>
      </c>
      <c r="J2836" t="str" cm="1">
        <f t="array" ref="J2836">_xlfn.IFS(I2836&lt;=3,"small",I2836&lt;=6,"Medium",I2836&lt;=9,"Large")</f>
        <v>Large</v>
      </c>
      <c r="K2836" s="36">
        <v>45414</v>
      </c>
      <c r="L2836" s="36">
        <v>45417</v>
      </c>
      <c r="M2836" t="s">
        <v>603</v>
      </c>
      <c r="N2836" t="s">
        <v>599</v>
      </c>
      <c r="O2836" s="37" t="str">
        <f t="shared" si="223"/>
        <v>Digital Payment</v>
      </c>
      <c r="P2836">
        <v>217.31</v>
      </c>
      <c r="Q2836" s="37" t="str">
        <f>IF(P2836&gt;500,"High","low")</f>
        <v>low</v>
      </c>
      <c r="R2836" s="37" t="str">
        <f t="shared" si="224"/>
        <v>AVERAGE</v>
      </c>
      <c r="S2836" t="s">
        <v>620</v>
      </c>
    </row>
    <row r="2837" spans="1:19" x14ac:dyDescent="0.2">
      <c r="A2837" t="s">
        <v>3448</v>
      </c>
      <c r="B2837" t="s">
        <v>90</v>
      </c>
      <c r="C2837" t="s">
        <v>617</v>
      </c>
      <c r="D2837">
        <v>3372.76</v>
      </c>
      <c r="E2837" s="37" t="str">
        <f t="shared" si="220"/>
        <v xml:space="preserve"> </v>
      </c>
      <c r="F2837">
        <v>0.3</v>
      </c>
      <c r="G2837" s="37" t="str">
        <f t="shared" si="221"/>
        <v>Normal Discount</v>
      </c>
      <c r="H2837" s="37" t="str">
        <f t="shared" si="222"/>
        <v>Medium</v>
      </c>
      <c r="I2837">
        <v>7</v>
      </c>
      <c r="J2837" t="str" cm="1">
        <f t="array" ref="J2837">_xlfn.IFS(I2837&lt;=3,"small",I2837&lt;=6,"Medium",I2837&lt;=9,"Large")</f>
        <v>Large</v>
      </c>
      <c r="K2837" s="36">
        <v>45587</v>
      </c>
      <c r="L2837" s="36">
        <v>45588</v>
      </c>
      <c r="M2837" t="s">
        <v>612</v>
      </c>
      <c r="N2837" t="s">
        <v>604</v>
      </c>
      <c r="O2837" s="37" t="str">
        <f t="shared" si="223"/>
        <v>Digital Payment</v>
      </c>
      <c r="P2837">
        <v>578.92999999999995</v>
      </c>
      <c r="Q2837" s="37" t="str">
        <f>IF(P2837&gt;500,"High","low")</f>
        <v>High</v>
      </c>
      <c r="R2837" s="37" t="str">
        <f t="shared" si="224"/>
        <v>Good</v>
      </c>
      <c r="S2837" t="s">
        <v>609</v>
      </c>
    </row>
    <row r="2838" spans="1:19" x14ac:dyDescent="0.2">
      <c r="A2838" t="s">
        <v>3449</v>
      </c>
      <c r="B2838" t="s">
        <v>83</v>
      </c>
      <c r="C2838" t="s">
        <v>607</v>
      </c>
      <c r="D2838">
        <v>2900.43</v>
      </c>
      <c r="E2838" s="37" t="str">
        <f t="shared" si="220"/>
        <v xml:space="preserve"> </v>
      </c>
      <c r="F2838">
        <v>0.42</v>
      </c>
      <c r="G2838" s="37" t="str">
        <f t="shared" si="221"/>
        <v>Heavy Discount</v>
      </c>
      <c r="H2838" s="37" t="str">
        <f t="shared" si="222"/>
        <v>High</v>
      </c>
      <c r="I2838">
        <v>8</v>
      </c>
      <c r="J2838" t="str" cm="1">
        <f t="array" ref="J2838">_xlfn.IFS(I2838&lt;=3,"small",I2838&lt;=6,"Medium",I2838&lt;=9,"Large")</f>
        <v>Large</v>
      </c>
      <c r="K2838" s="36">
        <v>45333</v>
      </c>
      <c r="L2838" s="36">
        <v>45338</v>
      </c>
      <c r="M2838" t="s">
        <v>612</v>
      </c>
      <c r="N2838" t="s">
        <v>599</v>
      </c>
      <c r="O2838" s="37" t="str">
        <f t="shared" si="223"/>
        <v>Digital Payment</v>
      </c>
      <c r="P2838">
        <v>538.86</v>
      </c>
      <c r="Q2838" s="37" t="str">
        <f>IF(P2838&gt;500,"High","low")</f>
        <v>High</v>
      </c>
      <c r="R2838" s="37" t="str">
        <f t="shared" si="224"/>
        <v>Good</v>
      </c>
      <c r="S2838" t="s">
        <v>615</v>
      </c>
    </row>
    <row r="2839" spans="1:19" x14ac:dyDescent="0.2">
      <c r="A2839" t="s">
        <v>3450</v>
      </c>
      <c r="B2839" t="s">
        <v>75</v>
      </c>
      <c r="C2839" t="s">
        <v>617</v>
      </c>
      <c r="D2839">
        <v>4249.1099999999997</v>
      </c>
      <c r="E2839" s="37" t="str">
        <f t="shared" si="220"/>
        <v>Excellent Order</v>
      </c>
      <c r="F2839">
        <v>0.4</v>
      </c>
      <c r="G2839" s="37" t="str">
        <f t="shared" si="221"/>
        <v>Heavy Discount</v>
      </c>
      <c r="H2839" s="37" t="str">
        <f t="shared" si="222"/>
        <v>Medium</v>
      </c>
      <c r="I2839">
        <v>6</v>
      </c>
      <c r="J2839" t="str" cm="1">
        <f t="array" ref="J2839">_xlfn.IFS(I2839&lt;=3,"small",I2839&lt;=6,"Medium",I2839&lt;=9,"Large")</f>
        <v>Medium</v>
      </c>
      <c r="K2839" s="36">
        <v>45405</v>
      </c>
      <c r="L2839" s="36">
        <v>45410</v>
      </c>
      <c r="M2839" t="s">
        <v>612</v>
      </c>
      <c r="N2839" t="s">
        <v>599</v>
      </c>
      <c r="O2839" s="37" t="str">
        <f t="shared" si="223"/>
        <v>Digital Payment</v>
      </c>
      <c r="P2839">
        <v>971.05</v>
      </c>
      <c r="Q2839" s="37" t="str">
        <f>IF(P2839&gt;500,"High","low")</f>
        <v>High</v>
      </c>
      <c r="R2839" s="37" t="str">
        <f t="shared" si="224"/>
        <v>Good</v>
      </c>
      <c r="S2839" t="s">
        <v>600</v>
      </c>
    </row>
    <row r="2840" spans="1:19" x14ac:dyDescent="0.2">
      <c r="A2840" t="s">
        <v>3451</v>
      </c>
      <c r="B2840" t="s">
        <v>75</v>
      </c>
      <c r="C2840" t="s">
        <v>607</v>
      </c>
      <c r="D2840">
        <v>3147.19</v>
      </c>
      <c r="E2840" s="37" t="str">
        <f t="shared" si="220"/>
        <v xml:space="preserve"> </v>
      </c>
      <c r="F2840">
        <v>0.28000000000000003</v>
      </c>
      <c r="G2840" s="37" t="str">
        <f t="shared" si="221"/>
        <v>Normal Discount</v>
      </c>
      <c r="H2840" s="37" t="str">
        <f t="shared" si="222"/>
        <v>Medium</v>
      </c>
      <c r="I2840">
        <v>7</v>
      </c>
      <c r="J2840" t="str" cm="1">
        <f t="array" ref="J2840">_xlfn.IFS(I2840&lt;=3,"small",I2840&lt;=6,"Medium",I2840&lt;=9,"Large")</f>
        <v>Large</v>
      </c>
      <c r="K2840" s="36">
        <v>45610</v>
      </c>
      <c r="L2840" s="36">
        <v>45615</v>
      </c>
      <c r="M2840" t="s">
        <v>598</v>
      </c>
      <c r="N2840" t="s">
        <v>604</v>
      </c>
      <c r="O2840" s="37" t="str">
        <f t="shared" si="223"/>
        <v>Digital Payment</v>
      </c>
      <c r="P2840">
        <v>607.92999999999995</v>
      </c>
      <c r="Q2840" s="37" t="str">
        <f>IF(P2840&gt;500,"High","low")</f>
        <v>High</v>
      </c>
      <c r="R2840" s="37" t="str">
        <f t="shared" si="224"/>
        <v>Good</v>
      </c>
      <c r="S2840" t="s">
        <v>600</v>
      </c>
    </row>
    <row r="2841" spans="1:19" x14ac:dyDescent="0.2">
      <c r="A2841" t="s">
        <v>3452</v>
      </c>
      <c r="B2841" t="s">
        <v>90</v>
      </c>
      <c r="C2841" t="s">
        <v>602</v>
      </c>
      <c r="D2841">
        <v>3206.97</v>
      </c>
      <c r="E2841" s="37" t="str">
        <f t="shared" si="220"/>
        <v xml:space="preserve"> </v>
      </c>
      <c r="F2841">
        <v>0.22</v>
      </c>
      <c r="G2841" s="37" t="str">
        <f t="shared" si="221"/>
        <v>Normal Discount</v>
      </c>
      <c r="H2841" s="37" t="str">
        <f t="shared" si="222"/>
        <v>Medium</v>
      </c>
      <c r="I2841">
        <v>3</v>
      </c>
      <c r="J2841" t="str" cm="1">
        <f t="array" ref="J2841">_xlfn.IFS(I2841&lt;=3,"small",I2841&lt;=6,"Medium",I2841&lt;=9,"Large")</f>
        <v>small</v>
      </c>
      <c r="K2841" s="36">
        <v>45140</v>
      </c>
      <c r="L2841" s="36">
        <v>45145</v>
      </c>
      <c r="M2841" t="s">
        <v>603</v>
      </c>
      <c r="N2841" t="s">
        <v>599</v>
      </c>
      <c r="O2841" s="37" t="str">
        <f t="shared" si="223"/>
        <v>Digital Payment</v>
      </c>
      <c r="P2841">
        <v>526.25</v>
      </c>
      <c r="Q2841" s="37" t="str">
        <f>IF(P2841&gt;500,"High","low")</f>
        <v>High</v>
      </c>
      <c r="R2841" s="37" t="str">
        <f t="shared" si="224"/>
        <v>Good</v>
      </c>
      <c r="S2841" t="s">
        <v>600</v>
      </c>
    </row>
    <row r="2842" spans="1:19" x14ac:dyDescent="0.2">
      <c r="A2842" t="s">
        <v>3453</v>
      </c>
      <c r="B2842" t="s">
        <v>75</v>
      </c>
      <c r="C2842" t="s">
        <v>607</v>
      </c>
      <c r="D2842">
        <v>1186.1500000000001</v>
      </c>
      <c r="E2842" s="37" t="str">
        <f t="shared" si="220"/>
        <v xml:space="preserve"> </v>
      </c>
      <c r="F2842">
        <v>0.25</v>
      </c>
      <c r="G2842" s="37" t="str">
        <f t="shared" si="221"/>
        <v>Normal Discount</v>
      </c>
      <c r="H2842" s="37" t="str">
        <f t="shared" si="222"/>
        <v>Medium</v>
      </c>
      <c r="I2842">
        <v>1</v>
      </c>
      <c r="J2842" t="str" cm="1">
        <f t="array" ref="J2842">_xlfn.IFS(I2842&lt;=3,"small",I2842&lt;=6,"Medium",I2842&lt;=9,"Large")</f>
        <v>small</v>
      </c>
      <c r="K2842" s="36">
        <v>44947</v>
      </c>
      <c r="L2842" s="36">
        <v>44951</v>
      </c>
      <c r="M2842" t="s">
        <v>603</v>
      </c>
      <c r="N2842" t="s">
        <v>608</v>
      </c>
      <c r="O2842" s="37" t="str">
        <f t="shared" si="223"/>
        <v>Cash Payment</v>
      </c>
      <c r="P2842">
        <v>110.58</v>
      </c>
      <c r="Q2842" s="37" t="str">
        <f>IF(P2842&gt;500,"High","low")</f>
        <v>low</v>
      </c>
      <c r="R2842" s="37" t="str">
        <f t="shared" si="224"/>
        <v>AVERAGE</v>
      </c>
      <c r="S2842" t="s">
        <v>620</v>
      </c>
    </row>
    <row r="2843" spans="1:19" x14ac:dyDescent="0.2">
      <c r="A2843" t="s">
        <v>3454</v>
      </c>
      <c r="B2843" t="s">
        <v>75</v>
      </c>
      <c r="C2843" t="s">
        <v>602</v>
      </c>
      <c r="D2843">
        <v>2136.5700000000002</v>
      </c>
      <c r="E2843" s="37" t="str">
        <f t="shared" si="220"/>
        <v xml:space="preserve"> </v>
      </c>
      <c r="F2843">
        <v>0.4</v>
      </c>
      <c r="G2843" s="37" t="str">
        <f t="shared" si="221"/>
        <v>Heavy Discount</v>
      </c>
      <c r="H2843" s="37" t="str">
        <f t="shared" si="222"/>
        <v>Medium</v>
      </c>
      <c r="I2843">
        <v>1</v>
      </c>
      <c r="J2843" t="str" cm="1">
        <f t="array" ref="J2843">_xlfn.IFS(I2843&lt;=3,"small",I2843&lt;=6,"Medium",I2843&lt;=9,"Large")</f>
        <v>small</v>
      </c>
      <c r="K2843" s="36">
        <v>45394</v>
      </c>
      <c r="L2843" s="36">
        <v>45399</v>
      </c>
      <c r="M2843" t="s">
        <v>612</v>
      </c>
      <c r="N2843" t="s">
        <v>599</v>
      </c>
      <c r="O2843" s="37" t="str">
        <f t="shared" si="223"/>
        <v>Digital Payment</v>
      </c>
      <c r="P2843">
        <v>272.45</v>
      </c>
      <c r="Q2843" s="37" t="str">
        <f>IF(P2843&gt;500,"High","low")</f>
        <v>low</v>
      </c>
      <c r="R2843" s="37" t="str">
        <f t="shared" si="224"/>
        <v>AVERAGE</v>
      </c>
      <c r="S2843" t="s">
        <v>609</v>
      </c>
    </row>
    <row r="2844" spans="1:19" x14ac:dyDescent="0.2">
      <c r="A2844" t="s">
        <v>3455</v>
      </c>
      <c r="B2844" t="s">
        <v>75</v>
      </c>
      <c r="C2844" t="s">
        <v>602</v>
      </c>
      <c r="D2844">
        <v>1787.64</v>
      </c>
      <c r="E2844" s="37" t="str">
        <f t="shared" si="220"/>
        <v xml:space="preserve"> </v>
      </c>
      <c r="F2844">
        <v>0.32</v>
      </c>
      <c r="G2844" s="37" t="str">
        <f t="shared" si="221"/>
        <v>Heavy Discount</v>
      </c>
      <c r="H2844" s="37" t="str">
        <f t="shared" si="222"/>
        <v>Medium</v>
      </c>
      <c r="I2844">
        <v>1</v>
      </c>
      <c r="J2844" t="str" cm="1">
        <f t="array" ref="J2844">_xlfn.IFS(I2844&lt;=3,"small",I2844&lt;=6,"Medium",I2844&lt;=9,"Large")</f>
        <v>small</v>
      </c>
      <c r="K2844" s="36">
        <v>45371</v>
      </c>
      <c r="L2844" s="36">
        <v>45376</v>
      </c>
      <c r="M2844" t="s">
        <v>612</v>
      </c>
      <c r="N2844" t="s">
        <v>608</v>
      </c>
      <c r="O2844" s="37" t="str">
        <f t="shared" si="223"/>
        <v>Cash Payment</v>
      </c>
      <c r="P2844">
        <v>262.07</v>
      </c>
      <c r="Q2844" s="37" t="str">
        <f>IF(P2844&gt;500,"High","low")</f>
        <v>low</v>
      </c>
      <c r="R2844" s="37" t="str">
        <f t="shared" si="224"/>
        <v>AVERAGE</v>
      </c>
      <c r="S2844" t="s">
        <v>600</v>
      </c>
    </row>
    <row r="2845" spans="1:19" x14ac:dyDescent="0.2">
      <c r="A2845" t="s">
        <v>3456</v>
      </c>
      <c r="B2845" t="s">
        <v>90</v>
      </c>
      <c r="C2845" t="s">
        <v>614</v>
      </c>
      <c r="D2845">
        <v>155.97999999999999</v>
      </c>
      <c r="E2845" s="37" t="str">
        <f t="shared" si="220"/>
        <v xml:space="preserve"> </v>
      </c>
      <c r="F2845">
        <v>0.1</v>
      </c>
      <c r="G2845" s="37" t="str">
        <f t="shared" si="221"/>
        <v>Normal Discount</v>
      </c>
      <c r="H2845" s="37" t="str">
        <f t="shared" si="222"/>
        <v>Low</v>
      </c>
      <c r="I2845">
        <v>7</v>
      </c>
      <c r="J2845" t="str" cm="1">
        <f t="array" ref="J2845">_xlfn.IFS(I2845&lt;=3,"small",I2845&lt;=6,"Medium",I2845&lt;=9,"Large")</f>
        <v>Large</v>
      </c>
      <c r="K2845" s="36">
        <v>45646</v>
      </c>
      <c r="L2845" s="36">
        <v>45653</v>
      </c>
      <c r="M2845" t="s">
        <v>598</v>
      </c>
      <c r="N2845" t="s">
        <v>604</v>
      </c>
      <c r="O2845" s="37" t="str">
        <f t="shared" si="223"/>
        <v>Digital Payment</v>
      </c>
      <c r="P2845">
        <v>43.44</v>
      </c>
      <c r="Q2845" s="37" t="str">
        <f>IF(P2845&gt;500,"High","low")</f>
        <v>low</v>
      </c>
      <c r="R2845" s="37" t="str">
        <f t="shared" si="224"/>
        <v>AVERAGE</v>
      </c>
      <c r="S2845" t="s">
        <v>615</v>
      </c>
    </row>
    <row r="2846" spans="1:19" x14ac:dyDescent="0.2">
      <c r="A2846" t="s">
        <v>3457</v>
      </c>
      <c r="B2846" t="s">
        <v>83</v>
      </c>
      <c r="C2846" t="s">
        <v>602</v>
      </c>
      <c r="D2846">
        <v>1635.08</v>
      </c>
      <c r="E2846" s="37" t="str">
        <f t="shared" si="220"/>
        <v xml:space="preserve"> </v>
      </c>
      <c r="F2846">
        <v>0.3</v>
      </c>
      <c r="G2846" s="37" t="str">
        <f t="shared" si="221"/>
        <v>Normal Discount</v>
      </c>
      <c r="H2846" s="37" t="str">
        <f t="shared" si="222"/>
        <v>Medium</v>
      </c>
      <c r="I2846">
        <v>2</v>
      </c>
      <c r="J2846" t="str" cm="1">
        <f t="array" ref="J2846">_xlfn.IFS(I2846&lt;=3,"small",I2846&lt;=6,"Medium",I2846&lt;=9,"Large")</f>
        <v>small</v>
      </c>
      <c r="K2846" s="36">
        <v>45137</v>
      </c>
      <c r="L2846" s="36">
        <v>45144</v>
      </c>
      <c r="M2846" t="s">
        <v>598</v>
      </c>
      <c r="N2846" t="s">
        <v>604</v>
      </c>
      <c r="O2846" s="37" t="str">
        <f t="shared" si="223"/>
        <v>Digital Payment</v>
      </c>
      <c r="P2846">
        <v>350.67</v>
      </c>
      <c r="Q2846" s="37" t="str">
        <f>IF(P2846&gt;500,"High","low")</f>
        <v>low</v>
      </c>
      <c r="R2846" s="37" t="str">
        <f t="shared" si="224"/>
        <v>AVERAGE</v>
      </c>
      <c r="S2846" t="s">
        <v>628</v>
      </c>
    </row>
    <row r="2847" spans="1:19" x14ac:dyDescent="0.2">
      <c r="A2847" t="s">
        <v>3458</v>
      </c>
      <c r="B2847" t="s">
        <v>67</v>
      </c>
      <c r="C2847" t="s">
        <v>597</v>
      </c>
      <c r="D2847">
        <v>2481.6999999999998</v>
      </c>
      <c r="E2847" s="37" t="str">
        <f t="shared" si="220"/>
        <v xml:space="preserve"> </v>
      </c>
      <c r="F2847">
        <v>0.2</v>
      </c>
      <c r="G2847" s="37" t="str">
        <f t="shared" si="221"/>
        <v>Normal Discount</v>
      </c>
      <c r="H2847" s="37" t="str">
        <f t="shared" si="222"/>
        <v>Medium</v>
      </c>
      <c r="I2847">
        <v>6</v>
      </c>
      <c r="J2847" t="str" cm="1">
        <f t="array" ref="J2847">_xlfn.IFS(I2847&lt;=3,"small",I2847&lt;=6,"Medium",I2847&lt;=9,"Large")</f>
        <v>Medium</v>
      </c>
      <c r="K2847" s="36">
        <v>45590</v>
      </c>
      <c r="L2847" s="36">
        <v>45594</v>
      </c>
      <c r="M2847" t="s">
        <v>612</v>
      </c>
      <c r="N2847" t="s">
        <v>599</v>
      </c>
      <c r="O2847" s="37" t="str">
        <f t="shared" si="223"/>
        <v>Digital Payment</v>
      </c>
      <c r="P2847">
        <v>459.81</v>
      </c>
      <c r="Q2847" s="37" t="str">
        <f>IF(P2847&gt;500,"High","low")</f>
        <v>low</v>
      </c>
      <c r="R2847" s="37" t="str">
        <f t="shared" si="224"/>
        <v>AVERAGE</v>
      </c>
      <c r="S2847" t="s">
        <v>620</v>
      </c>
    </row>
    <row r="2848" spans="1:19" x14ac:dyDescent="0.2">
      <c r="A2848" t="s">
        <v>3459</v>
      </c>
      <c r="B2848" t="s">
        <v>83</v>
      </c>
      <c r="C2848" t="s">
        <v>602</v>
      </c>
      <c r="D2848">
        <v>3039.26</v>
      </c>
      <c r="E2848" s="37" t="str">
        <f t="shared" si="220"/>
        <v xml:space="preserve"> </v>
      </c>
      <c r="F2848">
        <v>0.03</v>
      </c>
      <c r="G2848" s="37" t="str">
        <f t="shared" si="221"/>
        <v>Normal Discount</v>
      </c>
      <c r="H2848" s="37" t="str">
        <f t="shared" si="222"/>
        <v>Low</v>
      </c>
      <c r="I2848">
        <v>1</v>
      </c>
      <c r="J2848" t="str" cm="1">
        <f t="array" ref="J2848">_xlfn.IFS(I2848&lt;=3,"small",I2848&lt;=6,"Medium",I2848&lt;=9,"Large")</f>
        <v>small</v>
      </c>
      <c r="K2848" s="36">
        <v>45175</v>
      </c>
      <c r="L2848" s="36">
        <v>45178</v>
      </c>
      <c r="M2848" t="s">
        <v>598</v>
      </c>
      <c r="N2848" t="s">
        <v>599</v>
      </c>
      <c r="O2848" s="37" t="str">
        <f t="shared" si="223"/>
        <v>Digital Payment</v>
      </c>
      <c r="P2848">
        <v>539.52</v>
      </c>
      <c r="Q2848" s="37" t="str">
        <f>IF(P2848&gt;500,"High","low")</f>
        <v>High</v>
      </c>
      <c r="R2848" s="37" t="str">
        <f t="shared" si="224"/>
        <v>Good</v>
      </c>
      <c r="S2848" t="s">
        <v>609</v>
      </c>
    </row>
    <row r="2849" spans="1:19" x14ac:dyDescent="0.2">
      <c r="A2849" t="s">
        <v>3460</v>
      </c>
      <c r="B2849" t="s">
        <v>67</v>
      </c>
      <c r="C2849" t="s">
        <v>607</v>
      </c>
      <c r="D2849">
        <v>4679.3900000000003</v>
      </c>
      <c r="E2849" s="37" t="str">
        <f t="shared" si="220"/>
        <v>Excellent Order</v>
      </c>
      <c r="F2849">
        <v>0.19</v>
      </c>
      <c r="G2849" s="37" t="str">
        <f t="shared" si="221"/>
        <v>Normal Discount</v>
      </c>
      <c r="H2849" s="37" t="str">
        <f t="shared" si="222"/>
        <v>Low</v>
      </c>
      <c r="I2849">
        <v>8</v>
      </c>
      <c r="J2849" t="str" cm="1">
        <f t="array" ref="J2849">_xlfn.IFS(I2849&lt;=3,"small",I2849&lt;=6,"Medium",I2849&lt;=9,"Large")</f>
        <v>Large</v>
      </c>
      <c r="K2849" s="36">
        <v>45033</v>
      </c>
      <c r="L2849" s="36">
        <v>45035</v>
      </c>
      <c r="M2849" t="s">
        <v>598</v>
      </c>
      <c r="N2849" t="s">
        <v>604</v>
      </c>
      <c r="O2849" s="37" t="str">
        <f t="shared" si="223"/>
        <v>Digital Payment</v>
      </c>
      <c r="P2849">
        <v>1000.97</v>
      </c>
      <c r="Q2849" s="37" t="str">
        <f>IF(P2849&gt;500,"High","low")</f>
        <v>High</v>
      </c>
      <c r="R2849" s="37" t="str">
        <f t="shared" si="224"/>
        <v>Excellent</v>
      </c>
      <c r="S2849" t="s">
        <v>609</v>
      </c>
    </row>
    <row r="2850" spans="1:19" x14ac:dyDescent="0.2">
      <c r="A2850" t="s">
        <v>3461</v>
      </c>
      <c r="B2850" t="s">
        <v>75</v>
      </c>
      <c r="C2850" t="s">
        <v>602</v>
      </c>
      <c r="D2850">
        <v>1271.6600000000001</v>
      </c>
      <c r="E2850" s="37" t="str">
        <f t="shared" si="220"/>
        <v xml:space="preserve"> </v>
      </c>
      <c r="F2850">
        <v>0.11</v>
      </c>
      <c r="G2850" s="37" t="str">
        <f t="shared" si="221"/>
        <v>Normal Discount</v>
      </c>
      <c r="H2850" s="37" t="str">
        <f t="shared" si="222"/>
        <v>Low</v>
      </c>
      <c r="I2850">
        <v>5</v>
      </c>
      <c r="J2850" t="str" cm="1">
        <f t="array" ref="J2850">_xlfn.IFS(I2850&lt;=3,"small",I2850&lt;=6,"Medium",I2850&lt;=9,"Large")</f>
        <v>Medium</v>
      </c>
      <c r="K2850" s="36">
        <v>45597</v>
      </c>
      <c r="L2850" s="36">
        <v>45602</v>
      </c>
      <c r="M2850" t="s">
        <v>612</v>
      </c>
      <c r="N2850" t="s">
        <v>599</v>
      </c>
      <c r="O2850" s="37" t="str">
        <f t="shared" si="223"/>
        <v>Digital Payment</v>
      </c>
      <c r="P2850">
        <v>136.53</v>
      </c>
      <c r="Q2850" s="37" t="str">
        <f>IF(P2850&gt;500,"High","low")</f>
        <v>low</v>
      </c>
      <c r="R2850" s="37" t="str">
        <f t="shared" si="224"/>
        <v>AVERAGE</v>
      </c>
      <c r="S2850" t="s">
        <v>600</v>
      </c>
    </row>
    <row r="2851" spans="1:19" x14ac:dyDescent="0.2">
      <c r="A2851" t="s">
        <v>3462</v>
      </c>
      <c r="B2851" t="s">
        <v>83</v>
      </c>
      <c r="C2851" t="s">
        <v>607</v>
      </c>
      <c r="D2851">
        <v>846.9</v>
      </c>
      <c r="E2851" s="37" t="str">
        <f t="shared" si="220"/>
        <v xml:space="preserve"> </v>
      </c>
      <c r="F2851">
        <v>0.42</v>
      </c>
      <c r="G2851" s="37" t="str">
        <f t="shared" si="221"/>
        <v>Heavy Discount</v>
      </c>
      <c r="H2851" s="37" t="str">
        <f t="shared" si="222"/>
        <v>High</v>
      </c>
      <c r="I2851">
        <v>9</v>
      </c>
      <c r="J2851" t="str" cm="1">
        <f t="array" ref="J2851">_xlfn.IFS(I2851&lt;=3,"small",I2851&lt;=6,"Medium",I2851&lt;=9,"Large")</f>
        <v>Large</v>
      </c>
      <c r="K2851" s="36">
        <v>45443</v>
      </c>
      <c r="L2851" s="36">
        <v>45450</v>
      </c>
      <c r="M2851" t="s">
        <v>612</v>
      </c>
      <c r="N2851" t="s">
        <v>599</v>
      </c>
      <c r="O2851" s="37" t="str">
        <f t="shared" si="223"/>
        <v>Digital Payment</v>
      </c>
      <c r="P2851">
        <v>133</v>
      </c>
      <c r="Q2851" s="37" t="str">
        <f>IF(P2851&gt;500,"High","low")</f>
        <v>low</v>
      </c>
      <c r="R2851" s="37" t="str">
        <f t="shared" si="224"/>
        <v>AVERAGE</v>
      </c>
      <c r="S2851" t="s">
        <v>600</v>
      </c>
    </row>
    <row r="2852" spans="1:19" x14ac:dyDescent="0.2">
      <c r="A2852" t="s">
        <v>3463</v>
      </c>
      <c r="B2852" t="s">
        <v>67</v>
      </c>
      <c r="C2852" t="s">
        <v>607</v>
      </c>
      <c r="D2852">
        <v>4360.28</v>
      </c>
      <c r="E2852" s="37" t="str">
        <f t="shared" si="220"/>
        <v>Excellent Order</v>
      </c>
      <c r="F2852">
        <v>0.05</v>
      </c>
      <c r="G2852" s="37" t="str">
        <f t="shared" si="221"/>
        <v>Normal Discount</v>
      </c>
      <c r="H2852" s="37" t="str">
        <f t="shared" si="222"/>
        <v>Low</v>
      </c>
      <c r="I2852">
        <v>3</v>
      </c>
      <c r="J2852" t="str" cm="1">
        <f t="array" ref="J2852">_xlfn.IFS(I2852&lt;=3,"small",I2852&lt;=6,"Medium",I2852&lt;=9,"Large")</f>
        <v>small</v>
      </c>
      <c r="K2852" s="36">
        <v>45391</v>
      </c>
      <c r="L2852" s="36">
        <v>45393</v>
      </c>
      <c r="M2852" t="s">
        <v>598</v>
      </c>
      <c r="N2852" t="s">
        <v>604</v>
      </c>
      <c r="O2852" s="37" t="str">
        <f t="shared" si="223"/>
        <v>Digital Payment</v>
      </c>
      <c r="P2852">
        <v>833.26</v>
      </c>
      <c r="Q2852" s="37" t="str">
        <f>IF(P2852&gt;500,"High","low")</f>
        <v>High</v>
      </c>
      <c r="R2852" s="37" t="str">
        <f t="shared" si="224"/>
        <v>Good</v>
      </c>
      <c r="S2852" t="s">
        <v>615</v>
      </c>
    </row>
    <row r="2853" spans="1:19" x14ac:dyDescent="0.2">
      <c r="A2853" t="s">
        <v>3464</v>
      </c>
      <c r="B2853" t="s">
        <v>90</v>
      </c>
      <c r="C2853" t="s">
        <v>597</v>
      </c>
      <c r="D2853">
        <v>4715.05</v>
      </c>
      <c r="E2853" s="37" t="str">
        <f t="shared" si="220"/>
        <v xml:space="preserve"> </v>
      </c>
      <c r="F2853">
        <v>0.18</v>
      </c>
      <c r="G2853" s="37" t="str">
        <f t="shared" si="221"/>
        <v>Normal Discount</v>
      </c>
      <c r="H2853" s="37" t="str">
        <f t="shared" si="222"/>
        <v>Low</v>
      </c>
      <c r="I2853">
        <v>2</v>
      </c>
      <c r="J2853" t="str" cm="1">
        <f t="array" ref="J2853">_xlfn.IFS(I2853&lt;=3,"small",I2853&lt;=6,"Medium",I2853&lt;=9,"Large")</f>
        <v>small</v>
      </c>
      <c r="K2853" s="36">
        <v>45631</v>
      </c>
      <c r="L2853" s="36">
        <v>45637</v>
      </c>
      <c r="M2853" t="s">
        <v>612</v>
      </c>
      <c r="N2853" t="s">
        <v>604</v>
      </c>
      <c r="O2853" s="37" t="str">
        <f t="shared" si="223"/>
        <v>Digital Payment</v>
      </c>
      <c r="P2853">
        <v>669.2</v>
      </c>
      <c r="Q2853" s="37" t="str">
        <f>IF(P2853&gt;500,"High","low")</f>
        <v>High</v>
      </c>
      <c r="R2853" s="37" t="str">
        <f t="shared" si="224"/>
        <v>Good</v>
      </c>
      <c r="S2853" t="s">
        <v>609</v>
      </c>
    </row>
    <row r="2854" spans="1:19" x14ac:dyDescent="0.2">
      <c r="A2854" t="s">
        <v>3465</v>
      </c>
      <c r="B2854" t="s">
        <v>90</v>
      </c>
      <c r="C2854" t="s">
        <v>602</v>
      </c>
      <c r="D2854">
        <v>2490.98</v>
      </c>
      <c r="E2854" s="37" t="str">
        <f t="shared" si="220"/>
        <v xml:space="preserve"> </v>
      </c>
      <c r="F2854">
        <v>0.35</v>
      </c>
      <c r="G2854" s="37" t="str">
        <f t="shared" si="221"/>
        <v>Heavy Discount</v>
      </c>
      <c r="H2854" s="37" t="str">
        <f t="shared" si="222"/>
        <v>Medium</v>
      </c>
      <c r="I2854">
        <v>8</v>
      </c>
      <c r="J2854" t="str" cm="1">
        <f t="array" ref="J2854">_xlfn.IFS(I2854&lt;=3,"small",I2854&lt;=6,"Medium",I2854&lt;=9,"Large")</f>
        <v>Large</v>
      </c>
      <c r="K2854" s="36">
        <v>45603</v>
      </c>
      <c r="L2854" s="36">
        <v>45604</v>
      </c>
      <c r="M2854" t="s">
        <v>603</v>
      </c>
      <c r="N2854" t="s">
        <v>608</v>
      </c>
      <c r="O2854" s="37" t="str">
        <f t="shared" si="223"/>
        <v>Cash Payment</v>
      </c>
      <c r="P2854">
        <v>157</v>
      </c>
      <c r="Q2854" s="37" t="str">
        <f>IF(P2854&gt;500,"High","low")</f>
        <v>low</v>
      </c>
      <c r="R2854" s="37" t="str">
        <f t="shared" si="224"/>
        <v>AVERAGE</v>
      </c>
      <c r="S2854" t="s">
        <v>628</v>
      </c>
    </row>
    <row r="2855" spans="1:19" x14ac:dyDescent="0.2">
      <c r="A2855" t="s">
        <v>3466</v>
      </c>
      <c r="B2855" t="s">
        <v>83</v>
      </c>
      <c r="C2855" t="s">
        <v>602</v>
      </c>
      <c r="D2855">
        <v>664.56</v>
      </c>
      <c r="E2855" s="37" t="str">
        <f t="shared" si="220"/>
        <v xml:space="preserve"> </v>
      </c>
      <c r="F2855">
        <v>0.45</v>
      </c>
      <c r="G2855" s="37" t="str">
        <f t="shared" si="221"/>
        <v>Heavy Discount</v>
      </c>
      <c r="H2855" s="37" t="str">
        <f t="shared" si="222"/>
        <v>High</v>
      </c>
      <c r="I2855">
        <v>5</v>
      </c>
      <c r="J2855" t="str" cm="1">
        <f t="array" ref="J2855">_xlfn.IFS(I2855&lt;=3,"small",I2855&lt;=6,"Medium",I2855&lt;=9,"Large")</f>
        <v>Medium</v>
      </c>
      <c r="K2855" s="36">
        <v>45532</v>
      </c>
      <c r="L2855" s="36">
        <v>45534</v>
      </c>
      <c r="M2855" t="s">
        <v>598</v>
      </c>
      <c r="N2855" t="s">
        <v>608</v>
      </c>
      <c r="O2855" s="37" t="str">
        <f t="shared" si="223"/>
        <v>Cash Payment</v>
      </c>
      <c r="P2855">
        <v>104.43</v>
      </c>
      <c r="Q2855" s="37" t="str">
        <f>IF(P2855&gt;500,"High","low")</f>
        <v>low</v>
      </c>
      <c r="R2855" s="37" t="str">
        <f t="shared" si="224"/>
        <v>AVERAGE</v>
      </c>
      <c r="S2855" t="s">
        <v>609</v>
      </c>
    </row>
    <row r="2856" spans="1:19" x14ac:dyDescent="0.2">
      <c r="A2856" t="s">
        <v>3467</v>
      </c>
      <c r="B2856" t="s">
        <v>83</v>
      </c>
      <c r="C2856" t="s">
        <v>617</v>
      </c>
      <c r="D2856">
        <v>2478.4</v>
      </c>
      <c r="E2856" s="37" t="str">
        <f t="shared" si="220"/>
        <v xml:space="preserve"> </v>
      </c>
      <c r="F2856">
        <v>0.17</v>
      </c>
      <c r="G2856" s="37" t="str">
        <f t="shared" si="221"/>
        <v>Normal Discount</v>
      </c>
      <c r="H2856" s="37" t="str">
        <f t="shared" si="222"/>
        <v>Low</v>
      </c>
      <c r="I2856">
        <v>1</v>
      </c>
      <c r="J2856" t="str" cm="1">
        <f t="array" ref="J2856">_xlfn.IFS(I2856&lt;=3,"small",I2856&lt;=6,"Medium",I2856&lt;=9,"Large")</f>
        <v>small</v>
      </c>
      <c r="K2856" s="36">
        <v>45214</v>
      </c>
      <c r="L2856" s="36">
        <v>45221</v>
      </c>
      <c r="M2856" t="s">
        <v>598</v>
      </c>
      <c r="N2856" t="s">
        <v>604</v>
      </c>
      <c r="O2856" s="37" t="str">
        <f t="shared" si="223"/>
        <v>Digital Payment</v>
      </c>
      <c r="P2856">
        <v>210.06</v>
      </c>
      <c r="Q2856" s="37" t="str">
        <f>IF(P2856&gt;500,"High","low")</f>
        <v>low</v>
      </c>
      <c r="R2856" s="37" t="str">
        <f t="shared" si="224"/>
        <v>AVERAGE</v>
      </c>
      <c r="S2856" t="s">
        <v>605</v>
      </c>
    </row>
    <row r="2857" spans="1:19" x14ac:dyDescent="0.2">
      <c r="A2857" t="s">
        <v>3468</v>
      </c>
      <c r="B2857" t="s">
        <v>75</v>
      </c>
      <c r="C2857" t="s">
        <v>617</v>
      </c>
      <c r="D2857">
        <v>636.27</v>
      </c>
      <c r="E2857" s="37" t="str">
        <f t="shared" si="220"/>
        <v xml:space="preserve"> </v>
      </c>
      <c r="F2857">
        <v>0.3</v>
      </c>
      <c r="G2857" s="37" t="str">
        <f t="shared" si="221"/>
        <v>Normal Discount</v>
      </c>
      <c r="H2857" s="37" t="str">
        <f t="shared" si="222"/>
        <v>Medium</v>
      </c>
      <c r="I2857">
        <v>6</v>
      </c>
      <c r="J2857" t="str" cm="1">
        <f t="array" ref="J2857">_xlfn.IFS(I2857&lt;=3,"small",I2857&lt;=6,"Medium",I2857&lt;=9,"Large")</f>
        <v>Medium</v>
      </c>
      <c r="K2857" s="36">
        <v>45632</v>
      </c>
      <c r="L2857" s="36">
        <v>45633</v>
      </c>
      <c r="M2857" t="s">
        <v>598</v>
      </c>
      <c r="N2857" t="s">
        <v>604</v>
      </c>
      <c r="O2857" s="37" t="str">
        <f t="shared" si="223"/>
        <v>Digital Payment</v>
      </c>
      <c r="P2857">
        <v>156.52000000000001</v>
      </c>
      <c r="Q2857" s="37" t="str">
        <f>IF(P2857&gt;500,"High","low")</f>
        <v>low</v>
      </c>
      <c r="R2857" s="37" t="str">
        <f t="shared" si="224"/>
        <v>AVERAGE</v>
      </c>
      <c r="S2857" t="s">
        <v>620</v>
      </c>
    </row>
    <row r="2858" spans="1:19" x14ac:dyDescent="0.2">
      <c r="A2858" t="s">
        <v>3469</v>
      </c>
      <c r="B2858" t="s">
        <v>83</v>
      </c>
      <c r="C2858" t="s">
        <v>614</v>
      </c>
      <c r="D2858">
        <v>4427.6099999999997</v>
      </c>
      <c r="E2858" s="37" t="str">
        <f t="shared" si="220"/>
        <v xml:space="preserve"> </v>
      </c>
      <c r="F2858">
        <v>0.19</v>
      </c>
      <c r="G2858" s="37" t="str">
        <f t="shared" si="221"/>
        <v>Normal Discount</v>
      </c>
      <c r="H2858" s="37" t="str">
        <f t="shared" si="222"/>
        <v>Low</v>
      </c>
      <c r="I2858">
        <v>3</v>
      </c>
      <c r="J2858" t="str" cm="1">
        <f t="array" ref="J2858">_xlfn.IFS(I2858&lt;=3,"small",I2858&lt;=6,"Medium",I2858&lt;=9,"Large")</f>
        <v>small</v>
      </c>
      <c r="K2858" s="36">
        <v>44955</v>
      </c>
      <c r="L2858" s="36">
        <v>44962</v>
      </c>
      <c r="M2858" t="s">
        <v>603</v>
      </c>
      <c r="N2858" t="s">
        <v>608</v>
      </c>
      <c r="O2858" s="37" t="str">
        <f t="shared" si="223"/>
        <v>Cash Payment</v>
      </c>
      <c r="P2858">
        <v>780.9</v>
      </c>
      <c r="Q2858" s="37" t="str">
        <f>IF(P2858&gt;500,"High","low")</f>
        <v>High</v>
      </c>
      <c r="R2858" s="37" t="str">
        <f t="shared" si="224"/>
        <v>Good</v>
      </c>
      <c r="S2858" t="s">
        <v>620</v>
      </c>
    </row>
    <row r="2859" spans="1:19" x14ac:dyDescent="0.2">
      <c r="A2859" t="s">
        <v>3470</v>
      </c>
      <c r="B2859" t="s">
        <v>75</v>
      </c>
      <c r="C2859" t="s">
        <v>607</v>
      </c>
      <c r="D2859">
        <v>3569.94</v>
      </c>
      <c r="E2859" s="37" t="str">
        <f t="shared" si="220"/>
        <v xml:space="preserve"> </v>
      </c>
      <c r="F2859">
        <v>0.1</v>
      </c>
      <c r="G2859" s="37" t="str">
        <f t="shared" si="221"/>
        <v>Normal Discount</v>
      </c>
      <c r="H2859" s="37" t="str">
        <f t="shared" si="222"/>
        <v>Low</v>
      </c>
      <c r="I2859">
        <v>8</v>
      </c>
      <c r="J2859" t="str" cm="1">
        <f t="array" ref="J2859">_xlfn.IFS(I2859&lt;=3,"small",I2859&lt;=6,"Medium",I2859&lt;=9,"Large")</f>
        <v>Large</v>
      </c>
      <c r="K2859" s="36">
        <v>45044</v>
      </c>
      <c r="L2859" s="36">
        <v>45051</v>
      </c>
      <c r="M2859" t="s">
        <v>598</v>
      </c>
      <c r="N2859" t="s">
        <v>604</v>
      </c>
      <c r="O2859" s="37" t="str">
        <f t="shared" si="223"/>
        <v>Digital Payment</v>
      </c>
      <c r="P2859">
        <v>1041.02</v>
      </c>
      <c r="Q2859" s="37" t="str">
        <f>IF(P2859&gt;500,"High","low")</f>
        <v>High</v>
      </c>
      <c r="R2859" s="37" t="str">
        <f t="shared" si="224"/>
        <v>Excellent</v>
      </c>
      <c r="S2859" t="s">
        <v>609</v>
      </c>
    </row>
    <row r="2860" spans="1:19" x14ac:dyDescent="0.2">
      <c r="A2860" t="s">
        <v>3471</v>
      </c>
      <c r="B2860" t="s">
        <v>75</v>
      </c>
      <c r="C2860" t="s">
        <v>597</v>
      </c>
      <c r="D2860">
        <v>1281.57</v>
      </c>
      <c r="E2860" s="37" t="str">
        <f t="shared" si="220"/>
        <v xml:space="preserve"> </v>
      </c>
      <c r="F2860">
        <v>0.16</v>
      </c>
      <c r="G2860" s="37" t="str">
        <f t="shared" si="221"/>
        <v>Normal Discount</v>
      </c>
      <c r="H2860" s="37" t="str">
        <f t="shared" si="222"/>
        <v>Low</v>
      </c>
      <c r="I2860">
        <v>6</v>
      </c>
      <c r="J2860" t="str" cm="1">
        <f t="array" ref="J2860">_xlfn.IFS(I2860&lt;=3,"small",I2860&lt;=6,"Medium",I2860&lt;=9,"Large")</f>
        <v>Medium</v>
      </c>
      <c r="K2860" s="36">
        <v>45059</v>
      </c>
      <c r="L2860" s="36">
        <v>45061</v>
      </c>
      <c r="M2860" t="s">
        <v>612</v>
      </c>
      <c r="N2860" t="s">
        <v>604</v>
      </c>
      <c r="O2860" s="37" t="str">
        <f t="shared" si="223"/>
        <v>Digital Payment</v>
      </c>
      <c r="P2860">
        <v>181.46</v>
      </c>
      <c r="Q2860" s="37" t="str">
        <f>IF(P2860&gt;500,"High","low")</f>
        <v>low</v>
      </c>
      <c r="R2860" s="37" t="str">
        <f t="shared" si="224"/>
        <v>AVERAGE</v>
      </c>
      <c r="S2860" t="s">
        <v>600</v>
      </c>
    </row>
    <row r="2861" spans="1:19" x14ac:dyDescent="0.2">
      <c r="A2861" t="s">
        <v>3472</v>
      </c>
      <c r="B2861" t="s">
        <v>90</v>
      </c>
      <c r="C2861" t="s">
        <v>617</v>
      </c>
      <c r="D2861">
        <v>4444.78</v>
      </c>
      <c r="E2861" s="37" t="str">
        <f t="shared" si="220"/>
        <v xml:space="preserve"> </v>
      </c>
      <c r="F2861">
        <v>0.32</v>
      </c>
      <c r="G2861" s="37" t="str">
        <f t="shared" si="221"/>
        <v>Heavy Discount</v>
      </c>
      <c r="H2861" s="37" t="str">
        <f t="shared" si="222"/>
        <v>Medium</v>
      </c>
      <c r="I2861">
        <v>2</v>
      </c>
      <c r="J2861" t="str" cm="1">
        <f t="array" ref="J2861">_xlfn.IFS(I2861&lt;=3,"small",I2861&lt;=6,"Medium",I2861&lt;=9,"Large")</f>
        <v>small</v>
      </c>
      <c r="K2861" s="36">
        <v>45084</v>
      </c>
      <c r="L2861" s="36">
        <v>45089</v>
      </c>
      <c r="M2861" t="s">
        <v>603</v>
      </c>
      <c r="N2861" t="s">
        <v>604</v>
      </c>
      <c r="O2861" s="37" t="str">
        <f t="shared" si="223"/>
        <v>Digital Payment</v>
      </c>
      <c r="P2861">
        <v>517.12</v>
      </c>
      <c r="Q2861" s="37" t="str">
        <f>IF(P2861&gt;500,"High","low")</f>
        <v>High</v>
      </c>
      <c r="R2861" s="37" t="str">
        <f t="shared" si="224"/>
        <v>Good</v>
      </c>
      <c r="S2861" t="s">
        <v>600</v>
      </c>
    </row>
    <row r="2862" spans="1:19" x14ac:dyDescent="0.2">
      <c r="A2862" t="s">
        <v>3473</v>
      </c>
      <c r="B2862" t="s">
        <v>90</v>
      </c>
      <c r="C2862" t="s">
        <v>602</v>
      </c>
      <c r="D2862">
        <v>3225.72</v>
      </c>
      <c r="E2862" s="37" t="str">
        <f t="shared" si="220"/>
        <v xml:space="preserve"> </v>
      </c>
      <c r="F2862">
        <v>0.36</v>
      </c>
      <c r="G2862" s="37" t="str">
        <f t="shared" si="221"/>
        <v>Heavy Discount</v>
      </c>
      <c r="H2862" s="37" t="str">
        <f t="shared" si="222"/>
        <v>Medium</v>
      </c>
      <c r="I2862">
        <v>6</v>
      </c>
      <c r="J2862" t="str" cm="1">
        <f t="array" ref="J2862">_xlfn.IFS(I2862&lt;=3,"small",I2862&lt;=6,"Medium",I2862&lt;=9,"Large")</f>
        <v>Medium</v>
      </c>
      <c r="K2862" s="36">
        <v>45545</v>
      </c>
      <c r="L2862" s="36">
        <v>45551</v>
      </c>
      <c r="M2862" t="s">
        <v>603</v>
      </c>
      <c r="N2862" t="s">
        <v>599</v>
      </c>
      <c r="O2862" s="37" t="str">
        <f t="shared" si="223"/>
        <v>Digital Payment</v>
      </c>
      <c r="P2862">
        <v>965.77</v>
      </c>
      <c r="Q2862" s="37" t="str">
        <f>IF(P2862&gt;500,"High","low")</f>
        <v>High</v>
      </c>
      <c r="R2862" s="37" t="str">
        <f t="shared" si="224"/>
        <v>Good</v>
      </c>
      <c r="S2862" t="s">
        <v>600</v>
      </c>
    </row>
    <row r="2863" spans="1:19" x14ac:dyDescent="0.2">
      <c r="A2863" t="s">
        <v>3474</v>
      </c>
      <c r="B2863" t="s">
        <v>67</v>
      </c>
      <c r="C2863" t="s">
        <v>614</v>
      </c>
      <c r="D2863">
        <v>4770.99</v>
      </c>
      <c r="E2863" s="37" t="str">
        <f t="shared" si="220"/>
        <v xml:space="preserve"> </v>
      </c>
      <c r="F2863">
        <v>0.19</v>
      </c>
      <c r="G2863" s="37" t="str">
        <f t="shared" si="221"/>
        <v>Normal Discount</v>
      </c>
      <c r="H2863" s="37" t="str">
        <f t="shared" si="222"/>
        <v>Low</v>
      </c>
      <c r="I2863">
        <v>3</v>
      </c>
      <c r="J2863" t="str" cm="1">
        <f t="array" ref="J2863">_xlfn.IFS(I2863&lt;=3,"small",I2863&lt;=6,"Medium",I2863&lt;=9,"Large")</f>
        <v>small</v>
      </c>
      <c r="K2863" s="36">
        <v>45099</v>
      </c>
      <c r="L2863" s="36">
        <v>45101</v>
      </c>
      <c r="M2863" t="s">
        <v>603</v>
      </c>
      <c r="N2863" t="s">
        <v>608</v>
      </c>
      <c r="O2863" s="37" t="str">
        <f t="shared" si="223"/>
        <v>Cash Payment</v>
      </c>
      <c r="P2863">
        <v>624.07000000000005</v>
      </c>
      <c r="Q2863" s="37" t="str">
        <f>IF(P2863&gt;500,"High","low")</f>
        <v>High</v>
      </c>
      <c r="R2863" s="37" t="str">
        <f t="shared" si="224"/>
        <v>Good</v>
      </c>
      <c r="S2863" t="s">
        <v>605</v>
      </c>
    </row>
    <row r="2864" spans="1:19" x14ac:dyDescent="0.2">
      <c r="A2864" t="s">
        <v>3475</v>
      </c>
      <c r="B2864" t="s">
        <v>90</v>
      </c>
      <c r="C2864" t="s">
        <v>597</v>
      </c>
      <c r="D2864">
        <v>4904.3500000000004</v>
      </c>
      <c r="E2864" s="37" t="str">
        <f t="shared" si="220"/>
        <v xml:space="preserve"> </v>
      </c>
      <c r="F2864">
        <v>0.08</v>
      </c>
      <c r="G2864" s="37" t="str">
        <f t="shared" si="221"/>
        <v>Normal Discount</v>
      </c>
      <c r="H2864" s="37" t="str">
        <f t="shared" si="222"/>
        <v>Low</v>
      </c>
      <c r="I2864">
        <v>7</v>
      </c>
      <c r="J2864" t="str" cm="1">
        <f t="array" ref="J2864">_xlfn.IFS(I2864&lt;=3,"small",I2864&lt;=6,"Medium",I2864&lt;=9,"Large")</f>
        <v>Large</v>
      </c>
      <c r="K2864" s="36">
        <v>45584</v>
      </c>
      <c r="L2864" s="36">
        <v>45591</v>
      </c>
      <c r="M2864" t="s">
        <v>603</v>
      </c>
      <c r="N2864" t="s">
        <v>608</v>
      </c>
      <c r="O2864" s="37" t="str">
        <f t="shared" si="223"/>
        <v>Cash Payment</v>
      </c>
      <c r="P2864">
        <v>735.06</v>
      </c>
      <c r="Q2864" s="37" t="str">
        <f>IF(P2864&gt;500,"High","low")</f>
        <v>High</v>
      </c>
      <c r="R2864" s="37" t="str">
        <f t="shared" si="224"/>
        <v>Good</v>
      </c>
      <c r="S2864" t="s">
        <v>600</v>
      </c>
    </row>
    <row r="2865" spans="1:19" x14ac:dyDescent="0.2">
      <c r="A2865" t="s">
        <v>3476</v>
      </c>
      <c r="B2865" t="s">
        <v>90</v>
      </c>
      <c r="C2865" t="s">
        <v>602</v>
      </c>
      <c r="D2865">
        <v>116.08</v>
      </c>
      <c r="E2865" s="37" t="str">
        <f t="shared" si="220"/>
        <v xml:space="preserve"> </v>
      </c>
      <c r="F2865">
        <v>7.0000000000000007E-2</v>
      </c>
      <c r="G2865" s="37" t="str">
        <f t="shared" si="221"/>
        <v>Normal Discount</v>
      </c>
      <c r="H2865" s="37" t="str">
        <f t="shared" si="222"/>
        <v>Low</v>
      </c>
      <c r="I2865">
        <v>1</v>
      </c>
      <c r="J2865" t="str" cm="1">
        <f t="array" ref="J2865">_xlfn.IFS(I2865&lt;=3,"small",I2865&lt;=6,"Medium",I2865&lt;=9,"Large")</f>
        <v>small</v>
      </c>
      <c r="K2865" s="36">
        <v>45260</v>
      </c>
      <c r="L2865" s="36">
        <v>45263</v>
      </c>
      <c r="M2865" t="s">
        <v>612</v>
      </c>
      <c r="N2865" t="s">
        <v>608</v>
      </c>
      <c r="O2865" s="37" t="str">
        <f t="shared" si="223"/>
        <v>Cash Payment</v>
      </c>
      <c r="P2865">
        <v>6.09</v>
      </c>
      <c r="Q2865" s="37" t="str">
        <f>IF(P2865&gt;500,"High","low")</f>
        <v>low</v>
      </c>
      <c r="R2865" s="37" t="str">
        <f t="shared" si="224"/>
        <v>AVERAGE</v>
      </c>
      <c r="S2865" t="s">
        <v>600</v>
      </c>
    </row>
    <row r="2866" spans="1:19" x14ac:dyDescent="0.2">
      <c r="A2866" t="s">
        <v>3477</v>
      </c>
      <c r="B2866" t="s">
        <v>83</v>
      </c>
      <c r="C2866" t="s">
        <v>602</v>
      </c>
      <c r="D2866">
        <v>689.05</v>
      </c>
      <c r="E2866" s="37" t="str">
        <f t="shared" si="220"/>
        <v xml:space="preserve"> </v>
      </c>
      <c r="F2866">
        <v>0.41</v>
      </c>
      <c r="G2866" s="37" t="str">
        <f t="shared" si="221"/>
        <v>Heavy Discount</v>
      </c>
      <c r="H2866" s="37" t="str">
        <f t="shared" si="222"/>
        <v>High</v>
      </c>
      <c r="I2866">
        <v>1</v>
      </c>
      <c r="J2866" t="str" cm="1">
        <f t="array" ref="J2866">_xlfn.IFS(I2866&lt;=3,"small",I2866&lt;=6,"Medium",I2866&lt;=9,"Large")</f>
        <v>small</v>
      </c>
      <c r="K2866" s="36">
        <v>45347</v>
      </c>
      <c r="L2866" s="36">
        <v>45353</v>
      </c>
      <c r="M2866" t="s">
        <v>603</v>
      </c>
      <c r="N2866" t="s">
        <v>604</v>
      </c>
      <c r="O2866" s="37" t="str">
        <f t="shared" si="223"/>
        <v>Digital Payment</v>
      </c>
      <c r="P2866">
        <v>70.900000000000006</v>
      </c>
      <c r="Q2866" s="37" t="str">
        <f>IF(P2866&gt;500,"High","low")</f>
        <v>low</v>
      </c>
      <c r="R2866" s="37" t="str">
        <f t="shared" si="224"/>
        <v>AVERAGE</v>
      </c>
      <c r="S2866" t="s">
        <v>605</v>
      </c>
    </row>
    <row r="2867" spans="1:19" x14ac:dyDescent="0.2">
      <c r="A2867" t="s">
        <v>3478</v>
      </c>
      <c r="B2867" t="s">
        <v>90</v>
      </c>
      <c r="C2867" t="s">
        <v>607</v>
      </c>
      <c r="D2867">
        <v>2779.92</v>
      </c>
      <c r="E2867" s="37" t="str">
        <f t="shared" si="220"/>
        <v xml:space="preserve"> </v>
      </c>
      <c r="F2867">
        <v>0.33</v>
      </c>
      <c r="G2867" s="37" t="str">
        <f t="shared" si="221"/>
        <v>Heavy Discount</v>
      </c>
      <c r="H2867" s="37" t="str">
        <f t="shared" si="222"/>
        <v>Medium</v>
      </c>
      <c r="I2867">
        <v>4</v>
      </c>
      <c r="J2867" t="str" cm="1">
        <f t="array" ref="J2867">_xlfn.IFS(I2867&lt;=3,"small",I2867&lt;=6,"Medium",I2867&lt;=9,"Large")</f>
        <v>Medium</v>
      </c>
      <c r="K2867" s="36">
        <v>45186</v>
      </c>
      <c r="L2867" s="36">
        <v>45193</v>
      </c>
      <c r="M2867" t="s">
        <v>598</v>
      </c>
      <c r="N2867" t="s">
        <v>604</v>
      </c>
      <c r="O2867" s="37" t="str">
        <f t="shared" si="223"/>
        <v>Digital Payment</v>
      </c>
      <c r="P2867">
        <v>678.05</v>
      </c>
      <c r="Q2867" s="37" t="str">
        <f>IF(P2867&gt;500,"High","low")</f>
        <v>High</v>
      </c>
      <c r="R2867" s="37" t="str">
        <f t="shared" si="224"/>
        <v>Good</v>
      </c>
      <c r="S2867" t="s">
        <v>615</v>
      </c>
    </row>
    <row r="2868" spans="1:19" x14ac:dyDescent="0.2">
      <c r="A2868" t="s">
        <v>3479</v>
      </c>
      <c r="B2868" t="s">
        <v>67</v>
      </c>
      <c r="C2868" t="s">
        <v>607</v>
      </c>
      <c r="D2868">
        <v>4783.68</v>
      </c>
      <c r="E2868" s="37" t="str">
        <f t="shared" si="220"/>
        <v>Excellent Order</v>
      </c>
      <c r="F2868">
        <v>0.36</v>
      </c>
      <c r="G2868" s="37" t="str">
        <f t="shared" si="221"/>
        <v>Heavy Discount</v>
      </c>
      <c r="H2868" s="37" t="str">
        <f t="shared" si="222"/>
        <v>Medium</v>
      </c>
      <c r="I2868">
        <v>7</v>
      </c>
      <c r="J2868" t="str" cm="1">
        <f t="array" ref="J2868">_xlfn.IFS(I2868&lt;=3,"small",I2868&lt;=6,"Medium",I2868&lt;=9,"Large")</f>
        <v>Large</v>
      </c>
      <c r="K2868" s="36">
        <v>45484</v>
      </c>
      <c r="L2868" s="36">
        <v>45486</v>
      </c>
      <c r="M2868" t="s">
        <v>603</v>
      </c>
      <c r="N2868" t="s">
        <v>599</v>
      </c>
      <c r="O2868" s="37" t="str">
        <f t="shared" si="223"/>
        <v>Digital Payment</v>
      </c>
      <c r="P2868">
        <v>1083</v>
      </c>
      <c r="Q2868" s="37" t="str">
        <f>IF(P2868&gt;500,"High","low")</f>
        <v>High</v>
      </c>
      <c r="R2868" s="37" t="str">
        <f t="shared" si="224"/>
        <v>Excellent</v>
      </c>
      <c r="S2868" t="s">
        <v>628</v>
      </c>
    </row>
    <row r="2869" spans="1:19" x14ac:dyDescent="0.2">
      <c r="A2869" t="s">
        <v>3480</v>
      </c>
      <c r="B2869" t="s">
        <v>83</v>
      </c>
      <c r="C2869" t="s">
        <v>617</v>
      </c>
      <c r="D2869">
        <v>4971.74</v>
      </c>
      <c r="E2869" s="37" t="str">
        <f t="shared" si="220"/>
        <v xml:space="preserve"> </v>
      </c>
      <c r="F2869">
        <v>0.24</v>
      </c>
      <c r="G2869" s="37" t="str">
        <f t="shared" si="221"/>
        <v>Normal Discount</v>
      </c>
      <c r="H2869" s="37" t="str">
        <f t="shared" si="222"/>
        <v>Medium</v>
      </c>
      <c r="I2869">
        <v>4</v>
      </c>
      <c r="J2869" t="str" cm="1">
        <f t="array" ref="J2869">_xlfn.IFS(I2869&lt;=3,"small",I2869&lt;=6,"Medium",I2869&lt;=9,"Large")</f>
        <v>Medium</v>
      </c>
      <c r="K2869" s="36">
        <v>45590</v>
      </c>
      <c r="L2869" s="36">
        <v>45591</v>
      </c>
      <c r="M2869" t="s">
        <v>603</v>
      </c>
      <c r="N2869" t="s">
        <v>608</v>
      </c>
      <c r="O2869" s="37" t="str">
        <f t="shared" si="223"/>
        <v>Cash Payment</v>
      </c>
      <c r="P2869">
        <v>746.97</v>
      </c>
      <c r="Q2869" s="37" t="str">
        <f>IF(P2869&gt;500,"High","low")</f>
        <v>High</v>
      </c>
      <c r="R2869" s="37" t="str">
        <f t="shared" si="224"/>
        <v>Good</v>
      </c>
      <c r="S2869" t="s">
        <v>609</v>
      </c>
    </row>
    <row r="2870" spans="1:19" x14ac:dyDescent="0.2">
      <c r="A2870" t="s">
        <v>3481</v>
      </c>
      <c r="B2870" t="s">
        <v>67</v>
      </c>
      <c r="C2870" t="s">
        <v>617</v>
      </c>
      <c r="D2870">
        <v>2880.3</v>
      </c>
      <c r="E2870" s="37" t="str">
        <f t="shared" si="220"/>
        <v xml:space="preserve"> </v>
      </c>
      <c r="F2870">
        <v>0.23</v>
      </c>
      <c r="G2870" s="37" t="str">
        <f t="shared" si="221"/>
        <v>Normal Discount</v>
      </c>
      <c r="H2870" s="37" t="str">
        <f t="shared" si="222"/>
        <v>Medium</v>
      </c>
      <c r="I2870">
        <v>9</v>
      </c>
      <c r="J2870" t="str" cm="1">
        <f t="array" ref="J2870">_xlfn.IFS(I2870&lt;=3,"small",I2870&lt;=6,"Medium",I2870&lt;=9,"Large")</f>
        <v>Large</v>
      </c>
      <c r="K2870" s="36">
        <v>45062</v>
      </c>
      <c r="L2870" s="36">
        <v>45069</v>
      </c>
      <c r="M2870" t="s">
        <v>603</v>
      </c>
      <c r="N2870" t="s">
        <v>604</v>
      </c>
      <c r="O2870" s="37" t="str">
        <f t="shared" si="223"/>
        <v>Digital Payment</v>
      </c>
      <c r="P2870">
        <v>805.32</v>
      </c>
      <c r="Q2870" s="37" t="str">
        <f>IF(P2870&gt;500,"High","low")</f>
        <v>High</v>
      </c>
      <c r="R2870" s="37" t="str">
        <f t="shared" si="224"/>
        <v>Good</v>
      </c>
      <c r="S2870" t="s">
        <v>620</v>
      </c>
    </row>
    <row r="2871" spans="1:19" x14ac:dyDescent="0.2">
      <c r="A2871" t="s">
        <v>3482</v>
      </c>
      <c r="B2871" t="s">
        <v>90</v>
      </c>
      <c r="C2871" t="s">
        <v>602</v>
      </c>
      <c r="D2871">
        <v>951.63</v>
      </c>
      <c r="E2871" s="37" t="str">
        <f t="shared" si="220"/>
        <v xml:space="preserve"> </v>
      </c>
      <c r="F2871">
        <v>0.11</v>
      </c>
      <c r="G2871" s="37" t="str">
        <f t="shared" si="221"/>
        <v>Normal Discount</v>
      </c>
      <c r="H2871" s="37" t="str">
        <f t="shared" si="222"/>
        <v>Low</v>
      </c>
      <c r="I2871">
        <v>8</v>
      </c>
      <c r="J2871" t="str" cm="1">
        <f t="array" ref="J2871">_xlfn.IFS(I2871&lt;=3,"small",I2871&lt;=6,"Medium",I2871&lt;=9,"Large")</f>
        <v>Large</v>
      </c>
      <c r="K2871" s="36">
        <v>45142</v>
      </c>
      <c r="L2871" s="36">
        <v>45145</v>
      </c>
      <c r="M2871" t="s">
        <v>603</v>
      </c>
      <c r="N2871" t="s">
        <v>604</v>
      </c>
      <c r="O2871" s="37" t="str">
        <f t="shared" si="223"/>
        <v>Digital Payment</v>
      </c>
      <c r="P2871">
        <v>176.84</v>
      </c>
      <c r="Q2871" s="37" t="str">
        <f>IF(P2871&gt;500,"High","low")</f>
        <v>low</v>
      </c>
      <c r="R2871" s="37" t="str">
        <f t="shared" si="224"/>
        <v>AVERAGE</v>
      </c>
      <c r="S2871" t="s">
        <v>620</v>
      </c>
    </row>
    <row r="2872" spans="1:19" x14ac:dyDescent="0.2">
      <c r="A2872" t="s">
        <v>3483</v>
      </c>
      <c r="B2872" t="s">
        <v>67</v>
      </c>
      <c r="C2872" t="s">
        <v>602</v>
      </c>
      <c r="D2872">
        <v>898.95</v>
      </c>
      <c r="E2872" s="37" t="str">
        <f t="shared" si="220"/>
        <v xml:space="preserve"> </v>
      </c>
      <c r="F2872">
        <v>0.08</v>
      </c>
      <c r="G2872" s="37" t="str">
        <f t="shared" si="221"/>
        <v>Normal Discount</v>
      </c>
      <c r="H2872" s="37" t="str">
        <f t="shared" si="222"/>
        <v>Low</v>
      </c>
      <c r="I2872">
        <v>5</v>
      </c>
      <c r="J2872" t="str" cm="1">
        <f t="array" ref="J2872">_xlfn.IFS(I2872&lt;=3,"small",I2872&lt;=6,"Medium",I2872&lt;=9,"Large")</f>
        <v>Medium</v>
      </c>
      <c r="K2872" s="36">
        <v>45390</v>
      </c>
      <c r="L2872" s="36">
        <v>45396</v>
      </c>
      <c r="M2872" t="s">
        <v>598</v>
      </c>
      <c r="N2872" t="s">
        <v>599</v>
      </c>
      <c r="O2872" s="37" t="str">
        <f t="shared" si="223"/>
        <v>Digital Payment</v>
      </c>
      <c r="P2872">
        <v>186.3</v>
      </c>
      <c r="Q2872" s="37" t="str">
        <f>IF(P2872&gt;500,"High","low")</f>
        <v>low</v>
      </c>
      <c r="R2872" s="37" t="str">
        <f t="shared" si="224"/>
        <v>AVERAGE</v>
      </c>
      <c r="S2872" t="s">
        <v>605</v>
      </c>
    </row>
    <row r="2873" spans="1:19" x14ac:dyDescent="0.2">
      <c r="A2873" t="s">
        <v>3484</v>
      </c>
      <c r="B2873" t="s">
        <v>83</v>
      </c>
      <c r="C2873" t="s">
        <v>617</v>
      </c>
      <c r="D2873">
        <v>3842.9</v>
      </c>
      <c r="E2873" s="37" t="str">
        <f t="shared" si="220"/>
        <v xml:space="preserve"> </v>
      </c>
      <c r="F2873">
        <v>0.08</v>
      </c>
      <c r="G2873" s="37" t="str">
        <f t="shared" si="221"/>
        <v>Normal Discount</v>
      </c>
      <c r="H2873" s="37" t="str">
        <f t="shared" si="222"/>
        <v>Low</v>
      </c>
      <c r="I2873">
        <v>1</v>
      </c>
      <c r="J2873" t="str" cm="1">
        <f t="array" ref="J2873">_xlfn.IFS(I2873&lt;=3,"small",I2873&lt;=6,"Medium",I2873&lt;=9,"Large")</f>
        <v>small</v>
      </c>
      <c r="K2873" s="36">
        <v>45572</v>
      </c>
      <c r="L2873" s="36">
        <v>45574</v>
      </c>
      <c r="M2873" t="s">
        <v>598</v>
      </c>
      <c r="N2873" t="s">
        <v>604</v>
      </c>
      <c r="O2873" s="37" t="str">
        <f t="shared" si="223"/>
        <v>Digital Payment</v>
      </c>
      <c r="P2873">
        <v>964.11</v>
      </c>
      <c r="Q2873" s="37" t="str">
        <f>IF(P2873&gt;500,"High","low")</f>
        <v>High</v>
      </c>
      <c r="R2873" s="37" t="str">
        <f t="shared" si="224"/>
        <v>Good</v>
      </c>
      <c r="S2873" t="s">
        <v>628</v>
      </c>
    </row>
    <row r="2874" spans="1:19" x14ac:dyDescent="0.2">
      <c r="A2874" t="s">
        <v>3485</v>
      </c>
      <c r="B2874" t="s">
        <v>75</v>
      </c>
      <c r="C2874" t="s">
        <v>617</v>
      </c>
      <c r="D2874">
        <v>3000.49</v>
      </c>
      <c r="E2874" s="37" t="str">
        <f t="shared" si="220"/>
        <v xml:space="preserve"> </v>
      </c>
      <c r="F2874">
        <v>0.5</v>
      </c>
      <c r="G2874" s="37" t="str">
        <f t="shared" si="221"/>
        <v>Heavy Discount</v>
      </c>
      <c r="H2874" s="37" t="str">
        <f t="shared" si="222"/>
        <v>High</v>
      </c>
      <c r="I2874">
        <v>3</v>
      </c>
      <c r="J2874" t="str" cm="1">
        <f t="array" ref="J2874">_xlfn.IFS(I2874&lt;=3,"small",I2874&lt;=6,"Medium",I2874&lt;=9,"Large")</f>
        <v>small</v>
      </c>
      <c r="K2874" s="36">
        <v>45150</v>
      </c>
      <c r="L2874" s="36">
        <v>45157</v>
      </c>
      <c r="M2874" t="s">
        <v>603</v>
      </c>
      <c r="N2874" t="s">
        <v>608</v>
      </c>
      <c r="O2874" s="37" t="str">
        <f t="shared" si="223"/>
        <v>Cash Payment</v>
      </c>
      <c r="P2874">
        <v>677.67</v>
      </c>
      <c r="Q2874" s="37" t="str">
        <f>IF(P2874&gt;500,"High","low")</f>
        <v>High</v>
      </c>
      <c r="R2874" s="37" t="str">
        <f t="shared" si="224"/>
        <v>Good</v>
      </c>
      <c r="S2874" t="s">
        <v>605</v>
      </c>
    </row>
    <row r="2875" spans="1:19" x14ac:dyDescent="0.2">
      <c r="A2875" t="s">
        <v>3486</v>
      </c>
      <c r="B2875" t="s">
        <v>67</v>
      </c>
      <c r="C2875" t="s">
        <v>602</v>
      </c>
      <c r="D2875">
        <v>2788.99</v>
      </c>
      <c r="E2875" s="37" t="str">
        <f t="shared" si="220"/>
        <v xml:space="preserve"> </v>
      </c>
      <c r="F2875">
        <v>0.41</v>
      </c>
      <c r="G2875" s="37" t="str">
        <f t="shared" si="221"/>
        <v>Heavy Discount</v>
      </c>
      <c r="H2875" s="37" t="str">
        <f t="shared" si="222"/>
        <v>High</v>
      </c>
      <c r="I2875">
        <v>8</v>
      </c>
      <c r="J2875" t="str" cm="1">
        <f t="array" ref="J2875">_xlfn.IFS(I2875&lt;=3,"small",I2875&lt;=6,"Medium",I2875&lt;=9,"Large")</f>
        <v>Large</v>
      </c>
      <c r="K2875" s="36">
        <v>45421</v>
      </c>
      <c r="L2875" s="36">
        <v>45422</v>
      </c>
      <c r="M2875" t="s">
        <v>603</v>
      </c>
      <c r="N2875" t="s">
        <v>608</v>
      </c>
      <c r="O2875" s="37" t="str">
        <f t="shared" si="223"/>
        <v>Cash Payment</v>
      </c>
      <c r="P2875">
        <v>243.55</v>
      </c>
      <c r="Q2875" s="37" t="str">
        <f>IF(P2875&gt;500,"High","low")</f>
        <v>low</v>
      </c>
      <c r="R2875" s="37" t="str">
        <f t="shared" si="224"/>
        <v>AVERAGE</v>
      </c>
      <c r="S2875" t="s">
        <v>609</v>
      </c>
    </row>
    <row r="2876" spans="1:19" x14ac:dyDescent="0.2">
      <c r="A2876" t="s">
        <v>3487</v>
      </c>
      <c r="B2876" t="s">
        <v>67</v>
      </c>
      <c r="C2876" t="s">
        <v>597</v>
      </c>
      <c r="D2876">
        <v>2382.25</v>
      </c>
      <c r="E2876" s="37" t="str">
        <f t="shared" si="220"/>
        <v xml:space="preserve"> </v>
      </c>
      <c r="F2876">
        <v>0.31</v>
      </c>
      <c r="G2876" s="37" t="str">
        <f t="shared" si="221"/>
        <v>Heavy Discount</v>
      </c>
      <c r="H2876" s="37" t="str">
        <f t="shared" si="222"/>
        <v>Medium</v>
      </c>
      <c r="I2876">
        <v>7</v>
      </c>
      <c r="J2876" t="str" cm="1">
        <f t="array" ref="J2876">_xlfn.IFS(I2876&lt;=3,"small",I2876&lt;=6,"Medium",I2876&lt;=9,"Large")</f>
        <v>Large</v>
      </c>
      <c r="K2876" s="36">
        <v>45639</v>
      </c>
      <c r="L2876" s="36">
        <v>45646</v>
      </c>
      <c r="M2876" t="s">
        <v>598</v>
      </c>
      <c r="N2876" t="s">
        <v>608</v>
      </c>
      <c r="O2876" s="37" t="str">
        <f t="shared" si="223"/>
        <v>Cash Payment</v>
      </c>
      <c r="P2876">
        <v>403.88</v>
      </c>
      <c r="Q2876" s="37" t="str">
        <f>IF(P2876&gt;500,"High","low")</f>
        <v>low</v>
      </c>
      <c r="R2876" s="37" t="str">
        <f t="shared" si="224"/>
        <v>AVERAGE</v>
      </c>
      <c r="S2876" t="s">
        <v>615</v>
      </c>
    </row>
    <row r="2877" spans="1:19" x14ac:dyDescent="0.2">
      <c r="A2877" t="s">
        <v>3488</v>
      </c>
      <c r="B2877" t="s">
        <v>83</v>
      </c>
      <c r="C2877" t="s">
        <v>602</v>
      </c>
      <c r="D2877">
        <v>3653.16</v>
      </c>
      <c r="E2877" s="37" t="str">
        <f t="shared" si="220"/>
        <v xml:space="preserve"> </v>
      </c>
      <c r="F2877">
        <v>0.11</v>
      </c>
      <c r="G2877" s="37" t="str">
        <f t="shared" si="221"/>
        <v>Normal Discount</v>
      </c>
      <c r="H2877" s="37" t="str">
        <f t="shared" si="222"/>
        <v>Low</v>
      </c>
      <c r="I2877">
        <v>8</v>
      </c>
      <c r="J2877" t="str" cm="1">
        <f t="array" ref="J2877">_xlfn.IFS(I2877&lt;=3,"small",I2877&lt;=6,"Medium",I2877&lt;=9,"Large")</f>
        <v>Large</v>
      </c>
      <c r="K2877" s="36">
        <v>44944</v>
      </c>
      <c r="L2877" s="36">
        <v>44950</v>
      </c>
      <c r="M2877" t="s">
        <v>603</v>
      </c>
      <c r="N2877" t="s">
        <v>608</v>
      </c>
      <c r="O2877" s="37" t="str">
        <f t="shared" si="223"/>
        <v>Cash Payment</v>
      </c>
      <c r="P2877">
        <v>733.83</v>
      </c>
      <c r="Q2877" s="37" t="str">
        <f>IF(P2877&gt;500,"High","low")</f>
        <v>High</v>
      </c>
      <c r="R2877" s="37" t="str">
        <f t="shared" si="224"/>
        <v>Good</v>
      </c>
      <c r="S2877" t="s">
        <v>620</v>
      </c>
    </row>
    <row r="2878" spans="1:19" x14ac:dyDescent="0.2">
      <c r="A2878" t="s">
        <v>3489</v>
      </c>
      <c r="B2878" t="s">
        <v>83</v>
      </c>
      <c r="C2878" t="s">
        <v>597</v>
      </c>
      <c r="D2878">
        <v>4304.47</v>
      </c>
      <c r="E2878" s="37" t="str">
        <f t="shared" si="220"/>
        <v xml:space="preserve"> </v>
      </c>
      <c r="F2878">
        <v>0.17</v>
      </c>
      <c r="G2878" s="37" t="str">
        <f t="shared" si="221"/>
        <v>Normal Discount</v>
      </c>
      <c r="H2878" s="37" t="str">
        <f t="shared" si="222"/>
        <v>Low</v>
      </c>
      <c r="I2878">
        <v>1</v>
      </c>
      <c r="J2878" t="str" cm="1">
        <f t="array" ref="J2878">_xlfn.IFS(I2878&lt;=3,"small",I2878&lt;=6,"Medium",I2878&lt;=9,"Large")</f>
        <v>small</v>
      </c>
      <c r="K2878" s="36">
        <v>45130</v>
      </c>
      <c r="L2878" s="36">
        <v>45131</v>
      </c>
      <c r="M2878" t="s">
        <v>598</v>
      </c>
      <c r="N2878" t="s">
        <v>599</v>
      </c>
      <c r="O2878" s="37" t="str">
        <f t="shared" si="223"/>
        <v>Digital Payment</v>
      </c>
      <c r="P2878">
        <v>270.02999999999997</v>
      </c>
      <c r="Q2878" s="37" t="str">
        <f>IF(P2878&gt;500,"High","low")</f>
        <v>low</v>
      </c>
      <c r="R2878" s="37" t="str">
        <f t="shared" si="224"/>
        <v>AVERAGE</v>
      </c>
      <c r="S2878" t="s">
        <v>620</v>
      </c>
    </row>
    <row r="2879" spans="1:19" x14ac:dyDescent="0.2">
      <c r="A2879" t="s">
        <v>3490</v>
      </c>
      <c r="B2879" t="s">
        <v>67</v>
      </c>
      <c r="C2879" t="s">
        <v>597</v>
      </c>
      <c r="D2879">
        <v>1584.49</v>
      </c>
      <c r="E2879" s="37" t="str">
        <f t="shared" si="220"/>
        <v xml:space="preserve"> </v>
      </c>
      <c r="F2879">
        <v>0.18</v>
      </c>
      <c r="G2879" s="37" t="str">
        <f t="shared" si="221"/>
        <v>Normal Discount</v>
      </c>
      <c r="H2879" s="37" t="str">
        <f t="shared" si="222"/>
        <v>Low</v>
      </c>
      <c r="I2879">
        <v>2</v>
      </c>
      <c r="J2879" t="str" cm="1">
        <f t="array" ref="J2879">_xlfn.IFS(I2879&lt;=3,"small",I2879&lt;=6,"Medium",I2879&lt;=9,"Large")</f>
        <v>small</v>
      </c>
      <c r="K2879" s="36">
        <v>45060</v>
      </c>
      <c r="L2879" s="36">
        <v>45065</v>
      </c>
      <c r="M2879" t="s">
        <v>612</v>
      </c>
      <c r="N2879" t="s">
        <v>604</v>
      </c>
      <c r="O2879" s="37" t="str">
        <f t="shared" si="223"/>
        <v>Digital Payment</v>
      </c>
      <c r="P2879">
        <v>176.47</v>
      </c>
      <c r="Q2879" s="37" t="str">
        <f>IF(P2879&gt;500,"High","low")</f>
        <v>low</v>
      </c>
      <c r="R2879" s="37" t="str">
        <f t="shared" si="224"/>
        <v>AVERAGE</v>
      </c>
      <c r="S2879" t="s">
        <v>615</v>
      </c>
    </row>
    <row r="2880" spans="1:19" x14ac:dyDescent="0.2">
      <c r="A2880" t="s">
        <v>3491</v>
      </c>
      <c r="B2880" t="s">
        <v>90</v>
      </c>
      <c r="C2880" t="s">
        <v>602</v>
      </c>
      <c r="D2880">
        <v>1182.5</v>
      </c>
      <c r="E2880" s="37" t="str">
        <f t="shared" si="220"/>
        <v xml:space="preserve"> </v>
      </c>
      <c r="F2880">
        <v>0.24</v>
      </c>
      <c r="G2880" s="37" t="str">
        <f t="shared" si="221"/>
        <v>Normal Discount</v>
      </c>
      <c r="H2880" s="37" t="str">
        <f t="shared" si="222"/>
        <v>Medium</v>
      </c>
      <c r="I2880">
        <v>7</v>
      </c>
      <c r="J2880" t="str" cm="1">
        <f t="array" ref="J2880">_xlfn.IFS(I2880&lt;=3,"small",I2880&lt;=6,"Medium",I2880&lt;=9,"Large")</f>
        <v>Large</v>
      </c>
      <c r="K2880" s="36">
        <v>45273</v>
      </c>
      <c r="L2880" s="36">
        <v>45274</v>
      </c>
      <c r="M2880" t="s">
        <v>612</v>
      </c>
      <c r="N2880" t="s">
        <v>599</v>
      </c>
      <c r="O2880" s="37" t="str">
        <f t="shared" si="223"/>
        <v>Digital Payment</v>
      </c>
      <c r="P2880">
        <v>290.70999999999998</v>
      </c>
      <c r="Q2880" s="37" t="str">
        <f>IF(P2880&gt;500,"High","low")</f>
        <v>low</v>
      </c>
      <c r="R2880" s="37" t="str">
        <f t="shared" si="224"/>
        <v>AVERAGE</v>
      </c>
      <c r="S2880" t="s">
        <v>628</v>
      </c>
    </row>
    <row r="2881" spans="1:19" x14ac:dyDescent="0.2">
      <c r="A2881" t="s">
        <v>3492</v>
      </c>
      <c r="B2881" t="s">
        <v>67</v>
      </c>
      <c r="C2881" t="s">
        <v>614</v>
      </c>
      <c r="D2881">
        <v>3383.98</v>
      </c>
      <c r="E2881" s="37" t="str">
        <f t="shared" si="220"/>
        <v xml:space="preserve"> </v>
      </c>
      <c r="F2881">
        <v>0.21</v>
      </c>
      <c r="G2881" s="37" t="str">
        <f t="shared" si="221"/>
        <v>Normal Discount</v>
      </c>
      <c r="H2881" s="37" t="str">
        <f t="shared" si="222"/>
        <v>Medium</v>
      </c>
      <c r="I2881">
        <v>5</v>
      </c>
      <c r="J2881" t="str" cm="1">
        <f t="array" ref="J2881">_xlfn.IFS(I2881&lt;=3,"small",I2881&lt;=6,"Medium",I2881&lt;=9,"Large")</f>
        <v>Medium</v>
      </c>
      <c r="K2881" s="36">
        <v>45034</v>
      </c>
      <c r="L2881" s="36">
        <v>45040</v>
      </c>
      <c r="M2881" t="s">
        <v>603</v>
      </c>
      <c r="N2881" t="s">
        <v>599</v>
      </c>
      <c r="O2881" s="37" t="str">
        <f t="shared" si="223"/>
        <v>Digital Payment</v>
      </c>
      <c r="P2881">
        <v>977.22</v>
      </c>
      <c r="Q2881" s="37" t="str">
        <f>IF(P2881&gt;500,"High","low")</f>
        <v>High</v>
      </c>
      <c r="R2881" s="37" t="str">
        <f t="shared" si="224"/>
        <v>Good</v>
      </c>
      <c r="S2881" t="s">
        <v>620</v>
      </c>
    </row>
    <row r="2882" spans="1:19" x14ac:dyDescent="0.2">
      <c r="A2882" t="s">
        <v>3493</v>
      </c>
      <c r="B2882" t="s">
        <v>83</v>
      </c>
      <c r="C2882" t="s">
        <v>617</v>
      </c>
      <c r="D2882">
        <v>4582.1899999999996</v>
      </c>
      <c r="E2882" s="37" t="str">
        <f t="shared" si="220"/>
        <v>Excellent Order</v>
      </c>
      <c r="F2882">
        <v>0.47</v>
      </c>
      <c r="G2882" s="37" t="str">
        <f t="shared" si="221"/>
        <v>Heavy Discount</v>
      </c>
      <c r="H2882" s="37" t="str">
        <f t="shared" si="222"/>
        <v>High</v>
      </c>
      <c r="I2882">
        <v>5</v>
      </c>
      <c r="J2882" t="str" cm="1">
        <f t="array" ref="J2882">_xlfn.IFS(I2882&lt;=3,"small",I2882&lt;=6,"Medium",I2882&lt;=9,"Large")</f>
        <v>Medium</v>
      </c>
      <c r="K2882" s="36">
        <v>45349</v>
      </c>
      <c r="L2882" s="36">
        <v>45356</v>
      </c>
      <c r="M2882" t="s">
        <v>612</v>
      </c>
      <c r="N2882" t="s">
        <v>608</v>
      </c>
      <c r="O2882" s="37" t="str">
        <f t="shared" si="223"/>
        <v>Cash Payment</v>
      </c>
      <c r="P2882">
        <v>1352.14</v>
      </c>
      <c r="Q2882" s="37" t="str">
        <f>IF(P2882&gt;500,"High","low")</f>
        <v>High</v>
      </c>
      <c r="R2882" s="37" t="str">
        <f t="shared" si="224"/>
        <v>Excellent</v>
      </c>
      <c r="S2882" t="s">
        <v>609</v>
      </c>
    </row>
    <row r="2883" spans="1:19" x14ac:dyDescent="0.2">
      <c r="A2883" t="s">
        <v>3494</v>
      </c>
      <c r="B2883" t="s">
        <v>75</v>
      </c>
      <c r="C2883" t="s">
        <v>607</v>
      </c>
      <c r="D2883">
        <v>1805.97</v>
      </c>
      <c r="E2883" s="37" t="str">
        <f t="shared" ref="E2883:E2946" si="225">IF(AND(D2883&gt;4000,P2883&gt;800),"Excellent Order"," ")</f>
        <v xml:space="preserve"> </v>
      </c>
      <c r="F2883">
        <v>0.36</v>
      </c>
      <c r="G2883" s="37" t="str">
        <f t="shared" ref="G2883:G2946" si="226">IF(F2883&gt;30%,"Heavy Discount","Normal Discount")</f>
        <v>Heavy Discount</v>
      </c>
      <c r="H2883" s="37" t="str">
        <f t="shared" ref="H2883:H2946" si="227">IF(F2883&gt;0.4,"High",IF(F2883&gt;=0.2,"Medium","Low"))</f>
        <v>Medium</v>
      </c>
      <c r="I2883">
        <v>9</v>
      </c>
      <c r="J2883" t="str" cm="1">
        <f t="array" ref="J2883">_xlfn.IFS(I2883&lt;=3,"small",I2883&lt;=6,"Medium",I2883&lt;=9,"Large")</f>
        <v>Large</v>
      </c>
      <c r="K2883" s="36">
        <v>45439</v>
      </c>
      <c r="L2883" s="36">
        <v>45442</v>
      </c>
      <c r="M2883" t="s">
        <v>612</v>
      </c>
      <c r="N2883" t="s">
        <v>608</v>
      </c>
      <c r="O2883" s="37" t="str">
        <f t="shared" ref="O2883:O2946" si="228">IF(OR(N2883="Card",N2883="UPI"),"Digital Payment","Cash Payment")</f>
        <v>Cash Payment</v>
      </c>
      <c r="P2883">
        <v>414.51</v>
      </c>
      <c r="Q2883" s="37" t="str">
        <f>IF(P2883&gt;500,"High","low")</f>
        <v>low</v>
      </c>
      <c r="R2883" s="37" t="str">
        <f t="shared" ref="R2883:R2946" si="229">IF(P2883&gt;1000,"Excellent",IF(P2883&gt;=500,"Good","AVERAGE"))</f>
        <v>AVERAGE</v>
      </c>
      <c r="S2883" t="s">
        <v>609</v>
      </c>
    </row>
    <row r="2884" spans="1:19" x14ac:dyDescent="0.2">
      <c r="A2884" t="s">
        <v>3495</v>
      </c>
      <c r="B2884" t="s">
        <v>75</v>
      </c>
      <c r="C2884" t="s">
        <v>602</v>
      </c>
      <c r="D2884">
        <v>1435</v>
      </c>
      <c r="E2884" s="37" t="str">
        <f t="shared" si="225"/>
        <v xml:space="preserve"> </v>
      </c>
      <c r="F2884">
        <v>0.04</v>
      </c>
      <c r="G2884" s="37" t="str">
        <f t="shared" si="226"/>
        <v>Normal Discount</v>
      </c>
      <c r="H2884" s="37" t="str">
        <f t="shared" si="227"/>
        <v>Low</v>
      </c>
      <c r="I2884">
        <v>1</v>
      </c>
      <c r="J2884" t="str" cm="1">
        <f t="array" ref="J2884">_xlfn.IFS(I2884&lt;=3,"small",I2884&lt;=6,"Medium",I2884&lt;=9,"Large")</f>
        <v>small</v>
      </c>
      <c r="K2884" s="36">
        <v>44941</v>
      </c>
      <c r="L2884" s="36">
        <v>44945</v>
      </c>
      <c r="M2884" t="s">
        <v>598</v>
      </c>
      <c r="N2884" t="s">
        <v>604</v>
      </c>
      <c r="O2884" s="37" t="str">
        <f t="shared" si="228"/>
        <v>Digital Payment</v>
      </c>
      <c r="P2884">
        <v>323.72000000000003</v>
      </c>
      <c r="Q2884" s="37" t="str">
        <f>IF(P2884&gt;500,"High","low")</f>
        <v>low</v>
      </c>
      <c r="R2884" s="37" t="str">
        <f t="shared" si="229"/>
        <v>AVERAGE</v>
      </c>
      <c r="S2884" t="s">
        <v>620</v>
      </c>
    </row>
    <row r="2885" spans="1:19" x14ac:dyDescent="0.2">
      <c r="A2885" t="s">
        <v>3496</v>
      </c>
      <c r="B2885" t="s">
        <v>90</v>
      </c>
      <c r="C2885" t="s">
        <v>597</v>
      </c>
      <c r="D2885">
        <v>1207.96</v>
      </c>
      <c r="E2885" s="37" t="str">
        <f t="shared" si="225"/>
        <v xml:space="preserve"> </v>
      </c>
      <c r="F2885">
        <v>0.18</v>
      </c>
      <c r="G2885" s="37" t="str">
        <f t="shared" si="226"/>
        <v>Normal Discount</v>
      </c>
      <c r="H2885" s="37" t="str">
        <f t="shared" si="227"/>
        <v>Low</v>
      </c>
      <c r="I2885">
        <v>5</v>
      </c>
      <c r="J2885" t="str" cm="1">
        <f t="array" ref="J2885">_xlfn.IFS(I2885&lt;=3,"small",I2885&lt;=6,"Medium",I2885&lt;=9,"Large")</f>
        <v>Medium</v>
      </c>
      <c r="K2885" s="36">
        <v>45580</v>
      </c>
      <c r="L2885" s="36">
        <v>45581</v>
      </c>
      <c r="M2885" t="s">
        <v>598</v>
      </c>
      <c r="N2885" t="s">
        <v>608</v>
      </c>
      <c r="O2885" s="37" t="str">
        <f t="shared" si="228"/>
        <v>Cash Payment</v>
      </c>
      <c r="P2885">
        <v>273.67</v>
      </c>
      <c r="Q2885" s="37" t="str">
        <f>IF(P2885&gt;500,"High","low")</f>
        <v>low</v>
      </c>
      <c r="R2885" s="37" t="str">
        <f t="shared" si="229"/>
        <v>AVERAGE</v>
      </c>
      <c r="S2885" t="s">
        <v>600</v>
      </c>
    </row>
    <row r="2886" spans="1:19" x14ac:dyDescent="0.2">
      <c r="A2886" t="s">
        <v>3497</v>
      </c>
      <c r="B2886" t="s">
        <v>67</v>
      </c>
      <c r="C2886" t="s">
        <v>602</v>
      </c>
      <c r="D2886">
        <v>1347.01</v>
      </c>
      <c r="E2886" s="37" t="str">
        <f t="shared" si="225"/>
        <v xml:space="preserve"> </v>
      </c>
      <c r="F2886">
        <v>7.0000000000000007E-2</v>
      </c>
      <c r="G2886" s="37" t="str">
        <f t="shared" si="226"/>
        <v>Normal Discount</v>
      </c>
      <c r="H2886" s="37" t="str">
        <f t="shared" si="227"/>
        <v>Low</v>
      </c>
      <c r="I2886">
        <v>7</v>
      </c>
      <c r="J2886" t="str" cm="1">
        <f t="array" ref="J2886">_xlfn.IFS(I2886&lt;=3,"small",I2886&lt;=6,"Medium",I2886&lt;=9,"Large")</f>
        <v>Large</v>
      </c>
      <c r="K2886" s="36">
        <v>45431</v>
      </c>
      <c r="L2886" s="36">
        <v>45434</v>
      </c>
      <c r="M2886" t="s">
        <v>612</v>
      </c>
      <c r="N2886" t="s">
        <v>599</v>
      </c>
      <c r="O2886" s="37" t="str">
        <f t="shared" si="228"/>
        <v>Digital Payment</v>
      </c>
      <c r="P2886">
        <v>167.12</v>
      </c>
      <c r="Q2886" s="37" t="str">
        <f>IF(P2886&gt;500,"High","low")</f>
        <v>low</v>
      </c>
      <c r="R2886" s="37" t="str">
        <f t="shared" si="229"/>
        <v>AVERAGE</v>
      </c>
      <c r="S2886" t="s">
        <v>615</v>
      </c>
    </row>
    <row r="2887" spans="1:19" x14ac:dyDescent="0.2">
      <c r="A2887" t="s">
        <v>3498</v>
      </c>
      <c r="B2887" t="s">
        <v>75</v>
      </c>
      <c r="C2887" t="s">
        <v>617</v>
      </c>
      <c r="D2887">
        <v>761.17</v>
      </c>
      <c r="E2887" s="37" t="str">
        <f t="shared" si="225"/>
        <v xml:space="preserve"> </v>
      </c>
      <c r="F2887">
        <v>0.14000000000000001</v>
      </c>
      <c r="G2887" s="37" t="str">
        <f t="shared" si="226"/>
        <v>Normal Discount</v>
      </c>
      <c r="H2887" s="37" t="str">
        <f t="shared" si="227"/>
        <v>Low</v>
      </c>
      <c r="I2887">
        <v>5</v>
      </c>
      <c r="J2887" t="str" cm="1">
        <f t="array" ref="J2887">_xlfn.IFS(I2887&lt;=3,"small",I2887&lt;=6,"Medium",I2887&lt;=9,"Large")</f>
        <v>Medium</v>
      </c>
      <c r="K2887" s="36">
        <v>45515</v>
      </c>
      <c r="L2887" s="36">
        <v>45521</v>
      </c>
      <c r="M2887" t="s">
        <v>603</v>
      </c>
      <c r="N2887" t="s">
        <v>599</v>
      </c>
      <c r="O2887" s="37" t="str">
        <f t="shared" si="228"/>
        <v>Digital Payment</v>
      </c>
      <c r="P2887">
        <v>116.27</v>
      </c>
      <c r="Q2887" s="37" t="str">
        <f>IF(P2887&gt;500,"High","low")</f>
        <v>low</v>
      </c>
      <c r="R2887" s="37" t="str">
        <f t="shared" si="229"/>
        <v>AVERAGE</v>
      </c>
      <c r="S2887" t="s">
        <v>609</v>
      </c>
    </row>
    <row r="2888" spans="1:19" x14ac:dyDescent="0.2">
      <c r="A2888" t="s">
        <v>3499</v>
      </c>
      <c r="B2888" t="s">
        <v>67</v>
      </c>
      <c r="C2888" t="s">
        <v>597</v>
      </c>
      <c r="D2888">
        <v>3024.21</v>
      </c>
      <c r="E2888" s="37" t="str">
        <f t="shared" si="225"/>
        <v xml:space="preserve"> </v>
      </c>
      <c r="F2888">
        <v>0.48</v>
      </c>
      <c r="G2888" s="37" t="str">
        <f t="shared" si="226"/>
        <v>Heavy Discount</v>
      </c>
      <c r="H2888" s="37" t="str">
        <f t="shared" si="227"/>
        <v>High</v>
      </c>
      <c r="I2888">
        <v>7</v>
      </c>
      <c r="J2888" t="str" cm="1">
        <f t="array" ref="J2888">_xlfn.IFS(I2888&lt;=3,"small",I2888&lt;=6,"Medium",I2888&lt;=9,"Large")</f>
        <v>Large</v>
      </c>
      <c r="K2888" s="36">
        <v>45430</v>
      </c>
      <c r="L2888" s="36">
        <v>45437</v>
      </c>
      <c r="M2888" t="s">
        <v>603</v>
      </c>
      <c r="N2888" t="s">
        <v>599</v>
      </c>
      <c r="O2888" s="37" t="str">
        <f t="shared" si="228"/>
        <v>Digital Payment</v>
      </c>
      <c r="P2888">
        <v>286.79000000000002</v>
      </c>
      <c r="Q2888" s="37" t="str">
        <f>IF(P2888&gt;500,"High","low")</f>
        <v>low</v>
      </c>
      <c r="R2888" s="37" t="str">
        <f t="shared" si="229"/>
        <v>AVERAGE</v>
      </c>
      <c r="S2888" t="s">
        <v>615</v>
      </c>
    </row>
    <row r="2889" spans="1:19" x14ac:dyDescent="0.2">
      <c r="A2889" t="s">
        <v>3500</v>
      </c>
      <c r="B2889" t="s">
        <v>83</v>
      </c>
      <c r="C2889" t="s">
        <v>607</v>
      </c>
      <c r="D2889">
        <v>1476.05</v>
      </c>
      <c r="E2889" s="37" t="str">
        <f t="shared" si="225"/>
        <v xml:space="preserve"> </v>
      </c>
      <c r="F2889">
        <v>0.35</v>
      </c>
      <c r="G2889" s="37" t="str">
        <f t="shared" si="226"/>
        <v>Heavy Discount</v>
      </c>
      <c r="H2889" s="37" t="str">
        <f t="shared" si="227"/>
        <v>Medium</v>
      </c>
      <c r="I2889">
        <v>1</v>
      </c>
      <c r="J2889" t="str" cm="1">
        <f t="array" ref="J2889">_xlfn.IFS(I2889&lt;=3,"small",I2889&lt;=6,"Medium",I2889&lt;=9,"Large")</f>
        <v>small</v>
      </c>
      <c r="K2889" s="36">
        <v>45100</v>
      </c>
      <c r="L2889" s="36">
        <v>45104</v>
      </c>
      <c r="M2889" t="s">
        <v>603</v>
      </c>
      <c r="N2889" t="s">
        <v>604</v>
      </c>
      <c r="O2889" s="37" t="str">
        <f t="shared" si="228"/>
        <v>Digital Payment</v>
      </c>
      <c r="P2889">
        <v>247.31</v>
      </c>
      <c r="Q2889" s="37" t="str">
        <f>IF(P2889&gt;500,"High","low")</f>
        <v>low</v>
      </c>
      <c r="R2889" s="37" t="str">
        <f t="shared" si="229"/>
        <v>AVERAGE</v>
      </c>
      <c r="S2889" t="s">
        <v>628</v>
      </c>
    </row>
    <row r="2890" spans="1:19" x14ac:dyDescent="0.2">
      <c r="A2890" t="s">
        <v>3501</v>
      </c>
      <c r="B2890" t="s">
        <v>75</v>
      </c>
      <c r="C2890" t="s">
        <v>607</v>
      </c>
      <c r="D2890">
        <v>3113.23</v>
      </c>
      <c r="E2890" s="37" t="str">
        <f t="shared" si="225"/>
        <v xml:space="preserve"> </v>
      </c>
      <c r="F2890">
        <v>0</v>
      </c>
      <c r="G2890" s="37" t="str">
        <f t="shared" si="226"/>
        <v>Normal Discount</v>
      </c>
      <c r="H2890" s="37" t="str">
        <f t="shared" si="227"/>
        <v>Low</v>
      </c>
      <c r="I2890">
        <v>5</v>
      </c>
      <c r="J2890" t="str" cm="1">
        <f t="array" ref="J2890">_xlfn.IFS(I2890&lt;=3,"small",I2890&lt;=6,"Medium",I2890&lt;=9,"Large")</f>
        <v>Medium</v>
      </c>
      <c r="K2890" s="36">
        <v>45037</v>
      </c>
      <c r="L2890" s="36">
        <v>45039</v>
      </c>
      <c r="M2890" t="s">
        <v>612</v>
      </c>
      <c r="N2890" t="s">
        <v>599</v>
      </c>
      <c r="O2890" s="37" t="str">
        <f t="shared" si="228"/>
        <v>Digital Payment</v>
      </c>
      <c r="P2890">
        <v>187.28</v>
      </c>
      <c r="Q2890" s="37" t="str">
        <f>IF(P2890&gt;500,"High","low")</f>
        <v>low</v>
      </c>
      <c r="R2890" s="37" t="str">
        <f t="shared" si="229"/>
        <v>AVERAGE</v>
      </c>
      <c r="S2890" t="s">
        <v>620</v>
      </c>
    </row>
    <row r="2891" spans="1:19" x14ac:dyDescent="0.2">
      <c r="A2891" t="s">
        <v>3502</v>
      </c>
      <c r="B2891" t="s">
        <v>90</v>
      </c>
      <c r="C2891" t="s">
        <v>607</v>
      </c>
      <c r="D2891">
        <v>506.86</v>
      </c>
      <c r="E2891" s="37" t="str">
        <f t="shared" si="225"/>
        <v xml:space="preserve"> </v>
      </c>
      <c r="F2891">
        <v>0.16</v>
      </c>
      <c r="G2891" s="37" t="str">
        <f t="shared" si="226"/>
        <v>Normal Discount</v>
      </c>
      <c r="H2891" s="37" t="str">
        <f t="shared" si="227"/>
        <v>Low</v>
      </c>
      <c r="I2891">
        <v>6</v>
      </c>
      <c r="J2891" t="str" cm="1">
        <f t="array" ref="J2891">_xlfn.IFS(I2891&lt;=3,"small",I2891&lt;=6,"Medium",I2891&lt;=9,"Large")</f>
        <v>Medium</v>
      </c>
      <c r="K2891" s="36">
        <v>45043</v>
      </c>
      <c r="L2891" s="36">
        <v>45044</v>
      </c>
      <c r="M2891" t="s">
        <v>612</v>
      </c>
      <c r="N2891" t="s">
        <v>604</v>
      </c>
      <c r="O2891" s="37" t="str">
        <f t="shared" si="228"/>
        <v>Digital Payment</v>
      </c>
      <c r="P2891">
        <v>130.38</v>
      </c>
      <c r="Q2891" s="37" t="str">
        <f>IF(P2891&gt;500,"High","low")</f>
        <v>low</v>
      </c>
      <c r="R2891" s="37" t="str">
        <f t="shared" si="229"/>
        <v>AVERAGE</v>
      </c>
      <c r="S2891" t="s">
        <v>620</v>
      </c>
    </row>
    <row r="2892" spans="1:19" x14ac:dyDescent="0.2">
      <c r="A2892" t="s">
        <v>3503</v>
      </c>
      <c r="B2892" t="s">
        <v>83</v>
      </c>
      <c r="C2892" t="s">
        <v>614</v>
      </c>
      <c r="D2892">
        <v>665.74</v>
      </c>
      <c r="E2892" s="37" t="str">
        <f t="shared" si="225"/>
        <v xml:space="preserve"> </v>
      </c>
      <c r="F2892">
        <v>0.22</v>
      </c>
      <c r="G2892" s="37" t="str">
        <f t="shared" si="226"/>
        <v>Normal Discount</v>
      </c>
      <c r="H2892" s="37" t="str">
        <f t="shared" si="227"/>
        <v>Medium</v>
      </c>
      <c r="I2892">
        <v>6</v>
      </c>
      <c r="J2892" t="str" cm="1">
        <f t="array" ref="J2892">_xlfn.IFS(I2892&lt;=3,"small",I2892&lt;=6,"Medium",I2892&lt;=9,"Large")</f>
        <v>Medium</v>
      </c>
      <c r="K2892" s="36">
        <v>44967</v>
      </c>
      <c r="L2892" s="36">
        <v>44972</v>
      </c>
      <c r="M2892" t="s">
        <v>603</v>
      </c>
      <c r="N2892" t="s">
        <v>608</v>
      </c>
      <c r="O2892" s="37" t="str">
        <f t="shared" si="228"/>
        <v>Cash Payment</v>
      </c>
      <c r="P2892">
        <v>190.98</v>
      </c>
      <c r="Q2892" s="37" t="str">
        <f>IF(P2892&gt;500,"High","low")</f>
        <v>low</v>
      </c>
      <c r="R2892" s="37" t="str">
        <f t="shared" si="229"/>
        <v>AVERAGE</v>
      </c>
      <c r="S2892" t="s">
        <v>600</v>
      </c>
    </row>
    <row r="2893" spans="1:19" x14ac:dyDescent="0.2">
      <c r="A2893" t="s">
        <v>3504</v>
      </c>
      <c r="B2893" t="s">
        <v>90</v>
      </c>
      <c r="C2893" t="s">
        <v>597</v>
      </c>
      <c r="D2893">
        <v>2727.1</v>
      </c>
      <c r="E2893" s="37" t="str">
        <f t="shared" si="225"/>
        <v xml:space="preserve"> </v>
      </c>
      <c r="F2893">
        <v>0.3</v>
      </c>
      <c r="G2893" s="37" t="str">
        <f t="shared" si="226"/>
        <v>Normal Discount</v>
      </c>
      <c r="H2893" s="37" t="str">
        <f t="shared" si="227"/>
        <v>Medium</v>
      </c>
      <c r="I2893">
        <v>4</v>
      </c>
      <c r="J2893" t="str" cm="1">
        <f t="array" ref="J2893">_xlfn.IFS(I2893&lt;=3,"small",I2893&lt;=6,"Medium",I2893&lt;=9,"Large")</f>
        <v>Medium</v>
      </c>
      <c r="K2893" s="36">
        <v>44932</v>
      </c>
      <c r="L2893" s="36">
        <v>44934</v>
      </c>
      <c r="M2893" t="s">
        <v>612</v>
      </c>
      <c r="N2893" t="s">
        <v>604</v>
      </c>
      <c r="O2893" s="37" t="str">
        <f t="shared" si="228"/>
        <v>Digital Payment</v>
      </c>
      <c r="P2893">
        <v>230.54</v>
      </c>
      <c r="Q2893" s="37" t="str">
        <f>IF(P2893&gt;500,"High","low")</f>
        <v>low</v>
      </c>
      <c r="R2893" s="37" t="str">
        <f t="shared" si="229"/>
        <v>AVERAGE</v>
      </c>
      <c r="S2893" t="s">
        <v>605</v>
      </c>
    </row>
    <row r="2894" spans="1:19" x14ac:dyDescent="0.2">
      <c r="A2894" t="s">
        <v>3505</v>
      </c>
      <c r="B2894" t="s">
        <v>83</v>
      </c>
      <c r="C2894" t="s">
        <v>597</v>
      </c>
      <c r="D2894">
        <v>2606.5</v>
      </c>
      <c r="E2894" s="37" t="str">
        <f t="shared" si="225"/>
        <v xml:space="preserve"> </v>
      </c>
      <c r="F2894">
        <v>0.25</v>
      </c>
      <c r="G2894" s="37" t="str">
        <f t="shared" si="226"/>
        <v>Normal Discount</v>
      </c>
      <c r="H2894" s="37" t="str">
        <f t="shared" si="227"/>
        <v>Medium</v>
      </c>
      <c r="I2894">
        <v>5</v>
      </c>
      <c r="J2894" t="str" cm="1">
        <f t="array" ref="J2894">_xlfn.IFS(I2894&lt;=3,"small",I2894&lt;=6,"Medium",I2894&lt;=9,"Large")</f>
        <v>Medium</v>
      </c>
      <c r="K2894" s="36">
        <v>45202</v>
      </c>
      <c r="L2894" s="36">
        <v>45207</v>
      </c>
      <c r="M2894" t="s">
        <v>603</v>
      </c>
      <c r="N2894" t="s">
        <v>608</v>
      </c>
      <c r="O2894" s="37" t="str">
        <f t="shared" si="228"/>
        <v>Cash Payment</v>
      </c>
      <c r="P2894">
        <v>446.26</v>
      </c>
      <c r="Q2894" s="37" t="str">
        <f>IF(P2894&gt;500,"High","low")</f>
        <v>low</v>
      </c>
      <c r="R2894" s="37" t="str">
        <f t="shared" si="229"/>
        <v>AVERAGE</v>
      </c>
      <c r="S2894" t="s">
        <v>620</v>
      </c>
    </row>
    <row r="2895" spans="1:19" x14ac:dyDescent="0.2">
      <c r="A2895" t="s">
        <v>3506</v>
      </c>
      <c r="B2895" t="s">
        <v>75</v>
      </c>
      <c r="C2895" t="s">
        <v>614</v>
      </c>
      <c r="D2895">
        <v>1430.4</v>
      </c>
      <c r="E2895" s="37" t="str">
        <f t="shared" si="225"/>
        <v xml:space="preserve"> </v>
      </c>
      <c r="F2895">
        <v>0.03</v>
      </c>
      <c r="G2895" s="37" t="str">
        <f t="shared" si="226"/>
        <v>Normal Discount</v>
      </c>
      <c r="H2895" s="37" t="str">
        <f t="shared" si="227"/>
        <v>Low</v>
      </c>
      <c r="I2895">
        <v>8</v>
      </c>
      <c r="J2895" t="str" cm="1">
        <f t="array" ref="J2895">_xlfn.IFS(I2895&lt;=3,"small",I2895&lt;=6,"Medium",I2895&lt;=9,"Large")</f>
        <v>Large</v>
      </c>
      <c r="K2895" s="36">
        <v>44994</v>
      </c>
      <c r="L2895" s="36">
        <v>45001</v>
      </c>
      <c r="M2895" t="s">
        <v>598</v>
      </c>
      <c r="N2895" t="s">
        <v>608</v>
      </c>
      <c r="O2895" s="37" t="str">
        <f t="shared" si="228"/>
        <v>Cash Payment</v>
      </c>
      <c r="P2895">
        <v>228.69</v>
      </c>
      <c r="Q2895" s="37" t="str">
        <f>IF(P2895&gt;500,"High","low")</f>
        <v>low</v>
      </c>
      <c r="R2895" s="37" t="str">
        <f t="shared" si="229"/>
        <v>AVERAGE</v>
      </c>
      <c r="S2895" t="s">
        <v>600</v>
      </c>
    </row>
    <row r="2896" spans="1:19" x14ac:dyDescent="0.2">
      <c r="A2896" t="s">
        <v>3507</v>
      </c>
      <c r="B2896" t="s">
        <v>90</v>
      </c>
      <c r="C2896" t="s">
        <v>597</v>
      </c>
      <c r="D2896">
        <v>4152.9399999999996</v>
      </c>
      <c r="E2896" s="37" t="str">
        <f t="shared" si="225"/>
        <v>Excellent Order</v>
      </c>
      <c r="F2896">
        <v>0.26</v>
      </c>
      <c r="G2896" s="37" t="str">
        <f t="shared" si="226"/>
        <v>Normal Discount</v>
      </c>
      <c r="H2896" s="37" t="str">
        <f t="shared" si="227"/>
        <v>Medium</v>
      </c>
      <c r="I2896">
        <v>6</v>
      </c>
      <c r="J2896" t="str" cm="1">
        <f t="array" ref="J2896">_xlfn.IFS(I2896&lt;=3,"small",I2896&lt;=6,"Medium",I2896&lt;=9,"Large")</f>
        <v>Medium</v>
      </c>
      <c r="K2896" s="36">
        <v>45417</v>
      </c>
      <c r="L2896" s="36">
        <v>45420</v>
      </c>
      <c r="M2896" t="s">
        <v>598</v>
      </c>
      <c r="N2896" t="s">
        <v>608</v>
      </c>
      <c r="O2896" s="37" t="str">
        <f t="shared" si="228"/>
        <v>Cash Payment</v>
      </c>
      <c r="P2896">
        <v>981.94</v>
      </c>
      <c r="Q2896" s="37" t="str">
        <f>IF(P2896&gt;500,"High","low")</f>
        <v>High</v>
      </c>
      <c r="R2896" s="37" t="str">
        <f t="shared" si="229"/>
        <v>Good</v>
      </c>
      <c r="S2896" t="s">
        <v>620</v>
      </c>
    </row>
    <row r="2897" spans="1:19" x14ac:dyDescent="0.2">
      <c r="A2897" t="s">
        <v>3508</v>
      </c>
      <c r="B2897" t="s">
        <v>90</v>
      </c>
      <c r="C2897" t="s">
        <v>614</v>
      </c>
      <c r="D2897">
        <v>1016.53</v>
      </c>
      <c r="E2897" s="37" t="str">
        <f t="shared" si="225"/>
        <v xml:space="preserve"> </v>
      </c>
      <c r="F2897">
        <v>7.0000000000000007E-2</v>
      </c>
      <c r="G2897" s="37" t="str">
        <f t="shared" si="226"/>
        <v>Normal Discount</v>
      </c>
      <c r="H2897" s="37" t="str">
        <f t="shared" si="227"/>
        <v>Low</v>
      </c>
      <c r="I2897">
        <v>1</v>
      </c>
      <c r="J2897" t="str" cm="1">
        <f t="array" ref="J2897">_xlfn.IFS(I2897&lt;=3,"small",I2897&lt;=6,"Medium",I2897&lt;=9,"Large")</f>
        <v>small</v>
      </c>
      <c r="K2897" s="36">
        <v>45542</v>
      </c>
      <c r="L2897" s="36">
        <v>45545</v>
      </c>
      <c r="M2897" t="s">
        <v>603</v>
      </c>
      <c r="N2897" t="s">
        <v>604</v>
      </c>
      <c r="O2897" s="37" t="str">
        <f t="shared" si="228"/>
        <v>Digital Payment</v>
      </c>
      <c r="P2897">
        <v>181.55</v>
      </c>
      <c r="Q2897" s="37" t="str">
        <f>IF(P2897&gt;500,"High","low")</f>
        <v>low</v>
      </c>
      <c r="R2897" s="37" t="str">
        <f t="shared" si="229"/>
        <v>AVERAGE</v>
      </c>
      <c r="S2897" t="s">
        <v>600</v>
      </c>
    </row>
    <row r="2898" spans="1:19" x14ac:dyDescent="0.2">
      <c r="A2898" t="s">
        <v>3509</v>
      </c>
      <c r="B2898" t="s">
        <v>83</v>
      </c>
      <c r="C2898" t="s">
        <v>602</v>
      </c>
      <c r="D2898">
        <v>1867.24</v>
      </c>
      <c r="E2898" s="37" t="str">
        <f t="shared" si="225"/>
        <v xml:space="preserve"> </v>
      </c>
      <c r="F2898">
        <v>0.26</v>
      </c>
      <c r="G2898" s="37" t="str">
        <f t="shared" si="226"/>
        <v>Normal Discount</v>
      </c>
      <c r="H2898" s="37" t="str">
        <f t="shared" si="227"/>
        <v>Medium</v>
      </c>
      <c r="I2898">
        <v>5</v>
      </c>
      <c r="J2898" t="str" cm="1">
        <f t="array" ref="J2898">_xlfn.IFS(I2898&lt;=3,"small",I2898&lt;=6,"Medium",I2898&lt;=9,"Large")</f>
        <v>Medium</v>
      </c>
      <c r="K2898" s="36">
        <v>45053</v>
      </c>
      <c r="L2898" s="36">
        <v>45059</v>
      </c>
      <c r="M2898" t="s">
        <v>612</v>
      </c>
      <c r="N2898" t="s">
        <v>604</v>
      </c>
      <c r="O2898" s="37" t="str">
        <f t="shared" si="228"/>
        <v>Digital Payment</v>
      </c>
      <c r="P2898">
        <v>301.94</v>
      </c>
      <c r="Q2898" s="37" t="str">
        <f>IF(P2898&gt;500,"High","low")</f>
        <v>low</v>
      </c>
      <c r="R2898" s="37" t="str">
        <f t="shared" si="229"/>
        <v>AVERAGE</v>
      </c>
      <c r="S2898" t="s">
        <v>628</v>
      </c>
    </row>
    <row r="2899" spans="1:19" x14ac:dyDescent="0.2">
      <c r="A2899" t="s">
        <v>3510</v>
      </c>
      <c r="B2899" t="s">
        <v>90</v>
      </c>
      <c r="C2899" t="s">
        <v>617</v>
      </c>
      <c r="D2899">
        <v>2822.01</v>
      </c>
      <c r="E2899" s="37" t="str">
        <f t="shared" si="225"/>
        <v xml:space="preserve"> </v>
      </c>
      <c r="F2899">
        <v>0.12</v>
      </c>
      <c r="G2899" s="37" t="str">
        <f t="shared" si="226"/>
        <v>Normal Discount</v>
      </c>
      <c r="H2899" s="37" t="str">
        <f t="shared" si="227"/>
        <v>Low</v>
      </c>
      <c r="I2899">
        <v>7</v>
      </c>
      <c r="J2899" t="str" cm="1">
        <f t="array" ref="J2899">_xlfn.IFS(I2899&lt;=3,"small",I2899&lt;=6,"Medium",I2899&lt;=9,"Large")</f>
        <v>Large</v>
      </c>
      <c r="K2899" s="36">
        <v>45512</v>
      </c>
      <c r="L2899" s="36">
        <v>45516</v>
      </c>
      <c r="M2899" t="s">
        <v>598</v>
      </c>
      <c r="N2899" t="s">
        <v>608</v>
      </c>
      <c r="O2899" s="37" t="str">
        <f t="shared" si="228"/>
        <v>Cash Payment</v>
      </c>
      <c r="P2899">
        <v>239.67</v>
      </c>
      <c r="Q2899" s="37" t="str">
        <f>IF(P2899&gt;500,"High","low")</f>
        <v>low</v>
      </c>
      <c r="R2899" s="37" t="str">
        <f t="shared" si="229"/>
        <v>AVERAGE</v>
      </c>
      <c r="S2899" t="s">
        <v>605</v>
      </c>
    </row>
    <row r="2900" spans="1:19" x14ac:dyDescent="0.2">
      <c r="A2900" t="s">
        <v>3511</v>
      </c>
      <c r="B2900" t="s">
        <v>83</v>
      </c>
      <c r="C2900" t="s">
        <v>607</v>
      </c>
      <c r="D2900">
        <v>4349.33</v>
      </c>
      <c r="E2900" s="37" t="str">
        <f t="shared" si="225"/>
        <v xml:space="preserve"> </v>
      </c>
      <c r="F2900">
        <v>7.0000000000000007E-2</v>
      </c>
      <c r="G2900" s="37" t="str">
        <f t="shared" si="226"/>
        <v>Normal Discount</v>
      </c>
      <c r="H2900" s="37" t="str">
        <f t="shared" si="227"/>
        <v>Low</v>
      </c>
      <c r="I2900">
        <v>8</v>
      </c>
      <c r="J2900" t="str" cm="1">
        <f t="array" ref="J2900">_xlfn.IFS(I2900&lt;=3,"small",I2900&lt;=6,"Medium",I2900&lt;=9,"Large")</f>
        <v>Large</v>
      </c>
      <c r="K2900" s="36">
        <v>45051</v>
      </c>
      <c r="L2900" s="36">
        <v>45058</v>
      </c>
      <c r="M2900" t="s">
        <v>603</v>
      </c>
      <c r="N2900" t="s">
        <v>599</v>
      </c>
      <c r="O2900" s="37" t="str">
        <f t="shared" si="228"/>
        <v>Digital Payment</v>
      </c>
      <c r="P2900">
        <v>528.32000000000005</v>
      </c>
      <c r="Q2900" s="37" t="str">
        <f>IF(P2900&gt;500,"High","low")</f>
        <v>High</v>
      </c>
      <c r="R2900" s="37" t="str">
        <f t="shared" si="229"/>
        <v>Good</v>
      </c>
      <c r="S2900" t="s">
        <v>609</v>
      </c>
    </row>
    <row r="2901" spans="1:19" x14ac:dyDescent="0.2">
      <c r="A2901" t="s">
        <v>3512</v>
      </c>
      <c r="B2901" t="s">
        <v>83</v>
      </c>
      <c r="C2901" t="s">
        <v>614</v>
      </c>
      <c r="D2901">
        <v>2150.9</v>
      </c>
      <c r="E2901" s="37" t="str">
        <f t="shared" si="225"/>
        <v xml:space="preserve"> </v>
      </c>
      <c r="F2901">
        <v>0.14000000000000001</v>
      </c>
      <c r="G2901" s="37" t="str">
        <f t="shared" si="226"/>
        <v>Normal Discount</v>
      </c>
      <c r="H2901" s="37" t="str">
        <f t="shared" si="227"/>
        <v>Low</v>
      </c>
      <c r="I2901">
        <v>4</v>
      </c>
      <c r="J2901" t="str" cm="1">
        <f t="array" ref="J2901">_xlfn.IFS(I2901&lt;=3,"small",I2901&lt;=6,"Medium",I2901&lt;=9,"Large")</f>
        <v>Medium</v>
      </c>
      <c r="K2901" s="36">
        <v>45184</v>
      </c>
      <c r="L2901" s="36">
        <v>45189</v>
      </c>
      <c r="M2901" t="s">
        <v>603</v>
      </c>
      <c r="N2901" t="s">
        <v>599</v>
      </c>
      <c r="O2901" s="37" t="str">
        <f t="shared" si="228"/>
        <v>Digital Payment</v>
      </c>
      <c r="P2901">
        <v>423.6</v>
      </c>
      <c r="Q2901" s="37" t="str">
        <f>IF(P2901&gt;500,"High","low")</f>
        <v>low</v>
      </c>
      <c r="R2901" s="37" t="str">
        <f t="shared" si="229"/>
        <v>AVERAGE</v>
      </c>
      <c r="S2901" t="s">
        <v>615</v>
      </c>
    </row>
    <row r="2902" spans="1:19" x14ac:dyDescent="0.2">
      <c r="A2902" t="s">
        <v>3513</v>
      </c>
      <c r="B2902" t="s">
        <v>83</v>
      </c>
      <c r="C2902" t="s">
        <v>614</v>
      </c>
      <c r="D2902">
        <v>2053.14</v>
      </c>
      <c r="E2902" s="37" t="str">
        <f t="shared" si="225"/>
        <v xml:space="preserve"> </v>
      </c>
      <c r="F2902">
        <v>0.05</v>
      </c>
      <c r="G2902" s="37" t="str">
        <f t="shared" si="226"/>
        <v>Normal Discount</v>
      </c>
      <c r="H2902" s="37" t="str">
        <f t="shared" si="227"/>
        <v>Low</v>
      </c>
      <c r="I2902">
        <v>2</v>
      </c>
      <c r="J2902" t="str" cm="1">
        <f t="array" ref="J2902">_xlfn.IFS(I2902&lt;=3,"small",I2902&lt;=6,"Medium",I2902&lt;=9,"Large")</f>
        <v>small</v>
      </c>
      <c r="K2902" s="36">
        <v>45277</v>
      </c>
      <c r="L2902" s="36">
        <v>45280</v>
      </c>
      <c r="M2902" t="s">
        <v>612</v>
      </c>
      <c r="N2902" t="s">
        <v>608</v>
      </c>
      <c r="O2902" s="37" t="str">
        <f t="shared" si="228"/>
        <v>Cash Payment</v>
      </c>
      <c r="P2902">
        <v>123.56</v>
      </c>
      <c r="Q2902" s="37" t="str">
        <f>IF(P2902&gt;500,"High","low")</f>
        <v>low</v>
      </c>
      <c r="R2902" s="37" t="str">
        <f t="shared" si="229"/>
        <v>AVERAGE</v>
      </c>
      <c r="S2902" t="s">
        <v>628</v>
      </c>
    </row>
    <row r="2903" spans="1:19" x14ac:dyDescent="0.2">
      <c r="A2903" t="s">
        <v>3514</v>
      </c>
      <c r="B2903" t="s">
        <v>83</v>
      </c>
      <c r="C2903" t="s">
        <v>614</v>
      </c>
      <c r="D2903">
        <v>2939.73</v>
      </c>
      <c r="E2903" s="37" t="str">
        <f t="shared" si="225"/>
        <v xml:space="preserve"> </v>
      </c>
      <c r="F2903">
        <v>0.14000000000000001</v>
      </c>
      <c r="G2903" s="37" t="str">
        <f t="shared" si="226"/>
        <v>Normal Discount</v>
      </c>
      <c r="H2903" s="37" t="str">
        <f t="shared" si="227"/>
        <v>Low</v>
      </c>
      <c r="I2903">
        <v>4</v>
      </c>
      <c r="J2903" t="str" cm="1">
        <f t="array" ref="J2903">_xlfn.IFS(I2903&lt;=3,"small",I2903&lt;=6,"Medium",I2903&lt;=9,"Large")</f>
        <v>Medium</v>
      </c>
      <c r="K2903" s="36">
        <v>45235</v>
      </c>
      <c r="L2903" s="36">
        <v>45242</v>
      </c>
      <c r="M2903" t="s">
        <v>612</v>
      </c>
      <c r="N2903" t="s">
        <v>599</v>
      </c>
      <c r="O2903" s="37" t="str">
        <f t="shared" si="228"/>
        <v>Digital Payment</v>
      </c>
      <c r="P2903">
        <v>392.2</v>
      </c>
      <c r="Q2903" s="37" t="str">
        <f>IF(P2903&gt;500,"High","low")</f>
        <v>low</v>
      </c>
      <c r="R2903" s="37" t="str">
        <f t="shared" si="229"/>
        <v>AVERAGE</v>
      </c>
      <c r="S2903" t="s">
        <v>605</v>
      </c>
    </row>
    <row r="2904" spans="1:19" x14ac:dyDescent="0.2">
      <c r="A2904" t="s">
        <v>3515</v>
      </c>
      <c r="B2904" t="s">
        <v>75</v>
      </c>
      <c r="C2904" t="s">
        <v>602</v>
      </c>
      <c r="D2904">
        <v>1651.81</v>
      </c>
      <c r="E2904" s="37" t="str">
        <f t="shared" si="225"/>
        <v xml:space="preserve"> </v>
      </c>
      <c r="F2904">
        <v>0.43</v>
      </c>
      <c r="G2904" s="37" t="str">
        <f t="shared" si="226"/>
        <v>Heavy Discount</v>
      </c>
      <c r="H2904" s="37" t="str">
        <f t="shared" si="227"/>
        <v>High</v>
      </c>
      <c r="I2904">
        <v>6</v>
      </c>
      <c r="J2904" t="str" cm="1">
        <f t="array" ref="J2904">_xlfn.IFS(I2904&lt;=3,"small",I2904&lt;=6,"Medium",I2904&lt;=9,"Large")</f>
        <v>Medium</v>
      </c>
      <c r="K2904" s="36">
        <v>45650</v>
      </c>
      <c r="L2904" s="36">
        <v>45656</v>
      </c>
      <c r="M2904" t="s">
        <v>598</v>
      </c>
      <c r="N2904" t="s">
        <v>604</v>
      </c>
      <c r="O2904" s="37" t="str">
        <f t="shared" si="228"/>
        <v>Digital Payment</v>
      </c>
      <c r="P2904">
        <v>141.75</v>
      </c>
      <c r="Q2904" s="37" t="str">
        <f>IF(P2904&gt;500,"High","low")</f>
        <v>low</v>
      </c>
      <c r="R2904" s="37" t="str">
        <f t="shared" si="229"/>
        <v>AVERAGE</v>
      </c>
      <c r="S2904" t="s">
        <v>628</v>
      </c>
    </row>
    <row r="2905" spans="1:19" x14ac:dyDescent="0.2">
      <c r="A2905" t="s">
        <v>3516</v>
      </c>
      <c r="B2905" t="s">
        <v>83</v>
      </c>
      <c r="C2905" t="s">
        <v>614</v>
      </c>
      <c r="D2905">
        <v>3574.95</v>
      </c>
      <c r="E2905" s="37" t="str">
        <f t="shared" si="225"/>
        <v xml:space="preserve"> </v>
      </c>
      <c r="F2905">
        <v>0.15</v>
      </c>
      <c r="G2905" s="37" t="str">
        <f t="shared" si="226"/>
        <v>Normal Discount</v>
      </c>
      <c r="H2905" s="37" t="str">
        <f t="shared" si="227"/>
        <v>Low</v>
      </c>
      <c r="I2905">
        <v>6</v>
      </c>
      <c r="J2905" t="str" cm="1">
        <f t="array" ref="J2905">_xlfn.IFS(I2905&lt;=3,"small",I2905&lt;=6,"Medium",I2905&lt;=9,"Large")</f>
        <v>Medium</v>
      </c>
      <c r="K2905" s="36">
        <v>45175</v>
      </c>
      <c r="L2905" s="36">
        <v>45180</v>
      </c>
      <c r="M2905" t="s">
        <v>603</v>
      </c>
      <c r="N2905" t="s">
        <v>608</v>
      </c>
      <c r="O2905" s="37" t="str">
        <f t="shared" si="228"/>
        <v>Cash Payment</v>
      </c>
      <c r="P2905">
        <v>246.75</v>
      </c>
      <c r="Q2905" s="37" t="str">
        <f>IF(P2905&gt;500,"High","low")</f>
        <v>low</v>
      </c>
      <c r="R2905" s="37" t="str">
        <f t="shared" si="229"/>
        <v>AVERAGE</v>
      </c>
      <c r="S2905" t="s">
        <v>609</v>
      </c>
    </row>
    <row r="2906" spans="1:19" x14ac:dyDescent="0.2">
      <c r="A2906" t="s">
        <v>3517</v>
      </c>
      <c r="B2906" t="s">
        <v>67</v>
      </c>
      <c r="C2906" t="s">
        <v>617</v>
      </c>
      <c r="D2906">
        <v>1318.61</v>
      </c>
      <c r="E2906" s="37" t="str">
        <f t="shared" si="225"/>
        <v xml:space="preserve"> </v>
      </c>
      <c r="F2906">
        <v>0.24</v>
      </c>
      <c r="G2906" s="37" t="str">
        <f t="shared" si="226"/>
        <v>Normal Discount</v>
      </c>
      <c r="H2906" s="37" t="str">
        <f t="shared" si="227"/>
        <v>Medium</v>
      </c>
      <c r="I2906">
        <v>6</v>
      </c>
      <c r="J2906" t="str" cm="1">
        <f t="array" ref="J2906">_xlfn.IFS(I2906&lt;=3,"small",I2906&lt;=6,"Medium",I2906&lt;=9,"Large")</f>
        <v>Medium</v>
      </c>
      <c r="K2906" s="36">
        <v>45444</v>
      </c>
      <c r="L2906" s="36">
        <v>45447</v>
      </c>
      <c r="M2906" t="s">
        <v>603</v>
      </c>
      <c r="N2906" t="s">
        <v>599</v>
      </c>
      <c r="O2906" s="37" t="str">
        <f t="shared" si="228"/>
        <v>Digital Payment</v>
      </c>
      <c r="P2906">
        <v>206.44</v>
      </c>
      <c r="Q2906" s="37" t="str">
        <f>IF(P2906&gt;500,"High","low")</f>
        <v>low</v>
      </c>
      <c r="R2906" s="37" t="str">
        <f t="shared" si="229"/>
        <v>AVERAGE</v>
      </c>
      <c r="S2906" t="s">
        <v>609</v>
      </c>
    </row>
    <row r="2907" spans="1:19" x14ac:dyDescent="0.2">
      <c r="A2907" t="s">
        <v>3518</v>
      </c>
      <c r="B2907" t="s">
        <v>90</v>
      </c>
      <c r="C2907" t="s">
        <v>617</v>
      </c>
      <c r="D2907">
        <v>4133.66</v>
      </c>
      <c r="E2907" s="37" t="str">
        <f t="shared" si="225"/>
        <v xml:space="preserve"> </v>
      </c>
      <c r="F2907">
        <v>0.26</v>
      </c>
      <c r="G2907" s="37" t="str">
        <f t="shared" si="226"/>
        <v>Normal Discount</v>
      </c>
      <c r="H2907" s="37" t="str">
        <f t="shared" si="227"/>
        <v>Medium</v>
      </c>
      <c r="I2907">
        <v>1</v>
      </c>
      <c r="J2907" t="str" cm="1">
        <f t="array" ref="J2907">_xlfn.IFS(I2907&lt;=3,"small",I2907&lt;=6,"Medium",I2907&lt;=9,"Large")</f>
        <v>small</v>
      </c>
      <c r="K2907" s="36">
        <v>44969</v>
      </c>
      <c r="L2907" s="36">
        <v>44974</v>
      </c>
      <c r="M2907" t="s">
        <v>603</v>
      </c>
      <c r="N2907" t="s">
        <v>599</v>
      </c>
      <c r="O2907" s="37" t="str">
        <f t="shared" si="228"/>
        <v>Digital Payment</v>
      </c>
      <c r="P2907">
        <v>522.4</v>
      </c>
      <c r="Q2907" s="37" t="str">
        <f>IF(P2907&gt;500,"High","low")</f>
        <v>High</v>
      </c>
      <c r="R2907" s="37" t="str">
        <f t="shared" si="229"/>
        <v>Good</v>
      </c>
      <c r="S2907" t="s">
        <v>620</v>
      </c>
    </row>
    <row r="2908" spans="1:19" x14ac:dyDescent="0.2">
      <c r="A2908" t="s">
        <v>3519</v>
      </c>
      <c r="B2908" t="s">
        <v>67</v>
      </c>
      <c r="C2908" t="s">
        <v>607</v>
      </c>
      <c r="D2908">
        <v>1434.53</v>
      </c>
      <c r="E2908" s="37" t="str">
        <f t="shared" si="225"/>
        <v xml:space="preserve"> </v>
      </c>
      <c r="F2908">
        <v>0.09</v>
      </c>
      <c r="G2908" s="37" t="str">
        <f t="shared" si="226"/>
        <v>Normal Discount</v>
      </c>
      <c r="H2908" s="37" t="str">
        <f t="shared" si="227"/>
        <v>Low</v>
      </c>
      <c r="I2908">
        <v>7</v>
      </c>
      <c r="J2908" t="str" cm="1">
        <f t="array" ref="J2908">_xlfn.IFS(I2908&lt;=3,"small",I2908&lt;=6,"Medium",I2908&lt;=9,"Large")</f>
        <v>Large</v>
      </c>
      <c r="K2908" s="36">
        <v>45329</v>
      </c>
      <c r="L2908" s="36">
        <v>45335</v>
      </c>
      <c r="M2908" t="s">
        <v>598</v>
      </c>
      <c r="N2908" t="s">
        <v>599</v>
      </c>
      <c r="O2908" s="37" t="str">
        <f t="shared" si="228"/>
        <v>Digital Payment</v>
      </c>
      <c r="P2908">
        <v>276.82</v>
      </c>
      <c r="Q2908" s="37" t="str">
        <f>IF(P2908&gt;500,"High","low")</f>
        <v>low</v>
      </c>
      <c r="R2908" s="37" t="str">
        <f t="shared" si="229"/>
        <v>AVERAGE</v>
      </c>
      <c r="S2908" t="s">
        <v>628</v>
      </c>
    </row>
    <row r="2909" spans="1:19" x14ac:dyDescent="0.2">
      <c r="A2909" t="s">
        <v>3520</v>
      </c>
      <c r="B2909" t="s">
        <v>75</v>
      </c>
      <c r="C2909" t="s">
        <v>602</v>
      </c>
      <c r="D2909">
        <v>4964.24</v>
      </c>
      <c r="E2909" s="37" t="str">
        <f t="shared" si="225"/>
        <v xml:space="preserve"> </v>
      </c>
      <c r="F2909">
        <v>0.22</v>
      </c>
      <c r="G2909" s="37" t="str">
        <f t="shared" si="226"/>
        <v>Normal Discount</v>
      </c>
      <c r="H2909" s="37" t="str">
        <f t="shared" si="227"/>
        <v>Medium</v>
      </c>
      <c r="I2909">
        <v>7</v>
      </c>
      <c r="J2909" t="str" cm="1">
        <f t="array" ref="J2909">_xlfn.IFS(I2909&lt;=3,"small",I2909&lt;=6,"Medium",I2909&lt;=9,"Large")</f>
        <v>Large</v>
      </c>
      <c r="K2909" s="36">
        <v>45072</v>
      </c>
      <c r="L2909" s="36">
        <v>45076</v>
      </c>
      <c r="M2909" t="s">
        <v>598</v>
      </c>
      <c r="N2909" t="s">
        <v>604</v>
      </c>
      <c r="O2909" s="37" t="str">
        <f t="shared" si="228"/>
        <v>Digital Payment</v>
      </c>
      <c r="P2909">
        <v>502.58</v>
      </c>
      <c r="Q2909" s="37" t="str">
        <f>IF(P2909&gt;500,"High","low")</f>
        <v>High</v>
      </c>
      <c r="R2909" s="37" t="str">
        <f t="shared" si="229"/>
        <v>Good</v>
      </c>
      <c r="S2909" t="s">
        <v>600</v>
      </c>
    </row>
    <row r="2910" spans="1:19" x14ac:dyDescent="0.2">
      <c r="A2910" t="s">
        <v>3521</v>
      </c>
      <c r="B2910" t="s">
        <v>67</v>
      </c>
      <c r="C2910" t="s">
        <v>617</v>
      </c>
      <c r="D2910">
        <v>1650.67</v>
      </c>
      <c r="E2910" s="37" t="str">
        <f t="shared" si="225"/>
        <v xml:space="preserve"> </v>
      </c>
      <c r="F2910">
        <v>0.43</v>
      </c>
      <c r="G2910" s="37" t="str">
        <f t="shared" si="226"/>
        <v>Heavy Discount</v>
      </c>
      <c r="H2910" s="37" t="str">
        <f t="shared" si="227"/>
        <v>High</v>
      </c>
      <c r="I2910">
        <v>5</v>
      </c>
      <c r="J2910" t="str" cm="1">
        <f t="array" ref="J2910">_xlfn.IFS(I2910&lt;=3,"small",I2910&lt;=6,"Medium",I2910&lt;=9,"Large")</f>
        <v>Medium</v>
      </c>
      <c r="K2910" s="36">
        <v>45212</v>
      </c>
      <c r="L2910" s="36">
        <v>45214</v>
      </c>
      <c r="M2910" t="s">
        <v>598</v>
      </c>
      <c r="N2910" t="s">
        <v>604</v>
      </c>
      <c r="O2910" s="37" t="str">
        <f t="shared" si="228"/>
        <v>Digital Payment</v>
      </c>
      <c r="P2910">
        <v>105.42</v>
      </c>
      <c r="Q2910" s="37" t="str">
        <f>IF(P2910&gt;500,"High","low")</f>
        <v>low</v>
      </c>
      <c r="R2910" s="37" t="str">
        <f t="shared" si="229"/>
        <v>AVERAGE</v>
      </c>
      <c r="S2910" t="s">
        <v>615</v>
      </c>
    </row>
    <row r="2911" spans="1:19" x14ac:dyDescent="0.2">
      <c r="A2911" t="s">
        <v>3522</v>
      </c>
      <c r="B2911" t="s">
        <v>90</v>
      </c>
      <c r="C2911" t="s">
        <v>597</v>
      </c>
      <c r="D2911">
        <v>4406.25</v>
      </c>
      <c r="E2911" s="37" t="str">
        <f t="shared" si="225"/>
        <v xml:space="preserve"> </v>
      </c>
      <c r="F2911">
        <v>0.04</v>
      </c>
      <c r="G2911" s="37" t="str">
        <f t="shared" si="226"/>
        <v>Normal Discount</v>
      </c>
      <c r="H2911" s="37" t="str">
        <f t="shared" si="227"/>
        <v>Low</v>
      </c>
      <c r="I2911">
        <v>4</v>
      </c>
      <c r="J2911" t="str" cm="1">
        <f t="array" ref="J2911">_xlfn.IFS(I2911&lt;=3,"small",I2911&lt;=6,"Medium",I2911&lt;=9,"Large")</f>
        <v>Medium</v>
      </c>
      <c r="K2911" s="36">
        <v>45125</v>
      </c>
      <c r="L2911" s="36">
        <v>45132</v>
      </c>
      <c r="M2911" t="s">
        <v>603</v>
      </c>
      <c r="N2911" t="s">
        <v>599</v>
      </c>
      <c r="O2911" s="37" t="str">
        <f t="shared" si="228"/>
        <v>Digital Payment</v>
      </c>
      <c r="P2911">
        <v>258.99</v>
      </c>
      <c r="Q2911" s="37" t="str">
        <f>IF(P2911&gt;500,"High","low")</f>
        <v>low</v>
      </c>
      <c r="R2911" s="37" t="str">
        <f t="shared" si="229"/>
        <v>AVERAGE</v>
      </c>
      <c r="S2911" t="s">
        <v>600</v>
      </c>
    </row>
    <row r="2912" spans="1:19" x14ac:dyDescent="0.2">
      <c r="A2912" t="s">
        <v>3523</v>
      </c>
      <c r="B2912" t="s">
        <v>67</v>
      </c>
      <c r="C2912" t="s">
        <v>597</v>
      </c>
      <c r="D2912">
        <v>2047.04</v>
      </c>
      <c r="E2912" s="37" t="str">
        <f t="shared" si="225"/>
        <v xml:space="preserve"> </v>
      </c>
      <c r="F2912">
        <v>0.46</v>
      </c>
      <c r="G2912" s="37" t="str">
        <f t="shared" si="226"/>
        <v>Heavy Discount</v>
      </c>
      <c r="H2912" s="37" t="str">
        <f t="shared" si="227"/>
        <v>High</v>
      </c>
      <c r="I2912">
        <v>3</v>
      </c>
      <c r="J2912" t="str" cm="1">
        <f t="array" ref="J2912">_xlfn.IFS(I2912&lt;=3,"small",I2912&lt;=6,"Medium",I2912&lt;=9,"Large")</f>
        <v>small</v>
      </c>
      <c r="K2912" s="36">
        <v>45327</v>
      </c>
      <c r="L2912" s="36">
        <v>45334</v>
      </c>
      <c r="M2912" t="s">
        <v>612</v>
      </c>
      <c r="N2912" t="s">
        <v>599</v>
      </c>
      <c r="O2912" s="37" t="str">
        <f t="shared" si="228"/>
        <v>Digital Payment</v>
      </c>
      <c r="P2912">
        <v>323.32</v>
      </c>
      <c r="Q2912" s="37" t="str">
        <f>IF(P2912&gt;500,"High","low")</f>
        <v>low</v>
      </c>
      <c r="R2912" s="37" t="str">
        <f t="shared" si="229"/>
        <v>AVERAGE</v>
      </c>
      <c r="S2912" t="s">
        <v>605</v>
      </c>
    </row>
    <row r="2913" spans="1:19" x14ac:dyDescent="0.2">
      <c r="A2913" t="s">
        <v>3524</v>
      </c>
      <c r="B2913" t="s">
        <v>75</v>
      </c>
      <c r="C2913" t="s">
        <v>597</v>
      </c>
      <c r="D2913">
        <v>1305.67</v>
      </c>
      <c r="E2913" s="37" t="str">
        <f t="shared" si="225"/>
        <v xml:space="preserve"> </v>
      </c>
      <c r="F2913">
        <v>0.44</v>
      </c>
      <c r="G2913" s="37" t="str">
        <f t="shared" si="226"/>
        <v>Heavy Discount</v>
      </c>
      <c r="H2913" s="37" t="str">
        <f t="shared" si="227"/>
        <v>High</v>
      </c>
      <c r="I2913">
        <v>8</v>
      </c>
      <c r="J2913" t="str" cm="1">
        <f t="array" ref="J2913">_xlfn.IFS(I2913&lt;=3,"small",I2913&lt;=6,"Medium",I2913&lt;=9,"Large")</f>
        <v>Large</v>
      </c>
      <c r="K2913" s="36">
        <v>45555</v>
      </c>
      <c r="L2913" s="36">
        <v>45556</v>
      </c>
      <c r="M2913" t="s">
        <v>603</v>
      </c>
      <c r="N2913" t="s">
        <v>599</v>
      </c>
      <c r="O2913" s="37" t="str">
        <f t="shared" si="228"/>
        <v>Digital Payment</v>
      </c>
      <c r="P2913">
        <v>67.84</v>
      </c>
      <c r="Q2913" s="37" t="str">
        <f>IF(P2913&gt;500,"High","low")</f>
        <v>low</v>
      </c>
      <c r="R2913" s="37" t="str">
        <f t="shared" si="229"/>
        <v>AVERAGE</v>
      </c>
      <c r="S2913" t="s">
        <v>600</v>
      </c>
    </row>
    <row r="2914" spans="1:19" x14ac:dyDescent="0.2">
      <c r="A2914" t="s">
        <v>3525</v>
      </c>
      <c r="B2914" t="s">
        <v>83</v>
      </c>
      <c r="C2914" t="s">
        <v>614</v>
      </c>
      <c r="D2914">
        <v>1208.2</v>
      </c>
      <c r="E2914" s="37" t="str">
        <f t="shared" si="225"/>
        <v xml:space="preserve"> </v>
      </c>
      <c r="F2914">
        <v>0.43</v>
      </c>
      <c r="G2914" s="37" t="str">
        <f t="shared" si="226"/>
        <v>Heavy Discount</v>
      </c>
      <c r="H2914" s="37" t="str">
        <f t="shared" si="227"/>
        <v>High</v>
      </c>
      <c r="I2914">
        <v>8</v>
      </c>
      <c r="J2914" t="str" cm="1">
        <f t="array" ref="J2914">_xlfn.IFS(I2914&lt;=3,"small",I2914&lt;=6,"Medium",I2914&lt;=9,"Large")</f>
        <v>Large</v>
      </c>
      <c r="K2914" s="36">
        <v>45107</v>
      </c>
      <c r="L2914" s="36">
        <v>45110</v>
      </c>
      <c r="M2914" t="s">
        <v>612</v>
      </c>
      <c r="N2914" t="s">
        <v>599</v>
      </c>
      <c r="O2914" s="37" t="str">
        <f t="shared" si="228"/>
        <v>Digital Payment</v>
      </c>
      <c r="P2914">
        <v>77.33</v>
      </c>
      <c r="Q2914" s="37" t="str">
        <f>IF(P2914&gt;500,"High","low")</f>
        <v>low</v>
      </c>
      <c r="R2914" s="37" t="str">
        <f t="shared" si="229"/>
        <v>AVERAGE</v>
      </c>
      <c r="S2914" t="s">
        <v>620</v>
      </c>
    </row>
    <row r="2915" spans="1:19" x14ac:dyDescent="0.2">
      <c r="A2915" t="s">
        <v>3526</v>
      </c>
      <c r="B2915" t="s">
        <v>67</v>
      </c>
      <c r="C2915" t="s">
        <v>614</v>
      </c>
      <c r="D2915">
        <v>4265.9399999999996</v>
      </c>
      <c r="E2915" s="37" t="str">
        <f t="shared" si="225"/>
        <v xml:space="preserve"> </v>
      </c>
      <c r="F2915">
        <v>0.1</v>
      </c>
      <c r="G2915" s="37" t="str">
        <f t="shared" si="226"/>
        <v>Normal Discount</v>
      </c>
      <c r="H2915" s="37" t="str">
        <f t="shared" si="227"/>
        <v>Low</v>
      </c>
      <c r="I2915">
        <v>3</v>
      </c>
      <c r="J2915" t="str" cm="1">
        <f t="array" ref="J2915">_xlfn.IFS(I2915&lt;=3,"small",I2915&lt;=6,"Medium",I2915&lt;=9,"Large")</f>
        <v>small</v>
      </c>
      <c r="K2915" s="36">
        <v>45118</v>
      </c>
      <c r="L2915" s="36">
        <v>45124</v>
      </c>
      <c r="M2915" t="s">
        <v>598</v>
      </c>
      <c r="N2915" t="s">
        <v>608</v>
      </c>
      <c r="O2915" s="37" t="str">
        <f t="shared" si="228"/>
        <v>Cash Payment</v>
      </c>
      <c r="P2915">
        <v>579.54</v>
      </c>
      <c r="Q2915" s="37" t="str">
        <f>IF(P2915&gt;500,"High","low")</f>
        <v>High</v>
      </c>
      <c r="R2915" s="37" t="str">
        <f t="shared" si="229"/>
        <v>Good</v>
      </c>
      <c r="S2915" t="s">
        <v>620</v>
      </c>
    </row>
    <row r="2916" spans="1:19" x14ac:dyDescent="0.2">
      <c r="A2916" t="s">
        <v>3527</v>
      </c>
      <c r="B2916" t="s">
        <v>75</v>
      </c>
      <c r="C2916" t="s">
        <v>597</v>
      </c>
      <c r="D2916">
        <v>1612.89</v>
      </c>
      <c r="E2916" s="37" t="str">
        <f t="shared" si="225"/>
        <v xml:space="preserve"> </v>
      </c>
      <c r="F2916">
        <v>0.24</v>
      </c>
      <c r="G2916" s="37" t="str">
        <f t="shared" si="226"/>
        <v>Normal Discount</v>
      </c>
      <c r="H2916" s="37" t="str">
        <f t="shared" si="227"/>
        <v>Medium</v>
      </c>
      <c r="I2916">
        <v>5</v>
      </c>
      <c r="J2916" t="str" cm="1">
        <f t="array" ref="J2916">_xlfn.IFS(I2916&lt;=3,"small",I2916&lt;=6,"Medium",I2916&lt;=9,"Large")</f>
        <v>Medium</v>
      </c>
      <c r="K2916" s="36">
        <v>45057</v>
      </c>
      <c r="L2916" s="36">
        <v>45063</v>
      </c>
      <c r="M2916" t="s">
        <v>603</v>
      </c>
      <c r="N2916" t="s">
        <v>599</v>
      </c>
      <c r="O2916" s="37" t="str">
        <f t="shared" si="228"/>
        <v>Digital Payment</v>
      </c>
      <c r="P2916">
        <v>459.92</v>
      </c>
      <c r="Q2916" s="37" t="str">
        <f>IF(P2916&gt;500,"High","low")</f>
        <v>low</v>
      </c>
      <c r="R2916" s="37" t="str">
        <f t="shared" si="229"/>
        <v>AVERAGE</v>
      </c>
      <c r="S2916" t="s">
        <v>628</v>
      </c>
    </row>
    <row r="2917" spans="1:19" x14ac:dyDescent="0.2">
      <c r="A2917" t="s">
        <v>3528</v>
      </c>
      <c r="B2917" t="s">
        <v>75</v>
      </c>
      <c r="C2917" t="s">
        <v>607</v>
      </c>
      <c r="D2917">
        <v>1758.96</v>
      </c>
      <c r="E2917" s="37" t="str">
        <f t="shared" si="225"/>
        <v xml:space="preserve"> </v>
      </c>
      <c r="F2917">
        <v>0.31</v>
      </c>
      <c r="G2917" s="37" t="str">
        <f t="shared" si="226"/>
        <v>Heavy Discount</v>
      </c>
      <c r="H2917" s="37" t="str">
        <f t="shared" si="227"/>
        <v>Medium</v>
      </c>
      <c r="I2917">
        <v>8</v>
      </c>
      <c r="J2917" t="str" cm="1">
        <f t="array" ref="J2917">_xlfn.IFS(I2917&lt;=3,"small",I2917&lt;=6,"Medium",I2917&lt;=9,"Large")</f>
        <v>Large</v>
      </c>
      <c r="K2917" s="36">
        <v>45335</v>
      </c>
      <c r="L2917" s="36">
        <v>45341</v>
      </c>
      <c r="M2917" t="s">
        <v>612</v>
      </c>
      <c r="N2917" t="s">
        <v>599</v>
      </c>
      <c r="O2917" s="37" t="str">
        <f t="shared" si="228"/>
        <v>Digital Payment</v>
      </c>
      <c r="P2917">
        <v>402.52</v>
      </c>
      <c r="Q2917" s="37" t="str">
        <f>IF(P2917&gt;500,"High","low")</f>
        <v>low</v>
      </c>
      <c r="R2917" s="37" t="str">
        <f t="shared" si="229"/>
        <v>AVERAGE</v>
      </c>
      <c r="S2917" t="s">
        <v>605</v>
      </c>
    </row>
    <row r="2918" spans="1:19" x14ac:dyDescent="0.2">
      <c r="A2918" t="s">
        <v>3529</v>
      </c>
      <c r="B2918" t="s">
        <v>90</v>
      </c>
      <c r="C2918" t="s">
        <v>607</v>
      </c>
      <c r="D2918">
        <v>1065.27</v>
      </c>
      <c r="E2918" s="37" t="str">
        <f t="shared" si="225"/>
        <v xml:space="preserve"> </v>
      </c>
      <c r="F2918">
        <v>0.05</v>
      </c>
      <c r="G2918" s="37" t="str">
        <f t="shared" si="226"/>
        <v>Normal Discount</v>
      </c>
      <c r="H2918" s="37" t="str">
        <f t="shared" si="227"/>
        <v>Low</v>
      </c>
      <c r="I2918">
        <v>6</v>
      </c>
      <c r="J2918" t="str" cm="1">
        <f t="array" ref="J2918">_xlfn.IFS(I2918&lt;=3,"small",I2918&lt;=6,"Medium",I2918&lt;=9,"Large")</f>
        <v>Medium</v>
      </c>
      <c r="K2918" s="36">
        <v>45340</v>
      </c>
      <c r="L2918" s="36">
        <v>45346</v>
      </c>
      <c r="M2918" t="s">
        <v>603</v>
      </c>
      <c r="N2918" t="s">
        <v>608</v>
      </c>
      <c r="O2918" s="37" t="str">
        <f t="shared" si="228"/>
        <v>Cash Payment</v>
      </c>
      <c r="P2918">
        <v>250.22</v>
      </c>
      <c r="Q2918" s="37" t="str">
        <f>IF(P2918&gt;500,"High","low")</f>
        <v>low</v>
      </c>
      <c r="R2918" s="37" t="str">
        <f t="shared" si="229"/>
        <v>AVERAGE</v>
      </c>
      <c r="S2918" t="s">
        <v>600</v>
      </c>
    </row>
    <row r="2919" spans="1:19" x14ac:dyDescent="0.2">
      <c r="A2919" t="s">
        <v>3530</v>
      </c>
      <c r="B2919" t="s">
        <v>90</v>
      </c>
      <c r="C2919" t="s">
        <v>614</v>
      </c>
      <c r="D2919">
        <v>4810.49</v>
      </c>
      <c r="E2919" s="37" t="str">
        <f t="shared" si="225"/>
        <v xml:space="preserve"> </v>
      </c>
      <c r="F2919">
        <v>0.28000000000000003</v>
      </c>
      <c r="G2919" s="37" t="str">
        <f t="shared" si="226"/>
        <v>Normal Discount</v>
      </c>
      <c r="H2919" s="37" t="str">
        <f t="shared" si="227"/>
        <v>Medium</v>
      </c>
      <c r="I2919">
        <v>2</v>
      </c>
      <c r="J2919" t="str" cm="1">
        <f t="array" ref="J2919">_xlfn.IFS(I2919&lt;=3,"small",I2919&lt;=6,"Medium",I2919&lt;=9,"Large")</f>
        <v>small</v>
      </c>
      <c r="K2919" s="36">
        <v>45090</v>
      </c>
      <c r="L2919" s="36">
        <v>45096</v>
      </c>
      <c r="M2919" t="s">
        <v>603</v>
      </c>
      <c r="N2919" t="s">
        <v>608</v>
      </c>
      <c r="O2919" s="37" t="str">
        <f t="shared" si="228"/>
        <v>Cash Payment</v>
      </c>
      <c r="P2919">
        <v>445.76</v>
      </c>
      <c r="Q2919" s="37" t="str">
        <f>IF(P2919&gt;500,"High","low")</f>
        <v>low</v>
      </c>
      <c r="R2919" s="37" t="str">
        <f t="shared" si="229"/>
        <v>AVERAGE</v>
      </c>
      <c r="S2919" t="s">
        <v>600</v>
      </c>
    </row>
    <row r="2920" spans="1:19" x14ac:dyDescent="0.2">
      <c r="A2920" t="s">
        <v>3531</v>
      </c>
      <c r="B2920" t="s">
        <v>67</v>
      </c>
      <c r="C2920" t="s">
        <v>597</v>
      </c>
      <c r="D2920">
        <v>1299.25</v>
      </c>
      <c r="E2920" s="37" t="str">
        <f t="shared" si="225"/>
        <v xml:space="preserve"> </v>
      </c>
      <c r="F2920">
        <v>0.42</v>
      </c>
      <c r="G2920" s="37" t="str">
        <f t="shared" si="226"/>
        <v>Heavy Discount</v>
      </c>
      <c r="H2920" s="37" t="str">
        <f t="shared" si="227"/>
        <v>High</v>
      </c>
      <c r="I2920">
        <v>1</v>
      </c>
      <c r="J2920" t="str" cm="1">
        <f t="array" ref="J2920">_xlfn.IFS(I2920&lt;=3,"small",I2920&lt;=6,"Medium",I2920&lt;=9,"Large")</f>
        <v>small</v>
      </c>
      <c r="K2920" s="36">
        <v>45260</v>
      </c>
      <c r="L2920" s="36">
        <v>45267</v>
      </c>
      <c r="M2920" t="s">
        <v>603</v>
      </c>
      <c r="N2920" t="s">
        <v>599</v>
      </c>
      <c r="O2920" s="37" t="str">
        <f t="shared" si="228"/>
        <v>Digital Payment</v>
      </c>
      <c r="P2920">
        <v>250.23</v>
      </c>
      <c r="Q2920" s="37" t="str">
        <f>IF(P2920&gt;500,"High","low")</f>
        <v>low</v>
      </c>
      <c r="R2920" s="37" t="str">
        <f t="shared" si="229"/>
        <v>AVERAGE</v>
      </c>
      <c r="S2920" t="s">
        <v>620</v>
      </c>
    </row>
    <row r="2921" spans="1:19" x14ac:dyDescent="0.2">
      <c r="A2921" t="s">
        <v>3532</v>
      </c>
      <c r="B2921" t="s">
        <v>83</v>
      </c>
      <c r="C2921" t="s">
        <v>607</v>
      </c>
      <c r="D2921">
        <v>1312.47</v>
      </c>
      <c r="E2921" s="37" t="str">
        <f t="shared" si="225"/>
        <v xml:space="preserve"> </v>
      </c>
      <c r="F2921">
        <v>0.47</v>
      </c>
      <c r="G2921" s="37" t="str">
        <f t="shared" si="226"/>
        <v>Heavy Discount</v>
      </c>
      <c r="H2921" s="37" t="str">
        <f t="shared" si="227"/>
        <v>High</v>
      </c>
      <c r="I2921">
        <v>7</v>
      </c>
      <c r="J2921" t="str" cm="1">
        <f t="array" ref="J2921">_xlfn.IFS(I2921&lt;=3,"small",I2921&lt;=6,"Medium",I2921&lt;=9,"Large")</f>
        <v>Large</v>
      </c>
      <c r="K2921" s="36">
        <v>45077</v>
      </c>
      <c r="L2921" s="36">
        <v>45082</v>
      </c>
      <c r="M2921" t="s">
        <v>603</v>
      </c>
      <c r="N2921" t="s">
        <v>599</v>
      </c>
      <c r="O2921" s="37" t="str">
        <f t="shared" si="228"/>
        <v>Digital Payment</v>
      </c>
      <c r="P2921">
        <v>141.41</v>
      </c>
      <c r="Q2921" s="37" t="str">
        <f>IF(P2921&gt;500,"High","low")</f>
        <v>low</v>
      </c>
      <c r="R2921" s="37" t="str">
        <f t="shared" si="229"/>
        <v>AVERAGE</v>
      </c>
      <c r="S2921" t="s">
        <v>605</v>
      </c>
    </row>
    <row r="2922" spans="1:19" x14ac:dyDescent="0.2">
      <c r="A2922" t="s">
        <v>3533</v>
      </c>
      <c r="B2922" t="s">
        <v>75</v>
      </c>
      <c r="C2922" t="s">
        <v>614</v>
      </c>
      <c r="D2922">
        <v>4725.1000000000004</v>
      </c>
      <c r="E2922" s="37" t="str">
        <f t="shared" si="225"/>
        <v>Excellent Order</v>
      </c>
      <c r="F2922">
        <v>0.14000000000000001</v>
      </c>
      <c r="G2922" s="37" t="str">
        <f t="shared" si="226"/>
        <v>Normal Discount</v>
      </c>
      <c r="H2922" s="37" t="str">
        <f t="shared" si="227"/>
        <v>Low</v>
      </c>
      <c r="I2922">
        <v>2</v>
      </c>
      <c r="J2922" t="str" cm="1">
        <f t="array" ref="J2922">_xlfn.IFS(I2922&lt;=3,"small",I2922&lt;=6,"Medium",I2922&lt;=9,"Large")</f>
        <v>small</v>
      </c>
      <c r="K2922" s="36">
        <v>45616</v>
      </c>
      <c r="L2922" s="36">
        <v>45619</v>
      </c>
      <c r="M2922" t="s">
        <v>598</v>
      </c>
      <c r="N2922" t="s">
        <v>608</v>
      </c>
      <c r="O2922" s="37" t="str">
        <f t="shared" si="228"/>
        <v>Cash Payment</v>
      </c>
      <c r="P2922">
        <v>848.51</v>
      </c>
      <c r="Q2922" s="37" t="str">
        <f>IF(P2922&gt;500,"High","low")</f>
        <v>High</v>
      </c>
      <c r="R2922" s="37" t="str">
        <f t="shared" si="229"/>
        <v>Good</v>
      </c>
      <c r="S2922" t="s">
        <v>628</v>
      </c>
    </row>
    <row r="2923" spans="1:19" x14ac:dyDescent="0.2">
      <c r="A2923" t="s">
        <v>3534</v>
      </c>
      <c r="B2923" t="s">
        <v>67</v>
      </c>
      <c r="C2923" t="s">
        <v>597</v>
      </c>
      <c r="D2923">
        <v>4514.3999999999996</v>
      </c>
      <c r="E2923" s="37" t="str">
        <f t="shared" si="225"/>
        <v>Excellent Order</v>
      </c>
      <c r="F2923">
        <v>0.14000000000000001</v>
      </c>
      <c r="G2923" s="37" t="str">
        <f t="shared" si="226"/>
        <v>Normal Discount</v>
      </c>
      <c r="H2923" s="37" t="str">
        <f t="shared" si="227"/>
        <v>Low</v>
      </c>
      <c r="I2923">
        <v>4</v>
      </c>
      <c r="J2923" t="str" cm="1">
        <f t="array" ref="J2923">_xlfn.IFS(I2923&lt;=3,"small",I2923&lt;=6,"Medium",I2923&lt;=9,"Large")</f>
        <v>Medium</v>
      </c>
      <c r="K2923" s="36">
        <v>45040</v>
      </c>
      <c r="L2923" s="36">
        <v>45043</v>
      </c>
      <c r="M2923" t="s">
        <v>598</v>
      </c>
      <c r="N2923" t="s">
        <v>604</v>
      </c>
      <c r="O2923" s="37" t="str">
        <f t="shared" si="228"/>
        <v>Digital Payment</v>
      </c>
      <c r="P2923">
        <v>1143.6500000000001</v>
      </c>
      <c r="Q2923" s="37" t="str">
        <f>IF(P2923&gt;500,"High","low")</f>
        <v>High</v>
      </c>
      <c r="R2923" s="37" t="str">
        <f t="shared" si="229"/>
        <v>Excellent</v>
      </c>
      <c r="S2923" t="s">
        <v>605</v>
      </c>
    </row>
    <row r="2924" spans="1:19" x14ac:dyDescent="0.2">
      <c r="A2924" t="s">
        <v>3535</v>
      </c>
      <c r="B2924" t="s">
        <v>75</v>
      </c>
      <c r="C2924" t="s">
        <v>602</v>
      </c>
      <c r="D2924">
        <v>1319.66</v>
      </c>
      <c r="E2924" s="37" t="str">
        <f t="shared" si="225"/>
        <v xml:space="preserve"> </v>
      </c>
      <c r="F2924">
        <v>0.14000000000000001</v>
      </c>
      <c r="G2924" s="37" t="str">
        <f t="shared" si="226"/>
        <v>Normal Discount</v>
      </c>
      <c r="H2924" s="37" t="str">
        <f t="shared" si="227"/>
        <v>Low</v>
      </c>
      <c r="I2924">
        <v>6</v>
      </c>
      <c r="J2924" t="str" cm="1">
        <f t="array" ref="J2924">_xlfn.IFS(I2924&lt;=3,"small",I2924&lt;=6,"Medium",I2924&lt;=9,"Large")</f>
        <v>Medium</v>
      </c>
      <c r="K2924" s="36">
        <v>45454</v>
      </c>
      <c r="L2924" s="36">
        <v>45455</v>
      </c>
      <c r="M2924" t="s">
        <v>612</v>
      </c>
      <c r="N2924" t="s">
        <v>604</v>
      </c>
      <c r="O2924" s="37" t="str">
        <f t="shared" si="228"/>
        <v>Digital Payment</v>
      </c>
      <c r="P2924">
        <v>208.39</v>
      </c>
      <c r="Q2924" s="37" t="str">
        <f>IF(P2924&gt;500,"High","low")</f>
        <v>low</v>
      </c>
      <c r="R2924" s="37" t="str">
        <f t="shared" si="229"/>
        <v>AVERAGE</v>
      </c>
      <c r="S2924" t="s">
        <v>628</v>
      </c>
    </row>
    <row r="2925" spans="1:19" x14ac:dyDescent="0.2">
      <c r="A2925" t="s">
        <v>3536</v>
      </c>
      <c r="B2925" t="s">
        <v>75</v>
      </c>
      <c r="C2925" t="s">
        <v>597</v>
      </c>
      <c r="D2925">
        <v>4337.16</v>
      </c>
      <c r="E2925" s="37" t="str">
        <f t="shared" si="225"/>
        <v xml:space="preserve"> </v>
      </c>
      <c r="F2925">
        <v>0.08</v>
      </c>
      <c r="G2925" s="37" t="str">
        <f t="shared" si="226"/>
        <v>Normal Discount</v>
      </c>
      <c r="H2925" s="37" t="str">
        <f t="shared" si="227"/>
        <v>Low</v>
      </c>
      <c r="I2925">
        <v>7</v>
      </c>
      <c r="J2925" t="str" cm="1">
        <f t="array" ref="J2925">_xlfn.IFS(I2925&lt;=3,"small",I2925&lt;=6,"Medium",I2925&lt;=9,"Large")</f>
        <v>Large</v>
      </c>
      <c r="K2925" s="36">
        <v>45530</v>
      </c>
      <c r="L2925" s="36">
        <v>45534</v>
      </c>
      <c r="M2925" t="s">
        <v>598</v>
      </c>
      <c r="N2925" t="s">
        <v>604</v>
      </c>
      <c r="O2925" s="37" t="str">
        <f t="shared" si="228"/>
        <v>Digital Payment</v>
      </c>
      <c r="P2925">
        <v>464.81</v>
      </c>
      <c r="Q2925" s="37" t="str">
        <f>IF(P2925&gt;500,"High","low")</f>
        <v>low</v>
      </c>
      <c r="R2925" s="37" t="str">
        <f t="shared" si="229"/>
        <v>AVERAGE</v>
      </c>
      <c r="S2925" t="s">
        <v>615</v>
      </c>
    </row>
    <row r="2926" spans="1:19" x14ac:dyDescent="0.2">
      <c r="A2926" t="s">
        <v>3537</v>
      </c>
      <c r="B2926" t="s">
        <v>83</v>
      </c>
      <c r="C2926" t="s">
        <v>597</v>
      </c>
      <c r="D2926">
        <v>1324.13</v>
      </c>
      <c r="E2926" s="37" t="str">
        <f t="shared" si="225"/>
        <v xml:space="preserve"> </v>
      </c>
      <c r="F2926">
        <v>0.22</v>
      </c>
      <c r="G2926" s="37" t="str">
        <f t="shared" si="226"/>
        <v>Normal Discount</v>
      </c>
      <c r="H2926" s="37" t="str">
        <f t="shared" si="227"/>
        <v>Medium</v>
      </c>
      <c r="I2926">
        <v>7</v>
      </c>
      <c r="J2926" t="str" cm="1">
        <f t="array" ref="J2926">_xlfn.IFS(I2926&lt;=3,"small",I2926&lt;=6,"Medium",I2926&lt;=9,"Large")</f>
        <v>Large</v>
      </c>
      <c r="K2926" s="36">
        <v>45596</v>
      </c>
      <c r="L2926" s="36">
        <v>45603</v>
      </c>
      <c r="M2926" t="s">
        <v>598</v>
      </c>
      <c r="N2926" t="s">
        <v>608</v>
      </c>
      <c r="O2926" s="37" t="str">
        <f t="shared" si="228"/>
        <v>Cash Payment</v>
      </c>
      <c r="P2926">
        <v>168.18</v>
      </c>
      <c r="Q2926" s="37" t="str">
        <f>IF(P2926&gt;500,"High","low")</f>
        <v>low</v>
      </c>
      <c r="R2926" s="37" t="str">
        <f t="shared" si="229"/>
        <v>AVERAGE</v>
      </c>
      <c r="S2926" t="s">
        <v>605</v>
      </c>
    </row>
    <row r="2927" spans="1:19" x14ac:dyDescent="0.2">
      <c r="A2927" t="s">
        <v>3538</v>
      </c>
      <c r="B2927" t="s">
        <v>83</v>
      </c>
      <c r="C2927" t="s">
        <v>617</v>
      </c>
      <c r="D2927">
        <v>513.87</v>
      </c>
      <c r="E2927" s="37" t="str">
        <f t="shared" si="225"/>
        <v xml:space="preserve"> </v>
      </c>
      <c r="F2927">
        <v>0.39</v>
      </c>
      <c r="G2927" s="37" t="str">
        <f t="shared" si="226"/>
        <v>Heavy Discount</v>
      </c>
      <c r="H2927" s="37" t="str">
        <f t="shared" si="227"/>
        <v>Medium</v>
      </c>
      <c r="I2927">
        <v>7</v>
      </c>
      <c r="J2927" t="str" cm="1">
        <f t="array" ref="J2927">_xlfn.IFS(I2927&lt;=3,"small",I2927&lt;=6,"Medium",I2927&lt;=9,"Large")</f>
        <v>Large</v>
      </c>
      <c r="K2927" s="36">
        <v>45287</v>
      </c>
      <c r="L2927" s="36">
        <v>45288</v>
      </c>
      <c r="M2927" t="s">
        <v>598</v>
      </c>
      <c r="N2927" t="s">
        <v>599</v>
      </c>
      <c r="O2927" s="37" t="str">
        <f t="shared" si="228"/>
        <v>Digital Payment</v>
      </c>
      <c r="P2927">
        <v>88.61</v>
      </c>
      <c r="Q2927" s="37" t="str">
        <f>IF(P2927&gt;500,"High","low")</f>
        <v>low</v>
      </c>
      <c r="R2927" s="37" t="str">
        <f t="shared" si="229"/>
        <v>AVERAGE</v>
      </c>
      <c r="S2927" t="s">
        <v>609</v>
      </c>
    </row>
    <row r="2928" spans="1:19" x14ac:dyDescent="0.2">
      <c r="A2928" t="s">
        <v>3539</v>
      </c>
      <c r="B2928" t="s">
        <v>67</v>
      </c>
      <c r="C2928" t="s">
        <v>617</v>
      </c>
      <c r="D2928">
        <v>4119.7700000000004</v>
      </c>
      <c r="E2928" s="37" t="str">
        <f t="shared" si="225"/>
        <v>Excellent Order</v>
      </c>
      <c r="F2928">
        <v>0.36</v>
      </c>
      <c r="G2928" s="37" t="str">
        <f t="shared" si="226"/>
        <v>Heavy Discount</v>
      </c>
      <c r="H2928" s="37" t="str">
        <f t="shared" si="227"/>
        <v>Medium</v>
      </c>
      <c r="I2928">
        <v>4</v>
      </c>
      <c r="J2928" t="str" cm="1">
        <f t="array" ref="J2928">_xlfn.IFS(I2928&lt;=3,"small",I2928&lt;=6,"Medium",I2928&lt;=9,"Large")</f>
        <v>Medium</v>
      </c>
      <c r="K2928" s="36">
        <v>45115</v>
      </c>
      <c r="L2928" s="36">
        <v>45117</v>
      </c>
      <c r="M2928" t="s">
        <v>598</v>
      </c>
      <c r="N2928" t="s">
        <v>604</v>
      </c>
      <c r="O2928" s="37" t="str">
        <f t="shared" si="228"/>
        <v>Digital Payment</v>
      </c>
      <c r="P2928">
        <v>1040.26</v>
      </c>
      <c r="Q2928" s="37" t="str">
        <f>IF(P2928&gt;500,"High","low")</f>
        <v>High</v>
      </c>
      <c r="R2928" s="37" t="str">
        <f t="shared" si="229"/>
        <v>Excellent</v>
      </c>
      <c r="S2928" t="s">
        <v>620</v>
      </c>
    </row>
    <row r="2929" spans="1:19" x14ac:dyDescent="0.2">
      <c r="A2929" t="s">
        <v>3540</v>
      </c>
      <c r="B2929" t="s">
        <v>83</v>
      </c>
      <c r="C2929" t="s">
        <v>602</v>
      </c>
      <c r="D2929">
        <v>3880.63</v>
      </c>
      <c r="E2929" s="37" t="str">
        <f t="shared" si="225"/>
        <v xml:space="preserve"> </v>
      </c>
      <c r="F2929">
        <v>0.45</v>
      </c>
      <c r="G2929" s="37" t="str">
        <f t="shared" si="226"/>
        <v>Heavy Discount</v>
      </c>
      <c r="H2929" s="37" t="str">
        <f t="shared" si="227"/>
        <v>High</v>
      </c>
      <c r="I2929">
        <v>6</v>
      </c>
      <c r="J2929" t="str" cm="1">
        <f t="array" ref="J2929">_xlfn.IFS(I2929&lt;=3,"small",I2929&lt;=6,"Medium",I2929&lt;=9,"Large")</f>
        <v>Medium</v>
      </c>
      <c r="K2929" s="36">
        <v>45156</v>
      </c>
      <c r="L2929" s="36">
        <v>45158</v>
      </c>
      <c r="M2929" t="s">
        <v>612</v>
      </c>
      <c r="N2929" t="s">
        <v>604</v>
      </c>
      <c r="O2929" s="37" t="str">
        <f t="shared" si="228"/>
        <v>Digital Payment</v>
      </c>
      <c r="P2929">
        <v>808.89</v>
      </c>
      <c r="Q2929" s="37" t="str">
        <f>IF(P2929&gt;500,"High","low")</f>
        <v>High</v>
      </c>
      <c r="R2929" s="37" t="str">
        <f t="shared" si="229"/>
        <v>Good</v>
      </c>
      <c r="S2929" t="s">
        <v>620</v>
      </c>
    </row>
    <row r="2930" spans="1:19" x14ac:dyDescent="0.2">
      <c r="A2930" t="s">
        <v>3541</v>
      </c>
      <c r="B2930" t="s">
        <v>83</v>
      </c>
      <c r="C2930" t="s">
        <v>602</v>
      </c>
      <c r="D2930">
        <v>1543.87</v>
      </c>
      <c r="E2930" s="37" t="str">
        <f t="shared" si="225"/>
        <v xml:space="preserve"> </v>
      </c>
      <c r="F2930">
        <v>0.18</v>
      </c>
      <c r="G2930" s="37" t="str">
        <f t="shared" si="226"/>
        <v>Normal Discount</v>
      </c>
      <c r="H2930" s="37" t="str">
        <f t="shared" si="227"/>
        <v>Low</v>
      </c>
      <c r="I2930">
        <v>3</v>
      </c>
      <c r="J2930" t="str" cm="1">
        <f t="array" ref="J2930">_xlfn.IFS(I2930&lt;=3,"small",I2930&lt;=6,"Medium",I2930&lt;=9,"Large")</f>
        <v>small</v>
      </c>
      <c r="K2930" s="36">
        <v>45221</v>
      </c>
      <c r="L2930" s="36">
        <v>45223</v>
      </c>
      <c r="M2930" t="s">
        <v>598</v>
      </c>
      <c r="N2930" t="s">
        <v>599</v>
      </c>
      <c r="O2930" s="37" t="str">
        <f t="shared" si="228"/>
        <v>Digital Payment</v>
      </c>
      <c r="P2930">
        <v>445.99</v>
      </c>
      <c r="Q2930" s="37" t="str">
        <f>IF(P2930&gt;500,"High","low")</f>
        <v>low</v>
      </c>
      <c r="R2930" s="37" t="str">
        <f t="shared" si="229"/>
        <v>AVERAGE</v>
      </c>
      <c r="S2930" t="s">
        <v>600</v>
      </c>
    </row>
    <row r="2931" spans="1:19" x14ac:dyDescent="0.2">
      <c r="A2931" t="s">
        <v>3542</v>
      </c>
      <c r="B2931" t="s">
        <v>67</v>
      </c>
      <c r="C2931" t="s">
        <v>597</v>
      </c>
      <c r="D2931">
        <v>541.67999999999995</v>
      </c>
      <c r="E2931" s="37" t="str">
        <f t="shared" si="225"/>
        <v xml:space="preserve"> </v>
      </c>
      <c r="F2931">
        <v>0.28999999999999998</v>
      </c>
      <c r="G2931" s="37" t="str">
        <f t="shared" si="226"/>
        <v>Normal Discount</v>
      </c>
      <c r="H2931" s="37" t="str">
        <f t="shared" si="227"/>
        <v>Medium</v>
      </c>
      <c r="I2931">
        <v>8</v>
      </c>
      <c r="J2931" t="str" cm="1">
        <f t="array" ref="J2931">_xlfn.IFS(I2931&lt;=3,"small",I2931&lt;=6,"Medium",I2931&lt;=9,"Large")</f>
        <v>Large</v>
      </c>
      <c r="K2931" s="36">
        <v>45443</v>
      </c>
      <c r="L2931" s="36">
        <v>45445</v>
      </c>
      <c r="M2931" t="s">
        <v>598</v>
      </c>
      <c r="N2931" t="s">
        <v>608</v>
      </c>
      <c r="O2931" s="37" t="str">
        <f t="shared" si="228"/>
        <v>Cash Payment</v>
      </c>
      <c r="P2931">
        <v>159.34</v>
      </c>
      <c r="Q2931" s="37" t="str">
        <f>IF(P2931&gt;500,"High","low")</f>
        <v>low</v>
      </c>
      <c r="R2931" s="37" t="str">
        <f t="shared" si="229"/>
        <v>AVERAGE</v>
      </c>
      <c r="S2931" t="s">
        <v>609</v>
      </c>
    </row>
    <row r="2932" spans="1:19" x14ac:dyDescent="0.2">
      <c r="A2932" t="s">
        <v>3543</v>
      </c>
      <c r="B2932" t="s">
        <v>83</v>
      </c>
      <c r="C2932" t="s">
        <v>607</v>
      </c>
      <c r="D2932">
        <v>1111.55</v>
      </c>
      <c r="E2932" s="37" t="str">
        <f t="shared" si="225"/>
        <v xml:space="preserve"> </v>
      </c>
      <c r="F2932">
        <v>0.38</v>
      </c>
      <c r="G2932" s="37" t="str">
        <f t="shared" si="226"/>
        <v>Heavy Discount</v>
      </c>
      <c r="H2932" s="37" t="str">
        <f t="shared" si="227"/>
        <v>Medium</v>
      </c>
      <c r="I2932">
        <v>1</v>
      </c>
      <c r="J2932" t="str" cm="1">
        <f t="array" ref="J2932">_xlfn.IFS(I2932&lt;=3,"small",I2932&lt;=6,"Medium",I2932&lt;=9,"Large")</f>
        <v>small</v>
      </c>
      <c r="K2932" s="36">
        <v>45000</v>
      </c>
      <c r="L2932" s="36">
        <v>45002</v>
      </c>
      <c r="M2932" t="s">
        <v>612</v>
      </c>
      <c r="N2932" t="s">
        <v>604</v>
      </c>
      <c r="O2932" s="37" t="str">
        <f t="shared" si="228"/>
        <v>Digital Payment</v>
      </c>
      <c r="P2932">
        <v>142.58000000000001</v>
      </c>
      <c r="Q2932" s="37" t="str">
        <f>IF(P2932&gt;500,"High","low")</f>
        <v>low</v>
      </c>
      <c r="R2932" s="37" t="str">
        <f t="shared" si="229"/>
        <v>AVERAGE</v>
      </c>
      <c r="S2932" t="s">
        <v>600</v>
      </c>
    </row>
    <row r="2933" spans="1:19" x14ac:dyDescent="0.2">
      <c r="A2933" t="s">
        <v>3544</v>
      </c>
      <c r="B2933" t="s">
        <v>90</v>
      </c>
      <c r="C2933" t="s">
        <v>602</v>
      </c>
      <c r="D2933">
        <v>3878.18</v>
      </c>
      <c r="E2933" s="37" t="str">
        <f t="shared" si="225"/>
        <v xml:space="preserve"> </v>
      </c>
      <c r="F2933">
        <v>0.45</v>
      </c>
      <c r="G2933" s="37" t="str">
        <f t="shared" si="226"/>
        <v>Heavy Discount</v>
      </c>
      <c r="H2933" s="37" t="str">
        <f t="shared" si="227"/>
        <v>High</v>
      </c>
      <c r="I2933">
        <v>8</v>
      </c>
      <c r="J2933" t="str" cm="1">
        <f t="array" ref="J2933">_xlfn.IFS(I2933&lt;=3,"small",I2933&lt;=6,"Medium",I2933&lt;=9,"Large")</f>
        <v>Large</v>
      </c>
      <c r="K2933" s="36">
        <v>44956</v>
      </c>
      <c r="L2933" s="36">
        <v>44961</v>
      </c>
      <c r="M2933" t="s">
        <v>598</v>
      </c>
      <c r="N2933" t="s">
        <v>604</v>
      </c>
      <c r="O2933" s="37" t="str">
        <f t="shared" si="228"/>
        <v>Digital Payment</v>
      </c>
      <c r="P2933">
        <v>833.98</v>
      </c>
      <c r="Q2933" s="37" t="str">
        <f>IF(P2933&gt;500,"High","low")</f>
        <v>High</v>
      </c>
      <c r="R2933" s="37" t="str">
        <f t="shared" si="229"/>
        <v>Good</v>
      </c>
      <c r="S2933" t="s">
        <v>620</v>
      </c>
    </row>
    <row r="2934" spans="1:19" x14ac:dyDescent="0.2">
      <c r="A2934" t="s">
        <v>3545</v>
      </c>
      <c r="B2934" t="s">
        <v>75</v>
      </c>
      <c r="C2934" t="s">
        <v>597</v>
      </c>
      <c r="D2934">
        <v>4827.26</v>
      </c>
      <c r="E2934" s="37" t="str">
        <f t="shared" si="225"/>
        <v>Excellent Order</v>
      </c>
      <c r="F2934">
        <v>0.44</v>
      </c>
      <c r="G2934" s="37" t="str">
        <f t="shared" si="226"/>
        <v>Heavy Discount</v>
      </c>
      <c r="H2934" s="37" t="str">
        <f t="shared" si="227"/>
        <v>High</v>
      </c>
      <c r="I2934">
        <v>5</v>
      </c>
      <c r="J2934" t="str" cm="1">
        <f t="array" ref="J2934">_xlfn.IFS(I2934&lt;=3,"small",I2934&lt;=6,"Medium",I2934&lt;=9,"Large")</f>
        <v>Medium</v>
      </c>
      <c r="K2934" s="36">
        <v>45262</v>
      </c>
      <c r="L2934" s="36">
        <v>45265</v>
      </c>
      <c r="M2934" t="s">
        <v>612</v>
      </c>
      <c r="N2934" t="s">
        <v>599</v>
      </c>
      <c r="O2934" s="37" t="str">
        <f t="shared" si="228"/>
        <v>Digital Payment</v>
      </c>
      <c r="P2934">
        <v>1096.2</v>
      </c>
      <c r="Q2934" s="37" t="str">
        <f>IF(P2934&gt;500,"High","low")</f>
        <v>High</v>
      </c>
      <c r="R2934" s="37" t="str">
        <f t="shared" si="229"/>
        <v>Excellent</v>
      </c>
      <c r="S2934" t="s">
        <v>609</v>
      </c>
    </row>
    <row r="2935" spans="1:19" x14ac:dyDescent="0.2">
      <c r="A2935" t="s">
        <v>3546</v>
      </c>
      <c r="B2935" t="s">
        <v>75</v>
      </c>
      <c r="C2935" t="s">
        <v>614</v>
      </c>
      <c r="D2935">
        <v>1369.11</v>
      </c>
      <c r="E2935" s="37" t="str">
        <f t="shared" si="225"/>
        <v xml:space="preserve"> </v>
      </c>
      <c r="F2935">
        <v>0.23</v>
      </c>
      <c r="G2935" s="37" t="str">
        <f t="shared" si="226"/>
        <v>Normal Discount</v>
      </c>
      <c r="H2935" s="37" t="str">
        <f t="shared" si="227"/>
        <v>Medium</v>
      </c>
      <c r="I2935">
        <v>8</v>
      </c>
      <c r="J2935" t="str" cm="1">
        <f t="array" ref="J2935">_xlfn.IFS(I2935&lt;=3,"small",I2935&lt;=6,"Medium",I2935&lt;=9,"Large")</f>
        <v>Large</v>
      </c>
      <c r="K2935" s="36">
        <v>45193</v>
      </c>
      <c r="L2935" s="36">
        <v>45198</v>
      </c>
      <c r="M2935" t="s">
        <v>598</v>
      </c>
      <c r="N2935" t="s">
        <v>599</v>
      </c>
      <c r="O2935" s="37" t="str">
        <f t="shared" si="228"/>
        <v>Digital Payment</v>
      </c>
      <c r="P2935">
        <v>260.12</v>
      </c>
      <c r="Q2935" s="37" t="str">
        <f>IF(P2935&gt;500,"High","low")</f>
        <v>low</v>
      </c>
      <c r="R2935" s="37" t="str">
        <f t="shared" si="229"/>
        <v>AVERAGE</v>
      </c>
      <c r="S2935" t="s">
        <v>620</v>
      </c>
    </row>
    <row r="2936" spans="1:19" x14ac:dyDescent="0.2">
      <c r="A2936" t="s">
        <v>3547</v>
      </c>
      <c r="B2936" t="s">
        <v>75</v>
      </c>
      <c r="C2936" t="s">
        <v>617</v>
      </c>
      <c r="D2936">
        <v>4109.47</v>
      </c>
      <c r="E2936" s="37" t="str">
        <f t="shared" si="225"/>
        <v>Excellent Order</v>
      </c>
      <c r="F2936">
        <v>0.45</v>
      </c>
      <c r="G2936" s="37" t="str">
        <f t="shared" si="226"/>
        <v>Heavy Discount</v>
      </c>
      <c r="H2936" s="37" t="str">
        <f t="shared" si="227"/>
        <v>High</v>
      </c>
      <c r="I2936">
        <v>4</v>
      </c>
      <c r="J2936" t="str" cm="1">
        <f t="array" ref="J2936">_xlfn.IFS(I2936&lt;=3,"small",I2936&lt;=6,"Medium",I2936&lt;=9,"Large")</f>
        <v>Medium</v>
      </c>
      <c r="K2936" s="36">
        <v>45569</v>
      </c>
      <c r="L2936" s="36">
        <v>45574</v>
      </c>
      <c r="M2936" t="s">
        <v>598</v>
      </c>
      <c r="N2936" t="s">
        <v>608</v>
      </c>
      <c r="O2936" s="37" t="str">
        <f t="shared" si="228"/>
        <v>Cash Payment</v>
      </c>
      <c r="P2936">
        <v>1031.06</v>
      </c>
      <c r="Q2936" s="37" t="str">
        <f>IF(P2936&gt;500,"High","low")</f>
        <v>High</v>
      </c>
      <c r="R2936" s="37" t="str">
        <f t="shared" si="229"/>
        <v>Excellent</v>
      </c>
      <c r="S2936" t="s">
        <v>605</v>
      </c>
    </row>
    <row r="2937" spans="1:19" x14ac:dyDescent="0.2">
      <c r="A2937" t="s">
        <v>3548</v>
      </c>
      <c r="B2937" t="s">
        <v>75</v>
      </c>
      <c r="C2937" t="s">
        <v>607</v>
      </c>
      <c r="D2937">
        <v>1216.8699999999999</v>
      </c>
      <c r="E2937" s="37" t="str">
        <f t="shared" si="225"/>
        <v xml:space="preserve"> </v>
      </c>
      <c r="F2937">
        <v>0.22</v>
      </c>
      <c r="G2937" s="37" t="str">
        <f t="shared" si="226"/>
        <v>Normal Discount</v>
      </c>
      <c r="H2937" s="37" t="str">
        <f t="shared" si="227"/>
        <v>Medium</v>
      </c>
      <c r="I2937">
        <v>2</v>
      </c>
      <c r="J2937" t="str" cm="1">
        <f t="array" ref="J2937">_xlfn.IFS(I2937&lt;=3,"small",I2937&lt;=6,"Medium",I2937&lt;=9,"Large")</f>
        <v>small</v>
      </c>
      <c r="K2937" s="36">
        <v>44941</v>
      </c>
      <c r="L2937" s="36">
        <v>44942</v>
      </c>
      <c r="M2937" t="s">
        <v>603</v>
      </c>
      <c r="N2937" t="s">
        <v>599</v>
      </c>
      <c r="O2937" s="37" t="str">
        <f t="shared" si="228"/>
        <v>Digital Payment</v>
      </c>
      <c r="P2937">
        <v>144.83000000000001</v>
      </c>
      <c r="Q2937" s="37" t="str">
        <f>IF(P2937&gt;500,"High","low")</f>
        <v>low</v>
      </c>
      <c r="R2937" s="37" t="str">
        <f t="shared" si="229"/>
        <v>AVERAGE</v>
      </c>
      <c r="S2937" t="s">
        <v>615</v>
      </c>
    </row>
    <row r="2938" spans="1:19" x14ac:dyDescent="0.2">
      <c r="A2938" t="s">
        <v>3549</v>
      </c>
      <c r="B2938" t="s">
        <v>67</v>
      </c>
      <c r="C2938" t="s">
        <v>597</v>
      </c>
      <c r="D2938">
        <v>3430.04</v>
      </c>
      <c r="E2938" s="37" t="str">
        <f t="shared" si="225"/>
        <v xml:space="preserve"> </v>
      </c>
      <c r="F2938">
        <v>0.45</v>
      </c>
      <c r="G2938" s="37" t="str">
        <f t="shared" si="226"/>
        <v>Heavy Discount</v>
      </c>
      <c r="H2938" s="37" t="str">
        <f t="shared" si="227"/>
        <v>High</v>
      </c>
      <c r="I2938">
        <v>4</v>
      </c>
      <c r="J2938" t="str" cm="1">
        <f t="array" ref="J2938">_xlfn.IFS(I2938&lt;=3,"small",I2938&lt;=6,"Medium",I2938&lt;=9,"Large")</f>
        <v>Medium</v>
      </c>
      <c r="K2938" s="36">
        <v>45354</v>
      </c>
      <c r="L2938" s="36">
        <v>45355</v>
      </c>
      <c r="M2938" t="s">
        <v>612</v>
      </c>
      <c r="N2938" t="s">
        <v>608</v>
      </c>
      <c r="O2938" s="37" t="str">
        <f t="shared" si="228"/>
        <v>Cash Payment</v>
      </c>
      <c r="P2938">
        <v>824.69</v>
      </c>
      <c r="Q2938" s="37" t="str">
        <f>IF(P2938&gt;500,"High","low")</f>
        <v>High</v>
      </c>
      <c r="R2938" s="37" t="str">
        <f t="shared" si="229"/>
        <v>Good</v>
      </c>
      <c r="S2938" t="s">
        <v>620</v>
      </c>
    </row>
    <row r="2939" spans="1:19" x14ac:dyDescent="0.2">
      <c r="A2939" t="s">
        <v>3550</v>
      </c>
      <c r="B2939" t="s">
        <v>75</v>
      </c>
      <c r="C2939" t="s">
        <v>614</v>
      </c>
      <c r="D2939">
        <v>509.71</v>
      </c>
      <c r="E2939" s="37" t="str">
        <f t="shared" si="225"/>
        <v xml:space="preserve"> </v>
      </c>
      <c r="F2939">
        <v>0.39</v>
      </c>
      <c r="G2939" s="37" t="str">
        <f t="shared" si="226"/>
        <v>Heavy Discount</v>
      </c>
      <c r="H2939" s="37" t="str">
        <f t="shared" si="227"/>
        <v>Medium</v>
      </c>
      <c r="I2939">
        <v>8</v>
      </c>
      <c r="J2939" t="str" cm="1">
        <f t="array" ref="J2939">_xlfn.IFS(I2939&lt;=3,"small",I2939&lt;=6,"Medium",I2939&lt;=9,"Large")</f>
        <v>Large</v>
      </c>
      <c r="K2939" s="36">
        <v>45492</v>
      </c>
      <c r="L2939" s="36">
        <v>45497</v>
      </c>
      <c r="M2939" t="s">
        <v>612</v>
      </c>
      <c r="N2939" t="s">
        <v>608</v>
      </c>
      <c r="O2939" s="37" t="str">
        <f t="shared" si="228"/>
        <v>Cash Payment</v>
      </c>
      <c r="P2939">
        <v>57.49</v>
      </c>
      <c r="Q2939" s="37" t="str">
        <f>IF(P2939&gt;500,"High","low")</f>
        <v>low</v>
      </c>
      <c r="R2939" s="37" t="str">
        <f t="shared" si="229"/>
        <v>AVERAGE</v>
      </c>
      <c r="S2939" t="s">
        <v>628</v>
      </c>
    </row>
    <row r="2940" spans="1:19" x14ac:dyDescent="0.2">
      <c r="A2940" t="s">
        <v>3551</v>
      </c>
      <c r="B2940" t="s">
        <v>75</v>
      </c>
      <c r="C2940" t="s">
        <v>617</v>
      </c>
      <c r="D2940">
        <v>2967.95</v>
      </c>
      <c r="E2940" s="37" t="str">
        <f t="shared" si="225"/>
        <v xml:space="preserve"> </v>
      </c>
      <c r="F2940">
        <v>0.11</v>
      </c>
      <c r="G2940" s="37" t="str">
        <f t="shared" si="226"/>
        <v>Normal Discount</v>
      </c>
      <c r="H2940" s="37" t="str">
        <f t="shared" si="227"/>
        <v>Low</v>
      </c>
      <c r="I2940">
        <v>1</v>
      </c>
      <c r="J2940" t="str" cm="1">
        <f t="array" ref="J2940">_xlfn.IFS(I2940&lt;=3,"small",I2940&lt;=6,"Medium",I2940&lt;=9,"Large")</f>
        <v>small</v>
      </c>
      <c r="K2940" s="36">
        <v>45567</v>
      </c>
      <c r="L2940" s="36">
        <v>45569</v>
      </c>
      <c r="M2940" t="s">
        <v>603</v>
      </c>
      <c r="N2940" t="s">
        <v>599</v>
      </c>
      <c r="O2940" s="37" t="str">
        <f t="shared" si="228"/>
        <v>Digital Payment</v>
      </c>
      <c r="P2940">
        <v>551.27</v>
      </c>
      <c r="Q2940" s="37" t="str">
        <f>IF(P2940&gt;500,"High","low")</f>
        <v>High</v>
      </c>
      <c r="R2940" s="37" t="str">
        <f t="shared" si="229"/>
        <v>Good</v>
      </c>
      <c r="S2940" t="s">
        <v>615</v>
      </c>
    </row>
    <row r="2941" spans="1:19" x14ac:dyDescent="0.2">
      <c r="A2941" t="s">
        <v>3552</v>
      </c>
      <c r="B2941" t="s">
        <v>75</v>
      </c>
      <c r="C2941" t="s">
        <v>614</v>
      </c>
      <c r="D2941">
        <v>1419.03</v>
      </c>
      <c r="E2941" s="37" t="str">
        <f t="shared" si="225"/>
        <v xml:space="preserve"> </v>
      </c>
      <c r="F2941">
        <v>0.46</v>
      </c>
      <c r="G2941" s="37" t="str">
        <f t="shared" si="226"/>
        <v>Heavy Discount</v>
      </c>
      <c r="H2941" s="37" t="str">
        <f t="shared" si="227"/>
        <v>High</v>
      </c>
      <c r="I2941">
        <v>5</v>
      </c>
      <c r="J2941" t="str" cm="1">
        <f t="array" ref="J2941">_xlfn.IFS(I2941&lt;=3,"small",I2941&lt;=6,"Medium",I2941&lt;=9,"Large")</f>
        <v>Medium</v>
      </c>
      <c r="K2941" s="36">
        <v>44939</v>
      </c>
      <c r="L2941" s="36">
        <v>44943</v>
      </c>
      <c r="M2941" t="s">
        <v>612</v>
      </c>
      <c r="N2941" t="s">
        <v>604</v>
      </c>
      <c r="O2941" s="37" t="str">
        <f t="shared" si="228"/>
        <v>Digital Payment</v>
      </c>
      <c r="P2941">
        <v>111.07</v>
      </c>
      <c r="Q2941" s="37" t="str">
        <f>IF(P2941&gt;500,"High","low")</f>
        <v>low</v>
      </c>
      <c r="R2941" s="37" t="str">
        <f t="shared" si="229"/>
        <v>AVERAGE</v>
      </c>
      <c r="S2941" t="s">
        <v>615</v>
      </c>
    </row>
    <row r="2942" spans="1:19" x14ac:dyDescent="0.2">
      <c r="A2942" t="s">
        <v>3553</v>
      </c>
      <c r="B2942" t="s">
        <v>75</v>
      </c>
      <c r="C2942" t="s">
        <v>597</v>
      </c>
      <c r="D2942">
        <v>4636.6499999999996</v>
      </c>
      <c r="E2942" s="37" t="str">
        <f t="shared" si="225"/>
        <v>Excellent Order</v>
      </c>
      <c r="F2942">
        <v>0.12</v>
      </c>
      <c r="G2942" s="37" t="str">
        <f t="shared" si="226"/>
        <v>Normal Discount</v>
      </c>
      <c r="H2942" s="37" t="str">
        <f t="shared" si="227"/>
        <v>Low</v>
      </c>
      <c r="I2942">
        <v>6</v>
      </c>
      <c r="J2942" t="str" cm="1">
        <f t="array" ref="J2942">_xlfn.IFS(I2942&lt;=3,"small",I2942&lt;=6,"Medium",I2942&lt;=9,"Large")</f>
        <v>Medium</v>
      </c>
      <c r="K2942" s="36">
        <v>45501</v>
      </c>
      <c r="L2942" s="36">
        <v>45504</v>
      </c>
      <c r="M2942" t="s">
        <v>612</v>
      </c>
      <c r="N2942" t="s">
        <v>604</v>
      </c>
      <c r="O2942" s="37" t="str">
        <f t="shared" si="228"/>
        <v>Digital Payment</v>
      </c>
      <c r="P2942">
        <v>1026.43</v>
      </c>
      <c r="Q2942" s="37" t="str">
        <f>IF(P2942&gt;500,"High","low")</f>
        <v>High</v>
      </c>
      <c r="R2942" s="37" t="str">
        <f t="shared" si="229"/>
        <v>Excellent</v>
      </c>
      <c r="S2942" t="s">
        <v>609</v>
      </c>
    </row>
    <row r="2943" spans="1:19" x14ac:dyDescent="0.2">
      <c r="A2943" t="s">
        <v>3554</v>
      </c>
      <c r="B2943" t="s">
        <v>90</v>
      </c>
      <c r="C2943" t="s">
        <v>602</v>
      </c>
      <c r="D2943">
        <v>1519.78</v>
      </c>
      <c r="E2943" s="37" t="str">
        <f t="shared" si="225"/>
        <v xml:space="preserve"> </v>
      </c>
      <c r="F2943">
        <v>0.45</v>
      </c>
      <c r="G2943" s="37" t="str">
        <f t="shared" si="226"/>
        <v>Heavy Discount</v>
      </c>
      <c r="H2943" s="37" t="str">
        <f t="shared" si="227"/>
        <v>High</v>
      </c>
      <c r="I2943">
        <v>4</v>
      </c>
      <c r="J2943" t="str" cm="1">
        <f t="array" ref="J2943">_xlfn.IFS(I2943&lt;=3,"small",I2943&lt;=6,"Medium",I2943&lt;=9,"Large")</f>
        <v>Medium</v>
      </c>
      <c r="K2943" s="36">
        <v>45238</v>
      </c>
      <c r="L2943" s="36">
        <v>45240</v>
      </c>
      <c r="M2943" t="s">
        <v>612</v>
      </c>
      <c r="N2943" t="s">
        <v>604</v>
      </c>
      <c r="O2943" s="37" t="str">
        <f t="shared" si="228"/>
        <v>Digital Payment</v>
      </c>
      <c r="P2943">
        <v>401.49</v>
      </c>
      <c r="Q2943" s="37" t="str">
        <f>IF(P2943&gt;500,"High","low")</f>
        <v>low</v>
      </c>
      <c r="R2943" s="37" t="str">
        <f t="shared" si="229"/>
        <v>AVERAGE</v>
      </c>
      <c r="S2943" t="s">
        <v>609</v>
      </c>
    </row>
    <row r="2944" spans="1:19" x14ac:dyDescent="0.2">
      <c r="A2944" t="s">
        <v>3555</v>
      </c>
      <c r="B2944" t="s">
        <v>75</v>
      </c>
      <c r="C2944" t="s">
        <v>617</v>
      </c>
      <c r="D2944">
        <v>2052.36</v>
      </c>
      <c r="E2944" s="37" t="str">
        <f t="shared" si="225"/>
        <v xml:space="preserve"> </v>
      </c>
      <c r="F2944">
        <v>0.31</v>
      </c>
      <c r="G2944" s="37" t="str">
        <f t="shared" si="226"/>
        <v>Heavy Discount</v>
      </c>
      <c r="H2944" s="37" t="str">
        <f t="shared" si="227"/>
        <v>Medium</v>
      </c>
      <c r="I2944">
        <v>4</v>
      </c>
      <c r="J2944" t="str" cm="1">
        <f t="array" ref="J2944">_xlfn.IFS(I2944&lt;=3,"small",I2944&lt;=6,"Medium",I2944&lt;=9,"Large")</f>
        <v>Medium</v>
      </c>
      <c r="K2944" s="36">
        <v>45221</v>
      </c>
      <c r="L2944" s="36">
        <v>45222</v>
      </c>
      <c r="M2944" t="s">
        <v>603</v>
      </c>
      <c r="N2944" t="s">
        <v>599</v>
      </c>
      <c r="O2944" s="37" t="str">
        <f t="shared" si="228"/>
        <v>Digital Payment</v>
      </c>
      <c r="P2944">
        <v>482.84</v>
      </c>
      <c r="Q2944" s="37" t="str">
        <f>IF(P2944&gt;500,"High","low")</f>
        <v>low</v>
      </c>
      <c r="R2944" s="37" t="str">
        <f t="shared" si="229"/>
        <v>AVERAGE</v>
      </c>
      <c r="S2944" t="s">
        <v>609</v>
      </c>
    </row>
    <row r="2945" spans="1:19" x14ac:dyDescent="0.2">
      <c r="A2945" t="s">
        <v>3556</v>
      </c>
      <c r="B2945" t="s">
        <v>90</v>
      </c>
      <c r="C2945" t="s">
        <v>614</v>
      </c>
      <c r="D2945">
        <v>4219.33</v>
      </c>
      <c r="E2945" s="37" t="str">
        <f t="shared" si="225"/>
        <v>Excellent Order</v>
      </c>
      <c r="F2945">
        <v>0.33</v>
      </c>
      <c r="G2945" s="37" t="str">
        <f t="shared" si="226"/>
        <v>Heavy Discount</v>
      </c>
      <c r="H2945" s="37" t="str">
        <f t="shared" si="227"/>
        <v>Medium</v>
      </c>
      <c r="I2945">
        <v>4</v>
      </c>
      <c r="J2945" t="str" cm="1">
        <f t="array" ref="J2945">_xlfn.IFS(I2945&lt;=3,"small",I2945&lt;=6,"Medium",I2945&lt;=9,"Large")</f>
        <v>Medium</v>
      </c>
      <c r="K2945" s="36">
        <v>44993</v>
      </c>
      <c r="L2945" s="36">
        <v>45000</v>
      </c>
      <c r="M2945" t="s">
        <v>612</v>
      </c>
      <c r="N2945" t="s">
        <v>608</v>
      </c>
      <c r="O2945" s="37" t="str">
        <f t="shared" si="228"/>
        <v>Cash Payment</v>
      </c>
      <c r="P2945">
        <v>1216.81</v>
      </c>
      <c r="Q2945" s="37" t="str">
        <f>IF(P2945&gt;500,"High","low")</f>
        <v>High</v>
      </c>
      <c r="R2945" s="37" t="str">
        <f t="shared" si="229"/>
        <v>Excellent</v>
      </c>
      <c r="S2945" t="s">
        <v>628</v>
      </c>
    </row>
    <row r="2946" spans="1:19" x14ac:dyDescent="0.2">
      <c r="A2946" t="s">
        <v>3557</v>
      </c>
      <c r="B2946" t="s">
        <v>67</v>
      </c>
      <c r="C2946" t="s">
        <v>602</v>
      </c>
      <c r="D2946">
        <v>2247.5500000000002</v>
      </c>
      <c r="E2946" s="37" t="str">
        <f t="shared" si="225"/>
        <v xml:space="preserve"> </v>
      </c>
      <c r="F2946">
        <v>0.05</v>
      </c>
      <c r="G2946" s="37" t="str">
        <f t="shared" si="226"/>
        <v>Normal Discount</v>
      </c>
      <c r="H2946" s="37" t="str">
        <f t="shared" si="227"/>
        <v>Low</v>
      </c>
      <c r="I2946">
        <v>3</v>
      </c>
      <c r="J2946" t="str" cm="1">
        <f t="array" ref="J2946">_xlfn.IFS(I2946&lt;=3,"small",I2946&lt;=6,"Medium",I2946&lt;=9,"Large")</f>
        <v>small</v>
      </c>
      <c r="K2946" s="36">
        <v>45546</v>
      </c>
      <c r="L2946" s="36">
        <v>45551</v>
      </c>
      <c r="M2946" t="s">
        <v>598</v>
      </c>
      <c r="N2946" t="s">
        <v>608</v>
      </c>
      <c r="O2946" s="37" t="str">
        <f t="shared" si="228"/>
        <v>Cash Payment</v>
      </c>
      <c r="P2946">
        <v>667.97</v>
      </c>
      <c r="Q2946" s="37" t="str">
        <f>IF(P2946&gt;500,"High","low")</f>
        <v>High</v>
      </c>
      <c r="R2946" s="37" t="str">
        <f t="shared" si="229"/>
        <v>Good</v>
      </c>
      <c r="S2946" t="s">
        <v>605</v>
      </c>
    </row>
    <row r="2947" spans="1:19" x14ac:dyDescent="0.2">
      <c r="A2947" t="s">
        <v>3558</v>
      </c>
      <c r="B2947" t="s">
        <v>83</v>
      </c>
      <c r="C2947" t="s">
        <v>607</v>
      </c>
      <c r="D2947">
        <v>1268.22</v>
      </c>
      <c r="E2947" s="37" t="str">
        <f t="shared" ref="E2947:E3010" si="230">IF(AND(D2947&gt;4000,P2947&gt;800),"Excellent Order"," ")</f>
        <v xml:space="preserve"> </v>
      </c>
      <c r="F2947">
        <v>0.03</v>
      </c>
      <c r="G2947" s="37" t="str">
        <f t="shared" ref="G2947:G3010" si="231">IF(F2947&gt;30%,"Heavy Discount","Normal Discount")</f>
        <v>Normal Discount</v>
      </c>
      <c r="H2947" s="37" t="str">
        <f t="shared" ref="H2947:H3010" si="232">IF(F2947&gt;0.4,"High",IF(F2947&gt;=0.2,"Medium","Low"))</f>
        <v>Low</v>
      </c>
      <c r="I2947">
        <v>5</v>
      </c>
      <c r="J2947" t="str" cm="1">
        <f t="array" ref="J2947">_xlfn.IFS(I2947&lt;=3,"small",I2947&lt;=6,"Medium",I2947&lt;=9,"Large")</f>
        <v>Medium</v>
      </c>
      <c r="K2947" s="36">
        <v>45351</v>
      </c>
      <c r="L2947" s="36">
        <v>45357</v>
      </c>
      <c r="M2947" t="s">
        <v>598</v>
      </c>
      <c r="N2947" t="s">
        <v>599</v>
      </c>
      <c r="O2947" s="37" t="str">
        <f t="shared" ref="O2947:O3010" si="233">IF(OR(N2947="Card",N2947="UPI"),"Digital Payment","Cash Payment")</f>
        <v>Digital Payment</v>
      </c>
      <c r="P2947">
        <v>209.53</v>
      </c>
      <c r="Q2947" s="37" t="str">
        <f>IF(P2947&gt;500,"High","low")</f>
        <v>low</v>
      </c>
      <c r="R2947" s="37" t="str">
        <f t="shared" ref="R2947:R3010" si="234">IF(P2947&gt;1000,"Excellent",IF(P2947&gt;=500,"Good","AVERAGE"))</f>
        <v>AVERAGE</v>
      </c>
      <c r="S2947" t="s">
        <v>609</v>
      </c>
    </row>
    <row r="2948" spans="1:19" x14ac:dyDescent="0.2">
      <c r="A2948" t="s">
        <v>3559</v>
      </c>
      <c r="B2948" t="s">
        <v>75</v>
      </c>
      <c r="C2948" t="s">
        <v>597</v>
      </c>
      <c r="D2948">
        <v>2782.97</v>
      </c>
      <c r="E2948" s="37" t="str">
        <f t="shared" si="230"/>
        <v xml:space="preserve"> </v>
      </c>
      <c r="F2948">
        <v>0.48</v>
      </c>
      <c r="G2948" s="37" t="str">
        <f t="shared" si="231"/>
        <v>Heavy Discount</v>
      </c>
      <c r="H2948" s="37" t="str">
        <f t="shared" si="232"/>
        <v>High</v>
      </c>
      <c r="I2948">
        <v>6</v>
      </c>
      <c r="J2948" t="str" cm="1">
        <f t="array" ref="J2948">_xlfn.IFS(I2948&lt;=3,"small",I2948&lt;=6,"Medium",I2948&lt;=9,"Large")</f>
        <v>Medium</v>
      </c>
      <c r="K2948" s="36">
        <v>45016</v>
      </c>
      <c r="L2948" s="36">
        <v>45022</v>
      </c>
      <c r="M2948" t="s">
        <v>612</v>
      </c>
      <c r="N2948" t="s">
        <v>599</v>
      </c>
      <c r="O2948" s="37" t="str">
        <f t="shared" si="233"/>
        <v>Digital Payment</v>
      </c>
      <c r="P2948">
        <v>246.85</v>
      </c>
      <c r="Q2948" s="37" t="str">
        <f>IF(P2948&gt;500,"High","low")</f>
        <v>low</v>
      </c>
      <c r="R2948" s="37" t="str">
        <f t="shared" si="234"/>
        <v>AVERAGE</v>
      </c>
      <c r="S2948" t="s">
        <v>615</v>
      </c>
    </row>
    <row r="2949" spans="1:19" x14ac:dyDescent="0.2">
      <c r="A2949" t="s">
        <v>3560</v>
      </c>
      <c r="B2949" t="s">
        <v>83</v>
      </c>
      <c r="C2949" t="s">
        <v>597</v>
      </c>
      <c r="D2949">
        <v>4215.96</v>
      </c>
      <c r="E2949" s="37" t="str">
        <f t="shared" si="230"/>
        <v>Excellent Order</v>
      </c>
      <c r="F2949">
        <v>0.17</v>
      </c>
      <c r="G2949" s="37" t="str">
        <f t="shared" si="231"/>
        <v>Normal Discount</v>
      </c>
      <c r="H2949" s="37" t="str">
        <f t="shared" si="232"/>
        <v>Low</v>
      </c>
      <c r="I2949">
        <v>3</v>
      </c>
      <c r="J2949" t="str" cm="1">
        <f t="array" ref="J2949">_xlfn.IFS(I2949&lt;=3,"small",I2949&lt;=6,"Medium",I2949&lt;=9,"Large")</f>
        <v>small</v>
      </c>
      <c r="K2949" s="36">
        <v>45321</v>
      </c>
      <c r="L2949" s="36">
        <v>45322</v>
      </c>
      <c r="M2949" t="s">
        <v>603</v>
      </c>
      <c r="N2949" t="s">
        <v>599</v>
      </c>
      <c r="O2949" s="37" t="str">
        <f t="shared" si="233"/>
        <v>Digital Payment</v>
      </c>
      <c r="P2949">
        <v>961.81</v>
      </c>
      <c r="Q2949" s="37" t="str">
        <f>IF(P2949&gt;500,"High","low")</f>
        <v>High</v>
      </c>
      <c r="R2949" s="37" t="str">
        <f t="shared" si="234"/>
        <v>Good</v>
      </c>
      <c r="S2949" t="s">
        <v>609</v>
      </c>
    </row>
    <row r="2950" spans="1:19" x14ac:dyDescent="0.2">
      <c r="A2950" t="s">
        <v>3561</v>
      </c>
      <c r="B2950" t="s">
        <v>83</v>
      </c>
      <c r="C2950" t="s">
        <v>617</v>
      </c>
      <c r="D2950">
        <v>2222.5700000000002</v>
      </c>
      <c r="E2950" s="37" t="str">
        <f t="shared" si="230"/>
        <v xml:space="preserve"> </v>
      </c>
      <c r="F2950">
        <v>0.42</v>
      </c>
      <c r="G2950" s="37" t="str">
        <f t="shared" si="231"/>
        <v>Heavy Discount</v>
      </c>
      <c r="H2950" s="37" t="str">
        <f t="shared" si="232"/>
        <v>High</v>
      </c>
      <c r="I2950">
        <v>3</v>
      </c>
      <c r="J2950" t="str" cm="1">
        <f t="array" ref="J2950">_xlfn.IFS(I2950&lt;=3,"small",I2950&lt;=6,"Medium",I2950&lt;=9,"Large")</f>
        <v>small</v>
      </c>
      <c r="K2950" s="36">
        <v>45380</v>
      </c>
      <c r="L2950" s="36">
        <v>45383</v>
      </c>
      <c r="M2950" t="s">
        <v>598</v>
      </c>
      <c r="N2950" t="s">
        <v>599</v>
      </c>
      <c r="O2950" s="37" t="str">
        <f t="shared" si="233"/>
        <v>Digital Payment</v>
      </c>
      <c r="P2950">
        <v>344.82</v>
      </c>
      <c r="Q2950" s="37" t="str">
        <f>IF(P2950&gt;500,"High","low")</f>
        <v>low</v>
      </c>
      <c r="R2950" s="37" t="str">
        <f t="shared" si="234"/>
        <v>AVERAGE</v>
      </c>
      <c r="S2950" t="s">
        <v>609</v>
      </c>
    </row>
    <row r="2951" spans="1:19" x14ac:dyDescent="0.2">
      <c r="A2951" t="s">
        <v>3562</v>
      </c>
      <c r="B2951" t="s">
        <v>67</v>
      </c>
      <c r="C2951" t="s">
        <v>614</v>
      </c>
      <c r="D2951">
        <v>751.15</v>
      </c>
      <c r="E2951" s="37" t="str">
        <f t="shared" si="230"/>
        <v xml:space="preserve"> </v>
      </c>
      <c r="F2951">
        <v>0.35</v>
      </c>
      <c r="G2951" s="37" t="str">
        <f t="shared" si="231"/>
        <v>Heavy Discount</v>
      </c>
      <c r="H2951" s="37" t="str">
        <f t="shared" si="232"/>
        <v>Medium</v>
      </c>
      <c r="I2951">
        <v>9</v>
      </c>
      <c r="J2951" t="str" cm="1">
        <f t="array" ref="J2951">_xlfn.IFS(I2951&lt;=3,"small",I2951&lt;=6,"Medium",I2951&lt;=9,"Large")</f>
        <v>Large</v>
      </c>
      <c r="K2951" s="36">
        <v>45514</v>
      </c>
      <c r="L2951" s="36">
        <v>45519</v>
      </c>
      <c r="M2951" t="s">
        <v>598</v>
      </c>
      <c r="N2951" t="s">
        <v>604</v>
      </c>
      <c r="O2951" s="37" t="str">
        <f t="shared" si="233"/>
        <v>Digital Payment</v>
      </c>
      <c r="P2951">
        <v>109.63</v>
      </c>
      <c r="Q2951" s="37" t="str">
        <f>IF(P2951&gt;500,"High","low")</f>
        <v>low</v>
      </c>
      <c r="R2951" s="37" t="str">
        <f t="shared" si="234"/>
        <v>AVERAGE</v>
      </c>
      <c r="S2951" t="s">
        <v>605</v>
      </c>
    </row>
    <row r="2952" spans="1:19" x14ac:dyDescent="0.2">
      <c r="A2952" t="s">
        <v>3563</v>
      </c>
      <c r="B2952" t="s">
        <v>83</v>
      </c>
      <c r="C2952" t="s">
        <v>607</v>
      </c>
      <c r="D2952">
        <v>1977.13</v>
      </c>
      <c r="E2952" s="37" t="str">
        <f t="shared" si="230"/>
        <v xml:space="preserve"> </v>
      </c>
      <c r="F2952">
        <v>0.3</v>
      </c>
      <c r="G2952" s="37" t="str">
        <f t="shared" si="231"/>
        <v>Normal Discount</v>
      </c>
      <c r="H2952" s="37" t="str">
        <f t="shared" si="232"/>
        <v>Medium</v>
      </c>
      <c r="I2952">
        <v>2</v>
      </c>
      <c r="J2952" t="str" cm="1">
        <f t="array" ref="J2952">_xlfn.IFS(I2952&lt;=3,"small",I2952&lt;=6,"Medium",I2952&lt;=9,"Large")</f>
        <v>small</v>
      </c>
      <c r="K2952" s="36">
        <v>45556</v>
      </c>
      <c r="L2952" s="36">
        <v>45563</v>
      </c>
      <c r="M2952" t="s">
        <v>598</v>
      </c>
      <c r="N2952" t="s">
        <v>604</v>
      </c>
      <c r="O2952" s="37" t="str">
        <f t="shared" si="233"/>
        <v>Digital Payment</v>
      </c>
      <c r="P2952">
        <v>188.65</v>
      </c>
      <c r="Q2952" s="37" t="str">
        <f>IF(P2952&gt;500,"High","low")</f>
        <v>low</v>
      </c>
      <c r="R2952" s="37" t="str">
        <f t="shared" si="234"/>
        <v>AVERAGE</v>
      </c>
      <c r="S2952" t="s">
        <v>609</v>
      </c>
    </row>
    <row r="2953" spans="1:19" x14ac:dyDescent="0.2">
      <c r="A2953" t="s">
        <v>3564</v>
      </c>
      <c r="B2953" t="s">
        <v>90</v>
      </c>
      <c r="C2953" t="s">
        <v>617</v>
      </c>
      <c r="D2953">
        <v>4776.93</v>
      </c>
      <c r="E2953" s="37" t="str">
        <f t="shared" si="230"/>
        <v xml:space="preserve"> </v>
      </c>
      <c r="F2953">
        <v>0.34</v>
      </c>
      <c r="G2953" s="37" t="str">
        <f t="shared" si="231"/>
        <v>Heavy Discount</v>
      </c>
      <c r="H2953" s="37" t="str">
        <f t="shared" si="232"/>
        <v>Medium</v>
      </c>
      <c r="I2953">
        <v>6</v>
      </c>
      <c r="J2953" t="str" cm="1">
        <f t="array" ref="J2953">_xlfn.IFS(I2953&lt;=3,"small",I2953&lt;=6,"Medium",I2953&lt;=9,"Large")</f>
        <v>Medium</v>
      </c>
      <c r="K2953" s="36">
        <v>45524</v>
      </c>
      <c r="L2953" s="36">
        <v>45528</v>
      </c>
      <c r="M2953" t="s">
        <v>603</v>
      </c>
      <c r="N2953" t="s">
        <v>604</v>
      </c>
      <c r="O2953" s="37" t="str">
        <f t="shared" si="233"/>
        <v>Digital Payment</v>
      </c>
      <c r="P2953">
        <v>287.26</v>
      </c>
      <c r="Q2953" s="37" t="str">
        <f>IF(P2953&gt;500,"High","low")</f>
        <v>low</v>
      </c>
      <c r="R2953" s="37" t="str">
        <f t="shared" si="234"/>
        <v>AVERAGE</v>
      </c>
      <c r="S2953" t="s">
        <v>628</v>
      </c>
    </row>
    <row r="2954" spans="1:19" x14ac:dyDescent="0.2">
      <c r="A2954" t="s">
        <v>3565</v>
      </c>
      <c r="B2954" t="s">
        <v>83</v>
      </c>
      <c r="C2954" t="s">
        <v>617</v>
      </c>
      <c r="D2954">
        <v>452.91</v>
      </c>
      <c r="E2954" s="37" t="str">
        <f t="shared" si="230"/>
        <v xml:space="preserve"> </v>
      </c>
      <c r="F2954">
        <v>0.04</v>
      </c>
      <c r="G2954" s="37" t="str">
        <f t="shared" si="231"/>
        <v>Normal Discount</v>
      </c>
      <c r="H2954" s="37" t="str">
        <f t="shared" si="232"/>
        <v>Low</v>
      </c>
      <c r="I2954">
        <v>8</v>
      </c>
      <c r="J2954" t="str" cm="1">
        <f t="array" ref="J2954">_xlfn.IFS(I2954&lt;=3,"small",I2954&lt;=6,"Medium",I2954&lt;=9,"Large")</f>
        <v>Large</v>
      </c>
      <c r="K2954" s="36">
        <v>45604</v>
      </c>
      <c r="L2954" s="36">
        <v>45609</v>
      </c>
      <c r="M2954" t="s">
        <v>612</v>
      </c>
      <c r="N2954" t="s">
        <v>604</v>
      </c>
      <c r="O2954" s="37" t="str">
        <f t="shared" si="233"/>
        <v>Digital Payment</v>
      </c>
      <c r="P2954">
        <v>109.14</v>
      </c>
      <c r="Q2954" s="37" t="str">
        <f>IF(P2954&gt;500,"High","low")</f>
        <v>low</v>
      </c>
      <c r="R2954" s="37" t="str">
        <f t="shared" si="234"/>
        <v>AVERAGE</v>
      </c>
      <c r="S2954" t="s">
        <v>615</v>
      </c>
    </row>
    <row r="2955" spans="1:19" x14ac:dyDescent="0.2">
      <c r="A2955" t="s">
        <v>3566</v>
      </c>
      <c r="B2955" t="s">
        <v>83</v>
      </c>
      <c r="C2955" t="s">
        <v>614</v>
      </c>
      <c r="D2955">
        <v>2101.38</v>
      </c>
      <c r="E2955" s="37" t="str">
        <f t="shared" si="230"/>
        <v xml:space="preserve"> </v>
      </c>
      <c r="F2955">
        <v>0.21</v>
      </c>
      <c r="G2955" s="37" t="str">
        <f t="shared" si="231"/>
        <v>Normal Discount</v>
      </c>
      <c r="H2955" s="37" t="str">
        <f t="shared" si="232"/>
        <v>Medium</v>
      </c>
      <c r="I2955">
        <v>8</v>
      </c>
      <c r="J2955" t="str" cm="1">
        <f t="array" ref="J2955">_xlfn.IFS(I2955&lt;=3,"small",I2955&lt;=6,"Medium",I2955&lt;=9,"Large")</f>
        <v>Large</v>
      </c>
      <c r="K2955" s="36">
        <v>45450</v>
      </c>
      <c r="L2955" s="36">
        <v>45457</v>
      </c>
      <c r="M2955" t="s">
        <v>598</v>
      </c>
      <c r="N2955" t="s">
        <v>608</v>
      </c>
      <c r="O2955" s="37" t="str">
        <f t="shared" si="233"/>
        <v>Cash Payment</v>
      </c>
      <c r="P2955">
        <v>358.2</v>
      </c>
      <c r="Q2955" s="37" t="str">
        <f>IF(P2955&gt;500,"High","low")</f>
        <v>low</v>
      </c>
      <c r="R2955" s="37" t="str">
        <f t="shared" si="234"/>
        <v>AVERAGE</v>
      </c>
      <c r="S2955" t="s">
        <v>600</v>
      </c>
    </row>
    <row r="2956" spans="1:19" x14ac:dyDescent="0.2">
      <c r="A2956" t="s">
        <v>3567</v>
      </c>
      <c r="B2956" t="s">
        <v>83</v>
      </c>
      <c r="C2956" t="s">
        <v>607</v>
      </c>
      <c r="D2956">
        <v>3275.34</v>
      </c>
      <c r="E2956" s="37" t="str">
        <f t="shared" si="230"/>
        <v xml:space="preserve"> </v>
      </c>
      <c r="F2956">
        <v>0.3</v>
      </c>
      <c r="G2956" s="37" t="str">
        <f t="shared" si="231"/>
        <v>Normal Discount</v>
      </c>
      <c r="H2956" s="37" t="str">
        <f t="shared" si="232"/>
        <v>Medium</v>
      </c>
      <c r="I2956">
        <v>1</v>
      </c>
      <c r="J2956" t="str" cm="1">
        <f t="array" ref="J2956">_xlfn.IFS(I2956&lt;=3,"small",I2956&lt;=6,"Medium",I2956&lt;=9,"Large")</f>
        <v>small</v>
      </c>
      <c r="K2956" s="36">
        <v>45346</v>
      </c>
      <c r="L2956" s="36">
        <v>45347</v>
      </c>
      <c r="M2956" t="s">
        <v>598</v>
      </c>
      <c r="N2956" t="s">
        <v>604</v>
      </c>
      <c r="O2956" s="37" t="str">
        <f t="shared" si="233"/>
        <v>Digital Payment</v>
      </c>
      <c r="P2956">
        <v>488.99</v>
      </c>
      <c r="Q2956" s="37" t="str">
        <f>IF(P2956&gt;500,"High","low")</f>
        <v>low</v>
      </c>
      <c r="R2956" s="37" t="str">
        <f t="shared" si="234"/>
        <v>AVERAGE</v>
      </c>
      <c r="S2956" t="s">
        <v>615</v>
      </c>
    </row>
    <row r="2957" spans="1:19" x14ac:dyDescent="0.2">
      <c r="A2957" t="s">
        <v>3568</v>
      </c>
      <c r="B2957" t="s">
        <v>75</v>
      </c>
      <c r="C2957" t="s">
        <v>614</v>
      </c>
      <c r="D2957">
        <v>484.74</v>
      </c>
      <c r="E2957" s="37" t="str">
        <f t="shared" si="230"/>
        <v xml:space="preserve"> </v>
      </c>
      <c r="F2957">
        <v>0.43</v>
      </c>
      <c r="G2957" s="37" t="str">
        <f t="shared" si="231"/>
        <v>Heavy Discount</v>
      </c>
      <c r="H2957" s="37" t="str">
        <f t="shared" si="232"/>
        <v>High</v>
      </c>
      <c r="I2957">
        <v>1</v>
      </c>
      <c r="J2957" t="str" cm="1">
        <f t="array" ref="J2957">_xlfn.IFS(I2957&lt;=3,"small",I2957&lt;=6,"Medium",I2957&lt;=9,"Large")</f>
        <v>small</v>
      </c>
      <c r="K2957" s="36">
        <v>45199</v>
      </c>
      <c r="L2957" s="36">
        <v>45201</v>
      </c>
      <c r="M2957" t="s">
        <v>612</v>
      </c>
      <c r="N2957" t="s">
        <v>599</v>
      </c>
      <c r="O2957" s="37" t="str">
        <f t="shared" si="233"/>
        <v>Digital Payment</v>
      </c>
      <c r="P2957">
        <v>68.69</v>
      </c>
      <c r="Q2957" s="37" t="str">
        <f>IF(P2957&gt;500,"High","low")</f>
        <v>low</v>
      </c>
      <c r="R2957" s="37" t="str">
        <f t="shared" si="234"/>
        <v>AVERAGE</v>
      </c>
      <c r="S2957" t="s">
        <v>600</v>
      </c>
    </row>
    <row r="2958" spans="1:19" x14ac:dyDescent="0.2">
      <c r="A2958" t="s">
        <v>3569</v>
      </c>
      <c r="B2958" t="s">
        <v>75</v>
      </c>
      <c r="C2958" t="s">
        <v>597</v>
      </c>
      <c r="D2958">
        <v>1790.27</v>
      </c>
      <c r="E2958" s="37" t="str">
        <f t="shared" si="230"/>
        <v xml:space="preserve"> </v>
      </c>
      <c r="F2958">
        <v>0.36</v>
      </c>
      <c r="G2958" s="37" t="str">
        <f t="shared" si="231"/>
        <v>Heavy Discount</v>
      </c>
      <c r="H2958" s="37" t="str">
        <f t="shared" si="232"/>
        <v>Medium</v>
      </c>
      <c r="I2958">
        <v>8</v>
      </c>
      <c r="J2958" t="str" cm="1">
        <f t="array" ref="J2958">_xlfn.IFS(I2958&lt;=3,"small",I2958&lt;=6,"Medium",I2958&lt;=9,"Large")</f>
        <v>Large</v>
      </c>
      <c r="K2958" s="36">
        <v>45158</v>
      </c>
      <c r="L2958" s="36">
        <v>45159</v>
      </c>
      <c r="M2958" t="s">
        <v>612</v>
      </c>
      <c r="N2958" t="s">
        <v>599</v>
      </c>
      <c r="O2958" s="37" t="str">
        <f t="shared" si="233"/>
        <v>Digital Payment</v>
      </c>
      <c r="P2958">
        <v>315.22000000000003</v>
      </c>
      <c r="Q2958" s="37" t="str">
        <f>IF(P2958&gt;500,"High","low")</f>
        <v>low</v>
      </c>
      <c r="R2958" s="37" t="str">
        <f t="shared" si="234"/>
        <v>AVERAGE</v>
      </c>
      <c r="S2958" t="s">
        <v>620</v>
      </c>
    </row>
    <row r="2959" spans="1:19" x14ac:dyDescent="0.2">
      <c r="A2959" t="s">
        <v>3570</v>
      </c>
      <c r="B2959" t="s">
        <v>90</v>
      </c>
      <c r="C2959" t="s">
        <v>602</v>
      </c>
      <c r="D2959">
        <v>4708.83</v>
      </c>
      <c r="E2959" s="37" t="str">
        <f t="shared" si="230"/>
        <v>Excellent Order</v>
      </c>
      <c r="F2959">
        <v>0.13</v>
      </c>
      <c r="G2959" s="37" t="str">
        <f t="shared" si="231"/>
        <v>Normal Discount</v>
      </c>
      <c r="H2959" s="37" t="str">
        <f t="shared" si="232"/>
        <v>Low</v>
      </c>
      <c r="I2959">
        <v>1</v>
      </c>
      <c r="J2959" t="str" cm="1">
        <f t="array" ref="J2959">_xlfn.IFS(I2959&lt;=3,"small",I2959&lt;=6,"Medium",I2959&lt;=9,"Large")</f>
        <v>small</v>
      </c>
      <c r="K2959" s="36">
        <v>45598</v>
      </c>
      <c r="L2959" s="36">
        <v>45605</v>
      </c>
      <c r="M2959" t="s">
        <v>598</v>
      </c>
      <c r="N2959" t="s">
        <v>599</v>
      </c>
      <c r="O2959" s="37" t="str">
        <f t="shared" si="233"/>
        <v>Digital Payment</v>
      </c>
      <c r="P2959">
        <v>1109.0999999999999</v>
      </c>
      <c r="Q2959" s="37" t="str">
        <f>IF(P2959&gt;500,"High","low")</f>
        <v>High</v>
      </c>
      <c r="R2959" s="37" t="str">
        <f t="shared" si="234"/>
        <v>Excellent</v>
      </c>
      <c r="S2959" t="s">
        <v>609</v>
      </c>
    </row>
    <row r="2960" spans="1:19" x14ac:dyDescent="0.2">
      <c r="A2960" t="s">
        <v>3571</v>
      </c>
      <c r="B2960" t="s">
        <v>90</v>
      </c>
      <c r="C2960" t="s">
        <v>597</v>
      </c>
      <c r="D2960">
        <v>250.11</v>
      </c>
      <c r="E2960" s="37" t="str">
        <f t="shared" si="230"/>
        <v xml:space="preserve"> </v>
      </c>
      <c r="F2960">
        <v>0.49</v>
      </c>
      <c r="G2960" s="37" t="str">
        <f t="shared" si="231"/>
        <v>Heavy Discount</v>
      </c>
      <c r="H2960" s="37" t="str">
        <f t="shared" si="232"/>
        <v>High</v>
      </c>
      <c r="I2960">
        <v>3</v>
      </c>
      <c r="J2960" t="str" cm="1">
        <f t="array" ref="J2960">_xlfn.IFS(I2960&lt;=3,"small",I2960&lt;=6,"Medium",I2960&lt;=9,"Large")</f>
        <v>small</v>
      </c>
      <c r="K2960" s="36">
        <v>45099</v>
      </c>
      <c r="L2960" s="36">
        <v>45102</v>
      </c>
      <c r="M2960" t="s">
        <v>598</v>
      </c>
      <c r="N2960" t="s">
        <v>604</v>
      </c>
      <c r="O2960" s="37" t="str">
        <f t="shared" si="233"/>
        <v>Digital Payment</v>
      </c>
      <c r="P2960">
        <v>39.659999999999997</v>
      </c>
      <c r="Q2960" s="37" t="str">
        <f>IF(P2960&gt;500,"High","low")</f>
        <v>low</v>
      </c>
      <c r="R2960" s="37" t="str">
        <f t="shared" si="234"/>
        <v>AVERAGE</v>
      </c>
      <c r="S2960" t="s">
        <v>615</v>
      </c>
    </row>
    <row r="2961" spans="1:19" x14ac:dyDescent="0.2">
      <c r="A2961" t="s">
        <v>3572</v>
      </c>
      <c r="B2961" t="s">
        <v>75</v>
      </c>
      <c r="C2961" t="s">
        <v>597</v>
      </c>
      <c r="D2961">
        <v>3783.54</v>
      </c>
      <c r="E2961" s="37" t="str">
        <f t="shared" si="230"/>
        <v xml:space="preserve"> </v>
      </c>
      <c r="F2961">
        <v>0.32</v>
      </c>
      <c r="G2961" s="37" t="str">
        <f t="shared" si="231"/>
        <v>Heavy Discount</v>
      </c>
      <c r="H2961" s="37" t="str">
        <f t="shared" si="232"/>
        <v>Medium</v>
      </c>
      <c r="I2961">
        <v>9</v>
      </c>
      <c r="J2961" t="str" cm="1">
        <f t="array" ref="J2961">_xlfn.IFS(I2961&lt;=3,"small",I2961&lt;=6,"Medium",I2961&lt;=9,"Large")</f>
        <v>Large</v>
      </c>
      <c r="K2961" s="36">
        <v>45633</v>
      </c>
      <c r="L2961" s="36">
        <v>45637</v>
      </c>
      <c r="M2961" t="s">
        <v>598</v>
      </c>
      <c r="N2961" t="s">
        <v>604</v>
      </c>
      <c r="O2961" s="37" t="str">
        <f t="shared" si="233"/>
        <v>Digital Payment</v>
      </c>
      <c r="P2961">
        <v>279.37</v>
      </c>
      <c r="Q2961" s="37" t="str">
        <f>IF(P2961&gt;500,"High","low")</f>
        <v>low</v>
      </c>
      <c r="R2961" s="37" t="str">
        <f t="shared" si="234"/>
        <v>AVERAGE</v>
      </c>
      <c r="S2961" t="s">
        <v>620</v>
      </c>
    </row>
    <row r="2962" spans="1:19" x14ac:dyDescent="0.2">
      <c r="A2962" t="s">
        <v>3573</v>
      </c>
      <c r="B2962" t="s">
        <v>90</v>
      </c>
      <c r="C2962" t="s">
        <v>617</v>
      </c>
      <c r="D2962">
        <v>4222.74</v>
      </c>
      <c r="E2962" s="37" t="str">
        <f t="shared" si="230"/>
        <v xml:space="preserve"> </v>
      </c>
      <c r="F2962">
        <v>0.25</v>
      </c>
      <c r="G2962" s="37" t="str">
        <f t="shared" si="231"/>
        <v>Normal Discount</v>
      </c>
      <c r="H2962" s="37" t="str">
        <f t="shared" si="232"/>
        <v>Medium</v>
      </c>
      <c r="I2962">
        <v>3</v>
      </c>
      <c r="J2962" t="str" cm="1">
        <f t="array" ref="J2962">_xlfn.IFS(I2962&lt;=3,"small",I2962&lt;=6,"Medium",I2962&lt;=9,"Large")</f>
        <v>small</v>
      </c>
      <c r="K2962" s="36">
        <v>45009</v>
      </c>
      <c r="L2962" s="36">
        <v>45015</v>
      </c>
      <c r="M2962" t="s">
        <v>603</v>
      </c>
      <c r="N2962" t="s">
        <v>599</v>
      </c>
      <c r="O2962" s="37" t="str">
        <f t="shared" si="233"/>
        <v>Digital Payment</v>
      </c>
      <c r="P2962">
        <v>484.12</v>
      </c>
      <c r="Q2962" s="37" t="str">
        <f>IF(P2962&gt;500,"High","low")</f>
        <v>low</v>
      </c>
      <c r="R2962" s="37" t="str">
        <f t="shared" si="234"/>
        <v>AVERAGE</v>
      </c>
      <c r="S2962" t="s">
        <v>609</v>
      </c>
    </row>
    <row r="2963" spans="1:19" x14ac:dyDescent="0.2">
      <c r="A2963" t="s">
        <v>3574</v>
      </c>
      <c r="B2963" t="s">
        <v>75</v>
      </c>
      <c r="C2963" t="s">
        <v>597</v>
      </c>
      <c r="D2963">
        <v>1457.6</v>
      </c>
      <c r="E2963" s="37" t="str">
        <f t="shared" si="230"/>
        <v xml:space="preserve"> </v>
      </c>
      <c r="F2963">
        <v>0.39</v>
      </c>
      <c r="G2963" s="37" t="str">
        <f t="shared" si="231"/>
        <v>Heavy Discount</v>
      </c>
      <c r="H2963" s="37" t="str">
        <f t="shared" si="232"/>
        <v>Medium</v>
      </c>
      <c r="I2963">
        <v>2</v>
      </c>
      <c r="J2963" t="str" cm="1">
        <f t="array" ref="J2963">_xlfn.IFS(I2963&lt;=3,"small",I2963&lt;=6,"Medium",I2963&lt;=9,"Large")</f>
        <v>small</v>
      </c>
      <c r="K2963" s="36">
        <v>45552</v>
      </c>
      <c r="L2963" s="36">
        <v>45559</v>
      </c>
      <c r="M2963" t="s">
        <v>612</v>
      </c>
      <c r="N2963" t="s">
        <v>599</v>
      </c>
      <c r="O2963" s="37" t="str">
        <f t="shared" si="233"/>
        <v>Digital Payment</v>
      </c>
      <c r="P2963">
        <v>121.44</v>
      </c>
      <c r="Q2963" s="37" t="str">
        <f>IF(P2963&gt;500,"High","low")</f>
        <v>low</v>
      </c>
      <c r="R2963" s="37" t="str">
        <f t="shared" si="234"/>
        <v>AVERAGE</v>
      </c>
      <c r="S2963" t="s">
        <v>620</v>
      </c>
    </row>
    <row r="2964" spans="1:19" x14ac:dyDescent="0.2">
      <c r="A2964" t="s">
        <v>3575</v>
      </c>
      <c r="B2964" t="s">
        <v>67</v>
      </c>
      <c r="C2964" t="s">
        <v>607</v>
      </c>
      <c r="D2964">
        <v>1152.0999999999999</v>
      </c>
      <c r="E2964" s="37" t="str">
        <f t="shared" si="230"/>
        <v xml:space="preserve"> </v>
      </c>
      <c r="F2964">
        <v>0.3</v>
      </c>
      <c r="G2964" s="37" t="str">
        <f t="shared" si="231"/>
        <v>Normal Discount</v>
      </c>
      <c r="H2964" s="37" t="str">
        <f t="shared" si="232"/>
        <v>Medium</v>
      </c>
      <c r="I2964">
        <v>1</v>
      </c>
      <c r="J2964" t="str" cm="1">
        <f t="array" ref="J2964">_xlfn.IFS(I2964&lt;=3,"small",I2964&lt;=6,"Medium",I2964&lt;=9,"Large")</f>
        <v>small</v>
      </c>
      <c r="K2964" s="36">
        <v>45028</v>
      </c>
      <c r="L2964" s="36">
        <v>45031</v>
      </c>
      <c r="M2964" t="s">
        <v>603</v>
      </c>
      <c r="N2964" t="s">
        <v>604</v>
      </c>
      <c r="O2964" s="37" t="str">
        <f t="shared" si="233"/>
        <v>Digital Payment</v>
      </c>
      <c r="P2964">
        <v>112.35</v>
      </c>
      <c r="Q2964" s="37" t="str">
        <f>IF(P2964&gt;500,"High","low")</f>
        <v>low</v>
      </c>
      <c r="R2964" s="37" t="str">
        <f t="shared" si="234"/>
        <v>AVERAGE</v>
      </c>
      <c r="S2964" t="s">
        <v>605</v>
      </c>
    </row>
    <row r="2965" spans="1:19" x14ac:dyDescent="0.2">
      <c r="A2965" t="s">
        <v>3576</v>
      </c>
      <c r="B2965" t="s">
        <v>83</v>
      </c>
      <c r="C2965" t="s">
        <v>597</v>
      </c>
      <c r="D2965">
        <v>4582.62</v>
      </c>
      <c r="E2965" s="37" t="str">
        <f t="shared" si="230"/>
        <v>Excellent Order</v>
      </c>
      <c r="F2965">
        <v>0.35</v>
      </c>
      <c r="G2965" s="37" t="str">
        <f t="shared" si="231"/>
        <v>Heavy Discount</v>
      </c>
      <c r="H2965" s="37" t="str">
        <f t="shared" si="232"/>
        <v>Medium</v>
      </c>
      <c r="I2965">
        <v>1</v>
      </c>
      <c r="J2965" t="str" cm="1">
        <f t="array" ref="J2965">_xlfn.IFS(I2965&lt;=3,"small",I2965&lt;=6,"Medium",I2965&lt;=9,"Large")</f>
        <v>small</v>
      </c>
      <c r="K2965" s="36">
        <v>45031</v>
      </c>
      <c r="L2965" s="36">
        <v>45034</v>
      </c>
      <c r="M2965" t="s">
        <v>603</v>
      </c>
      <c r="N2965" t="s">
        <v>608</v>
      </c>
      <c r="O2965" s="37" t="str">
        <f t="shared" si="233"/>
        <v>Cash Payment</v>
      </c>
      <c r="P2965">
        <v>1231.0999999999999</v>
      </c>
      <c r="Q2965" s="37" t="str">
        <f>IF(P2965&gt;500,"High","low")</f>
        <v>High</v>
      </c>
      <c r="R2965" s="37" t="str">
        <f t="shared" si="234"/>
        <v>Excellent</v>
      </c>
      <c r="S2965" t="s">
        <v>600</v>
      </c>
    </row>
    <row r="2966" spans="1:19" x14ac:dyDescent="0.2">
      <c r="A2966" t="s">
        <v>3577</v>
      </c>
      <c r="B2966" t="s">
        <v>83</v>
      </c>
      <c r="C2966" t="s">
        <v>607</v>
      </c>
      <c r="D2966">
        <v>3843.61</v>
      </c>
      <c r="E2966" s="37" t="str">
        <f t="shared" si="230"/>
        <v xml:space="preserve"> </v>
      </c>
      <c r="F2966">
        <v>0.31</v>
      </c>
      <c r="G2966" s="37" t="str">
        <f t="shared" si="231"/>
        <v>Heavy Discount</v>
      </c>
      <c r="H2966" s="37" t="str">
        <f t="shared" si="232"/>
        <v>Medium</v>
      </c>
      <c r="I2966">
        <v>3</v>
      </c>
      <c r="J2966" t="str" cm="1">
        <f t="array" ref="J2966">_xlfn.IFS(I2966&lt;=3,"small",I2966&lt;=6,"Medium",I2966&lt;=9,"Large")</f>
        <v>small</v>
      </c>
      <c r="K2966" s="36">
        <v>44969</v>
      </c>
      <c r="L2966" s="36">
        <v>44971</v>
      </c>
      <c r="M2966" t="s">
        <v>603</v>
      </c>
      <c r="N2966" t="s">
        <v>599</v>
      </c>
      <c r="O2966" s="37" t="str">
        <f t="shared" si="233"/>
        <v>Digital Payment</v>
      </c>
      <c r="P2966">
        <v>357.48</v>
      </c>
      <c r="Q2966" s="37" t="str">
        <f>IF(P2966&gt;500,"High","low")</f>
        <v>low</v>
      </c>
      <c r="R2966" s="37" t="str">
        <f t="shared" si="234"/>
        <v>AVERAGE</v>
      </c>
      <c r="S2966" t="s">
        <v>620</v>
      </c>
    </row>
    <row r="2967" spans="1:19" x14ac:dyDescent="0.2">
      <c r="A2967" t="s">
        <v>3578</v>
      </c>
      <c r="B2967" t="s">
        <v>90</v>
      </c>
      <c r="C2967" t="s">
        <v>614</v>
      </c>
      <c r="D2967">
        <v>655.57</v>
      </c>
      <c r="E2967" s="37" t="str">
        <f t="shared" si="230"/>
        <v xml:space="preserve"> </v>
      </c>
      <c r="F2967">
        <v>0.09</v>
      </c>
      <c r="G2967" s="37" t="str">
        <f t="shared" si="231"/>
        <v>Normal Discount</v>
      </c>
      <c r="H2967" s="37" t="str">
        <f t="shared" si="232"/>
        <v>Low</v>
      </c>
      <c r="I2967">
        <v>6</v>
      </c>
      <c r="J2967" t="str" cm="1">
        <f t="array" ref="J2967">_xlfn.IFS(I2967&lt;=3,"small",I2967&lt;=6,"Medium",I2967&lt;=9,"Large")</f>
        <v>Medium</v>
      </c>
      <c r="K2967" s="36">
        <v>45165</v>
      </c>
      <c r="L2967" s="36">
        <v>45166</v>
      </c>
      <c r="M2967" t="s">
        <v>612</v>
      </c>
      <c r="N2967" t="s">
        <v>604</v>
      </c>
      <c r="O2967" s="37" t="str">
        <f t="shared" si="233"/>
        <v>Digital Payment</v>
      </c>
      <c r="P2967">
        <v>151.77000000000001</v>
      </c>
      <c r="Q2967" s="37" t="str">
        <f>IF(P2967&gt;500,"High","low")</f>
        <v>low</v>
      </c>
      <c r="R2967" s="37" t="str">
        <f t="shared" si="234"/>
        <v>AVERAGE</v>
      </c>
      <c r="S2967" t="s">
        <v>620</v>
      </c>
    </row>
    <row r="2968" spans="1:19" x14ac:dyDescent="0.2">
      <c r="A2968" t="s">
        <v>3579</v>
      </c>
      <c r="B2968" t="s">
        <v>75</v>
      </c>
      <c r="C2968" t="s">
        <v>617</v>
      </c>
      <c r="D2968">
        <v>1139.77</v>
      </c>
      <c r="E2968" s="37" t="str">
        <f t="shared" si="230"/>
        <v xml:space="preserve"> </v>
      </c>
      <c r="F2968">
        <v>0.27</v>
      </c>
      <c r="G2968" s="37" t="str">
        <f t="shared" si="231"/>
        <v>Normal Discount</v>
      </c>
      <c r="H2968" s="37" t="str">
        <f t="shared" si="232"/>
        <v>Medium</v>
      </c>
      <c r="I2968">
        <v>7</v>
      </c>
      <c r="J2968" t="str" cm="1">
        <f t="array" ref="J2968">_xlfn.IFS(I2968&lt;=3,"small",I2968&lt;=6,"Medium",I2968&lt;=9,"Large")</f>
        <v>Large</v>
      </c>
      <c r="K2968" s="36">
        <v>45201</v>
      </c>
      <c r="L2968" s="36">
        <v>45203</v>
      </c>
      <c r="M2968" t="s">
        <v>612</v>
      </c>
      <c r="N2968" t="s">
        <v>599</v>
      </c>
      <c r="O2968" s="37" t="str">
        <f t="shared" si="233"/>
        <v>Digital Payment</v>
      </c>
      <c r="P2968">
        <v>143.07</v>
      </c>
      <c r="Q2968" s="37" t="str">
        <f>IF(P2968&gt;500,"High","low")</f>
        <v>low</v>
      </c>
      <c r="R2968" s="37" t="str">
        <f t="shared" si="234"/>
        <v>AVERAGE</v>
      </c>
      <c r="S2968" t="s">
        <v>600</v>
      </c>
    </row>
    <row r="2969" spans="1:19" x14ac:dyDescent="0.2">
      <c r="A2969" t="s">
        <v>3580</v>
      </c>
      <c r="B2969" t="s">
        <v>75</v>
      </c>
      <c r="C2969" t="s">
        <v>607</v>
      </c>
      <c r="D2969">
        <v>3144.64</v>
      </c>
      <c r="E2969" s="37" t="str">
        <f t="shared" si="230"/>
        <v xml:space="preserve"> </v>
      </c>
      <c r="F2969">
        <v>0.14000000000000001</v>
      </c>
      <c r="G2969" s="37" t="str">
        <f t="shared" si="231"/>
        <v>Normal Discount</v>
      </c>
      <c r="H2969" s="37" t="str">
        <f t="shared" si="232"/>
        <v>Low</v>
      </c>
      <c r="I2969">
        <v>6</v>
      </c>
      <c r="J2969" t="str" cm="1">
        <f t="array" ref="J2969">_xlfn.IFS(I2969&lt;=3,"small",I2969&lt;=6,"Medium",I2969&lt;=9,"Large")</f>
        <v>Medium</v>
      </c>
      <c r="K2969" s="36">
        <v>45023</v>
      </c>
      <c r="L2969" s="36">
        <v>45025</v>
      </c>
      <c r="M2969" t="s">
        <v>598</v>
      </c>
      <c r="N2969" t="s">
        <v>604</v>
      </c>
      <c r="O2969" s="37" t="str">
        <f t="shared" si="233"/>
        <v>Digital Payment</v>
      </c>
      <c r="P2969">
        <v>865.82</v>
      </c>
      <c r="Q2969" s="37" t="str">
        <f>IF(P2969&gt;500,"High","low")</f>
        <v>High</v>
      </c>
      <c r="R2969" s="37" t="str">
        <f t="shared" si="234"/>
        <v>Good</v>
      </c>
      <c r="S2969" t="s">
        <v>620</v>
      </c>
    </row>
    <row r="2970" spans="1:19" x14ac:dyDescent="0.2">
      <c r="A2970" t="s">
        <v>3581</v>
      </c>
      <c r="B2970" t="s">
        <v>90</v>
      </c>
      <c r="C2970" t="s">
        <v>597</v>
      </c>
      <c r="D2970">
        <v>2155.14</v>
      </c>
      <c r="E2970" s="37" t="str">
        <f t="shared" si="230"/>
        <v xml:space="preserve"> </v>
      </c>
      <c r="F2970">
        <v>0.28999999999999998</v>
      </c>
      <c r="G2970" s="37" t="str">
        <f t="shared" si="231"/>
        <v>Normal Discount</v>
      </c>
      <c r="H2970" s="37" t="str">
        <f t="shared" si="232"/>
        <v>Medium</v>
      </c>
      <c r="I2970">
        <v>6</v>
      </c>
      <c r="J2970" t="str" cm="1">
        <f t="array" ref="J2970">_xlfn.IFS(I2970&lt;=3,"small",I2970&lt;=6,"Medium",I2970&lt;=9,"Large")</f>
        <v>Medium</v>
      </c>
      <c r="K2970" s="36">
        <v>44941</v>
      </c>
      <c r="L2970" s="36">
        <v>44946</v>
      </c>
      <c r="M2970" t="s">
        <v>603</v>
      </c>
      <c r="N2970" t="s">
        <v>604</v>
      </c>
      <c r="O2970" s="37" t="str">
        <f t="shared" si="233"/>
        <v>Digital Payment</v>
      </c>
      <c r="P2970">
        <v>442.96</v>
      </c>
      <c r="Q2970" s="37" t="str">
        <f>IF(P2970&gt;500,"High","low")</f>
        <v>low</v>
      </c>
      <c r="R2970" s="37" t="str">
        <f t="shared" si="234"/>
        <v>AVERAGE</v>
      </c>
      <c r="S2970" t="s">
        <v>609</v>
      </c>
    </row>
    <row r="2971" spans="1:19" x14ac:dyDescent="0.2">
      <c r="A2971" t="s">
        <v>3582</v>
      </c>
      <c r="B2971" t="s">
        <v>75</v>
      </c>
      <c r="C2971" t="s">
        <v>617</v>
      </c>
      <c r="D2971">
        <v>2570.4499999999998</v>
      </c>
      <c r="E2971" s="37" t="str">
        <f t="shared" si="230"/>
        <v xml:space="preserve"> </v>
      </c>
      <c r="F2971">
        <v>0.06</v>
      </c>
      <c r="G2971" s="37" t="str">
        <f t="shared" si="231"/>
        <v>Normal Discount</v>
      </c>
      <c r="H2971" s="37" t="str">
        <f t="shared" si="232"/>
        <v>Low</v>
      </c>
      <c r="I2971">
        <v>9</v>
      </c>
      <c r="J2971" t="str" cm="1">
        <f t="array" ref="J2971">_xlfn.IFS(I2971&lt;=3,"small",I2971&lt;=6,"Medium",I2971&lt;=9,"Large")</f>
        <v>Large</v>
      </c>
      <c r="K2971" s="36">
        <v>45235</v>
      </c>
      <c r="L2971" s="36">
        <v>45242</v>
      </c>
      <c r="M2971" t="s">
        <v>612</v>
      </c>
      <c r="N2971" t="s">
        <v>608</v>
      </c>
      <c r="O2971" s="37" t="str">
        <f t="shared" si="233"/>
        <v>Cash Payment</v>
      </c>
      <c r="P2971">
        <v>562.14</v>
      </c>
      <c r="Q2971" s="37" t="str">
        <f>IF(P2971&gt;500,"High","low")</f>
        <v>High</v>
      </c>
      <c r="R2971" s="37" t="str">
        <f t="shared" si="234"/>
        <v>Good</v>
      </c>
      <c r="S2971" t="s">
        <v>609</v>
      </c>
    </row>
    <row r="2972" spans="1:19" x14ac:dyDescent="0.2">
      <c r="A2972" t="s">
        <v>3583</v>
      </c>
      <c r="B2972" t="s">
        <v>67</v>
      </c>
      <c r="C2972" t="s">
        <v>617</v>
      </c>
      <c r="D2972">
        <v>4762.5600000000004</v>
      </c>
      <c r="E2972" s="37" t="str">
        <f t="shared" si="230"/>
        <v>Excellent Order</v>
      </c>
      <c r="F2972">
        <v>0.12</v>
      </c>
      <c r="G2972" s="37" t="str">
        <f t="shared" si="231"/>
        <v>Normal Discount</v>
      </c>
      <c r="H2972" s="37" t="str">
        <f t="shared" si="232"/>
        <v>Low</v>
      </c>
      <c r="I2972">
        <v>4</v>
      </c>
      <c r="J2972" t="str" cm="1">
        <f t="array" ref="J2972">_xlfn.IFS(I2972&lt;=3,"small",I2972&lt;=6,"Medium",I2972&lt;=9,"Large")</f>
        <v>Medium</v>
      </c>
      <c r="K2972" s="36">
        <v>45155</v>
      </c>
      <c r="L2972" s="36">
        <v>45156</v>
      </c>
      <c r="M2972" t="s">
        <v>603</v>
      </c>
      <c r="N2972" t="s">
        <v>608</v>
      </c>
      <c r="O2972" s="37" t="str">
        <f t="shared" si="233"/>
        <v>Cash Payment</v>
      </c>
      <c r="P2972">
        <v>863.56</v>
      </c>
      <c r="Q2972" s="37" t="str">
        <f>IF(P2972&gt;500,"High","low")</f>
        <v>High</v>
      </c>
      <c r="R2972" s="37" t="str">
        <f t="shared" si="234"/>
        <v>Good</v>
      </c>
      <c r="S2972" t="s">
        <v>605</v>
      </c>
    </row>
    <row r="2973" spans="1:19" x14ac:dyDescent="0.2">
      <c r="A2973" t="s">
        <v>3584</v>
      </c>
      <c r="B2973" t="s">
        <v>83</v>
      </c>
      <c r="C2973" t="s">
        <v>607</v>
      </c>
      <c r="D2973">
        <v>2159.15</v>
      </c>
      <c r="E2973" s="37" t="str">
        <f t="shared" si="230"/>
        <v xml:space="preserve"> </v>
      </c>
      <c r="F2973">
        <v>0.4</v>
      </c>
      <c r="G2973" s="37" t="str">
        <f t="shared" si="231"/>
        <v>Heavy Discount</v>
      </c>
      <c r="H2973" s="37" t="str">
        <f t="shared" si="232"/>
        <v>Medium</v>
      </c>
      <c r="I2973">
        <v>5</v>
      </c>
      <c r="J2973" t="str" cm="1">
        <f t="array" ref="J2973">_xlfn.IFS(I2973&lt;=3,"small",I2973&lt;=6,"Medium",I2973&lt;=9,"Large")</f>
        <v>Medium</v>
      </c>
      <c r="K2973" s="36">
        <v>45458</v>
      </c>
      <c r="L2973" s="36">
        <v>45464</v>
      </c>
      <c r="M2973" t="s">
        <v>603</v>
      </c>
      <c r="N2973" t="s">
        <v>608</v>
      </c>
      <c r="O2973" s="37" t="str">
        <f t="shared" si="233"/>
        <v>Cash Payment</v>
      </c>
      <c r="P2973">
        <v>608.39</v>
      </c>
      <c r="Q2973" s="37" t="str">
        <f>IF(P2973&gt;500,"High","low")</f>
        <v>High</v>
      </c>
      <c r="R2973" s="37" t="str">
        <f t="shared" si="234"/>
        <v>Good</v>
      </c>
      <c r="S2973" t="s">
        <v>620</v>
      </c>
    </row>
    <row r="2974" spans="1:19" x14ac:dyDescent="0.2">
      <c r="A2974" t="s">
        <v>3585</v>
      </c>
      <c r="B2974" t="s">
        <v>90</v>
      </c>
      <c r="C2974" t="s">
        <v>607</v>
      </c>
      <c r="D2974">
        <v>4420.24</v>
      </c>
      <c r="E2974" s="37" t="str">
        <f t="shared" si="230"/>
        <v xml:space="preserve"> </v>
      </c>
      <c r="F2974">
        <v>0.2</v>
      </c>
      <c r="G2974" s="37" t="str">
        <f t="shared" si="231"/>
        <v>Normal Discount</v>
      </c>
      <c r="H2974" s="37" t="str">
        <f t="shared" si="232"/>
        <v>Medium</v>
      </c>
      <c r="I2974">
        <v>1</v>
      </c>
      <c r="J2974" t="str" cm="1">
        <f t="array" ref="J2974">_xlfn.IFS(I2974&lt;=3,"small",I2974&lt;=6,"Medium",I2974&lt;=9,"Large")</f>
        <v>small</v>
      </c>
      <c r="K2974" s="36">
        <v>45571</v>
      </c>
      <c r="L2974" s="36">
        <v>45576</v>
      </c>
      <c r="M2974" t="s">
        <v>612</v>
      </c>
      <c r="N2974" t="s">
        <v>608</v>
      </c>
      <c r="O2974" s="37" t="str">
        <f t="shared" si="233"/>
        <v>Cash Payment</v>
      </c>
      <c r="P2974">
        <v>395.38</v>
      </c>
      <c r="Q2974" s="37" t="str">
        <f>IF(P2974&gt;500,"High","low")</f>
        <v>low</v>
      </c>
      <c r="R2974" s="37" t="str">
        <f t="shared" si="234"/>
        <v>AVERAGE</v>
      </c>
      <c r="S2974" t="s">
        <v>628</v>
      </c>
    </row>
    <row r="2975" spans="1:19" x14ac:dyDescent="0.2">
      <c r="A2975" t="s">
        <v>3586</v>
      </c>
      <c r="B2975" t="s">
        <v>90</v>
      </c>
      <c r="C2975" t="s">
        <v>602</v>
      </c>
      <c r="D2975">
        <v>3337.65</v>
      </c>
      <c r="E2975" s="37" t="str">
        <f t="shared" si="230"/>
        <v xml:space="preserve"> </v>
      </c>
      <c r="F2975">
        <v>0.34</v>
      </c>
      <c r="G2975" s="37" t="str">
        <f t="shared" si="231"/>
        <v>Heavy Discount</v>
      </c>
      <c r="H2975" s="37" t="str">
        <f t="shared" si="232"/>
        <v>Medium</v>
      </c>
      <c r="I2975">
        <v>4</v>
      </c>
      <c r="J2975" t="str" cm="1">
        <f t="array" ref="J2975">_xlfn.IFS(I2975&lt;=3,"small",I2975&lt;=6,"Medium",I2975&lt;=9,"Large")</f>
        <v>Medium</v>
      </c>
      <c r="K2975" s="36">
        <v>45358</v>
      </c>
      <c r="L2975" s="36">
        <v>45364</v>
      </c>
      <c r="M2975" t="s">
        <v>603</v>
      </c>
      <c r="N2975" t="s">
        <v>599</v>
      </c>
      <c r="O2975" s="37" t="str">
        <f t="shared" si="233"/>
        <v>Digital Payment</v>
      </c>
      <c r="P2975">
        <v>405.82</v>
      </c>
      <c r="Q2975" s="37" t="str">
        <f>IF(P2975&gt;500,"High","low")</f>
        <v>low</v>
      </c>
      <c r="R2975" s="37" t="str">
        <f t="shared" si="234"/>
        <v>AVERAGE</v>
      </c>
      <c r="S2975" t="s">
        <v>620</v>
      </c>
    </row>
    <row r="2976" spans="1:19" x14ac:dyDescent="0.2">
      <c r="A2976" t="s">
        <v>3587</v>
      </c>
      <c r="B2976" t="s">
        <v>75</v>
      </c>
      <c r="C2976" t="s">
        <v>602</v>
      </c>
      <c r="D2976">
        <v>695.94</v>
      </c>
      <c r="E2976" s="37" t="str">
        <f t="shared" si="230"/>
        <v xml:space="preserve"> </v>
      </c>
      <c r="F2976">
        <v>0.25</v>
      </c>
      <c r="G2976" s="37" t="str">
        <f t="shared" si="231"/>
        <v>Normal Discount</v>
      </c>
      <c r="H2976" s="37" t="str">
        <f t="shared" si="232"/>
        <v>Medium</v>
      </c>
      <c r="I2976">
        <v>6</v>
      </c>
      <c r="J2976" t="str" cm="1">
        <f t="array" ref="J2976">_xlfn.IFS(I2976&lt;=3,"small",I2976&lt;=6,"Medium",I2976&lt;=9,"Large")</f>
        <v>Medium</v>
      </c>
      <c r="K2976" s="36">
        <v>45566</v>
      </c>
      <c r="L2976" s="36">
        <v>45567</v>
      </c>
      <c r="M2976" t="s">
        <v>598</v>
      </c>
      <c r="N2976" t="s">
        <v>608</v>
      </c>
      <c r="O2976" s="37" t="str">
        <f t="shared" si="233"/>
        <v>Cash Payment</v>
      </c>
      <c r="P2976">
        <v>192.18</v>
      </c>
      <c r="Q2976" s="37" t="str">
        <f>IF(P2976&gt;500,"High","low")</f>
        <v>low</v>
      </c>
      <c r="R2976" s="37" t="str">
        <f t="shared" si="234"/>
        <v>AVERAGE</v>
      </c>
      <c r="S2976" t="s">
        <v>609</v>
      </c>
    </row>
    <row r="2977" spans="1:19" x14ac:dyDescent="0.2">
      <c r="A2977" t="s">
        <v>3588</v>
      </c>
      <c r="B2977" t="s">
        <v>90</v>
      </c>
      <c r="C2977" t="s">
        <v>617</v>
      </c>
      <c r="D2977">
        <v>3748.08</v>
      </c>
      <c r="E2977" s="37" t="str">
        <f t="shared" si="230"/>
        <v xml:space="preserve"> </v>
      </c>
      <c r="F2977">
        <v>0.17</v>
      </c>
      <c r="G2977" s="37" t="str">
        <f t="shared" si="231"/>
        <v>Normal Discount</v>
      </c>
      <c r="H2977" s="37" t="str">
        <f t="shared" si="232"/>
        <v>Low</v>
      </c>
      <c r="I2977">
        <v>7</v>
      </c>
      <c r="J2977" t="str" cm="1">
        <f t="array" ref="J2977">_xlfn.IFS(I2977&lt;=3,"small",I2977&lt;=6,"Medium",I2977&lt;=9,"Large")</f>
        <v>Large</v>
      </c>
      <c r="K2977" s="36">
        <v>45550</v>
      </c>
      <c r="L2977" s="36">
        <v>45552</v>
      </c>
      <c r="M2977" t="s">
        <v>598</v>
      </c>
      <c r="N2977" t="s">
        <v>608</v>
      </c>
      <c r="O2977" s="37" t="str">
        <f t="shared" si="233"/>
        <v>Cash Payment</v>
      </c>
      <c r="P2977">
        <v>1114.1099999999999</v>
      </c>
      <c r="Q2977" s="37" t="str">
        <f>IF(P2977&gt;500,"High","low")</f>
        <v>High</v>
      </c>
      <c r="R2977" s="37" t="str">
        <f t="shared" si="234"/>
        <v>Excellent</v>
      </c>
      <c r="S2977" t="s">
        <v>605</v>
      </c>
    </row>
    <row r="2978" spans="1:19" x14ac:dyDescent="0.2">
      <c r="A2978" t="s">
        <v>3589</v>
      </c>
      <c r="B2978" t="s">
        <v>67</v>
      </c>
      <c r="C2978" t="s">
        <v>602</v>
      </c>
      <c r="D2978">
        <v>2649.02</v>
      </c>
      <c r="E2978" s="37" t="str">
        <f t="shared" si="230"/>
        <v xml:space="preserve"> </v>
      </c>
      <c r="F2978">
        <v>0.25</v>
      </c>
      <c r="G2978" s="37" t="str">
        <f t="shared" si="231"/>
        <v>Normal Discount</v>
      </c>
      <c r="H2978" s="37" t="str">
        <f t="shared" si="232"/>
        <v>Medium</v>
      </c>
      <c r="I2978">
        <v>2</v>
      </c>
      <c r="J2978" t="str" cm="1">
        <f t="array" ref="J2978">_xlfn.IFS(I2978&lt;=3,"small",I2978&lt;=6,"Medium",I2978&lt;=9,"Large")</f>
        <v>small</v>
      </c>
      <c r="K2978" s="36">
        <v>45609</v>
      </c>
      <c r="L2978" s="36">
        <v>45613</v>
      </c>
      <c r="M2978" t="s">
        <v>603</v>
      </c>
      <c r="N2978" t="s">
        <v>599</v>
      </c>
      <c r="O2978" s="37" t="str">
        <f t="shared" si="233"/>
        <v>Digital Payment</v>
      </c>
      <c r="P2978">
        <v>642.6</v>
      </c>
      <c r="Q2978" s="37" t="str">
        <f>IF(P2978&gt;500,"High","low")</f>
        <v>High</v>
      </c>
      <c r="R2978" s="37" t="str">
        <f t="shared" si="234"/>
        <v>Good</v>
      </c>
      <c r="S2978" t="s">
        <v>620</v>
      </c>
    </row>
    <row r="2979" spans="1:19" x14ac:dyDescent="0.2">
      <c r="A2979" t="s">
        <v>3590</v>
      </c>
      <c r="B2979" t="s">
        <v>75</v>
      </c>
      <c r="C2979" t="s">
        <v>597</v>
      </c>
      <c r="D2979">
        <v>1202.98</v>
      </c>
      <c r="E2979" s="37" t="str">
        <f t="shared" si="230"/>
        <v xml:space="preserve"> </v>
      </c>
      <c r="F2979">
        <v>0.41</v>
      </c>
      <c r="G2979" s="37" t="str">
        <f t="shared" si="231"/>
        <v>Heavy Discount</v>
      </c>
      <c r="H2979" s="37" t="str">
        <f t="shared" si="232"/>
        <v>High</v>
      </c>
      <c r="I2979">
        <v>6</v>
      </c>
      <c r="J2979" t="str" cm="1">
        <f t="array" ref="J2979">_xlfn.IFS(I2979&lt;=3,"small",I2979&lt;=6,"Medium",I2979&lt;=9,"Large")</f>
        <v>Medium</v>
      </c>
      <c r="K2979" s="36">
        <v>45618</v>
      </c>
      <c r="L2979" s="36">
        <v>45625</v>
      </c>
      <c r="M2979" t="s">
        <v>598</v>
      </c>
      <c r="N2979" t="s">
        <v>608</v>
      </c>
      <c r="O2979" s="37" t="str">
        <f t="shared" si="233"/>
        <v>Cash Payment</v>
      </c>
      <c r="P2979">
        <v>124.06</v>
      </c>
      <c r="Q2979" s="37" t="str">
        <f>IF(P2979&gt;500,"High","low")</f>
        <v>low</v>
      </c>
      <c r="R2979" s="37" t="str">
        <f t="shared" si="234"/>
        <v>AVERAGE</v>
      </c>
      <c r="S2979" t="s">
        <v>620</v>
      </c>
    </row>
    <row r="2980" spans="1:19" x14ac:dyDescent="0.2">
      <c r="A2980" t="s">
        <v>3591</v>
      </c>
      <c r="B2980" t="s">
        <v>75</v>
      </c>
      <c r="C2980" t="s">
        <v>614</v>
      </c>
      <c r="D2980">
        <v>1518.79</v>
      </c>
      <c r="E2980" s="37" t="str">
        <f t="shared" si="230"/>
        <v xml:space="preserve"> </v>
      </c>
      <c r="F2980">
        <v>0.14000000000000001</v>
      </c>
      <c r="G2980" s="37" t="str">
        <f t="shared" si="231"/>
        <v>Normal Discount</v>
      </c>
      <c r="H2980" s="37" t="str">
        <f t="shared" si="232"/>
        <v>Low</v>
      </c>
      <c r="I2980">
        <v>3</v>
      </c>
      <c r="J2980" t="str" cm="1">
        <f t="array" ref="J2980">_xlfn.IFS(I2980&lt;=3,"small",I2980&lt;=6,"Medium",I2980&lt;=9,"Large")</f>
        <v>small</v>
      </c>
      <c r="K2980" s="36">
        <v>45331</v>
      </c>
      <c r="L2980" s="36">
        <v>45336</v>
      </c>
      <c r="M2980" t="s">
        <v>603</v>
      </c>
      <c r="N2980" t="s">
        <v>608</v>
      </c>
      <c r="O2980" s="37" t="str">
        <f t="shared" si="233"/>
        <v>Cash Payment</v>
      </c>
      <c r="P2980">
        <v>420.82</v>
      </c>
      <c r="Q2980" s="37" t="str">
        <f>IF(P2980&gt;500,"High","low")</f>
        <v>low</v>
      </c>
      <c r="R2980" s="37" t="str">
        <f t="shared" si="234"/>
        <v>AVERAGE</v>
      </c>
      <c r="S2980" t="s">
        <v>609</v>
      </c>
    </row>
    <row r="2981" spans="1:19" x14ac:dyDescent="0.2">
      <c r="A2981" t="s">
        <v>3592</v>
      </c>
      <c r="B2981" t="s">
        <v>75</v>
      </c>
      <c r="C2981" t="s">
        <v>617</v>
      </c>
      <c r="D2981">
        <v>2830.93</v>
      </c>
      <c r="E2981" s="37" t="str">
        <f t="shared" si="230"/>
        <v xml:space="preserve"> </v>
      </c>
      <c r="F2981">
        <v>0.21</v>
      </c>
      <c r="G2981" s="37" t="str">
        <f t="shared" si="231"/>
        <v>Normal Discount</v>
      </c>
      <c r="H2981" s="37" t="str">
        <f t="shared" si="232"/>
        <v>Medium</v>
      </c>
      <c r="I2981">
        <v>7</v>
      </c>
      <c r="J2981" t="str" cm="1">
        <f t="array" ref="J2981">_xlfn.IFS(I2981&lt;=3,"small",I2981&lt;=6,"Medium",I2981&lt;=9,"Large")</f>
        <v>Large</v>
      </c>
      <c r="K2981" s="36">
        <v>45635</v>
      </c>
      <c r="L2981" s="36">
        <v>45636</v>
      </c>
      <c r="M2981" t="s">
        <v>598</v>
      </c>
      <c r="N2981" t="s">
        <v>599</v>
      </c>
      <c r="O2981" s="37" t="str">
        <f t="shared" si="233"/>
        <v>Digital Payment</v>
      </c>
      <c r="P2981">
        <v>260.31</v>
      </c>
      <c r="Q2981" s="37" t="str">
        <f>IF(P2981&gt;500,"High","low")</f>
        <v>low</v>
      </c>
      <c r="R2981" s="37" t="str">
        <f t="shared" si="234"/>
        <v>AVERAGE</v>
      </c>
      <c r="S2981" t="s">
        <v>620</v>
      </c>
    </row>
    <row r="2982" spans="1:19" x14ac:dyDescent="0.2">
      <c r="A2982" t="s">
        <v>3593</v>
      </c>
      <c r="B2982" t="s">
        <v>75</v>
      </c>
      <c r="C2982" t="s">
        <v>614</v>
      </c>
      <c r="D2982">
        <v>3048.34</v>
      </c>
      <c r="E2982" s="37" t="str">
        <f t="shared" si="230"/>
        <v xml:space="preserve"> </v>
      </c>
      <c r="F2982">
        <v>0.1</v>
      </c>
      <c r="G2982" s="37" t="str">
        <f t="shared" si="231"/>
        <v>Normal Discount</v>
      </c>
      <c r="H2982" s="37" t="str">
        <f t="shared" si="232"/>
        <v>Low</v>
      </c>
      <c r="I2982">
        <v>9</v>
      </c>
      <c r="J2982" t="str" cm="1">
        <f t="array" ref="J2982">_xlfn.IFS(I2982&lt;=3,"small",I2982&lt;=6,"Medium",I2982&lt;=9,"Large")</f>
        <v>Large</v>
      </c>
      <c r="K2982" s="36">
        <v>45323</v>
      </c>
      <c r="L2982" s="36">
        <v>45328</v>
      </c>
      <c r="M2982" t="s">
        <v>603</v>
      </c>
      <c r="N2982" t="s">
        <v>604</v>
      </c>
      <c r="O2982" s="37" t="str">
        <f t="shared" si="233"/>
        <v>Digital Payment</v>
      </c>
      <c r="P2982">
        <v>819.18</v>
      </c>
      <c r="Q2982" s="37" t="str">
        <f>IF(P2982&gt;500,"High","low")</f>
        <v>High</v>
      </c>
      <c r="R2982" s="37" t="str">
        <f t="shared" si="234"/>
        <v>Good</v>
      </c>
      <c r="S2982" t="s">
        <v>615</v>
      </c>
    </row>
    <row r="2983" spans="1:19" x14ac:dyDescent="0.2">
      <c r="A2983" t="s">
        <v>3594</v>
      </c>
      <c r="B2983" t="s">
        <v>67</v>
      </c>
      <c r="C2983" t="s">
        <v>602</v>
      </c>
      <c r="D2983">
        <v>4844.0600000000004</v>
      </c>
      <c r="E2983" s="37" t="str">
        <f t="shared" si="230"/>
        <v xml:space="preserve"> </v>
      </c>
      <c r="F2983">
        <v>0.18</v>
      </c>
      <c r="G2983" s="37" t="str">
        <f t="shared" si="231"/>
        <v>Normal Discount</v>
      </c>
      <c r="H2983" s="37" t="str">
        <f t="shared" si="232"/>
        <v>Low</v>
      </c>
      <c r="I2983">
        <v>4</v>
      </c>
      <c r="J2983" t="str" cm="1">
        <f t="array" ref="J2983">_xlfn.IFS(I2983&lt;=3,"small",I2983&lt;=6,"Medium",I2983&lt;=9,"Large")</f>
        <v>Medium</v>
      </c>
      <c r="K2983" s="36">
        <v>45184</v>
      </c>
      <c r="L2983" s="36">
        <v>45191</v>
      </c>
      <c r="M2983" t="s">
        <v>598</v>
      </c>
      <c r="N2983" t="s">
        <v>599</v>
      </c>
      <c r="O2983" s="37" t="str">
        <f t="shared" si="233"/>
        <v>Digital Payment</v>
      </c>
      <c r="P2983">
        <v>706.1</v>
      </c>
      <c r="Q2983" s="37" t="str">
        <f>IF(P2983&gt;500,"High","low")</f>
        <v>High</v>
      </c>
      <c r="R2983" s="37" t="str">
        <f t="shared" si="234"/>
        <v>Good</v>
      </c>
      <c r="S2983" t="s">
        <v>605</v>
      </c>
    </row>
    <row r="2984" spans="1:19" x14ac:dyDescent="0.2">
      <c r="A2984" t="s">
        <v>3595</v>
      </c>
      <c r="B2984" t="s">
        <v>75</v>
      </c>
      <c r="C2984" t="s">
        <v>607</v>
      </c>
      <c r="D2984">
        <v>4288.13</v>
      </c>
      <c r="E2984" s="37" t="str">
        <f t="shared" si="230"/>
        <v xml:space="preserve"> </v>
      </c>
      <c r="F2984">
        <v>0.44</v>
      </c>
      <c r="G2984" s="37" t="str">
        <f t="shared" si="231"/>
        <v>Heavy Discount</v>
      </c>
      <c r="H2984" s="37" t="str">
        <f t="shared" si="232"/>
        <v>High</v>
      </c>
      <c r="I2984">
        <v>8</v>
      </c>
      <c r="J2984" t="str" cm="1">
        <f t="array" ref="J2984">_xlfn.IFS(I2984&lt;=3,"small",I2984&lt;=6,"Medium",I2984&lt;=9,"Large")</f>
        <v>Large</v>
      </c>
      <c r="K2984" s="36">
        <v>45290</v>
      </c>
      <c r="L2984" s="36">
        <v>45291</v>
      </c>
      <c r="M2984" t="s">
        <v>598</v>
      </c>
      <c r="N2984" t="s">
        <v>604</v>
      </c>
      <c r="O2984" s="37" t="str">
        <f t="shared" si="233"/>
        <v>Digital Payment</v>
      </c>
      <c r="P2984">
        <v>265.85000000000002</v>
      </c>
      <c r="Q2984" s="37" t="str">
        <f>IF(P2984&gt;500,"High","low")</f>
        <v>low</v>
      </c>
      <c r="R2984" s="37" t="str">
        <f t="shared" si="234"/>
        <v>AVERAGE</v>
      </c>
      <c r="S2984" t="s">
        <v>620</v>
      </c>
    </row>
    <row r="2985" spans="1:19" x14ac:dyDescent="0.2">
      <c r="A2985" t="s">
        <v>3596</v>
      </c>
      <c r="B2985" t="s">
        <v>90</v>
      </c>
      <c r="C2985" t="s">
        <v>617</v>
      </c>
      <c r="D2985">
        <v>1108.6099999999999</v>
      </c>
      <c r="E2985" s="37" t="str">
        <f t="shared" si="230"/>
        <v xml:space="preserve"> </v>
      </c>
      <c r="F2985">
        <v>0.39</v>
      </c>
      <c r="G2985" s="37" t="str">
        <f t="shared" si="231"/>
        <v>Heavy Discount</v>
      </c>
      <c r="H2985" s="37" t="str">
        <f t="shared" si="232"/>
        <v>Medium</v>
      </c>
      <c r="I2985">
        <v>6</v>
      </c>
      <c r="J2985" t="str" cm="1">
        <f t="array" ref="J2985">_xlfn.IFS(I2985&lt;=3,"small",I2985&lt;=6,"Medium",I2985&lt;=9,"Large")</f>
        <v>Medium</v>
      </c>
      <c r="K2985" s="36">
        <v>45060</v>
      </c>
      <c r="L2985" s="36">
        <v>45065</v>
      </c>
      <c r="M2985" t="s">
        <v>612</v>
      </c>
      <c r="N2985" t="s">
        <v>604</v>
      </c>
      <c r="O2985" s="37" t="str">
        <f t="shared" si="233"/>
        <v>Digital Payment</v>
      </c>
      <c r="P2985">
        <v>224.99</v>
      </c>
      <c r="Q2985" s="37" t="str">
        <f>IF(P2985&gt;500,"High","low")</f>
        <v>low</v>
      </c>
      <c r="R2985" s="37" t="str">
        <f t="shared" si="234"/>
        <v>AVERAGE</v>
      </c>
      <c r="S2985" t="s">
        <v>628</v>
      </c>
    </row>
    <row r="2986" spans="1:19" x14ac:dyDescent="0.2">
      <c r="A2986" t="s">
        <v>3597</v>
      </c>
      <c r="B2986" t="s">
        <v>67</v>
      </c>
      <c r="C2986" t="s">
        <v>602</v>
      </c>
      <c r="D2986">
        <v>3892.56</v>
      </c>
      <c r="E2986" s="37" t="str">
        <f t="shared" si="230"/>
        <v xml:space="preserve"> </v>
      </c>
      <c r="F2986">
        <v>0.19</v>
      </c>
      <c r="G2986" s="37" t="str">
        <f t="shared" si="231"/>
        <v>Normal Discount</v>
      </c>
      <c r="H2986" s="37" t="str">
        <f t="shared" si="232"/>
        <v>Low</v>
      </c>
      <c r="I2986">
        <v>3</v>
      </c>
      <c r="J2986" t="str" cm="1">
        <f t="array" ref="J2986">_xlfn.IFS(I2986&lt;=3,"small",I2986&lt;=6,"Medium",I2986&lt;=9,"Large")</f>
        <v>small</v>
      </c>
      <c r="K2986" s="36">
        <v>45019</v>
      </c>
      <c r="L2986" s="36">
        <v>45023</v>
      </c>
      <c r="M2986" t="s">
        <v>603</v>
      </c>
      <c r="N2986" t="s">
        <v>599</v>
      </c>
      <c r="O2986" s="37" t="str">
        <f t="shared" si="233"/>
        <v>Digital Payment</v>
      </c>
      <c r="P2986">
        <v>554.09</v>
      </c>
      <c r="Q2986" s="37" t="str">
        <f>IF(P2986&gt;500,"High","low")</f>
        <v>High</v>
      </c>
      <c r="R2986" s="37" t="str">
        <f t="shared" si="234"/>
        <v>Good</v>
      </c>
      <c r="S2986" t="s">
        <v>600</v>
      </c>
    </row>
    <row r="2987" spans="1:19" x14ac:dyDescent="0.2">
      <c r="A2987" t="s">
        <v>3598</v>
      </c>
      <c r="B2987" t="s">
        <v>83</v>
      </c>
      <c r="C2987" t="s">
        <v>597</v>
      </c>
      <c r="D2987">
        <v>140.63</v>
      </c>
      <c r="E2987" s="37" t="str">
        <f t="shared" si="230"/>
        <v xml:space="preserve"> </v>
      </c>
      <c r="F2987">
        <v>7.0000000000000007E-2</v>
      </c>
      <c r="G2987" s="37" t="str">
        <f t="shared" si="231"/>
        <v>Normal Discount</v>
      </c>
      <c r="H2987" s="37" t="str">
        <f t="shared" si="232"/>
        <v>Low</v>
      </c>
      <c r="I2987">
        <v>3</v>
      </c>
      <c r="J2987" t="str" cm="1">
        <f t="array" ref="J2987">_xlfn.IFS(I2987&lt;=3,"small",I2987&lt;=6,"Medium",I2987&lt;=9,"Large")</f>
        <v>small</v>
      </c>
      <c r="K2987" s="36">
        <v>45589</v>
      </c>
      <c r="L2987" s="36">
        <v>45590</v>
      </c>
      <c r="M2987" t="s">
        <v>598</v>
      </c>
      <c r="N2987" t="s">
        <v>599</v>
      </c>
      <c r="O2987" s="37" t="str">
        <f t="shared" si="233"/>
        <v>Digital Payment</v>
      </c>
      <c r="P2987">
        <v>7.71</v>
      </c>
      <c r="Q2987" s="37" t="str">
        <f>IF(P2987&gt;500,"High","low")</f>
        <v>low</v>
      </c>
      <c r="R2987" s="37" t="str">
        <f t="shared" si="234"/>
        <v>AVERAGE</v>
      </c>
      <c r="S2987" t="s">
        <v>609</v>
      </c>
    </row>
    <row r="2988" spans="1:19" x14ac:dyDescent="0.2">
      <c r="A2988" t="s">
        <v>3599</v>
      </c>
      <c r="B2988" t="s">
        <v>83</v>
      </c>
      <c r="C2988" t="s">
        <v>617</v>
      </c>
      <c r="D2988">
        <v>736.06</v>
      </c>
      <c r="E2988" s="37" t="str">
        <f t="shared" si="230"/>
        <v xml:space="preserve"> </v>
      </c>
      <c r="F2988">
        <v>0.21</v>
      </c>
      <c r="G2988" s="37" t="str">
        <f t="shared" si="231"/>
        <v>Normal Discount</v>
      </c>
      <c r="H2988" s="37" t="str">
        <f t="shared" si="232"/>
        <v>Medium</v>
      </c>
      <c r="I2988">
        <v>3</v>
      </c>
      <c r="J2988" t="str" cm="1">
        <f t="array" ref="J2988">_xlfn.IFS(I2988&lt;=3,"small",I2988&lt;=6,"Medium",I2988&lt;=9,"Large")</f>
        <v>small</v>
      </c>
      <c r="K2988" s="36">
        <v>45409</v>
      </c>
      <c r="L2988" s="36">
        <v>45413</v>
      </c>
      <c r="M2988" t="s">
        <v>612</v>
      </c>
      <c r="N2988" t="s">
        <v>608</v>
      </c>
      <c r="O2988" s="37" t="str">
        <f t="shared" si="233"/>
        <v>Cash Payment</v>
      </c>
      <c r="P2988">
        <v>64.540000000000006</v>
      </c>
      <c r="Q2988" s="37" t="str">
        <f>IF(P2988&gt;500,"High","low")</f>
        <v>low</v>
      </c>
      <c r="R2988" s="37" t="str">
        <f t="shared" si="234"/>
        <v>AVERAGE</v>
      </c>
      <c r="S2988" t="s">
        <v>600</v>
      </c>
    </row>
    <row r="2989" spans="1:19" x14ac:dyDescent="0.2">
      <c r="A2989" t="s">
        <v>3600</v>
      </c>
      <c r="B2989" t="s">
        <v>90</v>
      </c>
      <c r="C2989" t="s">
        <v>617</v>
      </c>
      <c r="D2989">
        <v>1078.53</v>
      </c>
      <c r="E2989" s="37" t="str">
        <f t="shared" si="230"/>
        <v xml:space="preserve"> </v>
      </c>
      <c r="F2989">
        <v>0.39</v>
      </c>
      <c r="G2989" s="37" t="str">
        <f t="shared" si="231"/>
        <v>Heavy Discount</v>
      </c>
      <c r="H2989" s="37" t="str">
        <f t="shared" si="232"/>
        <v>Medium</v>
      </c>
      <c r="I2989">
        <v>4</v>
      </c>
      <c r="J2989" t="str" cm="1">
        <f t="array" ref="J2989">_xlfn.IFS(I2989&lt;=3,"small",I2989&lt;=6,"Medium",I2989&lt;=9,"Large")</f>
        <v>Medium</v>
      </c>
      <c r="K2989" s="36">
        <v>45256</v>
      </c>
      <c r="L2989" s="36">
        <v>45262</v>
      </c>
      <c r="M2989" t="s">
        <v>612</v>
      </c>
      <c r="N2989" t="s">
        <v>608</v>
      </c>
      <c r="O2989" s="37" t="str">
        <f t="shared" si="233"/>
        <v>Cash Payment</v>
      </c>
      <c r="P2989">
        <v>176.86</v>
      </c>
      <c r="Q2989" s="37" t="str">
        <f>IF(P2989&gt;500,"High","low")</f>
        <v>low</v>
      </c>
      <c r="R2989" s="37" t="str">
        <f t="shared" si="234"/>
        <v>AVERAGE</v>
      </c>
      <c r="S2989" t="s">
        <v>600</v>
      </c>
    </row>
    <row r="2990" spans="1:19" x14ac:dyDescent="0.2">
      <c r="A2990" t="s">
        <v>3601</v>
      </c>
      <c r="B2990" t="s">
        <v>90</v>
      </c>
      <c r="C2990" t="s">
        <v>607</v>
      </c>
      <c r="D2990">
        <v>3026.28</v>
      </c>
      <c r="E2990" s="37" t="str">
        <f t="shared" si="230"/>
        <v xml:space="preserve"> </v>
      </c>
      <c r="F2990">
        <v>0.02</v>
      </c>
      <c r="G2990" s="37" t="str">
        <f t="shared" si="231"/>
        <v>Normal Discount</v>
      </c>
      <c r="H2990" s="37" t="str">
        <f t="shared" si="232"/>
        <v>Low</v>
      </c>
      <c r="I2990">
        <v>2</v>
      </c>
      <c r="J2990" t="str" cm="1">
        <f t="array" ref="J2990">_xlfn.IFS(I2990&lt;=3,"small",I2990&lt;=6,"Medium",I2990&lt;=9,"Large")</f>
        <v>small</v>
      </c>
      <c r="K2990" s="36">
        <v>45394</v>
      </c>
      <c r="L2990" s="36">
        <v>45398</v>
      </c>
      <c r="M2990" t="s">
        <v>603</v>
      </c>
      <c r="N2990" t="s">
        <v>599</v>
      </c>
      <c r="O2990" s="37" t="str">
        <f t="shared" si="233"/>
        <v>Digital Payment</v>
      </c>
      <c r="P2990">
        <v>644.80999999999995</v>
      </c>
      <c r="Q2990" s="37" t="str">
        <f>IF(P2990&gt;500,"High","low")</f>
        <v>High</v>
      </c>
      <c r="R2990" s="37" t="str">
        <f t="shared" si="234"/>
        <v>Good</v>
      </c>
      <c r="S2990" t="s">
        <v>609</v>
      </c>
    </row>
    <row r="2991" spans="1:19" x14ac:dyDescent="0.2">
      <c r="A2991" t="s">
        <v>3602</v>
      </c>
      <c r="B2991" t="s">
        <v>67</v>
      </c>
      <c r="C2991" t="s">
        <v>617</v>
      </c>
      <c r="D2991">
        <v>1053.96</v>
      </c>
      <c r="E2991" s="37" t="str">
        <f t="shared" si="230"/>
        <v xml:space="preserve"> </v>
      </c>
      <c r="F2991">
        <v>0.37</v>
      </c>
      <c r="G2991" s="37" t="str">
        <f t="shared" si="231"/>
        <v>Heavy Discount</v>
      </c>
      <c r="H2991" s="37" t="str">
        <f t="shared" si="232"/>
        <v>Medium</v>
      </c>
      <c r="I2991">
        <v>5</v>
      </c>
      <c r="J2991" t="str" cm="1">
        <f t="array" ref="J2991">_xlfn.IFS(I2991&lt;=3,"small",I2991&lt;=6,"Medium",I2991&lt;=9,"Large")</f>
        <v>Medium</v>
      </c>
      <c r="K2991" s="36">
        <v>45271</v>
      </c>
      <c r="L2991" s="36">
        <v>45277</v>
      </c>
      <c r="M2991" t="s">
        <v>598</v>
      </c>
      <c r="N2991" t="s">
        <v>608</v>
      </c>
      <c r="O2991" s="37" t="str">
        <f t="shared" si="233"/>
        <v>Cash Payment</v>
      </c>
      <c r="P2991">
        <v>61.35</v>
      </c>
      <c r="Q2991" s="37" t="str">
        <f>IF(P2991&gt;500,"High","low")</f>
        <v>low</v>
      </c>
      <c r="R2991" s="37" t="str">
        <f t="shared" si="234"/>
        <v>AVERAGE</v>
      </c>
      <c r="S2991" t="s">
        <v>600</v>
      </c>
    </row>
    <row r="2992" spans="1:19" x14ac:dyDescent="0.2">
      <c r="A2992" t="s">
        <v>3603</v>
      </c>
      <c r="B2992" t="s">
        <v>83</v>
      </c>
      <c r="C2992" t="s">
        <v>607</v>
      </c>
      <c r="D2992">
        <v>1889.84</v>
      </c>
      <c r="E2992" s="37" t="str">
        <f t="shared" si="230"/>
        <v xml:space="preserve"> </v>
      </c>
      <c r="F2992">
        <v>0.34</v>
      </c>
      <c r="G2992" s="37" t="str">
        <f t="shared" si="231"/>
        <v>Heavy Discount</v>
      </c>
      <c r="H2992" s="37" t="str">
        <f t="shared" si="232"/>
        <v>Medium</v>
      </c>
      <c r="I2992">
        <v>8</v>
      </c>
      <c r="J2992" t="str" cm="1">
        <f t="array" ref="J2992">_xlfn.IFS(I2992&lt;=3,"small",I2992&lt;=6,"Medium",I2992&lt;=9,"Large")</f>
        <v>Large</v>
      </c>
      <c r="K2992" s="36">
        <v>45602</v>
      </c>
      <c r="L2992" s="36">
        <v>45606</v>
      </c>
      <c r="M2992" t="s">
        <v>598</v>
      </c>
      <c r="N2992" t="s">
        <v>608</v>
      </c>
      <c r="O2992" s="37" t="str">
        <f t="shared" si="233"/>
        <v>Cash Payment</v>
      </c>
      <c r="P2992">
        <v>340.54</v>
      </c>
      <c r="Q2992" s="37" t="str">
        <f>IF(P2992&gt;500,"High","low")</f>
        <v>low</v>
      </c>
      <c r="R2992" s="37" t="str">
        <f t="shared" si="234"/>
        <v>AVERAGE</v>
      </c>
      <c r="S2992" t="s">
        <v>615</v>
      </c>
    </row>
    <row r="2993" spans="1:19" x14ac:dyDescent="0.2">
      <c r="A2993" t="s">
        <v>3604</v>
      </c>
      <c r="B2993" t="s">
        <v>83</v>
      </c>
      <c r="C2993" t="s">
        <v>602</v>
      </c>
      <c r="D2993">
        <v>1289.6199999999999</v>
      </c>
      <c r="E2993" s="37" t="str">
        <f t="shared" si="230"/>
        <v xml:space="preserve"> </v>
      </c>
      <c r="F2993">
        <v>0.03</v>
      </c>
      <c r="G2993" s="37" t="str">
        <f t="shared" si="231"/>
        <v>Normal Discount</v>
      </c>
      <c r="H2993" s="37" t="str">
        <f t="shared" si="232"/>
        <v>Low</v>
      </c>
      <c r="I2993">
        <v>7</v>
      </c>
      <c r="J2993" t="str" cm="1">
        <f t="array" ref="J2993">_xlfn.IFS(I2993&lt;=3,"small",I2993&lt;=6,"Medium",I2993&lt;=9,"Large")</f>
        <v>Large</v>
      </c>
      <c r="K2993" s="36">
        <v>45448</v>
      </c>
      <c r="L2993" s="36">
        <v>45453</v>
      </c>
      <c r="M2993" t="s">
        <v>598</v>
      </c>
      <c r="N2993" t="s">
        <v>599</v>
      </c>
      <c r="O2993" s="37" t="str">
        <f t="shared" si="233"/>
        <v>Digital Payment</v>
      </c>
      <c r="P2993">
        <v>79.66</v>
      </c>
      <c r="Q2993" s="37" t="str">
        <f>IF(P2993&gt;500,"High","low")</f>
        <v>low</v>
      </c>
      <c r="R2993" s="37" t="str">
        <f t="shared" si="234"/>
        <v>AVERAGE</v>
      </c>
      <c r="S2993" t="s">
        <v>605</v>
      </c>
    </row>
    <row r="2994" spans="1:19" x14ac:dyDescent="0.2">
      <c r="A2994" t="s">
        <v>3605</v>
      </c>
      <c r="B2994" t="s">
        <v>83</v>
      </c>
      <c r="C2994" t="s">
        <v>597</v>
      </c>
      <c r="D2994">
        <v>1753.34</v>
      </c>
      <c r="E2994" s="37" t="str">
        <f t="shared" si="230"/>
        <v xml:space="preserve"> </v>
      </c>
      <c r="F2994">
        <v>0.32</v>
      </c>
      <c r="G2994" s="37" t="str">
        <f t="shared" si="231"/>
        <v>Heavy Discount</v>
      </c>
      <c r="H2994" s="37" t="str">
        <f t="shared" si="232"/>
        <v>Medium</v>
      </c>
      <c r="I2994">
        <v>9</v>
      </c>
      <c r="J2994" t="str" cm="1">
        <f t="array" ref="J2994">_xlfn.IFS(I2994&lt;=3,"small",I2994&lt;=6,"Medium",I2994&lt;=9,"Large")</f>
        <v>Large</v>
      </c>
      <c r="K2994" s="36">
        <v>45337</v>
      </c>
      <c r="L2994" s="36">
        <v>45340</v>
      </c>
      <c r="M2994" t="s">
        <v>598</v>
      </c>
      <c r="N2994" t="s">
        <v>604</v>
      </c>
      <c r="O2994" s="37" t="str">
        <f t="shared" si="233"/>
        <v>Digital Payment</v>
      </c>
      <c r="P2994">
        <v>483.22</v>
      </c>
      <c r="Q2994" s="37" t="str">
        <f>IF(P2994&gt;500,"High","low")</f>
        <v>low</v>
      </c>
      <c r="R2994" s="37" t="str">
        <f t="shared" si="234"/>
        <v>AVERAGE</v>
      </c>
      <c r="S2994" t="s">
        <v>628</v>
      </c>
    </row>
    <row r="2995" spans="1:19" x14ac:dyDescent="0.2">
      <c r="A2995" t="s">
        <v>3606</v>
      </c>
      <c r="B2995" t="s">
        <v>83</v>
      </c>
      <c r="C2995" t="s">
        <v>597</v>
      </c>
      <c r="D2995">
        <v>4718.01</v>
      </c>
      <c r="E2995" s="37" t="str">
        <f t="shared" si="230"/>
        <v>Excellent Order</v>
      </c>
      <c r="F2995">
        <v>0.15</v>
      </c>
      <c r="G2995" s="37" t="str">
        <f t="shared" si="231"/>
        <v>Normal Discount</v>
      </c>
      <c r="H2995" s="37" t="str">
        <f t="shared" si="232"/>
        <v>Low</v>
      </c>
      <c r="I2995">
        <v>3</v>
      </c>
      <c r="J2995" t="str" cm="1">
        <f t="array" ref="J2995">_xlfn.IFS(I2995&lt;=3,"small",I2995&lt;=6,"Medium",I2995&lt;=9,"Large")</f>
        <v>small</v>
      </c>
      <c r="K2995" s="36">
        <v>45317</v>
      </c>
      <c r="L2995" s="36">
        <v>45319</v>
      </c>
      <c r="M2995" t="s">
        <v>612</v>
      </c>
      <c r="N2995" t="s">
        <v>604</v>
      </c>
      <c r="O2995" s="37" t="str">
        <f t="shared" si="233"/>
        <v>Digital Payment</v>
      </c>
      <c r="P2995">
        <v>1069.82</v>
      </c>
      <c r="Q2995" s="37" t="str">
        <f>IF(P2995&gt;500,"High","low")</f>
        <v>High</v>
      </c>
      <c r="R2995" s="37" t="str">
        <f t="shared" si="234"/>
        <v>Excellent</v>
      </c>
      <c r="S2995" t="s">
        <v>609</v>
      </c>
    </row>
    <row r="2996" spans="1:19" x14ac:dyDescent="0.2">
      <c r="A2996" t="s">
        <v>3607</v>
      </c>
      <c r="B2996" t="s">
        <v>83</v>
      </c>
      <c r="C2996" t="s">
        <v>617</v>
      </c>
      <c r="D2996">
        <v>4987.1400000000003</v>
      </c>
      <c r="E2996" s="37" t="str">
        <f t="shared" si="230"/>
        <v xml:space="preserve"> </v>
      </c>
      <c r="F2996">
        <v>0.09</v>
      </c>
      <c r="G2996" s="37" t="str">
        <f t="shared" si="231"/>
        <v>Normal Discount</v>
      </c>
      <c r="H2996" s="37" t="str">
        <f t="shared" si="232"/>
        <v>Low</v>
      </c>
      <c r="I2996">
        <v>4</v>
      </c>
      <c r="J2996" t="str" cm="1">
        <f t="array" ref="J2996">_xlfn.IFS(I2996&lt;=3,"small",I2996&lt;=6,"Medium",I2996&lt;=9,"Large")</f>
        <v>Medium</v>
      </c>
      <c r="K2996" s="36">
        <v>45488</v>
      </c>
      <c r="L2996" s="36">
        <v>45491</v>
      </c>
      <c r="M2996" t="s">
        <v>612</v>
      </c>
      <c r="N2996" t="s">
        <v>604</v>
      </c>
      <c r="O2996" s="37" t="str">
        <f t="shared" si="233"/>
        <v>Digital Payment</v>
      </c>
      <c r="P2996">
        <v>354</v>
      </c>
      <c r="Q2996" s="37" t="str">
        <f>IF(P2996&gt;500,"High","low")</f>
        <v>low</v>
      </c>
      <c r="R2996" s="37" t="str">
        <f t="shared" si="234"/>
        <v>AVERAGE</v>
      </c>
      <c r="S2996" t="s">
        <v>605</v>
      </c>
    </row>
    <row r="2997" spans="1:19" x14ac:dyDescent="0.2">
      <c r="A2997" t="s">
        <v>3608</v>
      </c>
      <c r="B2997" t="s">
        <v>75</v>
      </c>
      <c r="C2997" t="s">
        <v>617</v>
      </c>
      <c r="D2997">
        <v>3460.04</v>
      </c>
      <c r="E2997" s="37" t="str">
        <f t="shared" si="230"/>
        <v xml:space="preserve"> </v>
      </c>
      <c r="F2997">
        <v>0.19</v>
      </c>
      <c r="G2997" s="37" t="str">
        <f t="shared" si="231"/>
        <v>Normal Discount</v>
      </c>
      <c r="H2997" s="37" t="str">
        <f t="shared" si="232"/>
        <v>Low</v>
      </c>
      <c r="I2997">
        <v>8</v>
      </c>
      <c r="J2997" t="str" cm="1">
        <f t="array" ref="J2997">_xlfn.IFS(I2997&lt;=3,"small",I2997&lt;=6,"Medium",I2997&lt;=9,"Large")</f>
        <v>Large</v>
      </c>
      <c r="K2997" s="36">
        <v>45012</v>
      </c>
      <c r="L2997" s="36">
        <v>45015</v>
      </c>
      <c r="M2997" t="s">
        <v>612</v>
      </c>
      <c r="N2997" t="s">
        <v>599</v>
      </c>
      <c r="O2997" s="37" t="str">
        <f t="shared" si="233"/>
        <v>Digital Payment</v>
      </c>
      <c r="P2997">
        <v>612.12</v>
      </c>
      <c r="Q2997" s="37" t="str">
        <f>IF(P2997&gt;500,"High","low")</f>
        <v>High</v>
      </c>
      <c r="R2997" s="37" t="str">
        <f t="shared" si="234"/>
        <v>Good</v>
      </c>
      <c r="S2997" t="s">
        <v>620</v>
      </c>
    </row>
    <row r="2998" spans="1:19" x14ac:dyDescent="0.2">
      <c r="A2998" t="s">
        <v>3609</v>
      </c>
      <c r="B2998" t="s">
        <v>90</v>
      </c>
      <c r="C2998" t="s">
        <v>602</v>
      </c>
      <c r="D2998">
        <v>2904.31</v>
      </c>
      <c r="E2998" s="37" t="str">
        <f t="shared" si="230"/>
        <v xml:space="preserve"> </v>
      </c>
      <c r="F2998">
        <v>0.1</v>
      </c>
      <c r="G2998" s="37" t="str">
        <f t="shared" si="231"/>
        <v>Normal Discount</v>
      </c>
      <c r="H2998" s="37" t="str">
        <f t="shared" si="232"/>
        <v>Low</v>
      </c>
      <c r="I2998">
        <v>3</v>
      </c>
      <c r="J2998" t="str" cm="1">
        <f t="array" ref="J2998">_xlfn.IFS(I2998&lt;=3,"small",I2998&lt;=6,"Medium",I2998&lt;=9,"Large")</f>
        <v>small</v>
      </c>
      <c r="K2998" s="36">
        <v>44972</v>
      </c>
      <c r="L2998" s="36">
        <v>44979</v>
      </c>
      <c r="M2998" t="s">
        <v>603</v>
      </c>
      <c r="N2998" t="s">
        <v>604</v>
      </c>
      <c r="O2998" s="37" t="str">
        <f t="shared" si="233"/>
        <v>Digital Payment</v>
      </c>
      <c r="P2998">
        <v>678.96</v>
      </c>
      <c r="Q2998" s="37" t="str">
        <f>IF(P2998&gt;500,"High","low")</f>
        <v>High</v>
      </c>
      <c r="R2998" s="37" t="str">
        <f t="shared" si="234"/>
        <v>Good</v>
      </c>
      <c r="S2998" t="s">
        <v>609</v>
      </c>
    </row>
    <row r="2999" spans="1:19" x14ac:dyDescent="0.2">
      <c r="A2999" t="s">
        <v>3610</v>
      </c>
      <c r="B2999" t="s">
        <v>75</v>
      </c>
      <c r="C2999" t="s">
        <v>607</v>
      </c>
      <c r="D2999">
        <v>3571.39</v>
      </c>
      <c r="E2999" s="37" t="str">
        <f t="shared" si="230"/>
        <v xml:space="preserve"> </v>
      </c>
      <c r="F2999">
        <v>0.41</v>
      </c>
      <c r="G2999" s="37" t="str">
        <f t="shared" si="231"/>
        <v>Heavy Discount</v>
      </c>
      <c r="H2999" s="37" t="str">
        <f t="shared" si="232"/>
        <v>High</v>
      </c>
      <c r="I2999">
        <v>1</v>
      </c>
      <c r="J2999" t="str" cm="1">
        <f t="array" ref="J2999">_xlfn.IFS(I2999&lt;=3,"small",I2999&lt;=6,"Medium",I2999&lt;=9,"Large")</f>
        <v>small</v>
      </c>
      <c r="K2999" s="36">
        <v>45439</v>
      </c>
      <c r="L2999" s="36">
        <v>45444</v>
      </c>
      <c r="M2999" t="s">
        <v>603</v>
      </c>
      <c r="N2999" t="s">
        <v>604</v>
      </c>
      <c r="O2999" s="37" t="str">
        <f t="shared" si="233"/>
        <v>Digital Payment</v>
      </c>
      <c r="P2999">
        <v>435.68</v>
      </c>
      <c r="Q2999" s="37" t="str">
        <f>IF(P2999&gt;500,"High","low")</f>
        <v>low</v>
      </c>
      <c r="R2999" s="37" t="str">
        <f t="shared" si="234"/>
        <v>AVERAGE</v>
      </c>
      <c r="S2999" t="s">
        <v>609</v>
      </c>
    </row>
    <row r="3000" spans="1:19" x14ac:dyDescent="0.2">
      <c r="A3000" t="s">
        <v>3611</v>
      </c>
      <c r="B3000" t="s">
        <v>83</v>
      </c>
      <c r="C3000" t="s">
        <v>597</v>
      </c>
      <c r="D3000">
        <v>3881.1</v>
      </c>
      <c r="E3000" s="37" t="str">
        <f t="shared" si="230"/>
        <v xml:space="preserve"> </v>
      </c>
      <c r="F3000">
        <v>0.37</v>
      </c>
      <c r="G3000" s="37" t="str">
        <f t="shared" si="231"/>
        <v>Heavy Discount</v>
      </c>
      <c r="H3000" s="37" t="str">
        <f t="shared" si="232"/>
        <v>Medium</v>
      </c>
      <c r="I3000">
        <v>2</v>
      </c>
      <c r="J3000" t="str" cm="1">
        <f t="array" ref="J3000">_xlfn.IFS(I3000&lt;=3,"small",I3000&lt;=6,"Medium",I3000&lt;=9,"Large")</f>
        <v>small</v>
      </c>
      <c r="K3000" s="36">
        <v>45271</v>
      </c>
      <c r="L3000" s="36">
        <v>45278</v>
      </c>
      <c r="M3000" t="s">
        <v>612</v>
      </c>
      <c r="N3000" t="s">
        <v>599</v>
      </c>
      <c r="O3000" s="37" t="str">
        <f t="shared" si="233"/>
        <v>Digital Payment</v>
      </c>
      <c r="P3000">
        <v>376.26</v>
      </c>
      <c r="Q3000" s="37" t="str">
        <f>IF(P3000&gt;500,"High","low")</f>
        <v>low</v>
      </c>
      <c r="R3000" s="37" t="str">
        <f t="shared" si="234"/>
        <v>AVERAGE</v>
      </c>
      <c r="S3000" t="s">
        <v>609</v>
      </c>
    </row>
    <row r="3001" spans="1:19" x14ac:dyDescent="0.2">
      <c r="A3001" t="s">
        <v>3612</v>
      </c>
      <c r="B3001" t="s">
        <v>67</v>
      </c>
      <c r="C3001" t="s">
        <v>607</v>
      </c>
      <c r="D3001">
        <v>3721.16</v>
      </c>
      <c r="E3001" s="37" t="str">
        <f t="shared" si="230"/>
        <v xml:space="preserve"> </v>
      </c>
      <c r="F3001">
        <v>0.49</v>
      </c>
      <c r="G3001" s="37" t="str">
        <f t="shared" si="231"/>
        <v>Heavy Discount</v>
      </c>
      <c r="H3001" s="37" t="str">
        <f t="shared" si="232"/>
        <v>High</v>
      </c>
      <c r="I3001">
        <v>8</v>
      </c>
      <c r="J3001" t="str" cm="1">
        <f t="array" ref="J3001">_xlfn.IFS(I3001&lt;=3,"small",I3001&lt;=6,"Medium",I3001&lt;=9,"Large")</f>
        <v>Large</v>
      </c>
      <c r="K3001" s="36">
        <v>45365</v>
      </c>
      <c r="L3001" s="36">
        <v>45368</v>
      </c>
      <c r="M3001" t="s">
        <v>598</v>
      </c>
      <c r="N3001" t="s">
        <v>604</v>
      </c>
      <c r="O3001" s="37" t="str">
        <f t="shared" si="233"/>
        <v>Digital Payment</v>
      </c>
      <c r="P3001">
        <v>814.66</v>
      </c>
      <c r="Q3001" s="37" t="str">
        <f>IF(P3001&gt;500,"High","low")</f>
        <v>High</v>
      </c>
      <c r="R3001" s="37" t="str">
        <f t="shared" si="234"/>
        <v>Good</v>
      </c>
      <c r="S3001" t="s">
        <v>628</v>
      </c>
    </row>
    <row r="3002" spans="1:19" x14ac:dyDescent="0.2">
      <c r="A3002" t="s">
        <v>3613</v>
      </c>
      <c r="B3002" t="s">
        <v>67</v>
      </c>
      <c r="C3002" t="s">
        <v>602</v>
      </c>
      <c r="D3002">
        <v>501.27</v>
      </c>
      <c r="E3002" s="37" t="str">
        <f t="shared" si="230"/>
        <v xml:space="preserve"> </v>
      </c>
      <c r="F3002">
        <v>0.27</v>
      </c>
      <c r="G3002" s="37" t="str">
        <f t="shared" si="231"/>
        <v>Normal Discount</v>
      </c>
      <c r="H3002" s="37" t="str">
        <f t="shared" si="232"/>
        <v>Medium</v>
      </c>
      <c r="I3002">
        <v>7</v>
      </c>
      <c r="J3002" t="str" cm="1">
        <f t="array" ref="J3002">_xlfn.IFS(I3002&lt;=3,"small",I3002&lt;=6,"Medium",I3002&lt;=9,"Large")</f>
        <v>Large</v>
      </c>
      <c r="K3002" s="36">
        <v>45174</v>
      </c>
      <c r="L3002" s="36">
        <v>45177</v>
      </c>
      <c r="M3002" t="s">
        <v>598</v>
      </c>
      <c r="N3002" t="s">
        <v>604</v>
      </c>
      <c r="O3002" s="37" t="str">
        <f t="shared" si="233"/>
        <v>Digital Payment</v>
      </c>
      <c r="P3002">
        <v>122.67</v>
      </c>
      <c r="Q3002" s="37" t="str">
        <f>IF(P3002&gt;500,"High","low")</f>
        <v>low</v>
      </c>
      <c r="R3002" s="37" t="str">
        <f t="shared" si="234"/>
        <v>AVERAGE</v>
      </c>
      <c r="S3002" t="s">
        <v>628</v>
      </c>
    </row>
    <row r="3003" spans="1:19" x14ac:dyDescent="0.2">
      <c r="A3003" t="s">
        <v>3614</v>
      </c>
      <c r="B3003" t="s">
        <v>83</v>
      </c>
      <c r="C3003" t="s">
        <v>597</v>
      </c>
      <c r="D3003">
        <v>1620.44</v>
      </c>
      <c r="E3003" s="37" t="str">
        <f t="shared" si="230"/>
        <v xml:space="preserve"> </v>
      </c>
      <c r="F3003">
        <v>0.04</v>
      </c>
      <c r="G3003" s="37" t="str">
        <f t="shared" si="231"/>
        <v>Normal Discount</v>
      </c>
      <c r="H3003" s="37" t="str">
        <f t="shared" si="232"/>
        <v>Low</v>
      </c>
      <c r="I3003">
        <v>4</v>
      </c>
      <c r="J3003" t="str" cm="1">
        <f t="array" ref="J3003">_xlfn.IFS(I3003&lt;=3,"small",I3003&lt;=6,"Medium",I3003&lt;=9,"Large")</f>
        <v>Medium</v>
      </c>
      <c r="K3003" s="36">
        <v>44979</v>
      </c>
      <c r="L3003" s="36">
        <v>44984</v>
      </c>
      <c r="M3003" t="s">
        <v>612</v>
      </c>
      <c r="N3003" t="s">
        <v>608</v>
      </c>
      <c r="O3003" s="37" t="str">
        <f t="shared" si="233"/>
        <v>Cash Payment</v>
      </c>
      <c r="P3003">
        <v>243.39</v>
      </c>
      <c r="Q3003" s="37" t="str">
        <f>IF(P3003&gt;500,"High","low")</f>
        <v>low</v>
      </c>
      <c r="R3003" s="37" t="str">
        <f t="shared" si="234"/>
        <v>AVERAGE</v>
      </c>
      <c r="S3003" t="s">
        <v>620</v>
      </c>
    </row>
    <row r="3004" spans="1:19" x14ac:dyDescent="0.2">
      <c r="A3004" t="s">
        <v>3615</v>
      </c>
      <c r="B3004" t="s">
        <v>83</v>
      </c>
      <c r="C3004" t="s">
        <v>597</v>
      </c>
      <c r="D3004">
        <v>1782.81</v>
      </c>
      <c r="E3004" s="37" t="str">
        <f t="shared" si="230"/>
        <v xml:space="preserve"> </v>
      </c>
      <c r="F3004">
        <v>0.18</v>
      </c>
      <c r="G3004" s="37" t="str">
        <f t="shared" si="231"/>
        <v>Normal Discount</v>
      </c>
      <c r="H3004" s="37" t="str">
        <f t="shared" si="232"/>
        <v>Low</v>
      </c>
      <c r="I3004">
        <v>8</v>
      </c>
      <c r="J3004" t="str" cm="1">
        <f t="array" ref="J3004">_xlfn.IFS(I3004&lt;=3,"small",I3004&lt;=6,"Medium",I3004&lt;=9,"Large")</f>
        <v>Large</v>
      </c>
      <c r="K3004" s="36">
        <v>45331</v>
      </c>
      <c r="L3004" s="36">
        <v>45333</v>
      </c>
      <c r="M3004" t="s">
        <v>598</v>
      </c>
      <c r="N3004" t="s">
        <v>604</v>
      </c>
      <c r="O3004" s="37" t="str">
        <f t="shared" si="233"/>
        <v>Digital Payment</v>
      </c>
      <c r="P3004">
        <v>196.24</v>
      </c>
      <c r="Q3004" s="37" t="str">
        <f>IF(P3004&gt;500,"High","low")</f>
        <v>low</v>
      </c>
      <c r="R3004" s="37" t="str">
        <f t="shared" si="234"/>
        <v>AVERAGE</v>
      </c>
      <c r="S3004" t="s">
        <v>605</v>
      </c>
    </row>
    <row r="3005" spans="1:19" x14ac:dyDescent="0.2">
      <c r="A3005" t="s">
        <v>3616</v>
      </c>
      <c r="B3005" t="s">
        <v>67</v>
      </c>
      <c r="C3005" t="s">
        <v>614</v>
      </c>
      <c r="D3005">
        <v>1909.35</v>
      </c>
      <c r="E3005" s="37" t="str">
        <f t="shared" si="230"/>
        <v xml:space="preserve"> </v>
      </c>
      <c r="F3005">
        <v>0.42</v>
      </c>
      <c r="G3005" s="37" t="str">
        <f t="shared" si="231"/>
        <v>Heavy Discount</v>
      </c>
      <c r="H3005" s="37" t="str">
        <f t="shared" si="232"/>
        <v>High</v>
      </c>
      <c r="I3005">
        <v>3</v>
      </c>
      <c r="J3005" t="str" cm="1">
        <f t="array" ref="J3005">_xlfn.IFS(I3005&lt;=3,"small",I3005&lt;=6,"Medium",I3005&lt;=9,"Large")</f>
        <v>small</v>
      </c>
      <c r="K3005" s="36">
        <v>45039</v>
      </c>
      <c r="L3005" s="36">
        <v>45041</v>
      </c>
      <c r="M3005" t="s">
        <v>598</v>
      </c>
      <c r="N3005" t="s">
        <v>608</v>
      </c>
      <c r="O3005" s="37" t="str">
        <f t="shared" si="233"/>
        <v>Cash Payment</v>
      </c>
      <c r="P3005">
        <v>545.09</v>
      </c>
      <c r="Q3005" s="37" t="str">
        <f>IF(P3005&gt;500,"High","low")</f>
        <v>High</v>
      </c>
      <c r="R3005" s="37" t="str">
        <f t="shared" si="234"/>
        <v>Good</v>
      </c>
      <c r="S3005" t="s">
        <v>615</v>
      </c>
    </row>
    <row r="3006" spans="1:19" x14ac:dyDescent="0.2">
      <c r="A3006" t="s">
        <v>3617</v>
      </c>
      <c r="B3006" t="s">
        <v>75</v>
      </c>
      <c r="C3006" t="s">
        <v>602</v>
      </c>
      <c r="D3006">
        <v>1787.14</v>
      </c>
      <c r="E3006" s="37" t="str">
        <f t="shared" si="230"/>
        <v xml:space="preserve"> </v>
      </c>
      <c r="F3006">
        <v>0.2</v>
      </c>
      <c r="G3006" s="37" t="str">
        <f t="shared" si="231"/>
        <v>Normal Discount</v>
      </c>
      <c r="H3006" s="37" t="str">
        <f t="shared" si="232"/>
        <v>Medium</v>
      </c>
      <c r="I3006">
        <v>1</v>
      </c>
      <c r="J3006" t="str" cm="1">
        <f t="array" ref="J3006">_xlfn.IFS(I3006&lt;=3,"small",I3006&lt;=6,"Medium",I3006&lt;=9,"Large")</f>
        <v>small</v>
      </c>
      <c r="K3006" s="36">
        <v>45342</v>
      </c>
      <c r="L3006" s="36">
        <v>45345</v>
      </c>
      <c r="M3006" t="s">
        <v>603</v>
      </c>
      <c r="N3006" t="s">
        <v>604</v>
      </c>
      <c r="O3006" s="37" t="str">
        <f t="shared" si="233"/>
        <v>Digital Payment</v>
      </c>
      <c r="P3006">
        <v>328.95</v>
      </c>
      <c r="Q3006" s="37" t="str">
        <f>IF(P3006&gt;500,"High","low")</f>
        <v>low</v>
      </c>
      <c r="R3006" s="37" t="str">
        <f t="shared" si="234"/>
        <v>AVERAGE</v>
      </c>
      <c r="S3006" t="s">
        <v>609</v>
      </c>
    </row>
    <row r="3007" spans="1:19" x14ac:dyDescent="0.2">
      <c r="A3007" t="s">
        <v>3618</v>
      </c>
      <c r="B3007" t="s">
        <v>75</v>
      </c>
      <c r="C3007" t="s">
        <v>602</v>
      </c>
      <c r="D3007">
        <v>3956.75</v>
      </c>
      <c r="E3007" s="37" t="str">
        <f t="shared" si="230"/>
        <v xml:space="preserve"> </v>
      </c>
      <c r="F3007">
        <v>0.23</v>
      </c>
      <c r="G3007" s="37" t="str">
        <f t="shared" si="231"/>
        <v>Normal Discount</v>
      </c>
      <c r="H3007" s="37" t="str">
        <f t="shared" si="232"/>
        <v>Medium</v>
      </c>
      <c r="I3007">
        <v>4</v>
      </c>
      <c r="J3007" t="str" cm="1">
        <f t="array" ref="J3007">_xlfn.IFS(I3007&lt;=3,"small",I3007&lt;=6,"Medium",I3007&lt;=9,"Large")</f>
        <v>Medium</v>
      </c>
      <c r="K3007" s="36">
        <v>45165</v>
      </c>
      <c r="L3007" s="36">
        <v>45167</v>
      </c>
      <c r="M3007" t="s">
        <v>612</v>
      </c>
      <c r="N3007" t="s">
        <v>604</v>
      </c>
      <c r="O3007" s="37" t="str">
        <f t="shared" si="233"/>
        <v>Digital Payment</v>
      </c>
      <c r="P3007">
        <v>682.76</v>
      </c>
      <c r="Q3007" s="37" t="str">
        <f>IF(P3007&gt;500,"High","low")</f>
        <v>High</v>
      </c>
      <c r="R3007" s="37" t="str">
        <f t="shared" si="234"/>
        <v>Good</v>
      </c>
      <c r="S3007" t="s">
        <v>628</v>
      </c>
    </row>
    <row r="3008" spans="1:19" x14ac:dyDescent="0.2">
      <c r="A3008" t="s">
        <v>3619</v>
      </c>
      <c r="B3008" t="s">
        <v>83</v>
      </c>
      <c r="C3008" t="s">
        <v>614</v>
      </c>
      <c r="D3008">
        <v>3763.26</v>
      </c>
      <c r="E3008" s="37" t="str">
        <f t="shared" si="230"/>
        <v xml:space="preserve"> </v>
      </c>
      <c r="F3008">
        <v>0.21</v>
      </c>
      <c r="G3008" s="37" t="str">
        <f t="shared" si="231"/>
        <v>Normal Discount</v>
      </c>
      <c r="H3008" s="37" t="str">
        <f t="shared" si="232"/>
        <v>Medium</v>
      </c>
      <c r="I3008">
        <v>6</v>
      </c>
      <c r="J3008" t="str" cm="1">
        <f t="array" ref="J3008">_xlfn.IFS(I3008&lt;=3,"small",I3008&lt;=6,"Medium",I3008&lt;=9,"Large")</f>
        <v>Medium</v>
      </c>
      <c r="K3008" s="36">
        <v>44940</v>
      </c>
      <c r="L3008" s="36">
        <v>44945</v>
      </c>
      <c r="M3008" t="s">
        <v>603</v>
      </c>
      <c r="N3008" t="s">
        <v>608</v>
      </c>
      <c r="O3008" s="37" t="str">
        <f t="shared" si="233"/>
        <v>Cash Payment</v>
      </c>
      <c r="P3008">
        <v>875.65</v>
      </c>
      <c r="Q3008" s="37" t="str">
        <f>IF(P3008&gt;500,"High","low")</f>
        <v>High</v>
      </c>
      <c r="R3008" s="37" t="str">
        <f t="shared" si="234"/>
        <v>Good</v>
      </c>
      <c r="S3008" t="s">
        <v>620</v>
      </c>
    </row>
    <row r="3009" spans="1:19" x14ac:dyDescent="0.2">
      <c r="A3009" t="s">
        <v>3620</v>
      </c>
      <c r="B3009" t="s">
        <v>75</v>
      </c>
      <c r="C3009" t="s">
        <v>607</v>
      </c>
      <c r="D3009">
        <v>122.54</v>
      </c>
      <c r="E3009" s="37" t="str">
        <f t="shared" si="230"/>
        <v xml:space="preserve"> </v>
      </c>
      <c r="F3009">
        <v>0.12</v>
      </c>
      <c r="G3009" s="37" t="str">
        <f t="shared" si="231"/>
        <v>Normal Discount</v>
      </c>
      <c r="H3009" s="37" t="str">
        <f t="shared" si="232"/>
        <v>Low</v>
      </c>
      <c r="I3009">
        <v>6</v>
      </c>
      <c r="J3009" t="str" cm="1">
        <f t="array" ref="J3009">_xlfn.IFS(I3009&lt;=3,"small",I3009&lt;=6,"Medium",I3009&lt;=9,"Large")</f>
        <v>Medium</v>
      </c>
      <c r="K3009" s="36">
        <v>45564</v>
      </c>
      <c r="L3009" s="36">
        <v>45568</v>
      </c>
      <c r="M3009" t="s">
        <v>603</v>
      </c>
      <c r="N3009" t="s">
        <v>604</v>
      </c>
      <c r="O3009" s="37" t="str">
        <f t="shared" si="233"/>
        <v>Digital Payment</v>
      </c>
      <c r="P3009">
        <v>33.58</v>
      </c>
      <c r="Q3009" s="37" t="str">
        <f>IF(P3009&gt;500,"High","low")</f>
        <v>low</v>
      </c>
      <c r="R3009" s="37" t="str">
        <f t="shared" si="234"/>
        <v>AVERAGE</v>
      </c>
      <c r="S3009" t="s">
        <v>615</v>
      </c>
    </row>
    <row r="3010" spans="1:19" x14ac:dyDescent="0.2">
      <c r="A3010" t="s">
        <v>3621</v>
      </c>
      <c r="B3010" t="s">
        <v>67</v>
      </c>
      <c r="C3010" t="s">
        <v>614</v>
      </c>
      <c r="D3010">
        <v>1552.27</v>
      </c>
      <c r="E3010" s="37" t="str">
        <f t="shared" si="230"/>
        <v xml:space="preserve"> </v>
      </c>
      <c r="F3010">
        <v>0.04</v>
      </c>
      <c r="G3010" s="37" t="str">
        <f t="shared" si="231"/>
        <v>Normal Discount</v>
      </c>
      <c r="H3010" s="37" t="str">
        <f t="shared" si="232"/>
        <v>Low</v>
      </c>
      <c r="I3010">
        <v>4</v>
      </c>
      <c r="J3010" t="str" cm="1">
        <f t="array" ref="J3010">_xlfn.IFS(I3010&lt;=3,"small",I3010&lt;=6,"Medium",I3010&lt;=9,"Large")</f>
        <v>Medium</v>
      </c>
      <c r="K3010" s="36">
        <v>45224</v>
      </c>
      <c r="L3010" s="36">
        <v>45225</v>
      </c>
      <c r="M3010" t="s">
        <v>598</v>
      </c>
      <c r="N3010" t="s">
        <v>608</v>
      </c>
      <c r="O3010" s="37" t="str">
        <f t="shared" si="233"/>
        <v>Cash Payment</v>
      </c>
      <c r="P3010">
        <v>196.26</v>
      </c>
      <c r="Q3010" s="37" t="str">
        <f>IF(P3010&gt;500,"High","low")</f>
        <v>low</v>
      </c>
      <c r="R3010" s="37" t="str">
        <f t="shared" si="234"/>
        <v>AVERAGE</v>
      </c>
      <c r="S3010" t="s">
        <v>609</v>
      </c>
    </row>
    <row r="3011" spans="1:19" x14ac:dyDescent="0.2">
      <c r="A3011" t="s">
        <v>3622</v>
      </c>
      <c r="B3011" t="s">
        <v>75</v>
      </c>
      <c r="C3011" t="s">
        <v>602</v>
      </c>
      <c r="D3011">
        <v>3155.95</v>
      </c>
      <c r="E3011" s="37" t="str">
        <f t="shared" ref="E3011:E3074" si="235">IF(AND(D3011&gt;4000,P3011&gt;800),"Excellent Order"," ")</f>
        <v xml:space="preserve"> </v>
      </c>
      <c r="F3011">
        <v>0.09</v>
      </c>
      <c r="G3011" s="37" t="str">
        <f t="shared" ref="G3011:G3074" si="236">IF(F3011&gt;30%,"Heavy Discount","Normal Discount")</f>
        <v>Normal Discount</v>
      </c>
      <c r="H3011" s="37" t="str">
        <f t="shared" ref="H3011:H3074" si="237">IF(F3011&gt;0.4,"High",IF(F3011&gt;=0.2,"Medium","Low"))</f>
        <v>Low</v>
      </c>
      <c r="I3011">
        <v>8</v>
      </c>
      <c r="J3011" t="str" cm="1">
        <f t="array" ref="J3011">_xlfn.IFS(I3011&lt;=3,"small",I3011&lt;=6,"Medium",I3011&lt;=9,"Large")</f>
        <v>Large</v>
      </c>
      <c r="K3011" s="36">
        <v>45339</v>
      </c>
      <c r="L3011" s="36">
        <v>45344</v>
      </c>
      <c r="M3011" t="s">
        <v>612</v>
      </c>
      <c r="N3011" t="s">
        <v>608</v>
      </c>
      <c r="O3011" s="37" t="str">
        <f t="shared" ref="O3011:O3074" si="238">IF(OR(N3011="Card",N3011="UPI"),"Digital Payment","Cash Payment")</f>
        <v>Cash Payment</v>
      </c>
      <c r="P3011">
        <v>799.16</v>
      </c>
      <c r="Q3011" s="37" t="str">
        <f>IF(P3011&gt;500,"High","low")</f>
        <v>High</v>
      </c>
      <c r="R3011" s="37" t="str">
        <f t="shared" ref="R3011:R3074" si="239">IF(P3011&gt;1000,"Excellent",IF(P3011&gt;=500,"Good","AVERAGE"))</f>
        <v>Good</v>
      </c>
      <c r="S3011" t="s">
        <v>620</v>
      </c>
    </row>
    <row r="3012" spans="1:19" x14ac:dyDescent="0.2">
      <c r="A3012" t="s">
        <v>3623</v>
      </c>
      <c r="B3012" t="s">
        <v>83</v>
      </c>
      <c r="C3012" t="s">
        <v>607</v>
      </c>
      <c r="D3012">
        <v>689.3</v>
      </c>
      <c r="E3012" s="37" t="str">
        <f t="shared" si="235"/>
        <v xml:space="preserve"> </v>
      </c>
      <c r="F3012">
        <v>0.18</v>
      </c>
      <c r="G3012" s="37" t="str">
        <f t="shared" si="236"/>
        <v>Normal Discount</v>
      </c>
      <c r="H3012" s="37" t="str">
        <f t="shared" si="237"/>
        <v>Low</v>
      </c>
      <c r="I3012">
        <v>9</v>
      </c>
      <c r="J3012" t="str" cm="1">
        <f t="array" ref="J3012">_xlfn.IFS(I3012&lt;=3,"small",I3012&lt;=6,"Medium",I3012&lt;=9,"Large")</f>
        <v>Large</v>
      </c>
      <c r="K3012" s="36">
        <v>45214</v>
      </c>
      <c r="L3012" s="36">
        <v>45216</v>
      </c>
      <c r="M3012" t="s">
        <v>612</v>
      </c>
      <c r="N3012" t="s">
        <v>599</v>
      </c>
      <c r="O3012" s="37" t="str">
        <f t="shared" si="238"/>
        <v>Digital Payment</v>
      </c>
      <c r="P3012">
        <v>195.31</v>
      </c>
      <c r="Q3012" s="37" t="str">
        <f>IF(P3012&gt;500,"High","low")</f>
        <v>low</v>
      </c>
      <c r="R3012" s="37" t="str">
        <f t="shared" si="239"/>
        <v>AVERAGE</v>
      </c>
      <c r="S3012" t="s">
        <v>620</v>
      </c>
    </row>
    <row r="3013" spans="1:19" x14ac:dyDescent="0.2">
      <c r="A3013" t="s">
        <v>3624</v>
      </c>
      <c r="B3013" t="s">
        <v>67</v>
      </c>
      <c r="C3013" t="s">
        <v>597</v>
      </c>
      <c r="D3013">
        <v>448.87</v>
      </c>
      <c r="E3013" s="37" t="str">
        <f t="shared" si="235"/>
        <v xml:space="preserve"> </v>
      </c>
      <c r="F3013">
        <v>0.12</v>
      </c>
      <c r="G3013" s="37" t="str">
        <f t="shared" si="236"/>
        <v>Normal Discount</v>
      </c>
      <c r="H3013" s="37" t="str">
        <f t="shared" si="237"/>
        <v>Low</v>
      </c>
      <c r="I3013">
        <v>2</v>
      </c>
      <c r="J3013" t="str" cm="1">
        <f t="array" ref="J3013">_xlfn.IFS(I3013&lt;=3,"small",I3013&lt;=6,"Medium",I3013&lt;=9,"Large")</f>
        <v>small</v>
      </c>
      <c r="K3013" s="36">
        <v>44937</v>
      </c>
      <c r="L3013" s="36">
        <v>44944</v>
      </c>
      <c r="M3013" t="s">
        <v>598</v>
      </c>
      <c r="N3013" t="s">
        <v>604</v>
      </c>
      <c r="O3013" s="37" t="str">
        <f t="shared" si="238"/>
        <v>Digital Payment</v>
      </c>
      <c r="P3013">
        <v>130.37</v>
      </c>
      <c r="Q3013" s="37" t="str">
        <f>IF(P3013&gt;500,"High","low")</f>
        <v>low</v>
      </c>
      <c r="R3013" s="37" t="str">
        <f t="shared" si="239"/>
        <v>AVERAGE</v>
      </c>
      <c r="S3013" t="s">
        <v>605</v>
      </c>
    </row>
    <row r="3014" spans="1:19" x14ac:dyDescent="0.2">
      <c r="A3014" t="s">
        <v>3625</v>
      </c>
      <c r="B3014" t="s">
        <v>75</v>
      </c>
      <c r="C3014" t="s">
        <v>614</v>
      </c>
      <c r="D3014">
        <v>4159.1499999999996</v>
      </c>
      <c r="E3014" s="37" t="str">
        <f t="shared" si="235"/>
        <v>Excellent Order</v>
      </c>
      <c r="F3014">
        <v>0.28999999999999998</v>
      </c>
      <c r="G3014" s="37" t="str">
        <f t="shared" si="236"/>
        <v>Normal Discount</v>
      </c>
      <c r="H3014" s="37" t="str">
        <f t="shared" si="237"/>
        <v>Medium</v>
      </c>
      <c r="I3014">
        <v>3</v>
      </c>
      <c r="J3014" t="str" cm="1">
        <f t="array" ref="J3014">_xlfn.IFS(I3014&lt;=3,"small",I3014&lt;=6,"Medium",I3014&lt;=9,"Large")</f>
        <v>small</v>
      </c>
      <c r="K3014" s="36">
        <v>45082</v>
      </c>
      <c r="L3014" s="36">
        <v>45085</v>
      </c>
      <c r="M3014" t="s">
        <v>612</v>
      </c>
      <c r="N3014" t="s">
        <v>599</v>
      </c>
      <c r="O3014" s="37" t="str">
        <f t="shared" si="238"/>
        <v>Digital Payment</v>
      </c>
      <c r="P3014">
        <v>923.08</v>
      </c>
      <c r="Q3014" s="37" t="str">
        <f>IF(P3014&gt;500,"High","low")</f>
        <v>High</v>
      </c>
      <c r="R3014" s="37" t="str">
        <f t="shared" si="239"/>
        <v>Good</v>
      </c>
      <c r="S3014" t="s">
        <v>620</v>
      </c>
    </row>
    <row r="3015" spans="1:19" x14ac:dyDescent="0.2">
      <c r="A3015" t="s">
        <v>3626</v>
      </c>
      <c r="B3015" t="s">
        <v>90</v>
      </c>
      <c r="C3015" t="s">
        <v>607</v>
      </c>
      <c r="D3015">
        <v>2318.15</v>
      </c>
      <c r="E3015" s="37" t="str">
        <f t="shared" si="235"/>
        <v xml:space="preserve"> </v>
      </c>
      <c r="F3015">
        <v>0.31</v>
      </c>
      <c r="G3015" s="37" t="str">
        <f t="shared" si="236"/>
        <v>Heavy Discount</v>
      </c>
      <c r="H3015" s="37" t="str">
        <f t="shared" si="237"/>
        <v>Medium</v>
      </c>
      <c r="I3015">
        <v>8</v>
      </c>
      <c r="J3015" t="str" cm="1">
        <f t="array" ref="J3015">_xlfn.IFS(I3015&lt;=3,"small",I3015&lt;=6,"Medium",I3015&lt;=9,"Large")</f>
        <v>Large</v>
      </c>
      <c r="K3015" s="36">
        <v>45379</v>
      </c>
      <c r="L3015" s="36">
        <v>45386</v>
      </c>
      <c r="M3015" t="s">
        <v>598</v>
      </c>
      <c r="N3015" t="s">
        <v>608</v>
      </c>
      <c r="O3015" s="37" t="str">
        <f t="shared" si="238"/>
        <v>Cash Payment</v>
      </c>
      <c r="P3015">
        <v>562.65</v>
      </c>
      <c r="Q3015" s="37" t="str">
        <f>IF(P3015&gt;500,"High","low")</f>
        <v>High</v>
      </c>
      <c r="R3015" s="37" t="str">
        <f t="shared" si="239"/>
        <v>Good</v>
      </c>
      <c r="S3015" t="s">
        <v>628</v>
      </c>
    </row>
    <row r="3016" spans="1:19" x14ac:dyDescent="0.2">
      <c r="A3016" t="s">
        <v>3627</v>
      </c>
      <c r="B3016" t="s">
        <v>67</v>
      </c>
      <c r="C3016" t="s">
        <v>607</v>
      </c>
      <c r="D3016">
        <v>4292.87</v>
      </c>
      <c r="E3016" s="37" t="str">
        <f t="shared" si="235"/>
        <v>Excellent Order</v>
      </c>
      <c r="F3016">
        <v>0.28999999999999998</v>
      </c>
      <c r="G3016" s="37" t="str">
        <f t="shared" si="236"/>
        <v>Normal Discount</v>
      </c>
      <c r="H3016" s="37" t="str">
        <f t="shared" si="237"/>
        <v>Medium</v>
      </c>
      <c r="I3016">
        <v>1</v>
      </c>
      <c r="J3016" t="str" cm="1">
        <f t="array" ref="J3016">_xlfn.IFS(I3016&lt;=3,"small",I3016&lt;=6,"Medium",I3016&lt;=9,"Large")</f>
        <v>small</v>
      </c>
      <c r="K3016" s="36">
        <v>45207</v>
      </c>
      <c r="L3016" s="36">
        <v>45213</v>
      </c>
      <c r="M3016" t="s">
        <v>603</v>
      </c>
      <c r="N3016" t="s">
        <v>604</v>
      </c>
      <c r="O3016" s="37" t="str">
        <f t="shared" si="238"/>
        <v>Digital Payment</v>
      </c>
      <c r="P3016">
        <v>1118.8399999999999</v>
      </c>
      <c r="Q3016" s="37" t="str">
        <f>IF(P3016&gt;500,"High","low")</f>
        <v>High</v>
      </c>
      <c r="R3016" s="37" t="str">
        <f t="shared" si="239"/>
        <v>Excellent</v>
      </c>
      <c r="S3016" t="s">
        <v>600</v>
      </c>
    </row>
    <row r="3017" spans="1:19" x14ac:dyDescent="0.2">
      <c r="A3017" t="s">
        <v>3628</v>
      </c>
      <c r="B3017" t="s">
        <v>67</v>
      </c>
      <c r="C3017" t="s">
        <v>607</v>
      </c>
      <c r="D3017">
        <v>4135.41</v>
      </c>
      <c r="E3017" s="37" t="str">
        <f t="shared" si="235"/>
        <v>Excellent Order</v>
      </c>
      <c r="F3017">
        <v>0.04</v>
      </c>
      <c r="G3017" s="37" t="str">
        <f t="shared" si="236"/>
        <v>Normal Discount</v>
      </c>
      <c r="H3017" s="37" t="str">
        <f t="shared" si="237"/>
        <v>Low</v>
      </c>
      <c r="I3017">
        <v>1</v>
      </c>
      <c r="J3017" t="str" cm="1">
        <f t="array" ref="J3017">_xlfn.IFS(I3017&lt;=3,"small",I3017&lt;=6,"Medium",I3017&lt;=9,"Large")</f>
        <v>small</v>
      </c>
      <c r="K3017" s="36">
        <v>44978</v>
      </c>
      <c r="L3017" s="36">
        <v>44985</v>
      </c>
      <c r="M3017" t="s">
        <v>612</v>
      </c>
      <c r="N3017" t="s">
        <v>604</v>
      </c>
      <c r="O3017" s="37" t="str">
        <f t="shared" si="238"/>
        <v>Digital Payment</v>
      </c>
      <c r="P3017">
        <v>1025.96</v>
      </c>
      <c r="Q3017" s="37" t="str">
        <f>IF(P3017&gt;500,"High","low")</f>
        <v>High</v>
      </c>
      <c r="R3017" s="37" t="str">
        <f t="shared" si="239"/>
        <v>Excellent</v>
      </c>
      <c r="S3017" t="s">
        <v>609</v>
      </c>
    </row>
    <row r="3018" spans="1:19" x14ac:dyDescent="0.2">
      <c r="A3018" t="s">
        <v>3629</v>
      </c>
      <c r="B3018" t="s">
        <v>90</v>
      </c>
      <c r="C3018" t="s">
        <v>614</v>
      </c>
      <c r="D3018">
        <v>4477.5200000000004</v>
      </c>
      <c r="E3018" s="37" t="str">
        <f t="shared" si="235"/>
        <v xml:space="preserve"> </v>
      </c>
      <c r="F3018">
        <v>0.33</v>
      </c>
      <c r="G3018" s="37" t="str">
        <f t="shared" si="236"/>
        <v>Heavy Discount</v>
      </c>
      <c r="H3018" s="37" t="str">
        <f t="shared" si="237"/>
        <v>Medium</v>
      </c>
      <c r="I3018">
        <v>7</v>
      </c>
      <c r="J3018" t="str" cm="1">
        <f t="array" ref="J3018">_xlfn.IFS(I3018&lt;=3,"small",I3018&lt;=6,"Medium",I3018&lt;=9,"Large")</f>
        <v>Large</v>
      </c>
      <c r="K3018" s="36">
        <v>45607</v>
      </c>
      <c r="L3018" s="36">
        <v>45609</v>
      </c>
      <c r="M3018" t="s">
        <v>603</v>
      </c>
      <c r="N3018" t="s">
        <v>608</v>
      </c>
      <c r="O3018" s="37" t="str">
        <f t="shared" si="238"/>
        <v>Cash Payment</v>
      </c>
      <c r="P3018">
        <v>433.38</v>
      </c>
      <c r="Q3018" s="37" t="str">
        <f>IF(P3018&gt;500,"High","low")</f>
        <v>low</v>
      </c>
      <c r="R3018" s="37" t="str">
        <f t="shared" si="239"/>
        <v>AVERAGE</v>
      </c>
      <c r="S3018" t="s">
        <v>600</v>
      </c>
    </row>
    <row r="3019" spans="1:19" x14ac:dyDescent="0.2">
      <c r="A3019" t="s">
        <v>3630</v>
      </c>
      <c r="B3019" t="s">
        <v>90</v>
      </c>
      <c r="C3019" t="s">
        <v>597</v>
      </c>
      <c r="D3019">
        <v>336.55</v>
      </c>
      <c r="E3019" s="37" t="str">
        <f t="shared" si="235"/>
        <v xml:space="preserve"> </v>
      </c>
      <c r="F3019">
        <v>0.19</v>
      </c>
      <c r="G3019" s="37" t="str">
        <f t="shared" si="236"/>
        <v>Normal Discount</v>
      </c>
      <c r="H3019" s="37" t="str">
        <f t="shared" si="237"/>
        <v>Low</v>
      </c>
      <c r="I3019">
        <v>7</v>
      </c>
      <c r="J3019" t="str" cm="1">
        <f t="array" ref="J3019">_xlfn.IFS(I3019&lt;=3,"small",I3019&lt;=6,"Medium",I3019&lt;=9,"Large")</f>
        <v>Large</v>
      </c>
      <c r="K3019" s="36">
        <v>45105</v>
      </c>
      <c r="L3019" s="36">
        <v>45111</v>
      </c>
      <c r="M3019" t="s">
        <v>603</v>
      </c>
      <c r="N3019" t="s">
        <v>608</v>
      </c>
      <c r="O3019" s="37" t="str">
        <f t="shared" si="238"/>
        <v>Cash Payment</v>
      </c>
      <c r="P3019">
        <v>17.02</v>
      </c>
      <c r="Q3019" s="37" t="str">
        <f>IF(P3019&gt;500,"High","low")</f>
        <v>low</v>
      </c>
      <c r="R3019" s="37" t="str">
        <f t="shared" si="239"/>
        <v>AVERAGE</v>
      </c>
      <c r="S3019" t="s">
        <v>615</v>
      </c>
    </row>
    <row r="3020" spans="1:19" x14ac:dyDescent="0.2">
      <c r="A3020" t="s">
        <v>3631</v>
      </c>
      <c r="B3020" t="s">
        <v>67</v>
      </c>
      <c r="C3020" t="s">
        <v>607</v>
      </c>
      <c r="D3020">
        <v>1012.04</v>
      </c>
      <c r="E3020" s="37" t="str">
        <f t="shared" si="235"/>
        <v xml:space="preserve"> </v>
      </c>
      <c r="F3020">
        <v>0.44</v>
      </c>
      <c r="G3020" s="37" t="str">
        <f t="shared" si="236"/>
        <v>Heavy Discount</v>
      </c>
      <c r="H3020" s="37" t="str">
        <f t="shared" si="237"/>
        <v>High</v>
      </c>
      <c r="I3020">
        <v>7</v>
      </c>
      <c r="J3020" t="str" cm="1">
        <f t="array" ref="J3020">_xlfn.IFS(I3020&lt;=3,"small",I3020&lt;=6,"Medium",I3020&lt;=9,"Large")</f>
        <v>Large</v>
      </c>
      <c r="K3020" s="36">
        <v>45573</v>
      </c>
      <c r="L3020" s="36">
        <v>45576</v>
      </c>
      <c r="M3020" t="s">
        <v>612</v>
      </c>
      <c r="N3020" t="s">
        <v>604</v>
      </c>
      <c r="O3020" s="37" t="str">
        <f t="shared" si="238"/>
        <v>Digital Payment</v>
      </c>
      <c r="P3020">
        <v>195.78</v>
      </c>
      <c r="Q3020" s="37" t="str">
        <f>IF(P3020&gt;500,"High","low")</f>
        <v>low</v>
      </c>
      <c r="R3020" s="37" t="str">
        <f t="shared" si="239"/>
        <v>AVERAGE</v>
      </c>
      <c r="S3020" t="s">
        <v>605</v>
      </c>
    </row>
    <row r="3021" spans="1:19" x14ac:dyDescent="0.2">
      <c r="A3021" t="s">
        <v>3632</v>
      </c>
      <c r="B3021" t="s">
        <v>90</v>
      </c>
      <c r="C3021" t="s">
        <v>614</v>
      </c>
      <c r="D3021">
        <v>1551.1</v>
      </c>
      <c r="E3021" s="37" t="str">
        <f t="shared" si="235"/>
        <v xml:space="preserve"> </v>
      </c>
      <c r="F3021">
        <v>0.26</v>
      </c>
      <c r="G3021" s="37" t="str">
        <f t="shared" si="236"/>
        <v>Normal Discount</v>
      </c>
      <c r="H3021" s="37" t="str">
        <f t="shared" si="237"/>
        <v>Medium</v>
      </c>
      <c r="I3021">
        <v>5</v>
      </c>
      <c r="J3021" t="str" cm="1">
        <f t="array" ref="J3021">_xlfn.IFS(I3021&lt;=3,"small",I3021&lt;=6,"Medium",I3021&lt;=9,"Large")</f>
        <v>Medium</v>
      </c>
      <c r="K3021" s="36">
        <v>45480</v>
      </c>
      <c r="L3021" s="36">
        <v>45481</v>
      </c>
      <c r="M3021" t="s">
        <v>598</v>
      </c>
      <c r="N3021" t="s">
        <v>604</v>
      </c>
      <c r="O3021" s="37" t="str">
        <f t="shared" si="238"/>
        <v>Digital Payment</v>
      </c>
      <c r="P3021">
        <v>319.87</v>
      </c>
      <c r="Q3021" s="37" t="str">
        <f>IF(P3021&gt;500,"High","low")</f>
        <v>low</v>
      </c>
      <c r="R3021" s="37" t="str">
        <f t="shared" si="239"/>
        <v>AVERAGE</v>
      </c>
      <c r="S3021" t="s">
        <v>605</v>
      </c>
    </row>
    <row r="3022" spans="1:19" x14ac:dyDescent="0.2">
      <c r="A3022" t="s">
        <v>3633</v>
      </c>
      <c r="B3022" t="s">
        <v>83</v>
      </c>
      <c r="C3022" t="s">
        <v>602</v>
      </c>
      <c r="D3022">
        <v>767.53</v>
      </c>
      <c r="E3022" s="37" t="str">
        <f t="shared" si="235"/>
        <v xml:space="preserve"> </v>
      </c>
      <c r="F3022">
        <v>0.04</v>
      </c>
      <c r="G3022" s="37" t="str">
        <f t="shared" si="236"/>
        <v>Normal Discount</v>
      </c>
      <c r="H3022" s="37" t="str">
        <f t="shared" si="237"/>
        <v>Low</v>
      </c>
      <c r="I3022">
        <v>7</v>
      </c>
      <c r="J3022" t="str" cm="1">
        <f t="array" ref="J3022">_xlfn.IFS(I3022&lt;=3,"small",I3022&lt;=6,"Medium",I3022&lt;=9,"Large")</f>
        <v>Large</v>
      </c>
      <c r="K3022" s="36">
        <v>45549</v>
      </c>
      <c r="L3022" s="36">
        <v>45556</v>
      </c>
      <c r="M3022" t="s">
        <v>603</v>
      </c>
      <c r="N3022" t="s">
        <v>599</v>
      </c>
      <c r="O3022" s="37" t="str">
        <f t="shared" si="238"/>
        <v>Digital Payment</v>
      </c>
      <c r="P3022">
        <v>81.709999999999994</v>
      </c>
      <c r="Q3022" s="37" t="str">
        <f>IF(P3022&gt;500,"High","low")</f>
        <v>low</v>
      </c>
      <c r="R3022" s="37" t="str">
        <f t="shared" si="239"/>
        <v>AVERAGE</v>
      </c>
      <c r="S3022" t="s">
        <v>605</v>
      </c>
    </row>
    <row r="3023" spans="1:19" x14ac:dyDescent="0.2">
      <c r="A3023" t="s">
        <v>3634</v>
      </c>
      <c r="B3023" t="s">
        <v>83</v>
      </c>
      <c r="C3023" t="s">
        <v>614</v>
      </c>
      <c r="D3023">
        <v>2478.8000000000002</v>
      </c>
      <c r="E3023" s="37" t="str">
        <f t="shared" si="235"/>
        <v xml:space="preserve"> </v>
      </c>
      <c r="F3023">
        <v>0</v>
      </c>
      <c r="G3023" s="37" t="str">
        <f t="shared" si="236"/>
        <v>Normal Discount</v>
      </c>
      <c r="H3023" s="37" t="str">
        <f t="shared" si="237"/>
        <v>Low</v>
      </c>
      <c r="I3023">
        <v>9</v>
      </c>
      <c r="J3023" t="str" cm="1">
        <f t="array" ref="J3023">_xlfn.IFS(I3023&lt;=3,"small",I3023&lt;=6,"Medium",I3023&lt;=9,"Large")</f>
        <v>Large</v>
      </c>
      <c r="K3023" s="36">
        <v>45139</v>
      </c>
      <c r="L3023" s="36">
        <v>45143</v>
      </c>
      <c r="M3023" t="s">
        <v>612</v>
      </c>
      <c r="N3023" t="s">
        <v>604</v>
      </c>
      <c r="O3023" s="37" t="str">
        <f t="shared" si="238"/>
        <v>Digital Payment</v>
      </c>
      <c r="P3023">
        <v>240.06</v>
      </c>
      <c r="Q3023" s="37" t="str">
        <f>IF(P3023&gt;500,"High","low")</f>
        <v>low</v>
      </c>
      <c r="R3023" s="37" t="str">
        <f t="shared" si="239"/>
        <v>AVERAGE</v>
      </c>
      <c r="S3023" t="s">
        <v>628</v>
      </c>
    </row>
    <row r="3024" spans="1:19" x14ac:dyDescent="0.2">
      <c r="A3024" t="s">
        <v>3635</v>
      </c>
      <c r="B3024" t="s">
        <v>83</v>
      </c>
      <c r="C3024" t="s">
        <v>614</v>
      </c>
      <c r="D3024">
        <v>4014.99</v>
      </c>
      <c r="E3024" s="37" t="str">
        <f t="shared" si="235"/>
        <v xml:space="preserve"> </v>
      </c>
      <c r="F3024">
        <v>0.35</v>
      </c>
      <c r="G3024" s="37" t="str">
        <f t="shared" si="236"/>
        <v>Heavy Discount</v>
      </c>
      <c r="H3024" s="37" t="str">
        <f t="shared" si="237"/>
        <v>Medium</v>
      </c>
      <c r="I3024">
        <v>6</v>
      </c>
      <c r="J3024" t="str" cm="1">
        <f t="array" ref="J3024">_xlfn.IFS(I3024&lt;=3,"small",I3024&lt;=6,"Medium",I3024&lt;=9,"Large")</f>
        <v>Medium</v>
      </c>
      <c r="K3024" s="36">
        <v>44983</v>
      </c>
      <c r="L3024" s="36">
        <v>44987</v>
      </c>
      <c r="M3024" t="s">
        <v>612</v>
      </c>
      <c r="N3024" t="s">
        <v>608</v>
      </c>
      <c r="O3024" s="37" t="str">
        <f t="shared" si="238"/>
        <v>Cash Payment</v>
      </c>
      <c r="P3024">
        <v>735.02</v>
      </c>
      <c r="Q3024" s="37" t="str">
        <f>IF(P3024&gt;500,"High","low")</f>
        <v>High</v>
      </c>
      <c r="R3024" s="37" t="str">
        <f t="shared" si="239"/>
        <v>Good</v>
      </c>
      <c r="S3024" t="s">
        <v>615</v>
      </c>
    </row>
    <row r="3025" spans="1:19" x14ac:dyDescent="0.2">
      <c r="A3025" t="s">
        <v>3636</v>
      </c>
      <c r="B3025" t="s">
        <v>67</v>
      </c>
      <c r="C3025" t="s">
        <v>614</v>
      </c>
      <c r="D3025">
        <v>4760.79</v>
      </c>
      <c r="E3025" s="37" t="str">
        <f t="shared" si="235"/>
        <v>Excellent Order</v>
      </c>
      <c r="F3025">
        <v>0.2</v>
      </c>
      <c r="G3025" s="37" t="str">
        <f t="shared" si="236"/>
        <v>Normal Discount</v>
      </c>
      <c r="H3025" s="37" t="str">
        <f t="shared" si="237"/>
        <v>Medium</v>
      </c>
      <c r="I3025">
        <v>6</v>
      </c>
      <c r="J3025" t="str" cm="1">
        <f t="array" ref="J3025">_xlfn.IFS(I3025&lt;=3,"small",I3025&lt;=6,"Medium",I3025&lt;=9,"Large")</f>
        <v>Medium</v>
      </c>
      <c r="K3025" s="36">
        <v>44937</v>
      </c>
      <c r="L3025" s="36">
        <v>44942</v>
      </c>
      <c r="M3025" t="s">
        <v>598</v>
      </c>
      <c r="N3025" t="s">
        <v>599</v>
      </c>
      <c r="O3025" s="37" t="str">
        <f t="shared" si="238"/>
        <v>Digital Payment</v>
      </c>
      <c r="P3025">
        <v>1301.0999999999999</v>
      </c>
      <c r="Q3025" s="37" t="str">
        <f>IF(P3025&gt;500,"High","low")</f>
        <v>High</v>
      </c>
      <c r="R3025" s="37" t="str">
        <f t="shared" si="239"/>
        <v>Excellent</v>
      </c>
      <c r="S3025" t="s">
        <v>628</v>
      </c>
    </row>
    <row r="3026" spans="1:19" x14ac:dyDescent="0.2">
      <c r="A3026" t="s">
        <v>3637</v>
      </c>
      <c r="B3026" t="s">
        <v>90</v>
      </c>
      <c r="C3026" t="s">
        <v>607</v>
      </c>
      <c r="D3026">
        <v>4458.91</v>
      </c>
      <c r="E3026" s="37" t="str">
        <f t="shared" si="235"/>
        <v xml:space="preserve"> </v>
      </c>
      <c r="F3026">
        <v>0.14000000000000001</v>
      </c>
      <c r="G3026" s="37" t="str">
        <f t="shared" si="236"/>
        <v>Normal Discount</v>
      </c>
      <c r="H3026" s="37" t="str">
        <f t="shared" si="237"/>
        <v>Low</v>
      </c>
      <c r="I3026">
        <v>3</v>
      </c>
      <c r="J3026" t="str" cm="1">
        <f t="array" ref="J3026">_xlfn.IFS(I3026&lt;=3,"small",I3026&lt;=6,"Medium",I3026&lt;=9,"Large")</f>
        <v>small</v>
      </c>
      <c r="K3026" s="36">
        <v>45249</v>
      </c>
      <c r="L3026" s="36">
        <v>45250</v>
      </c>
      <c r="M3026" t="s">
        <v>603</v>
      </c>
      <c r="N3026" t="s">
        <v>599</v>
      </c>
      <c r="O3026" s="37" t="str">
        <f t="shared" si="238"/>
        <v>Digital Payment</v>
      </c>
      <c r="P3026">
        <v>432.3</v>
      </c>
      <c r="Q3026" s="37" t="str">
        <f>IF(P3026&gt;500,"High","low")</f>
        <v>low</v>
      </c>
      <c r="R3026" s="37" t="str">
        <f t="shared" si="239"/>
        <v>AVERAGE</v>
      </c>
      <c r="S3026" t="s">
        <v>609</v>
      </c>
    </row>
    <row r="3027" spans="1:19" x14ac:dyDescent="0.2">
      <c r="A3027" t="s">
        <v>3638</v>
      </c>
      <c r="B3027" t="s">
        <v>90</v>
      </c>
      <c r="C3027" t="s">
        <v>614</v>
      </c>
      <c r="D3027">
        <v>2340.9499999999998</v>
      </c>
      <c r="E3027" s="37" t="str">
        <f t="shared" si="235"/>
        <v xml:space="preserve"> </v>
      </c>
      <c r="F3027">
        <v>0.22</v>
      </c>
      <c r="G3027" s="37" t="str">
        <f t="shared" si="236"/>
        <v>Normal Discount</v>
      </c>
      <c r="H3027" s="37" t="str">
        <f t="shared" si="237"/>
        <v>Medium</v>
      </c>
      <c r="I3027">
        <v>7</v>
      </c>
      <c r="J3027" t="str" cm="1">
        <f t="array" ref="J3027">_xlfn.IFS(I3027&lt;=3,"small",I3027&lt;=6,"Medium",I3027&lt;=9,"Large")</f>
        <v>Large</v>
      </c>
      <c r="K3027" s="36">
        <v>44956</v>
      </c>
      <c r="L3027" s="36">
        <v>44961</v>
      </c>
      <c r="M3027" t="s">
        <v>598</v>
      </c>
      <c r="N3027" t="s">
        <v>608</v>
      </c>
      <c r="O3027" s="37" t="str">
        <f t="shared" si="238"/>
        <v>Cash Payment</v>
      </c>
      <c r="P3027">
        <v>629.14</v>
      </c>
      <c r="Q3027" s="37" t="str">
        <f>IF(P3027&gt;500,"High","low")</f>
        <v>High</v>
      </c>
      <c r="R3027" s="37" t="str">
        <f t="shared" si="239"/>
        <v>Good</v>
      </c>
      <c r="S3027" t="s">
        <v>605</v>
      </c>
    </row>
    <row r="3028" spans="1:19" x14ac:dyDescent="0.2">
      <c r="A3028" t="s">
        <v>3639</v>
      </c>
      <c r="B3028" t="s">
        <v>75</v>
      </c>
      <c r="C3028" t="s">
        <v>602</v>
      </c>
      <c r="D3028">
        <v>3218.81</v>
      </c>
      <c r="E3028" s="37" t="str">
        <f t="shared" si="235"/>
        <v xml:space="preserve"> </v>
      </c>
      <c r="F3028">
        <v>0.04</v>
      </c>
      <c r="G3028" s="37" t="str">
        <f t="shared" si="236"/>
        <v>Normal Discount</v>
      </c>
      <c r="H3028" s="37" t="str">
        <f t="shared" si="237"/>
        <v>Low</v>
      </c>
      <c r="I3028">
        <v>6</v>
      </c>
      <c r="J3028" t="str" cm="1">
        <f t="array" ref="J3028">_xlfn.IFS(I3028&lt;=3,"small",I3028&lt;=6,"Medium",I3028&lt;=9,"Large")</f>
        <v>Medium</v>
      </c>
      <c r="K3028" s="36">
        <v>45402</v>
      </c>
      <c r="L3028" s="36">
        <v>45408</v>
      </c>
      <c r="M3028" t="s">
        <v>612</v>
      </c>
      <c r="N3028" t="s">
        <v>604</v>
      </c>
      <c r="O3028" s="37" t="str">
        <f t="shared" si="238"/>
        <v>Digital Payment</v>
      </c>
      <c r="P3028">
        <v>855.39</v>
      </c>
      <c r="Q3028" s="37" t="str">
        <f>IF(P3028&gt;500,"High","low")</f>
        <v>High</v>
      </c>
      <c r="R3028" s="37" t="str">
        <f t="shared" si="239"/>
        <v>Good</v>
      </c>
      <c r="S3028" t="s">
        <v>628</v>
      </c>
    </row>
    <row r="3029" spans="1:19" x14ac:dyDescent="0.2">
      <c r="A3029" t="s">
        <v>3640</v>
      </c>
      <c r="B3029" t="s">
        <v>75</v>
      </c>
      <c r="C3029" t="s">
        <v>607</v>
      </c>
      <c r="D3029">
        <v>1230.4100000000001</v>
      </c>
      <c r="E3029" s="37" t="str">
        <f t="shared" si="235"/>
        <v xml:space="preserve"> </v>
      </c>
      <c r="F3029">
        <v>0.2</v>
      </c>
      <c r="G3029" s="37" t="str">
        <f t="shared" si="236"/>
        <v>Normal Discount</v>
      </c>
      <c r="H3029" s="37" t="str">
        <f t="shared" si="237"/>
        <v>Medium</v>
      </c>
      <c r="I3029">
        <v>5</v>
      </c>
      <c r="J3029" t="str" cm="1">
        <f t="array" ref="J3029">_xlfn.IFS(I3029&lt;=3,"small",I3029&lt;=6,"Medium",I3029&lt;=9,"Large")</f>
        <v>Medium</v>
      </c>
      <c r="K3029" s="36">
        <v>45287</v>
      </c>
      <c r="L3029" s="36">
        <v>45293</v>
      </c>
      <c r="M3029" t="s">
        <v>612</v>
      </c>
      <c r="N3029" t="s">
        <v>604</v>
      </c>
      <c r="O3029" s="37" t="str">
        <f t="shared" si="238"/>
        <v>Digital Payment</v>
      </c>
      <c r="P3029">
        <v>138.52000000000001</v>
      </c>
      <c r="Q3029" s="37" t="str">
        <f>IF(P3029&gt;500,"High","low")</f>
        <v>low</v>
      </c>
      <c r="R3029" s="37" t="str">
        <f t="shared" si="239"/>
        <v>AVERAGE</v>
      </c>
      <c r="S3029" t="s">
        <v>600</v>
      </c>
    </row>
    <row r="3030" spans="1:19" x14ac:dyDescent="0.2">
      <c r="A3030" t="s">
        <v>3641</v>
      </c>
      <c r="B3030" t="s">
        <v>90</v>
      </c>
      <c r="C3030" t="s">
        <v>602</v>
      </c>
      <c r="D3030">
        <v>2074.7399999999998</v>
      </c>
      <c r="E3030" s="37" t="str">
        <f t="shared" si="235"/>
        <v xml:space="preserve"> </v>
      </c>
      <c r="F3030">
        <v>0.16</v>
      </c>
      <c r="G3030" s="37" t="str">
        <f t="shared" si="236"/>
        <v>Normal Discount</v>
      </c>
      <c r="H3030" s="37" t="str">
        <f t="shared" si="237"/>
        <v>Low</v>
      </c>
      <c r="I3030">
        <v>3</v>
      </c>
      <c r="J3030" t="str" cm="1">
        <f t="array" ref="J3030">_xlfn.IFS(I3030&lt;=3,"small",I3030&lt;=6,"Medium",I3030&lt;=9,"Large")</f>
        <v>small</v>
      </c>
      <c r="K3030" s="36">
        <v>45647</v>
      </c>
      <c r="L3030" s="36">
        <v>45648</v>
      </c>
      <c r="M3030" t="s">
        <v>598</v>
      </c>
      <c r="N3030" t="s">
        <v>599</v>
      </c>
      <c r="O3030" s="37" t="str">
        <f t="shared" si="238"/>
        <v>Digital Payment</v>
      </c>
      <c r="P3030">
        <v>517.5</v>
      </c>
      <c r="Q3030" s="37" t="str">
        <f>IF(P3030&gt;500,"High","low")</f>
        <v>High</v>
      </c>
      <c r="R3030" s="37" t="str">
        <f t="shared" si="239"/>
        <v>Good</v>
      </c>
      <c r="S3030" t="s">
        <v>620</v>
      </c>
    </row>
    <row r="3031" spans="1:19" x14ac:dyDescent="0.2">
      <c r="A3031" t="s">
        <v>3642</v>
      </c>
      <c r="B3031" t="s">
        <v>90</v>
      </c>
      <c r="C3031" t="s">
        <v>617</v>
      </c>
      <c r="D3031">
        <v>4368.79</v>
      </c>
      <c r="E3031" s="37" t="str">
        <f t="shared" si="235"/>
        <v>Excellent Order</v>
      </c>
      <c r="F3031">
        <v>0.4</v>
      </c>
      <c r="G3031" s="37" t="str">
        <f t="shared" si="236"/>
        <v>Heavy Discount</v>
      </c>
      <c r="H3031" s="37" t="str">
        <f t="shared" si="237"/>
        <v>Medium</v>
      </c>
      <c r="I3031">
        <v>3</v>
      </c>
      <c r="J3031" t="str" cm="1">
        <f t="array" ref="J3031">_xlfn.IFS(I3031&lt;=3,"small",I3031&lt;=6,"Medium",I3031&lt;=9,"Large")</f>
        <v>small</v>
      </c>
      <c r="K3031" s="36">
        <v>44949</v>
      </c>
      <c r="L3031" s="36">
        <v>44950</v>
      </c>
      <c r="M3031" t="s">
        <v>603</v>
      </c>
      <c r="N3031" t="s">
        <v>608</v>
      </c>
      <c r="O3031" s="37" t="str">
        <f t="shared" si="238"/>
        <v>Cash Payment</v>
      </c>
      <c r="P3031">
        <v>1265.5</v>
      </c>
      <c r="Q3031" s="37" t="str">
        <f>IF(P3031&gt;500,"High","low")</f>
        <v>High</v>
      </c>
      <c r="R3031" s="37" t="str">
        <f t="shared" si="239"/>
        <v>Excellent</v>
      </c>
      <c r="S3031" t="s">
        <v>628</v>
      </c>
    </row>
    <row r="3032" spans="1:19" x14ac:dyDescent="0.2">
      <c r="A3032" t="s">
        <v>3643</v>
      </c>
      <c r="B3032" t="s">
        <v>90</v>
      </c>
      <c r="C3032" t="s">
        <v>614</v>
      </c>
      <c r="D3032">
        <v>243.07</v>
      </c>
      <c r="E3032" s="37" t="str">
        <f t="shared" si="235"/>
        <v xml:space="preserve"> </v>
      </c>
      <c r="F3032">
        <v>0.09</v>
      </c>
      <c r="G3032" s="37" t="str">
        <f t="shared" si="236"/>
        <v>Normal Discount</v>
      </c>
      <c r="H3032" s="37" t="str">
        <f t="shared" si="237"/>
        <v>Low</v>
      </c>
      <c r="I3032">
        <v>6</v>
      </c>
      <c r="J3032" t="str" cm="1">
        <f t="array" ref="J3032">_xlfn.IFS(I3032&lt;=3,"small",I3032&lt;=6,"Medium",I3032&lt;=9,"Large")</f>
        <v>Medium</v>
      </c>
      <c r="K3032" s="36">
        <v>45267</v>
      </c>
      <c r="L3032" s="36">
        <v>45271</v>
      </c>
      <c r="M3032" t="s">
        <v>598</v>
      </c>
      <c r="N3032" t="s">
        <v>599</v>
      </c>
      <c r="O3032" s="37" t="str">
        <f t="shared" si="238"/>
        <v>Digital Payment</v>
      </c>
      <c r="P3032">
        <v>21.74</v>
      </c>
      <c r="Q3032" s="37" t="str">
        <f>IF(P3032&gt;500,"High","low")</f>
        <v>low</v>
      </c>
      <c r="R3032" s="37" t="str">
        <f t="shared" si="239"/>
        <v>AVERAGE</v>
      </c>
      <c r="S3032" t="s">
        <v>609</v>
      </c>
    </row>
    <row r="3033" spans="1:19" x14ac:dyDescent="0.2">
      <c r="A3033" t="s">
        <v>3644</v>
      </c>
      <c r="B3033" t="s">
        <v>67</v>
      </c>
      <c r="C3033" t="s">
        <v>607</v>
      </c>
      <c r="D3033">
        <v>2710.52</v>
      </c>
      <c r="E3033" s="37" t="str">
        <f t="shared" si="235"/>
        <v xml:space="preserve"> </v>
      </c>
      <c r="F3033">
        <v>0.38</v>
      </c>
      <c r="G3033" s="37" t="str">
        <f t="shared" si="236"/>
        <v>Heavy Discount</v>
      </c>
      <c r="H3033" s="37" t="str">
        <f t="shared" si="237"/>
        <v>Medium</v>
      </c>
      <c r="I3033">
        <v>6</v>
      </c>
      <c r="J3033" t="str" cm="1">
        <f t="array" ref="J3033">_xlfn.IFS(I3033&lt;=3,"small",I3033&lt;=6,"Medium",I3033&lt;=9,"Large")</f>
        <v>Medium</v>
      </c>
      <c r="K3033" s="36">
        <v>45443</v>
      </c>
      <c r="L3033" s="36">
        <v>45444</v>
      </c>
      <c r="M3033" t="s">
        <v>603</v>
      </c>
      <c r="N3033" t="s">
        <v>599</v>
      </c>
      <c r="O3033" s="37" t="str">
        <f t="shared" si="238"/>
        <v>Digital Payment</v>
      </c>
      <c r="P3033">
        <v>505.49</v>
      </c>
      <c r="Q3033" s="37" t="str">
        <f>IF(P3033&gt;500,"High","low")</f>
        <v>High</v>
      </c>
      <c r="R3033" s="37" t="str">
        <f t="shared" si="239"/>
        <v>Good</v>
      </c>
      <c r="S3033" t="s">
        <v>620</v>
      </c>
    </row>
    <row r="3034" spans="1:19" x14ac:dyDescent="0.2">
      <c r="A3034" t="s">
        <v>3645</v>
      </c>
      <c r="B3034" t="s">
        <v>90</v>
      </c>
      <c r="C3034" t="s">
        <v>607</v>
      </c>
      <c r="D3034">
        <v>4376.71</v>
      </c>
      <c r="E3034" s="37" t="str">
        <f t="shared" si="235"/>
        <v>Excellent Order</v>
      </c>
      <c r="F3034">
        <v>0.25</v>
      </c>
      <c r="G3034" s="37" t="str">
        <f t="shared" si="236"/>
        <v>Normal Discount</v>
      </c>
      <c r="H3034" s="37" t="str">
        <f t="shared" si="237"/>
        <v>Medium</v>
      </c>
      <c r="I3034">
        <v>5</v>
      </c>
      <c r="J3034" t="str" cm="1">
        <f t="array" ref="J3034">_xlfn.IFS(I3034&lt;=3,"small",I3034&lt;=6,"Medium",I3034&lt;=9,"Large")</f>
        <v>Medium</v>
      </c>
      <c r="K3034" s="36">
        <v>45182</v>
      </c>
      <c r="L3034" s="36">
        <v>45189</v>
      </c>
      <c r="M3034" t="s">
        <v>603</v>
      </c>
      <c r="N3034" t="s">
        <v>604</v>
      </c>
      <c r="O3034" s="37" t="str">
        <f t="shared" si="238"/>
        <v>Digital Payment</v>
      </c>
      <c r="P3034">
        <v>1101.44</v>
      </c>
      <c r="Q3034" s="37" t="str">
        <f>IF(P3034&gt;500,"High","low")</f>
        <v>High</v>
      </c>
      <c r="R3034" s="37" t="str">
        <f t="shared" si="239"/>
        <v>Excellent</v>
      </c>
      <c r="S3034" t="s">
        <v>609</v>
      </c>
    </row>
    <row r="3035" spans="1:19" x14ac:dyDescent="0.2">
      <c r="A3035" t="s">
        <v>3646</v>
      </c>
      <c r="B3035" t="s">
        <v>75</v>
      </c>
      <c r="C3035" t="s">
        <v>614</v>
      </c>
      <c r="D3035">
        <v>697.85</v>
      </c>
      <c r="E3035" s="37" t="str">
        <f t="shared" si="235"/>
        <v xml:space="preserve"> </v>
      </c>
      <c r="F3035">
        <v>0.04</v>
      </c>
      <c r="G3035" s="37" t="str">
        <f t="shared" si="236"/>
        <v>Normal Discount</v>
      </c>
      <c r="H3035" s="37" t="str">
        <f t="shared" si="237"/>
        <v>Low</v>
      </c>
      <c r="I3035">
        <v>3</v>
      </c>
      <c r="J3035" t="str" cm="1">
        <f t="array" ref="J3035">_xlfn.IFS(I3035&lt;=3,"small",I3035&lt;=6,"Medium",I3035&lt;=9,"Large")</f>
        <v>small</v>
      </c>
      <c r="K3035" s="36">
        <v>45098</v>
      </c>
      <c r="L3035" s="36">
        <v>45099</v>
      </c>
      <c r="M3035" t="s">
        <v>612</v>
      </c>
      <c r="N3035" t="s">
        <v>604</v>
      </c>
      <c r="O3035" s="37" t="str">
        <f t="shared" si="238"/>
        <v>Digital Payment</v>
      </c>
      <c r="P3035">
        <v>92.78</v>
      </c>
      <c r="Q3035" s="37" t="str">
        <f>IF(P3035&gt;500,"High","low")</f>
        <v>low</v>
      </c>
      <c r="R3035" s="37" t="str">
        <f t="shared" si="239"/>
        <v>AVERAGE</v>
      </c>
      <c r="S3035" t="s">
        <v>600</v>
      </c>
    </row>
    <row r="3036" spans="1:19" x14ac:dyDescent="0.2">
      <c r="A3036" t="s">
        <v>3647</v>
      </c>
      <c r="B3036" t="s">
        <v>67</v>
      </c>
      <c r="C3036" t="s">
        <v>597</v>
      </c>
      <c r="D3036">
        <v>4914.4799999999996</v>
      </c>
      <c r="E3036" s="37" t="str">
        <f t="shared" si="235"/>
        <v xml:space="preserve"> </v>
      </c>
      <c r="F3036">
        <v>0.48</v>
      </c>
      <c r="G3036" s="37" t="str">
        <f t="shared" si="236"/>
        <v>Heavy Discount</v>
      </c>
      <c r="H3036" s="37" t="str">
        <f t="shared" si="237"/>
        <v>High</v>
      </c>
      <c r="I3036">
        <v>2</v>
      </c>
      <c r="J3036" t="str" cm="1">
        <f t="array" ref="J3036">_xlfn.IFS(I3036&lt;=3,"small",I3036&lt;=6,"Medium",I3036&lt;=9,"Large")</f>
        <v>small</v>
      </c>
      <c r="K3036" s="36">
        <v>45453</v>
      </c>
      <c r="L3036" s="36">
        <v>45455</v>
      </c>
      <c r="M3036" t="s">
        <v>612</v>
      </c>
      <c r="N3036" t="s">
        <v>608</v>
      </c>
      <c r="O3036" s="37" t="str">
        <f t="shared" si="238"/>
        <v>Cash Payment</v>
      </c>
      <c r="P3036">
        <v>339.24</v>
      </c>
      <c r="Q3036" s="37" t="str">
        <f>IF(P3036&gt;500,"High","low")</f>
        <v>low</v>
      </c>
      <c r="R3036" s="37" t="str">
        <f t="shared" si="239"/>
        <v>AVERAGE</v>
      </c>
      <c r="S3036" t="s">
        <v>609</v>
      </c>
    </row>
    <row r="3037" spans="1:19" x14ac:dyDescent="0.2">
      <c r="A3037" t="s">
        <v>3648</v>
      </c>
      <c r="B3037" t="s">
        <v>90</v>
      </c>
      <c r="C3037" t="s">
        <v>597</v>
      </c>
      <c r="D3037">
        <v>160.72</v>
      </c>
      <c r="E3037" s="37" t="str">
        <f t="shared" si="235"/>
        <v xml:space="preserve"> </v>
      </c>
      <c r="F3037">
        <v>0.37</v>
      </c>
      <c r="G3037" s="37" t="str">
        <f t="shared" si="236"/>
        <v>Heavy Discount</v>
      </c>
      <c r="H3037" s="37" t="str">
        <f t="shared" si="237"/>
        <v>Medium</v>
      </c>
      <c r="I3037">
        <v>4</v>
      </c>
      <c r="J3037" t="str" cm="1">
        <f t="array" ref="J3037">_xlfn.IFS(I3037&lt;=3,"small",I3037&lt;=6,"Medium",I3037&lt;=9,"Large")</f>
        <v>Medium</v>
      </c>
      <c r="K3037" s="36">
        <v>45548</v>
      </c>
      <c r="L3037" s="36">
        <v>45549</v>
      </c>
      <c r="M3037" t="s">
        <v>598</v>
      </c>
      <c r="N3037" t="s">
        <v>599</v>
      </c>
      <c r="O3037" s="37" t="str">
        <f t="shared" si="238"/>
        <v>Digital Payment</v>
      </c>
      <c r="P3037">
        <v>12.97</v>
      </c>
      <c r="Q3037" s="37" t="str">
        <f>IF(P3037&gt;500,"High","low")</f>
        <v>low</v>
      </c>
      <c r="R3037" s="37" t="str">
        <f t="shared" si="239"/>
        <v>AVERAGE</v>
      </c>
      <c r="S3037" t="s">
        <v>605</v>
      </c>
    </row>
    <row r="3038" spans="1:19" x14ac:dyDescent="0.2">
      <c r="A3038" t="s">
        <v>3649</v>
      </c>
      <c r="B3038" t="s">
        <v>75</v>
      </c>
      <c r="C3038" t="s">
        <v>602</v>
      </c>
      <c r="D3038">
        <v>4441.99</v>
      </c>
      <c r="E3038" s="37" t="str">
        <f t="shared" si="235"/>
        <v xml:space="preserve"> </v>
      </c>
      <c r="F3038">
        <v>0.13</v>
      </c>
      <c r="G3038" s="37" t="str">
        <f t="shared" si="236"/>
        <v>Normal Discount</v>
      </c>
      <c r="H3038" s="37" t="str">
        <f t="shared" si="237"/>
        <v>Low</v>
      </c>
      <c r="I3038">
        <v>4</v>
      </c>
      <c r="J3038" t="str" cm="1">
        <f t="array" ref="J3038">_xlfn.IFS(I3038&lt;=3,"small",I3038&lt;=6,"Medium",I3038&lt;=9,"Large")</f>
        <v>Medium</v>
      </c>
      <c r="K3038" s="36">
        <v>45440</v>
      </c>
      <c r="L3038" s="36">
        <v>45444</v>
      </c>
      <c r="M3038" t="s">
        <v>603</v>
      </c>
      <c r="N3038" t="s">
        <v>608</v>
      </c>
      <c r="O3038" s="37" t="str">
        <f t="shared" si="238"/>
        <v>Cash Payment</v>
      </c>
      <c r="P3038">
        <v>592.30999999999995</v>
      </c>
      <c r="Q3038" s="37" t="str">
        <f>IF(P3038&gt;500,"High","low")</f>
        <v>High</v>
      </c>
      <c r="R3038" s="37" t="str">
        <f t="shared" si="239"/>
        <v>Good</v>
      </c>
      <c r="S3038" t="s">
        <v>600</v>
      </c>
    </row>
    <row r="3039" spans="1:19" x14ac:dyDescent="0.2">
      <c r="A3039" t="s">
        <v>3650</v>
      </c>
      <c r="B3039" t="s">
        <v>67</v>
      </c>
      <c r="C3039" t="s">
        <v>614</v>
      </c>
      <c r="D3039">
        <v>1833</v>
      </c>
      <c r="E3039" s="37" t="str">
        <f t="shared" si="235"/>
        <v xml:space="preserve"> </v>
      </c>
      <c r="F3039">
        <v>0.28999999999999998</v>
      </c>
      <c r="G3039" s="37" t="str">
        <f t="shared" si="236"/>
        <v>Normal Discount</v>
      </c>
      <c r="H3039" s="37" t="str">
        <f t="shared" si="237"/>
        <v>Medium</v>
      </c>
      <c r="I3039">
        <v>2</v>
      </c>
      <c r="J3039" t="str" cm="1">
        <f t="array" ref="J3039">_xlfn.IFS(I3039&lt;=3,"small",I3039&lt;=6,"Medium",I3039&lt;=9,"Large")</f>
        <v>small</v>
      </c>
      <c r="K3039" s="36">
        <v>45620</v>
      </c>
      <c r="L3039" s="36">
        <v>45624</v>
      </c>
      <c r="M3039" t="s">
        <v>598</v>
      </c>
      <c r="N3039" t="s">
        <v>608</v>
      </c>
      <c r="O3039" s="37" t="str">
        <f t="shared" si="238"/>
        <v>Cash Payment</v>
      </c>
      <c r="P3039">
        <v>111.16</v>
      </c>
      <c r="Q3039" s="37" t="str">
        <f>IF(P3039&gt;500,"High","low")</f>
        <v>low</v>
      </c>
      <c r="R3039" s="37" t="str">
        <f t="shared" si="239"/>
        <v>AVERAGE</v>
      </c>
      <c r="S3039" t="s">
        <v>605</v>
      </c>
    </row>
    <row r="3040" spans="1:19" x14ac:dyDescent="0.2">
      <c r="A3040" t="s">
        <v>3651</v>
      </c>
      <c r="B3040" t="s">
        <v>90</v>
      </c>
      <c r="C3040" t="s">
        <v>614</v>
      </c>
      <c r="D3040">
        <v>750.18</v>
      </c>
      <c r="E3040" s="37" t="str">
        <f t="shared" si="235"/>
        <v xml:space="preserve"> </v>
      </c>
      <c r="F3040">
        <v>0.45</v>
      </c>
      <c r="G3040" s="37" t="str">
        <f t="shared" si="236"/>
        <v>Heavy Discount</v>
      </c>
      <c r="H3040" s="37" t="str">
        <f t="shared" si="237"/>
        <v>High</v>
      </c>
      <c r="I3040">
        <v>9</v>
      </c>
      <c r="J3040" t="str" cm="1">
        <f t="array" ref="J3040">_xlfn.IFS(I3040&lt;=3,"small",I3040&lt;=6,"Medium",I3040&lt;=9,"Large")</f>
        <v>Large</v>
      </c>
      <c r="K3040" s="36">
        <v>45138</v>
      </c>
      <c r="L3040" s="36">
        <v>45142</v>
      </c>
      <c r="M3040" t="s">
        <v>603</v>
      </c>
      <c r="N3040" t="s">
        <v>604</v>
      </c>
      <c r="O3040" s="37" t="str">
        <f t="shared" si="238"/>
        <v>Digital Payment</v>
      </c>
      <c r="P3040">
        <v>46.05</v>
      </c>
      <c r="Q3040" s="37" t="str">
        <f>IF(P3040&gt;500,"High","low")</f>
        <v>low</v>
      </c>
      <c r="R3040" s="37" t="str">
        <f t="shared" si="239"/>
        <v>AVERAGE</v>
      </c>
      <c r="S3040" t="s">
        <v>620</v>
      </c>
    </row>
    <row r="3041" spans="1:19" x14ac:dyDescent="0.2">
      <c r="A3041" t="s">
        <v>3652</v>
      </c>
      <c r="B3041" t="s">
        <v>90</v>
      </c>
      <c r="C3041" t="s">
        <v>617</v>
      </c>
      <c r="D3041">
        <v>871.06</v>
      </c>
      <c r="E3041" s="37" t="str">
        <f t="shared" si="235"/>
        <v xml:space="preserve"> </v>
      </c>
      <c r="F3041">
        <v>0.47</v>
      </c>
      <c r="G3041" s="37" t="str">
        <f t="shared" si="236"/>
        <v>Heavy Discount</v>
      </c>
      <c r="H3041" s="37" t="str">
        <f t="shared" si="237"/>
        <v>High</v>
      </c>
      <c r="I3041">
        <v>3</v>
      </c>
      <c r="J3041" t="str" cm="1">
        <f t="array" ref="J3041">_xlfn.IFS(I3041&lt;=3,"small",I3041&lt;=6,"Medium",I3041&lt;=9,"Large")</f>
        <v>small</v>
      </c>
      <c r="K3041" s="36">
        <v>45308</v>
      </c>
      <c r="L3041" s="36">
        <v>45311</v>
      </c>
      <c r="M3041" t="s">
        <v>598</v>
      </c>
      <c r="N3041" t="s">
        <v>599</v>
      </c>
      <c r="O3041" s="37" t="str">
        <f t="shared" si="238"/>
        <v>Digital Payment</v>
      </c>
      <c r="P3041">
        <v>255.82</v>
      </c>
      <c r="Q3041" s="37" t="str">
        <f>IF(P3041&gt;500,"High","low")</f>
        <v>low</v>
      </c>
      <c r="R3041" s="37" t="str">
        <f t="shared" si="239"/>
        <v>AVERAGE</v>
      </c>
      <c r="S3041" t="s">
        <v>620</v>
      </c>
    </row>
    <row r="3042" spans="1:19" x14ac:dyDescent="0.2">
      <c r="A3042" t="s">
        <v>3653</v>
      </c>
      <c r="B3042" t="s">
        <v>90</v>
      </c>
      <c r="C3042" t="s">
        <v>597</v>
      </c>
      <c r="D3042">
        <v>3535.78</v>
      </c>
      <c r="E3042" s="37" t="str">
        <f t="shared" si="235"/>
        <v xml:space="preserve"> </v>
      </c>
      <c r="F3042">
        <v>0.37</v>
      </c>
      <c r="G3042" s="37" t="str">
        <f t="shared" si="236"/>
        <v>Heavy Discount</v>
      </c>
      <c r="H3042" s="37" t="str">
        <f t="shared" si="237"/>
        <v>Medium</v>
      </c>
      <c r="I3042">
        <v>1</v>
      </c>
      <c r="J3042" t="str" cm="1">
        <f t="array" ref="J3042">_xlfn.IFS(I3042&lt;=3,"small",I3042&lt;=6,"Medium",I3042&lt;=9,"Large")</f>
        <v>small</v>
      </c>
      <c r="K3042" s="36">
        <v>44967</v>
      </c>
      <c r="L3042" s="36">
        <v>44974</v>
      </c>
      <c r="M3042" t="s">
        <v>598</v>
      </c>
      <c r="N3042" t="s">
        <v>599</v>
      </c>
      <c r="O3042" s="37" t="str">
        <f t="shared" si="238"/>
        <v>Digital Payment</v>
      </c>
      <c r="P3042">
        <v>285.64</v>
      </c>
      <c r="Q3042" s="37" t="str">
        <f>IF(P3042&gt;500,"High","low")</f>
        <v>low</v>
      </c>
      <c r="R3042" s="37" t="str">
        <f t="shared" si="239"/>
        <v>AVERAGE</v>
      </c>
      <c r="S3042" t="s">
        <v>620</v>
      </c>
    </row>
    <row r="3043" spans="1:19" x14ac:dyDescent="0.2">
      <c r="A3043" t="s">
        <v>3654</v>
      </c>
      <c r="B3043" t="s">
        <v>67</v>
      </c>
      <c r="C3043" t="s">
        <v>597</v>
      </c>
      <c r="D3043">
        <v>4366.53</v>
      </c>
      <c r="E3043" s="37" t="str">
        <f t="shared" si="235"/>
        <v xml:space="preserve"> </v>
      </c>
      <c r="F3043">
        <v>0.36</v>
      </c>
      <c r="G3043" s="37" t="str">
        <f t="shared" si="236"/>
        <v>Heavy Discount</v>
      </c>
      <c r="H3043" s="37" t="str">
        <f t="shared" si="237"/>
        <v>Medium</v>
      </c>
      <c r="I3043">
        <v>5</v>
      </c>
      <c r="J3043" t="str" cm="1">
        <f t="array" ref="J3043">_xlfn.IFS(I3043&lt;=3,"small",I3043&lt;=6,"Medium",I3043&lt;=9,"Large")</f>
        <v>Medium</v>
      </c>
      <c r="K3043" s="36">
        <v>45229</v>
      </c>
      <c r="L3043" s="36">
        <v>45234</v>
      </c>
      <c r="M3043" t="s">
        <v>598</v>
      </c>
      <c r="N3043" t="s">
        <v>608</v>
      </c>
      <c r="O3043" s="37" t="str">
        <f t="shared" si="238"/>
        <v>Cash Payment</v>
      </c>
      <c r="P3043">
        <v>396.64</v>
      </c>
      <c r="Q3043" s="37" t="str">
        <f>IF(P3043&gt;500,"High","low")</f>
        <v>low</v>
      </c>
      <c r="R3043" s="37" t="str">
        <f t="shared" si="239"/>
        <v>AVERAGE</v>
      </c>
      <c r="S3043" t="s">
        <v>609</v>
      </c>
    </row>
    <row r="3044" spans="1:19" x14ac:dyDescent="0.2">
      <c r="A3044" t="s">
        <v>3655</v>
      </c>
      <c r="B3044" t="s">
        <v>75</v>
      </c>
      <c r="C3044" t="s">
        <v>614</v>
      </c>
      <c r="D3044">
        <v>3241.23</v>
      </c>
      <c r="E3044" s="37" t="str">
        <f t="shared" si="235"/>
        <v xml:space="preserve"> </v>
      </c>
      <c r="F3044">
        <v>0.14000000000000001</v>
      </c>
      <c r="G3044" s="37" t="str">
        <f t="shared" si="236"/>
        <v>Normal Discount</v>
      </c>
      <c r="H3044" s="37" t="str">
        <f t="shared" si="237"/>
        <v>Low</v>
      </c>
      <c r="I3044">
        <v>3</v>
      </c>
      <c r="J3044" t="str" cm="1">
        <f t="array" ref="J3044">_xlfn.IFS(I3044&lt;=3,"small",I3044&lt;=6,"Medium",I3044&lt;=9,"Large")</f>
        <v>small</v>
      </c>
      <c r="K3044" s="36">
        <v>45052</v>
      </c>
      <c r="L3044" s="36">
        <v>45053</v>
      </c>
      <c r="M3044" t="s">
        <v>612</v>
      </c>
      <c r="N3044" t="s">
        <v>608</v>
      </c>
      <c r="O3044" s="37" t="str">
        <f t="shared" si="238"/>
        <v>Cash Payment</v>
      </c>
      <c r="P3044">
        <v>640.85</v>
      </c>
      <c r="Q3044" s="37" t="str">
        <f>IF(P3044&gt;500,"High","low")</f>
        <v>High</v>
      </c>
      <c r="R3044" s="37" t="str">
        <f t="shared" si="239"/>
        <v>Good</v>
      </c>
      <c r="S3044" t="s">
        <v>620</v>
      </c>
    </row>
    <row r="3045" spans="1:19" x14ac:dyDescent="0.2">
      <c r="A3045" t="s">
        <v>3656</v>
      </c>
      <c r="B3045" t="s">
        <v>75</v>
      </c>
      <c r="C3045" t="s">
        <v>602</v>
      </c>
      <c r="D3045">
        <v>4650.75</v>
      </c>
      <c r="E3045" s="37" t="str">
        <f t="shared" si="235"/>
        <v>Excellent Order</v>
      </c>
      <c r="F3045">
        <v>0.49</v>
      </c>
      <c r="G3045" s="37" t="str">
        <f t="shared" si="236"/>
        <v>Heavy Discount</v>
      </c>
      <c r="H3045" s="37" t="str">
        <f t="shared" si="237"/>
        <v>High</v>
      </c>
      <c r="I3045">
        <v>6</v>
      </c>
      <c r="J3045" t="str" cm="1">
        <f t="array" ref="J3045">_xlfn.IFS(I3045&lt;=3,"small",I3045&lt;=6,"Medium",I3045&lt;=9,"Large")</f>
        <v>Medium</v>
      </c>
      <c r="K3045" s="36">
        <v>45267</v>
      </c>
      <c r="L3045" s="36">
        <v>45270</v>
      </c>
      <c r="M3045" t="s">
        <v>598</v>
      </c>
      <c r="N3045" t="s">
        <v>608</v>
      </c>
      <c r="O3045" s="37" t="str">
        <f t="shared" si="238"/>
        <v>Cash Payment</v>
      </c>
      <c r="P3045">
        <v>1179.97</v>
      </c>
      <c r="Q3045" s="37" t="str">
        <f>IF(P3045&gt;500,"High","low")</f>
        <v>High</v>
      </c>
      <c r="R3045" s="37" t="str">
        <f t="shared" si="239"/>
        <v>Excellent</v>
      </c>
      <c r="S3045" t="s">
        <v>615</v>
      </c>
    </row>
    <row r="3046" spans="1:19" x14ac:dyDescent="0.2">
      <c r="A3046" t="s">
        <v>3657</v>
      </c>
      <c r="B3046" t="s">
        <v>83</v>
      </c>
      <c r="C3046" t="s">
        <v>614</v>
      </c>
      <c r="D3046">
        <v>4228.1499999999996</v>
      </c>
      <c r="E3046" s="37" t="str">
        <f t="shared" si="235"/>
        <v xml:space="preserve"> </v>
      </c>
      <c r="F3046">
        <v>0.12</v>
      </c>
      <c r="G3046" s="37" t="str">
        <f t="shared" si="236"/>
        <v>Normal Discount</v>
      </c>
      <c r="H3046" s="37" t="str">
        <f t="shared" si="237"/>
        <v>Low</v>
      </c>
      <c r="I3046">
        <v>1</v>
      </c>
      <c r="J3046" t="str" cm="1">
        <f t="array" ref="J3046">_xlfn.IFS(I3046&lt;=3,"small",I3046&lt;=6,"Medium",I3046&lt;=9,"Large")</f>
        <v>small</v>
      </c>
      <c r="K3046" s="36">
        <v>45403</v>
      </c>
      <c r="L3046" s="36">
        <v>45407</v>
      </c>
      <c r="M3046" t="s">
        <v>598</v>
      </c>
      <c r="N3046" t="s">
        <v>599</v>
      </c>
      <c r="O3046" s="37" t="str">
        <f t="shared" si="238"/>
        <v>Digital Payment</v>
      </c>
      <c r="P3046">
        <v>380.17</v>
      </c>
      <c r="Q3046" s="37" t="str">
        <f>IF(P3046&gt;500,"High","low")</f>
        <v>low</v>
      </c>
      <c r="R3046" s="37" t="str">
        <f t="shared" si="239"/>
        <v>AVERAGE</v>
      </c>
      <c r="S3046" t="s">
        <v>609</v>
      </c>
    </row>
    <row r="3047" spans="1:19" x14ac:dyDescent="0.2">
      <c r="A3047" t="s">
        <v>3658</v>
      </c>
      <c r="B3047" t="s">
        <v>90</v>
      </c>
      <c r="C3047" t="s">
        <v>602</v>
      </c>
      <c r="D3047">
        <v>144.26</v>
      </c>
      <c r="E3047" s="37" t="str">
        <f t="shared" si="235"/>
        <v xml:space="preserve"> </v>
      </c>
      <c r="F3047">
        <v>0.04</v>
      </c>
      <c r="G3047" s="37" t="str">
        <f t="shared" si="236"/>
        <v>Normal Discount</v>
      </c>
      <c r="H3047" s="37" t="str">
        <f t="shared" si="237"/>
        <v>Low</v>
      </c>
      <c r="I3047">
        <v>4</v>
      </c>
      <c r="J3047" t="str" cm="1">
        <f t="array" ref="J3047">_xlfn.IFS(I3047&lt;=3,"small",I3047&lt;=6,"Medium",I3047&lt;=9,"Large")</f>
        <v>Medium</v>
      </c>
      <c r="K3047" s="36">
        <v>45560</v>
      </c>
      <c r="L3047" s="36">
        <v>45564</v>
      </c>
      <c r="M3047" t="s">
        <v>603</v>
      </c>
      <c r="N3047" t="s">
        <v>604</v>
      </c>
      <c r="O3047" s="37" t="str">
        <f t="shared" si="238"/>
        <v>Digital Payment</v>
      </c>
      <c r="P3047">
        <v>8.76</v>
      </c>
      <c r="Q3047" s="37" t="str">
        <f>IF(P3047&gt;500,"High","low")</f>
        <v>low</v>
      </c>
      <c r="R3047" s="37" t="str">
        <f t="shared" si="239"/>
        <v>AVERAGE</v>
      </c>
      <c r="S3047" t="s">
        <v>609</v>
      </c>
    </row>
    <row r="3048" spans="1:19" x14ac:dyDescent="0.2">
      <c r="A3048" t="s">
        <v>3659</v>
      </c>
      <c r="B3048" t="s">
        <v>83</v>
      </c>
      <c r="C3048" t="s">
        <v>597</v>
      </c>
      <c r="D3048">
        <v>3380.21</v>
      </c>
      <c r="E3048" s="37" t="str">
        <f t="shared" si="235"/>
        <v xml:space="preserve"> </v>
      </c>
      <c r="F3048">
        <v>0.49</v>
      </c>
      <c r="G3048" s="37" t="str">
        <f t="shared" si="236"/>
        <v>Heavy Discount</v>
      </c>
      <c r="H3048" s="37" t="str">
        <f t="shared" si="237"/>
        <v>High</v>
      </c>
      <c r="I3048">
        <v>1</v>
      </c>
      <c r="J3048" t="str" cm="1">
        <f t="array" ref="J3048">_xlfn.IFS(I3048&lt;=3,"small",I3048&lt;=6,"Medium",I3048&lt;=9,"Large")</f>
        <v>small</v>
      </c>
      <c r="K3048" s="36">
        <v>45464</v>
      </c>
      <c r="L3048" s="36">
        <v>45468</v>
      </c>
      <c r="M3048" t="s">
        <v>612</v>
      </c>
      <c r="N3048" t="s">
        <v>608</v>
      </c>
      <c r="O3048" s="37" t="str">
        <f t="shared" si="238"/>
        <v>Cash Payment</v>
      </c>
      <c r="P3048">
        <v>354.71</v>
      </c>
      <c r="Q3048" s="37" t="str">
        <f>IF(P3048&gt;500,"High","low")</f>
        <v>low</v>
      </c>
      <c r="R3048" s="37" t="str">
        <f t="shared" si="239"/>
        <v>AVERAGE</v>
      </c>
      <c r="S3048" t="s">
        <v>600</v>
      </c>
    </row>
    <row r="3049" spans="1:19" x14ac:dyDescent="0.2">
      <c r="A3049" t="s">
        <v>3660</v>
      </c>
      <c r="B3049" t="s">
        <v>83</v>
      </c>
      <c r="C3049" t="s">
        <v>617</v>
      </c>
      <c r="D3049">
        <v>1592.71</v>
      </c>
      <c r="E3049" s="37" t="str">
        <f t="shared" si="235"/>
        <v xml:space="preserve"> </v>
      </c>
      <c r="F3049">
        <v>0.08</v>
      </c>
      <c r="G3049" s="37" t="str">
        <f t="shared" si="236"/>
        <v>Normal Discount</v>
      </c>
      <c r="H3049" s="37" t="str">
        <f t="shared" si="237"/>
        <v>Low</v>
      </c>
      <c r="I3049">
        <v>1</v>
      </c>
      <c r="J3049" t="str" cm="1">
        <f t="array" ref="J3049">_xlfn.IFS(I3049&lt;=3,"small",I3049&lt;=6,"Medium",I3049&lt;=9,"Large")</f>
        <v>small</v>
      </c>
      <c r="K3049" s="36">
        <v>45458</v>
      </c>
      <c r="L3049" s="36">
        <v>45459</v>
      </c>
      <c r="M3049" t="s">
        <v>603</v>
      </c>
      <c r="N3049" t="s">
        <v>608</v>
      </c>
      <c r="O3049" s="37" t="str">
        <f t="shared" si="238"/>
        <v>Cash Payment</v>
      </c>
      <c r="P3049">
        <v>280.29000000000002</v>
      </c>
      <c r="Q3049" s="37" t="str">
        <f>IF(P3049&gt;500,"High","low")</f>
        <v>low</v>
      </c>
      <c r="R3049" s="37" t="str">
        <f t="shared" si="239"/>
        <v>AVERAGE</v>
      </c>
      <c r="S3049" t="s">
        <v>628</v>
      </c>
    </row>
    <row r="3050" spans="1:19" x14ac:dyDescent="0.2">
      <c r="A3050" t="s">
        <v>3661</v>
      </c>
      <c r="B3050" t="s">
        <v>75</v>
      </c>
      <c r="C3050" t="s">
        <v>607</v>
      </c>
      <c r="D3050">
        <v>2327.0500000000002</v>
      </c>
      <c r="E3050" s="37" t="str">
        <f t="shared" si="235"/>
        <v xml:space="preserve"> </v>
      </c>
      <c r="F3050">
        <v>0.26</v>
      </c>
      <c r="G3050" s="37" t="str">
        <f t="shared" si="236"/>
        <v>Normal Discount</v>
      </c>
      <c r="H3050" s="37" t="str">
        <f t="shared" si="237"/>
        <v>Medium</v>
      </c>
      <c r="I3050">
        <v>8</v>
      </c>
      <c r="J3050" t="str" cm="1">
        <f t="array" ref="J3050">_xlfn.IFS(I3050&lt;=3,"small",I3050&lt;=6,"Medium",I3050&lt;=9,"Large")</f>
        <v>Large</v>
      </c>
      <c r="K3050" s="36">
        <v>45218</v>
      </c>
      <c r="L3050" s="36">
        <v>45221</v>
      </c>
      <c r="M3050" t="s">
        <v>598</v>
      </c>
      <c r="N3050" t="s">
        <v>599</v>
      </c>
      <c r="O3050" s="37" t="str">
        <f t="shared" si="238"/>
        <v>Digital Payment</v>
      </c>
      <c r="P3050">
        <v>693.15</v>
      </c>
      <c r="Q3050" s="37" t="str">
        <f>IF(P3050&gt;500,"High","low")</f>
        <v>High</v>
      </c>
      <c r="R3050" s="37" t="str">
        <f t="shared" si="239"/>
        <v>Good</v>
      </c>
      <c r="S3050" t="s">
        <v>620</v>
      </c>
    </row>
    <row r="3051" spans="1:19" x14ac:dyDescent="0.2">
      <c r="A3051" t="s">
        <v>3662</v>
      </c>
      <c r="B3051" t="s">
        <v>67</v>
      </c>
      <c r="C3051" t="s">
        <v>597</v>
      </c>
      <c r="D3051">
        <v>560.75</v>
      </c>
      <c r="E3051" s="37" t="str">
        <f t="shared" si="235"/>
        <v xml:space="preserve"> </v>
      </c>
      <c r="F3051">
        <v>0.23</v>
      </c>
      <c r="G3051" s="37" t="str">
        <f t="shared" si="236"/>
        <v>Normal Discount</v>
      </c>
      <c r="H3051" s="37" t="str">
        <f t="shared" si="237"/>
        <v>Medium</v>
      </c>
      <c r="I3051">
        <v>4</v>
      </c>
      <c r="J3051" t="str" cm="1">
        <f t="array" ref="J3051">_xlfn.IFS(I3051&lt;=3,"small",I3051&lt;=6,"Medium",I3051&lt;=9,"Large")</f>
        <v>Medium</v>
      </c>
      <c r="K3051" s="36">
        <v>45481</v>
      </c>
      <c r="L3051" s="36">
        <v>45484</v>
      </c>
      <c r="M3051" t="s">
        <v>598</v>
      </c>
      <c r="N3051" t="s">
        <v>604</v>
      </c>
      <c r="O3051" s="37" t="str">
        <f t="shared" si="238"/>
        <v>Digital Payment</v>
      </c>
      <c r="P3051">
        <v>114.68</v>
      </c>
      <c r="Q3051" s="37" t="str">
        <f>IF(P3051&gt;500,"High","low")</f>
        <v>low</v>
      </c>
      <c r="R3051" s="37" t="str">
        <f t="shared" si="239"/>
        <v>AVERAGE</v>
      </c>
      <c r="S3051" t="s">
        <v>600</v>
      </c>
    </row>
    <row r="3052" spans="1:19" x14ac:dyDescent="0.2">
      <c r="A3052" t="s">
        <v>3663</v>
      </c>
      <c r="B3052" t="s">
        <v>67</v>
      </c>
      <c r="C3052" t="s">
        <v>602</v>
      </c>
      <c r="D3052">
        <v>1482.29</v>
      </c>
      <c r="E3052" s="37" t="str">
        <f t="shared" si="235"/>
        <v xml:space="preserve"> </v>
      </c>
      <c r="F3052">
        <v>0.42</v>
      </c>
      <c r="G3052" s="37" t="str">
        <f t="shared" si="236"/>
        <v>Heavy Discount</v>
      </c>
      <c r="H3052" s="37" t="str">
        <f t="shared" si="237"/>
        <v>High</v>
      </c>
      <c r="I3052">
        <v>3</v>
      </c>
      <c r="J3052" t="str" cm="1">
        <f t="array" ref="J3052">_xlfn.IFS(I3052&lt;=3,"small",I3052&lt;=6,"Medium",I3052&lt;=9,"Large")</f>
        <v>small</v>
      </c>
      <c r="K3052" s="36">
        <v>45606</v>
      </c>
      <c r="L3052" s="36">
        <v>45608</v>
      </c>
      <c r="M3052" t="s">
        <v>598</v>
      </c>
      <c r="N3052" t="s">
        <v>604</v>
      </c>
      <c r="O3052" s="37" t="str">
        <f t="shared" si="238"/>
        <v>Digital Payment</v>
      </c>
      <c r="P3052">
        <v>156.30000000000001</v>
      </c>
      <c r="Q3052" s="37" t="str">
        <f>IF(P3052&gt;500,"High","low")</f>
        <v>low</v>
      </c>
      <c r="R3052" s="37" t="str">
        <f t="shared" si="239"/>
        <v>AVERAGE</v>
      </c>
      <c r="S3052" t="s">
        <v>609</v>
      </c>
    </row>
    <row r="3053" spans="1:19" x14ac:dyDescent="0.2">
      <c r="A3053" t="s">
        <v>3664</v>
      </c>
      <c r="B3053" t="s">
        <v>75</v>
      </c>
      <c r="C3053" t="s">
        <v>614</v>
      </c>
      <c r="D3053">
        <v>3200.16</v>
      </c>
      <c r="E3053" s="37" t="str">
        <f t="shared" si="235"/>
        <v xml:space="preserve"> </v>
      </c>
      <c r="F3053">
        <v>0.2</v>
      </c>
      <c r="G3053" s="37" t="str">
        <f t="shared" si="236"/>
        <v>Normal Discount</v>
      </c>
      <c r="H3053" s="37" t="str">
        <f t="shared" si="237"/>
        <v>Medium</v>
      </c>
      <c r="I3053">
        <v>6</v>
      </c>
      <c r="J3053" t="str" cm="1">
        <f t="array" ref="J3053">_xlfn.IFS(I3053&lt;=3,"small",I3053&lt;=6,"Medium",I3053&lt;=9,"Large")</f>
        <v>Medium</v>
      </c>
      <c r="K3053" s="36">
        <v>45456</v>
      </c>
      <c r="L3053" s="36">
        <v>45461</v>
      </c>
      <c r="M3053" t="s">
        <v>612</v>
      </c>
      <c r="N3053" t="s">
        <v>604</v>
      </c>
      <c r="O3053" s="37" t="str">
        <f t="shared" si="238"/>
        <v>Digital Payment</v>
      </c>
      <c r="P3053">
        <v>168.85</v>
      </c>
      <c r="Q3053" s="37" t="str">
        <f>IF(P3053&gt;500,"High","low")</f>
        <v>low</v>
      </c>
      <c r="R3053" s="37" t="str">
        <f t="shared" si="239"/>
        <v>AVERAGE</v>
      </c>
      <c r="S3053" t="s">
        <v>620</v>
      </c>
    </row>
    <row r="3054" spans="1:19" x14ac:dyDescent="0.2">
      <c r="A3054" t="s">
        <v>3665</v>
      </c>
      <c r="B3054" t="s">
        <v>67</v>
      </c>
      <c r="C3054" t="s">
        <v>597</v>
      </c>
      <c r="D3054">
        <v>1170.07</v>
      </c>
      <c r="E3054" s="37" t="str">
        <f t="shared" si="235"/>
        <v xml:space="preserve"> </v>
      </c>
      <c r="F3054">
        <v>0.25</v>
      </c>
      <c r="G3054" s="37" t="str">
        <f t="shared" si="236"/>
        <v>Normal Discount</v>
      </c>
      <c r="H3054" s="37" t="str">
        <f t="shared" si="237"/>
        <v>Medium</v>
      </c>
      <c r="I3054">
        <v>9</v>
      </c>
      <c r="J3054" t="str" cm="1">
        <f t="array" ref="J3054">_xlfn.IFS(I3054&lt;=3,"small",I3054&lt;=6,"Medium",I3054&lt;=9,"Large")</f>
        <v>Large</v>
      </c>
      <c r="K3054" s="36">
        <v>45131</v>
      </c>
      <c r="L3054" s="36">
        <v>45135</v>
      </c>
      <c r="M3054" t="s">
        <v>603</v>
      </c>
      <c r="N3054" t="s">
        <v>608</v>
      </c>
      <c r="O3054" s="37" t="str">
        <f t="shared" si="238"/>
        <v>Cash Payment</v>
      </c>
      <c r="P3054">
        <v>107.08</v>
      </c>
      <c r="Q3054" s="37" t="str">
        <f>IF(P3054&gt;500,"High","low")</f>
        <v>low</v>
      </c>
      <c r="R3054" s="37" t="str">
        <f t="shared" si="239"/>
        <v>AVERAGE</v>
      </c>
      <c r="S3054" t="s">
        <v>620</v>
      </c>
    </row>
    <row r="3055" spans="1:19" x14ac:dyDescent="0.2">
      <c r="A3055" t="s">
        <v>3666</v>
      </c>
      <c r="B3055" t="s">
        <v>83</v>
      </c>
      <c r="C3055" t="s">
        <v>617</v>
      </c>
      <c r="D3055">
        <v>3272.93</v>
      </c>
      <c r="E3055" s="37" t="str">
        <f t="shared" si="235"/>
        <v xml:space="preserve"> </v>
      </c>
      <c r="F3055">
        <v>0.02</v>
      </c>
      <c r="G3055" s="37" t="str">
        <f t="shared" si="236"/>
        <v>Normal Discount</v>
      </c>
      <c r="H3055" s="37" t="str">
        <f t="shared" si="237"/>
        <v>Low</v>
      </c>
      <c r="I3055">
        <v>6</v>
      </c>
      <c r="J3055" t="str" cm="1">
        <f t="array" ref="J3055">_xlfn.IFS(I3055&lt;=3,"small",I3055&lt;=6,"Medium",I3055&lt;=9,"Large")</f>
        <v>Medium</v>
      </c>
      <c r="K3055" s="36">
        <v>45005</v>
      </c>
      <c r="L3055" s="36">
        <v>45011</v>
      </c>
      <c r="M3055" t="s">
        <v>612</v>
      </c>
      <c r="N3055" t="s">
        <v>599</v>
      </c>
      <c r="O3055" s="37" t="str">
        <f t="shared" si="238"/>
        <v>Digital Payment</v>
      </c>
      <c r="P3055">
        <v>700.56</v>
      </c>
      <c r="Q3055" s="37" t="str">
        <f>IF(P3055&gt;500,"High","low")</f>
        <v>High</v>
      </c>
      <c r="R3055" s="37" t="str">
        <f t="shared" si="239"/>
        <v>Good</v>
      </c>
      <c r="S3055" t="s">
        <v>628</v>
      </c>
    </row>
    <row r="3056" spans="1:19" x14ac:dyDescent="0.2">
      <c r="A3056" t="s">
        <v>3667</v>
      </c>
      <c r="B3056" t="s">
        <v>90</v>
      </c>
      <c r="C3056" t="s">
        <v>602</v>
      </c>
      <c r="D3056">
        <v>4622.8599999999997</v>
      </c>
      <c r="E3056" s="37" t="str">
        <f t="shared" si="235"/>
        <v xml:space="preserve"> </v>
      </c>
      <c r="F3056">
        <v>0.1</v>
      </c>
      <c r="G3056" s="37" t="str">
        <f t="shared" si="236"/>
        <v>Normal Discount</v>
      </c>
      <c r="H3056" s="37" t="str">
        <f t="shared" si="237"/>
        <v>Low</v>
      </c>
      <c r="I3056">
        <v>1</v>
      </c>
      <c r="J3056" t="str" cm="1">
        <f t="array" ref="J3056">_xlfn.IFS(I3056&lt;=3,"small",I3056&lt;=6,"Medium",I3056&lt;=9,"Large")</f>
        <v>small</v>
      </c>
      <c r="K3056" s="36">
        <v>45454</v>
      </c>
      <c r="L3056" s="36">
        <v>45456</v>
      </c>
      <c r="M3056" t="s">
        <v>598</v>
      </c>
      <c r="N3056" t="s">
        <v>599</v>
      </c>
      <c r="O3056" s="37" t="str">
        <f t="shared" si="238"/>
        <v>Digital Payment</v>
      </c>
      <c r="P3056">
        <v>599.44000000000005</v>
      </c>
      <c r="Q3056" s="37" t="str">
        <f>IF(P3056&gt;500,"High","low")</f>
        <v>High</v>
      </c>
      <c r="R3056" s="37" t="str">
        <f t="shared" si="239"/>
        <v>Good</v>
      </c>
      <c r="S3056" t="s">
        <v>628</v>
      </c>
    </row>
    <row r="3057" spans="1:19" x14ac:dyDescent="0.2">
      <c r="A3057" t="s">
        <v>3668</v>
      </c>
      <c r="B3057" t="s">
        <v>75</v>
      </c>
      <c r="C3057" t="s">
        <v>614</v>
      </c>
      <c r="D3057">
        <v>124.21</v>
      </c>
      <c r="E3057" s="37" t="str">
        <f t="shared" si="235"/>
        <v xml:space="preserve"> </v>
      </c>
      <c r="F3057">
        <v>0.42</v>
      </c>
      <c r="G3057" s="37" t="str">
        <f t="shared" si="236"/>
        <v>Heavy Discount</v>
      </c>
      <c r="H3057" s="37" t="str">
        <f t="shared" si="237"/>
        <v>High</v>
      </c>
      <c r="I3057">
        <v>8</v>
      </c>
      <c r="J3057" t="str" cm="1">
        <f t="array" ref="J3057">_xlfn.IFS(I3057&lt;=3,"small",I3057&lt;=6,"Medium",I3057&lt;=9,"Large")</f>
        <v>Large</v>
      </c>
      <c r="K3057" s="36">
        <v>45399</v>
      </c>
      <c r="L3057" s="36">
        <v>45400</v>
      </c>
      <c r="M3057" t="s">
        <v>603</v>
      </c>
      <c r="N3057" t="s">
        <v>604</v>
      </c>
      <c r="O3057" s="37" t="str">
        <f t="shared" si="238"/>
        <v>Digital Payment</v>
      </c>
      <c r="P3057">
        <v>23.45</v>
      </c>
      <c r="Q3057" s="37" t="str">
        <f>IF(P3057&gt;500,"High","low")</f>
        <v>low</v>
      </c>
      <c r="R3057" s="37" t="str">
        <f t="shared" si="239"/>
        <v>AVERAGE</v>
      </c>
      <c r="S3057" t="s">
        <v>600</v>
      </c>
    </row>
    <row r="3058" spans="1:19" x14ac:dyDescent="0.2">
      <c r="A3058" t="s">
        <v>3669</v>
      </c>
      <c r="B3058" t="s">
        <v>90</v>
      </c>
      <c r="C3058" t="s">
        <v>607</v>
      </c>
      <c r="D3058">
        <v>3950.28</v>
      </c>
      <c r="E3058" s="37" t="str">
        <f t="shared" si="235"/>
        <v xml:space="preserve"> </v>
      </c>
      <c r="F3058">
        <v>0.24</v>
      </c>
      <c r="G3058" s="37" t="str">
        <f t="shared" si="236"/>
        <v>Normal Discount</v>
      </c>
      <c r="H3058" s="37" t="str">
        <f t="shared" si="237"/>
        <v>Medium</v>
      </c>
      <c r="I3058">
        <v>1</v>
      </c>
      <c r="J3058" t="str" cm="1">
        <f t="array" ref="J3058">_xlfn.IFS(I3058&lt;=3,"small",I3058&lt;=6,"Medium",I3058&lt;=9,"Large")</f>
        <v>small</v>
      </c>
      <c r="K3058" s="36">
        <v>45029</v>
      </c>
      <c r="L3058" s="36">
        <v>45031</v>
      </c>
      <c r="M3058" t="s">
        <v>598</v>
      </c>
      <c r="N3058" t="s">
        <v>599</v>
      </c>
      <c r="O3058" s="37" t="str">
        <f t="shared" si="238"/>
        <v>Digital Payment</v>
      </c>
      <c r="P3058">
        <v>776.06</v>
      </c>
      <c r="Q3058" s="37" t="str">
        <f>IF(P3058&gt;500,"High","low")</f>
        <v>High</v>
      </c>
      <c r="R3058" s="37" t="str">
        <f t="shared" si="239"/>
        <v>Good</v>
      </c>
      <c r="S3058" t="s">
        <v>609</v>
      </c>
    </row>
    <row r="3059" spans="1:19" x14ac:dyDescent="0.2">
      <c r="A3059" t="s">
        <v>3670</v>
      </c>
      <c r="B3059" t="s">
        <v>67</v>
      </c>
      <c r="C3059" t="s">
        <v>602</v>
      </c>
      <c r="D3059">
        <v>3242.46</v>
      </c>
      <c r="E3059" s="37" t="str">
        <f t="shared" si="235"/>
        <v xml:space="preserve"> </v>
      </c>
      <c r="F3059">
        <v>0.12</v>
      </c>
      <c r="G3059" s="37" t="str">
        <f t="shared" si="236"/>
        <v>Normal Discount</v>
      </c>
      <c r="H3059" s="37" t="str">
        <f t="shared" si="237"/>
        <v>Low</v>
      </c>
      <c r="I3059">
        <v>3</v>
      </c>
      <c r="J3059" t="str" cm="1">
        <f t="array" ref="J3059">_xlfn.IFS(I3059&lt;=3,"small",I3059&lt;=6,"Medium",I3059&lt;=9,"Large")</f>
        <v>small</v>
      </c>
      <c r="K3059" s="36">
        <v>45023</v>
      </c>
      <c r="L3059" s="36">
        <v>45027</v>
      </c>
      <c r="M3059" t="s">
        <v>598</v>
      </c>
      <c r="N3059" t="s">
        <v>604</v>
      </c>
      <c r="O3059" s="37" t="str">
        <f t="shared" si="238"/>
        <v>Digital Payment</v>
      </c>
      <c r="P3059">
        <v>291.02999999999997</v>
      </c>
      <c r="Q3059" s="37" t="str">
        <f>IF(P3059&gt;500,"High","low")</f>
        <v>low</v>
      </c>
      <c r="R3059" s="37" t="str">
        <f t="shared" si="239"/>
        <v>AVERAGE</v>
      </c>
      <c r="S3059" t="s">
        <v>605</v>
      </c>
    </row>
    <row r="3060" spans="1:19" x14ac:dyDescent="0.2">
      <c r="A3060" t="s">
        <v>3671</v>
      </c>
      <c r="B3060" t="s">
        <v>90</v>
      </c>
      <c r="C3060" t="s">
        <v>614</v>
      </c>
      <c r="D3060">
        <v>328.5</v>
      </c>
      <c r="E3060" s="37" t="str">
        <f t="shared" si="235"/>
        <v xml:space="preserve"> </v>
      </c>
      <c r="F3060">
        <v>0.18</v>
      </c>
      <c r="G3060" s="37" t="str">
        <f t="shared" si="236"/>
        <v>Normal Discount</v>
      </c>
      <c r="H3060" s="37" t="str">
        <f t="shared" si="237"/>
        <v>Low</v>
      </c>
      <c r="I3060">
        <v>9</v>
      </c>
      <c r="J3060" t="str" cm="1">
        <f t="array" ref="J3060">_xlfn.IFS(I3060&lt;=3,"small",I3060&lt;=6,"Medium",I3060&lt;=9,"Large")</f>
        <v>Large</v>
      </c>
      <c r="K3060" s="36">
        <v>45540</v>
      </c>
      <c r="L3060" s="36">
        <v>45542</v>
      </c>
      <c r="M3060" t="s">
        <v>612</v>
      </c>
      <c r="N3060" t="s">
        <v>608</v>
      </c>
      <c r="O3060" s="37" t="str">
        <f t="shared" si="238"/>
        <v>Cash Payment</v>
      </c>
      <c r="P3060">
        <v>49.98</v>
      </c>
      <c r="Q3060" s="37" t="str">
        <f>IF(P3060&gt;500,"High","low")</f>
        <v>low</v>
      </c>
      <c r="R3060" s="37" t="str">
        <f t="shared" si="239"/>
        <v>AVERAGE</v>
      </c>
      <c r="S3060" t="s">
        <v>605</v>
      </c>
    </row>
    <row r="3061" spans="1:19" x14ac:dyDescent="0.2">
      <c r="A3061" t="s">
        <v>3672</v>
      </c>
      <c r="B3061" t="s">
        <v>67</v>
      </c>
      <c r="C3061" t="s">
        <v>607</v>
      </c>
      <c r="D3061">
        <v>3971.82</v>
      </c>
      <c r="E3061" s="37" t="str">
        <f t="shared" si="235"/>
        <v xml:space="preserve"> </v>
      </c>
      <c r="F3061">
        <v>0.14000000000000001</v>
      </c>
      <c r="G3061" s="37" t="str">
        <f t="shared" si="236"/>
        <v>Normal Discount</v>
      </c>
      <c r="H3061" s="37" t="str">
        <f t="shared" si="237"/>
        <v>Low</v>
      </c>
      <c r="I3061">
        <v>4</v>
      </c>
      <c r="J3061" t="str" cm="1">
        <f t="array" ref="J3061">_xlfn.IFS(I3061&lt;=3,"small",I3061&lt;=6,"Medium",I3061&lt;=9,"Large")</f>
        <v>Medium</v>
      </c>
      <c r="K3061" s="36">
        <v>45442</v>
      </c>
      <c r="L3061" s="36">
        <v>45446</v>
      </c>
      <c r="M3061" t="s">
        <v>598</v>
      </c>
      <c r="N3061" t="s">
        <v>599</v>
      </c>
      <c r="O3061" s="37" t="str">
        <f t="shared" si="238"/>
        <v>Digital Payment</v>
      </c>
      <c r="P3061">
        <v>748.38</v>
      </c>
      <c r="Q3061" s="37" t="str">
        <f>IF(P3061&gt;500,"High","low")</f>
        <v>High</v>
      </c>
      <c r="R3061" s="37" t="str">
        <f t="shared" si="239"/>
        <v>Good</v>
      </c>
      <c r="S3061" t="s">
        <v>609</v>
      </c>
    </row>
    <row r="3062" spans="1:19" x14ac:dyDescent="0.2">
      <c r="A3062" t="s">
        <v>3673</v>
      </c>
      <c r="B3062" t="s">
        <v>67</v>
      </c>
      <c r="C3062" t="s">
        <v>614</v>
      </c>
      <c r="D3062">
        <v>1200.1500000000001</v>
      </c>
      <c r="E3062" s="37" t="str">
        <f t="shared" si="235"/>
        <v xml:space="preserve"> </v>
      </c>
      <c r="F3062">
        <v>0.28000000000000003</v>
      </c>
      <c r="G3062" s="37" t="str">
        <f t="shared" si="236"/>
        <v>Normal Discount</v>
      </c>
      <c r="H3062" s="37" t="str">
        <f t="shared" si="237"/>
        <v>Medium</v>
      </c>
      <c r="I3062">
        <v>8</v>
      </c>
      <c r="J3062" t="str" cm="1">
        <f t="array" ref="J3062">_xlfn.IFS(I3062&lt;=3,"small",I3062&lt;=6,"Medium",I3062&lt;=9,"Large")</f>
        <v>Large</v>
      </c>
      <c r="K3062" s="36">
        <v>45609</v>
      </c>
      <c r="L3062" s="36">
        <v>45611</v>
      </c>
      <c r="M3062" t="s">
        <v>598</v>
      </c>
      <c r="N3062" t="s">
        <v>604</v>
      </c>
      <c r="O3062" s="37" t="str">
        <f t="shared" si="238"/>
        <v>Digital Payment</v>
      </c>
      <c r="P3062">
        <v>320.20999999999998</v>
      </c>
      <c r="Q3062" s="37" t="str">
        <f>IF(P3062&gt;500,"High","low")</f>
        <v>low</v>
      </c>
      <c r="R3062" s="37" t="str">
        <f t="shared" si="239"/>
        <v>AVERAGE</v>
      </c>
      <c r="S3062" t="s">
        <v>605</v>
      </c>
    </row>
    <row r="3063" spans="1:19" x14ac:dyDescent="0.2">
      <c r="A3063" t="s">
        <v>3674</v>
      </c>
      <c r="B3063" t="s">
        <v>83</v>
      </c>
      <c r="C3063" t="s">
        <v>607</v>
      </c>
      <c r="D3063">
        <v>1402.52</v>
      </c>
      <c r="E3063" s="37" t="str">
        <f t="shared" si="235"/>
        <v xml:space="preserve"> </v>
      </c>
      <c r="F3063">
        <v>0.03</v>
      </c>
      <c r="G3063" s="37" t="str">
        <f t="shared" si="236"/>
        <v>Normal Discount</v>
      </c>
      <c r="H3063" s="37" t="str">
        <f t="shared" si="237"/>
        <v>Low</v>
      </c>
      <c r="I3063">
        <v>9</v>
      </c>
      <c r="J3063" t="str" cm="1">
        <f t="array" ref="J3063">_xlfn.IFS(I3063&lt;=3,"small",I3063&lt;=6,"Medium",I3063&lt;=9,"Large")</f>
        <v>Large</v>
      </c>
      <c r="K3063" s="36">
        <v>45540</v>
      </c>
      <c r="L3063" s="36">
        <v>45544</v>
      </c>
      <c r="M3063" t="s">
        <v>598</v>
      </c>
      <c r="N3063" t="s">
        <v>599</v>
      </c>
      <c r="O3063" s="37" t="str">
        <f t="shared" si="238"/>
        <v>Digital Payment</v>
      </c>
      <c r="P3063">
        <v>350.46</v>
      </c>
      <c r="Q3063" s="37" t="str">
        <f>IF(P3063&gt;500,"High","low")</f>
        <v>low</v>
      </c>
      <c r="R3063" s="37" t="str">
        <f t="shared" si="239"/>
        <v>AVERAGE</v>
      </c>
      <c r="S3063" t="s">
        <v>628</v>
      </c>
    </row>
    <row r="3064" spans="1:19" x14ac:dyDescent="0.2">
      <c r="A3064" t="s">
        <v>3675</v>
      </c>
      <c r="B3064" t="s">
        <v>67</v>
      </c>
      <c r="C3064" t="s">
        <v>607</v>
      </c>
      <c r="D3064">
        <v>558.23</v>
      </c>
      <c r="E3064" s="37" t="str">
        <f t="shared" si="235"/>
        <v xml:space="preserve"> </v>
      </c>
      <c r="F3064">
        <v>0.11</v>
      </c>
      <c r="G3064" s="37" t="str">
        <f t="shared" si="236"/>
        <v>Normal Discount</v>
      </c>
      <c r="H3064" s="37" t="str">
        <f t="shared" si="237"/>
        <v>Low</v>
      </c>
      <c r="I3064">
        <v>8</v>
      </c>
      <c r="J3064" t="str" cm="1">
        <f t="array" ref="J3064">_xlfn.IFS(I3064&lt;=3,"small",I3064&lt;=6,"Medium",I3064&lt;=9,"Large")</f>
        <v>Large</v>
      </c>
      <c r="K3064" s="36">
        <v>45174</v>
      </c>
      <c r="L3064" s="36">
        <v>45177</v>
      </c>
      <c r="M3064" t="s">
        <v>598</v>
      </c>
      <c r="N3064" t="s">
        <v>608</v>
      </c>
      <c r="O3064" s="37" t="str">
        <f t="shared" si="238"/>
        <v>Cash Payment</v>
      </c>
      <c r="P3064">
        <v>121.91</v>
      </c>
      <c r="Q3064" s="37" t="str">
        <f>IF(P3064&gt;500,"High","low")</f>
        <v>low</v>
      </c>
      <c r="R3064" s="37" t="str">
        <f t="shared" si="239"/>
        <v>AVERAGE</v>
      </c>
      <c r="S3064" t="s">
        <v>605</v>
      </c>
    </row>
    <row r="3065" spans="1:19" x14ac:dyDescent="0.2">
      <c r="A3065" t="s">
        <v>3676</v>
      </c>
      <c r="B3065" t="s">
        <v>83</v>
      </c>
      <c r="C3065" t="s">
        <v>607</v>
      </c>
      <c r="D3065">
        <v>2718.46</v>
      </c>
      <c r="E3065" s="37" t="str">
        <f t="shared" si="235"/>
        <v xml:space="preserve"> </v>
      </c>
      <c r="F3065">
        <v>0.18</v>
      </c>
      <c r="G3065" s="37" t="str">
        <f t="shared" si="236"/>
        <v>Normal Discount</v>
      </c>
      <c r="H3065" s="37" t="str">
        <f t="shared" si="237"/>
        <v>Low</v>
      </c>
      <c r="I3065">
        <v>6</v>
      </c>
      <c r="J3065" t="str" cm="1">
        <f t="array" ref="J3065">_xlfn.IFS(I3065&lt;=3,"small",I3065&lt;=6,"Medium",I3065&lt;=9,"Large")</f>
        <v>Medium</v>
      </c>
      <c r="K3065" s="36">
        <v>45555</v>
      </c>
      <c r="L3065" s="36">
        <v>45557</v>
      </c>
      <c r="M3065" t="s">
        <v>603</v>
      </c>
      <c r="N3065" t="s">
        <v>608</v>
      </c>
      <c r="O3065" s="37" t="str">
        <f t="shared" si="238"/>
        <v>Cash Payment</v>
      </c>
      <c r="P3065">
        <v>664.11</v>
      </c>
      <c r="Q3065" s="37" t="str">
        <f>IF(P3065&gt;500,"High","low")</f>
        <v>High</v>
      </c>
      <c r="R3065" s="37" t="str">
        <f t="shared" si="239"/>
        <v>Good</v>
      </c>
      <c r="S3065" t="s">
        <v>615</v>
      </c>
    </row>
    <row r="3066" spans="1:19" x14ac:dyDescent="0.2">
      <c r="A3066" t="s">
        <v>3677</v>
      </c>
      <c r="B3066" t="s">
        <v>83</v>
      </c>
      <c r="C3066" t="s">
        <v>614</v>
      </c>
      <c r="D3066">
        <v>2541.3000000000002</v>
      </c>
      <c r="E3066" s="37" t="str">
        <f t="shared" si="235"/>
        <v xml:space="preserve"> </v>
      </c>
      <c r="F3066">
        <v>0.46</v>
      </c>
      <c r="G3066" s="37" t="str">
        <f t="shared" si="236"/>
        <v>Heavy Discount</v>
      </c>
      <c r="H3066" s="37" t="str">
        <f t="shared" si="237"/>
        <v>High</v>
      </c>
      <c r="I3066">
        <v>9</v>
      </c>
      <c r="J3066" t="str" cm="1">
        <f t="array" ref="J3066">_xlfn.IFS(I3066&lt;=3,"small",I3066&lt;=6,"Medium",I3066&lt;=9,"Large")</f>
        <v>Large</v>
      </c>
      <c r="K3066" s="36">
        <v>45248</v>
      </c>
      <c r="L3066" s="36">
        <v>45251</v>
      </c>
      <c r="M3066" t="s">
        <v>598</v>
      </c>
      <c r="N3066" t="s">
        <v>599</v>
      </c>
      <c r="O3066" s="37" t="str">
        <f t="shared" si="238"/>
        <v>Digital Payment</v>
      </c>
      <c r="P3066">
        <v>735.99</v>
      </c>
      <c r="Q3066" s="37" t="str">
        <f>IF(P3066&gt;500,"High","low")</f>
        <v>High</v>
      </c>
      <c r="R3066" s="37" t="str">
        <f t="shared" si="239"/>
        <v>Good</v>
      </c>
      <c r="S3066" t="s">
        <v>609</v>
      </c>
    </row>
    <row r="3067" spans="1:19" x14ac:dyDescent="0.2">
      <c r="A3067" t="s">
        <v>3678</v>
      </c>
      <c r="B3067" t="s">
        <v>83</v>
      </c>
      <c r="C3067" t="s">
        <v>607</v>
      </c>
      <c r="D3067">
        <v>1801.16</v>
      </c>
      <c r="E3067" s="37" t="str">
        <f t="shared" si="235"/>
        <v xml:space="preserve"> </v>
      </c>
      <c r="F3067">
        <v>0.31</v>
      </c>
      <c r="G3067" s="37" t="str">
        <f t="shared" si="236"/>
        <v>Heavy Discount</v>
      </c>
      <c r="H3067" s="37" t="str">
        <f t="shared" si="237"/>
        <v>Medium</v>
      </c>
      <c r="I3067">
        <v>6</v>
      </c>
      <c r="J3067" t="str" cm="1">
        <f t="array" ref="J3067">_xlfn.IFS(I3067&lt;=3,"small",I3067&lt;=6,"Medium",I3067&lt;=9,"Large")</f>
        <v>Medium</v>
      </c>
      <c r="K3067" s="36">
        <v>45372</v>
      </c>
      <c r="L3067" s="36">
        <v>45377</v>
      </c>
      <c r="M3067" t="s">
        <v>612</v>
      </c>
      <c r="N3067" t="s">
        <v>599</v>
      </c>
      <c r="O3067" s="37" t="str">
        <f t="shared" si="238"/>
        <v>Digital Payment</v>
      </c>
      <c r="P3067">
        <v>433.62</v>
      </c>
      <c r="Q3067" s="37" t="str">
        <f>IF(P3067&gt;500,"High","low")</f>
        <v>low</v>
      </c>
      <c r="R3067" s="37" t="str">
        <f t="shared" si="239"/>
        <v>AVERAGE</v>
      </c>
      <c r="S3067" t="s">
        <v>620</v>
      </c>
    </row>
    <row r="3068" spans="1:19" x14ac:dyDescent="0.2">
      <c r="A3068" t="s">
        <v>3679</v>
      </c>
      <c r="B3068" t="s">
        <v>75</v>
      </c>
      <c r="C3068" t="s">
        <v>602</v>
      </c>
      <c r="D3068">
        <v>926.89</v>
      </c>
      <c r="E3068" s="37" t="str">
        <f t="shared" si="235"/>
        <v xml:space="preserve"> </v>
      </c>
      <c r="F3068">
        <v>0.25</v>
      </c>
      <c r="G3068" s="37" t="str">
        <f t="shared" si="236"/>
        <v>Normal Discount</v>
      </c>
      <c r="H3068" s="37" t="str">
        <f t="shared" si="237"/>
        <v>Medium</v>
      </c>
      <c r="I3068">
        <v>5</v>
      </c>
      <c r="J3068" t="str" cm="1">
        <f t="array" ref="J3068">_xlfn.IFS(I3068&lt;=3,"small",I3068&lt;=6,"Medium",I3068&lt;=9,"Large")</f>
        <v>Medium</v>
      </c>
      <c r="K3068" s="36">
        <v>45521</v>
      </c>
      <c r="L3068" s="36">
        <v>45528</v>
      </c>
      <c r="M3068" t="s">
        <v>612</v>
      </c>
      <c r="N3068" t="s">
        <v>608</v>
      </c>
      <c r="O3068" s="37" t="str">
        <f t="shared" si="238"/>
        <v>Cash Payment</v>
      </c>
      <c r="P3068">
        <v>93.61</v>
      </c>
      <c r="Q3068" s="37" t="str">
        <f>IF(P3068&gt;500,"High","low")</f>
        <v>low</v>
      </c>
      <c r="R3068" s="37" t="str">
        <f t="shared" si="239"/>
        <v>AVERAGE</v>
      </c>
      <c r="S3068" t="s">
        <v>628</v>
      </c>
    </row>
    <row r="3069" spans="1:19" x14ac:dyDescent="0.2">
      <c r="A3069" t="s">
        <v>3680</v>
      </c>
      <c r="B3069" t="s">
        <v>75</v>
      </c>
      <c r="C3069" t="s">
        <v>617</v>
      </c>
      <c r="D3069">
        <v>4205.97</v>
      </c>
      <c r="E3069" s="37" t="str">
        <f t="shared" si="235"/>
        <v xml:space="preserve"> </v>
      </c>
      <c r="F3069">
        <v>0.1</v>
      </c>
      <c r="G3069" s="37" t="str">
        <f t="shared" si="236"/>
        <v>Normal Discount</v>
      </c>
      <c r="H3069" s="37" t="str">
        <f t="shared" si="237"/>
        <v>Low</v>
      </c>
      <c r="I3069">
        <v>8</v>
      </c>
      <c r="J3069" t="str" cm="1">
        <f t="array" ref="J3069">_xlfn.IFS(I3069&lt;=3,"small",I3069&lt;=6,"Medium",I3069&lt;=9,"Large")</f>
        <v>Large</v>
      </c>
      <c r="K3069" s="36">
        <v>44989</v>
      </c>
      <c r="L3069" s="36">
        <v>44994</v>
      </c>
      <c r="M3069" t="s">
        <v>603</v>
      </c>
      <c r="N3069" t="s">
        <v>608</v>
      </c>
      <c r="O3069" s="37" t="str">
        <f t="shared" si="238"/>
        <v>Cash Payment</v>
      </c>
      <c r="P3069">
        <v>563.69000000000005</v>
      </c>
      <c r="Q3069" s="37" t="str">
        <f>IF(P3069&gt;500,"High","low")</f>
        <v>High</v>
      </c>
      <c r="R3069" s="37" t="str">
        <f t="shared" si="239"/>
        <v>Good</v>
      </c>
      <c r="S3069" t="s">
        <v>600</v>
      </c>
    </row>
    <row r="3070" spans="1:19" x14ac:dyDescent="0.2">
      <c r="A3070" t="s">
        <v>3681</v>
      </c>
      <c r="B3070" t="s">
        <v>67</v>
      </c>
      <c r="C3070" t="s">
        <v>617</v>
      </c>
      <c r="D3070">
        <v>4394.25</v>
      </c>
      <c r="E3070" s="37" t="str">
        <f t="shared" si="235"/>
        <v xml:space="preserve"> </v>
      </c>
      <c r="F3070">
        <v>0.28000000000000003</v>
      </c>
      <c r="G3070" s="37" t="str">
        <f t="shared" si="236"/>
        <v>Normal Discount</v>
      </c>
      <c r="H3070" s="37" t="str">
        <f t="shared" si="237"/>
        <v>Medium</v>
      </c>
      <c r="I3070">
        <v>4</v>
      </c>
      <c r="J3070" t="str" cm="1">
        <f t="array" ref="J3070">_xlfn.IFS(I3070&lt;=3,"small",I3070&lt;=6,"Medium",I3070&lt;=9,"Large")</f>
        <v>Medium</v>
      </c>
      <c r="K3070" s="36">
        <v>45105</v>
      </c>
      <c r="L3070" s="36">
        <v>45110</v>
      </c>
      <c r="M3070" t="s">
        <v>598</v>
      </c>
      <c r="N3070" t="s">
        <v>599</v>
      </c>
      <c r="O3070" s="37" t="str">
        <f t="shared" si="238"/>
        <v>Digital Payment</v>
      </c>
      <c r="P3070">
        <v>623.88</v>
      </c>
      <c r="Q3070" s="37" t="str">
        <f>IF(P3070&gt;500,"High","low")</f>
        <v>High</v>
      </c>
      <c r="R3070" s="37" t="str">
        <f t="shared" si="239"/>
        <v>Good</v>
      </c>
      <c r="S3070" t="s">
        <v>600</v>
      </c>
    </row>
    <row r="3071" spans="1:19" x14ac:dyDescent="0.2">
      <c r="A3071" t="s">
        <v>3682</v>
      </c>
      <c r="B3071" t="s">
        <v>83</v>
      </c>
      <c r="C3071" t="s">
        <v>607</v>
      </c>
      <c r="D3071">
        <v>2748.84</v>
      </c>
      <c r="E3071" s="37" t="str">
        <f t="shared" si="235"/>
        <v xml:space="preserve"> </v>
      </c>
      <c r="F3071">
        <v>0.46</v>
      </c>
      <c r="G3071" s="37" t="str">
        <f t="shared" si="236"/>
        <v>Heavy Discount</v>
      </c>
      <c r="H3071" s="37" t="str">
        <f t="shared" si="237"/>
        <v>High</v>
      </c>
      <c r="I3071">
        <v>3</v>
      </c>
      <c r="J3071" t="str" cm="1">
        <f t="array" ref="J3071">_xlfn.IFS(I3071&lt;=3,"small",I3071&lt;=6,"Medium",I3071&lt;=9,"Large")</f>
        <v>small</v>
      </c>
      <c r="K3071" s="36">
        <v>45118</v>
      </c>
      <c r="L3071" s="36">
        <v>45120</v>
      </c>
      <c r="M3071" t="s">
        <v>612</v>
      </c>
      <c r="N3071" t="s">
        <v>604</v>
      </c>
      <c r="O3071" s="37" t="str">
        <f t="shared" si="238"/>
        <v>Digital Payment</v>
      </c>
      <c r="P3071">
        <v>438.13</v>
      </c>
      <c r="Q3071" s="37" t="str">
        <f>IF(P3071&gt;500,"High","low")</f>
        <v>low</v>
      </c>
      <c r="R3071" s="37" t="str">
        <f t="shared" si="239"/>
        <v>AVERAGE</v>
      </c>
      <c r="S3071" t="s">
        <v>605</v>
      </c>
    </row>
    <row r="3072" spans="1:19" x14ac:dyDescent="0.2">
      <c r="A3072" t="s">
        <v>3683</v>
      </c>
      <c r="B3072" t="s">
        <v>75</v>
      </c>
      <c r="C3072" t="s">
        <v>617</v>
      </c>
      <c r="D3072">
        <v>1296.7</v>
      </c>
      <c r="E3072" s="37" t="str">
        <f t="shared" si="235"/>
        <v xml:space="preserve"> </v>
      </c>
      <c r="F3072">
        <v>0.28000000000000003</v>
      </c>
      <c r="G3072" s="37" t="str">
        <f t="shared" si="236"/>
        <v>Normal Discount</v>
      </c>
      <c r="H3072" s="37" t="str">
        <f t="shared" si="237"/>
        <v>Medium</v>
      </c>
      <c r="I3072">
        <v>4</v>
      </c>
      <c r="J3072" t="str" cm="1">
        <f t="array" ref="J3072">_xlfn.IFS(I3072&lt;=3,"small",I3072&lt;=6,"Medium",I3072&lt;=9,"Large")</f>
        <v>Medium</v>
      </c>
      <c r="K3072" s="36">
        <v>45648</v>
      </c>
      <c r="L3072" s="36">
        <v>45653</v>
      </c>
      <c r="M3072" t="s">
        <v>612</v>
      </c>
      <c r="N3072" t="s">
        <v>604</v>
      </c>
      <c r="O3072" s="37" t="str">
        <f t="shared" si="238"/>
        <v>Digital Payment</v>
      </c>
      <c r="P3072">
        <v>270.22000000000003</v>
      </c>
      <c r="Q3072" s="37" t="str">
        <f>IF(P3072&gt;500,"High","low")</f>
        <v>low</v>
      </c>
      <c r="R3072" s="37" t="str">
        <f t="shared" si="239"/>
        <v>AVERAGE</v>
      </c>
      <c r="S3072" t="s">
        <v>609</v>
      </c>
    </row>
    <row r="3073" spans="1:19" x14ac:dyDescent="0.2">
      <c r="A3073" t="s">
        <v>3684</v>
      </c>
      <c r="B3073" t="s">
        <v>83</v>
      </c>
      <c r="C3073" t="s">
        <v>617</v>
      </c>
      <c r="D3073">
        <v>570.94000000000005</v>
      </c>
      <c r="E3073" s="37" t="str">
        <f t="shared" si="235"/>
        <v xml:space="preserve"> </v>
      </c>
      <c r="F3073">
        <v>0.08</v>
      </c>
      <c r="G3073" s="37" t="str">
        <f t="shared" si="236"/>
        <v>Normal Discount</v>
      </c>
      <c r="H3073" s="37" t="str">
        <f t="shared" si="237"/>
        <v>Low</v>
      </c>
      <c r="I3073">
        <v>9</v>
      </c>
      <c r="J3073" t="str" cm="1">
        <f t="array" ref="J3073">_xlfn.IFS(I3073&lt;=3,"small",I3073&lt;=6,"Medium",I3073&lt;=9,"Large")</f>
        <v>Large</v>
      </c>
      <c r="K3073" s="36">
        <v>45562</v>
      </c>
      <c r="L3073" s="36">
        <v>45565</v>
      </c>
      <c r="M3073" t="s">
        <v>612</v>
      </c>
      <c r="N3073" t="s">
        <v>604</v>
      </c>
      <c r="O3073" s="37" t="str">
        <f t="shared" si="238"/>
        <v>Digital Payment</v>
      </c>
      <c r="P3073">
        <v>88.51</v>
      </c>
      <c r="Q3073" s="37" t="str">
        <f>IF(P3073&gt;500,"High","low")</f>
        <v>low</v>
      </c>
      <c r="R3073" s="37" t="str">
        <f t="shared" si="239"/>
        <v>AVERAGE</v>
      </c>
      <c r="S3073" t="s">
        <v>615</v>
      </c>
    </row>
    <row r="3074" spans="1:19" x14ac:dyDescent="0.2">
      <c r="A3074" t="s">
        <v>3685</v>
      </c>
      <c r="B3074" t="s">
        <v>90</v>
      </c>
      <c r="C3074" t="s">
        <v>607</v>
      </c>
      <c r="D3074">
        <v>4355.87</v>
      </c>
      <c r="E3074" s="37" t="str">
        <f t="shared" si="235"/>
        <v xml:space="preserve"> </v>
      </c>
      <c r="F3074">
        <v>0.5</v>
      </c>
      <c r="G3074" s="37" t="str">
        <f t="shared" si="236"/>
        <v>Heavy Discount</v>
      </c>
      <c r="H3074" s="37" t="str">
        <f t="shared" si="237"/>
        <v>High</v>
      </c>
      <c r="I3074">
        <v>4</v>
      </c>
      <c r="J3074" t="str" cm="1">
        <f t="array" ref="J3074">_xlfn.IFS(I3074&lt;=3,"small",I3074&lt;=6,"Medium",I3074&lt;=9,"Large")</f>
        <v>Medium</v>
      </c>
      <c r="K3074" s="36">
        <v>44937</v>
      </c>
      <c r="L3074" s="36">
        <v>44940</v>
      </c>
      <c r="M3074" t="s">
        <v>598</v>
      </c>
      <c r="N3074" t="s">
        <v>608</v>
      </c>
      <c r="O3074" s="37" t="str">
        <f t="shared" si="238"/>
        <v>Cash Payment</v>
      </c>
      <c r="P3074">
        <v>724.37</v>
      </c>
      <c r="Q3074" s="37" t="str">
        <f>IF(P3074&gt;500,"High","low")</f>
        <v>High</v>
      </c>
      <c r="R3074" s="37" t="str">
        <f t="shared" si="239"/>
        <v>Good</v>
      </c>
      <c r="S3074" t="s">
        <v>615</v>
      </c>
    </row>
    <row r="3075" spans="1:19" x14ac:dyDescent="0.2">
      <c r="A3075" t="s">
        <v>3686</v>
      </c>
      <c r="B3075" t="s">
        <v>90</v>
      </c>
      <c r="C3075" t="s">
        <v>607</v>
      </c>
      <c r="D3075">
        <v>570.66</v>
      </c>
      <c r="E3075" s="37" t="str">
        <f t="shared" ref="E3075:E3138" si="240">IF(AND(D3075&gt;4000,P3075&gt;800),"Excellent Order"," ")</f>
        <v xml:space="preserve"> </v>
      </c>
      <c r="F3075">
        <v>0.25</v>
      </c>
      <c r="G3075" s="37" t="str">
        <f t="shared" ref="G3075:G3138" si="241">IF(F3075&gt;30%,"Heavy Discount","Normal Discount")</f>
        <v>Normal Discount</v>
      </c>
      <c r="H3075" s="37" t="str">
        <f t="shared" ref="H3075:H3138" si="242">IF(F3075&gt;0.4,"High",IF(F3075&gt;=0.2,"Medium","Low"))</f>
        <v>Medium</v>
      </c>
      <c r="I3075">
        <v>7</v>
      </c>
      <c r="J3075" t="str" cm="1">
        <f t="array" ref="J3075">_xlfn.IFS(I3075&lt;=3,"small",I3075&lt;=6,"Medium",I3075&lt;=9,"Large")</f>
        <v>Large</v>
      </c>
      <c r="K3075" s="36">
        <v>45089</v>
      </c>
      <c r="L3075" s="36">
        <v>45095</v>
      </c>
      <c r="M3075" t="s">
        <v>603</v>
      </c>
      <c r="N3075" t="s">
        <v>608</v>
      </c>
      <c r="O3075" s="37" t="str">
        <f t="shared" ref="O3075:O3138" si="243">IF(OR(N3075="Card",N3075="UPI"),"Digital Payment","Cash Payment")</f>
        <v>Cash Payment</v>
      </c>
      <c r="P3075">
        <v>113.15</v>
      </c>
      <c r="Q3075" s="37" t="str">
        <f>IF(P3075&gt;500,"High","low")</f>
        <v>low</v>
      </c>
      <c r="R3075" s="37" t="str">
        <f t="shared" ref="R3075:R3138" si="244">IF(P3075&gt;1000,"Excellent",IF(P3075&gt;=500,"Good","AVERAGE"))</f>
        <v>AVERAGE</v>
      </c>
      <c r="S3075" t="s">
        <v>600</v>
      </c>
    </row>
    <row r="3076" spans="1:19" x14ac:dyDescent="0.2">
      <c r="A3076" t="s">
        <v>3687</v>
      </c>
      <c r="B3076" t="s">
        <v>90</v>
      </c>
      <c r="C3076" t="s">
        <v>602</v>
      </c>
      <c r="D3076">
        <v>164.58</v>
      </c>
      <c r="E3076" s="37" t="str">
        <f t="shared" si="240"/>
        <v xml:space="preserve"> </v>
      </c>
      <c r="F3076">
        <v>0.16</v>
      </c>
      <c r="G3076" s="37" t="str">
        <f t="shared" si="241"/>
        <v>Normal Discount</v>
      </c>
      <c r="H3076" s="37" t="str">
        <f t="shared" si="242"/>
        <v>Low</v>
      </c>
      <c r="I3076">
        <v>1</v>
      </c>
      <c r="J3076" t="str" cm="1">
        <f t="array" ref="J3076">_xlfn.IFS(I3076&lt;=3,"small",I3076&lt;=6,"Medium",I3076&lt;=9,"Large")</f>
        <v>small</v>
      </c>
      <c r="K3076" s="36">
        <v>45343</v>
      </c>
      <c r="L3076" s="36">
        <v>45349</v>
      </c>
      <c r="M3076" t="s">
        <v>603</v>
      </c>
      <c r="N3076" t="s">
        <v>608</v>
      </c>
      <c r="O3076" s="37" t="str">
        <f t="shared" si="243"/>
        <v>Cash Payment</v>
      </c>
      <c r="P3076">
        <v>41.58</v>
      </c>
      <c r="Q3076" s="37" t="str">
        <f>IF(P3076&gt;500,"High","low")</f>
        <v>low</v>
      </c>
      <c r="R3076" s="37" t="str">
        <f t="shared" si="244"/>
        <v>AVERAGE</v>
      </c>
      <c r="S3076" t="s">
        <v>615</v>
      </c>
    </row>
    <row r="3077" spans="1:19" x14ac:dyDescent="0.2">
      <c r="A3077" t="s">
        <v>3688</v>
      </c>
      <c r="B3077" t="s">
        <v>67</v>
      </c>
      <c r="C3077" t="s">
        <v>597</v>
      </c>
      <c r="D3077">
        <v>2400.0500000000002</v>
      </c>
      <c r="E3077" s="37" t="str">
        <f t="shared" si="240"/>
        <v xml:space="preserve"> </v>
      </c>
      <c r="F3077">
        <v>0.25</v>
      </c>
      <c r="G3077" s="37" t="str">
        <f t="shared" si="241"/>
        <v>Normal Discount</v>
      </c>
      <c r="H3077" s="37" t="str">
        <f t="shared" si="242"/>
        <v>Medium</v>
      </c>
      <c r="I3077">
        <v>6</v>
      </c>
      <c r="J3077" t="str" cm="1">
        <f t="array" ref="J3077">_xlfn.IFS(I3077&lt;=3,"small",I3077&lt;=6,"Medium",I3077&lt;=9,"Large")</f>
        <v>Medium</v>
      </c>
      <c r="K3077" s="36">
        <v>45504</v>
      </c>
      <c r="L3077" s="36">
        <v>45510</v>
      </c>
      <c r="M3077" t="s">
        <v>603</v>
      </c>
      <c r="N3077" t="s">
        <v>604</v>
      </c>
      <c r="O3077" s="37" t="str">
        <f t="shared" si="243"/>
        <v>Digital Payment</v>
      </c>
      <c r="P3077">
        <v>389.09</v>
      </c>
      <c r="Q3077" s="37" t="str">
        <f>IF(P3077&gt;500,"High","low")</f>
        <v>low</v>
      </c>
      <c r="R3077" s="37" t="str">
        <f t="shared" si="244"/>
        <v>AVERAGE</v>
      </c>
      <c r="S3077" t="s">
        <v>600</v>
      </c>
    </row>
    <row r="3078" spans="1:19" x14ac:dyDescent="0.2">
      <c r="A3078" t="s">
        <v>3689</v>
      </c>
      <c r="B3078" t="s">
        <v>83</v>
      </c>
      <c r="C3078" t="s">
        <v>614</v>
      </c>
      <c r="D3078">
        <v>3683.23</v>
      </c>
      <c r="E3078" s="37" t="str">
        <f t="shared" si="240"/>
        <v xml:space="preserve"> </v>
      </c>
      <c r="F3078">
        <v>0.13</v>
      </c>
      <c r="G3078" s="37" t="str">
        <f t="shared" si="241"/>
        <v>Normal Discount</v>
      </c>
      <c r="H3078" s="37" t="str">
        <f t="shared" si="242"/>
        <v>Low</v>
      </c>
      <c r="I3078">
        <v>8</v>
      </c>
      <c r="J3078" t="str" cm="1">
        <f t="array" ref="J3078">_xlfn.IFS(I3078&lt;=3,"small",I3078&lt;=6,"Medium",I3078&lt;=9,"Large")</f>
        <v>Large</v>
      </c>
      <c r="K3078" s="36">
        <v>45311</v>
      </c>
      <c r="L3078" s="36">
        <v>45316</v>
      </c>
      <c r="M3078" t="s">
        <v>612</v>
      </c>
      <c r="N3078" t="s">
        <v>604</v>
      </c>
      <c r="O3078" s="37" t="str">
        <f t="shared" si="243"/>
        <v>Digital Payment</v>
      </c>
      <c r="P3078">
        <v>764.79</v>
      </c>
      <c r="Q3078" s="37" t="str">
        <f>IF(P3078&gt;500,"High","low")</f>
        <v>High</v>
      </c>
      <c r="R3078" s="37" t="str">
        <f t="shared" si="244"/>
        <v>Good</v>
      </c>
      <c r="S3078" t="s">
        <v>620</v>
      </c>
    </row>
    <row r="3079" spans="1:19" x14ac:dyDescent="0.2">
      <c r="A3079" t="s">
        <v>3690</v>
      </c>
      <c r="B3079" t="s">
        <v>90</v>
      </c>
      <c r="C3079" t="s">
        <v>607</v>
      </c>
      <c r="D3079">
        <v>2341.9299999999998</v>
      </c>
      <c r="E3079" s="37" t="str">
        <f t="shared" si="240"/>
        <v xml:space="preserve"> </v>
      </c>
      <c r="F3079">
        <v>0.02</v>
      </c>
      <c r="G3079" s="37" t="str">
        <f t="shared" si="241"/>
        <v>Normal Discount</v>
      </c>
      <c r="H3079" s="37" t="str">
        <f t="shared" si="242"/>
        <v>Low</v>
      </c>
      <c r="I3079">
        <v>7</v>
      </c>
      <c r="J3079" t="str" cm="1">
        <f t="array" ref="J3079">_xlfn.IFS(I3079&lt;=3,"small",I3079&lt;=6,"Medium",I3079&lt;=9,"Large")</f>
        <v>Large</v>
      </c>
      <c r="K3079" s="36">
        <v>44959</v>
      </c>
      <c r="L3079" s="36">
        <v>44964</v>
      </c>
      <c r="M3079" t="s">
        <v>603</v>
      </c>
      <c r="N3079" t="s">
        <v>604</v>
      </c>
      <c r="O3079" s="37" t="str">
        <f t="shared" si="243"/>
        <v>Digital Payment</v>
      </c>
      <c r="P3079">
        <v>389.39</v>
      </c>
      <c r="Q3079" s="37" t="str">
        <f>IF(P3079&gt;500,"High","low")</f>
        <v>low</v>
      </c>
      <c r="R3079" s="37" t="str">
        <f t="shared" si="244"/>
        <v>AVERAGE</v>
      </c>
      <c r="S3079" t="s">
        <v>620</v>
      </c>
    </row>
    <row r="3080" spans="1:19" x14ac:dyDescent="0.2">
      <c r="A3080" t="s">
        <v>3691</v>
      </c>
      <c r="B3080" t="s">
        <v>75</v>
      </c>
      <c r="C3080" t="s">
        <v>607</v>
      </c>
      <c r="D3080">
        <v>351.91</v>
      </c>
      <c r="E3080" s="37" t="str">
        <f t="shared" si="240"/>
        <v xml:space="preserve"> </v>
      </c>
      <c r="F3080">
        <v>0.44</v>
      </c>
      <c r="G3080" s="37" t="str">
        <f t="shared" si="241"/>
        <v>Heavy Discount</v>
      </c>
      <c r="H3080" s="37" t="str">
        <f t="shared" si="242"/>
        <v>High</v>
      </c>
      <c r="I3080">
        <v>5</v>
      </c>
      <c r="J3080" t="str" cm="1">
        <f t="array" ref="J3080">_xlfn.IFS(I3080&lt;=3,"small",I3080&lt;=6,"Medium",I3080&lt;=9,"Large")</f>
        <v>Medium</v>
      </c>
      <c r="K3080" s="36">
        <v>45003</v>
      </c>
      <c r="L3080" s="36">
        <v>45004</v>
      </c>
      <c r="M3080" t="s">
        <v>612</v>
      </c>
      <c r="N3080" t="s">
        <v>608</v>
      </c>
      <c r="O3080" s="37" t="str">
        <f t="shared" si="243"/>
        <v>Cash Payment</v>
      </c>
      <c r="P3080">
        <v>105.36</v>
      </c>
      <c r="Q3080" s="37" t="str">
        <f>IF(P3080&gt;500,"High","low")</f>
        <v>low</v>
      </c>
      <c r="R3080" s="37" t="str">
        <f t="shared" si="244"/>
        <v>AVERAGE</v>
      </c>
      <c r="S3080" t="s">
        <v>605</v>
      </c>
    </row>
    <row r="3081" spans="1:19" x14ac:dyDescent="0.2">
      <c r="A3081" t="s">
        <v>3692</v>
      </c>
      <c r="B3081" t="s">
        <v>90</v>
      </c>
      <c r="C3081" t="s">
        <v>617</v>
      </c>
      <c r="D3081">
        <v>3481.14</v>
      </c>
      <c r="E3081" s="37" t="str">
        <f t="shared" si="240"/>
        <v xml:space="preserve"> </v>
      </c>
      <c r="F3081">
        <v>0.21</v>
      </c>
      <c r="G3081" s="37" t="str">
        <f t="shared" si="241"/>
        <v>Normal Discount</v>
      </c>
      <c r="H3081" s="37" t="str">
        <f t="shared" si="242"/>
        <v>Medium</v>
      </c>
      <c r="I3081">
        <v>4</v>
      </c>
      <c r="J3081" t="str" cm="1">
        <f t="array" ref="J3081">_xlfn.IFS(I3081&lt;=3,"small",I3081&lt;=6,"Medium",I3081&lt;=9,"Large")</f>
        <v>Medium</v>
      </c>
      <c r="K3081" s="36">
        <v>45593</v>
      </c>
      <c r="L3081" s="36">
        <v>45594</v>
      </c>
      <c r="M3081" t="s">
        <v>603</v>
      </c>
      <c r="N3081" t="s">
        <v>608</v>
      </c>
      <c r="O3081" s="37" t="str">
        <f t="shared" si="243"/>
        <v>Cash Payment</v>
      </c>
      <c r="P3081">
        <v>995.18</v>
      </c>
      <c r="Q3081" s="37" t="str">
        <f>IF(P3081&gt;500,"High","low")</f>
        <v>High</v>
      </c>
      <c r="R3081" s="37" t="str">
        <f t="shared" si="244"/>
        <v>Good</v>
      </c>
      <c r="S3081" t="s">
        <v>605</v>
      </c>
    </row>
    <row r="3082" spans="1:19" x14ac:dyDescent="0.2">
      <c r="A3082" t="s">
        <v>3693</v>
      </c>
      <c r="B3082" t="s">
        <v>90</v>
      </c>
      <c r="C3082" t="s">
        <v>602</v>
      </c>
      <c r="D3082">
        <v>3247.43</v>
      </c>
      <c r="E3082" s="37" t="str">
        <f t="shared" si="240"/>
        <v xml:space="preserve"> </v>
      </c>
      <c r="F3082">
        <v>0.38</v>
      </c>
      <c r="G3082" s="37" t="str">
        <f t="shared" si="241"/>
        <v>Heavy Discount</v>
      </c>
      <c r="H3082" s="37" t="str">
        <f t="shared" si="242"/>
        <v>Medium</v>
      </c>
      <c r="I3082">
        <v>2</v>
      </c>
      <c r="J3082" t="str" cm="1">
        <f t="array" ref="J3082">_xlfn.IFS(I3082&lt;=3,"small",I3082&lt;=6,"Medium",I3082&lt;=9,"Large")</f>
        <v>small</v>
      </c>
      <c r="K3082" s="36">
        <v>45375</v>
      </c>
      <c r="L3082" s="36">
        <v>45377</v>
      </c>
      <c r="M3082" t="s">
        <v>612</v>
      </c>
      <c r="N3082" t="s">
        <v>604</v>
      </c>
      <c r="O3082" s="37" t="str">
        <f t="shared" si="243"/>
        <v>Digital Payment</v>
      </c>
      <c r="P3082">
        <v>601.41999999999996</v>
      </c>
      <c r="Q3082" s="37" t="str">
        <f>IF(P3082&gt;500,"High","low")</f>
        <v>High</v>
      </c>
      <c r="R3082" s="37" t="str">
        <f t="shared" si="244"/>
        <v>Good</v>
      </c>
      <c r="S3082" t="s">
        <v>615</v>
      </c>
    </row>
    <row r="3083" spans="1:19" x14ac:dyDescent="0.2">
      <c r="A3083" t="s">
        <v>3694</v>
      </c>
      <c r="B3083" t="s">
        <v>90</v>
      </c>
      <c r="C3083" t="s">
        <v>617</v>
      </c>
      <c r="D3083">
        <v>3439.5</v>
      </c>
      <c r="E3083" s="37" t="str">
        <f t="shared" si="240"/>
        <v xml:space="preserve"> </v>
      </c>
      <c r="F3083">
        <v>0.49</v>
      </c>
      <c r="G3083" s="37" t="str">
        <f t="shared" si="241"/>
        <v>Heavy Discount</v>
      </c>
      <c r="H3083" s="37" t="str">
        <f t="shared" si="242"/>
        <v>High</v>
      </c>
      <c r="I3083">
        <v>1</v>
      </c>
      <c r="J3083" t="str" cm="1">
        <f t="array" ref="J3083">_xlfn.IFS(I3083&lt;=3,"small",I3083&lt;=6,"Medium",I3083&lt;=9,"Large")</f>
        <v>small</v>
      </c>
      <c r="K3083" s="36">
        <v>45147</v>
      </c>
      <c r="L3083" s="36">
        <v>45148</v>
      </c>
      <c r="M3083" t="s">
        <v>598</v>
      </c>
      <c r="N3083" t="s">
        <v>599</v>
      </c>
      <c r="O3083" s="37" t="str">
        <f t="shared" si="243"/>
        <v>Digital Payment</v>
      </c>
      <c r="P3083">
        <v>873.1</v>
      </c>
      <c r="Q3083" s="37" t="str">
        <f>IF(P3083&gt;500,"High","low")</f>
        <v>High</v>
      </c>
      <c r="R3083" s="37" t="str">
        <f t="shared" si="244"/>
        <v>Good</v>
      </c>
      <c r="S3083" t="s">
        <v>609</v>
      </c>
    </row>
    <row r="3084" spans="1:19" x14ac:dyDescent="0.2">
      <c r="A3084" t="s">
        <v>3695</v>
      </c>
      <c r="B3084" t="s">
        <v>67</v>
      </c>
      <c r="C3084" t="s">
        <v>607</v>
      </c>
      <c r="D3084">
        <v>1134.8900000000001</v>
      </c>
      <c r="E3084" s="37" t="str">
        <f t="shared" si="240"/>
        <v xml:space="preserve"> </v>
      </c>
      <c r="F3084">
        <v>0.32</v>
      </c>
      <c r="G3084" s="37" t="str">
        <f t="shared" si="241"/>
        <v>Heavy Discount</v>
      </c>
      <c r="H3084" s="37" t="str">
        <f t="shared" si="242"/>
        <v>Medium</v>
      </c>
      <c r="I3084">
        <v>1</v>
      </c>
      <c r="J3084" t="str" cm="1">
        <f t="array" ref="J3084">_xlfn.IFS(I3084&lt;=3,"small",I3084&lt;=6,"Medium",I3084&lt;=9,"Large")</f>
        <v>small</v>
      </c>
      <c r="K3084" s="36">
        <v>45099</v>
      </c>
      <c r="L3084" s="36">
        <v>45102</v>
      </c>
      <c r="M3084" t="s">
        <v>612</v>
      </c>
      <c r="N3084" t="s">
        <v>608</v>
      </c>
      <c r="O3084" s="37" t="str">
        <f t="shared" si="243"/>
        <v>Cash Payment</v>
      </c>
      <c r="P3084">
        <v>301.67</v>
      </c>
      <c r="Q3084" s="37" t="str">
        <f>IF(P3084&gt;500,"High","low")</f>
        <v>low</v>
      </c>
      <c r="R3084" s="37" t="str">
        <f t="shared" si="244"/>
        <v>AVERAGE</v>
      </c>
      <c r="S3084" t="s">
        <v>609</v>
      </c>
    </row>
    <row r="3085" spans="1:19" x14ac:dyDescent="0.2">
      <c r="A3085" t="s">
        <v>3696</v>
      </c>
      <c r="B3085" t="s">
        <v>75</v>
      </c>
      <c r="C3085" t="s">
        <v>607</v>
      </c>
      <c r="D3085">
        <v>3998.92</v>
      </c>
      <c r="E3085" s="37" t="str">
        <f t="shared" si="240"/>
        <v xml:space="preserve"> </v>
      </c>
      <c r="F3085">
        <v>0.35</v>
      </c>
      <c r="G3085" s="37" t="str">
        <f t="shared" si="241"/>
        <v>Heavy Discount</v>
      </c>
      <c r="H3085" s="37" t="str">
        <f t="shared" si="242"/>
        <v>Medium</v>
      </c>
      <c r="I3085">
        <v>5</v>
      </c>
      <c r="J3085" t="str" cm="1">
        <f t="array" ref="J3085">_xlfn.IFS(I3085&lt;=3,"small",I3085&lt;=6,"Medium",I3085&lt;=9,"Large")</f>
        <v>Medium</v>
      </c>
      <c r="K3085" s="36">
        <v>45012</v>
      </c>
      <c r="L3085" s="36">
        <v>45015</v>
      </c>
      <c r="M3085" t="s">
        <v>603</v>
      </c>
      <c r="N3085" t="s">
        <v>608</v>
      </c>
      <c r="O3085" s="37" t="str">
        <f t="shared" si="243"/>
        <v>Cash Payment</v>
      </c>
      <c r="P3085">
        <v>227.81</v>
      </c>
      <c r="Q3085" s="37" t="str">
        <f>IF(P3085&gt;500,"High","low")</f>
        <v>low</v>
      </c>
      <c r="R3085" s="37" t="str">
        <f t="shared" si="244"/>
        <v>AVERAGE</v>
      </c>
      <c r="S3085" t="s">
        <v>609</v>
      </c>
    </row>
    <row r="3086" spans="1:19" x14ac:dyDescent="0.2">
      <c r="A3086" t="s">
        <v>3697</v>
      </c>
      <c r="B3086" t="s">
        <v>83</v>
      </c>
      <c r="C3086" t="s">
        <v>617</v>
      </c>
      <c r="D3086">
        <v>2447.92</v>
      </c>
      <c r="E3086" s="37" t="str">
        <f t="shared" si="240"/>
        <v xml:space="preserve"> </v>
      </c>
      <c r="F3086">
        <v>0.47</v>
      </c>
      <c r="G3086" s="37" t="str">
        <f t="shared" si="241"/>
        <v>Heavy Discount</v>
      </c>
      <c r="H3086" s="37" t="str">
        <f t="shared" si="242"/>
        <v>High</v>
      </c>
      <c r="I3086">
        <v>9</v>
      </c>
      <c r="J3086" t="str" cm="1">
        <f t="array" ref="J3086">_xlfn.IFS(I3086&lt;=3,"small",I3086&lt;=6,"Medium",I3086&lt;=9,"Large")</f>
        <v>Large</v>
      </c>
      <c r="K3086" s="36">
        <v>45522</v>
      </c>
      <c r="L3086" s="36">
        <v>45524</v>
      </c>
      <c r="M3086" t="s">
        <v>612</v>
      </c>
      <c r="N3086" t="s">
        <v>599</v>
      </c>
      <c r="O3086" s="37" t="str">
        <f t="shared" si="243"/>
        <v>Digital Payment</v>
      </c>
      <c r="P3086">
        <v>685.49</v>
      </c>
      <c r="Q3086" s="37" t="str">
        <f>IF(P3086&gt;500,"High","low")</f>
        <v>High</v>
      </c>
      <c r="R3086" s="37" t="str">
        <f t="shared" si="244"/>
        <v>Good</v>
      </c>
      <c r="S3086" t="s">
        <v>628</v>
      </c>
    </row>
    <row r="3087" spans="1:19" x14ac:dyDescent="0.2">
      <c r="A3087" t="s">
        <v>3698</v>
      </c>
      <c r="B3087" t="s">
        <v>75</v>
      </c>
      <c r="C3087" t="s">
        <v>607</v>
      </c>
      <c r="D3087">
        <v>2728.13</v>
      </c>
      <c r="E3087" s="37" t="str">
        <f t="shared" si="240"/>
        <v xml:space="preserve"> </v>
      </c>
      <c r="F3087">
        <v>0.26</v>
      </c>
      <c r="G3087" s="37" t="str">
        <f t="shared" si="241"/>
        <v>Normal Discount</v>
      </c>
      <c r="H3087" s="37" t="str">
        <f t="shared" si="242"/>
        <v>Medium</v>
      </c>
      <c r="I3087">
        <v>7</v>
      </c>
      <c r="J3087" t="str" cm="1">
        <f t="array" ref="J3087">_xlfn.IFS(I3087&lt;=3,"small",I3087&lt;=6,"Medium",I3087&lt;=9,"Large")</f>
        <v>Large</v>
      </c>
      <c r="K3087" s="36">
        <v>45226</v>
      </c>
      <c r="L3087" s="36">
        <v>45228</v>
      </c>
      <c r="M3087" t="s">
        <v>598</v>
      </c>
      <c r="N3087" t="s">
        <v>608</v>
      </c>
      <c r="O3087" s="37" t="str">
        <f t="shared" si="243"/>
        <v>Cash Payment</v>
      </c>
      <c r="P3087">
        <v>723.25</v>
      </c>
      <c r="Q3087" s="37" t="str">
        <f>IF(P3087&gt;500,"High","low")</f>
        <v>High</v>
      </c>
      <c r="R3087" s="37" t="str">
        <f t="shared" si="244"/>
        <v>Good</v>
      </c>
      <c r="S3087" t="s">
        <v>620</v>
      </c>
    </row>
    <row r="3088" spans="1:19" x14ac:dyDescent="0.2">
      <c r="A3088" t="s">
        <v>3699</v>
      </c>
      <c r="B3088" t="s">
        <v>83</v>
      </c>
      <c r="C3088" t="s">
        <v>597</v>
      </c>
      <c r="D3088">
        <v>2774.57</v>
      </c>
      <c r="E3088" s="37" t="str">
        <f t="shared" si="240"/>
        <v xml:space="preserve"> </v>
      </c>
      <c r="F3088">
        <v>0.16</v>
      </c>
      <c r="G3088" s="37" t="str">
        <f t="shared" si="241"/>
        <v>Normal Discount</v>
      </c>
      <c r="H3088" s="37" t="str">
        <f t="shared" si="242"/>
        <v>Low</v>
      </c>
      <c r="I3088">
        <v>2</v>
      </c>
      <c r="J3088" t="str" cm="1">
        <f t="array" ref="J3088">_xlfn.IFS(I3088&lt;=3,"small",I3088&lt;=6,"Medium",I3088&lt;=9,"Large")</f>
        <v>small</v>
      </c>
      <c r="K3088" s="36">
        <v>45483</v>
      </c>
      <c r="L3088" s="36">
        <v>45490</v>
      </c>
      <c r="M3088" t="s">
        <v>603</v>
      </c>
      <c r="N3088" t="s">
        <v>608</v>
      </c>
      <c r="O3088" s="37" t="str">
        <f t="shared" si="243"/>
        <v>Cash Payment</v>
      </c>
      <c r="P3088">
        <v>706.75</v>
      </c>
      <c r="Q3088" s="37" t="str">
        <f>IF(P3088&gt;500,"High","low")</f>
        <v>High</v>
      </c>
      <c r="R3088" s="37" t="str">
        <f t="shared" si="244"/>
        <v>Good</v>
      </c>
      <c r="S3088" t="s">
        <v>628</v>
      </c>
    </row>
    <row r="3089" spans="1:19" x14ac:dyDescent="0.2">
      <c r="A3089" t="s">
        <v>3700</v>
      </c>
      <c r="B3089" t="s">
        <v>67</v>
      </c>
      <c r="C3089" t="s">
        <v>614</v>
      </c>
      <c r="D3089">
        <v>1505.35</v>
      </c>
      <c r="E3089" s="37" t="str">
        <f t="shared" si="240"/>
        <v xml:space="preserve"> </v>
      </c>
      <c r="F3089">
        <v>0.46</v>
      </c>
      <c r="G3089" s="37" t="str">
        <f t="shared" si="241"/>
        <v>Heavy Discount</v>
      </c>
      <c r="H3089" s="37" t="str">
        <f t="shared" si="242"/>
        <v>High</v>
      </c>
      <c r="I3089">
        <v>6</v>
      </c>
      <c r="J3089" t="str" cm="1">
        <f t="array" ref="J3089">_xlfn.IFS(I3089&lt;=3,"small",I3089&lt;=6,"Medium",I3089&lt;=9,"Large")</f>
        <v>Medium</v>
      </c>
      <c r="K3089" s="36">
        <v>45568</v>
      </c>
      <c r="L3089" s="36">
        <v>45572</v>
      </c>
      <c r="M3089" t="s">
        <v>598</v>
      </c>
      <c r="N3089" t="s">
        <v>599</v>
      </c>
      <c r="O3089" s="37" t="str">
        <f t="shared" si="243"/>
        <v>Digital Payment</v>
      </c>
      <c r="P3089">
        <v>288.89</v>
      </c>
      <c r="Q3089" s="37" t="str">
        <f>IF(P3089&gt;500,"High","low")</f>
        <v>low</v>
      </c>
      <c r="R3089" s="37" t="str">
        <f t="shared" si="244"/>
        <v>AVERAGE</v>
      </c>
      <c r="S3089" t="s">
        <v>628</v>
      </c>
    </row>
    <row r="3090" spans="1:19" x14ac:dyDescent="0.2">
      <c r="A3090" t="s">
        <v>3701</v>
      </c>
      <c r="B3090" t="s">
        <v>67</v>
      </c>
      <c r="C3090" t="s">
        <v>614</v>
      </c>
      <c r="D3090">
        <v>1325.66</v>
      </c>
      <c r="E3090" s="37" t="str">
        <f t="shared" si="240"/>
        <v xml:space="preserve"> </v>
      </c>
      <c r="F3090">
        <v>0.03</v>
      </c>
      <c r="G3090" s="37" t="str">
        <f t="shared" si="241"/>
        <v>Normal Discount</v>
      </c>
      <c r="H3090" s="37" t="str">
        <f t="shared" si="242"/>
        <v>Low</v>
      </c>
      <c r="I3090">
        <v>7</v>
      </c>
      <c r="J3090" t="str" cm="1">
        <f t="array" ref="J3090">_xlfn.IFS(I3090&lt;=3,"small",I3090&lt;=6,"Medium",I3090&lt;=9,"Large")</f>
        <v>Large</v>
      </c>
      <c r="K3090" s="36">
        <v>45607</v>
      </c>
      <c r="L3090" s="36">
        <v>45608</v>
      </c>
      <c r="M3090" t="s">
        <v>603</v>
      </c>
      <c r="N3090" t="s">
        <v>599</v>
      </c>
      <c r="O3090" s="37" t="str">
        <f t="shared" si="243"/>
        <v>Digital Payment</v>
      </c>
      <c r="P3090">
        <v>141.77000000000001</v>
      </c>
      <c r="Q3090" s="37" t="str">
        <f>IF(P3090&gt;500,"High","low")</f>
        <v>low</v>
      </c>
      <c r="R3090" s="37" t="str">
        <f t="shared" si="244"/>
        <v>AVERAGE</v>
      </c>
      <c r="S3090" t="s">
        <v>609</v>
      </c>
    </row>
    <row r="3091" spans="1:19" x14ac:dyDescent="0.2">
      <c r="A3091" t="s">
        <v>3702</v>
      </c>
      <c r="B3091" t="s">
        <v>67</v>
      </c>
      <c r="C3091" t="s">
        <v>614</v>
      </c>
      <c r="D3091">
        <v>123.35</v>
      </c>
      <c r="E3091" s="37" t="str">
        <f t="shared" si="240"/>
        <v xml:space="preserve"> </v>
      </c>
      <c r="F3091">
        <v>0.11</v>
      </c>
      <c r="G3091" s="37" t="str">
        <f t="shared" si="241"/>
        <v>Normal Discount</v>
      </c>
      <c r="H3091" s="37" t="str">
        <f t="shared" si="242"/>
        <v>Low</v>
      </c>
      <c r="I3091">
        <v>8</v>
      </c>
      <c r="J3091" t="str" cm="1">
        <f t="array" ref="J3091">_xlfn.IFS(I3091&lt;=3,"small",I3091&lt;=6,"Medium",I3091&lt;=9,"Large")</f>
        <v>Large</v>
      </c>
      <c r="K3091" s="36">
        <v>45362</v>
      </c>
      <c r="L3091" s="36">
        <v>45366</v>
      </c>
      <c r="M3091" t="s">
        <v>598</v>
      </c>
      <c r="N3091" t="s">
        <v>608</v>
      </c>
      <c r="O3091" s="37" t="str">
        <f t="shared" si="243"/>
        <v>Cash Payment</v>
      </c>
      <c r="P3091">
        <v>21.63</v>
      </c>
      <c r="Q3091" s="37" t="str">
        <f>IF(P3091&gt;500,"High","low")</f>
        <v>low</v>
      </c>
      <c r="R3091" s="37" t="str">
        <f t="shared" si="244"/>
        <v>AVERAGE</v>
      </c>
      <c r="S3091" t="s">
        <v>628</v>
      </c>
    </row>
    <row r="3092" spans="1:19" x14ac:dyDescent="0.2">
      <c r="A3092" t="s">
        <v>3703</v>
      </c>
      <c r="B3092" t="s">
        <v>67</v>
      </c>
      <c r="C3092" t="s">
        <v>597</v>
      </c>
      <c r="D3092">
        <v>2043.39</v>
      </c>
      <c r="E3092" s="37" t="str">
        <f t="shared" si="240"/>
        <v xml:space="preserve"> </v>
      </c>
      <c r="F3092">
        <v>0.17</v>
      </c>
      <c r="G3092" s="37" t="str">
        <f t="shared" si="241"/>
        <v>Normal Discount</v>
      </c>
      <c r="H3092" s="37" t="str">
        <f t="shared" si="242"/>
        <v>Low</v>
      </c>
      <c r="I3092">
        <v>9</v>
      </c>
      <c r="J3092" t="str" cm="1">
        <f t="array" ref="J3092">_xlfn.IFS(I3092&lt;=3,"small",I3092&lt;=6,"Medium",I3092&lt;=9,"Large")</f>
        <v>Large</v>
      </c>
      <c r="K3092" s="36">
        <v>44943</v>
      </c>
      <c r="L3092" s="36">
        <v>44948</v>
      </c>
      <c r="M3092" t="s">
        <v>603</v>
      </c>
      <c r="N3092" t="s">
        <v>608</v>
      </c>
      <c r="O3092" s="37" t="str">
        <f t="shared" si="243"/>
        <v>Cash Payment</v>
      </c>
      <c r="P3092">
        <v>510.51</v>
      </c>
      <c r="Q3092" s="37" t="str">
        <f>IF(P3092&gt;500,"High","low")</f>
        <v>High</v>
      </c>
      <c r="R3092" s="37" t="str">
        <f t="shared" si="244"/>
        <v>Good</v>
      </c>
      <c r="S3092" t="s">
        <v>609</v>
      </c>
    </row>
    <row r="3093" spans="1:19" x14ac:dyDescent="0.2">
      <c r="A3093" t="s">
        <v>3704</v>
      </c>
      <c r="B3093" t="s">
        <v>83</v>
      </c>
      <c r="C3093" t="s">
        <v>607</v>
      </c>
      <c r="D3093">
        <v>2477</v>
      </c>
      <c r="E3093" s="37" t="str">
        <f t="shared" si="240"/>
        <v xml:space="preserve"> </v>
      </c>
      <c r="F3093">
        <v>0.39</v>
      </c>
      <c r="G3093" s="37" t="str">
        <f t="shared" si="241"/>
        <v>Heavy Discount</v>
      </c>
      <c r="H3093" s="37" t="str">
        <f t="shared" si="242"/>
        <v>Medium</v>
      </c>
      <c r="I3093">
        <v>3</v>
      </c>
      <c r="J3093" t="str" cm="1">
        <f t="array" ref="J3093">_xlfn.IFS(I3093&lt;=3,"small",I3093&lt;=6,"Medium",I3093&lt;=9,"Large")</f>
        <v>small</v>
      </c>
      <c r="K3093" s="36">
        <v>44976</v>
      </c>
      <c r="L3093" s="36">
        <v>44982</v>
      </c>
      <c r="M3093" t="s">
        <v>598</v>
      </c>
      <c r="N3093" t="s">
        <v>599</v>
      </c>
      <c r="O3093" s="37" t="str">
        <f t="shared" si="243"/>
        <v>Digital Payment</v>
      </c>
      <c r="P3093">
        <v>403.54</v>
      </c>
      <c r="Q3093" s="37" t="str">
        <f>IF(P3093&gt;500,"High","low")</f>
        <v>low</v>
      </c>
      <c r="R3093" s="37" t="str">
        <f t="shared" si="244"/>
        <v>AVERAGE</v>
      </c>
      <c r="S3093" t="s">
        <v>609</v>
      </c>
    </row>
    <row r="3094" spans="1:19" x14ac:dyDescent="0.2">
      <c r="A3094" t="s">
        <v>3705</v>
      </c>
      <c r="B3094" t="s">
        <v>90</v>
      </c>
      <c r="C3094" t="s">
        <v>617</v>
      </c>
      <c r="D3094">
        <v>3739.74</v>
      </c>
      <c r="E3094" s="37" t="str">
        <f t="shared" si="240"/>
        <v xml:space="preserve"> </v>
      </c>
      <c r="F3094">
        <v>0.45</v>
      </c>
      <c r="G3094" s="37" t="str">
        <f t="shared" si="241"/>
        <v>Heavy Discount</v>
      </c>
      <c r="H3094" s="37" t="str">
        <f t="shared" si="242"/>
        <v>High</v>
      </c>
      <c r="I3094">
        <v>2</v>
      </c>
      <c r="J3094" t="str" cm="1">
        <f t="array" ref="J3094">_xlfn.IFS(I3094&lt;=3,"small",I3094&lt;=6,"Medium",I3094&lt;=9,"Large")</f>
        <v>small</v>
      </c>
      <c r="K3094" s="36">
        <v>45430</v>
      </c>
      <c r="L3094" s="36">
        <v>45436</v>
      </c>
      <c r="M3094" t="s">
        <v>603</v>
      </c>
      <c r="N3094" t="s">
        <v>599</v>
      </c>
      <c r="O3094" s="37" t="str">
        <f t="shared" si="243"/>
        <v>Digital Payment</v>
      </c>
      <c r="P3094">
        <v>1110.0899999999999</v>
      </c>
      <c r="Q3094" s="37" t="str">
        <f>IF(P3094&gt;500,"High","low")</f>
        <v>High</v>
      </c>
      <c r="R3094" s="37" t="str">
        <f t="shared" si="244"/>
        <v>Excellent</v>
      </c>
      <c r="S3094" t="s">
        <v>605</v>
      </c>
    </row>
    <row r="3095" spans="1:19" x14ac:dyDescent="0.2">
      <c r="A3095" t="s">
        <v>3706</v>
      </c>
      <c r="B3095" t="s">
        <v>83</v>
      </c>
      <c r="C3095" t="s">
        <v>602</v>
      </c>
      <c r="D3095">
        <v>426.47</v>
      </c>
      <c r="E3095" s="37" t="str">
        <f t="shared" si="240"/>
        <v xml:space="preserve"> </v>
      </c>
      <c r="F3095">
        <v>0.23</v>
      </c>
      <c r="G3095" s="37" t="str">
        <f t="shared" si="241"/>
        <v>Normal Discount</v>
      </c>
      <c r="H3095" s="37" t="str">
        <f t="shared" si="242"/>
        <v>Medium</v>
      </c>
      <c r="I3095">
        <v>7</v>
      </c>
      <c r="J3095" t="str" cm="1">
        <f t="array" ref="J3095">_xlfn.IFS(I3095&lt;=3,"small",I3095&lt;=6,"Medium",I3095&lt;=9,"Large")</f>
        <v>Large</v>
      </c>
      <c r="K3095" s="36">
        <v>45607</v>
      </c>
      <c r="L3095" s="36">
        <v>45610</v>
      </c>
      <c r="M3095" t="s">
        <v>612</v>
      </c>
      <c r="N3095" t="s">
        <v>599</v>
      </c>
      <c r="O3095" s="37" t="str">
        <f t="shared" si="243"/>
        <v>Digital Payment</v>
      </c>
      <c r="P3095">
        <v>45.49</v>
      </c>
      <c r="Q3095" s="37" t="str">
        <f>IF(P3095&gt;500,"High","low")</f>
        <v>low</v>
      </c>
      <c r="R3095" s="37" t="str">
        <f t="shared" si="244"/>
        <v>AVERAGE</v>
      </c>
      <c r="S3095" t="s">
        <v>615</v>
      </c>
    </row>
    <row r="3096" spans="1:19" x14ac:dyDescent="0.2">
      <c r="A3096" t="s">
        <v>3707</v>
      </c>
      <c r="B3096" t="s">
        <v>75</v>
      </c>
      <c r="C3096" t="s">
        <v>607</v>
      </c>
      <c r="D3096">
        <v>4627.55</v>
      </c>
      <c r="E3096" s="37" t="str">
        <f t="shared" si="240"/>
        <v>Excellent Order</v>
      </c>
      <c r="F3096">
        <v>0.14000000000000001</v>
      </c>
      <c r="G3096" s="37" t="str">
        <f t="shared" si="241"/>
        <v>Normal Discount</v>
      </c>
      <c r="H3096" s="37" t="str">
        <f t="shared" si="242"/>
        <v>Low</v>
      </c>
      <c r="I3096">
        <v>8</v>
      </c>
      <c r="J3096" t="str" cm="1">
        <f t="array" ref="J3096">_xlfn.IFS(I3096&lt;=3,"small",I3096&lt;=6,"Medium",I3096&lt;=9,"Large")</f>
        <v>Large</v>
      </c>
      <c r="K3096" s="36">
        <v>45358</v>
      </c>
      <c r="L3096" s="36">
        <v>45365</v>
      </c>
      <c r="M3096" t="s">
        <v>598</v>
      </c>
      <c r="N3096" t="s">
        <v>604</v>
      </c>
      <c r="O3096" s="37" t="str">
        <f t="shared" si="243"/>
        <v>Digital Payment</v>
      </c>
      <c r="P3096">
        <v>1285.04</v>
      </c>
      <c r="Q3096" s="37" t="str">
        <f>IF(P3096&gt;500,"High","low")</f>
        <v>High</v>
      </c>
      <c r="R3096" s="37" t="str">
        <f t="shared" si="244"/>
        <v>Excellent</v>
      </c>
      <c r="S3096" t="s">
        <v>620</v>
      </c>
    </row>
    <row r="3097" spans="1:19" x14ac:dyDescent="0.2">
      <c r="A3097" t="s">
        <v>3708</v>
      </c>
      <c r="B3097" t="s">
        <v>67</v>
      </c>
      <c r="C3097" t="s">
        <v>597</v>
      </c>
      <c r="D3097">
        <v>1393.4</v>
      </c>
      <c r="E3097" s="37" t="str">
        <f t="shared" si="240"/>
        <v xml:space="preserve"> </v>
      </c>
      <c r="F3097">
        <v>0.18</v>
      </c>
      <c r="G3097" s="37" t="str">
        <f t="shared" si="241"/>
        <v>Normal Discount</v>
      </c>
      <c r="H3097" s="37" t="str">
        <f t="shared" si="242"/>
        <v>Low</v>
      </c>
      <c r="I3097">
        <v>9</v>
      </c>
      <c r="J3097" t="str" cm="1">
        <f t="array" ref="J3097">_xlfn.IFS(I3097&lt;=3,"small",I3097&lt;=6,"Medium",I3097&lt;=9,"Large")</f>
        <v>Large</v>
      </c>
      <c r="K3097" s="36">
        <v>45088</v>
      </c>
      <c r="L3097" s="36">
        <v>45090</v>
      </c>
      <c r="M3097" t="s">
        <v>603</v>
      </c>
      <c r="N3097" t="s">
        <v>599</v>
      </c>
      <c r="O3097" s="37" t="str">
        <f t="shared" si="243"/>
        <v>Digital Payment</v>
      </c>
      <c r="P3097">
        <v>182.11</v>
      </c>
      <c r="Q3097" s="37" t="str">
        <f>IF(P3097&gt;500,"High","low")</f>
        <v>low</v>
      </c>
      <c r="R3097" s="37" t="str">
        <f t="shared" si="244"/>
        <v>AVERAGE</v>
      </c>
      <c r="S3097" t="s">
        <v>609</v>
      </c>
    </row>
    <row r="3098" spans="1:19" x14ac:dyDescent="0.2">
      <c r="A3098" t="s">
        <v>3709</v>
      </c>
      <c r="B3098" t="s">
        <v>67</v>
      </c>
      <c r="C3098" t="s">
        <v>597</v>
      </c>
      <c r="D3098">
        <v>1896.93</v>
      </c>
      <c r="E3098" s="37" t="str">
        <f t="shared" si="240"/>
        <v xml:space="preserve"> </v>
      </c>
      <c r="F3098">
        <v>0.33</v>
      </c>
      <c r="G3098" s="37" t="str">
        <f t="shared" si="241"/>
        <v>Heavy Discount</v>
      </c>
      <c r="H3098" s="37" t="str">
        <f t="shared" si="242"/>
        <v>Medium</v>
      </c>
      <c r="I3098">
        <v>5</v>
      </c>
      <c r="J3098" t="str" cm="1">
        <f t="array" ref="J3098">_xlfn.IFS(I3098&lt;=3,"small",I3098&lt;=6,"Medium",I3098&lt;=9,"Large")</f>
        <v>Medium</v>
      </c>
      <c r="K3098" s="36">
        <v>45276</v>
      </c>
      <c r="L3098" s="36">
        <v>45281</v>
      </c>
      <c r="M3098" t="s">
        <v>603</v>
      </c>
      <c r="N3098" t="s">
        <v>599</v>
      </c>
      <c r="O3098" s="37" t="str">
        <f t="shared" si="243"/>
        <v>Digital Payment</v>
      </c>
      <c r="P3098">
        <v>492.56</v>
      </c>
      <c r="Q3098" s="37" t="str">
        <f>IF(P3098&gt;500,"High","low")</f>
        <v>low</v>
      </c>
      <c r="R3098" s="37" t="str">
        <f t="shared" si="244"/>
        <v>AVERAGE</v>
      </c>
      <c r="S3098" t="s">
        <v>628</v>
      </c>
    </row>
    <row r="3099" spans="1:19" x14ac:dyDescent="0.2">
      <c r="A3099" t="s">
        <v>3710</v>
      </c>
      <c r="B3099" t="s">
        <v>75</v>
      </c>
      <c r="C3099" t="s">
        <v>614</v>
      </c>
      <c r="D3099">
        <v>336.98</v>
      </c>
      <c r="E3099" s="37" t="str">
        <f t="shared" si="240"/>
        <v xml:space="preserve"> </v>
      </c>
      <c r="F3099">
        <v>0.08</v>
      </c>
      <c r="G3099" s="37" t="str">
        <f t="shared" si="241"/>
        <v>Normal Discount</v>
      </c>
      <c r="H3099" s="37" t="str">
        <f t="shared" si="242"/>
        <v>Low</v>
      </c>
      <c r="I3099">
        <v>9</v>
      </c>
      <c r="J3099" t="str" cm="1">
        <f t="array" ref="J3099">_xlfn.IFS(I3099&lt;=3,"small",I3099&lt;=6,"Medium",I3099&lt;=9,"Large")</f>
        <v>Large</v>
      </c>
      <c r="K3099" s="36">
        <v>44928</v>
      </c>
      <c r="L3099" s="36">
        <v>44935</v>
      </c>
      <c r="M3099" t="s">
        <v>612</v>
      </c>
      <c r="N3099" t="s">
        <v>604</v>
      </c>
      <c r="O3099" s="37" t="str">
        <f t="shared" si="243"/>
        <v>Digital Payment</v>
      </c>
      <c r="P3099">
        <v>53.45</v>
      </c>
      <c r="Q3099" s="37" t="str">
        <f>IF(P3099&gt;500,"High","low")</f>
        <v>low</v>
      </c>
      <c r="R3099" s="37" t="str">
        <f t="shared" si="244"/>
        <v>AVERAGE</v>
      </c>
      <c r="S3099" t="s">
        <v>615</v>
      </c>
    </row>
    <row r="3100" spans="1:19" x14ac:dyDescent="0.2">
      <c r="A3100" t="s">
        <v>3711</v>
      </c>
      <c r="B3100" t="s">
        <v>83</v>
      </c>
      <c r="C3100" t="s">
        <v>607</v>
      </c>
      <c r="D3100">
        <v>3300.37</v>
      </c>
      <c r="E3100" s="37" t="str">
        <f t="shared" si="240"/>
        <v xml:space="preserve"> </v>
      </c>
      <c r="F3100">
        <v>0.27</v>
      </c>
      <c r="G3100" s="37" t="str">
        <f t="shared" si="241"/>
        <v>Normal Discount</v>
      </c>
      <c r="H3100" s="37" t="str">
        <f t="shared" si="242"/>
        <v>Medium</v>
      </c>
      <c r="I3100">
        <v>1</v>
      </c>
      <c r="J3100" t="str" cm="1">
        <f t="array" ref="J3100">_xlfn.IFS(I3100&lt;=3,"small",I3100&lt;=6,"Medium",I3100&lt;=9,"Large")</f>
        <v>small</v>
      </c>
      <c r="K3100" s="36">
        <v>45642</v>
      </c>
      <c r="L3100" s="36">
        <v>45646</v>
      </c>
      <c r="M3100" t="s">
        <v>598</v>
      </c>
      <c r="N3100" t="s">
        <v>604</v>
      </c>
      <c r="O3100" s="37" t="str">
        <f t="shared" si="243"/>
        <v>Digital Payment</v>
      </c>
      <c r="P3100">
        <v>852</v>
      </c>
      <c r="Q3100" s="37" t="str">
        <f>IF(P3100&gt;500,"High","low")</f>
        <v>High</v>
      </c>
      <c r="R3100" s="37" t="str">
        <f t="shared" si="244"/>
        <v>Good</v>
      </c>
      <c r="S3100" t="s">
        <v>609</v>
      </c>
    </row>
    <row r="3101" spans="1:19" x14ac:dyDescent="0.2">
      <c r="A3101" t="s">
        <v>3712</v>
      </c>
      <c r="B3101" t="s">
        <v>90</v>
      </c>
      <c r="C3101" t="s">
        <v>614</v>
      </c>
      <c r="D3101">
        <v>3573.72</v>
      </c>
      <c r="E3101" s="37" t="str">
        <f t="shared" si="240"/>
        <v xml:space="preserve"> </v>
      </c>
      <c r="F3101">
        <v>0.28999999999999998</v>
      </c>
      <c r="G3101" s="37" t="str">
        <f t="shared" si="241"/>
        <v>Normal Discount</v>
      </c>
      <c r="H3101" s="37" t="str">
        <f t="shared" si="242"/>
        <v>Medium</v>
      </c>
      <c r="I3101">
        <v>9</v>
      </c>
      <c r="J3101" t="str" cm="1">
        <f t="array" ref="J3101">_xlfn.IFS(I3101&lt;=3,"small",I3101&lt;=6,"Medium",I3101&lt;=9,"Large")</f>
        <v>Large</v>
      </c>
      <c r="K3101" s="36">
        <v>45110</v>
      </c>
      <c r="L3101" s="36">
        <v>45115</v>
      </c>
      <c r="M3101" t="s">
        <v>603</v>
      </c>
      <c r="N3101" t="s">
        <v>599</v>
      </c>
      <c r="O3101" s="37" t="str">
        <f t="shared" si="243"/>
        <v>Digital Payment</v>
      </c>
      <c r="P3101">
        <v>705.12</v>
      </c>
      <c r="Q3101" s="37" t="str">
        <f>IF(P3101&gt;500,"High","low")</f>
        <v>High</v>
      </c>
      <c r="R3101" s="37" t="str">
        <f t="shared" si="244"/>
        <v>Good</v>
      </c>
      <c r="S3101" t="s">
        <v>615</v>
      </c>
    </row>
    <row r="3102" spans="1:19" x14ac:dyDescent="0.2">
      <c r="A3102" t="s">
        <v>3713</v>
      </c>
      <c r="B3102" t="s">
        <v>90</v>
      </c>
      <c r="C3102" t="s">
        <v>602</v>
      </c>
      <c r="D3102">
        <v>4651.08</v>
      </c>
      <c r="E3102" s="37" t="str">
        <f t="shared" si="240"/>
        <v>Excellent Order</v>
      </c>
      <c r="F3102">
        <v>0.35</v>
      </c>
      <c r="G3102" s="37" t="str">
        <f t="shared" si="241"/>
        <v>Heavy Discount</v>
      </c>
      <c r="H3102" s="37" t="str">
        <f t="shared" si="242"/>
        <v>Medium</v>
      </c>
      <c r="I3102">
        <v>5</v>
      </c>
      <c r="J3102" t="str" cm="1">
        <f t="array" ref="J3102">_xlfn.IFS(I3102&lt;=3,"small",I3102&lt;=6,"Medium",I3102&lt;=9,"Large")</f>
        <v>Medium</v>
      </c>
      <c r="K3102" s="36">
        <v>45358</v>
      </c>
      <c r="L3102" s="36">
        <v>45363</v>
      </c>
      <c r="M3102" t="s">
        <v>603</v>
      </c>
      <c r="N3102" t="s">
        <v>608</v>
      </c>
      <c r="O3102" s="37" t="str">
        <f t="shared" si="243"/>
        <v>Cash Payment</v>
      </c>
      <c r="P3102">
        <v>1287.3599999999999</v>
      </c>
      <c r="Q3102" s="37" t="str">
        <f>IF(P3102&gt;500,"High","low")</f>
        <v>High</v>
      </c>
      <c r="R3102" s="37" t="str">
        <f t="shared" si="244"/>
        <v>Excellent</v>
      </c>
      <c r="S3102" t="s">
        <v>600</v>
      </c>
    </row>
    <row r="3103" spans="1:19" x14ac:dyDescent="0.2">
      <c r="A3103" t="s">
        <v>3714</v>
      </c>
      <c r="B3103" t="s">
        <v>75</v>
      </c>
      <c r="C3103" t="s">
        <v>614</v>
      </c>
      <c r="D3103">
        <v>1750.46</v>
      </c>
      <c r="E3103" s="37" t="str">
        <f t="shared" si="240"/>
        <v xml:space="preserve"> </v>
      </c>
      <c r="F3103">
        <v>0.3</v>
      </c>
      <c r="G3103" s="37" t="str">
        <f t="shared" si="241"/>
        <v>Normal Discount</v>
      </c>
      <c r="H3103" s="37" t="str">
        <f t="shared" si="242"/>
        <v>Medium</v>
      </c>
      <c r="I3103">
        <v>2</v>
      </c>
      <c r="J3103" t="str" cm="1">
        <f t="array" ref="J3103">_xlfn.IFS(I3103&lt;=3,"small",I3103&lt;=6,"Medium",I3103&lt;=9,"Large")</f>
        <v>small</v>
      </c>
      <c r="K3103" s="36">
        <v>45298</v>
      </c>
      <c r="L3103" s="36">
        <v>45300</v>
      </c>
      <c r="M3103" t="s">
        <v>612</v>
      </c>
      <c r="N3103" t="s">
        <v>604</v>
      </c>
      <c r="O3103" s="37" t="str">
        <f t="shared" si="243"/>
        <v>Digital Payment</v>
      </c>
      <c r="P3103">
        <v>296.94</v>
      </c>
      <c r="Q3103" s="37" t="str">
        <f>IF(P3103&gt;500,"High","low")</f>
        <v>low</v>
      </c>
      <c r="R3103" s="37" t="str">
        <f t="shared" si="244"/>
        <v>AVERAGE</v>
      </c>
      <c r="S3103" t="s">
        <v>605</v>
      </c>
    </row>
    <row r="3104" spans="1:19" x14ac:dyDescent="0.2">
      <c r="A3104" t="s">
        <v>3715</v>
      </c>
      <c r="B3104" t="s">
        <v>90</v>
      </c>
      <c r="C3104" t="s">
        <v>602</v>
      </c>
      <c r="D3104">
        <v>1361.11</v>
      </c>
      <c r="E3104" s="37" t="str">
        <f t="shared" si="240"/>
        <v xml:space="preserve"> </v>
      </c>
      <c r="F3104">
        <v>0.05</v>
      </c>
      <c r="G3104" s="37" t="str">
        <f t="shared" si="241"/>
        <v>Normal Discount</v>
      </c>
      <c r="H3104" s="37" t="str">
        <f t="shared" si="242"/>
        <v>Low</v>
      </c>
      <c r="I3104">
        <v>6</v>
      </c>
      <c r="J3104" t="str" cm="1">
        <f t="array" ref="J3104">_xlfn.IFS(I3104&lt;=3,"small",I3104&lt;=6,"Medium",I3104&lt;=9,"Large")</f>
        <v>Medium</v>
      </c>
      <c r="K3104" s="36">
        <v>45541</v>
      </c>
      <c r="L3104" s="36">
        <v>45542</v>
      </c>
      <c r="M3104" t="s">
        <v>612</v>
      </c>
      <c r="N3104" t="s">
        <v>599</v>
      </c>
      <c r="O3104" s="37" t="str">
        <f t="shared" si="243"/>
        <v>Digital Payment</v>
      </c>
      <c r="P3104">
        <v>385.59</v>
      </c>
      <c r="Q3104" s="37" t="str">
        <f>IF(P3104&gt;500,"High","low")</f>
        <v>low</v>
      </c>
      <c r="R3104" s="37" t="str">
        <f t="shared" si="244"/>
        <v>AVERAGE</v>
      </c>
      <c r="S3104" t="s">
        <v>609</v>
      </c>
    </row>
    <row r="3105" spans="1:19" x14ac:dyDescent="0.2">
      <c r="A3105" t="s">
        <v>3716</v>
      </c>
      <c r="B3105" t="s">
        <v>83</v>
      </c>
      <c r="C3105" t="s">
        <v>597</v>
      </c>
      <c r="D3105">
        <v>3657.82</v>
      </c>
      <c r="E3105" s="37" t="str">
        <f t="shared" si="240"/>
        <v xml:space="preserve"> </v>
      </c>
      <c r="F3105">
        <v>0.34</v>
      </c>
      <c r="G3105" s="37" t="str">
        <f t="shared" si="241"/>
        <v>Heavy Discount</v>
      </c>
      <c r="H3105" s="37" t="str">
        <f t="shared" si="242"/>
        <v>Medium</v>
      </c>
      <c r="I3105">
        <v>1</v>
      </c>
      <c r="J3105" t="str" cm="1">
        <f t="array" ref="J3105">_xlfn.IFS(I3105&lt;=3,"small",I3105&lt;=6,"Medium",I3105&lt;=9,"Large")</f>
        <v>small</v>
      </c>
      <c r="K3105" s="36">
        <v>45370</v>
      </c>
      <c r="L3105" s="36">
        <v>45372</v>
      </c>
      <c r="M3105" t="s">
        <v>598</v>
      </c>
      <c r="N3105" t="s">
        <v>608</v>
      </c>
      <c r="O3105" s="37" t="str">
        <f t="shared" si="243"/>
        <v>Cash Payment</v>
      </c>
      <c r="P3105">
        <v>299.39999999999998</v>
      </c>
      <c r="Q3105" s="37" t="str">
        <f>IF(P3105&gt;500,"High","low")</f>
        <v>low</v>
      </c>
      <c r="R3105" s="37" t="str">
        <f t="shared" si="244"/>
        <v>AVERAGE</v>
      </c>
      <c r="S3105" t="s">
        <v>620</v>
      </c>
    </row>
    <row r="3106" spans="1:19" x14ac:dyDescent="0.2">
      <c r="A3106" t="s">
        <v>3717</v>
      </c>
      <c r="B3106" t="s">
        <v>83</v>
      </c>
      <c r="C3106" t="s">
        <v>614</v>
      </c>
      <c r="D3106">
        <v>3563.32</v>
      </c>
      <c r="E3106" s="37" t="str">
        <f t="shared" si="240"/>
        <v xml:space="preserve"> </v>
      </c>
      <c r="F3106">
        <v>0.01</v>
      </c>
      <c r="G3106" s="37" t="str">
        <f t="shared" si="241"/>
        <v>Normal Discount</v>
      </c>
      <c r="H3106" s="37" t="str">
        <f t="shared" si="242"/>
        <v>Low</v>
      </c>
      <c r="I3106">
        <v>7</v>
      </c>
      <c r="J3106" t="str" cm="1">
        <f t="array" ref="J3106">_xlfn.IFS(I3106&lt;=3,"small",I3106&lt;=6,"Medium",I3106&lt;=9,"Large")</f>
        <v>Large</v>
      </c>
      <c r="K3106" s="36">
        <v>45421</v>
      </c>
      <c r="L3106" s="36">
        <v>45423</v>
      </c>
      <c r="M3106" t="s">
        <v>598</v>
      </c>
      <c r="N3106" t="s">
        <v>608</v>
      </c>
      <c r="O3106" s="37" t="str">
        <f t="shared" si="243"/>
        <v>Cash Payment</v>
      </c>
      <c r="P3106">
        <v>898.81</v>
      </c>
      <c r="Q3106" s="37" t="str">
        <f>IF(P3106&gt;500,"High","low")</f>
        <v>High</v>
      </c>
      <c r="R3106" s="37" t="str">
        <f t="shared" si="244"/>
        <v>Good</v>
      </c>
      <c r="S3106" t="s">
        <v>615</v>
      </c>
    </row>
    <row r="3107" spans="1:19" x14ac:dyDescent="0.2">
      <c r="A3107" t="s">
        <v>3718</v>
      </c>
      <c r="B3107" t="s">
        <v>75</v>
      </c>
      <c r="C3107" t="s">
        <v>614</v>
      </c>
      <c r="D3107">
        <v>4691.91</v>
      </c>
      <c r="E3107" s="37" t="str">
        <f t="shared" si="240"/>
        <v xml:space="preserve"> </v>
      </c>
      <c r="F3107">
        <v>0.2</v>
      </c>
      <c r="G3107" s="37" t="str">
        <f t="shared" si="241"/>
        <v>Normal Discount</v>
      </c>
      <c r="H3107" s="37" t="str">
        <f t="shared" si="242"/>
        <v>Medium</v>
      </c>
      <c r="I3107">
        <v>7</v>
      </c>
      <c r="J3107" t="str" cm="1">
        <f t="array" ref="J3107">_xlfn.IFS(I3107&lt;=3,"small",I3107&lt;=6,"Medium",I3107&lt;=9,"Large")</f>
        <v>Large</v>
      </c>
      <c r="K3107" s="36">
        <v>44963</v>
      </c>
      <c r="L3107" s="36">
        <v>44964</v>
      </c>
      <c r="M3107" t="s">
        <v>612</v>
      </c>
      <c r="N3107" t="s">
        <v>599</v>
      </c>
      <c r="O3107" s="37" t="str">
        <f t="shared" si="243"/>
        <v>Digital Payment</v>
      </c>
      <c r="P3107">
        <v>493.58</v>
      </c>
      <c r="Q3107" s="37" t="str">
        <f>IF(P3107&gt;500,"High","low")</f>
        <v>low</v>
      </c>
      <c r="R3107" s="37" t="str">
        <f t="shared" si="244"/>
        <v>AVERAGE</v>
      </c>
      <c r="S3107" t="s">
        <v>605</v>
      </c>
    </row>
    <row r="3108" spans="1:19" x14ac:dyDescent="0.2">
      <c r="A3108" t="s">
        <v>3719</v>
      </c>
      <c r="B3108" t="s">
        <v>83</v>
      </c>
      <c r="C3108" t="s">
        <v>617</v>
      </c>
      <c r="D3108">
        <v>1106.06</v>
      </c>
      <c r="E3108" s="37" t="str">
        <f t="shared" si="240"/>
        <v xml:space="preserve"> </v>
      </c>
      <c r="F3108">
        <v>0.21</v>
      </c>
      <c r="G3108" s="37" t="str">
        <f t="shared" si="241"/>
        <v>Normal Discount</v>
      </c>
      <c r="H3108" s="37" t="str">
        <f t="shared" si="242"/>
        <v>Medium</v>
      </c>
      <c r="I3108">
        <v>8</v>
      </c>
      <c r="J3108" t="str" cm="1">
        <f t="array" ref="J3108">_xlfn.IFS(I3108&lt;=3,"small",I3108&lt;=6,"Medium",I3108&lt;=9,"Large")</f>
        <v>Large</v>
      </c>
      <c r="K3108" s="36">
        <v>45459</v>
      </c>
      <c r="L3108" s="36">
        <v>45466</v>
      </c>
      <c r="M3108" t="s">
        <v>598</v>
      </c>
      <c r="N3108" t="s">
        <v>599</v>
      </c>
      <c r="O3108" s="37" t="str">
        <f t="shared" si="243"/>
        <v>Digital Payment</v>
      </c>
      <c r="P3108">
        <v>118.9</v>
      </c>
      <c r="Q3108" s="37" t="str">
        <f>IF(P3108&gt;500,"High","low")</f>
        <v>low</v>
      </c>
      <c r="R3108" s="37" t="str">
        <f t="shared" si="244"/>
        <v>AVERAGE</v>
      </c>
      <c r="S3108" t="s">
        <v>620</v>
      </c>
    </row>
    <row r="3109" spans="1:19" x14ac:dyDescent="0.2">
      <c r="A3109" t="s">
        <v>3720</v>
      </c>
      <c r="B3109" t="s">
        <v>67</v>
      </c>
      <c r="C3109" t="s">
        <v>597</v>
      </c>
      <c r="D3109">
        <v>3555.93</v>
      </c>
      <c r="E3109" s="37" t="str">
        <f t="shared" si="240"/>
        <v xml:space="preserve"> </v>
      </c>
      <c r="F3109">
        <v>0.06</v>
      </c>
      <c r="G3109" s="37" t="str">
        <f t="shared" si="241"/>
        <v>Normal Discount</v>
      </c>
      <c r="H3109" s="37" t="str">
        <f t="shared" si="242"/>
        <v>Low</v>
      </c>
      <c r="I3109">
        <v>1</v>
      </c>
      <c r="J3109" t="str" cm="1">
        <f t="array" ref="J3109">_xlfn.IFS(I3109&lt;=3,"small",I3109&lt;=6,"Medium",I3109&lt;=9,"Large")</f>
        <v>small</v>
      </c>
      <c r="K3109" s="36">
        <v>45200</v>
      </c>
      <c r="L3109" s="36">
        <v>45201</v>
      </c>
      <c r="M3109" t="s">
        <v>612</v>
      </c>
      <c r="N3109" t="s">
        <v>604</v>
      </c>
      <c r="O3109" s="37" t="str">
        <f t="shared" si="243"/>
        <v>Digital Payment</v>
      </c>
      <c r="P3109">
        <v>236.13</v>
      </c>
      <c r="Q3109" s="37" t="str">
        <f>IF(P3109&gt;500,"High","low")</f>
        <v>low</v>
      </c>
      <c r="R3109" s="37" t="str">
        <f t="shared" si="244"/>
        <v>AVERAGE</v>
      </c>
      <c r="S3109" t="s">
        <v>605</v>
      </c>
    </row>
    <row r="3110" spans="1:19" x14ac:dyDescent="0.2">
      <c r="A3110" t="s">
        <v>3721</v>
      </c>
      <c r="B3110" t="s">
        <v>75</v>
      </c>
      <c r="C3110" t="s">
        <v>617</v>
      </c>
      <c r="D3110">
        <v>427.66</v>
      </c>
      <c r="E3110" s="37" t="str">
        <f t="shared" si="240"/>
        <v xml:space="preserve"> </v>
      </c>
      <c r="F3110">
        <v>0</v>
      </c>
      <c r="G3110" s="37" t="str">
        <f t="shared" si="241"/>
        <v>Normal Discount</v>
      </c>
      <c r="H3110" s="37" t="str">
        <f t="shared" si="242"/>
        <v>Low</v>
      </c>
      <c r="I3110">
        <v>2</v>
      </c>
      <c r="J3110" t="str" cm="1">
        <f t="array" ref="J3110">_xlfn.IFS(I3110&lt;=3,"small",I3110&lt;=6,"Medium",I3110&lt;=9,"Large")</f>
        <v>small</v>
      </c>
      <c r="K3110" s="36">
        <v>45427</v>
      </c>
      <c r="L3110" s="36">
        <v>45429</v>
      </c>
      <c r="M3110" t="s">
        <v>612</v>
      </c>
      <c r="N3110" t="s">
        <v>608</v>
      </c>
      <c r="O3110" s="37" t="str">
        <f t="shared" si="243"/>
        <v>Cash Payment</v>
      </c>
      <c r="P3110">
        <v>99.62</v>
      </c>
      <c r="Q3110" s="37" t="str">
        <f>IF(P3110&gt;500,"High","low")</f>
        <v>low</v>
      </c>
      <c r="R3110" s="37" t="str">
        <f t="shared" si="244"/>
        <v>AVERAGE</v>
      </c>
      <c r="S3110" t="s">
        <v>615</v>
      </c>
    </row>
    <row r="3111" spans="1:19" x14ac:dyDescent="0.2">
      <c r="A3111" t="s">
        <v>3722</v>
      </c>
      <c r="B3111" t="s">
        <v>83</v>
      </c>
      <c r="C3111" t="s">
        <v>602</v>
      </c>
      <c r="D3111">
        <v>2453.8000000000002</v>
      </c>
      <c r="E3111" s="37" t="str">
        <f t="shared" si="240"/>
        <v xml:space="preserve"> </v>
      </c>
      <c r="F3111">
        <v>0.04</v>
      </c>
      <c r="G3111" s="37" t="str">
        <f t="shared" si="241"/>
        <v>Normal Discount</v>
      </c>
      <c r="H3111" s="37" t="str">
        <f t="shared" si="242"/>
        <v>Low</v>
      </c>
      <c r="I3111">
        <v>1</v>
      </c>
      <c r="J3111" t="str" cm="1">
        <f t="array" ref="J3111">_xlfn.IFS(I3111&lt;=3,"small",I3111&lt;=6,"Medium",I3111&lt;=9,"Large")</f>
        <v>small</v>
      </c>
      <c r="K3111" s="36">
        <v>45109</v>
      </c>
      <c r="L3111" s="36">
        <v>45110</v>
      </c>
      <c r="M3111" t="s">
        <v>603</v>
      </c>
      <c r="N3111" t="s">
        <v>608</v>
      </c>
      <c r="O3111" s="37" t="str">
        <f t="shared" si="243"/>
        <v>Cash Payment</v>
      </c>
      <c r="P3111">
        <v>517.64</v>
      </c>
      <c r="Q3111" s="37" t="str">
        <f>IF(P3111&gt;500,"High","low")</f>
        <v>High</v>
      </c>
      <c r="R3111" s="37" t="str">
        <f t="shared" si="244"/>
        <v>Good</v>
      </c>
      <c r="S3111" t="s">
        <v>620</v>
      </c>
    </row>
    <row r="3112" spans="1:19" x14ac:dyDescent="0.2">
      <c r="A3112" t="s">
        <v>3723</v>
      </c>
      <c r="B3112" t="s">
        <v>75</v>
      </c>
      <c r="C3112" t="s">
        <v>602</v>
      </c>
      <c r="D3112">
        <v>685.01</v>
      </c>
      <c r="E3112" s="37" t="str">
        <f t="shared" si="240"/>
        <v xml:space="preserve"> </v>
      </c>
      <c r="F3112">
        <v>0.22</v>
      </c>
      <c r="G3112" s="37" t="str">
        <f t="shared" si="241"/>
        <v>Normal Discount</v>
      </c>
      <c r="H3112" s="37" t="str">
        <f t="shared" si="242"/>
        <v>Medium</v>
      </c>
      <c r="I3112">
        <v>8</v>
      </c>
      <c r="J3112" t="str" cm="1">
        <f t="array" ref="J3112">_xlfn.IFS(I3112&lt;=3,"small",I3112&lt;=6,"Medium",I3112&lt;=9,"Large")</f>
        <v>Large</v>
      </c>
      <c r="K3112" s="36">
        <v>45527</v>
      </c>
      <c r="L3112" s="36">
        <v>45530</v>
      </c>
      <c r="M3112" t="s">
        <v>598</v>
      </c>
      <c r="N3112" t="s">
        <v>608</v>
      </c>
      <c r="O3112" s="37" t="str">
        <f t="shared" si="243"/>
        <v>Cash Payment</v>
      </c>
      <c r="P3112">
        <v>91.64</v>
      </c>
      <c r="Q3112" s="37" t="str">
        <f>IF(P3112&gt;500,"High","low")</f>
        <v>low</v>
      </c>
      <c r="R3112" s="37" t="str">
        <f t="shared" si="244"/>
        <v>AVERAGE</v>
      </c>
      <c r="S3112" t="s">
        <v>605</v>
      </c>
    </row>
    <row r="3113" spans="1:19" x14ac:dyDescent="0.2">
      <c r="A3113" t="s">
        <v>3724</v>
      </c>
      <c r="B3113" t="s">
        <v>90</v>
      </c>
      <c r="C3113" t="s">
        <v>597</v>
      </c>
      <c r="D3113">
        <v>3300.42</v>
      </c>
      <c r="E3113" s="37" t="str">
        <f t="shared" si="240"/>
        <v xml:space="preserve"> </v>
      </c>
      <c r="F3113">
        <v>0.12</v>
      </c>
      <c r="G3113" s="37" t="str">
        <f t="shared" si="241"/>
        <v>Normal Discount</v>
      </c>
      <c r="H3113" s="37" t="str">
        <f t="shared" si="242"/>
        <v>Low</v>
      </c>
      <c r="I3113">
        <v>8</v>
      </c>
      <c r="J3113" t="str" cm="1">
        <f t="array" ref="J3113">_xlfn.IFS(I3113&lt;=3,"small",I3113&lt;=6,"Medium",I3113&lt;=9,"Large")</f>
        <v>Large</v>
      </c>
      <c r="K3113" s="36">
        <v>45134</v>
      </c>
      <c r="L3113" s="36">
        <v>45139</v>
      </c>
      <c r="M3113" t="s">
        <v>603</v>
      </c>
      <c r="N3113" t="s">
        <v>599</v>
      </c>
      <c r="O3113" s="37" t="str">
        <f t="shared" si="243"/>
        <v>Digital Payment</v>
      </c>
      <c r="P3113">
        <v>970.15</v>
      </c>
      <c r="Q3113" s="37" t="str">
        <f>IF(P3113&gt;500,"High","low")</f>
        <v>High</v>
      </c>
      <c r="R3113" s="37" t="str">
        <f t="shared" si="244"/>
        <v>Good</v>
      </c>
      <c r="S3113" t="s">
        <v>628</v>
      </c>
    </row>
    <row r="3114" spans="1:19" x14ac:dyDescent="0.2">
      <c r="A3114" t="s">
        <v>3725</v>
      </c>
      <c r="B3114" t="s">
        <v>83</v>
      </c>
      <c r="C3114" t="s">
        <v>602</v>
      </c>
      <c r="D3114">
        <v>3047.19</v>
      </c>
      <c r="E3114" s="37" t="str">
        <f t="shared" si="240"/>
        <v xml:space="preserve"> </v>
      </c>
      <c r="F3114">
        <v>0.03</v>
      </c>
      <c r="G3114" s="37" t="str">
        <f t="shared" si="241"/>
        <v>Normal Discount</v>
      </c>
      <c r="H3114" s="37" t="str">
        <f t="shared" si="242"/>
        <v>Low</v>
      </c>
      <c r="I3114">
        <v>3</v>
      </c>
      <c r="J3114" t="str" cm="1">
        <f t="array" ref="J3114">_xlfn.IFS(I3114&lt;=3,"small",I3114&lt;=6,"Medium",I3114&lt;=9,"Large")</f>
        <v>small</v>
      </c>
      <c r="K3114" s="36">
        <v>45035</v>
      </c>
      <c r="L3114" s="36">
        <v>45040</v>
      </c>
      <c r="M3114" t="s">
        <v>612</v>
      </c>
      <c r="N3114" t="s">
        <v>599</v>
      </c>
      <c r="O3114" s="37" t="str">
        <f t="shared" si="243"/>
        <v>Digital Payment</v>
      </c>
      <c r="P3114">
        <v>196.64</v>
      </c>
      <c r="Q3114" s="37" t="str">
        <f>IF(P3114&gt;500,"High","low")</f>
        <v>low</v>
      </c>
      <c r="R3114" s="37" t="str">
        <f t="shared" si="244"/>
        <v>AVERAGE</v>
      </c>
      <c r="S3114" t="s">
        <v>628</v>
      </c>
    </row>
    <row r="3115" spans="1:19" x14ac:dyDescent="0.2">
      <c r="A3115" t="s">
        <v>3726</v>
      </c>
      <c r="B3115" t="s">
        <v>67</v>
      </c>
      <c r="C3115" t="s">
        <v>597</v>
      </c>
      <c r="D3115">
        <v>339.28</v>
      </c>
      <c r="E3115" s="37" t="str">
        <f t="shared" si="240"/>
        <v xml:space="preserve"> </v>
      </c>
      <c r="F3115">
        <v>0.13</v>
      </c>
      <c r="G3115" s="37" t="str">
        <f t="shared" si="241"/>
        <v>Normal Discount</v>
      </c>
      <c r="H3115" s="37" t="str">
        <f t="shared" si="242"/>
        <v>Low</v>
      </c>
      <c r="I3115">
        <v>2</v>
      </c>
      <c r="J3115" t="str" cm="1">
        <f t="array" ref="J3115">_xlfn.IFS(I3115&lt;=3,"small",I3115&lt;=6,"Medium",I3115&lt;=9,"Large")</f>
        <v>small</v>
      </c>
      <c r="K3115" s="36">
        <v>45501</v>
      </c>
      <c r="L3115" s="36">
        <v>45505</v>
      </c>
      <c r="M3115" t="s">
        <v>612</v>
      </c>
      <c r="N3115" t="s">
        <v>599</v>
      </c>
      <c r="O3115" s="37" t="str">
        <f t="shared" si="243"/>
        <v>Digital Payment</v>
      </c>
      <c r="P3115">
        <v>82.26</v>
      </c>
      <c r="Q3115" s="37" t="str">
        <f>IF(P3115&gt;500,"High","low")</f>
        <v>low</v>
      </c>
      <c r="R3115" s="37" t="str">
        <f t="shared" si="244"/>
        <v>AVERAGE</v>
      </c>
      <c r="S3115" t="s">
        <v>628</v>
      </c>
    </row>
    <row r="3116" spans="1:19" x14ac:dyDescent="0.2">
      <c r="A3116" t="s">
        <v>3727</v>
      </c>
      <c r="B3116" t="s">
        <v>83</v>
      </c>
      <c r="C3116" t="s">
        <v>602</v>
      </c>
      <c r="D3116">
        <v>1666.13</v>
      </c>
      <c r="E3116" s="37" t="str">
        <f t="shared" si="240"/>
        <v xml:space="preserve"> </v>
      </c>
      <c r="F3116">
        <v>0.26</v>
      </c>
      <c r="G3116" s="37" t="str">
        <f t="shared" si="241"/>
        <v>Normal Discount</v>
      </c>
      <c r="H3116" s="37" t="str">
        <f t="shared" si="242"/>
        <v>Medium</v>
      </c>
      <c r="I3116">
        <v>9</v>
      </c>
      <c r="J3116" t="str" cm="1">
        <f t="array" ref="J3116">_xlfn.IFS(I3116&lt;=3,"small",I3116&lt;=6,"Medium",I3116&lt;=9,"Large")</f>
        <v>Large</v>
      </c>
      <c r="K3116" s="36">
        <v>45626</v>
      </c>
      <c r="L3116" s="36">
        <v>45628</v>
      </c>
      <c r="M3116" t="s">
        <v>598</v>
      </c>
      <c r="N3116" t="s">
        <v>608</v>
      </c>
      <c r="O3116" s="37" t="str">
        <f t="shared" si="243"/>
        <v>Cash Payment</v>
      </c>
      <c r="P3116">
        <v>193.24</v>
      </c>
      <c r="Q3116" s="37" t="str">
        <f>IF(P3116&gt;500,"High","low")</f>
        <v>low</v>
      </c>
      <c r="R3116" s="37" t="str">
        <f t="shared" si="244"/>
        <v>AVERAGE</v>
      </c>
      <c r="S3116" t="s">
        <v>609</v>
      </c>
    </row>
    <row r="3117" spans="1:19" x14ac:dyDescent="0.2">
      <c r="A3117" t="s">
        <v>3728</v>
      </c>
      <c r="B3117" t="s">
        <v>75</v>
      </c>
      <c r="C3117" t="s">
        <v>607</v>
      </c>
      <c r="D3117">
        <v>2035.66</v>
      </c>
      <c r="E3117" s="37" t="str">
        <f t="shared" si="240"/>
        <v xml:space="preserve"> </v>
      </c>
      <c r="F3117">
        <v>0.37</v>
      </c>
      <c r="G3117" s="37" t="str">
        <f t="shared" si="241"/>
        <v>Heavy Discount</v>
      </c>
      <c r="H3117" s="37" t="str">
        <f t="shared" si="242"/>
        <v>Medium</v>
      </c>
      <c r="I3117">
        <v>5</v>
      </c>
      <c r="J3117" t="str" cm="1">
        <f t="array" ref="J3117">_xlfn.IFS(I3117&lt;=3,"small",I3117&lt;=6,"Medium",I3117&lt;=9,"Large")</f>
        <v>Medium</v>
      </c>
      <c r="K3117" s="36">
        <v>45612</v>
      </c>
      <c r="L3117" s="36">
        <v>45617</v>
      </c>
      <c r="M3117" t="s">
        <v>598</v>
      </c>
      <c r="N3117" t="s">
        <v>604</v>
      </c>
      <c r="O3117" s="37" t="str">
        <f t="shared" si="243"/>
        <v>Digital Payment</v>
      </c>
      <c r="P3117">
        <v>135.88999999999999</v>
      </c>
      <c r="Q3117" s="37" t="str">
        <f>IF(P3117&gt;500,"High","low")</f>
        <v>low</v>
      </c>
      <c r="R3117" s="37" t="str">
        <f t="shared" si="244"/>
        <v>AVERAGE</v>
      </c>
      <c r="S3117" t="s">
        <v>600</v>
      </c>
    </row>
    <row r="3118" spans="1:19" x14ac:dyDescent="0.2">
      <c r="A3118" t="s">
        <v>3729</v>
      </c>
      <c r="B3118" t="s">
        <v>75</v>
      </c>
      <c r="C3118" t="s">
        <v>614</v>
      </c>
      <c r="D3118">
        <v>1315.5</v>
      </c>
      <c r="E3118" s="37" t="str">
        <f t="shared" si="240"/>
        <v xml:space="preserve"> </v>
      </c>
      <c r="F3118">
        <v>0.21</v>
      </c>
      <c r="G3118" s="37" t="str">
        <f t="shared" si="241"/>
        <v>Normal Discount</v>
      </c>
      <c r="H3118" s="37" t="str">
        <f t="shared" si="242"/>
        <v>Medium</v>
      </c>
      <c r="I3118">
        <v>9</v>
      </c>
      <c r="J3118" t="str" cm="1">
        <f t="array" ref="J3118">_xlfn.IFS(I3118&lt;=3,"small",I3118&lt;=6,"Medium",I3118&lt;=9,"Large")</f>
        <v>Large</v>
      </c>
      <c r="K3118" s="36">
        <v>44942</v>
      </c>
      <c r="L3118" s="36">
        <v>44947</v>
      </c>
      <c r="M3118" t="s">
        <v>612</v>
      </c>
      <c r="N3118" t="s">
        <v>608</v>
      </c>
      <c r="O3118" s="37" t="str">
        <f t="shared" si="243"/>
        <v>Cash Payment</v>
      </c>
      <c r="P3118">
        <v>275.19</v>
      </c>
      <c r="Q3118" s="37" t="str">
        <f>IF(P3118&gt;500,"High","low")</f>
        <v>low</v>
      </c>
      <c r="R3118" s="37" t="str">
        <f t="shared" si="244"/>
        <v>AVERAGE</v>
      </c>
      <c r="S3118" t="s">
        <v>620</v>
      </c>
    </row>
    <row r="3119" spans="1:19" x14ac:dyDescent="0.2">
      <c r="A3119" t="s">
        <v>3730</v>
      </c>
      <c r="B3119" t="s">
        <v>83</v>
      </c>
      <c r="C3119" t="s">
        <v>607</v>
      </c>
      <c r="D3119">
        <v>289.48</v>
      </c>
      <c r="E3119" s="37" t="str">
        <f t="shared" si="240"/>
        <v xml:space="preserve"> </v>
      </c>
      <c r="F3119">
        <v>0.31</v>
      </c>
      <c r="G3119" s="37" t="str">
        <f t="shared" si="241"/>
        <v>Heavy Discount</v>
      </c>
      <c r="H3119" s="37" t="str">
        <f t="shared" si="242"/>
        <v>Medium</v>
      </c>
      <c r="I3119">
        <v>2</v>
      </c>
      <c r="J3119" t="str" cm="1">
        <f t="array" ref="J3119">_xlfn.IFS(I3119&lt;=3,"small",I3119&lt;=6,"Medium",I3119&lt;=9,"Large")</f>
        <v>small</v>
      </c>
      <c r="K3119" s="36">
        <v>45140</v>
      </c>
      <c r="L3119" s="36">
        <v>45145</v>
      </c>
      <c r="M3119" t="s">
        <v>612</v>
      </c>
      <c r="N3119" t="s">
        <v>599</v>
      </c>
      <c r="O3119" s="37" t="str">
        <f t="shared" si="243"/>
        <v>Digital Payment</v>
      </c>
      <c r="P3119">
        <v>38.29</v>
      </c>
      <c r="Q3119" s="37" t="str">
        <f>IF(P3119&gt;500,"High","low")</f>
        <v>low</v>
      </c>
      <c r="R3119" s="37" t="str">
        <f t="shared" si="244"/>
        <v>AVERAGE</v>
      </c>
      <c r="S3119" t="s">
        <v>605</v>
      </c>
    </row>
    <row r="3120" spans="1:19" x14ac:dyDescent="0.2">
      <c r="A3120" t="s">
        <v>3731</v>
      </c>
      <c r="B3120" t="s">
        <v>67</v>
      </c>
      <c r="C3120" t="s">
        <v>597</v>
      </c>
      <c r="D3120">
        <v>1662.23</v>
      </c>
      <c r="E3120" s="37" t="str">
        <f t="shared" si="240"/>
        <v xml:space="preserve"> </v>
      </c>
      <c r="F3120">
        <v>0.3</v>
      </c>
      <c r="G3120" s="37" t="str">
        <f t="shared" si="241"/>
        <v>Normal Discount</v>
      </c>
      <c r="H3120" s="37" t="str">
        <f t="shared" si="242"/>
        <v>Medium</v>
      </c>
      <c r="I3120">
        <v>6</v>
      </c>
      <c r="J3120" t="str" cm="1">
        <f t="array" ref="J3120">_xlfn.IFS(I3120&lt;=3,"small",I3120&lt;=6,"Medium",I3120&lt;=9,"Large")</f>
        <v>Medium</v>
      </c>
      <c r="K3120" s="36">
        <v>45610</v>
      </c>
      <c r="L3120" s="36">
        <v>45617</v>
      </c>
      <c r="M3120" t="s">
        <v>598</v>
      </c>
      <c r="N3120" t="s">
        <v>608</v>
      </c>
      <c r="O3120" s="37" t="str">
        <f t="shared" si="243"/>
        <v>Cash Payment</v>
      </c>
      <c r="P3120">
        <v>270.32</v>
      </c>
      <c r="Q3120" s="37" t="str">
        <f>IF(P3120&gt;500,"High","low")</f>
        <v>low</v>
      </c>
      <c r="R3120" s="37" t="str">
        <f t="shared" si="244"/>
        <v>AVERAGE</v>
      </c>
      <c r="S3120" t="s">
        <v>609</v>
      </c>
    </row>
    <row r="3121" spans="1:19" x14ac:dyDescent="0.2">
      <c r="A3121" t="s">
        <v>3732</v>
      </c>
      <c r="B3121" t="s">
        <v>67</v>
      </c>
      <c r="C3121" t="s">
        <v>597</v>
      </c>
      <c r="D3121">
        <v>3983.86</v>
      </c>
      <c r="E3121" s="37" t="str">
        <f t="shared" si="240"/>
        <v xml:space="preserve"> </v>
      </c>
      <c r="F3121">
        <v>0.45</v>
      </c>
      <c r="G3121" s="37" t="str">
        <f t="shared" si="241"/>
        <v>Heavy Discount</v>
      </c>
      <c r="H3121" s="37" t="str">
        <f t="shared" si="242"/>
        <v>High</v>
      </c>
      <c r="I3121">
        <v>1</v>
      </c>
      <c r="J3121" t="str" cm="1">
        <f t="array" ref="J3121">_xlfn.IFS(I3121&lt;=3,"small",I3121&lt;=6,"Medium",I3121&lt;=9,"Large")</f>
        <v>small</v>
      </c>
      <c r="K3121" s="36">
        <v>45578</v>
      </c>
      <c r="L3121" s="36">
        <v>45579</v>
      </c>
      <c r="M3121" t="s">
        <v>612</v>
      </c>
      <c r="N3121" t="s">
        <v>599</v>
      </c>
      <c r="O3121" s="37" t="str">
        <f t="shared" si="243"/>
        <v>Digital Payment</v>
      </c>
      <c r="P3121">
        <v>670.07</v>
      </c>
      <c r="Q3121" s="37" t="str">
        <f>IF(P3121&gt;500,"High","low")</f>
        <v>High</v>
      </c>
      <c r="R3121" s="37" t="str">
        <f t="shared" si="244"/>
        <v>Good</v>
      </c>
      <c r="S3121" t="s">
        <v>600</v>
      </c>
    </row>
    <row r="3122" spans="1:19" x14ac:dyDescent="0.2">
      <c r="A3122" t="s">
        <v>3733</v>
      </c>
      <c r="B3122" t="s">
        <v>67</v>
      </c>
      <c r="C3122" t="s">
        <v>607</v>
      </c>
      <c r="D3122">
        <v>1864.53</v>
      </c>
      <c r="E3122" s="37" t="str">
        <f t="shared" si="240"/>
        <v xml:space="preserve"> </v>
      </c>
      <c r="F3122">
        <v>0.09</v>
      </c>
      <c r="G3122" s="37" t="str">
        <f t="shared" si="241"/>
        <v>Normal Discount</v>
      </c>
      <c r="H3122" s="37" t="str">
        <f t="shared" si="242"/>
        <v>Low</v>
      </c>
      <c r="I3122">
        <v>7</v>
      </c>
      <c r="J3122" t="str" cm="1">
        <f t="array" ref="J3122">_xlfn.IFS(I3122&lt;=3,"small",I3122&lt;=6,"Medium",I3122&lt;=9,"Large")</f>
        <v>Large</v>
      </c>
      <c r="K3122" s="36">
        <v>45246</v>
      </c>
      <c r="L3122" s="36">
        <v>45247</v>
      </c>
      <c r="M3122" t="s">
        <v>598</v>
      </c>
      <c r="N3122" t="s">
        <v>608</v>
      </c>
      <c r="O3122" s="37" t="str">
        <f t="shared" si="243"/>
        <v>Cash Payment</v>
      </c>
      <c r="P3122">
        <v>112.19</v>
      </c>
      <c r="Q3122" s="37" t="str">
        <f>IF(P3122&gt;500,"High","low")</f>
        <v>low</v>
      </c>
      <c r="R3122" s="37" t="str">
        <f t="shared" si="244"/>
        <v>AVERAGE</v>
      </c>
      <c r="S3122" t="s">
        <v>600</v>
      </c>
    </row>
    <row r="3123" spans="1:19" x14ac:dyDescent="0.2">
      <c r="A3123" t="s">
        <v>3734</v>
      </c>
      <c r="B3123" t="s">
        <v>75</v>
      </c>
      <c r="C3123" t="s">
        <v>614</v>
      </c>
      <c r="D3123">
        <v>1684.51</v>
      </c>
      <c r="E3123" s="37" t="str">
        <f t="shared" si="240"/>
        <v xml:space="preserve"> </v>
      </c>
      <c r="F3123">
        <v>0.24</v>
      </c>
      <c r="G3123" s="37" t="str">
        <f t="shared" si="241"/>
        <v>Normal Discount</v>
      </c>
      <c r="H3123" s="37" t="str">
        <f t="shared" si="242"/>
        <v>Medium</v>
      </c>
      <c r="I3123">
        <v>4</v>
      </c>
      <c r="J3123" t="str" cm="1">
        <f t="array" ref="J3123">_xlfn.IFS(I3123&lt;=3,"small",I3123&lt;=6,"Medium",I3123&lt;=9,"Large")</f>
        <v>Medium</v>
      </c>
      <c r="K3123" s="36">
        <v>45400</v>
      </c>
      <c r="L3123" s="36">
        <v>45405</v>
      </c>
      <c r="M3123" t="s">
        <v>603</v>
      </c>
      <c r="N3123" t="s">
        <v>608</v>
      </c>
      <c r="O3123" s="37" t="str">
        <f t="shared" si="243"/>
        <v>Cash Payment</v>
      </c>
      <c r="P3123">
        <v>308.17</v>
      </c>
      <c r="Q3123" s="37" t="str">
        <f>IF(P3123&gt;500,"High","low")</f>
        <v>low</v>
      </c>
      <c r="R3123" s="37" t="str">
        <f t="shared" si="244"/>
        <v>AVERAGE</v>
      </c>
      <c r="S3123" t="s">
        <v>600</v>
      </c>
    </row>
    <row r="3124" spans="1:19" x14ac:dyDescent="0.2">
      <c r="A3124" t="s">
        <v>3735</v>
      </c>
      <c r="B3124" t="s">
        <v>83</v>
      </c>
      <c r="C3124" t="s">
        <v>614</v>
      </c>
      <c r="D3124">
        <v>4714.59</v>
      </c>
      <c r="E3124" s="37" t="str">
        <f t="shared" si="240"/>
        <v xml:space="preserve"> </v>
      </c>
      <c r="F3124">
        <v>0.32</v>
      </c>
      <c r="G3124" s="37" t="str">
        <f t="shared" si="241"/>
        <v>Heavy Discount</v>
      </c>
      <c r="H3124" s="37" t="str">
        <f t="shared" si="242"/>
        <v>Medium</v>
      </c>
      <c r="I3124">
        <v>7</v>
      </c>
      <c r="J3124" t="str" cm="1">
        <f t="array" ref="J3124">_xlfn.IFS(I3124&lt;=3,"small",I3124&lt;=6,"Medium",I3124&lt;=9,"Large")</f>
        <v>Large</v>
      </c>
      <c r="K3124" s="36">
        <v>45594</v>
      </c>
      <c r="L3124" s="36">
        <v>45597</v>
      </c>
      <c r="M3124" t="s">
        <v>603</v>
      </c>
      <c r="N3124" t="s">
        <v>599</v>
      </c>
      <c r="O3124" s="37" t="str">
        <f t="shared" si="243"/>
        <v>Digital Payment</v>
      </c>
      <c r="P3124">
        <v>282.08</v>
      </c>
      <c r="Q3124" s="37" t="str">
        <f>IF(P3124&gt;500,"High","low")</f>
        <v>low</v>
      </c>
      <c r="R3124" s="37" t="str">
        <f t="shared" si="244"/>
        <v>AVERAGE</v>
      </c>
      <c r="S3124" t="s">
        <v>605</v>
      </c>
    </row>
    <row r="3125" spans="1:19" x14ac:dyDescent="0.2">
      <c r="A3125" t="s">
        <v>3736</v>
      </c>
      <c r="B3125" t="s">
        <v>90</v>
      </c>
      <c r="C3125" t="s">
        <v>617</v>
      </c>
      <c r="D3125">
        <v>303.99</v>
      </c>
      <c r="E3125" s="37" t="str">
        <f t="shared" si="240"/>
        <v xml:space="preserve"> </v>
      </c>
      <c r="F3125">
        <v>0.26</v>
      </c>
      <c r="G3125" s="37" t="str">
        <f t="shared" si="241"/>
        <v>Normal Discount</v>
      </c>
      <c r="H3125" s="37" t="str">
        <f t="shared" si="242"/>
        <v>Medium</v>
      </c>
      <c r="I3125">
        <v>9</v>
      </c>
      <c r="J3125" t="str" cm="1">
        <f t="array" ref="J3125">_xlfn.IFS(I3125&lt;=3,"small",I3125&lt;=6,"Medium",I3125&lt;=9,"Large")</f>
        <v>Large</v>
      </c>
      <c r="K3125" s="36">
        <v>45013</v>
      </c>
      <c r="L3125" s="36">
        <v>45014</v>
      </c>
      <c r="M3125" t="s">
        <v>612</v>
      </c>
      <c r="N3125" t="s">
        <v>604</v>
      </c>
      <c r="O3125" s="37" t="str">
        <f t="shared" si="243"/>
        <v>Digital Payment</v>
      </c>
      <c r="P3125">
        <v>29.1</v>
      </c>
      <c r="Q3125" s="37" t="str">
        <f>IF(P3125&gt;500,"High","low")</f>
        <v>low</v>
      </c>
      <c r="R3125" s="37" t="str">
        <f t="shared" si="244"/>
        <v>AVERAGE</v>
      </c>
      <c r="S3125" t="s">
        <v>609</v>
      </c>
    </row>
    <row r="3126" spans="1:19" x14ac:dyDescent="0.2">
      <c r="A3126" t="s">
        <v>3737</v>
      </c>
      <c r="B3126" t="s">
        <v>75</v>
      </c>
      <c r="C3126" t="s">
        <v>602</v>
      </c>
      <c r="D3126">
        <v>3859.71</v>
      </c>
      <c r="E3126" s="37" t="str">
        <f t="shared" si="240"/>
        <v xml:space="preserve"> </v>
      </c>
      <c r="F3126">
        <v>0.23</v>
      </c>
      <c r="G3126" s="37" t="str">
        <f t="shared" si="241"/>
        <v>Normal Discount</v>
      </c>
      <c r="H3126" s="37" t="str">
        <f t="shared" si="242"/>
        <v>Medium</v>
      </c>
      <c r="I3126">
        <v>1</v>
      </c>
      <c r="J3126" t="str" cm="1">
        <f t="array" ref="J3126">_xlfn.IFS(I3126&lt;=3,"small",I3126&lt;=6,"Medium",I3126&lt;=9,"Large")</f>
        <v>small</v>
      </c>
      <c r="K3126" s="36">
        <v>45541</v>
      </c>
      <c r="L3126" s="36">
        <v>45546</v>
      </c>
      <c r="M3126" t="s">
        <v>612</v>
      </c>
      <c r="N3126" t="s">
        <v>608</v>
      </c>
      <c r="O3126" s="37" t="str">
        <f t="shared" si="243"/>
        <v>Cash Payment</v>
      </c>
      <c r="P3126">
        <v>884.6</v>
      </c>
      <c r="Q3126" s="37" t="str">
        <f>IF(P3126&gt;500,"High","low")</f>
        <v>High</v>
      </c>
      <c r="R3126" s="37" t="str">
        <f t="shared" si="244"/>
        <v>Good</v>
      </c>
      <c r="S3126" t="s">
        <v>628</v>
      </c>
    </row>
    <row r="3127" spans="1:19" x14ac:dyDescent="0.2">
      <c r="A3127" t="s">
        <v>3738</v>
      </c>
      <c r="B3127" t="s">
        <v>67</v>
      </c>
      <c r="C3127" t="s">
        <v>617</v>
      </c>
      <c r="D3127">
        <v>2467.16</v>
      </c>
      <c r="E3127" s="37" t="str">
        <f t="shared" si="240"/>
        <v xml:space="preserve"> </v>
      </c>
      <c r="F3127">
        <v>0.49</v>
      </c>
      <c r="G3127" s="37" t="str">
        <f t="shared" si="241"/>
        <v>Heavy Discount</v>
      </c>
      <c r="H3127" s="37" t="str">
        <f t="shared" si="242"/>
        <v>High</v>
      </c>
      <c r="I3127">
        <v>1</v>
      </c>
      <c r="J3127" t="str" cm="1">
        <f t="array" ref="J3127">_xlfn.IFS(I3127&lt;=3,"small",I3127&lt;=6,"Medium",I3127&lt;=9,"Large")</f>
        <v>small</v>
      </c>
      <c r="K3127" s="36">
        <v>45532</v>
      </c>
      <c r="L3127" s="36">
        <v>45536</v>
      </c>
      <c r="M3127" t="s">
        <v>598</v>
      </c>
      <c r="N3127" t="s">
        <v>608</v>
      </c>
      <c r="O3127" s="37" t="str">
        <f t="shared" si="243"/>
        <v>Cash Payment</v>
      </c>
      <c r="P3127">
        <v>569.66999999999996</v>
      </c>
      <c r="Q3127" s="37" t="str">
        <f>IF(P3127&gt;500,"High","low")</f>
        <v>High</v>
      </c>
      <c r="R3127" s="37" t="str">
        <f t="shared" si="244"/>
        <v>Good</v>
      </c>
      <c r="S3127" t="s">
        <v>605</v>
      </c>
    </row>
    <row r="3128" spans="1:19" x14ac:dyDescent="0.2">
      <c r="A3128" t="s">
        <v>3739</v>
      </c>
      <c r="B3128" t="s">
        <v>83</v>
      </c>
      <c r="C3128" t="s">
        <v>614</v>
      </c>
      <c r="D3128">
        <v>4727.87</v>
      </c>
      <c r="E3128" s="37" t="str">
        <f t="shared" si="240"/>
        <v xml:space="preserve"> </v>
      </c>
      <c r="F3128">
        <v>0.47</v>
      </c>
      <c r="G3128" s="37" t="str">
        <f t="shared" si="241"/>
        <v>Heavy Discount</v>
      </c>
      <c r="H3128" s="37" t="str">
        <f t="shared" si="242"/>
        <v>High</v>
      </c>
      <c r="I3128">
        <v>7</v>
      </c>
      <c r="J3128" t="str" cm="1">
        <f t="array" ref="J3128">_xlfn.IFS(I3128&lt;=3,"small",I3128&lt;=6,"Medium",I3128&lt;=9,"Large")</f>
        <v>Large</v>
      </c>
      <c r="K3128" s="36">
        <v>45324</v>
      </c>
      <c r="L3128" s="36">
        <v>45329</v>
      </c>
      <c r="M3128" t="s">
        <v>598</v>
      </c>
      <c r="N3128" t="s">
        <v>599</v>
      </c>
      <c r="O3128" s="37" t="str">
        <f t="shared" si="243"/>
        <v>Digital Payment</v>
      </c>
      <c r="P3128">
        <v>239.71</v>
      </c>
      <c r="Q3128" s="37" t="str">
        <f>IF(P3128&gt;500,"High","low")</f>
        <v>low</v>
      </c>
      <c r="R3128" s="37" t="str">
        <f t="shared" si="244"/>
        <v>AVERAGE</v>
      </c>
      <c r="S3128" t="s">
        <v>628</v>
      </c>
    </row>
    <row r="3129" spans="1:19" x14ac:dyDescent="0.2">
      <c r="A3129" t="s">
        <v>3740</v>
      </c>
      <c r="B3129" t="s">
        <v>67</v>
      </c>
      <c r="C3129" t="s">
        <v>607</v>
      </c>
      <c r="D3129">
        <v>2028.01</v>
      </c>
      <c r="E3129" s="37" t="str">
        <f t="shared" si="240"/>
        <v xml:space="preserve"> </v>
      </c>
      <c r="F3129">
        <v>0.31</v>
      </c>
      <c r="G3129" s="37" t="str">
        <f t="shared" si="241"/>
        <v>Heavy Discount</v>
      </c>
      <c r="H3129" s="37" t="str">
        <f t="shared" si="242"/>
        <v>Medium</v>
      </c>
      <c r="I3129">
        <v>2</v>
      </c>
      <c r="J3129" t="str" cm="1">
        <f t="array" ref="J3129">_xlfn.IFS(I3129&lt;=3,"small",I3129&lt;=6,"Medium",I3129&lt;=9,"Large")</f>
        <v>small</v>
      </c>
      <c r="K3129" s="36">
        <v>45597</v>
      </c>
      <c r="L3129" s="36">
        <v>45604</v>
      </c>
      <c r="M3129" t="s">
        <v>603</v>
      </c>
      <c r="N3129" t="s">
        <v>599</v>
      </c>
      <c r="O3129" s="37" t="str">
        <f t="shared" si="243"/>
        <v>Digital Payment</v>
      </c>
      <c r="P3129">
        <v>531.78</v>
      </c>
      <c r="Q3129" s="37" t="str">
        <f>IF(P3129&gt;500,"High","low")</f>
        <v>High</v>
      </c>
      <c r="R3129" s="37" t="str">
        <f t="shared" si="244"/>
        <v>Good</v>
      </c>
      <c r="S3129" t="s">
        <v>605</v>
      </c>
    </row>
    <row r="3130" spans="1:19" x14ac:dyDescent="0.2">
      <c r="A3130" t="s">
        <v>3741</v>
      </c>
      <c r="B3130" t="s">
        <v>90</v>
      </c>
      <c r="C3130" t="s">
        <v>602</v>
      </c>
      <c r="D3130">
        <v>3569.41</v>
      </c>
      <c r="E3130" s="37" t="str">
        <f t="shared" si="240"/>
        <v xml:space="preserve"> </v>
      </c>
      <c r="F3130">
        <v>0.22</v>
      </c>
      <c r="G3130" s="37" t="str">
        <f t="shared" si="241"/>
        <v>Normal Discount</v>
      </c>
      <c r="H3130" s="37" t="str">
        <f t="shared" si="242"/>
        <v>Medium</v>
      </c>
      <c r="I3130">
        <v>8</v>
      </c>
      <c r="J3130" t="str" cm="1">
        <f t="array" ref="J3130">_xlfn.IFS(I3130&lt;=3,"small",I3130&lt;=6,"Medium",I3130&lt;=9,"Large")</f>
        <v>Large</v>
      </c>
      <c r="K3130" s="36">
        <v>44989</v>
      </c>
      <c r="L3130" s="36">
        <v>44995</v>
      </c>
      <c r="M3130" t="s">
        <v>612</v>
      </c>
      <c r="N3130" t="s">
        <v>599</v>
      </c>
      <c r="O3130" s="37" t="str">
        <f t="shared" si="243"/>
        <v>Digital Payment</v>
      </c>
      <c r="P3130">
        <v>186.23</v>
      </c>
      <c r="Q3130" s="37" t="str">
        <f>IF(P3130&gt;500,"High","low")</f>
        <v>low</v>
      </c>
      <c r="R3130" s="37" t="str">
        <f t="shared" si="244"/>
        <v>AVERAGE</v>
      </c>
      <c r="S3130" t="s">
        <v>615</v>
      </c>
    </row>
    <row r="3131" spans="1:19" x14ac:dyDescent="0.2">
      <c r="A3131" t="s">
        <v>3742</v>
      </c>
      <c r="B3131" t="s">
        <v>67</v>
      </c>
      <c r="C3131" t="s">
        <v>607</v>
      </c>
      <c r="D3131">
        <v>442.68</v>
      </c>
      <c r="E3131" s="37" t="str">
        <f t="shared" si="240"/>
        <v xml:space="preserve"> </v>
      </c>
      <c r="F3131">
        <v>0.38</v>
      </c>
      <c r="G3131" s="37" t="str">
        <f t="shared" si="241"/>
        <v>Heavy Discount</v>
      </c>
      <c r="H3131" s="37" t="str">
        <f t="shared" si="242"/>
        <v>Medium</v>
      </c>
      <c r="I3131">
        <v>4</v>
      </c>
      <c r="J3131" t="str" cm="1">
        <f t="array" ref="J3131">_xlfn.IFS(I3131&lt;=3,"small",I3131&lt;=6,"Medium",I3131&lt;=9,"Large")</f>
        <v>Medium</v>
      </c>
      <c r="K3131" s="36">
        <v>45002</v>
      </c>
      <c r="L3131" s="36">
        <v>45008</v>
      </c>
      <c r="M3131" t="s">
        <v>603</v>
      </c>
      <c r="N3131" t="s">
        <v>608</v>
      </c>
      <c r="O3131" s="37" t="str">
        <f t="shared" si="243"/>
        <v>Cash Payment</v>
      </c>
      <c r="P3131">
        <v>129.37</v>
      </c>
      <c r="Q3131" s="37" t="str">
        <f>IF(P3131&gt;500,"High","low")</f>
        <v>low</v>
      </c>
      <c r="R3131" s="37" t="str">
        <f t="shared" si="244"/>
        <v>AVERAGE</v>
      </c>
      <c r="S3131" t="s">
        <v>600</v>
      </c>
    </row>
    <row r="3132" spans="1:19" x14ac:dyDescent="0.2">
      <c r="A3132" t="s">
        <v>3743</v>
      </c>
      <c r="B3132" t="s">
        <v>67</v>
      </c>
      <c r="C3132" t="s">
        <v>617</v>
      </c>
      <c r="D3132">
        <v>4650.9799999999996</v>
      </c>
      <c r="E3132" s="37" t="str">
        <f t="shared" si="240"/>
        <v>Excellent Order</v>
      </c>
      <c r="F3132">
        <v>0.26</v>
      </c>
      <c r="G3132" s="37" t="str">
        <f t="shared" si="241"/>
        <v>Normal Discount</v>
      </c>
      <c r="H3132" s="37" t="str">
        <f t="shared" si="242"/>
        <v>Medium</v>
      </c>
      <c r="I3132">
        <v>7</v>
      </c>
      <c r="J3132" t="str" cm="1">
        <f t="array" ref="J3132">_xlfn.IFS(I3132&lt;=3,"small",I3132&lt;=6,"Medium",I3132&lt;=9,"Large")</f>
        <v>Large</v>
      </c>
      <c r="K3132" s="36">
        <v>45385</v>
      </c>
      <c r="L3132" s="36">
        <v>45387</v>
      </c>
      <c r="M3132" t="s">
        <v>598</v>
      </c>
      <c r="N3132" t="s">
        <v>604</v>
      </c>
      <c r="O3132" s="37" t="str">
        <f t="shared" si="243"/>
        <v>Digital Payment</v>
      </c>
      <c r="P3132">
        <v>884.2</v>
      </c>
      <c r="Q3132" s="37" t="str">
        <f>IF(P3132&gt;500,"High","low")</f>
        <v>High</v>
      </c>
      <c r="R3132" s="37" t="str">
        <f t="shared" si="244"/>
        <v>Good</v>
      </c>
      <c r="S3132" t="s">
        <v>628</v>
      </c>
    </row>
    <row r="3133" spans="1:19" x14ac:dyDescent="0.2">
      <c r="A3133" t="s">
        <v>3744</v>
      </c>
      <c r="B3133" t="s">
        <v>90</v>
      </c>
      <c r="C3133" t="s">
        <v>597</v>
      </c>
      <c r="D3133">
        <v>1788.26</v>
      </c>
      <c r="E3133" s="37" t="str">
        <f t="shared" si="240"/>
        <v xml:space="preserve"> </v>
      </c>
      <c r="F3133">
        <v>0.5</v>
      </c>
      <c r="G3133" s="37" t="str">
        <f t="shared" si="241"/>
        <v>Heavy Discount</v>
      </c>
      <c r="H3133" s="37" t="str">
        <f t="shared" si="242"/>
        <v>High</v>
      </c>
      <c r="I3133">
        <v>2</v>
      </c>
      <c r="J3133" t="str" cm="1">
        <f t="array" ref="J3133">_xlfn.IFS(I3133&lt;=3,"small",I3133&lt;=6,"Medium",I3133&lt;=9,"Large")</f>
        <v>small</v>
      </c>
      <c r="K3133" s="36">
        <v>45314</v>
      </c>
      <c r="L3133" s="36">
        <v>45319</v>
      </c>
      <c r="M3133" t="s">
        <v>612</v>
      </c>
      <c r="N3133" t="s">
        <v>599</v>
      </c>
      <c r="O3133" s="37" t="str">
        <f t="shared" si="243"/>
        <v>Digital Payment</v>
      </c>
      <c r="P3133">
        <v>254.01</v>
      </c>
      <c r="Q3133" s="37" t="str">
        <f>IF(P3133&gt;500,"High","low")</f>
        <v>low</v>
      </c>
      <c r="R3133" s="37" t="str">
        <f t="shared" si="244"/>
        <v>AVERAGE</v>
      </c>
      <c r="S3133" t="s">
        <v>609</v>
      </c>
    </row>
    <row r="3134" spans="1:19" x14ac:dyDescent="0.2">
      <c r="A3134" t="s">
        <v>3745</v>
      </c>
      <c r="B3134" t="s">
        <v>83</v>
      </c>
      <c r="C3134" t="s">
        <v>607</v>
      </c>
      <c r="D3134">
        <v>2667.62</v>
      </c>
      <c r="E3134" s="37" t="str">
        <f t="shared" si="240"/>
        <v xml:space="preserve"> </v>
      </c>
      <c r="F3134">
        <v>0.34</v>
      </c>
      <c r="G3134" s="37" t="str">
        <f t="shared" si="241"/>
        <v>Heavy Discount</v>
      </c>
      <c r="H3134" s="37" t="str">
        <f t="shared" si="242"/>
        <v>Medium</v>
      </c>
      <c r="I3134">
        <v>8</v>
      </c>
      <c r="J3134" t="str" cm="1">
        <f t="array" ref="J3134">_xlfn.IFS(I3134&lt;=3,"small",I3134&lt;=6,"Medium",I3134&lt;=9,"Large")</f>
        <v>Large</v>
      </c>
      <c r="K3134" s="36">
        <v>45399</v>
      </c>
      <c r="L3134" s="36">
        <v>45406</v>
      </c>
      <c r="M3134" t="s">
        <v>598</v>
      </c>
      <c r="N3134" t="s">
        <v>599</v>
      </c>
      <c r="O3134" s="37" t="str">
        <f t="shared" si="243"/>
        <v>Digital Payment</v>
      </c>
      <c r="P3134">
        <v>538.25</v>
      </c>
      <c r="Q3134" s="37" t="str">
        <f>IF(P3134&gt;500,"High","low")</f>
        <v>High</v>
      </c>
      <c r="R3134" s="37" t="str">
        <f t="shared" si="244"/>
        <v>Good</v>
      </c>
      <c r="S3134" t="s">
        <v>620</v>
      </c>
    </row>
    <row r="3135" spans="1:19" x14ac:dyDescent="0.2">
      <c r="A3135" t="s">
        <v>3746</v>
      </c>
      <c r="B3135" t="s">
        <v>75</v>
      </c>
      <c r="C3135" t="s">
        <v>617</v>
      </c>
      <c r="D3135">
        <v>778.56</v>
      </c>
      <c r="E3135" s="37" t="str">
        <f t="shared" si="240"/>
        <v xml:space="preserve"> </v>
      </c>
      <c r="F3135">
        <v>0.03</v>
      </c>
      <c r="G3135" s="37" t="str">
        <f t="shared" si="241"/>
        <v>Normal Discount</v>
      </c>
      <c r="H3135" s="37" t="str">
        <f t="shared" si="242"/>
        <v>Low</v>
      </c>
      <c r="I3135">
        <v>6</v>
      </c>
      <c r="J3135" t="str" cm="1">
        <f t="array" ref="J3135">_xlfn.IFS(I3135&lt;=3,"small",I3135&lt;=6,"Medium",I3135&lt;=9,"Large")</f>
        <v>Medium</v>
      </c>
      <c r="K3135" s="36">
        <v>45271</v>
      </c>
      <c r="L3135" s="36">
        <v>45273</v>
      </c>
      <c r="M3135" t="s">
        <v>603</v>
      </c>
      <c r="N3135" t="s">
        <v>599</v>
      </c>
      <c r="O3135" s="37" t="str">
        <f t="shared" si="243"/>
        <v>Digital Payment</v>
      </c>
      <c r="P3135">
        <v>67.84</v>
      </c>
      <c r="Q3135" s="37" t="str">
        <f>IF(P3135&gt;500,"High","low")</f>
        <v>low</v>
      </c>
      <c r="R3135" s="37" t="str">
        <f t="shared" si="244"/>
        <v>AVERAGE</v>
      </c>
      <c r="S3135" t="s">
        <v>628</v>
      </c>
    </row>
    <row r="3136" spans="1:19" x14ac:dyDescent="0.2">
      <c r="A3136" t="s">
        <v>3747</v>
      </c>
      <c r="B3136" t="s">
        <v>83</v>
      </c>
      <c r="C3136" t="s">
        <v>617</v>
      </c>
      <c r="D3136">
        <v>4733.2299999999996</v>
      </c>
      <c r="E3136" s="37" t="str">
        <f t="shared" si="240"/>
        <v>Excellent Order</v>
      </c>
      <c r="F3136">
        <v>0.2</v>
      </c>
      <c r="G3136" s="37" t="str">
        <f t="shared" si="241"/>
        <v>Normal Discount</v>
      </c>
      <c r="H3136" s="37" t="str">
        <f t="shared" si="242"/>
        <v>Medium</v>
      </c>
      <c r="I3136">
        <v>1</v>
      </c>
      <c r="J3136" t="str" cm="1">
        <f t="array" ref="J3136">_xlfn.IFS(I3136&lt;=3,"small",I3136&lt;=6,"Medium",I3136&lt;=9,"Large")</f>
        <v>small</v>
      </c>
      <c r="K3136" s="36">
        <v>45290</v>
      </c>
      <c r="L3136" s="36">
        <v>45294</v>
      </c>
      <c r="M3136" t="s">
        <v>612</v>
      </c>
      <c r="N3136" t="s">
        <v>608</v>
      </c>
      <c r="O3136" s="37" t="str">
        <f t="shared" si="243"/>
        <v>Cash Payment</v>
      </c>
      <c r="P3136">
        <v>801.39</v>
      </c>
      <c r="Q3136" s="37" t="str">
        <f>IF(P3136&gt;500,"High","low")</f>
        <v>High</v>
      </c>
      <c r="R3136" s="37" t="str">
        <f t="shared" si="244"/>
        <v>Good</v>
      </c>
      <c r="S3136" t="s">
        <v>620</v>
      </c>
    </row>
    <row r="3137" spans="1:19" x14ac:dyDescent="0.2">
      <c r="A3137" t="s">
        <v>3748</v>
      </c>
      <c r="B3137" t="s">
        <v>90</v>
      </c>
      <c r="C3137" t="s">
        <v>617</v>
      </c>
      <c r="D3137">
        <v>3397.55</v>
      </c>
      <c r="E3137" s="37" t="str">
        <f t="shared" si="240"/>
        <v xml:space="preserve"> </v>
      </c>
      <c r="F3137">
        <v>0.37</v>
      </c>
      <c r="G3137" s="37" t="str">
        <f t="shared" si="241"/>
        <v>Heavy Discount</v>
      </c>
      <c r="H3137" s="37" t="str">
        <f t="shared" si="242"/>
        <v>Medium</v>
      </c>
      <c r="I3137">
        <v>9</v>
      </c>
      <c r="J3137" t="str" cm="1">
        <f t="array" ref="J3137">_xlfn.IFS(I3137&lt;=3,"small",I3137&lt;=6,"Medium",I3137&lt;=9,"Large")</f>
        <v>Large</v>
      </c>
      <c r="K3137" s="36">
        <v>45202</v>
      </c>
      <c r="L3137" s="36">
        <v>45209</v>
      </c>
      <c r="M3137" t="s">
        <v>598</v>
      </c>
      <c r="N3137" t="s">
        <v>608</v>
      </c>
      <c r="O3137" s="37" t="str">
        <f t="shared" si="243"/>
        <v>Cash Payment</v>
      </c>
      <c r="P3137">
        <v>754.93</v>
      </c>
      <c r="Q3137" s="37" t="str">
        <f>IF(P3137&gt;500,"High","low")</f>
        <v>High</v>
      </c>
      <c r="R3137" s="37" t="str">
        <f t="shared" si="244"/>
        <v>Good</v>
      </c>
      <c r="S3137" t="s">
        <v>609</v>
      </c>
    </row>
    <row r="3138" spans="1:19" x14ac:dyDescent="0.2">
      <c r="A3138" t="s">
        <v>3749</v>
      </c>
      <c r="B3138" t="s">
        <v>67</v>
      </c>
      <c r="C3138" t="s">
        <v>597</v>
      </c>
      <c r="D3138">
        <v>364.34</v>
      </c>
      <c r="E3138" s="37" t="str">
        <f t="shared" si="240"/>
        <v xml:space="preserve"> </v>
      </c>
      <c r="F3138">
        <v>0.42</v>
      </c>
      <c r="G3138" s="37" t="str">
        <f t="shared" si="241"/>
        <v>Heavy Discount</v>
      </c>
      <c r="H3138" s="37" t="str">
        <f t="shared" si="242"/>
        <v>High</v>
      </c>
      <c r="I3138">
        <v>2</v>
      </c>
      <c r="J3138" t="str" cm="1">
        <f t="array" ref="J3138">_xlfn.IFS(I3138&lt;=3,"small",I3138&lt;=6,"Medium",I3138&lt;=9,"Large")</f>
        <v>small</v>
      </c>
      <c r="K3138" s="36">
        <v>45382</v>
      </c>
      <c r="L3138" s="36">
        <v>45386</v>
      </c>
      <c r="M3138" t="s">
        <v>598</v>
      </c>
      <c r="N3138" t="s">
        <v>604</v>
      </c>
      <c r="O3138" s="37" t="str">
        <f t="shared" si="243"/>
        <v>Digital Payment</v>
      </c>
      <c r="P3138">
        <v>77.83</v>
      </c>
      <c r="Q3138" s="37" t="str">
        <f>IF(P3138&gt;500,"High","low")</f>
        <v>low</v>
      </c>
      <c r="R3138" s="37" t="str">
        <f t="shared" si="244"/>
        <v>AVERAGE</v>
      </c>
      <c r="S3138" t="s">
        <v>600</v>
      </c>
    </row>
    <row r="3139" spans="1:19" x14ac:dyDescent="0.2">
      <c r="A3139" t="s">
        <v>3750</v>
      </c>
      <c r="B3139" t="s">
        <v>83</v>
      </c>
      <c r="C3139" t="s">
        <v>597</v>
      </c>
      <c r="D3139">
        <v>860.51</v>
      </c>
      <c r="E3139" s="37" t="str">
        <f t="shared" ref="E3139:E3202" si="245">IF(AND(D3139&gt;4000,P3139&gt;800),"Excellent Order"," ")</f>
        <v xml:space="preserve"> </v>
      </c>
      <c r="F3139">
        <v>0.41</v>
      </c>
      <c r="G3139" s="37" t="str">
        <f t="shared" ref="G3139:G3202" si="246">IF(F3139&gt;30%,"Heavy Discount","Normal Discount")</f>
        <v>Heavy Discount</v>
      </c>
      <c r="H3139" s="37" t="str">
        <f t="shared" ref="H3139:H3202" si="247">IF(F3139&gt;0.4,"High",IF(F3139&gt;=0.2,"Medium","Low"))</f>
        <v>High</v>
      </c>
      <c r="I3139">
        <v>4</v>
      </c>
      <c r="J3139" t="str" cm="1">
        <f t="array" ref="J3139">_xlfn.IFS(I3139&lt;=3,"small",I3139&lt;=6,"Medium",I3139&lt;=9,"Large")</f>
        <v>Medium</v>
      </c>
      <c r="K3139" s="36">
        <v>44950</v>
      </c>
      <c r="L3139" s="36">
        <v>44953</v>
      </c>
      <c r="M3139" t="s">
        <v>603</v>
      </c>
      <c r="N3139" t="s">
        <v>604</v>
      </c>
      <c r="O3139" s="37" t="str">
        <f t="shared" ref="O3139:O3202" si="248">IF(OR(N3139="Card",N3139="UPI"),"Digital Payment","Cash Payment")</f>
        <v>Digital Payment</v>
      </c>
      <c r="P3139">
        <v>238.28</v>
      </c>
      <c r="Q3139" s="37" t="str">
        <f>IF(P3139&gt;500,"High","low")</f>
        <v>low</v>
      </c>
      <c r="R3139" s="37" t="str">
        <f t="shared" ref="R3139:R3202" si="249">IF(P3139&gt;1000,"Excellent",IF(P3139&gt;=500,"Good","AVERAGE"))</f>
        <v>AVERAGE</v>
      </c>
      <c r="S3139" t="s">
        <v>620</v>
      </c>
    </row>
    <row r="3140" spans="1:19" x14ac:dyDescent="0.2">
      <c r="A3140" t="s">
        <v>3751</v>
      </c>
      <c r="B3140" t="s">
        <v>75</v>
      </c>
      <c r="C3140" t="s">
        <v>597</v>
      </c>
      <c r="D3140">
        <v>2059.19</v>
      </c>
      <c r="E3140" s="37" t="str">
        <f t="shared" si="245"/>
        <v xml:space="preserve"> </v>
      </c>
      <c r="F3140">
        <v>0.49</v>
      </c>
      <c r="G3140" s="37" t="str">
        <f t="shared" si="246"/>
        <v>Heavy Discount</v>
      </c>
      <c r="H3140" s="37" t="str">
        <f t="shared" si="247"/>
        <v>High</v>
      </c>
      <c r="I3140">
        <v>9</v>
      </c>
      <c r="J3140" t="str" cm="1">
        <f t="array" ref="J3140">_xlfn.IFS(I3140&lt;=3,"small",I3140&lt;=6,"Medium",I3140&lt;=9,"Large")</f>
        <v>Large</v>
      </c>
      <c r="K3140" s="36">
        <v>45220</v>
      </c>
      <c r="L3140" s="36">
        <v>45225</v>
      </c>
      <c r="M3140" t="s">
        <v>603</v>
      </c>
      <c r="N3140" t="s">
        <v>604</v>
      </c>
      <c r="O3140" s="37" t="str">
        <f t="shared" si="248"/>
        <v>Digital Payment</v>
      </c>
      <c r="P3140">
        <v>249.35</v>
      </c>
      <c r="Q3140" s="37" t="str">
        <f>IF(P3140&gt;500,"High","low")</f>
        <v>low</v>
      </c>
      <c r="R3140" s="37" t="str">
        <f t="shared" si="249"/>
        <v>AVERAGE</v>
      </c>
      <c r="S3140" t="s">
        <v>605</v>
      </c>
    </row>
    <row r="3141" spans="1:19" x14ac:dyDescent="0.2">
      <c r="A3141" t="s">
        <v>3752</v>
      </c>
      <c r="B3141" t="s">
        <v>90</v>
      </c>
      <c r="C3141" t="s">
        <v>602</v>
      </c>
      <c r="D3141">
        <v>1162.18</v>
      </c>
      <c r="E3141" s="37" t="str">
        <f t="shared" si="245"/>
        <v xml:space="preserve"> </v>
      </c>
      <c r="F3141">
        <v>0.24</v>
      </c>
      <c r="G3141" s="37" t="str">
        <f t="shared" si="246"/>
        <v>Normal Discount</v>
      </c>
      <c r="H3141" s="37" t="str">
        <f t="shared" si="247"/>
        <v>Medium</v>
      </c>
      <c r="I3141">
        <v>8</v>
      </c>
      <c r="J3141" t="str" cm="1">
        <f t="array" ref="J3141">_xlfn.IFS(I3141&lt;=3,"small",I3141&lt;=6,"Medium",I3141&lt;=9,"Large")</f>
        <v>Large</v>
      </c>
      <c r="K3141" s="36">
        <v>45255</v>
      </c>
      <c r="L3141" s="36">
        <v>45256</v>
      </c>
      <c r="M3141" t="s">
        <v>612</v>
      </c>
      <c r="N3141" t="s">
        <v>604</v>
      </c>
      <c r="O3141" s="37" t="str">
        <f t="shared" si="248"/>
        <v>Digital Payment</v>
      </c>
      <c r="P3141">
        <v>78.599999999999994</v>
      </c>
      <c r="Q3141" s="37" t="str">
        <f>IF(P3141&gt;500,"High","low")</f>
        <v>low</v>
      </c>
      <c r="R3141" s="37" t="str">
        <f t="shared" si="249"/>
        <v>AVERAGE</v>
      </c>
      <c r="S3141" t="s">
        <v>620</v>
      </c>
    </row>
    <row r="3142" spans="1:19" x14ac:dyDescent="0.2">
      <c r="A3142" t="s">
        <v>3753</v>
      </c>
      <c r="B3142" t="s">
        <v>83</v>
      </c>
      <c r="C3142" t="s">
        <v>597</v>
      </c>
      <c r="D3142">
        <v>1592.67</v>
      </c>
      <c r="E3142" s="37" t="str">
        <f t="shared" si="245"/>
        <v xml:space="preserve"> </v>
      </c>
      <c r="F3142">
        <v>7.0000000000000007E-2</v>
      </c>
      <c r="G3142" s="37" t="str">
        <f t="shared" si="246"/>
        <v>Normal Discount</v>
      </c>
      <c r="H3142" s="37" t="str">
        <f t="shared" si="247"/>
        <v>Low</v>
      </c>
      <c r="I3142">
        <v>8</v>
      </c>
      <c r="J3142" t="str" cm="1">
        <f t="array" ref="J3142">_xlfn.IFS(I3142&lt;=3,"small",I3142&lt;=6,"Medium",I3142&lt;=9,"Large")</f>
        <v>Large</v>
      </c>
      <c r="K3142" s="36">
        <v>45334</v>
      </c>
      <c r="L3142" s="36">
        <v>45337</v>
      </c>
      <c r="M3142" t="s">
        <v>603</v>
      </c>
      <c r="N3142" t="s">
        <v>608</v>
      </c>
      <c r="O3142" s="37" t="str">
        <f t="shared" si="248"/>
        <v>Cash Payment</v>
      </c>
      <c r="P3142">
        <v>227.96</v>
      </c>
      <c r="Q3142" s="37" t="str">
        <f>IF(P3142&gt;500,"High","low")</f>
        <v>low</v>
      </c>
      <c r="R3142" s="37" t="str">
        <f t="shared" si="249"/>
        <v>AVERAGE</v>
      </c>
      <c r="S3142" t="s">
        <v>609</v>
      </c>
    </row>
    <row r="3143" spans="1:19" x14ac:dyDescent="0.2">
      <c r="A3143" t="s">
        <v>3754</v>
      </c>
      <c r="B3143" t="s">
        <v>75</v>
      </c>
      <c r="C3143" t="s">
        <v>597</v>
      </c>
      <c r="D3143">
        <v>4987.71</v>
      </c>
      <c r="E3143" s="37" t="str">
        <f t="shared" si="245"/>
        <v xml:space="preserve"> </v>
      </c>
      <c r="F3143">
        <v>0.33</v>
      </c>
      <c r="G3143" s="37" t="str">
        <f t="shared" si="246"/>
        <v>Heavy Discount</v>
      </c>
      <c r="H3143" s="37" t="str">
        <f t="shared" si="247"/>
        <v>Medium</v>
      </c>
      <c r="I3143">
        <v>4</v>
      </c>
      <c r="J3143" t="str" cm="1">
        <f t="array" ref="J3143">_xlfn.IFS(I3143&lt;=3,"small",I3143&lt;=6,"Medium",I3143&lt;=9,"Large")</f>
        <v>Medium</v>
      </c>
      <c r="K3143" s="36">
        <v>45251</v>
      </c>
      <c r="L3143" s="36">
        <v>45257</v>
      </c>
      <c r="M3143" t="s">
        <v>598</v>
      </c>
      <c r="N3143" t="s">
        <v>608</v>
      </c>
      <c r="O3143" s="37" t="str">
        <f t="shared" si="248"/>
        <v>Cash Payment</v>
      </c>
      <c r="P3143">
        <v>414.98</v>
      </c>
      <c r="Q3143" s="37" t="str">
        <f>IF(P3143&gt;500,"High","low")</f>
        <v>low</v>
      </c>
      <c r="R3143" s="37" t="str">
        <f t="shared" si="249"/>
        <v>AVERAGE</v>
      </c>
      <c r="S3143" t="s">
        <v>600</v>
      </c>
    </row>
    <row r="3144" spans="1:19" x14ac:dyDescent="0.2">
      <c r="A3144" t="s">
        <v>3755</v>
      </c>
      <c r="B3144" t="s">
        <v>90</v>
      </c>
      <c r="C3144" t="s">
        <v>597</v>
      </c>
      <c r="D3144">
        <v>3327.38</v>
      </c>
      <c r="E3144" s="37" t="str">
        <f t="shared" si="245"/>
        <v xml:space="preserve"> </v>
      </c>
      <c r="F3144">
        <v>0.04</v>
      </c>
      <c r="G3144" s="37" t="str">
        <f t="shared" si="246"/>
        <v>Normal Discount</v>
      </c>
      <c r="H3144" s="37" t="str">
        <f t="shared" si="247"/>
        <v>Low</v>
      </c>
      <c r="I3144">
        <v>1</v>
      </c>
      <c r="J3144" t="str" cm="1">
        <f t="array" ref="J3144">_xlfn.IFS(I3144&lt;=3,"small",I3144&lt;=6,"Medium",I3144&lt;=9,"Large")</f>
        <v>small</v>
      </c>
      <c r="K3144" s="36">
        <v>45358</v>
      </c>
      <c r="L3144" s="36">
        <v>45361</v>
      </c>
      <c r="M3144" t="s">
        <v>612</v>
      </c>
      <c r="N3144" t="s">
        <v>604</v>
      </c>
      <c r="O3144" s="37" t="str">
        <f t="shared" si="248"/>
        <v>Digital Payment</v>
      </c>
      <c r="P3144">
        <v>909.43</v>
      </c>
      <c r="Q3144" s="37" t="str">
        <f>IF(P3144&gt;500,"High","low")</f>
        <v>High</v>
      </c>
      <c r="R3144" s="37" t="str">
        <f t="shared" si="249"/>
        <v>Good</v>
      </c>
      <c r="S3144" t="s">
        <v>628</v>
      </c>
    </row>
    <row r="3145" spans="1:19" x14ac:dyDescent="0.2">
      <c r="A3145" t="s">
        <v>3756</v>
      </c>
      <c r="B3145" t="s">
        <v>75</v>
      </c>
      <c r="C3145" t="s">
        <v>607</v>
      </c>
      <c r="D3145">
        <v>4618.87</v>
      </c>
      <c r="E3145" s="37" t="str">
        <f t="shared" si="245"/>
        <v>Excellent Order</v>
      </c>
      <c r="F3145">
        <v>0.49</v>
      </c>
      <c r="G3145" s="37" t="str">
        <f t="shared" si="246"/>
        <v>Heavy Discount</v>
      </c>
      <c r="H3145" s="37" t="str">
        <f t="shared" si="247"/>
        <v>High</v>
      </c>
      <c r="I3145">
        <v>4</v>
      </c>
      <c r="J3145" t="str" cm="1">
        <f t="array" ref="J3145">_xlfn.IFS(I3145&lt;=3,"small",I3145&lt;=6,"Medium",I3145&lt;=9,"Large")</f>
        <v>Medium</v>
      </c>
      <c r="K3145" s="36">
        <v>44971</v>
      </c>
      <c r="L3145" s="36">
        <v>44973</v>
      </c>
      <c r="M3145" t="s">
        <v>598</v>
      </c>
      <c r="N3145" t="s">
        <v>599</v>
      </c>
      <c r="O3145" s="37" t="str">
        <f t="shared" si="248"/>
        <v>Digital Payment</v>
      </c>
      <c r="P3145">
        <v>1364.1</v>
      </c>
      <c r="Q3145" s="37" t="str">
        <f>IF(P3145&gt;500,"High","low")</f>
        <v>High</v>
      </c>
      <c r="R3145" s="37" t="str">
        <f t="shared" si="249"/>
        <v>Excellent</v>
      </c>
      <c r="S3145" t="s">
        <v>628</v>
      </c>
    </row>
    <row r="3146" spans="1:19" x14ac:dyDescent="0.2">
      <c r="A3146" t="s">
        <v>3757</v>
      </c>
      <c r="B3146" t="s">
        <v>90</v>
      </c>
      <c r="C3146" t="s">
        <v>597</v>
      </c>
      <c r="D3146">
        <v>2235.41</v>
      </c>
      <c r="E3146" s="37" t="str">
        <f t="shared" si="245"/>
        <v xml:space="preserve"> </v>
      </c>
      <c r="F3146">
        <v>0.38</v>
      </c>
      <c r="G3146" s="37" t="str">
        <f t="shared" si="246"/>
        <v>Heavy Discount</v>
      </c>
      <c r="H3146" s="37" t="str">
        <f t="shared" si="247"/>
        <v>Medium</v>
      </c>
      <c r="I3146">
        <v>3</v>
      </c>
      <c r="J3146" t="str" cm="1">
        <f t="array" ref="J3146">_xlfn.IFS(I3146&lt;=3,"small",I3146&lt;=6,"Medium",I3146&lt;=9,"Large")</f>
        <v>small</v>
      </c>
      <c r="K3146" s="36">
        <v>45259</v>
      </c>
      <c r="L3146" s="36">
        <v>45262</v>
      </c>
      <c r="M3146" t="s">
        <v>612</v>
      </c>
      <c r="N3146" t="s">
        <v>604</v>
      </c>
      <c r="O3146" s="37" t="str">
        <f t="shared" si="248"/>
        <v>Digital Payment</v>
      </c>
      <c r="P3146">
        <v>466.37</v>
      </c>
      <c r="Q3146" s="37" t="str">
        <f>IF(P3146&gt;500,"High","low")</f>
        <v>low</v>
      </c>
      <c r="R3146" s="37" t="str">
        <f t="shared" si="249"/>
        <v>AVERAGE</v>
      </c>
      <c r="S3146" t="s">
        <v>605</v>
      </c>
    </row>
    <row r="3147" spans="1:19" x14ac:dyDescent="0.2">
      <c r="A3147" t="s">
        <v>3758</v>
      </c>
      <c r="B3147" t="s">
        <v>67</v>
      </c>
      <c r="C3147" t="s">
        <v>602</v>
      </c>
      <c r="D3147">
        <v>3580.38</v>
      </c>
      <c r="E3147" s="37" t="str">
        <f t="shared" si="245"/>
        <v xml:space="preserve"> </v>
      </c>
      <c r="F3147">
        <v>0.49</v>
      </c>
      <c r="G3147" s="37" t="str">
        <f t="shared" si="246"/>
        <v>Heavy Discount</v>
      </c>
      <c r="H3147" s="37" t="str">
        <f t="shared" si="247"/>
        <v>High</v>
      </c>
      <c r="I3147">
        <v>3</v>
      </c>
      <c r="J3147" t="str" cm="1">
        <f t="array" ref="J3147">_xlfn.IFS(I3147&lt;=3,"small",I3147&lt;=6,"Medium",I3147&lt;=9,"Large")</f>
        <v>small</v>
      </c>
      <c r="K3147" s="36">
        <v>45331</v>
      </c>
      <c r="L3147" s="36">
        <v>45337</v>
      </c>
      <c r="M3147" t="s">
        <v>598</v>
      </c>
      <c r="N3147" t="s">
        <v>608</v>
      </c>
      <c r="O3147" s="37" t="str">
        <f t="shared" si="248"/>
        <v>Cash Payment</v>
      </c>
      <c r="P3147">
        <v>889.49</v>
      </c>
      <c r="Q3147" s="37" t="str">
        <f>IF(P3147&gt;500,"High","low")</f>
        <v>High</v>
      </c>
      <c r="R3147" s="37" t="str">
        <f t="shared" si="249"/>
        <v>Good</v>
      </c>
      <c r="S3147" t="s">
        <v>600</v>
      </c>
    </row>
    <row r="3148" spans="1:19" x14ac:dyDescent="0.2">
      <c r="A3148" t="s">
        <v>3759</v>
      </c>
      <c r="B3148" t="s">
        <v>83</v>
      </c>
      <c r="C3148" t="s">
        <v>617</v>
      </c>
      <c r="D3148">
        <v>2352.48</v>
      </c>
      <c r="E3148" s="37" t="str">
        <f t="shared" si="245"/>
        <v xml:space="preserve"> </v>
      </c>
      <c r="F3148">
        <v>0.19</v>
      </c>
      <c r="G3148" s="37" t="str">
        <f t="shared" si="246"/>
        <v>Normal Discount</v>
      </c>
      <c r="H3148" s="37" t="str">
        <f t="shared" si="247"/>
        <v>Low</v>
      </c>
      <c r="I3148">
        <v>1</v>
      </c>
      <c r="J3148" t="str" cm="1">
        <f t="array" ref="J3148">_xlfn.IFS(I3148&lt;=3,"small",I3148&lt;=6,"Medium",I3148&lt;=9,"Large")</f>
        <v>small</v>
      </c>
      <c r="K3148" s="36">
        <v>45632</v>
      </c>
      <c r="L3148" s="36">
        <v>45638</v>
      </c>
      <c r="M3148" t="s">
        <v>603</v>
      </c>
      <c r="N3148" t="s">
        <v>604</v>
      </c>
      <c r="O3148" s="37" t="str">
        <f t="shared" si="248"/>
        <v>Digital Payment</v>
      </c>
      <c r="P3148">
        <v>527.37</v>
      </c>
      <c r="Q3148" s="37" t="str">
        <f>IF(P3148&gt;500,"High","low")</f>
        <v>High</v>
      </c>
      <c r="R3148" s="37" t="str">
        <f t="shared" si="249"/>
        <v>Good</v>
      </c>
      <c r="S3148" t="s">
        <v>600</v>
      </c>
    </row>
    <row r="3149" spans="1:19" x14ac:dyDescent="0.2">
      <c r="A3149" t="s">
        <v>3760</v>
      </c>
      <c r="B3149" t="s">
        <v>75</v>
      </c>
      <c r="C3149" t="s">
        <v>607</v>
      </c>
      <c r="D3149">
        <v>1708.3</v>
      </c>
      <c r="E3149" s="37" t="str">
        <f t="shared" si="245"/>
        <v xml:space="preserve"> </v>
      </c>
      <c r="F3149">
        <v>0.01</v>
      </c>
      <c r="G3149" s="37" t="str">
        <f t="shared" si="246"/>
        <v>Normal Discount</v>
      </c>
      <c r="H3149" s="37" t="str">
        <f t="shared" si="247"/>
        <v>Low</v>
      </c>
      <c r="I3149">
        <v>9</v>
      </c>
      <c r="J3149" t="str" cm="1">
        <f t="array" ref="J3149">_xlfn.IFS(I3149&lt;=3,"small",I3149&lt;=6,"Medium",I3149&lt;=9,"Large")</f>
        <v>Large</v>
      </c>
      <c r="K3149" s="36">
        <v>45363</v>
      </c>
      <c r="L3149" s="36">
        <v>45366</v>
      </c>
      <c r="M3149" t="s">
        <v>603</v>
      </c>
      <c r="N3149" t="s">
        <v>604</v>
      </c>
      <c r="O3149" s="37" t="str">
        <f t="shared" si="248"/>
        <v>Digital Payment</v>
      </c>
      <c r="P3149">
        <v>319.44</v>
      </c>
      <c r="Q3149" s="37" t="str">
        <f>IF(P3149&gt;500,"High","low")</f>
        <v>low</v>
      </c>
      <c r="R3149" s="37" t="str">
        <f t="shared" si="249"/>
        <v>AVERAGE</v>
      </c>
      <c r="S3149" t="s">
        <v>605</v>
      </c>
    </row>
    <row r="3150" spans="1:19" x14ac:dyDescent="0.2">
      <c r="A3150" t="s">
        <v>3761</v>
      </c>
      <c r="B3150" t="s">
        <v>90</v>
      </c>
      <c r="C3150" t="s">
        <v>614</v>
      </c>
      <c r="D3150">
        <v>2643.95</v>
      </c>
      <c r="E3150" s="37" t="str">
        <f t="shared" si="245"/>
        <v xml:space="preserve"> </v>
      </c>
      <c r="F3150">
        <v>0.26</v>
      </c>
      <c r="G3150" s="37" t="str">
        <f t="shared" si="246"/>
        <v>Normal Discount</v>
      </c>
      <c r="H3150" s="37" t="str">
        <f t="shared" si="247"/>
        <v>Medium</v>
      </c>
      <c r="I3150">
        <v>3</v>
      </c>
      <c r="J3150" t="str" cm="1">
        <f t="array" ref="J3150">_xlfn.IFS(I3150&lt;=3,"small",I3150&lt;=6,"Medium",I3150&lt;=9,"Large")</f>
        <v>small</v>
      </c>
      <c r="K3150" s="36">
        <v>45375</v>
      </c>
      <c r="L3150" s="36">
        <v>45382</v>
      </c>
      <c r="M3150" t="s">
        <v>612</v>
      </c>
      <c r="N3150" t="s">
        <v>599</v>
      </c>
      <c r="O3150" s="37" t="str">
        <f t="shared" si="248"/>
        <v>Digital Payment</v>
      </c>
      <c r="P3150">
        <v>679.66</v>
      </c>
      <c r="Q3150" s="37" t="str">
        <f>IF(P3150&gt;500,"High","low")</f>
        <v>High</v>
      </c>
      <c r="R3150" s="37" t="str">
        <f t="shared" si="249"/>
        <v>Good</v>
      </c>
      <c r="S3150" t="s">
        <v>609</v>
      </c>
    </row>
    <row r="3151" spans="1:19" x14ac:dyDescent="0.2">
      <c r="A3151" t="s">
        <v>3762</v>
      </c>
      <c r="B3151" t="s">
        <v>75</v>
      </c>
      <c r="C3151" t="s">
        <v>597</v>
      </c>
      <c r="D3151">
        <v>2193.8200000000002</v>
      </c>
      <c r="E3151" s="37" t="str">
        <f t="shared" si="245"/>
        <v xml:space="preserve"> </v>
      </c>
      <c r="F3151">
        <v>0.06</v>
      </c>
      <c r="G3151" s="37" t="str">
        <f t="shared" si="246"/>
        <v>Normal Discount</v>
      </c>
      <c r="H3151" s="37" t="str">
        <f t="shared" si="247"/>
        <v>Low</v>
      </c>
      <c r="I3151">
        <v>4</v>
      </c>
      <c r="J3151" t="str" cm="1">
        <f t="array" ref="J3151">_xlfn.IFS(I3151&lt;=3,"small",I3151&lt;=6,"Medium",I3151&lt;=9,"Large")</f>
        <v>Medium</v>
      </c>
      <c r="K3151" s="36">
        <v>45190</v>
      </c>
      <c r="L3151" s="36">
        <v>45197</v>
      </c>
      <c r="M3151" t="s">
        <v>598</v>
      </c>
      <c r="N3151" t="s">
        <v>604</v>
      </c>
      <c r="O3151" s="37" t="str">
        <f t="shared" si="248"/>
        <v>Digital Payment</v>
      </c>
      <c r="P3151">
        <v>599.6</v>
      </c>
      <c r="Q3151" s="37" t="str">
        <f>IF(P3151&gt;500,"High","low")</f>
        <v>High</v>
      </c>
      <c r="R3151" s="37" t="str">
        <f t="shared" si="249"/>
        <v>Good</v>
      </c>
      <c r="S3151" t="s">
        <v>628</v>
      </c>
    </row>
    <row r="3152" spans="1:19" x14ac:dyDescent="0.2">
      <c r="A3152" t="s">
        <v>3763</v>
      </c>
      <c r="B3152" t="s">
        <v>75</v>
      </c>
      <c r="C3152" t="s">
        <v>617</v>
      </c>
      <c r="D3152">
        <v>4904.6499999999996</v>
      </c>
      <c r="E3152" s="37" t="str">
        <f t="shared" si="245"/>
        <v>Excellent Order</v>
      </c>
      <c r="F3152">
        <v>0.34</v>
      </c>
      <c r="G3152" s="37" t="str">
        <f t="shared" si="246"/>
        <v>Heavy Discount</v>
      </c>
      <c r="H3152" s="37" t="str">
        <f t="shared" si="247"/>
        <v>Medium</v>
      </c>
      <c r="I3152">
        <v>1</v>
      </c>
      <c r="J3152" t="str" cm="1">
        <f t="array" ref="J3152">_xlfn.IFS(I3152&lt;=3,"small",I3152&lt;=6,"Medium",I3152&lt;=9,"Large")</f>
        <v>small</v>
      </c>
      <c r="K3152" s="36">
        <v>45398</v>
      </c>
      <c r="L3152" s="36">
        <v>45401</v>
      </c>
      <c r="M3152" t="s">
        <v>603</v>
      </c>
      <c r="N3152" t="s">
        <v>608</v>
      </c>
      <c r="O3152" s="37" t="str">
        <f t="shared" si="248"/>
        <v>Cash Payment</v>
      </c>
      <c r="P3152">
        <v>873.84</v>
      </c>
      <c r="Q3152" s="37" t="str">
        <f>IF(P3152&gt;500,"High","low")</f>
        <v>High</v>
      </c>
      <c r="R3152" s="37" t="str">
        <f t="shared" si="249"/>
        <v>Good</v>
      </c>
      <c r="S3152" t="s">
        <v>605</v>
      </c>
    </row>
    <row r="3153" spans="1:19" x14ac:dyDescent="0.2">
      <c r="A3153" t="s">
        <v>3764</v>
      </c>
      <c r="B3153" t="s">
        <v>83</v>
      </c>
      <c r="C3153" t="s">
        <v>617</v>
      </c>
      <c r="D3153">
        <v>2531.2199999999998</v>
      </c>
      <c r="E3153" s="37" t="str">
        <f t="shared" si="245"/>
        <v xml:space="preserve"> </v>
      </c>
      <c r="F3153">
        <v>0.25</v>
      </c>
      <c r="G3153" s="37" t="str">
        <f t="shared" si="246"/>
        <v>Normal Discount</v>
      </c>
      <c r="H3153" s="37" t="str">
        <f t="shared" si="247"/>
        <v>Medium</v>
      </c>
      <c r="I3153">
        <v>3</v>
      </c>
      <c r="J3153" t="str" cm="1">
        <f t="array" ref="J3153">_xlfn.IFS(I3153&lt;=3,"small",I3153&lt;=6,"Medium",I3153&lt;=9,"Large")</f>
        <v>small</v>
      </c>
      <c r="K3153" s="36">
        <v>44960</v>
      </c>
      <c r="L3153" s="36">
        <v>44967</v>
      </c>
      <c r="M3153" t="s">
        <v>603</v>
      </c>
      <c r="N3153" t="s">
        <v>599</v>
      </c>
      <c r="O3153" s="37" t="str">
        <f t="shared" si="248"/>
        <v>Digital Payment</v>
      </c>
      <c r="P3153">
        <v>639.85</v>
      </c>
      <c r="Q3153" s="37" t="str">
        <f>IF(P3153&gt;500,"High","low")</f>
        <v>High</v>
      </c>
      <c r="R3153" s="37" t="str">
        <f t="shared" si="249"/>
        <v>Good</v>
      </c>
      <c r="S3153" t="s">
        <v>628</v>
      </c>
    </row>
    <row r="3154" spans="1:19" x14ac:dyDescent="0.2">
      <c r="A3154" t="s">
        <v>3765</v>
      </c>
      <c r="B3154" t="s">
        <v>67</v>
      </c>
      <c r="C3154" t="s">
        <v>607</v>
      </c>
      <c r="D3154">
        <v>4074.45</v>
      </c>
      <c r="E3154" s="37" t="str">
        <f t="shared" si="245"/>
        <v xml:space="preserve"> </v>
      </c>
      <c r="F3154">
        <v>0.38</v>
      </c>
      <c r="G3154" s="37" t="str">
        <f t="shared" si="246"/>
        <v>Heavy Discount</v>
      </c>
      <c r="H3154" s="37" t="str">
        <f t="shared" si="247"/>
        <v>Medium</v>
      </c>
      <c r="I3154">
        <v>1</v>
      </c>
      <c r="J3154" t="str" cm="1">
        <f t="array" ref="J3154">_xlfn.IFS(I3154&lt;=3,"small",I3154&lt;=6,"Medium",I3154&lt;=9,"Large")</f>
        <v>small</v>
      </c>
      <c r="K3154" s="36">
        <v>45064</v>
      </c>
      <c r="L3154" s="36">
        <v>45070</v>
      </c>
      <c r="M3154" t="s">
        <v>603</v>
      </c>
      <c r="N3154" t="s">
        <v>608</v>
      </c>
      <c r="O3154" s="37" t="str">
        <f t="shared" si="248"/>
        <v>Cash Payment</v>
      </c>
      <c r="P3154">
        <v>601.11</v>
      </c>
      <c r="Q3154" s="37" t="str">
        <f>IF(P3154&gt;500,"High","low")</f>
        <v>High</v>
      </c>
      <c r="R3154" s="37" t="str">
        <f t="shared" si="249"/>
        <v>Good</v>
      </c>
      <c r="S3154" t="s">
        <v>605</v>
      </c>
    </row>
    <row r="3155" spans="1:19" x14ac:dyDescent="0.2">
      <c r="A3155" t="s">
        <v>3766</v>
      </c>
      <c r="B3155" t="s">
        <v>75</v>
      </c>
      <c r="C3155" t="s">
        <v>614</v>
      </c>
      <c r="D3155">
        <v>3367.42</v>
      </c>
      <c r="E3155" s="37" t="str">
        <f t="shared" si="245"/>
        <v xml:space="preserve"> </v>
      </c>
      <c r="F3155">
        <v>0.15</v>
      </c>
      <c r="G3155" s="37" t="str">
        <f t="shared" si="246"/>
        <v>Normal Discount</v>
      </c>
      <c r="H3155" s="37" t="str">
        <f t="shared" si="247"/>
        <v>Low</v>
      </c>
      <c r="I3155">
        <v>4</v>
      </c>
      <c r="J3155" t="str" cm="1">
        <f t="array" ref="J3155">_xlfn.IFS(I3155&lt;=3,"small",I3155&lt;=6,"Medium",I3155&lt;=9,"Large")</f>
        <v>Medium</v>
      </c>
      <c r="K3155" s="36">
        <v>45311</v>
      </c>
      <c r="L3155" s="36">
        <v>45313</v>
      </c>
      <c r="M3155" t="s">
        <v>612</v>
      </c>
      <c r="N3155" t="s">
        <v>599</v>
      </c>
      <c r="O3155" s="37" t="str">
        <f t="shared" si="248"/>
        <v>Digital Payment</v>
      </c>
      <c r="P3155">
        <v>364.78</v>
      </c>
      <c r="Q3155" s="37" t="str">
        <f>IF(P3155&gt;500,"High","low")</f>
        <v>low</v>
      </c>
      <c r="R3155" s="37" t="str">
        <f t="shared" si="249"/>
        <v>AVERAGE</v>
      </c>
      <c r="S3155" t="s">
        <v>615</v>
      </c>
    </row>
    <row r="3156" spans="1:19" x14ac:dyDescent="0.2">
      <c r="A3156" t="s">
        <v>3767</v>
      </c>
      <c r="B3156" t="s">
        <v>90</v>
      </c>
      <c r="C3156" t="s">
        <v>602</v>
      </c>
      <c r="D3156">
        <v>2450.17</v>
      </c>
      <c r="E3156" s="37" t="str">
        <f t="shared" si="245"/>
        <v xml:space="preserve"> </v>
      </c>
      <c r="F3156">
        <v>0.41</v>
      </c>
      <c r="G3156" s="37" t="str">
        <f t="shared" si="246"/>
        <v>Heavy Discount</v>
      </c>
      <c r="H3156" s="37" t="str">
        <f t="shared" si="247"/>
        <v>High</v>
      </c>
      <c r="I3156">
        <v>7</v>
      </c>
      <c r="J3156" t="str" cm="1">
        <f t="array" ref="J3156">_xlfn.IFS(I3156&lt;=3,"small",I3156&lt;=6,"Medium",I3156&lt;=9,"Large")</f>
        <v>Large</v>
      </c>
      <c r="K3156" s="36">
        <v>45089</v>
      </c>
      <c r="L3156" s="36">
        <v>45093</v>
      </c>
      <c r="M3156" t="s">
        <v>603</v>
      </c>
      <c r="N3156" t="s">
        <v>604</v>
      </c>
      <c r="O3156" s="37" t="str">
        <f t="shared" si="248"/>
        <v>Digital Payment</v>
      </c>
      <c r="P3156">
        <v>406.11</v>
      </c>
      <c r="Q3156" s="37" t="str">
        <f>IF(P3156&gt;500,"High","low")</f>
        <v>low</v>
      </c>
      <c r="R3156" s="37" t="str">
        <f t="shared" si="249"/>
        <v>AVERAGE</v>
      </c>
      <c r="S3156" t="s">
        <v>605</v>
      </c>
    </row>
    <row r="3157" spans="1:19" x14ac:dyDescent="0.2">
      <c r="A3157" t="s">
        <v>3768</v>
      </c>
      <c r="B3157" t="s">
        <v>90</v>
      </c>
      <c r="C3157" t="s">
        <v>617</v>
      </c>
      <c r="D3157">
        <v>2423.34</v>
      </c>
      <c r="E3157" s="37" t="str">
        <f t="shared" si="245"/>
        <v xml:space="preserve"> </v>
      </c>
      <c r="F3157">
        <v>0.33</v>
      </c>
      <c r="G3157" s="37" t="str">
        <f t="shared" si="246"/>
        <v>Heavy Discount</v>
      </c>
      <c r="H3157" s="37" t="str">
        <f t="shared" si="247"/>
        <v>Medium</v>
      </c>
      <c r="I3157">
        <v>8</v>
      </c>
      <c r="J3157" t="str" cm="1">
        <f t="array" ref="J3157">_xlfn.IFS(I3157&lt;=3,"small",I3157&lt;=6,"Medium",I3157&lt;=9,"Large")</f>
        <v>Large</v>
      </c>
      <c r="K3157" s="36">
        <v>45287</v>
      </c>
      <c r="L3157" s="36">
        <v>45290</v>
      </c>
      <c r="M3157" t="s">
        <v>598</v>
      </c>
      <c r="N3157" t="s">
        <v>599</v>
      </c>
      <c r="O3157" s="37" t="str">
        <f t="shared" si="248"/>
        <v>Digital Payment</v>
      </c>
      <c r="P3157">
        <v>271.05</v>
      </c>
      <c r="Q3157" s="37" t="str">
        <f>IF(P3157&gt;500,"High","low")</f>
        <v>low</v>
      </c>
      <c r="R3157" s="37" t="str">
        <f t="shared" si="249"/>
        <v>AVERAGE</v>
      </c>
      <c r="S3157" t="s">
        <v>605</v>
      </c>
    </row>
    <row r="3158" spans="1:19" x14ac:dyDescent="0.2">
      <c r="A3158" t="s">
        <v>3769</v>
      </c>
      <c r="B3158" t="s">
        <v>67</v>
      </c>
      <c r="C3158" t="s">
        <v>617</v>
      </c>
      <c r="D3158">
        <v>1775.26</v>
      </c>
      <c r="E3158" s="37" t="str">
        <f t="shared" si="245"/>
        <v xml:space="preserve"> </v>
      </c>
      <c r="F3158">
        <v>0.49</v>
      </c>
      <c r="G3158" s="37" t="str">
        <f t="shared" si="246"/>
        <v>Heavy Discount</v>
      </c>
      <c r="H3158" s="37" t="str">
        <f t="shared" si="247"/>
        <v>High</v>
      </c>
      <c r="I3158">
        <v>8</v>
      </c>
      <c r="J3158" t="str" cm="1">
        <f t="array" ref="J3158">_xlfn.IFS(I3158&lt;=3,"small",I3158&lt;=6,"Medium",I3158&lt;=9,"Large")</f>
        <v>Large</v>
      </c>
      <c r="K3158" s="36">
        <v>45429</v>
      </c>
      <c r="L3158" s="36">
        <v>45433</v>
      </c>
      <c r="M3158" t="s">
        <v>612</v>
      </c>
      <c r="N3158" t="s">
        <v>604</v>
      </c>
      <c r="O3158" s="37" t="str">
        <f t="shared" si="248"/>
        <v>Digital Payment</v>
      </c>
      <c r="P3158">
        <v>262.67</v>
      </c>
      <c r="Q3158" s="37" t="str">
        <f>IF(P3158&gt;500,"High","low")</f>
        <v>low</v>
      </c>
      <c r="R3158" s="37" t="str">
        <f t="shared" si="249"/>
        <v>AVERAGE</v>
      </c>
      <c r="S3158" t="s">
        <v>620</v>
      </c>
    </row>
    <row r="3159" spans="1:19" x14ac:dyDescent="0.2">
      <c r="A3159" t="s">
        <v>3770</v>
      </c>
      <c r="B3159" t="s">
        <v>90</v>
      </c>
      <c r="C3159" t="s">
        <v>617</v>
      </c>
      <c r="D3159">
        <v>624.21</v>
      </c>
      <c r="E3159" s="37" t="str">
        <f t="shared" si="245"/>
        <v xml:space="preserve"> </v>
      </c>
      <c r="F3159">
        <v>0.09</v>
      </c>
      <c r="G3159" s="37" t="str">
        <f t="shared" si="246"/>
        <v>Normal Discount</v>
      </c>
      <c r="H3159" s="37" t="str">
        <f t="shared" si="247"/>
        <v>Low</v>
      </c>
      <c r="I3159">
        <v>1</v>
      </c>
      <c r="J3159" t="str" cm="1">
        <f t="array" ref="J3159">_xlfn.IFS(I3159&lt;=3,"small",I3159&lt;=6,"Medium",I3159&lt;=9,"Large")</f>
        <v>small</v>
      </c>
      <c r="K3159" s="36">
        <v>45493</v>
      </c>
      <c r="L3159" s="36">
        <v>45497</v>
      </c>
      <c r="M3159" t="s">
        <v>612</v>
      </c>
      <c r="N3159" t="s">
        <v>599</v>
      </c>
      <c r="O3159" s="37" t="str">
        <f t="shared" si="248"/>
        <v>Digital Payment</v>
      </c>
      <c r="P3159">
        <v>131.19</v>
      </c>
      <c r="Q3159" s="37" t="str">
        <f>IF(P3159&gt;500,"High","low")</f>
        <v>low</v>
      </c>
      <c r="R3159" s="37" t="str">
        <f t="shared" si="249"/>
        <v>AVERAGE</v>
      </c>
      <c r="S3159" t="s">
        <v>615</v>
      </c>
    </row>
    <row r="3160" spans="1:19" x14ac:dyDescent="0.2">
      <c r="A3160" t="s">
        <v>3771</v>
      </c>
      <c r="B3160" t="s">
        <v>67</v>
      </c>
      <c r="C3160" t="s">
        <v>617</v>
      </c>
      <c r="D3160">
        <v>3831.2</v>
      </c>
      <c r="E3160" s="37" t="str">
        <f t="shared" si="245"/>
        <v xml:space="preserve"> </v>
      </c>
      <c r="F3160">
        <v>0.03</v>
      </c>
      <c r="G3160" s="37" t="str">
        <f t="shared" si="246"/>
        <v>Normal Discount</v>
      </c>
      <c r="H3160" s="37" t="str">
        <f t="shared" si="247"/>
        <v>Low</v>
      </c>
      <c r="I3160">
        <v>6</v>
      </c>
      <c r="J3160" t="str" cm="1">
        <f t="array" ref="J3160">_xlfn.IFS(I3160&lt;=3,"small",I3160&lt;=6,"Medium",I3160&lt;=9,"Large")</f>
        <v>Medium</v>
      </c>
      <c r="K3160" s="36">
        <v>45464</v>
      </c>
      <c r="L3160" s="36">
        <v>45470</v>
      </c>
      <c r="M3160" t="s">
        <v>612</v>
      </c>
      <c r="N3160" t="s">
        <v>604</v>
      </c>
      <c r="O3160" s="37" t="str">
        <f t="shared" si="248"/>
        <v>Digital Payment</v>
      </c>
      <c r="P3160">
        <v>356.25</v>
      </c>
      <c r="Q3160" s="37" t="str">
        <f>IF(P3160&gt;500,"High","low")</f>
        <v>low</v>
      </c>
      <c r="R3160" s="37" t="str">
        <f t="shared" si="249"/>
        <v>AVERAGE</v>
      </c>
      <c r="S3160" t="s">
        <v>609</v>
      </c>
    </row>
    <row r="3161" spans="1:19" x14ac:dyDescent="0.2">
      <c r="A3161" t="s">
        <v>3772</v>
      </c>
      <c r="B3161" t="s">
        <v>90</v>
      </c>
      <c r="C3161" t="s">
        <v>607</v>
      </c>
      <c r="D3161">
        <v>4598.66</v>
      </c>
      <c r="E3161" s="37" t="str">
        <f t="shared" si="245"/>
        <v>Excellent Order</v>
      </c>
      <c r="F3161">
        <v>0.43</v>
      </c>
      <c r="G3161" s="37" t="str">
        <f t="shared" si="246"/>
        <v>Heavy Discount</v>
      </c>
      <c r="H3161" s="37" t="str">
        <f t="shared" si="247"/>
        <v>High</v>
      </c>
      <c r="I3161">
        <v>8</v>
      </c>
      <c r="J3161" t="str" cm="1">
        <f t="array" ref="J3161">_xlfn.IFS(I3161&lt;=3,"small",I3161&lt;=6,"Medium",I3161&lt;=9,"Large")</f>
        <v>Large</v>
      </c>
      <c r="K3161" s="36">
        <v>45506</v>
      </c>
      <c r="L3161" s="36">
        <v>45512</v>
      </c>
      <c r="M3161" t="s">
        <v>612</v>
      </c>
      <c r="N3161" t="s">
        <v>599</v>
      </c>
      <c r="O3161" s="37" t="str">
        <f t="shared" si="248"/>
        <v>Digital Payment</v>
      </c>
      <c r="P3161">
        <v>1062.67</v>
      </c>
      <c r="Q3161" s="37" t="str">
        <f>IF(P3161&gt;500,"High","low")</f>
        <v>High</v>
      </c>
      <c r="R3161" s="37" t="str">
        <f t="shared" si="249"/>
        <v>Excellent</v>
      </c>
      <c r="S3161" t="s">
        <v>615</v>
      </c>
    </row>
    <row r="3162" spans="1:19" x14ac:dyDescent="0.2">
      <c r="A3162" t="s">
        <v>3773</v>
      </c>
      <c r="B3162" t="s">
        <v>83</v>
      </c>
      <c r="C3162" t="s">
        <v>614</v>
      </c>
      <c r="D3162">
        <v>1167.98</v>
      </c>
      <c r="E3162" s="37" t="str">
        <f t="shared" si="245"/>
        <v xml:space="preserve"> </v>
      </c>
      <c r="F3162">
        <v>0.17</v>
      </c>
      <c r="G3162" s="37" t="str">
        <f t="shared" si="246"/>
        <v>Normal Discount</v>
      </c>
      <c r="H3162" s="37" t="str">
        <f t="shared" si="247"/>
        <v>Low</v>
      </c>
      <c r="I3162">
        <v>8</v>
      </c>
      <c r="J3162" t="str" cm="1">
        <f t="array" ref="J3162">_xlfn.IFS(I3162&lt;=3,"small",I3162&lt;=6,"Medium",I3162&lt;=9,"Large")</f>
        <v>Large</v>
      </c>
      <c r="K3162" s="36">
        <v>45277</v>
      </c>
      <c r="L3162" s="36">
        <v>45283</v>
      </c>
      <c r="M3162" t="s">
        <v>612</v>
      </c>
      <c r="N3162" t="s">
        <v>604</v>
      </c>
      <c r="O3162" s="37" t="str">
        <f t="shared" si="248"/>
        <v>Digital Payment</v>
      </c>
      <c r="P3162">
        <v>320.08999999999997</v>
      </c>
      <c r="Q3162" s="37" t="str">
        <f>IF(P3162&gt;500,"High","low")</f>
        <v>low</v>
      </c>
      <c r="R3162" s="37" t="str">
        <f t="shared" si="249"/>
        <v>AVERAGE</v>
      </c>
      <c r="S3162" t="s">
        <v>600</v>
      </c>
    </row>
    <row r="3163" spans="1:19" x14ac:dyDescent="0.2">
      <c r="A3163" t="s">
        <v>3774</v>
      </c>
      <c r="B3163" t="s">
        <v>75</v>
      </c>
      <c r="C3163" t="s">
        <v>617</v>
      </c>
      <c r="D3163">
        <v>4635.8</v>
      </c>
      <c r="E3163" s="37" t="str">
        <f t="shared" si="245"/>
        <v xml:space="preserve"> </v>
      </c>
      <c r="F3163">
        <v>0.22</v>
      </c>
      <c r="G3163" s="37" t="str">
        <f t="shared" si="246"/>
        <v>Normal Discount</v>
      </c>
      <c r="H3163" s="37" t="str">
        <f t="shared" si="247"/>
        <v>Medium</v>
      </c>
      <c r="I3163">
        <v>9</v>
      </c>
      <c r="J3163" t="str" cm="1">
        <f t="array" ref="J3163">_xlfn.IFS(I3163&lt;=3,"small",I3163&lt;=6,"Medium",I3163&lt;=9,"Large")</f>
        <v>Large</v>
      </c>
      <c r="K3163" s="36">
        <v>45571</v>
      </c>
      <c r="L3163" s="36">
        <v>45577</v>
      </c>
      <c r="M3163" t="s">
        <v>612</v>
      </c>
      <c r="N3163" t="s">
        <v>608</v>
      </c>
      <c r="O3163" s="37" t="str">
        <f t="shared" si="248"/>
        <v>Cash Payment</v>
      </c>
      <c r="P3163">
        <v>675.12</v>
      </c>
      <c r="Q3163" s="37" t="str">
        <f>IF(P3163&gt;500,"High","low")</f>
        <v>High</v>
      </c>
      <c r="R3163" s="37" t="str">
        <f t="shared" si="249"/>
        <v>Good</v>
      </c>
      <c r="S3163" t="s">
        <v>605</v>
      </c>
    </row>
    <row r="3164" spans="1:19" x14ac:dyDescent="0.2">
      <c r="A3164" t="s">
        <v>3775</v>
      </c>
      <c r="B3164" t="s">
        <v>83</v>
      </c>
      <c r="C3164" t="s">
        <v>602</v>
      </c>
      <c r="D3164">
        <v>1238.29</v>
      </c>
      <c r="E3164" s="37" t="str">
        <f t="shared" si="245"/>
        <v xml:space="preserve"> </v>
      </c>
      <c r="F3164">
        <v>0.46</v>
      </c>
      <c r="G3164" s="37" t="str">
        <f t="shared" si="246"/>
        <v>Heavy Discount</v>
      </c>
      <c r="H3164" s="37" t="str">
        <f t="shared" si="247"/>
        <v>High</v>
      </c>
      <c r="I3164">
        <v>8</v>
      </c>
      <c r="J3164" t="str" cm="1">
        <f t="array" ref="J3164">_xlfn.IFS(I3164&lt;=3,"small",I3164&lt;=6,"Medium",I3164&lt;=9,"Large")</f>
        <v>Large</v>
      </c>
      <c r="K3164" s="36">
        <v>45525</v>
      </c>
      <c r="L3164" s="36">
        <v>45527</v>
      </c>
      <c r="M3164" t="s">
        <v>603</v>
      </c>
      <c r="N3164" t="s">
        <v>599</v>
      </c>
      <c r="O3164" s="37" t="str">
        <f t="shared" si="248"/>
        <v>Digital Payment</v>
      </c>
      <c r="P3164">
        <v>363.61</v>
      </c>
      <c r="Q3164" s="37" t="str">
        <f>IF(P3164&gt;500,"High","low")</f>
        <v>low</v>
      </c>
      <c r="R3164" s="37" t="str">
        <f t="shared" si="249"/>
        <v>AVERAGE</v>
      </c>
      <c r="S3164" t="s">
        <v>605</v>
      </c>
    </row>
    <row r="3165" spans="1:19" x14ac:dyDescent="0.2">
      <c r="A3165" t="s">
        <v>3776</v>
      </c>
      <c r="B3165" t="s">
        <v>75</v>
      </c>
      <c r="C3165" t="s">
        <v>602</v>
      </c>
      <c r="D3165">
        <v>2697.39</v>
      </c>
      <c r="E3165" s="37" t="str">
        <f t="shared" si="245"/>
        <v xml:space="preserve"> </v>
      </c>
      <c r="F3165">
        <v>0.22</v>
      </c>
      <c r="G3165" s="37" t="str">
        <f t="shared" si="246"/>
        <v>Normal Discount</v>
      </c>
      <c r="H3165" s="37" t="str">
        <f t="shared" si="247"/>
        <v>Medium</v>
      </c>
      <c r="I3165">
        <v>5</v>
      </c>
      <c r="J3165" t="str" cm="1">
        <f t="array" ref="J3165">_xlfn.IFS(I3165&lt;=3,"small",I3165&lt;=6,"Medium",I3165&lt;=9,"Large")</f>
        <v>Medium</v>
      </c>
      <c r="K3165" s="36">
        <v>45408</v>
      </c>
      <c r="L3165" s="36">
        <v>45412</v>
      </c>
      <c r="M3165" t="s">
        <v>612</v>
      </c>
      <c r="N3165" t="s">
        <v>599</v>
      </c>
      <c r="O3165" s="37" t="str">
        <f t="shared" si="248"/>
        <v>Digital Payment</v>
      </c>
      <c r="P3165">
        <v>599.5</v>
      </c>
      <c r="Q3165" s="37" t="str">
        <f>IF(P3165&gt;500,"High","low")</f>
        <v>High</v>
      </c>
      <c r="R3165" s="37" t="str">
        <f t="shared" si="249"/>
        <v>Good</v>
      </c>
      <c r="S3165" t="s">
        <v>605</v>
      </c>
    </row>
    <row r="3166" spans="1:19" x14ac:dyDescent="0.2">
      <c r="A3166" t="s">
        <v>3777</v>
      </c>
      <c r="B3166" t="s">
        <v>75</v>
      </c>
      <c r="C3166" t="s">
        <v>597</v>
      </c>
      <c r="D3166">
        <v>1783.75</v>
      </c>
      <c r="E3166" s="37" t="str">
        <f t="shared" si="245"/>
        <v xml:space="preserve"> </v>
      </c>
      <c r="F3166">
        <v>0.15</v>
      </c>
      <c r="G3166" s="37" t="str">
        <f t="shared" si="246"/>
        <v>Normal Discount</v>
      </c>
      <c r="H3166" s="37" t="str">
        <f t="shared" si="247"/>
        <v>Low</v>
      </c>
      <c r="I3166">
        <v>1</v>
      </c>
      <c r="J3166" t="str" cm="1">
        <f t="array" ref="J3166">_xlfn.IFS(I3166&lt;=3,"small",I3166&lt;=6,"Medium",I3166&lt;=9,"Large")</f>
        <v>small</v>
      </c>
      <c r="K3166" s="36">
        <v>45005</v>
      </c>
      <c r="L3166" s="36">
        <v>45011</v>
      </c>
      <c r="M3166" t="s">
        <v>603</v>
      </c>
      <c r="N3166" t="s">
        <v>608</v>
      </c>
      <c r="O3166" s="37" t="str">
        <f t="shared" si="248"/>
        <v>Cash Payment</v>
      </c>
      <c r="P3166">
        <v>345.76</v>
      </c>
      <c r="Q3166" s="37" t="str">
        <f>IF(P3166&gt;500,"High","low")</f>
        <v>low</v>
      </c>
      <c r="R3166" s="37" t="str">
        <f t="shared" si="249"/>
        <v>AVERAGE</v>
      </c>
      <c r="S3166" t="s">
        <v>620</v>
      </c>
    </row>
    <row r="3167" spans="1:19" x14ac:dyDescent="0.2">
      <c r="A3167" t="s">
        <v>3778</v>
      </c>
      <c r="B3167" t="s">
        <v>75</v>
      </c>
      <c r="C3167" t="s">
        <v>617</v>
      </c>
      <c r="D3167">
        <v>661.09</v>
      </c>
      <c r="E3167" s="37" t="str">
        <f t="shared" si="245"/>
        <v xml:space="preserve"> </v>
      </c>
      <c r="F3167">
        <v>0.03</v>
      </c>
      <c r="G3167" s="37" t="str">
        <f t="shared" si="246"/>
        <v>Normal Discount</v>
      </c>
      <c r="H3167" s="37" t="str">
        <f t="shared" si="247"/>
        <v>Low</v>
      </c>
      <c r="I3167">
        <v>9</v>
      </c>
      <c r="J3167" t="str" cm="1">
        <f t="array" ref="J3167">_xlfn.IFS(I3167&lt;=3,"small",I3167&lt;=6,"Medium",I3167&lt;=9,"Large")</f>
        <v>Large</v>
      </c>
      <c r="K3167" s="36">
        <v>45377</v>
      </c>
      <c r="L3167" s="36">
        <v>45384</v>
      </c>
      <c r="M3167" t="s">
        <v>598</v>
      </c>
      <c r="N3167" t="s">
        <v>608</v>
      </c>
      <c r="O3167" s="37" t="str">
        <f t="shared" si="248"/>
        <v>Cash Payment</v>
      </c>
      <c r="P3167">
        <v>83.29</v>
      </c>
      <c r="Q3167" s="37" t="str">
        <f>IF(P3167&gt;500,"High","low")</f>
        <v>low</v>
      </c>
      <c r="R3167" s="37" t="str">
        <f t="shared" si="249"/>
        <v>AVERAGE</v>
      </c>
      <c r="S3167" t="s">
        <v>605</v>
      </c>
    </row>
    <row r="3168" spans="1:19" x14ac:dyDescent="0.2">
      <c r="A3168" t="s">
        <v>3779</v>
      </c>
      <c r="B3168" t="s">
        <v>83</v>
      </c>
      <c r="C3168" t="s">
        <v>617</v>
      </c>
      <c r="D3168">
        <v>358.91</v>
      </c>
      <c r="E3168" s="37" t="str">
        <f t="shared" si="245"/>
        <v xml:space="preserve"> </v>
      </c>
      <c r="F3168">
        <v>0.22</v>
      </c>
      <c r="G3168" s="37" t="str">
        <f t="shared" si="246"/>
        <v>Normal Discount</v>
      </c>
      <c r="H3168" s="37" t="str">
        <f t="shared" si="247"/>
        <v>Medium</v>
      </c>
      <c r="I3168">
        <v>5</v>
      </c>
      <c r="J3168" t="str" cm="1">
        <f t="array" ref="J3168">_xlfn.IFS(I3168&lt;=3,"small",I3168&lt;=6,"Medium",I3168&lt;=9,"Large")</f>
        <v>Medium</v>
      </c>
      <c r="K3168" s="36">
        <v>45225</v>
      </c>
      <c r="L3168" s="36">
        <v>45227</v>
      </c>
      <c r="M3168" t="s">
        <v>603</v>
      </c>
      <c r="N3168" t="s">
        <v>599</v>
      </c>
      <c r="O3168" s="37" t="str">
        <f t="shared" si="248"/>
        <v>Digital Payment</v>
      </c>
      <c r="P3168">
        <v>19.420000000000002</v>
      </c>
      <c r="Q3168" s="37" t="str">
        <f>IF(P3168&gt;500,"High","low")</f>
        <v>low</v>
      </c>
      <c r="R3168" s="37" t="str">
        <f t="shared" si="249"/>
        <v>AVERAGE</v>
      </c>
      <c r="S3168" t="s">
        <v>620</v>
      </c>
    </row>
    <row r="3169" spans="1:19" x14ac:dyDescent="0.2">
      <c r="A3169" t="s">
        <v>3780</v>
      </c>
      <c r="B3169" t="s">
        <v>75</v>
      </c>
      <c r="C3169" t="s">
        <v>617</v>
      </c>
      <c r="D3169">
        <v>1890.2</v>
      </c>
      <c r="E3169" s="37" t="str">
        <f t="shared" si="245"/>
        <v xml:space="preserve"> </v>
      </c>
      <c r="F3169">
        <v>0.33</v>
      </c>
      <c r="G3169" s="37" t="str">
        <f t="shared" si="246"/>
        <v>Heavy Discount</v>
      </c>
      <c r="H3169" s="37" t="str">
        <f t="shared" si="247"/>
        <v>Medium</v>
      </c>
      <c r="I3169">
        <v>7</v>
      </c>
      <c r="J3169" t="str" cm="1">
        <f t="array" ref="J3169">_xlfn.IFS(I3169&lt;=3,"small",I3169&lt;=6,"Medium",I3169&lt;=9,"Large")</f>
        <v>Large</v>
      </c>
      <c r="K3169" s="36">
        <v>45477</v>
      </c>
      <c r="L3169" s="36">
        <v>45480</v>
      </c>
      <c r="M3169" t="s">
        <v>612</v>
      </c>
      <c r="N3169" t="s">
        <v>608</v>
      </c>
      <c r="O3169" s="37" t="str">
        <f t="shared" si="248"/>
        <v>Cash Payment</v>
      </c>
      <c r="P3169">
        <v>289.83</v>
      </c>
      <c r="Q3169" s="37" t="str">
        <f>IF(P3169&gt;500,"High","low")</f>
        <v>low</v>
      </c>
      <c r="R3169" s="37" t="str">
        <f t="shared" si="249"/>
        <v>AVERAGE</v>
      </c>
      <c r="S3169" t="s">
        <v>609</v>
      </c>
    </row>
    <row r="3170" spans="1:19" x14ac:dyDescent="0.2">
      <c r="A3170" t="s">
        <v>3781</v>
      </c>
      <c r="B3170" t="s">
        <v>83</v>
      </c>
      <c r="C3170" t="s">
        <v>617</v>
      </c>
      <c r="D3170">
        <v>331.98</v>
      </c>
      <c r="E3170" s="37" t="str">
        <f t="shared" si="245"/>
        <v xml:space="preserve"> </v>
      </c>
      <c r="F3170">
        <v>0.13</v>
      </c>
      <c r="G3170" s="37" t="str">
        <f t="shared" si="246"/>
        <v>Normal Discount</v>
      </c>
      <c r="H3170" s="37" t="str">
        <f t="shared" si="247"/>
        <v>Low</v>
      </c>
      <c r="I3170">
        <v>7</v>
      </c>
      <c r="J3170" t="str" cm="1">
        <f t="array" ref="J3170">_xlfn.IFS(I3170&lt;=3,"small",I3170&lt;=6,"Medium",I3170&lt;=9,"Large")</f>
        <v>Large</v>
      </c>
      <c r="K3170" s="36">
        <v>45157</v>
      </c>
      <c r="L3170" s="36">
        <v>45158</v>
      </c>
      <c r="M3170" t="s">
        <v>598</v>
      </c>
      <c r="N3170" t="s">
        <v>608</v>
      </c>
      <c r="O3170" s="37" t="str">
        <f t="shared" si="248"/>
        <v>Cash Payment</v>
      </c>
      <c r="P3170">
        <v>92.27</v>
      </c>
      <c r="Q3170" s="37" t="str">
        <f>IF(P3170&gt;500,"High","low")</f>
        <v>low</v>
      </c>
      <c r="R3170" s="37" t="str">
        <f t="shared" si="249"/>
        <v>AVERAGE</v>
      </c>
      <c r="S3170" t="s">
        <v>609</v>
      </c>
    </row>
    <row r="3171" spans="1:19" x14ac:dyDescent="0.2">
      <c r="A3171" t="s">
        <v>3782</v>
      </c>
      <c r="B3171" t="s">
        <v>67</v>
      </c>
      <c r="C3171" t="s">
        <v>617</v>
      </c>
      <c r="D3171">
        <v>610.61</v>
      </c>
      <c r="E3171" s="37" t="str">
        <f t="shared" si="245"/>
        <v xml:space="preserve"> </v>
      </c>
      <c r="F3171">
        <v>0.36</v>
      </c>
      <c r="G3171" s="37" t="str">
        <f t="shared" si="246"/>
        <v>Heavy Discount</v>
      </c>
      <c r="H3171" s="37" t="str">
        <f t="shared" si="247"/>
        <v>Medium</v>
      </c>
      <c r="I3171">
        <v>4</v>
      </c>
      <c r="J3171" t="str" cm="1">
        <f t="array" ref="J3171">_xlfn.IFS(I3171&lt;=3,"small",I3171&lt;=6,"Medium",I3171&lt;=9,"Large")</f>
        <v>Medium</v>
      </c>
      <c r="K3171" s="36">
        <v>45337</v>
      </c>
      <c r="L3171" s="36">
        <v>45339</v>
      </c>
      <c r="M3171" t="s">
        <v>612</v>
      </c>
      <c r="N3171" t="s">
        <v>608</v>
      </c>
      <c r="O3171" s="37" t="str">
        <f t="shared" si="248"/>
        <v>Cash Payment</v>
      </c>
      <c r="P3171">
        <v>153.28</v>
      </c>
      <c r="Q3171" s="37" t="str">
        <f>IF(P3171&gt;500,"High","low")</f>
        <v>low</v>
      </c>
      <c r="R3171" s="37" t="str">
        <f t="shared" si="249"/>
        <v>AVERAGE</v>
      </c>
      <c r="S3171" t="s">
        <v>620</v>
      </c>
    </row>
    <row r="3172" spans="1:19" x14ac:dyDescent="0.2">
      <c r="A3172" t="s">
        <v>3783</v>
      </c>
      <c r="B3172" t="s">
        <v>90</v>
      </c>
      <c r="C3172" t="s">
        <v>602</v>
      </c>
      <c r="D3172">
        <v>797.26</v>
      </c>
      <c r="E3172" s="37" t="str">
        <f t="shared" si="245"/>
        <v xml:space="preserve"> </v>
      </c>
      <c r="F3172">
        <v>0.24</v>
      </c>
      <c r="G3172" s="37" t="str">
        <f t="shared" si="246"/>
        <v>Normal Discount</v>
      </c>
      <c r="H3172" s="37" t="str">
        <f t="shared" si="247"/>
        <v>Medium</v>
      </c>
      <c r="I3172">
        <v>8</v>
      </c>
      <c r="J3172" t="str" cm="1">
        <f t="array" ref="J3172">_xlfn.IFS(I3172&lt;=3,"small",I3172&lt;=6,"Medium",I3172&lt;=9,"Large")</f>
        <v>Large</v>
      </c>
      <c r="K3172" s="36">
        <v>45332</v>
      </c>
      <c r="L3172" s="36">
        <v>45339</v>
      </c>
      <c r="M3172" t="s">
        <v>612</v>
      </c>
      <c r="N3172" t="s">
        <v>608</v>
      </c>
      <c r="O3172" s="37" t="str">
        <f t="shared" si="248"/>
        <v>Cash Payment</v>
      </c>
      <c r="P3172">
        <v>235.75</v>
      </c>
      <c r="Q3172" s="37" t="str">
        <f>IF(P3172&gt;500,"High","low")</f>
        <v>low</v>
      </c>
      <c r="R3172" s="37" t="str">
        <f t="shared" si="249"/>
        <v>AVERAGE</v>
      </c>
      <c r="S3172" t="s">
        <v>609</v>
      </c>
    </row>
    <row r="3173" spans="1:19" x14ac:dyDescent="0.2">
      <c r="A3173" t="s">
        <v>3784</v>
      </c>
      <c r="B3173" t="s">
        <v>90</v>
      </c>
      <c r="C3173" t="s">
        <v>614</v>
      </c>
      <c r="D3173">
        <v>109.39</v>
      </c>
      <c r="E3173" s="37" t="str">
        <f t="shared" si="245"/>
        <v xml:space="preserve"> </v>
      </c>
      <c r="F3173">
        <v>0.43</v>
      </c>
      <c r="G3173" s="37" t="str">
        <f t="shared" si="246"/>
        <v>Heavy Discount</v>
      </c>
      <c r="H3173" s="37" t="str">
        <f t="shared" si="247"/>
        <v>High</v>
      </c>
      <c r="I3173">
        <v>9</v>
      </c>
      <c r="J3173" t="str" cm="1">
        <f t="array" ref="J3173">_xlfn.IFS(I3173&lt;=3,"small",I3173&lt;=6,"Medium",I3173&lt;=9,"Large")</f>
        <v>Large</v>
      </c>
      <c r="K3173" s="36">
        <v>45240</v>
      </c>
      <c r="L3173" s="36">
        <v>45246</v>
      </c>
      <c r="M3173" t="s">
        <v>612</v>
      </c>
      <c r="N3173" t="s">
        <v>608</v>
      </c>
      <c r="O3173" s="37" t="str">
        <f t="shared" si="248"/>
        <v>Cash Payment</v>
      </c>
      <c r="P3173">
        <v>27.56</v>
      </c>
      <c r="Q3173" s="37" t="str">
        <f>IF(P3173&gt;500,"High","low")</f>
        <v>low</v>
      </c>
      <c r="R3173" s="37" t="str">
        <f t="shared" si="249"/>
        <v>AVERAGE</v>
      </c>
      <c r="S3173" t="s">
        <v>620</v>
      </c>
    </row>
    <row r="3174" spans="1:19" x14ac:dyDescent="0.2">
      <c r="A3174" t="s">
        <v>3785</v>
      </c>
      <c r="B3174" t="s">
        <v>75</v>
      </c>
      <c r="C3174" t="s">
        <v>614</v>
      </c>
      <c r="D3174">
        <v>850.94</v>
      </c>
      <c r="E3174" s="37" t="str">
        <f t="shared" si="245"/>
        <v xml:space="preserve"> </v>
      </c>
      <c r="F3174">
        <v>0.08</v>
      </c>
      <c r="G3174" s="37" t="str">
        <f t="shared" si="246"/>
        <v>Normal Discount</v>
      </c>
      <c r="H3174" s="37" t="str">
        <f t="shared" si="247"/>
        <v>Low</v>
      </c>
      <c r="I3174">
        <v>4</v>
      </c>
      <c r="J3174" t="str" cm="1">
        <f t="array" ref="J3174">_xlfn.IFS(I3174&lt;=3,"small",I3174&lt;=6,"Medium",I3174&lt;=9,"Large")</f>
        <v>Medium</v>
      </c>
      <c r="K3174" s="36">
        <v>45133</v>
      </c>
      <c r="L3174" s="36">
        <v>45134</v>
      </c>
      <c r="M3174" t="s">
        <v>603</v>
      </c>
      <c r="N3174" t="s">
        <v>604</v>
      </c>
      <c r="O3174" s="37" t="str">
        <f t="shared" si="248"/>
        <v>Digital Payment</v>
      </c>
      <c r="P3174">
        <v>197.74</v>
      </c>
      <c r="Q3174" s="37" t="str">
        <f>IF(P3174&gt;500,"High","low")</f>
        <v>low</v>
      </c>
      <c r="R3174" s="37" t="str">
        <f t="shared" si="249"/>
        <v>AVERAGE</v>
      </c>
      <c r="S3174" t="s">
        <v>620</v>
      </c>
    </row>
    <row r="3175" spans="1:19" x14ac:dyDescent="0.2">
      <c r="A3175" t="s">
        <v>3786</v>
      </c>
      <c r="B3175" t="s">
        <v>83</v>
      </c>
      <c r="C3175" t="s">
        <v>597</v>
      </c>
      <c r="D3175">
        <v>2928.67</v>
      </c>
      <c r="E3175" s="37" t="str">
        <f t="shared" si="245"/>
        <v xml:space="preserve"> </v>
      </c>
      <c r="F3175">
        <v>0.38</v>
      </c>
      <c r="G3175" s="37" t="str">
        <f t="shared" si="246"/>
        <v>Heavy Discount</v>
      </c>
      <c r="H3175" s="37" t="str">
        <f t="shared" si="247"/>
        <v>Medium</v>
      </c>
      <c r="I3175">
        <v>2</v>
      </c>
      <c r="J3175" t="str" cm="1">
        <f t="array" ref="J3175">_xlfn.IFS(I3175&lt;=3,"small",I3175&lt;=6,"Medium",I3175&lt;=9,"Large")</f>
        <v>small</v>
      </c>
      <c r="K3175" s="36">
        <v>45478</v>
      </c>
      <c r="L3175" s="36">
        <v>45481</v>
      </c>
      <c r="M3175" t="s">
        <v>598</v>
      </c>
      <c r="N3175" t="s">
        <v>608</v>
      </c>
      <c r="O3175" s="37" t="str">
        <f t="shared" si="248"/>
        <v>Cash Payment</v>
      </c>
      <c r="P3175">
        <v>210.05</v>
      </c>
      <c r="Q3175" s="37" t="str">
        <f>IF(P3175&gt;500,"High","low")</f>
        <v>low</v>
      </c>
      <c r="R3175" s="37" t="str">
        <f t="shared" si="249"/>
        <v>AVERAGE</v>
      </c>
      <c r="S3175" t="s">
        <v>628</v>
      </c>
    </row>
    <row r="3176" spans="1:19" x14ac:dyDescent="0.2">
      <c r="A3176" t="s">
        <v>3787</v>
      </c>
      <c r="B3176" t="s">
        <v>90</v>
      </c>
      <c r="C3176" t="s">
        <v>602</v>
      </c>
      <c r="D3176">
        <v>4115.66</v>
      </c>
      <c r="E3176" s="37" t="str">
        <f t="shared" si="245"/>
        <v>Excellent Order</v>
      </c>
      <c r="F3176">
        <v>0.47</v>
      </c>
      <c r="G3176" s="37" t="str">
        <f t="shared" si="246"/>
        <v>Heavy Discount</v>
      </c>
      <c r="H3176" s="37" t="str">
        <f t="shared" si="247"/>
        <v>High</v>
      </c>
      <c r="I3176">
        <v>4</v>
      </c>
      <c r="J3176" t="str" cm="1">
        <f t="array" ref="J3176">_xlfn.IFS(I3176&lt;=3,"small",I3176&lt;=6,"Medium",I3176&lt;=9,"Large")</f>
        <v>Medium</v>
      </c>
      <c r="K3176" s="36">
        <v>45544</v>
      </c>
      <c r="L3176" s="36">
        <v>45545</v>
      </c>
      <c r="M3176" t="s">
        <v>598</v>
      </c>
      <c r="N3176" t="s">
        <v>608</v>
      </c>
      <c r="O3176" s="37" t="str">
        <f t="shared" si="248"/>
        <v>Cash Payment</v>
      </c>
      <c r="P3176">
        <v>1213.8</v>
      </c>
      <c r="Q3176" s="37" t="str">
        <f>IF(P3176&gt;500,"High","low")</f>
        <v>High</v>
      </c>
      <c r="R3176" s="37" t="str">
        <f t="shared" si="249"/>
        <v>Excellent</v>
      </c>
      <c r="S3176" t="s">
        <v>600</v>
      </c>
    </row>
    <row r="3177" spans="1:19" x14ac:dyDescent="0.2">
      <c r="A3177" t="s">
        <v>3788</v>
      </c>
      <c r="B3177" t="s">
        <v>83</v>
      </c>
      <c r="C3177" t="s">
        <v>617</v>
      </c>
      <c r="D3177">
        <v>1047.81</v>
      </c>
      <c r="E3177" s="37" t="str">
        <f t="shared" si="245"/>
        <v xml:space="preserve"> </v>
      </c>
      <c r="F3177">
        <v>0.37</v>
      </c>
      <c r="G3177" s="37" t="str">
        <f t="shared" si="246"/>
        <v>Heavy Discount</v>
      </c>
      <c r="H3177" s="37" t="str">
        <f t="shared" si="247"/>
        <v>Medium</v>
      </c>
      <c r="I3177">
        <v>2</v>
      </c>
      <c r="J3177" t="str" cm="1">
        <f t="array" ref="J3177">_xlfn.IFS(I3177&lt;=3,"small",I3177&lt;=6,"Medium",I3177&lt;=9,"Large")</f>
        <v>small</v>
      </c>
      <c r="K3177" s="36">
        <v>45214</v>
      </c>
      <c r="L3177" s="36">
        <v>45219</v>
      </c>
      <c r="M3177" t="s">
        <v>598</v>
      </c>
      <c r="N3177" t="s">
        <v>604</v>
      </c>
      <c r="O3177" s="37" t="str">
        <f t="shared" si="248"/>
        <v>Digital Payment</v>
      </c>
      <c r="P3177">
        <v>128.88</v>
      </c>
      <c r="Q3177" s="37" t="str">
        <f>IF(P3177&gt;500,"High","low")</f>
        <v>low</v>
      </c>
      <c r="R3177" s="37" t="str">
        <f t="shared" si="249"/>
        <v>AVERAGE</v>
      </c>
      <c r="S3177" t="s">
        <v>620</v>
      </c>
    </row>
    <row r="3178" spans="1:19" x14ac:dyDescent="0.2">
      <c r="A3178" t="s">
        <v>3789</v>
      </c>
      <c r="B3178" t="s">
        <v>83</v>
      </c>
      <c r="C3178" t="s">
        <v>614</v>
      </c>
      <c r="D3178">
        <v>496.28</v>
      </c>
      <c r="E3178" s="37" t="str">
        <f t="shared" si="245"/>
        <v xml:space="preserve"> </v>
      </c>
      <c r="F3178">
        <v>0.2</v>
      </c>
      <c r="G3178" s="37" t="str">
        <f t="shared" si="246"/>
        <v>Normal Discount</v>
      </c>
      <c r="H3178" s="37" t="str">
        <f t="shared" si="247"/>
        <v>Medium</v>
      </c>
      <c r="I3178">
        <v>1</v>
      </c>
      <c r="J3178" t="str" cm="1">
        <f t="array" ref="J3178">_xlfn.IFS(I3178&lt;=3,"small",I3178&lt;=6,"Medium",I3178&lt;=9,"Large")</f>
        <v>small</v>
      </c>
      <c r="K3178" s="36">
        <v>44984</v>
      </c>
      <c r="L3178" s="36">
        <v>44989</v>
      </c>
      <c r="M3178" t="s">
        <v>603</v>
      </c>
      <c r="N3178" t="s">
        <v>608</v>
      </c>
      <c r="O3178" s="37" t="str">
        <f t="shared" si="248"/>
        <v>Cash Payment</v>
      </c>
      <c r="P3178">
        <v>55.06</v>
      </c>
      <c r="Q3178" s="37" t="str">
        <f>IF(P3178&gt;500,"High","low")</f>
        <v>low</v>
      </c>
      <c r="R3178" s="37" t="str">
        <f t="shared" si="249"/>
        <v>AVERAGE</v>
      </c>
      <c r="S3178" t="s">
        <v>615</v>
      </c>
    </row>
    <row r="3179" spans="1:19" x14ac:dyDescent="0.2">
      <c r="A3179" t="s">
        <v>3790</v>
      </c>
      <c r="B3179" t="s">
        <v>75</v>
      </c>
      <c r="C3179" t="s">
        <v>607</v>
      </c>
      <c r="D3179">
        <v>3674.62</v>
      </c>
      <c r="E3179" s="37" t="str">
        <f t="shared" si="245"/>
        <v xml:space="preserve"> </v>
      </c>
      <c r="F3179">
        <v>0.12</v>
      </c>
      <c r="G3179" s="37" t="str">
        <f t="shared" si="246"/>
        <v>Normal Discount</v>
      </c>
      <c r="H3179" s="37" t="str">
        <f t="shared" si="247"/>
        <v>Low</v>
      </c>
      <c r="I3179">
        <v>1</v>
      </c>
      <c r="J3179" t="str" cm="1">
        <f t="array" ref="J3179">_xlfn.IFS(I3179&lt;=3,"small",I3179&lt;=6,"Medium",I3179&lt;=9,"Large")</f>
        <v>small</v>
      </c>
      <c r="K3179" s="36">
        <v>45277</v>
      </c>
      <c r="L3179" s="36">
        <v>45283</v>
      </c>
      <c r="M3179" t="s">
        <v>603</v>
      </c>
      <c r="N3179" t="s">
        <v>608</v>
      </c>
      <c r="O3179" s="37" t="str">
        <f t="shared" si="248"/>
        <v>Cash Payment</v>
      </c>
      <c r="P3179">
        <v>210.69</v>
      </c>
      <c r="Q3179" s="37" t="str">
        <f>IF(P3179&gt;500,"High","low")</f>
        <v>low</v>
      </c>
      <c r="R3179" s="37" t="str">
        <f t="shared" si="249"/>
        <v>AVERAGE</v>
      </c>
      <c r="S3179" t="s">
        <v>605</v>
      </c>
    </row>
    <row r="3180" spans="1:19" x14ac:dyDescent="0.2">
      <c r="A3180" t="s">
        <v>3791</v>
      </c>
      <c r="B3180" t="s">
        <v>90</v>
      </c>
      <c r="C3180" t="s">
        <v>607</v>
      </c>
      <c r="D3180">
        <v>140</v>
      </c>
      <c r="E3180" s="37" t="str">
        <f t="shared" si="245"/>
        <v xml:space="preserve"> </v>
      </c>
      <c r="F3180">
        <v>0.05</v>
      </c>
      <c r="G3180" s="37" t="str">
        <f t="shared" si="246"/>
        <v>Normal Discount</v>
      </c>
      <c r="H3180" s="37" t="str">
        <f t="shared" si="247"/>
        <v>Low</v>
      </c>
      <c r="I3180">
        <v>4</v>
      </c>
      <c r="J3180" t="str" cm="1">
        <f t="array" ref="J3180">_xlfn.IFS(I3180&lt;=3,"small",I3180&lt;=6,"Medium",I3180&lt;=9,"Large")</f>
        <v>Medium</v>
      </c>
      <c r="K3180" s="36">
        <v>45426</v>
      </c>
      <c r="L3180" s="36">
        <v>45429</v>
      </c>
      <c r="M3180" t="s">
        <v>603</v>
      </c>
      <c r="N3180" t="s">
        <v>599</v>
      </c>
      <c r="O3180" s="37" t="str">
        <f t="shared" si="248"/>
        <v>Digital Payment</v>
      </c>
      <c r="P3180">
        <v>21.05</v>
      </c>
      <c r="Q3180" s="37" t="str">
        <f>IF(P3180&gt;500,"High","low")</f>
        <v>low</v>
      </c>
      <c r="R3180" s="37" t="str">
        <f t="shared" si="249"/>
        <v>AVERAGE</v>
      </c>
      <c r="S3180" t="s">
        <v>620</v>
      </c>
    </row>
    <row r="3181" spans="1:19" x14ac:dyDescent="0.2">
      <c r="A3181" t="s">
        <v>3792</v>
      </c>
      <c r="B3181" t="s">
        <v>75</v>
      </c>
      <c r="C3181" t="s">
        <v>607</v>
      </c>
      <c r="D3181">
        <v>3697.39</v>
      </c>
      <c r="E3181" s="37" t="str">
        <f t="shared" si="245"/>
        <v xml:space="preserve"> </v>
      </c>
      <c r="F3181">
        <v>0.32</v>
      </c>
      <c r="G3181" s="37" t="str">
        <f t="shared" si="246"/>
        <v>Heavy Discount</v>
      </c>
      <c r="H3181" s="37" t="str">
        <f t="shared" si="247"/>
        <v>Medium</v>
      </c>
      <c r="I3181">
        <v>9</v>
      </c>
      <c r="J3181" t="str" cm="1">
        <f t="array" ref="J3181">_xlfn.IFS(I3181&lt;=3,"small",I3181&lt;=6,"Medium",I3181&lt;=9,"Large")</f>
        <v>Large</v>
      </c>
      <c r="K3181" s="36">
        <v>44982</v>
      </c>
      <c r="L3181" s="36">
        <v>44986</v>
      </c>
      <c r="M3181" t="s">
        <v>603</v>
      </c>
      <c r="N3181" t="s">
        <v>599</v>
      </c>
      <c r="O3181" s="37" t="str">
        <f t="shared" si="248"/>
        <v>Digital Payment</v>
      </c>
      <c r="P3181">
        <v>1011.86</v>
      </c>
      <c r="Q3181" s="37" t="str">
        <f>IF(P3181&gt;500,"High","low")</f>
        <v>High</v>
      </c>
      <c r="R3181" s="37" t="str">
        <f t="shared" si="249"/>
        <v>Excellent</v>
      </c>
      <c r="S3181" t="s">
        <v>605</v>
      </c>
    </row>
    <row r="3182" spans="1:19" x14ac:dyDescent="0.2">
      <c r="A3182" t="s">
        <v>3793</v>
      </c>
      <c r="B3182" t="s">
        <v>75</v>
      </c>
      <c r="C3182" t="s">
        <v>617</v>
      </c>
      <c r="D3182">
        <v>742.47</v>
      </c>
      <c r="E3182" s="37" t="str">
        <f t="shared" si="245"/>
        <v xml:space="preserve"> </v>
      </c>
      <c r="F3182">
        <v>7.0000000000000007E-2</v>
      </c>
      <c r="G3182" s="37" t="str">
        <f t="shared" si="246"/>
        <v>Normal Discount</v>
      </c>
      <c r="H3182" s="37" t="str">
        <f t="shared" si="247"/>
        <v>Low</v>
      </c>
      <c r="I3182">
        <v>9</v>
      </c>
      <c r="J3182" t="str" cm="1">
        <f t="array" ref="J3182">_xlfn.IFS(I3182&lt;=3,"small",I3182&lt;=6,"Medium",I3182&lt;=9,"Large")</f>
        <v>Large</v>
      </c>
      <c r="K3182" s="36">
        <v>45029</v>
      </c>
      <c r="L3182" s="36">
        <v>45033</v>
      </c>
      <c r="M3182" t="s">
        <v>598</v>
      </c>
      <c r="N3182" t="s">
        <v>599</v>
      </c>
      <c r="O3182" s="37" t="str">
        <f t="shared" si="248"/>
        <v>Digital Payment</v>
      </c>
      <c r="P3182">
        <v>179.95</v>
      </c>
      <c r="Q3182" s="37" t="str">
        <f>IF(P3182&gt;500,"High","low")</f>
        <v>low</v>
      </c>
      <c r="R3182" s="37" t="str">
        <f t="shared" si="249"/>
        <v>AVERAGE</v>
      </c>
      <c r="S3182" t="s">
        <v>605</v>
      </c>
    </row>
    <row r="3183" spans="1:19" x14ac:dyDescent="0.2">
      <c r="A3183" t="s">
        <v>3794</v>
      </c>
      <c r="B3183" t="s">
        <v>90</v>
      </c>
      <c r="C3183" t="s">
        <v>617</v>
      </c>
      <c r="D3183">
        <v>1218.5999999999999</v>
      </c>
      <c r="E3183" s="37" t="str">
        <f t="shared" si="245"/>
        <v xml:space="preserve"> </v>
      </c>
      <c r="F3183">
        <v>0.42</v>
      </c>
      <c r="G3183" s="37" t="str">
        <f t="shared" si="246"/>
        <v>Heavy Discount</v>
      </c>
      <c r="H3183" s="37" t="str">
        <f t="shared" si="247"/>
        <v>High</v>
      </c>
      <c r="I3183">
        <v>7</v>
      </c>
      <c r="J3183" t="str" cm="1">
        <f t="array" ref="J3183">_xlfn.IFS(I3183&lt;=3,"small",I3183&lt;=6,"Medium",I3183&lt;=9,"Large")</f>
        <v>Large</v>
      </c>
      <c r="K3183" s="36">
        <v>45301</v>
      </c>
      <c r="L3183" s="36">
        <v>45303</v>
      </c>
      <c r="M3183" t="s">
        <v>603</v>
      </c>
      <c r="N3183" t="s">
        <v>604</v>
      </c>
      <c r="O3183" s="37" t="str">
        <f t="shared" si="248"/>
        <v>Digital Payment</v>
      </c>
      <c r="P3183">
        <v>239.52</v>
      </c>
      <c r="Q3183" s="37" t="str">
        <f>IF(P3183&gt;500,"High","low")</f>
        <v>low</v>
      </c>
      <c r="R3183" s="37" t="str">
        <f t="shared" si="249"/>
        <v>AVERAGE</v>
      </c>
      <c r="S3183" t="s">
        <v>628</v>
      </c>
    </row>
    <row r="3184" spans="1:19" x14ac:dyDescent="0.2">
      <c r="A3184" t="s">
        <v>3795</v>
      </c>
      <c r="B3184" t="s">
        <v>90</v>
      </c>
      <c r="C3184" t="s">
        <v>597</v>
      </c>
      <c r="D3184">
        <v>688.34</v>
      </c>
      <c r="E3184" s="37" t="str">
        <f t="shared" si="245"/>
        <v xml:space="preserve"> </v>
      </c>
      <c r="F3184">
        <v>0.48</v>
      </c>
      <c r="G3184" s="37" t="str">
        <f t="shared" si="246"/>
        <v>Heavy Discount</v>
      </c>
      <c r="H3184" s="37" t="str">
        <f t="shared" si="247"/>
        <v>High</v>
      </c>
      <c r="I3184">
        <v>5</v>
      </c>
      <c r="J3184" t="str" cm="1">
        <f t="array" ref="J3184">_xlfn.IFS(I3184&lt;=3,"small",I3184&lt;=6,"Medium",I3184&lt;=9,"Large")</f>
        <v>Medium</v>
      </c>
      <c r="K3184" s="36">
        <v>44978</v>
      </c>
      <c r="L3184" s="36">
        <v>44984</v>
      </c>
      <c r="M3184" t="s">
        <v>612</v>
      </c>
      <c r="N3184" t="s">
        <v>599</v>
      </c>
      <c r="O3184" s="37" t="str">
        <f t="shared" si="248"/>
        <v>Digital Payment</v>
      </c>
      <c r="P3184">
        <v>162.93</v>
      </c>
      <c r="Q3184" s="37" t="str">
        <f>IF(P3184&gt;500,"High","low")</f>
        <v>low</v>
      </c>
      <c r="R3184" s="37" t="str">
        <f t="shared" si="249"/>
        <v>AVERAGE</v>
      </c>
      <c r="S3184" t="s">
        <v>605</v>
      </c>
    </row>
    <row r="3185" spans="1:19" x14ac:dyDescent="0.2">
      <c r="A3185" t="s">
        <v>3796</v>
      </c>
      <c r="B3185" t="s">
        <v>67</v>
      </c>
      <c r="C3185" t="s">
        <v>597</v>
      </c>
      <c r="D3185">
        <v>1311.96</v>
      </c>
      <c r="E3185" s="37" t="str">
        <f t="shared" si="245"/>
        <v xml:space="preserve"> </v>
      </c>
      <c r="F3185">
        <v>7.0000000000000007E-2</v>
      </c>
      <c r="G3185" s="37" t="str">
        <f t="shared" si="246"/>
        <v>Normal Discount</v>
      </c>
      <c r="H3185" s="37" t="str">
        <f t="shared" si="247"/>
        <v>Low</v>
      </c>
      <c r="I3185">
        <v>6</v>
      </c>
      <c r="J3185" t="str" cm="1">
        <f t="array" ref="J3185">_xlfn.IFS(I3185&lt;=3,"small",I3185&lt;=6,"Medium",I3185&lt;=9,"Large")</f>
        <v>Medium</v>
      </c>
      <c r="K3185" s="36">
        <v>45155</v>
      </c>
      <c r="L3185" s="36">
        <v>45160</v>
      </c>
      <c r="M3185" t="s">
        <v>598</v>
      </c>
      <c r="N3185" t="s">
        <v>608</v>
      </c>
      <c r="O3185" s="37" t="str">
        <f t="shared" si="248"/>
        <v>Cash Payment</v>
      </c>
      <c r="P3185">
        <v>82.92</v>
      </c>
      <c r="Q3185" s="37" t="str">
        <f>IF(P3185&gt;500,"High","low")</f>
        <v>low</v>
      </c>
      <c r="R3185" s="37" t="str">
        <f t="shared" si="249"/>
        <v>AVERAGE</v>
      </c>
      <c r="S3185" t="s">
        <v>620</v>
      </c>
    </row>
    <row r="3186" spans="1:19" x14ac:dyDescent="0.2">
      <c r="A3186" t="s">
        <v>3797</v>
      </c>
      <c r="B3186" t="s">
        <v>67</v>
      </c>
      <c r="C3186" t="s">
        <v>597</v>
      </c>
      <c r="D3186">
        <v>4011.06</v>
      </c>
      <c r="E3186" s="37" t="str">
        <f t="shared" si="245"/>
        <v xml:space="preserve"> </v>
      </c>
      <c r="F3186">
        <v>0.19</v>
      </c>
      <c r="G3186" s="37" t="str">
        <f t="shared" si="246"/>
        <v>Normal Discount</v>
      </c>
      <c r="H3186" s="37" t="str">
        <f t="shared" si="247"/>
        <v>Low</v>
      </c>
      <c r="I3186">
        <v>1</v>
      </c>
      <c r="J3186" t="str" cm="1">
        <f t="array" ref="J3186">_xlfn.IFS(I3186&lt;=3,"small",I3186&lt;=6,"Medium",I3186&lt;=9,"Large")</f>
        <v>small</v>
      </c>
      <c r="K3186" s="36">
        <v>45646</v>
      </c>
      <c r="L3186" s="36">
        <v>45648</v>
      </c>
      <c r="M3186" t="s">
        <v>603</v>
      </c>
      <c r="N3186" t="s">
        <v>599</v>
      </c>
      <c r="O3186" s="37" t="str">
        <f t="shared" si="248"/>
        <v>Digital Payment</v>
      </c>
      <c r="P3186">
        <v>389.11</v>
      </c>
      <c r="Q3186" s="37" t="str">
        <f>IF(P3186&gt;500,"High","low")</f>
        <v>low</v>
      </c>
      <c r="R3186" s="37" t="str">
        <f t="shared" si="249"/>
        <v>AVERAGE</v>
      </c>
      <c r="S3186" t="s">
        <v>620</v>
      </c>
    </row>
    <row r="3187" spans="1:19" x14ac:dyDescent="0.2">
      <c r="A3187" t="s">
        <v>3798</v>
      </c>
      <c r="B3187" t="s">
        <v>83</v>
      </c>
      <c r="C3187" t="s">
        <v>607</v>
      </c>
      <c r="D3187">
        <v>749.47</v>
      </c>
      <c r="E3187" s="37" t="str">
        <f t="shared" si="245"/>
        <v xml:space="preserve"> </v>
      </c>
      <c r="F3187">
        <v>0.47</v>
      </c>
      <c r="G3187" s="37" t="str">
        <f t="shared" si="246"/>
        <v>Heavy Discount</v>
      </c>
      <c r="H3187" s="37" t="str">
        <f t="shared" si="247"/>
        <v>High</v>
      </c>
      <c r="I3187">
        <v>3</v>
      </c>
      <c r="J3187" t="str" cm="1">
        <f t="array" ref="J3187">_xlfn.IFS(I3187&lt;=3,"small",I3187&lt;=6,"Medium",I3187&lt;=9,"Large")</f>
        <v>small</v>
      </c>
      <c r="K3187" s="36">
        <v>45210</v>
      </c>
      <c r="L3187" s="36">
        <v>45213</v>
      </c>
      <c r="M3187" t="s">
        <v>603</v>
      </c>
      <c r="N3187" t="s">
        <v>608</v>
      </c>
      <c r="O3187" s="37" t="str">
        <f t="shared" si="248"/>
        <v>Cash Payment</v>
      </c>
      <c r="P3187">
        <v>125.18</v>
      </c>
      <c r="Q3187" s="37" t="str">
        <f>IF(P3187&gt;500,"High","low")</f>
        <v>low</v>
      </c>
      <c r="R3187" s="37" t="str">
        <f t="shared" si="249"/>
        <v>AVERAGE</v>
      </c>
      <c r="S3187" t="s">
        <v>628</v>
      </c>
    </row>
    <row r="3188" spans="1:19" x14ac:dyDescent="0.2">
      <c r="A3188" t="s">
        <v>3799</v>
      </c>
      <c r="B3188" t="s">
        <v>90</v>
      </c>
      <c r="C3188" t="s">
        <v>617</v>
      </c>
      <c r="D3188">
        <v>4971.41</v>
      </c>
      <c r="E3188" s="37" t="str">
        <f t="shared" si="245"/>
        <v>Excellent Order</v>
      </c>
      <c r="F3188">
        <v>0.24</v>
      </c>
      <c r="G3188" s="37" t="str">
        <f t="shared" si="246"/>
        <v>Normal Discount</v>
      </c>
      <c r="H3188" s="37" t="str">
        <f t="shared" si="247"/>
        <v>Medium</v>
      </c>
      <c r="I3188">
        <v>1</v>
      </c>
      <c r="J3188" t="str" cm="1">
        <f t="array" ref="J3188">_xlfn.IFS(I3188&lt;=3,"small",I3188&lt;=6,"Medium",I3188&lt;=9,"Large")</f>
        <v>small</v>
      </c>
      <c r="K3188" s="36">
        <v>45022</v>
      </c>
      <c r="L3188" s="36">
        <v>45029</v>
      </c>
      <c r="M3188" t="s">
        <v>612</v>
      </c>
      <c r="N3188" t="s">
        <v>608</v>
      </c>
      <c r="O3188" s="37" t="str">
        <f t="shared" si="248"/>
        <v>Cash Payment</v>
      </c>
      <c r="P3188">
        <v>1080.08</v>
      </c>
      <c r="Q3188" s="37" t="str">
        <f>IF(P3188&gt;500,"High","low")</f>
        <v>High</v>
      </c>
      <c r="R3188" s="37" t="str">
        <f t="shared" si="249"/>
        <v>Excellent</v>
      </c>
      <c r="S3188" t="s">
        <v>600</v>
      </c>
    </row>
    <row r="3189" spans="1:19" x14ac:dyDescent="0.2">
      <c r="A3189" t="s">
        <v>3800</v>
      </c>
      <c r="B3189" t="s">
        <v>67</v>
      </c>
      <c r="C3189" t="s">
        <v>607</v>
      </c>
      <c r="D3189">
        <v>1702.78</v>
      </c>
      <c r="E3189" s="37" t="str">
        <f t="shared" si="245"/>
        <v xml:space="preserve"> </v>
      </c>
      <c r="F3189">
        <v>0.27</v>
      </c>
      <c r="G3189" s="37" t="str">
        <f t="shared" si="246"/>
        <v>Normal Discount</v>
      </c>
      <c r="H3189" s="37" t="str">
        <f t="shared" si="247"/>
        <v>Medium</v>
      </c>
      <c r="I3189">
        <v>5</v>
      </c>
      <c r="J3189" t="str" cm="1">
        <f t="array" ref="J3189">_xlfn.IFS(I3189&lt;=3,"small",I3189&lt;=6,"Medium",I3189&lt;=9,"Large")</f>
        <v>Medium</v>
      </c>
      <c r="K3189" s="36">
        <v>45334</v>
      </c>
      <c r="L3189" s="36">
        <v>45335</v>
      </c>
      <c r="M3189" t="s">
        <v>612</v>
      </c>
      <c r="N3189" t="s">
        <v>608</v>
      </c>
      <c r="O3189" s="37" t="str">
        <f t="shared" si="248"/>
        <v>Cash Payment</v>
      </c>
      <c r="P3189">
        <v>327.33999999999997</v>
      </c>
      <c r="Q3189" s="37" t="str">
        <f>IF(P3189&gt;500,"High","low")</f>
        <v>low</v>
      </c>
      <c r="R3189" s="37" t="str">
        <f t="shared" si="249"/>
        <v>AVERAGE</v>
      </c>
      <c r="S3189" t="s">
        <v>605</v>
      </c>
    </row>
    <row r="3190" spans="1:19" x14ac:dyDescent="0.2">
      <c r="A3190" t="s">
        <v>3801</v>
      </c>
      <c r="B3190" t="s">
        <v>83</v>
      </c>
      <c r="C3190" t="s">
        <v>597</v>
      </c>
      <c r="D3190">
        <v>4617.6400000000003</v>
      </c>
      <c r="E3190" s="37" t="str">
        <f t="shared" si="245"/>
        <v xml:space="preserve"> </v>
      </c>
      <c r="F3190">
        <v>0.37</v>
      </c>
      <c r="G3190" s="37" t="str">
        <f t="shared" si="246"/>
        <v>Heavy Discount</v>
      </c>
      <c r="H3190" s="37" t="str">
        <f t="shared" si="247"/>
        <v>Medium</v>
      </c>
      <c r="I3190">
        <v>4</v>
      </c>
      <c r="J3190" t="str" cm="1">
        <f t="array" ref="J3190">_xlfn.IFS(I3190&lt;=3,"small",I3190&lt;=6,"Medium",I3190&lt;=9,"Large")</f>
        <v>Medium</v>
      </c>
      <c r="K3190" s="36">
        <v>45308</v>
      </c>
      <c r="L3190" s="36">
        <v>45314</v>
      </c>
      <c r="M3190" t="s">
        <v>612</v>
      </c>
      <c r="N3190" t="s">
        <v>604</v>
      </c>
      <c r="O3190" s="37" t="str">
        <f t="shared" si="248"/>
        <v>Digital Payment</v>
      </c>
      <c r="P3190">
        <v>408.3</v>
      </c>
      <c r="Q3190" s="37" t="str">
        <f>IF(P3190&gt;500,"High","low")</f>
        <v>low</v>
      </c>
      <c r="R3190" s="37" t="str">
        <f t="shared" si="249"/>
        <v>AVERAGE</v>
      </c>
      <c r="S3190" t="s">
        <v>609</v>
      </c>
    </row>
    <row r="3191" spans="1:19" x14ac:dyDescent="0.2">
      <c r="A3191" t="s">
        <v>3802</v>
      </c>
      <c r="B3191" t="s">
        <v>83</v>
      </c>
      <c r="C3191" t="s">
        <v>617</v>
      </c>
      <c r="D3191">
        <v>1031.1600000000001</v>
      </c>
      <c r="E3191" s="37" t="str">
        <f t="shared" si="245"/>
        <v xml:space="preserve"> </v>
      </c>
      <c r="F3191">
        <v>0.11</v>
      </c>
      <c r="G3191" s="37" t="str">
        <f t="shared" si="246"/>
        <v>Normal Discount</v>
      </c>
      <c r="H3191" s="37" t="str">
        <f t="shared" si="247"/>
        <v>Low</v>
      </c>
      <c r="I3191">
        <v>3</v>
      </c>
      <c r="J3191" t="str" cm="1">
        <f t="array" ref="J3191">_xlfn.IFS(I3191&lt;=3,"small",I3191&lt;=6,"Medium",I3191&lt;=9,"Large")</f>
        <v>small</v>
      </c>
      <c r="K3191" s="36">
        <v>45603</v>
      </c>
      <c r="L3191" s="36">
        <v>45609</v>
      </c>
      <c r="M3191" t="s">
        <v>612</v>
      </c>
      <c r="N3191" t="s">
        <v>604</v>
      </c>
      <c r="O3191" s="37" t="str">
        <f t="shared" si="248"/>
        <v>Digital Payment</v>
      </c>
      <c r="P3191">
        <v>263.38</v>
      </c>
      <c r="Q3191" s="37" t="str">
        <f>IF(P3191&gt;500,"High","low")</f>
        <v>low</v>
      </c>
      <c r="R3191" s="37" t="str">
        <f t="shared" si="249"/>
        <v>AVERAGE</v>
      </c>
      <c r="S3191" t="s">
        <v>628</v>
      </c>
    </row>
    <row r="3192" spans="1:19" x14ac:dyDescent="0.2">
      <c r="A3192" t="s">
        <v>3803</v>
      </c>
      <c r="B3192" t="s">
        <v>83</v>
      </c>
      <c r="C3192" t="s">
        <v>602</v>
      </c>
      <c r="D3192">
        <v>1020.7</v>
      </c>
      <c r="E3192" s="37" t="str">
        <f t="shared" si="245"/>
        <v xml:space="preserve"> </v>
      </c>
      <c r="F3192">
        <v>0.49</v>
      </c>
      <c r="G3192" s="37" t="str">
        <f t="shared" si="246"/>
        <v>Heavy Discount</v>
      </c>
      <c r="H3192" s="37" t="str">
        <f t="shared" si="247"/>
        <v>High</v>
      </c>
      <c r="I3192">
        <v>6</v>
      </c>
      <c r="J3192" t="str" cm="1">
        <f t="array" ref="J3192">_xlfn.IFS(I3192&lt;=3,"small",I3192&lt;=6,"Medium",I3192&lt;=9,"Large")</f>
        <v>Medium</v>
      </c>
      <c r="K3192" s="36">
        <v>45628</v>
      </c>
      <c r="L3192" s="36">
        <v>45633</v>
      </c>
      <c r="M3192" t="s">
        <v>598</v>
      </c>
      <c r="N3192" t="s">
        <v>608</v>
      </c>
      <c r="O3192" s="37" t="str">
        <f t="shared" si="248"/>
        <v>Cash Payment</v>
      </c>
      <c r="P3192">
        <v>85.67</v>
      </c>
      <c r="Q3192" s="37" t="str">
        <f>IF(P3192&gt;500,"High","low")</f>
        <v>low</v>
      </c>
      <c r="R3192" s="37" t="str">
        <f t="shared" si="249"/>
        <v>AVERAGE</v>
      </c>
      <c r="S3192" t="s">
        <v>605</v>
      </c>
    </row>
    <row r="3193" spans="1:19" x14ac:dyDescent="0.2">
      <c r="A3193" t="s">
        <v>3804</v>
      </c>
      <c r="B3193" t="s">
        <v>67</v>
      </c>
      <c r="C3193" t="s">
        <v>614</v>
      </c>
      <c r="D3193">
        <v>2870.14</v>
      </c>
      <c r="E3193" s="37" t="str">
        <f t="shared" si="245"/>
        <v xml:space="preserve"> </v>
      </c>
      <c r="F3193">
        <v>0.39</v>
      </c>
      <c r="G3193" s="37" t="str">
        <f t="shared" si="246"/>
        <v>Heavy Discount</v>
      </c>
      <c r="H3193" s="37" t="str">
        <f t="shared" si="247"/>
        <v>Medium</v>
      </c>
      <c r="I3193">
        <v>6</v>
      </c>
      <c r="J3193" t="str" cm="1">
        <f t="array" ref="J3193">_xlfn.IFS(I3193&lt;=3,"small",I3193&lt;=6,"Medium",I3193&lt;=9,"Large")</f>
        <v>Medium</v>
      </c>
      <c r="K3193" s="36">
        <v>44931</v>
      </c>
      <c r="L3193" s="36">
        <v>44935</v>
      </c>
      <c r="M3193" t="s">
        <v>612</v>
      </c>
      <c r="N3193" t="s">
        <v>608</v>
      </c>
      <c r="O3193" s="37" t="str">
        <f t="shared" si="248"/>
        <v>Cash Payment</v>
      </c>
      <c r="P3193">
        <v>323.64999999999998</v>
      </c>
      <c r="Q3193" s="37" t="str">
        <f>IF(P3193&gt;500,"High","low")</f>
        <v>low</v>
      </c>
      <c r="R3193" s="37" t="str">
        <f t="shared" si="249"/>
        <v>AVERAGE</v>
      </c>
      <c r="S3193" t="s">
        <v>609</v>
      </c>
    </row>
    <row r="3194" spans="1:19" x14ac:dyDescent="0.2">
      <c r="A3194" t="s">
        <v>3805</v>
      </c>
      <c r="B3194" t="s">
        <v>90</v>
      </c>
      <c r="C3194" t="s">
        <v>614</v>
      </c>
      <c r="D3194">
        <v>347.94</v>
      </c>
      <c r="E3194" s="37" t="str">
        <f t="shared" si="245"/>
        <v xml:space="preserve"> </v>
      </c>
      <c r="F3194">
        <v>0.08</v>
      </c>
      <c r="G3194" s="37" t="str">
        <f t="shared" si="246"/>
        <v>Normal Discount</v>
      </c>
      <c r="H3194" s="37" t="str">
        <f t="shared" si="247"/>
        <v>Low</v>
      </c>
      <c r="I3194">
        <v>9</v>
      </c>
      <c r="J3194" t="str" cm="1">
        <f t="array" ref="J3194">_xlfn.IFS(I3194&lt;=3,"small",I3194&lt;=6,"Medium",I3194&lt;=9,"Large")</f>
        <v>Large</v>
      </c>
      <c r="K3194" s="36">
        <v>45610</v>
      </c>
      <c r="L3194" s="36">
        <v>45612</v>
      </c>
      <c r="M3194" t="s">
        <v>612</v>
      </c>
      <c r="N3194" t="s">
        <v>604</v>
      </c>
      <c r="O3194" s="37" t="str">
        <f t="shared" si="248"/>
        <v>Digital Payment</v>
      </c>
      <c r="P3194">
        <v>99.76</v>
      </c>
      <c r="Q3194" s="37" t="str">
        <f>IF(P3194&gt;500,"High","low")</f>
        <v>low</v>
      </c>
      <c r="R3194" s="37" t="str">
        <f t="shared" si="249"/>
        <v>AVERAGE</v>
      </c>
      <c r="S3194" t="s">
        <v>605</v>
      </c>
    </row>
    <row r="3195" spans="1:19" x14ac:dyDescent="0.2">
      <c r="A3195" t="s">
        <v>3806</v>
      </c>
      <c r="B3195" t="s">
        <v>75</v>
      </c>
      <c r="C3195" t="s">
        <v>597</v>
      </c>
      <c r="D3195">
        <v>4024.91</v>
      </c>
      <c r="E3195" s="37" t="str">
        <f t="shared" si="245"/>
        <v>Excellent Order</v>
      </c>
      <c r="F3195">
        <v>0.06</v>
      </c>
      <c r="G3195" s="37" t="str">
        <f t="shared" si="246"/>
        <v>Normal Discount</v>
      </c>
      <c r="H3195" s="37" t="str">
        <f t="shared" si="247"/>
        <v>Low</v>
      </c>
      <c r="I3195">
        <v>4</v>
      </c>
      <c r="J3195" t="str" cm="1">
        <f t="array" ref="J3195">_xlfn.IFS(I3195&lt;=3,"small",I3195&lt;=6,"Medium",I3195&lt;=9,"Large")</f>
        <v>Medium</v>
      </c>
      <c r="K3195" s="36">
        <v>45232</v>
      </c>
      <c r="L3195" s="36">
        <v>45233</v>
      </c>
      <c r="M3195" t="s">
        <v>603</v>
      </c>
      <c r="N3195" t="s">
        <v>599</v>
      </c>
      <c r="O3195" s="37" t="str">
        <f t="shared" si="248"/>
        <v>Digital Payment</v>
      </c>
      <c r="P3195">
        <v>1144.95</v>
      </c>
      <c r="Q3195" s="37" t="str">
        <f>IF(P3195&gt;500,"High","low")</f>
        <v>High</v>
      </c>
      <c r="R3195" s="37" t="str">
        <f t="shared" si="249"/>
        <v>Excellent</v>
      </c>
      <c r="S3195" t="s">
        <v>609</v>
      </c>
    </row>
    <row r="3196" spans="1:19" x14ac:dyDescent="0.2">
      <c r="A3196" t="s">
        <v>3807</v>
      </c>
      <c r="B3196" t="s">
        <v>83</v>
      </c>
      <c r="C3196" t="s">
        <v>607</v>
      </c>
      <c r="D3196">
        <v>2254.11</v>
      </c>
      <c r="E3196" s="37" t="str">
        <f t="shared" si="245"/>
        <v xml:space="preserve"> </v>
      </c>
      <c r="F3196">
        <v>0.47</v>
      </c>
      <c r="G3196" s="37" t="str">
        <f t="shared" si="246"/>
        <v>Heavy Discount</v>
      </c>
      <c r="H3196" s="37" t="str">
        <f t="shared" si="247"/>
        <v>High</v>
      </c>
      <c r="I3196">
        <v>9</v>
      </c>
      <c r="J3196" t="str" cm="1">
        <f t="array" ref="J3196">_xlfn.IFS(I3196&lt;=3,"small",I3196&lt;=6,"Medium",I3196&lt;=9,"Large")</f>
        <v>Large</v>
      </c>
      <c r="K3196" s="36">
        <v>45567</v>
      </c>
      <c r="L3196" s="36">
        <v>45571</v>
      </c>
      <c r="M3196" t="s">
        <v>612</v>
      </c>
      <c r="N3196" t="s">
        <v>599</v>
      </c>
      <c r="O3196" s="37" t="str">
        <f t="shared" si="248"/>
        <v>Digital Payment</v>
      </c>
      <c r="P3196">
        <v>205.93</v>
      </c>
      <c r="Q3196" s="37" t="str">
        <f>IF(P3196&gt;500,"High","low")</f>
        <v>low</v>
      </c>
      <c r="R3196" s="37" t="str">
        <f t="shared" si="249"/>
        <v>AVERAGE</v>
      </c>
      <c r="S3196" t="s">
        <v>615</v>
      </c>
    </row>
    <row r="3197" spans="1:19" x14ac:dyDescent="0.2">
      <c r="A3197" t="s">
        <v>3808</v>
      </c>
      <c r="B3197" t="s">
        <v>67</v>
      </c>
      <c r="C3197" t="s">
        <v>602</v>
      </c>
      <c r="D3197">
        <v>3526.06</v>
      </c>
      <c r="E3197" s="37" t="str">
        <f t="shared" si="245"/>
        <v xml:space="preserve"> </v>
      </c>
      <c r="F3197">
        <v>0.34</v>
      </c>
      <c r="G3197" s="37" t="str">
        <f t="shared" si="246"/>
        <v>Heavy Discount</v>
      </c>
      <c r="H3197" s="37" t="str">
        <f t="shared" si="247"/>
        <v>Medium</v>
      </c>
      <c r="I3197">
        <v>4</v>
      </c>
      <c r="J3197" t="str" cm="1">
        <f t="array" ref="J3197">_xlfn.IFS(I3197&lt;=3,"small",I3197&lt;=6,"Medium",I3197&lt;=9,"Large")</f>
        <v>Medium</v>
      </c>
      <c r="K3197" s="36">
        <v>45374</v>
      </c>
      <c r="L3197" s="36">
        <v>45378</v>
      </c>
      <c r="M3197" t="s">
        <v>603</v>
      </c>
      <c r="N3197" t="s">
        <v>599</v>
      </c>
      <c r="O3197" s="37" t="str">
        <f t="shared" si="248"/>
        <v>Digital Payment</v>
      </c>
      <c r="P3197">
        <v>378.13</v>
      </c>
      <c r="Q3197" s="37" t="str">
        <f>IF(P3197&gt;500,"High","low")</f>
        <v>low</v>
      </c>
      <c r="R3197" s="37" t="str">
        <f t="shared" si="249"/>
        <v>AVERAGE</v>
      </c>
      <c r="S3197" t="s">
        <v>605</v>
      </c>
    </row>
    <row r="3198" spans="1:19" x14ac:dyDescent="0.2">
      <c r="A3198" t="s">
        <v>3809</v>
      </c>
      <c r="B3198" t="s">
        <v>67</v>
      </c>
      <c r="C3198" t="s">
        <v>617</v>
      </c>
      <c r="D3198">
        <v>955.7</v>
      </c>
      <c r="E3198" s="37" t="str">
        <f t="shared" si="245"/>
        <v xml:space="preserve"> </v>
      </c>
      <c r="F3198">
        <v>0.02</v>
      </c>
      <c r="G3198" s="37" t="str">
        <f t="shared" si="246"/>
        <v>Normal Discount</v>
      </c>
      <c r="H3198" s="37" t="str">
        <f t="shared" si="247"/>
        <v>Low</v>
      </c>
      <c r="I3198">
        <v>8</v>
      </c>
      <c r="J3198" t="str" cm="1">
        <f t="array" ref="J3198">_xlfn.IFS(I3198&lt;=3,"small",I3198&lt;=6,"Medium",I3198&lt;=9,"Large")</f>
        <v>Large</v>
      </c>
      <c r="K3198" s="36">
        <v>45387</v>
      </c>
      <c r="L3198" s="36">
        <v>45393</v>
      </c>
      <c r="M3198" t="s">
        <v>612</v>
      </c>
      <c r="N3198" t="s">
        <v>599</v>
      </c>
      <c r="O3198" s="37" t="str">
        <f t="shared" si="248"/>
        <v>Digital Payment</v>
      </c>
      <c r="P3198">
        <v>201.51</v>
      </c>
      <c r="Q3198" s="37" t="str">
        <f>IF(P3198&gt;500,"High","low")</f>
        <v>low</v>
      </c>
      <c r="R3198" s="37" t="str">
        <f t="shared" si="249"/>
        <v>AVERAGE</v>
      </c>
      <c r="S3198" t="s">
        <v>620</v>
      </c>
    </row>
    <row r="3199" spans="1:19" x14ac:dyDescent="0.2">
      <c r="A3199" t="s">
        <v>3810</v>
      </c>
      <c r="B3199" t="s">
        <v>75</v>
      </c>
      <c r="C3199" t="s">
        <v>607</v>
      </c>
      <c r="D3199">
        <v>3247.55</v>
      </c>
      <c r="E3199" s="37" t="str">
        <f t="shared" si="245"/>
        <v xml:space="preserve"> </v>
      </c>
      <c r="F3199">
        <v>7.0000000000000007E-2</v>
      </c>
      <c r="G3199" s="37" t="str">
        <f t="shared" si="246"/>
        <v>Normal Discount</v>
      </c>
      <c r="H3199" s="37" t="str">
        <f t="shared" si="247"/>
        <v>Low</v>
      </c>
      <c r="I3199">
        <v>8</v>
      </c>
      <c r="J3199" t="str" cm="1">
        <f t="array" ref="J3199">_xlfn.IFS(I3199&lt;=3,"small",I3199&lt;=6,"Medium",I3199&lt;=9,"Large")</f>
        <v>Large</v>
      </c>
      <c r="K3199" s="36">
        <v>45170</v>
      </c>
      <c r="L3199" s="36">
        <v>45173</v>
      </c>
      <c r="M3199" t="s">
        <v>598</v>
      </c>
      <c r="N3199" t="s">
        <v>608</v>
      </c>
      <c r="O3199" s="37" t="str">
        <f t="shared" si="248"/>
        <v>Cash Payment</v>
      </c>
      <c r="P3199">
        <v>843.12</v>
      </c>
      <c r="Q3199" s="37" t="str">
        <f>IF(P3199&gt;500,"High","low")</f>
        <v>High</v>
      </c>
      <c r="R3199" s="37" t="str">
        <f t="shared" si="249"/>
        <v>Good</v>
      </c>
      <c r="S3199" t="s">
        <v>605</v>
      </c>
    </row>
    <row r="3200" spans="1:19" x14ac:dyDescent="0.2">
      <c r="A3200" t="s">
        <v>3811</v>
      </c>
      <c r="B3200" t="s">
        <v>75</v>
      </c>
      <c r="C3200" t="s">
        <v>597</v>
      </c>
      <c r="D3200">
        <v>3010.95</v>
      </c>
      <c r="E3200" s="37" t="str">
        <f t="shared" si="245"/>
        <v xml:space="preserve"> </v>
      </c>
      <c r="F3200">
        <v>0.02</v>
      </c>
      <c r="G3200" s="37" t="str">
        <f t="shared" si="246"/>
        <v>Normal Discount</v>
      </c>
      <c r="H3200" s="37" t="str">
        <f t="shared" si="247"/>
        <v>Low</v>
      </c>
      <c r="I3200">
        <v>2</v>
      </c>
      <c r="J3200" t="str" cm="1">
        <f t="array" ref="J3200">_xlfn.IFS(I3200&lt;=3,"small",I3200&lt;=6,"Medium",I3200&lt;=9,"Large")</f>
        <v>small</v>
      </c>
      <c r="K3200" s="36">
        <v>45382</v>
      </c>
      <c r="L3200" s="36">
        <v>45386</v>
      </c>
      <c r="M3200" t="s">
        <v>603</v>
      </c>
      <c r="N3200" t="s">
        <v>599</v>
      </c>
      <c r="O3200" s="37" t="str">
        <f t="shared" si="248"/>
        <v>Digital Payment</v>
      </c>
      <c r="P3200">
        <v>570.27</v>
      </c>
      <c r="Q3200" s="37" t="str">
        <f>IF(P3200&gt;500,"High","low")</f>
        <v>High</v>
      </c>
      <c r="R3200" s="37" t="str">
        <f t="shared" si="249"/>
        <v>Good</v>
      </c>
      <c r="S3200" t="s">
        <v>609</v>
      </c>
    </row>
    <row r="3201" spans="1:19" x14ac:dyDescent="0.2">
      <c r="A3201" t="s">
        <v>3812</v>
      </c>
      <c r="B3201" t="s">
        <v>67</v>
      </c>
      <c r="C3201" t="s">
        <v>607</v>
      </c>
      <c r="D3201">
        <v>3802.74</v>
      </c>
      <c r="E3201" s="37" t="str">
        <f t="shared" si="245"/>
        <v xml:space="preserve"> </v>
      </c>
      <c r="F3201">
        <v>0.49</v>
      </c>
      <c r="G3201" s="37" t="str">
        <f t="shared" si="246"/>
        <v>Heavy Discount</v>
      </c>
      <c r="H3201" s="37" t="str">
        <f t="shared" si="247"/>
        <v>High</v>
      </c>
      <c r="I3201">
        <v>8</v>
      </c>
      <c r="J3201" t="str" cm="1">
        <f t="array" ref="J3201">_xlfn.IFS(I3201&lt;=3,"small",I3201&lt;=6,"Medium",I3201&lt;=9,"Large")</f>
        <v>Large</v>
      </c>
      <c r="K3201" s="36">
        <v>45183</v>
      </c>
      <c r="L3201" s="36">
        <v>45187</v>
      </c>
      <c r="M3201" t="s">
        <v>603</v>
      </c>
      <c r="N3201" t="s">
        <v>608</v>
      </c>
      <c r="O3201" s="37" t="str">
        <f t="shared" si="248"/>
        <v>Cash Payment</v>
      </c>
      <c r="P3201">
        <v>456.66</v>
      </c>
      <c r="Q3201" s="37" t="str">
        <f>IF(P3201&gt;500,"High","low")</f>
        <v>low</v>
      </c>
      <c r="R3201" s="37" t="str">
        <f t="shared" si="249"/>
        <v>AVERAGE</v>
      </c>
      <c r="S3201" t="s">
        <v>609</v>
      </c>
    </row>
    <row r="3202" spans="1:19" x14ac:dyDescent="0.2">
      <c r="A3202" t="s">
        <v>3813</v>
      </c>
      <c r="B3202" t="s">
        <v>90</v>
      </c>
      <c r="C3202" t="s">
        <v>597</v>
      </c>
      <c r="D3202">
        <v>1557.27</v>
      </c>
      <c r="E3202" s="37" t="str">
        <f t="shared" si="245"/>
        <v xml:space="preserve"> </v>
      </c>
      <c r="F3202">
        <v>0.25</v>
      </c>
      <c r="G3202" s="37" t="str">
        <f t="shared" si="246"/>
        <v>Normal Discount</v>
      </c>
      <c r="H3202" s="37" t="str">
        <f t="shared" si="247"/>
        <v>Medium</v>
      </c>
      <c r="I3202">
        <v>2</v>
      </c>
      <c r="J3202" t="str" cm="1">
        <f t="array" ref="J3202">_xlfn.IFS(I3202&lt;=3,"small",I3202&lt;=6,"Medium",I3202&lt;=9,"Large")</f>
        <v>small</v>
      </c>
      <c r="K3202" s="36">
        <v>45069</v>
      </c>
      <c r="L3202" s="36">
        <v>45073</v>
      </c>
      <c r="M3202" t="s">
        <v>603</v>
      </c>
      <c r="N3202" t="s">
        <v>608</v>
      </c>
      <c r="O3202" s="37" t="str">
        <f t="shared" si="248"/>
        <v>Cash Payment</v>
      </c>
      <c r="P3202">
        <v>188.71</v>
      </c>
      <c r="Q3202" s="37" t="str">
        <f>IF(P3202&gt;500,"High","low")</f>
        <v>low</v>
      </c>
      <c r="R3202" s="37" t="str">
        <f t="shared" si="249"/>
        <v>AVERAGE</v>
      </c>
      <c r="S3202" t="s">
        <v>609</v>
      </c>
    </row>
    <row r="3203" spans="1:19" x14ac:dyDescent="0.2">
      <c r="A3203" t="s">
        <v>3814</v>
      </c>
      <c r="B3203" t="s">
        <v>75</v>
      </c>
      <c r="C3203" t="s">
        <v>614</v>
      </c>
      <c r="D3203">
        <v>4672.51</v>
      </c>
      <c r="E3203" s="37" t="str">
        <f t="shared" ref="E3203:E3266" si="250">IF(AND(D3203&gt;4000,P3203&gt;800),"Excellent Order"," ")</f>
        <v xml:space="preserve"> </v>
      </c>
      <c r="F3203">
        <v>0.23</v>
      </c>
      <c r="G3203" s="37" t="str">
        <f t="shared" ref="G3203:G3266" si="251">IF(F3203&gt;30%,"Heavy Discount","Normal Discount")</f>
        <v>Normal Discount</v>
      </c>
      <c r="H3203" s="37" t="str">
        <f t="shared" ref="H3203:H3266" si="252">IF(F3203&gt;0.4,"High",IF(F3203&gt;=0.2,"Medium","Low"))</f>
        <v>Medium</v>
      </c>
      <c r="I3203">
        <v>8</v>
      </c>
      <c r="J3203" t="str" cm="1">
        <f t="array" ref="J3203">_xlfn.IFS(I3203&lt;=3,"small",I3203&lt;=6,"Medium",I3203&lt;=9,"Large")</f>
        <v>Large</v>
      </c>
      <c r="K3203" s="36">
        <v>45128</v>
      </c>
      <c r="L3203" s="36">
        <v>45129</v>
      </c>
      <c r="M3203" t="s">
        <v>603</v>
      </c>
      <c r="N3203" t="s">
        <v>604</v>
      </c>
      <c r="O3203" s="37" t="str">
        <f t="shared" ref="O3203:O3266" si="253">IF(OR(N3203="Card",N3203="UPI"),"Digital Payment","Cash Payment")</f>
        <v>Digital Payment</v>
      </c>
      <c r="P3203">
        <v>275.8</v>
      </c>
      <c r="Q3203" s="37" t="str">
        <f>IF(P3203&gt;500,"High","low")</f>
        <v>low</v>
      </c>
      <c r="R3203" s="37" t="str">
        <f t="shared" ref="R3203:R3266" si="254">IF(P3203&gt;1000,"Excellent",IF(P3203&gt;=500,"Good","AVERAGE"))</f>
        <v>AVERAGE</v>
      </c>
      <c r="S3203" t="s">
        <v>605</v>
      </c>
    </row>
    <row r="3204" spans="1:19" x14ac:dyDescent="0.2">
      <c r="A3204" t="s">
        <v>3815</v>
      </c>
      <c r="B3204" t="s">
        <v>67</v>
      </c>
      <c r="C3204" t="s">
        <v>614</v>
      </c>
      <c r="D3204">
        <v>4810.38</v>
      </c>
      <c r="E3204" s="37" t="str">
        <f t="shared" si="250"/>
        <v xml:space="preserve"> </v>
      </c>
      <c r="F3204">
        <v>0.48</v>
      </c>
      <c r="G3204" s="37" t="str">
        <f t="shared" si="251"/>
        <v>Heavy Discount</v>
      </c>
      <c r="H3204" s="37" t="str">
        <f t="shared" si="252"/>
        <v>High</v>
      </c>
      <c r="I3204">
        <v>6</v>
      </c>
      <c r="J3204" t="str" cm="1">
        <f t="array" ref="J3204">_xlfn.IFS(I3204&lt;=3,"small",I3204&lt;=6,"Medium",I3204&lt;=9,"Large")</f>
        <v>Medium</v>
      </c>
      <c r="K3204" s="36">
        <v>44927</v>
      </c>
      <c r="L3204" s="36">
        <v>44928</v>
      </c>
      <c r="M3204" t="s">
        <v>603</v>
      </c>
      <c r="N3204" t="s">
        <v>599</v>
      </c>
      <c r="O3204" s="37" t="str">
        <f t="shared" si="253"/>
        <v>Digital Payment</v>
      </c>
      <c r="P3204">
        <v>247.24</v>
      </c>
      <c r="Q3204" s="37" t="str">
        <f>IF(P3204&gt;500,"High","low")</f>
        <v>low</v>
      </c>
      <c r="R3204" s="37" t="str">
        <f t="shared" si="254"/>
        <v>AVERAGE</v>
      </c>
      <c r="S3204" t="s">
        <v>615</v>
      </c>
    </row>
    <row r="3205" spans="1:19" x14ac:dyDescent="0.2">
      <c r="A3205" t="s">
        <v>3816</v>
      </c>
      <c r="B3205" t="s">
        <v>75</v>
      </c>
      <c r="C3205" t="s">
        <v>607</v>
      </c>
      <c r="D3205">
        <v>4353.8100000000004</v>
      </c>
      <c r="E3205" s="37" t="str">
        <f t="shared" si="250"/>
        <v xml:space="preserve"> </v>
      </c>
      <c r="F3205">
        <v>0.25</v>
      </c>
      <c r="G3205" s="37" t="str">
        <f t="shared" si="251"/>
        <v>Normal Discount</v>
      </c>
      <c r="H3205" s="37" t="str">
        <f t="shared" si="252"/>
        <v>Medium</v>
      </c>
      <c r="I3205">
        <v>3</v>
      </c>
      <c r="J3205" t="str" cm="1">
        <f t="array" ref="J3205">_xlfn.IFS(I3205&lt;=3,"small",I3205&lt;=6,"Medium",I3205&lt;=9,"Large")</f>
        <v>small</v>
      </c>
      <c r="K3205" s="36">
        <v>45419</v>
      </c>
      <c r="L3205" s="36">
        <v>45423</v>
      </c>
      <c r="M3205" t="s">
        <v>612</v>
      </c>
      <c r="N3205" t="s">
        <v>599</v>
      </c>
      <c r="O3205" s="37" t="str">
        <f t="shared" si="253"/>
        <v>Digital Payment</v>
      </c>
      <c r="P3205">
        <v>357.25</v>
      </c>
      <c r="Q3205" s="37" t="str">
        <f>IF(P3205&gt;500,"High","low")</f>
        <v>low</v>
      </c>
      <c r="R3205" s="37" t="str">
        <f t="shared" si="254"/>
        <v>AVERAGE</v>
      </c>
      <c r="S3205" t="s">
        <v>605</v>
      </c>
    </row>
    <row r="3206" spans="1:19" x14ac:dyDescent="0.2">
      <c r="A3206" t="s">
        <v>3817</v>
      </c>
      <c r="B3206" t="s">
        <v>90</v>
      </c>
      <c r="C3206" t="s">
        <v>602</v>
      </c>
      <c r="D3206">
        <v>2902.97</v>
      </c>
      <c r="E3206" s="37" t="str">
        <f t="shared" si="250"/>
        <v xml:space="preserve"> </v>
      </c>
      <c r="F3206">
        <v>0.26</v>
      </c>
      <c r="G3206" s="37" t="str">
        <f t="shared" si="251"/>
        <v>Normal Discount</v>
      </c>
      <c r="H3206" s="37" t="str">
        <f t="shared" si="252"/>
        <v>Medium</v>
      </c>
      <c r="I3206">
        <v>7</v>
      </c>
      <c r="J3206" t="str" cm="1">
        <f t="array" ref="J3206">_xlfn.IFS(I3206&lt;=3,"small",I3206&lt;=6,"Medium",I3206&lt;=9,"Large")</f>
        <v>Large</v>
      </c>
      <c r="K3206" s="36">
        <v>45438</v>
      </c>
      <c r="L3206" s="36">
        <v>45444</v>
      </c>
      <c r="M3206" t="s">
        <v>612</v>
      </c>
      <c r="N3206" t="s">
        <v>604</v>
      </c>
      <c r="O3206" s="37" t="str">
        <f t="shared" si="253"/>
        <v>Digital Payment</v>
      </c>
      <c r="P3206">
        <v>865.81</v>
      </c>
      <c r="Q3206" s="37" t="str">
        <f>IF(P3206&gt;500,"High","low")</f>
        <v>High</v>
      </c>
      <c r="R3206" s="37" t="str">
        <f t="shared" si="254"/>
        <v>Good</v>
      </c>
      <c r="S3206" t="s">
        <v>628</v>
      </c>
    </row>
    <row r="3207" spans="1:19" x14ac:dyDescent="0.2">
      <c r="A3207" t="s">
        <v>3818</v>
      </c>
      <c r="B3207" t="s">
        <v>83</v>
      </c>
      <c r="C3207" t="s">
        <v>617</v>
      </c>
      <c r="D3207">
        <v>2159.41</v>
      </c>
      <c r="E3207" s="37" t="str">
        <f t="shared" si="250"/>
        <v xml:space="preserve"> </v>
      </c>
      <c r="F3207">
        <v>0.49</v>
      </c>
      <c r="G3207" s="37" t="str">
        <f t="shared" si="251"/>
        <v>Heavy Discount</v>
      </c>
      <c r="H3207" s="37" t="str">
        <f t="shared" si="252"/>
        <v>High</v>
      </c>
      <c r="I3207">
        <v>6</v>
      </c>
      <c r="J3207" t="str" cm="1">
        <f t="array" ref="J3207">_xlfn.IFS(I3207&lt;=3,"small",I3207&lt;=6,"Medium",I3207&lt;=9,"Large")</f>
        <v>Medium</v>
      </c>
      <c r="K3207" s="36">
        <v>45283</v>
      </c>
      <c r="L3207" s="36">
        <v>45286</v>
      </c>
      <c r="M3207" t="s">
        <v>598</v>
      </c>
      <c r="N3207" t="s">
        <v>604</v>
      </c>
      <c r="O3207" s="37" t="str">
        <f t="shared" si="253"/>
        <v>Digital Payment</v>
      </c>
      <c r="P3207">
        <v>213.91</v>
      </c>
      <c r="Q3207" s="37" t="str">
        <f>IF(P3207&gt;500,"High","low")</f>
        <v>low</v>
      </c>
      <c r="R3207" s="37" t="str">
        <f t="shared" si="254"/>
        <v>AVERAGE</v>
      </c>
      <c r="S3207" t="s">
        <v>609</v>
      </c>
    </row>
    <row r="3208" spans="1:19" x14ac:dyDescent="0.2">
      <c r="A3208" t="s">
        <v>3819</v>
      </c>
      <c r="B3208" t="s">
        <v>75</v>
      </c>
      <c r="C3208" t="s">
        <v>597</v>
      </c>
      <c r="D3208">
        <v>384.16</v>
      </c>
      <c r="E3208" s="37" t="str">
        <f t="shared" si="250"/>
        <v xml:space="preserve"> </v>
      </c>
      <c r="F3208">
        <v>0.06</v>
      </c>
      <c r="G3208" s="37" t="str">
        <f t="shared" si="251"/>
        <v>Normal Discount</v>
      </c>
      <c r="H3208" s="37" t="str">
        <f t="shared" si="252"/>
        <v>Low</v>
      </c>
      <c r="I3208">
        <v>3</v>
      </c>
      <c r="J3208" t="str" cm="1">
        <f t="array" ref="J3208">_xlfn.IFS(I3208&lt;=3,"small",I3208&lt;=6,"Medium",I3208&lt;=9,"Large")</f>
        <v>small</v>
      </c>
      <c r="K3208" s="36">
        <v>45479</v>
      </c>
      <c r="L3208" s="36">
        <v>45486</v>
      </c>
      <c r="M3208" t="s">
        <v>612</v>
      </c>
      <c r="N3208" t="s">
        <v>608</v>
      </c>
      <c r="O3208" s="37" t="str">
        <f t="shared" si="253"/>
        <v>Cash Payment</v>
      </c>
      <c r="P3208">
        <v>71.959999999999994</v>
      </c>
      <c r="Q3208" s="37" t="str">
        <f>IF(P3208&gt;500,"High","low")</f>
        <v>low</v>
      </c>
      <c r="R3208" s="37" t="str">
        <f t="shared" si="254"/>
        <v>AVERAGE</v>
      </c>
      <c r="S3208" t="s">
        <v>600</v>
      </c>
    </row>
    <row r="3209" spans="1:19" x14ac:dyDescent="0.2">
      <c r="A3209" t="s">
        <v>3820</v>
      </c>
      <c r="B3209" t="s">
        <v>90</v>
      </c>
      <c r="C3209" t="s">
        <v>617</v>
      </c>
      <c r="D3209">
        <v>4741.42</v>
      </c>
      <c r="E3209" s="37" t="str">
        <f t="shared" si="250"/>
        <v xml:space="preserve"> </v>
      </c>
      <c r="F3209">
        <v>0.49</v>
      </c>
      <c r="G3209" s="37" t="str">
        <f t="shared" si="251"/>
        <v>Heavy Discount</v>
      </c>
      <c r="H3209" s="37" t="str">
        <f t="shared" si="252"/>
        <v>High</v>
      </c>
      <c r="I3209">
        <v>5</v>
      </c>
      <c r="J3209" t="str" cm="1">
        <f t="array" ref="J3209">_xlfn.IFS(I3209&lt;=3,"small",I3209&lt;=6,"Medium",I3209&lt;=9,"Large")</f>
        <v>Medium</v>
      </c>
      <c r="K3209" s="36">
        <v>45203</v>
      </c>
      <c r="L3209" s="36">
        <v>45207</v>
      </c>
      <c r="M3209" t="s">
        <v>598</v>
      </c>
      <c r="N3209" t="s">
        <v>599</v>
      </c>
      <c r="O3209" s="37" t="str">
        <f t="shared" si="253"/>
        <v>Digital Payment</v>
      </c>
      <c r="P3209">
        <v>440.9</v>
      </c>
      <c r="Q3209" s="37" t="str">
        <f>IF(P3209&gt;500,"High","low")</f>
        <v>low</v>
      </c>
      <c r="R3209" s="37" t="str">
        <f t="shared" si="254"/>
        <v>AVERAGE</v>
      </c>
      <c r="S3209" t="s">
        <v>605</v>
      </c>
    </row>
    <row r="3210" spans="1:19" x14ac:dyDescent="0.2">
      <c r="A3210" t="s">
        <v>3821</v>
      </c>
      <c r="B3210" t="s">
        <v>67</v>
      </c>
      <c r="C3210" t="s">
        <v>614</v>
      </c>
      <c r="D3210">
        <v>4763.7299999999996</v>
      </c>
      <c r="E3210" s="37" t="str">
        <f t="shared" si="250"/>
        <v>Excellent Order</v>
      </c>
      <c r="F3210">
        <v>0.08</v>
      </c>
      <c r="G3210" s="37" t="str">
        <f t="shared" si="251"/>
        <v>Normal Discount</v>
      </c>
      <c r="H3210" s="37" t="str">
        <f t="shared" si="252"/>
        <v>Low</v>
      </c>
      <c r="I3210">
        <v>4</v>
      </c>
      <c r="J3210" t="str" cm="1">
        <f t="array" ref="J3210">_xlfn.IFS(I3210&lt;=3,"small",I3210&lt;=6,"Medium",I3210&lt;=9,"Large")</f>
        <v>Medium</v>
      </c>
      <c r="K3210" s="36">
        <v>45145</v>
      </c>
      <c r="L3210" s="36">
        <v>45150</v>
      </c>
      <c r="M3210" t="s">
        <v>598</v>
      </c>
      <c r="N3210" t="s">
        <v>608</v>
      </c>
      <c r="O3210" s="37" t="str">
        <f t="shared" si="253"/>
        <v>Cash Payment</v>
      </c>
      <c r="P3210">
        <v>1269.8499999999999</v>
      </c>
      <c r="Q3210" s="37" t="str">
        <f>IF(P3210&gt;500,"High","low")</f>
        <v>High</v>
      </c>
      <c r="R3210" s="37" t="str">
        <f t="shared" si="254"/>
        <v>Excellent</v>
      </c>
      <c r="S3210" t="s">
        <v>615</v>
      </c>
    </row>
    <row r="3211" spans="1:19" x14ac:dyDescent="0.2">
      <c r="A3211" t="s">
        <v>3822</v>
      </c>
      <c r="B3211" t="s">
        <v>75</v>
      </c>
      <c r="C3211" t="s">
        <v>602</v>
      </c>
      <c r="D3211">
        <v>191.57</v>
      </c>
      <c r="E3211" s="37" t="str">
        <f t="shared" si="250"/>
        <v xml:space="preserve"> </v>
      </c>
      <c r="F3211">
        <v>0.24</v>
      </c>
      <c r="G3211" s="37" t="str">
        <f t="shared" si="251"/>
        <v>Normal Discount</v>
      </c>
      <c r="H3211" s="37" t="str">
        <f t="shared" si="252"/>
        <v>Medium</v>
      </c>
      <c r="I3211">
        <v>6</v>
      </c>
      <c r="J3211" t="str" cm="1">
        <f t="array" ref="J3211">_xlfn.IFS(I3211&lt;=3,"small",I3211&lt;=6,"Medium",I3211&lt;=9,"Large")</f>
        <v>Medium</v>
      </c>
      <c r="K3211" s="36">
        <v>45297</v>
      </c>
      <c r="L3211" s="36">
        <v>45302</v>
      </c>
      <c r="M3211" t="s">
        <v>603</v>
      </c>
      <c r="N3211" t="s">
        <v>599</v>
      </c>
      <c r="O3211" s="37" t="str">
        <f t="shared" si="253"/>
        <v>Digital Payment</v>
      </c>
      <c r="P3211">
        <v>41.27</v>
      </c>
      <c r="Q3211" s="37" t="str">
        <f>IF(P3211&gt;500,"High","low")</f>
        <v>low</v>
      </c>
      <c r="R3211" s="37" t="str">
        <f t="shared" si="254"/>
        <v>AVERAGE</v>
      </c>
      <c r="S3211" t="s">
        <v>600</v>
      </c>
    </row>
    <row r="3212" spans="1:19" x14ac:dyDescent="0.2">
      <c r="A3212" t="s">
        <v>3823</v>
      </c>
      <c r="B3212" t="s">
        <v>75</v>
      </c>
      <c r="C3212" t="s">
        <v>602</v>
      </c>
      <c r="D3212">
        <v>1848.75</v>
      </c>
      <c r="E3212" s="37" t="str">
        <f t="shared" si="250"/>
        <v xml:space="preserve"> </v>
      </c>
      <c r="F3212">
        <v>0.17</v>
      </c>
      <c r="G3212" s="37" t="str">
        <f t="shared" si="251"/>
        <v>Normal Discount</v>
      </c>
      <c r="H3212" s="37" t="str">
        <f t="shared" si="252"/>
        <v>Low</v>
      </c>
      <c r="I3212">
        <v>1</v>
      </c>
      <c r="J3212" t="str" cm="1">
        <f t="array" ref="J3212">_xlfn.IFS(I3212&lt;=3,"small",I3212&lt;=6,"Medium",I3212&lt;=9,"Large")</f>
        <v>small</v>
      </c>
      <c r="K3212" s="36">
        <v>44978</v>
      </c>
      <c r="L3212" s="36">
        <v>44985</v>
      </c>
      <c r="M3212" t="s">
        <v>598</v>
      </c>
      <c r="N3212" t="s">
        <v>599</v>
      </c>
      <c r="O3212" s="37" t="str">
        <f t="shared" si="253"/>
        <v>Digital Payment</v>
      </c>
      <c r="P3212">
        <v>435.39</v>
      </c>
      <c r="Q3212" s="37" t="str">
        <f>IF(P3212&gt;500,"High","low")</f>
        <v>low</v>
      </c>
      <c r="R3212" s="37" t="str">
        <f t="shared" si="254"/>
        <v>AVERAGE</v>
      </c>
      <c r="S3212" t="s">
        <v>628</v>
      </c>
    </row>
    <row r="3213" spans="1:19" x14ac:dyDescent="0.2">
      <c r="A3213" t="s">
        <v>3824</v>
      </c>
      <c r="B3213" t="s">
        <v>67</v>
      </c>
      <c r="C3213" t="s">
        <v>617</v>
      </c>
      <c r="D3213">
        <v>4412.18</v>
      </c>
      <c r="E3213" s="37" t="str">
        <f t="shared" si="250"/>
        <v>Excellent Order</v>
      </c>
      <c r="F3213">
        <v>0.48</v>
      </c>
      <c r="G3213" s="37" t="str">
        <f t="shared" si="251"/>
        <v>Heavy Discount</v>
      </c>
      <c r="H3213" s="37" t="str">
        <f t="shared" si="252"/>
        <v>High</v>
      </c>
      <c r="I3213">
        <v>1</v>
      </c>
      <c r="J3213" t="str" cm="1">
        <f t="array" ref="J3213">_xlfn.IFS(I3213&lt;=3,"small",I3213&lt;=6,"Medium",I3213&lt;=9,"Large")</f>
        <v>small</v>
      </c>
      <c r="K3213" s="36">
        <v>45125</v>
      </c>
      <c r="L3213" s="36">
        <v>45127</v>
      </c>
      <c r="M3213" t="s">
        <v>598</v>
      </c>
      <c r="N3213" t="s">
        <v>608</v>
      </c>
      <c r="O3213" s="37" t="str">
        <f t="shared" si="253"/>
        <v>Cash Payment</v>
      </c>
      <c r="P3213">
        <v>1120.7</v>
      </c>
      <c r="Q3213" s="37" t="str">
        <f>IF(P3213&gt;500,"High","low")</f>
        <v>High</v>
      </c>
      <c r="R3213" s="37" t="str">
        <f t="shared" si="254"/>
        <v>Excellent</v>
      </c>
      <c r="S3213" t="s">
        <v>600</v>
      </c>
    </row>
    <row r="3214" spans="1:19" x14ac:dyDescent="0.2">
      <c r="A3214" t="s">
        <v>3825</v>
      </c>
      <c r="B3214" t="s">
        <v>83</v>
      </c>
      <c r="C3214" t="s">
        <v>614</v>
      </c>
      <c r="D3214">
        <v>496.17</v>
      </c>
      <c r="E3214" s="37" t="str">
        <f t="shared" si="250"/>
        <v xml:space="preserve"> </v>
      </c>
      <c r="F3214">
        <v>0.24</v>
      </c>
      <c r="G3214" s="37" t="str">
        <f t="shared" si="251"/>
        <v>Normal Discount</v>
      </c>
      <c r="H3214" s="37" t="str">
        <f t="shared" si="252"/>
        <v>Medium</v>
      </c>
      <c r="I3214">
        <v>8</v>
      </c>
      <c r="J3214" t="str" cm="1">
        <f t="array" ref="J3214">_xlfn.IFS(I3214&lt;=3,"small",I3214&lt;=6,"Medium",I3214&lt;=9,"Large")</f>
        <v>Large</v>
      </c>
      <c r="K3214" s="36">
        <v>45392</v>
      </c>
      <c r="L3214" s="36">
        <v>45397</v>
      </c>
      <c r="M3214" t="s">
        <v>598</v>
      </c>
      <c r="N3214" t="s">
        <v>604</v>
      </c>
      <c r="O3214" s="37" t="str">
        <f t="shared" si="253"/>
        <v>Digital Payment</v>
      </c>
      <c r="P3214">
        <v>125.41</v>
      </c>
      <c r="Q3214" s="37" t="str">
        <f>IF(P3214&gt;500,"High","low")</f>
        <v>low</v>
      </c>
      <c r="R3214" s="37" t="str">
        <f t="shared" si="254"/>
        <v>AVERAGE</v>
      </c>
      <c r="S3214" t="s">
        <v>620</v>
      </c>
    </row>
    <row r="3215" spans="1:19" x14ac:dyDescent="0.2">
      <c r="A3215" t="s">
        <v>3826</v>
      </c>
      <c r="B3215" t="s">
        <v>67</v>
      </c>
      <c r="C3215" t="s">
        <v>617</v>
      </c>
      <c r="D3215">
        <v>1063.18</v>
      </c>
      <c r="E3215" s="37" t="str">
        <f t="shared" si="250"/>
        <v xml:space="preserve"> </v>
      </c>
      <c r="F3215">
        <v>0.01</v>
      </c>
      <c r="G3215" s="37" t="str">
        <f t="shared" si="251"/>
        <v>Normal Discount</v>
      </c>
      <c r="H3215" s="37" t="str">
        <f t="shared" si="252"/>
        <v>Low</v>
      </c>
      <c r="I3215">
        <v>8</v>
      </c>
      <c r="J3215" t="str" cm="1">
        <f t="array" ref="J3215">_xlfn.IFS(I3215&lt;=3,"small",I3215&lt;=6,"Medium",I3215&lt;=9,"Large")</f>
        <v>Large</v>
      </c>
      <c r="K3215" s="36">
        <v>45427</v>
      </c>
      <c r="L3215" s="36">
        <v>45429</v>
      </c>
      <c r="M3215" t="s">
        <v>598</v>
      </c>
      <c r="N3215" t="s">
        <v>599</v>
      </c>
      <c r="O3215" s="37" t="str">
        <f t="shared" si="253"/>
        <v>Digital Payment</v>
      </c>
      <c r="P3215">
        <v>55.08</v>
      </c>
      <c r="Q3215" s="37" t="str">
        <f>IF(P3215&gt;500,"High","low")</f>
        <v>low</v>
      </c>
      <c r="R3215" s="37" t="str">
        <f t="shared" si="254"/>
        <v>AVERAGE</v>
      </c>
      <c r="S3215" t="s">
        <v>600</v>
      </c>
    </row>
    <row r="3216" spans="1:19" x14ac:dyDescent="0.2">
      <c r="A3216" t="s">
        <v>3827</v>
      </c>
      <c r="B3216" t="s">
        <v>75</v>
      </c>
      <c r="C3216" t="s">
        <v>607</v>
      </c>
      <c r="D3216">
        <v>4895.5200000000004</v>
      </c>
      <c r="E3216" s="37" t="str">
        <f t="shared" si="250"/>
        <v>Excellent Order</v>
      </c>
      <c r="F3216">
        <v>0.11</v>
      </c>
      <c r="G3216" s="37" t="str">
        <f t="shared" si="251"/>
        <v>Normal Discount</v>
      </c>
      <c r="H3216" s="37" t="str">
        <f t="shared" si="252"/>
        <v>Low</v>
      </c>
      <c r="I3216">
        <v>9</v>
      </c>
      <c r="J3216" t="str" cm="1">
        <f t="array" ref="J3216">_xlfn.IFS(I3216&lt;=3,"small",I3216&lt;=6,"Medium",I3216&lt;=9,"Large")</f>
        <v>Large</v>
      </c>
      <c r="K3216" s="36">
        <v>45537</v>
      </c>
      <c r="L3216" s="36">
        <v>45539</v>
      </c>
      <c r="M3216" t="s">
        <v>598</v>
      </c>
      <c r="N3216" t="s">
        <v>599</v>
      </c>
      <c r="O3216" s="37" t="str">
        <f t="shared" si="253"/>
        <v>Digital Payment</v>
      </c>
      <c r="P3216">
        <v>1067.0899999999999</v>
      </c>
      <c r="Q3216" s="37" t="str">
        <f>IF(P3216&gt;500,"High","low")</f>
        <v>High</v>
      </c>
      <c r="R3216" s="37" t="str">
        <f t="shared" si="254"/>
        <v>Excellent</v>
      </c>
      <c r="S3216" t="s">
        <v>600</v>
      </c>
    </row>
    <row r="3217" spans="1:19" x14ac:dyDescent="0.2">
      <c r="A3217" t="s">
        <v>3828</v>
      </c>
      <c r="B3217" t="s">
        <v>67</v>
      </c>
      <c r="C3217" t="s">
        <v>602</v>
      </c>
      <c r="D3217">
        <v>4251.72</v>
      </c>
      <c r="E3217" s="37" t="str">
        <f t="shared" si="250"/>
        <v>Excellent Order</v>
      </c>
      <c r="F3217">
        <v>0.22</v>
      </c>
      <c r="G3217" s="37" t="str">
        <f t="shared" si="251"/>
        <v>Normal Discount</v>
      </c>
      <c r="H3217" s="37" t="str">
        <f t="shared" si="252"/>
        <v>Medium</v>
      </c>
      <c r="I3217">
        <v>8</v>
      </c>
      <c r="J3217" t="str" cm="1">
        <f t="array" ref="J3217">_xlfn.IFS(I3217&lt;=3,"small",I3217&lt;=6,"Medium",I3217&lt;=9,"Large")</f>
        <v>Large</v>
      </c>
      <c r="K3217" s="36">
        <v>44994</v>
      </c>
      <c r="L3217" s="36">
        <v>44996</v>
      </c>
      <c r="M3217" t="s">
        <v>603</v>
      </c>
      <c r="N3217" t="s">
        <v>604</v>
      </c>
      <c r="O3217" s="37" t="str">
        <f t="shared" si="253"/>
        <v>Digital Payment</v>
      </c>
      <c r="P3217">
        <v>1086.8800000000001</v>
      </c>
      <c r="Q3217" s="37" t="str">
        <f>IF(P3217&gt;500,"High","low")</f>
        <v>High</v>
      </c>
      <c r="R3217" s="37" t="str">
        <f t="shared" si="254"/>
        <v>Excellent</v>
      </c>
      <c r="S3217" t="s">
        <v>600</v>
      </c>
    </row>
    <row r="3218" spans="1:19" x14ac:dyDescent="0.2">
      <c r="A3218" t="s">
        <v>3829</v>
      </c>
      <c r="B3218" t="s">
        <v>90</v>
      </c>
      <c r="C3218" t="s">
        <v>602</v>
      </c>
      <c r="D3218">
        <v>4569.1099999999997</v>
      </c>
      <c r="E3218" s="37" t="str">
        <f t="shared" si="250"/>
        <v xml:space="preserve"> </v>
      </c>
      <c r="F3218">
        <v>0.34</v>
      </c>
      <c r="G3218" s="37" t="str">
        <f t="shared" si="251"/>
        <v>Heavy Discount</v>
      </c>
      <c r="H3218" s="37" t="str">
        <f t="shared" si="252"/>
        <v>Medium</v>
      </c>
      <c r="I3218">
        <v>2</v>
      </c>
      <c r="J3218" t="str" cm="1">
        <f t="array" ref="J3218">_xlfn.IFS(I3218&lt;=3,"small",I3218&lt;=6,"Medium",I3218&lt;=9,"Large")</f>
        <v>small</v>
      </c>
      <c r="K3218" s="36">
        <v>45175</v>
      </c>
      <c r="L3218" s="36">
        <v>45182</v>
      </c>
      <c r="M3218" t="s">
        <v>598</v>
      </c>
      <c r="N3218" t="s">
        <v>604</v>
      </c>
      <c r="O3218" s="37" t="str">
        <f t="shared" si="253"/>
        <v>Digital Payment</v>
      </c>
      <c r="P3218">
        <v>291.45</v>
      </c>
      <c r="Q3218" s="37" t="str">
        <f>IF(P3218&gt;500,"High","low")</f>
        <v>low</v>
      </c>
      <c r="R3218" s="37" t="str">
        <f t="shared" si="254"/>
        <v>AVERAGE</v>
      </c>
      <c r="S3218" t="s">
        <v>615</v>
      </c>
    </row>
    <row r="3219" spans="1:19" x14ac:dyDescent="0.2">
      <c r="A3219" t="s">
        <v>3830</v>
      </c>
      <c r="B3219" t="s">
        <v>67</v>
      </c>
      <c r="C3219" t="s">
        <v>607</v>
      </c>
      <c r="D3219">
        <v>796.56</v>
      </c>
      <c r="E3219" s="37" t="str">
        <f t="shared" si="250"/>
        <v xml:space="preserve"> </v>
      </c>
      <c r="F3219">
        <v>0.28000000000000003</v>
      </c>
      <c r="G3219" s="37" t="str">
        <f t="shared" si="251"/>
        <v>Normal Discount</v>
      </c>
      <c r="H3219" s="37" t="str">
        <f t="shared" si="252"/>
        <v>Medium</v>
      </c>
      <c r="I3219">
        <v>5</v>
      </c>
      <c r="J3219" t="str" cm="1">
        <f t="array" ref="J3219">_xlfn.IFS(I3219&lt;=3,"small",I3219&lt;=6,"Medium",I3219&lt;=9,"Large")</f>
        <v>Medium</v>
      </c>
      <c r="K3219" s="36">
        <v>45264</v>
      </c>
      <c r="L3219" s="36">
        <v>45266</v>
      </c>
      <c r="M3219" t="s">
        <v>603</v>
      </c>
      <c r="N3219" t="s">
        <v>608</v>
      </c>
      <c r="O3219" s="37" t="str">
        <f t="shared" si="253"/>
        <v>Cash Payment</v>
      </c>
      <c r="P3219">
        <v>145.88999999999999</v>
      </c>
      <c r="Q3219" s="37" t="str">
        <f>IF(P3219&gt;500,"High","low")</f>
        <v>low</v>
      </c>
      <c r="R3219" s="37" t="str">
        <f t="shared" si="254"/>
        <v>AVERAGE</v>
      </c>
      <c r="S3219" t="s">
        <v>628</v>
      </c>
    </row>
    <row r="3220" spans="1:19" x14ac:dyDescent="0.2">
      <c r="A3220" t="s">
        <v>3831</v>
      </c>
      <c r="B3220" t="s">
        <v>75</v>
      </c>
      <c r="C3220" t="s">
        <v>614</v>
      </c>
      <c r="D3220">
        <v>1135.45</v>
      </c>
      <c r="E3220" s="37" t="str">
        <f t="shared" si="250"/>
        <v xml:space="preserve"> </v>
      </c>
      <c r="F3220">
        <v>0.42</v>
      </c>
      <c r="G3220" s="37" t="str">
        <f t="shared" si="251"/>
        <v>Heavy Discount</v>
      </c>
      <c r="H3220" s="37" t="str">
        <f t="shared" si="252"/>
        <v>High</v>
      </c>
      <c r="I3220">
        <v>8</v>
      </c>
      <c r="J3220" t="str" cm="1">
        <f t="array" ref="J3220">_xlfn.IFS(I3220&lt;=3,"small",I3220&lt;=6,"Medium",I3220&lt;=9,"Large")</f>
        <v>Large</v>
      </c>
      <c r="K3220" s="36">
        <v>45376</v>
      </c>
      <c r="L3220" s="36">
        <v>45380</v>
      </c>
      <c r="M3220" t="s">
        <v>612</v>
      </c>
      <c r="N3220" t="s">
        <v>608</v>
      </c>
      <c r="O3220" s="37" t="str">
        <f t="shared" si="253"/>
        <v>Cash Payment</v>
      </c>
      <c r="P3220">
        <v>105.59</v>
      </c>
      <c r="Q3220" s="37" t="str">
        <f>IF(P3220&gt;500,"High","low")</f>
        <v>low</v>
      </c>
      <c r="R3220" s="37" t="str">
        <f t="shared" si="254"/>
        <v>AVERAGE</v>
      </c>
      <c r="S3220" t="s">
        <v>620</v>
      </c>
    </row>
    <row r="3221" spans="1:19" x14ac:dyDescent="0.2">
      <c r="A3221" t="s">
        <v>3832</v>
      </c>
      <c r="B3221" t="s">
        <v>67</v>
      </c>
      <c r="C3221" t="s">
        <v>602</v>
      </c>
      <c r="D3221">
        <v>3066.54</v>
      </c>
      <c r="E3221" s="37" t="str">
        <f t="shared" si="250"/>
        <v xml:space="preserve"> </v>
      </c>
      <c r="F3221">
        <v>0.41</v>
      </c>
      <c r="G3221" s="37" t="str">
        <f t="shared" si="251"/>
        <v>Heavy Discount</v>
      </c>
      <c r="H3221" s="37" t="str">
        <f t="shared" si="252"/>
        <v>High</v>
      </c>
      <c r="I3221">
        <v>9</v>
      </c>
      <c r="J3221" t="str" cm="1">
        <f t="array" ref="J3221">_xlfn.IFS(I3221&lt;=3,"small",I3221&lt;=6,"Medium",I3221&lt;=9,"Large")</f>
        <v>Large</v>
      </c>
      <c r="K3221" s="36">
        <v>45017</v>
      </c>
      <c r="L3221" s="36">
        <v>45023</v>
      </c>
      <c r="M3221" t="s">
        <v>598</v>
      </c>
      <c r="N3221" t="s">
        <v>604</v>
      </c>
      <c r="O3221" s="37" t="str">
        <f t="shared" si="253"/>
        <v>Digital Payment</v>
      </c>
      <c r="P3221">
        <v>316.45999999999998</v>
      </c>
      <c r="Q3221" s="37" t="str">
        <f>IF(P3221&gt;500,"High","low")</f>
        <v>low</v>
      </c>
      <c r="R3221" s="37" t="str">
        <f t="shared" si="254"/>
        <v>AVERAGE</v>
      </c>
      <c r="S3221" t="s">
        <v>628</v>
      </c>
    </row>
    <row r="3222" spans="1:19" x14ac:dyDescent="0.2">
      <c r="A3222" t="s">
        <v>3833</v>
      </c>
      <c r="B3222" t="s">
        <v>83</v>
      </c>
      <c r="C3222" t="s">
        <v>597</v>
      </c>
      <c r="D3222">
        <v>2558.52</v>
      </c>
      <c r="E3222" s="37" t="str">
        <f t="shared" si="250"/>
        <v xml:space="preserve"> </v>
      </c>
      <c r="F3222">
        <v>0.3</v>
      </c>
      <c r="G3222" s="37" t="str">
        <f t="shared" si="251"/>
        <v>Normal Discount</v>
      </c>
      <c r="H3222" s="37" t="str">
        <f t="shared" si="252"/>
        <v>Medium</v>
      </c>
      <c r="I3222">
        <v>6</v>
      </c>
      <c r="J3222" t="str" cm="1">
        <f t="array" ref="J3222">_xlfn.IFS(I3222&lt;=3,"small",I3222&lt;=6,"Medium",I3222&lt;=9,"Large")</f>
        <v>Medium</v>
      </c>
      <c r="K3222" s="36">
        <v>45542</v>
      </c>
      <c r="L3222" s="36">
        <v>45543</v>
      </c>
      <c r="M3222" t="s">
        <v>612</v>
      </c>
      <c r="N3222" t="s">
        <v>608</v>
      </c>
      <c r="O3222" s="37" t="str">
        <f t="shared" si="253"/>
        <v>Cash Payment</v>
      </c>
      <c r="P3222">
        <v>666.58</v>
      </c>
      <c r="Q3222" s="37" t="str">
        <f>IF(P3222&gt;500,"High","low")</f>
        <v>High</v>
      </c>
      <c r="R3222" s="37" t="str">
        <f t="shared" si="254"/>
        <v>Good</v>
      </c>
      <c r="S3222" t="s">
        <v>600</v>
      </c>
    </row>
    <row r="3223" spans="1:19" x14ac:dyDescent="0.2">
      <c r="A3223" t="s">
        <v>3834</v>
      </c>
      <c r="B3223" t="s">
        <v>67</v>
      </c>
      <c r="C3223" t="s">
        <v>597</v>
      </c>
      <c r="D3223">
        <v>1562.67</v>
      </c>
      <c r="E3223" s="37" t="str">
        <f t="shared" si="250"/>
        <v xml:space="preserve"> </v>
      </c>
      <c r="F3223">
        <v>0.28999999999999998</v>
      </c>
      <c r="G3223" s="37" t="str">
        <f t="shared" si="251"/>
        <v>Normal Discount</v>
      </c>
      <c r="H3223" s="37" t="str">
        <f t="shared" si="252"/>
        <v>Medium</v>
      </c>
      <c r="I3223">
        <v>4</v>
      </c>
      <c r="J3223" t="str" cm="1">
        <f t="array" ref="J3223">_xlfn.IFS(I3223&lt;=3,"small",I3223&lt;=6,"Medium",I3223&lt;=9,"Large")</f>
        <v>Medium</v>
      </c>
      <c r="K3223" s="36">
        <v>45223</v>
      </c>
      <c r="L3223" s="36">
        <v>45228</v>
      </c>
      <c r="M3223" t="s">
        <v>612</v>
      </c>
      <c r="N3223" t="s">
        <v>608</v>
      </c>
      <c r="O3223" s="37" t="str">
        <f t="shared" si="253"/>
        <v>Cash Payment</v>
      </c>
      <c r="P3223">
        <v>257.79000000000002</v>
      </c>
      <c r="Q3223" s="37" t="str">
        <f>IF(P3223&gt;500,"High","low")</f>
        <v>low</v>
      </c>
      <c r="R3223" s="37" t="str">
        <f t="shared" si="254"/>
        <v>AVERAGE</v>
      </c>
      <c r="S3223" t="s">
        <v>600</v>
      </c>
    </row>
    <row r="3224" spans="1:19" x14ac:dyDescent="0.2">
      <c r="A3224" t="s">
        <v>3835</v>
      </c>
      <c r="B3224" t="s">
        <v>83</v>
      </c>
      <c r="C3224" t="s">
        <v>614</v>
      </c>
      <c r="D3224">
        <v>4430.8500000000004</v>
      </c>
      <c r="E3224" s="37" t="str">
        <f t="shared" si="250"/>
        <v xml:space="preserve"> </v>
      </c>
      <c r="F3224">
        <v>0.14000000000000001</v>
      </c>
      <c r="G3224" s="37" t="str">
        <f t="shared" si="251"/>
        <v>Normal Discount</v>
      </c>
      <c r="H3224" s="37" t="str">
        <f t="shared" si="252"/>
        <v>Low</v>
      </c>
      <c r="I3224">
        <v>9</v>
      </c>
      <c r="J3224" t="str" cm="1">
        <f t="array" ref="J3224">_xlfn.IFS(I3224&lt;=3,"small",I3224&lt;=6,"Medium",I3224&lt;=9,"Large")</f>
        <v>Large</v>
      </c>
      <c r="K3224" s="36">
        <v>45277</v>
      </c>
      <c r="L3224" s="36">
        <v>45284</v>
      </c>
      <c r="M3224" t="s">
        <v>598</v>
      </c>
      <c r="N3224" t="s">
        <v>608</v>
      </c>
      <c r="O3224" s="37" t="str">
        <f t="shared" si="253"/>
        <v>Cash Payment</v>
      </c>
      <c r="P3224">
        <v>425.99</v>
      </c>
      <c r="Q3224" s="37" t="str">
        <f>IF(P3224&gt;500,"High","low")</f>
        <v>low</v>
      </c>
      <c r="R3224" s="37" t="str">
        <f t="shared" si="254"/>
        <v>AVERAGE</v>
      </c>
      <c r="S3224" t="s">
        <v>605</v>
      </c>
    </row>
    <row r="3225" spans="1:19" x14ac:dyDescent="0.2">
      <c r="A3225" t="s">
        <v>3836</v>
      </c>
      <c r="B3225" t="s">
        <v>90</v>
      </c>
      <c r="C3225" t="s">
        <v>607</v>
      </c>
      <c r="D3225">
        <v>4516.8</v>
      </c>
      <c r="E3225" s="37" t="str">
        <f t="shared" si="250"/>
        <v>Excellent Order</v>
      </c>
      <c r="F3225">
        <v>0.48</v>
      </c>
      <c r="G3225" s="37" t="str">
        <f t="shared" si="251"/>
        <v>Heavy Discount</v>
      </c>
      <c r="H3225" s="37" t="str">
        <f t="shared" si="252"/>
        <v>High</v>
      </c>
      <c r="I3225">
        <v>4</v>
      </c>
      <c r="J3225" t="str" cm="1">
        <f t="array" ref="J3225">_xlfn.IFS(I3225&lt;=3,"small",I3225&lt;=6,"Medium",I3225&lt;=9,"Large")</f>
        <v>Medium</v>
      </c>
      <c r="K3225" s="36">
        <v>45543</v>
      </c>
      <c r="L3225" s="36">
        <v>45548</v>
      </c>
      <c r="M3225" t="s">
        <v>612</v>
      </c>
      <c r="N3225" t="s">
        <v>599</v>
      </c>
      <c r="O3225" s="37" t="str">
        <f t="shared" si="253"/>
        <v>Digital Payment</v>
      </c>
      <c r="P3225">
        <v>1068.3499999999999</v>
      </c>
      <c r="Q3225" s="37" t="str">
        <f>IF(P3225&gt;500,"High","low")</f>
        <v>High</v>
      </c>
      <c r="R3225" s="37" t="str">
        <f t="shared" si="254"/>
        <v>Excellent</v>
      </c>
      <c r="S3225" t="s">
        <v>600</v>
      </c>
    </row>
    <row r="3226" spans="1:19" x14ac:dyDescent="0.2">
      <c r="A3226" t="s">
        <v>3837</v>
      </c>
      <c r="B3226" t="s">
        <v>83</v>
      </c>
      <c r="C3226" t="s">
        <v>617</v>
      </c>
      <c r="D3226">
        <v>1529.25</v>
      </c>
      <c r="E3226" s="37" t="str">
        <f t="shared" si="250"/>
        <v xml:space="preserve"> </v>
      </c>
      <c r="F3226">
        <v>0.04</v>
      </c>
      <c r="G3226" s="37" t="str">
        <f t="shared" si="251"/>
        <v>Normal Discount</v>
      </c>
      <c r="H3226" s="37" t="str">
        <f t="shared" si="252"/>
        <v>Low</v>
      </c>
      <c r="I3226">
        <v>6</v>
      </c>
      <c r="J3226" t="str" cm="1">
        <f t="array" ref="J3226">_xlfn.IFS(I3226&lt;=3,"small",I3226&lt;=6,"Medium",I3226&lt;=9,"Large")</f>
        <v>Medium</v>
      </c>
      <c r="K3226" s="36">
        <v>45152</v>
      </c>
      <c r="L3226" s="36">
        <v>45157</v>
      </c>
      <c r="M3226" t="s">
        <v>603</v>
      </c>
      <c r="N3226" t="s">
        <v>599</v>
      </c>
      <c r="O3226" s="37" t="str">
        <f t="shared" si="253"/>
        <v>Digital Payment</v>
      </c>
      <c r="P3226">
        <v>417.28</v>
      </c>
      <c r="Q3226" s="37" t="str">
        <f>IF(P3226&gt;500,"High","low")</f>
        <v>low</v>
      </c>
      <c r="R3226" s="37" t="str">
        <f t="shared" si="254"/>
        <v>AVERAGE</v>
      </c>
      <c r="S3226" t="s">
        <v>605</v>
      </c>
    </row>
    <row r="3227" spans="1:19" x14ac:dyDescent="0.2">
      <c r="A3227" t="s">
        <v>3838</v>
      </c>
      <c r="B3227" t="s">
        <v>67</v>
      </c>
      <c r="C3227" t="s">
        <v>614</v>
      </c>
      <c r="D3227">
        <v>863.19</v>
      </c>
      <c r="E3227" s="37" t="str">
        <f t="shared" si="250"/>
        <v xml:space="preserve"> </v>
      </c>
      <c r="F3227">
        <v>0.2</v>
      </c>
      <c r="G3227" s="37" t="str">
        <f t="shared" si="251"/>
        <v>Normal Discount</v>
      </c>
      <c r="H3227" s="37" t="str">
        <f t="shared" si="252"/>
        <v>Medium</v>
      </c>
      <c r="I3227">
        <v>5</v>
      </c>
      <c r="J3227" t="str" cm="1">
        <f t="array" ref="J3227">_xlfn.IFS(I3227&lt;=3,"small",I3227&lt;=6,"Medium",I3227&lt;=9,"Large")</f>
        <v>Medium</v>
      </c>
      <c r="K3227" s="36">
        <v>45189</v>
      </c>
      <c r="L3227" s="36">
        <v>45191</v>
      </c>
      <c r="M3227" t="s">
        <v>603</v>
      </c>
      <c r="N3227" t="s">
        <v>604</v>
      </c>
      <c r="O3227" s="37" t="str">
        <f t="shared" si="253"/>
        <v>Digital Payment</v>
      </c>
      <c r="P3227">
        <v>189.66</v>
      </c>
      <c r="Q3227" s="37" t="str">
        <f>IF(P3227&gt;500,"High","low")</f>
        <v>low</v>
      </c>
      <c r="R3227" s="37" t="str">
        <f t="shared" si="254"/>
        <v>AVERAGE</v>
      </c>
      <c r="S3227" t="s">
        <v>609</v>
      </c>
    </row>
    <row r="3228" spans="1:19" x14ac:dyDescent="0.2">
      <c r="A3228" t="s">
        <v>3839</v>
      </c>
      <c r="B3228" t="s">
        <v>75</v>
      </c>
      <c r="C3228" t="s">
        <v>617</v>
      </c>
      <c r="D3228">
        <v>830.55</v>
      </c>
      <c r="E3228" s="37" t="str">
        <f t="shared" si="250"/>
        <v xml:space="preserve"> </v>
      </c>
      <c r="F3228">
        <v>0.33</v>
      </c>
      <c r="G3228" s="37" t="str">
        <f t="shared" si="251"/>
        <v>Heavy Discount</v>
      </c>
      <c r="H3228" s="37" t="str">
        <f t="shared" si="252"/>
        <v>Medium</v>
      </c>
      <c r="I3228">
        <v>1</v>
      </c>
      <c r="J3228" t="str" cm="1">
        <f t="array" ref="J3228">_xlfn.IFS(I3228&lt;=3,"small",I3228&lt;=6,"Medium",I3228&lt;=9,"Large")</f>
        <v>small</v>
      </c>
      <c r="K3228" s="36">
        <v>45495</v>
      </c>
      <c r="L3228" s="36">
        <v>45498</v>
      </c>
      <c r="M3228" t="s">
        <v>612</v>
      </c>
      <c r="N3228" t="s">
        <v>608</v>
      </c>
      <c r="O3228" s="37" t="str">
        <f t="shared" si="253"/>
        <v>Cash Payment</v>
      </c>
      <c r="P3228">
        <v>232.72</v>
      </c>
      <c r="Q3228" s="37" t="str">
        <f>IF(P3228&gt;500,"High","low")</f>
        <v>low</v>
      </c>
      <c r="R3228" s="37" t="str">
        <f t="shared" si="254"/>
        <v>AVERAGE</v>
      </c>
      <c r="S3228" t="s">
        <v>628</v>
      </c>
    </row>
    <row r="3229" spans="1:19" x14ac:dyDescent="0.2">
      <c r="A3229" t="s">
        <v>3840</v>
      </c>
      <c r="B3229" t="s">
        <v>83</v>
      </c>
      <c r="C3229" t="s">
        <v>614</v>
      </c>
      <c r="D3229">
        <v>2473.6799999999998</v>
      </c>
      <c r="E3229" s="37" t="str">
        <f t="shared" si="250"/>
        <v xml:space="preserve"> </v>
      </c>
      <c r="F3229">
        <v>0.47</v>
      </c>
      <c r="G3229" s="37" t="str">
        <f t="shared" si="251"/>
        <v>Heavy Discount</v>
      </c>
      <c r="H3229" s="37" t="str">
        <f t="shared" si="252"/>
        <v>High</v>
      </c>
      <c r="I3229">
        <v>4</v>
      </c>
      <c r="J3229" t="str" cm="1">
        <f t="array" ref="J3229">_xlfn.IFS(I3229&lt;=3,"small",I3229&lt;=6,"Medium",I3229&lt;=9,"Large")</f>
        <v>Medium</v>
      </c>
      <c r="K3229" s="36">
        <v>45611</v>
      </c>
      <c r="L3229" s="36">
        <v>45618</v>
      </c>
      <c r="M3229" t="s">
        <v>598</v>
      </c>
      <c r="N3229" t="s">
        <v>599</v>
      </c>
      <c r="O3229" s="37" t="str">
        <f t="shared" si="253"/>
        <v>Digital Payment</v>
      </c>
      <c r="P3229">
        <v>300.85000000000002</v>
      </c>
      <c r="Q3229" s="37" t="str">
        <f>IF(P3229&gt;500,"High","low")</f>
        <v>low</v>
      </c>
      <c r="R3229" s="37" t="str">
        <f t="shared" si="254"/>
        <v>AVERAGE</v>
      </c>
      <c r="S3229" t="s">
        <v>620</v>
      </c>
    </row>
    <row r="3230" spans="1:19" x14ac:dyDescent="0.2">
      <c r="A3230" t="s">
        <v>3841</v>
      </c>
      <c r="B3230" t="s">
        <v>90</v>
      </c>
      <c r="C3230" t="s">
        <v>597</v>
      </c>
      <c r="D3230">
        <v>751.3</v>
      </c>
      <c r="E3230" s="37" t="str">
        <f t="shared" si="250"/>
        <v xml:space="preserve"> </v>
      </c>
      <c r="F3230">
        <v>0.25</v>
      </c>
      <c r="G3230" s="37" t="str">
        <f t="shared" si="251"/>
        <v>Normal Discount</v>
      </c>
      <c r="H3230" s="37" t="str">
        <f t="shared" si="252"/>
        <v>Medium</v>
      </c>
      <c r="I3230">
        <v>3</v>
      </c>
      <c r="J3230" t="str" cm="1">
        <f t="array" ref="J3230">_xlfn.IFS(I3230&lt;=3,"small",I3230&lt;=6,"Medium",I3230&lt;=9,"Large")</f>
        <v>small</v>
      </c>
      <c r="K3230" s="36">
        <v>45052</v>
      </c>
      <c r="L3230" s="36">
        <v>45053</v>
      </c>
      <c r="M3230" t="s">
        <v>612</v>
      </c>
      <c r="N3230" t="s">
        <v>599</v>
      </c>
      <c r="O3230" s="37" t="str">
        <f t="shared" si="253"/>
        <v>Digital Payment</v>
      </c>
      <c r="P3230">
        <v>118.85</v>
      </c>
      <c r="Q3230" s="37" t="str">
        <f>IF(P3230&gt;500,"High","low")</f>
        <v>low</v>
      </c>
      <c r="R3230" s="37" t="str">
        <f t="shared" si="254"/>
        <v>AVERAGE</v>
      </c>
      <c r="S3230" t="s">
        <v>600</v>
      </c>
    </row>
    <row r="3231" spans="1:19" x14ac:dyDescent="0.2">
      <c r="A3231" t="s">
        <v>3842</v>
      </c>
      <c r="B3231" t="s">
        <v>83</v>
      </c>
      <c r="C3231" t="s">
        <v>607</v>
      </c>
      <c r="D3231">
        <v>2419.37</v>
      </c>
      <c r="E3231" s="37" t="str">
        <f t="shared" si="250"/>
        <v xml:space="preserve"> </v>
      </c>
      <c r="F3231">
        <v>0.45</v>
      </c>
      <c r="G3231" s="37" t="str">
        <f t="shared" si="251"/>
        <v>Heavy Discount</v>
      </c>
      <c r="H3231" s="37" t="str">
        <f t="shared" si="252"/>
        <v>High</v>
      </c>
      <c r="I3231">
        <v>8</v>
      </c>
      <c r="J3231" t="str" cm="1">
        <f t="array" ref="J3231">_xlfn.IFS(I3231&lt;=3,"small",I3231&lt;=6,"Medium",I3231&lt;=9,"Large")</f>
        <v>Large</v>
      </c>
      <c r="K3231" s="36">
        <v>45019</v>
      </c>
      <c r="L3231" s="36">
        <v>45022</v>
      </c>
      <c r="M3231" t="s">
        <v>598</v>
      </c>
      <c r="N3231" t="s">
        <v>608</v>
      </c>
      <c r="O3231" s="37" t="str">
        <f t="shared" si="253"/>
        <v>Cash Payment</v>
      </c>
      <c r="P3231">
        <v>184.68</v>
      </c>
      <c r="Q3231" s="37" t="str">
        <f>IF(P3231&gt;500,"High","low")</f>
        <v>low</v>
      </c>
      <c r="R3231" s="37" t="str">
        <f t="shared" si="254"/>
        <v>AVERAGE</v>
      </c>
      <c r="S3231" t="s">
        <v>620</v>
      </c>
    </row>
    <row r="3232" spans="1:19" x14ac:dyDescent="0.2">
      <c r="A3232" t="s">
        <v>3843</v>
      </c>
      <c r="B3232" t="s">
        <v>83</v>
      </c>
      <c r="C3232" t="s">
        <v>597</v>
      </c>
      <c r="D3232">
        <v>2363.48</v>
      </c>
      <c r="E3232" s="37" t="str">
        <f t="shared" si="250"/>
        <v xml:space="preserve"> </v>
      </c>
      <c r="F3232">
        <v>0.05</v>
      </c>
      <c r="G3232" s="37" t="str">
        <f t="shared" si="251"/>
        <v>Normal Discount</v>
      </c>
      <c r="H3232" s="37" t="str">
        <f t="shared" si="252"/>
        <v>Low</v>
      </c>
      <c r="I3232">
        <v>7</v>
      </c>
      <c r="J3232" t="str" cm="1">
        <f t="array" ref="J3232">_xlfn.IFS(I3232&lt;=3,"small",I3232&lt;=6,"Medium",I3232&lt;=9,"Large")</f>
        <v>Large</v>
      </c>
      <c r="K3232" s="36">
        <v>45047</v>
      </c>
      <c r="L3232" s="36">
        <v>45050</v>
      </c>
      <c r="M3232" t="s">
        <v>612</v>
      </c>
      <c r="N3232" t="s">
        <v>608</v>
      </c>
      <c r="O3232" s="37" t="str">
        <f t="shared" si="253"/>
        <v>Cash Payment</v>
      </c>
      <c r="P3232">
        <v>161.53</v>
      </c>
      <c r="Q3232" s="37" t="str">
        <f>IF(P3232&gt;500,"High","low")</f>
        <v>low</v>
      </c>
      <c r="R3232" s="37" t="str">
        <f t="shared" si="254"/>
        <v>AVERAGE</v>
      </c>
      <c r="S3232" t="s">
        <v>615</v>
      </c>
    </row>
    <row r="3233" spans="1:19" x14ac:dyDescent="0.2">
      <c r="A3233" t="s">
        <v>3844</v>
      </c>
      <c r="B3233" t="s">
        <v>83</v>
      </c>
      <c r="C3233" t="s">
        <v>607</v>
      </c>
      <c r="D3233">
        <v>4432.1400000000003</v>
      </c>
      <c r="E3233" s="37" t="str">
        <f t="shared" si="250"/>
        <v xml:space="preserve"> </v>
      </c>
      <c r="F3233">
        <v>0.27</v>
      </c>
      <c r="G3233" s="37" t="str">
        <f t="shared" si="251"/>
        <v>Normal Discount</v>
      </c>
      <c r="H3233" s="37" t="str">
        <f t="shared" si="252"/>
        <v>Medium</v>
      </c>
      <c r="I3233">
        <v>1</v>
      </c>
      <c r="J3233" t="str" cm="1">
        <f t="array" ref="J3233">_xlfn.IFS(I3233&lt;=3,"small",I3233&lt;=6,"Medium",I3233&lt;=9,"Large")</f>
        <v>small</v>
      </c>
      <c r="K3233" s="36">
        <v>45151</v>
      </c>
      <c r="L3233" s="36">
        <v>45156</v>
      </c>
      <c r="M3233" t="s">
        <v>598</v>
      </c>
      <c r="N3233" t="s">
        <v>608</v>
      </c>
      <c r="O3233" s="37" t="str">
        <f t="shared" si="253"/>
        <v>Cash Payment</v>
      </c>
      <c r="P3233">
        <v>668.36</v>
      </c>
      <c r="Q3233" s="37" t="str">
        <f>IF(P3233&gt;500,"High","low")</f>
        <v>High</v>
      </c>
      <c r="R3233" s="37" t="str">
        <f t="shared" si="254"/>
        <v>Good</v>
      </c>
      <c r="S3233" t="s">
        <v>609</v>
      </c>
    </row>
    <row r="3234" spans="1:19" x14ac:dyDescent="0.2">
      <c r="A3234" t="s">
        <v>3845</v>
      </c>
      <c r="B3234" t="s">
        <v>90</v>
      </c>
      <c r="C3234" t="s">
        <v>617</v>
      </c>
      <c r="D3234">
        <v>1551.43</v>
      </c>
      <c r="E3234" s="37" t="str">
        <f t="shared" si="250"/>
        <v xml:space="preserve"> </v>
      </c>
      <c r="F3234">
        <v>0.16</v>
      </c>
      <c r="G3234" s="37" t="str">
        <f t="shared" si="251"/>
        <v>Normal Discount</v>
      </c>
      <c r="H3234" s="37" t="str">
        <f t="shared" si="252"/>
        <v>Low</v>
      </c>
      <c r="I3234">
        <v>8</v>
      </c>
      <c r="J3234" t="str" cm="1">
        <f t="array" ref="J3234">_xlfn.IFS(I3234&lt;=3,"small",I3234&lt;=6,"Medium",I3234&lt;=9,"Large")</f>
        <v>Large</v>
      </c>
      <c r="K3234" s="36">
        <v>45441</v>
      </c>
      <c r="L3234" s="36">
        <v>45444</v>
      </c>
      <c r="M3234" t="s">
        <v>612</v>
      </c>
      <c r="N3234" t="s">
        <v>599</v>
      </c>
      <c r="O3234" s="37" t="str">
        <f t="shared" si="253"/>
        <v>Digital Payment</v>
      </c>
      <c r="P3234">
        <v>342.15</v>
      </c>
      <c r="Q3234" s="37" t="str">
        <f>IF(P3234&gt;500,"High","low")</f>
        <v>low</v>
      </c>
      <c r="R3234" s="37" t="str">
        <f t="shared" si="254"/>
        <v>AVERAGE</v>
      </c>
      <c r="S3234" t="s">
        <v>628</v>
      </c>
    </row>
    <row r="3235" spans="1:19" x14ac:dyDescent="0.2">
      <c r="A3235" t="s">
        <v>3846</v>
      </c>
      <c r="B3235" t="s">
        <v>67</v>
      </c>
      <c r="C3235" t="s">
        <v>614</v>
      </c>
      <c r="D3235">
        <v>2847.2</v>
      </c>
      <c r="E3235" s="37" t="str">
        <f t="shared" si="250"/>
        <v xml:space="preserve"> </v>
      </c>
      <c r="F3235">
        <v>0.4</v>
      </c>
      <c r="G3235" s="37" t="str">
        <f t="shared" si="251"/>
        <v>Heavy Discount</v>
      </c>
      <c r="H3235" s="37" t="str">
        <f t="shared" si="252"/>
        <v>Medium</v>
      </c>
      <c r="I3235">
        <v>7</v>
      </c>
      <c r="J3235" t="str" cm="1">
        <f t="array" ref="J3235">_xlfn.IFS(I3235&lt;=3,"small",I3235&lt;=6,"Medium",I3235&lt;=9,"Large")</f>
        <v>Large</v>
      </c>
      <c r="K3235" s="36">
        <v>45030</v>
      </c>
      <c r="L3235" s="36">
        <v>45034</v>
      </c>
      <c r="M3235" t="s">
        <v>598</v>
      </c>
      <c r="N3235" t="s">
        <v>604</v>
      </c>
      <c r="O3235" s="37" t="str">
        <f t="shared" si="253"/>
        <v>Digital Payment</v>
      </c>
      <c r="P3235">
        <v>679.26</v>
      </c>
      <c r="Q3235" s="37" t="str">
        <f>IF(P3235&gt;500,"High","low")</f>
        <v>High</v>
      </c>
      <c r="R3235" s="37" t="str">
        <f t="shared" si="254"/>
        <v>Good</v>
      </c>
      <c r="S3235" t="s">
        <v>628</v>
      </c>
    </row>
    <row r="3236" spans="1:19" x14ac:dyDescent="0.2">
      <c r="A3236" t="s">
        <v>3847</v>
      </c>
      <c r="B3236" t="s">
        <v>83</v>
      </c>
      <c r="C3236" t="s">
        <v>602</v>
      </c>
      <c r="D3236">
        <v>3743.15</v>
      </c>
      <c r="E3236" s="37" t="str">
        <f t="shared" si="250"/>
        <v xml:space="preserve"> </v>
      </c>
      <c r="F3236">
        <v>0.22</v>
      </c>
      <c r="G3236" s="37" t="str">
        <f t="shared" si="251"/>
        <v>Normal Discount</v>
      </c>
      <c r="H3236" s="37" t="str">
        <f t="shared" si="252"/>
        <v>Medium</v>
      </c>
      <c r="I3236">
        <v>2</v>
      </c>
      <c r="J3236" t="str" cm="1">
        <f t="array" ref="J3236">_xlfn.IFS(I3236&lt;=3,"small",I3236&lt;=6,"Medium",I3236&lt;=9,"Large")</f>
        <v>small</v>
      </c>
      <c r="K3236" s="36">
        <v>45598</v>
      </c>
      <c r="L3236" s="36">
        <v>45601</v>
      </c>
      <c r="M3236" t="s">
        <v>612</v>
      </c>
      <c r="N3236" t="s">
        <v>599</v>
      </c>
      <c r="O3236" s="37" t="str">
        <f t="shared" si="253"/>
        <v>Digital Payment</v>
      </c>
      <c r="P3236">
        <v>328.32</v>
      </c>
      <c r="Q3236" s="37" t="str">
        <f>IF(P3236&gt;500,"High","low")</f>
        <v>low</v>
      </c>
      <c r="R3236" s="37" t="str">
        <f t="shared" si="254"/>
        <v>AVERAGE</v>
      </c>
      <c r="S3236" t="s">
        <v>605</v>
      </c>
    </row>
    <row r="3237" spans="1:19" x14ac:dyDescent="0.2">
      <c r="A3237" t="s">
        <v>3848</v>
      </c>
      <c r="B3237" t="s">
        <v>83</v>
      </c>
      <c r="C3237" t="s">
        <v>602</v>
      </c>
      <c r="D3237">
        <v>3019.98</v>
      </c>
      <c r="E3237" s="37" t="str">
        <f t="shared" si="250"/>
        <v xml:space="preserve"> </v>
      </c>
      <c r="F3237">
        <v>0.24</v>
      </c>
      <c r="G3237" s="37" t="str">
        <f t="shared" si="251"/>
        <v>Normal Discount</v>
      </c>
      <c r="H3237" s="37" t="str">
        <f t="shared" si="252"/>
        <v>Medium</v>
      </c>
      <c r="I3237">
        <v>4</v>
      </c>
      <c r="J3237" t="str" cm="1">
        <f t="array" ref="J3237">_xlfn.IFS(I3237&lt;=3,"small",I3237&lt;=6,"Medium",I3237&lt;=9,"Large")</f>
        <v>Medium</v>
      </c>
      <c r="K3237" s="36">
        <v>45649</v>
      </c>
      <c r="L3237" s="36">
        <v>45652</v>
      </c>
      <c r="M3237" t="s">
        <v>598</v>
      </c>
      <c r="N3237" t="s">
        <v>604</v>
      </c>
      <c r="O3237" s="37" t="str">
        <f t="shared" si="253"/>
        <v>Digital Payment</v>
      </c>
      <c r="P3237">
        <v>614.37</v>
      </c>
      <c r="Q3237" s="37" t="str">
        <f>IF(P3237&gt;500,"High","low")</f>
        <v>High</v>
      </c>
      <c r="R3237" s="37" t="str">
        <f t="shared" si="254"/>
        <v>Good</v>
      </c>
      <c r="S3237" t="s">
        <v>620</v>
      </c>
    </row>
    <row r="3238" spans="1:19" x14ac:dyDescent="0.2">
      <c r="A3238" t="s">
        <v>3849</v>
      </c>
      <c r="B3238" t="s">
        <v>75</v>
      </c>
      <c r="C3238" t="s">
        <v>607</v>
      </c>
      <c r="D3238">
        <v>4774.93</v>
      </c>
      <c r="E3238" s="37" t="str">
        <f t="shared" si="250"/>
        <v>Excellent Order</v>
      </c>
      <c r="F3238">
        <v>0.03</v>
      </c>
      <c r="G3238" s="37" t="str">
        <f t="shared" si="251"/>
        <v>Normal Discount</v>
      </c>
      <c r="H3238" s="37" t="str">
        <f t="shared" si="252"/>
        <v>Low</v>
      </c>
      <c r="I3238">
        <v>2</v>
      </c>
      <c r="J3238" t="str" cm="1">
        <f t="array" ref="J3238">_xlfn.IFS(I3238&lt;=3,"small",I3238&lt;=6,"Medium",I3238&lt;=9,"Large")</f>
        <v>small</v>
      </c>
      <c r="K3238" s="36">
        <v>45250</v>
      </c>
      <c r="L3238" s="36">
        <v>45255</v>
      </c>
      <c r="M3238" t="s">
        <v>603</v>
      </c>
      <c r="N3238" t="s">
        <v>599</v>
      </c>
      <c r="O3238" s="37" t="str">
        <f t="shared" si="253"/>
        <v>Digital Payment</v>
      </c>
      <c r="P3238">
        <v>865.42</v>
      </c>
      <c r="Q3238" s="37" t="str">
        <f>IF(P3238&gt;500,"High","low")</f>
        <v>High</v>
      </c>
      <c r="R3238" s="37" t="str">
        <f t="shared" si="254"/>
        <v>Good</v>
      </c>
      <c r="S3238" t="s">
        <v>600</v>
      </c>
    </row>
    <row r="3239" spans="1:19" x14ac:dyDescent="0.2">
      <c r="A3239" t="s">
        <v>3850</v>
      </c>
      <c r="B3239" t="s">
        <v>90</v>
      </c>
      <c r="C3239" t="s">
        <v>607</v>
      </c>
      <c r="D3239">
        <v>3051.16</v>
      </c>
      <c r="E3239" s="37" t="str">
        <f t="shared" si="250"/>
        <v xml:space="preserve"> </v>
      </c>
      <c r="F3239">
        <v>0.22</v>
      </c>
      <c r="G3239" s="37" t="str">
        <f t="shared" si="251"/>
        <v>Normal Discount</v>
      </c>
      <c r="H3239" s="37" t="str">
        <f t="shared" si="252"/>
        <v>Medium</v>
      </c>
      <c r="I3239">
        <v>9</v>
      </c>
      <c r="J3239" t="str" cm="1">
        <f t="array" ref="J3239">_xlfn.IFS(I3239&lt;=3,"small",I3239&lt;=6,"Medium",I3239&lt;=9,"Large")</f>
        <v>Large</v>
      </c>
      <c r="K3239" s="36">
        <v>45320</v>
      </c>
      <c r="L3239" s="36">
        <v>45323</v>
      </c>
      <c r="M3239" t="s">
        <v>603</v>
      </c>
      <c r="N3239" t="s">
        <v>599</v>
      </c>
      <c r="O3239" s="37" t="str">
        <f t="shared" si="253"/>
        <v>Digital Payment</v>
      </c>
      <c r="P3239">
        <v>768.81</v>
      </c>
      <c r="Q3239" s="37" t="str">
        <f>IF(P3239&gt;500,"High","low")</f>
        <v>High</v>
      </c>
      <c r="R3239" s="37" t="str">
        <f t="shared" si="254"/>
        <v>Good</v>
      </c>
      <c r="S3239" t="s">
        <v>609</v>
      </c>
    </row>
    <row r="3240" spans="1:19" x14ac:dyDescent="0.2">
      <c r="A3240" t="s">
        <v>3851</v>
      </c>
      <c r="B3240" t="s">
        <v>83</v>
      </c>
      <c r="C3240" t="s">
        <v>597</v>
      </c>
      <c r="D3240">
        <v>4519.12</v>
      </c>
      <c r="E3240" s="37" t="str">
        <f t="shared" si="250"/>
        <v>Excellent Order</v>
      </c>
      <c r="F3240">
        <v>0.04</v>
      </c>
      <c r="G3240" s="37" t="str">
        <f t="shared" si="251"/>
        <v>Normal Discount</v>
      </c>
      <c r="H3240" s="37" t="str">
        <f t="shared" si="252"/>
        <v>Low</v>
      </c>
      <c r="I3240">
        <v>8</v>
      </c>
      <c r="J3240" t="str" cm="1">
        <f t="array" ref="J3240">_xlfn.IFS(I3240&lt;=3,"small",I3240&lt;=6,"Medium",I3240&lt;=9,"Large")</f>
        <v>Large</v>
      </c>
      <c r="K3240" s="36">
        <v>45265</v>
      </c>
      <c r="L3240" s="36">
        <v>45267</v>
      </c>
      <c r="M3240" t="s">
        <v>598</v>
      </c>
      <c r="N3240" t="s">
        <v>608</v>
      </c>
      <c r="O3240" s="37" t="str">
        <f t="shared" si="253"/>
        <v>Cash Payment</v>
      </c>
      <c r="P3240">
        <v>1049.22</v>
      </c>
      <c r="Q3240" s="37" t="str">
        <f>IF(P3240&gt;500,"High","low")</f>
        <v>High</v>
      </c>
      <c r="R3240" s="37" t="str">
        <f t="shared" si="254"/>
        <v>Excellent</v>
      </c>
      <c r="S3240" t="s">
        <v>620</v>
      </c>
    </row>
    <row r="3241" spans="1:19" x14ac:dyDescent="0.2">
      <c r="A3241" t="s">
        <v>3852</v>
      </c>
      <c r="B3241" t="s">
        <v>90</v>
      </c>
      <c r="C3241" t="s">
        <v>602</v>
      </c>
      <c r="D3241">
        <v>1300.78</v>
      </c>
      <c r="E3241" s="37" t="str">
        <f t="shared" si="250"/>
        <v xml:space="preserve"> </v>
      </c>
      <c r="F3241">
        <v>0.15</v>
      </c>
      <c r="G3241" s="37" t="str">
        <f t="shared" si="251"/>
        <v>Normal Discount</v>
      </c>
      <c r="H3241" s="37" t="str">
        <f t="shared" si="252"/>
        <v>Low</v>
      </c>
      <c r="I3241">
        <v>1</v>
      </c>
      <c r="J3241" t="str" cm="1">
        <f t="array" ref="J3241">_xlfn.IFS(I3241&lt;=3,"small",I3241&lt;=6,"Medium",I3241&lt;=9,"Large")</f>
        <v>small</v>
      </c>
      <c r="K3241" s="36">
        <v>45107</v>
      </c>
      <c r="L3241" s="36">
        <v>45113</v>
      </c>
      <c r="M3241" t="s">
        <v>598</v>
      </c>
      <c r="N3241" t="s">
        <v>608</v>
      </c>
      <c r="O3241" s="37" t="str">
        <f t="shared" si="253"/>
        <v>Cash Payment</v>
      </c>
      <c r="P3241">
        <v>227.64</v>
      </c>
      <c r="Q3241" s="37" t="str">
        <f>IF(P3241&gt;500,"High","low")</f>
        <v>low</v>
      </c>
      <c r="R3241" s="37" t="str">
        <f t="shared" si="254"/>
        <v>AVERAGE</v>
      </c>
      <c r="S3241" t="s">
        <v>605</v>
      </c>
    </row>
    <row r="3242" spans="1:19" x14ac:dyDescent="0.2">
      <c r="A3242" t="s">
        <v>3853</v>
      </c>
      <c r="B3242" t="s">
        <v>83</v>
      </c>
      <c r="C3242" t="s">
        <v>597</v>
      </c>
      <c r="D3242">
        <v>2847.69</v>
      </c>
      <c r="E3242" s="37" t="str">
        <f t="shared" si="250"/>
        <v xml:space="preserve"> </v>
      </c>
      <c r="F3242">
        <v>0.06</v>
      </c>
      <c r="G3242" s="37" t="str">
        <f t="shared" si="251"/>
        <v>Normal Discount</v>
      </c>
      <c r="H3242" s="37" t="str">
        <f t="shared" si="252"/>
        <v>Low</v>
      </c>
      <c r="I3242">
        <v>1</v>
      </c>
      <c r="J3242" t="str" cm="1">
        <f t="array" ref="J3242">_xlfn.IFS(I3242&lt;=3,"small",I3242&lt;=6,"Medium",I3242&lt;=9,"Large")</f>
        <v>small</v>
      </c>
      <c r="K3242" s="36">
        <v>45514</v>
      </c>
      <c r="L3242" s="36">
        <v>45515</v>
      </c>
      <c r="M3242" t="s">
        <v>603</v>
      </c>
      <c r="N3242" t="s">
        <v>604</v>
      </c>
      <c r="O3242" s="37" t="str">
        <f t="shared" si="253"/>
        <v>Digital Payment</v>
      </c>
      <c r="P3242">
        <v>317.7</v>
      </c>
      <c r="Q3242" s="37" t="str">
        <f>IF(P3242&gt;500,"High","low")</f>
        <v>low</v>
      </c>
      <c r="R3242" s="37" t="str">
        <f t="shared" si="254"/>
        <v>AVERAGE</v>
      </c>
      <c r="S3242" t="s">
        <v>615</v>
      </c>
    </row>
    <row r="3243" spans="1:19" x14ac:dyDescent="0.2">
      <c r="A3243" t="s">
        <v>3854</v>
      </c>
      <c r="B3243" t="s">
        <v>67</v>
      </c>
      <c r="C3243" t="s">
        <v>617</v>
      </c>
      <c r="D3243">
        <v>2762.2</v>
      </c>
      <c r="E3243" s="37" t="str">
        <f t="shared" si="250"/>
        <v xml:space="preserve"> </v>
      </c>
      <c r="F3243">
        <v>0.17</v>
      </c>
      <c r="G3243" s="37" t="str">
        <f t="shared" si="251"/>
        <v>Normal Discount</v>
      </c>
      <c r="H3243" s="37" t="str">
        <f t="shared" si="252"/>
        <v>Low</v>
      </c>
      <c r="I3243">
        <v>8</v>
      </c>
      <c r="J3243" t="str" cm="1">
        <f t="array" ref="J3243">_xlfn.IFS(I3243&lt;=3,"small",I3243&lt;=6,"Medium",I3243&lt;=9,"Large")</f>
        <v>Large</v>
      </c>
      <c r="K3243" s="36">
        <v>45598</v>
      </c>
      <c r="L3243" s="36">
        <v>45602</v>
      </c>
      <c r="M3243" t="s">
        <v>598</v>
      </c>
      <c r="N3243" t="s">
        <v>599</v>
      </c>
      <c r="O3243" s="37" t="str">
        <f t="shared" si="253"/>
        <v>Digital Payment</v>
      </c>
      <c r="P3243">
        <v>743.77</v>
      </c>
      <c r="Q3243" s="37" t="str">
        <f>IF(P3243&gt;500,"High","low")</f>
        <v>High</v>
      </c>
      <c r="R3243" s="37" t="str">
        <f t="shared" si="254"/>
        <v>Good</v>
      </c>
      <c r="S3243" t="s">
        <v>620</v>
      </c>
    </row>
    <row r="3244" spans="1:19" x14ac:dyDescent="0.2">
      <c r="A3244" t="s">
        <v>3855</v>
      </c>
      <c r="B3244" t="s">
        <v>67</v>
      </c>
      <c r="C3244" t="s">
        <v>602</v>
      </c>
      <c r="D3244">
        <v>4948.32</v>
      </c>
      <c r="E3244" s="37" t="str">
        <f t="shared" si="250"/>
        <v xml:space="preserve"> </v>
      </c>
      <c r="F3244">
        <v>0.11</v>
      </c>
      <c r="G3244" s="37" t="str">
        <f t="shared" si="251"/>
        <v>Normal Discount</v>
      </c>
      <c r="H3244" s="37" t="str">
        <f t="shared" si="252"/>
        <v>Low</v>
      </c>
      <c r="I3244">
        <v>5</v>
      </c>
      <c r="J3244" t="str" cm="1">
        <f t="array" ref="J3244">_xlfn.IFS(I3244&lt;=3,"small",I3244&lt;=6,"Medium",I3244&lt;=9,"Large")</f>
        <v>Medium</v>
      </c>
      <c r="K3244" s="36">
        <v>45444</v>
      </c>
      <c r="L3244" s="36">
        <v>45445</v>
      </c>
      <c r="M3244" t="s">
        <v>603</v>
      </c>
      <c r="N3244" t="s">
        <v>599</v>
      </c>
      <c r="O3244" s="37" t="str">
        <f t="shared" si="253"/>
        <v>Digital Payment</v>
      </c>
      <c r="P3244">
        <v>454.3</v>
      </c>
      <c r="Q3244" s="37" t="str">
        <f>IF(P3244&gt;500,"High","low")</f>
        <v>low</v>
      </c>
      <c r="R3244" s="37" t="str">
        <f t="shared" si="254"/>
        <v>AVERAGE</v>
      </c>
      <c r="S3244" t="s">
        <v>605</v>
      </c>
    </row>
    <row r="3245" spans="1:19" x14ac:dyDescent="0.2">
      <c r="A3245" t="s">
        <v>3856</v>
      </c>
      <c r="B3245" t="s">
        <v>83</v>
      </c>
      <c r="C3245" t="s">
        <v>617</v>
      </c>
      <c r="D3245">
        <v>1102.08</v>
      </c>
      <c r="E3245" s="37" t="str">
        <f t="shared" si="250"/>
        <v xml:space="preserve"> </v>
      </c>
      <c r="F3245">
        <v>0.14000000000000001</v>
      </c>
      <c r="G3245" s="37" t="str">
        <f t="shared" si="251"/>
        <v>Normal Discount</v>
      </c>
      <c r="H3245" s="37" t="str">
        <f t="shared" si="252"/>
        <v>Low</v>
      </c>
      <c r="I3245">
        <v>1</v>
      </c>
      <c r="J3245" t="str" cm="1">
        <f t="array" ref="J3245">_xlfn.IFS(I3245&lt;=3,"small",I3245&lt;=6,"Medium",I3245&lt;=9,"Large")</f>
        <v>small</v>
      </c>
      <c r="K3245" s="36">
        <v>45604</v>
      </c>
      <c r="L3245" s="36">
        <v>45606</v>
      </c>
      <c r="M3245" t="s">
        <v>603</v>
      </c>
      <c r="N3245" t="s">
        <v>604</v>
      </c>
      <c r="O3245" s="37" t="str">
        <f t="shared" si="253"/>
        <v>Digital Payment</v>
      </c>
      <c r="P3245">
        <v>126.75</v>
      </c>
      <c r="Q3245" s="37" t="str">
        <f>IF(P3245&gt;500,"High","low")</f>
        <v>low</v>
      </c>
      <c r="R3245" s="37" t="str">
        <f t="shared" si="254"/>
        <v>AVERAGE</v>
      </c>
      <c r="S3245" t="s">
        <v>600</v>
      </c>
    </row>
    <row r="3246" spans="1:19" x14ac:dyDescent="0.2">
      <c r="A3246" t="s">
        <v>3857</v>
      </c>
      <c r="B3246" t="s">
        <v>67</v>
      </c>
      <c r="C3246" t="s">
        <v>614</v>
      </c>
      <c r="D3246">
        <v>790.87</v>
      </c>
      <c r="E3246" s="37" t="str">
        <f t="shared" si="250"/>
        <v xml:space="preserve"> </v>
      </c>
      <c r="F3246">
        <v>7.0000000000000007E-2</v>
      </c>
      <c r="G3246" s="37" t="str">
        <f t="shared" si="251"/>
        <v>Normal Discount</v>
      </c>
      <c r="H3246" s="37" t="str">
        <f t="shared" si="252"/>
        <v>Low</v>
      </c>
      <c r="I3246">
        <v>4</v>
      </c>
      <c r="J3246" t="str" cm="1">
        <f t="array" ref="J3246">_xlfn.IFS(I3246&lt;=3,"small",I3246&lt;=6,"Medium",I3246&lt;=9,"Large")</f>
        <v>Medium</v>
      </c>
      <c r="K3246" s="36">
        <v>45126</v>
      </c>
      <c r="L3246" s="36">
        <v>45129</v>
      </c>
      <c r="M3246" t="s">
        <v>612</v>
      </c>
      <c r="N3246" t="s">
        <v>604</v>
      </c>
      <c r="O3246" s="37" t="str">
        <f t="shared" si="253"/>
        <v>Digital Payment</v>
      </c>
      <c r="P3246">
        <v>172.86</v>
      </c>
      <c r="Q3246" s="37" t="str">
        <f>IF(P3246&gt;500,"High","low")</f>
        <v>low</v>
      </c>
      <c r="R3246" s="37" t="str">
        <f t="shared" si="254"/>
        <v>AVERAGE</v>
      </c>
      <c r="S3246" t="s">
        <v>620</v>
      </c>
    </row>
    <row r="3247" spans="1:19" x14ac:dyDescent="0.2">
      <c r="A3247" t="s">
        <v>3858</v>
      </c>
      <c r="B3247" t="s">
        <v>83</v>
      </c>
      <c r="C3247" t="s">
        <v>597</v>
      </c>
      <c r="D3247">
        <v>3097.19</v>
      </c>
      <c r="E3247" s="37" t="str">
        <f t="shared" si="250"/>
        <v xml:space="preserve"> </v>
      </c>
      <c r="F3247">
        <v>0.22</v>
      </c>
      <c r="G3247" s="37" t="str">
        <f t="shared" si="251"/>
        <v>Normal Discount</v>
      </c>
      <c r="H3247" s="37" t="str">
        <f t="shared" si="252"/>
        <v>Medium</v>
      </c>
      <c r="I3247">
        <v>2</v>
      </c>
      <c r="J3247" t="str" cm="1">
        <f t="array" ref="J3247">_xlfn.IFS(I3247&lt;=3,"small",I3247&lt;=6,"Medium",I3247&lt;=9,"Large")</f>
        <v>small</v>
      </c>
      <c r="K3247" s="36">
        <v>45512</v>
      </c>
      <c r="L3247" s="36">
        <v>45517</v>
      </c>
      <c r="M3247" t="s">
        <v>612</v>
      </c>
      <c r="N3247" t="s">
        <v>599</v>
      </c>
      <c r="O3247" s="37" t="str">
        <f t="shared" si="253"/>
        <v>Digital Payment</v>
      </c>
      <c r="P3247">
        <v>563.96</v>
      </c>
      <c r="Q3247" s="37" t="str">
        <f>IF(P3247&gt;500,"High","low")</f>
        <v>High</v>
      </c>
      <c r="R3247" s="37" t="str">
        <f t="shared" si="254"/>
        <v>Good</v>
      </c>
      <c r="S3247" t="s">
        <v>628</v>
      </c>
    </row>
    <row r="3248" spans="1:19" x14ac:dyDescent="0.2">
      <c r="A3248" t="s">
        <v>3859</v>
      </c>
      <c r="B3248" t="s">
        <v>67</v>
      </c>
      <c r="C3248" t="s">
        <v>607</v>
      </c>
      <c r="D3248">
        <v>1196.0899999999999</v>
      </c>
      <c r="E3248" s="37" t="str">
        <f t="shared" si="250"/>
        <v xml:space="preserve"> </v>
      </c>
      <c r="F3248">
        <v>0.25</v>
      </c>
      <c r="G3248" s="37" t="str">
        <f t="shared" si="251"/>
        <v>Normal Discount</v>
      </c>
      <c r="H3248" s="37" t="str">
        <f t="shared" si="252"/>
        <v>Medium</v>
      </c>
      <c r="I3248">
        <v>9</v>
      </c>
      <c r="J3248" t="str" cm="1">
        <f t="array" ref="J3248">_xlfn.IFS(I3248&lt;=3,"small",I3248&lt;=6,"Medium",I3248&lt;=9,"Large")</f>
        <v>Large</v>
      </c>
      <c r="K3248" s="36">
        <v>45140</v>
      </c>
      <c r="L3248" s="36">
        <v>45141</v>
      </c>
      <c r="M3248" t="s">
        <v>598</v>
      </c>
      <c r="N3248" t="s">
        <v>604</v>
      </c>
      <c r="O3248" s="37" t="str">
        <f t="shared" si="253"/>
        <v>Digital Payment</v>
      </c>
      <c r="P3248">
        <v>91.02</v>
      </c>
      <c r="Q3248" s="37" t="str">
        <f>IF(P3248&gt;500,"High","low")</f>
        <v>low</v>
      </c>
      <c r="R3248" s="37" t="str">
        <f t="shared" si="254"/>
        <v>AVERAGE</v>
      </c>
      <c r="S3248" t="s">
        <v>600</v>
      </c>
    </row>
    <row r="3249" spans="1:19" x14ac:dyDescent="0.2">
      <c r="A3249" t="s">
        <v>3860</v>
      </c>
      <c r="B3249" t="s">
        <v>75</v>
      </c>
      <c r="C3249" t="s">
        <v>602</v>
      </c>
      <c r="D3249">
        <v>3231.86</v>
      </c>
      <c r="E3249" s="37" t="str">
        <f t="shared" si="250"/>
        <v xml:space="preserve"> </v>
      </c>
      <c r="F3249">
        <v>0.42</v>
      </c>
      <c r="G3249" s="37" t="str">
        <f t="shared" si="251"/>
        <v>Heavy Discount</v>
      </c>
      <c r="H3249" s="37" t="str">
        <f t="shared" si="252"/>
        <v>High</v>
      </c>
      <c r="I3249">
        <v>6</v>
      </c>
      <c r="J3249" t="str" cm="1">
        <f t="array" ref="J3249">_xlfn.IFS(I3249&lt;=3,"small",I3249&lt;=6,"Medium",I3249&lt;=9,"Large")</f>
        <v>Medium</v>
      </c>
      <c r="K3249" s="36">
        <v>45152</v>
      </c>
      <c r="L3249" s="36">
        <v>45155</v>
      </c>
      <c r="M3249" t="s">
        <v>598</v>
      </c>
      <c r="N3249" t="s">
        <v>608</v>
      </c>
      <c r="O3249" s="37" t="str">
        <f t="shared" si="253"/>
        <v>Cash Payment</v>
      </c>
      <c r="P3249">
        <v>553.21</v>
      </c>
      <c r="Q3249" s="37" t="str">
        <f>IF(P3249&gt;500,"High","low")</f>
        <v>High</v>
      </c>
      <c r="R3249" s="37" t="str">
        <f t="shared" si="254"/>
        <v>Good</v>
      </c>
      <c r="S3249" t="s">
        <v>620</v>
      </c>
    </row>
    <row r="3250" spans="1:19" x14ac:dyDescent="0.2">
      <c r="A3250" t="s">
        <v>3861</v>
      </c>
      <c r="B3250" t="s">
        <v>75</v>
      </c>
      <c r="C3250" t="s">
        <v>597</v>
      </c>
      <c r="D3250">
        <v>4865.2</v>
      </c>
      <c r="E3250" s="37" t="str">
        <f t="shared" si="250"/>
        <v xml:space="preserve"> </v>
      </c>
      <c r="F3250">
        <v>0.27</v>
      </c>
      <c r="G3250" s="37" t="str">
        <f t="shared" si="251"/>
        <v>Normal Discount</v>
      </c>
      <c r="H3250" s="37" t="str">
        <f t="shared" si="252"/>
        <v>Medium</v>
      </c>
      <c r="I3250">
        <v>9</v>
      </c>
      <c r="J3250" t="str" cm="1">
        <f t="array" ref="J3250">_xlfn.IFS(I3250&lt;=3,"small",I3250&lt;=6,"Medium",I3250&lt;=9,"Large")</f>
        <v>Large</v>
      </c>
      <c r="K3250" s="36">
        <v>45035</v>
      </c>
      <c r="L3250" s="36">
        <v>45036</v>
      </c>
      <c r="M3250" t="s">
        <v>603</v>
      </c>
      <c r="N3250" t="s">
        <v>604</v>
      </c>
      <c r="O3250" s="37" t="str">
        <f t="shared" si="253"/>
        <v>Digital Payment</v>
      </c>
      <c r="P3250">
        <v>386.71</v>
      </c>
      <c r="Q3250" s="37" t="str">
        <f>IF(P3250&gt;500,"High","low")</f>
        <v>low</v>
      </c>
      <c r="R3250" s="37" t="str">
        <f t="shared" si="254"/>
        <v>AVERAGE</v>
      </c>
      <c r="S3250" t="s">
        <v>620</v>
      </c>
    </row>
    <row r="3251" spans="1:19" x14ac:dyDescent="0.2">
      <c r="A3251" t="s">
        <v>3862</v>
      </c>
      <c r="B3251" t="s">
        <v>75</v>
      </c>
      <c r="C3251" t="s">
        <v>607</v>
      </c>
      <c r="D3251">
        <v>4737.88</v>
      </c>
      <c r="E3251" s="37" t="str">
        <f t="shared" si="250"/>
        <v xml:space="preserve"> </v>
      </c>
      <c r="F3251">
        <v>0.11</v>
      </c>
      <c r="G3251" s="37" t="str">
        <f t="shared" si="251"/>
        <v>Normal Discount</v>
      </c>
      <c r="H3251" s="37" t="str">
        <f t="shared" si="252"/>
        <v>Low</v>
      </c>
      <c r="I3251">
        <v>1</v>
      </c>
      <c r="J3251" t="str" cm="1">
        <f t="array" ref="J3251">_xlfn.IFS(I3251&lt;=3,"small",I3251&lt;=6,"Medium",I3251&lt;=9,"Large")</f>
        <v>small</v>
      </c>
      <c r="K3251" s="36">
        <v>45041</v>
      </c>
      <c r="L3251" s="36">
        <v>45044</v>
      </c>
      <c r="M3251" t="s">
        <v>603</v>
      </c>
      <c r="N3251" t="s">
        <v>599</v>
      </c>
      <c r="O3251" s="37" t="str">
        <f t="shared" si="253"/>
        <v>Digital Payment</v>
      </c>
      <c r="P3251">
        <v>365.89</v>
      </c>
      <c r="Q3251" s="37" t="str">
        <f>IF(P3251&gt;500,"High","low")</f>
        <v>low</v>
      </c>
      <c r="R3251" s="37" t="str">
        <f t="shared" si="254"/>
        <v>AVERAGE</v>
      </c>
      <c r="S3251" t="s">
        <v>620</v>
      </c>
    </row>
    <row r="3252" spans="1:19" x14ac:dyDescent="0.2">
      <c r="A3252" t="s">
        <v>3863</v>
      </c>
      <c r="B3252" t="s">
        <v>90</v>
      </c>
      <c r="C3252" t="s">
        <v>614</v>
      </c>
      <c r="D3252">
        <v>1232.4000000000001</v>
      </c>
      <c r="E3252" s="37" t="str">
        <f t="shared" si="250"/>
        <v xml:space="preserve"> </v>
      </c>
      <c r="F3252">
        <v>0.37</v>
      </c>
      <c r="G3252" s="37" t="str">
        <f t="shared" si="251"/>
        <v>Heavy Discount</v>
      </c>
      <c r="H3252" s="37" t="str">
        <f t="shared" si="252"/>
        <v>Medium</v>
      </c>
      <c r="I3252">
        <v>1</v>
      </c>
      <c r="J3252" t="str" cm="1">
        <f t="array" ref="J3252">_xlfn.IFS(I3252&lt;=3,"small",I3252&lt;=6,"Medium",I3252&lt;=9,"Large")</f>
        <v>small</v>
      </c>
      <c r="K3252" s="36">
        <v>45182</v>
      </c>
      <c r="L3252" s="36">
        <v>45187</v>
      </c>
      <c r="M3252" t="s">
        <v>603</v>
      </c>
      <c r="N3252" t="s">
        <v>608</v>
      </c>
      <c r="O3252" s="37" t="str">
        <f t="shared" si="253"/>
        <v>Cash Payment</v>
      </c>
      <c r="P3252">
        <v>140.51</v>
      </c>
      <c r="Q3252" s="37" t="str">
        <f>IF(P3252&gt;500,"High","low")</f>
        <v>low</v>
      </c>
      <c r="R3252" s="37" t="str">
        <f t="shared" si="254"/>
        <v>AVERAGE</v>
      </c>
      <c r="S3252" t="s">
        <v>628</v>
      </c>
    </row>
    <row r="3253" spans="1:19" x14ac:dyDescent="0.2">
      <c r="A3253" t="s">
        <v>3864</v>
      </c>
      <c r="B3253" t="s">
        <v>90</v>
      </c>
      <c r="C3253" t="s">
        <v>602</v>
      </c>
      <c r="D3253">
        <v>937.39</v>
      </c>
      <c r="E3253" s="37" t="str">
        <f t="shared" si="250"/>
        <v xml:space="preserve"> </v>
      </c>
      <c r="F3253">
        <v>0.15</v>
      </c>
      <c r="G3253" s="37" t="str">
        <f t="shared" si="251"/>
        <v>Normal Discount</v>
      </c>
      <c r="H3253" s="37" t="str">
        <f t="shared" si="252"/>
        <v>Low</v>
      </c>
      <c r="I3253">
        <v>4</v>
      </c>
      <c r="J3253" t="str" cm="1">
        <f t="array" ref="J3253">_xlfn.IFS(I3253&lt;=3,"small",I3253&lt;=6,"Medium",I3253&lt;=9,"Large")</f>
        <v>Medium</v>
      </c>
      <c r="K3253" s="36">
        <v>45524</v>
      </c>
      <c r="L3253" s="36">
        <v>45530</v>
      </c>
      <c r="M3253" t="s">
        <v>612</v>
      </c>
      <c r="N3253" t="s">
        <v>608</v>
      </c>
      <c r="O3253" s="37" t="str">
        <f t="shared" si="253"/>
        <v>Cash Payment</v>
      </c>
      <c r="P3253">
        <v>87.13</v>
      </c>
      <c r="Q3253" s="37" t="str">
        <f>IF(P3253&gt;500,"High","low")</f>
        <v>low</v>
      </c>
      <c r="R3253" s="37" t="str">
        <f t="shared" si="254"/>
        <v>AVERAGE</v>
      </c>
      <c r="S3253" t="s">
        <v>628</v>
      </c>
    </row>
    <row r="3254" spans="1:19" x14ac:dyDescent="0.2">
      <c r="A3254" t="s">
        <v>3865</v>
      </c>
      <c r="B3254" t="s">
        <v>75</v>
      </c>
      <c r="C3254" t="s">
        <v>617</v>
      </c>
      <c r="D3254">
        <v>2847.62</v>
      </c>
      <c r="E3254" s="37" t="str">
        <f t="shared" si="250"/>
        <v xml:space="preserve"> </v>
      </c>
      <c r="F3254">
        <v>0.38</v>
      </c>
      <c r="G3254" s="37" t="str">
        <f t="shared" si="251"/>
        <v>Heavy Discount</v>
      </c>
      <c r="H3254" s="37" t="str">
        <f t="shared" si="252"/>
        <v>Medium</v>
      </c>
      <c r="I3254">
        <v>2</v>
      </c>
      <c r="J3254" t="str" cm="1">
        <f t="array" ref="J3254">_xlfn.IFS(I3254&lt;=3,"small",I3254&lt;=6,"Medium",I3254&lt;=9,"Large")</f>
        <v>small</v>
      </c>
      <c r="K3254" s="36">
        <v>45332</v>
      </c>
      <c r="L3254" s="36">
        <v>45334</v>
      </c>
      <c r="M3254" t="s">
        <v>603</v>
      </c>
      <c r="N3254" t="s">
        <v>599</v>
      </c>
      <c r="O3254" s="37" t="str">
        <f t="shared" si="253"/>
        <v>Digital Payment</v>
      </c>
      <c r="P3254">
        <v>848.43</v>
      </c>
      <c r="Q3254" s="37" t="str">
        <f>IF(P3254&gt;500,"High","low")</f>
        <v>High</v>
      </c>
      <c r="R3254" s="37" t="str">
        <f t="shared" si="254"/>
        <v>Good</v>
      </c>
      <c r="S3254" t="s">
        <v>620</v>
      </c>
    </row>
    <row r="3255" spans="1:19" x14ac:dyDescent="0.2">
      <c r="A3255" t="s">
        <v>3866</v>
      </c>
      <c r="B3255" t="s">
        <v>90</v>
      </c>
      <c r="C3255" t="s">
        <v>614</v>
      </c>
      <c r="D3255">
        <v>2975.21</v>
      </c>
      <c r="E3255" s="37" t="str">
        <f t="shared" si="250"/>
        <v xml:space="preserve"> </v>
      </c>
      <c r="F3255">
        <v>0.19</v>
      </c>
      <c r="G3255" s="37" t="str">
        <f t="shared" si="251"/>
        <v>Normal Discount</v>
      </c>
      <c r="H3255" s="37" t="str">
        <f t="shared" si="252"/>
        <v>Low</v>
      </c>
      <c r="I3255">
        <v>1</v>
      </c>
      <c r="J3255" t="str" cm="1">
        <f t="array" ref="J3255">_xlfn.IFS(I3255&lt;=3,"small",I3255&lt;=6,"Medium",I3255&lt;=9,"Large")</f>
        <v>small</v>
      </c>
      <c r="K3255" s="36">
        <v>45444</v>
      </c>
      <c r="L3255" s="36">
        <v>45445</v>
      </c>
      <c r="M3255" t="s">
        <v>612</v>
      </c>
      <c r="N3255" t="s">
        <v>608</v>
      </c>
      <c r="O3255" s="37" t="str">
        <f t="shared" si="253"/>
        <v>Cash Payment</v>
      </c>
      <c r="P3255">
        <v>861.2</v>
      </c>
      <c r="Q3255" s="37" t="str">
        <f>IF(P3255&gt;500,"High","low")</f>
        <v>High</v>
      </c>
      <c r="R3255" s="37" t="str">
        <f t="shared" si="254"/>
        <v>Good</v>
      </c>
      <c r="S3255" t="s">
        <v>605</v>
      </c>
    </row>
    <row r="3256" spans="1:19" x14ac:dyDescent="0.2">
      <c r="A3256" t="s">
        <v>3867</v>
      </c>
      <c r="B3256" t="s">
        <v>67</v>
      </c>
      <c r="C3256" t="s">
        <v>607</v>
      </c>
      <c r="D3256">
        <v>3345.03</v>
      </c>
      <c r="E3256" s="37" t="str">
        <f t="shared" si="250"/>
        <v xml:space="preserve"> </v>
      </c>
      <c r="F3256">
        <v>0.26</v>
      </c>
      <c r="G3256" s="37" t="str">
        <f t="shared" si="251"/>
        <v>Normal Discount</v>
      </c>
      <c r="H3256" s="37" t="str">
        <f t="shared" si="252"/>
        <v>Medium</v>
      </c>
      <c r="I3256">
        <v>6</v>
      </c>
      <c r="J3256" t="str" cm="1">
        <f t="array" ref="J3256">_xlfn.IFS(I3256&lt;=3,"small",I3256&lt;=6,"Medium",I3256&lt;=9,"Large")</f>
        <v>Medium</v>
      </c>
      <c r="K3256" s="36">
        <v>45405</v>
      </c>
      <c r="L3256" s="36">
        <v>45409</v>
      </c>
      <c r="M3256" t="s">
        <v>598</v>
      </c>
      <c r="N3256" t="s">
        <v>608</v>
      </c>
      <c r="O3256" s="37" t="str">
        <f t="shared" si="253"/>
        <v>Cash Payment</v>
      </c>
      <c r="P3256">
        <v>772.94</v>
      </c>
      <c r="Q3256" s="37" t="str">
        <f>IF(P3256&gt;500,"High","low")</f>
        <v>High</v>
      </c>
      <c r="R3256" s="37" t="str">
        <f t="shared" si="254"/>
        <v>Good</v>
      </c>
      <c r="S3256" t="s">
        <v>609</v>
      </c>
    </row>
    <row r="3257" spans="1:19" x14ac:dyDescent="0.2">
      <c r="A3257" t="s">
        <v>3868</v>
      </c>
      <c r="B3257" t="s">
        <v>83</v>
      </c>
      <c r="C3257" t="s">
        <v>602</v>
      </c>
      <c r="D3257">
        <v>3733.31</v>
      </c>
      <c r="E3257" s="37" t="str">
        <f t="shared" si="250"/>
        <v xml:space="preserve"> </v>
      </c>
      <c r="F3257">
        <v>0.25</v>
      </c>
      <c r="G3257" s="37" t="str">
        <f t="shared" si="251"/>
        <v>Normal Discount</v>
      </c>
      <c r="H3257" s="37" t="str">
        <f t="shared" si="252"/>
        <v>Medium</v>
      </c>
      <c r="I3257">
        <v>8</v>
      </c>
      <c r="J3257" t="str" cm="1">
        <f t="array" ref="J3257">_xlfn.IFS(I3257&lt;=3,"small",I3257&lt;=6,"Medium",I3257&lt;=9,"Large")</f>
        <v>Large</v>
      </c>
      <c r="K3257" s="36">
        <v>45218</v>
      </c>
      <c r="L3257" s="36">
        <v>45225</v>
      </c>
      <c r="M3257" t="s">
        <v>612</v>
      </c>
      <c r="N3257" t="s">
        <v>608</v>
      </c>
      <c r="O3257" s="37" t="str">
        <f t="shared" si="253"/>
        <v>Cash Payment</v>
      </c>
      <c r="P3257">
        <v>970.21</v>
      </c>
      <c r="Q3257" s="37" t="str">
        <f>IF(P3257&gt;500,"High","low")</f>
        <v>High</v>
      </c>
      <c r="R3257" s="37" t="str">
        <f t="shared" si="254"/>
        <v>Good</v>
      </c>
      <c r="S3257" t="s">
        <v>615</v>
      </c>
    </row>
    <row r="3258" spans="1:19" x14ac:dyDescent="0.2">
      <c r="A3258" t="s">
        <v>3869</v>
      </c>
      <c r="B3258" t="s">
        <v>83</v>
      </c>
      <c r="C3258" t="s">
        <v>602</v>
      </c>
      <c r="D3258">
        <v>3044.69</v>
      </c>
      <c r="E3258" s="37" t="str">
        <f t="shared" si="250"/>
        <v xml:space="preserve"> </v>
      </c>
      <c r="F3258">
        <v>0.48</v>
      </c>
      <c r="G3258" s="37" t="str">
        <f t="shared" si="251"/>
        <v>Heavy Discount</v>
      </c>
      <c r="H3258" s="37" t="str">
        <f t="shared" si="252"/>
        <v>High</v>
      </c>
      <c r="I3258">
        <v>1</v>
      </c>
      <c r="J3258" t="str" cm="1">
        <f t="array" ref="J3258">_xlfn.IFS(I3258&lt;=3,"small",I3258&lt;=6,"Medium",I3258&lt;=9,"Large")</f>
        <v>small</v>
      </c>
      <c r="K3258" s="36">
        <v>45565</v>
      </c>
      <c r="L3258" s="36">
        <v>45567</v>
      </c>
      <c r="M3258" t="s">
        <v>598</v>
      </c>
      <c r="N3258" t="s">
        <v>608</v>
      </c>
      <c r="O3258" s="37" t="str">
        <f t="shared" si="253"/>
        <v>Cash Payment</v>
      </c>
      <c r="P3258">
        <v>835.93</v>
      </c>
      <c r="Q3258" s="37" t="str">
        <f>IF(P3258&gt;500,"High","low")</f>
        <v>High</v>
      </c>
      <c r="R3258" s="37" t="str">
        <f t="shared" si="254"/>
        <v>Good</v>
      </c>
      <c r="S3258" t="s">
        <v>609</v>
      </c>
    </row>
    <row r="3259" spans="1:19" x14ac:dyDescent="0.2">
      <c r="A3259" t="s">
        <v>3870</v>
      </c>
      <c r="B3259" t="s">
        <v>83</v>
      </c>
      <c r="C3259" t="s">
        <v>614</v>
      </c>
      <c r="D3259">
        <v>647.59</v>
      </c>
      <c r="E3259" s="37" t="str">
        <f t="shared" si="250"/>
        <v xml:space="preserve"> </v>
      </c>
      <c r="F3259">
        <v>0.08</v>
      </c>
      <c r="G3259" s="37" t="str">
        <f t="shared" si="251"/>
        <v>Normal Discount</v>
      </c>
      <c r="H3259" s="37" t="str">
        <f t="shared" si="252"/>
        <v>Low</v>
      </c>
      <c r="I3259">
        <v>6</v>
      </c>
      <c r="J3259" t="str" cm="1">
        <f t="array" ref="J3259">_xlfn.IFS(I3259&lt;=3,"small",I3259&lt;=6,"Medium",I3259&lt;=9,"Large")</f>
        <v>Medium</v>
      </c>
      <c r="K3259" s="36">
        <v>45264</v>
      </c>
      <c r="L3259" s="36">
        <v>45270</v>
      </c>
      <c r="M3259" t="s">
        <v>598</v>
      </c>
      <c r="N3259" t="s">
        <v>604</v>
      </c>
      <c r="O3259" s="37" t="str">
        <f t="shared" si="253"/>
        <v>Digital Payment</v>
      </c>
      <c r="P3259">
        <v>118.13</v>
      </c>
      <c r="Q3259" s="37" t="str">
        <f>IF(P3259&gt;500,"High","low")</f>
        <v>low</v>
      </c>
      <c r="R3259" s="37" t="str">
        <f t="shared" si="254"/>
        <v>AVERAGE</v>
      </c>
      <c r="S3259" t="s">
        <v>605</v>
      </c>
    </row>
    <row r="3260" spans="1:19" x14ac:dyDescent="0.2">
      <c r="A3260" t="s">
        <v>3871</v>
      </c>
      <c r="B3260" t="s">
        <v>75</v>
      </c>
      <c r="C3260" t="s">
        <v>602</v>
      </c>
      <c r="D3260">
        <v>3971.77</v>
      </c>
      <c r="E3260" s="37" t="str">
        <f t="shared" si="250"/>
        <v xml:space="preserve"> </v>
      </c>
      <c r="F3260">
        <v>0.47</v>
      </c>
      <c r="G3260" s="37" t="str">
        <f t="shared" si="251"/>
        <v>Heavy Discount</v>
      </c>
      <c r="H3260" s="37" t="str">
        <f t="shared" si="252"/>
        <v>High</v>
      </c>
      <c r="I3260">
        <v>1</v>
      </c>
      <c r="J3260" t="str" cm="1">
        <f t="array" ref="J3260">_xlfn.IFS(I3260&lt;=3,"small",I3260&lt;=6,"Medium",I3260&lt;=9,"Large")</f>
        <v>small</v>
      </c>
      <c r="K3260" s="36">
        <v>45472</v>
      </c>
      <c r="L3260" s="36">
        <v>45477</v>
      </c>
      <c r="M3260" t="s">
        <v>598</v>
      </c>
      <c r="N3260" t="s">
        <v>604</v>
      </c>
      <c r="O3260" s="37" t="str">
        <f t="shared" si="253"/>
        <v>Digital Payment</v>
      </c>
      <c r="P3260">
        <v>1001.16</v>
      </c>
      <c r="Q3260" s="37" t="str">
        <f>IF(P3260&gt;500,"High","low")</f>
        <v>High</v>
      </c>
      <c r="R3260" s="37" t="str">
        <f t="shared" si="254"/>
        <v>Excellent</v>
      </c>
      <c r="S3260" t="s">
        <v>615</v>
      </c>
    </row>
    <row r="3261" spans="1:19" x14ac:dyDescent="0.2">
      <c r="A3261" t="s">
        <v>3872</v>
      </c>
      <c r="B3261" t="s">
        <v>90</v>
      </c>
      <c r="C3261" t="s">
        <v>607</v>
      </c>
      <c r="D3261">
        <v>489.63</v>
      </c>
      <c r="E3261" s="37" t="str">
        <f t="shared" si="250"/>
        <v xml:space="preserve"> </v>
      </c>
      <c r="F3261">
        <v>0.28000000000000003</v>
      </c>
      <c r="G3261" s="37" t="str">
        <f t="shared" si="251"/>
        <v>Normal Discount</v>
      </c>
      <c r="H3261" s="37" t="str">
        <f t="shared" si="252"/>
        <v>Medium</v>
      </c>
      <c r="I3261">
        <v>8</v>
      </c>
      <c r="J3261" t="str" cm="1">
        <f t="array" ref="J3261">_xlfn.IFS(I3261&lt;=3,"small",I3261&lt;=6,"Medium",I3261&lt;=9,"Large")</f>
        <v>Large</v>
      </c>
      <c r="K3261" s="36">
        <v>45185</v>
      </c>
      <c r="L3261" s="36">
        <v>45191</v>
      </c>
      <c r="M3261" t="s">
        <v>612</v>
      </c>
      <c r="N3261" t="s">
        <v>608</v>
      </c>
      <c r="O3261" s="37" t="str">
        <f t="shared" si="253"/>
        <v>Cash Payment</v>
      </c>
      <c r="P3261">
        <v>134.96</v>
      </c>
      <c r="Q3261" s="37" t="str">
        <f>IF(P3261&gt;500,"High","low")</f>
        <v>low</v>
      </c>
      <c r="R3261" s="37" t="str">
        <f t="shared" si="254"/>
        <v>AVERAGE</v>
      </c>
      <c r="S3261" t="s">
        <v>620</v>
      </c>
    </row>
    <row r="3262" spans="1:19" x14ac:dyDescent="0.2">
      <c r="A3262" t="s">
        <v>3873</v>
      </c>
      <c r="B3262" t="s">
        <v>67</v>
      </c>
      <c r="C3262" t="s">
        <v>614</v>
      </c>
      <c r="D3262">
        <v>197.96</v>
      </c>
      <c r="E3262" s="37" t="str">
        <f t="shared" si="250"/>
        <v xml:space="preserve"> </v>
      </c>
      <c r="F3262">
        <v>0.5</v>
      </c>
      <c r="G3262" s="37" t="str">
        <f t="shared" si="251"/>
        <v>Heavy Discount</v>
      </c>
      <c r="H3262" s="37" t="str">
        <f t="shared" si="252"/>
        <v>High</v>
      </c>
      <c r="I3262">
        <v>6</v>
      </c>
      <c r="J3262" t="str" cm="1">
        <f t="array" ref="J3262">_xlfn.IFS(I3262&lt;=3,"small",I3262&lt;=6,"Medium",I3262&lt;=9,"Large")</f>
        <v>Medium</v>
      </c>
      <c r="K3262" s="36">
        <v>45543</v>
      </c>
      <c r="L3262" s="36">
        <v>45547</v>
      </c>
      <c r="M3262" t="s">
        <v>598</v>
      </c>
      <c r="N3262" t="s">
        <v>599</v>
      </c>
      <c r="O3262" s="37" t="str">
        <f t="shared" si="253"/>
        <v>Digital Payment</v>
      </c>
      <c r="P3262">
        <v>12.39</v>
      </c>
      <c r="Q3262" s="37" t="str">
        <f>IF(P3262&gt;500,"High","low")</f>
        <v>low</v>
      </c>
      <c r="R3262" s="37" t="str">
        <f t="shared" si="254"/>
        <v>AVERAGE</v>
      </c>
      <c r="S3262" t="s">
        <v>600</v>
      </c>
    </row>
    <row r="3263" spans="1:19" x14ac:dyDescent="0.2">
      <c r="A3263" t="s">
        <v>3874</v>
      </c>
      <c r="B3263" t="s">
        <v>67</v>
      </c>
      <c r="C3263" t="s">
        <v>617</v>
      </c>
      <c r="D3263">
        <v>3871.33</v>
      </c>
      <c r="E3263" s="37" t="str">
        <f t="shared" si="250"/>
        <v xml:space="preserve"> </v>
      </c>
      <c r="F3263">
        <v>0.28999999999999998</v>
      </c>
      <c r="G3263" s="37" t="str">
        <f t="shared" si="251"/>
        <v>Normal Discount</v>
      </c>
      <c r="H3263" s="37" t="str">
        <f t="shared" si="252"/>
        <v>Medium</v>
      </c>
      <c r="I3263">
        <v>1</v>
      </c>
      <c r="J3263" t="str" cm="1">
        <f t="array" ref="J3263">_xlfn.IFS(I3263&lt;=3,"small",I3263&lt;=6,"Medium",I3263&lt;=9,"Large")</f>
        <v>small</v>
      </c>
      <c r="K3263" s="36">
        <v>45553</v>
      </c>
      <c r="L3263" s="36">
        <v>45560</v>
      </c>
      <c r="M3263" t="s">
        <v>612</v>
      </c>
      <c r="N3263" t="s">
        <v>599</v>
      </c>
      <c r="O3263" s="37" t="str">
        <f t="shared" si="253"/>
        <v>Digital Payment</v>
      </c>
      <c r="P3263">
        <v>973.83</v>
      </c>
      <c r="Q3263" s="37" t="str">
        <f>IF(P3263&gt;500,"High","low")</f>
        <v>High</v>
      </c>
      <c r="R3263" s="37" t="str">
        <f t="shared" si="254"/>
        <v>Good</v>
      </c>
      <c r="S3263" t="s">
        <v>605</v>
      </c>
    </row>
    <row r="3264" spans="1:19" x14ac:dyDescent="0.2">
      <c r="A3264" t="s">
        <v>3875</v>
      </c>
      <c r="B3264" t="s">
        <v>75</v>
      </c>
      <c r="C3264" t="s">
        <v>614</v>
      </c>
      <c r="D3264">
        <v>2786.95</v>
      </c>
      <c r="E3264" s="37" t="str">
        <f t="shared" si="250"/>
        <v xml:space="preserve"> </v>
      </c>
      <c r="F3264">
        <v>0.33</v>
      </c>
      <c r="G3264" s="37" t="str">
        <f t="shared" si="251"/>
        <v>Heavy Discount</v>
      </c>
      <c r="H3264" s="37" t="str">
        <f t="shared" si="252"/>
        <v>Medium</v>
      </c>
      <c r="I3264">
        <v>9</v>
      </c>
      <c r="J3264" t="str" cm="1">
        <f t="array" ref="J3264">_xlfn.IFS(I3264&lt;=3,"small",I3264&lt;=6,"Medium",I3264&lt;=9,"Large")</f>
        <v>Large</v>
      </c>
      <c r="K3264" s="36">
        <v>45360</v>
      </c>
      <c r="L3264" s="36">
        <v>45363</v>
      </c>
      <c r="M3264" t="s">
        <v>612</v>
      </c>
      <c r="N3264" t="s">
        <v>604</v>
      </c>
      <c r="O3264" s="37" t="str">
        <f t="shared" si="253"/>
        <v>Digital Payment</v>
      </c>
      <c r="P3264">
        <v>197.13</v>
      </c>
      <c r="Q3264" s="37" t="str">
        <f>IF(P3264&gt;500,"High","low")</f>
        <v>low</v>
      </c>
      <c r="R3264" s="37" t="str">
        <f t="shared" si="254"/>
        <v>AVERAGE</v>
      </c>
      <c r="S3264" t="s">
        <v>628</v>
      </c>
    </row>
    <row r="3265" spans="1:19" x14ac:dyDescent="0.2">
      <c r="A3265" t="s">
        <v>3876</v>
      </c>
      <c r="B3265" t="s">
        <v>67</v>
      </c>
      <c r="C3265" t="s">
        <v>614</v>
      </c>
      <c r="D3265">
        <v>3523.1</v>
      </c>
      <c r="E3265" s="37" t="str">
        <f t="shared" si="250"/>
        <v xml:space="preserve"> </v>
      </c>
      <c r="F3265">
        <v>0.37</v>
      </c>
      <c r="G3265" s="37" t="str">
        <f t="shared" si="251"/>
        <v>Heavy Discount</v>
      </c>
      <c r="H3265" s="37" t="str">
        <f t="shared" si="252"/>
        <v>Medium</v>
      </c>
      <c r="I3265">
        <v>1</v>
      </c>
      <c r="J3265" t="str" cm="1">
        <f t="array" ref="J3265">_xlfn.IFS(I3265&lt;=3,"small",I3265&lt;=6,"Medium",I3265&lt;=9,"Large")</f>
        <v>small</v>
      </c>
      <c r="K3265" s="36">
        <v>45284</v>
      </c>
      <c r="L3265" s="36">
        <v>45290</v>
      </c>
      <c r="M3265" t="s">
        <v>598</v>
      </c>
      <c r="N3265" t="s">
        <v>599</v>
      </c>
      <c r="O3265" s="37" t="str">
        <f t="shared" si="253"/>
        <v>Digital Payment</v>
      </c>
      <c r="P3265">
        <v>1007.74</v>
      </c>
      <c r="Q3265" s="37" t="str">
        <f>IF(P3265&gt;500,"High","low")</f>
        <v>High</v>
      </c>
      <c r="R3265" s="37" t="str">
        <f t="shared" si="254"/>
        <v>Excellent</v>
      </c>
      <c r="S3265" t="s">
        <v>609</v>
      </c>
    </row>
    <row r="3266" spans="1:19" x14ac:dyDescent="0.2">
      <c r="A3266" t="s">
        <v>3877</v>
      </c>
      <c r="B3266" t="s">
        <v>67</v>
      </c>
      <c r="C3266" t="s">
        <v>617</v>
      </c>
      <c r="D3266">
        <v>1975.46</v>
      </c>
      <c r="E3266" s="37" t="str">
        <f t="shared" si="250"/>
        <v xml:space="preserve"> </v>
      </c>
      <c r="F3266">
        <v>0.41</v>
      </c>
      <c r="G3266" s="37" t="str">
        <f t="shared" si="251"/>
        <v>Heavy Discount</v>
      </c>
      <c r="H3266" s="37" t="str">
        <f t="shared" si="252"/>
        <v>High</v>
      </c>
      <c r="I3266">
        <v>9</v>
      </c>
      <c r="J3266" t="str" cm="1">
        <f t="array" ref="J3266">_xlfn.IFS(I3266&lt;=3,"small",I3266&lt;=6,"Medium",I3266&lt;=9,"Large")</f>
        <v>Large</v>
      </c>
      <c r="K3266" s="36">
        <v>45174</v>
      </c>
      <c r="L3266" s="36">
        <v>45175</v>
      </c>
      <c r="M3266" t="s">
        <v>598</v>
      </c>
      <c r="N3266" t="s">
        <v>604</v>
      </c>
      <c r="O3266" s="37" t="str">
        <f t="shared" si="253"/>
        <v>Digital Payment</v>
      </c>
      <c r="P3266">
        <v>430.92</v>
      </c>
      <c r="Q3266" s="37" t="str">
        <f>IF(P3266&gt;500,"High","low")</f>
        <v>low</v>
      </c>
      <c r="R3266" s="37" t="str">
        <f t="shared" si="254"/>
        <v>AVERAGE</v>
      </c>
      <c r="S3266" t="s">
        <v>628</v>
      </c>
    </row>
    <row r="3267" spans="1:19" x14ac:dyDescent="0.2">
      <c r="A3267" t="s">
        <v>3878</v>
      </c>
      <c r="B3267" t="s">
        <v>67</v>
      </c>
      <c r="C3267" t="s">
        <v>607</v>
      </c>
      <c r="D3267">
        <v>154.35</v>
      </c>
      <c r="E3267" s="37" t="str">
        <f t="shared" ref="E3267:E3330" si="255">IF(AND(D3267&gt;4000,P3267&gt;800),"Excellent Order"," ")</f>
        <v xml:space="preserve"> </v>
      </c>
      <c r="F3267">
        <v>0.24</v>
      </c>
      <c r="G3267" s="37" t="str">
        <f t="shared" ref="G3267:G3330" si="256">IF(F3267&gt;30%,"Heavy Discount","Normal Discount")</f>
        <v>Normal Discount</v>
      </c>
      <c r="H3267" s="37" t="str">
        <f t="shared" ref="H3267:H3330" si="257">IF(F3267&gt;0.4,"High",IF(F3267&gt;=0.2,"Medium","Low"))</f>
        <v>Medium</v>
      </c>
      <c r="I3267">
        <v>3</v>
      </c>
      <c r="J3267" t="str" cm="1">
        <f t="array" ref="J3267">_xlfn.IFS(I3267&lt;=3,"small",I3267&lt;=6,"Medium",I3267&lt;=9,"Large")</f>
        <v>small</v>
      </c>
      <c r="K3267" s="36">
        <v>45647</v>
      </c>
      <c r="L3267" s="36">
        <v>45654</v>
      </c>
      <c r="M3267" t="s">
        <v>612</v>
      </c>
      <c r="N3267" t="s">
        <v>604</v>
      </c>
      <c r="O3267" s="37" t="str">
        <f t="shared" ref="O3267:O3330" si="258">IF(OR(N3267="Card",N3267="UPI"),"Digital Payment","Cash Payment")</f>
        <v>Digital Payment</v>
      </c>
      <c r="P3267">
        <v>46.24</v>
      </c>
      <c r="Q3267" s="37" t="str">
        <f>IF(P3267&gt;500,"High","low")</f>
        <v>low</v>
      </c>
      <c r="R3267" s="37" t="str">
        <f t="shared" ref="R3267:R3330" si="259">IF(P3267&gt;1000,"Excellent",IF(P3267&gt;=500,"Good","AVERAGE"))</f>
        <v>AVERAGE</v>
      </c>
      <c r="S3267" t="s">
        <v>605</v>
      </c>
    </row>
    <row r="3268" spans="1:19" x14ac:dyDescent="0.2">
      <c r="A3268" t="s">
        <v>3879</v>
      </c>
      <c r="B3268" t="s">
        <v>67</v>
      </c>
      <c r="C3268" t="s">
        <v>597</v>
      </c>
      <c r="D3268">
        <v>1721.98</v>
      </c>
      <c r="E3268" s="37" t="str">
        <f t="shared" si="255"/>
        <v xml:space="preserve"> </v>
      </c>
      <c r="F3268">
        <v>0.34</v>
      </c>
      <c r="G3268" s="37" t="str">
        <f t="shared" si="256"/>
        <v>Heavy Discount</v>
      </c>
      <c r="H3268" s="37" t="str">
        <f t="shared" si="257"/>
        <v>Medium</v>
      </c>
      <c r="I3268">
        <v>8</v>
      </c>
      <c r="J3268" t="str" cm="1">
        <f t="array" ref="J3268">_xlfn.IFS(I3268&lt;=3,"small",I3268&lt;=6,"Medium",I3268&lt;=9,"Large")</f>
        <v>Large</v>
      </c>
      <c r="K3268" s="36">
        <v>45532</v>
      </c>
      <c r="L3268" s="36">
        <v>45539</v>
      </c>
      <c r="M3268" t="s">
        <v>598</v>
      </c>
      <c r="N3268" t="s">
        <v>608</v>
      </c>
      <c r="O3268" s="37" t="str">
        <f t="shared" si="258"/>
        <v>Cash Payment</v>
      </c>
      <c r="P3268">
        <v>259.45999999999998</v>
      </c>
      <c r="Q3268" s="37" t="str">
        <f>IF(P3268&gt;500,"High","low")</f>
        <v>low</v>
      </c>
      <c r="R3268" s="37" t="str">
        <f t="shared" si="259"/>
        <v>AVERAGE</v>
      </c>
      <c r="S3268" t="s">
        <v>628</v>
      </c>
    </row>
    <row r="3269" spans="1:19" x14ac:dyDescent="0.2">
      <c r="A3269" t="s">
        <v>3880</v>
      </c>
      <c r="B3269" t="s">
        <v>90</v>
      </c>
      <c r="C3269" t="s">
        <v>597</v>
      </c>
      <c r="D3269">
        <v>3079.86</v>
      </c>
      <c r="E3269" s="37" t="str">
        <f t="shared" si="255"/>
        <v xml:space="preserve"> </v>
      </c>
      <c r="F3269">
        <v>0.31</v>
      </c>
      <c r="G3269" s="37" t="str">
        <f t="shared" si="256"/>
        <v>Heavy Discount</v>
      </c>
      <c r="H3269" s="37" t="str">
        <f t="shared" si="257"/>
        <v>Medium</v>
      </c>
      <c r="I3269">
        <v>8</v>
      </c>
      <c r="J3269" t="str" cm="1">
        <f t="array" ref="J3269">_xlfn.IFS(I3269&lt;=3,"small",I3269&lt;=6,"Medium",I3269&lt;=9,"Large")</f>
        <v>Large</v>
      </c>
      <c r="K3269" s="36">
        <v>45365</v>
      </c>
      <c r="L3269" s="36">
        <v>45372</v>
      </c>
      <c r="M3269" t="s">
        <v>603</v>
      </c>
      <c r="N3269" t="s">
        <v>604</v>
      </c>
      <c r="O3269" s="37" t="str">
        <f t="shared" si="258"/>
        <v>Digital Payment</v>
      </c>
      <c r="P3269">
        <v>815.81</v>
      </c>
      <c r="Q3269" s="37" t="str">
        <f>IF(P3269&gt;500,"High","low")</f>
        <v>High</v>
      </c>
      <c r="R3269" s="37" t="str">
        <f t="shared" si="259"/>
        <v>Good</v>
      </c>
      <c r="S3269" t="s">
        <v>628</v>
      </c>
    </row>
    <row r="3270" spans="1:19" x14ac:dyDescent="0.2">
      <c r="A3270" t="s">
        <v>3881</v>
      </c>
      <c r="B3270" t="s">
        <v>67</v>
      </c>
      <c r="C3270" t="s">
        <v>617</v>
      </c>
      <c r="D3270">
        <v>1205.95</v>
      </c>
      <c r="E3270" s="37" t="str">
        <f t="shared" si="255"/>
        <v xml:space="preserve"> </v>
      </c>
      <c r="F3270">
        <v>0.2</v>
      </c>
      <c r="G3270" s="37" t="str">
        <f t="shared" si="256"/>
        <v>Normal Discount</v>
      </c>
      <c r="H3270" s="37" t="str">
        <f t="shared" si="257"/>
        <v>Medium</v>
      </c>
      <c r="I3270">
        <v>7</v>
      </c>
      <c r="J3270" t="str" cm="1">
        <f t="array" ref="J3270">_xlfn.IFS(I3270&lt;=3,"small",I3270&lt;=6,"Medium",I3270&lt;=9,"Large")</f>
        <v>Large</v>
      </c>
      <c r="K3270" s="36">
        <v>45468</v>
      </c>
      <c r="L3270" s="36">
        <v>45474</v>
      </c>
      <c r="M3270" t="s">
        <v>598</v>
      </c>
      <c r="N3270" t="s">
        <v>604</v>
      </c>
      <c r="O3270" s="37" t="str">
        <f t="shared" si="258"/>
        <v>Digital Payment</v>
      </c>
      <c r="P3270">
        <v>348.6</v>
      </c>
      <c r="Q3270" s="37" t="str">
        <f>IF(P3270&gt;500,"High","low")</f>
        <v>low</v>
      </c>
      <c r="R3270" s="37" t="str">
        <f t="shared" si="259"/>
        <v>AVERAGE</v>
      </c>
      <c r="S3270" t="s">
        <v>615</v>
      </c>
    </row>
    <row r="3271" spans="1:19" x14ac:dyDescent="0.2">
      <c r="A3271" t="s">
        <v>3882</v>
      </c>
      <c r="B3271" t="s">
        <v>83</v>
      </c>
      <c r="C3271" t="s">
        <v>607</v>
      </c>
      <c r="D3271">
        <v>3470.24</v>
      </c>
      <c r="E3271" s="37" t="str">
        <f t="shared" si="255"/>
        <v xml:space="preserve"> </v>
      </c>
      <c r="F3271">
        <v>0.41</v>
      </c>
      <c r="G3271" s="37" t="str">
        <f t="shared" si="256"/>
        <v>Heavy Discount</v>
      </c>
      <c r="H3271" s="37" t="str">
        <f t="shared" si="257"/>
        <v>High</v>
      </c>
      <c r="I3271">
        <v>2</v>
      </c>
      <c r="J3271" t="str" cm="1">
        <f t="array" ref="J3271">_xlfn.IFS(I3271&lt;=3,"small",I3271&lt;=6,"Medium",I3271&lt;=9,"Large")</f>
        <v>small</v>
      </c>
      <c r="K3271" s="36">
        <v>45500</v>
      </c>
      <c r="L3271" s="36">
        <v>45507</v>
      </c>
      <c r="M3271" t="s">
        <v>598</v>
      </c>
      <c r="N3271" t="s">
        <v>599</v>
      </c>
      <c r="O3271" s="37" t="str">
        <f t="shared" si="258"/>
        <v>Digital Payment</v>
      </c>
      <c r="P3271">
        <v>428.55</v>
      </c>
      <c r="Q3271" s="37" t="str">
        <f>IF(P3271&gt;500,"High","low")</f>
        <v>low</v>
      </c>
      <c r="R3271" s="37" t="str">
        <f t="shared" si="259"/>
        <v>AVERAGE</v>
      </c>
      <c r="S3271" t="s">
        <v>600</v>
      </c>
    </row>
    <row r="3272" spans="1:19" x14ac:dyDescent="0.2">
      <c r="A3272" t="s">
        <v>3883</v>
      </c>
      <c r="B3272" t="s">
        <v>75</v>
      </c>
      <c r="C3272" t="s">
        <v>602</v>
      </c>
      <c r="D3272">
        <v>3992.56</v>
      </c>
      <c r="E3272" s="37" t="str">
        <f t="shared" si="255"/>
        <v xml:space="preserve"> </v>
      </c>
      <c r="F3272">
        <v>0.1</v>
      </c>
      <c r="G3272" s="37" t="str">
        <f t="shared" si="256"/>
        <v>Normal Discount</v>
      </c>
      <c r="H3272" s="37" t="str">
        <f t="shared" si="257"/>
        <v>Low</v>
      </c>
      <c r="I3272">
        <v>3</v>
      </c>
      <c r="J3272" t="str" cm="1">
        <f t="array" ref="J3272">_xlfn.IFS(I3272&lt;=3,"small",I3272&lt;=6,"Medium",I3272&lt;=9,"Large")</f>
        <v>small</v>
      </c>
      <c r="K3272" s="36">
        <v>45107</v>
      </c>
      <c r="L3272" s="36">
        <v>45114</v>
      </c>
      <c r="M3272" t="s">
        <v>603</v>
      </c>
      <c r="N3272" t="s">
        <v>599</v>
      </c>
      <c r="O3272" s="37" t="str">
        <f t="shared" si="258"/>
        <v>Digital Payment</v>
      </c>
      <c r="P3272">
        <v>1059.1300000000001</v>
      </c>
      <c r="Q3272" s="37" t="str">
        <f>IF(P3272&gt;500,"High","low")</f>
        <v>High</v>
      </c>
      <c r="R3272" s="37" t="str">
        <f t="shared" si="259"/>
        <v>Excellent</v>
      </c>
      <c r="S3272" t="s">
        <v>620</v>
      </c>
    </row>
    <row r="3273" spans="1:19" x14ac:dyDescent="0.2">
      <c r="A3273" t="s">
        <v>3884</v>
      </c>
      <c r="B3273" t="s">
        <v>90</v>
      </c>
      <c r="C3273" t="s">
        <v>617</v>
      </c>
      <c r="D3273">
        <v>2325.91</v>
      </c>
      <c r="E3273" s="37" t="str">
        <f t="shared" si="255"/>
        <v xml:space="preserve"> </v>
      </c>
      <c r="F3273">
        <v>0.08</v>
      </c>
      <c r="G3273" s="37" t="str">
        <f t="shared" si="256"/>
        <v>Normal Discount</v>
      </c>
      <c r="H3273" s="37" t="str">
        <f t="shared" si="257"/>
        <v>Low</v>
      </c>
      <c r="I3273">
        <v>5</v>
      </c>
      <c r="J3273" t="str" cm="1">
        <f t="array" ref="J3273">_xlfn.IFS(I3273&lt;=3,"small",I3273&lt;=6,"Medium",I3273&lt;=9,"Large")</f>
        <v>Medium</v>
      </c>
      <c r="K3273" s="36">
        <v>45033</v>
      </c>
      <c r="L3273" s="36">
        <v>45037</v>
      </c>
      <c r="M3273" t="s">
        <v>612</v>
      </c>
      <c r="N3273" t="s">
        <v>604</v>
      </c>
      <c r="O3273" s="37" t="str">
        <f t="shared" si="258"/>
        <v>Digital Payment</v>
      </c>
      <c r="P3273">
        <v>333.84</v>
      </c>
      <c r="Q3273" s="37" t="str">
        <f>IF(P3273&gt;500,"High","low")</f>
        <v>low</v>
      </c>
      <c r="R3273" s="37" t="str">
        <f t="shared" si="259"/>
        <v>AVERAGE</v>
      </c>
      <c r="S3273" t="s">
        <v>609</v>
      </c>
    </row>
    <row r="3274" spans="1:19" x14ac:dyDescent="0.2">
      <c r="A3274" t="s">
        <v>3885</v>
      </c>
      <c r="B3274" t="s">
        <v>67</v>
      </c>
      <c r="C3274" t="s">
        <v>597</v>
      </c>
      <c r="D3274">
        <v>4391.03</v>
      </c>
      <c r="E3274" s="37" t="str">
        <f t="shared" si="255"/>
        <v xml:space="preserve"> </v>
      </c>
      <c r="F3274">
        <v>0.37</v>
      </c>
      <c r="G3274" s="37" t="str">
        <f t="shared" si="256"/>
        <v>Heavy Discount</v>
      </c>
      <c r="H3274" s="37" t="str">
        <f t="shared" si="257"/>
        <v>Medium</v>
      </c>
      <c r="I3274">
        <v>5</v>
      </c>
      <c r="J3274" t="str" cm="1">
        <f t="array" ref="J3274">_xlfn.IFS(I3274&lt;=3,"small",I3274&lt;=6,"Medium",I3274&lt;=9,"Large")</f>
        <v>Medium</v>
      </c>
      <c r="K3274" s="36">
        <v>45488</v>
      </c>
      <c r="L3274" s="36">
        <v>45494</v>
      </c>
      <c r="M3274" t="s">
        <v>598</v>
      </c>
      <c r="N3274" t="s">
        <v>604</v>
      </c>
      <c r="O3274" s="37" t="str">
        <f t="shared" si="258"/>
        <v>Digital Payment</v>
      </c>
      <c r="P3274">
        <v>678.78</v>
      </c>
      <c r="Q3274" s="37" t="str">
        <f>IF(P3274&gt;500,"High","low")</f>
        <v>High</v>
      </c>
      <c r="R3274" s="37" t="str">
        <f t="shared" si="259"/>
        <v>Good</v>
      </c>
      <c r="S3274" t="s">
        <v>600</v>
      </c>
    </row>
    <row r="3275" spans="1:19" x14ac:dyDescent="0.2">
      <c r="A3275" t="s">
        <v>3886</v>
      </c>
      <c r="B3275" t="s">
        <v>90</v>
      </c>
      <c r="C3275" t="s">
        <v>607</v>
      </c>
      <c r="D3275">
        <v>4288.6000000000004</v>
      </c>
      <c r="E3275" s="37" t="str">
        <f t="shared" si="255"/>
        <v>Excellent Order</v>
      </c>
      <c r="F3275">
        <v>0.32</v>
      </c>
      <c r="G3275" s="37" t="str">
        <f t="shared" si="256"/>
        <v>Heavy Discount</v>
      </c>
      <c r="H3275" s="37" t="str">
        <f t="shared" si="257"/>
        <v>Medium</v>
      </c>
      <c r="I3275">
        <v>2</v>
      </c>
      <c r="J3275" t="str" cm="1">
        <f t="array" ref="J3275">_xlfn.IFS(I3275&lt;=3,"small",I3275&lt;=6,"Medium",I3275&lt;=9,"Large")</f>
        <v>small</v>
      </c>
      <c r="K3275" s="36">
        <v>45149</v>
      </c>
      <c r="L3275" s="36">
        <v>45151</v>
      </c>
      <c r="M3275" t="s">
        <v>603</v>
      </c>
      <c r="N3275" t="s">
        <v>608</v>
      </c>
      <c r="O3275" s="37" t="str">
        <f t="shared" si="258"/>
        <v>Cash Payment</v>
      </c>
      <c r="P3275">
        <v>1148.6400000000001</v>
      </c>
      <c r="Q3275" s="37" t="str">
        <f>IF(P3275&gt;500,"High","low")</f>
        <v>High</v>
      </c>
      <c r="R3275" s="37" t="str">
        <f t="shared" si="259"/>
        <v>Excellent</v>
      </c>
      <c r="S3275" t="s">
        <v>605</v>
      </c>
    </row>
    <row r="3276" spans="1:19" x14ac:dyDescent="0.2">
      <c r="A3276" t="s">
        <v>3887</v>
      </c>
      <c r="B3276" t="s">
        <v>67</v>
      </c>
      <c r="C3276" t="s">
        <v>614</v>
      </c>
      <c r="D3276">
        <v>4402.4799999999996</v>
      </c>
      <c r="E3276" s="37" t="str">
        <f t="shared" si="255"/>
        <v>Excellent Order</v>
      </c>
      <c r="F3276">
        <v>0.16</v>
      </c>
      <c r="G3276" s="37" t="str">
        <f t="shared" si="256"/>
        <v>Normal Discount</v>
      </c>
      <c r="H3276" s="37" t="str">
        <f t="shared" si="257"/>
        <v>Low</v>
      </c>
      <c r="I3276">
        <v>1</v>
      </c>
      <c r="J3276" t="str" cm="1">
        <f t="array" ref="J3276">_xlfn.IFS(I3276&lt;=3,"small",I3276&lt;=6,"Medium",I3276&lt;=9,"Large")</f>
        <v>small</v>
      </c>
      <c r="K3276" s="36">
        <v>45086</v>
      </c>
      <c r="L3276" s="36">
        <v>45092</v>
      </c>
      <c r="M3276" t="s">
        <v>603</v>
      </c>
      <c r="N3276" t="s">
        <v>604</v>
      </c>
      <c r="O3276" s="37" t="str">
        <f t="shared" si="258"/>
        <v>Digital Payment</v>
      </c>
      <c r="P3276">
        <v>813.75</v>
      </c>
      <c r="Q3276" s="37" t="str">
        <f>IF(P3276&gt;500,"High","low")</f>
        <v>High</v>
      </c>
      <c r="R3276" s="37" t="str">
        <f t="shared" si="259"/>
        <v>Good</v>
      </c>
      <c r="S3276" t="s">
        <v>628</v>
      </c>
    </row>
    <row r="3277" spans="1:19" x14ac:dyDescent="0.2">
      <c r="A3277" t="s">
        <v>3888</v>
      </c>
      <c r="B3277" t="s">
        <v>83</v>
      </c>
      <c r="C3277" t="s">
        <v>607</v>
      </c>
      <c r="D3277">
        <v>3339.08</v>
      </c>
      <c r="E3277" s="37" t="str">
        <f t="shared" si="255"/>
        <v xml:space="preserve"> </v>
      </c>
      <c r="F3277">
        <v>0.32</v>
      </c>
      <c r="G3277" s="37" t="str">
        <f t="shared" si="256"/>
        <v>Heavy Discount</v>
      </c>
      <c r="H3277" s="37" t="str">
        <f t="shared" si="257"/>
        <v>Medium</v>
      </c>
      <c r="I3277">
        <v>5</v>
      </c>
      <c r="J3277" t="str" cm="1">
        <f t="array" ref="J3277">_xlfn.IFS(I3277&lt;=3,"small",I3277&lt;=6,"Medium",I3277&lt;=9,"Large")</f>
        <v>Medium</v>
      </c>
      <c r="K3277" s="36">
        <v>45046</v>
      </c>
      <c r="L3277" s="36">
        <v>45050</v>
      </c>
      <c r="M3277" t="s">
        <v>612</v>
      </c>
      <c r="N3277" t="s">
        <v>599</v>
      </c>
      <c r="O3277" s="37" t="str">
        <f t="shared" si="258"/>
        <v>Digital Payment</v>
      </c>
      <c r="P3277">
        <v>504.73</v>
      </c>
      <c r="Q3277" s="37" t="str">
        <f>IF(P3277&gt;500,"High","low")</f>
        <v>High</v>
      </c>
      <c r="R3277" s="37" t="str">
        <f t="shared" si="259"/>
        <v>Good</v>
      </c>
      <c r="S3277" t="s">
        <v>615</v>
      </c>
    </row>
    <row r="3278" spans="1:19" x14ac:dyDescent="0.2">
      <c r="A3278" t="s">
        <v>3889</v>
      </c>
      <c r="B3278" t="s">
        <v>75</v>
      </c>
      <c r="C3278" t="s">
        <v>607</v>
      </c>
      <c r="D3278">
        <v>1593.47</v>
      </c>
      <c r="E3278" s="37" t="str">
        <f t="shared" si="255"/>
        <v xml:space="preserve"> </v>
      </c>
      <c r="F3278">
        <v>0.39</v>
      </c>
      <c r="G3278" s="37" t="str">
        <f t="shared" si="256"/>
        <v>Heavy Discount</v>
      </c>
      <c r="H3278" s="37" t="str">
        <f t="shared" si="257"/>
        <v>Medium</v>
      </c>
      <c r="I3278">
        <v>5</v>
      </c>
      <c r="J3278" t="str" cm="1">
        <f t="array" ref="J3278">_xlfn.IFS(I3278&lt;=3,"small",I3278&lt;=6,"Medium",I3278&lt;=9,"Large")</f>
        <v>Medium</v>
      </c>
      <c r="K3278" s="36">
        <v>45265</v>
      </c>
      <c r="L3278" s="36">
        <v>45270</v>
      </c>
      <c r="M3278" t="s">
        <v>612</v>
      </c>
      <c r="N3278" t="s">
        <v>604</v>
      </c>
      <c r="O3278" s="37" t="str">
        <f t="shared" si="258"/>
        <v>Digital Payment</v>
      </c>
      <c r="P3278">
        <v>140.18</v>
      </c>
      <c r="Q3278" s="37" t="str">
        <f>IF(P3278&gt;500,"High","low")</f>
        <v>low</v>
      </c>
      <c r="R3278" s="37" t="str">
        <f t="shared" si="259"/>
        <v>AVERAGE</v>
      </c>
      <c r="S3278" t="s">
        <v>628</v>
      </c>
    </row>
    <row r="3279" spans="1:19" x14ac:dyDescent="0.2">
      <c r="A3279" t="s">
        <v>3890</v>
      </c>
      <c r="B3279" t="s">
        <v>67</v>
      </c>
      <c r="C3279" t="s">
        <v>597</v>
      </c>
      <c r="D3279">
        <v>2458.13</v>
      </c>
      <c r="E3279" s="37" t="str">
        <f t="shared" si="255"/>
        <v xml:space="preserve"> </v>
      </c>
      <c r="F3279">
        <v>0.11</v>
      </c>
      <c r="G3279" s="37" t="str">
        <f t="shared" si="256"/>
        <v>Normal Discount</v>
      </c>
      <c r="H3279" s="37" t="str">
        <f t="shared" si="257"/>
        <v>Low</v>
      </c>
      <c r="I3279">
        <v>3</v>
      </c>
      <c r="J3279" t="str" cm="1">
        <f t="array" ref="J3279">_xlfn.IFS(I3279&lt;=3,"small",I3279&lt;=6,"Medium",I3279&lt;=9,"Large")</f>
        <v>small</v>
      </c>
      <c r="K3279" s="36">
        <v>45198</v>
      </c>
      <c r="L3279" s="36">
        <v>45202</v>
      </c>
      <c r="M3279" t="s">
        <v>612</v>
      </c>
      <c r="N3279" t="s">
        <v>608</v>
      </c>
      <c r="O3279" s="37" t="str">
        <f t="shared" si="258"/>
        <v>Cash Payment</v>
      </c>
      <c r="P3279">
        <v>391.55</v>
      </c>
      <c r="Q3279" s="37" t="str">
        <f>IF(P3279&gt;500,"High","low")</f>
        <v>low</v>
      </c>
      <c r="R3279" s="37" t="str">
        <f t="shared" si="259"/>
        <v>AVERAGE</v>
      </c>
      <c r="S3279" t="s">
        <v>615</v>
      </c>
    </row>
    <row r="3280" spans="1:19" x14ac:dyDescent="0.2">
      <c r="A3280" t="s">
        <v>3891</v>
      </c>
      <c r="B3280" t="s">
        <v>67</v>
      </c>
      <c r="C3280" t="s">
        <v>597</v>
      </c>
      <c r="D3280">
        <v>3581.5</v>
      </c>
      <c r="E3280" s="37" t="str">
        <f t="shared" si="255"/>
        <v xml:space="preserve"> </v>
      </c>
      <c r="F3280">
        <v>0.28999999999999998</v>
      </c>
      <c r="G3280" s="37" t="str">
        <f t="shared" si="256"/>
        <v>Normal Discount</v>
      </c>
      <c r="H3280" s="37" t="str">
        <f t="shared" si="257"/>
        <v>Medium</v>
      </c>
      <c r="I3280">
        <v>8</v>
      </c>
      <c r="J3280" t="str" cm="1">
        <f t="array" ref="J3280">_xlfn.IFS(I3280&lt;=3,"small",I3280&lt;=6,"Medium",I3280&lt;=9,"Large")</f>
        <v>Large</v>
      </c>
      <c r="K3280" s="36">
        <v>45348</v>
      </c>
      <c r="L3280" s="36">
        <v>45349</v>
      </c>
      <c r="M3280" t="s">
        <v>603</v>
      </c>
      <c r="N3280" t="s">
        <v>604</v>
      </c>
      <c r="O3280" s="37" t="str">
        <f t="shared" si="258"/>
        <v>Digital Payment</v>
      </c>
      <c r="P3280">
        <v>833.01</v>
      </c>
      <c r="Q3280" s="37" t="str">
        <f>IF(P3280&gt;500,"High","low")</f>
        <v>High</v>
      </c>
      <c r="R3280" s="37" t="str">
        <f t="shared" si="259"/>
        <v>Good</v>
      </c>
      <c r="S3280" t="s">
        <v>628</v>
      </c>
    </row>
    <row r="3281" spans="1:19" x14ac:dyDescent="0.2">
      <c r="A3281" t="s">
        <v>3892</v>
      </c>
      <c r="B3281" t="s">
        <v>67</v>
      </c>
      <c r="C3281" t="s">
        <v>602</v>
      </c>
      <c r="D3281">
        <v>1131.76</v>
      </c>
      <c r="E3281" s="37" t="str">
        <f t="shared" si="255"/>
        <v xml:space="preserve"> </v>
      </c>
      <c r="F3281">
        <v>0.41</v>
      </c>
      <c r="G3281" s="37" t="str">
        <f t="shared" si="256"/>
        <v>Heavy Discount</v>
      </c>
      <c r="H3281" s="37" t="str">
        <f t="shared" si="257"/>
        <v>High</v>
      </c>
      <c r="I3281">
        <v>6</v>
      </c>
      <c r="J3281" t="str" cm="1">
        <f t="array" ref="J3281">_xlfn.IFS(I3281&lt;=3,"small",I3281&lt;=6,"Medium",I3281&lt;=9,"Large")</f>
        <v>Medium</v>
      </c>
      <c r="K3281" s="36">
        <v>45329</v>
      </c>
      <c r="L3281" s="36">
        <v>45335</v>
      </c>
      <c r="M3281" t="s">
        <v>612</v>
      </c>
      <c r="N3281" t="s">
        <v>599</v>
      </c>
      <c r="O3281" s="37" t="str">
        <f t="shared" si="258"/>
        <v>Digital Payment</v>
      </c>
      <c r="P3281">
        <v>251.77</v>
      </c>
      <c r="Q3281" s="37" t="str">
        <f>IF(P3281&gt;500,"High","low")</f>
        <v>low</v>
      </c>
      <c r="R3281" s="37" t="str">
        <f t="shared" si="259"/>
        <v>AVERAGE</v>
      </c>
      <c r="S3281" t="s">
        <v>600</v>
      </c>
    </row>
    <row r="3282" spans="1:19" x14ac:dyDescent="0.2">
      <c r="A3282" t="s">
        <v>3893</v>
      </c>
      <c r="B3282" t="s">
        <v>67</v>
      </c>
      <c r="C3282" t="s">
        <v>602</v>
      </c>
      <c r="D3282">
        <v>3720.33</v>
      </c>
      <c r="E3282" s="37" t="str">
        <f t="shared" si="255"/>
        <v xml:space="preserve"> </v>
      </c>
      <c r="F3282">
        <v>0.21</v>
      </c>
      <c r="G3282" s="37" t="str">
        <f t="shared" si="256"/>
        <v>Normal Discount</v>
      </c>
      <c r="H3282" s="37" t="str">
        <f t="shared" si="257"/>
        <v>Medium</v>
      </c>
      <c r="I3282">
        <v>2</v>
      </c>
      <c r="J3282" t="str" cm="1">
        <f t="array" ref="J3282">_xlfn.IFS(I3282&lt;=3,"small",I3282&lt;=6,"Medium",I3282&lt;=9,"Large")</f>
        <v>small</v>
      </c>
      <c r="K3282" s="36">
        <v>45426</v>
      </c>
      <c r="L3282" s="36">
        <v>45427</v>
      </c>
      <c r="M3282" t="s">
        <v>598</v>
      </c>
      <c r="N3282" t="s">
        <v>604</v>
      </c>
      <c r="O3282" s="37" t="str">
        <f t="shared" si="258"/>
        <v>Digital Payment</v>
      </c>
      <c r="P3282">
        <v>913.82</v>
      </c>
      <c r="Q3282" s="37" t="str">
        <f>IF(P3282&gt;500,"High","low")</f>
        <v>High</v>
      </c>
      <c r="R3282" s="37" t="str">
        <f t="shared" si="259"/>
        <v>Good</v>
      </c>
      <c r="S3282" t="s">
        <v>609</v>
      </c>
    </row>
    <row r="3283" spans="1:19" x14ac:dyDescent="0.2">
      <c r="A3283" t="s">
        <v>3894</v>
      </c>
      <c r="B3283" t="s">
        <v>75</v>
      </c>
      <c r="C3283" t="s">
        <v>617</v>
      </c>
      <c r="D3283">
        <v>2785.63</v>
      </c>
      <c r="E3283" s="37" t="str">
        <f t="shared" si="255"/>
        <v xml:space="preserve"> </v>
      </c>
      <c r="F3283">
        <v>0.28999999999999998</v>
      </c>
      <c r="G3283" s="37" t="str">
        <f t="shared" si="256"/>
        <v>Normal Discount</v>
      </c>
      <c r="H3283" s="37" t="str">
        <f t="shared" si="257"/>
        <v>Medium</v>
      </c>
      <c r="I3283">
        <v>2</v>
      </c>
      <c r="J3283" t="str" cm="1">
        <f t="array" ref="J3283">_xlfn.IFS(I3283&lt;=3,"small",I3283&lt;=6,"Medium",I3283&lt;=9,"Large")</f>
        <v>small</v>
      </c>
      <c r="K3283" s="36">
        <v>45517</v>
      </c>
      <c r="L3283" s="36">
        <v>45520</v>
      </c>
      <c r="M3283" t="s">
        <v>598</v>
      </c>
      <c r="N3283" t="s">
        <v>608</v>
      </c>
      <c r="O3283" s="37" t="str">
        <f t="shared" si="258"/>
        <v>Cash Payment</v>
      </c>
      <c r="P3283">
        <v>665.45</v>
      </c>
      <c r="Q3283" s="37" t="str">
        <f>IF(P3283&gt;500,"High","low")</f>
        <v>High</v>
      </c>
      <c r="R3283" s="37" t="str">
        <f t="shared" si="259"/>
        <v>Good</v>
      </c>
      <c r="S3283" t="s">
        <v>609</v>
      </c>
    </row>
    <row r="3284" spans="1:19" x14ac:dyDescent="0.2">
      <c r="A3284" t="s">
        <v>3895</v>
      </c>
      <c r="B3284" t="s">
        <v>75</v>
      </c>
      <c r="C3284" t="s">
        <v>614</v>
      </c>
      <c r="D3284">
        <v>570.49</v>
      </c>
      <c r="E3284" s="37" t="str">
        <f t="shared" si="255"/>
        <v xml:space="preserve"> </v>
      </c>
      <c r="F3284">
        <v>0.04</v>
      </c>
      <c r="G3284" s="37" t="str">
        <f t="shared" si="256"/>
        <v>Normal Discount</v>
      </c>
      <c r="H3284" s="37" t="str">
        <f t="shared" si="257"/>
        <v>Low</v>
      </c>
      <c r="I3284">
        <v>4</v>
      </c>
      <c r="J3284" t="str" cm="1">
        <f t="array" ref="J3284">_xlfn.IFS(I3284&lt;=3,"small",I3284&lt;=6,"Medium",I3284&lt;=9,"Large")</f>
        <v>Medium</v>
      </c>
      <c r="K3284" s="36">
        <v>45159</v>
      </c>
      <c r="L3284" s="36">
        <v>45163</v>
      </c>
      <c r="M3284" t="s">
        <v>598</v>
      </c>
      <c r="N3284" t="s">
        <v>599</v>
      </c>
      <c r="O3284" s="37" t="str">
        <f t="shared" si="258"/>
        <v>Digital Payment</v>
      </c>
      <c r="P3284">
        <v>79.989999999999995</v>
      </c>
      <c r="Q3284" s="37" t="str">
        <f>IF(P3284&gt;500,"High","low")</f>
        <v>low</v>
      </c>
      <c r="R3284" s="37" t="str">
        <f t="shared" si="259"/>
        <v>AVERAGE</v>
      </c>
      <c r="S3284" t="s">
        <v>605</v>
      </c>
    </row>
    <row r="3285" spans="1:19" x14ac:dyDescent="0.2">
      <c r="A3285" t="s">
        <v>3896</v>
      </c>
      <c r="B3285" t="s">
        <v>83</v>
      </c>
      <c r="C3285" t="s">
        <v>602</v>
      </c>
      <c r="D3285">
        <v>2830.7</v>
      </c>
      <c r="E3285" s="37" t="str">
        <f t="shared" si="255"/>
        <v xml:space="preserve"> </v>
      </c>
      <c r="F3285">
        <v>0.42</v>
      </c>
      <c r="G3285" s="37" t="str">
        <f t="shared" si="256"/>
        <v>Heavy Discount</v>
      </c>
      <c r="H3285" s="37" t="str">
        <f t="shared" si="257"/>
        <v>High</v>
      </c>
      <c r="I3285">
        <v>6</v>
      </c>
      <c r="J3285" t="str" cm="1">
        <f t="array" ref="J3285">_xlfn.IFS(I3285&lt;=3,"small",I3285&lt;=6,"Medium",I3285&lt;=9,"Large")</f>
        <v>Medium</v>
      </c>
      <c r="K3285" s="36">
        <v>45117</v>
      </c>
      <c r="L3285" s="36">
        <v>45121</v>
      </c>
      <c r="M3285" t="s">
        <v>603</v>
      </c>
      <c r="N3285" t="s">
        <v>604</v>
      </c>
      <c r="O3285" s="37" t="str">
        <f t="shared" si="258"/>
        <v>Digital Payment</v>
      </c>
      <c r="P3285">
        <v>734.99</v>
      </c>
      <c r="Q3285" s="37" t="str">
        <f>IF(P3285&gt;500,"High","low")</f>
        <v>High</v>
      </c>
      <c r="R3285" s="37" t="str">
        <f t="shared" si="259"/>
        <v>Good</v>
      </c>
      <c r="S3285" t="s">
        <v>615</v>
      </c>
    </row>
    <row r="3286" spans="1:19" x14ac:dyDescent="0.2">
      <c r="A3286" t="s">
        <v>3897</v>
      </c>
      <c r="B3286" t="s">
        <v>75</v>
      </c>
      <c r="C3286" t="s">
        <v>597</v>
      </c>
      <c r="D3286">
        <v>427.2</v>
      </c>
      <c r="E3286" s="37" t="str">
        <f t="shared" si="255"/>
        <v xml:space="preserve"> </v>
      </c>
      <c r="F3286">
        <v>0.4</v>
      </c>
      <c r="G3286" s="37" t="str">
        <f t="shared" si="256"/>
        <v>Heavy Discount</v>
      </c>
      <c r="H3286" s="37" t="str">
        <f t="shared" si="257"/>
        <v>Medium</v>
      </c>
      <c r="I3286">
        <v>9</v>
      </c>
      <c r="J3286" t="str" cm="1">
        <f t="array" ref="J3286">_xlfn.IFS(I3286&lt;=3,"small",I3286&lt;=6,"Medium",I3286&lt;=9,"Large")</f>
        <v>Large</v>
      </c>
      <c r="K3286" s="36">
        <v>45523</v>
      </c>
      <c r="L3286" s="36">
        <v>45528</v>
      </c>
      <c r="M3286" t="s">
        <v>612</v>
      </c>
      <c r="N3286" t="s">
        <v>604</v>
      </c>
      <c r="O3286" s="37" t="str">
        <f t="shared" si="258"/>
        <v>Digital Payment</v>
      </c>
      <c r="P3286">
        <v>25.5</v>
      </c>
      <c r="Q3286" s="37" t="str">
        <f>IF(P3286&gt;500,"High","low")</f>
        <v>low</v>
      </c>
      <c r="R3286" s="37" t="str">
        <f t="shared" si="259"/>
        <v>AVERAGE</v>
      </c>
      <c r="S3286" t="s">
        <v>628</v>
      </c>
    </row>
    <row r="3287" spans="1:19" x14ac:dyDescent="0.2">
      <c r="A3287" t="s">
        <v>3898</v>
      </c>
      <c r="B3287" t="s">
        <v>67</v>
      </c>
      <c r="C3287" t="s">
        <v>607</v>
      </c>
      <c r="D3287">
        <v>170.11</v>
      </c>
      <c r="E3287" s="37" t="str">
        <f t="shared" si="255"/>
        <v xml:space="preserve"> </v>
      </c>
      <c r="F3287">
        <v>0.23</v>
      </c>
      <c r="G3287" s="37" t="str">
        <f t="shared" si="256"/>
        <v>Normal Discount</v>
      </c>
      <c r="H3287" s="37" t="str">
        <f t="shared" si="257"/>
        <v>Medium</v>
      </c>
      <c r="I3287">
        <v>8</v>
      </c>
      <c r="J3287" t="str" cm="1">
        <f t="array" ref="J3287">_xlfn.IFS(I3287&lt;=3,"small",I3287&lt;=6,"Medium",I3287&lt;=9,"Large")</f>
        <v>Large</v>
      </c>
      <c r="K3287" s="36">
        <v>45562</v>
      </c>
      <c r="L3287" s="36">
        <v>45563</v>
      </c>
      <c r="M3287" t="s">
        <v>603</v>
      </c>
      <c r="N3287" t="s">
        <v>608</v>
      </c>
      <c r="O3287" s="37" t="str">
        <f t="shared" si="258"/>
        <v>Cash Payment</v>
      </c>
      <c r="P3287">
        <v>9.7200000000000006</v>
      </c>
      <c r="Q3287" s="37" t="str">
        <f>IF(P3287&gt;500,"High","low")</f>
        <v>low</v>
      </c>
      <c r="R3287" s="37" t="str">
        <f t="shared" si="259"/>
        <v>AVERAGE</v>
      </c>
      <c r="S3287" t="s">
        <v>620</v>
      </c>
    </row>
    <row r="3288" spans="1:19" x14ac:dyDescent="0.2">
      <c r="A3288" t="s">
        <v>3899</v>
      </c>
      <c r="B3288" t="s">
        <v>83</v>
      </c>
      <c r="C3288" t="s">
        <v>617</v>
      </c>
      <c r="D3288">
        <v>4459.18</v>
      </c>
      <c r="E3288" s="37" t="str">
        <f t="shared" si="255"/>
        <v>Excellent Order</v>
      </c>
      <c r="F3288">
        <v>0.06</v>
      </c>
      <c r="G3288" s="37" t="str">
        <f t="shared" si="256"/>
        <v>Normal Discount</v>
      </c>
      <c r="H3288" s="37" t="str">
        <f t="shared" si="257"/>
        <v>Low</v>
      </c>
      <c r="I3288">
        <v>8</v>
      </c>
      <c r="J3288" t="str" cm="1">
        <f t="array" ref="J3288">_xlfn.IFS(I3288&lt;=3,"small",I3288&lt;=6,"Medium",I3288&lt;=9,"Large")</f>
        <v>Large</v>
      </c>
      <c r="K3288" s="36">
        <v>45353</v>
      </c>
      <c r="L3288" s="36">
        <v>45360</v>
      </c>
      <c r="M3288" t="s">
        <v>603</v>
      </c>
      <c r="N3288" t="s">
        <v>599</v>
      </c>
      <c r="O3288" s="37" t="str">
        <f t="shared" si="258"/>
        <v>Digital Payment</v>
      </c>
      <c r="P3288">
        <v>1288.83</v>
      </c>
      <c r="Q3288" s="37" t="str">
        <f>IF(P3288&gt;500,"High","low")</f>
        <v>High</v>
      </c>
      <c r="R3288" s="37" t="str">
        <f t="shared" si="259"/>
        <v>Excellent</v>
      </c>
      <c r="S3288" t="s">
        <v>620</v>
      </c>
    </row>
    <row r="3289" spans="1:19" x14ac:dyDescent="0.2">
      <c r="A3289" t="s">
        <v>3900</v>
      </c>
      <c r="B3289" t="s">
        <v>83</v>
      </c>
      <c r="C3289" t="s">
        <v>602</v>
      </c>
      <c r="D3289">
        <v>2500.59</v>
      </c>
      <c r="E3289" s="37" t="str">
        <f t="shared" si="255"/>
        <v xml:space="preserve"> </v>
      </c>
      <c r="F3289">
        <v>0.33</v>
      </c>
      <c r="G3289" s="37" t="str">
        <f t="shared" si="256"/>
        <v>Heavy Discount</v>
      </c>
      <c r="H3289" s="37" t="str">
        <f t="shared" si="257"/>
        <v>Medium</v>
      </c>
      <c r="I3289">
        <v>2</v>
      </c>
      <c r="J3289" t="str" cm="1">
        <f t="array" ref="J3289">_xlfn.IFS(I3289&lt;=3,"small",I3289&lt;=6,"Medium",I3289&lt;=9,"Large")</f>
        <v>small</v>
      </c>
      <c r="K3289" s="36">
        <v>45512</v>
      </c>
      <c r="L3289" s="36">
        <v>45514</v>
      </c>
      <c r="M3289" t="s">
        <v>612</v>
      </c>
      <c r="N3289" t="s">
        <v>604</v>
      </c>
      <c r="O3289" s="37" t="str">
        <f t="shared" si="258"/>
        <v>Digital Payment</v>
      </c>
      <c r="P3289">
        <v>672.95</v>
      </c>
      <c r="Q3289" s="37" t="str">
        <f>IF(P3289&gt;500,"High","low")</f>
        <v>High</v>
      </c>
      <c r="R3289" s="37" t="str">
        <f t="shared" si="259"/>
        <v>Good</v>
      </c>
      <c r="S3289" t="s">
        <v>628</v>
      </c>
    </row>
    <row r="3290" spans="1:19" x14ac:dyDescent="0.2">
      <c r="A3290" t="s">
        <v>3901</v>
      </c>
      <c r="B3290" t="s">
        <v>83</v>
      </c>
      <c r="C3290" t="s">
        <v>607</v>
      </c>
      <c r="D3290">
        <v>2762.12</v>
      </c>
      <c r="E3290" s="37" t="str">
        <f t="shared" si="255"/>
        <v xml:space="preserve"> </v>
      </c>
      <c r="F3290">
        <v>0.28999999999999998</v>
      </c>
      <c r="G3290" s="37" t="str">
        <f t="shared" si="256"/>
        <v>Normal Discount</v>
      </c>
      <c r="H3290" s="37" t="str">
        <f t="shared" si="257"/>
        <v>Medium</v>
      </c>
      <c r="I3290">
        <v>4</v>
      </c>
      <c r="J3290" t="str" cm="1">
        <f t="array" ref="J3290">_xlfn.IFS(I3290&lt;=3,"small",I3290&lt;=6,"Medium",I3290&lt;=9,"Large")</f>
        <v>Medium</v>
      </c>
      <c r="K3290" s="36">
        <v>45425</v>
      </c>
      <c r="L3290" s="36">
        <v>45428</v>
      </c>
      <c r="M3290" t="s">
        <v>598</v>
      </c>
      <c r="N3290" t="s">
        <v>608</v>
      </c>
      <c r="O3290" s="37" t="str">
        <f t="shared" si="258"/>
        <v>Cash Payment</v>
      </c>
      <c r="P3290">
        <v>416.14</v>
      </c>
      <c r="Q3290" s="37" t="str">
        <f>IF(P3290&gt;500,"High","low")</f>
        <v>low</v>
      </c>
      <c r="R3290" s="37" t="str">
        <f t="shared" si="259"/>
        <v>AVERAGE</v>
      </c>
      <c r="S3290" t="s">
        <v>605</v>
      </c>
    </row>
    <row r="3291" spans="1:19" x14ac:dyDescent="0.2">
      <c r="A3291" t="s">
        <v>3902</v>
      </c>
      <c r="B3291" t="s">
        <v>67</v>
      </c>
      <c r="C3291" t="s">
        <v>607</v>
      </c>
      <c r="D3291">
        <v>1471.7</v>
      </c>
      <c r="E3291" s="37" t="str">
        <f t="shared" si="255"/>
        <v xml:space="preserve"> </v>
      </c>
      <c r="F3291">
        <v>0.46</v>
      </c>
      <c r="G3291" s="37" t="str">
        <f t="shared" si="256"/>
        <v>Heavy Discount</v>
      </c>
      <c r="H3291" s="37" t="str">
        <f t="shared" si="257"/>
        <v>High</v>
      </c>
      <c r="I3291">
        <v>6</v>
      </c>
      <c r="J3291" t="str" cm="1">
        <f t="array" ref="J3291">_xlfn.IFS(I3291&lt;=3,"small",I3291&lt;=6,"Medium",I3291&lt;=9,"Large")</f>
        <v>Medium</v>
      </c>
      <c r="K3291" s="36">
        <v>45143</v>
      </c>
      <c r="L3291" s="36">
        <v>45150</v>
      </c>
      <c r="M3291" t="s">
        <v>603</v>
      </c>
      <c r="N3291" t="s">
        <v>599</v>
      </c>
      <c r="O3291" s="37" t="str">
        <f t="shared" si="258"/>
        <v>Digital Payment</v>
      </c>
      <c r="P3291">
        <v>383.77</v>
      </c>
      <c r="Q3291" s="37" t="str">
        <f>IF(P3291&gt;500,"High","low")</f>
        <v>low</v>
      </c>
      <c r="R3291" s="37" t="str">
        <f t="shared" si="259"/>
        <v>AVERAGE</v>
      </c>
      <c r="S3291" t="s">
        <v>609</v>
      </c>
    </row>
    <row r="3292" spans="1:19" x14ac:dyDescent="0.2">
      <c r="A3292" t="s">
        <v>3903</v>
      </c>
      <c r="B3292" t="s">
        <v>90</v>
      </c>
      <c r="C3292" t="s">
        <v>602</v>
      </c>
      <c r="D3292">
        <v>2759.45</v>
      </c>
      <c r="E3292" s="37" t="str">
        <f t="shared" si="255"/>
        <v xml:space="preserve"> </v>
      </c>
      <c r="F3292">
        <v>0.14000000000000001</v>
      </c>
      <c r="G3292" s="37" t="str">
        <f t="shared" si="256"/>
        <v>Normal Discount</v>
      </c>
      <c r="H3292" s="37" t="str">
        <f t="shared" si="257"/>
        <v>Low</v>
      </c>
      <c r="I3292">
        <v>6</v>
      </c>
      <c r="J3292" t="str" cm="1">
        <f t="array" ref="J3292">_xlfn.IFS(I3292&lt;=3,"small",I3292&lt;=6,"Medium",I3292&lt;=9,"Large")</f>
        <v>Medium</v>
      </c>
      <c r="K3292" s="36">
        <v>45278</v>
      </c>
      <c r="L3292" s="36">
        <v>45282</v>
      </c>
      <c r="M3292" t="s">
        <v>612</v>
      </c>
      <c r="N3292" t="s">
        <v>604</v>
      </c>
      <c r="O3292" s="37" t="str">
        <f t="shared" si="258"/>
        <v>Digital Payment</v>
      </c>
      <c r="P3292">
        <v>586.44000000000005</v>
      </c>
      <c r="Q3292" s="37" t="str">
        <f>IF(P3292&gt;500,"High","low")</f>
        <v>High</v>
      </c>
      <c r="R3292" s="37" t="str">
        <f t="shared" si="259"/>
        <v>Good</v>
      </c>
      <c r="S3292" t="s">
        <v>609</v>
      </c>
    </row>
    <row r="3293" spans="1:19" x14ac:dyDescent="0.2">
      <c r="A3293" t="s">
        <v>3904</v>
      </c>
      <c r="B3293" t="s">
        <v>67</v>
      </c>
      <c r="C3293" t="s">
        <v>614</v>
      </c>
      <c r="D3293">
        <v>927.46</v>
      </c>
      <c r="E3293" s="37" t="str">
        <f t="shared" si="255"/>
        <v xml:space="preserve"> </v>
      </c>
      <c r="F3293">
        <v>0.02</v>
      </c>
      <c r="G3293" s="37" t="str">
        <f t="shared" si="256"/>
        <v>Normal Discount</v>
      </c>
      <c r="H3293" s="37" t="str">
        <f t="shared" si="257"/>
        <v>Low</v>
      </c>
      <c r="I3293">
        <v>6</v>
      </c>
      <c r="J3293" t="str" cm="1">
        <f t="array" ref="J3293">_xlfn.IFS(I3293&lt;=3,"small",I3293&lt;=6,"Medium",I3293&lt;=9,"Large")</f>
        <v>Medium</v>
      </c>
      <c r="K3293" s="36">
        <v>45215</v>
      </c>
      <c r="L3293" s="36">
        <v>45218</v>
      </c>
      <c r="M3293" t="s">
        <v>598</v>
      </c>
      <c r="N3293" t="s">
        <v>604</v>
      </c>
      <c r="O3293" s="37" t="str">
        <f t="shared" si="258"/>
        <v>Digital Payment</v>
      </c>
      <c r="P3293">
        <v>85.8</v>
      </c>
      <c r="Q3293" s="37" t="str">
        <f>IF(P3293&gt;500,"High","low")</f>
        <v>low</v>
      </c>
      <c r="R3293" s="37" t="str">
        <f t="shared" si="259"/>
        <v>AVERAGE</v>
      </c>
      <c r="S3293" t="s">
        <v>609</v>
      </c>
    </row>
    <row r="3294" spans="1:19" x14ac:dyDescent="0.2">
      <c r="A3294" t="s">
        <v>3905</v>
      </c>
      <c r="B3294" t="s">
        <v>75</v>
      </c>
      <c r="C3294" t="s">
        <v>614</v>
      </c>
      <c r="D3294">
        <v>3753.66</v>
      </c>
      <c r="E3294" s="37" t="str">
        <f t="shared" si="255"/>
        <v xml:space="preserve"> </v>
      </c>
      <c r="F3294">
        <v>0.13</v>
      </c>
      <c r="G3294" s="37" t="str">
        <f t="shared" si="256"/>
        <v>Normal Discount</v>
      </c>
      <c r="H3294" s="37" t="str">
        <f t="shared" si="257"/>
        <v>Low</v>
      </c>
      <c r="I3294">
        <v>8</v>
      </c>
      <c r="J3294" t="str" cm="1">
        <f t="array" ref="J3294">_xlfn.IFS(I3294&lt;=3,"small",I3294&lt;=6,"Medium",I3294&lt;=9,"Large")</f>
        <v>Large</v>
      </c>
      <c r="K3294" s="36">
        <v>44975</v>
      </c>
      <c r="L3294" s="36">
        <v>44979</v>
      </c>
      <c r="M3294" t="s">
        <v>612</v>
      </c>
      <c r="N3294" t="s">
        <v>608</v>
      </c>
      <c r="O3294" s="37" t="str">
        <f t="shared" si="258"/>
        <v>Cash Payment</v>
      </c>
      <c r="P3294">
        <v>615.73</v>
      </c>
      <c r="Q3294" s="37" t="str">
        <f>IF(P3294&gt;500,"High","low")</f>
        <v>High</v>
      </c>
      <c r="R3294" s="37" t="str">
        <f t="shared" si="259"/>
        <v>Good</v>
      </c>
      <c r="S3294" t="s">
        <v>628</v>
      </c>
    </row>
    <row r="3295" spans="1:19" x14ac:dyDescent="0.2">
      <c r="A3295" t="s">
        <v>3906</v>
      </c>
      <c r="B3295" t="s">
        <v>75</v>
      </c>
      <c r="C3295" t="s">
        <v>617</v>
      </c>
      <c r="D3295">
        <v>4134.41</v>
      </c>
      <c r="E3295" s="37" t="str">
        <f t="shared" si="255"/>
        <v xml:space="preserve"> </v>
      </c>
      <c r="F3295">
        <v>0.21</v>
      </c>
      <c r="G3295" s="37" t="str">
        <f t="shared" si="256"/>
        <v>Normal Discount</v>
      </c>
      <c r="H3295" s="37" t="str">
        <f t="shared" si="257"/>
        <v>Medium</v>
      </c>
      <c r="I3295">
        <v>8</v>
      </c>
      <c r="J3295" t="str" cm="1">
        <f t="array" ref="J3295">_xlfn.IFS(I3295&lt;=3,"small",I3295&lt;=6,"Medium",I3295&lt;=9,"Large")</f>
        <v>Large</v>
      </c>
      <c r="K3295" s="36">
        <v>45105</v>
      </c>
      <c r="L3295" s="36">
        <v>45111</v>
      </c>
      <c r="M3295" t="s">
        <v>612</v>
      </c>
      <c r="N3295" t="s">
        <v>604</v>
      </c>
      <c r="O3295" s="37" t="str">
        <f t="shared" si="258"/>
        <v>Digital Payment</v>
      </c>
      <c r="P3295">
        <v>272.17</v>
      </c>
      <c r="Q3295" s="37" t="str">
        <f>IF(P3295&gt;500,"High","low")</f>
        <v>low</v>
      </c>
      <c r="R3295" s="37" t="str">
        <f t="shared" si="259"/>
        <v>AVERAGE</v>
      </c>
      <c r="S3295" t="s">
        <v>628</v>
      </c>
    </row>
    <row r="3296" spans="1:19" x14ac:dyDescent="0.2">
      <c r="A3296" t="s">
        <v>3907</v>
      </c>
      <c r="B3296" t="s">
        <v>67</v>
      </c>
      <c r="C3296" t="s">
        <v>614</v>
      </c>
      <c r="D3296">
        <v>4293.79</v>
      </c>
      <c r="E3296" s="37" t="str">
        <f t="shared" si="255"/>
        <v xml:space="preserve"> </v>
      </c>
      <c r="F3296">
        <v>0.08</v>
      </c>
      <c r="G3296" s="37" t="str">
        <f t="shared" si="256"/>
        <v>Normal Discount</v>
      </c>
      <c r="H3296" s="37" t="str">
        <f t="shared" si="257"/>
        <v>Low</v>
      </c>
      <c r="I3296">
        <v>7</v>
      </c>
      <c r="J3296" t="str" cm="1">
        <f t="array" ref="J3296">_xlfn.IFS(I3296&lt;=3,"small",I3296&lt;=6,"Medium",I3296&lt;=9,"Large")</f>
        <v>Large</v>
      </c>
      <c r="K3296" s="36">
        <v>45616</v>
      </c>
      <c r="L3296" s="36">
        <v>45620</v>
      </c>
      <c r="M3296" t="s">
        <v>598</v>
      </c>
      <c r="N3296" t="s">
        <v>599</v>
      </c>
      <c r="O3296" s="37" t="str">
        <f t="shared" si="258"/>
        <v>Digital Payment</v>
      </c>
      <c r="P3296">
        <v>574.22</v>
      </c>
      <c r="Q3296" s="37" t="str">
        <f>IF(P3296&gt;500,"High","low")</f>
        <v>High</v>
      </c>
      <c r="R3296" s="37" t="str">
        <f t="shared" si="259"/>
        <v>Good</v>
      </c>
      <c r="S3296" t="s">
        <v>609</v>
      </c>
    </row>
    <row r="3297" spans="1:19" x14ac:dyDescent="0.2">
      <c r="A3297" t="s">
        <v>3908</v>
      </c>
      <c r="B3297" t="s">
        <v>67</v>
      </c>
      <c r="C3297" t="s">
        <v>617</v>
      </c>
      <c r="D3297">
        <v>622.6</v>
      </c>
      <c r="E3297" s="37" t="str">
        <f t="shared" si="255"/>
        <v xml:space="preserve"> </v>
      </c>
      <c r="F3297">
        <v>0.49</v>
      </c>
      <c r="G3297" s="37" t="str">
        <f t="shared" si="256"/>
        <v>Heavy Discount</v>
      </c>
      <c r="H3297" s="37" t="str">
        <f t="shared" si="257"/>
        <v>High</v>
      </c>
      <c r="I3297">
        <v>5</v>
      </c>
      <c r="J3297" t="str" cm="1">
        <f t="array" ref="J3297">_xlfn.IFS(I3297&lt;=3,"small",I3297&lt;=6,"Medium",I3297&lt;=9,"Large")</f>
        <v>Medium</v>
      </c>
      <c r="K3297" s="36">
        <v>45462</v>
      </c>
      <c r="L3297" s="36">
        <v>45467</v>
      </c>
      <c r="M3297" t="s">
        <v>598</v>
      </c>
      <c r="N3297" t="s">
        <v>599</v>
      </c>
      <c r="O3297" s="37" t="str">
        <f t="shared" si="258"/>
        <v>Digital Payment</v>
      </c>
      <c r="P3297">
        <v>63.35</v>
      </c>
      <c r="Q3297" s="37" t="str">
        <f>IF(P3297&gt;500,"High","low")</f>
        <v>low</v>
      </c>
      <c r="R3297" s="37" t="str">
        <f t="shared" si="259"/>
        <v>AVERAGE</v>
      </c>
      <c r="S3297" t="s">
        <v>628</v>
      </c>
    </row>
    <row r="3298" spans="1:19" x14ac:dyDescent="0.2">
      <c r="A3298" t="s">
        <v>3909</v>
      </c>
      <c r="B3298" t="s">
        <v>83</v>
      </c>
      <c r="C3298" t="s">
        <v>597</v>
      </c>
      <c r="D3298">
        <v>2833</v>
      </c>
      <c r="E3298" s="37" t="str">
        <f t="shared" si="255"/>
        <v xml:space="preserve"> </v>
      </c>
      <c r="F3298">
        <v>0.11</v>
      </c>
      <c r="G3298" s="37" t="str">
        <f t="shared" si="256"/>
        <v>Normal Discount</v>
      </c>
      <c r="H3298" s="37" t="str">
        <f t="shared" si="257"/>
        <v>Low</v>
      </c>
      <c r="I3298">
        <v>6</v>
      </c>
      <c r="J3298" t="str" cm="1">
        <f t="array" ref="J3298">_xlfn.IFS(I3298&lt;=3,"small",I3298&lt;=6,"Medium",I3298&lt;=9,"Large")</f>
        <v>Medium</v>
      </c>
      <c r="K3298" s="36">
        <v>45203</v>
      </c>
      <c r="L3298" s="36">
        <v>45207</v>
      </c>
      <c r="M3298" t="s">
        <v>603</v>
      </c>
      <c r="N3298" t="s">
        <v>608</v>
      </c>
      <c r="O3298" s="37" t="str">
        <f t="shared" si="258"/>
        <v>Cash Payment</v>
      </c>
      <c r="P3298">
        <v>723.42</v>
      </c>
      <c r="Q3298" s="37" t="str">
        <f>IF(P3298&gt;500,"High","low")</f>
        <v>High</v>
      </c>
      <c r="R3298" s="37" t="str">
        <f t="shared" si="259"/>
        <v>Good</v>
      </c>
      <c r="S3298" t="s">
        <v>609</v>
      </c>
    </row>
    <row r="3299" spans="1:19" x14ac:dyDescent="0.2">
      <c r="A3299" t="s">
        <v>3910</v>
      </c>
      <c r="B3299" t="s">
        <v>67</v>
      </c>
      <c r="C3299" t="s">
        <v>602</v>
      </c>
      <c r="D3299">
        <v>4062.88</v>
      </c>
      <c r="E3299" s="37" t="str">
        <f t="shared" si="255"/>
        <v>Excellent Order</v>
      </c>
      <c r="F3299">
        <v>0.34</v>
      </c>
      <c r="G3299" s="37" t="str">
        <f t="shared" si="256"/>
        <v>Heavy Discount</v>
      </c>
      <c r="H3299" s="37" t="str">
        <f t="shared" si="257"/>
        <v>Medium</v>
      </c>
      <c r="I3299">
        <v>6</v>
      </c>
      <c r="J3299" t="str" cm="1">
        <f t="array" ref="J3299">_xlfn.IFS(I3299&lt;=3,"small",I3299&lt;=6,"Medium",I3299&lt;=9,"Large")</f>
        <v>Medium</v>
      </c>
      <c r="K3299" s="36">
        <v>45336</v>
      </c>
      <c r="L3299" s="36">
        <v>45339</v>
      </c>
      <c r="M3299" t="s">
        <v>603</v>
      </c>
      <c r="N3299" t="s">
        <v>604</v>
      </c>
      <c r="O3299" s="37" t="str">
        <f t="shared" si="258"/>
        <v>Digital Payment</v>
      </c>
      <c r="P3299">
        <v>952.1</v>
      </c>
      <c r="Q3299" s="37" t="str">
        <f>IF(P3299&gt;500,"High","low")</f>
        <v>High</v>
      </c>
      <c r="R3299" s="37" t="str">
        <f t="shared" si="259"/>
        <v>Good</v>
      </c>
      <c r="S3299" t="s">
        <v>628</v>
      </c>
    </row>
    <row r="3300" spans="1:19" x14ac:dyDescent="0.2">
      <c r="A3300" t="s">
        <v>3911</v>
      </c>
      <c r="B3300" t="s">
        <v>83</v>
      </c>
      <c r="C3300" t="s">
        <v>607</v>
      </c>
      <c r="D3300">
        <v>728.26</v>
      </c>
      <c r="E3300" s="37" t="str">
        <f t="shared" si="255"/>
        <v xml:space="preserve"> </v>
      </c>
      <c r="F3300">
        <v>0.23</v>
      </c>
      <c r="G3300" s="37" t="str">
        <f t="shared" si="256"/>
        <v>Normal Discount</v>
      </c>
      <c r="H3300" s="37" t="str">
        <f t="shared" si="257"/>
        <v>Medium</v>
      </c>
      <c r="I3300">
        <v>3</v>
      </c>
      <c r="J3300" t="str" cm="1">
        <f t="array" ref="J3300">_xlfn.IFS(I3300&lt;=3,"small",I3300&lt;=6,"Medium",I3300&lt;=9,"Large")</f>
        <v>small</v>
      </c>
      <c r="K3300" s="36">
        <v>45519</v>
      </c>
      <c r="L3300" s="36">
        <v>45522</v>
      </c>
      <c r="M3300" t="s">
        <v>598</v>
      </c>
      <c r="N3300" t="s">
        <v>599</v>
      </c>
      <c r="O3300" s="37" t="str">
        <f t="shared" si="258"/>
        <v>Digital Payment</v>
      </c>
      <c r="P3300">
        <v>47.53</v>
      </c>
      <c r="Q3300" s="37" t="str">
        <f>IF(P3300&gt;500,"High","low")</f>
        <v>low</v>
      </c>
      <c r="R3300" s="37" t="str">
        <f t="shared" si="259"/>
        <v>AVERAGE</v>
      </c>
      <c r="S3300" t="s">
        <v>628</v>
      </c>
    </row>
    <row r="3301" spans="1:19" x14ac:dyDescent="0.2">
      <c r="A3301" t="s">
        <v>3912</v>
      </c>
      <c r="B3301" t="s">
        <v>75</v>
      </c>
      <c r="C3301" t="s">
        <v>617</v>
      </c>
      <c r="D3301">
        <v>587.66</v>
      </c>
      <c r="E3301" s="37" t="str">
        <f t="shared" si="255"/>
        <v xml:space="preserve"> </v>
      </c>
      <c r="F3301">
        <v>0.28000000000000003</v>
      </c>
      <c r="G3301" s="37" t="str">
        <f t="shared" si="256"/>
        <v>Normal Discount</v>
      </c>
      <c r="H3301" s="37" t="str">
        <f t="shared" si="257"/>
        <v>Medium</v>
      </c>
      <c r="I3301">
        <v>3</v>
      </c>
      <c r="J3301" t="str" cm="1">
        <f t="array" ref="J3301">_xlfn.IFS(I3301&lt;=3,"small",I3301&lt;=6,"Medium",I3301&lt;=9,"Large")</f>
        <v>small</v>
      </c>
      <c r="K3301" s="36">
        <v>45073</v>
      </c>
      <c r="L3301" s="36">
        <v>45078</v>
      </c>
      <c r="M3301" t="s">
        <v>612</v>
      </c>
      <c r="N3301" t="s">
        <v>608</v>
      </c>
      <c r="O3301" s="37" t="str">
        <f t="shared" si="258"/>
        <v>Cash Payment</v>
      </c>
      <c r="P3301">
        <v>108.41</v>
      </c>
      <c r="Q3301" s="37" t="str">
        <f>IF(P3301&gt;500,"High","low")</f>
        <v>low</v>
      </c>
      <c r="R3301" s="37" t="str">
        <f t="shared" si="259"/>
        <v>AVERAGE</v>
      </c>
      <c r="S3301" t="s">
        <v>600</v>
      </c>
    </row>
    <row r="3302" spans="1:19" x14ac:dyDescent="0.2">
      <c r="A3302" t="s">
        <v>3913</v>
      </c>
      <c r="B3302" t="s">
        <v>83</v>
      </c>
      <c r="C3302" t="s">
        <v>614</v>
      </c>
      <c r="D3302">
        <v>4103.0200000000004</v>
      </c>
      <c r="E3302" s="37" t="str">
        <f t="shared" si="255"/>
        <v>Excellent Order</v>
      </c>
      <c r="F3302">
        <v>0.47</v>
      </c>
      <c r="G3302" s="37" t="str">
        <f t="shared" si="256"/>
        <v>Heavy Discount</v>
      </c>
      <c r="H3302" s="37" t="str">
        <f t="shared" si="257"/>
        <v>High</v>
      </c>
      <c r="I3302">
        <v>7</v>
      </c>
      <c r="J3302" t="str" cm="1">
        <f t="array" ref="J3302">_xlfn.IFS(I3302&lt;=3,"small",I3302&lt;=6,"Medium",I3302&lt;=9,"Large")</f>
        <v>Large</v>
      </c>
      <c r="K3302" s="36">
        <v>45633</v>
      </c>
      <c r="L3302" s="36">
        <v>45638</v>
      </c>
      <c r="M3302" t="s">
        <v>598</v>
      </c>
      <c r="N3302" t="s">
        <v>608</v>
      </c>
      <c r="O3302" s="37" t="str">
        <f t="shared" si="258"/>
        <v>Cash Payment</v>
      </c>
      <c r="P3302">
        <v>949.82</v>
      </c>
      <c r="Q3302" s="37" t="str">
        <f>IF(P3302&gt;500,"High","low")</f>
        <v>High</v>
      </c>
      <c r="R3302" s="37" t="str">
        <f t="shared" si="259"/>
        <v>Good</v>
      </c>
      <c r="S3302" t="s">
        <v>628</v>
      </c>
    </row>
    <row r="3303" spans="1:19" x14ac:dyDescent="0.2">
      <c r="A3303" t="s">
        <v>3914</v>
      </c>
      <c r="B3303" t="s">
        <v>67</v>
      </c>
      <c r="C3303" t="s">
        <v>617</v>
      </c>
      <c r="D3303">
        <v>4004.01</v>
      </c>
      <c r="E3303" s="37" t="str">
        <f t="shared" si="255"/>
        <v>Excellent Order</v>
      </c>
      <c r="F3303">
        <v>0.27</v>
      </c>
      <c r="G3303" s="37" t="str">
        <f t="shared" si="256"/>
        <v>Normal Discount</v>
      </c>
      <c r="H3303" s="37" t="str">
        <f t="shared" si="257"/>
        <v>Medium</v>
      </c>
      <c r="I3303">
        <v>6</v>
      </c>
      <c r="J3303" t="str" cm="1">
        <f t="array" ref="J3303">_xlfn.IFS(I3303&lt;=3,"small",I3303&lt;=6,"Medium",I3303&lt;=9,"Large")</f>
        <v>Medium</v>
      </c>
      <c r="K3303" s="36">
        <v>45387</v>
      </c>
      <c r="L3303" s="36">
        <v>45390</v>
      </c>
      <c r="M3303" t="s">
        <v>598</v>
      </c>
      <c r="N3303" t="s">
        <v>608</v>
      </c>
      <c r="O3303" s="37" t="str">
        <f t="shared" si="258"/>
        <v>Cash Payment</v>
      </c>
      <c r="P3303">
        <v>824.09</v>
      </c>
      <c r="Q3303" s="37" t="str">
        <f>IF(P3303&gt;500,"High","low")</f>
        <v>High</v>
      </c>
      <c r="R3303" s="37" t="str">
        <f t="shared" si="259"/>
        <v>Good</v>
      </c>
      <c r="S3303" t="s">
        <v>600</v>
      </c>
    </row>
    <row r="3304" spans="1:19" x14ac:dyDescent="0.2">
      <c r="A3304" t="s">
        <v>3915</v>
      </c>
      <c r="B3304" t="s">
        <v>75</v>
      </c>
      <c r="C3304" t="s">
        <v>617</v>
      </c>
      <c r="D3304">
        <v>2298.6</v>
      </c>
      <c r="E3304" s="37" t="str">
        <f t="shared" si="255"/>
        <v xml:space="preserve"> </v>
      </c>
      <c r="F3304">
        <v>0.15</v>
      </c>
      <c r="G3304" s="37" t="str">
        <f t="shared" si="256"/>
        <v>Normal Discount</v>
      </c>
      <c r="H3304" s="37" t="str">
        <f t="shared" si="257"/>
        <v>Low</v>
      </c>
      <c r="I3304">
        <v>5</v>
      </c>
      <c r="J3304" t="str" cm="1">
        <f t="array" ref="J3304">_xlfn.IFS(I3304&lt;=3,"small",I3304&lt;=6,"Medium",I3304&lt;=9,"Large")</f>
        <v>Medium</v>
      </c>
      <c r="K3304" s="36">
        <v>45504</v>
      </c>
      <c r="L3304" s="36">
        <v>45507</v>
      </c>
      <c r="M3304" t="s">
        <v>598</v>
      </c>
      <c r="N3304" t="s">
        <v>604</v>
      </c>
      <c r="O3304" s="37" t="str">
        <f t="shared" si="258"/>
        <v>Digital Payment</v>
      </c>
      <c r="P3304">
        <v>145.94999999999999</v>
      </c>
      <c r="Q3304" s="37" t="str">
        <f>IF(P3304&gt;500,"High","low")</f>
        <v>low</v>
      </c>
      <c r="R3304" s="37" t="str">
        <f t="shared" si="259"/>
        <v>AVERAGE</v>
      </c>
      <c r="S3304" t="s">
        <v>628</v>
      </c>
    </row>
    <row r="3305" spans="1:19" x14ac:dyDescent="0.2">
      <c r="A3305" t="s">
        <v>3916</v>
      </c>
      <c r="B3305" t="s">
        <v>90</v>
      </c>
      <c r="C3305" t="s">
        <v>614</v>
      </c>
      <c r="D3305">
        <v>637.58000000000004</v>
      </c>
      <c r="E3305" s="37" t="str">
        <f t="shared" si="255"/>
        <v xml:space="preserve"> </v>
      </c>
      <c r="F3305">
        <v>0.11</v>
      </c>
      <c r="G3305" s="37" t="str">
        <f t="shared" si="256"/>
        <v>Normal Discount</v>
      </c>
      <c r="H3305" s="37" t="str">
        <f t="shared" si="257"/>
        <v>Low</v>
      </c>
      <c r="I3305">
        <v>6</v>
      </c>
      <c r="J3305" t="str" cm="1">
        <f t="array" ref="J3305">_xlfn.IFS(I3305&lt;=3,"small",I3305&lt;=6,"Medium",I3305&lt;=9,"Large")</f>
        <v>Medium</v>
      </c>
      <c r="K3305" s="36">
        <v>44990</v>
      </c>
      <c r="L3305" s="36">
        <v>44994</v>
      </c>
      <c r="M3305" t="s">
        <v>603</v>
      </c>
      <c r="N3305" t="s">
        <v>608</v>
      </c>
      <c r="O3305" s="37" t="str">
        <f t="shared" si="258"/>
        <v>Cash Payment</v>
      </c>
      <c r="P3305">
        <v>63.34</v>
      </c>
      <c r="Q3305" s="37" t="str">
        <f>IF(P3305&gt;500,"High","low")</f>
        <v>low</v>
      </c>
      <c r="R3305" s="37" t="str">
        <f t="shared" si="259"/>
        <v>AVERAGE</v>
      </c>
      <c r="S3305" t="s">
        <v>605</v>
      </c>
    </row>
    <row r="3306" spans="1:19" x14ac:dyDescent="0.2">
      <c r="A3306" t="s">
        <v>3917</v>
      </c>
      <c r="B3306" t="s">
        <v>83</v>
      </c>
      <c r="C3306" t="s">
        <v>614</v>
      </c>
      <c r="D3306">
        <v>2629</v>
      </c>
      <c r="E3306" s="37" t="str">
        <f t="shared" si="255"/>
        <v xml:space="preserve"> </v>
      </c>
      <c r="F3306">
        <v>0.45</v>
      </c>
      <c r="G3306" s="37" t="str">
        <f t="shared" si="256"/>
        <v>Heavy Discount</v>
      </c>
      <c r="H3306" s="37" t="str">
        <f t="shared" si="257"/>
        <v>High</v>
      </c>
      <c r="I3306">
        <v>6</v>
      </c>
      <c r="J3306" t="str" cm="1">
        <f t="array" ref="J3306">_xlfn.IFS(I3306&lt;=3,"small",I3306&lt;=6,"Medium",I3306&lt;=9,"Large")</f>
        <v>Medium</v>
      </c>
      <c r="K3306" s="36">
        <v>45291</v>
      </c>
      <c r="L3306" s="36">
        <v>45298</v>
      </c>
      <c r="M3306" t="s">
        <v>612</v>
      </c>
      <c r="N3306" t="s">
        <v>604</v>
      </c>
      <c r="O3306" s="37" t="str">
        <f t="shared" si="258"/>
        <v>Digital Payment</v>
      </c>
      <c r="P3306">
        <v>384.08</v>
      </c>
      <c r="Q3306" s="37" t="str">
        <f>IF(P3306&gt;500,"High","low")</f>
        <v>low</v>
      </c>
      <c r="R3306" s="37" t="str">
        <f t="shared" si="259"/>
        <v>AVERAGE</v>
      </c>
      <c r="S3306" t="s">
        <v>620</v>
      </c>
    </row>
    <row r="3307" spans="1:19" x14ac:dyDescent="0.2">
      <c r="A3307" t="s">
        <v>3918</v>
      </c>
      <c r="B3307" t="s">
        <v>75</v>
      </c>
      <c r="C3307" t="s">
        <v>602</v>
      </c>
      <c r="D3307">
        <v>2034.54</v>
      </c>
      <c r="E3307" s="37" t="str">
        <f t="shared" si="255"/>
        <v xml:space="preserve"> </v>
      </c>
      <c r="F3307">
        <v>0.49</v>
      </c>
      <c r="G3307" s="37" t="str">
        <f t="shared" si="256"/>
        <v>Heavy Discount</v>
      </c>
      <c r="H3307" s="37" t="str">
        <f t="shared" si="257"/>
        <v>High</v>
      </c>
      <c r="I3307">
        <v>4</v>
      </c>
      <c r="J3307" t="str" cm="1">
        <f t="array" ref="J3307">_xlfn.IFS(I3307&lt;=3,"small",I3307&lt;=6,"Medium",I3307&lt;=9,"Large")</f>
        <v>Medium</v>
      </c>
      <c r="K3307" s="36">
        <v>45406</v>
      </c>
      <c r="L3307" s="36">
        <v>45407</v>
      </c>
      <c r="M3307" t="s">
        <v>603</v>
      </c>
      <c r="N3307" t="s">
        <v>608</v>
      </c>
      <c r="O3307" s="37" t="str">
        <f t="shared" si="258"/>
        <v>Cash Payment</v>
      </c>
      <c r="P3307">
        <v>166.83</v>
      </c>
      <c r="Q3307" s="37" t="str">
        <f>IF(P3307&gt;500,"High","low")</f>
        <v>low</v>
      </c>
      <c r="R3307" s="37" t="str">
        <f t="shared" si="259"/>
        <v>AVERAGE</v>
      </c>
      <c r="S3307" t="s">
        <v>628</v>
      </c>
    </row>
    <row r="3308" spans="1:19" x14ac:dyDescent="0.2">
      <c r="A3308" t="s">
        <v>3919</v>
      </c>
      <c r="B3308" t="s">
        <v>83</v>
      </c>
      <c r="C3308" t="s">
        <v>607</v>
      </c>
      <c r="D3308">
        <v>2640.88</v>
      </c>
      <c r="E3308" s="37" t="str">
        <f t="shared" si="255"/>
        <v xml:space="preserve"> </v>
      </c>
      <c r="F3308">
        <v>0.13</v>
      </c>
      <c r="G3308" s="37" t="str">
        <f t="shared" si="256"/>
        <v>Normal Discount</v>
      </c>
      <c r="H3308" s="37" t="str">
        <f t="shared" si="257"/>
        <v>Low</v>
      </c>
      <c r="I3308">
        <v>5</v>
      </c>
      <c r="J3308" t="str" cm="1">
        <f t="array" ref="J3308">_xlfn.IFS(I3308&lt;=3,"small",I3308&lt;=6,"Medium",I3308&lt;=9,"Large")</f>
        <v>Medium</v>
      </c>
      <c r="K3308" s="36">
        <v>45343</v>
      </c>
      <c r="L3308" s="36">
        <v>45346</v>
      </c>
      <c r="M3308" t="s">
        <v>603</v>
      </c>
      <c r="N3308" t="s">
        <v>599</v>
      </c>
      <c r="O3308" s="37" t="str">
        <f t="shared" si="258"/>
        <v>Digital Payment</v>
      </c>
      <c r="P3308">
        <v>228.74</v>
      </c>
      <c r="Q3308" s="37" t="str">
        <f>IF(P3308&gt;500,"High","low")</f>
        <v>low</v>
      </c>
      <c r="R3308" s="37" t="str">
        <f t="shared" si="259"/>
        <v>AVERAGE</v>
      </c>
      <c r="S3308" t="s">
        <v>620</v>
      </c>
    </row>
    <row r="3309" spans="1:19" x14ac:dyDescent="0.2">
      <c r="A3309" t="s">
        <v>3920</v>
      </c>
      <c r="B3309" t="s">
        <v>75</v>
      </c>
      <c r="C3309" t="s">
        <v>602</v>
      </c>
      <c r="D3309">
        <v>2255.4899999999998</v>
      </c>
      <c r="E3309" s="37" t="str">
        <f t="shared" si="255"/>
        <v xml:space="preserve"> </v>
      </c>
      <c r="F3309">
        <v>0.36</v>
      </c>
      <c r="G3309" s="37" t="str">
        <f t="shared" si="256"/>
        <v>Heavy Discount</v>
      </c>
      <c r="H3309" s="37" t="str">
        <f t="shared" si="257"/>
        <v>Medium</v>
      </c>
      <c r="I3309">
        <v>7</v>
      </c>
      <c r="J3309" t="str" cm="1">
        <f t="array" ref="J3309">_xlfn.IFS(I3309&lt;=3,"small",I3309&lt;=6,"Medium",I3309&lt;=9,"Large")</f>
        <v>Large</v>
      </c>
      <c r="K3309" s="36">
        <v>45470</v>
      </c>
      <c r="L3309" s="36">
        <v>45472</v>
      </c>
      <c r="M3309" t="s">
        <v>598</v>
      </c>
      <c r="N3309" t="s">
        <v>604</v>
      </c>
      <c r="O3309" s="37" t="str">
        <f t="shared" si="258"/>
        <v>Digital Payment</v>
      </c>
      <c r="P3309">
        <v>330.61</v>
      </c>
      <c r="Q3309" s="37" t="str">
        <f>IF(P3309&gt;500,"High","low")</f>
        <v>low</v>
      </c>
      <c r="R3309" s="37" t="str">
        <f t="shared" si="259"/>
        <v>AVERAGE</v>
      </c>
      <c r="S3309" t="s">
        <v>605</v>
      </c>
    </row>
    <row r="3310" spans="1:19" x14ac:dyDescent="0.2">
      <c r="A3310" t="s">
        <v>3921</v>
      </c>
      <c r="B3310" t="s">
        <v>75</v>
      </c>
      <c r="C3310" t="s">
        <v>602</v>
      </c>
      <c r="D3310">
        <v>2885.72</v>
      </c>
      <c r="E3310" s="37" t="str">
        <f t="shared" si="255"/>
        <v xml:space="preserve"> </v>
      </c>
      <c r="F3310">
        <v>0.25</v>
      </c>
      <c r="G3310" s="37" t="str">
        <f t="shared" si="256"/>
        <v>Normal Discount</v>
      </c>
      <c r="H3310" s="37" t="str">
        <f t="shared" si="257"/>
        <v>Medium</v>
      </c>
      <c r="I3310">
        <v>1</v>
      </c>
      <c r="J3310" t="str" cm="1">
        <f t="array" ref="J3310">_xlfn.IFS(I3310&lt;=3,"small",I3310&lt;=6,"Medium",I3310&lt;=9,"Large")</f>
        <v>small</v>
      </c>
      <c r="K3310" s="36">
        <v>45544</v>
      </c>
      <c r="L3310" s="36">
        <v>45545</v>
      </c>
      <c r="M3310" t="s">
        <v>598</v>
      </c>
      <c r="N3310" t="s">
        <v>599</v>
      </c>
      <c r="O3310" s="37" t="str">
        <f t="shared" si="258"/>
        <v>Digital Payment</v>
      </c>
      <c r="P3310">
        <v>498.21</v>
      </c>
      <c r="Q3310" s="37" t="str">
        <f>IF(P3310&gt;500,"High","low")</f>
        <v>low</v>
      </c>
      <c r="R3310" s="37" t="str">
        <f t="shared" si="259"/>
        <v>AVERAGE</v>
      </c>
      <c r="S3310" t="s">
        <v>628</v>
      </c>
    </row>
    <row r="3311" spans="1:19" x14ac:dyDescent="0.2">
      <c r="A3311" t="s">
        <v>3922</v>
      </c>
      <c r="B3311" t="s">
        <v>83</v>
      </c>
      <c r="C3311" t="s">
        <v>614</v>
      </c>
      <c r="D3311">
        <v>3662.94</v>
      </c>
      <c r="E3311" s="37" t="str">
        <f t="shared" si="255"/>
        <v xml:space="preserve"> </v>
      </c>
      <c r="F3311">
        <v>0.35</v>
      </c>
      <c r="G3311" s="37" t="str">
        <f t="shared" si="256"/>
        <v>Heavy Discount</v>
      </c>
      <c r="H3311" s="37" t="str">
        <f t="shared" si="257"/>
        <v>Medium</v>
      </c>
      <c r="I3311">
        <v>6</v>
      </c>
      <c r="J3311" t="str" cm="1">
        <f t="array" ref="J3311">_xlfn.IFS(I3311&lt;=3,"small",I3311&lt;=6,"Medium",I3311&lt;=9,"Large")</f>
        <v>Medium</v>
      </c>
      <c r="K3311" s="36">
        <v>45427</v>
      </c>
      <c r="L3311" s="36">
        <v>45429</v>
      </c>
      <c r="M3311" t="s">
        <v>603</v>
      </c>
      <c r="N3311" t="s">
        <v>608</v>
      </c>
      <c r="O3311" s="37" t="str">
        <f t="shared" si="258"/>
        <v>Cash Payment</v>
      </c>
      <c r="P3311">
        <v>244.38</v>
      </c>
      <c r="Q3311" s="37" t="str">
        <f>IF(P3311&gt;500,"High","low")</f>
        <v>low</v>
      </c>
      <c r="R3311" s="37" t="str">
        <f t="shared" si="259"/>
        <v>AVERAGE</v>
      </c>
      <c r="S3311" t="s">
        <v>600</v>
      </c>
    </row>
    <row r="3312" spans="1:19" x14ac:dyDescent="0.2">
      <c r="A3312" t="s">
        <v>3923</v>
      </c>
      <c r="B3312" t="s">
        <v>90</v>
      </c>
      <c r="C3312" t="s">
        <v>614</v>
      </c>
      <c r="D3312">
        <v>3896.81</v>
      </c>
      <c r="E3312" s="37" t="str">
        <f t="shared" si="255"/>
        <v xml:space="preserve"> </v>
      </c>
      <c r="F3312">
        <v>0.48</v>
      </c>
      <c r="G3312" s="37" t="str">
        <f t="shared" si="256"/>
        <v>Heavy Discount</v>
      </c>
      <c r="H3312" s="37" t="str">
        <f t="shared" si="257"/>
        <v>High</v>
      </c>
      <c r="I3312">
        <v>5</v>
      </c>
      <c r="J3312" t="str" cm="1">
        <f t="array" ref="J3312">_xlfn.IFS(I3312&lt;=3,"small",I3312&lt;=6,"Medium",I3312&lt;=9,"Large")</f>
        <v>Medium</v>
      </c>
      <c r="K3312" s="36">
        <v>45591</v>
      </c>
      <c r="L3312" s="36">
        <v>45592</v>
      </c>
      <c r="M3312" t="s">
        <v>598</v>
      </c>
      <c r="N3312" t="s">
        <v>604</v>
      </c>
      <c r="O3312" s="37" t="str">
        <f t="shared" si="258"/>
        <v>Digital Payment</v>
      </c>
      <c r="P3312">
        <v>905.67</v>
      </c>
      <c r="Q3312" s="37" t="str">
        <f>IF(P3312&gt;500,"High","low")</f>
        <v>High</v>
      </c>
      <c r="R3312" s="37" t="str">
        <f t="shared" si="259"/>
        <v>Good</v>
      </c>
      <c r="S3312" t="s">
        <v>628</v>
      </c>
    </row>
    <row r="3313" spans="1:19" x14ac:dyDescent="0.2">
      <c r="A3313" t="s">
        <v>3924</v>
      </c>
      <c r="B3313" t="s">
        <v>75</v>
      </c>
      <c r="C3313" t="s">
        <v>607</v>
      </c>
      <c r="D3313">
        <v>3280.01</v>
      </c>
      <c r="E3313" s="37" t="str">
        <f t="shared" si="255"/>
        <v xml:space="preserve"> </v>
      </c>
      <c r="F3313">
        <v>0.14000000000000001</v>
      </c>
      <c r="G3313" s="37" t="str">
        <f t="shared" si="256"/>
        <v>Normal Discount</v>
      </c>
      <c r="H3313" s="37" t="str">
        <f t="shared" si="257"/>
        <v>Low</v>
      </c>
      <c r="I3313">
        <v>6</v>
      </c>
      <c r="J3313" t="str" cm="1">
        <f t="array" ref="J3313">_xlfn.IFS(I3313&lt;=3,"small",I3313&lt;=6,"Medium",I3313&lt;=9,"Large")</f>
        <v>Medium</v>
      </c>
      <c r="K3313" s="36">
        <v>45370</v>
      </c>
      <c r="L3313" s="36">
        <v>45373</v>
      </c>
      <c r="M3313" t="s">
        <v>612</v>
      </c>
      <c r="N3313" t="s">
        <v>599</v>
      </c>
      <c r="O3313" s="37" t="str">
        <f t="shared" si="258"/>
        <v>Digital Payment</v>
      </c>
      <c r="P3313">
        <v>609.29</v>
      </c>
      <c r="Q3313" s="37" t="str">
        <f>IF(P3313&gt;500,"High","low")</f>
        <v>High</v>
      </c>
      <c r="R3313" s="37" t="str">
        <f t="shared" si="259"/>
        <v>Good</v>
      </c>
      <c r="S3313" t="s">
        <v>615</v>
      </c>
    </row>
    <row r="3314" spans="1:19" x14ac:dyDescent="0.2">
      <c r="A3314" t="s">
        <v>3925</v>
      </c>
      <c r="B3314" t="s">
        <v>75</v>
      </c>
      <c r="C3314" t="s">
        <v>617</v>
      </c>
      <c r="D3314">
        <v>1074.81</v>
      </c>
      <c r="E3314" s="37" t="str">
        <f t="shared" si="255"/>
        <v xml:space="preserve"> </v>
      </c>
      <c r="F3314">
        <v>0.37</v>
      </c>
      <c r="G3314" s="37" t="str">
        <f t="shared" si="256"/>
        <v>Heavy Discount</v>
      </c>
      <c r="H3314" s="37" t="str">
        <f t="shared" si="257"/>
        <v>Medium</v>
      </c>
      <c r="I3314">
        <v>1</v>
      </c>
      <c r="J3314" t="str" cm="1">
        <f t="array" ref="J3314">_xlfn.IFS(I3314&lt;=3,"small",I3314&lt;=6,"Medium",I3314&lt;=9,"Large")</f>
        <v>small</v>
      </c>
      <c r="K3314" s="36">
        <v>45313</v>
      </c>
      <c r="L3314" s="36">
        <v>45318</v>
      </c>
      <c r="M3314" t="s">
        <v>603</v>
      </c>
      <c r="N3314" t="s">
        <v>604</v>
      </c>
      <c r="O3314" s="37" t="str">
        <f t="shared" si="258"/>
        <v>Digital Payment</v>
      </c>
      <c r="P3314">
        <v>312.01</v>
      </c>
      <c r="Q3314" s="37" t="str">
        <f>IF(P3314&gt;500,"High","low")</f>
        <v>low</v>
      </c>
      <c r="R3314" s="37" t="str">
        <f t="shared" si="259"/>
        <v>AVERAGE</v>
      </c>
      <c r="S3314" t="s">
        <v>615</v>
      </c>
    </row>
    <row r="3315" spans="1:19" x14ac:dyDescent="0.2">
      <c r="A3315" t="s">
        <v>3926</v>
      </c>
      <c r="B3315" t="s">
        <v>75</v>
      </c>
      <c r="C3315" t="s">
        <v>602</v>
      </c>
      <c r="D3315">
        <v>2045.9</v>
      </c>
      <c r="E3315" s="37" t="str">
        <f t="shared" si="255"/>
        <v xml:space="preserve"> </v>
      </c>
      <c r="F3315">
        <v>0.22</v>
      </c>
      <c r="G3315" s="37" t="str">
        <f t="shared" si="256"/>
        <v>Normal Discount</v>
      </c>
      <c r="H3315" s="37" t="str">
        <f t="shared" si="257"/>
        <v>Medium</v>
      </c>
      <c r="I3315">
        <v>4</v>
      </c>
      <c r="J3315" t="str" cm="1">
        <f t="array" ref="J3315">_xlfn.IFS(I3315&lt;=3,"small",I3315&lt;=6,"Medium",I3315&lt;=9,"Large")</f>
        <v>Medium</v>
      </c>
      <c r="K3315" s="36">
        <v>44933</v>
      </c>
      <c r="L3315" s="36">
        <v>44938</v>
      </c>
      <c r="M3315" t="s">
        <v>598</v>
      </c>
      <c r="N3315" t="s">
        <v>608</v>
      </c>
      <c r="O3315" s="37" t="str">
        <f t="shared" si="258"/>
        <v>Cash Payment</v>
      </c>
      <c r="P3315">
        <v>245.81</v>
      </c>
      <c r="Q3315" s="37" t="str">
        <f>IF(P3315&gt;500,"High","low")</f>
        <v>low</v>
      </c>
      <c r="R3315" s="37" t="str">
        <f t="shared" si="259"/>
        <v>AVERAGE</v>
      </c>
      <c r="S3315" t="s">
        <v>615</v>
      </c>
    </row>
    <row r="3316" spans="1:19" x14ac:dyDescent="0.2">
      <c r="A3316" t="s">
        <v>3927</v>
      </c>
      <c r="B3316" t="s">
        <v>90</v>
      </c>
      <c r="C3316" t="s">
        <v>607</v>
      </c>
      <c r="D3316">
        <v>449</v>
      </c>
      <c r="E3316" s="37" t="str">
        <f t="shared" si="255"/>
        <v xml:space="preserve"> </v>
      </c>
      <c r="F3316">
        <v>0.33</v>
      </c>
      <c r="G3316" s="37" t="str">
        <f t="shared" si="256"/>
        <v>Heavy Discount</v>
      </c>
      <c r="H3316" s="37" t="str">
        <f t="shared" si="257"/>
        <v>Medium</v>
      </c>
      <c r="I3316">
        <v>8</v>
      </c>
      <c r="J3316" t="str" cm="1">
        <f t="array" ref="J3316">_xlfn.IFS(I3316&lt;=3,"small",I3316&lt;=6,"Medium",I3316&lt;=9,"Large")</f>
        <v>Large</v>
      </c>
      <c r="K3316" s="36">
        <v>45551</v>
      </c>
      <c r="L3316" s="36">
        <v>45554</v>
      </c>
      <c r="M3316" t="s">
        <v>603</v>
      </c>
      <c r="N3316" t="s">
        <v>604</v>
      </c>
      <c r="O3316" s="37" t="str">
        <f t="shared" si="258"/>
        <v>Digital Payment</v>
      </c>
      <c r="P3316">
        <v>51.72</v>
      </c>
      <c r="Q3316" s="37" t="str">
        <f>IF(P3316&gt;500,"High","low")</f>
        <v>low</v>
      </c>
      <c r="R3316" s="37" t="str">
        <f t="shared" si="259"/>
        <v>AVERAGE</v>
      </c>
      <c r="S3316" t="s">
        <v>620</v>
      </c>
    </row>
    <row r="3317" spans="1:19" x14ac:dyDescent="0.2">
      <c r="A3317" t="s">
        <v>3928</v>
      </c>
      <c r="B3317" t="s">
        <v>90</v>
      </c>
      <c r="C3317" t="s">
        <v>602</v>
      </c>
      <c r="D3317">
        <v>2313.1999999999998</v>
      </c>
      <c r="E3317" s="37" t="str">
        <f t="shared" si="255"/>
        <v xml:space="preserve"> </v>
      </c>
      <c r="F3317">
        <v>0.2</v>
      </c>
      <c r="G3317" s="37" t="str">
        <f t="shared" si="256"/>
        <v>Normal Discount</v>
      </c>
      <c r="H3317" s="37" t="str">
        <f t="shared" si="257"/>
        <v>Medium</v>
      </c>
      <c r="I3317">
        <v>4</v>
      </c>
      <c r="J3317" t="str" cm="1">
        <f t="array" ref="J3317">_xlfn.IFS(I3317&lt;=3,"small",I3317&lt;=6,"Medium",I3317&lt;=9,"Large")</f>
        <v>Medium</v>
      </c>
      <c r="K3317" s="36">
        <v>45115</v>
      </c>
      <c r="L3317" s="36">
        <v>45116</v>
      </c>
      <c r="M3317" t="s">
        <v>612</v>
      </c>
      <c r="N3317" t="s">
        <v>604</v>
      </c>
      <c r="O3317" s="37" t="str">
        <f t="shared" si="258"/>
        <v>Digital Payment</v>
      </c>
      <c r="P3317">
        <v>311.88</v>
      </c>
      <c r="Q3317" s="37" t="str">
        <f>IF(P3317&gt;500,"High","low")</f>
        <v>low</v>
      </c>
      <c r="R3317" s="37" t="str">
        <f t="shared" si="259"/>
        <v>AVERAGE</v>
      </c>
      <c r="S3317" t="s">
        <v>620</v>
      </c>
    </row>
    <row r="3318" spans="1:19" x14ac:dyDescent="0.2">
      <c r="A3318" t="s">
        <v>3929</v>
      </c>
      <c r="B3318" t="s">
        <v>67</v>
      </c>
      <c r="C3318" t="s">
        <v>617</v>
      </c>
      <c r="D3318">
        <v>4854.66</v>
      </c>
      <c r="E3318" s="37" t="str">
        <f t="shared" si="255"/>
        <v>Excellent Order</v>
      </c>
      <c r="F3318">
        <v>0.35</v>
      </c>
      <c r="G3318" s="37" t="str">
        <f t="shared" si="256"/>
        <v>Heavy Discount</v>
      </c>
      <c r="H3318" s="37" t="str">
        <f t="shared" si="257"/>
        <v>Medium</v>
      </c>
      <c r="I3318">
        <v>8</v>
      </c>
      <c r="J3318" t="str" cm="1">
        <f t="array" ref="J3318">_xlfn.IFS(I3318&lt;=3,"small",I3318&lt;=6,"Medium",I3318&lt;=9,"Large")</f>
        <v>Large</v>
      </c>
      <c r="K3318" s="36">
        <v>45180</v>
      </c>
      <c r="L3318" s="36">
        <v>45183</v>
      </c>
      <c r="M3318" t="s">
        <v>603</v>
      </c>
      <c r="N3318" t="s">
        <v>604</v>
      </c>
      <c r="O3318" s="37" t="str">
        <f t="shared" si="258"/>
        <v>Digital Payment</v>
      </c>
      <c r="P3318">
        <v>903.04</v>
      </c>
      <c r="Q3318" s="37" t="str">
        <f>IF(P3318&gt;500,"High","low")</f>
        <v>High</v>
      </c>
      <c r="R3318" s="37" t="str">
        <f t="shared" si="259"/>
        <v>Good</v>
      </c>
      <c r="S3318" t="s">
        <v>605</v>
      </c>
    </row>
    <row r="3319" spans="1:19" x14ac:dyDescent="0.2">
      <c r="A3319" t="s">
        <v>3930</v>
      </c>
      <c r="B3319" t="s">
        <v>83</v>
      </c>
      <c r="C3319" t="s">
        <v>602</v>
      </c>
      <c r="D3319">
        <v>3244.48</v>
      </c>
      <c r="E3319" s="37" t="str">
        <f t="shared" si="255"/>
        <v xml:space="preserve"> </v>
      </c>
      <c r="F3319">
        <v>0.17</v>
      </c>
      <c r="G3319" s="37" t="str">
        <f t="shared" si="256"/>
        <v>Normal Discount</v>
      </c>
      <c r="H3319" s="37" t="str">
        <f t="shared" si="257"/>
        <v>Low</v>
      </c>
      <c r="I3319">
        <v>8</v>
      </c>
      <c r="J3319" t="str" cm="1">
        <f t="array" ref="J3319">_xlfn.IFS(I3319&lt;=3,"small",I3319&lt;=6,"Medium",I3319&lt;=9,"Large")</f>
        <v>Large</v>
      </c>
      <c r="K3319" s="36">
        <v>45530</v>
      </c>
      <c r="L3319" s="36">
        <v>45537</v>
      </c>
      <c r="M3319" t="s">
        <v>603</v>
      </c>
      <c r="N3319" t="s">
        <v>604</v>
      </c>
      <c r="O3319" s="37" t="str">
        <f t="shared" si="258"/>
        <v>Digital Payment</v>
      </c>
      <c r="P3319">
        <v>409.96</v>
      </c>
      <c r="Q3319" s="37" t="str">
        <f>IF(P3319&gt;500,"High","low")</f>
        <v>low</v>
      </c>
      <c r="R3319" s="37" t="str">
        <f t="shared" si="259"/>
        <v>AVERAGE</v>
      </c>
      <c r="S3319" t="s">
        <v>605</v>
      </c>
    </row>
    <row r="3320" spans="1:19" x14ac:dyDescent="0.2">
      <c r="A3320" t="s">
        <v>3931</v>
      </c>
      <c r="B3320" t="s">
        <v>90</v>
      </c>
      <c r="C3320" t="s">
        <v>597</v>
      </c>
      <c r="D3320">
        <v>857.6</v>
      </c>
      <c r="E3320" s="37" t="str">
        <f t="shared" si="255"/>
        <v xml:space="preserve"> </v>
      </c>
      <c r="F3320">
        <v>0.24</v>
      </c>
      <c r="G3320" s="37" t="str">
        <f t="shared" si="256"/>
        <v>Normal Discount</v>
      </c>
      <c r="H3320" s="37" t="str">
        <f t="shared" si="257"/>
        <v>Medium</v>
      </c>
      <c r="I3320">
        <v>2</v>
      </c>
      <c r="J3320" t="str" cm="1">
        <f t="array" ref="J3320">_xlfn.IFS(I3320&lt;=3,"small",I3320&lt;=6,"Medium",I3320&lt;=9,"Large")</f>
        <v>small</v>
      </c>
      <c r="K3320" s="36">
        <v>45642</v>
      </c>
      <c r="L3320" s="36">
        <v>45643</v>
      </c>
      <c r="M3320" t="s">
        <v>603</v>
      </c>
      <c r="N3320" t="s">
        <v>608</v>
      </c>
      <c r="O3320" s="37" t="str">
        <f t="shared" si="258"/>
        <v>Cash Payment</v>
      </c>
      <c r="P3320">
        <v>107.96</v>
      </c>
      <c r="Q3320" s="37" t="str">
        <f>IF(P3320&gt;500,"High","low")</f>
        <v>low</v>
      </c>
      <c r="R3320" s="37" t="str">
        <f t="shared" si="259"/>
        <v>AVERAGE</v>
      </c>
      <c r="S3320" t="s">
        <v>609</v>
      </c>
    </row>
    <row r="3321" spans="1:19" x14ac:dyDescent="0.2">
      <c r="A3321" t="s">
        <v>3932</v>
      </c>
      <c r="B3321" t="s">
        <v>83</v>
      </c>
      <c r="C3321" t="s">
        <v>607</v>
      </c>
      <c r="D3321">
        <v>1416.03</v>
      </c>
      <c r="E3321" s="37" t="str">
        <f t="shared" si="255"/>
        <v xml:space="preserve"> </v>
      </c>
      <c r="F3321">
        <v>0.35</v>
      </c>
      <c r="G3321" s="37" t="str">
        <f t="shared" si="256"/>
        <v>Heavy Discount</v>
      </c>
      <c r="H3321" s="37" t="str">
        <f t="shared" si="257"/>
        <v>Medium</v>
      </c>
      <c r="I3321">
        <v>6</v>
      </c>
      <c r="J3321" t="str" cm="1">
        <f t="array" ref="J3321">_xlfn.IFS(I3321&lt;=3,"small",I3321&lt;=6,"Medium",I3321&lt;=9,"Large")</f>
        <v>Medium</v>
      </c>
      <c r="K3321" s="36">
        <v>45446</v>
      </c>
      <c r="L3321" s="36">
        <v>45452</v>
      </c>
      <c r="M3321" t="s">
        <v>598</v>
      </c>
      <c r="N3321" t="s">
        <v>604</v>
      </c>
      <c r="O3321" s="37" t="str">
        <f t="shared" si="258"/>
        <v>Digital Payment</v>
      </c>
      <c r="P3321">
        <v>375.07</v>
      </c>
      <c r="Q3321" s="37" t="str">
        <f>IF(P3321&gt;500,"High","low")</f>
        <v>low</v>
      </c>
      <c r="R3321" s="37" t="str">
        <f t="shared" si="259"/>
        <v>AVERAGE</v>
      </c>
      <c r="S3321" t="s">
        <v>600</v>
      </c>
    </row>
    <row r="3322" spans="1:19" x14ac:dyDescent="0.2">
      <c r="A3322" t="s">
        <v>3933</v>
      </c>
      <c r="B3322" t="s">
        <v>67</v>
      </c>
      <c r="C3322" t="s">
        <v>614</v>
      </c>
      <c r="D3322">
        <v>416.41</v>
      </c>
      <c r="E3322" s="37" t="str">
        <f t="shared" si="255"/>
        <v xml:space="preserve"> </v>
      </c>
      <c r="F3322">
        <v>0.02</v>
      </c>
      <c r="G3322" s="37" t="str">
        <f t="shared" si="256"/>
        <v>Normal Discount</v>
      </c>
      <c r="H3322" s="37" t="str">
        <f t="shared" si="257"/>
        <v>Low</v>
      </c>
      <c r="I3322">
        <v>7</v>
      </c>
      <c r="J3322" t="str" cm="1">
        <f t="array" ref="J3322">_xlfn.IFS(I3322&lt;=3,"small",I3322&lt;=6,"Medium",I3322&lt;=9,"Large")</f>
        <v>Large</v>
      </c>
      <c r="K3322" s="36">
        <v>45437</v>
      </c>
      <c r="L3322" s="36">
        <v>45444</v>
      </c>
      <c r="M3322" t="s">
        <v>603</v>
      </c>
      <c r="N3322" t="s">
        <v>608</v>
      </c>
      <c r="O3322" s="37" t="str">
        <f t="shared" si="258"/>
        <v>Cash Payment</v>
      </c>
      <c r="P3322">
        <v>30.93</v>
      </c>
      <c r="Q3322" s="37" t="str">
        <f>IF(P3322&gt;500,"High","low")</f>
        <v>low</v>
      </c>
      <c r="R3322" s="37" t="str">
        <f t="shared" si="259"/>
        <v>AVERAGE</v>
      </c>
      <c r="S3322" t="s">
        <v>628</v>
      </c>
    </row>
    <row r="3323" spans="1:19" x14ac:dyDescent="0.2">
      <c r="A3323" t="s">
        <v>3934</v>
      </c>
      <c r="B3323" t="s">
        <v>83</v>
      </c>
      <c r="C3323" t="s">
        <v>602</v>
      </c>
      <c r="D3323">
        <v>993.83</v>
      </c>
      <c r="E3323" s="37" t="str">
        <f t="shared" si="255"/>
        <v xml:space="preserve"> </v>
      </c>
      <c r="F3323">
        <v>0.16</v>
      </c>
      <c r="G3323" s="37" t="str">
        <f t="shared" si="256"/>
        <v>Normal Discount</v>
      </c>
      <c r="H3323" s="37" t="str">
        <f t="shared" si="257"/>
        <v>Low</v>
      </c>
      <c r="I3323">
        <v>7</v>
      </c>
      <c r="J3323" t="str" cm="1">
        <f t="array" ref="J3323">_xlfn.IFS(I3323&lt;=3,"small",I3323&lt;=6,"Medium",I3323&lt;=9,"Large")</f>
        <v>Large</v>
      </c>
      <c r="K3323" s="36">
        <v>45148</v>
      </c>
      <c r="L3323" s="36">
        <v>45151</v>
      </c>
      <c r="M3323" t="s">
        <v>598</v>
      </c>
      <c r="N3323" t="s">
        <v>604</v>
      </c>
      <c r="O3323" s="37" t="str">
        <f t="shared" si="258"/>
        <v>Digital Payment</v>
      </c>
      <c r="P3323">
        <v>173.88</v>
      </c>
      <c r="Q3323" s="37" t="str">
        <f>IF(P3323&gt;500,"High","low")</f>
        <v>low</v>
      </c>
      <c r="R3323" s="37" t="str">
        <f t="shared" si="259"/>
        <v>AVERAGE</v>
      </c>
      <c r="S3323" t="s">
        <v>605</v>
      </c>
    </row>
    <row r="3324" spans="1:19" x14ac:dyDescent="0.2">
      <c r="A3324" t="s">
        <v>3935</v>
      </c>
      <c r="B3324" t="s">
        <v>90</v>
      </c>
      <c r="C3324" t="s">
        <v>607</v>
      </c>
      <c r="D3324">
        <v>2490.42</v>
      </c>
      <c r="E3324" s="37" t="str">
        <f t="shared" si="255"/>
        <v xml:space="preserve"> </v>
      </c>
      <c r="F3324">
        <v>0.27</v>
      </c>
      <c r="G3324" s="37" t="str">
        <f t="shared" si="256"/>
        <v>Normal Discount</v>
      </c>
      <c r="H3324" s="37" t="str">
        <f t="shared" si="257"/>
        <v>Medium</v>
      </c>
      <c r="I3324">
        <v>1</v>
      </c>
      <c r="J3324" t="str" cm="1">
        <f t="array" ref="J3324">_xlfn.IFS(I3324&lt;=3,"small",I3324&lt;=6,"Medium",I3324&lt;=9,"Large")</f>
        <v>small</v>
      </c>
      <c r="K3324" s="36">
        <v>45373</v>
      </c>
      <c r="L3324" s="36">
        <v>45380</v>
      </c>
      <c r="M3324" t="s">
        <v>598</v>
      </c>
      <c r="N3324" t="s">
        <v>599</v>
      </c>
      <c r="O3324" s="37" t="str">
        <f t="shared" si="258"/>
        <v>Digital Payment</v>
      </c>
      <c r="P3324">
        <v>594.09</v>
      </c>
      <c r="Q3324" s="37" t="str">
        <f>IF(P3324&gt;500,"High","low")</f>
        <v>High</v>
      </c>
      <c r="R3324" s="37" t="str">
        <f t="shared" si="259"/>
        <v>Good</v>
      </c>
      <c r="S3324" t="s">
        <v>615</v>
      </c>
    </row>
    <row r="3325" spans="1:19" x14ac:dyDescent="0.2">
      <c r="A3325" t="s">
        <v>3936</v>
      </c>
      <c r="B3325" t="s">
        <v>83</v>
      </c>
      <c r="C3325" t="s">
        <v>607</v>
      </c>
      <c r="D3325">
        <v>1789.8</v>
      </c>
      <c r="E3325" s="37" t="str">
        <f t="shared" si="255"/>
        <v xml:space="preserve"> </v>
      </c>
      <c r="F3325">
        <v>0.04</v>
      </c>
      <c r="G3325" s="37" t="str">
        <f t="shared" si="256"/>
        <v>Normal Discount</v>
      </c>
      <c r="H3325" s="37" t="str">
        <f t="shared" si="257"/>
        <v>Low</v>
      </c>
      <c r="I3325">
        <v>4</v>
      </c>
      <c r="J3325" t="str" cm="1">
        <f t="array" ref="J3325">_xlfn.IFS(I3325&lt;=3,"small",I3325&lt;=6,"Medium",I3325&lt;=9,"Large")</f>
        <v>Medium</v>
      </c>
      <c r="K3325" s="36">
        <v>45342</v>
      </c>
      <c r="L3325" s="36">
        <v>45349</v>
      </c>
      <c r="M3325" t="s">
        <v>603</v>
      </c>
      <c r="N3325" t="s">
        <v>604</v>
      </c>
      <c r="O3325" s="37" t="str">
        <f t="shared" si="258"/>
        <v>Digital Payment</v>
      </c>
      <c r="P3325">
        <v>517.62</v>
      </c>
      <c r="Q3325" s="37" t="str">
        <f>IF(P3325&gt;500,"High","low")</f>
        <v>High</v>
      </c>
      <c r="R3325" s="37" t="str">
        <f t="shared" si="259"/>
        <v>Good</v>
      </c>
      <c r="S3325" t="s">
        <v>620</v>
      </c>
    </row>
    <row r="3326" spans="1:19" x14ac:dyDescent="0.2">
      <c r="A3326" t="s">
        <v>3937</v>
      </c>
      <c r="B3326" t="s">
        <v>90</v>
      </c>
      <c r="C3326" t="s">
        <v>602</v>
      </c>
      <c r="D3326">
        <v>1099.42</v>
      </c>
      <c r="E3326" s="37" t="str">
        <f t="shared" si="255"/>
        <v xml:space="preserve"> </v>
      </c>
      <c r="F3326">
        <v>0.35</v>
      </c>
      <c r="G3326" s="37" t="str">
        <f t="shared" si="256"/>
        <v>Heavy Discount</v>
      </c>
      <c r="H3326" s="37" t="str">
        <f t="shared" si="257"/>
        <v>Medium</v>
      </c>
      <c r="I3326">
        <v>7</v>
      </c>
      <c r="J3326" t="str" cm="1">
        <f t="array" ref="J3326">_xlfn.IFS(I3326&lt;=3,"small",I3326&lt;=6,"Medium",I3326&lt;=9,"Large")</f>
        <v>Large</v>
      </c>
      <c r="K3326" s="36">
        <v>45154</v>
      </c>
      <c r="L3326" s="36">
        <v>45160</v>
      </c>
      <c r="M3326" t="s">
        <v>603</v>
      </c>
      <c r="N3326" t="s">
        <v>608</v>
      </c>
      <c r="O3326" s="37" t="str">
        <f t="shared" si="258"/>
        <v>Cash Payment</v>
      </c>
      <c r="P3326">
        <v>297.31</v>
      </c>
      <c r="Q3326" s="37" t="str">
        <f>IF(P3326&gt;500,"High","low")</f>
        <v>low</v>
      </c>
      <c r="R3326" s="37" t="str">
        <f t="shared" si="259"/>
        <v>AVERAGE</v>
      </c>
      <c r="S3326" t="s">
        <v>628</v>
      </c>
    </row>
    <row r="3327" spans="1:19" x14ac:dyDescent="0.2">
      <c r="A3327" t="s">
        <v>3938</v>
      </c>
      <c r="B3327" t="s">
        <v>83</v>
      </c>
      <c r="C3327" t="s">
        <v>614</v>
      </c>
      <c r="D3327">
        <v>818.33</v>
      </c>
      <c r="E3327" s="37" t="str">
        <f t="shared" si="255"/>
        <v xml:space="preserve"> </v>
      </c>
      <c r="F3327">
        <v>0.41</v>
      </c>
      <c r="G3327" s="37" t="str">
        <f t="shared" si="256"/>
        <v>Heavy Discount</v>
      </c>
      <c r="H3327" s="37" t="str">
        <f t="shared" si="257"/>
        <v>High</v>
      </c>
      <c r="I3327">
        <v>6</v>
      </c>
      <c r="J3327" t="str" cm="1">
        <f t="array" ref="J3327">_xlfn.IFS(I3327&lt;=3,"small",I3327&lt;=6,"Medium",I3327&lt;=9,"Large")</f>
        <v>Medium</v>
      </c>
      <c r="K3327" s="36">
        <v>45491</v>
      </c>
      <c r="L3327" s="36">
        <v>45498</v>
      </c>
      <c r="M3327" t="s">
        <v>603</v>
      </c>
      <c r="N3327" t="s">
        <v>599</v>
      </c>
      <c r="O3327" s="37" t="str">
        <f t="shared" si="258"/>
        <v>Digital Payment</v>
      </c>
      <c r="P3327">
        <v>84.32</v>
      </c>
      <c r="Q3327" s="37" t="str">
        <f>IF(P3327&gt;500,"High","low")</f>
        <v>low</v>
      </c>
      <c r="R3327" s="37" t="str">
        <f t="shared" si="259"/>
        <v>AVERAGE</v>
      </c>
      <c r="S3327" t="s">
        <v>605</v>
      </c>
    </row>
    <row r="3328" spans="1:19" x14ac:dyDescent="0.2">
      <c r="A3328" t="s">
        <v>3939</v>
      </c>
      <c r="B3328" t="s">
        <v>90</v>
      </c>
      <c r="C3328" t="s">
        <v>614</v>
      </c>
      <c r="D3328">
        <v>3314.75</v>
      </c>
      <c r="E3328" s="37" t="str">
        <f t="shared" si="255"/>
        <v xml:space="preserve"> </v>
      </c>
      <c r="F3328">
        <v>0.08</v>
      </c>
      <c r="G3328" s="37" t="str">
        <f t="shared" si="256"/>
        <v>Normal Discount</v>
      </c>
      <c r="H3328" s="37" t="str">
        <f t="shared" si="257"/>
        <v>Low</v>
      </c>
      <c r="I3328">
        <v>3</v>
      </c>
      <c r="J3328" t="str" cm="1">
        <f t="array" ref="J3328">_xlfn.IFS(I3328&lt;=3,"small",I3328&lt;=6,"Medium",I3328&lt;=9,"Large")</f>
        <v>small</v>
      </c>
      <c r="K3328" s="36">
        <v>45207</v>
      </c>
      <c r="L3328" s="36">
        <v>45209</v>
      </c>
      <c r="M3328" t="s">
        <v>603</v>
      </c>
      <c r="N3328" t="s">
        <v>599</v>
      </c>
      <c r="O3328" s="37" t="str">
        <f t="shared" si="258"/>
        <v>Digital Payment</v>
      </c>
      <c r="P3328">
        <v>547.47</v>
      </c>
      <c r="Q3328" s="37" t="str">
        <f>IF(P3328&gt;500,"High","low")</f>
        <v>High</v>
      </c>
      <c r="R3328" s="37" t="str">
        <f t="shared" si="259"/>
        <v>Good</v>
      </c>
      <c r="S3328" t="s">
        <v>605</v>
      </c>
    </row>
    <row r="3329" spans="1:19" x14ac:dyDescent="0.2">
      <c r="A3329" t="s">
        <v>3940</v>
      </c>
      <c r="B3329" t="s">
        <v>90</v>
      </c>
      <c r="C3329" t="s">
        <v>602</v>
      </c>
      <c r="D3329">
        <v>2834.7</v>
      </c>
      <c r="E3329" s="37" t="str">
        <f t="shared" si="255"/>
        <v xml:space="preserve"> </v>
      </c>
      <c r="F3329">
        <v>0.37</v>
      </c>
      <c r="G3329" s="37" t="str">
        <f t="shared" si="256"/>
        <v>Heavy Discount</v>
      </c>
      <c r="H3329" s="37" t="str">
        <f t="shared" si="257"/>
        <v>Medium</v>
      </c>
      <c r="I3329">
        <v>1</v>
      </c>
      <c r="J3329" t="str" cm="1">
        <f t="array" ref="J3329">_xlfn.IFS(I3329&lt;=3,"small",I3329&lt;=6,"Medium",I3329&lt;=9,"Large")</f>
        <v>small</v>
      </c>
      <c r="K3329" s="36">
        <v>45464</v>
      </c>
      <c r="L3329" s="36">
        <v>45470</v>
      </c>
      <c r="M3329" t="s">
        <v>603</v>
      </c>
      <c r="N3329" t="s">
        <v>599</v>
      </c>
      <c r="O3329" s="37" t="str">
        <f t="shared" si="258"/>
        <v>Digital Payment</v>
      </c>
      <c r="P3329">
        <v>553.78</v>
      </c>
      <c r="Q3329" s="37" t="str">
        <f>IF(P3329&gt;500,"High","low")</f>
        <v>High</v>
      </c>
      <c r="R3329" s="37" t="str">
        <f t="shared" si="259"/>
        <v>Good</v>
      </c>
      <c r="S3329" t="s">
        <v>628</v>
      </c>
    </row>
    <row r="3330" spans="1:19" x14ac:dyDescent="0.2">
      <c r="A3330" t="s">
        <v>3941</v>
      </c>
      <c r="B3330" t="s">
        <v>83</v>
      </c>
      <c r="C3330" t="s">
        <v>607</v>
      </c>
      <c r="D3330">
        <v>4228.9399999999996</v>
      </c>
      <c r="E3330" s="37" t="str">
        <f t="shared" si="255"/>
        <v xml:space="preserve"> </v>
      </c>
      <c r="F3330">
        <v>0.32</v>
      </c>
      <c r="G3330" s="37" t="str">
        <f t="shared" si="256"/>
        <v>Heavy Discount</v>
      </c>
      <c r="H3330" s="37" t="str">
        <f t="shared" si="257"/>
        <v>Medium</v>
      </c>
      <c r="I3330">
        <v>5</v>
      </c>
      <c r="J3330" t="str" cm="1">
        <f t="array" ref="J3330">_xlfn.IFS(I3330&lt;=3,"small",I3330&lt;=6,"Medium",I3330&lt;=9,"Large")</f>
        <v>Medium</v>
      </c>
      <c r="K3330" s="36">
        <v>44934</v>
      </c>
      <c r="L3330" s="36">
        <v>44937</v>
      </c>
      <c r="M3330" t="s">
        <v>603</v>
      </c>
      <c r="N3330" t="s">
        <v>608</v>
      </c>
      <c r="O3330" s="37" t="str">
        <f t="shared" si="258"/>
        <v>Cash Payment</v>
      </c>
      <c r="P3330">
        <v>554.95000000000005</v>
      </c>
      <c r="Q3330" s="37" t="str">
        <f>IF(P3330&gt;500,"High","low")</f>
        <v>High</v>
      </c>
      <c r="R3330" s="37" t="str">
        <f t="shared" si="259"/>
        <v>Good</v>
      </c>
      <c r="S3330" t="s">
        <v>600</v>
      </c>
    </row>
    <row r="3331" spans="1:19" x14ac:dyDescent="0.2">
      <c r="A3331" t="s">
        <v>3942</v>
      </c>
      <c r="B3331" t="s">
        <v>67</v>
      </c>
      <c r="C3331" t="s">
        <v>614</v>
      </c>
      <c r="D3331">
        <v>997.94</v>
      </c>
      <c r="E3331" s="37" t="str">
        <f t="shared" ref="E3331:E3394" si="260">IF(AND(D3331&gt;4000,P3331&gt;800),"Excellent Order"," ")</f>
        <v xml:space="preserve"> </v>
      </c>
      <c r="F3331">
        <v>0.21</v>
      </c>
      <c r="G3331" s="37" t="str">
        <f t="shared" ref="G3331:G3394" si="261">IF(F3331&gt;30%,"Heavy Discount","Normal Discount")</f>
        <v>Normal Discount</v>
      </c>
      <c r="H3331" s="37" t="str">
        <f t="shared" ref="H3331:H3394" si="262">IF(F3331&gt;0.4,"High",IF(F3331&gt;=0.2,"Medium","Low"))</f>
        <v>Medium</v>
      </c>
      <c r="I3331">
        <v>8</v>
      </c>
      <c r="J3331" t="str" cm="1">
        <f t="array" ref="J3331">_xlfn.IFS(I3331&lt;=3,"small",I3331&lt;=6,"Medium",I3331&lt;=9,"Large")</f>
        <v>Large</v>
      </c>
      <c r="K3331" s="36">
        <v>45123</v>
      </c>
      <c r="L3331" s="36">
        <v>45124</v>
      </c>
      <c r="M3331" t="s">
        <v>603</v>
      </c>
      <c r="N3331" t="s">
        <v>608</v>
      </c>
      <c r="O3331" s="37" t="str">
        <f t="shared" ref="O3331:O3394" si="263">IF(OR(N3331="Card",N3331="UPI"),"Digital Payment","Cash Payment")</f>
        <v>Cash Payment</v>
      </c>
      <c r="P3331">
        <v>129.32</v>
      </c>
      <c r="Q3331" s="37" t="str">
        <f>IF(P3331&gt;500,"High","low")</f>
        <v>low</v>
      </c>
      <c r="R3331" s="37" t="str">
        <f t="shared" ref="R3331:R3394" si="264">IF(P3331&gt;1000,"Excellent",IF(P3331&gt;=500,"Good","AVERAGE"))</f>
        <v>AVERAGE</v>
      </c>
      <c r="S3331" t="s">
        <v>605</v>
      </c>
    </row>
    <row r="3332" spans="1:19" x14ac:dyDescent="0.2">
      <c r="A3332" t="s">
        <v>3943</v>
      </c>
      <c r="B3332" t="s">
        <v>75</v>
      </c>
      <c r="C3332" t="s">
        <v>602</v>
      </c>
      <c r="D3332">
        <v>4255.13</v>
      </c>
      <c r="E3332" s="37" t="str">
        <f t="shared" si="260"/>
        <v xml:space="preserve"> </v>
      </c>
      <c r="F3332">
        <v>0.08</v>
      </c>
      <c r="G3332" s="37" t="str">
        <f t="shared" si="261"/>
        <v>Normal Discount</v>
      </c>
      <c r="H3332" s="37" t="str">
        <f t="shared" si="262"/>
        <v>Low</v>
      </c>
      <c r="I3332">
        <v>3</v>
      </c>
      <c r="J3332" t="str" cm="1">
        <f t="array" ref="J3332">_xlfn.IFS(I3332&lt;=3,"small",I3332&lt;=6,"Medium",I3332&lt;=9,"Large")</f>
        <v>small</v>
      </c>
      <c r="K3332" s="36">
        <v>45073</v>
      </c>
      <c r="L3332" s="36">
        <v>45077</v>
      </c>
      <c r="M3332" t="s">
        <v>598</v>
      </c>
      <c r="N3332" t="s">
        <v>599</v>
      </c>
      <c r="O3332" s="37" t="str">
        <f t="shared" si="263"/>
        <v>Digital Payment</v>
      </c>
      <c r="P3332">
        <v>409.78</v>
      </c>
      <c r="Q3332" s="37" t="str">
        <f>IF(P3332&gt;500,"High","low")</f>
        <v>low</v>
      </c>
      <c r="R3332" s="37" t="str">
        <f t="shared" si="264"/>
        <v>AVERAGE</v>
      </c>
      <c r="S3332" t="s">
        <v>620</v>
      </c>
    </row>
    <row r="3333" spans="1:19" x14ac:dyDescent="0.2">
      <c r="A3333" t="s">
        <v>3944</v>
      </c>
      <c r="B3333" t="s">
        <v>67</v>
      </c>
      <c r="C3333" t="s">
        <v>602</v>
      </c>
      <c r="D3333">
        <v>2931.76</v>
      </c>
      <c r="E3333" s="37" t="str">
        <f t="shared" si="260"/>
        <v xml:space="preserve"> </v>
      </c>
      <c r="F3333">
        <v>0.48</v>
      </c>
      <c r="G3333" s="37" t="str">
        <f t="shared" si="261"/>
        <v>Heavy Discount</v>
      </c>
      <c r="H3333" s="37" t="str">
        <f t="shared" si="262"/>
        <v>High</v>
      </c>
      <c r="I3333">
        <v>5</v>
      </c>
      <c r="J3333" t="str" cm="1">
        <f t="array" ref="J3333">_xlfn.IFS(I3333&lt;=3,"small",I3333&lt;=6,"Medium",I3333&lt;=9,"Large")</f>
        <v>Medium</v>
      </c>
      <c r="K3333" s="36">
        <v>45642</v>
      </c>
      <c r="L3333" s="36">
        <v>45648</v>
      </c>
      <c r="M3333" t="s">
        <v>612</v>
      </c>
      <c r="N3333" t="s">
        <v>608</v>
      </c>
      <c r="O3333" s="37" t="str">
        <f t="shared" si="263"/>
        <v>Cash Payment</v>
      </c>
      <c r="P3333">
        <v>183.53</v>
      </c>
      <c r="Q3333" s="37" t="str">
        <f>IF(P3333&gt;500,"High","low")</f>
        <v>low</v>
      </c>
      <c r="R3333" s="37" t="str">
        <f t="shared" si="264"/>
        <v>AVERAGE</v>
      </c>
      <c r="S3333" t="s">
        <v>615</v>
      </c>
    </row>
    <row r="3334" spans="1:19" x14ac:dyDescent="0.2">
      <c r="A3334" t="s">
        <v>3945</v>
      </c>
      <c r="B3334" t="s">
        <v>83</v>
      </c>
      <c r="C3334" t="s">
        <v>602</v>
      </c>
      <c r="D3334">
        <v>1404.49</v>
      </c>
      <c r="E3334" s="37" t="str">
        <f t="shared" si="260"/>
        <v xml:space="preserve"> </v>
      </c>
      <c r="F3334">
        <v>0.23</v>
      </c>
      <c r="G3334" s="37" t="str">
        <f t="shared" si="261"/>
        <v>Normal Discount</v>
      </c>
      <c r="H3334" s="37" t="str">
        <f t="shared" si="262"/>
        <v>Medium</v>
      </c>
      <c r="I3334">
        <v>9</v>
      </c>
      <c r="J3334" t="str" cm="1">
        <f t="array" ref="J3334">_xlfn.IFS(I3334&lt;=3,"small",I3334&lt;=6,"Medium",I3334&lt;=9,"Large")</f>
        <v>Large</v>
      </c>
      <c r="K3334" s="36">
        <v>45413</v>
      </c>
      <c r="L3334" s="36">
        <v>45418</v>
      </c>
      <c r="M3334" t="s">
        <v>612</v>
      </c>
      <c r="N3334" t="s">
        <v>599</v>
      </c>
      <c r="O3334" s="37" t="str">
        <f t="shared" si="263"/>
        <v>Digital Payment</v>
      </c>
      <c r="P3334">
        <v>343.63</v>
      </c>
      <c r="Q3334" s="37" t="str">
        <f>IF(P3334&gt;500,"High","low")</f>
        <v>low</v>
      </c>
      <c r="R3334" s="37" t="str">
        <f t="shared" si="264"/>
        <v>AVERAGE</v>
      </c>
      <c r="S3334" t="s">
        <v>609</v>
      </c>
    </row>
    <row r="3335" spans="1:19" x14ac:dyDescent="0.2">
      <c r="A3335" t="s">
        <v>3946</v>
      </c>
      <c r="B3335" t="s">
        <v>67</v>
      </c>
      <c r="C3335" t="s">
        <v>607</v>
      </c>
      <c r="D3335">
        <v>1440.41</v>
      </c>
      <c r="E3335" s="37" t="str">
        <f t="shared" si="260"/>
        <v xml:space="preserve"> </v>
      </c>
      <c r="F3335">
        <v>0.09</v>
      </c>
      <c r="G3335" s="37" t="str">
        <f t="shared" si="261"/>
        <v>Normal Discount</v>
      </c>
      <c r="H3335" s="37" t="str">
        <f t="shared" si="262"/>
        <v>Low</v>
      </c>
      <c r="I3335">
        <v>8</v>
      </c>
      <c r="J3335" t="str" cm="1">
        <f t="array" ref="J3335">_xlfn.IFS(I3335&lt;=3,"small",I3335&lt;=6,"Medium",I3335&lt;=9,"Large")</f>
        <v>Large</v>
      </c>
      <c r="K3335" s="36">
        <v>45124</v>
      </c>
      <c r="L3335" s="36">
        <v>45128</v>
      </c>
      <c r="M3335" t="s">
        <v>612</v>
      </c>
      <c r="N3335" t="s">
        <v>604</v>
      </c>
      <c r="O3335" s="37" t="str">
        <f t="shared" si="263"/>
        <v>Digital Payment</v>
      </c>
      <c r="P3335">
        <v>233.31</v>
      </c>
      <c r="Q3335" s="37" t="str">
        <f>IF(P3335&gt;500,"High","low")</f>
        <v>low</v>
      </c>
      <c r="R3335" s="37" t="str">
        <f t="shared" si="264"/>
        <v>AVERAGE</v>
      </c>
      <c r="S3335" t="s">
        <v>605</v>
      </c>
    </row>
    <row r="3336" spans="1:19" x14ac:dyDescent="0.2">
      <c r="A3336" t="s">
        <v>3947</v>
      </c>
      <c r="B3336" t="s">
        <v>90</v>
      </c>
      <c r="C3336" t="s">
        <v>614</v>
      </c>
      <c r="D3336">
        <v>2012.86</v>
      </c>
      <c r="E3336" s="37" t="str">
        <f t="shared" si="260"/>
        <v xml:space="preserve"> </v>
      </c>
      <c r="F3336">
        <v>0.36</v>
      </c>
      <c r="G3336" s="37" t="str">
        <f t="shared" si="261"/>
        <v>Heavy Discount</v>
      </c>
      <c r="H3336" s="37" t="str">
        <f t="shared" si="262"/>
        <v>Medium</v>
      </c>
      <c r="I3336">
        <v>9</v>
      </c>
      <c r="J3336" t="str" cm="1">
        <f t="array" ref="J3336">_xlfn.IFS(I3336&lt;=3,"small",I3336&lt;=6,"Medium",I3336&lt;=9,"Large")</f>
        <v>Large</v>
      </c>
      <c r="K3336" s="36">
        <v>45173</v>
      </c>
      <c r="L3336" s="36">
        <v>45176</v>
      </c>
      <c r="M3336" t="s">
        <v>612</v>
      </c>
      <c r="N3336" t="s">
        <v>599</v>
      </c>
      <c r="O3336" s="37" t="str">
        <f t="shared" si="263"/>
        <v>Digital Payment</v>
      </c>
      <c r="P3336">
        <v>539.36</v>
      </c>
      <c r="Q3336" s="37" t="str">
        <f>IF(P3336&gt;500,"High","low")</f>
        <v>High</v>
      </c>
      <c r="R3336" s="37" t="str">
        <f t="shared" si="264"/>
        <v>Good</v>
      </c>
      <c r="S3336" t="s">
        <v>615</v>
      </c>
    </row>
    <row r="3337" spans="1:19" x14ac:dyDescent="0.2">
      <c r="A3337" t="s">
        <v>3948</v>
      </c>
      <c r="B3337" t="s">
        <v>75</v>
      </c>
      <c r="C3337" t="s">
        <v>607</v>
      </c>
      <c r="D3337">
        <v>2354.62</v>
      </c>
      <c r="E3337" s="37" t="str">
        <f t="shared" si="260"/>
        <v xml:space="preserve"> </v>
      </c>
      <c r="F3337">
        <v>0.3</v>
      </c>
      <c r="G3337" s="37" t="str">
        <f t="shared" si="261"/>
        <v>Normal Discount</v>
      </c>
      <c r="H3337" s="37" t="str">
        <f t="shared" si="262"/>
        <v>Medium</v>
      </c>
      <c r="I3337">
        <v>5</v>
      </c>
      <c r="J3337" t="str" cm="1">
        <f t="array" ref="J3337">_xlfn.IFS(I3337&lt;=3,"small",I3337&lt;=6,"Medium",I3337&lt;=9,"Large")</f>
        <v>Medium</v>
      </c>
      <c r="K3337" s="36">
        <v>45113</v>
      </c>
      <c r="L3337" s="36">
        <v>45114</v>
      </c>
      <c r="M3337" t="s">
        <v>598</v>
      </c>
      <c r="N3337" t="s">
        <v>608</v>
      </c>
      <c r="O3337" s="37" t="str">
        <f t="shared" si="263"/>
        <v>Cash Payment</v>
      </c>
      <c r="P3337">
        <v>230.73</v>
      </c>
      <c r="Q3337" s="37" t="str">
        <f>IF(P3337&gt;500,"High","low")</f>
        <v>low</v>
      </c>
      <c r="R3337" s="37" t="str">
        <f t="shared" si="264"/>
        <v>AVERAGE</v>
      </c>
      <c r="S3337" t="s">
        <v>605</v>
      </c>
    </row>
    <row r="3338" spans="1:19" x14ac:dyDescent="0.2">
      <c r="A3338" t="s">
        <v>3949</v>
      </c>
      <c r="B3338" t="s">
        <v>83</v>
      </c>
      <c r="C3338" t="s">
        <v>597</v>
      </c>
      <c r="D3338">
        <v>504.27</v>
      </c>
      <c r="E3338" s="37" t="str">
        <f t="shared" si="260"/>
        <v xml:space="preserve"> </v>
      </c>
      <c r="F3338">
        <v>0.41</v>
      </c>
      <c r="G3338" s="37" t="str">
        <f t="shared" si="261"/>
        <v>Heavy Discount</v>
      </c>
      <c r="H3338" s="37" t="str">
        <f t="shared" si="262"/>
        <v>High</v>
      </c>
      <c r="I3338">
        <v>3</v>
      </c>
      <c r="J3338" t="str" cm="1">
        <f t="array" ref="J3338">_xlfn.IFS(I3338&lt;=3,"small",I3338&lt;=6,"Medium",I3338&lt;=9,"Large")</f>
        <v>small</v>
      </c>
      <c r="K3338" s="36">
        <v>45059</v>
      </c>
      <c r="L3338" s="36">
        <v>45064</v>
      </c>
      <c r="M3338" t="s">
        <v>612</v>
      </c>
      <c r="N3338" t="s">
        <v>599</v>
      </c>
      <c r="O3338" s="37" t="str">
        <f t="shared" si="263"/>
        <v>Digital Payment</v>
      </c>
      <c r="P3338">
        <v>72.03</v>
      </c>
      <c r="Q3338" s="37" t="str">
        <f>IF(P3338&gt;500,"High","low")</f>
        <v>low</v>
      </c>
      <c r="R3338" s="37" t="str">
        <f t="shared" si="264"/>
        <v>AVERAGE</v>
      </c>
      <c r="S3338" t="s">
        <v>628</v>
      </c>
    </row>
    <row r="3339" spans="1:19" x14ac:dyDescent="0.2">
      <c r="A3339" t="s">
        <v>3950</v>
      </c>
      <c r="B3339" t="s">
        <v>83</v>
      </c>
      <c r="C3339" t="s">
        <v>614</v>
      </c>
      <c r="D3339">
        <v>4225.8</v>
      </c>
      <c r="E3339" s="37" t="str">
        <f t="shared" si="260"/>
        <v xml:space="preserve"> </v>
      </c>
      <c r="F3339">
        <v>0.5</v>
      </c>
      <c r="G3339" s="37" t="str">
        <f t="shared" si="261"/>
        <v>Heavy Discount</v>
      </c>
      <c r="H3339" s="37" t="str">
        <f t="shared" si="262"/>
        <v>High</v>
      </c>
      <c r="I3339">
        <v>9</v>
      </c>
      <c r="J3339" t="str" cm="1">
        <f t="array" ref="J3339">_xlfn.IFS(I3339&lt;=3,"small",I3339&lt;=6,"Medium",I3339&lt;=9,"Large")</f>
        <v>Large</v>
      </c>
      <c r="K3339" s="36">
        <v>45085</v>
      </c>
      <c r="L3339" s="36">
        <v>45088</v>
      </c>
      <c r="M3339" t="s">
        <v>603</v>
      </c>
      <c r="N3339" t="s">
        <v>599</v>
      </c>
      <c r="O3339" s="37" t="str">
        <f t="shared" si="263"/>
        <v>Digital Payment</v>
      </c>
      <c r="P3339">
        <v>586.69000000000005</v>
      </c>
      <c r="Q3339" s="37" t="str">
        <f>IF(P3339&gt;500,"High","low")</f>
        <v>High</v>
      </c>
      <c r="R3339" s="37" t="str">
        <f t="shared" si="264"/>
        <v>Good</v>
      </c>
      <c r="S3339" t="s">
        <v>620</v>
      </c>
    </row>
    <row r="3340" spans="1:19" x14ac:dyDescent="0.2">
      <c r="A3340" t="s">
        <v>3951</v>
      </c>
      <c r="B3340" t="s">
        <v>83</v>
      </c>
      <c r="C3340" t="s">
        <v>607</v>
      </c>
      <c r="D3340">
        <v>695.55</v>
      </c>
      <c r="E3340" s="37" t="str">
        <f t="shared" si="260"/>
        <v xml:space="preserve"> </v>
      </c>
      <c r="F3340">
        <v>0.02</v>
      </c>
      <c r="G3340" s="37" t="str">
        <f t="shared" si="261"/>
        <v>Normal Discount</v>
      </c>
      <c r="H3340" s="37" t="str">
        <f t="shared" si="262"/>
        <v>Low</v>
      </c>
      <c r="I3340">
        <v>4</v>
      </c>
      <c r="J3340" t="str" cm="1">
        <f t="array" ref="J3340">_xlfn.IFS(I3340&lt;=3,"small",I3340&lt;=6,"Medium",I3340&lt;=9,"Large")</f>
        <v>Medium</v>
      </c>
      <c r="K3340" s="36">
        <v>45323</v>
      </c>
      <c r="L3340" s="36">
        <v>45327</v>
      </c>
      <c r="M3340" t="s">
        <v>598</v>
      </c>
      <c r="N3340" t="s">
        <v>604</v>
      </c>
      <c r="O3340" s="37" t="str">
        <f t="shared" si="263"/>
        <v>Digital Payment</v>
      </c>
      <c r="P3340">
        <v>140.04</v>
      </c>
      <c r="Q3340" s="37" t="str">
        <f>IF(P3340&gt;500,"High","low")</f>
        <v>low</v>
      </c>
      <c r="R3340" s="37" t="str">
        <f t="shared" si="264"/>
        <v>AVERAGE</v>
      </c>
      <c r="S3340" t="s">
        <v>615</v>
      </c>
    </row>
    <row r="3341" spans="1:19" x14ac:dyDescent="0.2">
      <c r="A3341" t="s">
        <v>3952</v>
      </c>
      <c r="B3341" t="s">
        <v>75</v>
      </c>
      <c r="C3341" t="s">
        <v>614</v>
      </c>
      <c r="D3341">
        <v>2468.9499999999998</v>
      </c>
      <c r="E3341" s="37" t="str">
        <f t="shared" si="260"/>
        <v xml:space="preserve"> </v>
      </c>
      <c r="F3341">
        <v>0.37</v>
      </c>
      <c r="G3341" s="37" t="str">
        <f t="shared" si="261"/>
        <v>Heavy Discount</v>
      </c>
      <c r="H3341" s="37" t="str">
        <f t="shared" si="262"/>
        <v>Medium</v>
      </c>
      <c r="I3341">
        <v>1</v>
      </c>
      <c r="J3341" t="str" cm="1">
        <f t="array" ref="J3341">_xlfn.IFS(I3341&lt;=3,"small",I3341&lt;=6,"Medium",I3341&lt;=9,"Large")</f>
        <v>small</v>
      </c>
      <c r="K3341" s="36">
        <v>45044</v>
      </c>
      <c r="L3341" s="36">
        <v>45049</v>
      </c>
      <c r="M3341" t="s">
        <v>612</v>
      </c>
      <c r="N3341" t="s">
        <v>608</v>
      </c>
      <c r="O3341" s="37" t="str">
        <f t="shared" si="263"/>
        <v>Cash Payment</v>
      </c>
      <c r="P3341">
        <v>424.67</v>
      </c>
      <c r="Q3341" s="37" t="str">
        <f>IF(P3341&gt;500,"High","low")</f>
        <v>low</v>
      </c>
      <c r="R3341" s="37" t="str">
        <f t="shared" si="264"/>
        <v>AVERAGE</v>
      </c>
      <c r="S3341" t="s">
        <v>609</v>
      </c>
    </row>
    <row r="3342" spans="1:19" x14ac:dyDescent="0.2">
      <c r="A3342" t="s">
        <v>3953</v>
      </c>
      <c r="B3342" t="s">
        <v>90</v>
      </c>
      <c r="C3342" t="s">
        <v>597</v>
      </c>
      <c r="D3342">
        <v>1976.54</v>
      </c>
      <c r="E3342" s="37" t="str">
        <f t="shared" si="260"/>
        <v xml:space="preserve"> </v>
      </c>
      <c r="F3342">
        <v>0.49</v>
      </c>
      <c r="G3342" s="37" t="str">
        <f t="shared" si="261"/>
        <v>Heavy Discount</v>
      </c>
      <c r="H3342" s="37" t="str">
        <f t="shared" si="262"/>
        <v>High</v>
      </c>
      <c r="I3342">
        <v>2</v>
      </c>
      <c r="J3342" t="str" cm="1">
        <f t="array" ref="J3342">_xlfn.IFS(I3342&lt;=3,"small",I3342&lt;=6,"Medium",I3342&lt;=9,"Large")</f>
        <v>small</v>
      </c>
      <c r="K3342" s="36">
        <v>45311</v>
      </c>
      <c r="L3342" s="36">
        <v>45314</v>
      </c>
      <c r="M3342" t="s">
        <v>612</v>
      </c>
      <c r="N3342" t="s">
        <v>599</v>
      </c>
      <c r="O3342" s="37" t="str">
        <f t="shared" si="263"/>
        <v>Digital Payment</v>
      </c>
      <c r="P3342">
        <v>398.94</v>
      </c>
      <c r="Q3342" s="37" t="str">
        <f>IF(P3342&gt;500,"High","low")</f>
        <v>low</v>
      </c>
      <c r="R3342" s="37" t="str">
        <f t="shared" si="264"/>
        <v>AVERAGE</v>
      </c>
      <c r="S3342" t="s">
        <v>600</v>
      </c>
    </row>
    <row r="3343" spans="1:19" x14ac:dyDescent="0.2">
      <c r="A3343" t="s">
        <v>3954</v>
      </c>
      <c r="B3343" t="s">
        <v>83</v>
      </c>
      <c r="C3343" t="s">
        <v>617</v>
      </c>
      <c r="D3343">
        <v>2610.21</v>
      </c>
      <c r="E3343" s="37" t="str">
        <f t="shared" si="260"/>
        <v xml:space="preserve"> </v>
      </c>
      <c r="F3343">
        <v>0.27</v>
      </c>
      <c r="G3343" s="37" t="str">
        <f t="shared" si="261"/>
        <v>Normal Discount</v>
      </c>
      <c r="H3343" s="37" t="str">
        <f t="shared" si="262"/>
        <v>Medium</v>
      </c>
      <c r="I3343">
        <v>8</v>
      </c>
      <c r="J3343" t="str" cm="1">
        <f t="array" ref="J3343">_xlfn.IFS(I3343&lt;=3,"small",I3343&lt;=6,"Medium",I3343&lt;=9,"Large")</f>
        <v>Large</v>
      </c>
      <c r="K3343" s="36">
        <v>45484</v>
      </c>
      <c r="L3343" s="36">
        <v>45489</v>
      </c>
      <c r="M3343" t="s">
        <v>612</v>
      </c>
      <c r="N3343" t="s">
        <v>608</v>
      </c>
      <c r="O3343" s="37" t="str">
        <f t="shared" si="263"/>
        <v>Cash Payment</v>
      </c>
      <c r="P3343">
        <v>361.96</v>
      </c>
      <c r="Q3343" s="37" t="str">
        <f>IF(P3343&gt;500,"High","low")</f>
        <v>low</v>
      </c>
      <c r="R3343" s="37" t="str">
        <f t="shared" si="264"/>
        <v>AVERAGE</v>
      </c>
      <c r="S3343" t="s">
        <v>620</v>
      </c>
    </row>
    <row r="3344" spans="1:19" x14ac:dyDescent="0.2">
      <c r="A3344" t="s">
        <v>3955</v>
      </c>
      <c r="B3344" t="s">
        <v>67</v>
      </c>
      <c r="C3344" t="s">
        <v>602</v>
      </c>
      <c r="D3344">
        <v>4448.66</v>
      </c>
      <c r="E3344" s="37" t="str">
        <f t="shared" si="260"/>
        <v>Excellent Order</v>
      </c>
      <c r="F3344">
        <v>0.36</v>
      </c>
      <c r="G3344" s="37" t="str">
        <f t="shared" si="261"/>
        <v>Heavy Discount</v>
      </c>
      <c r="H3344" s="37" t="str">
        <f t="shared" si="262"/>
        <v>Medium</v>
      </c>
      <c r="I3344">
        <v>2</v>
      </c>
      <c r="J3344" t="str" cm="1">
        <f t="array" ref="J3344">_xlfn.IFS(I3344&lt;=3,"small",I3344&lt;=6,"Medium",I3344&lt;=9,"Large")</f>
        <v>small</v>
      </c>
      <c r="K3344" s="36">
        <v>45058</v>
      </c>
      <c r="L3344" s="36">
        <v>45060</v>
      </c>
      <c r="M3344" t="s">
        <v>612</v>
      </c>
      <c r="N3344" t="s">
        <v>608</v>
      </c>
      <c r="O3344" s="37" t="str">
        <f t="shared" si="263"/>
        <v>Cash Payment</v>
      </c>
      <c r="P3344">
        <v>1269.53</v>
      </c>
      <c r="Q3344" s="37" t="str">
        <f>IF(P3344&gt;500,"High","low")</f>
        <v>High</v>
      </c>
      <c r="R3344" s="37" t="str">
        <f t="shared" si="264"/>
        <v>Excellent</v>
      </c>
      <c r="S3344" t="s">
        <v>615</v>
      </c>
    </row>
    <row r="3345" spans="1:19" x14ac:dyDescent="0.2">
      <c r="A3345" t="s">
        <v>3956</v>
      </c>
      <c r="B3345" t="s">
        <v>83</v>
      </c>
      <c r="C3345" t="s">
        <v>607</v>
      </c>
      <c r="D3345">
        <v>4946.53</v>
      </c>
      <c r="E3345" s="37" t="str">
        <f t="shared" si="260"/>
        <v>Excellent Order</v>
      </c>
      <c r="F3345">
        <v>0.22</v>
      </c>
      <c r="G3345" s="37" t="str">
        <f t="shared" si="261"/>
        <v>Normal Discount</v>
      </c>
      <c r="H3345" s="37" t="str">
        <f t="shared" si="262"/>
        <v>Medium</v>
      </c>
      <c r="I3345">
        <v>6</v>
      </c>
      <c r="J3345" t="str" cm="1">
        <f t="array" ref="J3345">_xlfn.IFS(I3345&lt;=3,"small",I3345&lt;=6,"Medium",I3345&lt;=9,"Large")</f>
        <v>Medium</v>
      </c>
      <c r="K3345" s="36">
        <v>45300</v>
      </c>
      <c r="L3345" s="36">
        <v>45307</v>
      </c>
      <c r="M3345" t="s">
        <v>612</v>
      </c>
      <c r="N3345" t="s">
        <v>608</v>
      </c>
      <c r="O3345" s="37" t="str">
        <f t="shared" si="263"/>
        <v>Cash Payment</v>
      </c>
      <c r="P3345">
        <v>1401.44</v>
      </c>
      <c r="Q3345" s="37" t="str">
        <f>IF(P3345&gt;500,"High","low")</f>
        <v>High</v>
      </c>
      <c r="R3345" s="37" t="str">
        <f t="shared" si="264"/>
        <v>Excellent</v>
      </c>
      <c r="S3345" t="s">
        <v>628</v>
      </c>
    </row>
    <row r="3346" spans="1:19" x14ac:dyDescent="0.2">
      <c r="A3346" t="s">
        <v>3957</v>
      </c>
      <c r="B3346" t="s">
        <v>83</v>
      </c>
      <c r="C3346" t="s">
        <v>597</v>
      </c>
      <c r="D3346">
        <v>199.33</v>
      </c>
      <c r="E3346" s="37" t="str">
        <f t="shared" si="260"/>
        <v xml:space="preserve"> </v>
      </c>
      <c r="F3346">
        <v>0.18</v>
      </c>
      <c r="G3346" s="37" t="str">
        <f t="shared" si="261"/>
        <v>Normal Discount</v>
      </c>
      <c r="H3346" s="37" t="str">
        <f t="shared" si="262"/>
        <v>Low</v>
      </c>
      <c r="I3346">
        <v>5</v>
      </c>
      <c r="J3346" t="str" cm="1">
        <f t="array" ref="J3346">_xlfn.IFS(I3346&lt;=3,"small",I3346&lt;=6,"Medium",I3346&lt;=9,"Large")</f>
        <v>Medium</v>
      </c>
      <c r="K3346" s="36">
        <v>45330</v>
      </c>
      <c r="L3346" s="36">
        <v>45335</v>
      </c>
      <c r="M3346" t="s">
        <v>612</v>
      </c>
      <c r="N3346" t="s">
        <v>604</v>
      </c>
      <c r="O3346" s="37" t="str">
        <f t="shared" si="263"/>
        <v>Digital Payment</v>
      </c>
      <c r="P3346">
        <v>48.74</v>
      </c>
      <c r="Q3346" s="37" t="str">
        <f>IF(P3346&gt;500,"High","low")</f>
        <v>low</v>
      </c>
      <c r="R3346" s="37" t="str">
        <f t="shared" si="264"/>
        <v>AVERAGE</v>
      </c>
      <c r="S3346" t="s">
        <v>628</v>
      </c>
    </row>
    <row r="3347" spans="1:19" x14ac:dyDescent="0.2">
      <c r="A3347" t="s">
        <v>3958</v>
      </c>
      <c r="B3347" t="s">
        <v>83</v>
      </c>
      <c r="C3347" t="s">
        <v>597</v>
      </c>
      <c r="D3347">
        <v>2026.87</v>
      </c>
      <c r="E3347" s="37" t="str">
        <f t="shared" si="260"/>
        <v xml:space="preserve"> </v>
      </c>
      <c r="F3347">
        <v>0.35</v>
      </c>
      <c r="G3347" s="37" t="str">
        <f t="shared" si="261"/>
        <v>Heavy Discount</v>
      </c>
      <c r="H3347" s="37" t="str">
        <f t="shared" si="262"/>
        <v>Medium</v>
      </c>
      <c r="I3347">
        <v>9</v>
      </c>
      <c r="J3347" t="str" cm="1">
        <f t="array" ref="J3347">_xlfn.IFS(I3347&lt;=3,"small",I3347&lt;=6,"Medium",I3347&lt;=9,"Large")</f>
        <v>Large</v>
      </c>
      <c r="K3347" s="36">
        <v>45275</v>
      </c>
      <c r="L3347" s="36">
        <v>45277</v>
      </c>
      <c r="M3347" t="s">
        <v>598</v>
      </c>
      <c r="N3347" t="s">
        <v>608</v>
      </c>
      <c r="O3347" s="37" t="str">
        <f t="shared" si="263"/>
        <v>Cash Payment</v>
      </c>
      <c r="P3347">
        <v>605.89</v>
      </c>
      <c r="Q3347" s="37" t="str">
        <f>IF(P3347&gt;500,"High","low")</f>
        <v>High</v>
      </c>
      <c r="R3347" s="37" t="str">
        <f t="shared" si="264"/>
        <v>Good</v>
      </c>
      <c r="S3347" t="s">
        <v>620</v>
      </c>
    </row>
    <row r="3348" spans="1:19" x14ac:dyDescent="0.2">
      <c r="A3348" t="s">
        <v>3959</v>
      </c>
      <c r="B3348" t="s">
        <v>83</v>
      </c>
      <c r="C3348" t="s">
        <v>614</v>
      </c>
      <c r="D3348">
        <v>4106.29</v>
      </c>
      <c r="E3348" s="37" t="str">
        <f t="shared" si="260"/>
        <v xml:space="preserve"> </v>
      </c>
      <c r="F3348">
        <v>0.49</v>
      </c>
      <c r="G3348" s="37" t="str">
        <f t="shared" si="261"/>
        <v>Heavy Discount</v>
      </c>
      <c r="H3348" s="37" t="str">
        <f t="shared" si="262"/>
        <v>High</v>
      </c>
      <c r="I3348">
        <v>8</v>
      </c>
      <c r="J3348" t="str" cm="1">
        <f t="array" ref="J3348">_xlfn.IFS(I3348&lt;=3,"small",I3348&lt;=6,"Medium",I3348&lt;=9,"Large")</f>
        <v>Large</v>
      </c>
      <c r="K3348" s="36">
        <v>44958</v>
      </c>
      <c r="L3348" s="36">
        <v>44964</v>
      </c>
      <c r="M3348" t="s">
        <v>603</v>
      </c>
      <c r="N3348" t="s">
        <v>608</v>
      </c>
      <c r="O3348" s="37" t="str">
        <f t="shared" si="263"/>
        <v>Cash Payment</v>
      </c>
      <c r="P3348">
        <v>419.46</v>
      </c>
      <c r="Q3348" s="37" t="str">
        <f>IF(P3348&gt;500,"High","low")</f>
        <v>low</v>
      </c>
      <c r="R3348" s="37" t="str">
        <f t="shared" si="264"/>
        <v>AVERAGE</v>
      </c>
      <c r="S3348" t="s">
        <v>600</v>
      </c>
    </row>
    <row r="3349" spans="1:19" x14ac:dyDescent="0.2">
      <c r="A3349" t="s">
        <v>3960</v>
      </c>
      <c r="B3349" t="s">
        <v>90</v>
      </c>
      <c r="C3349" t="s">
        <v>614</v>
      </c>
      <c r="D3349">
        <v>1700.35</v>
      </c>
      <c r="E3349" s="37" t="str">
        <f t="shared" si="260"/>
        <v xml:space="preserve"> </v>
      </c>
      <c r="F3349">
        <v>0.05</v>
      </c>
      <c r="G3349" s="37" t="str">
        <f t="shared" si="261"/>
        <v>Normal Discount</v>
      </c>
      <c r="H3349" s="37" t="str">
        <f t="shared" si="262"/>
        <v>Low</v>
      </c>
      <c r="I3349">
        <v>1</v>
      </c>
      <c r="J3349" t="str" cm="1">
        <f t="array" ref="J3349">_xlfn.IFS(I3349&lt;=3,"small",I3349&lt;=6,"Medium",I3349&lt;=9,"Large")</f>
        <v>small</v>
      </c>
      <c r="K3349" s="36">
        <v>45023</v>
      </c>
      <c r="L3349" s="36">
        <v>45028</v>
      </c>
      <c r="M3349" t="s">
        <v>612</v>
      </c>
      <c r="N3349" t="s">
        <v>608</v>
      </c>
      <c r="O3349" s="37" t="str">
        <f t="shared" si="263"/>
        <v>Cash Payment</v>
      </c>
      <c r="P3349">
        <v>268.92</v>
      </c>
      <c r="Q3349" s="37" t="str">
        <f>IF(P3349&gt;500,"High","low")</f>
        <v>low</v>
      </c>
      <c r="R3349" s="37" t="str">
        <f t="shared" si="264"/>
        <v>AVERAGE</v>
      </c>
      <c r="S3349" t="s">
        <v>620</v>
      </c>
    </row>
    <row r="3350" spans="1:19" x14ac:dyDescent="0.2">
      <c r="A3350" t="s">
        <v>3961</v>
      </c>
      <c r="B3350" t="s">
        <v>67</v>
      </c>
      <c r="C3350" t="s">
        <v>602</v>
      </c>
      <c r="D3350">
        <v>3280.28</v>
      </c>
      <c r="E3350" s="37" t="str">
        <f t="shared" si="260"/>
        <v xml:space="preserve"> </v>
      </c>
      <c r="F3350">
        <v>0.21</v>
      </c>
      <c r="G3350" s="37" t="str">
        <f t="shared" si="261"/>
        <v>Normal Discount</v>
      </c>
      <c r="H3350" s="37" t="str">
        <f t="shared" si="262"/>
        <v>Medium</v>
      </c>
      <c r="I3350">
        <v>3</v>
      </c>
      <c r="J3350" t="str" cm="1">
        <f t="array" ref="J3350">_xlfn.IFS(I3350&lt;=3,"small",I3350&lt;=6,"Medium",I3350&lt;=9,"Large")</f>
        <v>small</v>
      </c>
      <c r="K3350" s="36">
        <v>45516</v>
      </c>
      <c r="L3350" s="36">
        <v>45521</v>
      </c>
      <c r="M3350" t="s">
        <v>612</v>
      </c>
      <c r="N3350" t="s">
        <v>604</v>
      </c>
      <c r="O3350" s="37" t="str">
        <f t="shared" si="263"/>
        <v>Digital Payment</v>
      </c>
      <c r="P3350">
        <v>681.86</v>
      </c>
      <c r="Q3350" s="37" t="str">
        <f>IF(P3350&gt;500,"High","low")</f>
        <v>High</v>
      </c>
      <c r="R3350" s="37" t="str">
        <f t="shared" si="264"/>
        <v>Good</v>
      </c>
      <c r="S3350" t="s">
        <v>609</v>
      </c>
    </row>
    <row r="3351" spans="1:19" x14ac:dyDescent="0.2">
      <c r="A3351" t="s">
        <v>3962</v>
      </c>
      <c r="B3351" t="s">
        <v>90</v>
      </c>
      <c r="C3351" t="s">
        <v>614</v>
      </c>
      <c r="D3351">
        <v>4962.07</v>
      </c>
      <c r="E3351" s="37" t="str">
        <f t="shared" si="260"/>
        <v xml:space="preserve"> </v>
      </c>
      <c r="F3351">
        <v>0.47</v>
      </c>
      <c r="G3351" s="37" t="str">
        <f t="shared" si="261"/>
        <v>Heavy Discount</v>
      </c>
      <c r="H3351" s="37" t="str">
        <f t="shared" si="262"/>
        <v>High</v>
      </c>
      <c r="I3351">
        <v>5</v>
      </c>
      <c r="J3351" t="str" cm="1">
        <f t="array" ref="J3351">_xlfn.IFS(I3351&lt;=3,"small",I3351&lt;=6,"Medium",I3351&lt;=9,"Large")</f>
        <v>Medium</v>
      </c>
      <c r="K3351" s="36">
        <v>45265</v>
      </c>
      <c r="L3351" s="36">
        <v>45270</v>
      </c>
      <c r="M3351" t="s">
        <v>612</v>
      </c>
      <c r="N3351" t="s">
        <v>608</v>
      </c>
      <c r="O3351" s="37" t="str">
        <f t="shared" si="263"/>
        <v>Cash Payment</v>
      </c>
      <c r="P3351">
        <v>731.42</v>
      </c>
      <c r="Q3351" s="37" t="str">
        <f>IF(P3351&gt;500,"High","low")</f>
        <v>High</v>
      </c>
      <c r="R3351" s="37" t="str">
        <f t="shared" si="264"/>
        <v>Good</v>
      </c>
      <c r="S3351" t="s">
        <v>615</v>
      </c>
    </row>
    <row r="3352" spans="1:19" x14ac:dyDescent="0.2">
      <c r="A3352" t="s">
        <v>3963</v>
      </c>
      <c r="B3352" t="s">
        <v>67</v>
      </c>
      <c r="C3352" t="s">
        <v>607</v>
      </c>
      <c r="D3352">
        <v>3269.18</v>
      </c>
      <c r="E3352" s="37" t="str">
        <f t="shared" si="260"/>
        <v xml:space="preserve"> </v>
      </c>
      <c r="F3352">
        <v>0.06</v>
      </c>
      <c r="G3352" s="37" t="str">
        <f t="shared" si="261"/>
        <v>Normal Discount</v>
      </c>
      <c r="H3352" s="37" t="str">
        <f t="shared" si="262"/>
        <v>Low</v>
      </c>
      <c r="I3352">
        <v>8</v>
      </c>
      <c r="J3352" t="str" cm="1">
        <f t="array" ref="J3352">_xlfn.IFS(I3352&lt;=3,"small",I3352&lt;=6,"Medium",I3352&lt;=9,"Large")</f>
        <v>Large</v>
      </c>
      <c r="K3352" s="36">
        <v>45313</v>
      </c>
      <c r="L3352" s="36">
        <v>45315</v>
      </c>
      <c r="M3352" t="s">
        <v>598</v>
      </c>
      <c r="N3352" t="s">
        <v>608</v>
      </c>
      <c r="O3352" s="37" t="str">
        <f t="shared" si="263"/>
        <v>Cash Payment</v>
      </c>
      <c r="P3352">
        <v>349.67</v>
      </c>
      <c r="Q3352" s="37" t="str">
        <f>IF(P3352&gt;500,"High","low")</f>
        <v>low</v>
      </c>
      <c r="R3352" s="37" t="str">
        <f t="shared" si="264"/>
        <v>AVERAGE</v>
      </c>
      <c r="S3352" t="s">
        <v>605</v>
      </c>
    </row>
    <row r="3353" spans="1:19" x14ac:dyDescent="0.2">
      <c r="A3353" t="s">
        <v>3964</v>
      </c>
      <c r="B3353" t="s">
        <v>83</v>
      </c>
      <c r="C3353" t="s">
        <v>607</v>
      </c>
      <c r="D3353">
        <v>644.84</v>
      </c>
      <c r="E3353" s="37" t="str">
        <f t="shared" si="260"/>
        <v xml:space="preserve"> </v>
      </c>
      <c r="F3353">
        <v>0.33</v>
      </c>
      <c r="G3353" s="37" t="str">
        <f t="shared" si="261"/>
        <v>Heavy Discount</v>
      </c>
      <c r="H3353" s="37" t="str">
        <f t="shared" si="262"/>
        <v>Medium</v>
      </c>
      <c r="I3353">
        <v>7</v>
      </c>
      <c r="J3353" t="str" cm="1">
        <f t="array" ref="J3353">_xlfn.IFS(I3353&lt;=3,"small",I3353&lt;=6,"Medium",I3353&lt;=9,"Large")</f>
        <v>Large</v>
      </c>
      <c r="K3353" s="36">
        <v>45111</v>
      </c>
      <c r="L3353" s="36">
        <v>45114</v>
      </c>
      <c r="M3353" t="s">
        <v>612</v>
      </c>
      <c r="N3353" t="s">
        <v>604</v>
      </c>
      <c r="O3353" s="37" t="str">
        <f t="shared" si="263"/>
        <v>Digital Payment</v>
      </c>
      <c r="P3353">
        <v>39.21</v>
      </c>
      <c r="Q3353" s="37" t="str">
        <f>IF(P3353&gt;500,"High","low")</f>
        <v>low</v>
      </c>
      <c r="R3353" s="37" t="str">
        <f t="shared" si="264"/>
        <v>AVERAGE</v>
      </c>
      <c r="S3353" t="s">
        <v>605</v>
      </c>
    </row>
    <row r="3354" spans="1:19" x14ac:dyDescent="0.2">
      <c r="A3354" t="s">
        <v>3965</v>
      </c>
      <c r="B3354" t="s">
        <v>75</v>
      </c>
      <c r="C3354" t="s">
        <v>607</v>
      </c>
      <c r="D3354">
        <v>4230.37</v>
      </c>
      <c r="E3354" s="37" t="str">
        <f t="shared" si="260"/>
        <v>Excellent Order</v>
      </c>
      <c r="F3354">
        <v>0.22</v>
      </c>
      <c r="G3354" s="37" t="str">
        <f t="shared" si="261"/>
        <v>Normal Discount</v>
      </c>
      <c r="H3354" s="37" t="str">
        <f t="shared" si="262"/>
        <v>Medium</v>
      </c>
      <c r="I3354">
        <v>2</v>
      </c>
      <c r="J3354" t="str" cm="1">
        <f t="array" ref="J3354">_xlfn.IFS(I3354&lt;=3,"small",I3354&lt;=6,"Medium",I3354&lt;=9,"Large")</f>
        <v>small</v>
      </c>
      <c r="K3354" s="36">
        <v>45110</v>
      </c>
      <c r="L3354" s="36">
        <v>45114</v>
      </c>
      <c r="M3354" t="s">
        <v>598</v>
      </c>
      <c r="N3354" t="s">
        <v>604</v>
      </c>
      <c r="O3354" s="37" t="str">
        <f t="shared" si="263"/>
        <v>Digital Payment</v>
      </c>
      <c r="P3354">
        <v>1211.54</v>
      </c>
      <c r="Q3354" s="37" t="str">
        <f>IF(P3354&gt;500,"High","low")</f>
        <v>High</v>
      </c>
      <c r="R3354" s="37" t="str">
        <f t="shared" si="264"/>
        <v>Excellent</v>
      </c>
      <c r="S3354" t="s">
        <v>600</v>
      </c>
    </row>
    <row r="3355" spans="1:19" x14ac:dyDescent="0.2">
      <c r="A3355" t="s">
        <v>3966</v>
      </c>
      <c r="B3355" t="s">
        <v>90</v>
      </c>
      <c r="C3355" t="s">
        <v>617</v>
      </c>
      <c r="D3355">
        <v>4836.62</v>
      </c>
      <c r="E3355" s="37" t="str">
        <f t="shared" si="260"/>
        <v xml:space="preserve"> </v>
      </c>
      <c r="F3355">
        <v>0.19</v>
      </c>
      <c r="G3355" s="37" t="str">
        <f t="shared" si="261"/>
        <v>Normal Discount</v>
      </c>
      <c r="H3355" s="37" t="str">
        <f t="shared" si="262"/>
        <v>Low</v>
      </c>
      <c r="I3355">
        <v>7</v>
      </c>
      <c r="J3355" t="str" cm="1">
        <f t="array" ref="J3355">_xlfn.IFS(I3355&lt;=3,"small",I3355&lt;=6,"Medium",I3355&lt;=9,"Large")</f>
        <v>Large</v>
      </c>
      <c r="K3355" s="36">
        <v>44977</v>
      </c>
      <c r="L3355" s="36">
        <v>44982</v>
      </c>
      <c r="M3355" t="s">
        <v>598</v>
      </c>
      <c r="N3355" t="s">
        <v>599</v>
      </c>
      <c r="O3355" s="37" t="str">
        <f t="shared" si="263"/>
        <v>Digital Payment</v>
      </c>
      <c r="P3355">
        <v>520.57000000000005</v>
      </c>
      <c r="Q3355" s="37" t="str">
        <f>IF(P3355&gt;500,"High","low")</f>
        <v>High</v>
      </c>
      <c r="R3355" s="37" t="str">
        <f t="shared" si="264"/>
        <v>Good</v>
      </c>
      <c r="S3355" t="s">
        <v>600</v>
      </c>
    </row>
    <row r="3356" spans="1:19" x14ac:dyDescent="0.2">
      <c r="A3356" t="s">
        <v>3967</v>
      </c>
      <c r="B3356" t="s">
        <v>75</v>
      </c>
      <c r="C3356" t="s">
        <v>607</v>
      </c>
      <c r="D3356">
        <v>3591.29</v>
      </c>
      <c r="E3356" s="37" t="str">
        <f t="shared" si="260"/>
        <v xml:space="preserve"> </v>
      </c>
      <c r="F3356">
        <v>0.1</v>
      </c>
      <c r="G3356" s="37" t="str">
        <f t="shared" si="261"/>
        <v>Normal Discount</v>
      </c>
      <c r="H3356" s="37" t="str">
        <f t="shared" si="262"/>
        <v>Low</v>
      </c>
      <c r="I3356">
        <v>5</v>
      </c>
      <c r="J3356" t="str" cm="1">
        <f t="array" ref="J3356">_xlfn.IFS(I3356&lt;=3,"small",I3356&lt;=6,"Medium",I3356&lt;=9,"Large")</f>
        <v>Medium</v>
      </c>
      <c r="K3356" s="36">
        <v>44928</v>
      </c>
      <c r="L3356" s="36">
        <v>44934</v>
      </c>
      <c r="M3356" t="s">
        <v>603</v>
      </c>
      <c r="N3356" t="s">
        <v>608</v>
      </c>
      <c r="O3356" s="37" t="str">
        <f t="shared" si="263"/>
        <v>Cash Payment</v>
      </c>
      <c r="P3356">
        <v>602.71</v>
      </c>
      <c r="Q3356" s="37" t="str">
        <f>IF(P3356&gt;500,"High","low")</f>
        <v>High</v>
      </c>
      <c r="R3356" s="37" t="str">
        <f t="shared" si="264"/>
        <v>Good</v>
      </c>
      <c r="S3356" t="s">
        <v>620</v>
      </c>
    </row>
    <row r="3357" spans="1:19" x14ac:dyDescent="0.2">
      <c r="A3357" t="s">
        <v>3968</v>
      </c>
      <c r="B3357" t="s">
        <v>90</v>
      </c>
      <c r="C3357" t="s">
        <v>614</v>
      </c>
      <c r="D3357">
        <v>2153.4299999999998</v>
      </c>
      <c r="E3357" s="37" t="str">
        <f t="shared" si="260"/>
        <v xml:space="preserve"> </v>
      </c>
      <c r="F3357">
        <v>0.09</v>
      </c>
      <c r="G3357" s="37" t="str">
        <f t="shared" si="261"/>
        <v>Normal Discount</v>
      </c>
      <c r="H3357" s="37" t="str">
        <f t="shared" si="262"/>
        <v>Low</v>
      </c>
      <c r="I3357">
        <v>6</v>
      </c>
      <c r="J3357" t="str" cm="1">
        <f t="array" ref="J3357">_xlfn.IFS(I3357&lt;=3,"small",I3357&lt;=6,"Medium",I3357&lt;=9,"Large")</f>
        <v>Medium</v>
      </c>
      <c r="K3357" s="36">
        <v>45003</v>
      </c>
      <c r="L3357" s="36">
        <v>45007</v>
      </c>
      <c r="M3357" t="s">
        <v>598</v>
      </c>
      <c r="N3357" t="s">
        <v>599</v>
      </c>
      <c r="O3357" s="37" t="str">
        <f t="shared" si="263"/>
        <v>Digital Payment</v>
      </c>
      <c r="P3357">
        <v>119.62</v>
      </c>
      <c r="Q3357" s="37" t="str">
        <f>IF(P3357&gt;500,"High","low")</f>
        <v>low</v>
      </c>
      <c r="R3357" s="37" t="str">
        <f t="shared" si="264"/>
        <v>AVERAGE</v>
      </c>
      <c r="S3357" t="s">
        <v>628</v>
      </c>
    </row>
    <row r="3358" spans="1:19" x14ac:dyDescent="0.2">
      <c r="A3358" t="s">
        <v>3969</v>
      </c>
      <c r="B3358" t="s">
        <v>83</v>
      </c>
      <c r="C3358" t="s">
        <v>614</v>
      </c>
      <c r="D3358">
        <v>4747.16</v>
      </c>
      <c r="E3358" s="37" t="str">
        <f t="shared" si="260"/>
        <v>Excellent Order</v>
      </c>
      <c r="F3358">
        <v>0.26</v>
      </c>
      <c r="G3358" s="37" t="str">
        <f t="shared" si="261"/>
        <v>Normal Discount</v>
      </c>
      <c r="H3358" s="37" t="str">
        <f t="shared" si="262"/>
        <v>Medium</v>
      </c>
      <c r="I3358">
        <v>8</v>
      </c>
      <c r="J3358" t="str" cm="1">
        <f t="array" ref="J3358">_xlfn.IFS(I3358&lt;=3,"small",I3358&lt;=6,"Medium",I3358&lt;=9,"Large")</f>
        <v>Large</v>
      </c>
      <c r="K3358" s="36">
        <v>45405</v>
      </c>
      <c r="L3358" s="36">
        <v>45409</v>
      </c>
      <c r="M3358" t="s">
        <v>603</v>
      </c>
      <c r="N3358" t="s">
        <v>604</v>
      </c>
      <c r="O3358" s="37" t="str">
        <f t="shared" si="263"/>
        <v>Digital Payment</v>
      </c>
      <c r="P3358">
        <v>875.6</v>
      </c>
      <c r="Q3358" s="37" t="str">
        <f>IF(P3358&gt;500,"High","low")</f>
        <v>High</v>
      </c>
      <c r="R3358" s="37" t="str">
        <f t="shared" si="264"/>
        <v>Good</v>
      </c>
      <c r="S3358" t="s">
        <v>600</v>
      </c>
    </row>
    <row r="3359" spans="1:19" x14ac:dyDescent="0.2">
      <c r="A3359" t="s">
        <v>3970</v>
      </c>
      <c r="B3359" t="s">
        <v>90</v>
      </c>
      <c r="C3359" t="s">
        <v>607</v>
      </c>
      <c r="D3359">
        <v>4846</v>
      </c>
      <c r="E3359" s="37" t="str">
        <f t="shared" si="260"/>
        <v>Excellent Order</v>
      </c>
      <c r="F3359">
        <v>0.19</v>
      </c>
      <c r="G3359" s="37" t="str">
        <f t="shared" si="261"/>
        <v>Normal Discount</v>
      </c>
      <c r="H3359" s="37" t="str">
        <f t="shared" si="262"/>
        <v>Low</v>
      </c>
      <c r="I3359">
        <v>5</v>
      </c>
      <c r="J3359" t="str" cm="1">
        <f t="array" ref="J3359">_xlfn.IFS(I3359&lt;=3,"small",I3359&lt;=6,"Medium",I3359&lt;=9,"Large")</f>
        <v>Medium</v>
      </c>
      <c r="K3359" s="36">
        <v>45388</v>
      </c>
      <c r="L3359" s="36">
        <v>45393</v>
      </c>
      <c r="M3359" t="s">
        <v>612</v>
      </c>
      <c r="N3359" t="s">
        <v>608</v>
      </c>
      <c r="O3359" s="37" t="str">
        <f t="shared" si="263"/>
        <v>Cash Payment</v>
      </c>
      <c r="P3359">
        <v>1256.68</v>
      </c>
      <c r="Q3359" s="37" t="str">
        <f>IF(P3359&gt;500,"High","low")</f>
        <v>High</v>
      </c>
      <c r="R3359" s="37" t="str">
        <f t="shared" si="264"/>
        <v>Excellent</v>
      </c>
      <c r="S3359" t="s">
        <v>615</v>
      </c>
    </row>
    <row r="3360" spans="1:19" x14ac:dyDescent="0.2">
      <c r="A3360" t="s">
        <v>3971</v>
      </c>
      <c r="B3360" t="s">
        <v>83</v>
      </c>
      <c r="C3360" t="s">
        <v>597</v>
      </c>
      <c r="D3360">
        <v>4682.07</v>
      </c>
      <c r="E3360" s="37" t="str">
        <f t="shared" si="260"/>
        <v xml:space="preserve"> </v>
      </c>
      <c r="F3360">
        <v>0.25</v>
      </c>
      <c r="G3360" s="37" t="str">
        <f t="shared" si="261"/>
        <v>Normal Discount</v>
      </c>
      <c r="H3360" s="37" t="str">
        <f t="shared" si="262"/>
        <v>Medium</v>
      </c>
      <c r="I3360">
        <v>9</v>
      </c>
      <c r="J3360" t="str" cm="1">
        <f t="array" ref="J3360">_xlfn.IFS(I3360&lt;=3,"small",I3360&lt;=6,"Medium",I3360&lt;=9,"Large")</f>
        <v>Large</v>
      </c>
      <c r="K3360" s="36">
        <v>45325</v>
      </c>
      <c r="L3360" s="36">
        <v>45327</v>
      </c>
      <c r="M3360" t="s">
        <v>612</v>
      </c>
      <c r="N3360" t="s">
        <v>599</v>
      </c>
      <c r="O3360" s="37" t="str">
        <f t="shared" si="263"/>
        <v>Digital Payment</v>
      </c>
      <c r="P3360">
        <v>770.27</v>
      </c>
      <c r="Q3360" s="37" t="str">
        <f>IF(P3360&gt;500,"High","low")</f>
        <v>High</v>
      </c>
      <c r="R3360" s="37" t="str">
        <f t="shared" si="264"/>
        <v>Good</v>
      </c>
      <c r="S3360" t="s">
        <v>609</v>
      </c>
    </row>
    <row r="3361" spans="1:19" x14ac:dyDescent="0.2">
      <c r="A3361" t="s">
        <v>3972</v>
      </c>
      <c r="B3361" t="s">
        <v>90</v>
      </c>
      <c r="C3361" t="s">
        <v>597</v>
      </c>
      <c r="D3361">
        <v>2117.91</v>
      </c>
      <c r="E3361" s="37" t="str">
        <f t="shared" si="260"/>
        <v xml:space="preserve"> </v>
      </c>
      <c r="F3361">
        <v>0.1</v>
      </c>
      <c r="G3361" s="37" t="str">
        <f t="shared" si="261"/>
        <v>Normal Discount</v>
      </c>
      <c r="H3361" s="37" t="str">
        <f t="shared" si="262"/>
        <v>Low</v>
      </c>
      <c r="I3361">
        <v>1</v>
      </c>
      <c r="J3361" t="str" cm="1">
        <f t="array" ref="J3361">_xlfn.IFS(I3361&lt;=3,"small",I3361&lt;=6,"Medium",I3361&lt;=9,"Large")</f>
        <v>small</v>
      </c>
      <c r="K3361" s="36">
        <v>44965</v>
      </c>
      <c r="L3361" s="36">
        <v>44966</v>
      </c>
      <c r="M3361" t="s">
        <v>612</v>
      </c>
      <c r="N3361" t="s">
        <v>604</v>
      </c>
      <c r="O3361" s="37" t="str">
        <f t="shared" si="263"/>
        <v>Digital Payment</v>
      </c>
      <c r="P3361">
        <v>588.57000000000005</v>
      </c>
      <c r="Q3361" s="37" t="str">
        <f>IF(P3361&gt;500,"High","low")</f>
        <v>High</v>
      </c>
      <c r="R3361" s="37" t="str">
        <f t="shared" si="264"/>
        <v>Good</v>
      </c>
      <c r="S3361" t="s">
        <v>615</v>
      </c>
    </row>
    <row r="3362" spans="1:19" x14ac:dyDescent="0.2">
      <c r="A3362" t="s">
        <v>3973</v>
      </c>
      <c r="B3362" t="s">
        <v>83</v>
      </c>
      <c r="C3362" t="s">
        <v>597</v>
      </c>
      <c r="D3362">
        <v>3969.57</v>
      </c>
      <c r="E3362" s="37" t="str">
        <f t="shared" si="260"/>
        <v xml:space="preserve"> </v>
      </c>
      <c r="F3362">
        <v>0.18</v>
      </c>
      <c r="G3362" s="37" t="str">
        <f t="shared" si="261"/>
        <v>Normal Discount</v>
      </c>
      <c r="H3362" s="37" t="str">
        <f t="shared" si="262"/>
        <v>Low</v>
      </c>
      <c r="I3362">
        <v>5</v>
      </c>
      <c r="J3362" t="str" cm="1">
        <f t="array" ref="J3362">_xlfn.IFS(I3362&lt;=3,"small",I3362&lt;=6,"Medium",I3362&lt;=9,"Large")</f>
        <v>Medium</v>
      </c>
      <c r="K3362" s="36">
        <v>45472</v>
      </c>
      <c r="L3362" s="36">
        <v>45473</v>
      </c>
      <c r="M3362" t="s">
        <v>612</v>
      </c>
      <c r="N3362" t="s">
        <v>608</v>
      </c>
      <c r="O3362" s="37" t="str">
        <f t="shared" si="263"/>
        <v>Cash Payment</v>
      </c>
      <c r="P3362">
        <v>410.81</v>
      </c>
      <c r="Q3362" s="37" t="str">
        <f>IF(P3362&gt;500,"High","low")</f>
        <v>low</v>
      </c>
      <c r="R3362" s="37" t="str">
        <f t="shared" si="264"/>
        <v>AVERAGE</v>
      </c>
      <c r="S3362" t="s">
        <v>600</v>
      </c>
    </row>
    <row r="3363" spans="1:19" x14ac:dyDescent="0.2">
      <c r="A3363" t="s">
        <v>3974</v>
      </c>
      <c r="B3363" t="s">
        <v>83</v>
      </c>
      <c r="C3363" t="s">
        <v>602</v>
      </c>
      <c r="D3363">
        <v>3305.48</v>
      </c>
      <c r="E3363" s="37" t="str">
        <f t="shared" si="260"/>
        <v xml:space="preserve"> </v>
      </c>
      <c r="F3363">
        <v>0.5</v>
      </c>
      <c r="G3363" s="37" t="str">
        <f t="shared" si="261"/>
        <v>Heavy Discount</v>
      </c>
      <c r="H3363" s="37" t="str">
        <f t="shared" si="262"/>
        <v>High</v>
      </c>
      <c r="I3363">
        <v>1</v>
      </c>
      <c r="J3363" t="str" cm="1">
        <f t="array" ref="J3363">_xlfn.IFS(I3363&lt;=3,"small",I3363&lt;=6,"Medium",I3363&lt;=9,"Large")</f>
        <v>small</v>
      </c>
      <c r="K3363" s="36">
        <v>45609</v>
      </c>
      <c r="L3363" s="36">
        <v>45610</v>
      </c>
      <c r="M3363" t="s">
        <v>598</v>
      </c>
      <c r="N3363" t="s">
        <v>604</v>
      </c>
      <c r="O3363" s="37" t="str">
        <f t="shared" si="263"/>
        <v>Digital Payment</v>
      </c>
      <c r="P3363">
        <v>332.74</v>
      </c>
      <c r="Q3363" s="37" t="str">
        <f>IF(P3363&gt;500,"High","low")</f>
        <v>low</v>
      </c>
      <c r="R3363" s="37" t="str">
        <f t="shared" si="264"/>
        <v>AVERAGE</v>
      </c>
      <c r="S3363" t="s">
        <v>609</v>
      </c>
    </row>
    <row r="3364" spans="1:19" x14ac:dyDescent="0.2">
      <c r="A3364" t="s">
        <v>3975</v>
      </c>
      <c r="B3364" t="s">
        <v>67</v>
      </c>
      <c r="C3364" t="s">
        <v>617</v>
      </c>
      <c r="D3364">
        <v>980.56</v>
      </c>
      <c r="E3364" s="37" t="str">
        <f t="shared" si="260"/>
        <v xml:space="preserve"> </v>
      </c>
      <c r="F3364">
        <v>0.18</v>
      </c>
      <c r="G3364" s="37" t="str">
        <f t="shared" si="261"/>
        <v>Normal Discount</v>
      </c>
      <c r="H3364" s="37" t="str">
        <f t="shared" si="262"/>
        <v>Low</v>
      </c>
      <c r="I3364">
        <v>1</v>
      </c>
      <c r="J3364" t="str" cm="1">
        <f t="array" ref="J3364">_xlfn.IFS(I3364&lt;=3,"small",I3364&lt;=6,"Medium",I3364&lt;=9,"Large")</f>
        <v>small</v>
      </c>
      <c r="K3364" s="36">
        <v>45177</v>
      </c>
      <c r="L3364" s="36">
        <v>45182</v>
      </c>
      <c r="M3364" t="s">
        <v>603</v>
      </c>
      <c r="N3364" t="s">
        <v>599</v>
      </c>
      <c r="O3364" s="37" t="str">
        <f t="shared" si="263"/>
        <v>Digital Payment</v>
      </c>
      <c r="P3364">
        <v>195.77</v>
      </c>
      <c r="Q3364" s="37" t="str">
        <f>IF(P3364&gt;500,"High","low")</f>
        <v>low</v>
      </c>
      <c r="R3364" s="37" t="str">
        <f t="shared" si="264"/>
        <v>AVERAGE</v>
      </c>
      <c r="S3364" t="s">
        <v>628</v>
      </c>
    </row>
    <row r="3365" spans="1:19" x14ac:dyDescent="0.2">
      <c r="A3365" t="s">
        <v>3976</v>
      </c>
      <c r="B3365" t="s">
        <v>83</v>
      </c>
      <c r="C3365" t="s">
        <v>607</v>
      </c>
      <c r="D3365">
        <v>2724.02</v>
      </c>
      <c r="E3365" s="37" t="str">
        <f t="shared" si="260"/>
        <v xml:space="preserve"> </v>
      </c>
      <c r="F3365">
        <v>0.21</v>
      </c>
      <c r="G3365" s="37" t="str">
        <f t="shared" si="261"/>
        <v>Normal Discount</v>
      </c>
      <c r="H3365" s="37" t="str">
        <f t="shared" si="262"/>
        <v>Medium</v>
      </c>
      <c r="I3365">
        <v>1</v>
      </c>
      <c r="J3365" t="str" cm="1">
        <f t="array" ref="J3365">_xlfn.IFS(I3365&lt;=3,"small",I3365&lt;=6,"Medium",I3365&lt;=9,"Large")</f>
        <v>small</v>
      </c>
      <c r="K3365" s="36">
        <v>44992</v>
      </c>
      <c r="L3365" s="36">
        <v>44996</v>
      </c>
      <c r="M3365" t="s">
        <v>598</v>
      </c>
      <c r="N3365" t="s">
        <v>604</v>
      </c>
      <c r="O3365" s="37" t="str">
        <f t="shared" si="263"/>
        <v>Digital Payment</v>
      </c>
      <c r="P3365">
        <v>687.96</v>
      </c>
      <c r="Q3365" s="37" t="str">
        <f>IF(P3365&gt;500,"High","low")</f>
        <v>High</v>
      </c>
      <c r="R3365" s="37" t="str">
        <f t="shared" si="264"/>
        <v>Good</v>
      </c>
      <c r="S3365" t="s">
        <v>620</v>
      </c>
    </row>
    <row r="3366" spans="1:19" x14ac:dyDescent="0.2">
      <c r="A3366" t="s">
        <v>3977</v>
      </c>
      <c r="B3366" t="s">
        <v>67</v>
      </c>
      <c r="C3366" t="s">
        <v>602</v>
      </c>
      <c r="D3366">
        <v>3763.69</v>
      </c>
      <c r="E3366" s="37" t="str">
        <f t="shared" si="260"/>
        <v xml:space="preserve"> </v>
      </c>
      <c r="F3366">
        <v>0.01</v>
      </c>
      <c r="G3366" s="37" t="str">
        <f t="shared" si="261"/>
        <v>Normal Discount</v>
      </c>
      <c r="H3366" s="37" t="str">
        <f t="shared" si="262"/>
        <v>Low</v>
      </c>
      <c r="I3366">
        <v>5</v>
      </c>
      <c r="J3366" t="str" cm="1">
        <f t="array" ref="J3366">_xlfn.IFS(I3366&lt;=3,"small",I3366&lt;=6,"Medium",I3366&lt;=9,"Large")</f>
        <v>Medium</v>
      </c>
      <c r="K3366" s="36">
        <v>45355</v>
      </c>
      <c r="L3366" s="36">
        <v>45356</v>
      </c>
      <c r="M3366" t="s">
        <v>612</v>
      </c>
      <c r="N3366" t="s">
        <v>599</v>
      </c>
      <c r="O3366" s="37" t="str">
        <f t="shared" si="263"/>
        <v>Digital Payment</v>
      </c>
      <c r="P3366">
        <v>192.78</v>
      </c>
      <c r="Q3366" s="37" t="str">
        <f>IF(P3366&gt;500,"High","low")</f>
        <v>low</v>
      </c>
      <c r="R3366" s="37" t="str">
        <f t="shared" si="264"/>
        <v>AVERAGE</v>
      </c>
      <c r="S3366" t="s">
        <v>620</v>
      </c>
    </row>
    <row r="3367" spans="1:19" x14ac:dyDescent="0.2">
      <c r="A3367" t="s">
        <v>3978</v>
      </c>
      <c r="B3367" t="s">
        <v>83</v>
      </c>
      <c r="C3367" t="s">
        <v>597</v>
      </c>
      <c r="D3367">
        <v>4489.97</v>
      </c>
      <c r="E3367" s="37" t="str">
        <f t="shared" si="260"/>
        <v xml:space="preserve"> </v>
      </c>
      <c r="F3367">
        <v>0.19</v>
      </c>
      <c r="G3367" s="37" t="str">
        <f t="shared" si="261"/>
        <v>Normal Discount</v>
      </c>
      <c r="H3367" s="37" t="str">
        <f t="shared" si="262"/>
        <v>Low</v>
      </c>
      <c r="I3367">
        <v>9</v>
      </c>
      <c r="J3367" t="str" cm="1">
        <f t="array" ref="J3367">_xlfn.IFS(I3367&lt;=3,"small",I3367&lt;=6,"Medium",I3367&lt;=9,"Large")</f>
        <v>Large</v>
      </c>
      <c r="K3367" s="36">
        <v>45279</v>
      </c>
      <c r="L3367" s="36">
        <v>45286</v>
      </c>
      <c r="M3367" t="s">
        <v>598</v>
      </c>
      <c r="N3367" t="s">
        <v>604</v>
      </c>
      <c r="O3367" s="37" t="str">
        <f t="shared" si="263"/>
        <v>Digital Payment</v>
      </c>
      <c r="P3367">
        <v>509.23</v>
      </c>
      <c r="Q3367" s="37" t="str">
        <f>IF(P3367&gt;500,"High","low")</f>
        <v>High</v>
      </c>
      <c r="R3367" s="37" t="str">
        <f t="shared" si="264"/>
        <v>Good</v>
      </c>
      <c r="S3367" t="s">
        <v>609</v>
      </c>
    </row>
    <row r="3368" spans="1:19" x14ac:dyDescent="0.2">
      <c r="A3368" t="s">
        <v>3979</v>
      </c>
      <c r="B3368" t="s">
        <v>75</v>
      </c>
      <c r="C3368" t="s">
        <v>607</v>
      </c>
      <c r="D3368">
        <v>4326.7299999999996</v>
      </c>
      <c r="E3368" s="37" t="str">
        <f t="shared" si="260"/>
        <v xml:space="preserve"> </v>
      </c>
      <c r="F3368">
        <v>0.38</v>
      </c>
      <c r="G3368" s="37" t="str">
        <f t="shared" si="261"/>
        <v>Heavy Discount</v>
      </c>
      <c r="H3368" s="37" t="str">
        <f t="shared" si="262"/>
        <v>Medium</v>
      </c>
      <c r="I3368">
        <v>2</v>
      </c>
      <c r="J3368" t="str" cm="1">
        <f t="array" ref="J3368">_xlfn.IFS(I3368&lt;=3,"small",I3368&lt;=6,"Medium",I3368&lt;=9,"Large")</f>
        <v>small</v>
      </c>
      <c r="K3368" s="36">
        <v>45309</v>
      </c>
      <c r="L3368" s="36">
        <v>45315</v>
      </c>
      <c r="M3368" t="s">
        <v>612</v>
      </c>
      <c r="N3368" t="s">
        <v>608</v>
      </c>
      <c r="O3368" s="37" t="str">
        <f t="shared" si="263"/>
        <v>Cash Payment</v>
      </c>
      <c r="P3368">
        <v>485.17</v>
      </c>
      <c r="Q3368" s="37" t="str">
        <f>IF(P3368&gt;500,"High","low")</f>
        <v>low</v>
      </c>
      <c r="R3368" s="37" t="str">
        <f t="shared" si="264"/>
        <v>AVERAGE</v>
      </c>
      <c r="S3368" t="s">
        <v>620</v>
      </c>
    </row>
    <row r="3369" spans="1:19" x14ac:dyDescent="0.2">
      <c r="A3369" t="s">
        <v>3980</v>
      </c>
      <c r="B3369" t="s">
        <v>83</v>
      </c>
      <c r="C3369" t="s">
        <v>602</v>
      </c>
      <c r="D3369">
        <v>857.83</v>
      </c>
      <c r="E3369" s="37" t="str">
        <f t="shared" si="260"/>
        <v xml:space="preserve"> </v>
      </c>
      <c r="F3369">
        <v>0.26</v>
      </c>
      <c r="G3369" s="37" t="str">
        <f t="shared" si="261"/>
        <v>Normal Discount</v>
      </c>
      <c r="H3369" s="37" t="str">
        <f t="shared" si="262"/>
        <v>Medium</v>
      </c>
      <c r="I3369">
        <v>6</v>
      </c>
      <c r="J3369" t="str" cm="1">
        <f t="array" ref="J3369">_xlfn.IFS(I3369&lt;=3,"small",I3369&lt;=6,"Medium",I3369&lt;=9,"Large")</f>
        <v>Medium</v>
      </c>
      <c r="K3369" s="36">
        <v>44953</v>
      </c>
      <c r="L3369" s="36">
        <v>44958</v>
      </c>
      <c r="M3369" t="s">
        <v>603</v>
      </c>
      <c r="N3369" t="s">
        <v>599</v>
      </c>
      <c r="O3369" s="37" t="str">
        <f t="shared" si="263"/>
        <v>Digital Payment</v>
      </c>
      <c r="P3369">
        <v>152.66999999999999</v>
      </c>
      <c r="Q3369" s="37" t="str">
        <f>IF(P3369&gt;500,"High","low")</f>
        <v>low</v>
      </c>
      <c r="R3369" s="37" t="str">
        <f t="shared" si="264"/>
        <v>AVERAGE</v>
      </c>
      <c r="S3369" t="s">
        <v>615</v>
      </c>
    </row>
    <row r="3370" spans="1:19" x14ac:dyDescent="0.2">
      <c r="A3370" t="s">
        <v>3981</v>
      </c>
      <c r="B3370" t="s">
        <v>75</v>
      </c>
      <c r="C3370" t="s">
        <v>614</v>
      </c>
      <c r="D3370">
        <v>2491.36</v>
      </c>
      <c r="E3370" s="37" t="str">
        <f t="shared" si="260"/>
        <v xml:space="preserve"> </v>
      </c>
      <c r="F3370">
        <v>0.33</v>
      </c>
      <c r="G3370" s="37" t="str">
        <f t="shared" si="261"/>
        <v>Heavy Discount</v>
      </c>
      <c r="H3370" s="37" t="str">
        <f t="shared" si="262"/>
        <v>Medium</v>
      </c>
      <c r="I3370">
        <v>5</v>
      </c>
      <c r="J3370" t="str" cm="1">
        <f t="array" ref="J3370">_xlfn.IFS(I3370&lt;=3,"small",I3370&lt;=6,"Medium",I3370&lt;=9,"Large")</f>
        <v>Medium</v>
      </c>
      <c r="K3370" s="36">
        <v>44993</v>
      </c>
      <c r="L3370" s="36">
        <v>44998</v>
      </c>
      <c r="M3370" t="s">
        <v>598</v>
      </c>
      <c r="N3370" t="s">
        <v>604</v>
      </c>
      <c r="O3370" s="37" t="str">
        <f t="shared" si="263"/>
        <v>Digital Payment</v>
      </c>
      <c r="P3370">
        <v>508.87</v>
      </c>
      <c r="Q3370" s="37" t="str">
        <f>IF(P3370&gt;500,"High","low")</f>
        <v>High</v>
      </c>
      <c r="R3370" s="37" t="str">
        <f t="shared" si="264"/>
        <v>Good</v>
      </c>
      <c r="S3370" t="s">
        <v>605</v>
      </c>
    </row>
    <row r="3371" spans="1:19" x14ac:dyDescent="0.2">
      <c r="A3371" t="s">
        <v>3982</v>
      </c>
      <c r="B3371" t="s">
        <v>75</v>
      </c>
      <c r="C3371" t="s">
        <v>597</v>
      </c>
      <c r="D3371">
        <v>2443.52</v>
      </c>
      <c r="E3371" s="37" t="str">
        <f t="shared" si="260"/>
        <v xml:space="preserve"> </v>
      </c>
      <c r="F3371">
        <v>0.28000000000000003</v>
      </c>
      <c r="G3371" s="37" t="str">
        <f t="shared" si="261"/>
        <v>Normal Discount</v>
      </c>
      <c r="H3371" s="37" t="str">
        <f t="shared" si="262"/>
        <v>Medium</v>
      </c>
      <c r="I3371">
        <v>7</v>
      </c>
      <c r="J3371" t="str" cm="1">
        <f t="array" ref="J3371">_xlfn.IFS(I3371&lt;=3,"small",I3371&lt;=6,"Medium",I3371&lt;=9,"Large")</f>
        <v>Large</v>
      </c>
      <c r="K3371" s="36">
        <v>45628</v>
      </c>
      <c r="L3371" s="36">
        <v>45633</v>
      </c>
      <c r="M3371" t="s">
        <v>603</v>
      </c>
      <c r="N3371" t="s">
        <v>608</v>
      </c>
      <c r="O3371" s="37" t="str">
        <f t="shared" si="263"/>
        <v>Cash Payment</v>
      </c>
      <c r="P3371">
        <v>453.7</v>
      </c>
      <c r="Q3371" s="37" t="str">
        <f>IF(P3371&gt;500,"High","low")</f>
        <v>low</v>
      </c>
      <c r="R3371" s="37" t="str">
        <f t="shared" si="264"/>
        <v>AVERAGE</v>
      </c>
      <c r="S3371" t="s">
        <v>609</v>
      </c>
    </row>
    <row r="3372" spans="1:19" x14ac:dyDescent="0.2">
      <c r="A3372" t="s">
        <v>3983</v>
      </c>
      <c r="B3372" t="s">
        <v>83</v>
      </c>
      <c r="C3372" t="s">
        <v>602</v>
      </c>
      <c r="D3372">
        <v>4503.8100000000004</v>
      </c>
      <c r="E3372" s="37" t="str">
        <f t="shared" si="260"/>
        <v xml:space="preserve"> </v>
      </c>
      <c r="F3372">
        <v>0.05</v>
      </c>
      <c r="G3372" s="37" t="str">
        <f t="shared" si="261"/>
        <v>Normal Discount</v>
      </c>
      <c r="H3372" s="37" t="str">
        <f t="shared" si="262"/>
        <v>Low</v>
      </c>
      <c r="I3372">
        <v>7</v>
      </c>
      <c r="J3372" t="str" cm="1">
        <f t="array" ref="J3372">_xlfn.IFS(I3372&lt;=3,"small",I3372&lt;=6,"Medium",I3372&lt;=9,"Large")</f>
        <v>Large</v>
      </c>
      <c r="K3372" s="36">
        <v>45426</v>
      </c>
      <c r="L3372" s="36">
        <v>45428</v>
      </c>
      <c r="M3372" t="s">
        <v>598</v>
      </c>
      <c r="N3372" t="s">
        <v>604</v>
      </c>
      <c r="O3372" s="37" t="str">
        <f t="shared" si="263"/>
        <v>Digital Payment</v>
      </c>
      <c r="P3372">
        <v>500.06</v>
      </c>
      <c r="Q3372" s="37" t="str">
        <f>IF(P3372&gt;500,"High","low")</f>
        <v>High</v>
      </c>
      <c r="R3372" s="37" t="str">
        <f t="shared" si="264"/>
        <v>Good</v>
      </c>
      <c r="S3372" t="s">
        <v>609</v>
      </c>
    </row>
    <row r="3373" spans="1:19" x14ac:dyDescent="0.2">
      <c r="A3373" t="s">
        <v>3984</v>
      </c>
      <c r="B3373" t="s">
        <v>75</v>
      </c>
      <c r="C3373" t="s">
        <v>614</v>
      </c>
      <c r="D3373">
        <v>109.49</v>
      </c>
      <c r="E3373" s="37" t="str">
        <f t="shared" si="260"/>
        <v xml:space="preserve"> </v>
      </c>
      <c r="F3373">
        <v>0.17</v>
      </c>
      <c r="G3373" s="37" t="str">
        <f t="shared" si="261"/>
        <v>Normal Discount</v>
      </c>
      <c r="H3373" s="37" t="str">
        <f t="shared" si="262"/>
        <v>Low</v>
      </c>
      <c r="I3373">
        <v>3</v>
      </c>
      <c r="J3373" t="str" cm="1">
        <f t="array" ref="J3373">_xlfn.IFS(I3373&lt;=3,"small",I3373&lt;=6,"Medium",I3373&lt;=9,"Large")</f>
        <v>small</v>
      </c>
      <c r="K3373" s="36">
        <v>45338</v>
      </c>
      <c r="L3373" s="36">
        <v>45344</v>
      </c>
      <c r="M3373" t="s">
        <v>603</v>
      </c>
      <c r="N3373" t="s">
        <v>608</v>
      </c>
      <c r="O3373" s="37" t="str">
        <f t="shared" si="263"/>
        <v>Cash Payment</v>
      </c>
      <c r="P3373">
        <v>29.31</v>
      </c>
      <c r="Q3373" s="37" t="str">
        <f>IF(P3373&gt;500,"High","low")</f>
        <v>low</v>
      </c>
      <c r="R3373" s="37" t="str">
        <f t="shared" si="264"/>
        <v>AVERAGE</v>
      </c>
      <c r="S3373" t="s">
        <v>600</v>
      </c>
    </row>
    <row r="3374" spans="1:19" x14ac:dyDescent="0.2">
      <c r="A3374" t="s">
        <v>3985</v>
      </c>
      <c r="B3374" t="s">
        <v>67</v>
      </c>
      <c r="C3374" t="s">
        <v>597</v>
      </c>
      <c r="D3374">
        <v>3719.7</v>
      </c>
      <c r="E3374" s="37" t="str">
        <f t="shared" si="260"/>
        <v xml:space="preserve"> </v>
      </c>
      <c r="F3374">
        <v>0.35</v>
      </c>
      <c r="G3374" s="37" t="str">
        <f t="shared" si="261"/>
        <v>Heavy Discount</v>
      </c>
      <c r="H3374" s="37" t="str">
        <f t="shared" si="262"/>
        <v>Medium</v>
      </c>
      <c r="I3374">
        <v>6</v>
      </c>
      <c r="J3374" t="str" cm="1">
        <f t="array" ref="J3374">_xlfn.IFS(I3374&lt;=3,"small",I3374&lt;=6,"Medium",I3374&lt;=9,"Large")</f>
        <v>Medium</v>
      </c>
      <c r="K3374" s="36">
        <v>45556</v>
      </c>
      <c r="L3374" s="36">
        <v>45559</v>
      </c>
      <c r="M3374" t="s">
        <v>598</v>
      </c>
      <c r="N3374" t="s">
        <v>599</v>
      </c>
      <c r="O3374" s="37" t="str">
        <f t="shared" si="263"/>
        <v>Digital Payment</v>
      </c>
      <c r="P3374">
        <v>906.06</v>
      </c>
      <c r="Q3374" s="37" t="str">
        <f>IF(P3374&gt;500,"High","low")</f>
        <v>High</v>
      </c>
      <c r="R3374" s="37" t="str">
        <f t="shared" si="264"/>
        <v>Good</v>
      </c>
      <c r="S3374" t="s">
        <v>615</v>
      </c>
    </row>
    <row r="3375" spans="1:19" x14ac:dyDescent="0.2">
      <c r="A3375" t="s">
        <v>3986</v>
      </c>
      <c r="B3375" t="s">
        <v>90</v>
      </c>
      <c r="C3375" t="s">
        <v>617</v>
      </c>
      <c r="D3375">
        <v>3131.34</v>
      </c>
      <c r="E3375" s="37" t="str">
        <f t="shared" si="260"/>
        <v xml:space="preserve"> </v>
      </c>
      <c r="F3375">
        <v>0.27</v>
      </c>
      <c r="G3375" s="37" t="str">
        <f t="shared" si="261"/>
        <v>Normal Discount</v>
      </c>
      <c r="H3375" s="37" t="str">
        <f t="shared" si="262"/>
        <v>Medium</v>
      </c>
      <c r="I3375">
        <v>3</v>
      </c>
      <c r="J3375" t="str" cm="1">
        <f t="array" ref="J3375">_xlfn.IFS(I3375&lt;=3,"small",I3375&lt;=6,"Medium",I3375&lt;=9,"Large")</f>
        <v>small</v>
      </c>
      <c r="K3375" s="36">
        <v>45607</v>
      </c>
      <c r="L3375" s="36">
        <v>45609</v>
      </c>
      <c r="M3375" t="s">
        <v>598</v>
      </c>
      <c r="N3375" t="s">
        <v>608</v>
      </c>
      <c r="O3375" s="37" t="str">
        <f t="shared" si="263"/>
        <v>Cash Payment</v>
      </c>
      <c r="P3375">
        <v>654.29</v>
      </c>
      <c r="Q3375" s="37" t="str">
        <f>IF(P3375&gt;500,"High","low")</f>
        <v>High</v>
      </c>
      <c r="R3375" s="37" t="str">
        <f t="shared" si="264"/>
        <v>Good</v>
      </c>
      <c r="S3375" t="s">
        <v>600</v>
      </c>
    </row>
    <row r="3376" spans="1:19" x14ac:dyDescent="0.2">
      <c r="A3376" t="s">
        <v>3987</v>
      </c>
      <c r="B3376" t="s">
        <v>83</v>
      </c>
      <c r="C3376" t="s">
        <v>597</v>
      </c>
      <c r="D3376">
        <v>4615.7</v>
      </c>
      <c r="E3376" s="37" t="str">
        <f t="shared" si="260"/>
        <v xml:space="preserve"> </v>
      </c>
      <c r="F3376">
        <v>0.34</v>
      </c>
      <c r="G3376" s="37" t="str">
        <f t="shared" si="261"/>
        <v>Heavy Discount</v>
      </c>
      <c r="H3376" s="37" t="str">
        <f t="shared" si="262"/>
        <v>Medium</v>
      </c>
      <c r="I3376">
        <v>2</v>
      </c>
      <c r="J3376" t="str" cm="1">
        <f t="array" ref="J3376">_xlfn.IFS(I3376&lt;=3,"small",I3376&lt;=6,"Medium",I3376&lt;=9,"Large")</f>
        <v>small</v>
      </c>
      <c r="K3376" s="36">
        <v>45296</v>
      </c>
      <c r="L3376" s="36">
        <v>45300</v>
      </c>
      <c r="M3376" t="s">
        <v>612</v>
      </c>
      <c r="N3376" t="s">
        <v>604</v>
      </c>
      <c r="O3376" s="37" t="str">
        <f t="shared" si="263"/>
        <v>Digital Payment</v>
      </c>
      <c r="P3376">
        <v>660.11</v>
      </c>
      <c r="Q3376" s="37" t="str">
        <f>IF(P3376&gt;500,"High","low")</f>
        <v>High</v>
      </c>
      <c r="R3376" s="37" t="str">
        <f t="shared" si="264"/>
        <v>Good</v>
      </c>
      <c r="S3376" t="s">
        <v>605</v>
      </c>
    </row>
    <row r="3377" spans="1:19" x14ac:dyDescent="0.2">
      <c r="A3377" t="s">
        <v>3988</v>
      </c>
      <c r="B3377" t="s">
        <v>75</v>
      </c>
      <c r="C3377" t="s">
        <v>617</v>
      </c>
      <c r="D3377">
        <v>2338.9</v>
      </c>
      <c r="E3377" s="37" t="str">
        <f t="shared" si="260"/>
        <v xml:space="preserve"> </v>
      </c>
      <c r="F3377">
        <v>0.18</v>
      </c>
      <c r="G3377" s="37" t="str">
        <f t="shared" si="261"/>
        <v>Normal Discount</v>
      </c>
      <c r="H3377" s="37" t="str">
        <f t="shared" si="262"/>
        <v>Low</v>
      </c>
      <c r="I3377">
        <v>5</v>
      </c>
      <c r="J3377" t="str" cm="1">
        <f t="array" ref="J3377">_xlfn.IFS(I3377&lt;=3,"small",I3377&lt;=6,"Medium",I3377&lt;=9,"Large")</f>
        <v>Medium</v>
      </c>
      <c r="K3377" s="36">
        <v>45525</v>
      </c>
      <c r="L3377" s="36">
        <v>45530</v>
      </c>
      <c r="M3377" t="s">
        <v>598</v>
      </c>
      <c r="N3377" t="s">
        <v>604</v>
      </c>
      <c r="O3377" s="37" t="str">
        <f t="shared" si="263"/>
        <v>Digital Payment</v>
      </c>
      <c r="P3377">
        <v>308.79000000000002</v>
      </c>
      <c r="Q3377" s="37" t="str">
        <f>IF(P3377&gt;500,"High","low")</f>
        <v>low</v>
      </c>
      <c r="R3377" s="37" t="str">
        <f t="shared" si="264"/>
        <v>AVERAGE</v>
      </c>
      <c r="S3377" t="s">
        <v>605</v>
      </c>
    </row>
    <row r="3378" spans="1:19" x14ac:dyDescent="0.2">
      <c r="A3378" t="s">
        <v>3989</v>
      </c>
      <c r="B3378" t="s">
        <v>83</v>
      </c>
      <c r="C3378" t="s">
        <v>617</v>
      </c>
      <c r="D3378">
        <v>3322.59</v>
      </c>
      <c r="E3378" s="37" t="str">
        <f t="shared" si="260"/>
        <v xml:space="preserve"> </v>
      </c>
      <c r="F3378">
        <v>0.1</v>
      </c>
      <c r="G3378" s="37" t="str">
        <f t="shared" si="261"/>
        <v>Normal Discount</v>
      </c>
      <c r="H3378" s="37" t="str">
        <f t="shared" si="262"/>
        <v>Low</v>
      </c>
      <c r="I3378">
        <v>4</v>
      </c>
      <c r="J3378" t="str" cm="1">
        <f t="array" ref="J3378">_xlfn.IFS(I3378&lt;=3,"small",I3378&lt;=6,"Medium",I3378&lt;=9,"Large")</f>
        <v>Medium</v>
      </c>
      <c r="K3378" s="36">
        <v>45535</v>
      </c>
      <c r="L3378" s="36">
        <v>45537</v>
      </c>
      <c r="M3378" t="s">
        <v>603</v>
      </c>
      <c r="N3378" t="s">
        <v>604</v>
      </c>
      <c r="O3378" s="37" t="str">
        <f t="shared" si="263"/>
        <v>Digital Payment</v>
      </c>
      <c r="P3378">
        <v>782.41</v>
      </c>
      <c r="Q3378" s="37" t="str">
        <f>IF(P3378&gt;500,"High","low")</f>
        <v>High</v>
      </c>
      <c r="R3378" s="37" t="str">
        <f t="shared" si="264"/>
        <v>Good</v>
      </c>
      <c r="S3378" t="s">
        <v>605</v>
      </c>
    </row>
    <row r="3379" spans="1:19" x14ac:dyDescent="0.2">
      <c r="A3379" t="s">
        <v>3990</v>
      </c>
      <c r="B3379" t="s">
        <v>67</v>
      </c>
      <c r="C3379" t="s">
        <v>617</v>
      </c>
      <c r="D3379">
        <v>4866.46</v>
      </c>
      <c r="E3379" s="37" t="str">
        <f t="shared" si="260"/>
        <v xml:space="preserve"> </v>
      </c>
      <c r="F3379">
        <v>0.41</v>
      </c>
      <c r="G3379" s="37" t="str">
        <f t="shared" si="261"/>
        <v>Heavy Discount</v>
      </c>
      <c r="H3379" s="37" t="str">
        <f t="shared" si="262"/>
        <v>High</v>
      </c>
      <c r="I3379">
        <v>4</v>
      </c>
      <c r="J3379" t="str" cm="1">
        <f t="array" ref="J3379">_xlfn.IFS(I3379&lt;=3,"small",I3379&lt;=6,"Medium",I3379&lt;=9,"Large")</f>
        <v>Medium</v>
      </c>
      <c r="K3379" s="36">
        <v>45362</v>
      </c>
      <c r="L3379" s="36">
        <v>45363</v>
      </c>
      <c r="M3379" t="s">
        <v>603</v>
      </c>
      <c r="N3379" t="s">
        <v>599</v>
      </c>
      <c r="O3379" s="37" t="str">
        <f t="shared" si="263"/>
        <v>Digital Payment</v>
      </c>
      <c r="P3379">
        <v>393.02</v>
      </c>
      <c r="Q3379" s="37" t="str">
        <f>IF(P3379&gt;500,"High","low")</f>
        <v>low</v>
      </c>
      <c r="R3379" s="37" t="str">
        <f t="shared" si="264"/>
        <v>AVERAGE</v>
      </c>
      <c r="S3379" t="s">
        <v>609</v>
      </c>
    </row>
    <row r="3380" spans="1:19" x14ac:dyDescent="0.2">
      <c r="A3380" t="s">
        <v>3991</v>
      </c>
      <c r="B3380" t="s">
        <v>83</v>
      </c>
      <c r="C3380" t="s">
        <v>607</v>
      </c>
      <c r="D3380">
        <v>3745.13</v>
      </c>
      <c r="E3380" s="37" t="str">
        <f t="shared" si="260"/>
        <v xml:space="preserve"> </v>
      </c>
      <c r="F3380">
        <v>0.19</v>
      </c>
      <c r="G3380" s="37" t="str">
        <f t="shared" si="261"/>
        <v>Normal Discount</v>
      </c>
      <c r="H3380" s="37" t="str">
        <f t="shared" si="262"/>
        <v>Low</v>
      </c>
      <c r="I3380">
        <v>4</v>
      </c>
      <c r="J3380" t="str" cm="1">
        <f t="array" ref="J3380">_xlfn.IFS(I3380&lt;=3,"small",I3380&lt;=6,"Medium",I3380&lt;=9,"Large")</f>
        <v>Medium</v>
      </c>
      <c r="K3380" s="36">
        <v>44987</v>
      </c>
      <c r="L3380" s="36">
        <v>44994</v>
      </c>
      <c r="M3380" t="s">
        <v>603</v>
      </c>
      <c r="N3380" t="s">
        <v>604</v>
      </c>
      <c r="O3380" s="37" t="str">
        <f t="shared" si="263"/>
        <v>Digital Payment</v>
      </c>
      <c r="P3380">
        <v>218.95</v>
      </c>
      <c r="Q3380" s="37" t="str">
        <f>IF(P3380&gt;500,"High","low")</f>
        <v>low</v>
      </c>
      <c r="R3380" s="37" t="str">
        <f t="shared" si="264"/>
        <v>AVERAGE</v>
      </c>
      <c r="S3380" t="s">
        <v>615</v>
      </c>
    </row>
    <row r="3381" spans="1:19" x14ac:dyDescent="0.2">
      <c r="A3381" t="s">
        <v>3992</v>
      </c>
      <c r="B3381" t="s">
        <v>83</v>
      </c>
      <c r="C3381" t="s">
        <v>607</v>
      </c>
      <c r="D3381">
        <v>430.18</v>
      </c>
      <c r="E3381" s="37" t="str">
        <f t="shared" si="260"/>
        <v xml:space="preserve"> </v>
      </c>
      <c r="F3381">
        <v>0.33</v>
      </c>
      <c r="G3381" s="37" t="str">
        <f t="shared" si="261"/>
        <v>Heavy Discount</v>
      </c>
      <c r="H3381" s="37" t="str">
        <f t="shared" si="262"/>
        <v>Medium</v>
      </c>
      <c r="I3381">
        <v>8</v>
      </c>
      <c r="J3381" t="str" cm="1">
        <f t="array" ref="J3381">_xlfn.IFS(I3381&lt;=3,"small",I3381&lt;=6,"Medium",I3381&lt;=9,"Large")</f>
        <v>Large</v>
      </c>
      <c r="K3381" s="36">
        <v>44976</v>
      </c>
      <c r="L3381" s="36">
        <v>44983</v>
      </c>
      <c r="M3381" t="s">
        <v>612</v>
      </c>
      <c r="N3381" t="s">
        <v>608</v>
      </c>
      <c r="O3381" s="37" t="str">
        <f t="shared" si="263"/>
        <v>Cash Payment</v>
      </c>
      <c r="P3381">
        <v>125.6</v>
      </c>
      <c r="Q3381" s="37" t="str">
        <f>IF(P3381&gt;500,"High","low")</f>
        <v>low</v>
      </c>
      <c r="R3381" s="37" t="str">
        <f t="shared" si="264"/>
        <v>AVERAGE</v>
      </c>
      <c r="S3381" t="s">
        <v>609</v>
      </c>
    </row>
    <row r="3382" spans="1:19" x14ac:dyDescent="0.2">
      <c r="A3382" t="s">
        <v>3993</v>
      </c>
      <c r="B3382" t="s">
        <v>75</v>
      </c>
      <c r="C3382" t="s">
        <v>617</v>
      </c>
      <c r="D3382">
        <v>920.91</v>
      </c>
      <c r="E3382" s="37" t="str">
        <f t="shared" si="260"/>
        <v xml:space="preserve"> </v>
      </c>
      <c r="F3382">
        <v>0.19</v>
      </c>
      <c r="G3382" s="37" t="str">
        <f t="shared" si="261"/>
        <v>Normal Discount</v>
      </c>
      <c r="H3382" s="37" t="str">
        <f t="shared" si="262"/>
        <v>Low</v>
      </c>
      <c r="I3382">
        <v>1</v>
      </c>
      <c r="J3382" t="str" cm="1">
        <f t="array" ref="J3382">_xlfn.IFS(I3382&lt;=3,"small",I3382&lt;=6,"Medium",I3382&lt;=9,"Large")</f>
        <v>small</v>
      </c>
      <c r="K3382" s="36">
        <v>45451</v>
      </c>
      <c r="L3382" s="36">
        <v>45454</v>
      </c>
      <c r="M3382" t="s">
        <v>603</v>
      </c>
      <c r="N3382" t="s">
        <v>604</v>
      </c>
      <c r="O3382" s="37" t="str">
        <f t="shared" si="263"/>
        <v>Digital Payment</v>
      </c>
      <c r="P3382">
        <v>264.62</v>
      </c>
      <c r="Q3382" s="37" t="str">
        <f>IF(P3382&gt;500,"High","low")</f>
        <v>low</v>
      </c>
      <c r="R3382" s="37" t="str">
        <f t="shared" si="264"/>
        <v>AVERAGE</v>
      </c>
      <c r="S3382" t="s">
        <v>605</v>
      </c>
    </row>
    <row r="3383" spans="1:19" x14ac:dyDescent="0.2">
      <c r="A3383" t="s">
        <v>3994</v>
      </c>
      <c r="B3383" t="s">
        <v>67</v>
      </c>
      <c r="C3383" t="s">
        <v>614</v>
      </c>
      <c r="D3383">
        <v>4125.1099999999997</v>
      </c>
      <c r="E3383" s="37" t="str">
        <f t="shared" si="260"/>
        <v>Excellent Order</v>
      </c>
      <c r="F3383">
        <v>0.46</v>
      </c>
      <c r="G3383" s="37" t="str">
        <f t="shared" si="261"/>
        <v>Heavy Discount</v>
      </c>
      <c r="H3383" s="37" t="str">
        <f t="shared" si="262"/>
        <v>High</v>
      </c>
      <c r="I3383">
        <v>3</v>
      </c>
      <c r="J3383" t="str" cm="1">
        <f t="array" ref="J3383">_xlfn.IFS(I3383&lt;=3,"small",I3383&lt;=6,"Medium",I3383&lt;=9,"Large")</f>
        <v>small</v>
      </c>
      <c r="K3383" s="36">
        <v>45122</v>
      </c>
      <c r="L3383" s="36">
        <v>45129</v>
      </c>
      <c r="M3383" t="s">
        <v>612</v>
      </c>
      <c r="N3383" t="s">
        <v>604</v>
      </c>
      <c r="O3383" s="37" t="str">
        <f t="shared" si="263"/>
        <v>Digital Payment</v>
      </c>
      <c r="P3383">
        <v>1178.52</v>
      </c>
      <c r="Q3383" s="37" t="str">
        <f>IF(P3383&gt;500,"High","low")</f>
        <v>High</v>
      </c>
      <c r="R3383" s="37" t="str">
        <f t="shared" si="264"/>
        <v>Excellent</v>
      </c>
      <c r="S3383" t="s">
        <v>628</v>
      </c>
    </row>
    <row r="3384" spans="1:19" x14ac:dyDescent="0.2">
      <c r="A3384" t="s">
        <v>3995</v>
      </c>
      <c r="B3384" t="s">
        <v>90</v>
      </c>
      <c r="C3384" t="s">
        <v>617</v>
      </c>
      <c r="D3384">
        <v>1740.5</v>
      </c>
      <c r="E3384" s="37" t="str">
        <f t="shared" si="260"/>
        <v xml:space="preserve"> </v>
      </c>
      <c r="F3384">
        <v>0.5</v>
      </c>
      <c r="G3384" s="37" t="str">
        <f t="shared" si="261"/>
        <v>Heavy Discount</v>
      </c>
      <c r="H3384" s="37" t="str">
        <f t="shared" si="262"/>
        <v>High</v>
      </c>
      <c r="I3384">
        <v>9</v>
      </c>
      <c r="J3384" t="str" cm="1">
        <f t="array" ref="J3384">_xlfn.IFS(I3384&lt;=3,"small",I3384&lt;=6,"Medium",I3384&lt;=9,"Large")</f>
        <v>Large</v>
      </c>
      <c r="K3384" s="36">
        <v>45296</v>
      </c>
      <c r="L3384" s="36">
        <v>45301</v>
      </c>
      <c r="M3384" t="s">
        <v>603</v>
      </c>
      <c r="N3384" t="s">
        <v>608</v>
      </c>
      <c r="O3384" s="37" t="str">
        <f t="shared" si="263"/>
        <v>Cash Payment</v>
      </c>
      <c r="P3384">
        <v>325.27</v>
      </c>
      <c r="Q3384" s="37" t="str">
        <f>IF(P3384&gt;500,"High","low")</f>
        <v>low</v>
      </c>
      <c r="R3384" s="37" t="str">
        <f t="shared" si="264"/>
        <v>AVERAGE</v>
      </c>
      <c r="S3384" t="s">
        <v>620</v>
      </c>
    </row>
    <row r="3385" spans="1:19" x14ac:dyDescent="0.2">
      <c r="A3385" t="s">
        <v>3996</v>
      </c>
      <c r="B3385" t="s">
        <v>90</v>
      </c>
      <c r="C3385" t="s">
        <v>602</v>
      </c>
      <c r="D3385">
        <v>3559</v>
      </c>
      <c r="E3385" s="37" t="str">
        <f t="shared" si="260"/>
        <v xml:space="preserve"> </v>
      </c>
      <c r="F3385">
        <v>0.32</v>
      </c>
      <c r="G3385" s="37" t="str">
        <f t="shared" si="261"/>
        <v>Heavy Discount</v>
      </c>
      <c r="H3385" s="37" t="str">
        <f t="shared" si="262"/>
        <v>Medium</v>
      </c>
      <c r="I3385">
        <v>3</v>
      </c>
      <c r="J3385" t="str" cm="1">
        <f t="array" ref="J3385">_xlfn.IFS(I3385&lt;=3,"small",I3385&lt;=6,"Medium",I3385&lt;=9,"Large")</f>
        <v>small</v>
      </c>
      <c r="K3385" s="36">
        <v>45201</v>
      </c>
      <c r="L3385" s="36">
        <v>45203</v>
      </c>
      <c r="M3385" t="s">
        <v>612</v>
      </c>
      <c r="N3385" t="s">
        <v>604</v>
      </c>
      <c r="O3385" s="37" t="str">
        <f t="shared" si="263"/>
        <v>Digital Payment</v>
      </c>
      <c r="P3385">
        <v>264.02999999999997</v>
      </c>
      <c r="Q3385" s="37" t="str">
        <f>IF(P3385&gt;500,"High","low")</f>
        <v>low</v>
      </c>
      <c r="R3385" s="37" t="str">
        <f t="shared" si="264"/>
        <v>AVERAGE</v>
      </c>
      <c r="S3385" t="s">
        <v>600</v>
      </c>
    </row>
    <row r="3386" spans="1:19" x14ac:dyDescent="0.2">
      <c r="A3386" t="s">
        <v>3997</v>
      </c>
      <c r="B3386" t="s">
        <v>75</v>
      </c>
      <c r="C3386" t="s">
        <v>617</v>
      </c>
      <c r="D3386">
        <v>3529.14</v>
      </c>
      <c r="E3386" s="37" t="str">
        <f t="shared" si="260"/>
        <v xml:space="preserve"> </v>
      </c>
      <c r="F3386">
        <v>0.3</v>
      </c>
      <c r="G3386" s="37" t="str">
        <f t="shared" si="261"/>
        <v>Normal Discount</v>
      </c>
      <c r="H3386" s="37" t="str">
        <f t="shared" si="262"/>
        <v>Medium</v>
      </c>
      <c r="I3386">
        <v>1</v>
      </c>
      <c r="J3386" t="str" cm="1">
        <f t="array" ref="J3386">_xlfn.IFS(I3386&lt;=3,"small",I3386&lt;=6,"Medium",I3386&lt;=9,"Large")</f>
        <v>small</v>
      </c>
      <c r="K3386" s="36">
        <v>45142</v>
      </c>
      <c r="L3386" s="36">
        <v>45143</v>
      </c>
      <c r="M3386" t="s">
        <v>603</v>
      </c>
      <c r="N3386" t="s">
        <v>604</v>
      </c>
      <c r="O3386" s="37" t="str">
        <f t="shared" si="263"/>
        <v>Digital Payment</v>
      </c>
      <c r="P3386">
        <v>617.77</v>
      </c>
      <c r="Q3386" s="37" t="str">
        <f>IF(P3386&gt;500,"High","low")</f>
        <v>High</v>
      </c>
      <c r="R3386" s="37" t="str">
        <f t="shared" si="264"/>
        <v>Good</v>
      </c>
      <c r="S3386" t="s">
        <v>628</v>
      </c>
    </row>
    <row r="3387" spans="1:19" x14ac:dyDescent="0.2">
      <c r="A3387" t="s">
        <v>3998</v>
      </c>
      <c r="B3387" t="s">
        <v>83</v>
      </c>
      <c r="C3387" t="s">
        <v>607</v>
      </c>
      <c r="D3387">
        <v>4969.13</v>
      </c>
      <c r="E3387" s="37" t="str">
        <f t="shared" si="260"/>
        <v xml:space="preserve"> </v>
      </c>
      <c r="F3387">
        <v>0.42</v>
      </c>
      <c r="G3387" s="37" t="str">
        <f t="shared" si="261"/>
        <v>Heavy Discount</v>
      </c>
      <c r="H3387" s="37" t="str">
        <f t="shared" si="262"/>
        <v>High</v>
      </c>
      <c r="I3387">
        <v>5</v>
      </c>
      <c r="J3387" t="str" cm="1">
        <f t="array" ref="J3387">_xlfn.IFS(I3387&lt;=3,"small",I3387&lt;=6,"Medium",I3387&lt;=9,"Large")</f>
        <v>Medium</v>
      </c>
      <c r="K3387" s="36">
        <v>45218</v>
      </c>
      <c r="L3387" s="36">
        <v>45225</v>
      </c>
      <c r="M3387" t="s">
        <v>612</v>
      </c>
      <c r="N3387" t="s">
        <v>608</v>
      </c>
      <c r="O3387" s="37" t="str">
        <f t="shared" si="263"/>
        <v>Cash Payment</v>
      </c>
      <c r="P3387">
        <v>695.75</v>
      </c>
      <c r="Q3387" s="37" t="str">
        <f>IF(P3387&gt;500,"High","low")</f>
        <v>High</v>
      </c>
      <c r="R3387" s="37" t="str">
        <f t="shared" si="264"/>
        <v>Good</v>
      </c>
      <c r="S3387" t="s">
        <v>615</v>
      </c>
    </row>
    <row r="3388" spans="1:19" x14ac:dyDescent="0.2">
      <c r="A3388" t="s">
        <v>3999</v>
      </c>
      <c r="B3388" t="s">
        <v>75</v>
      </c>
      <c r="C3388" t="s">
        <v>607</v>
      </c>
      <c r="D3388">
        <v>2402.38</v>
      </c>
      <c r="E3388" s="37" t="str">
        <f t="shared" si="260"/>
        <v xml:space="preserve"> </v>
      </c>
      <c r="F3388">
        <v>0.26</v>
      </c>
      <c r="G3388" s="37" t="str">
        <f t="shared" si="261"/>
        <v>Normal Discount</v>
      </c>
      <c r="H3388" s="37" t="str">
        <f t="shared" si="262"/>
        <v>Medium</v>
      </c>
      <c r="I3388">
        <v>4</v>
      </c>
      <c r="J3388" t="str" cm="1">
        <f t="array" ref="J3388">_xlfn.IFS(I3388&lt;=3,"small",I3388&lt;=6,"Medium",I3388&lt;=9,"Large")</f>
        <v>Medium</v>
      </c>
      <c r="K3388" s="36">
        <v>45252</v>
      </c>
      <c r="L3388" s="36">
        <v>45253</v>
      </c>
      <c r="M3388" t="s">
        <v>598</v>
      </c>
      <c r="N3388" t="s">
        <v>599</v>
      </c>
      <c r="O3388" s="37" t="str">
        <f t="shared" si="263"/>
        <v>Digital Payment</v>
      </c>
      <c r="P3388">
        <v>467.97</v>
      </c>
      <c r="Q3388" s="37" t="str">
        <f>IF(P3388&gt;500,"High","low")</f>
        <v>low</v>
      </c>
      <c r="R3388" s="37" t="str">
        <f t="shared" si="264"/>
        <v>AVERAGE</v>
      </c>
      <c r="S3388" t="s">
        <v>609</v>
      </c>
    </row>
    <row r="3389" spans="1:19" x14ac:dyDescent="0.2">
      <c r="A3389" t="s">
        <v>4000</v>
      </c>
      <c r="B3389" t="s">
        <v>75</v>
      </c>
      <c r="C3389" t="s">
        <v>602</v>
      </c>
      <c r="D3389">
        <v>3715.38</v>
      </c>
      <c r="E3389" s="37" t="str">
        <f t="shared" si="260"/>
        <v xml:space="preserve"> </v>
      </c>
      <c r="F3389">
        <v>0.43</v>
      </c>
      <c r="G3389" s="37" t="str">
        <f t="shared" si="261"/>
        <v>Heavy Discount</v>
      </c>
      <c r="H3389" s="37" t="str">
        <f t="shared" si="262"/>
        <v>High</v>
      </c>
      <c r="I3389">
        <v>8</v>
      </c>
      <c r="J3389" t="str" cm="1">
        <f t="array" ref="J3389">_xlfn.IFS(I3389&lt;=3,"small",I3389&lt;=6,"Medium",I3389&lt;=9,"Large")</f>
        <v>Large</v>
      </c>
      <c r="K3389" s="36">
        <v>45451</v>
      </c>
      <c r="L3389" s="36">
        <v>45458</v>
      </c>
      <c r="M3389" t="s">
        <v>603</v>
      </c>
      <c r="N3389" t="s">
        <v>599</v>
      </c>
      <c r="O3389" s="37" t="str">
        <f t="shared" si="263"/>
        <v>Digital Payment</v>
      </c>
      <c r="P3389">
        <v>1021.44</v>
      </c>
      <c r="Q3389" s="37" t="str">
        <f>IF(P3389&gt;500,"High","low")</f>
        <v>High</v>
      </c>
      <c r="R3389" s="37" t="str">
        <f t="shared" si="264"/>
        <v>Excellent</v>
      </c>
      <c r="S3389" t="s">
        <v>620</v>
      </c>
    </row>
    <row r="3390" spans="1:19" x14ac:dyDescent="0.2">
      <c r="A3390" t="s">
        <v>4001</v>
      </c>
      <c r="B3390" t="s">
        <v>75</v>
      </c>
      <c r="C3390" t="s">
        <v>602</v>
      </c>
      <c r="D3390">
        <v>338.89</v>
      </c>
      <c r="E3390" s="37" t="str">
        <f t="shared" si="260"/>
        <v xml:space="preserve"> </v>
      </c>
      <c r="F3390">
        <v>0.21</v>
      </c>
      <c r="G3390" s="37" t="str">
        <f t="shared" si="261"/>
        <v>Normal Discount</v>
      </c>
      <c r="H3390" s="37" t="str">
        <f t="shared" si="262"/>
        <v>Medium</v>
      </c>
      <c r="I3390">
        <v>9</v>
      </c>
      <c r="J3390" t="str" cm="1">
        <f t="array" ref="J3390">_xlfn.IFS(I3390&lt;=3,"small",I3390&lt;=6,"Medium",I3390&lt;=9,"Large")</f>
        <v>Large</v>
      </c>
      <c r="K3390" s="36">
        <v>45462</v>
      </c>
      <c r="L3390" s="36">
        <v>45464</v>
      </c>
      <c r="M3390" t="s">
        <v>612</v>
      </c>
      <c r="N3390" t="s">
        <v>608</v>
      </c>
      <c r="O3390" s="37" t="str">
        <f t="shared" si="263"/>
        <v>Cash Payment</v>
      </c>
      <c r="P3390">
        <v>56.52</v>
      </c>
      <c r="Q3390" s="37" t="str">
        <f>IF(P3390&gt;500,"High","low")</f>
        <v>low</v>
      </c>
      <c r="R3390" s="37" t="str">
        <f t="shared" si="264"/>
        <v>AVERAGE</v>
      </c>
      <c r="S3390" t="s">
        <v>615</v>
      </c>
    </row>
    <row r="3391" spans="1:19" x14ac:dyDescent="0.2">
      <c r="A3391" t="s">
        <v>4002</v>
      </c>
      <c r="B3391" t="s">
        <v>83</v>
      </c>
      <c r="C3391" t="s">
        <v>597</v>
      </c>
      <c r="D3391">
        <v>2366.6999999999998</v>
      </c>
      <c r="E3391" s="37" t="str">
        <f t="shared" si="260"/>
        <v xml:space="preserve"> </v>
      </c>
      <c r="F3391">
        <v>0.02</v>
      </c>
      <c r="G3391" s="37" t="str">
        <f t="shared" si="261"/>
        <v>Normal Discount</v>
      </c>
      <c r="H3391" s="37" t="str">
        <f t="shared" si="262"/>
        <v>Low</v>
      </c>
      <c r="I3391">
        <v>5</v>
      </c>
      <c r="J3391" t="str" cm="1">
        <f t="array" ref="J3391">_xlfn.IFS(I3391&lt;=3,"small",I3391&lt;=6,"Medium",I3391&lt;=9,"Large")</f>
        <v>Medium</v>
      </c>
      <c r="K3391" s="36">
        <v>45100</v>
      </c>
      <c r="L3391" s="36">
        <v>45102</v>
      </c>
      <c r="M3391" t="s">
        <v>612</v>
      </c>
      <c r="N3391" t="s">
        <v>599</v>
      </c>
      <c r="O3391" s="37" t="str">
        <f t="shared" si="263"/>
        <v>Digital Payment</v>
      </c>
      <c r="P3391">
        <v>601.86</v>
      </c>
      <c r="Q3391" s="37" t="str">
        <f>IF(P3391&gt;500,"High","low")</f>
        <v>High</v>
      </c>
      <c r="R3391" s="37" t="str">
        <f t="shared" si="264"/>
        <v>Good</v>
      </c>
      <c r="S3391" t="s">
        <v>615</v>
      </c>
    </row>
    <row r="3392" spans="1:19" x14ac:dyDescent="0.2">
      <c r="A3392" t="s">
        <v>4003</v>
      </c>
      <c r="B3392" t="s">
        <v>67</v>
      </c>
      <c r="C3392" t="s">
        <v>614</v>
      </c>
      <c r="D3392">
        <v>1014.74</v>
      </c>
      <c r="E3392" s="37" t="str">
        <f t="shared" si="260"/>
        <v xml:space="preserve"> </v>
      </c>
      <c r="F3392">
        <v>0.46</v>
      </c>
      <c r="G3392" s="37" t="str">
        <f t="shared" si="261"/>
        <v>Heavy Discount</v>
      </c>
      <c r="H3392" s="37" t="str">
        <f t="shared" si="262"/>
        <v>High</v>
      </c>
      <c r="I3392">
        <v>1</v>
      </c>
      <c r="J3392" t="str" cm="1">
        <f t="array" ref="J3392">_xlfn.IFS(I3392&lt;=3,"small",I3392&lt;=6,"Medium",I3392&lt;=9,"Large")</f>
        <v>small</v>
      </c>
      <c r="K3392" s="36">
        <v>45356</v>
      </c>
      <c r="L3392" s="36">
        <v>45363</v>
      </c>
      <c r="M3392" t="s">
        <v>612</v>
      </c>
      <c r="N3392" t="s">
        <v>608</v>
      </c>
      <c r="O3392" s="37" t="str">
        <f t="shared" si="263"/>
        <v>Cash Payment</v>
      </c>
      <c r="P3392">
        <v>175.12</v>
      </c>
      <c r="Q3392" s="37" t="str">
        <f>IF(P3392&gt;500,"High","low")</f>
        <v>low</v>
      </c>
      <c r="R3392" s="37" t="str">
        <f t="shared" si="264"/>
        <v>AVERAGE</v>
      </c>
      <c r="S3392" t="s">
        <v>615</v>
      </c>
    </row>
    <row r="3393" spans="1:19" x14ac:dyDescent="0.2">
      <c r="A3393" t="s">
        <v>4004</v>
      </c>
      <c r="B3393" t="s">
        <v>75</v>
      </c>
      <c r="C3393" t="s">
        <v>614</v>
      </c>
      <c r="D3393">
        <v>4218.8</v>
      </c>
      <c r="E3393" s="37" t="str">
        <f t="shared" si="260"/>
        <v>Excellent Order</v>
      </c>
      <c r="F3393">
        <v>0.36</v>
      </c>
      <c r="G3393" s="37" t="str">
        <f t="shared" si="261"/>
        <v>Heavy Discount</v>
      </c>
      <c r="H3393" s="37" t="str">
        <f t="shared" si="262"/>
        <v>Medium</v>
      </c>
      <c r="I3393">
        <v>4</v>
      </c>
      <c r="J3393" t="str" cm="1">
        <f t="array" ref="J3393">_xlfn.IFS(I3393&lt;=3,"small",I3393&lt;=6,"Medium",I3393&lt;=9,"Large")</f>
        <v>Medium</v>
      </c>
      <c r="K3393" s="36">
        <v>45532</v>
      </c>
      <c r="L3393" s="36">
        <v>45538</v>
      </c>
      <c r="M3393" t="s">
        <v>612</v>
      </c>
      <c r="N3393" t="s">
        <v>608</v>
      </c>
      <c r="O3393" s="37" t="str">
        <f t="shared" si="263"/>
        <v>Cash Payment</v>
      </c>
      <c r="P3393">
        <v>1214.48</v>
      </c>
      <c r="Q3393" s="37" t="str">
        <f>IF(P3393&gt;500,"High","low")</f>
        <v>High</v>
      </c>
      <c r="R3393" s="37" t="str">
        <f t="shared" si="264"/>
        <v>Excellent</v>
      </c>
      <c r="S3393" t="s">
        <v>605</v>
      </c>
    </row>
    <row r="3394" spans="1:19" x14ac:dyDescent="0.2">
      <c r="A3394" t="s">
        <v>4005</v>
      </c>
      <c r="B3394" t="s">
        <v>83</v>
      </c>
      <c r="C3394" t="s">
        <v>614</v>
      </c>
      <c r="D3394">
        <v>4215.55</v>
      </c>
      <c r="E3394" s="37" t="str">
        <f t="shared" si="260"/>
        <v xml:space="preserve"> </v>
      </c>
      <c r="F3394">
        <v>0.26</v>
      </c>
      <c r="G3394" s="37" t="str">
        <f t="shared" si="261"/>
        <v>Normal Discount</v>
      </c>
      <c r="H3394" s="37" t="str">
        <f t="shared" si="262"/>
        <v>Medium</v>
      </c>
      <c r="I3394">
        <v>3</v>
      </c>
      <c r="J3394" t="str" cm="1">
        <f t="array" ref="J3394">_xlfn.IFS(I3394&lt;=3,"small",I3394&lt;=6,"Medium",I3394&lt;=9,"Large")</f>
        <v>small</v>
      </c>
      <c r="K3394" s="36">
        <v>45534</v>
      </c>
      <c r="L3394" s="36">
        <v>45540</v>
      </c>
      <c r="M3394" t="s">
        <v>603</v>
      </c>
      <c r="N3394" t="s">
        <v>599</v>
      </c>
      <c r="O3394" s="37" t="str">
        <f t="shared" si="263"/>
        <v>Digital Payment</v>
      </c>
      <c r="P3394">
        <v>707.94</v>
      </c>
      <c r="Q3394" s="37" t="str">
        <f>IF(P3394&gt;500,"High","low")</f>
        <v>High</v>
      </c>
      <c r="R3394" s="37" t="str">
        <f t="shared" si="264"/>
        <v>Good</v>
      </c>
      <c r="S3394" t="s">
        <v>620</v>
      </c>
    </row>
    <row r="3395" spans="1:19" x14ac:dyDescent="0.2">
      <c r="A3395" t="s">
        <v>4006</v>
      </c>
      <c r="B3395" t="s">
        <v>67</v>
      </c>
      <c r="C3395" t="s">
        <v>607</v>
      </c>
      <c r="D3395">
        <v>1258.19</v>
      </c>
      <c r="E3395" s="37" t="str">
        <f t="shared" ref="E3395:E3458" si="265">IF(AND(D3395&gt;4000,P3395&gt;800),"Excellent Order"," ")</f>
        <v xml:space="preserve"> </v>
      </c>
      <c r="F3395">
        <v>0.47</v>
      </c>
      <c r="G3395" s="37" t="str">
        <f t="shared" ref="G3395:G3458" si="266">IF(F3395&gt;30%,"Heavy Discount","Normal Discount")</f>
        <v>Heavy Discount</v>
      </c>
      <c r="H3395" s="37" t="str">
        <f t="shared" ref="H3395:H3458" si="267">IF(F3395&gt;0.4,"High",IF(F3395&gt;=0.2,"Medium","Low"))</f>
        <v>High</v>
      </c>
      <c r="I3395">
        <v>6</v>
      </c>
      <c r="J3395" t="str" cm="1">
        <f t="array" ref="J3395">_xlfn.IFS(I3395&lt;=3,"small",I3395&lt;=6,"Medium",I3395&lt;=9,"Large")</f>
        <v>Medium</v>
      </c>
      <c r="K3395" s="36">
        <v>44961</v>
      </c>
      <c r="L3395" s="36">
        <v>44967</v>
      </c>
      <c r="M3395" t="s">
        <v>612</v>
      </c>
      <c r="N3395" t="s">
        <v>599</v>
      </c>
      <c r="O3395" s="37" t="str">
        <f t="shared" ref="O3395:O3458" si="268">IF(OR(N3395="Card",N3395="UPI"),"Digital Payment","Cash Payment")</f>
        <v>Digital Payment</v>
      </c>
      <c r="P3395">
        <v>286.63</v>
      </c>
      <c r="Q3395" s="37" t="str">
        <f>IF(P3395&gt;500,"High","low")</f>
        <v>low</v>
      </c>
      <c r="R3395" s="37" t="str">
        <f t="shared" ref="R3395:R3458" si="269">IF(P3395&gt;1000,"Excellent",IF(P3395&gt;=500,"Good","AVERAGE"))</f>
        <v>AVERAGE</v>
      </c>
      <c r="S3395" t="s">
        <v>620</v>
      </c>
    </row>
    <row r="3396" spans="1:19" x14ac:dyDescent="0.2">
      <c r="A3396" t="s">
        <v>4007</v>
      </c>
      <c r="B3396" t="s">
        <v>75</v>
      </c>
      <c r="C3396" t="s">
        <v>614</v>
      </c>
      <c r="D3396">
        <v>1659.6</v>
      </c>
      <c r="E3396" s="37" t="str">
        <f t="shared" si="265"/>
        <v xml:space="preserve"> </v>
      </c>
      <c r="F3396">
        <v>0.44</v>
      </c>
      <c r="G3396" s="37" t="str">
        <f t="shared" si="266"/>
        <v>Heavy Discount</v>
      </c>
      <c r="H3396" s="37" t="str">
        <f t="shared" si="267"/>
        <v>High</v>
      </c>
      <c r="I3396">
        <v>2</v>
      </c>
      <c r="J3396" t="str" cm="1">
        <f t="array" ref="J3396">_xlfn.IFS(I3396&lt;=3,"small",I3396&lt;=6,"Medium",I3396&lt;=9,"Large")</f>
        <v>small</v>
      </c>
      <c r="K3396" s="36">
        <v>45645</v>
      </c>
      <c r="L3396" s="36">
        <v>45651</v>
      </c>
      <c r="M3396" t="s">
        <v>603</v>
      </c>
      <c r="N3396" t="s">
        <v>604</v>
      </c>
      <c r="O3396" s="37" t="str">
        <f t="shared" si="268"/>
        <v>Digital Payment</v>
      </c>
      <c r="P3396">
        <v>272.76</v>
      </c>
      <c r="Q3396" s="37" t="str">
        <f>IF(P3396&gt;500,"High","low")</f>
        <v>low</v>
      </c>
      <c r="R3396" s="37" t="str">
        <f t="shared" si="269"/>
        <v>AVERAGE</v>
      </c>
      <c r="S3396" t="s">
        <v>615</v>
      </c>
    </row>
    <row r="3397" spans="1:19" x14ac:dyDescent="0.2">
      <c r="A3397" t="s">
        <v>4008</v>
      </c>
      <c r="B3397" t="s">
        <v>90</v>
      </c>
      <c r="C3397" t="s">
        <v>597</v>
      </c>
      <c r="D3397">
        <v>3542.14</v>
      </c>
      <c r="E3397" s="37" t="str">
        <f t="shared" si="265"/>
        <v xml:space="preserve"> </v>
      </c>
      <c r="F3397">
        <v>0.05</v>
      </c>
      <c r="G3397" s="37" t="str">
        <f t="shared" si="266"/>
        <v>Normal Discount</v>
      </c>
      <c r="H3397" s="37" t="str">
        <f t="shared" si="267"/>
        <v>Low</v>
      </c>
      <c r="I3397">
        <v>5</v>
      </c>
      <c r="J3397" t="str" cm="1">
        <f t="array" ref="J3397">_xlfn.IFS(I3397&lt;=3,"small",I3397&lt;=6,"Medium",I3397&lt;=9,"Large")</f>
        <v>Medium</v>
      </c>
      <c r="K3397" s="36">
        <v>45588</v>
      </c>
      <c r="L3397" s="36">
        <v>45592</v>
      </c>
      <c r="M3397" t="s">
        <v>598</v>
      </c>
      <c r="N3397" t="s">
        <v>604</v>
      </c>
      <c r="O3397" s="37" t="str">
        <f t="shared" si="268"/>
        <v>Digital Payment</v>
      </c>
      <c r="P3397">
        <v>533.94000000000005</v>
      </c>
      <c r="Q3397" s="37" t="str">
        <f>IF(P3397&gt;500,"High","low")</f>
        <v>High</v>
      </c>
      <c r="R3397" s="37" t="str">
        <f t="shared" si="269"/>
        <v>Good</v>
      </c>
      <c r="S3397" t="s">
        <v>605</v>
      </c>
    </row>
    <row r="3398" spans="1:19" x14ac:dyDescent="0.2">
      <c r="A3398" t="s">
        <v>4009</v>
      </c>
      <c r="B3398" t="s">
        <v>67</v>
      </c>
      <c r="C3398" t="s">
        <v>597</v>
      </c>
      <c r="D3398">
        <v>3717.5</v>
      </c>
      <c r="E3398" s="37" t="str">
        <f t="shared" si="265"/>
        <v xml:space="preserve"> </v>
      </c>
      <c r="F3398">
        <v>0.31</v>
      </c>
      <c r="G3398" s="37" t="str">
        <f t="shared" si="266"/>
        <v>Heavy Discount</v>
      </c>
      <c r="H3398" s="37" t="str">
        <f t="shared" si="267"/>
        <v>Medium</v>
      </c>
      <c r="I3398">
        <v>8</v>
      </c>
      <c r="J3398" t="str" cm="1">
        <f t="array" ref="J3398">_xlfn.IFS(I3398&lt;=3,"small",I3398&lt;=6,"Medium",I3398&lt;=9,"Large")</f>
        <v>Large</v>
      </c>
      <c r="K3398" s="36">
        <v>45090</v>
      </c>
      <c r="L3398" s="36">
        <v>45095</v>
      </c>
      <c r="M3398" t="s">
        <v>598</v>
      </c>
      <c r="N3398" t="s">
        <v>608</v>
      </c>
      <c r="O3398" s="37" t="str">
        <f t="shared" si="268"/>
        <v>Cash Payment</v>
      </c>
      <c r="P3398">
        <v>881.66</v>
      </c>
      <c r="Q3398" s="37" t="str">
        <f>IF(P3398&gt;500,"High","low")</f>
        <v>High</v>
      </c>
      <c r="R3398" s="37" t="str">
        <f t="shared" si="269"/>
        <v>Good</v>
      </c>
      <c r="S3398" t="s">
        <v>615</v>
      </c>
    </row>
    <row r="3399" spans="1:19" x14ac:dyDescent="0.2">
      <c r="A3399" t="s">
        <v>4010</v>
      </c>
      <c r="B3399" t="s">
        <v>75</v>
      </c>
      <c r="C3399" t="s">
        <v>614</v>
      </c>
      <c r="D3399">
        <v>3322.39</v>
      </c>
      <c r="E3399" s="37" t="str">
        <f t="shared" si="265"/>
        <v xml:space="preserve"> </v>
      </c>
      <c r="F3399">
        <v>0.27</v>
      </c>
      <c r="G3399" s="37" t="str">
        <f t="shared" si="266"/>
        <v>Normal Discount</v>
      </c>
      <c r="H3399" s="37" t="str">
        <f t="shared" si="267"/>
        <v>Medium</v>
      </c>
      <c r="I3399">
        <v>5</v>
      </c>
      <c r="J3399" t="str" cm="1">
        <f t="array" ref="J3399">_xlfn.IFS(I3399&lt;=3,"small",I3399&lt;=6,"Medium",I3399&lt;=9,"Large")</f>
        <v>Medium</v>
      </c>
      <c r="K3399" s="36">
        <v>45320</v>
      </c>
      <c r="L3399" s="36">
        <v>45326</v>
      </c>
      <c r="M3399" t="s">
        <v>598</v>
      </c>
      <c r="N3399" t="s">
        <v>604</v>
      </c>
      <c r="O3399" s="37" t="str">
        <f t="shared" si="268"/>
        <v>Digital Payment</v>
      </c>
      <c r="P3399">
        <v>784.99</v>
      </c>
      <c r="Q3399" s="37" t="str">
        <f>IF(P3399&gt;500,"High","low")</f>
        <v>High</v>
      </c>
      <c r="R3399" s="37" t="str">
        <f t="shared" si="269"/>
        <v>Good</v>
      </c>
      <c r="S3399" t="s">
        <v>600</v>
      </c>
    </row>
    <row r="3400" spans="1:19" x14ac:dyDescent="0.2">
      <c r="A3400" t="s">
        <v>4011</v>
      </c>
      <c r="B3400" t="s">
        <v>67</v>
      </c>
      <c r="C3400" t="s">
        <v>602</v>
      </c>
      <c r="D3400">
        <v>4983.8</v>
      </c>
      <c r="E3400" s="37" t="str">
        <f t="shared" si="265"/>
        <v xml:space="preserve"> </v>
      </c>
      <c r="F3400">
        <v>0.39</v>
      </c>
      <c r="G3400" s="37" t="str">
        <f t="shared" si="266"/>
        <v>Heavy Discount</v>
      </c>
      <c r="H3400" s="37" t="str">
        <f t="shared" si="267"/>
        <v>Medium</v>
      </c>
      <c r="I3400">
        <v>5</v>
      </c>
      <c r="J3400" t="str" cm="1">
        <f t="array" ref="J3400">_xlfn.IFS(I3400&lt;=3,"small",I3400&lt;=6,"Medium",I3400&lt;=9,"Large")</f>
        <v>Medium</v>
      </c>
      <c r="K3400" s="36">
        <v>45194</v>
      </c>
      <c r="L3400" s="36">
        <v>45195</v>
      </c>
      <c r="M3400" t="s">
        <v>603</v>
      </c>
      <c r="N3400" t="s">
        <v>604</v>
      </c>
      <c r="O3400" s="37" t="str">
        <f t="shared" si="268"/>
        <v>Digital Payment</v>
      </c>
      <c r="P3400">
        <v>519.87</v>
      </c>
      <c r="Q3400" s="37" t="str">
        <f>IF(P3400&gt;500,"High","low")</f>
        <v>High</v>
      </c>
      <c r="R3400" s="37" t="str">
        <f t="shared" si="269"/>
        <v>Good</v>
      </c>
      <c r="S3400" t="s">
        <v>600</v>
      </c>
    </row>
    <row r="3401" spans="1:19" x14ac:dyDescent="0.2">
      <c r="A3401" t="s">
        <v>4012</v>
      </c>
      <c r="B3401" t="s">
        <v>67</v>
      </c>
      <c r="C3401" t="s">
        <v>597</v>
      </c>
      <c r="D3401">
        <v>4356.55</v>
      </c>
      <c r="E3401" s="37" t="str">
        <f t="shared" si="265"/>
        <v xml:space="preserve"> </v>
      </c>
      <c r="F3401">
        <v>0.15</v>
      </c>
      <c r="G3401" s="37" t="str">
        <f t="shared" si="266"/>
        <v>Normal Discount</v>
      </c>
      <c r="H3401" s="37" t="str">
        <f t="shared" si="267"/>
        <v>Low</v>
      </c>
      <c r="I3401">
        <v>8</v>
      </c>
      <c r="J3401" t="str" cm="1">
        <f t="array" ref="J3401">_xlfn.IFS(I3401&lt;=3,"small",I3401&lt;=6,"Medium",I3401&lt;=9,"Large")</f>
        <v>Large</v>
      </c>
      <c r="K3401" s="36">
        <v>45251</v>
      </c>
      <c r="L3401" s="36">
        <v>45258</v>
      </c>
      <c r="M3401" t="s">
        <v>598</v>
      </c>
      <c r="N3401" t="s">
        <v>604</v>
      </c>
      <c r="O3401" s="37" t="str">
        <f t="shared" si="268"/>
        <v>Digital Payment</v>
      </c>
      <c r="P3401">
        <v>663.63</v>
      </c>
      <c r="Q3401" s="37" t="str">
        <f>IF(P3401&gt;500,"High","low")</f>
        <v>High</v>
      </c>
      <c r="R3401" s="37" t="str">
        <f t="shared" si="269"/>
        <v>Good</v>
      </c>
      <c r="S3401" t="s">
        <v>620</v>
      </c>
    </row>
    <row r="3402" spans="1:19" x14ac:dyDescent="0.2">
      <c r="A3402" t="s">
        <v>4013</v>
      </c>
      <c r="B3402" t="s">
        <v>67</v>
      </c>
      <c r="C3402" t="s">
        <v>602</v>
      </c>
      <c r="D3402">
        <v>2143.59</v>
      </c>
      <c r="E3402" s="37" t="str">
        <f t="shared" si="265"/>
        <v xml:space="preserve"> </v>
      </c>
      <c r="F3402">
        <v>0</v>
      </c>
      <c r="G3402" s="37" t="str">
        <f t="shared" si="266"/>
        <v>Normal Discount</v>
      </c>
      <c r="H3402" s="37" t="str">
        <f t="shared" si="267"/>
        <v>Low</v>
      </c>
      <c r="I3402">
        <v>5</v>
      </c>
      <c r="J3402" t="str" cm="1">
        <f t="array" ref="J3402">_xlfn.IFS(I3402&lt;=3,"small",I3402&lt;=6,"Medium",I3402&lt;=9,"Large")</f>
        <v>Medium</v>
      </c>
      <c r="K3402" s="36">
        <v>45330</v>
      </c>
      <c r="L3402" s="36">
        <v>45334</v>
      </c>
      <c r="M3402" t="s">
        <v>603</v>
      </c>
      <c r="N3402" t="s">
        <v>604</v>
      </c>
      <c r="O3402" s="37" t="str">
        <f t="shared" si="268"/>
        <v>Digital Payment</v>
      </c>
      <c r="P3402">
        <v>111.78</v>
      </c>
      <c r="Q3402" s="37" t="str">
        <f>IF(P3402&gt;500,"High","low")</f>
        <v>low</v>
      </c>
      <c r="R3402" s="37" t="str">
        <f t="shared" si="269"/>
        <v>AVERAGE</v>
      </c>
      <c r="S3402" t="s">
        <v>620</v>
      </c>
    </row>
    <row r="3403" spans="1:19" x14ac:dyDescent="0.2">
      <c r="A3403" t="s">
        <v>4014</v>
      </c>
      <c r="B3403" t="s">
        <v>67</v>
      </c>
      <c r="C3403" t="s">
        <v>607</v>
      </c>
      <c r="D3403">
        <v>1702.19</v>
      </c>
      <c r="E3403" s="37" t="str">
        <f t="shared" si="265"/>
        <v xml:space="preserve"> </v>
      </c>
      <c r="F3403">
        <v>0.09</v>
      </c>
      <c r="G3403" s="37" t="str">
        <f t="shared" si="266"/>
        <v>Normal Discount</v>
      </c>
      <c r="H3403" s="37" t="str">
        <f t="shared" si="267"/>
        <v>Low</v>
      </c>
      <c r="I3403">
        <v>4</v>
      </c>
      <c r="J3403" t="str" cm="1">
        <f t="array" ref="J3403">_xlfn.IFS(I3403&lt;=3,"small",I3403&lt;=6,"Medium",I3403&lt;=9,"Large")</f>
        <v>Medium</v>
      </c>
      <c r="K3403" s="36">
        <v>44963</v>
      </c>
      <c r="L3403" s="36">
        <v>44964</v>
      </c>
      <c r="M3403" t="s">
        <v>598</v>
      </c>
      <c r="N3403" t="s">
        <v>604</v>
      </c>
      <c r="O3403" s="37" t="str">
        <f t="shared" si="268"/>
        <v>Digital Payment</v>
      </c>
      <c r="P3403">
        <v>92.95</v>
      </c>
      <c r="Q3403" s="37" t="str">
        <f>IF(P3403&gt;500,"High","low")</f>
        <v>low</v>
      </c>
      <c r="R3403" s="37" t="str">
        <f t="shared" si="269"/>
        <v>AVERAGE</v>
      </c>
      <c r="S3403" t="s">
        <v>600</v>
      </c>
    </row>
    <row r="3404" spans="1:19" x14ac:dyDescent="0.2">
      <c r="A3404" t="s">
        <v>4015</v>
      </c>
      <c r="B3404" t="s">
        <v>67</v>
      </c>
      <c r="C3404" t="s">
        <v>597</v>
      </c>
      <c r="D3404">
        <v>3024.56</v>
      </c>
      <c r="E3404" s="37" t="str">
        <f t="shared" si="265"/>
        <v xml:space="preserve"> </v>
      </c>
      <c r="F3404">
        <v>0.11</v>
      </c>
      <c r="G3404" s="37" t="str">
        <f t="shared" si="266"/>
        <v>Normal Discount</v>
      </c>
      <c r="H3404" s="37" t="str">
        <f t="shared" si="267"/>
        <v>Low</v>
      </c>
      <c r="I3404">
        <v>9</v>
      </c>
      <c r="J3404" t="str" cm="1">
        <f t="array" ref="J3404">_xlfn.IFS(I3404&lt;=3,"small",I3404&lt;=6,"Medium",I3404&lt;=9,"Large")</f>
        <v>Large</v>
      </c>
      <c r="K3404" s="36">
        <v>45422</v>
      </c>
      <c r="L3404" s="36">
        <v>45424</v>
      </c>
      <c r="M3404" t="s">
        <v>598</v>
      </c>
      <c r="N3404" t="s">
        <v>604</v>
      </c>
      <c r="O3404" s="37" t="str">
        <f t="shared" si="268"/>
        <v>Digital Payment</v>
      </c>
      <c r="P3404">
        <v>260.81</v>
      </c>
      <c r="Q3404" s="37" t="str">
        <f>IF(P3404&gt;500,"High","low")</f>
        <v>low</v>
      </c>
      <c r="R3404" s="37" t="str">
        <f t="shared" si="269"/>
        <v>AVERAGE</v>
      </c>
      <c r="S3404" t="s">
        <v>620</v>
      </c>
    </row>
    <row r="3405" spans="1:19" x14ac:dyDescent="0.2">
      <c r="A3405" t="s">
        <v>4016</v>
      </c>
      <c r="B3405" t="s">
        <v>67</v>
      </c>
      <c r="C3405" t="s">
        <v>602</v>
      </c>
      <c r="D3405">
        <v>4106.42</v>
      </c>
      <c r="E3405" s="37" t="str">
        <f t="shared" si="265"/>
        <v>Excellent Order</v>
      </c>
      <c r="F3405">
        <v>0.15</v>
      </c>
      <c r="G3405" s="37" t="str">
        <f t="shared" si="266"/>
        <v>Normal Discount</v>
      </c>
      <c r="H3405" s="37" t="str">
        <f t="shared" si="267"/>
        <v>Low</v>
      </c>
      <c r="I3405">
        <v>2</v>
      </c>
      <c r="J3405" t="str" cm="1">
        <f t="array" ref="J3405">_xlfn.IFS(I3405&lt;=3,"small",I3405&lt;=6,"Medium",I3405&lt;=9,"Large")</f>
        <v>small</v>
      </c>
      <c r="K3405" s="36">
        <v>45456</v>
      </c>
      <c r="L3405" s="36">
        <v>45457</v>
      </c>
      <c r="M3405" t="s">
        <v>603</v>
      </c>
      <c r="N3405" t="s">
        <v>608</v>
      </c>
      <c r="O3405" s="37" t="str">
        <f t="shared" si="268"/>
        <v>Cash Payment</v>
      </c>
      <c r="P3405">
        <v>988.51</v>
      </c>
      <c r="Q3405" s="37" t="str">
        <f>IF(P3405&gt;500,"High","low")</f>
        <v>High</v>
      </c>
      <c r="R3405" s="37" t="str">
        <f t="shared" si="269"/>
        <v>Good</v>
      </c>
      <c r="S3405" t="s">
        <v>628</v>
      </c>
    </row>
    <row r="3406" spans="1:19" x14ac:dyDescent="0.2">
      <c r="A3406" t="s">
        <v>4017</v>
      </c>
      <c r="B3406" t="s">
        <v>75</v>
      </c>
      <c r="C3406" t="s">
        <v>614</v>
      </c>
      <c r="D3406">
        <v>2429.1799999999998</v>
      </c>
      <c r="E3406" s="37" t="str">
        <f t="shared" si="265"/>
        <v xml:space="preserve"> </v>
      </c>
      <c r="F3406">
        <v>0.19</v>
      </c>
      <c r="G3406" s="37" t="str">
        <f t="shared" si="266"/>
        <v>Normal Discount</v>
      </c>
      <c r="H3406" s="37" t="str">
        <f t="shared" si="267"/>
        <v>Low</v>
      </c>
      <c r="I3406">
        <v>1</v>
      </c>
      <c r="J3406" t="str" cm="1">
        <f t="array" ref="J3406">_xlfn.IFS(I3406&lt;=3,"small",I3406&lt;=6,"Medium",I3406&lt;=9,"Large")</f>
        <v>small</v>
      </c>
      <c r="K3406" s="36">
        <v>45037</v>
      </c>
      <c r="L3406" s="36">
        <v>45044</v>
      </c>
      <c r="M3406" t="s">
        <v>598</v>
      </c>
      <c r="N3406" t="s">
        <v>599</v>
      </c>
      <c r="O3406" s="37" t="str">
        <f t="shared" si="268"/>
        <v>Digital Payment</v>
      </c>
      <c r="P3406">
        <v>167.24</v>
      </c>
      <c r="Q3406" s="37" t="str">
        <f>IF(P3406&gt;500,"High","low")</f>
        <v>low</v>
      </c>
      <c r="R3406" s="37" t="str">
        <f t="shared" si="269"/>
        <v>AVERAGE</v>
      </c>
      <c r="S3406" t="s">
        <v>615</v>
      </c>
    </row>
    <row r="3407" spans="1:19" x14ac:dyDescent="0.2">
      <c r="A3407" t="s">
        <v>4018</v>
      </c>
      <c r="B3407" t="s">
        <v>90</v>
      </c>
      <c r="C3407" t="s">
        <v>607</v>
      </c>
      <c r="D3407">
        <v>3714.69</v>
      </c>
      <c r="E3407" s="37" t="str">
        <f t="shared" si="265"/>
        <v xml:space="preserve"> </v>
      </c>
      <c r="F3407">
        <v>0.35</v>
      </c>
      <c r="G3407" s="37" t="str">
        <f t="shared" si="266"/>
        <v>Heavy Discount</v>
      </c>
      <c r="H3407" s="37" t="str">
        <f t="shared" si="267"/>
        <v>Medium</v>
      </c>
      <c r="I3407">
        <v>4</v>
      </c>
      <c r="J3407" t="str" cm="1">
        <f t="array" ref="J3407">_xlfn.IFS(I3407&lt;=3,"small",I3407&lt;=6,"Medium",I3407&lt;=9,"Large")</f>
        <v>Medium</v>
      </c>
      <c r="K3407" s="36">
        <v>45414</v>
      </c>
      <c r="L3407" s="36">
        <v>45415</v>
      </c>
      <c r="M3407" t="s">
        <v>603</v>
      </c>
      <c r="N3407" t="s">
        <v>608</v>
      </c>
      <c r="O3407" s="37" t="str">
        <f t="shared" si="268"/>
        <v>Cash Payment</v>
      </c>
      <c r="P3407">
        <v>1059.25</v>
      </c>
      <c r="Q3407" s="37" t="str">
        <f>IF(P3407&gt;500,"High","low")</f>
        <v>High</v>
      </c>
      <c r="R3407" s="37" t="str">
        <f t="shared" si="269"/>
        <v>Excellent</v>
      </c>
      <c r="S3407" t="s">
        <v>615</v>
      </c>
    </row>
    <row r="3408" spans="1:19" x14ac:dyDescent="0.2">
      <c r="A3408" t="s">
        <v>4019</v>
      </c>
      <c r="B3408" t="s">
        <v>83</v>
      </c>
      <c r="C3408" t="s">
        <v>617</v>
      </c>
      <c r="D3408">
        <v>193.88</v>
      </c>
      <c r="E3408" s="37" t="str">
        <f t="shared" si="265"/>
        <v xml:space="preserve"> </v>
      </c>
      <c r="F3408">
        <v>0.04</v>
      </c>
      <c r="G3408" s="37" t="str">
        <f t="shared" si="266"/>
        <v>Normal Discount</v>
      </c>
      <c r="H3408" s="37" t="str">
        <f t="shared" si="267"/>
        <v>Low</v>
      </c>
      <c r="I3408">
        <v>3</v>
      </c>
      <c r="J3408" t="str" cm="1">
        <f t="array" ref="J3408">_xlfn.IFS(I3408&lt;=3,"small",I3408&lt;=6,"Medium",I3408&lt;=9,"Large")</f>
        <v>small</v>
      </c>
      <c r="K3408" s="36">
        <v>45151</v>
      </c>
      <c r="L3408" s="36">
        <v>45156</v>
      </c>
      <c r="M3408" t="s">
        <v>603</v>
      </c>
      <c r="N3408" t="s">
        <v>599</v>
      </c>
      <c r="O3408" s="37" t="str">
        <f t="shared" si="268"/>
        <v>Digital Payment</v>
      </c>
      <c r="P3408">
        <v>19.079999999999998</v>
      </c>
      <c r="Q3408" s="37" t="str">
        <f>IF(P3408&gt;500,"High","low")</f>
        <v>low</v>
      </c>
      <c r="R3408" s="37" t="str">
        <f t="shared" si="269"/>
        <v>AVERAGE</v>
      </c>
      <c r="S3408" t="s">
        <v>628</v>
      </c>
    </row>
    <row r="3409" spans="1:19" x14ac:dyDescent="0.2">
      <c r="A3409" t="s">
        <v>4020</v>
      </c>
      <c r="B3409" t="s">
        <v>67</v>
      </c>
      <c r="C3409" t="s">
        <v>617</v>
      </c>
      <c r="D3409">
        <v>4636.62</v>
      </c>
      <c r="E3409" s="37" t="str">
        <f t="shared" si="265"/>
        <v>Excellent Order</v>
      </c>
      <c r="F3409">
        <v>0.24</v>
      </c>
      <c r="G3409" s="37" t="str">
        <f t="shared" si="266"/>
        <v>Normal Discount</v>
      </c>
      <c r="H3409" s="37" t="str">
        <f t="shared" si="267"/>
        <v>Medium</v>
      </c>
      <c r="I3409">
        <v>9</v>
      </c>
      <c r="J3409" t="str" cm="1">
        <f t="array" ref="J3409">_xlfn.IFS(I3409&lt;=3,"small",I3409&lt;=6,"Medium",I3409&lt;=9,"Large")</f>
        <v>Large</v>
      </c>
      <c r="K3409" s="36">
        <v>45223</v>
      </c>
      <c r="L3409" s="36">
        <v>45225</v>
      </c>
      <c r="M3409" t="s">
        <v>598</v>
      </c>
      <c r="N3409" t="s">
        <v>608</v>
      </c>
      <c r="O3409" s="37" t="str">
        <f t="shared" si="268"/>
        <v>Cash Payment</v>
      </c>
      <c r="P3409">
        <v>1259.32</v>
      </c>
      <c r="Q3409" s="37" t="str">
        <f>IF(P3409&gt;500,"High","low")</f>
        <v>High</v>
      </c>
      <c r="R3409" s="37" t="str">
        <f t="shared" si="269"/>
        <v>Excellent</v>
      </c>
      <c r="S3409" t="s">
        <v>600</v>
      </c>
    </row>
    <row r="3410" spans="1:19" x14ac:dyDescent="0.2">
      <c r="A3410" t="s">
        <v>4021</v>
      </c>
      <c r="B3410" t="s">
        <v>83</v>
      </c>
      <c r="C3410" t="s">
        <v>614</v>
      </c>
      <c r="D3410">
        <v>3891.79</v>
      </c>
      <c r="E3410" s="37" t="str">
        <f t="shared" si="265"/>
        <v xml:space="preserve"> </v>
      </c>
      <c r="F3410">
        <v>0.25</v>
      </c>
      <c r="G3410" s="37" t="str">
        <f t="shared" si="266"/>
        <v>Normal Discount</v>
      </c>
      <c r="H3410" s="37" t="str">
        <f t="shared" si="267"/>
        <v>Medium</v>
      </c>
      <c r="I3410">
        <v>3</v>
      </c>
      <c r="J3410" t="str" cm="1">
        <f t="array" ref="J3410">_xlfn.IFS(I3410&lt;=3,"small",I3410&lt;=6,"Medium",I3410&lt;=9,"Large")</f>
        <v>small</v>
      </c>
      <c r="K3410" s="36">
        <v>45123</v>
      </c>
      <c r="L3410" s="36">
        <v>45124</v>
      </c>
      <c r="M3410" t="s">
        <v>603</v>
      </c>
      <c r="N3410" t="s">
        <v>599</v>
      </c>
      <c r="O3410" s="37" t="str">
        <f t="shared" si="268"/>
        <v>Digital Payment</v>
      </c>
      <c r="P3410">
        <v>1119.33</v>
      </c>
      <c r="Q3410" s="37" t="str">
        <f>IF(P3410&gt;500,"High","low")</f>
        <v>High</v>
      </c>
      <c r="R3410" s="37" t="str">
        <f t="shared" si="269"/>
        <v>Excellent</v>
      </c>
      <c r="S3410" t="s">
        <v>600</v>
      </c>
    </row>
    <row r="3411" spans="1:19" x14ac:dyDescent="0.2">
      <c r="A3411" t="s">
        <v>4022</v>
      </c>
      <c r="B3411" t="s">
        <v>75</v>
      </c>
      <c r="C3411" t="s">
        <v>607</v>
      </c>
      <c r="D3411">
        <v>2031.53</v>
      </c>
      <c r="E3411" s="37" t="str">
        <f t="shared" si="265"/>
        <v xml:space="preserve"> </v>
      </c>
      <c r="F3411">
        <v>0.31</v>
      </c>
      <c r="G3411" s="37" t="str">
        <f t="shared" si="266"/>
        <v>Heavy Discount</v>
      </c>
      <c r="H3411" s="37" t="str">
        <f t="shared" si="267"/>
        <v>Medium</v>
      </c>
      <c r="I3411">
        <v>3</v>
      </c>
      <c r="J3411" t="str" cm="1">
        <f t="array" ref="J3411">_xlfn.IFS(I3411&lt;=3,"small",I3411&lt;=6,"Medium",I3411&lt;=9,"Large")</f>
        <v>small</v>
      </c>
      <c r="K3411" s="36">
        <v>45255</v>
      </c>
      <c r="L3411" s="36">
        <v>45258</v>
      </c>
      <c r="M3411" t="s">
        <v>612</v>
      </c>
      <c r="N3411" t="s">
        <v>604</v>
      </c>
      <c r="O3411" s="37" t="str">
        <f t="shared" si="268"/>
        <v>Digital Payment</v>
      </c>
      <c r="P3411">
        <v>318.64999999999998</v>
      </c>
      <c r="Q3411" s="37" t="str">
        <f>IF(P3411&gt;500,"High","low")</f>
        <v>low</v>
      </c>
      <c r="R3411" s="37" t="str">
        <f t="shared" si="269"/>
        <v>AVERAGE</v>
      </c>
      <c r="S3411" t="s">
        <v>628</v>
      </c>
    </row>
    <row r="3412" spans="1:19" x14ac:dyDescent="0.2">
      <c r="A3412" t="s">
        <v>4023</v>
      </c>
      <c r="B3412" t="s">
        <v>67</v>
      </c>
      <c r="C3412" t="s">
        <v>607</v>
      </c>
      <c r="D3412">
        <v>1981.66</v>
      </c>
      <c r="E3412" s="37" t="str">
        <f t="shared" si="265"/>
        <v xml:space="preserve"> </v>
      </c>
      <c r="F3412">
        <v>0.16</v>
      </c>
      <c r="G3412" s="37" t="str">
        <f t="shared" si="266"/>
        <v>Normal Discount</v>
      </c>
      <c r="H3412" s="37" t="str">
        <f t="shared" si="267"/>
        <v>Low</v>
      </c>
      <c r="I3412">
        <v>7</v>
      </c>
      <c r="J3412" t="str" cm="1">
        <f t="array" ref="J3412">_xlfn.IFS(I3412&lt;=3,"small",I3412&lt;=6,"Medium",I3412&lt;=9,"Large")</f>
        <v>Large</v>
      </c>
      <c r="K3412" s="36">
        <v>45023</v>
      </c>
      <c r="L3412" s="36">
        <v>45027</v>
      </c>
      <c r="M3412" t="s">
        <v>612</v>
      </c>
      <c r="N3412" t="s">
        <v>599</v>
      </c>
      <c r="O3412" s="37" t="str">
        <f t="shared" si="268"/>
        <v>Digital Payment</v>
      </c>
      <c r="P3412">
        <v>358.05</v>
      </c>
      <c r="Q3412" s="37" t="str">
        <f>IF(P3412&gt;500,"High","low")</f>
        <v>low</v>
      </c>
      <c r="R3412" s="37" t="str">
        <f t="shared" si="269"/>
        <v>AVERAGE</v>
      </c>
      <c r="S3412" t="s">
        <v>628</v>
      </c>
    </row>
    <row r="3413" spans="1:19" x14ac:dyDescent="0.2">
      <c r="A3413" t="s">
        <v>4024</v>
      </c>
      <c r="B3413" t="s">
        <v>90</v>
      </c>
      <c r="C3413" t="s">
        <v>607</v>
      </c>
      <c r="D3413">
        <v>604.15</v>
      </c>
      <c r="E3413" s="37" t="str">
        <f t="shared" si="265"/>
        <v xml:space="preserve"> </v>
      </c>
      <c r="F3413">
        <v>0.13</v>
      </c>
      <c r="G3413" s="37" t="str">
        <f t="shared" si="266"/>
        <v>Normal Discount</v>
      </c>
      <c r="H3413" s="37" t="str">
        <f t="shared" si="267"/>
        <v>Low</v>
      </c>
      <c r="I3413">
        <v>2</v>
      </c>
      <c r="J3413" t="str" cm="1">
        <f t="array" ref="J3413">_xlfn.IFS(I3413&lt;=3,"small",I3413&lt;=6,"Medium",I3413&lt;=9,"Large")</f>
        <v>small</v>
      </c>
      <c r="K3413" s="36">
        <v>45374</v>
      </c>
      <c r="L3413" s="36">
        <v>45380</v>
      </c>
      <c r="M3413" t="s">
        <v>598</v>
      </c>
      <c r="N3413" t="s">
        <v>608</v>
      </c>
      <c r="O3413" s="37" t="str">
        <f t="shared" si="268"/>
        <v>Cash Payment</v>
      </c>
      <c r="P3413">
        <v>78.64</v>
      </c>
      <c r="Q3413" s="37" t="str">
        <f>IF(P3413&gt;500,"High","low")</f>
        <v>low</v>
      </c>
      <c r="R3413" s="37" t="str">
        <f t="shared" si="269"/>
        <v>AVERAGE</v>
      </c>
      <c r="S3413" t="s">
        <v>620</v>
      </c>
    </row>
    <row r="3414" spans="1:19" x14ac:dyDescent="0.2">
      <c r="A3414" t="s">
        <v>4025</v>
      </c>
      <c r="B3414" t="s">
        <v>83</v>
      </c>
      <c r="C3414" t="s">
        <v>607</v>
      </c>
      <c r="D3414">
        <v>4099.1499999999996</v>
      </c>
      <c r="E3414" s="37" t="str">
        <f t="shared" si="265"/>
        <v>Excellent Order</v>
      </c>
      <c r="F3414">
        <v>0.24</v>
      </c>
      <c r="G3414" s="37" t="str">
        <f t="shared" si="266"/>
        <v>Normal Discount</v>
      </c>
      <c r="H3414" s="37" t="str">
        <f t="shared" si="267"/>
        <v>Medium</v>
      </c>
      <c r="I3414">
        <v>8</v>
      </c>
      <c r="J3414" t="str" cm="1">
        <f t="array" ref="J3414">_xlfn.IFS(I3414&lt;=3,"small",I3414&lt;=6,"Medium",I3414&lt;=9,"Large")</f>
        <v>Large</v>
      </c>
      <c r="K3414" s="36">
        <v>45084</v>
      </c>
      <c r="L3414" s="36">
        <v>45090</v>
      </c>
      <c r="M3414" t="s">
        <v>612</v>
      </c>
      <c r="N3414" t="s">
        <v>608</v>
      </c>
      <c r="O3414" s="37" t="str">
        <f t="shared" si="268"/>
        <v>Cash Payment</v>
      </c>
      <c r="P3414">
        <v>1126.81</v>
      </c>
      <c r="Q3414" s="37" t="str">
        <f>IF(P3414&gt;500,"High","low")</f>
        <v>High</v>
      </c>
      <c r="R3414" s="37" t="str">
        <f t="shared" si="269"/>
        <v>Excellent</v>
      </c>
      <c r="S3414" t="s">
        <v>609</v>
      </c>
    </row>
    <row r="3415" spans="1:19" x14ac:dyDescent="0.2">
      <c r="A3415" t="s">
        <v>4026</v>
      </c>
      <c r="B3415" t="s">
        <v>67</v>
      </c>
      <c r="C3415" t="s">
        <v>617</v>
      </c>
      <c r="D3415">
        <v>3866.28</v>
      </c>
      <c r="E3415" s="37" t="str">
        <f t="shared" si="265"/>
        <v xml:space="preserve"> </v>
      </c>
      <c r="F3415">
        <v>0.33</v>
      </c>
      <c r="G3415" s="37" t="str">
        <f t="shared" si="266"/>
        <v>Heavy Discount</v>
      </c>
      <c r="H3415" s="37" t="str">
        <f t="shared" si="267"/>
        <v>Medium</v>
      </c>
      <c r="I3415">
        <v>6</v>
      </c>
      <c r="J3415" t="str" cm="1">
        <f t="array" ref="J3415">_xlfn.IFS(I3415&lt;=3,"small",I3415&lt;=6,"Medium",I3415&lt;=9,"Large")</f>
        <v>Medium</v>
      </c>
      <c r="K3415" s="36">
        <v>45420</v>
      </c>
      <c r="L3415" s="36">
        <v>45421</v>
      </c>
      <c r="M3415" t="s">
        <v>598</v>
      </c>
      <c r="N3415" t="s">
        <v>608</v>
      </c>
      <c r="O3415" s="37" t="str">
        <f t="shared" si="268"/>
        <v>Cash Payment</v>
      </c>
      <c r="P3415">
        <v>686.21</v>
      </c>
      <c r="Q3415" s="37" t="str">
        <f>IF(P3415&gt;500,"High","low")</f>
        <v>High</v>
      </c>
      <c r="R3415" s="37" t="str">
        <f t="shared" si="269"/>
        <v>Good</v>
      </c>
      <c r="S3415" t="s">
        <v>600</v>
      </c>
    </row>
    <row r="3416" spans="1:19" x14ac:dyDescent="0.2">
      <c r="A3416" t="s">
        <v>4027</v>
      </c>
      <c r="B3416" t="s">
        <v>75</v>
      </c>
      <c r="C3416" t="s">
        <v>602</v>
      </c>
      <c r="D3416">
        <v>3188.22</v>
      </c>
      <c r="E3416" s="37" t="str">
        <f t="shared" si="265"/>
        <v xml:space="preserve"> </v>
      </c>
      <c r="F3416">
        <v>0.02</v>
      </c>
      <c r="G3416" s="37" t="str">
        <f t="shared" si="266"/>
        <v>Normal Discount</v>
      </c>
      <c r="H3416" s="37" t="str">
        <f t="shared" si="267"/>
        <v>Low</v>
      </c>
      <c r="I3416">
        <v>9</v>
      </c>
      <c r="J3416" t="str" cm="1">
        <f t="array" ref="J3416">_xlfn.IFS(I3416&lt;=3,"small",I3416&lt;=6,"Medium",I3416&lt;=9,"Large")</f>
        <v>Large</v>
      </c>
      <c r="K3416" s="36">
        <v>44943</v>
      </c>
      <c r="L3416" s="36">
        <v>44944</v>
      </c>
      <c r="M3416" t="s">
        <v>603</v>
      </c>
      <c r="N3416" t="s">
        <v>604</v>
      </c>
      <c r="O3416" s="37" t="str">
        <f t="shared" si="268"/>
        <v>Digital Payment</v>
      </c>
      <c r="P3416">
        <v>941.76</v>
      </c>
      <c r="Q3416" s="37" t="str">
        <f>IF(P3416&gt;500,"High","low")</f>
        <v>High</v>
      </c>
      <c r="R3416" s="37" t="str">
        <f t="shared" si="269"/>
        <v>Good</v>
      </c>
      <c r="S3416" t="s">
        <v>600</v>
      </c>
    </row>
    <row r="3417" spans="1:19" x14ac:dyDescent="0.2">
      <c r="A3417" t="s">
        <v>4028</v>
      </c>
      <c r="B3417" t="s">
        <v>90</v>
      </c>
      <c r="C3417" t="s">
        <v>607</v>
      </c>
      <c r="D3417">
        <v>597.14</v>
      </c>
      <c r="E3417" s="37" t="str">
        <f t="shared" si="265"/>
        <v xml:space="preserve"> </v>
      </c>
      <c r="F3417">
        <v>0.15</v>
      </c>
      <c r="G3417" s="37" t="str">
        <f t="shared" si="266"/>
        <v>Normal Discount</v>
      </c>
      <c r="H3417" s="37" t="str">
        <f t="shared" si="267"/>
        <v>Low</v>
      </c>
      <c r="I3417">
        <v>8</v>
      </c>
      <c r="J3417" t="str" cm="1">
        <f t="array" ref="J3417">_xlfn.IFS(I3417&lt;=3,"small",I3417&lt;=6,"Medium",I3417&lt;=9,"Large")</f>
        <v>Large</v>
      </c>
      <c r="K3417" s="36">
        <v>45473</v>
      </c>
      <c r="L3417" s="36">
        <v>45477</v>
      </c>
      <c r="M3417" t="s">
        <v>603</v>
      </c>
      <c r="N3417" t="s">
        <v>608</v>
      </c>
      <c r="O3417" s="37" t="str">
        <f t="shared" si="268"/>
        <v>Cash Payment</v>
      </c>
      <c r="P3417">
        <v>174.51</v>
      </c>
      <c r="Q3417" s="37" t="str">
        <f>IF(P3417&gt;500,"High","low")</f>
        <v>low</v>
      </c>
      <c r="R3417" s="37" t="str">
        <f t="shared" si="269"/>
        <v>AVERAGE</v>
      </c>
      <c r="S3417" t="s">
        <v>600</v>
      </c>
    </row>
    <row r="3418" spans="1:19" x14ac:dyDescent="0.2">
      <c r="A3418" t="s">
        <v>4029</v>
      </c>
      <c r="B3418" t="s">
        <v>83</v>
      </c>
      <c r="C3418" t="s">
        <v>602</v>
      </c>
      <c r="D3418">
        <v>1385.47</v>
      </c>
      <c r="E3418" s="37" t="str">
        <f t="shared" si="265"/>
        <v xml:space="preserve"> </v>
      </c>
      <c r="F3418">
        <v>0.39</v>
      </c>
      <c r="G3418" s="37" t="str">
        <f t="shared" si="266"/>
        <v>Heavy Discount</v>
      </c>
      <c r="H3418" s="37" t="str">
        <f t="shared" si="267"/>
        <v>Medium</v>
      </c>
      <c r="I3418">
        <v>4</v>
      </c>
      <c r="J3418" t="str" cm="1">
        <f t="array" ref="J3418">_xlfn.IFS(I3418&lt;=3,"small",I3418&lt;=6,"Medium",I3418&lt;=9,"Large")</f>
        <v>Medium</v>
      </c>
      <c r="K3418" s="36">
        <v>45262</v>
      </c>
      <c r="L3418" s="36">
        <v>45263</v>
      </c>
      <c r="M3418" t="s">
        <v>612</v>
      </c>
      <c r="N3418" t="s">
        <v>604</v>
      </c>
      <c r="O3418" s="37" t="str">
        <f t="shared" si="268"/>
        <v>Digital Payment</v>
      </c>
      <c r="P3418">
        <v>399.07</v>
      </c>
      <c r="Q3418" s="37" t="str">
        <f>IF(P3418&gt;500,"High","low")</f>
        <v>low</v>
      </c>
      <c r="R3418" s="37" t="str">
        <f t="shared" si="269"/>
        <v>AVERAGE</v>
      </c>
      <c r="S3418" t="s">
        <v>628</v>
      </c>
    </row>
    <row r="3419" spans="1:19" x14ac:dyDescent="0.2">
      <c r="A3419" t="s">
        <v>4030</v>
      </c>
      <c r="B3419" t="s">
        <v>83</v>
      </c>
      <c r="C3419" t="s">
        <v>607</v>
      </c>
      <c r="D3419">
        <v>2348.6799999999998</v>
      </c>
      <c r="E3419" s="37" t="str">
        <f t="shared" si="265"/>
        <v xml:space="preserve"> </v>
      </c>
      <c r="F3419">
        <v>0.24</v>
      </c>
      <c r="G3419" s="37" t="str">
        <f t="shared" si="266"/>
        <v>Normal Discount</v>
      </c>
      <c r="H3419" s="37" t="str">
        <f t="shared" si="267"/>
        <v>Medium</v>
      </c>
      <c r="I3419">
        <v>8</v>
      </c>
      <c r="J3419" t="str" cm="1">
        <f t="array" ref="J3419">_xlfn.IFS(I3419&lt;=3,"small",I3419&lt;=6,"Medium",I3419&lt;=9,"Large")</f>
        <v>Large</v>
      </c>
      <c r="K3419" s="36">
        <v>45350</v>
      </c>
      <c r="L3419" s="36">
        <v>45352</v>
      </c>
      <c r="M3419" t="s">
        <v>612</v>
      </c>
      <c r="N3419" t="s">
        <v>604</v>
      </c>
      <c r="O3419" s="37" t="str">
        <f t="shared" si="268"/>
        <v>Digital Payment</v>
      </c>
      <c r="P3419">
        <v>326.62</v>
      </c>
      <c r="Q3419" s="37" t="str">
        <f>IF(P3419&gt;500,"High","low")</f>
        <v>low</v>
      </c>
      <c r="R3419" s="37" t="str">
        <f t="shared" si="269"/>
        <v>AVERAGE</v>
      </c>
      <c r="S3419" t="s">
        <v>600</v>
      </c>
    </row>
    <row r="3420" spans="1:19" x14ac:dyDescent="0.2">
      <c r="A3420" t="s">
        <v>4031</v>
      </c>
      <c r="B3420" t="s">
        <v>67</v>
      </c>
      <c r="C3420" t="s">
        <v>597</v>
      </c>
      <c r="D3420">
        <v>1403.26</v>
      </c>
      <c r="E3420" s="37" t="str">
        <f t="shared" si="265"/>
        <v xml:space="preserve"> </v>
      </c>
      <c r="F3420">
        <v>0.48</v>
      </c>
      <c r="G3420" s="37" t="str">
        <f t="shared" si="266"/>
        <v>Heavy Discount</v>
      </c>
      <c r="H3420" s="37" t="str">
        <f t="shared" si="267"/>
        <v>High</v>
      </c>
      <c r="I3420">
        <v>4</v>
      </c>
      <c r="J3420" t="str" cm="1">
        <f t="array" ref="J3420">_xlfn.IFS(I3420&lt;=3,"small",I3420&lt;=6,"Medium",I3420&lt;=9,"Large")</f>
        <v>Medium</v>
      </c>
      <c r="K3420" s="36">
        <v>45329</v>
      </c>
      <c r="L3420" s="36">
        <v>45330</v>
      </c>
      <c r="M3420" t="s">
        <v>612</v>
      </c>
      <c r="N3420" t="s">
        <v>604</v>
      </c>
      <c r="O3420" s="37" t="str">
        <f t="shared" si="268"/>
        <v>Digital Payment</v>
      </c>
      <c r="P3420">
        <v>99.06</v>
      </c>
      <c r="Q3420" s="37" t="str">
        <f>IF(P3420&gt;500,"High","low")</f>
        <v>low</v>
      </c>
      <c r="R3420" s="37" t="str">
        <f t="shared" si="269"/>
        <v>AVERAGE</v>
      </c>
      <c r="S3420" t="s">
        <v>600</v>
      </c>
    </row>
    <row r="3421" spans="1:19" x14ac:dyDescent="0.2">
      <c r="A3421" t="s">
        <v>4032</v>
      </c>
      <c r="B3421" t="s">
        <v>90</v>
      </c>
      <c r="C3421" t="s">
        <v>597</v>
      </c>
      <c r="D3421">
        <v>2226.4699999999998</v>
      </c>
      <c r="E3421" s="37" t="str">
        <f t="shared" si="265"/>
        <v xml:space="preserve"> </v>
      </c>
      <c r="F3421">
        <v>0.43</v>
      </c>
      <c r="G3421" s="37" t="str">
        <f t="shared" si="266"/>
        <v>Heavy Discount</v>
      </c>
      <c r="H3421" s="37" t="str">
        <f t="shared" si="267"/>
        <v>High</v>
      </c>
      <c r="I3421">
        <v>5</v>
      </c>
      <c r="J3421" t="str" cm="1">
        <f t="array" ref="J3421">_xlfn.IFS(I3421&lt;=3,"small",I3421&lt;=6,"Medium",I3421&lt;=9,"Large")</f>
        <v>Medium</v>
      </c>
      <c r="K3421" s="36">
        <v>45357</v>
      </c>
      <c r="L3421" s="36">
        <v>45359</v>
      </c>
      <c r="M3421" t="s">
        <v>603</v>
      </c>
      <c r="N3421" t="s">
        <v>608</v>
      </c>
      <c r="O3421" s="37" t="str">
        <f t="shared" si="268"/>
        <v>Cash Payment</v>
      </c>
      <c r="P3421">
        <v>483.76</v>
      </c>
      <c r="Q3421" s="37" t="str">
        <f>IF(P3421&gt;500,"High","low")</f>
        <v>low</v>
      </c>
      <c r="R3421" s="37" t="str">
        <f t="shared" si="269"/>
        <v>AVERAGE</v>
      </c>
      <c r="S3421" t="s">
        <v>605</v>
      </c>
    </row>
    <row r="3422" spans="1:19" x14ac:dyDescent="0.2">
      <c r="A3422" t="s">
        <v>4033</v>
      </c>
      <c r="B3422" t="s">
        <v>90</v>
      </c>
      <c r="C3422" t="s">
        <v>597</v>
      </c>
      <c r="D3422">
        <v>1207.19</v>
      </c>
      <c r="E3422" s="37" t="str">
        <f t="shared" si="265"/>
        <v xml:space="preserve"> </v>
      </c>
      <c r="F3422">
        <v>0.17</v>
      </c>
      <c r="G3422" s="37" t="str">
        <f t="shared" si="266"/>
        <v>Normal Discount</v>
      </c>
      <c r="H3422" s="37" t="str">
        <f t="shared" si="267"/>
        <v>Low</v>
      </c>
      <c r="I3422">
        <v>7</v>
      </c>
      <c r="J3422" t="str" cm="1">
        <f t="array" ref="J3422">_xlfn.IFS(I3422&lt;=3,"small",I3422&lt;=6,"Medium",I3422&lt;=9,"Large")</f>
        <v>Large</v>
      </c>
      <c r="K3422" s="36">
        <v>45636</v>
      </c>
      <c r="L3422" s="36">
        <v>45643</v>
      </c>
      <c r="M3422" t="s">
        <v>612</v>
      </c>
      <c r="N3422" t="s">
        <v>599</v>
      </c>
      <c r="O3422" s="37" t="str">
        <f t="shared" si="268"/>
        <v>Digital Payment</v>
      </c>
      <c r="P3422">
        <v>323.95</v>
      </c>
      <c r="Q3422" s="37" t="str">
        <f>IF(P3422&gt;500,"High","low")</f>
        <v>low</v>
      </c>
      <c r="R3422" s="37" t="str">
        <f t="shared" si="269"/>
        <v>AVERAGE</v>
      </c>
      <c r="S3422" t="s">
        <v>620</v>
      </c>
    </row>
    <row r="3423" spans="1:19" x14ac:dyDescent="0.2">
      <c r="A3423" t="s">
        <v>4034</v>
      </c>
      <c r="B3423" t="s">
        <v>90</v>
      </c>
      <c r="C3423" t="s">
        <v>607</v>
      </c>
      <c r="D3423">
        <v>1813.04</v>
      </c>
      <c r="E3423" s="37" t="str">
        <f t="shared" si="265"/>
        <v xml:space="preserve"> </v>
      </c>
      <c r="F3423">
        <v>0.36</v>
      </c>
      <c r="G3423" s="37" t="str">
        <f t="shared" si="266"/>
        <v>Heavy Discount</v>
      </c>
      <c r="H3423" s="37" t="str">
        <f t="shared" si="267"/>
        <v>Medium</v>
      </c>
      <c r="I3423">
        <v>6</v>
      </c>
      <c r="J3423" t="str" cm="1">
        <f t="array" ref="J3423">_xlfn.IFS(I3423&lt;=3,"small",I3423&lt;=6,"Medium",I3423&lt;=9,"Large")</f>
        <v>Medium</v>
      </c>
      <c r="K3423" s="36">
        <v>45555</v>
      </c>
      <c r="L3423" s="36">
        <v>45557</v>
      </c>
      <c r="M3423" t="s">
        <v>598</v>
      </c>
      <c r="N3423" t="s">
        <v>604</v>
      </c>
      <c r="O3423" s="37" t="str">
        <f t="shared" si="268"/>
        <v>Digital Payment</v>
      </c>
      <c r="P3423">
        <v>251.36</v>
      </c>
      <c r="Q3423" s="37" t="str">
        <f>IF(P3423&gt;500,"High","low")</f>
        <v>low</v>
      </c>
      <c r="R3423" s="37" t="str">
        <f t="shared" si="269"/>
        <v>AVERAGE</v>
      </c>
      <c r="S3423" t="s">
        <v>628</v>
      </c>
    </row>
    <row r="3424" spans="1:19" x14ac:dyDescent="0.2">
      <c r="A3424" t="s">
        <v>4035</v>
      </c>
      <c r="B3424" t="s">
        <v>90</v>
      </c>
      <c r="C3424" t="s">
        <v>602</v>
      </c>
      <c r="D3424">
        <v>3296.25</v>
      </c>
      <c r="E3424" s="37" t="str">
        <f t="shared" si="265"/>
        <v xml:space="preserve"> </v>
      </c>
      <c r="F3424">
        <v>0.14000000000000001</v>
      </c>
      <c r="G3424" s="37" t="str">
        <f t="shared" si="266"/>
        <v>Normal Discount</v>
      </c>
      <c r="H3424" s="37" t="str">
        <f t="shared" si="267"/>
        <v>Low</v>
      </c>
      <c r="I3424">
        <v>5</v>
      </c>
      <c r="J3424" t="str" cm="1">
        <f t="array" ref="J3424">_xlfn.IFS(I3424&lt;=3,"small",I3424&lt;=6,"Medium",I3424&lt;=9,"Large")</f>
        <v>Medium</v>
      </c>
      <c r="K3424" s="36">
        <v>45419</v>
      </c>
      <c r="L3424" s="36">
        <v>45421</v>
      </c>
      <c r="M3424" t="s">
        <v>603</v>
      </c>
      <c r="N3424" t="s">
        <v>608</v>
      </c>
      <c r="O3424" s="37" t="str">
        <f t="shared" si="268"/>
        <v>Cash Payment</v>
      </c>
      <c r="P3424">
        <v>958.16</v>
      </c>
      <c r="Q3424" s="37" t="str">
        <f>IF(P3424&gt;500,"High","low")</f>
        <v>High</v>
      </c>
      <c r="R3424" s="37" t="str">
        <f t="shared" si="269"/>
        <v>Good</v>
      </c>
      <c r="S3424" t="s">
        <v>628</v>
      </c>
    </row>
    <row r="3425" spans="1:19" x14ac:dyDescent="0.2">
      <c r="A3425" t="s">
        <v>4036</v>
      </c>
      <c r="B3425" t="s">
        <v>75</v>
      </c>
      <c r="C3425" t="s">
        <v>617</v>
      </c>
      <c r="D3425">
        <v>4472.57</v>
      </c>
      <c r="E3425" s="37" t="str">
        <f t="shared" si="265"/>
        <v>Excellent Order</v>
      </c>
      <c r="F3425">
        <v>0.09</v>
      </c>
      <c r="G3425" s="37" t="str">
        <f t="shared" si="266"/>
        <v>Normal Discount</v>
      </c>
      <c r="H3425" s="37" t="str">
        <f t="shared" si="267"/>
        <v>Low</v>
      </c>
      <c r="I3425">
        <v>2</v>
      </c>
      <c r="J3425" t="str" cm="1">
        <f t="array" ref="J3425">_xlfn.IFS(I3425&lt;=3,"small",I3425&lt;=6,"Medium",I3425&lt;=9,"Large")</f>
        <v>small</v>
      </c>
      <c r="K3425" s="36">
        <v>45370</v>
      </c>
      <c r="L3425" s="36">
        <v>45376</v>
      </c>
      <c r="M3425" t="s">
        <v>612</v>
      </c>
      <c r="N3425" t="s">
        <v>599</v>
      </c>
      <c r="O3425" s="37" t="str">
        <f t="shared" si="268"/>
        <v>Digital Payment</v>
      </c>
      <c r="P3425">
        <v>1241.98</v>
      </c>
      <c r="Q3425" s="37" t="str">
        <f>IF(P3425&gt;500,"High","low")</f>
        <v>High</v>
      </c>
      <c r="R3425" s="37" t="str">
        <f t="shared" si="269"/>
        <v>Excellent</v>
      </c>
      <c r="S3425" t="s">
        <v>620</v>
      </c>
    </row>
    <row r="3426" spans="1:19" x14ac:dyDescent="0.2">
      <c r="A3426" t="s">
        <v>4037</v>
      </c>
      <c r="B3426" t="s">
        <v>90</v>
      </c>
      <c r="C3426" t="s">
        <v>614</v>
      </c>
      <c r="D3426">
        <v>1986.65</v>
      </c>
      <c r="E3426" s="37" t="str">
        <f t="shared" si="265"/>
        <v xml:space="preserve"> </v>
      </c>
      <c r="F3426">
        <v>0.44</v>
      </c>
      <c r="G3426" s="37" t="str">
        <f t="shared" si="266"/>
        <v>Heavy Discount</v>
      </c>
      <c r="H3426" s="37" t="str">
        <f t="shared" si="267"/>
        <v>High</v>
      </c>
      <c r="I3426">
        <v>5</v>
      </c>
      <c r="J3426" t="str" cm="1">
        <f t="array" ref="J3426">_xlfn.IFS(I3426&lt;=3,"small",I3426&lt;=6,"Medium",I3426&lt;=9,"Large")</f>
        <v>Medium</v>
      </c>
      <c r="K3426" s="36">
        <v>44937</v>
      </c>
      <c r="L3426" s="36">
        <v>44941</v>
      </c>
      <c r="M3426" t="s">
        <v>603</v>
      </c>
      <c r="N3426" t="s">
        <v>599</v>
      </c>
      <c r="O3426" s="37" t="str">
        <f t="shared" si="268"/>
        <v>Digital Payment</v>
      </c>
      <c r="P3426">
        <v>412.05</v>
      </c>
      <c r="Q3426" s="37" t="str">
        <f>IF(P3426&gt;500,"High","low")</f>
        <v>low</v>
      </c>
      <c r="R3426" s="37" t="str">
        <f t="shared" si="269"/>
        <v>AVERAGE</v>
      </c>
      <c r="S3426" t="s">
        <v>609</v>
      </c>
    </row>
    <row r="3427" spans="1:19" x14ac:dyDescent="0.2">
      <c r="A3427" t="s">
        <v>4038</v>
      </c>
      <c r="B3427" t="s">
        <v>83</v>
      </c>
      <c r="C3427" t="s">
        <v>617</v>
      </c>
      <c r="D3427">
        <v>3490.35</v>
      </c>
      <c r="E3427" s="37" t="str">
        <f t="shared" si="265"/>
        <v xml:space="preserve"> </v>
      </c>
      <c r="F3427">
        <v>0.18</v>
      </c>
      <c r="G3427" s="37" t="str">
        <f t="shared" si="266"/>
        <v>Normal Discount</v>
      </c>
      <c r="H3427" s="37" t="str">
        <f t="shared" si="267"/>
        <v>Low</v>
      </c>
      <c r="I3427">
        <v>7</v>
      </c>
      <c r="J3427" t="str" cm="1">
        <f t="array" ref="J3427">_xlfn.IFS(I3427&lt;=3,"small",I3427&lt;=6,"Medium",I3427&lt;=9,"Large")</f>
        <v>Large</v>
      </c>
      <c r="K3427" s="36">
        <v>45465</v>
      </c>
      <c r="L3427" s="36">
        <v>45472</v>
      </c>
      <c r="M3427" t="s">
        <v>603</v>
      </c>
      <c r="N3427" t="s">
        <v>608</v>
      </c>
      <c r="O3427" s="37" t="str">
        <f t="shared" si="268"/>
        <v>Cash Payment</v>
      </c>
      <c r="P3427">
        <v>276.35000000000002</v>
      </c>
      <c r="Q3427" s="37" t="str">
        <f>IF(P3427&gt;500,"High","low")</f>
        <v>low</v>
      </c>
      <c r="R3427" s="37" t="str">
        <f t="shared" si="269"/>
        <v>AVERAGE</v>
      </c>
      <c r="S3427" t="s">
        <v>628</v>
      </c>
    </row>
    <row r="3428" spans="1:19" x14ac:dyDescent="0.2">
      <c r="A3428" t="s">
        <v>4039</v>
      </c>
      <c r="B3428" t="s">
        <v>83</v>
      </c>
      <c r="C3428" t="s">
        <v>607</v>
      </c>
      <c r="D3428">
        <v>760.49</v>
      </c>
      <c r="E3428" s="37" t="str">
        <f t="shared" si="265"/>
        <v xml:space="preserve"> </v>
      </c>
      <c r="F3428">
        <v>0.1</v>
      </c>
      <c r="G3428" s="37" t="str">
        <f t="shared" si="266"/>
        <v>Normal Discount</v>
      </c>
      <c r="H3428" s="37" t="str">
        <f t="shared" si="267"/>
        <v>Low</v>
      </c>
      <c r="I3428">
        <v>6</v>
      </c>
      <c r="J3428" t="str" cm="1">
        <f t="array" ref="J3428">_xlfn.IFS(I3428&lt;=3,"small",I3428&lt;=6,"Medium",I3428&lt;=9,"Large")</f>
        <v>Medium</v>
      </c>
      <c r="K3428" s="36">
        <v>45196</v>
      </c>
      <c r="L3428" s="36">
        <v>45198</v>
      </c>
      <c r="M3428" t="s">
        <v>598</v>
      </c>
      <c r="N3428" t="s">
        <v>608</v>
      </c>
      <c r="O3428" s="37" t="str">
        <f t="shared" si="268"/>
        <v>Cash Payment</v>
      </c>
      <c r="P3428">
        <v>207.73</v>
      </c>
      <c r="Q3428" s="37" t="str">
        <f>IF(P3428&gt;500,"High","low")</f>
        <v>low</v>
      </c>
      <c r="R3428" s="37" t="str">
        <f t="shared" si="269"/>
        <v>AVERAGE</v>
      </c>
      <c r="S3428" t="s">
        <v>620</v>
      </c>
    </row>
    <row r="3429" spans="1:19" x14ac:dyDescent="0.2">
      <c r="A3429" t="s">
        <v>4040</v>
      </c>
      <c r="B3429" t="s">
        <v>75</v>
      </c>
      <c r="C3429" t="s">
        <v>597</v>
      </c>
      <c r="D3429">
        <v>2750.01</v>
      </c>
      <c r="E3429" s="37" t="str">
        <f t="shared" si="265"/>
        <v xml:space="preserve"> </v>
      </c>
      <c r="F3429">
        <v>0.48</v>
      </c>
      <c r="G3429" s="37" t="str">
        <f t="shared" si="266"/>
        <v>Heavy Discount</v>
      </c>
      <c r="H3429" s="37" t="str">
        <f t="shared" si="267"/>
        <v>High</v>
      </c>
      <c r="I3429">
        <v>6</v>
      </c>
      <c r="J3429" t="str" cm="1">
        <f t="array" ref="J3429">_xlfn.IFS(I3429&lt;=3,"small",I3429&lt;=6,"Medium",I3429&lt;=9,"Large")</f>
        <v>Medium</v>
      </c>
      <c r="K3429" s="36">
        <v>45537</v>
      </c>
      <c r="L3429" s="36">
        <v>45538</v>
      </c>
      <c r="M3429" t="s">
        <v>598</v>
      </c>
      <c r="N3429" t="s">
        <v>604</v>
      </c>
      <c r="O3429" s="37" t="str">
        <f t="shared" si="268"/>
        <v>Digital Payment</v>
      </c>
      <c r="P3429">
        <v>221.93</v>
      </c>
      <c r="Q3429" s="37" t="str">
        <f>IF(P3429&gt;500,"High","low")</f>
        <v>low</v>
      </c>
      <c r="R3429" s="37" t="str">
        <f t="shared" si="269"/>
        <v>AVERAGE</v>
      </c>
      <c r="S3429" t="s">
        <v>615</v>
      </c>
    </row>
    <row r="3430" spans="1:19" x14ac:dyDescent="0.2">
      <c r="A3430" t="s">
        <v>4041</v>
      </c>
      <c r="B3430" t="s">
        <v>83</v>
      </c>
      <c r="C3430" t="s">
        <v>597</v>
      </c>
      <c r="D3430">
        <v>4616.3500000000004</v>
      </c>
      <c r="E3430" s="37" t="str">
        <f t="shared" si="265"/>
        <v>Excellent Order</v>
      </c>
      <c r="F3430">
        <v>0.02</v>
      </c>
      <c r="G3430" s="37" t="str">
        <f t="shared" si="266"/>
        <v>Normal Discount</v>
      </c>
      <c r="H3430" s="37" t="str">
        <f t="shared" si="267"/>
        <v>Low</v>
      </c>
      <c r="I3430">
        <v>5</v>
      </c>
      <c r="J3430" t="str" cm="1">
        <f t="array" ref="J3430">_xlfn.IFS(I3430&lt;=3,"small",I3430&lt;=6,"Medium",I3430&lt;=9,"Large")</f>
        <v>Medium</v>
      </c>
      <c r="K3430" s="36">
        <v>45052</v>
      </c>
      <c r="L3430" s="36">
        <v>45057</v>
      </c>
      <c r="M3430" t="s">
        <v>612</v>
      </c>
      <c r="N3430" t="s">
        <v>608</v>
      </c>
      <c r="O3430" s="37" t="str">
        <f t="shared" si="268"/>
        <v>Cash Payment</v>
      </c>
      <c r="P3430">
        <v>834.4</v>
      </c>
      <c r="Q3430" s="37" t="str">
        <f>IF(P3430&gt;500,"High","low")</f>
        <v>High</v>
      </c>
      <c r="R3430" s="37" t="str">
        <f t="shared" si="269"/>
        <v>Good</v>
      </c>
      <c r="S3430" t="s">
        <v>620</v>
      </c>
    </row>
    <row r="3431" spans="1:19" x14ac:dyDescent="0.2">
      <c r="A3431" t="s">
        <v>4042</v>
      </c>
      <c r="B3431" t="s">
        <v>83</v>
      </c>
      <c r="C3431" t="s">
        <v>602</v>
      </c>
      <c r="D3431">
        <v>236.89</v>
      </c>
      <c r="E3431" s="37" t="str">
        <f t="shared" si="265"/>
        <v xml:space="preserve"> </v>
      </c>
      <c r="F3431">
        <v>0.18</v>
      </c>
      <c r="G3431" s="37" t="str">
        <f t="shared" si="266"/>
        <v>Normal Discount</v>
      </c>
      <c r="H3431" s="37" t="str">
        <f t="shared" si="267"/>
        <v>Low</v>
      </c>
      <c r="I3431">
        <v>9</v>
      </c>
      <c r="J3431" t="str" cm="1">
        <f t="array" ref="J3431">_xlfn.IFS(I3431&lt;=3,"small",I3431&lt;=6,"Medium",I3431&lt;=9,"Large")</f>
        <v>Large</v>
      </c>
      <c r="K3431" s="36">
        <v>45650</v>
      </c>
      <c r="L3431" s="36">
        <v>45652</v>
      </c>
      <c r="M3431" t="s">
        <v>603</v>
      </c>
      <c r="N3431" t="s">
        <v>608</v>
      </c>
      <c r="O3431" s="37" t="str">
        <f t="shared" si="268"/>
        <v>Cash Payment</v>
      </c>
      <c r="P3431">
        <v>12.98</v>
      </c>
      <c r="Q3431" s="37" t="str">
        <f>IF(P3431&gt;500,"High","low")</f>
        <v>low</v>
      </c>
      <c r="R3431" s="37" t="str">
        <f t="shared" si="269"/>
        <v>AVERAGE</v>
      </c>
      <c r="S3431" t="s">
        <v>615</v>
      </c>
    </row>
    <row r="3432" spans="1:19" x14ac:dyDescent="0.2">
      <c r="A3432" t="s">
        <v>4043</v>
      </c>
      <c r="B3432" t="s">
        <v>90</v>
      </c>
      <c r="C3432" t="s">
        <v>607</v>
      </c>
      <c r="D3432">
        <v>1411.03</v>
      </c>
      <c r="E3432" s="37" t="str">
        <f t="shared" si="265"/>
        <v xml:space="preserve"> </v>
      </c>
      <c r="F3432">
        <v>0.02</v>
      </c>
      <c r="G3432" s="37" t="str">
        <f t="shared" si="266"/>
        <v>Normal Discount</v>
      </c>
      <c r="H3432" s="37" t="str">
        <f t="shared" si="267"/>
        <v>Low</v>
      </c>
      <c r="I3432">
        <v>1</v>
      </c>
      <c r="J3432" t="str" cm="1">
        <f t="array" ref="J3432">_xlfn.IFS(I3432&lt;=3,"small",I3432&lt;=6,"Medium",I3432&lt;=9,"Large")</f>
        <v>small</v>
      </c>
      <c r="K3432" s="36">
        <v>45048</v>
      </c>
      <c r="L3432" s="36">
        <v>45049</v>
      </c>
      <c r="M3432" t="s">
        <v>598</v>
      </c>
      <c r="N3432" t="s">
        <v>604</v>
      </c>
      <c r="O3432" s="37" t="str">
        <f t="shared" si="268"/>
        <v>Digital Payment</v>
      </c>
      <c r="P3432">
        <v>125.08</v>
      </c>
      <c r="Q3432" s="37" t="str">
        <f>IF(P3432&gt;500,"High","low")</f>
        <v>low</v>
      </c>
      <c r="R3432" s="37" t="str">
        <f t="shared" si="269"/>
        <v>AVERAGE</v>
      </c>
      <c r="S3432" t="s">
        <v>609</v>
      </c>
    </row>
    <row r="3433" spans="1:19" x14ac:dyDescent="0.2">
      <c r="A3433" t="s">
        <v>4044</v>
      </c>
      <c r="B3433" t="s">
        <v>83</v>
      </c>
      <c r="C3433" t="s">
        <v>617</v>
      </c>
      <c r="D3433">
        <v>749.22</v>
      </c>
      <c r="E3433" s="37" t="str">
        <f t="shared" si="265"/>
        <v xml:space="preserve"> </v>
      </c>
      <c r="F3433">
        <v>0.25</v>
      </c>
      <c r="G3433" s="37" t="str">
        <f t="shared" si="266"/>
        <v>Normal Discount</v>
      </c>
      <c r="H3433" s="37" t="str">
        <f t="shared" si="267"/>
        <v>Medium</v>
      </c>
      <c r="I3433">
        <v>4</v>
      </c>
      <c r="J3433" t="str" cm="1">
        <f t="array" ref="J3433">_xlfn.IFS(I3433&lt;=3,"small",I3433&lt;=6,"Medium",I3433&lt;=9,"Large")</f>
        <v>Medium</v>
      </c>
      <c r="K3433" s="36">
        <v>45278</v>
      </c>
      <c r="L3433" s="36">
        <v>45279</v>
      </c>
      <c r="M3433" t="s">
        <v>598</v>
      </c>
      <c r="N3433" t="s">
        <v>608</v>
      </c>
      <c r="O3433" s="37" t="str">
        <f t="shared" si="268"/>
        <v>Cash Payment</v>
      </c>
      <c r="P3433">
        <v>143.05000000000001</v>
      </c>
      <c r="Q3433" s="37" t="str">
        <f>IF(P3433&gt;500,"High","low")</f>
        <v>low</v>
      </c>
      <c r="R3433" s="37" t="str">
        <f t="shared" si="269"/>
        <v>AVERAGE</v>
      </c>
      <c r="S3433" t="s">
        <v>620</v>
      </c>
    </row>
    <row r="3434" spans="1:19" x14ac:dyDescent="0.2">
      <c r="A3434" t="s">
        <v>4045</v>
      </c>
      <c r="B3434" t="s">
        <v>75</v>
      </c>
      <c r="C3434" t="s">
        <v>607</v>
      </c>
      <c r="D3434">
        <v>2712.3</v>
      </c>
      <c r="E3434" s="37" t="str">
        <f t="shared" si="265"/>
        <v xml:space="preserve"> </v>
      </c>
      <c r="F3434">
        <v>0.2</v>
      </c>
      <c r="G3434" s="37" t="str">
        <f t="shared" si="266"/>
        <v>Normal Discount</v>
      </c>
      <c r="H3434" s="37" t="str">
        <f t="shared" si="267"/>
        <v>Medium</v>
      </c>
      <c r="I3434">
        <v>7</v>
      </c>
      <c r="J3434" t="str" cm="1">
        <f t="array" ref="J3434">_xlfn.IFS(I3434&lt;=3,"small",I3434&lt;=6,"Medium",I3434&lt;=9,"Large")</f>
        <v>Large</v>
      </c>
      <c r="K3434" s="36">
        <v>45294</v>
      </c>
      <c r="L3434" s="36">
        <v>45297</v>
      </c>
      <c r="M3434" t="s">
        <v>612</v>
      </c>
      <c r="N3434" t="s">
        <v>604</v>
      </c>
      <c r="O3434" s="37" t="str">
        <f t="shared" si="268"/>
        <v>Digital Payment</v>
      </c>
      <c r="P3434">
        <v>136.63999999999999</v>
      </c>
      <c r="Q3434" s="37" t="str">
        <f>IF(P3434&gt;500,"High","low")</f>
        <v>low</v>
      </c>
      <c r="R3434" s="37" t="str">
        <f t="shared" si="269"/>
        <v>AVERAGE</v>
      </c>
      <c r="S3434" t="s">
        <v>628</v>
      </c>
    </row>
    <row r="3435" spans="1:19" x14ac:dyDescent="0.2">
      <c r="A3435" t="s">
        <v>4046</v>
      </c>
      <c r="B3435" t="s">
        <v>90</v>
      </c>
      <c r="C3435" t="s">
        <v>607</v>
      </c>
      <c r="D3435">
        <v>3430.25</v>
      </c>
      <c r="E3435" s="37" t="str">
        <f t="shared" si="265"/>
        <v xml:space="preserve"> </v>
      </c>
      <c r="F3435">
        <v>0.36</v>
      </c>
      <c r="G3435" s="37" t="str">
        <f t="shared" si="266"/>
        <v>Heavy Discount</v>
      </c>
      <c r="H3435" s="37" t="str">
        <f t="shared" si="267"/>
        <v>Medium</v>
      </c>
      <c r="I3435">
        <v>1</v>
      </c>
      <c r="J3435" t="str" cm="1">
        <f t="array" ref="J3435">_xlfn.IFS(I3435&lt;=3,"small",I3435&lt;=6,"Medium",I3435&lt;=9,"Large")</f>
        <v>small</v>
      </c>
      <c r="K3435" s="36">
        <v>45318</v>
      </c>
      <c r="L3435" s="36">
        <v>45319</v>
      </c>
      <c r="M3435" t="s">
        <v>603</v>
      </c>
      <c r="N3435" t="s">
        <v>599</v>
      </c>
      <c r="O3435" s="37" t="str">
        <f t="shared" si="268"/>
        <v>Digital Payment</v>
      </c>
      <c r="P3435">
        <v>301.33</v>
      </c>
      <c r="Q3435" s="37" t="str">
        <f>IF(P3435&gt;500,"High","low")</f>
        <v>low</v>
      </c>
      <c r="R3435" s="37" t="str">
        <f t="shared" si="269"/>
        <v>AVERAGE</v>
      </c>
      <c r="S3435" t="s">
        <v>628</v>
      </c>
    </row>
    <row r="3436" spans="1:19" x14ac:dyDescent="0.2">
      <c r="A3436" t="s">
        <v>4047</v>
      </c>
      <c r="B3436" t="s">
        <v>67</v>
      </c>
      <c r="C3436" t="s">
        <v>597</v>
      </c>
      <c r="D3436">
        <v>383.12</v>
      </c>
      <c r="E3436" s="37" t="str">
        <f t="shared" si="265"/>
        <v xml:space="preserve"> </v>
      </c>
      <c r="F3436">
        <v>0.48</v>
      </c>
      <c r="G3436" s="37" t="str">
        <f t="shared" si="266"/>
        <v>Heavy Discount</v>
      </c>
      <c r="H3436" s="37" t="str">
        <f t="shared" si="267"/>
        <v>High</v>
      </c>
      <c r="I3436">
        <v>4</v>
      </c>
      <c r="J3436" t="str" cm="1">
        <f t="array" ref="J3436">_xlfn.IFS(I3436&lt;=3,"small",I3436&lt;=6,"Medium",I3436&lt;=9,"Large")</f>
        <v>Medium</v>
      </c>
      <c r="K3436" s="36">
        <v>45001</v>
      </c>
      <c r="L3436" s="36">
        <v>45004</v>
      </c>
      <c r="M3436" t="s">
        <v>612</v>
      </c>
      <c r="N3436" t="s">
        <v>604</v>
      </c>
      <c r="O3436" s="37" t="str">
        <f t="shared" si="268"/>
        <v>Digital Payment</v>
      </c>
      <c r="P3436">
        <v>40.29</v>
      </c>
      <c r="Q3436" s="37" t="str">
        <f>IF(P3436&gt;500,"High","low")</f>
        <v>low</v>
      </c>
      <c r="R3436" s="37" t="str">
        <f t="shared" si="269"/>
        <v>AVERAGE</v>
      </c>
      <c r="S3436" t="s">
        <v>615</v>
      </c>
    </row>
    <row r="3437" spans="1:19" x14ac:dyDescent="0.2">
      <c r="A3437" t="s">
        <v>4048</v>
      </c>
      <c r="B3437" t="s">
        <v>90</v>
      </c>
      <c r="C3437" t="s">
        <v>617</v>
      </c>
      <c r="D3437">
        <v>444.39</v>
      </c>
      <c r="E3437" s="37" t="str">
        <f t="shared" si="265"/>
        <v xml:space="preserve"> </v>
      </c>
      <c r="F3437">
        <v>0.26</v>
      </c>
      <c r="G3437" s="37" t="str">
        <f t="shared" si="266"/>
        <v>Normal Discount</v>
      </c>
      <c r="H3437" s="37" t="str">
        <f t="shared" si="267"/>
        <v>Medium</v>
      </c>
      <c r="I3437">
        <v>6</v>
      </c>
      <c r="J3437" t="str" cm="1">
        <f t="array" ref="J3437">_xlfn.IFS(I3437&lt;=3,"small",I3437&lt;=6,"Medium",I3437&lt;=9,"Large")</f>
        <v>Medium</v>
      </c>
      <c r="K3437" s="36">
        <v>45376</v>
      </c>
      <c r="L3437" s="36">
        <v>45377</v>
      </c>
      <c r="M3437" t="s">
        <v>612</v>
      </c>
      <c r="N3437" t="s">
        <v>599</v>
      </c>
      <c r="O3437" s="37" t="str">
        <f t="shared" si="268"/>
        <v>Digital Payment</v>
      </c>
      <c r="P3437">
        <v>26.97</v>
      </c>
      <c r="Q3437" s="37" t="str">
        <f>IF(P3437&gt;500,"High","low")</f>
        <v>low</v>
      </c>
      <c r="R3437" s="37" t="str">
        <f t="shared" si="269"/>
        <v>AVERAGE</v>
      </c>
      <c r="S3437" t="s">
        <v>620</v>
      </c>
    </row>
    <row r="3438" spans="1:19" x14ac:dyDescent="0.2">
      <c r="A3438" t="s">
        <v>4049</v>
      </c>
      <c r="B3438" t="s">
        <v>75</v>
      </c>
      <c r="C3438" t="s">
        <v>614</v>
      </c>
      <c r="D3438">
        <v>4361.18</v>
      </c>
      <c r="E3438" s="37" t="str">
        <f t="shared" si="265"/>
        <v>Excellent Order</v>
      </c>
      <c r="F3438">
        <v>0.14000000000000001</v>
      </c>
      <c r="G3438" s="37" t="str">
        <f t="shared" si="266"/>
        <v>Normal Discount</v>
      </c>
      <c r="H3438" s="37" t="str">
        <f t="shared" si="267"/>
        <v>Low</v>
      </c>
      <c r="I3438">
        <v>8</v>
      </c>
      <c r="J3438" t="str" cm="1">
        <f t="array" ref="J3438">_xlfn.IFS(I3438&lt;=3,"small",I3438&lt;=6,"Medium",I3438&lt;=9,"Large")</f>
        <v>Large</v>
      </c>
      <c r="K3438" s="36">
        <v>44931</v>
      </c>
      <c r="L3438" s="36">
        <v>44933</v>
      </c>
      <c r="M3438" t="s">
        <v>612</v>
      </c>
      <c r="N3438" t="s">
        <v>599</v>
      </c>
      <c r="O3438" s="37" t="str">
        <f t="shared" si="268"/>
        <v>Digital Payment</v>
      </c>
      <c r="P3438">
        <v>850.07</v>
      </c>
      <c r="Q3438" s="37" t="str">
        <f>IF(P3438&gt;500,"High","low")</f>
        <v>High</v>
      </c>
      <c r="R3438" s="37" t="str">
        <f t="shared" si="269"/>
        <v>Good</v>
      </c>
      <c r="S3438" t="s">
        <v>609</v>
      </c>
    </row>
    <row r="3439" spans="1:19" x14ac:dyDescent="0.2">
      <c r="A3439" t="s">
        <v>4050</v>
      </c>
      <c r="B3439" t="s">
        <v>90</v>
      </c>
      <c r="C3439" t="s">
        <v>597</v>
      </c>
      <c r="D3439">
        <v>2335.54</v>
      </c>
      <c r="E3439" s="37" t="str">
        <f t="shared" si="265"/>
        <v xml:space="preserve"> </v>
      </c>
      <c r="F3439">
        <v>0.44</v>
      </c>
      <c r="G3439" s="37" t="str">
        <f t="shared" si="266"/>
        <v>Heavy Discount</v>
      </c>
      <c r="H3439" s="37" t="str">
        <f t="shared" si="267"/>
        <v>High</v>
      </c>
      <c r="I3439">
        <v>7</v>
      </c>
      <c r="J3439" t="str" cm="1">
        <f t="array" ref="J3439">_xlfn.IFS(I3439&lt;=3,"small",I3439&lt;=6,"Medium",I3439&lt;=9,"Large")</f>
        <v>Large</v>
      </c>
      <c r="K3439" s="36">
        <v>45084</v>
      </c>
      <c r="L3439" s="36">
        <v>45090</v>
      </c>
      <c r="M3439" t="s">
        <v>603</v>
      </c>
      <c r="N3439" t="s">
        <v>599</v>
      </c>
      <c r="O3439" s="37" t="str">
        <f t="shared" si="268"/>
        <v>Digital Payment</v>
      </c>
      <c r="P3439">
        <v>562.82000000000005</v>
      </c>
      <c r="Q3439" s="37" t="str">
        <f>IF(P3439&gt;500,"High","low")</f>
        <v>High</v>
      </c>
      <c r="R3439" s="37" t="str">
        <f t="shared" si="269"/>
        <v>Good</v>
      </c>
      <c r="S3439" t="s">
        <v>600</v>
      </c>
    </row>
    <row r="3440" spans="1:19" x14ac:dyDescent="0.2">
      <c r="A3440" t="s">
        <v>4051</v>
      </c>
      <c r="B3440" t="s">
        <v>90</v>
      </c>
      <c r="C3440" t="s">
        <v>617</v>
      </c>
      <c r="D3440">
        <v>2368.46</v>
      </c>
      <c r="E3440" s="37" t="str">
        <f t="shared" si="265"/>
        <v xml:space="preserve"> </v>
      </c>
      <c r="F3440">
        <v>0.3</v>
      </c>
      <c r="G3440" s="37" t="str">
        <f t="shared" si="266"/>
        <v>Normal Discount</v>
      </c>
      <c r="H3440" s="37" t="str">
        <f t="shared" si="267"/>
        <v>Medium</v>
      </c>
      <c r="I3440">
        <v>9</v>
      </c>
      <c r="J3440" t="str" cm="1">
        <f t="array" ref="J3440">_xlfn.IFS(I3440&lt;=3,"small",I3440&lt;=6,"Medium",I3440&lt;=9,"Large")</f>
        <v>Large</v>
      </c>
      <c r="K3440" s="36">
        <v>45162</v>
      </c>
      <c r="L3440" s="36">
        <v>45165</v>
      </c>
      <c r="M3440" t="s">
        <v>603</v>
      </c>
      <c r="N3440" t="s">
        <v>604</v>
      </c>
      <c r="O3440" s="37" t="str">
        <f t="shared" si="268"/>
        <v>Digital Payment</v>
      </c>
      <c r="P3440">
        <v>140.65</v>
      </c>
      <c r="Q3440" s="37" t="str">
        <f>IF(P3440&gt;500,"High","low")</f>
        <v>low</v>
      </c>
      <c r="R3440" s="37" t="str">
        <f t="shared" si="269"/>
        <v>AVERAGE</v>
      </c>
      <c r="S3440" t="s">
        <v>620</v>
      </c>
    </row>
    <row r="3441" spans="1:19" x14ac:dyDescent="0.2">
      <c r="A3441" t="s">
        <v>4052</v>
      </c>
      <c r="B3441" t="s">
        <v>75</v>
      </c>
      <c r="C3441" t="s">
        <v>602</v>
      </c>
      <c r="D3441">
        <v>4728.4399999999996</v>
      </c>
      <c r="E3441" s="37" t="str">
        <f t="shared" si="265"/>
        <v xml:space="preserve"> </v>
      </c>
      <c r="F3441">
        <v>0.28000000000000003</v>
      </c>
      <c r="G3441" s="37" t="str">
        <f t="shared" si="266"/>
        <v>Normal Discount</v>
      </c>
      <c r="H3441" s="37" t="str">
        <f t="shared" si="267"/>
        <v>Medium</v>
      </c>
      <c r="I3441">
        <v>7</v>
      </c>
      <c r="J3441" t="str" cm="1">
        <f t="array" ref="J3441">_xlfn.IFS(I3441&lt;=3,"small",I3441&lt;=6,"Medium",I3441&lt;=9,"Large")</f>
        <v>Large</v>
      </c>
      <c r="K3441" s="36">
        <v>45415</v>
      </c>
      <c r="L3441" s="36">
        <v>45418</v>
      </c>
      <c r="M3441" t="s">
        <v>612</v>
      </c>
      <c r="N3441" t="s">
        <v>599</v>
      </c>
      <c r="O3441" s="37" t="str">
        <f t="shared" si="268"/>
        <v>Digital Payment</v>
      </c>
      <c r="P3441">
        <v>728.48</v>
      </c>
      <c r="Q3441" s="37" t="str">
        <f>IF(P3441&gt;500,"High","low")</f>
        <v>High</v>
      </c>
      <c r="R3441" s="37" t="str">
        <f t="shared" si="269"/>
        <v>Good</v>
      </c>
      <c r="S3441" t="s">
        <v>620</v>
      </c>
    </row>
    <row r="3442" spans="1:19" x14ac:dyDescent="0.2">
      <c r="A3442" t="s">
        <v>4053</v>
      </c>
      <c r="B3442" t="s">
        <v>90</v>
      </c>
      <c r="C3442" t="s">
        <v>597</v>
      </c>
      <c r="D3442">
        <v>1669.03</v>
      </c>
      <c r="E3442" s="37" t="str">
        <f t="shared" si="265"/>
        <v xml:space="preserve"> </v>
      </c>
      <c r="F3442">
        <v>0.09</v>
      </c>
      <c r="G3442" s="37" t="str">
        <f t="shared" si="266"/>
        <v>Normal Discount</v>
      </c>
      <c r="H3442" s="37" t="str">
        <f t="shared" si="267"/>
        <v>Low</v>
      </c>
      <c r="I3442">
        <v>3</v>
      </c>
      <c r="J3442" t="str" cm="1">
        <f t="array" ref="J3442">_xlfn.IFS(I3442&lt;=3,"small",I3442&lt;=6,"Medium",I3442&lt;=9,"Large")</f>
        <v>small</v>
      </c>
      <c r="K3442" s="36">
        <v>45129</v>
      </c>
      <c r="L3442" s="36">
        <v>45136</v>
      </c>
      <c r="M3442" t="s">
        <v>612</v>
      </c>
      <c r="N3442" t="s">
        <v>604</v>
      </c>
      <c r="O3442" s="37" t="str">
        <f t="shared" si="268"/>
        <v>Digital Payment</v>
      </c>
      <c r="P3442">
        <v>309.91000000000003</v>
      </c>
      <c r="Q3442" s="37" t="str">
        <f>IF(P3442&gt;500,"High","low")</f>
        <v>low</v>
      </c>
      <c r="R3442" s="37" t="str">
        <f t="shared" si="269"/>
        <v>AVERAGE</v>
      </c>
      <c r="S3442" t="s">
        <v>600</v>
      </c>
    </row>
    <row r="3443" spans="1:19" x14ac:dyDescent="0.2">
      <c r="A3443" t="s">
        <v>4054</v>
      </c>
      <c r="B3443" t="s">
        <v>75</v>
      </c>
      <c r="C3443" t="s">
        <v>602</v>
      </c>
      <c r="D3443">
        <v>4495.42</v>
      </c>
      <c r="E3443" s="37" t="str">
        <f t="shared" si="265"/>
        <v>Excellent Order</v>
      </c>
      <c r="F3443">
        <v>0.02</v>
      </c>
      <c r="G3443" s="37" t="str">
        <f t="shared" si="266"/>
        <v>Normal Discount</v>
      </c>
      <c r="H3443" s="37" t="str">
        <f t="shared" si="267"/>
        <v>Low</v>
      </c>
      <c r="I3443">
        <v>4</v>
      </c>
      <c r="J3443" t="str" cm="1">
        <f t="array" ref="J3443">_xlfn.IFS(I3443&lt;=3,"small",I3443&lt;=6,"Medium",I3443&lt;=9,"Large")</f>
        <v>Medium</v>
      </c>
      <c r="K3443" s="36">
        <v>45646</v>
      </c>
      <c r="L3443" s="36">
        <v>45649</v>
      </c>
      <c r="M3443" t="s">
        <v>612</v>
      </c>
      <c r="N3443" t="s">
        <v>604</v>
      </c>
      <c r="O3443" s="37" t="str">
        <f t="shared" si="268"/>
        <v>Digital Payment</v>
      </c>
      <c r="P3443">
        <v>811.8</v>
      </c>
      <c r="Q3443" s="37" t="str">
        <f>IF(P3443&gt;500,"High","low")</f>
        <v>High</v>
      </c>
      <c r="R3443" s="37" t="str">
        <f t="shared" si="269"/>
        <v>Good</v>
      </c>
      <c r="S3443" t="s">
        <v>609</v>
      </c>
    </row>
    <row r="3444" spans="1:19" x14ac:dyDescent="0.2">
      <c r="A3444" t="s">
        <v>4055</v>
      </c>
      <c r="B3444" t="s">
        <v>75</v>
      </c>
      <c r="C3444" t="s">
        <v>597</v>
      </c>
      <c r="D3444">
        <v>4873.8500000000004</v>
      </c>
      <c r="E3444" s="37" t="str">
        <f t="shared" si="265"/>
        <v>Excellent Order</v>
      </c>
      <c r="F3444">
        <v>0.23</v>
      </c>
      <c r="G3444" s="37" t="str">
        <f t="shared" si="266"/>
        <v>Normal Discount</v>
      </c>
      <c r="H3444" s="37" t="str">
        <f t="shared" si="267"/>
        <v>Medium</v>
      </c>
      <c r="I3444">
        <v>3</v>
      </c>
      <c r="J3444" t="str" cm="1">
        <f t="array" ref="J3444">_xlfn.IFS(I3444&lt;=3,"small",I3444&lt;=6,"Medium",I3444&lt;=9,"Large")</f>
        <v>small</v>
      </c>
      <c r="K3444" s="36">
        <v>45288</v>
      </c>
      <c r="L3444" s="36">
        <v>45290</v>
      </c>
      <c r="M3444" t="s">
        <v>603</v>
      </c>
      <c r="N3444" t="s">
        <v>604</v>
      </c>
      <c r="O3444" s="37" t="str">
        <f t="shared" si="268"/>
        <v>Digital Payment</v>
      </c>
      <c r="P3444">
        <v>834.54</v>
      </c>
      <c r="Q3444" s="37" t="str">
        <f>IF(P3444&gt;500,"High","low")</f>
        <v>High</v>
      </c>
      <c r="R3444" s="37" t="str">
        <f t="shared" si="269"/>
        <v>Good</v>
      </c>
      <c r="S3444" t="s">
        <v>620</v>
      </c>
    </row>
    <row r="3445" spans="1:19" x14ac:dyDescent="0.2">
      <c r="A3445" t="s">
        <v>4056</v>
      </c>
      <c r="B3445" t="s">
        <v>67</v>
      </c>
      <c r="C3445" t="s">
        <v>607</v>
      </c>
      <c r="D3445">
        <v>1284.3</v>
      </c>
      <c r="E3445" s="37" t="str">
        <f t="shared" si="265"/>
        <v xml:space="preserve"> </v>
      </c>
      <c r="F3445">
        <v>0.26</v>
      </c>
      <c r="G3445" s="37" t="str">
        <f t="shared" si="266"/>
        <v>Normal Discount</v>
      </c>
      <c r="H3445" s="37" t="str">
        <f t="shared" si="267"/>
        <v>Medium</v>
      </c>
      <c r="I3445">
        <v>9</v>
      </c>
      <c r="J3445" t="str" cm="1">
        <f t="array" ref="J3445">_xlfn.IFS(I3445&lt;=3,"small",I3445&lt;=6,"Medium",I3445&lt;=9,"Large")</f>
        <v>Large</v>
      </c>
      <c r="K3445" s="36">
        <v>45257</v>
      </c>
      <c r="L3445" s="36">
        <v>45262</v>
      </c>
      <c r="M3445" t="s">
        <v>612</v>
      </c>
      <c r="N3445" t="s">
        <v>604</v>
      </c>
      <c r="O3445" s="37" t="str">
        <f t="shared" si="268"/>
        <v>Digital Payment</v>
      </c>
      <c r="P3445">
        <v>94.9</v>
      </c>
      <c r="Q3445" s="37" t="str">
        <f>IF(P3445&gt;500,"High","low")</f>
        <v>low</v>
      </c>
      <c r="R3445" s="37" t="str">
        <f t="shared" si="269"/>
        <v>AVERAGE</v>
      </c>
      <c r="S3445" t="s">
        <v>600</v>
      </c>
    </row>
    <row r="3446" spans="1:19" x14ac:dyDescent="0.2">
      <c r="A3446" t="s">
        <v>4057</v>
      </c>
      <c r="B3446" t="s">
        <v>83</v>
      </c>
      <c r="C3446" t="s">
        <v>617</v>
      </c>
      <c r="D3446">
        <v>2618.79</v>
      </c>
      <c r="E3446" s="37" t="str">
        <f t="shared" si="265"/>
        <v xml:space="preserve"> </v>
      </c>
      <c r="F3446">
        <v>0.06</v>
      </c>
      <c r="G3446" s="37" t="str">
        <f t="shared" si="266"/>
        <v>Normal Discount</v>
      </c>
      <c r="H3446" s="37" t="str">
        <f t="shared" si="267"/>
        <v>Low</v>
      </c>
      <c r="I3446">
        <v>8</v>
      </c>
      <c r="J3446" t="str" cm="1">
        <f t="array" ref="J3446">_xlfn.IFS(I3446&lt;=3,"small",I3446&lt;=6,"Medium",I3446&lt;=9,"Large")</f>
        <v>Large</v>
      </c>
      <c r="K3446" s="36">
        <v>45500</v>
      </c>
      <c r="L3446" s="36">
        <v>45502</v>
      </c>
      <c r="M3446" t="s">
        <v>598</v>
      </c>
      <c r="N3446" t="s">
        <v>608</v>
      </c>
      <c r="O3446" s="37" t="str">
        <f t="shared" si="268"/>
        <v>Cash Payment</v>
      </c>
      <c r="P3446">
        <v>293.83999999999997</v>
      </c>
      <c r="Q3446" s="37" t="str">
        <f>IF(P3446&gt;500,"High","low")</f>
        <v>low</v>
      </c>
      <c r="R3446" s="37" t="str">
        <f t="shared" si="269"/>
        <v>AVERAGE</v>
      </c>
      <c r="S3446" t="s">
        <v>600</v>
      </c>
    </row>
    <row r="3447" spans="1:19" x14ac:dyDescent="0.2">
      <c r="A3447" t="s">
        <v>4058</v>
      </c>
      <c r="B3447" t="s">
        <v>83</v>
      </c>
      <c r="C3447" t="s">
        <v>602</v>
      </c>
      <c r="D3447">
        <v>2718.35</v>
      </c>
      <c r="E3447" s="37" t="str">
        <f t="shared" si="265"/>
        <v xml:space="preserve"> </v>
      </c>
      <c r="F3447">
        <v>0.03</v>
      </c>
      <c r="G3447" s="37" t="str">
        <f t="shared" si="266"/>
        <v>Normal Discount</v>
      </c>
      <c r="H3447" s="37" t="str">
        <f t="shared" si="267"/>
        <v>Low</v>
      </c>
      <c r="I3447">
        <v>9</v>
      </c>
      <c r="J3447" t="str" cm="1">
        <f t="array" ref="J3447">_xlfn.IFS(I3447&lt;=3,"small",I3447&lt;=6,"Medium",I3447&lt;=9,"Large")</f>
        <v>Large</v>
      </c>
      <c r="K3447" s="36">
        <v>45247</v>
      </c>
      <c r="L3447" s="36">
        <v>45254</v>
      </c>
      <c r="M3447" t="s">
        <v>612</v>
      </c>
      <c r="N3447" t="s">
        <v>604</v>
      </c>
      <c r="O3447" s="37" t="str">
        <f t="shared" si="268"/>
        <v>Digital Payment</v>
      </c>
      <c r="P3447">
        <v>766.4</v>
      </c>
      <c r="Q3447" s="37" t="str">
        <f>IF(P3447&gt;500,"High","low")</f>
        <v>High</v>
      </c>
      <c r="R3447" s="37" t="str">
        <f t="shared" si="269"/>
        <v>Good</v>
      </c>
      <c r="S3447" t="s">
        <v>600</v>
      </c>
    </row>
    <row r="3448" spans="1:19" x14ac:dyDescent="0.2">
      <c r="A3448" t="s">
        <v>4059</v>
      </c>
      <c r="B3448" t="s">
        <v>90</v>
      </c>
      <c r="C3448" t="s">
        <v>597</v>
      </c>
      <c r="D3448">
        <v>4344.22</v>
      </c>
      <c r="E3448" s="37" t="str">
        <f t="shared" si="265"/>
        <v xml:space="preserve"> </v>
      </c>
      <c r="F3448">
        <v>0.11</v>
      </c>
      <c r="G3448" s="37" t="str">
        <f t="shared" si="266"/>
        <v>Normal Discount</v>
      </c>
      <c r="H3448" s="37" t="str">
        <f t="shared" si="267"/>
        <v>Low</v>
      </c>
      <c r="I3448">
        <v>2</v>
      </c>
      <c r="J3448" t="str" cm="1">
        <f t="array" ref="J3448">_xlfn.IFS(I3448&lt;=3,"small",I3448&lt;=6,"Medium",I3448&lt;=9,"Large")</f>
        <v>small</v>
      </c>
      <c r="K3448" s="36">
        <v>45183</v>
      </c>
      <c r="L3448" s="36">
        <v>45188</v>
      </c>
      <c r="M3448" t="s">
        <v>612</v>
      </c>
      <c r="N3448" t="s">
        <v>599</v>
      </c>
      <c r="O3448" s="37" t="str">
        <f t="shared" si="268"/>
        <v>Digital Payment</v>
      </c>
      <c r="P3448">
        <v>416.17</v>
      </c>
      <c r="Q3448" s="37" t="str">
        <f>IF(P3448&gt;500,"High","low")</f>
        <v>low</v>
      </c>
      <c r="R3448" s="37" t="str">
        <f t="shared" si="269"/>
        <v>AVERAGE</v>
      </c>
      <c r="S3448" t="s">
        <v>609</v>
      </c>
    </row>
    <row r="3449" spans="1:19" x14ac:dyDescent="0.2">
      <c r="A3449" t="s">
        <v>4060</v>
      </c>
      <c r="B3449" t="s">
        <v>90</v>
      </c>
      <c r="C3449" t="s">
        <v>602</v>
      </c>
      <c r="D3449">
        <v>1589.15</v>
      </c>
      <c r="E3449" s="37" t="str">
        <f t="shared" si="265"/>
        <v xml:space="preserve"> </v>
      </c>
      <c r="F3449">
        <v>0.03</v>
      </c>
      <c r="G3449" s="37" t="str">
        <f t="shared" si="266"/>
        <v>Normal Discount</v>
      </c>
      <c r="H3449" s="37" t="str">
        <f t="shared" si="267"/>
        <v>Low</v>
      </c>
      <c r="I3449">
        <v>5</v>
      </c>
      <c r="J3449" t="str" cm="1">
        <f t="array" ref="J3449">_xlfn.IFS(I3449&lt;=3,"small",I3449&lt;=6,"Medium",I3449&lt;=9,"Large")</f>
        <v>Medium</v>
      </c>
      <c r="K3449" s="36">
        <v>45302</v>
      </c>
      <c r="L3449" s="36">
        <v>45304</v>
      </c>
      <c r="M3449" t="s">
        <v>603</v>
      </c>
      <c r="N3449" t="s">
        <v>608</v>
      </c>
      <c r="O3449" s="37" t="str">
        <f t="shared" si="268"/>
        <v>Cash Payment</v>
      </c>
      <c r="P3449">
        <v>390.99</v>
      </c>
      <c r="Q3449" s="37" t="str">
        <f>IF(P3449&gt;500,"High","low")</f>
        <v>low</v>
      </c>
      <c r="R3449" s="37" t="str">
        <f t="shared" si="269"/>
        <v>AVERAGE</v>
      </c>
      <c r="S3449" t="s">
        <v>620</v>
      </c>
    </row>
    <row r="3450" spans="1:19" x14ac:dyDescent="0.2">
      <c r="A3450" t="s">
        <v>4061</v>
      </c>
      <c r="B3450" t="s">
        <v>67</v>
      </c>
      <c r="C3450" t="s">
        <v>597</v>
      </c>
      <c r="D3450">
        <v>4010.41</v>
      </c>
      <c r="E3450" s="37" t="str">
        <f t="shared" si="265"/>
        <v xml:space="preserve"> </v>
      </c>
      <c r="F3450">
        <v>0.03</v>
      </c>
      <c r="G3450" s="37" t="str">
        <f t="shared" si="266"/>
        <v>Normal Discount</v>
      </c>
      <c r="H3450" s="37" t="str">
        <f t="shared" si="267"/>
        <v>Low</v>
      </c>
      <c r="I3450">
        <v>5</v>
      </c>
      <c r="J3450" t="str" cm="1">
        <f t="array" ref="J3450">_xlfn.IFS(I3450&lt;=3,"small",I3450&lt;=6,"Medium",I3450&lt;=9,"Large")</f>
        <v>Medium</v>
      </c>
      <c r="K3450" s="36">
        <v>45554</v>
      </c>
      <c r="L3450" s="36">
        <v>45555</v>
      </c>
      <c r="M3450" t="s">
        <v>603</v>
      </c>
      <c r="N3450" t="s">
        <v>608</v>
      </c>
      <c r="O3450" s="37" t="str">
        <f t="shared" si="268"/>
        <v>Cash Payment</v>
      </c>
      <c r="P3450">
        <v>347.91</v>
      </c>
      <c r="Q3450" s="37" t="str">
        <f>IF(P3450&gt;500,"High","low")</f>
        <v>low</v>
      </c>
      <c r="R3450" s="37" t="str">
        <f t="shared" si="269"/>
        <v>AVERAGE</v>
      </c>
      <c r="S3450" t="s">
        <v>605</v>
      </c>
    </row>
    <row r="3451" spans="1:19" x14ac:dyDescent="0.2">
      <c r="A3451" t="s">
        <v>4062</v>
      </c>
      <c r="B3451" t="s">
        <v>67</v>
      </c>
      <c r="C3451" t="s">
        <v>597</v>
      </c>
      <c r="D3451">
        <v>4857.9399999999996</v>
      </c>
      <c r="E3451" s="37" t="str">
        <f t="shared" si="265"/>
        <v>Excellent Order</v>
      </c>
      <c r="F3451">
        <v>0.22</v>
      </c>
      <c r="G3451" s="37" t="str">
        <f t="shared" si="266"/>
        <v>Normal Discount</v>
      </c>
      <c r="H3451" s="37" t="str">
        <f t="shared" si="267"/>
        <v>Medium</v>
      </c>
      <c r="I3451">
        <v>7</v>
      </c>
      <c r="J3451" t="str" cm="1">
        <f t="array" ref="J3451">_xlfn.IFS(I3451&lt;=3,"small",I3451&lt;=6,"Medium",I3451&lt;=9,"Large")</f>
        <v>Large</v>
      </c>
      <c r="K3451" s="36">
        <v>45101</v>
      </c>
      <c r="L3451" s="36">
        <v>45103</v>
      </c>
      <c r="M3451" t="s">
        <v>598</v>
      </c>
      <c r="N3451" t="s">
        <v>608</v>
      </c>
      <c r="O3451" s="37" t="str">
        <f t="shared" si="268"/>
        <v>Cash Payment</v>
      </c>
      <c r="P3451">
        <v>1143.3599999999999</v>
      </c>
      <c r="Q3451" s="37" t="str">
        <f>IF(P3451&gt;500,"High","low")</f>
        <v>High</v>
      </c>
      <c r="R3451" s="37" t="str">
        <f t="shared" si="269"/>
        <v>Excellent</v>
      </c>
      <c r="S3451" t="s">
        <v>609</v>
      </c>
    </row>
    <row r="3452" spans="1:19" x14ac:dyDescent="0.2">
      <c r="A3452" t="s">
        <v>4063</v>
      </c>
      <c r="B3452" t="s">
        <v>67</v>
      </c>
      <c r="C3452" t="s">
        <v>614</v>
      </c>
      <c r="D3452">
        <v>4217.6499999999996</v>
      </c>
      <c r="E3452" s="37" t="str">
        <f t="shared" si="265"/>
        <v>Excellent Order</v>
      </c>
      <c r="F3452">
        <v>0.41</v>
      </c>
      <c r="G3452" s="37" t="str">
        <f t="shared" si="266"/>
        <v>Heavy Discount</v>
      </c>
      <c r="H3452" s="37" t="str">
        <f t="shared" si="267"/>
        <v>High</v>
      </c>
      <c r="I3452">
        <v>4</v>
      </c>
      <c r="J3452" t="str" cm="1">
        <f t="array" ref="J3452">_xlfn.IFS(I3452&lt;=3,"small",I3452&lt;=6,"Medium",I3452&lt;=9,"Large")</f>
        <v>Medium</v>
      </c>
      <c r="K3452" s="36">
        <v>45255</v>
      </c>
      <c r="L3452" s="36">
        <v>45260</v>
      </c>
      <c r="M3452" t="s">
        <v>612</v>
      </c>
      <c r="N3452" t="s">
        <v>604</v>
      </c>
      <c r="O3452" s="37" t="str">
        <f t="shared" si="268"/>
        <v>Digital Payment</v>
      </c>
      <c r="P3452">
        <v>926.65</v>
      </c>
      <c r="Q3452" s="37" t="str">
        <f>IF(P3452&gt;500,"High","low")</f>
        <v>High</v>
      </c>
      <c r="R3452" s="37" t="str">
        <f t="shared" si="269"/>
        <v>Good</v>
      </c>
      <c r="S3452" t="s">
        <v>609</v>
      </c>
    </row>
    <row r="3453" spans="1:19" x14ac:dyDescent="0.2">
      <c r="A3453" t="s">
        <v>4064</v>
      </c>
      <c r="B3453" t="s">
        <v>75</v>
      </c>
      <c r="C3453" t="s">
        <v>614</v>
      </c>
      <c r="D3453">
        <v>4554.79</v>
      </c>
      <c r="E3453" s="37" t="str">
        <f t="shared" si="265"/>
        <v>Excellent Order</v>
      </c>
      <c r="F3453">
        <v>0.33</v>
      </c>
      <c r="G3453" s="37" t="str">
        <f t="shared" si="266"/>
        <v>Heavy Discount</v>
      </c>
      <c r="H3453" s="37" t="str">
        <f t="shared" si="267"/>
        <v>Medium</v>
      </c>
      <c r="I3453">
        <v>4</v>
      </c>
      <c r="J3453" t="str" cm="1">
        <f t="array" ref="J3453">_xlfn.IFS(I3453&lt;=3,"small",I3453&lt;=6,"Medium",I3453&lt;=9,"Large")</f>
        <v>Medium</v>
      </c>
      <c r="K3453" s="36">
        <v>45209</v>
      </c>
      <c r="L3453" s="36">
        <v>45213</v>
      </c>
      <c r="M3453" t="s">
        <v>603</v>
      </c>
      <c r="N3453" t="s">
        <v>608</v>
      </c>
      <c r="O3453" s="37" t="str">
        <f t="shared" si="268"/>
        <v>Cash Payment</v>
      </c>
      <c r="P3453">
        <v>1357.56</v>
      </c>
      <c r="Q3453" s="37" t="str">
        <f>IF(P3453&gt;500,"High","low")</f>
        <v>High</v>
      </c>
      <c r="R3453" s="37" t="str">
        <f t="shared" si="269"/>
        <v>Excellent</v>
      </c>
      <c r="S3453" t="s">
        <v>628</v>
      </c>
    </row>
    <row r="3454" spans="1:19" x14ac:dyDescent="0.2">
      <c r="A3454" t="s">
        <v>4065</v>
      </c>
      <c r="B3454" t="s">
        <v>67</v>
      </c>
      <c r="C3454" t="s">
        <v>614</v>
      </c>
      <c r="D3454">
        <v>3570.94</v>
      </c>
      <c r="E3454" s="37" t="str">
        <f t="shared" si="265"/>
        <v xml:space="preserve"> </v>
      </c>
      <c r="F3454">
        <v>0.34</v>
      </c>
      <c r="G3454" s="37" t="str">
        <f t="shared" si="266"/>
        <v>Heavy Discount</v>
      </c>
      <c r="H3454" s="37" t="str">
        <f t="shared" si="267"/>
        <v>Medium</v>
      </c>
      <c r="I3454">
        <v>8</v>
      </c>
      <c r="J3454" t="str" cm="1">
        <f t="array" ref="J3454">_xlfn.IFS(I3454&lt;=3,"small",I3454&lt;=6,"Medium",I3454&lt;=9,"Large")</f>
        <v>Large</v>
      </c>
      <c r="K3454" s="36">
        <v>45220</v>
      </c>
      <c r="L3454" s="36">
        <v>45227</v>
      </c>
      <c r="M3454" t="s">
        <v>603</v>
      </c>
      <c r="N3454" t="s">
        <v>599</v>
      </c>
      <c r="O3454" s="37" t="str">
        <f t="shared" si="268"/>
        <v>Digital Payment</v>
      </c>
      <c r="P3454">
        <v>315.79000000000002</v>
      </c>
      <c r="Q3454" s="37" t="str">
        <f>IF(P3454&gt;500,"High","low")</f>
        <v>low</v>
      </c>
      <c r="R3454" s="37" t="str">
        <f t="shared" si="269"/>
        <v>AVERAGE</v>
      </c>
      <c r="S3454" t="s">
        <v>620</v>
      </c>
    </row>
    <row r="3455" spans="1:19" x14ac:dyDescent="0.2">
      <c r="A3455" t="s">
        <v>4066</v>
      </c>
      <c r="B3455" t="s">
        <v>67</v>
      </c>
      <c r="C3455" t="s">
        <v>602</v>
      </c>
      <c r="D3455">
        <v>4529.38</v>
      </c>
      <c r="E3455" s="37" t="str">
        <f t="shared" si="265"/>
        <v xml:space="preserve"> </v>
      </c>
      <c r="F3455">
        <v>0.13</v>
      </c>
      <c r="G3455" s="37" t="str">
        <f t="shared" si="266"/>
        <v>Normal Discount</v>
      </c>
      <c r="H3455" s="37" t="str">
        <f t="shared" si="267"/>
        <v>Low</v>
      </c>
      <c r="I3455">
        <v>1</v>
      </c>
      <c r="J3455" t="str" cm="1">
        <f t="array" ref="J3455">_xlfn.IFS(I3455&lt;=3,"small",I3455&lt;=6,"Medium",I3455&lt;=9,"Large")</f>
        <v>small</v>
      </c>
      <c r="K3455" s="36">
        <v>45329</v>
      </c>
      <c r="L3455" s="36">
        <v>45330</v>
      </c>
      <c r="M3455" t="s">
        <v>603</v>
      </c>
      <c r="N3455" t="s">
        <v>608</v>
      </c>
      <c r="O3455" s="37" t="str">
        <f t="shared" si="268"/>
        <v>Cash Payment</v>
      </c>
      <c r="P3455">
        <v>538.97</v>
      </c>
      <c r="Q3455" s="37" t="str">
        <f>IF(P3455&gt;500,"High","low")</f>
        <v>High</v>
      </c>
      <c r="R3455" s="37" t="str">
        <f t="shared" si="269"/>
        <v>Good</v>
      </c>
      <c r="S3455" t="s">
        <v>628</v>
      </c>
    </row>
    <row r="3456" spans="1:19" x14ac:dyDescent="0.2">
      <c r="A3456" t="s">
        <v>4067</v>
      </c>
      <c r="B3456" t="s">
        <v>90</v>
      </c>
      <c r="C3456" t="s">
        <v>607</v>
      </c>
      <c r="D3456">
        <v>907.77</v>
      </c>
      <c r="E3456" s="37" t="str">
        <f t="shared" si="265"/>
        <v xml:space="preserve"> </v>
      </c>
      <c r="F3456">
        <v>0.01</v>
      </c>
      <c r="G3456" s="37" t="str">
        <f t="shared" si="266"/>
        <v>Normal Discount</v>
      </c>
      <c r="H3456" s="37" t="str">
        <f t="shared" si="267"/>
        <v>Low</v>
      </c>
      <c r="I3456">
        <v>6</v>
      </c>
      <c r="J3456" t="str" cm="1">
        <f t="array" ref="J3456">_xlfn.IFS(I3456&lt;=3,"small",I3456&lt;=6,"Medium",I3456&lt;=9,"Large")</f>
        <v>Medium</v>
      </c>
      <c r="K3456" s="36">
        <v>45647</v>
      </c>
      <c r="L3456" s="36">
        <v>45650</v>
      </c>
      <c r="M3456" t="s">
        <v>603</v>
      </c>
      <c r="N3456" t="s">
        <v>608</v>
      </c>
      <c r="O3456" s="37" t="str">
        <f t="shared" si="268"/>
        <v>Cash Payment</v>
      </c>
      <c r="P3456">
        <v>236.63</v>
      </c>
      <c r="Q3456" s="37" t="str">
        <f>IF(P3456&gt;500,"High","low")</f>
        <v>low</v>
      </c>
      <c r="R3456" s="37" t="str">
        <f t="shared" si="269"/>
        <v>AVERAGE</v>
      </c>
      <c r="S3456" t="s">
        <v>620</v>
      </c>
    </row>
    <row r="3457" spans="1:19" x14ac:dyDescent="0.2">
      <c r="A3457" t="s">
        <v>4068</v>
      </c>
      <c r="B3457" t="s">
        <v>67</v>
      </c>
      <c r="C3457" t="s">
        <v>597</v>
      </c>
      <c r="D3457">
        <v>3590.57</v>
      </c>
      <c r="E3457" s="37" t="str">
        <f t="shared" si="265"/>
        <v xml:space="preserve"> </v>
      </c>
      <c r="F3457">
        <v>0.23</v>
      </c>
      <c r="G3457" s="37" t="str">
        <f t="shared" si="266"/>
        <v>Normal Discount</v>
      </c>
      <c r="H3457" s="37" t="str">
        <f t="shared" si="267"/>
        <v>Medium</v>
      </c>
      <c r="I3457">
        <v>9</v>
      </c>
      <c r="J3457" t="str" cm="1">
        <f t="array" ref="J3457">_xlfn.IFS(I3457&lt;=3,"small",I3457&lt;=6,"Medium",I3457&lt;=9,"Large")</f>
        <v>Large</v>
      </c>
      <c r="K3457" s="36">
        <v>45578</v>
      </c>
      <c r="L3457" s="36">
        <v>45580</v>
      </c>
      <c r="M3457" t="s">
        <v>603</v>
      </c>
      <c r="N3457" t="s">
        <v>608</v>
      </c>
      <c r="O3457" s="37" t="str">
        <f t="shared" si="268"/>
        <v>Cash Payment</v>
      </c>
      <c r="P3457">
        <v>679.57</v>
      </c>
      <c r="Q3457" s="37" t="str">
        <f>IF(P3457&gt;500,"High","low")</f>
        <v>High</v>
      </c>
      <c r="R3457" s="37" t="str">
        <f t="shared" si="269"/>
        <v>Good</v>
      </c>
      <c r="S3457" t="s">
        <v>615</v>
      </c>
    </row>
    <row r="3458" spans="1:19" x14ac:dyDescent="0.2">
      <c r="A3458" t="s">
        <v>4069</v>
      </c>
      <c r="B3458" t="s">
        <v>75</v>
      </c>
      <c r="C3458" t="s">
        <v>617</v>
      </c>
      <c r="D3458">
        <v>3686.2</v>
      </c>
      <c r="E3458" s="37" t="str">
        <f t="shared" si="265"/>
        <v xml:space="preserve"> </v>
      </c>
      <c r="F3458">
        <v>0.19</v>
      </c>
      <c r="G3458" s="37" t="str">
        <f t="shared" si="266"/>
        <v>Normal Discount</v>
      </c>
      <c r="H3458" s="37" t="str">
        <f t="shared" si="267"/>
        <v>Low</v>
      </c>
      <c r="I3458">
        <v>2</v>
      </c>
      <c r="J3458" t="str" cm="1">
        <f t="array" ref="J3458">_xlfn.IFS(I3458&lt;=3,"small",I3458&lt;=6,"Medium",I3458&lt;=9,"Large")</f>
        <v>small</v>
      </c>
      <c r="K3458" s="36">
        <v>45504</v>
      </c>
      <c r="L3458" s="36">
        <v>45510</v>
      </c>
      <c r="M3458" t="s">
        <v>603</v>
      </c>
      <c r="N3458" t="s">
        <v>599</v>
      </c>
      <c r="O3458" s="37" t="str">
        <f t="shared" si="268"/>
        <v>Digital Payment</v>
      </c>
      <c r="P3458">
        <v>488.01</v>
      </c>
      <c r="Q3458" s="37" t="str">
        <f>IF(P3458&gt;500,"High","low")</f>
        <v>low</v>
      </c>
      <c r="R3458" s="37" t="str">
        <f t="shared" si="269"/>
        <v>AVERAGE</v>
      </c>
      <c r="S3458" t="s">
        <v>620</v>
      </c>
    </row>
    <row r="3459" spans="1:19" x14ac:dyDescent="0.2">
      <c r="A3459" t="s">
        <v>4070</v>
      </c>
      <c r="B3459" t="s">
        <v>75</v>
      </c>
      <c r="C3459" t="s">
        <v>614</v>
      </c>
      <c r="D3459">
        <v>2251.9899999999998</v>
      </c>
      <c r="E3459" s="37" t="str">
        <f t="shared" ref="E3459:E3522" si="270">IF(AND(D3459&gt;4000,P3459&gt;800),"Excellent Order"," ")</f>
        <v xml:space="preserve"> </v>
      </c>
      <c r="F3459">
        <v>0.47</v>
      </c>
      <c r="G3459" s="37" t="str">
        <f t="shared" ref="G3459:G3522" si="271">IF(F3459&gt;30%,"Heavy Discount","Normal Discount")</f>
        <v>Heavy Discount</v>
      </c>
      <c r="H3459" s="37" t="str">
        <f t="shared" ref="H3459:H3522" si="272">IF(F3459&gt;0.4,"High",IF(F3459&gt;=0.2,"Medium","Low"))</f>
        <v>High</v>
      </c>
      <c r="I3459">
        <v>5</v>
      </c>
      <c r="J3459" t="str" cm="1">
        <f t="array" ref="J3459">_xlfn.IFS(I3459&lt;=3,"small",I3459&lt;=6,"Medium",I3459&lt;=9,"Large")</f>
        <v>Medium</v>
      </c>
      <c r="K3459" s="36">
        <v>45126</v>
      </c>
      <c r="L3459" s="36">
        <v>45127</v>
      </c>
      <c r="M3459" t="s">
        <v>612</v>
      </c>
      <c r="N3459" t="s">
        <v>604</v>
      </c>
      <c r="O3459" s="37" t="str">
        <f t="shared" ref="O3459:O3522" si="273">IF(OR(N3459="Card",N3459="UPI"),"Digital Payment","Cash Payment")</f>
        <v>Digital Payment</v>
      </c>
      <c r="P3459">
        <v>197.33</v>
      </c>
      <c r="Q3459" s="37" t="str">
        <f>IF(P3459&gt;500,"High","low")</f>
        <v>low</v>
      </c>
      <c r="R3459" s="37" t="str">
        <f t="shared" ref="R3459:R3522" si="274">IF(P3459&gt;1000,"Excellent",IF(P3459&gt;=500,"Good","AVERAGE"))</f>
        <v>AVERAGE</v>
      </c>
      <c r="S3459" t="s">
        <v>620</v>
      </c>
    </row>
    <row r="3460" spans="1:19" x14ac:dyDescent="0.2">
      <c r="A3460" t="s">
        <v>4071</v>
      </c>
      <c r="B3460" t="s">
        <v>90</v>
      </c>
      <c r="C3460" t="s">
        <v>602</v>
      </c>
      <c r="D3460">
        <v>490.72</v>
      </c>
      <c r="E3460" s="37" t="str">
        <f t="shared" si="270"/>
        <v xml:space="preserve"> </v>
      </c>
      <c r="F3460">
        <v>0.04</v>
      </c>
      <c r="G3460" s="37" t="str">
        <f t="shared" si="271"/>
        <v>Normal Discount</v>
      </c>
      <c r="H3460" s="37" t="str">
        <f t="shared" si="272"/>
        <v>Low</v>
      </c>
      <c r="I3460">
        <v>9</v>
      </c>
      <c r="J3460" t="str" cm="1">
        <f t="array" ref="J3460">_xlfn.IFS(I3460&lt;=3,"small",I3460&lt;=6,"Medium",I3460&lt;=9,"Large")</f>
        <v>Large</v>
      </c>
      <c r="K3460" s="36">
        <v>44959</v>
      </c>
      <c r="L3460" s="36">
        <v>44964</v>
      </c>
      <c r="M3460" t="s">
        <v>603</v>
      </c>
      <c r="N3460" t="s">
        <v>604</v>
      </c>
      <c r="O3460" s="37" t="str">
        <f t="shared" si="273"/>
        <v>Digital Payment</v>
      </c>
      <c r="P3460">
        <v>92.93</v>
      </c>
      <c r="Q3460" s="37" t="str">
        <f>IF(P3460&gt;500,"High","low")</f>
        <v>low</v>
      </c>
      <c r="R3460" s="37" t="str">
        <f t="shared" si="274"/>
        <v>AVERAGE</v>
      </c>
      <c r="S3460" t="s">
        <v>600</v>
      </c>
    </row>
    <row r="3461" spans="1:19" x14ac:dyDescent="0.2">
      <c r="A3461" t="s">
        <v>4072</v>
      </c>
      <c r="B3461" t="s">
        <v>67</v>
      </c>
      <c r="C3461" t="s">
        <v>602</v>
      </c>
      <c r="D3461">
        <v>3149.97</v>
      </c>
      <c r="E3461" s="37" t="str">
        <f t="shared" si="270"/>
        <v xml:space="preserve"> </v>
      </c>
      <c r="F3461">
        <v>0.39</v>
      </c>
      <c r="G3461" s="37" t="str">
        <f t="shared" si="271"/>
        <v>Heavy Discount</v>
      </c>
      <c r="H3461" s="37" t="str">
        <f t="shared" si="272"/>
        <v>Medium</v>
      </c>
      <c r="I3461">
        <v>4</v>
      </c>
      <c r="J3461" t="str" cm="1">
        <f t="array" ref="J3461">_xlfn.IFS(I3461&lt;=3,"small",I3461&lt;=6,"Medium",I3461&lt;=9,"Large")</f>
        <v>Medium</v>
      </c>
      <c r="K3461" s="36">
        <v>45434</v>
      </c>
      <c r="L3461" s="36">
        <v>45437</v>
      </c>
      <c r="M3461" t="s">
        <v>612</v>
      </c>
      <c r="N3461" t="s">
        <v>604</v>
      </c>
      <c r="O3461" s="37" t="str">
        <f t="shared" si="273"/>
        <v>Digital Payment</v>
      </c>
      <c r="P3461">
        <v>537.55999999999995</v>
      </c>
      <c r="Q3461" s="37" t="str">
        <f>IF(P3461&gt;500,"High","low")</f>
        <v>High</v>
      </c>
      <c r="R3461" s="37" t="str">
        <f t="shared" si="274"/>
        <v>Good</v>
      </c>
      <c r="S3461" t="s">
        <v>620</v>
      </c>
    </row>
    <row r="3462" spans="1:19" x14ac:dyDescent="0.2">
      <c r="A3462" t="s">
        <v>4073</v>
      </c>
      <c r="B3462" t="s">
        <v>67</v>
      </c>
      <c r="C3462" t="s">
        <v>602</v>
      </c>
      <c r="D3462">
        <v>354.22</v>
      </c>
      <c r="E3462" s="37" t="str">
        <f t="shared" si="270"/>
        <v xml:space="preserve"> </v>
      </c>
      <c r="F3462">
        <v>0.19</v>
      </c>
      <c r="G3462" s="37" t="str">
        <f t="shared" si="271"/>
        <v>Normal Discount</v>
      </c>
      <c r="H3462" s="37" t="str">
        <f t="shared" si="272"/>
        <v>Low</v>
      </c>
      <c r="I3462">
        <v>9</v>
      </c>
      <c r="J3462" t="str" cm="1">
        <f t="array" ref="J3462">_xlfn.IFS(I3462&lt;=3,"small",I3462&lt;=6,"Medium",I3462&lt;=9,"Large")</f>
        <v>Large</v>
      </c>
      <c r="K3462" s="36">
        <v>45067</v>
      </c>
      <c r="L3462" s="36">
        <v>45072</v>
      </c>
      <c r="M3462" t="s">
        <v>612</v>
      </c>
      <c r="N3462" t="s">
        <v>599</v>
      </c>
      <c r="O3462" s="37" t="str">
        <f t="shared" si="273"/>
        <v>Digital Payment</v>
      </c>
      <c r="P3462">
        <v>39.53</v>
      </c>
      <c r="Q3462" s="37" t="str">
        <f>IF(P3462&gt;500,"High","low")</f>
        <v>low</v>
      </c>
      <c r="R3462" s="37" t="str">
        <f t="shared" si="274"/>
        <v>AVERAGE</v>
      </c>
      <c r="S3462" t="s">
        <v>609</v>
      </c>
    </row>
    <row r="3463" spans="1:19" x14ac:dyDescent="0.2">
      <c r="A3463" t="s">
        <v>4074</v>
      </c>
      <c r="B3463" t="s">
        <v>75</v>
      </c>
      <c r="C3463" t="s">
        <v>617</v>
      </c>
      <c r="D3463">
        <v>1973.77</v>
      </c>
      <c r="E3463" s="37" t="str">
        <f t="shared" si="270"/>
        <v xml:space="preserve"> </v>
      </c>
      <c r="F3463">
        <v>0.41</v>
      </c>
      <c r="G3463" s="37" t="str">
        <f t="shared" si="271"/>
        <v>Heavy Discount</v>
      </c>
      <c r="H3463" s="37" t="str">
        <f t="shared" si="272"/>
        <v>High</v>
      </c>
      <c r="I3463">
        <v>8</v>
      </c>
      <c r="J3463" t="str" cm="1">
        <f t="array" ref="J3463">_xlfn.IFS(I3463&lt;=3,"small",I3463&lt;=6,"Medium",I3463&lt;=9,"Large")</f>
        <v>Large</v>
      </c>
      <c r="K3463" s="36">
        <v>44969</v>
      </c>
      <c r="L3463" s="36">
        <v>44970</v>
      </c>
      <c r="M3463" t="s">
        <v>598</v>
      </c>
      <c r="N3463" t="s">
        <v>608</v>
      </c>
      <c r="O3463" s="37" t="str">
        <f t="shared" si="273"/>
        <v>Cash Payment</v>
      </c>
      <c r="P3463">
        <v>408.95</v>
      </c>
      <c r="Q3463" s="37" t="str">
        <f>IF(P3463&gt;500,"High","low")</f>
        <v>low</v>
      </c>
      <c r="R3463" s="37" t="str">
        <f t="shared" si="274"/>
        <v>AVERAGE</v>
      </c>
      <c r="S3463" t="s">
        <v>609</v>
      </c>
    </row>
    <row r="3464" spans="1:19" x14ac:dyDescent="0.2">
      <c r="A3464" t="s">
        <v>4075</v>
      </c>
      <c r="B3464" t="s">
        <v>67</v>
      </c>
      <c r="C3464" t="s">
        <v>617</v>
      </c>
      <c r="D3464">
        <v>2028.98</v>
      </c>
      <c r="E3464" s="37" t="str">
        <f t="shared" si="270"/>
        <v xml:space="preserve"> </v>
      </c>
      <c r="F3464">
        <v>0.25</v>
      </c>
      <c r="G3464" s="37" t="str">
        <f t="shared" si="271"/>
        <v>Normal Discount</v>
      </c>
      <c r="H3464" s="37" t="str">
        <f t="shared" si="272"/>
        <v>Medium</v>
      </c>
      <c r="I3464">
        <v>9</v>
      </c>
      <c r="J3464" t="str" cm="1">
        <f t="array" ref="J3464">_xlfn.IFS(I3464&lt;=3,"small",I3464&lt;=6,"Medium",I3464&lt;=9,"Large")</f>
        <v>Large</v>
      </c>
      <c r="K3464" s="36">
        <v>45587</v>
      </c>
      <c r="L3464" s="36">
        <v>45588</v>
      </c>
      <c r="M3464" t="s">
        <v>598</v>
      </c>
      <c r="N3464" t="s">
        <v>599</v>
      </c>
      <c r="O3464" s="37" t="str">
        <f t="shared" si="273"/>
        <v>Digital Payment</v>
      </c>
      <c r="P3464">
        <v>447.71</v>
      </c>
      <c r="Q3464" s="37" t="str">
        <f>IF(P3464&gt;500,"High","low")</f>
        <v>low</v>
      </c>
      <c r="R3464" s="37" t="str">
        <f t="shared" si="274"/>
        <v>AVERAGE</v>
      </c>
      <c r="S3464" t="s">
        <v>605</v>
      </c>
    </row>
    <row r="3465" spans="1:19" x14ac:dyDescent="0.2">
      <c r="A3465" t="s">
        <v>4076</v>
      </c>
      <c r="B3465" t="s">
        <v>67</v>
      </c>
      <c r="C3465" t="s">
        <v>614</v>
      </c>
      <c r="D3465">
        <v>4994.72</v>
      </c>
      <c r="E3465" s="37" t="str">
        <f t="shared" si="270"/>
        <v>Excellent Order</v>
      </c>
      <c r="F3465">
        <v>0.41</v>
      </c>
      <c r="G3465" s="37" t="str">
        <f t="shared" si="271"/>
        <v>Heavy Discount</v>
      </c>
      <c r="H3465" s="37" t="str">
        <f t="shared" si="272"/>
        <v>High</v>
      </c>
      <c r="I3465">
        <v>2</v>
      </c>
      <c r="J3465" t="str" cm="1">
        <f t="array" ref="J3465">_xlfn.IFS(I3465&lt;=3,"small",I3465&lt;=6,"Medium",I3465&lt;=9,"Large")</f>
        <v>small</v>
      </c>
      <c r="K3465" s="36">
        <v>45649</v>
      </c>
      <c r="L3465" s="36">
        <v>45650</v>
      </c>
      <c r="M3465" t="s">
        <v>598</v>
      </c>
      <c r="N3465" t="s">
        <v>604</v>
      </c>
      <c r="O3465" s="37" t="str">
        <f t="shared" si="273"/>
        <v>Digital Payment</v>
      </c>
      <c r="P3465">
        <v>941.83</v>
      </c>
      <c r="Q3465" s="37" t="str">
        <f>IF(P3465&gt;500,"High","low")</f>
        <v>High</v>
      </c>
      <c r="R3465" s="37" t="str">
        <f t="shared" si="274"/>
        <v>Good</v>
      </c>
      <c r="S3465" t="s">
        <v>600</v>
      </c>
    </row>
    <row r="3466" spans="1:19" x14ac:dyDescent="0.2">
      <c r="A3466" t="s">
        <v>4077</v>
      </c>
      <c r="B3466" t="s">
        <v>67</v>
      </c>
      <c r="C3466" t="s">
        <v>617</v>
      </c>
      <c r="D3466">
        <v>1569.03</v>
      </c>
      <c r="E3466" s="37" t="str">
        <f t="shared" si="270"/>
        <v xml:space="preserve"> </v>
      </c>
      <c r="F3466">
        <v>0.23</v>
      </c>
      <c r="G3466" s="37" t="str">
        <f t="shared" si="271"/>
        <v>Normal Discount</v>
      </c>
      <c r="H3466" s="37" t="str">
        <f t="shared" si="272"/>
        <v>Medium</v>
      </c>
      <c r="I3466">
        <v>5</v>
      </c>
      <c r="J3466" t="str" cm="1">
        <f t="array" ref="J3466">_xlfn.IFS(I3466&lt;=3,"small",I3466&lt;=6,"Medium",I3466&lt;=9,"Large")</f>
        <v>Medium</v>
      </c>
      <c r="K3466" s="36">
        <v>45344</v>
      </c>
      <c r="L3466" s="36">
        <v>45345</v>
      </c>
      <c r="M3466" t="s">
        <v>612</v>
      </c>
      <c r="N3466" t="s">
        <v>599</v>
      </c>
      <c r="O3466" s="37" t="str">
        <f t="shared" si="273"/>
        <v>Digital Payment</v>
      </c>
      <c r="P3466">
        <v>339.61</v>
      </c>
      <c r="Q3466" s="37" t="str">
        <f>IF(P3466&gt;500,"High","low")</f>
        <v>low</v>
      </c>
      <c r="R3466" s="37" t="str">
        <f t="shared" si="274"/>
        <v>AVERAGE</v>
      </c>
      <c r="S3466" t="s">
        <v>600</v>
      </c>
    </row>
    <row r="3467" spans="1:19" x14ac:dyDescent="0.2">
      <c r="A3467" t="s">
        <v>4078</v>
      </c>
      <c r="B3467" t="s">
        <v>83</v>
      </c>
      <c r="C3467" t="s">
        <v>614</v>
      </c>
      <c r="D3467">
        <v>4120.22</v>
      </c>
      <c r="E3467" s="37" t="str">
        <f t="shared" si="270"/>
        <v xml:space="preserve"> </v>
      </c>
      <c r="F3467">
        <v>0.2</v>
      </c>
      <c r="G3467" s="37" t="str">
        <f t="shared" si="271"/>
        <v>Normal Discount</v>
      </c>
      <c r="H3467" s="37" t="str">
        <f t="shared" si="272"/>
        <v>Medium</v>
      </c>
      <c r="I3467">
        <v>9</v>
      </c>
      <c r="J3467" t="str" cm="1">
        <f t="array" ref="J3467">_xlfn.IFS(I3467&lt;=3,"small",I3467&lt;=6,"Medium",I3467&lt;=9,"Large")</f>
        <v>Large</v>
      </c>
      <c r="K3467" s="36">
        <v>45202</v>
      </c>
      <c r="L3467" s="36">
        <v>45207</v>
      </c>
      <c r="M3467" t="s">
        <v>612</v>
      </c>
      <c r="N3467" t="s">
        <v>604</v>
      </c>
      <c r="O3467" s="37" t="str">
        <f t="shared" si="273"/>
        <v>Digital Payment</v>
      </c>
      <c r="P3467">
        <v>469.26</v>
      </c>
      <c r="Q3467" s="37" t="str">
        <f>IF(P3467&gt;500,"High","low")</f>
        <v>low</v>
      </c>
      <c r="R3467" s="37" t="str">
        <f t="shared" si="274"/>
        <v>AVERAGE</v>
      </c>
      <c r="S3467" t="s">
        <v>620</v>
      </c>
    </row>
    <row r="3468" spans="1:19" x14ac:dyDescent="0.2">
      <c r="A3468" t="s">
        <v>4079</v>
      </c>
      <c r="B3468" t="s">
        <v>90</v>
      </c>
      <c r="C3468" t="s">
        <v>617</v>
      </c>
      <c r="D3468">
        <v>360.54</v>
      </c>
      <c r="E3468" s="37" t="str">
        <f t="shared" si="270"/>
        <v xml:space="preserve"> </v>
      </c>
      <c r="F3468">
        <v>0.48</v>
      </c>
      <c r="G3468" s="37" t="str">
        <f t="shared" si="271"/>
        <v>Heavy Discount</v>
      </c>
      <c r="H3468" s="37" t="str">
        <f t="shared" si="272"/>
        <v>High</v>
      </c>
      <c r="I3468">
        <v>5</v>
      </c>
      <c r="J3468" t="str" cm="1">
        <f t="array" ref="J3468">_xlfn.IFS(I3468&lt;=3,"small",I3468&lt;=6,"Medium",I3468&lt;=9,"Large")</f>
        <v>Medium</v>
      </c>
      <c r="K3468" s="36">
        <v>45008</v>
      </c>
      <c r="L3468" s="36">
        <v>45012</v>
      </c>
      <c r="M3468" t="s">
        <v>612</v>
      </c>
      <c r="N3468" t="s">
        <v>599</v>
      </c>
      <c r="O3468" s="37" t="str">
        <f t="shared" si="273"/>
        <v>Digital Payment</v>
      </c>
      <c r="P3468">
        <v>99.56</v>
      </c>
      <c r="Q3468" s="37" t="str">
        <f>IF(P3468&gt;500,"High","low")</f>
        <v>low</v>
      </c>
      <c r="R3468" s="37" t="str">
        <f t="shared" si="274"/>
        <v>AVERAGE</v>
      </c>
      <c r="S3468" t="s">
        <v>609</v>
      </c>
    </row>
    <row r="3469" spans="1:19" x14ac:dyDescent="0.2">
      <c r="A3469" t="s">
        <v>4080</v>
      </c>
      <c r="B3469" t="s">
        <v>83</v>
      </c>
      <c r="C3469" t="s">
        <v>617</v>
      </c>
      <c r="D3469">
        <v>2695.85</v>
      </c>
      <c r="E3469" s="37" t="str">
        <f t="shared" si="270"/>
        <v xml:space="preserve"> </v>
      </c>
      <c r="F3469">
        <v>0.18</v>
      </c>
      <c r="G3469" s="37" t="str">
        <f t="shared" si="271"/>
        <v>Normal Discount</v>
      </c>
      <c r="H3469" s="37" t="str">
        <f t="shared" si="272"/>
        <v>Low</v>
      </c>
      <c r="I3469">
        <v>4</v>
      </c>
      <c r="J3469" t="str" cm="1">
        <f t="array" ref="J3469">_xlfn.IFS(I3469&lt;=3,"small",I3469&lt;=6,"Medium",I3469&lt;=9,"Large")</f>
        <v>Medium</v>
      </c>
      <c r="K3469" s="36">
        <v>45139</v>
      </c>
      <c r="L3469" s="36">
        <v>45140</v>
      </c>
      <c r="M3469" t="s">
        <v>603</v>
      </c>
      <c r="N3469" t="s">
        <v>599</v>
      </c>
      <c r="O3469" s="37" t="str">
        <f t="shared" si="273"/>
        <v>Digital Payment</v>
      </c>
      <c r="P3469">
        <v>170.5</v>
      </c>
      <c r="Q3469" s="37" t="str">
        <f>IF(P3469&gt;500,"High","low")</f>
        <v>low</v>
      </c>
      <c r="R3469" s="37" t="str">
        <f t="shared" si="274"/>
        <v>AVERAGE</v>
      </c>
      <c r="S3469" t="s">
        <v>620</v>
      </c>
    </row>
    <row r="3470" spans="1:19" x14ac:dyDescent="0.2">
      <c r="A3470" t="s">
        <v>4081</v>
      </c>
      <c r="B3470" t="s">
        <v>90</v>
      </c>
      <c r="C3470" t="s">
        <v>617</v>
      </c>
      <c r="D3470">
        <v>2729.79</v>
      </c>
      <c r="E3470" s="37" t="str">
        <f t="shared" si="270"/>
        <v xml:space="preserve"> </v>
      </c>
      <c r="F3470">
        <v>0.4</v>
      </c>
      <c r="G3470" s="37" t="str">
        <f t="shared" si="271"/>
        <v>Heavy Discount</v>
      </c>
      <c r="H3470" s="37" t="str">
        <f t="shared" si="272"/>
        <v>Medium</v>
      </c>
      <c r="I3470">
        <v>8</v>
      </c>
      <c r="J3470" t="str" cm="1">
        <f t="array" ref="J3470">_xlfn.IFS(I3470&lt;=3,"small",I3470&lt;=6,"Medium",I3470&lt;=9,"Large")</f>
        <v>Large</v>
      </c>
      <c r="K3470" s="36">
        <v>45558</v>
      </c>
      <c r="L3470" s="36">
        <v>45565</v>
      </c>
      <c r="M3470" t="s">
        <v>598</v>
      </c>
      <c r="N3470" t="s">
        <v>608</v>
      </c>
      <c r="O3470" s="37" t="str">
        <f t="shared" si="273"/>
        <v>Cash Payment</v>
      </c>
      <c r="P3470">
        <v>252.77</v>
      </c>
      <c r="Q3470" s="37" t="str">
        <f>IF(P3470&gt;500,"High","low")</f>
        <v>low</v>
      </c>
      <c r="R3470" s="37" t="str">
        <f t="shared" si="274"/>
        <v>AVERAGE</v>
      </c>
      <c r="S3470" t="s">
        <v>600</v>
      </c>
    </row>
    <row r="3471" spans="1:19" x14ac:dyDescent="0.2">
      <c r="A3471" t="s">
        <v>4082</v>
      </c>
      <c r="B3471" t="s">
        <v>75</v>
      </c>
      <c r="C3471" t="s">
        <v>614</v>
      </c>
      <c r="D3471">
        <v>3180.87</v>
      </c>
      <c r="E3471" s="37" t="str">
        <f t="shared" si="270"/>
        <v xml:space="preserve"> </v>
      </c>
      <c r="F3471">
        <v>0.03</v>
      </c>
      <c r="G3471" s="37" t="str">
        <f t="shared" si="271"/>
        <v>Normal Discount</v>
      </c>
      <c r="H3471" s="37" t="str">
        <f t="shared" si="272"/>
        <v>Low</v>
      </c>
      <c r="I3471">
        <v>6</v>
      </c>
      <c r="J3471" t="str" cm="1">
        <f t="array" ref="J3471">_xlfn.IFS(I3471&lt;=3,"small",I3471&lt;=6,"Medium",I3471&lt;=9,"Large")</f>
        <v>Medium</v>
      </c>
      <c r="K3471" s="36">
        <v>45123</v>
      </c>
      <c r="L3471" s="36">
        <v>45126</v>
      </c>
      <c r="M3471" t="s">
        <v>603</v>
      </c>
      <c r="N3471" t="s">
        <v>608</v>
      </c>
      <c r="O3471" s="37" t="str">
        <f t="shared" si="273"/>
        <v>Cash Payment</v>
      </c>
      <c r="P3471">
        <v>335.98</v>
      </c>
      <c r="Q3471" s="37" t="str">
        <f>IF(P3471&gt;500,"High","low")</f>
        <v>low</v>
      </c>
      <c r="R3471" s="37" t="str">
        <f t="shared" si="274"/>
        <v>AVERAGE</v>
      </c>
      <c r="S3471" t="s">
        <v>628</v>
      </c>
    </row>
    <row r="3472" spans="1:19" x14ac:dyDescent="0.2">
      <c r="A3472" t="s">
        <v>4083</v>
      </c>
      <c r="B3472" t="s">
        <v>67</v>
      </c>
      <c r="C3472" t="s">
        <v>597</v>
      </c>
      <c r="D3472">
        <v>4069.03</v>
      </c>
      <c r="E3472" s="37" t="str">
        <f t="shared" si="270"/>
        <v>Excellent Order</v>
      </c>
      <c r="F3472">
        <v>0.03</v>
      </c>
      <c r="G3472" s="37" t="str">
        <f t="shared" si="271"/>
        <v>Normal Discount</v>
      </c>
      <c r="H3472" s="37" t="str">
        <f t="shared" si="272"/>
        <v>Low</v>
      </c>
      <c r="I3472">
        <v>2</v>
      </c>
      <c r="J3472" t="str" cm="1">
        <f t="array" ref="J3472">_xlfn.IFS(I3472&lt;=3,"small",I3472&lt;=6,"Medium",I3472&lt;=9,"Large")</f>
        <v>small</v>
      </c>
      <c r="K3472" s="36">
        <v>44971</v>
      </c>
      <c r="L3472" s="36">
        <v>44976</v>
      </c>
      <c r="M3472" t="s">
        <v>598</v>
      </c>
      <c r="N3472" t="s">
        <v>599</v>
      </c>
      <c r="O3472" s="37" t="str">
        <f t="shared" si="273"/>
        <v>Digital Payment</v>
      </c>
      <c r="P3472">
        <v>1173.26</v>
      </c>
      <c r="Q3472" s="37" t="str">
        <f>IF(P3472&gt;500,"High","low")</f>
        <v>High</v>
      </c>
      <c r="R3472" s="37" t="str">
        <f t="shared" si="274"/>
        <v>Excellent</v>
      </c>
      <c r="S3472" t="s">
        <v>605</v>
      </c>
    </row>
    <row r="3473" spans="1:19" x14ac:dyDescent="0.2">
      <c r="A3473" t="s">
        <v>4084</v>
      </c>
      <c r="B3473" t="s">
        <v>90</v>
      </c>
      <c r="C3473" t="s">
        <v>614</v>
      </c>
      <c r="D3473">
        <v>3833.42</v>
      </c>
      <c r="E3473" s="37" t="str">
        <f t="shared" si="270"/>
        <v xml:space="preserve"> </v>
      </c>
      <c r="F3473">
        <v>0.22</v>
      </c>
      <c r="G3473" s="37" t="str">
        <f t="shared" si="271"/>
        <v>Normal Discount</v>
      </c>
      <c r="H3473" s="37" t="str">
        <f t="shared" si="272"/>
        <v>Medium</v>
      </c>
      <c r="I3473">
        <v>8</v>
      </c>
      <c r="J3473" t="str" cm="1">
        <f t="array" ref="J3473">_xlfn.IFS(I3473&lt;=3,"small",I3473&lt;=6,"Medium",I3473&lt;=9,"Large")</f>
        <v>Large</v>
      </c>
      <c r="K3473" s="36">
        <v>45456</v>
      </c>
      <c r="L3473" s="36">
        <v>45458</v>
      </c>
      <c r="M3473" t="s">
        <v>598</v>
      </c>
      <c r="N3473" t="s">
        <v>599</v>
      </c>
      <c r="O3473" s="37" t="str">
        <f t="shared" si="273"/>
        <v>Digital Payment</v>
      </c>
      <c r="P3473">
        <v>466.47</v>
      </c>
      <c r="Q3473" s="37" t="str">
        <f>IF(P3473&gt;500,"High","low")</f>
        <v>low</v>
      </c>
      <c r="R3473" s="37" t="str">
        <f t="shared" si="274"/>
        <v>AVERAGE</v>
      </c>
      <c r="S3473" t="s">
        <v>628</v>
      </c>
    </row>
    <row r="3474" spans="1:19" x14ac:dyDescent="0.2">
      <c r="A3474" t="s">
        <v>4085</v>
      </c>
      <c r="B3474" t="s">
        <v>83</v>
      </c>
      <c r="C3474" t="s">
        <v>597</v>
      </c>
      <c r="D3474">
        <v>3828.94</v>
      </c>
      <c r="E3474" s="37" t="str">
        <f t="shared" si="270"/>
        <v xml:space="preserve"> </v>
      </c>
      <c r="F3474">
        <v>0.28999999999999998</v>
      </c>
      <c r="G3474" s="37" t="str">
        <f t="shared" si="271"/>
        <v>Normal Discount</v>
      </c>
      <c r="H3474" s="37" t="str">
        <f t="shared" si="272"/>
        <v>Medium</v>
      </c>
      <c r="I3474">
        <v>5</v>
      </c>
      <c r="J3474" t="str" cm="1">
        <f t="array" ref="J3474">_xlfn.IFS(I3474&lt;=3,"small",I3474&lt;=6,"Medium",I3474&lt;=9,"Large")</f>
        <v>Medium</v>
      </c>
      <c r="K3474" s="36">
        <v>45229</v>
      </c>
      <c r="L3474" s="36">
        <v>45231</v>
      </c>
      <c r="M3474" t="s">
        <v>603</v>
      </c>
      <c r="N3474" t="s">
        <v>608</v>
      </c>
      <c r="O3474" s="37" t="str">
        <f t="shared" si="273"/>
        <v>Cash Payment</v>
      </c>
      <c r="P3474">
        <v>1083.44</v>
      </c>
      <c r="Q3474" s="37" t="str">
        <f>IF(P3474&gt;500,"High","low")</f>
        <v>High</v>
      </c>
      <c r="R3474" s="37" t="str">
        <f t="shared" si="274"/>
        <v>Excellent</v>
      </c>
      <c r="S3474" t="s">
        <v>609</v>
      </c>
    </row>
    <row r="3475" spans="1:19" x14ac:dyDescent="0.2">
      <c r="A3475" t="s">
        <v>4086</v>
      </c>
      <c r="B3475" t="s">
        <v>67</v>
      </c>
      <c r="C3475" t="s">
        <v>602</v>
      </c>
      <c r="D3475">
        <v>2218.2399999999998</v>
      </c>
      <c r="E3475" s="37" t="str">
        <f t="shared" si="270"/>
        <v xml:space="preserve"> </v>
      </c>
      <c r="F3475">
        <v>0.3</v>
      </c>
      <c r="G3475" s="37" t="str">
        <f t="shared" si="271"/>
        <v>Normal Discount</v>
      </c>
      <c r="H3475" s="37" t="str">
        <f t="shared" si="272"/>
        <v>Medium</v>
      </c>
      <c r="I3475">
        <v>7</v>
      </c>
      <c r="J3475" t="str" cm="1">
        <f t="array" ref="J3475">_xlfn.IFS(I3475&lt;=3,"small",I3475&lt;=6,"Medium",I3475&lt;=9,"Large")</f>
        <v>Large</v>
      </c>
      <c r="K3475" s="36">
        <v>45552</v>
      </c>
      <c r="L3475" s="36">
        <v>45557</v>
      </c>
      <c r="M3475" t="s">
        <v>612</v>
      </c>
      <c r="N3475" t="s">
        <v>608</v>
      </c>
      <c r="O3475" s="37" t="str">
        <f t="shared" si="273"/>
        <v>Cash Payment</v>
      </c>
      <c r="P3475">
        <v>375.36</v>
      </c>
      <c r="Q3475" s="37" t="str">
        <f>IF(P3475&gt;500,"High","low")</f>
        <v>low</v>
      </c>
      <c r="R3475" s="37" t="str">
        <f t="shared" si="274"/>
        <v>AVERAGE</v>
      </c>
      <c r="S3475" t="s">
        <v>628</v>
      </c>
    </row>
    <row r="3476" spans="1:19" x14ac:dyDescent="0.2">
      <c r="A3476" t="s">
        <v>4087</v>
      </c>
      <c r="B3476" t="s">
        <v>75</v>
      </c>
      <c r="C3476" t="s">
        <v>602</v>
      </c>
      <c r="D3476">
        <v>3664.61</v>
      </c>
      <c r="E3476" s="37" t="str">
        <f t="shared" si="270"/>
        <v xml:space="preserve"> </v>
      </c>
      <c r="F3476">
        <v>0.02</v>
      </c>
      <c r="G3476" s="37" t="str">
        <f t="shared" si="271"/>
        <v>Normal Discount</v>
      </c>
      <c r="H3476" s="37" t="str">
        <f t="shared" si="272"/>
        <v>Low</v>
      </c>
      <c r="I3476">
        <v>4</v>
      </c>
      <c r="J3476" t="str" cm="1">
        <f t="array" ref="J3476">_xlfn.IFS(I3476&lt;=3,"small",I3476&lt;=6,"Medium",I3476&lt;=9,"Large")</f>
        <v>Medium</v>
      </c>
      <c r="K3476" s="36">
        <v>45439</v>
      </c>
      <c r="L3476" s="36">
        <v>45444</v>
      </c>
      <c r="M3476" t="s">
        <v>598</v>
      </c>
      <c r="N3476" t="s">
        <v>599</v>
      </c>
      <c r="O3476" s="37" t="str">
        <f t="shared" si="273"/>
        <v>Digital Payment</v>
      </c>
      <c r="P3476">
        <v>840.99</v>
      </c>
      <c r="Q3476" s="37" t="str">
        <f>IF(P3476&gt;500,"High","low")</f>
        <v>High</v>
      </c>
      <c r="R3476" s="37" t="str">
        <f t="shared" si="274"/>
        <v>Good</v>
      </c>
      <c r="S3476" t="s">
        <v>605</v>
      </c>
    </row>
    <row r="3477" spans="1:19" x14ac:dyDescent="0.2">
      <c r="A3477" t="s">
        <v>4088</v>
      </c>
      <c r="B3477" t="s">
        <v>90</v>
      </c>
      <c r="C3477" t="s">
        <v>614</v>
      </c>
      <c r="D3477">
        <v>2507.4499999999998</v>
      </c>
      <c r="E3477" s="37" t="str">
        <f t="shared" si="270"/>
        <v xml:space="preserve"> </v>
      </c>
      <c r="F3477">
        <v>0.35</v>
      </c>
      <c r="G3477" s="37" t="str">
        <f t="shared" si="271"/>
        <v>Heavy Discount</v>
      </c>
      <c r="H3477" s="37" t="str">
        <f t="shared" si="272"/>
        <v>Medium</v>
      </c>
      <c r="I3477">
        <v>9</v>
      </c>
      <c r="J3477" t="str" cm="1">
        <f t="array" ref="J3477">_xlfn.IFS(I3477&lt;=3,"small",I3477&lt;=6,"Medium",I3477&lt;=9,"Large")</f>
        <v>Large</v>
      </c>
      <c r="K3477" s="36">
        <v>45254</v>
      </c>
      <c r="L3477" s="36">
        <v>45255</v>
      </c>
      <c r="M3477" t="s">
        <v>612</v>
      </c>
      <c r="N3477" t="s">
        <v>599</v>
      </c>
      <c r="O3477" s="37" t="str">
        <f t="shared" si="273"/>
        <v>Digital Payment</v>
      </c>
      <c r="P3477">
        <v>299.54000000000002</v>
      </c>
      <c r="Q3477" s="37" t="str">
        <f>IF(P3477&gt;500,"High","low")</f>
        <v>low</v>
      </c>
      <c r="R3477" s="37" t="str">
        <f t="shared" si="274"/>
        <v>AVERAGE</v>
      </c>
      <c r="S3477" t="s">
        <v>620</v>
      </c>
    </row>
    <row r="3478" spans="1:19" x14ac:dyDescent="0.2">
      <c r="A3478" t="s">
        <v>4089</v>
      </c>
      <c r="B3478" t="s">
        <v>90</v>
      </c>
      <c r="C3478" t="s">
        <v>597</v>
      </c>
      <c r="D3478">
        <v>428.06</v>
      </c>
      <c r="E3478" s="37" t="str">
        <f t="shared" si="270"/>
        <v xml:space="preserve"> </v>
      </c>
      <c r="F3478">
        <v>0.06</v>
      </c>
      <c r="G3478" s="37" t="str">
        <f t="shared" si="271"/>
        <v>Normal Discount</v>
      </c>
      <c r="H3478" s="37" t="str">
        <f t="shared" si="272"/>
        <v>Low</v>
      </c>
      <c r="I3478">
        <v>2</v>
      </c>
      <c r="J3478" t="str" cm="1">
        <f t="array" ref="J3478">_xlfn.IFS(I3478&lt;=3,"small",I3478&lt;=6,"Medium",I3478&lt;=9,"Large")</f>
        <v>small</v>
      </c>
      <c r="K3478" s="36">
        <v>44963</v>
      </c>
      <c r="L3478" s="36">
        <v>44970</v>
      </c>
      <c r="M3478" t="s">
        <v>603</v>
      </c>
      <c r="N3478" t="s">
        <v>608</v>
      </c>
      <c r="O3478" s="37" t="str">
        <f t="shared" si="273"/>
        <v>Cash Payment</v>
      </c>
      <c r="P3478">
        <v>96.66</v>
      </c>
      <c r="Q3478" s="37" t="str">
        <f>IF(P3478&gt;500,"High","low")</f>
        <v>low</v>
      </c>
      <c r="R3478" s="37" t="str">
        <f t="shared" si="274"/>
        <v>AVERAGE</v>
      </c>
      <c r="S3478" t="s">
        <v>628</v>
      </c>
    </row>
    <row r="3479" spans="1:19" x14ac:dyDescent="0.2">
      <c r="A3479" t="s">
        <v>4090</v>
      </c>
      <c r="B3479" t="s">
        <v>90</v>
      </c>
      <c r="C3479" t="s">
        <v>597</v>
      </c>
      <c r="D3479">
        <v>4461.8900000000003</v>
      </c>
      <c r="E3479" s="37" t="str">
        <f t="shared" si="270"/>
        <v>Excellent Order</v>
      </c>
      <c r="F3479">
        <v>0.48</v>
      </c>
      <c r="G3479" s="37" t="str">
        <f t="shared" si="271"/>
        <v>Heavy Discount</v>
      </c>
      <c r="H3479" s="37" t="str">
        <f t="shared" si="272"/>
        <v>High</v>
      </c>
      <c r="I3479">
        <v>9</v>
      </c>
      <c r="J3479" t="str" cm="1">
        <f t="array" ref="J3479">_xlfn.IFS(I3479&lt;=3,"small",I3479&lt;=6,"Medium",I3479&lt;=9,"Large")</f>
        <v>Large</v>
      </c>
      <c r="K3479" s="36">
        <v>44946</v>
      </c>
      <c r="L3479" s="36">
        <v>44951</v>
      </c>
      <c r="M3479" t="s">
        <v>598</v>
      </c>
      <c r="N3479" t="s">
        <v>604</v>
      </c>
      <c r="O3479" s="37" t="str">
        <f t="shared" si="273"/>
        <v>Digital Payment</v>
      </c>
      <c r="P3479">
        <v>1193.95</v>
      </c>
      <c r="Q3479" s="37" t="str">
        <f>IF(P3479&gt;500,"High","low")</f>
        <v>High</v>
      </c>
      <c r="R3479" s="37" t="str">
        <f t="shared" si="274"/>
        <v>Excellent</v>
      </c>
      <c r="S3479" t="s">
        <v>615</v>
      </c>
    </row>
    <row r="3480" spans="1:19" x14ac:dyDescent="0.2">
      <c r="A3480" t="s">
        <v>4091</v>
      </c>
      <c r="B3480" t="s">
        <v>67</v>
      </c>
      <c r="C3480" t="s">
        <v>597</v>
      </c>
      <c r="D3480">
        <v>4461.8</v>
      </c>
      <c r="E3480" s="37" t="str">
        <f t="shared" si="270"/>
        <v>Excellent Order</v>
      </c>
      <c r="F3480">
        <v>0.17</v>
      </c>
      <c r="G3480" s="37" t="str">
        <f t="shared" si="271"/>
        <v>Normal Discount</v>
      </c>
      <c r="H3480" s="37" t="str">
        <f t="shared" si="272"/>
        <v>Low</v>
      </c>
      <c r="I3480">
        <v>4</v>
      </c>
      <c r="J3480" t="str" cm="1">
        <f t="array" ref="J3480">_xlfn.IFS(I3480&lt;=3,"small",I3480&lt;=6,"Medium",I3480&lt;=9,"Large")</f>
        <v>Medium</v>
      </c>
      <c r="K3480" s="36">
        <v>45277</v>
      </c>
      <c r="L3480" s="36">
        <v>45280</v>
      </c>
      <c r="M3480" t="s">
        <v>612</v>
      </c>
      <c r="N3480" t="s">
        <v>608</v>
      </c>
      <c r="O3480" s="37" t="str">
        <f t="shared" si="273"/>
        <v>Cash Payment</v>
      </c>
      <c r="P3480">
        <v>866.96</v>
      </c>
      <c r="Q3480" s="37" t="str">
        <f>IF(P3480&gt;500,"High","low")</f>
        <v>High</v>
      </c>
      <c r="R3480" s="37" t="str">
        <f t="shared" si="274"/>
        <v>Good</v>
      </c>
      <c r="S3480" t="s">
        <v>620</v>
      </c>
    </row>
    <row r="3481" spans="1:19" x14ac:dyDescent="0.2">
      <c r="A3481" t="s">
        <v>4092</v>
      </c>
      <c r="B3481" t="s">
        <v>83</v>
      </c>
      <c r="C3481" t="s">
        <v>602</v>
      </c>
      <c r="D3481">
        <v>1682.11</v>
      </c>
      <c r="E3481" s="37" t="str">
        <f t="shared" si="270"/>
        <v xml:space="preserve"> </v>
      </c>
      <c r="F3481">
        <v>0.13</v>
      </c>
      <c r="G3481" s="37" t="str">
        <f t="shared" si="271"/>
        <v>Normal Discount</v>
      </c>
      <c r="H3481" s="37" t="str">
        <f t="shared" si="272"/>
        <v>Low</v>
      </c>
      <c r="I3481">
        <v>6</v>
      </c>
      <c r="J3481" t="str" cm="1">
        <f t="array" ref="J3481">_xlfn.IFS(I3481&lt;=3,"small",I3481&lt;=6,"Medium",I3481&lt;=9,"Large")</f>
        <v>Medium</v>
      </c>
      <c r="K3481" s="36">
        <v>45112</v>
      </c>
      <c r="L3481" s="36">
        <v>45114</v>
      </c>
      <c r="M3481" t="s">
        <v>598</v>
      </c>
      <c r="N3481" t="s">
        <v>604</v>
      </c>
      <c r="O3481" s="37" t="str">
        <f t="shared" si="273"/>
        <v>Digital Payment</v>
      </c>
      <c r="P3481">
        <v>467.98</v>
      </c>
      <c r="Q3481" s="37" t="str">
        <f>IF(P3481&gt;500,"High","low")</f>
        <v>low</v>
      </c>
      <c r="R3481" s="37" t="str">
        <f t="shared" si="274"/>
        <v>AVERAGE</v>
      </c>
      <c r="S3481" t="s">
        <v>620</v>
      </c>
    </row>
    <row r="3482" spans="1:19" x14ac:dyDescent="0.2">
      <c r="A3482" t="s">
        <v>4093</v>
      </c>
      <c r="B3482" t="s">
        <v>83</v>
      </c>
      <c r="C3482" t="s">
        <v>614</v>
      </c>
      <c r="D3482">
        <v>4578.12</v>
      </c>
      <c r="E3482" s="37" t="str">
        <f t="shared" si="270"/>
        <v xml:space="preserve"> </v>
      </c>
      <c r="F3482">
        <v>0.15</v>
      </c>
      <c r="G3482" s="37" t="str">
        <f t="shared" si="271"/>
        <v>Normal Discount</v>
      </c>
      <c r="H3482" s="37" t="str">
        <f t="shared" si="272"/>
        <v>Low</v>
      </c>
      <c r="I3482">
        <v>5</v>
      </c>
      <c r="J3482" t="str" cm="1">
        <f t="array" ref="J3482">_xlfn.IFS(I3482&lt;=3,"small",I3482&lt;=6,"Medium",I3482&lt;=9,"Large")</f>
        <v>Medium</v>
      </c>
      <c r="K3482" s="36">
        <v>45558</v>
      </c>
      <c r="L3482" s="36">
        <v>45561</v>
      </c>
      <c r="M3482" t="s">
        <v>612</v>
      </c>
      <c r="N3482" t="s">
        <v>604</v>
      </c>
      <c r="O3482" s="37" t="str">
        <f t="shared" si="273"/>
        <v>Digital Payment</v>
      </c>
      <c r="P3482">
        <v>673.99</v>
      </c>
      <c r="Q3482" s="37" t="str">
        <f>IF(P3482&gt;500,"High","low")</f>
        <v>High</v>
      </c>
      <c r="R3482" s="37" t="str">
        <f t="shared" si="274"/>
        <v>Good</v>
      </c>
      <c r="S3482" t="s">
        <v>615</v>
      </c>
    </row>
    <row r="3483" spans="1:19" x14ac:dyDescent="0.2">
      <c r="A3483" t="s">
        <v>4094</v>
      </c>
      <c r="B3483" t="s">
        <v>90</v>
      </c>
      <c r="C3483" t="s">
        <v>607</v>
      </c>
      <c r="D3483">
        <v>3814.12</v>
      </c>
      <c r="E3483" s="37" t="str">
        <f t="shared" si="270"/>
        <v xml:space="preserve"> </v>
      </c>
      <c r="F3483">
        <v>0.47</v>
      </c>
      <c r="G3483" s="37" t="str">
        <f t="shared" si="271"/>
        <v>Heavy Discount</v>
      </c>
      <c r="H3483" s="37" t="str">
        <f t="shared" si="272"/>
        <v>High</v>
      </c>
      <c r="I3483">
        <v>3</v>
      </c>
      <c r="J3483" t="str" cm="1">
        <f t="array" ref="J3483">_xlfn.IFS(I3483&lt;=3,"small",I3483&lt;=6,"Medium",I3483&lt;=9,"Large")</f>
        <v>small</v>
      </c>
      <c r="K3483" s="36">
        <v>44967</v>
      </c>
      <c r="L3483" s="36">
        <v>44974</v>
      </c>
      <c r="M3483" t="s">
        <v>612</v>
      </c>
      <c r="N3483" t="s">
        <v>599</v>
      </c>
      <c r="O3483" s="37" t="str">
        <f t="shared" si="273"/>
        <v>Digital Payment</v>
      </c>
      <c r="P3483">
        <v>782.1</v>
      </c>
      <c r="Q3483" s="37" t="str">
        <f>IF(P3483&gt;500,"High","low")</f>
        <v>High</v>
      </c>
      <c r="R3483" s="37" t="str">
        <f t="shared" si="274"/>
        <v>Good</v>
      </c>
      <c r="S3483" t="s">
        <v>609</v>
      </c>
    </row>
    <row r="3484" spans="1:19" x14ac:dyDescent="0.2">
      <c r="A3484" t="s">
        <v>4095</v>
      </c>
      <c r="B3484" t="s">
        <v>75</v>
      </c>
      <c r="C3484" t="s">
        <v>597</v>
      </c>
      <c r="D3484">
        <v>2063.9299999999998</v>
      </c>
      <c r="E3484" s="37" t="str">
        <f t="shared" si="270"/>
        <v xml:space="preserve"> </v>
      </c>
      <c r="F3484">
        <v>0.24</v>
      </c>
      <c r="G3484" s="37" t="str">
        <f t="shared" si="271"/>
        <v>Normal Discount</v>
      </c>
      <c r="H3484" s="37" t="str">
        <f t="shared" si="272"/>
        <v>Medium</v>
      </c>
      <c r="I3484">
        <v>7</v>
      </c>
      <c r="J3484" t="str" cm="1">
        <f t="array" ref="J3484">_xlfn.IFS(I3484&lt;=3,"small",I3484&lt;=6,"Medium",I3484&lt;=9,"Large")</f>
        <v>Large</v>
      </c>
      <c r="K3484" s="36">
        <v>45226</v>
      </c>
      <c r="L3484" s="36">
        <v>45232</v>
      </c>
      <c r="M3484" t="s">
        <v>612</v>
      </c>
      <c r="N3484" t="s">
        <v>604</v>
      </c>
      <c r="O3484" s="37" t="str">
        <f t="shared" si="273"/>
        <v>Digital Payment</v>
      </c>
      <c r="P3484">
        <v>246.87</v>
      </c>
      <c r="Q3484" s="37" t="str">
        <f>IF(P3484&gt;500,"High","low")</f>
        <v>low</v>
      </c>
      <c r="R3484" s="37" t="str">
        <f t="shared" si="274"/>
        <v>AVERAGE</v>
      </c>
      <c r="S3484" t="s">
        <v>609</v>
      </c>
    </row>
    <row r="3485" spans="1:19" x14ac:dyDescent="0.2">
      <c r="A3485" t="s">
        <v>4096</v>
      </c>
      <c r="B3485" t="s">
        <v>75</v>
      </c>
      <c r="C3485" t="s">
        <v>597</v>
      </c>
      <c r="D3485">
        <v>1724.38</v>
      </c>
      <c r="E3485" s="37" t="str">
        <f t="shared" si="270"/>
        <v xml:space="preserve"> </v>
      </c>
      <c r="F3485">
        <v>0.22</v>
      </c>
      <c r="G3485" s="37" t="str">
        <f t="shared" si="271"/>
        <v>Normal Discount</v>
      </c>
      <c r="H3485" s="37" t="str">
        <f t="shared" si="272"/>
        <v>Medium</v>
      </c>
      <c r="I3485">
        <v>4</v>
      </c>
      <c r="J3485" t="str" cm="1">
        <f t="array" ref="J3485">_xlfn.IFS(I3485&lt;=3,"small",I3485&lt;=6,"Medium",I3485&lt;=9,"Large")</f>
        <v>Medium</v>
      </c>
      <c r="K3485" s="36">
        <v>45303</v>
      </c>
      <c r="L3485" s="36">
        <v>45310</v>
      </c>
      <c r="M3485" t="s">
        <v>603</v>
      </c>
      <c r="N3485" t="s">
        <v>599</v>
      </c>
      <c r="O3485" s="37" t="str">
        <f t="shared" si="273"/>
        <v>Digital Payment</v>
      </c>
      <c r="P3485">
        <v>150.22</v>
      </c>
      <c r="Q3485" s="37" t="str">
        <f>IF(P3485&gt;500,"High","low")</f>
        <v>low</v>
      </c>
      <c r="R3485" s="37" t="str">
        <f t="shared" si="274"/>
        <v>AVERAGE</v>
      </c>
      <c r="S3485" t="s">
        <v>620</v>
      </c>
    </row>
    <row r="3486" spans="1:19" x14ac:dyDescent="0.2">
      <c r="A3486" t="s">
        <v>4097</v>
      </c>
      <c r="B3486" t="s">
        <v>83</v>
      </c>
      <c r="C3486" t="s">
        <v>607</v>
      </c>
      <c r="D3486">
        <v>4878.2</v>
      </c>
      <c r="E3486" s="37" t="str">
        <f t="shared" si="270"/>
        <v xml:space="preserve"> </v>
      </c>
      <c r="F3486">
        <v>0.28000000000000003</v>
      </c>
      <c r="G3486" s="37" t="str">
        <f t="shared" si="271"/>
        <v>Normal Discount</v>
      </c>
      <c r="H3486" s="37" t="str">
        <f t="shared" si="272"/>
        <v>Medium</v>
      </c>
      <c r="I3486">
        <v>1</v>
      </c>
      <c r="J3486" t="str" cm="1">
        <f t="array" ref="J3486">_xlfn.IFS(I3486&lt;=3,"small",I3486&lt;=6,"Medium",I3486&lt;=9,"Large")</f>
        <v>small</v>
      </c>
      <c r="K3486" s="36">
        <v>45161</v>
      </c>
      <c r="L3486" s="36">
        <v>45164</v>
      </c>
      <c r="M3486" t="s">
        <v>598</v>
      </c>
      <c r="N3486" t="s">
        <v>608</v>
      </c>
      <c r="O3486" s="37" t="str">
        <f t="shared" si="273"/>
        <v>Cash Payment</v>
      </c>
      <c r="P3486">
        <v>441.75</v>
      </c>
      <c r="Q3486" s="37" t="str">
        <f>IF(P3486&gt;500,"High","low")</f>
        <v>low</v>
      </c>
      <c r="R3486" s="37" t="str">
        <f t="shared" si="274"/>
        <v>AVERAGE</v>
      </c>
      <c r="S3486" t="s">
        <v>609</v>
      </c>
    </row>
    <row r="3487" spans="1:19" x14ac:dyDescent="0.2">
      <c r="A3487" t="s">
        <v>4098</v>
      </c>
      <c r="B3487" t="s">
        <v>75</v>
      </c>
      <c r="C3487" t="s">
        <v>614</v>
      </c>
      <c r="D3487">
        <v>3591.87</v>
      </c>
      <c r="E3487" s="37" t="str">
        <f t="shared" si="270"/>
        <v xml:space="preserve"> </v>
      </c>
      <c r="F3487">
        <v>0.47</v>
      </c>
      <c r="G3487" s="37" t="str">
        <f t="shared" si="271"/>
        <v>Heavy Discount</v>
      </c>
      <c r="H3487" s="37" t="str">
        <f t="shared" si="272"/>
        <v>High</v>
      </c>
      <c r="I3487">
        <v>8</v>
      </c>
      <c r="J3487" t="str" cm="1">
        <f t="array" ref="J3487">_xlfn.IFS(I3487&lt;=3,"small",I3487&lt;=6,"Medium",I3487&lt;=9,"Large")</f>
        <v>Large</v>
      </c>
      <c r="K3487" s="36">
        <v>45345</v>
      </c>
      <c r="L3487" s="36">
        <v>45346</v>
      </c>
      <c r="M3487" t="s">
        <v>612</v>
      </c>
      <c r="N3487" t="s">
        <v>599</v>
      </c>
      <c r="O3487" s="37" t="str">
        <f t="shared" si="273"/>
        <v>Digital Payment</v>
      </c>
      <c r="P3487">
        <v>578.32000000000005</v>
      </c>
      <c r="Q3487" s="37" t="str">
        <f>IF(P3487&gt;500,"High","low")</f>
        <v>High</v>
      </c>
      <c r="R3487" s="37" t="str">
        <f t="shared" si="274"/>
        <v>Good</v>
      </c>
      <c r="S3487" t="s">
        <v>605</v>
      </c>
    </row>
    <row r="3488" spans="1:19" x14ac:dyDescent="0.2">
      <c r="A3488" t="s">
        <v>4099</v>
      </c>
      <c r="B3488" t="s">
        <v>83</v>
      </c>
      <c r="C3488" t="s">
        <v>597</v>
      </c>
      <c r="D3488">
        <v>1956.17</v>
      </c>
      <c r="E3488" s="37" t="str">
        <f t="shared" si="270"/>
        <v xml:space="preserve"> </v>
      </c>
      <c r="F3488">
        <v>0.15</v>
      </c>
      <c r="G3488" s="37" t="str">
        <f t="shared" si="271"/>
        <v>Normal Discount</v>
      </c>
      <c r="H3488" s="37" t="str">
        <f t="shared" si="272"/>
        <v>Low</v>
      </c>
      <c r="I3488">
        <v>3</v>
      </c>
      <c r="J3488" t="str" cm="1">
        <f t="array" ref="J3488">_xlfn.IFS(I3488&lt;=3,"small",I3488&lt;=6,"Medium",I3488&lt;=9,"Large")</f>
        <v>small</v>
      </c>
      <c r="K3488" s="36">
        <v>45007</v>
      </c>
      <c r="L3488" s="36">
        <v>45013</v>
      </c>
      <c r="M3488" t="s">
        <v>603</v>
      </c>
      <c r="N3488" t="s">
        <v>599</v>
      </c>
      <c r="O3488" s="37" t="str">
        <f t="shared" si="273"/>
        <v>Digital Payment</v>
      </c>
      <c r="P3488">
        <v>556.17999999999995</v>
      </c>
      <c r="Q3488" s="37" t="str">
        <f>IF(P3488&gt;500,"High","low")</f>
        <v>High</v>
      </c>
      <c r="R3488" s="37" t="str">
        <f t="shared" si="274"/>
        <v>Good</v>
      </c>
      <c r="S3488" t="s">
        <v>620</v>
      </c>
    </row>
    <row r="3489" spans="1:19" x14ac:dyDescent="0.2">
      <c r="A3489" t="s">
        <v>4100</v>
      </c>
      <c r="B3489" t="s">
        <v>90</v>
      </c>
      <c r="C3489" t="s">
        <v>614</v>
      </c>
      <c r="D3489">
        <v>3245.72</v>
      </c>
      <c r="E3489" s="37" t="str">
        <f t="shared" si="270"/>
        <v xml:space="preserve"> </v>
      </c>
      <c r="F3489">
        <v>0.09</v>
      </c>
      <c r="G3489" s="37" t="str">
        <f t="shared" si="271"/>
        <v>Normal Discount</v>
      </c>
      <c r="H3489" s="37" t="str">
        <f t="shared" si="272"/>
        <v>Low</v>
      </c>
      <c r="I3489">
        <v>6</v>
      </c>
      <c r="J3489" t="str" cm="1">
        <f t="array" ref="J3489">_xlfn.IFS(I3489&lt;=3,"small",I3489&lt;=6,"Medium",I3489&lt;=9,"Large")</f>
        <v>Medium</v>
      </c>
      <c r="K3489" s="36">
        <v>44953</v>
      </c>
      <c r="L3489" s="36">
        <v>44960</v>
      </c>
      <c r="M3489" t="s">
        <v>612</v>
      </c>
      <c r="N3489" t="s">
        <v>604</v>
      </c>
      <c r="O3489" s="37" t="str">
        <f t="shared" si="273"/>
        <v>Digital Payment</v>
      </c>
      <c r="P3489">
        <v>403.43</v>
      </c>
      <c r="Q3489" s="37" t="str">
        <f>IF(P3489&gt;500,"High","low")</f>
        <v>low</v>
      </c>
      <c r="R3489" s="37" t="str">
        <f t="shared" si="274"/>
        <v>AVERAGE</v>
      </c>
      <c r="S3489" t="s">
        <v>620</v>
      </c>
    </row>
    <row r="3490" spans="1:19" x14ac:dyDescent="0.2">
      <c r="A3490" t="s">
        <v>4101</v>
      </c>
      <c r="B3490" t="s">
        <v>83</v>
      </c>
      <c r="C3490" t="s">
        <v>597</v>
      </c>
      <c r="D3490">
        <v>2900.48</v>
      </c>
      <c r="E3490" s="37" t="str">
        <f t="shared" si="270"/>
        <v xml:space="preserve"> </v>
      </c>
      <c r="F3490">
        <v>0.3</v>
      </c>
      <c r="G3490" s="37" t="str">
        <f t="shared" si="271"/>
        <v>Normal Discount</v>
      </c>
      <c r="H3490" s="37" t="str">
        <f t="shared" si="272"/>
        <v>Medium</v>
      </c>
      <c r="I3490">
        <v>2</v>
      </c>
      <c r="J3490" t="str" cm="1">
        <f t="array" ref="J3490">_xlfn.IFS(I3490&lt;=3,"small",I3490&lt;=6,"Medium",I3490&lt;=9,"Large")</f>
        <v>small</v>
      </c>
      <c r="K3490" s="36">
        <v>44947</v>
      </c>
      <c r="L3490" s="36">
        <v>44952</v>
      </c>
      <c r="M3490" t="s">
        <v>612</v>
      </c>
      <c r="N3490" t="s">
        <v>599</v>
      </c>
      <c r="O3490" s="37" t="str">
        <f t="shared" si="273"/>
        <v>Digital Payment</v>
      </c>
      <c r="P3490">
        <v>212.89</v>
      </c>
      <c r="Q3490" s="37" t="str">
        <f>IF(P3490&gt;500,"High","low")</f>
        <v>low</v>
      </c>
      <c r="R3490" s="37" t="str">
        <f t="shared" si="274"/>
        <v>AVERAGE</v>
      </c>
      <c r="S3490" t="s">
        <v>600</v>
      </c>
    </row>
    <row r="3491" spans="1:19" x14ac:dyDescent="0.2">
      <c r="A3491" t="s">
        <v>4102</v>
      </c>
      <c r="B3491" t="s">
        <v>83</v>
      </c>
      <c r="C3491" t="s">
        <v>617</v>
      </c>
      <c r="D3491">
        <v>2670.25</v>
      </c>
      <c r="E3491" s="37" t="str">
        <f t="shared" si="270"/>
        <v xml:space="preserve"> </v>
      </c>
      <c r="F3491">
        <v>0.25</v>
      </c>
      <c r="G3491" s="37" t="str">
        <f t="shared" si="271"/>
        <v>Normal Discount</v>
      </c>
      <c r="H3491" s="37" t="str">
        <f t="shared" si="272"/>
        <v>Medium</v>
      </c>
      <c r="I3491">
        <v>9</v>
      </c>
      <c r="J3491" t="str" cm="1">
        <f t="array" ref="J3491">_xlfn.IFS(I3491&lt;=3,"small",I3491&lt;=6,"Medium",I3491&lt;=9,"Large")</f>
        <v>Large</v>
      </c>
      <c r="K3491" s="36">
        <v>45222</v>
      </c>
      <c r="L3491" s="36">
        <v>45228</v>
      </c>
      <c r="M3491" t="s">
        <v>603</v>
      </c>
      <c r="N3491" t="s">
        <v>599</v>
      </c>
      <c r="O3491" s="37" t="str">
        <f t="shared" si="273"/>
        <v>Digital Payment</v>
      </c>
      <c r="P3491">
        <v>431.6</v>
      </c>
      <c r="Q3491" s="37" t="str">
        <f>IF(P3491&gt;500,"High","low")</f>
        <v>low</v>
      </c>
      <c r="R3491" s="37" t="str">
        <f t="shared" si="274"/>
        <v>AVERAGE</v>
      </c>
      <c r="S3491" t="s">
        <v>628</v>
      </c>
    </row>
    <row r="3492" spans="1:19" x14ac:dyDescent="0.2">
      <c r="A3492" t="s">
        <v>4103</v>
      </c>
      <c r="B3492" t="s">
        <v>90</v>
      </c>
      <c r="C3492" t="s">
        <v>597</v>
      </c>
      <c r="D3492">
        <v>3259.04</v>
      </c>
      <c r="E3492" s="37" t="str">
        <f t="shared" si="270"/>
        <v xml:space="preserve"> </v>
      </c>
      <c r="F3492">
        <v>0.03</v>
      </c>
      <c r="G3492" s="37" t="str">
        <f t="shared" si="271"/>
        <v>Normal Discount</v>
      </c>
      <c r="H3492" s="37" t="str">
        <f t="shared" si="272"/>
        <v>Low</v>
      </c>
      <c r="I3492">
        <v>4</v>
      </c>
      <c r="J3492" t="str" cm="1">
        <f t="array" ref="J3492">_xlfn.IFS(I3492&lt;=3,"small",I3492&lt;=6,"Medium",I3492&lt;=9,"Large")</f>
        <v>Medium</v>
      </c>
      <c r="K3492" s="36">
        <v>45482</v>
      </c>
      <c r="L3492" s="36">
        <v>45484</v>
      </c>
      <c r="M3492" t="s">
        <v>603</v>
      </c>
      <c r="N3492" t="s">
        <v>604</v>
      </c>
      <c r="O3492" s="37" t="str">
        <f t="shared" si="273"/>
        <v>Digital Payment</v>
      </c>
      <c r="P3492">
        <v>278.87</v>
      </c>
      <c r="Q3492" s="37" t="str">
        <f>IF(P3492&gt;500,"High","low")</f>
        <v>low</v>
      </c>
      <c r="R3492" s="37" t="str">
        <f t="shared" si="274"/>
        <v>AVERAGE</v>
      </c>
      <c r="S3492" t="s">
        <v>605</v>
      </c>
    </row>
    <row r="3493" spans="1:19" x14ac:dyDescent="0.2">
      <c r="A3493" t="s">
        <v>4104</v>
      </c>
      <c r="B3493" t="s">
        <v>75</v>
      </c>
      <c r="C3493" t="s">
        <v>617</v>
      </c>
      <c r="D3493">
        <v>2734.37</v>
      </c>
      <c r="E3493" s="37" t="str">
        <f t="shared" si="270"/>
        <v xml:space="preserve"> </v>
      </c>
      <c r="F3493">
        <v>0.26</v>
      </c>
      <c r="G3493" s="37" t="str">
        <f t="shared" si="271"/>
        <v>Normal Discount</v>
      </c>
      <c r="H3493" s="37" t="str">
        <f t="shared" si="272"/>
        <v>Medium</v>
      </c>
      <c r="I3493">
        <v>7</v>
      </c>
      <c r="J3493" t="str" cm="1">
        <f t="array" ref="J3493">_xlfn.IFS(I3493&lt;=3,"small",I3493&lt;=6,"Medium",I3493&lt;=9,"Large")</f>
        <v>Large</v>
      </c>
      <c r="K3493" s="36">
        <v>45098</v>
      </c>
      <c r="L3493" s="36">
        <v>45100</v>
      </c>
      <c r="M3493" t="s">
        <v>598</v>
      </c>
      <c r="N3493" t="s">
        <v>608</v>
      </c>
      <c r="O3493" s="37" t="str">
        <f t="shared" si="273"/>
        <v>Cash Payment</v>
      </c>
      <c r="P3493">
        <v>280.38</v>
      </c>
      <c r="Q3493" s="37" t="str">
        <f>IF(P3493&gt;500,"High","low")</f>
        <v>low</v>
      </c>
      <c r="R3493" s="37" t="str">
        <f t="shared" si="274"/>
        <v>AVERAGE</v>
      </c>
      <c r="S3493" t="s">
        <v>605</v>
      </c>
    </row>
    <row r="3494" spans="1:19" x14ac:dyDescent="0.2">
      <c r="A3494" t="s">
        <v>4105</v>
      </c>
      <c r="B3494" t="s">
        <v>83</v>
      </c>
      <c r="C3494" t="s">
        <v>614</v>
      </c>
      <c r="D3494">
        <v>3308.47</v>
      </c>
      <c r="E3494" s="37" t="str">
        <f t="shared" si="270"/>
        <v xml:space="preserve"> </v>
      </c>
      <c r="F3494">
        <v>0.28000000000000003</v>
      </c>
      <c r="G3494" s="37" t="str">
        <f t="shared" si="271"/>
        <v>Normal Discount</v>
      </c>
      <c r="H3494" s="37" t="str">
        <f t="shared" si="272"/>
        <v>Medium</v>
      </c>
      <c r="I3494">
        <v>9</v>
      </c>
      <c r="J3494" t="str" cm="1">
        <f t="array" ref="J3494">_xlfn.IFS(I3494&lt;=3,"small",I3494&lt;=6,"Medium",I3494&lt;=9,"Large")</f>
        <v>Large</v>
      </c>
      <c r="K3494" s="36">
        <v>45306</v>
      </c>
      <c r="L3494" s="36">
        <v>45308</v>
      </c>
      <c r="M3494" t="s">
        <v>603</v>
      </c>
      <c r="N3494" t="s">
        <v>608</v>
      </c>
      <c r="O3494" s="37" t="str">
        <f t="shared" si="273"/>
        <v>Cash Payment</v>
      </c>
      <c r="P3494">
        <v>919.44</v>
      </c>
      <c r="Q3494" s="37" t="str">
        <f>IF(P3494&gt;500,"High","low")</f>
        <v>High</v>
      </c>
      <c r="R3494" s="37" t="str">
        <f t="shared" si="274"/>
        <v>Good</v>
      </c>
      <c r="S3494" t="s">
        <v>628</v>
      </c>
    </row>
    <row r="3495" spans="1:19" x14ac:dyDescent="0.2">
      <c r="A3495" t="s">
        <v>4106</v>
      </c>
      <c r="B3495" t="s">
        <v>83</v>
      </c>
      <c r="C3495" t="s">
        <v>597</v>
      </c>
      <c r="D3495">
        <v>4547.09</v>
      </c>
      <c r="E3495" s="37" t="str">
        <f t="shared" si="270"/>
        <v>Excellent Order</v>
      </c>
      <c r="F3495">
        <v>0.35</v>
      </c>
      <c r="G3495" s="37" t="str">
        <f t="shared" si="271"/>
        <v>Heavy Discount</v>
      </c>
      <c r="H3495" s="37" t="str">
        <f t="shared" si="272"/>
        <v>Medium</v>
      </c>
      <c r="I3495">
        <v>3</v>
      </c>
      <c r="J3495" t="str" cm="1">
        <f t="array" ref="J3495">_xlfn.IFS(I3495&lt;=3,"small",I3495&lt;=6,"Medium",I3495&lt;=9,"Large")</f>
        <v>small</v>
      </c>
      <c r="K3495" s="36">
        <v>45635</v>
      </c>
      <c r="L3495" s="36">
        <v>45638</v>
      </c>
      <c r="M3495" t="s">
        <v>612</v>
      </c>
      <c r="N3495" t="s">
        <v>608</v>
      </c>
      <c r="O3495" s="37" t="str">
        <f t="shared" si="273"/>
        <v>Cash Payment</v>
      </c>
      <c r="P3495">
        <v>957.96</v>
      </c>
      <c r="Q3495" s="37" t="str">
        <f>IF(P3495&gt;500,"High","low")</f>
        <v>High</v>
      </c>
      <c r="R3495" s="37" t="str">
        <f t="shared" si="274"/>
        <v>Good</v>
      </c>
      <c r="S3495" t="s">
        <v>615</v>
      </c>
    </row>
    <row r="3496" spans="1:19" x14ac:dyDescent="0.2">
      <c r="A3496" t="s">
        <v>4107</v>
      </c>
      <c r="B3496" t="s">
        <v>90</v>
      </c>
      <c r="C3496" t="s">
        <v>602</v>
      </c>
      <c r="D3496">
        <v>4967</v>
      </c>
      <c r="E3496" s="37" t="str">
        <f t="shared" si="270"/>
        <v>Excellent Order</v>
      </c>
      <c r="F3496">
        <v>0.5</v>
      </c>
      <c r="G3496" s="37" t="str">
        <f t="shared" si="271"/>
        <v>Heavy Discount</v>
      </c>
      <c r="H3496" s="37" t="str">
        <f t="shared" si="272"/>
        <v>High</v>
      </c>
      <c r="I3496">
        <v>3</v>
      </c>
      <c r="J3496" t="str" cm="1">
        <f t="array" ref="J3496">_xlfn.IFS(I3496&lt;=3,"small",I3496&lt;=6,"Medium",I3496&lt;=9,"Large")</f>
        <v>small</v>
      </c>
      <c r="K3496" s="36">
        <v>45075</v>
      </c>
      <c r="L3496" s="36">
        <v>45081</v>
      </c>
      <c r="M3496" t="s">
        <v>603</v>
      </c>
      <c r="N3496" t="s">
        <v>599</v>
      </c>
      <c r="O3496" s="37" t="str">
        <f t="shared" si="273"/>
        <v>Digital Payment</v>
      </c>
      <c r="P3496">
        <v>894.46</v>
      </c>
      <c r="Q3496" s="37" t="str">
        <f>IF(P3496&gt;500,"High","low")</f>
        <v>High</v>
      </c>
      <c r="R3496" s="37" t="str">
        <f t="shared" si="274"/>
        <v>Good</v>
      </c>
      <c r="S3496" t="s">
        <v>620</v>
      </c>
    </row>
    <row r="3497" spans="1:19" x14ac:dyDescent="0.2">
      <c r="A3497" t="s">
        <v>4108</v>
      </c>
      <c r="B3497" t="s">
        <v>75</v>
      </c>
      <c r="C3497" t="s">
        <v>602</v>
      </c>
      <c r="D3497">
        <v>3575.51</v>
      </c>
      <c r="E3497" s="37" t="str">
        <f t="shared" si="270"/>
        <v xml:space="preserve"> </v>
      </c>
      <c r="F3497">
        <v>0.21</v>
      </c>
      <c r="G3497" s="37" t="str">
        <f t="shared" si="271"/>
        <v>Normal Discount</v>
      </c>
      <c r="H3497" s="37" t="str">
        <f t="shared" si="272"/>
        <v>Medium</v>
      </c>
      <c r="I3497">
        <v>3</v>
      </c>
      <c r="J3497" t="str" cm="1">
        <f t="array" ref="J3497">_xlfn.IFS(I3497&lt;=3,"small",I3497&lt;=6,"Medium",I3497&lt;=9,"Large")</f>
        <v>small</v>
      </c>
      <c r="K3497" s="36">
        <v>45446</v>
      </c>
      <c r="L3497" s="36">
        <v>45448</v>
      </c>
      <c r="M3497" t="s">
        <v>603</v>
      </c>
      <c r="N3497" t="s">
        <v>608</v>
      </c>
      <c r="O3497" s="37" t="str">
        <f t="shared" si="273"/>
        <v>Cash Payment</v>
      </c>
      <c r="P3497">
        <v>379.59</v>
      </c>
      <c r="Q3497" s="37" t="str">
        <f>IF(P3497&gt;500,"High","low")</f>
        <v>low</v>
      </c>
      <c r="R3497" s="37" t="str">
        <f t="shared" si="274"/>
        <v>AVERAGE</v>
      </c>
      <c r="S3497" t="s">
        <v>628</v>
      </c>
    </row>
    <row r="3498" spans="1:19" x14ac:dyDescent="0.2">
      <c r="A3498" t="s">
        <v>4109</v>
      </c>
      <c r="B3498" t="s">
        <v>83</v>
      </c>
      <c r="C3498" t="s">
        <v>607</v>
      </c>
      <c r="D3498">
        <v>4646.32</v>
      </c>
      <c r="E3498" s="37" t="str">
        <f t="shared" si="270"/>
        <v xml:space="preserve"> </v>
      </c>
      <c r="F3498">
        <v>0.26</v>
      </c>
      <c r="G3498" s="37" t="str">
        <f t="shared" si="271"/>
        <v>Normal Discount</v>
      </c>
      <c r="H3498" s="37" t="str">
        <f t="shared" si="272"/>
        <v>Medium</v>
      </c>
      <c r="I3498">
        <v>5</v>
      </c>
      <c r="J3498" t="str" cm="1">
        <f t="array" ref="J3498">_xlfn.IFS(I3498&lt;=3,"small",I3498&lt;=6,"Medium",I3498&lt;=9,"Large")</f>
        <v>Medium</v>
      </c>
      <c r="K3498" s="36">
        <v>45091</v>
      </c>
      <c r="L3498" s="36">
        <v>45093</v>
      </c>
      <c r="M3498" t="s">
        <v>612</v>
      </c>
      <c r="N3498" t="s">
        <v>608</v>
      </c>
      <c r="O3498" s="37" t="str">
        <f t="shared" si="273"/>
        <v>Cash Payment</v>
      </c>
      <c r="P3498">
        <v>340.85</v>
      </c>
      <c r="Q3498" s="37" t="str">
        <f>IF(P3498&gt;500,"High","low")</f>
        <v>low</v>
      </c>
      <c r="R3498" s="37" t="str">
        <f t="shared" si="274"/>
        <v>AVERAGE</v>
      </c>
      <c r="S3498" t="s">
        <v>609</v>
      </c>
    </row>
    <row r="3499" spans="1:19" x14ac:dyDescent="0.2">
      <c r="A3499" t="s">
        <v>4110</v>
      </c>
      <c r="B3499" t="s">
        <v>90</v>
      </c>
      <c r="C3499" t="s">
        <v>602</v>
      </c>
      <c r="D3499">
        <v>4306.21</v>
      </c>
      <c r="E3499" s="37" t="str">
        <f t="shared" si="270"/>
        <v>Excellent Order</v>
      </c>
      <c r="F3499">
        <v>0.04</v>
      </c>
      <c r="G3499" s="37" t="str">
        <f t="shared" si="271"/>
        <v>Normal Discount</v>
      </c>
      <c r="H3499" s="37" t="str">
        <f t="shared" si="272"/>
        <v>Low</v>
      </c>
      <c r="I3499">
        <v>6</v>
      </c>
      <c r="J3499" t="str" cm="1">
        <f t="array" ref="J3499">_xlfn.IFS(I3499&lt;=3,"small",I3499&lt;=6,"Medium",I3499&lt;=9,"Large")</f>
        <v>Medium</v>
      </c>
      <c r="K3499" s="36">
        <v>45344</v>
      </c>
      <c r="L3499" s="36">
        <v>45347</v>
      </c>
      <c r="M3499" t="s">
        <v>612</v>
      </c>
      <c r="N3499" t="s">
        <v>604</v>
      </c>
      <c r="O3499" s="37" t="str">
        <f t="shared" si="273"/>
        <v>Digital Payment</v>
      </c>
      <c r="P3499">
        <v>1229.71</v>
      </c>
      <c r="Q3499" s="37" t="str">
        <f>IF(P3499&gt;500,"High","low")</f>
        <v>High</v>
      </c>
      <c r="R3499" s="37" t="str">
        <f t="shared" si="274"/>
        <v>Excellent</v>
      </c>
      <c r="S3499" t="s">
        <v>609</v>
      </c>
    </row>
    <row r="3500" spans="1:19" x14ac:dyDescent="0.2">
      <c r="A3500" t="s">
        <v>4111</v>
      </c>
      <c r="B3500" t="s">
        <v>83</v>
      </c>
      <c r="C3500" t="s">
        <v>617</v>
      </c>
      <c r="D3500">
        <v>1545.68</v>
      </c>
      <c r="E3500" s="37" t="str">
        <f t="shared" si="270"/>
        <v xml:space="preserve"> </v>
      </c>
      <c r="F3500">
        <v>0.42</v>
      </c>
      <c r="G3500" s="37" t="str">
        <f t="shared" si="271"/>
        <v>Heavy Discount</v>
      </c>
      <c r="H3500" s="37" t="str">
        <f t="shared" si="272"/>
        <v>High</v>
      </c>
      <c r="I3500">
        <v>3</v>
      </c>
      <c r="J3500" t="str" cm="1">
        <f t="array" ref="J3500">_xlfn.IFS(I3500&lt;=3,"small",I3500&lt;=6,"Medium",I3500&lt;=9,"Large")</f>
        <v>small</v>
      </c>
      <c r="K3500" s="36">
        <v>45299</v>
      </c>
      <c r="L3500" s="36">
        <v>45300</v>
      </c>
      <c r="M3500" t="s">
        <v>598</v>
      </c>
      <c r="N3500" t="s">
        <v>608</v>
      </c>
      <c r="O3500" s="37" t="str">
        <f t="shared" si="273"/>
        <v>Cash Payment</v>
      </c>
      <c r="P3500">
        <v>284.29000000000002</v>
      </c>
      <c r="Q3500" s="37" t="str">
        <f>IF(P3500&gt;500,"High","low")</f>
        <v>low</v>
      </c>
      <c r="R3500" s="37" t="str">
        <f t="shared" si="274"/>
        <v>AVERAGE</v>
      </c>
      <c r="S3500" t="s">
        <v>628</v>
      </c>
    </row>
    <row r="3501" spans="1:19" x14ac:dyDescent="0.2">
      <c r="A3501" t="s">
        <v>4112</v>
      </c>
      <c r="B3501" t="s">
        <v>67</v>
      </c>
      <c r="C3501" t="s">
        <v>602</v>
      </c>
      <c r="D3501">
        <v>4671.25</v>
      </c>
      <c r="E3501" s="37" t="str">
        <f t="shared" si="270"/>
        <v xml:space="preserve"> </v>
      </c>
      <c r="F3501">
        <v>0.05</v>
      </c>
      <c r="G3501" s="37" t="str">
        <f t="shared" si="271"/>
        <v>Normal Discount</v>
      </c>
      <c r="H3501" s="37" t="str">
        <f t="shared" si="272"/>
        <v>Low</v>
      </c>
      <c r="I3501">
        <v>9</v>
      </c>
      <c r="J3501" t="str" cm="1">
        <f t="array" ref="J3501">_xlfn.IFS(I3501&lt;=3,"small",I3501&lt;=6,"Medium",I3501&lt;=9,"Large")</f>
        <v>Large</v>
      </c>
      <c r="K3501" s="36">
        <v>45034</v>
      </c>
      <c r="L3501" s="36">
        <v>45037</v>
      </c>
      <c r="M3501" t="s">
        <v>612</v>
      </c>
      <c r="N3501" t="s">
        <v>599</v>
      </c>
      <c r="O3501" s="37" t="str">
        <f t="shared" si="273"/>
        <v>Digital Payment</v>
      </c>
      <c r="P3501">
        <v>385.45</v>
      </c>
      <c r="Q3501" s="37" t="str">
        <f>IF(P3501&gt;500,"High","low")</f>
        <v>low</v>
      </c>
      <c r="R3501" s="37" t="str">
        <f t="shared" si="274"/>
        <v>AVERAGE</v>
      </c>
      <c r="S3501" t="s">
        <v>605</v>
      </c>
    </row>
    <row r="3502" spans="1:19" x14ac:dyDescent="0.2">
      <c r="A3502" t="s">
        <v>4113</v>
      </c>
      <c r="B3502" t="s">
        <v>90</v>
      </c>
      <c r="C3502" t="s">
        <v>602</v>
      </c>
      <c r="D3502">
        <v>446.96</v>
      </c>
      <c r="E3502" s="37" t="str">
        <f t="shared" si="270"/>
        <v xml:space="preserve"> </v>
      </c>
      <c r="F3502">
        <v>0.47</v>
      </c>
      <c r="G3502" s="37" t="str">
        <f t="shared" si="271"/>
        <v>Heavy Discount</v>
      </c>
      <c r="H3502" s="37" t="str">
        <f t="shared" si="272"/>
        <v>High</v>
      </c>
      <c r="I3502">
        <v>1</v>
      </c>
      <c r="J3502" t="str" cm="1">
        <f t="array" ref="J3502">_xlfn.IFS(I3502&lt;=3,"small",I3502&lt;=6,"Medium",I3502&lt;=9,"Large")</f>
        <v>small</v>
      </c>
      <c r="K3502" s="36">
        <v>45242</v>
      </c>
      <c r="L3502" s="36">
        <v>45249</v>
      </c>
      <c r="M3502" t="s">
        <v>603</v>
      </c>
      <c r="N3502" t="s">
        <v>599</v>
      </c>
      <c r="O3502" s="37" t="str">
        <f t="shared" si="273"/>
        <v>Digital Payment</v>
      </c>
      <c r="P3502">
        <v>73.95</v>
      </c>
      <c r="Q3502" s="37" t="str">
        <f>IF(P3502&gt;500,"High","low")</f>
        <v>low</v>
      </c>
      <c r="R3502" s="37" t="str">
        <f t="shared" si="274"/>
        <v>AVERAGE</v>
      </c>
      <c r="S3502" t="s">
        <v>605</v>
      </c>
    </row>
    <row r="3503" spans="1:19" x14ac:dyDescent="0.2">
      <c r="A3503" t="s">
        <v>4114</v>
      </c>
      <c r="B3503" t="s">
        <v>75</v>
      </c>
      <c r="C3503" t="s">
        <v>602</v>
      </c>
      <c r="D3503">
        <v>1716.62</v>
      </c>
      <c r="E3503" s="37" t="str">
        <f t="shared" si="270"/>
        <v xml:space="preserve"> </v>
      </c>
      <c r="F3503">
        <v>0.17</v>
      </c>
      <c r="G3503" s="37" t="str">
        <f t="shared" si="271"/>
        <v>Normal Discount</v>
      </c>
      <c r="H3503" s="37" t="str">
        <f t="shared" si="272"/>
        <v>Low</v>
      </c>
      <c r="I3503">
        <v>7</v>
      </c>
      <c r="J3503" t="str" cm="1">
        <f t="array" ref="J3503">_xlfn.IFS(I3503&lt;=3,"small",I3503&lt;=6,"Medium",I3503&lt;=9,"Large")</f>
        <v>Large</v>
      </c>
      <c r="K3503" s="36">
        <v>45371</v>
      </c>
      <c r="L3503" s="36">
        <v>45374</v>
      </c>
      <c r="M3503" t="s">
        <v>603</v>
      </c>
      <c r="N3503" t="s">
        <v>608</v>
      </c>
      <c r="O3503" s="37" t="str">
        <f t="shared" si="273"/>
        <v>Cash Payment</v>
      </c>
      <c r="P3503">
        <v>349.63</v>
      </c>
      <c r="Q3503" s="37" t="str">
        <f>IF(P3503&gt;500,"High","low")</f>
        <v>low</v>
      </c>
      <c r="R3503" s="37" t="str">
        <f t="shared" si="274"/>
        <v>AVERAGE</v>
      </c>
      <c r="S3503" t="s">
        <v>605</v>
      </c>
    </row>
    <row r="3504" spans="1:19" x14ac:dyDescent="0.2">
      <c r="A3504" t="s">
        <v>4115</v>
      </c>
      <c r="B3504" t="s">
        <v>75</v>
      </c>
      <c r="C3504" t="s">
        <v>597</v>
      </c>
      <c r="D3504">
        <v>3235.73</v>
      </c>
      <c r="E3504" s="37" t="str">
        <f t="shared" si="270"/>
        <v xml:space="preserve"> </v>
      </c>
      <c r="F3504">
        <v>0.17</v>
      </c>
      <c r="G3504" s="37" t="str">
        <f t="shared" si="271"/>
        <v>Normal Discount</v>
      </c>
      <c r="H3504" s="37" t="str">
        <f t="shared" si="272"/>
        <v>Low</v>
      </c>
      <c r="I3504">
        <v>9</v>
      </c>
      <c r="J3504" t="str" cm="1">
        <f t="array" ref="J3504">_xlfn.IFS(I3504&lt;=3,"small",I3504&lt;=6,"Medium",I3504&lt;=9,"Large")</f>
        <v>Large</v>
      </c>
      <c r="K3504" s="36">
        <v>45356</v>
      </c>
      <c r="L3504" s="36">
        <v>45362</v>
      </c>
      <c r="M3504" t="s">
        <v>612</v>
      </c>
      <c r="N3504" t="s">
        <v>604</v>
      </c>
      <c r="O3504" s="37" t="str">
        <f t="shared" si="273"/>
        <v>Digital Payment</v>
      </c>
      <c r="P3504">
        <v>717.96</v>
      </c>
      <c r="Q3504" s="37" t="str">
        <f>IF(P3504&gt;500,"High","low")</f>
        <v>High</v>
      </c>
      <c r="R3504" s="37" t="str">
        <f t="shared" si="274"/>
        <v>Good</v>
      </c>
      <c r="S3504" t="s">
        <v>620</v>
      </c>
    </row>
    <row r="3505" spans="1:19" x14ac:dyDescent="0.2">
      <c r="A3505" t="s">
        <v>4116</v>
      </c>
      <c r="B3505" t="s">
        <v>75</v>
      </c>
      <c r="C3505" t="s">
        <v>607</v>
      </c>
      <c r="D3505">
        <v>2681.89</v>
      </c>
      <c r="E3505" s="37" t="str">
        <f t="shared" si="270"/>
        <v xml:space="preserve"> </v>
      </c>
      <c r="F3505">
        <v>0.16</v>
      </c>
      <c r="G3505" s="37" t="str">
        <f t="shared" si="271"/>
        <v>Normal Discount</v>
      </c>
      <c r="H3505" s="37" t="str">
        <f t="shared" si="272"/>
        <v>Low</v>
      </c>
      <c r="I3505">
        <v>5</v>
      </c>
      <c r="J3505" t="str" cm="1">
        <f t="array" ref="J3505">_xlfn.IFS(I3505&lt;=3,"small",I3505&lt;=6,"Medium",I3505&lt;=9,"Large")</f>
        <v>Medium</v>
      </c>
      <c r="K3505" s="36">
        <v>45411</v>
      </c>
      <c r="L3505" s="36">
        <v>45412</v>
      </c>
      <c r="M3505" t="s">
        <v>598</v>
      </c>
      <c r="N3505" t="s">
        <v>608</v>
      </c>
      <c r="O3505" s="37" t="str">
        <f t="shared" si="273"/>
        <v>Cash Payment</v>
      </c>
      <c r="P3505">
        <v>195.24</v>
      </c>
      <c r="Q3505" s="37" t="str">
        <f>IF(P3505&gt;500,"High","low")</f>
        <v>low</v>
      </c>
      <c r="R3505" s="37" t="str">
        <f t="shared" si="274"/>
        <v>AVERAGE</v>
      </c>
      <c r="S3505" t="s">
        <v>609</v>
      </c>
    </row>
    <row r="3506" spans="1:19" x14ac:dyDescent="0.2">
      <c r="A3506" t="s">
        <v>4117</v>
      </c>
      <c r="B3506" t="s">
        <v>75</v>
      </c>
      <c r="C3506" t="s">
        <v>614</v>
      </c>
      <c r="D3506">
        <v>2757.82</v>
      </c>
      <c r="E3506" s="37" t="str">
        <f t="shared" si="270"/>
        <v xml:space="preserve"> </v>
      </c>
      <c r="F3506">
        <v>0.48</v>
      </c>
      <c r="G3506" s="37" t="str">
        <f t="shared" si="271"/>
        <v>Heavy Discount</v>
      </c>
      <c r="H3506" s="37" t="str">
        <f t="shared" si="272"/>
        <v>High</v>
      </c>
      <c r="I3506">
        <v>3</v>
      </c>
      <c r="J3506" t="str" cm="1">
        <f t="array" ref="J3506">_xlfn.IFS(I3506&lt;=3,"small",I3506&lt;=6,"Medium",I3506&lt;=9,"Large")</f>
        <v>small</v>
      </c>
      <c r="K3506" s="36">
        <v>45587</v>
      </c>
      <c r="L3506" s="36">
        <v>45591</v>
      </c>
      <c r="M3506" t="s">
        <v>598</v>
      </c>
      <c r="N3506" t="s">
        <v>604</v>
      </c>
      <c r="O3506" s="37" t="str">
        <f t="shared" si="273"/>
        <v>Digital Payment</v>
      </c>
      <c r="P3506">
        <v>624.78</v>
      </c>
      <c r="Q3506" s="37" t="str">
        <f>IF(P3506&gt;500,"High","low")</f>
        <v>High</v>
      </c>
      <c r="R3506" s="37" t="str">
        <f t="shared" si="274"/>
        <v>Good</v>
      </c>
      <c r="S3506" t="s">
        <v>628</v>
      </c>
    </row>
    <row r="3507" spans="1:19" x14ac:dyDescent="0.2">
      <c r="A3507" t="s">
        <v>4118</v>
      </c>
      <c r="B3507" t="s">
        <v>83</v>
      </c>
      <c r="C3507" t="s">
        <v>607</v>
      </c>
      <c r="D3507">
        <v>3994.95</v>
      </c>
      <c r="E3507" s="37" t="str">
        <f t="shared" si="270"/>
        <v xml:space="preserve"> </v>
      </c>
      <c r="F3507">
        <v>0.49</v>
      </c>
      <c r="G3507" s="37" t="str">
        <f t="shared" si="271"/>
        <v>Heavy Discount</v>
      </c>
      <c r="H3507" s="37" t="str">
        <f t="shared" si="272"/>
        <v>High</v>
      </c>
      <c r="I3507">
        <v>4</v>
      </c>
      <c r="J3507" t="str" cm="1">
        <f t="array" ref="J3507">_xlfn.IFS(I3507&lt;=3,"small",I3507&lt;=6,"Medium",I3507&lt;=9,"Large")</f>
        <v>Medium</v>
      </c>
      <c r="K3507" s="36">
        <v>45145</v>
      </c>
      <c r="L3507" s="36">
        <v>45151</v>
      </c>
      <c r="M3507" t="s">
        <v>612</v>
      </c>
      <c r="N3507" t="s">
        <v>608</v>
      </c>
      <c r="O3507" s="37" t="str">
        <f t="shared" si="273"/>
        <v>Cash Payment</v>
      </c>
      <c r="P3507">
        <v>974.95</v>
      </c>
      <c r="Q3507" s="37" t="str">
        <f>IF(P3507&gt;500,"High","low")</f>
        <v>High</v>
      </c>
      <c r="R3507" s="37" t="str">
        <f t="shared" si="274"/>
        <v>Good</v>
      </c>
      <c r="S3507" t="s">
        <v>605</v>
      </c>
    </row>
    <row r="3508" spans="1:19" x14ac:dyDescent="0.2">
      <c r="A3508" t="s">
        <v>4119</v>
      </c>
      <c r="B3508" t="s">
        <v>83</v>
      </c>
      <c r="C3508" t="s">
        <v>617</v>
      </c>
      <c r="D3508">
        <v>1054.05</v>
      </c>
      <c r="E3508" s="37" t="str">
        <f t="shared" si="270"/>
        <v xml:space="preserve"> </v>
      </c>
      <c r="F3508">
        <v>0.49</v>
      </c>
      <c r="G3508" s="37" t="str">
        <f t="shared" si="271"/>
        <v>Heavy Discount</v>
      </c>
      <c r="H3508" s="37" t="str">
        <f t="shared" si="272"/>
        <v>High</v>
      </c>
      <c r="I3508">
        <v>8</v>
      </c>
      <c r="J3508" t="str" cm="1">
        <f t="array" ref="J3508">_xlfn.IFS(I3508&lt;=3,"small",I3508&lt;=6,"Medium",I3508&lt;=9,"Large")</f>
        <v>Large</v>
      </c>
      <c r="K3508" s="36">
        <v>45424</v>
      </c>
      <c r="L3508" s="36">
        <v>45428</v>
      </c>
      <c r="M3508" t="s">
        <v>603</v>
      </c>
      <c r="N3508" t="s">
        <v>599</v>
      </c>
      <c r="O3508" s="37" t="str">
        <f t="shared" si="273"/>
        <v>Digital Payment</v>
      </c>
      <c r="P3508">
        <v>149.57</v>
      </c>
      <c r="Q3508" s="37" t="str">
        <f>IF(P3508&gt;500,"High","low")</f>
        <v>low</v>
      </c>
      <c r="R3508" s="37" t="str">
        <f t="shared" si="274"/>
        <v>AVERAGE</v>
      </c>
      <c r="S3508" t="s">
        <v>615</v>
      </c>
    </row>
    <row r="3509" spans="1:19" x14ac:dyDescent="0.2">
      <c r="A3509" t="s">
        <v>4120</v>
      </c>
      <c r="B3509" t="s">
        <v>75</v>
      </c>
      <c r="C3509" t="s">
        <v>597</v>
      </c>
      <c r="D3509">
        <v>4912.17</v>
      </c>
      <c r="E3509" s="37" t="str">
        <f t="shared" si="270"/>
        <v>Excellent Order</v>
      </c>
      <c r="F3509">
        <v>0.35</v>
      </c>
      <c r="G3509" s="37" t="str">
        <f t="shared" si="271"/>
        <v>Heavy Discount</v>
      </c>
      <c r="H3509" s="37" t="str">
        <f t="shared" si="272"/>
        <v>Medium</v>
      </c>
      <c r="I3509">
        <v>3</v>
      </c>
      <c r="J3509" t="str" cm="1">
        <f t="array" ref="J3509">_xlfn.IFS(I3509&lt;=3,"small",I3509&lt;=6,"Medium",I3509&lt;=9,"Large")</f>
        <v>small</v>
      </c>
      <c r="K3509" s="36">
        <v>45175</v>
      </c>
      <c r="L3509" s="36">
        <v>45180</v>
      </c>
      <c r="M3509" t="s">
        <v>612</v>
      </c>
      <c r="N3509" t="s">
        <v>599</v>
      </c>
      <c r="O3509" s="37" t="str">
        <f t="shared" si="273"/>
        <v>Digital Payment</v>
      </c>
      <c r="P3509">
        <v>1067.6400000000001</v>
      </c>
      <c r="Q3509" s="37" t="str">
        <f>IF(P3509&gt;500,"High","low")</f>
        <v>High</v>
      </c>
      <c r="R3509" s="37" t="str">
        <f t="shared" si="274"/>
        <v>Excellent</v>
      </c>
      <c r="S3509" t="s">
        <v>600</v>
      </c>
    </row>
    <row r="3510" spans="1:19" x14ac:dyDescent="0.2">
      <c r="A3510" t="s">
        <v>4121</v>
      </c>
      <c r="B3510" t="s">
        <v>75</v>
      </c>
      <c r="C3510" t="s">
        <v>597</v>
      </c>
      <c r="D3510">
        <v>2243.5500000000002</v>
      </c>
      <c r="E3510" s="37" t="str">
        <f t="shared" si="270"/>
        <v xml:space="preserve"> </v>
      </c>
      <c r="F3510">
        <v>0.06</v>
      </c>
      <c r="G3510" s="37" t="str">
        <f t="shared" si="271"/>
        <v>Normal Discount</v>
      </c>
      <c r="H3510" s="37" t="str">
        <f t="shared" si="272"/>
        <v>Low</v>
      </c>
      <c r="I3510">
        <v>5</v>
      </c>
      <c r="J3510" t="str" cm="1">
        <f t="array" ref="J3510">_xlfn.IFS(I3510&lt;=3,"small",I3510&lt;=6,"Medium",I3510&lt;=9,"Large")</f>
        <v>Medium</v>
      </c>
      <c r="K3510" s="36">
        <v>45200</v>
      </c>
      <c r="L3510" s="36">
        <v>45205</v>
      </c>
      <c r="M3510" t="s">
        <v>603</v>
      </c>
      <c r="N3510" t="s">
        <v>608</v>
      </c>
      <c r="O3510" s="37" t="str">
        <f t="shared" si="273"/>
        <v>Cash Payment</v>
      </c>
      <c r="P3510">
        <v>167.53</v>
      </c>
      <c r="Q3510" s="37" t="str">
        <f>IF(P3510&gt;500,"High","low")</f>
        <v>low</v>
      </c>
      <c r="R3510" s="37" t="str">
        <f t="shared" si="274"/>
        <v>AVERAGE</v>
      </c>
      <c r="S3510" t="s">
        <v>628</v>
      </c>
    </row>
    <row r="3511" spans="1:19" x14ac:dyDescent="0.2">
      <c r="A3511" t="s">
        <v>4122</v>
      </c>
      <c r="B3511" t="s">
        <v>75</v>
      </c>
      <c r="C3511" t="s">
        <v>602</v>
      </c>
      <c r="D3511">
        <v>4754.2299999999996</v>
      </c>
      <c r="E3511" s="37" t="str">
        <f t="shared" si="270"/>
        <v>Excellent Order</v>
      </c>
      <c r="F3511">
        <v>0.19</v>
      </c>
      <c r="G3511" s="37" t="str">
        <f t="shared" si="271"/>
        <v>Normal Discount</v>
      </c>
      <c r="H3511" s="37" t="str">
        <f t="shared" si="272"/>
        <v>Low</v>
      </c>
      <c r="I3511">
        <v>3</v>
      </c>
      <c r="J3511" t="str" cm="1">
        <f t="array" ref="J3511">_xlfn.IFS(I3511&lt;=3,"small",I3511&lt;=6,"Medium",I3511&lt;=9,"Large")</f>
        <v>small</v>
      </c>
      <c r="K3511" s="36">
        <v>45294</v>
      </c>
      <c r="L3511" s="36">
        <v>45301</v>
      </c>
      <c r="M3511" t="s">
        <v>603</v>
      </c>
      <c r="N3511" t="s">
        <v>608</v>
      </c>
      <c r="O3511" s="37" t="str">
        <f t="shared" si="273"/>
        <v>Cash Payment</v>
      </c>
      <c r="P3511">
        <v>1419.14</v>
      </c>
      <c r="Q3511" s="37" t="str">
        <f>IF(P3511&gt;500,"High","low")</f>
        <v>High</v>
      </c>
      <c r="R3511" s="37" t="str">
        <f t="shared" si="274"/>
        <v>Excellent</v>
      </c>
      <c r="S3511" t="s">
        <v>628</v>
      </c>
    </row>
    <row r="3512" spans="1:19" x14ac:dyDescent="0.2">
      <c r="A3512" t="s">
        <v>4123</v>
      </c>
      <c r="B3512" t="s">
        <v>83</v>
      </c>
      <c r="C3512" t="s">
        <v>602</v>
      </c>
      <c r="D3512">
        <v>1977.27</v>
      </c>
      <c r="E3512" s="37" t="str">
        <f t="shared" si="270"/>
        <v xml:space="preserve"> </v>
      </c>
      <c r="F3512">
        <v>0.14000000000000001</v>
      </c>
      <c r="G3512" s="37" t="str">
        <f t="shared" si="271"/>
        <v>Normal Discount</v>
      </c>
      <c r="H3512" s="37" t="str">
        <f t="shared" si="272"/>
        <v>Low</v>
      </c>
      <c r="I3512">
        <v>6</v>
      </c>
      <c r="J3512" t="str" cm="1">
        <f t="array" ref="J3512">_xlfn.IFS(I3512&lt;=3,"small",I3512&lt;=6,"Medium",I3512&lt;=9,"Large")</f>
        <v>Medium</v>
      </c>
      <c r="K3512" s="36">
        <v>45123</v>
      </c>
      <c r="L3512" s="36">
        <v>45126</v>
      </c>
      <c r="M3512" t="s">
        <v>603</v>
      </c>
      <c r="N3512" t="s">
        <v>604</v>
      </c>
      <c r="O3512" s="37" t="str">
        <f t="shared" si="273"/>
        <v>Digital Payment</v>
      </c>
      <c r="P3512">
        <v>134.53</v>
      </c>
      <c r="Q3512" s="37" t="str">
        <f>IF(P3512&gt;500,"High","low")</f>
        <v>low</v>
      </c>
      <c r="R3512" s="37" t="str">
        <f t="shared" si="274"/>
        <v>AVERAGE</v>
      </c>
      <c r="S3512" t="s">
        <v>620</v>
      </c>
    </row>
    <row r="3513" spans="1:19" x14ac:dyDescent="0.2">
      <c r="A3513" t="s">
        <v>4124</v>
      </c>
      <c r="B3513" t="s">
        <v>75</v>
      </c>
      <c r="C3513" t="s">
        <v>617</v>
      </c>
      <c r="D3513">
        <v>3048.75</v>
      </c>
      <c r="E3513" s="37" t="str">
        <f t="shared" si="270"/>
        <v xml:space="preserve"> </v>
      </c>
      <c r="F3513">
        <v>0.35</v>
      </c>
      <c r="G3513" s="37" t="str">
        <f t="shared" si="271"/>
        <v>Heavy Discount</v>
      </c>
      <c r="H3513" s="37" t="str">
        <f t="shared" si="272"/>
        <v>Medium</v>
      </c>
      <c r="I3513">
        <v>1</v>
      </c>
      <c r="J3513" t="str" cm="1">
        <f t="array" ref="J3513">_xlfn.IFS(I3513&lt;=3,"small",I3513&lt;=6,"Medium",I3513&lt;=9,"Large")</f>
        <v>small</v>
      </c>
      <c r="K3513" s="36">
        <v>45600</v>
      </c>
      <c r="L3513" s="36">
        <v>45607</v>
      </c>
      <c r="M3513" t="s">
        <v>612</v>
      </c>
      <c r="N3513" t="s">
        <v>599</v>
      </c>
      <c r="O3513" s="37" t="str">
        <f t="shared" si="273"/>
        <v>Digital Payment</v>
      </c>
      <c r="P3513">
        <v>307.14</v>
      </c>
      <c r="Q3513" s="37" t="str">
        <f>IF(P3513&gt;500,"High","low")</f>
        <v>low</v>
      </c>
      <c r="R3513" s="37" t="str">
        <f t="shared" si="274"/>
        <v>AVERAGE</v>
      </c>
      <c r="S3513" t="s">
        <v>605</v>
      </c>
    </row>
    <row r="3514" spans="1:19" x14ac:dyDescent="0.2">
      <c r="A3514" t="s">
        <v>4125</v>
      </c>
      <c r="B3514" t="s">
        <v>75</v>
      </c>
      <c r="C3514" t="s">
        <v>597</v>
      </c>
      <c r="D3514">
        <v>2306.5300000000002</v>
      </c>
      <c r="E3514" s="37" t="str">
        <f t="shared" si="270"/>
        <v xml:space="preserve"> </v>
      </c>
      <c r="F3514">
        <v>0.25</v>
      </c>
      <c r="G3514" s="37" t="str">
        <f t="shared" si="271"/>
        <v>Normal Discount</v>
      </c>
      <c r="H3514" s="37" t="str">
        <f t="shared" si="272"/>
        <v>Medium</v>
      </c>
      <c r="I3514">
        <v>7</v>
      </c>
      <c r="J3514" t="str" cm="1">
        <f t="array" ref="J3514">_xlfn.IFS(I3514&lt;=3,"small",I3514&lt;=6,"Medium",I3514&lt;=9,"Large")</f>
        <v>Large</v>
      </c>
      <c r="K3514" s="36">
        <v>45432</v>
      </c>
      <c r="L3514" s="36">
        <v>45437</v>
      </c>
      <c r="M3514" t="s">
        <v>603</v>
      </c>
      <c r="N3514" t="s">
        <v>599</v>
      </c>
      <c r="O3514" s="37" t="str">
        <f t="shared" si="273"/>
        <v>Digital Payment</v>
      </c>
      <c r="P3514">
        <v>552.88</v>
      </c>
      <c r="Q3514" s="37" t="str">
        <f>IF(P3514&gt;500,"High","low")</f>
        <v>High</v>
      </c>
      <c r="R3514" s="37" t="str">
        <f t="shared" si="274"/>
        <v>Good</v>
      </c>
      <c r="S3514" t="s">
        <v>628</v>
      </c>
    </row>
    <row r="3515" spans="1:19" x14ac:dyDescent="0.2">
      <c r="A3515" t="s">
        <v>4126</v>
      </c>
      <c r="B3515" t="s">
        <v>67</v>
      </c>
      <c r="C3515" t="s">
        <v>614</v>
      </c>
      <c r="D3515">
        <v>3412.08</v>
      </c>
      <c r="E3515" s="37" t="str">
        <f t="shared" si="270"/>
        <v xml:space="preserve"> </v>
      </c>
      <c r="F3515">
        <v>0.31</v>
      </c>
      <c r="G3515" s="37" t="str">
        <f t="shared" si="271"/>
        <v>Heavy Discount</v>
      </c>
      <c r="H3515" s="37" t="str">
        <f t="shared" si="272"/>
        <v>Medium</v>
      </c>
      <c r="I3515">
        <v>6</v>
      </c>
      <c r="J3515" t="str" cm="1">
        <f t="array" ref="J3515">_xlfn.IFS(I3515&lt;=3,"small",I3515&lt;=6,"Medium",I3515&lt;=9,"Large")</f>
        <v>Medium</v>
      </c>
      <c r="K3515" s="36">
        <v>45537</v>
      </c>
      <c r="L3515" s="36">
        <v>45541</v>
      </c>
      <c r="M3515" t="s">
        <v>612</v>
      </c>
      <c r="N3515" t="s">
        <v>608</v>
      </c>
      <c r="O3515" s="37" t="str">
        <f t="shared" si="273"/>
        <v>Cash Payment</v>
      </c>
      <c r="P3515">
        <v>989.42</v>
      </c>
      <c r="Q3515" s="37" t="str">
        <f>IF(P3515&gt;500,"High","low")</f>
        <v>High</v>
      </c>
      <c r="R3515" s="37" t="str">
        <f t="shared" si="274"/>
        <v>Good</v>
      </c>
      <c r="S3515" t="s">
        <v>628</v>
      </c>
    </row>
    <row r="3516" spans="1:19" x14ac:dyDescent="0.2">
      <c r="A3516" t="s">
        <v>4127</v>
      </c>
      <c r="B3516" t="s">
        <v>67</v>
      </c>
      <c r="C3516" t="s">
        <v>607</v>
      </c>
      <c r="D3516">
        <v>999.76</v>
      </c>
      <c r="E3516" s="37" t="str">
        <f t="shared" si="270"/>
        <v xml:space="preserve"> </v>
      </c>
      <c r="F3516">
        <v>0</v>
      </c>
      <c r="G3516" s="37" t="str">
        <f t="shared" si="271"/>
        <v>Normal Discount</v>
      </c>
      <c r="H3516" s="37" t="str">
        <f t="shared" si="272"/>
        <v>Low</v>
      </c>
      <c r="I3516">
        <v>6</v>
      </c>
      <c r="J3516" t="str" cm="1">
        <f t="array" ref="J3516">_xlfn.IFS(I3516&lt;=3,"small",I3516&lt;=6,"Medium",I3516&lt;=9,"Large")</f>
        <v>Medium</v>
      </c>
      <c r="K3516" s="36">
        <v>45528</v>
      </c>
      <c r="L3516" s="36">
        <v>45533</v>
      </c>
      <c r="M3516" t="s">
        <v>612</v>
      </c>
      <c r="N3516" t="s">
        <v>604</v>
      </c>
      <c r="O3516" s="37" t="str">
        <f t="shared" si="273"/>
        <v>Digital Payment</v>
      </c>
      <c r="P3516">
        <v>113.67</v>
      </c>
      <c r="Q3516" s="37" t="str">
        <f>IF(P3516&gt;500,"High","low")</f>
        <v>low</v>
      </c>
      <c r="R3516" s="37" t="str">
        <f t="shared" si="274"/>
        <v>AVERAGE</v>
      </c>
      <c r="S3516" t="s">
        <v>609</v>
      </c>
    </row>
    <row r="3517" spans="1:19" x14ac:dyDescent="0.2">
      <c r="A3517" t="s">
        <v>4128</v>
      </c>
      <c r="B3517" t="s">
        <v>75</v>
      </c>
      <c r="C3517" t="s">
        <v>597</v>
      </c>
      <c r="D3517">
        <v>2063.08</v>
      </c>
      <c r="E3517" s="37" t="str">
        <f t="shared" si="270"/>
        <v xml:space="preserve"> </v>
      </c>
      <c r="F3517">
        <v>0.39</v>
      </c>
      <c r="G3517" s="37" t="str">
        <f t="shared" si="271"/>
        <v>Heavy Discount</v>
      </c>
      <c r="H3517" s="37" t="str">
        <f t="shared" si="272"/>
        <v>Medium</v>
      </c>
      <c r="I3517">
        <v>3</v>
      </c>
      <c r="J3517" t="str" cm="1">
        <f t="array" ref="J3517">_xlfn.IFS(I3517&lt;=3,"small",I3517&lt;=6,"Medium",I3517&lt;=9,"Large")</f>
        <v>small</v>
      </c>
      <c r="K3517" s="36">
        <v>45595</v>
      </c>
      <c r="L3517" s="36">
        <v>45602</v>
      </c>
      <c r="M3517" t="s">
        <v>598</v>
      </c>
      <c r="N3517" t="s">
        <v>599</v>
      </c>
      <c r="O3517" s="37" t="str">
        <f t="shared" si="273"/>
        <v>Digital Payment</v>
      </c>
      <c r="P3517">
        <v>153.96</v>
      </c>
      <c r="Q3517" s="37" t="str">
        <f>IF(P3517&gt;500,"High","low")</f>
        <v>low</v>
      </c>
      <c r="R3517" s="37" t="str">
        <f t="shared" si="274"/>
        <v>AVERAGE</v>
      </c>
      <c r="S3517" t="s">
        <v>600</v>
      </c>
    </row>
    <row r="3518" spans="1:19" x14ac:dyDescent="0.2">
      <c r="A3518" t="s">
        <v>4129</v>
      </c>
      <c r="B3518" t="s">
        <v>90</v>
      </c>
      <c r="C3518" t="s">
        <v>614</v>
      </c>
      <c r="D3518">
        <v>435.07</v>
      </c>
      <c r="E3518" s="37" t="str">
        <f t="shared" si="270"/>
        <v xml:space="preserve"> </v>
      </c>
      <c r="F3518">
        <v>0.48</v>
      </c>
      <c r="G3518" s="37" t="str">
        <f t="shared" si="271"/>
        <v>Heavy Discount</v>
      </c>
      <c r="H3518" s="37" t="str">
        <f t="shared" si="272"/>
        <v>High</v>
      </c>
      <c r="I3518">
        <v>1</v>
      </c>
      <c r="J3518" t="str" cm="1">
        <f t="array" ref="J3518">_xlfn.IFS(I3518&lt;=3,"small",I3518&lt;=6,"Medium",I3518&lt;=9,"Large")</f>
        <v>small</v>
      </c>
      <c r="K3518" s="36">
        <v>45636</v>
      </c>
      <c r="L3518" s="36">
        <v>45643</v>
      </c>
      <c r="M3518" t="s">
        <v>598</v>
      </c>
      <c r="N3518" t="s">
        <v>608</v>
      </c>
      <c r="O3518" s="37" t="str">
        <f t="shared" si="273"/>
        <v>Cash Payment</v>
      </c>
      <c r="P3518">
        <v>37.119999999999997</v>
      </c>
      <c r="Q3518" s="37" t="str">
        <f>IF(P3518&gt;500,"High","low")</f>
        <v>low</v>
      </c>
      <c r="R3518" s="37" t="str">
        <f t="shared" si="274"/>
        <v>AVERAGE</v>
      </c>
      <c r="S3518" t="s">
        <v>609</v>
      </c>
    </row>
    <row r="3519" spans="1:19" x14ac:dyDescent="0.2">
      <c r="A3519" t="s">
        <v>4130</v>
      </c>
      <c r="B3519" t="s">
        <v>75</v>
      </c>
      <c r="C3519" t="s">
        <v>614</v>
      </c>
      <c r="D3519">
        <v>3030.7</v>
      </c>
      <c r="E3519" s="37" t="str">
        <f t="shared" si="270"/>
        <v xml:space="preserve"> </v>
      </c>
      <c r="F3519">
        <v>0.33</v>
      </c>
      <c r="G3519" s="37" t="str">
        <f t="shared" si="271"/>
        <v>Heavy Discount</v>
      </c>
      <c r="H3519" s="37" t="str">
        <f t="shared" si="272"/>
        <v>Medium</v>
      </c>
      <c r="I3519">
        <v>1</v>
      </c>
      <c r="J3519" t="str" cm="1">
        <f t="array" ref="J3519">_xlfn.IFS(I3519&lt;=3,"small",I3519&lt;=6,"Medium",I3519&lt;=9,"Large")</f>
        <v>small</v>
      </c>
      <c r="K3519" s="36">
        <v>45016</v>
      </c>
      <c r="L3519" s="36">
        <v>45020</v>
      </c>
      <c r="M3519" t="s">
        <v>598</v>
      </c>
      <c r="N3519" t="s">
        <v>608</v>
      </c>
      <c r="O3519" s="37" t="str">
        <f t="shared" si="273"/>
        <v>Cash Payment</v>
      </c>
      <c r="P3519">
        <v>669.21</v>
      </c>
      <c r="Q3519" s="37" t="str">
        <f>IF(P3519&gt;500,"High","low")</f>
        <v>High</v>
      </c>
      <c r="R3519" s="37" t="str">
        <f t="shared" si="274"/>
        <v>Good</v>
      </c>
      <c r="S3519" t="s">
        <v>615</v>
      </c>
    </row>
    <row r="3520" spans="1:19" x14ac:dyDescent="0.2">
      <c r="A3520" t="s">
        <v>4131</v>
      </c>
      <c r="B3520" t="s">
        <v>67</v>
      </c>
      <c r="C3520" t="s">
        <v>607</v>
      </c>
      <c r="D3520">
        <v>4817.1400000000003</v>
      </c>
      <c r="E3520" s="37" t="str">
        <f t="shared" si="270"/>
        <v>Excellent Order</v>
      </c>
      <c r="F3520">
        <v>0.43</v>
      </c>
      <c r="G3520" s="37" t="str">
        <f t="shared" si="271"/>
        <v>Heavy Discount</v>
      </c>
      <c r="H3520" s="37" t="str">
        <f t="shared" si="272"/>
        <v>High</v>
      </c>
      <c r="I3520">
        <v>7</v>
      </c>
      <c r="J3520" t="str" cm="1">
        <f t="array" ref="J3520">_xlfn.IFS(I3520&lt;=3,"small",I3520&lt;=6,"Medium",I3520&lt;=9,"Large")</f>
        <v>Large</v>
      </c>
      <c r="K3520" s="36">
        <v>45240</v>
      </c>
      <c r="L3520" s="36">
        <v>45244</v>
      </c>
      <c r="M3520" t="s">
        <v>612</v>
      </c>
      <c r="N3520" t="s">
        <v>604</v>
      </c>
      <c r="O3520" s="37" t="str">
        <f t="shared" si="273"/>
        <v>Digital Payment</v>
      </c>
      <c r="P3520">
        <v>855.19</v>
      </c>
      <c r="Q3520" s="37" t="str">
        <f>IF(P3520&gt;500,"High","low")</f>
        <v>High</v>
      </c>
      <c r="R3520" s="37" t="str">
        <f t="shared" si="274"/>
        <v>Good</v>
      </c>
      <c r="S3520" t="s">
        <v>615</v>
      </c>
    </row>
    <row r="3521" spans="1:19" x14ac:dyDescent="0.2">
      <c r="A3521" t="s">
        <v>4132</v>
      </c>
      <c r="B3521" t="s">
        <v>90</v>
      </c>
      <c r="C3521" t="s">
        <v>614</v>
      </c>
      <c r="D3521">
        <v>324.94</v>
      </c>
      <c r="E3521" s="37" t="str">
        <f t="shared" si="270"/>
        <v xml:space="preserve"> </v>
      </c>
      <c r="F3521">
        <v>0.24</v>
      </c>
      <c r="G3521" s="37" t="str">
        <f t="shared" si="271"/>
        <v>Normal Discount</v>
      </c>
      <c r="H3521" s="37" t="str">
        <f t="shared" si="272"/>
        <v>Medium</v>
      </c>
      <c r="I3521">
        <v>4</v>
      </c>
      <c r="J3521" t="str" cm="1">
        <f t="array" ref="J3521">_xlfn.IFS(I3521&lt;=3,"small",I3521&lt;=6,"Medium",I3521&lt;=9,"Large")</f>
        <v>Medium</v>
      </c>
      <c r="K3521" s="36">
        <v>45648</v>
      </c>
      <c r="L3521" s="36">
        <v>45651</v>
      </c>
      <c r="M3521" t="s">
        <v>612</v>
      </c>
      <c r="N3521" t="s">
        <v>608</v>
      </c>
      <c r="O3521" s="37" t="str">
        <f t="shared" si="273"/>
        <v>Cash Payment</v>
      </c>
      <c r="P3521">
        <v>87.99</v>
      </c>
      <c r="Q3521" s="37" t="str">
        <f>IF(P3521&gt;500,"High","low")</f>
        <v>low</v>
      </c>
      <c r="R3521" s="37" t="str">
        <f t="shared" si="274"/>
        <v>AVERAGE</v>
      </c>
      <c r="S3521" t="s">
        <v>609</v>
      </c>
    </row>
    <row r="3522" spans="1:19" x14ac:dyDescent="0.2">
      <c r="A3522" t="s">
        <v>4133</v>
      </c>
      <c r="B3522" t="s">
        <v>90</v>
      </c>
      <c r="C3522" t="s">
        <v>617</v>
      </c>
      <c r="D3522">
        <v>3332.19</v>
      </c>
      <c r="E3522" s="37" t="str">
        <f t="shared" si="270"/>
        <v xml:space="preserve"> </v>
      </c>
      <c r="F3522">
        <v>0.01</v>
      </c>
      <c r="G3522" s="37" t="str">
        <f t="shared" si="271"/>
        <v>Normal Discount</v>
      </c>
      <c r="H3522" s="37" t="str">
        <f t="shared" si="272"/>
        <v>Low</v>
      </c>
      <c r="I3522">
        <v>6</v>
      </c>
      <c r="J3522" t="str" cm="1">
        <f t="array" ref="J3522">_xlfn.IFS(I3522&lt;=3,"small",I3522&lt;=6,"Medium",I3522&lt;=9,"Large")</f>
        <v>Medium</v>
      </c>
      <c r="K3522" s="36">
        <v>45599</v>
      </c>
      <c r="L3522" s="36">
        <v>45604</v>
      </c>
      <c r="M3522" t="s">
        <v>612</v>
      </c>
      <c r="N3522" t="s">
        <v>599</v>
      </c>
      <c r="O3522" s="37" t="str">
        <f t="shared" si="273"/>
        <v>Digital Payment</v>
      </c>
      <c r="P3522">
        <v>250.61</v>
      </c>
      <c r="Q3522" s="37" t="str">
        <f>IF(P3522&gt;500,"High","low")</f>
        <v>low</v>
      </c>
      <c r="R3522" s="37" t="str">
        <f t="shared" si="274"/>
        <v>AVERAGE</v>
      </c>
      <c r="S3522" t="s">
        <v>628</v>
      </c>
    </row>
    <row r="3523" spans="1:19" x14ac:dyDescent="0.2">
      <c r="A3523" t="s">
        <v>4134</v>
      </c>
      <c r="B3523" t="s">
        <v>75</v>
      </c>
      <c r="C3523" t="s">
        <v>614</v>
      </c>
      <c r="D3523">
        <v>3897.98</v>
      </c>
      <c r="E3523" s="37" t="str">
        <f t="shared" ref="E3523:E3586" si="275">IF(AND(D3523&gt;4000,P3523&gt;800),"Excellent Order"," ")</f>
        <v xml:space="preserve"> </v>
      </c>
      <c r="F3523">
        <v>0.5</v>
      </c>
      <c r="G3523" s="37" t="str">
        <f t="shared" ref="G3523:G3586" si="276">IF(F3523&gt;30%,"Heavy Discount","Normal Discount")</f>
        <v>Heavy Discount</v>
      </c>
      <c r="H3523" s="37" t="str">
        <f t="shared" ref="H3523:H3586" si="277">IF(F3523&gt;0.4,"High",IF(F3523&gt;=0.2,"Medium","Low"))</f>
        <v>High</v>
      </c>
      <c r="I3523">
        <v>4</v>
      </c>
      <c r="J3523" t="str" cm="1">
        <f t="array" ref="J3523">_xlfn.IFS(I3523&lt;=3,"small",I3523&lt;=6,"Medium",I3523&lt;=9,"Large")</f>
        <v>Medium</v>
      </c>
      <c r="K3523" s="36">
        <v>45022</v>
      </c>
      <c r="L3523" s="36">
        <v>45027</v>
      </c>
      <c r="M3523" t="s">
        <v>598</v>
      </c>
      <c r="N3523" t="s">
        <v>599</v>
      </c>
      <c r="O3523" s="37" t="str">
        <f t="shared" ref="O3523:O3586" si="278">IF(OR(N3523="Card",N3523="UPI"),"Digital Payment","Cash Payment")</f>
        <v>Digital Payment</v>
      </c>
      <c r="P3523">
        <v>683.54</v>
      </c>
      <c r="Q3523" s="37" t="str">
        <f>IF(P3523&gt;500,"High","low")</f>
        <v>High</v>
      </c>
      <c r="R3523" s="37" t="str">
        <f t="shared" ref="R3523:R3586" si="279">IF(P3523&gt;1000,"Excellent",IF(P3523&gt;=500,"Good","AVERAGE"))</f>
        <v>Good</v>
      </c>
      <c r="S3523" t="s">
        <v>605</v>
      </c>
    </row>
    <row r="3524" spans="1:19" x14ac:dyDescent="0.2">
      <c r="A3524" t="s">
        <v>4135</v>
      </c>
      <c r="B3524" t="s">
        <v>67</v>
      </c>
      <c r="C3524" t="s">
        <v>617</v>
      </c>
      <c r="D3524">
        <v>1144.23</v>
      </c>
      <c r="E3524" s="37" t="str">
        <f t="shared" si="275"/>
        <v xml:space="preserve"> </v>
      </c>
      <c r="F3524">
        <v>0.03</v>
      </c>
      <c r="G3524" s="37" t="str">
        <f t="shared" si="276"/>
        <v>Normal Discount</v>
      </c>
      <c r="H3524" s="37" t="str">
        <f t="shared" si="277"/>
        <v>Low</v>
      </c>
      <c r="I3524">
        <v>8</v>
      </c>
      <c r="J3524" t="str" cm="1">
        <f t="array" ref="J3524">_xlfn.IFS(I3524&lt;=3,"small",I3524&lt;=6,"Medium",I3524&lt;=9,"Large")</f>
        <v>Large</v>
      </c>
      <c r="K3524" s="36">
        <v>45656</v>
      </c>
      <c r="L3524" s="36">
        <v>45663</v>
      </c>
      <c r="M3524" t="s">
        <v>603</v>
      </c>
      <c r="N3524" t="s">
        <v>599</v>
      </c>
      <c r="O3524" s="37" t="str">
        <f t="shared" si="278"/>
        <v>Digital Payment</v>
      </c>
      <c r="P3524">
        <v>232.43</v>
      </c>
      <c r="Q3524" s="37" t="str">
        <f>IF(P3524&gt;500,"High","low")</f>
        <v>low</v>
      </c>
      <c r="R3524" s="37" t="str">
        <f t="shared" si="279"/>
        <v>AVERAGE</v>
      </c>
      <c r="S3524" t="s">
        <v>628</v>
      </c>
    </row>
    <row r="3525" spans="1:19" x14ac:dyDescent="0.2">
      <c r="A3525" t="s">
        <v>4136</v>
      </c>
      <c r="B3525" t="s">
        <v>67</v>
      </c>
      <c r="C3525" t="s">
        <v>614</v>
      </c>
      <c r="D3525">
        <v>1438.06</v>
      </c>
      <c r="E3525" s="37" t="str">
        <f t="shared" si="275"/>
        <v xml:space="preserve"> </v>
      </c>
      <c r="F3525">
        <v>0.1</v>
      </c>
      <c r="G3525" s="37" t="str">
        <f t="shared" si="276"/>
        <v>Normal Discount</v>
      </c>
      <c r="H3525" s="37" t="str">
        <f t="shared" si="277"/>
        <v>Low</v>
      </c>
      <c r="I3525">
        <v>9</v>
      </c>
      <c r="J3525" t="str" cm="1">
        <f t="array" ref="J3525">_xlfn.IFS(I3525&lt;=3,"small",I3525&lt;=6,"Medium",I3525&lt;=9,"Large")</f>
        <v>Large</v>
      </c>
      <c r="K3525" s="36">
        <v>45652</v>
      </c>
      <c r="L3525" s="36">
        <v>45653</v>
      </c>
      <c r="M3525" t="s">
        <v>603</v>
      </c>
      <c r="N3525" t="s">
        <v>604</v>
      </c>
      <c r="O3525" s="37" t="str">
        <f t="shared" si="278"/>
        <v>Digital Payment</v>
      </c>
      <c r="P3525">
        <v>382.02</v>
      </c>
      <c r="Q3525" s="37" t="str">
        <f>IF(P3525&gt;500,"High","low")</f>
        <v>low</v>
      </c>
      <c r="R3525" s="37" t="str">
        <f t="shared" si="279"/>
        <v>AVERAGE</v>
      </c>
      <c r="S3525" t="s">
        <v>615</v>
      </c>
    </row>
    <row r="3526" spans="1:19" x14ac:dyDescent="0.2">
      <c r="A3526" t="s">
        <v>4137</v>
      </c>
      <c r="B3526" t="s">
        <v>90</v>
      </c>
      <c r="C3526" t="s">
        <v>602</v>
      </c>
      <c r="D3526">
        <v>1087.75</v>
      </c>
      <c r="E3526" s="37" t="str">
        <f t="shared" si="275"/>
        <v xml:space="preserve"> </v>
      </c>
      <c r="F3526">
        <v>0.03</v>
      </c>
      <c r="G3526" s="37" t="str">
        <f t="shared" si="276"/>
        <v>Normal Discount</v>
      </c>
      <c r="H3526" s="37" t="str">
        <f t="shared" si="277"/>
        <v>Low</v>
      </c>
      <c r="I3526">
        <v>2</v>
      </c>
      <c r="J3526" t="str" cm="1">
        <f t="array" ref="J3526">_xlfn.IFS(I3526&lt;=3,"small",I3526&lt;=6,"Medium",I3526&lt;=9,"Large")</f>
        <v>small</v>
      </c>
      <c r="K3526" s="36">
        <v>45216</v>
      </c>
      <c r="L3526" s="36">
        <v>45217</v>
      </c>
      <c r="M3526" t="s">
        <v>598</v>
      </c>
      <c r="N3526" t="s">
        <v>604</v>
      </c>
      <c r="O3526" s="37" t="str">
        <f t="shared" si="278"/>
        <v>Digital Payment</v>
      </c>
      <c r="P3526">
        <v>204.97</v>
      </c>
      <c r="Q3526" s="37" t="str">
        <f>IF(P3526&gt;500,"High","low")</f>
        <v>low</v>
      </c>
      <c r="R3526" s="37" t="str">
        <f t="shared" si="279"/>
        <v>AVERAGE</v>
      </c>
      <c r="S3526" t="s">
        <v>620</v>
      </c>
    </row>
    <row r="3527" spans="1:19" x14ac:dyDescent="0.2">
      <c r="A3527" t="s">
        <v>4138</v>
      </c>
      <c r="B3527" t="s">
        <v>75</v>
      </c>
      <c r="C3527" t="s">
        <v>614</v>
      </c>
      <c r="D3527">
        <v>1557.32</v>
      </c>
      <c r="E3527" s="37" t="str">
        <f t="shared" si="275"/>
        <v xml:space="preserve"> </v>
      </c>
      <c r="F3527">
        <v>0.31</v>
      </c>
      <c r="G3527" s="37" t="str">
        <f t="shared" si="276"/>
        <v>Heavy Discount</v>
      </c>
      <c r="H3527" s="37" t="str">
        <f t="shared" si="277"/>
        <v>Medium</v>
      </c>
      <c r="I3527">
        <v>1</v>
      </c>
      <c r="J3527" t="str" cm="1">
        <f t="array" ref="J3527">_xlfn.IFS(I3527&lt;=3,"small",I3527&lt;=6,"Medium",I3527&lt;=9,"Large")</f>
        <v>small</v>
      </c>
      <c r="K3527" s="36">
        <v>45045</v>
      </c>
      <c r="L3527" s="36">
        <v>45049</v>
      </c>
      <c r="M3527" t="s">
        <v>598</v>
      </c>
      <c r="N3527" t="s">
        <v>608</v>
      </c>
      <c r="O3527" s="37" t="str">
        <f t="shared" si="278"/>
        <v>Cash Payment</v>
      </c>
      <c r="P3527">
        <v>148.93</v>
      </c>
      <c r="Q3527" s="37" t="str">
        <f>IF(P3527&gt;500,"High","low")</f>
        <v>low</v>
      </c>
      <c r="R3527" s="37" t="str">
        <f t="shared" si="279"/>
        <v>AVERAGE</v>
      </c>
      <c r="S3527" t="s">
        <v>615</v>
      </c>
    </row>
    <row r="3528" spans="1:19" x14ac:dyDescent="0.2">
      <c r="A3528" t="s">
        <v>4139</v>
      </c>
      <c r="B3528" t="s">
        <v>83</v>
      </c>
      <c r="C3528" t="s">
        <v>617</v>
      </c>
      <c r="D3528">
        <v>639.4</v>
      </c>
      <c r="E3528" s="37" t="str">
        <f t="shared" si="275"/>
        <v xml:space="preserve"> </v>
      </c>
      <c r="F3528">
        <v>0.28999999999999998</v>
      </c>
      <c r="G3528" s="37" t="str">
        <f t="shared" si="276"/>
        <v>Normal Discount</v>
      </c>
      <c r="H3528" s="37" t="str">
        <f t="shared" si="277"/>
        <v>Medium</v>
      </c>
      <c r="I3528">
        <v>1</v>
      </c>
      <c r="J3528" t="str" cm="1">
        <f t="array" ref="J3528">_xlfn.IFS(I3528&lt;=3,"small",I3528&lt;=6,"Medium",I3528&lt;=9,"Large")</f>
        <v>small</v>
      </c>
      <c r="K3528" s="36">
        <v>45557</v>
      </c>
      <c r="L3528" s="36">
        <v>45563</v>
      </c>
      <c r="M3528" t="s">
        <v>603</v>
      </c>
      <c r="N3528" t="s">
        <v>599</v>
      </c>
      <c r="O3528" s="37" t="str">
        <f t="shared" si="278"/>
        <v>Digital Payment</v>
      </c>
      <c r="P3528">
        <v>174.05</v>
      </c>
      <c r="Q3528" s="37" t="str">
        <f>IF(P3528&gt;500,"High","low")</f>
        <v>low</v>
      </c>
      <c r="R3528" s="37" t="str">
        <f t="shared" si="279"/>
        <v>AVERAGE</v>
      </c>
      <c r="S3528" t="s">
        <v>615</v>
      </c>
    </row>
    <row r="3529" spans="1:19" x14ac:dyDescent="0.2">
      <c r="A3529" t="s">
        <v>4140</v>
      </c>
      <c r="B3529" t="s">
        <v>83</v>
      </c>
      <c r="C3529" t="s">
        <v>614</v>
      </c>
      <c r="D3529">
        <v>1914.7</v>
      </c>
      <c r="E3529" s="37" t="str">
        <f t="shared" si="275"/>
        <v xml:space="preserve"> </v>
      </c>
      <c r="F3529">
        <v>0.1</v>
      </c>
      <c r="G3529" s="37" t="str">
        <f t="shared" si="276"/>
        <v>Normal Discount</v>
      </c>
      <c r="H3529" s="37" t="str">
        <f t="shared" si="277"/>
        <v>Low</v>
      </c>
      <c r="I3529">
        <v>7</v>
      </c>
      <c r="J3529" t="str" cm="1">
        <f t="array" ref="J3529">_xlfn.IFS(I3529&lt;=3,"small",I3529&lt;=6,"Medium",I3529&lt;=9,"Large")</f>
        <v>Large</v>
      </c>
      <c r="K3529" s="36">
        <v>44975</v>
      </c>
      <c r="L3529" s="36">
        <v>44978</v>
      </c>
      <c r="M3529" t="s">
        <v>598</v>
      </c>
      <c r="N3529" t="s">
        <v>604</v>
      </c>
      <c r="O3529" s="37" t="str">
        <f t="shared" si="278"/>
        <v>Digital Payment</v>
      </c>
      <c r="P3529">
        <v>510.15</v>
      </c>
      <c r="Q3529" s="37" t="str">
        <f>IF(P3529&gt;500,"High","low")</f>
        <v>High</v>
      </c>
      <c r="R3529" s="37" t="str">
        <f t="shared" si="279"/>
        <v>Good</v>
      </c>
      <c r="S3529" t="s">
        <v>615</v>
      </c>
    </row>
    <row r="3530" spans="1:19" x14ac:dyDescent="0.2">
      <c r="A3530" t="s">
        <v>4141</v>
      </c>
      <c r="B3530" t="s">
        <v>67</v>
      </c>
      <c r="C3530" t="s">
        <v>614</v>
      </c>
      <c r="D3530">
        <v>1907.75</v>
      </c>
      <c r="E3530" s="37" t="str">
        <f t="shared" si="275"/>
        <v xml:space="preserve"> </v>
      </c>
      <c r="F3530">
        <v>0.48</v>
      </c>
      <c r="G3530" s="37" t="str">
        <f t="shared" si="276"/>
        <v>Heavy Discount</v>
      </c>
      <c r="H3530" s="37" t="str">
        <f t="shared" si="277"/>
        <v>High</v>
      </c>
      <c r="I3530">
        <v>2</v>
      </c>
      <c r="J3530" t="str" cm="1">
        <f t="array" ref="J3530">_xlfn.IFS(I3530&lt;=3,"small",I3530&lt;=6,"Medium",I3530&lt;=9,"Large")</f>
        <v>small</v>
      </c>
      <c r="K3530" s="36">
        <v>45450</v>
      </c>
      <c r="L3530" s="36">
        <v>45452</v>
      </c>
      <c r="M3530" t="s">
        <v>612</v>
      </c>
      <c r="N3530" t="s">
        <v>604</v>
      </c>
      <c r="O3530" s="37" t="str">
        <f t="shared" si="278"/>
        <v>Digital Payment</v>
      </c>
      <c r="P3530">
        <v>511.86</v>
      </c>
      <c r="Q3530" s="37" t="str">
        <f>IF(P3530&gt;500,"High","low")</f>
        <v>High</v>
      </c>
      <c r="R3530" s="37" t="str">
        <f t="shared" si="279"/>
        <v>Good</v>
      </c>
      <c r="S3530" t="s">
        <v>609</v>
      </c>
    </row>
    <row r="3531" spans="1:19" x14ac:dyDescent="0.2">
      <c r="A3531" t="s">
        <v>4142</v>
      </c>
      <c r="B3531" t="s">
        <v>83</v>
      </c>
      <c r="C3531" t="s">
        <v>614</v>
      </c>
      <c r="D3531">
        <v>4055.61</v>
      </c>
      <c r="E3531" s="37" t="str">
        <f t="shared" si="275"/>
        <v xml:space="preserve"> </v>
      </c>
      <c r="F3531">
        <v>0.46</v>
      </c>
      <c r="G3531" s="37" t="str">
        <f t="shared" si="276"/>
        <v>Heavy Discount</v>
      </c>
      <c r="H3531" s="37" t="str">
        <f t="shared" si="277"/>
        <v>High</v>
      </c>
      <c r="I3531">
        <v>3</v>
      </c>
      <c r="J3531" t="str" cm="1">
        <f t="array" ref="J3531">_xlfn.IFS(I3531&lt;=3,"small",I3531&lt;=6,"Medium",I3531&lt;=9,"Large")</f>
        <v>small</v>
      </c>
      <c r="K3531" s="36">
        <v>45180</v>
      </c>
      <c r="L3531" s="36">
        <v>45187</v>
      </c>
      <c r="M3531" t="s">
        <v>612</v>
      </c>
      <c r="N3531" t="s">
        <v>599</v>
      </c>
      <c r="O3531" s="37" t="str">
        <f t="shared" si="278"/>
        <v>Digital Payment</v>
      </c>
      <c r="P3531">
        <v>797.86</v>
      </c>
      <c r="Q3531" s="37" t="str">
        <f>IF(P3531&gt;500,"High","low")</f>
        <v>High</v>
      </c>
      <c r="R3531" s="37" t="str">
        <f t="shared" si="279"/>
        <v>Good</v>
      </c>
      <c r="S3531" t="s">
        <v>620</v>
      </c>
    </row>
    <row r="3532" spans="1:19" x14ac:dyDescent="0.2">
      <c r="A3532" t="s">
        <v>4143</v>
      </c>
      <c r="B3532" t="s">
        <v>67</v>
      </c>
      <c r="C3532" t="s">
        <v>617</v>
      </c>
      <c r="D3532">
        <v>4024.7</v>
      </c>
      <c r="E3532" s="37" t="str">
        <f t="shared" si="275"/>
        <v>Excellent Order</v>
      </c>
      <c r="F3532">
        <v>0.14000000000000001</v>
      </c>
      <c r="G3532" s="37" t="str">
        <f t="shared" si="276"/>
        <v>Normal Discount</v>
      </c>
      <c r="H3532" s="37" t="str">
        <f t="shared" si="277"/>
        <v>Low</v>
      </c>
      <c r="I3532">
        <v>4</v>
      </c>
      <c r="J3532" t="str" cm="1">
        <f t="array" ref="J3532">_xlfn.IFS(I3532&lt;=3,"small",I3532&lt;=6,"Medium",I3532&lt;=9,"Large")</f>
        <v>Medium</v>
      </c>
      <c r="K3532" s="36">
        <v>45076</v>
      </c>
      <c r="L3532" s="36">
        <v>45081</v>
      </c>
      <c r="M3532" t="s">
        <v>598</v>
      </c>
      <c r="N3532" t="s">
        <v>604</v>
      </c>
      <c r="O3532" s="37" t="str">
        <f t="shared" si="278"/>
        <v>Digital Payment</v>
      </c>
      <c r="P3532">
        <v>1170.51</v>
      </c>
      <c r="Q3532" s="37" t="str">
        <f>IF(P3532&gt;500,"High","low")</f>
        <v>High</v>
      </c>
      <c r="R3532" s="37" t="str">
        <f t="shared" si="279"/>
        <v>Excellent</v>
      </c>
      <c r="S3532" t="s">
        <v>605</v>
      </c>
    </row>
    <row r="3533" spans="1:19" x14ac:dyDescent="0.2">
      <c r="A3533" t="s">
        <v>4144</v>
      </c>
      <c r="B3533" t="s">
        <v>67</v>
      </c>
      <c r="C3533" t="s">
        <v>614</v>
      </c>
      <c r="D3533">
        <v>4003.94</v>
      </c>
      <c r="E3533" s="37" t="str">
        <f t="shared" si="275"/>
        <v xml:space="preserve"> </v>
      </c>
      <c r="F3533">
        <v>0.33</v>
      </c>
      <c r="G3533" s="37" t="str">
        <f t="shared" si="276"/>
        <v>Heavy Discount</v>
      </c>
      <c r="H3533" s="37" t="str">
        <f t="shared" si="277"/>
        <v>Medium</v>
      </c>
      <c r="I3533">
        <v>9</v>
      </c>
      <c r="J3533" t="str" cm="1">
        <f t="array" ref="J3533">_xlfn.IFS(I3533&lt;=3,"small",I3533&lt;=6,"Medium",I3533&lt;=9,"Large")</f>
        <v>Large</v>
      </c>
      <c r="K3533" s="36">
        <v>45395</v>
      </c>
      <c r="L3533" s="36">
        <v>45400</v>
      </c>
      <c r="M3533" t="s">
        <v>612</v>
      </c>
      <c r="N3533" t="s">
        <v>608</v>
      </c>
      <c r="O3533" s="37" t="str">
        <f t="shared" si="278"/>
        <v>Cash Payment</v>
      </c>
      <c r="P3533">
        <v>756.34</v>
      </c>
      <c r="Q3533" s="37" t="str">
        <f>IF(P3533&gt;500,"High","low")</f>
        <v>High</v>
      </c>
      <c r="R3533" s="37" t="str">
        <f t="shared" si="279"/>
        <v>Good</v>
      </c>
      <c r="S3533" t="s">
        <v>609</v>
      </c>
    </row>
    <row r="3534" spans="1:19" x14ac:dyDescent="0.2">
      <c r="A3534" t="s">
        <v>4145</v>
      </c>
      <c r="B3534" t="s">
        <v>67</v>
      </c>
      <c r="C3534" t="s">
        <v>607</v>
      </c>
      <c r="D3534">
        <v>2878.48</v>
      </c>
      <c r="E3534" s="37" t="str">
        <f t="shared" si="275"/>
        <v xml:space="preserve"> </v>
      </c>
      <c r="F3534">
        <v>0.43</v>
      </c>
      <c r="G3534" s="37" t="str">
        <f t="shared" si="276"/>
        <v>Heavy Discount</v>
      </c>
      <c r="H3534" s="37" t="str">
        <f t="shared" si="277"/>
        <v>High</v>
      </c>
      <c r="I3534">
        <v>2</v>
      </c>
      <c r="J3534" t="str" cm="1">
        <f t="array" ref="J3534">_xlfn.IFS(I3534&lt;=3,"small",I3534&lt;=6,"Medium",I3534&lt;=9,"Large")</f>
        <v>small</v>
      </c>
      <c r="K3534" s="36">
        <v>45590</v>
      </c>
      <c r="L3534" s="36">
        <v>45594</v>
      </c>
      <c r="M3534" t="s">
        <v>612</v>
      </c>
      <c r="N3534" t="s">
        <v>608</v>
      </c>
      <c r="O3534" s="37" t="str">
        <f t="shared" si="278"/>
        <v>Cash Payment</v>
      </c>
      <c r="P3534">
        <v>250.91</v>
      </c>
      <c r="Q3534" s="37" t="str">
        <f>IF(P3534&gt;500,"High","low")</f>
        <v>low</v>
      </c>
      <c r="R3534" s="37" t="str">
        <f t="shared" si="279"/>
        <v>AVERAGE</v>
      </c>
      <c r="S3534" t="s">
        <v>609</v>
      </c>
    </row>
    <row r="3535" spans="1:19" x14ac:dyDescent="0.2">
      <c r="A3535" t="s">
        <v>4146</v>
      </c>
      <c r="B3535" t="s">
        <v>83</v>
      </c>
      <c r="C3535" t="s">
        <v>607</v>
      </c>
      <c r="D3535">
        <v>1696.82</v>
      </c>
      <c r="E3535" s="37" t="str">
        <f t="shared" si="275"/>
        <v xml:space="preserve"> </v>
      </c>
      <c r="F3535">
        <v>0.18</v>
      </c>
      <c r="G3535" s="37" t="str">
        <f t="shared" si="276"/>
        <v>Normal Discount</v>
      </c>
      <c r="H3535" s="37" t="str">
        <f t="shared" si="277"/>
        <v>Low</v>
      </c>
      <c r="I3535">
        <v>2</v>
      </c>
      <c r="J3535" t="str" cm="1">
        <f t="array" ref="J3535">_xlfn.IFS(I3535&lt;=3,"small",I3535&lt;=6,"Medium",I3535&lt;=9,"Large")</f>
        <v>small</v>
      </c>
      <c r="K3535" s="36">
        <v>45238</v>
      </c>
      <c r="L3535" s="36">
        <v>45242</v>
      </c>
      <c r="M3535" t="s">
        <v>612</v>
      </c>
      <c r="N3535" t="s">
        <v>604</v>
      </c>
      <c r="O3535" s="37" t="str">
        <f t="shared" si="278"/>
        <v>Digital Payment</v>
      </c>
      <c r="P3535">
        <v>254.3</v>
      </c>
      <c r="Q3535" s="37" t="str">
        <f>IF(P3535&gt;500,"High","low")</f>
        <v>low</v>
      </c>
      <c r="R3535" s="37" t="str">
        <f t="shared" si="279"/>
        <v>AVERAGE</v>
      </c>
      <c r="S3535" t="s">
        <v>609</v>
      </c>
    </row>
    <row r="3536" spans="1:19" x14ac:dyDescent="0.2">
      <c r="A3536" t="s">
        <v>4147</v>
      </c>
      <c r="B3536" t="s">
        <v>67</v>
      </c>
      <c r="C3536" t="s">
        <v>617</v>
      </c>
      <c r="D3536">
        <v>2113.73</v>
      </c>
      <c r="E3536" s="37" t="str">
        <f t="shared" si="275"/>
        <v xml:space="preserve"> </v>
      </c>
      <c r="F3536">
        <v>0.13</v>
      </c>
      <c r="G3536" s="37" t="str">
        <f t="shared" si="276"/>
        <v>Normal Discount</v>
      </c>
      <c r="H3536" s="37" t="str">
        <f t="shared" si="277"/>
        <v>Low</v>
      </c>
      <c r="I3536">
        <v>1</v>
      </c>
      <c r="J3536" t="str" cm="1">
        <f t="array" ref="J3536">_xlfn.IFS(I3536&lt;=3,"small",I3536&lt;=6,"Medium",I3536&lt;=9,"Large")</f>
        <v>small</v>
      </c>
      <c r="K3536" s="36">
        <v>45591</v>
      </c>
      <c r="L3536" s="36">
        <v>45596</v>
      </c>
      <c r="M3536" t="s">
        <v>603</v>
      </c>
      <c r="N3536" t="s">
        <v>608</v>
      </c>
      <c r="O3536" s="37" t="str">
        <f t="shared" si="278"/>
        <v>Cash Payment</v>
      </c>
      <c r="P3536">
        <v>541.59</v>
      </c>
      <c r="Q3536" s="37" t="str">
        <f>IF(P3536&gt;500,"High","low")</f>
        <v>High</v>
      </c>
      <c r="R3536" s="37" t="str">
        <f t="shared" si="279"/>
        <v>Good</v>
      </c>
      <c r="S3536" t="s">
        <v>615</v>
      </c>
    </row>
    <row r="3537" spans="1:19" x14ac:dyDescent="0.2">
      <c r="A3537" t="s">
        <v>4148</v>
      </c>
      <c r="B3537" t="s">
        <v>90</v>
      </c>
      <c r="C3537" t="s">
        <v>602</v>
      </c>
      <c r="D3537">
        <v>1656.94</v>
      </c>
      <c r="E3537" s="37" t="str">
        <f t="shared" si="275"/>
        <v xml:space="preserve"> </v>
      </c>
      <c r="F3537">
        <v>0.13</v>
      </c>
      <c r="G3537" s="37" t="str">
        <f t="shared" si="276"/>
        <v>Normal Discount</v>
      </c>
      <c r="H3537" s="37" t="str">
        <f t="shared" si="277"/>
        <v>Low</v>
      </c>
      <c r="I3537">
        <v>8</v>
      </c>
      <c r="J3537" t="str" cm="1">
        <f t="array" ref="J3537">_xlfn.IFS(I3537&lt;=3,"small",I3537&lt;=6,"Medium",I3537&lt;=9,"Large")</f>
        <v>Large</v>
      </c>
      <c r="K3537" s="36">
        <v>45376</v>
      </c>
      <c r="L3537" s="36">
        <v>45380</v>
      </c>
      <c r="M3537" t="s">
        <v>598</v>
      </c>
      <c r="N3537" t="s">
        <v>608</v>
      </c>
      <c r="O3537" s="37" t="str">
        <f t="shared" si="278"/>
        <v>Cash Payment</v>
      </c>
      <c r="P3537">
        <v>488.13</v>
      </c>
      <c r="Q3537" s="37" t="str">
        <f>IF(P3537&gt;500,"High","low")</f>
        <v>low</v>
      </c>
      <c r="R3537" s="37" t="str">
        <f t="shared" si="279"/>
        <v>AVERAGE</v>
      </c>
      <c r="S3537" t="s">
        <v>620</v>
      </c>
    </row>
    <row r="3538" spans="1:19" x14ac:dyDescent="0.2">
      <c r="A3538" t="s">
        <v>4149</v>
      </c>
      <c r="B3538" t="s">
        <v>75</v>
      </c>
      <c r="C3538" t="s">
        <v>607</v>
      </c>
      <c r="D3538">
        <v>2951.45</v>
      </c>
      <c r="E3538" s="37" t="str">
        <f t="shared" si="275"/>
        <v xml:space="preserve"> </v>
      </c>
      <c r="F3538">
        <v>0.41</v>
      </c>
      <c r="G3538" s="37" t="str">
        <f t="shared" si="276"/>
        <v>Heavy Discount</v>
      </c>
      <c r="H3538" s="37" t="str">
        <f t="shared" si="277"/>
        <v>High</v>
      </c>
      <c r="I3538">
        <v>8</v>
      </c>
      <c r="J3538" t="str" cm="1">
        <f t="array" ref="J3538">_xlfn.IFS(I3538&lt;=3,"small",I3538&lt;=6,"Medium",I3538&lt;=9,"Large")</f>
        <v>Large</v>
      </c>
      <c r="K3538" s="36">
        <v>45567</v>
      </c>
      <c r="L3538" s="36">
        <v>45570</v>
      </c>
      <c r="M3538" t="s">
        <v>612</v>
      </c>
      <c r="N3538" t="s">
        <v>604</v>
      </c>
      <c r="O3538" s="37" t="str">
        <f t="shared" si="278"/>
        <v>Digital Payment</v>
      </c>
      <c r="P3538">
        <v>760.67</v>
      </c>
      <c r="Q3538" s="37" t="str">
        <f>IF(P3538&gt;500,"High","low")</f>
        <v>High</v>
      </c>
      <c r="R3538" s="37" t="str">
        <f t="shared" si="279"/>
        <v>Good</v>
      </c>
      <c r="S3538" t="s">
        <v>600</v>
      </c>
    </row>
    <row r="3539" spans="1:19" x14ac:dyDescent="0.2">
      <c r="A3539" t="s">
        <v>4150</v>
      </c>
      <c r="B3539" t="s">
        <v>75</v>
      </c>
      <c r="C3539" t="s">
        <v>597</v>
      </c>
      <c r="D3539">
        <v>4696.1000000000004</v>
      </c>
      <c r="E3539" s="37" t="str">
        <f t="shared" si="275"/>
        <v xml:space="preserve"> </v>
      </c>
      <c r="F3539">
        <v>0.23</v>
      </c>
      <c r="G3539" s="37" t="str">
        <f t="shared" si="276"/>
        <v>Normal Discount</v>
      </c>
      <c r="H3539" s="37" t="str">
        <f t="shared" si="277"/>
        <v>Medium</v>
      </c>
      <c r="I3539">
        <v>5</v>
      </c>
      <c r="J3539" t="str" cm="1">
        <f t="array" ref="J3539">_xlfn.IFS(I3539&lt;=3,"small",I3539&lt;=6,"Medium",I3539&lt;=9,"Large")</f>
        <v>Medium</v>
      </c>
      <c r="K3539" s="36">
        <v>45128</v>
      </c>
      <c r="L3539" s="36">
        <v>45133</v>
      </c>
      <c r="M3539" t="s">
        <v>598</v>
      </c>
      <c r="N3539" t="s">
        <v>604</v>
      </c>
      <c r="O3539" s="37" t="str">
        <f t="shared" si="278"/>
        <v>Digital Payment</v>
      </c>
      <c r="P3539">
        <v>661.25</v>
      </c>
      <c r="Q3539" s="37" t="str">
        <f>IF(P3539&gt;500,"High","low")</f>
        <v>High</v>
      </c>
      <c r="R3539" s="37" t="str">
        <f t="shared" si="279"/>
        <v>Good</v>
      </c>
      <c r="S3539" t="s">
        <v>620</v>
      </c>
    </row>
    <row r="3540" spans="1:19" x14ac:dyDescent="0.2">
      <c r="A3540" t="s">
        <v>4151</v>
      </c>
      <c r="B3540" t="s">
        <v>67</v>
      </c>
      <c r="C3540" t="s">
        <v>607</v>
      </c>
      <c r="D3540">
        <v>1494.03</v>
      </c>
      <c r="E3540" s="37" t="str">
        <f t="shared" si="275"/>
        <v xml:space="preserve"> </v>
      </c>
      <c r="F3540">
        <v>0.36</v>
      </c>
      <c r="G3540" s="37" t="str">
        <f t="shared" si="276"/>
        <v>Heavy Discount</v>
      </c>
      <c r="H3540" s="37" t="str">
        <f t="shared" si="277"/>
        <v>Medium</v>
      </c>
      <c r="I3540">
        <v>3</v>
      </c>
      <c r="J3540" t="str" cm="1">
        <f t="array" ref="J3540">_xlfn.IFS(I3540&lt;=3,"small",I3540&lt;=6,"Medium",I3540&lt;=9,"Large")</f>
        <v>small</v>
      </c>
      <c r="K3540" s="36">
        <v>45300</v>
      </c>
      <c r="L3540" s="36">
        <v>45305</v>
      </c>
      <c r="M3540" t="s">
        <v>612</v>
      </c>
      <c r="N3540" t="s">
        <v>599</v>
      </c>
      <c r="O3540" s="37" t="str">
        <f t="shared" si="278"/>
        <v>Digital Payment</v>
      </c>
      <c r="P3540">
        <v>78.36</v>
      </c>
      <c r="Q3540" s="37" t="str">
        <f>IF(P3540&gt;500,"High","low")</f>
        <v>low</v>
      </c>
      <c r="R3540" s="37" t="str">
        <f t="shared" si="279"/>
        <v>AVERAGE</v>
      </c>
      <c r="S3540" t="s">
        <v>620</v>
      </c>
    </row>
    <row r="3541" spans="1:19" x14ac:dyDescent="0.2">
      <c r="A3541" t="s">
        <v>4152</v>
      </c>
      <c r="B3541" t="s">
        <v>75</v>
      </c>
      <c r="C3541" t="s">
        <v>597</v>
      </c>
      <c r="D3541">
        <v>2348.37</v>
      </c>
      <c r="E3541" s="37" t="str">
        <f t="shared" si="275"/>
        <v xml:space="preserve"> </v>
      </c>
      <c r="F3541">
        <v>0.33</v>
      </c>
      <c r="G3541" s="37" t="str">
        <f t="shared" si="276"/>
        <v>Heavy Discount</v>
      </c>
      <c r="H3541" s="37" t="str">
        <f t="shared" si="277"/>
        <v>Medium</v>
      </c>
      <c r="I3541">
        <v>1</v>
      </c>
      <c r="J3541" t="str" cm="1">
        <f t="array" ref="J3541">_xlfn.IFS(I3541&lt;=3,"small",I3541&lt;=6,"Medium",I3541&lt;=9,"Large")</f>
        <v>small</v>
      </c>
      <c r="K3541" s="36">
        <v>45600</v>
      </c>
      <c r="L3541" s="36">
        <v>45601</v>
      </c>
      <c r="M3541" t="s">
        <v>603</v>
      </c>
      <c r="N3541" t="s">
        <v>608</v>
      </c>
      <c r="O3541" s="37" t="str">
        <f t="shared" si="278"/>
        <v>Cash Payment</v>
      </c>
      <c r="P3541">
        <v>222.04</v>
      </c>
      <c r="Q3541" s="37" t="str">
        <f>IF(P3541&gt;500,"High","low")</f>
        <v>low</v>
      </c>
      <c r="R3541" s="37" t="str">
        <f t="shared" si="279"/>
        <v>AVERAGE</v>
      </c>
      <c r="S3541" t="s">
        <v>609</v>
      </c>
    </row>
    <row r="3542" spans="1:19" x14ac:dyDescent="0.2">
      <c r="A3542" t="s">
        <v>4153</v>
      </c>
      <c r="B3542" t="s">
        <v>83</v>
      </c>
      <c r="C3542" t="s">
        <v>617</v>
      </c>
      <c r="D3542">
        <v>3310.07</v>
      </c>
      <c r="E3542" s="37" t="str">
        <f t="shared" si="275"/>
        <v xml:space="preserve"> </v>
      </c>
      <c r="F3542">
        <v>0.15</v>
      </c>
      <c r="G3542" s="37" t="str">
        <f t="shared" si="276"/>
        <v>Normal Discount</v>
      </c>
      <c r="H3542" s="37" t="str">
        <f t="shared" si="277"/>
        <v>Low</v>
      </c>
      <c r="I3542">
        <v>2</v>
      </c>
      <c r="J3542" t="str" cm="1">
        <f t="array" ref="J3542">_xlfn.IFS(I3542&lt;=3,"small",I3542&lt;=6,"Medium",I3542&lt;=9,"Large")</f>
        <v>small</v>
      </c>
      <c r="K3542" s="36">
        <v>45315</v>
      </c>
      <c r="L3542" s="36">
        <v>45319</v>
      </c>
      <c r="M3542" t="s">
        <v>612</v>
      </c>
      <c r="N3542" t="s">
        <v>608</v>
      </c>
      <c r="O3542" s="37" t="str">
        <f t="shared" si="278"/>
        <v>Cash Payment</v>
      </c>
      <c r="P3542">
        <v>196.11</v>
      </c>
      <c r="Q3542" s="37" t="str">
        <f>IF(P3542&gt;500,"High","low")</f>
        <v>low</v>
      </c>
      <c r="R3542" s="37" t="str">
        <f t="shared" si="279"/>
        <v>AVERAGE</v>
      </c>
      <c r="S3542" t="s">
        <v>620</v>
      </c>
    </row>
    <row r="3543" spans="1:19" x14ac:dyDescent="0.2">
      <c r="A3543" t="s">
        <v>4154</v>
      </c>
      <c r="B3543" t="s">
        <v>83</v>
      </c>
      <c r="C3543" t="s">
        <v>602</v>
      </c>
      <c r="D3543">
        <v>4239.01</v>
      </c>
      <c r="E3543" s="37" t="str">
        <f t="shared" si="275"/>
        <v>Excellent Order</v>
      </c>
      <c r="F3543">
        <v>0.1</v>
      </c>
      <c r="G3543" s="37" t="str">
        <f t="shared" si="276"/>
        <v>Normal Discount</v>
      </c>
      <c r="H3543" s="37" t="str">
        <f t="shared" si="277"/>
        <v>Low</v>
      </c>
      <c r="I3543">
        <v>9</v>
      </c>
      <c r="J3543" t="str" cm="1">
        <f t="array" ref="J3543">_xlfn.IFS(I3543&lt;=3,"small",I3543&lt;=6,"Medium",I3543&lt;=9,"Large")</f>
        <v>Large</v>
      </c>
      <c r="K3543" s="36">
        <v>45567</v>
      </c>
      <c r="L3543" s="36">
        <v>45573</v>
      </c>
      <c r="M3543" t="s">
        <v>603</v>
      </c>
      <c r="N3543" t="s">
        <v>604</v>
      </c>
      <c r="O3543" s="37" t="str">
        <f t="shared" si="278"/>
        <v>Digital Payment</v>
      </c>
      <c r="P3543">
        <v>1082.8800000000001</v>
      </c>
      <c r="Q3543" s="37" t="str">
        <f>IF(P3543&gt;500,"High","low")</f>
        <v>High</v>
      </c>
      <c r="R3543" s="37" t="str">
        <f t="shared" si="279"/>
        <v>Excellent</v>
      </c>
      <c r="S3543" t="s">
        <v>620</v>
      </c>
    </row>
    <row r="3544" spans="1:19" x14ac:dyDescent="0.2">
      <c r="A3544" t="s">
        <v>4155</v>
      </c>
      <c r="B3544" t="s">
        <v>75</v>
      </c>
      <c r="C3544" t="s">
        <v>597</v>
      </c>
      <c r="D3544">
        <v>1341.34</v>
      </c>
      <c r="E3544" s="37" t="str">
        <f t="shared" si="275"/>
        <v xml:space="preserve"> </v>
      </c>
      <c r="F3544">
        <v>0.06</v>
      </c>
      <c r="G3544" s="37" t="str">
        <f t="shared" si="276"/>
        <v>Normal Discount</v>
      </c>
      <c r="H3544" s="37" t="str">
        <f t="shared" si="277"/>
        <v>Low</v>
      </c>
      <c r="I3544">
        <v>8</v>
      </c>
      <c r="J3544" t="str" cm="1">
        <f t="array" ref="J3544">_xlfn.IFS(I3544&lt;=3,"small",I3544&lt;=6,"Medium",I3544&lt;=9,"Large")</f>
        <v>Large</v>
      </c>
      <c r="K3544" s="36">
        <v>45388</v>
      </c>
      <c r="L3544" s="36">
        <v>45389</v>
      </c>
      <c r="M3544" t="s">
        <v>612</v>
      </c>
      <c r="N3544" t="s">
        <v>599</v>
      </c>
      <c r="O3544" s="37" t="str">
        <f t="shared" si="278"/>
        <v>Digital Payment</v>
      </c>
      <c r="P3544">
        <v>169.85</v>
      </c>
      <c r="Q3544" s="37" t="str">
        <f>IF(P3544&gt;500,"High","low")</f>
        <v>low</v>
      </c>
      <c r="R3544" s="37" t="str">
        <f t="shared" si="279"/>
        <v>AVERAGE</v>
      </c>
      <c r="S3544" t="s">
        <v>609</v>
      </c>
    </row>
    <row r="3545" spans="1:19" x14ac:dyDescent="0.2">
      <c r="A3545" t="s">
        <v>4156</v>
      </c>
      <c r="B3545" t="s">
        <v>83</v>
      </c>
      <c r="C3545" t="s">
        <v>597</v>
      </c>
      <c r="D3545">
        <v>1473.42</v>
      </c>
      <c r="E3545" s="37" t="str">
        <f t="shared" si="275"/>
        <v xml:space="preserve"> </v>
      </c>
      <c r="F3545">
        <v>0.01</v>
      </c>
      <c r="G3545" s="37" t="str">
        <f t="shared" si="276"/>
        <v>Normal Discount</v>
      </c>
      <c r="H3545" s="37" t="str">
        <f t="shared" si="277"/>
        <v>Low</v>
      </c>
      <c r="I3545">
        <v>4</v>
      </c>
      <c r="J3545" t="str" cm="1">
        <f t="array" ref="J3545">_xlfn.IFS(I3545&lt;=3,"small",I3545&lt;=6,"Medium",I3545&lt;=9,"Large")</f>
        <v>Medium</v>
      </c>
      <c r="K3545" s="36">
        <v>45331</v>
      </c>
      <c r="L3545" s="36">
        <v>45335</v>
      </c>
      <c r="M3545" t="s">
        <v>603</v>
      </c>
      <c r="N3545" t="s">
        <v>608</v>
      </c>
      <c r="O3545" s="37" t="str">
        <f t="shared" si="278"/>
        <v>Cash Payment</v>
      </c>
      <c r="P3545">
        <v>329.71</v>
      </c>
      <c r="Q3545" s="37" t="str">
        <f>IF(P3545&gt;500,"High","low")</f>
        <v>low</v>
      </c>
      <c r="R3545" s="37" t="str">
        <f t="shared" si="279"/>
        <v>AVERAGE</v>
      </c>
      <c r="S3545" t="s">
        <v>600</v>
      </c>
    </row>
    <row r="3546" spans="1:19" x14ac:dyDescent="0.2">
      <c r="A3546" t="s">
        <v>4157</v>
      </c>
      <c r="B3546" t="s">
        <v>75</v>
      </c>
      <c r="C3546" t="s">
        <v>607</v>
      </c>
      <c r="D3546">
        <v>4437.3100000000004</v>
      </c>
      <c r="E3546" s="37" t="str">
        <f t="shared" si="275"/>
        <v xml:space="preserve"> </v>
      </c>
      <c r="F3546">
        <v>0.04</v>
      </c>
      <c r="G3546" s="37" t="str">
        <f t="shared" si="276"/>
        <v>Normal Discount</v>
      </c>
      <c r="H3546" s="37" t="str">
        <f t="shared" si="277"/>
        <v>Low</v>
      </c>
      <c r="I3546">
        <v>3</v>
      </c>
      <c r="J3546" t="str" cm="1">
        <f t="array" ref="J3546">_xlfn.IFS(I3546&lt;=3,"small",I3546&lt;=6,"Medium",I3546&lt;=9,"Large")</f>
        <v>small</v>
      </c>
      <c r="K3546" s="36">
        <v>44932</v>
      </c>
      <c r="L3546" s="36">
        <v>44934</v>
      </c>
      <c r="M3546" t="s">
        <v>612</v>
      </c>
      <c r="N3546" t="s">
        <v>608</v>
      </c>
      <c r="O3546" s="37" t="str">
        <f t="shared" si="278"/>
        <v>Cash Payment</v>
      </c>
      <c r="P3546">
        <v>675.11</v>
      </c>
      <c r="Q3546" s="37" t="str">
        <f>IF(P3546&gt;500,"High","low")</f>
        <v>High</v>
      </c>
      <c r="R3546" s="37" t="str">
        <f t="shared" si="279"/>
        <v>Good</v>
      </c>
      <c r="S3546" t="s">
        <v>620</v>
      </c>
    </row>
    <row r="3547" spans="1:19" x14ac:dyDescent="0.2">
      <c r="A3547" t="s">
        <v>4158</v>
      </c>
      <c r="B3547" t="s">
        <v>75</v>
      </c>
      <c r="C3547" t="s">
        <v>597</v>
      </c>
      <c r="D3547">
        <v>493.26</v>
      </c>
      <c r="E3547" s="37" t="str">
        <f t="shared" si="275"/>
        <v xml:space="preserve"> </v>
      </c>
      <c r="F3547">
        <v>0.13</v>
      </c>
      <c r="G3547" s="37" t="str">
        <f t="shared" si="276"/>
        <v>Normal Discount</v>
      </c>
      <c r="H3547" s="37" t="str">
        <f t="shared" si="277"/>
        <v>Low</v>
      </c>
      <c r="I3547">
        <v>5</v>
      </c>
      <c r="J3547" t="str" cm="1">
        <f t="array" ref="J3547">_xlfn.IFS(I3547&lt;=3,"small",I3547&lt;=6,"Medium",I3547&lt;=9,"Large")</f>
        <v>Medium</v>
      </c>
      <c r="K3547" s="36">
        <v>44965</v>
      </c>
      <c r="L3547" s="36">
        <v>44970</v>
      </c>
      <c r="M3547" t="s">
        <v>612</v>
      </c>
      <c r="N3547" t="s">
        <v>604</v>
      </c>
      <c r="O3547" s="37" t="str">
        <f t="shared" si="278"/>
        <v>Digital Payment</v>
      </c>
      <c r="P3547">
        <v>58.31</v>
      </c>
      <c r="Q3547" s="37" t="str">
        <f>IF(P3547&gt;500,"High","low")</f>
        <v>low</v>
      </c>
      <c r="R3547" s="37" t="str">
        <f t="shared" si="279"/>
        <v>AVERAGE</v>
      </c>
      <c r="S3547" t="s">
        <v>609</v>
      </c>
    </row>
    <row r="3548" spans="1:19" x14ac:dyDescent="0.2">
      <c r="A3548" t="s">
        <v>4159</v>
      </c>
      <c r="B3548" t="s">
        <v>75</v>
      </c>
      <c r="C3548" t="s">
        <v>617</v>
      </c>
      <c r="D3548">
        <v>3066.69</v>
      </c>
      <c r="E3548" s="37" t="str">
        <f t="shared" si="275"/>
        <v xml:space="preserve"> </v>
      </c>
      <c r="F3548">
        <v>0.36</v>
      </c>
      <c r="G3548" s="37" t="str">
        <f t="shared" si="276"/>
        <v>Heavy Discount</v>
      </c>
      <c r="H3548" s="37" t="str">
        <f t="shared" si="277"/>
        <v>Medium</v>
      </c>
      <c r="I3548">
        <v>8</v>
      </c>
      <c r="J3548" t="str" cm="1">
        <f t="array" ref="J3548">_xlfn.IFS(I3548&lt;=3,"small",I3548&lt;=6,"Medium",I3548&lt;=9,"Large")</f>
        <v>Large</v>
      </c>
      <c r="K3548" s="36">
        <v>45586</v>
      </c>
      <c r="L3548" s="36">
        <v>45587</v>
      </c>
      <c r="M3548" t="s">
        <v>603</v>
      </c>
      <c r="N3548" t="s">
        <v>599</v>
      </c>
      <c r="O3548" s="37" t="str">
        <f t="shared" si="278"/>
        <v>Digital Payment</v>
      </c>
      <c r="P3548">
        <v>555.51</v>
      </c>
      <c r="Q3548" s="37" t="str">
        <f>IF(P3548&gt;500,"High","low")</f>
        <v>High</v>
      </c>
      <c r="R3548" s="37" t="str">
        <f t="shared" si="279"/>
        <v>Good</v>
      </c>
      <c r="S3548" t="s">
        <v>615</v>
      </c>
    </row>
    <row r="3549" spans="1:19" x14ac:dyDescent="0.2">
      <c r="A3549" t="s">
        <v>4160</v>
      </c>
      <c r="B3549" t="s">
        <v>67</v>
      </c>
      <c r="C3549" t="s">
        <v>617</v>
      </c>
      <c r="D3549">
        <v>4316.2299999999996</v>
      </c>
      <c r="E3549" s="37" t="str">
        <f t="shared" si="275"/>
        <v xml:space="preserve"> </v>
      </c>
      <c r="F3549">
        <v>0.08</v>
      </c>
      <c r="G3549" s="37" t="str">
        <f t="shared" si="276"/>
        <v>Normal Discount</v>
      </c>
      <c r="H3549" s="37" t="str">
        <f t="shared" si="277"/>
        <v>Low</v>
      </c>
      <c r="I3549">
        <v>6</v>
      </c>
      <c r="J3549" t="str" cm="1">
        <f t="array" ref="J3549">_xlfn.IFS(I3549&lt;=3,"small",I3549&lt;=6,"Medium",I3549&lt;=9,"Large")</f>
        <v>Medium</v>
      </c>
      <c r="K3549" s="36">
        <v>45651</v>
      </c>
      <c r="L3549" s="36">
        <v>45656</v>
      </c>
      <c r="M3549" t="s">
        <v>612</v>
      </c>
      <c r="N3549" t="s">
        <v>608</v>
      </c>
      <c r="O3549" s="37" t="str">
        <f t="shared" si="278"/>
        <v>Cash Payment</v>
      </c>
      <c r="P3549">
        <v>743.71</v>
      </c>
      <c r="Q3549" s="37" t="str">
        <f>IF(P3549&gt;500,"High","low")</f>
        <v>High</v>
      </c>
      <c r="R3549" s="37" t="str">
        <f t="shared" si="279"/>
        <v>Good</v>
      </c>
      <c r="S3549" t="s">
        <v>628</v>
      </c>
    </row>
    <row r="3550" spans="1:19" x14ac:dyDescent="0.2">
      <c r="A3550" t="s">
        <v>4161</v>
      </c>
      <c r="B3550" t="s">
        <v>75</v>
      </c>
      <c r="C3550" t="s">
        <v>617</v>
      </c>
      <c r="D3550">
        <v>4616.54</v>
      </c>
      <c r="E3550" s="37" t="str">
        <f t="shared" si="275"/>
        <v>Excellent Order</v>
      </c>
      <c r="F3550">
        <v>0.26</v>
      </c>
      <c r="G3550" s="37" t="str">
        <f t="shared" si="276"/>
        <v>Normal Discount</v>
      </c>
      <c r="H3550" s="37" t="str">
        <f t="shared" si="277"/>
        <v>Medium</v>
      </c>
      <c r="I3550">
        <v>4</v>
      </c>
      <c r="J3550" t="str" cm="1">
        <f t="array" ref="J3550">_xlfn.IFS(I3550&lt;=3,"small",I3550&lt;=6,"Medium",I3550&lt;=9,"Large")</f>
        <v>Medium</v>
      </c>
      <c r="K3550" s="36">
        <v>45556</v>
      </c>
      <c r="L3550" s="36">
        <v>45563</v>
      </c>
      <c r="M3550" t="s">
        <v>612</v>
      </c>
      <c r="N3550" t="s">
        <v>608</v>
      </c>
      <c r="O3550" s="37" t="str">
        <f t="shared" si="278"/>
        <v>Cash Payment</v>
      </c>
      <c r="P3550">
        <v>1180.75</v>
      </c>
      <c r="Q3550" s="37" t="str">
        <f>IF(P3550&gt;500,"High","low")</f>
        <v>High</v>
      </c>
      <c r="R3550" s="37" t="str">
        <f t="shared" si="279"/>
        <v>Excellent</v>
      </c>
      <c r="S3550" t="s">
        <v>628</v>
      </c>
    </row>
    <row r="3551" spans="1:19" x14ac:dyDescent="0.2">
      <c r="A3551" t="s">
        <v>4162</v>
      </c>
      <c r="B3551" t="s">
        <v>67</v>
      </c>
      <c r="C3551" t="s">
        <v>607</v>
      </c>
      <c r="D3551">
        <v>162.16999999999999</v>
      </c>
      <c r="E3551" s="37" t="str">
        <f t="shared" si="275"/>
        <v xml:space="preserve"> </v>
      </c>
      <c r="F3551">
        <v>0.12</v>
      </c>
      <c r="G3551" s="37" t="str">
        <f t="shared" si="276"/>
        <v>Normal Discount</v>
      </c>
      <c r="H3551" s="37" t="str">
        <f t="shared" si="277"/>
        <v>Low</v>
      </c>
      <c r="I3551">
        <v>8</v>
      </c>
      <c r="J3551" t="str" cm="1">
        <f t="array" ref="J3551">_xlfn.IFS(I3551&lt;=3,"small",I3551&lt;=6,"Medium",I3551&lt;=9,"Large")</f>
        <v>Large</v>
      </c>
      <c r="K3551" s="36">
        <v>45078</v>
      </c>
      <c r="L3551" s="36">
        <v>45079</v>
      </c>
      <c r="M3551" t="s">
        <v>612</v>
      </c>
      <c r="N3551" t="s">
        <v>608</v>
      </c>
      <c r="O3551" s="37" t="str">
        <f t="shared" si="278"/>
        <v>Cash Payment</v>
      </c>
      <c r="P3551">
        <v>36.340000000000003</v>
      </c>
      <c r="Q3551" s="37" t="str">
        <f>IF(P3551&gt;500,"High","low")</f>
        <v>low</v>
      </c>
      <c r="R3551" s="37" t="str">
        <f t="shared" si="279"/>
        <v>AVERAGE</v>
      </c>
      <c r="S3551" t="s">
        <v>605</v>
      </c>
    </row>
    <row r="3552" spans="1:19" x14ac:dyDescent="0.2">
      <c r="A3552" t="s">
        <v>4163</v>
      </c>
      <c r="B3552" t="s">
        <v>75</v>
      </c>
      <c r="C3552" t="s">
        <v>602</v>
      </c>
      <c r="D3552">
        <v>1911.36</v>
      </c>
      <c r="E3552" s="37" t="str">
        <f t="shared" si="275"/>
        <v xml:space="preserve"> </v>
      </c>
      <c r="F3552">
        <v>0.26</v>
      </c>
      <c r="G3552" s="37" t="str">
        <f t="shared" si="276"/>
        <v>Normal Discount</v>
      </c>
      <c r="H3552" s="37" t="str">
        <f t="shared" si="277"/>
        <v>Medium</v>
      </c>
      <c r="I3552">
        <v>4</v>
      </c>
      <c r="J3552" t="str" cm="1">
        <f t="array" ref="J3552">_xlfn.IFS(I3552&lt;=3,"small",I3552&lt;=6,"Medium",I3552&lt;=9,"Large")</f>
        <v>Medium</v>
      </c>
      <c r="K3552" s="36">
        <v>44967</v>
      </c>
      <c r="L3552" s="36">
        <v>44968</v>
      </c>
      <c r="M3552" t="s">
        <v>603</v>
      </c>
      <c r="N3552" t="s">
        <v>608</v>
      </c>
      <c r="O3552" s="37" t="str">
        <f t="shared" si="278"/>
        <v>Cash Payment</v>
      </c>
      <c r="P3552">
        <v>243.9</v>
      </c>
      <c r="Q3552" s="37" t="str">
        <f>IF(P3552&gt;500,"High","low")</f>
        <v>low</v>
      </c>
      <c r="R3552" s="37" t="str">
        <f t="shared" si="279"/>
        <v>AVERAGE</v>
      </c>
      <c r="S3552" t="s">
        <v>615</v>
      </c>
    </row>
    <row r="3553" spans="1:19" x14ac:dyDescent="0.2">
      <c r="A3553" t="s">
        <v>4164</v>
      </c>
      <c r="B3553" t="s">
        <v>75</v>
      </c>
      <c r="C3553" t="s">
        <v>607</v>
      </c>
      <c r="D3553">
        <v>1360.6</v>
      </c>
      <c r="E3553" s="37" t="str">
        <f t="shared" si="275"/>
        <v xml:space="preserve"> </v>
      </c>
      <c r="F3553">
        <v>0.38</v>
      </c>
      <c r="G3553" s="37" t="str">
        <f t="shared" si="276"/>
        <v>Heavy Discount</v>
      </c>
      <c r="H3553" s="37" t="str">
        <f t="shared" si="277"/>
        <v>Medium</v>
      </c>
      <c r="I3553">
        <v>5</v>
      </c>
      <c r="J3553" t="str" cm="1">
        <f t="array" ref="J3553">_xlfn.IFS(I3553&lt;=3,"small",I3553&lt;=6,"Medium",I3553&lt;=9,"Large")</f>
        <v>Medium</v>
      </c>
      <c r="K3553" s="36">
        <v>45045</v>
      </c>
      <c r="L3553" s="36">
        <v>45047</v>
      </c>
      <c r="M3553" t="s">
        <v>598</v>
      </c>
      <c r="N3553" t="s">
        <v>599</v>
      </c>
      <c r="O3553" s="37" t="str">
        <f t="shared" si="278"/>
        <v>Digital Payment</v>
      </c>
      <c r="P3553">
        <v>342.23</v>
      </c>
      <c r="Q3553" s="37" t="str">
        <f>IF(P3553&gt;500,"High","low")</f>
        <v>low</v>
      </c>
      <c r="R3553" s="37" t="str">
        <f t="shared" si="279"/>
        <v>AVERAGE</v>
      </c>
      <c r="S3553" t="s">
        <v>600</v>
      </c>
    </row>
    <row r="3554" spans="1:19" x14ac:dyDescent="0.2">
      <c r="A3554" t="s">
        <v>4165</v>
      </c>
      <c r="B3554" t="s">
        <v>75</v>
      </c>
      <c r="C3554" t="s">
        <v>617</v>
      </c>
      <c r="D3554">
        <v>2883.36</v>
      </c>
      <c r="E3554" s="37" t="str">
        <f t="shared" si="275"/>
        <v xml:space="preserve"> </v>
      </c>
      <c r="F3554">
        <v>0.13</v>
      </c>
      <c r="G3554" s="37" t="str">
        <f t="shared" si="276"/>
        <v>Normal Discount</v>
      </c>
      <c r="H3554" s="37" t="str">
        <f t="shared" si="277"/>
        <v>Low</v>
      </c>
      <c r="I3554">
        <v>2</v>
      </c>
      <c r="J3554" t="str" cm="1">
        <f t="array" ref="J3554">_xlfn.IFS(I3554&lt;=3,"small",I3554&lt;=6,"Medium",I3554&lt;=9,"Large")</f>
        <v>small</v>
      </c>
      <c r="K3554" s="36">
        <v>45528</v>
      </c>
      <c r="L3554" s="36">
        <v>45533</v>
      </c>
      <c r="M3554" t="s">
        <v>612</v>
      </c>
      <c r="N3554" t="s">
        <v>604</v>
      </c>
      <c r="O3554" s="37" t="str">
        <f t="shared" si="278"/>
        <v>Digital Payment</v>
      </c>
      <c r="P3554">
        <v>575.29999999999995</v>
      </c>
      <c r="Q3554" s="37" t="str">
        <f>IF(P3554&gt;500,"High","low")</f>
        <v>High</v>
      </c>
      <c r="R3554" s="37" t="str">
        <f t="shared" si="279"/>
        <v>Good</v>
      </c>
      <c r="S3554" t="s">
        <v>615</v>
      </c>
    </row>
    <row r="3555" spans="1:19" x14ac:dyDescent="0.2">
      <c r="A3555" t="s">
        <v>4166</v>
      </c>
      <c r="B3555" t="s">
        <v>83</v>
      </c>
      <c r="C3555" t="s">
        <v>607</v>
      </c>
      <c r="D3555">
        <v>3201.03</v>
      </c>
      <c r="E3555" s="37" t="str">
        <f t="shared" si="275"/>
        <v xml:space="preserve"> </v>
      </c>
      <c r="F3555">
        <v>0.17</v>
      </c>
      <c r="G3555" s="37" t="str">
        <f t="shared" si="276"/>
        <v>Normal Discount</v>
      </c>
      <c r="H3555" s="37" t="str">
        <f t="shared" si="277"/>
        <v>Low</v>
      </c>
      <c r="I3555">
        <v>4</v>
      </c>
      <c r="J3555" t="str" cm="1">
        <f t="array" ref="J3555">_xlfn.IFS(I3555&lt;=3,"small",I3555&lt;=6,"Medium",I3555&lt;=9,"Large")</f>
        <v>Medium</v>
      </c>
      <c r="K3555" s="36">
        <v>45249</v>
      </c>
      <c r="L3555" s="36">
        <v>45252</v>
      </c>
      <c r="M3555" t="s">
        <v>612</v>
      </c>
      <c r="N3555" t="s">
        <v>608</v>
      </c>
      <c r="O3555" s="37" t="str">
        <f t="shared" si="278"/>
        <v>Cash Payment</v>
      </c>
      <c r="P3555">
        <v>431.8</v>
      </c>
      <c r="Q3555" s="37" t="str">
        <f>IF(P3555&gt;500,"High","low")</f>
        <v>low</v>
      </c>
      <c r="R3555" s="37" t="str">
        <f t="shared" si="279"/>
        <v>AVERAGE</v>
      </c>
      <c r="S3555" t="s">
        <v>628</v>
      </c>
    </row>
    <row r="3556" spans="1:19" x14ac:dyDescent="0.2">
      <c r="A3556" t="s">
        <v>4167</v>
      </c>
      <c r="B3556" t="s">
        <v>67</v>
      </c>
      <c r="C3556" t="s">
        <v>617</v>
      </c>
      <c r="D3556">
        <v>4998.8900000000003</v>
      </c>
      <c r="E3556" s="37" t="str">
        <f t="shared" si="275"/>
        <v>Excellent Order</v>
      </c>
      <c r="F3556">
        <v>0.36</v>
      </c>
      <c r="G3556" s="37" t="str">
        <f t="shared" si="276"/>
        <v>Heavy Discount</v>
      </c>
      <c r="H3556" s="37" t="str">
        <f t="shared" si="277"/>
        <v>Medium</v>
      </c>
      <c r="I3556">
        <v>3</v>
      </c>
      <c r="J3556" t="str" cm="1">
        <f t="array" ref="J3556">_xlfn.IFS(I3556&lt;=3,"small",I3556&lt;=6,"Medium",I3556&lt;=9,"Large")</f>
        <v>small</v>
      </c>
      <c r="K3556" s="36">
        <v>45159</v>
      </c>
      <c r="L3556" s="36">
        <v>45163</v>
      </c>
      <c r="M3556" t="s">
        <v>603</v>
      </c>
      <c r="N3556" t="s">
        <v>599</v>
      </c>
      <c r="O3556" s="37" t="str">
        <f t="shared" si="278"/>
        <v>Digital Payment</v>
      </c>
      <c r="P3556">
        <v>1262.83</v>
      </c>
      <c r="Q3556" s="37" t="str">
        <f>IF(P3556&gt;500,"High","low")</f>
        <v>High</v>
      </c>
      <c r="R3556" s="37" t="str">
        <f t="shared" si="279"/>
        <v>Excellent</v>
      </c>
      <c r="S3556" t="s">
        <v>620</v>
      </c>
    </row>
    <row r="3557" spans="1:19" x14ac:dyDescent="0.2">
      <c r="A3557" t="s">
        <v>4168</v>
      </c>
      <c r="B3557" t="s">
        <v>67</v>
      </c>
      <c r="C3557" t="s">
        <v>614</v>
      </c>
      <c r="D3557">
        <v>2612.54</v>
      </c>
      <c r="E3557" s="37" t="str">
        <f t="shared" si="275"/>
        <v xml:space="preserve"> </v>
      </c>
      <c r="F3557">
        <v>0.27</v>
      </c>
      <c r="G3557" s="37" t="str">
        <f t="shared" si="276"/>
        <v>Normal Discount</v>
      </c>
      <c r="H3557" s="37" t="str">
        <f t="shared" si="277"/>
        <v>Medium</v>
      </c>
      <c r="I3557">
        <v>8</v>
      </c>
      <c r="J3557" t="str" cm="1">
        <f t="array" ref="J3557">_xlfn.IFS(I3557&lt;=3,"small",I3557&lt;=6,"Medium",I3557&lt;=9,"Large")</f>
        <v>Large</v>
      </c>
      <c r="K3557" s="36">
        <v>44964</v>
      </c>
      <c r="L3557" s="36">
        <v>44969</v>
      </c>
      <c r="M3557" t="s">
        <v>598</v>
      </c>
      <c r="N3557" t="s">
        <v>608</v>
      </c>
      <c r="O3557" s="37" t="str">
        <f t="shared" si="278"/>
        <v>Cash Payment</v>
      </c>
      <c r="P3557">
        <v>372.38</v>
      </c>
      <c r="Q3557" s="37" t="str">
        <f>IF(P3557&gt;500,"High","low")</f>
        <v>low</v>
      </c>
      <c r="R3557" s="37" t="str">
        <f t="shared" si="279"/>
        <v>AVERAGE</v>
      </c>
      <c r="S3557" t="s">
        <v>615</v>
      </c>
    </row>
    <row r="3558" spans="1:19" x14ac:dyDescent="0.2">
      <c r="A3558" t="s">
        <v>4169</v>
      </c>
      <c r="B3558" t="s">
        <v>75</v>
      </c>
      <c r="C3558" t="s">
        <v>614</v>
      </c>
      <c r="D3558">
        <v>2802.19</v>
      </c>
      <c r="E3558" s="37" t="str">
        <f t="shared" si="275"/>
        <v xml:space="preserve"> </v>
      </c>
      <c r="F3558">
        <v>0.05</v>
      </c>
      <c r="G3558" s="37" t="str">
        <f t="shared" si="276"/>
        <v>Normal Discount</v>
      </c>
      <c r="H3558" s="37" t="str">
        <f t="shared" si="277"/>
        <v>Low</v>
      </c>
      <c r="I3558">
        <v>8</v>
      </c>
      <c r="J3558" t="str" cm="1">
        <f t="array" ref="J3558">_xlfn.IFS(I3558&lt;=3,"small",I3558&lt;=6,"Medium",I3558&lt;=9,"Large")</f>
        <v>Large</v>
      </c>
      <c r="K3558" s="36">
        <v>45210</v>
      </c>
      <c r="L3558" s="36">
        <v>45214</v>
      </c>
      <c r="M3558" t="s">
        <v>612</v>
      </c>
      <c r="N3558" t="s">
        <v>604</v>
      </c>
      <c r="O3558" s="37" t="str">
        <f t="shared" si="278"/>
        <v>Digital Payment</v>
      </c>
      <c r="P3558">
        <v>177.13</v>
      </c>
      <c r="Q3558" s="37" t="str">
        <f>IF(P3558&gt;500,"High","low")</f>
        <v>low</v>
      </c>
      <c r="R3558" s="37" t="str">
        <f t="shared" si="279"/>
        <v>AVERAGE</v>
      </c>
      <c r="S3558" t="s">
        <v>615</v>
      </c>
    </row>
    <row r="3559" spans="1:19" x14ac:dyDescent="0.2">
      <c r="A3559" t="s">
        <v>4170</v>
      </c>
      <c r="B3559" t="s">
        <v>75</v>
      </c>
      <c r="C3559" t="s">
        <v>597</v>
      </c>
      <c r="D3559">
        <v>2130.14</v>
      </c>
      <c r="E3559" s="37" t="str">
        <f t="shared" si="275"/>
        <v xml:space="preserve"> </v>
      </c>
      <c r="F3559">
        <v>0.38</v>
      </c>
      <c r="G3559" s="37" t="str">
        <f t="shared" si="276"/>
        <v>Heavy Discount</v>
      </c>
      <c r="H3559" s="37" t="str">
        <f t="shared" si="277"/>
        <v>Medium</v>
      </c>
      <c r="I3559">
        <v>7</v>
      </c>
      <c r="J3559" t="str" cm="1">
        <f t="array" ref="J3559">_xlfn.IFS(I3559&lt;=3,"small",I3559&lt;=6,"Medium",I3559&lt;=9,"Large")</f>
        <v>Large</v>
      </c>
      <c r="K3559" s="36">
        <v>45177</v>
      </c>
      <c r="L3559" s="36">
        <v>45180</v>
      </c>
      <c r="M3559" t="s">
        <v>612</v>
      </c>
      <c r="N3559" t="s">
        <v>604</v>
      </c>
      <c r="O3559" s="37" t="str">
        <f t="shared" si="278"/>
        <v>Digital Payment</v>
      </c>
      <c r="P3559">
        <v>574.54</v>
      </c>
      <c r="Q3559" s="37" t="str">
        <f>IF(P3559&gt;500,"High","low")</f>
        <v>High</v>
      </c>
      <c r="R3559" s="37" t="str">
        <f t="shared" si="279"/>
        <v>Good</v>
      </c>
      <c r="S3559" t="s">
        <v>615</v>
      </c>
    </row>
    <row r="3560" spans="1:19" x14ac:dyDescent="0.2">
      <c r="A3560" t="s">
        <v>4171</v>
      </c>
      <c r="B3560" t="s">
        <v>83</v>
      </c>
      <c r="C3560" t="s">
        <v>602</v>
      </c>
      <c r="D3560">
        <v>823.62</v>
      </c>
      <c r="E3560" s="37" t="str">
        <f t="shared" si="275"/>
        <v xml:space="preserve"> </v>
      </c>
      <c r="F3560">
        <v>0.14000000000000001</v>
      </c>
      <c r="G3560" s="37" t="str">
        <f t="shared" si="276"/>
        <v>Normal Discount</v>
      </c>
      <c r="H3560" s="37" t="str">
        <f t="shared" si="277"/>
        <v>Low</v>
      </c>
      <c r="I3560">
        <v>6</v>
      </c>
      <c r="J3560" t="str" cm="1">
        <f t="array" ref="J3560">_xlfn.IFS(I3560&lt;=3,"small",I3560&lt;=6,"Medium",I3560&lt;=9,"Large")</f>
        <v>Medium</v>
      </c>
      <c r="K3560" s="36">
        <v>45078</v>
      </c>
      <c r="L3560" s="36">
        <v>45084</v>
      </c>
      <c r="M3560" t="s">
        <v>598</v>
      </c>
      <c r="N3560" t="s">
        <v>604</v>
      </c>
      <c r="O3560" s="37" t="str">
        <f t="shared" si="278"/>
        <v>Digital Payment</v>
      </c>
      <c r="P3560">
        <v>132.74</v>
      </c>
      <c r="Q3560" s="37" t="str">
        <f>IF(P3560&gt;500,"High","low")</f>
        <v>low</v>
      </c>
      <c r="R3560" s="37" t="str">
        <f t="shared" si="279"/>
        <v>AVERAGE</v>
      </c>
      <c r="S3560" t="s">
        <v>620</v>
      </c>
    </row>
    <row r="3561" spans="1:19" x14ac:dyDescent="0.2">
      <c r="A3561" t="s">
        <v>4172</v>
      </c>
      <c r="B3561" t="s">
        <v>83</v>
      </c>
      <c r="C3561" t="s">
        <v>614</v>
      </c>
      <c r="D3561">
        <v>1586.29</v>
      </c>
      <c r="E3561" s="37" t="str">
        <f t="shared" si="275"/>
        <v xml:space="preserve"> </v>
      </c>
      <c r="F3561">
        <v>0.19</v>
      </c>
      <c r="G3561" s="37" t="str">
        <f t="shared" si="276"/>
        <v>Normal Discount</v>
      </c>
      <c r="H3561" s="37" t="str">
        <f t="shared" si="277"/>
        <v>Low</v>
      </c>
      <c r="I3561">
        <v>9</v>
      </c>
      <c r="J3561" t="str" cm="1">
        <f t="array" ref="J3561">_xlfn.IFS(I3561&lt;=3,"small",I3561&lt;=6,"Medium",I3561&lt;=9,"Large")</f>
        <v>Large</v>
      </c>
      <c r="K3561" s="36">
        <v>45542</v>
      </c>
      <c r="L3561" s="36">
        <v>45548</v>
      </c>
      <c r="M3561" t="s">
        <v>612</v>
      </c>
      <c r="N3561" t="s">
        <v>608</v>
      </c>
      <c r="O3561" s="37" t="str">
        <f t="shared" si="278"/>
        <v>Cash Payment</v>
      </c>
      <c r="P3561">
        <v>207.24</v>
      </c>
      <c r="Q3561" s="37" t="str">
        <f>IF(P3561&gt;500,"High","low")</f>
        <v>low</v>
      </c>
      <c r="R3561" s="37" t="str">
        <f t="shared" si="279"/>
        <v>AVERAGE</v>
      </c>
      <c r="S3561" t="s">
        <v>600</v>
      </c>
    </row>
    <row r="3562" spans="1:19" x14ac:dyDescent="0.2">
      <c r="A3562" t="s">
        <v>4173</v>
      </c>
      <c r="B3562" t="s">
        <v>83</v>
      </c>
      <c r="C3562" t="s">
        <v>617</v>
      </c>
      <c r="D3562">
        <v>1310.23</v>
      </c>
      <c r="E3562" s="37" t="str">
        <f t="shared" si="275"/>
        <v xml:space="preserve"> </v>
      </c>
      <c r="F3562">
        <v>0.12</v>
      </c>
      <c r="G3562" s="37" t="str">
        <f t="shared" si="276"/>
        <v>Normal Discount</v>
      </c>
      <c r="H3562" s="37" t="str">
        <f t="shared" si="277"/>
        <v>Low</v>
      </c>
      <c r="I3562">
        <v>4</v>
      </c>
      <c r="J3562" t="str" cm="1">
        <f t="array" ref="J3562">_xlfn.IFS(I3562&lt;=3,"small",I3562&lt;=6,"Medium",I3562&lt;=9,"Large")</f>
        <v>Medium</v>
      </c>
      <c r="K3562" s="36">
        <v>45618</v>
      </c>
      <c r="L3562" s="36">
        <v>45621</v>
      </c>
      <c r="M3562" t="s">
        <v>598</v>
      </c>
      <c r="N3562" t="s">
        <v>604</v>
      </c>
      <c r="O3562" s="37" t="str">
        <f t="shared" si="278"/>
        <v>Digital Payment</v>
      </c>
      <c r="P3562">
        <v>364.76</v>
      </c>
      <c r="Q3562" s="37" t="str">
        <f>IF(P3562&gt;500,"High","low")</f>
        <v>low</v>
      </c>
      <c r="R3562" s="37" t="str">
        <f t="shared" si="279"/>
        <v>AVERAGE</v>
      </c>
      <c r="S3562" t="s">
        <v>600</v>
      </c>
    </row>
    <row r="3563" spans="1:19" x14ac:dyDescent="0.2">
      <c r="A3563" t="s">
        <v>4174</v>
      </c>
      <c r="B3563" t="s">
        <v>67</v>
      </c>
      <c r="C3563" t="s">
        <v>607</v>
      </c>
      <c r="D3563">
        <v>4025.98</v>
      </c>
      <c r="E3563" s="37" t="str">
        <f t="shared" si="275"/>
        <v xml:space="preserve"> </v>
      </c>
      <c r="F3563">
        <v>0.27</v>
      </c>
      <c r="G3563" s="37" t="str">
        <f t="shared" si="276"/>
        <v>Normal Discount</v>
      </c>
      <c r="H3563" s="37" t="str">
        <f t="shared" si="277"/>
        <v>Medium</v>
      </c>
      <c r="I3563">
        <v>4</v>
      </c>
      <c r="J3563" t="str" cm="1">
        <f t="array" ref="J3563">_xlfn.IFS(I3563&lt;=3,"small",I3563&lt;=6,"Medium",I3563&lt;=9,"Large")</f>
        <v>Medium</v>
      </c>
      <c r="K3563" s="36">
        <v>45294</v>
      </c>
      <c r="L3563" s="36">
        <v>45298</v>
      </c>
      <c r="M3563" t="s">
        <v>603</v>
      </c>
      <c r="N3563" t="s">
        <v>599</v>
      </c>
      <c r="O3563" s="37" t="str">
        <f t="shared" si="278"/>
        <v>Digital Payment</v>
      </c>
      <c r="P3563">
        <v>454.78</v>
      </c>
      <c r="Q3563" s="37" t="str">
        <f>IF(P3563&gt;500,"High","low")</f>
        <v>low</v>
      </c>
      <c r="R3563" s="37" t="str">
        <f t="shared" si="279"/>
        <v>AVERAGE</v>
      </c>
      <c r="S3563" t="s">
        <v>600</v>
      </c>
    </row>
    <row r="3564" spans="1:19" x14ac:dyDescent="0.2">
      <c r="A3564" t="s">
        <v>4175</v>
      </c>
      <c r="B3564" t="s">
        <v>67</v>
      </c>
      <c r="C3564" t="s">
        <v>607</v>
      </c>
      <c r="D3564">
        <v>2774.5</v>
      </c>
      <c r="E3564" s="37" t="str">
        <f t="shared" si="275"/>
        <v xml:space="preserve"> </v>
      </c>
      <c r="F3564">
        <v>0.35</v>
      </c>
      <c r="G3564" s="37" t="str">
        <f t="shared" si="276"/>
        <v>Heavy Discount</v>
      </c>
      <c r="H3564" s="37" t="str">
        <f t="shared" si="277"/>
        <v>Medium</v>
      </c>
      <c r="I3564">
        <v>6</v>
      </c>
      <c r="J3564" t="str" cm="1">
        <f t="array" ref="J3564">_xlfn.IFS(I3564&lt;=3,"small",I3564&lt;=6,"Medium",I3564&lt;=9,"Large")</f>
        <v>Medium</v>
      </c>
      <c r="K3564" s="36">
        <v>44997</v>
      </c>
      <c r="L3564" s="36">
        <v>45001</v>
      </c>
      <c r="M3564" t="s">
        <v>603</v>
      </c>
      <c r="N3564" t="s">
        <v>599</v>
      </c>
      <c r="O3564" s="37" t="str">
        <f t="shared" si="278"/>
        <v>Digital Payment</v>
      </c>
      <c r="P3564">
        <v>811.66</v>
      </c>
      <c r="Q3564" s="37" t="str">
        <f>IF(P3564&gt;500,"High","low")</f>
        <v>High</v>
      </c>
      <c r="R3564" s="37" t="str">
        <f t="shared" si="279"/>
        <v>Good</v>
      </c>
      <c r="S3564" t="s">
        <v>615</v>
      </c>
    </row>
    <row r="3565" spans="1:19" x14ac:dyDescent="0.2">
      <c r="A3565" t="s">
        <v>4176</v>
      </c>
      <c r="B3565" t="s">
        <v>67</v>
      </c>
      <c r="C3565" t="s">
        <v>597</v>
      </c>
      <c r="D3565">
        <v>1551.35</v>
      </c>
      <c r="E3565" s="37" t="str">
        <f t="shared" si="275"/>
        <v xml:space="preserve"> </v>
      </c>
      <c r="F3565">
        <v>0.4</v>
      </c>
      <c r="G3565" s="37" t="str">
        <f t="shared" si="276"/>
        <v>Heavy Discount</v>
      </c>
      <c r="H3565" s="37" t="str">
        <f t="shared" si="277"/>
        <v>Medium</v>
      </c>
      <c r="I3565">
        <v>1</v>
      </c>
      <c r="J3565" t="str" cm="1">
        <f t="array" ref="J3565">_xlfn.IFS(I3565&lt;=3,"small",I3565&lt;=6,"Medium",I3565&lt;=9,"Large")</f>
        <v>small</v>
      </c>
      <c r="K3565" s="36">
        <v>45141</v>
      </c>
      <c r="L3565" s="36">
        <v>45145</v>
      </c>
      <c r="M3565" t="s">
        <v>598</v>
      </c>
      <c r="N3565" t="s">
        <v>608</v>
      </c>
      <c r="O3565" s="37" t="str">
        <f t="shared" si="278"/>
        <v>Cash Payment</v>
      </c>
      <c r="P3565">
        <v>88.64</v>
      </c>
      <c r="Q3565" s="37" t="str">
        <f>IF(P3565&gt;500,"High","low")</f>
        <v>low</v>
      </c>
      <c r="R3565" s="37" t="str">
        <f t="shared" si="279"/>
        <v>AVERAGE</v>
      </c>
      <c r="S3565" t="s">
        <v>609</v>
      </c>
    </row>
    <row r="3566" spans="1:19" x14ac:dyDescent="0.2">
      <c r="A3566" t="s">
        <v>4177</v>
      </c>
      <c r="B3566" t="s">
        <v>75</v>
      </c>
      <c r="C3566" t="s">
        <v>607</v>
      </c>
      <c r="D3566">
        <v>2496.56</v>
      </c>
      <c r="E3566" s="37" t="str">
        <f t="shared" si="275"/>
        <v xml:space="preserve"> </v>
      </c>
      <c r="F3566">
        <v>0.46</v>
      </c>
      <c r="G3566" s="37" t="str">
        <f t="shared" si="276"/>
        <v>Heavy Discount</v>
      </c>
      <c r="H3566" s="37" t="str">
        <f t="shared" si="277"/>
        <v>High</v>
      </c>
      <c r="I3566">
        <v>2</v>
      </c>
      <c r="J3566" t="str" cm="1">
        <f t="array" ref="J3566">_xlfn.IFS(I3566&lt;=3,"small",I3566&lt;=6,"Medium",I3566&lt;=9,"Large")</f>
        <v>small</v>
      </c>
      <c r="K3566" s="36">
        <v>45141</v>
      </c>
      <c r="L3566" s="36">
        <v>45144</v>
      </c>
      <c r="M3566" t="s">
        <v>603</v>
      </c>
      <c r="N3566" t="s">
        <v>604</v>
      </c>
      <c r="O3566" s="37" t="str">
        <f t="shared" si="278"/>
        <v>Digital Payment</v>
      </c>
      <c r="P3566">
        <v>542.82000000000005</v>
      </c>
      <c r="Q3566" s="37" t="str">
        <f>IF(P3566&gt;500,"High","low")</f>
        <v>High</v>
      </c>
      <c r="R3566" s="37" t="str">
        <f t="shared" si="279"/>
        <v>Good</v>
      </c>
      <c r="S3566" t="s">
        <v>620</v>
      </c>
    </row>
    <row r="3567" spans="1:19" x14ac:dyDescent="0.2">
      <c r="A3567" t="s">
        <v>4178</v>
      </c>
      <c r="B3567" t="s">
        <v>67</v>
      </c>
      <c r="C3567" t="s">
        <v>614</v>
      </c>
      <c r="D3567">
        <v>1172.44</v>
      </c>
      <c r="E3567" s="37" t="str">
        <f t="shared" si="275"/>
        <v xml:space="preserve"> </v>
      </c>
      <c r="F3567">
        <v>0.18</v>
      </c>
      <c r="G3567" s="37" t="str">
        <f t="shared" si="276"/>
        <v>Normal Discount</v>
      </c>
      <c r="H3567" s="37" t="str">
        <f t="shared" si="277"/>
        <v>Low</v>
      </c>
      <c r="I3567">
        <v>2</v>
      </c>
      <c r="J3567" t="str" cm="1">
        <f t="array" ref="J3567">_xlfn.IFS(I3567&lt;=3,"small",I3567&lt;=6,"Medium",I3567&lt;=9,"Large")</f>
        <v>small</v>
      </c>
      <c r="K3567" s="36">
        <v>45178</v>
      </c>
      <c r="L3567" s="36">
        <v>45181</v>
      </c>
      <c r="M3567" t="s">
        <v>598</v>
      </c>
      <c r="N3567" t="s">
        <v>608</v>
      </c>
      <c r="O3567" s="37" t="str">
        <f t="shared" si="278"/>
        <v>Cash Payment</v>
      </c>
      <c r="P3567">
        <v>76.12</v>
      </c>
      <c r="Q3567" s="37" t="str">
        <f>IF(P3567&gt;500,"High","low")</f>
        <v>low</v>
      </c>
      <c r="R3567" s="37" t="str">
        <f t="shared" si="279"/>
        <v>AVERAGE</v>
      </c>
      <c r="S3567" t="s">
        <v>620</v>
      </c>
    </row>
    <row r="3568" spans="1:19" x14ac:dyDescent="0.2">
      <c r="A3568" t="s">
        <v>4179</v>
      </c>
      <c r="B3568" t="s">
        <v>90</v>
      </c>
      <c r="C3568" t="s">
        <v>607</v>
      </c>
      <c r="D3568">
        <v>1007.12</v>
      </c>
      <c r="E3568" s="37" t="str">
        <f t="shared" si="275"/>
        <v xml:space="preserve"> </v>
      </c>
      <c r="F3568">
        <v>0.47</v>
      </c>
      <c r="G3568" s="37" t="str">
        <f t="shared" si="276"/>
        <v>Heavy Discount</v>
      </c>
      <c r="H3568" s="37" t="str">
        <f t="shared" si="277"/>
        <v>High</v>
      </c>
      <c r="I3568">
        <v>4</v>
      </c>
      <c r="J3568" t="str" cm="1">
        <f t="array" ref="J3568">_xlfn.IFS(I3568&lt;=3,"small",I3568&lt;=6,"Medium",I3568&lt;=9,"Large")</f>
        <v>Medium</v>
      </c>
      <c r="K3568" s="36">
        <v>44976</v>
      </c>
      <c r="L3568" s="36">
        <v>44979</v>
      </c>
      <c r="M3568" t="s">
        <v>612</v>
      </c>
      <c r="N3568" t="s">
        <v>608</v>
      </c>
      <c r="O3568" s="37" t="str">
        <f t="shared" si="278"/>
        <v>Cash Payment</v>
      </c>
      <c r="P3568">
        <v>73.239999999999995</v>
      </c>
      <c r="Q3568" s="37" t="str">
        <f>IF(P3568&gt;500,"High","low")</f>
        <v>low</v>
      </c>
      <c r="R3568" s="37" t="str">
        <f t="shared" si="279"/>
        <v>AVERAGE</v>
      </c>
      <c r="S3568" t="s">
        <v>628</v>
      </c>
    </row>
    <row r="3569" spans="1:19" x14ac:dyDescent="0.2">
      <c r="A3569" t="s">
        <v>4180</v>
      </c>
      <c r="B3569" t="s">
        <v>90</v>
      </c>
      <c r="C3569" t="s">
        <v>614</v>
      </c>
      <c r="D3569">
        <v>4313.72</v>
      </c>
      <c r="E3569" s="37" t="str">
        <f t="shared" si="275"/>
        <v>Excellent Order</v>
      </c>
      <c r="F3569">
        <v>0.31</v>
      </c>
      <c r="G3569" s="37" t="str">
        <f t="shared" si="276"/>
        <v>Heavy Discount</v>
      </c>
      <c r="H3569" s="37" t="str">
        <f t="shared" si="277"/>
        <v>Medium</v>
      </c>
      <c r="I3569">
        <v>5</v>
      </c>
      <c r="J3569" t="str" cm="1">
        <f t="array" ref="J3569">_xlfn.IFS(I3569&lt;=3,"small",I3569&lt;=6,"Medium",I3569&lt;=9,"Large")</f>
        <v>Medium</v>
      </c>
      <c r="K3569" s="36">
        <v>45657</v>
      </c>
      <c r="L3569" s="36">
        <v>45664</v>
      </c>
      <c r="M3569" t="s">
        <v>603</v>
      </c>
      <c r="N3569" t="s">
        <v>608</v>
      </c>
      <c r="O3569" s="37" t="str">
        <f t="shared" si="278"/>
        <v>Cash Payment</v>
      </c>
      <c r="P3569">
        <v>1251.81</v>
      </c>
      <c r="Q3569" s="37" t="str">
        <f>IF(P3569&gt;500,"High","low")</f>
        <v>High</v>
      </c>
      <c r="R3569" s="37" t="str">
        <f t="shared" si="279"/>
        <v>Excellent</v>
      </c>
      <c r="S3569" t="s">
        <v>620</v>
      </c>
    </row>
    <row r="3570" spans="1:19" x14ac:dyDescent="0.2">
      <c r="A3570" t="s">
        <v>4181</v>
      </c>
      <c r="B3570" t="s">
        <v>83</v>
      </c>
      <c r="C3570" t="s">
        <v>614</v>
      </c>
      <c r="D3570">
        <v>4729.57</v>
      </c>
      <c r="E3570" s="37" t="str">
        <f t="shared" si="275"/>
        <v>Excellent Order</v>
      </c>
      <c r="F3570">
        <v>0.19</v>
      </c>
      <c r="G3570" s="37" t="str">
        <f t="shared" si="276"/>
        <v>Normal Discount</v>
      </c>
      <c r="H3570" s="37" t="str">
        <f t="shared" si="277"/>
        <v>Low</v>
      </c>
      <c r="I3570">
        <v>2</v>
      </c>
      <c r="J3570" t="str" cm="1">
        <f t="array" ref="J3570">_xlfn.IFS(I3570&lt;=3,"small",I3570&lt;=6,"Medium",I3570&lt;=9,"Large")</f>
        <v>small</v>
      </c>
      <c r="K3570" s="36">
        <v>45281</v>
      </c>
      <c r="L3570" s="36">
        <v>45288</v>
      </c>
      <c r="M3570" t="s">
        <v>598</v>
      </c>
      <c r="N3570" t="s">
        <v>608</v>
      </c>
      <c r="O3570" s="37" t="str">
        <f t="shared" si="278"/>
        <v>Cash Payment</v>
      </c>
      <c r="P3570">
        <v>1324.69</v>
      </c>
      <c r="Q3570" s="37" t="str">
        <f>IF(P3570&gt;500,"High","low")</f>
        <v>High</v>
      </c>
      <c r="R3570" s="37" t="str">
        <f t="shared" si="279"/>
        <v>Excellent</v>
      </c>
      <c r="S3570" t="s">
        <v>600</v>
      </c>
    </row>
    <row r="3571" spans="1:19" x14ac:dyDescent="0.2">
      <c r="A3571" t="s">
        <v>4182</v>
      </c>
      <c r="B3571" t="s">
        <v>67</v>
      </c>
      <c r="C3571" t="s">
        <v>602</v>
      </c>
      <c r="D3571">
        <v>492.07</v>
      </c>
      <c r="E3571" s="37" t="str">
        <f t="shared" si="275"/>
        <v xml:space="preserve"> </v>
      </c>
      <c r="F3571">
        <v>0.44</v>
      </c>
      <c r="G3571" s="37" t="str">
        <f t="shared" si="276"/>
        <v>Heavy Discount</v>
      </c>
      <c r="H3571" s="37" t="str">
        <f t="shared" si="277"/>
        <v>High</v>
      </c>
      <c r="I3571">
        <v>8</v>
      </c>
      <c r="J3571" t="str" cm="1">
        <f t="array" ref="J3571">_xlfn.IFS(I3571&lt;=3,"small",I3571&lt;=6,"Medium",I3571&lt;=9,"Large")</f>
        <v>Large</v>
      </c>
      <c r="K3571" s="36">
        <v>45615</v>
      </c>
      <c r="L3571" s="36">
        <v>45620</v>
      </c>
      <c r="M3571" t="s">
        <v>598</v>
      </c>
      <c r="N3571" t="s">
        <v>599</v>
      </c>
      <c r="O3571" s="37" t="str">
        <f t="shared" si="278"/>
        <v>Digital Payment</v>
      </c>
      <c r="P3571">
        <v>128.41</v>
      </c>
      <c r="Q3571" s="37" t="str">
        <f>IF(P3571&gt;500,"High","low")</f>
        <v>low</v>
      </c>
      <c r="R3571" s="37" t="str">
        <f t="shared" si="279"/>
        <v>AVERAGE</v>
      </c>
      <c r="S3571" t="s">
        <v>600</v>
      </c>
    </row>
    <row r="3572" spans="1:19" x14ac:dyDescent="0.2">
      <c r="A3572" t="s">
        <v>4183</v>
      </c>
      <c r="B3572" t="s">
        <v>90</v>
      </c>
      <c r="C3572" t="s">
        <v>597</v>
      </c>
      <c r="D3572">
        <v>3847.93</v>
      </c>
      <c r="E3572" s="37" t="str">
        <f t="shared" si="275"/>
        <v xml:space="preserve"> </v>
      </c>
      <c r="F3572">
        <v>0.28999999999999998</v>
      </c>
      <c r="G3572" s="37" t="str">
        <f t="shared" si="276"/>
        <v>Normal Discount</v>
      </c>
      <c r="H3572" s="37" t="str">
        <f t="shared" si="277"/>
        <v>Medium</v>
      </c>
      <c r="I3572">
        <v>5</v>
      </c>
      <c r="J3572" t="str" cm="1">
        <f t="array" ref="J3572">_xlfn.IFS(I3572&lt;=3,"small",I3572&lt;=6,"Medium",I3572&lt;=9,"Large")</f>
        <v>Medium</v>
      </c>
      <c r="K3572" s="36">
        <v>44943</v>
      </c>
      <c r="L3572" s="36">
        <v>44947</v>
      </c>
      <c r="M3572" t="s">
        <v>598</v>
      </c>
      <c r="N3572" t="s">
        <v>608</v>
      </c>
      <c r="O3572" s="37" t="str">
        <f t="shared" si="278"/>
        <v>Cash Payment</v>
      </c>
      <c r="P3572">
        <v>845.55</v>
      </c>
      <c r="Q3572" s="37" t="str">
        <f>IF(P3572&gt;500,"High","low")</f>
        <v>High</v>
      </c>
      <c r="R3572" s="37" t="str">
        <f t="shared" si="279"/>
        <v>Good</v>
      </c>
      <c r="S3572" t="s">
        <v>600</v>
      </c>
    </row>
    <row r="3573" spans="1:19" x14ac:dyDescent="0.2">
      <c r="A3573" t="s">
        <v>4184</v>
      </c>
      <c r="B3573" t="s">
        <v>83</v>
      </c>
      <c r="C3573" t="s">
        <v>617</v>
      </c>
      <c r="D3573">
        <v>2321.23</v>
      </c>
      <c r="E3573" s="37" t="str">
        <f t="shared" si="275"/>
        <v xml:space="preserve"> </v>
      </c>
      <c r="F3573">
        <v>0.23</v>
      </c>
      <c r="G3573" s="37" t="str">
        <f t="shared" si="276"/>
        <v>Normal Discount</v>
      </c>
      <c r="H3573" s="37" t="str">
        <f t="shared" si="277"/>
        <v>Medium</v>
      </c>
      <c r="I3573">
        <v>8</v>
      </c>
      <c r="J3573" t="str" cm="1">
        <f t="array" ref="J3573">_xlfn.IFS(I3573&lt;=3,"small",I3573&lt;=6,"Medium",I3573&lt;=9,"Large")</f>
        <v>Large</v>
      </c>
      <c r="K3573" s="36">
        <v>45301</v>
      </c>
      <c r="L3573" s="36">
        <v>45308</v>
      </c>
      <c r="M3573" t="s">
        <v>612</v>
      </c>
      <c r="N3573" t="s">
        <v>608</v>
      </c>
      <c r="O3573" s="37" t="str">
        <f t="shared" si="278"/>
        <v>Cash Payment</v>
      </c>
      <c r="P3573">
        <v>386.91</v>
      </c>
      <c r="Q3573" s="37" t="str">
        <f>IF(P3573&gt;500,"High","low")</f>
        <v>low</v>
      </c>
      <c r="R3573" s="37" t="str">
        <f t="shared" si="279"/>
        <v>AVERAGE</v>
      </c>
      <c r="S3573" t="s">
        <v>609</v>
      </c>
    </row>
    <row r="3574" spans="1:19" x14ac:dyDescent="0.2">
      <c r="A3574" t="s">
        <v>4185</v>
      </c>
      <c r="B3574" t="s">
        <v>67</v>
      </c>
      <c r="C3574" t="s">
        <v>614</v>
      </c>
      <c r="D3574">
        <v>2005.96</v>
      </c>
      <c r="E3574" s="37" t="str">
        <f t="shared" si="275"/>
        <v xml:space="preserve"> </v>
      </c>
      <c r="F3574">
        <v>0.01</v>
      </c>
      <c r="G3574" s="37" t="str">
        <f t="shared" si="276"/>
        <v>Normal Discount</v>
      </c>
      <c r="H3574" s="37" t="str">
        <f t="shared" si="277"/>
        <v>Low</v>
      </c>
      <c r="I3574">
        <v>9</v>
      </c>
      <c r="J3574" t="str" cm="1">
        <f t="array" ref="J3574">_xlfn.IFS(I3574&lt;=3,"small",I3574&lt;=6,"Medium",I3574&lt;=9,"Large")</f>
        <v>Large</v>
      </c>
      <c r="K3574" s="36">
        <v>45157</v>
      </c>
      <c r="L3574" s="36">
        <v>45162</v>
      </c>
      <c r="M3574" t="s">
        <v>612</v>
      </c>
      <c r="N3574" t="s">
        <v>608</v>
      </c>
      <c r="O3574" s="37" t="str">
        <f t="shared" si="278"/>
        <v>Cash Payment</v>
      </c>
      <c r="P3574">
        <v>440.36</v>
      </c>
      <c r="Q3574" s="37" t="str">
        <f>IF(P3574&gt;500,"High","low")</f>
        <v>low</v>
      </c>
      <c r="R3574" s="37" t="str">
        <f t="shared" si="279"/>
        <v>AVERAGE</v>
      </c>
      <c r="S3574" t="s">
        <v>609</v>
      </c>
    </row>
    <row r="3575" spans="1:19" x14ac:dyDescent="0.2">
      <c r="A3575" t="s">
        <v>4186</v>
      </c>
      <c r="B3575" t="s">
        <v>75</v>
      </c>
      <c r="C3575" t="s">
        <v>597</v>
      </c>
      <c r="D3575">
        <v>3478.12</v>
      </c>
      <c r="E3575" s="37" t="str">
        <f t="shared" si="275"/>
        <v xml:space="preserve"> </v>
      </c>
      <c r="F3575">
        <v>0.36</v>
      </c>
      <c r="G3575" s="37" t="str">
        <f t="shared" si="276"/>
        <v>Heavy Discount</v>
      </c>
      <c r="H3575" s="37" t="str">
        <f t="shared" si="277"/>
        <v>Medium</v>
      </c>
      <c r="I3575">
        <v>9</v>
      </c>
      <c r="J3575" t="str" cm="1">
        <f t="array" ref="J3575">_xlfn.IFS(I3575&lt;=3,"small",I3575&lt;=6,"Medium",I3575&lt;=9,"Large")</f>
        <v>Large</v>
      </c>
      <c r="K3575" s="36">
        <v>45524</v>
      </c>
      <c r="L3575" s="36">
        <v>45526</v>
      </c>
      <c r="M3575" t="s">
        <v>612</v>
      </c>
      <c r="N3575" t="s">
        <v>604</v>
      </c>
      <c r="O3575" s="37" t="str">
        <f t="shared" si="278"/>
        <v>Digital Payment</v>
      </c>
      <c r="P3575">
        <v>658.5</v>
      </c>
      <c r="Q3575" s="37" t="str">
        <f>IF(P3575&gt;500,"High","low")</f>
        <v>High</v>
      </c>
      <c r="R3575" s="37" t="str">
        <f t="shared" si="279"/>
        <v>Good</v>
      </c>
      <c r="S3575" t="s">
        <v>620</v>
      </c>
    </row>
    <row r="3576" spans="1:19" x14ac:dyDescent="0.2">
      <c r="A3576" t="s">
        <v>4187</v>
      </c>
      <c r="B3576" t="s">
        <v>90</v>
      </c>
      <c r="C3576" t="s">
        <v>617</v>
      </c>
      <c r="D3576">
        <v>1404.64</v>
      </c>
      <c r="E3576" s="37" t="str">
        <f t="shared" si="275"/>
        <v xml:space="preserve"> </v>
      </c>
      <c r="F3576">
        <v>0.04</v>
      </c>
      <c r="G3576" s="37" t="str">
        <f t="shared" si="276"/>
        <v>Normal Discount</v>
      </c>
      <c r="H3576" s="37" t="str">
        <f t="shared" si="277"/>
        <v>Low</v>
      </c>
      <c r="I3576">
        <v>4</v>
      </c>
      <c r="J3576" t="str" cm="1">
        <f t="array" ref="J3576">_xlfn.IFS(I3576&lt;=3,"small",I3576&lt;=6,"Medium",I3576&lt;=9,"Large")</f>
        <v>Medium</v>
      </c>
      <c r="K3576" s="36">
        <v>45632</v>
      </c>
      <c r="L3576" s="36">
        <v>45635</v>
      </c>
      <c r="M3576" t="s">
        <v>603</v>
      </c>
      <c r="N3576" t="s">
        <v>599</v>
      </c>
      <c r="O3576" s="37" t="str">
        <f t="shared" si="278"/>
        <v>Digital Payment</v>
      </c>
      <c r="P3576">
        <v>369.49</v>
      </c>
      <c r="Q3576" s="37" t="str">
        <f>IF(P3576&gt;500,"High","low")</f>
        <v>low</v>
      </c>
      <c r="R3576" s="37" t="str">
        <f t="shared" si="279"/>
        <v>AVERAGE</v>
      </c>
      <c r="S3576" t="s">
        <v>628</v>
      </c>
    </row>
    <row r="3577" spans="1:19" x14ac:dyDescent="0.2">
      <c r="A3577" t="s">
        <v>4188</v>
      </c>
      <c r="B3577" t="s">
        <v>75</v>
      </c>
      <c r="C3577" t="s">
        <v>607</v>
      </c>
      <c r="D3577">
        <v>200.85</v>
      </c>
      <c r="E3577" s="37" t="str">
        <f t="shared" si="275"/>
        <v xml:space="preserve"> </v>
      </c>
      <c r="F3577">
        <v>0.14000000000000001</v>
      </c>
      <c r="G3577" s="37" t="str">
        <f t="shared" si="276"/>
        <v>Normal Discount</v>
      </c>
      <c r="H3577" s="37" t="str">
        <f t="shared" si="277"/>
        <v>Low</v>
      </c>
      <c r="I3577">
        <v>2</v>
      </c>
      <c r="J3577" t="str" cm="1">
        <f t="array" ref="J3577">_xlfn.IFS(I3577&lt;=3,"small",I3577&lt;=6,"Medium",I3577&lt;=9,"Large")</f>
        <v>small</v>
      </c>
      <c r="K3577" s="36">
        <v>45571</v>
      </c>
      <c r="L3577" s="36">
        <v>45577</v>
      </c>
      <c r="M3577" t="s">
        <v>612</v>
      </c>
      <c r="N3577" t="s">
        <v>608</v>
      </c>
      <c r="O3577" s="37" t="str">
        <f t="shared" si="278"/>
        <v>Cash Payment</v>
      </c>
      <c r="P3577">
        <v>47.37</v>
      </c>
      <c r="Q3577" s="37" t="str">
        <f>IF(P3577&gt;500,"High","low")</f>
        <v>low</v>
      </c>
      <c r="R3577" s="37" t="str">
        <f t="shared" si="279"/>
        <v>AVERAGE</v>
      </c>
      <c r="S3577" t="s">
        <v>605</v>
      </c>
    </row>
    <row r="3578" spans="1:19" x14ac:dyDescent="0.2">
      <c r="A3578" t="s">
        <v>4189</v>
      </c>
      <c r="B3578" t="s">
        <v>67</v>
      </c>
      <c r="C3578" t="s">
        <v>597</v>
      </c>
      <c r="D3578">
        <v>1148.6099999999999</v>
      </c>
      <c r="E3578" s="37" t="str">
        <f t="shared" si="275"/>
        <v xml:space="preserve"> </v>
      </c>
      <c r="F3578">
        <v>0.48</v>
      </c>
      <c r="G3578" s="37" t="str">
        <f t="shared" si="276"/>
        <v>Heavy Discount</v>
      </c>
      <c r="H3578" s="37" t="str">
        <f t="shared" si="277"/>
        <v>High</v>
      </c>
      <c r="I3578">
        <v>2</v>
      </c>
      <c r="J3578" t="str" cm="1">
        <f t="array" ref="J3578">_xlfn.IFS(I3578&lt;=3,"small",I3578&lt;=6,"Medium",I3578&lt;=9,"Large")</f>
        <v>small</v>
      </c>
      <c r="K3578" s="36">
        <v>45628</v>
      </c>
      <c r="L3578" s="36">
        <v>45633</v>
      </c>
      <c r="M3578" t="s">
        <v>598</v>
      </c>
      <c r="N3578" t="s">
        <v>608</v>
      </c>
      <c r="O3578" s="37" t="str">
        <f t="shared" si="278"/>
        <v>Cash Payment</v>
      </c>
      <c r="P3578">
        <v>252.98</v>
      </c>
      <c r="Q3578" s="37" t="str">
        <f>IF(P3578&gt;500,"High","low")</f>
        <v>low</v>
      </c>
      <c r="R3578" s="37" t="str">
        <f t="shared" si="279"/>
        <v>AVERAGE</v>
      </c>
      <c r="S3578" t="s">
        <v>628</v>
      </c>
    </row>
    <row r="3579" spans="1:19" x14ac:dyDescent="0.2">
      <c r="A3579" t="s">
        <v>4190</v>
      </c>
      <c r="B3579" t="s">
        <v>90</v>
      </c>
      <c r="C3579" t="s">
        <v>597</v>
      </c>
      <c r="D3579">
        <v>1006.13</v>
      </c>
      <c r="E3579" s="37" t="str">
        <f t="shared" si="275"/>
        <v xml:space="preserve"> </v>
      </c>
      <c r="F3579">
        <v>0.08</v>
      </c>
      <c r="G3579" s="37" t="str">
        <f t="shared" si="276"/>
        <v>Normal Discount</v>
      </c>
      <c r="H3579" s="37" t="str">
        <f t="shared" si="277"/>
        <v>Low</v>
      </c>
      <c r="I3579">
        <v>5</v>
      </c>
      <c r="J3579" t="str" cm="1">
        <f t="array" ref="J3579">_xlfn.IFS(I3579&lt;=3,"small",I3579&lt;=6,"Medium",I3579&lt;=9,"Large")</f>
        <v>Medium</v>
      </c>
      <c r="K3579" s="36">
        <v>45025</v>
      </c>
      <c r="L3579" s="36">
        <v>45028</v>
      </c>
      <c r="M3579" t="s">
        <v>612</v>
      </c>
      <c r="N3579" t="s">
        <v>599</v>
      </c>
      <c r="O3579" s="37" t="str">
        <f t="shared" si="278"/>
        <v>Digital Payment</v>
      </c>
      <c r="P3579">
        <v>98.91</v>
      </c>
      <c r="Q3579" s="37" t="str">
        <f>IF(P3579&gt;500,"High","low")</f>
        <v>low</v>
      </c>
      <c r="R3579" s="37" t="str">
        <f t="shared" si="279"/>
        <v>AVERAGE</v>
      </c>
      <c r="S3579" t="s">
        <v>600</v>
      </c>
    </row>
    <row r="3580" spans="1:19" x14ac:dyDescent="0.2">
      <c r="A3580" t="s">
        <v>4191</v>
      </c>
      <c r="B3580" t="s">
        <v>67</v>
      </c>
      <c r="C3580" t="s">
        <v>597</v>
      </c>
      <c r="D3580">
        <v>266.83999999999997</v>
      </c>
      <c r="E3580" s="37" t="str">
        <f t="shared" si="275"/>
        <v xml:space="preserve"> </v>
      </c>
      <c r="F3580">
        <v>0.16</v>
      </c>
      <c r="G3580" s="37" t="str">
        <f t="shared" si="276"/>
        <v>Normal Discount</v>
      </c>
      <c r="H3580" s="37" t="str">
        <f t="shared" si="277"/>
        <v>Low</v>
      </c>
      <c r="I3580">
        <v>4</v>
      </c>
      <c r="J3580" t="str" cm="1">
        <f t="array" ref="J3580">_xlfn.IFS(I3580&lt;=3,"small",I3580&lt;=6,"Medium",I3580&lt;=9,"Large")</f>
        <v>Medium</v>
      </c>
      <c r="K3580" s="36">
        <v>45341</v>
      </c>
      <c r="L3580" s="36">
        <v>45342</v>
      </c>
      <c r="M3580" t="s">
        <v>603</v>
      </c>
      <c r="N3580" t="s">
        <v>604</v>
      </c>
      <c r="O3580" s="37" t="str">
        <f t="shared" si="278"/>
        <v>Digital Payment</v>
      </c>
      <c r="P3580">
        <v>57.3</v>
      </c>
      <c r="Q3580" s="37" t="str">
        <f>IF(P3580&gt;500,"High","low")</f>
        <v>low</v>
      </c>
      <c r="R3580" s="37" t="str">
        <f t="shared" si="279"/>
        <v>AVERAGE</v>
      </c>
      <c r="S3580" t="s">
        <v>605</v>
      </c>
    </row>
    <row r="3581" spans="1:19" x14ac:dyDescent="0.2">
      <c r="A3581" t="s">
        <v>4192</v>
      </c>
      <c r="B3581" t="s">
        <v>75</v>
      </c>
      <c r="C3581" t="s">
        <v>607</v>
      </c>
      <c r="D3581">
        <v>1674.45</v>
      </c>
      <c r="E3581" s="37" t="str">
        <f t="shared" si="275"/>
        <v xml:space="preserve"> </v>
      </c>
      <c r="F3581">
        <v>0.47</v>
      </c>
      <c r="G3581" s="37" t="str">
        <f t="shared" si="276"/>
        <v>Heavy Discount</v>
      </c>
      <c r="H3581" s="37" t="str">
        <f t="shared" si="277"/>
        <v>High</v>
      </c>
      <c r="I3581">
        <v>6</v>
      </c>
      <c r="J3581" t="str" cm="1">
        <f t="array" ref="J3581">_xlfn.IFS(I3581&lt;=3,"small",I3581&lt;=6,"Medium",I3581&lt;=9,"Large")</f>
        <v>Medium</v>
      </c>
      <c r="K3581" s="36">
        <v>45007</v>
      </c>
      <c r="L3581" s="36">
        <v>45011</v>
      </c>
      <c r="M3581" t="s">
        <v>612</v>
      </c>
      <c r="N3581" t="s">
        <v>604</v>
      </c>
      <c r="O3581" s="37" t="str">
        <f t="shared" si="278"/>
        <v>Digital Payment</v>
      </c>
      <c r="P3581">
        <v>287.36</v>
      </c>
      <c r="Q3581" s="37" t="str">
        <f>IF(P3581&gt;500,"High","low")</f>
        <v>low</v>
      </c>
      <c r="R3581" s="37" t="str">
        <f t="shared" si="279"/>
        <v>AVERAGE</v>
      </c>
      <c r="S3581" t="s">
        <v>628</v>
      </c>
    </row>
    <row r="3582" spans="1:19" x14ac:dyDescent="0.2">
      <c r="A3582" t="s">
        <v>4193</v>
      </c>
      <c r="B3582" t="s">
        <v>90</v>
      </c>
      <c r="C3582" t="s">
        <v>607</v>
      </c>
      <c r="D3582">
        <v>2425.14</v>
      </c>
      <c r="E3582" s="37" t="str">
        <f t="shared" si="275"/>
        <v xml:space="preserve"> </v>
      </c>
      <c r="F3582">
        <v>0.17</v>
      </c>
      <c r="G3582" s="37" t="str">
        <f t="shared" si="276"/>
        <v>Normal Discount</v>
      </c>
      <c r="H3582" s="37" t="str">
        <f t="shared" si="277"/>
        <v>Low</v>
      </c>
      <c r="I3582">
        <v>9</v>
      </c>
      <c r="J3582" t="str" cm="1">
        <f t="array" ref="J3582">_xlfn.IFS(I3582&lt;=3,"small",I3582&lt;=6,"Medium",I3582&lt;=9,"Large")</f>
        <v>Large</v>
      </c>
      <c r="K3582" s="36">
        <v>45629</v>
      </c>
      <c r="L3582" s="36">
        <v>45636</v>
      </c>
      <c r="M3582" t="s">
        <v>598</v>
      </c>
      <c r="N3582" t="s">
        <v>604</v>
      </c>
      <c r="O3582" s="37" t="str">
        <f t="shared" si="278"/>
        <v>Digital Payment</v>
      </c>
      <c r="P3582">
        <v>592.94000000000005</v>
      </c>
      <c r="Q3582" s="37" t="str">
        <f>IF(P3582&gt;500,"High","low")</f>
        <v>High</v>
      </c>
      <c r="R3582" s="37" t="str">
        <f t="shared" si="279"/>
        <v>Good</v>
      </c>
      <c r="S3582" t="s">
        <v>600</v>
      </c>
    </row>
    <row r="3583" spans="1:19" x14ac:dyDescent="0.2">
      <c r="A3583" t="s">
        <v>4194</v>
      </c>
      <c r="B3583" t="s">
        <v>75</v>
      </c>
      <c r="C3583" t="s">
        <v>597</v>
      </c>
      <c r="D3583">
        <v>3705.56</v>
      </c>
      <c r="E3583" s="37" t="str">
        <f t="shared" si="275"/>
        <v xml:space="preserve"> </v>
      </c>
      <c r="F3583">
        <v>0.16</v>
      </c>
      <c r="G3583" s="37" t="str">
        <f t="shared" si="276"/>
        <v>Normal Discount</v>
      </c>
      <c r="H3583" s="37" t="str">
        <f t="shared" si="277"/>
        <v>Low</v>
      </c>
      <c r="I3583">
        <v>7</v>
      </c>
      <c r="J3583" t="str" cm="1">
        <f t="array" ref="J3583">_xlfn.IFS(I3583&lt;=3,"small",I3583&lt;=6,"Medium",I3583&lt;=9,"Large")</f>
        <v>Large</v>
      </c>
      <c r="K3583" s="36">
        <v>45149</v>
      </c>
      <c r="L3583" s="36">
        <v>45156</v>
      </c>
      <c r="M3583" t="s">
        <v>603</v>
      </c>
      <c r="N3583" t="s">
        <v>608</v>
      </c>
      <c r="O3583" s="37" t="str">
        <f t="shared" si="278"/>
        <v>Cash Payment</v>
      </c>
      <c r="P3583">
        <v>606.48</v>
      </c>
      <c r="Q3583" s="37" t="str">
        <f>IF(P3583&gt;500,"High","low")</f>
        <v>High</v>
      </c>
      <c r="R3583" s="37" t="str">
        <f t="shared" si="279"/>
        <v>Good</v>
      </c>
      <c r="S3583" t="s">
        <v>600</v>
      </c>
    </row>
    <row r="3584" spans="1:19" x14ac:dyDescent="0.2">
      <c r="A3584" t="s">
        <v>4195</v>
      </c>
      <c r="B3584" t="s">
        <v>67</v>
      </c>
      <c r="C3584" t="s">
        <v>602</v>
      </c>
      <c r="D3584">
        <v>1695.74</v>
      </c>
      <c r="E3584" s="37" t="str">
        <f t="shared" si="275"/>
        <v xml:space="preserve"> </v>
      </c>
      <c r="F3584">
        <v>0.32</v>
      </c>
      <c r="G3584" s="37" t="str">
        <f t="shared" si="276"/>
        <v>Heavy Discount</v>
      </c>
      <c r="H3584" s="37" t="str">
        <f t="shared" si="277"/>
        <v>Medium</v>
      </c>
      <c r="I3584">
        <v>4</v>
      </c>
      <c r="J3584" t="str" cm="1">
        <f t="array" ref="J3584">_xlfn.IFS(I3584&lt;=3,"small",I3584&lt;=6,"Medium",I3584&lt;=9,"Large")</f>
        <v>Medium</v>
      </c>
      <c r="K3584" s="36">
        <v>45256</v>
      </c>
      <c r="L3584" s="36">
        <v>45259</v>
      </c>
      <c r="M3584" t="s">
        <v>598</v>
      </c>
      <c r="N3584" t="s">
        <v>608</v>
      </c>
      <c r="O3584" s="37" t="str">
        <f t="shared" si="278"/>
        <v>Cash Payment</v>
      </c>
      <c r="P3584">
        <v>295.82</v>
      </c>
      <c r="Q3584" s="37" t="str">
        <f>IF(P3584&gt;500,"High","low")</f>
        <v>low</v>
      </c>
      <c r="R3584" s="37" t="str">
        <f t="shared" si="279"/>
        <v>AVERAGE</v>
      </c>
      <c r="S3584" t="s">
        <v>609</v>
      </c>
    </row>
    <row r="3585" spans="1:19" x14ac:dyDescent="0.2">
      <c r="A3585" t="s">
        <v>4196</v>
      </c>
      <c r="B3585" t="s">
        <v>67</v>
      </c>
      <c r="C3585" t="s">
        <v>614</v>
      </c>
      <c r="D3585">
        <v>1053.25</v>
      </c>
      <c r="E3585" s="37" t="str">
        <f t="shared" si="275"/>
        <v xml:space="preserve"> </v>
      </c>
      <c r="F3585">
        <v>7.0000000000000007E-2</v>
      </c>
      <c r="G3585" s="37" t="str">
        <f t="shared" si="276"/>
        <v>Normal Discount</v>
      </c>
      <c r="H3585" s="37" t="str">
        <f t="shared" si="277"/>
        <v>Low</v>
      </c>
      <c r="I3585">
        <v>7</v>
      </c>
      <c r="J3585" t="str" cm="1">
        <f t="array" ref="J3585">_xlfn.IFS(I3585&lt;=3,"small",I3585&lt;=6,"Medium",I3585&lt;=9,"Large")</f>
        <v>Large</v>
      </c>
      <c r="K3585" s="36">
        <v>45258</v>
      </c>
      <c r="L3585" s="36">
        <v>45265</v>
      </c>
      <c r="M3585" t="s">
        <v>612</v>
      </c>
      <c r="N3585" t="s">
        <v>608</v>
      </c>
      <c r="O3585" s="37" t="str">
        <f t="shared" si="278"/>
        <v>Cash Payment</v>
      </c>
      <c r="P3585">
        <v>161.97</v>
      </c>
      <c r="Q3585" s="37" t="str">
        <f>IF(P3585&gt;500,"High","low")</f>
        <v>low</v>
      </c>
      <c r="R3585" s="37" t="str">
        <f t="shared" si="279"/>
        <v>AVERAGE</v>
      </c>
      <c r="S3585" t="s">
        <v>609</v>
      </c>
    </row>
    <row r="3586" spans="1:19" x14ac:dyDescent="0.2">
      <c r="A3586" t="s">
        <v>4197</v>
      </c>
      <c r="B3586" t="s">
        <v>75</v>
      </c>
      <c r="C3586" t="s">
        <v>607</v>
      </c>
      <c r="D3586">
        <v>1230.04</v>
      </c>
      <c r="E3586" s="37" t="str">
        <f t="shared" si="275"/>
        <v xml:space="preserve"> </v>
      </c>
      <c r="F3586">
        <v>0.49</v>
      </c>
      <c r="G3586" s="37" t="str">
        <f t="shared" si="276"/>
        <v>Heavy Discount</v>
      </c>
      <c r="H3586" s="37" t="str">
        <f t="shared" si="277"/>
        <v>High</v>
      </c>
      <c r="I3586">
        <v>2</v>
      </c>
      <c r="J3586" t="str" cm="1">
        <f t="array" ref="J3586">_xlfn.IFS(I3586&lt;=3,"small",I3586&lt;=6,"Medium",I3586&lt;=9,"Large")</f>
        <v>small</v>
      </c>
      <c r="K3586" s="36">
        <v>45044</v>
      </c>
      <c r="L3586" s="36">
        <v>45048</v>
      </c>
      <c r="M3586" t="s">
        <v>603</v>
      </c>
      <c r="N3586" t="s">
        <v>608</v>
      </c>
      <c r="O3586" s="37" t="str">
        <f t="shared" si="278"/>
        <v>Cash Payment</v>
      </c>
      <c r="P3586">
        <v>364.15</v>
      </c>
      <c r="Q3586" s="37" t="str">
        <f>IF(P3586&gt;500,"High","low")</f>
        <v>low</v>
      </c>
      <c r="R3586" s="37" t="str">
        <f t="shared" si="279"/>
        <v>AVERAGE</v>
      </c>
      <c r="S3586" t="s">
        <v>615</v>
      </c>
    </row>
    <row r="3587" spans="1:19" x14ac:dyDescent="0.2">
      <c r="A3587" t="s">
        <v>4198</v>
      </c>
      <c r="B3587" t="s">
        <v>90</v>
      </c>
      <c r="C3587" t="s">
        <v>602</v>
      </c>
      <c r="D3587">
        <v>4466.7700000000004</v>
      </c>
      <c r="E3587" s="37" t="str">
        <f t="shared" ref="E3587:E3650" si="280">IF(AND(D3587&gt;4000,P3587&gt;800),"Excellent Order"," ")</f>
        <v>Excellent Order</v>
      </c>
      <c r="F3587">
        <v>0.14000000000000001</v>
      </c>
      <c r="G3587" s="37" t="str">
        <f t="shared" ref="G3587:G3650" si="281">IF(F3587&gt;30%,"Heavy Discount","Normal Discount")</f>
        <v>Normal Discount</v>
      </c>
      <c r="H3587" s="37" t="str">
        <f t="shared" ref="H3587:H3650" si="282">IF(F3587&gt;0.4,"High",IF(F3587&gt;=0.2,"Medium","Low"))</f>
        <v>Low</v>
      </c>
      <c r="I3587">
        <v>5</v>
      </c>
      <c r="J3587" t="str" cm="1">
        <f t="array" ref="J3587">_xlfn.IFS(I3587&lt;=3,"small",I3587&lt;=6,"Medium",I3587&lt;=9,"Large")</f>
        <v>Medium</v>
      </c>
      <c r="K3587" s="36">
        <v>45456</v>
      </c>
      <c r="L3587" s="36">
        <v>45461</v>
      </c>
      <c r="M3587" t="s">
        <v>603</v>
      </c>
      <c r="N3587" t="s">
        <v>599</v>
      </c>
      <c r="O3587" s="37" t="str">
        <f t="shared" ref="O3587:O3650" si="283">IF(OR(N3587="Card",N3587="UPI"),"Digital Payment","Cash Payment")</f>
        <v>Digital Payment</v>
      </c>
      <c r="P3587">
        <v>886.34</v>
      </c>
      <c r="Q3587" s="37" t="str">
        <f>IF(P3587&gt;500,"High","low")</f>
        <v>High</v>
      </c>
      <c r="R3587" s="37" t="str">
        <f t="shared" ref="R3587:R3650" si="284">IF(P3587&gt;1000,"Excellent",IF(P3587&gt;=500,"Good","AVERAGE"))</f>
        <v>Good</v>
      </c>
      <c r="S3587" t="s">
        <v>615</v>
      </c>
    </row>
    <row r="3588" spans="1:19" x14ac:dyDescent="0.2">
      <c r="A3588" t="s">
        <v>4199</v>
      </c>
      <c r="B3588" t="s">
        <v>75</v>
      </c>
      <c r="C3588" t="s">
        <v>607</v>
      </c>
      <c r="D3588">
        <v>1103.1300000000001</v>
      </c>
      <c r="E3588" s="37" t="str">
        <f t="shared" si="280"/>
        <v xml:space="preserve"> </v>
      </c>
      <c r="F3588">
        <v>0.39</v>
      </c>
      <c r="G3588" s="37" t="str">
        <f t="shared" si="281"/>
        <v>Heavy Discount</v>
      </c>
      <c r="H3588" s="37" t="str">
        <f t="shared" si="282"/>
        <v>Medium</v>
      </c>
      <c r="I3588">
        <v>9</v>
      </c>
      <c r="J3588" t="str" cm="1">
        <f t="array" ref="J3588">_xlfn.IFS(I3588&lt;=3,"small",I3588&lt;=6,"Medium",I3588&lt;=9,"Large")</f>
        <v>Large</v>
      </c>
      <c r="K3588" s="36">
        <v>45041</v>
      </c>
      <c r="L3588" s="36">
        <v>45042</v>
      </c>
      <c r="M3588" t="s">
        <v>598</v>
      </c>
      <c r="N3588" t="s">
        <v>604</v>
      </c>
      <c r="O3588" s="37" t="str">
        <f t="shared" si="283"/>
        <v>Digital Payment</v>
      </c>
      <c r="P3588">
        <v>306.5</v>
      </c>
      <c r="Q3588" s="37" t="str">
        <f>IF(P3588&gt;500,"High","low")</f>
        <v>low</v>
      </c>
      <c r="R3588" s="37" t="str">
        <f t="shared" si="284"/>
        <v>AVERAGE</v>
      </c>
      <c r="S3588" t="s">
        <v>615</v>
      </c>
    </row>
    <row r="3589" spans="1:19" x14ac:dyDescent="0.2">
      <c r="A3589" t="s">
        <v>4200</v>
      </c>
      <c r="B3589" t="s">
        <v>67</v>
      </c>
      <c r="C3589" t="s">
        <v>597</v>
      </c>
      <c r="D3589">
        <v>4408.28</v>
      </c>
      <c r="E3589" s="37" t="str">
        <f t="shared" si="280"/>
        <v>Excellent Order</v>
      </c>
      <c r="F3589">
        <v>0.14000000000000001</v>
      </c>
      <c r="G3589" s="37" t="str">
        <f t="shared" si="281"/>
        <v>Normal Discount</v>
      </c>
      <c r="H3589" s="37" t="str">
        <f t="shared" si="282"/>
        <v>Low</v>
      </c>
      <c r="I3589">
        <v>9</v>
      </c>
      <c r="J3589" t="str" cm="1">
        <f t="array" ref="J3589">_xlfn.IFS(I3589&lt;=3,"small",I3589&lt;=6,"Medium",I3589&lt;=9,"Large")</f>
        <v>Large</v>
      </c>
      <c r="K3589" s="36">
        <v>45131</v>
      </c>
      <c r="L3589" s="36">
        <v>45135</v>
      </c>
      <c r="M3589" t="s">
        <v>603</v>
      </c>
      <c r="N3589" t="s">
        <v>604</v>
      </c>
      <c r="O3589" s="37" t="str">
        <f t="shared" si="283"/>
        <v>Digital Payment</v>
      </c>
      <c r="P3589">
        <v>1181.22</v>
      </c>
      <c r="Q3589" s="37" t="str">
        <f>IF(P3589&gt;500,"High","low")</f>
        <v>High</v>
      </c>
      <c r="R3589" s="37" t="str">
        <f t="shared" si="284"/>
        <v>Excellent</v>
      </c>
      <c r="S3589" t="s">
        <v>620</v>
      </c>
    </row>
    <row r="3590" spans="1:19" x14ac:dyDescent="0.2">
      <c r="A3590" t="s">
        <v>4201</v>
      </c>
      <c r="B3590" t="s">
        <v>75</v>
      </c>
      <c r="C3590" t="s">
        <v>602</v>
      </c>
      <c r="D3590">
        <v>2290.79</v>
      </c>
      <c r="E3590" s="37" t="str">
        <f t="shared" si="280"/>
        <v xml:space="preserve"> </v>
      </c>
      <c r="F3590">
        <v>0.14000000000000001</v>
      </c>
      <c r="G3590" s="37" t="str">
        <f t="shared" si="281"/>
        <v>Normal Discount</v>
      </c>
      <c r="H3590" s="37" t="str">
        <f t="shared" si="282"/>
        <v>Low</v>
      </c>
      <c r="I3590">
        <v>4</v>
      </c>
      <c r="J3590" t="str" cm="1">
        <f t="array" ref="J3590">_xlfn.IFS(I3590&lt;=3,"small",I3590&lt;=6,"Medium",I3590&lt;=9,"Large")</f>
        <v>Medium</v>
      </c>
      <c r="K3590" s="36">
        <v>45367</v>
      </c>
      <c r="L3590" s="36">
        <v>45369</v>
      </c>
      <c r="M3590" t="s">
        <v>603</v>
      </c>
      <c r="N3590" t="s">
        <v>604</v>
      </c>
      <c r="O3590" s="37" t="str">
        <f t="shared" si="283"/>
        <v>Digital Payment</v>
      </c>
      <c r="P3590">
        <v>545.65</v>
      </c>
      <c r="Q3590" s="37" t="str">
        <f>IF(P3590&gt;500,"High","low")</f>
        <v>High</v>
      </c>
      <c r="R3590" s="37" t="str">
        <f t="shared" si="284"/>
        <v>Good</v>
      </c>
      <c r="S3590" t="s">
        <v>628</v>
      </c>
    </row>
    <row r="3591" spans="1:19" x14ac:dyDescent="0.2">
      <c r="A3591" t="s">
        <v>4202</v>
      </c>
      <c r="B3591" t="s">
        <v>67</v>
      </c>
      <c r="C3591" t="s">
        <v>617</v>
      </c>
      <c r="D3591">
        <v>4678.5600000000004</v>
      </c>
      <c r="E3591" s="37" t="str">
        <f t="shared" si="280"/>
        <v>Excellent Order</v>
      </c>
      <c r="F3591">
        <v>0.03</v>
      </c>
      <c r="G3591" s="37" t="str">
        <f t="shared" si="281"/>
        <v>Normal Discount</v>
      </c>
      <c r="H3591" s="37" t="str">
        <f t="shared" si="282"/>
        <v>Low</v>
      </c>
      <c r="I3591">
        <v>8</v>
      </c>
      <c r="J3591" t="str" cm="1">
        <f t="array" ref="J3591">_xlfn.IFS(I3591&lt;=3,"small",I3591&lt;=6,"Medium",I3591&lt;=9,"Large")</f>
        <v>Large</v>
      </c>
      <c r="K3591" s="36">
        <v>45638</v>
      </c>
      <c r="L3591" s="36">
        <v>45641</v>
      </c>
      <c r="M3591" t="s">
        <v>603</v>
      </c>
      <c r="N3591" t="s">
        <v>599</v>
      </c>
      <c r="O3591" s="37" t="str">
        <f t="shared" si="283"/>
        <v>Digital Payment</v>
      </c>
      <c r="P3591">
        <v>824.02</v>
      </c>
      <c r="Q3591" s="37" t="str">
        <f>IF(P3591&gt;500,"High","low")</f>
        <v>High</v>
      </c>
      <c r="R3591" s="37" t="str">
        <f t="shared" si="284"/>
        <v>Good</v>
      </c>
      <c r="S3591" t="s">
        <v>615</v>
      </c>
    </row>
    <row r="3592" spans="1:19" x14ac:dyDescent="0.2">
      <c r="A3592" t="s">
        <v>4203</v>
      </c>
      <c r="B3592" t="s">
        <v>75</v>
      </c>
      <c r="C3592" t="s">
        <v>614</v>
      </c>
      <c r="D3592">
        <v>2099.65</v>
      </c>
      <c r="E3592" s="37" t="str">
        <f t="shared" si="280"/>
        <v xml:space="preserve"> </v>
      </c>
      <c r="F3592">
        <v>0.06</v>
      </c>
      <c r="G3592" s="37" t="str">
        <f t="shared" si="281"/>
        <v>Normal Discount</v>
      </c>
      <c r="H3592" s="37" t="str">
        <f t="shared" si="282"/>
        <v>Low</v>
      </c>
      <c r="I3592">
        <v>5</v>
      </c>
      <c r="J3592" t="str" cm="1">
        <f t="array" ref="J3592">_xlfn.IFS(I3592&lt;=3,"small",I3592&lt;=6,"Medium",I3592&lt;=9,"Large")</f>
        <v>Medium</v>
      </c>
      <c r="K3592" s="36">
        <v>45301</v>
      </c>
      <c r="L3592" s="36">
        <v>45305</v>
      </c>
      <c r="M3592" t="s">
        <v>598</v>
      </c>
      <c r="N3592" t="s">
        <v>599</v>
      </c>
      <c r="O3592" s="37" t="str">
        <f t="shared" si="283"/>
        <v>Digital Payment</v>
      </c>
      <c r="P3592">
        <v>387.63</v>
      </c>
      <c r="Q3592" s="37" t="str">
        <f>IF(P3592&gt;500,"High","low")</f>
        <v>low</v>
      </c>
      <c r="R3592" s="37" t="str">
        <f t="shared" si="284"/>
        <v>AVERAGE</v>
      </c>
      <c r="S3592" t="s">
        <v>600</v>
      </c>
    </row>
    <row r="3593" spans="1:19" x14ac:dyDescent="0.2">
      <c r="A3593" t="s">
        <v>4204</v>
      </c>
      <c r="B3593" t="s">
        <v>90</v>
      </c>
      <c r="C3593" t="s">
        <v>614</v>
      </c>
      <c r="D3593">
        <v>970.65</v>
      </c>
      <c r="E3593" s="37" t="str">
        <f t="shared" si="280"/>
        <v xml:space="preserve"> </v>
      </c>
      <c r="F3593">
        <v>0.26</v>
      </c>
      <c r="G3593" s="37" t="str">
        <f t="shared" si="281"/>
        <v>Normal Discount</v>
      </c>
      <c r="H3593" s="37" t="str">
        <f t="shared" si="282"/>
        <v>Medium</v>
      </c>
      <c r="I3593">
        <v>3</v>
      </c>
      <c r="J3593" t="str" cm="1">
        <f t="array" ref="J3593">_xlfn.IFS(I3593&lt;=3,"small",I3593&lt;=6,"Medium",I3593&lt;=9,"Large")</f>
        <v>small</v>
      </c>
      <c r="K3593" s="36">
        <v>45244</v>
      </c>
      <c r="L3593" s="36">
        <v>45250</v>
      </c>
      <c r="M3593" t="s">
        <v>612</v>
      </c>
      <c r="N3593" t="s">
        <v>604</v>
      </c>
      <c r="O3593" s="37" t="str">
        <f t="shared" si="283"/>
        <v>Digital Payment</v>
      </c>
      <c r="P3593">
        <v>275.25</v>
      </c>
      <c r="Q3593" s="37" t="str">
        <f>IF(P3593&gt;500,"High","low")</f>
        <v>low</v>
      </c>
      <c r="R3593" s="37" t="str">
        <f t="shared" si="284"/>
        <v>AVERAGE</v>
      </c>
      <c r="S3593" t="s">
        <v>620</v>
      </c>
    </row>
    <row r="3594" spans="1:19" x14ac:dyDescent="0.2">
      <c r="A3594" t="s">
        <v>4205</v>
      </c>
      <c r="B3594" t="s">
        <v>90</v>
      </c>
      <c r="C3594" t="s">
        <v>607</v>
      </c>
      <c r="D3594">
        <v>2790.25</v>
      </c>
      <c r="E3594" s="37" t="str">
        <f t="shared" si="280"/>
        <v xml:space="preserve"> </v>
      </c>
      <c r="F3594">
        <v>0.28999999999999998</v>
      </c>
      <c r="G3594" s="37" t="str">
        <f t="shared" si="281"/>
        <v>Normal Discount</v>
      </c>
      <c r="H3594" s="37" t="str">
        <f t="shared" si="282"/>
        <v>Medium</v>
      </c>
      <c r="I3594">
        <v>6</v>
      </c>
      <c r="J3594" t="str" cm="1">
        <f t="array" ref="J3594">_xlfn.IFS(I3594&lt;=3,"small",I3594&lt;=6,"Medium",I3594&lt;=9,"Large")</f>
        <v>Medium</v>
      </c>
      <c r="K3594" s="36">
        <v>45314</v>
      </c>
      <c r="L3594" s="36">
        <v>45320</v>
      </c>
      <c r="M3594" t="s">
        <v>598</v>
      </c>
      <c r="N3594" t="s">
        <v>604</v>
      </c>
      <c r="O3594" s="37" t="str">
        <f t="shared" si="283"/>
        <v>Digital Payment</v>
      </c>
      <c r="P3594">
        <v>300.44</v>
      </c>
      <c r="Q3594" s="37" t="str">
        <f>IF(P3594&gt;500,"High","low")</f>
        <v>low</v>
      </c>
      <c r="R3594" s="37" t="str">
        <f t="shared" si="284"/>
        <v>AVERAGE</v>
      </c>
      <c r="S3594" t="s">
        <v>605</v>
      </c>
    </row>
    <row r="3595" spans="1:19" x14ac:dyDescent="0.2">
      <c r="A3595" t="s">
        <v>4206</v>
      </c>
      <c r="B3595" t="s">
        <v>75</v>
      </c>
      <c r="C3595" t="s">
        <v>614</v>
      </c>
      <c r="D3595">
        <v>2979.76</v>
      </c>
      <c r="E3595" s="37" t="str">
        <f t="shared" si="280"/>
        <v xml:space="preserve"> </v>
      </c>
      <c r="F3595">
        <v>0.41</v>
      </c>
      <c r="G3595" s="37" t="str">
        <f t="shared" si="281"/>
        <v>Heavy Discount</v>
      </c>
      <c r="H3595" s="37" t="str">
        <f t="shared" si="282"/>
        <v>High</v>
      </c>
      <c r="I3595">
        <v>4</v>
      </c>
      <c r="J3595" t="str" cm="1">
        <f t="array" ref="J3595">_xlfn.IFS(I3595&lt;=3,"small",I3595&lt;=6,"Medium",I3595&lt;=9,"Large")</f>
        <v>Medium</v>
      </c>
      <c r="K3595" s="36">
        <v>45228</v>
      </c>
      <c r="L3595" s="36">
        <v>45230</v>
      </c>
      <c r="M3595" t="s">
        <v>612</v>
      </c>
      <c r="N3595" t="s">
        <v>604</v>
      </c>
      <c r="O3595" s="37" t="str">
        <f t="shared" si="283"/>
        <v>Digital Payment</v>
      </c>
      <c r="P3595">
        <v>732.86</v>
      </c>
      <c r="Q3595" s="37" t="str">
        <f>IF(P3595&gt;500,"High","low")</f>
        <v>High</v>
      </c>
      <c r="R3595" s="37" t="str">
        <f t="shared" si="284"/>
        <v>Good</v>
      </c>
      <c r="S3595" t="s">
        <v>628</v>
      </c>
    </row>
    <row r="3596" spans="1:19" x14ac:dyDescent="0.2">
      <c r="A3596" t="s">
        <v>4207</v>
      </c>
      <c r="B3596" t="s">
        <v>75</v>
      </c>
      <c r="C3596" t="s">
        <v>617</v>
      </c>
      <c r="D3596">
        <v>3213.9</v>
      </c>
      <c r="E3596" s="37" t="str">
        <f t="shared" si="280"/>
        <v xml:space="preserve"> </v>
      </c>
      <c r="F3596">
        <v>0.03</v>
      </c>
      <c r="G3596" s="37" t="str">
        <f t="shared" si="281"/>
        <v>Normal Discount</v>
      </c>
      <c r="H3596" s="37" t="str">
        <f t="shared" si="282"/>
        <v>Low</v>
      </c>
      <c r="I3596">
        <v>3</v>
      </c>
      <c r="J3596" t="str" cm="1">
        <f t="array" ref="J3596">_xlfn.IFS(I3596&lt;=3,"small",I3596&lt;=6,"Medium",I3596&lt;=9,"Large")</f>
        <v>small</v>
      </c>
      <c r="K3596" s="36">
        <v>45611</v>
      </c>
      <c r="L3596" s="36">
        <v>45615</v>
      </c>
      <c r="M3596" t="s">
        <v>612</v>
      </c>
      <c r="N3596" t="s">
        <v>599</v>
      </c>
      <c r="O3596" s="37" t="str">
        <f t="shared" si="283"/>
        <v>Digital Payment</v>
      </c>
      <c r="P3596">
        <v>399.66</v>
      </c>
      <c r="Q3596" s="37" t="str">
        <f>IF(P3596&gt;500,"High","low")</f>
        <v>low</v>
      </c>
      <c r="R3596" s="37" t="str">
        <f t="shared" si="284"/>
        <v>AVERAGE</v>
      </c>
      <c r="S3596" t="s">
        <v>615</v>
      </c>
    </row>
    <row r="3597" spans="1:19" x14ac:dyDescent="0.2">
      <c r="A3597" t="s">
        <v>4208</v>
      </c>
      <c r="B3597" t="s">
        <v>90</v>
      </c>
      <c r="C3597" t="s">
        <v>602</v>
      </c>
      <c r="D3597">
        <v>2116.33</v>
      </c>
      <c r="E3597" s="37" t="str">
        <f t="shared" si="280"/>
        <v xml:space="preserve"> </v>
      </c>
      <c r="F3597">
        <v>0.18</v>
      </c>
      <c r="G3597" s="37" t="str">
        <f t="shared" si="281"/>
        <v>Normal Discount</v>
      </c>
      <c r="H3597" s="37" t="str">
        <f t="shared" si="282"/>
        <v>Low</v>
      </c>
      <c r="I3597">
        <v>4</v>
      </c>
      <c r="J3597" t="str" cm="1">
        <f t="array" ref="J3597">_xlfn.IFS(I3597&lt;=3,"small",I3597&lt;=6,"Medium",I3597&lt;=9,"Large")</f>
        <v>Medium</v>
      </c>
      <c r="K3597" s="36">
        <v>45005</v>
      </c>
      <c r="L3597" s="36">
        <v>45010</v>
      </c>
      <c r="M3597" t="s">
        <v>603</v>
      </c>
      <c r="N3597" t="s">
        <v>604</v>
      </c>
      <c r="O3597" s="37" t="str">
        <f t="shared" si="283"/>
        <v>Digital Payment</v>
      </c>
      <c r="P3597">
        <v>136.68</v>
      </c>
      <c r="Q3597" s="37" t="str">
        <f>IF(P3597&gt;500,"High","low")</f>
        <v>low</v>
      </c>
      <c r="R3597" s="37" t="str">
        <f t="shared" si="284"/>
        <v>AVERAGE</v>
      </c>
      <c r="S3597" t="s">
        <v>628</v>
      </c>
    </row>
    <row r="3598" spans="1:19" x14ac:dyDescent="0.2">
      <c r="A3598" t="s">
        <v>4209</v>
      </c>
      <c r="B3598" t="s">
        <v>67</v>
      </c>
      <c r="C3598" t="s">
        <v>602</v>
      </c>
      <c r="D3598">
        <v>338.15</v>
      </c>
      <c r="E3598" s="37" t="str">
        <f t="shared" si="280"/>
        <v xml:space="preserve"> </v>
      </c>
      <c r="F3598">
        <v>0.1</v>
      </c>
      <c r="G3598" s="37" t="str">
        <f t="shared" si="281"/>
        <v>Normal Discount</v>
      </c>
      <c r="H3598" s="37" t="str">
        <f t="shared" si="282"/>
        <v>Low</v>
      </c>
      <c r="I3598">
        <v>1</v>
      </c>
      <c r="J3598" t="str" cm="1">
        <f t="array" ref="J3598">_xlfn.IFS(I3598&lt;=3,"small",I3598&lt;=6,"Medium",I3598&lt;=9,"Large")</f>
        <v>small</v>
      </c>
      <c r="K3598" s="36">
        <v>45408</v>
      </c>
      <c r="L3598" s="36">
        <v>45414</v>
      </c>
      <c r="M3598" t="s">
        <v>603</v>
      </c>
      <c r="N3598" t="s">
        <v>604</v>
      </c>
      <c r="O3598" s="37" t="str">
        <f t="shared" si="283"/>
        <v>Digital Payment</v>
      </c>
      <c r="P3598">
        <v>50.29</v>
      </c>
      <c r="Q3598" s="37" t="str">
        <f>IF(P3598&gt;500,"High","low")</f>
        <v>low</v>
      </c>
      <c r="R3598" s="37" t="str">
        <f t="shared" si="284"/>
        <v>AVERAGE</v>
      </c>
      <c r="S3598" t="s">
        <v>615</v>
      </c>
    </row>
    <row r="3599" spans="1:19" x14ac:dyDescent="0.2">
      <c r="A3599" t="s">
        <v>4210</v>
      </c>
      <c r="B3599" t="s">
        <v>90</v>
      </c>
      <c r="C3599" t="s">
        <v>597</v>
      </c>
      <c r="D3599">
        <v>3170.93</v>
      </c>
      <c r="E3599" s="37" t="str">
        <f t="shared" si="280"/>
        <v xml:space="preserve"> </v>
      </c>
      <c r="F3599">
        <v>0.18</v>
      </c>
      <c r="G3599" s="37" t="str">
        <f t="shared" si="281"/>
        <v>Normal Discount</v>
      </c>
      <c r="H3599" s="37" t="str">
        <f t="shared" si="282"/>
        <v>Low</v>
      </c>
      <c r="I3599">
        <v>8</v>
      </c>
      <c r="J3599" t="str" cm="1">
        <f t="array" ref="J3599">_xlfn.IFS(I3599&lt;=3,"small",I3599&lt;=6,"Medium",I3599&lt;=9,"Large")</f>
        <v>Large</v>
      </c>
      <c r="K3599" s="36">
        <v>45588</v>
      </c>
      <c r="L3599" s="36">
        <v>45595</v>
      </c>
      <c r="M3599" t="s">
        <v>612</v>
      </c>
      <c r="N3599" t="s">
        <v>599</v>
      </c>
      <c r="O3599" s="37" t="str">
        <f t="shared" si="283"/>
        <v>Digital Payment</v>
      </c>
      <c r="P3599">
        <v>572.66999999999996</v>
      </c>
      <c r="Q3599" s="37" t="str">
        <f>IF(P3599&gt;500,"High","low")</f>
        <v>High</v>
      </c>
      <c r="R3599" s="37" t="str">
        <f t="shared" si="284"/>
        <v>Good</v>
      </c>
      <c r="S3599" t="s">
        <v>600</v>
      </c>
    </row>
    <row r="3600" spans="1:19" x14ac:dyDescent="0.2">
      <c r="A3600" t="s">
        <v>4211</v>
      </c>
      <c r="B3600" t="s">
        <v>67</v>
      </c>
      <c r="C3600" t="s">
        <v>602</v>
      </c>
      <c r="D3600">
        <v>4671.8500000000004</v>
      </c>
      <c r="E3600" s="37" t="str">
        <f t="shared" si="280"/>
        <v xml:space="preserve"> </v>
      </c>
      <c r="F3600">
        <v>0.18</v>
      </c>
      <c r="G3600" s="37" t="str">
        <f t="shared" si="281"/>
        <v>Normal Discount</v>
      </c>
      <c r="H3600" s="37" t="str">
        <f t="shared" si="282"/>
        <v>Low</v>
      </c>
      <c r="I3600">
        <v>9</v>
      </c>
      <c r="J3600" t="str" cm="1">
        <f t="array" ref="J3600">_xlfn.IFS(I3600&lt;=3,"small",I3600&lt;=6,"Medium",I3600&lt;=9,"Large")</f>
        <v>Large</v>
      </c>
      <c r="K3600" s="36">
        <v>45119</v>
      </c>
      <c r="L3600" s="36">
        <v>45122</v>
      </c>
      <c r="M3600" t="s">
        <v>612</v>
      </c>
      <c r="N3600" t="s">
        <v>599</v>
      </c>
      <c r="O3600" s="37" t="str">
        <f t="shared" si="283"/>
        <v>Digital Payment</v>
      </c>
      <c r="P3600">
        <v>387.61</v>
      </c>
      <c r="Q3600" s="37" t="str">
        <f>IF(P3600&gt;500,"High","low")</f>
        <v>low</v>
      </c>
      <c r="R3600" s="37" t="str">
        <f t="shared" si="284"/>
        <v>AVERAGE</v>
      </c>
      <c r="S3600" t="s">
        <v>609</v>
      </c>
    </row>
    <row r="3601" spans="1:19" x14ac:dyDescent="0.2">
      <c r="A3601" t="s">
        <v>4212</v>
      </c>
      <c r="B3601" t="s">
        <v>75</v>
      </c>
      <c r="C3601" t="s">
        <v>607</v>
      </c>
      <c r="D3601">
        <v>4792.04</v>
      </c>
      <c r="E3601" s="37" t="str">
        <f t="shared" si="280"/>
        <v>Excellent Order</v>
      </c>
      <c r="F3601">
        <v>0.18</v>
      </c>
      <c r="G3601" s="37" t="str">
        <f t="shared" si="281"/>
        <v>Normal Discount</v>
      </c>
      <c r="H3601" s="37" t="str">
        <f t="shared" si="282"/>
        <v>Low</v>
      </c>
      <c r="I3601">
        <v>6</v>
      </c>
      <c r="J3601" t="str" cm="1">
        <f t="array" ref="J3601">_xlfn.IFS(I3601&lt;=3,"small",I3601&lt;=6,"Medium",I3601&lt;=9,"Large")</f>
        <v>Medium</v>
      </c>
      <c r="K3601" s="36">
        <v>45188</v>
      </c>
      <c r="L3601" s="36">
        <v>45191</v>
      </c>
      <c r="M3601" t="s">
        <v>603</v>
      </c>
      <c r="N3601" t="s">
        <v>599</v>
      </c>
      <c r="O3601" s="37" t="str">
        <f t="shared" si="283"/>
        <v>Digital Payment</v>
      </c>
      <c r="P3601">
        <v>1134.72</v>
      </c>
      <c r="Q3601" s="37" t="str">
        <f>IF(P3601&gt;500,"High","low")</f>
        <v>High</v>
      </c>
      <c r="R3601" s="37" t="str">
        <f t="shared" si="284"/>
        <v>Excellent</v>
      </c>
      <c r="S3601" t="s">
        <v>628</v>
      </c>
    </row>
    <row r="3602" spans="1:19" x14ac:dyDescent="0.2">
      <c r="A3602" t="s">
        <v>4213</v>
      </c>
      <c r="B3602" t="s">
        <v>75</v>
      </c>
      <c r="C3602" t="s">
        <v>617</v>
      </c>
      <c r="D3602">
        <v>3024.74</v>
      </c>
      <c r="E3602" s="37" t="str">
        <f t="shared" si="280"/>
        <v xml:space="preserve"> </v>
      </c>
      <c r="F3602">
        <v>0.15</v>
      </c>
      <c r="G3602" s="37" t="str">
        <f t="shared" si="281"/>
        <v>Normal Discount</v>
      </c>
      <c r="H3602" s="37" t="str">
        <f t="shared" si="282"/>
        <v>Low</v>
      </c>
      <c r="I3602">
        <v>5</v>
      </c>
      <c r="J3602" t="str" cm="1">
        <f t="array" ref="J3602">_xlfn.IFS(I3602&lt;=3,"small",I3602&lt;=6,"Medium",I3602&lt;=9,"Large")</f>
        <v>Medium</v>
      </c>
      <c r="K3602" s="36">
        <v>45521</v>
      </c>
      <c r="L3602" s="36">
        <v>45523</v>
      </c>
      <c r="M3602" t="s">
        <v>612</v>
      </c>
      <c r="N3602" t="s">
        <v>599</v>
      </c>
      <c r="O3602" s="37" t="str">
        <f t="shared" si="283"/>
        <v>Digital Payment</v>
      </c>
      <c r="P3602">
        <v>712.52</v>
      </c>
      <c r="Q3602" s="37" t="str">
        <f>IF(P3602&gt;500,"High","low")</f>
        <v>High</v>
      </c>
      <c r="R3602" s="37" t="str">
        <f t="shared" si="284"/>
        <v>Good</v>
      </c>
      <c r="S3602" t="s">
        <v>609</v>
      </c>
    </row>
    <row r="3603" spans="1:19" x14ac:dyDescent="0.2">
      <c r="A3603" t="s">
        <v>4214</v>
      </c>
      <c r="B3603" t="s">
        <v>67</v>
      </c>
      <c r="C3603" t="s">
        <v>597</v>
      </c>
      <c r="D3603">
        <v>197.45</v>
      </c>
      <c r="E3603" s="37" t="str">
        <f t="shared" si="280"/>
        <v xml:space="preserve"> </v>
      </c>
      <c r="F3603">
        <v>0.38</v>
      </c>
      <c r="G3603" s="37" t="str">
        <f t="shared" si="281"/>
        <v>Heavy Discount</v>
      </c>
      <c r="H3603" s="37" t="str">
        <f t="shared" si="282"/>
        <v>Medium</v>
      </c>
      <c r="I3603">
        <v>9</v>
      </c>
      <c r="J3603" t="str" cm="1">
        <f t="array" ref="J3603">_xlfn.IFS(I3603&lt;=3,"small",I3603&lt;=6,"Medium",I3603&lt;=9,"Large")</f>
        <v>Large</v>
      </c>
      <c r="K3603" s="36">
        <v>45053</v>
      </c>
      <c r="L3603" s="36">
        <v>45059</v>
      </c>
      <c r="M3603" t="s">
        <v>612</v>
      </c>
      <c r="N3603" t="s">
        <v>608</v>
      </c>
      <c r="O3603" s="37" t="str">
        <f t="shared" si="283"/>
        <v>Cash Payment</v>
      </c>
      <c r="P3603">
        <v>45.94</v>
      </c>
      <c r="Q3603" s="37" t="str">
        <f>IF(P3603&gt;500,"High","low")</f>
        <v>low</v>
      </c>
      <c r="R3603" s="37" t="str">
        <f t="shared" si="284"/>
        <v>AVERAGE</v>
      </c>
      <c r="S3603" t="s">
        <v>609</v>
      </c>
    </row>
    <row r="3604" spans="1:19" x14ac:dyDescent="0.2">
      <c r="A3604" t="s">
        <v>4215</v>
      </c>
      <c r="B3604" t="s">
        <v>75</v>
      </c>
      <c r="C3604" t="s">
        <v>607</v>
      </c>
      <c r="D3604">
        <v>619.59</v>
      </c>
      <c r="E3604" s="37" t="str">
        <f t="shared" si="280"/>
        <v xml:space="preserve"> </v>
      </c>
      <c r="F3604">
        <v>0.34</v>
      </c>
      <c r="G3604" s="37" t="str">
        <f t="shared" si="281"/>
        <v>Heavy Discount</v>
      </c>
      <c r="H3604" s="37" t="str">
        <f t="shared" si="282"/>
        <v>Medium</v>
      </c>
      <c r="I3604">
        <v>4</v>
      </c>
      <c r="J3604" t="str" cm="1">
        <f t="array" ref="J3604">_xlfn.IFS(I3604&lt;=3,"small",I3604&lt;=6,"Medium",I3604&lt;=9,"Large")</f>
        <v>Medium</v>
      </c>
      <c r="K3604" s="36">
        <v>45109</v>
      </c>
      <c r="L3604" s="36">
        <v>45115</v>
      </c>
      <c r="M3604" t="s">
        <v>612</v>
      </c>
      <c r="N3604" t="s">
        <v>604</v>
      </c>
      <c r="O3604" s="37" t="str">
        <f t="shared" si="283"/>
        <v>Digital Payment</v>
      </c>
      <c r="P3604">
        <v>80.7</v>
      </c>
      <c r="Q3604" s="37" t="str">
        <f>IF(P3604&gt;500,"High","low")</f>
        <v>low</v>
      </c>
      <c r="R3604" s="37" t="str">
        <f t="shared" si="284"/>
        <v>AVERAGE</v>
      </c>
      <c r="S3604" t="s">
        <v>605</v>
      </c>
    </row>
    <row r="3605" spans="1:19" x14ac:dyDescent="0.2">
      <c r="A3605" t="s">
        <v>4216</v>
      </c>
      <c r="B3605" t="s">
        <v>67</v>
      </c>
      <c r="C3605" t="s">
        <v>607</v>
      </c>
      <c r="D3605">
        <v>4186.55</v>
      </c>
      <c r="E3605" s="37" t="str">
        <f t="shared" si="280"/>
        <v xml:space="preserve"> </v>
      </c>
      <c r="F3605">
        <v>0.17</v>
      </c>
      <c r="G3605" s="37" t="str">
        <f t="shared" si="281"/>
        <v>Normal Discount</v>
      </c>
      <c r="H3605" s="37" t="str">
        <f t="shared" si="282"/>
        <v>Low</v>
      </c>
      <c r="I3605">
        <v>1</v>
      </c>
      <c r="J3605" t="str" cm="1">
        <f t="array" ref="J3605">_xlfn.IFS(I3605&lt;=3,"small",I3605&lt;=6,"Medium",I3605&lt;=9,"Large")</f>
        <v>small</v>
      </c>
      <c r="K3605" s="36">
        <v>45388</v>
      </c>
      <c r="L3605" s="36">
        <v>45395</v>
      </c>
      <c r="M3605" t="s">
        <v>612</v>
      </c>
      <c r="N3605" t="s">
        <v>604</v>
      </c>
      <c r="O3605" s="37" t="str">
        <f t="shared" si="283"/>
        <v>Digital Payment</v>
      </c>
      <c r="P3605">
        <v>730.34</v>
      </c>
      <c r="Q3605" s="37" t="str">
        <f>IF(P3605&gt;500,"High","low")</f>
        <v>High</v>
      </c>
      <c r="R3605" s="37" t="str">
        <f t="shared" si="284"/>
        <v>Good</v>
      </c>
      <c r="S3605" t="s">
        <v>600</v>
      </c>
    </row>
    <row r="3606" spans="1:19" x14ac:dyDescent="0.2">
      <c r="A3606" t="s">
        <v>4217</v>
      </c>
      <c r="B3606" t="s">
        <v>83</v>
      </c>
      <c r="C3606" t="s">
        <v>607</v>
      </c>
      <c r="D3606">
        <v>4165.75</v>
      </c>
      <c r="E3606" s="37" t="str">
        <f t="shared" si="280"/>
        <v xml:space="preserve"> </v>
      </c>
      <c r="F3606">
        <v>7.0000000000000007E-2</v>
      </c>
      <c r="G3606" s="37" t="str">
        <f t="shared" si="281"/>
        <v>Normal Discount</v>
      </c>
      <c r="H3606" s="37" t="str">
        <f t="shared" si="282"/>
        <v>Low</v>
      </c>
      <c r="I3606">
        <v>7</v>
      </c>
      <c r="J3606" t="str" cm="1">
        <f t="array" ref="J3606">_xlfn.IFS(I3606&lt;=3,"small",I3606&lt;=6,"Medium",I3606&lt;=9,"Large")</f>
        <v>Large</v>
      </c>
      <c r="K3606" s="36">
        <v>45600</v>
      </c>
      <c r="L3606" s="36">
        <v>45601</v>
      </c>
      <c r="M3606" t="s">
        <v>612</v>
      </c>
      <c r="N3606" t="s">
        <v>599</v>
      </c>
      <c r="O3606" s="37" t="str">
        <f t="shared" si="283"/>
        <v>Digital Payment</v>
      </c>
      <c r="P3606">
        <v>389.39</v>
      </c>
      <c r="Q3606" s="37" t="str">
        <f>IF(P3606&gt;500,"High","low")</f>
        <v>low</v>
      </c>
      <c r="R3606" s="37" t="str">
        <f t="shared" si="284"/>
        <v>AVERAGE</v>
      </c>
      <c r="S3606" t="s">
        <v>609</v>
      </c>
    </row>
    <row r="3607" spans="1:19" x14ac:dyDescent="0.2">
      <c r="A3607" t="s">
        <v>4218</v>
      </c>
      <c r="B3607" t="s">
        <v>90</v>
      </c>
      <c r="C3607" t="s">
        <v>614</v>
      </c>
      <c r="D3607">
        <v>4735.4799999999996</v>
      </c>
      <c r="E3607" s="37" t="str">
        <f t="shared" si="280"/>
        <v xml:space="preserve"> </v>
      </c>
      <c r="F3607">
        <v>0.26</v>
      </c>
      <c r="G3607" s="37" t="str">
        <f t="shared" si="281"/>
        <v>Normal Discount</v>
      </c>
      <c r="H3607" s="37" t="str">
        <f t="shared" si="282"/>
        <v>Medium</v>
      </c>
      <c r="I3607">
        <v>1</v>
      </c>
      <c r="J3607" t="str" cm="1">
        <f t="array" ref="J3607">_xlfn.IFS(I3607&lt;=3,"small",I3607&lt;=6,"Medium",I3607&lt;=9,"Large")</f>
        <v>small</v>
      </c>
      <c r="K3607" s="36">
        <v>45479</v>
      </c>
      <c r="L3607" s="36">
        <v>45485</v>
      </c>
      <c r="M3607" t="s">
        <v>603</v>
      </c>
      <c r="N3607" t="s">
        <v>604</v>
      </c>
      <c r="O3607" s="37" t="str">
        <f t="shared" si="283"/>
        <v>Digital Payment</v>
      </c>
      <c r="P3607">
        <v>755.28</v>
      </c>
      <c r="Q3607" s="37" t="str">
        <f>IF(P3607&gt;500,"High","low")</f>
        <v>High</v>
      </c>
      <c r="R3607" s="37" t="str">
        <f t="shared" si="284"/>
        <v>Good</v>
      </c>
      <c r="S3607" t="s">
        <v>628</v>
      </c>
    </row>
    <row r="3608" spans="1:19" x14ac:dyDescent="0.2">
      <c r="A3608" t="s">
        <v>4219</v>
      </c>
      <c r="B3608" t="s">
        <v>83</v>
      </c>
      <c r="C3608" t="s">
        <v>607</v>
      </c>
      <c r="D3608">
        <v>2862.49</v>
      </c>
      <c r="E3608" s="37" t="str">
        <f t="shared" si="280"/>
        <v xml:space="preserve"> </v>
      </c>
      <c r="F3608">
        <v>0.46</v>
      </c>
      <c r="G3608" s="37" t="str">
        <f t="shared" si="281"/>
        <v>Heavy Discount</v>
      </c>
      <c r="H3608" s="37" t="str">
        <f t="shared" si="282"/>
        <v>High</v>
      </c>
      <c r="I3608">
        <v>9</v>
      </c>
      <c r="J3608" t="str" cm="1">
        <f t="array" ref="J3608">_xlfn.IFS(I3608&lt;=3,"small",I3608&lt;=6,"Medium",I3608&lt;=9,"Large")</f>
        <v>Large</v>
      </c>
      <c r="K3608" s="36">
        <v>45086</v>
      </c>
      <c r="L3608" s="36">
        <v>45087</v>
      </c>
      <c r="M3608" t="s">
        <v>603</v>
      </c>
      <c r="N3608" t="s">
        <v>608</v>
      </c>
      <c r="O3608" s="37" t="str">
        <f t="shared" si="283"/>
        <v>Cash Payment</v>
      </c>
      <c r="P3608">
        <v>826.76</v>
      </c>
      <c r="Q3608" s="37" t="str">
        <f>IF(P3608&gt;500,"High","low")</f>
        <v>High</v>
      </c>
      <c r="R3608" s="37" t="str">
        <f t="shared" si="284"/>
        <v>Good</v>
      </c>
      <c r="S3608" t="s">
        <v>605</v>
      </c>
    </row>
    <row r="3609" spans="1:19" x14ac:dyDescent="0.2">
      <c r="A3609" t="s">
        <v>4220</v>
      </c>
      <c r="B3609" t="s">
        <v>67</v>
      </c>
      <c r="C3609" t="s">
        <v>614</v>
      </c>
      <c r="D3609">
        <v>4332.7</v>
      </c>
      <c r="E3609" s="37" t="str">
        <f t="shared" si="280"/>
        <v xml:space="preserve"> </v>
      </c>
      <c r="F3609">
        <v>0.06</v>
      </c>
      <c r="G3609" s="37" t="str">
        <f t="shared" si="281"/>
        <v>Normal Discount</v>
      </c>
      <c r="H3609" s="37" t="str">
        <f t="shared" si="282"/>
        <v>Low</v>
      </c>
      <c r="I3609">
        <v>4</v>
      </c>
      <c r="J3609" t="str" cm="1">
        <f t="array" ref="J3609">_xlfn.IFS(I3609&lt;=3,"small",I3609&lt;=6,"Medium",I3609&lt;=9,"Large")</f>
        <v>Medium</v>
      </c>
      <c r="K3609" s="36">
        <v>45377</v>
      </c>
      <c r="L3609" s="36">
        <v>45379</v>
      </c>
      <c r="M3609" t="s">
        <v>598</v>
      </c>
      <c r="N3609" t="s">
        <v>604</v>
      </c>
      <c r="O3609" s="37" t="str">
        <f t="shared" si="283"/>
        <v>Digital Payment</v>
      </c>
      <c r="P3609">
        <v>544.29</v>
      </c>
      <c r="Q3609" s="37" t="str">
        <f>IF(P3609&gt;500,"High","low")</f>
        <v>High</v>
      </c>
      <c r="R3609" s="37" t="str">
        <f t="shared" si="284"/>
        <v>Good</v>
      </c>
      <c r="S3609" t="s">
        <v>620</v>
      </c>
    </row>
    <row r="3610" spans="1:19" x14ac:dyDescent="0.2">
      <c r="A3610" t="s">
        <v>4221</v>
      </c>
      <c r="B3610" t="s">
        <v>90</v>
      </c>
      <c r="C3610" t="s">
        <v>602</v>
      </c>
      <c r="D3610">
        <v>4141.95</v>
      </c>
      <c r="E3610" s="37" t="str">
        <f t="shared" si="280"/>
        <v xml:space="preserve"> </v>
      </c>
      <c r="F3610">
        <v>0.38</v>
      </c>
      <c r="G3610" s="37" t="str">
        <f t="shared" si="281"/>
        <v>Heavy Discount</v>
      </c>
      <c r="H3610" s="37" t="str">
        <f t="shared" si="282"/>
        <v>Medium</v>
      </c>
      <c r="I3610">
        <v>3</v>
      </c>
      <c r="J3610" t="str" cm="1">
        <f t="array" ref="J3610">_xlfn.IFS(I3610&lt;=3,"small",I3610&lt;=6,"Medium",I3610&lt;=9,"Large")</f>
        <v>small</v>
      </c>
      <c r="K3610" s="36">
        <v>45489</v>
      </c>
      <c r="L3610" s="36">
        <v>45493</v>
      </c>
      <c r="M3610" t="s">
        <v>612</v>
      </c>
      <c r="N3610" t="s">
        <v>599</v>
      </c>
      <c r="O3610" s="37" t="str">
        <f t="shared" si="283"/>
        <v>Digital Payment</v>
      </c>
      <c r="P3610">
        <v>257.76</v>
      </c>
      <c r="Q3610" s="37" t="str">
        <f>IF(P3610&gt;500,"High","low")</f>
        <v>low</v>
      </c>
      <c r="R3610" s="37" t="str">
        <f t="shared" si="284"/>
        <v>AVERAGE</v>
      </c>
      <c r="S3610" t="s">
        <v>628</v>
      </c>
    </row>
    <row r="3611" spans="1:19" x14ac:dyDescent="0.2">
      <c r="A3611" t="s">
        <v>4222</v>
      </c>
      <c r="B3611" t="s">
        <v>67</v>
      </c>
      <c r="C3611" t="s">
        <v>614</v>
      </c>
      <c r="D3611">
        <v>2988.16</v>
      </c>
      <c r="E3611" s="37" t="str">
        <f t="shared" si="280"/>
        <v xml:space="preserve"> </v>
      </c>
      <c r="F3611">
        <v>0.3</v>
      </c>
      <c r="G3611" s="37" t="str">
        <f t="shared" si="281"/>
        <v>Normal Discount</v>
      </c>
      <c r="H3611" s="37" t="str">
        <f t="shared" si="282"/>
        <v>Medium</v>
      </c>
      <c r="I3611">
        <v>4</v>
      </c>
      <c r="J3611" t="str" cm="1">
        <f t="array" ref="J3611">_xlfn.IFS(I3611&lt;=3,"small",I3611&lt;=6,"Medium",I3611&lt;=9,"Large")</f>
        <v>Medium</v>
      </c>
      <c r="K3611" s="36">
        <v>45036</v>
      </c>
      <c r="L3611" s="36">
        <v>45037</v>
      </c>
      <c r="M3611" t="s">
        <v>598</v>
      </c>
      <c r="N3611" t="s">
        <v>608</v>
      </c>
      <c r="O3611" s="37" t="str">
        <f t="shared" si="283"/>
        <v>Cash Payment</v>
      </c>
      <c r="P3611">
        <v>382.77</v>
      </c>
      <c r="Q3611" s="37" t="str">
        <f>IF(P3611&gt;500,"High","low")</f>
        <v>low</v>
      </c>
      <c r="R3611" s="37" t="str">
        <f t="shared" si="284"/>
        <v>AVERAGE</v>
      </c>
      <c r="S3611" t="s">
        <v>615</v>
      </c>
    </row>
    <row r="3612" spans="1:19" x14ac:dyDescent="0.2">
      <c r="A3612" t="s">
        <v>4223</v>
      </c>
      <c r="B3612" t="s">
        <v>90</v>
      </c>
      <c r="C3612" t="s">
        <v>607</v>
      </c>
      <c r="D3612">
        <v>3939.82</v>
      </c>
      <c r="E3612" s="37" t="str">
        <f t="shared" si="280"/>
        <v xml:space="preserve"> </v>
      </c>
      <c r="F3612">
        <v>0.28999999999999998</v>
      </c>
      <c r="G3612" s="37" t="str">
        <f t="shared" si="281"/>
        <v>Normal Discount</v>
      </c>
      <c r="H3612" s="37" t="str">
        <f t="shared" si="282"/>
        <v>Medium</v>
      </c>
      <c r="I3612">
        <v>1</v>
      </c>
      <c r="J3612" t="str" cm="1">
        <f t="array" ref="J3612">_xlfn.IFS(I3612&lt;=3,"small",I3612&lt;=6,"Medium",I3612&lt;=9,"Large")</f>
        <v>small</v>
      </c>
      <c r="K3612" s="36">
        <v>45006</v>
      </c>
      <c r="L3612" s="36">
        <v>45013</v>
      </c>
      <c r="M3612" t="s">
        <v>598</v>
      </c>
      <c r="N3612" t="s">
        <v>599</v>
      </c>
      <c r="O3612" s="37" t="str">
        <f t="shared" si="283"/>
        <v>Digital Payment</v>
      </c>
      <c r="P3612">
        <v>1019.54</v>
      </c>
      <c r="Q3612" s="37" t="str">
        <f>IF(P3612&gt;500,"High","low")</f>
        <v>High</v>
      </c>
      <c r="R3612" s="37" t="str">
        <f t="shared" si="284"/>
        <v>Excellent</v>
      </c>
      <c r="S3612" t="s">
        <v>615</v>
      </c>
    </row>
    <row r="3613" spans="1:19" x14ac:dyDescent="0.2">
      <c r="A3613" t="s">
        <v>4224</v>
      </c>
      <c r="B3613" t="s">
        <v>90</v>
      </c>
      <c r="C3613" t="s">
        <v>617</v>
      </c>
      <c r="D3613">
        <v>715.98</v>
      </c>
      <c r="E3613" s="37" t="str">
        <f t="shared" si="280"/>
        <v xml:space="preserve"> </v>
      </c>
      <c r="F3613">
        <v>0.47</v>
      </c>
      <c r="G3613" s="37" t="str">
        <f t="shared" si="281"/>
        <v>Heavy Discount</v>
      </c>
      <c r="H3613" s="37" t="str">
        <f t="shared" si="282"/>
        <v>High</v>
      </c>
      <c r="I3613">
        <v>6</v>
      </c>
      <c r="J3613" t="str" cm="1">
        <f t="array" ref="J3613">_xlfn.IFS(I3613&lt;=3,"small",I3613&lt;=6,"Medium",I3613&lt;=9,"Large")</f>
        <v>Medium</v>
      </c>
      <c r="K3613" s="36">
        <v>45349</v>
      </c>
      <c r="L3613" s="36">
        <v>45352</v>
      </c>
      <c r="M3613" t="s">
        <v>603</v>
      </c>
      <c r="N3613" t="s">
        <v>599</v>
      </c>
      <c r="O3613" s="37" t="str">
        <f t="shared" si="283"/>
        <v>Digital Payment</v>
      </c>
      <c r="P3613">
        <v>198.11</v>
      </c>
      <c r="Q3613" s="37" t="str">
        <f>IF(P3613&gt;500,"High","low")</f>
        <v>low</v>
      </c>
      <c r="R3613" s="37" t="str">
        <f t="shared" si="284"/>
        <v>AVERAGE</v>
      </c>
      <c r="S3613" t="s">
        <v>615</v>
      </c>
    </row>
    <row r="3614" spans="1:19" x14ac:dyDescent="0.2">
      <c r="A3614" t="s">
        <v>4225</v>
      </c>
      <c r="B3614" t="s">
        <v>90</v>
      </c>
      <c r="C3614" t="s">
        <v>617</v>
      </c>
      <c r="D3614">
        <v>3232.09</v>
      </c>
      <c r="E3614" s="37" t="str">
        <f t="shared" si="280"/>
        <v xml:space="preserve"> </v>
      </c>
      <c r="F3614">
        <v>0.48</v>
      </c>
      <c r="G3614" s="37" t="str">
        <f t="shared" si="281"/>
        <v>Heavy Discount</v>
      </c>
      <c r="H3614" s="37" t="str">
        <f t="shared" si="282"/>
        <v>High</v>
      </c>
      <c r="I3614">
        <v>7</v>
      </c>
      <c r="J3614" t="str" cm="1">
        <f t="array" ref="J3614">_xlfn.IFS(I3614&lt;=3,"small",I3614&lt;=6,"Medium",I3614&lt;=9,"Large")</f>
        <v>Large</v>
      </c>
      <c r="K3614" s="36">
        <v>45151</v>
      </c>
      <c r="L3614" s="36">
        <v>45153</v>
      </c>
      <c r="M3614" t="s">
        <v>612</v>
      </c>
      <c r="N3614" t="s">
        <v>608</v>
      </c>
      <c r="O3614" s="37" t="str">
        <f t="shared" si="283"/>
        <v>Cash Payment</v>
      </c>
      <c r="P3614">
        <v>169.31</v>
      </c>
      <c r="Q3614" s="37" t="str">
        <f>IF(P3614&gt;500,"High","low")</f>
        <v>low</v>
      </c>
      <c r="R3614" s="37" t="str">
        <f t="shared" si="284"/>
        <v>AVERAGE</v>
      </c>
      <c r="S3614" t="s">
        <v>605</v>
      </c>
    </row>
    <row r="3615" spans="1:19" x14ac:dyDescent="0.2">
      <c r="A3615" t="s">
        <v>4226</v>
      </c>
      <c r="B3615" t="s">
        <v>90</v>
      </c>
      <c r="C3615" t="s">
        <v>602</v>
      </c>
      <c r="D3615">
        <v>4771.91</v>
      </c>
      <c r="E3615" s="37" t="str">
        <f t="shared" si="280"/>
        <v>Excellent Order</v>
      </c>
      <c r="F3615">
        <v>0.12</v>
      </c>
      <c r="G3615" s="37" t="str">
        <f t="shared" si="281"/>
        <v>Normal Discount</v>
      </c>
      <c r="H3615" s="37" t="str">
        <f t="shared" si="282"/>
        <v>Low</v>
      </c>
      <c r="I3615">
        <v>7</v>
      </c>
      <c r="J3615" t="str" cm="1">
        <f t="array" ref="J3615">_xlfn.IFS(I3615&lt;=3,"small",I3615&lt;=6,"Medium",I3615&lt;=9,"Large")</f>
        <v>Large</v>
      </c>
      <c r="K3615" s="36">
        <v>45443</v>
      </c>
      <c r="L3615" s="36">
        <v>45445</v>
      </c>
      <c r="M3615" t="s">
        <v>598</v>
      </c>
      <c r="N3615" t="s">
        <v>608</v>
      </c>
      <c r="O3615" s="37" t="str">
        <f t="shared" si="283"/>
        <v>Cash Payment</v>
      </c>
      <c r="P3615">
        <v>811.59</v>
      </c>
      <c r="Q3615" s="37" t="str">
        <f>IF(P3615&gt;500,"High","low")</f>
        <v>High</v>
      </c>
      <c r="R3615" s="37" t="str">
        <f t="shared" si="284"/>
        <v>Good</v>
      </c>
      <c r="S3615" t="s">
        <v>628</v>
      </c>
    </row>
    <row r="3616" spans="1:19" x14ac:dyDescent="0.2">
      <c r="A3616" t="s">
        <v>4227</v>
      </c>
      <c r="B3616" t="s">
        <v>67</v>
      </c>
      <c r="C3616" t="s">
        <v>607</v>
      </c>
      <c r="D3616">
        <v>893.59</v>
      </c>
      <c r="E3616" s="37" t="str">
        <f t="shared" si="280"/>
        <v xml:space="preserve"> </v>
      </c>
      <c r="F3616">
        <v>0.4</v>
      </c>
      <c r="G3616" s="37" t="str">
        <f t="shared" si="281"/>
        <v>Heavy Discount</v>
      </c>
      <c r="H3616" s="37" t="str">
        <f t="shared" si="282"/>
        <v>Medium</v>
      </c>
      <c r="I3616">
        <v>5</v>
      </c>
      <c r="J3616" t="str" cm="1">
        <f t="array" ref="J3616">_xlfn.IFS(I3616&lt;=3,"small",I3616&lt;=6,"Medium",I3616&lt;=9,"Large")</f>
        <v>Medium</v>
      </c>
      <c r="K3616" s="36">
        <v>45153</v>
      </c>
      <c r="L3616" s="36">
        <v>45156</v>
      </c>
      <c r="M3616" t="s">
        <v>598</v>
      </c>
      <c r="N3616" t="s">
        <v>604</v>
      </c>
      <c r="O3616" s="37" t="str">
        <f t="shared" si="283"/>
        <v>Digital Payment</v>
      </c>
      <c r="P3616">
        <v>256.49</v>
      </c>
      <c r="Q3616" s="37" t="str">
        <f>IF(P3616&gt;500,"High","low")</f>
        <v>low</v>
      </c>
      <c r="R3616" s="37" t="str">
        <f t="shared" si="284"/>
        <v>AVERAGE</v>
      </c>
      <c r="S3616" t="s">
        <v>628</v>
      </c>
    </row>
    <row r="3617" spans="1:19" x14ac:dyDescent="0.2">
      <c r="A3617" t="s">
        <v>4228</v>
      </c>
      <c r="B3617" t="s">
        <v>90</v>
      </c>
      <c r="C3617" t="s">
        <v>614</v>
      </c>
      <c r="D3617">
        <v>3745.81</v>
      </c>
      <c r="E3617" s="37" t="str">
        <f t="shared" si="280"/>
        <v xml:space="preserve"> </v>
      </c>
      <c r="F3617">
        <v>0.31</v>
      </c>
      <c r="G3617" s="37" t="str">
        <f t="shared" si="281"/>
        <v>Heavy Discount</v>
      </c>
      <c r="H3617" s="37" t="str">
        <f t="shared" si="282"/>
        <v>Medium</v>
      </c>
      <c r="I3617">
        <v>5</v>
      </c>
      <c r="J3617" t="str" cm="1">
        <f t="array" ref="J3617">_xlfn.IFS(I3617&lt;=3,"small",I3617&lt;=6,"Medium",I3617&lt;=9,"Large")</f>
        <v>Medium</v>
      </c>
      <c r="K3617" s="36">
        <v>45333</v>
      </c>
      <c r="L3617" s="36">
        <v>45334</v>
      </c>
      <c r="M3617" t="s">
        <v>598</v>
      </c>
      <c r="N3617" t="s">
        <v>599</v>
      </c>
      <c r="O3617" s="37" t="str">
        <f t="shared" si="283"/>
        <v>Digital Payment</v>
      </c>
      <c r="P3617">
        <v>304.99</v>
      </c>
      <c r="Q3617" s="37" t="str">
        <f>IF(P3617&gt;500,"High","low")</f>
        <v>low</v>
      </c>
      <c r="R3617" s="37" t="str">
        <f t="shared" si="284"/>
        <v>AVERAGE</v>
      </c>
      <c r="S3617" t="s">
        <v>609</v>
      </c>
    </row>
    <row r="3618" spans="1:19" x14ac:dyDescent="0.2">
      <c r="A3618" t="s">
        <v>4229</v>
      </c>
      <c r="B3618" t="s">
        <v>90</v>
      </c>
      <c r="C3618" t="s">
        <v>617</v>
      </c>
      <c r="D3618">
        <v>1671.85</v>
      </c>
      <c r="E3618" s="37" t="str">
        <f t="shared" si="280"/>
        <v xml:space="preserve"> </v>
      </c>
      <c r="F3618">
        <v>0.2</v>
      </c>
      <c r="G3618" s="37" t="str">
        <f t="shared" si="281"/>
        <v>Normal Discount</v>
      </c>
      <c r="H3618" s="37" t="str">
        <f t="shared" si="282"/>
        <v>Medium</v>
      </c>
      <c r="I3618">
        <v>6</v>
      </c>
      <c r="J3618" t="str" cm="1">
        <f t="array" ref="J3618">_xlfn.IFS(I3618&lt;=3,"small",I3618&lt;=6,"Medium",I3618&lt;=9,"Large")</f>
        <v>Medium</v>
      </c>
      <c r="K3618" s="36">
        <v>45400</v>
      </c>
      <c r="L3618" s="36">
        <v>45405</v>
      </c>
      <c r="M3618" t="s">
        <v>603</v>
      </c>
      <c r="N3618" t="s">
        <v>604</v>
      </c>
      <c r="O3618" s="37" t="str">
        <f t="shared" si="283"/>
        <v>Digital Payment</v>
      </c>
      <c r="P3618">
        <v>109.77</v>
      </c>
      <c r="Q3618" s="37" t="str">
        <f>IF(P3618&gt;500,"High","low")</f>
        <v>low</v>
      </c>
      <c r="R3618" s="37" t="str">
        <f t="shared" si="284"/>
        <v>AVERAGE</v>
      </c>
      <c r="S3618" t="s">
        <v>609</v>
      </c>
    </row>
    <row r="3619" spans="1:19" x14ac:dyDescent="0.2">
      <c r="A3619" t="s">
        <v>4230</v>
      </c>
      <c r="B3619" t="s">
        <v>83</v>
      </c>
      <c r="C3619" t="s">
        <v>597</v>
      </c>
      <c r="D3619">
        <v>4103.8100000000004</v>
      </c>
      <c r="E3619" s="37" t="str">
        <f t="shared" si="280"/>
        <v>Excellent Order</v>
      </c>
      <c r="F3619">
        <v>0.33</v>
      </c>
      <c r="G3619" s="37" t="str">
        <f t="shared" si="281"/>
        <v>Heavy Discount</v>
      </c>
      <c r="H3619" s="37" t="str">
        <f t="shared" si="282"/>
        <v>Medium</v>
      </c>
      <c r="I3619">
        <v>8</v>
      </c>
      <c r="J3619" t="str" cm="1">
        <f t="array" ref="J3619">_xlfn.IFS(I3619&lt;=3,"small",I3619&lt;=6,"Medium",I3619&lt;=9,"Large")</f>
        <v>Large</v>
      </c>
      <c r="K3619" s="36">
        <v>45100</v>
      </c>
      <c r="L3619" s="36">
        <v>45107</v>
      </c>
      <c r="M3619" t="s">
        <v>612</v>
      </c>
      <c r="N3619" t="s">
        <v>604</v>
      </c>
      <c r="O3619" s="37" t="str">
        <f t="shared" si="283"/>
        <v>Digital Payment</v>
      </c>
      <c r="P3619">
        <v>982.94</v>
      </c>
      <c r="Q3619" s="37" t="str">
        <f>IF(P3619&gt;500,"High","low")</f>
        <v>High</v>
      </c>
      <c r="R3619" s="37" t="str">
        <f t="shared" si="284"/>
        <v>Good</v>
      </c>
      <c r="S3619" t="s">
        <v>628</v>
      </c>
    </row>
    <row r="3620" spans="1:19" x14ac:dyDescent="0.2">
      <c r="A3620" t="s">
        <v>4231</v>
      </c>
      <c r="B3620" t="s">
        <v>75</v>
      </c>
      <c r="C3620" t="s">
        <v>607</v>
      </c>
      <c r="D3620">
        <v>3516.33</v>
      </c>
      <c r="E3620" s="37" t="str">
        <f t="shared" si="280"/>
        <v xml:space="preserve"> </v>
      </c>
      <c r="F3620">
        <v>0.48</v>
      </c>
      <c r="G3620" s="37" t="str">
        <f t="shared" si="281"/>
        <v>Heavy Discount</v>
      </c>
      <c r="H3620" s="37" t="str">
        <f t="shared" si="282"/>
        <v>High</v>
      </c>
      <c r="I3620">
        <v>9</v>
      </c>
      <c r="J3620" t="str" cm="1">
        <f t="array" ref="J3620">_xlfn.IFS(I3620&lt;=3,"small",I3620&lt;=6,"Medium",I3620&lt;=9,"Large")</f>
        <v>Large</v>
      </c>
      <c r="K3620" s="36">
        <v>45550</v>
      </c>
      <c r="L3620" s="36">
        <v>45552</v>
      </c>
      <c r="M3620" t="s">
        <v>612</v>
      </c>
      <c r="N3620" t="s">
        <v>604</v>
      </c>
      <c r="O3620" s="37" t="str">
        <f t="shared" si="283"/>
        <v>Digital Payment</v>
      </c>
      <c r="P3620">
        <v>738.46</v>
      </c>
      <c r="Q3620" s="37" t="str">
        <f>IF(P3620&gt;500,"High","low")</f>
        <v>High</v>
      </c>
      <c r="R3620" s="37" t="str">
        <f t="shared" si="284"/>
        <v>Good</v>
      </c>
      <c r="S3620" t="s">
        <v>620</v>
      </c>
    </row>
    <row r="3621" spans="1:19" x14ac:dyDescent="0.2">
      <c r="A3621" t="s">
        <v>4232</v>
      </c>
      <c r="B3621" t="s">
        <v>75</v>
      </c>
      <c r="C3621" t="s">
        <v>607</v>
      </c>
      <c r="D3621">
        <v>4638.25</v>
      </c>
      <c r="E3621" s="37" t="str">
        <f t="shared" si="280"/>
        <v>Excellent Order</v>
      </c>
      <c r="F3621">
        <v>0.26</v>
      </c>
      <c r="G3621" s="37" t="str">
        <f t="shared" si="281"/>
        <v>Normal Discount</v>
      </c>
      <c r="H3621" s="37" t="str">
        <f t="shared" si="282"/>
        <v>Medium</v>
      </c>
      <c r="I3621">
        <v>6</v>
      </c>
      <c r="J3621" t="str" cm="1">
        <f t="array" ref="J3621">_xlfn.IFS(I3621&lt;=3,"small",I3621&lt;=6,"Medium",I3621&lt;=9,"Large")</f>
        <v>Medium</v>
      </c>
      <c r="K3621" s="36">
        <v>45317</v>
      </c>
      <c r="L3621" s="36">
        <v>45323</v>
      </c>
      <c r="M3621" t="s">
        <v>603</v>
      </c>
      <c r="N3621" t="s">
        <v>599</v>
      </c>
      <c r="O3621" s="37" t="str">
        <f t="shared" si="283"/>
        <v>Digital Payment</v>
      </c>
      <c r="P3621">
        <v>1068.18</v>
      </c>
      <c r="Q3621" s="37" t="str">
        <f>IF(P3621&gt;500,"High","low")</f>
        <v>High</v>
      </c>
      <c r="R3621" s="37" t="str">
        <f t="shared" si="284"/>
        <v>Excellent</v>
      </c>
      <c r="S3621" t="s">
        <v>600</v>
      </c>
    </row>
    <row r="3622" spans="1:19" x14ac:dyDescent="0.2">
      <c r="A3622" t="s">
        <v>4233</v>
      </c>
      <c r="B3622" t="s">
        <v>83</v>
      </c>
      <c r="C3622" t="s">
        <v>597</v>
      </c>
      <c r="D3622">
        <v>3588.48</v>
      </c>
      <c r="E3622" s="37" t="str">
        <f t="shared" si="280"/>
        <v xml:space="preserve"> </v>
      </c>
      <c r="F3622">
        <v>0.47</v>
      </c>
      <c r="G3622" s="37" t="str">
        <f t="shared" si="281"/>
        <v>Heavy Discount</v>
      </c>
      <c r="H3622" s="37" t="str">
        <f t="shared" si="282"/>
        <v>High</v>
      </c>
      <c r="I3622">
        <v>3</v>
      </c>
      <c r="J3622" t="str" cm="1">
        <f t="array" ref="J3622">_xlfn.IFS(I3622&lt;=3,"small",I3622&lt;=6,"Medium",I3622&lt;=9,"Large")</f>
        <v>small</v>
      </c>
      <c r="K3622" s="36">
        <v>45031</v>
      </c>
      <c r="L3622" s="36">
        <v>45035</v>
      </c>
      <c r="M3622" t="s">
        <v>612</v>
      </c>
      <c r="N3622" t="s">
        <v>599</v>
      </c>
      <c r="O3622" s="37" t="str">
        <f t="shared" si="283"/>
        <v>Digital Payment</v>
      </c>
      <c r="P3622">
        <v>423.29</v>
      </c>
      <c r="Q3622" s="37" t="str">
        <f>IF(P3622&gt;500,"High","low")</f>
        <v>low</v>
      </c>
      <c r="R3622" s="37" t="str">
        <f t="shared" si="284"/>
        <v>AVERAGE</v>
      </c>
      <c r="S3622" t="s">
        <v>609</v>
      </c>
    </row>
    <row r="3623" spans="1:19" x14ac:dyDescent="0.2">
      <c r="A3623" t="s">
        <v>4234</v>
      </c>
      <c r="B3623" t="s">
        <v>83</v>
      </c>
      <c r="C3623" t="s">
        <v>617</v>
      </c>
      <c r="D3623">
        <v>2110.52</v>
      </c>
      <c r="E3623" s="37" t="str">
        <f t="shared" si="280"/>
        <v xml:space="preserve"> </v>
      </c>
      <c r="F3623">
        <v>0.32</v>
      </c>
      <c r="G3623" s="37" t="str">
        <f t="shared" si="281"/>
        <v>Heavy Discount</v>
      </c>
      <c r="H3623" s="37" t="str">
        <f t="shared" si="282"/>
        <v>Medium</v>
      </c>
      <c r="I3623">
        <v>6</v>
      </c>
      <c r="J3623" t="str" cm="1">
        <f t="array" ref="J3623">_xlfn.IFS(I3623&lt;=3,"small",I3623&lt;=6,"Medium",I3623&lt;=9,"Large")</f>
        <v>Medium</v>
      </c>
      <c r="K3623" s="36">
        <v>44988</v>
      </c>
      <c r="L3623" s="36">
        <v>44990</v>
      </c>
      <c r="M3623" t="s">
        <v>603</v>
      </c>
      <c r="N3623" t="s">
        <v>604</v>
      </c>
      <c r="O3623" s="37" t="str">
        <f t="shared" si="283"/>
        <v>Digital Payment</v>
      </c>
      <c r="P3623">
        <v>318.33999999999997</v>
      </c>
      <c r="Q3623" s="37" t="str">
        <f>IF(P3623&gt;500,"High","low")</f>
        <v>low</v>
      </c>
      <c r="R3623" s="37" t="str">
        <f t="shared" si="284"/>
        <v>AVERAGE</v>
      </c>
      <c r="S3623" t="s">
        <v>609</v>
      </c>
    </row>
    <row r="3624" spans="1:19" x14ac:dyDescent="0.2">
      <c r="A3624" t="s">
        <v>4235</v>
      </c>
      <c r="B3624" t="s">
        <v>67</v>
      </c>
      <c r="C3624" t="s">
        <v>597</v>
      </c>
      <c r="D3624">
        <v>153.37</v>
      </c>
      <c r="E3624" s="37" t="str">
        <f t="shared" si="280"/>
        <v xml:space="preserve"> </v>
      </c>
      <c r="F3624">
        <v>0.24</v>
      </c>
      <c r="G3624" s="37" t="str">
        <f t="shared" si="281"/>
        <v>Normal Discount</v>
      </c>
      <c r="H3624" s="37" t="str">
        <f t="shared" si="282"/>
        <v>Medium</v>
      </c>
      <c r="I3624">
        <v>4</v>
      </c>
      <c r="J3624" t="str" cm="1">
        <f t="array" ref="J3624">_xlfn.IFS(I3624&lt;=3,"small",I3624&lt;=6,"Medium",I3624&lt;=9,"Large")</f>
        <v>Medium</v>
      </c>
      <c r="K3624" s="36">
        <v>44933</v>
      </c>
      <c r="L3624" s="36">
        <v>44940</v>
      </c>
      <c r="M3624" t="s">
        <v>612</v>
      </c>
      <c r="N3624" t="s">
        <v>608</v>
      </c>
      <c r="O3624" s="37" t="str">
        <f t="shared" si="283"/>
        <v>Cash Payment</v>
      </c>
      <c r="P3624">
        <v>29.66</v>
      </c>
      <c r="Q3624" s="37" t="str">
        <f>IF(P3624&gt;500,"High","low")</f>
        <v>low</v>
      </c>
      <c r="R3624" s="37" t="str">
        <f t="shared" si="284"/>
        <v>AVERAGE</v>
      </c>
      <c r="S3624" t="s">
        <v>628</v>
      </c>
    </row>
    <row r="3625" spans="1:19" x14ac:dyDescent="0.2">
      <c r="A3625" t="s">
        <v>4236</v>
      </c>
      <c r="B3625" t="s">
        <v>67</v>
      </c>
      <c r="C3625" t="s">
        <v>602</v>
      </c>
      <c r="D3625">
        <v>3985.29</v>
      </c>
      <c r="E3625" s="37" t="str">
        <f t="shared" si="280"/>
        <v xml:space="preserve"> </v>
      </c>
      <c r="F3625">
        <v>0.32</v>
      </c>
      <c r="G3625" s="37" t="str">
        <f t="shared" si="281"/>
        <v>Heavy Discount</v>
      </c>
      <c r="H3625" s="37" t="str">
        <f t="shared" si="282"/>
        <v>Medium</v>
      </c>
      <c r="I3625">
        <v>4</v>
      </c>
      <c r="J3625" t="str" cm="1">
        <f t="array" ref="J3625">_xlfn.IFS(I3625&lt;=3,"small",I3625&lt;=6,"Medium",I3625&lt;=9,"Large")</f>
        <v>Medium</v>
      </c>
      <c r="K3625" s="36">
        <v>45453</v>
      </c>
      <c r="L3625" s="36">
        <v>45459</v>
      </c>
      <c r="M3625" t="s">
        <v>598</v>
      </c>
      <c r="N3625" t="s">
        <v>608</v>
      </c>
      <c r="O3625" s="37" t="str">
        <f t="shared" si="283"/>
        <v>Cash Payment</v>
      </c>
      <c r="P3625">
        <v>957.61</v>
      </c>
      <c r="Q3625" s="37" t="str">
        <f>IF(P3625&gt;500,"High","low")</f>
        <v>High</v>
      </c>
      <c r="R3625" s="37" t="str">
        <f t="shared" si="284"/>
        <v>Good</v>
      </c>
      <c r="S3625" t="s">
        <v>620</v>
      </c>
    </row>
    <row r="3626" spans="1:19" x14ac:dyDescent="0.2">
      <c r="A3626" t="s">
        <v>4237</v>
      </c>
      <c r="B3626" t="s">
        <v>67</v>
      </c>
      <c r="C3626" t="s">
        <v>614</v>
      </c>
      <c r="D3626">
        <v>2101.48</v>
      </c>
      <c r="E3626" s="37" t="str">
        <f t="shared" si="280"/>
        <v xml:space="preserve"> </v>
      </c>
      <c r="F3626">
        <v>0.3</v>
      </c>
      <c r="G3626" s="37" t="str">
        <f t="shared" si="281"/>
        <v>Normal Discount</v>
      </c>
      <c r="H3626" s="37" t="str">
        <f t="shared" si="282"/>
        <v>Medium</v>
      </c>
      <c r="I3626">
        <v>7</v>
      </c>
      <c r="J3626" t="str" cm="1">
        <f t="array" ref="J3626">_xlfn.IFS(I3626&lt;=3,"small",I3626&lt;=6,"Medium",I3626&lt;=9,"Large")</f>
        <v>Large</v>
      </c>
      <c r="K3626" s="36">
        <v>45051</v>
      </c>
      <c r="L3626" s="36">
        <v>45057</v>
      </c>
      <c r="M3626" t="s">
        <v>612</v>
      </c>
      <c r="N3626" t="s">
        <v>599</v>
      </c>
      <c r="O3626" s="37" t="str">
        <f t="shared" si="283"/>
        <v>Digital Payment</v>
      </c>
      <c r="P3626">
        <v>272.5</v>
      </c>
      <c r="Q3626" s="37" t="str">
        <f>IF(P3626&gt;500,"High","low")</f>
        <v>low</v>
      </c>
      <c r="R3626" s="37" t="str">
        <f t="shared" si="284"/>
        <v>AVERAGE</v>
      </c>
      <c r="S3626" t="s">
        <v>609</v>
      </c>
    </row>
    <row r="3627" spans="1:19" x14ac:dyDescent="0.2">
      <c r="A3627" t="s">
        <v>4238</v>
      </c>
      <c r="B3627" t="s">
        <v>83</v>
      </c>
      <c r="C3627" t="s">
        <v>614</v>
      </c>
      <c r="D3627">
        <v>3386.11</v>
      </c>
      <c r="E3627" s="37" t="str">
        <f t="shared" si="280"/>
        <v xml:space="preserve"> </v>
      </c>
      <c r="F3627">
        <v>0.21</v>
      </c>
      <c r="G3627" s="37" t="str">
        <f t="shared" si="281"/>
        <v>Normal Discount</v>
      </c>
      <c r="H3627" s="37" t="str">
        <f t="shared" si="282"/>
        <v>Medium</v>
      </c>
      <c r="I3627">
        <v>6</v>
      </c>
      <c r="J3627" t="str" cm="1">
        <f t="array" ref="J3627">_xlfn.IFS(I3627&lt;=3,"small",I3627&lt;=6,"Medium",I3627&lt;=9,"Large")</f>
        <v>Medium</v>
      </c>
      <c r="K3627" s="36">
        <v>45458</v>
      </c>
      <c r="L3627" s="36">
        <v>45463</v>
      </c>
      <c r="M3627" t="s">
        <v>598</v>
      </c>
      <c r="N3627" t="s">
        <v>599</v>
      </c>
      <c r="O3627" s="37" t="str">
        <f t="shared" si="283"/>
        <v>Digital Payment</v>
      </c>
      <c r="P3627">
        <v>512.54999999999995</v>
      </c>
      <c r="Q3627" s="37" t="str">
        <f>IF(P3627&gt;500,"High","low")</f>
        <v>High</v>
      </c>
      <c r="R3627" s="37" t="str">
        <f t="shared" si="284"/>
        <v>Good</v>
      </c>
      <c r="S3627" t="s">
        <v>615</v>
      </c>
    </row>
    <row r="3628" spans="1:19" x14ac:dyDescent="0.2">
      <c r="A3628" t="s">
        <v>4239</v>
      </c>
      <c r="B3628" t="s">
        <v>83</v>
      </c>
      <c r="C3628" t="s">
        <v>617</v>
      </c>
      <c r="D3628">
        <v>614.83000000000004</v>
      </c>
      <c r="E3628" s="37" t="str">
        <f t="shared" si="280"/>
        <v xml:space="preserve"> </v>
      </c>
      <c r="F3628">
        <v>0.28000000000000003</v>
      </c>
      <c r="G3628" s="37" t="str">
        <f t="shared" si="281"/>
        <v>Normal Discount</v>
      </c>
      <c r="H3628" s="37" t="str">
        <f t="shared" si="282"/>
        <v>Medium</v>
      </c>
      <c r="I3628">
        <v>8</v>
      </c>
      <c r="J3628" t="str" cm="1">
        <f t="array" ref="J3628">_xlfn.IFS(I3628&lt;=3,"small",I3628&lt;=6,"Medium",I3628&lt;=9,"Large")</f>
        <v>Large</v>
      </c>
      <c r="K3628" s="36">
        <v>45294</v>
      </c>
      <c r="L3628" s="36">
        <v>45297</v>
      </c>
      <c r="M3628" t="s">
        <v>612</v>
      </c>
      <c r="N3628" t="s">
        <v>604</v>
      </c>
      <c r="O3628" s="37" t="str">
        <f t="shared" si="283"/>
        <v>Digital Payment</v>
      </c>
      <c r="P3628">
        <v>113.19</v>
      </c>
      <c r="Q3628" s="37" t="str">
        <f>IF(P3628&gt;500,"High","low")</f>
        <v>low</v>
      </c>
      <c r="R3628" s="37" t="str">
        <f t="shared" si="284"/>
        <v>AVERAGE</v>
      </c>
      <c r="S3628" t="s">
        <v>605</v>
      </c>
    </row>
    <row r="3629" spans="1:19" x14ac:dyDescent="0.2">
      <c r="A3629" t="s">
        <v>4240</v>
      </c>
      <c r="B3629" t="s">
        <v>90</v>
      </c>
      <c r="C3629" t="s">
        <v>597</v>
      </c>
      <c r="D3629">
        <v>4465.75</v>
      </c>
      <c r="E3629" s="37" t="str">
        <f t="shared" si="280"/>
        <v xml:space="preserve"> </v>
      </c>
      <c r="F3629">
        <v>0.35</v>
      </c>
      <c r="G3629" s="37" t="str">
        <f t="shared" si="281"/>
        <v>Heavy Discount</v>
      </c>
      <c r="H3629" s="37" t="str">
        <f t="shared" si="282"/>
        <v>Medium</v>
      </c>
      <c r="I3629">
        <v>8</v>
      </c>
      <c r="J3629" t="str" cm="1">
        <f t="array" ref="J3629">_xlfn.IFS(I3629&lt;=3,"small",I3629&lt;=6,"Medium",I3629&lt;=9,"Large")</f>
        <v>Large</v>
      </c>
      <c r="K3629" s="36">
        <v>45236</v>
      </c>
      <c r="L3629" s="36">
        <v>45242</v>
      </c>
      <c r="M3629" t="s">
        <v>598</v>
      </c>
      <c r="N3629" t="s">
        <v>604</v>
      </c>
      <c r="O3629" s="37" t="str">
        <f t="shared" si="283"/>
        <v>Digital Payment</v>
      </c>
      <c r="P3629">
        <v>230.3</v>
      </c>
      <c r="Q3629" s="37" t="str">
        <f>IF(P3629&gt;500,"High","low")</f>
        <v>low</v>
      </c>
      <c r="R3629" s="37" t="str">
        <f t="shared" si="284"/>
        <v>AVERAGE</v>
      </c>
      <c r="S3629" t="s">
        <v>615</v>
      </c>
    </row>
    <row r="3630" spans="1:19" x14ac:dyDescent="0.2">
      <c r="A3630" t="s">
        <v>4241</v>
      </c>
      <c r="B3630" t="s">
        <v>67</v>
      </c>
      <c r="C3630" t="s">
        <v>607</v>
      </c>
      <c r="D3630">
        <v>2234.7199999999998</v>
      </c>
      <c r="E3630" s="37" t="str">
        <f t="shared" si="280"/>
        <v xml:space="preserve"> </v>
      </c>
      <c r="F3630">
        <v>0.42</v>
      </c>
      <c r="G3630" s="37" t="str">
        <f t="shared" si="281"/>
        <v>Heavy Discount</v>
      </c>
      <c r="H3630" s="37" t="str">
        <f t="shared" si="282"/>
        <v>High</v>
      </c>
      <c r="I3630">
        <v>3</v>
      </c>
      <c r="J3630" t="str" cm="1">
        <f t="array" ref="J3630">_xlfn.IFS(I3630&lt;=3,"small",I3630&lt;=6,"Medium",I3630&lt;=9,"Large")</f>
        <v>small</v>
      </c>
      <c r="K3630" s="36">
        <v>45360</v>
      </c>
      <c r="L3630" s="36">
        <v>45367</v>
      </c>
      <c r="M3630" t="s">
        <v>612</v>
      </c>
      <c r="N3630" t="s">
        <v>608</v>
      </c>
      <c r="O3630" s="37" t="str">
        <f t="shared" si="283"/>
        <v>Cash Payment</v>
      </c>
      <c r="P3630">
        <v>584.91999999999996</v>
      </c>
      <c r="Q3630" s="37" t="str">
        <f>IF(P3630&gt;500,"High","low")</f>
        <v>High</v>
      </c>
      <c r="R3630" s="37" t="str">
        <f t="shared" si="284"/>
        <v>Good</v>
      </c>
      <c r="S3630" t="s">
        <v>609</v>
      </c>
    </row>
    <row r="3631" spans="1:19" x14ac:dyDescent="0.2">
      <c r="A3631" t="s">
        <v>4242</v>
      </c>
      <c r="B3631" t="s">
        <v>67</v>
      </c>
      <c r="C3631" t="s">
        <v>607</v>
      </c>
      <c r="D3631">
        <v>4606.49</v>
      </c>
      <c r="E3631" s="37" t="str">
        <f t="shared" si="280"/>
        <v>Excellent Order</v>
      </c>
      <c r="F3631">
        <v>0.15</v>
      </c>
      <c r="G3631" s="37" t="str">
        <f t="shared" si="281"/>
        <v>Normal Discount</v>
      </c>
      <c r="H3631" s="37" t="str">
        <f t="shared" si="282"/>
        <v>Low</v>
      </c>
      <c r="I3631">
        <v>4</v>
      </c>
      <c r="J3631" t="str" cm="1">
        <f t="array" ref="J3631">_xlfn.IFS(I3631&lt;=3,"small",I3631&lt;=6,"Medium",I3631&lt;=9,"Large")</f>
        <v>Medium</v>
      </c>
      <c r="K3631" s="36">
        <v>45533</v>
      </c>
      <c r="L3631" s="36">
        <v>45534</v>
      </c>
      <c r="M3631" t="s">
        <v>598</v>
      </c>
      <c r="N3631" t="s">
        <v>599</v>
      </c>
      <c r="O3631" s="37" t="str">
        <f t="shared" si="283"/>
        <v>Digital Payment</v>
      </c>
      <c r="P3631">
        <v>948.93</v>
      </c>
      <c r="Q3631" s="37" t="str">
        <f>IF(P3631&gt;500,"High","low")</f>
        <v>High</v>
      </c>
      <c r="R3631" s="37" t="str">
        <f t="shared" si="284"/>
        <v>Good</v>
      </c>
      <c r="S3631" t="s">
        <v>628</v>
      </c>
    </row>
    <row r="3632" spans="1:19" x14ac:dyDescent="0.2">
      <c r="A3632" t="s">
        <v>4243</v>
      </c>
      <c r="B3632" t="s">
        <v>67</v>
      </c>
      <c r="C3632" t="s">
        <v>607</v>
      </c>
      <c r="D3632">
        <v>3564.39</v>
      </c>
      <c r="E3632" s="37" t="str">
        <f t="shared" si="280"/>
        <v xml:space="preserve"> </v>
      </c>
      <c r="F3632">
        <v>0.01</v>
      </c>
      <c r="G3632" s="37" t="str">
        <f t="shared" si="281"/>
        <v>Normal Discount</v>
      </c>
      <c r="H3632" s="37" t="str">
        <f t="shared" si="282"/>
        <v>Low</v>
      </c>
      <c r="I3632">
        <v>2</v>
      </c>
      <c r="J3632" t="str" cm="1">
        <f t="array" ref="J3632">_xlfn.IFS(I3632&lt;=3,"small",I3632&lt;=6,"Medium",I3632&lt;=9,"Large")</f>
        <v>small</v>
      </c>
      <c r="K3632" s="36">
        <v>45359</v>
      </c>
      <c r="L3632" s="36">
        <v>45362</v>
      </c>
      <c r="M3632" t="s">
        <v>612</v>
      </c>
      <c r="N3632" t="s">
        <v>599</v>
      </c>
      <c r="O3632" s="37" t="str">
        <f t="shared" si="283"/>
        <v>Digital Payment</v>
      </c>
      <c r="P3632">
        <v>251.63</v>
      </c>
      <c r="Q3632" s="37" t="str">
        <f>IF(P3632&gt;500,"High","low")</f>
        <v>low</v>
      </c>
      <c r="R3632" s="37" t="str">
        <f t="shared" si="284"/>
        <v>AVERAGE</v>
      </c>
      <c r="S3632" t="s">
        <v>628</v>
      </c>
    </row>
    <row r="3633" spans="1:19" x14ac:dyDescent="0.2">
      <c r="A3633" t="s">
        <v>4244</v>
      </c>
      <c r="B3633" t="s">
        <v>75</v>
      </c>
      <c r="C3633" t="s">
        <v>602</v>
      </c>
      <c r="D3633">
        <v>695.17</v>
      </c>
      <c r="E3633" s="37" t="str">
        <f t="shared" si="280"/>
        <v xml:space="preserve"> </v>
      </c>
      <c r="F3633">
        <v>0.28000000000000003</v>
      </c>
      <c r="G3633" s="37" t="str">
        <f t="shared" si="281"/>
        <v>Normal Discount</v>
      </c>
      <c r="H3633" s="37" t="str">
        <f t="shared" si="282"/>
        <v>Medium</v>
      </c>
      <c r="I3633">
        <v>1</v>
      </c>
      <c r="J3633" t="str" cm="1">
        <f t="array" ref="J3633">_xlfn.IFS(I3633&lt;=3,"small",I3633&lt;=6,"Medium",I3633&lt;=9,"Large")</f>
        <v>small</v>
      </c>
      <c r="K3633" s="36">
        <v>45185</v>
      </c>
      <c r="L3633" s="36">
        <v>45188</v>
      </c>
      <c r="M3633" t="s">
        <v>603</v>
      </c>
      <c r="N3633" t="s">
        <v>604</v>
      </c>
      <c r="O3633" s="37" t="str">
        <f t="shared" si="283"/>
        <v>Digital Payment</v>
      </c>
      <c r="P3633">
        <v>96.18</v>
      </c>
      <c r="Q3633" s="37" t="str">
        <f>IF(P3633&gt;500,"High","low")</f>
        <v>low</v>
      </c>
      <c r="R3633" s="37" t="str">
        <f t="shared" si="284"/>
        <v>AVERAGE</v>
      </c>
      <c r="S3633" t="s">
        <v>605</v>
      </c>
    </row>
    <row r="3634" spans="1:19" x14ac:dyDescent="0.2">
      <c r="A3634" t="s">
        <v>4245</v>
      </c>
      <c r="B3634" t="s">
        <v>90</v>
      </c>
      <c r="C3634" t="s">
        <v>602</v>
      </c>
      <c r="D3634">
        <v>2938.06</v>
      </c>
      <c r="E3634" s="37" t="str">
        <f t="shared" si="280"/>
        <v xml:space="preserve"> </v>
      </c>
      <c r="F3634">
        <v>0.24</v>
      </c>
      <c r="G3634" s="37" t="str">
        <f t="shared" si="281"/>
        <v>Normal Discount</v>
      </c>
      <c r="H3634" s="37" t="str">
        <f t="shared" si="282"/>
        <v>Medium</v>
      </c>
      <c r="I3634">
        <v>7</v>
      </c>
      <c r="J3634" t="str" cm="1">
        <f t="array" ref="J3634">_xlfn.IFS(I3634&lt;=3,"small",I3634&lt;=6,"Medium",I3634&lt;=9,"Large")</f>
        <v>Large</v>
      </c>
      <c r="K3634" s="36">
        <v>45545</v>
      </c>
      <c r="L3634" s="36">
        <v>45546</v>
      </c>
      <c r="M3634" t="s">
        <v>612</v>
      </c>
      <c r="N3634" t="s">
        <v>604</v>
      </c>
      <c r="O3634" s="37" t="str">
        <f t="shared" si="283"/>
        <v>Digital Payment</v>
      </c>
      <c r="P3634">
        <v>278.45999999999998</v>
      </c>
      <c r="Q3634" s="37" t="str">
        <f>IF(P3634&gt;500,"High","low")</f>
        <v>low</v>
      </c>
      <c r="R3634" s="37" t="str">
        <f t="shared" si="284"/>
        <v>AVERAGE</v>
      </c>
      <c r="S3634" t="s">
        <v>628</v>
      </c>
    </row>
    <row r="3635" spans="1:19" x14ac:dyDescent="0.2">
      <c r="A3635" t="s">
        <v>4246</v>
      </c>
      <c r="B3635" t="s">
        <v>67</v>
      </c>
      <c r="C3635" t="s">
        <v>607</v>
      </c>
      <c r="D3635">
        <v>4558.68</v>
      </c>
      <c r="E3635" s="37" t="str">
        <f t="shared" si="280"/>
        <v xml:space="preserve"> </v>
      </c>
      <c r="F3635">
        <v>0.03</v>
      </c>
      <c r="G3635" s="37" t="str">
        <f t="shared" si="281"/>
        <v>Normal Discount</v>
      </c>
      <c r="H3635" s="37" t="str">
        <f t="shared" si="282"/>
        <v>Low</v>
      </c>
      <c r="I3635">
        <v>8</v>
      </c>
      <c r="J3635" t="str" cm="1">
        <f t="array" ref="J3635">_xlfn.IFS(I3635&lt;=3,"small",I3635&lt;=6,"Medium",I3635&lt;=9,"Large")</f>
        <v>Large</v>
      </c>
      <c r="K3635" s="36">
        <v>45374</v>
      </c>
      <c r="L3635" s="36">
        <v>45377</v>
      </c>
      <c r="M3635" t="s">
        <v>598</v>
      </c>
      <c r="N3635" t="s">
        <v>608</v>
      </c>
      <c r="O3635" s="37" t="str">
        <f t="shared" si="283"/>
        <v>Cash Payment</v>
      </c>
      <c r="P3635">
        <v>273.22000000000003</v>
      </c>
      <c r="Q3635" s="37" t="str">
        <f>IF(P3635&gt;500,"High","low")</f>
        <v>low</v>
      </c>
      <c r="R3635" s="37" t="str">
        <f t="shared" si="284"/>
        <v>AVERAGE</v>
      </c>
      <c r="S3635" t="s">
        <v>620</v>
      </c>
    </row>
    <row r="3636" spans="1:19" x14ac:dyDescent="0.2">
      <c r="A3636" t="s">
        <v>4247</v>
      </c>
      <c r="B3636" t="s">
        <v>67</v>
      </c>
      <c r="C3636" t="s">
        <v>617</v>
      </c>
      <c r="D3636">
        <v>4019.86</v>
      </c>
      <c r="E3636" s="37" t="str">
        <f t="shared" si="280"/>
        <v xml:space="preserve"> </v>
      </c>
      <c r="F3636">
        <v>0.32</v>
      </c>
      <c r="G3636" s="37" t="str">
        <f t="shared" si="281"/>
        <v>Heavy Discount</v>
      </c>
      <c r="H3636" s="37" t="str">
        <f t="shared" si="282"/>
        <v>Medium</v>
      </c>
      <c r="I3636">
        <v>8</v>
      </c>
      <c r="J3636" t="str" cm="1">
        <f t="array" ref="J3636">_xlfn.IFS(I3636&lt;=3,"small",I3636&lt;=6,"Medium",I3636&lt;=9,"Large")</f>
        <v>Large</v>
      </c>
      <c r="K3636" s="36">
        <v>45173</v>
      </c>
      <c r="L3636" s="36">
        <v>45179</v>
      </c>
      <c r="M3636" t="s">
        <v>603</v>
      </c>
      <c r="N3636" t="s">
        <v>599</v>
      </c>
      <c r="O3636" s="37" t="str">
        <f t="shared" si="283"/>
        <v>Digital Payment</v>
      </c>
      <c r="P3636">
        <v>513.61</v>
      </c>
      <c r="Q3636" s="37" t="str">
        <f>IF(P3636&gt;500,"High","low")</f>
        <v>High</v>
      </c>
      <c r="R3636" s="37" t="str">
        <f t="shared" si="284"/>
        <v>Good</v>
      </c>
      <c r="S3636" t="s">
        <v>615</v>
      </c>
    </row>
    <row r="3637" spans="1:19" x14ac:dyDescent="0.2">
      <c r="A3637" t="s">
        <v>4248</v>
      </c>
      <c r="B3637" t="s">
        <v>67</v>
      </c>
      <c r="C3637" t="s">
        <v>602</v>
      </c>
      <c r="D3637">
        <v>2148.1</v>
      </c>
      <c r="E3637" s="37" t="str">
        <f t="shared" si="280"/>
        <v xml:space="preserve"> </v>
      </c>
      <c r="F3637">
        <v>0.47</v>
      </c>
      <c r="G3637" s="37" t="str">
        <f t="shared" si="281"/>
        <v>Heavy Discount</v>
      </c>
      <c r="H3637" s="37" t="str">
        <f t="shared" si="282"/>
        <v>High</v>
      </c>
      <c r="I3637">
        <v>6</v>
      </c>
      <c r="J3637" t="str" cm="1">
        <f t="array" ref="J3637">_xlfn.IFS(I3637&lt;=3,"small",I3637&lt;=6,"Medium",I3637&lt;=9,"Large")</f>
        <v>Medium</v>
      </c>
      <c r="K3637" s="36">
        <v>45484</v>
      </c>
      <c r="L3637" s="36">
        <v>45487</v>
      </c>
      <c r="M3637" t="s">
        <v>603</v>
      </c>
      <c r="N3637" t="s">
        <v>604</v>
      </c>
      <c r="O3637" s="37" t="str">
        <f t="shared" si="283"/>
        <v>Digital Payment</v>
      </c>
      <c r="P3637">
        <v>576.25</v>
      </c>
      <c r="Q3637" s="37" t="str">
        <f>IF(P3637&gt;500,"High","low")</f>
        <v>High</v>
      </c>
      <c r="R3637" s="37" t="str">
        <f t="shared" si="284"/>
        <v>Good</v>
      </c>
      <c r="S3637" t="s">
        <v>600</v>
      </c>
    </row>
    <row r="3638" spans="1:19" x14ac:dyDescent="0.2">
      <c r="A3638" t="s">
        <v>4249</v>
      </c>
      <c r="B3638" t="s">
        <v>75</v>
      </c>
      <c r="C3638" t="s">
        <v>602</v>
      </c>
      <c r="D3638">
        <v>4779.82</v>
      </c>
      <c r="E3638" s="37" t="str">
        <f t="shared" si="280"/>
        <v xml:space="preserve"> </v>
      </c>
      <c r="F3638">
        <v>0.2</v>
      </c>
      <c r="G3638" s="37" t="str">
        <f t="shared" si="281"/>
        <v>Normal Discount</v>
      </c>
      <c r="H3638" s="37" t="str">
        <f t="shared" si="282"/>
        <v>Medium</v>
      </c>
      <c r="I3638">
        <v>7</v>
      </c>
      <c r="J3638" t="str" cm="1">
        <f t="array" ref="J3638">_xlfn.IFS(I3638&lt;=3,"small",I3638&lt;=6,"Medium",I3638&lt;=9,"Large")</f>
        <v>Large</v>
      </c>
      <c r="K3638" s="36">
        <v>45362</v>
      </c>
      <c r="L3638" s="36">
        <v>45364</v>
      </c>
      <c r="M3638" t="s">
        <v>598</v>
      </c>
      <c r="N3638" t="s">
        <v>604</v>
      </c>
      <c r="O3638" s="37" t="str">
        <f t="shared" si="283"/>
        <v>Digital Payment</v>
      </c>
      <c r="P3638">
        <v>319.49</v>
      </c>
      <c r="Q3638" s="37" t="str">
        <f>IF(P3638&gt;500,"High","low")</f>
        <v>low</v>
      </c>
      <c r="R3638" s="37" t="str">
        <f t="shared" si="284"/>
        <v>AVERAGE</v>
      </c>
      <c r="S3638" t="s">
        <v>609</v>
      </c>
    </row>
    <row r="3639" spans="1:19" x14ac:dyDescent="0.2">
      <c r="A3639" t="s">
        <v>4250</v>
      </c>
      <c r="B3639" t="s">
        <v>75</v>
      </c>
      <c r="C3639" t="s">
        <v>614</v>
      </c>
      <c r="D3639">
        <v>1416.02</v>
      </c>
      <c r="E3639" s="37" t="str">
        <f t="shared" si="280"/>
        <v xml:space="preserve"> </v>
      </c>
      <c r="F3639">
        <v>0.45</v>
      </c>
      <c r="G3639" s="37" t="str">
        <f t="shared" si="281"/>
        <v>Heavy Discount</v>
      </c>
      <c r="H3639" s="37" t="str">
        <f t="shared" si="282"/>
        <v>High</v>
      </c>
      <c r="I3639">
        <v>8</v>
      </c>
      <c r="J3639" t="str" cm="1">
        <f t="array" ref="J3639">_xlfn.IFS(I3639&lt;=3,"small",I3639&lt;=6,"Medium",I3639&lt;=9,"Large")</f>
        <v>Large</v>
      </c>
      <c r="K3639" s="36">
        <v>44963</v>
      </c>
      <c r="L3639" s="36">
        <v>44967</v>
      </c>
      <c r="M3639" t="s">
        <v>603</v>
      </c>
      <c r="N3639" t="s">
        <v>608</v>
      </c>
      <c r="O3639" s="37" t="str">
        <f t="shared" si="283"/>
        <v>Cash Payment</v>
      </c>
      <c r="P3639">
        <v>381.37</v>
      </c>
      <c r="Q3639" s="37" t="str">
        <f>IF(P3639&gt;500,"High","low")</f>
        <v>low</v>
      </c>
      <c r="R3639" s="37" t="str">
        <f t="shared" si="284"/>
        <v>AVERAGE</v>
      </c>
      <c r="S3639" t="s">
        <v>620</v>
      </c>
    </row>
    <row r="3640" spans="1:19" x14ac:dyDescent="0.2">
      <c r="A3640" t="s">
        <v>4251</v>
      </c>
      <c r="B3640" t="s">
        <v>83</v>
      </c>
      <c r="C3640" t="s">
        <v>614</v>
      </c>
      <c r="D3640">
        <v>1938.03</v>
      </c>
      <c r="E3640" s="37" t="str">
        <f t="shared" si="280"/>
        <v xml:space="preserve"> </v>
      </c>
      <c r="F3640">
        <v>0.41</v>
      </c>
      <c r="G3640" s="37" t="str">
        <f t="shared" si="281"/>
        <v>Heavy Discount</v>
      </c>
      <c r="H3640" s="37" t="str">
        <f t="shared" si="282"/>
        <v>High</v>
      </c>
      <c r="I3640">
        <v>4</v>
      </c>
      <c r="J3640" t="str" cm="1">
        <f t="array" ref="J3640">_xlfn.IFS(I3640&lt;=3,"small",I3640&lt;=6,"Medium",I3640&lt;=9,"Large")</f>
        <v>Medium</v>
      </c>
      <c r="K3640" s="36">
        <v>45563</v>
      </c>
      <c r="L3640" s="36">
        <v>45564</v>
      </c>
      <c r="M3640" t="s">
        <v>598</v>
      </c>
      <c r="N3640" t="s">
        <v>599</v>
      </c>
      <c r="O3640" s="37" t="str">
        <f t="shared" si="283"/>
        <v>Digital Payment</v>
      </c>
      <c r="P3640">
        <v>202.61</v>
      </c>
      <c r="Q3640" s="37" t="str">
        <f>IF(P3640&gt;500,"High","low")</f>
        <v>low</v>
      </c>
      <c r="R3640" s="37" t="str">
        <f t="shared" si="284"/>
        <v>AVERAGE</v>
      </c>
      <c r="S3640" t="s">
        <v>620</v>
      </c>
    </row>
    <row r="3641" spans="1:19" x14ac:dyDescent="0.2">
      <c r="A3641" t="s">
        <v>4252</v>
      </c>
      <c r="B3641" t="s">
        <v>90</v>
      </c>
      <c r="C3641" t="s">
        <v>617</v>
      </c>
      <c r="D3641">
        <v>3773.6</v>
      </c>
      <c r="E3641" s="37" t="str">
        <f t="shared" si="280"/>
        <v xml:space="preserve"> </v>
      </c>
      <c r="F3641">
        <v>0.08</v>
      </c>
      <c r="G3641" s="37" t="str">
        <f t="shared" si="281"/>
        <v>Normal Discount</v>
      </c>
      <c r="H3641" s="37" t="str">
        <f t="shared" si="282"/>
        <v>Low</v>
      </c>
      <c r="I3641">
        <v>8</v>
      </c>
      <c r="J3641" t="str" cm="1">
        <f t="array" ref="J3641">_xlfn.IFS(I3641&lt;=3,"small",I3641&lt;=6,"Medium",I3641&lt;=9,"Large")</f>
        <v>Large</v>
      </c>
      <c r="K3641" s="36">
        <v>44986</v>
      </c>
      <c r="L3641" s="36">
        <v>44988</v>
      </c>
      <c r="M3641" t="s">
        <v>603</v>
      </c>
      <c r="N3641" t="s">
        <v>608</v>
      </c>
      <c r="O3641" s="37" t="str">
        <f t="shared" si="283"/>
        <v>Cash Payment</v>
      </c>
      <c r="P3641">
        <v>1089.93</v>
      </c>
      <c r="Q3641" s="37" t="str">
        <f>IF(P3641&gt;500,"High","low")</f>
        <v>High</v>
      </c>
      <c r="R3641" s="37" t="str">
        <f t="shared" si="284"/>
        <v>Excellent</v>
      </c>
      <c r="S3641" t="s">
        <v>628</v>
      </c>
    </row>
    <row r="3642" spans="1:19" x14ac:dyDescent="0.2">
      <c r="A3642" t="s">
        <v>4253</v>
      </c>
      <c r="B3642" t="s">
        <v>83</v>
      </c>
      <c r="C3642" t="s">
        <v>602</v>
      </c>
      <c r="D3642">
        <v>1241.23</v>
      </c>
      <c r="E3642" s="37" t="str">
        <f t="shared" si="280"/>
        <v xml:space="preserve"> </v>
      </c>
      <c r="F3642">
        <v>0.39</v>
      </c>
      <c r="G3642" s="37" t="str">
        <f t="shared" si="281"/>
        <v>Heavy Discount</v>
      </c>
      <c r="H3642" s="37" t="str">
        <f t="shared" si="282"/>
        <v>Medium</v>
      </c>
      <c r="I3642">
        <v>6</v>
      </c>
      <c r="J3642" t="str" cm="1">
        <f t="array" ref="J3642">_xlfn.IFS(I3642&lt;=3,"small",I3642&lt;=6,"Medium",I3642&lt;=9,"Large")</f>
        <v>Medium</v>
      </c>
      <c r="K3642" s="36">
        <v>45358</v>
      </c>
      <c r="L3642" s="36">
        <v>45364</v>
      </c>
      <c r="M3642" t="s">
        <v>612</v>
      </c>
      <c r="N3642" t="s">
        <v>608</v>
      </c>
      <c r="O3642" s="37" t="str">
        <f t="shared" si="283"/>
        <v>Cash Payment</v>
      </c>
      <c r="P3642">
        <v>130.22999999999999</v>
      </c>
      <c r="Q3642" s="37" t="str">
        <f>IF(P3642&gt;500,"High","low")</f>
        <v>low</v>
      </c>
      <c r="R3642" s="37" t="str">
        <f t="shared" si="284"/>
        <v>AVERAGE</v>
      </c>
      <c r="S3642" t="s">
        <v>605</v>
      </c>
    </row>
    <row r="3643" spans="1:19" x14ac:dyDescent="0.2">
      <c r="A3643" t="s">
        <v>4254</v>
      </c>
      <c r="B3643" t="s">
        <v>90</v>
      </c>
      <c r="C3643" t="s">
        <v>602</v>
      </c>
      <c r="D3643">
        <v>2625.33</v>
      </c>
      <c r="E3643" s="37" t="str">
        <f t="shared" si="280"/>
        <v xml:space="preserve"> </v>
      </c>
      <c r="F3643">
        <v>0.26</v>
      </c>
      <c r="G3643" s="37" t="str">
        <f t="shared" si="281"/>
        <v>Normal Discount</v>
      </c>
      <c r="H3643" s="37" t="str">
        <f t="shared" si="282"/>
        <v>Medium</v>
      </c>
      <c r="I3643">
        <v>7</v>
      </c>
      <c r="J3643" t="str" cm="1">
        <f t="array" ref="J3643">_xlfn.IFS(I3643&lt;=3,"small",I3643&lt;=6,"Medium",I3643&lt;=9,"Large")</f>
        <v>Large</v>
      </c>
      <c r="K3643" s="36">
        <v>45340</v>
      </c>
      <c r="L3643" s="36">
        <v>45345</v>
      </c>
      <c r="M3643" t="s">
        <v>598</v>
      </c>
      <c r="N3643" t="s">
        <v>608</v>
      </c>
      <c r="O3643" s="37" t="str">
        <f t="shared" si="283"/>
        <v>Cash Payment</v>
      </c>
      <c r="P3643">
        <v>693.08</v>
      </c>
      <c r="Q3643" s="37" t="str">
        <f>IF(P3643&gt;500,"High","low")</f>
        <v>High</v>
      </c>
      <c r="R3643" s="37" t="str">
        <f t="shared" si="284"/>
        <v>Good</v>
      </c>
      <c r="S3643" t="s">
        <v>609</v>
      </c>
    </row>
    <row r="3644" spans="1:19" x14ac:dyDescent="0.2">
      <c r="A3644" t="s">
        <v>4255</v>
      </c>
      <c r="B3644" t="s">
        <v>75</v>
      </c>
      <c r="C3644" t="s">
        <v>597</v>
      </c>
      <c r="D3644">
        <v>3671.07</v>
      </c>
      <c r="E3644" s="37" t="str">
        <f t="shared" si="280"/>
        <v xml:space="preserve"> </v>
      </c>
      <c r="F3644">
        <v>0.46</v>
      </c>
      <c r="G3644" s="37" t="str">
        <f t="shared" si="281"/>
        <v>Heavy Discount</v>
      </c>
      <c r="H3644" s="37" t="str">
        <f t="shared" si="282"/>
        <v>High</v>
      </c>
      <c r="I3644">
        <v>7</v>
      </c>
      <c r="J3644" t="str" cm="1">
        <f t="array" ref="J3644">_xlfn.IFS(I3644&lt;=3,"small",I3644&lt;=6,"Medium",I3644&lt;=9,"Large")</f>
        <v>Large</v>
      </c>
      <c r="K3644" s="36">
        <v>45142</v>
      </c>
      <c r="L3644" s="36">
        <v>45144</v>
      </c>
      <c r="M3644" t="s">
        <v>603</v>
      </c>
      <c r="N3644" t="s">
        <v>608</v>
      </c>
      <c r="O3644" s="37" t="str">
        <f t="shared" si="283"/>
        <v>Cash Payment</v>
      </c>
      <c r="P3644">
        <v>1025.74</v>
      </c>
      <c r="Q3644" s="37" t="str">
        <f>IF(P3644&gt;500,"High","low")</f>
        <v>High</v>
      </c>
      <c r="R3644" s="37" t="str">
        <f t="shared" si="284"/>
        <v>Excellent</v>
      </c>
      <c r="S3644" t="s">
        <v>620</v>
      </c>
    </row>
    <row r="3645" spans="1:19" x14ac:dyDescent="0.2">
      <c r="A3645" t="s">
        <v>4256</v>
      </c>
      <c r="B3645" t="s">
        <v>67</v>
      </c>
      <c r="C3645" t="s">
        <v>617</v>
      </c>
      <c r="D3645">
        <v>3255.44</v>
      </c>
      <c r="E3645" s="37" t="str">
        <f t="shared" si="280"/>
        <v xml:space="preserve"> </v>
      </c>
      <c r="F3645">
        <v>0.09</v>
      </c>
      <c r="G3645" s="37" t="str">
        <f t="shared" si="281"/>
        <v>Normal Discount</v>
      </c>
      <c r="H3645" s="37" t="str">
        <f t="shared" si="282"/>
        <v>Low</v>
      </c>
      <c r="I3645">
        <v>8</v>
      </c>
      <c r="J3645" t="str" cm="1">
        <f t="array" ref="J3645">_xlfn.IFS(I3645&lt;=3,"small",I3645&lt;=6,"Medium",I3645&lt;=9,"Large")</f>
        <v>Large</v>
      </c>
      <c r="K3645" s="36">
        <v>45535</v>
      </c>
      <c r="L3645" s="36">
        <v>45537</v>
      </c>
      <c r="M3645" t="s">
        <v>603</v>
      </c>
      <c r="N3645" t="s">
        <v>608</v>
      </c>
      <c r="O3645" s="37" t="str">
        <f t="shared" si="283"/>
        <v>Cash Payment</v>
      </c>
      <c r="P3645">
        <v>913.24</v>
      </c>
      <c r="Q3645" s="37" t="str">
        <f>IF(P3645&gt;500,"High","low")</f>
        <v>High</v>
      </c>
      <c r="R3645" s="37" t="str">
        <f t="shared" si="284"/>
        <v>Good</v>
      </c>
      <c r="S3645" t="s">
        <v>615</v>
      </c>
    </row>
    <row r="3646" spans="1:19" x14ac:dyDescent="0.2">
      <c r="A3646" t="s">
        <v>4257</v>
      </c>
      <c r="B3646" t="s">
        <v>83</v>
      </c>
      <c r="C3646" t="s">
        <v>617</v>
      </c>
      <c r="D3646">
        <v>861.31</v>
      </c>
      <c r="E3646" s="37" t="str">
        <f t="shared" si="280"/>
        <v xml:space="preserve"> </v>
      </c>
      <c r="F3646">
        <v>0.06</v>
      </c>
      <c r="G3646" s="37" t="str">
        <f t="shared" si="281"/>
        <v>Normal Discount</v>
      </c>
      <c r="H3646" s="37" t="str">
        <f t="shared" si="282"/>
        <v>Low</v>
      </c>
      <c r="I3646">
        <v>5</v>
      </c>
      <c r="J3646" t="str" cm="1">
        <f t="array" ref="J3646">_xlfn.IFS(I3646&lt;=3,"small",I3646&lt;=6,"Medium",I3646&lt;=9,"Large")</f>
        <v>Medium</v>
      </c>
      <c r="K3646" s="36">
        <v>45064</v>
      </c>
      <c r="L3646" s="36">
        <v>45067</v>
      </c>
      <c r="M3646" t="s">
        <v>598</v>
      </c>
      <c r="N3646" t="s">
        <v>604</v>
      </c>
      <c r="O3646" s="37" t="str">
        <f t="shared" si="283"/>
        <v>Digital Payment</v>
      </c>
      <c r="P3646">
        <v>69.709999999999994</v>
      </c>
      <c r="Q3646" s="37" t="str">
        <f>IF(P3646&gt;500,"High","low")</f>
        <v>low</v>
      </c>
      <c r="R3646" s="37" t="str">
        <f t="shared" si="284"/>
        <v>AVERAGE</v>
      </c>
      <c r="S3646" t="s">
        <v>600</v>
      </c>
    </row>
    <row r="3647" spans="1:19" x14ac:dyDescent="0.2">
      <c r="A3647" t="s">
        <v>4258</v>
      </c>
      <c r="B3647" t="s">
        <v>67</v>
      </c>
      <c r="C3647" t="s">
        <v>597</v>
      </c>
      <c r="D3647">
        <v>3185.34</v>
      </c>
      <c r="E3647" s="37" t="str">
        <f t="shared" si="280"/>
        <v xml:space="preserve"> </v>
      </c>
      <c r="F3647">
        <v>0.12</v>
      </c>
      <c r="G3647" s="37" t="str">
        <f t="shared" si="281"/>
        <v>Normal Discount</v>
      </c>
      <c r="H3647" s="37" t="str">
        <f t="shared" si="282"/>
        <v>Low</v>
      </c>
      <c r="I3647">
        <v>2</v>
      </c>
      <c r="J3647" t="str" cm="1">
        <f t="array" ref="J3647">_xlfn.IFS(I3647&lt;=3,"small",I3647&lt;=6,"Medium",I3647&lt;=9,"Large")</f>
        <v>small</v>
      </c>
      <c r="K3647" s="36">
        <v>45253</v>
      </c>
      <c r="L3647" s="36">
        <v>45257</v>
      </c>
      <c r="M3647" t="s">
        <v>598</v>
      </c>
      <c r="N3647" t="s">
        <v>608</v>
      </c>
      <c r="O3647" s="37" t="str">
        <f t="shared" si="283"/>
        <v>Cash Payment</v>
      </c>
      <c r="P3647">
        <v>693.67</v>
      </c>
      <c r="Q3647" s="37" t="str">
        <f>IF(P3647&gt;500,"High","low")</f>
        <v>High</v>
      </c>
      <c r="R3647" s="37" t="str">
        <f t="shared" si="284"/>
        <v>Good</v>
      </c>
      <c r="S3647" t="s">
        <v>609</v>
      </c>
    </row>
    <row r="3648" spans="1:19" x14ac:dyDescent="0.2">
      <c r="A3648" t="s">
        <v>4259</v>
      </c>
      <c r="B3648" t="s">
        <v>83</v>
      </c>
      <c r="C3648" t="s">
        <v>597</v>
      </c>
      <c r="D3648">
        <v>2906.28</v>
      </c>
      <c r="E3648" s="37" t="str">
        <f t="shared" si="280"/>
        <v xml:space="preserve"> </v>
      </c>
      <c r="F3648">
        <v>0.03</v>
      </c>
      <c r="G3648" s="37" t="str">
        <f t="shared" si="281"/>
        <v>Normal Discount</v>
      </c>
      <c r="H3648" s="37" t="str">
        <f t="shared" si="282"/>
        <v>Low</v>
      </c>
      <c r="I3648">
        <v>8</v>
      </c>
      <c r="J3648" t="str" cm="1">
        <f t="array" ref="J3648">_xlfn.IFS(I3648&lt;=3,"small",I3648&lt;=6,"Medium",I3648&lt;=9,"Large")</f>
        <v>Large</v>
      </c>
      <c r="K3648" s="36">
        <v>44928</v>
      </c>
      <c r="L3648" s="36">
        <v>44930</v>
      </c>
      <c r="M3648" t="s">
        <v>598</v>
      </c>
      <c r="N3648" t="s">
        <v>599</v>
      </c>
      <c r="O3648" s="37" t="str">
        <f t="shared" si="283"/>
        <v>Digital Payment</v>
      </c>
      <c r="P3648">
        <v>743.56</v>
      </c>
      <c r="Q3648" s="37" t="str">
        <f>IF(P3648&gt;500,"High","low")</f>
        <v>High</v>
      </c>
      <c r="R3648" s="37" t="str">
        <f t="shared" si="284"/>
        <v>Good</v>
      </c>
      <c r="S3648" t="s">
        <v>620</v>
      </c>
    </row>
    <row r="3649" spans="1:19" x14ac:dyDescent="0.2">
      <c r="A3649" t="s">
        <v>4260</v>
      </c>
      <c r="B3649" t="s">
        <v>75</v>
      </c>
      <c r="C3649" t="s">
        <v>614</v>
      </c>
      <c r="D3649">
        <v>2833.44</v>
      </c>
      <c r="E3649" s="37" t="str">
        <f t="shared" si="280"/>
        <v xml:space="preserve"> </v>
      </c>
      <c r="F3649">
        <v>0.16</v>
      </c>
      <c r="G3649" s="37" t="str">
        <f t="shared" si="281"/>
        <v>Normal Discount</v>
      </c>
      <c r="H3649" s="37" t="str">
        <f t="shared" si="282"/>
        <v>Low</v>
      </c>
      <c r="I3649">
        <v>1</v>
      </c>
      <c r="J3649" t="str" cm="1">
        <f t="array" ref="J3649">_xlfn.IFS(I3649&lt;=3,"small",I3649&lt;=6,"Medium",I3649&lt;=9,"Large")</f>
        <v>small</v>
      </c>
      <c r="K3649" s="36">
        <v>45510</v>
      </c>
      <c r="L3649" s="36">
        <v>45515</v>
      </c>
      <c r="M3649" t="s">
        <v>603</v>
      </c>
      <c r="N3649" t="s">
        <v>608</v>
      </c>
      <c r="O3649" s="37" t="str">
        <f t="shared" si="283"/>
        <v>Cash Payment</v>
      </c>
      <c r="P3649">
        <v>662.98</v>
      </c>
      <c r="Q3649" s="37" t="str">
        <f>IF(P3649&gt;500,"High","low")</f>
        <v>High</v>
      </c>
      <c r="R3649" s="37" t="str">
        <f t="shared" si="284"/>
        <v>Good</v>
      </c>
      <c r="S3649" t="s">
        <v>620</v>
      </c>
    </row>
    <row r="3650" spans="1:19" x14ac:dyDescent="0.2">
      <c r="A3650" t="s">
        <v>4261</v>
      </c>
      <c r="B3650" t="s">
        <v>75</v>
      </c>
      <c r="C3650" t="s">
        <v>617</v>
      </c>
      <c r="D3650">
        <v>4147.63</v>
      </c>
      <c r="E3650" s="37" t="str">
        <f t="shared" si="280"/>
        <v xml:space="preserve"> </v>
      </c>
      <c r="F3650">
        <v>0.14000000000000001</v>
      </c>
      <c r="G3650" s="37" t="str">
        <f t="shared" si="281"/>
        <v>Normal Discount</v>
      </c>
      <c r="H3650" s="37" t="str">
        <f t="shared" si="282"/>
        <v>Low</v>
      </c>
      <c r="I3650">
        <v>2</v>
      </c>
      <c r="J3650" t="str" cm="1">
        <f t="array" ref="J3650">_xlfn.IFS(I3650&lt;=3,"small",I3650&lt;=6,"Medium",I3650&lt;=9,"Large")</f>
        <v>small</v>
      </c>
      <c r="K3650" s="36">
        <v>45422</v>
      </c>
      <c r="L3650" s="36">
        <v>45425</v>
      </c>
      <c r="M3650" t="s">
        <v>603</v>
      </c>
      <c r="N3650" t="s">
        <v>608</v>
      </c>
      <c r="O3650" s="37" t="str">
        <f t="shared" si="283"/>
        <v>Cash Payment</v>
      </c>
      <c r="P3650">
        <v>698.34</v>
      </c>
      <c r="Q3650" s="37" t="str">
        <f>IF(P3650&gt;500,"High","low")</f>
        <v>High</v>
      </c>
      <c r="R3650" s="37" t="str">
        <f t="shared" si="284"/>
        <v>Good</v>
      </c>
      <c r="S3650" t="s">
        <v>615</v>
      </c>
    </row>
    <row r="3651" spans="1:19" x14ac:dyDescent="0.2">
      <c r="A3651" t="s">
        <v>4262</v>
      </c>
      <c r="B3651" t="s">
        <v>75</v>
      </c>
      <c r="C3651" t="s">
        <v>617</v>
      </c>
      <c r="D3651">
        <v>1001.09</v>
      </c>
      <c r="E3651" s="37" t="str">
        <f t="shared" ref="E3651:E3714" si="285">IF(AND(D3651&gt;4000,P3651&gt;800),"Excellent Order"," ")</f>
        <v xml:space="preserve"> </v>
      </c>
      <c r="F3651">
        <v>0.21</v>
      </c>
      <c r="G3651" s="37" t="str">
        <f t="shared" ref="G3651:G3714" si="286">IF(F3651&gt;30%,"Heavy Discount","Normal Discount")</f>
        <v>Normal Discount</v>
      </c>
      <c r="H3651" s="37" t="str">
        <f t="shared" ref="H3651:H3714" si="287">IF(F3651&gt;0.4,"High",IF(F3651&gt;=0.2,"Medium","Low"))</f>
        <v>Medium</v>
      </c>
      <c r="I3651">
        <v>5</v>
      </c>
      <c r="J3651" t="str" cm="1">
        <f t="array" ref="J3651">_xlfn.IFS(I3651&lt;=3,"small",I3651&lt;=6,"Medium",I3651&lt;=9,"Large")</f>
        <v>Medium</v>
      </c>
      <c r="K3651" s="36">
        <v>45394</v>
      </c>
      <c r="L3651" s="36">
        <v>45401</v>
      </c>
      <c r="M3651" t="s">
        <v>612</v>
      </c>
      <c r="N3651" t="s">
        <v>599</v>
      </c>
      <c r="O3651" s="37" t="str">
        <f t="shared" ref="O3651:O3714" si="288">IF(OR(N3651="Card",N3651="UPI"),"Digital Payment","Cash Payment")</f>
        <v>Digital Payment</v>
      </c>
      <c r="P3651">
        <v>285.64999999999998</v>
      </c>
      <c r="Q3651" s="37" t="str">
        <f>IF(P3651&gt;500,"High","low")</f>
        <v>low</v>
      </c>
      <c r="R3651" s="37" t="str">
        <f t="shared" ref="R3651:R3714" si="289">IF(P3651&gt;1000,"Excellent",IF(P3651&gt;=500,"Good","AVERAGE"))</f>
        <v>AVERAGE</v>
      </c>
      <c r="S3651" t="s">
        <v>609</v>
      </c>
    </row>
    <row r="3652" spans="1:19" x14ac:dyDescent="0.2">
      <c r="A3652" t="s">
        <v>4263</v>
      </c>
      <c r="B3652" t="s">
        <v>83</v>
      </c>
      <c r="C3652" t="s">
        <v>597</v>
      </c>
      <c r="D3652">
        <v>3782.67</v>
      </c>
      <c r="E3652" s="37" t="str">
        <f t="shared" si="285"/>
        <v xml:space="preserve"> </v>
      </c>
      <c r="F3652">
        <v>0.23</v>
      </c>
      <c r="G3652" s="37" t="str">
        <f t="shared" si="286"/>
        <v>Normal Discount</v>
      </c>
      <c r="H3652" s="37" t="str">
        <f t="shared" si="287"/>
        <v>Medium</v>
      </c>
      <c r="I3652">
        <v>4</v>
      </c>
      <c r="J3652" t="str" cm="1">
        <f t="array" ref="J3652">_xlfn.IFS(I3652&lt;=3,"small",I3652&lt;=6,"Medium",I3652&lt;=9,"Large")</f>
        <v>Medium</v>
      </c>
      <c r="K3652" s="36">
        <v>45152</v>
      </c>
      <c r="L3652" s="36">
        <v>45154</v>
      </c>
      <c r="M3652" t="s">
        <v>598</v>
      </c>
      <c r="N3652" t="s">
        <v>604</v>
      </c>
      <c r="O3652" s="37" t="str">
        <f t="shared" si="288"/>
        <v>Digital Payment</v>
      </c>
      <c r="P3652">
        <v>359.18</v>
      </c>
      <c r="Q3652" s="37" t="str">
        <f>IF(P3652&gt;500,"High","low")</f>
        <v>low</v>
      </c>
      <c r="R3652" s="37" t="str">
        <f t="shared" si="289"/>
        <v>AVERAGE</v>
      </c>
      <c r="S3652" t="s">
        <v>620</v>
      </c>
    </row>
    <row r="3653" spans="1:19" x14ac:dyDescent="0.2">
      <c r="A3653" t="s">
        <v>4264</v>
      </c>
      <c r="B3653" t="s">
        <v>90</v>
      </c>
      <c r="C3653" t="s">
        <v>607</v>
      </c>
      <c r="D3653">
        <v>3828.54</v>
      </c>
      <c r="E3653" s="37" t="str">
        <f t="shared" si="285"/>
        <v xml:space="preserve"> </v>
      </c>
      <c r="F3653">
        <v>7.0000000000000007E-2</v>
      </c>
      <c r="G3653" s="37" t="str">
        <f t="shared" si="286"/>
        <v>Normal Discount</v>
      </c>
      <c r="H3653" s="37" t="str">
        <f t="shared" si="287"/>
        <v>Low</v>
      </c>
      <c r="I3653">
        <v>2</v>
      </c>
      <c r="J3653" t="str" cm="1">
        <f t="array" ref="J3653">_xlfn.IFS(I3653&lt;=3,"small",I3653&lt;=6,"Medium",I3653&lt;=9,"Large")</f>
        <v>small</v>
      </c>
      <c r="K3653" s="36">
        <v>45165</v>
      </c>
      <c r="L3653" s="36">
        <v>45172</v>
      </c>
      <c r="M3653" t="s">
        <v>612</v>
      </c>
      <c r="N3653" t="s">
        <v>599</v>
      </c>
      <c r="O3653" s="37" t="str">
        <f t="shared" si="288"/>
        <v>Digital Payment</v>
      </c>
      <c r="P3653">
        <v>1031.4000000000001</v>
      </c>
      <c r="Q3653" s="37" t="str">
        <f>IF(P3653&gt;500,"High","low")</f>
        <v>High</v>
      </c>
      <c r="R3653" s="37" t="str">
        <f t="shared" si="289"/>
        <v>Excellent</v>
      </c>
      <c r="S3653" t="s">
        <v>600</v>
      </c>
    </row>
    <row r="3654" spans="1:19" x14ac:dyDescent="0.2">
      <c r="A3654" t="s">
        <v>4265</v>
      </c>
      <c r="B3654" t="s">
        <v>83</v>
      </c>
      <c r="C3654" t="s">
        <v>607</v>
      </c>
      <c r="D3654">
        <v>3640.96</v>
      </c>
      <c r="E3654" s="37" t="str">
        <f t="shared" si="285"/>
        <v xml:space="preserve"> </v>
      </c>
      <c r="F3654">
        <v>0.31</v>
      </c>
      <c r="G3654" s="37" t="str">
        <f t="shared" si="286"/>
        <v>Heavy Discount</v>
      </c>
      <c r="H3654" s="37" t="str">
        <f t="shared" si="287"/>
        <v>Medium</v>
      </c>
      <c r="I3654">
        <v>4</v>
      </c>
      <c r="J3654" t="str" cm="1">
        <f t="array" ref="J3654">_xlfn.IFS(I3654&lt;=3,"small",I3654&lt;=6,"Medium",I3654&lt;=9,"Large")</f>
        <v>Medium</v>
      </c>
      <c r="K3654" s="36">
        <v>45100</v>
      </c>
      <c r="L3654" s="36">
        <v>45105</v>
      </c>
      <c r="M3654" t="s">
        <v>598</v>
      </c>
      <c r="N3654" t="s">
        <v>604</v>
      </c>
      <c r="O3654" s="37" t="str">
        <f t="shared" si="288"/>
        <v>Digital Payment</v>
      </c>
      <c r="P3654">
        <v>401.51</v>
      </c>
      <c r="Q3654" s="37" t="str">
        <f>IF(P3654&gt;500,"High","low")</f>
        <v>low</v>
      </c>
      <c r="R3654" s="37" t="str">
        <f t="shared" si="289"/>
        <v>AVERAGE</v>
      </c>
      <c r="S3654" t="s">
        <v>600</v>
      </c>
    </row>
    <row r="3655" spans="1:19" x14ac:dyDescent="0.2">
      <c r="A3655" t="s">
        <v>4266</v>
      </c>
      <c r="B3655" t="s">
        <v>90</v>
      </c>
      <c r="C3655" t="s">
        <v>614</v>
      </c>
      <c r="D3655">
        <v>2579.2399999999998</v>
      </c>
      <c r="E3655" s="37" t="str">
        <f t="shared" si="285"/>
        <v xml:space="preserve"> </v>
      </c>
      <c r="F3655">
        <v>0.11</v>
      </c>
      <c r="G3655" s="37" t="str">
        <f t="shared" si="286"/>
        <v>Normal Discount</v>
      </c>
      <c r="H3655" s="37" t="str">
        <f t="shared" si="287"/>
        <v>Low</v>
      </c>
      <c r="I3655">
        <v>7</v>
      </c>
      <c r="J3655" t="str" cm="1">
        <f t="array" ref="J3655">_xlfn.IFS(I3655&lt;=3,"small",I3655&lt;=6,"Medium",I3655&lt;=9,"Large")</f>
        <v>Large</v>
      </c>
      <c r="K3655" s="36">
        <v>45299</v>
      </c>
      <c r="L3655" s="36">
        <v>45300</v>
      </c>
      <c r="M3655" t="s">
        <v>603</v>
      </c>
      <c r="N3655" t="s">
        <v>604</v>
      </c>
      <c r="O3655" s="37" t="str">
        <f t="shared" si="288"/>
        <v>Digital Payment</v>
      </c>
      <c r="P3655">
        <v>419.48</v>
      </c>
      <c r="Q3655" s="37" t="str">
        <f>IF(P3655&gt;500,"High","low")</f>
        <v>low</v>
      </c>
      <c r="R3655" s="37" t="str">
        <f t="shared" si="289"/>
        <v>AVERAGE</v>
      </c>
      <c r="S3655" t="s">
        <v>600</v>
      </c>
    </row>
    <row r="3656" spans="1:19" x14ac:dyDescent="0.2">
      <c r="A3656" t="s">
        <v>4267</v>
      </c>
      <c r="B3656" t="s">
        <v>83</v>
      </c>
      <c r="C3656" t="s">
        <v>607</v>
      </c>
      <c r="D3656">
        <v>2038.14</v>
      </c>
      <c r="E3656" s="37" t="str">
        <f t="shared" si="285"/>
        <v xml:space="preserve"> </v>
      </c>
      <c r="F3656">
        <v>0.06</v>
      </c>
      <c r="G3656" s="37" t="str">
        <f t="shared" si="286"/>
        <v>Normal Discount</v>
      </c>
      <c r="H3656" s="37" t="str">
        <f t="shared" si="287"/>
        <v>Low</v>
      </c>
      <c r="I3656">
        <v>5</v>
      </c>
      <c r="J3656" t="str" cm="1">
        <f t="array" ref="J3656">_xlfn.IFS(I3656&lt;=3,"small",I3656&lt;=6,"Medium",I3656&lt;=9,"Large")</f>
        <v>Medium</v>
      </c>
      <c r="K3656" s="36">
        <v>45095</v>
      </c>
      <c r="L3656" s="36">
        <v>45101</v>
      </c>
      <c r="M3656" t="s">
        <v>598</v>
      </c>
      <c r="N3656" t="s">
        <v>604</v>
      </c>
      <c r="O3656" s="37" t="str">
        <f t="shared" si="288"/>
        <v>Digital Payment</v>
      </c>
      <c r="P3656">
        <v>337.59</v>
      </c>
      <c r="Q3656" s="37" t="str">
        <f>IF(P3656&gt;500,"High","low")</f>
        <v>low</v>
      </c>
      <c r="R3656" s="37" t="str">
        <f t="shared" si="289"/>
        <v>AVERAGE</v>
      </c>
      <c r="S3656" t="s">
        <v>605</v>
      </c>
    </row>
    <row r="3657" spans="1:19" x14ac:dyDescent="0.2">
      <c r="A3657" t="s">
        <v>4268</v>
      </c>
      <c r="B3657" t="s">
        <v>83</v>
      </c>
      <c r="C3657" t="s">
        <v>607</v>
      </c>
      <c r="D3657">
        <v>2033.92</v>
      </c>
      <c r="E3657" s="37" t="str">
        <f t="shared" si="285"/>
        <v xml:space="preserve"> </v>
      </c>
      <c r="F3657">
        <v>0.35</v>
      </c>
      <c r="G3657" s="37" t="str">
        <f t="shared" si="286"/>
        <v>Heavy Discount</v>
      </c>
      <c r="H3657" s="37" t="str">
        <f t="shared" si="287"/>
        <v>Medium</v>
      </c>
      <c r="I3657">
        <v>4</v>
      </c>
      <c r="J3657" t="str" cm="1">
        <f t="array" ref="J3657">_xlfn.IFS(I3657&lt;=3,"small",I3657&lt;=6,"Medium",I3657&lt;=9,"Large")</f>
        <v>Medium</v>
      </c>
      <c r="K3657" s="36">
        <v>44930</v>
      </c>
      <c r="L3657" s="36">
        <v>44932</v>
      </c>
      <c r="M3657" t="s">
        <v>612</v>
      </c>
      <c r="N3657" t="s">
        <v>599</v>
      </c>
      <c r="O3657" s="37" t="str">
        <f t="shared" si="288"/>
        <v>Digital Payment</v>
      </c>
      <c r="P3657">
        <v>248.86</v>
      </c>
      <c r="Q3657" s="37" t="str">
        <f>IF(P3657&gt;500,"High","low")</f>
        <v>low</v>
      </c>
      <c r="R3657" s="37" t="str">
        <f t="shared" si="289"/>
        <v>AVERAGE</v>
      </c>
      <c r="S3657" t="s">
        <v>609</v>
      </c>
    </row>
    <row r="3658" spans="1:19" x14ac:dyDescent="0.2">
      <c r="A3658" t="s">
        <v>4269</v>
      </c>
      <c r="B3658" t="s">
        <v>75</v>
      </c>
      <c r="C3658" t="s">
        <v>607</v>
      </c>
      <c r="D3658">
        <v>3695.66</v>
      </c>
      <c r="E3658" s="37" t="str">
        <f t="shared" si="285"/>
        <v xml:space="preserve"> </v>
      </c>
      <c r="F3658">
        <v>0.01</v>
      </c>
      <c r="G3658" s="37" t="str">
        <f t="shared" si="286"/>
        <v>Normal Discount</v>
      </c>
      <c r="H3658" s="37" t="str">
        <f t="shared" si="287"/>
        <v>Low</v>
      </c>
      <c r="I3658">
        <v>2</v>
      </c>
      <c r="J3658" t="str" cm="1">
        <f t="array" ref="J3658">_xlfn.IFS(I3658&lt;=3,"small",I3658&lt;=6,"Medium",I3658&lt;=9,"Large")</f>
        <v>small</v>
      </c>
      <c r="K3658" s="36">
        <v>45525</v>
      </c>
      <c r="L3658" s="36">
        <v>45526</v>
      </c>
      <c r="M3658" t="s">
        <v>612</v>
      </c>
      <c r="N3658" t="s">
        <v>608</v>
      </c>
      <c r="O3658" s="37" t="str">
        <f t="shared" si="288"/>
        <v>Cash Payment</v>
      </c>
      <c r="P3658">
        <v>447.28</v>
      </c>
      <c r="Q3658" s="37" t="str">
        <f>IF(P3658&gt;500,"High","low")</f>
        <v>low</v>
      </c>
      <c r="R3658" s="37" t="str">
        <f t="shared" si="289"/>
        <v>AVERAGE</v>
      </c>
      <c r="S3658" t="s">
        <v>600</v>
      </c>
    </row>
    <row r="3659" spans="1:19" x14ac:dyDescent="0.2">
      <c r="A3659" t="s">
        <v>4270</v>
      </c>
      <c r="B3659" t="s">
        <v>67</v>
      </c>
      <c r="C3659" t="s">
        <v>602</v>
      </c>
      <c r="D3659">
        <v>2539.69</v>
      </c>
      <c r="E3659" s="37" t="str">
        <f t="shared" si="285"/>
        <v xml:space="preserve"> </v>
      </c>
      <c r="F3659">
        <v>0.18</v>
      </c>
      <c r="G3659" s="37" t="str">
        <f t="shared" si="286"/>
        <v>Normal Discount</v>
      </c>
      <c r="H3659" s="37" t="str">
        <f t="shared" si="287"/>
        <v>Low</v>
      </c>
      <c r="I3659">
        <v>2</v>
      </c>
      <c r="J3659" t="str" cm="1">
        <f t="array" ref="J3659">_xlfn.IFS(I3659&lt;=3,"small",I3659&lt;=6,"Medium",I3659&lt;=9,"Large")</f>
        <v>small</v>
      </c>
      <c r="K3659" s="36">
        <v>45318</v>
      </c>
      <c r="L3659" s="36">
        <v>45319</v>
      </c>
      <c r="M3659" t="s">
        <v>603</v>
      </c>
      <c r="N3659" t="s">
        <v>608</v>
      </c>
      <c r="O3659" s="37" t="str">
        <f t="shared" si="288"/>
        <v>Cash Payment</v>
      </c>
      <c r="P3659">
        <v>364.17</v>
      </c>
      <c r="Q3659" s="37" t="str">
        <f>IF(P3659&gt;500,"High","low")</f>
        <v>low</v>
      </c>
      <c r="R3659" s="37" t="str">
        <f t="shared" si="289"/>
        <v>AVERAGE</v>
      </c>
      <c r="S3659" t="s">
        <v>628</v>
      </c>
    </row>
    <row r="3660" spans="1:19" x14ac:dyDescent="0.2">
      <c r="A3660" t="s">
        <v>4271</v>
      </c>
      <c r="B3660" t="s">
        <v>67</v>
      </c>
      <c r="C3660" t="s">
        <v>614</v>
      </c>
      <c r="D3660">
        <v>1758.33</v>
      </c>
      <c r="E3660" s="37" t="str">
        <f t="shared" si="285"/>
        <v xml:space="preserve"> </v>
      </c>
      <c r="F3660">
        <v>7.0000000000000007E-2</v>
      </c>
      <c r="G3660" s="37" t="str">
        <f t="shared" si="286"/>
        <v>Normal Discount</v>
      </c>
      <c r="H3660" s="37" t="str">
        <f t="shared" si="287"/>
        <v>Low</v>
      </c>
      <c r="I3660">
        <v>1</v>
      </c>
      <c r="J3660" t="str" cm="1">
        <f t="array" ref="J3660">_xlfn.IFS(I3660&lt;=3,"small",I3660&lt;=6,"Medium",I3660&lt;=9,"Large")</f>
        <v>small</v>
      </c>
      <c r="K3660" s="36">
        <v>45448</v>
      </c>
      <c r="L3660" s="36">
        <v>45453</v>
      </c>
      <c r="M3660" t="s">
        <v>612</v>
      </c>
      <c r="N3660" t="s">
        <v>599</v>
      </c>
      <c r="O3660" s="37" t="str">
        <f t="shared" si="288"/>
        <v>Digital Payment</v>
      </c>
      <c r="P3660">
        <v>93.61</v>
      </c>
      <c r="Q3660" s="37" t="str">
        <f>IF(P3660&gt;500,"High","low")</f>
        <v>low</v>
      </c>
      <c r="R3660" s="37" t="str">
        <f t="shared" si="289"/>
        <v>AVERAGE</v>
      </c>
      <c r="S3660" t="s">
        <v>605</v>
      </c>
    </row>
    <row r="3661" spans="1:19" x14ac:dyDescent="0.2">
      <c r="A3661" t="s">
        <v>4272</v>
      </c>
      <c r="B3661" t="s">
        <v>90</v>
      </c>
      <c r="C3661" t="s">
        <v>597</v>
      </c>
      <c r="D3661">
        <v>3164.8</v>
      </c>
      <c r="E3661" s="37" t="str">
        <f t="shared" si="285"/>
        <v xml:space="preserve"> </v>
      </c>
      <c r="F3661">
        <v>0.44</v>
      </c>
      <c r="G3661" s="37" t="str">
        <f t="shared" si="286"/>
        <v>Heavy Discount</v>
      </c>
      <c r="H3661" s="37" t="str">
        <f t="shared" si="287"/>
        <v>High</v>
      </c>
      <c r="I3661">
        <v>6</v>
      </c>
      <c r="J3661" t="str" cm="1">
        <f t="array" ref="J3661">_xlfn.IFS(I3661&lt;=3,"small",I3661&lt;=6,"Medium",I3661&lt;=9,"Large")</f>
        <v>Medium</v>
      </c>
      <c r="K3661" s="36">
        <v>45438</v>
      </c>
      <c r="L3661" s="36">
        <v>45441</v>
      </c>
      <c r="M3661" t="s">
        <v>612</v>
      </c>
      <c r="N3661" t="s">
        <v>599</v>
      </c>
      <c r="O3661" s="37" t="str">
        <f t="shared" si="288"/>
        <v>Digital Payment</v>
      </c>
      <c r="P3661">
        <v>349.68</v>
      </c>
      <c r="Q3661" s="37" t="str">
        <f>IF(P3661&gt;500,"High","low")</f>
        <v>low</v>
      </c>
      <c r="R3661" s="37" t="str">
        <f t="shared" si="289"/>
        <v>AVERAGE</v>
      </c>
      <c r="S3661" t="s">
        <v>600</v>
      </c>
    </row>
    <row r="3662" spans="1:19" x14ac:dyDescent="0.2">
      <c r="A3662" t="s">
        <v>4273</v>
      </c>
      <c r="B3662" t="s">
        <v>67</v>
      </c>
      <c r="C3662" t="s">
        <v>607</v>
      </c>
      <c r="D3662">
        <v>4201.3599999999997</v>
      </c>
      <c r="E3662" s="37" t="str">
        <f t="shared" si="285"/>
        <v>Excellent Order</v>
      </c>
      <c r="F3662">
        <v>0.41</v>
      </c>
      <c r="G3662" s="37" t="str">
        <f t="shared" si="286"/>
        <v>Heavy Discount</v>
      </c>
      <c r="H3662" s="37" t="str">
        <f t="shared" si="287"/>
        <v>High</v>
      </c>
      <c r="I3662">
        <v>6</v>
      </c>
      <c r="J3662" t="str" cm="1">
        <f t="array" ref="J3662">_xlfn.IFS(I3662&lt;=3,"small",I3662&lt;=6,"Medium",I3662&lt;=9,"Large")</f>
        <v>Medium</v>
      </c>
      <c r="K3662" s="36">
        <v>45039</v>
      </c>
      <c r="L3662" s="36">
        <v>45043</v>
      </c>
      <c r="M3662" t="s">
        <v>603</v>
      </c>
      <c r="N3662" t="s">
        <v>604</v>
      </c>
      <c r="O3662" s="37" t="str">
        <f t="shared" si="288"/>
        <v>Digital Payment</v>
      </c>
      <c r="P3662">
        <v>1209.18</v>
      </c>
      <c r="Q3662" s="37" t="str">
        <f>IF(P3662&gt;500,"High","low")</f>
        <v>High</v>
      </c>
      <c r="R3662" s="37" t="str">
        <f t="shared" si="289"/>
        <v>Excellent</v>
      </c>
      <c r="S3662" t="s">
        <v>609</v>
      </c>
    </row>
    <row r="3663" spans="1:19" x14ac:dyDescent="0.2">
      <c r="A3663" t="s">
        <v>4274</v>
      </c>
      <c r="B3663" t="s">
        <v>83</v>
      </c>
      <c r="C3663" t="s">
        <v>602</v>
      </c>
      <c r="D3663">
        <v>401.39</v>
      </c>
      <c r="E3663" s="37" t="str">
        <f t="shared" si="285"/>
        <v xml:space="preserve"> </v>
      </c>
      <c r="F3663">
        <v>0.03</v>
      </c>
      <c r="G3663" s="37" t="str">
        <f t="shared" si="286"/>
        <v>Normal Discount</v>
      </c>
      <c r="H3663" s="37" t="str">
        <f t="shared" si="287"/>
        <v>Low</v>
      </c>
      <c r="I3663">
        <v>4</v>
      </c>
      <c r="J3663" t="str" cm="1">
        <f t="array" ref="J3663">_xlfn.IFS(I3663&lt;=3,"small",I3663&lt;=6,"Medium",I3663&lt;=9,"Large")</f>
        <v>Medium</v>
      </c>
      <c r="K3663" s="36">
        <v>45028</v>
      </c>
      <c r="L3663" s="36">
        <v>45032</v>
      </c>
      <c r="M3663" t="s">
        <v>612</v>
      </c>
      <c r="N3663" t="s">
        <v>608</v>
      </c>
      <c r="O3663" s="37" t="str">
        <f t="shared" si="288"/>
        <v>Cash Payment</v>
      </c>
      <c r="P3663">
        <v>92.23</v>
      </c>
      <c r="Q3663" s="37" t="str">
        <f>IF(P3663&gt;500,"High","low")</f>
        <v>low</v>
      </c>
      <c r="R3663" s="37" t="str">
        <f t="shared" si="289"/>
        <v>AVERAGE</v>
      </c>
      <c r="S3663" t="s">
        <v>605</v>
      </c>
    </row>
    <row r="3664" spans="1:19" x14ac:dyDescent="0.2">
      <c r="A3664" t="s">
        <v>4275</v>
      </c>
      <c r="B3664" t="s">
        <v>83</v>
      </c>
      <c r="C3664" t="s">
        <v>607</v>
      </c>
      <c r="D3664">
        <v>4863.47</v>
      </c>
      <c r="E3664" s="37" t="str">
        <f t="shared" si="285"/>
        <v xml:space="preserve"> </v>
      </c>
      <c r="F3664">
        <v>0.28000000000000003</v>
      </c>
      <c r="G3664" s="37" t="str">
        <f t="shared" si="286"/>
        <v>Normal Discount</v>
      </c>
      <c r="H3664" s="37" t="str">
        <f t="shared" si="287"/>
        <v>Medium</v>
      </c>
      <c r="I3664">
        <v>9</v>
      </c>
      <c r="J3664" t="str" cm="1">
        <f t="array" ref="J3664">_xlfn.IFS(I3664&lt;=3,"small",I3664&lt;=6,"Medium",I3664&lt;=9,"Large")</f>
        <v>Large</v>
      </c>
      <c r="K3664" s="36">
        <v>45443</v>
      </c>
      <c r="L3664" s="36">
        <v>45445</v>
      </c>
      <c r="M3664" t="s">
        <v>603</v>
      </c>
      <c r="N3664" t="s">
        <v>608</v>
      </c>
      <c r="O3664" s="37" t="str">
        <f t="shared" si="288"/>
        <v>Cash Payment</v>
      </c>
      <c r="P3664">
        <v>783.84</v>
      </c>
      <c r="Q3664" s="37" t="str">
        <f>IF(P3664&gt;500,"High","low")</f>
        <v>High</v>
      </c>
      <c r="R3664" s="37" t="str">
        <f t="shared" si="289"/>
        <v>Good</v>
      </c>
      <c r="S3664" t="s">
        <v>615</v>
      </c>
    </row>
    <row r="3665" spans="1:19" x14ac:dyDescent="0.2">
      <c r="A3665" t="s">
        <v>4276</v>
      </c>
      <c r="B3665" t="s">
        <v>75</v>
      </c>
      <c r="C3665" t="s">
        <v>602</v>
      </c>
      <c r="D3665">
        <v>573.59</v>
      </c>
      <c r="E3665" s="37" t="str">
        <f t="shared" si="285"/>
        <v xml:space="preserve"> </v>
      </c>
      <c r="F3665">
        <v>0.15</v>
      </c>
      <c r="G3665" s="37" t="str">
        <f t="shared" si="286"/>
        <v>Normal Discount</v>
      </c>
      <c r="H3665" s="37" t="str">
        <f t="shared" si="287"/>
        <v>Low</v>
      </c>
      <c r="I3665">
        <v>4</v>
      </c>
      <c r="J3665" t="str" cm="1">
        <f t="array" ref="J3665">_xlfn.IFS(I3665&lt;=3,"small",I3665&lt;=6,"Medium",I3665&lt;=9,"Large")</f>
        <v>Medium</v>
      </c>
      <c r="K3665" s="36">
        <v>45000</v>
      </c>
      <c r="L3665" s="36">
        <v>45006</v>
      </c>
      <c r="M3665" t="s">
        <v>603</v>
      </c>
      <c r="N3665" t="s">
        <v>599</v>
      </c>
      <c r="O3665" s="37" t="str">
        <f t="shared" si="288"/>
        <v>Digital Payment</v>
      </c>
      <c r="P3665">
        <v>28.82</v>
      </c>
      <c r="Q3665" s="37" t="str">
        <f>IF(P3665&gt;500,"High","low")</f>
        <v>low</v>
      </c>
      <c r="R3665" s="37" t="str">
        <f t="shared" si="289"/>
        <v>AVERAGE</v>
      </c>
      <c r="S3665" t="s">
        <v>628</v>
      </c>
    </row>
    <row r="3666" spans="1:19" x14ac:dyDescent="0.2">
      <c r="A3666" t="s">
        <v>4277</v>
      </c>
      <c r="B3666" t="s">
        <v>75</v>
      </c>
      <c r="C3666" t="s">
        <v>614</v>
      </c>
      <c r="D3666">
        <v>2607.52</v>
      </c>
      <c r="E3666" s="37" t="str">
        <f t="shared" si="285"/>
        <v xml:space="preserve"> </v>
      </c>
      <c r="F3666">
        <v>0.1</v>
      </c>
      <c r="G3666" s="37" t="str">
        <f t="shared" si="286"/>
        <v>Normal Discount</v>
      </c>
      <c r="H3666" s="37" t="str">
        <f t="shared" si="287"/>
        <v>Low</v>
      </c>
      <c r="I3666">
        <v>3</v>
      </c>
      <c r="J3666" t="str" cm="1">
        <f t="array" ref="J3666">_xlfn.IFS(I3666&lt;=3,"small",I3666&lt;=6,"Medium",I3666&lt;=9,"Large")</f>
        <v>small</v>
      </c>
      <c r="K3666" s="36">
        <v>45528</v>
      </c>
      <c r="L3666" s="36">
        <v>45533</v>
      </c>
      <c r="M3666" t="s">
        <v>612</v>
      </c>
      <c r="N3666" t="s">
        <v>608</v>
      </c>
      <c r="O3666" s="37" t="str">
        <f t="shared" si="288"/>
        <v>Cash Payment</v>
      </c>
      <c r="P3666">
        <v>591.97</v>
      </c>
      <c r="Q3666" s="37" t="str">
        <f>IF(P3666&gt;500,"High","low")</f>
        <v>High</v>
      </c>
      <c r="R3666" s="37" t="str">
        <f t="shared" si="289"/>
        <v>Good</v>
      </c>
      <c r="S3666" t="s">
        <v>620</v>
      </c>
    </row>
    <row r="3667" spans="1:19" x14ac:dyDescent="0.2">
      <c r="A3667" t="s">
        <v>4278</v>
      </c>
      <c r="B3667" t="s">
        <v>67</v>
      </c>
      <c r="C3667" t="s">
        <v>607</v>
      </c>
      <c r="D3667">
        <v>2845.03</v>
      </c>
      <c r="E3667" s="37" t="str">
        <f t="shared" si="285"/>
        <v xml:space="preserve"> </v>
      </c>
      <c r="F3667">
        <v>0.16</v>
      </c>
      <c r="G3667" s="37" t="str">
        <f t="shared" si="286"/>
        <v>Normal Discount</v>
      </c>
      <c r="H3667" s="37" t="str">
        <f t="shared" si="287"/>
        <v>Low</v>
      </c>
      <c r="I3667">
        <v>9</v>
      </c>
      <c r="J3667" t="str" cm="1">
        <f t="array" ref="J3667">_xlfn.IFS(I3667&lt;=3,"small",I3667&lt;=6,"Medium",I3667&lt;=9,"Large")</f>
        <v>Large</v>
      </c>
      <c r="K3667" s="36">
        <v>45039</v>
      </c>
      <c r="L3667" s="36">
        <v>45040</v>
      </c>
      <c r="M3667" t="s">
        <v>603</v>
      </c>
      <c r="N3667" t="s">
        <v>599</v>
      </c>
      <c r="O3667" s="37" t="str">
        <f t="shared" si="288"/>
        <v>Digital Payment</v>
      </c>
      <c r="P3667">
        <v>492.85</v>
      </c>
      <c r="Q3667" s="37" t="str">
        <f>IF(P3667&gt;500,"High","low")</f>
        <v>low</v>
      </c>
      <c r="R3667" s="37" t="str">
        <f t="shared" si="289"/>
        <v>AVERAGE</v>
      </c>
      <c r="S3667" t="s">
        <v>600</v>
      </c>
    </row>
    <row r="3668" spans="1:19" x14ac:dyDescent="0.2">
      <c r="A3668" t="s">
        <v>4279</v>
      </c>
      <c r="B3668" t="s">
        <v>90</v>
      </c>
      <c r="C3668" t="s">
        <v>602</v>
      </c>
      <c r="D3668">
        <v>777.23</v>
      </c>
      <c r="E3668" s="37" t="str">
        <f t="shared" si="285"/>
        <v xml:space="preserve"> </v>
      </c>
      <c r="F3668">
        <v>0.41</v>
      </c>
      <c r="G3668" s="37" t="str">
        <f t="shared" si="286"/>
        <v>Heavy Discount</v>
      </c>
      <c r="H3668" s="37" t="str">
        <f t="shared" si="287"/>
        <v>High</v>
      </c>
      <c r="I3668">
        <v>1</v>
      </c>
      <c r="J3668" t="str" cm="1">
        <f t="array" ref="J3668">_xlfn.IFS(I3668&lt;=3,"small",I3668&lt;=6,"Medium",I3668&lt;=9,"Large")</f>
        <v>small</v>
      </c>
      <c r="K3668" s="36">
        <v>45006</v>
      </c>
      <c r="L3668" s="36">
        <v>45008</v>
      </c>
      <c r="M3668" t="s">
        <v>598</v>
      </c>
      <c r="N3668" t="s">
        <v>608</v>
      </c>
      <c r="O3668" s="37" t="str">
        <f t="shared" si="288"/>
        <v>Cash Payment</v>
      </c>
      <c r="P3668">
        <v>166.38</v>
      </c>
      <c r="Q3668" s="37" t="str">
        <f>IF(P3668&gt;500,"High","low")</f>
        <v>low</v>
      </c>
      <c r="R3668" s="37" t="str">
        <f t="shared" si="289"/>
        <v>AVERAGE</v>
      </c>
      <c r="S3668" t="s">
        <v>615</v>
      </c>
    </row>
    <row r="3669" spans="1:19" x14ac:dyDescent="0.2">
      <c r="A3669" t="s">
        <v>4280</v>
      </c>
      <c r="B3669" t="s">
        <v>67</v>
      </c>
      <c r="C3669" t="s">
        <v>617</v>
      </c>
      <c r="D3669">
        <v>4586.41</v>
      </c>
      <c r="E3669" s="37" t="str">
        <f t="shared" si="285"/>
        <v xml:space="preserve"> </v>
      </c>
      <c r="F3669">
        <v>0.03</v>
      </c>
      <c r="G3669" s="37" t="str">
        <f t="shared" si="286"/>
        <v>Normal Discount</v>
      </c>
      <c r="H3669" s="37" t="str">
        <f t="shared" si="287"/>
        <v>Low</v>
      </c>
      <c r="I3669">
        <v>2</v>
      </c>
      <c r="J3669" t="str" cm="1">
        <f t="array" ref="J3669">_xlfn.IFS(I3669&lt;=3,"small",I3669&lt;=6,"Medium",I3669&lt;=9,"Large")</f>
        <v>small</v>
      </c>
      <c r="K3669" s="36">
        <v>45559</v>
      </c>
      <c r="L3669" s="36">
        <v>45562</v>
      </c>
      <c r="M3669" t="s">
        <v>603</v>
      </c>
      <c r="N3669" t="s">
        <v>608</v>
      </c>
      <c r="O3669" s="37" t="str">
        <f t="shared" si="288"/>
        <v>Cash Payment</v>
      </c>
      <c r="P3669">
        <v>681.46</v>
      </c>
      <c r="Q3669" s="37" t="str">
        <f>IF(P3669&gt;500,"High","low")</f>
        <v>High</v>
      </c>
      <c r="R3669" s="37" t="str">
        <f t="shared" si="289"/>
        <v>Good</v>
      </c>
      <c r="S3669" t="s">
        <v>605</v>
      </c>
    </row>
    <row r="3670" spans="1:19" x14ac:dyDescent="0.2">
      <c r="A3670" t="s">
        <v>4281</v>
      </c>
      <c r="B3670" t="s">
        <v>67</v>
      </c>
      <c r="C3670" t="s">
        <v>617</v>
      </c>
      <c r="D3670">
        <v>2410.19</v>
      </c>
      <c r="E3670" s="37" t="str">
        <f t="shared" si="285"/>
        <v xml:space="preserve"> </v>
      </c>
      <c r="F3670">
        <v>0.32</v>
      </c>
      <c r="G3670" s="37" t="str">
        <f t="shared" si="286"/>
        <v>Heavy Discount</v>
      </c>
      <c r="H3670" s="37" t="str">
        <f t="shared" si="287"/>
        <v>Medium</v>
      </c>
      <c r="I3670">
        <v>1</v>
      </c>
      <c r="J3670" t="str" cm="1">
        <f t="array" ref="J3670">_xlfn.IFS(I3670&lt;=3,"small",I3670&lt;=6,"Medium",I3670&lt;=9,"Large")</f>
        <v>small</v>
      </c>
      <c r="K3670" s="36">
        <v>45369</v>
      </c>
      <c r="L3670" s="36">
        <v>45375</v>
      </c>
      <c r="M3670" t="s">
        <v>612</v>
      </c>
      <c r="N3670" t="s">
        <v>599</v>
      </c>
      <c r="O3670" s="37" t="str">
        <f t="shared" si="288"/>
        <v>Digital Payment</v>
      </c>
      <c r="P3670">
        <v>120.98</v>
      </c>
      <c r="Q3670" s="37" t="str">
        <f>IF(P3670&gt;500,"High","low")</f>
        <v>low</v>
      </c>
      <c r="R3670" s="37" t="str">
        <f t="shared" si="289"/>
        <v>AVERAGE</v>
      </c>
      <c r="S3670" t="s">
        <v>628</v>
      </c>
    </row>
    <row r="3671" spans="1:19" x14ac:dyDescent="0.2">
      <c r="A3671" t="s">
        <v>4282</v>
      </c>
      <c r="B3671" t="s">
        <v>67</v>
      </c>
      <c r="C3671" t="s">
        <v>602</v>
      </c>
      <c r="D3671">
        <v>801.29</v>
      </c>
      <c r="E3671" s="37" t="str">
        <f t="shared" si="285"/>
        <v xml:space="preserve"> </v>
      </c>
      <c r="F3671">
        <v>0.46</v>
      </c>
      <c r="G3671" s="37" t="str">
        <f t="shared" si="286"/>
        <v>Heavy Discount</v>
      </c>
      <c r="H3671" s="37" t="str">
        <f t="shared" si="287"/>
        <v>High</v>
      </c>
      <c r="I3671">
        <v>7</v>
      </c>
      <c r="J3671" t="str" cm="1">
        <f t="array" ref="J3671">_xlfn.IFS(I3671&lt;=3,"small",I3671&lt;=6,"Medium",I3671&lt;=9,"Large")</f>
        <v>Large</v>
      </c>
      <c r="K3671" s="36">
        <v>45368</v>
      </c>
      <c r="L3671" s="36">
        <v>45374</v>
      </c>
      <c r="M3671" t="s">
        <v>598</v>
      </c>
      <c r="N3671" t="s">
        <v>599</v>
      </c>
      <c r="O3671" s="37" t="str">
        <f t="shared" si="288"/>
        <v>Digital Payment</v>
      </c>
      <c r="P3671">
        <v>156.97999999999999</v>
      </c>
      <c r="Q3671" s="37" t="str">
        <f>IF(P3671&gt;500,"High","low")</f>
        <v>low</v>
      </c>
      <c r="R3671" s="37" t="str">
        <f t="shared" si="289"/>
        <v>AVERAGE</v>
      </c>
      <c r="S3671" t="s">
        <v>620</v>
      </c>
    </row>
    <row r="3672" spans="1:19" x14ac:dyDescent="0.2">
      <c r="A3672" t="s">
        <v>4283</v>
      </c>
      <c r="B3672" t="s">
        <v>67</v>
      </c>
      <c r="C3672" t="s">
        <v>607</v>
      </c>
      <c r="D3672">
        <v>3586.9</v>
      </c>
      <c r="E3672" s="37" t="str">
        <f t="shared" si="285"/>
        <v xml:space="preserve"> </v>
      </c>
      <c r="F3672">
        <v>0.22</v>
      </c>
      <c r="G3672" s="37" t="str">
        <f t="shared" si="286"/>
        <v>Normal Discount</v>
      </c>
      <c r="H3672" s="37" t="str">
        <f t="shared" si="287"/>
        <v>Medium</v>
      </c>
      <c r="I3672">
        <v>1</v>
      </c>
      <c r="J3672" t="str" cm="1">
        <f t="array" ref="J3672">_xlfn.IFS(I3672&lt;=3,"small",I3672&lt;=6,"Medium",I3672&lt;=9,"Large")</f>
        <v>small</v>
      </c>
      <c r="K3672" s="36">
        <v>45333</v>
      </c>
      <c r="L3672" s="36">
        <v>45337</v>
      </c>
      <c r="M3672" t="s">
        <v>598</v>
      </c>
      <c r="N3672" t="s">
        <v>604</v>
      </c>
      <c r="O3672" s="37" t="str">
        <f t="shared" si="288"/>
        <v>Digital Payment</v>
      </c>
      <c r="P3672">
        <v>886.27</v>
      </c>
      <c r="Q3672" s="37" t="str">
        <f>IF(P3672&gt;500,"High","low")</f>
        <v>High</v>
      </c>
      <c r="R3672" s="37" t="str">
        <f t="shared" si="289"/>
        <v>Good</v>
      </c>
      <c r="S3672" t="s">
        <v>620</v>
      </c>
    </row>
    <row r="3673" spans="1:19" x14ac:dyDescent="0.2">
      <c r="A3673" t="s">
        <v>4284</v>
      </c>
      <c r="B3673" t="s">
        <v>83</v>
      </c>
      <c r="C3673" t="s">
        <v>607</v>
      </c>
      <c r="D3673">
        <v>3350.68</v>
      </c>
      <c r="E3673" s="37" t="str">
        <f t="shared" si="285"/>
        <v xml:space="preserve"> </v>
      </c>
      <c r="F3673">
        <v>0.45</v>
      </c>
      <c r="G3673" s="37" t="str">
        <f t="shared" si="286"/>
        <v>Heavy Discount</v>
      </c>
      <c r="H3673" s="37" t="str">
        <f t="shared" si="287"/>
        <v>High</v>
      </c>
      <c r="I3673">
        <v>1</v>
      </c>
      <c r="J3673" t="str" cm="1">
        <f t="array" ref="J3673">_xlfn.IFS(I3673&lt;=3,"small",I3673&lt;=6,"Medium",I3673&lt;=9,"Large")</f>
        <v>small</v>
      </c>
      <c r="K3673" s="36">
        <v>45243</v>
      </c>
      <c r="L3673" s="36">
        <v>45249</v>
      </c>
      <c r="M3673" t="s">
        <v>598</v>
      </c>
      <c r="N3673" t="s">
        <v>599</v>
      </c>
      <c r="O3673" s="37" t="str">
        <f t="shared" si="288"/>
        <v>Digital Payment</v>
      </c>
      <c r="P3673">
        <v>349</v>
      </c>
      <c r="Q3673" s="37" t="str">
        <f>IF(P3673&gt;500,"High","low")</f>
        <v>low</v>
      </c>
      <c r="R3673" s="37" t="str">
        <f t="shared" si="289"/>
        <v>AVERAGE</v>
      </c>
      <c r="S3673" t="s">
        <v>605</v>
      </c>
    </row>
    <row r="3674" spans="1:19" x14ac:dyDescent="0.2">
      <c r="A3674" t="s">
        <v>4285</v>
      </c>
      <c r="B3674" t="s">
        <v>90</v>
      </c>
      <c r="C3674" t="s">
        <v>614</v>
      </c>
      <c r="D3674">
        <v>4818.04</v>
      </c>
      <c r="E3674" s="37" t="str">
        <f t="shared" si="285"/>
        <v>Excellent Order</v>
      </c>
      <c r="F3674">
        <v>0.45</v>
      </c>
      <c r="G3674" s="37" t="str">
        <f t="shared" si="286"/>
        <v>Heavy Discount</v>
      </c>
      <c r="H3674" s="37" t="str">
        <f t="shared" si="287"/>
        <v>High</v>
      </c>
      <c r="I3674">
        <v>6</v>
      </c>
      <c r="J3674" t="str" cm="1">
        <f t="array" ref="J3674">_xlfn.IFS(I3674&lt;=3,"small",I3674&lt;=6,"Medium",I3674&lt;=9,"Large")</f>
        <v>Medium</v>
      </c>
      <c r="K3674" s="36">
        <v>45210</v>
      </c>
      <c r="L3674" s="36">
        <v>45214</v>
      </c>
      <c r="M3674" t="s">
        <v>598</v>
      </c>
      <c r="N3674" t="s">
        <v>599</v>
      </c>
      <c r="O3674" s="37" t="str">
        <f t="shared" si="288"/>
        <v>Digital Payment</v>
      </c>
      <c r="P3674">
        <v>1039.1300000000001</v>
      </c>
      <c r="Q3674" s="37" t="str">
        <f>IF(P3674&gt;500,"High","low")</f>
        <v>High</v>
      </c>
      <c r="R3674" s="37" t="str">
        <f t="shared" si="289"/>
        <v>Excellent</v>
      </c>
      <c r="S3674" t="s">
        <v>600</v>
      </c>
    </row>
    <row r="3675" spans="1:19" x14ac:dyDescent="0.2">
      <c r="A3675" t="s">
        <v>4286</v>
      </c>
      <c r="B3675" t="s">
        <v>83</v>
      </c>
      <c r="C3675" t="s">
        <v>614</v>
      </c>
      <c r="D3675">
        <v>2263.4299999999998</v>
      </c>
      <c r="E3675" s="37" t="str">
        <f t="shared" si="285"/>
        <v xml:space="preserve"> </v>
      </c>
      <c r="F3675">
        <v>0.3</v>
      </c>
      <c r="G3675" s="37" t="str">
        <f t="shared" si="286"/>
        <v>Normal Discount</v>
      </c>
      <c r="H3675" s="37" t="str">
        <f t="shared" si="287"/>
        <v>Medium</v>
      </c>
      <c r="I3675">
        <v>6</v>
      </c>
      <c r="J3675" t="str" cm="1">
        <f t="array" ref="J3675">_xlfn.IFS(I3675&lt;=3,"small",I3675&lt;=6,"Medium",I3675&lt;=9,"Large")</f>
        <v>Medium</v>
      </c>
      <c r="K3675" s="36">
        <v>45072</v>
      </c>
      <c r="L3675" s="36">
        <v>45073</v>
      </c>
      <c r="M3675" t="s">
        <v>603</v>
      </c>
      <c r="N3675" t="s">
        <v>604</v>
      </c>
      <c r="O3675" s="37" t="str">
        <f t="shared" si="288"/>
        <v>Digital Payment</v>
      </c>
      <c r="P3675">
        <v>312.08</v>
      </c>
      <c r="Q3675" s="37" t="str">
        <f>IF(P3675&gt;500,"High","low")</f>
        <v>low</v>
      </c>
      <c r="R3675" s="37" t="str">
        <f t="shared" si="289"/>
        <v>AVERAGE</v>
      </c>
      <c r="S3675" t="s">
        <v>620</v>
      </c>
    </row>
    <row r="3676" spans="1:19" x14ac:dyDescent="0.2">
      <c r="A3676" t="s">
        <v>4287</v>
      </c>
      <c r="B3676" t="s">
        <v>90</v>
      </c>
      <c r="C3676" t="s">
        <v>597</v>
      </c>
      <c r="D3676">
        <v>1412.2</v>
      </c>
      <c r="E3676" s="37" t="str">
        <f t="shared" si="285"/>
        <v xml:space="preserve"> </v>
      </c>
      <c r="F3676">
        <v>0.23</v>
      </c>
      <c r="G3676" s="37" t="str">
        <f t="shared" si="286"/>
        <v>Normal Discount</v>
      </c>
      <c r="H3676" s="37" t="str">
        <f t="shared" si="287"/>
        <v>Medium</v>
      </c>
      <c r="I3676">
        <v>5</v>
      </c>
      <c r="J3676" t="str" cm="1">
        <f t="array" ref="J3676">_xlfn.IFS(I3676&lt;=3,"small",I3676&lt;=6,"Medium",I3676&lt;=9,"Large")</f>
        <v>Medium</v>
      </c>
      <c r="K3676" s="36">
        <v>45496</v>
      </c>
      <c r="L3676" s="36">
        <v>45502</v>
      </c>
      <c r="M3676" t="s">
        <v>603</v>
      </c>
      <c r="N3676" t="s">
        <v>604</v>
      </c>
      <c r="O3676" s="37" t="str">
        <f t="shared" si="288"/>
        <v>Digital Payment</v>
      </c>
      <c r="P3676">
        <v>364.76</v>
      </c>
      <c r="Q3676" s="37" t="str">
        <f>IF(P3676&gt;500,"High","low")</f>
        <v>low</v>
      </c>
      <c r="R3676" s="37" t="str">
        <f t="shared" si="289"/>
        <v>AVERAGE</v>
      </c>
      <c r="S3676" t="s">
        <v>600</v>
      </c>
    </row>
    <row r="3677" spans="1:19" x14ac:dyDescent="0.2">
      <c r="A3677" t="s">
        <v>4288</v>
      </c>
      <c r="B3677" t="s">
        <v>75</v>
      </c>
      <c r="C3677" t="s">
        <v>614</v>
      </c>
      <c r="D3677">
        <v>393.97</v>
      </c>
      <c r="E3677" s="37" t="str">
        <f t="shared" si="285"/>
        <v xml:space="preserve"> </v>
      </c>
      <c r="F3677">
        <v>0.37</v>
      </c>
      <c r="G3677" s="37" t="str">
        <f t="shared" si="286"/>
        <v>Heavy Discount</v>
      </c>
      <c r="H3677" s="37" t="str">
        <f t="shared" si="287"/>
        <v>Medium</v>
      </c>
      <c r="I3677">
        <v>4</v>
      </c>
      <c r="J3677" t="str" cm="1">
        <f t="array" ref="J3677">_xlfn.IFS(I3677&lt;=3,"small",I3677&lt;=6,"Medium",I3677&lt;=9,"Large")</f>
        <v>Medium</v>
      </c>
      <c r="K3677" s="36">
        <v>45607</v>
      </c>
      <c r="L3677" s="36">
        <v>45609</v>
      </c>
      <c r="M3677" t="s">
        <v>603</v>
      </c>
      <c r="N3677" t="s">
        <v>604</v>
      </c>
      <c r="O3677" s="37" t="str">
        <f t="shared" si="288"/>
        <v>Digital Payment</v>
      </c>
      <c r="P3677">
        <v>62.82</v>
      </c>
      <c r="Q3677" s="37" t="str">
        <f>IF(P3677&gt;500,"High","low")</f>
        <v>low</v>
      </c>
      <c r="R3677" s="37" t="str">
        <f t="shared" si="289"/>
        <v>AVERAGE</v>
      </c>
      <c r="S3677" t="s">
        <v>600</v>
      </c>
    </row>
    <row r="3678" spans="1:19" x14ac:dyDescent="0.2">
      <c r="A3678" t="s">
        <v>4289</v>
      </c>
      <c r="B3678" t="s">
        <v>67</v>
      </c>
      <c r="C3678" t="s">
        <v>607</v>
      </c>
      <c r="D3678">
        <v>3692.3</v>
      </c>
      <c r="E3678" s="37" t="str">
        <f t="shared" si="285"/>
        <v xml:space="preserve"> </v>
      </c>
      <c r="F3678">
        <v>0.46</v>
      </c>
      <c r="G3678" s="37" t="str">
        <f t="shared" si="286"/>
        <v>Heavy Discount</v>
      </c>
      <c r="H3678" s="37" t="str">
        <f t="shared" si="287"/>
        <v>High</v>
      </c>
      <c r="I3678">
        <v>8</v>
      </c>
      <c r="J3678" t="str" cm="1">
        <f t="array" ref="J3678">_xlfn.IFS(I3678&lt;=3,"small",I3678&lt;=6,"Medium",I3678&lt;=9,"Large")</f>
        <v>Large</v>
      </c>
      <c r="K3678" s="36">
        <v>45641</v>
      </c>
      <c r="L3678" s="36">
        <v>45647</v>
      </c>
      <c r="M3678" t="s">
        <v>612</v>
      </c>
      <c r="N3678" t="s">
        <v>604</v>
      </c>
      <c r="O3678" s="37" t="str">
        <f t="shared" si="288"/>
        <v>Digital Payment</v>
      </c>
      <c r="P3678">
        <v>242.48</v>
      </c>
      <c r="Q3678" s="37" t="str">
        <f>IF(P3678&gt;500,"High","low")</f>
        <v>low</v>
      </c>
      <c r="R3678" s="37" t="str">
        <f t="shared" si="289"/>
        <v>AVERAGE</v>
      </c>
      <c r="S3678" t="s">
        <v>628</v>
      </c>
    </row>
    <row r="3679" spans="1:19" x14ac:dyDescent="0.2">
      <c r="A3679" t="s">
        <v>4290</v>
      </c>
      <c r="B3679" t="s">
        <v>83</v>
      </c>
      <c r="C3679" t="s">
        <v>597</v>
      </c>
      <c r="D3679">
        <v>3124.66</v>
      </c>
      <c r="E3679" s="37" t="str">
        <f t="shared" si="285"/>
        <v xml:space="preserve"> </v>
      </c>
      <c r="F3679">
        <v>0.34</v>
      </c>
      <c r="G3679" s="37" t="str">
        <f t="shared" si="286"/>
        <v>Heavy Discount</v>
      </c>
      <c r="H3679" s="37" t="str">
        <f t="shared" si="287"/>
        <v>Medium</v>
      </c>
      <c r="I3679">
        <v>3</v>
      </c>
      <c r="J3679" t="str" cm="1">
        <f t="array" ref="J3679">_xlfn.IFS(I3679&lt;=3,"small",I3679&lt;=6,"Medium",I3679&lt;=9,"Large")</f>
        <v>small</v>
      </c>
      <c r="K3679" s="36">
        <v>45420</v>
      </c>
      <c r="L3679" s="36">
        <v>45422</v>
      </c>
      <c r="M3679" t="s">
        <v>612</v>
      </c>
      <c r="N3679" t="s">
        <v>608</v>
      </c>
      <c r="O3679" s="37" t="str">
        <f t="shared" si="288"/>
        <v>Cash Payment</v>
      </c>
      <c r="P3679">
        <v>569.65</v>
      </c>
      <c r="Q3679" s="37" t="str">
        <f>IF(P3679&gt;500,"High","low")</f>
        <v>High</v>
      </c>
      <c r="R3679" s="37" t="str">
        <f t="shared" si="289"/>
        <v>Good</v>
      </c>
      <c r="S3679" t="s">
        <v>615</v>
      </c>
    </row>
    <row r="3680" spans="1:19" x14ac:dyDescent="0.2">
      <c r="A3680" t="s">
        <v>4291</v>
      </c>
      <c r="B3680" t="s">
        <v>90</v>
      </c>
      <c r="C3680" t="s">
        <v>614</v>
      </c>
      <c r="D3680">
        <v>4865.79</v>
      </c>
      <c r="E3680" s="37" t="str">
        <f t="shared" si="285"/>
        <v>Excellent Order</v>
      </c>
      <c r="F3680">
        <v>0.1</v>
      </c>
      <c r="G3680" s="37" t="str">
        <f t="shared" si="286"/>
        <v>Normal Discount</v>
      </c>
      <c r="H3680" s="37" t="str">
        <f t="shared" si="287"/>
        <v>Low</v>
      </c>
      <c r="I3680">
        <v>1</v>
      </c>
      <c r="J3680" t="str" cm="1">
        <f t="array" ref="J3680">_xlfn.IFS(I3680&lt;=3,"small",I3680&lt;=6,"Medium",I3680&lt;=9,"Large")</f>
        <v>small</v>
      </c>
      <c r="K3680" s="36">
        <v>45517</v>
      </c>
      <c r="L3680" s="36">
        <v>45521</v>
      </c>
      <c r="M3680" t="s">
        <v>598</v>
      </c>
      <c r="N3680" t="s">
        <v>604</v>
      </c>
      <c r="O3680" s="37" t="str">
        <f t="shared" si="288"/>
        <v>Digital Payment</v>
      </c>
      <c r="P3680">
        <v>982.45</v>
      </c>
      <c r="Q3680" s="37" t="str">
        <f>IF(P3680&gt;500,"High","low")</f>
        <v>High</v>
      </c>
      <c r="R3680" s="37" t="str">
        <f t="shared" si="289"/>
        <v>Good</v>
      </c>
      <c r="S3680" t="s">
        <v>628</v>
      </c>
    </row>
    <row r="3681" spans="1:19" x14ac:dyDescent="0.2">
      <c r="A3681" t="s">
        <v>4292</v>
      </c>
      <c r="B3681" t="s">
        <v>75</v>
      </c>
      <c r="C3681" t="s">
        <v>602</v>
      </c>
      <c r="D3681">
        <v>3589.61</v>
      </c>
      <c r="E3681" s="37" t="str">
        <f t="shared" si="285"/>
        <v xml:space="preserve"> </v>
      </c>
      <c r="F3681">
        <v>0.41</v>
      </c>
      <c r="G3681" s="37" t="str">
        <f t="shared" si="286"/>
        <v>Heavy Discount</v>
      </c>
      <c r="H3681" s="37" t="str">
        <f t="shared" si="287"/>
        <v>High</v>
      </c>
      <c r="I3681">
        <v>1</v>
      </c>
      <c r="J3681" t="str" cm="1">
        <f t="array" ref="J3681">_xlfn.IFS(I3681&lt;=3,"small",I3681&lt;=6,"Medium",I3681&lt;=9,"Large")</f>
        <v>small</v>
      </c>
      <c r="K3681" s="36">
        <v>45279</v>
      </c>
      <c r="L3681" s="36">
        <v>45286</v>
      </c>
      <c r="M3681" t="s">
        <v>612</v>
      </c>
      <c r="N3681" t="s">
        <v>608</v>
      </c>
      <c r="O3681" s="37" t="str">
        <f t="shared" si="288"/>
        <v>Cash Payment</v>
      </c>
      <c r="P3681">
        <v>466.34</v>
      </c>
      <c r="Q3681" s="37" t="str">
        <f>IF(P3681&gt;500,"High","low")</f>
        <v>low</v>
      </c>
      <c r="R3681" s="37" t="str">
        <f t="shared" si="289"/>
        <v>AVERAGE</v>
      </c>
      <c r="S3681" t="s">
        <v>628</v>
      </c>
    </row>
    <row r="3682" spans="1:19" x14ac:dyDescent="0.2">
      <c r="A3682" t="s">
        <v>4293</v>
      </c>
      <c r="B3682" t="s">
        <v>75</v>
      </c>
      <c r="C3682" t="s">
        <v>617</v>
      </c>
      <c r="D3682">
        <v>4672.49</v>
      </c>
      <c r="E3682" s="37" t="str">
        <f t="shared" si="285"/>
        <v xml:space="preserve"> </v>
      </c>
      <c r="F3682">
        <v>0.48</v>
      </c>
      <c r="G3682" s="37" t="str">
        <f t="shared" si="286"/>
        <v>Heavy Discount</v>
      </c>
      <c r="H3682" s="37" t="str">
        <f t="shared" si="287"/>
        <v>High</v>
      </c>
      <c r="I3682">
        <v>5</v>
      </c>
      <c r="J3682" t="str" cm="1">
        <f t="array" ref="J3682">_xlfn.IFS(I3682&lt;=3,"small",I3682&lt;=6,"Medium",I3682&lt;=9,"Large")</f>
        <v>Medium</v>
      </c>
      <c r="K3682" s="36">
        <v>44999</v>
      </c>
      <c r="L3682" s="36">
        <v>45002</v>
      </c>
      <c r="M3682" t="s">
        <v>603</v>
      </c>
      <c r="N3682" t="s">
        <v>608</v>
      </c>
      <c r="O3682" s="37" t="str">
        <f t="shared" si="288"/>
        <v>Cash Payment</v>
      </c>
      <c r="P3682">
        <v>324.27999999999997</v>
      </c>
      <c r="Q3682" s="37" t="str">
        <f>IF(P3682&gt;500,"High","low")</f>
        <v>low</v>
      </c>
      <c r="R3682" s="37" t="str">
        <f t="shared" si="289"/>
        <v>AVERAGE</v>
      </c>
      <c r="S3682" t="s">
        <v>609</v>
      </c>
    </row>
    <row r="3683" spans="1:19" x14ac:dyDescent="0.2">
      <c r="A3683" t="s">
        <v>4294</v>
      </c>
      <c r="B3683" t="s">
        <v>67</v>
      </c>
      <c r="C3683" t="s">
        <v>614</v>
      </c>
      <c r="D3683">
        <v>4958.74</v>
      </c>
      <c r="E3683" s="37" t="str">
        <f t="shared" si="285"/>
        <v>Excellent Order</v>
      </c>
      <c r="F3683">
        <v>0.21</v>
      </c>
      <c r="G3683" s="37" t="str">
        <f t="shared" si="286"/>
        <v>Normal Discount</v>
      </c>
      <c r="H3683" s="37" t="str">
        <f t="shared" si="287"/>
        <v>Medium</v>
      </c>
      <c r="I3683">
        <v>3</v>
      </c>
      <c r="J3683" t="str" cm="1">
        <f t="array" ref="J3683">_xlfn.IFS(I3683&lt;=3,"small",I3683&lt;=6,"Medium",I3683&lt;=9,"Large")</f>
        <v>small</v>
      </c>
      <c r="K3683" s="36">
        <v>45546</v>
      </c>
      <c r="L3683" s="36">
        <v>45551</v>
      </c>
      <c r="M3683" t="s">
        <v>603</v>
      </c>
      <c r="N3683" t="s">
        <v>608</v>
      </c>
      <c r="O3683" s="37" t="str">
        <f t="shared" si="288"/>
        <v>Cash Payment</v>
      </c>
      <c r="P3683">
        <v>1181.5899999999999</v>
      </c>
      <c r="Q3683" s="37" t="str">
        <f>IF(P3683&gt;500,"High","low")</f>
        <v>High</v>
      </c>
      <c r="R3683" s="37" t="str">
        <f t="shared" si="289"/>
        <v>Excellent</v>
      </c>
      <c r="S3683" t="s">
        <v>609</v>
      </c>
    </row>
    <row r="3684" spans="1:19" x14ac:dyDescent="0.2">
      <c r="A3684" t="s">
        <v>4295</v>
      </c>
      <c r="B3684" t="s">
        <v>90</v>
      </c>
      <c r="C3684" t="s">
        <v>614</v>
      </c>
      <c r="D3684">
        <v>2199.31</v>
      </c>
      <c r="E3684" s="37" t="str">
        <f t="shared" si="285"/>
        <v xml:space="preserve"> </v>
      </c>
      <c r="F3684">
        <v>0.35</v>
      </c>
      <c r="G3684" s="37" t="str">
        <f t="shared" si="286"/>
        <v>Heavy Discount</v>
      </c>
      <c r="H3684" s="37" t="str">
        <f t="shared" si="287"/>
        <v>Medium</v>
      </c>
      <c r="I3684">
        <v>3</v>
      </c>
      <c r="J3684" t="str" cm="1">
        <f t="array" ref="J3684">_xlfn.IFS(I3684&lt;=3,"small",I3684&lt;=6,"Medium",I3684&lt;=9,"Large")</f>
        <v>small</v>
      </c>
      <c r="K3684" s="36">
        <v>45583</v>
      </c>
      <c r="L3684" s="36">
        <v>45589</v>
      </c>
      <c r="M3684" t="s">
        <v>603</v>
      </c>
      <c r="N3684" t="s">
        <v>604</v>
      </c>
      <c r="O3684" s="37" t="str">
        <f t="shared" si="288"/>
        <v>Digital Payment</v>
      </c>
      <c r="P3684">
        <v>407.36</v>
      </c>
      <c r="Q3684" s="37" t="str">
        <f>IF(P3684&gt;500,"High","low")</f>
        <v>low</v>
      </c>
      <c r="R3684" s="37" t="str">
        <f t="shared" si="289"/>
        <v>AVERAGE</v>
      </c>
      <c r="S3684" t="s">
        <v>605</v>
      </c>
    </row>
    <row r="3685" spans="1:19" x14ac:dyDescent="0.2">
      <c r="A3685" t="s">
        <v>4296</v>
      </c>
      <c r="B3685" t="s">
        <v>83</v>
      </c>
      <c r="C3685" t="s">
        <v>602</v>
      </c>
      <c r="D3685">
        <v>836.45</v>
      </c>
      <c r="E3685" s="37" t="str">
        <f t="shared" si="285"/>
        <v xml:space="preserve"> </v>
      </c>
      <c r="F3685">
        <v>0.26</v>
      </c>
      <c r="G3685" s="37" t="str">
        <f t="shared" si="286"/>
        <v>Normal Discount</v>
      </c>
      <c r="H3685" s="37" t="str">
        <f t="shared" si="287"/>
        <v>Medium</v>
      </c>
      <c r="I3685">
        <v>2</v>
      </c>
      <c r="J3685" t="str" cm="1">
        <f t="array" ref="J3685">_xlfn.IFS(I3685&lt;=3,"small",I3685&lt;=6,"Medium",I3685&lt;=9,"Large")</f>
        <v>small</v>
      </c>
      <c r="K3685" s="36">
        <v>45389</v>
      </c>
      <c r="L3685" s="36">
        <v>45390</v>
      </c>
      <c r="M3685" t="s">
        <v>603</v>
      </c>
      <c r="N3685" t="s">
        <v>604</v>
      </c>
      <c r="O3685" s="37" t="str">
        <f t="shared" si="288"/>
        <v>Digital Payment</v>
      </c>
      <c r="P3685">
        <v>85.68</v>
      </c>
      <c r="Q3685" s="37" t="str">
        <f>IF(P3685&gt;500,"High","low")</f>
        <v>low</v>
      </c>
      <c r="R3685" s="37" t="str">
        <f t="shared" si="289"/>
        <v>AVERAGE</v>
      </c>
      <c r="S3685" t="s">
        <v>600</v>
      </c>
    </row>
    <row r="3686" spans="1:19" x14ac:dyDescent="0.2">
      <c r="A3686" t="s">
        <v>4297</v>
      </c>
      <c r="B3686" t="s">
        <v>67</v>
      </c>
      <c r="C3686" t="s">
        <v>607</v>
      </c>
      <c r="D3686">
        <v>1059.67</v>
      </c>
      <c r="E3686" s="37" t="str">
        <f t="shared" si="285"/>
        <v xml:space="preserve"> </v>
      </c>
      <c r="F3686">
        <v>0.06</v>
      </c>
      <c r="G3686" s="37" t="str">
        <f t="shared" si="286"/>
        <v>Normal Discount</v>
      </c>
      <c r="H3686" s="37" t="str">
        <f t="shared" si="287"/>
        <v>Low</v>
      </c>
      <c r="I3686">
        <v>9</v>
      </c>
      <c r="J3686" t="str" cm="1">
        <f t="array" ref="J3686">_xlfn.IFS(I3686&lt;=3,"small",I3686&lt;=6,"Medium",I3686&lt;=9,"Large")</f>
        <v>Large</v>
      </c>
      <c r="K3686" s="36">
        <v>45186</v>
      </c>
      <c r="L3686" s="36">
        <v>45190</v>
      </c>
      <c r="M3686" t="s">
        <v>603</v>
      </c>
      <c r="N3686" t="s">
        <v>608</v>
      </c>
      <c r="O3686" s="37" t="str">
        <f t="shared" si="288"/>
        <v>Cash Payment</v>
      </c>
      <c r="P3686">
        <v>102.63</v>
      </c>
      <c r="Q3686" s="37" t="str">
        <f>IF(P3686&gt;500,"High","low")</f>
        <v>low</v>
      </c>
      <c r="R3686" s="37" t="str">
        <f t="shared" si="289"/>
        <v>AVERAGE</v>
      </c>
      <c r="S3686" t="s">
        <v>615</v>
      </c>
    </row>
    <row r="3687" spans="1:19" x14ac:dyDescent="0.2">
      <c r="A3687" t="s">
        <v>4298</v>
      </c>
      <c r="B3687" t="s">
        <v>83</v>
      </c>
      <c r="C3687" t="s">
        <v>602</v>
      </c>
      <c r="D3687">
        <v>1660.04</v>
      </c>
      <c r="E3687" s="37" t="str">
        <f t="shared" si="285"/>
        <v xml:space="preserve"> </v>
      </c>
      <c r="F3687">
        <v>0.17</v>
      </c>
      <c r="G3687" s="37" t="str">
        <f t="shared" si="286"/>
        <v>Normal Discount</v>
      </c>
      <c r="H3687" s="37" t="str">
        <f t="shared" si="287"/>
        <v>Low</v>
      </c>
      <c r="I3687">
        <v>6</v>
      </c>
      <c r="J3687" t="str" cm="1">
        <f t="array" ref="J3687">_xlfn.IFS(I3687&lt;=3,"small",I3687&lt;=6,"Medium",I3687&lt;=9,"Large")</f>
        <v>Medium</v>
      </c>
      <c r="K3687" s="36">
        <v>45027</v>
      </c>
      <c r="L3687" s="36">
        <v>45031</v>
      </c>
      <c r="M3687" t="s">
        <v>598</v>
      </c>
      <c r="N3687" t="s">
        <v>608</v>
      </c>
      <c r="O3687" s="37" t="str">
        <f t="shared" si="288"/>
        <v>Cash Payment</v>
      </c>
      <c r="P3687">
        <v>309.58</v>
      </c>
      <c r="Q3687" s="37" t="str">
        <f>IF(P3687&gt;500,"High","low")</f>
        <v>low</v>
      </c>
      <c r="R3687" s="37" t="str">
        <f t="shared" si="289"/>
        <v>AVERAGE</v>
      </c>
      <c r="S3687" t="s">
        <v>620</v>
      </c>
    </row>
    <row r="3688" spans="1:19" x14ac:dyDescent="0.2">
      <c r="A3688" t="s">
        <v>4299</v>
      </c>
      <c r="B3688" t="s">
        <v>75</v>
      </c>
      <c r="C3688" t="s">
        <v>614</v>
      </c>
      <c r="D3688">
        <v>2593.59</v>
      </c>
      <c r="E3688" s="37" t="str">
        <f t="shared" si="285"/>
        <v xml:space="preserve"> </v>
      </c>
      <c r="F3688">
        <v>0.08</v>
      </c>
      <c r="G3688" s="37" t="str">
        <f t="shared" si="286"/>
        <v>Normal Discount</v>
      </c>
      <c r="H3688" s="37" t="str">
        <f t="shared" si="287"/>
        <v>Low</v>
      </c>
      <c r="I3688">
        <v>7</v>
      </c>
      <c r="J3688" t="str" cm="1">
        <f t="array" ref="J3688">_xlfn.IFS(I3688&lt;=3,"small",I3688&lt;=6,"Medium",I3688&lt;=9,"Large")</f>
        <v>Large</v>
      </c>
      <c r="K3688" s="36">
        <v>45228</v>
      </c>
      <c r="L3688" s="36">
        <v>45230</v>
      </c>
      <c r="M3688" t="s">
        <v>603</v>
      </c>
      <c r="N3688" t="s">
        <v>599</v>
      </c>
      <c r="O3688" s="37" t="str">
        <f t="shared" si="288"/>
        <v>Digital Payment</v>
      </c>
      <c r="P3688">
        <v>330.45</v>
      </c>
      <c r="Q3688" s="37" t="str">
        <f>IF(P3688&gt;500,"High","low")</f>
        <v>low</v>
      </c>
      <c r="R3688" s="37" t="str">
        <f t="shared" si="289"/>
        <v>AVERAGE</v>
      </c>
      <c r="S3688" t="s">
        <v>615</v>
      </c>
    </row>
    <row r="3689" spans="1:19" x14ac:dyDescent="0.2">
      <c r="A3689" t="s">
        <v>4300</v>
      </c>
      <c r="B3689" t="s">
        <v>83</v>
      </c>
      <c r="C3689" t="s">
        <v>607</v>
      </c>
      <c r="D3689">
        <v>699.86</v>
      </c>
      <c r="E3689" s="37" t="str">
        <f t="shared" si="285"/>
        <v xml:space="preserve"> </v>
      </c>
      <c r="F3689">
        <v>0.34</v>
      </c>
      <c r="G3689" s="37" t="str">
        <f t="shared" si="286"/>
        <v>Heavy Discount</v>
      </c>
      <c r="H3689" s="37" t="str">
        <f t="shared" si="287"/>
        <v>Medium</v>
      </c>
      <c r="I3689">
        <v>2</v>
      </c>
      <c r="J3689" t="str" cm="1">
        <f t="array" ref="J3689">_xlfn.IFS(I3689&lt;=3,"small",I3689&lt;=6,"Medium",I3689&lt;=9,"Large")</f>
        <v>small</v>
      </c>
      <c r="K3689" s="36">
        <v>45444</v>
      </c>
      <c r="L3689" s="36">
        <v>45445</v>
      </c>
      <c r="M3689" t="s">
        <v>603</v>
      </c>
      <c r="N3689" t="s">
        <v>599</v>
      </c>
      <c r="O3689" s="37" t="str">
        <f t="shared" si="288"/>
        <v>Digital Payment</v>
      </c>
      <c r="P3689">
        <v>155.93</v>
      </c>
      <c r="Q3689" s="37" t="str">
        <f>IF(P3689&gt;500,"High","low")</f>
        <v>low</v>
      </c>
      <c r="R3689" s="37" t="str">
        <f t="shared" si="289"/>
        <v>AVERAGE</v>
      </c>
      <c r="S3689" t="s">
        <v>605</v>
      </c>
    </row>
    <row r="3690" spans="1:19" x14ac:dyDescent="0.2">
      <c r="A3690" t="s">
        <v>4301</v>
      </c>
      <c r="B3690" t="s">
        <v>83</v>
      </c>
      <c r="C3690" t="s">
        <v>597</v>
      </c>
      <c r="D3690">
        <v>1578.42</v>
      </c>
      <c r="E3690" s="37" t="str">
        <f t="shared" si="285"/>
        <v xml:space="preserve"> </v>
      </c>
      <c r="F3690">
        <v>0.28999999999999998</v>
      </c>
      <c r="G3690" s="37" t="str">
        <f t="shared" si="286"/>
        <v>Normal Discount</v>
      </c>
      <c r="H3690" s="37" t="str">
        <f t="shared" si="287"/>
        <v>Medium</v>
      </c>
      <c r="I3690">
        <v>1</v>
      </c>
      <c r="J3690" t="str" cm="1">
        <f t="array" ref="J3690">_xlfn.IFS(I3690&lt;=3,"small",I3690&lt;=6,"Medium",I3690&lt;=9,"Large")</f>
        <v>small</v>
      </c>
      <c r="K3690" s="36">
        <v>45265</v>
      </c>
      <c r="L3690" s="36">
        <v>45269</v>
      </c>
      <c r="M3690" t="s">
        <v>603</v>
      </c>
      <c r="N3690" t="s">
        <v>604</v>
      </c>
      <c r="O3690" s="37" t="str">
        <f t="shared" si="288"/>
        <v>Digital Payment</v>
      </c>
      <c r="P3690">
        <v>216.55</v>
      </c>
      <c r="Q3690" s="37" t="str">
        <f>IF(P3690&gt;500,"High","low")</f>
        <v>low</v>
      </c>
      <c r="R3690" s="37" t="str">
        <f t="shared" si="289"/>
        <v>AVERAGE</v>
      </c>
      <c r="S3690" t="s">
        <v>620</v>
      </c>
    </row>
    <row r="3691" spans="1:19" x14ac:dyDescent="0.2">
      <c r="A3691" t="s">
        <v>4302</v>
      </c>
      <c r="B3691" t="s">
        <v>67</v>
      </c>
      <c r="C3691" t="s">
        <v>614</v>
      </c>
      <c r="D3691">
        <v>1608.19</v>
      </c>
      <c r="E3691" s="37" t="str">
        <f t="shared" si="285"/>
        <v xml:space="preserve"> </v>
      </c>
      <c r="F3691">
        <v>0.02</v>
      </c>
      <c r="G3691" s="37" t="str">
        <f t="shared" si="286"/>
        <v>Normal Discount</v>
      </c>
      <c r="H3691" s="37" t="str">
        <f t="shared" si="287"/>
        <v>Low</v>
      </c>
      <c r="I3691">
        <v>8</v>
      </c>
      <c r="J3691" t="str" cm="1">
        <f t="array" ref="J3691">_xlfn.IFS(I3691&lt;=3,"small",I3691&lt;=6,"Medium",I3691&lt;=9,"Large")</f>
        <v>Large</v>
      </c>
      <c r="K3691" s="36">
        <v>45333</v>
      </c>
      <c r="L3691" s="36">
        <v>45337</v>
      </c>
      <c r="M3691" t="s">
        <v>598</v>
      </c>
      <c r="N3691" t="s">
        <v>599</v>
      </c>
      <c r="O3691" s="37" t="str">
        <f t="shared" si="288"/>
        <v>Digital Payment</v>
      </c>
      <c r="P3691">
        <v>269.56</v>
      </c>
      <c r="Q3691" s="37" t="str">
        <f>IF(P3691&gt;500,"High","low")</f>
        <v>low</v>
      </c>
      <c r="R3691" s="37" t="str">
        <f t="shared" si="289"/>
        <v>AVERAGE</v>
      </c>
      <c r="S3691" t="s">
        <v>605</v>
      </c>
    </row>
    <row r="3692" spans="1:19" x14ac:dyDescent="0.2">
      <c r="A3692" t="s">
        <v>4303</v>
      </c>
      <c r="B3692" t="s">
        <v>83</v>
      </c>
      <c r="C3692" t="s">
        <v>602</v>
      </c>
      <c r="D3692">
        <v>120.02</v>
      </c>
      <c r="E3692" s="37" t="str">
        <f t="shared" si="285"/>
        <v xml:space="preserve"> </v>
      </c>
      <c r="F3692">
        <v>0.03</v>
      </c>
      <c r="G3692" s="37" t="str">
        <f t="shared" si="286"/>
        <v>Normal Discount</v>
      </c>
      <c r="H3692" s="37" t="str">
        <f t="shared" si="287"/>
        <v>Low</v>
      </c>
      <c r="I3692">
        <v>4</v>
      </c>
      <c r="J3692" t="str" cm="1">
        <f t="array" ref="J3692">_xlfn.IFS(I3692&lt;=3,"small",I3692&lt;=6,"Medium",I3692&lt;=9,"Large")</f>
        <v>Medium</v>
      </c>
      <c r="K3692" s="36">
        <v>45532</v>
      </c>
      <c r="L3692" s="36">
        <v>45538</v>
      </c>
      <c r="M3692" t="s">
        <v>603</v>
      </c>
      <c r="N3692" t="s">
        <v>599</v>
      </c>
      <c r="O3692" s="37" t="str">
        <f t="shared" si="288"/>
        <v>Digital Payment</v>
      </c>
      <c r="P3692">
        <v>7.79</v>
      </c>
      <c r="Q3692" s="37" t="str">
        <f>IF(P3692&gt;500,"High","low")</f>
        <v>low</v>
      </c>
      <c r="R3692" s="37" t="str">
        <f t="shared" si="289"/>
        <v>AVERAGE</v>
      </c>
      <c r="S3692" t="s">
        <v>600</v>
      </c>
    </row>
    <row r="3693" spans="1:19" x14ac:dyDescent="0.2">
      <c r="A3693" t="s">
        <v>4304</v>
      </c>
      <c r="B3693" t="s">
        <v>67</v>
      </c>
      <c r="C3693" t="s">
        <v>597</v>
      </c>
      <c r="D3693">
        <v>1835.43</v>
      </c>
      <c r="E3693" s="37" t="str">
        <f t="shared" si="285"/>
        <v xml:space="preserve"> </v>
      </c>
      <c r="F3693">
        <v>0.13</v>
      </c>
      <c r="G3693" s="37" t="str">
        <f t="shared" si="286"/>
        <v>Normal Discount</v>
      </c>
      <c r="H3693" s="37" t="str">
        <f t="shared" si="287"/>
        <v>Low</v>
      </c>
      <c r="I3693">
        <v>9</v>
      </c>
      <c r="J3693" t="str" cm="1">
        <f t="array" ref="J3693">_xlfn.IFS(I3693&lt;=3,"small",I3693&lt;=6,"Medium",I3693&lt;=9,"Large")</f>
        <v>Large</v>
      </c>
      <c r="K3693" s="36">
        <v>45046</v>
      </c>
      <c r="L3693" s="36">
        <v>45053</v>
      </c>
      <c r="M3693" t="s">
        <v>612</v>
      </c>
      <c r="N3693" t="s">
        <v>604</v>
      </c>
      <c r="O3693" s="37" t="str">
        <f t="shared" si="288"/>
        <v>Digital Payment</v>
      </c>
      <c r="P3693">
        <v>303.29000000000002</v>
      </c>
      <c r="Q3693" s="37" t="str">
        <f>IF(P3693&gt;500,"High","low")</f>
        <v>low</v>
      </c>
      <c r="R3693" s="37" t="str">
        <f t="shared" si="289"/>
        <v>AVERAGE</v>
      </c>
      <c r="S3693" t="s">
        <v>615</v>
      </c>
    </row>
    <row r="3694" spans="1:19" x14ac:dyDescent="0.2">
      <c r="A3694" t="s">
        <v>4305</v>
      </c>
      <c r="B3694" t="s">
        <v>75</v>
      </c>
      <c r="C3694" t="s">
        <v>617</v>
      </c>
      <c r="D3694">
        <v>669.15</v>
      </c>
      <c r="E3694" s="37" t="str">
        <f t="shared" si="285"/>
        <v xml:space="preserve"> </v>
      </c>
      <c r="F3694">
        <v>0.37</v>
      </c>
      <c r="G3694" s="37" t="str">
        <f t="shared" si="286"/>
        <v>Heavy Discount</v>
      </c>
      <c r="H3694" s="37" t="str">
        <f t="shared" si="287"/>
        <v>Medium</v>
      </c>
      <c r="I3694">
        <v>9</v>
      </c>
      <c r="J3694" t="str" cm="1">
        <f t="array" ref="J3694">_xlfn.IFS(I3694&lt;=3,"small",I3694&lt;=6,"Medium",I3694&lt;=9,"Large")</f>
        <v>Large</v>
      </c>
      <c r="K3694" s="36">
        <v>45311</v>
      </c>
      <c r="L3694" s="36">
        <v>45318</v>
      </c>
      <c r="M3694" t="s">
        <v>598</v>
      </c>
      <c r="N3694" t="s">
        <v>604</v>
      </c>
      <c r="O3694" s="37" t="str">
        <f t="shared" si="288"/>
        <v>Digital Payment</v>
      </c>
      <c r="P3694">
        <v>35.15</v>
      </c>
      <c r="Q3694" s="37" t="str">
        <f>IF(P3694&gt;500,"High","low")</f>
        <v>low</v>
      </c>
      <c r="R3694" s="37" t="str">
        <f t="shared" si="289"/>
        <v>AVERAGE</v>
      </c>
      <c r="S3694" t="s">
        <v>628</v>
      </c>
    </row>
    <row r="3695" spans="1:19" x14ac:dyDescent="0.2">
      <c r="A3695" t="s">
        <v>4306</v>
      </c>
      <c r="B3695" t="s">
        <v>67</v>
      </c>
      <c r="C3695" t="s">
        <v>597</v>
      </c>
      <c r="D3695">
        <v>2205.59</v>
      </c>
      <c r="E3695" s="37" t="str">
        <f t="shared" si="285"/>
        <v xml:space="preserve"> </v>
      </c>
      <c r="F3695">
        <v>0.06</v>
      </c>
      <c r="G3695" s="37" t="str">
        <f t="shared" si="286"/>
        <v>Normal Discount</v>
      </c>
      <c r="H3695" s="37" t="str">
        <f t="shared" si="287"/>
        <v>Low</v>
      </c>
      <c r="I3695">
        <v>4</v>
      </c>
      <c r="J3695" t="str" cm="1">
        <f t="array" ref="J3695">_xlfn.IFS(I3695&lt;=3,"small",I3695&lt;=6,"Medium",I3695&lt;=9,"Large")</f>
        <v>Medium</v>
      </c>
      <c r="K3695" s="36">
        <v>45435</v>
      </c>
      <c r="L3695" s="36">
        <v>45439</v>
      </c>
      <c r="M3695" t="s">
        <v>598</v>
      </c>
      <c r="N3695" t="s">
        <v>608</v>
      </c>
      <c r="O3695" s="37" t="str">
        <f t="shared" si="288"/>
        <v>Cash Payment</v>
      </c>
      <c r="P3695">
        <v>309.16000000000003</v>
      </c>
      <c r="Q3695" s="37" t="str">
        <f>IF(P3695&gt;500,"High","low")</f>
        <v>low</v>
      </c>
      <c r="R3695" s="37" t="str">
        <f t="shared" si="289"/>
        <v>AVERAGE</v>
      </c>
      <c r="S3695" t="s">
        <v>605</v>
      </c>
    </row>
    <row r="3696" spans="1:19" x14ac:dyDescent="0.2">
      <c r="A3696" t="s">
        <v>4307</v>
      </c>
      <c r="B3696" t="s">
        <v>67</v>
      </c>
      <c r="C3696" t="s">
        <v>602</v>
      </c>
      <c r="D3696">
        <v>1063.03</v>
      </c>
      <c r="E3696" s="37" t="str">
        <f t="shared" si="285"/>
        <v xml:space="preserve"> </v>
      </c>
      <c r="F3696">
        <v>0.1</v>
      </c>
      <c r="G3696" s="37" t="str">
        <f t="shared" si="286"/>
        <v>Normal Discount</v>
      </c>
      <c r="H3696" s="37" t="str">
        <f t="shared" si="287"/>
        <v>Low</v>
      </c>
      <c r="I3696">
        <v>3</v>
      </c>
      <c r="J3696" t="str" cm="1">
        <f t="array" ref="J3696">_xlfn.IFS(I3696&lt;=3,"small",I3696&lt;=6,"Medium",I3696&lt;=9,"Large")</f>
        <v>small</v>
      </c>
      <c r="K3696" s="36">
        <v>45639</v>
      </c>
      <c r="L3696" s="36">
        <v>45645</v>
      </c>
      <c r="M3696" t="s">
        <v>603</v>
      </c>
      <c r="N3696" t="s">
        <v>599</v>
      </c>
      <c r="O3696" s="37" t="str">
        <f t="shared" si="288"/>
        <v>Digital Payment</v>
      </c>
      <c r="P3696">
        <v>135.6</v>
      </c>
      <c r="Q3696" s="37" t="str">
        <f>IF(P3696&gt;500,"High","low")</f>
        <v>low</v>
      </c>
      <c r="R3696" s="37" t="str">
        <f t="shared" si="289"/>
        <v>AVERAGE</v>
      </c>
      <c r="S3696" t="s">
        <v>609</v>
      </c>
    </row>
    <row r="3697" spans="1:19" x14ac:dyDescent="0.2">
      <c r="A3697" t="s">
        <v>4308</v>
      </c>
      <c r="B3697" t="s">
        <v>90</v>
      </c>
      <c r="C3697" t="s">
        <v>597</v>
      </c>
      <c r="D3697">
        <v>4128.3599999999997</v>
      </c>
      <c r="E3697" s="37" t="str">
        <f t="shared" si="285"/>
        <v>Excellent Order</v>
      </c>
      <c r="F3697">
        <v>0.45</v>
      </c>
      <c r="G3697" s="37" t="str">
        <f t="shared" si="286"/>
        <v>Heavy Discount</v>
      </c>
      <c r="H3697" s="37" t="str">
        <f t="shared" si="287"/>
        <v>High</v>
      </c>
      <c r="I3697">
        <v>5</v>
      </c>
      <c r="J3697" t="str" cm="1">
        <f t="array" ref="J3697">_xlfn.IFS(I3697&lt;=3,"small",I3697&lt;=6,"Medium",I3697&lt;=9,"Large")</f>
        <v>Medium</v>
      </c>
      <c r="K3697" s="36">
        <v>45627</v>
      </c>
      <c r="L3697" s="36">
        <v>45628</v>
      </c>
      <c r="M3697" t="s">
        <v>603</v>
      </c>
      <c r="N3697" t="s">
        <v>608</v>
      </c>
      <c r="O3697" s="37" t="str">
        <f t="shared" si="288"/>
        <v>Cash Payment</v>
      </c>
      <c r="P3697">
        <v>986.91</v>
      </c>
      <c r="Q3697" s="37" t="str">
        <f>IF(P3697&gt;500,"High","low")</f>
        <v>High</v>
      </c>
      <c r="R3697" s="37" t="str">
        <f t="shared" si="289"/>
        <v>Good</v>
      </c>
      <c r="S3697" t="s">
        <v>620</v>
      </c>
    </row>
    <row r="3698" spans="1:19" x14ac:dyDescent="0.2">
      <c r="A3698" t="s">
        <v>4309</v>
      </c>
      <c r="B3698" t="s">
        <v>83</v>
      </c>
      <c r="C3698" t="s">
        <v>602</v>
      </c>
      <c r="D3698">
        <v>494.57</v>
      </c>
      <c r="E3698" s="37" t="str">
        <f t="shared" si="285"/>
        <v xml:space="preserve"> </v>
      </c>
      <c r="F3698">
        <v>0.27</v>
      </c>
      <c r="G3698" s="37" t="str">
        <f t="shared" si="286"/>
        <v>Normal Discount</v>
      </c>
      <c r="H3698" s="37" t="str">
        <f t="shared" si="287"/>
        <v>Medium</v>
      </c>
      <c r="I3698">
        <v>6</v>
      </c>
      <c r="J3698" t="str" cm="1">
        <f t="array" ref="J3698">_xlfn.IFS(I3698&lt;=3,"small",I3698&lt;=6,"Medium",I3698&lt;=9,"Large")</f>
        <v>Medium</v>
      </c>
      <c r="K3698" s="36">
        <v>45119</v>
      </c>
      <c r="L3698" s="36">
        <v>45125</v>
      </c>
      <c r="M3698" t="s">
        <v>603</v>
      </c>
      <c r="N3698" t="s">
        <v>599</v>
      </c>
      <c r="O3698" s="37" t="str">
        <f t="shared" si="288"/>
        <v>Digital Payment</v>
      </c>
      <c r="P3698">
        <v>119.78</v>
      </c>
      <c r="Q3698" s="37" t="str">
        <f>IF(P3698&gt;500,"High","low")</f>
        <v>low</v>
      </c>
      <c r="R3698" s="37" t="str">
        <f t="shared" si="289"/>
        <v>AVERAGE</v>
      </c>
      <c r="S3698" t="s">
        <v>600</v>
      </c>
    </row>
    <row r="3699" spans="1:19" x14ac:dyDescent="0.2">
      <c r="A3699" t="s">
        <v>4310</v>
      </c>
      <c r="B3699" t="s">
        <v>75</v>
      </c>
      <c r="C3699" t="s">
        <v>614</v>
      </c>
      <c r="D3699">
        <v>4341.74</v>
      </c>
      <c r="E3699" s="37" t="str">
        <f t="shared" si="285"/>
        <v xml:space="preserve"> </v>
      </c>
      <c r="F3699">
        <v>0.31</v>
      </c>
      <c r="G3699" s="37" t="str">
        <f t="shared" si="286"/>
        <v>Heavy Discount</v>
      </c>
      <c r="H3699" s="37" t="str">
        <f t="shared" si="287"/>
        <v>Medium</v>
      </c>
      <c r="I3699">
        <v>4</v>
      </c>
      <c r="J3699" t="str" cm="1">
        <f t="array" ref="J3699">_xlfn.IFS(I3699&lt;=3,"small",I3699&lt;=6,"Medium",I3699&lt;=9,"Large")</f>
        <v>Medium</v>
      </c>
      <c r="K3699" s="36">
        <v>45346</v>
      </c>
      <c r="L3699" s="36">
        <v>45350</v>
      </c>
      <c r="M3699" t="s">
        <v>598</v>
      </c>
      <c r="N3699" t="s">
        <v>608</v>
      </c>
      <c r="O3699" s="37" t="str">
        <f t="shared" si="288"/>
        <v>Cash Payment</v>
      </c>
      <c r="P3699">
        <v>671.61</v>
      </c>
      <c r="Q3699" s="37" t="str">
        <f>IF(P3699&gt;500,"High","low")</f>
        <v>High</v>
      </c>
      <c r="R3699" s="37" t="str">
        <f t="shared" si="289"/>
        <v>Good</v>
      </c>
      <c r="S3699" t="s">
        <v>600</v>
      </c>
    </row>
    <row r="3700" spans="1:19" x14ac:dyDescent="0.2">
      <c r="A3700" t="s">
        <v>4311</v>
      </c>
      <c r="B3700" t="s">
        <v>67</v>
      </c>
      <c r="C3700" t="s">
        <v>607</v>
      </c>
      <c r="D3700">
        <v>2944.58</v>
      </c>
      <c r="E3700" s="37" t="str">
        <f t="shared" si="285"/>
        <v xml:space="preserve"> </v>
      </c>
      <c r="F3700">
        <v>0.23</v>
      </c>
      <c r="G3700" s="37" t="str">
        <f t="shared" si="286"/>
        <v>Normal Discount</v>
      </c>
      <c r="H3700" s="37" t="str">
        <f t="shared" si="287"/>
        <v>Medium</v>
      </c>
      <c r="I3700">
        <v>1</v>
      </c>
      <c r="J3700" t="str" cm="1">
        <f t="array" ref="J3700">_xlfn.IFS(I3700&lt;=3,"small",I3700&lt;=6,"Medium",I3700&lt;=9,"Large")</f>
        <v>small</v>
      </c>
      <c r="K3700" s="36">
        <v>44951</v>
      </c>
      <c r="L3700" s="36">
        <v>44955</v>
      </c>
      <c r="M3700" t="s">
        <v>598</v>
      </c>
      <c r="N3700" t="s">
        <v>599</v>
      </c>
      <c r="O3700" s="37" t="str">
        <f t="shared" si="288"/>
        <v>Digital Payment</v>
      </c>
      <c r="P3700">
        <v>865.62</v>
      </c>
      <c r="Q3700" s="37" t="str">
        <f>IF(P3700&gt;500,"High","low")</f>
        <v>High</v>
      </c>
      <c r="R3700" s="37" t="str">
        <f t="shared" si="289"/>
        <v>Good</v>
      </c>
      <c r="S3700" t="s">
        <v>628</v>
      </c>
    </row>
    <row r="3701" spans="1:19" x14ac:dyDescent="0.2">
      <c r="A3701" t="s">
        <v>4312</v>
      </c>
      <c r="B3701" t="s">
        <v>75</v>
      </c>
      <c r="C3701" t="s">
        <v>617</v>
      </c>
      <c r="D3701">
        <v>2347.34</v>
      </c>
      <c r="E3701" s="37" t="str">
        <f t="shared" si="285"/>
        <v xml:space="preserve"> </v>
      </c>
      <c r="F3701">
        <v>0.15</v>
      </c>
      <c r="G3701" s="37" t="str">
        <f t="shared" si="286"/>
        <v>Normal Discount</v>
      </c>
      <c r="H3701" s="37" t="str">
        <f t="shared" si="287"/>
        <v>Low</v>
      </c>
      <c r="I3701">
        <v>7</v>
      </c>
      <c r="J3701" t="str" cm="1">
        <f t="array" ref="J3701">_xlfn.IFS(I3701&lt;=3,"small",I3701&lt;=6,"Medium",I3701&lt;=9,"Large")</f>
        <v>Large</v>
      </c>
      <c r="K3701" s="36">
        <v>45454</v>
      </c>
      <c r="L3701" s="36">
        <v>45460</v>
      </c>
      <c r="M3701" t="s">
        <v>612</v>
      </c>
      <c r="N3701" t="s">
        <v>608</v>
      </c>
      <c r="O3701" s="37" t="str">
        <f t="shared" si="288"/>
        <v>Cash Payment</v>
      </c>
      <c r="P3701">
        <v>264.12</v>
      </c>
      <c r="Q3701" s="37" t="str">
        <f>IF(P3701&gt;500,"High","low")</f>
        <v>low</v>
      </c>
      <c r="R3701" s="37" t="str">
        <f t="shared" si="289"/>
        <v>AVERAGE</v>
      </c>
      <c r="S3701" t="s">
        <v>600</v>
      </c>
    </row>
    <row r="3702" spans="1:19" x14ac:dyDescent="0.2">
      <c r="A3702" t="s">
        <v>4313</v>
      </c>
      <c r="B3702" t="s">
        <v>90</v>
      </c>
      <c r="C3702" t="s">
        <v>607</v>
      </c>
      <c r="D3702">
        <v>2793.74</v>
      </c>
      <c r="E3702" s="37" t="str">
        <f t="shared" si="285"/>
        <v xml:space="preserve"> </v>
      </c>
      <c r="F3702">
        <v>0.12</v>
      </c>
      <c r="G3702" s="37" t="str">
        <f t="shared" si="286"/>
        <v>Normal Discount</v>
      </c>
      <c r="H3702" s="37" t="str">
        <f t="shared" si="287"/>
        <v>Low</v>
      </c>
      <c r="I3702">
        <v>5</v>
      </c>
      <c r="J3702" t="str" cm="1">
        <f t="array" ref="J3702">_xlfn.IFS(I3702&lt;=3,"small",I3702&lt;=6,"Medium",I3702&lt;=9,"Large")</f>
        <v>Medium</v>
      </c>
      <c r="K3702" s="36">
        <v>45443</v>
      </c>
      <c r="L3702" s="36">
        <v>45445</v>
      </c>
      <c r="M3702" t="s">
        <v>603</v>
      </c>
      <c r="N3702" t="s">
        <v>604</v>
      </c>
      <c r="O3702" s="37" t="str">
        <f t="shared" si="288"/>
        <v>Digital Payment</v>
      </c>
      <c r="P3702">
        <v>255.46</v>
      </c>
      <c r="Q3702" s="37" t="str">
        <f>IF(P3702&gt;500,"High","low")</f>
        <v>low</v>
      </c>
      <c r="R3702" s="37" t="str">
        <f t="shared" si="289"/>
        <v>AVERAGE</v>
      </c>
      <c r="S3702" t="s">
        <v>615</v>
      </c>
    </row>
    <row r="3703" spans="1:19" x14ac:dyDescent="0.2">
      <c r="A3703" t="s">
        <v>4314</v>
      </c>
      <c r="B3703" t="s">
        <v>83</v>
      </c>
      <c r="C3703" t="s">
        <v>607</v>
      </c>
      <c r="D3703">
        <v>1942.93</v>
      </c>
      <c r="E3703" s="37" t="str">
        <f t="shared" si="285"/>
        <v xml:space="preserve"> </v>
      </c>
      <c r="F3703">
        <v>0.28999999999999998</v>
      </c>
      <c r="G3703" s="37" t="str">
        <f t="shared" si="286"/>
        <v>Normal Discount</v>
      </c>
      <c r="H3703" s="37" t="str">
        <f t="shared" si="287"/>
        <v>Medium</v>
      </c>
      <c r="I3703">
        <v>2</v>
      </c>
      <c r="J3703" t="str" cm="1">
        <f t="array" ref="J3703">_xlfn.IFS(I3703&lt;=3,"small",I3703&lt;=6,"Medium",I3703&lt;=9,"Large")</f>
        <v>small</v>
      </c>
      <c r="K3703" s="36">
        <v>45076</v>
      </c>
      <c r="L3703" s="36">
        <v>45079</v>
      </c>
      <c r="M3703" t="s">
        <v>603</v>
      </c>
      <c r="N3703" t="s">
        <v>604</v>
      </c>
      <c r="O3703" s="37" t="str">
        <f t="shared" si="288"/>
        <v>Digital Payment</v>
      </c>
      <c r="P3703">
        <v>492.69</v>
      </c>
      <c r="Q3703" s="37" t="str">
        <f>IF(P3703&gt;500,"High","low")</f>
        <v>low</v>
      </c>
      <c r="R3703" s="37" t="str">
        <f t="shared" si="289"/>
        <v>AVERAGE</v>
      </c>
      <c r="S3703" t="s">
        <v>605</v>
      </c>
    </row>
    <row r="3704" spans="1:19" x14ac:dyDescent="0.2">
      <c r="A3704" t="s">
        <v>4315</v>
      </c>
      <c r="B3704" t="s">
        <v>67</v>
      </c>
      <c r="C3704" t="s">
        <v>607</v>
      </c>
      <c r="D3704">
        <v>725.3</v>
      </c>
      <c r="E3704" s="37" t="str">
        <f t="shared" si="285"/>
        <v xml:space="preserve"> </v>
      </c>
      <c r="F3704">
        <v>0.24</v>
      </c>
      <c r="G3704" s="37" t="str">
        <f t="shared" si="286"/>
        <v>Normal Discount</v>
      </c>
      <c r="H3704" s="37" t="str">
        <f t="shared" si="287"/>
        <v>Medium</v>
      </c>
      <c r="I3704">
        <v>9</v>
      </c>
      <c r="J3704" t="str" cm="1">
        <f t="array" ref="J3704">_xlfn.IFS(I3704&lt;=3,"small",I3704&lt;=6,"Medium",I3704&lt;=9,"Large")</f>
        <v>Large</v>
      </c>
      <c r="K3704" s="36">
        <v>45383</v>
      </c>
      <c r="L3704" s="36">
        <v>45388</v>
      </c>
      <c r="M3704" t="s">
        <v>603</v>
      </c>
      <c r="N3704" t="s">
        <v>608</v>
      </c>
      <c r="O3704" s="37" t="str">
        <f t="shared" si="288"/>
        <v>Cash Payment</v>
      </c>
      <c r="P3704">
        <v>128.76</v>
      </c>
      <c r="Q3704" s="37" t="str">
        <f>IF(P3704&gt;500,"High","low")</f>
        <v>low</v>
      </c>
      <c r="R3704" s="37" t="str">
        <f t="shared" si="289"/>
        <v>AVERAGE</v>
      </c>
      <c r="S3704" t="s">
        <v>609</v>
      </c>
    </row>
    <row r="3705" spans="1:19" x14ac:dyDescent="0.2">
      <c r="A3705" t="s">
        <v>4316</v>
      </c>
      <c r="B3705" t="s">
        <v>83</v>
      </c>
      <c r="C3705" t="s">
        <v>602</v>
      </c>
      <c r="D3705">
        <v>3852.81</v>
      </c>
      <c r="E3705" s="37" t="str">
        <f t="shared" si="285"/>
        <v xml:space="preserve"> </v>
      </c>
      <c r="F3705">
        <v>0.2</v>
      </c>
      <c r="G3705" s="37" t="str">
        <f t="shared" si="286"/>
        <v>Normal Discount</v>
      </c>
      <c r="H3705" s="37" t="str">
        <f t="shared" si="287"/>
        <v>Medium</v>
      </c>
      <c r="I3705">
        <v>8</v>
      </c>
      <c r="J3705" t="str" cm="1">
        <f t="array" ref="J3705">_xlfn.IFS(I3705&lt;=3,"small",I3705&lt;=6,"Medium",I3705&lt;=9,"Large")</f>
        <v>Large</v>
      </c>
      <c r="K3705" s="36">
        <v>45388</v>
      </c>
      <c r="L3705" s="36">
        <v>45395</v>
      </c>
      <c r="M3705" t="s">
        <v>598</v>
      </c>
      <c r="N3705" t="s">
        <v>608</v>
      </c>
      <c r="O3705" s="37" t="str">
        <f t="shared" si="288"/>
        <v>Cash Payment</v>
      </c>
      <c r="P3705">
        <v>380.77</v>
      </c>
      <c r="Q3705" s="37" t="str">
        <f>IF(P3705&gt;500,"High","low")</f>
        <v>low</v>
      </c>
      <c r="R3705" s="37" t="str">
        <f t="shared" si="289"/>
        <v>AVERAGE</v>
      </c>
      <c r="S3705" t="s">
        <v>615</v>
      </c>
    </row>
    <row r="3706" spans="1:19" x14ac:dyDescent="0.2">
      <c r="A3706" t="s">
        <v>4317</v>
      </c>
      <c r="B3706" t="s">
        <v>90</v>
      </c>
      <c r="C3706" t="s">
        <v>602</v>
      </c>
      <c r="D3706">
        <v>4646.7700000000004</v>
      </c>
      <c r="E3706" s="37" t="str">
        <f t="shared" si="285"/>
        <v xml:space="preserve"> </v>
      </c>
      <c r="F3706">
        <v>0.35</v>
      </c>
      <c r="G3706" s="37" t="str">
        <f t="shared" si="286"/>
        <v>Heavy Discount</v>
      </c>
      <c r="H3706" s="37" t="str">
        <f t="shared" si="287"/>
        <v>Medium</v>
      </c>
      <c r="I3706">
        <v>7</v>
      </c>
      <c r="J3706" t="str" cm="1">
        <f t="array" ref="J3706">_xlfn.IFS(I3706&lt;=3,"small",I3706&lt;=6,"Medium",I3706&lt;=9,"Large")</f>
        <v>Large</v>
      </c>
      <c r="K3706" s="36">
        <v>45518</v>
      </c>
      <c r="L3706" s="36">
        <v>45524</v>
      </c>
      <c r="M3706" t="s">
        <v>598</v>
      </c>
      <c r="N3706" t="s">
        <v>599</v>
      </c>
      <c r="O3706" s="37" t="str">
        <f t="shared" si="288"/>
        <v>Digital Payment</v>
      </c>
      <c r="P3706">
        <v>619.11</v>
      </c>
      <c r="Q3706" s="37" t="str">
        <f>IF(P3706&gt;500,"High","low")</f>
        <v>High</v>
      </c>
      <c r="R3706" s="37" t="str">
        <f t="shared" si="289"/>
        <v>Good</v>
      </c>
      <c r="S3706" t="s">
        <v>615</v>
      </c>
    </row>
    <row r="3707" spans="1:19" x14ac:dyDescent="0.2">
      <c r="A3707" t="s">
        <v>4318</v>
      </c>
      <c r="B3707" t="s">
        <v>90</v>
      </c>
      <c r="C3707" t="s">
        <v>617</v>
      </c>
      <c r="D3707">
        <v>4755.33</v>
      </c>
      <c r="E3707" s="37" t="str">
        <f t="shared" si="285"/>
        <v xml:space="preserve"> </v>
      </c>
      <c r="F3707">
        <v>0.2</v>
      </c>
      <c r="G3707" s="37" t="str">
        <f t="shared" si="286"/>
        <v>Normal Discount</v>
      </c>
      <c r="H3707" s="37" t="str">
        <f t="shared" si="287"/>
        <v>Medium</v>
      </c>
      <c r="I3707">
        <v>9</v>
      </c>
      <c r="J3707" t="str" cm="1">
        <f t="array" ref="J3707">_xlfn.IFS(I3707&lt;=3,"small",I3707&lt;=6,"Medium",I3707&lt;=9,"Large")</f>
        <v>Large</v>
      </c>
      <c r="K3707" s="36">
        <v>45565</v>
      </c>
      <c r="L3707" s="36">
        <v>45566</v>
      </c>
      <c r="M3707" t="s">
        <v>598</v>
      </c>
      <c r="N3707" t="s">
        <v>604</v>
      </c>
      <c r="O3707" s="37" t="str">
        <f t="shared" si="288"/>
        <v>Digital Payment</v>
      </c>
      <c r="P3707">
        <v>350.29</v>
      </c>
      <c r="Q3707" s="37" t="str">
        <f>IF(P3707&gt;500,"High","low")</f>
        <v>low</v>
      </c>
      <c r="R3707" s="37" t="str">
        <f t="shared" si="289"/>
        <v>AVERAGE</v>
      </c>
      <c r="S3707" t="s">
        <v>628</v>
      </c>
    </row>
    <row r="3708" spans="1:19" x14ac:dyDescent="0.2">
      <c r="A3708" t="s">
        <v>4319</v>
      </c>
      <c r="B3708" t="s">
        <v>75</v>
      </c>
      <c r="C3708" t="s">
        <v>602</v>
      </c>
      <c r="D3708">
        <v>3386.49</v>
      </c>
      <c r="E3708" s="37" t="str">
        <f t="shared" si="285"/>
        <v xml:space="preserve"> </v>
      </c>
      <c r="F3708">
        <v>0.02</v>
      </c>
      <c r="G3708" s="37" t="str">
        <f t="shared" si="286"/>
        <v>Normal Discount</v>
      </c>
      <c r="H3708" s="37" t="str">
        <f t="shared" si="287"/>
        <v>Low</v>
      </c>
      <c r="I3708">
        <v>2</v>
      </c>
      <c r="J3708" t="str" cm="1">
        <f t="array" ref="J3708">_xlfn.IFS(I3708&lt;=3,"small",I3708&lt;=6,"Medium",I3708&lt;=9,"Large")</f>
        <v>small</v>
      </c>
      <c r="K3708" s="36">
        <v>45183</v>
      </c>
      <c r="L3708" s="36">
        <v>45188</v>
      </c>
      <c r="M3708" t="s">
        <v>598</v>
      </c>
      <c r="N3708" t="s">
        <v>599</v>
      </c>
      <c r="O3708" s="37" t="str">
        <f t="shared" si="288"/>
        <v>Digital Payment</v>
      </c>
      <c r="P3708">
        <v>758.76</v>
      </c>
      <c r="Q3708" s="37" t="str">
        <f>IF(P3708&gt;500,"High","low")</f>
        <v>High</v>
      </c>
      <c r="R3708" s="37" t="str">
        <f t="shared" si="289"/>
        <v>Good</v>
      </c>
      <c r="S3708" t="s">
        <v>628</v>
      </c>
    </row>
    <row r="3709" spans="1:19" x14ac:dyDescent="0.2">
      <c r="A3709" t="s">
        <v>4320</v>
      </c>
      <c r="B3709" t="s">
        <v>67</v>
      </c>
      <c r="C3709" t="s">
        <v>602</v>
      </c>
      <c r="D3709">
        <v>2110.6999999999998</v>
      </c>
      <c r="E3709" s="37" t="str">
        <f t="shared" si="285"/>
        <v xml:space="preserve"> </v>
      </c>
      <c r="F3709">
        <v>0.42</v>
      </c>
      <c r="G3709" s="37" t="str">
        <f t="shared" si="286"/>
        <v>Heavy Discount</v>
      </c>
      <c r="H3709" s="37" t="str">
        <f t="shared" si="287"/>
        <v>High</v>
      </c>
      <c r="I3709">
        <v>3</v>
      </c>
      <c r="J3709" t="str" cm="1">
        <f t="array" ref="J3709">_xlfn.IFS(I3709&lt;=3,"small",I3709&lt;=6,"Medium",I3709&lt;=9,"Large")</f>
        <v>small</v>
      </c>
      <c r="K3709" s="36">
        <v>45072</v>
      </c>
      <c r="L3709" s="36">
        <v>45076</v>
      </c>
      <c r="M3709" t="s">
        <v>598</v>
      </c>
      <c r="N3709" t="s">
        <v>599</v>
      </c>
      <c r="O3709" s="37" t="str">
        <f t="shared" si="288"/>
        <v>Digital Payment</v>
      </c>
      <c r="P3709">
        <v>367.68</v>
      </c>
      <c r="Q3709" s="37" t="str">
        <f>IF(P3709&gt;500,"High","low")</f>
        <v>low</v>
      </c>
      <c r="R3709" s="37" t="str">
        <f t="shared" si="289"/>
        <v>AVERAGE</v>
      </c>
      <c r="S3709" t="s">
        <v>620</v>
      </c>
    </row>
    <row r="3710" spans="1:19" x14ac:dyDescent="0.2">
      <c r="A3710" t="s">
        <v>4321</v>
      </c>
      <c r="B3710" t="s">
        <v>75</v>
      </c>
      <c r="C3710" t="s">
        <v>602</v>
      </c>
      <c r="D3710">
        <v>2443.96</v>
      </c>
      <c r="E3710" s="37" t="str">
        <f t="shared" si="285"/>
        <v xml:space="preserve"> </v>
      </c>
      <c r="F3710">
        <v>0.16</v>
      </c>
      <c r="G3710" s="37" t="str">
        <f t="shared" si="286"/>
        <v>Normal Discount</v>
      </c>
      <c r="H3710" s="37" t="str">
        <f t="shared" si="287"/>
        <v>Low</v>
      </c>
      <c r="I3710">
        <v>9</v>
      </c>
      <c r="J3710" t="str" cm="1">
        <f t="array" ref="J3710">_xlfn.IFS(I3710&lt;=3,"small",I3710&lt;=6,"Medium",I3710&lt;=9,"Large")</f>
        <v>Large</v>
      </c>
      <c r="K3710" s="36">
        <v>45513</v>
      </c>
      <c r="L3710" s="36">
        <v>45516</v>
      </c>
      <c r="M3710" t="s">
        <v>612</v>
      </c>
      <c r="N3710" t="s">
        <v>604</v>
      </c>
      <c r="O3710" s="37" t="str">
        <f t="shared" si="288"/>
        <v>Digital Payment</v>
      </c>
      <c r="P3710">
        <v>466.96</v>
      </c>
      <c r="Q3710" s="37" t="str">
        <f>IF(P3710&gt;500,"High","low")</f>
        <v>low</v>
      </c>
      <c r="R3710" s="37" t="str">
        <f t="shared" si="289"/>
        <v>AVERAGE</v>
      </c>
      <c r="S3710" t="s">
        <v>600</v>
      </c>
    </row>
    <row r="3711" spans="1:19" x14ac:dyDescent="0.2">
      <c r="A3711" t="s">
        <v>4322</v>
      </c>
      <c r="B3711" t="s">
        <v>90</v>
      </c>
      <c r="C3711" t="s">
        <v>602</v>
      </c>
      <c r="D3711">
        <v>3319.13</v>
      </c>
      <c r="E3711" s="37" t="str">
        <f t="shared" si="285"/>
        <v xml:space="preserve"> </v>
      </c>
      <c r="F3711">
        <v>0.47</v>
      </c>
      <c r="G3711" s="37" t="str">
        <f t="shared" si="286"/>
        <v>Heavy Discount</v>
      </c>
      <c r="H3711" s="37" t="str">
        <f t="shared" si="287"/>
        <v>High</v>
      </c>
      <c r="I3711">
        <v>6</v>
      </c>
      <c r="J3711" t="str" cm="1">
        <f t="array" ref="J3711">_xlfn.IFS(I3711&lt;=3,"small",I3711&lt;=6,"Medium",I3711&lt;=9,"Large")</f>
        <v>Medium</v>
      </c>
      <c r="K3711" s="36">
        <v>44937</v>
      </c>
      <c r="L3711" s="36">
        <v>44939</v>
      </c>
      <c r="M3711" t="s">
        <v>598</v>
      </c>
      <c r="N3711" t="s">
        <v>599</v>
      </c>
      <c r="O3711" s="37" t="str">
        <f t="shared" si="288"/>
        <v>Digital Payment</v>
      </c>
      <c r="P3711">
        <v>227.64</v>
      </c>
      <c r="Q3711" s="37" t="str">
        <f>IF(P3711&gt;500,"High","low")</f>
        <v>low</v>
      </c>
      <c r="R3711" s="37" t="str">
        <f t="shared" si="289"/>
        <v>AVERAGE</v>
      </c>
      <c r="S3711" t="s">
        <v>620</v>
      </c>
    </row>
    <row r="3712" spans="1:19" x14ac:dyDescent="0.2">
      <c r="A3712" t="s">
        <v>4323</v>
      </c>
      <c r="B3712" t="s">
        <v>83</v>
      </c>
      <c r="C3712" t="s">
        <v>614</v>
      </c>
      <c r="D3712">
        <v>4133.0600000000004</v>
      </c>
      <c r="E3712" s="37" t="str">
        <f t="shared" si="285"/>
        <v>Excellent Order</v>
      </c>
      <c r="F3712">
        <v>0.44</v>
      </c>
      <c r="G3712" s="37" t="str">
        <f t="shared" si="286"/>
        <v>Heavy Discount</v>
      </c>
      <c r="H3712" s="37" t="str">
        <f t="shared" si="287"/>
        <v>High</v>
      </c>
      <c r="I3712">
        <v>2</v>
      </c>
      <c r="J3712" t="str" cm="1">
        <f t="array" ref="J3712">_xlfn.IFS(I3712&lt;=3,"small",I3712&lt;=6,"Medium",I3712&lt;=9,"Large")</f>
        <v>small</v>
      </c>
      <c r="K3712" s="36">
        <v>45530</v>
      </c>
      <c r="L3712" s="36">
        <v>45532</v>
      </c>
      <c r="M3712" t="s">
        <v>598</v>
      </c>
      <c r="N3712" t="s">
        <v>608</v>
      </c>
      <c r="O3712" s="37" t="str">
        <f t="shared" si="288"/>
        <v>Cash Payment</v>
      </c>
      <c r="P3712">
        <v>929.23</v>
      </c>
      <c r="Q3712" s="37" t="str">
        <f>IF(P3712&gt;500,"High","low")</f>
        <v>High</v>
      </c>
      <c r="R3712" s="37" t="str">
        <f t="shared" si="289"/>
        <v>Good</v>
      </c>
      <c r="S3712" t="s">
        <v>628</v>
      </c>
    </row>
    <row r="3713" spans="1:19" x14ac:dyDescent="0.2">
      <c r="A3713" t="s">
        <v>4324</v>
      </c>
      <c r="B3713" t="s">
        <v>75</v>
      </c>
      <c r="C3713" t="s">
        <v>617</v>
      </c>
      <c r="D3713">
        <v>1935.38</v>
      </c>
      <c r="E3713" s="37" t="str">
        <f t="shared" si="285"/>
        <v xml:space="preserve"> </v>
      </c>
      <c r="F3713">
        <v>0.12</v>
      </c>
      <c r="G3713" s="37" t="str">
        <f t="shared" si="286"/>
        <v>Normal Discount</v>
      </c>
      <c r="H3713" s="37" t="str">
        <f t="shared" si="287"/>
        <v>Low</v>
      </c>
      <c r="I3713">
        <v>6</v>
      </c>
      <c r="J3713" t="str" cm="1">
        <f t="array" ref="J3713">_xlfn.IFS(I3713&lt;=3,"small",I3713&lt;=6,"Medium",I3713&lt;=9,"Large")</f>
        <v>Medium</v>
      </c>
      <c r="K3713" s="36">
        <v>45088</v>
      </c>
      <c r="L3713" s="36">
        <v>45089</v>
      </c>
      <c r="M3713" t="s">
        <v>612</v>
      </c>
      <c r="N3713" t="s">
        <v>604</v>
      </c>
      <c r="O3713" s="37" t="str">
        <f t="shared" si="288"/>
        <v>Digital Payment</v>
      </c>
      <c r="P3713">
        <v>238.94</v>
      </c>
      <c r="Q3713" s="37" t="str">
        <f>IF(P3713&gt;500,"High","low")</f>
        <v>low</v>
      </c>
      <c r="R3713" s="37" t="str">
        <f t="shared" si="289"/>
        <v>AVERAGE</v>
      </c>
      <c r="S3713" t="s">
        <v>620</v>
      </c>
    </row>
    <row r="3714" spans="1:19" x14ac:dyDescent="0.2">
      <c r="A3714" t="s">
        <v>4325</v>
      </c>
      <c r="B3714" t="s">
        <v>75</v>
      </c>
      <c r="C3714" t="s">
        <v>602</v>
      </c>
      <c r="D3714">
        <v>4592.2299999999996</v>
      </c>
      <c r="E3714" s="37" t="str">
        <f t="shared" si="285"/>
        <v xml:space="preserve"> </v>
      </c>
      <c r="F3714">
        <v>0.48</v>
      </c>
      <c r="G3714" s="37" t="str">
        <f t="shared" si="286"/>
        <v>Heavy Discount</v>
      </c>
      <c r="H3714" s="37" t="str">
        <f t="shared" si="287"/>
        <v>High</v>
      </c>
      <c r="I3714">
        <v>5</v>
      </c>
      <c r="J3714" t="str" cm="1">
        <f t="array" ref="J3714">_xlfn.IFS(I3714&lt;=3,"small",I3714&lt;=6,"Medium",I3714&lt;=9,"Large")</f>
        <v>Medium</v>
      </c>
      <c r="K3714" s="36">
        <v>45518</v>
      </c>
      <c r="L3714" s="36">
        <v>45525</v>
      </c>
      <c r="M3714" t="s">
        <v>598</v>
      </c>
      <c r="N3714" t="s">
        <v>608</v>
      </c>
      <c r="O3714" s="37" t="str">
        <f t="shared" si="288"/>
        <v>Cash Payment</v>
      </c>
      <c r="P3714">
        <v>413.32</v>
      </c>
      <c r="Q3714" s="37" t="str">
        <f>IF(P3714&gt;500,"High","low")</f>
        <v>low</v>
      </c>
      <c r="R3714" s="37" t="str">
        <f t="shared" si="289"/>
        <v>AVERAGE</v>
      </c>
      <c r="S3714" t="s">
        <v>609</v>
      </c>
    </row>
    <row r="3715" spans="1:19" x14ac:dyDescent="0.2">
      <c r="A3715" t="s">
        <v>4326</v>
      </c>
      <c r="B3715" t="s">
        <v>83</v>
      </c>
      <c r="C3715" t="s">
        <v>617</v>
      </c>
      <c r="D3715">
        <v>1688.93</v>
      </c>
      <c r="E3715" s="37" t="str">
        <f t="shared" ref="E3715:E3778" si="290">IF(AND(D3715&gt;4000,P3715&gt;800),"Excellent Order"," ")</f>
        <v xml:space="preserve"> </v>
      </c>
      <c r="F3715">
        <v>0.43</v>
      </c>
      <c r="G3715" s="37" t="str">
        <f t="shared" ref="G3715:G3778" si="291">IF(F3715&gt;30%,"Heavy Discount","Normal Discount")</f>
        <v>Heavy Discount</v>
      </c>
      <c r="H3715" s="37" t="str">
        <f t="shared" ref="H3715:H3778" si="292">IF(F3715&gt;0.4,"High",IF(F3715&gt;=0.2,"Medium","Low"))</f>
        <v>High</v>
      </c>
      <c r="I3715">
        <v>5</v>
      </c>
      <c r="J3715" t="str" cm="1">
        <f t="array" ref="J3715">_xlfn.IFS(I3715&lt;=3,"small",I3715&lt;=6,"Medium",I3715&lt;=9,"Large")</f>
        <v>Medium</v>
      </c>
      <c r="K3715" s="36">
        <v>45640</v>
      </c>
      <c r="L3715" s="36">
        <v>45643</v>
      </c>
      <c r="M3715" t="s">
        <v>612</v>
      </c>
      <c r="N3715" t="s">
        <v>604</v>
      </c>
      <c r="O3715" s="37" t="str">
        <f t="shared" ref="O3715:O3778" si="293">IF(OR(N3715="Card",N3715="UPI"),"Digital Payment","Cash Payment")</f>
        <v>Digital Payment</v>
      </c>
      <c r="P3715">
        <v>263.76</v>
      </c>
      <c r="Q3715" s="37" t="str">
        <f>IF(P3715&gt;500,"High","low")</f>
        <v>low</v>
      </c>
      <c r="R3715" s="37" t="str">
        <f t="shared" ref="R3715:R3778" si="294">IF(P3715&gt;1000,"Excellent",IF(P3715&gt;=500,"Good","AVERAGE"))</f>
        <v>AVERAGE</v>
      </c>
      <c r="S3715" t="s">
        <v>615</v>
      </c>
    </row>
    <row r="3716" spans="1:19" x14ac:dyDescent="0.2">
      <c r="A3716" t="s">
        <v>4327</v>
      </c>
      <c r="B3716" t="s">
        <v>75</v>
      </c>
      <c r="C3716" t="s">
        <v>597</v>
      </c>
      <c r="D3716">
        <v>2701.21</v>
      </c>
      <c r="E3716" s="37" t="str">
        <f t="shared" si="290"/>
        <v xml:space="preserve"> </v>
      </c>
      <c r="F3716">
        <v>0.49</v>
      </c>
      <c r="G3716" s="37" t="str">
        <f t="shared" si="291"/>
        <v>Heavy Discount</v>
      </c>
      <c r="H3716" s="37" t="str">
        <f t="shared" si="292"/>
        <v>High</v>
      </c>
      <c r="I3716">
        <v>5</v>
      </c>
      <c r="J3716" t="str" cm="1">
        <f t="array" ref="J3716">_xlfn.IFS(I3716&lt;=3,"small",I3716&lt;=6,"Medium",I3716&lt;=9,"Large")</f>
        <v>Medium</v>
      </c>
      <c r="K3716" s="36">
        <v>45180</v>
      </c>
      <c r="L3716" s="36">
        <v>45186</v>
      </c>
      <c r="M3716" t="s">
        <v>603</v>
      </c>
      <c r="N3716" t="s">
        <v>608</v>
      </c>
      <c r="O3716" s="37" t="str">
        <f t="shared" si="293"/>
        <v>Cash Payment</v>
      </c>
      <c r="P3716">
        <v>712.15</v>
      </c>
      <c r="Q3716" s="37" t="str">
        <f>IF(P3716&gt;500,"High","low")</f>
        <v>High</v>
      </c>
      <c r="R3716" s="37" t="str">
        <f t="shared" si="294"/>
        <v>Good</v>
      </c>
      <c r="S3716" t="s">
        <v>628</v>
      </c>
    </row>
    <row r="3717" spans="1:19" x14ac:dyDescent="0.2">
      <c r="A3717" t="s">
        <v>4328</v>
      </c>
      <c r="B3717" t="s">
        <v>83</v>
      </c>
      <c r="C3717" t="s">
        <v>614</v>
      </c>
      <c r="D3717">
        <v>4810.67</v>
      </c>
      <c r="E3717" s="37" t="str">
        <f t="shared" si="290"/>
        <v xml:space="preserve"> </v>
      </c>
      <c r="F3717">
        <v>0.34</v>
      </c>
      <c r="G3717" s="37" t="str">
        <f t="shared" si="291"/>
        <v>Heavy Discount</v>
      </c>
      <c r="H3717" s="37" t="str">
        <f t="shared" si="292"/>
        <v>Medium</v>
      </c>
      <c r="I3717">
        <v>2</v>
      </c>
      <c r="J3717" t="str" cm="1">
        <f t="array" ref="J3717">_xlfn.IFS(I3717&lt;=3,"small",I3717&lt;=6,"Medium",I3717&lt;=9,"Large")</f>
        <v>small</v>
      </c>
      <c r="K3717" s="36">
        <v>45541</v>
      </c>
      <c r="L3717" s="36">
        <v>45548</v>
      </c>
      <c r="M3717" t="s">
        <v>612</v>
      </c>
      <c r="N3717" t="s">
        <v>604</v>
      </c>
      <c r="O3717" s="37" t="str">
        <f t="shared" si="293"/>
        <v>Digital Payment</v>
      </c>
      <c r="P3717">
        <v>687.36</v>
      </c>
      <c r="Q3717" s="37" t="str">
        <f>IF(P3717&gt;500,"High","low")</f>
        <v>High</v>
      </c>
      <c r="R3717" s="37" t="str">
        <f t="shared" si="294"/>
        <v>Good</v>
      </c>
      <c r="S3717" t="s">
        <v>600</v>
      </c>
    </row>
    <row r="3718" spans="1:19" x14ac:dyDescent="0.2">
      <c r="A3718" t="s">
        <v>4329</v>
      </c>
      <c r="B3718" t="s">
        <v>67</v>
      </c>
      <c r="C3718" t="s">
        <v>602</v>
      </c>
      <c r="D3718">
        <v>4697.17</v>
      </c>
      <c r="E3718" s="37" t="str">
        <f t="shared" si="290"/>
        <v xml:space="preserve"> </v>
      </c>
      <c r="F3718">
        <v>0.47</v>
      </c>
      <c r="G3718" s="37" t="str">
        <f t="shared" si="291"/>
        <v>Heavy Discount</v>
      </c>
      <c r="H3718" s="37" t="str">
        <f t="shared" si="292"/>
        <v>High</v>
      </c>
      <c r="I3718">
        <v>6</v>
      </c>
      <c r="J3718" t="str" cm="1">
        <f t="array" ref="J3718">_xlfn.IFS(I3718&lt;=3,"small",I3718&lt;=6,"Medium",I3718&lt;=9,"Large")</f>
        <v>Medium</v>
      </c>
      <c r="K3718" s="36">
        <v>45144</v>
      </c>
      <c r="L3718" s="36">
        <v>45145</v>
      </c>
      <c r="M3718" t="s">
        <v>603</v>
      </c>
      <c r="N3718" t="s">
        <v>608</v>
      </c>
      <c r="O3718" s="37" t="str">
        <f t="shared" si="293"/>
        <v>Cash Payment</v>
      </c>
      <c r="P3718">
        <v>362.89</v>
      </c>
      <c r="Q3718" s="37" t="str">
        <f>IF(P3718&gt;500,"High","low")</f>
        <v>low</v>
      </c>
      <c r="R3718" s="37" t="str">
        <f t="shared" si="294"/>
        <v>AVERAGE</v>
      </c>
      <c r="S3718" t="s">
        <v>628</v>
      </c>
    </row>
    <row r="3719" spans="1:19" x14ac:dyDescent="0.2">
      <c r="A3719" t="s">
        <v>4330</v>
      </c>
      <c r="B3719" t="s">
        <v>83</v>
      </c>
      <c r="C3719" t="s">
        <v>614</v>
      </c>
      <c r="D3719">
        <v>3509.15</v>
      </c>
      <c r="E3719" s="37" t="str">
        <f t="shared" si="290"/>
        <v xml:space="preserve"> </v>
      </c>
      <c r="F3719">
        <v>0.35</v>
      </c>
      <c r="G3719" s="37" t="str">
        <f t="shared" si="291"/>
        <v>Heavy Discount</v>
      </c>
      <c r="H3719" s="37" t="str">
        <f t="shared" si="292"/>
        <v>Medium</v>
      </c>
      <c r="I3719">
        <v>7</v>
      </c>
      <c r="J3719" t="str" cm="1">
        <f t="array" ref="J3719">_xlfn.IFS(I3719&lt;=3,"small",I3719&lt;=6,"Medium",I3719&lt;=9,"Large")</f>
        <v>Large</v>
      </c>
      <c r="K3719" s="36">
        <v>45068</v>
      </c>
      <c r="L3719" s="36">
        <v>45070</v>
      </c>
      <c r="M3719" t="s">
        <v>612</v>
      </c>
      <c r="N3719" t="s">
        <v>604</v>
      </c>
      <c r="O3719" s="37" t="str">
        <f t="shared" si="293"/>
        <v>Digital Payment</v>
      </c>
      <c r="P3719">
        <v>1002.02</v>
      </c>
      <c r="Q3719" s="37" t="str">
        <f>IF(P3719&gt;500,"High","low")</f>
        <v>High</v>
      </c>
      <c r="R3719" s="37" t="str">
        <f t="shared" si="294"/>
        <v>Excellent</v>
      </c>
      <c r="S3719" t="s">
        <v>628</v>
      </c>
    </row>
    <row r="3720" spans="1:19" x14ac:dyDescent="0.2">
      <c r="A3720" t="s">
        <v>4331</v>
      </c>
      <c r="B3720" t="s">
        <v>67</v>
      </c>
      <c r="C3720" t="s">
        <v>614</v>
      </c>
      <c r="D3720">
        <v>1690.34</v>
      </c>
      <c r="E3720" s="37" t="str">
        <f t="shared" si="290"/>
        <v xml:space="preserve"> </v>
      </c>
      <c r="F3720">
        <v>0.43</v>
      </c>
      <c r="G3720" s="37" t="str">
        <f t="shared" si="291"/>
        <v>Heavy Discount</v>
      </c>
      <c r="H3720" s="37" t="str">
        <f t="shared" si="292"/>
        <v>High</v>
      </c>
      <c r="I3720">
        <v>9</v>
      </c>
      <c r="J3720" t="str" cm="1">
        <f t="array" ref="J3720">_xlfn.IFS(I3720&lt;=3,"small",I3720&lt;=6,"Medium",I3720&lt;=9,"Large")</f>
        <v>Large</v>
      </c>
      <c r="K3720" s="36">
        <v>45319</v>
      </c>
      <c r="L3720" s="36">
        <v>45323</v>
      </c>
      <c r="M3720" t="s">
        <v>603</v>
      </c>
      <c r="N3720" t="s">
        <v>608</v>
      </c>
      <c r="O3720" s="37" t="str">
        <f t="shared" si="293"/>
        <v>Cash Payment</v>
      </c>
      <c r="P3720">
        <v>354.64</v>
      </c>
      <c r="Q3720" s="37" t="str">
        <f>IF(P3720&gt;500,"High","low")</f>
        <v>low</v>
      </c>
      <c r="R3720" s="37" t="str">
        <f t="shared" si="294"/>
        <v>AVERAGE</v>
      </c>
      <c r="S3720" t="s">
        <v>615</v>
      </c>
    </row>
    <row r="3721" spans="1:19" x14ac:dyDescent="0.2">
      <c r="A3721" t="s">
        <v>4332</v>
      </c>
      <c r="B3721" t="s">
        <v>83</v>
      </c>
      <c r="C3721" t="s">
        <v>597</v>
      </c>
      <c r="D3721">
        <v>1173.27</v>
      </c>
      <c r="E3721" s="37" t="str">
        <f t="shared" si="290"/>
        <v xml:space="preserve"> </v>
      </c>
      <c r="F3721">
        <v>0.31</v>
      </c>
      <c r="G3721" s="37" t="str">
        <f t="shared" si="291"/>
        <v>Heavy Discount</v>
      </c>
      <c r="H3721" s="37" t="str">
        <f t="shared" si="292"/>
        <v>Medium</v>
      </c>
      <c r="I3721">
        <v>5</v>
      </c>
      <c r="J3721" t="str" cm="1">
        <f t="array" ref="J3721">_xlfn.IFS(I3721&lt;=3,"small",I3721&lt;=6,"Medium",I3721&lt;=9,"Large")</f>
        <v>Medium</v>
      </c>
      <c r="K3721" s="36">
        <v>45167</v>
      </c>
      <c r="L3721" s="36">
        <v>45168</v>
      </c>
      <c r="M3721" t="s">
        <v>612</v>
      </c>
      <c r="N3721" t="s">
        <v>604</v>
      </c>
      <c r="O3721" s="37" t="str">
        <f t="shared" si="293"/>
        <v>Digital Payment</v>
      </c>
      <c r="P3721">
        <v>147.12</v>
      </c>
      <c r="Q3721" s="37" t="str">
        <f>IF(P3721&gt;500,"High","low")</f>
        <v>low</v>
      </c>
      <c r="R3721" s="37" t="str">
        <f t="shared" si="294"/>
        <v>AVERAGE</v>
      </c>
      <c r="S3721" t="s">
        <v>600</v>
      </c>
    </row>
    <row r="3722" spans="1:19" x14ac:dyDescent="0.2">
      <c r="A3722" t="s">
        <v>4333</v>
      </c>
      <c r="B3722" t="s">
        <v>90</v>
      </c>
      <c r="C3722" t="s">
        <v>617</v>
      </c>
      <c r="D3722">
        <v>492.7</v>
      </c>
      <c r="E3722" s="37" t="str">
        <f t="shared" si="290"/>
        <v xml:space="preserve"> </v>
      </c>
      <c r="F3722">
        <v>0.46</v>
      </c>
      <c r="G3722" s="37" t="str">
        <f t="shared" si="291"/>
        <v>Heavy Discount</v>
      </c>
      <c r="H3722" s="37" t="str">
        <f t="shared" si="292"/>
        <v>High</v>
      </c>
      <c r="I3722">
        <v>5</v>
      </c>
      <c r="J3722" t="str" cm="1">
        <f t="array" ref="J3722">_xlfn.IFS(I3722&lt;=3,"small",I3722&lt;=6,"Medium",I3722&lt;=9,"Large")</f>
        <v>Medium</v>
      </c>
      <c r="K3722" s="36">
        <v>45009</v>
      </c>
      <c r="L3722" s="36">
        <v>45012</v>
      </c>
      <c r="M3722" t="s">
        <v>603</v>
      </c>
      <c r="N3722" t="s">
        <v>599</v>
      </c>
      <c r="O3722" s="37" t="str">
        <f t="shared" si="293"/>
        <v>Digital Payment</v>
      </c>
      <c r="P3722">
        <v>96.44</v>
      </c>
      <c r="Q3722" s="37" t="str">
        <f>IF(P3722&gt;500,"High","low")</f>
        <v>low</v>
      </c>
      <c r="R3722" s="37" t="str">
        <f t="shared" si="294"/>
        <v>AVERAGE</v>
      </c>
      <c r="S3722" t="s">
        <v>620</v>
      </c>
    </row>
    <row r="3723" spans="1:19" x14ac:dyDescent="0.2">
      <c r="A3723" t="s">
        <v>4334</v>
      </c>
      <c r="B3723" t="s">
        <v>90</v>
      </c>
      <c r="C3723" t="s">
        <v>614</v>
      </c>
      <c r="D3723">
        <v>3572.41</v>
      </c>
      <c r="E3723" s="37" t="str">
        <f t="shared" si="290"/>
        <v xml:space="preserve"> </v>
      </c>
      <c r="F3723">
        <v>0.26</v>
      </c>
      <c r="G3723" s="37" t="str">
        <f t="shared" si="291"/>
        <v>Normal Discount</v>
      </c>
      <c r="H3723" s="37" t="str">
        <f t="shared" si="292"/>
        <v>Medium</v>
      </c>
      <c r="I3723">
        <v>9</v>
      </c>
      <c r="J3723" t="str" cm="1">
        <f t="array" ref="J3723">_xlfn.IFS(I3723&lt;=3,"small",I3723&lt;=6,"Medium",I3723&lt;=9,"Large")</f>
        <v>Large</v>
      </c>
      <c r="K3723" s="36">
        <v>45280</v>
      </c>
      <c r="L3723" s="36">
        <v>45286</v>
      </c>
      <c r="M3723" t="s">
        <v>598</v>
      </c>
      <c r="N3723" t="s">
        <v>599</v>
      </c>
      <c r="O3723" s="37" t="str">
        <f t="shared" si="293"/>
        <v>Digital Payment</v>
      </c>
      <c r="P3723">
        <v>259.29000000000002</v>
      </c>
      <c r="Q3723" s="37" t="str">
        <f>IF(P3723&gt;500,"High","low")</f>
        <v>low</v>
      </c>
      <c r="R3723" s="37" t="str">
        <f t="shared" si="294"/>
        <v>AVERAGE</v>
      </c>
      <c r="S3723" t="s">
        <v>605</v>
      </c>
    </row>
    <row r="3724" spans="1:19" x14ac:dyDescent="0.2">
      <c r="A3724" t="s">
        <v>4335</v>
      </c>
      <c r="B3724" t="s">
        <v>67</v>
      </c>
      <c r="C3724" t="s">
        <v>607</v>
      </c>
      <c r="D3724">
        <v>2566.91</v>
      </c>
      <c r="E3724" s="37" t="str">
        <f t="shared" si="290"/>
        <v xml:space="preserve"> </v>
      </c>
      <c r="F3724">
        <v>0.37</v>
      </c>
      <c r="G3724" s="37" t="str">
        <f t="shared" si="291"/>
        <v>Heavy Discount</v>
      </c>
      <c r="H3724" s="37" t="str">
        <f t="shared" si="292"/>
        <v>Medium</v>
      </c>
      <c r="I3724">
        <v>6</v>
      </c>
      <c r="J3724" t="str" cm="1">
        <f t="array" ref="J3724">_xlfn.IFS(I3724&lt;=3,"small",I3724&lt;=6,"Medium",I3724&lt;=9,"Large")</f>
        <v>Medium</v>
      </c>
      <c r="K3724" s="36">
        <v>45348</v>
      </c>
      <c r="L3724" s="36">
        <v>45349</v>
      </c>
      <c r="M3724" t="s">
        <v>612</v>
      </c>
      <c r="N3724" t="s">
        <v>608</v>
      </c>
      <c r="O3724" s="37" t="str">
        <f t="shared" si="293"/>
        <v>Cash Payment</v>
      </c>
      <c r="P3724">
        <v>490.45</v>
      </c>
      <c r="Q3724" s="37" t="str">
        <f>IF(P3724&gt;500,"High","low")</f>
        <v>low</v>
      </c>
      <c r="R3724" s="37" t="str">
        <f t="shared" si="294"/>
        <v>AVERAGE</v>
      </c>
      <c r="S3724" t="s">
        <v>605</v>
      </c>
    </row>
    <row r="3725" spans="1:19" x14ac:dyDescent="0.2">
      <c r="A3725" t="s">
        <v>4336</v>
      </c>
      <c r="B3725" t="s">
        <v>67</v>
      </c>
      <c r="C3725" t="s">
        <v>597</v>
      </c>
      <c r="D3725">
        <v>2904.21</v>
      </c>
      <c r="E3725" s="37" t="str">
        <f t="shared" si="290"/>
        <v xml:space="preserve"> </v>
      </c>
      <c r="F3725">
        <v>0.46</v>
      </c>
      <c r="G3725" s="37" t="str">
        <f t="shared" si="291"/>
        <v>Heavy Discount</v>
      </c>
      <c r="H3725" s="37" t="str">
        <f t="shared" si="292"/>
        <v>High</v>
      </c>
      <c r="I3725">
        <v>7</v>
      </c>
      <c r="J3725" t="str" cm="1">
        <f t="array" ref="J3725">_xlfn.IFS(I3725&lt;=3,"small",I3725&lt;=6,"Medium",I3725&lt;=9,"Large")</f>
        <v>Large</v>
      </c>
      <c r="K3725" s="36">
        <v>45054</v>
      </c>
      <c r="L3725" s="36">
        <v>45060</v>
      </c>
      <c r="M3725" t="s">
        <v>598</v>
      </c>
      <c r="N3725" t="s">
        <v>599</v>
      </c>
      <c r="O3725" s="37" t="str">
        <f t="shared" si="293"/>
        <v>Digital Payment</v>
      </c>
      <c r="P3725">
        <v>740.09</v>
      </c>
      <c r="Q3725" s="37" t="str">
        <f>IF(P3725&gt;500,"High","low")</f>
        <v>High</v>
      </c>
      <c r="R3725" s="37" t="str">
        <f t="shared" si="294"/>
        <v>Good</v>
      </c>
      <c r="S3725" t="s">
        <v>600</v>
      </c>
    </row>
    <row r="3726" spans="1:19" x14ac:dyDescent="0.2">
      <c r="A3726" t="s">
        <v>4337</v>
      </c>
      <c r="B3726" t="s">
        <v>90</v>
      </c>
      <c r="C3726" t="s">
        <v>607</v>
      </c>
      <c r="D3726">
        <v>2414.7199999999998</v>
      </c>
      <c r="E3726" s="37" t="str">
        <f t="shared" si="290"/>
        <v xml:space="preserve"> </v>
      </c>
      <c r="F3726">
        <v>0.21</v>
      </c>
      <c r="G3726" s="37" t="str">
        <f t="shared" si="291"/>
        <v>Normal Discount</v>
      </c>
      <c r="H3726" s="37" t="str">
        <f t="shared" si="292"/>
        <v>Medium</v>
      </c>
      <c r="I3726">
        <v>4</v>
      </c>
      <c r="J3726" t="str" cm="1">
        <f t="array" ref="J3726">_xlfn.IFS(I3726&lt;=3,"small",I3726&lt;=6,"Medium",I3726&lt;=9,"Large")</f>
        <v>Medium</v>
      </c>
      <c r="K3726" s="36">
        <v>44954</v>
      </c>
      <c r="L3726" s="36">
        <v>44956</v>
      </c>
      <c r="M3726" t="s">
        <v>612</v>
      </c>
      <c r="N3726" t="s">
        <v>599</v>
      </c>
      <c r="O3726" s="37" t="str">
        <f t="shared" si="293"/>
        <v>Digital Payment</v>
      </c>
      <c r="P3726">
        <v>204.27</v>
      </c>
      <c r="Q3726" s="37" t="str">
        <f>IF(P3726&gt;500,"High","low")</f>
        <v>low</v>
      </c>
      <c r="R3726" s="37" t="str">
        <f t="shared" si="294"/>
        <v>AVERAGE</v>
      </c>
      <c r="S3726" t="s">
        <v>620</v>
      </c>
    </row>
    <row r="3727" spans="1:19" x14ac:dyDescent="0.2">
      <c r="A3727" t="s">
        <v>4338</v>
      </c>
      <c r="B3727" t="s">
        <v>67</v>
      </c>
      <c r="C3727" t="s">
        <v>597</v>
      </c>
      <c r="D3727">
        <v>2466.44</v>
      </c>
      <c r="E3727" s="37" t="str">
        <f t="shared" si="290"/>
        <v xml:space="preserve"> </v>
      </c>
      <c r="F3727">
        <v>0.01</v>
      </c>
      <c r="G3727" s="37" t="str">
        <f t="shared" si="291"/>
        <v>Normal Discount</v>
      </c>
      <c r="H3727" s="37" t="str">
        <f t="shared" si="292"/>
        <v>Low</v>
      </c>
      <c r="I3727">
        <v>4</v>
      </c>
      <c r="J3727" t="str" cm="1">
        <f t="array" ref="J3727">_xlfn.IFS(I3727&lt;=3,"small",I3727&lt;=6,"Medium",I3727&lt;=9,"Large")</f>
        <v>Medium</v>
      </c>
      <c r="K3727" s="36">
        <v>45167</v>
      </c>
      <c r="L3727" s="36">
        <v>45168</v>
      </c>
      <c r="M3727" t="s">
        <v>598</v>
      </c>
      <c r="N3727" t="s">
        <v>604</v>
      </c>
      <c r="O3727" s="37" t="str">
        <f t="shared" si="293"/>
        <v>Digital Payment</v>
      </c>
      <c r="P3727">
        <v>637.96</v>
      </c>
      <c r="Q3727" s="37" t="str">
        <f>IF(P3727&gt;500,"High","low")</f>
        <v>High</v>
      </c>
      <c r="R3727" s="37" t="str">
        <f t="shared" si="294"/>
        <v>Good</v>
      </c>
      <c r="S3727" t="s">
        <v>620</v>
      </c>
    </row>
    <row r="3728" spans="1:19" x14ac:dyDescent="0.2">
      <c r="A3728" t="s">
        <v>4339</v>
      </c>
      <c r="B3728" t="s">
        <v>83</v>
      </c>
      <c r="C3728" t="s">
        <v>607</v>
      </c>
      <c r="D3728">
        <v>2899.24</v>
      </c>
      <c r="E3728" s="37" t="str">
        <f t="shared" si="290"/>
        <v xml:space="preserve"> </v>
      </c>
      <c r="F3728">
        <v>0.06</v>
      </c>
      <c r="G3728" s="37" t="str">
        <f t="shared" si="291"/>
        <v>Normal Discount</v>
      </c>
      <c r="H3728" s="37" t="str">
        <f t="shared" si="292"/>
        <v>Low</v>
      </c>
      <c r="I3728">
        <v>1</v>
      </c>
      <c r="J3728" t="str" cm="1">
        <f t="array" ref="J3728">_xlfn.IFS(I3728&lt;=3,"small",I3728&lt;=6,"Medium",I3728&lt;=9,"Large")</f>
        <v>small</v>
      </c>
      <c r="K3728" s="36">
        <v>45270</v>
      </c>
      <c r="L3728" s="36">
        <v>45274</v>
      </c>
      <c r="M3728" t="s">
        <v>603</v>
      </c>
      <c r="N3728" t="s">
        <v>599</v>
      </c>
      <c r="O3728" s="37" t="str">
        <f t="shared" si="293"/>
        <v>Digital Payment</v>
      </c>
      <c r="P3728">
        <v>545.71</v>
      </c>
      <c r="Q3728" s="37" t="str">
        <f>IF(P3728&gt;500,"High","low")</f>
        <v>High</v>
      </c>
      <c r="R3728" s="37" t="str">
        <f t="shared" si="294"/>
        <v>Good</v>
      </c>
      <c r="S3728" t="s">
        <v>628</v>
      </c>
    </row>
    <row r="3729" spans="1:19" x14ac:dyDescent="0.2">
      <c r="A3729" t="s">
        <v>4340</v>
      </c>
      <c r="B3729" t="s">
        <v>83</v>
      </c>
      <c r="C3729" t="s">
        <v>607</v>
      </c>
      <c r="D3729">
        <v>4579.88</v>
      </c>
      <c r="E3729" s="37" t="str">
        <f t="shared" si="290"/>
        <v xml:space="preserve"> </v>
      </c>
      <c r="F3729">
        <v>0.49</v>
      </c>
      <c r="G3729" s="37" t="str">
        <f t="shared" si="291"/>
        <v>Heavy Discount</v>
      </c>
      <c r="H3729" s="37" t="str">
        <f t="shared" si="292"/>
        <v>High</v>
      </c>
      <c r="I3729">
        <v>5</v>
      </c>
      <c r="J3729" t="str" cm="1">
        <f t="array" ref="J3729">_xlfn.IFS(I3729&lt;=3,"small",I3729&lt;=6,"Medium",I3729&lt;=9,"Large")</f>
        <v>Medium</v>
      </c>
      <c r="K3729" s="36">
        <v>45018</v>
      </c>
      <c r="L3729" s="36">
        <v>45024</v>
      </c>
      <c r="M3729" t="s">
        <v>603</v>
      </c>
      <c r="N3729" t="s">
        <v>604</v>
      </c>
      <c r="O3729" s="37" t="str">
        <f t="shared" si="293"/>
        <v>Digital Payment</v>
      </c>
      <c r="P3729">
        <v>449.25</v>
      </c>
      <c r="Q3729" s="37" t="str">
        <f>IF(P3729&gt;500,"High","low")</f>
        <v>low</v>
      </c>
      <c r="R3729" s="37" t="str">
        <f t="shared" si="294"/>
        <v>AVERAGE</v>
      </c>
      <c r="S3729" t="s">
        <v>628</v>
      </c>
    </row>
    <row r="3730" spans="1:19" x14ac:dyDescent="0.2">
      <c r="A3730" t="s">
        <v>4341</v>
      </c>
      <c r="B3730" t="s">
        <v>90</v>
      </c>
      <c r="C3730" t="s">
        <v>614</v>
      </c>
      <c r="D3730">
        <v>243.89</v>
      </c>
      <c r="E3730" s="37" t="str">
        <f t="shared" si="290"/>
        <v xml:space="preserve"> </v>
      </c>
      <c r="F3730">
        <v>0.44</v>
      </c>
      <c r="G3730" s="37" t="str">
        <f t="shared" si="291"/>
        <v>Heavy Discount</v>
      </c>
      <c r="H3730" s="37" t="str">
        <f t="shared" si="292"/>
        <v>High</v>
      </c>
      <c r="I3730">
        <v>2</v>
      </c>
      <c r="J3730" t="str" cm="1">
        <f t="array" ref="J3730">_xlfn.IFS(I3730&lt;=3,"small",I3730&lt;=6,"Medium",I3730&lt;=9,"Large")</f>
        <v>small</v>
      </c>
      <c r="K3730" s="36">
        <v>45032</v>
      </c>
      <c r="L3730" s="36">
        <v>45034</v>
      </c>
      <c r="M3730" t="s">
        <v>603</v>
      </c>
      <c r="N3730" t="s">
        <v>604</v>
      </c>
      <c r="O3730" s="37" t="str">
        <f t="shared" si="293"/>
        <v>Digital Payment</v>
      </c>
      <c r="P3730">
        <v>25.08</v>
      </c>
      <c r="Q3730" s="37" t="str">
        <f>IF(P3730&gt;500,"High","low")</f>
        <v>low</v>
      </c>
      <c r="R3730" s="37" t="str">
        <f t="shared" si="294"/>
        <v>AVERAGE</v>
      </c>
      <c r="S3730" t="s">
        <v>605</v>
      </c>
    </row>
    <row r="3731" spans="1:19" x14ac:dyDescent="0.2">
      <c r="A3731" t="s">
        <v>4342</v>
      </c>
      <c r="B3731" t="s">
        <v>75</v>
      </c>
      <c r="C3731" t="s">
        <v>614</v>
      </c>
      <c r="D3731">
        <v>4028.02</v>
      </c>
      <c r="E3731" s="37" t="str">
        <f t="shared" si="290"/>
        <v>Excellent Order</v>
      </c>
      <c r="F3731">
        <v>0.24</v>
      </c>
      <c r="G3731" s="37" t="str">
        <f t="shared" si="291"/>
        <v>Normal Discount</v>
      </c>
      <c r="H3731" s="37" t="str">
        <f t="shared" si="292"/>
        <v>Medium</v>
      </c>
      <c r="I3731">
        <v>5</v>
      </c>
      <c r="J3731" t="str" cm="1">
        <f t="array" ref="J3731">_xlfn.IFS(I3731&lt;=3,"small",I3731&lt;=6,"Medium",I3731&lt;=9,"Large")</f>
        <v>Medium</v>
      </c>
      <c r="K3731" s="36">
        <v>45048</v>
      </c>
      <c r="L3731" s="36">
        <v>45054</v>
      </c>
      <c r="M3731" t="s">
        <v>598</v>
      </c>
      <c r="N3731" t="s">
        <v>608</v>
      </c>
      <c r="O3731" s="37" t="str">
        <f t="shared" si="293"/>
        <v>Cash Payment</v>
      </c>
      <c r="P3731">
        <v>1090.72</v>
      </c>
      <c r="Q3731" s="37" t="str">
        <f>IF(P3731&gt;500,"High","low")</f>
        <v>High</v>
      </c>
      <c r="R3731" s="37" t="str">
        <f t="shared" si="294"/>
        <v>Excellent</v>
      </c>
      <c r="S3731" t="s">
        <v>628</v>
      </c>
    </row>
    <row r="3732" spans="1:19" x14ac:dyDescent="0.2">
      <c r="A3732" t="s">
        <v>4343</v>
      </c>
      <c r="B3732" t="s">
        <v>83</v>
      </c>
      <c r="C3732" t="s">
        <v>597</v>
      </c>
      <c r="D3732">
        <v>2013.53</v>
      </c>
      <c r="E3732" s="37" t="str">
        <f t="shared" si="290"/>
        <v xml:space="preserve"> </v>
      </c>
      <c r="F3732">
        <v>0.48</v>
      </c>
      <c r="G3732" s="37" t="str">
        <f t="shared" si="291"/>
        <v>Heavy Discount</v>
      </c>
      <c r="H3732" s="37" t="str">
        <f t="shared" si="292"/>
        <v>High</v>
      </c>
      <c r="I3732">
        <v>5</v>
      </c>
      <c r="J3732" t="str" cm="1">
        <f t="array" ref="J3732">_xlfn.IFS(I3732&lt;=3,"small",I3732&lt;=6,"Medium",I3732&lt;=9,"Large")</f>
        <v>Medium</v>
      </c>
      <c r="K3732" s="36">
        <v>45002</v>
      </c>
      <c r="L3732" s="36">
        <v>45003</v>
      </c>
      <c r="M3732" t="s">
        <v>612</v>
      </c>
      <c r="N3732" t="s">
        <v>599</v>
      </c>
      <c r="O3732" s="37" t="str">
        <f t="shared" si="293"/>
        <v>Digital Payment</v>
      </c>
      <c r="P3732">
        <v>340.16</v>
      </c>
      <c r="Q3732" s="37" t="str">
        <f>IF(P3732&gt;500,"High","low")</f>
        <v>low</v>
      </c>
      <c r="R3732" s="37" t="str">
        <f t="shared" si="294"/>
        <v>AVERAGE</v>
      </c>
      <c r="S3732" t="s">
        <v>615</v>
      </c>
    </row>
    <row r="3733" spans="1:19" x14ac:dyDescent="0.2">
      <c r="A3733" t="s">
        <v>4344</v>
      </c>
      <c r="B3733" t="s">
        <v>67</v>
      </c>
      <c r="C3733" t="s">
        <v>617</v>
      </c>
      <c r="D3733">
        <v>3750.13</v>
      </c>
      <c r="E3733" s="37" t="str">
        <f t="shared" si="290"/>
        <v xml:space="preserve"> </v>
      </c>
      <c r="F3733">
        <v>0.09</v>
      </c>
      <c r="G3733" s="37" t="str">
        <f t="shared" si="291"/>
        <v>Normal Discount</v>
      </c>
      <c r="H3733" s="37" t="str">
        <f t="shared" si="292"/>
        <v>Low</v>
      </c>
      <c r="I3733">
        <v>4</v>
      </c>
      <c r="J3733" t="str" cm="1">
        <f t="array" ref="J3733">_xlfn.IFS(I3733&lt;=3,"small",I3733&lt;=6,"Medium",I3733&lt;=9,"Large")</f>
        <v>Medium</v>
      </c>
      <c r="K3733" s="36">
        <v>45265</v>
      </c>
      <c r="L3733" s="36">
        <v>45270</v>
      </c>
      <c r="M3733" t="s">
        <v>598</v>
      </c>
      <c r="N3733" t="s">
        <v>599</v>
      </c>
      <c r="O3733" s="37" t="str">
        <f t="shared" si="293"/>
        <v>Digital Payment</v>
      </c>
      <c r="P3733">
        <v>452.69</v>
      </c>
      <c r="Q3733" s="37" t="str">
        <f>IF(P3733&gt;500,"High","low")</f>
        <v>low</v>
      </c>
      <c r="R3733" s="37" t="str">
        <f t="shared" si="294"/>
        <v>AVERAGE</v>
      </c>
      <c r="S3733" t="s">
        <v>605</v>
      </c>
    </row>
    <row r="3734" spans="1:19" x14ac:dyDescent="0.2">
      <c r="A3734" t="s">
        <v>4345</v>
      </c>
      <c r="B3734" t="s">
        <v>75</v>
      </c>
      <c r="C3734" t="s">
        <v>614</v>
      </c>
      <c r="D3734">
        <v>4747.78</v>
      </c>
      <c r="E3734" s="37" t="str">
        <f t="shared" si="290"/>
        <v xml:space="preserve"> </v>
      </c>
      <c r="F3734">
        <v>0.06</v>
      </c>
      <c r="G3734" s="37" t="str">
        <f t="shared" si="291"/>
        <v>Normal Discount</v>
      </c>
      <c r="H3734" s="37" t="str">
        <f t="shared" si="292"/>
        <v>Low</v>
      </c>
      <c r="I3734">
        <v>9</v>
      </c>
      <c r="J3734" t="str" cm="1">
        <f t="array" ref="J3734">_xlfn.IFS(I3734&lt;=3,"small",I3734&lt;=6,"Medium",I3734&lt;=9,"Large")</f>
        <v>Large</v>
      </c>
      <c r="K3734" s="36">
        <v>45188</v>
      </c>
      <c r="L3734" s="36">
        <v>45194</v>
      </c>
      <c r="M3734" t="s">
        <v>612</v>
      </c>
      <c r="N3734" t="s">
        <v>599</v>
      </c>
      <c r="O3734" s="37" t="str">
        <f t="shared" si="293"/>
        <v>Digital Payment</v>
      </c>
      <c r="P3734">
        <v>537.05999999999995</v>
      </c>
      <c r="Q3734" s="37" t="str">
        <f>IF(P3734&gt;500,"High","low")</f>
        <v>High</v>
      </c>
      <c r="R3734" s="37" t="str">
        <f t="shared" si="294"/>
        <v>Good</v>
      </c>
      <c r="S3734" t="s">
        <v>628</v>
      </c>
    </row>
    <row r="3735" spans="1:19" x14ac:dyDescent="0.2">
      <c r="A3735" t="s">
        <v>4346</v>
      </c>
      <c r="B3735" t="s">
        <v>75</v>
      </c>
      <c r="C3735" t="s">
        <v>614</v>
      </c>
      <c r="D3735">
        <v>1600.81</v>
      </c>
      <c r="E3735" s="37" t="str">
        <f t="shared" si="290"/>
        <v xml:space="preserve"> </v>
      </c>
      <c r="F3735">
        <v>0.3</v>
      </c>
      <c r="G3735" s="37" t="str">
        <f t="shared" si="291"/>
        <v>Normal Discount</v>
      </c>
      <c r="H3735" s="37" t="str">
        <f t="shared" si="292"/>
        <v>Medium</v>
      </c>
      <c r="I3735">
        <v>5</v>
      </c>
      <c r="J3735" t="str" cm="1">
        <f t="array" ref="J3735">_xlfn.IFS(I3735&lt;=3,"small",I3735&lt;=6,"Medium",I3735&lt;=9,"Large")</f>
        <v>Medium</v>
      </c>
      <c r="K3735" s="36">
        <v>45491</v>
      </c>
      <c r="L3735" s="36">
        <v>45496</v>
      </c>
      <c r="M3735" t="s">
        <v>603</v>
      </c>
      <c r="N3735" t="s">
        <v>608</v>
      </c>
      <c r="O3735" s="37" t="str">
        <f t="shared" si="293"/>
        <v>Cash Payment</v>
      </c>
      <c r="P3735">
        <v>240.17</v>
      </c>
      <c r="Q3735" s="37" t="str">
        <f>IF(P3735&gt;500,"High","low")</f>
        <v>low</v>
      </c>
      <c r="R3735" s="37" t="str">
        <f t="shared" si="294"/>
        <v>AVERAGE</v>
      </c>
      <c r="S3735" t="s">
        <v>620</v>
      </c>
    </row>
    <row r="3736" spans="1:19" x14ac:dyDescent="0.2">
      <c r="A3736" t="s">
        <v>4347</v>
      </c>
      <c r="B3736" t="s">
        <v>83</v>
      </c>
      <c r="C3736" t="s">
        <v>602</v>
      </c>
      <c r="D3736">
        <v>538.82000000000005</v>
      </c>
      <c r="E3736" s="37" t="str">
        <f t="shared" si="290"/>
        <v xml:space="preserve"> </v>
      </c>
      <c r="F3736">
        <v>0.19</v>
      </c>
      <c r="G3736" s="37" t="str">
        <f t="shared" si="291"/>
        <v>Normal Discount</v>
      </c>
      <c r="H3736" s="37" t="str">
        <f t="shared" si="292"/>
        <v>Low</v>
      </c>
      <c r="I3736">
        <v>6</v>
      </c>
      <c r="J3736" t="str" cm="1">
        <f t="array" ref="J3736">_xlfn.IFS(I3736&lt;=3,"small",I3736&lt;=6,"Medium",I3736&lt;=9,"Large")</f>
        <v>Medium</v>
      </c>
      <c r="K3736" s="36">
        <v>45182</v>
      </c>
      <c r="L3736" s="36">
        <v>45184</v>
      </c>
      <c r="M3736" t="s">
        <v>612</v>
      </c>
      <c r="N3736" t="s">
        <v>608</v>
      </c>
      <c r="O3736" s="37" t="str">
        <f t="shared" si="293"/>
        <v>Cash Payment</v>
      </c>
      <c r="P3736">
        <v>131.69999999999999</v>
      </c>
      <c r="Q3736" s="37" t="str">
        <f>IF(P3736&gt;500,"High","low")</f>
        <v>low</v>
      </c>
      <c r="R3736" s="37" t="str">
        <f t="shared" si="294"/>
        <v>AVERAGE</v>
      </c>
      <c r="S3736" t="s">
        <v>605</v>
      </c>
    </row>
    <row r="3737" spans="1:19" x14ac:dyDescent="0.2">
      <c r="A3737" t="s">
        <v>4348</v>
      </c>
      <c r="B3737" t="s">
        <v>83</v>
      </c>
      <c r="C3737" t="s">
        <v>614</v>
      </c>
      <c r="D3737">
        <v>1238.26</v>
      </c>
      <c r="E3737" s="37" t="str">
        <f t="shared" si="290"/>
        <v xml:space="preserve"> </v>
      </c>
      <c r="F3737">
        <v>0.17</v>
      </c>
      <c r="G3737" s="37" t="str">
        <f t="shared" si="291"/>
        <v>Normal Discount</v>
      </c>
      <c r="H3737" s="37" t="str">
        <f t="shared" si="292"/>
        <v>Low</v>
      </c>
      <c r="I3737">
        <v>1</v>
      </c>
      <c r="J3737" t="str" cm="1">
        <f t="array" ref="J3737">_xlfn.IFS(I3737&lt;=3,"small",I3737&lt;=6,"Medium",I3737&lt;=9,"Large")</f>
        <v>small</v>
      </c>
      <c r="K3737" s="36">
        <v>45285</v>
      </c>
      <c r="L3737" s="36">
        <v>45289</v>
      </c>
      <c r="M3737" t="s">
        <v>603</v>
      </c>
      <c r="N3737" t="s">
        <v>604</v>
      </c>
      <c r="O3737" s="37" t="str">
        <f t="shared" si="293"/>
        <v>Digital Payment</v>
      </c>
      <c r="P3737">
        <v>70.19</v>
      </c>
      <c r="Q3737" s="37" t="str">
        <f>IF(P3737&gt;500,"High","low")</f>
        <v>low</v>
      </c>
      <c r="R3737" s="37" t="str">
        <f t="shared" si="294"/>
        <v>AVERAGE</v>
      </c>
      <c r="S3737" t="s">
        <v>628</v>
      </c>
    </row>
    <row r="3738" spans="1:19" x14ac:dyDescent="0.2">
      <c r="A3738" t="s">
        <v>4349</v>
      </c>
      <c r="B3738" t="s">
        <v>75</v>
      </c>
      <c r="C3738" t="s">
        <v>617</v>
      </c>
      <c r="D3738">
        <v>1188.25</v>
      </c>
      <c r="E3738" s="37" t="str">
        <f t="shared" si="290"/>
        <v xml:space="preserve"> </v>
      </c>
      <c r="F3738">
        <v>0.37</v>
      </c>
      <c r="G3738" s="37" t="str">
        <f t="shared" si="291"/>
        <v>Heavy Discount</v>
      </c>
      <c r="H3738" s="37" t="str">
        <f t="shared" si="292"/>
        <v>Medium</v>
      </c>
      <c r="I3738">
        <v>5</v>
      </c>
      <c r="J3738" t="str" cm="1">
        <f t="array" ref="J3738">_xlfn.IFS(I3738&lt;=3,"small",I3738&lt;=6,"Medium",I3738&lt;=9,"Large")</f>
        <v>Medium</v>
      </c>
      <c r="K3738" s="36">
        <v>45213</v>
      </c>
      <c r="L3738" s="36">
        <v>45220</v>
      </c>
      <c r="M3738" t="s">
        <v>603</v>
      </c>
      <c r="N3738" t="s">
        <v>608</v>
      </c>
      <c r="O3738" s="37" t="str">
        <f t="shared" si="293"/>
        <v>Cash Payment</v>
      </c>
      <c r="P3738">
        <v>91.4</v>
      </c>
      <c r="Q3738" s="37" t="str">
        <f>IF(P3738&gt;500,"High","low")</f>
        <v>low</v>
      </c>
      <c r="R3738" s="37" t="str">
        <f t="shared" si="294"/>
        <v>AVERAGE</v>
      </c>
      <c r="S3738" t="s">
        <v>600</v>
      </c>
    </row>
    <row r="3739" spans="1:19" x14ac:dyDescent="0.2">
      <c r="A3739" t="s">
        <v>4350</v>
      </c>
      <c r="B3739" t="s">
        <v>75</v>
      </c>
      <c r="C3739" t="s">
        <v>602</v>
      </c>
      <c r="D3739">
        <v>3735.06</v>
      </c>
      <c r="E3739" s="37" t="str">
        <f t="shared" si="290"/>
        <v xml:space="preserve"> </v>
      </c>
      <c r="F3739">
        <v>0.08</v>
      </c>
      <c r="G3739" s="37" t="str">
        <f t="shared" si="291"/>
        <v>Normal Discount</v>
      </c>
      <c r="H3739" s="37" t="str">
        <f t="shared" si="292"/>
        <v>Low</v>
      </c>
      <c r="I3739">
        <v>9</v>
      </c>
      <c r="J3739" t="str" cm="1">
        <f t="array" ref="J3739">_xlfn.IFS(I3739&lt;=3,"small",I3739&lt;=6,"Medium",I3739&lt;=9,"Large")</f>
        <v>Large</v>
      </c>
      <c r="K3739" s="36">
        <v>44963</v>
      </c>
      <c r="L3739" s="36">
        <v>44970</v>
      </c>
      <c r="M3739" t="s">
        <v>598</v>
      </c>
      <c r="N3739" t="s">
        <v>604</v>
      </c>
      <c r="O3739" s="37" t="str">
        <f t="shared" si="293"/>
        <v>Digital Payment</v>
      </c>
      <c r="P3739">
        <v>601.98</v>
      </c>
      <c r="Q3739" s="37" t="str">
        <f>IF(P3739&gt;500,"High","low")</f>
        <v>High</v>
      </c>
      <c r="R3739" s="37" t="str">
        <f t="shared" si="294"/>
        <v>Good</v>
      </c>
      <c r="S3739" t="s">
        <v>609</v>
      </c>
    </row>
    <row r="3740" spans="1:19" x14ac:dyDescent="0.2">
      <c r="A3740" t="s">
        <v>4351</v>
      </c>
      <c r="B3740" t="s">
        <v>90</v>
      </c>
      <c r="C3740" t="s">
        <v>607</v>
      </c>
      <c r="D3740">
        <v>403.11</v>
      </c>
      <c r="E3740" s="37" t="str">
        <f t="shared" si="290"/>
        <v xml:space="preserve"> </v>
      </c>
      <c r="F3740">
        <v>0.39</v>
      </c>
      <c r="G3740" s="37" t="str">
        <f t="shared" si="291"/>
        <v>Heavy Discount</v>
      </c>
      <c r="H3740" s="37" t="str">
        <f t="shared" si="292"/>
        <v>Medium</v>
      </c>
      <c r="I3740">
        <v>6</v>
      </c>
      <c r="J3740" t="str" cm="1">
        <f t="array" ref="J3740">_xlfn.IFS(I3740&lt;=3,"small",I3740&lt;=6,"Medium",I3740&lt;=9,"Large")</f>
        <v>Medium</v>
      </c>
      <c r="K3740" s="36">
        <v>45622</v>
      </c>
      <c r="L3740" s="36">
        <v>45625</v>
      </c>
      <c r="M3740" t="s">
        <v>598</v>
      </c>
      <c r="N3740" t="s">
        <v>608</v>
      </c>
      <c r="O3740" s="37" t="str">
        <f t="shared" si="293"/>
        <v>Cash Payment</v>
      </c>
      <c r="P3740">
        <v>111.63</v>
      </c>
      <c r="Q3740" s="37" t="str">
        <f>IF(P3740&gt;500,"High","low")</f>
        <v>low</v>
      </c>
      <c r="R3740" s="37" t="str">
        <f t="shared" si="294"/>
        <v>AVERAGE</v>
      </c>
      <c r="S3740" t="s">
        <v>600</v>
      </c>
    </row>
    <row r="3741" spans="1:19" x14ac:dyDescent="0.2">
      <c r="A3741" t="s">
        <v>4352</v>
      </c>
      <c r="B3741" t="s">
        <v>67</v>
      </c>
      <c r="C3741" t="s">
        <v>607</v>
      </c>
      <c r="D3741">
        <v>349.57</v>
      </c>
      <c r="E3741" s="37" t="str">
        <f t="shared" si="290"/>
        <v xml:space="preserve"> </v>
      </c>
      <c r="F3741">
        <v>0.18</v>
      </c>
      <c r="G3741" s="37" t="str">
        <f t="shared" si="291"/>
        <v>Normal Discount</v>
      </c>
      <c r="H3741" s="37" t="str">
        <f t="shared" si="292"/>
        <v>Low</v>
      </c>
      <c r="I3741">
        <v>9</v>
      </c>
      <c r="J3741" t="str" cm="1">
        <f t="array" ref="J3741">_xlfn.IFS(I3741&lt;=3,"small",I3741&lt;=6,"Medium",I3741&lt;=9,"Large")</f>
        <v>Large</v>
      </c>
      <c r="K3741" s="36">
        <v>45556</v>
      </c>
      <c r="L3741" s="36">
        <v>45560</v>
      </c>
      <c r="M3741" t="s">
        <v>603</v>
      </c>
      <c r="N3741" t="s">
        <v>599</v>
      </c>
      <c r="O3741" s="37" t="str">
        <f t="shared" si="293"/>
        <v>Digital Payment</v>
      </c>
      <c r="P3741">
        <v>94.7</v>
      </c>
      <c r="Q3741" s="37" t="str">
        <f>IF(P3741&gt;500,"High","low")</f>
        <v>low</v>
      </c>
      <c r="R3741" s="37" t="str">
        <f t="shared" si="294"/>
        <v>AVERAGE</v>
      </c>
      <c r="S3741" t="s">
        <v>615</v>
      </c>
    </row>
    <row r="3742" spans="1:19" x14ac:dyDescent="0.2">
      <c r="A3742" t="s">
        <v>4353</v>
      </c>
      <c r="B3742" t="s">
        <v>90</v>
      </c>
      <c r="C3742" t="s">
        <v>602</v>
      </c>
      <c r="D3742">
        <v>3498.68</v>
      </c>
      <c r="E3742" s="37" t="str">
        <f t="shared" si="290"/>
        <v xml:space="preserve"> </v>
      </c>
      <c r="F3742">
        <v>0.49</v>
      </c>
      <c r="G3742" s="37" t="str">
        <f t="shared" si="291"/>
        <v>Heavy Discount</v>
      </c>
      <c r="H3742" s="37" t="str">
        <f t="shared" si="292"/>
        <v>High</v>
      </c>
      <c r="I3742">
        <v>4</v>
      </c>
      <c r="J3742" t="str" cm="1">
        <f t="array" ref="J3742">_xlfn.IFS(I3742&lt;=3,"small",I3742&lt;=6,"Medium",I3742&lt;=9,"Large")</f>
        <v>Medium</v>
      </c>
      <c r="K3742" s="36">
        <v>45403</v>
      </c>
      <c r="L3742" s="36">
        <v>45404</v>
      </c>
      <c r="M3742" t="s">
        <v>603</v>
      </c>
      <c r="N3742" t="s">
        <v>608</v>
      </c>
      <c r="O3742" s="37" t="str">
        <f t="shared" si="293"/>
        <v>Cash Payment</v>
      </c>
      <c r="P3742">
        <v>858.26</v>
      </c>
      <c r="Q3742" s="37" t="str">
        <f>IF(P3742&gt;500,"High","low")</f>
        <v>High</v>
      </c>
      <c r="R3742" s="37" t="str">
        <f t="shared" si="294"/>
        <v>Good</v>
      </c>
      <c r="S3742" t="s">
        <v>615</v>
      </c>
    </row>
    <row r="3743" spans="1:19" x14ac:dyDescent="0.2">
      <c r="A3743" t="s">
        <v>4354</v>
      </c>
      <c r="B3743" t="s">
        <v>83</v>
      </c>
      <c r="C3743" t="s">
        <v>602</v>
      </c>
      <c r="D3743">
        <v>2827.93</v>
      </c>
      <c r="E3743" s="37" t="str">
        <f t="shared" si="290"/>
        <v xml:space="preserve"> </v>
      </c>
      <c r="F3743">
        <v>0.4</v>
      </c>
      <c r="G3743" s="37" t="str">
        <f t="shared" si="291"/>
        <v>Heavy Discount</v>
      </c>
      <c r="H3743" s="37" t="str">
        <f t="shared" si="292"/>
        <v>Medium</v>
      </c>
      <c r="I3743">
        <v>2</v>
      </c>
      <c r="J3743" t="str" cm="1">
        <f t="array" ref="J3743">_xlfn.IFS(I3743&lt;=3,"small",I3743&lt;=6,"Medium",I3743&lt;=9,"Large")</f>
        <v>small</v>
      </c>
      <c r="K3743" s="36">
        <v>45606</v>
      </c>
      <c r="L3743" s="36">
        <v>45608</v>
      </c>
      <c r="M3743" t="s">
        <v>612</v>
      </c>
      <c r="N3743" t="s">
        <v>608</v>
      </c>
      <c r="O3743" s="37" t="str">
        <f t="shared" si="293"/>
        <v>Cash Payment</v>
      </c>
      <c r="P3743">
        <v>833.42</v>
      </c>
      <c r="Q3743" s="37" t="str">
        <f>IF(P3743&gt;500,"High","low")</f>
        <v>High</v>
      </c>
      <c r="R3743" s="37" t="str">
        <f t="shared" si="294"/>
        <v>Good</v>
      </c>
      <c r="S3743" t="s">
        <v>628</v>
      </c>
    </row>
    <row r="3744" spans="1:19" x14ac:dyDescent="0.2">
      <c r="A3744" t="s">
        <v>4355</v>
      </c>
      <c r="B3744" t="s">
        <v>90</v>
      </c>
      <c r="C3744" t="s">
        <v>602</v>
      </c>
      <c r="D3744">
        <v>2147.06</v>
      </c>
      <c r="E3744" s="37" t="str">
        <f t="shared" si="290"/>
        <v xml:space="preserve"> </v>
      </c>
      <c r="F3744">
        <v>0.32</v>
      </c>
      <c r="G3744" s="37" t="str">
        <f t="shared" si="291"/>
        <v>Heavy Discount</v>
      </c>
      <c r="H3744" s="37" t="str">
        <f t="shared" si="292"/>
        <v>Medium</v>
      </c>
      <c r="I3744">
        <v>9</v>
      </c>
      <c r="J3744" t="str" cm="1">
        <f t="array" ref="J3744">_xlfn.IFS(I3744&lt;=3,"small",I3744&lt;=6,"Medium",I3744&lt;=9,"Large")</f>
        <v>Large</v>
      </c>
      <c r="K3744" s="36">
        <v>45578</v>
      </c>
      <c r="L3744" s="36">
        <v>45583</v>
      </c>
      <c r="M3744" t="s">
        <v>603</v>
      </c>
      <c r="N3744" t="s">
        <v>608</v>
      </c>
      <c r="O3744" s="37" t="str">
        <f t="shared" si="293"/>
        <v>Cash Payment</v>
      </c>
      <c r="P3744">
        <v>165.09</v>
      </c>
      <c r="Q3744" s="37" t="str">
        <f>IF(P3744&gt;500,"High","low")</f>
        <v>low</v>
      </c>
      <c r="R3744" s="37" t="str">
        <f t="shared" si="294"/>
        <v>AVERAGE</v>
      </c>
      <c r="S3744" t="s">
        <v>615</v>
      </c>
    </row>
    <row r="3745" spans="1:19" x14ac:dyDescent="0.2">
      <c r="A3745" t="s">
        <v>4356</v>
      </c>
      <c r="B3745" t="s">
        <v>90</v>
      </c>
      <c r="C3745" t="s">
        <v>597</v>
      </c>
      <c r="D3745">
        <v>2919.31</v>
      </c>
      <c r="E3745" s="37" t="str">
        <f t="shared" si="290"/>
        <v xml:space="preserve"> </v>
      </c>
      <c r="F3745">
        <v>0.11</v>
      </c>
      <c r="G3745" s="37" t="str">
        <f t="shared" si="291"/>
        <v>Normal Discount</v>
      </c>
      <c r="H3745" s="37" t="str">
        <f t="shared" si="292"/>
        <v>Low</v>
      </c>
      <c r="I3745">
        <v>4</v>
      </c>
      <c r="J3745" t="str" cm="1">
        <f t="array" ref="J3745">_xlfn.IFS(I3745&lt;=3,"small",I3745&lt;=6,"Medium",I3745&lt;=9,"Large")</f>
        <v>Medium</v>
      </c>
      <c r="K3745" s="36">
        <v>45493</v>
      </c>
      <c r="L3745" s="36">
        <v>45496</v>
      </c>
      <c r="M3745" t="s">
        <v>612</v>
      </c>
      <c r="N3745" t="s">
        <v>604</v>
      </c>
      <c r="O3745" s="37" t="str">
        <f t="shared" si="293"/>
        <v>Digital Payment</v>
      </c>
      <c r="P3745">
        <v>790.72</v>
      </c>
      <c r="Q3745" s="37" t="str">
        <f>IF(P3745&gt;500,"High","low")</f>
        <v>High</v>
      </c>
      <c r="R3745" s="37" t="str">
        <f t="shared" si="294"/>
        <v>Good</v>
      </c>
      <c r="S3745" t="s">
        <v>620</v>
      </c>
    </row>
    <row r="3746" spans="1:19" x14ac:dyDescent="0.2">
      <c r="A3746" t="s">
        <v>4357</v>
      </c>
      <c r="B3746" t="s">
        <v>90</v>
      </c>
      <c r="C3746" t="s">
        <v>617</v>
      </c>
      <c r="D3746">
        <v>3702.71</v>
      </c>
      <c r="E3746" s="37" t="str">
        <f t="shared" si="290"/>
        <v xml:space="preserve"> </v>
      </c>
      <c r="F3746">
        <v>0.48</v>
      </c>
      <c r="G3746" s="37" t="str">
        <f t="shared" si="291"/>
        <v>Heavy Discount</v>
      </c>
      <c r="H3746" s="37" t="str">
        <f t="shared" si="292"/>
        <v>High</v>
      </c>
      <c r="I3746">
        <v>2</v>
      </c>
      <c r="J3746" t="str" cm="1">
        <f t="array" ref="J3746">_xlfn.IFS(I3746&lt;=3,"small",I3746&lt;=6,"Medium",I3746&lt;=9,"Large")</f>
        <v>small</v>
      </c>
      <c r="K3746" s="36">
        <v>45623</v>
      </c>
      <c r="L3746" s="36">
        <v>45630</v>
      </c>
      <c r="M3746" t="s">
        <v>598</v>
      </c>
      <c r="N3746" t="s">
        <v>599</v>
      </c>
      <c r="O3746" s="37" t="str">
        <f t="shared" si="293"/>
        <v>Digital Payment</v>
      </c>
      <c r="P3746">
        <v>203.66</v>
      </c>
      <c r="Q3746" s="37" t="str">
        <f>IF(P3746&gt;500,"High","low")</f>
        <v>low</v>
      </c>
      <c r="R3746" s="37" t="str">
        <f t="shared" si="294"/>
        <v>AVERAGE</v>
      </c>
      <c r="S3746" t="s">
        <v>620</v>
      </c>
    </row>
    <row r="3747" spans="1:19" x14ac:dyDescent="0.2">
      <c r="A3747" t="s">
        <v>4358</v>
      </c>
      <c r="B3747" t="s">
        <v>90</v>
      </c>
      <c r="C3747" t="s">
        <v>617</v>
      </c>
      <c r="D3747">
        <v>607.01</v>
      </c>
      <c r="E3747" s="37" t="str">
        <f t="shared" si="290"/>
        <v xml:space="preserve"> </v>
      </c>
      <c r="F3747">
        <v>0.02</v>
      </c>
      <c r="G3747" s="37" t="str">
        <f t="shared" si="291"/>
        <v>Normal Discount</v>
      </c>
      <c r="H3747" s="37" t="str">
        <f t="shared" si="292"/>
        <v>Low</v>
      </c>
      <c r="I3747">
        <v>1</v>
      </c>
      <c r="J3747" t="str" cm="1">
        <f t="array" ref="J3747">_xlfn.IFS(I3747&lt;=3,"small",I3747&lt;=6,"Medium",I3747&lt;=9,"Large")</f>
        <v>small</v>
      </c>
      <c r="K3747" s="36">
        <v>45293</v>
      </c>
      <c r="L3747" s="36">
        <v>45295</v>
      </c>
      <c r="M3747" t="s">
        <v>603</v>
      </c>
      <c r="N3747" t="s">
        <v>608</v>
      </c>
      <c r="O3747" s="37" t="str">
        <f t="shared" si="293"/>
        <v>Cash Payment</v>
      </c>
      <c r="P3747">
        <v>93.34</v>
      </c>
      <c r="Q3747" s="37" t="str">
        <f>IF(P3747&gt;500,"High","low")</f>
        <v>low</v>
      </c>
      <c r="R3747" s="37" t="str">
        <f t="shared" si="294"/>
        <v>AVERAGE</v>
      </c>
      <c r="S3747" t="s">
        <v>605</v>
      </c>
    </row>
    <row r="3748" spans="1:19" x14ac:dyDescent="0.2">
      <c r="A3748" t="s">
        <v>4359</v>
      </c>
      <c r="B3748" t="s">
        <v>67</v>
      </c>
      <c r="C3748" t="s">
        <v>607</v>
      </c>
      <c r="D3748">
        <v>2811.1</v>
      </c>
      <c r="E3748" s="37" t="str">
        <f t="shared" si="290"/>
        <v xml:space="preserve"> </v>
      </c>
      <c r="F3748">
        <v>0.11</v>
      </c>
      <c r="G3748" s="37" t="str">
        <f t="shared" si="291"/>
        <v>Normal Discount</v>
      </c>
      <c r="H3748" s="37" t="str">
        <f t="shared" si="292"/>
        <v>Low</v>
      </c>
      <c r="I3748">
        <v>2</v>
      </c>
      <c r="J3748" t="str" cm="1">
        <f t="array" ref="J3748">_xlfn.IFS(I3748&lt;=3,"small",I3748&lt;=6,"Medium",I3748&lt;=9,"Large")</f>
        <v>small</v>
      </c>
      <c r="K3748" s="36">
        <v>45611</v>
      </c>
      <c r="L3748" s="36">
        <v>45613</v>
      </c>
      <c r="M3748" t="s">
        <v>598</v>
      </c>
      <c r="N3748" t="s">
        <v>604</v>
      </c>
      <c r="O3748" s="37" t="str">
        <f t="shared" si="293"/>
        <v>Digital Payment</v>
      </c>
      <c r="P3748">
        <v>299.05</v>
      </c>
      <c r="Q3748" s="37" t="str">
        <f>IF(P3748&gt;500,"High","low")</f>
        <v>low</v>
      </c>
      <c r="R3748" s="37" t="str">
        <f t="shared" si="294"/>
        <v>AVERAGE</v>
      </c>
      <c r="S3748" t="s">
        <v>600</v>
      </c>
    </row>
    <row r="3749" spans="1:19" x14ac:dyDescent="0.2">
      <c r="A3749" t="s">
        <v>4360</v>
      </c>
      <c r="B3749" t="s">
        <v>67</v>
      </c>
      <c r="C3749" t="s">
        <v>607</v>
      </c>
      <c r="D3749">
        <v>4139.6400000000003</v>
      </c>
      <c r="E3749" s="37" t="str">
        <f t="shared" si="290"/>
        <v xml:space="preserve"> </v>
      </c>
      <c r="F3749">
        <v>0.02</v>
      </c>
      <c r="G3749" s="37" t="str">
        <f t="shared" si="291"/>
        <v>Normal Discount</v>
      </c>
      <c r="H3749" s="37" t="str">
        <f t="shared" si="292"/>
        <v>Low</v>
      </c>
      <c r="I3749">
        <v>5</v>
      </c>
      <c r="J3749" t="str" cm="1">
        <f t="array" ref="J3749">_xlfn.IFS(I3749&lt;=3,"small",I3749&lt;=6,"Medium",I3749&lt;=9,"Large")</f>
        <v>Medium</v>
      </c>
      <c r="K3749" s="36">
        <v>44951</v>
      </c>
      <c r="L3749" s="36">
        <v>44953</v>
      </c>
      <c r="M3749" t="s">
        <v>612</v>
      </c>
      <c r="N3749" t="s">
        <v>599</v>
      </c>
      <c r="O3749" s="37" t="str">
        <f t="shared" si="293"/>
        <v>Digital Payment</v>
      </c>
      <c r="P3749">
        <v>582.51</v>
      </c>
      <c r="Q3749" s="37" t="str">
        <f>IF(P3749&gt;500,"High","low")</f>
        <v>High</v>
      </c>
      <c r="R3749" s="37" t="str">
        <f t="shared" si="294"/>
        <v>Good</v>
      </c>
      <c r="S3749" t="s">
        <v>605</v>
      </c>
    </row>
    <row r="3750" spans="1:19" x14ac:dyDescent="0.2">
      <c r="A3750" t="s">
        <v>4361</v>
      </c>
      <c r="B3750" t="s">
        <v>75</v>
      </c>
      <c r="C3750" t="s">
        <v>607</v>
      </c>
      <c r="D3750">
        <v>1875.9</v>
      </c>
      <c r="E3750" s="37" t="str">
        <f t="shared" si="290"/>
        <v xml:space="preserve"> </v>
      </c>
      <c r="F3750">
        <v>0.48</v>
      </c>
      <c r="G3750" s="37" t="str">
        <f t="shared" si="291"/>
        <v>Heavy Discount</v>
      </c>
      <c r="H3750" s="37" t="str">
        <f t="shared" si="292"/>
        <v>High</v>
      </c>
      <c r="I3750">
        <v>3</v>
      </c>
      <c r="J3750" t="str" cm="1">
        <f t="array" ref="J3750">_xlfn.IFS(I3750&lt;=3,"small",I3750&lt;=6,"Medium",I3750&lt;=9,"Large")</f>
        <v>small</v>
      </c>
      <c r="K3750" s="36">
        <v>45608</v>
      </c>
      <c r="L3750" s="36">
        <v>45609</v>
      </c>
      <c r="M3750" t="s">
        <v>612</v>
      </c>
      <c r="N3750" t="s">
        <v>608</v>
      </c>
      <c r="O3750" s="37" t="str">
        <f t="shared" si="293"/>
        <v>Cash Payment</v>
      </c>
      <c r="P3750">
        <v>550.55999999999995</v>
      </c>
      <c r="Q3750" s="37" t="str">
        <f>IF(P3750&gt;500,"High","low")</f>
        <v>High</v>
      </c>
      <c r="R3750" s="37" t="str">
        <f t="shared" si="294"/>
        <v>Good</v>
      </c>
      <c r="S3750" t="s">
        <v>605</v>
      </c>
    </row>
    <row r="3751" spans="1:19" x14ac:dyDescent="0.2">
      <c r="A3751" t="s">
        <v>4362</v>
      </c>
      <c r="B3751" t="s">
        <v>83</v>
      </c>
      <c r="C3751" t="s">
        <v>614</v>
      </c>
      <c r="D3751">
        <v>3838.79</v>
      </c>
      <c r="E3751" s="37" t="str">
        <f t="shared" si="290"/>
        <v xml:space="preserve"> </v>
      </c>
      <c r="F3751">
        <v>0.44</v>
      </c>
      <c r="G3751" s="37" t="str">
        <f t="shared" si="291"/>
        <v>Heavy Discount</v>
      </c>
      <c r="H3751" s="37" t="str">
        <f t="shared" si="292"/>
        <v>High</v>
      </c>
      <c r="I3751">
        <v>6</v>
      </c>
      <c r="J3751" t="str" cm="1">
        <f t="array" ref="J3751">_xlfn.IFS(I3751&lt;=3,"small",I3751&lt;=6,"Medium",I3751&lt;=9,"Large")</f>
        <v>Medium</v>
      </c>
      <c r="K3751" s="36">
        <v>45072</v>
      </c>
      <c r="L3751" s="36">
        <v>45077</v>
      </c>
      <c r="M3751" t="s">
        <v>603</v>
      </c>
      <c r="N3751" t="s">
        <v>608</v>
      </c>
      <c r="O3751" s="37" t="str">
        <f t="shared" si="293"/>
        <v>Cash Payment</v>
      </c>
      <c r="P3751">
        <v>507.71</v>
      </c>
      <c r="Q3751" s="37" t="str">
        <f>IF(P3751&gt;500,"High","low")</f>
        <v>High</v>
      </c>
      <c r="R3751" s="37" t="str">
        <f t="shared" si="294"/>
        <v>Good</v>
      </c>
      <c r="S3751" t="s">
        <v>620</v>
      </c>
    </row>
    <row r="3752" spans="1:19" x14ac:dyDescent="0.2">
      <c r="A3752" t="s">
        <v>4363</v>
      </c>
      <c r="B3752" t="s">
        <v>90</v>
      </c>
      <c r="C3752" t="s">
        <v>607</v>
      </c>
      <c r="D3752">
        <v>4242.5600000000004</v>
      </c>
      <c r="E3752" s="37" t="str">
        <f t="shared" si="290"/>
        <v>Excellent Order</v>
      </c>
      <c r="F3752">
        <v>0.48</v>
      </c>
      <c r="G3752" s="37" t="str">
        <f t="shared" si="291"/>
        <v>Heavy Discount</v>
      </c>
      <c r="H3752" s="37" t="str">
        <f t="shared" si="292"/>
        <v>High</v>
      </c>
      <c r="I3752">
        <v>4</v>
      </c>
      <c r="J3752" t="str" cm="1">
        <f t="array" ref="J3752">_xlfn.IFS(I3752&lt;=3,"small",I3752&lt;=6,"Medium",I3752&lt;=9,"Large")</f>
        <v>Medium</v>
      </c>
      <c r="K3752" s="36">
        <v>45596</v>
      </c>
      <c r="L3752" s="36">
        <v>45602</v>
      </c>
      <c r="M3752" t="s">
        <v>603</v>
      </c>
      <c r="N3752" t="s">
        <v>608</v>
      </c>
      <c r="O3752" s="37" t="str">
        <f t="shared" si="293"/>
        <v>Cash Payment</v>
      </c>
      <c r="P3752">
        <v>879.85</v>
      </c>
      <c r="Q3752" s="37" t="str">
        <f>IF(P3752&gt;500,"High","low")</f>
        <v>High</v>
      </c>
      <c r="R3752" s="37" t="str">
        <f t="shared" si="294"/>
        <v>Good</v>
      </c>
      <c r="S3752" t="s">
        <v>609</v>
      </c>
    </row>
    <row r="3753" spans="1:19" x14ac:dyDescent="0.2">
      <c r="A3753" t="s">
        <v>4364</v>
      </c>
      <c r="B3753" t="s">
        <v>75</v>
      </c>
      <c r="C3753" t="s">
        <v>602</v>
      </c>
      <c r="D3753">
        <v>4122.55</v>
      </c>
      <c r="E3753" s="37" t="str">
        <f t="shared" si="290"/>
        <v>Excellent Order</v>
      </c>
      <c r="F3753">
        <v>0.36</v>
      </c>
      <c r="G3753" s="37" t="str">
        <f t="shared" si="291"/>
        <v>Heavy Discount</v>
      </c>
      <c r="H3753" s="37" t="str">
        <f t="shared" si="292"/>
        <v>Medium</v>
      </c>
      <c r="I3753">
        <v>2</v>
      </c>
      <c r="J3753" t="str" cm="1">
        <f t="array" ref="J3753">_xlfn.IFS(I3753&lt;=3,"small",I3753&lt;=6,"Medium",I3753&lt;=9,"Large")</f>
        <v>small</v>
      </c>
      <c r="K3753" s="36">
        <v>45573</v>
      </c>
      <c r="L3753" s="36">
        <v>45578</v>
      </c>
      <c r="M3753" t="s">
        <v>603</v>
      </c>
      <c r="N3753" t="s">
        <v>608</v>
      </c>
      <c r="O3753" s="37" t="str">
        <f t="shared" si="293"/>
        <v>Cash Payment</v>
      </c>
      <c r="P3753">
        <v>915.58</v>
      </c>
      <c r="Q3753" s="37" t="str">
        <f>IF(P3753&gt;500,"High","low")</f>
        <v>High</v>
      </c>
      <c r="R3753" s="37" t="str">
        <f t="shared" si="294"/>
        <v>Good</v>
      </c>
      <c r="S3753" t="s">
        <v>615</v>
      </c>
    </row>
    <row r="3754" spans="1:19" x14ac:dyDescent="0.2">
      <c r="A3754" t="s">
        <v>4365</v>
      </c>
      <c r="B3754" t="s">
        <v>75</v>
      </c>
      <c r="C3754" t="s">
        <v>607</v>
      </c>
      <c r="D3754">
        <v>3286.75</v>
      </c>
      <c r="E3754" s="37" t="str">
        <f t="shared" si="290"/>
        <v xml:space="preserve"> </v>
      </c>
      <c r="F3754">
        <v>0.01</v>
      </c>
      <c r="G3754" s="37" t="str">
        <f t="shared" si="291"/>
        <v>Normal Discount</v>
      </c>
      <c r="H3754" s="37" t="str">
        <f t="shared" si="292"/>
        <v>Low</v>
      </c>
      <c r="I3754">
        <v>7</v>
      </c>
      <c r="J3754" t="str" cm="1">
        <f t="array" ref="J3754">_xlfn.IFS(I3754&lt;=3,"small",I3754&lt;=6,"Medium",I3754&lt;=9,"Large")</f>
        <v>Large</v>
      </c>
      <c r="K3754" s="36">
        <v>45517</v>
      </c>
      <c r="L3754" s="36">
        <v>45522</v>
      </c>
      <c r="M3754" t="s">
        <v>612</v>
      </c>
      <c r="N3754" t="s">
        <v>608</v>
      </c>
      <c r="O3754" s="37" t="str">
        <f t="shared" si="293"/>
        <v>Cash Payment</v>
      </c>
      <c r="P3754">
        <v>615.9</v>
      </c>
      <c r="Q3754" s="37" t="str">
        <f>IF(P3754&gt;500,"High","low")</f>
        <v>High</v>
      </c>
      <c r="R3754" s="37" t="str">
        <f t="shared" si="294"/>
        <v>Good</v>
      </c>
      <c r="S3754" t="s">
        <v>615</v>
      </c>
    </row>
    <row r="3755" spans="1:19" x14ac:dyDescent="0.2">
      <c r="A3755" t="s">
        <v>4366</v>
      </c>
      <c r="B3755" t="s">
        <v>75</v>
      </c>
      <c r="C3755" t="s">
        <v>602</v>
      </c>
      <c r="D3755">
        <v>3614.99</v>
      </c>
      <c r="E3755" s="37" t="str">
        <f t="shared" si="290"/>
        <v xml:space="preserve"> </v>
      </c>
      <c r="F3755">
        <v>0.47</v>
      </c>
      <c r="G3755" s="37" t="str">
        <f t="shared" si="291"/>
        <v>Heavy Discount</v>
      </c>
      <c r="H3755" s="37" t="str">
        <f t="shared" si="292"/>
        <v>High</v>
      </c>
      <c r="I3755">
        <v>6</v>
      </c>
      <c r="J3755" t="str" cm="1">
        <f t="array" ref="J3755">_xlfn.IFS(I3755&lt;=3,"small",I3755&lt;=6,"Medium",I3755&lt;=9,"Large")</f>
        <v>Medium</v>
      </c>
      <c r="K3755" s="36">
        <v>45212</v>
      </c>
      <c r="L3755" s="36">
        <v>45219</v>
      </c>
      <c r="M3755" t="s">
        <v>598</v>
      </c>
      <c r="N3755" t="s">
        <v>599</v>
      </c>
      <c r="O3755" s="37" t="str">
        <f t="shared" si="293"/>
        <v>Digital Payment</v>
      </c>
      <c r="P3755">
        <v>262.98</v>
      </c>
      <c r="Q3755" s="37" t="str">
        <f>IF(P3755&gt;500,"High","low")</f>
        <v>low</v>
      </c>
      <c r="R3755" s="37" t="str">
        <f t="shared" si="294"/>
        <v>AVERAGE</v>
      </c>
      <c r="S3755" t="s">
        <v>605</v>
      </c>
    </row>
    <row r="3756" spans="1:19" x14ac:dyDescent="0.2">
      <c r="A3756" t="s">
        <v>4367</v>
      </c>
      <c r="B3756" t="s">
        <v>67</v>
      </c>
      <c r="C3756" t="s">
        <v>597</v>
      </c>
      <c r="D3756">
        <v>3959.61</v>
      </c>
      <c r="E3756" s="37" t="str">
        <f t="shared" si="290"/>
        <v xml:space="preserve"> </v>
      </c>
      <c r="F3756">
        <v>0.21</v>
      </c>
      <c r="G3756" s="37" t="str">
        <f t="shared" si="291"/>
        <v>Normal Discount</v>
      </c>
      <c r="H3756" s="37" t="str">
        <f t="shared" si="292"/>
        <v>Medium</v>
      </c>
      <c r="I3756">
        <v>8</v>
      </c>
      <c r="J3756" t="str" cm="1">
        <f t="array" ref="J3756">_xlfn.IFS(I3756&lt;=3,"small",I3756&lt;=6,"Medium",I3756&lt;=9,"Large")</f>
        <v>Large</v>
      </c>
      <c r="K3756" s="36">
        <v>45315</v>
      </c>
      <c r="L3756" s="36">
        <v>45318</v>
      </c>
      <c r="M3756" t="s">
        <v>603</v>
      </c>
      <c r="N3756" t="s">
        <v>604</v>
      </c>
      <c r="O3756" s="37" t="str">
        <f t="shared" si="293"/>
        <v>Digital Payment</v>
      </c>
      <c r="P3756">
        <v>1045.3499999999999</v>
      </c>
      <c r="Q3756" s="37" t="str">
        <f>IF(P3756&gt;500,"High","low")</f>
        <v>High</v>
      </c>
      <c r="R3756" s="37" t="str">
        <f t="shared" si="294"/>
        <v>Excellent</v>
      </c>
      <c r="S3756" t="s">
        <v>609</v>
      </c>
    </row>
    <row r="3757" spans="1:19" x14ac:dyDescent="0.2">
      <c r="A3757" t="s">
        <v>4368</v>
      </c>
      <c r="B3757" t="s">
        <v>90</v>
      </c>
      <c r="C3757" t="s">
        <v>614</v>
      </c>
      <c r="D3757">
        <v>3695.18</v>
      </c>
      <c r="E3757" s="37" t="str">
        <f t="shared" si="290"/>
        <v xml:space="preserve"> </v>
      </c>
      <c r="F3757">
        <v>0.18</v>
      </c>
      <c r="G3757" s="37" t="str">
        <f t="shared" si="291"/>
        <v>Normal Discount</v>
      </c>
      <c r="H3757" s="37" t="str">
        <f t="shared" si="292"/>
        <v>Low</v>
      </c>
      <c r="I3757">
        <v>5</v>
      </c>
      <c r="J3757" t="str" cm="1">
        <f t="array" ref="J3757">_xlfn.IFS(I3757&lt;=3,"small",I3757&lt;=6,"Medium",I3757&lt;=9,"Large")</f>
        <v>Medium</v>
      </c>
      <c r="K3757" s="36">
        <v>45123</v>
      </c>
      <c r="L3757" s="36">
        <v>45129</v>
      </c>
      <c r="M3757" t="s">
        <v>598</v>
      </c>
      <c r="N3757" t="s">
        <v>608</v>
      </c>
      <c r="O3757" s="37" t="str">
        <f t="shared" si="293"/>
        <v>Cash Payment</v>
      </c>
      <c r="P3757">
        <v>912.07</v>
      </c>
      <c r="Q3757" s="37" t="str">
        <f>IF(P3757&gt;500,"High","low")</f>
        <v>High</v>
      </c>
      <c r="R3757" s="37" t="str">
        <f t="shared" si="294"/>
        <v>Good</v>
      </c>
      <c r="S3757" t="s">
        <v>605</v>
      </c>
    </row>
    <row r="3758" spans="1:19" x14ac:dyDescent="0.2">
      <c r="A3758" t="s">
        <v>4369</v>
      </c>
      <c r="B3758" t="s">
        <v>90</v>
      </c>
      <c r="C3758" t="s">
        <v>614</v>
      </c>
      <c r="D3758">
        <v>2313.23</v>
      </c>
      <c r="E3758" s="37" t="str">
        <f t="shared" si="290"/>
        <v xml:space="preserve"> </v>
      </c>
      <c r="F3758">
        <v>0.14000000000000001</v>
      </c>
      <c r="G3758" s="37" t="str">
        <f t="shared" si="291"/>
        <v>Normal Discount</v>
      </c>
      <c r="H3758" s="37" t="str">
        <f t="shared" si="292"/>
        <v>Low</v>
      </c>
      <c r="I3758">
        <v>3</v>
      </c>
      <c r="J3758" t="str" cm="1">
        <f t="array" ref="J3758">_xlfn.IFS(I3758&lt;=3,"small",I3758&lt;=6,"Medium",I3758&lt;=9,"Large")</f>
        <v>small</v>
      </c>
      <c r="K3758" s="36">
        <v>45343</v>
      </c>
      <c r="L3758" s="36">
        <v>45349</v>
      </c>
      <c r="M3758" t="s">
        <v>603</v>
      </c>
      <c r="N3758" t="s">
        <v>599</v>
      </c>
      <c r="O3758" s="37" t="str">
        <f t="shared" si="293"/>
        <v>Digital Payment</v>
      </c>
      <c r="P3758">
        <v>549.11</v>
      </c>
      <c r="Q3758" s="37" t="str">
        <f>IF(P3758&gt;500,"High","low")</f>
        <v>High</v>
      </c>
      <c r="R3758" s="37" t="str">
        <f t="shared" si="294"/>
        <v>Good</v>
      </c>
      <c r="S3758" t="s">
        <v>600</v>
      </c>
    </row>
    <row r="3759" spans="1:19" x14ac:dyDescent="0.2">
      <c r="A3759" t="s">
        <v>4370</v>
      </c>
      <c r="B3759" t="s">
        <v>83</v>
      </c>
      <c r="C3759" t="s">
        <v>617</v>
      </c>
      <c r="D3759">
        <v>879.69</v>
      </c>
      <c r="E3759" s="37" t="str">
        <f t="shared" si="290"/>
        <v xml:space="preserve"> </v>
      </c>
      <c r="F3759">
        <v>0.14000000000000001</v>
      </c>
      <c r="G3759" s="37" t="str">
        <f t="shared" si="291"/>
        <v>Normal Discount</v>
      </c>
      <c r="H3759" s="37" t="str">
        <f t="shared" si="292"/>
        <v>Low</v>
      </c>
      <c r="I3759">
        <v>4</v>
      </c>
      <c r="J3759" t="str" cm="1">
        <f t="array" ref="J3759">_xlfn.IFS(I3759&lt;=3,"small",I3759&lt;=6,"Medium",I3759&lt;=9,"Large")</f>
        <v>Medium</v>
      </c>
      <c r="K3759" s="36">
        <v>44932</v>
      </c>
      <c r="L3759" s="36">
        <v>44938</v>
      </c>
      <c r="M3759" t="s">
        <v>598</v>
      </c>
      <c r="N3759" t="s">
        <v>599</v>
      </c>
      <c r="O3759" s="37" t="str">
        <f t="shared" si="293"/>
        <v>Digital Payment</v>
      </c>
      <c r="P3759">
        <v>244.22</v>
      </c>
      <c r="Q3759" s="37" t="str">
        <f>IF(P3759&gt;500,"High","low")</f>
        <v>low</v>
      </c>
      <c r="R3759" s="37" t="str">
        <f t="shared" si="294"/>
        <v>AVERAGE</v>
      </c>
      <c r="S3759" t="s">
        <v>620</v>
      </c>
    </row>
    <row r="3760" spans="1:19" x14ac:dyDescent="0.2">
      <c r="A3760" t="s">
        <v>4371</v>
      </c>
      <c r="B3760" t="s">
        <v>90</v>
      </c>
      <c r="C3760" t="s">
        <v>597</v>
      </c>
      <c r="D3760">
        <v>1617.68</v>
      </c>
      <c r="E3760" s="37" t="str">
        <f t="shared" si="290"/>
        <v xml:space="preserve"> </v>
      </c>
      <c r="F3760">
        <v>0.4</v>
      </c>
      <c r="G3760" s="37" t="str">
        <f t="shared" si="291"/>
        <v>Heavy Discount</v>
      </c>
      <c r="H3760" s="37" t="str">
        <f t="shared" si="292"/>
        <v>Medium</v>
      </c>
      <c r="I3760">
        <v>5</v>
      </c>
      <c r="J3760" t="str" cm="1">
        <f t="array" ref="J3760">_xlfn.IFS(I3760&lt;=3,"small",I3760&lt;=6,"Medium",I3760&lt;=9,"Large")</f>
        <v>Medium</v>
      </c>
      <c r="K3760" s="36">
        <v>45230</v>
      </c>
      <c r="L3760" s="36">
        <v>45237</v>
      </c>
      <c r="M3760" t="s">
        <v>612</v>
      </c>
      <c r="N3760" t="s">
        <v>608</v>
      </c>
      <c r="O3760" s="37" t="str">
        <f t="shared" si="293"/>
        <v>Cash Payment</v>
      </c>
      <c r="P3760">
        <v>221.37</v>
      </c>
      <c r="Q3760" s="37" t="str">
        <f>IF(P3760&gt;500,"High","low")</f>
        <v>low</v>
      </c>
      <c r="R3760" s="37" t="str">
        <f t="shared" si="294"/>
        <v>AVERAGE</v>
      </c>
      <c r="S3760" t="s">
        <v>620</v>
      </c>
    </row>
    <row r="3761" spans="1:19" x14ac:dyDescent="0.2">
      <c r="A3761" t="s">
        <v>4372</v>
      </c>
      <c r="B3761" t="s">
        <v>90</v>
      </c>
      <c r="C3761" t="s">
        <v>602</v>
      </c>
      <c r="D3761">
        <v>1115.51</v>
      </c>
      <c r="E3761" s="37" t="str">
        <f t="shared" si="290"/>
        <v xml:space="preserve"> </v>
      </c>
      <c r="F3761">
        <v>0.13</v>
      </c>
      <c r="G3761" s="37" t="str">
        <f t="shared" si="291"/>
        <v>Normal Discount</v>
      </c>
      <c r="H3761" s="37" t="str">
        <f t="shared" si="292"/>
        <v>Low</v>
      </c>
      <c r="I3761">
        <v>5</v>
      </c>
      <c r="J3761" t="str" cm="1">
        <f t="array" ref="J3761">_xlfn.IFS(I3761&lt;=3,"small",I3761&lt;=6,"Medium",I3761&lt;=9,"Large")</f>
        <v>Medium</v>
      </c>
      <c r="K3761" s="36">
        <v>45314</v>
      </c>
      <c r="L3761" s="36">
        <v>45315</v>
      </c>
      <c r="M3761" t="s">
        <v>603</v>
      </c>
      <c r="N3761" t="s">
        <v>604</v>
      </c>
      <c r="O3761" s="37" t="str">
        <f t="shared" si="293"/>
        <v>Digital Payment</v>
      </c>
      <c r="P3761">
        <v>216.43</v>
      </c>
      <c r="Q3761" s="37" t="str">
        <f>IF(P3761&gt;500,"High","low")</f>
        <v>low</v>
      </c>
      <c r="R3761" s="37" t="str">
        <f t="shared" si="294"/>
        <v>AVERAGE</v>
      </c>
      <c r="S3761" t="s">
        <v>615</v>
      </c>
    </row>
    <row r="3762" spans="1:19" x14ac:dyDescent="0.2">
      <c r="A3762" t="s">
        <v>4373</v>
      </c>
      <c r="B3762" t="s">
        <v>75</v>
      </c>
      <c r="C3762" t="s">
        <v>597</v>
      </c>
      <c r="D3762">
        <v>1871.08</v>
      </c>
      <c r="E3762" s="37" t="str">
        <f t="shared" si="290"/>
        <v xml:space="preserve"> </v>
      </c>
      <c r="F3762">
        <v>0.11</v>
      </c>
      <c r="G3762" s="37" t="str">
        <f t="shared" si="291"/>
        <v>Normal Discount</v>
      </c>
      <c r="H3762" s="37" t="str">
        <f t="shared" si="292"/>
        <v>Low</v>
      </c>
      <c r="I3762">
        <v>6</v>
      </c>
      <c r="J3762" t="str" cm="1">
        <f t="array" ref="J3762">_xlfn.IFS(I3762&lt;=3,"small",I3762&lt;=6,"Medium",I3762&lt;=9,"Large")</f>
        <v>Medium</v>
      </c>
      <c r="K3762" s="36">
        <v>45579</v>
      </c>
      <c r="L3762" s="36">
        <v>45583</v>
      </c>
      <c r="M3762" t="s">
        <v>612</v>
      </c>
      <c r="N3762" t="s">
        <v>608</v>
      </c>
      <c r="O3762" s="37" t="str">
        <f t="shared" si="293"/>
        <v>Cash Payment</v>
      </c>
      <c r="P3762">
        <v>459.95</v>
      </c>
      <c r="Q3762" s="37" t="str">
        <f>IF(P3762&gt;500,"High","low")</f>
        <v>low</v>
      </c>
      <c r="R3762" s="37" t="str">
        <f t="shared" si="294"/>
        <v>AVERAGE</v>
      </c>
      <c r="S3762" t="s">
        <v>600</v>
      </c>
    </row>
    <row r="3763" spans="1:19" x14ac:dyDescent="0.2">
      <c r="A3763" t="s">
        <v>4374</v>
      </c>
      <c r="B3763" t="s">
        <v>83</v>
      </c>
      <c r="C3763" t="s">
        <v>614</v>
      </c>
      <c r="D3763">
        <v>2497.7199999999998</v>
      </c>
      <c r="E3763" s="37" t="str">
        <f t="shared" si="290"/>
        <v xml:space="preserve"> </v>
      </c>
      <c r="F3763">
        <v>0.35</v>
      </c>
      <c r="G3763" s="37" t="str">
        <f t="shared" si="291"/>
        <v>Heavy Discount</v>
      </c>
      <c r="H3763" s="37" t="str">
        <f t="shared" si="292"/>
        <v>Medium</v>
      </c>
      <c r="I3763">
        <v>9</v>
      </c>
      <c r="J3763" t="str" cm="1">
        <f t="array" ref="J3763">_xlfn.IFS(I3763&lt;=3,"small",I3763&lt;=6,"Medium",I3763&lt;=9,"Large")</f>
        <v>Large</v>
      </c>
      <c r="K3763" s="36">
        <v>45544</v>
      </c>
      <c r="L3763" s="36">
        <v>45549</v>
      </c>
      <c r="M3763" t="s">
        <v>612</v>
      </c>
      <c r="N3763" t="s">
        <v>599</v>
      </c>
      <c r="O3763" s="37" t="str">
        <f t="shared" si="293"/>
        <v>Digital Payment</v>
      </c>
      <c r="P3763">
        <v>402.41</v>
      </c>
      <c r="Q3763" s="37" t="str">
        <f>IF(P3763&gt;500,"High","low")</f>
        <v>low</v>
      </c>
      <c r="R3763" s="37" t="str">
        <f t="shared" si="294"/>
        <v>AVERAGE</v>
      </c>
      <c r="S3763" t="s">
        <v>628</v>
      </c>
    </row>
    <row r="3764" spans="1:19" x14ac:dyDescent="0.2">
      <c r="A3764" t="s">
        <v>4375</v>
      </c>
      <c r="B3764" t="s">
        <v>90</v>
      </c>
      <c r="C3764" t="s">
        <v>602</v>
      </c>
      <c r="D3764">
        <v>4799.33</v>
      </c>
      <c r="E3764" s="37" t="str">
        <f t="shared" si="290"/>
        <v>Excellent Order</v>
      </c>
      <c r="F3764">
        <v>0.14000000000000001</v>
      </c>
      <c r="G3764" s="37" t="str">
        <f t="shared" si="291"/>
        <v>Normal Discount</v>
      </c>
      <c r="H3764" s="37" t="str">
        <f t="shared" si="292"/>
        <v>Low</v>
      </c>
      <c r="I3764">
        <v>4</v>
      </c>
      <c r="J3764" t="str" cm="1">
        <f t="array" ref="J3764">_xlfn.IFS(I3764&lt;=3,"small",I3764&lt;=6,"Medium",I3764&lt;=9,"Large")</f>
        <v>Medium</v>
      </c>
      <c r="K3764" s="36">
        <v>45458</v>
      </c>
      <c r="L3764" s="36">
        <v>45462</v>
      </c>
      <c r="M3764" t="s">
        <v>598</v>
      </c>
      <c r="N3764" t="s">
        <v>599</v>
      </c>
      <c r="O3764" s="37" t="str">
        <f t="shared" si="293"/>
        <v>Digital Payment</v>
      </c>
      <c r="P3764">
        <v>1395.45</v>
      </c>
      <c r="Q3764" s="37" t="str">
        <f>IF(P3764&gt;500,"High","low")</f>
        <v>High</v>
      </c>
      <c r="R3764" s="37" t="str">
        <f t="shared" si="294"/>
        <v>Excellent</v>
      </c>
      <c r="S3764" t="s">
        <v>628</v>
      </c>
    </row>
    <row r="3765" spans="1:19" x14ac:dyDescent="0.2">
      <c r="A3765" t="s">
        <v>4376</v>
      </c>
      <c r="B3765" t="s">
        <v>67</v>
      </c>
      <c r="C3765" t="s">
        <v>597</v>
      </c>
      <c r="D3765">
        <v>4801.37</v>
      </c>
      <c r="E3765" s="37" t="str">
        <f t="shared" si="290"/>
        <v>Excellent Order</v>
      </c>
      <c r="F3765">
        <v>0.01</v>
      </c>
      <c r="G3765" s="37" t="str">
        <f t="shared" si="291"/>
        <v>Normal Discount</v>
      </c>
      <c r="H3765" s="37" t="str">
        <f t="shared" si="292"/>
        <v>Low</v>
      </c>
      <c r="I3765">
        <v>7</v>
      </c>
      <c r="J3765" t="str" cm="1">
        <f t="array" ref="J3765">_xlfn.IFS(I3765&lt;=3,"small",I3765&lt;=6,"Medium",I3765&lt;=9,"Large")</f>
        <v>Large</v>
      </c>
      <c r="K3765" s="36">
        <v>45598</v>
      </c>
      <c r="L3765" s="36">
        <v>45605</v>
      </c>
      <c r="M3765" t="s">
        <v>598</v>
      </c>
      <c r="N3765" t="s">
        <v>599</v>
      </c>
      <c r="O3765" s="37" t="str">
        <f t="shared" si="293"/>
        <v>Digital Payment</v>
      </c>
      <c r="P3765">
        <v>1258.78</v>
      </c>
      <c r="Q3765" s="37" t="str">
        <f>IF(P3765&gt;500,"High","low")</f>
        <v>High</v>
      </c>
      <c r="R3765" s="37" t="str">
        <f t="shared" si="294"/>
        <v>Excellent</v>
      </c>
      <c r="S3765" t="s">
        <v>620</v>
      </c>
    </row>
    <row r="3766" spans="1:19" x14ac:dyDescent="0.2">
      <c r="A3766" t="s">
        <v>4377</v>
      </c>
      <c r="B3766" t="s">
        <v>90</v>
      </c>
      <c r="C3766" t="s">
        <v>614</v>
      </c>
      <c r="D3766">
        <v>3870.98</v>
      </c>
      <c r="E3766" s="37" t="str">
        <f t="shared" si="290"/>
        <v xml:space="preserve"> </v>
      </c>
      <c r="F3766">
        <v>0.47</v>
      </c>
      <c r="G3766" s="37" t="str">
        <f t="shared" si="291"/>
        <v>Heavy Discount</v>
      </c>
      <c r="H3766" s="37" t="str">
        <f t="shared" si="292"/>
        <v>High</v>
      </c>
      <c r="I3766">
        <v>7</v>
      </c>
      <c r="J3766" t="str" cm="1">
        <f t="array" ref="J3766">_xlfn.IFS(I3766&lt;=3,"small",I3766&lt;=6,"Medium",I3766&lt;=9,"Large")</f>
        <v>Large</v>
      </c>
      <c r="K3766" s="36">
        <v>45150</v>
      </c>
      <c r="L3766" s="36">
        <v>45152</v>
      </c>
      <c r="M3766" t="s">
        <v>612</v>
      </c>
      <c r="N3766" t="s">
        <v>599</v>
      </c>
      <c r="O3766" s="37" t="str">
        <f t="shared" si="293"/>
        <v>Digital Payment</v>
      </c>
      <c r="P3766">
        <v>707.06</v>
      </c>
      <c r="Q3766" s="37" t="str">
        <f>IF(P3766&gt;500,"High","low")</f>
        <v>High</v>
      </c>
      <c r="R3766" s="37" t="str">
        <f t="shared" si="294"/>
        <v>Good</v>
      </c>
      <c r="S3766" t="s">
        <v>615</v>
      </c>
    </row>
    <row r="3767" spans="1:19" x14ac:dyDescent="0.2">
      <c r="A3767" t="s">
        <v>4378</v>
      </c>
      <c r="B3767" t="s">
        <v>75</v>
      </c>
      <c r="C3767" t="s">
        <v>602</v>
      </c>
      <c r="D3767">
        <v>4902.6899999999996</v>
      </c>
      <c r="E3767" s="37" t="str">
        <f t="shared" si="290"/>
        <v xml:space="preserve"> </v>
      </c>
      <c r="F3767">
        <v>0.16</v>
      </c>
      <c r="G3767" s="37" t="str">
        <f t="shared" si="291"/>
        <v>Normal Discount</v>
      </c>
      <c r="H3767" s="37" t="str">
        <f t="shared" si="292"/>
        <v>Low</v>
      </c>
      <c r="I3767">
        <v>6</v>
      </c>
      <c r="J3767" t="str" cm="1">
        <f t="array" ref="J3767">_xlfn.IFS(I3767&lt;=3,"small",I3767&lt;=6,"Medium",I3767&lt;=9,"Large")</f>
        <v>Medium</v>
      </c>
      <c r="K3767" s="36">
        <v>45552</v>
      </c>
      <c r="L3767" s="36">
        <v>45558</v>
      </c>
      <c r="M3767" t="s">
        <v>603</v>
      </c>
      <c r="N3767" t="s">
        <v>604</v>
      </c>
      <c r="O3767" s="37" t="str">
        <f t="shared" si="293"/>
        <v>Digital Payment</v>
      </c>
      <c r="P3767">
        <v>425.71</v>
      </c>
      <c r="Q3767" s="37" t="str">
        <f>IF(P3767&gt;500,"High","low")</f>
        <v>low</v>
      </c>
      <c r="R3767" s="37" t="str">
        <f t="shared" si="294"/>
        <v>AVERAGE</v>
      </c>
      <c r="S3767" t="s">
        <v>620</v>
      </c>
    </row>
    <row r="3768" spans="1:19" x14ac:dyDescent="0.2">
      <c r="A3768" t="s">
        <v>4379</v>
      </c>
      <c r="B3768" t="s">
        <v>67</v>
      </c>
      <c r="C3768" t="s">
        <v>602</v>
      </c>
      <c r="D3768">
        <v>4990.28</v>
      </c>
      <c r="E3768" s="37" t="str">
        <f t="shared" si="290"/>
        <v>Excellent Order</v>
      </c>
      <c r="F3768">
        <v>0.38</v>
      </c>
      <c r="G3768" s="37" t="str">
        <f t="shared" si="291"/>
        <v>Heavy Discount</v>
      </c>
      <c r="H3768" s="37" t="str">
        <f t="shared" si="292"/>
        <v>Medium</v>
      </c>
      <c r="I3768">
        <v>1</v>
      </c>
      <c r="J3768" t="str" cm="1">
        <f t="array" ref="J3768">_xlfn.IFS(I3768&lt;=3,"small",I3768&lt;=6,"Medium",I3768&lt;=9,"Large")</f>
        <v>small</v>
      </c>
      <c r="K3768" s="36">
        <v>45411</v>
      </c>
      <c r="L3768" s="36">
        <v>45413</v>
      </c>
      <c r="M3768" t="s">
        <v>598</v>
      </c>
      <c r="N3768" t="s">
        <v>604</v>
      </c>
      <c r="O3768" s="37" t="str">
        <f t="shared" si="293"/>
        <v>Digital Payment</v>
      </c>
      <c r="P3768">
        <v>877.89</v>
      </c>
      <c r="Q3768" s="37" t="str">
        <f>IF(P3768&gt;500,"High","low")</f>
        <v>High</v>
      </c>
      <c r="R3768" s="37" t="str">
        <f t="shared" si="294"/>
        <v>Good</v>
      </c>
      <c r="S3768" t="s">
        <v>620</v>
      </c>
    </row>
    <row r="3769" spans="1:19" x14ac:dyDescent="0.2">
      <c r="A3769" t="s">
        <v>4380</v>
      </c>
      <c r="B3769" t="s">
        <v>75</v>
      </c>
      <c r="C3769" t="s">
        <v>614</v>
      </c>
      <c r="D3769">
        <v>4437.76</v>
      </c>
      <c r="E3769" s="37" t="str">
        <f t="shared" si="290"/>
        <v xml:space="preserve"> </v>
      </c>
      <c r="F3769">
        <v>0.23</v>
      </c>
      <c r="G3769" s="37" t="str">
        <f t="shared" si="291"/>
        <v>Normal Discount</v>
      </c>
      <c r="H3769" s="37" t="str">
        <f t="shared" si="292"/>
        <v>Medium</v>
      </c>
      <c r="I3769">
        <v>9</v>
      </c>
      <c r="J3769" t="str" cm="1">
        <f t="array" ref="J3769">_xlfn.IFS(I3769&lt;=3,"small",I3769&lt;=6,"Medium",I3769&lt;=9,"Large")</f>
        <v>Large</v>
      </c>
      <c r="K3769" s="36">
        <v>45546</v>
      </c>
      <c r="L3769" s="36">
        <v>45548</v>
      </c>
      <c r="M3769" t="s">
        <v>612</v>
      </c>
      <c r="N3769" t="s">
        <v>608</v>
      </c>
      <c r="O3769" s="37" t="str">
        <f t="shared" si="293"/>
        <v>Cash Payment</v>
      </c>
      <c r="P3769">
        <v>451.48</v>
      </c>
      <c r="Q3769" s="37" t="str">
        <f>IF(P3769&gt;500,"High","low")</f>
        <v>low</v>
      </c>
      <c r="R3769" s="37" t="str">
        <f t="shared" si="294"/>
        <v>AVERAGE</v>
      </c>
      <c r="S3769" t="s">
        <v>600</v>
      </c>
    </row>
    <row r="3770" spans="1:19" x14ac:dyDescent="0.2">
      <c r="A3770" t="s">
        <v>4381</v>
      </c>
      <c r="B3770" t="s">
        <v>90</v>
      </c>
      <c r="C3770" t="s">
        <v>602</v>
      </c>
      <c r="D3770">
        <v>489.57</v>
      </c>
      <c r="E3770" s="37" t="str">
        <f t="shared" si="290"/>
        <v xml:space="preserve"> </v>
      </c>
      <c r="F3770">
        <v>7.0000000000000007E-2</v>
      </c>
      <c r="G3770" s="37" t="str">
        <f t="shared" si="291"/>
        <v>Normal Discount</v>
      </c>
      <c r="H3770" s="37" t="str">
        <f t="shared" si="292"/>
        <v>Low</v>
      </c>
      <c r="I3770">
        <v>6</v>
      </c>
      <c r="J3770" t="str" cm="1">
        <f t="array" ref="J3770">_xlfn.IFS(I3770&lt;=3,"small",I3770&lt;=6,"Medium",I3770&lt;=9,"Large")</f>
        <v>Medium</v>
      </c>
      <c r="K3770" s="36">
        <v>45176</v>
      </c>
      <c r="L3770" s="36">
        <v>45181</v>
      </c>
      <c r="M3770" t="s">
        <v>612</v>
      </c>
      <c r="N3770" t="s">
        <v>604</v>
      </c>
      <c r="O3770" s="37" t="str">
        <f t="shared" si="293"/>
        <v>Digital Payment</v>
      </c>
      <c r="P3770">
        <v>74.239999999999995</v>
      </c>
      <c r="Q3770" s="37" t="str">
        <f>IF(P3770&gt;500,"High","low")</f>
        <v>low</v>
      </c>
      <c r="R3770" s="37" t="str">
        <f t="shared" si="294"/>
        <v>AVERAGE</v>
      </c>
      <c r="S3770" t="s">
        <v>609</v>
      </c>
    </row>
    <row r="3771" spans="1:19" x14ac:dyDescent="0.2">
      <c r="A3771" t="s">
        <v>4382</v>
      </c>
      <c r="B3771" t="s">
        <v>67</v>
      </c>
      <c r="C3771" t="s">
        <v>614</v>
      </c>
      <c r="D3771">
        <v>2187.62</v>
      </c>
      <c r="E3771" s="37" t="str">
        <f t="shared" si="290"/>
        <v xml:space="preserve"> </v>
      </c>
      <c r="F3771">
        <v>0.33</v>
      </c>
      <c r="G3771" s="37" t="str">
        <f t="shared" si="291"/>
        <v>Heavy Discount</v>
      </c>
      <c r="H3771" s="37" t="str">
        <f t="shared" si="292"/>
        <v>Medium</v>
      </c>
      <c r="I3771">
        <v>3</v>
      </c>
      <c r="J3771" t="str" cm="1">
        <f t="array" ref="J3771">_xlfn.IFS(I3771&lt;=3,"small",I3771&lt;=6,"Medium",I3771&lt;=9,"Large")</f>
        <v>small</v>
      </c>
      <c r="K3771" s="36">
        <v>45399</v>
      </c>
      <c r="L3771" s="36">
        <v>45405</v>
      </c>
      <c r="M3771" t="s">
        <v>612</v>
      </c>
      <c r="N3771" t="s">
        <v>608</v>
      </c>
      <c r="O3771" s="37" t="str">
        <f t="shared" si="293"/>
        <v>Cash Payment</v>
      </c>
      <c r="P3771">
        <v>254.6</v>
      </c>
      <c r="Q3771" s="37" t="str">
        <f>IF(P3771&gt;500,"High","low")</f>
        <v>low</v>
      </c>
      <c r="R3771" s="37" t="str">
        <f t="shared" si="294"/>
        <v>AVERAGE</v>
      </c>
      <c r="S3771" t="s">
        <v>620</v>
      </c>
    </row>
    <row r="3772" spans="1:19" x14ac:dyDescent="0.2">
      <c r="A3772" t="s">
        <v>4383</v>
      </c>
      <c r="B3772" t="s">
        <v>83</v>
      </c>
      <c r="C3772" t="s">
        <v>607</v>
      </c>
      <c r="D3772">
        <v>2717.19</v>
      </c>
      <c r="E3772" s="37" t="str">
        <f t="shared" si="290"/>
        <v xml:space="preserve"> </v>
      </c>
      <c r="F3772">
        <v>0.12</v>
      </c>
      <c r="G3772" s="37" t="str">
        <f t="shared" si="291"/>
        <v>Normal Discount</v>
      </c>
      <c r="H3772" s="37" t="str">
        <f t="shared" si="292"/>
        <v>Low</v>
      </c>
      <c r="I3772">
        <v>2</v>
      </c>
      <c r="J3772" t="str" cm="1">
        <f t="array" ref="J3772">_xlfn.IFS(I3772&lt;=3,"small",I3772&lt;=6,"Medium",I3772&lt;=9,"Large")</f>
        <v>small</v>
      </c>
      <c r="K3772" s="36">
        <v>45619</v>
      </c>
      <c r="L3772" s="36">
        <v>45626</v>
      </c>
      <c r="M3772" t="s">
        <v>603</v>
      </c>
      <c r="N3772" t="s">
        <v>599</v>
      </c>
      <c r="O3772" s="37" t="str">
        <f t="shared" si="293"/>
        <v>Digital Payment</v>
      </c>
      <c r="P3772">
        <v>688.09</v>
      </c>
      <c r="Q3772" s="37" t="str">
        <f>IF(P3772&gt;500,"High","low")</f>
        <v>High</v>
      </c>
      <c r="R3772" s="37" t="str">
        <f t="shared" si="294"/>
        <v>Good</v>
      </c>
      <c r="S3772" t="s">
        <v>600</v>
      </c>
    </row>
    <row r="3773" spans="1:19" x14ac:dyDescent="0.2">
      <c r="A3773" t="s">
        <v>4384</v>
      </c>
      <c r="B3773" t="s">
        <v>83</v>
      </c>
      <c r="C3773" t="s">
        <v>607</v>
      </c>
      <c r="D3773">
        <v>708</v>
      </c>
      <c r="E3773" s="37" t="str">
        <f t="shared" si="290"/>
        <v xml:space="preserve"> </v>
      </c>
      <c r="F3773">
        <v>0.14000000000000001</v>
      </c>
      <c r="G3773" s="37" t="str">
        <f t="shared" si="291"/>
        <v>Normal Discount</v>
      </c>
      <c r="H3773" s="37" t="str">
        <f t="shared" si="292"/>
        <v>Low</v>
      </c>
      <c r="I3773">
        <v>3</v>
      </c>
      <c r="J3773" t="str" cm="1">
        <f t="array" ref="J3773">_xlfn.IFS(I3773&lt;=3,"small",I3773&lt;=6,"Medium",I3773&lt;=9,"Large")</f>
        <v>small</v>
      </c>
      <c r="K3773" s="36">
        <v>44991</v>
      </c>
      <c r="L3773" s="36">
        <v>44993</v>
      </c>
      <c r="M3773" t="s">
        <v>598</v>
      </c>
      <c r="N3773" t="s">
        <v>608</v>
      </c>
      <c r="O3773" s="37" t="str">
        <f t="shared" si="293"/>
        <v>Cash Payment</v>
      </c>
      <c r="P3773">
        <v>81.31</v>
      </c>
      <c r="Q3773" s="37" t="str">
        <f>IF(P3773&gt;500,"High","low")</f>
        <v>low</v>
      </c>
      <c r="R3773" s="37" t="str">
        <f t="shared" si="294"/>
        <v>AVERAGE</v>
      </c>
      <c r="S3773" t="s">
        <v>615</v>
      </c>
    </row>
    <row r="3774" spans="1:19" x14ac:dyDescent="0.2">
      <c r="A3774" t="s">
        <v>4385</v>
      </c>
      <c r="B3774" t="s">
        <v>67</v>
      </c>
      <c r="C3774" t="s">
        <v>602</v>
      </c>
      <c r="D3774">
        <v>4062.29</v>
      </c>
      <c r="E3774" s="37" t="str">
        <f t="shared" si="290"/>
        <v>Excellent Order</v>
      </c>
      <c r="F3774">
        <v>0.02</v>
      </c>
      <c r="G3774" s="37" t="str">
        <f t="shared" si="291"/>
        <v>Normal Discount</v>
      </c>
      <c r="H3774" s="37" t="str">
        <f t="shared" si="292"/>
        <v>Low</v>
      </c>
      <c r="I3774">
        <v>1</v>
      </c>
      <c r="J3774" t="str" cm="1">
        <f t="array" ref="J3774">_xlfn.IFS(I3774&lt;=3,"small",I3774&lt;=6,"Medium",I3774&lt;=9,"Large")</f>
        <v>small</v>
      </c>
      <c r="K3774" s="36">
        <v>45569</v>
      </c>
      <c r="L3774" s="36">
        <v>45570</v>
      </c>
      <c r="M3774" t="s">
        <v>598</v>
      </c>
      <c r="N3774" t="s">
        <v>608</v>
      </c>
      <c r="O3774" s="37" t="str">
        <f t="shared" si="293"/>
        <v>Cash Payment</v>
      </c>
      <c r="P3774">
        <v>803.79</v>
      </c>
      <c r="Q3774" s="37" t="str">
        <f>IF(P3774&gt;500,"High","low")</f>
        <v>High</v>
      </c>
      <c r="R3774" s="37" t="str">
        <f t="shared" si="294"/>
        <v>Good</v>
      </c>
      <c r="S3774" t="s">
        <v>628</v>
      </c>
    </row>
    <row r="3775" spans="1:19" x14ac:dyDescent="0.2">
      <c r="A3775" t="s">
        <v>4386</v>
      </c>
      <c r="B3775" t="s">
        <v>67</v>
      </c>
      <c r="C3775" t="s">
        <v>602</v>
      </c>
      <c r="D3775">
        <v>828.55</v>
      </c>
      <c r="E3775" s="37" t="str">
        <f t="shared" si="290"/>
        <v xml:space="preserve"> </v>
      </c>
      <c r="F3775">
        <v>0.01</v>
      </c>
      <c r="G3775" s="37" t="str">
        <f t="shared" si="291"/>
        <v>Normal Discount</v>
      </c>
      <c r="H3775" s="37" t="str">
        <f t="shared" si="292"/>
        <v>Low</v>
      </c>
      <c r="I3775">
        <v>3</v>
      </c>
      <c r="J3775" t="str" cm="1">
        <f t="array" ref="J3775">_xlfn.IFS(I3775&lt;=3,"small",I3775&lt;=6,"Medium",I3775&lt;=9,"Large")</f>
        <v>small</v>
      </c>
      <c r="K3775" s="36">
        <v>45331</v>
      </c>
      <c r="L3775" s="36">
        <v>45337</v>
      </c>
      <c r="M3775" t="s">
        <v>612</v>
      </c>
      <c r="N3775" t="s">
        <v>608</v>
      </c>
      <c r="O3775" s="37" t="str">
        <f t="shared" si="293"/>
        <v>Cash Payment</v>
      </c>
      <c r="P3775">
        <v>52.23</v>
      </c>
      <c r="Q3775" s="37" t="str">
        <f>IF(P3775&gt;500,"High","low")</f>
        <v>low</v>
      </c>
      <c r="R3775" s="37" t="str">
        <f t="shared" si="294"/>
        <v>AVERAGE</v>
      </c>
      <c r="S3775" t="s">
        <v>620</v>
      </c>
    </row>
    <row r="3776" spans="1:19" x14ac:dyDescent="0.2">
      <c r="A3776" t="s">
        <v>4387</v>
      </c>
      <c r="B3776" t="s">
        <v>75</v>
      </c>
      <c r="C3776" t="s">
        <v>614</v>
      </c>
      <c r="D3776">
        <v>1978.31</v>
      </c>
      <c r="E3776" s="37" t="str">
        <f t="shared" si="290"/>
        <v xml:space="preserve"> </v>
      </c>
      <c r="F3776">
        <v>0.26</v>
      </c>
      <c r="G3776" s="37" t="str">
        <f t="shared" si="291"/>
        <v>Normal Discount</v>
      </c>
      <c r="H3776" s="37" t="str">
        <f t="shared" si="292"/>
        <v>Medium</v>
      </c>
      <c r="I3776">
        <v>5</v>
      </c>
      <c r="J3776" t="str" cm="1">
        <f t="array" ref="J3776">_xlfn.IFS(I3776&lt;=3,"small",I3776&lt;=6,"Medium",I3776&lt;=9,"Large")</f>
        <v>Medium</v>
      </c>
      <c r="K3776" s="36">
        <v>45225</v>
      </c>
      <c r="L3776" s="36">
        <v>45227</v>
      </c>
      <c r="M3776" t="s">
        <v>603</v>
      </c>
      <c r="N3776" t="s">
        <v>604</v>
      </c>
      <c r="O3776" s="37" t="str">
        <f t="shared" si="293"/>
        <v>Digital Payment</v>
      </c>
      <c r="P3776">
        <v>471.8</v>
      </c>
      <c r="Q3776" s="37" t="str">
        <f>IF(P3776&gt;500,"High","low")</f>
        <v>low</v>
      </c>
      <c r="R3776" s="37" t="str">
        <f t="shared" si="294"/>
        <v>AVERAGE</v>
      </c>
      <c r="S3776" t="s">
        <v>609</v>
      </c>
    </row>
    <row r="3777" spans="1:19" x14ac:dyDescent="0.2">
      <c r="A3777" t="s">
        <v>4388</v>
      </c>
      <c r="B3777" t="s">
        <v>67</v>
      </c>
      <c r="C3777" t="s">
        <v>602</v>
      </c>
      <c r="D3777">
        <v>437.67</v>
      </c>
      <c r="E3777" s="37" t="str">
        <f t="shared" si="290"/>
        <v xml:space="preserve"> </v>
      </c>
      <c r="F3777">
        <v>0.03</v>
      </c>
      <c r="G3777" s="37" t="str">
        <f t="shared" si="291"/>
        <v>Normal Discount</v>
      </c>
      <c r="H3777" s="37" t="str">
        <f t="shared" si="292"/>
        <v>Low</v>
      </c>
      <c r="I3777">
        <v>4</v>
      </c>
      <c r="J3777" t="str" cm="1">
        <f t="array" ref="J3777">_xlfn.IFS(I3777&lt;=3,"small",I3777&lt;=6,"Medium",I3777&lt;=9,"Large")</f>
        <v>Medium</v>
      </c>
      <c r="K3777" s="36">
        <v>45426</v>
      </c>
      <c r="L3777" s="36">
        <v>45431</v>
      </c>
      <c r="M3777" t="s">
        <v>612</v>
      </c>
      <c r="N3777" t="s">
        <v>604</v>
      </c>
      <c r="O3777" s="37" t="str">
        <f t="shared" si="293"/>
        <v>Digital Payment</v>
      </c>
      <c r="P3777">
        <v>71</v>
      </c>
      <c r="Q3777" s="37" t="str">
        <f>IF(P3777&gt;500,"High","low")</f>
        <v>low</v>
      </c>
      <c r="R3777" s="37" t="str">
        <f t="shared" si="294"/>
        <v>AVERAGE</v>
      </c>
      <c r="S3777" t="s">
        <v>605</v>
      </c>
    </row>
    <row r="3778" spans="1:19" x14ac:dyDescent="0.2">
      <c r="A3778" t="s">
        <v>4389</v>
      </c>
      <c r="B3778" t="s">
        <v>75</v>
      </c>
      <c r="C3778" t="s">
        <v>617</v>
      </c>
      <c r="D3778">
        <v>2670.51</v>
      </c>
      <c r="E3778" s="37" t="str">
        <f t="shared" si="290"/>
        <v xml:space="preserve"> </v>
      </c>
      <c r="F3778">
        <v>0.1</v>
      </c>
      <c r="G3778" s="37" t="str">
        <f t="shared" si="291"/>
        <v>Normal Discount</v>
      </c>
      <c r="H3778" s="37" t="str">
        <f t="shared" si="292"/>
        <v>Low</v>
      </c>
      <c r="I3778">
        <v>1</v>
      </c>
      <c r="J3778" t="str" cm="1">
        <f t="array" ref="J3778">_xlfn.IFS(I3778&lt;=3,"small",I3778&lt;=6,"Medium",I3778&lt;=9,"Large")</f>
        <v>small</v>
      </c>
      <c r="K3778" s="36">
        <v>45293</v>
      </c>
      <c r="L3778" s="36">
        <v>45300</v>
      </c>
      <c r="M3778" t="s">
        <v>598</v>
      </c>
      <c r="N3778" t="s">
        <v>608</v>
      </c>
      <c r="O3778" s="37" t="str">
        <f t="shared" si="293"/>
        <v>Cash Payment</v>
      </c>
      <c r="P3778">
        <v>411.23</v>
      </c>
      <c r="Q3778" s="37" t="str">
        <f>IF(P3778&gt;500,"High","low")</f>
        <v>low</v>
      </c>
      <c r="R3778" s="37" t="str">
        <f t="shared" si="294"/>
        <v>AVERAGE</v>
      </c>
      <c r="S3778" t="s">
        <v>620</v>
      </c>
    </row>
    <row r="3779" spans="1:19" x14ac:dyDescent="0.2">
      <c r="A3779" t="s">
        <v>4390</v>
      </c>
      <c r="B3779" t="s">
        <v>90</v>
      </c>
      <c r="C3779" t="s">
        <v>607</v>
      </c>
      <c r="D3779">
        <v>3025.5</v>
      </c>
      <c r="E3779" s="37" t="str">
        <f t="shared" ref="E3779:E3842" si="295">IF(AND(D3779&gt;4000,P3779&gt;800),"Excellent Order"," ")</f>
        <v xml:space="preserve"> </v>
      </c>
      <c r="F3779">
        <v>0.46</v>
      </c>
      <c r="G3779" s="37" t="str">
        <f t="shared" ref="G3779:G3842" si="296">IF(F3779&gt;30%,"Heavy Discount","Normal Discount")</f>
        <v>Heavy Discount</v>
      </c>
      <c r="H3779" s="37" t="str">
        <f t="shared" ref="H3779:H3842" si="297">IF(F3779&gt;0.4,"High",IF(F3779&gt;=0.2,"Medium","Low"))</f>
        <v>High</v>
      </c>
      <c r="I3779">
        <v>5</v>
      </c>
      <c r="J3779" t="str" cm="1">
        <f t="array" ref="J3779">_xlfn.IFS(I3779&lt;=3,"small",I3779&lt;=6,"Medium",I3779&lt;=9,"Large")</f>
        <v>Medium</v>
      </c>
      <c r="K3779" s="36">
        <v>45414</v>
      </c>
      <c r="L3779" s="36">
        <v>45415</v>
      </c>
      <c r="M3779" t="s">
        <v>603</v>
      </c>
      <c r="N3779" t="s">
        <v>599</v>
      </c>
      <c r="O3779" s="37" t="str">
        <f t="shared" ref="O3779:O3842" si="298">IF(OR(N3779="Card",N3779="UPI"),"Digital Payment","Cash Payment")</f>
        <v>Digital Payment</v>
      </c>
      <c r="P3779">
        <v>480.48</v>
      </c>
      <c r="Q3779" s="37" t="str">
        <f>IF(P3779&gt;500,"High","low")</f>
        <v>low</v>
      </c>
      <c r="R3779" s="37" t="str">
        <f t="shared" ref="R3779:R3842" si="299">IF(P3779&gt;1000,"Excellent",IF(P3779&gt;=500,"Good","AVERAGE"))</f>
        <v>AVERAGE</v>
      </c>
      <c r="S3779" t="s">
        <v>620</v>
      </c>
    </row>
    <row r="3780" spans="1:19" x14ac:dyDescent="0.2">
      <c r="A3780" t="s">
        <v>4391</v>
      </c>
      <c r="B3780" t="s">
        <v>75</v>
      </c>
      <c r="C3780" t="s">
        <v>602</v>
      </c>
      <c r="D3780">
        <v>3702.37</v>
      </c>
      <c r="E3780" s="37" t="str">
        <f t="shared" si="295"/>
        <v xml:space="preserve"> </v>
      </c>
      <c r="F3780">
        <v>0.04</v>
      </c>
      <c r="G3780" s="37" t="str">
        <f t="shared" si="296"/>
        <v>Normal Discount</v>
      </c>
      <c r="H3780" s="37" t="str">
        <f t="shared" si="297"/>
        <v>Low</v>
      </c>
      <c r="I3780">
        <v>3</v>
      </c>
      <c r="J3780" t="str" cm="1">
        <f t="array" ref="J3780">_xlfn.IFS(I3780&lt;=3,"small",I3780&lt;=6,"Medium",I3780&lt;=9,"Large")</f>
        <v>small</v>
      </c>
      <c r="K3780" s="36">
        <v>45524</v>
      </c>
      <c r="L3780" s="36">
        <v>45529</v>
      </c>
      <c r="M3780" t="s">
        <v>612</v>
      </c>
      <c r="N3780" t="s">
        <v>608</v>
      </c>
      <c r="O3780" s="37" t="str">
        <f t="shared" si="298"/>
        <v>Cash Payment</v>
      </c>
      <c r="P3780">
        <v>844.87</v>
      </c>
      <c r="Q3780" s="37" t="str">
        <f>IF(P3780&gt;500,"High","low")</f>
        <v>High</v>
      </c>
      <c r="R3780" s="37" t="str">
        <f t="shared" si="299"/>
        <v>Good</v>
      </c>
      <c r="S3780" t="s">
        <v>600</v>
      </c>
    </row>
    <row r="3781" spans="1:19" x14ac:dyDescent="0.2">
      <c r="A3781" t="s">
        <v>4392</v>
      </c>
      <c r="B3781" t="s">
        <v>67</v>
      </c>
      <c r="C3781" t="s">
        <v>602</v>
      </c>
      <c r="D3781">
        <v>1763.36</v>
      </c>
      <c r="E3781" s="37" t="str">
        <f t="shared" si="295"/>
        <v xml:space="preserve"> </v>
      </c>
      <c r="F3781">
        <v>0.15</v>
      </c>
      <c r="G3781" s="37" t="str">
        <f t="shared" si="296"/>
        <v>Normal Discount</v>
      </c>
      <c r="H3781" s="37" t="str">
        <f t="shared" si="297"/>
        <v>Low</v>
      </c>
      <c r="I3781">
        <v>7</v>
      </c>
      <c r="J3781" t="str" cm="1">
        <f t="array" ref="J3781">_xlfn.IFS(I3781&lt;=3,"small",I3781&lt;=6,"Medium",I3781&lt;=9,"Large")</f>
        <v>Large</v>
      </c>
      <c r="K3781" s="36">
        <v>45077</v>
      </c>
      <c r="L3781" s="36">
        <v>45079</v>
      </c>
      <c r="M3781" t="s">
        <v>598</v>
      </c>
      <c r="N3781" t="s">
        <v>599</v>
      </c>
      <c r="O3781" s="37" t="str">
        <f t="shared" si="298"/>
        <v>Digital Payment</v>
      </c>
      <c r="P3781">
        <v>278.24</v>
      </c>
      <c r="Q3781" s="37" t="str">
        <f>IF(P3781&gt;500,"High","low")</f>
        <v>low</v>
      </c>
      <c r="R3781" s="37" t="str">
        <f t="shared" si="299"/>
        <v>AVERAGE</v>
      </c>
      <c r="S3781" t="s">
        <v>605</v>
      </c>
    </row>
    <row r="3782" spans="1:19" x14ac:dyDescent="0.2">
      <c r="A3782" t="s">
        <v>4393</v>
      </c>
      <c r="B3782" t="s">
        <v>67</v>
      </c>
      <c r="C3782" t="s">
        <v>597</v>
      </c>
      <c r="D3782">
        <v>2993.6</v>
      </c>
      <c r="E3782" s="37" t="str">
        <f t="shared" si="295"/>
        <v xml:space="preserve"> </v>
      </c>
      <c r="F3782">
        <v>0.36</v>
      </c>
      <c r="G3782" s="37" t="str">
        <f t="shared" si="296"/>
        <v>Heavy Discount</v>
      </c>
      <c r="H3782" s="37" t="str">
        <f t="shared" si="297"/>
        <v>Medium</v>
      </c>
      <c r="I3782">
        <v>8</v>
      </c>
      <c r="J3782" t="str" cm="1">
        <f t="array" ref="J3782">_xlfn.IFS(I3782&lt;=3,"small",I3782&lt;=6,"Medium",I3782&lt;=9,"Large")</f>
        <v>Large</v>
      </c>
      <c r="K3782" s="36">
        <v>45408</v>
      </c>
      <c r="L3782" s="36">
        <v>45409</v>
      </c>
      <c r="M3782" t="s">
        <v>598</v>
      </c>
      <c r="N3782" t="s">
        <v>599</v>
      </c>
      <c r="O3782" s="37" t="str">
        <f t="shared" si="298"/>
        <v>Digital Payment</v>
      </c>
      <c r="P3782">
        <v>701.59</v>
      </c>
      <c r="Q3782" s="37" t="str">
        <f>IF(P3782&gt;500,"High","low")</f>
        <v>High</v>
      </c>
      <c r="R3782" s="37" t="str">
        <f t="shared" si="299"/>
        <v>Good</v>
      </c>
      <c r="S3782" t="s">
        <v>615</v>
      </c>
    </row>
    <row r="3783" spans="1:19" x14ac:dyDescent="0.2">
      <c r="A3783" t="s">
        <v>4394</v>
      </c>
      <c r="B3783" t="s">
        <v>90</v>
      </c>
      <c r="C3783" t="s">
        <v>602</v>
      </c>
      <c r="D3783">
        <v>3697.32</v>
      </c>
      <c r="E3783" s="37" t="str">
        <f t="shared" si="295"/>
        <v xml:space="preserve"> </v>
      </c>
      <c r="F3783">
        <v>0.44</v>
      </c>
      <c r="G3783" s="37" t="str">
        <f t="shared" si="296"/>
        <v>Heavy Discount</v>
      </c>
      <c r="H3783" s="37" t="str">
        <f t="shared" si="297"/>
        <v>High</v>
      </c>
      <c r="I3783">
        <v>5</v>
      </c>
      <c r="J3783" t="str" cm="1">
        <f t="array" ref="J3783">_xlfn.IFS(I3783&lt;=3,"small",I3783&lt;=6,"Medium",I3783&lt;=9,"Large")</f>
        <v>Medium</v>
      </c>
      <c r="K3783" s="36">
        <v>44949</v>
      </c>
      <c r="L3783" s="36">
        <v>44951</v>
      </c>
      <c r="M3783" t="s">
        <v>598</v>
      </c>
      <c r="N3783" t="s">
        <v>599</v>
      </c>
      <c r="O3783" s="37" t="str">
        <f t="shared" si="298"/>
        <v>Digital Payment</v>
      </c>
      <c r="P3783">
        <v>446.4</v>
      </c>
      <c r="Q3783" s="37" t="str">
        <f>IF(P3783&gt;500,"High","low")</f>
        <v>low</v>
      </c>
      <c r="R3783" s="37" t="str">
        <f t="shared" si="299"/>
        <v>AVERAGE</v>
      </c>
      <c r="S3783" t="s">
        <v>615</v>
      </c>
    </row>
    <row r="3784" spans="1:19" x14ac:dyDescent="0.2">
      <c r="A3784" t="s">
        <v>4395</v>
      </c>
      <c r="B3784" t="s">
        <v>67</v>
      </c>
      <c r="C3784" t="s">
        <v>617</v>
      </c>
      <c r="D3784">
        <v>3833.97</v>
      </c>
      <c r="E3784" s="37" t="str">
        <f t="shared" si="295"/>
        <v xml:space="preserve"> </v>
      </c>
      <c r="F3784">
        <v>0.02</v>
      </c>
      <c r="G3784" s="37" t="str">
        <f t="shared" si="296"/>
        <v>Normal Discount</v>
      </c>
      <c r="H3784" s="37" t="str">
        <f t="shared" si="297"/>
        <v>Low</v>
      </c>
      <c r="I3784">
        <v>8</v>
      </c>
      <c r="J3784" t="str" cm="1">
        <f t="array" ref="J3784">_xlfn.IFS(I3784&lt;=3,"small",I3784&lt;=6,"Medium",I3784&lt;=9,"Large")</f>
        <v>Large</v>
      </c>
      <c r="K3784" s="36">
        <v>44989</v>
      </c>
      <c r="L3784" s="36">
        <v>44990</v>
      </c>
      <c r="M3784" t="s">
        <v>603</v>
      </c>
      <c r="N3784" t="s">
        <v>599</v>
      </c>
      <c r="O3784" s="37" t="str">
        <f t="shared" si="298"/>
        <v>Digital Payment</v>
      </c>
      <c r="P3784">
        <v>1112.3900000000001</v>
      </c>
      <c r="Q3784" s="37" t="str">
        <f>IF(P3784&gt;500,"High","low")</f>
        <v>High</v>
      </c>
      <c r="R3784" s="37" t="str">
        <f t="shared" si="299"/>
        <v>Excellent</v>
      </c>
      <c r="S3784" t="s">
        <v>609</v>
      </c>
    </row>
    <row r="3785" spans="1:19" x14ac:dyDescent="0.2">
      <c r="A3785" t="s">
        <v>4396</v>
      </c>
      <c r="B3785" t="s">
        <v>67</v>
      </c>
      <c r="C3785" t="s">
        <v>607</v>
      </c>
      <c r="D3785">
        <v>1578.05</v>
      </c>
      <c r="E3785" s="37" t="str">
        <f t="shared" si="295"/>
        <v xml:space="preserve"> </v>
      </c>
      <c r="F3785">
        <v>0.09</v>
      </c>
      <c r="G3785" s="37" t="str">
        <f t="shared" si="296"/>
        <v>Normal Discount</v>
      </c>
      <c r="H3785" s="37" t="str">
        <f t="shared" si="297"/>
        <v>Low</v>
      </c>
      <c r="I3785">
        <v>6</v>
      </c>
      <c r="J3785" t="str" cm="1">
        <f t="array" ref="J3785">_xlfn.IFS(I3785&lt;=3,"small",I3785&lt;=6,"Medium",I3785&lt;=9,"Large")</f>
        <v>Medium</v>
      </c>
      <c r="K3785" s="36">
        <v>45537</v>
      </c>
      <c r="L3785" s="36">
        <v>45541</v>
      </c>
      <c r="M3785" t="s">
        <v>603</v>
      </c>
      <c r="N3785" t="s">
        <v>604</v>
      </c>
      <c r="O3785" s="37" t="str">
        <f t="shared" si="298"/>
        <v>Digital Payment</v>
      </c>
      <c r="P3785">
        <v>280.29000000000002</v>
      </c>
      <c r="Q3785" s="37" t="str">
        <f>IF(P3785&gt;500,"High","low")</f>
        <v>low</v>
      </c>
      <c r="R3785" s="37" t="str">
        <f t="shared" si="299"/>
        <v>AVERAGE</v>
      </c>
      <c r="S3785" t="s">
        <v>609</v>
      </c>
    </row>
    <row r="3786" spans="1:19" x14ac:dyDescent="0.2">
      <c r="A3786" t="s">
        <v>4397</v>
      </c>
      <c r="B3786" t="s">
        <v>83</v>
      </c>
      <c r="C3786" t="s">
        <v>597</v>
      </c>
      <c r="D3786">
        <v>431.75</v>
      </c>
      <c r="E3786" s="37" t="str">
        <f t="shared" si="295"/>
        <v xml:space="preserve"> </v>
      </c>
      <c r="F3786">
        <v>0.19</v>
      </c>
      <c r="G3786" s="37" t="str">
        <f t="shared" si="296"/>
        <v>Normal Discount</v>
      </c>
      <c r="H3786" s="37" t="str">
        <f t="shared" si="297"/>
        <v>Low</v>
      </c>
      <c r="I3786">
        <v>6</v>
      </c>
      <c r="J3786" t="str" cm="1">
        <f t="array" ref="J3786">_xlfn.IFS(I3786&lt;=3,"small",I3786&lt;=6,"Medium",I3786&lt;=9,"Large")</f>
        <v>Medium</v>
      </c>
      <c r="K3786" s="36">
        <v>45521</v>
      </c>
      <c r="L3786" s="36">
        <v>45522</v>
      </c>
      <c r="M3786" t="s">
        <v>598</v>
      </c>
      <c r="N3786" t="s">
        <v>604</v>
      </c>
      <c r="O3786" s="37" t="str">
        <f t="shared" si="298"/>
        <v>Digital Payment</v>
      </c>
      <c r="P3786">
        <v>84.58</v>
      </c>
      <c r="Q3786" s="37" t="str">
        <f>IF(P3786&gt;500,"High","low")</f>
        <v>low</v>
      </c>
      <c r="R3786" s="37" t="str">
        <f t="shared" si="299"/>
        <v>AVERAGE</v>
      </c>
      <c r="S3786" t="s">
        <v>609</v>
      </c>
    </row>
    <row r="3787" spans="1:19" x14ac:dyDescent="0.2">
      <c r="A3787" t="s">
        <v>4398</v>
      </c>
      <c r="B3787" t="s">
        <v>83</v>
      </c>
      <c r="C3787" t="s">
        <v>614</v>
      </c>
      <c r="D3787">
        <v>284.33999999999997</v>
      </c>
      <c r="E3787" s="37" t="str">
        <f t="shared" si="295"/>
        <v xml:space="preserve"> </v>
      </c>
      <c r="F3787">
        <v>0.18</v>
      </c>
      <c r="G3787" s="37" t="str">
        <f t="shared" si="296"/>
        <v>Normal Discount</v>
      </c>
      <c r="H3787" s="37" t="str">
        <f t="shared" si="297"/>
        <v>Low</v>
      </c>
      <c r="I3787">
        <v>5</v>
      </c>
      <c r="J3787" t="str" cm="1">
        <f t="array" ref="J3787">_xlfn.IFS(I3787&lt;=3,"small",I3787&lt;=6,"Medium",I3787&lt;=9,"Large")</f>
        <v>Medium</v>
      </c>
      <c r="K3787" s="36">
        <v>45453</v>
      </c>
      <c r="L3787" s="36">
        <v>45457</v>
      </c>
      <c r="M3787" t="s">
        <v>598</v>
      </c>
      <c r="N3787" t="s">
        <v>599</v>
      </c>
      <c r="O3787" s="37" t="str">
        <f t="shared" si="298"/>
        <v>Digital Payment</v>
      </c>
      <c r="P3787">
        <v>63.62</v>
      </c>
      <c r="Q3787" s="37" t="str">
        <f>IF(P3787&gt;500,"High","low")</f>
        <v>low</v>
      </c>
      <c r="R3787" s="37" t="str">
        <f t="shared" si="299"/>
        <v>AVERAGE</v>
      </c>
      <c r="S3787" t="s">
        <v>605</v>
      </c>
    </row>
    <row r="3788" spans="1:19" x14ac:dyDescent="0.2">
      <c r="A3788" t="s">
        <v>4399</v>
      </c>
      <c r="B3788" t="s">
        <v>90</v>
      </c>
      <c r="C3788" t="s">
        <v>614</v>
      </c>
      <c r="D3788">
        <v>3863.5</v>
      </c>
      <c r="E3788" s="37" t="str">
        <f t="shared" si="295"/>
        <v xml:space="preserve"> </v>
      </c>
      <c r="F3788">
        <v>0.14000000000000001</v>
      </c>
      <c r="G3788" s="37" t="str">
        <f t="shared" si="296"/>
        <v>Normal Discount</v>
      </c>
      <c r="H3788" s="37" t="str">
        <f t="shared" si="297"/>
        <v>Low</v>
      </c>
      <c r="I3788">
        <v>6</v>
      </c>
      <c r="J3788" t="str" cm="1">
        <f t="array" ref="J3788">_xlfn.IFS(I3788&lt;=3,"small",I3788&lt;=6,"Medium",I3788&lt;=9,"Large")</f>
        <v>Medium</v>
      </c>
      <c r="K3788" s="36">
        <v>45043</v>
      </c>
      <c r="L3788" s="36">
        <v>45045</v>
      </c>
      <c r="M3788" t="s">
        <v>603</v>
      </c>
      <c r="N3788" t="s">
        <v>599</v>
      </c>
      <c r="O3788" s="37" t="str">
        <f t="shared" si="298"/>
        <v>Digital Payment</v>
      </c>
      <c r="P3788">
        <v>757.88</v>
      </c>
      <c r="Q3788" s="37" t="str">
        <f>IF(P3788&gt;500,"High","low")</f>
        <v>High</v>
      </c>
      <c r="R3788" s="37" t="str">
        <f t="shared" si="299"/>
        <v>Good</v>
      </c>
      <c r="S3788" t="s">
        <v>609</v>
      </c>
    </row>
    <row r="3789" spans="1:19" x14ac:dyDescent="0.2">
      <c r="A3789" t="s">
        <v>4400</v>
      </c>
      <c r="B3789" t="s">
        <v>75</v>
      </c>
      <c r="C3789" t="s">
        <v>607</v>
      </c>
      <c r="D3789">
        <v>1988.65</v>
      </c>
      <c r="E3789" s="37" t="str">
        <f t="shared" si="295"/>
        <v xml:space="preserve"> </v>
      </c>
      <c r="F3789">
        <v>0.12</v>
      </c>
      <c r="G3789" s="37" t="str">
        <f t="shared" si="296"/>
        <v>Normal Discount</v>
      </c>
      <c r="H3789" s="37" t="str">
        <f t="shared" si="297"/>
        <v>Low</v>
      </c>
      <c r="I3789">
        <v>1</v>
      </c>
      <c r="J3789" t="str" cm="1">
        <f t="array" ref="J3789">_xlfn.IFS(I3789&lt;=3,"small",I3789&lt;=6,"Medium",I3789&lt;=9,"Large")</f>
        <v>small</v>
      </c>
      <c r="K3789" s="36">
        <v>45389</v>
      </c>
      <c r="L3789" s="36">
        <v>45390</v>
      </c>
      <c r="M3789" t="s">
        <v>612</v>
      </c>
      <c r="N3789" t="s">
        <v>599</v>
      </c>
      <c r="O3789" s="37" t="str">
        <f t="shared" si="298"/>
        <v>Digital Payment</v>
      </c>
      <c r="P3789">
        <v>379.88</v>
      </c>
      <c r="Q3789" s="37" t="str">
        <f>IF(P3789&gt;500,"High","low")</f>
        <v>low</v>
      </c>
      <c r="R3789" s="37" t="str">
        <f t="shared" si="299"/>
        <v>AVERAGE</v>
      </c>
      <c r="S3789" t="s">
        <v>628</v>
      </c>
    </row>
    <row r="3790" spans="1:19" x14ac:dyDescent="0.2">
      <c r="A3790" t="s">
        <v>4401</v>
      </c>
      <c r="B3790" t="s">
        <v>83</v>
      </c>
      <c r="C3790" t="s">
        <v>614</v>
      </c>
      <c r="D3790">
        <v>756.32</v>
      </c>
      <c r="E3790" s="37" t="str">
        <f t="shared" si="295"/>
        <v xml:space="preserve"> </v>
      </c>
      <c r="F3790">
        <v>0.13</v>
      </c>
      <c r="G3790" s="37" t="str">
        <f t="shared" si="296"/>
        <v>Normal Discount</v>
      </c>
      <c r="H3790" s="37" t="str">
        <f t="shared" si="297"/>
        <v>Low</v>
      </c>
      <c r="I3790">
        <v>8</v>
      </c>
      <c r="J3790" t="str" cm="1">
        <f t="array" ref="J3790">_xlfn.IFS(I3790&lt;=3,"small",I3790&lt;=6,"Medium",I3790&lt;=9,"Large")</f>
        <v>Large</v>
      </c>
      <c r="K3790" s="36">
        <v>45170</v>
      </c>
      <c r="L3790" s="36">
        <v>45175</v>
      </c>
      <c r="M3790" t="s">
        <v>612</v>
      </c>
      <c r="N3790" t="s">
        <v>608</v>
      </c>
      <c r="O3790" s="37" t="str">
        <f t="shared" si="298"/>
        <v>Cash Payment</v>
      </c>
      <c r="P3790">
        <v>38.270000000000003</v>
      </c>
      <c r="Q3790" s="37" t="str">
        <f>IF(P3790&gt;500,"High","low")</f>
        <v>low</v>
      </c>
      <c r="R3790" s="37" t="str">
        <f t="shared" si="299"/>
        <v>AVERAGE</v>
      </c>
      <c r="S3790" t="s">
        <v>609</v>
      </c>
    </row>
    <row r="3791" spans="1:19" x14ac:dyDescent="0.2">
      <c r="A3791" t="s">
        <v>4402</v>
      </c>
      <c r="B3791" t="s">
        <v>75</v>
      </c>
      <c r="C3791" t="s">
        <v>617</v>
      </c>
      <c r="D3791">
        <v>1004</v>
      </c>
      <c r="E3791" s="37" t="str">
        <f t="shared" si="295"/>
        <v xml:space="preserve"> </v>
      </c>
      <c r="F3791">
        <v>7.0000000000000007E-2</v>
      </c>
      <c r="G3791" s="37" t="str">
        <f t="shared" si="296"/>
        <v>Normal Discount</v>
      </c>
      <c r="H3791" s="37" t="str">
        <f t="shared" si="297"/>
        <v>Low</v>
      </c>
      <c r="I3791">
        <v>5</v>
      </c>
      <c r="J3791" t="str" cm="1">
        <f t="array" ref="J3791">_xlfn.IFS(I3791&lt;=3,"small",I3791&lt;=6,"Medium",I3791&lt;=9,"Large")</f>
        <v>Medium</v>
      </c>
      <c r="K3791" s="36">
        <v>45377</v>
      </c>
      <c r="L3791" s="36">
        <v>45383</v>
      </c>
      <c r="M3791" t="s">
        <v>612</v>
      </c>
      <c r="N3791" t="s">
        <v>604</v>
      </c>
      <c r="O3791" s="37" t="str">
        <f t="shared" si="298"/>
        <v>Digital Payment</v>
      </c>
      <c r="P3791">
        <v>165.55</v>
      </c>
      <c r="Q3791" s="37" t="str">
        <f>IF(P3791&gt;500,"High","low")</f>
        <v>low</v>
      </c>
      <c r="R3791" s="37" t="str">
        <f t="shared" si="299"/>
        <v>AVERAGE</v>
      </c>
      <c r="S3791" t="s">
        <v>600</v>
      </c>
    </row>
    <row r="3792" spans="1:19" x14ac:dyDescent="0.2">
      <c r="A3792" t="s">
        <v>4403</v>
      </c>
      <c r="B3792" t="s">
        <v>67</v>
      </c>
      <c r="C3792" t="s">
        <v>602</v>
      </c>
      <c r="D3792">
        <v>3854.14</v>
      </c>
      <c r="E3792" s="37" t="str">
        <f t="shared" si="295"/>
        <v xml:space="preserve"> </v>
      </c>
      <c r="F3792">
        <v>0.08</v>
      </c>
      <c r="G3792" s="37" t="str">
        <f t="shared" si="296"/>
        <v>Normal Discount</v>
      </c>
      <c r="H3792" s="37" t="str">
        <f t="shared" si="297"/>
        <v>Low</v>
      </c>
      <c r="I3792">
        <v>8</v>
      </c>
      <c r="J3792" t="str" cm="1">
        <f t="array" ref="J3792">_xlfn.IFS(I3792&lt;=3,"small",I3792&lt;=6,"Medium",I3792&lt;=9,"Large")</f>
        <v>Large</v>
      </c>
      <c r="K3792" s="36">
        <v>45431</v>
      </c>
      <c r="L3792" s="36">
        <v>45432</v>
      </c>
      <c r="M3792" t="s">
        <v>598</v>
      </c>
      <c r="N3792" t="s">
        <v>608</v>
      </c>
      <c r="O3792" s="37" t="str">
        <f t="shared" si="298"/>
        <v>Cash Payment</v>
      </c>
      <c r="P3792">
        <v>1027.8900000000001</v>
      </c>
      <c r="Q3792" s="37" t="str">
        <f>IF(P3792&gt;500,"High","low")</f>
        <v>High</v>
      </c>
      <c r="R3792" s="37" t="str">
        <f t="shared" si="299"/>
        <v>Excellent</v>
      </c>
      <c r="S3792" t="s">
        <v>615</v>
      </c>
    </row>
    <row r="3793" spans="1:19" x14ac:dyDescent="0.2">
      <c r="A3793" t="s">
        <v>4404</v>
      </c>
      <c r="B3793" t="s">
        <v>83</v>
      </c>
      <c r="C3793" t="s">
        <v>607</v>
      </c>
      <c r="D3793">
        <v>3034.62</v>
      </c>
      <c r="E3793" s="37" t="str">
        <f t="shared" si="295"/>
        <v xml:space="preserve"> </v>
      </c>
      <c r="F3793">
        <v>0.3</v>
      </c>
      <c r="G3793" s="37" t="str">
        <f t="shared" si="296"/>
        <v>Normal Discount</v>
      </c>
      <c r="H3793" s="37" t="str">
        <f t="shared" si="297"/>
        <v>Medium</v>
      </c>
      <c r="I3793">
        <v>3</v>
      </c>
      <c r="J3793" t="str" cm="1">
        <f t="array" ref="J3793">_xlfn.IFS(I3793&lt;=3,"small",I3793&lt;=6,"Medium",I3793&lt;=9,"Large")</f>
        <v>small</v>
      </c>
      <c r="K3793" s="36">
        <v>45263</v>
      </c>
      <c r="L3793" s="36">
        <v>45264</v>
      </c>
      <c r="M3793" t="s">
        <v>598</v>
      </c>
      <c r="N3793" t="s">
        <v>599</v>
      </c>
      <c r="O3793" s="37" t="str">
        <f t="shared" si="298"/>
        <v>Digital Payment</v>
      </c>
      <c r="P3793">
        <v>852.6</v>
      </c>
      <c r="Q3793" s="37" t="str">
        <f>IF(P3793&gt;500,"High","low")</f>
        <v>High</v>
      </c>
      <c r="R3793" s="37" t="str">
        <f t="shared" si="299"/>
        <v>Good</v>
      </c>
      <c r="S3793" t="s">
        <v>615</v>
      </c>
    </row>
    <row r="3794" spans="1:19" x14ac:dyDescent="0.2">
      <c r="A3794" t="s">
        <v>4405</v>
      </c>
      <c r="B3794" t="s">
        <v>90</v>
      </c>
      <c r="C3794" t="s">
        <v>597</v>
      </c>
      <c r="D3794">
        <v>2556.88</v>
      </c>
      <c r="E3794" s="37" t="str">
        <f t="shared" si="295"/>
        <v xml:space="preserve"> </v>
      </c>
      <c r="F3794">
        <v>0.15</v>
      </c>
      <c r="G3794" s="37" t="str">
        <f t="shared" si="296"/>
        <v>Normal Discount</v>
      </c>
      <c r="H3794" s="37" t="str">
        <f t="shared" si="297"/>
        <v>Low</v>
      </c>
      <c r="I3794">
        <v>6</v>
      </c>
      <c r="J3794" t="str" cm="1">
        <f t="array" ref="J3794">_xlfn.IFS(I3794&lt;=3,"small",I3794&lt;=6,"Medium",I3794&lt;=9,"Large")</f>
        <v>Medium</v>
      </c>
      <c r="K3794" s="36">
        <v>45532</v>
      </c>
      <c r="L3794" s="36">
        <v>45538</v>
      </c>
      <c r="M3794" t="s">
        <v>603</v>
      </c>
      <c r="N3794" t="s">
        <v>604</v>
      </c>
      <c r="O3794" s="37" t="str">
        <f t="shared" si="298"/>
        <v>Digital Payment</v>
      </c>
      <c r="P3794">
        <v>312.10000000000002</v>
      </c>
      <c r="Q3794" s="37" t="str">
        <f>IF(P3794&gt;500,"High","low")</f>
        <v>low</v>
      </c>
      <c r="R3794" s="37" t="str">
        <f t="shared" si="299"/>
        <v>AVERAGE</v>
      </c>
      <c r="S3794" t="s">
        <v>600</v>
      </c>
    </row>
    <row r="3795" spans="1:19" x14ac:dyDescent="0.2">
      <c r="A3795" t="s">
        <v>4406</v>
      </c>
      <c r="B3795" t="s">
        <v>90</v>
      </c>
      <c r="C3795" t="s">
        <v>602</v>
      </c>
      <c r="D3795">
        <v>3152.74</v>
      </c>
      <c r="E3795" s="37" t="str">
        <f t="shared" si="295"/>
        <v xml:space="preserve"> </v>
      </c>
      <c r="F3795">
        <v>0.2</v>
      </c>
      <c r="G3795" s="37" t="str">
        <f t="shared" si="296"/>
        <v>Normal Discount</v>
      </c>
      <c r="H3795" s="37" t="str">
        <f t="shared" si="297"/>
        <v>Medium</v>
      </c>
      <c r="I3795">
        <v>1</v>
      </c>
      <c r="J3795" t="str" cm="1">
        <f t="array" ref="J3795">_xlfn.IFS(I3795&lt;=3,"small",I3795&lt;=6,"Medium",I3795&lt;=9,"Large")</f>
        <v>small</v>
      </c>
      <c r="K3795" s="36">
        <v>45499</v>
      </c>
      <c r="L3795" s="36">
        <v>45500</v>
      </c>
      <c r="M3795" t="s">
        <v>598</v>
      </c>
      <c r="N3795" t="s">
        <v>604</v>
      </c>
      <c r="O3795" s="37" t="str">
        <f t="shared" si="298"/>
        <v>Digital Payment</v>
      </c>
      <c r="P3795">
        <v>715.9</v>
      </c>
      <c r="Q3795" s="37" t="str">
        <f>IF(P3795&gt;500,"High","low")</f>
        <v>High</v>
      </c>
      <c r="R3795" s="37" t="str">
        <f t="shared" si="299"/>
        <v>Good</v>
      </c>
      <c r="S3795" t="s">
        <v>615</v>
      </c>
    </row>
    <row r="3796" spans="1:19" x14ac:dyDescent="0.2">
      <c r="A3796" t="s">
        <v>4407</v>
      </c>
      <c r="B3796" t="s">
        <v>90</v>
      </c>
      <c r="C3796" t="s">
        <v>614</v>
      </c>
      <c r="D3796">
        <v>773.75</v>
      </c>
      <c r="E3796" s="37" t="str">
        <f t="shared" si="295"/>
        <v xml:space="preserve"> </v>
      </c>
      <c r="F3796">
        <v>0.21</v>
      </c>
      <c r="G3796" s="37" t="str">
        <f t="shared" si="296"/>
        <v>Normal Discount</v>
      </c>
      <c r="H3796" s="37" t="str">
        <f t="shared" si="297"/>
        <v>Medium</v>
      </c>
      <c r="I3796">
        <v>1</v>
      </c>
      <c r="J3796" t="str" cm="1">
        <f t="array" ref="J3796">_xlfn.IFS(I3796&lt;=3,"small",I3796&lt;=6,"Medium",I3796&lt;=9,"Large")</f>
        <v>small</v>
      </c>
      <c r="K3796" s="36">
        <v>45594</v>
      </c>
      <c r="L3796" s="36">
        <v>45597</v>
      </c>
      <c r="M3796" t="s">
        <v>612</v>
      </c>
      <c r="N3796" t="s">
        <v>608</v>
      </c>
      <c r="O3796" s="37" t="str">
        <f t="shared" si="298"/>
        <v>Cash Payment</v>
      </c>
      <c r="P3796">
        <v>204.75</v>
      </c>
      <c r="Q3796" s="37" t="str">
        <f>IF(P3796&gt;500,"High","low")</f>
        <v>low</v>
      </c>
      <c r="R3796" s="37" t="str">
        <f t="shared" si="299"/>
        <v>AVERAGE</v>
      </c>
      <c r="S3796" t="s">
        <v>615</v>
      </c>
    </row>
    <row r="3797" spans="1:19" x14ac:dyDescent="0.2">
      <c r="A3797" t="s">
        <v>4408</v>
      </c>
      <c r="B3797" t="s">
        <v>83</v>
      </c>
      <c r="C3797" t="s">
        <v>614</v>
      </c>
      <c r="D3797">
        <v>1663.31</v>
      </c>
      <c r="E3797" s="37" t="str">
        <f t="shared" si="295"/>
        <v xml:space="preserve"> </v>
      </c>
      <c r="F3797">
        <v>0.05</v>
      </c>
      <c r="G3797" s="37" t="str">
        <f t="shared" si="296"/>
        <v>Normal Discount</v>
      </c>
      <c r="H3797" s="37" t="str">
        <f t="shared" si="297"/>
        <v>Low</v>
      </c>
      <c r="I3797">
        <v>4</v>
      </c>
      <c r="J3797" t="str" cm="1">
        <f t="array" ref="J3797">_xlfn.IFS(I3797&lt;=3,"small",I3797&lt;=6,"Medium",I3797&lt;=9,"Large")</f>
        <v>Medium</v>
      </c>
      <c r="K3797" s="36">
        <v>45216</v>
      </c>
      <c r="L3797" s="36">
        <v>45221</v>
      </c>
      <c r="M3797" t="s">
        <v>598</v>
      </c>
      <c r="N3797" t="s">
        <v>599</v>
      </c>
      <c r="O3797" s="37" t="str">
        <f t="shared" si="298"/>
        <v>Digital Payment</v>
      </c>
      <c r="P3797">
        <v>266.26</v>
      </c>
      <c r="Q3797" s="37" t="str">
        <f>IF(P3797&gt;500,"High","low")</f>
        <v>low</v>
      </c>
      <c r="R3797" s="37" t="str">
        <f t="shared" si="299"/>
        <v>AVERAGE</v>
      </c>
      <c r="S3797" t="s">
        <v>628</v>
      </c>
    </row>
    <row r="3798" spans="1:19" x14ac:dyDescent="0.2">
      <c r="A3798" t="s">
        <v>4409</v>
      </c>
      <c r="B3798" t="s">
        <v>75</v>
      </c>
      <c r="C3798" t="s">
        <v>597</v>
      </c>
      <c r="D3798">
        <v>1932.91</v>
      </c>
      <c r="E3798" s="37" t="str">
        <f t="shared" si="295"/>
        <v xml:space="preserve"> </v>
      </c>
      <c r="F3798">
        <v>0.41</v>
      </c>
      <c r="G3798" s="37" t="str">
        <f t="shared" si="296"/>
        <v>Heavy Discount</v>
      </c>
      <c r="H3798" s="37" t="str">
        <f t="shared" si="297"/>
        <v>High</v>
      </c>
      <c r="I3798">
        <v>6</v>
      </c>
      <c r="J3798" t="str" cm="1">
        <f t="array" ref="J3798">_xlfn.IFS(I3798&lt;=3,"small",I3798&lt;=6,"Medium",I3798&lt;=9,"Large")</f>
        <v>Medium</v>
      </c>
      <c r="K3798" s="36">
        <v>45582</v>
      </c>
      <c r="L3798" s="36">
        <v>45583</v>
      </c>
      <c r="M3798" t="s">
        <v>612</v>
      </c>
      <c r="N3798" t="s">
        <v>608</v>
      </c>
      <c r="O3798" s="37" t="str">
        <f t="shared" si="298"/>
        <v>Cash Payment</v>
      </c>
      <c r="P3798">
        <v>385.55</v>
      </c>
      <c r="Q3798" s="37" t="str">
        <f>IF(P3798&gt;500,"High","low")</f>
        <v>low</v>
      </c>
      <c r="R3798" s="37" t="str">
        <f t="shared" si="299"/>
        <v>AVERAGE</v>
      </c>
      <c r="S3798" t="s">
        <v>605</v>
      </c>
    </row>
    <row r="3799" spans="1:19" x14ac:dyDescent="0.2">
      <c r="A3799" t="s">
        <v>4410</v>
      </c>
      <c r="B3799" t="s">
        <v>67</v>
      </c>
      <c r="C3799" t="s">
        <v>617</v>
      </c>
      <c r="D3799">
        <v>1641.04</v>
      </c>
      <c r="E3799" s="37" t="str">
        <f t="shared" si="295"/>
        <v xml:space="preserve"> </v>
      </c>
      <c r="F3799">
        <v>0.48</v>
      </c>
      <c r="G3799" s="37" t="str">
        <f t="shared" si="296"/>
        <v>Heavy Discount</v>
      </c>
      <c r="H3799" s="37" t="str">
        <f t="shared" si="297"/>
        <v>High</v>
      </c>
      <c r="I3799">
        <v>3</v>
      </c>
      <c r="J3799" t="str" cm="1">
        <f t="array" ref="J3799">_xlfn.IFS(I3799&lt;=3,"small",I3799&lt;=6,"Medium",I3799&lt;=9,"Large")</f>
        <v>small</v>
      </c>
      <c r="K3799" s="36">
        <v>45353</v>
      </c>
      <c r="L3799" s="36">
        <v>45354</v>
      </c>
      <c r="M3799" t="s">
        <v>603</v>
      </c>
      <c r="N3799" t="s">
        <v>604</v>
      </c>
      <c r="O3799" s="37" t="str">
        <f t="shared" si="298"/>
        <v>Digital Payment</v>
      </c>
      <c r="P3799">
        <v>344.58</v>
      </c>
      <c r="Q3799" s="37" t="str">
        <f>IF(P3799&gt;500,"High","low")</f>
        <v>low</v>
      </c>
      <c r="R3799" s="37" t="str">
        <f t="shared" si="299"/>
        <v>AVERAGE</v>
      </c>
      <c r="S3799" t="s">
        <v>628</v>
      </c>
    </row>
    <row r="3800" spans="1:19" x14ac:dyDescent="0.2">
      <c r="A3800" t="s">
        <v>4411</v>
      </c>
      <c r="B3800" t="s">
        <v>75</v>
      </c>
      <c r="C3800" t="s">
        <v>597</v>
      </c>
      <c r="D3800">
        <v>4335.6400000000003</v>
      </c>
      <c r="E3800" s="37" t="str">
        <f t="shared" si="295"/>
        <v>Excellent Order</v>
      </c>
      <c r="F3800">
        <v>0.13</v>
      </c>
      <c r="G3800" s="37" t="str">
        <f t="shared" si="296"/>
        <v>Normal Discount</v>
      </c>
      <c r="H3800" s="37" t="str">
        <f t="shared" si="297"/>
        <v>Low</v>
      </c>
      <c r="I3800">
        <v>5</v>
      </c>
      <c r="J3800" t="str" cm="1">
        <f t="array" ref="J3800">_xlfn.IFS(I3800&lt;=3,"small",I3800&lt;=6,"Medium",I3800&lt;=9,"Large")</f>
        <v>Medium</v>
      </c>
      <c r="K3800" s="36">
        <v>45159</v>
      </c>
      <c r="L3800" s="36">
        <v>45161</v>
      </c>
      <c r="M3800" t="s">
        <v>603</v>
      </c>
      <c r="N3800" t="s">
        <v>599</v>
      </c>
      <c r="O3800" s="37" t="str">
        <f t="shared" si="298"/>
        <v>Digital Payment</v>
      </c>
      <c r="P3800">
        <v>1245.42</v>
      </c>
      <c r="Q3800" s="37" t="str">
        <f>IF(P3800&gt;500,"High","low")</f>
        <v>High</v>
      </c>
      <c r="R3800" s="37" t="str">
        <f t="shared" si="299"/>
        <v>Excellent</v>
      </c>
      <c r="S3800" t="s">
        <v>605</v>
      </c>
    </row>
    <row r="3801" spans="1:19" x14ac:dyDescent="0.2">
      <c r="A3801" t="s">
        <v>4412</v>
      </c>
      <c r="B3801" t="s">
        <v>75</v>
      </c>
      <c r="C3801" t="s">
        <v>607</v>
      </c>
      <c r="D3801">
        <v>2948.96</v>
      </c>
      <c r="E3801" s="37" t="str">
        <f t="shared" si="295"/>
        <v xml:space="preserve"> </v>
      </c>
      <c r="F3801">
        <v>0.15</v>
      </c>
      <c r="G3801" s="37" t="str">
        <f t="shared" si="296"/>
        <v>Normal Discount</v>
      </c>
      <c r="H3801" s="37" t="str">
        <f t="shared" si="297"/>
        <v>Low</v>
      </c>
      <c r="I3801">
        <v>4</v>
      </c>
      <c r="J3801" t="str" cm="1">
        <f t="array" ref="J3801">_xlfn.IFS(I3801&lt;=3,"small",I3801&lt;=6,"Medium",I3801&lt;=9,"Large")</f>
        <v>Medium</v>
      </c>
      <c r="K3801" s="36">
        <v>45577</v>
      </c>
      <c r="L3801" s="36">
        <v>45583</v>
      </c>
      <c r="M3801" t="s">
        <v>603</v>
      </c>
      <c r="N3801" t="s">
        <v>604</v>
      </c>
      <c r="O3801" s="37" t="str">
        <f t="shared" si="298"/>
        <v>Digital Payment</v>
      </c>
      <c r="P3801">
        <v>502.82</v>
      </c>
      <c r="Q3801" s="37" t="str">
        <f>IF(P3801&gt;500,"High","low")</f>
        <v>High</v>
      </c>
      <c r="R3801" s="37" t="str">
        <f t="shared" si="299"/>
        <v>Good</v>
      </c>
      <c r="S3801" t="s">
        <v>605</v>
      </c>
    </row>
    <row r="3802" spans="1:19" x14ac:dyDescent="0.2">
      <c r="A3802" t="s">
        <v>4413</v>
      </c>
      <c r="B3802" t="s">
        <v>67</v>
      </c>
      <c r="C3802" t="s">
        <v>597</v>
      </c>
      <c r="D3802">
        <v>3673.67</v>
      </c>
      <c r="E3802" s="37" t="str">
        <f t="shared" si="295"/>
        <v xml:space="preserve"> </v>
      </c>
      <c r="F3802">
        <v>0.35</v>
      </c>
      <c r="G3802" s="37" t="str">
        <f t="shared" si="296"/>
        <v>Heavy Discount</v>
      </c>
      <c r="H3802" s="37" t="str">
        <f t="shared" si="297"/>
        <v>Medium</v>
      </c>
      <c r="I3802">
        <v>3</v>
      </c>
      <c r="J3802" t="str" cm="1">
        <f t="array" ref="J3802">_xlfn.IFS(I3802&lt;=3,"small",I3802&lt;=6,"Medium",I3802&lt;=9,"Large")</f>
        <v>small</v>
      </c>
      <c r="K3802" s="36">
        <v>45590</v>
      </c>
      <c r="L3802" s="36">
        <v>45597</v>
      </c>
      <c r="M3802" t="s">
        <v>603</v>
      </c>
      <c r="N3802" t="s">
        <v>608</v>
      </c>
      <c r="O3802" s="37" t="str">
        <f t="shared" si="298"/>
        <v>Cash Payment</v>
      </c>
      <c r="P3802">
        <v>898.48</v>
      </c>
      <c r="Q3802" s="37" t="str">
        <f>IF(P3802&gt;500,"High","low")</f>
        <v>High</v>
      </c>
      <c r="R3802" s="37" t="str">
        <f t="shared" si="299"/>
        <v>Good</v>
      </c>
      <c r="S3802" t="s">
        <v>609</v>
      </c>
    </row>
    <row r="3803" spans="1:19" x14ac:dyDescent="0.2">
      <c r="A3803" t="s">
        <v>4414</v>
      </c>
      <c r="B3803" t="s">
        <v>67</v>
      </c>
      <c r="C3803" t="s">
        <v>614</v>
      </c>
      <c r="D3803">
        <v>1259.8599999999999</v>
      </c>
      <c r="E3803" s="37" t="str">
        <f t="shared" si="295"/>
        <v xml:space="preserve"> </v>
      </c>
      <c r="F3803">
        <v>0.04</v>
      </c>
      <c r="G3803" s="37" t="str">
        <f t="shared" si="296"/>
        <v>Normal Discount</v>
      </c>
      <c r="H3803" s="37" t="str">
        <f t="shared" si="297"/>
        <v>Low</v>
      </c>
      <c r="I3803">
        <v>9</v>
      </c>
      <c r="J3803" t="str" cm="1">
        <f t="array" ref="J3803">_xlfn.IFS(I3803&lt;=3,"small",I3803&lt;=6,"Medium",I3803&lt;=9,"Large")</f>
        <v>Large</v>
      </c>
      <c r="K3803" s="36">
        <v>45397</v>
      </c>
      <c r="L3803" s="36">
        <v>45403</v>
      </c>
      <c r="M3803" t="s">
        <v>603</v>
      </c>
      <c r="N3803" t="s">
        <v>608</v>
      </c>
      <c r="O3803" s="37" t="str">
        <f t="shared" si="298"/>
        <v>Cash Payment</v>
      </c>
      <c r="P3803">
        <v>121.87</v>
      </c>
      <c r="Q3803" s="37" t="str">
        <f>IF(P3803&gt;500,"High","low")</f>
        <v>low</v>
      </c>
      <c r="R3803" s="37" t="str">
        <f t="shared" si="299"/>
        <v>AVERAGE</v>
      </c>
      <c r="S3803" t="s">
        <v>609</v>
      </c>
    </row>
    <row r="3804" spans="1:19" x14ac:dyDescent="0.2">
      <c r="A3804" t="s">
        <v>4415</v>
      </c>
      <c r="B3804" t="s">
        <v>83</v>
      </c>
      <c r="C3804" t="s">
        <v>617</v>
      </c>
      <c r="D3804">
        <v>1393.96</v>
      </c>
      <c r="E3804" s="37" t="str">
        <f t="shared" si="295"/>
        <v xml:space="preserve"> </v>
      </c>
      <c r="F3804">
        <v>0.45</v>
      </c>
      <c r="G3804" s="37" t="str">
        <f t="shared" si="296"/>
        <v>Heavy Discount</v>
      </c>
      <c r="H3804" s="37" t="str">
        <f t="shared" si="297"/>
        <v>High</v>
      </c>
      <c r="I3804">
        <v>4</v>
      </c>
      <c r="J3804" t="str" cm="1">
        <f t="array" ref="J3804">_xlfn.IFS(I3804&lt;=3,"small",I3804&lt;=6,"Medium",I3804&lt;=9,"Large")</f>
        <v>Medium</v>
      </c>
      <c r="K3804" s="36">
        <v>45335</v>
      </c>
      <c r="L3804" s="36">
        <v>45342</v>
      </c>
      <c r="M3804" t="s">
        <v>598</v>
      </c>
      <c r="N3804" t="s">
        <v>604</v>
      </c>
      <c r="O3804" s="37" t="str">
        <f t="shared" si="298"/>
        <v>Digital Payment</v>
      </c>
      <c r="P3804">
        <v>273.83</v>
      </c>
      <c r="Q3804" s="37" t="str">
        <f>IF(P3804&gt;500,"High","low")</f>
        <v>low</v>
      </c>
      <c r="R3804" s="37" t="str">
        <f t="shared" si="299"/>
        <v>AVERAGE</v>
      </c>
      <c r="S3804" t="s">
        <v>620</v>
      </c>
    </row>
    <row r="3805" spans="1:19" x14ac:dyDescent="0.2">
      <c r="A3805" t="s">
        <v>4416</v>
      </c>
      <c r="B3805" t="s">
        <v>83</v>
      </c>
      <c r="C3805" t="s">
        <v>617</v>
      </c>
      <c r="D3805">
        <v>1204.1500000000001</v>
      </c>
      <c r="E3805" s="37" t="str">
        <f t="shared" si="295"/>
        <v xml:space="preserve"> </v>
      </c>
      <c r="F3805">
        <v>0.06</v>
      </c>
      <c r="G3805" s="37" t="str">
        <f t="shared" si="296"/>
        <v>Normal Discount</v>
      </c>
      <c r="H3805" s="37" t="str">
        <f t="shared" si="297"/>
        <v>Low</v>
      </c>
      <c r="I3805">
        <v>7</v>
      </c>
      <c r="J3805" t="str" cm="1">
        <f t="array" ref="J3805">_xlfn.IFS(I3805&lt;=3,"small",I3805&lt;=6,"Medium",I3805&lt;=9,"Large")</f>
        <v>Large</v>
      </c>
      <c r="K3805" s="36">
        <v>45155</v>
      </c>
      <c r="L3805" s="36">
        <v>45160</v>
      </c>
      <c r="M3805" t="s">
        <v>612</v>
      </c>
      <c r="N3805" t="s">
        <v>604</v>
      </c>
      <c r="O3805" s="37" t="str">
        <f t="shared" si="298"/>
        <v>Digital Payment</v>
      </c>
      <c r="P3805">
        <v>197.4</v>
      </c>
      <c r="Q3805" s="37" t="str">
        <f>IF(P3805&gt;500,"High","low")</f>
        <v>low</v>
      </c>
      <c r="R3805" s="37" t="str">
        <f t="shared" si="299"/>
        <v>AVERAGE</v>
      </c>
      <c r="S3805" t="s">
        <v>628</v>
      </c>
    </row>
    <row r="3806" spans="1:19" x14ac:dyDescent="0.2">
      <c r="A3806" t="s">
        <v>4417</v>
      </c>
      <c r="B3806" t="s">
        <v>83</v>
      </c>
      <c r="C3806" t="s">
        <v>597</v>
      </c>
      <c r="D3806">
        <v>3471.1</v>
      </c>
      <c r="E3806" s="37" t="str">
        <f t="shared" si="295"/>
        <v xml:space="preserve"> </v>
      </c>
      <c r="F3806">
        <v>0.37</v>
      </c>
      <c r="G3806" s="37" t="str">
        <f t="shared" si="296"/>
        <v>Heavy Discount</v>
      </c>
      <c r="H3806" s="37" t="str">
        <f t="shared" si="297"/>
        <v>Medium</v>
      </c>
      <c r="I3806">
        <v>5</v>
      </c>
      <c r="J3806" t="str" cm="1">
        <f t="array" ref="J3806">_xlfn.IFS(I3806&lt;=3,"small",I3806&lt;=6,"Medium",I3806&lt;=9,"Large")</f>
        <v>Medium</v>
      </c>
      <c r="K3806" s="36">
        <v>45515</v>
      </c>
      <c r="L3806" s="36">
        <v>45516</v>
      </c>
      <c r="M3806" t="s">
        <v>612</v>
      </c>
      <c r="N3806" t="s">
        <v>599</v>
      </c>
      <c r="O3806" s="37" t="str">
        <f t="shared" si="298"/>
        <v>Digital Payment</v>
      </c>
      <c r="P3806">
        <v>372.9</v>
      </c>
      <c r="Q3806" s="37" t="str">
        <f>IF(P3806&gt;500,"High","low")</f>
        <v>low</v>
      </c>
      <c r="R3806" s="37" t="str">
        <f t="shared" si="299"/>
        <v>AVERAGE</v>
      </c>
      <c r="S3806" t="s">
        <v>600</v>
      </c>
    </row>
    <row r="3807" spans="1:19" x14ac:dyDescent="0.2">
      <c r="A3807" t="s">
        <v>4418</v>
      </c>
      <c r="B3807" t="s">
        <v>83</v>
      </c>
      <c r="C3807" t="s">
        <v>607</v>
      </c>
      <c r="D3807">
        <v>1810.3</v>
      </c>
      <c r="E3807" s="37" t="str">
        <f t="shared" si="295"/>
        <v xml:space="preserve"> </v>
      </c>
      <c r="F3807">
        <v>0.15</v>
      </c>
      <c r="G3807" s="37" t="str">
        <f t="shared" si="296"/>
        <v>Normal Discount</v>
      </c>
      <c r="H3807" s="37" t="str">
        <f t="shared" si="297"/>
        <v>Low</v>
      </c>
      <c r="I3807">
        <v>7</v>
      </c>
      <c r="J3807" t="str" cm="1">
        <f t="array" ref="J3807">_xlfn.IFS(I3807&lt;=3,"small",I3807&lt;=6,"Medium",I3807&lt;=9,"Large")</f>
        <v>Large</v>
      </c>
      <c r="K3807" s="36">
        <v>45216</v>
      </c>
      <c r="L3807" s="36">
        <v>45217</v>
      </c>
      <c r="M3807" t="s">
        <v>612</v>
      </c>
      <c r="N3807" t="s">
        <v>608</v>
      </c>
      <c r="O3807" s="37" t="str">
        <f t="shared" si="298"/>
        <v>Cash Payment</v>
      </c>
      <c r="P3807">
        <v>96.67</v>
      </c>
      <c r="Q3807" s="37" t="str">
        <f>IF(P3807&gt;500,"High","low")</f>
        <v>low</v>
      </c>
      <c r="R3807" s="37" t="str">
        <f t="shared" si="299"/>
        <v>AVERAGE</v>
      </c>
      <c r="S3807" t="s">
        <v>600</v>
      </c>
    </row>
    <row r="3808" spans="1:19" x14ac:dyDescent="0.2">
      <c r="A3808" t="s">
        <v>4419</v>
      </c>
      <c r="B3808" t="s">
        <v>83</v>
      </c>
      <c r="C3808" t="s">
        <v>614</v>
      </c>
      <c r="D3808">
        <v>2084.91</v>
      </c>
      <c r="E3808" s="37" t="str">
        <f t="shared" si="295"/>
        <v xml:space="preserve"> </v>
      </c>
      <c r="F3808">
        <v>0.16</v>
      </c>
      <c r="G3808" s="37" t="str">
        <f t="shared" si="296"/>
        <v>Normal Discount</v>
      </c>
      <c r="H3808" s="37" t="str">
        <f t="shared" si="297"/>
        <v>Low</v>
      </c>
      <c r="I3808">
        <v>5</v>
      </c>
      <c r="J3808" t="str" cm="1">
        <f t="array" ref="J3808">_xlfn.IFS(I3808&lt;=3,"small",I3808&lt;=6,"Medium",I3808&lt;=9,"Large")</f>
        <v>Medium</v>
      </c>
      <c r="K3808" s="36">
        <v>45300</v>
      </c>
      <c r="L3808" s="36">
        <v>45301</v>
      </c>
      <c r="M3808" t="s">
        <v>598</v>
      </c>
      <c r="N3808" t="s">
        <v>599</v>
      </c>
      <c r="O3808" s="37" t="str">
        <f t="shared" si="298"/>
        <v>Digital Payment</v>
      </c>
      <c r="P3808">
        <v>412.36</v>
      </c>
      <c r="Q3808" s="37" t="str">
        <f>IF(P3808&gt;500,"High","low")</f>
        <v>low</v>
      </c>
      <c r="R3808" s="37" t="str">
        <f t="shared" si="299"/>
        <v>AVERAGE</v>
      </c>
      <c r="S3808" t="s">
        <v>620</v>
      </c>
    </row>
    <row r="3809" spans="1:19" x14ac:dyDescent="0.2">
      <c r="A3809" t="s">
        <v>4420</v>
      </c>
      <c r="B3809" t="s">
        <v>67</v>
      </c>
      <c r="C3809" t="s">
        <v>602</v>
      </c>
      <c r="D3809">
        <v>3574.7</v>
      </c>
      <c r="E3809" s="37" t="str">
        <f t="shared" si="295"/>
        <v xml:space="preserve"> </v>
      </c>
      <c r="F3809">
        <v>7.0000000000000007E-2</v>
      </c>
      <c r="G3809" s="37" t="str">
        <f t="shared" si="296"/>
        <v>Normal Discount</v>
      </c>
      <c r="H3809" s="37" t="str">
        <f t="shared" si="297"/>
        <v>Low</v>
      </c>
      <c r="I3809">
        <v>3</v>
      </c>
      <c r="J3809" t="str" cm="1">
        <f t="array" ref="J3809">_xlfn.IFS(I3809&lt;=3,"small",I3809&lt;=6,"Medium",I3809&lt;=9,"Large")</f>
        <v>small</v>
      </c>
      <c r="K3809" s="36">
        <v>45126</v>
      </c>
      <c r="L3809" s="36">
        <v>45133</v>
      </c>
      <c r="M3809" t="s">
        <v>612</v>
      </c>
      <c r="N3809" t="s">
        <v>604</v>
      </c>
      <c r="O3809" s="37" t="str">
        <f t="shared" si="298"/>
        <v>Digital Payment</v>
      </c>
      <c r="P3809">
        <v>901.87</v>
      </c>
      <c r="Q3809" s="37" t="str">
        <f>IF(P3809&gt;500,"High","low")</f>
        <v>High</v>
      </c>
      <c r="R3809" s="37" t="str">
        <f t="shared" si="299"/>
        <v>Good</v>
      </c>
      <c r="S3809" t="s">
        <v>628</v>
      </c>
    </row>
    <row r="3810" spans="1:19" x14ac:dyDescent="0.2">
      <c r="A3810" t="s">
        <v>4421</v>
      </c>
      <c r="B3810" t="s">
        <v>75</v>
      </c>
      <c r="C3810" t="s">
        <v>617</v>
      </c>
      <c r="D3810">
        <v>4861.8100000000004</v>
      </c>
      <c r="E3810" s="37" t="str">
        <f t="shared" si="295"/>
        <v>Excellent Order</v>
      </c>
      <c r="F3810">
        <v>0.32</v>
      </c>
      <c r="G3810" s="37" t="str">
        <f t="shared" si="296"/>
        <v>Heavy Discount</v>
      </c>
      <c r="H3810" s="37" t="str">
        <f t="shared" si="297"/>
        <v>Medium</v>
      </c>
      <c r="I3810">
        <v>6</v>
      </c>
      <c r="J3810" t="str" cm="1">
        <f t="array" ref="J3810">_xlfn.IFS(I3810&lt;=3,"small",I3810&lt;=6,"Medium",I3810&lt;=9,"Large")</f>
        <v>Medium</v>
      </c>
      <c r="K3810" s="36">
        <v>45059</v>
      </c>
      <c r="L3810" s="36">
        <v>45063</v>
      </c>
      <c r="M3810" t="s">
        <v>612</v>
      </c>
      <c r="N3810" t="s">
        <v>599</v>
      </c>
      <c r="O3810" s="37" t="str">
        <f t="shared" si="298"/>
        <v>Digital Payment</v>
      </c>
      <c r="P3810">
        <v>1224.1500000000001</v>
      </c>
      <c r="Q3810" s="37" t="str">
        <f>IF(P3810&gt;500,"High","low")</f>
        <v>High</v>
      </c>
      <c r="R3810" s="37" t="str">
        <f t="shared" si="299"/>
        <v>Excellent</v>
      </c>
      <c r="S3810" t="s">
        <v>628</v>
      </c>
    </row>
    <row r="3811" spans="1:19" x14ac:dyDescent="0.2">
      <c r="A3811" t="s">
        <v>4422</v>
      </c>
      <c r="B3811" t="s">
        <v>83</v>
      </c>
      <c r="C3811" t="s">
        <v>597</v>
      </c>
      <c r="D3811">
        <v>893.19</v>
      </c>
      <c r="E3811" s="37" t="str">
        <f t="shared" si="295"/>
        <v xml:space="preserve"> </v>
      </c>
      <c r="F3811">
        <v>0.4</v>
      </c>
      <c r="G3811" s="37" t="str">
        <f t="shared" si="296"/>
        <v>Heavy Discount</v>
      </c>
      <c r="H3811" s="37" t="str">
        <f t="shared" si="297"/>
        <v>Medium</v>
      </c>
      <c r="I3811">
        <v>9</v>
      </c>
      <c r="J3811" t="str" cm="1">
        <f t="array" ref="J3811">_xlfn.IFS(I3811&lt;=3,"small",I3811&lt;=6,"Medium",I3811&lt;=9,"Large")</f>
        <v>Large</v>
      </c>
      <c r="K3811" s="36">
        <v>45513</v>
      </c>
      <c r="L3811" s="36">
        <v>45516</v>
      </c>
      <c r="M3811" t="s">
        <v>598</v>
      </c>
      <c r="N3811" t="s">
        <v>608</v>
      </c>
      <c r="O3811" s="37" t="str">
        <f t="shared" si="298"/>
        <v>Cash Payment</v>
      </c>
      <c r="P3811">
        <v>131.63999999999999</v>
      </c>
      <c r="Q3811" s="37" t="str">
        <f>IF(P3811&gt;500,"High","low")</f>
        <v>low</v>
      </c>
      <c r="R3811" s="37" t="str">
        <f t="shared" si="299"/>
        <v>AVERAGE</v>
      </c>
      <c r="S3811" t="s">
        <v>600</v>
      </c>
    </row>
    <row r="3812" spans="1:19" x14ac:dyDescent="0.2">
      <c r="A3812" t="s">
        <v>4423</v>
      </c>
      <c r="B3812" t="s">
        <v>83</v>
      </c>
      <c r="C3812" t="s">
        <v>607</v>
      </c>
      <c r="D3812">
        <v>407.11</v>
      </c>
      <c r="E3812" s="37" t="str">
        <f t="shared" si="295"/>
        <v xml:space="preserve"> </v>
      </c>
      <c r="F3812">
        <v>0.48</v>
      </c>
      <c r="G3812" s="37" t="str">
        <f t="shared" si="296"/>
        <v>Heavy Discount</v>
      </c>
      <c r="H3812" s="37" t="str">
        <f t="shared" si="297"/>
        <v>High</v>
      </c>
      <c r="I3812">
        <v>6</v>
      </c>
      <c r="J3812" t="str" cm="1">
        <f t="array" ref="J3812">_xlfn.IFS(I3812&lt;=3,"small",I3812&lt;=6,"Medium",I3812&lt;=9,"Large")</f>
        <v>Medium</v>
      </c>
      <c r="K3812" s="36">
        <v>45248</v>
      </c>
      <c r="L3812" s="36">
        <v>45253</v>
      </c>
      <c r="M3812" t="s">
        <v>612</v>
      </c>
      <c r="N3812" t="s">
        <v>604</v>
      </c>
      <c r="O3812" s="37" t="str">
        <f t="shared" si="298"/>
        <v>Digital Payment</v>
      </c>
      <c r="P3812">
        <v>38.76</v>
      </c>
      <c r="Q3812" s="37" t="str">
        <f>IF(P3812&gt;500,"High","low")</f>
        <v>low</v>
      </c>
      <c r="R3812" s="37" t="str">
        <f t="shared" si="299"/>
        <v>AVERAGE</v>
      </c>
      <c r="S3812" t="s">
        <v>628</v>
      </c>
    </row>
    <row r="3813" spans="1:19" x14ac:dyDescent="0.2">
      <c r="A3813" t="s">
        <v>4424</v>
      </c>
      <c r="B3813" t="s">
        <v>75</v>
      </c>
      <c r="C3813" t="s">
        <v>607</v>
      </c>
      <c r="D3813">
        <v>1054.75</v>
      </c>
      <c r="E3813" s="37" t="str">
        <f t="shared" si="295"/>
        <v xml:space="preserve"> </v>
      </c>
      <c r="F3813">
        <v>0.17</v>
      </c>
      <c r="G3813" s="37" t="str">
        <f t="shared" si="296"/>
        <v>Normal Discount</v>
      </c>
      <c r="H3813" s="37" t="str">
        <f t="shared" si="297"/>
        <v>Low</v>
      </c>
      <c r="I3813">
        <v>4</v>
      </c>
      <c r="J3813" t="str" cm="1">
        <f t="array" ref="J3813">_xlfn.IFS(I3813&lt;=3,"small",I3813&lt;=6,"Medium",I3813&lt;=9,"Large")</f>
        <v>Medium</v>
      </c>
      <c r="K3813" s="36">
        <v>45620</v>
      </c>
      <c r="L3813" s="36">
        <v>45624</v>
      </c>
      <c r="M3813" t="s">
        <v>598</v>
      </c>
      <c r="N3813" t="s">
        <v>599</v>
      </c>
      <c r="O3813" s="37" t="str">
        <f t="shared" si="298"/>
        <v>Digital Payment</v>
      </c>
      <c r="P3813">
        <v>301.48</v>
      </c>
      <c r="Q3813" s="37" t="str">
        <f>IF(P3813&gt;500,"High","low")</f>
        <v>low</v>
      </c>
      <c r="R3813" s="37" t="str">
        <f t="shared" si="299"/>
        <v>AVERAGE</v>
      </c>
      <c r="S3813" t="s">
        <v>609</v>
      </c>
    </row>
    <row r="3814" spans="1:19" x14ac:dyDescent="0.2">
      <c r="A3814" t="s">
        <v>4425</v>
      </c>
      <c r="B3814" t="s">
        <v>83</v>
      </c>
      <c r="C3814" t="s">
        <v>614</v>
      </c>
      <c r="D3814">
        <v>3701.31</v>
      </c>
      <c r="E3814" s="37" t="str">
        <f t="shared" si="295"/>
        <v xml:space="preserve"> </v>
      </c>
      <c r="F3814">
        <v>0.31</v>
      </c>
      <c r="G3814" s="37" t="str">
        <f t="shared" si="296"/>
        <v>Heavy Discount</v>
      </c>
      <c r="H3814" s="37" t="str">
        <f t="shared" si="297"/>
        <v>Medium</v>
      </c>
      <c r="I3814">
        <v>1</v>
      </c>
      <c r="J3814" t="str" cm="1">
        <f t="array" ref="J3814">_xlfn.IFS(I3814&lt;=3,"small",I3814&lt;=6,"Medium",I3814&lt;=9,"Large")</f>
        <v>small</v>
      </c>
      <c r="K3814" s="36">
        <v>45514</v>
      </c>
      <c r="L3814" s="36">
        <v>45515</v>
      </c>
      <c r="M3814" t="s">
        <v>612</v>
      </c>
      <c r="N3814" t="s">
        <v>599</v>
      </c>
      <c r="O3814" s="37" t="str">
        <f t="shared" si="298"/>
        <v>Digital Payment</v>
      </c>
      <c r="P3814">
        <v>538.28</v>
      </c>
      <c r="Q3814" s="37" t="str">
        <f>IF(P3814&gt;500,"High","low")</f>
        <v>High</v>
      </c>
      <c r="R3814" s="37" t="str">
        <f t="shared" si="299"/>
        <v>Good</v>
      </c>
      <c r="S3814" t="s">
        <v>628</v>
      </c>
    </row>
    <row r="3815" spans="1:19" x14ac:dyDescent="0.2">
      <c r="A3815" t="s">
        <v>4426</v>
      </c>
      <c r="B3815" t="s">
        <v>75</v>
      </c>
      <c r="C3815" t="s">
        <v>617</v>
      </c>
      <c r="D3815">
        <v>1053.67</v>
      </c>
      <c r="E3815" s="37" t="str">
        <f t="shared" si="295"/>
        <v xml:space="preserve"> </v>
      </c>
      <c r="F3815">
        <v>0.21</v>
      </c>
      <c r="G3815" s="37" t="str">
        <f t="shared" si="296"/>
        <v>Normal Discount</v>
      </c>
      <c r="H3815" s="37" t="str">
        <f t="shared" si="297"/>
        <v>Medium</v>
      </c>
      <c r="I3815">
        <v>3</v>
      </c>
      <c r="J3815" t="str" cm="1">
        <f t="array" ref="J3815">_xlfn.IFS(I3815&lt;=3,"small",I3815&lt;=6,"Medium",I3815&lt;=9,"Large")</f>
        <v>small</v>
      </c>
      <c r="K3815" s="36">
        <v>45262</v>
      </c>
      <c r="L3815" s="36">
        <v>45268</v>
      </c>
      <c r="M3815" t="s">
        <v>603</v>
      </c>
      <c r="N3815" t="s">
        <v>599</v>
      </c>
      <c r="O3815" s="37" t="str">
        <f t="shared" si="298"/>
        <v>Digital Payment</v>
      </c>
      <c r="P3815">
        <v>144.30000000000001</v>
      </c>
      <c r="Q3815" s="37" t="str">
        <f>IF(P3815&gt;500,"High","low")</f>
        <v>low</v>
      </c>
      <c r="R3815" s="37" t="str">
        <f t="shared" si="299"/>
        <v>AVERAGE</v>
      </c>
      <c r="S3815" t="s">
        <v>628</v>
      </c>
    </row>
    <row r="3816" spans="1:19" x14ac:dyDescent="0.2">
      <c r="A3816" t="s">
        <v>4427</v>
      </c>
      <c r="B3816" t="s">
        <v>75</v>
      </c>
      <c r="C3816" t="s">
        <v>614</v>
      </c>
      <c r="D3816">
        <v>2963.33</v>
      </c>
      <c r="E3816" s="37" t="str">
        <f t="shared" si="295"/>
        <v xml:space="preserve"> </v>
      </c>
      <c r="F3816">
        <v>0.28000000000000003</v>
      </c>
      <c r="G3816" s="37" t="str">
        <f t="shared" si="296"/>
        <v>Normal Discount</v>
      </c>
      <c r="H3816" s="37" t="str">
        <f t="shared" si="297"/>
        <v>Medium</v>
      </c>
      <c r="I3816">
        <v>3</v>
      </c>
      <c r="J3816" t="str" cm="1">
        <f t="array" ref="J3816">_xlfn.IFS(I3816&lt;=3,"small",I3816&lt;=6,"Medium",I3816&lt;=9,"Large")</f>
        <v>small</v>
      </c>
      <c r="K3816" s="36">
        <v>45105</v>
      </c>
      <c r="L3816" s="36">
        <v>45110</v>
      </c>
      <c r="M3816" t="s">
        <v>603</v>
      </c>
      <c r="N3816" t="s">
        <v>604</v>
      </c>
      <c r="O3816" s="37" t="str">
        <f t="shared" si="298"/>
        <v>Digital Payment</v>
      </c>
      <c r="P3816">
        <v>603.66</v>
      </c>
      <c r="Q3816" s="37" t="str">
        <f>IF(P3816&gt;500,"High","low")</f>
        <v>High</v>
      </c>
      <c r="R3816" s="37" t="str">
        <f t="shared" si="299"/>
        <v>Good</v>
      </c>
      <c r="S3816" t="s">
        <v>605</v>
      </c>
    </row>
    <row r="3817" spans="1:19" x14ac:dyDescent="0.2">
      <c r="A3817" t="s">
        <v>4428</v>
      </c>
      <c r="B3817" t="s">
        <v>67</v>
      </c>
      <c r="C3817" t="s">
        <v>602</v>
      </c>
      <c r="D3817">
        <v>2992.55</v>
      </c>
      <c r="E3817" s="37" t="str">
        <f t="shared" si="295"/>
        <v xml:space="preserve"> </v>
      </c>
      <c r="F3817">
        <v>0.08</v>
      </c>
      <c r="G3817" s="37" t="str">
        <f t="shared" si="296"/>
        <v>Normal Discount</v>
      </c>
      <c r="H3817" s="37" t="str">
        <f t="shared" si="297"/>
        <v>Low</v>
      </c>
      <c r="I3817">
        <v>2</v>
      </c>
      <c r="J3817" t="str" cm="1">
        <f t="array" ref="J3817">_xlfn.IFS(I3817&lt;=3,"small",I3817&lt;=6,"Medium",I3817&lt;=9,"Large")</f>
        <v>small</v>
      </c>
      <c r="K3817" s="36">
        <v>45590</v>
      </c>
      <c r="L3817" s="36">
        <v>45594</v>
      </c>
      <c r="M3817" t="s">
        <v>598</v>
      </c>
      <c r="N3817" t="s">
        <v>599</v>
      </c>
      <c r="O3817" s="37" t="str">
        <f t="shared" si="298"/>
        <v>Digital Payment</v>
      </c>
      <c r="P3817">
        <v>478.87</v>
      </c>
      <c r="Q3817" s="37" t="str">
        <f>IF(P3817&gt;500,"High","low")</f>
        <v>low</v>
      </c>
      <c r="R3817" s="37" t="str">
        <f t="shared" si="299"/>
        <v>AVERAGE</v>
      </c>
      <c r="S3817" t="s">
        <v>600</v>
      </c>
    </row>
    <row r="3818" spans="1:19" x14ac:dyDescent="0.2">
      <c r="A3818" t="s">
        <v>4429</v>
      </c>
      <c r="B3818" t="s">
        <v>90</v>
      </c>
      <c r="C3818" t="s">
        <v>602</v>
      </c>
      <c r="D3818">
        <v>1542.67</v>
      </c>
      <c r="E3818" s="37" t="str">
        <f t="shared" si="295"/>
        <v xml:space="preserve"> </v>
      </c>
      <c r="F3818">
        <v>0.28999999999999998</v>
      </c>
      <c r="G3818" s="37" t="str">
        <f t="shared" si="296"/>
        <v>Normal Discount</v>
      </c>
      <c r="H3818" s="37" t="str">
        <f t="shared" si="297"/>
        <v>Medium</v>
      </c>
      <c r="I3818">
        <v>2</v>
      </c>
      <c r="J3818" t="str" cm="1">
        <f t="array" ref="J3818">_xlfn.IFS(I3818&lt;=3,"small",I3818&lt;=6,"Medium",I3818&lt;=9,"Large")</f>
        <v>small</v>
      </c>
      <c r="K3818" s="36">
        <v>45360</v>
      </c>
      <c r="L3818" s="36">
        <v>45363</v>
      </c>
      <c r="M3818" t="s">
        <v>598</v>
      </c>
      <c r="N3818" t="s">
        <v>604</v>
      </c>
      <c r="O3818" s="37" t="str">
        <f t="shared" si="298"/>
        <v>Digital Payment</v>
      </c>
      <c r="P3818">
        <v>209.75</v>
      </c>
      <c r="Q3818" s="37" t="str">
        <f>IF(P3818&gt;500,"High","low")</f>
        <v>low</v>
      </c>
      <c r="R3818" s="37" t="str">
        <f t="shared" si="299"/>
        <v>AVERAGE</v>
      </c>
      <c r="S3818" t="s">
        <v>628</v>
      </c>
    </row>
    <row r="3819" spans="1:19" x14ac:dyDescent="0.2">
      <c r="A3819" t="s">
        <v>4430</v>
      </c>
      <c r="B3819" t="s">
        <v>67</v>
      </c>
      <c r="C3819" t="s">
        <v>602</v>
      </c>
      <c r="D3819">
        <v>436.76</v>
      </c>
      <c r="E3819" s="37" t="str">
        <f t="shared" si="295"/>
        <v xml:space="preserve"> </v>
      </c>
      <c r="F3819">
        <v>0.42</v>
      </c>
      <c r="G3819" s="37" t="str">
        <f t="shared" si="296"/>
        <v>Heavy Discount</v>
      </c>
      <c r="H3819" s="37" t="str">
        <f t="shared" si="297"/>
        <v>High</v>
      </c>
      <c r="I3819">
        <v>8</v>
      </c>
      <c r="J3819" t="str" cm="1">
        <f t="array" ref="J3819">_xlfn.IFS(I3819&lt;=3,"small",I3819&lt;=6,"Medium",I3819&lt;=9,"Large")</f>
        <v>Large</v>
      </c>
      <c r="K3819" s="36">
        <v>45364</v>
      </c>
      <c r="L3819" s="36">
        <v>45368</v>
      </c>
      <c r="M3819" t="s">
        <v>598</v>
      </c>
      <c r="N3819" t="s">
        <v>608</v>
      </c>
      <c r="O3819" s="37" t="str">
        <f t="shared" si="298"/>
        <v>Cash Payment</v>
      </c>
      <c r="P3819">
        <v>57.32</v>
      </c>
      <c r="Q3819" s="37" t="str">
        <f>IF(P3819&gt;500,"High","low")</f>
        <v>low</v>
      </c>
      <c r="R3819" s="37" t="str">
        <f t="shared" si="299"/>
        <v>AVERAGE</v>
      </c>
      <c r="S3819" t="s">
        <v>615</v>
      </c>
    </row>
    <row r="3820" spans="1:19" x14ac:dyDescent="0.2">
      <c r="A3820" t="s">
        <v>4431</v>
      </c>
      <c r="B3820" t="s">
        <v>90</v>
      </c>
      <c r="C3820" t="s">
        <v>607</v>
      </c>
      <c r="D3820">
        <v>2056.08</v>
      </c>
      <c r="E3820" s="37" t="str">
        <f t="shared" si="295"/>
        <v xml:space="preserve"> </v>
      </c>
      <c r="F3820">
        <v>0.43</v>
      </c>
      <c r="G3820" s="37" t="str">
        <f t="shared" si="296"/>
        <v>Heavy Discount</v>
      </c>
      <c r="H3820" s="37" t="str">
        <f t="shared" si="297"/>
        <v>High</v>
      </c>
      <c r="I3820">
        <v>8</v>
      </c>
      <c r="J3820" t="str" cm="1">
        <f t="array" ref="J3820">_xlfn.IFS(I3820&lt;=3,"small",I3820&lt;=6,"Medium",I3820&lt;=9,"Large")</f>
        <v>Large</v>
      </c>
      <c r="K3820" s="36">
        <v>45406</v>
      </c>
      <c r="L3820" s="36">
        <v>45413</v>
      </c>
      <c r="M3820" t="s">
        <v>598</v>
      </c>
      <c r="N3820" t="s">
        <v>608</v>
      </c>
      <c r="O3820" s="37" t="str">
        <f t="shared" si="298"/>
        <v>Cash Payment</v>
      </c>
      <c r="P3820">
        <v>304.43</v>
      </c>
      <c r="Q3820" s="37" t="str">
        <f>IF(P3820&gt;500,"High","low")</f>
        <v>low</v>
      </c>
      <c r="R3820" s="37" t="str">
        <f t="shared" si="299"/>
        <v>AVERAGE</v>
      </c>
      <c r="S3820" t="s">
        <v>628</v>
      </c>
    </row>
    <row r="3821" spans="1:19" x14ac:dyDescent="0.2">
      <c r="A3821" t="s">
        <v>4432</v>
      </c>
      <c r="B3821" t="s">
        <v>90</v>
      </c>
      <c r="C3821" t="s">
        <v>617</v>
      </c>
      <c r="D3821">
        <v>1015.25</v>
      </c>
      <c r="E3821" s="37" t="str">
        <f t="shared" si="295"/>
        <v xml:space="preserve"> </v>
      </c>
      <c r="F3821">
        <v>0.24</v>
      </c>
      <c r="G3821" s="37" t="str">
        <f t="shared" si="296"/>
        <v>Normal Discount</v>
      </c>
      <c r="H3821" s="37" t="str">
        <f t="shared" si="297"/>
        <v>Medium</v>
      </c>
      <c r="I3821">
        <v>3</v>
      </c>
      <c r="J3821" t="str" cm="1">
        <f t="array" ref="J3821">_xlfn.IFS(I3821&lt;=3,"small",I3821&lt;=6,"Medium",I3821&lt;=9,"Large")</f>
        <v>small</v>
      </c>
      <c r="K3821" s="36">
        <v>45394</v>
      </c>
      <c r="L3821" s="36">
        <v>45396</v>
      </c>
      <c r="M3821" t="s">
        <v>603</v>
      </c>
      <c r="N3821" t="s">
        <v>599</v>
      </c>
      <c r="O3821" s="37" t="str">
        <f t="shared" si="298"/>
        <v>Digital Payment</v>
      </c>
      <c r="P3821">
        <v>224.71</v>
      </c>
      <c r="Q3821" s="37" t="str">
        <f>IF(P3821&gt;500,"High","low")</f>
        <v>low</v>
      </c>
      <c r="R3821" s="37" t="str">
        <f t="shared" si="299"/>
        <v>AVERAGE</v>
      </c>
      <c r="S3821" t="s">
        <v>600</v>
      </c>
    </row>
    <row r="3822" spans="1:19" x14ac:dyDescent="0.2">
      <c r="A3822" t="s">
        <v>4433</v>
      </c>
      <c r="B3822" t="s">
        <v>90</v>
      </c>
      <c r="C3822" t="s">
        <v>614</v>
      </c>
      <c r="D3822">
        <v>1003.92</v>
      </c>
      <c r="E3822" s="37" t="str">
        <f t="shared" si="295"/>
        <v xml:space="preserve"> </v>
      </c>
      <c r="F3822">
        <v>0.12</v>
      </c>
      <c r="G3822" s="37" t="str">
        <f t="shared" si="296"/>
        <v>Normal Discount</v>
      </c>
      <c r="H3822" s="37" t="str">
        <f t="shared" si="297"/>
        <v>Low</v>
      </c>
      <c r="I3822">
        <v>4</v>
      </c>
      <c r="J3822" t="str" cm="1">
        <f t="array" ref="J3822">_xlfn.IFS(I3822&lt;=3,"small",I3822&lt;=6,"Medium",I3822&lt;=9,"Large")</f>
        <v>Medium</v>
      </c>
      <c r="K3822" s="36">
        <v>45423</v>
      </c>
      <c r="L3822" s="36">
        <v>45424</v>
      </c>
      <c r="M3822" t="s">
        <v>603</v>
      </c>
      <c r="N3822" t="s">
        <v>608</v>
      </c>
      <c r="O3822" s="37" t="str">
        <f t="shared" si="298"/>
        <v>Cash Payment</v>
      </c>
      <c r="P3822">
        <v>53.09</v>
      </c>
      <c r="Q3822" s="37" t="str">
        <f>IF(P3822&gt;500,"High","low")</f>
        <v>low</v>
      </c>
      <c r="R3822" s="37" t="str">
        <f t="shared" si="299"/>
        <v>AVERAGE</v>
      </c>
      <c r="S3822" t="s">
        <v>615</v>
      </c>
    </row>
    <row r="3823" spans="1:19" x14ac:dyDescent="0.2">
      <c r="A3823" t="s">
        <v>4434</v>
      </c>
      <c r="B3823" t="s">
        <v>83</v>
      </c>
      <c r="C3823" t="s">
        <v>614</v>
      </c>
      <c r="D3823">
        <v>2660.69</v>
      </c>
      <c r="E3823" s="37" t="str">
        <f t="shared" si="295"/>
        <v xml:space="preserve"> </v>
      </c>
      <c r="F3823">
        <v>0.42</v>
      </c>
      <c r="G3823" s="37" t="str">
        <f t="shared" si="296"/>
        <v>Heavy Discount</v>
      </c>
      <c r="H3823" s="37" t="str">
        <f t="shared" si="297"/>
        <v>High</v>
      </c>
      <c r="I3823">
        <v>5</v>
      </c>
      <c r="J3823" t="str" cm="1">
        <f t="array" ref="J3823">_xlfn.IFS(I3823&lt;=3,"small",I3823&lt;=6,"Medium",I3823&lt;=9,"Large")</f>
        <v>Medium</v>
      </c>
      <c r="K3823" s="36">
        <v>45345</v>
      </c>
      <c r="L3823" s="36">
        <v>45349</v>
      </c>
      <c r="M3823" t="s">
        <v>603</v>
      </c>
      <c r="N3823" t="s">
        <v>604</v>
      </c>
      <c r="O3823" s="37" t="str">
        <f t="shared" si="298"/>
        <v>Digital Payment</v>
      </c>
      <c r="P3823">
        <v>268</v>
      </c>
      <c r="Q3823" s="37" t="str">
        <f>IF(P3823&gt;500,"High","low")</f>
        <v>low</v>
      </c>
      <c r="R3823" s="37" t="str">
        <f t="shared" si="299"/>
        <v>AVERAGE</v>
      </c>
      <c r="S3823" t="s">
        <v>609</v>
      </c>
    </row>
    <row r="3824" spans="1:19" x14ac:dyDescent="0.2">
      <c r="A3824" t="s">
        <v>4435</v>
      </c>
      <c r="B3824" t="s">
        <v>67</v>
      </c>
      <c r="C3824" t="s">
        <v>602</v>
      </c>
      <c r="D3824">
        <v>3398.29</v>
      </c>
      <c r="E3824" s="37" t="str">
        <f t="shared" si="295"/>
        <v xml:space="preserve"> </v>
      </c>
      <c r="F3824">
        <v>0.5</v>
      </c>
      <c r="G3824" s="37" t="str">
        <f t="shared" si="296"/>
        <v>Heavy Discount</v>
      </c>
      <c r="H3824" s="37" t="str">
        <f t="shared" si="297"/>
        <v>High</v>
      </c>
      <c r="I3824">
        <v>9</v>
      </c>
      <c r="J3824" t="str" cm="1">
        <f t="array" ref="J3824">_xlfn.IFS(I3824&lt;=3,"small",I3824&lt;=6,"Medium",I3824&lt;=9,"Large")</f>
        <v>Large</v>
      </c>
      <c r="K3824" s="36">
        <v>45468</v>
      </c>
      <c r="L3824" s="36">
        <v>45474</v>
      </c>
      <c r="M3824" t="s">
        <v>598</v>
      </c>
      <c r="N3824" t="s">
        <v>599</v>
      </c>
      <c r="O3824" s="37" t="str">
        <f t="shared" si="298"/>
        <v>Digital Payment</v>
      </c>
      <c r="P3824">
        <v>387.1</v>
      </c>
      <c r="Q3824" s="37" t="str">
        <f>IF(P3824&gt;500,"High","low")</f>
        <v>low</v>
      </c>
      <c r="R3824" s="37" t="str">
        <f t="shared" si="299"/>
        <v>AVERAGE</v>
      </c>
      <c r="S3824" t="s">
        <v>615</v>
      </c>
    </row>
    <row r="3825" spans="1:19" x14ac:dyDescent="0.2">
      <c r="A3825" t="s">
        <v>4436</v>
      </c>
      <c r="B3825" t="s">
        <v>90</v>
      </c>
      <c r="C3825" t="s">
        <v>617</v>
      </c>
      <c r="D3825">
        <v>469.53</v>
      </c>
      <c r="E3825" s="37" t="str">
        <f t="shared" si="295"/>
        <v xml:space="preserve"> </v>
      </c>
      <c r="F3825">
        <v>0.19</v>
      </c>
      <c r="G3825" s="37" t="str">
        <f t="shared" si="296"/>
        <v>Normal Discount</v>
      </c>
      <c r="H3825" s="37" t="str">
        <f t="shared" si="297"/>
        <v>Low</v>
      </c>
      <c r="I3825">
        <v>5</v>
      </c>
      <c r="J3825" t="str" cm="1">
        <f t="array" ref="J3825">_xlfn.IFS(I3825&lt;=3,"small",I3825&lt;=6,"Medium",I3825&lt;=9,"Large")</f>
        <v>Medium</v>
      </c>
      <c r="K3825" s="36">
        <v>45101</v>
      </c>
      <c r="L3825" s="36">
        <v>45104</v>
      </c>
      <c r="M3825" t="s">
        <v>603</v>
      </c>
      <c r="N3825" t="s">
        <v>599</v>
      </c>
      <c r="O3825" s="37" t="str">
        <f t="shared" si="298"/>
        <v>Digital Payment</v>
      </c>
      <c r="P3825">
        <v>140.81</v>
      </c>
      <c r="Q3825" s="37" t="str">
        <f>IF(P3825&gt;500,"High","low")</f>
        <v>low</v>
      </c>
      <c r="R3825" s="37" t="str">
        <f t="shared" si="299"/>
        <v>AVERAGE</v>
      </c>
      <c r="S3825" t="s">
        <v>628</v>
      </c>
    </row>
    <row r="3826" spans="1:19" x14ac:dyDescent="0.2">
      <c r="A3826" t="s">
        <v>4437</v>
      </c>
      <c r="B3826" t="s">
        <v>75</v>
      </c>
      <c r="C3826" t="s">
        <v>617</v>
      </c>
      <c r="D3826">
        <v>2933.77</v>
      </c>
      <c r="E3826" s="37" t="str">
        <f t="shared" si="295"/>
        <v xml:space="preserve"> </v>
      </c>
      <c r="F3826">
        <v>0.46</v>
      </c>
      <c r="G3826" s="37" t="str">
        <f t="shared" si="296"/>
        <v>Heavy Discount</v>
      </c>
      <c r="H3826" s="37" t="str">
        <f t="shared" si="297"/>
        <v>High</v>
      </c>
      <c r="I3826">
        <v>6</v>
      </c>
      <c r="J3826" t="str" cm="1">
        <f t="array" ref="J3826">_xlfn.IFS(I3826&lt;=3,"small",I3826&lt;=6,"Medium",I3826&lt;=9,"Large")</f>
        <v>Medium</v>
      </c>
      <c r="K3826" s="36">
        <v>45224</v>
      </c>
      <c r="L3826" s="36">
        <v>45230</v>
      </c>
      <c r="M3826" t="s">
        <v>603</v>
      </c>
      <c r="N3826" t="s">
        <v>604</v>
      </c>
      <c r="O3826" s="37" t="str">
        <f t="shared" si="298"/>
        <v>Digital Payment</v>
      </c>
      <c r="P3826">
        <v>795.1</v>
      </c>
      <c r="Q3826" s="37" t="str">
        <f>IF(P3826&gt;500,"High","low")</f>
        <v>High</v>
      </c>
      <c r="R3826" s="37" t="str">
        <f t="shared" si="299"/>
        <v>Good</v>
      </c>
      <c r="S3826" t="s">
        <v>628</v>
      </c>
    </row>
    <row r="3827" spans="1:19" x14ac:dyDescent="0.2">
      <c r="A3827" t="s">
        <v>4438</v>
      </c>
      <c r="B3827" t="s">
        <v>83</v>
      </c>
      <c r="C3827" t="s">
        <v>597</v>
      </c>
      <c r="D3827">
        <v>1306.3900000000001</v>
      </c>
      <c r="E3827" s="37" t="str">
        <f t="shared" si="295"/>
        <v xml:space="preserve"> </v>
      </c>
      <c r="F3827">
        <v>0.49</v>
      </c>
      <c r="G3827" s="37" t="str">
        <f t="shared" si="296"/>
        <v>Heavy Discount</v>
      </c>
      <c r="H3827" s="37" t="str">
        <f t="shared" si="297"/>
        <v>High</v>
      </c>
      <c r="I3827">
        <v>7</v>
      </c>
      <c r="J3827" t="str" cm="1">
        <f t="array" ref="J3827">_xlfn.IFS(I3827&lt;=3,"small",I3827&lt;=6,"Medium",I3827&lt;=9,"Large")</f>
        <v>Large</v>
      </c>
      <c r="K3827" s="36">
        <v>45204</v>
      </c>
      <c r="L3827" s="36">
        <v>45210</v>
      </c>
      <c r="M3827" t="s">
        <v>598</v>
      </c>
      <c r="N3827" t="s">
        <v>604</v>
      </c>
      <c r="O3827" s="37" t="str">
        <f t="shared" si="298"/>
        <v>Digital Payment</v>
      </c>
      <c r="P3827">
        <v>202.88</v>
      </c>
      <c r="Q3827" s="37" t="str">
        <f>IF(P3827&gt;500,"High","low")</f>
        <v>low</v>
      </c>
      <c r="R3827" s="37" t="str">
        <f t="shared" si="299"/>
        <v>AVERAGE</v>
      </c>
      <c r="S3827" t="s">
        <v>620</v>
      </c>
    </row>
    <row r="3828" spans="1:19" x14ac:dyDescent="0.2">
      <c r="A3828" t="s">
        <v>4439</v>
      </c>
      <c r="B3828" t="s">
        <v>67</v>
      </c>
      <c r="C3828" t="s">
        <v>617</v>
      </c>
      <c r="D3828">
        <v>3399.16</v>
      </c>
      <c r="E3828" s="37" t="str">
        <f t="shared" si="295"/>
        <v xml:space="preserve"> </v>
      </c>
      <c r="F3828">
        <v>0.2</v>
      </c>
      <c r="G3828" s="37" t="str">
        <f t="shared" si="296"/>
        <v>Normal Discount</v>
      </c>
      <c r="H3828" s="37" t="str">
        <f t="shared" si="297"/>
        <v>Medium</v>
      </c>
      <c r="I3828">
        <v>2</v>
      </c>
      <c r="J3828" t="str" cm="1">
        <f t="array" ref="J3828">_xlfn.IFS(I3828&lt;=3,"small",I3828&lt;=6,"Medium",I3828&lt;=9,"Large")</f>
        <v>small</v>
      </c>
      <c r="K3828" s="36">
        <v>44957</v>
      </c>
      <c r="L3828" s="36">
        <v>44964</v>
      </c>
      <c r="M3828" t="s">
        <v>598</v>
      </c>
      <c r="N3828" t="s">
        <v>608</v>
      </c>
      <c r="O3828" s="37" t="str">
        <f t="shared" si="298"/>
        <v>Cash Payment</v>
      </c>
      <c r="P3828">
        <v>765.85</v>
      </c>
      <c r="Q3828" s="37" t="str">
        <f>IF(P3828&gt;500,"High","low")</f>
        <v>High</v>
      </c>
      <c r="R3828" s="37" t="str">
        <f t="shared" si="299"/>
        <v>Good</v>
      </c>
      <c r="S3828" t="s">
        <v>609</v>
      </c>
    </row>
    <row r="3829" spans="1:19" x14ac:dyDescent="0.2">
      <c r="A3829" t="s">
        <v>4440</v>
      </c>
      <c r="B3829" t="s">
        <v>90</v>
      </c>
      <c r="C3829" t="s">
        <v>617</v>
      </c>
      <c r="D3829">
        <v>4070.06</v>
      </c>
      <c r="E3829" s="37" t="str">
        <f t="shared" si="295"/>
        <v xml:space="preserve"> </v>
      </c>
      <c r="F3829">
        <v>0.36</v>
      </c>
      <c r="G3829" s="37" t="str">
        <f t="shared" si="296"/>
        <v>Heavy Discount</v>
      </c>
      <c r="H3829" s="37" t="str">
        <f t="shared" si="297"/>
        <v>Medium</v>
      </c>
      <c r="I3829">
        <v>4</v>
      </c>
      <c r="J3829" t="str" cm="1">
        <f t="array" ref="J3829">_xlfn.IFS(I3829&lt;=3,"small",I3829&lt;=6,"Medium",I3829&lt;=9,"Large")</f>
        <v>Medium</v>
      </c>
      <c r="K3829" s="36">
        <v>44977</v>
      </c>
      <c r="L3829" s="36">
        <v>44978</v>
      </c>
      <c r="M3829" t="s">
        <v>612</v>
      </c>
      <c r="N3829" t="s">
        <v>599</v>
      </c>
      <c r="O3829" s="37" t="str">
        <f t="shared" si="298"/>
        <v>Digital Payment</v>
      </c>
      <c r="P3829">
        <v>443.36</v>
      </c>
      <c r="Q3829" s="37" t="str">
        <f>IF(P3829&gt;500,"High","low")</f>
        <v>low</v>
      </c>
      <c r="R3829" s="37" t="str">
        <f t="shared" si="299"/>
        <v>AVERAGE</v>
      </c>
      <c r="S3829" t="s">
        <v>600</v>
      </c>
    </row>
    <row r="3830" spans="1:19" x14ac:dyDescent="0.2">
      <c r="A3830" t="s">
        <v>4441</v>
      </c>
      <c r="B3830" t="s">
        <v>75</v>
      </c>
      <c r="C3830" t="s">
        <v>614</v>
      </c>
      <c r="D3830">
        <v>4054.37</v>
      </c>
      <c r="E3830" s="37" t="str">
        <f t="shared" si="295"/>
        <v>Excellent Order</v>
      </c>
      <c r="F3830">
        <v>0.28999999999999998</v>
      </c>
      <c r="G3830" s="37" t="str">
        <f t="shared" si="296"/>
        <v>Normal Discount</v>
      </c>
      <c r="H3830" s="37" t="str">
        <f t="shared" si="297"/>
        <v>Medium</v>
      </c>
      <c r="I3830">
        <v>6</v>
      </c>
      <c r="J3830" t="str" cm="1">
        <f t="array" ref="J3830">_xlfn.IFS(I3830&lt;=3,"small",I3830&lt;=6,"Medium",I3830&lt;=9,"Large")</f>
        <v>Medium</v>
      </c>
      <c r="K3830" s="36">
        <v>45603</v>
      </c>
      <c r="L3830" s="36">
        <v>45605</v>
      </c>
      <c r="M3830" t="s">
        <v>603</v>
      </c>
      <c r="N3830" t="s">
        <v>604</v>
      </c>
      <c r="O3830" s="37" t="str">
        <f t="shared" si="298"/>
        <v>Digital Payment</v>
      </c>
      <c r="P3830">
        <v>1154.57</v>
      </c>
      <c r="Q3830" s="37" t="str">
        <f>IF(P3830&gt;500,"High","low")</f>
        <v>High</v>
      </c>
      <c r="R3830" s="37" t="str">
        <f t="shared" si="299"/>
        <v>Excellent</v>
      </c>
      <c r="S3830" t="s">
        <v>600</v>
      </c>
    </row>
    <row r="3831" spans="1:19" x14ac:dyDescent="0.2">
      <c r="A3831" t="s">
        <v>4442</v>
      </c>
      <c r="B3831" t="s">
        <v>67</v>
      </c>
      <c r="C3831" t="s">
        <v>617</v>
      </c>
      <c r="D3831">
        <v>1912.32</v>
      </c>
      <c r="E3831" s="37" t="str">
        <f t="shared" si="295"/>
        <v xml:space="preserve"> </v>
      </c>
      <c r="F3831">
        <v>0.36</v>
      </c>
      <c r="G3831" s="37" t="str">
        <f t="shared" si="296"/>
        <v>Heavy Discount</v>
      </c>
      <c r="H3831" s="37" t="str">
        <f t="shared" si="297"/>
        <v>Medium</v>
      </c>
      <c r="I3831">
        <v>4</v>
      </c>
      <c r="J3831" t="str" cm="1">
        <f t="array" ref="J3831">_xlfn.IFS(I3831&lt;=3,"small",I3831&lt;=6,"Medium",I3831&lt;=9,"Large")</f>
        <v>Medium</v>
      </c>
      <c r="K3831" s="36">
        <v>45527</v>
      </c>
      <c r="L3831" s="36">
        <v>45533</v>
      </c>
      <c r="M3831" t="s">
        <v>598</v>
      </c>
      <c r="N3831" t="s">
        <v>599</v>
      </c>
      <c r="O3831" s="37" t="str">
        <f t="shared" si="298"/>
        <v>Digital Payment</v>
      </c>
      <c r="P3831">
        <v>539.29</v>
      </c>
      <c r="Q3831" s="37" t="str">
        <f>IF(P3831&gt;500,"High","low")</f>
        <v>High</v>
      </c>
      <c r="R3831" s="37" t="str">
        <f t="shared" si="299"/>
        <v>Good</v>
      </c>
      <c r="S3831" t="s">
        <v>600</v>
      </c>
    </row>
    <row r="3832" spans="1:19" x14ac:dyDescent="0.2">
      <c r="A3832" t="s">
        <v>4443</v>
      </c>
      <c r="B3832" t="s">
        <v>67</v>
      </c>
      <c r="C3832" t="s">
        <v>617</v>
      </c>
      <c r="D3832">
        <v>2879.62</v>
      </c>
      <c r="E3832" s="37" t="str">
        <f t="shared" si="295"/>
        <v xml:space="preserve"> </v>
      </c>
      <c r="F3832">
        <v>0.08</v>
      </c>
      <c r="G3832" s="37" t="str">
        <f t="shared" si="296"/>
        <v>Normal Discount</v>
      </c>
      <c r="H3832" s="37" t="str">
        <f t="shared" si="297"/>
        <v>Low</v>
      </c>
      <c r="I3832">
        <v>5</v>
      </c>
      <c r="J3832" t="str" cm="1">
        <f t="array" ref="J3832">_xlfn.IFS(I3832&lt;=3,"small",I3832&lt;=6,"Medium",I3832&lt;=9,"Large")</f>
        <v>Medium</v>
      </c>
      <c r="K3832" s="36">
        <v>45562</v>
      </c>
      <c r="L3832" s="36">
        <v>45569</v>
      </c>
      <c r="M3832" t="s">
        <v>603</v>
      </c>
      <c r="N3832" t="s">
        <v>608</v>
      </c>
      <c r="O3832" s="37" t="str">
        <f t="shared" si="298"/>
        <v>Cash Payment</v>
      </c>
      <c r="P3832">
        <v>260.57</v>
      </c>
      <c r="Q3832" s="37" t="str">
        <f>IF(P3832&gt;500,"High","low")</f>
        <v>low</v>
      </c>
      <c r="R3832" s="37" t="str">
        <f t="shared" si="299"/>
        <v>AVERAGE</v>
      </c>
      <c r="S3832" t="s">
        <v>620</v>
      </c>
    </row>
    <row r="3833" spans="1:19" x14ac:dyDescent="0.2">
      <c r="A3833" t="s">
        <v>4444</v>
      </c>
      <c r="B3833" t="s">
        <v>83</v>
      </c>
      <c r="C3833" t="s">
        <v>614</v>
      </c>
      <c r="D3833">
        <v>3989.11</v>
      </c>
      <c r="E3833" s="37" t="str">
        <f t="shared" si="295"/>
        <v xml:space="preserve"> </v>
      </c>
      <c r="F3833">
        <v>0.18</v>
      </c>
      <c r="G3833" s="37" t="str">
        <f t="shared" si="296"/>
        <v>Normal Discount</v>
      </c>
      <c r="H3833" s="37" t="str">
        <f t="shared" si="297"/>
        <v>Low</v>
      </c>
      <c r="I3833">
        <v>3</v>
      </c>
      <c r="J3833" t="str" cm="1">
        <f t="array" ref="J3833">_xlfn.IFS(I3833&lt;=3,"small",I3833&lt;=6,"Medium",I3833&lt;=9,"Large")</f>
        <v>small</v>
      </c>
      <c r="K3833" s="36">
        <v>45085</v>
      </c>
      <c r="L3833" s="36">
        <v>45092</v>
      </c>
      <c r="M3833" t="s">
        <v>603</v>
      </c>
      <c r="N3833" t="s">
        <v>608</v>
      </c>
      <c r="O3833" s="37" t="str">
        <f t="shared" si="298"/>
        <v>Cash Payment</v>
      </c>
      <c r="P3833">
        <v>1125.32</v>
      </c>
      <c r="Q3833" s="37" t="str">
        <f>IF(P3833&gt;500,"High","low")</f>
        <v>High</v>
      </c>
      <c r="R3833" s="37" t="str">
        <f t="shared" si="299"/>
        <v>Excellent</v>
      </c>
      <c r="S3833" t="s">
        <v>600</v>
      </c>
    </row>
    <row r="3834" spans="1:19" x14ac:dyDescent="0.2">
      <c r="A3834" t="s">
        <v>4445</v>
      </c>
      <c r="B3834" t="s">
        <v>67</v>
      </c>
      <c r="C3834" t="s">
        <v>617</v>
      </c>
      <c r="D3834">
        <v>397.97</v>
      </c>
      <c r="E3834" s="37" t="str">
        <f t="shared" si="295"/>
        <v xml:space="preserve"> </v>
      </c>
      <c r="F3834">
        <v>0.03</v>
      </c>
      <c r="G3834" s="37" t="str">
        <f t="shared" si="296"/>
        <v>Normal Discount</v>
      </c>
      <c r="H3834" s="37" t="str">
        <f t="shared" si="297"/>
        <v>Low</v>
      </c>
      <c r="I3834">
        <v>2</v>
      </c>
      <c r="J3834" t="str" cm="1">
        <f t="array" ref="J3834">_xlfn.IFS(I3834&lt;=3,"small",I3834&lt;=6,"Medium",I3834&lt;=9,"Large")</f>
        <v>small</v>
      </c>
      <c r="K3834" s="36">
        <v>45026</v>
      </c>
      <c r="L3834" s="36">
        <v>45028</v>
      </c>
      <c r="M3834" t="s">
        <v>603</v>
      </c>
      <c r="N3834" t="s">
        <v>599</v>
      </c>
      <c r="O3834" s="37" t="str">
        <f t="shared" si="298"/>
        <v>Digital Payment</v>
      </c>
      <c r="P3834">
        <v>60.73</v>
      </c>
      <c r="Q3834" s="37" t="str">
        <f>IF(P3834&gt;500,"High","low")</f>
        <v>low</v>
      </c>
      <c r="R3834" s="37" t="str">
        <f t="shared" si="299"/>
        <v>AVERAGE</v>
      </c>
      <c r="S3834" t="s">
        <v>615</v>
      </c>
    </row>
    <row r="3835" spans="1:19" x14ac:dyDescent="0.2">
      <c r="A3835" t="s">
        <v>4446</v>
      </c>
      <c r="B3835" t="s">
        <v>83</v>
      </c>
      <c r="C3835" t="s">
        <v>614</v>
      </c>
      <c r="D3835">
        <v>3067.56</v>
      </c>
      <c r="E3835" s="37" t="str">
        <f t="shared" si="295"/>
        <v xml:space="preserve"> </v>
      </c>
      <c r="F3835">
        <v>0.31</v>
      </c>
      <c r="G3835" s="37" t="str">
        <f t="shared" si="296"/>
        <v>Heavy Discount</v>
      </c>
      <c r="H3835" s="37" t="str">
        <f t="shared" si="297"/>
        <v>Medium</v>
      </c>
      <c r="I3835">
        <v>1</v>
      </c>
      <c r="J3835" t="str" cm="1">
        <f t="array" ref="J3835">_xlfn.IFS(I3835&lt;=3,"small",I3835&lt;=6,"Medium",I3835&lt;=9,"Large")</f>
        <v>small</v>
      </c>
      <c r="K3835" s="36">
        <v>45068</v>
      </c>
      <c r="L3835" s="36">
        <v>45072</v>
      </c>
      <c r="M3835" t="s">
        <v>603</v>
      </c>
      <c r="N3835" t="s">
        <v>604</v>
      </c>
      <c r="O3835" s="37" t="str">
        <f t="shared" si="298"/>
        <v>Digital Payment</v>
      </c>
      <c r="P3835">
        <v>530.91999999999996</v>
      </c>
      <c r="Q3835" s="37" t="str">
        <f>IF(P3835&gt;500,"High","low")</f>
        <v>High</v>
      </c>
      <c r="R3835" s="37" t="str">
        <f t="shared" si="299"/>
        <v>Good</v>
      </c>
      <c r="S3835" t="s">
        <v>609</v>
      </c>
    </row>
    <row r="3836" spans="1:19" x14ac:dyDescent="0.2">
      <c r="A3836" t="s">
        <v>4447</v>
      </c>
      <c r="B3836" t="s">
        <v>90</v>
      </c>
      <c r="C3836" t="s">
        <v>597</v>
      </c>
      <c r="D3836">
        <v>4198.96</v>
      </c>
      <c r="E3836" s="37" t="str">
        <f t="shared" si="295"/>
        <v>Excellent Order</v>
      </c>
      <c r="F3836">
        <v>0.46</v>
      </c>
      <c r="G3836" s="37" t="str">
        <f t="shared" si="296"/>
        <v>Heavy Discount</v>
      </c>
      <c r="H3836" s="37" t="str">
        <f t="shared" si="297"/>
        <v>High</v>
      </c>
      <c r="I3836">
        <v>3</v>
      </c>
      <c r="J3836" t="str" cm="1">
        <f t="array" ref="J3836">_xlfn.IFS(I3836&lt;=3,"small",I3836&lt;=6,"Medium",I3836&lt;=9,"Large")</f>
        <v>small</v>
      </c>
      <c r="K3836" s="36">
        <v>45043</v>
      </c>
      <c r="L3836" s="36">
        <v>45050</v>
      </c>
      <c r="M3836" t="s">
        <v>598</v>
      </c>
      <c r="N3836" t="s">
        <v>599</v>
      </c>
      <c r="O3836" s="37" t="str">
        <f t="shared" si="298"/>
        <v>Digital Payment</v>
      </c>
      <c r="P3836">
        <v>936.86</v>
      </c>
      <c r="Q3836" s="37" t="str">
        <f>IF(P3836&gt;500,"High","low")</f>
        <v>High</v>
      </c>
      <c r="R3836" s="37" t="str">
        <f t="shared" si="299"/>
        <v>Good</v>
      </c>
      <c r="S3836" t="s">
        <v>628</v>
      </c>
    </row>
    <row r="3837" spans="1:19" x14ac:dyDescent="0.2">
      <c r="A3837" t="s">
        <v>4448</v>
      </c>
      <c r="B3837" t="s">
        <v>83</v>
      </c>
      <c r="C3837" t="s">
        <v>607</v>
      </c>
      <c r="D3837">
        <v>1924.55</v>
      </c>
      <c r="E3837" s="37" t="str">
        <f t="shared" si="295"/>
        <v xml:space="preserve"> </v>
      </c>
      <c r="F3837">
        <v>0.28000000000000003</v>
      </c>
      <c r="G3837" s="37" t="str">
        <f t="shared" si="296"/>
        <v>Normal Discount</v>
      </c>
      <c r="H3837" s="37" t="str">
        <f t="shared" si="297"/>
        <v>Medium</v>
      </c>
      <c r="I3837">
        <v>9</v>
      </c>
      <c r="J3837" t="str" cm="1">
        <f t="array" ref="J3837">_xlfn.IFS(I3837&lt;=3,"small",I3837&lt;=6,"Medium",I3837&lt;=9,"Large")</f>
        <v>Large</v>
      </c>
      <c r="K3837" s="36">
        <v>45394</v>
      </c>
      <c r="L3837" s="36">
        <v>45395</v>
      </c>
      <c r="M3837" t="s">
        <v>612</v>
      </c>
      <c r="N3837" t="s">
        <v>608</v>
      </c>
      <c r="O3837" s="37" t="str">
        <f t="shared" si="298"/>
        <v>Cash Payment</v>
      </c>
      <c r="P3837">
        <v>326.52</v>
      </c>
      <c r="Q3837" s="37" t="str">
        <f>IF(P3837&gt;500,"High","low")</f>
        <v>low</v>
      </c>
      <c r="R3837" s="37" t="str">
        <f t="shared" si="299"/>
        <v>AVERAGE</v>
      </c>
      <c r="S3837" t="s">
        <v>605</v>
      </c>
    </row>
    <row r="3838" spans="1:19" x14ac:dyDescent="0.2">
      <c r="A3838" t="s">
        <v>4449</v>
      </c>
      <c r="B3838" t="s">
        <v>75</v>
      </c>
      <c r="C3838" t="s">
        <v>614</v>
      </c>
      <c r="D3838">
        <v>2331.5</v>
      </c>
      <c r="E3838" s="37" t="str">
        <f t="shared" si="295"/>
        <v xml:space="preserve"> </v>
      </c>
      <c r="F3838">
        <v>0.04</v>
      </c>
      <c r="G3838" s="37" t="str">
        <f t="shared" si="296"/>
        <v>Normal Discount</v>
      </c>
      <c r="H3838" s="37" t="str">
        <f t="shared" si="297"/>
        <v>Low</v>
      </c>
      <c r="I3838">
        <v>1</v>
      </c>
      <c r="J3838" t="str" cm="1">
        <f t="array" ref="J3838">_xlfn.IFS(I3838&lt;=3,"small",I3838&lt;=6,"Medium",I3838&lt;=9,"Large")</f>
        <v>small</v>
      </c>
      <c r="K3838" s="36">
        <v>44965</v>
      </c>
      <c r="L3838" s="36">
        <v>44969</v>
      </c>
      <c r="M3838" t="s">
        <v>603</v>
      </c>
      <c r="N3838" t="s">
        <v>608</v>
      </c>
      <c r="O3838" s="37" t="str">
        <f t="shared" si="298"/>
        <v>Cash Payment</v>
      </c>
      <c r="P3838">
        <v>450.52</v>
      </c>
      <c r="Q3838" s="37" t="str">
        <f>IF(P3838&gt;500,"High","low")</f>
        <v>low</v>
      </c>
      <c r="R3838" s="37" t="str">
        <f t="shared" si="299"/>
        <v>AVERAGE</v>
      </c>
      <c r="S3838" t="s">
        <v>600</v>
      </c>
    </row>
    <row r="3839" spans="1:19" x14ac:dyDescent="0.2">
      <c r="A3839" t="s">
        <v>4450</v>
      </c>
      <c r="B3839" t="s">
        <v>83</v>
      </c>
      <c r="C3839" t="s">
        <v>614</v>
      </c>
      <c r="D3839">
        <v>3523.77</v>
      </c>
      <c r="E3839" s="37" t="str">
        <f t="shared" si="295"/>
        <v xml:space="preserve"> </v>
      </c>
      <c r="F3839">
        <v>0.47</v>
      </c>
      <c r="G3839" s="37" t="str">
        <f t="shared" si="296"/>
        <v>Heavy Discount</v>
      </c>
      <c r="H3839" s="37" t="str">
        <f t="shared" si="297"/>
        <v>High</v>
      </c>
      <c r="I3839">
        <v>8</v>
      </c>
      <c r="J3839" t="str" cm="1">
        <f t="array" ref="J3839">_xlfn.IFS(I3839&lt;=3,"small",I3839&lt;=6,"Medium",I3839&lt;=9,"Large")</f>
        <v>Large</v>
      </c>
      <c r="K3839" s="36">
        <v>45274</v>
      </c>
      <c r="L3839" s="36">
        <v>45276</v>
      </c>
      <c r="M3839" t="s">
        <v>612</v>
      </c>
      <c r="N3839" t="s">
        <v>599</v>
      </c>
      <c r="O3839" s="37" t="str">
        <f t="shared" si="298"/>
        <v>Digital Payment</v>
      </c>
      <c r="P3839">
        <v>570.47</v>
      </c>
      <c r="Q3839" s="37" t="str">
        <f>IF(P3839&gt;500,"High","low")</f>
        <v>High</v>
      </c>
      <c r="R3839" s="37" t="str">
        <f t="shared" si="299"/>
        <v>Good</v>
      </c>
      <c r="S3839" t="s">
        <v>609</v>
      </c>
    </row>
    <row r="3840" spans="1:19" x14ac:dyDescent="0.2">
      <c r="A3840" t="s">
        <v>4451</v>
      </c>
      <c r="B3840" t="s">
        <v>75</v>
      </c>
      <c r="C3840" t="s">
        <v>617</v>
      </c>
      <c r="D3840">
        <v>432.64</v>
      </c>
      <c r="E3840" s="37" t="str">
        <f t="shared" si="295"/>
        <v xml:space="preserve"> </v>
      </c>
      <c r="F3840">
        <v>7.0000000000000007E-2</v>
      </c>
      <c r="G3840" s="37" t="str">
        <f t="shared" si="296"/>
        <v>Normal Discount</v>
      </c>
      <c r="H3840" s="37" t="str">
        <f t="shared" si="297"/>
        <v>Low</v>
      </c>
      <c r="I3840">
        <v>5</v>
      </c>
      <c r="J3840" t="str" cm="1">
        <f t="array" ref="J3840">_xlfn.IFS(I3840&lt;=3,"small",I3840&lt;=6,"Medium",I3840&lt;=9,"Large")</f>
        <v>Medium</v>
      </c>
      <c r="K3840" s="36">
        <v>45092</v>
      </c>
      <c r="L3840" s="36">
        <v>45097</v>
      </c>
      <c r="M3840" t="s">
        <v>603</v>
      </c>
      <c r="N3840" t="s">
        <v>599</v>
      </c>
      <c r="O3840" s="37" t="str">
        <f t="shared" si="298"/>
        <v>Digital Payment</v>
      </c>
      <c r="P3840">
        <v>28.9</v>
      </c>
      <c r="Q3840" s="37" t="str">
        <f>IF(P3840&gt;500,"High","low")</f>
        <v>low</v>
      </c>
      <c r="R3840" s="37" t="str">
        <f t="shared" si="299"/>
        <v>AVERAGE</v>
      </c>
      <c r="S3840" t="s">
        <v>628</v>
      </c>
    </row>
    <row r="3841" spans="1:19" x14ac:dyDescent="0.2">
      <c r="A3841" t="s">
        <v>4452</v>
      </c>
      <c r="B3841" t="s">
        <v>83</v>
      </c>
      <c r="C3841" t="s">
        <v>614</v>
      </c>
      <c r="D3841">
        <v>1989.62</v>
      </c>
      <c r="E3841" s="37" t="str">
        <f t="shared" si="295"/>
        <v xml:space="preserve"> </v>
      </c>
      <c r="F3841">
        <v>0.44</v>
      </c>
      <c r="G3841" s="37" t="str">
        <f t="shared" si="296"/>
        <v>Heavy Discount</v>
      </c>
      <c r="H3841" s="37" t="str">
        <f t="shared" si="297"/>
        <v>High</v>
      </c>
      <c r="I3841">
        <v>4</v>
      </c>
      <c r="J3841" t="str" cm="1">
        <f t="array" ref="J3841">_xlfn.IFS(I3841&lt;=3,"small",I3841&lt;=6,"Medium",I3841&lt;=9,"Large")</f>
        <v>Medium</v>
      </c>
      <c r="K3841" s="36">
        <v>45033</v>
      </c>
      <c r="L3841" s="36">
        <v>45037</v>
      </c>
      <c r="M3841" t="s">
        <v>612</v>
      </c>
      <c r="N3841" t="s">
        <v>608</v>
      </c>
      <c r="O3841" s="37" t="str">
        <f t="shared" si="298"/>
        <v>Cash Payment</v>
      </c>
      <c r="P3841">
        <v>373.29</v>
      </c>
      <c r="Q3841" s="37" t="str">
        <f>IF(P3841&gt;500,"High","low")</f>
        <v>low</v>
      </c>
      <c r="R3841" s="37" t="str">
        <f t="shared" si="299"/>
        <v>AVERAGE</v>
      </c>
      <c r="S3841" t="s">
        <v>628</v>
      </c>
    </row>
    <row r="3842" spans="1:19" x14ac:dyDescent="0.2">
      <c r="A3842" t="s">
        <v>4453</v>
      </c>
      <c r="B3842" t="s">
        <v>67</v>
      </c>
      <c r="C3842" t="s">
        <v>602</v>
      </c>
      <c r="D3842">
        <v>1548.98</v>
      </c>
      <c r="E3842" s="37" t="str">
        <f t="shared" si="295"/>
        <v xml:space="preserve"> </v>
      </c>
      <c r="F3842">
        <v>0.36</v>
      </c>
      <c r="G3842" s="37" t="str">
        <f t="shared" si="296"/>
        <v>Heavy Discount</v>
      </c>
      <c r="H3842" s="37" t="str">
        <f t="shared" si="297"/>
        <v>Medium</v>
      </c>
      <c r="I3842">
        <v>5</v>
      </c>
      <c r="J3842" t="str" cm="1">
        <f t="array" ref="J3842">_xlfn.IFS(I3842&lt;=3,"small",I3842&lt;=6,"Medium",I3842&lt;=9,"Large")</f>
        <v>Medium</v>
      </c>
      <c r="K3842" s="36">
        <v>45477</v>
      </c>
      <c r="L3842" s="36">
        <v>45484</v>
      </c>
      <c r="M3842" t="s">
        <v>598</v>
      </c>
      <c r="N3842" t="s">
        <v>604</v>
      </c>
      <c r="O3842" s="37" t="str">
        <f t="shared" si="298"/>
        <v>Digital Payment</v>
      </c>
      <c r="P3842">
        <v>96.52</v>
      </c>
      <c r="Q3842" s="37" t="str">
        <f>IF(P3842&gt;500,"High","low")</f>
        <v>low</v>
      </c>
      <c r="R3842" s="37" t="str">
        <f t="shared" si="299"/>
        <v>AVERAGE</v>
      </c>
      <c r="S3842" t="s">
        <v>615</v>
      </c>
    </row>
    <row r="3843" spans="1:19" x14ac:dyDescent="0.2">
      <c r="A3843" t="s">
        <v>4454</v>
      </c>
      <c r="B3843" t="s">
        <v>90</v>
      </c>
      <c r="C3843" t="s">
        <v>602</v>
      </c>
      <c r="D3843">
        <v>183.27</v>
      </c>
      <c r="E3843" s="37" t="str">
        <f t="shared" ref="E3843:E3906" si="300">IF(AND(D3843&gt;4000,P3843&gt;800),"Excellent Order"," ")</f>
        <v xml:space="preserve"> </v>
      </c>
      <c r="F3843">
        <v>0.32</v>
      </c>
      <c r="G3843" s="37" t="str">
        <f t="shared" ref="G3843:G3906" si="301">IF(F3843&gt;30%,"Heavy Discount","Normal Discount")</f>
        <v>Heavy Discount</v>
      </c>
      <c r="H3843" s="37" t="str">
        <f t="shared" ref="H3843:H3906" si="302">IF(F3843&gt;0.4,"High",IF(F3843&gt;=0.2,"Medium","Low"))</f>
        <v>Medium</v>
      </c>
      <c r="I3843">
        <v>7</v>
      </c>
      <c r="J3843" t="str" cm="1">
        <f t="array" ref="J3843">_xlfn.IFS(I3843&lt;=3,"small",I3843&lt;=6,"Medium",I3843&lt;=9,"Large")</f>
        <v>Large</v>
      </c>
      <c r="K3843" s="36">
        <v>45521</v>
      </c>
      <c r="L3843" s="36">
        <v>45526</v>
      </c>
      <c r="M3843" t="s">
        <v>603</v>
      </c>
      <c r="N3843" t="s">
        <v>608</v>
      </c>
      <c r="O3843" s="37" t="str">
        <f t="shared" ref="O3843:O3906" si="303">IF(OR(N3843="Card",N3843="UPI"),"Digital Payment","Cash Payment")</f>
        <v>Cash Payment</v>
      </c>
      <c r="P3843">
        <v>13.77</v>
      </c>
      <c r="Q3843" s="37" t="str">
        <f>IF(P3843&gt;500,"High","low")</f>
        <v>low</v>
      </c>
      <c r="R3843" s="37" t="str">
        <f t="shared" ref="R3843:R3906" si="304">IF(P3843&gt;1000,"Excellent",IF(P3843&gt;=500,"Good","AVERAGE"))</f>
        <v>AVERAGE</v>
      </c>
      <c r="S3843" t="s">
        <v>615</v>
      </c>
    </row>
    <row r="3844" spans="1:19" x14ac:dyDescent="0.2">
      <c r="A3844" t="s">
        <v>4455</v>
      </c>
      <c r="B3844" t="s">
        <v>75</v>
      </c>
      <c r="C3844" t="s">
        <v>597</v>
      </c>
      <c r="D3844">
        <v>1060.27</v>
      </c>
      <c r="E3844" s="37" t="str">
        <f t="shared" si="300"/>
        <v xml:space="preserve"> </v>
      </c>
      <c r="F3844">
        <v>0.28999999999999998</v>
      </c>
      <c r="G3844" s="37" t="str">
        <f t="shared" si="301"/>
        <v>Normal Discount</v>
      </c>
      <c r="H3844" s="37" t="str">
        <f t="shared" si="302"/>
        <v>Medium</v>
      </c>
      <c r="I3844">
        <v>8</v>
      </c>
      <c r="J3844" t="str" cm="1">
        <f t="array" ref="J3844">_xlfn.IFS(I3844&lt;=3,"small",I3844&lt;=6,"Medium",I3844&lt;=9,"Large")</f>
        <v>Large</v>
      </c>
      <c r="K3844" s="36">
        <v>45430</v>
      </c>
      <c r="L3844" s="36">
        <v>45431</v>
      </c>
      <c r="M3844" t="s">
        <v>603</v>
      </c>
      <c r="N3844" t="s">
        <v>608</v>
      </c>
      <c r="O3844" s="37" t="str">
        <f t="shared" si="303"/>
        <v>Cash Payment</v>
      </c>
      <c r="P3844">
        <v>235.17</v>
      </c>
      <c r="Q3844" s="37" t="str">
        <f>IF(P3844&gt;500,"High","low")</f>
        <v>low</v>
      </c>
      <c r="R3844" s="37" t="str">
        <f t="shared" si="304"/>
        <v>AVERAGE</v>
      </c>
      <c r="S3844" t="s">
        <v>628</v>
      </c>
    </row>
    <row r="3845" spans="1:19" x14ac:dyDescent="0.2">
      <c r="A3845" t="s">
        <v>4456</v>
      </c>
      <c r="B3845" t="s">
        <v>83</v>
      </c>
      <c r="C3845" t="s">
        <v>614</v>
      </c>
      <c r="D3845">
        <v>2039.83</v>
      </c>
      <c r="E3845" s="37" t="str">
        <f t="shared" si="300"/>
        <v xml:space="preserve"> </v>
      </c>
      <c r="F3845">
        <v>7.0000000000000007E-2</v>
      </c>
      <c r="G3845" s="37" t="str">
        <f t="shared" si="301"/>
        <v>Normal Discount</v>
      </c>
      <c r="H3845" s="37" t="str">
        <f t="shared" si="302"/>
        <v>Low</v>
      </c>
      <c r="I3845">
        <v>2</v>
      </c>
      <c r="J3845" t="str" cm="1">
        <f t="array" ref="J3845">_xlfn.IFS(I3845&lt;=3,"small",I3845&lt;=6,"Medium",I3845&lt;=9,"Large")</f>
        <v>small</v>
      </c>
      <c r="K3845" s="36">
        <v>45249</v>
      </c>
      <c r="L3845" s="36">
        <v>45251</v>
      </c>
      <c r="M3845" t="s">
        <v>612</v>
      </c>
      <c r="N3845" t="s">
        <v>604</v>
      </c>
      <c r="O3845" s="37" t="str">
        <f t="shared" si="303"/>
        <v>Digital Payment</v>
      </c>
      <c r="P3845">
        <v>341.43</v>
      </c>
      <c r="Q3845" s="37" t="str">
        <f>IF(P3845&gt;500,"High","low")</f>
        <v>low</v>
      </c>
      <c r="R3845" s="37" t="str">
        <f t="shared" si="304"/>
        <v>AVERAGE</v>
      </c>
      <c r="S3845" t="s">
        <v>600</v>
      </c>
    </row>
    <row r="3846" spans="1:19" x14ac:dyDescent="0.2">
      <c r="A3846" t="s">
        <v>4457</v>
      </c>
      <c r="B3846" t="s">
        <v>83</v>
      </c>
      <c r="C3846" t="s">
        <v>617</v>
      </c>
      <c r="D3846">
        <v>1067.4000000000001</v>
      </c>
      <c r="E3846" s="37" t="str">
        <f t="shared" si="300"/>
        <v xml:space="preserve"> </v>
      </c>
      <c r="F3846">
        <v>0.25</v>
      </c>
      <c r="G3846" s="37" t="str">
        <f t="shared" si="301"/>
        <v>Normal Discount</v>
      </c>
      <c r="H3846" s="37" t="str">
        <f t="shared" si="302"/>
        <v>Medium</v>
      </c>
      <c r="I3846">
        <v>6</v>
      </c>
      <c r="J3846" t="str" cm="1">
        <f t="array" ref="J3846">_xlfn.IFS(I3846&lt;=3,"small",I3846&lt;=6,"Medium",I3846&lt;=9,"Large")</f>
        <v>Medium</v>
      </c>
      <c r="K3846" s="36">
        <v>45428</v>
      </c>
      <c r="L3846" s="36">
        <v>45435</v>
      </c>
      <c r="M3846" t="s">
        <v>598</v>
      </c>
      <c r="N3846" t="s">
        <v>599</v>
      </c>
      <c r="O3846" s="37" t="str">
        <f t="shared" si="303"/>
        <v>Digital Payment</v>
      </c>
      <c r="P3846">
        <v>197.43</v>
      </c>
      <c r="Q3846" s="37" t="str">
        <f>IF(P3846&gt;500,"High","low")</f>
        <v>low</v>
      </c>
      <c r="R3846" s="37" t="str">
        <f t="shared" si="304"/>
        <v>AVERAGE</v>
      </c>
      <c r="S3846" t="s">
        <v>605</v>
      </c>
    </row>
    <row r="3847" spans="1:19" x14ac:dyDescent="0.2">
      <c r="A3847" t="s">
        <v>4458</v>
      </c>
      <c r="B3847" t="s">
        <v>83</v>
      </c>
      <c r="C3847" t="s">
        <v>617</v>
      </c>
      <c r="D3847">
        <v>3051.75</v>
      </c>
      <c r="E3847" s="37" t="str">
        <f t="shared" si="300"/>
        <v xml:space="preserve"> </v>
      </c>
      <c r="F3847">
        <v>0.1</v>
      </c>
      <c r="G3847" s="37" t="str">
        <f t="shared" si="301"/>
        <v>Normal Discount</v>
      </c>
      <c r="H3847" s="37" t="str">
        <f t="shared" si="302"/>
        <v>Low</v>
      </c>
      <c r="I3847">
        <v>4</v>
      </c>
      <c r="J3847" t="str" cm="1">
        <f t="array" ref="J3847">_xlfn.IFS(I3847&lt;=3,"small",I3847&lt;=6,"Medium",I3847&lt;=9,"Large")</f>
        <v>Medium</v>
      </c>
      <c r="K3847" s="36">
        <v>45081</v>
      </c>
      <c r="L3847" s="36">
        <v>45085</v>
      </c>
      <c r="M3847" t="s">
        <v>603</v>
      </c>
      <c r="N3847" t="s">
        <v>604</v>
      </c>
      <c r="O3847" s="37" t="str">
        <f t="shared" si="303"/>
        <v>Digital Payment</v>
      </c>
      <c r="P3847">
        <v>280.99</v>
      </c>
      <c r="Q3847" s="37" t="str">
        <f>IF(P3847&gt;500,"High","low")</f>
        <v>low</v>
      </c>
      <c r="R3847" s="37" t="str">
        <f t="shared" si="304"/>
        <v>AVERAGE</v>
      </c>
      <c r="S3847" t="s">
        <v>620</v>
      </c>
    </row>
    <row r="3848" spans="1:19" x14ac:dyDescent="0.2">
      <c r="A3848" t="s">
        <v>4459</v>
      </c>
      <c r="B3848" t="s">
        <v>67</v>
      </c>
      <c r="C3848" t="s">
        <v>607</v>
      </c>
      <c r="D3848">
        <v>2298.4</v>
      </c>
      <c r="E3848" s="37" t="str">
        <f t="shared" si="300"/>
        <v xml:space="preserve"> </v>
      </c>
      <c r="F3848">
        <v>0.28999999999999998</v>
      </c>
      <c r="G3848" s="37" t="str">
        <f t="shared" si="301"/>
        <v>Normal Discount</v>
      </c>
      <c r="H3848" s="37" t="str">
        <f t="shared" si="302"/>
        <v>Medium</v>
      </c>
      <c r="I3848">
        <v>8</v>
      </c>
      <c r="J3848" t="str" cm="1">
        <f t="array" ref="J3848">_xlfn.IFS(I3848&lt;=3,"small",I3848&lt;=6,"Medium",I3848&lt;=9,"Large")</f>
        <v>Large</v>
      </c>
      <c r="K3848" s="36">
        <v>45048</v>
      </c>
      <c r="L3848" s="36">
        <v>45052</v>
      </c>
      <c r="M3848" t="s">
        <v>612</v>
      </c>
      <c r="N3848" t="s">
        <v>608</v>
      </c>
      <c r="O3848" s="37" t="str">
        <f t="shared" si="303"/>
        <v>Cash Payment</v>
      </c>
      <c r="P3848">
        <v>508.63</v>
      </c>
      <c r="Q3848" s="37" t="str">
        <f>IF(P3848&gt;500,"High","low")</f>
        <v>High</v>
      </c>
      <c r="R3848" s="37" t="str">
        <f t="shared" si="304"/>
        <v>Good</v>
      </c>
      <c r="S3848" t="s">
        <v>620</v>
      </c>
    </row>
    <row r="3849" spans="1:19" x14ac:dyDescent="0.2">
      <c r="A3849" t="s">
        <v>4460</v>
      </c>
      <c r="B3849" t="s">
        <v>67</v>
      </c>
      <c r="C3849" t="s">
        <v>597</v>
      </c>
      <c r="D3849">
        <v>293.45999999999998</v>
      </c>
      <c r="E3849" s="37" t="str">
        <f t="shared" si="300"/>
        <v xml:space="preserve"> </v>
      </c>
      <c r="F3849">
        <v>0.22</v>
      </c>
      <c r="G3849" s="37" t="str">
        <f t="shared" si="301"/>
        <v>Normal Discount</v>
      </c>
      <c r="H3849" s="37" t="str">
        <f t="shared" si="302"/>
        <v>Medium</v>
      </c>
      <c r="I3849">
        <v>4</v>
      </c>
      <c r="J3849" t="str" cm="1">
        <f t="array" ref="J3849">_xlfn.IFS(I3849&lt;=3,"small",I3849&lt;=6,"Medium",I3849&lt;=9,"Large")</f>
        <v>Medium</v>
      </c>
      <c r="K3849" s="36">
        <v>44949</v>
      </c>
      <c r="L3849" s="36">
        <v>44956</v>
      </c>
      <c r="M3849" t="s">
        <v>598</v>
      </c>
      <c r="N3849" t="s">
        <v>604</v>
      </c>
      <c r="O3849" s="37" t="str">
        <f t="shared" si="303"/>
        <v>Digital Payment</v>
      </c>
      <c r="P3849">
        <v>19.95</v>
      </c>
      <c r="Q3849" s="37" t="str">
        <f>IF(P3849&gt;500,"High","low")</f>
        <v>low</v>
      </c>
      <c r="R3849" s="37" t="str">
        <f t="shared" si="304"/>
        <v>AVERAGE</v>
      </c>
      <c r="S3849" t="s">
        <v>600</v>
      </c>
    </row>
    <row r="3850" spans="1:19" x14ac:dyDescent="0.2">
      <c r="A3850" t="s">
        <v>4461</v>
      </c>
      <c r="B3850" t="s">
        <v>75</v>
      </c>
      <c r="C3850" t="s">
        <v>617</v>
      </c>
      <c r="D3850">
        <v>1447.7</v>
      </c>
      <c r="E3850" s="37" t="str">
        <f t="shared" si="300"/>
        <v xml:space="preserve"> </v>
      </c>
      <c r="F3850">
        <v>0.34</v>
      </c>
      <c r="G3850" s="37" t="str">
        <f t="shared" si="301"/>
        <v>Heavy Discount</v>
      </c>
      <c r="H3850" s="37" t="str">
        <f t="shared" si="302"/>
        <v>Medium</v>
      </c>
      <c r="I3850">
        <v>3</v>
      </c>
      <c r="J3850" t="str" cm="1">
        <f t="array" ref="J3850">_xlfn.IFS(I3850&lt;=3,"small",I3850&lt;=6,"Medium",I3850&lt;=9,"Large")</f>
        <v>small</v>
      </c>
      <c r="K3850" s="36">
        <v>44961</v>
      </c>
      <c r="L3850" s="36">
        <v>44965</v>
      </c>
      <c r="M3850" t="s">
        <v>598</v>
      </c>
      <c r="N3850" t="s">
        <v>599</v>
      </c>
      <c r="O3850" s="37" t="str">
        <f t="shared" si="303"/>
        <v>Digital Payment</v>
      </c>
      <c r="P3850">
        <v>164.07</v>
      </c>
      <c r="Q3850" s="37" t="str">
        <f>IF(P3850&gt;500,"High","low")</f>
        <v>low</v>
      </c>
      <c r="R3850" s="37" t="str">
        <f t="shared" si="304"/>
        <v>AVERAGE</v>
      </c>
      <c r="S3850" t="s">
        <v>628</v>
      </c>
    </row>
    <row r="3851" spans="1:19" x14ac:dyDescent="0.2">
      <c r="A3851" t="s">
        <v>4462</v>
      </c>
      <c r="B3851" t="s">
        <v>75</v>
      </c>
      <c r="C3851" t="s">
        <v>607</v>
      </c>
      <c r="D3851">
        <v>195.44</v>
      </c>
      <c r="E3851" s="37" t="str">
        <f t="shared" si="300"/>
        <v xml:space="preserve"> </v>
      </c>
      <c r="F3851">
        <v>0.49</v>
      </c>
      <c r="G3851" s="37" t="str">
        <f t="shared" si="301"/>
        <v>Heavy Discount</v>
      </c>
      <c r="H3851" s="37" t="str">
        <f t="shared" si="302"/>
        <v>High</v>
      </c>
      <c r="I3851">
        <v>5</v>
      </c>
      <c r="J3851" t="str" cm="1">
        <f t="array" ref="J3851">_xlfn.IFS(I3851&lt;=3,"small",I3851&lt;=6,"Medium",I3851&lt;=9,"Large")</f>
        <v>Medium</v>
      </c>
      <c r="K3851" s="36">
        <v>45156</v>
      </c>
      <c r="L3851" s="36">
        <v>45157</v>
      </c>
      <c r="M3851" t="s">
        <v>612</v>
      </c>
      <c r="N3851" t="s">
        <v>604</v>
      </c>
      <c r="O3851" s="37" t="str">
        <f t="shared" si="303"/>
        <v>Digital Payment</v>
      </c>
      <c r="P3851">
        <v>53.89</v>
      </c>
      <c r="Q3851" s="37" t="str">
        <f>IF(P3851&gt;500,"High","low")</f>
        <v>low</v>
      </c>
      <c r="R3851" s="37" t="str">
        <f t="shared" si="304"/>
        <v>AVERAGE</v>
      </c>
      <c r="S3851" t="s">
        <v>600</v>
      </c>
    </row>
    <row r="3852" spans="1:19" x14ac:dyDescent="0.2">
      <c r="A3852" t="s">
        <v>4463</v>
      </c>
      <c r="B3852" t="s">
        <v>67</v>
      </c>
      <c r="C3852" t="s">
        <v>617</v>
      </c>
      <c r="D3852">
        <v>1854.86</v>
      </c>
      <c r="E3852" s="37" t="str">
        <f t="shared" si="300"/>
        <v xml:space="preserve"> </v>
      </c>
      <c r="F3852">
        <v>0.18</v>
      </c>
      <c r="G3852" s="37" t="str">
        <f t="shared" si="301"/>
        <v>Normal Discount</v>
      </c>
      <c r="H3852" s="37" t="str">
        <f t="shared" si="302"/>
        <v>Low</v>
      </c>
      <c r="I3852">
        <v>4</v>
      </c>
      <c r="J3852" t="str" cm="1">
        <f t="array" ref="J3852">_xlfn.IFS(I3852&lt;=3,"small",I3852&lt;=6,"Medium",I3852&lt;=9,"Large")</f>
        <v>Medium</v>
      </c>
      <c r="K3852" s="36">
        <v>45417</v>
      </c>
      <c r="L3852" s="36">
        <v>45423</v>
      </c>
      <c r="M3852" t="s">
        <v>598</v>
      </c>
      <c r="N3852" t="s">
        <v>604</v>
      </c>
      <c r="O3852" s="37" t="str">
        <f t="shared" si="303"/>
        <v>Digital Payment</v>
      </c>
      <c r="P3852">
        <v>104.65</v>
      </c>
      <c r="Q3852" s="37" t="str">
        <f>IF(P3852&gt;500,"High","low")</f>
        <v>low</v>
      </c>
      <c r="R3852" s="37" t="str">
        <f t="shared" si="304"/>
        <v>AVERAGE</v>
      </c>
      <c r="S3852" t="s">
        <v>620</v>
      </c>
    </row>
    <row r="3853" spans="1:19" x14ac:dyDescent="0.2">
      <c r="A3853" t="s">
        <v>4464</v>
      </c>
      <c r="B3853" t="s">
        <v>75</v>
      </c>
      <c r="C3853" t="s">
        <v>607</v>
      </c>
      <c r="D3853">
        <v>1369.64</v>
      </c>
      <c r="E3853" s="37" t="str">
        <f t="shared" si="300"/>
        <v xml:space="preserve"> </v>
      </c>
      <c r="F3853">
        <v>0.31</v>
      </c>
      <c r="G3853" s="37" t="str">
        <f t="shared" si="301"/>
        <v>Heavy Discount</v>
      </c>
      <c r="H3853" s="37" t="str">
        <f t="shared" si="302"/>
        <v>Medium</v>
      </c>
      <c r="I3853">
        <v>5</v>
      </c>
      <c r="J3853" t="str" cm="1">
        <f t="array" ref="J3853">_xlfn.IFS(I3853&lt;=3,"small",I3853&lt;=6,"Medium",I3853&lt;=9,"Large")</f>
        <v>Medium</v>
      </c>
      <c r="K3853" s="36">
        <v>45067</v>
      </c>
      <c r="L3853" s="36">
        <v>45073</v>
      </c>
      <c r="M3853" t="s">
        <v>603</v>
      </c>
      <c r="N3853" t="s">
        <v>599</v>
      </c>
      <c r="O3853" s="37" t="str">
        <f t="shared" si="303"/>
        <v>Digital Payment</v>
      </c>
      <c r="P3853">
        <v>323.88</v>
      </c>
      <c r="Q3853" s="37" t="str">
        <f>IF(P3853&gt;500,"High","low")</f>
        <v>low</v>
      </c>
      <c r="R3853" s="37" t="str">
        <f t="shared" si="304"/>
        <v>AVERAGE</v>
      </c>
      <c r="S3853" t="s">
        <v>628</v>
      </c>
    </row>
    <row r="3854" spans="1:19" x14ac:dyDescent="0.2">
      <c r="A3854" t="s">
        <v>4465</v>
      </c>
      <c r="B3854" t="s">
        <v>90</v>
      </c>
      <c r="C3854" t="s">
        <v>602</v>
      </c>
      <c r="D3854">
        <v>3472.12</v>
      </c>
      <c r="E3854" s="37" t="str">
        <f t="shared" si="300"/>
        <v xml:space="preserve"> </v>
      </c>
      <c r="F3854">
        <v>0.43</v>
      </c>
      <c r="G3854" s="37" t="str">
        <f t="shared" si="301"/>
        <v>Heavy Discount</v>
      </c>
      <c r="H3854" s="37" t="str">
        <f t="shared" si="302"/>
        <v>High</v>
      </c>
      <c r="I3854">
        <v>9</v>
      </c>
      <c r="J3854" t="str" cm="1">
        <f t="array" ref="J3854">_xlfn.IFS(I3854&lt;=3,"small",I3854&lt;=6,"Medium",I3854&lt;=9,"Large")</f>
        <v>Large</v>
      </c>
      <c r="K3854" s="36">
        <v>45308</v>
      </c>
      <c r="L3854" s="36">
        <v>45309</v>
      </c>
      <c r="M3854" t="s">
        <v>598</v>
      </c>
      <c r="N3854" t="s">
        <v>608</v>
      </c>
      <c r="O3854" s="37" t="str">
        <f t="shared" si="303"/>
        <v>Cash Payment</v>
      </c>
      <c r="P3854">
        <v>311.26</v>
      </c>
      <c r="Q3854" s="37" t="str">
        <f>IF(P3854&gt;500,"High","low")</f>
        <v>low</v>
      </c>
      <c r="R3854" s="37" t="str">
        <f t="shared" si="304"/>
        <v>AVERAGE</v>
      </c>
      <c r="S3854" t="s">
        <v>605</v>
      </c>
    </row>
    <row r="3855" spans="1:19" x14ac:dyDescent="0.2">
      <c r="A3855" t="s">
        <v>4466</v>
      </c>
      <c r="B3855" t="s">
        <v>90</v>
      </c>
      <c r="C3855" t="s">
        <v>602</v>
      </c>
      <c r="D3855">
        <v>1606.29</v>
      </c>
      <c r="E3855" s="37" t="str">
        <f t="shared" si="300"/>
        <v xml:space="preserve"> </v>
      </c>
      <c r="F3855">
        <v>0.05</v>
      </c>
      <c r="G3855" s="37" t="str">
        <f t="shared" si="301"/>
        <v>Normal Discount</v>
      </c>
      <c r="H3855" s="37" t="str">
        <f t="shared" si="302"/>
        <v>Low</v>
      </c>
      <c r="I3855">
        <v>3</v>
      </c>
      <c r="J3855" t="str" cm="1">
        <f t="array" ref="J3855">_xlfn.IFS(I3855&lt;=3,"small",I3855&lt;=6,"Medium",I3855&lt;=9,"Large")</f>
        <v>small</v>
      </c>
      <c r="K3855" s="36">
        <v>45208</v>
      </c>
      <c r="L3855" s="36">
        <v>45214</v>
      </c>
      <c r="M3855" t="s">
        <v>598</v>
      </c>
      <c r="N3855" t="s">
        <v>608</v>
      </c>
      <c r="O3855" s="37" t="str">
        <f t="shared" si="303"/>
        <v>Cash Payment</v>
      </c>
      <c r="P3855">
        <v>414.91</v>
      </c>
      <c r="Q3855" s="37" t="str">
        <f>IF(P3855&gt;500,"High","low")</f>
        <v>low</v>
      </c>
      <c r="R3855" s="37" t="str">
        <f t="shared" si="304"/>
        <v>AVERAGE</v>
      </c>
      <c r="S3855" t="s">
        <v>605</v>
      </c>
    </row>
    <row r="3856" spans="1:19" x14ac:dyDescent="0.2">
      <c r="A3856" t="s">
        <v>4467</v>
      </c>
      <c r="B3856" t="s">
        <v>67</v>
      </c>
      <c r="C3856" t="s">
        <v>617</v>
      </c>
      <c r="D3856">
        <v>1938.28</v>
      </c>
      <c r="E3856" s="37" t="str">
        <f t="shared" si="300"/>
        <v xml:space="preserve"> </v>
      </c>
      <c r="F3856">
        <v>0.4</v>
      </c>
      <c r="G3856" s="37" t="str">
        <f t="shared" si="301"/>
        <v>Heavy Discount</v>
      </c>
      <c r="H3856" s="37" t="str">
        <f t="shared" si="302"/>
        <v>Medium</v>
      </c>
      <c r="I3856">
        <v>2</v>
      </c>
      <c r="J3856" t="str" cm="1">
        <f t="array" ref="J3856">_xlfn.IFS(I3856&lt;=3,"small",I3856&lt;=6,"Medium",I3856&lt;=9,"Large")</f>
        <v>small</v>
      </c>
      <c r="K3856" s="36">
        <v>45132</v>
      </c>
      <c r="L3856" s="36">
        <v>45138</v>
      </c>
      <c r="M3856" t="s">
        <v>603</v>
      </c>
      <c r="N3856" t="s">
        <v>604</v>
      </c>
      <c r="O3856" s="37" t="str">
        <f t="shared" si="303"/>
        <v>Digital Payment</v>
      </c>
      <c r="P3856">
        <v>391.43</v>
      </c>
      <c r="Q3856" s="37" t="str">
        <f>IF(P3856&gt;500,"High","low")</f>
        <v>low</v>
      </c>
      <c r="R3856" s="37" t="str">
        <f t="shared" si="304"/>
        <v>AVERAGE</v>
      </c>
      <c r="S3856" t="s">
        <v>615</v>
      </c>
    </row>
    <row r="3857" spans="1:19" x14ac:dyDescent="0.2">
      <c r="A3857" t="s">
        <v>4468</v>
      </c>
      <c r="B3857" t="s">
        <v>75</v>
      </c>
      <c r="C3857" t="s">
        <v>597</v>
      </c>
      <c r="D3857">
        <v>3654.14</v>
      </c>
      <c r="E3857" s="37" t="str">
        <f t="shared" si="300"/>
        <v xml:space="preserve"> </v>
      </c>
      <c r="F3857">
        <v>0.12</v>
      </c>
      <c r="G3857" s="37" t="str">
        <f t="shared" si="301"/>
        <v>Normal Discount</v>
      </c>
      <c r="H3857" s="37" t="str">
        <f t="shared" si="302"/>
        <v>Low</v>
      </c>
      <c r="I3857">
        <v>2</v>
      </c>
      <c r="J3857" t="str" cm="1">
        <f t="array" ref="J3857">_xlfn.IFS(I3857&lt;=3,"small",I3857&lt;=6,"Medium",I3857&lt;=9,"Large")</f>
        <v>small</v>
      </c>
      <c r="K3857" s="36">
        <v>45089</v>
      </c>
      <c r="L3857" s="36">
        <v>45096</v>
      </c>
      <c r="M3857" t="s">
        <v>603</v>
      </c>
      <c r="N3857" t="s">
        <v>604</v>
      </c>
      <c r="O3857" s="37" t="str">
        <f t="shared" si="303"/>
        <v>Digital Payment</v>
      </c>
      <c r="P3857">
        <v>213.56</v>
      </c>
      <c r="Q3857" s="37" t="str">
        <f>IF(P3857&gt;500,"High","low")</f>
        <v>low</v>
      </c>
      <c r="R3857" s="37" t="str">
        <f t="shared" si="304"/>
        <v>AVERAGE</v>
      </c>
      <c r="S3857" t="s">
        <v>615</v>
      </c>
    </row>
    <row r="3858" spans="1:19" x14ac:dyDescent="0.2">
      <c r="A3858" t="s">
        <v>4469</v>
      </c>
      <c r="B3858" t="s">
        <v>83</v>
      </c>
      <c r="C3858" t="s">
        <v>614</v>
      </c>
      <c r="D3858">
        <v>2456.5</v>
      </c>
      <c r="E3858" s="37" t="str">
        <f t="shared" si="300"/>
        <v xml:space="preserve"> </v>
      </c>
      <c r="F3858">
        <v>0.27</v>
      </c>
      <c r="G3858" s="37" t="str">
        <f t="shared" si="301"/>
        <v>Normal Discount</v>
      </c>
      <c r="H3858" s="37" t="str">
        <f t="shared" si="302"/>
        <v>Medium</v>
      </c>
      <c r="I3858">
        <v>9</v>
      </c>
      <c r="J3858" t="str" cm="1">
        <f t="array" ref="J3858">_xlfn.IFS(I3858&lt;=3,"small",I3858&lt;=6,"Medium",I3858&lt;=9,"Large")</f>
        <v>Large</v>
      </c>
      <c r="K3858" s="36">
        <v>45351</v>
      </c>
      <c r="L3858" s="36">
        <v>45354</v>
      </c>
      <c r="M3858" t="s">
        <v>598</v>
      </c>
      <c r="N3858" t="s">
        <v>604</v>
      </c>
      <c r="O3858" s="37" t="str">
        <f t="shared" si="303"/>
        <v>Digital Payment</v>
      </c>
      <c r="P3858">
        <v>128.04</v>
      </c>
      <c r="Q3858" s="37" t="str">
        <f>IF(P3858&gt;500,"High","low")</f>
        <v>low</v>
      </c>
      <c r="R3858" s="37" t="str">
        <f t="shared" si="304"/>
        <v>AVERAGE</v>
      </c>
      <c r="S3858" t="s">
        <v>620</v>
      </c>
    </row>
    <row r="3859" spans="1:19" x14ac:dyDescent="0.2">
      <c r="A3859" t="s">
        <v>4470</v>
      </c>
      <c r="B3859" t="s">
        <v>90</v>
      </c>
      <c r="C3859" t="s">
        <v>597</v>
      </c>
      <c r="D3859">
        <v>2826.63</v>
      </c>
      <c r="E3859" s="37" t="str">
        <f t="shared" si="300"/>
        <v xml:space="preserve"> </v>
      </c>
      <c r="F3859">
        <v>0.5</v>
      </c>
      <c r="G3859" s="37" t="str">
        <f t="shared" si="301"/>
        <v>Heavy Discount</v>
      </c>
      <c r="H3859" s="37" t="str">
        <f t="shared" si="302"/>
        <v>High</v>
      </c>
      <c r="I3859">
        <v>7</v>
      </c>
      <c r="J3859" t="str" cm="1">
        <f t="array" ref="J3859">_xlfn.IFS(I3859&lt;=3,"small",I3859&lt;=6,"Medium",I3859&lt;=9,"Large")</f>
        <v>Large</v>
      </c>
      <c r="K3859" s="36">
        <v>45060</v>
      </c>
      <c r="L3859" s="36">
        <v>45067</v>
      </c>
      <c r="M3859" t="s">
        <v>612</v>
      </c>
      <c r="N3859" t="s">
        <v>599</v>
      </c>
      <c r="O3859" s="37" t="str">
        <f t="shared" si="303"/>
        <v>Digital Payment</v>
      </c>
      <c r="P3859">
        <v>547.94000000000005</v>
      </c>
      <c r="Q3859" s="37" t="str">
        <f>IF(P3859&gt;500,"High","low")</f>
        <v>High</v>
      </c>
      <c r="R3859" s="37" t="str">
        <f t="shared" si="304"/>
        <v>Good</v>
      </c>
      <c r="S3859" t="s">
        <v>615</v>
      </c>
    </row>
    <row r="3860" spans="1:19" x14ac:dyDescent="0.2">
      <c r="A3860" t="s">
        <v>4471</v>
      </c>
      <c r="B3860" t="s">
        <v>67</v>
      </c>
      <c r="C3860" t="s">
        <v>597</v>
      </c>
      <c r="D3860">
        <v>4222.6000000000004</v>
      </c>
      <c r="E3860" s="37" t="str">
        <f t="shared" si="300"/>
        <v>Excellent Order</v>
      </c>
      <c r="F3860">
        <v>0.49</v>
      </c>
      <c r="G3860" s="37" t="str">
        <f t="shared" si="301"/>
        <v>Heavy Discount</v>
      </c>
      <c r="H3860" s="37" t="str">
        <f t="shared" si="302"/>
        <v>High</v>
      </c>
      <c r="I3860">
        <v>4</v>
      </c>
      <c r="J3860" t="str" cm="1">
        <f t="array" ref="J3860">_xlfn.IFS(I3860&lt;=3,"small",I3860&lt;=6,"Medium",I3860&lt;=9,"Large")</f>
        <v>Medium</v>
      </c>
      <c r="K3860" s="36">
        <v>45510</v>
      </c>
      <c r="L3860" s="36">
        <v>45517</v>
      </c>
      <c r="M3860" t="s">
        <v>603</v>
      </c>
      <c r="N3860" t="s">
        <v>604</v>
      </c>
      <c r="O3860" s="37" t="str">
        <f t="shared" si="303"/>
        <v>Digital Payment</v>
      </c>
      <c r="P3860">
        <v>1049.1300000000001</v>
      </c>
      <c r="Q3860" s="37" t="str">
        <f>IF(P3860&gt;500,"High","low")</f>
        <v>High</v>
      </c>
      <c r="R3860" s="37" t="str">
        <f t="shared" si="304"/>
        <v>Excellent</v>
      </c>
      <c r="S3860" t="s">
        <v>600</v>
      </c>
    </row>
    <row r="3861" spans="1:19" x14ac:dyDescent="0.2">
      <c r="A3861" t="s">
        <v>4472</v>
      </c>
      <c r="B3861" t="s">
        <v>75</v>
      </c>
      <c r="C3861" t="s">
        <v>614</v>
      </c>
      <c r="D3861">
        <v>1113.75</v>
      </c>
      <c r="E3861" s="37" t="str">
        <f t="shared" si="300"/>
        <v xml:space="preserve"> </v>
      </c>
      <c r="F3861">
        <v>0.16</v>
      </c>
      <c r="G3861" s="37" t="str">
        <f t="shared" si="301"/>
        <v>Normal Discount</v>
      </c>
      <c r="H3861" s="37" t="str">
        <f t="shared" si="302"/>
        <v>Low</v>
      </c>
      <c r="I3861">
        <v>6</v>
      </c>
      <c r="J3861" t="str" cm="1">
        <f t="array" ref="J3861">_xlfn.IFS(I3861&lt;=3,"small",I3861&lt;=6,"Medium",I3861&lt;=9,"Large")</f>
        <v>Medium</v>
      </c>
      <c r="K3861" s="36">
        <v>45490</v>
      </c>
      <c r="L3861" s="36">
        <v>45496</v>
      </c>
      <c r="M3861" t="s">
        <v>603</v>
      </c>
      <c r="N3861" t="s">
        <v>608</v>
      </c>
      <c r="O3861" s="37" t="str">
        <f t="shared" si="303"/>
        <v>Cash Payment</v>
      </c>
      <c r="P3861">
        <v>254.52</v>
      </c>
      <c r="Q3861" s="37" t="str">
        <f>IF(P3861&gt;500,"High","low")</f>
        <v>low</v>
      </c>
      <c r="R3861" s="37" t="str">
        <f t="shared" si="304"/>
        <v>AVERAGE</v>
      </c>
      <c r="S3861" t="s">
        <v>609</v>
      </c>
    </row>
    <row r="3862" spans="1:19" x14ac:dyDescent="0.2">
      <c r="A3862" t="s">
        <v>4473</v>
      </c>
      <c r="B3862" t="s">
        <v>67</v>
      </c>
      <c r="C3862" t="s">
        <v>602</v>
      </c>
      <c r="D3862">
        <v>4947.01</v>
      </c>
      <c r="E3862" s="37" t="str">
        <f t="shared" si="300"/>
        <v xml:space="preserve"> </v>
      </c>
      <c r="F3862">
        <v>7.0000000000000007E-2</v>
      </c>
      <c r="G3862" s="37" t="str">
        <f t="shared" si="301"/>
        <v>Normal Discount</v>
      </c>
      <c r="H3862" s="37" t="str">
        <f t="shared" si="302"/>
        <v>Low</v>
      </c>
      <c r="I3862">
        <v>6</v>
      </c>
      <c r="J3862" t="str" cm="1">
        <f t="array" ref="J3862">_xlfn.IFS(I3862&lt;=3,"small",I3862&lt;=6,"Medium",I3862&lt;=9,"Large")</f>
        <v>Medium</v>
      </c>
      <c r="K3862" s="36">
        <v>45414</v>
      </c>
      <c r="L3862" s="36">
        <v>45418</v>
      </c>
      <c r="M3862" t="s">
        <v>612</v>
      </c>
      <c r="N3862" t="s">
        <v>599</v>
      </c>
      <c r="O3862" s="37" t="str">
        <f t="shared" si="303"/>
        <v>Digital Payment</v>
      </c>
      <c r="P3862">
        <v>612.83000000000004</v>
      </c>
      <c r="Q3862" s="37" t="str">
        <f>IF(P3862&gt;500,"High","low")</f>
        <v>High</v>
      </c>
      <c r="R3862" s="37" t="str">
        <f t="shared" si="304"/>
        <v>Good</v>
      </c>
      <c r="S3862" t="s">
        <v>605</v>
      </c>
    </row>
    <row r="3863" spans="1:19" x14ac:dyDescent="0.2">
      <c r="A3863" t="s">
        <v>4474</v>
      </c>
      <c r="B3863" t="s">
        <v>83</v>
      </c>
      <c r="C3863" t="s">
        <v>602</v>
      </c>
      <c r="D3863">
        <v>4510.51</v>
      </c>
      <c r="E3863" s="37" t="str">
        <f t="shared" si="300"/>
        <v>Excellent Order</v>
      </c>
      <c r="F3863">
        <v>0.47</v>
      </c>
      <c r="G3863" s="37" t="str">
        <f t="shared" si="301"/>
        <v>Heavy Discount</v>
      </c>
      <c r="H3863" s="37" t="str">
        <f t="shared" si="302"/>
        <v>High</v>
      </c>
      <c r="I3863">
        <v>3</v>
      </c>
      <c r="J3863" t="str" cm="1">
        <f t="array" ref="J3863">_xlfn.IFS(I3863&lt;=3,"small",I3863&lt;=6,"Medium",I3863&lt;=9,"Large")</f>
        <v>small</v>
      </c>
      <c r="K3863" s="36">
        <v>45491</v>
      </c>
      <c r="L3863" s="36">
        <v>45492</v>
      </c>
      <c r="M3863" t="s">
        <v>603</v>
      </c>
      <c r="N3863" t="s">
        <v>608</v>
      </c>
      <c r="O3863" s="37" t="str">
        <f t="shared" si="303"/>
        <v>Cash Payment</v>
      </c>
      <c r="P3863">
        <v>1041.8900000000001</v>
      </c>
      <c r="Q3863" s="37" t="str">
        <f>IF(P3863&gt;500,"High","low")</f>
        <v>High</v>
      </c>
      <c r="R3863" s="37" t="str">
        <f t="shared" si="304"/>
        <v>Excellent</v>
      </c>
      <c r="S3863" t="s">
        <v>609</v>
      </c>
    </row>
    <row r="3864" spans="1:19" x14ac:dyDescent="0.2">
      <c r="A3864" t="s">
        <v>4475</v>
      </c>
      <c r="B3864" t="s">
        <v>90</v>
      </c>
      <c r="C3864" t="s">
        <v>614</v>
      </c>
      <c r="D3864">
        <v>1504.11</v>
      </c>
      <c r="E3864" s="37" t="str">
        <f t="shared" si="300"/>
        <v xml:space="preserve"> </v>
      </c>
      <c r="F3864">
        <v>0.45</v>
      </c>
      <c r="G3864" s="37" t="str">
        <f t="shared" si="301"/>
        <v>Heavy Discount</v>
      </c>
      <c r="H3864" s="37" t="str">
        <f t="shared" si="302"/>
        <v>High</v>
      </c>
      <c r="I3864">
        <v>9</v>
      </c>
      <c r="J3864" t="str" cm="1">
        <f t="array" ref="J3864">_xlfn.IFS(I3864&lt;=3,"small",I3864&lt;=6,"Medium",I3864&lt;=9,"Large")</f>
        <v>Large</v>
      </c>
      <c r="K3864" s="36">
        <v>45421</v>
      </c>
      <c r="L3864" s="36">
        <v>45423</v>
      </c>
      <c r="M3864" t="s">
        <v>612</v>
      </c>
      <c r="N3864" t="s">
        <v>599</v>
      </c>
      <c r="O3864" s="37" t="str">
        <f t="shared" si="303"/>
        <v>Digital Payment</v>
      </c>
      <c r="P3864">
        <v>179.71</v>
      </c>
      <c r="Q3864" s="37" t="str">
        <f>IF(P3864&gt;500,"High","low")</f>
        <v>low</v>
      </c>
      <c r="R3864" s="37" t="str">
        <f t="shared" si="304"/>
        <v>AVERAGE</v>
      </c>
      <c r="S3864" t="s">
        <v>605</v>
      </c>
    </row>
    <row r="3865" spans="1:19" x14ac:dyDescent="0.2">
      <c r="A3865" t="s">
        <v>4476</v>
      </c>
      <c r="B3865" t="s">
        <v>67</v>
      </c>
      <c r="C3865" t="s">
        <v>607</v>
      </c>
      <c r="D3865">
        <v>4475.3999999999996</v>
      </c>
      <c r="E3865" s="37" t="str">
        <f t="shared" si="300"/>
        <v xml:space="preserve"> </v>
      </c>
      <c r="F3865">
        <v>0.31</v>
      </c>
      <c r="G3865" s="37" t="str">
        <f t="shared" si="301"/>
        <v>Heavy Discount</v>
      </c>
      <c r="H3865" s="37" t="str">
        <f t="shared" si="302"/>
        <v>Medium</v>
      </c>
      <c r="I3865">
        <v>4</v>
      </c>
      <c r="J3865" t="str" cm="1">
        <f t="array" ref="J3865">_xlfn.IFS(I3865&lt;=3,"small",I3865&lt;=6,"Medium",I3865&lt;=9,"Large")</f>
        <v>Medium</v>
      </c>
      <c r="K3865" s="36">
        <v>45389</v>
      </c>
      <c r="L3865" s="36">
        <v>45390</v>
      </c>
      <c r="M3865" t="s">
        <v>603</v>
      </c>
      <c r="N3865" t="s">
        <v>599</v>
      </c>
      <c r="O3865" s="37" t="str">
        <f t="shared" si="303"/>
        <v>Digital Payment</v>
      </c>
      <c r="P3865">
        <v>777.67</v>
      </c>
      <c r="Q3865" s="37" t="str">
        <f>IF(P3865&gt;500,"High","low")</f>
        <v>High</v>
      </c>
      <c r="R3865" s="37" t="str">
        <f t="shared" si="304"/>
        <v>Good</v>
      </c>
      <c r="S3865" t="s">
        <v>615</v>
      </c>
    </row>
    <row r="3866" spans="1:19" x14ac:dyDescent="0.2">
      <c r="A3866" t="s">
        <v>4477</v>
      </c>
      <c r="B3866" t="s">
        <v>67</v>
      </c>
      <c r="C3866" t="s">
        <v>597</v>
      </c>
      <c r="D3866">
        <v>3794.39</v>
      </c>
      <c r="E3866" s="37" t="str">
        <f t="shared" si="300"/>
        <v xml:space="preserve"> </v>
      </c>
      <c r="F3866">
        <v>0.02</v>
      </c>
      <c r="G3866" s="37" t="str">
        <f t="shared" si="301"/>
        <v>Normal Discount</v>
      </c>
      <c r="H3866" s="37" t="str">
        <f t="shared" si="302"/>
        <v>Low</v>
      </c>
      <c r="I3866">
        <v>1</v>
      </c>
      <c r="J3866" t="str" cm="1">
        <f t="array" ref="J3866">_xlfn.IFS(I3866&lt;=3,"small",I3866&lt;=6,"Medium",I3866&lt;=9,"Large")</f>
        <v>small</v>
      </c>
      <c r="K3866" s="36">
        <v>45613</v>
      </c>
      <c r="L3866" s="36">
        <v>45614</v>
      </c>
      <c r="M3866" t="s">
        <v>598</v>
      </c>
      <c r="N3866" t="s">
        <v>604</v>
      </c>
      <c r="O3866" s="37" t="str">
        <f t="shared" si="303"/>
        <v>Digital Payment</v>
      </c>
      <c r="P3866">
        <v>399.53</v>
      </c>
      <c r="Q3866" s="37" t="str">
        <f>IF(P3866&gt;500,"High","low")</f>
        <v>low</v>
      </c>
      <c r="R3866" s="37" t="str">
        <f t="shared" si="304"/>
        <v>AVERAGE</v>
      </c>
      <c r="S3866" t="s">
        <v>600</v>
      </c>
    </row>
    <row r="3867" spans="1:19" x14ac:dyDescent="0.2">
      <c r="A3867" t="s">
        <v>4478</v>
      </c>
      <c r="B3867" t="s">
        <v>67</v>
      </c>
      <c r="C3867" t="s">
        <v>617</v>
      </c>
      <c r="D3867">
        <v>4660.71</v>
      </c>
      <c r="E3867" s="37" t="str">
        <f t="shared" si="300"/>
        <v xml:space="preserve"> </v>
      </c>
      <c r="F3867">
        <v>0.38</v>
      </c>
      <c r="G3867" s="37" t="str">
        <f t="shared" si="301"/>
        <v>Heavy Discount</v>
      </c>
      <c r="H3867" s="37" t="str">
        <f t="shared" si="302"/>
        <v>Medium</v>
      </c>
      <c r="I3867">
        <v>2</v>
      </c>
      <c r="J3867" t="str" cm="1">
        <f t="array" ref="J3867">_xlfn.IFS(I3867&lt;=3,"small",I3867&lt;=6,"Medium",I3867&lt;=9,"Large")</f>
        <v>small</v>
      </c>
      <c r="K3867" s="36">
        <v>45006</v>
      </c>
      <c r="L3867" s="36">
        <v>45010</v>
      </c>
      <c r="M3867" t="s">
        <v>598</v>
      </c>
      <c r="N3867" t="s">
        <v>604</v>
      </c>
      <c r="O3867" s="37" t="str">
        <f t="shared" si="303"/>
        <v>Digital Payment</v>
      </c>
      <c r="P3867">
        <v>367.77</v>
      </c>
      <c r="Q3867" s="37" t="str">
        <f>IF(P3867&gt;500,"High","low")</f>
        <v>low</v>
      </c>
      <c r="R3867" s="37" t="str">
        <f t="shared" si="304"/>
        <v>AVERAGE</v>
      </c>
      <c r="S3867" t="s">
        <v>615</v>
      </c>
    </row>
    <row r="3868" spans="1:19" x14ac:dyDescent="0.2">
      <c r="A3868" t="s">
        <v>4479</v>
      </c>
      <c r="B3868" t="s">
        <v>83</v>
      </c>
      <c r="C3868" t="s">
        <v>602</v>
      </c>
      <c r="D3868">
        <v>3486.56</v>
      </c>
      <c r="E3868" s="37" t="str">
        <f t="shared" si="300"/>
        <v xml:space="preserve"> </v>
      </c>
      <c r="F3868">
        <v>0.08</v>
      </c>
      <c r="G3868" s="37" t="str">
        <f t="shared" si="301"/>
        <v>Normal Discount</v>
      </c>
      <c r="H3868" s="37" t="str">
        <f t="shared" si="302"/>
        <v>Low</v>
      </c>
      <c r="I3868">
        <v>5</v>
      </c>
      <c r="J3868" t="str" cm="1">
        <f t="array" ref="J3868">_xlfn.IFS(I3868&lt;=3,"small",I3868&lt;=6,"Medium",I3868&lt;=9,"Large")</f>
        <v>Medium</v>
      </c>
      <c r="K3868" s="36">
        <v>45019</v>
      </c>
      <c r="L3868" s="36">
        <v>45024</v>
      </c>
      <c r="M3868" t="s">
        <v>612</v>
      </c>
      <c r="N3868" t="s">
        <v>604</v>
      </c>
      <c r="O3868" s="37" t="str">
        <f t="shared" si="303"/>
        <v>Digital Payment</v>
      </c>
      <c r="P3868">
        <v>1011.31</v>
      </c>
      <c r="Q3868" s="37" t="str">
        <f>IF(P3868&gt;500,"High","low")</f>
        <v>High</v>
      </c>
      <c r="R3868" s="37" t="str">
        <f t="shared" si="304"/>
        <v>Excellent</v>
      </c>
      <c r="S3868" t="s">
        <v>615</v>
      </c>
    </row>
    <row r="3869" spans="1:19" x14ac:dyDescent="0.2">
      <c r="A3869" t="s">
        <v>4480</v>
      </c>
      <c r="B3869" t="s">
        <v>67</v>
      </c>
      <c r="C3869" t="s">
        <v>617</v>
      </c>
      <c r="D3869">
        <v>3404.94</v>
      </c>
      <c r="E3869" s="37" t="str">
        <f t="shared" si="300"/>
        <v xml:space="preserve"> </v>
      </c>
      <c r="F3869">
        <v>0.47</v>
      </c>
      <c r="G3869" s="37" t="str">
        <f t="shared" si="301"/>
        <v>Heavy Discount</v>
      </c>
      <c r="H3869" s="37" t="str">
        <f t="shared" si="302"/>
        <v>High</v>
      </c>
      <c r="I3869">
        <v>8</v>
      </c>
      <c r="J3869" t="str" cm="1">
        <f t="array" ref="J3869">_xlfn.IFS(I3869&lt;=3,"small",I3869&lt;=6,"Medium",I3869&lt;=9,"Large")</f>
        <v>Large</v>
      </c>
      <c r="K3869" s="36">
        <v>44990</v>
      </c>
      <c r="L3869" s="36">
        <v>44992</v>
      </c>
      <c r="M3869" t="s">
        <v>598</v>
      </c>
      <c r="N3869" t="s">
        <v>604</v>
      </c>
      <c r="O3869" s="37" t="str">
        <f t="shared" si="303"/>
        <v>Digital Payment</v>
      </c>
      <c r="P3869">
        <v>722.06</v>
      </c>
      <c r="Q3869" s="37" t="str">
        <f>IF(P3869&gt;500,"High","low")</f>
        <v>High</v>
      </c>
      <c r="R3869" s="37" t="str">
        <f t="shared" si="304"/>
        <v>Good</v>
      </c>
      <c r="S3869" t="s">
        <v>605</v>
      </c>
    </row>
    <row r="3870" spans="1:19" x14ac:dyDescent="0.2">
      <c r="A3870" t="s">
        <v>4481</v>
      </c>
      <c r="B3870" t="s">
        <v>83</v>
      </c>
      <c r="C3870" t="s">
        <v>614</v>
      </c>
      <c r="D3870">
        <v>116.98</v>
      </c>
      <c r="E3870" s="37" t="str">
        <f t="shared" si="300"/>
        <v xml:space="preserve"> </v>
      </c>
      <c r="F3870">
        <v>0.22</v>
      </c>
      <c r="G3870" s="37" t="str">
        <f t="shared" si="301"/>
        <v>Normal Discount</v>
      </c>
      <c r="H3870" s="37" t="str">
        <f t="shared" si="302"/>
        <v>Medium</v>
      </c>
      <c r="I3870">
        <v>7</v>
      </c>
      <c r="J3870" t="str" cm="1">
        <f t="array" ref="J3870">_xlfn.IFS(I3870&lt;=3,"small",I3870&lt;=6,"Medium",I3870&lt;=9,"Large")</f>
        <v>Large</v>
      </c>
      <c r="K3870" s="36">
        <v>45472</v>
      </c>
      <c r="L3870" s="36">
        <v>45477</v>
      </c>
      <c r="M3870" t="s">
        <v>612</v>
      </c>
      <c r="N3870" t="s">
        <v>604</v>
      </c>
      <c r="O3870" s="37" t="str">
        <f t="shared" si="303"/>
        <v>Digital Payment</v>
      </c>
      <c r="P3870">
        <v>12.4</v>
      </c>
      <c r="Q3870" s="37" t="str">
        <f>IF(P3870&gt;500,"High","low")</f>
        <v>low</v>
      </c>
      <c r="R3870" s="37" t="str">
        <f t="shared" si="304"/>
        <v>AVERAGE</v>
      </c>
      <c r="S3870" t="s">
        <v>628</v>
      </c>
    </row>
    <row r="3871" spans="1:19" x14ac:dyDescent="0.2">
      <c r="A3871" t="s">
        <v>4482</v>
      </c>
      <c r="B3871" t="s">
        <v>83</v>
      </c>
      <c r="C3871" t="s">
        <v>617</v>
      </c>
      <c r="D3871">
        <v>2425.6</v>
      </c>
      <c r="E3871" s="37" t="str">
        <f t="shared" si="300"/>
        <v xml:space="preserve"> </v>
      </c>
      <c r="F3871">
        <v>0.31</v>
      </c>
      <c r="G3871" s="37" t="str">
        <f t="shared" si="301"/>
        <v>Heavy Discount</v>
      </c>
      <c r="H3871" s="37" t="str">
        <f t="shared" si="302"/>
        <v>Medium</v>
      </c>
      <c r="I3871">
        <v>9</v>
      </c>
      <c r="J3871" t="str" cm="1">
        <f t="array" ref="J3871">_xlfn.IFS(I3871&lt;=3,"small",I3871&lt;=6,"Medium",I3871&lt;=9,"Large")</f>
        <v>Large</v>
      </c>
      <c r="K3871" s="36">
        <v>45436</v>
      </c>
      <c r="L3871" s="36">
        <v>45439</v>
      </c>
      <c r="M3871" t="s">
        <v>598</v>
      </c>
      <c r="N3871" t="s">
        <v>608</v>
      </c>
      <c r="O3871" s="37" t="str">
        <f t="shared" si="303"/>
        <v>Cash Payment</v>
      </c>
      <c r="P3871">
        <v>195.95</v>
      </c>
      <c r="Q3871" s="37" t="str">
        <f>IF(P3871&gt;500,"High","low")</f>
        <v>low</v>
      </c>
      <c r="R3871" s="37" t="str">
        <f t="shared" si="304"/>
        <v>AVERAGE</v>
      </c>
      <c r="S3871" t="s">
        <v>600</v>
      </c>
    </row>
    <row r="3872" spans="1:19" x14ac:dyDescent="0.2">
      <c r="A3872" t="s">
        <v>4483</v>
      </c>
      <c r="B3872" t="s">
        <v>83</v>
      </c>
      <c r="C3872" t="s">
        <v>617</v>
      </c>
      <c r="D3872">
        <v>1081.32</v>
      </c>
      <c r="E3872" s="37" t="str">
        <f t="shared" si="300"/>
        <v xml:space="preserve"> </v>
      </c>
      <c r="F3872">
        <v>0.14000000000000001</v>
      </c>
      <c r="G3872" s="37" t="str">
        <f t="shared" si="301"/>
        <v>Normal Discount</v>
      </c>
      <c r="H3872" s="37" t="str">
        <f t="shared" si="302"/>
        <v>Low</v>
      </c>
      <c r="I3872">
        <v>1</v>
      </c>
      <c r="J3872" t="str" cm="1">
        <f t="array" ref="J3872">_xlfn.IFS(I3872&lt;=3,"small",I3872&lt;=6,"Medium",I3872&lt;=9,"Large")</f>
        <v>small</v>
      </c>
      <c r="K3872" s="36">
        <v>45211</v>
      </c>
      <c r="L3872" s="36">
        <v>45215</v>
      </c>
      <c r="M3872" t="s">
        <v>612</v>
      </c>
      <c r="N3872" t="s">
        <v>608</v>
      </c>
      <c r="O3872" s="37" t="str">
        <f t="shared" si="303"/>
        <v>Cash Payment</v>
      </c>
      <c r="P3872">
        <v>123.66</v>
      </c>
      <c r="Q3872" s="37" t="str">
        <f>IF(P3872&gt;500,"High","low")</f>
        <v>low</v>
      </c>
      <c r="R3872" s="37" t="str">
        <f t="shared" si="304"/>
        <v>AVERAGE</v>
      </c>
      <c r="S3872" t="s">
        <v>605</v>
      </c>
    </row>
    <row r="3873" spans="1:19" x14ac:dyDescent="0.2">
      <c r="A3873" t="s">
        <v>4484</v>
      </c>
      <c r="B3873" t="s">
        <v>90</v>
      </c>
      <c r="C3873" t="s">
        <v>597</v>
      </c>
      <c r="D3873">
        <v>1688</v>
      </c>
      <c r="E3873" s="37" t="str">
        <f t="shared" si="300"/>
        <v xml:space="preserve"> </v>
      </c>
      <c r="F3873">
        <v>0.24</v>
      </c>
      <c r="G3873" s="37" t="str">
        <f t="shared" si="301"/>
        <v>Normal Discount</v>
      </c>
      <c r="H3873" s="37" t="str">
        <f t="shared" si="302"/>
        <v>Medium</v>
      </c>
      <c r="I3873">
        <v>2</v>
      </c>
      <c r="J3873" t="str" cm="1">
        <f t="array" ref="J3873">_xlfn.IFS(I3873&lt;=3,"small",I3873&lt;=6,"Medium",I3873&lt;=9,"Large")</f>
        <v>small</v>
      </c>
      <c r="K3873" s="36">
        <v>45345</v>
      </c>
      <c r="L3873" s="36">
        <v>45351</v>
      </c>
      <c r="M3873" t="s">
        <v>612</v>
      </c>
      <c r="N3873" t="s">
        <v>604</v>
      </c>
      <c r="O3873" s="37" t="str">
        <f t="shared" si="303"/>
        <v>Digital Payment</v>
      </c>
      <c r="P3873">
        <v>241.1</v>
      </c>
      <c r="Q3873" s="37" t="str">
        <f>IF(P3873&gt;500,"High","low")</f>
        <v>low</v>
      </c>
      <c r="R3873" s="37" t="str">
        <f t="shared" si="304"/>
        <v>AVERAGE</v>
      </c>
      <c r="S3873" t="s">
        <v>620</v>
      </c>
    </row>
    <row r="3874" spans="1:19" x14ac:dyDescent="0.2">
      <c r="A3874" t="s">
        <v>4485</v>
      </c>
      <c r="B3874" t="s">
        <v>90</v>
      </c>
      <c r="C3874" t="s">
        <v>614</v>
      </c>
      <c r="D3874">
        <v>4896.2</v>
      </c>
      <c r="E3874" s="37" t="str">
        <f t="shared" si="300"/>
        <v>Excellent Order</v>
      </c>
      <c r="F3874">
        <v>0.38</v>
      </c>
      <c r="G3874" s="37" t="str">
        <f t="shared" si="301"/>
        <v>Heavy Discount</v>
      </c>
      <c r="H3874" s="37" t="str">
        <f t="shared" si="302"/>
        <v>Medium</v>
      </c>
      <c r="I3874">
        <v>4</v>
      </c>
      <c r="J3874" t="str" cm="1">
        <f t="array" ref="J3874">_xlfn.IFS(I3874&lt;=3,"small",I3874&lt;=6,"Medium",I3874&lt;=9,"Large")</f>
        <v>Medium</v>
      </c>
      <c r="K3874" s="36">
        <v>45640</v>
      </c>
      <c r="L3874" s="36">
        <v>45645</v>
      </c>
      <c r="M3874" t="s">
        <v>598</v>
      </c>
      <c r="N3874" t="s">
        <v>608</v>
      </c>
      <c r="O3874" s="37" t="str">
        <f t="shared" si="303"/>
        <v>Cash Payment</v>
      </c>
      <c r="P3874">
        <v>1304.19</v>
      </c>
      <c r="Q3874" s="37" t="str">
        <f>IF(P3874&gt;500,"High","low")</f>
        <v>High</v>
      </c>
      <c r="R3874" s="37" t="str">
        <f t="shared" si="304"/>
        <v>Excellent</v>
      </c>
      <c r="S3874" t="s">
        <v>600</v>
      </c>
    </row>
    <row r="3875" spans="1:19" x14ac:dyDescent="0.2">
      <c r="A3875" t="s">
        <v>4486</v>
      </c>
      <c r="B3875" t="s">
        <v>67</v>
      </c>
      <c r="C3875" t="s">
        <v>617</v>
      </c>
      <c r="D3875">
        <v>518.96</v>
      </c>
      <c r="E3875" s="37" t="str">
        <f t="shared" si="300"/>
        <v xml:space="preserve"> </v>
      </c>
      <c r="F3875">
        <v>0.25</v>
      </c>
      <c r="G3875" s="37" t="str">
        <f t="shared" si="301"/>
        <v>Normal Discount</v>
      </c>
      <c r="H3875" s="37" t="str">
        <f t="shared" si="302"/>
        <v>Medium</v>
      </c>
      <c r="I3875">
        <v>7</v>
      </c>
      <c r="J3875" t="str" cm="1">
        <f t="array" ref="J3875">_xlfn.IFS(I3875&lt;=3,"small",I3875&lt;=6,"Medium",I3875&lt;=9,"Large")</f>
        <v>Large</v>
      </c>
      <c r="K3875" s="36">
        <v>45554</v>
      </c>
      <c r="L3875" s="36">
        <v>45555</v>
      </c>
      <c r="M3875" t="s">
        <v>603</v>
      </c>
      <c r="N3875" t="s">
        <v>604</v>
      </c>
      <c r="O3875" s="37" t="str">
        <f t="shared" si="303"/>
        <v>Digital Payment</v>
      </c>
      <c r="P3875">
        <v>114.48</v>
      </c>
      <c r="Q3875" s="37" t="str">
        <f>IF(P3875&gt;500,"High","low")</f>
        <v>low</v>
      </c>
      <c r="R3875" s="37" t="str">
        <f t="shared" si="304"/>
        <v>AVERAGE</v>
      </c>
      <c r="S3875" t="s">
        <v>600</v>
      </c>
    </row>
    <row r="3876" spans="1:19" x14ac:dyDescent="0.2">
      <c r="A3876" t="s">
        <v>4487</v>
      </c>
      <c r="B3876" t="s">
        <v>67</v>
      </c>
      <c r="C3876" t="s">
        <v>602</v>
      </c>
      <c r="D3876">
        <v>3640.18</v>
      </c>
      <c r="E3876" s="37" t="str">
        <f t="shared" si="300"/>
        <v xml:space="preserve"> </v>
      </c>
      <c r="F3876">
        <v>0.42</v>
      </c>
      <c r="G3876" s="37" t="str">
        <f t="shared" si="301"/>
        <v>Heavy Discount</v>
      </c>
      <c r="H3876" s="37" t="str">
        <f t="shared" si="302"/>
        <v>High</v>
      </c>
      <c r="I3876">
        <v>1</v>
      </c>
      <c r="J3876" t="str" cm="1">
        <f t="array" ref="J3876">_xlfn.IFS(I3876&lt;=3,"small",I3876&lt;=6,"Medium",I3876&lt;=9,"Large")</f>
        <v>small</v>
      </c>
      <c r="K3876" s="36">
        <v>45119</v>
      </c>
      <c r="L3876" s="36">
        <v>45120</v>
      </c>
      <c r="M3876" t="s">
        <v>603</v>
      </c>
      <c r="N3876" t="s">
        <v>608</v>
      </c>
      <c r="O3876" s="37" t="str">
        <f t="shared" si="303"/>
        <v>Cash Payment</v>
      </c>
      <c r="P3876">
        <v>509.74</v>
      </c>
      <c r="Q3876" s="37" t="str">
        <f>IF(P3876&gt;500,"High","low")</f>
        <v>High</v>
      </c>
      <c r="R3876" s="37" t="str">
        <f t="shared" si="304"/>
        <v>Good</v>
      </c>
      <c r="S3876" t="s">
        <v>615</v>
      </c>
    </row>
    <row r="3877" spans="1:19" x14ac:dyDescent="0.2">
      <c r="A3877" t="s">
        <v>4488</v>
      </c>
      <c r="B3877" t="s">
        <v>90</v>
      </c>
      <c r="C3877" t="s">
        <v>614</v>
      </c>
      <c r="D3877">
        <v>947.43</v>
      </c>
      <c r="E3877" s="37" t="str">
        <f t="shared" si="300"/>
        <v xml:space="preserve"> </v>
      </c>
      <c r="F3877">
        <v>0.36</v>
      </c>
      <c r="G3877" s="37" t="str">
        <f t="shared" si="301"/>
        <v>Heavy Discount</v>
      </c>
      <c r="H3877" s="37" t="str">
        <f t="shared" si="302"/>
        <v>Medium</v>
      </c>
      <c r="I3877">
        <v>5</v>
      </c>
      <c r="J3877" t="str" cm="1">
        <f t="array" ref="J3877">_xlfn.IFS(I3877&lt;=3,"small",I3877&lt;=6,"Medium",I3877&lt;=9,"Large")</f>
        <v>Medium</v>
      </c>
      <c r="K3877" s="36">
        <v>45379</v>
      </c>
      <c r="L3877" s="36">
        <v>45382</v>
      </c>
      <c r="M3877" t="s">
        <v>612</v>
      </c>
      <c r="N3877" t="s">
        <v>608</v>
      </c>
      <c r="O3877" s="37" t="str">
        <f t="shared" si="303"/>
        <v>Cash Payment</v>
      </c>
      <c r="P3877">
        <v>124.6</v>
      </c>
      <c r="Q3877" s="37" t="str">
        <f>IF(P3877&gt;500,"High","low")</f>
        <v>low</v>
      </c>
      <c r="R3877" s="37" t="str">
        <f t="shared" si="304"/>
        <v>AVERAGE</v>
      </c>
      <c r="S3877" t="s">
        <v>628</v>
      </c>
    </row>
    <row r="3878" spans="1:19" x14ac:dyDescent="0.2">
      <c r="A3878" t="s">
        <v>4489</v>
      </c>
      <c r="B3878" t="s">
        <v>75</v>
      </c>
      <c r="C3878" t="s">
        <v>602</v>
      </c>
      <c r="D3878">
        <v>136.27000000000001</v>
      </c>
      <c r="E3878" s="37" t="str">
        <f t="shared" si="300"/>
        <v xml:space="preserve"> </v>
      </c>
      <c r="F3878">
        <v>0.04</v>
      </c>
      <c r="G3878" s="37" t="str">
        <f t="shared" si="301"/>
        <v>Normal Discount</v>
      </c>
      <c r="H3878" s="37" t="str">
        <f t="shared" si="302"/>
        <v>Low</v>
      </c>
      <c r="I3878">
        <v>2</v>
      </c>
      <c r="J3878" t="str" cm="1">
        <f t="array" ref="J3878">_xlfn.IFS(I3878&lt;=3,"small",I3878&lt;=6,"Medium",I3878&lt;=9,"Large")</f>
        <v>small</v>
      </c>
      <c r="K3878" s="36">
        <v>45377</v>
      </c>
      <c r="L3878" s="36">
        <v>45384</v>
      </c>
      <c r="M3878" t="s">
        <v>612</v>
      </c>
      <c r="N3878" t="s">
        <v>599</v>
      </c>
      <c r="O3878" s="37" t="str">
        <f t="shared" si="303"/>
        <v>Digital Payment</v>
      </c>
      <c r="P3878">
        <v>14.91</v>
      </c>
      <c r="Q3878" s="37" t="str">
        <f>IF(P3878&gt;500,"High","low")</f>
        <v>low</v>
      </c>
      <c r="R3878" s="37" t="str">
        <f t="shared" si="304"/>
        <v>AVERAGE</v>
      </c>
      <c r="S3878" t="s">
        <v>628</v>
      </c>
    </row>
    <row r="3879" spans="1:19" x14ac:dyDescent="0.2">
      <c r="A3879" t="s">
        <v>4490</v>
      </c>
      <c r="B3879" t="s">
        <v>90</v>
      </c>
      <c r="C3879" t="s">
        <v>607</v>
      </c>
      <c r="D3879">
        <v>2556.9499999999998</v>
      </c>
      <c r="E3879" s="37" t="str">
        <f t="shared" si="300"/>
        <v xml:space="preserve"> </v>
      </c>
      <c r="F3879">
        <v>0.3</v>
      </c>
      <c r="G3879" s="37" t="str">
        <f t="shared" si="301"/>
        <v>Normal Discount</v>
      </c>
      <c r="H3879" s="37" t="str">
        <f t="shared" si="302"/>
        <v>Medium</v>
      </c>
      <c r="I3879">
        <v>2</v>
      </c>
      <c r="J3879" t="str" cm="1">
        <f t="array" ref="J3879">_xlfn.IFS(I3879&lt;=3,"small",I3879&lt;=6,"Medium",I3879&lt;=9,"Large")</f>
        <v>small</v>
      </c>
      <c r="K3879" s="36">
        <v>45285</v>
      </c>
      <c r="L3879" s="36">
        <v>45292</v>
      </c>
      <c r="M3879" t="s">
        <v>598</v>
      </c>
      <c r="N3879" t="s">
        <v>604</v>
      </c>
      <c r="O3879" s="37" t="str">
        <f t="shared" si="303"/>
        <v>Digital Payment</v>
      </c>
      <c r="P3879">
        <v>199.86</v>
      </c>
      <c r="Q3879" s="37" t="str">
        <f>IF(P3879&gt;500,"High","low")</f>
        <v>low</v>
      </c>
      <c r="R3879" s="37" t="str">
        <f t="shared" si="304"/>
        <v>AVERAGE</v>
      </c>
      <c r="S3879" t="s">
        <v>615</v>
      </c>
    </row>
    <row r="3880" spans="1:19" x14ac:dyDescent="0.2">
      <c r="A3880" t="s">
        <v>4491</v>
      </c>
      <c r="B3880" t="s">
        <v>83</v>
      </c>
      <c r="C3880" t="s">
        <v>617</v>
      </c>
      <c r="D3880">
        <v>889.95</v>
      </c>
      <c r="E3880" s="37" t="str">
        <f t="shared" si="300"/>
        <v xml:space="preserve"> </v>
      </c>
      <c r="F3880">
        <v>0.31</v>
      </c>
      <c r="G3880" s="37" t="str">
        <f t="shared" si="301"/>
        <v>Heavy Discount</v>
      </c>
      <c r="H3880" s="37" t="str">
        <f t="shared" si="302"/>
        <v>Medium</v>
      </c>
      <c r="I3880">
        <v>2</v>
      </c>
      <c r="J3880" t="str" cm="1">
        <f t="array" ref="J3880">_xlfn.IFS(I3880&lt;=3,"small",I3880&lt;=6,"Medium",I3880&lt;=9,"Large")</f>
        <v>small</v>
      </c>
      <c r="K3880" s="36">
        <v>45324</v>
      </c>
      <c r="L3880" s="36">
        <v>45331</v>
      </c>
      <c r="M3880" t="s">
        <v>598</v>
      </c>
      <c r="N3880" t="s">
        <v>599</v>
      </c>
      <c r="O3880" s="37" t="str">
        <f t="shared" si="303"/>
        <v>Digital Payment</v>
      </c>
      <c r="P3880">
        <v>236.12</v>
      </c>
      <c r="Q3880" s="37" t="str">
        <f>IF(P3880&gt;500,"High","low")</f>
        <v>low</v>
      </c>
      <c r="R3880" s="37" t="str">
        <f t="shared" si="304"/>
        <v>AVERAGE</v>
      </c>
      <c r="S3880" t="s">
        <v>628</v>
      </c>
    </row>
    <row r="3881" spans="1:19" x14ac:dyDescent="0.2">
      <c r="A3881" t="s">
        <v>4492</v>
      </c>
      <c r="B3881" t="s">
        <v>90</v>
      </c>
      <c r="C3881" t="s">
        <v>614</v>
      </c>
      <c r="D3881">
        <v>4830.78</v>
      </c>
      <c r="E3881" s="37" t="str">
        <f t="shared" si="300"/>
        <v>Excellent Order</v>
      </c>
      <c r="F3881">
        <v>0.19</v>
      </c>
      <c r="G3881" s="37" t="str">
        <f t="shared" si="301"/>
        <v>Normal Discount</v>
      </c>
      <c r="H3881" s="37" t="str">
        <f t="shared" si="302"/>
        <v>Low</v>
      </c>
      <c r="I3881">
        <v>9</v>
      </c>
      <c r="J3881" t="str" cm="1">
        <f t="array" ref="J3881">_xlfn.IFS(I3881&lt;=3,"small",I3881&lt;=6,"Medium",I3881&lt;=9,"Large")</f>
        <v>Large</v>
      </c>
      <c r="K3881" s="36">
        <v>45100</v>
      </c>
      <c r="L3881" s="36">
        <v>45103</v>
      </c>
      <c r="M3881" t="s">
        <v>598</v>
      </c>
      <c r="N3881" t="s">
        <v>604</v>
      </c>
      <c r="O3881" s="37" t="str">
        <f t="shared" si="303"/>
        <v>Digital Payment</v>
      </c>
      <c r="P3881">
        <v>811.19</v>
      </c>
      <c r="Q3881" s="37" t="str">
        <f>IF(P3881&gt;500,"High","low")</f>
        <v>High</v>
      </c>
      <c r="R3881" s="37" t="str">
        <f t="shared" si="304"/>
        <v>Good</v>
      </c>
      <c r="S3881" t="s">
        <v>600</v>
      </c>
    </row>
    <row r="3882" spans="1:19" x14ac:dyDescent="0.2">
      <c r="A3882" t="s">
        <v>4493</v>
      </c>
      <c r="B3882" t="s">
        <v>83</v>
      </c>
      <c r="C3882" t="s">
        <v>602</v>
      </c>
      <c r="D3882">
        <v>1098.1099999999999</v>
      </c>
      <c r="E3882" s="37" t="str">
        <f t="shared" si="300"/>
        <v xml:space="preserve"> </v>
      </c>
      <c r="F3882">
        <v>0.16</v>
      </c>
      <c r="G3882" s="37" t="str">
        <f t="shared" si="301"/>
        <v>Normal Discount</v>
      </c>
      <c r="H3882" s="37" t="str">
        <f t="shared" si="302"/>
        <v>Low</v>
      </c>
      <c r="I3882">
        <v>5</v>
      </c>
      <c r="J3882" t="str" cm="1">
        <f t="array" ref="J3882">_xlfn.IFS(I3882&lt;=3,"small",I3882&lt;=6,"Medium",I3882&lt;=9,"Large")</f>
        <v>Medium</v>
      </c>
      <c r="K3882" s="36">
        <v>44953</v>
      </c>
      <c r="L3882" s="36">
        <v>44955</v>
      </c>
      <c r="M3882" t="s">
        <v>612</v>
      </c>
      <c r="N3882" t="s">
        <v>608</v>
      </c>
      <c r="O3882" s="37" t="str">
        <f t="shared" si="303"/>
        <v>Cash Payment</v>
      </c>
      <c r="P3882">
        <v>314.66000000000003</v>
      </c>
      <c r="Q3882" s="37" t="str">
        <f>IF(P3882&gt;500,"High","low")</f>
        <v>low</v>
      </c>
      <c r="R3882" s="37" t="str">
        <f t="shared" si="304"/>
        <v>AVERAGE</v>
      </c>
      <c r="S3882" t="s">
        <v>620</v>
      </c>
    </row>
    <row r="3883" spans="1:19" x14ac:dyDescent="0.2">
      <c r="A3883" t="s">
        <v>4494</v>
      </c>
      <c r="B3883" t="s">
        <v>67</v>
      </c>
      <c r="C3883" t="s">
        <v>617</v>
      </c>
      <c r="D3883">
        <v>1040.97</v>
      </c>
      <c r="E3883" s="37" t="str">
        <f t="shared" si="300"/>
        <v xml:space="preserve"> </v>
      </c>
      <c r="F3883">
        <v>0.03</v>
      </c>
      <c r="G3883" s="37" t="str">
        <f t="shared" si="301"/>
        <v>Normal Discount</v>
      </c>
      <c r="H3883" s="37" t="str">
        <f t="shared" si="302"/>
        <v>Low</v>
      </c>
      <c r="I3883">
        <v>8</v>
      </c>
      <c r="J3883" t="str" cm="1">
        <f t="array" ref="J3883">_xlfn.IFS(I3883&lt;=3,"small",I3883&lt;=6,"Medium",I3883&lt;=9,"Large")</f>
        <v>Large</v>
      </c>
      <c r="K3883" s="36">
        <v>45339</v>
      </c>
      <c r="L3883" s="36">
        <v>45341</v>
      </c>
      <c r="M3883" t="s">
        <v>598</v>
      </c>
      <c r="N3883" t="s">
        <v>608</v>
      </c>
      <c r="O3883" s="37" t="str">
        <f t="shared" si="303"/>
        <v>Cash Payment</v>
      </c>
      <c r="P3883">
        <v>254.99</v>
      </c>
      <c r="Q3883" s="37" t="str">
        <f>IF(P3883&gt;500,"High","low")</f>
        <v>low</v>
      </c>
      <c r="R3883" s="37" t="str">
        <f t="shared" si="304"/>
        <v>AVERAGE</v>
      </c>
      <c r="S3883" t="s">
        <v>620</v>
      </c>
    </row>
    <row r="3884" spans="1:19" x14ac:dyDescent="0.2">
      <c r="A3884" t="s">
        <v>4495</v>
      </c>
      <c r="B3884" t="s">
        <v>75</v>
      </c>
      <c r="C3884" t="s">
        <v>597</v>
      </c>
      <c r="D3884">
        <v>257.62</v>
      </c>
      <c r="E3884" s="37" t="str">
        <f t="shared" si="300"/>
        <v xml:space="preserve"> </v>
      </c>
      <c r="F3884">
        <v>0.22</v>
      </c>
      <c r="G3884" s="37" t="str">
        <f t="shared" si="301"/>
        <v>Normal Discount</v>
      </c>
      <c r="H3884" s="37" t="str">
        <f t="shared" si="302"/>
        <v>Medium</v>
      </c>
      <c r="I3884">
        <v>6</v>
      </c>
      <c r="J3884" t="str" cm="1">
        <f t="array" ref="J3884">_xlfn.IFS(I3884&lt;=3,"small",I3884&lt;=6,"Medium",I3884&lt;=9,"Large")</f>
        <v>Medium</v>
      </c>
      <c r="K3884" s="36">
        <v>45183</v>
      </c>
      <c r="L3884" s="36">
        <v>45187</v>
      </c>
      <c r="M3884" t="s">
        <v>598</v>
      </c>
      <c r="N3884" t="s">
        <v>604</v>
      </c>
      <c r="O3884" s="37" t="str">
        <f t="shared" si="303"/>
        <v>Digital Payment</v>
      </c>
      <c r="P3884">
        <v>57.53</v>
      </c>
      <c r="Q3884" s="37" t="str">
        <f>IF(P3884&gt;500,"High","low")</f>
        <v>low</v>
      </c>
      <c r="R3884" s="37" t="str">
        <f t="shared" si="304"/>
        <v>AVERAGE</v>
      </c>
      <c r="S3884" t="s">
        <v>620</v>
      </c>
    </row>
    <row r="3885" spans="1:19" x14ac:dyDescent="0.2">
      <c r="A3885" t="s">
        <v>4496</v>
      </c>
      <c r="B3885" t="s">
        <v>67</v>
      </c>
      <c r="C3885" t="s">
        <v>602</v>
      </c>
      <c r="D3885">
        <v>1716.12</v>
      </c>
      <c r="E3885" s="37" t="str">
        <f t="shared" si="300"/>
        <v xml:space="preserve"> </v>
      </c>
      <c r="F3885">
        <v>0.17</v>
      </c>
      <c r="G3885" s="37" t="str">
        <f t="shared" si="301"/>
        <v>Normal Discount</v>
      </c>
      <c r="H3885" s="37" t="str">
        <f t="shared" si="302"/>
        <v>Low</v>
      </c>
      <c r="I3885">
        <v>1</v>
      </c>
      <c r="J3885" t="str" cm="1">
        <f t="array" ref="J3885">_xlfn.IFS(I3885&lt;=3,"small",I3885&lt;=6,"Medium",I3885&lt;=9,"Large")</f>
        <v>small</v>
      </c>
      <c r="K3885" s="36">
        <v>45569</v>
      </c>
      <c r="L3885" s="36">
        <v>45572</v>
      </c>
      <c r="M3885" t="s">
        <v>598</v>
      </c>
      <c r="N3885" t="s">
        <v>608</v>
      </c>
      <c r="O3885" s="37" t="str">
        <f t="shared" si="303"/>
        <v>Cash Payment</v>
      </c>
      <c r="P3885">
        <v>234.31</v>
      </c>
      <c r="Q3885" s="37" t="str">
        <f>IF(P3885&gt;500,"High","low")</f>
        <v>low</v>
      </c>
      <c r="R3885" s="37" t="str">
        <f t="shared" si="304"/>
        <v>AVERAGE</v>
      </c>
      <c r="S3885" t="s">
        <v>628</v>
      </c>
    </row>
    <row r="3886" spans="1:19" x14ac:dyDescent="0.2">
      <c r="A3886" t="s">
        <v>4497</v>
      </c>
      <c r="B3886" t="s">
        <v>83</v>
      </c>
      <c r="C3886" t="s">
        <v>602</v>
      </c>
      <c r="D3886">
        <v>218.15</v>
      </c>
      <c r="E3886" s="37" t="str">
        <f t="shared" si="300"/>
        <v xml:space="preserve"> </v>
      </c>
      <c r="F3886">
        <v>0.48</v>
      </c>
      <c r="G3886" s="37" t="str">
        <f t="shared" si="301"/>
        <v>Heavy Discount</v>
      </c>
      <c r="H3886" s="37" t="str">
        <f t="shared" si="302"/>
        <v>High</v>
      </c>
      <c r="I3886">
        <v>9</v>
      </c>
      <c r="J3886" t="str" cm="1">
        <f t="array" ref="J3886">_xlfn.IFS(I3886&lt;=3,"small",I3886&lt;=6,"Medium",I3886&lt;=9,"Large")</f>
        <v>Large</v>
      </c>
      <c r="K3886" s="36">
        <v>45464</v>
      </c>
      <c r="L3886" s="36">
        <v>45468</v>
      </c>
      <c r="M3886" t="s">
        <v>612</v>
      </c>
      <c r="N3886" t="s">
        <v>604</v>
      </c>
      <c r="O3886" s="37" t="str">
        <f t="shared" si="303"/>
        <v>Digital Payment</v>
      </c>
      <c r="P3886">
        <v>36.590000000000003</v>
      </c>
      <c r="Q3886" s="37" t="str">
        <f>IF(P3886&gt;500,"High","low")</f>
        <v>low</v>
      </c>
      <c r="R3886" s="37" t="str">
        <f t="shared" si="304"/>
        <v>AVERAGE</v>
      </c>
      <c r="S3886" t="s">
        <v>609</v>
      </c>
    </row>
    <row r="3887" spans="1:19" x14ac:dyDescent="0.2">
      <c r="A3887" t="s">
        <v>4498</v>
      </c>
      <c r="B3887" t="s">
        <v>83</v>
      </c>
      <c r="C3887" t="s">
        <v>607</v>
      </c>
      <c r="D3887">
        <v>2544.54</v>
      </c>
      <c r="E3887" s="37" t="str">
        <f t="shared" si="300"/>
        <v xml:space="preserve"> </v>
      </c>
      <c r="F3887">
        <v>0.34</v>
      </c>
      <c r="G3887" s="37" t="str">
        <f t="shared" si="301"/>
        <v>Heavy Discount</v>
      </c>
      <c r="H3887" s="37" t="str">
        <f t="shared" si="302"/>
        <v>Medium</v>
      </c>
      <c r="I3887">
        <v>7</v>
      </c>
      <c r="J3887" t="str" cm="1">
        <f t="array" ref="J3887">_xlfn.IFS(I3887&lt;=3,"small",I3887&lt;=6,"Medium",I3887&lt;=9,"Large")</f>
        <v>Large</v>
      </c>
      <c r="K3887" s="36">
        <v>45331</v>
      </c>
      <c r="L3887" s="36">
        <v>45336</v>
      </c>
      <c r="M3887" t="s">
        <v>612</v>
      </c>
      <c r="N3887" t="s">
        <v>599</v>
      </c>
      <c r="O3887" s="37" t="str">
        <f t="shared" si="303"/>
        <v>Digital Payment</v>
      </c>
      <c r="P3887">
        <v>278.2</v>
      </c>
      <c r="Q3887" s="37" t="str">
        <f>IF(P3887&gt;500,"High","low")</f>
        <v>low</v>
      </c>
      <c r="R3887" s="37" t="str">
        <f t="shared" si="304"/>
        <v>AVERAGE</v>
      </c>
      <c r="S3887" t="s">
        <v>605</v>
      </c>
    </row>
    <row r="3888" spans="1:19" x14ac:dyDescent="0.2">
      <c r="A3888" t="s">
        <v>4499</v>
      </c>
      <c r="B3888" t="s">
        <v>83</v>
      </c>
      <c r="C3888" t="s">
        <v>597</v>
      </c>
      <c r="D3888">
        <v>2577.4899999999998</v>
      </c>
      <c r="E3888" s="37" t="str">
        <f t="shared" si="300"/>
        <v xml:space="preserve"> </v>
      </c>
      <c r="F3888">
        <v>0.23</v>
      </c>
      <c r="G3888" s="37" t="str">
        <f t="shared" si="301"/>
        <v>Normal Discount</v>
      </c>
      <c r="H3888" s="37" t="str">
        <f t="shared" si="302"/>
        <v>Medium</v>
      </c>
      <c r="I3888">
        <v>2</v>
      </c>
      <c r="J3888" t="str" cm="1">
        <f t="array" ref="J3888">_xlfn.IFS(I3888&lt;=3,"small",I3888&lt;=6,"Medium",I3888&lt;=9,"Large")</f>
        <v>small</v>
      </c>
      <c r="K3888" s="36">
        <v>45556</v>
      </c>
      <c r="L3888" s="36">
        <v>45558</v>
      </c>
      <c r="M3888" t="s">
        <v>598</v>
      </c>
      <c r="N3888" t="s">
        <v>599</v>
      </c>
      <c r="O3888" s="37" t="str">
        <f t="shared" si="303"/>
        <v>Digital Payment</v>
      </c>
      <c r="P3888">
        <v>644.08000000000004</v>
      </c>
      <c r="Q3888" s="37" t="str">
        <f>IF(P3888&gt;500,"High","low")</f>
        <v>High</v>
      </c>
      <c r="R3888" s="37" t="str">
        <f t="shared" si="304"/>
        <v>Good</v>
      </c>
      <c r="S3888" t="s">
        <v>615</v>
      </c>
    </row>
    <row r="3889" spans="1:19" x14ac:dyDescent="0.2">
      <c r="A3889" t="s">
        <v>4500</v>
      </c>
      <c r="B3889" t="s">
        <v>75</v>
      </c>
      <c r="C3889" t="s">
        <v>607</v>
      </c>
      <c r="D3889">
        <v>360.89</v>
      </c>
      <c r="E3889" s="37" t="str">
        <f t="shared" si="300"/>
        <v xml:space="preserve"> </v>
      </c>
      <c r="F3889">
        <v>0.38</v>
      </c>
      <c r="G3889" s="37" t="str">
        <f t="shared" si="301"/>
        <v>Heavy Discount</v>
      </c>
      <c r="H3889" s="37" t="str">
        <f t="shared" si="302"/>
        <v>Medium</v>
      </c>
      <c r="I3889">
        <v>8</v>
      </c>
      <c r="J3889" t="str" cm="1">
        <f t="array" ref="J3889">_xlfn.IFS(I3889&lt;=3,"small",I3889&lt;=6,"Medium",I3889&lt;=9,"Large")</f>
        <v>Large</v>
      </c>
      <c r="K3889" s="36">
        <v>45227</v>
      </c>
      <c r="L3889" s="36">
        <v>45234</v>
      </c>
      <c r="M3889" t="s">
        <v>612</v>
      </c>
      <c r="N3889" t="s">
        <v>604</v>
      </c>
      <c r="O3889" s="37" t="str">
        <f t="shared" si="303"/>
        <v>Digital Payment</v>
      </c>
      <c r="P3889">
        <v>60.11</v>
      </c>
      <c r="Q3889" s="37" t="str">
        <f>IF(P3889&gt;500,"High","low")</f>
        <v>low</v>
      </c>
      <c r="R3889" s="37" t="str">
        <f t="shared" si="304"/>
        <v>AVERAGE</v>
      </c>
      <c r="S3889" t="s">
        <v>605</v>
      </c>
    </row>
    <row r="3890" spans="1:19" x14ac:dyDescent="0.2">
      <c r="A3890" t="s">
        <v>4501</v>
      </c>
      <c r="B3890" t="s">
        <v>90</v>
      </c>
      <c r="C3890" t="s">
        <v>597</v>
      </c>
      <c r="D3890">
        <v>1276.31</v>
      </c>
      <c r="E3890" s="37" t="str">
        <f t="shared" si="300"/>
        <v xml:space="preserve"> </v>
      </c>
      <c r="F3890">
        <v>0.39</v>
      </c>
      <c r="G3890" s="37" t="str">
        <f t="shared" si="301"/>
        <v>Heavy Discount</v>
      </c>
      <c r="H3890" s="37" t="str">
        <f t="shared" si="302"/>
        <v>Medium</v>
      </c>
      <c r="I3890">
        <v>2</v>
      </c>
      <c r="J3890" t="str" cm="1">
        <f t="array" ref="J3890">_xlfn.IFS(I3890&lt;=3,"small",I3890&lt;=6,"Medium",I3890&lt;=9,"Large")</f>
        <v>small</v>
      </c>
      <c r="K3890" s="36">
        <v>45554</v>
      </c>
      <c r="L3890" s="36">
        <v>45558</v>
      </c>
      <c r="M3890" t="s">
        <v>603</v>
      </c>
      <c r="N3890" t="s">
        <v>599</v>
      </c>
      <c r="O3890" s="37" t="str">
        <f t="shared" si="303"/>
        <v>Digital Payment</v>
      </c>
      <c r="P3890">
        <v>315.61</v>
      </c>
      <c r="Q3890" s="37" t="str">
        <f>IF(P3890&gt;500,"High","low")</f>
        <v>low</v>
      </c>
      <c r="R3890" s="37" t="str">
        <f t="shared" si="304"/>
        <v>AVERAGE</v>
      </c>
      <c r="S3890" t="s">
        <v>609</v>
      </c>
    </row>
    <row r="3891" spans="1:19" x14ac:dyDescent="0.2">
      <c r="A3891" t="s">
        <v>4502</v>
      </c>
      <c r="B3891" t="s">
        <v>67</v>
      </c>
      <c r="C3891" t="s">
        <v>602</v>
      </c>
      <c r="D3891">
        <v>4177.32</v>
      </c>
      <c r="E3891" s="37" t="str">
        <f t="shared" si="300"/>
        <v xml:space="preserve"> </v>
      </c>
      <c r="F3891">
        <v>0.24</v>
      </c>
      <c r="G3891" s="37" t="str">
        <f t="shared" si="301"/>
        <v>Normal Discount</v>
      </c>
      <c r="H3891" s="37" t="str">
        <f t="shared" si="302"/>
        <v>Medium</v>
      </c>
      <c r="I3891">
        <v>2</v>
      </c>
      <c r="J3891" t="str" cm="1">
        <f t="array" ref="J3891">_xlfn.IFS(I3891&lt;=3,"small",I3891&lt;=6,"Medium",I3891&lt;=9,"Large")</f>
        <v>small</v>
      </c>
      <c r="K3891" s="36">
        <v>45650</v>
      </c>
      <c r="L3891" s="36">
        <v>45657</v>
      </c>
      <c r="M3891" t="s">
        <v>612</v>
      </c>
      <c r="N3891" t="s">
        <v>604</v>
      </c>
      <c r="O3891" s="37" t="str">
        <f t="shared" si="303"/>
        <v>Digital Payment</v>
      </c>
      <c r="P3891">
        <v>294.64</v>
      </c>
      <c r="Q3891" s="37" t="str">
        <f>IF(P3891&gt;500,"High","low")</f>
        <v>low</v>
      </c>
      <c r="R3891" s="37" t="str">
        <f t="shared" si="304"/>
        <v>AVERAGE</v>
      </c>
      <c r="S3891" t="s">
        <v>605</v>
      </c>
    </row>
    <row r="3892" spans="1:19" x14ac:dyDescent="0.2">
      <c r="A3892" t="s">
        <v>4503</v>
      </c>
      <c r="B3892" t="s">
        <v>67</v>
      </c>
      <c r="C3892" t="s">
        <v>607</v>
      </c>
      <c r="D3892">
        <v>2366.4699999999998</v>
      </c>
      <c r="E3892" s="37" t="str">
        <f t="shared" si="300"/>
        <v xml:space="preserve"> </v>
      </c>
      <c r="F3892">
        <v>0.04</v>
      </c>
      <c r="G3892" s="37" t="str">
        <f t="shared" si="301"/>
        <v>Normal Discount</v>
      </c>
      <c r="H3892" s="37" t="str">
        <f t="shared" si="302"/>
        <v>Low</v>
      </c>
      <c r="I3892">
        <v>4</v>
      </c>
      <c r="J3892" t="str" cm="1">
        <f t="array" ref="J3892">_xlfn.IFS(I3892&lt;=3,"small",I3892&lt;=6,"Medium",I3892&lt;=9,"Large")</f>
        <v>Medium</v>
      </c>
      <c r="K3892" s="36">
        <v>45339</v>
      </c>
      <c r="L3892" s="36">
        <v>45342</v>
      </c>
      <c r="M3892" t="s">
        <v>598</v>
      </c>
      <c r="N3892" t="s">
        <v>604</v>
      </c>
      <c r="O3892" s="37" t="str">
        <f t="shared" si="303"/>
        <v>Digital Payment</v>
      </c>
      <c r="P3892">
        <v>304.48</v>
      </c>
      <c r="Q3892" s="37" t="str">
        <f>IF(P3892&gt;500,"High","low")</f>
        <v>low</v>
      </c>
      <c r="R3892" s="37" t="str">
        <f t="shared" si="304"/>
        <v>AVERAGE</v>
      </c>
      <c r="S3892" t="s">
        <v>605</v>
      </c>
    </row>
    <row r="3893" spans="1:19" x14ac:dyDescent="0.2">
      <c r="A3893" t="s">
        <v>4504</v>
      </c>
      <c r="B3893" t="s">
        <v>90</v>
      </c>
      <c r="C3893" t="s">
        <v>617</v>
      </c>
      <c r="D3893">
        <v>2229.59</v>
      </c>
      <c r="E3893" s="37" t="str">
        <f t="shared" si="300"/>
        <v xml:space="preserve"> </v>
      </c>
      <c r="F3893">
        <v>0.39</v>
      </c>
      <c r="G3893" s="37" t="str">
        <f t="shared" si="301"/>
        <v>Heavy Discount</v>
      </c>
      <c r="H3893" s="37" t="str">
        <f t="shared" si="302"/>
        <v>Medium</v>
      </c>
      <c r="I3893">
        <v>8</v>
      </c>
      <c r="J3893" t="str" cm="1">
        <f t="array" ref="J3893">_xlfn.IFS(I3893&lt;=3,"small",I3893&lt;=6,"Medium",I3893&lt;=9,"Large")</f>
        <v>Large</v>
      </c>
      <c r="K3893" s="36">
        <v>44944</v>
      </c>
      <c r="L3893" s="36">
        <v>44949</v>
      </c>
      <c r="M3893" t="s">
        <v>598</v>
      </c>
      <c r="N3893" t="s">
        <v>599</v>
      </c>
      <c r="O3893" s="37" t="str">
        <f t="shared" si="303"/>
        <v>Digital Payment</v>
      </c>
      <c r="P3893">
        <v>160.44</v>
      </c>
      <c r="Q3893" s="37" t="str">
        <f>IF(P3893&gt;500,"High","low")</f>
        <v>low</v>
      </c>
      <c r="R3893" s="37" t="str">
        <f t="shared" si="304"/>
        <v>AVERAGE</v>
      </c>
      <c r="S3893" t="s">
        <v>615</v>
      </c>
    </row>
    <row r="3894" spans="1:19" x14ac:dyDescent="0.2">
      <c r="A3894" t="s">
        <v>4505</v>
      </c>
      <c r="B3894" t="s">
        <v>67</v>
      </c>
      <c r="C3894" t="s">
        <v>597</v>
      </c>
      <c r="D3894">
        <v>3524.01</v>
      </c>
      <c r="E3894" s="37" t="str">
        <f t="shared" si="300"/>
        <v xml:space="preserve"> </v>
      </c>
      <c r="F3894">
        <v>0.05</v>
      </c>
      <c r="G3894" s="37" t="str">
        <f t="shared" si="301"/>
        <v>Normal Discount</v>
      </c>
      <c r="H3894" s="37" t="str">
        <f t="shared" si="302"/>
        <v>Low</v>
      </c>
      <c r="I3894">
        <v>7</v>
      </c>
      <c r="J3894" t="str" cm="1">
        <f t="array" ref="J3894">_xlfn.IFS(I3894&lt;=3,"small",I3894&lt;=6,"Medium",I3894&lt;=9,"Large")</f>
        <v>Large</v>
      </c>
      <c r="K3894" s="36">
        <v>45569</v>
      </c>
      <c r="L3894" s="36">
        <v>45571</v>
      </c>
      <c r="M3894" t="s">
        <v>612</v>
      </c>
      <c r="N3894" t="s">
        <v>608</v>
      </c>
      <c r="O3894" s="37" t="str">
        <f t="shared" si="303"/>
        <v>Cash Payment</v>
      </c>
      <c r="P3894">
        <v>696.02</v>
      </c>
      <c r="Q3894" s="37" t="str">
        <f>IF(P3894&gt;500,"High","low")</f>
        <v>High</v>
      </c>
      <c r="R3894" s="37" t="str">
        <f t="shared" si="304"/>
        <v>Good</v>
      </c>
      <c r="S3894" t="s">
        <v>609</v>
      </c>
    </row>
    <row r="3895" spans="1:19" x14ac:dyDescent="0.2">
      <c r="A3895" t="s">
        <v>4506</v>
      </c>
      <c r="B3895" t="s">
        <v>75</v>
      </c>
      <c r="C3895" t="s">
        <v>602</v>
      </c>
      <c r="D3895">
        <v>3602.92</v>
      </c>
      <c r="E3895" s="37" t="str">
        <f t="shared" si="300"/>
        <v xml:space="preserve"> </v>
      </c>
      <c r="F3895">
        <v>0.42</v>
      </c>
      <c r="G3895" s="37" t="str">
        <f t="shared" si="301"/>
        <v>Heavy Discount</v>
      </c>
      <c r="H3895" s="37" t="str">
        <f t="shared" si="302"/>
        <v>High</v>
      </c>
      <c r="I3895">
        <v>2</v>
      </c>
      <c r="J3895" t="str" cm="1">
        <f t="array" ref="J3895">_xlfn.IFS(I3895&lt;=3,"small",I3895&lt;=6,"Medium",I3895&lt;=9,"Large")</f>
        <v>small</v>
      </c>
      <c r="K3895" s="36">
        <v>45549</v>
      </c>
      <c r="L3895" s="36">
        <v>45553</v>
      </c>
      <c r="M3895" t="s">
        <v>598</v>
      </c>
      <c r="N3895" t="s">
        <v>599</v>
      </c>
      <c r="O3895" s="37" t="str">
        <f t="shared" si="303"/>
        <v>Digital Payment</v>
      </c>
      <c r="P3895">
        <v>832.02</v>
      </c>
      <c r="Q3895" s="37" t="str">
        <f>IF(P3895&gt;500,"High","low")</f>
        <v>High</v>
      </c>
      <c r="R3895" s="37" t="str">
        <f t="shared" si="304"/>
        <v>Good</v>
      </c>
      <c r="S3895" t="s">
        <v>615</v>
      </c>
    </row>
    <row r="3896" spans="1:19" x14ac:dyDescent="0.2">
      <c r="A3896" t="s">
        <v>4507</v>
      </c>
      <c r="B3896" t="s">
        <v>67</v>
      </c>
      <c r="C3896" t="s">
        <v>614</v>
      </c>
      <c r="D3896">
        <v>3833.62</v>
      </c>
      <c r="E3896" s="37" t="str">
        <f t="shared" si="300"/>
        <v xml:space="preserve"> </v>
      </c>
      <c r="F3896">
        <v>0.17</v>
      </c>
      <c r="G3896" s="37" t="str">
        <f t="shared" si="301"/>
        <v>Normal Discount</v>
      </c>
      <c r="H3896" s="37" t="str">
        <f t="shared" si="302"/>
        <v>Low</v>
      </c>
      <c r="I3896">
        <v>6</v>
      </c>
      <c r="J3896" t="str" cm="1">
        <f t="array" ref="J3896">_xlfn.IFS(I3896&lt;=3,"small",I3896&lt;=6,"Medium",I3896&lt;=9,"Large")</f>
        <v>Medium</v>
      </c>
      <c r="K3896" s="36">
        <v>45054</v>
      </c>
      <c r="L3896" s="36">
        <v>45060</v>
      </c>
      <c r="M3896" t="s">
        <v>603</v>
      </c>
      <c r="N3896" t="s">
        <v>599</v>
      </c>
      <c r="O3896" s="37" t="str">
        <f t="shared" si="303"/>
        <v>Digital Payment</v>
      </c>
      <c r="P3896">
        <v>943.82</v>
      </c>
      <c r="Q3896" s="37" t="str">
        <f>IF(P3896&gt;500,"High","low")</f>
        <v>High</v>
      </c>
      <c r="R3896" s="37" t="str">
        <f t="shared" si="304"/>
        <v>Good</v>
      </c>
      <c r="S3896" t="s">
        <v>620</v>
      </c>
    </row>
    <row r="3897" spans="1:19" x14ac:dyDescent="0.2">
      <c r="A3897" t="s">
        <v>4508</v>
      </c>
      <c r="B3897" t="s">
        <v>83</v>
      </c>
      <c r="C3897" t="s">
        <v>597</v>
      </c>
      <c r="D3897">
        <v>4169.3599999999997</v>
      </c>
      <c r="E3897" s="37" t="str">
        <f t="shared" si="300"/>
        <v xml:space="preserve"> </v>
      </c>
      <c r="F3897">
        <v>0.32</v>
      </c>
      <c r="G3897" s="37" t="str">
        <f t="shared" si="301"/>
        <v>Heavy Discount</v>
      </c>
      <c r="H3897" s="37" t="str">
        <f t="shared" si="302"/>
        <v>Medium</v>
      </c>
      <c r="I3897">
        <v>4</v>
      </c>
      <c r="J3897" t="str" cm="1">
        <f t="array" ref="J3897">_xlfn.IFS(I3897&lt;=3,"small",I3897&lt;=6,"Medium",I3897&lt;=9,"Large")</f>
        <v>Medium</v>
      </c>
      <c r="K3897" s="36">
        <v>45040</v>
      </c>
      <c r="L3897" s="36">
        <v>45043</v>
      </c>
      <c r="M3897" t="s">
        <v>598</v>
      </c>
      <c r="N3897" t="s">
        <v>604</v>
      </c>
      <c r="O3897" s="37" t="str">
        <f t="shared" si="303"/>
        <v>Digital Payment</v>
      </c>
      <c r="P3897">
        <v>594.54999999999995</v>
      </c>
      <c r="Q3897" s="37" t="str">
        <f>IF(P3897&gt;500,"High","low")</f>
        <v>High</v>
      </c>
      <c r="R3897" s="37" t="str">
        <f t="shared" si="304"/>
        <v>Good</v>
      </c>
      <c r="S3897" t="s">
        <v>620</v>
      </c>
    </row>
    <row r="3898" spans="1:19" x14ac:dyDescent="0.2">
      <c r="A3898" t="s">
        <v>4509</v>
      </c>
      <c r="B3898" t="s">
        <v>90</v>
      </c>
      <c r="C3898" t="s">
        <v>597</v>
      </c>
      <c r="D3898">
        <v>1238.03</v>
      </c>
      <c r="E3898" s="37" t="str">
        <f t="shared" si="300"/>
        <v xml:space="preserve"> </v>
      </c>
      <c r="F3898">
        <v>0.37</v>
      </c>
      <c r="G3898" s="37" t="str">
        <f t="shared" si="301"/>
        <v>Heavy Discount</v>
      </c>
      <c r="H3898" s="37" t="str">
        <f t="shared" si="302"/>
        <v>Medium</v>
      </c>
      <c r="I3898">
        <v>1</v>
      </c>
      <c r="J3898" t="str" cm="1">
        <f t="array" ref="J3898">_xlfn.IFS(I3898&lt;=3,"small",I3898&lt;=6,"Medium",I3898&lt;=9,"Large")</f>
        <v>small</v>
      </c>
      <c r="K3898" s="36">
        <v>45072</v>
      </c>
      <c r="L3898" s="36">
        <v>45076</v>
      </c>
      <c r="M3898" t="s">
        <v>612</v>
      </c>
      <c r="N3898" t="s">
        <v>604</v>
      </c>
      <c r="O3898" s="37" t="str">
        <f t="shared" si="303"/>
        <v>Digital Payment</v>
      </c>
      <c r="P3898">
        <v>104.25</v>
      </c>
      <c r="Q3898" s="37" t="str">
        <f>IF(P3898&gt;500,"High","low")</f>
        <v>low</v>
      </c>
      <c r="R3898" s="37" t="str">
        <f t="shared" si="304"/>
        <v>AVERAGE</v>
      </c>
      <c r="S3898" t="s">
        <v>600</v>
      </c>
    </row>
    <row r="3899" spans="1:19" x14ac:dyDescent="0.2">
      <c r="A3899" t="s">
        <v>4510</v>
      </c>
      <c r="B3899" t="s">
        <v>75</v>
      </c>
      <c r="C3899" t="s">
        <v>617</v>
      </c>
      <c r="D3899">
        <v>425.26</v>
      </c>
      <c r="E3899" s="37" t="str">
        <f t="shared" si="300"/>
        <v xml:space="preserve"> </v>
      </c>
      <c r="F3899">
        <v>0.02</v>
      </c>
      <c r="G3899" s="37" t="str">
        <f t="shared" si="301"/>
        <v>Normal Discount</v>
      </c>
      <c r="H3899" s="37" t="str">
        <f t="shared" si="302"/>
        <v>Low</v>
      </c>
      <c r="I3899">
        <v>8</v>
      </c>
      <c r="J3899" t="str" cm="1">
        <f t="array" ref="J3899">_xlfn.IFS(I3899&lt;=3,"small",I3899&lt;=6,"Medium",I3899&lt;=9,"Large")</f>
        <v>Large</v>
      </c>
      <c r="K3899" s="36">
        <v>45117</v>
      </c>
      <c r="L3899" s="36">
        <v>45119</v>
      </c>
      <c r="M3899" t="s">
        <v>612</v>
      </c>
      <c r="N3899" t="s">
        <v>604</v>
      </c>
      <c r="O3899" s="37" t="str">
        <f t="shared" si="303"/>
        <v>Digital Payment</v>
      </c>
      <c r="P3899">
        <v>124.22</v>
      </c>
      <c r="Q3899" s="37" t="str">
        <f>IF(P3899&gt;500,"High","low")</f>
        <v>low</v>
      </c>
      <c r="R3899" s="37" t="str">
        <f t="shared" si="304"/>
        <v>AVERAGE</v>
      </c>
      <c r="S3899" t="s">
        <v>605</v>
      </c>
    </row>
    <row r="3900" spans="1:19" x14ac:dyDescent="0.2">
      <c r="A3900" t="s">
        <v>4511</v>
      </c>
      <c r="B3900" t="s">
        <v>90</v>
      </c>
      <c r="C3900" t="s">
        <v>597</v>
      </c>
      <c r="D3900">
        <v>1963.3</v>
      </c>
      <c r="E3900" s="37" t="str">
        <f t="shared" si="300"/>
        <v xml:space="preserve"> </v>
      </c>
      <c r="F3900">
        <v>0.19</v>
      </c>
      <c r="G3900" s="37" t="str">
        <f t="shared" si="301"/>
        <v>Normal Discount</v>
      </c>
      <c r="H3900" s="37" t="str">
        <f t="shared" si="302"/>
        <v>Low</v>
      </c>
      <c r="I3900">
        <v>8</v>
      </c>
      <c r="J3900" t="str" cm="1">
        <f t="array" ref="J3900">_xlfn.IFS(I3900&lt;=3,"small",I3900&lt;=6,"Medium",I3900&lt;=9,"Large")</f>
        <v>Large</v>
      </c>
      <c r="K3900" s="36">
        <v>45546</v>
      </c>
      <c r="L3900" s="36">
        <v>45551</v>
      </c>
      <c r="M3900" t="s">
        <v>612</v>
      </c>
      <c r="N3900" t="s">
        <v>599</v>
      </c>
      <c r="O3900" s="37" t="str">
        <f t="shared" si="303"/>
        <v>Digital Payment</v>
      </c>
      <c r="P3900">
        <v>191.4</v>
      </c>
      <c r="Q3900" s="37" t="str">
        <f>IF(P3900&gt;500,"High","low")</f>
        <v>low</v>
      </c>
      <c r="R3900" s="37" t="str">
        <f t="shared" si="304"/>
        <v>AVERAGE</v>
      </c>
      <c r="S3900" t="s">
        <v>605</v>
      </c>
    </row>
    <row r="3901" spans="1:19" x14ac:dyDescent="0.2">
      <c r="A3901" t="s">
        <v>4512</v>
      </c>
      <c r="B3901" t="s">
        <v>75</v>
      </c>
      <c r="C3901" t="s">
        <v>597</v>
      </c>
      <c r="D3901">
        <v>4289.9799999999996</v>
      </c>
      <c r="E3901" s="37" t="str">
        <f t="shared" si="300"/>
        <v xml:space="preserve"> </v>
      </c>
      <c r="F3901">
        <v>0.3</v>
      </c>
      <c r="G3901" s="37" t="str">
        <f t="shared" si="301"/>
        <v>Normal Discount</v>
      </c>
      <c r="H3901" s="37" t="str">
        <f t="shared" si="302"/>
        <v>Medium</v>
      </c>
      <c r="I3901">
        <v>6</v>
      </c>
      <c r="J3901" t="str" cm="1">
        <f t="array" ref="J3901">_xlfn.IFS(I3901&lt;=3,"small",I3901&lt;=6,"Medium",I3901&lt;=9,"Large")</f>
        <v>Medium</v>
      </c>
      <c r="K3901" s="36">
        <v>45457</v>
      </c>
      <c r="L3901" s="36">
        <v>45458</v>
      </c>
      <c r="M3901" t="s">
        <v>612</v>
      </c>
      <c r="N3901" t="s">
        <v>604</v>
      </c>
      <c r="O3901" s="37" t="str">
        <f t="shared" si="303"/>
        <v>Digital Payment</v>
      </c>
      <c r="P3901">
        <v>560.83000000000004</v>
      </c>
      <c r="Q3901" s="37" t="str">
        <f>IF(P3901&gt;500,"High","low")</f>
        <v>High</v>
      </c>
      <c r="R3901" s="37" t="str">
        <f t="shared" si="304"/>
        <v>Good</v>
      </c>
      <c r="S3901" t="s">
        <v>609</v>
      </c>
    </row>
    <row r="3902" spans="1:19" x14ac:dyDescent="0.2">
      <c r="A3902" t="s">
        <v>4513</v>
      </c>
      <c r="B3902" t="s">
        <v>83</v>
      </c>
      <c r="C3902" t="s">
        <v>617</v>
      </c>
      <c r="D3902">
        <v>482.34</v>
      </c>
      <c r="E3902" s="37" t="str">
        <f t="shared" si="300"/>
        <v xml:space="preserve"> </v>
      </c>
      <c r="F3902">
        <v>0.42</v>
      </c>
      <c r="G3902" s="37" t="str">
        <f t="shared" si="301"/>
        <v>Heavy Discount</v>
      </c>
      <c r="H3902" s="37" t="str">
        <f t="shared" si="302"/>
        <v>High</v>
      </c>
      <c r="I3902">
        <v>7</v>
      </c>
      <c r="J3902" t="str" cm="1">
        <f t="array" ref="J3902">_xlfn.IFS(I3902&lt;=3,"small",I3902&lt;=6,"Medium",I3902&lt;=9,"Large")</f>
        <v>Large</v>
      </c>
      <c r="K3902" s="36">
        <v>45077</v>
      </c>
      <c r="L3902" s="36">
        <v>45083</v>
      </c>
      <c r="M3902" t="s">
        <v>598</v>
      </c>
      <c r="N3902" t="s">
        <v>608</v>
      </c>
      <c r="O3902" s="37" t="str">
        <f t="shared" si="303"/>
        <v>Cash Payment</v>
      </c>
      <c r="P3902">
        <v>60.86</v>
      </c>
      <c r="Q3902" s="37" t="str">
        <f>IF(P3902&gt;500,"High","low")</f>
        <v>low</v>
      </c>
      <c r="R3902" s="37" t="str">
        <f t="shared" si="304"/>
        <v>AVERAGE</v>
      </c>
      <c r="S3902" t="s">
        <v>615</v>
      </c>
    </row>
    <row r="3903" spans="1:19" x14ac:dyDescent="0.2">
      <c r="A3903" t="s">
        <v>4514</v>
      </c>
      <c r="B3903" t="s">
        <v>90</v>
      </c>
      <c r="C3903" t="s">
        <v>617</v>
      </c>
      <c r="D3903">
        <v>2922.17</v>
      </c>
      <c r="E3903" s="37" t="str">
        <f t="shared" si="300"/>
        <v xml:space="preserve"> </v>
      </c>
      <c r="F3903">
        <v>0.36</v>
      </c>
      <c r="G3903" s="37" t="str">
        <f t="shared" si="301"/>
        <v>Heavy Discount</v>
      </c>
      <c r="H3903" s="37" t="str">
        <f t="shared" si="302"/>
        <v>Medium</v>
      </c>
      <c r="I3903">
        <v>3</v>
      </c>
      <c r="J3903" t="str" cm="1">
        <f t="array" ref="J3903">_xlfn.IFS(I3903&lt;=3,"small",I3903&lt;=6,"Medium",I3903&lt;=9,"Large")</f>
        <v>small</v>
      </c>
      <c r="K3903" s="36">
        <v>45621</v>
      </c>
      <c r="L3903" s="36">
        <v>45626</v>
      </c>
      <c r="M3903" t="s">
        <v>612</v>
      </c>
      <c r="N3903" t="s">
        <v>599</v>
      </c>
      <c r="O3903" s="37" t="str">
        <f t="shared" si="303"/>
        <v>Digital Payment</v>
      </c>
      <c r="P3903">
        <v>708.61</v>
      </c>
      <c r="Q3903" s="37" t="str">
        <f>IF(P3903&gt;500,"High","low")</f>
        <v>High</v>
      </c>
      <c r="R3903" s="37" t="str">
        <f t="shared" si="304"/>
        <v>Good</v>
      </c>
      <c r="S3903" t="s">
        <v>620</v>
      </c>
    </row>
    <row r="3904" spans="1:19" x14ac:dyDescent="0.2">
      <c r="A3904" t="s">
        <v>4515</v>
      </c>
      <c r="B3904" t="s">
        <v>67</v>
      </c>
      <c r="C3904" t="s">
        <v>607</v>
      </c>
      <c r="D3904">
        <v>3535.31</v>
      </c>
      <c r="E3904" s="37" t="str">
        <f t="shared" si="300"/>
        <v xml:space="preserve"> </v>
      </c>
      <c r="F3904">
        <v>0.45</v>
      </c>
      <c r="G3904" s="37" t="str">
        <f t="shared" si="301"/>
        <v>Heavy Discount</v>
      </c>
      <c r="H3904" s="37" t="str">
        <f t="shared" si="302"/>
        <v>High</v>
      </c>
      <c r="I3904">
        <v>9</v>
      </c>
      <c r="J3904" t="str" cm="1">
        <f t="array" ref="J3904">_xlfn.IFS(I3904&lt;=3,"small",I3904&lt;=6,"Medium",I3904&lt;=9,"Large")</f>
        <v>Large</v>
      </c>
      <c r="K3904" s="36">
        <v>45393</v>
      </c>
      <c r="L3904" s="36">
        <v>45400</v>
      </c>
      <c r="M3904" t="s">
        <v>612</v>
      </c>
      <c r="N3904" t="s">
        <v>608</v>
      </c>
      <c r="O3904" s="37" t="str">
        <f t="shared" si="303"/>
        <v>Cash Payment</v>
      </c>
      <c r="P3904">
        <v>916.09</v>
      </c>
      <c r="Q3904" s="37" t="str">
        <f>IF(P3904&gt;500,"High","low")</f>
        <v>High</v>
      </c>
      <c r="R3904" s="37" t="str">
        <f t="shared" si="304"/>
        <v>Good</v>
      </c>
      <c r="S3904" t="s">
        <v>615</v>
      </c>
    </row>
    <row r="3905" spans="1:19" x14ac:dyDescent="0.2">
      <c r="A3905" t="s">
        <v>4516</v>
      </c>
      <c r="B3905" t="s">
        <v>75</v>
      </c>
      <c r="C3905" t="s">
        <v>602</v>
      </c>
      <c r="D3905">
        <v>2458.9</v>
      </c>
      <c r="E3905" s="37" t="str">
        <f t="shared" si="300"/>
        <v xml:space="preserve"> </v>
      </c>
      <c r="F3905">
        <v>0.04</v>
      </c>
      <c r="G3905" s="37" t="str">
        <f t="shared" si="301"/>
        <v>Normal Discount</v>
      </c>
      <c r="H3905" s="37" t="str">
        <f t="shared" si="302"/>
        <v>Low</v>
      </c>
      <c r="I3905">
        <v>4</v>
      </c>
      <c r="J3905" t="str" cm="1">
        <f t="array" ref="J3905">_xlfn.IFS(I3905&lt;=3,"small",I3905&lt;=6,"Medium",I3905&lt;=9,"Large")</f>
        <v>Medium</v>
      </c>
      <c r="K3905" s="36">
        <v>45080</v>
      </c>
      <c r="L3905" s="36">
        <v>45087</v>
      </c>
      <c r="M3905" t="s">
        <v>603</v>
      </c>
      <c r="N3905" t="s">
        <v>599</v>
      </c>
      <c r="O3905" s="37" t="str">
        <f t="shared" si="303"/>
        <v>Digital Payment</v>
      </c>
      <c r="P3905">
        <v>298.41000000000003</v>
      </c>
      <c r="Q3905" s="37" t="str">
        <f>IF(P3905&gt;500,"High","low")</f>
        <v>low</v>
      </c>
      <c r="R3905" s="37" t="str">
        <f t="shared" si="304"/>
        <v>AVERAGE</v>
      </c>
      <c r="S3905" t="s">
        <v>605</v>
      </c>
    </row>
    <row r="3906" spans="1:19" x14ac:dyDescent="0.2">
      <c r="A3906" t="s">
        <v>4517</v>
      </c>
      <c r="B3906" t="s">
        <v>90</v>
      </c>
      <c r="C3906" t="s">
        <v>602</v>
      </c>
      <c r="D3906">
        <v>1350.36</v>
      </c>
      <c r="E3906" s="37" t="str">
        <f t="shared" si="300"/>
        <v xml:space="preserve"> </v>
      </c>
      <c r="F3906">
        <v>0.04</v>
      </c>
      <c r="G3906" s="37" t="str">
        <f t="shared" si="301"/>
        <v>Normal Discount</v>
      </c>
      <c r="H3906" s="37" t="str">
        <f t="shared" si="302"/>
        <v>Low</v>
      </c>
      <c r="I3906">
        <v>2</v>
      </c>
      <c r="J3906" t="str" cm="1">
        <f t="array" ref="J3906">_xlfn.IFS(I3906&lt;=3,"small",I3906&lt;=6,"Medium",I3906&lt;=9,"Large")</f>
        <v>small</v>
      </c>
      <c r="K3906" s="36">
        <v>45151</v>
      </c>
      <c r="L3906" s="36">
        <v>45155</v>
      </c>
      <c r="M3906" t="s">
        <v>598</v>
      </c>
      <c r="N3906" t="s">
        <v>599</v>
      </c>
      <c r="O3906" s="37" t="str">
        <f t="shared" si="303"/>
        <v>Digital Payment</v>
      </c>
      <c r="P3906">
        <v>163.16</v>
      </c>
      <c r="Q3906" s="37" t="str">
        <f>IF(P3906&gt;500,"High","low")</f>
        <v>low</v>
      </c>
      <c r="R3906" s="37" t="str">
        <f t="shared" si="304"/>
        <v>AVERAGE</v>
      </c>
      <c r="S3906" t="s">
        <v>620</v>
      </c>
    </row>
    <row r="3907" spans="1:19" x14ac:dyDescent="0.2">
      <c r="A3907" t="s">
        <v>4518</v>
      </c>
      <c r="B3907" t="s">
        <v>67</v>
      </c>
      <c r="C3907" t="s">
        <v>607</v>
      </c>
      <c r="D3907">
        <v>1698.92</v>
      </c>
      <c r="E3907" s="37" t="str">
        <f t="shared" ref="E3907:E3970" si="305">IF(AND(D3907&gt;4000,P3907&gt;800),"Excellent Order"," ")</f>
        <v xml:space="preserve"> </v>
      </c>
      <c r="F3907">
        <v>0.36</v>
      </c>
      <c r="G3907" s="37" t="str">
        <f t="shared" ref="G3907:G3970" si="306">IF(F3907&gt;30%,"Heavy Discount","Normal Discount")</f>
        <v>Heavy Discount</v>
      </c>
      <c r="H3907" s="37" t="str">
        <f t="shared" ref="H3907:H3970" si="307">IF(F3907&gt;0.4,"High",IF(F3907&gt;=0.2,"Medium","Low"))</f>
        <v>Medium</v>
      </c>
      <c r="I3907">
        <v>4</v>
      </c>
      <c r="J3907" t="str" cm="1">
        <f t="array" ref="J3907">_xlfn.IFS(I3907&lt;=3,"small",I3907&lt;=6,"Medium",I3907&lt;=9,"Large")</f>
        <v>Medium</v>
      </c>
      <c r="K3907" s="36">
        <v>45430</v>
      </c>
      <c r="L3907" s="36">
        <v>45434</v>
      </c>
      <c r="M3907" t="s">
        <v>603</v>
      </c>
      <c r="N3907" t="s">
        <v>599</v>
      </c>
      <c r="O3907" s="37" t="str">
        <f t="shared" ref="O3907:O3970" si="308">IF(OR(N3907="Card",N3907="UPI"),"Digital Payment","Cash Payment")</f>
        <v>Digital Payment</v>
      </c>
      <c r="P3907">
        <v>377.91</v>
      </c>
      <c r="Q3907" s="37" t="str">
        <f>IF(P3907&gt;500,"High","low")</f>
        <v>low</v>
      </c>
      <c r="R3907" s="37" t="str">
        <f t="shared" ref="R3907:R3970" si="309">IF(P3907&gt;1000,"Excellent",IF(P3907&gt;=500,"Good","AVERAGE"))</f>
        <v>AVERAGE</v>
      </c>
      <c r="S3907" t="s">
        <v>615</v>
      </c>
    </row>
    <row r="3908" spans="1:19" x14ac:dyDescent="0.2">
      <c r="A3908" t="s">
        <v>4519</v>
      </c>
      <c r="B3908" t="s">
        <v>90</v>
      </c>
      <c r="C3908" t="s">
        <v>602</v>
      </c>
      <c r="D3908">
        <v>451.1</v>
      </c>
      <c r="E3908" s="37" t="str">
        <f t="shared" si="305"/>
        <v xml:space="preserve"> </v>
      </c>
      <c r="F3908">
        <v>0.2</v>
      </c>
      <c r="G3908" s="37" t="str">
        <f t="shared" si="306"/>
        <v>Normal Discount</v>
      </c>
      <c r="H3908" s="37" t="str">
        <f t="shared" si="307"/>
        <v>Medium</v>
      </c>
      <c r="I3908">
        <v>2</v>
      </c>
      <c r="J3908" t="str" cm="1">
        <f t="array" ref="J3908">_xlfn.IFS(I3908&lt;=3,"small",I3908&lt;=6,"Medium",I3908&lt;=9,"Large")</f>
        <v>small</v>
      </c>
      <c r="K3908" s="36">
        <v>45492</v>
      </c>
      <c r="L3908" s="36">
        <v>45499</v>
      </c>
      <c r="M3908" t="s">
        <v>598</v>
      </c>
      <c r="N3908" t="s">
        <v>599</v>
      </c>
      <c r="O3908" s="37" t="str">
        <f t="shared" si="308"/>
        <v>Digital Payment</v>
      </c>
      <c r="P3908">
        <v>119.42</v>
      </c>
      <c r="Q3908" s="37" t="str">
        <f>IF(P3908&gt;500,"High","low")</f>
        <v>low</v>
      </c>
      <c r="R3908" s="37" t="str">
        <f t="shared" si="309"/>
        <v>AVERAGE</v>
      </c>
      <c r="S3908" t="s">
        <v>609</v>
      </c>
    </row>
    <row r="3909" spans="1:19" x14ac:dyDescent="0.2">
      <c r="A3909" t="s">
        <v>4520</v>
      </c>
      <c r="B3909" t="s">
        <v>90</v>
      </c>
      <c r="C3909" t="s">
        <v>597</v>
      </c>
      <c r="D3909">
        <v>1533.66</v>
      </c>
      <c r="E3909" s="37" t="str">
        <f t="shared" si="305"/>
        <v xml:space="preserve"> </v>
      </c>
      <c r="F3909">
        <v>0.24</v>
      </c>
      <c r="G3909" s="37" t="str">
        <f t="shared" si="306"/>
        <v>Normal Discount</v>
      </c>
      <c r="H3909" s="37" t="str">
        <f t="shared" si="307"/>
        <v>Medium</v>
      </c>
      <c r="I3909">
        <v>4</v>
      </c>
      <c r="J3909" t="str" cm="1">
        <f t="array" ref="J3909">_xlfn.IFS(I3909&lt;=3,"small",I3909&lt;=6,"Medium",I3909&lt;=9,"Large")</f>
        <v>Medium</v>
      </c>
      <c r="K3909" s="36">
        <v>45537</v>
      </c>
      <c r="L3909" s="36">
        <v>45538</v>
      </c>
      <c r="M3909" t="s">
        <v>612</v>
      </c>
      <c r="N3909" t="s">
        <v>608</v>
      </c>
      <c r="O3909" s="37" t="str">
        <f t="shared" si="308"/>
        <v>Cash Payment</v>
      </c>
      <c r="P3909">
        <v>134.71</v>
      </c>
      <c r="Q3909" s="37" t="str">
        <f>IF(P3909&gt;500,"High","low")</f>
        <v>low</v>
      </c>
      <c r="R3909" s="37" t="str">
        <f t="shared" si="309"/>
        <v>AVERAGE</v>
      </c>
      <c r="S3909" t="s">
        <v>615</v>
      </c>
    </row>
    <row r="3910" spans="1:19" x14ac:dyDescent="0.2">
      <c r="A3910" t="s">
        <v>4521</v>
      </c>
      <c r="B3910" t="s">
        <v>90</v>
      </c>
      <c r="C3910" t="s">
        <v>607</v>
      </c>
      <c r="D3910">
        <v>317.45</v>
      </c>
      <c r="E3910" s="37" t="str">
        <f t="shared" si="305"/>
        <v xml:space="preserve"> </v>
      </c>
      <c r="F3910">
        <v>0.3</v>
      </c>
      <c r="G3910" s="37" t="str">
        <f t="shared" si="306"/>
        <v>Normal Discount</v>
      </c>
      <c r="H3910" s="37" t="str">
        <f t="shared" si="307"/>
        <v>Medium</v>
      </c>
      <c r="I3910">
        <v>2</v>
      </c>
      <c r="J3910" t="str" cm="1">
        <f t="array" ref="J3910">_xlfn.IFS(I3910&lt;=3,"small",I3910&lt;=6,"Medium",I3910&lt;=9,"Large")</f>
        <v>small</v>
      </c>
      <c r="K3910" s="36">
        <v>45527</v>
      </c>
      <c r="L3910" s="36">
        <v>45534</v>
      </c>
      <c r="M3910" t="s">
        <v>598</v>
      </c>
      <c r="N3910" t="s">
        <v>608</v>
      </c>
      <c r="O3910" s="37" t="str">
        <f t="shared" si="308"/>
        <v>Cash Payment</v>
      </c>
      <c r="P3910">
        <v>93.95</v>
      </c>
      <c r="Q3910" s="37" t="str">
        <f>IF(P3910&gt;500,"High","low")</f>
        <v>low</v>
      </c>
      <c r="R3910" s="37" t="str">
        <f t="shared" si="309"/>
        <v>AVERAGE</v>
      </c>
      <c r="S3910" t="s">
        <v>620</v>
      </c>
    </row>
    <row r="3911" spans="1:19" x14ac:dyDescent="0.2">
      <c r="A3911" t="s">
        <v>4522</v>
      </c>
      <c r="B3911" t="s">
        <v>75</v>
      </c>
      <c r="C3911" t="s">
        <v>607</v>
      </c>
      <c r="D3911">
        <v>3658.99</v>
      </c>
      <c r="E3911" s="37" t="str">
        <f t="shared" si="305"/>
        <v xml:space="preserve"> </v>
      </c>
      <c r="F3911">
        <v>0.49</v>
      </c>
      <c r="G3911" s="37" t="str">
        <f t="shared" si="306"/>
        <v>Heavy Discount</v>
      </c>
      <c r="H3911" s="37" t="str">
        <f t="shared" si="307"/>
        <v>High</v>
      </c>
      <c r="I3911">
        <v>8</v>
      </c>
      <c r="J3911" t="str" cm="1">
        <f t="array" ref="J3911">_xlfn.IFS(I3911&lt;=3,"small",I3911&lt;=6,"Medium",I3911&lt;=9,"Large")</f>
        <v>Large</v>
      </c>
      <c r="K3911" s="36">
        <v>45599</v>
      </c>
      <c r="L3911" s="36">
        <v>45603</v>
      </c>
      <c r="M3911" t="s">
        <v>612</v>
      </c>
      <c r="N3911" t="s">
        <v>599</v>
      </c>
      <c r="O3911" s="37" t="str">
        <f t="shared" si="308"/>
        <v>Digital Payment</v>
      </c>
      <c r="P3911">
        <v>807.89</v>
      </c>
      <c r="Q3911" s="37" t="str">
        <f>IF(P3911&gt;500,"High","low")</f>
        <v>High</v>
      </c>
      <c r="R3911" s="37" t="str">
        <f t="shared" si="309"/>
        <v>Good</v>
      </c>
      <c r="S3911" t="s">
        <v>615</v>
      </c>
    </row>
    <row r="3912" spans="1:19" x14ac:dyDescent="0.2">
      <c r="A3912" t="s">
        <v>4523</v>
      </c>
      <c r="B3912" t="s">
        <v>67</v>
      </c>
      <c r="C3912" t="s">
        <v>602</v>
      </c>
      <c r="D3912">
        <v>4500.18</v>
      </c>
      <c r="E3912" s="37" t="str">
        <f t="shared" si="305"/>
        <v xml:space="preserve"> </v>
      </c>
      <c r="F3912">
        <v>0.03</v>
      </c>
      <c r="G3912" s="37" t="str">
        <f t="shared" si="306"/>
        <v>Normal Discount</v>
      </c>
      <c r="H3912" s="37" t="str">
        <f t="shared" si="307"/>
        <v>Low</v>
      </c>
      <c r="I3912">
        <v>6</v>
      </c>
      <c r="J3912" t="str" cm="1">
        <f t="array" ref="J3912">_xlfn.IFS(I3912&lt;=3,"small",I3912&lt;=6,"Medium",I3912&lt;=9,"Large")</f>
        <v>Medium</v>
      </c>
      <c r="K3912" s="36">
        <v>44983</v>
      </c>
      <c r="L3912" s="36">
        <v>44989</v>
      </c>
      <c r="M3912" t="s">
        <v>612</v>
      </c>
      <c r="N3912" t="s">
        <v>599</v>
      </c>
      <c r="O3912" s="37" t="str">
        <f t="shared" si="308"/>
        <v>Digital Payment</v>
      </c>
      <c r="P3912">
        <v>564.33000000000004</v>
      </c>
      <c r="Q3912" s="37" t="str">
        <f>IF(P3912&gt;500,"High","low")</f>
        <v>High</v>
      </c>
      <c r="R3912" s="37" t="str">
        <f t="shared" si="309"/>
        <v>Good</v>
      </c>
      <c r="S3912" t="s">
        <v>620</v>
      </c>
    </row>
    <row r="3913" spans="1:19" x14ac:dyDescent="0.2">
      <c r="A3913" t="s">
        <v>4524</v>
      </c>
      <c r="B3913" t="s">
        <v>83</v>
      </c>
      <c r="C3913" t="s">
        <v>614</v>
      </c>
      <c r="D3913">
        <v>3204.21</v>
      </c>
      <c r="E3913" s="37" t="str">
        <f t="shared" si="305"/>
        <v xml:space="preserve"> </v>
      </c>
      <c r="F3913">
        <v>0.05</v>
      </c>
      <c r="G3913" s="37" t="str">
        <f t="shared" si="306"/>
        <v>Normal Discount</v>
      </c>
      <c r="H3913" s="37" t="str">
        <f t="shared" si="307"/>
        <v>Low</v>
      </c>
      <c r="I3913">
        <v>8</v>
      </c>
      <c r="J3913" t="str" cm="1">
        <f t="array" ref="J3913">_xlfn.IFS(I3913&lt;=3,"small",I3913&lt;=6,"Medium",I3913&lt;=9,"Large")</f>
        <v>Large</v>
      </c>
      <c r="K3913" s="36">
        <v>45560</v>
      </c>
      <c r="L3913" s="36">
        <v>45565</v>
      </c>
      <c r="M3913" t="s">
        <v>603</v>
      </c>
      <c r="N3913" t="s">
        <v>599</v>
      </c>
      <c r="O3913" s="37" t="str">
        <f t="shared" si="308"/>
        <v>Digital Payment</v>
      </c>
      <c r="P3913">
        <v>773.41</v>
      </c>
      <c r="Q3913" s="37" t="str">
        <f>IF(P3913&gt;500,"High","low")</f>
        <v>High</v>
      </c>
      <c r="R3913" s="37" t="str">
        <f t="shared" si="309"/>
        <v>Good</v>
      </c>
      <c r="S3913" t="s">
        <v>605</v>
      </c>
    </row>
    <row r="3914" spans="1:19" x14ac:dyDescent="0.2">
      <c r="A3914" t="s">
        <v>4525</v>
      </c>
      <c r="B3914" t="s">
        <v>75</v>
      </c>
      <c r="C3914" t="s">
        <v>602</v>
      </c>
      <c r="D3914">
        <v>3317.85</v>
      </c>
      <c r="E3914" s="37" t="str">
        <f t="shared" si="305"/>
        <v xml:space="preserve"> </v>
      </c>
      <c r="F3914">
        <v>0.41</v>
      </c>
      <c r="G3914" s="37" t="str">
        <f t="shared" si="306"/>
        <v>Heavy Discount</v>
      </c>
      <c r="H3914" s="37" t="str">
        <f t="shared" si="307"/>
        <v>High</v>
      </c>
      <c r="I3914">
        <v>1</v>
      </c>
      <c r="J3914" t="str" cm="1">
        <f t="array" ref="J3914">_xlfn.IFS(I3914&lt;=3,"small",I3914&lt;=6,"Medium",I3914&lt;=9,"Large")</f>
        <v>small</v>
      </c>
      <c r="K3914" s="36">
        <v>45319</v>
      </c>
      <c r="L3914" s="36">
        <v>45321</v>
      </c>
      <c r="M3914" t="s">
        <v>598</v>
      </c>
      <c r="N3914" t="s">
        <v>599</v>
      </c>
      <c r="O3914" s="37" t="str">
        <f t="shared" si="308"/>
        <v>Digital Payment</v>
      </c>
      <c r="P3914">
        <v>204.87</v>
      </c>
      <c r="Q3914" s="37" t="str">
        <f>IF(P3914&gt;500,"High","low")</f>
        <v>low</v>
      </c>
      <c r="R3914" s="37" t="str">
        <f t="shared" si="309"/>
        <v>AVERAGE</v>
      </c>
      <c r="S3914" t="s">
        <v>605</v>
      </c>
    </row>
    <row r="3915" spans="1:19" x14ac:dyDescent="0.2">
      <c r="A3915" t="s">
        <v>4526</v>
      </c>
      <c r="B3915" t="s">
        <v>75</v>
      </c>
      <c r="C3915" t="s">
        <v>614</v>
      </c>
      <c r="D3915">
        <v>2413.5</v>
      </c>
      <c r="E3915" s="37" t="str">
        <f t="shared" si="305"/>
        <v xml:space="preserve"> </v>
      </c>
      <c r="F3915">
        <v>0.01</v>
      </c>
      <c r="G3915" s="37" t="str">
        <f t="shared" si="306"/>
        <v>Normal Discount</v>
      </c>
      <c r="H3915" s="37" t="str">
        <f t="shared" si="307"/>
        <v>Low</v>
      </c>
      <c r="I3915">
        <v>9</v>
      </c>
      <c r="J3915" t="str" cm="1">
        <f t="array" ref="J3915">_xlfn.IFS(I3915&lt;=3,"small",I3915&lt;=6,"Medium",I3915&lt;=9,"Large")</f>
        <v>Large</v>
      </c>
      <c r="K3915" s="36">
        <v>45027</v>
      </c>
      <c r="L3915" s="36">
        <v>45034</v>
      </c>
      <c r="M3915" t="s">
        <v>598</v>
      </c>
      <c r="N3915" t="s">
        <v>599</v>
      </c>
      <c r="O3915" s="37" t="str">
        <f t="shared" si="308"/>
        <v>Digital Payment</v>
      </c>
      <c r="P3915">
        <v>669.75</v>
      </c>
      <c r="Q3915" s="37" t="str">
        <f>IF(P3915&gt;500,"High","low")</f>
        <v>High</v>
      </c>
      <c r="R3915" s="37" t="str">
        <f t="shared" si="309"/>
        <v>Good</v>
      </c>
      <c r="S3915" t="s">
        <v>600</v>
      </c>
    </row>
    <row r="3916" spans="1:19" x14ac:dyDescent="0.2">
      <c r="A3916" t="s">
        <v>4527</v>
      </c>
      <c r="B3916" t="s">
        <v>75</v>
      </c>
      <c r="C3916" t="s">
        <v>607</v>
      </c>
      <c r="D3916">
        <v>864.58</v>
      </c>
      <c r="E3916" s="37" t="str">
        <f t="shared" si="305"/>
        <v xml:space="preserve"> </v>
      </c>
      <c r="F3916">
        <v>0.23</v>
      </c>
      <c r="G3916" s="37" t="str">
        <f t="shared" si="306"/>
        <v>Normal Discount</v>
      </c>
      <c r="H3916" s="37" t="str">
        <f t="shared" si="307"/>
        <v>Medium</v>
      </c>
      <c r="I3916">
        <v>2</v>
      </c>
      <c r="J3916" t="str" cm="1">
        <f t="array" ref="J3916">_xlfn.IFS(I3916&lt;=3,"small",I3916&lt;=6,"Medium",I3916&lt;=9,"Large")</f>
        <v>small</v>
      </c>
      <c r="K3916" s="36">
        <v>45129</v>
      </c>
      <c r="L3916" s="36">
        <v>45134</v>
      </c>
      <c r="M3916" t="s">
        <v>612</v>
      </c>
      <c r="N3916" t="s">
        <v>604</v>
      </c>
      <c r="O3916" s="37" t="str">
        <f t="shared" si="308"/>
        <v>Digital Payment</v>
      </c>
      <c r="P3916">
        <v>146.33000000000001</v>
      </c>
      <c r="Q3916" s="37" t="str">
        <f>IF(P3916&gt;500,"High","low")</f>
        <v>low</v>
      </c>
      <c r="R3916" s="37" t="str">
        <f t="shared" si="309"/>
        <v>AVERAGE</v>
      </c>
      <c r="S3916" t="s">
        <v>628</v>
      </c>
    </row>
    <row r="3917" spans="1:19" x14ac:dyDescent="0.2">
      <c r="A3917" t="s">
        <v>4528</v>
      </c>
      <c r="B3917" t="s">
        <v>83</v>
      </c>
      <c r="C3917" t="s">
        <v>614</v>
      </c>
      <c r="D3917">
        <v>137.85</v>
      </c>
      <c r="E3917" s="37" t="str">
        <f t="shared" si="305"/>
        <v xml:space="preserve"> </v>
      </c>
      <c r="F3917">
        <v>0.39</v>
      </c>
      <c r="G3917" s="37" t="str">
        <f t="shared" si="306"/>
        <v>Heavy Discount</v>
      </c>
      <c r="H3917" s="37" t="str">
        <f t="shared" si="307"/>
        <v>Medium</v>
      </c>
      <c r="I3917">
        <v>8</v>
      </c>
      <c r="J3917" t="str" cm="1">
        <f t="array" ref="J3917">_xlfn.IFS(I3917&lt;=3,"small",I3917&lt;=6,"Medium",I3917&lt;=9,"Large")</f>
        <v>Large</v>
      </c>
      <c r="K3917" s="36">
        <v>45523</v>
      </c>
      <c r="L3917" s="36">
        <v>45528</v>
      </c>
      <c r="M3917" t="s">
        <v>603</v>
      </c>
      <c r="N3917" t="s">
        <v>599</v>
      </c>
      <c r="O3917" s="37" t="str">
        <f t="shared" si="308"/>
        <v>Digital Payment</v>
      </c>
      <c r="P3917">
        <v>14.22</v>
      </c>
      <c r="Q3917" s="37" t="str">
        <f>IF(P3917&gt;500,"High","low")</f>
        <v>low</v>
      </c>
      <c r="R3917" s="37" t="str">
        <f t="shared" si="309"/>
        <v>AVERAGE</v>
      </c>
      <c r="S3917" t="s">
        <v>628</v>
      </c>
    </row>
    <row r="3918" spans="1:19" x14ac:dyDescent="0.2">
      <c r="A3918" t="s">
        <v>4529</v>
      </c>
      <c r="B3918" t="s">
        <v>67</v>
      </c>
      <c r="C3918" t="s">
        <v>597</v>
      </c>
      <c r="D3918">
        <v>1785.48</v>
      </c>
      <c r="E3918" s="37" t="str">
        <f t="shared" si="305"/>
        <v xml:space="preserve"> </v>
      </c>
      <c r="F3918">
        <v>0.1</v>
      </c>
      <c r="G3918" s="37" t="str">
        <f t="shared" si="306"/>
        <v>Normal Discount</v>
      </c>
      <c r="H3918" s="37" t="str">
        <f t="shared" si="307"/>
        <v>Low</v>
      </c>
      <c r="I3918">
        <v>4</v>
      </c>
      <c r="J3918" t="str" cm="1">
        <f t="array" ref="J3918">_xlfn.IFS(I3918&lt;=3,"small",I3918&lt;=6,"Medium",I3918&lt;=9,"Large")</f>
        <v>Medium</v>
      </c>
      <c r="K3918" s="36">
        <v>44985</v>
      </c>
      <c r="L3918" s="36">
        <v>44991</v>
      </c>
      <c r="M3918" t="s">
        <v>603</v>
      </c>
      <c r="N3918" t="s">
        <v>599</v>
      </c>
      <c r="O3918" s="37" t="str">
        <f t="shared" si="308"/>
        <v>Digital Payment</v>
      </c>
      <c r="P3918">
        <v>391.07</v>
      </c>
      <c r="Q3918" s="37" t="str">
        <f>IF(P3918&gt;500,"High","low")</f>
        <v>low</v>
      </c>
      <c r="R3918" s="37" t="str">
        <f t="shared" si="309"/>
        <v>AVERAGE</v>
      </c>
      <c r="S3918" t="s">
        <v>609</v>
      </c>
    </row>
    <row r="3919" spans="1:19" x14ac:dyDescent="0.2">
      <c r="A3919" t="s">
        <v>4530</v>
      </c>
      <c r="B3919" t="s">
        <v>67</v>
      </c>
      <c r="C3919" t="s">
        <v>617</v>
      </c>
      <c r="D3919">
        <v>3782.29</v>
      </c>
      <c r="E3919" s="37" t="str">
        <f t="shared" si="305"/>
        <v xml:space="preserve"> </v>
      </c>
      <c r="F3919">
        <v>0.09</v>
      </c>
      <c r="G3919" s="37" t="str">
        <f t="shared" si="306"/>
        <v>Normal Discount</v>
      </c>
      <c r="H3919" s="37" t="str">
        <f t="shared" si="307"/>
        <v>Low</v>
      </c>
      <c r="I3919">
        <v>2</v>
      </c>
      <c r="J3919" t="str" cm="1">
        <f t="array" ref="J3919">_xlfn.IFS(I3919&lt;=3,"small",I3919&lt;=6,"Medium",I3919&lt;=9,"Large")</f>
        <v>small</v>
      </c>
      <c r="K3919" s="36">
        <v>45135</v>
      </c>
      <c r="L3919" s="36">
        <v>45141</v>
      </c>
      <c r="M3919" t="s">
        <v>612</v>
      </c>
      <c r="N3919" t="s">
        <v>604</v>
      </c>
      <c r="O3919" s="37" t="str">
        <f t="shared" si="308"/>
        <v>Digital Payment</v>
      </c>
      <c r="P3919">
        <v>277.12</v>
      </c>
      <c r="Q3919" s="37" t="str">
        <f>IF(P3919&gt;500,"High","low")</f>
        <v>low</v>
      </c>
      <c r="R3919" s="37" t="str">
        <f t="shared" si="309"/>
        <v>AVERAGE</v>
      </c>
      <c r="S3919" t="s">
        <v>620</v>
      </c>
    </row>
    <row r="3920" spans="1:19" x14ac:dyDescent="0.2">
      <c r="A3920" t="s">
        <v>4531</v>
      </c>
      <c r="B3920" t="s">
        <v>67</v>
      </c>
      <c r="C3920" t="s">
        <v>614</v>
      </c>
      <c r="D3920">
        <v>4806.1099999999997</v>
      </c>
      <c r="E3920" s="37" t="str">
        <f t="shared" si="305"/>
        <v>Excellent Order</v>
      </c>
      <c r="F3920">
        <v>0.16</v>
      </c>
      <c r="G3920" s="37" t="str">
        <f t="shared" si="306"/>
        <v>Normal Discount</v>
      </c>
      <c r="H3920" s="37" t="str">
        <f t="shared" si="307"/>
        <v>Low</v>
      </c>
      <c r="I3920">
        <v>1</v>
      </c>
      <c r="J3920" t="str" cm="1">
        <f t="array" ref="J3920">_xlfn.IFS(I3920&lt;=3,"small",I3920&lt;=6,"Medium",I3920&lt;=9,"Large")</f>
        <v>small</v>
      </c>
      <c r="K3920" s="36">
        <v>44942</v>
      </c>
      <c r="L3920" s="36">
        <v>44948</v>
      </c>
      <c r="M3920" t="s">
        <v>603</v>
      </c>
      <c r="N3920" t="s">
        <v>608</v>
      </c>
      <c r="O3920" s="37" t="str">
        <f t="shared" si="308"/>
        <v>Cash Payment</v>
      </c>
      <c r="P3920">
        <v>810.82</v>
      </c>
      <c r="Q3920" s="37" t="str">
        <f>IF(P3920&gt;500,"High","low")</f>
        <v>High</v>
      </c>
      <c r="R3920" s="37" t="str">
        <f t="shared" si="309"/>
        <v>Good</v>
      </c>
      <c r="S3920" t="s">
        <v>609</v>
      </c>
    </row>
    <row r="3921" spans="1:19" x14ac:dyDescent="0.2">
      <c r="A3921" t="s">
        <v>4532</v>
      </c>
      <c r="B3921" t="s">
        <v>90</v>
      </c>
      <c r="C3921" t="s">
        <v>617</v>
      </c>
      <c r="D3921">
        <v>2212.3200000000002</v>
      </c>
      <c r="E3921" s="37" t="str">
        <f t="shared" si="305"/>
        <v xml:space="preserve"> </v>
      </c>
      <c r="F3921">
        <v>0.08</v>
      </c>
      <c r="G3921" s="37" t="str">
        <f t="shared" si="306"/>
        <v>Normal Discount</v>
      </c>
      <c r="H3921" s="37" t="str">
        <f t="shared" si="307"/>
        <v>Low</v>
      </c>
      <c r="I3921">
        <v>4</v>
      </c>
      <c r="J3921" t="str" cm="1">
        <f t="array" ref="J3921">_xlfn.IFS(I3921&lt;=3,"small",I3921&lt;=6,"Medium",I3921&lt;=9,"Large")</f>
        <v>Medium</v>
      </c>
      <c r="K3921" s="36">
        <v>45482</v>
      </c>
      <c r="L3921" s="36">
        <v>45488</v>
      </c>
      <c r="M3921" t="s">
        <v>603</v>
      </c>
      <c r="N3921" t="s">
        <v>604</v>
      </c>
      <c r="O3921" s="37" t="str">
        <f t="shared" si="308"/>
        <v>Digital Payment</v>
      </c>
      <c r="P3921">
        <v>629.9</v>
      </c>
      <c r="Q3921" s="37" t="str">
        <f>IF(P3921&gt;500,"High","low")</f>
        <v>High</v>
      </c>
      <c r="R3921" s="37" t="str">
        <f t="shared" si="309"/>
        <v>Good</v>
      </c>
      <c r="S3921" t="s">
        <v>605</v>
      </c>
    </row>
    <row r="3922" spans="1:19" x14ac:dyDescent="0.2">
      <c r="A3922" t="s">
        <v>4533</v>
      </c>
      <c r="B3922" t="s">
        <v>90</v>
      </c>
      <c r="C3922" t="s">
        <v>597</v>
      </c>
      <c r="D3922">
        <v>1890.42</v>
      </c>
      <c r="E3922" s="37" t="str">
        <f t="shared" si="305"/>
        <v xml:space="preserve"> </v>
      </c>
      <c r="F3922">
        <v>0.34</v>
      </c>
      <c r="G3922" s="37" t="str">
        <f t="shared" si="306"/>
        <v>Heavy Discount</v>
      </c>
      <c r="H3922" s="37" t="str">
        <f t="shared" si="307"/>
        <v>Medium</v>
      </c>
      <c r="I3922">
        <v>1</v>
      </c>
      <c r="J3922" t="str" cm="1">
        <f t="array" ref="J3922">_xlfn.IFS(I3922&lt;=3,"small",I3922&lt;=6,"Medium",I3922&lt;=9,"Large")</f>
        <v>small</v>
      </c>
      <c r="K3922" s="36">
        <v>45484</v>
      </c>
      <c r="L3922" s="36">
        <v>45489</v>
      </c>
      <c r="M3922" t="s">
        <v>603</v>
      </c>
      <c r="N3922" t="s">
        <v>608</v>
      </c>
      <c r="O3922" s="37" t="str">
        <f t="shared" si="308"/>
        <v>Cash Payment</v>
      </c>
      <c r="P3922">
        <v>396.3</v>
      </c>
      <c r="Q3922" s="37" t="str">
        <f>IF(P3922&gt;500,"High","low")</f>
        <v>low</v>
      </c>
      <c r="R3922" s="37" t="str">
        <f t="shared" si="309"/>
        <v>AVERAGE</v>
      </c>
      <c r="S3922" t="s">
        <v>609</v>
      </c>
    </row>
    <row r="3923" spans="1:19" x14ac:dyDescent="0.2">
      <c r="A3923" t="s">
        <v>4534</v>
      </c>
      <c r="B3923" t="s">
        <v>90</v>
      </c>
      <c r="C3923" t="s">
        <v>617</v>
      </c>
      <c r="D3923">
        <v>2285.1999999999998</v>
      </c>
      <c r="E3923" s="37" t="str">
        <f t="shared" si="305"/>
        <v xml:space="preserve"> </v>
      </c>
      <c r="F3923">
        <v>0.1</v>
      </c>
      <c r="G3923" s="37" t="str">
        <f t="shared" si="306"/>
        <v>Normal Discount</v>
      </c>
      <c r="H3923" s="37" t="str">
        <f t="shared" si="307"/>
        <v>Low</v>
      </c>
      <c r="I3923">
        <v>8</v>
      </c>
      <c r="J3923" t="str" cm="1">
        <f t="array" ref="J3923">_xlfn.IFS(I3923&lt;=3,"small",I3923&lt;=6,"Medium",I3923&lt;=9,"Large")</f>
        <v>Large</v>
      </c>
      <c r="K3923" s="36">
        <v>45259</v>
      </c>
      <c r="L3923" s="36">
        <v>45266</v>
      </c>
      <c r="M3923" t="s">
        <v>612</v>
      </c>
      <c r="N3923" t="s">
        <v>608</v>
      </c>
      <c r="O3923" s="37" t="str">
        <f t="shared" si="308"/>
        <v>Cash Payment</v>
      </c>
      <c r="P3923">
        <v>168.24</v>
      </c>
      <c r="Q3923" s="37" t="str">
        <f>IF(P3923&gt;500,"High","low")</f>
        <v>low</v>
      </c>
      <c r="R3923" s="37" t="str">
        <f t="shared" si="309"/>
        <v>AVERAGE</v>
      </c>
      <c r="S3923" t="s">
        <v>605</v>
      </c>
    </row>
    <row r="3924" spans="1:19" x14ac:dyDescent="0.2">
      <c r="A3924" t="s">
        <v>4535</v>
      </c>
      <c r="B3924" t="s">
        <v>83</v>
      </c>
      <c r="C3924" t="s">
        <v>597</v>
      </c>
      <c r="D3924">
        <v>2196.1</v>
      </c>
      <c r="E3924" s="37" t="str">
        <f t="shared" si="305"/>
        <v xml:space="preserve"> </v>
      </c>
      <c r="F3924">
        <v>0.11</v>
      </c>
      <c r="G3924" s="37" t="str">
        <f t="shared" si="306"/>
        <v>Normal Discount</v>
      </c>
      <c r="H3924" s="37" t="str">
        <f t="shared" si="307"/>
        <v>Low</v>
      </c>
      <c r="I3924">
        <v>2</v>
      </c>
      <c r="J3924" t="str" cm="1">
        <f t="array" ref="J3924">_xlfn.IFS(I3924&lt;=3,"small",I3924&lt;=6,"Medium",I3924&lt;=9,"Large")</f>
        <v>small</v>
      </c>
      <c r="K3924" s="36">
        <v>45421</v>
      </c>
      <c r="L3924" s="36">
        <v>45423</v>
      </c>
      <c r="M3924" t="s">
        <v>603</v>
      </c>
      <c r="N3924" t="s">
        <v>604</v>
      </c>
      <c r="O3924" s="37" t="str">
        <f t="shared" si="308"/>
        <v>Digital Payment</v>
      </c>
      <c r="P3924">
        <v>590.92999999999995</v>
      </c>
      <c r="Q3924" s="37" t="str">
        <f>IF(P3924&gt;500,"High","low")</f>
        <v>High</v>
      </c>
      <c r="R3924" s="37" t="str">
        <f t="shared" si="309"/>
        <v>Good</v>
      </c>
      <c r="S3924" t="s">
        <v>615</v>
      </c>
    </row>
    <row r="3925" spans="1:19" x14ac:dyDescent="0.2">
      <c r="A3925" t="s">
        <v>4536</v>
      </c>
      <c r="B3925" t="s">
        <v>90</v>
      </c>
      <c r="C3925" t="s">
        <v>617</v>
      </c>
      <c r="D3925">
        <v>3166.81</v>
      </c>
      <c r="E3925" s="37" t="str">
        <f t="shared" si="305"/>
        <v xml:space="preserve"> </v>
      </c>
      <c r="F3925">
        <v>0.28999999999999998</v>
      </c>
      <c r="G3925" s="37" t="str">
        <f t="shared" si="306"/>
        <v>Normal Discount</v>
      </c>
      <c r="H3925" s="37" t="str">
        <f t="shared" si="307"/>
        <v>Medium</v>
      </c>
      <c r="I3925">
        <v>8</v>
      </c>
      <c r="J3925" t="str" cm="1">
        <f t="array" ref="J3925">_xlfn.IFS(I3925&lt;=3,"small",I3925&lt;=6,"Medium",I3925&lt;=9,"Large")</f>
        <v>Large</v>
      </c>
      <c r="K3925" s="36">
        <v>45496</v>
      </c>
      <c r="L3925" s="36">
        <v>45500</v>
      </c>
      <c r="M3925" t="s">
        <v>612</v>
      </c>
      <c r="N3925" t="s">
        <v>604</v>
      </c>
      <c r="O3925" s="37" t="str">
        <f t="shared" si="308"/>
        <v>Digital Payment</v>
      </c>
      <c r="P3925">
        <v>815</v>
      </c>
      <c r="Q3925" s="37" t="str">
        <f>IF(P3925&gt;500,"High","low")</f>
        <v>High</v>
      </c>
      <c r="R3925" s="37" t="str">
        <f t="shared" si="309"/>
        <v>Good</v>
      </c>
      <c r="S3925" t="s">
        <v>628</v>
      </c>
    </row>
    <row r="3926" spans="1:19" x14ac:dyDescent="0.2">
      <c r="A3926" t="s">
        <v>4537</v>
      </c>
      <c r="B3926" t="s">
        <v>83</v>
      </c>
      <c r="C3926" t="s">
        <v>617</v>
      </c>
      <c r="D3926">
        <v>3697.32</v>
      </c>
      <c r="E3926" s="37" t="str">
        <f t="shared" si="305"/>
        <v xml:space="preserve"> </v>
      </c>
      <c r="F3926">
        <v>0.48</v>
      </c>
      <c r="G3926" s="37" t="str">
        <f t="shared" si="306"/>
        <v>Heavy Discount</v>
      </c>
      <c r="H3926" s="37" t="str">
        <f t="shared" si="307"/>
        <v>High</v>
      </c>
      <c r="I3926">
        <v>1</v>
      </c>
      <c r="J3926" t="str" cm="1">
        <f t="array" ref="J3926">_xlfn.IFS(I3926&lt;=3,"small",I3926&lt;=6,"Medium",I3926&lt;=9,"Large")</f>
        <v>small</v>
      </c>
      <c r="K3926" s="36">
        <v>45508</v>
      </c>
      <c r="L3926" s="36">
        <v>45513</v>
      </c>
      <c r="M3926" t="s">
        <v>612</v>
      </c>
      <c r="N3926" t="s">
        <v>608</v>
      </c>
      <c r="O3926" s="37" t="str">
        <f t="shared" si="308"/>
        <v>Cash Payment</v>
      </c>
      <c r="P3926">
        <v>868.53</v>
      </c>
      <c r="Q3926" s="37" t="str">
        <f>IF(P3926&gt;500,"High","low")</f>
        <v>High</v>
      </c>
      <c r="R3926" s="37" t="str">
        <f t="shared" si="309"/>
        <v>Good</v>
      </c>
      <c r="S3926" t="s">
        <v>609</v>
      </c>
    </row>
    <row r="3927" spans="1:19" x14ac:dyDescent="0.2">
      <c r="A3927" t="s">
        <v>4538</v>
      </c>
      <c r="B3927" t="s">
        <v>67</v>
      </c>
      <c r="C3927" t="s">
        <v>602</v>
      </c>
      <c r="D3927">
        <v>3946.29</v>
      </c>
      <c r="E3927" s="37" t="str">
        <f t="shared" si="305"/>
        <v xml:space="preserve"> </v>
      </c>
      <c r="F3927">
        <v>0.46</v>
      </c>
      <c r="G3927" s="37" t="str">
        <f t="shared" si="306"/>
        <v>Heavy Discount</v>
      </c>
      <c r="H3927" s="37" t="str">
        <f t="shared" si="307"/>
        <v>High</v>
      </c>
      <c r="I3927">
        <v>7</v>
      </c>
      <c r="J3927" t="str" cm="1">
        <f t="array" ref="J3927">_xlfn.IFS(I3927&lt;=3,"small",I3927&lt;=6,"Medium",I3927&lt;=9,"Large")</f>
        <v>Large</v>
      </c>
      <c r="K3927" s="36">
        <v>45246</v>
      </c>
      <c r="L3927" s="36">
        <v>45248</v>
      </c>
      <c r="M3927" t="s">
        <v>612</v>
      </c>
      <c r="N3927" t="s">
        <v>608</v>
      </c>
      <c r="O3927" s="37" t="str">
        <f t="shared" si="308"/>
        <v>Cash Payment</v>
      </c>
      <c r="P3927">
        <v>358.51</v>
      </c>
      <c r="Q3927" s="37" t="str">
        <f>IF(P3927&gt;500,"High","low")</f>
        <v>low</v>
      </c>
      <c r="R3927" s="37" t="str">
        <f t="shared" si="309"/>
        <v>AVERAGE</v>
      </c>
      <c r="S3927" t="s">
        <v>620</v>
      </c>
    </row>
    <row r="3928" spans="1:19" x14ac:dyDescent="0.2">
      <c r="A3928" t="s">
        <v>4539</v>
      </c>
      <c r="B3928" t="s">
        <v>90</v>
      </c>
      <c r="C3928" t="s">
        <v>614</v>
      </c>
      <c r="D3928">
        <v>3283.06</v>
      </c>
      <c r="E3928" s="37" t="str">
        <f t="shared" si="305"/>
        <v xml:space="preserve"> </v>
      </c>
      <c r="F3928">
        <v>0.43</v>
      </c>
      <c r="G3928" s="37" t="str">
        <f t="shared" si="306"/>
        <v>Heavy Discount</v>
      </c>
      <c r="H3928" s="37" t="str">
        <f t="shared" si="307"/>
        <v>High</v>
      </c>
      <c r="I3928">
        <v>7</v>
      </c>
      <c r="J3928" t="str" cm="1">
        <f t="array" ref="J3928">_xlfn.IFS(I3928&lt;=3,"small",I3928&lt;=6,"Medium",I3928&lt;=9,"Large")</f>
        <v>Large</v>
      </c>
      <c r="K3928" s="36">
        <v>45134</v>
      </c>
      <c r="L3928" s="36">
        <v>45138</v>
      </c>
      <c r="M3928" t="s">
        <v>598</v>
      </c>
      <c r="N3928" t="s">
        <v>608</v>
      </c>
      <c r="O3928" s="37" t="str">
        <f t="shared" si="308"/>
        <v>Cash Payment</v>
      </c>
      <c r="P3928">
        <v>671.18</v>
      </c>
      <c r="Q3928" s="37" t="str">
        <f>IF(P3928&gt;500,"High","low")</f>
        <v>High</v>
      </c>
      <c r="R3928" s="37" t="str">
        <f t="shared" si="309"/>
        <v>Good</v>
      </c>
      <c r="S3928" t="s">
        <v>620</v>
      </c>
    </row>
    <row r="3929" spans="1:19" x14ac:dyDescent="0.2">
      <c r="A3929" t="s">
        <v>4540</v>
      </c>
      <c r="B3929" t="s">
        <v>90</v>
      </c>
      <c r="C3929" t="s">
        <v>617</v>
      </c>
      <c r="D3929">
        <v>2244.85</v>
      </c>
      <c r="E3929" s="37" t="str">
        <f t="shared" si="305"/>
        <v xml:space="preserve"> </v>
      </c>
      <c r="F3929">
        <v>0.27</v>
      </c>
      <c r="G3929" s="37" t="str">
        <f t="shared" si="306"/>
        <v>Normal Discount</v>
      </c>
      <c r="H3929" s="37" t="str">
        <f t="shared" si="307"/>
        <v>Medium</v>
      </c>
      <c r="I3929">
        <v>5</v>
      </c>
      <c r="J3929" t="str" cm="1">
        <f t="array" ref="J3929">_xlfn.IFS(I3929&lt;=3,"small",I3929&lt;=6,"Medium",I3929&lt;=9,"Large")</f>
        <v>Medium</v>
      </c>
      <c r="K3929" s="36">
        <v>45309</v>
      </c>
      <c r="L3929" s="36">
        <v>45316</v>
      </c>
      <c r="M3929" t="s">
        <v>612</v>
      </c>
      <c r="N3929" t="s">
        <v>604</v>
      </c>
      <c r="O3929" s="37" t="str">
        <f t="shared" si="308"/>
        <v>Digital Payment</v>
      </c>
      <c r="P3929">
        <v>553.1</v>
      </c>
      <c r="Q3929" s="37" t="str">
        <f>IF(P3929&gt;500,"High","low")</f>
        <v>High</v>
      </c>
      <c r="R3929" s="37" t="str">
        <f t="shared" si="309"/>
        <v>Good</v>
      </c>
      <c r="S3929" t="s">
        <v>600</v>
      </c>
    </row>
    <row r="3930" spans="1:19" x14ac:dyDescent="0.2">
      <c r="A3930" t="s">
        <v>4541</v>
      </c>
      <c r="B3930" t="s">
        <v>75</v>
      </c>
      <c r="C3930" t="s">
        <v>607</v>
      </c>
      <c r="D3930">
        <v>4755.51</v>
      </c>
      <c r="E3930" s="37" t="str">
        <f t="shared" si="305"/>
        <v>Excellent Order</v>
      </c>
      <c r="F3930">
        <v>0.15</v>
      </c>
      <c r="G3930" s="37" t="str">
        <f t="shared" si="306"/>
        <v>Normal Discount</v>
      </c>
      <c r="H3930" s="37" t="str">
        <f t="shared" si="307"/>
        <v>Low</v>
      </c>
      <c r="I3930">
        <v>3</v>
      </c>
      <c r="J3930" t="str" cm="1">
        <f t="array" ref="J3930">_xlfn.IFS(I3930&lt;=3,"small",I3930&lt;=6,"Medium",I3930&lt;=9,"Large")</f>
        <v>small</v>
      </c>
      <c r="K3930" s="36">
        <v>45498</v>
      </c>
      <c r="L3930" s="36">
        <v>45505</v>
      </c>
      <c r="M3930" t="s">
        <v>598</v>
      </c>
      <c r="N3930" t="s">
        <v>599</v>
      </c>
      <c r="O3930" s="37" t="str">
        <f t="shared" si="308"/>
        <v>Digital Payment</v>
      </c>
      <c r="P3930">
        <v>1086.06</v>
      </c>
      <c r="Q3930" s="37" t="str">
        <f>IF(P3930&gt;500,"High","low")</f>
        <v>High</v>
      </c>
      <c r="R3930" s="37" t="str">
        <f t="shared" si="309"/>
        <v>Excellent</v>
      </c>
      <c r="S3930" t="s">
        <v>628</v>
      </c>
    </row>
    <row r="3931" spans="1:19" x14ac:dyDescent="0.2">
      <c r="A3931" t="s">
        <v>4542</v>
      </c>
      <c r="B3931" t="s">
        <v>83</v>
      </c>
      <c r="C3931" t="s">
        <v>602</v>
      </c>
      <c r="D3931">
        <v>3584</v>
      </c>
      <c r="E3931" s="37" t="str">
        <f t="shared" si="305"/>
        <v xml:space="preserve"> </v>
      </c>
      <c r="F3931">
        <v>0.35</v>
      </c>
      <c r="G3931" s="37" t="str">
        <f t="shared" si="306"/>
        <v>Heavy Discount</v>
      </c>
      <c r="H3931" s="37" t="str">
        <f t="shared" si="307"/>
        <v>Medium</v>
      </c>
      <c r="I3931">
        <v>6</v>
      </c>
      <c r="J3931" t="str" cm="1">
        <f t="array" ref="J3931">_xlfn.IFS(I3931&lt;=3,"small",I3931&lt;=6,"Medium",I3931&lt;=9,"Large")</f>
        <v>Medium</v>
      </c>
      <c r="K3931" s="36">
        <v>45207</v>
      </c>
      <c r="L3931" s="36">
        <v>45209</v>
      </c>
      <c r="M3931" t="s">
        <v>598</v>
      </c>
      <c r="N3931" t="s">
        <v>608</v>
      </c>
      <c r="O3931" s="37" t="str">
        <f t="shared" si="308"/>
        <v>Cash Payment</v>
      </c>
      <c r="P3931">
        <v>478.11</v>
      </c>
      <c r="Q3931" s="37" t="str">
        <f>IF(P3931&gt;500,"High","low")</f>
        <v>low</v>
      </c>
      <c r="R3931" s="37" t="str">
        <f t="shared" si="309"/>
        <v>AVERAGE</v>
      </c>
      <c r="S3931" t="s">
        <v>609</v>
      </c>
    </row>
    <row r="3932" spans="1:19" x14ac:dyDescent="0.2">
      <c r="A3932" t="s">
        <v>4543</v>
      </c>
      <c r="B3932" t="s">
        <v>67</v>
      </c>
      <c r="C3932" t="s">
        <v>614</v>
      </c>
      <c r="D3932">
        <v>2190.62</v>
      </c>
      <c r="E3932" s="37" t="str">
        <f t="shared" si="305"/>
        <v xml:space="preserve"> </v>
      </c>
      <c r="F3932">
        <v>0.19</v>
      </c>
      <c r="G3932" s="37" t="str">
        <f t="shared" si="306"/>
        <v>Normal Discount</v>
      </c>
      <c r="H3932" s="37" t="str">
        <f t="shared" si="307"/>
        <v>Low</v>
      </c>
      <c r="I3932">
        <v>5</v>
      </c>
      <c r="J3932" t="str" cm="1">
        <f t="array" ref="J3932">_xlfn.IFS(I3932&lt;=3,"small",I3932&lt;=6,"Medium",I3932&lt;=9,"Large")</f>
        <v>Medium</v>
      </c>
      <c r="K3932" s="36">
        <v>45275</v>
      </c>
      <c r="L3932" s="36">
        <v>45277</v>
      </c>
      <c r="M3932" t="s">
        <v>598</v>
      </c>
      <c r="N3932" t="s">
        <v>604</v>
      </c>
      <c r="O3932" s="37" t="str">
        <f t="shared" si="308"/>
        <v>Digital Payment</v>
      </c>
      <c r="P3932">
        <v>629.78</v>
      </c>
      <c r="Q3932" s="37" t="str">
        <f>IF(P3932&gt;500,"High","low")</f>
        <v>High</v>
      </c>
      <c r="R3932" s="37" t="str">
        <f t="shared" si="309"/>
        <v>Good</v>
      </c>
      <c r="S3932" t="s">
        <v>605</v>
      </c>
    </row>
    <row r="3933" spans="1:19" x14ac:dyDescent="0.2">
      <c r="A3933" t="s">
        <v>4544</v>
      </c>
      <c r="B3933" t="s">
        <v>75</v>
      </c>
      <c r="C3933" t="s">
        <v>602</v>
      </c>
      <c r="D3933">
        <v>2288.25</v>
      </c>
      <c r="E3933" s="37" t="str">
        <f t="shared" si="305"/>
        <v xml:space="preserve"> </v>
      </c>
      <c r="F3933">
        <v>0.39</v>
      </c>
      <c r="G3933" s="37" t="str">
        <f t="shared" si="306"/>
        <v>Heavy Discount</v>
      </c>
      <c r="H3933" s="37" t="str">
        <f t="shared" si="307"/>
        <v>Medium</v>
      </c>
      <c r="I3933">
        <v>9</v>
      </c>
      <c r="J3933" t="str" cm="1">
        <f t="array" ref="J3933">_xlfn.IFS(I3933&lt;=3,"small",I3933&lt;=6,"Medium",I3933&lt;=9,"Large")</f>
        <v>Large</v>
      </c>
      <c r="K3933" s="36">
        <v>45245</v>
      </c>
      <c r="L3933" s="36">
        <v>45250</v>
      </c>
      <c r="M3933" t="s">
        <v>612</v>
      </c>
      <c r="N3933" t="s">
        <v>608</v>
      </c>
      <c r="O3933" s="37" t="str">
        <f t="shared" si="308"/>
        <v>Cash Payment</v>
      </c>
      <c r="P3933">
        <v>228.44</v>
      </c>
      <c r="Q3933" s="37" t="str">
        <f>IF(P3933&gt;500,"High","low")</f>
        <v>low</v>
      </c>
      <c r="R3933" s="37" t="str">
        <f t="shared" si="309"/>
        <v>AVERAGE</v>
      </c>
      <c r="S3933" t="s">
        <v>600</v>
      </c>
    </row>
    <row r="3934" spans="1:19" x14ac:dyDescent="0.2">
      <c r="A3934" t="s">
        <v>4545</v>
      </c>
      <c r="B3934" t="s">
        <v>75</v>
      </c>
      <c r="C3934" t="s">
        <v>614</v>
      </c>
      <c r="D3934">
        <v>4108.1099999999997</v>
      </c>
      <c r="E3934" s="37" t="str">
        <f t="shared" si="305"/>
        <v xml:space="preserve"> </v>
      </c>
      <c r="F3934">
        <v>0.01</v>
      </c>
      <c r="G3934" s="37" t="str">
        <f t="shared" si="306"/>
        <v>Normal Discount</v>
      </c>
      <c r="H3934" s="37" t="str">
        <f t="shared" si="307"/>
        <v>Low</v>
      </c>
      <c r="I3934">
        <v>4</v>
      </c>
      <c r="J3934" t="str" cm="1">
        <f t="array" ref="J3934">_xlfn.IFS(I3934&lt;=3,"small",I3934&lt;=6,"Medium",I3934&lt;=9,"Large")</f>
        <v>Medium</v>
      </c>
      <c r="K3934" s="36">
        <v>45592</v>
      </c>
      <c r="L3934" s="36">
        <v>45593</v>
      </c>
      <c r="M3934" t="s">
        <v>603</v>
      </c>
      <c r="N3934" t="s">
        <v>599</v>
      </c>
      <c r="O3934" s="37" t="str">
        <f t="shared" si="308"/>
        <v>Digital Payment</v>
      </c>
      <c r="P3934">
        <v>655.33000000000004</v>
      </c>
      <c r="Q3934" s="37" t="str">
        <f>IF(P3934&gt;500,"High","low")</f>
        <v>High</v>
      </c>
      <c r="R3934" s="37" t="str">
        <f t="shared" si="309"/>
        <v>Good</v>
      </c>
      <c r="S3934" t="s">
        <v>605</v>
      </c>
    </row>
    <row r="3935" spans="1:19" x14ac:dyDescent="0.2">
      <c r="A3935" t="s">
        <v>4546</v>
      </c>
      <c r="B3935" t="s">
        <v>67</v>
      </c>
      <c r="C3935" t="s">
        <v>597</v>
      </c>
      <c r="D3935">
        <v>2258.65</v>
      </c>
      <c r="E3935" s="37" t="str">
        <f t="shared" si="305"/>
        <v xml:space="preserve"> </v>
      </c>
      <c r="F3935">
        <v>0.26</v>
      </c>
      <c r="G3935" s="37" t="str">
        <f t="shared" si="306"/>
        <v>Normal Discount</v>
      </c>
      <c r="H3935" s="37" t="str">
        <f t="shared" si="307"/>
        <v>Medium</v>
      </c>
      <c r="I3935">
        <v>9</v>
      </c>
      <c r="J3935" t="str" cm="1">
        <f t="array" ref="J3935">_xlfn.IFS(I3935&lt;=3,"small",I3935&lt;=6,"Medium",I3935&lt;=9,"Large")</f>
        <v>Large</v>
      </c>
      <c r="K3935" s="36">
        <v>44967</v>
      </c>
      <c r="L3935" s="36">
        <v>44972</v>
      </c>
      <c r="M3935" t="s">
        <v>598</v>
      </c>
      <c r="N3935" t="s">
        <v>599</v>
      </c>
      <c r="O3935" s="37" t="str">
        <f t="shared" si="308"/>
        <v>Digital Payment</v>
      </c>
      <c r="P3935">
        <v>344.47</v>
      </c>
      <c r="Q3935" s="37" t="str">
        <f>IF(P3935&gt;500,"High","low")</f>
        <v>low</v>
      </c>
      <c r="R3935" s="37" t="str">
        <f t="shared" si="309"/>
        <v>AVERAGE</v>
      </c>
      <c r="S3935" t="s">
        <v>620</v>
      </c>
    </row>
    <row r="3936" spans="1:19" x14ac:dyDescent="0.2">
      <c r="A3936" t="s">
        <v>4547</v>
      </c>
      <c r="B3936" t="s">
        <v>75</v>
      </c>
      <c r="C3936" t="s">
        <v>617</v>
      </c>
      <c r="D3936">
        <v>2629.74</v>
      </c>
      <c r="E3936" s="37" t="str">
        <f t="shared" si="305"/>
        <v xml:space="preserve"> </v>
      </c>
      <c r="F3936">
        <v>0.17</v>
      </c>
      <c r="G3936" s="37" t="str">
        <f t="shared" si="306"/>
        <v>Normal Discount</v>
      </c>
      <c r="H3936" s="37" t="str">
        <f t="shared" si="307"/>
        <v>Low</v>
      </c>
      <c r="I3936">
        <v>6</v>
      </c>
      <c r="J3936" t="str" cm="1">
        <f t="array" ref="J3936">_xlfn.IFS(I3936&lt;=3,"small",I3936&lt;=6,"Medium",I3936&lt;=9,"Large")</f>
        <v>Medium</v>
      </c>
      <c r="K3936" s="36">
        <v>45235</v>
      </c>
      <c r="L3936" s="36">
        <v>45237</v>
      </c>
      <c r="M3936" t="s">
        <v>598</v>
      </c>
      <c r="N3936" t="s">
        <v>608</v>
      </c>
      <c r="O3936" s="37" t="str">
        <f t="shared" si="308"/>
        <v>Cash Payment</v>
      </c>
      <c r="P3936">
        <v>720.82</v>
      </c>
      <c r="Q3936" s="37" t="str">
        <f>IF(P3936&gt;500,"High","low")</f>
        <v>High</v>
      </c>
      <c r="R3936" s="37" t="str">
        <f t="shared" si="309"/>
        <v>Good</v>
      </c>
      <c r="S3936" t="s">
        <v>628</v>
      </c>
    </row>
    <row r="3937" spans="1:19" x14ac:dyDescent="0.2">
      <c r="A3937" t="s">
        <v>4548</v>
      </c>
      <c r="B3937" t="s">
        <v>83</v>
      </c>
      <c r="C3937" t="s">
        <v>607</v>
      </c>
      <c r="D3937">
        <v>1528.61</v>
      </c>
      <c r="E3937" s="37" t="str">
        <f t="shared" si="305"/>
        <v xml:space="preserve"> </v>
      </c>
      <c r="F3937">
        <v>0.12</v>
      </c>
      <c r="G3937" s="37" t="str">
        <f t="shared" si="306"/>
        <v>Normal Discount</v>
      </c>
      <c r="H3937" s="37" t="str">
        <f t="shared" si="307"/>
        <v>Low</v>
      </c>
      <c r="I3937">
        <v>9</v>
      </c>
      <c r="J3937" t="str" cm="1">
        <f t="array" ref="J3937">_xlfn.IFS(I3937&lt;=3,"small",I3937&lt;=6,"Medium",I3937&lt;=9,"Large")</f>
        <v>Large</v>
      </c>
      <c r="K3937" s="36">
        <v>45641</v>
      </c>
      <c r="L3937" s="36">
        <v>45643</v>
      </c>
      <c r="M3937" t="s">
        <v>603</v>
      </c>
      <c r="N3937" t="s">
        <v>604</v>
      </c>
      <c r="O3937" s="37" t="str">
        <f t="shared" si="308"/>
        <v>Digital Payment</v>
      </c>
      <c r="P3937">
        <v>156.16999999999999</v>
      </c>
      <c r="Q3937" s="37" t="str">
        <f>IF(P3937&gt;500,"High","low")</f>
        <v>low</v>
      </c>
      <c r="R3937" s="37" t="str">
        <f t="shared" si="309"/>
        <v>AVERAGE</v>
      </c>
      <c r="S3937" t="s">
        <v>620</v>
      </c>
    </row>
    <row r="3938" spans="1:19" x14ac:dyDescent="0.2">
      <c r="A3938" t="s">
        <v>4549</v>
      </c>
      <c r="B3938" t="s">
        <v>83</v>
      </c>
      <c r="C3938" t="s">
        <v>602</v>
      </c>
      <c r="D3938">
        <v>4210.68</v>
      </c>
      <c r="E3938" s="37" t="str">
        <f t="shared" si="305"/>
        <v>Excellent Order</v>
      </c>
      <c r="F3938">
        <v>0.33</v>
      </c>
      <c r="G3938" s="37" t="str">
        <f t="shared" si="306"/>
        <v>Heavy Discount</v>
      </c>
      <c r="H3938" s="37" t="str">
        <f t="shared" si="307"/>
        <v>Medium</v>
      </c>
      <c r="I3938">
        <v>3</v>
      </c>
      <c r="J3938" t="str" cm="1">
        <f t="array" ref="J3938">_xlfn.IFS(I3938&lt;=3,"small",I3938&lt;=6,"Medium",I3938&lt;=9,"Large")</f>
        <v>small</v>
      </c>
      <c r="K3938" s="36">
        <v>45078</v>
      </c>
      <c r="L3938" s="36">
        <v>45080</v>
      </c>
      <c r="M3938" t="s">
        <v>598</v>
      </c>
      <c r="N3938" t="s">
        <v>604</v>
      </c>
      <c r="O3938" s="37" t="str">
        <f t="shared" si="308"/>
        <v>Digital Payment</v>
      </c>
      <c r="P3938">
        <v>1022.24</v>
      </c>
      <c r="Q3938" s="37" t="str">
        <f>IF(P3938&gt;500,"High","low")</f>
        <v>High</v>
      </c>
      <c r="R3938" s="37" t="str">
        <f t="shared" si="309"/>
        <v>Excellent</v>
      </c>
      <c r="S3938" t="s">
        <v>609</v>
      </c>
    </row>
    <row r="3939" spans="1:19" x14ac:dyDescent="0.2">
      <c r="A3939" t="s">
        <v>4550</v>
      </c>
      <c r="B3939" t="s">
        <v>90</v>
      </c>
      <c r="C3939" t="s">
        <v>602</v>
      </c>
      <c r="D3939">
        <v>2659.2</v>
      </c>
      <c r="E3939" s="37" t="str">
        <f t="shared" si="305"/>
        <v xml:space="preserve"> </v>
      </c>
      <c r="F3939">
        <v>0.33</v>
      </c>
      <c r="G3939" s="37" t="str">
        <f t="shared" si="306"/>
        <v>Heavy Discount</v>
      </c>
      <c r="H3939" s="37" t="str">
        <f t="shared" si="307"/>
        <v>Medium</v>
      </c>
      <c r="I3939">
        <v>1</v>
      </c>
      <c r="J3939" t="str" cm="1">
        <f t="array" ref="J3939">_xlfn.IFS(I3939&lt;=3,"small",I3939&lt;=6,"Medium",I3939&lt;=9,"Large")</f>
        <v>small</v>
      </c>
      <c r="K3939" s="36">
        <v>45383</v>
      </c>
      <c r="L3939" s="36">
        <v>45390</v>
      </c>
      <c r="M3939" t="s">
        <v>598</v>
      </c>
      <c r="N3939" t="s">
        <v>608</v>
      </c>
      <c r="O3939" s="37" t="str">
        <f t="shared" si="308"/>
        <v>Cash Payment</v>
      </c>
      <c r="P3939">
        <v>486.76</v>
      </c>
      <c r="Q3939" s="37" t="str">
        <f>IF(P3939&gt;500,"High","low")</f>
        <v>low</v>
      </c>
      <c r="R3939" s="37" t="str">
        <f t="shared" si="309"/>
        <v>AVERAGE</v>
      </c>
      <c r="S3939" t="s">
        <v>615</v>
      </c>
    </row>
    <row r="3940" spans="1:19" x14ac:dyDescent="0.2">
      <c r="A3940" t="s">
        <v>4551</v>
      </c>
      <c r="B3940" t="s">
        <v>75</v>
      </c>
      <c r="C3940" t="s">
        <v>602</v>
      </c>
      <c r="D3940">
        <v>2807.43</v>
      </c>
      <c r="E3940" s="37" t="str">
        <f t="shared" si="305"/>
        <v xml:space="preserve"> </v>
      </c>
      <c r="F3940">
        <v>0.02</v>
      </c>
      <c r="G3940" s="37" t="str">
        <f t="shared" si="306"/>
        <v>Normal Discount</v>
      </c>
      <c r="H3940" s="37" t="str">
        <f t="shared" si="307"/>
        <v>Low</v>
      </c>
      <c r="I3940">
        <v>6</v>
      </c>
      <c r="J3940" t="str" cm="1">
        <f t="array" ref="J3940">_xlfn.IFS(I3940&lt;=3,"small",I3940&lt;=6,"Medium",I3940&lt;=9,"Large")</f>
        <v>Medium</v>
      </c>
      <c r="K3940" s="36">
        <v>45382</v>
      </c>
      <c r="L3940" s="36">
        <v>45385</v>
      </c>
      <c r="M3940" t="s">
        <v>598</v>
      </c>
      <c r="N3940" t="s">
        <v>608</v>
      </c>
      <c r="O3940" s="37" t="str">
        <f t="shared" si="308"/>
        <v>Cash Payment</v>
      </c>
      <c r="P3940">
        <v>567.04</v>
      </c>
      <c r="Q3940" s="37" t="str">
        <f>IF(P3940&gt;500,"High","low")</f>
        <v>High</v>
      </c>
      <c r="R3940" s="37" t="str">
        <f t="shared" si="309"/>
        <v>Good</v>
      </c>
      <c r="S3940" t="s">
        <v>628</v>
      </c>
    </row>
    <row r="3941" spans="1:19" x14ac:dyDescent="0.2">
      <c r="A3941" t="s">
        <v>4552</v>
      </c>
      <c r="B3941" t="s">
        <v>90</v>
      </c>
      <c r="C3941" t="s">
        <v>602</v>
      </c>
      <c r="D3941">
        <v>4415.3100000000004</v>
      </c>
      <c r="E3941" s="37" t="str">
        <f t="shared" si="305"/>
        <v xml:space="preserve"> </v>
      </c>
      <c r="F3941">
        <v>0.47</v>
      </c>
      <c r="G3941" s="37" t="str">
        <f t="shared" si="306"/>
        <v>Heavy Discount</v>
      </c>
      <c r="H3941" s="37" t="str">
        <f t="shared" si="307"/>
        <v>High</v>
      </c>
      <c r="I3941">
        <v>4</v>
      </c>
      <c r="J3941" t="str" cm="1">
        <f t="array" ref="J3941">_xlfn.IFS(I3941&lt;=3,"small",I3941&lt;=6,"Medium",I3941&lt;=9,"Large")</f>
        <v>Medium</v>
      </c>
      <c r="K3941" s="36">
        <v>45020</v>
      </c>
      <c r="L3941" s="36">
        <v>45026</v>
      </c>
      <c r="M3941" t="s">
        <v>612</v>
      </c>
      <c r="N3941" t="s">
        <v>599</v>
      </c>
      <c r="O3941" s="37" t="str">
        <f t="shared" si="308"/>
        <v>Digital Payment</v>
      </c>
      <c r="P3941">
        <v>241.33</v>
      </c>
      <c r="Q3941" s="37" t="str">
        <f>IF(P3941&gt;500,"High","low")</f>
        <v>low</v>
      </c>
      <c r="R3941" s="37" t="str">
        <f t="shared" si="309"/>
        <v>AVERAGE</v>
      </c>
      <c r="S3941" t="s">
        <v>600</v>
      </c>
    </row>
    <row r="3942" spans="1:19" x14ac:dyDescent="0.2">
      <c r="A3942" t="s">
        <v>4553</v>
      </c>
      <c r="B3942" t="s">
        <v>75</v>
      </c>
      <c r="C3942" t="s">
        <v>617</v>
      </c>
      <c r="D3942">
        <v>4610.53</v>
      </c>
      <c r="E3942" s="37" t="str">
        <f t="shared" si="305"/>
        <v>Excellent Order</v>
      </c>
      <c r="F3942">
        <v>0.18</v>
      </c>
      <c r="G3942" s="37" t="str">
        <f t="shared" si="306"/>
        <v>Normal Discount</v>
      </c>
      <c r="H3942" s="37" t="str">
        <f t="shared" si="307"/>
        <v>Low</v>
      </c>
      <c r="I3942">
        <v>4</v>
      </c>
      <c r="J3942" t="str" cm="1">
        <f t="array" ref="J3942">_xlfn.IFS(I3942&lt;=3,"small",I3942&lt;=6,"Medium",I3942&lt;=9,"Large")</f>
        <v>Medium</v>
      </c>
      <c r="K3942" s="36">
        <v>45317</v>
      </c>
      <c r="L3942" s="36">
        <v>45322</v>
      </c>
      <c r="M3942" t="s">
        <v>598</v>
      </c>
      <c r="N3942" t="s">
        <v>599</v>
      </c>
      <c r="O3942" s="37" t="str">
        <f t="shared" si="308"/>
        <v>Digital Payment</v>
      </c>
      <c r="P3942">
        <v>1008.88</v>
      </c>
      <c r="Q3942" s="37" t="str">
        <f>IF(P3942&gt;500,"High","low")</f>
        <v>High</v>
      </c>
      <c r="R3942" s="37" t="str">
        <f t="shared" si="309"/>
        <v>Excellent</v>
      </c>
      <c r="S3942" t="s">
        <v>600</v>
      </c>
    </row>
    <row r="3943" spans="1:19" x14ac:dyDescent="0.2">
      <c r="A3943" t="s">
        <v>4554</v>
      </c>
      <c r="B3943" t="s">
        <v>83</v>
      </c>
      <c r="C3943" t="s">
        <v>614</v>
      </c>
      <c r="D3943">
        <v>4138.55</v>
      </c>
      <c r="E3943" s="37" t="str">
        <f t="shared" si="305"/>
        <v xml:space="preserve"> </v>
      </c>
      <c r="F3943">
        <v>0.46</v>
      </c>
      <c r="G3943" s="37" t="str">
        <f t="shared" si="306"/>
        <v>Heavy Discount</v>
      </c>
      <c r="H3943" s="37" t="str">
        <f t="shared" si="307"/>
        <v>High</v>
      </c>
      <c r="I3943">
        <v>4</v>
      </c>
      <c r="J3943" t="str" cm="1">
        <f t="array" ref="J3943">_xlfn.IFS(I3943&lt;=3,"small",I3943&lt;=6,"Medium",I3943&lt;=9,"Large")</f>
        <v>Medium</v>
      </c>
      <c r="K3943" s="36">
        <v>45566</v>
      </c>
      <c r="L3943" s="36">
        <v>45567</v>
      </c>
      <c r="M3943" t="s">
        <v>603</v>
      </c>
      <c r="N3943" t="s">
        <v>604</v>
      </c>
      <c r="O3943" s="37" t="str">
        <f t="shared" si="308"/>
        <v>Digital Payment</v>
      </c>
      <c r="P3943">
        <v>439.56</v>
      </c>
      <c r="Q3943" s="37" t="str">
        <f>IF(P3943&gt;500,"High","low")</f>
        <v>low</v>
      </c>
      <c r="R3943" s="37" t="str">
        <f t="shared" si="309"/>
        <v>AVERAGE</v>
      </c>
      <c r="S3943" t="s">
        <v>615</v>
      </c>
    </row>
    <row r="3944" spans="1:19" x14ac:dyDescent="0.2">
      <c r="A3944" t="s">
        <v>4555</v>
      </c>
      <c r="B3944" t="s">
        <v>83</v>
      </c>
      <c r="C3944" t="s">
        <v>617</v>
      </c>
      <c r="D3944">
        <v>420.32</v>
      </c>
      <c r="E3944" s="37" t="str">
        <f t="shared" si="305"/>
        <v xml:space="preserve"> </v>
      </c>
      <c r="F3944">
        <v>0.28999999999999998</v>
      </c>
      <c r="G3944" s="37" t="str">
        <f t="shared" si="306"/>
        <v>Normal Discount</v>
      </c>
      <c r="H3944" s="37" t="str">
        <f t="shared" si="307"/>
        <v>Medium</v>
      </c>
      <c r="I3944">
        <v>1</v>
      </c>
      <c r="J3944" t="str" cm="1">
        <f t="array" ref="J3944">_xlfn.IFS(I3944&lt;=3,"small",I3944&lt;=6,"Medium",I3944&lt;=9,"Large")</f>
        <v>small</v>
      </c>
      <c r="K3944" s="36">
        <v>45155</v>
      </c>
      <c r="L3944" s="36">
        <v>45161</v>
      </c>
      <c r="M3944" t="s">
        <v>603</v>
      </c>
      <c r="N3944" t="s">
        <v>599</v>
      </c>
      <c r="O3944" s="37" t="str">
        <f t="shared" si="308"/>
        <v>Digital Payment</v>
      </c>
      <c r="P3944">
        <v>68.7</v>
      </c>
      <c r="Q3944" s="37" t="str">
        <f>IF(P3944&gt;500,"High","low")</f>
        <v>low</v>
      </c>
      <c r="R3944" s="37" t="str">
        <f t="shared" si="309"/>
        <v>AVERAGE</v>
      </c>
      <c r="S3944" t="s">
        <v>600</v>
      </c>
    </row>
    <row r="3945" spans="1:19" x14ac:dyDescent="0.2">
      <c r="A3945" t="s">
        <v>4556</v>
      </c>
      <c r="B3945" t="s">
        <v>83</v>
      </c>
      <c r="C3945" t="s">
        <v>597</v>
      </c>
      <c r="D3945">
        <v>2273.19</v>
      </c>
      <c r="E3945" s="37" t="str">
        <f t="shared" si="305"/>
        <v xml:space="preserve"> </v>
      </c>
      <c r="F3945">
        <v>0.33</v>
      </c>
      <c r="G3945" s="37" t="str">
        <f t="shared" si="306"/>
        <v>Heavy Discount</v>
      </c>
      <c r="H3945" s="37" t="str">
        <f t="shared" si="307"/>
        <v>Medium</v>
      </c>
      <c r="I3945">
        <v>5</v>
      </c>
      <c r="J3945" t="str" cm="1">
        <f t="array" ref="J3945">_xlfn.IFS(I3945&lt;=3,"small",I3945&lt;=6,"Medium",I3945&lt;=9,"Large")</f>
        <v>Medium</v>
      </c>
      <c r="K3945" s="36">
        <v>45423</v>
      </c>
      <c r="L3945" s="36">
        <v>45427</v>
      </c>
      <c r="M3945" t="s">
        <v>598</v>
      </c>
      <c r="N3945" t="s">
        <v>608</v>
      </c>
      <c r="O3945" s="37" t="str">
        <f t="shared" si="308"/>
        <v>Cash Payment</v>
      </c>
      <c r="P3945">
        <v>384.02</v>
      </c>
      <c r="Q3945" s="37" t="str">
        <f>IF(P3945&gt;500,"High","low")</f>
        <v>low</v>
      </c>
      <c r="R3945" s="37" t="str">
        <f t="shared" si="309"/>
        <v>AVERAGE</v>
      </c>
      <c r="S3945" t="s">
        <v>615</v>
      </c>
    </row>
    <row r="3946" spans="1:19" x14ac:dyDescent="0.2">
      <c r="A3946" t="s">
        <v>4557</v>
      </c>
      <c r="B3946" t="s">
        <v>75</v>
      </c>
      <c r="C3946" t="s">
        <v>617</v>
      </c>
      <c r="D3946">
        <v>1782.32</v>
      </c>
      <c r="E3946" s="37" t="str">
        <f t="shared" si="305"/>
        <v xml:space="preserve"> </v>
      </c>
      <c r="F3946">
        <v>0.48</v>
      </c>
      <c r="G3946" s="37" t="str">
        <f t="shared" si="306"/>
        <v>Heavy Discount</v>
      </c>
      <c r="H3946" s="37" t="str">
        <f t="shared" si="307"/>
        <v>High</v>
      </c>
      <c r="I3946">
        <v>9</v>
      </c>
      <c r="J3946" t="str" cm="1">
        <f t="array" ref="J3946">_xlfn.IFS(I3946&lt;=3,"small",I3946&lt;=6,"Medium",I3946&lt;=9,"Large")</f>
        <v>Large</v>
      </c>
      <c r="K3946" s="36">
        <v>45397</v>
      </c>
      <c r="L3946" s="36">
        <v>45398</v>
      </c>
      <c r="M3946" t="s">
        <v>612</v>
      </c>
      <c r="N3946" t="s">
        <v>608</v>
      </c>
      <c r="O3946" s="37" t="str">
        <f t="shared" si="308"/>
        <v>Cash Payment</v>
      </c>
      <c r="P3946">
        <v>517.77</v>
      </c>
      <c r="Q3946" s="37" t="str">
        <f>IF(P3946&gt;500,"High","low")</f>
        <v>High</v>
      </c>
      <c r="R3946" s="37" t="str">
        <f t="shared" si="309"/>
        <v>Good</v>
      </c>
      <c r="S3946" t="s">
        <v>605</v>
      </c>
    </row>
    <row r="3947" spans="1:19" x14ac:dyDescent="0.2">
      <c r="A3947" t="s">
        <v>4558</v>
      </c>
      <c r="B3947" t="s">
        <v>83</v>
      </c>
      <c r="C3947" t="s">
        <v>617</v>
      </c>
      <c r="D3947">
        <v>1146.22</v>
      </c>
      <c r="E3947" s="37" t="str">
        <f t="shared" si="305"/>
        <v xml:space="preserve"> </v>
      </c>
      <c r="F3947">
        <v>0.41</v>
      </c>
      <c r="G3947" s="37" t="str">
        <f t="shared" si="306"/>
        <v>Heavy Discount</v>
      </c>
      <c r="H3947" s="37" t="str">
        <f t="shared" si="307"/>
        <v>High</v>
      </c>
      <c r="I3947">
        <v>3</v>
      </c>
      <c r="J3947" t="str" cm="1">
        <f t="array" ref="J3947">_xlfn.IFS(I3947&lt;=3,"small",I3947&lt;=6,"Medium",I3947&lt;=9,"Large")</f>
        <v>small</v>
      </c>
      <c r="K3947" s="36">
        <v>45511</v>
      </c>
      <c r="L3947" s="36">
        <v>45517</v>
      </c>
      <c r="M3947" t="s">
        <v>598</v>
      </c>
      <c r="N3947" t="s">
        <v>604</v>
      </c>
      <c r="O3947" s="37" t="str">
        <f t="shared" si="308"/>
        <v>Digital Payment</v>
      </c>
      <c r="P3947">
        <v>190.7</v>
      </c>
      <c r="Q3947" s="37" t="str">
        <f>IF(P3947&gt;500,"High","low")</f>
        <v>low</v>
      </c>
      <c r="R3947" s="37" t="str">
        <f t="shared" si="309"/>
        <v>AVERAGE</v>
      </c>
      <c r="S3947" t="s">
        <v>628</v>
      </c>
    </row>
    <row r="3948" spans="1:19" x14ac:dyDescent="0.2">
      <c r="A3948" t="s">
        <v>4559</v>
      </c>
      <c r="B3948" t="s">
        <v>75</v>
      </c>
      <c r="C3948" t="s">
        <v>597</v>
      </c>
      <c r="D3948">
        <v>4553.87</v>
      </c>
      <c r="E3948" s="37" t="str">
        <f t="shared" si="305"/>
        <v xml:space="preserve"> </v>
      </c>
      <c r="F3948">
        <v>7.0000000000000007E-2</v>
      </c>
      <c r="G3948" s="37" t="str">
        <f t="shared" si="306"/>
        <v>Normal Discount</v>
      </c>
      <c r="H3948" s="37" t="str">
        <f t="shared" si="307"/>
        <v>Low</v>
      </c>
      <c r="I3948">
        <v>2</v>
      </c>
      <c r="J3948" t="str" cm="1">
        <f t="array" ref="J3948">_xlfn.IFS(I3948&lt;=3,"small",I3948&lt;=6,"Medium",I3948&lt;=9,"Large")</f>
        <v>small</v>
      </c>
      <c r="K3948" s="36">
        <v>45009</v>
      </c>
      <c r="L3948" s="36">
        <v>45016</v>
      </c>
      <c r="M3948" t="s">
        <v>603</v>
      </c>
      <c r="N3948" t="s">
        <v>604</v>
      </c>
      <c r="O3948" s="37" t="str">
        <f t="shared" si="308"/>
        <v>Digital Payment</v>
      </c>
      <c r="P3948">
        <v>703.06</v>
      </c>
      <c r="Q3948" s="37" t="str">
        <f>IF(P3948&gt;500,"High","low")</f>
        <v>High</v>
      </c>
      <c r="R3948" s="37" t="str">
        <f t="shared" si="309"/>
        <v>Good</v>
      </c>
      <c r="S3948" t="s">
        <v>609</v>
      </c>
    </row>
    <row r="3949" spans="1:19" x14ac:dyDescent="0.2">
      <c r="A3949" t="s">
        <v>4560</v>
      </c>
      <c r="B3949" t="s">
        <v>90</v>
      </c>
      <c r="C3949" t="s">
        <v>617</v>
      </c>
      <c r="D3949">
        <v>4461.34</v>
      </c>
      <c r="E3949" s="37" t="str">
        <f t="shared" si="305"/>
        <v>Excellent Order</v>
      </c>
      <c r="F3949">
        <v>0</v>
      </c>
      <c r="G3949" s="37" t="str">
        <f t="shared" si="306"/>
        <v>Normal Discount</v>
      </c>
      <c r="H3949" s="37" t="str">
        <f t="shared" si="307"/>
        <v>Low</v>
      </c>
      <c r="I3949">
        <v>2</v>
      </c>
      <c r="J3949" t="str" cm="1">
        <f t="array" ref="J3949">_xlfn.IFS(I3949&lt;=3,"small",I3949&lt;=6,"Medium",I3949&lt;=9,"Large")</f>
        <v>small</v>
      </c>
      <c r="K3949" s="36">
        <v>45118</v>
      </c>
      <c r="L3949" s="36">
        <v>45119</v>
      </c>
      <c r="M3949" t="s">
        <v>603</v>
      </c>
      <c r="N3949" t="s">
        <v>604</v>
      </c>
      <c r="O3949" s="37" t="str">
        <f t="shared" si="308"/>
        <v>Digital Payment</v>
      </c>
      <c r="P3949">
        <v>1071.0999999999999</v>
      </c>
      <c r="Q3949" s="37" t="str">
        <f>IF(P3949&gt;500,"High","low")</f>
        <v>High</v>
      </c>
      <c r="R3949" s="37" t="str">
        <f t="shared" si="309"/>
        <v>Excellent</v>
      </c>
      <c r="S3949" t="s">
        <v>605</v>
      </c>
    </row>
    <row r="3950" spans="1:19" x14ac:dyDescent="0.2">
      <c r="A3950" t="s">
        <v>4561</v>
      </c>
      <c r="B3950" t="s">
        <v>75</v>
      </c>
      <c r="C3950" t="s">
        <v>614</v>
      </c>
      <c r="D3950">
        <v>2379.96</v>
      </c>
      <c r="E3950" s="37" t="str">
        <f t="shared" si="305"/>
        <v xml:space="preserve"> </v>
      </c>
      <c r="F3950">
        <v>0.15</v>
      </c>
      <c r="G3950" s="37" t="str">
        <f t="shared" si="306"/>
        <v>Normal Discount</v>
      </c>
      <c r="H3950" s="37" t="str">
        <f t="shared" si="307"/>
        <v>Low</v>
      </c>
      <c r="I3950">
        <v>7</v>
      </c>
      <c r="J3950" t="str" cm="1">
        <f t="array" ref="J3950">_xlfn.IFS(I3950&lt;=3,"small",I3950&lt;=6,"Medium",I3950&lt;=9,"Large")</f>
        <v>Large</v>
      </c>
      <c r="K3950" s="36">
        <v>45382</v>
      </c>
      <c r="L3950" s="36">
        <v>45385</v>
      </c>
      <c r="M3950" t="s">
        <v>603</v>
      </c>
      <c r="N3950" t="s">
        <v>608</v>
      </c>
      <c r="O3950" s="37" t="str">
        <f t="shared" si="308"/>
        <v>Cash Payment</v>
      </c>
      <c r="P3950">
        <v>369.07</v>
      </c>
      <c r="Q3950" s="37" t="str">
        <f>IF(P3950&gt;500,"High","low")</f>
        <v>low</v>
      </c>
      <c r="R3950" s="37" t="str">
        <f t="shared" si="309"/>
        <v>AVERAGE</v>
      </c>
      <c r="S3950" t="s">
        <v>609</v>
      </c>
    </row>
    <row r="3951" spans="1:19" x14ac:dyDescent="0.2">
      <c r="A3951" t="s">
        <v>4562</v>
      </c>
      <c r="B3951" t="s">
        <v>90</v>
      </c>
      <c r="C3951" t="s">
        <v>607</v>
      </c>
      <c r="D3951">
        <v>759.35</v>
      </c>
      <c r="E3951" s="37" t="str">
        <f t="shared" si="305"/>
        <v xml:space="preserve"> </v>
      </c>
      <c r="F3951">
        <v>0.24</v>
      </c>
      <c r="G3951" s="37" t="str">
        <f t="shared" si="306"/>
        <v>Normal Discount</v>
      </c>
      <c r="H3951" s="37" t="str">
        <f t="shared" si="307"/>
        <v>Medium</v>
      </c>
      <c r="I3951">
        <v>6</v>
      </c>
      <c r="J3951" t="str" cm="1">
        <f t="array" ref="J3951">_xlfn.IFS(I3951&lt;=3,"small",I3951&lt;=6,"Medium",I3951&lt;=9,"Large")</f>
        <v>Medium</v>
      </c>
      <c r="K3951" s="36">
        <v>44972</v>
      </c>
      <c r="L3951" s="36">
        <v>44979</v>
      </c>
      <c r="M3951" t="s">
        <v>612</v>
      </c>
      <c r="N3951" t="s">
        <v>604</v>
      </c>
      <c r="O3951" s="37" t="str">
        <f t="shared" si="308"/>
        <v>Digital Payment</v>
      </c>
      <c r="P3951">
        <v>204.18</v>
      </c>
      <c r="Q3951" s="37" t="str">
        <f>IF(P3951&gt;500,"High","low")</f>
        <v>low</v>
      </c>
      <c r="R3951" s="37" t="str">
        <f t="shared" si="309"/>
        <v>AVERAGE</v>
      </c>
      <c r="S3951" t="s">
        <v>605</v>
      </c>
    </row>
    <row r="3952" spans="1:19" x14ac:dyDescent="0.2">
      <c r="A3952" t="s">
        <v>4563</v>
      </c>
      <c r="B3952" t="s">
        <v>75</v>
      </c>
      <c r="C3952" t="s">
        <v>597</v>
      </c>
      <c r="D3952">
        <v>165.49</v>
      </c>
      <c r="E3952" s="37" t="str">
        <f t="shared" si="305"/>
        <v xml:space="preserve"> </v>
      </c>
      <c r="F3952">
        <v>0.37</v>
      </c>
      <c r="G3952" s="37" t="str">
        <f t="shared" si="306"/>
        <v>Heavy Discount</v>
      </c>
      <c r="H3952" s="37" t="str">
        <f t="shared" si="307"/>
        <v>Medium</v>
      </c>
      <c r="I3952">
        <v>2</v>
      </c>
      <c r="J3952" t="str" cm="1">
        <f t="array" ref="J3952">_xlfn.IFS(I3952&lt;=3,"small",I3952&lt;=6,"Medium",I3952&lt;=9,"Large")</f>
        <v>small</v>
      </c>
      <c r="K3952" s="36">
        <v>45388</v>
      </c>
      <c r="L3952" s="36">
        <v>45390</v>
      </c>
      <c r="M3952" t="s">
        <v>598</v>
      </c>
      <c r="N3952" t="s">
        <v>604</v>
      </c>
      <c r="O3952" s="37" t="str">
        <f t="shared" si="308"/>
        <v>Digital Payment</v>
      </c>
      <c r="P3952">
        <v>30.17</v>
      </c>
      <c r="Q3952" s="37" t="str">
        <f>IF(P3952&gt;500,"High","low")</f>
        <v>low</v>
      </c>
      <c r="R3952" s="37" t="str">
        <f t="shared" si="309"/>
        <v>AVERAGE</v>
      </c>
      <c r="S3952" t="s">
        <v>605</v>
      </c>
    </row>
    <row r="3953" spans="1:19" x14ac:dyDescent="0.2">
      <c r="A3953" t="s">
        <v>4564</v>
      </c>
      <c r="B3953" t="s">
        <v>90</v>
      </c>
      <c r="C3953" t="s">
        <v>602</v>
      </c>
      <c r="D3953">
        <v>2248.4899999999998</v>
      </c>
      <c r="E3953" s="37" t="str">
        <f t="shared" si="305"/>
        <v xml:space="preserve"> </v>
      </c>
      <c r="F3953">
        <v>0.33</v>
      </c>
      <c r="G3953" s="37" t="str">
        <f t="shared" si="306"/>
        <v>Heavy Discount</v>
      </c>
      <c r="H3953" s="37" t="str">
        <f t="shared" si="307"/>
        <v>Medium</v>
      </c>
      <c r="I3953">
        <v>1</v>
      </c>
      <c r="J3953" t="str" cm="1">
        <f t="array" ref="J3953">_xlfn.IFS(I3953&lt;=3,"small",I3953&lt;=6,"Medium",I3953&lt;=9,"Large")</f>
        <v>small</v>
      </c>
      <c r="K3953" s="36">
        <v>45489</v>
      </c>
      <c r="L3953" s="36">
        <v>45496</v>
      </c>
      <c r="M3953" t="s">
        <v>598</v>
      </c>
      <c r="N3953" t="s">
        <v>599</v>
      </c>
      <c r="O3953" s="37" t="str">
        <f t="shared" si="308"/>
        <v>Digital Payment</v>
      </c>
      <c r="P3953">
        <v>602.35</v>
      </c>
      <c r="Q3953" s="37" t="str">
        <f>IF(P3953&gt;500,"High","low")</f>
        <v>High</v>
      </c>
      <c r="R3953" s="37" t="str">
        <f t="shared" si="309"/>
        <v>Good</v>
      </c>
      <c r="S3953" t="s">
        <v>628</v>
      </c>
    </row>
    <row r="3954" spans="1:19" x14ac:dyDescent="0.2">
      <c r="A3954" t="s">
        <v>4565</v>
      </c>
      <c r="B3954" t="s">
        <v>83</v>
      </c>
      <c r="C3954" t="s">
        <v>614</v>
      </c>
      <c r="D3954">
        <v>295.77999999999997</v>
      </c>
      <c r="E3954" s="37" t="str">
        <f t="shared" si="305"/>
        <v xml:space="preserve"> </v>
      </c>
      <c r="F3954">
        <v>0.16</v>
      </c>
      <c r="G3954" s="37" t="str">
        <f t="shared" si="306"/>
        <v>Normal Discount</v>
      </c>
      <c r="H3954" s="37" t="str">
        <f t="shared" si="307"/>
        <v>Low</v>
      </c>
      <c r="I3954">
        <v>7</v>
      </c>
      <c r="J3954" t="str" cm="1">
        <f t="array" ref="J3954">_xlfn.IFS(I3954&lt;=3,"small",I3954&lt;=6,"Medium",I3954&lt;=9,"Large")</f>
        <v>Large</v>
      </c>
      <c r="K3954" s="36">
        <v>45537</v>
      </c>
      <c r="L3954" s="36">
        <v>45538</v>
      </c>
      <c r="M3954" t="s">
        <v>612</v>
      </c>
      <c r="N3954" t="s">
        <v>599</v>
      </c>
      <c r="O3954" s="37" t="str">
        <f t="shared" si="308"/>
        <v>Digital Payment</v>
      </c>
      <c r="P3954">
        <v>64.03</v>
      </c>
      <c r="Q3954" s="37" t="str">
        <f>IF(P3954&gt;500,"High","low")</f>
        <v>low</v>
      </c>
      <c r="R3954" s="37" t="str">
        <f t="shared" si="309"/>
        <v>AVERAGE</v>
      </c>
      <c r="S3954" t="s">
        <v>605</v>
      </c>
    </row>
    <row r="3955" spans="1:19" x14ac:dyDescent="0.2">
      <c r="A3955" t="s">
        <v>4566</v>
      </c>
      <c r="B3955" t="s">
        <v>90</v>
      </c>
      <c r="C3955" t="s">
        <v>607</v>
      </c>
      <c r="D3955">
        <v>3086.82</v>
      </c>
      <c r="E3955" s="37" t="str">
        <f t="shared" si="305"/>
        <v xml:space="preserve"> </v>
      </c>
      <c r="F3955">
        <v>0.27</v>
      </c>
      <c r="G3955" s="37" t="str">
        <f t="shared" si="306"/>
        <v>Normal Discount</v>
      </c>
      <c r="H3955" s="37" t="str">
        <f t="shared" si="307"/>
        <v>Medium</v>
      </c>
      <c r="I3955">
        <v>6</v>
      </c>
      <c r="J3955" t="str" cm="1">
        <f t="array" ref="J3955">_xlfn.IFS(I3955&lt;=3,"small",I3955&lt;=6,"Medium",I3955&lt;=9,"Large")</f>
        <v>Medium</v>
      </c>
      <c r="K3955" s="36">
        <v>45027</v>
      </c>
      <c r="L3955" s="36">
        <v>45033</v>
      </c>
      <c r="M3955" t="s">
        <v>598</v>
      </c>
      <c r="N3955" t="s">
        <v>604</v>
      </c>
      <c r="O3955" s="37" t="str">
        <f t="shared" si="308"/>
        <v>Digital Payment</v>
      </c>
      <c r="P3955">
        <v>656.75</v>
      </c>
      <c r="Q3955" s="37" t="str">
        <f>IF(P3955&gt;500,"High","low")</f>
        <v>High</v>
      </c>
      <c r="R3955" s="37" t="str">
        <f t="shared" si="309"/>
        <v>Good</v>
      </c>
      <c r="S3955" t="s">
        <v>600</v>
      </c>
    </row>
    <row r="3956" spans="1:19" x14ac:dyDescent="0.2">
      <c r="A3956" t="s">
        <v>4567</v>
      </c>
      <c r="B3956" t="s">
        <v>83</v>
      </c>
      <c r="C3956" t="s">
        <v>614</v>
      </c>
      <c r="D3956">
        <v>3081.2</v>
      </c>
      <c r="E3956" s="37" t="str">
        <f t="shared" si="305"/>
        <v xml:space="preserve"> </v>
      </c>
      <c r="F3956">
        <v>0.33</v>
      </c>
      <c r="G3956" s="37" t="str">
        <f t="shared" si="306"/>
        <v>Heavy Discount</v>
      </c>
      <c r="H3956" s="37" t="str">
        <f t="shared" si="307"/>
        <v>Medium</v>
      </c>
      <c r="I3956">
        <v>5</v>
      </c>
      <c r="J3956" t="str" cm="1">
        <f t="array" ref="J3956">_xlfn.IFS(I3956&lt;=3,"small",I3956&lt;=6,"Medium",I3956&lt;=9,"Large")</f>
        <v>Medium</v>
      </c>
      <c r="K3956" s="36">
        <v>45582</v>
      </c>
      <c r="L3956" s="36">
        <v>45584</v>
      </c>
      <c r="M3956" t="s">
        <v>598</v>
      </c>
      <c r="N3956" t="s">
        <v>608</v>
      </c>
      <c r="O3956" s="37" t="str">
        <f t="shared" si="308"/>
        <v>Cash Payment</v>
      </c>
      <c r="P3956">
        <v>589.52</v>
      </c>
      <c r="Q3956" s="37" t="str">
        <f>IF(P3956&gt;500,"High","low")</f>
        <v>High</v>
      </c>
      <c r="R3956" s="37" t="str">
        <f t="shared" si="309"/>
        <v>Good</v>
      </c>
      <c r="S3956" t="s">
        <v>615</v>
      </c>
    </row>
    <row r="3957" spans="1:19" x14ac:dyDescent="0.2">
      <c r="A3957" t="s">
        <v>4568</v>
      </c>
      <c r="B3957" t="s">
        <v>83</v>
      </c>
      <c r="C3957" t="s">
        <v>614</v>
      </c>
      <c r="D3957">
        <v>4504.8</v>
      </c>
      <c r="E3957" s="37" t="str">
        <f t="shared" si="305"/>
        <v xml:space="preserve"> </v>
      </c>
      <c r="F3957">
        <v>0.26</v>
      </c>
      <c r="G3957" s="37" t="str">
        <f t="shared" si="306"/>
        <v>Normal Discount</v>
      </c>
      <c r="H3957" s="37" t="str">
        <f t="shared" si="307"/>
        <v>Medium</v>
      </c>
      <c r="I3957">
        <v>5</v>
      </c>
      <c r="J3957" t="str" cm="1">
        <f t="array" ref="J3957">_xlfn.IFS(I3957&lt;=3,"small",I3957&lt;=6,"Medium",I3957&lt;=9,"Large")</f>
        <v>Medium</v>
      </c>
      <c r="K3957" s="36">
        <v>45161</v>
      </c>
      <c r="L3957" s="36">
        <v>45166</v>
      </c>
      <c r="M3957" t="s">
        <v>603</v>
      </c>
      <c r="N3957" t="s">
        <v>608</v>
      </c>
      <c r="O3957" s="37" t="str">
        <f t="shared" si="308"/>
        <v>Cash Payment</v>
      </c>
      <c r="P3957">
        <v>784.14</v>
      </c>
      <c r="Q3957" s="37" t="str">
        <f>IF(P3957&gt;500,"High","low")</f>
        <v>High</v>
      </c>
      <c r="R3957" s="37" t="str">
        <f t="shared" si="309"/>
        <v>Good</v>
      </c>
      <c r="S3957" t="s">
        <v>628</v>
      </c>
    </row>
    <row r="3958" spans="1:19" x14ac:dyDescent="0.2">
      <c r="A3958" t="s">
        <v>4569</v>
      </c>
      <c r="B3958" t="s">
        <v>90</v>
      </c>
      <c r="C3958" t="s">
        <v>602</v>
      </c>
      <c r="D3958">
        <v>1031.24</v>
      </c>
      <c r="E3958" s="37" t="str">
        <f t="shared" si="305"/>
        <v xml:space="preserve"> </v>
      </c>
      <c r="F3958">
        <v>0.34</v>
      </c>
      <c r="G3958" s="37" t="str">
        <f t="shared" si="306"/>
        <v>Heavy Discount</v>
      </c>
      <c r="H3958" s="37" t="str">
        <f t="shared" si="307"/>
        <v>Medium</v>
      </c>
      <c r="I3958">
        <v>3</v>
      </c>
      <c r="J3958" t="str" cm="1">
        <f t="array" ref="J3958">_xlfn.IFS(I3958&lt;=3,"small",I3958&lt;=6,"Medium",I3958&lt;=9,"Large")</f>
        <v>small</v>
      </c>
      <c r="K3958" s="36">
        <v>45239</v>
      </c>
      <c r="L3958" s="36">
        <v>45246</v>
      </c>
      <c r="M3958" t="s">
        <v>598</v>
      </c>
      <c r="N3958" t="s">
        <v>608</v>
      </c>
      <c r="O3958" s="37" t="str">
        <f t="shared" si="308"/>
        <v>Cash Payment</v>
      </c>
      <c r="P3958">
        <v>145.29</v>
      </c>
      <c r="Q3958" s="37" t="str">
        <f>IF(P3958&gt;500,"High","low")</f>
        <v>low</v>
      </c>
      <c r="R3958" s="37" t="str">
        <f t="shared" si="309"/>
        <v>AVERAGE</v>
      </c>
      <c r="S3958" t="s">
        <v>628</v>
      </c>
    </row>
    <row r="3959" spans="1:19" x14ac:dyDescent="0.2">
      <c r="A3959" t="s">
        <v>4570</v>
      </c>
      <c r="B3959" t="s">
        <v>75</v>
      </c>
      <c r="C3959" t="s">
        <v>607</v>
      </c>
      <c r="D3959">
        <v>1919.83</v>
      </c>
      <c r="E3959" s="37" t="str">
        <f t="shared" si="305"/>
        <v xml:space="preserve"> </v>
      </c>
      <c r="F3959">
        <v>0.24</v>
      </c>
      <c r="G3959" s="37" t="str">
        <f t="shared" si="306"/>
        <v>Normal Discount</v>
      </c>
      <c r="H3959" s="37" t="str">
        <f t="shared" si="307"/>
        <v>Medium</v>
      </c>
      <c r="I3959">
        <v>5</v>
      </c>
      <c r="J3959" t="str" cm="1">
        <f t="array" ref="J3959">_xlfn.IFS(I3959&lt;=3,"small",I3959&lt;=6,"Medium",I3959&lt;=9,"Large")</f>
        <v>Medium</v>
      </c>
      <c r="K3959" s="36">
        <v>45288</v>
      </c>
      <c r="L3959" s="36">
        <v>45290</v>
      </c>
      <c r="M3959" t="s">
        <v>598</v>
      </c>
      <c r="N3959" t="s">
        <v>604</v>
      </c>
      <c r="O3959" s="37" t="str">
        <f t="shared" si="308"/>
        <v>Digital Payment</v>
      </c>
      <c r="P3959">
        <v>480.4</v>
      </c>
      <c r="Q3959" s="37" t="str">
        <f>IF(P3959&gt;500,"High","low")</f>
        <v>low</v>
      </c>
      <c r="R3959" s="37" t="str">
        <f t="shared" si="309"/>
        <v>AVERAGE</v>
      </c>
      <c r="S3959" t="s">
        <v>609</v>
      </c>
    </row>
    <row r="3960" spans="1:19" x14ac:dyDescent="0.2">
      <c r="A3960" t="s">
        <v>4571</v>
      </c>
      <c r="B3960" t="s">
        <v>75</v>
      </c>
      <c r="C3960" t="s">
        <v>614</v>
      </c>
      <c r="D3960">
        <v>4311.7700000000004</v>
      </c>
      <c r="E3960" s="37" t="str">
        <f t="shared" si="305"/>
        <v>Excellent Order</v>
      </c>
      <c r="F3960">
        <v>0.26</v>
      </c>
      <c r="G3960" s="37" t="str">
        <f t="shared" si="306"/>
        <v>Normal Discount</v>
      </c>
      <c r="H3960" s="37" t="str">
        <f t="shared" si="307"/>
        <v>Medium</v>
      </c>
      <c r="I3960">
        <v>6</v>
      </c>
      <c r="J3960" t="str" cm="1">
        <f t="array" ref="J3960">_xlfn.IFS(I3960&lt;=3,"small",I3960&lt;=6,"Medium",I3960&lt;=9,"Large")</f>
        <v>Medium</v>
      </c>
      <c r="K3960" s="36">
        <v>45171</v>
      </c>
      <c r="L3960" s="36">
        <v>45177</v>
      </c>
      <c r="M3960" t="s">
        <v>603</v>
      </c>
      <c r="N3960" t="s">
        <v>604</v>
      </c>
      <c r="O3960" s="37" t="str">
        <f t="shared" si="308"/>
        <v>Digital Payment</v>
      </c>
      <c r="P3960">
        <v>905.27</v>
      </c>
      <c r="Q3960" s="37" t="str">
        <f>IF(P3960&gt;500,"High","low")</f>
        <v>High</v>
      </c>
      <c r="R3960" s="37" t="str">
        <f t="shared" si="309"/>
        <v>Good</v>
      </c>
      <c r="S3960" t="s">
        <v>628</v>
      </c>
    </row>
    <row r="3961" spans="1:19" x14ac:dyDescent="0.2">
      <c r="A3961" t="s">
        <v>4572</v>
      </c>
      <c r="B3961" t="s">
        <v>67</v>
      </c>
      <c r="C3961" t="s">
        <v>602</v>
      </c>
      <c r="D3961">
        <v>2424.0500000000002</v>
      </c>
      <c r="E3961" s="37" t="str">
        <f t="shared" si="305"/>
        <v xml:space="preserve"> </v>
      </c>
      <c r="F3961">
        <v>0.47</v>
      </c>
      <c r="G3961" s="37" t="str">
        <f t="shared" si="306"/>
        <v>Heavy Discount</v>
      </c>
      <c r="H3961" s="37" t="str">
        <f t="shared" si="307"/>
        <v>High</v>
      </c>
      <c r="I3961">
        <v>7</v>
      </c>
      <c r="J3961" t="str" cm="1">
        <f t="array" ref="J3961">_xlfn.IFS(I3961&lt;=3,"small",I3961&lt;=6,"Medium",I3961&lt;=9,"Large")</f>
        <v>Large</v>
      </c>
      <c r="K3961" s="36">
        <v>45174</v>
      </c>
      <c r="L3961" s="36">
        <v>45176</v>
      </c>
      <c r="M3961" t="s">
        <v>598</v>
      </c>
      <c r="N3961" t="s">
        <v>604</v>
      </c>
      <c r="O3961" s="37" t="str">
        <f t="shared" si="308"/>
        <v>Digital Payment</v>
      </c>
      <c r="P3961">
        <v>179.11</v>
      </c>
      <c r="Q3961" s="37" t="str">
        <f>IF(P3961&gt;500,"High","low")</f>
        <v>low</v>
      </c>
      <c r="R3961" s="37" t="str">
        <f t="shared" si="309"/>
        <v>AVERAGE</v>
      </c>
      <c r="S3961" t="s">
        <v>620</v>
      </c>
    </row>
    <row r="3962" spans="1:19" x14ac:dyDescent="0.2">
      <c r="A3962" t="s">
        <v>4573</v>
      </c>
      <c r="B3962" t="s">
        <v>75</v>
      </c>
      <c r="C3962" t="s">
        <v>597</v>
      </c>
      <c r="D3962">
        <v>392.64</v>
      </c>
      <c r="E3962" s="37" t="str">
        <f t="shared" si="305"/>
        <v xml:space="preserve"> </v>
      </c>
      <c r="F3962">
        <v>0.19</v>
      </c>
      <c r="G3962" s="37" t="str">
        <f t="shared" si="306"/>
        <v>Normal Discount</v>
      </c>
      <c r="H3962" s="37" t="str">
        <f t="shared" si="307"/>
        <v>Low</v>
      </c>
      <c r="I3962">
        <v>7</v>
      </c>
      <c r="J3962" t="str" cm="1">
        <f t="array" ref="J3962">_xlfn.IFS(I3962&lt;=3,"small",I3962&lt;=6,"Medium",I3962&lt;=9,"Large")</f>
        <v>Large</v>
      </c>
      <c r="K3962" s="36">
        <v>45189</v>
      </c>
      <c r="L3962" s="36">
        <v>45194</v>
      </c>
      <c r="M3962" t="s">
        <v>598</v>
      </c>
      <c r="N3962" t="s">
        <v>599</v>
      </c>
      <c r="O3962" s="37" t="str">
        <f t="shared" si="308"/>
        <v>Digital Payment</v>
      </c>
      <c r="P3962">
        <v>86.09</v>
      </c>
      <c r="Q3962" s="37" t="str">
        <f>IF(P3962&gt;500,"High","low")</f>
        <v>low</v>
      </c>
      <c r="R3962" s="37" t="str">
        <f t="shared" si="309"/>
        <v>AVERAGE</v>
      </c>
      <c r="S3962" t="s">
        <v>628</v>
      </c>
    </row>
    <row r="3963" spans="1:19" x14ac:dyDescent="0.2">
      <c r="A3963" t="s">
        <v>4574</v>
      </c>
      <c r="B3963" t="s">
        <v>67</v>
      </c>
      <c r="C3963" t="s">
        <v>602</v>
      </c>
      <c r="D3963">
        <v>642.84</v>
      </c>
      <c r="E3963" s="37" t="str">
        <f t="shared" si="305"/>
        <v xml:space="preserve"> </v>
      </c>
      <c r="F3963">
        <v>0.38</v>
      </c>
      <c r="G3963" s="37" t="str">
        <f t="shared" si="306"/>
        <v>Heavy Discount</v>
      </c>
      <c r="H3963" s="37" t="str">
        <f t="shared" si="307"/>
        <v>Medium</v>
      </c>
      <c r="I3963">
        <v>8</v>
      </c>
      <c r="J3963" t="str" cm="1">
        <f t="array" ref="J3963">_xlfn.IFS(I3963&lt;=3,"small",I3963&lt;=6,"Medium",I3963&lt;=9,"Large")</f>
        <v>Large</v>
      </c>
      <c r="K3963" s="36">
        <v>45089</v>
      </c>
      <c r="L3963" s="36">
        <v>45094</v>
      </c>
      <c r="M3963" t="s">
        <v>598</v>
      </c>
      <c r="N3963" t="s">
        <v>604</v>
      </c>
      <c r="O3963" s="37" t="str">
        <f t="shared" si="308"/>
        <v>Digital Payment</v>
      </c>
      <c r="P3963">
        <v>39.94</v>
      </c>
      <c r="Q3963" s="37" t="str">
        <f>IF(P3963&gt;500,"High","low")</f>
        <v>low</v>
      </c>
      <c r="R3963" s="37" t="str">
        <f t="shared" si="309"/>
        <v>AVERAGE</v>
      </c>
      <c r="S3963" t="s">
        <v>615</v>
      </c>
    </row>
    <row r="3964" spans="1:19" x14ac:dyDescent="0.2">
      <c r="A3964" t="s">
        <v>4575</v>
      </c>
      <c r="B3964" t="s">
        <v>75</v>
      </c>
      <c r="C3964" t="s">
        <v>617</v>
      </c>
      <c r="D3964">
        <v>4085.93</v>
      </c>
      <c r="E3964" s="37" t="str">
        <f t="shared" si="305"/>
        <v>Excellent Order</v>
      </c>
      <c r="F3964">
        <v>0.17</v>
      </c>
      <c r="G3964" s="37" t="str">
        <f t="shared" si="306"/>
        <v>Normal Discount</v>
      </c>
      <c r="H3964" s="37" t="str">
        <f t="shared" si="307"/>
        <v>Low</v>
      </c>
      <c r="I3964">
        <v>5</v>
      </c>
      <c r="J3964" t="str" cm="1">
        <f t="array" ref="J3964">_xlfn.IFS(I3964&lt;=3,"small",I3964&lt;=6,"Medium",I3964&lt;=9,"Large")</f>
        <v>Medium</v>
      </c>
      <c r="K3964" s="36">
        <v>45559</v>
      </c>
      <c r="L3964" s="36">
        <v>45565</v>
      </c>
      <c r="M3964" t="s">
        <v>612</v>
      </c>
      <c r="N3964" t="s">
        <v>599</v>
      </c>
      <c r="O3964" s="37" t="str">
        <f t="shared" si="308"/>
        <v>Digital Payment</v>
      </c>
      <c r="P3964">
        <v>1201.26</v>
      </c>
      <c r="Q3964" s="37" t="str">
        <f>IF(P3964&gt;500,"High","low")</f>
        <v>High</v>
      </c>
      <c r="R3964" s="37" t="str">
        <f t="shared" si="309"/>
        <v>Excellent</v>
      </c>
      <c r="S3964" t="s">
        <v>628</v>
      </c>
    </row>
    <row r="3965" spans="1:19" x14ac:dyDescent="0.2">
      <c r="A3965" t="s">
        <v>4576</v>
      </c>
      <c r="B3965" t="s">
        <v>75</v>
      </c>
      <c r="C3965" t="s">
        <v>602</v>
      </c>
      <c r="D3965">
        <v>3744.12</v>
      </c>
      <c r="E3965" s="37" t="str">
        <f t="shared" si="305"/>
        <v xml:space="preserve"> </v>
      </c>
      <c r="F3965">
        <v>0.17</v>
      </c>
      <c r="G3965" s="37" t="str">
        <f t="shared" si="306"/>
        <v>Normal Discount</v>
      </c>
      <c r="H3965" s="37" t="str">
        <f t="shared" si="307"/>
        <v>Low</v>
      </c>
      <c r="I3965">
        <v>4</v>
      </c>
      <c r="J3965" t="str" cm="1">
        <f t="array" ref="J3965">_xlfn.IFS(I3965&lt;=3,"small",I3965&lt;=6,"Medium",I3965&lt;=9,"Large")</f>
        <v>Medium</v>
      </c>
      <c r="K3965" s="36">
        <v>45123</v>
      </c>
      <c r="L3965" s="36">
        <v>45129</v>
      </c>
      <c r="M3965" t="s">
        <v>612</v>
      </c>
      <c r="N3965" t="s">
        <v>604</v>
      </c>
      <c r="O3965" s="37" t="str">
        <f t="shared" si="308"/>
        <v>Digital Payment</v>
      </c>
      <c r="P3965">
        <v>487.7</v>
      </c>
      <c r="Q3965" s="37" t="str">
        <f>IF(P3965&gt;500,"High","low")</f>
        <v>low</v>
      </c>
      <c r="R3965" s="37" t="str">
        <f t="shared" si="309"/>
        <v>AVERAGE</v>
      </c>
      <c r="S3965" t="s">
        <v>615</v>
      </c>
    </row>
    <row r="3966" spans="1:19" x14ac:dyDescent="0.2">
      <c r="A3966" t="s">
        <v>4577</v>
      </c>
      <c r="B3966" t="s">
        <v>83</v>
      </c>
      <c r="C3966" t="s">
        <v>602</v>
      </c>
      <c r="D3966">
        <v>4391.82</v>
      </c>
      <c r="E3966" s="37" t="str">
        <f t="shared" si="305"/>
        <v xml:space="preserve"> </v>
      </c>
      <c r="F3966">
        <v>0.46</v>
      </c>
      <c r="G3966" s="37" t="str">
        <f t="shared" si="306"/>
        <v>Heavy Discount</v>
      </c>
      <c r="H3966" s="37" t="str">
        <f t="shared" si="307"/>
        <v>High</v>
      </c>
      <c r="I3966">
        <v>7</v>
      </c>
      <c r="J3966" t="str" cm="1">
        <f t="array" ref="J3966">_xlfn.IFS(I3966&lt;=3,"small",I3966&lt;=6,"Medium",I3966&lt;=9,"Large")</f>
        <v>Large</v>
      </c>
      <c r="K3966" s="36">
        <v>45468</v>
      </c>
      <c r="L3966" s="36">
        <v>45469</v>
      </c>
      <c r="M3966" t="s">
        <v>612</v>
      </c>
      <c r="N3966" t="s">
        <v>604</v>
      </c>
      <c r="O3966" s="37" t="str">
        <f t="shared" si="308"/>
        <v>Digital Payment</v>
      </c>
      <c r="P3966">
        <v>348.92</v>
      </c>
      <c r="Q3966" s="37" t="str">
        <f>IF(P3966&gt;500,"High","low")</f>
        <v>low</v>
      </c>
      <c r="R3966" s="37" t="str">
        <f t="shared" si="309"/>
        <v>AVERAGE</v>
      </c>
      <c r="S3966" t="s">
        <v>605</v>
      </c>
    </row>
    <row r="3967" spans="1:19" x14ac:dyDescent="0.2">
      <c r="A3967" t="s">
        <v>4578</v>
      </c>
      <c r="B3967" t="s">
        <v>67</v>
      </c>
      <c r="C3967" t="s">
        <v>602</v>
      </c>
      <c r="D3967">
        <v>682.42</v>
      </c>
      <c r="E3967" s="37" t="str">
        <f t="shared" si="305"/>
        <v xml:space="preserve"> </v>
      </c>
      <c r="F3967">
        <v>0.35</v>
      </c>
      <c r="G3967" s="37" t="str">
        <f t="shared" si="306"/>
        <v>Heavy Discount</v>
      </c>
      <c r="H3967" s="37" t="str">
        <f t="shared" si="307"/>
        <v>Medium</v>
      </c>
      <c r="I3967">
        <v>2</v>
      </c>
      <c r="J3967" t="str" cm="1">
        <f t="array" ref="J3967">_xlfn.IFS(I3967&lt;=3,"small",I3967&lt;=6,"Medium",I3967&lt;=9,"Large")</f>
        <v>small</v>
      </c>
      <c r="K3967" s="36">
        <v>45610</v>
      </c>
      <c r="L3967" s="36">
        <v>45613</v>
      </c>
      <c r="M3967" t="s">
        <v>603</v>
      </c>
      <c r="N3967" t="s">
        <v>608</v>
      </c>
      <c r="O3967" s="37" t="str">
        <f t="shared" si="308"/>
        <v>Cash Payment</v>
      </c>
      <c r="P3967">
        <v>73.67</v>
      </c>
      <c r="Q3967" s="37" t="str">
        <f>IF(P3967&gt;500,"High","low")</f>
        <v>low</v>
      </c>
      <c r="R3967" s="37" t="str">
        <f t="shared" si="309"/>
        <v>AVERAGE</v>
      </c>
      <c r="S3967" t="s">
        <v>609</v>
      </c>
    </row>
    <row r="3968" spans="1:19" x14ac:dyDescent="0.2">
      <c r="A3968" t="s">
        <v>4579</v>
      </c>
      <c r="B3968" t="s">
        <v>75</v>
      </c>
      <c r="C3968" t="s">
        <v>614</v>
      </c>
      <c r="D3968">
        <v>3826.04</v>
      </c>
      <c r="E3968" s="37" t="str">
        <f t="shared" si="305"/>
        <v xml:space="preserve"> </v>
      </c>
      <c r="F3968">
        <v>0.46</v>
      </c>
      <c r="G3968" s="37" t="str">
        <f t="shared" si="306"/>
        <v>Heavy Discount</v>
      </c>
      <c r="H3968" s="37" t="str">
        <f t="shared" si="307"/>
        <v>High</v>
      </c>
      <c r="I3968">
        <v>8</v>
      </c>
      <c r="J3968" t="str" cm="1">
        <f t="array" ref="J3968">_xlfn.IFS(I3968&lt;=3,"small",I3968&lt;=6,"Medium",I3968&lt;=9,"Large")</f>
        <v>Large</v>
      </c>
      <c r="K3968" s="36">
        <v>45544</v>
      </c>
      <c r="L3968" s="36">
        <v>45550</v>
      </c>
      <c r="M3968" t="s">
        <v>603</v>
      </c>
      <c r="N3968" t="s">
        <v>599</v>
      </c>
      <c r="O3968" s="37" t="str">
        <f t="shared" si="308"/>
        <v>Digital Payment</v>
      </c>
      <c r="P3968">
        <v>1100.3800000000001</v>
      </c>
      <c r="Q3968" s="37" t="str">
        <f>IF(P3968&gt;500,"High","low")</f>
        <v>High</v>
      </c>
      <c r="R3968" s="37" t="str">
        <f t="shared" si="309"/>
        <v>Excellent</v>
      </c>
      <c r="S3968" t="s">
        <v>620</v>
      </c>
    </row>
    <row r="3969" spans="1:19" x14ac:dyDescent="0.2">
      <c r="A3969" t="s">
        <v>4580</v>
      </c>
      <c r="B3969" t="s">
        <v>67</v>
      </c>
      <c r="C3969" t="s">
        <v>607</v>
      </c>
      <c r="D3969">
        <v>3310.01</v>
      </c>
      <c r="E3969" s="37" t="str">
        <f t="shared" si="305"/>
        <v xml:space="preserve"> </v>
      </c>
      <c r="F3969">
        <v>0.5</v>
      </c>
      <c r="G3969" s="37" t="str">
        <f t="shared" si="306"/>
        <v>Heavy Discount</v>
      </c>
      <c r="H3969" s="37" t="str">
        <f t="shared" si="307"/>
        <v>High</v>
      </c>
      <c r="I3969">
        <v>4</v>
      </c>
      <c r="J3969" t="str" cm="1">
        <f t="array" ref="J3969">_xlfn.IFS(I3969&lt;=3,"small",I3969&lt;=6,"Medium",I3969&lt;=9,"Large")</f>
        <v>Medium</v>
      </c>
      <c r="K3969" s="36">
        <v>45409</v>
      </c>
      <c r="L3969" s="36">
        <v>45413</v>
      </c>
      <c r="M3969" t="s">
        <v>598</v>
      </c>
      <c r="N3969" t="s">
        <v>599</v>
      </c>
      <c r="O3969" s="37" t="str">
        <f t="shared" si="308"/>
        <v>Digital Payment</v>
      </c>
      <c r="P3969">
        <v>574.15</v>
      </c>
      <c r="Q3969" s="37" t="str">
        <f>IF(P3969&gt;500,"High","low")</f>
        <v>High</v>
      </c>
      <c r="R3969" s="37" t="str">
        <f t="shared" si="309"/>
        <v>Good</v>
      </c>
      <c r="S3969" t="s">
        <v>620</v>
      </c>
    </row>
    <row r="3970" spans="1:19" x14ac:dyDescent="0.2">
      <c r="A3970" t="s">
        <v>4581</v>
      </c>
      <c r="B3970" t="s">
        <v>83</v>
      </c>
      <c r="C3970" t="s">
        <v>602</v>
      </c>
      <c r="D3970">
        <v>1238.24</v>
      </c>
      <c r="E3970" s="37" t="str">
        <f t="shared" si="305"/>
        <v xml:space="preserve"> </v>
      </c>
      <c r="F3970">
        <v>0</v>
      </c>
      <c r="G3970" s="37" t="str">
        <f t="shared" si="306"/>
        <v>Normal Discount</v>
      </c>
      <c r="H3970" s="37" t="str">
        <f t="shared" si="307"/>
        <v>Low</v>
      </c>
      <c r="I3970">
        <v>1</v>
      </c>
      <c r="J3970" t="str" cm="1">
        <f t="array" ref="J3970">_xlfn.IFS(I3970&lt;=3,"small",I3970&lt;=6,"Medium",I3970&lt;=9,"Large")</f>
        <v>small</v>
      </c>
      <c r="K3970" s="36">
        <v>45134</v>
      </c>
      <c r="L3970" s="36">
        <v>45139</v>
      </c>
      <c r="M3970" t="s">
        <v>612</v>
      </c>
      <c r="N3970" t="s">
        <v>604</v>
      </c>
      <c r="O3970" s="37" t="str">
        <f t="shared" si="308"/>
        <v>Digital Payment</v>
      </c>
      <c r="P3970">
        <v>364.38</v>
      </c>
      <c r="Q3970" s="37" t="str">
        <f>IF(P3970&gt;500,"High","low")</f>
        <v>low</v>
      </c>
      <c r="R3970" s="37" t="str">
        <f t="shared" si="309"/>
        <v>AVERAGE</v>
      </c>
      <c r="S3970" t="s">
        <v>609</v>
      </c>
    </row>
    <row r="3971" spans="1:19" x14ac:dyDescent="0.2">
      <c r="A3971" t="s">
        <v>4582</v>
      </c>
      <c r="B3971" t="s">
        <v>83</v>
      </c>
      <c r="C3971" t="s">
        <v>602</v>
      </c>
      <c r="D3971">
        <v>4872.13</v>
      </c>
      <c r="E3971" s="37" t="str">
        <f t="shared" ref="E3971:E4034" si="310">IF(AND(D3971&gt;4000,P3971&gt;800),"Excellent Order"," ")</f>
        <v xml:space="preserve"> </v>
      </c>
      <c r="F3971">
        <v>0.49</v>
      </c>
      <c r="G3971" s="37" t="str">
        <f t="shared" ref="G3971:G4034" si="311">IF(F3971&gt;30%,"Heavy Discount","Normal Discount")</f>
        <v>Heavy Discount</v>
      </c>
      <c r="H3971" s="37" t="str">
        <f t="shared" ref="H3971:H4034" si="312">IF(F3971&gt;0.4,"High",IF(F3971&gt;=0.2,"Medium","Low"))</f>
        <v>High</v>
      </c>
      <c r="I3971">
        <v>2</v>
      </c>
      <c r="J3971" t="str" cm="1">
        <f t="array" ref="J3971">_xlfn.IFS(I3971&lt;=3,"small",I3971&lt;=6,"Medium",I3971&lt;=9,"Large")</f>
        <v>small</v>
      </c>
      <c r="K3971" s="36">
        <v>45494</v>
      </c>
      <c r="L3971" s="36">
        <v>45501</v>
      </c>
      <c r="M3971" t="s">
        <v>603</v>
      </c>
      <c r="N3971" t="s">
        <v>599</v>
      </c>
      <c r="O3971" s="37" t="str">
        <f t="shared" ref="O3971:O4034" si="313">IF(OR(N3971="Card",N3971="UPI"),"Digital Payment","Cash Payment")</f>
        <v>Digital Payment</v>
      </c>
      <c r="P3971">
        <v>640.52</v>
      </c>
      <c r="Q3971" s="37" t="str">
        <f>IF(P3971&gt;500,"High","low")</f>
        <v>High</v>
      </c>
      <c r="R3971" s="37" t="str">
        <f t="shared" ref="R3971:R4034" si="314">IF(P3971&gt;1000,"Excellent",IF(P3971&gt;=500,"Good","AVERAGE"))</f>
        <v>Good</v>
      </c>
      <c r="S3971" t="s">
        <v>600</v>
      </c>
    </row>
    <row r="3972" spans="1:19" x14ac:dyDescent="0.2">
      <c r="A3972" t="s">
        <v>4583</v>
      </c>
      <c r="B3972" t="s">
        <v>67</v>
      </c>
      <c r="C3972" t="s">
        <v>617</v>
      </c>
      <c r="D3972">
        <v>2894.74</v>
      </c>
      <c r="E3972" s="37" t="str">
        <f t="shared" si="310"/>
        <v xml:space="preserve"> </v>
      </c>
      <c r="F3972">
        <v>0.05</v>
      </c>
      <c r="G3972" s="37" t="str">
        <f t="shared" si="311"/>
        <v>Normal Discount</v>
      </c>
      <c r="H3972" s="37" t="str">
        <f t="shared" si="312"/>
        <v>Low</v>
      </c>
      <c r="I3972">
        <v>1</v>
      </c>
      <c r="J3972" t="str" cm="1">
        <f t="array" ref="J3972">_xlfn.IFS(I3972&lt;=3,"small",I3972&lt;=6,"Medium",I3972&lt;=9,"Large")</f>
        <v>small</v>
      </c>
      <c r="K3972" s="36">
        <v>45062</v>
      </c>
      <c r="L3972" s="36">
        <v>45069</v>
      </c>
      <c r="M3972" t="s">
        <v>598</v>
      </c>
      <c r="N3972" t="s">
        <v>599</v>
      </c>
      <c r="O3972" s="37" t="str">
        <f t="shared" si="313"/>
        <v>Digital Payment</v>
      </c>
      <c r="P3972">
        <v>175.98</v>
      </c>
      <c r="Q3972" s="37" t="str">
        <f>IF(P3972&gt;500,"High","low")</f>
        <v>low</v>
      </c>
      <c r="R3972" s="37" t="str">
        <f t="shared" si="314"/>
        <v>AVERAGE</v>
      </c>
      <c r="S3972" t="s">
        <v>615</v>
      </c>
    </row>
    <row r="3973" spans="1:19" x14ac:dyDescent="0.2">
      <c r="A3973" t="s">
        <v>4584</v>
      </c>
      <c r="B3973" t="s">
        <v>83</v>
      </c>
      <c r="C3973" t="s">
        <v>617</v>
      </c>
      <c r="D3973">
        <v>4543.7</v>
      </c>
      <c r="E3973" s="37" t="str">
        <f t="shared" si="310"/>
        <v>Excellent Order</v>
      </c>
      <c r="F3973">
        <v>0.04</v>
      </c>
      <c r="G3973" s="37" t="str">
        <f t="shared" si="311"/>
        <v>Normal Discount</v>
      </c>
      <c r="H3973" s="37" t="str">
        <f t="shared" si="312"/>
        <v>Low</v>
      </c>
      <c r="I3973">
        <v>5</v>
      </c>
      <c r="J3973" t="str" cm="1">
        <f t="array" ref="J3973">_xlfn.IFS(I3973&lt;=3,"small",I3973&lt;=6,"Medium",I3973&lt;=9,"Large")</f>
        <v>Medium</v>
      </c>
      <c r="K3973" s="36">
        <v>45307</v>
      </c>
      <c r="L3973" s="36">
        <v>45312</v>
      </c>
      <c r="M3973" t="s">
        <v>598</v>
      </c>
      <c r="N3973" t="s">
        <v>604</v>
      </c>
      <c r="O3973" s="37" t="str">
        <f t="shared" si="313"/>
        <v>Digital Payment</v>
      </c>
      <c r="P3973">
        <v>1270.99</v>
      </c>
      <c r="Q3973" s="37" t="str">
        <f>IF(P3973&gt;500,"High","low")</f>
        <v>High</v>
      </c>
      <c r="R3973" s="37" t="str">
        <f t="shared" si="314"/>
        <v>Excellent</v>
      </c>
      <c r="S3973" t="s">
        <v>620</v>
      </c>
    </row>
    <row r="3974" spans="1:19" x14ac:dyDescent="0.2">
      <c r="A3974" t="s">
        <v>4585</v>
      </c>
      <c r="B3974" t="s">
        <v>90</v>
      </c>
      <c r="C3974" t="s">
        <v>597</v>
      </c>
      <c r="D3974">
        <v>4309.5600000000004</v>
      </c>
      <c r="E3974" s="37" t="str">
        <f t="shared" si="310"/>
        <v>Excellent Order</v>
      </c>
      <c r="F3974">
        <v>0.38</v>
      </c>
      <c r="G3974" s="37" t="str">
        <f t="shared" si="311"/>
        <v>Heavy Discount</v>
      </c>
      <c r="H3974" s="37" t="str">
        <f t="shared" si="312"/>
        <v>Medium</v>
      </c>
      <c r="I3974">
        <v>1</v>
      </c>
      <c r="J3974" t="str" cm="1">
        <f t="array" ref="J3974">_xlfn.IFS(I3974&lt;=3,"small",I3974&lt;=6,"Medium",I3974&lt;=9,"Large")</f>
        <v>small</v>
      </c>
      <c r="K3974" s="36">
        <v>45149</v>
      </c>
      <c r="L3974" s="36">
        <v>45153</v>
      </c>
      <c r="M3974" t="s">
        <v>603</v>
      </c>
      <c r="N3974" t="s">
        <v>604</v>
      </c>
      <c r="O3974" s="37" t="str">
        <f t="shared" si="313"/>
        <v>Digital Payment</v>
      </c>
      <c r="P3974">
        <v>1204.47</v>
      </c>
      <c r="Q3974" s="37" t="str">
        <f>IF(P3974&gt;500,"High","low")</f>
        <v>High</v>
      </c>
      <c r="R3974" s="37" t="str">
        <f t="shared" si="314"/>
        <v>Excellent</v>
      </c>
      <c r="S3974" t="s">
        <v>615</v>
      </c>
    </row>
    <row r="3975" spans="1:19" x14ac:dyDescent="0.2">
      <c r="A3975" t="s">
        <v>4586</v>
      </c>
      <c r="B3975" t="s">
        <v>90</v>
      </c>
      <c r="C3975" t="s">
        <v>597</v>
      </c>
      <c r="D3975">
        <v>1732.31</v>
      </c>
      <c r="E3975" s="37" t="str">
        <f t="shared" si="310"/>
        <v xml:space="preserve"> </v>
      </c>
      <c r="F3975">
        <v>0.18</v>
      </c>
      <c r="G3975" s="37" t="str">
        <f t="shared" si="311"/>
        <v>Normal Discount</v>
      </c>
      <c r="H3975" s="37" t="str">
        <f t="shared" si="312"/>
        <v>Low</v>
      </c>
      <c r="I3975">
        <v>9</v>
      </c>
      <c r="J3975" t="str" cm="1">
        <f t="array" ref="J3975">_xlfn.IFS(I3975&lt;=3,"small",I3975&lt;=6,"Medium",I3975&lt;=9,"Large")</f>
        <v>Large</v>
      </c>
      <c r="K3975" s="36">
        <v>44946</v>
      </c>
      <c r="L3975" s="36">
        <v>44948</v>
      </c>
      <c r="M3975" t="s">
        <v>598</v>
      </c>
      <c r="N3975" t="s">
        <v>604</v>
      </c>
      <c r="O3975" s="37" t="str">
        <f t="shared" si="313"/>
        <v>Digital Payment</v>
      </c>
      <c r="P3975">
        <v>239.51</v>
      </c>
      <c r="Q3975" s="37" t="str">
        <f>IF(P3975&gt;500,"High","low")</f>
        <v>low</v>
      </c>
      <c r="R3975" s="37" t="str">
        <f t="shared" si="314"/>
        <v>AVERAGE</v>
      </c>
      <c r="S3975" t="s">
        <v>615</v>
      </c>
    </row>
    <row r="3976" spans="1:19" x14ac:dyDescent="0.2">
      <c r="A3976" t="s">
        <v>4587</v>
      </c>
      <c r="B3976" t="s">
        <v>83</v>
      </c>
      <c r="C3976" t="s">
        <v>617</v>
      </c>
      <c r="D3976">
        <v>2726.19</v>
      </c>
      <c r="E3976" s="37" t="str">
        <f t="shared" si="310"/>
        <v xml:space="preserve"> </v>
      </c>
      <c r="F3976">
        <v>0.46</v>
      </c>
      <c r="G3976" s="37" t="str">
        <f t="shared" si="311"/>
        <v>Heavy Discount</v>
      </c>
      <c r="H3976" s="37" t="str">
        <f t="shared" si="312"/>
        <v>High</v>
      </c>
      <c r="I3976">
        <v>4</v>
      </c>
      <c r="J3976" t="str" cm="1">
        <f t="array" ref="J3976">_xlfn.IFS(I3976&lt;=3,"small",I3976&lt;=6,"Medium",I3976&lt;=9,"Large")</f>
        <v>Medium</v>
      </c>
      <c r="K3976" s="36">
        <v>45383</v>
      </c>
      <c r="L3976" s="36">
        <v>45388</v>
      </c>
      <c r="M3976" t="s">
        <v>612</v>
      </c>
      <c r="N3976" t="s">
        <v>608</v>
      </c>
      <c r="O3976" s="37" t="str">
        <f t="shared" si="313"/>
        <v>Cash Payment</v>
      </c>
      <c r="P3976">
        <v>586.33000000000004</v>
      </c>
      <c r="Q3976" s="37" t="str">
        <f>IF(P3976&gt;500,"High","low")</f>
        <v>High</v>
      </c>
      <c r="R3976" s="37" t="str">
        <f t="shared" si="314"/>
        <v>Good</v>
      </c>
      <c r="S3976" t="s">
        <v>609</v>
      </c>
    </row>
    <row r="3977" spans="1:19" x14ac:dyDescent="0.2">
      <c r="A3977" t="s">
        <v>4588</v>
      </c>
      <c r="B3977" t="s">
        <v>90</v>
      </c>
      <c r="C3977" t="s">
        <v>607</v>
      </c>
      <c r="D3977">
        <v>2213.6999999999998</v>
      </c>
      <c r="E3977" s="37" t="str">
        <f t="shared" si="310"/>
        <v xml:space="preserve"> </v>
      </c>
      <c r="F3977">
        <v>0.27</v>
      </c>
      <c r="G3977" s="37" t="str">
        <f t="shared" si="311"/>
        <v>Normal Discount</v>
      </c>
      <c r="H3977" s="37" t="str">
        <f t="shared" si="312"/>
        <v>Medium</v>
      </c>
      <c r="I3977">
        <v>3</v>
      </c>
      <c r="J3977" t="str" cm="1">
        <f t="array" ref="J3977">_xlfn.IFS(I3977&lt;=3,"small",I3977&lt;=6,"Medium",I3977&lt;=9,"Large")</f>
        <v>small</v>
      </c>
      <c r="K3977" s="36">
        <v>45212</v>
      </c>
      <c r="L3977" s="36">
        <v>45216</v>
      </c>
      <c r="M3977" t="s">
        <v>598</v>
      </c>
      <c r="N3977" t="s">
        <v>608</v>
      </c>
      <c r="O3977" s="37" t="str">
        <f t="shared" si="313"/>
        <v>Cash Payment</v>
      </c>
      <c r="P3977">
        <v>253.03</v>
      </c>
      <c r="Q3977" s="37" t="str">
        <f>IF(P3977&gt;500,"High","low")</f>
        <v>low</v>
      </c>
      <c r="R3977" s="37" t="str">
        <f t="shared" si="314"/>
        <v>AVERAGE</v>
      </c>
      <c r="S3977" t="s">
        <v>615</v>
      </c>
    </row>
    <row r="3978" spans="1:19" x14ac:dyDescent="0.2">
      <c r="A3978" t="s">
        <v>4589</v>
      </c>
      <c r="B3978" t="s">
        <v>75</v>
      </c>
      <c r="C3978" t="s">
        <v>597</v>
      </c>
      <c r="D3978">
        <v>3574.48</v>
      </c>
      <c r="E3978" s="37" t="str">
        <f t="shared" si="310"/>
        <v xml:space="preserve"> </v>
      </c>
      <c r="F3978">
        <v>0.19</v>
      </c>
      <c r="G3978" s="37" t="str">
        <f t="shared" si="311"/>
        <v>Normal Discount</v>
      </c>
      <c r="H3978" s="37" t="str">
        <f t="shared" si="312"/>
        <v>Low</v>
      </c>
      <c r="I3978">
        <v>9</v>
      </c>
      <c r="J3978" t="str" cm="1">
        <f t="array" ref="J3978">_xlfn.IFS(I3978&lt;=3,"small",I3978&lt;=6,"Medium",I3978&lt;=9,"Large")</f>
        <v>Large</v>
      </c>
      <c r="K3978" s="36">
        <v>45372</v>
      </c>
      <c r="L3978" s="36">
        <v>45373</v>
      </c>
      <c r="M3978" t="s">
        <v>603</v>
      </c>
      <c r="N3978" t="s">
        <v>608</v>
      </c>
      <c r="O3978" s="37" t="str">
        <f t="shared" si="313"/>
        <v>Cash Payment</v>
      </c>
      <c r="P3978">
        <v>737.26</v>
      </c>
      <c r="Q3978" s="37" t="str">
        <f>IF(P3978&gt;500,"High","low")</f>
        <v>High</v>
      </c>
      <c r="R3978" s="37" t="str">
        <f t="shared" si="314"/>
        <v>Good</v>
      </c>
      <c r="S3978" t="s">
        <v>620</v>
      </c>
    </row>
    <row r="3979" spans="1:19" x14ac:dyDescent="0.2">
      <c r="A3979" t="s">
        <v>4590</v>
      </c>
      <c r="B3979" t="s">
        <v>67</v>
      </c>
      <c r="C3979" t="s">
        <v>607</v>
      </c>
      <c r="D3979">
        <v>2981.41</v>
      </c>
      <c r="E3979" s="37" t="str">
        <f t="shared" si="310"/>
        <v xml:space="preserve"> </v>
      </c>
      <c r="F3979">
        <v>0.04</v>
      </c>
      <c r="G3979" s="37" t="str">
        <f t="shared" si="311"/>
        <v>Normal Discount</v>
      </c>
      <c r="H3979" s="37" t="str">
        <f t="shared" si="312"/>
        <v>Low</v>
      </c>
      <c r="I3979">
        <v>4</v>
      </c>
      <c r="J3979" t="str" cm="1">
        <f t="array" ref="J3979">_xlfn.IFS(I3979&lt;=3,"small",I3979&lt;=6,"Medium",I3979&lt;=9,"Large")</f>
        <v>Medium</v>
      </c>
      <c r="K3979" s="36">
        <v>45259</v>
      </c>
      <c r="L3979" s="36">
        <v>45266</v>
      </c>
      <c r="M3979" t="s">
        <v>612</v>
      </c>
      <c r="N3979" t="s">
        <v>599</v>
      </c>
      <c r="O3979" s="37" t="str">
        <f t="shared" si="313"/>
        <v>Digital Payment</v>
      </c>
      <c r="P3979">
        <v>196.97</v>
      </c>
      <c r="Q3979" s="37" t="str">
        <f>IF(P3979&gt;500,"High","low")</f>
        <v>low</v>
      </c>
      <c r="R3979" s="37" t="str">
        <f t="shared" si="314"/>
        <v>AVERAGE</v>
      </c>
      <c r="S3979" t="s">
        <v>628</v>
      </c>
    </row>
    <row r="3980" spans="1:19" x14ac:dyDescent="0.2">
      <c r="A3980" t="s">
        <v>4591</v>
      </c>
      <c r="B3980" t="s">
        <v>75</v>
      </c>
      <c r="C3980" t="s">
        <v>617</v>
      </c>
      <c r="D3980">
        <v>3945.78</v>
      </c>
      <c r="E3980" s="37" t="str">
        <f t="shared" si="310"/>
        <v xml:space="preserve"> </v>
      </c>
      <c r="F3980">
        <v>0.23</v>
      </c>
      <c r="G3980" s="37" t="str">
        <f t="shared" si="311"/>
        <v>Normal Discount</v>
      </c>
      <c r="H3980" s="37" t="str">
        <f t="shared" si="312"/>
        <v>Medium</v>
      </c>
      <c r="I3980">
        <v>1</v>
      </c>
      <c r="J3980" t="str" cm="1">
        <f t="array" ref="J3980">_xlfn.IFS(I3980&lt;=3,"small",I3980&lt;=6,"Medium",I3980&lt;=9,"Large")</f>
        <v>small</v>
      </c>
      <c r="K3980" s="36">
        <v>44952</v>
      </c>
      <c r="L3980" s="36">
        <v>44958</v>
      </c>
      <c r="M3980" t="s">
        <v>612</v>
      </c>
      <c r="N3980" t="s">
        <v>604</v>
      </c>
      <c r="O3980" s="37" t="str">
        <f t="shared" si="313"/>
        <v>Digital Payment</v>
      </c>
      <c r="P3980">
        <v>538.84</v>
      </c>
      <c r="Q3980" s="37" t="str">
        <f>IF(P3980&gt;500,"High","low")</f>
        <v>High</v>
      </c>
      <c r="R3980" s="37" t="str">
        <f t="shared" si="314"/>
        <v>Good</v>
      </c>
      <c r="S3980" t="s">
        <v>615</v>
      </c>
    </row>
    <row r="3981" spans="1:19" x14ac:dyDescent="0.2">
      <c r="A3981" t="s">
        <v>4592</v>
      </c>
      <c r="B3981" t="s">
        <v>67</v>
      </c>
      <c r="C3981" t="s">
        <v>597</v>
      </c>
      <c r="D3981">
        <v>157.59</v>
      </c>
      <c r="E3981" s="37" t="str">
        <f t="shared" si="310"/>
        <v xml:space="preserve"> </v>
      </c>
      <c r="F3981">
        <v>0.14000000000000001</v>
      </c>
      <c r="G3981" s="37" t="str">
        <f t="shared" si="311"/>
        <v>Normal Discount</v>
      </c>
      <c r="H3981" s="37" t="str">
        <f t="shared" si="312"/>
        <v>Low</v>
      </c>
      <c r="I3981">
        <v>2</v>
      </c>
      <c r="J3981" t="str" cm="1">
        <f t="array" ref="J3981">_xlfn.IFS(I3981&lt;=3,"small",I3981&lt;=6,"Medium",I3981&lt;=9,"Large")</f>
        <v>small</v>
      </c>
      <c r="K3981" s="36">
        <v>45504</v>
      </c>
      <c r="L3981" s="36">
        <v>45507</v>
      </c>
      <c r="M3981" t="s">
        <v>612</v>
      </c>
      <c r="N3981" t="s">
        <v>604</v>
      </c>
      <c r="O3981" s="37" t="str">
        <f t="shared" si="313"/>
        <v>Digital Payment</v>
      </c>
      <c r="P3981">
        <v>23.15</v>
      </c>
      <c r="Q3981" s="37" t="str">
        <f>IF(P3981&gt;500,"High","low")</f>
        <v>low</v>
      </c>
      <c r="R3981" s="37" t="str">
        <f t="shared" si="314"/>
        <v>AVERAGE</v>
      </c>
      <c r="S3981" t="s">
        <v>620</v>
      </c>
    </row>
    <row r="3982" spans="1:19" x14ac:dyDescent="0.2">
      <c r="A3982" t="s">
        <v>4593</v>
      </c>
      <c r="B3982" t="s">
        <v>83</v>
      </c>
      <c r="C3982" t="s">
        <v>602</v>
      </c>
      <c r="D3982">
        <v>3470.19</v>
      </c>
      <c r="E3982" s="37" t="str">
        <f t="shared" si="310"/>
        <v xml:space="preserve"> </v>
      </c>
      <c r="F3982">
        <v>0.04</v>
      </c>
      <c r="G3982" s="37" t="str">
        <f t="shared" si="311"/>
        <v>Normal Discount</v>
      </c>
      <c r="H3982" s="37" t="str">
        <f t="shared" si="312"/>
        <v>Low</v>
      </c>
      <c r="I3982">
        <v>4</v>
      </c>
      <c r="J3982" t="str" cm="1">
        <f t="array" ref="J3982">_xlfn.IFS(I3982&lt;=3,"small",I3982&lt;=6,"Medium",I3982&lt;=9,"Large")</f>
        <v>Medium</v>
      </c>
      <c r="K3982" s="36">
        <v>45499</v>
      </c>
      <c r="L3982" s="36">
        <v>45504</v>
      </c>
      <c r="M3982" t="s">
        <v>603</v>
      </c>
      <c r="N3982" t="s">
        <v>608</v>
      </c>
      <c r="O3982" s="37" t="str">
        <f t="shared" si="313"/>
        <v>Cash Payment</v>
      </c>
      <c r="P3982">
        <v>443.63</v>
      </c>
      <c r="Q3982" s="37" t="str">
        <f>IF(P3982&gt;500,"High","low")</f>
        <v>low</v>
      </c>
      <c r="R3982" s="37" t="str">
        <f t="shared" si="314"/>
        <v>AVERAGE</v>
      </c>
      <c r="S3982" t="s">
        <v>615</v>
      </c>
    </row>
    <row r="3983" spans="1:19" x14ac:dyDescent="0.2">
      <c r="A3983" t="s">
        <v>4594</v>
      </c>
      <c r="B3983" t="s">
        <v>75</v>
      </c>
      <c r="C3983" t="s">
        <v>617</v>
      </c>
      <c r="D3983">
        <v>1663.42</v>
      </c>
      <c r="E3983" s="37" t="str">
        <f t="shared" si="310"/>
        <v xml:space="preserve"> </v>
      </c>
      <c r="F3983">
        <v>0.34</v>
      </c>
      <c r="G3983" s="37" t="str">
        <f t="shared" si="311"/>
        <v>Heavy Discount</v>
      </c>
      <c r="H3983" s="37" t="str">
        <f t="shared" si="312"/>
        <v>Medium</v>
      </c>
      <c r="I3983">
        <v>1</v>
      </c>
      <c r="J3983" t="str" cm="1">
        <f t="array" ref="J3983">_xlfn.IFS(I3983&lt;=3,"small",I3983&lt;=6,"Medium",I3983&lt;=9,"Large")</f>
        <v>small</v>
      </c>
      <c r="K3983" s="36">
        <v>45371</v>
      </c>
      <c r="L3983" s="36">
        <v>45375</v>
      </c>
      <c r="M3983" t="s">
        <v>603</v>
      </c>
      <c r="N3983" t="s">
        <v>608</v>
      </c>
      <c r="O3983" s="37" t="str">
        <f t="shared" si="313"/>
        <v>Cash Payment</v>
      </c>
      <c r="P3983">
        <v>287.17</v>
      </c>
      <c r="Q3983" s="37" t="str">
        <f>IF(P3983&gt;500,"High","low")</f>
        <v>low</v>
      </c>
      <c r="R3983" s="37" t="str">
        <f t="shared" si="314"/>
        <v>AVERAGE</v>
      </c>
      <c r="S3983" t="s">
        <v>620</v>
      </c>
    </row>
    <row r="3984" spans="1:19" x14ac:dyDescent="0.2">
      <c r="A3984" t="s">
        <v>4595</v>
      </c>
      <c r="B3984" t="s">
        <v>83</v>
      </c>
      <c r="C3984" t="s">
        <v>597</v>
      </c>
      <c r="D3984">
        <v>1198.69</v>
      </c>
      <c r="E3984" s="37" t="str">
        <f t="shared" si="310"/>
        <v xml:space="preserve"> </v>
      </c>
      <c r="F3984">
        <v>0.49</v>
      </c>
      <c r="G3984" s="37" t="str">
        <f t="shared" si="311"/>
        <v>Heavy Discount</v>
      </c>
      <c r="H3984" s="37" t="str">
        <f t="shared" si="312"/>
        <v>High</v>
      </c>
      <c r="I3984">
        <v>6</v>
      </c>
      <c r="J3984" t="str" cm="1">
        <f t="array" ref="J3984">_xlfn.IFS(I3984&lt;=3,"small",I3984&lt;=6,"Medium",I3984&lt;=9,"Large")</f>
        <v>Medium</v>
      </c>
      <c r="K3984" s="36">
        <v>45483</v>
      </c>
      <c r="L3984" s="36">
        <v>45488</v>
      </c>
      <c r="M3984" t="s">
        <v>598</v>
      </c>
      <c r="N3984" t="s">
        <v>604</v>
      </c>
      <c r="O3984" s="37" t="str">
        <f t="shared" si="313"/>
        <v>Digital Payment</v>
      </c>
      <c r="P3984">
        <v>257.14</v>
      </c>
      <c r="Q3984" s="37" t="str">
        <f>IF(P3984&gt;500,"High","low")</f>
        <v>low</v>
      </c>
      <c r="R3984" s="37" t="str">
        <f t="shared" si="314"/>
        <v>AVERAGE</v>
      </c>
      <c r="S3984" t="s">
        <v>605</v>
      </c>
    </row>
    <row r="3985" spans="1:19" x14ac:dyDescent="0.2">
      <c r="A3985" t="s">
        <v>4596</v>
      </c>
      <c r="B3985" t="s">
        <v>83</v>
      </c>
      <c r="C3985" t="s">
        <v>607</v>
      </c>
      <c r="D3985">
        <v>4026.08</v>
      </c>
      <c r="E3985" s="37" t="str">
        <f t="shared" si="310"/>
        <v xml:space="preserve"> </v>
      </c>
      <c r="F3985">
        <v>0.19</v>
      </c>
      <c r="G3985" s="37" t="str">
        <f t="shared" si="311"/>
        <v>Normal Discount</v>
      </c>
      <c r="H3985" s="37" t="str">
        <f t="shared" si="312"/>
        <v>Low</v>
      </c>
      <c r="I3985">
        <v>7</v>
      </c>
      <c r="J3985" t="str" cm="1">
        <f t="array" ref="J3985">_xlfn.IFS(I3985&lt;=3,"small",I3985&lt;=6,"Medium",I3985&lt;=9,"Large")</f>
        <v>Large</v>
      </c>
      <c r="K3985" s="36">
        <v>45259</v>
      </c>
      <c r="L3985" s="36">
        <v>45261</v>
      </c>
      <c r="M3985" t="s">
        <v>598</v>
      </c>
      <c r="N3985" t="s">
        <v>604</v>
      </c>
      <c r="O3985" s="37" t="str">
        <f t="shared" si="313"/>
        <v>Digital Payment</v>
      </c>
      <c r="P3985">
        <v>704.55</v>
      </c>
      <c r="Q3985" s="37" t="str">
        <f>IF(P3985&gt;500,"High","low")</f>
        <v>High</v>
      </c>
      <c r="R3985" s="37" t="str">
        <f t="shared" si="314"/>
        <v>Good</v>
      </c>
      <c r="S3985" t="s">
        <v>620</v>
      </c>
    </row>
    <row r="3986" spans="1:19" x14ac:dyDescent="0.2">
      <c r="A3986" t="s">
        <v>4597</v>
      </c>
      <c r="B3986" t="s">
        <v>67</v>
      </c>
      <c r="C3986" t="s">
        <v>607</v>
      </c>
      <c r="D3986">
        <v>537.17999999999995</v>
      </c>
      <c r="E3986" s="37" t="str">
        <f t="shared" si="310"/>
        <v xml:space="preserve"> </v>
      </c>
      <c r="F3986">
        <v>0.15</v>
      </c>
      <c r="G3986" s="37" t="str">
        <f t="shared" si="311"/>
        <v>Normal Discount</v>
      </c>
      <c r="H3986" s="37" t="str">
        <f t="shared" si="312"/>
        <v>Low</v>
      </c>
      <c r="I3986">
        <v>1</v>
      </c>
      <c r="J3986" t="str" cm="1">
        <f t="array" ref="J3986">_xlfn.IFS(I3986&lt;=3,"small",I3986&lt;=6,"Medium",I3986&lt;=9,"Large")</f>
        <v>small</v>
      </c>
      <c r="K3986" s="36">
        <v>45041</v>
      </c>
      <c r="L3986" s="36">
        <v>45046</v>
      </c>
      <c r="M3986" t="s">
        <v>598</v>
      </c>
      <c r="N3986" t="s">
        <v>604</v>
      </c>
      <c r="O3986" s="37" t="str">
        <f t="shared" si="313"/>
        <v>Digital Payment</v>
      </c>
      <c r="P3986">
        <v>86.89</v>
      </c>
      <c r="Q3986" s="37" t="str">
        <f>IF(P3986&gt;500,"High","low")</f>
        <v>low</v>
      </c>
      <c r="R3986" s="37" t="str">
        <f t="shared" si="314"/>
        <v>AVERAGE</v>
      </c>
      <c r="S3986" t="s">
        <v>600</v>
      </c>
    </row>
    <row r="3987" spans="1:19" x14ac:dyDescent="0.2">
      <c r="A3987" t="s">
        <v>4598</v>
      </c>
      <c r="B3987" t="s">
        <v>67</v>
      </c>
      <c r="C3987" t="s">
        <v>597</v>
      </c>
      <c r="D3987">
        <v>1219.45</v>
      </c>
      <c r="E3987" s="37" t="str">
        <f t="shared" si="310"/>
        <v xml:space="preserve"> </v>
      </c>
      <c r="F3987">
        <v>0.04</v>
      </c>
      <c r="G3987" s="37" t="str">
        <f t="shared" si="311"/>
        <v>Normal Discount</v>
      </c>
      <c r="H3987" s="37" t="str">
        <f t="shared" si="312"/>
        <v>Low</v>
      </c>
      <c r="I3987">
        <v>6</v>
      </c>
      <c r="J3987" t="str" cm="1">
        <f t="array" ref="J3987">_xlfn.IFS(I3987&lt;=3,"small",I3987&lt;=6,"Medium",I3987&lt;=9,"Large")</f>
        <v>Medium</v>
      </c>
      <c r="K3987" s="36">
        <v>44942</v>
      </c>
      <c r="L3987" s="36">
        <v>44947</v>
      </c>
      <c r="M3987" t="s">
        <v>598</v>
      </c>
      <c r="N3987" t="s">
        <v>608</v>
      </c>
      <c r="O3987" s="37" t="str">
        <f t="shared" si="313"/>
        <v>Cash Payment</v>
      </c>
      <c r="P3987">
        <v>262.87</v>
      </c>
      <c r="Q3987" s="37" t="str">
        <f>IF(P3987&gt;500,"High","low")</f>
        <v>low</v>
      </c>
      <c r="R3987" s="37" t="str">
        <f t="shared" si="314"/>
        <v>AVERAGE</v>
      </c>
      <c r="S3987" t="s">
        <v>605</v>
      </c>
    </row>
    <row r="3988" spans="1:19" x14ac:dyDescent="0.2">
      <c r="A3988" t="s">
        <v>4599</v>
      </c>
      <c r="B3988" t="s">
        <v>67</v>
      </c>
      <c r="C3988" t="s">
        <v>607</v>
      </c>
      <c r="D3988">
        <v>1098.3</v>
      </c>
      <c r="E3988" s="37" t="str">
        <f t="shared" si="310"/>
        <v xml:space="preserve"> </v>
      </c>
      <c r="F3988">
        <v>0.11</v>
      </c>
      <c r="G3988" s="37" t="str">
        <f t="shared" si="311"/>
        <v>Normal Discount</v>
      </c>
      <c r="H3988" s="37" t="str">
        <f t="shared" si="312"/>
        <v>Low</v>
      </c>
      <c r="I3988">
        <v>3</v>
      </c>
      <c r="J3988" t="str" cm="1">
        <f t="array" ref="J3988">_xlfn.IFS(I3988&lt;=3,"small",I3988&lt;=6,"Medium",I3988&lt;=9,"Large")</f>
        <v>small</v>
      </c>
      <c r="K3988" s="36">
        <v>45264</v>
      </c>
      <c r="L3988" s="36">
        <v>45271</v>
      </c>
      <c r="M3988" t="s">
        <v>603</v>
      </c>
      <c r="N3988" t="s">
        <v>604</v>
      </c>
      <c r="O3988" s="37" t="str">
        <f t="shared" si="313"/>
        <v>Digital Payment</v>
      </c>
      <c r="P3988">
        <v>287.17</v>
      </c>
      <c r="Q3988" s="37" t="str">
        <f>IF(P3988&gt;500,"High","low")</f>
        <v>low</v>
      </c>
      <c r="R3988" s="37" t="str">
        <f t="shared" si="314"/>
        <v>AVERAGE</v>
      </c>
      <c r="S3988" t="s">
        <v>615</v>
      </c>
    </row>
    <row r="3989" spans="1:19" x14ac:dyDescent="0.2">
      <c r="A3989" t="s">
        <v>4600</v>
      </c>
      <c r="B3989" t="s">
        <v>75</v>
      </c>
      <c r="C3989" t="s">
        <v>597</v>
      </c>
      <c r="D3989">
        <v>2157.14</v>
      </c>
      <c r="E3989" s="37" t="str">
        <f t="shared" si="310"/>
        <v xml:space="preserve"> </v>
      </c>
      <c r="F3989">
        <v>0.14000000000000001</v>
      </c>
      <c r="G3989" s="37" t="str">
        <f t="shared" si="311"/>
        <v>Normal Discount</v>
      </c>
      <c r="H3989" s="37" t="str">
        <f t="shared" si="312"/>
        <v>Low</v>
      </c>
      <c r="I3989">
        <v>7</v>
      </c>
      <c r="J3989" t="str" cm="1">
        <f t="array" ref="J3989">_xlfn.IFS(I3989&lt;=3,"small",I3989&lt;=6,"Medium",I3989&lt;=9,"Large")</f>
        <v>Large</v>
      </c>
      <c r="K3989" s="36">
        <v>45070</v>
      </c>
      <c r="L3989" s="36">
        <v>45072</v>
      </c>
      <c r="M3989" t="s">
        <v>598</v>
      </c>
      <c r="N3989" t="s">
        <v>608</v>
      </c>
      <c r="O3989" s="37" t="str">
        <f t="shared" si="313"/>
        <v>Cash Payment</v>
      </c>
      <c r="P3989">
        <v>347.42</v>
      </c>
      <c r="Q3989" s="37" t="str">
        <f>IF(P3989&gt;500,"High","low")</f>
        <v>low</v>
      </c>
      <c r="R3989" s="37" t="str">
        <f t="shared" si="314"/>
        <v>AVERAGE</v>
      </c>
      <c r="S3989" t="s">
        <v>628</v>
      </c>
    </row>
    <row r="3990" spans="1:19" x14ac:dyDescent="0.2">
      <c r="A3990" t="s">
        <v>4601</v>
      </c>
      <c r="B3990" t="s">
        <v>90</v>
      </c>
      <c r="C3990" t="s">
        <v>597</v>
      </c>
      <c r="D3990">
        <v>1679.45</v>
      </c>
      <c r="E3990" s="37" t="str">
        <f t="shared" si="310"/>
        <v xml:space="preserve"> </v>
      </c>
      <c r="F3990">
        <v>0.17</v>
      </c>
      <c r="G3990" s="37" t="str">
        <f t="shared" si="311"/>
        <v>Normal Discount</v>
      </c>
      <c r="H3990" s="37" t="str">
        <f t="shared" si="312"/>
        <v>Low</v>
      </c>
      <c r="I3990">
        <v>2</v>
      </c>
      <c r="J3990" t="str" cm="1">
        <f t="array" ref="J3990">_xlfn.IFS(I3990&lt;=3,"small",I3990&lt;=6,"Medium",I3990&lt;=9,"Large")</f>
        <v>small</v>
      </c>
      <c r="K3990" s="36">
        <v>45567</v>
      </c>
      <c r="L3990" s="36">
        <v>45572</v>
      </c>
      <c r="M3990" t="s">
        <v>603</v>
      </c>
      <c r="N3990" t="s">
        <v>599</v>
      </c>
      <c r="O3990" s="37" t="str">
        <f t="shared" si="313"/>
        <v>Digital Payment</v>
      </c>
      <c r="P3990">
        <v>282.56</v>
      </c>
      <c r="Q3990" s="37" t="str">
        <f>IF(P3990&gt;500,"High","low")</f>
        <v>low</v>
      </c>
      <c r="R3990" s="37" t="str">
        <f t="shared" si="314"/>
        <v>AVERAGE</v>
      </c>
      <c r="S3990" t="s">
        <v>609</v>
      </c>
    </row>
    <row r="3991" spans="1:19" x14ac:dyDescent="0.2">
      <c r="A3991" t="s">
        <v>4602</v>
      </c>
      <c r="B3991" t="s">
        <v>67</v>
      </c>
      <c r="C3991" t="s">
        <v>607</v>
      </c>
      <c r="D3991">
        <v>3630.29</v>
      </c>
      <c r="E3991" s="37" t="str">
        <f t="shared" si="310"/>
        <v xml:space="preserve"> </v>
      </c>
      <c r="F3991">
        <v>0.32</v>
      </c>
      <c r="G3991" s="37" t="str">
        <f t="shared" si="311"/>
        <v>Heavy Discount</v>
      </c>
      <c r="H3991" s="37" t="str">
        <f t="shared" si="312"/>
        <v>Medium</v>
      </c>
      <c r="I3991">
        <v>2</v>
      </c>
      <c r="J3991" t="str" cm="1">
        <f t="array" ref="J3991">_xlfn.IFS(I3991&lt;=3,"small",I3991&lt;=6,"Medium",I3991&lt;=9,"Large")</f>
        <v>small</v>
      </c>
      <c r="K3991" s="36">
        <v>45512</v>
      </c>
      <c r="L3991" s="36">
        <v>45518</v>
      </c>
      <c r="M3991" t="s">
        <v>598</v>
      </c>
      <c r="N3991" t="s">
        <v>604</v>
      </c>
      <c r="O3991" s="37" t="str">
        <f t="shared" si="313"/>
        <v>Digital Payment</v>
      </c>
      <c r="P3991">
        <v>970.33</v>
      </c>
      <c r="Q3991" s="37" t="str">
        <f>IF(P3991&gt;500,"High","low")</f>
        <v>High</v>
      </c>
      <c r="R3991" s="37" t="str">
        <f t="shared" si="314"/>
        <v>Good</v>
      </c>
      <c r="S3991" t="s">
        <v>615</v>
      </c>
    </row>
    <row r="3992" spans="1:19" x14ac:dyDescent="0.2">
      <c r="A3992" t="s">
        <v>4603</v>
      </c>
      <c r="B3992" t="s">
        <v>67</v>
      </c>
      <c r="C3992" t="s">
        <v>614</v>
      </c>
      <c r="D3992">
        <v>3526.91</v>
      </c>
      <c r="E3992" s="37" t="str">
        <f t="shared" si="310"/>
        <v xml:space="preserve"> </v>
      </c>
      <c r="F3992">
        <v>0.06</v>
      </c>
      <c r="G3992" s="37" t="str">
        <f t="shared" si="311"/>
        <v>Normal Discount</v>
      </c>
      <c r="H3992" s="37" t="str">
        <f t="shared" si="312"/>
        <v>Low</v>
      </c>
      <c r="I3992">
        <v>4</v>
      </c>
      <c r="J3992" t="str" cm="1">
        <f t="array" ref="J3992">_xlfn.IFS(I3992&lt;=3,"small",I3992&lt;=6,"Medium",I3992&lt;=9,"Large")</f>
        <v>Medium</v>
      </c>
      <c r="K3992" s="36">
        <v>45463</v>
      </c>
      <c r="L3992" s="36">
        <v>45465</v>
      </c>
      <c r="M3992" t="s">
        <v>612</v>
      </c>
      <c r="N3992" t="s">
        <v>608</v>
      </c>
      <c r="O3992" s="37" t="str">
        <f t="shared" si="313"/>
        <v>Cash Payment</v>
      </c>
      <c r="P3992">
        <v>183.54</v>
      </c>
      <c r="Q3992" s="37" t="str">
        <f>IF(P3992&gt;500,"High","low")</f>
        <v>low</v>
      </c>
      <c r="R3992" s="37" t="str">
        <f t="shared" si="314"/>
        <v>AVERAGE</v>
      </c>
      <c r="S3992" t="s">
        <v>628</v>
      </c>
    </row>
    <row r="3993" spans="1:19" x14ac:dyDescent="0.2">
      <c r="A3993" t="s">
        <v>4604</v>
      </c>
      <c r="B3993" t="s">
        <v>75</v>
      </c>
      <c r="C3993" t="s">
        <v>602</v>
      </c>
      <c r="D3993">
        <v>1694.81</v>
      </c>
      <c r="E3993" s="37" t="str">
        <f t="shared" si="310"/>
        <v xml:space="preserve"> </v>
      </c>
      <c r="F3993">
        <v>0.03</v>
      </c>
      <c r="G3993" s="37" t="str">
        <f t="shared" si="311"/>
        <v>Normal Discount</v>
      </c>
      <c r="H3993" s="37" t="str">
        <f t="shared" si="312"/>
        <v>Low</v>
      </c>
      <c r="I3993">
        <v>8</v>
      </c>
      <c r="J3993" t="str" cm="1">
        <f t="array" ref="J3993">_xlfn.IFS(I3993&lt;=3,"small",I3993&lt;=6,"Medium",I3993&lt;=9,"Large")</f>
        <v>Large</v>
      </c>
      <c r="K3993" s="36">
        <v>44940</v>
      </c>
      <c r="L3993" s="36">
        <v>44944</v>
      </c>
      <c r="M3993" t="s">
        <v>598</v>
      </c>
      <c r="N3993" t="s">
        <v>604</v>
      </c>
      <c r="O3993" s="37" t="str">
        <f t="shared" si="313"/>
        <v>Digital Payment</v>
      </c>
      <c r="P3993">
        <v>259.44</v>
      </c>
      <c r="Q3993" s="37" t="str">
        <f>IF(P3993&gt;500,"High","low")</f>
        <v>low</v>
      </c>
      <c r="R3993" s="37" t="str">
        <f t="shared" si="314"/>
        <v>AVERAGE</v>
      </c>
      <c r="S3993" t="s">
        <v>605</v>
      </c>
    </row>
    <row r="3994" spans="1:19" x14ac:dyDescent="0.2">
      <c r="A3994" t="s">
        <v>4605</v>
      </c>
      <c r="B3994" t="s">
        <v>67</v>
      </c>
      <c r="C3994" t="s">
        <v>617</v>
      </c>
      <c r="D3994">
        <v>2241.21</v>
      </c>
      <c r="E3994" s="37" t="str">
        <f t="shared" si="310"/>
        <v xml:space="preserve"> </v>
      </c>
      <c r="F3994">
        <v>0.47</v>
      </c>
      <c r="G3994" s="37" t="str">
        <f t="shared" si="311"/>
        <v>Heavy Discount</v>
      </c>
      <c r="H3994" s="37" t="str">
        <f t="shared" si="312"/>
        <v>High</v>
      </c>
      <c r="I3994">
        <v>3</v>
      </c>
      <c r="J3994" t="str" cm="1">
        <f t="array" ref="J3994">_xlfn.IFS(I3994&lt;=3,"small",I3994&lt;=6,"Medium",I3994&lt;=9,"Large")</f>
        <v>small</v>
      </c>
      <c r="K3994" s="36">
        <v>45135</v>
      </c>
      <c r="L3994" s="36">
        <v>45138</v>
      </c>
      <c r="M3994" t="s">
        <v>598</v>
      </c>
      <c r="N3994" t="s">
        <v>608</v>
      </c>
      <c r="O3994" s="37" t="str">
        <f t="shared" si="313"/>
        <v>Cash Payment</v>
      </c>
      <c r="P3994">
        <v>124.52</v>
      </c>
      <c r="Q3994" s="37" t="str">
        <f>IF(P3994&gt;500,"High","low")</f>
        <v>low</v>
      </c>
      <c r="R3994" s="37" t="str">
        <f t="shared" si="314"/>
        <v>AVERAGE</v>
      </c>
      <c r="S3994" t="s">
        <v>609</v>
      </c>
    </row>
    <row r="3995" spans="1:19" x14ac:dyDescent="0.2">
      <c r="A3995" t="s">
        <v>4606</v>
      </c>
      <c r="B3995" t="s">
        <v>75</v>
      </c>
      <c r="C3995" t="s">
        <v>602</v>
      </c>
      <c r="D3995">
        <v>1118.75</v>
      </c>
      <c r="E3995" s="37" t="str">
        <f t="shared" si="310"/>
        <v xml:space="preserve"> </v>
      </c>
      <c r="F3995">
        <v>0.4</v>
      </c>
      <c r="G3995" s="37" t="str">
        <f t="shared" si="311"/>
        <v>Heavy Discount</v>
      </c>
      <c r="H3995" s="37" t="str">
        <f t="shared" si="312"/>
        <v>Medium</v>
      </c>
      <c r="I3995">
        <v>8</v>
      </c>
      <c r="J3995" t="str" cm="1">
        <f t="array" ref="J3995">_xlfn.IFS(I3995&lt;=3,"small",I3995&lt;=6,"Medium",I3995&lt;=9,"Large")</f>
        <v>Large</v>
      </c>
      <c r="K3995" s="36">
        <v>45573</v>
      </c>
      <c r="L3995" s="36">
        <v>45576</v>
      </c>
      <c r="M3995" t="s">
        <v>603</v>
      </c>
      <c r="N3995" t="s">
        <v>608</v>
      </c>
      <c r="O3995" s="37" t="str">
        <f t="shared" si="313"/>
        <v>Cash Payment</v>
      </c>
      <c r="P3995">
        <v>161.25</v>
      </c>
      <c r="Q3995" s="37" t="str">
        <f>IF(P3995&gt;500,"High","low")</f>
        <v>low</v>
      </c>
      <c r="R3995" s="37" t="str">
        <f t="shared" si="314"/>
        <v>AVERAGE</v>
      </c>
      <c r="S3995" t="s">
        <v>620</v>
      </c>
    </row>
    <row r="3996" spans="1:19" x14ac:dyDescent="0.2">
      <c r="A3996" t="s">
        <v>4607</v>
      </c>
      <c r="B3996" t="s">
        <v>83</v>
      </c>
      <c r="C3996" t="s">
        <v>617</v>
      </c>
      <c r="D3996">
        <v>3387.09</v>
      </c>
      <c r="E3996" s="37" t="str">
        <f t="shared" si="310"/>
        <v xml:space="preserve"> </v>
      </c>
      <c r="F3996">
        <v>0.14000000000000001</v>
      </c>
      <c r="G3996" s="37" t="str">
        <f t="shared" si="311"/>
        <v>Normal Discount</v>
      </c>
      <c r="H3996" s="37" t="str">
        <f t="shared" si="312"/>
        <v>Low</v>
      </c>
      <c r="I3996">
        <v>7</v>
      </c>
      <c r="J3996" t="str" cm="1">
        <f t="array" ref="J3996">_xlfn.IFS(I3996&lt;=3,"small",I3996&lt;=6,"Medium",I3996&lt;=9,"Large")</f>
        <v>Large</v>
      </c>
      <c r="K3996" s="36">
        <v>44947</v>
      </c>
      <c r="L3996" s="36">
        <v>44951</v>
      </c>
      <c r="M3996" t="s">
        <v>598</v>
      </c>
      <c r="N3996" t="s">
        <v>604</v>
      </c>
      <c r="O3996" s="37" t="str">
        <f t="shared" si="313"/>
        <v>Digital Payment</v>
      </c>
      <c r="P3996">
        <v>388.81</v>
      </c>
      <c r="Q3996" s="37" t="str">
        <f>IF(P3996&gt;500,"High","low")</f>
        <v>low</v>
      </c>
      <c r="R3996" s="37" t="str">
        <f t="shared" si="314"/>
        <v>AVERAGE</v>
      </c>
      <c r="S3996" t="s">
        <v>628</v>
      </c>
    </row>
    <row r="3997" spans="1:19" x14ac:dyDescent="0.2">
      <c r="A3997" t="s">
        <v>4608</v>
      </c>
      <c r="B3997" t="s">
        <v>67</v>
      </c>
      <c r="C3997" t="s">
        <v>617</v>
      </c>
      <c r="D3997">
        <v>2041.49</v>
      </c>
      <c r="E3997" s="37" t="str">
        <f t="shared" si="310"/>
        <v xml:space="preserve"> </v>
      </c>
      <c r="F3997">
        <v>0.32</v>
      </c>
      <c r="G3997" s="37" t="str">
        <f t="shared" si="311"/>
        <v>Heavy Discount</v>
      </c>
      <c r="H3997" s="37" t="str">
        <f t="shared" si="312"/>
        <v>Medium</v>
      </c>
      <c r="I3997">
        <v>5</v>
      </c>
      <c r="J3997" t="str" cm="1">
        <f t="array" ref="J3997">_xlfn.IFS(I3997&lt;=3,"small",I3997&lt;=6,"Medium",I3997&lt;=9,"Large")</f>
        <v>Medium</v>
      </c>
      <c r="K3997" s="36">
        <v>45017</v>
      </c>
      <c r="L3997" s="36">
        <v>45018</v>
      </c>
      <c r="M3997" t="s">
        <v>603</v>
      </c>
      <c r="N3997" t="s">
        <v>608</v>
      </c>
      <c r="O3997" s="37" t="str">
        <f t="shared" si="313"/>
        <v>Cash Payment</v>
      </c>
      <c r="P3997">
        <v>386.32</v>
      </c>
      <c r="Q3997" s="37" t="str">
        <f>IF(P3997&gt;500,"High","low")</f>
        <v>low</v>
      </c>
      <c r="R3997" s="37" t="str">
        <f t="shared" si="314"/>
        <v>AVERAGE</v>
      </c>
      <c r="S3997" t="s">
        <v>600</v>
      </c>
    </row>
    <row r="3998" spans="1:19" x14ac:dyDescent="0.2">
      <c r="A3998" t="s">
        <v>4609</v>
      </c>
      <c r="B3998" t="s">
        <v>67</v>
      </c>
      <c r="C3998" t="s">
        <v>602</v>
      </c>
      <c r="D3998">
        <v>750.85</v>
      </c>
      <c r="E3998" s="37" t="str">
        <f t="shared" si="310"/>
        <v xml:space="preserve"> </v>
      </c>
      <c r="F3998">
        <v>0.3</v>
      </c>
      <c r="G3998" s="37" t="str">
        <f t="shared" si="311"/>
        <v>Normal Discount</v>
      </c>
      <c r="H3998" s="37" t="str">
        <f t="shared" si="312"/>
        <v>Medium</v>
      </c>
      <c r="I3998">
        <v>4</v>
      </c>
      <c r="J3998" t="str" cm="1">
        <f t="array" ref="J3998">_xlfn.IFS(I3998&lt;=3,"small",I3998&lt;=6,"Medium",I3998&lt;=9,"Large")</f>
        <v>Medium</v>
      </c>
      <c r="K3998" s="36">
        <v>45487</v>
      </c>
      <c r="L3998" s="36">
        <v>45488</v>
      </c>
      <c r="M3998" t="s">
        <v>603</v>
      </c>
      <c r="N3998" t="s">
        <v>599</v>
      </c>
      <c r="O3998" s="37" t="str">
        <f t="shared" si="313"/>
        <v>Digital Payment</v>
      </c>
      <c r="P3998">
        <v>124.9</v>
      </c>
      <c r="Q3998" s="37" t="str">
        <f>IF(P3998&gt;500,"High","low")</f>
        <v>low</v>
      </c>
      <c r="R3998" s="37" t="str">
        <f t="shared" si="314"/>
        <v>AVERAGE</v>
      </c>
      <c r="S3998" t="s">
        <v>605</v>
      </c>
    </row>
    <row r="3999" spans="1:19" x14ac:dyDescent="0.2">
      <c r="A3999" t="s">
        <v>4610</v>
      </c>
      <c r="B3999" t="s">
        <v>83</v>
      </c>
      <c r="C3999" t="s">
        <v>597</v>
      </c>
      <c r="D3999">
        <v>723.6</v>
      </c>
      <c r="E3999" s="37" t="str">
        <f t="shared" si="310"/>
        <v xml:space="preserve"> </v>
      </c>
      <c r="F3999">
        <v>0.37</v>
      </c>
      <c r="G3999" s="37" t="str">
        <f t="shared" si="311"/>
        <v>Heavy Discount</v>
      </c>
      <c r="H3999" s="37" t="str">
        <f t="shared" si="312"/>
        <v>Medium</v>
      </c>
      <c r="I3999">
        <v>2</v>
      </c>
      <c r="J3999" t="str" cm="1">
        <f t="array" ref="J3999">_xlfn.IFS(I3999&lt;=3,"small",I3999&lt;=6,"Medium",I3999&lt;=9,"Large")</f>
        <v>small</v>
      </c>
      <c r="K3999" s="36">
        <v>45450</v>
      </c>
      <c r="L3999" s="36">
        <v>45456</v>
      </c>
      <c r="M3999" t="s">
        <v>598</v>
      </c>
      <c r="N3999" t="s">
        <v>608</v>
      </c>
      <c r="O3999" s="37" t="str">
        <f t="shared" si="313"/>
        <v>Cash Payment</v>
      </c>
      <c r="P3999">
        <v>54.74</v>
      </c>
      <c r="Q3999" s="37" t="str">
        <f>IF(P3999&gt;500,"High","low")</f>
        <v>low</v>
      </c>
      <c r="R3999" s="37" t="str">
        <f t="shared" si="314"/>
        <v>AVERAGE</v>
      </c>
      <c r="S3999" t="s">
        <v>600</v>
      </c>
    </row>
    <row r="4000" spans="1:19" x14ac:dyDescent="0.2">
      <c r="A4000" t="s">
        <v>4611</v>
      </c>
      <c r="B4000" t="s">
        <v>83</v>
      </c>
      <c r="C4000" t="s">
        <v>607</v>
      </c>
      <c r="D4000">
        <v>1679.37</v>
      </c>
      <c r="E4000" s="37" t="str">
        <f t="shared" si="310"/>
        <v xml:space="preserve"> </v>
      </c>
      <c r="F4000">
        <v>0.43</v>
      </c>
      <c r="G4000" s="37" t="str">
        <f t="shared" si="311"/>
        <v>Heavy Discount</v>
      </c>
      <c r="H4000" s="37" t="str">
        <f t="shared" si="312"/>
        <v>High</v>
      </c>
      <c r="I4000">
        <v>9</v>
      </c>
      <c r="J4000" t="str" cm="1">
        <f t="array" ref="J4000">_xlfn.IFS(I4000&lt;=3,"small",I4000&lt;=6,"Medium",I4000&lt;=9,"Large")</f>
        <v>Large</v>
      </c>
      <c r="K4000" s="36">
        <v>44948</v>
      </c>
      <c r="L4000" s="36">
        <v>44951</v>
      </c>
      <c r="M4000" t="s">
        <v>603</v>
      </c>
      <c r="N4000" t="s">
        <v>599</v>
      </c>
      <c r="O4000" s="37" t="str">
        <f t="shared" si="313"/>
        <v>Digital Payment</v>
      </c>
      <c r="P4000">
        <v>307.54000000000002</v>
      </c>
      <c r="Q4000" s="37" t="str">
        <f>IF(P4000&gt;500,"High","low")</f>
        <v>low</v>
      </c>
      <c r="R4000" s="37" t="str">
        <f t="shared" si="314"/>
        <v>AVERAGE</v>
      </c>
      <c r="S4000" t="s">
        <v>605</v>
      </c>
    </row>
    <row r="4001" spans="1:19" x14ac:dyDescent="0.2">
      <c r="A4001" t="s">
        <v>4612</v>
      </c>
      <c r="B4001" t="s">
        <v>83</v>
      </c>
      <c r="C4001" t="s">
        <v>614</v>
      </c>
      <c r="D4001">
        <v>3761.89</v>
      </c>
      <c r="E4001" s="37" t="str">
        <f t="shared" si="310"/>
        <v xml:space="preserve"> </v>
      </c>
      <c r="F4001">
        <v>0.18</v>
      </c>
      <c r="G4001" s="37" t="str">
        <f t="shared" si="311"/>
        <v>Normal Discount</v>
      </c>
      <c r="H4001" s="37" t="str">
        <f t="shared" si="312"/>
        <v>Low</v>
      </c>
      <c r="I4001">
        <v>4</v>
      </c>
      <c r="J4001" t="str" cm="1">
        <f t="array" ref="J4001">_xlfn.IFS(I4001&lt;=3,"small",I4001&lt;=6,"Medium",I4001&lt;=9,"Large")</f>
        <v>Medium</v>
      </c>
      <c r="K4001" s="36">
        <v>45600</v>
      </c>
      <c r="L4001" s="36">
        <v>45604</v>
      </c>
      <c r="M4001" t="s">
        <v>598</v>
      </c>
      <c r="N4001" t="s">
        <v>608</v>
      </c>
      <c r="O4001" s="37" t="str">
        <f t="shared" si="313"/>
        <v>Cash Payment</v>
      </c>
      <c r="P4001">
        <v>840.46</v>
      </c>
      <c r="Q4001" s="37" t="str">
        <f>IF(P4001&gt;500,"High","low")</f>
        <v>High</v>
      </c>
      <c r="R4001" s="37" t="str">
        <f t="shared" si="314"/>
        <v>Good</v>
      </c>
      <c r="S4001" t="s">
        <v>620</v>
      </c>
    </row>
    <row r="4002" spans="1:19" x14ac:dyDescent="0.2">
      <c r="A4002" t="s">
        <v>4613</v>
      </c>
      <c r="B4002" t="s">
        <v>67</v>
      </c>
      <c r="C4002" t="s">
        <v>614</v>
      </c>
      <c r="D4002">
        <v>224.97</v>
      </c>
      <c r="E4002" s="37" t="str">
        <f t="shared" si="310"/>
        <v xml:space="preserve"> </v>
      </c>
      <c r="F4002">
        <v>0.33</v>
      </c>
      <c r="G4002" s="37" t="str">
        <f t="shared" si="311"/>
        <v>Heavy Discount</v>
      </c>
      <c r="H4002" s="37" t="str">
        <f t="shared" si="312"/>
        <v>Medium</v>
      </c>
      <c r="I4002">
        <v>5</v>
      </c>
      <c r="J4002" t="str" cm="1">
        <f t="array" ref="J4002">_xlfn.IFS(I4002&lt;=3,"small",I4002&lt;=6,"Medium",I4002&lt;=9,"Large")</f>
        <v>Medium</v>
      </c>
      <c r="K4002" s="36">
        <v>45336</v>
      </c>
      <c r="L4002" s="36">
        <v>45341</v>
      </c>
      <c r="M4002" t="s">
        <v>603</v>
      </c>
      <c r="N4002" t="s">
        <v>608</v>
      </c>
      <c r="O4002" s="37" t="str">
        <f t="shared" si="313"/>
        <v>Cash Payment</v>
      </c>
      <c r="P4002">
        <v>14.4</v>
      </c>
      <c r="Q4002" s="37" t="str">
        <f>IF(P4002&gt;500,"High","low")</f>
        <v>low</v>
      </c>
      <c r="R4002" s="37" t="str">
        <f t="shared" si="314"/>
        <v>AVERAGE</v>
      </c>
      <c r="S4002" t="s">
        <v>609</v>
      </c>
    </row>
    <row r="4003" spans="1:19" x14ac:dyDescent="0.2">
      <c r="A4003" t="s">
        <v>4614</v>
      </c>
      <c r="B4003" t="s">
        <v>90</v>
      </c>
      <c r="C4003" t="s">
        <v>614</v>
      </c>
      <c r="D4003">
        <v>1363.1</v>
      </c>
      <c r="E4003" s="37" t="str">
        <f t="shared" si="310"/>
        <v xml:space="preserve"> </v>
      </c>
      <c r="F4003">
        <v>0.4</v>
      </c>
      <c r="G4003" s="37" t="str">
        <f t="shared" si="311"/>
        <v>Heavy Discount</v>
      </c>
      <c r="H4003" s="37" t="str">
        <f t="shared" si="312"/>
        <v>Medium</v>
      </c>
      <c r="I4003">
        <v>2</v>
      </c>
      <c r="J4003" t="str" cm="1">
        <f t="array" ref="J4003">_xlfn.IFS(I4003&lt;=3,"small",I4003&lt;=6,"Medium",I4003&lt;=9,"Large")</f>
        <v>small</v>
      </c>
      <c r="K4003" s="36">
        <v>45082</v>
      </c>
      <c r="L4003" s="36">
        <v>45086</v>
      </c>
      <c r="M4003" t="s">
        <v>603</v>
      </c>
      <c r="N4003" t="s">
        <v>608</v>
      </c>
      <c r="O4003" s="37" t="str">
        <f t="shared" si="313"/>
        <v>Cash Payment</v>
      </c>
      <c r="P4003">
        <v>79.25</v>
      </c>
      <c r="Q4003" s="37" t="str">
        <f>IF(P4003&gt;500,"High","low")</f>
        <v>low</v>
      </c>
      <c r="R4003" s="37" t="str">
        <f t="shared" si="314"/>
        <v>AVERAGE</v>
      </c>
      <c r="S4003" t="s">
        <v>609</v>
      </c>
    </row>
    <row r="4004" spans="1:19" x14ac:dyDescent="0.2">
      <c r="A4004" t="s">
        <v>4615</v>
      </c>
      <c r="B4004" t="s">
        <v>90</v>
      </c>
      <c r="C4004" t="s">
        <v>602</v>
      </c>
      <c r="D4004">
        <v>896.18</v>
      </c>
      <c r="E4004" s="37" t="str">
        <f t="shared" si="310"/>
        <v xml:space="preserve"> </v>
      </c>
      <c r="F4004">
        <v>0.35</v>
      </c>
      <c r="G4004" s="37" t="str">
        <f t="shared" si="311"/>
        <v>Heavy Discount</v>
      </c>
      <c r="H4004" s="37" t="str">
        <f t="shared" si="312"/>
        <v>Medium</v>
      </c>
      <c r="I4004">
        <v>2</v>
      </c>
      <c r="J4004" t="str" cm="1">
        <f t="array" ref="J4004">_xlfn.IFS(I4004&lt;=3,"small",I4004&lt;=6,"Medium",I4004&lt;=9,"Large")</f>
        <v>small</v>
      </c>
      <c r="K4004" s="36">
        <v>45085</v>
      </c>
      <c r="L4004" s="36">
        <v>45087</v>
      </c>
      <c r="M4004" t="s">
        <v>612</v>
      </c>
      <c r="N4004" t="s">
        <v>604</v>
      </c>
      <c r="O4004" s="37" t="str">
        <f t="shared" si="313"/>
        <v>Digital Payment</v>
      </c>
      <c r="P4004">
        <v>243</v>
      </c>
      <c r="Q4004" s="37" t="str">
        <f>IF(P4004&gt;500,"High","low")</f>
        <v>low</v>
      </c>
      <c r="R4004" s="37" t="str">
        <f t="shared" si="314"/>
        <v>AVERAGE</v>
      </c>
      <c r="S4004" t="s">
        <v>600</v>
      </c>
    </row>
    <row r="4005" spans="1:19" x14ac:dyDescent="0.2">
      <c r="A4005" t="s">
        <v>4616</v>
      </c>
      <c r="B4005" t="s">
        <v>90</v>
      </c>
      <c r="C4005" t="s">
        <v>602</v>
      </c>
      <c r="D4005">
        <v>4786.74</v>
      </c>
      <c r="E4005" s="37" t="str">
        <f t="shared" si="310"/>
        <v>Excellent Order</v>
      </c>
      <c r="F4005">
        <v>0.46</v>
      </c>
      <c r="G4005" s="37" t="str">
        <f t="shared" si="311"/>
        <v>Heavy Discount</v>
      </c>
      <c r="H4005" s="37" t="str">
        <f t="shared" si="312"/>
        <v>High</v>
      </c>
      <c r="I4005">
        <v>2</v>
      </c>
      <c r="J4005" t="str" cm="1">
        <f t="array" ref="J4005">_xlfn.IFS(I4005&lt;=3,"small",I4005&lt;=6,"Medium",I4005&lt;=9,"Large")</f>
        <v>small</v>
      </c>
      <c r="K4005" s="36">
        <v>45013</v>
      </c>
      <c r="L4005" s="36">
        <v>45017</v>
      </c>
      <c r="M4005" t="s">
        <v>612</v>
      </c>
      <c r="N4005" t="s">
        <v>604</v>
      </c>
      <c r="O4005" s="37" t="str">
        <f t="shared" si="313"/>
        <v>Digital Payment</v>
      </c>
      <c r="P4005">
        <v>917.64</v>
      </c>
      <c r="Q4005" s="37" t="str">
        <f>IF(P4005&gt;500,"High","low")</f>
        <v>High</v>
      </c>
      <c r="R4005" s="37" t="str">
        <f t="shared" si="314"/>
        <v>Good</v>
      </c>
      <c r="S4005" t="s">
        <v>600</v>
      </c>
    </row>
    <row r="4006" spans="1:19" x14ac:dyDescent="0.2">
      <c r="A4006" t="s">
        <v>4617</v>
      </c>
      <c r="B4006" t="s">
        <v>67</v>
      </c>
      <c r="C4006" t="s">
        <v>597</v>
      </c>
      <c r="D4006">
        <v>3555.88</v>
      </c>
      <c r="E4006" s="37" t="str">
        <f t="shared" si="310"/>
        <v xml:space="preserve"> </v>
      </c>
      <c r="F4006">
        <v>0.25</v>
      </c>
      <c r="G4006" s="37" t="str">
        <f t="shared" si="311"/>
        <v>Normal Discount</v>
      </c>
      <c r="H4006" s="37" t="str">
        <f t="shared" si="312"/>
        <v>Medium</v>
      </c>
      <c r="I4006">
        <v>2</v>
      </c>
      <c r="J4006" t="str" cm="1">
        <f t="array" ref="J4006">_xlfn.IFS(I4006&lt;=3,"small",I4006&lt;=6,"Medium",I4006&lt;=9,"Large")</f>
        <v>small</v>
      </c>
      <c r="K4006" s="36">
        <v>45263</v>
      </c>
      <c r="L4006" s="36">
        <v>45269</v>
      </c>
      <c r="M4006" t="s">
        <v>603</v>
      </c>
      <c r="N4006" t="s">
        <v>599</v>
      </c>
      <c r="O4006" s="37" t="str">
        <f t="shared" si="313"/>
        <v>Digital Payment</v>
      </c>
      <c r="P4006">
        <v>274.43</v>
      </c>
      <c r="Q4006" s="37" t="str">
        <f>IF(P4006&gt;500,"High","low")</f>
        <v>low</v>
      </c>
      <c r="R4006" s="37" t="str">
        <f t="shared" si="314"/>
        <v>AVERAGE</v>
      </c>
      <c r="S4006" t="s">
        <v>615</v>
      </c>
    </row>
    <row r="4007" spans="1:19" x14ac:dyDescent="0.2">
      <c r="A4007" t="s">
        <v>4618</v>
      </c>
      <c r="B4007" t="s">
        <v>83</v>
      </c>
      <c r="C4007" t="s">
        <v>614</v>
      </c>
      <c r="D4007">
        <v>1242.8399999999999</v>
      </c>
      <c r="E4007" s="37" t="str">
        <f t="shared" si="310"/>
        <v xml:space="preserve"> </v>
      </c>
      <c r="F4007">
        <v>0.4</v>
      </c>
      <c r="G4007" s="37" t="str">
        <f t="shared" si="311"/>
        <v>Heavy Discount</v>
      </c>
      <c r="H4007" s="37" t="str">
        <f t="shared" si="312"/>
        <v>Medium</v>
      </c>
      <c r="I4007">
        <v>9</v>
      </c>
      <c r="J4007" t="str" cm="1">
        <f t="array" ref="J4007">_xlfn.IFS(I4007&lt;=3,"small",I4007&lt;=6,"Medium",I4007&lt;=9,"Large")</f>
        <v>Large</v>
      </c>
      <c r="K4007" s="36">
        <v>45333</v>
      </c>
      <c r="L4007" s="36">
        <v>45340</v>
      </c>
      <c r="M4007" t="s">
        <v>603</v>
      </c>
      <c r="N4007" t="s">
        <v>599</v>
      </c>
      <c r="O4007" s="37" t="str">
        <f t="shared" si="313"/>
        <v>Digital Payment</v>
      </c>
      <c r="P4007">
        <v>285.31</v>
      </c>
      <c r="Q4007" s="37" t="str">
        <f>IF(P4007&gt;500,"High","low")</f>
        <v>low</v>
      </c>
      <c r="R4007" s="37" t="str">
        <f t="shared" si="314"/>
        <v>AVERAGE</v>
      </c>
      <c r="S4007" t="s">
        <v>605</v>
      </c>
    </row>
    <row r="4008" spans="1:19" x14ac:dyDescent="0.2">
      <c r="A4008" t="s">
        <v>4619</v>
      </c>
      <c r="B4008" t="s">
        <v>67</v>
      </c>
      <c r="C4008" t="s">
        <v>597</v>
      </c>
      <c r="D4008">
        <v>1116.56</v>
      </c>
      <c r="E4008" s="37" t="str">
        <f t="shared" si="310"/>
        <v xml:space="preserve"> </v>
      </c>
      <c r="F4008">
        <v>0.45</v>
      </c>
      <c r="G4008" s="37" t="str">
        <f t="shared" si="311"/>
        <v>Heavy Discount</v>
      </c>
      <c r="H4008" s="37" t="str">
        <f t="shared" si="312"/>
        <v>High</v>
      </c>
      <c r="I4008">
        <v>5</v>
      </c>
      <c r="J4008" t="str" cm="1">
        <f t="array" ref="J4008">_xlfn.IFS(I4008&lt;=3,"small",I4008&lt;=6,"Medium",I4008&lt;=9,"Large")</f>
        <v>Medium</v>
      </c>
      <c r="K4008" s="36">
        <v>45647</v>
      </c>
      <c r="L4008" s="36">
        <v>45648</v>
      </c>
      <c r="M4008" t="s">
        <v>603</v>
      </c>
      <c r="N4008" t="s">
        <v>608</v>
      </c>
      <c r="O4008" s="37" t="str">
        <f t="shared" si="313"/>
        <v>Cash Payment</v>
      </c>
      <c r="P4008">
        <v>294.95</v>
      </c>
      <c r="Q4008" s="37" t="str">
        <f>IF(P4008&gt;500,"High","low")</f>
        <v>low</v>
      </c>
      <c r="R4008" s="37" t="str">
        <f t="shared" si="314"/>
        <v>AVERAGE</v>
      </c>
      <c r="S4008" t="s">
        <v>620</v>
      </c>
    </row>
    <row r="4009" spans="1:19" x14ac:dyDescent="0.2">
      <c r="A4009" t="s">
        <v>4620</v>
      </c>
      <c r="B4009" t="s">
        <v>83</v>
      </c>
      <c r="C4009" t="s">
        <v>614</v>
      </c>
      <c r="D4009">
        <v>4304.3500000000004</v>
      </c>
      <c r="E4009" s="37" t="str">
        <f t="shared" si="310"/>
        <v>Excellent Order</v>
      </c>
      <c r="F4009">
        <v>0.28000000000000003</v>
      </c>
      <c r="G4009" s="37" t="str">
        <f t="shared" si="311"/>
        <v>Normal Discount</v>
      </c>
      <c r="H4009" s="37" t="str">
        <f t="shared" si="312"/>
        <v>Medium</v>
      </c>
      <c r="I4009">
        <v>6</v>
      </c>
      <c r="J4009" t="str" cm="1">
        <f t="array" ref="J4009">_xlfn.IFS(I4009&lt;=3,"small",I4009&lt;=6,"Medium",I4009&lt;=9,"Large")</f>
        <v>Medium</v>
      </c>
      <c r="K4009" s="36">
        <v>45446</v>
      </c>
      <c r="L4009" s="36">
        <v>45451</v>
      </c>
      <c r="M4009" t="s">
        <v>603</v>
      </c>
      <c r="N4009" t="s">
        <v>604</v>
      </c>
      <c r="O4009" s="37" t="str">
        <f t="shared" si="313"/>
        <v>Digital Payment</v>
      </c>
      <c r="P4009">
        <v>1255.8399999999999</v>
      </c>
      <c r="Q4009" s="37" t="str">
        <f>IF(P4009&gt;500,"High","low")</f>
        <v>High</v>
      </c>
      <c r="R4009" s="37" t="str">
        <f t="shared" si="314"/>
        <v>Excellent</v>
      </c>
      <c r="S4009" t="s">
        <v>628</v>
      </c>
    </row>
    <row r="4010" spans="1:19" x14ac:dyDescent="0.2">
      <c r="A4010" t="s">
        <v>4621</v>
      </c>
      <c r="B4010" t="s">
        <v>67</v>
      </c>
      <c r="C4010" t="s">
        <v>602</v>
      </c>
      <c r="D4010">
        <v>1032.1099999999999</v>
      </c>
      <c r="E4010" s="37" t="str">
        <f t="shared" si="310"/>
        <v xml:space="preserve"> </v>
      </c>
      <c r="F4010">
        <v>0.01</v>
      </c>
      <c r="G4010" s="37" t="str">
        <f t="shared" si="311"/>
        <v>Normal Discount</v>
      </c>
      <c r="H4010" s="37" t="str">
        <f t="shared" si="312"/>
        <v>Low</v>
      </c>
      <c r="I4010">
        <v>4</v>
      </c>
      <c r="J4010" t="str" cm="1">
        <f t="array" ref="J4010">_xlfn.IFS(I4010&lt;=3,"small",I4010&lt;=6,"Medium",I4010&lt;=9,"Large")</f>
        <v>Medium</v>
      </c>
      <c r="K4010" s="36">
        <v>45604</v>
      </c>
      <c r="L4010" s="36">
        <v>45609</v>
      </c>
      <c r="M4010" t="s">
        <v>598</v>
      </c>
      <c r="N4010" t="s">
        <v>604</v>
      </c>
      <c r="O4010" s="37" t="str">
        <f t="shared" si="313"/>
        <v>Digital Payment</v>
      </c>
      <c r="P4010">
        <v>265.76</v>
      </c>
      <c r="Q4010" s="37" t="str">
        <f>IF(P4010&gt;500,"High","low")</f>
        <v>low</v>
      </c>
      <c r="R4010" s="37" t="str">
        <f t="shared" si="314"/>
        <v>AVERAGE</v>
      </c>
      <c r="S4010" t="s">
        <v>605</v>
      </c>
    </row>
    <row r="4011" spans="1:19" x14ac:dyDescent="0.2">
      <c r="A4011" t="s">
        <v>4622</v>
      </c>
      <c r="B4011" t="s">
        <v>67</v>
      </c>
      <c r="C4011" t="s">
        <v>607</v>
      </c>
      <c r="D4011">
        <v>4985.59</v>
      </c>
      <c r="E4011" s="37" t="str">
        <f t="shared" si="310"/>
        <v>Excellent Order</v>
      </c>
      <c r="F4011">
        <v>0.41</v>
      </c>
      <c r="G4011" s="37" t="str">
        <f t="shared" si="311"/>
        <v>Heavy Discount</v>
      </c>
      <c r="H4011" s="37" t="str">
        <f t="shared" si="312"/>
        <v>High</v>
      </c>
      <c r="I4011">
        <v>2</v>
      </c>
      <c r="J4011" t="str" cm="1">
        <f t="array" ref="J4011">_xlfn.IFS(I4011&lt;=3,"small",I4011&lt;=6,"Medium",I4011&lt;=9,"Large")</f>
        <v>small</v>
      </c>
      <c r="K4011" s="36">
        <v>44936</v>
      </c>
      <c r="L4011" s="36">
        <v>44939</v>
      </c>
      <c r="M4011" t="s">
        <v>598</v>
      </c>
      <c r="N4011" t="s">
        <v>599</v>
      </c>
      <c r="O4011" s="37" t="str">
        <f t="shared" si="313"/>
        <v>Digital Payment</v>
      </c>
      <c r="P4011">
        <v>1184.24</v>
      </c>
      <c r="Q4011" s="37" t="str">
        <f>IF(P4011&gt;500,"High","low")</f>
        <v>High</v>
      </c>
      <c r="R4011" s="37" t="str">
        <f t="shared" si="314"/>
        <v>Excellent</v>
      </c>
      <c r="S4011" t="s">
        <v>615</v>
      </c>
    </row>
    <row r="4012" spans="1:19" x14ac:dyDescent="0.2">
      <c r="A4012" t="s">
        <v>4623</v>
      </c>
      <c r="B4012" t="s">
        <v>83</v>
      </c>
      <c r="C4012" t="s">
        <v>607</v>
      </c>
      <c r="D4012">
        <v>1483.29</v>
      </c>
      <c r="E4012" s="37" t="str">
        <f t="shared" si="310"/>
        <v xml:space="preserve"> </v>
      </c>
      <c r="F4012">
        <v>0.42</v>
      </c>
      <c r="G4012" s="37" t="str">
        <f t="shared" si="311"/>
        <v>Heavy Discount</v>
      </c>
      <c r="H4012" s="37" t="str">
        <f t="shared" si="312"/>
        <v>High</v>
      </c>
      <c r="I4012">
        <v>3</v>
      </c>
      <c r="J4012" t="str" cm="1">
        <f t="array" ref="J4012">_xlfn.IFS(I4012&lt;=3,"small",I4012&lt;=6,"Medium",I4012&lt;=9,"Large")</f>
        <v>small</v>
      </c>
      <c r="K4012" s="36">
        <v>44956</v>
      </c>
      <c r="L4012" s="36">
        <v>44958</v>
      </c>
      <c r="M4012" t="s">
        <v>598</v>
      </c>
      <c r="N4012" t="s">
        <v>599</v>
      </c>
      <c r="O4012" s="37" t="str">
        <f t="shared" si="313"/>
        <v>Digital Payment</v>
      </c>
      <c r="P4012">
        <v>399.88</v>
      </c>
      <c r="Q4012" s="37" t="str">
        <f>IF(P4012&gt;500,"High","low")</f>
        <v>low</v>
      </c>
      <c r="R4012" s="37" t="str">
        <f t="shared" si="314"/>
        <v>AVERAGE</v>
      </c>
      <c r="S4012" t="s">
        <v>615</v>
      </c>
    </row>
    <row r="4013" spans="1:19" x14ac:dyDescent="0.2">
      <c r="A4013" t="s">
        <v>4624</v>
      </c>
      <c r="B4013" t="s">
        <v>90</v>
      </c>
      <c r="C4013" t="s">
        <v>607</v>
      </c>
      <c r="D4013">
        <v>513.23</v>
      </c>
      <c r="E4013" s="37" t="str">
        <f t="shared" si="310"/>
        <v xml:space="preserve"> </v>
      </c>
      <c r="F4013">
        <v>0.2</v>
      </c>
      <c r="G4013" s="37" t="str">
        <f t="shared" si="311"/>
        <v>Normal Discount</v>
      </c>
      <c r="H4013" s="37" t="str">
        <f t="shared" si="312"/>
        <v>Medium</v>
      </c>
      <c r="I4013">
        <v>3</v>
      </c>
      <c r="J4013" t="str" cm="1">
        <f t="array" ref="J4013">_xlfn.IFS(I4013&lt;=3,"small",I4013&lt;=6,"Medium",I4013&lt;=9,"Large")</f>
        <v>small</v>
      </c>
      <c r="K4013" s="36">
        <v>45184</v>
      </c>
      <c r="L4013" s="36">
        <v>45189</v>
      </c>
      <c r="M4013" t="s">
        <v>612</v>
      </c>
      <c r="N4013" t="s">
        <v>604</v>
      </c>
      <c r="O4013" s="37" t="str">
        <f t="shared" si="313"/>
        <v>Digital Payment</v>
      </c>
      <c r="P4013">
        <v>88.21</v>
      </c>
      <c r="Q4013" s="37" t="str">
        <f>IF(P4013&gt;500,"High","low")</f>
        <v>low</v>
      </c>
      <c r="R4013" s="37" t="str">
        <f t="shared" si="314"/>
        <v>AVERAGE</v>
      </c>
      <c r="S4013" t="s">
        <v>615</v>
      </c>
    </row>
    <row r="4014" spans="1:19" x14ac:dyDescent="0.2">
      <c r="A4014" t="s">
        <v>4625</v>
      </c>
      <c r="B4014" t="s">
        <v>83</v>
      </c>
      <c r="C4014" t="s">
        <v>607</v>
      </c>
      <c r="D4014">
        <v>3485.62</v>
      </c>
      <c r="E4014" s="37" t="str">
        <f t="shared" si="310"/>
        <v xml:space="preserve"> </v>
      </c>
      <c r="F4014">
        <v>0.11</v>
      </c>
      <c r="G4014" s="37" t="str">
        <f t="shared" si="311"/>
        <v>Normal Discount</v>
      </c>
      <c r="H4014" s="37" t="str">
        <f t="shared" si="312"/>
        <v>Low</v>
      </c>
      <c r="I4014">
        <v>8</v>
      </c>
      <c r="J4014" t="str" cm="1">
        <f t="array" ref="J4014">_xlfn.IFS(I4014&lt;=3,"small",I4014&lt;=6,"Medium",I4014&lt;=9,"Large")</f>
        <v>Large</v>
      </c>
      <c r="K4014" s="36">
        <v>45204</v>
      </c>
      <c r="L4014" s="36">
        <v>45207</v>
      </c>
      <c r="M4014" t="s">
        <v>598</v>
      </c>
      <c r="N4014" t="s">
        <v>604</v>
      </c>
      <c r="O4014" s="37" t="str">
        <f t="shared" si="313"/>
        <v>Digital Payment</v>
      </c>
      <c r="P4014">
        <v>598.07000000000005</v>
      </c>
      <c r="Q4014" s="37" t="str">
        <f>IF(P4014&gt;500,"High","low")</f>
        <v>High</v>
      </c>
      <c r="R4014" s="37" t="str">
        <f t="shared" si="314"/>
        <v>Good</v>
      </c>
      <c r="S4014" t="s">
        <v>609</v>
      </c>
    </row>
    <row r="4015" spans="1:19" x14ac:dyDescent="0.2">
      <c r="A4015" t="s">
        <v>4626</v>
      </c>
      <c r="B4015" t="s">
        <v>75</v>
      </c>
      <c r="C4015" t="s">
        <v>617</v>
      </c>
      <c r="D4015">
        <v>3087.25</v>
      </c>
      <c r="E4015" s="37" t="str">
        <f t="shared" si="310"/>
        <v xml:space="preserve"> </v>
      </c>
      <c r="F4015">
        <v>0.49</v>
      </c>
      <c r="G4015" s="37" t="str">
        <f t="shared" si="311"/>
        <v>Heavy Discount</v>
      </c>
      <c r="H4015" s="37" t="str">
        <f t="shared" si="312"/>
        <v>High</v>
      </c>
      <c r="I4015">
        <v>8</v>
      </c>
      <c r="J4015" t="str" cm="1">
        <f t="array" ref="J4015">_xlfn.IFS(I4015&lt;=3,"small",I4015&lt;=6,"Medium",I4015&lt;=9,"Large")</f>
        <v>Large</v>
      </c>
      <c r="K4015" s="36">
        <v>45059</v>
      </c>
      <c r="L4015" s="36">
        <v>45064</v>
      </c>
      <c r="M4015" t="s">
        <v>603</v>
      </c>
      <c r="N4015" t="s">
        <v>608</v>
      </c>
      <c r="O4015" s="37" t="str">
        <f t="shared" si="313"/>
        <v>Cash Payment</v>
      </c>
      <c r="P4015">
        <v>676.07</v>
      </c>
      <c r="Q4015" s="37" t="str">
        <f>IF(P4015&gt;500,"High","low")</f>
        <v>High</v>
      </c>
      <c r="R4015" s="37" t="str">
        <f t="shared" si="314"/>
        <v>Good</v>
      </c>
      <c r="S4015" t="s">
        <v>609</v>
      </c>
    </row>
    <row r="4016" spans="1:19" x14ac:dyDescent="0.2">
      <c r="A4016" t="s">
        <v>4627</v>
      </c>
      <c r="B4016" t="s">
        <v>75</v>
      </c>
      <c r="C4016" t="s">
        <v>614</v>
      </c>
      <c r="D4016">
        <v>4999.13</v>
      </c>
      <c r="E4016" s="37" t="str">
        <f t="shared" si="310"/>
        <v>Excellent Order</v>
      </c>
      <c r="F4016">
        <v>0.28000000000000003</v>
      </c>
      <c r="G4016" s="37" t="str">
        <f t="shared" si="311"/>
        <v>Normal Discount</v>
      </c>
      <c r="H4016" s="37" t="str">
        <f t="shared" si="312"/>
        <v>Medium</v>
      </c>
      <c r="I4016">
        <v>6</v>
      </c>
      <c r="J4016" t="str" cm="1">
        <f t="array" ref="J4016">_xlfn.IFS(I4016&lt;=3,"small",I4016&lt;=6,"Medium",I4016&lt;=9,"Large")</f>
        <v>Medium</v>
      </c>
      <c r="K4016" s="36">
        <v>45383</v>
      </c>
      <c r="L4016" s="36">
        <v>45384</v>
      </c>
      <c r="M4016" t="s">
        <v>612</v>
      </c>
      <c r="N4016" t="s">
        <v>608</v>
      </c>
      <c r="O4016" s="37" t="str">
        <f t="shared" si="313"/>
        <v>Cash Payment</v>
      </c>
      <c r="P4016">
        <v>1344.04</v>
      </c>
      <c r="Q4016" s="37" t="str">
        <f>IF(P4016&gt;500,"High","low")</f>
        <v>High</v>
      </c>
      <c r="R4016" s="37" t="str">
        <f t="shared" si="314"/>
        <v>Excellent</v>
      </c>
      <c r="S4016" t="s">
        <v>605</v>
      </c>
    </row>
    <row r="4017" spans="1:19" x14ac:dyDescent="0.2">
      <c r="A4017" t="s">
        <v>4628</v>
      </c>
      <c r="B4017" t="s">
        <v>83</v>
      </c>
      <c r="C4017" t="s">
        <v>607</v>
      </c>
      <c r="D4017">
        <v>4030.22</v>
      </c>
      <c r="E4017" s="37" t="str">
        <f t="shared" si="310"/>
        <v xml:space="preserve"> </v>
      </c>
      <c r="F4017">
        <v>0.26</v>
      </c>
      <c r="G4017" s="37" t="str">
        <f t="shared" si="311"/>
        <v>Normal Discount</v>
      </c>
      <c r="H4017" s="37" t="str">
        <f t="shared" si="312"/>
        <v>Medium</v>
      </c>
      <c r="I4017">
        <v>8</v>
      </c>
      <c r="J4017" t="str" cm="1">
        <f t="array" ref="J4017">_xlfn.IFS(I4017&lt;=3,"small",I4017&lt;=6,"Medium",I4017&lt;=9,"Large")</f>
        <v>Large</v>
      </c>
      <c r="K4017" s="36">
        <v>45123</v>
      </c>
      <c r="L4017" s="36">
        <v>45130</v>
      </c>
      <c r="M4017" t="s">
        <v>603</v>
      </c>
      <c r="N4017" t="s">
        <v>599</v>
      </c>
      <c r="O4017" s="37" t="str">
        <f t="shared" si="313"/>
        <v>Digital Payment</v>
      </c>
      <c r="P4017">
        <v>411.83</v>
      </c>
      <c r="Q4017" s="37" t="str">
        <f>IF(P4017&gt;500,"High","low")</f>
        <v>low</v>
      </c>
      <c r="R4017" s="37" t="str">
        <f t="shared" si="314"/>
        <v>AVERAGE</v>
      </c>
      <c r="S4017" t="s">
        <v>609</v>
      </c>
    </row>
    <row r="4018" spans="1:19" x14ac:dyDescent="0.2">
      <c r="A4018" t="s">
        <v>4629</v>
      </c>
      <c r="B4018" t="s">
        <v>67</v>
      </c>
      <c r="C4018" t="s">
        <v>617</v>
      </c>
      <c r="D4018">
        <v>2201.3000000000002</v>
      </c>
      <c r="E4018" s="37" t="str">
        <f t="shared" si="310"/>
        <v xml:space="preserve"> </v>
      </c>
      <c r="F4018">
        <v>0.47</v>
      </c>
      <c r="G4018" s="37" t="str">
        <f t="shared" si="311"/>
        <v>Heavy Discount</v>
      </c>
      <c r="H4018" s="37" t="str">
        <f t="shared" si="312"/>
        <v>High</v>
      </c>
      <c r="I4018">
        <v>3</v>
      </c>
      <c r="J4018" t="str" cm="1">
        <f t="array" ref="J4018">_xlfn.IFS(I4018&lt;=3,"small",I4018&lt;=6,"Medium",I4018&lt;=9,"Large")</f>
        <v>small</v>
      </c>
      <c r="K4018" s="36">
        <v>45494</v>
      </c>
      <c r="L4018" s="36">
        <v>45499</v>
      </c>
      <c r="M4018" t="s">
        <v>598</v>
      </c>
      <c r="N4018" t="s">
        <v>604</v>
      </c>
      <c r="O4018" s="37" t="str">
        <f t="shared" si="313"/>
        <v>Digital Payment</v>
      </c>
      <c r="P4018">
        <v>347.45</v>
      </c>
      <c r="Q4018" s="37" t="str">
        <f>IF(P4018&gt;500,"High","low")</f>
        <v>low</v>
      </c>
      <c r="R4018" s="37" t="str">
        <f t="shared" si="314"/>
        <v>AVERAGE</v>
      </c>
      <c r="S4018" t="s">
        <v>605</v>
      </c>
    </row>
    <row r="4019" spans="1:19" x14ac:dyDescent="0.2">
      <c r="A4019" t="s">
        <v>4630</v>
      </c>
      <c r="B4019" t="s">
        <v>75</v>
      </c>
      <c r="C4019" t="s">
        <v>617</v>
      </c>
      <c r="D4019">
        <v>3415.4</v>
      </c>
      <c r="E4019" s="37" t="str">
        <f t="shared" si="310"/>
        <v xml:space="preserve"> </v>
      </c>
      <c r="F4019">
        <v>0.2</v>
      </c>
      <c r="G4019" s="37" t="str">
        <f t="shared" si="311"/>
        <v>Normal Discount</v>
      </c>
      <c r="H4019" s="37" t="str">
        <f t="shared" si="312"/>
        <v>Medium</v>
      </c>
      <c r="I4019">
        <v>7</v>
      </c>
      <c r="J4019" t="str" cm="1">
        <f t="array" ref="J4019">_xlfn.IFS(I4019&lt;=3,"small",I4019&lt;=6,"Medium",I4019&lt;=9,"Large")</f>
        <v>Large</v>
      </c>
      <c r="K4019" s="36">
        <v>45202</v>
      </c>
      <c r="L4019" s="36">
        <v>45203</v>
      </c>
      <c r="M4019" t="s">
        <v>612</v>
      </c>
      <c r="N4019" t="s">
        <v>608</v>
      </c>
      <c r="O4019" s="37" t="str">
        <f t="shared" si="313"/>
        <v>Cash Payment</v>
      </c>
      <c r="P4019">
        <v>815.33</v>
      </c>
      <c r="Q4019" s="37" t="str">
        <f>IF(P4019&gt;500,"High","low")</f>
        <v>High</v>
      </c>
      <c r="R4019" s="37" t="str">
        <f t="shared" si="314"/>
        <v>Good</v>
      </c>
      <c r="S4019" t="s">
        <v>605</v>
      </c>
    </row>
    <row r="4020" spans="1:19" x14ac:dyDescent="0.2">
      <c r="A4020" t="s">
        <v>4631</v>
      </c>
      <c r="B4020" t="s">
        <v>75</v>
      </c>
      <c r="C4020" t="s">
        <v>617</v>
      </c>
      <c r="D4020">
        <v>4107.46</v>
      </c>
      <c r="E4020" s="37" t="str">
        <f t="shared" si="310"/>
        <v xml:space="preserve"> </v>
      </c>
      <c r="F4020">
        <v>0.42</v>
      </c>
      <c r="G4020" s="37" t="str">
        <f t="shared" si="311"/>
        <v>Heavy Discount</v>
      </c>
      <c r="H4020" s="37" t="str">
        <f t="shared" si="312"/>
        <v>High</v>
      </c>
      <c r="I4020">
        <v>5</v>
      </c>
      <c r="J4020" t="str" cm="1">
        <f t="array" ref="J4020">_xlfn.IFS(I4020&lt;=3,"small",I4020&lt;=6,"Medium",I4020&lt;=9,"Large")</f>
        <v>Medium</v>
      </c>
      <c r="K4020" s="36">
        <v>45403</v>
      </c>
      <c r="L4020" s="36">
        <v>45409</v>
      </c>
      <c r="M4020" t="s">
        <v>603</v>
      </c>
      <c r="N4020" t="s">
        <v>599</v>
      </c>
      <c r="O4020" s="37" t="str">
        <f t="shared" si="313"/>
        <v>Digital Payment</v>
      </c>
      <c r="P4020">
        <v>495.62</v>
      </c>
      <c r="Q4020" s="37" t="str">
        <f>IF(P4020&gt;500,"High","low")</f>
        <v>low</v>
      </c>
      <c r="R4020" s="37" t="str">
        <f t="shared" si="314"/>
        <v>AVERAGE</v>
      </c>
      <c r="S4020" t="s">
        <v>605</v>
      </c>
    </row>
    <row r="4021" spans="1:19" x14ac:dyDescent="0.2">
      <c r="A4021" t="s">
        <v>4632</v>
      </c>
      <c r="B4021" t="s">
        <v>67</v>
      </c>
      <c r="C4021" t="s">
        <v>597</v>
      </c>
      <c r="D4021">
        <v>2617.2600000000002</v>
      </c>
      <c r="E4021" s="37" t="str">
        <f t="shared" si="310"/>
        <v xml:space="preserve"> </v>
      </c>
      <c r="F4021">
        <v>0.35</v>
      </c>
      <c r="G4021" s="37" t="str">
        <f t="shared" si="311"/>
        <v>Heavy Discount</v>
      </c>
      <c r="H4021" s="37" t="str">
        <f t="shared" si="312"/>
        <v>Medium</v>
      </c>
      <c r="I4021">
        <v>9</v>
      </c>
      <c r="J4021" t="str" cm="1">
        <f t="array" ref="J4021">_xlfn.IFS(I4021&lt;=3,"small",I4021&lt;=6,"Medium",I4021&lt;=9,"Large")</f>
        <v>Large</v>
      </c>
      <c r="K4021" s="36">
        <v>45124</v>
      </c>
      <c r="L4021" s="36">
        <v>45131</v>
      </c>
      <c r="M4021" t="s">
        <v>603</v>
      </c>
      <c r="N4021" t="s">
        <v>599</v>
      </c>
      <c r="O4021" s="37" t="str">
        <f t="shared" si="313"/>
        <v>Digital Payment</v>
      </c>
      <c r="P4021">
        <v>167.25</v>
      </c>
      <c r="Q4021" s="37" t="str">
        <f>IF(P4021&gt;500,"High","low")</f>
        <v>low</v>
      </c>
      <c r="R4021" s="37" t="str">
        <f t="shared" si="314"/>
        <v>AVERAGE</v>
      </c>
      <c r="S4021" t="s">
        <v>609</v>
      </c>
    </row>
    <row r="4022" spans="1:19" x14ac:dyDescent="0.2">
      <c r="A4022" t="s">
        <v>4633</v>
      </c>
      <c r="B4022" t="s">
        <v>67</v>
      </c>
      <c r="C4022" t="s">
        <v>597</v>
      </c>
      <c r="D4022">
        <v>1437.07</v>
      </c>
      <c r="E4022" s="37" t="str">
        <f t="shared" si="310"/>
        <v xml:space="preserve"> </v>
      </c>
      <c r="F4022">
        <v>0.48</v>
      </c>
      <c r="G4022" s="37" t="str">
        <f t="shared" si="311"/>
        <v>Heavy Discount</v>
      </c>
      <c r="H4022" s="37" t="str">
        <f t="shared" si="312"/>
        <v>High</v>
      </c>
      <c r="I4022">
        <v>9</v>
      </c>
      <c r="J4022" t="str" cm="1">
        <f t="array" ref="J4022">_xlfn.IFS(I4022&lt;=3,"small",I4022&lt;=6,"Medium",I4022&lt;=9,"Large")</f>
        <v>Large</v>
      </c>
      <c r="K4022" s="36">
        <v>45250</v>
      </c>
      <c r="L4022" s="36">
        <v>45254</v>
      </c>
      <c r="M4022" t="s">
        <v>603</v>
      </c>
      <c r="N4022" t="s">
        <v>604</v>
      </c>
      <c r="O4022" s="37" t="str">
        <f t="shared" si="313"/>
        <v>Digital Payment</v>
      </c>
      <c r="P4022">
        <v>219.85</v>
      </c>
      <c r="Q4022" s="37" t="str">
        <f>IF(P4022&gt;500,"High","low")</f>
        <v>low</v>
      </c>
      <c r="R4022" s="37" t="str">
        <f t="shared" si="314"/>
        <v>AVERAGE</v>
      </c>
      <c r="S4022" t="s">
        <v>628</v>
      </c>
    </row>
    <row r="4023" spans="1:19" x14ac:dyDescent="0.2">
      <c r="A4023" t="s">
        <v>4634</v>
      </c>
      <c r="B4023" t="s">
        <v>90</v>
      </c>
      <c r="C4023" t="s">
        <v>617</v>
      </c>
      <c r="D4023">
        <v>1129.52</v>
      </c>
      <c r="E4023" s="37" t="str">
        <f t="shared" si="310"/>
        <v xml:space="preserve"> </v>
      </c>
      <c r="F4023">
        <v>0.21</v>
      </c>
      <c r="G4023" s="37" t="str">
        <f t="shared" si="311"/>
        <v>Normal Discount</v>
      </c>
      <c r="H4023" s="37" t="str">
        <f t="shared" si="312"/>
        <v>Medium</v>
      </c>
      <c r="I4023">
        <v>5</v>
      </c>
      <c r="J4023" t="str" cm="1">
        <f t="array" ref="J4023">_xlfn.IFS(I4023&lt;=3,"small",I4023&lt;=6,"Medium",I4023&lt;=9,"Large")</f>
        <v>Medium</v>
      </c>
      <c r="K4023" s="36">
        <v>45410</v>
      </c>
      <c r="L4023" s="36">
        <v>45411</v>
      </c>
      <c r="M4023" t="s">
        <v>598</v>
      </c>
      <c r="N4023" t="s">
        <v>608</v>
      </c>
      <c r="O4023" s="37" t="str">
        <f t="shared" si="313"/>
        <v>Cash Payment</v>
      </c>
      <c r="P4023">
        <v>331.11</v>
      </c>
      <c r="Q4023" s="37" t="str">
        <f>IF(P4023&gt;500,"High","low")</f>
        <v>low</v>
      </c>
      <c r="R4023" s="37" t="str">
        <f t="shared" si="314"/>
        <v>AVERAGE</v>
      </c>
      <c r="S4023" t="s">
        <v>605</v>
      </c>
    </row>
    <row r="4024" spans="1:19" x14ac:dyDescent="0.2">
      <c r="A4024" t="s">
        <v>4635</v>
      </c>
      <c r="B4024" t="s">
        <v>67</v>
      </c>
      <c r="C4024" t="s">
        <v>607</v>
      </c>
      <c r="D4024">
        <v>1546.88</v>
      </c>
      <c r="E4024" s="37" t="str">
        <f t="shared" si="310"/>
        <v xml:space="preserve"> </v>
      </c>
      <c r="F4024">
        <v>0.45</v>
      </c>
      <c r="G4024" s="37" t="str">
        <f t="shared" si="311"/>
        <v>Heavy Discount</v>
      </c>
      <c r="H4024" s="37" t="str">
        <f t="shared" si="312"/>
        <v>High</v>
      </c>
      <c r="I4024">
        <v>6</v>
      </c>
      <c r="J4024" t="str" cm="1">
        <f t="array" ref="J4024">_xlfn.IFS(I4024&lt;=3,"small",I4024&lt;=6,"Medium",I4024&lt;=9,"Large")</f>
        <v>Medium</v>
      </c>
      <c r="K4024" s="36">
        <v>45111</v>
      </c>
      <c r="L4024" s="36">
        <v>45117</v>
      </c>
      <c r="M4024" t="s">
        <v>598</v>
      </c>
      <c r="N4024" t="s">
        <v>608</v>
      </c>
      <c r="O4024" s="37" t="str">
        <f t="shared" si="313"/>
        <v>Cash Payment</v>
      </c>
      <c r="P4024">
        <v>327.2</v>
      </c>
      <c r="Q4024" s="37" t="str">
        <f>IF(P4024&gt;500,"High","low")</f>
        <v>low</v>
      </c>
      <c r="R4024" s="37" t="str">
        <f t="shared" si="314"/>
        <v>AVERAGE</v>
      </c>
      <c r="S4024" t="s">
        <v>609</v>
      </c>
    </row>
    <row r="4025" spans="1:19" x14ac:dyDescent="0.2">
      <c r="A4025" t="s">
        <v>4636</v>
      </c>
      <c r="B4025" t="s">
        <v>83</v>
      </c>
      <c r="C4025" t="s">
        <v>614</v>
      </c>
      <c r="D4025">
        <v>4255.54</v>
      </c>
      <c r="E4025" s="37" t="str">
        <f t="shared" si="310"/>
        <v>Excellent Order</v>
      </c>
      <c r="F4025">
        <v>0.28000000000000003</v>
      </c>
      <c r="G4025" s="37" t="str">
        <f t="shared" si="311"/>
        <v>Normal Discount</v>
      </c>
      <c r="H4025" s="37" t="str">
        <f t="shared" si="312"/>
        <v>Medium</v>
      </c>
      <c r="I4025">
        <v>1</v>
      </c>
      <c r="J4025" t="str" cm="1">
        <f t="array" ref="J4025">_xlfn.IFS(I4025&lt;=3,"small",I4025&lt;=6,"Medium",I4025&lt;=9,"Large")</f>
        <v>small</v>
      </c>
      <c r="K4025" s="36">
        <v>45459</v>
      </c>
      <c r="L4025" s="36">
        <v>45460</v>
      </c>
      <c r="M4025" t="s">
        <v>603</v>
      </c>
      <c r="N4025" t="s">
        <v>599</v>
      </c>
      <c r="O4025" s="37" t="str">
        <f t="shared" si="313"/>
        <v>Digital Payment</v>
      </c>
      <c r="P4025">
        <v>1040.22</v>
      </c>
      <c r="Q4025" s="37" t="str">
        <f>IF(P4025&gt;500,"High","low")</f>
        <v>High</v>
      </c>
      <c r="R4025" s="37" t="str">
        <f t="shared" si="314"/>
        <v>Excellent</v>
      </c>
      <c r="S4025" t="s">
        <v>628</v>
      </c>
    </row>
    <row r="4026" spans="1:19" x14ac:dyDescent="0.2">
      <c r="A4026" t="s">
        <v>4637</v>
      </c>
      <c r="B4026" t="s">
        <v>83</v>
      </c>
      <c r="C4026" t="s">
        <v>602</v>
      </c>
      <c r="D4026">
        <v>1964.12</v>
      </c>
      <c r="E4026" s="37" t="str">
        <f t="shared" si="310"/>
        <v xml:space="preserve"> </v>
      </c>
      <c r="F4026">
        <v>0.24</v>
      </c>
      <c r="G4026" s="37" t="str">
        <f t="shared" si="311"/>
        <v>Normal Discount</v>
      </c>
      <c r="H4026" s="37" t="str">
        <f t="shared" si="312"/>
        <v>Medium</v>
      </c>
      <c r="I4026">
        <v>4</v>
      </c>
      <c r="J4026" t="str" cm="1">
        <f t="array" ref="J4026">_xlfn.IFS(I4026&lt;=3,"small",I4026&lt;=6,"Medium",I4026&lt;=9,"Large")</f>
        <v>Medium</v>
      </c>
      <c r="K4026" s="36">
        <v>44943</v>
      </c>
      <c r="L4026" s="36">
        <v>44944</v>
      </c>
      <c r="M4026" t="s">
        <v>598</v>
      </c>
      <c r="N4026" t="s">
        <v>604</v>
      </c>
      <c r="O4026" s="37" t="str">
        <f t="shared" si="313"/>
        <v>Digital Payment</v>
      </c>
      <c r="P4026">
        <v>147.9</v>
      </c>
      <c r="Q4026" s="37" t="str">
        <f>IF(P4026&gt;500,"High","low")</f>
        <v>low</v>
      </c>
      <c r="R4026" s="37" t="str">
        <f t="shared" si="314"/>
        <v>AVERAGE</v>
      </c>
      <c r="S4026" t="s">
        <v>620</v>
      </c>
    </row>
    <row r="4027" spans="1:19" x14ac:dyDescent="0.2">
      <c r="A4027" t="s">
        <v>4638</v>
      </c>
      <c r="B4027" t="s">
        <v>90</v>
      </c>
      <c r="C4027" t="s">
        <v>597</v>
      </c>
      <c r="D4027">
        <v>1504.65</v>
      </c>
      <c r="E4027" s="37" t="str">
        <f t="shared" si="310"/>
        <v xml:space="preserve"> </v>
      </c>
      <c r="F4027">
        <v>0.15</v>
      </c>
      <c r="G4027" s="37" t="str">
        <f t="shared" si="311"/>
        <v>Normal Discount</v>
      </c>
      <c r="H4027" s="37" t="str">
        <f t="shared" si="312"/>
        <v>Low</v>
      </c>
      <c r="I4027">
        <v>1</v>
      </c>
      <c r="J4027" t="str" cm="1">
        <f t="array" ref="J4027">_xlfn.IFS(I4027&lt;=3,"small",I4027&lt;=6,"Medium",I4027&lt;=9,"Large")</f>
        <v>small</v>
      </c>
      <c r="K4027" s="36">
        <v>45005</v>
      </c>
      <c r="L4027" s="36">
        <v>45011</v>
      </c>
      <c r="M4027" t="s">
        <v>603</v>
      </c>
      <c r="N4027" t="s">
        <v>604</v>
      </c>
      <c r="O4027" s="37" t="str">
        <f t="shared" si="313"/>
        <v>Digital Payment</v>
      </c>
      <c r="P4027">
        <v>274.2</v>
      </c>
      <c r="Q4027" s="37" t="str">
        <f>IF(P4027&gt;500,"High","low")</f>
        <v>low</v>
      </c>
      <c r="R4027" s="37" t="str">
        <f t="shared" si="314"/>
        <v>AVERAGE</v>
      </c>
      <c r="S4027" t="s">
        <v>605</v>
      </c>
    </row>
    <row r="4028" spans="1:19" x14ac:dyDescent="0.2">
      <c r="A4028" t="s">
        <v>4639</v>
      </c>
      <c r="B4028" t="s">
        <v>75</v>
      </c>
      <c r="C4028" t="s">
        <v>607</v>
      </c>
      <c r="D4028">
        <v>4048.85</v>
      </c>
      <c r="E4028" s="37" t="str">
        <f t="shared" si="310"/>
        <v>Excellent Order</v>
      </c>
      <c r="F4028">
        <v>0.28000000000000003</v>
      </c>
      <c r="G4028" s="37" t="str">
        <f t="shared" si="311"/>
        <v>Normal Discount</v>
      </c>
      <c r="H4028" s="37" t="str">
        <f t="shared" si="312"/>
        <v>Medium</v>
      </c>
      <c r="I4028">
        <v>4</v>
      </c>
      <c r="J4028" t="str" cm="1">
        <f t="array" ref="J4028">_xlfn.IFS(I4028&lt;=3,"small",I4028&lt;=6,"Medium",I4028&lt;=9,"Large")</f>
        <v>Medium</v>
      </c>
      <c r="K4028" s="36">
        <v>44953</v>
      </c>
      <c r="L4028" s="36">
        <v>44958</v>
      </c>
      <c r="M4028" t="s">
        <v>603</v>
      </c>
      <c r="N4028" t="s">
        <v>599</v>
      </c>
      <c r="O4028" s="37" t="str">
        <f t="shared" si="313"/>
        <v>Digital Payment</v>
      </c>
      <c r="P4028">
        <v>1089.8800000000001</v>
      </c>
      <c r="Q4028" s="37" t="str">
        <f>IF(P4028&gt;500,"High","low")</f>
        <v>High</v>
      </c>
      <c r="R4028" s="37" t="str">
        <f t="shared" si="314"/>
        <v>Excellent</v>
      </c>
      <c r="S4028" t="s">
        <v>615</v>
      </c>
    </row>
    <row r="4029" spans="1:19" x14ac:dyDescent="0.2">
      <c r="A4029" t="s">
        <v>4640</v>
      </c>
      <c r="B4029" t="s">
        <v>75</v>
      </c>
      <c r="C4029" t="s">
        <v>607</v>
      </c>
      <c r="D4029">
        <v>256.41000000000003</v>
      </c>
      <c r="E4029" s="37" t="str">
        <f t="shared" si="310"/>
        <v xml:space="preserve"> </v>
      </c>
      <c r="F4029">
        <v>0.28999999999999998</v>
      </c>
      <c r="G4029" s="37" t="str">
        <f t="shared" si="311"/>
        <v>Normal Discount</v>
      </c>
      <c r="H4029" s="37" t="str">
        <f t="shared" si="312"/>
        <v>Medium</v>
      </c>
      <c r="I4029">
        <v>1</v>
      </c>
      <c r="J4029" t="str" cm="1">
        <f t="array" ref="J4029">_xlfn.IFS(I4029&lt;=3,"small",I4029&lt;=6,"Medium",I4029&lt;=9,"Large")</f>
        <v>small</v>
      </c>
      <c r="K4029" s="36">
        <v>45605</v>
      </c>
      <c r="L4029" s="36">
        <v>45611</v>
      </c>
      <c r="M4029" t="s">
        <v>598</v>
      </c>
      <c r="N4029" t="s">
        <v>604</v>
      </c>
      <c r="O4029" s="37" t="str">
        <f t="shared" si="313"/>
        <v>Digital Payment</v>
      </c>
      <c r="P4029">
        <v>69.22</v>
      </c>
      <c r="Q4029" s="37" t="str">
        <f>IF(P4029&gt;500,"High","low")</f>
        <v>low</v>
      </c>
      <c r="R4029" s="37" t="str">
        <f t="shared" si="314"/>
        <v>AVERAGE</v>
      </c>
      <c r="S4029" t="s">
        <v>600</v>
      </c>
    </row>
    <row r="4030" spans="1:19" x14ac:dyDescent="0.2">
      <c r="A4030" t="s">
        <v>4641</v>
      </c>
      <c r="B4030" t="s">
        <v>67</v>
      </c>
      <c r="C4030" t="s">
        <v>602</v>
      </c>
      <c r="D4030">
        <v>3010.4</v>
      </c>
      <c r="E4030" s="37" t="str">
        <f t="shared" si="310"/>
        <v xml:space="preserve"> </v>
      </c>
      <c r="F4030">
        <v>0.45</v>
      </c>
      <c r="G4030" s="37" t="str">
        <f t="shared" si="311"/>
        <v>Heavy Discount</v>
      </c>
      <c r="H4030" s="37" t="str">
        <f t="shared" si="312"/>
        <v>High</v>
      </c>
      <c r="I4030">
        <v>4</v>
      </c>
      <c r="J4030" t="str" cm="1">
        <f t="array" ref="J4030">_xlfn.IFS(I4030&lt;=3,"small",I4030&lt;=6,"Medium",I4030&lt;=9,"Large")</f>
        <v>Medium</v>
      </c>
      <c r="K4030" s="36">
        <v>45265</v>
      </c>
      <c r="L4030" s="36">
        <v>45267</v>
      </c>
      <c r="M4030" t="s">
        <v>603</v>
      </c>
      <c r="N4030" t="s">
        <v>599</v>
      </c>
      <c r="O4030" s="37" t="str">
        <f t="shared" si="313"/>
        <v>Digital Payment</v>
      </c>
      <c r="P4030">
        <v>887.73</v>
      </c>
      <c r="Q4030" s="37" t="str">
        <f>IF(P4030&gt;500,"High","low")</f>
        <v>High</v>
      </c>
      <c r="R4030" s="37" t="str">
        <f t="shared" si="314"/>
        <v>Good</v>
      </c>
      <c r="S4030" t="s">
        <v>615</v>
      </c>
    </row>
    <row r="4031" spans="1:19" x14ac:dyDescent="0.2">
      <c r="A4031" t="s">
        <v>4642</v>
      </c>
      <c r="B4031" t="s">
        <v>83</v>
      </c>
      <c r="C4031" t="s">
        <v>602</v>
      </c>
      <c r="D4031">
        <v>4380.8</v>
      </c>
      <c r="E4031" s="37" t="str">
        <f t="shared" si="310"/>
        <v>Excellent Order</v>
      </c>
      <c r="F4031">
        <v>0.35</v>
      </c>
      <c r="G4031" s="37" t="str">
        <f t="shared" si="311"/>
        <v>Heavy Discount</v>
      </c>
      <c r="H4031" s="37" t="str">
        <f t="shared" si="312"/>
        <v>Medium</v>
      </c>
      <c r="I4031">
        <v>6</v>
      </c>
      <c r="J4031" t="str" cm="1">
        <f t="array" ref="J4031">_xlfn.IFS(I4031&lt;=3,"small",I4031&lt;=6,"Medium",I4031&lt;=9,"Large")</f>
        <v>Medium</v>
      </c>
      <c r="K4031" s="36">
        <v>45402</v>
      </c>
      <c r="L4031" s="36">
        <v>45408</v>
      </c>
      <c r="M4031" t="s">
        <v>603</v>
      </c>
      <c r="N4031" t="s">
        <v>604</v>
      </c>
      <c r="O4031" s="37" t="str">
        <f t="shared" si="313"/>
        <v>Digital Payment</v>
      </c>
      <c r="P4031">
        <v>1122.27</v>
      </c>
      <c r="Q4031" s="37" t="str">
        <f>IF(P4031&gt;500,"High","low")</f>
        <v>High</v>
      </c>
      <c r="R4031" s="37" t="str">
        <f t="shared" si="314"/>
        <v>Excellent</v>
      </c>
      <c r="S4031" t="s">
        <v>605</v>
      </c>
    </row>
    <row r="4032" spans="1:19" x14ac:dyDescent="0.2">
      <c r="A4032" t="s">
        <v>4643</v>
      </c>
      <c r="B4032" t="s">
        <v>75</v>
      </c>
      <c r="C4032" t="s">
        <v>607</v>
      </c>
      <c r="D4032">
        <v>2109.41</v>
      </c>
      <c r="E4032" s="37" t="str">
        <f t="shared" si="310"/>
        <v xml:space="preserve"> </v>
      </c>
      <c r="F4032">
        <v>0.41</v>
      </c>
      <c r="G4032" s="37" t="str">
        <f t="shared" si="311"/>
        <v>Heavy Discount</v>
      </c>
      <c r="H4032" s="37" t="str">
        <f t="shared" si="312"/>
        <v>High</v>
      </c>
      <c r="I4032">
        <v>9</v>
      </c>
      <c r="J4032" t="str" cm="1">
        <f t="array" ref="J4032">_xlfn.IFS(I4032&lt;=3,"small",I4032&lt;=6,"Medium",I4032&lt;=9,"Large")</f>
        <v>Large</v>
      </c>
      <c r="K4032" s="36">
        <v>45037</v>
      </c>
      <c r="L4032" s="36">
        <v>45038</v>
      </c>
      <c r="M4032" t="s">
        <v>603</v>
      </c>
      <c r="N4032" t="s">
        <v>608</v>
      </c>
      <c r="O4032" s="37" t="str">
        <f t="shared" si="313"/>
        <v>Cash Payment</v>
      </c>
      <c r="P4032">
        <v>566.39</v>
      </c>
      <c r="Q4032" s="37" t="str">
        <f>IF(P4032&gt;500,"High","low")</f>
        <v>High</v>
      </c>
      <c r="R4032" s="37" t="str">
        <f t="shared" si="314"/>
        <v>Good</v>
      </c>
      <c r="S4032" t="s">
        <v>628</v>
      </c>
    </row>
    <row r="4033" spans="1:19" x14ac:dyDescent="0.2">
      <c r="A4033" t="s">
        <v>4644</v>
      </c>
      <c r="B4033" t="s">
        <v>90</v>
      </c>
      <c r="C4033" t="s">
        <v>602</v>
      </c>
      <c r="D4033">
        <v>1419.66</v>
      </c>
      <c r="E4033" s="37" t="str">
        <f t="shared" si="310"/>
        <v xml:space="preserve"> </v>
      </c>
      <c r="F4033">
        <v>0.38</v>
      </c>
      <c r="G4033" s="37" t="str">
        <f t="shared" si="311"/>
        <v>Heavy Discount</v>
      </c>
      <c r="H4033" s="37" t="str">
        <f t="shared" si="312"/>
        <v>Medium</v>
      </c>
      <c r="I4033">
        <v>2</v>
      </c>
      <c r="J4033" t="str" cm="1">
        <f t="array" ref="J4033">_xlfn.IFS(I4033&lt;=3,"small",I4033&lt;=6,"Medium",I4033&lt;=9,"Large")</f>
        <v>small</v>
      </c>
      <c r="K4033" s="36">
        <v>45652</v>
      </c>
      <c r="L4033" s="36">
        <v>45659</v>
      </c>
      <c r="M4033" t="s">
        <v>603</v>
      </c>
      <c r="N4033" t="s">
        <v>604</v>
      </c>
      <c r="O4033" s="37" t="str">
        <f t="shared" si="313"/>
        <v>Digital Payment</v>
      </c>
      <c r="P4033">
        <v>143.84</v>
      </c>
      <c r="Q4033" s="37" t="str">
        <f>IF(P4033&gt;500,"High","low")</f>
        <v>low</v>
      </c>
      <c r="R4033" s="37" t="str">
        <f t="shared" si="314"/>
        <v>AVERAGE</v>
      </c>
      <c r="S4033" t="s">
        <v>609</v>
      </c>
    </row>
    <row r="4034" spans="1:19" x14ac:dyDescent="0.2">
      <c r="A4034" t="s">
        <v>4645</v>
      </c>
      <c r="B4034" t="s">
        <v>90</v>
      </c>
      <c r="C4034" t="s">
        <v>607</v>
      </c>
      <c r="D4034">
        <v>2509.37</v>
      </c>
      <c r="E4034" s="37" t="str">
        <f t="shared" si="310"/>
        <v xml:space="preserve"> </v>
      </c>
      <c r="F4034">
        <v>0.14000000000000001</v>
      </c>
      <c r="G4034" s="37" t="str">
        <f t="shared" si="311"/>
        <v>Normal Discount</v>
      </c>
      <c r="H4034" s="37" t="str">
        <f t="shared" si="312"/>
        <v>Low</v>
      </c>
      <c r="I4034">
        <v>2</v>
      </c>
      <c r="J4034" t="str" cm="1">
        <f t="array" ref="J4034">_xlfn.IFS(I4034&lt;=3,"small",I4034&lt;=6,"Medium",I4034&lt;=9,"Large")</f>
        <v>small</v>
      </c>
      <c r="K4034" s="36">
        <v>45297</v>
      </c>
      <c r="L4034" s="36">
        <v>45300</v>
      </c>
      <c r="M4034" t="s">
        <v>603</v>
      </c>
      <c r="N4034" t="s">
        <v>604</v>
      </c>
      <c r="O4034" s="37" t="str">
        <f t="shared" si="313"/>
        <v>Digital Payment</v>
      </c>
      <c r="P4034">
        <v>141.83000000000001</v>
      </c>
      <c r="Q4034" s="37" t="str">
        <f>IF(P4034&gt;500,"High","low")</f>
        <v>low</v>
      </c>
      <c r="R4034" s="37" t="str">
        <f t="shared" si="314"/>
        <v>AVERAGE</v>
      </c>
      <c r="S4034" t="s">
        <v>628</v>
      </c>
    </row>
    <row r="4035" spans="1:19" x14ac:dyDescent="0.2">
      <c r="A4035" t="s">
        <v>4646</v>
      </c>
      <c r="B4035" t="s">
        <v>83</v>
      </c>
      <c r="C4035" t="s">
        <v>602</v>
      </c>
      <c r="D4035">
        <v>3615.64</v>
      </c>
      <c r="E4035" s="37" t="str">
        <f t="shared" ref="E4035:E4098" si="315">IF(AND(D4035&gt;4000,P4035&gt;800),"Excellent Order"," ")</f>
        <v xml:space="preserve"> </v>
      </c>
      <c r="F4035">
        <v>0.1</v>
      </c>
      <c r="G4035" s="37" t="str">
        <f t="shared" ref="G4035:G4098" si="316">IF(F4035&gt;30%,"Heavy Discount","Normal Discount")</f>
        <v>Normal Discount</v>
      </c>
      <c r="H4035" s="37" t="str">
        <f t="shared" ref="H4035:H4098" si="317">IF(F4035&gt;0.4,"High",IF(F4035&gt;=0.2,"Medium","Low"))</f>
        <v>Low</v>
      </c>
      <c r="I4035">
        <v>6</v>
      </c>
      <c r="J4035" t="str" cm="1">
        <f t="array" ref="J4035">_xlfn.IFS(I4035&lt;=3,"small",I4035&lt;=6,"Medium",I4035&lt;=9,"Large")</f>
        <v>Medium</v>
      </c>
      <c r="K4035" s="36">
        <v>45295</v>
      </c>
      <c r="L4035" s="36">
        <v>45300</v>
      </c>
      <c r="M4035" t="s">
        <v>603</v>
      </c>
      <c r="N4035" t="s">
        <v>608</v>
      </c>
      <c r="O4035" s="37" t="str">
        <f t="shared" ref="O4035:O4098" si="318">IF(OR(N4035="Card",N4035="UPI"),"Digital Payment","Cash Payment")</f>
        <v>Cash Payment</v>
      </c>
      <c r="P4035">
        <v>773.32</v>
      </c>
      <c r="Q4035" s="37" t="str">
        <f>IF(P4035&gt;500,"High","low")</f>
        <v>High</v>
      </c>
      <c r="R4035" s="37" t="str">
        <f t="shared" ref="R4035:R4098" si="319">IF(P4035&gt;1000,"Excellent",IF(P4035&gt;=500,"Good","AVERAGE"))</f>
        <v>Good</v>
      </c>
      <c r="S4035" t="s">
        <v>605</v>
      </c>
    </row>
    <row r="4036" spans="1:19" x14ac:dyDescent="0.2">
      <c r="A4036" t="s">
        <v>4647</v>
      </c>
      <c r="B4036" t="s">
        <v>90</v>
      </c>
      <c r="C4036" t="s">
        <v>602</v>
      </c>
      <c r="D4036">
        <v>2631.37</v>
      </c>
      <c r="E4036" s="37" t="str">
        <f t="shared" si="315"/>
        <v xml:space="preserve"> </v>
      </c>
      <c r="F4036">
        <v>0.13</v>
      </c>
      <c r="G4036" s="37" t="str">
        <f t="shared" si="316"/>
        <v>Normal Discount</v>
      </c>
      <c r="H4036" s="37" t="str">
        <f t="shared" si="317"/>
        <v>Low</v>
      </c>
      <c r="I4036">
        <v>6</v>
      </c>
      <c r="J4036" t="str" cm="1">
        <f t="array" ref="J4036">_xlfn.IFS(I4036&lt;=3,"small",I4036&lt;=6,"Medium",I4036&lt;=9,"Large")</f>
        <v>Medium</v>
      </c>
      <c r="K4036" s="36">
        <v>45636</v>
      </c>
      <c r="L4036" s="36">
        <v>45638</v>
      </c>
      <c r="M4036" t="s">
        <v>612</v>
      </c>
      <c r="N4036" t="s">
        <v>608</v>
      </c>
      <c r="O4036" s="37" t="str">
        <f t="shared" si="318"/>
        <v>Cash Payment</v>
      </c>
      <c r="P4036">
        <v>585.37</v>
      </c>
      <c r="Q4036" s="37" t="str">
        <f>IF(P4036&gt;500,"High","low")</f>
        <v>High</v>
      </c>
      <c r="R4036" s="37" t="str">
        <f t="shared" si="319"/>
        <v>Good</v>
      </c>
      <c r="S4036" t="s">
        <v>605</v>
      </c>
    </row>
    <row r="4037" spans="1:19" x14ac:dyDescent="0.2">
      <c r="A4037" t="s">
        <v>4648</v>
      </c>
      <c r="B4037" t="s">
        <v>90</v>
      </c>
      <c r="C4037" t="s">
        <v>607</v>
      </c>
      <c r="D4037">
        <v>137.43</v>
      </c>
      <c r="E4037" s="37" t="str">
        <f t="shared" si="315"/>
        <v xml:space="preserve"> </v>
      </c>
      <c r="F4037">
        <v>7.0000000000000007E-2</v>
      </c>
      <c r="G4037" s="37" t="str">
        <f t="shared" si="316"/>
        <v>Normal Discount</v>
      </c>
      <c r="H4037" s="37" t="str">
        <f t="shared" si="317"/>
        <v>Low</v>
      </c>
      <c r="I4037">
        <v>3</v>
      </c>
      <c r="J4037" t="str" cm="1">
        <f t="array" ref="J4037">_xlfn.IFS(I4037&lt;=3,"small",I4037&lt;=6,"Medium",I4037&lt;=9,"Large")</f>
        <v>small</v>
      </c>
      <c r="K4037" s="36">
        <v>45405</v>
      </c>
      <c r="L4037" s="36">
        <v>45412</v>
      </c>
      <c r="M4037" t="s">
        <v>612</v>
      </c>
      <c r="N4037" t="s">
        <v>599</v>
      </c>
      <c r="O4037" s="37" t="str">
        <f t="shared" si="318"/>
        <v>Digital Payment</v>
      </c>
      <c r="P4037">
        <v>38.39</v>
      </c>
      <c r="Q4037" s="37" t="str">
        <f>IF(P4037&gt;500,"High","low")</f>
        <v>low</v>
      </c>
      <c r="R4037" s="37" t="str">
        <f t="shared" si="319"/>
        <v>AVERAGE</v>
      </c>
      <c r="S4037" t="s">
        <v>600</v>
      </c>
    </row>
    <row r="4038" spans="1:19" x14ac:dyDescent="0.2">
      <c r="A4038" t="s">
        <v>4649</v>
      </c>
      <c r="B4038" t="s">
        <v>83</v>
      </c>
      <c r="C4038" t="s">
        <v>617</v>
      </c>
      <c r="D4038">
        <v>483.79</v>
      </c>
      <c r="E4038" s="37" t="str">
        <f t="shared" si="315"/>
        <v xml:space="preserve"> </v>
      </c>
      <c r="F4038">
        <v>0.19</v>
      </c>
      <c r="G4038" s="37" t="str">
        <f t="shared" si="316"/>
        <v>Normal Discount</v>
      </c>
      <c r="H4038" s="37" t="str">
        <f t="shared" si="317"/>
        <v>Low</v>
      </c>
      <c r="I4038">
        <v>2</v>
      </c>
      <c r="J4038" t="str" cm="1">
        <f t="array" ref="J4038">_xlfn.IFS(I4038&lt;=3,"small",I4038&lt;=6,"Medium",I4038&lt;=9,"Large")</f>
        <v>small</v>
      </c>
      <c r="K4038" s="36">
        <v>45635</v>
      </c>
      <c r="L4038" s="36">
        <v>45637</v>
      </c>
      <c r="M4038" t="s">
        <v>603</v>
      </c>
      <c r="N4038" t="s">
        <v>604</v>
      </c>
      <c r="O4038" s="37" t="str">
        <f t="shared" si="318"/>
        <v>Digital Payment</v>
      </c>
      <c r="P4038">
        <v>91.58</v>
      </c>
      <c r="Q4038" s="37" t="str">
        <f>IF(P4038&gt;500,"High","low")</f>
        <v>low</v>
      </c>
      <c r="R4038" s="37" t="str">
        <f t="shared" si="319"/>
        <v>AVERAGE</v>
      </c>
      <c r="S4038" t="s">
        <v>605</v>
      </c>
    </row>
    <row r="4039" spans="1:19" x14ac:dyDescent="0.2">
      <c r="A4039" t="s">
        <v>4650</v>
      </c>
      <c r="B4039" t="s">
        <v>67</v>
      </c>
      <c r="C4039" t="s">
        <v>607</v>
      </c>
      <c r="D4039">
        <v>3634.51</v>
      </c>
      <c r="E4039" s="37" t="str">
        <f t="shared" si="315"/>
        <v xml:space="preserve"> </v>
      </c>
      <c r="F4039">
        <v>0.33</v>
      </c>
      <c r="G4039" s="37" t="str">
        <f t="shared" si="316"/>
        <v>Heavy Discount</v>
      </c>
      <c r="H4039" s="37" t="str">
        <f t="shared" si="317"/>
        <v>Medium</v>
      </c>
      <c r="I4039">
        <v>3</v>
      </c>
      <c r="J4039" t="str" cm="1">
        <f t="array" ref="J4039">_xlfn.IFS(I4039&lt;=3,"small",I4039&lt;=6,"Medium",I4039&lt;=9,"Large")</f>
        <v>small</v>
      </c>
      <c r="K4039" s="36">
        <v>44939</v>
      </c>
      <c r="L4039" s="36">
        <v>44946</v>
      </c>
      <c r="M4039" t="s">
        <v>603</v>
      </c>
      <c r="N4039" t="s">
        <v>604</v>
      </c>
      <c r="O4039" s="37" t="str">
        <f t="shared" si="318"/>
        <v>Digital Payment</v>
      </c>
      <c r="P4039">
        <v>567.05999999999995</v>
      </c>
      <c r="Q4039" s="37" t="str">
        <f>IF(P4039&gt;500,"High","low")</f>
        <v>High</v>
      </c>
      <c r="R4039" s="37" t="str">
        <f t="shared" si="319"/>
        <v>Good</v>
      </c>
      <c r="S4039" t="s">
        <v>615</v>
      </c>
    </row>
    <row r="4040" spans="1:19" x14ac:dyDescent="0.2">
      <c r="A4040" t="s">
        <v>4651</v>
      </c>
      <c r="B4040" t="s">
        <v>67</v>
      </c>
      <c r="C4040" t="s">
        <v>614</v>
      </c>
      <c r="D4040">
        <v>2059.7600000000002</v>
      </c>
      <c r="E4040" s="37" t="str">
        <f t="shared" si="315"/>
        <v xml:space="preserve"> </v>
      </c>
      <c r="F4040">
        <v>0.27</v>
      </c>
      <c r="G4040" s="37" t="str">
        <f t="shared" si="316"/>
        <v>Normal Discount</v>
      </c>
      <c r="H4040" s="37" t="str">
        <f t="shared" si="317"/>
        <v>Medium</v>
      </c>
      <c r="I4040">
        <v>4</v>
      </c>
      <c r="J4040" t="str" cm="1">
        <f t="array" ref="J4040">_xlfn.IFS(I4040&lt;=3,"small",I4040&lt;=6,"Medium",I4040&lt;=9,"Large")</f>
        <v>Medium</v>
      </c>
      <c r="K4040" s="36">
        <v>45551</v>
      </c>
      <c r="L4040" s="36">
        <v>45556</v>
      </c>
      <c r="M4040" t="s">
        <v>603</v>
      </c>
      <c r="N4040" t="s">
        <v>599</v>
      </c>
      <c r="O4040" s="37" t="str">
        <f t="shared" si="318"/>
        <v>Digital Payment</v>
      </c>
      <c r="P4040">
        <v>584.13</v>
      </c>
      <c r="Q4040" s="37" t="str">
        <f>IF(P4040&gt;500,"High","low")</f>
        <v>High</v>
      </c>
      <c r="R4040" s="37" t="str">
        <f t="shared" si="319"/>
        <v>Good</v>
      </c>
      <c r="S4040" t="s">
        <v>615</v>
      </c>
    </row>
    <row r="4041" spans="1:19" x14ac:dyDescent="0.2">
      <c r="A4041" t="s">
        <v>4652</v>
      </c>
      <c r="B4041" t="s">
        <v>90</v>
      </c>
      <c r="C4041" t="s">
        <v>602</v>
      </c>
      <c r="D4041">
        <v>3945.4</v>
      </c>
      <c r="E4041" s="37" t="str">
        <f t="shared" si="315"/>
        <v xml:space="preserve"> </v>
      </c>
      <c r="F4041">
        <v>0.34</v>
      </c>
      <c r="G4041" s="37" t="str">
        <f t="shared" si="316"/>
        <v>Heavy Discount</v>
      </c>
      <c r="H4041" s="37" t="str">
        <f t="shared" si="317"/>
        <v>Medium</v>
      </c>
      <c r="I4041">
        <v>4</v>
      </c>
      <c r="J4041" t="str" cm="1">
        <f t="array" ref="J4041">_xlfn.IFS(I4041&lt;=3,"small",I4041&lt;=6,"Medium",I4041&lt;=9,"Large")</f>
        <v>Medium</v>
      </c>
      <c r="K4041" s="36">
        <v>45536</v>
      </c>
      <c r="L4041" s="36">
        <v>45539</v>
      </c>
      <c r="M4041" t="s">
        <v>598</v>
      </c>
      <c r="N4041" t="s">
        <v>608</v>
      </c>
      <c r="O4041" s="37" t="str">
        <f t="shared" si="318"/>
        <v>Cash Payment</v>
      </c>
      <c r="P4041">
        <v>393.51</v>
      </c>
      <c r="Q4041" s="37" t="str">
        <f>IF(P4041&gt;500,"High","low")</f>
        <v>low</v>
      </c>
      <c r="R4041" s="37" t="str">
        <f t="shared" si="319"/>
        <v>AVERAGE</v>
      </c>
      <c r="S4041" t="s">
        <v>605</v>
      </c>
    </row>
    <row r="4042" spans="1:19" x14ac:dyDescent="0.2">
      <c r="A4042" t="s">
        <v>4653</v>
      </c>
      <c r="B4042" t="s">
        <v>67</v>
      </c>
      <c r="C4042" t="s">
        <v>597</v>
      </c>
      <c r="D4042">
        <v>3282.5</v>
      </c>
      <c r="E4042" s="37" t="str">
        <f t="shared" si="315"/>
        <v xml:space="preserve"> </v>
      </c>
      <c r="F4042">
        <v>0.18</v>
      </c>
      <c r="G4042" s="37" t="str">
        <f t="shared" si="316"/>
        <v>Normal Discount</v>
      </c>
      <c r="H4042" s="37" t="str">
        <f t="shared" si="317"/>
        <v>Low</v>
      </c>
      <c r="I4042">
        <v>7</v>
      </c>
      <c r="J4042" t="str" cm="1">
        <f t="array" ref="J4042">_xlfn.IFS(I4042&lt;=3,"small",I4042&lt;=6,"Medium",I4042&lt;=9,"Large")</f>
        <v>Large</v>
      </c>
      <c r="K4042" s="36">
        <v>45576</v>
      </c>
      <c r="L4042" s="36">
        <v>45580</v>
      </c>
      <c r="M4042" t="s">
        <v>598</v>
      </c>
      <c r="N4042" t="s">
        <v>604</v>
      </c>
      <c r="O4042" s="37" t="str">
        <f t="shared" si="318"/>
        <v>Digital Payment</v>
      </c>
      <c r="P4042">
        <v>548.73</v>
      </c>
      <c r="Q4042" s="37" t="str">
        <f>IF(P4042&gt;500,"High","low")</f>
        <v>High</v>
      </c>
      <c r="R4042" s="37" t="str">
        <f t="shared" si="319"/>
        <v>Good</v>
      </c>
      <c r="S4042" t="s">
        <v>605</v>
      </c>
    </row>
    <row r="4043" spans="1:19" x14ac:dyDescent="0.2">
      <c r="A4043" t="s">
        <v>4654</v>
      </c>
      <c r="B4043" t="s">
        <v>67</v>
      </c>
      <c r="C4043" t="s">
        <v>602</v>
      </c>
      <c r="D4043">
        <v>2949.43</v>
      </c>
      <c r="E4043" s="37" t="str">
        <f t="shared" si="315"/>
        <v xml:space="preserve"> </v>
      </c>
      <c r="F4043">
        <v>0.1</v>
      </c>
      <c r="G4043" s="37" t="str">
        <f t="shared" si="316"/>
        <v>Normal Discount</v>
      </c>
      <c r="H4043" s="37" t="str">
        <f t="shared" si="317"/>
        <v>Low</v>
      </c>
      <c r="I4043">
        <v>4</v>
      </c>
      <c r="J4043" t="str" cm="1">
        <f t="array" ref="J4043">_xlfn.IFS(I4043&lt;=3,"small",I4043&lt;=6,"Medium",I4043&lt;=9,"Large")</f>
        <v>Medium</v>
      </c>
      <c r="K4043" s="36">
        <v>45494</v>
      </c>
      <c r="L4043" s="36">
        <v>45499</v>
      </c>
      <c r="M4043" t="s">
        <v>612</v>
      </c>
      <c r="N4043" t="s">
        <v>599</v>
      </c>
      <c r="O4043" s="37" t="str">
        <f t="shared" si="318"/>
        <v>Digital Payment</v>
      </c>
      <c r="P4043">
        <v>179.54</v>
      </c>
      <c r="Q4043" s="37" t="str">
        <f>IF(P4043&gt;500,"High","low")</f>
        <v>low</v>
      </c>
      <c r="R4043" s="37" t="str">
        <f t="shared" si="319"/>
        <v>AVERAGE</v>
      </c>
      <c r="S4043" t="s">
        <v>605</v>
      </c>
    </row>
    <row r="4044" spans="1:19" x14ac:dyDescent="0.2">
      <c r="A4044" t="s">
        <v>4655</v>
      </c>
      <c r="B4044" t="s">
        <v>90</v>
      </c>
      <c r="C4044" t="s">
        <v>614</v>
      </c>
      <c r="D4044">
        <v>4516.74</v>
      </c>
      <c r="E4044" s="37" t="str">
        <f t="shared" si="315"/>
        <v>Excellent Order</v>
      </c>
      <c r="F4044">
        <v>0.1</v>
      </c>
      <c r="G4044" s="37" t="str">
        <f t="shared" si="316"/>
        <v>Normal Discount</v>
      </c>
      <c r="H4044" s="37" t="str">
        <f t="shared" si="317"/>
        <v>Low</v>
      </c>
      <c r="I4044">
        <v>6</v>
      </c>
      <c r="J4044" t="str" cm="1">
        <f t="array" ref="J4044">_xlfn.IFS(I4044&lt;=3,"small",I4044&lt;=6,"Medium",I4044&lt;=9,"Large")</f>
        <v>Medium</v>
      </c>
      <c r="K4044" s="36">
        <v>45030</v>
      </c>
      <c r="L4044" s="36">
        <v>45032</v>
      </c>
      <c r="M4044" t="s">
        <v>612</v>
      </c>
      <c r="N4044" t="s">
        <v>599</v>
      </c>
      <c r="O4044" s="37" t="str">
        <f t="shared" si="318"/>
        <v>Digital Payment</v>
      </c>
      <c r="P4044">
        <v>1123.1099999999999</v>
      </c>
      <c r="Q4044" s="37" t="str">
        <f>IF(P4044&gt;500,"High","low")</f>
        <v>High</v>
      </c>
      <c r="R4044" s="37" t="str">
        <f t="shared" si="319"/>
        <v>Excellent</v>
      </c>
      <c r="S4044" t="s">
        <v>620</v>
      </c>
    </row>
    <row r="4045" spans="1:19" x14ac:dyDescent="0.2">
      <c r="A4045" t="s">
        <v>4656</v>
      </c>
      <c r="B4045" t="s">
        <v>67</v>
      </c>
      <c r="C4045" t="s">
        <v>597</v>
      </c>
      <c r="D4045">
        <v>204.48</v>
      </c>
      <c r="E4045" s="37" t="str">
        <f t="shared" si="315"/>
        <v xml:space="preserve"> </v>
      </c>
      <c r="F4045">
        <v>0.3</v>
      </c>
      <c r="G4045" s="37" t="str">
        <f t="shared" si="316"/>
        <v>Normal Discount</v>
      </c>
      <c r="H4045" s="37" t="str">
        <f t="shared" si="317"/>
        <v>Medium</v>
      </c>
      <c r="I4045">
        <v>6</v>
      </c>
      <c r="J4045" t="str" cm="1">
        <f t="array" ref="J4045">_xlfn.IFS(I4045&lt;=3,"small",I4045&lt;=6,"Medium",I4045&lt;=9,"Large")</f>
        <v>Medium</v>
      </c>
      <c r="K4045" s="36">
        <v>45158</v>
      </c>
      <c r="L4045" s="36">
        <v>45162</v>
      </c>
      <c r="M4045" t="s">
        <v>612</v>
      </c>
      <c r="N4045" t="s">
        <v>604</v>
      </c>
      <c r="O4045" s="37" t="str">
        <f t="shared" si="318"/>
        <v>Digital Payment</v>
      </c>
      <c r="P4045">
        <v>42.11</v>
      </c>
      <c r="Q4045" s="37" t="str">
        <f>IF(P4045&gt;500,"High","low")</f>
        <v>low</v>
      </c>
      <c r="R4045" s="37" t="str">
        <f t="shared" si="319"/>
        <v>AVERAGE</v>
      </c>
      <c r="S4045" t="s">
        <v>628</v>
      </c>
    </row>
    <row r="4046" spans="1:19" x14ac:dyDescent="0.2">
      <c r="A4046" t="s">
        <v>4657</v>
      </c>
      <c r="B4046" t="s">
        <v>90</v>
      </c>
      <c r="C4046" t="s">
        <v>597</v>
      </c>
      <c r="D4046">
        <v>859.67</v>
      </c>
      <c r="E4046" s="37" t="str">
        <f t="shared" si="315"/>
        <v xml:space="preserve"> </v>
      </c>
      <c r="F4046">
        <v>0.08</v>
      </c>
      <c r="G4046" s="37" t="str">
        <f t="shared" si="316"/>
        <v>Normal Discount</v>
      </c>
      <c r="H4046" s="37" t="str">
        <f t="shared" si="317"/>
        <v>Low</v>
      </c>
      <c r="I4046">
        <v>3</v>
      </c>
      <c r="J4046" t="str" cm="1">
        <f t="array" ref="J4046">_xlfn.IFS(I4046&lt;=3,"small",I4046&lt;=6,"Medium",I4046&lt;=9,"Large")</f>
        <v>small</v>
      </c>
      <c r="K4046" s="36">
        <v>45098</v>
      </c>
      <c r="L4046" s="36">
        <v>45100</v>
      </c>
      <c r="M4046" t="s">
        <v>598</v>
      </c>
      <c r="N4046" t="s">
        <v>599</v>
      </c>
      <c r="O4046" s="37" t="str">
        <f t="shared" si="318"/>
        <v>Digital Payment</v>
      </c>
      <c r="P4046">
        <v>105.32</v>
      </c>
      <c r="Q4046" s="37" t="str">
        <f>IF(P4046&gt;500,"High","low")</f>
        <v>low</v>
      </c>
      <c r="R4046" s="37" t="str">
        <f t="shared" si="319"/>
        <v>AVERAGE</v>
      </c>
      <c r="S4046" t="s">
        <v>620</v>
      </c>
    </row>
    <row r="4047" spans="1:19" x14ac:dyDescent="0.2">
      <c r="A4047" t="s">
        <v>4658</v>
      </c>
      <c r="B4047" t="s">
        <v>75</v>
      </c>
      <c r="C4047" t="s">
        <v>607</v>
      </c>
      <c r="D4047">
        <v>3159.44</v>
      </c>
      <c r="E4047" s="37" t="str">
        <f t="shared" si="315"/>
        <v xml:space="preserve"> </v>
      </c>
      <c r="F4047">
        <v>0.2</v>
      </c>
      <c r="G4047" s="37" t="str">
        <f t="shared" si="316"/>
        <v>Normal Discount</v>
      </c>
      <c r="H4047" s="37" t="str">
        <f t="shared" si="317"/>
        <v>Medium</v>
      </c>
      <c r="I4047">
        <v>9</v>
      </c>
      <c r="J4047" t="str" cm="1">
        <f t="array" ref="J4047">_xlfn.IFS(I4047&lt;=3,"small",I4047&lt;=6,"Medium",I4047&lt;=9,"Large")</f>
        <v>Large</v>
      </c>
      <c r="K4047" s="36">
        <v>45466</v>
      </c>
      <c r="L4047" s="36">
        <v>45467</v>
      </c>
      <c r="M4047" t="s">
        <v>612</v>
      </c>
      <c r="N4047" t="s">
        <v>599</v>
      </c>
      <c r="O4047" s="37" t="str">
        <f t="shared" si="318"/>
        <v>Digital Payment</v>
      </c>
      <c r="P4047">
        <v>583.80999999999995</v>
      </c>
      <c r="Q4047" s="37" t="str">
        <f>IF(P4047&gt;500,"High","low")</f>
        <v>High</v>
      </c>
      <c r="R4047" s="37" t="str">
        <f t="shared" si="319"/>
        <v>Good</v>
      </c>
      <c r="S4047" t="s">
        <v>609</v>
      </c>
    </row>
    <row r="4048" spans="1:19" x14ac:dyDescent="0.2">
      <c r="A4048" t="s">
        <v>4659</v>
      </c>
      <c r="B4048" t="s">
        <v>83</v>
      </c>
      <c r="C4048" t="s">
        <v>617</v>
      </c>
      <c r="D4048">
        <v>422.56</v>
      </c>
      <c r="E4048" s="37" t="str">
        <f t="shared" si="315"/>
        <v xml:space="preserve"> </v>
      </c>
      <c r="F4048">
        <v>0.11</v>
      </c>
      <c r="G4048" s="37" t="str">
        <f t="shared" si="316"/>
        <v>Normal Discount</v>
      </c>
      <c r="H4048" s="37" t="str">
        <f t="shared" si="317"/>
        <v>Low</v>
      </c>
      <c r="I4048">
        <v>5</v>
      </c>
      <c r="J4048" t="str" cm="1">
        <f t="array" ref="J4048">_xlfn.IFS(I4048&lt;=3,"small",I4048&lt;=6,"Medium",I4048&lt;=9,"Large")</f>
        <v>Medium</v>
      </c>
      <c r="K4048" s="36">
        <v>45395</v>
      </c>
      <c r="L4048" s="36">
        <v>45402</v>
      </c>
      <c r="M4048" t="s">
        <v>603</v>
      </c>
      <c r="N4048" t="s">
        <v>599</v>
      </c>
      <c r="O4048" s="37" t="str">
        <f t="shared" si="318"/>
        <v>Digital Payment</v>
      </c>
      <c r="P4048">
        <v>93.72</v>
      </c>
      <c r="Q4048" s="37" t="str">
        <f>IF(P4048&gt;500,"High","low")</f>
        <v>low</v>
      </c>
      <c r="R4048" s="37" t="str">
        <f t="shared" si="319"/>
        <v>AVERAGE</v>
      </c>
      <c r="S4048" t="s">
        <v>620</v>
      </c>
    </row>
    <row r="4049" spans="1:19" x14ac:dyDescent="0.2">
      <c r="A4049" t="s">
        <v>4660</v>
      </c>
      <c r="B4049" t="s">
        <v>83</v>
      </c>
      <c r="C4049" t="s">
        <v>607</v>
      </c>
      <c r="D4049">
        <v>3260.36</v>
      </c>
      <c r="E4049" s="37" t="str">
        <f t="shared" si="315"/>
        <v xml:space="preserve"> </v>
      </c>
      <c r="F4049">
        <v>0.33</v>
      </c>
      <c r="G4049" s="37" t="str">
        <f t="shared" si="316"/>
        <v>Heavy Discount</v>
      </c>
      <c r="H4049" s="37" t="str">
        <f t="shared" si="317"/>
        <v>Medium</v>
      </c>
      <c r="I4049">
        <v>9</v>
      </c>
      <c r="J4049" t="str" cm="1">
        <f t="array" ref="J4049">_xlfn.IFS(I4049&lt;=3,"small",I4049&lt;=6,"Medium",I4049&lt;=9,"Large")</f>
        <v>Large</v>
      </c>
      <c r="K4049" s="36">
        <v>45218</v>
      </c>
      <c r="L4049" s="36">
        <v>45222</v>
      </c>
      <c r="M4049" t="s">
        <v>612</v>
      </c>
      <c r="N4049" t="s">
        <v>599</v>
      </c>
      <c r="O4049" s="37" t="str">
        <f t="shared" si="318"/>
        <v>Digital Payment</v>
      </c>
      <c r="P4049">
        <v>808.05</v>
      </c>
      <c r="Q4049" s="37" t="str">
        <f>IF(P4049&gt;500,"High","low")</f>
        <v>High</v>
      </c>
      <c r="R4049" s="37" t="str">
        <f t="shared" si="319"/>
        <v>Good</v>
      </c>
      <c r="S4049" t="s">
        <v>615</v>
      </c>
    </row>
    <row r="4050" spans="1:19" x14ac:dyDescent="0.2">
      <c r="A4050" t="s">
        <v>4661</v>
      </c>
      <c r="B4050" t="s">
        <v>67</v>
      </c>
      <c r="C4050" t="s">
        <v>597</v>
      </c>
      <c r="D4050">
        <v>4922.1899999999996</v>
      </c>
      <c r="E4050" s="37" t="str">
        <f t="shared" si="315"/>
        <v xml:space="preserve"> </v>
      </c>
      <c r="F4050">
        <v>0.31</v>
      </c>
      <c r="G4050" s="37" t="str">
        <f t="shared" si="316"/>
        <v>Heavy Discount</v>
      </c>
      <c r="H4050" s="37" t="str">
        <f t="shared" si="317"/>
        <v>Medium</v>
      </c>
      <c r="I4050">
        <v>6</v>
      </c>
      <c r="J4050" t="str" cm="1">
        <f t="array" ref="J4050">_xlfn.IFS(I4050&lt;=3,"small",I4050&lt;=6,"Medium",I4050&lt;=9,"Large")</f>
        <v>Medium</v>
      </c>
      <c r="K4050" s="36">
        <v>45530</v>
      </c>
      <c r="L4050" s="36">
        <v>45536</v>
      </c>
      <c r="M4050" t="s">
        <v>612</v>
      </c>
      <c r="N4050" t="s">
        <v>604</v>
      </c>
      <c r="O4050" s="37" t="str">
        <f t="shared" si="318"/>
        <v>Digital Payment</v>
      </c>
      <c r="P4050">
        <v>373.09</v>
      </c>
      <c r="Q4050" s="37" t="str">
        <f>IF(P4050&gt;500,"High","low")</f>
        <v>low</v>
      </c>
      <c r="R4050" s="37" t="str">
        <f t="shared" si="319"/>
        <v>AVERAGE</v>
      </c>
      <c r="S4050" t="s">
        <v>615</v>
      </c>
    </row>
    <row r="4051" spans="1:19" x14ac:dyDescent="0.2">
      <c r="A4051" t="s">
        <v>4662</v>
      </c>
      <c r="B4051" t="s">
        <v>67</v>
      </c>
      <c r="C4051" t="s">
        <v>597</v>
      </c>
      <c r="D4051">
        <v>4406.16</v>
      </c>
      <c r="E4051" s="37" t="str">
        <f t="shared" si="315"/>
        <v xml:space="preserve"> </v>
      </c>
      <c r="F4051">
        <v>0.19</v>
      </c>
      <c r="G4051" s="37" t="str">
        <f t="shared" si="316"/>
        <v>Normal Discount</v>
      </c>
      <c r="H4051" s="37" t="str">
        <f t="shared" si="317"/>
        <v>Low</v>
      </c>
      <c r="I4051">
        <v>6</v>
      </c>
      <c r="J4051" t="str" cm="1">
        <f t="array" ref="J4051">_xlfn.IFS(I4051&lt;=3,"small",I4051&lt;=6,"Medium",I4051&lt;=9,"Large")</f>
        <v>Medium</v>
      </c>
      <c r="K4051" s="36">
        <v>45131</v>
      </c>
      <c r="L4051" s="36">
        <v>45136</v>
      </c>
      <c r="M4051" t="s">
        <v>603</v>
      </c>
      <c r="N4051" t="s">
        <v>608</v>
      </c>
      <c r="O4051" s="37" t="str">
        <f t="shared" si="318"/>
        <v>Cash Payment</v>
      </c>
      <c r="P4051">
        <v>432.43</v>
      </c>
      <c r="Q4051" s="37" t="str">
        <f>IF(P4051&gt;500,"High","low")</f>
        <v>low</v>
      </c>
      <c r="R4051" s="37" t="str">
        <f t="shared" si="319"/>
        <v>AVERAGE</v>
      </c>
      <c r="S4051" t="s">
        <v>615</v>
      </c>
    </row>
    <row r="4052" spans="1:19" x14ac:dyDescent="0.2">
      <c r="A4052" t="s">
        <v>4663</v>
      </c>
      <c r="B4052" t="s">
        <v>67</v>
      </c>
      <c r="C4052" t="s">
        <v>617</v>
      </c>
      <c r="D4052">
        <v>2995.49</v>
      </c>
      <c r="E4052" s="37" t="str">
        <f t="shared" si="315"/>
        <v xml:space="preserve"> </v>
      </c>
      <c r="F4052">
        <v>0.06</v>
      </c>
      <c r="G4052" s="37" t="str">
        <f t="shared" si="316"/>
        <v>Normal Discount</v>
      </c>
      <c r="H4052" s="37" t="str">
        <f t="shared" si="317"/>
        <v>Low</v>
      </c>
      <c r="I4052">
        <v>9</v>
      </c>
      <c r="J4052" t="str" cm="1">
        <f t="array" ref="J4052">_xlfn.IFS(I4052&lt;=3,"small",I4052&lt;=6,"Medium",I4052&lt;=9,"Large")</f>
        <v>Large</v>
      </c>
      <c r="K4052" s="36">
        <v>45474</v>
      </c>
      <c r="L4052" s="36">
        <v>45479</v>
      </c>
      <c r="M4052" t="s">
        <v>603</v>
      </c>
      <c r="N4052" t="s">
        <v>599</v>
      </c>
      <c r="O4052" s="37" t="str">
        <f t="shared" si="318"/>
        <v>Digital Payment</v>
      </c>
      <c r="P4052">
        <v>541.25</v>
      </c>
      <c r="Q4052" s="37" t="str">
        <f>IF(P4052&gt;500,"High","low")</f>
        <v>High</v>
      </c>
      <c r="R4052" s="37" t="str">
        <f t="shared" si="319"/>
        <v>Good</v>
      </c>
      <c r="S4052" t="s">
        <v>605</v>
      </c>
    </row>
    <row r="4053" spans="1:19" x14ac:dyDescent="0.2">
      <c r="A4053" t="s">
        <v>4664</v>
      </c>
      <c r="B4053" t="s">
        <v>83</v>
      </c>
      <c r="C4053" t="s">
        <v>602</v>
      </c>
      <c r="D4053">
        <v>4480.49</v>
      </c>
      <c r="E4053" s="37" t="str">
        <f t="shared" si="315"/>
        <v>Excellent Order</v>
      </c>
      <c r="F4053">
        <v>0.11</v>
      </c>
      <c r="G4053" s="37" t="str">
        <f t="shared" si="316"/>
        <v>Normal Discount</v>
      </c>
      <c r="H4053" s="37" t="str">
        <f t="shared" si="317"/>
        <v>Low</v>
      </c>
      <c r="I4053">
        <v>5</v>
      </c>
      <c r="J4053" t="str" cm="1">
        <f t="array" ref="J4053">_xlfn.IFS(I4053&lt;=3,"small",I4053&lt;=6,"Medium",I4053&lt;=9,"Large")</f>
        <v>Medium</v>
      </c>
      <c r="K4053" s="36">
        <v>45055</v>
      </c>
      <c r="L4053" s="36">
        <v>45058</v>
      </c>
      <c r="M4053" t="s">
        <v>612</v>
      </c>
      <c r="N4053" t="s">
        <v>608</v>
      </c>
      <c r="O4053" s="37" t="str">
        <f t="shared" si="318"/>
        <v>Cash Payment</v>
      </c>
      <c r="P4053">
        <v>1019.64</v>
      </c>
      <c r="Q4053" s="37" t="str">
        <f>IF(P4053&gt;500,"High","low")</f>
        <v>High</v>
      </c>
      <c r="R4053" s="37" t="str">
        <f t="shared" si="319"/>
        <v>Excellent</v>
      </c>
      <c r="S4053" t="s">
        <v>609</v>
      </c>
    </row>
    <row r="4054" spans="1:19" x14ac:dyDescent="0.2">
      <c r="A4054" t="s">
        <v>4665</v>
      </c>
      <c r="B4054" t="s">
        <v>75</v>
      </c>
      <c r="C4054" t="s">
        <v>617</v>
      </c>
      <c r="D4054">
        <v>669.71</v>
      </c>
      <c r="E4054" s="37" t="str">
        <f t="shared" si="315"/>
        <v xml:space="preserve"> </v>
      </c>
      <c r="F4054">
        <v>0.24</v>
      </c>
      <c r="G4054" s="37" t="str">
        <f t="shared" si="316"/>
        <v>Normal Discount</v>
      </c>
      <c r="H4054" s="37" t="str">
        <f t="shared" si="317"/>
        <v>Medium</v>
      </c>
      <c r="I4054">
        <v>3</v>
      </c>
      <c r="J4054" t="str" cm="1">
        <f t="array" ref="J4054">_xlfn.IFS(I4054&lt;=3,"small",I4054&lt;=6,"Medium",I4054&lt;=9,"Large")</f>
        <v>small</v>
      </c>
      <c r="K4054" s="36">
        <v>45097</v>
      </c>
      <c r="L4054" s="36">
        <v>45101</v>
      </c>
      <c r="M4054" t="s">
        <v>598</v>
      </c>
      <c r="N4054" t="s">
        <v>599</v>
      </c>
      <c r="O4054" s="37" t="str">
        <f t="shared" si="318"/>
        <v>Digital Payment</v>
      </c>
      <c r="P4054">
        <v>180.82</v>
      </c>
      <c r="Q4054" s="37" t="str">
        <f>IF(P4054&gt;500,"High","low")</f>
        <v>low</v>
      </c>
      <c r="R4054" s="37" t="str">
        <f t="shared" si="319"/>
        <v>AVERAGE</v>
      </c>
      <c r="S4054" t="s">
        <v>605</v>
      </c>
    </row>
    <row r="4055" spans="1:19" x14ac:dyDescent="0.2">
      <c r="A4055" t="s">
        <v>4666</v>
      </c>
      <c r="B4055" t="s">
        <v>75</v>
      </c>
      <c r="C4055" t="s">
        <v>607</v>
      </c>
      <c r="D4055">
        <v>2328</v>
      </c>
      <c r="E4055" s="37" t="str">
        <f t="shared" si="315"/>
        <v xml:space="preserve"> </v>
      </c>
      <c r="F4055">
        <v>0.49</v>
      </c>
      <c r="G4055" s="37" t="str">
        <f t="shared" si="316"/>
        <v>Heavy Discount</v>
      </c>
      <c r="H4055" s="37" t="str">
        <f t="shared" si="317"/>
        <v>High</v>
      </c>
      <c r="I4055">
        <v>3</v>
      </c>
      <c r="J4055" t="str" cm="1">
        <f t="array" ref="J4055">_xlfn.IFS(I4055&lt;=3,"small",I4055&lt;=6,"Medium",I4055&lt;=9,"Large")</f>
        <v>small</v>
      </c>
      <c r="K4055" s="36">
        <v>45423</v>
      </c>
      <c r="L4055" s="36">
        <v>45426</v>
      </c>
      <c r="M4055" t="s">
        <v>612</v>
      </c>
      <c r="N4055" t="s">
        <v>608</v>
      </c>
      <c r="O4055" s="37" t="str">
        <f t="shared" si="318"/>
        <v>Cash Payment</v>
      </c>
      <c r="P4055">
        <v>433.38</v>
      </c>
      <c r="Q4055" s="37" t="str">
        <f>IF(P4055&gt;500,"High","low")</f>
        <v>low</v>
      </c>
      <c r="R4055" s="37" t="str">
        <f t="shared" si="319"/>
        <v>AVERAGE</v>
      </c>
      <c r="S4055" t="s">
        <v>628</v>
      </c>
    </row>
    <row r="4056" spans="1:19" x14ac:dyDescent="0.2">
      <c r="A4056" t="s">
        <v>4667</v>
      </c>
      <c r="B4056" t="s">
        <v>83</v>
      </c>
      <c r="C4056" t="s">
        <v>602</v>
      </c>
      <c r="D4056">
        <v>2200.5100000000002</v>
      </c>
      <c r="E4056" s="37" t="str">
        <f t="shared" si="315"/>
        <v xml:space="preserve"> </v>
      </c>
      <c r="F4056">
        <v>0.14000000000000001</v>
      </c>
      <c r="G4056" s="37" t="str">
        <f t="shared" si="316"/>
        <v>Normal Discount</v>
      </c>
      <c r="H4056" s="37" t="str">
        <f t="shared" si="317"/>
        <v>Low</v>
      </c>
      <c r="I4056">
        <v>2</v>
      </c>
      <c r="J4056" t="str" cm="1">
        <f t="array" ref="J4056">_xlfn.IFS(I4056&lt;=3,"small",I4056&lt;=6,"Medium",I4056&lt;=9,"Large")</f>
        <v>small</v>
      </c>
      <c r="K4056" s="36">
        <v>45289</v>
      </c>
      <c r="L4056" s="36">
        <v>45294</v>
      </c>
      <c r="M4056" t="s">
        <v>598</v>
      </c>
      <c r="N4056" t="s">
        <v>604</v>
      </c>
      <c r="O4056" s="37" t="str">
        <f t="shared" si="318"/>
        <v>Digital Payment</v>
      </c>
      <c r="P4056">
        <v>277.63</v>
      </c>
      <c r="Q4056" s="37" t="str">
        <f>IF(P4056&gt;500,"High","low")</f>
        <v>low</v>
      </c>
      <c r="R4056" s="37" t="str">
        <f t="shared" si="319"/>
        <v>AVERAGE</v>
      </c>
      <c r="S4056" t="s">
        <v>615</v>
      </c>
    </row>
    <row r="4057" spans="1:19" x14ac:dyDescent="0.2">
      <c r="A4057" t="s">
        <v>4668</v>
      </c>
      <c r="B4057" t="s">
        <v>75</v>
      </c>
      <c r="C4057" t="s">
        <v>607</v>
      </c>
      <c r="D4057">
        <v>1748.59</v>
      </c>
      <c r="E4057" s="37" t="str">
        <f t="shared" si="315"/>
        <v xml:space="preserve"> </v>
      </c>
      <c r="F4057">
        <v>0.1</v>
      </c>
      <c r="G4057" s="37" t="str">
        <f t="shared" si="316"/>
        <v>Normal Discount</v>
      </c>
      <c r="H4057" s="37" t="str">
        <f t="shared" si="317"/>
        <v>Low</v>
      </c>
      <c r="I4057">
        <v>2</v>
      </c>
      <c r="J4057" t="str" cm="1">
        <f t="array" ref="J4057">_xlfn.IFS(I4057&lt;=3,"small",I4057&lt;=6,"Medium",I4057&lt;=9,"Large")</f>
        <v>small</v>
      </c>
      <c r="K4057" s="36">
        <v>45121</v>
      </c>
      <c r="L4057" s="36">
        <v>45124</v>
      </c>
      <c r="M4057" t="s">
        <v>598</v>
      </c>
      <c r="N4057" t="s">
        <v>604</v>
      </c>
      <c r="O4057" s="37" t="str">
        <f t="shared" si="318"/>
        <v>Digital Payment</v>
      </c>
      <c r="P4057">
        <v>462.42</v>
      </c>
      <c r="Q4057" s="37" t="str">
        <f>IF(P4057&gt;500,"High","low")</f>
        <v>low</v>
      </c>
      <c r="R4057" s="37" t="str">
        <f t="shared" si="319"/>
        <v>AVERAGE</v>
      </c>
      <c r="S4057" t="s">
        <v>605</v>
      </c>
    </row>
    <row r="4058" spans="1:19" x14ac:dyDescent="0.2">
      <c r="A4058" t="s">
        <v>4669</v>
      </c>
      <c r="B4058" t="s">
        <v>83</v>
      </c>
      <c r="C4058" t="s">
        <v>617</v>
      </c>
      <c r="D4058">
        <v>100.99</v>
      </c>
      <c r="E4058" s="37" t="str">
        <f t="shared" si="315"/>
        <v xml:space="preserve"> </v>
      </c>
      <c r="F4058">
        <v>0.11</v>
      </c>
      <c r="G4058" s="37" t="str">
        <f t="shared" si="316"/>
        <v>Normal Discount</v>
      </c>
      <c r="H4058" s="37" t="str">
        <f t="shared" si="317"/>
        <v>Low</v>
      </c>
      <c r="I4058">
        <v>6</v>
      </c>
      <c r="J4058" t="str" cm="1">
        <f t="array" ref="J4058">_xlfn.IFS(I4058&lt;=3,"small",I4058&lt;=6,"Medium",I4058&lt;=9,"Large")</f>
        <v>Medium</v>
      </c>
      <c r="K4058" s="36">
        <v>45470</v>
      </c>
      <c r="L4058" s="36">
        <v>45474</v>
      </c>
      <c r="M4058" t="s">
        <v>603</v>
      </c>
      <c r="N4058" t="s">
        <v>604</v>
      </c>
      <c r="O4058" s="37" t="str">
        <f t="shared" si="318"/>
        <v>Digital Payment</v>
      </c>
      <c r="P4058">
        <v>29.31</v>
      </c>
      <c r="Q4058" s="37" t="str">
        <f>IF(P4058&gt;500,"High","low")</f>
        <v>low</v>
      </c>
      <c r="R4058" s="37" t="str">
        <f t="shared" si="319"/>
        <v>AVERAGE</v>
      </c>
      <c r="S4058" t="s">
        <v>600</v>
      </c>
    </row>
    <row r="4059" spans="1:19" x14ac:dyDescent="0.2">
      <c r="A4059" t="s">
        <v>4670</v>
      </c>
      <c r="B4059" t="s">
        <v>75</v>
      </c>
      <c r="C4059" t="s">
        <v>602</v>
      </c>
      <c r="D4059">
        <v>4466.04</v>
      </c>
      <c r="E4059" s="37" t="str">
        <f t="shared" si="315"/>
        <v xml:space="preserve"> </v>
      </c>
      <c r="F4059">
        <v>0.35</v>
      </c>
      <c r="G4059" s="37" t="str">
        <f t="shared" si="316"/>
        <v>Heavy Discount</v>
      </c>
      <c r="H4059" s="37" t="str">
        <f t="shared" si="317"/>
        <v>Medium</v>
      </c>
      <c r="I4059">
        <v>8</v>
      </c>
      <c r="J4059" t="str" cm="1">
        <f t="array" ref="J4059">_xlfn.IFS(I4059&lt;=3,"small",I4059&lt;=6,"Medium",I4059&lt;=9,"Large")</f>
        <v>Large</v>
      </c>
      <c r="K4059" s="36">
        <v>45557</v>
      </c>
      <c r="L4059" s="36">
        <v>45562</v>
      </c>
      <c r="M4059" t="s">
        <v>598</v>
      </c>
      <c r="N4059" t="s">
        <v>604</v>
      </c>
      <c r="O4059" s="37" t="str">
        <f t="shared" si="318"/>
        <v>Digital Payment</v>
      </c>
      <c r="P4059">
        <v>501.38</v>
      </c>
      <c r="Q4059" s="37" t="str">
        <f>IF(P4059&gt;500,"High","low")</f>
        <v>High</v>
      </c>
      <c r="R4059" s="37" t="str">
        <f t="shared" si="319"/>
        <v>Good</v>
      </c>
      <c r="S4059" t="s">
        <v>628</v>
      </c>
    </row>
    <row r="4060" spans="1:19" x14ac:dyDescent="0.2">
      <c r="A4060" t="s">
        <v>4671</v>
      </c>
      <c r="B4060" t="s">
        <v>90</v>
      </c>
      <c r="C4060" t="s">
        <v>617</v>
      </c>
      <c r="D4060">
        <v>3910.76</v>
      </c>
      <c r="E4060" s="37" t="str">
        <f t="shared" si="315"/>
        <v xml:space="preserve"> </v>
      </c>
      <c r="F4060">
        <v>0.46</v>
      </c>
      <c r="G4060" s="37" t="str">
        <f t="shared" si="316"/>
        <v>Heavy Discount</v>
      </c>
      <c r="H4060" s="37" t="str">
        <f t="shared" si="317"/>
        <v>High</v>
      </c>
      <c r="I4060">
        <v>8</v>
      </c>
      <c r="J4060" t="str" cm="1">
        <f t="array" ref="J4060">_xlfn.IFS(I4060&lt;=3,"small",I4060&lt;=6,"Medium",I4060&lt;=9,"Large")</f>
        <v>Large</v>
      </c>
      <c r="K4060" s="36">
        <v>45306</v>
      </c>
      <c r="L4060" s="36">
        <v>45308</v>
      </c>
      <c r="M4060" t="s">
        <v>612</v>
      </c>
      <c r="N4060" t="s">
        <v>608</v>
      </c>
      <c r="O4060" s="37" t="str">
        <f t="shared" si="318"/>
        <v>Cash Payment</v>
      </c>
      <c r="P4060">
        <v>784.27</v>
      </c>
      <c r="Q4060" s="37" t="str">
        <f>IF(P4060&gt;500,"High","low")</f>
        <v>High</v>
      </c>
      <c r="R4060" s="37" t="str">
        <f t="shared" si="319"/>
        <v>Good</v>
      </c>
      <c r="S4060" t="s">
        <v>620</v>
      </c>
    </row>
    <row r="4061" spans="1:19" x14ac:dyDescent="0.2">
      <c r="A4061" t="s">
        <v>4672</v>
      </c>
      <c r="B4061" t="s">
        <v>90</v>
      </c>
      <c r="C4061" t="s">
        <v>614</v>
      </c>
      <c r="D4061">
        <v>3299</v>
      </c>
      <c r="E4061" s="37" t="str">
        <f t="shared" si="315"/>
        <v xml:space="preserve"> </v>
      </c>
      <c r="F4061">
        <v>0.04</v>
      </c>
      <c r="G4061" s="37" t="str">
        <f t="shared" si="316"/>
        <v>Normal Discount</v>
      </c>
      <c r="H4061" s="37" t="str">
        <f t="shared" si="317"/>
        <v>Low</v>
      </c>
      <c r="I4061">
        <v>8</v>
      </c>
      <c r="J4061" t="str" cm="1">
        <f t="array" ref="J4061">_xlfn.IFS(I4061&lt;=3,"small",I4061&lt;=6,"Medium",I4061&lt;=9,"Large")</f>
        <v>Large</v>
      </c>
      <c r="K4061" s="36">
        <v>45508</v>
      </c>
      <c r="L4061" s="36">
        <v>45513</v>
      </c>
      <c r="M4061" t="s">
        <v>598</v>
      </c>
      <c r="N4061" t="s">
        <v>599</v>
      </c>
      <c r="O4061" s="37" t="str">
        <f t="shared" si="318"/>
        <v>Digital Payment</v>
      </c>
      <c r="P4061">
        <v>430.1</v>
      </c>
      <c r="Q4061" s="37" t="str">
        <f>IF(P4061&gt;500,"High","low")</f>
        <v>low</v>
      </c>
      <c r="R4061" s="37" t="str">
        <f t="shared" si="319"/>
        <v>AVERAGE</v>
      </c>
      <c r="S4061" t="s">
        <v>628</v>
      </c>
    </row>
    <row r="4062" spans="1:19" x14ac:dyDescent="0.2">
      <c r="A4062" t="s">
        <v>4673</v>
      </c>
      <c r="B4062" t="s">
        <v>83</v>
      </c>
      <c r="C4062" t="s">
        <v>597</v>
      </c>
      <c r="D4062">
        <v>731.94</v>
      </c>
      <c r="E4062" s="37" t="str">
        <f t="shared" si="315"/>
        <v xml:space="preserve"> </v>
      </c>
      <c r="F4062">
        <v>0.37</v>
      </c>
      <c r="G4062" s="37" t="str">
        <f t="shared" si="316"/>
        <v>Heavy Discount</v>
      </c>
      <c r="H4062" s="37" t="str">
        <f t="shared" si="317"/>
        <v>Medium</v>
      </c>
      <c r="I4062">
        <v>7</v>
      </c>
      <c r="J4062" t="str" cm="1">
        <f t="array" ref="J4062">_xlfn.IFS(I4062&lt;=3,"small",I4062&lt;=6,"Medium",I4062&lt;=9,"Large")</f>
        <v>Large</v>
      </c>
      <c r="K4062" s="36">
        <v>45240</v>
      </c>
      <c r="L4062" s="36">
        <v>45247</v>
      </c>
      <c r="M4062" t="s">
        <v>598</v>
      </c>
      <c r="N4062" t="s">
        <v>604</v>
      </c>
      <c r="O4062" s="37" t="str">
        <f t="shared" si="318"/>
        <v>Digital Payment</v>
      </c>
      <c r="P4062">
        <v>193.88</v>
      </c>
      <c r="Q4062" s="37" t="str">
        <f>IF(P4062&gt;500,"High","low")</f>
        <v>low</v>
      </c>
      <c r="R4062" s="37" t="str">
        <f t="shared" si="319"/>
        <v>AVERAGE</v>
      </c>
      <c r="S4062" t="s">
        <v>609</v>
      </c>
    </row>
    <row r="4063" spans="1:19" x14ac:dyDescent="0.2">
      <c r="A4063" t="s">
        <v>4674</v>
      </c>
      <c r="B4063" t="s">
        <v>75</v>
      </c>
      <c r="C4063" t="s">
        <v>602</v>
      </c>
      <c r="D4063">
        <v>1953.21</v>
      </c>
      <c r="E4063" s="37" t="str">
        <f t="shared" si="315"/>
        <v xml:space="preserve"> </v>
      </c>
      <c r="F4063">
        <v>0.25</v>
      </c>
      <c r="G4063" s="37" t="str">
        <f t="shared" si="316"/>
        <v>Normal Discount</v>
      </c>
      <c r="H4063" s="37" t="str">
        <f t="shared" si="317"/>
        <v>Medium</v>
      </c>
      <c r="I4063">
        <v>2</v>
      </c>
      <c r="J4063" t="str" cm="1">
        <f t="array" ref="J4063">_xlfn.IFS(I4063&lt;=3,"small",I4063&lt;=6,"Medium",I4063&lt;=9,"Large")</f>
        <v>small</v>
      </c>
      <c r="K4063" s="36">
        <v>45362</v>
      </c>
      <c r="L4063" s="36">
        <v>45365</v>
      </c>
      <c r="M4063" t="s">
        <v>612</v>
      </c>
      <c r="N4063" t="s">
        <v>599</v>
      </c>
      <c r="O4063" s="37" t="str">
        <f t="shared" si="318"/>
        <v>Digital Payment</v>
      </c>
      <c r="P4063">
        <v>297.2</v>
      </c>
      <c r="Q4063" s="37" t="str">
        <f>IF(P4063&gt;500,"High","low")</f>
        <v>low</v>
      </c>
      <c r="R4063" s="37" t="str">
        <f t="shared" si="319"/>
        <v>AVERAGE</v>
      </c>
      <c r="S4063" t="s">
        <v>609</v>
      </c>
    </row>
    <row r="4064" spans="1:19" x14ac:dyDescent="0.2">
      <c r="A4064" t="s">
        <v>4675</v>
      </c>
      <c r="B4064" t="s">
        <v>67</v>
      </c>
      <c r="C4064" t="s">
        <v>597</v>
      </c>
      <c r="D4064">
        <v>4629.2</v>
      </c>
      <c r="E4064" s="37" t="str">
        <f t="shared" si="315"/>
        <v>Excellent Order</v>
      </c>
      <c r="F4064">
        <v>0.41</v>
      </c>
      <c r="G4064" s="37" t="str">
        <f t="shared" si="316"/>
        <v>Heavy Discount</v>
      </c>
      <c r="H4064" s="37" t="str">
        <f t="shared" si="317"/>
        <v>High</v>
      </c>
      <c r="I4064">
        <v>2</v>
      </c>
      <c r="J4064" t="str" cm="1">
        <f t="array" ref="J4064">_xlfn.IFS(I4064&lt;=3,"small",I4064&lt;=6,"Medium",I4064&lt;=9,"Large")</f>
        <v>small</v>
      </c>
      <c r="K4064" s="36">
        <v>45124</v>
      </c>
      <c r="L4064" s="36">
        <v>45131</v>
      </c>
      <c r="M4064" t="s">
        <v>603</v>
      </c>
      <c r="N4064" t="s">
        <v>608</v>
      </c>
      <c r="O4064" s="37" t="str">
        <f t="shared" si="318"/>
        <v>Cash Payment</v>
      </c>
      <c r="P4064">
        <v>1289.1199999999999</v>
      </c>
      <c r="Q4064" s="37" t="str">
        <f>IF(P4064&gt;500,"High","low")</f>
        <v>High</v>
      </c>
      <c r="R4064" s="37" t="str">
        <f t="shared" si="319"/>
        <v>Excellent</v>
      </c>
      <c r="S4064" t="s">
        <v>628</v>
      </c>
    </row>
    <row r="4065" spans="1:19" x14ac:dyDescent="0.2">
      <c r="A4065" t="s">
        <v>4676</v>
      </c>
      <c r="B4065" t="s">
        <v>75</v>
      </c>
      <c r="C4065" t="s">
        <v>614</v>
      </c>
      <c r="D4065">
        <v>3122.96</v>
      </c>
      <c r="E4065" s="37" t="str">
        <f t="shared" si="315"/>
        <v xml:space="preserve"> </v>
      </c>
      <c r="F4065">
        <v>0.21</v>
      </c>
      <c r="G4065" s="37" t="str">
        <f t="shared" si="316"/>
        <v>Normal Discount</v>
      </c>
      <c r="H4065" s="37" t="str">
        <f t="shared" si="317"/>
        <v>Medium</v>
      </c>
      <c r="I4065">
        <v>7</v>
      </c>
      <c r="J4065" t="str" cm="1">
        <f t="array" ref="J4065">_xlfn.IFS(I4065&lt;=3,"small",I4065&lt;=6,"Medium",I4065&lt;=9,"Large")</f>
        <v>Large</v>
      </c>
      <c r="K4065" s="36">
        <v>45271</v>
      </c>
      <c r="L4065" s="36">
        <v>45274</v>
      </c>
      <c r="M4065" t="s">
        <v>598</v>
      </c>
      <c r="N4065" t="s">
        <v>604</v>
      </c>
      <c r="O4065" s="37" t="str">
        <f t="shared" si="318"/>
        <v>Digital Payment</v>
      </c>
      <c r="P4065">
        <v>526.92999999999995</v>
      </c>
      <c r="Q4065" s="37" t="str">
        <f>IF(P4065&gt;500,"High","low")</f>
        <v>High</v>
      </c>
      <c r="R4065" s="37" t="str">
        <f t="shared" si="319"/>
        <v>Good</v>
      </c>
      <c r="S4065" t="s">
        <v>605</v>
      </c>
    </row>
    <row r="4066" spans="1:19" x14ac:dyDescent="0.2">
      <c r="A4066" t="s">
        <v>4677</v>
      </c>
      <c r="B4066" t="s">
        <v>90</v>
      </c>
      <c r="C4066" t="s">
        <v>602</v>
      </c>
      <c r="D4066">
        <v>3056.71</v>
      </c>
      <c r="E4066" s="37" t="str">
        <f t="shared" si="315"/>
        <v xml:space="preserve"> </v>
      </c>
      <c r="F4066">
        <v>0</v>
      </c>
      <c r="G4066" s="37" t="str">
        <f t="shared" si="316"/>
        <v>Normal Discount</v>
      </c>
      <c r="H4066" s="37" t="str">
        <f t="shared" si="317"/>
        <v>Low</v>
      </c>
      <c r="I4066">
        <v>4</v>
      </c>
      <c r="J4066" t="str" cm="1">
        <f t="array" ref="J4066">_xlfn.IFS(I4066&lt;=3,"small",I4066&lt;=6,"Medium",I4066&lt;=9,"Large")</f>
        <v>Medium</v>
      </c>
      <c r="K4066" s="36">
        <v>45210</v>
      </c>
      <c r="L4066" s="36">
        <v>45215</v>
      </c>
      <c r="M4066" t="s">
        <v>612</v>
      </c>
      <c r="N4066" t="s">
        <v>604</v>
      </c>
      <c r="O4066" s="37" t="str">
        <f t="shared" si="318"/>
        <v>Digital Payment</v>
      </c>
      <c r="P4066">
        <v>712.26</v>
      </c>
      <c r="Q4066" s="37" t="str">
        <f>IF(P4066&gt;500,"High","low")</f>
        <v>High</v>
      </c>
      <c r="R4066" s="37" t="str">
        <f t="shared" si="319"/>
        <v>Good</v>
      </c>
      <c r="S4066" t="s">
        <v>620</v>
      </c>
    </row>
    <row r="4067" spans="1:19" x14ac:dyDescent="0.2">
      <c r="A4067" t="s">
        <v>4678</v>
      </c>
      <c r="B4067" t="s">
        <v>90</v>
      </c>
      <c r="C4067" t="s">
        <v>597</v>
      </c>
      <c r="D4067">
        <v>4574.32</v>
      </c>
      <c r="E4067" s="37" t="str">
        <f t="shared" si="315"/>
        <v xml:space="preserve"> </v>
      </c>
      <c r="F4067">
        <v>0.34</v>
      </c>
      <c r="G4067" s="37" t="str">
        <f t="shared" si="316"/>
        <v>Heavy Discount</v>
      </c>
      <c r="H4067" s="37" t="str">
        <f t="shared" si="317"/>
        <v>Medium</v>
      </c>
      <c r="I4067">
        <v>6</v>
      </c>
      <c r="J4067" t="str" cm="1">
        <f t="array" ref="J4067">_xlfn.IFS(I4067&lt;=3,"small",I4067&lt;=6,"Medium",I4067&lt;=9,"Large")</f>
        <v>Medium</v>
      </c>
      <c r="K4067" s="36">
        <v>45157</v>
      </c>
      <c r="L4067" s="36">
        <v>45158</v>
      </c>
      <c r="M4067" t="s">
        <v>598</v>
      </c>
      <c r="N4067" t="s">
        <v>604</v>
      </c>
      <c r="O4067" s="37" t="str">
        <f t="shared" si="318"/>
        <v>Digital Payment</v>
      </c>
      <c r="P4067">
        <v>622.88</v>
      </c>
      <c r="Q4067" s="37" t="str">
        <f>IF(P4067&gt;500,"High","low")</f>
        <v>High</v>
      </c>
      <c r="R4067" s="37" t="str">
        <f t="shared" si="319"/>
        <v>Good</v>
      </c>
      <c r="S4067" t="s">
        <v>615</v>
      </c>
    </row>
    <row r="4068" spans="1:19" x14ac:dyDescent="0.2">
      <c r="A4068" t="s">
        <v>4679</v>
      </c>
      <c r="B4068" t="s">
        <v>75</v>
      </c>
      <c r="C4068" t="s">
        <v>597</v>
      </c>
      <c r="D4068">
        <v>2843.19</v>
      </c>
      <c r="E4068" s="37" t="str">
        <f t="shared" si="315"/>
        <v xml:space="preserve"> </v>
      </c>
      <c r="F4068">
        <v>0.4</v>
      </c>
      <c r="G4068" s="37" t="str">
        <f t="shared" si="316"/>
        <v>Heavy Discount</v>
      </c>
      <c r="H4068" s="37" t="str">
        <f t="shared" si="317"/>
        <v>Medium</v>
      </c>
      <c r="I4068">
        <v>9</v>
      </c>
      <c r="J4068" t="str" cm="1">
        <f t="array" ref="J4068">_xlfn.IFS(I4068&lt;=3,"small",I4068&lt;=6,"Medium",I4068&lt;=9,"Large")</f>
        <v>Large</v>
      </c>
      <c r="K4068" s="36">
        <v>45631</v>
      </c>
      <c r="L4068" s="36">
        <v>45632</v>
      </c>
      <c r="M4068" t="s">
        <v>598</v>
      </c>
      <c r="N4068" t="s">
        <v>608</v>
      </c>
      <c r="O4068" s="37" t="str">
        <f t="shared" si="318"/>
        <v>Cash Payment</v>
      </c>
      <c r="P4068">
        <v>516.63</v>
      </c>
      <c r="Q4068" s="37" t="str">
        <f>IF(P4068&gt;500,"High","low")</f>
        <v>High</v>
      </c>
      <c r="R4068" s="37" t="str">
        <f t="shared" si="319"/>
        <v>Good</v>
      </c>
      <c r="S4068" t="s">
        <v>615</v>
      </c>
    </row>
    <row r="4069" spans="1:19" x14ac:dyDescent="0.2">
      <c r="A4069" t="s">
        <v>4680</v>
      </c>
      <c r="B4069" t="s">
        <v>75</v>
      </c>
      <c r="C4069" t="s">
        <v>602</v>
      </c>
      <c r="D4069">
        <v>3028.35</v>
      </c>
      <c r="E4069" s="37" t="str">
        <f t="shared" si="315"/>
        <v xml:space="preserve"> </v>
      </c>
      <c r="F4069">
        <v>0.45</v>
      </c>
      <c r="G4069" s="37" t="str">
        <f t="shared" si="316"/>
        <v>Heavy Discount</v>
      </c>
      <c r="H4069" s="37" t="str">
        <f t="shared" si="317"/>
        <v>High</v>
      </c>
      <c r="I4069">
        <v>5</v>
      </c>
      <c r="J4069" t="str" cm="1">
        <f t="array" ref="J4069">_xlfn.IFS(I4069&lt;=3,"small",I4069&lt;=6,"Medium",I4069&lt;=9,"Large")</f>
        <v>Medium</v>
      </c>
      <c r="K4069" s="36">
        <v>45606</v>
      </c>
      <c r="L4069" s="36">
        <v>45607</v>
      </c>
      <c r="M4069" t="s">
        <v>598</v>
      </c>
      <c r="N4069" t="s">
        <v>599</v>
      </c>
      <c r="O4069" s="37" t="str">
        <f t="shared" si="318"/>
        <v>Digital Payment</v>
      </c>
      <c r="P4069">
        <v>674.12</v>
      </c>
      <c r="Q4069" s="37" t="str">
        <f>IF(P4069&gt;500,"High","low")</f>
        <v>High</v>
      </c>
      <c r="R4069" s="37" t="str">
        <f t="shared" si="319"/>
        <v>Good</v>
      </c>
      <c r="S4069" t="s">
        <v>605</v>
      </c>
    </row>
    <row r="4070" spans="1:19" x14ac:dyDescent="0.2">
      <c r="A4070" t="s">
        <v>4681</v>
      </c>
      <c r="B4070" t="s">
        <v>67</v>
      </c>
      <c r="C4070" t="s">
        <v>597</v>
      </c>
      <c r="D4070">
        <v>1794.01</v>
      </c>
      <c r="E4070" s="37" t="str">
        <f t="shared" si="315"/>
        <v xml:space="preserve"> </v>
      </c>
      <c r="F4070">
        <v>0.28000000000000003</v>
      </c>
      <c r="G4070" s="37" t="str">
        <f t="shared" si="316"/>
        <v>Normal Discount</v>
      </c>
      <c r="H4070" s="37" t="str">
        <f t="shared" si="317"/>
        <v>Medium</v>
      </c>
      <c r="I4070">
        <v>4</v>
      </c>
      <c r="J4070" t="str" cm="1">
        <f t="array" ref="J4070">_xlfn.IFS(I4070&lt;=3,"small",I4070&lt;=6,"Medium",I4070&lt;=9,"Large")</f>
        <v>Medium</v>
      </c>
      <c r="K4070" s="36">
        <v>45390</v>
      </c>
      <c r="L4070" s="36">
        <v>45397</v>
      </c>
      <c r="M4070" t="s">
        <v>598</v>
      </c>
      <c r="N4070" t="s">
        <v>604</v>
      </c>
      <c r="O4070" s="37" t="str">
        <f t="shared" si="318"/>
        <v>Digital Payment</v>
      </c>
      <c r="P4070">
        <v>175.06</v>
      </c>
      <c r="Q4070" s="37" t="str">
        <f>IF(P4070&gt;500,"High","low")</f>
        <v>low</v>
      </c>
      <c r="R4070" s="37" t="str">
        <f t="shared" si="319"/>
        <v>AVERAGE</v>
      </c>
      <c r="S4070" t="s">
        <v>605</v>
      </c>
    </row>
    <row r="4071" spans="1:19" x14ac:dyDescent="0.2">
      <c r="A4071" t="s">
        <v>4682</v>
      </c>
      <c r="B4071" t="s">
        <v>67</v>
      </c>
      <c r="C4071" t="s">
        <v>597</v>
      </c>
      <c r="D4071">
        <v>1920.06</v>
      </c>
      <c r="E4071" s="37" t="str">
        <f t="shared" si="315"/>
        <v xml:space="preserve"> </v>
      </c>
      <c r="F4071">
        <v>0.06</v>
      </c>
      <c r="G4071" s="37" t="str">
        <f t="shared" si="316"/>
        <v>Normal Discount</v>
      </c>
      <c r="H4071" s="37" t="str">
        <f t="shared" si="317"/>
        <v>Low</v>
      </c>
      <c r="I4071">
        <v>3</v>
      </c>
      <c r="J4071" t="str" cm="1">
        <f t="array" ref="J4071">_xlfn.IFS(I4071&lt;=3,"small",I4071&lt;=6,"Medium",I4071&lt;=9,"Large")</f>
        <v>small</v>
      </c>
      <c r="K4071" s="36">
        <v>45526</v>
      </c>
      <c r="L4071" s="36">
        <v>45528</v>
      </c>
      <c r="M4071" t="s">
        <v>612</v>
      </c>
      <c r="N4071" t="s">
        <v>604</v>
      </c>
      <c r="O4071" s="37" t="str">
        <f t="shared" si="318"/>
        <v>Digital Payment</v>
      </c>
      <c r="P4071">
        <v>179.66</v>
      </c>
      <c r="Q4071" s="37" t="str">
        <f>IF(P4071&gt;500,"High","low")</f>
        <v>low</v>
      </c>
      <c r="R4071" s="37" t="str">
        <f t="shared" si="319"/>
        <v>AVERAGE</v>
      </c>
      <c r="S4071" t="s">
        <v>620</v>
      </c>
    </row>
    <row r="4072" spans="1:19" x14ac:dyDescent="0.2">
      <c r="A4072" t="s">
        <v>4683</v>
      </c>
      <c r="B4072" t="s">
        <v>75</v>
      </c>
      <c r="C4072" t="s">
        <v>602</v>
      </c>
      <c r="D4072">
        <v>3459.47</v>
      </c>
      <c r="E4072" s="37" t="str">
        <f t="shared" si="315"/>
        <v xml:space="preserve"> </v>
      </c>
      <c r="F4072">
        <v>0.18</v>
      </c>
      <c r="G4072" s="37" t="str">
        <f t="shared" si="316"/>
        <v>Normal Discount</v>
      </c>
      <c r="H4072" s="37" t="str">
        <f t="shared" si="317"/>
        <v>Low</v>
      </c>
      <c r="I4072">
        <v>7</v>
      </c>
      <c r="J4072" t="str" cm="1">
        <f t="array" ref="J4072">_xlfn.IFS(I4072&lt;=3,"small",I4072&lt;=6,"Medium",I4072&lt;=9,"Large")</f>
        <v>Large</v>
      </c>
      <c r="K4072" s="36">
        <v>45041</v>
      </c>
      <c r="L4072" s="36">
        <v>45043</v>
      </c>
      <c r="M4072" t="s">
        <v>598</v>
      </c>
      <c r="N4072" t="s">
        <v>599</v>
      </c>
      <c r="O4072" s="37" t="str">
        <f t="shared" si="318"/>
        <v>Digital Payment</v>
      </c>
      <c r="P4072">
        <v>248.19</v>
      </c>
      <c r="Q4072" s="37" t="str">
        <f>IF(P4072&gt;500,"High","low")</f>
        <v>low</v>
      </c>
      <c r="R4072" s="37" t="str">
        <f t="shared" si="319"/>
        <v>AVERAGE</v>
      </c>
      <c r="S4072" t="s">
        <v>605</v>
      </c>
    </row>
    <row r="4073" spans="1:19" x14ac:dyDescent="0.2">
      <c r="A4073" t="s">
        <v>4684</v>
      </c>
      <c r="B4073" t="s">
        <v>75</v>
      </c>
      <c r="C4073" t="s">
        <v>597</v>
      </c>
      <c r="D4073">
        <v>1670.13</v>
      </c>
      <c r="E4073" s="37" t="str">
        <f t="shared" si="315"/>
        <v xml:space="preserve"> </v>
      </c>
      <c r="F4073">
        <v>0.39</v>
      </c>
      <c r="G4073" s="37" t="str">
        <f t="shared" si="316"/>
        <v>Heavy Discount</v>
      </c>
      <c r="H4073" s="37" t="str">
        <f t="shared" si="317"/>
        <v>Medium</v>
      </c>
      <c r="I4073">
        <v>7</v>
      </c>
      <c r="J4073" t="str" cm="1">
        <f t="array" ref="J4073">_xlfn.IFS(I4073&lt;=3,"small",I4073&lt;=6,"Medium",I4073&lt;=9,"Large")</f>
        <v>Large</v>
      </c>
      <c r="K4073" s="36">
        <v>45576</v>
      </c>
      <c r="L4073" s="36">
        <v>45583</v>
      </c>
      <c r="M4073" t="s">
        <v>612</v>
      </c>
      <c r="N4073" t="s">
        <v>599</v>
      </c>
      <c r="O4073" s="37" t="str">
        <f t="shared" si="318"/>
        <v>Digital Payment</v>
      </c>
      <c r="P4073">
        <v>230.59</v>
      </c>
      <c r="Q4073" s="37" t="str">
        <f>IF(P4073&gt;500,"High","low")</f>
        <v>low</v>
      </c>
      <c r="R4073" s="37" t="str">
        <f t="shared" si="319"/>
        <v>AVERAGE</v>
      </c>
      <c r="S4073" t="s">
        <v>605</v>
      </c>
    </row>
    <row r="4074" spans="1:19" x14ac:dyDescent="0.2">
      <c r="A4074" t="s">
        <v>4685</v>
      </c>
      <c r="B4074" t="s">
        <v>75</v>
      </c>
      <c r="C4074" t="s">
        <v>597</v>
      </c>
      <c r="D4074">
        <v>2839.63</v>
      </c>
      <c r="E4074" s="37" t="str">
        <f t="shared" si="315"/>
        <v xml:space="preserve"> </v>
      </c>
      <c r="F4074">
        <v>0.25</v>
      </c>
      <c r="G4074" s="37" t="str">
        <f t="shared" si="316"/>
        <v>Normal Discount</v>
      </c>
      <c r="H4074" s="37" t="str">
        <f t="shared" si="317"/>
        <v>Medium</v>
      </c>
      <c r="I4074">
        <v>7</v>
      </c>
      <c r="J4074" t="str" cm="1">
        <f t="array" ref="J4074">_xlfn.IFS(I4074&lt;=3,"small",I4074&lt;=6,"Medium",I4074&lt;=9,"Large")</f>
        <v>Large</v>
      </c>
      <c r="K4074" s="36">
        <v>45002</v>
      </c>
      <c r="L4074" s="36">
        <v>45004</v>
      </c>
      <c r="M4074" t="s">
        <v>603</v>
      </c>
      <c r="N4074" t="s">
        <v>604</v>
      </c>
      <c r="O4074" s="37" t="str">
        <f t="shared" si="318"/>
        <v>Digital Payment</v>
      </c>
      <c r="P4074">
        <v>560.32000000000005</v>
      </c>
      <c r="Q4074" s="37" t="str">
        <f>IF(P4074&gt;500,"High","low")</f>
        <v>High</v>
      </c>
      <c r="R4074" s="37" t="str">
        <f t="shared" si="319"/>
        <v>Good</v>
      </c>
      <c r="S4074" t="s">
        <v>620</v>
      </c>
    </row>
    <row r="4075" spans="1:19" x14ac:dyDescent="0.2">
      <c r="A4075" t="s">
        <v>4686</v>
      </c>
      <c r="B4075" t="s">
        <v>75</v>
      </c>
      <c r="C4075" t="s">
        <v>607</v>
      </c>
      <c r="D4075">
        <v>1468.06</v>
      </c>
      <c r="E4075" s="37" t="str">
        <f t="shared" si="315"/>
        <v xml:space="preserve"> </v>
      </c>
      <c r="F4075">
        <v>0.35</v>
      </c>
      <c r="G4075" s="37" t="str">
        <f t="shared" si="316"/>
        <v>Heavy Discount</v>
      </c>
      <c r="H4075" s="37" t="str">
        <f t="shared" si="317"/>
        <v>Medium</v>
      </c>
      <c r="I4075">
        <v>5</v>
      </c>
      <c r="J4075" t="str" cm="1">
        <f t="array" ref="J4075">_xlfn.IFS(I4075&lt;=3,"small",I4075&lt;=6,"Medium",I4075&lt;=9,"Large")</f>
        <v>Medium</v>
      </c>
      <c r="K4075" s="36">
        <v>45372</v>
      </c>
      <c r="L4075" s="36">
        <v>45377</v>
      </c>
      <c r="M4075" t="s">
        <v>603</v>
      </c>
      <c r="N4075" t="s">
        <v>604</v>
      </c>
      <c r="O4075" s="37" t="str">
        <f t="shared" si="318"/>
        <v>Digital Payment</v>
      </c>
      <c r="P4075">
        <v>113.1</v>
      </c>
      <c r="Q4075" s="37" t="str">
        <f>IF(P4075&gt;500,"High","low")</f>
        <v>low</v>
      </c>
      <c r="R4075" s="37" t="str">
        <f t="shared" si="319"/>
        <v>AVERAGE</v>
      </c>
      <c r="S4075" t="s">
        <v>615</v>
      </c>
    </row>
    <row r="4076" spans="1:19" x14ac:dyDescent="0.2">
      <c r="A4076" t="s">
        <v>4687</v>
      </c>
      <c r="B4076" t="s">
        <v>83</v>
      </c>
      <c r="C4076" t="s">
        <v>607</v>
      </c>
      <c r="D4076">
        <v>914.01</v>
      </c>
      <c r="E4076" s="37" t="str">
        <f t="shared" si="315"/>
        <v xml:space="preserve"> </v>
      </c>
      <c r="F4076">
        <v>0</v>
      </c>
      <c r="G4076" s="37" t="str">
        <f t="shared" si="316"/>
        <v>Normal Discount</v>
      </c>
      <c r="H4076" s="37" t="str">
        <f t="shared" si="317"/>
        <v>Low</v>
      </c>
      <c r="I4076">
        <v>8</v>
      </c>
      <c r="J4076" t="str" cm="1">
        <f t="array" ref="J4076">_xlfn.IFS(I4076&lt;=3,"small",I4076&lt;=6,"Medium",I4076&lt;=9,"Large")</f>
        <v>Large</v>
      </c>
      <c r="K4076" s="36">
        <v>45219</v>
      </c>
      <c r="L4076" s="36">
        <v>45225</v>
      </c>
      <c r="M4076" t="s">
        <v>603</v>
      </c>
      <c r="N4076" t="s">
        <v>608</v>
      </c>
      <c r="O4076" s="37" t="str">
        <f t="shared" si="318"/>
        <v>Cash Payment</v>
      </c>
      <c r="P4076">
        <v>79.91</v>
      </c>
      <c r="Q4076" s="37" t="str">
        <f>IF(P4076&gt;500,"High","low")</f>
        <v>low</v>
      </c>
      <c r="R4076" s="37" t="str">
        <f t="shared" si="319"/>
        <v>AVERAGE</v>
      </c>
      <c r="S4076" t="s">
        <v>628</v>
      </c>
    </row>
    <row r="4077" spans="1:19" x14ac:dyDescent="0.2">
      <c r="A4077" t="s">
        <v>4688</v>
      </c>
      <c r="B4077" t="s">
        <v>75</v>
      </c>
      <c r="C4077" t="s">
        <v>614</v>
      </c>
      <c r="D4077">
        <v>2326.5700000000002</v>
      </c>
      <c r="E4077" s="37" t="str">
        <f t="shared" si="315"/>
        <v xml:space="preserve"> </v>
      </c>
      <c r="F4077">
        <v>0.04</v>
      </c>
      <c r="G4077" s="37" t="str">
        <f t="shared" si="316"/>
        <v>Normal Discount</v>
      </c>
      <c r="H4077" s="37" t="str">
        <f t="shared" si="317"/>
        <v>Low</v>
      </c>
      <c r="I4077">
        <v>2</v>
      </c>
      <c r="J4077" t="str" cm="1">
        <f t="array" ref="J4077">_xlfn.IFS(I4077&lt;=3,"small",I4077&lt;=6,"Medium",I4077&lt;=9,"Large")</f>
        <v>small</v>
      </c>
      <c r="K4077" s="36">
        <v>45529</v>
      </c>
      <c r="L4077" s="36">
        <v>45534</v>
      </c>
      <c r="M4077" t="s">
        <v>612</v>
      </c>
      <c r="N4077" t="s">
        <v>604</v>
      </c>
      <c r="O4077" s="37" t="str">
        <f t="shared" si="318"/>
        <v>Digital Payment</v>
      </c>
      <c r="P4077">
        <v>574.11</v>
      </c>
      <c r="Q4077" s="37" t="str">
        <f>IF(P4077&gt;500,"High","low")</f>
        <v>High</v>
      </c>
      <c r="R4077" s="37" t="str">
        <f t="shared" si="319"/>
        <v>Good</v>
      </c>
      <c r="S4077" t="s">
        <v>620</v>
      </c>
    </row>
    <row r="4078" spans="1:19" x14ac:dyDescent="0.2">
      <c r="A4078" t="s">
        <v>4689</v>
      </c>
      <c r="B4078" t="s">
        <v>67</v>
      </c>
      <c r="C4078" t="s">
        <v>607</v>
      </c>
      <c r="D4078">
        <v>1165.49</v>
      </c>
      <c r="E4078" s="37" t="str">
        <f t="shared" si="315"/>
        <v xml:space="preserve"> </v>
      </c>
      <c r="F4078">
        <v>0.34</v>
      </c>
      <c r="G4078" s="37" t="str">
        <f t="shared" si="316"/>
        <v>Heavy Discount</v>
      </c>
      <c r="H4078" s="37" t="str">
        <f t="shared" si="317"/>
        <v>Medium</v>
      </c>
      <c r="I4078">
        <v>4</v>
      </c>
      <c r="J4078" t="str" cm="1">
        <f t="array" ref="J4078">_xlfn.IFS(I4078&lt;=3,"small",I4078&lt;=6,"Medium",I4078&lt;=9,"Large")</f>
        <v>Medium</v>
      </c>
      <c r="K4078" s="36">
        <v>45003</v>
      </c>
      <c r="L4078" s="36">
        <v>45007</v>
      </c>
      <c r="M4078" t="s">
        <v>612</v>
      </c>
      <c r="N4078" t="s">
        <v>608</v>
      </c>
      <c r="O4078" s="37" t="str">
        <f t="shared" si="318"/>
        <v>Cash Payment</v>
      </c>
      <c r="P4078">
        <v>185.59</v>
      </c>
      <c r="Q4078" s="37" t="str">
        <f>IF(P4078&gt;500,"High","low")</f>
        <v>low</v>
      </c>
      <c r="R4078" s="37" t="str">
        <f t="shared" si="319"/>
        <v>AVERAGE</v>
      </c>
      <c r="S4078" t="s">
        <v>609</v>
      </c>
    </row>
    <row r="4079" spans="1:19" x14ac:dyDescent="0.2">
      <c r="A4079" t="s">
        <v>4690</v>
      </c>
      <c r="B4079" t="s">
        <v>90</v>
      </c>
      <c r="C4079" t="s">
        <v>607</v>
      </c>
      <c r="D4079">
        <v>4502.62</v>
      </c>
      <c r="E4079" s="37" t="str">
        <f t="shared" si="315"/>
        <v xml:space="preserve"> </v>
      </c>
      <c r="F4079">
        <v>0.15</v>
      </c>
      <c r="G4079" s="37" t="str">
        <f t="shared" si="316"/>
        <v>Normal Discount</v>
      </c>
      <c r="H4079" s="37" t="str">
        <f t="shared" si="317"/>
        <v>Low</v>
      </c>
      <c r="I4079">
        <v>1</v>
      </c>
      <c r="J4079" t="str" cm="1">
        <f t="array" ref="J4079">_xlfn.IFS(I4079&lt;=3,"small",I4079&lt;=6,"Medium",I4079&lt;=9,"Large")</f>
        <v>small</v>
      </c>
      <c r="K4079" s="36">
        <v>45276</v>
      </c>
      <c r="L4079" s="36">
        <v>45277</v>
      </c>
      <c r="M4079" t="s">
        <v>612</v>
      </c>
      <c r="N4079" t="s">
        <v>608</v>
      </c>
      <c r="O4079" s="37" t="str">
        <f t="shared" si="318"/>
        <v>Cash Payment</v>
      </c>
      <c r="P4079">
        <v>325.48</v>
      </c>
      <c r="Q4079" s="37" t="str">
        <f>IF(P4079&gt;500,"High","low")</f>
        <v>low</v>
      </c>
      <c r="R4079" s="37" t="str">
        <f t="shared" si="319"/>
        <v>AVERAGE</v>
      </c>
      <c r="S4079" t="s">
        <v>609</v>
      </c>
    </row>
    <row r="4080" spans="1:19" x14ac:dyDescent="0.2">
      <c r="A4080" t="s">
        <v>4691</v>
      </c>
      <c r="B4080" t="s">
        <v>83</v>
      </c>
      <c r="C4080" t="s">
        <v>614</v>
      </c>
      <c r="D4080">
        <v>1587.7</v>
      </c>
      <c r="E4080" s="37" t="str">
        <f t="shared" si="315"/>
        <v xml:space="preserve"> </v>
      </c>
      <c r="F4080">
        <v>0.19</v>
      </c>
      <c r="G4080" s="37" t="str">
        <f t="shared" si="316"/>
        <v>Normal Discount</v>
      </c>
      <c r="H4080" s="37" t="str">
        <f t="shared" si="317"/>
        <v>Low</v>
      </c>
      <c r="I4080">
        <v>6</v>
      </c>
      <c r="J4080" t="str" cm="1">
        <f t="array" ref="J4080">_xlfn.IFS(I4080&lt;=3,"small",I4080&lt;=6,"Medium",I4080&lt;=9,"Large")</f>
        <v>Medium</v>
      </c>
      <c r="K4080" s="36">
        <v>45297</v>
      </c>
      <c r="L4080" s="36">
        <v>45301</v>
      </c>
      <c r="M4080" t="s">
        <v>603</v>
      </c>
      <c r="N4080" t="s">
        <v>599</v>
      </c>
      <c r="O4080" s="37" t="str">
        <f t="shared" si="318"/>
        <v>Digital Payment</v>
      </c>
      <c r="P4080">
        <v>206.01</v>
      </c>
      <c r="Q4080" s="37" t="str">
        <f>IF(P4080&gt;500,"High","low")</f>
        <v>low</v>
      </c>
      <c r="R4080" s="37" t="str">
        <f t="shared" si="319"/>
        <v>AVERAGE</v>
      </c>
      <c r="S4080" t="s">
        <v>609</v>
      </c>
    </row>
    <row r="4081" spans="1:19" x14ac:dyDescent="0.2">
      <c r="A4081" t="s">
        <v>4692</v>
      </c>
      <c r="B4081" t="s">
        <v>75</v>
      </c>
      <c r="C4081" t="s">
        <v>597</v>
      </c>
      <c r="D4081">
        <v>3027.27</v>
      </c>
      <c r="E4081" s="37" t="str">
        <f t="shared" si="315"/>
        <v xml:space="preserve"> </v>
      </c>
      <c r="F4081">
        <v>0.32</v>
      </c>
      <c r="G4081" s="37" t="str">
        <f t="shared" si="316"/>
        <v>Heavy Discount</v>
      </c>
      <c r="H4081" s="37" t="str">
        <f t="shared" si="317"/>
        <v>Medium</v>
      </c>
      <c r="I4081">
        <v>6</v>
      </c>
      <c r="J4081" t="str" cm="1">
        <f t="array" ref="J4081">_xlfn.IFS(I4081&lt;=3,"small",I4081&lt;=6,"Medium",I4081&lt;=9,"Large")</f>
        <v>Medium</v>
      </c>
      <c r="K4081" s="36">
        <v>45249</v>
      </c>
      <c r="L4081" s="36">
        <v>45250</v>
      </c>
      <c r="M4081" t="s">
        <v>598</v>
      </c>
      <c r="N4081" t="s">
        <v>608</v>
      </c>
      <c r="O4081" s="37" t="str">
        <f t="shared" si="318"/>
        <v>Cash Payment</v>
      </c>
      <c r="P4081">
        <v>501.43</v>
      </c>
      <c r="Q4081" s="37" t="str">
        <f>IF(P4081&gt;500,"High","low")</f>
        <v>High</v>
      </c>
      <c r="R4081" s="37" t="str">
        <f t="shared" si="319"/>
        <v>Good</v>
      </c>
      <c r="S4081" t="s">
        <v>615</v>
      </c>
    </row>
    <row r="4082" spans="1:19" x14ac:dyDescent="0.2">
      <c r="A4082" t="s">
        <v>4693</v>
      </c>
      <c r="B4082" t="s">
        <v>90</v>
      </c>
      <c r="C4082" t="s">
        <v>597</v>
      </c>
      <c r="D4082">
        <v>1390.87</v>
      </c>
      <c r="E4082" s="37" t="str">
        <f t="shared" si="315"/>
        <v xml:space="preserve"> </v>
      </c>
      <c r="F4082">
        <v>0.06</v>
      </c>
      <c r="G4082" s="37" t="str">
        <f t="shared" si="316"/>
        <v>Normal Discount</v>
      </c>
      <c r="H4082" s="37" t="str">
        <f t="shared" si="317"/>
        <v>Low</v>
      </c>
      <c r="I4082">
        <v>3</v>
      </c>
      <c r="J4082" t="str" cm="1">
        <f t="array" ref="J4082">_xlfn.IFS(I4082&lt;=3,"small",I4082&lt;=6,"Medium",I4082&lt;=9,"Large")</f>
        <v>small</v>
      </c>
      <c r="K4082" s="36">
        <v>45106</v>
      </c>
      <c r="L4082" s="36">
        <v>45109</v>
      </c>
      <c r="M4082" t="s">
        <v>612</v>
      </c>
      <c r="N4082" t="s">
        <v>608</v>
      </c>
      <c r="O4082" s="37" t="str">
        <f t="shared" si="318"/>
        <v>Cash Payment</v>
      </c>
      <c r="P4082">
        <v>151.78</v>
      </c>
      <c r="Q4082" s="37" t="str">
        <f>IF(P4082&gt;500,"High","low")</f>
        <v>low</v>
      </c>
      <c r="R4082" s="37" t="str">
        <f t="shared" si="319"/>
        <v>AVERAGE</v>
      </c>
      <c r="S4082" t="s">
        <v>628</v>
      </c>
    </row>
    <row r="4083" spans="1:19" x14ac:dyDescent="0.2">
      <c r="A4083" t="s">
        <v>4694</v>
      </c>
      <c r="B4083" t="s">
        <v>83</v>
      </c>
      <c r="C4083" t="s">
        <v>607</v>
      </c>
      <c r="D4083">
        <v>1364.29</v>
      </c>
      <c r="E4083" s="37" t="str">
        <f t="shared" si="315"/>
        <v xml:space="preserve"> </v>
      </c>
      <c r="F4083">
        <v>0.42</v>
      </c>
      <c r="G4083" s="37" t="str">
        <f t="shared" si="316"/>
        <v>Heavy Discount</v>
      </c>
      <c r="H4083" s="37" t="str">
        <f t="shared" si="317"/>
        <v>High</v>
      </c>
      <c r="I4083">
        <v>1</v>
      </c>
      <c r="J4083" t="str" cm="1">
        <f t="array" ref="J4083">_xlfn.IFS(I4083&lt;=3,"small",I4083&lt;=6,"Medium",I4083&lt;=9,"Large")</f>
        <v>small</v>
      </c>
      <c r="K4083" s="36">
        <v>45345</v>
      </c>
      <c r="L4083" s="36">
        <v>45349</v>
      </c>
      <c r="M4083" t="s">
        <v>603</v>
      </c>
      <c r="N4083" t="s">
        <v>604</v>
      </c>
      <c r="O4083" s="37" t="str">
        <f t="shared" si="318"/>
        <v>Digital Payment</v>
      </c>
      <c r="P4083">
        <v>299.3</v>
      </c>
      <c r="Q4083" s="37" t="str">
        <f>IF(P4083&gt;500,"High","low")</f>
        <v>low</v>
      </c>
      <c r="R4083" s="37" t="str">
        <f t="shared" si="319"/>
        <v>AVERAGE</v>
      </c>
      <c r="S4083" t="s">
        <v>620</v>
      </c>
    </row>
    <row r="4084" spans="1:19" x14ac:dyDescent="0.2">
      <c r="A4084" t="s">
        <v>4695</v>
      </c>
      <c r="B4084" t="s">
        <v>90</v>
      </c>
      <c r="C4084" t="s">
        <v>614</v>
      </c>
      <c r="D4084">
        <v>1818.12</v>
      </c>
      <c r="E4084" s="37" t="str">
        <f t="shared" si="315"/>
        <v xml:space="preserve"> </v>
      </c>
      <c r="F4084">
        <v>7.0000000000000007E-2</v>
      </c>
      <c r="G4084" s="37" t="str">
        <f t="shared" si="316"/>
        <v>Normal Discount</v>
      </c>
      <c r="H4084" s="37" t="str">
        <f t="shared" si="317"/>
        <v>Low</v>
      </c>
      <c r="I4084">
        <v>5</v>
      </c>
      <c r="J4084" t="str" cm="1">
        <f t="array" ref="J4084">_xlfn.IFS(I4084&lt;=3,"small",I4084&lt;=6,"Medium",I4084&lt;=9,"Large")</f>
        <v>Medium</v>
      </c>
      <c r="K4084" s="36">
        <v>45294</v>
      </c>
      <c r="L4084" s="36">
        <v>45299</v>
      </c>
      <c r="M4084" t="s">
        <v>612</v>
      </c>
      <c r="N4084" t="s">
        <v>604</v>
      </c>
      <c r="O4084" s="37" t="str">
        <f t="shared" si="318"/>
        <v>Digital Payment</v>
      </c>
      <c r="P4084">
        <v>457.7</v>
      </c>
      <c r="Q4084" s="37" t="str">
        <f>IF(P4084&gt;500,"High","low")</f>
        <v>low</v>
      </c>
      <c r="R4084" s="37" t="str">
        <f t="shared" si="319"/>
        <v>AVERAGE</v>
      </c>
      <c r="S4084" t="s">
        <v>605</v>
      </c>
    </row>
    <row r="4085" spans="1:19" x14ac:dyDescent="0.2">
      <c r="A4085" t="s">
        <v>4696</v>
      </c>
      <c r="B4085" t="s">
        <v>75</v>
      </c>
      <c r="C4085" t="s">
        <v>597</v>
      </c>
      <c r="D4085">
        <v>4587.79</v>
      </c>
      <c r="E4085" s="37" t="str">
        <f t="shared" si="315"/>
        <v>Excellent Order</v>
      </c>
      <c r="F4085">
        <v>0.37</v>
      </c>
      <c r="G4085" s="37" t="str">
        <f t="shared" si="316"/>
        <v>Heavy Discount</v>
      </c>
      <c r="H4085" s="37" t="str">
        <f t="shared" si="317"/>
        <v>Medium</v>
      </c>
      <c r="I4085">
        <v>1</v>
      </c>
      <c r="J4085" t="str" cm="1">
        <f t="array" ref="J4085">_xlfn.IFS(I4085&lt;=3,"small",I4085&lt;=6,"Medium",I4085&lt;=9,"Large")</f>
        <v>small</v>
      </c>
      <c r="K4085" s="36">
        <v>45628</v>
      </c>
      <c r="L4085" s="36">
        <v>45631</v>
      </c>
      <c r="M4085" t="s">
        <v>612</v>
      </c>
      <c r="N4085" t="s">
        <v>608</v>
      </c>
      <c r="O4085" s="37" t="str">
        <f t="shared" si="318"/>
        <v>Cash Payment</v>
      </c>
      <c r="P4085">
        <v>1118.02</v>
      </c>
      <c r="Q4085" s="37" t="str">
        <f>IF(P4085&gt;500,"High","low")</f>
        <v>High</v>
      </c>
      <c r="R4085" s="37" t="str">
        <f t="shared" si="319"/>
        <v>Excellent</v>
      </c>
      <c r="S4085" t="s">
        <v>615</v>
      </c>
    </row>
    <row r="4086" spans="1:19" x14ac:dyDescent="0.2">
      <c r="A4086" t="s">
        <v>4697</v>
      </c>
      <c r="B4086" t="s">
        <v>75</v>
      </c>
      <c r="C4086" t="s">
        <v>617</v>
      </c>
      <c r="D4086">
        <v>2018.34</v>
      </c>
      <c r="E4086" s="37" t="str">
        <f t="shared" si="315"/>
        <v xml:space="preserve"> </v>
      </c>
      <c r="F4086">
        <v>0.15</v>
      </c>
      <c r="G4086" s="37" t="str">
        <f t="shared" si="316"/>
        <v>Normal Discount</v>
      </c>
      <c r="H4086" s="37" t="str">
        <f t="shared" si="317"/>
        <v>Low</v>
      </c>
      <c r="I4086">
        <v>3</v>
      </c>
      <c r="J4086" t="str" cm="1">
        <f t="array" ref="J4086">_xlfn.IFS(I4086&lt;=3,"small",I4086&lt;=6,"Medium",I4086&lt;=9,"Large")</f>
        <v>small</v>
      </c>
      <c r="K4086" s="36">
        <v>45322</v>
      </c>
      <c r="L4086" s="36">
        <v>45326</v>
      </c>
      <c r="M4086" t="s">
        <v>603</v>
      </c>
      <c r="N4086" t="s">
        <v>608</v>
      </c>
      <c r="O4086" s="37" t="str">
        <f t="shared" si="318"/>
        <v>Cash Payment</v>
      </c>
      <c r="P4086">
        <v>387.38</v>
      </c>
      <c r="Q4086" s="37" t="str">
        <f>IF(P4086&gt;500,"High","low")</f>
        <v>low</v>
      </c>
      <c r="R4086" s="37" t="str">
        <f t="shared" si="319"/>
        <v>AVERAGE</v>
      </c>
      <c r="S4086" t="s">
        <v>615</v>
      </c>
    </row>
    <row r="4087" spans="1:19" x14ac:dyDescent="0.2">
      <c r="A4087" t="s">
        <v>4698</v>
      </c>
      <c r="B4087" t="s">
        <v>67</v>
      </c>
      <c r="C4087" t="s">
        <v>602</v>
      </c>
      <c r="D4087">
        <v>4124.21</v>
      </c>
      <c r="E4087" s="37" t="str">
        <f t="shared" si="315"/>
        <v xml:space="preserve"> </v>
      </c>
      <c r="F4087">
        <v>0.13</v>
      </c>
      <c r="G4087" s="37" t="str">
        <f t="shared" si="316"/>
        <v>Normal Discount</v>
      </c>
      <c r="H4087" s="37" t="str">
        <f t="shared" si="317"/>
        <v>Low</v>
      </c>
      <c r="I4087">
        <v>8</v>
      </c>
      <c r="J4087" t="str" cm="1">
        <f t="array" ref="J4087">_xlfn.IFS(I4087&lt;=3,"small",I4087&lt;=6,"Medium",I4087&lt;=9,"Large")</f>
        <v>Large</v>
      </c>
      <c r="K4087" s="36">
        <v>45467</v>
      </c>
      <c r="L4087" s="36">
        <v>45470</v>
      </c>
      <c r="M4087" t="s">
        <v>612</v>
      </c>
      <c r="N4087" t="s">
        <v>608</v>
      </c>
      <c r="O4087" s="37" t="str">
        <f t="shared" si="318"/>
        <v>Cash Payment</v>
      </c>
      <c r="P4087">
        <v>676.37</v>
      </c>
      <c r="Q4087" s="37" t="str">
        <f>IF(P4087&gt;500,"High","low")</f>
        <v>High</v>
      </c>
      <c r="R4087" s="37" t="str">
        <f t="shared" si="319"/>
        <v>Good</v>
      </c>
      <c r="S4087" t="s">
        <v>615</v>
      </c>
    </row>
    <row r="4088" spans="1:19" x14ac:dyDescent="0.2">
      <c r="A4088" t="s">
        <v>4699</v>
      </c>
      <c r="B4088" t="s">
        <v>75</v>
      </c>
      <c r="C4088" t="s">
        <v>602</v>
      </c>
      <c r="D4088">
        <v>1066.76</v>
      </c>
      <c r="E4088" s="37" t="str">
        <f t="shared" si="315"/>
        <v xml:space="preserve"> </v>
      </c>
      <c r="F4088">
        <v>0.41</v>
      </c>
      <c r="G4088" s="37" t="str">
        <f t="shared" si="316"/>
        <v>Heavy Discount</v>
      </c>
      <c r="H4088" s="37" t="str">
        <f t="shared" si="317"/>
        <v>High</v>
      </c>
      <c r="I4088">
        <v>9</v>
      </c>
      <c r="J4088" t="str" cm="1">
        <f t="array" ref="J4088">_xlfn.IFS(I4088&lt;=3,"small",I4088&lt;=6,"Medium",I4088&lt;=9,"Large")</f>
        <v>Large</v>
      </c>
      <c r="K4088" s="36">
        <v>45212</v>
      </c>
      <c r="L4088" s="36">
        <v>45218</v>
      </c>
      <c r="M4088" t="s">
        <v>612</v>
      </c>
      <c r="N4088" t="s">
        <v>608</v>
      </c>
      <c r="O4088" s="37" t="str">
        <f t="shared" si="318"/>
        <v>Cash Payment</v>
      </c>
      <c r="P4088">
        <v>300.47000000000003</v>
      </c>
      <c r="Q4088" s="37" t="str">
        <f>IF(P4088&gt;500,"High","low")</f>
        <v>low</v>
      </c>
      <c r="R4088" s="37" t="str">
        <f t="shared" si="319"/>
        <v>AVERAGE</v>
      </c>
      <c r="S4088" t="s">
        <v>605</v>
      </c>
    </row>
    <row r="4089" spans="1:19" x14ac:dyDescent="0.2">
      <c r="A4089" t="s">
        <v>4700</v>
      </c>
      <c r="B4089" t="s">
        <v>75</v>
      </c>
      <c r="C4089" t="s">
        <v>602</v>
      </c>
      <c r="D4089">
        <v>336.03</v>
      </c>
      <c r="E4089" s="37" t="str">
        <f t="shared" si="315"/>
        <v xml:space="preserve"> </v>
      </c>
      <c r="F4089">
        <v>0.28000000000000003</v>
      </c>
      <c r="G4089" s="37" t="str">
        <f t="shared" si="316"/>
        <v>Normal Discount</v>
      </c>
      <c r="H4089" s="37" t="str">
        <f t="shared" si="317"/>
        <v>Medium</v>
      </c>
      <c r="I4089">
        <v>3</v>
      </c>
      <c r="J4089" t="str" cm="1">
        <f t="array" ref="J4089">_xlfn.IFS(I4089&lt;=3,"small",I4089&lt;=6,"Medium",I4089&lt;=9,"Large")</f>
        <v>small</v>
      </c>
      <c r="K4089" s="36">
        <v>45588</v>
      </c>
      <c r="L4089" s="36">
        <v>45594</v>
      </c>
      <c r="M4089" t="s">
        <v>612</v>
      </c>
      <c r="N4089" t="s">
        <v>608</v>
      </c>
      <c r="O4089" s="37" t="str">
        <f t="shared" si="318"/>
        <v>Cash Payment</v>
      </c>
      <c r="P4089">
        <v>26.42</v>
      </c>
      <c r="Q4089" s="37" t="str">
        <f>IF(P4089&gt;500,"High","low")</f>
        <v>low</v>
      </c>
      <c r="R4089" s="37" t="str">
        <f t="shared" si="319"/>
        <v>AVERAGE</v>
      </c>
      <c r="S4089" t="s">
        <v>628</v>
      </c>
    </row>
    <row r="4090" spans="1:19" x14ac:dyDescent="0.2">
      <c r="A4090" t="s">
        <v>4701</v>
      </c>
      <c r="B4090" t="s">
        <v>83</v>
      </c>
      <c r="C4090" t="s">
        <v>607</v>
      </c>
      <c r="D4090">
        <v>3930.22</v>
      </c>
      <c r="E4090" s="37" t="str">
        <f t="shared" si="315"/>
        <v xml:space="preserve"> </v>
      </c>
      <c r="F4090">
        <v>0.1</v>
      </c>
      <c r="G4090" s="37" t="str">
        <f t="shared" si="316"/>
        <v>Normal Discount</v>
      </c>
      <c r="H4090" s="37" t="str">
        <f t="shared" si="317"/>
        <v>Low</v>
      </c>
      <c r="I4090">
        <v>9</v>
      </c>
      <c r="J4090" t="str" cm="1">
        <f t="array" ref="J4090">_xlfn.IFS(I4090&lt;=3,"small",I4090&lt;=6,"Medium",I4090&lt;=9,"Large")</f>
        <v>Large</v>
      </c>
      <c r="K4090" s="36">
        <v>45263</v>
      </c>
      <c r="L4090" s="36">
        <v>45269</v>
      </c>
      <c r="M4090" t="s">
        <v>603</v>
      </c>
      <c r="N4090" t="s">
        <v>608</v>
      </c>
      <c r="O4090" s="37" t="str">
        <f t="shared" si="318"/>
        <v>Cash Payment</v>
      </c>
      <c r="P4090">
        <v>698.49</v>
      </c>
      <c r="Q4090" s="37" t="str">
        <f>IF(P4090&gt;500,"High","low")</f>
        <v>High</v>
      </c>
      <c r="R4090" s="37" t="str">
        <f t="shared" si="319"/>
        <v>Good</v>
      </c>
      <c r="S4090" t="s">
        <v>615</v>
      </c>
    </row>
    <row r="4091" spans="1:19" x14ac:dyDescent="0.2">
      <c r="A4091" t="s">
        <v>4702</v>
      </c>
      <c r="B4091" t="s">
        <v>67</v>
      </c>
      <c r="C4091" t="s">
        <v>602</v>
      </c>
      <c r="D4091">
        <v>2755.19</v>
      </c>
      <c r="E4091" s="37" t="str">
        <f t="shared" si="315"/>
        <v xml:space="preserve"> </v>
      </c>
      <c r="F4091">
        <v>0</v>
      </c>
      <c r="G4091" s="37" t="str">
        <f t="shared" si="316"/>
        <v>Normal Discount</v>
      </c>
      <c r="H4091" s="37" t="str">
        <f t="shared" si="317"/>
        <v>Low</v>
      </c>
      <c r="I4091">
        <v>7</v>
      </c>
      <c r="J4091" t="str" cm="1">
        <f t="array" ref="J4091">_xlfn.IFS(I4091&lt;=3,"small",I4091&lt;=6,"Medium",I4091&lt;=9,"Large")</f>
        <v>Large</v>
      </c>
      <c r="K4091" s="36">
        <v>45235</v>
      </c>
      <c r="L4091" s="36">
        <v>45238</v>
      </c>
      <c r="M4091" t="s">
        <v>603</v>
      </c>
      <c r="N4091" t="s">
        <v>608</v>
      </c>
      <c r="O4091" s="37" t="str">
        <f t="shared" si="318"/>
        <v>Cash Payment</v>
      </c>
      <c r="P4091">
        <v>358.92</v>
      </c>
      <c r="Q4091" s="37" t="str">
        <f>IF(P4091&gt;500,"High","low")</f>
        <v>low</v>
      </c>
      <c r="R4091" s="37" t="str">
        <f t="shared" si="319"/>
        <v>AVERAGE</v>
      </c>
      <c r="S4091" t="s">
        <v>609</v>
      </c>
    </row>
    <row r="4092" spans="1:19" x14ac:dyDescent="0.2">
      <c r="A4092" t="s">
        <v>4703</v>
      </c>
      <c r="B4092" t="s">
        <v>83</v>
      </c>
      <c r="C4092" t="s">
        <v>602</v>
      </c>
      <c r="D4092">
        <v>2568.2600000000002</v>
      </c>
      <c r="E4092" s="37" t="str">
        <f t="shared" si="315"/>
        <v xml:space="preserve"> </v>
      </c>
      <c r="F4092">
        <v>0.49</v>
      </c>
      <c r="G4092" s="37" t="str">
        <f t="shared" si="316"/>
        <v>Heavy Discount</v>
      </c>
      <c r="H4092" s="37" t="str">
        <f t="shared" si="317"/>
        <v>High</v>
      </c>
      <c r="I4092">
        <v>8</v>
      </c>
      <c r="J4092" t="str" cm="1">
        <f t="array" ref="J4092">_xlfn.IFS(I4092&lt;=3,"small",I4092&lt;=6,"Medium",I4092&lt;=9,"Large")</f>
        <v>Large</v>
      </c>
      <c r="K4092" s="36">
        <v>45145</v>
      </c>
      <c r="L4092" s="36">
        <v>45148</v>
      </c>
      <c r="M4092" t="s">
        <v>612</v>
      </c>
      <c r="N4092" t="s">
        <v>608</v>
      </c>
      <c r="O4092" s="37" t="str">
        <f t="shared" si="318"/>
        <v>Cash Payment</v>
      </c>
      <c r="P4092">
        <v>414.37</v>
      </c>
      <c r="Q4092" s="37" t="str">
        <f>IF(P4092&gt;500,"High","low")</f>
        <v>low</v>
      </c>
      <c r="R4092" s="37" t="str">
        <f t="shared" si="319"/>
        <v>AVERAGE</v>
      </c>
      <c r="S4092" t="s">
        <v>609</v>
      </c>
    </row>
    <row r="4093" spans="1:19" x14ac:dyDescent="0.2">
      <c r="A4093" t="s">
        <v>4704</v>
      </c>
      <c r="B4093" t="s">
        <v>90</v>
      </c>
      <c r="C4093" t="s">
        <v>617</v>
      </c>
      <c r="D4093">
        <v>1433.81</v>
      </c>
      <c r="E4093" s="37" t="str">
        <f t="shared" si="315"/>
        <v xml:space="preserve"> </v>
      </c>
      <c r="F4093">
        <v>0.22</v>
      </c>
      <c r="G4093" s="37" t="str">
        <f t="shared" si="316"/>
        <v>Normal Discount</v>
      </c>
      <c r="H4093" s="37" t="str">
        <f t="shared" si="317"/>
        <v>Medium</v>
      </c>
      <c r="I4093">
        <v>6</v>
      </c>
      <c r="J4093" t="str" cm="1">
        <f t="array" ref="J4093">_xlfn.IFS(I4093&lt;=3,"small",I4093&lt;=6,"Medium",I4093&lt;=9,"Large")</f>
        <v>Medium</v>
      </c>
      <c r="K4093" s="36">
        <v>45317</v>
      </c>
      <c r="L4093" s="36">
        <v>45322</v>
      </c>
      <c r="M4093" t="s">
        <v>603</v>
      </c>
      <c r="N4093" t="s">
        <v>599</v>
      </c>
      <c r="O4093" s="37" t="str">
        <f t="shared" si="318"/>
        <v>Digital Payment</v>
      </c>
      <c r="P4093">
        <v>301.07</v>
      </c>
      <c r="Q4093" s="37" t="str">
        <f>IF(P4093&gt;500,"High","low")</f>
        <v>low</v>
      </c>
      <c r="R4093" s="37" t="str">
        <f t="shared" si="319"/>
        <v>AVERAGE</v>
      </c>
      <c r="S4093" t="s">
        <v>620</v>
      </c>
    </row>
    <row r="4094" spans="1:19" x14ac:dyDescent="0.2">
      <c r="A4094" t="s">
        <v>4705</v>
      </c>
      <c r="B4094" t="s">
        <v>75</v>
      </c>
      <c r="C4094" t="s">
        <v>597</v>
      </c>
      <c r="D4094">
        <v>454.35</v>
      </c>
      <c r="E4094" s="37" t="str">
        <f t="shared" si="315"/>
        <v xml:space="preserve"> </v>
      </c>
      <c r="F4094">
        <v>0.2</v>
      </c>
      <c r="G4094" s="37" t="str">
        <f t="shared" si="316"/>
        <v>Normal Discount</v>
      </c>
      <c r="H4094" s="37" t="str">
        <f t="shared" si="317"/>
        <v>Medium</v>
      </c>
      <c r="I4094">
        <v>5</v>
      </c>
      <c r="J4094" t="str" cm="1">
        <f t="array" ref="J4094">_xlfn.IFS(I4094&lt;=3,"small",I4094&lt;=6,"Medium",I4094&lt;=9,"Large")</f>
        <v>Medium</v>
      </c>
      <c r="K4094" s="36">
        <v>44972</v>
      </c>
      <c r="L4094" s="36">
        <v>44975</v>
      </c>
      <c r="M4094" t="s">
        <v>612</v>
      </c>
      <c r="N4094" t="s">
        <v>604</v>
      </c>
      <c r="O4094" s="37" t="str">
        <f t="shared" si="318"/>
        <v>Digital Payment</v>
      </c>
      <c r="P4094">
        <v>88.37</v>
      </c>
      <c r="Q4094" s="37" t="str">
        <f>IF(P4094&gt;500,"High","low")</f>
        <v>low</v>
      </c>
      <c r="R4094" s="37" t="str">
        <f t="shared" si="319"/>
        <v>AVERAGE</v>
      </c>
      <c r="S4094" t="s">
        <v>620</v>
      </c>
    </row>
    <row r="4095" spans="1:19" x14ac:dyDescent="0.2">
      <c r="A4095" t="s">
        <v>4706</v>
      </c>
      <c r="B4095" t="s">
        <v>90</v>
      </c>
      <c r="C4095" t="s">
        <v>617</v>
      </c>
      <c r="D4095">
        <v>2466.0100000000002</v>
      </c>
      <c r="E4095" s="37" t="str">
        <f t="shared" si="315"/>
        <v xml:space="preserve"> </v>
      </c>
      <c r="F4095">
        <v>0.03</v>
      </c>
      <c r="G4095" s="37" t="str">
        <f t="shared" si="316"/>
        <v>Normal Discount</v>
      </c>
      <c r="H4095" s="37" t="str">
        <f t="shared" si="317"/>
        <v>Low</v>
      </c>
      <c r="I4095">
        <v>8</v>
      </c>
      <c r="J4095" t="str" cm="1">
        <f t="array" ref="J4095">_xlfn.IFS(I4095&lt;=3,"small",I4095&lt;=6,"Medium",I4095&lt;=9,"Large")</f>
        <v>Large</v>
      </c>
      <c r="K4095" s="36">
        <v>44937</v>
      </c>
      <c r="L4095" s="36">
        <v>44942</v>
      </c>
      <c r="M4095" t="s">
        <v>612</v>
      </c>
      <c r="N4095" t="s">
        <v>599</v>
      </c>
      <c r="O4095" s="37" t="str">
        <f t="shared" si="318"/>
        <v>Digital Payment</v>
      </c>
      <c r="P4095">
        <v>563.19000000000005</v>
      </c>
      <c r="Q4095" s="37" t="str">
        <f>IF(P4095&gt;500,"High","low")</f>
        <v>High</v>
      </c>
      <c r="R4095" s="37" t="str">
        <f t="shared" si="319"/>
        <v>Good</v>
      </c>
      <c r="S4095" t="s">
        <v>628</v>
      </c>
    </row>
    <row r="4096" spans="1:19" x14ac:dyDescent="0.2">
      <c r="A4096" t="s">
        <v>4707</v>
      </c>
      <c r="B4096" t="s">
        <v>83</v>
      </c>
      <c r="C4096" t="s">
        <v>607</v>
      </c>
      <c r="D4096">
        <v>4349.41</v>
      </c>
      <c r="E4096" s="37" t="str">
        <f t="shared" si="315"/>
        <v xml:space="preserve"> </v>
      </c>
      <c r="F4096">
        <v>0.45</v>
      </c>
      <c r="G4096" s="37" t="str">
        <f t="shared" si="316"/>
        <v>Heavy Discount</v>
      </c>
      <c r="H4096" s="37" t="str">
        <f t="shared" si="317"/>
        <v>High</v>
      </c>
      <c r="I4096">
        <v>2</v>
      </c>
      <c r="J4096" t="str" cm="1">
        <f t="array" ref="J4096">_xlfn.IFS(I4096&lt;=3,"small",I4096&lt;=6,"Medium",I4096&lt;=9,"Large")</f>
        <v>small</v>
      </c>
      <c r="K4096" s="36">
        <v>44942</v>
      </c>
      <c r="L4096" s="36">
        <v>44944</v>
      </c>
      <c r="M4096" t="s">
        <v>612</v>
      </c>
      <c r="N4096" t="s">
        <v>604</v>
      </c>
      <c r="O4096" s="37" t="str">
        <f t="shared" si="318"/>
        <v>Digital Payment</v>
      </c>
      <c r="P4096">
        <v>237.39</v>
      </c>
      <c r="Q4096" s="37" t="str">
        <f>IF(P4096&gt;500,"High","low")</f>
        <v>low</v>
      </c>
      <c r="R4096" s="37" t="str">
        <f t="shared" si="319"/>
        <v>AVERAGE</v>
      </c>
      <c r="S4096" t="s">
        <v>620</v>
      </c>
    </row>
    <row r="4097" spans="1:19" x14ac:dyDescent="0.2">
      <c r="A4097" t="s">
        <v>4708</v>
      </c>
      <c r="B4097" t="s">
        <v>75</v>
      </c>
      <c r="C4097" t="s">
        <v>602</v>
      </c>
      <c r="D4097">
        <v>688.11</v>
      </c>
      <c r="E4097" s="37" t="str">
        <f t="shared" si="315"/>
        <v xml:space="preserve"> </v>
      </c>
      <c r="F4097">
        <v>7.0000000000000007E-2</v>
      </c>
      <c r="G4097" s="37" t="str">
        <f t="shared" si="316"/>
        <v>Normal Discount</v>
      </c>
      <c r="H4097" s="37" t="str">
        <f t="shared" si="317"/>
        <v>Low</v>
      </c>
      <c r="I4097">
        <v>7</v>
      </c>
      <c r="J4097" t="str" cm="1">
        <f t="array" ref="J4097">_xlfn.IFS(I4097&lt;=3,"small",I4097&lt;=6,"Medium",I4097&lt;=9,"Large")</f>
        <v>Large</v>
      </c>
      <c r="K4097" s="36">
        <v>45108</v>
      </c>
      <c r="L4097" s="36">
        <v>45111</v>
      </c>
      <c r="M4097" t="s">
        <v>612</v>
      </c>
      <c r="N4097" t="s">
        <v>599</v>
      </c>
      <c r="O4097" s="37" t="str">
        <f t="shared" si="318"/>
        <v>Digital Payment</v>
      </c>
      <c r="P4097">
        <v>117.04</v>
      </c>
      <c r="Q4097" s="37" t="str">
        <f>IF(P4097&gt;500,"High","low")</f>
        <v>low</v>
      </c>
      <c r="R4097" s="37" t="str">
        <f t="shared" si="319"/>
        <v>AVERAGE</v>
      </c>
      <c r="S4097" t="s">
        <v>600</v>
      </c>
    </row>
    <row r="4098" spans="1:19" x14ac:dyDescent="0.2">
      <c r="A4098" t="s">
        <v>4709</v>
      </c>
      <c r="B4098" t="s">
        <v>75</v>
      </c>
      <c r="C4098" t="s">
        <v>597</v>
      </c>
      <c r="D4098">
        <v>4652.9399999999996</v>
      </c>
      <c r="E4098" s="37" t="str">
        <f t="shared" si="315"/>
        <v>Excellent Order</v>
      </c>
      <c r="F4098">
        <v>0.17</v>
      </c>
      <c r="G4098" s="37" t="str">
        <f t="shared" si="316"/>
        <v>Normal Discount</v>
      </c>
      <c r="H4098" s="37" t="str">
        <f t="shared" si="317"/>
        <v>Low</v>
      </c>
      <c r="I4098">
        <v>1</v>
      </c>
      <c r="J4098" t="str" cm="1">
        <f t="array" ref="J4098">_xlfn.IFS(I4098&lt;=3,"small",I4098&lt;=6,"Medium",I4098&lt;=9,"Large")</f>
        <v>small</v>
      </c>
      <c r="K4098" s="36">
        <v>45623</v>
      </c>
      <c r="L4098" s="36">
        <v>45624</v>
      </c>
      <c r="M4098" t="s">
        <v>598</v>
      </c>
      <c r="N4098" t="s">
        <v>604</v>
      </c>
      <c r="O4098" s="37" t="str">
        <f t="shared" si="318"/>
        <v>Digital Payment</v>
      </c>
      <c r="P4098">
        <v>1037.1500000000001</v>
      </c>
      <c r="Q4098" s="37" t="str">
        <f>IF(P4098&gt;500,"High","low")</f>
        <v>High</v>
      </c>
      <c r="R4098" s="37" t="str">
        <f t="shared" si="319"/>
        <v>Excellent</v>
      </c>
      <c r="S4098" t="s">
        <v>615</v>
      </c>
    </row>
    <row r="4099" spans="1:19" x14ac:dyDescent="0.2">
      <c r="A4099" t="s">
        <v>4710</v>
      </c>
      <c r="B4099" t="s">
        <v>83</v>
      </c>
      <c r="C4099" t="s">
        <v>602</v>
      </c>
      <c r="D4099">
        <v>1446.17</v>
      </c>
      <c r="E4099" s="37" t="str">
        <f t="shared" ref="E4099:E4162" si="320">IF(AND(D4099&gt;4000,P4099&gt;800),"Excellent Order"," ")</f>
        <v xml:space="preserve"> </v>
      </c>
      <c r="F4099">
        <v>0.21</v>
      </c>
      <c r="G4099" s="37" t="str">
        <f t="shared" ref="G4099:G4162" si="321">IF(F4099&gt;30%,"Heavy Discount","Normal Discount")</f>
        <v>Normal Discount</v>
      </c>
      <c r="H4099" s="37" t="str">
        <f t="shared" ref="H4099:H4162" si="322">IF(F4099&gt;0.4,"High",IF(F4099&gt;=0.2,"Medium","Low"))</f>
        <v>Medium</v>
      </c>
      <c r="I4099">
        <v>7</v>
      </c>
      <c r="J4099" t="str" cm="1">
        <f t="array" ref="J4099">_xlfn.IFS(I4099&lt;=3,"small",I4099&lt;=6,"Medium",I4099&lt;=9,"Large")</f>
        <v>Large</v>
      </c>
      <c r="K4099" s="36">
        <v>45474</v>
      </c>
      <c r="L4099" s="36">
        <v>45479</v>
      </c>
      <c r="M4099" t="s">
        <v>598</v>
      </c>
      <c r="N4099" t="s">
        <v>608</v>
      </c>
      <c r="O4099" s="37" t="str">
        <f t="shared" ref="O4099:O4162" si="323">IF(OR(N4099="Card",N4099="UPI"),"Digital Payment","Cash Payment")</f>
        <v>Cash Payment</v>
      </c>
      <c r="P4099">
        <v>359.54</v>
      </c>
      <c r="Q4099" s="37" t="str">
        <f>IF(P4099&gt;500,"High","low")</f>
        <v>low</v>
      </c>
      <c r="R4099" s="37" t="str">
        <f t="shared" ref="R4099:R4162" si="324">IF(P4099&gt;1000,"Excellent",IF(P4099&gt;=500,"Good","AVERAGE"))</f>
        <v>AVERAGE</v>
      </c>
      <c r="S4099" t="s">
        <v>609</v>
      </c>
    </row>
    <row r="4100" spans="1:19" x14ac:dyDescent="0.2">
      <c r="A4100" t="s">
        <v>4711</v>
      </c>
      <c r="B4100" t="s">
        <v>83</v>
      </c>
      <c r="C4100" t="s">
        <v>602</v>
      </c>
      <c r="D4100">
        <v>2707.71</v>
      </c>
      <c r="E4100" s="37" t="str">
        <f t="shared" si="320"/>
        <v xml:space="preserve"> </v>
      </c>
      <c r="F4100">
        <v>0.41</v>
      </c>
      <c r="G4100" s="37" t="str">
        <f t="shared" si="321"/>
        <v>Heavy Discount</v>
      </c>
      <c r="H4100" s="37" t="str">
        <f t="shared" si="322"/>
        <v>High</v>
      </c>
      <c r="I4100">
        <v>6</v>
      </c>
      <c r="J4100" t="str" cm="1">
        <f t="array" ref="J4100">_xlfn.IFS(I4100&lt;=3,"small",I4100&lt;=6,"Medium",I4100&lt;=9,"Large")</f>
        <v>Medium</v>
      </c>
      <c r="K4100" s="36">
        <v>44977</v>
      </c>
      <c r="L4100" s="36">
        <v>44984</v>
      </c>
      <c r="M4100" t="s">
        <v>612</v>
      </c>
      <c r="N4100" t="s">
        <v>608</v>
      </c>
      <c r="O4100" s="37" t="str">
        <f t="shared" si="323"/>
        <v>Cash Payment</v>
      </c>
      <c r="P4100">
        <v>212.56</v>
      </c>
      <c r="Q4100" s="37" t="str">
        <f>IF(P4100&gt;500,"High","low")</f>
        <v>low</v>
      </c>
      <c r="R4100" s="37" t="str">
        <f t="shared" si="324"/>
        <v>AVERAGE</v>
      </c>
      <c r="S4100" t="s">
        <v>600</v>
      </c>
    </row>
    <row r="4101" spans="1:19" x14ac:dyDescent="0.2">
      <c r="A4101" t="s">
        <v>4712</v>
      </c>
      <c r="B4101" t="s">
        <v>83</v>
      </c>
      <c r="C4101" t="s">
        <v>607</v>
      </c>
      <c r="D4101">
        <v>425.89</v>
      </c>
      <c r="E4101" s="37" t="str">
        <f t="shared" si="320"/>
        <v xml:space="preserve"> </v>
      </c>
      <c r="F4101">
        <v>0.18</v>
      </c>
      <c r="G4101" s="37" t="str">
        <f t="shared" si="321"/>
        <v>Normal Discount</v>
      </c>
      <c r="H4101" s="37" t="str">
        <f t="shared" si="322"/>
        <v>Low</v>
      </c>
      <c r="I4101">
        <v>4</v>
      </c>
      <c r="J4101" t="str" cm="1">
        <f t="array" ref="J4101">_xlfn.IFS(I4101&lt;=3,"small",I4101&lt;=6,"Medium",I4101&lt;=9,"Large")</f>
        <v>Medium</v>
      </c>
      <c r="K4101" s="36">
        <v>45076</v>
      </c>
      <c r="L4101" s="36">
        <v>45078</v>
      </c>
      <c r="M4101" t="s">
        <v>612</v>
      </c>
      <c r="N4101" t="s">
        <v>604</v>
      </c>
      <c r="O4101" s="37" t="str">
        <f t="shared" si="323"/>
        <v>Digital Payment</v>
      </c>
      <c r="P4101">
        <v>55.05</v>
      </c>
      <c r="Q4101" s="37" t="str">
        <f>IF(P4101&gt;500,"High","low")</f>
        <v>low</v>
      </c>
      <c r="R4101" s="37" t="str">
        <f t="shared" si="324"/>
        <v>AVERAGE</v>
      </c>
      <c r="S4101" t="s">
        <v>628</v>
      </c>
    </row>
    <row r="4102" spans="1:19" x14ac:dyDescent="0.2">
      <c r="A4102" t="s">
        <v>4713</v>
      </c>
      <c r="B4102" t="s">
        <v>83</v>
      </c>
      <c r="C4102" t="s">
        <v>602</v>
      </c>
      <c r="D4102">
        <v>2182.73</v>
      </c>
      <c r="E4102" s="37" t="str">
        <f t="shared" si="320"/>
        <v xml:space="preserve"> </v>
      </c>
      <c r="F4102">
        <v>0.27</v>
      </c>
      <c r="G4102" s="37" t="str">
        <f t="shared" si="321"/>
        <v>Normal Discount</v>
      </c>
      <c r="H4102" s="37" t="str">
        <f t="shared" si="322"/>
        <v>Medium</v>
      </c>
      <c r="I4102">
        <v>3</v>
      </c>
      <c r="J4102" t="str" cm="1">
        <f t="array" ref="J4102">_xlfn.IFS(I4102&lt;=3,"small",I4102&lt;=6,"Medium",I4102&lt;=9,"Large")</f>
        <v>small</v>
      </c>
      <c r="K4102" s="36">
        <v>45414</v>
      </c>
      <c r="L4102" s="36">
        <v>45419</v>
      </c>
      <c r="M4102" t="s">
        <v>603</v>
      </c>
      <c r="N4102" t="s">
        <v>599</v>
      </c>
      <c r="O4102" s="37" t="str">
        <f t="shared" si="323"/>
        <v>Digital Payment</v>
      </c>
      <c r="P4102">
        <v>428.43</v>
      </c>
      <c r="Q4102" s="37" t="str">
        <f>IF(P4102&gt;500,"High","low")</f>
        <v>low</v>
      </c>
      <c r="R4102" s="37" t="str">
        <f t="shared" si="324"/>
        <v>AVERAGE</v>
      </c>
      <c r="S4102" t="s">
        <v>605</v>
      </c>
    </row>
    <row r="4103" spans="1:19" x14ac:dyDescent="0.2">
      <c r="A4103" t="s">
        <v>4714</v>
      </c>
      <c r="B4103" t="s">
        <v>83</v>
      </c>
      <c r="C4103" t="s">
        <v>614</v>
      </c>
      <c r="D4103">
        <v>716.9</v>
      </c>
      <c r="E4103" s="37" t="str">
        <f t="shared" si="320"/>
        <v xml:space="preserve"> </v>
      </c>
      <c r="F4103">
        <v>0.21</v>
      </c>
      <c r="G4103" s="37" t="str">
        <f t="shared" si="321"/>
        <v>Normal Discount</v>
      </c>
      <c r="H4103" s="37" t="str">
        <f t="shared" si="322"/>
        <v>Medium</v>
      </c>
      <c r="I4103">
        <v>9</v>
      </c>
      <c r="J4103" t="str" cm="1">
        <f t="array" ref="J4103">_xlfn.IFS(I4103&lt;=3,"small",I4103&lt;=6,"Medium",I4103&lt;=9,"Large")</f>
        <v>Large</v>
      </c>
      <c r="K4103" s="36">
        <v>45347</v>
      </c>
      <c r="L4103" s="36">
        <v>45354</v>
      </c>
      <c r="M4103" t="s">
        <v>612</v>
      </c>
      <c r="N4103" t="s">
        <v>608</v>
      </c>
      <c r="O4103" s="37" t="str">
        <f t="shared" si="323"/>
        <v>Cash Payment</v>
      </c>
      <c r="P4103">
        <v>104.9</v>
      </c>
      <c r="Q4103" s="37" t="str">
        <f>IF(P4103&gt;500,"High","low")</f>
        <v>low</v>
      </c>
      <c r="R4103" s="37" t="str">
        <f t="shared" si="324"/>
        <v>AVERAGE</v>
      </c>
      <c r="S4103" t="s">
        <v>628</v>
      </c>
    </row>
    <row r="4104" spans="1:19" x14ac:dyDescent="0.2">
      <c r="A4104" t="s">
        <v>4715</v>
      </c>
      <c r="B4104" t="s">
        <v>75</v>
      </c>
      <c r="C4104" t="s">
        <v>597</v>
      </c>
      <c r="D4104">
        <v>335.07</v>
      </c>
      <c r="E4104" s="37" t="str">
        <f t="shared" si="320"/>
        <v xml:space="preserve"> </v>
      </c>
      <c r="F4104">
        <v>0.16</v>
      </c>
      <c r="G4104" s="37" t="str">
        <f t="shared" si="321"/>
        <v>Normal Discount</v>
      </c>
      <c r="H4104" s="37" t="str">
        <f t="shared" si="322"/>
        <v>Low</v>
      </c>
      <c r="I4104">
        <v>6</v>
      </c>
      <c r="J4104" t="str" cm="1">
        <f t="array" ref="J4104">_xlfn.IFS(I4104&lt;=3,"small",I4104&lt;=6,"Medium",I4104&lt;=9,"Large")</f>
        <v>Medium</v>
      </c>
      <c r="K4104" s="36">
        <v>45185</v>
      </c>
      <c r="L4104" s="36">
        <v>45188</v>
      </c>
      <c r="M4104" t="s">
        <v>603</v>
      </c>
      <c r="N4104" t="s">
        <v>604</v>
      </c>
      <c r="O4104" s="37" t="str">
        <f t="shared" si="323"/>
        <v>Digital Payment</v>
      </c>
      <c r="P4104">
        <v>49.44</v>
      </c>
      <c r="Q4104" s="37" t="str">
        <f>IF(P4104&gt;500,"High","low")</f>
        <v>low</v>
      </c>
      <c r="R4104" s="37" t="str">
        <f t="shared" si="324"/>
        <v>AVERAGE</v>
      </c>
      <c r="S4104" t="s">
        <v>615</v>
      </c>
    </row>
    <row r="4105" spans="1:19" x14ac:dyDescent="0.2">
      <c r="A4105" t="s">
        <v>4716</v>
      </c>
      <c r="B4105" t="s">
        <v>83</v>
      </c>
      <c r="C4105" t="s">
        <v>597</v>
      </c>
      <c r="D4105">
        <v>4836.13</v>
      </c>
      <c r="E4105" s="37" t="str">
        <f t="shared" si="320"/>
        <v xml:space="preserve"> </v>
      </c>
      <c r="F4105">
        <v>0.47</v>
      </c>
      <c r="G4105" s="37" t="str">
        <f t="shared" si="321"/>
        <v>Heavy Discount</v>
      </c>
      <c r="H4105" s="37" t="str">
        <f t="shared" si="322"/>
        <v>High</v>
      </c>
      <c r="I4105">
        <v>6</v>
      </c>
      <c r="J4105" t="str" cm="1">
        <f t="array" ref="J4105">_xlfn.IFS(I4105&lt;=3,"small",I4105&lt;=6,"Medium",I4105&lt;=9,"Large")</f>
        <v>Medium</v>
      </c>
      <c r="K4105" s="36">
        <v>45217</v>
      </c>
      <c r="L4105" s="36">
        <v>45222</v>
      </c>
      <c r="M4105" t="s">
        <v>598</v>
      </c>
      <c r="N4105" t="s">
        <v>608</v>
      </c>
      <c r="O4105" s="37" t="str">
        <f t="shared" si="323"/>
        <v>Cash Payment</v>
      </c>
      <c r="P4105">
        <v>437.34</v>
      </c>
      <c r="Q4105" s="37" t="str">
        <f>IF(P4105&gt;500,"High","low")</f>
        <v>low</v>
      </c>
      <c r="R4105" s="37" t="str">
        <f t="shared" si="324"/>
        <v>AVERAGE</v>
      </c>
      <c r="S4105" t="s">
        <v>605</v>
      </c>
    </row>
    <row r="4106" spans="1:19" x14ac:dyDescent="0.2">
      <c r="A4106" t="s">
        <v>4717</v>
      </c>
      <c r="B4106" t="s">
        <v>75</v>
      </c>
      <c r="C4106" t="s">
        <v>614</v>
      </c>
      <c r="D4106">
        <v>3677.46</v>
      </c>
      <c r="E4106" s="37" t="str">
        <f t="shared" si="320"/>
        <v xml:space="preserve"> </v>
      </c>
      <c r="F4106">
        <v>0.4</v>
      </c>
      <c r="G4106" s="37" t="str">
        <f t="shared" si="321"/>
        <v>Heavy Discount</v>
      </c>
      <c r="H4106" s="37" t="str">
        <f t="shared" si="322"/>
        <v>Medium</v>
      </c>
      <c r="I4106">
        <v>1</v>
      </c>
      <c r="J4106" t="str" cm="1">
        <f t="array" ref="J4106">_xlfn.IFS(I4106&lt;=3,"small",I4106&lt;=6,"Medium",I4106&lt;=9,"Large")</f>
        <v>small</v>
      </c>
      <c r="K4106" s="36">
        <v>45551</v>
      </c>
      <c r="L4106" s="36">
        <v>45555</v>
      </c>
      <c r="M4106" t="s">
        <v>598</v>
      </c>
      <c r="N4106" t="s">
        <v>608</v>
      </c>
      <c r="O4106" s="37" t="str">
        <f t="shared" si="323"/>
        <v>Cash Payment</v>
      </c>
      <c r="P4106">
        <v>385.31</v>
      </c>
      <c r="Q4106" s="37" t="str">
        <f>IF(P4106&gt;500,"High","low")</f>
        <v>low</v>
      </c>
      <c r="R4106" s="37" t="str">
        <f t="shared" si="324"/>
        <v>AVERAGE</v>
      </c>
      <c r="S4106" t="s">
        <v>620</v>
      </c>
    </row>
    <row r="4107" spans="1:19" x14ac:dyDescent="0.2">
      <c r="A4107" t="s">
        <v>4718</v>
      </c>
      <c r="B4107" t="s">
        <v>75</v>
      </c>
      <c r="C4107" t="s">
        <v>607</v>
      </c>
      <c r="D4107">
        <v>3623.38</v>
      </c>
      <c r="E4107" s="37" t="str">
        <f t="shared" si="320"/>
        <v xml:space="preserve"> </v>
      </c>
      <c r="F4107">
        <v>0.09</v>
      </c>
      <c r="G4107" s="37" t="str">
        <f t="shared" si="321"/>
        <v>Normal Discount</v>
      </c>
      <c r="H4107" s="37" t="str">
        <f t="shared" si="322"/>
        <v>Low</v>
      </c>
      <c r="I4107">
        <v>5</v>
      </c>
      <c r="J4107" t="str" cm="1">
        <f t="array" ref="J4107">_xlfn.IFS(I4107&lt;=3,"small",I4107&lt;=6,"Medium",I4107&lt;=9,"Large")</f>
        <v>Medium</v>
      </c>
      <c r="K4107" s="36">
        <v>45288</v>
      </c>
      <c r="L4107" s="36">
        <v>45292</v>
      </c>
      <c r="M4107" t="s">
        <v>603</v>
      </c>
      <c r="N4107" t="s">
        <v>608</v>
      </c>
      <c r="O4107" s="37" t="str">
        <f t="shared" si="323"/>
        <v>Cash Payment</v>
      </c>
      <c r="P4107">
        <v>435.64</v>
      </c>
      <c r="Q4107" s="37" t="str">
        <f>IF(P4107&gt;500,"High","low")</f>
        <v>low</v>
      </c>
      <c r="R4107" s="37" t="str">
        <f t="shared" si="324"/>
        <v>AVERAGE</v>
      </c>
      <c r="S4107" t="s">
        <v>600</v>
      </c>
    </row>
    <row r="4108" spans="1:19" x14ac:dyDescent="0.2">
      <c r="A4108" t="s">
        <v>4719</v>
      </c>
      <c r="B4108" t="s">
        <v>83</v>
      </c>
      <c r="C4108" t="s">
        <v>602</v>
      </c>
      <c r="D4108">
        <v>543.69000000000005</v>
      </c>
      <c r="E4108" s="37" t="str">
        <f t="shared" si="320"/>
        <v xml:space="preserve"> </v>
      </c>
      <c r="F4108">
        <v>0.28000000000000003</v>
      </c>
      <c r="G4108" s="37" t="str">
        <f t="shared" si="321"/>
        <v>Normal Discount</v>
      </c>
      <c r="H4108" s="37" t="str">
        <f t="shared" si="322"/>
        <v>Medium</v>
      </c>
      <c r="I4108">
        <v>7</v>
      </c>
      <c r="J4108" t="str" cm="1">
        <f t="array" ref="J4108">_xlfn.IFS(I4108&lt;=3,"small",I4108&lt;=6,"Medium",I4108&lt;=9,"Large")</f>
        <v>Large</v>
      </c>
      <c r="K4108" s="36">
        <v>45493</v>
      </c>
      <c r="L4108" s="36">
        <v>45494</v>
      </c>
      <c r="M4108" t="s">
        <v>612</v>
      </c>
      <c r="N4108" t="s">
        <v>604</v>
      </c>
      <c r="O4108" s="37" t="str">
        <f t="shared" si="323"/>
        <v>Digital Payment</v>
      </c>
      <c r="P4108">
        <v>124.71</v>
      </c>
      <c r="Q4108" s="37" t="str">
        <f>IF(P4108&gt;500,"High","low")</f>
        <v>low</v>
      </c>
      <c r="R4108" s="37" t="str">
        <f t="shared" si="324"/>
        <v>AVERAGE</v>
      </c>
      <c r="S4108" t="s">
        <v>620</v>
      </c>
    </row>
    <row r="4109" spans="1:19" x14ac:dyDescent="0.2">
      <c r="A4109" t="s">
        <v>4720</v>
      </c>
      <c r="B4109" t="s">
        <v>83</v>
      </c>
      <c r="C4109" t="s">
        <v>602</v>
      </c>
      <c r="D4109">
        <v>4653.82</v>
      </c>
      <c r="E4109" s="37" t="str">
        <f t="shared" si="320"/>
        <v xml:space="preserve"> </v>
      </c>
      <c r="F4109">
        <v>0.4</v>
      </c>
      <c r="G4109" s="37" t="str">
        <f t="shared" si="321"/>
        <v>Heavy Discount</v>
      </c>
      <c r="H4109" s="37" t="str">
        <f t="shared" si="322"/>
        <v>Medium</v>
      </c>
      <c r="I4109">
        <v>4</v>
      </c>
      <c r="J4109" t="str" cm="1">
        <f t="array" ref="J4109">_xlfn.IFS(I4109&lt;=3,"small",I4109&lt;=6,"Medium",I4109&lt;=9,"Large")</f>
        <v>Medium</v>
      </c>
      <c r="K4109" s="36">
        <v>45351</v>
      </c>
      <c r="L4109" s="36">
        <v>45356</v>
      </c>
      <c r="M4109" t="s">
        <v>603</v>
      </c>
      <c r="N4109" t="s">
        <v>608</v>
      </c>
      <c r="O4109" s="37" t="str">
        <f t="shared" si="323"/>
        <v>Cash Payment</v>
      </c>
      <c r="P4109">
        <v>715.88</v>
      </c>
      <c r="Q4109" s="37" t="str">
        <f>IF(P4109&gt;500,"High","low")</f>
        <v>High</v>
      </c>
      <c r="R4109" s="37" t="str">
        <f t="shared" si="324"/>
        <v>Good</v>
      </c>
      <c r="S4109" t="s">
        <v>605</v>
      </c>
    </row>
    <row r="4110" spans="1:19" x14ac:dyDescent="0.2">
      <c r="A4110" t="s">
        <v>4721</v>
      </c>
      <c r="B4110" t="s">
        <v>67</v>
      </c>
      <c r="C4110" t="s">
        <v>597</v>
      </c>
      <c r="D4110">
        <v>2400.4</v>
      </c>
      <c r="E4110" s="37" t="str">
        <f t="shared" si="320"/>
        <v xml:space="preserve"> </v>
      </c>
      <c r="F4110">
        <v>0.28999999999999998</v>
      </c>
      <c r="G4110" s="37" t="str">
        <f t="shared" si="321"/>
        <v>Normal Discount</v>
      </c>
      <c r="H4110" s="37" t="str">
        <f t="shared" si="322"/>
        <v>Medium</v>
      </c>
      <c r="I4110">
        <v>2</v>
      </c>
      <c r="J4110" t="str" cm="1">
        <f t="array" ref="J4110">_xlfn.IFS(I4110&lt;=3,"small",I4110&lt;=6,"Medium",I4110&lt;=9,"Large")</f>
        <v>small</v>
      </c>
      <c r="K4110" s="36">
        <v>45220</v>
      </c>
      <c r="L4110" s="36">
        <v>45223</v>
      </c>
      <c r="M4110" t="s">
        <v>598</v>
      </c>
      <c r="N4110" t="s">
        <v>604</v>
      </c>
      <c r="O4110" s="37" t="str">
        <f t="shared" si="323"/>
        <v>Digital Payment</v>
      </c>
      <c r="P4110">
        <v>246.24</v>
      </c>
      <c r="Q4110" s="37" t="str">
        <f>IF(P4110&gt;500,"High","low")</f>
        <v>low</v>
      </c>
      <c r="R4110" s="37" t="str">
        <f t="shared" si="324"/>
        <v>AVERAGE</v>
      </c>
      <c r="S4110" t="s">
        <v>600</v>
      </c>
    </row>
    <row r="4111" spans="1:19" x14ac:dyDescent="0.2">
      <c r="A4111" t="s">
        <v>4722</v>
      </c>
      <c r="B4111" t="s">
        <v>75</v>
      </c>
      <c r="C4111" t="s">
        <v>607</v>
      </c>
      <c r="D4111">
        <v>4276.1899999999996</v>
      </c>
      <c r="E4111" s="37" t="str">
        <f t="shared" si="320"/>
        <v xml:space="preserve"> </v>
      </c>
      <c r="F4111">
        <v>0.25</v>
      </c>
      <c r="G4111" s="37" t="str">
        <f t="shared" si="321"/>
        <v>Normal Discount</v>
      </c>
      <c r="H4111" s="37" t="str">
        <f t="shared" si="322"/>
        <v>Medium</v>
      </c>
      <c r="I4111">
        <v>9</v>
      </c>
      <c r="J4111" t="str" cm="1">
        <f t="array" ref="J4111">_xlfn.IFS(I4111&lt;=3,"small",I4111&lt;=6,"Medium",I4111&lt;=9,"Large")</f>
        <v>Large</v>
      </c>
      <c r="K4111" s="36">
        <v>45654</v>
      </c>
      <c r="L4111" s="36">
        <v>45657</v>
      </c>
      <c r="M4111" t="s">
        <v>612</v>
      </c>
      <c r="N4111" t="s">
        <v>608</v>
      </c>
      <c r="O4111" s="37" t="str">
        <f t="shared" si="323"/>
        <v>Cash Payment</v>
      </c>
      <c r="P4111">
        <v>280.88</v>
      </c>
      <c r="Q4111" s="37" t="str">
        <f>IF(P4111&gt;500,"High","low")</f>
        <v>low</v>
      </c>
      <c r="R4111" s="37" t="str">
        <f t="shared" si="324"/>
        <v>AVERAGE</v>
      </c>
      <c r="S4111" t="s">
        <v>615</v>
      </c>
    </row>
    <row r="4112" spans="1:19" x14ac:dyDescent="0.2">
      <c r="A4112" t="s">
        <v>4723</v>
      </c>
      <c r="B4112" t="s">
        <v>83</v>
      </c>
      <c r="C4112" t="s">
        <v>607</v>
      </c>
      <c r="D4112">
        <v>161.75</v>
      </c>
      <c r="E4112" s="37" t="str">
        <f t="shared" si="320"/>
        <v xml:space="preserve"> </v>
      </c>
      <c r="F4112">
        <v>0.04</v>
      </c>
      <c r="G4112" s="37" t="str">
        <f t="shared" si="321"/>
        <v>Normal Discount</v>
      </c>
      <c r="H4112" s="37" t="str">
        <f t="shared" si="322"/>
        <v>Low</v>
      </c>
      <c r="I4112">
        <v>6</v>
      </c>
      <c r="J4112" t="str" cm="1">
        <f t="array" ref="J4112">_xlfn.IFS(I4112&lt;=3,"small",I4112&lt;=6,"Medium",I4112&lt;=9,"Large")</f>
        <v>Medium</v>
      </c>
      <c r="K4112" s="36">
        <v>45088</v>
      </c>
      <c r="L4112" s="36">
        <v>45095</v>
      </c>
      <c r="M4112" t="s">
        <v>612</v>
      </c>
      <c r="N4112" t="s">
        <v>608</v>
      </c>
      <c r="O4112" s="37" t="str">
        <f t="shared" si="323"/>
        <v>Cash Payment</v>
      </c>
      <c r="P4112">
        <v>30.79</v>
      </c>
      <c r="Q4112" s="37" t="str">
        <f>IF(P4112&gt;500,"High","low")</f>
        <v>low</v>
      </c>
      <c r="R4112" s="37" t="str">
        <f t="shared" si="324"/>
        <v>AVERAGE</v>
      </c>
      <c r="S4112" t="s">
        <v>628</v>
      </c>
    </row>
    <row r="4113" spans="1:19" x14ac:dyDescent="0.2">
      <c r="A4113" t="s">
        <v>4724</v>
      </c>
      <c r="B4113" t="s">
        <v>83</v>
      </c>
      <c r="C4113" t="s">
        <v>607</v>
      </c>
      <c r="D4113">
        <v>1561.21</v>
      </c>
      <c r="E4113" s="37" t="str">
        <f t="shared" si="320"/>
        <v xml:space="preserve"> </v>
      </c>
      <c r="F4113">
        <v>0.05</v>
      </c>
      <c r="G4113" s="37" t="str">
        <f t="shared" si="321"/>
        <v>Normal Discount</v>
      </c>
      <c r="H4113" s="37" t="str">
        <f t="shared" si="322"/>
        <v>Low</v>
      </c>
      <c r="I4113">
        <v>9</v>
      </c>
      <c r="J4113" t="str" cm="1">
        <f t="array" ref="J4113">_xlfn.IFS(I4113&lt;=3,"small",I4113&lt;=6,"Medium",I4113&lt;=9,"Large")</f>
        <v>Large</v>
      </c>
      <c r="K4113" s="36">
        <v>45449</v>
      </c>
      <c r="L4113" s="36">
        <v>45455</v>
      </c>
      <c r="M4113" t="s">
        <v>612</v>
      </c>
      <c r="N4113" t="s">
        <v>599</v>
      </c>
      <c r="O4113" s="37" t="str">
        <f t="shared" si="323"/>
        <v>Digital Payment</v>
      </c>
      <c r="P4113">
        <v>158.27000000000001</v>
      </c>
      <c r="Q4113" s="37" t="str">
        <f>IF(P4113&gt;500,"High","low")</f>
        <v>low</v>
      </c>
      <c r="R4113" s="37" t="str">
        <f t="shared" si="324"/>
        <v>AVERAGE</v>
      </c>
      <c r="S4113" t="s">
        <v>628</v>
      </c>
    </row>
    <row r="4114" spans="1:19" x14ac:dyDescent="0.2">
      <c r="A4114" t="s">
        <v>4725</v>
      </c>
      <c r="B4114" t="s">
        <v>83</v>
      </c>
      <c r="C4114" t="s">
        <v>602</v>
      </c>
      <c r="D4114">
        <v>4980.63</v>
      </c>
      <c r="E4114" s="37" t="str">
        <f t="shared" si="320"/>
        <v>Excellent Order</v>
      </c>
      <c r="F4114">
        <v>0.12</v>
      </c>
      <c r="G4114" s="37" t="str">
        <f t="shared" si="321"/>
        <v>Normal Discount</v>
      </c>
      <c r="H4114" s="37" t="str">
        <f t="shared" si="322"/>
        <v>Low</v>
      </c>
      <c r="I4114">
        <v>8</v>
      </c>
      <c r="J4114" t="str" cm="1">
        <f t="array" ref="J4114">_xlfn.IFS(I4114&lt;=3,"small",I4114&lt;=6,"Medium",I4114&lt;=9,"Large")</f>
        <v>Large</v>
      </c>
      <c r="K4114" s="36">
        <v>45133</v>
      </c>
      <c r="L4114" s="36">
        <v>45139</v>
      </c>
      <c r="M4114" t="s">
        <v>598</v>
      </c>
      <c r="N4114" t="s">
        <v>599</v>
      </c>
      <c r="O4114" s="37" t="str">
        <f t="shared" si="323"/>
        <v>Digital Payment</v>
      </c>
      <c r="P4114">
        <v>983.51</v>
      </c>
      <c r="Q4114" s="37" t="str">
        <f>IF(P4114&gt;500,"High","low")</f>
        <v>High</v>
      </c>
      <c r="R4114" s="37" t="str">
        <f t="shared" si="324"/>
        <v>Good</v>
      </c>
      <c r="S4114" t="s">
        <v>615</v>
      </c>
    </row>
    <row r="4115" spans="1:19" x14ac:dyDescent="0.2">
      <c r="A4115" t="s">
        <v>4726</v>
      </c>
      <c r="B4115" t="s">
        <v>67</v>
      </c>
      <c r="C4115" t="s">
        <v>607</v>
      </c>
      <c r="D4115">
        <v>2196.41</v>
      </c>
      <c r="E4115" s="37" t="str">
        <f t="shared" si="320"/>
        <v xml:space="preserve"> </v>
      </c>
      <c r="F4115">
        <v>0.26</v>
      </c>
      <c r="G4115" s="37" t="str">
        <f t="shared" si="321"/>
        <v>Normal Discount</v>
      </c>
      <c r="H4115" s="37" t="str">
        <f t="shared" si="322"/>
        <v>Medium</v>
      </c>
      <c r="I4115">
        <v>1</v>
      </c>
      <c r="J4115" t="str" cm="1">
        <f t="array" ref="J4115">_xlfn.IFS(I4115&lt;=3,"small",I4115&lt;=6,"Medium",I4115&lt;=9,"Large")</f>
        <v>small</v>
      </c>
      <c r="K4115" s="36">
        <v>45196</v>
      </c>
      <c r="L4115" s="36">
        <v>45200</v>
      </c>
      <c r="M4115" t="s">
        <v>612</v>
      </c>
      <c r="N4115" t="s">
        <v>604</v>
      </c>
      <c r="O4115" s="37" t="str">
        <f t="shared" si="323"/>
        <v>Digital Payment</v>
      </c>
      <c r="P4115">
        <v>409.21</v>
      </c>
      <c r="Q4115" s="37" t="str">
        <f>IF(P4115&gt;500,"High","low")</f>
        <v>low</v>
      </c>
      <c r="R4115" s="37" t="str">
        <f t="shared" si="324"/>
        <v>AVERAGE</v>
      </c>
      <c r="S4115" t="s">
        <v>628</v>
      </c>
    </row>
    <row r="4116" spans="1:19" x14ac:dyDescent="0.2">
      <c r="A4116" t="s">
        <v>4727</v>
      </c>
      <c r="B4116" t="s">
        <v>67</v>
      </c>
      <c r="C4116" t="s">
        <v>614</v>
      </c>
      <c r="D4116">
        <v>4453.62</v>
      </c>
      <c r="E4116" s="37" t="str">
        <f t="shared" si="320"/>
        <v xml:space="preserve"> </v>
      </c>
      <c r="F4116">
        <v>0.49</v>
      </c>
      <c r="G4116" s="37" t="str">
        <f t="shared" si="321"/>
        <v>Heavy Discount</v>
      </c>
      <c r="H4116" s="37" t="str">
        <f t="shared" si="322"/>
        <v>High</v>
      </c>
      <c r="I4116">
        <v>2</v>
      </c>
      <c r="J4116" t="str" cm="1">
        <f t="array" ref="J4116">_xlfn.IFS(I4116&lt;=3,"small",I4116&lt;=6,"Medium",I4116&lt;=9,"Large")</f>
        <v>small</v>
      </c>
      <c r="K4116" s="36">
        <v>45263</v>
      </c>
      <c r="L4116" s="36">
        <v>45270</v>
      </c>
      <c r="M4116" t="s">
        <v>598</v>
      </c>
      <c r="N4116" t="s">
        <v>599</v>
      </c>
      <c r="O4116" s="37" t="str">
        <f t="shared" si="323"/>
        <v>Digital Payment</v>
      </c>
      <c r="P4116">
        <v>597.44000000000005</v>
      </c>
      <c r="Q4116" s="37" t="str">
        <f>IF(P4116&gt;500,"High","low")</f>
        <v>High</v>
      </c>
      <c r="R4116" s="37" t="str">
        <f t="shared" si="324"/>
        <v>Good</v>
      </c>
      <c r="S4116" t="s">
        <v>628</v>
      </c>
    </row>
    <row r="4117" spans="1:19" x14ac:dyDescent="0.2">
      <c r="A4117" t="s">
        <v>4728</v>
      </c>
      <c r="B4117" t="s">
        <v>90</v>
      </c>
      <c r="C4117" t="s">
        <v>617</v>
      </c>
      <c r="D4117">
        <v>1707.19</v>
      </c>
      <c r="E4117" s="37" t="str">
        <f t="shared" si="320"/>
        <v xml:space="preserve"> </v>
      </c>
      <c r="F4117">
        <v>0.4</v>
      </c>
      <c r="G4117" s="37" t="str">
        <f t="shared" si="321"/>
        <v>Heavy Discount</v>
      </c>
      <c r="H4117" s="37" t="str">
        <f t="shared" si="322"/>
        <v>Medium</v>
      </c>
      <c r="I4117">
        <v>2</v>
      </c>
      <c r="J4117" t="str" cm="1">
        <f t="array" ref="J4117">_xlfn.IFS(I4117&lt;=3,"small",I4117&lt;=6,"Medium",I4117&lt;=9,"Large")</f>
        <v>small</v>
      </c>
      <c r="K4117" s="36">
        <v>45459</v>
      </c>
      <c r="L4117" s="36">
        <v>45464</v>
      </c>
      <c r="M4117" t="s">
        <v>598</v>
      </c>
      <c r="N4117" t="s">
        <v>604</v>
      </c>
      <c r="O4117" s="37" t="str">
        <f t="shared" si="323"/>
        <v>Digital Payment</v>
      </c>
      <c r="P4117">
        <v>185.37</v>
      </c>
      <c r="Q4117" s="37" t="str">
        <f>IF(P4117&gt;500,"High","low")</f>
        <v>low</v>
      </c>
      <c r="R4117" s="37" t="str">
        <f t="shared" si="324"/>
        <v>AVERAGE</v>
      </c>
      <c r="S4117" t="s">
        <v>609</v>
      </c>
    </row>
    <row r="4118" spans="1:19" x14ac:dyDescent="0.2">
      <c r="A4118" t="s">
        <v>4729</v>
      </c>
      <c r="B4118" t="s">
        <v>75</v>
      </c>
      <c r="C4118" t="s">
        <v>607</v>
      </c>
      <c r="D4118">
        <v>2674.11</v>
      </c>
      <c r="E4118" s="37" t="str">
        <f t="shared" si="320"/>
        <v xml:space="preserve"> </v>
      </c>
      <c r="F4118">
        <v>0.06</v>
      </c>
      <c r="G4118" s="37" t="str">
        <f t="shared" si="321"/>
        <v>Normal Discount</v>
      </c>
      <c r="H4118" s="37" t="str">
        <f t="shared" si="322"/>
        <v>Low</v>
      </c>
      <c r="I4118">
        <v>2</v>
      </c>
      <c r="J4118" t="str" cm="1">
        <f t="array" ref="J4118">_xlfn.IFS(I4118&lt;=3,"small",I4118&lt;=6,"Medium",I4118&lt;=9,"Large")</f>
        <v>small</v>
      </c>
      <c r="K4118" s="36">
        <v>45338</v>
      </c>
      <c r="L4118" s="36">
        <v>45345</v>
      </c>
      <c r="M4118" t="s">
        <v>598</v>
      </c>
      <c r="N4118" t="s">
        <v>608</v>
      </c>
      <c r="O4118" s="37" t="str">
        <f t="shared" si="323"/>
        <v>Cash Payment</v>
      </c>
      <c r="P4118">
        <v>425.64</v>
      </c>
      <c r="Q4118" s="37" t="str">
        <f>IF(P4118&gt;500,"High","low")</f>
        <v>low</v>
      </c>
      <c r="R4118" s="37" t="str">
        <f t="shared" si="324"/>
        <v>AVERAGE</v>
      </c>
      <c r="S4118" t="s">
        <v>605</v>
      </c>
    </row>
    <row r="4119" spans="1:19" x14ac:dyDescent="0.2">
      <c r="A4119" t="s">
        <v>4730</v>
      </c>
      <c r="B4119" t="s">
        <v>90</v>
      </c>
      <c r="C4119" t="s">
        <v>617</v>
      </c>
      <c r="D4119">
        <v>4285.67</v>
      </c>
      <c r="E4119" s="37" t="str">
        <f t="shared" si="320"/>
        <v xml:space="preserve"> </v>
      </c>
      <c r="F4119">
        <v>0.36</v>
      </c>
      <c r="G4119" s="37" t="str">
        <f t="shared" si="321"/>
        <v>Heavy Discount</v>
      </c>
      <c r="H4119" s="37" t="str">
        <f t="shared" si="322"/>
        <v>Medium</v>
      </c>
      <c r="I4119">
        <v>4</v>
      </c>
      <c r="J4119" t="str" cm="1">
        <f t="array" ref="J4119">_xlfn.IFS(I4119&lt;=3,"small",I4119&lt;=6,"Medium",I4119&lt;=9,"Large")</f>
        <v>Medium</v>
      </c>
      <c r="K4119" s="36">
        <v>45545</v>
      </c>
      <c r="L4119" s="36">
        <v>45548</v>
      </c>
      <c r="M4119" t="s">
        <v>603</v>
      </c>
      <c r="N4119" t="s">
        <v>608</v>
      </c>
      <c r="O4119" s="37" t="str">
        <f t="shared" si="323"/>
        <v>Cash Payment</v>
      </c>
      <c r="P4119">
        <v>573.92999999999995</v>
      </c>
      <c r="Q4119" s="37" t="str">
        <f>IF(P4119&gt;500,"High","low")</f>
        <v>High</v>
      </c>
      <c r="R4119" s="37" t="str">
        <f t="shared" si="324"/>
        <v>Good</v>
      </c>
      <c r="S4119" t="s">
        <v>620</v>
      </c>
    </row>
    <row r="4120" spans="1:19" x14ac:dyDescent="0.2">
      <c r="A4120" t="s">
        <v>4731</v>
      </c>
      <c r="B4120" t="s">
        <v>83</v>
      </c>
      <c r="C4120" t="s">
        <v>602</v>
      </c>
      <c r="D4120">
        <v>3068.52</v>
      </c>
      <c r="E4120" s="37" t="str">
        <f t="shared" si="320"/>
        <v xml:space="preserve"> </v>
      </c>
      <c r="F4120">
        <v>0.41</v>
      </c>
      <c r="G4120" s="37" t="str">
        <f t="shared" si="321"/>
        <v>Heavy Discount</v>
      </c>
      <c r="H4120" s="37" t="str">
        <f t="shared" si="322"/>
        <v>High</v>
      </c>
      <c r="I4120">
        <v>7</v>
      </c>
      <c r="J4120" t="str" cm="1">
        <f t="array" ref="J4120">_xlfn.IFS(I4120&lt;=3,"small",I4120&lt;=6,"Medium",I4120&lt;=9,"Large")</f>
        <v>Large</v>
      </c>
      <c r="K4120" s="36">
        <v>45028</v>
      </c>
      <c r="L4120" s="36">
        <v>45030</v>
      </c>
      <c r="M4120" t="s">
        <v>598</v>
      </c>
      <c r="N4120" t="s">
        <v>599</v>
      </c>
      <c r="O4120" s="37" t="str">
        <f t="shared" si="323"/>
        <v>Digital Payment</v>
      </c>
      <c r="P4120">
        <v>409.39</v>
      </c>
      <c r="Q4120" s="37" t="str">
        <f>IF(P4120&gt;500,"High","low")</f>
        <v>low</v>
      </c>
      <c r="R4120" s="37" t="str">
        <f t="shared" si="324"/>
        <v>AVERAGE</v>
      </c>
      <c r="S4120" t="s">
        <v>605</v>
      </c>
    </row>
    <row r="4121" spans="1:19" x14ac:dyDescent="0.2">
      <c r="A4121" t="s">
        <v>4732</v>
      </c>
      <c r="B4121" t="s">
        <v>67</v>
      </c>
      <c r="C4121" t="s">
        <v>607</v>
      </c>
      <c r="D4121">
        <v>3653.44</v>
      </c>
      <c r="E4121" s="37" t="str">
        <f t="shared" si="320"/>
        <v xml:space="preserve"> </v>
      </c>
      <c r="F4121">
        <v>0.21</v>
      </c>
      <c r="G4121" s="37" t="str">
        <f t="shared" si="321"/>
        <v>Normal Discount</v>
      </c>
      <c r="H4121" s="37" t="str">
        <f t="shared" si="322"/>
        <v>Medium</v>
      </c>
      <c r="I4121">
        <v>7</v>
      </c>
      <c r="J4121" t="str" cm="1">
        <f t="array" ref="J4121">_xlfn.IFS(I4121&lt;=3,"small",I4121&lt;=6,"Medium",I4121&lt;=9,"Large")</f>
        <v>Large</v>
      </c>
      <c r="K4121" s="36">
        <v>45498</v>
      </c>
      <c r="L4121" s="36">
        <v>45501</v>
      </c>
      <c r="M4121" t="s">
        <v>598</v>
      </c>
      <c r="N4121" t="s">
        <v>599</v>
      </c>
      <c r="O4121" s="37" t="str">
        <f t="shared" si="323"/>
        <v>Digital Payment</v>
      </c>
      <c r="P4121">
        <v>1043.1300000000001</v>
      </c>
      <c r="Q4121" s="37" t="str">
        <f>IF(P4121&gt;500,"High","low")</f>
        <v>High</v>
      </c>
      <c r="R4121" s="37" t="str">
        <f t="shared" si="324"/>
        <v>Excellent</v>
      </c>
      <c r="S4121" t="s">
        <v>615</v>
      </c>
    </row>
    <row r="4122" spans="1:19" x14ac:dyDescent="0.2">
      <c r="A4122" t="s">
        <v>4733</v>
      </c>
      <c r="B4122" t="s">
        <v>67</v>
      </c>
      <c r="C4122" t="s">
        <v>597</v>
      </c>
      <c r="D4122">
        <v>1221.28</v>
      </c>
      <c r="E4122" s="37" t="str">
        <f t="shared" si="320"/>
        <v xml:space="preserve"> </v>
      </c>
      <c r="F4122">
        <v>0.17</v>
      </c>
      <c r="G4122" s="37" t="str">
        <f t="shared" si="321"/>
        <v>Normal Discount</v>
      </c>
      <c r="H4122" s="37" t="str">
        <f t="shared" si="322"/>
        <v>Low</v>
      </c>
      <c r="I4122">
        <v>1</v>
      </c>
      <c r="J4122" t="str" cm="1">
        <f t="array" ref="J4122">_xlfn.IFS(I4122&lt;=3,"small",I4122&lt;=6,"Medium",I4122&lt;=9,"Large")</f>
        <v>small</v>
      </c>
      <c r="K4122" s="36">
        <v>45472</v>
      </c>
      <c r="L4122" s="36">
        <v>45477</v>
      </c>
      <c r="M4122" t="s">
        <v>603</v>
      </c>
      <c r="N4122" t="s">
        <v>604</v>
      </c>
      <c r="O4122" s="37" t="str">
        <f t="shared" si="323"/>
        <v>Digital Payment</v>
      </c>
      <c r="P4122">
        <v>241.36</v>
      </c>
      <c r="Q4122" s="37" t="str">
        <f>IF(P4122&gt;500,"High","low")</f>
        <v>low</v>
      </c>
      <c r="R4122" s="37" t="str">
        <f t="shared" si="324"/>
        <v>AVERAGE</v>
      </c>
      <c r="S4122" t="s">
        <v>620</v>
      </c>
    </row>
    <row r="4123" spans="1:19" x14ac:dyDescent="0.2">
      <c r="A4123" t="s">
        <v>4734</v>
      </c>
      <c r="B4123" t="s">
        <v>90</v>
      </c>
      <c r="C4123" t="s">
        <v>602</v>
      </c>
      <c r="D4123">
        <v>863.86</v>
      </c>
      <c r="E4123" s="37" t="str">
        <f t="shared" si="320"/>
        <v xml:space="preserve"> </v>
      </c>
      <c r="F4123">
        <v>0.28999999999999998</v>
      </c>
      <c r="G4123" s="37" t="str">
        <f t="shared" si="321"/>
        <v>Normal Discount</v>
      </c>
      <c r="H4123" s="37" t="str">
        <f t="shared" si="322"/>
        <v>Medium</v>
      </c>
      <c r="I4123">
        <v>8</v>
      </c>
      <c r="J4123" t="str" cm="1">
        <f t="array" ref="J4123">_xlfn.IFS(I4123&lt;=3,"small",I4123&lt;=6,"Medium",I4123&lt;=9,"Large")</f>
        <v>Large</v>
      </c>
      <c r="K4123" s="36">
        <v>44991</v>
      </c>
      <c r="L4123" s="36">
        <v>44995</v>
      </c>
      <c r="M4123" t="s">
        <v>612</v>
      </c>
      <c r="N4123" t="s">
        <v>604</v>
      </c>
      <c r="O4123" s="37" t="str">
        <f t="shared" si="323"/>
        <v>Digital Payment</v>
      </c>
      <c r="P4123">
        <v>185.8</v>
      </c>
      <c r="Q4123" s="37" t="str">
        <f>IF(P4123&gt;500,"High","low")</f>
        <v>low</v>
      </c>
      <c r="R4123" s="37" t="str">
        <f t="shared" si="324"/>
        <v>AVERAGE</v>
      </c>
      <c r="S4123" t="s">
        <v>628</v>
      </c>
    </row>
    <row r="4124" spans="1:19" x14ac:dyDescent="0.2">
      <c r="A4124" t="s">
        <v>4735</v>
      </c>
      <c r="B4124" t="s">
        <v>67</v>
      </c>
      <c r="C4124" t="s">
        <v>614</v>
      </c>
      <c r="D4124">
        <v>1228.5</v>
      </c>
      <c r="E4124" s="37" t="str">
        <f t="shared" si="320"/>
        <v xml:space="preserve"> </v>
      </c>
      <c r="F4124">
        <v>0.26</v>
      </c>
      <c r="G4124" s="37" t="str">
        <f t="shared" si="321"/>
        <v>Normal Discount</v>
      </c>
      <c r="H4124" s="37" t="str">
        <f t="shared" si="322"/>
        <v>Medium</v>
      </c>
      <c r="I4124">
        <v>4</v>
      </c>
      <c r="J4124" t="str" cm="1">
        <f t="array" ref="J4124">_xlfn.IFS(I4124&lt;=3,"small",I4124&lt;=6,"Medium",I4124&lt;=9,"Large")</f>
        <v>Medium</v>
      </c>
      <c r="K4124" s="36">
        <v>45141</v>
      </c>
      <c r="L4124" s="36">
        <v>45143</v>
      </c>
      <c r="M4124" t="s">
        <v>603</v>
      </c>
      <c r="N4124" t="s">
        <v>599</v>
      </c>
      <c r="O4124" s="37" t="str">
        <f t="shared" si="323"/>
        <v>Digital Payment</v>
      </c>
      <c r="P4124">
        <v>120.9</v>
      </c>
      <c r="Q4124" s="37" t="str">
        <f>IF(P4124&gt;500,"High","low")</f>
        <v>low</v>
      </c>
      <c r="R4124" s="37" t="str">
        <f t="shared" si="324"/>
        <v>AVERAGE</v>
      </c>
      <c r="S4124" t="s">
        <v>620</v>
      </c>
    </row>
    <row r="4125" spans="1:19" x14ac:dyDescent="0.2">
      <c r="A4125" t="s">
        <v>4736</v>
      </c>
      <c r="B4125" t="s">
        <v>83</v>
      </c>
      <c r="C4125" t="s">
        <v>614</v>
      </c>
      <c r="D4125">
        <v>2515.94</v>
      </c>
      <c r="E4125" s="37" t="str">
        <f t="shared" si="320"/>
        <v xml:space="preserve"> </v>
      </c>
      <c r="F4125">
        <v>0.13</v>
      </c>
      <c r="G4125" s="37" t="str">
        <f t="shared" si="321"/>
        <v>Normal Discount</v>
      </c>
      <c r="H4125" s="37" t="str">
        <f t="shared" si="322"/>
        <v>Low</v>
      </c>
      <c r="I4125">
        <v>8</v>
      </c>
      <c r="J4125" t="str" cm="1">
        <f t="array" ref="J4125">_xlfn.IFS(I4125&lt;=3,"small",I4125&lt;=6,"Medium",I4125&lt;=9,"Large")</f>
        <v>Large</v>
      </c>
      <c r="K4125" s="36">
        <v>45287</v>
      </c>
      <c r="L4125" s="36">
        <v>45290</v>
      </c>
      <c r="M4125" t="s">
        <v>612</v>
      </c>
      <c r="N4125" t="s">
        <v>599</v>
      </c>
      <c r="O4125" s="37" t="str">
        <f t="shared" si="323"/>
        <v>Digital Payment</v>
      </c>
      <c r="P4125">
        <v>377.56</v>
      </c>
      <c r="Q4125" s="37" t="str">
        <f>IF(P4125&gt;500,"High","low")</f>
        <v>low</v>
      </c>
      <c r="R4125" s="37" t="str">
        <f t="shared" si="324"/>
        <v>AVERAGE</v>
      </c>
      <c r="S4125" t="s">
        <v>615</v>
      </c>
    </row>
    <row r="4126" spans="1:19" x14ac:dyDescent="0.2">
      <c r="A4126" t="s">
        <v>4737</v>
      </c>
      <c r="B4126" t="s">
        <v>67</v>
      </c>
      <c r="C4126" t="s">
        <v>617</v>
      </c>
      <c r="D4126">
        <v>4024.73</v>
      </c>
      <c r="E4126" s="37" t="str">
        <f t="shared" si="320"/>
        <v xml:space="preserve"> </v>
      </c>
      <c r="F4126">
        <v>0.2</v>
      </c>
      <c r="G4126" s="37" t="str">
        <f t="shared" si="321"/>
        <v>Normal Discount</v>
      </c>
      <c r="H4126" s="37" t="str">
        <f t="shared" si="322"/>
        <v>Medium</v>
      </c>
      <c r="I4126">
        <v>9</v>
      </c>
      <c r="J4126" t="str" cm="1">
        <f t="array" ref="J4126">_xlfn.IFS(I4126&lt;=3,"small",I4126&lt;=6,"Medium",I4126&lt;=9,"Large")</f>
        <v>Large</v>
      </c>
      <c r="K4126" s="36">
        <v>45238</v>
      </c>
      <c r="L4126" s="36">
        <v>45244</v>
      </c>
      <c r="M4126" t="s">
        <v>603</v>
      </c>
      <c r="N4126" t="s">
        <v>599</v>
      </c>
      <c r="O4126" s="37" t="str">
        <f t="shared" si="323"/>
        <v>Digital Payment</v>
      </c>
      <c r="P4126">
        <v>461.26</v>
      </c>
      <c r="Q4126" s="37" t="str">
        <f>IF(P4126&gt;500,"High","low")</f>
        <v>low</v>
      </c>
      <c r="R4126" s="37" t="str">
        <f t="shared" si="324"/>
        <v>AVERAGE</v>
      </c>
      <c r="S4126" t="s">
        <v>620</v>
      </c>
    </row>
    <row r="4127" spans="1:19" x14ac:dyDescent="0.2">
      <c r="A4127" t="s">
        <v>4738</v>
      </c>
      <c r="B4127" t="s">
        <v>90</v>
      </c>
      <c r="C4127" t="s">
        <v>617</v>
      </c>
      <c r="D4127">
        <v>1834.57</v>
      </c>
      <c r="E4127" s="37" t="str">
        <f t="shared" si="320"/>
        <v xml:space="preserve"> </v>
      </c>
      <c r="F4127">
        <v>0.27</v>
      </c>
      <c r="G4127" s="37" t="str">
        <f t="shared" si="321"/>
        <v>Normal Discount</v>
      </c>
      <c r="H4127" s="37" t="str">
        <f t="shared" si="322"/>
        <v>Medium</v>
      </c>
      <c r="I4127">
        <v>7</v>
      </c>
      <c r="J4127" t="str" cm="1">
        <f t="array" ref="J4127">_xlfn.IFS(I4127&lt;=3,"small",I4127&lt;=6,"Medium",I4127&lt;=9,"Large")</f>
        <v>Large</v>
      </c>
      <c r="K4127" s="36">
        <v>44996</v>
      </c>
      <c r="L4127" s="36">
        <v>44997</v>
      </c>
      <c r="M4127" t="s">
        <v>612</v>
      </c>
      <c r="N4127" t="s">
        <v>604</v>
      </c>
      <c r="O4127" s="37" t="str">
        <f t="shared" si="323"/>
        <v>Digital Payment</v>
      </c>
      <c r="P4127">
        <v>516.42999999999995</v>
      </c>
      <c r="Q4127" s="37" t="str">
        <f>IF(P4127&gt;500,"High","low")</f>
        <v>High</v>
      </c>
      <c r="R4127" s="37" t="str">
        <f t="shared" si="324"/>
        <v>Good</v>
      </c>
      <c r="S4127" t="s">
        <v>615</v>
      </c>
    </row>
    <row r="4128" spans="1:19" x14ac:dyDescent="0.2">
      <c r="A4128" t="s">
        <v>4739</v>
      </c>
      <c r="B4128" t="s">
        <v>83</v>
      </c>
      <c r="C4128" t="s">
        <v>597</v>
      </c>
      <c r="D4128">
        <v>2867.6</v>
      </c>
      <c r="E4128" s="37" t="str">
        <f t="shared" si="320"/>
        <v xml:space="preserve"> </v>
      </c>
      <c r="F4128">
        <v>0.28999999999999998</v>
      </c>
      <c r="G4128" s="37" t="str">
        <f t="shared" si="321"/>
        <v>Normal Discount</v>
      </c>
      <c r="H4128" s="37" t="str">
        <f t="shared" si="322"/>
        <v>Medium</v>
      </c>
      <c r="I4128">
        <v>3</v>
      </c>
      <c r="J4128" t="str" cm="1">
        <f t="array" ref="J4128">_xlfn.IFS(I4128&lt;=3,"small",I4128&lt;=6,"Medium",I4128&lt;=9,"Large")</f>
        <v>small</v>
      </c>
      <c r="K4128" s="36">
        <v>44936</v>
      </c>
      <c r="L4128" s="36">
        <v>44937</v>
      </c>
      <c r="M4128" t="s">
        <v>603</v>
      </c>
      <c r="N4128" t="s">
        <v>608</v>
      </c>
      <c r="O4128" s="37" t="str">
        <f t="shared" si="323"/>
        <v>Cash Payment</v>
      </c>
      <c r="P4128">
        <v>472.22</v>
      </c>
      <c r="Q4128" s="37" t="str">
        <f>IF(P4128&gt;500,"High","low")</f>
        <v>low</v>
      </c>
      <c r="R4128" s="37" t="str">
        <f t="shared" si="324"/>
        <v>AVERAGE</v>
      </c>
      <c r="S4128" t="s">
        <v>615</v>
      </c>
    </row>
    <row r="4129" spans="1:19" x14ac:dyDescent="0.2">
      <c r="A4129" t="s">
        <v>4740</v>
      </c>
      <c r="B4129" t="s">
        <v>90</v>
      </c>
      <c r="C4129" t="s">
        <v>597</v>
      </c>
      <c r="D4129">
        <v>4043.58</v>
      </c>
      <c r="E4129" s="37" t="str">
        <f t="shared" si="320"/>
        <v>Excellent Order</v>
      </c>
      <c r="F4129">
        <v>0.27</v>
      </c>
      <c r="G4129" s="37" t="str">
        <f t="shared" si="321"/>
        <v>Normal Discount</v>
      </c>
      <c r="H4129" s="37" t="str">
        <f t="shared" si="322"/>
        <v>Medium</v>
      </c>
      <c r="I4129">
        <v>3</v>
      </c>
      <c r="J4129" t="str" cm="1">
        <f t="array" ref="J4129">_xlfn.IFS(I4129&lt;=3,"small",I4129&lt;=6,"Medium",I4129&lt;=9,"Large")</f>
        <v>small</v>
      </c>
      <c r="K4129" s="36">
        <v>45142</v>
      </c>
      <c r="L4129" s="36">
        <v>45149</v>
      </c>
      <c r="M4129" t="s">
        <v>603</v>
      </c>
      <c r="N4129" t="s">
        <v>599</v>
      </c>
      <c r="O4129" s="37" t="str">
        <f t="shared" si="323"/>
        <v>Digital Payment</v>
      </c>
      <c r="P4129">
        <v>1127.02</v>
      </c>
      <c r="Q4129" s="37" t="str">
        <f>IF(P4129&gt;500,"High","low")</f>
        <v>High</v>
      </c>
      <c r="R4129" s="37" t="str">
        <f t="shared" si="324"/>
        <v>Excellent</v>
      </c>
      <c r="S4129" t="s">
        <v>609</v>
      </c>
    </row>
    <row r="4130" spans="1:19" x14ac:dyDescent="0.2">
      <c r="A4130" t="s">
        <v>4741</v>
      </c>
      <c r="B4130" t="s">
        <v>67</v>
      </c>
      <c r="C4130" t="s">
        <v>614</v>
      </c>
      <c r="D4130">
        <v>1270</v>
      </c>
      <c r="E4130" s="37" t="str">
        <f t="shared" si="320"/>
        <v xml:space="preserve"> </v>
      </c>
      <c r="F4130">
        <v>0.42</v>
      </c>
      <c r="G4130" s="37" t="str">
        <f t="shared" si="321"/>
        <v>Heavy Discount</v>
      </c>
      <c r="H4130" s="37" t="str">
        <f t="shared" si="322"/>
        <v>High</v>
      </c>
      <c r="I4130">
        <v>5</v>
      </c>
      <c r="J4130" t="str" cm="1">
        <f t="array" ref="J4130">_xlfn.IFS(I4130&lt;=3,"small",I4130&lt;=6,"Medium",I4130&lt;=9,"Large")</f>
        <v>Medium</v>
      </c>
      <c r="K4130" s="36">
        <v>45117</v>
      </c>
      <c r="L4130" s="36">
        <v>45121</v>
      </c>
      <c r="M4130" t="s">
        <v>598</v>
      </c>
      <c r="N4130" t="s">
        <v>608</v>
      </c>
      <c r="O4130" s="37" t="str">
        <f t="shared" si="323"/>
        <v>Cash Payment</v>
      </c>
      <c r="P4130">
        <v>222.98</v>
      </c>
      <c r="Q4130" s="37" t="str">
        <f>IF(P4130&gt;500,"High","low")</f>
        <v>low</v>
      </c>
      <c r="R4130" s="37" t="str">
        <f t="shared" si="324"/>
        <v>AVERAGE</v>
      </c>
      <c r="S4130" t="s">
        <v>609</v>
      </c>
    </row>
    <row r="4131" spans="1:19" x14ac:dyDescent="0.2">
      <c r="A4131" t="s">
        <v>4742</v>
      </c>
      <c r="B4131" t="s">
        <v>90</v>
      </c>
      <c r="C4131" t="s">
        <v>607</v>
      </c>
      <c r="D4131">
        <v>4426.58</v>
      </c>
      <c r="E4131" s="37" t="str">
        <f t="shared" si="320"/>
        <v>Excellent Order</v>
      </c>
      <c r="F4131">
        <v>0.02</v>
      </c>
      <c r="G4131" s="37" t="str">
        <f t="shared" si="321"/>
        <v>Normal Discount</v>
      </c>
      <c r="H4131" s="37" t="str">
        <f t="shared" si="322"/>
        <v>Low</v>
      </c>
      <c r="I4131">
        <v>7</v>
      </c>
      <c r="J4131" t="str" cm="1">
        <f t="array" ref="J4131">_xlfn.IFS(I4131&lt;=3,"small",I4131&lt;=6,"Medium",I4131&lt;=9,"Large")</f>
        <v>Large</v>
      </c>
      <c r="K4131" s="36">
        <v>45535</v>
      </c>
      <c r="L4131" s="36">
        <v>45542</v>
      </c>
      <c r="M4131" t="s">
        <v>612</v>
      </c>
      <c r="N4131" t="s">
        <v>608</v>
      </c>
      <c r="O4131" s="37" t="str">
        <f t="shared" si="323"/>
        <v>Cash Payment</v>
      </c>
      <c r="P4131">
        <v>1300.29</v>
      </c>
      <c r="Q4131" s="37" t="str">
        <f>IF(P4131&gt;500,"High","low")</f>
        <v>High</v>
      </c>
      <c r="R4131" s="37" t="str">
        <f t="shared" si="324"/>
        <v>Excellent</v>
      </c>
      <c r="S4131" t="s">
        <v>605</v>
      </c>
    </row>
    <row r="4132" spans="1:19" x14ac:dyDescent="0.2">
      <c r="A4132" t="s">
        <v>4743</v>
      </c>
      <c r="B4132" t="s">
        <v>90</v>
      </c>
      <c r="C4132" t="s">
        <v>614</v>
      </c>
      <c r="D4132">
        <v>4770.1000000000004</v>
      </c>
      <c r="E4132" s="37" t="str">
        <f t="shared" si="320"/>
        <v>Excellent Order</v>
      </c>
      <c r="F4132">
        <v>0.17</v>
      </c>
      <c r="G4132" s="37" t="str">
        <f t="shared" si="321"/>
        <v>Normal Discount</v>
      </c>
      <c r="H4132" s="37" t="str">
        <f t="shared" si="322"/>
        <v>Low</v>
      </c>
      <c r="I4132">
        <v>7</v>
      </c>
      <c r="J4132" t="str" cm="1">
        <f t="array" ref="J4132">_xlfn.IFS(I4132&lt;=3,"small",I4132&lt;=6,"Medium",I4132&lt;=9,"Large")</f>
        <v>Large</v>
      </c>
      <c r="K4132" s="36">
        <v>45145</v>
      </c>
      <c r="L4132" s="36">
        <v>45147</v>
      </c>
      <c r="M4132" t="s">
        <v>603</v>
      </c>
      <c r="N4132" t="s">
        <v>599</v>
      </c>
      <c r="O4132" s="37" t="str">
        <f t="shared" si="323"/>
        <v>Digital Payment</v>
      </c>
      <c r="P4132">
        <v>1061.07</v>
      </c>
      <c r="Q4132" s="37" t="str">
        <f>IF(P4132&gt;500,"High","low")</f>
        <v>High</v>
      </c>
      <c r="R4132" s="37" t="str">
        <f t="shared" si="324"/>
        <v>Excellent</v>
      </c>
      <c r="S4132" t="s">
        <v>620</v>
      </c>
    </row>
    <row r="4133" spans="1:19" x14ac:dyDescent="0.2">
      <c r="A4133" t="s">
        <v>4744</v>
      </c>
      <c r="B4133" t="s">
        <v>75</v>
      </c>
      <c r="C4133" t="s">
        <v>614</v>
      </c>
      <c r="D4133">
        <v>290.95</v>
      </c>
      <c r="E4133" s="37" t="str">
        <f t="shared" si="320"/>
        <v xml:space="preserve"> </v>
      </c>
      <c r="F4133">
        <v>0.37</v>
      </c>
      <c r="G4133" s="37" t="str">
        <f t="shared" si="321"/>
        <v>Heavy Discount</v>
      </c>
      <c r="H4133" s="37" t="str">
        <f t="shared" si="322"/>
        <v>Medium</v>
      </c>
      <c r="I4133">
        <v>9</v>
      </c>
      <c r="J4133" t="str" cm="1">
        <f t="array" ref="J4133">_xlfn.IFS(I4133&lt;=3,"small",I4133&lt;=6,"Medium",I4133&lt;=9,"Large")</f>
        <v>Large</v>
      </c>
      <c r="K4133" s="36">
        <v>45335</v>
      </c>
      <c r="L4133" s="36">
        <v>45336</v>
      </c>
      <c r="M4133" t="s">
        <v>603</v>
      </c>
      <c r="N4133" t="s">
        <v>608</v>
      </c>
      <c r="O4133" s="37" t="str">
        <f t="shared" si="323"/>
        <v>Cash Payment</v>
      </c>
      <c r="P4133">
        <v>56.84</v>
      </c>
      <c r="Q4133" s="37" t="str">
        <f>IF(P4133&gt;500,"High","low")</f>
        <v>low</v>
      </c>
      <c r="R4133" s="37" t="str">
        <f t="shared" si="324"/>
        <v>AVERAGE</v>
      </c>
      <c r="S4133" t="s">
        <v>620</v>
      </c>
    </row>
    <row r="4134" spans="1:19" x14ac:dyDescent="0.2">
      <c r="A4134" t="s">
        <v>4745</v>
      </c>
      <c r="B4134" t="s">
        <v>67</v>
      </c>
      <c r="C4134" t="s">
        <v>597</v>
      </c>
      <c r="D4134">
        <v>389.64</v>
      </c>
      <c r="E4134" s="37" t="str">
        <f t="shared" si="320"/>
        <v xml:space="preserve"> </v>
      </c>
      <c r="F4134">
        <v>0.33</v>
      </c>
      <c r="G4134" s="37" t="str">
        <f t="shared" si="321"/>
        <v>Heavy Discount</v>
      </c>
      <c r="H4134" s="37" t="str">
        <f t="shared" si="322"/>
        <v>Medium</v>
      </c>
      <c r="I4134">
        <v>1</v>
      </c>
      <c r="J4134" t="str" cm="1">
        <f t="array" ref="J4134">_xlfn.IFS(I4134&lt;=3,"small",I4134&lt;=6,"Medium",I4134&lt;=9,"Large")</f>
        <v>small</v>
      </c>
      <c r="K4134" s="36">
        <v>45128</v>
      </c>
      <c r="L4134" s="36">
        <v>45135</v>
      </c>
      <c r="M4134" t="s">
        <v>612</v>
      </c>
      <c r="N4134" t="s">
        <v>608</v>
      </c>
      <c r="O4134" s="37" t="str">
        <f t="shared" si="323"/>
        <v>Cash Payment</v>
      </c>
      <c r="P4134">
        <v>82.81</v>
      </c>
      <c r="Q4134" s="37" t="str">
        <f>IF(P4134&gt;500,"High","low")</f>
        <v>low</v>
      </c>
      <c r="R4134" s="37" t="str">
        <f t="shared" si="324"/>
        <v>AVERAGE</v>
      </c>
      <c r="S4134" t="s">
        <v>600</v>
      </c>
    </row>
    <row r="4135" spans="1:19" x14ac:dyDescent="0.2">
      <c r="A4135" t="s">
        <v>4746</v>
      </c>
      <c r="B4135" t="s">
        <v>67</v>
      </c>
      <c r="C4135" t="s">
        <v>617</v>
      </c>
      <c r="D4135">
        <v>545.70000000000005</v>
      </c>
      <c r="E4135" s="37" t="str">
        <f t="shared" si="320"/>
        <v xml:space="preserve"> </v>
      </c>
      <c r="F4135">
        <v>0.46</v>
      </c>
      <c r="G4135" s="37" t="str">
        <f t="shared" si="321"/>
        <v>Heavy Discount</v>
      </c>
      <c r="H4135" s="37" t="str">
        <f t="shared" si="322"/>
        <v>High</v>
      </c>
      <c r="I4135">
        <v>3</v>
      </c>
      <c r="J4135" t="str" cm="1">
        <f t="array" ref="J4135">_xlfn.IFS(I4135&lt;=3,"small",I4135&lt;=6,"Medium",I4135&lt;=9,"Large")</f>
        <v>small</v>
      </c>
      <c r="K4135" s="36">
        <v>45307</v>
      </c>
      <c r="L4135" s="36">
        <v>45308</v>
      </c>
      <c r="M4135" t="s">
        <v>603</v>
      </c>
      <c r="N4135" t="s">
        <v>604</v>
      </c>
      <c r="O4135" s="37" t="str">
        <f t="shared" si="323"/>
        <v>Digital Payment</v>
      </c>
      <c r="P4135">
        <v>40.97</v>
      </c>
      <c r="Q4135" s="37" t="str">
        <f>IF(P4135&gt;500,"High","low")</f>
        <v>low</v>
      </c>
      <c r="R4135" s="37" t="str">
        <f t="shared" si="324"/>
        <v>AVERAGE</v>
      </c>
      <c r="S4135" t="s">
        <v>605</v>
      </c>
    </row>
    <row r="4136" spans="1:19" x14ac:dyDescent="0.2">
      <c r="A4136" t="s">
        <v>4747</v>
      </c>
      <c r="B4136" t="s">
        <v>90</v>
      </c>
      <c r="C4136" t="s">
        <v>597</v>
      </c>
      <c r="D4136">
        <v>3906.17</v>
      </c>
      <c r="E4136" s="37" t="str">
        <f t="shared" si="320"/>
        <v xml:space="preserve"> </v>
      </c>
      <c r="F4136">
        <v>0.28999999999999998</v>
      </c>
      <c r="G4136" s="37" t="str">
        <f t="shared" si="321"/>
        <v>Normal Discount</v>
      </c>
      <c r="H4136" s="37" t="str">
        <f t="shared" si="322"/>
        <v>Medium</v>
      </c>
      <c r="I4136">
        <v>1</v>
      </c>
      <c r="J4136" t="str" cm="1">
        <f t="array" ref="J4136">_xlfn.IFS(I4136&lt;=3,"small",I4136&lt;=6,"Medium",I4136&lt;=9,"Large")</f>
        <v>small</v>
      </c>
      <c r="K4136" s="36">
        <v>45143</v>
      </c>
      <c r="L4136" s="36">
        <v>45146</v>
      </c>
      <c r="M4136" t="s">
        <v>603</v>
      </c>
      <c r="N4136" t="s">
        <v>599</v>
      </c>
      <c r="O4136" s="37" t="str">
        <f t="shared" si="323"/>
        <v>Digital Payment</v>
      </c>
      <c r="P4136">
        <v>806.26</v>
      </c>
      <c r="Q4136" s="37" t="str">
        <f>IF(P4136&gt;500,"High","low")</f>
        <v>High</v>
      </c>
      <c r="R4136" s="37" t="str">
        <f t="shared" si="324"/>
        <v>Good</v>
      </c>
      <c r="S4136" t="s">
        <v>609</v>
      </c>
    </row>
    <row r="4137" spans="1:19" x14ac:dyDescent="0.2">
      <c r="A4137" t="s">
        <v>4748</v>
      </c>
      <c r="B4137" t="s">
        <v>75</v>
      </c>
      <c r="C4137" t="s">
        <v>597</v>
      </c>
      <c r="D4137">
        <v>1027.75</v>
      </c>
      <c r="E4137" s="37" t="str">
        <f t="shared" si="320"/>
        <v xml:space="preserve"> </v>
      </c>
      <c r="F4137">
        <v>0.32</v>
      </c>
      <c r="G4137" s="37" t="str">
        <f t="shared" si="321"/>
        <v>Heavy Discount</v>
      </c>
      <c r="H4137" s="37" t="str">
        <f t="shared" si="322"/>
        <v>Medium</v>
      </c>
      <c r="I4137">
        <v>6</v>
      </c>
      <c r="J4137" t="str" cm="1">
        <f t="array" ref="J4137">_xlfn.IFS(I4137&lt;=3,"small",I4137&lt;=6,"Medium",I4137&lt;=9,"Large")</f>
        <v>Medium</v>
      </c>
      <c r="K4137" s="36">
        <v>45032</v>
      </c>
      <c r="L4137" s="36">
        <v>45039</v>
      </c>
      <c r="M4137" t="s">
        <v>598</v>
      </c>
      <c r="N4137" t="s">
        <v>604</v>
      </c>
      <c r="O4137" s="37" t="str">
        <f t="shared" si="323"/>
        <v>Digital Payment</v>
      </c>
      <c r="P4137">
        <v>129.13</v>
      </c>
      <c r="Q4137" s="37" t="str">
        <f>IF(P4137&gt;500,"High","low")</f>
        <v>low</v>
      </c>
      <c r="R4137" s="37" t="str">
        <f t="shared" si="324"/>
        <v>AVERAGE</v>
      </c>
      <c r="S4137" t="s">
        <v>609</v>
      </c>
    </row>
    <row r="4138" spans="1:19" x14ac:dyDescent="0.2">
      <c r="A4138" t="s">
        <v>4749</v>
      </c>
      <c r="B4138" t="s">
        <v>67</v>
      </c>
      <c r="C4138" t="s">
        <v>597</v>
      </c>
      <c r="D4138">
        <v>3655.91</v>
      </c>
      <c r="E4138" s="37" t="str">
        <f t="shared" si="320"/>
        <v xml:space="preserve"> </v>
      </c>
      <c r="F4138">
        <v>0.35</v>
      </c>
      <c r="G4138" s="37" t="str">
        <f t="shared" si="321"/>
        <v>Heavy Discount</v>
      </c>
      <c r="H4138" s="37" t="str">
        <f t="shared" si="322"/>
        <v>Medium</v>
      </c>
      <c r="I4138">
        <v>7</v>
      </c>
      <c r="J4138" t="str" cm="1">
        <f t="array" ref="J4138">_xlfn.IFS(I4138&lt;=3,"small",I4138&lt;=6,"Medium",I4138&lt;=9,"Large")</f>
        <v>Large</v>
      </c>
      <c r="K4138" s="36">
        <v>44982</v>
      </c>
      <c r="L4138" s="36">
        <v>44987</v>
      </c>
      <c r="M4138" t="s">
        <v>598</v>
      </c>
      <c r="N4138" t="s">
        <v>608</v>
      </c>
      <c r="O4138" s="37" t="str">
        <f t="shared" si="323"/>
        <v>Cash Payment</v>
      </c>
      <c r="P4138">
        <v>891.08</v>
      </c>
      <c r="Q4138" s="37" t="str">
        <f>IF(P4138&gt;500,"High","low")</f>
        <v>High</v>
      </c>
      <c r="R4138" s="37" t="str">
        <f t="shared" si="324"/>
        <v>Good</v>
      </c>
      <c r="S4138" t="s">
        <v>620</v>
      </c>
    </row>
    <row r="4139" spans="1:19" x14ac:dyDescent="0.2">
      <c r="A4139" t="s">
        <v>4750</v>
      </c>
      <c r="B4139" t="s">
        <v>83</v>
      </c>
      <c r="C4139" t="s">
        <v>614</v>
      </c>
      <c r="D4139">
        <v>2262.25</v>
      </c>
      <c r="E4139" s="37" t="str">
        <f t="shared" si="320"/>
        <v xml:space="preserve"> </v>
      </c>
      <c r="F4139">
        <v>0.09</v>
      </c>
      <c r="G4139" s="37" t="str">
        <f t="shared" si="321"/>
        <v>Normal Discount</v>
      </c>
      <c r="H4139" s="37" t="str">
        <f t="shared" si="322"/>
        <v>Low</v>
      </c>
      <c r="I4139">
        <v>2</v>
      </c>
      <c r="J4139" t="str" cm="1">
        <f t="array" ref="J4139">_xlfn.IFS(I4139&lt;=3,"small",I4139&lt;=6,"Medium",I4139&lt;=9,"Large")</f>
        <v>small</v>
      </c>
      <c r="K4139" s="36">
        <v>45080</v>
      </c>
      <c r="L4139" s="36">
        <v>45087</v>
      </c>
      <c r="M4139" t="s">
        <v>612</v>
      </c>
      <c r="N4139" t="s">
        <v>608</v>
      </c>
      <c r="O4139" s="37" t="str">
        <f t="shared" si="323"/>
        <v>Cash Payment</v>
      </c>
      <c r="P4139">
        <v>340.47</v>
      </c>
      <c r="Q4139" s="37" t="str">
        <f>IF(P4139&gt;500,"High","low")</f>
        <v>low</v>
      </c>
      <c r="R4139" s="37" t="str">
        <f t="shared" si="324"/>
        <v>AVERAGE</v>
      </c>
      <c r="S4139" t="s">
        <v>609</v>
      </c>
    </row>
    <row r="4140" spans="1:19" x14ac:dyDescent="0.2">
      <c r="A4140" t="s">
        <v>4751</v>
      </c>
      <c r="B4140" t="s">
        <v>90</v>
      </c>
      <c r="C4140" t="s">
        <v>607</v>
      </c>
      <c r="D4140">
        <v>4197.6499999999996</v>
      </c>
      <c r="E4140" s="37" t="str">
        <f t="shared" si="320"/>
        <v>Excellent Order</v>
      </c>
      <c r="F4140">
        <v>0.38</v>
      </c>
      <c r="G4140" s="37" t="str">
        <f t="shared" si="321"/>
        <v>Heavy Discount</v>
      </c>
      <c r="H4140" s="37" t="str">
        <f t="shared" si="322"/>
        <v>Medium</v>
      </c>
      <c r="I4140">
        <v>9</v>
      </c>
      <c r="J4140" t="str" cm="1">
        <f t="array" ref="J4140">_xlfn.IFS(I4140&lt;=3,"small",I4140&lt;=6,"Medium",I4140&lt;=9,"Large")</f>
        <v>Large</v>
      </c>
      <c r="K4140" s="36">
        <v>44994</v>
      </c>
      <c r="L4140" s="36">
        <v>45001</v>
      </c>
      <c r="M4140" t="s">
        <v>612</v>
      </c>
      <c r="N4140" t="s">
        <v>608</v>
      </c>
      <c r="O4140" s="37" t="str">
        <f t="shared" si="323"/>
        <v>Cash Payment</v>
      </c>
      <c r="P4140">
        <v>1125.08</v>
      </c>
      <c r="Q4140" s="37" t="str">
        <f>IF(P4140&gt;500,"High","low")</f>
        <v>High</v>
      </c>
      <c r="R4140" s="37" t="str">
        <f t="shared" si="324"/>
        <v>Excellent</v>
      </c>
      <c r="S4140" t="s">
        <v>605</v>
      </c>
    </row>
    <row r="4141" spans="1:19" x14ac:dyDescent="0.2">
      <c r="A4141" t="s">
        <v>4752</v>
      </c>
      <c r="B4141" t="s">
        <v>67</v>
      </c>
      <c r="C4141" t="s">
        <v>614</v>
      </c>
      <c r="D4141">
        <v>4061.92</v>
      </c>
      <c r="E4141" s="37" t="str">
        <f t="shared" si="320"/>
        <v xml:space="preserve"> </v>
      </c>
      <c r="F4141">
        <v>0.15</v>
      </c>
      <c r="G4141" s="37" t="str">
        <f t="shared" si="321"/>
        <v>Normal Discount</v>
      </c>
      <c r="H4141" s="37" t="str">
        <f t="shared" si="322"/>
        <v>Low</v>
      </c>
      <c r="I4141">
        <v>5</v>
      </c>
      <c r="J4141" t="str" cm="1">
        <f t="array" ref="J4141">_xlfn.IFS(I4141&lt;=3,"small",I4141&lt;=6,"Medium",I4141&lt;=9,"Large")</f>
        <v>Medium</v>
      </c>
      <c r="K4141" s="36">
        <v>45383</v>
      </c>
      <c r="L4141" s="36">
        <v>45386</v>
      </c>
      <c r="M4141" t="s">
        <v>598</v>
      </c>
      <c r="N4141" t="s">
        <v>599</v>
      </c>
      <c r="O4141" s="37" t="str">
        <f t="shared" si="323"/>
        <v>Digital Payment</v>
      </c>
      <c r="P4141">
        <v>572.78</v>
      </c>
      <c r="Q4141" s="37" t="str">
        <f>IF(P4141&gt;500,"High","low")</f>
        <v>High</v>
      </c>
      <c r="R4141" s="37" t="str">
        <f t="shared" si="324"/>
        <v>Good</v>
      </c>
      <c r="S4141" t="s">
        <v>615</v>
      </c>
    </row>
    <row r="4142" spans="1:19" x14ac:dyDescent="0.2">
      <c r="A4142" t="s">
        <v>4753</v>
      </c>
      <c r="B4142" t="s">
        <v>83</v>
      </c>
      <c r="C4142" t="s">
        <v>602</v>
      </c>
      <c r="D4142">
        <v>4802.3500000000004</v>
      </c>
      <c r="E4142" s="37" t="str">
        <f t="shared" si="320"/>
        <v xml:space="preserve"> </v>
      </c>
      <c r="F4142">
        <v>0.21</v>
      </c>
      <c r="G4142" s="37" t="str">
        <f t="shared" si="321"/>
        <v>Normal Discount</v>
      </c>
      <c r="H4142" s="37" t="str">
        <f t="shared" si="322"/>
        <v>Medium</v>
      </c>
      <c r="I4142">
        <v>3</v>
      </c>
      <c r="J4142" t="str" cm="1">
        <f t="array" ref="J4142">_xlfn.IFS(I4142&lt;=3,"small",I4142&lt;=6,"Medium",I4142&lt;=9,"Large")</f>
        <v>small</v>
      </c>
      <c r="K4142" s="36">
        <v>45639</v>
      </c>
      <c r="L4142" s="36">
        <v>45646</v>
      </c>
      <c r="M4142" t="s">
        <v>603</v>
      </c>
      <c r="N4142" t="s">
        <v>608</v>
      </c>
      <c r="O4142" s="37" t="str">
        <f t="shared" si="323"/>
        <v>Cash Payment</v>
      </c>
      <c r="P4142">
        <v>580.87</v>
      </c>
      <c r="Q4142" s="37" t="str">
        <f>IF(P4142&gt;500,"High","low")</f>
        <v>High</v>
      </c>
      <c r="R4142" s="37" t="str">
        <f t="shared" si="324"/>
        <v>Good</v>
      </c>
      <c r="S4142" t="s">
        <v>609</v>
      </c>
    </row>
    <row r="4143" spans="1:19" x14ac:dyDescent="0.2">
      <c r="A4143" t="s">
        <v>4754</v>
      </c>
      <c r="B4143" t="s">
        <v>67</v>
      </c>
      <c r="C4143" t="s">
        <v>597</v>
      </c>
      <c r="D4143">
        <v>1330.09</v>
      </c>
      <c r="E4143" s="37" t="str">
        <f t="shared" si="320"/>
        <v xml:space="preserve"> </v>
      </c>
      <c r="F4143">
        <v>0.01</v>
      </c>
      <c r="G4143" s="37" t="str">
        <f t="shared" si="321"/>
        <v>Normal Discount</v>
      </c>
      <c r="H4143" s="37" t="str">
        <f t="shared" si="322"/>
        <v>Low</v>
      </c>
      <c r="I4143">
        <v>7</v>
      </c>
      <c r="J4143" t="str" cm="1">
        <f t="array" ref="J4143">_xlfn.IFS(I4143&lt;=3,"small",I4143&lt;=6,"Medium",I4143&lt;=9,"Large")</f>
        <v>Large</v>
      </c>
      <c r="K4143" s="36">
        <v>45418</v>
      </c>
      <c r="L4143" s="36">
        <v>45421</v>
      </c>
      <c r="M4143" t="s">
        <v>603</v>
      </c>
      <c r="N4143" t="s">
        <v>604</v>
      </c>
      <c r="O4143" s="37" t="str">
        <f t="shared" si="323"/>
        <v>Digital Payment</v>
      </c>
      <c r="P4143">
        <v>234.45</v>
      </c>
      <c r="Q4143" s="37" t="str">
        <f>IF(P4143&gt;500,"High","low")</f>
        <v>low</v>
      </c>
      <c r="R4143" s="37" t="str">
        <f t="shared" si="324"/>
        <v>AVERAGE</v>
      </c>
      <c r="S4143" t="s">
        <v>609</v>
      </c>
    </row>
    <row r="4144" spans="1:19" x14ac:dyDescent="0.2">
      <c r="A4144" t="s">
        <v>4755</v>
      </c>
      <c r="B4144" t="s">
        <v>83</v>
      </c>
      <c r="C4144" t="s">
        <v>597</v>
      </c>
      <c r="D4144">
        <v>1223.27</v>
      </c>
      <c r="E4144" s="37" t="str">
        <f t="shared" si="320"/>
        <v xml:space="preserve"> </v>
      </c>
      <c r="F4144">
        <v>0.42</v>
      </c>
      <c r="G4144" s="37" t="str">
        <f t="shared" si="321"/>
        <v>Heavy Discount</v>
      </c>
      <c r="H4144" s="37" t="str">
        <f t="shared" si="322"/>
        <v>High</v>
      </c>
      <c r="I4144">
        <v>7</v>
      </c>
      <c r="J4144" t="str" cm="1">
        <f t="array" ref="J4144">_xlfn.IFS(I4144&lt;=3,"small",I4144&lt;=6,"Medium",I4144&lt;=9,"Large")</f>
        <v>Large</v>
      </c>
      <c r="K4144" s="36">
        <v>45528</v>
      </c>
      <c r="L4144" s="36">
        <v>45532</v>
      </c>
      <c r="M4144" t="s">
        <v>598</v>
      </c>
      <c r="N4144" t="s">
        <v>599</v>
      </c>
      <c r="O4144" s="37" t="str">
        <f t="shared" si="323"/>
        <v>Digital Payment</v>
      </c>
      <c r="P4144">
        <v>201.33</v>
      </c>
      <c r="Q4144" s="37" t="str">
        <f>IF(P4144&gt;500,"High","low")</f>
        <v>low</v>
      </c>
      <c r="R4144" s="37" t="str">
        <f t="shared" si="324"/>
        <v>AVERAGE</v>
      </c>
      <c r="S4144" t="s">
        <v>615</v>
      </c>
    </row>
    <row r="4145" spans="1:19" x14ac:dyDescent="0.2">
      <c r="A4145" t="s">
        <v>4756</v>
      </c>
      <c r="B4145" t="s">
        <v>90</v>
      </c>
      <c r="C4145" t="s">
        <v>602</v>
      </c>
      <c r="D4145">
        <v>254.39</v>
      </c>
      <c r="E4145" s="37" t="str">
        <f t="shared" si="320"/>
        <v xml:space="preserve"> </v>
      </c>
      <c r="F4145">
        <v>0.48</v>
      </c>
      <c r="G4145" s="37" t="str">
        <f t="shared" si="321"/>
        <v>Heavy Discount</v>
      </c>
      <c r="H4145" s="37" t="str">
        <f t="shared" si="322"/>
        <v>High</v>
      </c>
      <c r="I4145">
        <v>1</v>
      </c>
      <c r="J4145" t="str" cm="1">
        <f t="array" ref="J4145">_xlfn.IFS(I4145&lt;=3,"small",I4145&lt;=6,"Medium",I4145&lt;=9,"Large")</f>
        <v>small</v>
      </c>
      <c r="K4145" s="36">
        <v>44937</v>
      </c>
      <c r="L4145" s="36">
        <v>44940</v>
      </c>
      <c r="M4145" t="s">
        <v>603</v>
      </c>
      <c r="N4145" t="s">
        <v>604</v>
      </c>
      <c r="O4145" s="37" t="str">
        <f t="shared" si="323"/>
        <v>Digital Payment</v>
      </c>
      <c r="P4145">
        <v>16.32</v>
      </c>
      <c r="Q4145" s="37" t="str">
        <f>IF(P4145&gt;500,"High","low")</f>
        <v>low</v>
      </c>
      <c r="R4145" s="37" t="str">
        <f t="shared" si="324"/>
        <v>AVERAGE</v>
      </c>
      <c r="S4145" t="s">
        <v>615</v>
      </c>
    </row>
    <row r="4146" spans="1:19" x14ac:dyDescent="0.2">
      <c r="A4146" t="s">
        <v>4757</v>
      </c>
      <c r="B4146" t="s">
        <v>67</v>
      </c>
      <c r="C4146" t="s">
        <v>597</v>
      </c>
      <c r="D4146">
        <v>2111.04</v>
      </c>
      <c r="E4146" s="37" t="str">
        <f t="shared" si="320"/>
        <v xml:space="preserve"> </v>
      </c>
      <c r="F4146">
        <v>0.03</v>
      </c>
      <c r="G4146" s="37" t="str">
        <f t="shared" si="321"/>
        <v>Normal Discount</v>
      </c>
      <c r="H4146" s="37" t="str">
        <f t="shared" si="322"/>
        <v>Low</v>
      </c>
      <c r="I4146">
        <v>6</v>
      </c>
      <c r="J4146" t="str" cm="1">
        <f t="array" ref="J4146">_xlfn.IFS(I4146&lt;=3,"small",I4146&lt;=6,"Medium",I4146&lt;=9,"Large")</f>
        <v>Medium</v>
      </c>
      <c r="K4146" s="36">
        <v>45363</v>
      </c>
      <c r="L4146" s="36">
        <v>45370</v>
      </c>
      <c r="M4146" t="s">
        <v>612</v>
      </c>
      <c r="N4146" t="s">
        <v>599</v>
      </c>
      <c r="O4146" s="37" t="str">
        <f t="shared" si="323"/>
        <v>Digital Payment</v>
      </c>
      <c r="P4146">
        <v>511.08</v>
      </c>
      <c r="Q4146" s="37" t="str">
        <f>IF(P4146&gt;500,"High","low")</f>
        <v>High</v>
      </c>
      <c r="R4146" s="37" t="str">
        <f t="shared" si="324"/>
        <v>Good</v>
      </c>
      <c r="S4146" t="s">
        <v>609</v>
      </c>
    </row>
    <row r="4147" spans="1:19" x14ac:dyDescent="0.2">
      <c r="A4147" t="s">
        <v>4758</v>
      </c>
      <c r="B4147" t="s">
        <v>67</v>
      </c>
      <c r="C4147" t="s">
        <v>597</v>
      </c>
      <c r="D4147">
        <v>2349.41</v>
      </c>
      <c r="E4147" s="37" t="str">
        <f t="shared" si="320"/>
        <v xml:space="preserve"> </v>
      </c>
      <c r="F4147">
        <v>0.32</v>
      </c>
      <c r="G4147" s="37" t="str">
        <f t="shared" si="321"/>
        <v>Heavy Discount</v>
      </c>
      <c r="H4147" s="37" t="str">
        <f t="shared" si="322"/>
        <v>Medium</v>
      </c>
      <c r="I4147">
        <v>3</v>
      </c>
      <c r="J4147" t="str" cm="1">
        <f t="array" ref="J4147">_xlfn.IFS(I4147&lt;=3,"small",I4147&lt;=6,"Medium",I4147&lt;=9,"Large")</f>
        <v>small</v>
      </c>
      <c r="K4147" s="36">
        <v>45540</v>
      </c>
      <c r="L4147" s="36">
        <v>45547</v>
      </c>
      <c r="M4147" t="s">
        <v>598</v>
      </c>
      <c r="N4147" t="s">
        <v>599</v>
      </c>
      <c r="O4147" s="37" t="str">
        <f t="shared" si="323"/>
        <v>Digital Payment</v>
      </c>
      <c r="P4147">
        <v>347.07</v>
      </c>
      <c r="Q4147" s="37" t="str">
        <f>IF(P4147&gt;500,"High","low")</f>
        <v>low</v>
      </c>
      <c r="R4147" s="37" t="str">
        <f t="shared" si="324"/>
        <v>AVERAGE</v>
      </c>
      <c r="S4147" t="s">
        <v>600</v>
      </c>
    </row>
    <row r="4148" spans="1:19" x14ac:dyDescent="0.2">
      <c r="A4148" t="s">
        <v>4759</v>
      </c>
      <c r="B4148" t="s">
        <v>75</v>
      </c>
      <c r="C4148" t="s">
        <v>597</v>
      </c>
      <c r="D4148">
        <v>4826.12</v>
      </c>
      <c r="E4148" s="37" t="str">
        <f t="shared" si="320"/>
        <v xml:space="preserve"> </v>
      </c>
      <c r="F4148">
        <v>0.48</v>
      </c>
      <c r="G4148" s="37" t="str">
        <f t="shared" si="321"/>
        <v>Heavy Discount</v>
      </c>
      <c r="H4148" s="37" t="str">
        <f t="shared" si="322"/>
        <v>High</v>
      </c>
      <c r="I4148">
        <v>7</v>
      </c>
      <c r="J4148" t="str" cm="1">
        <f t="array" ref="J4148">_xlfn.IFS(I4148&lt;=3,"small",I4148&lt;=6,"Medium",I4148&lt;=9,"Large")</f>
        <v>Large</v>
      </c>
      <c r="K4148" s="36">
        <v>45625</v>
      </c>
      <c r="L4148" s="36">
        <v>45631</v>
      </c>
      <c r="M4148" t="s">
        <v>603</v>
      </c>
      <c r="N4148" t="s">
        <v>604</v>
      </c>
      <c r="O4148" s="37" t="str">
        <f t="shared" si="323"/>
        <v>Digital Payment</v>
      </c>
      <c r="P4148">
        <v>795.01</v>
      </c>
      <c r="Q4148" s="37" t="str">
        <f>IF(P4148&gt;500,"High","low")</f>
        <v>High</v>
      </c>
      <c r="R4148" s="37" t="str">
        <f t="shared" si="324"/>
        <v>Good</v>
      </c>
      <c r="S4148" t="s">
        <v>620</v>
      </c>
    </row>
    <row r="4149" spans="1:19" x14ac:dyDescent="0.2">
      <c r="A4149" t="s">
        <v>4760</v>
      </c>
      <c r="B4149" t="s">
        <v>90</v>
      </c>
      <c r="C4149" t="s">
        <v>602</v>
      </c>
      <c r="D4149">
        <v>4170.8500000000004</v>
      </c>
      <c r="E4149" s="37" t="str">
        <f t="shared" si="320"/>
        <v>Excellent Order</v>
      </c>
      <c r="F4149">
        <v>0.3</v>
      </c>
      <c r="G4149" s="37" t="str">
        <f t="shared" si="321"/>
        <v>Normal Discount</v>
      </c>
      <c r="H4149" s="37" t="str">
        <f t="shared" si="322"/>
        <v>Medium</v>
      </c>
      <c r="I4149">
        <v>5</v>
      </c>
      <c r="J4149" t="str" cm="1">
        <f t="array" ref="J4149">_xlfn.IFS(I4149&lt;=3,"small",I4149&lt;=6,"Medium",I4149&lt;=9,"Large")</f>
        <v>Medium</v>
      </c>
      <c r="K4149" s="36">
        <v>45340</v>
      </c>
      <c r="L4149" s="36">
        <v>45347</v>
      </c>
      <c r="M4149" t="s">
        <v>603</v>
      </c>
      <c r="N4149" t="s">
        <v>599</v>
      </c>
      <c r="O4149" s="37" t="str">
        <f t="shared" si="323"/>
        <v>Digital Payment</v>
      </c>
      <c r="P4149">
        <v>949.65</v>
      </c>
      <c r="Q4149" s="37" t="str">
        <f>IF(P4149&gt;500,"High","low")</f>
        <v>High</v>
      </c>
      <c r="R4149" s="37" t="str">
        <f t="shared" si="324"/>
        <v>Good</v>
      </c>
      <c r="S4149" t="s">
        <v>615</v>
      </c>
    </row>
    <row r="4150" spans="1:19" x14ac:dyDescent="0.2">
      <c r="A4150" t="s">
        <v>4761</v>
      </c>
      <c r="B4150" t="s">
        <v>83</v>
      </c>
      <c r="C4150" t="s">
        <v>614</v>
      </c>
      <c r="D4150">
        <v>917.28</v>
      </c>
      <c r="E4150" s="37" t="str">
        <f t="shared" si="320"/>
        <v xml:space="preserve"> </v>
      </c>
      <c r="F4150">
        <v>0.4</v>
      </c>
      <c r="G4150" s="37" t="str">
        <f t="shared" si="321"/>
        <v>Heavy Discount</v>
      </c>
      <c r="H4150" s="37" t="str">
        <f t="shared" si="322"/>
        <v>Medium</v>
      </c>
      <c r="I4150">
        <v>4</v>
      </c>
      <c r="J4150" t="str" cm="1">
        <f t="array" ref="J4150">_xlfn.IFS(I4150&lt;=3,"small",I4150&lt;=6,"Medium",I4150&lt;=9,"Large")</f>
        <v>Medium</v>
      </c>
      <c r="K4150" s="36">
        <v>45157</v>
      </c>
      <c r="L4150" s="36">
        <v>45164</v>
      </c>
      <c r="M4150" t="s">
        <v>612</v>
      </c>
      <c r="N4150" t="s">
        <v>604</v>
      </c>
      <c r="O4150" s="37" t="str">
        <f t="shared" si="323"/>
        <v>Digital Payment</v>
      </c>
      <c r="P4150">
        <v>56.94</v>
      </c>
      <c r="Q4150" s="37" t="str">
        <f>IF(P4150&gt;500,"High","low")</f>
        <v>low</v>
      </c>
      <c r="R4150" s="37" t="str">
        <f t="shared" si="324"/>
        <v>AVERAGE</v>
      </c>
      <c r="S4150" t="s">
        <v>609</v>
      </c>
    </row>
    <row r="4151" spans="1:19" x14ac:dyDescent="0.2">
      <c r="A4151" t="s">
        <v>4762</v>
      </c>
      <c r="B4151" t="s">
        <v>67</v>
      </c>
      <c r="C4151" t="s">
        <v>597</v>
      </c>
      <c r="D4151">
        <v>4012.6</v>
      </c>
      <c r="E4151" s="37" t="str">
        <f t="shared" si="320"/>
        <v xml:space="preserve"> </v>
      </c>
      <c r="F4151">
        <v>0.06</v>
      </c>
      <c r="G4151" s="37" t="str">
        <f t="shared" si="321"/>
        <v>Normal Discount</v>
      </c>
      <c r="H4151" s="37" t="str">
        <f t="shared" si="322"/>
        <v>Low</v>
      </c>
      <c r="I4151">
        <v>7</v>
      </c>
      <c r="J4151" t="str" cm="1">
        <f t="array" ref="J4151">_xlfn.IFS(I4151&lt;=3,"small",I4151&lt;=6,"Medium",I4151&lt;=9,"Large")</f>
        <v>Large</v>
      </c>
      <c r="K4151" s="36">
        <v>45063</v>
      </c>
      <c r="L4151" s="36">
        <v>45065</v>
      </c>
      <c r="M4151" t="s">
        <v>612</v>
      </c>
      <c r="N4151" t="s">
        <v>604</v>
      </c>
      <c r="O4151" s="37" t="str">
        <f t="shared" si="323"/>
        <v>Digital Payment</v>
      </c>
      <c r="P4151">
        <v>453.05</v>
      </c>
      <c r="Q4151" s="37" t="str">
        <f>IF(P4151&gt;500,"High","low")</f>
        <v>low</v>
      </c>
      <c r="R4151" s="37" t="str">
        <f t="shared" si="324"/>
        <v>AVERAGE</v>
      </c>
      <c r="S4151" t="s">
        <v>628</v>
      </c>
    </row>
    <row r="4152" spans="1:19" x14ac:dyDescent="0.2">
      <c r="A4152" t="s">
        <v>4763</v>
      </c>
      <c r="B4152" t="s">
        <v>67</v>
      </c>
      <c r="C4152" t="s">
        <v>607</v>
      </c>
      <c r="D4152">
        <v>973.67</v>
      </c>
      <c r="E4152" s="37" t="str">
        <f t="shared" si="320"/>
        <v xml:space="preserve"> </v>
      </c>
      <c r="F4152">
        <v>0.12</v>
      </c>
      <c r="G4152" s="37" t="str">
        <f t="shared" si="321"/>
        <v>Normal Discount</v>
      </c>
      <c r="H4152" s="37" t="str">
        <f t="shared" si="322"/>
        <v>Low</v>
      </c>
      <c r="I4152">
        <v>7</v>
      </c>
      <c r="J4152" t="str" cm="1">
        <f t="array" ref="J4152">_xlfn.IFS(I4152&lt;=3,"small",I4152&lt;=6,"Medium",I4152&lt;=9,"Large")</f>
        <v>Large</v>
      </c>
      <c r="K4152" s="36">
        <v>45449</v>
      </c>
      <c r="L4152" s="36">
        <v>45451</v>
      </c>
      <c r="M4152" t="s">
        <v>612</v>
      </c>
      <c r="N4152" t="s">
        <v>608</v>
      </c>
      <c r="O4152" s="37" t="str">
        <f t="shared" si="323"/>
        <v>Cash Payment</v>
      </c>
      <c r="P4152">
        <v>102.31</v>
      </c>
      <c r="Q4152" s="37" t="str">
        <f>IF(P4152&gt;500,"High","low")</f>
        <v>low</v>
      </c>
      <c r="R4152" s="37" t="str">
        <f t="shared" si="324"/>
        <v>AVERAGE</v>
      </c>
      <c r="S4152" t="s">
        <v>600</v>
      </c>
    </row>
    <row r="4153" spans="1:19" x14ac:dyDescent="0.2">
      <c r="A4153" t="s">
        <v>4764</v>
      </c>
      <c r="B4153" t="s">
        <v>83</v>
      </c>
      <c r="C4153" t="s">
        <v>602</v>
      </c>
      <c r="D4153">
        <v>481.05</v>
      </c>
      <c r="E4153" s="37" t="str">
        <f t="shared" si="320"/>
        <v xml:space="preserve"> </v>
      </c>
      <c r="F4153">
        <v>0.17</v>
      </c>
      <c r="G4153" s="37" t="str">
        <f t="shared" si="321"/>
        <v>Normal Discount</v>
      </c>
      <c r="H4153" s="37" t="str">
        <f t="shared" si="322"/>
        <v>Low</v>
      </c>
      <c r="I4153">
        <v>8</v>
      </c>
      <c r="J4153" t="str" cm="1">
        <f t="array" ref="J4153">_xlfn.IFS(I4153&lt;=3,"small",I4153&lt;=6,"Medium",I4153&lt;=9,"Large")</f>
        <v>Large</v>
      </c>
      <c r="K4153" s="36">
        <v>45327</v>
      </c>
      <c r="L4153" s="36">
        <v>45332</v>
      </c>
      <c r="M4153" t="s">
        <v>612</v>
      </c>
      <c r="N4153" t="s">
        <v>608</v>
      </c>
      <c r="O4153" s="37" t="str">
        <f t="shared" si="323"/>
        <v>Cash Payment</v>
      </c>
      <c r="P4153">
        <v>87.43</v>
      </c>
      <c r="Q4153" s="37" t="str">
        <f>IF(P4153&gt;500,"High","low")</f>
        <v>low</v>
      </c>
      <c r="R4153" s="37" t="str">
        <f t="shared" si="324"/>
        <v>AVERAGE</v>
      </c>
      <c r="S4153" t="s">
        <v>620</v>
      </c>
    </row>
    <row r="4154" spans="1:19" x14ac:dyDescent="0.2">
      <c r="A4154" t="s">
        <v>4765</v>
      </c>
      <c r="B4154" t="s">
        <v>90</v>
      </c>
      <c r="C4154" t="s">
        <v>617</v>
      </c>
      <c r="D4154">
        <v>4201.71</v>
      </c>
      <c r="E4154" s="37" t="str">
        <f t="shared" si="320"/>
        <v>Excellent Order</v>
      </c>
      <c r="F4154">
        <v>0.49</v>
      </c>
      <c r="G4154" s="37" t="str">
        <f t="shared" si="321"/>
        <v>Heavy Discount</v>
      </c>
      <c r="H4154" s="37" t="str">
        <f t="shared" si="322"/>
        <v>High</v>
      </c>
      <c r="I4154">
        <v>5</v>
      </c>
      <c r="J4154" t="str" cm="1">
        <f t="array" ref="J4154">_xlfn.IFS(I4154&lt;=3,"small",I4154&lt;=6,"Medium",I4154&lt;=9,"Large")</f>
        <v>Medium</v>
      </c>
      <c r="K4154" s="36">
        <v>45495</v>
      </c>
      <c r="L4154" s="36">
        <v>45496</v>
      </c>
      <c r="M4154" t="s">
        <v>598</v>
      </c>
      <c r="N4154" t="s">
        <v>608</v>
      </c>
      <c r="O4154" s="37" t="str">
        <f t="shared" si="323"/>
        <v>Cash Payment</v>
      </c>
      <c r="P4154">
        <v>1108.53</v>
      </c>
      <c r="Q4154" s="37" t="str">
        <f>IF(P4154&gt;500,"High","low")</f>
        <v>High</v>
      </c>
      <c r="R4154" s="37" t="str">
        <f t="shared" si="324"/>
        <v>Excellent</v>
      </c>
      <c r="S4154" t="s">
        <v>600</v>
      </c>
    </row>
    <row r="4155" spans="1:19" x14ac:dyDescent="0.2">
      <c r="A4155" t="s">
        <v>4766</v>
      </c>
      <c r="B4155" t="s">
        <v>75</v>
      </c>
      <c r="C4155" t="s">
        <v>602</v>
      </c>
      <c r="D4155">
        <v>4882.2</v>
      </c>
      <c r="E4155" s="37" t="str">
        <f t="shared" si="320"/>
        <v>Excellent Order</v>
      </c>
      <c r="F4155">
        <v>0.39</v>
      </c>
      <c r="G4155" s="37" t="str">
        <f t="shared" si="321"/>
        <v>Heavy Discount</v>
      </c>
      <c r="H4155" s="37" t="str">
        <f t="shared" si="322"/>
        <v>Medium</v>
      </c>
      <c r="I4155">
        <v>4</v>
      </c>
      <c r="J4155" t="str" cm="1">
        <f t="array" ref="J4155">_xlfn.IFS(I4155&lt;=3,"small",I4155&lt;=6,"Medium",I4155&lt;=9,"Large")</f>
        <v>Medium</v>
      </c>
      <c r="K4155" s="36">
        <v>44976</v>
      </c>
      <c r="L4155" s="36">
        <v>44977</v>
      </c>
      <c r="M4155" t="s">
        <v>598</v>
      </c>
      <c r="N4155" t="s">
        <v>604</v>
      </c>
      <c r="O4155" s="37" t="str">
        <f t="shared" si="323"/>
        <v>Digital Payment</v>
      </c>
      <c r="P4155">
        <v>826.7</v>
      </c>
      <c r="Q4155" s="37" t="str">
        <f>IF(P4155&gt;500,"High","low")</f>
        <v>High</v>
      </c>
      <c r="R4155" s="37" t="str">
        <f t="shared" si="324"/>
        <v>Good</v>
      </c>
      <c r="S4155" t="s">
        <v>615</v>
      </c>
    </row>
    <row r="4156" spans="1:19" x14ac:dyDescent="0.2">
      <c r="A4156" t="s">
        <v>4767</v>
      </c>
      <c r="B4156" t="s">
        <v>75</v>
      </c>
      <c r="C4156" t="s">
        <v>614</v>
      </c>
      <c r="D4156">
        <v>531.78</v>
      </c>
      <c r="E4156" s="37" t="str">
        <f t="shared" si="320"/>
        <v xml:space="preserve"> </v>
      </c>
      <c r="F4156">
        <v>0.44</v>
      </c>
      <c r="G4156" s="37" t="str">
        <f t="shared" si="321"/>
        <v>Heavy Discount</v>
      </c>
      <c r="H4156" s="37" t="str">
        <f t="shared" si="322"/>
        <v>High</v>
      </c>
      <c r="I4156">
        <v>1</v>
      </c>
      <c r="J4156" t="str" cm="1">
        <f t="array" ref="J4156">_xlfn.IFS(I4156&lt;=3,"small",I4156&lt;=6,"Medium",I4156&lt;=9,"Large")</f>
        <v>small</v>
      </c>
      <c r="K4156" s="36">
        <v>45406</v>
      </c>
      <c r="L4156" s="36">
        <v>45411</v>
      </c>
      <c r="M4156" t="s">
        <v>598</v>
      </c>
      <c r="N4156" t="s">
        <v>599</v>
      </c>
      <c r="O4156" s="37" t="str">
        <f t="shared" si="323"/>
        <v>Digital Payment</v>
      </c>
      <c r="P4156">
        <v>67.42</v>
      </c>
      <c r="Q4156" s="37" t="str">
        <f>IF(P4156&gt;500,"High","low")</f>
        <v>low</v>
      </c>
      <c r="R4156" s="37" t="str">
        <f t="shared" si="324"/>
        <v>AVERAGE</v>
      </c>
      <c r="S4156" t="s">
        <v>605</v>
      </c>
    </row>
    <row r="4157" spans="1:19" x14ac:dyDescent="0.2">
      <c r="A4157" t="s">
        <v>4768</v>
      </c>
      <c r="B4157" t="s">
        <v>67</v>
      </c>
      <c r="C4157" t="s">
        <v>602</v>
      </c>
      <c r="D4157">
        <v>4088.23</v>
      </c>
      <c r="E4157" s="37" t="str">
        <f t="shared" si="320"/>
        <v xml:space="preserve"> </v>
      </c>
      <c r="F4157">
        <v>0.24</v>
      </c>
      <c r="G4157" s="37" t="str">
        <f t="shared" si="321"/>
        <v>Normal Discount</v>
      </c>
      <c r="H4157" s="37" t="str">
        <f t="shared" si="322"/>
        <v>Medium</v>
      </c>
      <c r="I4157">
        <v>4</v>
      </c>
      <c r="J4157" t="str" cm="1">
        <f t="array" ref="J4157">_xlfn.IFS(I4157&lt;=3,"small",I4157&lt;=6,"Medium",I4157&lt;=9,"Large")</f>
        <v>Medium</v>
      </c>
      <c r="K4157" s="36">
        <v>45511</v>
      </c>
      <c r="L4157" s="36">
        <v>45517</v>
      </c>
      <c r="M4157" t="s">
        <v>603</v>
      </c>
      <c r="N4157" t="s">
        <v>608</v>
      </c>
      <c r="O4157" s="37" t="str">
        <f t="shared" si="323"/>
        <v>Cash Payment</v>
      </c>
      <c r="P4157">
        <v>308.86</v>
      </c>
      <c r="Q4157" s="37" t="str">
        <f>IF(P4157&gt;500,"High","low")</f>
        <v>low</v>
      </c>
      <c r="R4157" s="37" t="str">
        <f t="shared" si="324"/>
        <v>AVERAGE</v>
      </c>
      <c r="S4157" t="s">
        <v>615</v>
      </c>
    </row>
    <row r="4158" spans="1:19" x14ac:dyDescent="0.2">
      <c r="A4158" t="s">
        <v>4769</v>
      </c>
      <c r="B4158" t="s">
        <v>83</v>
      </c>
      <c r="C4158" t="s">
        <v>617</v>
      </c>
      <c r="D4158">
        <v>4310.1400000000003</v>
      </c>
      <c r="E4158" s="37" t="str">
        <f t="shared" si="320"/>
        <v xml:space="preserve"> </v>
      </c>
      <c r="F4158">
        <v>0.36</v>
      </c>
      <c r="G4158" s="37" t="str">
        <f t="shared" si="321"/>
        <v>Heavy Discount</v>
      </c>
      <c r="H4158" s="37" t="str">
        <f t="shared" si="322"/>
        <v>Medium</v>
      </c>
      <c r="I4158">
        <v>1</v>
      </c>
      <c r="J4158" t="str" cm="1">
        <f t="array" ref="J4158">_xlfn.IFS(I4158&lt;=3,"small",I4158&lt;=6,"Medium",I4158&lt;=9,"Large")</f>
        <v>small</v>
      </c>
      <c r="K4158" s="36">
        <v>44979</v>
      </c>
      <c r="L4158" s="36">
        <v>44984</v>
      </c>
      <c r="M4158" t="s">
        <v>603</v>
      </c>
      <c r="N4158" t="s">
        <v>599</v>
      </c>
      <c r="O4158" s="37" t="str">
        <f t="shared" si="323"/>
        <v>Digital Payment</v>
      </c>
      <c r="P4158">
        <v>218.41</v>
      </c>
      <c r="Q4158" s="37" t="str">
        <f>IF(P4158&gt;500,"High","low")</f>
        <v>low</v>
      </c>
      <c r="R4158" s="37" t="str">
        <f t="shared" si="324"/>
        <v>AVERAGE</v>
      </c>
      <c r="S4158" t="s">
        <v>620</v>
      </c>
    </row>
    <row r="4159" spans="1:19" x14ac:dyDescent="0.2">
      <c r="A4159" t="s">
        <v>4770</v>
      </c>
      <c r="B4159" t="s">
        <v>67</v>
      </c>
      <c r="C4159" t="s">
        <v>607</v>
      </c>
      <c r="D4159">
        <v>681.9</v>
      </c>
      <c r="E4159" s="37" t="str">
        <f t="shared" si="320"/>
        <v xml:space="preserve"> </v>
      </c>
      <c r="F4159">
        <v>0.37</v>
      </c>
      <c r="G4159" s="37" t="str">
        <f t="shared" si="321"/>
        <v>Heavy Discount</v>
      </c>
      <c r="H4159" s="37" t="str">
        <f t="shared" si="322"/>
        <v>Medium</v>
      </c>
      <c r="I4159">
        <v>7</v>
      </c>
      <c r="J4159" t="str" cm="1">
        <f t="array" ref="J4159">_xlfn.IFS(I4159&lt;=3,"small",I4159&lt;=6,"Medium",I4159&lt;=9,"Large")</f>
        <v>Large</v>
      </c>
      <c r="K4159" s="36">
        <v>45527</v>
      </c>
      <c r="L4159" s="36">
        <v>45530</v>
      </c>
      <c r="M4159" t="s">
        <v>603</v>
      </c>
      <c r="N4159" t="s">
        <v>599</v>
      </c>
      <c r="O4159" s="37" t="str">
        <f t="shared" si="323"/>
        <v>Digital Payment</v>
      </c>
      <c r="P4159">
        <v>82.3</v>
      </c>
      <c r="Q4159" s="37" t="str">
        <f>IF(P4159&gt;500,"High","low")</f>
        <v>low</v>
      </c>
      <c r="R4159" s="37" t="str">
        <f t="shared" si="324"/>
        <v>AVERAGE</v>
      </c>
      <c r="S4159" t="s">
        <v>609</v>
      </c>
    </row>
    <row r="4160" spans="1:19" x14ac:dyDescent="0.2">
      <c r="A4160" t="s">
        <v>4771</v>
      </c>
      <c r="B4160" t="s">
        <v>83</v>
      </c>
      <c r="C4160" t="s">
        <v>617</v>
      </c>
      <c r="D4160">
        <v>1487.94</v>
      </c>
      <c r="E4160" s="37" t="str">
        <f t="shared" si="320"/>
        <v xml:space="preserve"> </v>
      </c>
      <c r="F4160">
        <v>0.28000000000000003</v>
      </c>
      <c r="G4160" s="37" t="str">
        <f t="shared" si="321"/>
        <v>Normal Discount</v>
      </c>
      <c r="H4160" s="37" t="str">
        <f t="shared" si="322"/>
        <v>Medium</v>
      </c>
      <c r="I4160">
        <v>6</v>
      </c>
      <c r="J4160" t="str" cm="1">
        <f t="array" ref="J4160">_xlfn.IFS(I4160&lt;=3,"small",I4160&lt;=6,"Medium",I4160&lt;=9,"Large")</f>
        <v>Medium</v>
      </c>
      <c r="K4160" s="36">
        <v>45134</v>
      </c>
      <c r="L4160" s="36">
        <v>45140</v>
      </c>
      <c r="M4160" t="s">
        <v>603</v>
      </c>
      <c r="N4160" t="s">
        <v>604</v>
      </c>
      <c r="O4160" s="37" t="str">
        <f t="shared" si="323"/>
        <v>Digital Payment</v>
      </c>
      <c r="P4160">
        <v>247.13</v>
      </c>
      <c r="Q4160" s="37" t="str">
        <f>IF(P4160&gt;500,"High","low")</f>
        <v>low</v>
      </c>
      <c r="R4160" s="37" t="str">
        <f t="shared" si="324"/>
        <v>AVERAGE</v>
      </c>
      <c r="S4160" t="s">
        <v>615</v>
      </c>
    </row>
    <row r="4161" spans="1:19" x14ac:dyDescent="0.2">
      <c r="A4161" t="s">
        <v>4772</v>
      </c>
      <c r="B4161" t="s">
        <v>75</v>
      </c>
      <c r="C4161" t="s">
        <v>602</v>
      </c>
      <c r="D4161">
        <v>3694.94</v>
      </c>
      <c r="E4161" s="37" t="str">
        <f t="shared" si="320"/>
        <v xml:space="preserve"> </v>
      </c>
      <c r="F4161">
        <v>0.44</v>
      </c>
      <c r="G4161" s="37" t="str">
        <f t="shared" si="321"/>
        <v>Heavy Discount</v>
      </c>
      <c r="H4161" s="37" t="str">
        <f t="shared" si="322"/>
        <v>High</v>
      </c>
      <c r="I4161">
        <v>7</v>
      </c>
      <c r="J4161" t="str" cm="1">
        <f t="array" ref="J4161">_xlfn.IFS(I4161&lt;=3,"small",I4161&lt;=6,"Medium",I4161&lt;=9,"Large")</f>
        <v>Large</v>
      </c>
      <c r="K4161" s="36">
        <v>45036</v>
      </c>
      <c r="L4161" s="36">
        <v>45043</v>
      </c>
      <c r="M4161" t="s">
        <v>603</v>
      </c>
      <c r="N4161" t="s">
        <v>599</v>
      </c>
      <c r="O4161" s="37" t="str">
        <f t="shared" si="323"/>
        <v>Digital Payment</v>
      </c>
      <c r="P4161">
        <v>514.29</v>
      </c>
      <c r="Q4161" s="37" t="str">
        <f>IF(P4161&gt;500,"High","low")</f>
        <v>High</v>
      </c>
      <c r="R4161" s="37" t="str">
        <f t="shared" si="324"/>
        <v>Good</v>
      </c>
      <c r="S4161" t="s">
        <v>628</v>
      </c>
    </row>
    <row r="4162" spans="1:19" x14ac:dyDescent="0.2">
      <c r="A4162" t="s">
        <v>4773</v>
      </c>
      <c r="B4162" t="s">
        <v>90</v>
      </c>
      <c r="C4162" t="s">
        <v>617</v>
      </c>
      <c r="D4162">
        <v>4057.88</v>
      </c>
      <c r="E4162" s="37" t="str">
        <f t="shared" si="320"/>
        <v xml:space="preserve"> </v>
      </c>
      <c r="F4162">
        <v>0.08</v>
      </c>
      <c r="G4162" s="37" t="str">
        <f t="shared" si="321"/>
        <v>Normal Discount</v>
      </c>
      <c r="H4162" s="37" t="str">
        <f t="shared" si="322"/>
        <v>Low</v>
      </c>
      <c r="I4162">
        <v>8</v>
      </c>
      <c r="J4162" t="str" cm="1">
        <f t="array" ref="J4162">_xlfn.IFS(I4162&lt;=3,"small",I4162&lt;=6,"Medium",I4162&lt;=9,"Large")</f>
        <v>Large</v>
      </c>
      <c r="K4162" s="36">
        <v>45376</v>
      </c>
      <c r="L4162" s="36">
        <v>45380</v>
      </c>
      <c r="M4162" t="s">
        <v>598</v>
      </c>
      <c r="N4162" t="s">
        <v>604</v>
      </c>
      <c r="O4162" s="37" t="str">
        <f t="shared" si="323"/>
        <v>Digital Payment</v>
      </c>
      <c r="P4162">
        <v>668.71</v>
      </c>
      <c r="Q4162" s="37" t="str">
        <f>IF(P4162&gt;500,"High","low")</f>
        <v>High</v>
      </c>
      <c r="R4162" s="37" t="str">
        <f t="shared" si="324"/>
        <v>Good</v>
      </c>
      <c r="S4162" t="s">
        <v>628</v>
      </c>
    </row>
    <row r="4163" spans="1:19" x14ac:dyDescent="0.2">
      <c r="A4163" t="s">
        <v>4774</v>
      </c>
      <c r="B4163" t="s">
        <v>83</v>
      </c>
      <c r="C4163" t="s">
        <v>602</v>
      </c>
      <c r="D4163">
        <v>1834.47</v>
      </c>
      <c r="E4163" s="37" t="str">
        <f t="shared" ref="E4163:E4226" si="325">IF(AND(D4163&gt;4000,P4163&gt;800),"Excellent Order"," ")</f>
        <v xml:space="preserve"> </v>
      </c>
      <c r="F4163">
        <v>0.03</v>
      </c>
      <c r="G4163" s="37" t="str">
        <f t="shared" ref="G4163:G4226" si="326">IF(F4163&gt;30%,"Heavy Discount","Normal Discount")</f>
        <v>Normal Discount</v>
      </c>
      <c r="H4163" s="37" t="str">
        <f t="shared" ref="H4163:H4226" si="327">IF(F4163&gt;0.4,"High",IF(F4163&gt;=0.2,"Medium","Low"))</f>
        <v>Low</v>
      </c>
      <c r="I4163">
        <v>6</v>
      </c>
      <c r="J4163" t="str" cm="1">
        <f t="array" ref="J4163">_xlfn.IFS(I4163&lt;=3,"small",I4163&lt;=6,"Medium",I4163&lt;=9,"Large")</f>
        <v>Medium</v>
      </c>
      <c r="K4163" s="36">
        <v>45097</v>
      </c>
      <c r="L4163" s="36">
        <v>45098</v>
      </c>
      <c r="M4163" t="s">
        <v>612</v>
      </c>
      <c r="N4163" t="s">
        <v>604</v>
      </c>
      <c r="O4163" s="37" t="str">
        <f t="shared" ref="O4163:O4226" si="328">IF(OR(N4163="Card",N4163="UPI"),"Digital Payment","Cash Payment")</f>
        <v>Digital Payment</v>
      </c>
      <c r="P4163">
        <v>293.39999999999998</v>
      </c>
      <c r="Q4163" s="37" t="str">
        <f>IF(P4163&gt;500,"High","low")</f>
        <v>low</v>
      </c>
      <c r="R4163" s="37" t="str">
        <f t="shared" ref="R4163:R4226" si="329">IF(P4163&gt;1000,"Excellent",IF(P4163&gt;=500,"Good","AVERAGE"))</f>
        <v>AVERAGE</v>
      </c>
      <c r="S4163" t="s">
        <v>609</v>
      </c>
    </row>
    <row r="4164" spans="1:19" x14ac:dyDescent="0.2">
      <c r="A4164" t="s">
        <v>4775</v>
      </c>
      <c r="B4164" t="s">
        <v>75</v>
      </c>
      <c r="C4164" t="s">
        <v>607</v>
      </c>
      <c r="D4164">
        <v>883.65</v>
      </c>
      <c r="E4164" s="37" t="str">
        <f t="shared" si="325"/>
        <v xml:space="preserve"> </v>
      </c>
      <c r="F4164">
        <v>0.15</v>
      </c>
      <c r="G4164" s="37" t="str">
        <f t="shared" si="326"/>
        <v>Normal Discount</v>
      </c>
      <c r="H4164" s="37" t="str">
        <f t="shared" si="327"/>
        <v>Low</v>
      </c>
      <c r="I4164">
        <v>2</v>
      </c>
      <c r="J4164" t="str" cm="1">
        <f t="array" ref="J4164">_xlfn.IFS(I4164&lt;=3,"small",I4164&lt;=6,"Medium",I4164&lt;=9,"Large")</f>
        <v>small</v>
      </c>
      <c r="K4164" s="36">
        <v>44968</v>
      </c>
      <c r="L4164" s="36">
        <v>44969</v>
      </c>
      <c r="M4164" t="s">
        <v>598</v>
      </c>
      <c r="N4164" t="s">
        <v>604</v>
      </c>
      <c r="O4164" s="37" t="str">
        <f t="shared" si="328"/>
        <v>Digital Payment</v>
      </c>
      <c r="P4164">
        <v>143.63</v>
      </c>
      <c r="Q4164" s="37" t="str">
        <f>IF(P4164&gt;500,"High","low")</f>
        <v>low</v>
      </c>
      <c r="R4164" s="37" t="str">
        <f t="shared" si="329"/>
        <v>AVERAGE</v>
      </c>
      <c r="S4164" t="s">
        <v>628</v>
      </c>
    </row>
    <row r="4165" spans="1:19" x14ac:dyDescent="0.2">
      <c r="A4165" t="s">
        <v>4776</v>
      </c>
      <c r="B4165" t="s">
        <v>67</v>
      </c>
      <c r="C4165" t="s">
        <v>607</v>
      </c>
      <c r="D4165">
        <v>3276.89</v>
      </c>
      <c r="E4165" s="37" t="str">
        <f t="shared" si="325"/>
        <v xml:space="preserve"> </v>
      </c>
      <c r="F4165">
        <v>0.04</v>
      </c>
      <c r="G4165" s="37" t="str">
        <f t="shared" si="326"/>
        <v>Normal Discount</v>
      </c>
      <c r="H4165" s="37" t="str">
        <f t="shared" si="327"/>
        <v>Low</v>
      </c>
      <c r="I4165">
        <v>2</v>
      </c>
      <c r="J4165" t="str" cm="1">
        <f t="array" ref="J4165">_xlfn.IFS(I4165&lt;=3,"small",I4165&lt;=6,"Medium",I4165&lt;=9,"Large")</f>
        <v>small</v>
      </c>
      <c r="K4165" s="36">
        <v>45642</v>
      </c>
      <c r="L4165" s="36">
        <v>45649</v>
      </c>
      <c r="M4165" t="s">
        <v>612</v>
      </c>
      <c r="N4165" t="s">
        <v>604</v>
      </c>
      <c r="O4165" s="37" t="str">
        <f t="shared" si="328"/>
        <v>Digital Payment</v>
      </c>
      <c r="P4165">
        <v>713.43</v>
      </c>
      <c r="Q4165" s="37" t="str">
        <f>IF(P4165&gt;500,"High","low")</f>
        <v>High</v>
      </c>
      <c r="R4165" s="37" t="str">
        <f t="shared" si="329"/>
        <v>Good</v>
      </c>
      <c r="S4165" t="s">
        <v>628</v>
      </c>
    </row>
    <row r="4166" spans="1:19" x14ac:dyDescent="0.2">
      <c r="A4166" t="s">
        <v>4777</v>
      </c>
      <c r="B4166" t="s">
        <v>83</v>
      </c>
      <c r="C4166" t="s">
        <v>614</v>
      </c>
      <c r="D4166">
        <v>3539.65</v>
      </c>
      <c r="E4166" s="37" t="str">
        <f t="shared" si="325"/>
        <v xml:space="preserve"> </v>
      </c>
      <c r="F4166">
        <v>0.03</v>
      </c>
      <c r="G4166" s="37" t="str">
        <f t="shared" si="326"/>
        <v>Normal Discount</v>
      </c>
      <c r="H4166" s="37" t="str">
        <f t="shared" si="327"/>
        <v>Low</v>
      </c>
      <c r="I4166">
        <v>9</v>
      </c>
      <c r="J4166" t="str" cm="1">
        <f t="array" ref="J4166">_xlfn.IFS(I4166&lt;=3,"small",I4166&lt;=6,"Medium",I4166&lt;=9,"Large")</f>
        <v>Large</v>
      </c>
      <c r="K4166" s="36">
        <v>45591</v>
      </c>
      <c r="L4166" s="36">
        <v>45596</v>
      </c>
      <c r="M4166" t="s">
        <v>612</v>
      </c>
      <c r="N4166" t="s">
        <v>604</v>
      </c>
      <c r="O4166" s="37" t="str">
        <f t="shared" si="328"/>
        <v>Digital Payment</v>
      </c>
      <c r="P4166">
        <v>506.09</v>
      </c>
      <c r="Q4166" s="37" t="str">
        <f>IF(P4166&gt;500,"High","low")</f>
        <v>High</v>
      </c>
      <c r="R4166" s="37" t="str">
        <f t="shared" si="329"/>
        <v>Good</v>
      </c>
      <c r="S4166" t="s">
        <v>605</v>
      </c>
    </row>
    <row r="4167" spans="1:19" x14ac:dyDescent="0.2">
      <c r="A4167" t="s">
        <v>4778</v>
      </c>
      <c r="B4167" t="s">
        <v>90</v>
      </c>
      <c r="C4167" t="s">
        <v>607</v>
      </c>
      <c r="D4167">
        <v>2567.6799999999998</v>
      </c>
      <c r="E4167" s="37" t="str">
        <f t="shared" si="325"/>
        <v xml:space="preserve"> </v>
      </c>
      <c r="F4167">
        <v>0.21</v>
      </c>
      <c r="G4167" s="37" t="str">
        <f t="shared" si="326"/>
        <v>Normal Discount</v>
      </c>
      <c r="H4167" s="37" t="str">
        <f t="shared" si="327"/>
        <v>Medium</v>
      </c>
      <c r="I4167">
        <v>6</v>
      </c>
      <c r="J4167" t="str" cm="1">
        <f t="array" ref="J4167">_xlfn.IFS(I4167&lt;=3,"small",I4167&lt;=6,"Medium",I4167&lt;=9,"Large")</f>
        <v>Medium</v>
      </c>
      <c r="K4167" s="36">
        <v>45516</v>
      </c>
      <c r="L4167" s="36">
        <v>45521</v>
      </c>
      <c r="M4167" t="s">
        <v>598</v>
      </c>
      <c r="N4167" t="s">
        <v>604</v>
      </c>
      <c r="O4167" s="37" t="str">
        <f t="shared" si="328"/>
        <v>Digital Payment</v>
      </c>
      <c r="P4167">
        <v>654.73</v>
      </c>
      <c r="Q4167" s="37" t="str">
        <f>IF(P4167&gt;500,"High","low")</f>
        <v>High</v>
      </c>
      <c r="R4167" s="37" t="str">
        <f t="shared" si="329"/>
        <v>Good</v>
      </c>
      <c r="S4167" t="s">
        <v>600</v>
      </c>
    </row>
    <row r="4168" spans="1:19" x14ac:dyDescent="0.2">
      <c r="A4168" t="s">
        <v>4779</v>
      </c>
      <c r="B4168" t="s">
        <v>67</v>
      </c>
      <c r="C4168" t="s">
        <v>597</v>
      </c>
      <c r="D4168">
        <v>810.21</v>
      </c>
      <c r="E4168" s="37" t="str">
        <f t="shared" si="325"/>
        <v xml:space="preserve"> </v>
      </c>
      <c r="F4168">
        <v>0.1</v>
      </c>
      <c r="G4168" s="37" t="str">
        <f t="shared" si="326"/>
        <v>Normal Discount</v>
      </c>
      <c r="H4168" s="37" t="str">
        <f t="shared" si="327"/>
        <v>Low</v>
      </c>
      <c r="I4168">
        <v>6</v>
      </c>
      <c r="J4168" t="str" cm="1">
        <f t="array" ref="J4168">_xlfn.IFS(I4168&lt;=3,"small",I4168&lt;=6,"Medium",I4168&lt;=9,"Large")</f>
        <v>Medium</v>
      </c>
      <c r="K4168" s="36">
        <v>45305</v>
      </c>
      <c r="L4168" s="36">
        <v>45306</v>
      </c>
      <c r="M4168" t="s">
        <v>612</v>
      </c>
      <c r="N4168" t="s">
        <v>599</v>
      </c>
      <c r="O4168" s="37" t="str">
        <f t="shared" si="328"/>
        <v>Digital Payment</v>
      </c>
      <c r="P4168">
        <v>202.75</v>
      </c>
      <c r="Q4168" s="37" t="str">
        <f>IF(P4168&gt;500,"High","low")</f>
        <v>low</v>
      </c>
      <c r="R4168" s="37" t="str">
        <f t="shared" si="329"/>
        <v>AVERAGE</v>
      </c>
      <c r="S4168" t="s">
        <v>600</v>
      </c>
    </row>
    <row r="4169" spans="1:19" x14ac:dyDescent="0.2">
      <c r="A4169" t="s">
        <v>4780</v>
      </c>
      <c r="B4169" t="s">
        <v>67</v>
      </c>
      <c r="C4169" t="s">
        <v>617</v>
      </c>
      <c r="D4169">
        <v>4237.99</v>
      </c>
      <c r="E4169" s="37" t="str">
        <f t="shared" si="325"/>
        <v xml:space="preserve"> </v>
      </c>
      <c r="F4169">
        <v>0.4</v>
      </c>
      <c r="G4169" s="37" t="str">
        <f t="shared" si="326"/>
        <v>Heavy Discount</v>
      </c>
      <c r="H4169" s="37" t="str">
        <f t="shared" si="327"/>
        <v>Medium</v>
      </c>
      <c r="I4169">
        <v>1</v>
      </c>
      <c r="J4169" t="str" cm="1">
        <f t="array" ref="J4169">_xlfn.IFS(I4169&lt;=3,"small",I4169&lt;=6,"Medium",I4169&lt;=9,"Large")</f>
        <v>small</v>
      </c>
      <c r="K4169" s="36">
        <v>45435</v>
      </c>
      <c r="L4169" s="36">
        <v>45436</v>
      </c>
      <c r="M4169" t="s">
        <v>612</v>
      </c>
      <c r="N4169" t="s">
        <v>608</v>
      </c>
      <c r="O4169" s="37" t="str">
        <f t="shared" si="328"/>
        <v>Cash Payment</v>
      </c>
      <c r="P4169">
        <v>457.16</v>
      </c>
      <c r="Q4169" s="37" t="str">
        <f>IF(P4169&gt;500,"High","low")</f>
        <v>low</v>
      </c>
      <c r="R4169" s="37" t="str">
        <f t="shared" si="329"/>
        <v>AVERAGE</v>
      </c>
      <c r="S4169" t="s">
        <v>628</v>
      </c>
    </row>
    <row r="4170" spans="1:19" x14ac:dyDescent="0.2">
      <c r="A4170" t="s">
        <v>4781</v>
      </c>
      <c r="B4170" t="s">
        <v>75</v>
      </c>
      <c r="C4170" t="s">
        <v>617</v>
      </c>
      <c r="D4170">
        <v>3261.8</v>
      </c>
      <c r="E4170" s="37" t="str">
        <f t="shared" si="325"/>
        <v xml:space="preserve"> </v>
      </c>
      <c r="F4170">
        <v>0.28999999999999998</v>
      </c>
      <c r="G4170" s="37" t="str">
        <f t="shared" si="326"/>
        <v>Normal Discount</v>
      </c>
      <c r="H4170" s="37" t="str">
        <f t="shared" si="327"/>
        <v>Medium</v>
      </c>
      <c r="I4170">
        <v>8</v>
      </c>
      <c r="J4170" t="str" cm="1">
        <f t="array" ref="J4170">_xlfn.IFS(I4170&lt;=3,"small",I4170&lt;=6,"Medium",I4170&lt;=9,"Large")</f>
        <v>Large</v>
      </c>
      <c r="K4170" s="36">
        <v>45142</v>
      </c>
      <c r="L4170" s="36">
        <v>45145</v>
      </c>
      <c r="M4170" t="s">
        <v>603</v>
      </c>
      <c r="N4170" t="s">
        <v>608</v>
      </c>
      <c r="O4170" s="37" t="str">
        <f t="shared" si="328"/>
        <v>Cash Payment</v>
      </c>
      <c r="P4170">
        <v>255.09</v>
      </c>
      <c r="Q4170" s="37" t="str">
        <f>IF(P4170&gt;500,"High","low")</f>
        <v>low</v>
      </c>
      <c r="R4170" s="37" t="str">
        <f t="shared" si="329"/>
        <v>AVERAGE</v>
      </c>
      <c r="S4170" t="s">
        <v>628</v>
      </c>
    </row>
    <row r="4171" spans="1:19" x14ac:dyDescent="0.2">
      <c r="A4171" t="s">
        <v>4782</v>
      </c>
      <c r="B4171" t="s">
        <v>83</v>
      </c>
      <c r="C4171" t="s">
        <v>602</v>
      </c>
      <c r="D4171">
        <v>4358.8999999999996</v>
      </c>
      <c r="E4171" s="37" t="str">
        <f t="shared" si="325"/>
        <v>Excellent Order</v>
      </c>
      <c r="F4171">
        <v>0.18</v>
      </c>
      <c r="G4171" s="37" t="str">
        <f t="shared" si="326"/>
        <v>Normal Discount</v>
      </c>
      <c r="H4171" s="37" t="str">
        <f t="shared" si="327"/>
        <v>Low</v>
      </c>
      <c r="I4171">
        <v>8</v>
      </c>
      <c r="J4171" t="str" cm="1">
        <f t="array" ref="J4171">_xlfn.IFS(I4171&lt;=3,"small",I4171&lt;=6,"Medium",I4171&lt;=9,"Large")</f>
        <v>Large</v>
      </c>
      <c r="K4171" s="36">
        <v>45600</v>
      </c>
      <c r="L4171" s="36">
        <v>45601</v>
      </c>
      <c r="M4171" t="s">
        <v>603</v>
      </c>
      <c r="N4171" t="s">
        <v>608</v>
      </c>
      <c r="O4171" s="37" t="str">
        <f t="shared" si="328"/>
        <v>Cash Payment</v>
      </c>
      <c r="P4171">
        <v>1204</v>
      </c>
      <c r="Q4171" s="37" t="str">
        <f>IF(P4171&gt;500,"High","low")</f>
        <v>High</v>
      </c>
      <c r="R4171" s="37" t="str">
        <f t="shared" si="329"/>
        <v>Excellent</v>
      </c>
      <c r="S4171" t="s">
        <v>628</v>
      </c>
    </row>
    <row r="4172" spans="1:19" x14ac:dyDescent="0.2">
      <c r="A4172" t="s">
        <v>4783</v>
      </c>
      <c r="B4172" t="s">
        <v>67</v>
      </c>
      <c r="C4172" t="s">
        <v>607</v>
      </c>
      <c r="D4172">
        <v>4671.55</v>
      </c>
      <c r="E4172" s="37" t="str">
        <f t="shared" si="325"/>
        <v xml:space="preserve"> </v>
      </c>
      <c r="F4172">
        <v>0.14000000000000001</v>
      </c>
      <c r="G4172" s="37" t="str">
        <f t="shared" si="326"/>
        <v>Normal Discount</v>
      </c>
      <c r="H4172" s="37" t="str">
        <f t="shared" si="327"/>
        <v>Low</v>
      </c>
      <c r="I4172">
        <v>4</v>
      </c>
      <c r="J4172" t="str" cm="1">
        <f t="array" ref="J4172">_xlfn.IFS(I4172&lt;=3,"small",I4172&lt;=6,"Medium",I4172&lt;=9,"Large")</f>
        <v>Medium</v>
      </c>
      <c r="K4172" s="36">
        <v>45514</v>
      </c>
      <c r="L4172" s="36">
        <v>45520</v>
      </c>
      <c r="M4172" t="s">
        <v>612</v>
      </c>
      <c r="N4172" t="s">
        <v>599</v>
      </c>
      <c r="O4172" s="37" t="str">
        <f t="shared" si="328"/>
        <v>Digital Payment</v>
      </c>
      <c r="P4172">
        <v>433.68</v>
      </c>
      <c r="Q4172" s="37" t="str">
        <f>IF(P4172&gt;500,"High","low")</f>
        <v>low</v>
      </c>
      <c r="R4172" s="37" t="str">
        <f t="shared" si="329"/>
        <v>AVERAGE</v>
      </c>
      <c r="S4172" t="s">
        <v>628</v>
      </c>
    </row>
    <row r="4173" spans="1:19" x14ac:dyDescent="0.2">
      <c r="A4173" t="s">
        <v>4784</v>
      </c>
      <c r="B4173" t="s">
        <v>90</v>
      </c>
      <c r="C4173" t="s">
        <v>614</v>
      </c>
      <c r="D4173">
        <v>4047.92</v>
      </c>
      <c r="E4173" s="37" t="str">
        <f t="shared" si="325"/>
        <v>Excellent Order</v>
      </c>
      <c r="F4173">
        <v>0.28000000000000003</v>
      </c>
      <c r="G4173" s="37" t="str">
        <f t="shared" si="326"/>
        <v>Normal Discount</v>
      </c>
      <c r="H4173" s="37" t="str">
        <f t="shared" si="327"/>
        <v>Medium</v>
      </c>
      <c r="I4173">
        <v>7</v>
      </c>
      <c r="J4173" t="str" cm="1">
        <f t="array" ref="J4173">_xlfn.IFS(I4173&lt;=3,"small",I4173&lt;=6,"Medium",I4173&lt;=9,"Large")</f>
        <v>Large</v>
      </c>
      <c r="K4173" s="36">
        <v>45464</v>
      </c>
      <c r="L4173" s="36">
        <v>45471</v>
      </c>
      <c r="M4173" t="s">
        <v>612</v>
      </c>
      <c r="N4173" t="s">
        <v>599</v>
      </c>
      <c r="O4173" s="37" t="str">
        <f t="shared" si="328"/>
        <v>Digital Payment</v>
      </c>
      <c r="P4173">
        <v>858.64</v>
      </c>
      <c r="Q4173" s="37" t="str">
        <f>IF(P4173&gt;500,"High","low")</f>
        <v>High</v>
      </c>
      <c r="R4173" s="37" t="str">
        <f t="shared" si="329"/>
        <v>Good</v>
      </c>
      <c r="S4173" t="s">
        <v>615</v>
      </c>
    </row>
    <row r="4174" spans="1:19" x14ac:dyDescent="0.2">
      <c r="A4174" t="s">
        <v>4785</v>
      </c>
      <c r="B4174" t="s">
        <v>83</v>
      </c>
      <c r="C4174" t="s">
        <v>614</v>
      </c>
      <c r="D4174">
        <v>4797.42</v>
      </c>
      <c r="E4174" s="37" t="str">
        <f t="shared" si="325"/>
        <v>Excellent Order</v>
      </c>
      <c r="F4174">
        <v>0.22</v>
      </c>
      <c r="G4174" s="37" t="str">
        <f t="shared" si="326"/>
        <v>Normal Discount</v>
      </c>
      <c r="H4174" s="37" t="str">
        <f t="shared" si="327"/>
        <v>Medium</v>
      </c>
      <c r="I4174">
        <v>9</v>
      </c>
      <c r="J4174" t="str" cm="1">
        <f t="array" ref="J4174">_xlfn.IFS(I4174&lt;=3,"small",I4174&lt;=6,"Medium",I4174&lt;=9,"Large")</f>
        <v>Large</v>
      </c>
      <c r="K4174" s="36">
        <v>45473</v>
      </c>
      <c r="L4174" s="36">
        <v>45480</v>
      </c>
      <c r="M4174" t="s">
        <v>612</v>
      </c>
      <c r="N4174" t="s">
        <v>604</v>
      </c>
      <c r="O4174" s="37" t="str">
        <f t="shared" si="328"/>
        <v>Digital Payment</v>
      </c>
      <c r="P4174">
        <v>1278.31</v>
      </c>
      <c r="Q4174" s="37" t="str">
        <f>IF(P4174&gt;500,"High","low")</f>
        <v>High</v>
      </c>
      <c r="R4174" s="37" t="str">
        <f t="shared" si="329"/>
        <v>Excellent</v>
      </c>
      <c r="S4174" t="s">
        <v>609</v>
      </c>
    </row>
    <row r="4175" spans="1:19" x14ac:dyDescent="0.2">
      <c r="A4175" t="s">
        <v>4786</v>
      </c>
      <c r="B4175" t="s">
        <v>90</v>
      </c>
      <c r="C4175" t="s">
        <v>614</v>
      </c>
      <c r="D4175">
        <v>4775.8599999999997</v>
      </c>
      <c r="E4175" s="37" t="str">
        <f t="shared" si="325"/>
        <v xml:space="preserve"> </v>
      </c>
      <c r="F4175">
        <v>0.03</v>
      </c>
      <c r="G4175" s="37" t="str">
        <f t="shared" si="326"/>
        <v>Normal Discount</v>
      </c>
      <c r="H4175" s="37" t="str">
        <f t="shared" si="327"/>
        <v>Low</v>
      </c>
      <c r="I4175">
        <v>1</v>
      </c>
      <c r="J4175" t="str" cm="1">
        <f t="array" ref="J4175">_xlfn.IFS(I4175&lt;=3,"small",I4175&lt;=6,"Medium",I4175&lt;=9,"Large")</f>
        <v>small</v>
      </c>
      <c r="K4175" s="36">
        <v>45003</v>
      </c>
      <c r="L4175" s="36">
        <v>45009</v>
      </c>
      <c r="M4175" t="s">
        <v>598</v>
      </c>
      <c r="N4175" t="s">
        <v>608</v>
      </c>
      <c r="O4175" s="37" t="str">
        <f t="shared" si="328"/>
        <v>Cash Payment</v>
      </c>
      <c r="P4175">
        <v>244.94</v>
      </c>
      <c r="Q4175" s="37" t="str">
        <f>IF(P4175&gt;500,"High","low")</f>
        <v>low</v>
      </c>
      <c r="R4175" s="37" t="str">
        <f t="shared" si="329"/>
        <v>AVERAGE</v>
      </c>
      <c r="S4175" t="s">
        <v>615</v>
      </c>
    </row>
    <row r="4176" spans="1:19" x14ac:dyDescent="0.2">
      <c r="A4176" t="s">
        <v>4787</v>
      </c>
      <c r="B4176" t="s">
        <v>67</v>
      </c>
      <c r="C4176" t="s">
        <v>597</v>
      </c>
      <c r="D4176">
        <v>3134.79</v>
      </c>
      <c r="E4176" s="37" t="str">
        <f t="shared" si="325"/>
        <v xml:space="preserve"> </v>
      </c>
      <c r="F4176">
        <v>0.33</v>
      </c>
      <c r="G4176" s="37" t="str">
        <f t="shared" si="326"/>
        <v>Heavy Discount</v>
      </c>
      <c r="H4176" s="37" t="str">
        <f t="shared" si="327"/>
        <v>Medium</v>
      </c>
      <c r="I4176">
        <v>5</v>
      </c>
      <c r="J4176" t="str" cm="1">
        <f t="array" ref="J4176">_xlfn.IFS(I4176&lt;=3,"small",I4176&lt;=6,"Medium",I4176&lt;=9,"Large")</f>
        <v>Medium</v>
      </c>
      <c r="K4176" s="36">
        <v>45649</v>
      </c>
      <c r="L4176" s="36">
        <v>45654</v>
      </c>
      <c r="M4176" t="s">
        <v>612</v>
      </c>
      <c r="N4176" t="s">
        <v>599</v>
      </c>
      <c r="O4176" s="37" t="str">
        <f t="shared" si="328"/>
        <v>Digital Payment</v>
      </c>
      <c r="P4176">
        <v>365.47</v>
      </c>
      <c r="Q4176" s="37" t="str">
        <f>IF(P4176&gt;500,"High","low")</f>
        <v>low</v>
      </c>
      <c r="R4176" s="37" t="str">
        <f t="shared" si="329"/>
        <v>AVERAGE</v>
      </c>
      <c r="S4176" t="s">
        <v>620</v>
      </c>
    </row>
    <row r="4177" spans="1:19" x14ac:dyDescent="0.2">
      <c r="A4177" t="s">
        <v>4788</v>
      </c>
      <c r="B4177" t="s">
        <v>90</v>
      </c>
      <c r="C4177" t="s">
        <v>607</v>
      </c>
      <c r="D4177">
        <v>3668.05</v>
      </c>
      <c r="E4177" s="37" t="str">
        <f t="shared" si="325"/>
        <v xml:space="preserve"> </v>
      </c>
      <c r="F4177">
        <v>0.25</v>
      </c>
      <c r="G4177" s="37" t="str">
        <f t="shared" si="326"/>
        <v>Normal Discount</v>
      </c>
      <c r="H4177" s="37" t="str">
        <f t="shared" si="327"/>
        <v>Medium</v>
      </c>
      <c r="I4177">
        <v>8</v>
      </c>
      <c r="J4177" t="str" cm="1">
        <f t="array" ref="J4177">_xlfn.IFS(I4177&lt;=3,"small",I4177&lt;=6,"Medium",I4177&lt;=9,"Large")</f>
        <v>Large</v>
      </c>
      <c r="K4177" s="36">
        <v>44974</v>
      </c>
      <c r="L4177" s="36">
        <v>44981</v>
      </c>
      <c r="M4177" t="s">
        <v>612</v>
      </c>
      <c r="N4177" t="s">
        <v>604</v>
      </c>
      <c r="O4177" s="37" t="str">
        <f t="shared" si="328"/>
        <v>Digital Payment</v>
      </c>
      <c r="P4177">
        <v>447.81</v>
      </c>
      <c r="Q4177" s="37" t="str">
        <f>IF(P4177&gt;500,"High","low")</f>
        <v>low</v>
      </c>
      <c r="R4177" s="37" t="str">
        <f t="shared" si="329"/>
        <v>AVERAGE</v>
      </c>
      <c r="S4177" t="s">
        <v>620</v>
      </c>
    </row>
    <row r="4178" spans="1:19" x14ac:dyDescent="0.2">
      <c r="A4178" t="s">
        <v>4789</v>
      </c>
      <c r="B4178" t="s">
        <v>75</v>
      </c>
      <c r="C4178" t="s">
        <v>614</v>
      </c>
      <c r="D4178">
        <v>3527.1</v>
      </c>
      <c r="E4178" s="37" t="str">
        <f t="shared" si="325"/>
        <v xml:space="preserve"> </v>
      </c>
      <c r="F4178">
        <v>0.14000000000000001</v>
      </c>
      <c r="G4178" s="37" t="str">
        <f t="shared" si="326"/>
        <v>Normal Discount</v>
      </c>
      <c r="H4178" s="37" t="str">
        <f t="shared" si="327"/>
        <v>Low</v>
      </c>
      <c r="I4178">
        <v>7</v>
      </c>
      <c r="J4178" t="str" cm="1">
        <f t="array" ref="J4178">_xlfn.IFS(I4178&lt;=3,"small",I4178&lt;=6,"Medium",I4178&lt;=9,"Large")</f>
        <v>Large</v>
      </c>
      <c r="K4178" s="36">
        <v>44949</v>
      </c>
      <c r="L4178" s="36">
        <v>44951</v>
      </c>
      <c r="M4178" t="s">
        <v>603</v>
      </c>
      <c r="N4178" t="s">
        <v>608</v>
      </c>
      <c r="O4178" s="37" t="str">
        <f t="shared" si="328"/>
        <v>Cash Payment</v>
      </c>
      <c r="P4178">
        <v>784.82</v>
      </c>
      <c r="Q4178" s="37" t="str">
        <f>IF(P4178&gt;500,"High","low")</f>
        <v>High</v>
      </c>
      <c r="R4178" s="37" t="str">
        <f t="shared" si="329"/>
        <v>Good</v>
      </c>
      <c r="S4178" t="s">
        <v>609</v>
      </c>
    </row>
    <row r="4179" spans="1:19" x14ac:dyDescent="0.2">
      <c r="A4179" t="s">
        <v>4790</v>
      </c>
      <c r="B4179" t="s">
        <v>90</v>
      </c>
      <c r="C4179" t="s">
        <v>597</v>
      </c>
      <c r="D4179">
        <v>3143.57</v>
      </c>
      <c r="E4179" s="37" t="str">
        <f t="shared" si="325"/>
        <v xml:space="preserve"> </v>
      </c>
      <c r="F4179">
        <v>0.15</v>
      </c>
      <c r="G4179" s="37" t="str">
        <f t="shared" si="326"/>
        <v>Normal Discount</v>
      </c>
      <c r="H4179" s="37" t="str">
        <f t="shared" si="327"/>
        <v>Low</v>
      </c>
      <c r="I4179">
        <v>4</v>
      </c>
      <c r="J4179" t="str" cm="1">
        <f t="array" ref="J4179">_xlfn.IFS(I4179&lt;=3,"small",I4179&lt;=6,"Medium",I4179&lt;=9,"Large")</f>
        <v>Medium</v>
      </c>
      <c r="K4179" s="36">
        <v>44991</v>
      </c>
      <c r="L4179" s="36">
        <v>44997</v>
      </c>
      <c r="M4179" t="s">
        <v>612</v>
      </c>
      <c r="N4179" t="s">
        <v>604</v>
      </c>
      <c r="O4179" s="37" t="str">
        <f t="shared" si="328"/>
        <v>Digital Payment</v>
      </c>
      <c r="P4179">
        <v>664.42</v>
      </c>
      <c r="Q4179" s="37" t="str">
        <f>IF(P4179&gt;500,"High","low")</f>
        <v>High</v>
      </c>
      <c r="R4179" s="37" t="str">
        <f t="shared" si="329"/>
        <v>Good</v>
      </c>
      <c r="S4179" t="s">
        <v>609</v>
      </c>
    </row>
    <row r="4180" spans="1:19" x14ac:dyDescent="0.2">
      <c r="A4180" t="s">
        <v>4791</v>
      </c>
      <c r="B4180" t="s">
        <v>83</v>
      </c>
      <c r="C4180" t="s">
        <v>617</v>
      </c>
      <c r="D4180">
        <v>194.84</v>
      </c>
      <c r="E4180" s="37" t="str">
        <f t="shared" si="325"/>
        <v xml:space="preserve"> </v>
      </c>
      <c r="F4180">
        <v>0.23</v>
      </c>
      <c r="G4180" s="37" t="str">
        <f t="shared" si="326"/>
        <v>Normal Discount</v>
      </c>
      <c r="H4180" s="37" t="str">
        <f t="shared" si="327"/>
        <v>Medium</v>
      </c>
      <c r="I4180">
        <v>3</v>
      </c>
      <c r="J4180" t="str" cm="1">
        <f t="array" ref="J4180">_xlfn.IFS(I4180&lt;=3,"small",I4180&lt;=6,"Medium",I4180&lt;=9,"Large")</f>
        <v>small</v>
      </c>
      <c r="K4180" s="36">
        <v>45446</v>
      </c>
      <c r="L4180" s="36">
        <v>45452</v>
      </c>
      <c r="M4180" t="s">
        <v>612</v>
      </c>
      <c r="N4180" t="s">
        <v>608</v>
      </c>
      <c r="O4180" s="37" t="str">
        <f t="shared" si="328"/>
        <v>Cash Payment</v>
      </c>
      <c r="P4180">
        <v>36.68</v>
      </c>
      <c r="Q4180" s="37" t="str">
        <f>IF(P4180&gt;500,"High","low")</f>
        <v>low</v>
      </c>
      <c r="R4180" s="37" t="str">
        <f t="shared" si="329"/>
        <v>AVERAGE</v>
      </c>
      <c r="S4180" t="s">
        <v>628</v>
      </c>
    </row>
    <row r="4181" spans="1:19" x14ac:dyDescent="0.2">
      <c r="A4181" t="s">
        <v>4792</v>
      </c>
      <c r="B4181" t="s">
        <v>90</v>
      </c>
      <c r="C4181" t="s">
        <v>602</v>
      </c>
      <c r="D4181">
        <v>1843.94</v>
      </c>
      <c r="E4181" s="37" t="str">
        <f t="shared" si="325"/>
        <v xml:space="preserve"> </v>
      </c>
      <c r="F4181">
        <v>0.41</v>
      </c>
      <c r="G4181" s="37" t="str">
        <f t="shared" si="326"/>
        <v>Heavy Discount</v>
      </c>
      <c r="H4181" s="37" t="str">
        <f t="shared" si="327"/>
        <v>High</v>
      </c>
      <c r="I4181">
        <v>1</v>
      </c>
      <c r="J4181" t="str" cm="1">
        <f t="array" ref="J4181">_xlfn.IFS(I4181&lt;=3,"small",I4181&lt;=6,"Medium",I4181&lt;=9,"Large")</f>
        <v>small</v>
      </c>
      <c r="K4181" s="36">
        <v>45419</v>
      </c>
      <c r="L4181" s="36">
        <v>45426</v>
      </c>
      <c r="M4181" t="s">
        <v>603</v>
      </c>
      <c r="N4181" t="s">
        <v>608</v>
      </c>
      <c r="O4181" s="37" t="str">
        <f t="shared" si="328"/>
        <v>Cash Payment</v>
      </c>
      <c r="P4181">
        <v>513.01</v>
      </c>
      <c r="Q4181" s="37" t="str">
        <f>IF(P4181&gt;500,"High","low")</f>
        <v>High</v>
      </c>
      <c r="R4181" s="37" t="str">
        <f t="shared" si="329"/>
        <v>Good</v>
      </c>
      <c r="S4181" t="s">
        <v>609</v>
      </c>
    </row>
    <row r="4182" spans="1:19" x14ac:dyDescent="0.2">
      <c r="A4182" t="s">
        <v>4793</v>
      </c>
      <c r="B4182" t="s">
        <v>90</v>
      </c>
      <c r="C4182" t="s">
        <v>607</v>
      </c>
      <c r="D4182">
        <v>590.38</v>
      </c>
      <c r="E4182" s="37" t="str">
        <f t="shared" si="325"/>
        <v xml:space="preserve"> </v>
      </c>
      <c r="F4182">
        <v>0.21</v>
      </c>
      <c r="G4182" s="37" t="str">
        <f t="shared" si="326"/>
        <v>Normal Discount</v>
      </c>
      <c r="H4182" s="37" t="str">
        <f t="shared" si="327"/>
        <v>Medium</v>
      </c>
      <c r="I4182">
        <v>3</v>
      </c>
      <c r="J4182" t="str" cm="1">
        <f t="array" ref="J4182">_xlfn.IFS(I4182&lt;=3,"small",I4182&lt;=6,"Medium",I4182&lt;=9,"Large")</f>
        <v>small</v>
      </c>
      <c r="K4182" s="36">
        <v>45427</v>
      </c>
      <c r="L4182" s="36">
        <v>45429</v>
      </c>
      <c r="M4182" t="s">
        <v>612</v>
      </c>
      <c r="N4182" t="s">
        <v>608</v>
      </c>
      <c r="O4182" s="37" t="str">
        <f t="shared" si="328"/>
        <v>Cash Payment</v>
      </c>
      <c r="P4182">
        <v>175.2</v>
      </c>
      <c r="Q4182" s="37" t="str">
        <f>IF(P4182&gt;500,"High","low")</f>
        <v>low</v>
      </c>
      <c r="R4182" s="37" t="str">
        <f t="shared" si="329"/>
        <v>AVERAGE</v>
      </c>
      <c r="S4182" t="s">
        <v>628</v>
      </c>
    </row>
    <row r="4183" spans="1:19" x14ac:dyDescent="0.2">
      <c r="A4183" t="s">
        <v>4794</v>
      </c>
      <c r="B4183" t="s">
        <v>75</v>
      </c>
      <c r="C4183" t="s">
        <v>607</v>
      </c>
      <c r="D4183">
        <v>1571.27</v>
      </c>
      <c r="E4183" s="37" t="str">
        <f t="shared" si="325"/>
        <v xml:space="preserve"> </v>
      </c>
      <c r="F4183">
        <v>0.42</v>
      </c>
      <c r="G4183" s="37" t="str">
        <f t="shared" si="326"/>
        <v>Heavy Discount</v>
      </c>
      <c r="H4183" s="37" t="str">
        <f t="shared" si="327"/>
        <v>High</v>
      </c>
      <c r="I4183">
        <v>2</v>
      </c>
      <c r="J4183" t="str" cm="1">
        <f t="array" ref="J4183">_xlfn.IFS(I4183&lt;=3,"small",I4183&lt;=6,"Medium",I4183&lt;=9,"Large")</f>
        <v>small</v>
      </c>
      <c r="K4183" s="36">
        <v>45299</v>
      </c>
      <c r="L4183" s="36">
        <v>45301</v>
      </c>
      <c r="M4183" t="s">
        <v>612</v>
      </c>
      <c r="N4183" t="s">
        <v>599</v>
      </c>
      <c r="O4183" s="37" t="str">
        <f t="shared" si="328"/>
        <v>Digital Payment</v>
      </c>
      <c r="P4183">
        <v>105.24</v>
      </c>
      <c r="Q4183" s="37" t="str">
        <f>IF(P4183&gt;500,"High","low")</f>
        <v>low</v>
      </c>
      <c r="R4183" s="37" t="str">
        <f t="shared" si="329"/>
        <v>AVERAGE</v>
      </c>
      <c r="S4183" t="s">
        <v>605</v>
      </c>
    </row>
    <row r="4184" spans="1:19" x14ac:dyDescent="0.2">
      <c r="A4184" t="s">
        <v>4795</v>
      </c>
      <c r="B4184" t="s">
        <v>90</v>
      </c>
      <c r="C4184" t="s">
        <v>617</v>
      </c>
      <c r="D4184">
        <v>435.97</v>
      </c>
      <c r="E4184" s="37" t="str">
        <f t="shared" si="325"/>
        <v xml:space="preserve"> </v>
      </c>
      <c r="F4184">
        <v>0.21</v>
      </c>
      <c r="G4184" s="37" t="str">
        <f t="shared" si="326"/>
        <v>Normal Discount</v>
      </c>
      <c r="H4184" s="37" t="str">
        <f t="shared" si="327"/>
        <v>Medium</v>
      </c>
      <c r="I4184">
        <v>5</v>
      </c>
      <c r="J4184" t="str" cm="1">
        <f t="array" ref="J4184">_xlfn.IFS(I4184&lt;=3,"small",I4184&lt;=6,"Medium",I4184&lt;=9,"Large")</f>
        <v>Medium</v>
      </c>
      <c r="K4184" s="36">
        <v>45067</v>
      </c>
      <c r="L4184" s="36">
        <v>45073</v>
      </c>
      <c r="M4184" t="s">
        <v>598</v>
      </c>
      <c r="N4184" t="s">
        <v>604</v>
      </c>
      <c r="O4184" s="37" t="str">
        <f t="shared" si="328"/>
        <v>Digital Payment</v>
      </c>
      <c r="P4184">
        <v>116.8</v>
      </c>
      <c r="Q4184" s="37" t="str">
        <f>IF(P4184&gt;500,"High","low")</f>
        <v>low</v>
      </c>
      <c r="R4184" s="37" t="str">
        <f t="shared" si="329"/>
        <v>AVERAGE</v>
      </c>
      <c r="S4184" t="s">
        <v>615</v>
      </c>
    </row>
    <row r="4185" spans="1:19" x14ac:dyDescent="0.2">
      <c r="A4185" t="s">
        <v>4796</v>
      </c>
      <c r="B4185" t="s">
        <v>90</v>
      </c>
      <c r="C4185" t="s">
        <v>607</v>
      </c>
      <c r="D4185">
        <v>4608.1499999999996</v>
      </c>
      <c r="E4185" s="37" t="str">
        <f t="shared" si="325"/>
        <v xml:space="preserve"> </v>
      </c>
      <c r="F4185">
        <v>0.41</v>
      </c>
      <c r="G4185" s="37" t="str">
        <f t="shared" si="326"/>
        <v>Heavy Discount</v>
      </c>
      <c r="H4185" s="37" t="str">
        <f t="shared" si="327"/>
        <v>High</v>
      </c>
      <c r="I4185">
        <v>1</v>
      </c>
      <c r="J4185" t="str" cm="1">
        <f t="array" ref="J4185">_xlfn.IFS(I4185&lt;=3,"small",I4185&lt;=6,"Medium",I4185&lt;=9,"Large")</f>
        <v>small</v>
      </c>
      <c r="K4185" s="36">
        <v>45103</v>
      </c>
      <c r="L4185" s="36">
        <v>45106</v>
      </c>
      <c r="M4185" t="s">
        <v>612</v>
      </c>
      <c r="N4185" t="s">
        <v>604</v>
      </c>
      <c r="O4185" s="37" t="str">
        <f t="shared" si="328"/>
        <v>Digital Payment</v>
      </c>
      <c r="P4185">
        <v>476.16</v>
      </c>
      <c r="Q4185" s="37" t="str">
        <f>IF(P4185&gt;500,"High","low")</f>
        <v>low</v>
      </c>
      <c r="R4185" s="37" t="str">
        <f t="shared" si="329"/>
        <v>AVERAGE</v>
      </c>
      <c r="S4185" t="s">
        <v>620</v>
      </c>
    </row>
    <row r="4186" spans="1:19" x14ac:dyDescent="0.2">
      <c r="A4186" t="s">
        <v>4797</v>
      </c>
      <c r="B4186" t="s">
        <v>67</v>
      </c>
      <c r="C4186" t="s">
        <v>607</v>
      </c>
      <c r="D4186">
        <v>2311.52</v>
      </c>
      <c r="E4186" s="37" t="str">
        <f t="shared" si="325"/>
        <v xml:space="preserve"> </v>
      </c>
      <c r="F4186">
        <v>0.47</v>
      </c>
      <c r="G4186" s="37" t="str">
        <f t="shared" si="326"/>
        <v>Heavy Discount</v>
      </c>
      <c r="H4186" s="37" t="str">
        <f t="shared" si="327"/>
        <v>High</v>
      </c>
      <c r="I4186">
        <v>4</v>
      </c>
      <c r="J4186" t="str" cm="1">
        <f t="array" ref="J4186">_xlfn.IFS(I4186&lt;=3,"small",I4186&lt;=6,"Medium",I4186&lt;=9,"Large")</f>
        <v>Medium</v>
      </c>
      <c r="K4186" s="36">
        <v>45031</v>
      </c>
      <c r="L4186" s="36">
        <v>45033</v>
      </c>
      <c r="M4186" t="s">
        <v>603</v>
      </c>
      <c r="N4186" t="s">
        <v>599</v>
      </c>
      <c r="O4186" s="37" t="str">
        <f t="shared" si="328"/>
        <v>Digital Payment</v>
      </c>
      <c r="P4186">
        <v>204.65</v>
      </c>
      <c r="Q4186" s="37" t="str">
        <f>IF(P4186&gt;500,"High","low")</f>
        <v>low</v>
      </c>
      <c r="R4186" s="37" t="str">
        <f t="shared" si="329"/>
        <v>AVERAGE</v>
      </c>
      <c r="S4186" t="s">
        <v>600</v>
      </c>
    </row>
    <row r="4187" spans="1:19" x14ac:dyDescent="0.2">
      <c r="A4187" t="s">
        <v>4798</v>
      </c>
      <c r="B4187" t="s">
        <v>67</v>
      </c>
      <c r="C4187" t="s">
        <v>607</v>
      </c>
      <c r="D4187">
        <v>1027.8900000000001</v>
      </c>
      <c r="E4187" s="37" t="str">
        <f t="shared" si="325"/>
        <v xml:space="preserve"> </v>
      </c>
      <c r="F4187">
        <v>0.01</v>
      </c>
      <c r="G4187" s="37" t="str">
        <f t="shared" si="326"/>
        <v>Normal Discount</v>
      </c>
      <c r="H4187" s="37" t="str">
        <f t="shared" si="327"/>
        <v>Low</v>
      </c>
      <c r="I4187">
        <v>8</v>
      </c>
      <c r="J4187" t="str" cm="1">
        <f t="array" ref="J4187">_xlfn.IFS(I4187&lt;=3,"small",I4187&lt;=6,"Medium",I4187&lt;=9,"Large")</f>
        <v>Large</v>
      </c>
      <c r="K4187" s="36">
        <v>45576</v>
      </c>
      <c r="L4187" s="36">
        <v>45580</v>
      </c>
      <c r="M4187" t="s">
        <v>612</v>
      </c>
      <c r="N4187" t="s">
        <v>608</v>
      </c>
      <c r="O4187" s="37" t="str">
        <f t="shared" si="328"/>
        <v>Cash Payment</v>
      </c>
      <c r="P4187">
        <v>252.1</v>
      </c>
      <c r="Q4187" s="37" t="str">
        <f>IF(P4187&gt;500,"High","low")</f>
        <v>low</v>
      </c>
      <c r="R4187" s="37" t="str">
        <f t="shared" si="329"/>
        <v>AVERAGE</v>
      </c>
      <c r="S4187" t="s">
        <v>615</v>
      </c>
    </row>
    <row r="4188" spans="1:19" x14ac:dyDescent="0.2">
      <c r="A4188" t="s">
        <v>4799</v>
      </c>
      <c r="B4188" t="s">
        <v>83</v>
      </c>
      <c r="C4188" t="s">
        <v>607</v>
      </c>
      <c r="D4188">
        <v>2965.42</v>
      </c>
      <c r="E4188" s="37" t="str">
        <f t="shared" si="325"/>
        <v xml:space="preserve"> </v>
      </c>
      <c r="F4188">
        <v>0.03</v>
      </c>
      <c r="G4188" s="37" t="str">
        <f t="shared" si="326"/>
        <v>Normal Discount</v>
      </c>
      <c r="H4188" s="37" t="str">
        <f t="shared" si="327"/>
        <v>Low</v>
      </c>
      <c r="I4188">
        <v>9</v>
      </c>
      <c r="J4188" t="str" cm="1">
        <f t="array" ref="J4188">_xlfn.IFS(I4188&lt;=3,"small",I4188&lt;=6,"Medium",I4188&lt;=9,"Large")</f>
        <v>Large</v>
      </c>
      <c r="K4188" s="36">
        <v>45057</v>
      </c>
      <c r="L4188" s="36">
        <v>45064</v>
      </c>
      <c r="M4188" t="s">
        <v>612</v>
      </c>
      <c r="N4188" t="s">
        <v>608</v>
      </c>
      <c r="O4188" s="37" t="str">
        <f t="shared" si="328"/>
        <v>Cash Payment</v>
      </c>
      <c r="P4188">
        <v>617.58000000000004</v>
      </c>
      <c r="Q4188" s="37" t="str">
        <f>IF(P4188&gt;500,"High","low")</f>
        <v>High</v>
      </c>
      <c r="R4188" s="37" t="str">
        <f t="shared" si="329"/>
        <v>Good</v>
      </c>
      <c r="S4188" t="s">
        <v>620</v>
      </c>
    </row>
    <row r="4189" spans="1:19" x14ac:dyDescent="0.2">
      <c r="A4189" t="s">
        <v>4800</v>
      </c>
      <c r="B4189" t="s">
        <v>67</v>
      </c>
      <c r="C4189" t="s">
        <v>597</v>
      </c>
      <c r="D4189">
        <v>1062.6099999999999</v>
      </c>
      <c r="E4189" s="37" t="str">
        <f t="shared" si="325"/>
        <v xml:space="preserve"> </v>
      </c>
      <c r="F4189">
        <v>7.0000000000000007E-2</v>
      </c>
      <c r="G4189" s="37" t="str">
        <f t="shared" si="326"/>
        <v>Normal Discount</v>
      </c>
      <c r="H4189" s="37" t="str">
        <f t="shared" si="327"/>
        <v>Low</v>
      </c>
      <c r="I4189">
        <v>1</v>
      </c>
      <c r="J4189" t="str" cm="1">
        <f t="array" ref="J4189">_xlfn.IFS(I4189&lt;=3,"small",I4189&lt;=6,"Medium",I4189&lt;=9,"Large")</f>
        <v>small</v>
      </c>
      <c r="K4189" s="36">
        <v>45466</v>
      </c>
      <c r="L4189" s="36">
        <v>45470</v>
      </c>
      <c r="M4189" t="s">
        <v>612</v>
      </c>
      <c r="N4189" t="s">
        <v>608</v>
      </c>
      <c r="O4189" s="37" t="str">
        <f t="shared" si="328"/>
        <v>Cash Payment</v>
      </c>
      <c r="P4189">
        <v>69.02</v>
      </c>
      <c r="Q4189" s="37" t="str">
        <f>IF(P4189&gt;500,"High","low")</f>
        <v>low</v>
      </c>
      <c r="R4189" s="37" t="str">
        <f t="shared" si="329"/>
        <v>AVERAGE</v>
      </c>
      <c r="S4189" t="s">
        <v>605</v>
      </c>
    </row>
    <row r="4190" spans="1:19" x14ac:dyDescent="0.2">
      <c r="A4190" t="s">
        <v>4801</v>
      </c>
      <c r="B4190" t="s">
        <v>67</v>
      </c>
      <c r="C4190" t="s">
        <v>597</v>
      </c>
      <c r="D4190">
        <v>4041.76</v>
      </c>
      <c r="E4190" s="37" t="str">
        <f t="shared" si="325"/>
        <v xml:space="preserve"> </v>
      </c>
      <c r="F4190">
        <v>0.06</v>
      </c>
      <c r="G4190" s="37" t="str">
        <f t="shared" si="326"/>
        <v>Normal Discount</v>
      </c>
      <c r="H4190" s="37" t="str">
        <f t="shared" si="327"/>
        <v>Low</v>
      </c>
      <c r="I4190">
        <v>3</v>
      </c>
      <c r="J4190" t="str" cm="1">
        <f t="array" ref="J4190">_xlfn.IFS(I4190&lt;=3,"small",I4190&lt;=6,"Medium",I4190&lt;=9,"Large")</f>
        <v>small</v>
      </c>
      <c r="K4190" s="36">
        <v>44953</v>
      </c>
      <c r="L4190" s="36">
        <v>44956</v>
      </c>
      <c r="M4190" t="s">
        <v>612</v>
      </c>
      <c r="N4190" t="s">
        <v>604</v>
      </c>
      <c r="O4190" s="37" t="str">
        <f t="shared" si="328"/>
        <v>Digital Payment</v>
      </c>
      <c r="P4190">
        <v>419.63</v>
      </c>
      <c r="Q4190" s="37" t="str">
        <f>IF(P4190&gt;500,"High","low")</f>
        <v>low</v>
      </c>
      <c r="R4190" s="37" t="str">
        <f t="shared" si="329"/>
        <v>AVERAGE</v>
      </c>
      <c r="S4190" t="s">
        <v>600</v>
      </c>
    </row>
    <row r="4191" spans="1:19" x14ac:dyDescent="0.2">
      <c r="A4191" t="s">
        <v>4802</v>
      </c>
      <c r="B4191" t="s">
        <v>67</v>
      </c>
      <c r="C4191" t="s">
        <v>602</v>
      </c>
      <c r="D4191">
        <v>1599</v>
      </c>
      <c r="E4191" s="37" t="str">
        <f t="shared" si="325"/>
        <v xml:space="preserve"> </v>
      </c>
      <c r="F4191">
        <v>0.23</v>
      </c>
      <c r="G4191" s="37" t="str">
        <f t="shared" si="326"/>
        <v>Normal Discount</v>
      </c>
      <c r="H4191" s="37" t="str">
        <f t="shared" si="327"/>
        <v>Medium</v>
      </c>
      <c r="I4191">
        <v>6</v>
      </c>
      <c r="J4191" t="str" cm="1">
        <f t="array" ref="J4191">_xlfn.IFS(I4191&lt;=3,"small",I4191&lt;=6,"Medium",I4191&lt;=9,"Large")</f>
        <v>Medium</v>
      </c>
      <c r="K4191" s="36">
        <v>45267</v>
      </c>
      <c r="L4191" s="36">
        <v>45269</v>
      </c>
      <c r="M4191" t="s">
        <v>603</v>
      </c>
      <c r="N4191" t="s">
        <v>604</v>
      </c>
      <c r="O4191" s="37" t="str">
        <f t="shared" si="328"/>
        <v>Digital Payment</v>
      </c>
      <c r="P4191">
        <v>364.57</v>
      </c>
      <c r="Q4191" s="37" t="str">
        <f>IF(P4191&gt;500,"High","low")</f>
        <v>low</v>
      </c>
      <c r="R4191" s="37" t="str">
        <f t="shared" si="329"/>
        <v>AVERAGE</v>
      </c>
      <c r="S4191" t="s">
        <v>600</v>
      </c>
    </row>
    <row r="4192" spans="1:19" x14ac:dyDescent="0.2">
      <c r="A4192" t="s">
        <v>4803</v>
      </c>
      <c r="B4192" t="s">
        <v>67</v>
      </c>
      <c r="C4192" t="s">
        <v>607</v>
      </c>
      <c r="D4192">
        <v>1643.01</v>
      </c>
      <c r="E4192" s="37" t="str">
        <f t="shared" si="325"/>
        <v xml:space="preserve"> </v>
      </c>
      <c r="F4192">
        <v>0.38</v>
      </c>
      <c r="G4192" s="37" t="str">
        <f t="shared" si="326"/>
        <v>Heavy Discount</v>
      </c>
      <c r="H4192" s="37" t="str">
        <f t="shared" si="327"/>
        <v>Medium</v>
      </c>
      <c r="I4192">
        <v>5</v>
      </c>
      <c r="J4192" t="str" cm="1">
        <f t="array" ref="J4192">_xlfn.IFS(I4192&lt;=3,"small",I4192&lt;=6,"Medium",I4192&lt;=9,"Large")</f>
        <v>Medium</v>
      </c>
      <c r="K4192" s="36">
        <v>45449</v>
      </c>
      <c r="L4192" s="36">
        <v>45454</v>
      </c>
      <c r="M4192" t="s">
        <v>603</v>
      </c>
      <c r="N4192" t="s">
        <v>604</v>
      </c>
      <c r="O4192" s="37" t="str">
        <f t="shared" si="328"/>
        <v>Digital Payment</v>
      </c>
      <c r="P4192">
        <v>86.55</v>
      </c>
      <c r="Q4192" s="37" t="str">
        <f>IF(P4192&gt;500,"High","low")</f>
        <v>low</v>
      </c>
      <c r="R4192" s="37" t="str">
        <f t="shared" si="329"/>
        <v>AVERAGE</v>
      </c>
      <c r="S4192" t="s">
        <v>609</v>
      </c>
    </row>
    <row r="4193" spans="1:19" x14ac:dyDescent="0.2">
      <c r="A4193" t="s">
        <v>4804</v>
      </c>
      <c r="B4193" t="s">
        <v>75</v>
      </c>
      <c r="C4193" t="s">
        <v>617</v>
      </c>
      <c r="D4193">
        <v>4362.76</v>
      </c>
      <c r="E4193" s="37" t="str">
        <f t="shared" si="325"/>
        <v xml:space="preserve"> </v>
      </c>
      <c r="F4193">
        <v>0.48</v>
      </c>
      <c r="G4193" s="37" t="str">
        <f t="shared" si="326"/>
        <v>Heavy Discount</v>
      </c>
      <c r="H4193" s="37" t="str">
        <f t="shared" si="327"/>
        <v>High</v>
      </c>
      <c r="I4193">
        <v>1</v>
      </c>
      <c r="J4193" t="str" cm="1">
        <f t="array" ref="J4193">_xlfn.IFS(I4193&lt;=3,"small",I4193&lt;=6,"Medium",I4193&lt;=9,"Large")</f>
        <v>small</v>
      </c>
      <c r="K4193" s="36">
        <v>45142</v>
      </c>
      <c r="L4193" s="36">
        <v>45145</v>
      </c>
      <c r="M4193" t="s">
        <v>612</v>
      </c>
      <c r="N4193" t="s">
        <v>608</v>
      </c>
      <c r="O4193" s="37" t="str">
        <f t="shared" si="328"/>
        <v>Cash Payment</v>
      </c>
      <c r="P4193">
        <v>528.97</v>
      </c>
      <c r="Q4193" s="37" t="str">
        <f>IF(P4193&gt;500,"High","low")</f>
        <v>High</v>
      </c>
      <c r="R4193" s="37" t="str">
        <f t="shared" si="329"/>
        <v>Good</v>
      </c>
      <c r="S4193" t="s">
        <v>605</v>
      </c>
    </row>
    <row r="4194" spans="1:19" x14ac:dyDescent="0.2">
      <c r="A4194" t="s">
        <v>4805</v>
      </c>
      <c r="B4194" t="s">
        <v>67</v>
      </c>
      <c r="C4194" t="s">
        <v>614</v>
      </c>
      <c r="D4194">
        <v>2840.09</v>
      </c>
      <c r="E4194" s="37" t="str">
        <f t="shared" si="325"/>
        <v xml:space="preserve"> </v>
      </c>
      <c r="F4194">
        <v>0.21</v>
      </c>
      <c r="G4194" s="37" t="str">
        <f t="shared" si="326"/>
        <v>Normal Discount</v>
      </c>
      <c r="H4194" s="37" t="str">
        <f t="shared" si="327"/>
        <v>Medium</v>
      </c>
      <c r="I4194">
        <v>2</v>
      </c>
      <c r="J4194" t="str" cm="1">
        <f t="array" ref="J4194">_xlfn.IFS(I4194&lt;=3,"small",I4194&lt;=6,"Medium",I4194&lt;=9,"Large")</f>
        <v>small</v>
      </c>
      <c r="K4194" s="36">
        <v>44938</v>
      </c>
      <c r="L4194" s="36">
        <v>44944</v>
      </c>
      <c r="M4194" t="s">
        <v>612</v>
      </c>
      <c r="N4194" t="s">
        <v>608</v>
      </c>
      <c r="O4194" s="37" t="str">
        <f t="shared" si="328"/>
        <v>Cash Payment</v>
      </c>
      <c r="P4194">
        <v>462.42</v>
      </c>
      <c r="Q4194" s="37" t="str">
        <f>IF(P4194&gt;500,"High","low")</f>
        <v>low</v>
      </c>
      <c r="R4194" s="37" t="str">
        <f t="shared" si="329"/>
        <v>AVERAGE</v>
      </c>
      <c r="S4194" t="s">
        <v>615</v>
      </c>
    </row>
    <row r="4195" spans="1:19" x14ac:dyDescent="0.2">
      <c r="A4195" t="s">
        <v>4806</v>
      </c>
      <c r="B4195" t="s">
        <v>75</v>
      </c>
      <c r="C4195" t="s">
        <v>602</v>
      </c>
      <c r="D4195">
        <v>4447.78</v>
      </c>
      <c r="E4195" s="37" t="str">
        <f t="shared" si="325"/>
        <v>Excellent Order</v>
      </c>
      <c r="F4195">
        <v>0.34</v>
      </c>
      <c r="G4195" s="37" t="str">
        <f t="shared" si="326"/>
        <v>Heavy Discount</v>
      </c>
      <c r="H4195" s="37" t="str">
        <f t="shared" si="327"/>
        <v>Medium</v>
      </c>
      <c r="I4195">
        <v>2</v>
      </c>
      <c r="J4195" t="str" cm="1">
        <f t="array" ref="J4195">_xlfn.IFS(I4195&lt;=3,"small",I4195&lt;=6,"Medium",I4195&lt;=9,"Large")</f>
        <v>small</v>
      </c>
      <c r="K4195" s="36">
        <v>44933</v>
      </c>
      <c r="L4195" s="36">
        <v>44940</v>
      </c>
      <c r="M4195" t="s">
        <v>603</v>
      </c>
      <c r="N4195" t="s">
        <v>608</v>
      </c>
      <c r="O4195" s="37" t="str">
        <f t="shared" si="328"/>
        <v>Cash Payment</v>
      </c>
      <c r="P4195">
        <v>1237.1500000000001</v>
      </c>
      <c r="Q4195" s="37" t="str">
        <f>IF(P4195&gt;500,"High","low")</f>
        <v>High</v>
      </c>
      <c r="R4195" s="37" t="str">
        <f t="shared" si="329"/>
        <v>Excellent</v>
      </c>
      <c r="S4195" t="s">
        <v>609</v>
      </c>
    </row>
    <row r="4196" spans="1:19" x14ac:dyDescent="0.2">
      <c r="A4196" t="s">
        <v>4807</v>
      </c>
      <c r="B4196" t="s">
        <v>75</v>
      </c>
      <c r="C4196" t="s">
        <v>614</v>
      </c>
      <c r="D4196">
        <v>2123.15</v>
      </c>
      <c r="E4196" s="37" t="str">
        <f t="shared" si="325"/>
        <v xml:space="preserve"> </v>
      </c>
      <c r="F4196">
        <v>0.32</v>
      </c>
      <c r="G4196" s="37" t="str">
        <f t="shared" si="326"/>
        <v>Heavy Discount</v>
      </c>
      <c r="H4196" s="37" t="str">
        <f t="shared" si="327"/>
        <v>Medium</v>
      </c>
      <c r="I4196">
        <v>7</v>
      </c>
      <c r="J4196" t="str" cm="1">
        <f t="array" ref="J4196">_xlfn.IFS(I4196&lt;=3,"small",I4196&lt;=6,"Medium",I4196&lt;=9,"Large")</f>
        <v>Large</v>
      </c>
      <c r="K4196" s="36">
        <v>45608</v>
      </c>
      <c r="L4196" s="36">
        <v>45614</v>
      </c>
      <c r="M4196" t="s">
        <v>598</v>
      </c>
      <c r="N4196" t="s">
        <v>604</v>
      </c>
      <c r="O4196" s="37" t="str">
        <f t="shared" si="328"/>
        <v>Digital Payment</v>
      </c>
      <c r="P4196">
        <v>557.53</v>
      </c>
      <c r="Q4196" s="37" t="str">
        <f>IF(P4196&gt;500,"High","low")</f>
        <v>High</v>
      </c>
      <c r="R4196" s="37" t="str">
        <f t="shared" si="329"/>
        <v>Good</v>
      </c>
      <c r="S4196" t="s">
        <v>600</v>
      </c>
    </row>
    <row r="4197" spans="1:19" x14ac:dyDescent="0.2">
      <c r="A4197" t="s">
        <v>4808</v>
      </c>
      <c r="B4197" t="s">
        <v>67</v>
      </c>
      <c r="C4197" t="s">
        <v>614</v>
      </c>
      <c r="D4197">
        <v>1785.25</v>
      </c>
      <c r="E4197" s="37" t="str">
        <f t="shared" si="325"/>
        <v xml:space="preserve"> </v>
      </c>
      <c r="F4197">
        <v>0.2</v>
      </c>
      <c r="G4197" s="37" t="str">
        <f t="shared" si="326"/>
        <v>Normal Discount</v>
      </c>
      <c r="H4197" s="37" t="str">
        <f t="shared" si="327"/>
        <v>Medium</v>
      </c>
      <c r="I4197">
        <v>6</v>
      </c>
      <c r="J4197" t="str" cm="1">
        <f t="array" ref="J4197">_xlfn.IFS(I4197&lt;=3,"small",I4197&lt;=6,"Medium",I4197&lt;=9,"Large")</f>
        <v>Medium</v>
      </c>
      <c r="K4197" s="36">
        <v>45502</v>
      </c>
      <c r="L4197" s="36">
        <v>45508</v>
      </c>
      <c r="M4197" t="s">
        <v>612</v>
      </c>
      <c r="N4197" t="s">
        <v>608</v>
      </c>
      <c r="O4197" s="37" t="str">
        <f t="shared" si="328"/>
        <v>Cash Payment</v>
      </c>
      <c r="P4197">
        <v>186.07</v>
      </c>
      <c r="Q4197" s="37" t="str">
        <f>IF(P4197&gt;500,"High","low")</f>
        <v>low</v>
      </c>
      <c r="R4197" s="37" t="str">
        <f t="shared" si="329"/>
        <v>AVERAGE</v>
      </c>
      <c r="S4197" t="s">
        <v>615</v>
      </c>
    </row>
    <row r="4198" spans="1:19" x14ac:dyDescent="0.2">
      <c r="A4198" t="s">
        <v>4809</v>
      </c>
      <c r="B4198" t="s">
        <v>90</v>
      </c>
      <c r="C4198" t="s">
        <v>607</v>
      </c>
      <c r="D4198">
        <v>2580.39</v>
      </c>
      <c r="E4198" s="37" t="str">
        <f t="shared" si="325"/>
        <v xml:space="preserve"> </v>
      </c>
      <c r="F4198">
        <v>0.36</v>
      </c>
      <c r="G4198" s="37" t="str">
        <f t="shared" si="326"/>
        <v>Heavy Discount</v>
      </c>
      <c r="H4198" s="37" t="str">
        <f t="shared" si="327"/>
        <v>Medium</v>
      </c>
      <c r="I4198">
        <v>6</v>
      </c>
      <c r="J4198" t="str" cm="1">
        <f t="array" ref="J4198">_xlfn.IFS(I4198&lt;=3,"small",I4198&lt;=6,"Medium",I4198&lt;=9,"Large")</f>
        <v>Medium</v>
      </c>
      <c r="K4198" s="36">
        <v>45210</v>
      </c>
      <c r="L4198" s="36">
        <v>45211</v>
      </c>
      <c r="M4198" t="s">
        <v>612</v>
      </c>
      <c r="N4198" t="s">
        <v>608</v>
      </c>
      <c r="O4198" s="37" t="str">
        <f t="shared" si="328"/>
        <v>Cash Payment</v>
      </c>
      <c r="P4198">
        <v>326.47000000000003</v>
      </c>
      <c r="Q4198" s="37" t="str">
        <f>IF(P4198&gt;500,"High","low")</f>
        <v>low</v>
      </c>
      <c r="R4198" s="37" t="str">
        <f t="shared" si="329"/>
        <v>AVERAGE</v>
      </c>
      <c r="S4198" t="s">
        <v>605</v>
      </c>
    </row>
    <row r="4199" spans="1:19" x14ac:dyDescent="0.2">
      <c r="A4199" t="s">
        <v>4810</v>
      </c>
      <c r="B4199" t="s">
        <v>75</v>
      </c>
      <c r="C4199" t="s">
        <v>617</v>
      </c>
      <c r="D4199">
        <v>401.31</v>
      </c>
      <c r="E4199" s="37" t="str">
        <f t="shared" si="325"/>
        <v xml:space="preserve"> </v>
      </c>
      <c r="F4199">
        <v>0.3</v>
      </c>
      <c r="G4199" s="37" t="str">
        <f t="shared" si="326"/>
        <v>Normal Discount</v>
      </c>
      <c r="H4199" s="37" t="str">
        <f t="shared" si="327"/>
        <v>Medium</v>
      </c>
      <c r="I4199">
        <v>1</v>
      </c>
      <c r="J4199" t="str" cm="1">
        <f t="array" ref="J4199">_xlfn.IFS(I4199&lt;=3,"small",I4199&lt;=6,"Medium",I4199&lt;=9,"Large")</f>
        <v>small</v>
      </c>
      <c r="K4199" s="36">
        <v>45336</v>
      </c>
      <c r="L4199" s="36">
        <v>45343</v>
      </c>
      <c r="M4199" t="s">
        <v>603</v>
      </c>
      <c r="N4199" t="s">
        <v>599</v>
      </c>
      <c r="O4199" s="37" t="str">
        <f t="shared" si="328"/>
        <v>Digital Payment</v>
      </c>
      <c r="P4199">
        <v>72.069999999999993</v>
      </c>
      <c r="Q4199" s="37" t="str">
        <f>IF(P4199&gt;500,"High","low")</f>
        <v>low</v>
      </c>
      <c r="R4199" s="37" t="str">
        <f t="shared" si="329"/>
        <v>AVERAGE</v>
      </c>
      <c r="S4199" t="s">
        <v>600</v>
      </c>
    </row>
    <row r="4200" spans="1:19" x14ac:dyDescent="0.2">
      <c r="A4200" t="s">
        <v>4811</v>
      </c>
      <c r="B4200" t="s">
        <v>90</v>
      </c>
      <c r="C4200" t="s">
        <v>614</v>
      </c>
      <c r="D4200">
        <v>855.58</v>
      </c>
      <c r="E4200" s="37" t="str">
        <f t="shared" si="325"/>
        <v xml:space="preserve"> </v>
      </c>
      <c r="F4200">
        <v>0.38</v>
      </c>
      <c r="G4200" s="37" t="str">
        <f t="shared" si="326"/>
        <v>Heavy Discount</v>
      </c>
      <c r="H4200" s="37" t="str">
        <f t="shared" si="327"/>
        <v>Medium</v>
      </c>
      <c r="I4200">
        <v>1</v>
      </c>
      <c r="J4200" t="str" cm="1">
        <f t="array" ref="J4200">_xlfn.IFS(I4200&lt;=3,"small",I4200&lt;=6,"Medium",I4200&lt;=9,"Large")</f>
        <v>small</v>
      </c>
      <c r="K4200" s="36">
        <v>45618</v>
      </c>
      <c r="L4200" s="36">
        <v>45625</v>
      </c>
      <c r="M4200" t="s">
        <v>612</v>
      </c>
      <c r="N4200" t="s">
        <v>604</v>
      </c>
      <c r="O4200" s="37" t="str">
        <f t="shared" si="328"/>
        <v>Digital Payment</v>
      </c>
      <c r="P4200">
        <v>136.08000000000001</v>
      </c>
      <c r="Q4200" s="37" t="str">
        <f>IF(P4200&gt;500,"High","low")</f>
        <v>low</v>
      </c>
      <c r="R4200" s="37" t="str">
        <f t="shared" si="329"/>
        <v>AVERAGE</v>
      </c>
      <c r="S4200" t="s">
        <v>620</v>
      </c>
    </row>
    <row r="4201" spans="1:19" x14ac:dyDescent="0.2">
      <c r="A4201" t="s">
        <v>4812</v>
      </c>
      <c r="B4201" t="s">
        <v>90</v>
      </c>
      <c r="C4201" t="s">
        <v>614</v>
      </c>
      <c r="D4201">
        <v>1175.6600000000001</v>
      </c>
      <c r="E4201" s="37" t="str">
        <f t="shared" si="325"/>
        <v xml:space="preserve"> </v>
      </c>
      <c r="F4201">
        <v>0.1</v>
      </c>
      <c r="G4201" s="37" t="str">
        <f t="shared" si="326"/>
        <v>Normal Discount</v>
      </c>
      <c r="H4201" s="37" t="str">
        <f t="shared" si="327"/>
        <v>Low</v>
      </c>
      <c r="I4201">
        <v>4</v>
      </c>
      <c r="J4201" t="str" cm="1">
        <f t="array" ref="J4201">_xlfn.IFS(I4201&lt;=3,"small",I4201&lt;=6,"Medium",I4201&lt;=9,"Large")</f>
        <v>Medium</v>
      </c>
      <c r="K4201" s="36">
        <v>45384</v>
      </c>
      <c r="L4201" s="36">
        <v>45387</v>
      </c>
      <c r="M4201" t="s">
        <v>612</v>
      </c>
      <c r="N4201" t="s">
        <v>604</v>
      </c>
      <c r="O4201" s="37" t="str">
        <f t="shared" si="328"/>
        <v>Digital Payment</v>
      </c>
      <c r="P4201">
        <v>284.89</v>
      </c>
      <c r="Q4201" s="37" t="str">
        <f>IF(P4201&gt;500,"High","low")</f>
        <v>low</v>
      </c>
      <c r="R4201" s="37" t="str">
        <f t="shared" si="329"/>
        <v>AVERAGE</v>
      </c>
      <c r="S4201" t="s">
        <v>600</v>
      </c>
    </row>
    <row r="4202" spans="1:19" x14ac:dyDescent="0.2">
      <c r="A4202" t="s">
        <v>4813</v>
      </c>
      <c r="B4202" t="s">
        <v>67</v>
      </c>
      <c r="C4202" t="s">
        <v>602</v>
      </c>
      <c r="D4202">
        <v>4101.72</v>
      </c>
      <c r="E4202" s="37" t="str">
        <f t="shared" si="325"/>
        <v>Excellent Order</v>
      </c>
      <c r="F4202">
        <v>0.18</v>
      </c>
      <c r="G4202" s="37" t="str">
        <f t="shared" si="326"/>
        <v>Normal Discount</v>
      </c>
      <c r="H4202" s="37" t="str">
        <f t="shared" si="327"/>
        <v>Low</v>
      </c>
      <c r="I4202">
        <v>6</v>
      </c>
      <c r="J4202" t="str" cm="1">
        <f t="array" ref="J4202">_xlfn.IFS(I4202&lt;=3,"small",I4202&lt;=6,"Medium",I4202&lt;=9,"Large")</f>
        <v>Medium</v>
      </c>
      <c r="K4202" s="36">
        <v>45032</v>
      </c>
      <c r="L4202" s="36">
        <v>45036</v>
      </c>
      <c r="M4202" t="s">
        <v>612</v>
      </c>
      <c r="N4202" t="s">
        <v>604</v>
      </c>
      <c r="O4202" s="37" t="str">
        <f t="shared" si="328"/>
        <v>Digital Payment</v>
      </c>
      <c r="P4202">
        <v>1180.52</v>
      </c>
      <c r="Q4202" s="37" t="str">
        <f>IF(P4202&gt;500,"High","low")</f>
        <v>High</v>
      </c>
      <c r="R4202" s="37" t="str">
        <f t="shared" si="329"/>
        <v>Excellent</v>
      </c>
      <c r="S4202" t="s">
        <v>600</v>
      </c>
    </row>
    <row r="4203" spans="1:19" x14ac:dyDescent="0.2">
      <c r="A4203" t="s">
        <v>4814</v>
      </c>
      <c r="B4203" t="s">
        <v>83</v>
      </c>
      <c r="C4203" t="s">
        <v>617</v>
      </c>
      <c r="D4203">
        <v>3695.61</v>
      </c>
      <c r="E4203" s="37" t="str">
        <f t="shared" si="325"/>
        <v xml:space="preserve"> </v>
      </c>
      <c r="F4203">
        <v>0.34</v>
      </c>
      <c r="G4203" s="37" t="str">
        <f t="shared" si="326"/>
        <v>Heavy Discount</v>
      </c>
      <c r="H4203" s="37" t="str">
        <f t="shared" si="327"/>
        <v>Medium</v>
      </c>
      <c r="I4203">
        <v>6</v>
      </c>
      <c r="J4203" t="str" cm="1">
        <f t="array" ref="J4203">_xlfn.IFS(I4203&lt;=3,"small",I4203&lt;=6,"Medium",I4203&lt;=9,"Large")</f>
        <v>Medium</v>
      </c>
      <c r="K4203" s="36">
        <v>45076</v>
      </c>
      <c r="L4203" s="36">
        <v>45083</v>
      </c>
      <c r="M4203" t="s">
        <v>612</v>
      </c>
      <c r="N4203" t="s">
        <v>604</v>
      </c>
      <c r="O4203" s="37" t="str">
        <f t="shared" si="328"/>
        <v>Digital Payment</v>
      </c>
      <c r="P4203">
        <v>759.04</v>
      </c>
      <c r="Q4203" s="37" t="str">
        <f>IF(P4203&gt;500,"High","low")</f>
        <v>High</v>
      </c>
      <c r="R4203" s="37" t="str">
        <f t="shared" si="329"/>
        <v>Good</v>
      </c>
      <c r="S4203" t="s">
        <v>628</v>
      </c>
    </row>
    <row r="4204" spans="1:19" x14ac:dyDescent="0.2">
      <c r="A4204" t="s">
        <v>4815</v>
      </c>
      <c r="B4204" t="s">
        <v>67</v>
      </c>
      <c r="C4204" t="s">
        <v>617</v>
      </c>
      <c r="D4204">
        <v>1047.21</v>
      </c>
      <c r="E4204" s="37" t="str">
        <f t="shared" si="325"/>
        <v xml:space="preserve"> </v>
      </c>
      <c r="F4204">
        <v>0.06</v>
      </c>
      <c r="G4204" s="37" t="str">
        <f t="shared" si="326"/>
        <v>Normal Discount</v>
      </c>
      <c r="H4204" s="37" t="str">
        <f t="shared" si="327"/>
        <v>Low</v>
      </c>
      <c r="I4204">
        <v>5</v>
      </c>
      <c r="J4204" t="str" cm="1">
        <f t="array" ref="J4204">_xlfn.IFS(I4204&lt;=3,"small",I4204&lt;=6,"Medium",I4204&lt;=9,"Large")</f>
        <v>Medium</v>
      </c>
      <c r="K4204" s="36">
        <v>45192</v>
      </c>
      <c r="L4204" s="36">
        <v>45198</v>
      </c>
      <c r="M4204" t="s">
        <v>603</v>
      </c>
      <c r="N4204" t="s">
        <v>599</v>
      </c>
      <c r="O4204" s="37" t="str">
        <f t="shared" si="328"/>
        <v>Digital Payment</v>
      </c>
      <c r="P4204">
        <v>81.72</v>
      </c>
      <c r="Q4204" s="37" t="str">
        <f>IF(P4204&gt;500,"High","low")</f>
        <v>low</v>
      </c>
      <c r="R4204" s="37" t="str">
        <f t="shared" si="329"/>
        <v>AVERAGE</v>
      </c>
      <c r="S4204" t="s">
        <v>620</v>
      </c>
    </row>
    <row r="4205" spans="1:19" x14ac:dyDescent="0.2">
      <c r="A4205" t="s">
        <v>4816</v>
      </c>
      <c r="B4205" t="s">
        <v>83</v>
      </c>
      <c r="C4205" t="s">
        <v>614</v>
      </c>
      <c r="D4205">
        <v>1456.06</v>
      </c>
      <c r="E4205" s="37" t="str">
        <f t="shared" si="325"/>
        <v xml:space="preserve"> </v>
      </c>
      <c r="F4205">
        <v>0.39</v>
      </c>
      <c r="G4205" s="37" t="str">
        <f t="shared" si="326"/>
        <v>Heavy Discount</v>
      </c>
      <c r="H4205" s="37" t="str">
        <f t="shared" si="327"/>
        <v>Medium</v>
      </c>
      <c r="I4205">
        <v>4</v>
      </c>
      <c r="J4205" t="str" cm="1">
        <f t="array" ref="J4205">_xlfn.IFS(I4205&lt;=3,"small",I4205&lt;=6,"Medium",I4205&lt;=9,"Large")</f>
        <v>Medium</v>
      </c>
      <c r="K4205" s="36">
        <v>45573</v>
      </c>
      <c r="L4205" s="36">
        <v>45580</v>
      </c>
      <c r="M4205" t="s">
        <v>612</v>
      </c>
      <c r="N4205" t="s">
        <v>599</v>
      </c>
      <c r="O4205" s="37" t="str">
        <f t="shared" si="328"/>
        <v>Digital Payment</v>
      </c>
      <c r="P4205">
        <v>233.56</v>
      </c>
      <c r="Q4205" s="37" t="str">
        <f>IF(P4205&gt;500,"High","low")</f>
        <v>low</v>
      </c>
      <c r="R4205" s="37" t="str">
        <f t="shared" si="329"/>
        <v>AVERAGE</v>
      </c>
      <c r="S4205" t="s">
        <v>620</v>
      </c>
    </row>
    <row r="4206" spans="1:19" x14ac:dyDescent="0.2">
      <c r="A4206" t="s">
        <v>4817</v>
      </c>
      <c r="B4206" t="s">
        <v>83</v>
      </c>
      <c r="C4206" t="s">
        <v>617</v>
      </c>
      <c r="D4206">
        <v>4726.88</v>
      </c>
      <c r="E4206" s="37" t="str">
        <f t="shared" si="325"/>
        <v>Excellent Order</v>
      </c>
      <c r="F4206">
        <v>7.0000000000000007E-2</v>
      </c>
      <c r="G4206" s="37" t="str">
        <f t="shared" si="326"/>
        <v>Normal Discount</v>
      </c>
      <c r="H4206" s="37" t="str">
        <f t="shared" si="327"/>
        <v>Low</v>
      </c>
      <c r="I4206">
        <v>2</v>
      </c>
      <c r="J4206" t="str" cm="1">
        <f t="array" ref="J4206">_xlfn.IFS(I4206&lt;=3,"small",I4206&lt;=6,"Medium",I4206&lt;=9,"Large")</f>
        <v>small</v>
      </c>
      <c r="K4206" s="36">
        <v>45117</v>
      </c>
      <c r="L4206" s="36">
        <v>45122</v>
      </c>
      <c r="M4206" t="s">
        <v>598</v>
      </c>
      <c r="N4206" t="s">
        <v>599</v>
      </c>
      <c r="O4206" s="37" t="str">
        <f t="shared" si="328"/>
        <v>Digital Payment</v>
      </c>
      <c r="P4206">
        <v>882.94</v>
      </c>
      <c r="Q4206" s="37" t="str">
        <f>IF(P4206&gt;500,"High","low")</f>
        <v>High</v>
      </c>
      <c r="R4206" s="37" t="str">
        <f t="shared" si="329"/>
        <v>Good</v>
      </c>
      <c r="S4206" t="s">
        <v>620</v>
      </c>
    </row>
    <row r="4207" spans="1:19" x14ac:dyDescent="0.2">
      <c r="A4207" t="s">
        <v>4818</v>
      </c>
      <c r="B4207" t="s">
        <v>67</v>
      </c>
      <c r="C4207" t="s">
        <v>602</v>
      </c>
      <c r="D4207">
        <v>520.42999999999995</v>
      </c>
      <c r="E4207" s="37" t="str">
        <f t="shared" si="325"/>
        <v xml:space="preserve"> </v>
      </c>
      <c r="F4207">
        <v>0.16</v>
      </c>
      <c r="G4207" s="37" t="str">
        <f t="shared" si="326"/>
        <v>Normal Discount</v>
      </c>
      <c r="H4207" s="37" t="str">
        <f t="shared" si="327"/>
        <v>Low</v>
      </c>
      <c r="I4207">
        <v>7</v>
      </c>
      <c r="J4207" t="str" cm="1">
        <f t="array" ref="J4207">_xlfn.IFS(I4207&lt;=3,"small",I4207&lt;=6,"Medium",I4207&lt;=9,"Large")</f>
        <v>Large</v>
      </c>
      <c r="K4207" s="36">
        <v>45168</v>
      </c>
      <c r="L4207" s="36">
        <v>45175</v>
      </c>
      <c r="M4207" t="s">
        <v>603</v>
      </c>
      <c r="N4207" t="s">
        <v>599</v>
      </c>
      <c r="O4207" s="37" t="str">
        <f t="shared" si="328"/>
        <v>Digital Payment</v>
      </c>
      <c r="P4207">
        <v>150.30000000000001</v>
      </c>
      <c r="Q4207" s="37" t="str">
        <f>IF(P4207&gt;500,"High","low")</f>
        <v>low</v>
      </c>
      <c r="R4207" s="37" t="str">
        <f t="shared" si="329"/>
        <v>AVERAGE</v>
      </c>
      <c r="S4207" t="s">
        <v>609</v>
      </c>
    </row>
    <row r="4208" spans="1:19" x14ac:dyDescent="0.2">
      <c r="A4208" t="s">
        <v>4819</v>
      </c>
      <c r="B4208" t="s">
        <v>67</v>
      </c>
      <c r="C4208" t="s">
        <v>602</v>
      </c>
      <c r="D4208">
        <v>2782.53</v>
      </c>
      <c r="E4208" s="37" t="str">
        <f t="shared" si="325"/>
        <v xml:space="preserve"> </v>
      </c>
      <c r="F4208">
        <v>0.12</v>
      </c>
      <c r="G4208" s="37" t="str">
        <f t="shared" si="326"/>
        <v>Normal Discount</v>
      </c>
      <c r="H4208" s="37" t="str">
        <f t="shared" si="327"/>
        <v>Low</v>
      </c>
      <c r="I4208">
        <v>6</v>
      </c>
      <c r="J4208" t="str" cm="1">
        <f t="array" ref="J4208">_xlfn.IFS(I4208&lt;=3,"small",I4208&lt;=6,"Medium",I4208&lt;=9,"Large")</f>
        <v>Medium</v>
      </c>
      <c r="K4208" s="36">
        <v>45525</v>
      </c>
      <c r="L4208" s="36">
        <v>45527</v>
      </c>
      <c r="M4208" t="s">
        <v>603</v>
      </c>
      <c r="N4208" t="s">
        <v>608</v>
      </c>
      <c r="O4208" s="37" t="str">
        <f t="shared" si="328"/>
        <v>Cash Payment</v>
      </c>
      <c r="P4208">
        <v>379.2</v>
      </c>
      <c r="Q4208" s="37" t="str">
        <f>IF(P4208&gt;500,"High","low")</f>
        <v>low</v>
      </c>
      <c r="R4208" s="37" t="str">
        <f t="shared" si="329"/>
        <v>AVERAGE</v>
      </c>
      <c r="S4208" t="s">
        <v>609</v>
      </c>
    </row>
    <row r="4209" spans="1:19" x14ac:dyDescent="0.2">
      <c r="A4209" t="s">
        <v>4820</v>
      </c>
      <c r="B4209" t="s">
        <v>83</v>
      </c>
      <c r="C4209" t="s">
        <v>602</v>
      </c>
      <c r="D4209">
        <v>2657.83</v>
      </c>
      <c r="E4209" s="37" t="str">
        <f t="shared" si="325"/>
        <v xml:space="preserve"> </v>
      </c>
      <c r="F4209">
        <v>0.03</v>
      </c>
      <c r="G4209" s="37" t="str">
        <f t="shared" si="326"/>
        <v>Normal Discount</v>
      </c>
      <c r="H4209" s="37" t="str">
        <f t="shared" si="327"/>
        <v>Low</v>
      </c>
      <c r="I4209">
        <v>7</v>
      </c>
      <c r="J4209" t="str" cm="1">
        <f t="array" ref="J4209">_xlfn.IFS(I4209&lt;=3,"small",I4209&lt;=6,"Medium",I4209&lt;=9,"Large")</f>
        <v>Large</v>
      </c>
      <c r="K4209" s="36">
        <v>45121</v>
      </c>
      <c r="L4209" s="36">
        <v>45127</v>
      </c>
      <c r="M4209" t="s">
        <v>598</v>
      </c>
      <c r="N4209" t="s">
        <v>608</v>
      </c>
      <c r="O4209" s="37" t="str">
        <f t="shared" si="328"/>
        <v>Cash Payment</v>
      </c>
      <c r="P4209">
        <v>577.77</v>
      </c>
      <c r="Q4209" s="37" t="str">
        <f>IF(P4209&gt;500,"High","low")</f>
        <v>High</v>
      </c>
      <c r="R4209" s="37" t="str">
        <f t="shared" si="329"/>
        <v>Good</v>
      </c>
      <c r="S4209" t="s">
        <v>600</v>
      </c>
    </row>
    <row r="4210" spans="1:19" x14ac:dyDescent="0.2">
      <c r="A4210" t="s">
        <v>4821</v>
      </c>
      <c r="B4210" t="s">
        <v>67</v>
      </c>
      <c r="C4210" t="s">
        <v>607</v>
      </c>
      <c r="D4210">
        <v>3655.97</v>
      </c>
      <c r="E4210" s="37" t="str">
        <f t="shared" si="325"/>
        <v xml:space="preserve"> </v>
      </c>
      <c r="F4210">
        <v>0.14000000000000001</v>
      </c>
      <c r="G4210" s="37" t="str">
        <f t="shared" si="326"/>
        <v>Normal Discount</v>
      </c>
      <c r="H4210" s="37" t="str">
        <f t="shared" si="327"/>
        <v>Low</v>
      </c>
      <c r="I4210">
        <v>3</v>
      </c>
      <c r="J4210" t="str" cm="1">
        <f t="array" ref="J4210">_xlfn.IFS(I4210&lt;=3,"small",I4210&lt;=6,"Medium",I4210&lt;=9,"Large")</f>
        <v>small</v>
      </c>
      <c r="K4210" s="36">
        <v>45014</v>
      </c>
      <c r="L4210" s="36">
        <v>45018</v>
      </c>
      <c r="M4210" t="s">
        <v>598</v>
      </c>
      <c r="N4210" t="s">
        <v>599</v>
      </c>
      <c r="O4210" s="37" t="str">
        <f t="shared" si="328"/>
        <v>Digital Payment</v>
      </c>
      <c r="P4210">
        <v>193.1</v>
      </c>
      <c r="Q4210" s="37" t="str">
        <f>IF(P4210&gt;500,"High","low")</f>
        <v>low</v>
      </c>
      <c r="R4210" s="37" t="str">
        <f t="shared" si="329"/>
        <v>AVERAGE</v>
      </c>
      <c r="S4210" t="s">
        <v>620</v>
      </c>
    </row>
    <row r="4211" spans="1:19" x14ac:dyDescent="0.2">
      <c r="A4211" t="s">
        <v>4822</v>
      </c>
      <c r="B4211" t="s">
        <v>83</v>
      </c>
      <c r="C4211" t="s">
        <v>614</v>
      </c>
      <c r="D4211">
        <v>1381.03</v>
      </c>
      <c r="E4211" s="37" t="str">
        <f t="shared" si="325"/>
        <v xml:space="preserve"> </v>
      </c>
      <c r="F4211">
        <v>0.46</v>
      </c>
      <c r="G4211" s="37" t="str">
        <f t="shared" si="326"/>
        <v>Heavy Discount</v>
      </c>
      <c r="H4211" s="37" t="str">
        <f t="shared" si="327"/>
        <v>High</v>
      </c>
      <c r="I4211">
        <v>1</v>
      </c>
      <c r="J4211" t="str" cm="1">
        <f t="array" ref="J4211">_xlfn.IFS(I4211&lt;=3,"small",I4211&lt;=6,"Medium",I4211&lt;=9,"Large")</f>
        <v>small</v>
      </c>
      <c r="K4211" s="36">
        <v>45293</v>
      </c>
      <c r="L4211" s="36">
        <v>45295</v>
      </c>
      <c r="M4211" t="s">
        <v>612</v>
      </c>
      <c r="N4211" t="s">
        <v>608</v>
      </c>
      <c r="O4211" s="37" t="str">
        <f t="shared" si="328"/>
        <v>Cash Payment</v>
      </c>
      <c r="P4211">
        <v>219.83</v>
      </c>
      <c r="Q4211" s="37" t="str">
        <f>IF(P4211&gt;500,"High","low")</f>
        <v>low</v>
      </c>
      <c r="R4211" s="37" t="str">
        <f t="shared" si="329"/>
        <v>AVERAGE</v>
      </c>
      <c r="S4211" t="s">
        <v>628</v>
      </c>
    </row>
    <row r="4212" spans="1:19" x14ac:dyDescent="0.2">
      <c r="A4212" t="s">
        <v>4823</v>
      </c>
      <c r="B4212" t="s">
        <v>90</v>
      </c>
      <c r="C4212" t="s">
        <v>617</v>
      </c>
      <c r="D4212">
        <v>4680.3900000000003</v>
      </c>
      <c r="E4212" s="37" t="str">
        <f t="shared" si="325"/>
        <v xml:space="preserve"> </v>
      </c>
      <c r="F4212">
        <v>0.01</v>
      </c>
      <c r="G4212" s="37" t="str">
        <f t="shared" si="326"/>
        <v>Normal Discount</v>
      </c>
      <c r="H4212" s="37" t="str">
        <f t="shared" si="327"/>
        <v>Low</v>
      </c>
      <c r="I4212">
        <v>1</v>
      </c>
      <c r="J4212" t="str" cm="1">
        <f t="array" ref="J4212">_xlfn.IFS(I4212&lt;=3,"small",I4212&lt;=6,"Medium",I4212&lt;=9,"Large")</f>
        <v>small</v>
      </c>
      <c r="K4212" s="36">
        <v>45411</v>
      </c>
      <c r="L4212" s="36">
        <v>45417</v>
      </c>
      <c r="M4212" t="s">
        <v>598</v>
      </c>
      <c r="N4212" t="s">
        <v>604</v>
      </c>
      <c r="O4212" s="37" t="str">
        <f t="shared" si="328"/>
        <v>Digital Payment</v>
      </c>
      <c r="P4212">
        <v>281.39</v>
      </c>
      <c r="Q4212" s="37" t="str">
        <f>IF(P4212&gt;500,"High","low")</f>
        <v>low</v>
      </c>
      <c r="R4212" s="37" t="str">
        <f t="shared" si="329"/>
        <v>AVERAGE</v>
      </c>
      <c r="S4212" t="s">
        <v>600</v>
      </c>
    </row>
    <row r="4213" spans="1:19" x14ac:dyDescent="0.2">
      <c r="A4213" t="s">
        <v>4824</v>
      </c>
      <c r="B4213" t="s">
        <v>67</v>
      </c>
      <c r="C4213" t="s">
        <v>602</v>
      </c>
      <c r="D4213">
        <v>2111.86</v>
      </c>
      <c r="E4213" s="37" t="str">
        <f t="shared" si="325"/>
        <v xml:space="preserve"> </v>
      </c>
      <c r="F4213">
        <v>0.01</v>
      </c>
      <c r="G4213" s="37" t="str">
        <f t="shared" si="326"/>
        <v>Normal Discount</v>
      </c>
      <c r="H4213" s="37" t="str">
        <f t="shared" si="327"/>
        <v>Low</v>
      </c>
      <c r="I4213">
        <v>4</v>
      </c>
      <c r="J4213" t="str" cm="1">
        <f t="array" ref="J4213">_xlfn.IFS(I4213&lt;=3,"small",I4213&lt;=6,"Medium",I4213&lt;=9,"Large")</f>
        <v>Medium</v>
      </c>
      <c r="K4213" s="36">
        <v>45287</v>
      </c>
      <c r="L4213" s="36">
        <v>45289</v>
      </c>
      <c r="M4213" t="s">
        <v>612</v>
      </c>
      <c r="N4213" t="s">
        <v>608</v>
      </c>
      <c r="O4213" s="37" t="str">
        <f t="shared" si="328"/>
        <v>Cash Payment</v>
      </c>
      <c r="P4213">
        <v>230.73</v>
      </c>
      <c r="Q4213" s="37" t="str">
        <f>IF(P4213&gt;500,"High","low")</f>
        <v>low</v>
      </c>
      <c r="R4213" s="37" t="str">
        <f t="shared" si="329"/>
        <v>AVERAGE</v>
      </c>
      <c r="S4213" t="s">
        <v>605</v>
      </c>
    </row>
    <row r="4214" spans="1:19" x14ac:dyDescent="0.2">
      <c r="A4214" t="s">
        <v>4825</v>
      </c>
      <c r="B4214" t="s">
        <v>90</v>
      </c>
      <c r="C4214" t="s">
        <v>614</v>
      </c>
      <c r="D4214">
        <v>1500.03</v>
      </c>
      <c r="E4214" s="37" t="str">
        <f t="shared" si="325"/>
        <v xml:space="preserve"> </v>
      </c>
      <c r="F4214">
        <v>0.35</v>
      </c>
      <c r="G4214" s="37" t="str">
        <f t="shared" si="326"/>
        <v>Heavy Discount</v>
      </c>
      <c r="H4214" s="37" t="str">
        <f t="shared" si="327"/>
        <v>Medium</v>
      </c>
      <c r="I4214">
        <v>4</v>
      </c>
      <c r="J4214" t="str" cm="1">
        <f t="array" ref="J4214">_xlfn.IFS(I4214&lt;=3,"small",I4214&lt;=6,"Medium",I4214&lt;=9,"Large")</f>
        <v>Medium</v>
      </c>
      <c r="K4214" s="36">
        <v>45042</v>
      </c>
      <c r="L4214" s="36">
        <v>45045</v>
      </c>
      <c r="M4214" t="s">
        <v>612</v>
      </c>
      <c r="N4214" t="s">
        <v>608</v>
      </c>
      <c r="O4214" s="37" t="str">
        <f t="shared" si="328"/>
        <v>Cash Payment</v>
      </c>
      <c r="P4214">
        <v>250.99</v>
      </c>
      <c r="Q4214" s="37" t="str">
        <f>IF(P4214&gt;500,"High","low")</f>
        <v>low</v>
      </c>
      <c r="R4214" s="37" t="str">
        <f t="shared" si="329"/>
        <v>AVERAGE</v>
      </c>
      <c r="S4214" t="s">
        <v>620</v>
      </c>
    </row>
    <row r="4215" spans="1:19" x14ac:dyDescent="0.2">
      <c r="A4215" t="s">
        <v>4826</v>
      </c>
      <c r="B4215" t="s">
        <v>75</v>
      </c>
      <c r="C4215" t="s">
        <v>614</v>
      </c>
      <c r="D4215">
        <v>1750.66</v>
      </c>
      <c r="E4215" s="37" t="str">
        <f t="shared" si="325"/>
        <v xml:space="preserve"> </v>
      </c>
      <c r="F4215">
        <v>0.18</v>
      </c>
      <c r="G4215" s="37" t="str">
        <f t="shared" si="326"/>
        <v>Normal Discount</v>
      </c>
      <c r="H4215" s="37" t="str">
        <f t="shared" si="327"/>
        <v>Low</v>
      </c>
      <c r="I4215">
        <v>7</v>
      </c>
      <c r="J4215" t="str" cm="1">
        <f t="array" ref="J4215">_xlfn.IFS(I4215&lt;=3,"small",I4215&lt;=6,"Medium",I4215&lt;=9,"Large")</f>
        <v>Large</v>
      </c>
      <c r="K4215" s="36">
        <v>45358</v>
      </c>
      <c r="L4215" s="36">
        <v>45361</v>
      </c>
      <c r="M4215" t="s">
        <v>612</v>
      </c>
      <c r="N4215" t="s">
        <v>608</v>
      </c>
      <c r="O4215" s="37" t="str">
        <f t="shared" si="328"/>
        <v>Cash Payment</v>
      </c>
      <c r="P4215">
        <v>341.97</v>
      </c>
      <c r="Q4215" s="37" t="str">
        <f>IF(P4215&gt;500,"High","low")</f>
        <v>low</v>
      </c>
      <c r="R4215" s="37" t="str">
        <f t="shared" si="329"/>
        <v>AVERAGE</v>
      </c>
      <c r="S4215" t="s">
        <v>620</v>
      </c>
    </row>
    <row r="4216" spans="1:19" x14ac:dyDescent="0.2">
      <c r="A4216" t="s">
        <v>4827</v>
      </c>
      <c r="B4216" t="s">
        <v>90</v>
      </c>
      <c r="C4216" t="s">
        <v>607</v>
      </c>
      <c r="D4216">
        <v>1808.74</v>
      </c>
      <c r="E4216" s="37" t="str">
        <f t="shared" si="325"/>
        <v xml:space="preserve"> </v>
      </c>
      <c r="F4216">
        <v>0.11</v>
      </c>
      <c r="G4216" s="37" t="str">
        <f t="shared" si="326"/>
        <v>Normal Discount</v>
      </c>
      <c r="H4216" s="37" t="str">
        <f t="shared" si="327"/>
        <v>Low</v>
      </c>
      <c r="I4216">
        <v>7</v>
      </c>
      <c r="J4216" t="str" cm="1">
        <f t="array" ref="J4216">_xlfn.IFS(I4216&lt;=3,"small",I4216&lt;=6,"Medium",I4216&lt;=9,"Large")</f>
        <v>Large</v>
      </c>
      <c r="K4216" s="36">
        <v>45417</v>
      </c>
      <c r="L4216" s="36">
        <v>45421</v>
      </c>
      <c r="M4216" t="s">
        <v>603</v>
      </c>
      <c r="N4216" t="s">
        <v>608</v>
      </c>
      <c r="O4216" s="37" t="str">
        <f t="shared" si="328"/>
        <v>Cash Payment</v>
      </c>
      <c r="P4216">
        <v>486.85</v>
      </c>
      <c r="Q4216" s="37" t="str">
        <f>IF(P4216&gt;500,"High","low")</f>
        <v>low</v>
      </c>
      <c r="R4216" s="37" t="str">
        <f t="shared" si="329"/>
        <v>AVERAGE</v>
      </c>
      <c r="S4216" t="s">
        <v>609</v>
      </c>
    </row>
    <row r="4217" spans="1:19" x14ac:dyDescent="0.2">
      <c r="A4217" t="s">
        <v>4828</v>
      </c>
      <c r="B4217" t="s">
        <v>90</v>
      </c>
      <c r="C4217" t="s">
        <v>617</v>
      </c>
      <c r="D4217">
        <v>1074.75</v>
      </c>
      <c r="E4217" s="37" t="str">
        <f t="shared" si="325"/>
        <v xml:space="preserve"> </v>
      </c>
      <c r="F4217">
        <v>0.25</v>
      </c>
      <c r="G4217" s="37" t="str">
        <f t="shared" si="326"/>
        <v>Normal Discount</v>
      </c>
      <c r="H4217" s="37" t="str">
        <f t="shared" si="327"/>
        <v>Medium</v>
      </c>
      <c r="I4217">
        <v>4</v>
      </c>
      <c r="J4217" t="str" cm="1">
        <f t="array" ref="J4217">_xlfn.IFS(I4217&lt;=3,"small",I4217&lt;=6,"Medium",I4217&lt;=9,"Large")</f>
        <v>Medium</v>
      </c>
      <c r="K4217" s="36">
        <v>45389</v>
      </c>
      <c r="L4217" s="36">
        <v>45391</v>
      </c>
      <c r="M4217" t="s">
        <v>612</v>
      </c>
      <c r="N4217" t="s">
        <v>599</v>
      </c>
      <c r="O4217" s="37" t="str">
        <f t="shared" si="328"/>
        <v>Digital Payment</v>
      </c>
      <c r="P4217">
        <v>103.39</v>
      </c>
      <c r="Q4217" s="37" t="str">
        <f>IF(P4217&gt;500,"High","low")</f>
        <v>low</v>
      </c>
      <c r="R4217" s="37" t="str">
        <f t="shared" si="329"/>
        <v>AVERAGE</v>
      </c>
      <c r="S4217" t="s">
        <v>620</v>
      </c>
    </row>
    <row r="4218" spans="1:19" x14ac:dyDescent="0.2">
      <c r="A4218" t="s">
        <v>4829</v>
      </c>
      <c r="B4218" t="s">
        <v>83</v>
      </c>
      <c r="C4218" t="s">
        <v>617</v>
      </c>
      <c r="D4218">
        <v>4647.46</v>
      </c>
      <c r="E4218" s="37" t="str">
        <f t="shared" si="325"/>
        <v xml:space="preserve"> </v>
      </c>
      <c r="F4218">
        <v>0.13</v>
      </c>
      <c r="G4218" s="37" t="str">
        <f t="shared" si="326"/>
        <v>Normal Discount</v>
      </c>
      <c r="H4218" s="37" t="str">
        <f t="shared" si="327"/>
        <v>Low</v>
      </c>
      <c r="I4218">
        <v>7</v>
      </c>
      <c r="J4218" t="str" cm="1">
        <f t="array" ref="J4218">_xlfn.IFS(I4218&lt;=3,"small",I4218&lt;=6,"Medium",I4218&lt;=9,"Large")</f>
        <v>Large</v>
      </c>
      <c r="K4218" s="36">
        <v>45282</v>
      </c>
      <c r="L4218" s="36">
        <v>45288</v>
      </c>
      <c r="M4218" t="s">
        <v>612</v>
      </c>
      <c r="N4218" t="s">
        <v>608</v>
      </c>
      <c r="O4218" s="37" t="str">
        <f t="shared" si="328"/>
        <v>Cash Payment</v>
      </c>
      <c r="P4218">
        <v>590.96</v>
      </c>
      <c r="Q4218" s="37" t="str">
        <f>IF(P4218&gt;500,"High","low")</f>
        <v>High</v>
      </c>
      <c r="R4218" s="37" t="str">
        <f t="shared" si="329"/>
        <v>Good</v>
      </c>
      <c r="S4218" t="s">
        <v>628</v>
      </c>
    </row>
    <row r="4219" spans="1:19" x14ac:dyDescent="0.2">
      <c r="A4219" t="s">
        <v>4830</v>
      </c>
      <c r="B4219" t="s">
        <v>90</v>
      </c>
      <c r="C4219" t="s">
        <v>602</v>
      </c>
      <c r="D4219">
        <v>956.89</v>
      </c>
      <c r="E4219" s="37" t="str">
        <f t="shared" si="325"/>
        <v xml:space="preserve"> </v>
      </c>
      <c r="F4219">
        <v>0.2</v>
      </c>
      <c r="G4219" s="37" t="str">
        <f t="shared" si="326"/>
        <v>Normal Discount</v>
      </c>
      <c r="H4219" s="37" t="str">
        <f t="shared" si="327"/>
        <v>Medium</v>
      </c>
      <c r="I4219">
        <v>8</v>
      </c>
      <c r="J4219" t="str" cm="1">
        <f t="array" ref="J4219">_xlfn.IFS(I4219&lt;=3,"small",I4219&lt;=6,"Medium",I4219&lt;=9,"Large")</f>
        <v>Large</v>
      </c>
      <c r="K4219" s="36">
        <v>45406</v>
      </c>
      <c r="L4219" s="36">
        <v>45409</v>
      </c>
      <c r="M4219" t="s">
        <v>603</v>
      </c>
      <c r="N4219" t="s">
        <v>608</v>
      </c>
      <c r="O4219" s="37" t="str">
        <f t="shared" si="328"/>
        <v>Cash Payment</v>
      </c>
      <c r="P4219">
        <v>181.14</v>
      </c>
      <c r="Q4219" s="37" t="str">
        <f>IF(P4219&gt;500,"High","low")</f>
        <v>low</v>
      </c>
      <c r="R4219" s="37" t="str">
        <f t="shared" si="329"/>
        <v>AVERAGE</v>
      </c>
      <c r="S4219" t="s">
        <v>620</v>
      </c>
    </row>
    <row r="4220" spans="1:19" x14ac:dyDescent="0.2">
      <c r="A4220" t="s">
        <v>4831</v>
      </c>
      <c r="B4220" t="s">
        <v>67</v>
      </c>
      <c r="C4220" t="s">
        <v>602</v>
      </c>
      <c r="D4220">
        <v>4425.88</v>
      </c>
      <c r="E4220" s="37" t="str">
        <f t="shared" si="325"/>
        <v xml:space="preserve"> </v>
      </c>
      <c r="F4220">
        <v>0.36</v>
      </c>
      <c r="G4220" s="37" t="str">
        <f t="shared" si="326"/>
        <v>Heavy Discount</v>
      </c>
      <c r="H4220" s="37" t="str">
        <f t="shared" si="327"/>
        <v>Medium</v>
      </c>
      <c r="I4220">
        <v>9</v>
      </c>
      <c r="J4220" t="str" cm="1">
        <f t="array" ref="J4220">_xlfn.IFS(I4220&lt;=3,"small",I4220&lt;=6,"Medium",I4220&lt;=9,"Large")</f>
        <v>Large</v>
      </c>
      <c r="K4220" s="36">
        <v>45447</v>
      </c>
      <c r="L4220" s="36">
        <v>45451</v>
      </c>
      <c r="M4220" t="s">
        <v>612</v>
      </c>
      <c r="N4220" t="s">
        <v>604</v>
      </c>
      <c r="O4220" s="37" t="str">
        <f t="shared" si="328"/>
        <v>Digital Payment</v>
      </c>
      <c r="P4220">
        <v>456.6</v>
      </c>
      <c r="Q4220" s="37" t="str">
        <f>IF(P4220&gt;500,"High","low")</f>
        <v>low</v>
      </c>
      <c r="R4220" s="37" t="str">
        <f t="shared" si="329"/>
        <v>AVERAGE</v>
      </c>
      <c r="S4220" t="s">
        <v>628</v>
      </c>
    </row>
    <row r="4221" spans="1:19" x14ac:dyDescent="0.2">
      <c r="A4221" t="s">
        <v>4832</v>
      </c>
      <c r="B4221" t="s">
        <v>83</v>
      </c>
      <c r="C4221" t="s">
        <v>614</v>
      </c>
      <c r="D4221">
        <v>2084.15</v>
      </c>
      <c r="E4221" s="37" t="str">
        <f t="shared" si="325"/>
        <v xml:space="preserve"> </v>
      </c>
      <c r="F4221">
        <v>0.06</v>
      </c>
      <c r="G4221" s="37" t="str">
        <f t="shared" si="326"/>
        <v>Normal Discount</v>
      </c>
      <c r="H4221" s="37" t="str">
        <f t="shared" si="327"/>
        <v>Low</v>
      </c>
      <c r="I4221">
        <v>6</v>
      </c>
      <c r="J4221" t="str" cm="1">
        <f t="array" ref="J4221">_xlfn.IFS(I4221&lt;=3,"small",I4221&lt;=6,"Medium",I4221&lt;=9,"Large")</f>
        <v>Medium</v>
      </c>
      <c r="K4221" s="36">
        <v>45350</v>
      </c>
      <c r="L4221" s="36">
        <v>45356</v>
      </c>
      <c r="M4221" t="s">
        <v>603</v>
      </c>
      <c r="N4221" t="s">
        <v>599</v>
      </c>
      <c r="O4221" s="37" t="str">
        <f t="shared" si="328"/>
        <v>Digital Payment</v>
      </c>
      <c r="P4221">
        <v>577.05999999999995</v>
      </c>
      <c r="Q4221" s="37" t="str">
        <f>IF(P4221&gt;500,"High","low")</f>
        <v>High</v>
      </c>
      <c r="R4221" s="37" t="str">
        <f t="shared" si="329"/>
        <v>Good</v>
      </c>
      <c r="S4221" t="s">
        <v>600</v>
      </c>
    </row>
    <row r="4222" spans="1:19" x14ac:dyDescent="0.2">
      <c r="A4222" t="s">
        <v>4833</v>
      </c>
      <c r="B4222" t="s">
        <v>75</v>
      </c>
      <c r="C4222" t="s">
        <v>617</v>
      </c>
      <c r="D4222">
        <v>1419.45</v>
      </c>
      <c r="E4222" s="37" t="str">
        <f t="shared" si="325"/>
        <v xml:space="preserve"> </v>
      </c>
      <c r="F4222">
        <v>0.48</v>
      </c>
      <c r="G4222" s="37" t="str">
        <f t="shared" si="326"/>
        <v>Heavy Discount</v>
      </c>
      <c r="H4222" s="37" t="str">
        <f t="shared" si="327"/>
        <v>High</v>
      </c>
      <c r="I4222">
        <v>4</v>
      </c>
      <c r="J4222" t="str" cm="1">
        <f t="array" ref="J4222">_xlfn.IFS(I4222&lt;=3,"small",I4222&lt;=6,"Medium",I4222&lt;=9,"Large")</f>
        <v>Medium</v>
      </c>
      <c r="K4222" s="36">
        <v>45310</v>
      </c>
      <c r="L4222" s="36">
        <v>45312</v>
      </c>
      <c r="M4222" t="s">
        <v>603</v>
      </c>
      <c r="N4222" t="s">
        <v>604</v>
      </c>
      <c r="O4222" s="37" t="str">
        <f t="shared" si="328"/>
        <v>Digital Payment</v>
      </c>
      <c r="P4222">
        <v>381.1</v>
      </c>
      <c r="Q4222" s="37" t="str">
        <f>IF(P4222&gt;500,"High","low")</f>
        <v>low</v>
      </c>
      <c r="R4222" s="37" t="str">
        <f t="shared" si="329"/>
        <v>AVERAGE</v>
      </c>
      <c r="S4222" t="s">
        <v>609</v>
      </c>
    </row>
    <row r="4223" spans="1:19" x14ac:dyDescent="0.2">
      <c r="A4223" t="s">
        <v>4834</v>
      </c>
      <c r="B4223" t="s">
        <v>67</v>
      </c>
      <c r="C4223" t="s">
        <v>617</v>
      </c>
      <c r="D4223">
        <v>1072.69</v>
      </c>
      <c r="E4223" s="37" t="str">
        <f t="shared" si="325"/>
        <v xml:space="preserve"> </v>
      </c>
      <c r="F4223">
        <v>0.02</v>
      </c>
      <c r="G4223" s="37" t="str">
        <f t="shared" si="326"/>
        <v>Normal Discount</v>
      </c>
      <c r="H4223" s="37" t="str">
        <f t="shared" si="327"/>
        <v>Low</v>
      </c>
      <c r="I4223">
        <v>2</v>
      </c>
      <c r="J4223" t="str" cm="1">
        <f t="array" ref="J4223">_xlfn.IFS(I4223&lt;=3,"small",I4223&lt;=6,"Medium",I4223&lt;=9,"Large")</f>
        <v>small</v>
      </c>
      <c r="K4223" s="36">
        <v>45140</v>
      </c>
      <c r="L4223" s="36">
        <v>45141</v>
      </c>
      <c r="M4223" t="s">
        <v>612</v>
      </c>
      <c r="N4223" t="s">
        <v>608</v>
      </c>
      <c r="O4223" s="37" t="str">
        <f t="shared" si="328"/>
        <v>Cash Payment</v>
      </c>
      <c r="P4223">
        <v>291.47000000000003</v>
      </c>
      <c r="Q4223" s="37" t="str">
        <f>IF(P4223&gt;500,"High","low")</f>
        <v>low</v>
      </c>
      <c r="R4223" s="37" t="str">
        <f t="shared" si="329"/>
        <v>AVERAGE</v>
      </c>
      <c r="S4223" t="s">
        <v>620</v>
      </c>
    </row>
    <row r="4224" spans="1:19" x14ac:dyDescent="0.2">
      <c r="A4224" t="s">
        <v>4835</v>
      </c>
      <c r="B4224" t="s">
        <v>75</v>
      </c>
      <c r="C4224" t="s">
        <v>602</v>
      </c>
      <c r="D4224">
        <v>2571.2800000000002</v>
      </c>
      <c r="E4224" s="37" t="str">
        <f t="shared" si="325"/>
        <v xml:space="preserve"> </v>
      </c>
      <c r="F4224">
        <v>0.4</v>
      </c>
      <c r="G4224" s="37" t="str">
        <f t="shared" si="326"/>
        <v>Heavy Discount</v>
      </c>
      <c r="H4224" s="37" t="str">
        <f t="shared" si="327"/>
        <v>Medium</v>
      </c>
      <c r="I4224">
        <v>9</v>
      </c>
      <c r="J4224" t="str" cm="1">
        <f t="array" ref="J4224">_xlfn.IFS(I4224&lt;=3,"small",I4224&lt;=6,"Medium",I4224&lt;=9,"Large")</f>
        <v>Large</v>
      </c>
      <c r="K4224" s="36">
        <v>45625</v>
      </c>
      <c r="L4224" s="36">
        <v>45626</v>
      </c>
      <c r="M4224" t="s">
        <v>612</v>
      </c>
      <c r="N4224" t="s">
        <v>608</v>
      </c>
      <c r="O4224" s="37" t="str">
        <f t="shared" si="328"/>
        <v>Cash Payment</v>
      </c>
      <c r="P4224">
        <v>591.58000000000004</v>
      </c>
      <c r="Q4224" s="37" t="str">
        <f>IF(P4224&gt;500,"High","low")</f>
        <v>High</v>
      </c>
      <c r="R4224" s="37" t="str">
        <f t="shared" si="329"/>
        <v>Good</v>
      </c>
      <c r="S4224" t="s">
        <v>600</v>
      </c>
    </row>
    <row r="4225" spans="1:19" x14ac:dyDescent="0.2">
      <c r="A4225" t="s">
        <v>4836</v>
      </c>
      <c r="B4225" t="s">
        <v>90</v>
      </c>
      <c r="C4225" t="s">
        <v>597</v>
      </c>
      <c r="D4225">
        <v>3379.37</v>
      </c>
      <c r="E4225" s="37" t="str">
        <f t="shared" si="325"/>
        <v xml:space="preserve"> </v>
      </c>
      <c r="F4225">
        <v>0.36</v>
      </c>
      <c r="G4225" s="37" t="str">
        <f t="shared" si="326"/>
        <v>Heavy Discount</v>
      </c>
      <c r="H4225" s="37" t="str">
        <f t="shared" si="327"/>
        <v>Medium</v>
      </c>
      <c r="I4225">
        <v>7</v>
      </c>
      <c r="J4225" t="str" cm="1">
        <f t="array" ref="J4225">_xlfn.IFS(I4225&lt;=3,"small",I4225&lt;=6,"Medium",I4225&lt;=9,"Large")</f>
        <v>Large</v>
      </c>
      <c r="K4225" s="36">
        <v>45048</v>
      </c>
      <c r="L4225" s="36">
        <v>45052</v>
      </c>
      <c r="M4225" t="s">
        <v>612</v>
      </c>
      <c r="N4225" t="s">
        <v>604</v>
      </c>
      <c r="O4225" s="37" t="str">
        <f t="shared" si="328"/>
        <v>Digital Payment</v>
      </c>
      <c r="P4225">
        <v>1010.64</v>
      </c>
      <c r="Q4225" s="37" t="str">
        <f>IF(P4225&gt;500,"High","low")</f>
        <v>High</v>
      </c>
      <c r="R4225" s="37" t="str">
        <f t="shared" si="329"/>
        <v>Excellent</v>
      </c>
      <c r="S4225" t="s">
        <v>620</v>
      </c>
    </row>
    <row r="4226" spans="1:19" x14ac:dyDescent="0.2">
      <c r="A4226" t="s">
        <v>4837</v>
      </c>
      <c r="B4226" t="s">
        <v>67</v>
      </c>
      <c r="C4226" t="s">
        <v>614</v>
      </c>
      <c r="D4226">
        <v>4501.28</v>
      </c>
      <c r="E4226" s="37" t="str">
        <f t="shared" si="325"/>
        <v>Excellent Order</v>
      </c>
      <c r="F4226">
        <v>0.14000000000000001</v>
      </c>
      <c r="G4226" s="37" t="str">
        <f t="shared" si="326"/>
        <v>Normal Discount</v>
      </c>
      <c r="H4226" s="37" t="str">
        <f t="shared" si="327"/>
        <v>Low</v>
      </c>
      <c r="I4226">
        <v>6</v>
      </c>
      <c r="J4226" t="str" cm="1">
        <f t="array" ref="J4226">_xlfn.IFS(I4226&lt;=3,"small",I4226&lt;=6,"Medium",I4226&lt;=9,"Large")</f>
        <v>Medium</v>
      </c>
      <c r="K4226" s="36">
        <v>45634</v>
      </c>
      <c r="L4226" s="36">
        <v>45635</v>
      </c>
      <c r="M4226" t="s">
        <v>603</v>
      </c>
      <c r="N4226" t="s">
        <v>604</v>
      </c>
      <c r="O4226" s="37" t="str">
        <f t="shared" si="328"/>
        <v>Digital Payment</v>
      </c>
      <c r="P4226">
        <v>1154.8</v>
      </c>
      <c r="Q4226" s="37" t="str">
        <f>IF(P4226&gt;500,"High","low")</f>
        <v>High</v>
      </c>
      <c r="R4226" s="37" t="str">
        <f t="shared" si="329"/>
        <v>Excellent</v>
      </c>
      <c r="S4226" t="s">
        <v>620</v>
      </c>
    </row>
    <row r="4227" spans="1:19" x14ac:dyDescent="0.2">
      <c r="A4227" t="s">
        <v>4838</v>
      </c>
      <c r="B4227" t="s">
        <v>67</v>
      </c>
      <c r="C4227" t="s">
        <v>617</v>
      </c>
      <c r="D4227">
        <v>3296.99</v>
      </c>
      <c r="E4227" s="37" t="str">
        <f t="shared" ref="E4227:E4290" si="330">IF(AND(D4227&gt;4000,P4227&gt;800),"Excellent Order"," ")</f>
        <v xml:space="preserve"> </v>
      </c>
      <c r="F4227">
        <v>0.06</v>
      </c>
      <c r="G4227" s="37" t="str">
        <f t="shared" ref="G4227:G4290" si="331">IF(F4227&gt;30%,"Heavy Discount","Normal Discount")</f>
        <v>Normal Discount</v>
      </c>
      <c r="H4227" s="37" t="str">
        <f t="shared" ref="H4227:H4290" si="332">IF(F4227&gt;0.4,"High",IF(F4227&gt;=0.2,"Medium","Low"))</f>
        <v>Low</v>
      </c>
      <c r="I4227">
        <v>4</v>
      </c>
      <c r="J4227" t="str" cm="1">
        <f t="array" ref="J4227">_xlfn.IFS(I4227&lt;=3,"small",I4227&lt;=6,"Medium",I4227&lt;=9,"Large")</f>
        <v>Medium</v>
      </c>
      <c r="K4227" s="36">
        <v>45627</v>
      </c>
      <c r="L4227" s="36">
        <v>45632</v>
      </c>
      <c r="M4227" t="s">
        <v>598</v>
      </c>
      <c r="N4227" t="s">
        <v>608</v>
      </c>
      <c r="O4227" s="37" t="str">
        <f t="shared" ref="O4227:O4290" si="333">IF(OR(N4227="Card",N4227="UPI"),"Digital Payment","Cash Payment")</f>
        <v>Cash Payment</v>
      </c>
      <c r="P4227">
        <v>573.66999999999996</v>
      </c>
      <c r="Q4227" s="37" t="str">
        <f>IF(P4227&gt;500,"High","low")</f>
        <v>High</v>
      </c>
      <c r="R4227" s="37" t="str">
        <f t="shared" ref="R4227:R4290" si="334">IF(P4227&gt;1000,"Excellent",IF(P4227&gt;=500,"Good","AVERAGE"))</f>
        <v>Good</v>
      </c>
      <c r="S4227" t="s">
        <v>615</v>
      </c>
    </row>
    <row r="4228" spans="1:19" x14ac:dyDescent="0.2">
      <c r="A4228" t="s">
        <v>4839</v>
      </c>
      <c r="B4228" t="s">
        <v>75</v>
      </c>
      <c r="C4228" t="s">
        <v>607</v>
      </c>
      <c r="D4228">
        <v>2469.9499999999998</v>
      </c>
      <c r="E4228" s="37" t="str">
        <f t="shared" si="330"/>
        <v xml:space="preserve"> </v>
      </c>
      <c r="F4228">
        <v>0.43</v>
      </c>
      <c r="G4228" s="37" t="str">
        <f t="shared" si="331"/>
        <v>Heavy Discount</v>
      </c>
      <c r="H4228" s="37" t="str">
        <f t="shared" si="332"/>
        <v>High</v>
      </c>
      <c r="I4228">
        <v>4</v>
      </c>
      <c r="J4228" t="str" cm="1">
        <f t="array" ref="J4228">_xlfn.IFS(I4228&lt;=3,"small",I4228&lt;=6,"Medium",I4228&lt;=9,"Large")</f>
        <v>Medium</v>
      </c>
      <c r="K4228" s="36">
        <v>45187</v>
      </c>
      <c r="L4228" s="36">
        <v>45193</v>
      </c>
      <c r="M4228" t="s">
        <v>603</v>
      </c>
      <c r="N4228" t="s">
        <v>604</v>
      </c>
      <c r="O4228" s="37" t="str">
        <f t="shared" si="333"/>
        <v>Digital Payment</v>
      </c>
      <c r="P4228">
        <v>579.66999999999996</v>
      </c>
      <c r="Q4228" s="37" t="str">
        <f>IF(P4228&gt;500,"High","low")</f>
        <v>High</v>
      </c>
      <c r="R4228" s="37" t="str">
        <f t="shared" si="334"/>
        <v>Good</v>
      </c>
      <c r="S4228" t="s">
        <v>615</v>
      </c>
    </row>
    <row r="4229" spans="1:19" x14ac:dyDescent="0.2">
      <c r="A4229" t="s">
        <v>4840</v>
      </c>
      <c r="B4229" t="s">
        <v>67</v>
      </c>
      <c r="C4229" t="s">
        <v>607</v>
      </c>
      <c r="D4229">
        <v>264.02999999999997</v>
      </c>
      <c r="E4229" s="37" t="str">
        <f t="shared" si="330"/>
        <v xml:space="preserve"> </v>
      </c>
      <c r="F4229">
        <v>0.34</v>
      </c>
      <c r="G4229" s="37" t="str">
        <f t="shared" si="331"/>
        <v>Heavy Discount</v>
      </c>
      <c r="H4229" s="37" t="str">
        <f t="shared" si="332"/>
        <v>Medium</v>
      </c>
      <c r="I4229">
        <v>2</v>
      </c>
      <c r="J4229" t="str" cm="1">
        <f t="array" ref="J4229">_xlfn.IFS(I4229&lt;=3,"small",I4229&lt;=6,"Medium",I4229&lt;=9,"Large")</f>
        <v>small</v>
      </c>
      <c r="K4229" s="36">
        <v>44933</v>
      </c>
      <c r="L4229" s="36">
        <v>44939</v>
      </c>
      <c r="M4229" t="s">
        <v>598</v>
      </c>
      <c r="N4229" t="s">
        <v>608</v>
      </c>
      <c r="O4229" s="37" t="str">
        <f t="shared" si="333"/>
        <v>Cash Payment</v>
      </c>
      <c r="P4229">
        <v>19.53</v>
      </c>
      <c r="Q4229" s="37" t="str">
        <f>IF(P4229&gt;500,"High","low")</f>
        <v>low</v>
      </c>
      <c r="R4229" s="37" t="str">
        <f t="shared" si="334"/>
        <v>AVERAGE</v>
      </c>
      <c r="S4229" t="s">
        <v>609</v>
      </c>
    </row>
    <row r="4230" spans="1:19" x14ac:dyDescent="0.2">
      <c r="A4230" t="s">
        <v>4841</v>
      </c>
      <c r="B4230" t="s">
        <v>67</v>
      </c>
      <c r="C4230" t="s">
        <v>597</v>
      </c>
      <c r="D4230">
        <v>4585.59</v>
      </c>
      <c r="E4230" s="37" t="str">
        <f t="shared" si="330"/>
        <v>Excellent Order</v>
      </c>
      <c r="F4230">
        <v>0.15</v>
      </c>
      <c r="G4230" s="37" t="str">
        <f t="shared" si="331"/>
        <v>Normal Discount</v>
      </c>
      <c r="H4230" s="37" t="str">
        <f t="shared" si="332"/>
        <v>Low</v>
      </c>
      <c r="I4230">
        <v>1</v>
      </c>
      <c r="J4230" t="str" cm="1">
        <f t="array" ref="J4230">_xlfn.IFS(I4230&lt;=3,"small",I4230&lt;=6,"Medium",I4230&lt;=9,"Large")</f>
        <v>small</v>
      </c>
      <c r="K4230" s="36">
        <v>45385</v>
      </c>
      <c r="L4230" s="36">
        <v>45389</v>
      </c>
      <c r="M4230" t="s">
        <v>598</v>
      </c>
      <c r="N4230" t="s">
        <v>608</v>
      </c>
      <c r="O4230" s="37" t="str">
        <f t="shared" si="333"/>
        <v>Cash Payment</v>
      </c>
      <c r="P4230">
        <v>1281.73</v>
      </c>
      <c r="Q4230" s="37" t="str">
        <f>IF(P4230&gt;500,"High","low")</f>
        <v>High</v>
      </c>
      <c r="R4230" s="37" t="str">
        <f t="shared" si="334"/>
        <v>Excellent</v>
      </c>
      <c r="S4230" t="s">
        <v>609</v>
      </c>
    </row>
    <row r="4231" spans="1:19" x14ac:dyDescent="0.2">
      <c r="A4231" t="s">
        <v>4842</v>
      </c>
      <c r="B4231" t="s">
        <v>67</v>
      </c>
      <c r="C4231" t="s">
        <v>602</v>
      </c>
      <c r="D4231">
        <v>4521.6099999999997</v>
      </c>
      <c r="E4231" s="37" t="str">
        <f t="shared" si="330"/>
        <v>Excellent Order</v>
      </c>
      <c r="F4231">
        <v>0.01</v>
      </c>
      <c r="G4231" s="37" t="str">
        <f t="shared" si="331"/>
        <v>Normal Discount</v>
      </c>
      <c r="H4231" s="37" t="str">
        <f t="shared" si="332"/>
        <v>Low</v>
      </c>
      <c r="I4231">
        <v>5</v>
      </c>
      <c r="J4231" t="str" cm="1">
        <f t="array" ref="J4231">_xlfn.IFS(I4231&lt;=3,"small",I4231&lt;=6,"Medium",I4231&lt;=9,"Large")</f>
        <v>Medium</v>
      </c>
      <c r="K4231" s="36">
        <v>45595</v>
      </c>
      <c r="L4231" s="36">
        <v>45599</v>
      </c>
      <c r="M4231" t="s">
        <v>612</v>
      </c>
      <c r="N4231" t="s">
        <v>599</v>
      </c>
      <c r="O4231" s="37" t="str">
        <f t="shared" si="333"/>
        <v>Digital Payment</v>
      </c>
      <c r="P4231">
        <v>1338.59</v>
      </c>
      <c r="Q4231" s="37" t="str">
        <f>IF(P4231&gt;500,"High","low")</f>
        <v>High</v>
      </c>
      <c r="R4231" s="37" t="str">
        <f t="shared" si="334"/>
        <v>Excellent</v>
      </c>
      <c r="S4231" t="s">
        <v>605</v>
      </c>
    </row>
    <row r="4232" spans="1:19" x14ac:dyDescent="0.2">
      <c r="A4232" t="s">
        <v>4843</v>
      </c>
      <c r="B4232" t="s">
        <v>90</v>
      </c>
      <c r="C4232" t="s">
        <v>602</v>
      </c>
      <c r="D4232">
        <v>1955.71</v>
      </c>
      <c r="E4232" s="37" t="str">
        <f t="shared" si="330"/>
        <v xml:space="preserve"> </v>
      </c>
      <c r="F4232">
        <v>0.47</v>
      </c>
      <c r="G4232" s="37" t="str">
        <f t="shared" si="331"/>
        <v>Heavy Discount</v>
      </c>
      <c r="H4232" s="37" t="str">
        <f t="shared" si="332"/>
        <v>High</v>
      </c>
      <c r="I4232">
        <v>6</v>
      </c>
      <c r="J4232" t="str" cm="1">
        <f t="array" ref="J4232">_xlfn.IFS(I4232&lt;=3,"small",I4232&lt;=6,"Medium",I4232&lt;=9,"Large")</f>
        <v>Medium</v>
      </c>
      <c r="K4232" s="36">
        <v>44954</v>
      </c>
      <c r="L4232" s="36">
        <v>44956</v>
      </c>
      <c r="M4232" t="s">
        <v>603</v>
      </c>
      <c r="N4232" t="s">
        <v>604</v>
      </c>
      <c r="O4232" s="37" t="str">
        <f t="shared" si="333"/>
        <v>Digital Payment</v>
      </c>
      <c r="P4232">
        <v>516.79999999999995</v>
      </c>
      <c r="Q4232" s="37" t="str">
        <f>IF(P4232&gt;500,"High","low")</f>
        <v>High</v>
      </c>
      <c r="R4232" s="37" t="str">
        <f t="shared" si="334"/>
        <v>Good</v>
      </c>
      <c r="S4232" t="s">
        <v>600</v>
      </c>
    </row>
    <row r="4233" spans="1:19" x14ac:dyDescent="0.2">
      <c r="A4233" t="s">
        <v>4844</v>
      </c>
      <c r="B4233" t="s">
        <v>75</v>
      </c>
      <c r="C4233" t="s">
        <v>602</v>
      </c>
      <c r="D4233">
        <v>242.27</v>
      </c>
      <c r="E4233" s="37" t="str">
        <f t="shared" si="330"/>
        <v xml:space="preserve"> </v>
      </c>
      <c r="F4233">
        <v>0.2</v>
      </c>
      <c r="G4233" s="37" t="str">
        <f t="shared" si="331"/>
        <v>Normal Discount</v>
      </c>
      <c r="H4233" s="37" t="str">
        <f t="shared" si="332"/>
        <v>Medium</v>
      </c>
      <c r="I4233">
        <v>9</v>
      </c>
      <c r="J4233" t="str" cm="1">
        <f t="array" ref="J4233">_xlfn.IFS(I4233&lt;=3,"small",I4233&lt;=6,"Medium",I4233&lt;=9,"Large")</f>
        <v>Large</v>
      </c>
      <c r="K4233" s="36">
        <v>45348</v>
      </c>
      <c r="L4233" s="36">
        <v>45354</v>
      </c>
      <c r="M4233" t="s">
        <v>603</v>
      </c>
      <c r="N4233" t="s">
        <v>599</v>
      </c>
      <c r="O4233" s="37" t="str">
        <f t="shared" si="333"/>
        <v>Digital Payment</v>
      </c>
      <c r="P4233">
        <v>14.27</v>
      </c>
      <c r="Q4233" s="37" t="str">
        <f>IF(P4233&gt;500,"High","low")</f>
        <v>low</v>
      </c>
      <c r="R4233" s="37" t="str">
        <f t="shared" si="334"/>
        <v>AVERAGE</v>
      </c>
      <c r="S4233" t="s">
        <v>600</v>
      </c>
    </row>
    <row r="4234" spans="1:19" x14ac:dyDescent="0.2">
      <c r="A4234" t="s">
        <v>4845</v>
      </c>
      <c r="B4234" t="s">
        <v>67</v>
      </c>
      <c r="C4234" t="s">
        <v>607</v>
      </c>
      <c r="D4234">
        <v>3693.51</v>
      </c>
      <c r="E4234" s="37" t="str">
        <f t="shared" si="330"/>
        <v xml:space="preserve"> </v>
      </c>
      <c r="F4234">
        <v>0.09</v>
      </c>
      <c r="G4234" s="37" t="str">
        <f t="shared" si="331"/>
        <v>Normal Discount</v>
      </c>
      <c r="H4234" s="37" t="str">
        <f t="shared" si="332"/>
        <v>Low</v>
      </c>
      <c r="I4234">
        <v>1</v>
      </c>
      <c r="J4234" t="str" cm="1">
        <f t="array" ref="J4234">_xlfn.IFS(I4234&lt;=3,"small",I4234&lt;=6,"Medium",I4234&lt;=9,"Large")</f>
        <v>small</v>
      </c>
      <c r="K4234" s="36">
        <v>45649</v>
      </c>
      <c r="L4234" s="36">
        <v>45654</v>
      </c>
      <c r="M4234" t="s">
        <v>603</v>
      </c>
      <c r="N4234" t="s">
        <v>608</v>
      </c>
      <c r="O4234" s="37" t="str">
        <f t="shared" si="333"/>
        <v>Cash Payment</v>
      </c>
      <c r="P4234">
        <v>337.22</v>
      </c>
      <c r="Q4234" s="37" t="str">
        <f>IF(P4234&gt;500,"High","low")</f>
        <v>low</v>
      </c>
      <c r="R4234" s="37" t="str">
        <f t="shared" si="334"/>
        <v>AVERAGE</v>
      </c>
      <c r="S4234" t="s">
        <v>615</v>
      </c>
    </row>
    <row r="4235" spans="1:19" x14ac:dyDescent="0.2">
      <c r="A4235" t="s">
        <v>4846</v>
      </c>
      <c r="B4235" t="s">
        <v>83</v>
      </c>
      <c r="C4235" t="s">
        <v>602</v>
      </c>
      <c r="D4235">
        <v>3979.24</v>
      </c>
      <c r="E4235" s="37" t="str">
        <f t="shared" si="330"/>
        <v xml:space="preserve"> </v>
      </c>
      <c r="F4235">
        <v>0.46</v>
      </c>
      <c r="G4235" s="37" t="str">
        <f t="shared" si="331"/>
        <v>Heavy Discount</v>
      </c>
      <c r="H4235" s="37" t="str">
        <f t="shared" si="332"/>
        <v>High</v>
      </c>
      <c r="I4235">
        <v>5</v>
      </c>
      <c r="J4235" t="str" cm="1">
        <f t="array" ref="J4235">_xlfn.IFS(I4235&lt;=3,"small",I4235&lt;=6,"Medium",I4235&lt;=9,"Large")</f>
        <v>Medium</v>
      </c>
      <c r="K4235" s="36">
        <v>45487</v>
      </c>
      <c r="L4235" s="36">
        <v>45494</v>
      </c>
      <c r="M4235" t="s">
        <v>603</v>
      </c>
      <c r="N4235" t="s">
        <v>599</v>
      </c>
      <c r="O4235" s="37" t="str">
        <f t="shared" si="333"/>
        <v>Digital Payment</v>
      </c>
      <c r="P4235">
        <v>303.92</v>
      </c>
      <c r="Q4235" s="37" t="str">
        <f>IF(P4235&gt;500,"High","low")</f>
        <v>low</v>
      </c>
      <c r="R4235" s="37" t="str">
        <f t="shared" si="334"/>
        <v>AVERAGE</v>
      </c>
      <c r="S4235" t="s">
        <v>628</v>
      </c>
    </row>
    <row r="4236" spans="1:19" x14ac:dyDescent="0.2">
      <c r="A4236" t="s">
        <v>4847</v>
      </c>
      <c r="B4236" t="s">
        <v>83</v>
      </c>
      <c r="C4236" t="s">
        <v>607</v>
      </c>
      <c r="D4236">
        <v>2758.08</v>
      </c>
      <c r="E4236" s="37" t="str">
        <f t="shared" si="330"/>
        <v xml:space="preserve"> </v>
      </c>
      <c r="F4236">
        <v>0.18</v>
      </c>
      <c r="G4236" s="37" t="str">
        <f t="shared" si="331"/>
        <v>Normal Discount</v>
      </c>
      <c r="H4236" s="37" t="str">
        <f t="shared" si="332"/>
        <v>Low</v>
      </c>
      <c r="I4236">
        <v>5</v>
      </c>
      <c r="J4236" t="str" cm="1">
        <f t="array" ref="J4236">_xlfn.IFS(I4236&lt;=3,"small",I4236&lt;=6,"Medium",I4236&lt;=9,"Large")</f>
        <v>Medium</v>
      </c>
      <c r="K4236" s="36">
        <v>45418</v>
      </c>
      <c r="L4236" s="36">
        <v>45424</v>
      </c>
      <c r="M4236" t="s">
        <v>598</v>
      </c>
      <c r="N4236" t="s">
        <v>599</v>
      </c>
      <c r="O4236" s="37" t="str">
        <f t="shared" si="333"/>
        <v>Digital Payment</v>
      </c>
      <c r="P4236">
        <v>431.4</v>
      </c>
      <c r="Q4236" s="37" t="str">
        <f>IF(P4236&gt;500,"High","low")</f>
        <v>low</v>
      </c>
      <c r="R4236" s="37" t="str">
        <f t="shared" si="334"/>
        <v>AVERAGE</v>
      </c>
      <c r="S4236" t="s">
        <v>628</v>
      </c>
    </row>
    <row r="4237" spans="1:19" x14ac:dyDescent="0.2">
      <c r="A4237" t="s">
        <v>4848</v>
      </c>
      <c r="B4237" t="s">
        <v>83</v>
      </c>
      <c r="C4237" t="s">
        <v>597</v>
      </c>
      <c r="D4237">
        <v>2074.09</v>
      </c>
      <c r="E4237" s="37" t="str">
        <f t="shared" si="330"/>
        <v xml:space="preserve"> </v>
      </c>
      <c r="F4237">
        <v>0.23</v>
      </c>
      <c r="G4237" s="37" t="str">
        <f t="shared" si="331"/>
        <v>Normal Discount</v>
      </c>
      <c r="H4237" s="37" t="str">
        <f t="shared" si="332"/>
        <v>Medium</v>
      </c>
      <c r="I4237">
        <v>9</v>
      </c>
      <c r="J4237" t="str" cm="1">
        <f t="array" ref="J4237">_xlfn.IFS(I4237&lt;=3,"small",I4237&lt;=6,"Medium",I4237&lt;=9,"Large")</f>
        <v>Large</v>
      </c>
      <c r="K4237" s="36">
        <v>45611</v>
      </c>
      <c r="L4237" s="36">
        <v>45615</v>
      </c>
      <c r="M4237" t="s">
        <v>612</v>
      </c>
      <c r="N4237" t="s">
        <v>608</v>
      </c>
      <c r="O4237" s="37" t="str">
        <f t="shared" si="333"/>
        <v>Cash Payment</v>
      </c>
      <c r="P4237">
        <v>123.47</v>
      </c>
      <c r="Q4237" s="37" t="str">
        <f>IF(P4237&gt;500,"High","low")</f>
        <v>low</v>
      </c>
      <c r="R4237" s="37" t="str">
        <f t="shared" si="334"/>
        <v>AVERAGE</v>
      </c>
      <c r="S4237" t="s">
        <v>628</v>
      </c>
    </row>
    <row r="4238" spans="1:19" x14ac:dyDescent="0.2">
      <c r="A4238" t="s">
        <v>4849</v>
      </c>
      <c r="B4238" t="s">
        <v>83</v>
      </c>
      <c r="C4238" t="s">
        <v>614</v>
      </c>
      <c r="D4238">
        <v>4270.55</v>
      </c>
      <c r="E4238" s="37" t="str">
        <f t="shared" si="330"/>
        <v>Excellent Order</v>
      </c>
      <c r="F4238">
        <v>0.35</v>
      </c>
      <c r="G4238" s="37" t="str">
        <f t="shared" si="331"/>
        <v>Heavy Discount</v>
      </c>
      <c r="H4238" s="37" t="str">
        <f t="shared" si="332"/>
        <v>Medium</v>
      </c>
      <c r="I4238">
        <v>4</v>
      </c>
      <c r="J4238" t="str" cm="1">
        <f t="array" ref="J4238">_xlfn.IFS(I4238&lt;=3,"small",I4238&lt;=6,"Medium",I4238&lt;=9,"Large")</f>
        <v>Medium</v>
      </c>
      <c r="K4238" s="36">
        <v>45284</v>
      </c>
      <c r="L4238" s="36">
        <v>45290</v>
      </c>
      <c r="M4238" t="s">
        <v>598</v>
      </c>
      <c r="N4238" t="s">
        <v>608</v>
      </c>
      <c r="O4238" s="37" t="str">
        <f t="shared" si="333"/>
        <v>Cash Payment</v>
      </c>
      <c r="P4238">
        <v>1220.68</v>
      </c>
      <c r="Q4238" s="37" t="str">
        <f>IF(P4238&gt;500,"High","low")</f>
        <v>High</v>
      </c>
      <c r="R4238" s="37" t="str">
        <f t="shared" si="334"/>
        <v>Excellent</v>
      </c>
      <c r="S4238" t="s">
        <v>615</v>
      </c>
    </row>
    <row r="4239" spans="1:19" x14ac:dyDescent="0.2">
      <c r="A4239" t="s">
        <v>4850</v>
      </c>
      <c r="B4239" t="s">
        <v>90</v>
      </c>
      <c r="C4239" t="s">
        <v>617</v>
      </c>
      <c r="D4239">
        <v>1043.33</v>
      </c>
      <c r="E4239" s="37" t="str">
        <f t="shared" si="330"/>
        <v xml:space="preserve"> </v>
      </c>
      <c r="F4239">
        <v>0.41</v>
      </c>
      <c r="G4239" s="37" t="str">
        <f t="shared" si="331"/>
        <v>Heavy Discount</v>
      </c>
      <c r="H4239" s="37" t="str">
        <f t="shared" si="332"/>
        <v>High</v>
      </c>
      <c r="I4239">
        <v>3</v>
      </c>
      <c r="J4239" t="str" cm="1">
        <f t="array" ref="J4239">_xlfn.IFS(I4239&lt;=3,"small",I4239&lt;=6,"Medium",I4239&lt;=9,"Large")</f>
        <v>small</v>
      </c>
      <c r="K4239" s="36">
        <v>45649</v>
      </c>
      <c r="L4239" s="36">
        <v>45656</v>
      </c>
      <c r="M4239" t="s">
        <v>598</v>
      </c>
      <c r="N4239" t="s">
        <v>599</v>
      </c>
      <c r="O4239" s="37" t="str">
        <f t="shared" si="333"/>
        <v>Digital Payment</v>
      </c>
      <c r="P4239">
        <v>204.77</v>
      </c>
      <c r="Q4239" s="37" t="str">
        <f>IF(P4239&gt;500,"High","low")</f>
        <v>low</v>
      </c>
      <c r="R4239" s="37" t="str">
        <f t="shared" si="334"/>
        <v>AVERAGE</v>
      </c>
      <c r="S4239" t="s">
        <v>609</v>
      </c>
    </row>
    <row r="4240" spans="1:19" x14ac:dyDescent="0.2">
      <c r="A4240" t="s">
        <v>4851</v>
      </c>
      <c r="B4240" t="s">
        <v>67</v>
      </c>
      <c r="C4240" t="s">
        <v>597</v>
      </c>
      <c r="D4240">
        <v>2253.84</v>
      </c>
      <c r="E4240" s="37" t="str">
        <f t="shared" si="330"/>
        <v xml:space="preserve"> </v>
      </c>
      <c r="F4240">
        <v>0.05</v>
      </c>
      <c r="G4240" s="37" t="str">
        <f t="shared" si="331"/>
        <v>Normal Discount</v>
      </c>
      <c r="H4240" s="37" t="str">
        <f t="shared" si="332"/>
        <v>Low</v>
      </c>
      <c r="I4240">
        <v>3</v>
      </c>
      <c r="J4240" t="str" cm="1">
        <f t="array" ref="J4240">_xlfn.IFS(I4240&lt;=3,"small",I4240&lt;=6,"Medium",I4240&lt;=9,"Large")</f>
        <v>small</v>
      </c>
      <c r="K4240" s="36">
        <v>45407</v>
      </c>
      <c r="L4240" s="36">
        <v>45410</v>
      </c>
      <c r="M4240" t="s">
        <v>598</v>
      </c>
      <c r="N4240" t="s">
        <v>599</v>
      </c>
      <c r="O4240" s="37" t="str">
        <f t="shared" si="333"/>
        <v>Digital Payment</v>
      </c>
      <c r="P4240">
        <v>432.47</v>
      </c>
      <c r="Q4240" s="37" t="str">
        <f>IF(P4240&gt;500,"High","low")</f>
        <v>low</v>
      </c>
      <c r="R4240" s="37" t="str">
        <f t="shared" si="334"/>
        <v>AVERAGE</v>
      </c>
      <c r="S4240" t="s">
        <v>628</v>
      </c>
    </row>
    <row r="4241" spans="1:19" x14ac:dyDescent="0.2">
      <c r="A4241" t="s">
        <v>4852</v>
      </c>
      <c r="B4241" t="s">
        <v>75</v>
      </c>
      <c r="C4241" t="s">
        <v>607</v>
      </c>
      <c r="D4241">
        <v>219.98</v>
      </c>
      <c r="E4241" s="37" t="str">
        <f t="shared" si="330"/>
        <v xml:space="preserve"> </v>
      </c>
      <c r="F4241">
        <v>0.45</v>
      </c>
      <c r="G4241" s="37" t="str">
        <f t="shared" si="331"/>
        <v>Heavy Discount</v>
      </c>
      <c r="H4241" s="37" t="str">
        <f t="shared" si="332"/>
        <v>High</v>
      </c>
      <c r="I4241">
        <v>6</v>
      </c>
      <c r="J4241" t="str" cm="1">
        <f t="array" ref="J4241">_xlfn.IFS(I4241&lt;=3,"small",I4241&lt;=6,"Medium",I4241&lt;=9,"Large")</f>
        <v>Medium</v>
      </c>
      <c r="K4241" s="36">
        <v>45227</v>
      </c>
      <c r="L4241" s="36">
        <v>45231</v>
      </c>
      <c r="M4241" t="s">
        <v>603</v>
      </c>
      <c r="N4241" t="s">
        <v>604</v>
      </c>
      <c r="O4241" s="37" t="str">
        <f t="shared" si="333"/>
        <v>Digital Payment</v>
      </c>
      <c r="P4241">
        <v>35.53</v>
      </c>
      <c r="Q4241" s="37" t="str">
        <f>IF(P4241&gt;500,"High","low")</f>
        <v>low</v>
      </c>
      <c r="R4241" s="37" t="str">
        <f t="shared" si="334"/>
        <v>AVERAGE</v>
      </c>
      <c r="S4241" t="s">
        <v>628</v>
      </c>
    </row>
    <row r="4242" spans="1:19" x14ac:dyDescent="0.2">
      <c r="A4242" t="s">
        <v>4853</v>
      </c>
      <c r="B4242" t="s">
        <v>67</v>
      </c>
      <c r="C4242" t="s">
        <v>597</v>
      </c>
      <c r="D4242">
        <v>903.65</v>
      </c>
      <c r="E4242" s="37" t="str">
        <f t="shared" si="330"/>
        <v xml:space="preserve"> </v>
      </c>
      <c r="F4242">
        <v>0.47</v>
      </c>
      <c r="G4242" s="37" t="str">
        <f t="shared" si="331"/>
        <v>Heavy Discount</v>
      </c>
      <c r="H4242" s="37" t="str">
        <f t="shared" si="332"/>
        <v>High</v>
      </c>
      <c r="I4242">
        <v>1</v>
      </c>
      <c r="J4242" t="str" cm="1">
        <f t="array" ref="J4242">_xlfn.IFS(I4242&lt;=3,"small",I4242&lt;=6,"Medium",I4242&lt;=9,"Large")</f>
        <v>small</v>
      </c>
      <c r="K4242" s="36">
        <v>45315</v>
      </c>
      <c r="L4242" s="36">
        <v>45322</v>
      </c>
      <c r="M4242" t="s">
        <v>598</v>
      </c>
      <c r="N4242" t="s">
        <v>599</v>
      </c>
      <c r="O4242" s="37" t="str">
        <f t="shared" si="333"/>
        <v>Digital Payment</v>
      </c>
      <c r="P4242">
        <v>121.51</v>
      </c>
      <c r="Q4242" s="37" t="str">
        <f>IF(P4242&gt;500,"High","low")</f>
        <v>low</v>
      </c>
      <c r="R4242" s="37" t="str">
        <f t="shared" si="334"/>
        <v>AVERAGE</v>
      </c>
      <c r="S4242" t="s">
        <v>609</v>
      </c>
    </row>
    <row r="4243" spans="1:19" x14ac:dyDescent="0.2">
      <c r="A4243" t="s">
        <v>4854</v>
      </c>
      <c r="B4243" t="s">
        <v>90</v>
      </c>
      <c r="C4243" t="s">
        <v>617</v>
      </c>
      <c r="D4243">
        <v>4710.07</v>
      </c>
      <c r="E4243" s="37" t="str">
        <f t="shared" si="330"/>
        <v>Excellent Order</v>
      </c>
      <c r="F4243">
        <v>0.13</v>
      </c>
      <c r="G4243" s="37" t="str">
        <f t="shared" si="331"/>
        <v>Normal Discount</v>
      </c>
      <c r="H4243" s="37" t="str">
        <f t="shared" si="332"/>
        <v>Low</v>
      </c>
      <c r="I4243">
        <v>1</v>
      </c>
      <c r="J4243" t="str" cm="1">
        <f t="array" ref="J4243">_xlfn.IFS(I4243&lt;=3,"small",I4243&lt;=6,"Medium",I4243&lt;=9,"Large")</f>
        <v>small</v>
      </c>
      <c r="K4243" s="36">
        <v>44991</v>
      </c>
      <c r="L4243" s="36">
        <v>44996</v>
      </c>
      <c r="M4243" t="s">
        <v>603</v>
      </c>
      <c r="N4243" t="s">
        <v>604</v>
      </c>
      <c r="O4243" s="37" t="str">
        <f t="shared" si="333"/>
        <v>Digital Payment</v>
      </c>
      <c r="P4243">
        <v>805.76</v>
      </c>
      <c r="Q4243" s="37" t="str">
        <f>IF(P4243&gt;500,"High","low")</f>
        <v>High</v>
      </c>
      <c r="R4243" s="37" t="str">
        <f t="shared" si="334"/>
        <v>Good</v>
      </c>
      <c r="S4243" t="s">
        <v>605</v>
      </c>
    </row>
    <row r="4244" spans="1:19" x14ac:dyDescent="0.2">
      <c r="A4244" t="s">
        <v>4855</v>
      </c>
      <c r="B4244" t="s">
        <v>83</v>
      </c>
      <c r="C4244" t="s">
        <v>614</v>
      </c>
      <c r="D4244">
        <v>2932.61</v>
      </c>
      <c r="E4244" s="37" t="str">
        <f t="shared" si="330"/>
        <v xml:space="preserve"> </v>
      </c>
      <c r="F4244">
        <v>0.25</v>
      </c>
      <c r="G4244" s="37" t="str">
        <f t="shared" si="331"/>
        <v>Normal Discount</v>
      </c>
      <c r="H4244" s="37" t="str">
        <f t="shared" si="332"/>
        <v>Medium</v>
      </c>
      <c r="I4244">
        <v>1</v>
      </c>
      <c r="J4244" t="str" cm="1">
        <f t="array" ref="J4244">_xlfn.IFS(I4244&lt;=3,"small",I4244&lt;=6,"Medium",I4244&lt;=9,"Large")</f>
        <v>small</v>
      </c>
      <c r="K4244" s="36">
        <v>45089</v>
      </c>
      <c r="L4244" s="36">
        <v>45095</v>
      </c>
      <c r="M4244" t="s">
        <v>603</v>
      </c>
      <c r="N4244" t="s">
        <v>599</v>
      </c>
      <c r="O4244" s="37" t="str">
        <f t="shared" si="333"/>
        <v>Digital Payment</v>
      </c>
      <c r="P4244">
        <v>526.05999999999995</v>
      </c>
      <c r="Q4244" s="37" t="str">
        <f>IF(P4244&gt;500,"High","low")</f>
        <v>High</v>
      </c>
      <c r="R4244" s="37" t="str">
        <f t="shared" si="334"/>
        <v>Good</v>
      </c>
      <c r="S4244" t="s">
        <v>600</v>
      </c>
    </row>
    <row r="4245" spans="1:19" x14ac:dyDescent="0.2">
      <c r="A4245" t="s">
        <v>4856</v>
      </c>
      <c r="B4245" t="s">
        <v>90</v>
      </c>
      <c r="C4245" t="s">
        <v>617</v>
      </c>
      <c r="D4245">
        <v>4047.4</v>
      </c>
      <c r="E4245" s="37" t="str">
        <f t="shared" si="330"/>
        <v>Excellent Order</v>
      </c>
      <c r="F4245">
        <v>0.43</v>
      </c>
      <c r="G4245" s="37" t="str">
        <f t="shared" si="331"/>
        <v>Heavy Discount</v>
      </c>
      <c r="H4245" s="37" t="str">
        <f t="shared" si="332"/>
        <v>High</v>
      </c>
      <c r="I4245">
        <v>7</v>
      </c>
      <c r="J4245" t="str" cm="1">
        <f t="array" ref="J4245">_xlfn.IFS(I4245&lt;=3,"small",I4245&lt;=6,"Medium",I4245&lt;=9,"Large")</f>
        <v>Large</v>
      </c>
      <c r="K4245" s="36">
        <v>45037</v>
      </c>
      <c r="L4245" s="36">
        <v>45041</v>
      </c>
      <c r="M4245" t="s">
        <v>603</v>
      </c>
      <c r="N4245" t="s">
        <v>604</v>
      </c>
      <c r="O4245" s="37" t="str">
        <f t="shared" si="333"/>
        <v>Digital Payment</v>
      </c>
      <c r="P4245">
        <v>906.39</v>
      </c>
      <c r="Q4245" s="37" t="str">
        <f>IF(P4245&gt;500,"High","low")</f>
        <v>High</v>
      </c>
      <c r="R4245" s="37" t="str">
        <f t="shared" si="334"/>
        <v>Good</v>
      </c>
      <c r="S4245" t="s">
        <v>620</v>
      </c>
    </row>
    <row r="4246" spans="1:19" x14ac:dyDescent="0.2">
      <c r="A4246" t="s">
        <v>4857</v>
      </c>
      <c r="B4246" t="s">
        <v>67</v>
      </c>
      <c r="C4246" t="s">
        <v>607</v>
      </c>
      <c r="D4246">
        <v>2483.85</v>
      </c>
      <c r="E4246" s="37" t="str">
        <f t="shared" si="330"/>
        <v xml:space="preserve"> </v>
      </c>
      <c r="F4246">
        <v>0.24</v>
      </c>
      <c r="G4246" s="37" t="str">
        <f t="shared" si="331"/>
        <v>Normal Discount</v>
      </c>
      <c r="H4246" s="37" t="str">
        <f t="shared" si="332"/>
        <v>Medium</v>
      </c>
      <c r="I4246">
        <v>5</v>
      </c>
      <c r="J4246" t="str" cm="1">
        <f t="array" ref="J4246">_xlfn.IFS(I4246&lt;=3,"small",I4246&lt;=6,"Medium",I4246&lt;=9,"Large")</f>
        <v>Medium</v>
      </c>
      <c r="K4246" s="36">
        <v>45597</v>
      </c>
      <c r="L4246" s="36">
        <v>45598</v>
      </c>
      <c r="M4246" t="s">
        <v>603</v>
      </c>
      <c r="N4246" t="s">
        <v>599</v>
      </c>
      <c r="O4246" s="37" t="str">
        <f t="shared" si="333"/>
        <v>Digital Payment</v>
      </c>
      <c r="P4246">
        <v>226.81</v>
      </c>
      <c r="Q4246" s="37" t="str">
        <f>IF(P4246&gt;500,"High","low")</f>
        <v>low</v>
      </c>
      <c r="R4246" s="37" t="str">
        <f t="shared" si="334"/>
        <v>AVERAGE</v>
      </c>
      <c r="S4246" t="s">
        <v>620</v>
      </c>
    </row>
    <row r="4247" spans="1:19" x14ac:dyDescent="0.2">
      <c r="A4247" t="s">
        <v>4858</v>
      </c>
      <c r="B4247" t="s">
        <v>75</v>
      </c>
      <c r="C4247" t="s">
        <v>617</v>
      </c>
      <c r="D4247">
        <v>4190.6499999999996</v>
      </c>
      <c r="E4247" s="37" t="str">
        <f t="shared" si="330"/>
        <v>Excellent Order</v>
      </c>
      <c r="F4247">
        <v>0.24</v>
      </c>
      <c r="G4247" s="37" t="str">
        <f t="shared" si="331"/>
        <v>Normal Discount</v>
      </c>
      <c r="H4247" s="37" t="str">
        <f t="shared" si="332"/>
        <v>Medium</v>
      </c>
      <c r="I4247">
        <v>9</v>
      </c>
      <c r="J4247" t="str" cm="1">
        <f t="array" ref="J4247">_xlfn.IFS(I4247&lt;=3,"small",I4247&lt;=6,"Medium",I4247&lt;=9,"Large")</f>
        <v>Large</v>
      </c>
      <c r="K4247" s="36">
        <v>45172</v>
      </c>
      <c r="L4247" s="36">
        <v>45177</v>
      </c>
      <c r="M4247" t="s">
        <v>598</v>
      </c>
      <c r="N4247" t="s">
        <v>608</v>
      </c>
      <c r="O4247" s="37" t="str">
        <f t="shared" si="333"/>
        <v>Cash Payment</v>
      </c>
      <c r="P4247">
        <v>812.18</v>
      </c>
      <c r="Q4247" s="37" t="str">
        <f>IF(P4247&gt;500,"High","low")</f>
        <v>High</v>
      </c>
      <c r="R4247" s="37" t="str">
        <f t="shared" si="334"/>
        <v>Good</v>
      </c>
      <c r="S4247" t="s">
        <v>609</v>
      </c>
    </row>
    <row r="4248" spans="1:19" x14ac:dyDescent="0.2">
      <c r="A4248" t="s">
        <v>4859</v>
      </c>
      <c r="B4248" t="s">
        <v>90</v>
      </c>
      <c r="C4248" t="s">
        <v>597</v>
      </c>
      <c r="D4248">
        <v>2740.86</v>
      </c>
      <c r="E4248" s="37" t="str">
        <f t="shared" si="330"/>
        <v xml:space="preserve"> </v>
      </c>
      <c r="F4248">
        <v>0.31</v>
      </c>
      <c r="G4248" s="37" t="str">
        <f t="shared" si="331"/>
        <v>Heavy Discount</v>
      </c>
      <c r="H4248" s="37" t="str">
        <f t="shared" si="332"/>
        <v>Medium</v>
      </c>
      <c r="I4248">
        <v>3</v>
      </c>
      <c r="J4248" t="str" cm="1">
        <f t="array" ref="J4248">_xlfn.IFS(I4248&lt;=3,"small",I4248&lt;=6,"Medium",I4248&lt;=9,"Large")</f>
        <v>small</v>
      </c>
      <c r="K4248" s="36">
        <v>45350</v>
      </c>
      <c r="L4248" s="36">
        <v>45353</v>
      </c>
      <c r="M4248" t="s">
        <v>598</v>
      </c>
      <c r="N4248" t="s">
        <v>608</v>
      </c>
      <c r="O4248" s="37" t="str">
        <f t="shared" si="333"/>
        <v>Cash Payment</v>
      </c>
      <c r="P4248">
        <v>533.87</v>
      </c>
      <c r="Q4248" s="37" t="str">
        <f>IF(P4248&gt;500,"High","low")</f>
        <v>High</v>
      </c>
      <c r="R4248" s="37" t="str">
        <f t="shared" si="334"/>
        <v>Good</v>
      </c>
      <c r="S4248" t="s">
        <v>600</v>
      </c>
    </row>
    <row r="4249" spans="1:19" x14ac:dyDescent="0.2">
      <c r="A4249" t="s">
        <v>4860</v>
      </c>
      <c r="B4249" t="s">
        <v>75</v>
      </c>
      <c r="C4249" t="s">
        <v>602</v>
      </c>
      <c r="D4249">
        <v>122.23</v>
      </c>
      <c r="E4249" s="37" t="str">
        <f t="shared" si="330"/>
        <v xml:space="preserve"> </v>
      </c>
      <c r="F4249">
        <v>0.38</v>
      </c>
      <c r="G4249" s="37" t="str">
        <f t="shared" si="331"/>
        <v>Heavy Discount</v>
      </c>
      <c r="H4249" s="37" t="str">
        <f t="shared" si="332"/>
        <v>Medium</v>
      </c>
      <c r="I4249">
        <v>6</v>
      </c>
      <c r="J4249" t="str" cm="1">
        <f t="array" ref="J4249">_xlfn.IFS(I4249&lt;=3,"small",I4249&lt;=6,"Medium",I4249&lt;=9,"Large")</f>
        <v>Medium</v>
      </c>
      <c r="K4249" s="36">
        <v>45537</v>
      </c>
      <c r="L4249" s="36">
        <v>45544</v>
      </c>
      <c r="M4249" t="s">
        <v>603</v>
      </c>
      <c r="N4249" t="s">
        <v>599</v>
      </c>
      <c r="O4249" s="37" t="str">
        <f t="shared" si="333"/>
        <v>Digital Payment</v>
      </c>
      <c r="P4249">
        <v>17.329999999999998</v>
      </c>
      <c r="Q4249" s="37" t="str">
        <f>IF(P4249&gt;500,"High","low")</f>
        <v>low</v>
      </c>
      <c r="R4249" s="37" t="str">
        <f t="shared" si="334"/>
        <v>AVERAGE</v>
      </c>
      <c r="S4249" t="s">
        <v>605</v>
      </c>
    </row>
    <row r="4250" spans="1:19" x14ac:dyDescent="0.2">
      <c r="A4250" t="s">
        <v>4861</v>
      </c>
      <c r="B4250" t="s">
        <v>90</v>
      </c>
      <c r="C4250" t="s">
        <v>597</v>
      </c>
      <c r="D4250">
        <v>4508.53</v>
      </c>
      <c r="E4250" s="37" t="str">
        <f t="shared" si="330"/>
        <v>Excellent Order</v>
      </c>
      <c r="F4250">
        <v>0.33</v>
      </c>
      <c r="G4250" s="37" t="str">
        <f t="shared" si="331"/>
        <v>Heavy Discount</v>
      </c>
      <c r="H4250" s="37" t="str">
        <f t="shared" si="332"/>
        <v>Medium</v>
      </c>
      <c r="I4250">
        <v>7</v>
      </c>
      <c r="J4250" t="str" cm="1">
        <f t="array" ref="J4250">_xlfn.IFS(I4250&lt;=3,"small",I4250&lt;=6,"Medium",I4250&lt;=9,"Large")</f>
        <v>Large</v>
      </c>
      <c r="K4250" s="36">
        <v>45350</v>
      </c>
      <c r="L4250" s="36">
        <v>45355</v>
      </c>
      <c r="M4250" t="s">
        <v>612</v>
      </c>
      <c r="N4250" t="s">
        <v>599</v>
      </c>
      <c r="O4250" s="37" t="str">
        <f t="shared" si="333"/>
        <v>Digital Payment</v>
      </c>
      <c r="P4250">
        <v>1312.31</v>
      </c>
      <c r="Q4250" s="37" t="str">
        <f>IF(P4250&gt;500,"High","low")</f>
        <v>High</v>
      </c>
      <c r="R4250" s="37" t="str">
        <f t="shared" si="334"/>
        <v>Excellent</v>
      </c>
      <c r="S4250" t="s">
        <v>609</v>
      </c>
    </row>
    <row r="4251" spans="1:19" x14ac:dyDescent="0.2">
      <c r="A4251" t="s">
        <v>4862</v>
      </c>
      <c r="B4251" t="s">
        <v>75</v>
      </c>
      <c r="C4251" t="s">
        <v>607</v>
      </c>
      <c r="D4251">
        <v>827.97</v>
      </c>
      <c r="E4251" s="37" t="str">
        <f t="shared" si="330"/>
        <v xml:space="preserve"> </v>
      </c>
      <c r="F4251">
        <v>0.31</v>
      </c>
      <c r="G4251" s="37" t="str">
        <f t="shared" si="331"/>
        <v>Heavy Discount</v>
      </c>
      <c r="H4251" s="37" t="str">
        <f t="shared" si="332"/>
        <v>Medium</v>
      </c>
      <c r="I4251">
        <v>3</v>
      </c>
      <c r="J4251" t="str" cm="1">
        <f t="array" ref="J4251">_xlfn.IFS(I4251&lt;=3,"small",I4251&lt;=6,"Medium",I4251&lt;=9,"Large")</f>
        <v>small</v>
      </c>
      <c r="K4251" s="36">
        <v>45627</v>
      </c>
      <c r="L4251" s="36">
        <v>45631</v>
      </c>
      <c r="M4251" t="s">
        <v>603</v>
      </c>
      <c r="N4251" t="s">
        <v>599</v>
      </c>
      <c r="O4251" s="37" t="str">
        <f t="shared" si="333"/>
        <v>Digital Payment</v>
      </c>
      <c r="P4251">
        <v>195.63</v>
      </c>
      <c r="Q4251" s="37" t="str">
        <f>IF(P4251&gt;500,"High","low")</f>
        <v>low</v>
      </c>
      <c r="R4251" s="37" t="str">
        <f t="shared" si="334"/>
        <v>AVERAGE</v>
      </c>
      <c r="S4251" t="s">
        <v>615</v>
      </c>
    </row>
    <row r="4252" spans="1:19" x14ac:dyDescent="0.2">
      <c r="A4252" t="s">
        <v>4863</v>
      </c>
      <c r="B4252" t="s">
        <v>75</v>
      </c>
      <c r="C4252" t="s">
        <v>614</v>
      </c>
      <c r="D4252">
        <v>2307.7199999999998</v>
      </c>
      <c r="E4252" s="37" t="str">
        <f t="shared" si="330"/>
        <v xml:space="preserve"> </v>
      </c>
      <c r="F4252">
        <v>0.19</v>
      </c>
      <c r="G4252" s="37" t="str">
        <f t="shared" si="331"/>
        <v>Normal Discount</v>
      </c>
      <c r="H4252" s="37" t="str">
        <f t="shared" si="332"/>
        <v>Low</v>
      </c>
      <c r="I4252">
        <v>9</v>
      </c>
      <c r="J4252" t="str" cm="1">
        <f t="array" ref="J4252">_xlfn.IFS(I4252&lt;=3,"small",I4252&lt;=6,"Medium",I4252&lt;=9,"Large")</f>
        <v>Large</v>
      </c>
      <c r="K4252" s="36">
        <v>45450</v>
      </c>
      <c r="L4252" s="36">
        <v>45453</v>
      </c>
      <c r="M4252" t="s">
        <v>598</v>
      </c>
      <c r="N4252" t="s">
        <v>608</v>
      </c>
      <c r="O4252" s="37" t="str">
        <f t="shared" si="333"/>
        <v>Cash Payment</v>
      </c>
      <c r="P4252">
        <v>525.45000000000005</v>
      </c>
      <c r="Q4252" s="37" t="str">
        <f>IF(P4252&gt;500,"High","low")</f>
        <v>High</v>
      </c>
      <c r="R4252" s="37" t="str">
        <f t="shared" si="334"/>
        <v>Good</v>
      </c>
      <c r="S4252" t="s">
        <v>628</v>
      </c>
    </row>
    <row r="4253" spans="1:19" x14ac:dyDescent="0.2">
      <c r="A4253" t="s">
        <v>4864</v>
      </c>
      <c r="B4253" t="s">
        <v>83</v>
      </c>
      <c r="C4253" t="s">
        <v>617</v>
      </c>
      <c r="D4253">
        <v>2435.6999999999998</v>
      </c>
      <c r="E4253" s="37" t="str">
        <f t="shared" si="330"/>
        <v xml:space="preserve"> </v>
      </c>
      <c r="F4253">
        <v>0.32</v>
      </c>
      <c r="G4253" s="37" t="str">
        <f t="shared" si="331"/>
        <v>Heavy Discount</v>
      </c>
      <c r="H4253" s="37" t="str">
        <f t="shared" si="332"/>
        <v>Medium</v>
      </c>
      <c r="I4253">
        <v>2</v>
      </c>
      <c r="J4253" t="str" cm="1">
        <f t="array" ref="J4253">_xlfn.IFS(I4253&lt;=3,"small",I4253&lt;=6,"Medium",I4253&lt;=9,"Large")</f>
        <v>small</v>
      </c>
      <c r="K4253" s="36">
        <v>45173</v>
      </c>
      <c r="L4253" s="36">
        <v>45176</v>
      </c>
      <c r="M4253" t="s">
        <v>603</v>
      </c>
      <c r="N4253" t="s">
        <v>599</v>
      </c>
      <c r="O4253" s="37" t="str">
        <f t="shared" si="333"/>
        <v>Digital Payment</v>
      </c>
      <c r="P4253">
        <v>653.45000000000005</v>
      </c>
      <c r="Q4253" s="37" t="str">
        <f>IF(P4253&gt;500,"High","low")</f>
        <v>High</v>
      </c>
      <c r="R4253" s="37" t="str">
        <f t="shared" si="334"/>
        <v>Good</v>
      </c>
      <c r="S4253" t="s">
        <v>620</v>
      </c>
    </row>
    <row r="4254" spans="1:19" x14ac:dyDescent="0.2">
      <c r="A4254" t="s">
        <v>4865</v>
      </c>
      <c r="B4254" t="s">
        <v>75</v>
      </c>
      <c r="C4254" t="s">
        <v>614</v>
      </c>
      <c r="D4254">
        <v>331.46</v>
      </c>
      <c r="E4254" s="37" t="str">
        <f t="shared" si="330"/>
        <v xml:space="preserve"> </v>
      </c>
      <c r="F4254">
        <v>0.05</v>
      </c>
      <c r="G4254" s="37" t="str">
        <f t="shared" si="331"/>
        <v>Normal Discount</v>
      </c>
      <c r="H4254" s="37" t="str">
        <f t="shared" si="332"/>
        <v>Low</v>
      </c>
      <c r="I4254">
        <v>7</v>
      </c>
      <c r="J4254" t="str" cm="1">
        <f t="array" ref="J4254">_xlfn.IFS(I4254&lt;=3,"small",I4254&lt;=6,"Medium",I4254&lt;=9,"Large")</f>
        <v>Large</v>
      </c>
      <c r="K4254" s="36">
        <v>45648</v>
      </c>
      <c r="L4254" s="36">
        <v>45651</v>
      </c>
      <c r="M4254" t="s">
        <v>598</v>
      </c>
      <c r="N4254" t="s">
        <v>608</v>
      </c>
      <c r="O4254" s="37" t="str">
        <f t="shared" si="333"/>
        <v>Cash Payment</v>
      </c>
      <c r="P4254">
        <v>44.66</v>
      </c>
      <c r="Q4254" s="37" t="str">
        <f>IF(P4254&gt;500,"High","low")</f>
        <v>low</v>
      </c>
      <c r="R4254" s="37" t="str">
        <f t="shared" si="334"/>
        <v>AVERAGE</v>
      </c>
      <c r="S4254" t="s">
        <v>600</v>
      </c>
    </row>
    <row r="4255" spans="1:19" x14ac:dyDescent="0.2">
      <c r="A4255" t="s">
        <v>4866</v>
      </c>
      <c r="B4255" t="s">
        <v>83</v>
      </c>
      <c r="C4255" t="s">
        <v>607</v>
      </c>
      <c r="D4255">
        <v>360.04</v>
      </c>
      <c r="E4255" s="37" t="str">
        <f t="shared" si="330"/>
        <v xml:space="preserve"> </v>
      </c>
      <c r="F4255">
        <v>0.2</v>
      </c>
      <c r="G4255" s="37" t="str">
        <f t="shared" si="331"/>
        <v>Normal Discount</v>
      </c>
      <c r="H4255" s="37" t="str">
        <f t="shared" si="332"/>
        <v>Medium</v>
      </c>
      <c r="I4255">
        <v>4</v>
      </c>
      <c r="J4255" t="str" cm="1">
        <f t="array" ref="J4255">_xlfn.IFS(I4255&lt;=3,"small",I4255&lt;=6,"Medium",I4255&lt;=9,"Large")</f>
        <v>Medium</v>
      </c>
      <c r="K4255" s="36">
        <v>45340</v>
      </c>
      <c r="L4255" s="36">
        <v>45341</v>
      </c>
      <c r="M4255" t="s">
        <v>598</v>
      </c>
      <c r="N4255" t="s">
        <v>599</v>
      </c>
      <c r="O4255" s="37" t="str">
        <f t="shared" si="333"/>
        <v>Digital Payment</v>
      </c>
      <c r="P4255">
        <v>37.14</v>
      </c>
      <c r="Q4255" s="37" t="str">
        <f>IF(P4255&gt;500,"High","low")</f>
        <v>low</v>
      </c>
      <c r="R4255" s="37" t="str">
        <f t="shared" si="334"/>
        <v>AVERAGE</v>
      </c>
      <c r="S4255" t="s">
        <v>628</v>
      </c>
    </row>
    <row r="4256" spans="1:19" x14ac:dyDescent="0.2">
      <c r="A4256" t="s">
        <v>4867</v>
      </c>
      <c r="B4256" t="s">
        <v>67</v>
      </c>
      <c r="C4256" t="s">
        <v>617</v>
      </c>
      <c r="D4256">
        <v>3836.5</v>
      </c>
      <c r="E4256" s="37" t="str">
        <f t="shared" si="330"/>
        <v xml:space="preserve"> </v>
      </c>
      <c r="F4256">
        <v>0.09</v>
      </c>
      <c r="G4256" s="37" t="str">
        <f t="shared" si="331"/>
        <v>Normal Discount</v>
      </c>
      <c r="H4256" s="37" t="str">
        <f t="shared" si="332"/>
        <v>Low</v>
      </c>
      <c r="I4256">
        <v>9</v>
      </c>
      <c r="J4256" t="str" cm="1">
        <f t="array" ref="J4256">_xlfn.IFS(I4256&lt;=3,"small",I4256&lt;=6,"Medium",I4256&lt;=9,"Large")</f>
        <v>Large</v>
      </c>
      <c r="K4256" s="36">
        <v>45478</v>
      </c>
      <c r="L4256" s="36">
        <v>45483</v>
      </c>
      <c r="M4256" t="s">
        <v>612</v>
      </c>
      <c r="N4256" t="s">
        <v>599</v>
      </c>
      <c r="O4256" s="37" t="str">
        <f t="shared" si="333"/>
        <v>Digital Payment</v>
      </c>
      <c r="P4256">
        <v>612.20000000000005</v>
      </c>
      <c r="Q4256" s="37" t="str">
        <f>IF(P4256&gt;500,"High","low")</f>
        <v>High</v>
      </c>
      <c r="R4256" s="37" t="str">
        <f t="shared" si="334"/>
        <v>Good</v>
      </c>
      <c r="S4256" t="s">
        <v>609</v>
      </c>
    </row>
    <row r="4257" spans="1:19" x14ac:dyDescent="0.2">
      <c r="A4257" t="s">
        <v>4868</v>
      </c>
      <c r="B4257" t="s">
        <v>67</v>
      </c>
      <c r="C4257" t="s">
        <v>597</v>
      </c>
      <c r="D4257">
        <v>1572.21</v>
      </c>
      <c r="E4257" s="37" t="str">
        <f t="shared" si="330"/>
        <v xml:space="preserve"> </v>
      </c>
      <c r="F4257">
        <v>0.27</v>
      </c>
      <c r="G4257" s="37" t="str">
        <f t="shared" si="331"/>
        <v>Normal Discount</v>
      </c>
      <c r="H4257" s="37" t="str">
        <f t="shared" si="332"/>
        <v>Medium</v>
      </c>
      <c r="I4257">
        <v>7</v>
      </c>
      <c r="J4257" t="str" cm="1">
        <f t="array" ref="J4257">_xlfn.IFS(I4257&lt;=3,"small",I4257&lt;=6,"Medium",I4257&lt;=9,"Large")</f>
        <v>Large</v>
      </c>
      <c r="K4257" s="36">
        <v>44999</v>
      </c>
      <c r="L4257" s="36">
        <v>45005</v>
      </c>
      <c r="M4257" t="s">
        <v>598</v>
      </c>
      <c r="N4257" t="s">
        <v>599</v>
      </c>
      <c r="O4257" s="37" t="str">
        <f t="shared" si="333"/>
        <v>Digital Payment</v>
      </c>
      <c r="P4257">
        <v>313.48</v>
      </c>
      <c r="Q4257" s="37" t="str">
        <f>IF(P4257&gt;500,"High","low")</f>
        <v>low</v>
      </c>
      <c r="R4257" s="37" t="str">
        <f t="shared" si="334"/>
        <v>AVERAGE</v>
      </c>
      <c r="S4257" t="s">
        <v>615</v>
      </c>
    </row>
    <row r="4258" spans="1:19" x14ac:dyDescent="0.2">
      <c r="A4258" t="s">
        <v>4869</v>
      </c>
      <c r="B4258" t="s">
        <v>83</v>
      </c>
      <c r="C4258" t="s">
        <v>597</v>
      </c>
      <c r="D4258">
        <v>2107.1799999999998</v>
      </c>
      <c r="E4258" s="37" t="str">
        <f t="shared" si="330"/>
        <v xml:space="preserve"> </v>
      </c>
      <c r="F4258">
        <v>0.13</v>
      </c>
      <c r="G4258" s="37" t="str">
        <f t="shared" si="331"/>
        <v>Normal Discount</v>
      </c>
      <c r="H4258" s="37" t="str">
        <f t="shared" si="332"/>
        <v>Low</v>
      </c>
      <c r="I4258">
        <v>8</v>
      </c>
      <c r="J4258" t="str" cm="1">
        <f t="array" ref="J4258">_xlfn.IFS(I4258&lt;=3,"small",I4258&lt;=6,"Medium",I4258&lt;=9,"Large")</f>
        <v>Large</v>
      </c>
      <c r="K4258" s="36">
        <v>45285</v>
      </c>
      <c r="L4258" s="36">
        <v>45289</v>
      </c>
      <c r="M4258" t="s">
        <v>603</v>
      </c>
      <c r="N4258" t="s">
        <v>608</v>
      </c>
      <c r="O4258" s="37" t="str">
        <f t="shared" si="333"/>
        <v>Cash Payment</v>
      </c>
      <c r="P4258">
        <v>399.1</v>
      </c>
      <c r="Q4258" s="37" t="str">
        <f>IF(P4258&gt;500,"High","low")</f>
        <v>low</v>
      </c>
      <c r="R4258" s="37" t="str">
        <f t="shared" si="334"/>
        <v>AVERAGE</v>
      </c>
      <c r="S4258" t="s">
        <v>620</v>
      </c>
    </row>
    <row r="4259" spans="1:19" x14ac:dyDescent="0.2">
      <c r="A4259" t="s">
        <v>4870</v>
      </c>
      <c r="B4259" t="s">
        <v>83</v>
      </c>
      <c r="C4259" t="s">
        <v>607</v>
      </c>
      <c r="D4259">
        <v>2864.15</v>
      </c>
      <c r="E4259" s="37" t="str">
        <f t="shared" si="330"/>
        <v xml:space="preserve"> </v>
      </c>
      <c r="F4259">
        <v>0.25</v>
      </c>
      <c r="G4259" s="37" t="str">
        <f t="shared" si="331"/>
        <v>Normal Discount</v>
      </c>
      <c r="H4259" s="37" t="str">
        <f t="shared" si="332"/>
        <v>Medium</v>
      </c>
      <c r="I4259">
        <v>3</v>
      </c>
      <c r="J4259" t="str" cm="1">
        <f t="array" ref="J4259">_xlfn.IFS(I4259&lt;=3,"small",I4259&lt;=6,"Medium",I4259&lt;=9,"Large")</f>
        <v>small</v>
      </c>
      <c r="K4259" s="36">
        <v>45332</v>
      </c>
      <c r="L4259" s="36">
        <v>45339</v>
      </c>
      <c r="M4259" t="s">
        <v>598</v>
      </c>
      <c r="N4259" t="s">
        <v>604</v>
      </c>
      <c r="O4259" s="37" t="str">
        <f t="shared" si="333"/>
        <v>Digital Payment</v>
      </c>
      <c r="P4259">
        <v>301.02999999999997</v>
      </c>
      <c r="Q4259" s="37" t="str">
        <f>IF(P4259&gt;500,"High","low")</f>
        <v>low</v>
      </c>
      <c r="R4259" s="37" t="str">
        <f t="shared" si="334"/>
        <v>AVERAGE</v>
      </c>
      <c r="S4259" t="s">
        <v>609</v>
      </c>
    </row>
    <row r="4260" spans="1:19" x14ac:dyDescent="0.2">
      <c r="A4260" t="s">
        <v>4871</v>
      </c>
      <c r="B4260" t="s">
        <v>90</v>
      </c>
      <c r="C4260" t="s">
        <v>617</v>
      </c>
      <c r="D4260">
        <v>1929.59</v>
      </c>
      <c r="E4260" s="37" t="str">
        <f t="shared" si="330"/>
        <v xml:space="preserve"> </v>
      </c>
      <c r="F4260">
        <v>0.39</v>
      </c>
      <c r="G4260" s="37" t="str">
        <f t="shared" si="331"/>
        <v>Heavy Discount</v>
      </c>
      <c r="H4260" s="37" t="str">
        <f t="shared" si="332"/>
        <v>Medium</v>
      </c>
      <c r="I4260">
        <v>6</v>
      </c>
      <c r="J4260" t="str" cm="1">
        <f t="array" ref="J4260">_xlfn.IFS(I4260&lt;=3,"small",I4260&lt;=6,"Medium",I4260&lt;=9,"Large")</f>
        <v>Medium</v>
      </c>
      <c r="K4260" s="36">
        <v>45494</v>
      </c>
      <c r="L4260" s="36">
        <v>45495</v>
      </c>
      <c r="M4260" t="s">
        <v>603</v>
      </c>
      <c r="N4260" t="s">
        <v>599</v>
      </c>
      <c r="O4260" s="37" t="str">
        <f t="shared" si="333"/>
        <v>Digital Payment</v>
      </c>
      <c r="P4260">
        <v>226.1</v>
      </c>
      <c r="Q4260" s="37" t="str">
        <f>IF(P4260&gt;500,"High","low")</f>
        <v>low</v>
      </c>
      <c r="R4260" s="37" t="str">
        <f t="shared" si="334"/>
        <v>AVERAGE</v>
      </c>
      <c r="S4260" t="s">
        <v>600</v>
      </c>
    </row>
    <row r="4261" spans="1:19" x14ac:dyDescent="0.2">
      <c r="A4261" t="s">
        <v>4872</v>
      </c>
      <c r="B4261" t="s">
        <v>90</v>
      </c>
      <c r="C4261" t="s">
        <v>597</v>
      </c>
      <c r="D4261">
        <v>3897.68</v>
      </c>
      <c r="E4261" s="37" t="str">
        <f t="shared" si="330"/>
        <v xml:space="preserve"> </v>
      </c>
      <c r="F4261">
        <v>0.22</v>
      </c>
      <c r="G4261" s="37" t="str">
        <f t="shared" si="331"/>
        <v>Normal Discount</v>
      </c>
      <c r="H4261" s="37" t="str">
        <f t="shared" si="332"/>
        <v>Medium</v>
      </c>
      <c r="I4261">
        <v>4</v>
      </c>
      <c r="J4261" t="str" cm="1">
        <f t="array" ref="J4261">_xlfn.IFS(I4261&lt;=3,"small",I4261&lt;=6,"Medium",I4261&lt;=9,"Large")</f>
        <v>Medium</v>
      </c>
      <c r="K4261" s="36">
        <v>45495</v>
      </c>
      <c r="L4261" s="36">
        <v>45498</v>
      </c>
      <c r="M4261" t="s">
        <v>612</v>
      </c>
      <c r="N4261" t="s">
        <v>608</v>
      </c>
      <c r="O4261" s="37" t="str">
        <f t="shared" si="333"/>
        <v>Cash Payment</v>
      </c>
      <c r="P4261">
        <v>1096.94</v>
      </c>
      <c r="Q4261" s="37" t="str">
        <f>IF(P4261&gt;500,"High","low")</f>
        <v>High</v>
      </c>
      <c r="R4261" s="37" t="str">
        <f t="shared" si="334"/>
        <v>Excellent</v>
      </c>
      <c r="S4261" t="s">
        <v>609</v>
      </c>
    </row>
    <row r="4262" spans="1:19" x14ac:dyDescent="0.2">
      <c r="A4262" t="s">
        <v>4873</v>
      </c>
      <c r="B4262" t="s">
        <v>90</v>
      </c>
      <c r="C4262" t="s">
        <v>607</v>
      </c>
      <c r="D4262">
        <v>4433.88</v>
      </c>
      <c r="E4262" s="37" t="str">
        <f t="shared" si="330"/>
        <v xml:space="preserve"> </v>
      </c>
      <c r="F4262">
        <v>0.11</v>
      </c>
      <c r="G4262" s="37" t="str">
        <f t="shared" si="331"/>
        <v>Normal Discount</v>
      </c>
      <c r="H4262" s="37" t="str">
        <f t="shared" si="332"/>
        <v>Low</v>
      </c>
      <c r="I4262">
        <v>4</v>
      </c>
      <c r="J4262" t="str" cm="1">
        <f t="array" ref="J4262">_xlfn.IFS(I4262&lt;=3,"small",I4262&lt;=6,"Medium",I4262&lt;=9,"Large")</f>
        <v>Medium</v>
      </c>
      <c r="K4262" s="36">
        <v>45581</v>
      </c>
      <c r="L4262" s="36">
        <v>45587</v>
      </c>
      <c r="M4262" t="s">
        <v>612</v>
      </c>
      <c r="N4262" t="s">
        <v>599</v>
      </c>
      <c r="O4262" s="37" t="str">
        <f t="shared" si="333"/>
        <v>Digital Payment</v>
      </c>
      <c r="P4262">
        <v>311.58999999999997</v>
      </c>
      <c r="Q4262" s="37" t="str">
        <f>IF(P4262&gt;500,"High","low")</f>
        <v>low</v>
      </c>
      <c r="R4262" s="37" t="str">
        <f t="shared" si="334"/>
        <v>AVERAGE</v>
      </c>
      <c r="S4262" t="s">
        <v>615</v>
      </c>
    </row>
    <row r="4263" spans="1:19" x14ac:dyDescent="0.2">
      <c r="A4263" t="s">
        <v>4874</v>
      </c>
      <c r="B4263" t="s">
        <v>67</v>
      </c>
      <c r="C4263" t="s">
        <v>607</v>
      </c>
      <c r="D4263">
        <v>392.62</v>
      </c>
      <c r="E4263" s="37" t="str">
        <f t="shared" si="330"/>
        <v xml:space="preserve"> </v>
      </c>
      <c r="F4263">
        <v>0.11</v>
      </c>
      <c r="G4263" s="37" t="str">
        <f t="shared" si="331"/>
        <v>Normal Discount</v>
      </c>
      <c r="H4263" s="37" t="str">
        <f t="shared" si="332"/>
        <v>Low</v>
      </c>
      <c r="I4263">
        <v>2</v>
      </c>
      <c r="J4263" t="str" cm="1">
        <f t="array" ref="J4263">_xlfn.IFS(I4263&lt;=3,"small",I4263&lt;=6,"Medium",I4263&lt;=9,"Large")</f>
        <v>small</v>
      </c>
      <c r="K4263" s="36">
        <v>45275</v>
      </c>
      <c r="L4263" s="36">
        <v>45279</v>
      </c>
      <c r="M4263" t="s">
        <v>598</v>
      </c>
      <c r="N4263" t="s">
        <v>608</v>
      </c>
      <c r="O4263" s="37" t="str">
        <f t="shared" si="333"/>
        <v>Cash Payment</v>
      </c>
      <c r="P4263">
        <v>69.11</v>
      </c>
      <c r="Q4263" s="37" t="str">
        <f>IF(P4263&gt;500,"High","low")</f>
        <v>low</v>
      </c>
      <c r="R4263" s="37" t="str">
        <f t="shared" si="334"/>
        <v>AVERAGE</v>
      </c>
      <c r="S4263" t="s">
        <v>615</v>
      </c>
    </row>
    <row r="4264" spans="1:19" x14ac:dyDescent="0.2">
      <c r="A4264" t="s">
        <v>4875</v>
      </c>
      <c r="B4264" t="s">
        <v>90</v>
      </c>
      <c r="C4264" t="s">
        <v>614</v>
      </c>
      <c r="D4264">
        <v>3213.48</v>
      </c>
      <c r="E4264" s="37" t="str">
        <f t="shared" si="330"/>
        <v xml:space="preserve"> </v>
      </c>
      <c r="F4264">
        <v>0.45</v>
      </c>
      <c r="G4264" s="37" t="str">
        <f t="shared" si="331"/>
        <v>Heavy Discount</v>
      </c>
      <c r="H4264" s="37" t="str">
        <f t="shared" si="332"/>
        <v>High</v>
      </c>
      <c r="I4264">
        <v>9</v>
      </c>
      <c r="J4264" t="str" cm="1">
        <f t="array" ref="J4264">_xlfn.IFS(I4264&lt;=3,"small",I4264&lt;=6,"Medium",I4264&lt;=9,"Large")</f>
        <v>Large</v>
      </c>
      <c r="K4264" s="36">
        <v>45302</v>
      </c>
      <c r="L4264" s="36">
        <v>45304</v>
      </c>
      <c r="M4264" t="s">
        <v>612</v>
      </c>
      <c r="N4264" t="s">
        <v>608</v>
      </c>
      <c r="O4264" s="37" t="str">
        <f t="shared" si="333"/>
        <v>Cash Payment</v>
      </c>
      <c r="P4264">
        <v>542.01</v>
      </c>
      <c r="Q4264" s="37" t="str">
        <f>IF(P4264&gt;500,"High","low")</f>
        <v>High</v>
      </c>
      <c r="R4264" s="37" t="str">
        <f t="shared" si="334"/>
        <v>Good</v>
      </c>
      <c r="S4264" t="s">
        <v>615</v>
      </c>
    </row>
    <row r="4265" spans="1:19" x14ac:dyDescent="0.2">
      <c r="A4265" t="s">
        <v>4876</v>
      </c>
      <c r="B4265" t="s">
        <v>75</v>
      </c>
      <c r="C4265" t="s">
        <v>597</v>
      </c>
      <c r="D4265">
        <v>1656.53</v>
      </c>
      <c r="E4265" s="37" t="str">
        <f t="shared" si="330"/>
        <v xml:space="preserve"> </v>
      </c>
      <c r="F4265">
        <v>0.39</v>
      </c>
      <c r="G4265" s="37" t="str">
        <f t="shared" si="331"/>
        <v>Heavy Discount</v>
      </c>
      <c r="H4265" s="37" t="str">
        <f t="shared" si="332"/>
        <v>Medium</v>
      </c>
      <c r="I4265">
        <v>1</v>
      </c>
      <c r="J4265" t="str" cm="1">
        <f t="array" ref="J4265">_xlfn.IFS(I4265&lt;=3,"small",I4265&lt;=6,"Medium",I4265&lt;=9,"Large")</f>
        <v>small</v>
      </c>
      <c r="K4265" s="36">
        <v>45492</v>
      </c>
      <c r="L4265" s="36">
        <v>45496</v>
      </c>
      <c r="M4265" t="s">
        <v>598</v>
      </c>
      <c r="N4265" t="s">
        <v>604</v>
      </c>
      <c r="O4265" s="37" t="str">
        <f t="shared" si="333"/>
        <v>Digital Payment</v>
      </c>
      <c r="P4265">
        <v>241.59</v>
      </c>
      <c r="Q4265" s="37" t="str">
        <f>IF(P4265&gt;500,"High","low")</f>
        <v>low</v>
      </c>
      <c r="R4265" s="37" t="str">
        <f t="shared" si="334"/>
        <v>AVERAGE</v>
      </c>
      <c r="S4265" t="s">
        <v>615</v>
      </c>
    </row>
    <row r="4266" spans="1:19" x14ac:dyDescent="0.2">
      <c r="A4266" t="s">
        <v>4877</v>
      </c>
      <c r="B4266" t="s">
        <v>75</v>
      </c>
      <c r="C4266" t="s">
        <v>617</v>
      </c>
      <c r="D4266">
        <v>2958.05</v>
      </c>
      <c r="E4266" s="37" t="str">
        <f t="shared" si="330"/>
        <v xml:space="preserve"> </v>
      </c>
      <c r="F4266">
        <v>0.02</v>
      </c>
      <c r="G4266" s="37" t="str">
        <f t="shared" si="331"/>
        <v>Normal Discount</v>
      </c>
      <c r="H4266" s="37" t="str">
        <f t="shared" si="332"/>
        <v>Low</v>
      </c>
      <c r="I4266">
        <v>1</v>
      </c>
      <c r="J4266" t="str" cm="1">
        <f t="array" ref="J4266">_xlfn.IFS(I4266&lt;=3,"small",I4266&lt;=6,"Medium",I4266&lt;=9,"Large")</f>
        <v>small</v>
      </c>
      <c r="K4266" s="36">
        <v>45582</v>
      </c>
      <c r="L4266" s="36">
        <v>45584</v>
      </c>
      <c r="M4266" t="s">
        <v>612</v>
      </c>
      <c r="N4266" t="s">
        <v>599</v>
      </c>
      <c r="O4266" s="37" t="str">
        <f t="shared" si="333"/>
        <v>Digital Payment</v>
      </c>
      <c r="P4266">
        <v>727.39</v>
      </c>
      <c r="Q4266" s="37" t="str">
        <f>IF(P4266&gt;500,"High","low")</f>
        <v>High</v>
      </c>
      <c r="R4266" s="37" t="str">
        <f t="shared" si="334"/>
        <v>Good</v>
      </c>
      <c r="S4266" t="s">
        <v>609</v>
      </c>
    </row>
    <row r="4267" spans="1:19" x14ac:dyDescent="0.2">
      <c r="A4267" t="s">
        <v>4878</v>
      </c>
      <c r="B4267" t="s">
        <v>90</v>
      </c>
      <c r="C4267" t="s">
        <v>597</v>
      </c>
      <c r="D4267">
        <v>2471.15</v>
      </c>
      <c r="E4267" s="37" t="str">
        <f t="shared" si="330"/>
        <v xml:space="preserve"> </v>
      </c>
      <c r="F4267">
        <v>0.47</v>
      </c>
      <c r="G4267" s="37" t="str">
        <f t="shared" si="331"/>
        <v>Heavy Discount</v>
      </c>
      <c r="H4267" s="37" t="str">
        <f t="shared" si="332"/>
        <v>High</v>
      </c>
      <c r="I4267">
        <v>7</v>
      </c>
      <c r="J4267" t="str" cm="1">
        <f t="array" ref="J4267">_xlfn.IFS(I4267&lt;=3,"small",I4267&lt;=6,"Medium",I4267&lt;=9,"Large")</f>
        <v>Large</v>
      </c>
      <c r="K4267" s="36">
        <v>45650</v>
      </c>
      <c r="L4267" s="36">
        <v>45652</v>
      </c>
      <c r="M4267" t="s">
        <v>598</v>
      </c>
      <c r="N4267" t="s">
        <v>599</v>
      </c>
      <c r="O4267" s="37" t="str">
        <f t="shared" si="333"/>
        <v>Digital Payment</v>
      </c>
      <c r="P4267">
        <v>693.52</v>
      </c>
      <c r="Q4267" s="37" t="str">
        <f>IF(P4267&gt;500,"High","low")</f>
        <v>High</v>
      </c>
      <c r="R4267" s="37" t="str">
        <f t="shared" si="334"/>
        <v>Good</v>
      </c>
      <c r="S4267" t="s">
        <v>628</v>
      </c>
    </row>
    <row r="4268" spans="1:19" x14ac:dyDescent="0.2">
      <c r="A4268" t="s">
        <v>4879</v>
      </c>
      <c r="B4268" t="s">
        <v>75</v>
      </c>
      <c r="C4268" t="s">
        <v>597</v>
      </c>
      <c r="D4268">
        <v>1735.02</v>
      </c>
      <c r="E4268" s="37" t="str">
        <f t="shared" si="330"/>
        <v xml:space="preserve"> </v>
      </c>
      <c r="F4268">
        <v>0.06</v>
      </c>
      <c r="G4268" s="37" t="str">
        <f t="shared" si="331"/>
        <v>Normal Discount</v>
      </c>
      <c r="H4268" s="37" t="str">
        <f t="shared" si="332"/>
        <v>Low</v>
      </c>
      <c r="I4268">
        <v>7</v>
      </c>
      <c r="J4268" t="str" cm="1">
        <f t="array" ref="J4268">_xlfn.IFS(I4268&lt;=3,"small",I4268&lt;=6,"Medium",I4268&lt;=9,"Large")</f>
        <v>Large</v>
      </c>
      <c r="K4268" s="36">
        <v>45334</v>
      </c>
      <c r="L4268" s="36">
        <v>45340</v>
      </c>
      <c r="M4268" t="s">
        <v>598</v>
      </c>
      <c r="N4268" t="s">
        <v>608</v>
      </c>
      <c r="O4268" s="37" t="str">
        <f t="shared" si="333"/>
        <v>Cash Payment</v>
      </c>
      <c r="P4268">
        <v>519.32000000000005</v>
      </c>
      <c r="Q4268" s="37" t="str">
        <f>IF(P4268&gt;500,"High","low")</f>
        <v>High</v>
      </c>
      <c r="R4268" s="37" t="str">
        <f t="shared" si="334"/>
        <v>Good</v>
      </c>
      <c r="S4268" t="s">
        <v>620</v>
      </c>
    </row>
    <row r="4269" spans="1:19" x14ac:dyDescent="0.2">
      <c r="A4269" t="s">
        <v>4880</v>
      </c>
      <c r="B4269" t="s">
        <v>67</v>
      </c>
      <c r="C4269" t="s">
        <v>597</v>
      </c>
      <c r="D4269">
        <v>564.6</v>
      </c>
      <c r="E4269" s="37" t="str">
        <f t="shared" si="330"/>
        <v xml:space="preserve"> </v>
      </c>
      <c r="F4269">
        <v>0.33</v>
      </c>
      <c r="G4269" s="37" t="str">
        <f t="shared" si="331"/>
        <v>Heavy Discount</v>
      </c>
      <c r="H4269" s="37" t="str">
        <f t="shared" si="332"/>
        <v>Medium</v>
      </c>
      <c r="I4269">
        <v>4</v>
      </c>
      <c r="J4269" t="str" cm="1">
        <f t="array" ref="J4269">_xlfn.IFS(I4269&lt;=3,"small",I4269&lt;=6,"Medium",I4269&lt;=9,"Large")</f>
        <v>Medium</v>
      </c>
      <c r="K4269" s="36">
        <v>45518</v>
      </c>
      <c r="L4269" s="36">
        <v>45521</v>
      </c>
      <c r="M4269" t="s">
        <v>603</v>
      </c>
      <c r="N4269" t="s">
        <v>599</v>
      </c>
      <c r="O4269" s="37" t="str">
        <f t="shared" si="333"/>
        <v>Digital Payment</v>
      </c>
      <c r="P4269">
        <v>45.55</v>
      </c>
      <c r="Q4269" s="37" t="str">
        <f>IF(P4269&gt;500,"High","low")</f>
        <v>low</v>
      </c>
      <c r="R4269" s="37" t="str">
        <f t="shared" si="334"/>
        <v>AVERAGE</v>
      </c>
      <c r="S4269" t="s">
        <v>620</v>
      </c>
    </row>
    <row r="4270" spans="1:19" x14ac:dyDescent="0.2">
      <c r="A4270" t="s">
        <v>4881</v>
      </c>
      <c r="B4270" t="s">
        <v>75</v>
      </c>
      <c r="C4270" t="s">
        <v>607</v>
      </c>
      <c r="D4270">
        <v>2841.26</v>
      </c>
      <c r="E4270" s="37" t="str">
        <f t="shared" si="330"/>
        <v xml:space="preserve"> </v>
      </c>
      <c r="F4270">
        <v>0.28000000000000003</v>
      </c>
      <c r="G4270" s="37" t="str">
        <f t="shared" si="331"/>
        <v>Normal Discount</v>
      </c>
      <c r="H4270" s="37" t="str">
        <f t="shared" si="332"/>
        <v>Medium</v>
      </c>
      <c r="I4270">
        <v>8</v>
      </c>
      <c r="J4270" t="str" cm="1">
        <f t="array" ref="J4270">_xlfn.IFS(I4270&lt;=3,"small",I4270&lt;=6,"Medium",I4270&lt;=9,"Large")</f>
        <v>Large</v>
      </c>
      <c r="K4270" s="36">
        <v>45646</v>
      </c>
      <c r="L4270" s="36">
        <v>45648</v>
      </c>
      <c r="M4270" t="s">
        <v>598</v>
      </c>
      <c r="N4270" t="s">
        <v>604</v>
      </c>
      <c r="O4270" s="37" t="str">
        <f t="shared" si="333"/>
        <v>Digital Payment</v>
      </c>
      <c r="P4270">
        <v>172.5</v>
      </c>
      <c r="Q4270" s="37" t="str">
        <f>IF(P4270&gt;500,"High","low")</f>
        <v>low</v>
      </c>
      <c r="R4270" s="37" t="str">
        <f t="shared" si="334"/>
        <v>AVERAGE</v>
      </c>
      <c r="S4270" t="s">
        <v>605</v>
      </c>
    </row>
    <row r="4271" spans="1:19" x14ac:dyDescent="0.2">
      <c r="A4271" t="s">
        <v>4882</v>
      </c>
      <c r="B4271" t="s">
        <v>67</v>
      </c>
      <c r="C4271" t="s">
        <v>602</v>
      </c>
      <c r="D4271">
        <v>652.67999999999995</v>
      </c>
      <c r="E4271" s="37" t="str">
        <f t="shared" si="330"/>
        <v xml:space="preserve"> </v>
      </c>
      <c r="F4271">
        <v>0.02</v>
      </c>
      <c r="G4271" s="37" t="str">
        <f t="shared" si="331"/>
        <v>Normal Discount</v>
      </c>
      <c r="H4271" s="37" t="str">
        <f t="shared" si="332"/>
        <v>Low</v>
      </c>
      <c r="I4271">
        <v>5</v>
      </c>
      <c r="J4271" t="str" cm="1">
        <f t="array" ref="J4271">_xlfn.IFS(I4271&lt;=3,"small",I4271&lt;=6,"Medium",I4271&lt;=9,"Large")</f>
        <v>Medium</v>
      </c>
      <c r="K4271" s="36">
        <v>45335</v>
      </c>
      <c r="L4271" s="36">
        <v>45336</v>
      </c>
      <c r="M4271" t="s">
        <v>603</v>
      </c>
      <c r="N4271" t="s">
        <v>599</v>
      </c>
      <c r="O4271" s="37" t="str">
        <f t="shared" si="333"/>
        <v>Digital Payment</v>
      </c>
      <c r="P4271">
        <v>77.55</v>
      </c>
      <c r="Q4271" s="37" t="str">
        <f>IF(P4271&gt;500,"High","low")</f>
        <v>low</v>
      </c>
      <c r="R4271" s="37" t="str">
        <f t="shared" si="334"/>
        <v>AVERAGE</v>
      </c>
      <c r="S4271" t="s">
        <v>628</v>
      </c>
    </row>
    <row r="4272" spans="1:19" x14ac:dyDescent="0.2">
      <c r="A4272" t="s">
        <v>4883</v>
      </c>
      <c r="B4272" t="s">
        <v>83</v>
      </c>
      <c r="C4272" t="s">
        <v>602</v>
      </c>
      <c r="D4272">
        <v>864.99</v>
      </c>
      <c r="E4272" s="37" t="str">
        <f t="shared" si="330"/>
        <v xml:space="preserve"> </v>
      </c>
      <c r="F4272">
        <v>0.15</v>
      </c>
      <c r="G4272" s="37" t="str">
        <f t="shared" si="331"/>
        <v>Normal Discount</v>
      </c>
      <c r="H4272" s="37" t="str">
        <f t="shared" si="332"/>
        <v>Low</v>
      </c>
      <c r="I4272">
        <v>6</v>
      </c>
      <c r="J4272" t="str" cm="1">
        <f t="array" ref="J4272">_xlfn.IFS(I4272&lt;=3,"small",I4272&lt;=6,"Medium",I4272&lt;=9,"Large")</f>
        <v>Medium</v>
      </c>
      <c r="K4272" s="36">
        <v>45053</v>
      </c>
      <c r="L4272" s="36">
        <v>45060</v>
      </c>
      <c r="M4272" t="s">
        <v>598</v>
      </c>
      <c r="N4272" t="s">
        <v>608</v>
      </c>
      <c r="O4272" s="37" t="str">
        <f t="shared" si="333"/>
        <v>Cash Payment</v>
      </c>
      <c r="P4272">
        <v>190.84</v>
      </c>
      <c r="Q4272" s="37" t="str">
        <f>IF(P4272&gt;500,"High","low")</f>
        <v>low</v>
      </c>
      <c r="R4272" s="37" t="str">
        <f t="shared" si="334"/>
        <v>AVERAGE</v>
      </c>
      <c r="S4272" t="s">
        <v>600</v>
      </c>
    </row>
    <row r="4273" spans="1:19" x14ac:dyDescent="0.2">
      <c r="A4273" t="s">
        <v>4884</v>
      </c>
      <c r="B4273" t="s">
        <v>83</v>
      </c>
      <c r="C4273" t="s">
        <v>614</v>
      </c>
      <c r="D4273">
        <v>4912.66</v>
      </c>
      <c r="E4273" s="37" t="str">
        <f t="shared" si="330"/>
        <v xml:space="preserve"> </v>
      </c>
      <c r="F4273">
        <v>0.39</v>
      </c>
      <c r="G4273" s="37" t="str">
        <f t="shared" si="331"/>
        <v>Heavy Discount</v>
      </c>
      <c r="H4273" s="37" t="str">
        <f t="shared" si="332"/>
        <v>Medium</v>
      </c>
      <c r="I4273">
        <v>4</v>
      </c>
      <c r="J4273" t="str" cm="1">
        <f t="array" ref="J4273">_xlfn.IFS(I4273&lt;=3,"small",I4273&lt;=6,"Medium",I4273&lt;=9,"Large")</f>
        <v>Medium</v>
      </c>
      <c r="K4273" s="36">
        <v>45621</v>
      </c>
      <c r="L4273" s="36">
        <v>45624</v>
      </c>
      <c r="M4273" t="s">
        <v>598</v>
      </c>
      <c r="N4273" t="s">
        <v>608</v>
      </c>
      <c r="O4273" s="37" t="str">
        <f t="shared" si="333"/>
        <v>Cash Payment</v>
      </c>
      <c r="P4273">
        <v>742.46</v>
      </c>
      <c r="Q4273" s="37" t="str">
        <f>IF(P4273&gt;500,"High","low")</f>
        <v>High</v>
      </c>
      <c r="R4273" s="37" t="str">
        <f t="shared" si="334"/>
        <v>Good</v>
      </c>
      <c r="S4273" t="s">
        <v>600</v>
      </c>
    </row>
    <row r="4274" spans="1:19" x14ac:dyDescent="0.2">
      <c r="A4274" t="s">
        <v>4885</v>
      </c>
      <c r="B4274" t="s">
        <v>83</v>
      </c>
      <c r="C4274" t="s">
        <v>597</v>
      </c>
      <c r="D4274">
        <v>1651.86</v>
      </c>
      <c r="E4274" s="37" t="str">
        <f t="shared" si="330"/>
        <v xml:space="preserve"> </v>
      </c>
      <c r="F4274">
        <v>0.15</v>
      </c>
      <c r="G4274" s="37" t="str">
        <f t="shared" si="331"/>
        <v>Normal Discount</v>
      </c>
      <c r="H4274" s="37" t="str">
        <f t="shared" si="332"/>
        <v>Low</v>
      </c>
      <c r="I4274">
        <v>3</v>
      </c>
      <c r="J4274" t="str" cm="1">
        <f t="array" ref="J4274">_xlfn.IFS(I4274&lt;=3,"small",I4274&lt;=6,"Medium",I4274&lt;=9,"Large")</f>
        <v>small</v>
      </c>
      <c r="K4274" s="36">
        <v>45360</v>
      </c>
      <c r="L4274" s="36">
        <v>45366</v>
      </c>
      <c r="M4274" t="s">
        <v>598</v>
      </c>
      <c r="N4274" t="s">
        <v>608</v>
      </c>
      <c r="O4274" s="37" t="str">
        <f t="shared" si="333"/>
        <v>Cash Payment</v>
      </c>
      <c r="P4274">
        <v>275</v>
      </c>
      <c r="Q4274" s="37" t="str">
        <f>IF(P4274&gt;500,"High","low")</f>
        <v>low</v>
      </c>
      <c r="R4274" s="37" t="str">
        <f t="shared" si="334"/>
        <v>AVERAGE</v>
      </c>
      <c r="S4274" t="s">
        <v>600</v>
      </c>
    </row>
    <row r="4275" spans="1:19" x14ac:dyDescent="0.2">
      <c r="A4275" t="s">
        <v>4886</v>
      </c>
      <c r="B4275" t="s">
        <v>83</v>
      </c>
      <c r="C4275" t="s">
        <v>602</v>
      </c>
      <c r="D4275">
        <v>2963.74</v>
      </c>
      <c r="E4275" s="37" t="str">
        <f t="shared" si="330"/>
        <v xml:space="preserve"> </v>
      </c>
      <c r="F4275">
        <v>0.24</v>
      </c>
      <c r="G4275" s="37" t="str">
        <f t="shared" si="331"/>
        <v>Normal Discount</v>
      </c>
      <c r="H4275" s="37" t="str">
        <f t="shared" si="332"/>
        <v>Medium</v>
      </c>
      <c r="I4275">
        <v>2</v>
      </c>
      <c r="J4275" t="str" cm="1">
        <f t="array" ref="J4275">_xlfn.IFS(I4275&lt;=3,"small",I4275&lt;=6,"Medium",I4275&lt;=9,"Large")</f>
        <v>small</v>
      </c>
      <c r="K4275" s="36">
        <v>45049</v>
      </c>
      <c r="L4275" s="36">
        <v>45051</v>
      </c>
      <c r="M4275" t="s">
        <v>612</v>
      </c>
      <c r="N4275" t="s">
        <v>599</v>
      </c>
      <c r="O4275" s="37" t="str">
        <f t="shared" si="333"/>
        <v>Digital Payment</v>
      </c>
      <c r="P4275">
        <v>888.69</v>
      </c>
      <c r="Q4275" s="37" t="str">
        <f>IF(P4275&gt;500,"High","low")</f>
        <v>High</v>
      </c>
      <c r="R4275" s="37" t="str">
        <f t="shared" si="334"/>
        <v>Good</v>
      </c>
      <c r="S4275" t="s">
        <v>628</v>
      </c>
    </row>
    <row r="4276" spans="1:19" x14ac:dyDescent="0.2">
      <c r="A4276" t="s">
        <v>4887</v>
      </c>
      <c r="B4276" t="s">
        <v>75</v>
      </c>
      <c r="C4276" t="s">
        <v>614</v>
      </c>
      <c r="D4276">
        <v>1433.94</v>
      </c>
      <c r="E4276" s="37" t="str">
        <f t="shared" si="330"/>
        <v xml:space="preserve"> </v>
      </c>
      <c r="F4276">
        <v>0.35</v>
      </c>
      <c r="G4276" s="37" t="str">
        <f t="shared" si="331"/>
        <v>Heavy Discount</v>
      </c>
      <c r="H4276" s="37" t="str">
        <f t="shared" si="332"/>
        <v>Medium</v>
      </c>
      <c r="I4276">
        <v>8</v>
      </c>
      <c r="J4276" t="str" cm="1">
        <f t="array" ref="J4276">_xlfn.IFS(I4276&lt;=3,"small",I4276&lt;=6,"Medium",I4276&lt;=9,"Large")</f>
        <v>Large</v>
      </c>
      <c r="K4276" s="36">
        <v>45104</v>
      </c>
      <c r="L4276" s="36">
        <v>45111</v>
      </c>
      <c r="M4276" t="s">
        <v>612</v>
      </c>
      <c r="N4276" t="s">
        <v>608</v>
      </c>
      <c r="O4276" s="37" t="str">
        <f t="shared" si="333"/>
        <v>Cash Payment</v>
      </c>
      <c r="P4276">
        <v>247.83</v>
      </c>
      <c r="Q4276" s="37" t="str">
        <f>IF(P4276&gt;500,"High","low")</f>
        <v>low</v>
      </c>
      <c r="R4276" s="37" t="str">
        <f t="shared" si="334"/>
        <v>AVERAGE</v>
      </c>
      <c r="S4276" t="s">
        <v>609</v>
      </c>
    </row>
    <row r="4277" spans="1:19" x14ac:dyDescent="0.2">
      <c r="A4277" t="s">
        <v>4888</v>
      </c>
      <c r="B4277" t="s">
        <v>90</v>
      </c>
      <c r="C4277" t="s">
        <v>607</v>
      </c>
      <c r="D4277">
        <v>4341</v>
      </c>
      <c r="E4277" s="37" t="str">
        <f t="shared" si="330"/>
        <v>Excellent Order</v>
      </c>
      <c r="F4277">
        <v>0.04</v>
      </c>
      <c r="G4277" s="37" t="str">
        <f t="shared" si="331"/>
        <v>Normal Discount</v>
      </c>
      <c r="H4277" s="37" t="str">
        <f t="shared" si="332"/>
        <v>Low</v>
      </c>
      <c r="I4277">
        <v>5</v>
      </c>
      <c r="J4277" t="str" cm="1">
        <f t="array" ref="J4277">_xlfn.IFS(I4277&lt;=3,"small",I4277&lt;=6,"Medium",I4277&lt;=9,"Large")</f>
        <v>Medium</v>
      </c>
      <c r="K4277" s="36">
        <v>45042</v>
      </c>
      <c r="L4277" s="36">
        <v>45047</v>
      </c>
      <c r="M4277" t="s">
        <v>598</v>
      </c>
      <c r="N4277" t="s">
        <v>608</v>
      </c>
      <c r="O4277" s="37" t="str">
        <f t="shared" si="333"/>
        <v>Cash Payment</v>
      </c>
      <c r="P4277">
        <v>1210.43</v>
      </c>
      <c r="Q4277" s="37" t="str">
        <f>IF(P4277&gt;500,"High","low")</f>
        <v>High</v>
      </c>
      <c r="R4277" s="37" t="str">
        <f t="shared" si="334"/>
        <v>Excellent</v>
      </c>
      <c r="S4277" t="s">
        <v>620</v>
      </c>
    </row>
    <row r="4278" spans="1:19" x14ac:dyDescent="0.2">
      <c r="A4278" t="s">
        <v>4889</v>
      </c>
      <c r="B4278" t="s">
        <v>75</v>
      </c>
      <c r="C4278" t="s">
        <v>597</v>
      </c>
      <c r="D4278">
        <v>1488.37</v>
      </c>
      <c r="E4278" s="37" t="str">
        <f t="shared" si="330"/>
        <v xml:space="preserve"> </v>
      </c>
      <c r="F4278">
        <v>0.42</v>
      </c>
      <c r="G4278" s="37" t="str">
        <f t="shared" si="331"/>
        <v>Heavy Discount</v>
      </c>
      <c r="H4278" s="37" t="str">
        <f t="shared" si="332"/>
        <v>High</v>
      </c>
      <c r="I4278">
        <v>6</v>
      </c>
      <c r="J4278" t="str" cm="1">
        <f t="array" ref="J4278">_xlfn.IFS(I4278&lt;=3,"small",I4278&lt;=6,"Medium",I4278&lt;=9,"Large")</f>
        <v>Medium</v>
      </c>
      <c r="K4278" s="36">
        <v>45419</v>
      </c>
      <c r="L4278" s="36">
        <v>45426</v>
      </c>
      <c r="M4278" t="s">
        <v>612</v>
      </c>
      <c r="N4278" t="s">
        <v>599</v>
      </c>
      <c r="O4278" s="37" t="str">
        <f t="shared" si="333"/>
        <v>Digital Payment</v>
      </c>
      <c r="P4278">
        <v>227.6</v>
      </c>
      <c r="Q4278" s="37" t="str">
        <f>IF(P4278&gt;500,"High","low")</f>
        <v>low</v>
      </c>
      <c r="R4278" s="37" t="str">
        <f t="shared" si="334"/>
        <v>AVERAGE</v>
      </c>
      <c r="S4278" t="s">
        <v>609</v>
      </c>
    </row>
    <row r="4279" spans="1:19" x14ac:dyDescent="0.2">
      <c r="A4279" t="s">
        <v>4890</v>
      </c>
      <c r="B4279" t="s">
        <v>67</v>
      </c>
      <c r="C4279" t="s">
        <v>617</v>
      </c>
      <c r="D4279">
        <v>1897.74</v>
      </c>
      <c r="E4279" s="37" t="str">
        <f t="shared" si="330"/>
        <v xml:space="preserve"> </v>
      </c>
      <c r="F4279">
        <v>0.02</v>
      </c>
      <c r="G4279" s="37" t="str">
        <f t="shared" si="331"/>
        <v>Normal Discount</v>
      </c>
      <c r="H4279" s="37" t="str">
        <f t="shared" si="332"/>
        <v>Low</v>
      </c>
      <c r="I4279">
        <v>6</v>
      </c>
      <c r="J4279" t="str" cm="1">
        <f t="array" ref="J4279">_xlfn.IFS(I4279&lt;=3,"small",I4279&lt;=6,"Medium",I4279&lt;=9,"Large")</f>
        <v>Medium</v>
      </c>
      <c r="K4279" s="36">
        <v>45594</v>
      </c>
      <c r="L4279" s="36">
        <v>45600</v>
      </c>
      <c r="M4279" t="s">
        <v>598</v>
      </c>
      <c r="N4279" t="s">
        <v>599</v>
      </c>
      <c r="O4279" s="37" t="str">
        <f t="shared" si="333"/>
        <v>Digital Payment</v>
      </c>
      <c r="P4279">
        <v>303.70999999999998</v>
      </c>
      <c r="Q4279" s="37" t="str">
        <f>IF(P4279&gt;500,"High","low")</f>
        <v>low</v>
      </c>
      <c r="R4279" s="37" t="str">
        <f t="shared" si="334"/>
        <v>AVERAGE</v>
      </c>
      <c r="S4279" t="s">
        <v>620</v>
      </c>
    </row>
    <row r="4280" spans="1:19" x14ac:dyDescent="0.2">
      <c r="A4280" t="s">
        <v>4891</v>
      </c>
      <c r="B4280" t="s">
        <v>75</v>
      </c>
      <c r="C4280" t="s">
        <v>607</v>
      </c>
      <c r="D4280">
        <v>3081.1</v>
      </c>
      <c r="E4280" s="37" t="str">
        <f t="shared" si="330"/>
        <v xml:space="preserve"> </v>
      </c>
      <c r="F4280">
        <v>0.13</v>
      </c>
      <c r="G4280" s="37" t="str">
        <f t="shared" si="331"/>
        <v>Normal Discount</v>
      </c>
      <c r="H4280" s="37" t="str">
        <f t="shared" si="332"/>
        <v>Low</v>
      </c>
      <c r="I4280">
        <v>4</v>
      </c>
      <c r="J4280" t="str" cm="1">
        <f t="array" ref="J4280">_xlfn.IFS(I4280&lt;=3,"small",I4280&lt;=6,"Medium",I4280&lt;=9,"Large")</f>
        <v>Medium</v>
      </c>
      <c r="K4280" s="36">
        <v>45086</v>
      </c>
      <c r="L4280" s="36">
        <v>45092</v>
      </c>
      <c r="M4280" t="s">
        <v>603</v>
      </c>
      <c r="N4280" t="s">
        <v>608</v>
      </c>
      <c r="O4280" s="37" t="str">
        <f t="shared" si="333"/>
        <v>Cash Payment</v>
      </c>
      <c r="P4280">
        <v>748.3</v>
      </c>
      <c r="Q4280" s="37" t="str">
        <f>IF(P4280&gt;500,"High","low")</f>
        <v>High</v>
      </c>
      <c r="R4280" s="37" t="str">
        <f t="shared" si="334"/>
        <v>Good</v>
      </c>
      <c r="S4280" t="s">
        <v>620</v>
      </c>
    </row>
    <row r="4281" spans="1:19" x14ac:dyDescent="0.2">
      <c r="A4281" t="s">
        <v>4892</v>
      </c>
      <c r="B4281" t="s">
        <v>75</v>
      </c>
      <c r="C4281" t="s">
        <v>614</v>
      </c>
      <c r="D4281">
        <v>4362.93</v>
      </c>
      <c r="E4281" s="37" t="str">
        <f t="shared" si="330"/>
        <v>Excellent Order</v>
      </c>
      <c r="F4281">
        <v>0.38</v>
      </c>
      <c r="G4281" s="37" t="str">
        <f t="shared" si="331"/>
        <v>Heavy Discount</v>
      </c>
      <c r="H4281" s="37" t="str">
        <f t="shared" si="332"/>
        <v>Medium</v>
      </c>
      <c r="I4281">
        <v>9</v>
      </c>
      <c r="J4281" t="str" cm="1">
        <f t="array" ref="J4281">_xlfn.IFS(I4281&lt;=3,"small",I4281&lt;=6,"Medium",I4281&lt;=9,"Large")</f>
        <v>Large</v>
      </c>
      <c r="K4281" s="36">
        <v>45526</v>
      </c>
      <c r="L4281" s="36">
        <v>45527</v>
      </c>
      <c r="M4281" t="s">
        <v>603</v>
      </c>
      <c r="N4281" t="s">
        <v>608</v>
      </c>
      <c r="O4281" s="37" t="str">
        <f t="shared" si="333"/>
        <v>Cash Payment</v>
      </c>
      <c r="P4281">
        <v>1201.3900000000001</v>
      </c>
      <c r="Q4281" s="37" t="str">
        <f>IF(P4281&gt;500,"High","low")</f>
        <v>High</v>
      </c>
      <c r="R4281" s="37" t="str">
        <f t="shared" si="334"/>
        <v>Excellent</v>
      </c>
      <c r="S4281" t="s">
        <v>600</v>
      </c>
    </row>
    <row r="4282" spans="1:19" x14ac:dyDescent="0.2">
      <c r="A4282" t="s">
        <v>4893</v>
      </c>
      <c r="B4282" t="s">
        <v>67</v>
      </c>
      <c r="C4282" t="s">
        <v>607</v>
      </c>
      <c r="D4282">
        <v>4099.45</v>
      </c>
      <c r="E4282" s="37" t="str">
        <f t="shared" si="330"/>
        <v>Excellent Order</v>
      </c>
      <c r="F4282">
        <v>0.46</v>
      </c>
      <c r="G4282" s="37" t="str">
        <f t="shared" si="331"/>
        <v>Heavy Discount</v>
      </c>
      <c r="H4282" s="37" t="str">
        <f t="shared" si="332"/>
        <v>High</v>
      </c>
      <c r="I4282">
        <v>7</v>
      </c>
      <c r="J4282" t="str" cm="1">
        <f t="array" ref="J4282">_xlfn.IFS(I4282&lt;=3,"small",I4282&lt;=6,"Medium",I4282&lt;=9,"Large")</f>
        <v>Large</v>
      </c>
      <c r="K4282" s="36">
        <v>45446</v>
      </c>
      <c r="L4282" s="36">
        <v>45451</v>
      </c>
      <c r="M4282" t="s">
        <v>598</v>
      </c>
      <c r="N4282" t="s">
        <v>608</v>
      </c>
      <c r="O4282" s="37" t="str">
        <f t="shared" si="333"/>
        <v>Cash Payment</v>
      </c>
      <c r="P4282">
        <v>1038.1199999999999</v>
      </c>
      <c r="Q4282" s="37" t="str">
        <f>IF(P4282&gt;500,"High","low")</f>
        <v>High</v>
      </c>
      <c r="R4282" s="37" t="str">
        <f t="shared" si="334"/>
        <v>Excellent</v>
      </c>
      <c r="S4282" t="s">
        <v>615</v>
      </c>
    </row>
    <row r="4283" spans="1:19" x14ac:dyDescent="0.2">
      <c r="A4283" t="s">
        <v>4894</v>
      </c>
      <c r="B4283" t="s">
        <v>83</v>
      </c>
      <c r="C4283" t="s">
        <v>617</v>
      </c>
      <c r="D4283">
        <v>1392.91</v>
      </c>
      <c r="E4283" s="37" t="str">
        <f t="shared" si="330"/>
        <v xml:space="preserve"> </v>
      </c>
      <c r="F4283">
        <v>0.38</v>
      </c>
      <c r="G4283" s="37" t="str">
        <f t="shared" si="331"/>
        <v>Heavy Discount</v>
      </c>
      <c r="H4283" s="37" t="str">
        <f t="shared" si="332"/>
        <v>Medium</v>
      </c>
      <c r="I4283">
        <v>8</v>
      </c>
      <c r="J4283" t="str" cm="1">
        <f t="array" ref="J4283">_xlfn.IFS(I4283&lt;=3,"small",I4283&lt;=6,"Medium",I4283&lt;=9,"Large")</f>
        <v>Large</v>
      </c>
      <c r="K4283" s="36">
        <v>45022</v>
      </c>
      <c r="L4283" s="36">
        <v>45026</v>
      </c>
      <c r="M4283" t="s">
        <v>603</v>
      </c>
      <c r="N4283" t="s">
        <v>608</v>
      </c>
      <c r="O4283" s="37" t="str">
        <f t="shared" si="333"/>
        <v>Cash Payment</v>
      </c>
      <c r="P4283">
        <v>233.82</v>
      </c>
      <c r="Q4283" s="37" t="str">
        <f>IF(P4283&gt;500,"High","low")</f>
        <v>low</v>
      </c>
      <c r="R4283" s="37" t="str">
        <f t="shared" si="334"/>
        <v>AVERAGE</v>
      </c>
      <c r="S4283" t="s">
        <v>605</v>
      </c>
    </row>
    <row r="4284" spans="1:19" x14ac:dyDescent="0.2">
      <c r="A4284" t="s">
        <v>4895</v>
      </c>
      <c r="B4284" t="s">
        <v>83</v>
      </c>
      <c r="C4284" t="s">
        <v>607</v>
      </c>
      <c r="D4284">
        <v>4164.82</v>
      </c>
      <c r="E4284" s="37" t="str">
        <f t="shared" si="330"/>
        <v>Excellent Order</v>
      </c>
      <c r="F4284">
        <v>0.11</v>
      </c>
      <c r="G4284" s="37" t="str">
        <f t="shared" si="331"/>
        <v>Normal Discount</v>
      </c>
      <c r="H4284" s="37" t="str">
        <f t="shared" si="332"/>
        <v>Low</v>
      </c>
      <c r="I4284">
        <v>7</v>
      </c>
      <c r="J4284" t="str" cm="1">
        <f t="array" ref="J4284">_xlfn.IFS(I4284&lt;=3,"small",I4284&lt;=6,"Medium",I4284&lt;=9,"Large")</f>
        <v>Large</v>
      </c>
      <c r="K4284" s="36">
        <v>44954</v>
      </c>
      <c r="L4284" s="36">
        <v>44955</v>
      </c>
      <c r="M4284" t="s">
        <v>603</v>
      </c>
      <c r="N4284" t="s">
        <v>604</v>
      </c>
      <c r="O4284" s="37" t="str">
        <f t="shared" si="333"/>
        <v>Digital Payment</v>
      </c>
      <c r="P4284">
        <v>935.04</v>
      </c>
      <c r="Q4284" s="37" t="str">
        <f>IF(P4284&gt;500,"High","low")</f>
        <v>High</v>
      </c>
      <c r="R4284" s="37" t="str">
        <f t="shared" si="334"/>
        <v>Good</v>
      </c>
      <c r="S4284" t="s">
        <v>600</v>
      </c>
    </row>
    <row r="4285" spans="1:19" x14ac:dyDescent="0.2">
      <c r="A4285" t="s">
        <v>4896</v>
      </c>
      <c r="B4285" t="s">
        <v>83</v>
      </c>
      <c r="C4285" t="s">
        <v>614</v>
      </c>
      <c r="D4285">
        <v>3535.86</v>
      </c>
      <c r="E4285" s="37" t="str">
        <f t="shared" si="330"/>
        <v xml:space="preserve"> </v>
      </c>
      <c r="F4285">
        <v>0.49</v>
      </c>
      <c r="G4285" s="37" t="str">
        <f t="shared" si="331"/>
        <v>Heavy Discount</v>
      </c>
      <c r="H4285" s="37" t="str">
        <f t="shared" si="332"/>
        <v>High</v>
      </c>
      <c r="I4285">
        <v>4</v>
      </c>
      <c r="J4285" t="str" cm="1">
        <f t="array" ref="J4285">_xlfn.IFS(I4285&lt;=3,"small",I4285&lt;=6,"Medium",I4285&lt;=9,"Large")</f>
        <v>Medium</v>
      </c>
      <c r="K4285" s="36">
        <v>45050</v>
      </c>
      <c r="L4285" s="36">
        <v>45056</v>
      </c>
      <c r="M4285" t="s">
        <v>612</v>
      </c>
      <c r="N4285" t="s">
        <v>604</v>
      </c>
      <c r="O4285" s="37" t="str">
        <f t="shared" si="333"/>
        <v>Digital Payment</v>
      </c>
      <c r="P4285">
        <v>409.96</v>
      </c>
      <c r="Q4285" s="37" t="str">
        <f>IF(P4285&gt;500,"High","low")</f>
        <v>low</v>
      </c>
      <c r="R4285" s="37" t="str">
        <f t="shared" si="334"/>
        <v>AVERAGE</v>
      </c>
      <c r="S4285" t="s">
        <v>615</v>
      </c>
    </row>
    <row r="4286" spans="1:19" x14ac:dyDescent="0.2">
      <c r="A4286" t="s">
        <v>4897</v>
      </c>
      <c r="B4286" t="s">
        <v>90</v>
      </c>
      <c r="C4286" t="s">
        <v>617</v>
      </c>
      <c r="D4286">
        <v>4950.16</v>
      </c>
      <c r="E4286" s="37" t="str">
        <f t="shared" si="330"/>
        <v xml:space="preserve"> </v>
      </c>
      <c r="F4286">
        <v>0.21</v>
      </c>
      <c r="G4286" s="37" t="str">
        <f t="shared" si="331"/>
        <v>Normal Discount</v>
      </c>
      <c r="H4286" s="37" t="str">
        <f t="shared" si="332"/>
        <v>Medium</v>
      </c>
      <c r="I4286">
        <v>9</v>
      </c>
      <c r="J4286" t="str" cm="1">
        <f t="array" ref="J4286">_xlfn.IFS(I4286&lt;=3,"small",I4286&lt;=6,"Medium",I4286&lt;=9,"Large")</f>
        <v>Large</v>
      </c>
      <c r="K4286" s="36">
        <v>45633</v>
      </c>
      <c r="L4286" s="36">
        <v>45638</v>
      </c>
      <c r="M4286" t="s">
        <v>603</v>
      </c>
      <c r="N4286" t="s">
        <v>608</v>
      </c>
      <c r="O4286" s="37" t="str">
        <f t="shared" si="333"/>
        <v>Cash Payment</v>
      </c>
      <c r="P4286">
        <v>343.03</v>
      </c>
      <c r="Q4286" s="37" t="str">
        <f>IF(P4286&gt;500,"High","low")</f>
        <v>low</v>
      </c>
      <c r="R4286" s="37" t="str">
        <f t="shared" si="334"/>
        <v>AVERAGE</v>
      </c>
      <c r="S4286" t="s">
        <v>620</v>
      </c>
    </row>
    <row r="4287" spans="1:19" x14ac:dyDescent="0.2">
      <c r="A4287" t="s">
        <v>4898</v>
      </c>
      <c r="B4287" t="s">
        <v>67</v>
      </c>
      <c r="C4287" t="s">
        <v>617</v>
      </c>
      <c r="D4287">
        <v>4683.6899999999996</v>
      </c>
      <c r="E4287" s="37" t="str">
        <f t="shared" si="330"/>
        <v xml:space="preserve"> </v>
      </c>
      <c r="F4287">
        <v>0.19</v>
      </c>
      <c r="G4287" s="37" t="str">
        <f t="shared" si="331"/>
        <v>Normal Discount</v>
      </c>
      <c r="H4287" s="37" t="str">
        <f t="shared" si="332"/>
        <v>Low</v>
      </c>
      <c r="I4287">
        <v>2</v>
      </c>
      <c r="J4287" t="str" cm="1">
        <f t="array" ref="J4287">_xlfn.IFS(I4287&lt;=3,"small",I4287&lt;=6,"Medium",I4287&lt;=9,"Large")</f>
        <v>small</v>
      </c>
      <c r="K4287" s="36">
        <v>45573</v>
      </c>
      <c r="L4287" s="36">
        <v>45578</v>
      </c>
      <c r="M4287" t="s">
        <v>598</v>
      </c>
      <c r="N4287" t="s">
        <v>599</v>
      </c>
      <c r="O4287" s="37" t="str">
        <f t="shared" si="333"/>
        <v>Digital Payment</v>
      </c>
      <c r="P4287">
        <v>419.21</v>
      </c>
      <c r="Q4287" s="37" t="str">
        <f>IF(P4287&gt;500,"High","low")</f>
        <v>low</v>
      </c>
      <c r="R4287" s="37" t="str">
        <f t="shared" si="334"/>
        <v>AVERAGE</v>
      </c>
      <c r="S4287" t="s">
        <v>605</v>
      </c>
    </row>
    <row r="4288" spans="1:19" x14ac:dyDescent="0.2">
      <c r="A4288" t="s">
        <v>4899</v>
      </c>
      <c r="B4288" t="s">
        <v>67</v>
      </c>
      <c r="C4288" t="s">
        <v>607</v>
      </c>
      <c r="D4288">
        <v>2712.37</v>
      </c>
      <c r="E4288" s="37" t="str">
        <f t="shared" si="330"/>
        <v xml:space="preserve"> </v>
      </c>
      <c r="F4288">
        <v>0.43</v>
      </c>
      <c r="G4288" s="37" t="str">
        <f t="shared" si="331"/>
        <v>Heavy Discount</v>
      </c>
      <c r="H4288" s="37" t="str">
        <f t="shared" si="332"/>
        <v>High</v>
      </c>
      <c r="I4288">
        <v>5</v>
      </c>
      <c r="J4288" t="str" cm="1">
        <f t="array" ref="J4288">_xlfn.IFS(I4288&lt;=3,"small",I4288&lt;=6,"Medium",I4288&lt;=9,"Large")</f>
        <v>Medium</v>
      </c>
      <c r="K4288" s="36">
        <v>45060</v>
      </c>
      <c r="L4288" s="36">
        <v>45066</v>
      </c>
      <c r="M4288" t="s">
        <v>612</v>
      </c>
      <c r="N4288" t="s">
        <v>599</v>
      </c>
      <c r="O4288" s="37" t="str">
        <f t="shared" si="333"/>
        <v>Digital Payment</v>
      </c>
      <c r="P4288">
        <v>151.94</v>
      </c>
      <c r="Q4288" s="37" t="str">
        <f>IF(P4288&gt;500,"High","low")</f>
        <v>low</v>
      </c>
      <c r="R4288" s="37" t="str">
        <f t="shared" si="334"/>
        <v>AVERAGE</v>
      </c>
      <c r="S4288" t="s">
        <v>609</v>
      </c>
    </row>
    <row r="4289" spans="1:19" x14ac:dyDescent="0.2">
      <c r="A4289" t="s">
        <v>4900</v>
      </c>
      <c r="B4289" t="s">
        <v>75</v>
      </c>
      <c r="C4289" t="s">
        <v>617</v>
      </c>
      <c r="D4289">
        <v>3774.65</v>
      </c>
      <c r="E4289" s="37" t="str">
        <f t="shared" si="330"/>
        <v xml:space="preserve"> </v>
      </c>
      <c r="F4289">
        <v>0.03</v>
      </c>
      <c r="G4289" s="37" t="str">
        <f t="shared" si="331"/>
        <v>Normal Discount</v>
      </c>
      <c r="H4289" s="37" t="str">
        <f t="shared" si="332"/>
        <v>Low</v>
      </c>
      <c r="I4289">
        <v>2</v>
      </c>
      <c r="J4289" t="str" cm="1">
        <f t="array" ref="J4289">_xlfn.IFS(I4289&lt;=3,"small",I4289&lt;=6,"Medium",I4289&lt;=9,"Large")</f>
        <v>small</v>
      </c>
      <c r="K4289" s="36">
        <v>45403</v>
      </c>
      <c r="L4289" s="36">
        <v>45406</v>
      </c>
      <c r="M4289" t="s">
        <v>598</v>
      </c>
      <c r="N4289" t="s">
        <v>604</v>
      </c>
      <c r="O4289" s="37" t="str">
        <f t="shared" si="333"/>
        <v>Digital Payment</v>
      </c>
      <c r="P4289">
        <v>608.20000000000005</v>
      </c>
      <c r="Q4289" s="37" t="str">
        <f>IF(P4289&gt;500,"High","low")</f>
        <v>High</v>
      </c>
      <c r="R4289" s="37" t="str">
        <f t="shared" si="334"/>
        <v>Good</v>
      </c>
      <c r="S4289" t="s">
        <v>615</v>
      </c>
    </row>
    <row r="4290" spans="1:19" x14ac:dyDescent="0.2">
      <c r="A4290" t="s">
        <v>4901</v>
      </c>
      <c r="B4290" t="s">
        <v>90</v>
      </c>
      <c r="C4290" t="s">
        <v>607</v>
      </c>
      <c r="D4290">
        <v>2893.88</v>
      </c>
      <c r="E4290" s="37" t="str">
        <f t="shared" si="330"/>
        <v xml:space="preserve"> </v>
      </c>
      <c r="F4290">
        <v>0.28000000000000003</v>
      </c>
      <c r="G4290" s="37" t="str">
        <f t="shared" si="331"/>
        <v>Normal Discount</v>
      </c>
      <c r="H4290" s="37" t="str">
        <f t="shared" si="332"/>
        <v>Medium</v>
      </c>
      <c r="I4290">
        <v>8</v>
      </c>
      <c r="J4290" t="str" cm="1">
        <f t="array" ref="J4290">_xlfn.IFS(I4290&lt;=3,"small",I4290&lt;=6,"Medium",I4290&lt;=9,"Large")</f>
        <v>Large</v>
      </c>
      <c r="K4290" s="36">
        <v>45483</v>
      </c>
      <c r="L4290" s="36">
        <v>45487</v>
      </c>
      <c r="M4290" t="s">
        <v>598</v>
      </c>
      <c r="N4290" t="s">
        <v>604</v>
      </c>
      <c r="O4290" s="37" t="str">
        <f t="shared" si="333"/>
        <v>Digital Payment</v>
      </c>
      <c r="P4290">
        <v>619.04</v>
      </c>
      <c r="Q4290" s="37" t="str">
        <f>IF(P4290&gt;500,"High","low")</f>
        <v>High</v>
      </c>
      <c r="R4290" s="37" t="str">
        <f t="shared" si="334"/>
        <v>Good</v>
      </c>
      <c r="S4290" t="s">
        <v>609</v>
      </c>
    </row>
    <row r="4291" spans="1:19" x14ac:dyDescent="0.2">
      <c r="A4291" t="s">
        <v>4902</v>
      </c>
      <c r="B4291" t="s">
        <v>83</v>
      </c>
      <c r="C4291" t="s">
        <v>597</v>
      </c>
      <c r="D4291">
        <v>3015.48</v>
      </c>
      <c r="E4291" s="37" t="str">
        <f t="shared" ref="E4291:E4354" si="335">IF(AND(D4291&gt;4000,P4291&gt;800),"Excellent Order"," ")</f>
        <v xml:space="preserve"> </v>
      </c>
      <c r="F4291">
        <v>0.48</v>
      </c>
      <c r="G4291" s="37" t="str">
        <f t="shared" ref="G4291:G4354" si="336">IF(F4291&gt;30%,"Heavy Discount","Normal Discount")</f>
        <v>Heavy Discount</v>
      </c>
      <c r="H4291" s="37" t="str">
        <f t="shared" ref="H4291:H4354" si="337">IF(F4291&gt;0.4,"High",IF(F4291&gt;=0.2,"Medium","Low"))</f>
        <v>High</v>
      </c>
      <c r="I4291">
        <v>9</v>
      </c>
      <c r="J4291" t="str" cm="1">
        <f t="array" ref="J4291">_xlfn.IFS(I4291&lt;=3,"small",I4291&lt;=6,"Medium",I4291&lt;=9,"Large")</f>
        <v>Large</v>
      </c>
      <c r="K4291" s="36">
        <v>44940</v>
      </c>
      <c r="L4291" s="36">
        <v>44941</v>
      </c>
      <c r="M4291" t="s">
        <v>598</v>
      </c>
      <c r="N4291" t="s">
        <v>604</v>
      </c>
      <c r="O4291" s="37" t="str">
        <f t="shared" ref="O4291:O4354" si="338">IF(OR(N4291="Card",N4291="UPI"),"Digital Payment","Cash Payment")</f>
        <v>Digital Payment</v>
      </c>
      <c r="P4291">
        <v>175.97</v>
      </c>
      <c r="Q4291" s="37" t="str">
        <f>IF(P4291&gt;500,"High","low")</f>
        <v>low</v>
      </c>
      <c r="R4291" s="37" t="str">
        <f t="shared" ref="R4291:R4354" si="339">IF(P4291&gt;1000,"Excellent",IF(P4291&gt;=500,"Good","AVERAGE"))</f>
        <v>AVERAGE</v>
      </c>
      <c r="S4291" t="s">
        <v>609</v>
      </c>
    </row>
    <row r="4292" spans="1:19" x14ac:dyDescent="0.2">
      <c r="A4292" t="s">
        <v>4903</v>
      </c>
      <c r="B4292" t="s">
        <v>90</v>
      </c>
      <c r="C4292" t="s">
        <v>617</v>
      </c>
      <c r="D4292">
        <v>597.35</v>
      </c>
      <c r="E4292" s="37" t="str">
        <f t="shared" si="335"/>
        <v xml:space="preserve"> </v>
      </c>
      <c r="F4292">
        <v>0.05</v>
      </c>
      <c r="G4292" s="37" t="str">
        <f t="shared" si="336"/>
        <v>Normal Discount</v>
      </c>
      <c r="H4292" s="37" t="str">
        <f t="shared" si="337"/>
        <v>Low</v>
      </c>
      <c r="I4292">
        <v>3</v>
      </c>
      <c r="J4292" t="str" cm="1">
        <f t="array" ref="J4292">_xlfn.IFS(I4292&lt;=3,"small",I4292&lt;=6,"Medium",I4292&lt;=9,"Large")</f>
        <v>small</v>
      </c>
      <c r="K4292" s="36">
        <v>45099</v>
      </c>
      <c r="L4292" s="36">
        <v>45100</v>
      </c>
      <c r="M4292" t="s">
        <v>603</v>
      </c>
      <c r="N4292" t="s">
        <v>599</v>
      </c>
      <c r="O4292" s="37" t="str">
        <f t="shared" si="338"/>
        <v>Digital Payment</v>
      </c>
      <c r="P4292">
        <v>37.61</v>
      </c>
      <c r="Q4292" s="37" t="str">
        <f>IF(P4292&gt;500,"High","low")</f>
        <v>low</v>
      </c>
      <c r="R4292" s="37" t="str">
        <f t="shared" si="339"/>
        <v>AVERAGE</v>
      </c>
      <c r="S4292" t="s">
        <v>609</v>
      </c>
    </row>
    <row r="4293" spans="1:19" x14ac:dyDescent="0.2">
      <c r="A4293" t="s">
        <v>4904</v>
      </c>
      <c r="B4293" t="s">
        <v>67</v>
      </c>
      <c r="C4293" t="s">
        <v>607</v>
      </c>
      <c r="D4293">
        <v>111</v>
      </c>
      <c r="E4293" s="37" t="str">
        <f t="shared" si="335"/>
        <v xml:space="preserve"> </v>
      </c>
      <c r="F4293">
        <v>0.27</v>
      </c>
      <c r="G4293" s="37" t="str">
        <f t="shared" si="336"/>
        <v>Normal Discount</v>
      </c>
      <c r="H4293" s="37" t="str">
        <f t="shared" si="337"/>
        <v>Medium</v>
      </c>
      <c r="I4293">
        <v>5</v>
      </c>
      <c r="J4293" t="str" cm="1">
        <f t="array" ref="J4293">_xlfn.IFS(I4293&lt;=3,"small",I4293&lt;=6,"Medium",I4293&lt;=9,"Large")</f>
        <v>Medium</v>
      </c>
      <c r="K4293" s="36">
        <v>45625</v>
      </c>
      <c r="L4293" s="36">
        <v>45631</v>
      </c>
      <c r="M4293" t="s">
        <v>603</v>
      </c>
      <c r="N4293" t="s">
        <v>604</v>
      </c>
      <c r="O4293" s="37" t="str">
        <f t="shared" si="338"/>
        <v>Digital Payment</v>
      </c>
      <c r="P4293">
        <v>20</v>
      </c>
      <c r="Q4293" s="37" t="str">
        <f>IF(P4293&gt;500,"High","low")</f>
        <v>low</v>
      </c>
      <c r="R4293" s="37" t="str">
        <f t="shared" si="339"/>
        <v>AVERAGE</v>
      </c>
      <c r="S4293" t="s">
        <v>620</v>
      </c>
    </row>
    <row r="4294" spans="1:19" x14ac:dyDescent="0.2">
      <c r="A4294" t="s">
        <v>4905</v>
      </c>
      <c r="B4294" t="s">
        <v>67</v>
      </c>
      <c r="C4294" t="s">
        <v>597</v>
      </c>
      <c r="D4294">
        <v>336.11</v>
      </c>
      <c r="E4294" s="37" t="str">
        <f t="shared" si="335"/>
        <v xml:space="preserve"> </v>
      </c>
      <c r="F4294">
        <v>7.0000000000000007E-2</v>
      </c>
      <c r="G4294" s="37" t="str">
        <f t="shared" si="336"/>
        <v>Normal Discount</v>
      </c>
      <c r="H4294" s="37" t="str">
        <f t="shared" si="337"/>
        <v>Low</v>
      </c>
      <c r="I4294">
        <v>9</v>
      </c>
      <c r="J4294" t="str" cm="1">
        <f t="array" ref="J4294">_xlfn.IFS(I4294&lt;=3,"small",I4294&lt;=6,"Medium",I4294&lt;=9,"Large")</f>
        <v>Large</v>
      </c>
      <c r="K4294" s="36">
        <v>45521</v>
      </c>
      <c r="L4294" s="36">
        <v>45527</v>
      </c>
      <c r="M4294" t="s">
        <v>612</v>
      </c>
      <c r="N4294" t="s">
        <v>599</v>
      </c>
      <c r="O4294" s="37" t="str">
        <f t="shared" si="338"/>
        <v>Digital Payment</v>
      </c>
      <c r="P4294">
        <v>95.76</v>
      </c>
      <c r="Q4294" s="37" t="str">
        <f>IF(P4294&gt;500,"High","low")</f>
        <v>low</v>
      </c>
      <c r="R4294" s="37" t="str">
        <f t="shared" si="339"/>
        <v>AVERAGE</v>
      </c>
      <c r="S4294" t="s">
        <v>605</v>
      </c>
    </row>
    <row r="4295" spans="1:19" x14ac:dyDescent="0.2">
      <c r="A4295" t="s">
        <v>4906</v>
      </c>
      <c r="B4295" t="s">
        <v>75</v>
      </c>
      <c r="C4295" t="s">
        <v>617</v>
      </c>
      <c r="D4295">
        <v>4836.49</v>
      </c>
      <c r="E4295" s="37" t="str">
        <f t="shared" si="335"/>
        <v xml:space="preserve"> </v>
      </c>
      <c r="F4295">
        <v>0.44</v>
      </c>
      <c r="G4295" s="37" t="str">
        <f t="shared" si="336"/>
        <v>Heavy Discount</v>
      </c>
      <c r="H4295" s="37" t="str">
        <f t="shared" si="337"/>
        <v>High</v>
      </c>
      <c r="I4295">
        <v>6</v>
      </c>
      <c r="J4295" t="str" cm="1">
        <f t="array" ref="J4295">_xlfn.IFS(I4295&lt;=3,"small",I4295&lt;=6,"Medium",I4295&lt;=9,"Large")</f>
        <v>Medium</v>
      </c>
      <c r="K4295" s="36">
        <v>45612</v>
      </c>
      <c r="L4295" s="36">
        <v>45613</v>
      </c>
      <c r="M4295" t="s">
        <v>598</v>
      </c>
      <c r="N4295" t="s">
        <v>599</v>
      </c>
      <c r="O4295" s="37" t="str">
        <f t="shared" si="338"/>
        <v>Digital Payment</v>
      </c>
      <c r="P4295">
        <v>412.77</v>
      </c>
      <c r="Q4295" s="37" t="str">
        <f>IF(P4295&gt;500,"High","low")</f>
        <v>low</v>
      </c>
      <c r="R4295" s="37" t="str">
        <f t="shared" si="339"/>
        <v>AVERAGE</v>
      </c>
      <c r="S4295" t="s">
        <v>609</v>
      </c>
    </row>
    <row r="4296" spans="1:19" x14ac:dyDescent="0.2">
      <c r="A4296" t="s">
        <v>4907</v>
      </c>
      <c r="B4296" t="s">
        <v>75</v>
      </c>
      <c r="C4296" t="s">
        <v>597</v>
      </c>
      <c r="D4296">
        <v>718.71</v>
      </c>
      <c r="E4296" s="37" t="str">
        <f t="shared" si="335"/>
        <v xml:space="preserve"> </v>
      </c>
      <c r="F4296">
        <v>0.28999999999999998</v>
      </c>
      <c r="G4296" s="37" t="str">
        <f t="shared" si="336"/>
        <v>Normal Discount</v>
      </c>
      <c r="H4296" s="37" t="str">
        <f t="shared" si="337"/>
        <v>Medium</v>
      </c>
      <c r="I4296">
        <v>3</v>
      </c>
      <c r="J4296" t="str" cm="1">
        <f t="array" ref="J4296">_xlfn.IFS(I4296&lt;=3,"small",I4296&lt;=6,"Medium",I4296&lt;=9,"Large")</f>
        <v>small</v>
      </c>
      <c r="K4296" s="36">
        <v>45241</v>
      </c>
      <c r="L4296" s="36">
        <v>45243</v>
      </c>
      <c r="M4296" t="s">
        <v>603</v>
      </c>
      <c r="N4296" t="s">
        <v>604</v>
      </c>
      <c r="O4296" s="37" t="str">
        <f t="shared" si="338"/>
        <v>Digital Payment</v>
      </c>
      <c r="P4296">
        <v>157.85</v>
      </c>
      <c r="Q4296" s="37" t="str">
        <f>IF(P4296&gt;500,"High","low")</f>
        <v>low</v>
      </c>
      <c r="R4296" s="37" t="str">
        <f t="shared" si="339"/>
        <v>AVERAGE</v>
      </c>
      <c r="S4296" t="s">
        <v>609</v>
      </c>
    </row>
    <row r="4297" spans="1:19" x14ac:dyDescent="0.2">
      <c r="A4297" t="s">
        <v>4908</v>
      </c>
      <c r="B4297" t="s">
        <v>67</v>
      </c>
      <c r="C4297" t="s">
        <v>617</v>
      </c>
      <c r="D4297">
        <v>317.51</v>
      </c>
      <c r="E4297" s="37" t="str">
        <f t="shared" si="335"/>
        <v xml:space="preserve"> </v>
      </c>
      <c r="F4297">
        <v>0.12</v>
      </c>
      <c r="G4297" s="37" t="str">
        <f t="shared" si="336"/>
        <v>Normal Discount</v>
      </c>
      <c r="H4297" s="37" t="str">
        <f t="shared" si="337"/>
        <v>Low</v>
      </c>
      <c r="I4297">
        <v>6</v>
      </c>
      <c r="J4297" t="str" cm="1">
        <f t="array" ref="J4297">_xlfn.IFS(I4297&lt;=3,"small",I4297&lt;=6,"Medium",I4297&lt;=9,"Large")</f>
        <v>Medium</v>
      </c>
      <c r="K4297" s="36">
        <v>45008</v>
      </c>
      <c r="L4297" s="36">
        <v>45009</v>
      </c>
      <c r="M4297" t="s">
        <v>598</v>
      </c>
      <c r="N4297" t="s">
        <v>608</v>
      </c>
      <c r="O4297" s="37" t="str">
        <f t="shared" si="338"/>
        <v>Cash Payment</v>
      </c>
      <c r="P4297">
        <v>67.819999999999993</v>
      </c>
      <c r="Q4297" s="37" t="str">
        <f>IF(P4297&gt;500,"High","low")</f>
        <v>low</v>
      </c>
      <c r="R4297" s="37" t="str">
        <f t="shared" si="339"/>
        <v>AVERAGE</v>
      </c>
      <c r="S4297" t="s">
        <v>605</v>
      </c>
    </row>
    <row r="4298" spans="1:19" x14ac:dyDescent="0.2">
      <c r="A4298" t="s">
        <v>4909</v>
      </c>
      <c r="B4298" t="s">
        <v>83</v>
      </c>
      <c r="C4298" t="s">
        <v>614</v>
      </c>
      <c r="D4298">
        <v>1617.26</v>
      </c>
      <c r="E4298" s="37" t="str">
        <f t="shared" si="335"/>
        <v xml:space="preserve"> </v>
      </c>
      <c r="F4298">
        <v>0.15</v>
      </c>
      <c r="G4298" s="37" t="str">
        <f t="shared" si="336"/>
        <v>Normal Discount</v>
      </c>
      <c r="H4298" s="37" t="str">
        <f t="shared" si="337"/>
        <v>Low</v>
      </c>
      <c r="I4298">
        <v>9</v>
      </c>
      <c r="J4298" t="str" cm="1">
        <f t="array" ref="J4298">_xlfn.IFS(I4298&lt;=3,"small",I4298&lt;=6,"Medium",I4298&lt;=9,"Large")</f>
        <v>Large</v>
      </c>
      <c r="K4298" s="36">
        <v>45503</v>
      </c>
      <c r="L4298" s="36">
        <v>45505</v>
      </c>
      <c r="M4298" t="s">
        <v>603</v>
      </c>
      <c r="N4298" t="s">
        <v>608</v>
      </c>
      <c r="O4298" s="37" t="str">
        <f t="shared" si="338"/>
        <v>Cash Payment</v>
      </c>
      <c r="P4298">
        <v>204.56</v>
      </c>
      <c r="Q4298" s="37" t="str">
        <f>IF(P4298&gt;500,"High","low")</f>
        <v>low</v>
      </c>
      <c r="R4298" s="37" t="str">
        <f t="shared" si="339"/>
        <v>AVERAGE</v>
      </c>
      <c r="S4298" t="s">
        <v>609</v>
      </c>
    </row>
    <row r="4299" spans="1:19" x14ac:dyDescent="0.2">
      <c r="A4299" t="s">
        <v>4910</v>
      </c>
      <c r="B4299" t="s">
        <v>83</v>
      </c>
      <c r="C4299" t="s">
        <v>614</v>
      </c>
      <c r="D4299">
        <v>2982.08</v>
      </c>
      <c r="E4299" s="37" t="str">
        <f t="shared" si="335"/>
        <v xml:space="preserve"> </v>
      </c>
      <c r="F4299">
        <v>0.26</v>
      </c>
      <c r="G4299" s="37" t="str">
        <f t="shared" si="336"/>
        <v>Normal Discount</v>
      </c>
      <c r="H4299" s="37" t="str">
        <f t="shared" si="337"/>
        <v>Medium</v>
      </c>
      <c r="I4299">
        <v>7</v>
      </c>
      <c r="J4299" t="str" cm="1">
        <f t="array" ref="J4299">_xlfn.IFS(I4299&lt;=3,"small",I4299&lt;=6,"Medium",I4299&lt;=9,"Large")</f>
        <v>Large</v>
      </c>
      <c r="K4299" s="36">
        <v>45279</v>
      </c>
      <c r="L4299" s="36">
        <v>45282</v>
      </c>
      <c r="M4299" t="s">
        <v>598</v>
      </c>
      <c r="N4299" t="s">
        <v>599</v>
      </c>
      <c r="O4299" s="37" t="str">
        <f t="shared" si="338"/>
        <v>Digital Payment</v>
      </c>
      <c r="P4299">
        <v>205.68</v>
      </c>
      <c r="Q4299" s="37" t="str">
        <f>IF(P4299&gt;500,"High","low")</f>
        <v>low</v>
      </c>
      <c r="R4299" s="37" t="str">
        <f t="shared" si="339"/>
        <v>AVERAGE</v>
      </c>
      <c r="S4299" t="s">
        <v>605</v>
      </c>
    </row>
    <row r="4300" spans="1:19" x14ac:dyDescent="0.2">
      <c r="A4300" t="s">
        <v>4911</v>
      </c>
      <c r="B4300" t="s">
        <v>90</v>
      </c>
      <c r="C4300" t="s">
        <v>607</v>
      </c>
      <c r="D4300">
        <v>4747.46</v>
      </c>
      <c r="E4300" s="37" t="str">
        <f t="shared" si="335"/>
        <v>Excellent Order</v>
      </c>
      <c r="F4300">
        <v>0.36</v>
      </c>
      <c r="G4300" s="37" t="str">
        <f t="shared" si="336"/>
        <v>Heavy Discount</v>
      </c>
      <c r="H4300" s="37" t="str">
        <f t="shared" si="337"/>
        <v>Medium</v>
      </c>
      <c r="I4300">
        <v>4</v>
      </c>
      <c r="J4300" t="str" cm="1">
        <f t="array" ref="J4300">_xlfn.IFS(I4300&lt;=3,"small",I4300&lt;=6,"Medium",I4300&lt;=9,"Large")</f>
        <v>Medium</v>
      </c>
      <c r="K4300" s="36">
        <v>44967</v>
      </c>
      <c r="L4300" s="36">
        <v>44969</v>
      </c>
      <c r="M4300" t="s">
        <v>598</v>
      </c>
      <c r="N4300" t="s">
        <v>599</v>
      </c>
      <c r="O4300" s="37" t="str">
        <f t="shared" si="338"/>
        <v>Digital Payment</v>
      </c>
      <c r="P4300">
        <v>960.39</v>
      </c>
      <c r="Q4300" s="37" t="str">
        <f>IF(P4300&gt;500,"High","low")</f>
        <v>High</v>
      </c>
      <c r="R4300" s="37" t="str">
        <f t="shared" si="339"/>
        <v>Good</v>
      </c>
      <c r="S4300" t="s">
        <v>620</v>
      </c>
    </row>
    <row r="4301" spans="1:19" x14ac:dyDescent="0.2">
      <c r="A4301" t="s">
        <v>4912</v>
      </c>
      <c r="B4301" t="s">
        <v>67</v>
      </c>
      <c r="C4301" t="s">
        <v>602</v>
      </c>
      <c r="D4301">
        <v>3529.45</v>
      </c>
      <c r="E4301" s="37" t="str">
        <f t="shared" si="335"/>
        <v xml:space="preserve"> </v>
      </c>
      <c r="F4301">
        <v>0.24</v>
      </c>
      <c r="G4301" s="37" t="str">
        <f t="shared" si="336"/>
        <v>Normal Discount</v>
      </c>
      <c r="H4301" s="37" t="str">
        <f t="shared" si="337"/>
        <v>Medium</v>
      </c>
      <c r="I4301">
        <v>4</v>
      </c>
      <c r="J4301" t="str" cm="1">
        <f t="array" ref="J4301">_xlfn.IFS(I4301&lt;=3,"small",I4301&lt;=6,"Medium",I4301&lt;=9,"Large")</f>
        <v>Medium</v>
      </c>
      <c r="K4301" s="36">
        <v>45023</v>
      </c>
      <c r="L4301" s="36">
        <v>45027</v>
      </c>
      <c r="M4301" t="s">
        <v>598</v>
      </c>
      <c r="N4301" t="s">
        <v>604</v>
      </c>
      <c r="O4301" s="37" t="str">
        <f t="shared" si="338"/>
        <v>Digital Payment</v>
      </c>
      <c r="P4301">
        <v>567.59</v>
      </c>
      <c r="Q4301" s="37" t="str">
        <f>IF(P4301&gt;500,"High","low")</f>
        <v>High</v>
      </c>
      <c r="R4301" s="37" t="str">
        <f t="shared" si="339"/>
        <v>Good</v>
      </c>
      <c r="S4301" t="s">
        <v>620</v>
      </c>
    </row>
    <row r="4302" spans="1:19" x14ac:dyDescent="0.2">
      <c r="A4302" t="s">
        <v>4913</v>
      </c>
      <c r="B4302" t="s">
        <v>67</v>
      </c>
      <c r="C4302" t="s">
        <v>614</v>
      </c>
      <c r="D4302">
        <v>1454.13</v>
      </c>
      <c r="E4302" s="37" t="str">
        <f t="shared" si="335"/>
        <v xml:space="preserve"> </v>
      </c>
      <c r="F4302">
        <v>0.09</v>
      </c>
      <c r="G4302" s="37" t="str">
        <f t="shared" si="336"/>
        <v>Normal Discount</v>
      </c>
      <c r="H4302" s="37" t="str">
        <f t="shared" si="337"/>
        <v>Low</v>
      </c>
      <c r="I4302">
        <v>1</v>
      </c>
      <c r="J4302" t="str" cm="1">
        <f t="array" ref="J4302">_xlfn.IFS(I4302&lt;=3,"small",I4302&lt;=6,"Medium",I4302&lt;=9,"Large")</f>
        <v>small</v>
      </c>
      <c r="K4302" s="36">
        <v>45163</v>
      </c>
      <c r="L4302" s="36">
        <v>45170</v>
      </c>
      <c r="M4302" t="s">
        <v>603</v>
      </c>
      <c r="N4302" t="s">
        <v>608</v>
      </c>
      <c r="O4302" s="37" t="str">
        <f t="shared" si="338"/>
        <v>Cash Payment</v>
      </c>
      <c r="P4302">
        <v>186.11</v>
      </c>
      <c r="Q4302" s="37" t="str">
        <f>IF(P4302&gt;500,"High","low")</f>
        <v>low</v>
      </c>
      <c r="R4302" s="37" t="str">
        <f t="shared" si="339"/>
        <v>AVERAGE</v>
      </c>
      <c r="S4302" t="s">
        <v>609</v>
      </c>
    </row>
    <row r="4303" spans="1:19" x14ac:dyDescent="0.2">
      <c r="A4303" t="s">
        <v>4914</v>
      </c>
      <c r="B4303" t="s">
        <v>83</v>
      </c>
      <c r="C4303" t="s">
        <v>602</v>
      </c>
      <c r="D4303">
        <v>4701.38</v>
      </c>
      <c r="E4303" s="37" t="str">
        <f t="shared" si="335"/>
        <v>Excellent Order</v>
      </c>
      <c r="F4303">
        <v>0.35</v>
      </c>
      <c r="G4303" s="37" t="str">
        <f t="shared" si="336"/>
        <v>Heavy Discount</v>
      </c>
      <c r="H4303" s="37" t="str">
        <f t="shared" si="337"/>
        <v>Medium</v>
      </c>
      <c r="I4303">
        <v>3</v>
      </c>
      <c r="J4303" t="str" cm="1">
        <f t="array" ref="J4303">_xlfn.IFS(I4303&lt;=3,"small",I4303&lt;=6,"Medium",I4303&lt;=9,"Large")</f>
        <v>small</v>
      </c>
      <c r="K4303" s="36">
        <v>45269</v>
      </c>
      <c r="L4303" s="36">
        <v>45275</v>
      </c>
      <c r="M4303" t="s">
        <v>603</v>
      </c>
      <c r="N4303" t="s">
        <v>604</v>
      </c>
      <c r="O4303" s="37" t="str">
        <f t="shared" si="338"/>
        <v>Digital Payment</v>
      </c>
      <c r="P4303">
        <v>1151.97</v>
      </c>
      <c r="Q4303" s="37" t="str">
        <f>IF(P4303&gt;500,"High","low")</f>
        <v>High</v>
      </c>
      <c r="R4303" s="37" t="str">
        <f t="shared" si="339"/>
        <v>Excellent</v>
      </c>
      <c r="S4303" t="s">
        <v>615</v>
      </c>
    </row>
    <row r="4304" spans="1:19" x14ac:dyDescent="0.2">
      <c r="A4304" t="s">
        <v>4915</v>
      </c>
      <c r="B4304" t="s">
        <v>83</v>
      </c>
      <c r="C4304" t="s">
        <v>597</v>
      </c>
      <c r="D4304">
        <v>276.60000000000002</v>
      </c>
      <c r="E4304" s="37" t="str">
        <f t="shared" si="335"/>
        <v xml:space="preserve"> </v>
      </c>
      <c r="F4304">
        <v>0.06</v>
      </c>
      <c r="G4304" s="37" t="str">
        <f t="shared" si="336"/>
        <v>Normal Discount</v>
      </c>
      <c r="H4304" s="37" t="str">
        <f t="shared" si="337"/>
        <v>Low</v>
      </c>
      <c r="I4304">
        <v>9</v>
      </c>
      <c r="J4304" t="str" cm="1">
        <f t="array" ref="J4304">_xlfn.IFS(I4304&lt;=3,"small",I4304&lt;=6,"Medium",I4304&lt;=9,"Large")</f>
        <v>Large</v>
      </c>
      <c r="K4304" s="36">
        <v>45605</v>
      </c>
      <c r="L4304" s="36">
        <v>45607</v>
      </c>
      <c r="M4304" t="s">
        <v>603</v>
      </c>
      <c r="N4304" t="s">
        <v>608</v>
      </c>
      <c r="O4304" s="37" t="str">
        <f t="shared" si="338"/>
        <v>Cash Payment</v>
      </c>
      <c r="P4304">
        <v>41.83</v>
      </c>
      <c r="Q4304" s="37" t="str">
        <f>IF(P4304&gt;500,"High","low")</f>
        <v>low</v>
      </c>
      <c r="R4304" s="37" t="str">
        <f t="shared" si="339"/>
        <v>AVERAGE</v>
      </c>
      <c r="S4304" t="s">
        <v>615</v>
      </c>
    </row>
    <row r="4305" spans="1:19" x14ac:dyDescent="0.2">
      <c r="A4305" t="s">
        <v>4916</v>
      </c>
      <c r="B4305" t="s">
        <v>67</v>
      </c>
      <c r="C4305" t="s">
        <v>597</v>
      </c>
      <c r="D4305">
        <v>4897.3599999999997</v>
      </c>
      <c r="E4305" s="37" t="str">
        <f t="shared" si="335"/>
        <v>Excellent Order</v>
      </c>
      <c r="F4305">
        <v>0.4</v>
      </c>
      <c r="G4305" s="37" t="str">
        <f t="shared" si="336"/>
        <v>Heavy Discount</v>
      </c>
      <c r="H4305" s="37" t="str">
        <f t="shared" si="337"/>
        <v>Medium</v>
      </c>
      <c r="I4305">
        <v>1</v>
      </c>
      <c r="J4305" t="str" cm="1">
        <f t="array" ref="J4305">_xlfn.IFS(I4305&lt;=3,"small",I4305&lt;=6,"Medium",I4305&lt;=9,"Large")</f>
        <v>small</v>
      </c>
      <c r="K4305" s="36">
        <v>45388</v>
      </c>
      <c r="L4305" s="36">
        <v>45394</v>
      </c>
      <c r="M4305" t="s">
        <v>603</v>
      </c>
      <c r="N4305" t="s">
        <v>599</v>
      </c>
      <c r="O4305" s="37" t="str">
        <f t="shared" si="338"/>
        <v>Digital Payment</v>
      </c>
      <c r="P4305">
        <v>1000.39</v>
      </c>
      <c r="Q4305" s="37" t="str">
        <f>IF(P4305&gt;500,"High","low")</f>
        <v>High</v>
      </c>
      <c r="R4305" s="37" t="str">
        <f t="shared" si="339"/>
        <v>Excellent</v>
      </c>
      <c r="S4305" t="s">
        <v>620</v>
      </c>
    </row>
    <row r="4306" spans="1:19" x14ac:dyDescent="0.2">
      <c r="A4306" t="s">
        <v>4917</v>
      </c>
      <c r="B4306" t="s">
        <v>75</v>
      </c>
      <c r="C4306" t="s">
        <v>602</v>
      </c>
      <c r="D4306">
        <v>387.34</v>
      </c>
      <c r="E4306" s="37" t="str">
        <f t="shared" si="335"/>
        <v xml:space="preserve"> </v>
      </c>
      <c r="F4306">
        <v>0.2</v>
      </c>
      <c r="G4306" s="37" t="str">
        <f t="shared" si="336"/>
        <v>Normal Discount</v>
      </c>
      <c r="H4306" s="37" t="str">
        <f t="shared" si="337"/>
        <v>Medium</v>
      </c>
      <c r="I4306">
        <v>2</v>
      </c>
      <c r="J4306" t="str" cm="1">
        <f t="array" ref="J4306">_xlfn.IFS(I4306&lt;=3,"small",I4306&lt;=6,"Medium",I4306&lt;=9,"Large")</f>
        <v>small</v>
      </c>
      <c r="K4306" s="36">
        <v>45120</v>
      </c>
      <c r="L4306" s="36">
        <v>45124</v>
      </c>
      <c r="M4306" t="s">
        <v>612</v>
      </c>
      <c r="N4306" t="s">
        <v>604</v>
      </c>
      <c r="O4306" s="37" t="str">
        <f t="shared" si="338"/>
        <v>Digital Payment</v>
      </c>
      <c r="P4306">
        <v>44.18</v>
      </c>
      <c r="Q4306" s="37" t="str">
        <f>IF(P4306&gt;500,"High","low")</f>
        <v>low</v>
      </c>
      <c r="R4306" s="37" t="str">
        <f t="shared" si="339"/>
        <v>AVERAGE</v>
      </c>
      <c r="S4306" t="s">
        <v>615</v>
      </c>
    </row>
    <row r="4307" spans="1:19" x14ac:dyDescent="0.2">
      <c r="A4307" t="s">
        <v>4918</v>
      </c>
      <c r="B4307" t="s">
        <v>67</v>
      </c>
      <c r="C4307" t="s">
        <v>607</v>
      </c>
      <c r="D4307">
        <v>3793.86</v>
      </c>
      <c r="E4307" s="37" t="str">
        <f t="shared" si="335"/>
        <v xml:space="preserve"> </v>
      </c>
      <c r="F4307">
        <v>0.33</v>
      </c>
      <c r="G4307" s="37" t="str">
        <f t="shared" si="336"/>
        <v>Heavy Discount</v>
      </c>
      <c r="H4307" s="37" t="str">
        <f t="shared" si="337"/>
        <v>Medium</v>
      </c>
      <c r="I4307">
        <v>2</v>
      </c>
      <c r="J4307" t="str" cm="1">
        <f t="array" ref="J4307">_xlfn.IFS(I4307&lt;=3,"small",I4307&lt;=6,"Medium",I4307&lt;=9,"Large")</f>
        <v>small</v>
      </c>
      <c r="K4307" s="36">
        <v>45259</v>
      </c>
      <c r="L4307" s="36">
        <v>45263</v>
      </c>
      <c r="M4307" t="s">
        <v>598</v>
      </c>
      <c r="N4307" t="s">
        <v>599</v>
      </c>
      <c r="O4307" s="37" t="str">
        <f t="shared" si="338"/>
        <v>Digital Payment</v>
      </c>
      <c r="P4307">
        <v>263.95999999999998</v>
      </c>
      <c r="Q4307" s="37" t="str">
        <f>IF(P4307&gt;500,"High","low")</f>
        <v>low</v>
      </c>
      <c r="R4307" s="37" t="str">
        <f t="shared" si="339"/>
        <v>AVERAGE</v>
      </c>
      <c r="S4307" t="s">
        <v>609</v>
      </c>
    </row>
    <row r="4308" spans="1:19" x14ac:dyDescent="0.2">
      <c r="A4308" t="s">
        <v>4919</v>
      </c>
      <c r="B4308" t="s">
        <v>67</v>
      </c>
      <c r="C4308" t="s">
        <v>617</v>
      </c>
      <c r="D4308">
        <v>321.95999999999998</v>
      </c>
      <c r="E4308" s="37" t="str">
        <f t="shared" si="335"/>
        <v xml:space="preserve"> </v>
      </c>
      <c r="F4308">
        <v>0.17</v>
      </c>
      <c r="G4308" s="37" t="str">
        <f t="shared" si="336"/>
        <v>Normal Discount</v>
      </c>
      <c r="H4308" s="37" t="str">
        <f t="shared" si="337"/>
        <v>Low</v>
      </c>
      <c r="I4308">
        <v>8</v>
      </c>
      <c r="J4308" t="str" cm="1">
        <f t="array" ref="J4308">_xlfn.IFS(I4308&lt;=3,"small",I4308&lt;=6,"Medium",I4308&lt;=9,"Large")</f>
        <v>Large</v>
      </c>
      <c r="K4308" s="36">
        <v>45210</v>
      </c>
      <c r="L4308" s="36">
        <v>45214</v>
      </c>
      <c r="M4308" t="s">
        <v>603</v>
      </c>
      <c r="N4308" t="s">
        <v>604</v>
      </c>
      <c r="O4308" s="37" t="str">
        <f t="shared" si="338"/>
        <v>Digital Payment</v>
      </c>
      <c r="P4308">
        <v>28.59</v>
      </c>
      <c r="Q4308" s="37" t="str">
        <f>IF(P4308&gt;500,"High","low")</f>
        <v>low</v>
      </c>
      <c r="R4308" s="37" t="str">
        <f t="shared" si="339"/>
        <v>AVERAGE</v>
      </c>
      <c r="S4308" t="s">
        <v>600</v>
      </c>
    </row>
    <row r="4309" spans="1:19" x14ac:dyDescent="0.2">
      <c r="A4309" t="s">
        <v>4920</v>
      </c>
      <c r="B4309" t="s">
        <v>83</v>
      </c>
      <c r="C4309" t="s">
        <v>602</v>
      </c>
      <c r="D4309">
        <v>4664.6499999999996</v>
      </c>
      <c r="E4309" s="37" t="str">
        <f t="shared" si="335"/>
        <v xml:space="preserve"> </v>
      </c>
      <c r="F4309">
        <v>0.33</v>
      </c>
      <c r="G4309" s="37" t="str">
        <f t="shared" si="336"/>
        <v>Heavy Discount</v>
      </c>
      <c r="H4309" s="37" t="str">
        <f t="shared" si="337"/>
        <v>Medium</v>
      </c>
      <c r="I4309">
        <v>6</v>
      </c>
      <c r="J4309" t="str" cm="1">
        <f t="array" ref="J4309">_xlfn.IFS(I4309&lt;=3,"small",I4309&lt;=6,"Medium",I4309&lt;=9,"Large")</f>
        <v>Medium</v>
      </c>
      <c r="K4309" s="36">
        <v>45341</v>
      </c>
      <c r="L4309" s="36">
        <v>45345</v>
      </c>
      <c r="M4309" t="s">
        <v>603</v>
      </c>
      <c r="N4309" t="s">
        <v>604</v>
      </c>
      <c r="O4309" s="37" t="str">
        <f t="shared" si="338"/>
        <v>Digital Payment</v>
      </c>
      <c r="P4309">
        <v>661.95</v>
      </c>
      <c r="Q4309" s="37" t="str">
        <f>IF(P4309&gt;500,"High","low")</f>
        <v>High</v>
      </c>
      <c r="R4309" s="37" t="str">
        <f t="shared" si="339"/>
        <v>Good</v>
      </c>
      <c r="S4309" t="s">
        <v>628</v>
      </c>
    </row>
    <row r="4310" spans="1:19" x14ac:dyDescent="0.2">
      <c r="A4310" t="s">
        <v>4921</v>
      </c>
      <c r="B4310" t="s">
        <v>83</v>
      </c>
      <c r="C4310" t="s">
        <v>602</v>
      </c>
      <c r="D4310">
        <v>632.46</v>
      </c>
      <c r="E4310" s="37" t="str">
        <f t="shared" si="335"/>
        <v xml:space="preserve"> </v>
      </c>
      <c r="F4310">
        <v>0.44</v>
      </c>
      <c r="G4310" s="37" t="str">
        <f t="shared" si="336"/>
        <v>Heavy Discount</v>
      </c>
      <c r="H4310" s="37" t="str">
        <f t="shared" si="337"/>
        <v>High</v>
      </c>
      <c r="I4310">
        <v>7</v>
      </c>
      <c r="J4310" t="str" cm="1">
        <f t="array" ref="J4310">_xlfn.IFS(I4310&lt;=3,"small",I4310&lt;=6,"Medium",I4310&lt;=9,"Large")</f>
        <v>Large</v>
      </c>
      <c r="K4310" s="36">
        <v>45578</v>
      </c>
      <c r="L4310" s="36">
        <v>45585</v>
      </c>
      <c r="M4310" t="s">
        <v>598</v>
      </c>
      <c r="N4310" t="s">
        <v>599</v>
      </c>
      <c r="O4310" s="37" t="str">
        <f t="shared" si="338"/>
        <v>Digital Payment</v>
      </c>
      <c r="P4310">
        <v>147.65</v>
      </c>
      <c r="Q4310" s="37" t="str">
        <f>IF(P4310&gt;500,"High","low")</f>
        <v>low</v>
      </c>
      <c r="R4310" s="37" t="str">
        <f t="shared" si="339"/>
        <v>AVERAGE</v>
      </c>
      <c r="S4310" t="s">
        <v>609</v>
      </c>
    </row>
    <row r="4311" spans="1:19" x14ac:dyDescent="0.2">
      <c r="A4311" t="s">
        <v>4922</v>
      </c>
      <c r="B4311" t="s">
        <v>75</v>
      </c>
      <c r="C4311" t="s">
        <v>602</v>
      </c>
      <c r="D4311">
        <v>347.35</v>
      </c>
      <c r="E4311" s="37" t="str">
        <f t="shared" si="335"/>
        <v xml:space="preserve"> </v>
      </c>
      <c r="F4311">
        <v>0.35</v>
      </c>
      <c r="G4311" s="37" t="str">
        <f t="shared" si="336"/>
        <v>Heavy Discount</v>
      </c>
      <c r="H4311" s="37" t="str">
        <f t="shared" si="337"/>
        <v>Medium</v>
      </c>
      <c r="I4311">
        <v>4</v>
      </c>
      <c r="J4311" t="str" cm="1">
        <f t="array" ref="J4311">_xlfn.IFS(I4311&lt;=3,"small",I4311&lt;=6,"Medium",I4311&lt;=9,"Large")</f>
        <v>Medium</v>
      </c>
      <c r="K4311" s="36">
        <v>45195</v>
      </c>
      <c r="L4311" s="36">
        <v>45202</v>
      </c>
      <c r="M4311" t="s">
        <v>598</v>
      </c>
      <c r="N4311" t="s">
        <v>599</v>
      </c>
      <c r="O4311" s="37" t="str">
        <f t="shared" si="338"/>
        <v>Digital Payment</v>
      </c>
      <c r="P4311">
        <v>68.22</v>
      </c>
      <c r="Q4311" s="37" t="str">
        <f>IF(P4311&gt;500,"High","low")</f>
        <v>low</v>
      </c>
      <c r="R4311" s="37" t="str">
        <f t="shared" si="339"/>
        <v>AVERAGE</v>
      </c>
      <c r="S4311" t="s">
        <v>605</v>
      </c>
    </row>
    <row r="4312" spans="1:19" x14ac:dyDescent="0.2">
      <c r="A4312" t="s">
        <v>4923</v>
      </c>
      <c r="B4312" t="s">
        <v>75</v>
      </c>
      <c r="C4312" t="s">
        <v>602</v>
      </c>
      <c r="D4312">
        <v>4457.3999999999996</v>
      </c>
      <c r="E4312" s="37" t="str">
        <f t="shared" si="335"/>
        <v xml:space="preserve"> </v>
      </c>
      <c r="F4312">
        <v>0.34</v>
      </c>
      <c r="G4312" s="37" t="str">
        <f t="shared" si="336"/>
        <v>Heavy Discount</v>
      </c>
      <c r="H4312" s="37" t="str">
        <f t="shared" si="337"/>
        <v>Medium</v>
      </c>
      <c r="I4312">
        <v>4</v>
      </c>
      <c r="J4312" t="str" cm="1">
        <f t="array" ref="J4312">_xlfn.IFS(I4312&lt;=3,"small",I4312&lt;=6,"Medium",I4312&lt;=9,"Large")</f>
        <v>Medium</v>
      </c>
      <c r="K4312" s="36">
        <v>45441</v>
      </c>
      <c r="L4312" s="36">
        <v>45442</v>
      </c>
      <c r="M4312" t="s">
        <v>598</v>
      </c>
      <c r="N4312" t="s">
        <v>604</v>
      </c>
      <c r="O4312" s="37" t="str">
        <f t="shared" si="338"/>
        <v>Digital Payment</v>
      </c>
      <c r="P4312">
        <v>642.09</v>
      </c>
      <c r="Q4312" s="37" t="str">
        <f>IF(P4312&gt;500,"High","low")</f>
        <v>High</v>
      </c>
      <c r="R4312" s="37" t="str">
        <f t="shared" si="339"/>
        <v>Good</v>
      </c>
      <c r="S4312" t="s">
        <v>628</v>
      </c>
    </row>
    <row r="4313" spans="1:19" x14ac:dyDescent="0.2">
      <c r="A4313" t="s">
        <v>4924</v>
      </c>
      <c r="B4313" t="s">
        <v>90</v>
      </c>
      <c r="C4313" t="s">
        <v>602</v>
      </c>
      <c r="D4313">
        <v>569.39</v>
      </c>
      <c r="E4313" s="37" t="str">
        <f t="shared" si="335"/>
        <v xml:space="preserve"> </v>
      </c>
      <c r="F4313">
        <v>0.38</v>
      </c>
      <c r="G4313" s="37" t="str">
        <f t="shared" si="336"/>
        <v>Heavy Discount</v>
      </c>
      <c r="H4313" s="37" t="str">
        <f t="shared" si="337"/>
        <v>Medium</v>
      </c>
      <c r="I4313">
        <v>4</v>
      </c>
      <c r="J4313" t="str" cm="1">
        <f t="array" ref="J4313">_xlfn.IFS(I4313&lt;=3,"small",I4313&lt;=6,"Medium",I4313&lt;=9,"Large")</f>
        <v>Medium</v>
      </c>
      <c r="K4313" s="36">
        <v>45501</v>
      </c>
      <c r="L4313" s="36">
        <v>45507</v>
      </c>
      <c r="M4313" t="s">
        <v>603</v>
      </c>
      <c r="N4313" t="s">
        <v>608</v>
      </c>
      <c r="O4313" s="37" t="str">
        <f t="shared" si="338"/>
        <v>Cash Payment</v>
      </c>
      <c r="P4313">
        <v>95.98</v>
      </c>
      <c r="Q4313" s="37" t="str">
        <f>IF(P4313&gt;500,"High","low")</f>
        <v>low</v>
      </c>
      <c r="R4313" s="37" t="str">
        <f t="shared" si="339"/>
        <v>AVERAGE</v>
      </c>
      <c r="S4313" t="s">
        <v>600</v>
      </c>
    </row>
    <row r="4314" spans="1:19" x14ac:dyDescent="0.2">
      <c r="A4314" t="s">
        <v>4925</v>
      </c>
      <c r="B4314" t="s">
        <v>67</v>
      </c>
      <c r="C4314" t="s">
        <v>607</v>
      </c>
      <c r="D4314">
        <v>4009.86</v>
      </c>
      <c r="E4314" s="37" t="str">
        <f t="shared" si="335"/>
        <v xml:space="preserve"> </v>
      </c>
      <c r="F4314">
        <v>0.25</v>
      </c>
      <c r="G4314" s="37" t="str">
        <f t="shared" si="336"/>
        <v>Normal Discount</v>
      </c>
      <c r="H4314" s="37" t="str">
        <f t="shared" si="337"/>
        <v>Medium</v>
      </c>
      <c r="I4314">
        <v>6</v>
      </c>
      <c r="J4314" t="str" cm="1">
        <f t="array" ref="J4314">_xlfn.IFS(I4314&lt;=3,"small",I4314&lt;=6,"Medium",I4314&lt;=9,"Large")</f>
        <v>Medium</v>
      </c>
      <c r="K4314" s="36">
        <v>45467</v>
      </c>
      <c r="L4314" s="36">
        <v>45471</v>
      </c>
      <c r="M4314" t="s">
        <v>612</v>
      </c>
      <c r="N4314" t="s">
        <v>604</v>
      </c>
      <c r="O4314" s="37" t="str">
        <f t="shared" si="338"/>
        <v>Digital Payment</v>
      </c>
      <c r="P4314">
        <v>783.59</v>
      </c>
      <c r="Q4314" s="37" t="str">
        <f>IF(P4314&gt;500,"High","low")</f>
        <v>High</v>
      </c>
      <c r="R4314" s="37" t="str">
        <f t="shared" si="339"/>
        <v>Good</v>
      </c>
      <c r="S4314" t="s">
        <v>609</v>
      </c>
    </row>
    <row r="4315" spans="1:19" x14ac:dyDescent="0.2">
      <c r="A4315" t="s">
        <v>4926</v>
      </c>
      <c r="B4315" t="s">
        <v>83</v>
      </c>
      <c r="C4315" t="s">
        <v>614</v>
      </c>
      <c r="D4315">
        <v>3760.47</v>
      </c>
      <c r="E4315" s="37" t="str">
        <f t="shared" si="335"/>
        <v xml:space="preserve"> </v>
      </c>
      <c r="F4315">
        <v>0.11</v>
      </c>
      <c r="G4315" s="37" t="str">
        <f t="shared" si="336"/>
        <v>Normal Discount</v>
      </c>
      <c r="H4315" s="37" t="str">
        <f t="shared" si="337"/>
        <v>Low</v>
      </c>
      <c r="I4315">
        <v>4</v>
      </c>
      <c r="J4315" t="str" cm="1">
        <f t="array" ref="J4315">_xlfn.IFS(I4315&lt;=3,"small",I4315&lt;=6,"Medium",I4315&lt;=9,"Large")</f>
        <v>Medium</v>
      </c>
      <c r="K4315" s="36">
        <v>45297</v>
      </c>
      <c r="L4315" s="36">
        <v>45302</v>
      </c>
      <c r="M4315" t="s">
        <v>612</v>
      </c>
      <c r="N4315" t="s">
        <v>599</v>
      </c>
      <c r="O4315" s="37" t="str">
        <f t="shared" si="338"/>
        <v>Digital Payment</v>
      </c>
      <c r="P4315">
        <v>347.1</v>
      </c>
      <c r="Q4315" s="37" t="str">
        <f>IF(P4315&gt;500,"High","low")</f>
        <v>low</v>
      </c>
      <c r="R4315" s="37" t="str">
        <f t="shared" si="339"/>
        <v>AVERAGE</v>
      </c>
      <c r="S4315" t="s">
        <v>628</v>
      </c>
    </row>
    <row r="4316" spans="1:19" x14ac:dyDescent="0.2">
      <c r="A4316" t="s">
        <v>4927</v>
      </c>
      <c r="B4316" t="s">
        <v>75</v>
      </c>
      <c r="C4316" t="s">
        <v>617</v>
      </c>
      <c r="D4316">
        <v>3034.5</v>
      </c>
      <c r="E4316" s="37" t="str">
        <f t="shared" si="335"/>
        <v xml:space="preserve"> </v>
      </c>
      <c r="F4316">
        <v>0.41</v>
      </c>
      <c r="G4316" s="37" t="str">
        <f t="shared" si="336"/>
        <v>Heavy Discount</v>
      </c>
      <c r="H4316" s="37" t="str">
        <f t="shared" si="337"/>
        <v>High</v>
      </c>
      <c r="I4316">
        <v>1</v>
      </c>
      <c r="J4316" t="str" cm="1">
        <f t="array" ref="J4316">_xlfn.IFS(I4316&lt;=3,"small",I4316&lt;=6,"Medium",I4316&lt;=9,"Large")</f>
        <v>small</v>
      </c>
      <c r="K4316" s="36">
        <v>44990</v>
      </c>
      <c r="L4316" s="36">
        <v>44993</v>
      </c>
      <c r="M4316" t="s">
        <v>612</v>
      </c>
      <c r="N4316" t="s">
        <v>599</v>
      </c>
      <c r="O4316" s="37" t="str">
        <f t="shared" si="338"/>
        <v>Digital Payment</v>
      </c>
      <c r="P4316">
        <v>357.92</v>
      </c>
      <c r="Q4316" s="37" t="str">
        <f>IF(P4316&gt;500,"High","low")</f>
        <v>low</v>
      </c>
      <c r="R4316" s="37" t="str">
        <f t="shared" si="339"/>
        <v>AVERAGE</v>
      </c>
      <c r="S4316" t="s">
        <v>609</v>
      </c>
    </row>
    <row r="4317" spans="1:19" x14ac:dyDescent="0.2">
      <c r="A4317" t="s">
        <v>4928</v>
      </c>
      <c r="B4317" t="s">
        <v>90</v>
      </c>
      <c r="C4317" t="s">
        <v>614</v>
      </c>
      <c r="D4317">
        <v>1952.02</v>
      </c>
      <c r="E4317" s="37" t="str">
        <f t="shared" si="335"/>
        <v xml:space="preserve"> </v>
      </c>
      <c r="F4317">
        <v>0.32</v>
      </c>
      <c r="G4317" s="37" t="str">
        <f t="shared" si="336"/>
        <v>Heavy Discount</v>
      </c>
      <c r="H4317" s="37" t="str">
        <f t="shared" si="337"/>
        <v>Medium</v>
      </c>
      <c r="I4317">
        <v>1</v>
      </c>
      <c r="J4317" t="str" cm="1">
        <f t="array" ref="J4317">_xlfn.IFS(I4317&lt;=3,"small",I4317&lt;=6,"Medium",I4317&lt;=9,"Large")</f>
        <v>small</v>
      </c>
      <c r="K4317" s="36">
        <v>45020</v>
      </c>
      <c r="L4317" s="36">
        <v>45025</v>
      </c>
      <c r="M4317" t="s">
        <v>612</v>
      </c>
      <c r="N4317" t="s">
        <v>604</v>
      </c>
      <c r="O4317" s="37" t="str">
        <f t="shared" si="338"/>
        <v>Digital Payment</v>
      </c>
      <c r="P4317">
        <v>232.54</v>
      </c>
      <c r="Q4317" s="37" t="str">
        <f>IF(P4317&gt;500,"High","low")</f>
        <v>low</v>
      </c>
      <c r="R4317" s="37" t="str">
        <f t="shared" si="339"/>
        <v>AVERAGE</v>
      </c>
      <c r="S4317" t="s">
        <v>628</v>
      </c>
    </row>
    <row r="4318" spans="1:19" x14ac:dyDescent="0.2">
      <c r="A4318" t="s">
        <v>4929</v>
      </c>
      <c r="B4318" t="s">
        <v>90</v>
      </c>
      <c r="C4318" t="s">
        <v>602</v>
      </c>
      <c r="D4318">
        <v>4586.34</v>
      </c>
      <c r="E4318" s="37" t="str">
        <f t="shared" si="335"/>
        <v xml:space="preserve"> </v>
      </c>
      <c r="F4318">
        <v>0.16</v>
      </c>
      <c r="G4318" s="37" t="str">
        <f t="shared" si="336"/>
        <v>Normal Discount</v>
      </c>
      <c r="H4318" s="37" t="str">
        <f t="shared" si="337"/>
        <v>Low</v>
      </c>
      <c r="I4318">
        <v>8</v>
      </c>
      <c r="J4318" t="str" cm="1">
        <f t="array" ref="J4318">_xlfn.IFS(I4318&lt;=3,"small",I4318&lt;=6,"Medium",I4318&lt;=9,"Large")</f>
        <v>Large</v>
      </c>
      <c r="K4318" s="36">
        <v>45258</v>
      </c>
      <c r="L4318" s="36">
        <v>45259</v>
      </c>
      <c r="M4318" t="s">
        <v>598</v>
      </c>
      <c r="N4318" t="s">
        <v>599</v>
      </c>
      <c r="O4318" s="37" t="str">
        <f t="shared" si="338"/>
        <v>Digital Payment</v>
      </c>
      <c r="P4318">
        <v>347.47</v>
      </c>
      <c r="Q4318" s="37" t="str">
        <f>IF(P4318&gt;500,"High","low")</f>
        <v>low</v>
      </c>
      <c r="R4318" s="37" t="str">
        <f t="shared" si="339"/>
        <v>AVERAGE</v>
      </c>
      <c r="S4318" t="s">
        <v>600</v>
      </c>
    </row>
    <row r="4319" spans="1:19" x14ac:dyDescent="0.2">
      <c r="A4319" t="s">
        <v>4930</v>
      </c>
      <c r="B4319" t="s">
        <v>83</v>
      </c>
      <c r="C4319" t="s">
        <v>614</v>
      </c>
      <c r="D4319">
        <v>4368.3</v>
      </c>
      <c r="E4319" s="37" t="str">
        <f t="shared" si="335"/>
        <v xml:space="preserve"> </v>
      </c>
      <c r="F4319">
        <v>0.14000000000000001</v>
      </c>
      <c r="G4319" s="37" t="str">
        <f t="shared" si="336"/>
        <v>Normal Discount</v>
      </c>
      <c r="H4319" s="37" t="str">
        <f t="shared" si="337"/>
        <v>Low</v>
      </c>
      <c r="I4319">
        <v>2</v>
      </c>
      <c r="J4319" t="str" cm="1">
        <f t="array" ref="J4319">_xlfn.IFS(I4319&lt;=3,"small",I4319&lt;=6,"Medium",I4319&lt;=9,"Large")</f>
        <v>small</v>
      </c>
      <c r="K4319" s="36">
        <v>45052</v>
      </c>
      <c r="L4319" s="36">
        <v>45056</v>
      </c>
      <c r="M4319" t="s">
        <v>612</v>
      </c>
      <c r="N4319" t="s">
        <v>604</v>
      </c>
      <c r="O4319" s="37" t="str">
        <f t="shared" si="338"/>
        <v>Digital Payment</v>
      </c>
      <c r="P4319">
        <v>436.59</v>
      </c>
      <c r="Q4319" s="37" t="str">
        <f>IF(P4319&gt;500,"High","low")</f>
        <v>low</v>
      </c>
      <c r="R4319" s="37" t="str">
        <f t="shared" si="339"/>
        <v>AVERAGE</v>
      </c>
      <c r="S4319" t="s">
        <v>615</v>
      </c>
    </row>
    <row r="4320" spans="1:19" x14ac:dyDescent="0.2">
      <c r="A4320" t="s">
        <v>4931</v>
      </c>
      <c r="B4320" t="s">
        <v>83</v>
      </c>
      <c r="C4320" t="s">
        <v>607</v>
      </c>
      <c r="D4320">
        <v>2188.61</v>
      </c>
      <c r="E4320" s="37" t="str">
        <f t="shared" si="335"/>
        <v xml:space="preserve"> </v>
      </c>
      <c r="F4320">
        <v>0.25</v>
      </c>
      <c r="G4320" s="37" t="str">
        <f t="shared" si="336"/>
        <v>Normal Discount</v>
      </c>
      <c r="H4320" s="37" t="str">
        <f t="shared" si="337"/>
        <v>Medium</v>
      </c>
      <c r="I4320">
        <v>9</v>
      </c>
      <c r="J4320" t="str" cm="1">
        <f t="array" ref="J4320">_xlfn.IFS(I4320&lt;=3,"small",I4320&lt;=6,"Medium",I4320&lt;=9,"Large")</f>
        <v>Large</v>
      </c>
      <c r="K4320" s="36">
        <v>45616</v>
      </c>
      <c r="L4320" s="36">
        <v>45618</v>
      </c>
      <c r="M4320" t="s">
        <v>612</v>
      </c>
      <c r="N4320" t="s">
        <v>604</v>
      </c>
      <c r="O4320" s="37" t="str">
        <f t="shared" si="338"/>
        <v>Digital Payment</v>
      </c>
      <c r="P4320">
        <v>415.45</v>
      </c>
      <c r="Q4320" s="37" t="str">
        <f>IF(P4320&gt;500,"High","low")</f>
        <v>low</v>
      </c>
      <c r="R4320" s="37" t="str">
        <f t="shared" si="339"/>
        <v>AVERAGE</v>
      </c>
      <c r="S4320" t="s">
        <v>628</v>
      </c>
    </row>
    <row r="4321" spans="1:19" x14ac:dyDescent="0.2">
      <c r="A4321" t="s">
        <v>4932</v>
      </c>
      <c r="B4321" t="s">
        <v>90</v>
      </c>
      <c r="C4321" t="s">
        <v>597</v>
      </c>
      <c r="D4321">
        <v>1235.45</v>
      </c>
      <c r="E4321" s="37" t="str">
        <f t="shared" si="335"/>
        <v xml:space="preserve"> </v>
      </c>
      <c r="F4321">
        <v>0.1</v>
      </c>
      <c r="G4321" s="37" t="str">
        <f t="shared" si="336"/>
        <v>Normal Discount</v>
      </c>
      <c r="H4321" s="37" t="str">
        <f t="shared" si="337"/>
        <v>Low</v>
      </c>
      <c r="I4321">
        <v>8</v>
      </c>
      <c r="J4321" t="str" cm="1">
        <f t="array" ref="J4321">_xlfn.IFS(I4321&lt;=3,"small",I4321&lt;=6,"Medium",I4321&lt;=9,"Large")</f>
        <v>Large</v>
      </c>
      <c r="K4321" s="36">
        <v>45134</v>
      </c>
      <c r="L4321" s="36">
        <v>45140</v>
      </c>
      <c r="M4321" t="s">
        <v>612</v>
      </c>
      <c r="N4321" t="s">
        <v>599</v>
      </c>
      <c r="O4321" s="37" t="str">
        <f t="shared" si="338"/>
        <v>Digital Payment</v>
      </c>
      <c r="P4321">
        <v>131.66999999999999</v>
      </c>
      <c r="Q4321" s="37" t="str">
        <f>IF(P4321&gt;500,"High","low")</f>
        <v>low</v>
      </c>
      <c r="R4321" s="37" t="str">
        <f t="shared" si="339"/>
        <v>AVERAGE</v>
      </c>
      <c r="S4321" t="s">
        <v>620</v>
      </c>
    </row>
    <row r="4322" spans="1:19" x14ac:dyDescent="0.2">
      <c r="A4322" t="s">
        <v>4933</v>
      </c>
      <c r="B4322" t="s">
        <v>75</v>
      </c>
      <c r="C4322" t="s">
        <v>614</v>
      </c>
      <c r="D4322">
        <v>1435.6</v>
      </c>
      <c r="E4322" s="37" t="str">
        <f t="shared" si="335"/>
        <v xml:space="preserve"> </v>
      </c>
      <c r="F4322">
        <v>0.44</v>
      </c>
      <c r="G4322" s="37" t="str">
        <f t="shared" si="336"/>
        <v>Heavy Discount</v>
      </c>
      <c r="H4322" s="37" t="str">
        <f t="shared" si="337"/>
        <v>High</v>
      </c>
      <c r="I4322">
        <v>1</v>
      </c>
      <c r="J4322" t="str" cm="1">
        <f t="array" ref="J4322">_xlfn.IFS(I4322&lt;=3,"small",I4322&lt;=6,"Medium",I4322&lt;=9,"Large")</f>
        <v>small</v>
      </c>
      <c r="K4322" s="36">
        <v>45278</v>
      </c>
      <c r="L4322" s="36">
        <v>45285</v>
      </c>
      <c r="M4322" t="s">
        <v>612</v>
      </c>
      <c r="N4322" t="s">
        <v>604</v>
      </c>
      <c r="O4322" s="37" t="str">
        <f t="shared" si="338"/>
        <v>Digital Payment</v>
      </c>
      <c r="P4322">
        <v>280.66000000000003</v>
      </c>
      <c r="Q4322" s="37" t="str">
        <f>IF(P4322&gt;500,"High","low")</f>
        <v>low</v>
      </c>
      <c r="R4322" s="37" t="str">
        <f t="shared" si="339"/>
        <v>AVERAGE</v>
      </c>
      <c r="S4322" t="s">
        <v>628</v>
      </c>
    </row>
    <row r="4323" spans="1:19" x14ac:dyDescent="0.2">
      <c r="A4323" t="s">
        <v>4934</v>
      </c>
      <c r="B4323" t="s">
        <v>90</v>
      </c>
      <c r="C4323" t="s">
        <v>617</v>
      </c>
      <c r="D4323">
        <v>1179.5899999999999</v>
      </c>
      <c r="E4323" s="37" t="str">
        <f t="shared" si="335"/>
        <v xml:space="preserve"> </v>
      </c>
      <c r="F4323">
        <v>0.39</v>
      </c>
      <c r="G4323" s="37" t="str">
        <f t="shared" si="336"/>
        <v>Heavy Discount</v>
      </c>
      <c r="H4323" s="37" t="str">
        <f t="shared" si="337"/>
        <v>Medium</v>
      </c>
      <c r="I4323">
        <v>8</v>
      </c>
      <c r="J4323" t="str" cm="1">
        <f t="array" ref="J4323">_xlfn.IFS(I4323&lt;=3,"small",I4323&lt;=6,"Medium",I4323&lt;=9,"Large")</f>
        <v>Large</v>
      </c>
      <c r="K4323" s="36">
        <v>45428</v>
      </c>
      <c r="L4323" s="36">
        <v>45429</v>
      </c>
      <c r="M4323" t="s">
        <v>598</v>
      </c>
      <c r="N4323" t="s">
        <v>599</v>
      </c>
      <c r="O4323" s="37" t="str">
        <f t="shared" si="338"/>
        <v>Digital Payment</v>
      </c>
      <c r="P4323">
        <v>66.06</v>
      </c>
      <c r="Q4323" s="37" t="str">
        <f>IF(P4323&gt;500,"High","low")</f>
        <v>low</v>
      </c>
      <c r="R4323" s="37" t="str">
        <f t="shared" si="339"/>
        <v>AVERAGE</v>
      </c>
      <c r="S4323" t="s">
        <v>615</v>
      </c>
    </row>
    <row r="4324" spans="1:19" x14ac:dyDescent="0.2">
      <c r="A4324" t="s">
        <v>4935</v>
      </c>
      <c r="B4324" t="s">
        <v>67</v>
      </c>
      <c r="C4324" t="s">
        <v>607</v>
      </c>
      <c r="D4324">
        <v>2752.13</v>
      </c>
      <c r="E4324" s="37" t="str">
        <f t="shared" si="335"/>
        <v xml:space="preserve"> </v>
      </c>
      <c r="F4324">
        <v>0.15</v>
      </c>
      <c r="G4324" s="37" t="str">
        <f t="shared" si="336"/>
        <v>Normal Discount</v>
      </c>
      <c r="H4324" s="37" t="str">
        <f t="shared" si="337"/>
        <v>Low</v>
      </c>
      <c r="I4324">
        <v>9</v>
      </c>
      <c r="J4324" t="str" cm="1">
        <f t="array" ref="J4324">_xlfn.IFS(I4324&lt;=3,"small",I4324&lt;=6,"Medium",I4324&lt;=9,"Large")</f>
        <v>Large</v>
      </c>
      <c r="K4324" s="36">
        <v>45583</v>
      </c>
      <c r="L4324" s="36">
        <v>45586</v>
      </c>
      <c r="M4324" t="s">
        <v>598</v>
      </c>
      <c r="N4324" t="s">
        <v>604</v>
      </c>
      <c r="O4324" s="37" t="str">
        <f t="shared" si="338"/>
        <v>Digital Payment</v>
      </c>
      <c r="P4324">
        <v>257.19</v>
      </c>
      <c r="Q4324" s="37" t="str">
        <f>IF(P4324&gt;500,"High","low")</f>
        <v>low</v>
      </c>
      <c r="R4324" s="37" t="str">
        <f t="shared" si="339"/>
        <v>AVERAGE</v>
      </c>
      <c r="S4324" t="s">
        <v>605</v>
      </c>
    </row>
    <row r="4325" spans="1:19" x14ac:dyDescent="0.2">
      <c r="A4325" t="s">
        <v>4936</v>
      </c>
      <c r="B4325" t="s">
        <v>67</v>
      </c>
      <c r="C4325" t="s">
        <v>597</v>
      </c>
      <c r="D4325">
        <v>4355.84</v>
      </c>
      <c r="E4325" s="37" t="str">
        <f t="shared" si="335"/>
        <v>Excellent Order</v>
      </c>
      <c r="F4325">
        <v>0.02</v>
      </c>
      <c r="G4325" s="37" t="str">
        <f t="shared" si="336"/>
        <v>Normal Discount</v>
      </c>
      <c r="H4325" s="37" t="str">
        <f t="shared" si="337"/>
        <v>Low</v>
      </c>
      <c r="I4325">
        <v>4</v>
      </c>
      <c r="J4325" t="str" cm="1">
        <f t="array" ref="J4325">_xlfn.IFS(I4325&lt;=3,"small",I4325&lt;=6,"Medium",I4325&lt;=9,"Large")</f>
        <v>Medium</v>
      </c>
      <c r="K4325" s="36">
        <v>45047</v>
      </c>
      <c r="L4325" s="36">
        <v>45049</v>
      </c>
      <c r="M4325" t="s">
        <v>603</v>
      </c>
      <c r="N4325" t="s">
        <v>608</v>
      </c>
      <c r="O4325" s="37" t="str">
        <f t="shared" si="338"/>
        <v>Cash Payment</v>
      </c>
      <c r="P4325">
        <v>883.75</v>
      </c>
      <c r="Q4325" s="37" t="str">
        <f>IF(P4325&gt;500,"High","low")</f>
        <v>High</v>
      </c>
      <c r="R4325" s="37" t="str">
        <f t="shared" si="339"/>
        <v>Good</v>
      </c>
      <c r="S4325" t="s">
        <v>615</v>
      </c>
    </row>
    <row r="4326" spans="1:19" x14ac:dyDescent="0.2">
      <c r="A4326" t="s">
        <v>4937</v>
      </c>
      <c r="B4326" t="s">
        <v>83</v>
      </c>
      <c r="C4326" t="s">
        <v>607</v>
      </c>
      <c r="D4326">
        <v>3890.7</v>
      </c>
      <c r="E4326" s="37" t="str">
        <f t="shared" si="335"/>
        <v xml:space="preserve"> </v>
      </c>
      <c r="F4326">
        <v>0.03</v>
      </c>
      <c r="G4326" s="37" t="str">
        <f t="shared" si="336"/>
        <v>Normal Discount</v>
      </c>
      <c r="H4326" s="37" t="str">
        <f t="shared" si="337"/>
        <v>Low</v>
      </c>
      <c r="I4326">
        <v>7</v>
      </c>
      <c r="J4326" t="str" cm="1">
        <f t="array" ref="J4326">_xlfn.IFS(I4326&lt;=3,"small",I4326&lt;=6,"Medium",I4326&lt;=9,"Large")</f>
        <v>Large</v>
      </c>
      <c r="K4326" s="36">
        <v>44982</v>
      </c>
      <c r="L4326" s="36">
        <v>44989</v>
      </c>
      <c r="M4326" t="s">
        <v>598</v>
      </c>
      <c r="N4326" t="s">
        <v>604</v>
      </c>
      <c r="O4326" s="37" t="str">
        <f t="shared" si="338"/>
        <v>Digital Payment</v>
      </c>
      <c r="P4326">
        <v>762.98</v>
      </c>
      <c r="Q4326" s="37" t="str">
        <f>IF(P4326&gt;500,"High","low")</f>
        <v>High</v>
      </c>
      <c r="R4326" s="37" t="str">
        <f t="shared" si="339"/>
        <v>Good</v>
      </c>
      <c r="S4326" t="s">
        <v>605</v>
      </c>
    </row>
    <row r="4327" spans="1:19" x14ac:dyDescent="0.2">
      <c r="A4327" t="s">
        <v>4938</v>
      </c>
      <c r="B4327" t="s">
        <v>75</v>
      </c>
      <c r="C4327" t="s">
        <v>602</v>
      </c>
      <c r="D4327">
        <v>3998</v>
      </c>
      <c r="E4327" s="37" t="str">
        <f t="shared" si="335"/>
        <v xml:space="preserve"> </v>
      </c>
      <c r="F4327">
        <v>0.15</v>
      </c>
      <c r="G4327" s="37" t="str">
        <f t="shared" si="336"/>
        <v>Normal Discount</v>
      </c>
      <c r="H4327" s="37" t="str">
        <f t="shared" si="337"/>
        <v>Low</v>
      </c>
      <c r="I4327">
        <v>4</v>
      </c>
      <c r="J4327" t="str" cm="1">
        <f t="array" ref="J4327">_xlfn.IFS(I4327&lt;=3,"small",I4327&lt;=6,"Medium",I4327&lt;=9,"Large")</f>
        <v>Medium</v>
      </c>
      <c r="K4327" s="36">
        <v>45040</v>
      </c>
      <c r="L4327" s="36">
        <v>45042</v>
      </c>
      <c r="M4327" t="s">
        <v>612</v>
      </c>
      <c r="N4327" t="s">
        <v>599</v>
      </c>
      <c r="O4327" s="37" t="str">
        <f t="shared" si="338"/>
        <v>Digital Payment</v>
      </c>
      <c r="P4327">
        <v>475.45</v>
      </c>
      <c r="Q4327" s="37" t="str">
        <f>IF(P4327&gt;500,"High","low")</f>
        <v>low</v>
      </c>
      <c r="R4327" s="37" t="str">
        <f t="shared" si="339"/>
        <v>AVERAGE</v>
      </c>
      <c r="S4327" t="s">
        <v>628</v>
      </c>
    </row>
    <row r="4328" spans="1:19" x14ac:dyDescent="0.2">
      <c r="A4328" t="s">
        <v>4939</v>
      </c>
      <c r="B4328" t="s">
        <v>75</v>
      </c>
      <c r="C4328" t="s">
        <v>597</v>
      </c>
      <c r="D4328">
        <v>2296.61</v>
      </c>
      <c r="E4328" s="37" t="str">
        <f t="shared" si="335"/>
        <v xml:space="preserve"> </v>
      </c>
      <c r="F4328">
        <v>7.0000000000000007E-2</v>
      </c>
      <c r="G4328" s="37" t="str">
        <f t="shared" si="336"/>
        <v>Normal Discount</v>
      </c>
      <c r="H4328" s="37" t="str">
        <f t="shared" si="337"/>
        <v>Low</v>
      </c>
      <c r="I4328">
        <v>3</v>
      </c>
      <c r="J4328" t="str" cm="1">
        <f t="array" ref="J4328">_xlfn.IFS(I4328&lt;=3,"small",I4328&lt;=6,"Medium",I4328&lt;=9,"Large")</f>
        <v>small</v>
      </c>
      <c r="K4328" s="36">
        <v>45649</v>
      </c>
      <c r="L4328" s="36">
        <v>45653</v>
      </c>
      <c r="M4328" t="s">
        <v>603</v>
      </c>
      <c r="N4328" t="s">
        <v>608</v>
      </c>
      <c r="O4328" s="37" t="str">
        <f t="shared" si="338"/>
        <v>Cash Payment</v>
      </c>
      <c r="P4328">
        <v>472.67</v>
      </c>
      <c r="Q4328" s="37" t="str">
        <f>IF(P4328&gt;500,"High","low")</f>
        <v>low</v>
      </c>
      <c r="R4328" s="37" t="str">
        <f t="shared" si="339"/>
        <v>AVERAGE</v>
      </c>
      <c r="S4328" t="s">
        <v>600</v>
      </c>
    </row>
    <row r="4329" spans="1:19" x14ac:dyDescent="0.2">
      <c r="A4329" t="s">
        <v>4940</v>
      </c>
      <c r="B4329" t="s">
        <v>67</v>
      </c>
      <c r="C4329" t="s">
        <v>617</v>
      </c>
      <c r="D4329">
        <v>1679.98</v>
      </c>
      <c r="E4329" s="37" t="str">
        <f t="shared" si="335"/>
        <v xml:space="preserve"> </v>
      </c>
      <c r="F4329">
        <v>0.44</v>
      </c>
      <c r="G4329" s="37" t="str">
        <f t="shared" si="336"/>
        <v>Heavy Discount</v>
      </c>
      <c r="H4329" s="37" t="str">
        <f t="shared" si="337"/>
        <v>High</v>
      </c>
      <c r="I4329">
        <v>1</v>
      </c>
      <c r="J4329" t="str" cm="1">
        <f t="array" ref="J4329">_xlfn.IFS(I4329&lt;=3,"small",I4329&lt;=6,"Medium",I4329&lt;=9,"Large")</f>
        <v>small</v>
      </c>
      <c r="K4329" s="36">
        <v>45445</v>
      </c>
      <c r="L4329" s="36">
        <v>45448</v>
      </c>
      <c r="M4329" t="s">
        <v>603</v>
      </c>
      <c r="N4329" t="s">
        <v>599</v>
      </c>
      <c r="O4329" s="37" t="str">
        <f t="shared" si="338"/>
        <v>Digital Payment</v>
      </c>
      <c r="P4329">
        <v>153.68</v>
      </c>
      <c r="Q4329" s="37" t="str">
        <f>IF(P4329&gt;500,"High","low")</f>
        <v>low</v>
      </c>
      <c r="R4329" s="37" t="str">
        <f t="shared" si="339"/>
        <v>AVERAGE</v>
      </c>
      <c r="S4329" t="s">
        <v>620</v>
      </c>
    </row>
    <row r="4330" spans="1:19" x14ac:dyDescent="0.2">
      <c r="A4330" t="s">
        <v>4941</v>
      </c>
      <c r="B4330" t="s">
        <v>90</v>
      </c>
      <c r="C4330" t="s">
        <v>597</v>
      </c>
      <c r="D4330">
        <v>3811.04</v>
      </c>
      <c r="E4330" s="37" t="str">
        <f t="shared" si="335"/>
        <v xml:space="preserve"> </v>
      </c>
      <c r="F4330">
        <v>0.21</v>
      </c>
      <c r="G4330" s="37" t="str">
        <f t="shared" si="336"/>
        <v>Normal Discount</v>
      </c>
      <c r="H4330" s="37" t="str">
        <f t="shared" si="337"/>
        <v>Medium</v>
      </c>
      <c r="I4330">
        <v>2</v>
      </c>
      <c r="J4330" t="str" cm="1">
        <f t="array" ref="J4330">_xlfn.IFS(I4330&lt;=3,"small",I4330&lt;=6,"Medium",I4330&lt;=9,"Large")</f>
        <v>small</v>
      </c>
      <c r="K4330" s="36">
        <v>45222</v>
      </c>
      <c r="L4330" s="36">
        <v>45228</v>
      </c>
      <c r="M4330" t="s">
        <v>598</v>
      </c>
      <c r="N4330" t="s">
        <v>608</v>
      </c>
      <c r="O4330" s="37" t="str">
        <f t="shared" si="338"/>
        <v>Cash Payment</v>
      </c>
      <c r="P4330">
        <v>969.46</v>
      </c>
      <c r="Q4330" s="37" t="str">
        <f>IF(P4330&gt;500,"High","low")</f>
        <v>High</v>
      </c>
      <c r="R4330" s="37" t="str">
        <f t="shared" si="339"/>
        <v>Good</v>
      </c>
      <c r="S4330" t="s">
        <v>600</v>
      </c>
    </row>
    <row r="4331" spans="1:19" x14ac:dyDescent="0.2">
      <c r="A4331" t="s">
        <v>4942</v>
      </c>
      <c r="B4331" t="s">
        <v>83</v>
      </c>
      <c r="C4331" t="s">
        <v>617</v>
      </c>
      <c r="D4331">
        <v>3987.16</v>
      </c>
      <c r="E4331" s="37" t="str">
        <f t="shared" si="335"/>
        <v xml:space="preserve"> </v>
      </c>
      <c r="F4331">
        <v>0.17</v>
      </c>
      <c r="G4331" s="37" t="str">
        <f t="shared" si="336"/>
        <v>Normal Discount</v>
      </c>
      <c r="H4331" s="37" t="str">
        <f t="shared" si="337"/>
        <v>Low</v>
      </c>
      <c r="I4331">
        <v>7</v>
      </c>
      <c r="J4331" t="str" cm="1">
        <f t="array" ref="J4331">_xlfn.IFS(I4331&lt;=3,"small",I4331&lt;=6,"Medium",I4331&lt;=9,"Large")</f>
        <v>Large</v>
      </c>
      <c r="K4331" s="36">
        <v>45183</v>
      </c>
      <c r="L4331" s="36">
        <v>45189</v>
      </c>
      <c r="M4331" t="s">
        <v>603</v>
      </c>
      <c r="N4331" t="s">
        <v>604</v>
      </c>
      <c r="O4331" s="37" t="str">
        <f t="shared" si="338"/>
        <v>Digital Payment</v>
      </c>
      <c r="P4331">
        <v>448.88</v>
      </c>
      <c r="Q4331" s="37" t="str">
        <f>IF(P4331&gt;500,"High","low")</f>
        <v>low</v>
      </c>
      <c r="R4331" s="37" t="str">
        <f t="shared" si="339"/>
        <v>AVERAGE</v>
      </c>
      <c r="S4331" t="s">
        <v>615</v>
      </c>
    </row>
    <row r="4332" spans="1:19" x14ac:dyDescent="0.2">
      <c r="A4332" t="s">
        <v>4943</v>
      </c>
      <c r="B4332" t="s">
        <v>90</v>
      </c>
      <c r="C4332" t="s">
        <v>602</v>
      </c>
      <c r="D4332">
        <v>3507.23</v>
      </c>
      <c r="E4332" s="37" t="str">
        <f t="shared" si="335"/>
        <v xml:space="preserve"> </v>
      </c>
      <c r="F4332">
        <v>0.11</v>
      </c>
      <c r="G4332" s="37" t="str">
        <f t="shared" si="336"/>
        <v>Normal Discount</v>
      </c>
      <c r="H4332" s="37" t="str">
        <f t="shared" si="337"/>
        <v>Low</v>
      </c>
      <c r="I4332">
        <v>6</v>
      </c>
      <c r="J4332" t="str" cm="1">
        <f t="array" ref="J4332">_xlfn.IFS(I4332&lt;=3,"small",I4332&lt;=6,"Medium",I4332&lt;=9,"Large")</f>
        <v>Medium</v>
      </c>
      <c r="K4332" s="36">
        <v>45096</v>
      </c>
      <c r="L4332" s="36">
        <v>45103</v>
      </c>
      <c r="M4332" t="s">
        <v>598</v>
      </c>
      <c r="N4332" t="s">
        <v>608</v>
      </c>
      <c r="O4332" s="37" t="str">
        <f t="shared" si="338"/>
        <v>Cash Payment</v>
      </c>
      <c r="P4332">
        <v>585.1</v>
      </c>
      <c r="Q4332" s="37" t="str">
        <f>IF(P4332&gt;500,"High","low")</f>
        <v>High</v>
      </c>
      <c r="R4332" s="37" t="str">
        <f t="shared" si="339"/>
        <v>Good</v>
      </c>
      <c r="S4332" t="s">
        <v>600</v>
      </c>
    </row>
    <row r="4333" spans="1:19" x14ac:dyDescent="0.2">
      <c r="A4333" t="s">
        <v>4944</v>
      </c>
      <c r="B4333" t="s">
        <v>90</v>
      </c>
      <c r="C4333" t="s">
        <v>617</v>
      </c>
      <c r="D4333">
        <v>257.32</v>
      </c>
      <c r="E4333" s="37" t="str">
        <f t="shared" si="335"/>
        <v xml:space="preserve"> </v>
      </c>
      <c r="F4333">
        <v>0.42</v>
      </c>
      <c r="G4333" s="37" t="str">
        <f t="shared" si="336"/>
        <v>Heavy Discount</v>
      </c>
      <c r="H4333" s="37" t="str">
        <f t="shared" si="337"/>
        <v>High</v>
      </c>
      <c r="I4333">
        <v>8</v>
      </c>
      <c r="J4333" t="str" cm="1">
        <f t="array" ref="J4333">_xlfn.IFS(I4333&lt;=3,"small",I4333&lt;=6,"Medium",I4333&lt;=9,"Large")</f>
        <v>Large</v>
      </c>
      <c r="K4333" s="36">
        <v>45090</v>
      </c>
      <c r="L4333" s="36">
        <v>45093</v>
      </c>
      <c r="M4333" t="s">
        <v>603</v>
      </c>
      <c r="N4333" t="s">
        <v>599</v>
      </c>
      <c r="O4333" s="37" t="str">
        <f t="shared" si="338"/>
        <v>Digital Payment</v>
      </c>
      <c r="P4333">
        <v>73.81</v>
      </c>
      <c r="Q4333" s="37" t="str">
        <f>IF(P4333&gt;500,"High","low")</f>
        <v>low</v>
      </c>
      <c r="R4333" s="37" t="str">
        <f t="shared" si="339"/>
        <v>AVERAGE</v>
      </c>
      <c r="S4333" t="s">
        <v>609</v>
      </c>
    </row>
    <row r="4334" spans="1:19" x14ac:dyDescent="0.2">
      <c r="A4334" t="s">
        <v>4945</v>
      </c>
      <c r="B4334" t="s">
        <v>90</v>
      </c>
      <c r="C4334" t="s">
        <v>607</v>
      </c>
      <c r="D4334">
        <v>2989.45</v>
      </c>
      <c r="E4334" s="37" t="str">
        <f t="shared" si="335"/>
        <v xml:space="preserve"> </v>
      </c>
      <c r="F4334">
        <v>0.4</v>
      </c>
      <c r="G4334" s="37" t="str">
        <f t="shared" si="336"/>
        <v>Heavy Discount</v>
      </c>
      <c r="H4334" s="37" t="str">
        <f t="shared" si="337"/>
        <v>Medium</v>
      </c>
      <c r="I4334">
        <v>3</v>
      </c>
      <c r="J4334" t="str" cm="1">
        <f t="array" ref="J4334">_xlfn.IFS(I4334&lt;=3,"small",I4334&lt;=6,"Medium",I4334&lt;=9,"Large")</f>
        <v>small</v>
      </c>
      <c r="K4334" s="36">
        <v>45055</v>
      </c>
      <c r="L4334" s="36">
        <v>45057</v>
      </c>
      <c r="M4334" t="s">
        <v>612</v>
      </c>
      <c r="N4334" t="s">
        <v>604</v>
      </c>
      <c r="O4334" s="37" t="str">
        <f t="shared" si="338"/>
        <v>Digital Payment</v>
      </c>
      <c r="P4334">
        <v>581.29999999999995</v>
      </c>
      <c r="Q4334" s="37" t="str">
        <f>IF(P4334&gt;500,"High","low")</f>
        <v>High</v>
      </c>
      <c r="R4334" s="37" t="str">
        <f t="shared" si="339"/>
        <v>Good</v>
      </c>
      <c r="S4334" t="s">
        <v>605</v>
      </c>
    </row>
    <row r="4335" spans="1:19" x14ac:dyDescent="0.2">
      <c r="A4335" t="s">
        <v>4946</v>
      </c>
      <c r="B4335" t="s">
        <v>75</v>
      </c>
      <c r="C4335" t="s">
        <v>614</v>
      </c>
      <c r="D4335">
        <v>1800.52</v>
      </c>
      <c r="E4335" s="37" t="str">
        <f t="shared" si="335"/>
        <v xml:space="preserve"> </v>
      </c>
      <c r="F4335">
        <v>0.19</v>
      </c>
      <c r="G4335" s="37" t="str">
        <f t="shared" si="336"/>
        <v>Normal Discount</v>
      </c>
      <c r="H4335" s="37" t="str">
        <f t="shared" si="337"/>
        <v>Low</v>
      </c>
      <c r="I4335">
        <v>6</v>
      </c>
      <c r="J4335" t="str" cm="1">
        <f t="array" ref="J4335">_xlfn.IFS(I4335&lt;=3,"small",I4335&lt;=6,"Medium",I4335&lt;=9,"Large")</f>
        <v>Medium</v>
      </c>
      <c r="K4335" s="36">
        <v>45654</v>
      </c>
      <c r="L4335" s="36">
        <v>45657</v>
      </c>
      <c r="M4335" t="s">
        <v>612</v>
      </c>
      <c r="N4335" t="s">
        <v>608</v>
      </c>
      <c r="O4335" s="37" t="str">
        <f t="shared" si="338"/>
        <v>Cash Payment</v>
      </c>
      <c r="P4335">
        <v>428.65</v>
      </c>
      <c r="Q4335" s="37" t="str">
        <f>IF(P4335&gt;500,"High","low")</f>
        <v>low</v>
      </c>
      <c r="R4335" s="37" t="str">
        <f t="shared" si="339"/>
        <v>AVERAGE</v>
      </c>
      <c r="S4335" t="s">
        <v>600</v>
      </c>
    </row>
    <row r="4336" spans="1:19" x14ac:dyDescent="0.2">
      <c r="A4336" t="s">
        <v>4947</v>
      </c>
      <c r="B4336" t="s">
        <v>67</v>
      </c>
      <c r="C4336" t="s">
        <v>607</v>
      </c>
      <c r="D4336">
        <v>1061.3399999999999</v>
      </c>
      <c r="E4336" s="37" t="str">
        <f t="shared" si="335"/>
        <v xml:space="preserve"> </v>
      </c>
      <c r="F4336">
        <v>0.08</v>
      </c>
      <c r="G4336" s="37" t="str">
        <f t="shared" si="336"/>
        <v>Normal Discount</v>
      </c>
      <c r="H4336" s="37" t="str">
        <f t="shared" si="337"/>
        <v>Low</v>
      </c>
      <c r="I4336">
        <v>6</v>
      </c>
      <c r="J4336" t="str" cm="1">
        <f t="array" ref="J4336">_xlfn.IFS(I4336&lt;=3,"small",I4336&lt;=6,"Medium",I4336&lt;=9,"Large")</f>
        <v>Medium</v>
      </c>
      <c r="K4336" s="36">
        <v>45117</v>
      </c>
      <c r="L4336" s="36">
        <v>45122</v>
      </c>
      <c r="M4336" t="s">
        <v>612</v>
      </c>
      <c r="N4336" t="s">
        <v>608</v>
      </c>
      <c r="O4336" s="37" t="str">
        <f t="shared" si="338"/>
        <v>Cash Payment</v>
      </c>
      <c r="P4336">
        <v>250.88</v>
      </c>
      <c r="Q4336" s="37" t="str">
        <f>IF(P4336&gt;500,"High","low")</f>
        <v>low</v>
      </c>
      <c r="R4336" s="37" t="str">
        <f t="shared" si="339"/>
        <v>AVERAGE</v>
      </c>
      <c r="S4336" t="s">
        <v>628</v>
      </c>
    </row>
    <row r="4337" spans="1:19" x14ac:dyDescent="0.2">
      <c r="A4337" t="s">
        <v>4948</v>
      </c>
      <c r="B4337" t="s">
        <v>75</v>
      </c>
      <c r="C4337" t="s">
        <v>607</v>
      </c>
      <c r="D4337">
        <v>3502.54</v>
      </c>
      <c r="E4337" s="37" t="str">
        <f t="shared" si="335"/>
        <v xml:space="preserve"> </v>
      </c>
      <c r="F4337">
        <v>0.48</v>
      </c>
      <c r="G4337" s="37" t="str">
        <f t="shared" si="336"/>
        <v>Heavy Discount</v>
      </c>
      <c r="H4337" s="37" t="str">
        <f t="shared" si="337"/>
        <v>High</v>
      </c>
      <c r="I4337">
        <v>2</v>
      </c>
      <c r="J4337" t="str" cm="1">
        <f t="array" ref="J4337">_xlfn.IFS(I4337&lt;=3,"small",I4337&lt;=6,"Medium",I4337&lt;=9,"Large")</f>
        <v>small</v>
      </c>
      <c r="K4337" s="36">
        <v>45512</v>
      </c>
      <c r="L4337" s="36">
        <v>45516</v>
      </c>
      <c r="M4337" t="s">
        <v>603</v>
      </c>
      <c r="N4337" t="s">
        <v>604</v>
      </c>
      <c r="O4337" s="37" t="str">
        <f t="shared" si="338"/>
        <v>Digital Payment</v>
      </c>
      <c r="P4337">
        <v>509.08</v>
      </c>
      <c r="Q4337" s="37" t="str">
        <f>IF(P4337&gt;500,"High","low")</f>
        <v>High</v>
      </c>
      <c r="R4337" s="37" t="str">
        <f t="shared" si="339"/>
        <v>Good</v>
      </c>
      <c r="S4337" t="s">
        <v>609</v>
      </c>
    </row>
    <row r="4338" spans="1:19" x14ac:dyDescent="0.2">
      <c r="A4338" t="s">
        <v>4949</v>
      </c>
      <c r="B4338" t="s">
        <v>67</v>
      </c>
      <c r="C4338" t="s">
        <v>597</v>
      </c>
      <c r="D4338">
        <v>1415.78</v>
      </c>
      <c r="E4338" s="37" t="str">
        <f t="shared" si="335"/>
        <v xml:space="preserve"> </v>
      </c>
      <c r="F4338">
        <v>0.16</v>
      </c>
      <c r="G4338" s="37" t="str">
        <f t="shared" si="336"/>
        <v>Normal Discount</v>
      </c>
      <c r="H4338" s="37" t="str">
        <f t="shared" si="337"/>
        <v>Low</v>
      </c>
      <c r="I4338">
        <v>1</v>
      </c>
      <c r="J4338" t="str" cm="1">
        <f t="array" ref="J4338">_xlfn.IFS(I4338&lt;=3,"small",I4338&lt;=6,"Medium",I4338&lt;=9,"Large")</f>
        <v>small</v>
      </c>
      <c r="K4338" s="36">
        <v>45341</v>
      </c>
      <c r="L4338" s="36">
        <v>45345</v>
      </c>
      <c r="M4338" t="s">
        <v>598</v>
      </c>
      <c r="N4338" t="s">
        <v>599</v>
      </c>
      <c r="O4338" s="37" t="str">
        <f t="shared" si="338"/>
        <v>Digital Payment</v>
      </c>
      <c r="P4338">
        <v>106.24</v>
      </c>
      <c r="Q4338" s="37" t="str">
        <f>IF(P4338&gt;500,"High","low")</f>
        <v>low</v>
      </c>
      <c r="R4338" s="37" t="str">
        <f t="shared" si="339"/>
        <v>AVERAGE</v>
      </c>
      <c r="S4338" t="s">
        <v>628</v>
      </c>
    </row>
    <row r="4339" spans="1:19" x14ac:dyDescent="0.2">
      <c r="A4339" t="s">
        <v>4950</v>
      </c>
      <c r="B4339" t="s">
        <v>83</v>
      </c>
      <c r="C4339" t="s">
        <v>602</v>
      </c>
      <c r="D4339">
        <v>4572.92</v>
      </c>
      <c r="E4339" s="37" t="str">
        <f t="shared" si="335"/>
        <v xml:space="preserve"> </v>
      </c>
      <c r="F4339">
        <v>0.39</v>
      </c>
      <c r="G4339" s="37" t="str">
        <f t="shared" si="336"/>
        <v>Heavy Discount</v>
      </c>
      <c r="H4339" s="37" t="str">
        <f t="shared" si="337"/>
        <v>Medium</v>
      </c>
      <c r="I4339">
        <v>2</v>
      </c>
      <c r="J4339" t="str" cm="1">
        <f t="array" ref="J4339">_xlfn.IFS(I4339&lt;=3,"small",I4339&lt;=6,"Medium",I4339&lt;=9,"Large")</f>
        <v>small</v>
      </c>
      <c r="K4339" s="36">
        <v>45183</v>
      </c>
      <c r="L4339" s="36">
        <v>45188</v>
      </c>
      <c r="M4339" t="s">
        <v>603</v>
      </c>
      <c r="N4339" t="s">
        <v>604</v>
      </c>
      <c r="O4339" s="37" t="str">
        <f t="shared" si="338"/>
        <v>Digital Payment</v>
      </c>
      <c r="P4339">
        <v>617.97</v>
      </c>
      <c r="Q4339" s="37" t="str">
        <f>IF(P4339&gt;500,"High","low")</f>
        <v>High</v>
      </c>
      <c r="R4339" s="37" t="str">
        <f t="shared" si="339"/>
        <v>Good</v>
      </c>
      <c r="S4339" t="s">
        <v>615</v>
      </c>
    </row>
    <row r="4340" spans="1:19" x14ac:dyDescent="0.2">
      <c r="A4340" t="s">
        <v>4951</v>
      </c>
      <c r="B4340" t="s">
        <v>83</v>
      </c>
      <c r="C4340" t="s">
        <v>614</v>
      </c>
      <c r="D4340">
        <v>1560.59</v>
      </c>
      <c r="E4340" s="37" t="str">
        <f t="shared" si="335"/>
        <v xml:space="preserve"> </v>
      </c>
      <c r="F4340">
        <v>0.23</v>
      </c>
      <c r="G4340" s="37" t="str">
        <f t="shared" si="336"/>
        <v>Normal Discount</v>
      </c>
      <c r="H4340" s="37" t="str">
        <f t="shared" si="337"/>
        <v>Medium</v>
      </c>
      <c r="I4340">
        <v>9</v>
      </c>
      <c r="J4340" t="str" cm="1">
        <f t="array" ref="J4340">_xlfn.IFS(I4340&lt;=3,"small",I4340&lt;=6,"Medium",I4340&lt;=9,"Large")</f>
        <v>Large</v>
      </c>
      <c r="K4340" s="36">
        <v>45479</v>
      </c>
      <c r="L4340" s="36">
        <v>45484</v>
      </c>
      <c r="M4340" t="s">
        <v>612</v>
      </c>
      <c r="N4340" t="s">
        <v>604</v>
      </c>
      <c r="O4340" s="37" t="str">
        <f t="shared" si="338"/>
        <v>Digital Payment</v>
      </c>
      <c r="P4340">
        <v>91.21</v>
      </c>
      <c r="Q4340" s="37" t="str">
        <f>IF(P4340&gt;500,"High","low")</f>
        <v>low</v>
      </c>
      <c r="R4340" s="37" t="str">
        <f t="shared" si="339"/>
        <v>AVERAGE</v>
      </c>
      <c r="S4340" t="s">
        <v>605</v>
      </c>
    </row>
    <row r="4341" spans="1:19" x14ac:dyDescent="0.2">
      <c r="A4341" t="s">
        <v>4952</v>
      </c>
      <c r="B4341" t="s">
        <v>90</v>
      </c>
      <c r="C4341" t="s">
        <v>617</v>
      </c>
      <c r="D4341">
        <v>2820.38</v>
      </c>
      <c r="E4341" s="37" t="str">
        <f t="shared" si="335"/>
        <v xml:space="preserve"> </v>
      </c>
      <c r="F4341">
        <v>0.39</v>
      </c>
      <c r="G4341" s="37" t="str">
        <f t="shared" si="336"/>
        <v>Heavy Discount</v>
      </c>
      <c r="H4341" s="37" t="str">
        <f t="shared" si="337"/>
        <v>Medium</v>
      </c>
      <c r="I4341">
        <v>6</v>
      </c>
      <c r="J4341" t="str" cm="1">
        <f t="array" ref="J4341">_xlfn.IFS(I4341&lt;=3,"small",I4341&lt;=6,"Medium",I4341&lt;=9,"Large")</f>
        <v>Medium</v>
      </c>
      <c r="K4341" s="36">
        <v>45577</v>
      </c>
      <c r="L4341" s="36">
        <v>45580</v>
      </c>
      <c r="M4341" t="s">
        <v>603</v>
      </c>
      <c r="N4341" t="s">
        <v>599</v>
      </c>
      <c r="O4341" s="37" t="str">
        <f t="shared" si="338"/>
        <v>Digital Payment</v>
      </c>
      <c r="P4341">
        <v>327.3</v>
      </c>
      <c r="Q4341" s="37" t="str">
        <f>IF(P4341&gt;500,"High","low")</f>
        <v>low</v>
      </c>
      <c r="R4341" s="37" t="str">
        <f t="shared" si="339"/>
        <v>AVERAGE</v>
      </c>
      <c r="S4341" t="s">
        <v>600</v>
      </c>
    </row>
    <row r="4342" spans="1:19" x14ac:dyDescent="0.2">
      <c r="A4342" t="s">
        <v>4953</v>
      </c>
      <c r="B4342" t="s">
        <v>67</v>
      </c>
      <c r="C4342" t="s">
        <v>597</v>
      </c>
      <c r="D4342">
        <v>4156.03</v>
      </c>
      <c r="E4342" s="37" t="str">
        <f t="shared" si="335"/>
        <v xml:space="preserve"> </v>
      </c>
      <c r="F4342">
        <v>0.24</v>
      </c>
      <c r="G4342" s="37" t="str">
        <f t="shared" si="336"/>
        <v>Normal Discount</v>
      </c>
      <c r="H4342" s="37" t="str">
        <f t="shared" si="337"/>
        <v>Medium</v>
      </c>
      <c r="I4342">
        <v>3</v>
      </c>
      <c r="J4342" t="str" cm="1">
        <f t="array" ref="J4342">_xlfn.IFS(I4342&lt;=3,"small",I4342&lt;=6,"Medium",I4342&lt;=9,"Large")</f>
        <v>small</v>
      </c>
      <c r="K4342" s="36">
        <v>45188</v>
      </c>
      <c r="L4342" s="36">
        <v>45190</v>
      </c>
      <c r="M4342" t="s">
        <v>612</v>
      </c>
      <c r="N4342" t="s">
        <v>608</v>
      </c>
      <c r="O4342" s="37" t="str">
        <f t="shared" si="338"/>
        <v>Cash Payment</v>
      </c>
      <c r="P4342">
        <v>245.5</v>
      </c>
      <c r="Q4342" s="37" t="str">
        <f>IF(P4342&gt;500,"High","low")</f>
        <v>low</v>
      </c>
      <c r="R4342" s="37" t="str">
        <f t="shared" si="339"/>
        <v>AVERAGE</v>
      </c>
      <c r="S4342" t="s">
        <v>600</v>
      </c>
    </row>
    <row r="4343" spans="1:19" x14ac:dyDescent="0.2">
      <c r="A4343" t="s">
        <v>4954</v>
      </c>
      <c r="B4343" t="s">
        <v>67</v>
      </c>
      <c r="C4343" t="s">
        <v>602</v>
      </c>
      <c r="D4343">
        <v>2070.38</v>
      </c>
      <c r="E4343" s="37" t="str">
        <f t="shared" si="335"/>
        <v xml:space="preserve"> </v>
      </c>
      <c r="F4343">
        <v>0.46</v>
      </c>
      <c r="G4343" s="37" t="str">
        <f t="shared" si="336"/>
        <v>Heavy Discount</v>
      </c>
      <c r="H4343" s="37" t="str">
        <f t="shared" si="337"/>
        <v>High</v>
      </c>
      <c r="I4343">
        <v>7</v>
      </c>
      <c r="J4343" t="str" cm="1">
        <f t="array" ref="J4343">_xlfn.IFS(I4343&lt;=3,"small",I4343&lt;=6,"Medium",I4343&lt;=9,"Large")</f>
        <v>Large</v>
      </c>
      <c r="K4343" s="36">
        <v>45118</v>
      </c>
      <c r="L4343" s="36">
        <v>45121</v>
      </c>
      <c r="M4343" t="s">
        <v>612</v>
      </c>
      <c r="N4343" t="s">
        <v>608</v>
      </c>
      <c r="O4343" s="37" t="str">
        <f t="shared" si="338"/>
        <v>Cash Payment</v>
      </c>
      <c r="P4343">
        <v>320.68</v>
      </c>
      <c r="Q4343" s="37" t="str">
        <f>IF(P4343&gt;500,"High","low")</f>
        <v>low</v>
      </c>
      <c r="R4343" s="37" t="str">
        <f t="shared" si="339"/>
        <v>AVERAGE</v>
      </c>
      <c r="S4343" t="s">
        <v>609</v>
      </c>
    </row>
    <row r="4344" spans="1:19" x14ac:dyDescent="0.2">
      <c r="A4344" t="s">
        <v>4955</v>
      </c>
      <c r="B4344" t="s">
        <v>67</v>
      </c>
      <c r="C4344" t="s">
        <v>614</v>
      </c>
      <c r="D4344">
        <v>4160.42</v>
      </c>
      <c r="E4344" s="37" t="str">
        <f t="shared" si="335"/>
        <v xml:space="preserve"> </v>
      </c>
      <c r="F4344">
        <v>0.4</v>
      </c>
      <c r="G4344" s="37" t="str">
        <f t="shared" si="336"/>
        <v>Heavy Discount</v>
      </c>
      <c r="H4344" s="37" t="str">
        <f t="shared" si="337"/>
        <v>Medium</v>
      </c>
      <c r="I4344">
        <v>1</v>
      </c>
      <c r="J4344" t="str" cm="1">
        <f t="array" ref="J4344">_xlfn.IFS(I4344&lt;=3,"small",I4344&lt;=6,"Medium",I4344&lt;=9,"Large")</f>
        <v>small</v>
      </c>
      <c r="K4344" s="36">
        <v>45163</v>
      </c>
      <c r="L4344" s="36">
        <v>45168</v>
      </c>
      <c r="M4344" t="s">
        <v>598</v>
      </c>
      <c r="N4344" t="s">
        <v>604</v>
      </c>
      <c r="O4344" s="37" t="str">
        <f t="shared" si="338"/>
        <v>Digital Payment</v>
      </c>
      <c r="P4344">
        <v>217.4</v>
      </c>
      <c r="Q4344" s="37" t="str">
        <f>IF(P4344&gt;500,"High","low")</f>
        <v>low</v>
      </c>
      <c r="R4344" s="37" t="str">
        <f t="shared" si="339"/>
        <v>AVERAGE</v>
      </c>
      <c r="S4344" t="s">
        <v>609</v>
      </c>
    </row>
    <row r="4345" spans="1:19" x14ac:dyDescent="0.2">
      <c r="A4345" t="s">
        <v>4956</v>
      </c>
      <c r="B4345" t="s">
        <v>90</v>
      </c>
      <c r="C4345" t="s">
        <v>607</v>
      </c>
      <c r="D4345">
        <v>3646.11</v>
      </c>
      <c r="E4345" s="37" t="str">
        <f t="shared" si="335"/>
        <v xml:space="preserve"> </v>
      </c>
      <c r="F4345">
        <v>0.13</v>
      </c>
      <c r="G4345" s="37" t="str">
        <f t="shared" si="336"/>
        <v>Normal Discount</v>
      </c>
      <c r="H4345" s="37" t="str">
        <f t="shared" si="337"/>
        <v>Low</v>
      </c>
      <c r="I4345">
        <v>8</v>
      </c>
      <c r="J4345" t="str" cm="1">
        <f t="array" ref="J4345">_xlfn.IFS(I4345&lt;=3,"small",I4345&lt;=6,"Medium",I4345&lt;=9,"Large")</f>
        <v>Large</v>
      </c>
      <c r="K4345" s="36">
        <v>45647</v>
      </c>
      <c r="L4345" s="36">
        <v>45651</v>
      </c>
      <c r="M4345" t="s">
        <v>612</v>
      </c>
      <c r="N4345" t="s">
        <v>599</v>
      </c>
      <c r="O4345" s="37" t="str">
        <f t="shared" si="338"/>
        <v>Digital Payment</v>
      </c>
      <c r="P4345">
        <v>875.69</v>
      </c>
      <c r="Q4345" s="37" t="str">
        <f>IF(P4345&gt;500,"High","low")</f>
        <v>High</v>
      </c>
      <c r="R4345" s="37" t="str">
        <f t="shared" si="339"/>
        <v>Good</v>
      </c>
      <c r="S4345" t="s">
        <v>620</v>
      </c>
    </row>
    <row r="4346" spans="1:19" x14ac:dyDescent="0.2">
      <c r="A4346" t="s">
        <v>4957</v>
      </c>
      <c r="B4346" t="s">
        <v>90</v>
      </c>
      <c r="C4346" t="s">
        <v>602</v>
      </c>
      <c r="D4346">
        <v>4612.24</v>
      </c>
      <c r="E4346" s="37" t="str">
        <f t="shared" si="335"/>
        <v>Excellent Order</v>
      </c>
      <c r="F4346">
        <v>0.22</v>
      </c>
      <c r="G4346" s="37" t="str">
        <f t="shared" si="336"/>
        <v>Normal Discount</v>
      </c>
      <c r="H4346" s="37" t="str">
        <f t="shared" si="337"/>
        <v>Medium</v>
      </c>
      <c r="I4346">
        <v>7</v>
      </c>
      <c r="J4346" t="str" cm="1">
        <f t="array" ref="J4346">_xlfn.IFS(I4346&lt;=3,"small",I4346&lt;=6,"Medium",I4346&lt;=9,"Large")</f>
        <v>Large</v>
      </c>
      <c r="K4346" s="36">
        <v>45004</v>
      </c>
      <c r="L4346" s="36">
        <v>45008</v>
      </c>
      <c r="M4346" t="s">
        <v>598</v>
      </c>
      <c r="N4346" t="s">
        <v>608</v>
      </c>
      <c r="O4346" s="37" t="str">
        <f t="shared" si="338"/>
        <v>Cash Payment</v>
      </c>
      <c r="P4346">
        <v>1341.07</v>
      </c>
      <c r="Q4346" s="37" t="str">
        <f>IF(P4346&gt;500,"High","low")</f>
        <v>High</v>
      </c>
      <c r="R4346" s="37" t="str">
        <f t="shared" si="339"/>
        <v>Excellent</v>
      </c>
      <c r="S4346" t="s">
        <v>600</v>
      </c>
    </row>
    <row r="4347" spans="1:19" x14ac:dyDescent="0.2">
      <c r="A4347" t="s">
        <v>4958</v>
      </c>
      <c r="B4347" t="s">
        <v>83</v>
      </c>
      <c r="C4347" t="s">
        <v>602</v>
      </c>
      <c r="D4347">
        <v>1696.59</v>
      </c>
      <c r="E4347" s="37" t="str">
        <f t="shared" si="335"/>
        <v xml:space="preserve"> </v>
      </c>
      <c r="F4347">
        <v>0.05</v>
      </c>
      <c r="G4347" s="37" t="str">
        <f t="shared" si="336"/>
        <v>Normal Discount</v>
      </c>
      <c r="H4347" s="37" t="str">
        <f t="shared" si="337"/>
        <v>Low</v>
      </c>
      <c r="I4347">
        <v>3</v>
      </c>
      <c r="J4347" t="str" cm="1">
        <f t="array" ref="J4347">_xlfn.IFS(I4347&lt;=3,"small",I4347&lt;=6,"Medium",I4347&lt;=9,"Large")</f>
        <v>small</v>
      </c>
      <c r="K4347" s="36">
        <v>45278</v>
      </c>
      <c r="L4347" s="36">
        <v>45282</v>
      </c>
      <c r="M4347" t="s">
        <v>603</v>
      </c>
      <c r="N4347" t="s">
        <v>608</v>
      </c>
      <c r="O4347" s="37" t="str">
        <f t="shared" si="338"/>
        <v>Cash Payment</v>
      </c>
      <c r="P4347">
        <v>98.26</v>
      </c>
      <c r="Q4347" s="37" t="str">
        <f>IF(P4347&gt;500,"High","low")</f>
        <v>low</v>
      </c>
      <c r="R4347" s="37" t="str">
        <f t="shared" si="339"/>
        <v>AVERAGE</v>
      </c>
      <c r="S4347" t="s">
        <v>620</v>
      </c>
    </row>
    <row r="4348" spans="1:19" x14ac:dyDescent="0.2">
      <c r="A4348" t="s">
        <v>4959</v>
      </c>
      <c r="B4348" t="s">
        <v>75</v>
      </c>
      <c r="C4348" t="s">
        <v>602</v>
      </c>
      <c r="D4348">
        <v>614.64</v>
      </c>
      <c r="E4348" s="37" t="str">
        <f t="shared" si="335"/>
        <v xml:space="preserve"> </v>
      </c>
      <c r="F4348">
        <v>0.45</v>
      </c>
      <c r="G4348" s="37" t="str">
        <f t="shared" si="336"/>
        <v>Heavy Discount</v>
      </c>
      <c r="H4348" s="37" t="str">
        <f t="shared" si="337"/>
        <v>High</v>
      </c>
      <c r="I4348">
        <v>4</v>
      </c>
      <c r="J4348" t="str" cm="1">
        <f t="array" ref="J4348">_xlfn.IFS(I4348&lt;=3,"small",I4348&lt;=6,"Medium",I4348&lt;=9,"Large")</f>
        <v>Medium</v>
      </c>
      <c r="K4348" s="36">
        <v>45330</v>
      </c>
      <c r="L4348" s="36">
        <v>45333</v>
      </c>
      <c r="M4348" t="s">
        <v>598</v>
      </c>
      <c r="N4348" t="s">
        <v>604</v>
      </c>
      <c r="O4348" s="37" t="str">
        <f t="shared" si="338"/>
        <v>Digital Payment</v>
      </c>
      <c r="P4348">
        <v>119.52</v>
      </c>
      <c r="Q4348" s="37" t="str">
        <f>IF(P4348&gt;500,"High","low")</f>
        <v>low</v>
      </c>
      <c r="R4348" s="37" t="str">
        <f t="shared" si="339"/>
        <v>AVERAGE</v>
      </c>
      <c r="S4348" t="s">
        <v>600</v>
      </c>
    </row>
    <row r="4349" spans="1:19" x14ac:dyDescent="0.2">
      <c r="A4349" t="s">
        <v>4960</v>
      </c>
      <c r="B4349" t="s">
        <v>67</v>
      </c>
      <c r="C4349" t="s">
        <v>607</v>
      </c>
      <c r="D4349">
        <v>2208.71</v>
      </c>
      <c r="E4349" s="37" t="str">
        <f t="shared" si="335"/>
        <v xml:space="preserve"> </v>
      </c>
      <c r="F4349">
        <v>0.03</v>
      </c>
      <c r="G4349" s="37" t="str">
        <f t="shared" si="336"/>
        <v>Normal Discount</v>
      </c>
      <c r="H4349" s="37" t="str">
        <f t="shared" si="337"/>
        <v>Low</v>
      </c>
      <c r="I4349">
        <v>7</v>
      </c>
      <c r="J4349" t="str" cm="1">
        <f t="array" ref="J4349">_xlfn.IFS(I4349&lt;=3,"small",I4349&lt;=6,"Medium",I4349&lt;=9,"Large")</f>
        <v>Large</v>
      </c>
      <c r="K4349" s="36">
        <v>44973</v>
      </c>
      <c r="L4349" s="36">
        <v>44979</v>
      </c>
      <c r="M4349" t="s">
        <v>598</v>
      </c>
      <c r="N4349" t="s">
        <v>604</v>
      </c>
      <c r="O4349" s="37" t="str">
        <f t="shared" si="338"/>
        <v>Digital Payment</v>
      </c>
      <c r="P4349">
        <v>259.77</v>
      </c>
      <c r="Q4349" s="37" t="str">
        <f>IF(P4349&gt;500,"High","low")</f>
        <v>low</v>
      </c>
      <c r="R4349" s="37" t="str">
        <f t="shared" si="339"/>
        <v>AVERAGE</v>
      </c>
      <c r="S4349" t="s">
        <v>605</v>
      </c>
    </row>
    <row r="4350" spans="1:19" x14ac:dyDescent="0.2">
      <c r="A4350" t="s">
        <v>4961</v>
      </c>
      <c r="B4350" t="s">
        <v>67</v>
      </c>
      <c r="C4350" t="s">
        <v>617</v>
      </c>
      <c r="D4350">
        <v>3950.49</v>
      </c>
      <c r="E4350" s="37" t="str">
        <f t="shared" si="335"/>
        <v xml:space="preserve"> </v>
      </c>
      <c r="F4350">
        <v>0.01</v>
      </c>
      <c r="G4350" s="37" t="str">
        <f t="shared" si="336"/>
        <v>Normal Discount</v>
      </c>
      <c r="H4350" s="37" t="str">
        <f t="shared" si="337"/>
        <v>Low</v>
      </c>
      <c r="I4350">
        <v>4</v>
      </c>
      <c r="J4350" t="str" cm="1">
        <f t="array" ref="J4350">_xlfn.IFS(I4350&lt;=3,"small",I4350&lt;=6,"Medium",I4350&lt;=9,"Large")</f>
        <v>Medium</v>
      </c>
      <c r="K4350" s="36">
        <v>45275</v>
      </c>
      <c r="L4350" s="36">
        <v>45280</v>
      </c>
      <c r="M4350" t="s">
        <v>612</v>
      </c>
      <c r="N4350" t="s">
        <v>608</v>
      </c>
      <c r="O4350" s="37" t="str">
        <f t="shared" si="338"/>
        <v>Cash Payment</v>
      </c>
      <c r="P4350">
        <v>714.76</v>
      </c>
      <c r="Q4350" s="37" t="str">
        <f>IF(P4350&gt;500,"High","low")</f>
        <v>High</v>
      </c>
      <c r="R4350" s="37" t="str">
        <f t="shared" si="339"/>
        <v>Good</v>
      </c>
      <c r="S4350" t="s">
        <v>628</v>
      </c>
    </row>
    <row r="4351" spans="1:19" x14ac:dyDescent="0.2">
      <c r="A4351" t="s">
        <v>4962</v>
      </c>
      <c r="B4351" t="s">
        <v>75</v>
      </c>
      <c r="C4351" t="s">
        <v>597</v>
      </c>
      <c r="D4351">
        <v>2307.13</v>
      </c>
      <c r="E4351" s="37" t="str">
        <f t="shared" si="335"/>
        <v xml:space="preserve"> </v>
      </c>
      <c r="F4351">
        <v>0.25</v>
      </c>
      <c r="G4351" s="37" t="str">
        <f t="shared" si="336"/>
        <v>Normal Discount</v>
      </c>
      <c r="H4351" s="37" t="str">
        <f t="shared" si="337"/>
        <v>Medium</v>
      </c>
      <c r="I4351">
        <v>5</v>
      </c>
      <c r="J4351" t="str" cm="1">
        <f t="array" ref="J4351">_xlfn.IFS(I4351&lt;=3,"small",I4351&lt;=6,"Medium",I4351&lt;=9,"Large")</f>
        <v>Medium</v>
      </c>
      <c r="K4351" s="36">
        <v>45539</v>
      </c>
      <c r="L4351" s="36">
        <v>45546</v>
      </c>
      <c r="M4351" t="s">
        <v>612</v>
      </c>
      <c r="N4351" t="s">
        <v>599</v>
      </c>
      <c r="O4351" s="37" t="str">
        <f t="shared" si="338"/>
        <v>Digital Payment</v>
      </c>
      <c r="P4351">
        <v>659.33</v>
      </c>
      <c r="Q4351" s="37" t="str">
        <f>IF(P4351&gt;500,"High","low")</f>
        <v>High</v>
      </c>
      <c r="R4351" s="37" t="str">
        <f t="shared" si="339"/>
        <v>Good</v>
      </c>
      <c r="S4351" t="s">
        <v>615</v>
      </c>
    </row>
    <row r="4352" spans="1:19" x14ac:dyDescent="0.2">
      <c r="A4352" t="s">
        <v>4963</v>
      </c>
      <c r="B4352" t="s">
        <v>67</v>
      </c>
      <c r="C4352" t="s">
        <v>617</v>
      </c>
      <c r="D4352">
        <v>1383.74</v>
      </c>
      <c r="E4352" s="37" t="str">
        <f t="shared" si="335"/>
        <v xml:space="preserve"> </v>
      </c>
      <c r="F4352">
        <v>0.3</v>
      </c>
      <c r="G4352" s="37" t="str">
        <f t="shared" si="336"/>
        <v>Normal Discount</v>
      </c>
      <c r="H4352" s="37" t="str">
        <f t="shared" si="337"/>
        <v>Medium</v>
      </c>
      <c r="I4352">
        <v>1</v>
      </c>
      <c r="J4352" t="str" cm="1">
        <f t="array" ref="J4352">_xlfn.IFS(I4352&lt;=3,"small",I4352&lt;=6,"Medium",I4352&lt;=9,"Large")</f>
        <v>small</v>
      </c>
      <c r="K4352" s="36">
        <v>45387</v>
      </c>
      <c r="L4352" s="36">
        <v>45389</v>
      </c>
      <c r="M4352" t="s">
        <v>598</v>
      </c>
      <c r="N4352" t="s">
        <v>599</v>
      </c>
      <c r="O4352" s="37" t="str">
        <f t="shared" si="338"/>
        <v>Digital Payment</v>
      </c>
      <c r="P4352">
        <v>333.93</v>
      </c>
      <c r="Q4352" s="37" t="str">
        <f>IF(P4352&gt;500,"High","low")</f>
        <v>low</v>
      </c>
      <c r="R4352" s="37" t="str">
        <f t="shared" si="339"/>
        <v>AVERAGE</v>
      </c>
      <c r="S4352" t="s">
        <v>609</v>
      </c>
    </row>
    <row r="4353" spans="1:19" x14ac:dyDescent="0.2">
      <c r="A4353" t="s">
        <v>4964</v>
      </c>
      <c r="B4353" t="s">
        <v>90</v>
      </c>
      <c r="C4353" t="s">
        <v>614</v>
      </c>
      <c r="D4353">
        <v>235.26</v>
      </c>
      <c r="E4353" s="37" t="str">
        <f t="shared" si="335"/>
        <v xml:space="preserve"> </v>
      </c>
      <c r="F4353">
        <v>0.11</v>
      </c>
      <c r="G4353" s="37" t="str">
        <f t="shared" si="336"/>
        <v>Normal Discount</v>
      </c>
      <c r="H4353" s="37" t="str">
        <f t="shared" si="337"/>
        <v>Low</v>
      </c>
      <c r="I4353">
        <v>5</v>
      </c>
      <c r="J4353" t="str" cm="1">
        <f t="array" ref="J4353">_xlfn.IFS(I4353&lt;=3,"small",I4353&lt;=6,"Medium",I4353&lt;=9,"Large")</f>
        <v>Medium</v>
      </c>
      <c r="K4353" s="36">
        <v>45079</v>
      </c>
      <c r="L4353" s="36">
        <v>45085</v>
      </c>
      <c r="M4353" t="s">
        <v>612</v>
      </c>
      <c r="N4353" t="s">
        <v>604</v>
      </c>
      <c r="O4353" s="37" t="str">
        <f t="shared" si="338"/>
        <v>Digital Payment</v>
      </c>
      <c r="P4353">
        <v>55.66</v>
      </c>
      <c r="Q4353" s="37" t="str">
        <f>IF(P4353&gt;500,"High","low")</f>
        <v>low</v>
      </c>
      <c r="R4353" s="37" t="str">
        <f t="shared" si="339"/>
        <v>AVERAGE</v>
      </c>
      <c r="S4353" t="s">
        <v>609</v>
      </c>
    </row>
    <row r="4354" spans="1:19" x14ac:dyDescent="0.2">
      <c r="A4354" t="s">
        <v>4965</v>
      </c>
      <c r="B4354" t="s">
        <v>90</v>
      </c>
      <c r="C4354" t="s">
        <v>597</v>
      </c>
      <c r="D4354">
        <v>1633.82</v>
      </c>
      <c r="E4354" s="37" t="str">
        <f t="shared" si="335"/>
        <v xml:space="preserve"> </v>
      </c>
      <c r="F4354">
        <v>0.28999999999999998</v>
      </c>
      <c r="G4354" s="37" t="str">
        <f t="shared" si="336"/>
        <v>Normal Discount</v>
      </c>
      <c r="H4354" s="37" t="str">
        <f t="shared" si="337"/>
        <v>Medium</v>
      </c>
      <c r="I4354">
        <v>4</v>
      </c>
      <c r="J4354" t="str" cm="1">
        <f t="array" ref="J4354">_xlfn.IFS(I4354&lt;=3,"small",I4354&lt;=6,"Medium",I4354&lt;=9,"Large")</f>
        <v>Medium</v>
      </c>
      <c r="K4354" s="36">
        <v>45553</v>
      </c>
      <c r="L4354" s="36">
        <v>45560</v>
      </c>
      <c r="M4354" t="s">
        <v>603</v>
      </c>
      <c r="N4354" t="s">
        <v>599</v>
      </c>
      <c r="O4354" s="37" t="str">
        <f t="shared" si="338"/>
        <v>Digital Payment</v>
      </c>
      <c r="P4354">
        <v>201.53</v>
      </c>
      <c r="Q4354" s="37" t="str">
        <f>IF(P4354&gt;500,"High","low")</f>
        <v>low</v>
      </c>
      <c r="R4354" s="37" t="str">
        <f t="shared" si="339"/>
        <v>AVERAGE</v>
      </c>
      <c r="S4354" t="s">
        <v>615</v>
      </c>
    </row>
    <row r="4355" spans="1:19" x14ac:dyDescent="0.2">
      <c r="A4355" t="s">
        <v>4966</v>
      </c>
      <c r="B4355" t="s">
        <v>67</v>
      </c>
      <c r="C4355" t="s">
        <v>614</v>
      </c>
      <c r="D4355">
        <v>3595.57</v>
      </c>
      <c r="E4355" s="37" t="str">
        <f t="shared" ref="E4355:E4418" si="340">IF(AND(D4355&gt;4000,P4355&gt;800),"Excellent Order"," ")</f>
        <v xml:space="preserve"> </v>
      </c>
      <c r="F4355">
        <v>0.45</v>
      </c>
      <c r="G4355" s="37" t="str">
        <f t="shared" ref="G4355:G4418" si="341">IF(F4355&gt;30%,"Heavy Discount","Normal Discount")</f>
        <v>Heavy Discount</v>
      </c>
      <c r="H4355" s="37" t="str">
        <f t="shared" ref="H4355:H4418" si="342">IF(F4355&gt;0.4,"High",IF(F4355&gt;=0.2,"Medium","Low"))</f>
        <v>High</v>
      </c>
      <c r="I4355">
        <v>3</v>
      </c>
      <c r="J4355" t="str" cm="1">
        <f t="array" ref="J4355">_xlfn.IFS(I4355&lt;=3,"small",I4355&lt;=6,"Medium",I4355&lt;=9,"Large")</f>
        <v>small</v>
      </c>
      <c r="K4355" s="36">
        <v>45233</v>
      </c>
      <c r="L4355" s="36">
        <v>45236</v>
      </c>
      <c r="M4355" t="s">
        <v>603</v>
      </c>
      <c r="N4355" t="s">
        <v>599</v>
      </c>
      <c r="O4355" s="37" t="str">
        <f t="shared" ref="O4355:O4418" si="343">IF(OR(N4355="Card",N4355="UPI"),"Digital Payment","Cash Payment")</f>
        <v>Digital Payment</v>
      </c>
      <c r="P4355">
        <v>895.72</v>
      </c>
      <c r="Q4355" s="37" t="str">
        <f>IF(P4355&gt;500,"High","low")</f>
        <v>High</v>
      </c>
      <c r="R4355" s="37" t="str">
        <f t="shared" ref="R4355:R4418" si="344">IF(P4355&gt;1000,"Excellent",IF(P4355&gt;=500,"Good","AVERAGE"))</f>
        <v>Good</v>
      </c>
      <c r="S4355" t="s">
        <v>620</v>
      </c>
    </row>
    <row r="4356" spans="1:19" x14ac:dyDescent="0.2">
      <c r="A4356" t="s">
        <v>4967</v>
      </c>
      <c r="B4356" t="s">
        <v>90</v>
      </c>
      <c r="C4356" t="s">
        <v>607</v>
      </c>
      <c r="D4356">
        <v>823.31</v>
      </c>
      <c r="E4356" s="37" t="str">
        <f t="shared" si="340"/>
        <v xml:space="preserve"> </v>
      </c>
      <c r="F4356">
        <v>0.31</v>
      </c>
      <c r="G4356" s="37" t="str">
        <f t="shared" si="341"/>
        <v>Heavy Discount</v>
      </c>
      <c r="H4356" s="37" t="str">
        <f t="shared" si="342"/>
        <v>Medium</v>
      </c>
      <c r="I4356">
        <v>9</v>
      </c>
      <c r="J4356" t="str" cm="1">
        <f t="array" ref="J4356">_xlfn.IFS(I4356&lt;=3,"small",I4356&lt;=6,"Medium",I4356&lt;=9,"Large")</f>
        <v>Large</v>
      </c>
      <c r="K4356" s="36">
        <v>45194</v>
      </c>
      <c r="L4356" s="36">
        <v>45200</v>
      </c>
      <c r="M4356" t="s">
        <v>612</v>
      </c>
      <c r="N4356" t="s">
        <v>604</v>
      </c>
      <c r="O4356" s="37" t="str">
        <f t="shared" si="343"/>
        <v>Digital Payment</v>
      </c>
      <c r="P4356">
        <v>62.26</v>
      </c>
      <c r="Q4356" s="37" t="str">
        <f>IF(P4356&gt;500,"High","low")</f>
        <v>low</v>
      </c>
      <c r="R4356" s="37" t="str">
        <f t="shared" si="344"/>
        <v>AVERAGE</v>
      </c>
      <c r="S4356" t="s">
        <v>600</v>
      </c>
    </row>
    <row r="4357" spans="1:19" x14ac:dyDescent="0.2">
      <c r="A4357" t="s">
        <v>4968</v>
      </c>
      <c r="B4357" t="s">
        <v>90</v>
      </c>
      <c r="C4357" t="s">
        <v>617</v>
      </c>
      <c r="D4357">
        <v>1770.31</v>
      </c>
      <c r="E4357" s="37" t="str">
        <f t="shared" si="340"/>
        <v xml:space="preserve"> </v>
      </c>
      <c r="F4357">
        <v>0.23</v>
      </c>
      <c r="G4357" s="37" t="str">
        <f t="shared" si="341"/>
        <v>Normal Discount</v>
      </c>
      <c r="H4357" s="37" t="str">
        <f t="shared" si="342"/>
        <v>Medium</v>
      </c>
      <c r="I4357">
        <v>1</v>
      </c>
      <c r="J4357" t="str" cm="1">
        <f t="array" ref="J4357">_xlfn.IFS(I4357&lt;=3,"small",I4357&lt;=6,"Medium",I4357&lt;=9,"Large")</f>
        <v>small</v>
      </c>
      <c r="K4357" s="36">
        <v>45580</v>
      </c>
      <c r="L4357" s="36">
        <v>45584</v>
      </c>
      <c r="M4357" t="s">
        <v>598</v>
      </c>
      <c r="N4357" t="s">
        <v>608</v>
      </c>
      <c r="O4357" s="37" t="str">
        <f t="shared" si="343"/>
        <v>Cash Payment</v>
      </c>
      <c r="P4357">
        <v>401.64</v>
      </c>
      <c r="Q4357" s="37" t="str">
        <f>IF(P4357&gt;500,"High","low")</f>
        <v>low</v>
      </c>
      <c r="R4357" s="37" t="str">
        <f t="shared" si="344"/>
        <v>AVERAGE</v>
      </c>
      <c r="S4357" t="s">
        <v>609</v>
      </c>
    </row>
    <row r="4358" spans="1:19" x14ac:dyDescent="0.2">
      <c r="A4358" t="s">
        <v>4969</v>
      </c>
      <c r="B4358" t="s">
        <v>67</v>
      </c>
      <c r="C4358" t="s">
        <v>602</v>
      </c>
      <c r="D4358">
        <v>199.13</v>
      </c>
      <c r="E4358" s="37" t="str">
        <f t="shared" si="340"/>
        <v xml:space="preserve"> </v>
      </c>
      <c r="F4358">
        <v>7.0000000000000007E-2</v>
      </c>
      <c r="G4358" s="37" t="str">
        <f t="shared" si="341"/>
        <v>Normal Discount</v>
      </c>
      <c r="H4358" s="37" t="str">
        <f t="shared" si="342"/>
        <v>Low</v>
      </c>
      <c r="I4358">
        <v>5</v>
      </c>
      <c r="J4358" t="str" cm="1">
        <f t="array" ref="J4358">_xlfn.IFS(I4358&lt;=3,"small",I4358&lt;=6,"Medium",I4358&lt;=9,"Large")</f>
        <v>Medium</v>
      </c>
      <c r="K4358" s="36">
        <v>45214</v>
      </c>
      <c r="L4358" s="36">
        <v>45220</v>
      </c>
      <c r="M4358" t="s">
        <v>603</v>
      </c>
      <c r="N4358" t="s">
        <v>608</v>
      </c>
      <c r="O4358" s="37" t="str">
        <f t="shared" si="343"/>
        <v>Cash Payment</v>
      </c>
      <c r="P4358">
        <v>30.08</v>
      </c>
      <c r="Q4358" s="37" t="str">
        <f>IF(P4358&gt;500,"High","low")</f>
        <v>low</v>
      </c>
      <c r="R4358" s="37" t="str">
        <f t="shared" si="344"/>
        <v>AVERAGE</v>
      </c>
      <c r="S4358" t="s">
        <v>600</v>
      </c>
    </row>
    <row r="4359" spans="1:19" x14ac:dyDescent="0.2">
      <c r="A4359" t="s">
        <v>4970</v>
      </c>
      <c r="B4359" t="s">
        <v>83</v>
      </c>
      <c r="C4359" t="s">
        <v>597</v>
      </c>
      <c r="D4359">
        <v>3636.6</v>
      </c>
      <c r="E4359" s="37" t="str">
        <f t="shared" si="340"/>
        <v xml:space="preserve"> </v>
      </c>
      <c r="F4359">
        <v>0.08</v>
      </c>
      <c r="G4359" s="37" t="str">
        <f t="shared" si="341"/>
        <v>Normal Discount</v>
      </c>
      <c r="H4359" s="37" t="str">
        <f t="shared" si="342"/>
        <v>Low</v>
      </c>
      <c r="I4359">
        <v>2</v>
      </c>
      <c r="J4359" t="str" cm="1">
        <f t="array" ref="J4359">_xlfn.IFS(I4359&lt;=3,"small",I4359&lt;=6,"Medium",I4359&lt;=9,"Large")</f>
        <v>small</v>
      </c>
      <c r="K4359" s="36">
        <v>45232</v>
      </c>
      <c r="L4359" s="36">
        <v>45237</v>
      </c>
      <c r="M4359" t="s">
        <v>598</v>
      </c>
      <c r="N4359" t="s">
        <v>604</v>
      </c>
      <c r="O4359" s="37" t="str">
        <f t="shared" si="343"/>
        <v>Digital Payment</v>
      </c>
      <c r="P4359">
        <v>579.34</v>
      </c>
      <c r="Q4359" s="37" t="str">
        <f>IF(P4359&gt;500,"High","low")</f>
        <v>High</v>
      </c>
      <c r="R4359" s="37" t="str">
        <f t="shared" si="344"/>
        <v>Good</v>
      </c>
      <c r="S4359" t="s">
        <v>600</v>
      </c>
    </row>
    <row r="4360" spans="1:19" x14ac:dyDescent="0.2">
      <c r="A4360" t="s">
        <v>4971</v>
      </c>
      <c r="B4360" t="s">
        <v>75</v>
      </c>
      <c r="C4360" t="s">
        <v>602</v>
      </c>
      <c r="D4360">
        <v>4415.3500000000004</v>
      </c>
      <c r="E4360" s="37" t="str">
        <f t="shared" si="340"/>
        <v xml:space="preserve"> </v>
      </c>
      <c r="F4360">
        <v>0.24</v>
      </c>
      <c r="G4360" s="37" t="str">
        <f t="shared" si="341"/>
        <v>Normal Discount</v>
      </c>
      <c r="H4360" s="37" t="str">
        <f t="shared" si="342"/>
        <v>Medium</v>
      </c>
      <c r="I4360">
        <v>5</v>
      </c>
      <c r="J4360" t="str" cm="1">
        <f t="array" ref="J4360">_xlfn.IFS(I4360&lt;=3,"small",I4360&lt;=6,"Medium",I4360&lt;=9,"Large")</f>
        <v>Medium</v>
      </c>
      <c r="K4360" s="36">
        <v>44994</v>
      </c>
      <c r="L4360" s="36">
        <v>44996</v>
      </c>
      <c r="M4360" t="s">
        <v>603</v>
      </c>
      <c r="N4360" t="s">
        <v>599</v>
      </c>
      <c r="O4360" s="37" t="str">
        <f t="shared" si="343"/>
        <v>Digital Payment</v>
      </c>
      <c r="P4360">
        <v>761.47</v>
      </c>
      <c r="Q4360" s="37" t="str">
        <f>IF(P4360&gt;500,"High","low")</f>
        <v>High</v>
      </c>
      <c r="R4360" s="37" t="str">
        <f t="shared" si="344"/>
        <v>Good</v>
      </c>
      <c r="S4360" t="s">
        <v>620</v>
      </c>
    </row>
    <row r="4361" spans="1:19" x14ac:dyDescent="0.2">
      <c r="A4361" t="s">
        <v>4972</v>
      </c>
      <c r="B4361" t="s">
        <v>90</v>
      </c>
      <c r="C4361" t="s">
        <v>614</v>
      </c>
      <c r="D4361">
        <v>2885.79</v>
      </c>
      <c r="E4361" s="37" t="str">
        <f t="shared" si="340"/>
        <v xml:space="preserve"> </v>
      </c>
      <c r="F4361">
        <v>0.23</v>
      </c>
      <c r="G4361" s="37" t="str">
        <f t="shared" si="341"/>
        <v>Normal Discount</v>
      </c>
      <c r="H4361" s="37" t="str">
        <f t="shared" si="342"/>
        <v>Medium</v>
      </c>
      <c r="I4361">
        <v>5</v>
      </c>
      <c r="J4361" t="str" cm="1">
        <f t="array" ref="J4361">_xlfn.IFS(I4361&lt;=3,"small",I4361&lt;=6,"Medium",I4361&lt;=9,"Large")</f>
        <v>Medium</v>
      </c>
      <c r="K4361" s="36">
        <v>45211</v>
      </c>
      <c r="L4361" s="36">
        <v>45218</v>
      </c>
      <c r="M4361" t="s">
        <v>603</v>
      </c>
      <c r="N4361" t="s">
        <v>604</v>
      </c>
      <c r="O4361" s="37" t="str">
        <f t="shared" si="343"/>
        <v>Digital Payment</v>
      </c>
      <c r="P4361">
        <v>698.54</v>
      </c>
      <c r="Q4361" s="37" t="str">
        <f>IF(P4361&gt;500,"High","low")</f>
        <v>High</v>
      </c>
      <c r="R4361" s="37" t="str">
        <f t="shared" si="344"/>
        <v>Good</v>
      </c>
      <c r="S4361" t="s">
        <v>620</v>
      </c>
    </row>
    <row r="4362" spans="1:19" x14ac:dyDescent="0.2">
      <c r="A4362" t="s">
        <v>4973</v>
      </c>
      <c r="B4362" t="s">
        <v>83</v>
      </c>
      <c r="C4362" t="s">
        <v>602</v>
      </c>
      <c r="D4362">
        <v>226.77</v>
      </c>
      <c r="E4362" s="37" t="str">
        <f t="shared" si="340"/>
        <v xml:space="preserve"> </v>
      </c>
      <c r="F4362">
        <v>0.26</v>
      </c>
      <c r="G4362" s="37" t="str">
        <f t="shared" si="341"/>
        <v>Normal Discount</v>
      </c>
      <c r="H4362" s="37" t="str">
        <f t="shared" si="342"/>
        <v>Medium</v>
      </c>
      <c r="I4362">
        <v>1</v>
      </c>
      <c r="J4362" t="str" cm="1">
        <f t="array" ref="J4362">_xlfn.IFS(I4362&lt;=3,"small",I4362&lt;=6,"Medium",I4362&lt;=9,"Large")</f>
        <v>small</v>
      </c>
      <c r="K4362" s="36">
        <v>45469</v>
      </c>
      <c r="L4362" s="36">
        <v>45470</v>
      </c>
      <c r="M4362" t="s">
        <v>612</v>
      </c>
      <c r="N4362" t="s">
        <v>608</v>
      </c>
      <c r="O4362" s="37" t="str">
        <f t="shared" si="343"/>
        <v>Cash Payment</v>
      </c>
      <c r="P4362">
        <v>29</v>
      </c>
      <c r="Q4362" s="37" t="str">
        <f>IF(P4362&gt;500,"High","low")</f>
        <v>low</v>
      </c>
      <c r="R4362" s="37" t="str">
        <f t="shared" si="344"/>
        <v>AVERAGE</v>
      </c>
      <c r="S4362" t="s">
        <v>600</v>
      </c>
    </row>
    <row r="4363" spans="1:19" x14ac:dyDescent="0.2">
      <c r="A4363" t="s">
        <v>4974</v>
      </c>
      <c r="B4363" t="s">
        <v>90</v>
      </c>
      <c r="C4363" t="s">
        <v>602</v>
      </c>
      <c r="D4363">
        <v>1166.3599999999999</v>
      </c>
      <c r="E4363" s="37" t="str">
        <f t="shared" si="340"/>
        <v xml:space="preserve"> </v>
      </c>
      <c r="F4363">
        <v>0.25</v>
      </c>
      <c r="G4363" s="37" t="str">
        <f t="shared" si="341"/>
        <v>Normal Discount</v>
      </c>
      <c r="H4363" s="37" t="str">
        <f t="shared" si="342"/>
        <v>Medium</v>
      </c>
      <c r="I4363">
        <v>4</v>
      </c>
      <c r="J4363" t="str" cm="1">
        <f t="array" ref="J4363">_xlfn.IFS(I4363&lt;=3,"small",I4363&lt;=6,"Medium",I4363&lt;=9,"Large")</f>
        <v>Medium</v>
      </c>
      <c r="K4363" s="36">
        <v>45406</v>
      </c>
      <c r="L4363" s="36">
        <v>45409</v>
      </c>
      <c r="M4363" t="s">
        <v>612</v>
      </c>
      <c r="N4363" t="s">
        <v>604</v>
      </c>
      <c r="O4363" s="37" t="str">
        <f t="shared" si="343"/>
        <v>Digital Payment</v>
      </c>
      <c r="P4363">
        <v>152.65</v>
      </c>
      <c r="Q4363" s="37" t="str">
        <f>IF(P4363&gt;500,"High","low")</f>
        <v>low</v>
      </c>
      <c r="R4363" s="37" t="str">
        <f t="shared" si="344"/>
        <v>AVERAGE</v>
      </c>
      <c r="S4363" t="s">
        <v>600</v>
      </c>
    </row>
    <row r="4364" spans="1:19" x14ac:dyDescent="0.2">
      <c r="A4364" t="s">
        <v>4975</v>
      </c>
      <c r="B4364" t="s">
        <v>90</v>
      </c>
      <c r="C4364" t="s">
        <v>607</v>
      </c>
      <c r="D4364">
        <v>2248.5</v>
      </c>
      <c r="E4364" s="37" t="str">
        <f t="shared" si="340"/>
        <v xml:space="preserve"> </v>
      </c>
      <c r="F4364">
        <v>0.17</v>
      </c>
      <c r="G4364" s="37" t="str">
        <f t="shared" si="341"/>
        <v>Normal Discount</v>
      </c>
      <c r="H4364" s="37" t="str">
        <f t="shared" si="342"/>
        <v>Low</v>
      </c>
      <c r="I4364">
        <v>7</v>
      </c>
      <c r="J4364" t="str" cm="1">
        <f t="array" ref="J4364">_xlfn.IFS(I4364&lt;=3,"small",I4364&lt;=6,"Medium",I4364&lt;=9,"Large")</f>
        <v>Large</v>
      </c>
      <c r="K4364" s="36">
        <v>44950</v>
      </c>
      <c r="L4364" s="36">
        <v>44951</v>
      </c>
      <c r="M4364" t="s">
        <v>598</v>
      </c>
      <c r="N4364" t="s">
        <v>604</v>
      </c>
      <c r="O4364" s="37" t="str">
        <f t="shared" si="343"/>
        <v>Digital Payment</v>
      </c>
      <c r="P4364">
        <v>404.92</v>
      </c>
      <c r="Q4364" s="37" t="str">
        <f>IF(P4364&gt;500,"High","low")</f>
        <v>low</v>
      </c>
      <c r="R4364" s="37" t="str">
        <f t="shared" si="344"/>
        <v>AVERAGE</v>
      </c>
      <c r="S4364" t="s">
        <v>615</v>
      </c>
    </row>
    <row r="4365" spans="1:19" x14ac:dyDescent="0.2">
      <c r="A4365" t="s">
        <v>4976</v>
      </c>
      <c r="B4365" t="s">
        <v>75</v>
      </c>
      <c r="C4365" t="s">
        <v>607</v>
      </c>
      <c r="D4365">
        <v>2979.15</v>
      </c>
      <c r="E4365" s="37" t="str">
        <f t="shared" si="340"/>
        <v xml:space="preserve"> </v>
      </c>
      <c r="F4365">
        <v>0.35</v>
      </c>
      <c r="G4365" s="37" t="str">
        <f t="shared" si="341"/>
        <v>Heavy Discount</v>
      </c>
      <c r="H4365" s="37" t="str">
        <f t="shared" si="342"/>
        <v>Medium</v>
      </c>
      <c r="I4365">
        <v>1</v>
      </c>
      <c r="J4365" t="str" cm="1">
        <f t="array" ref="J4365">_xlfn.IFS(I4365&lt;=3,"small",I4365&lt;=6,"Medium",I4365&lt;=9,"Large")</f>
        <v>small</v>
      </c>
      <c r="K4365" s="36">
        <v>44937</v>
      </c>
      <c r="L4365" s="36">
        <v>44944</v>
      </c>
      <c r="M4365" t="s">
        <v>612</v>
      </c>
      <c r="N4365" t="s">
        <v>608</v>
      </c>
      <c r="O4365" s="37" t="str">
        <f t="shared" si="343"/>
        <v>Cash Payment</v>
      </c>
      <c r="P4365">
        <v>348.41</v>
      </c>
      <c r="Q4365" s="37" t="str">
        <f>IF(P4365&gt;500,"High","low")</f>
        <v>low</v>
      </c>
      <c r="R4365" s="37" t="str">
        <f t="shared" si="344"/>
        <v>AVERAGE</v>
      </c>
      <c r="S4365" t="s">
        <v>628</v>
      </c>
    </row>
    <row r="4366" spans="1:19" x14ac:dyDescent="0.2">
      <c r="A4366" t="s">
        <v>4977</v>
      </c>
      <c r="B4366" t="s">
        <v>90</v>
      </c>
      <c r="C4366" t="s">
        <v>617</v>
      </c>
      <c r="D4366">
        <v>2531.75</v>
      </c>
      <c r="E4366" s="37" t="str">
        <f t="shared" si="340"/>
        <v xml:space="preserve"> </v>
      </c>
      <c r="F4366">
        <v>0.11</v>
      </c>
      <c r="G4366" s="37" t="str">
        <f t="shared" si="341"/>
        <v>Normal Discount</v>
      </c>
      <c r="H4366" s="37" t="str">
        <f t="shared" si="342"/>
        <v>Low</v>
      </c>
      <c r="I4366">
        <v>2</v>
      </c>
      <c r="J4366" t="str" cm="1">
        <f t="array" ref="J4366">_xlfn.IFS(I4366&lt;=3,"small",I4366&lt;=6,"Medium",I4366&lt;=9,"Large")</f>
        <v>small</v>
      </c>
      <c r="K4366" s="36">
        <v>45565</v>
      </c>
      <c r="L4366" s="36">
        <v>45570</v>
      </c>
      <c r="M4366" t="s">
        <v>612</v>
      </c>
      <c r="N4366" t="s">
        <v>604</v>
      </c>
      <c r="O4366" s="37" t="str">
        <f t="shared" si="343"/>
        <v>Digital Payment</v>
      </c>
      <c r="P4366">
        <v>408.95</v>
      </c>
      <c r="Q4366" s="37" t="str">
        <f>IF(P4366&gt;500,"High","low")</f>
        <v>low</v>
      </c>
      <c r="R4366" s="37" t="str">
        <f t="shared" si="344"/>
        <v>AVERAGE</v>
      </c>
      <c r="S4366" t="s">
        <v>620</v>
      </c>
    </row>
    <row r="4367" spans="1:19" x14ac:dyDescent="0.2">
      <c r="A4367" t="s">
        <v>4978</v>
      </c>
      <c r="B4367" t="s">
        <v>75</v>
      </c>
      <c r="C4367" t="s">
        <v>614</v>
      </c>
      <c r="D4367">
        <v>4587.74</v>
      </c>
      <c r="E4367" s="37" t="str">
        <f t="shared" si="340"/>
        <v>Excellent Order</v>
      </c>
      <c r="F4367">
        <v>0.43</v>
      </c>
      <c r="G4367" s="37" t="str">
        <f t="shared" si="341"/>
        <v>Heavy Discount</v>
      </c>
      <c r="H4367" s="37" t="str">
        <f t="shared" si="342"/>
        <v>High</v>
      </c>
      <c r="I4367">
        <v>4</v>
      </c>
      <c r="J4367" t="str" cm="1">
        <f t="array" ref="J4367">_xlfn.IFS(I4367&lt;=3,"small",I4367&lt;=6,"Medium",I4367&lt;=9,"Large")</f>
        <v>Medium</v>
      </c>
      <c r="K4367" s="36">
        <v>45212</v>
      </c>
      <c r="L4367" s="36">
        <v>45213</v>
      </c>
      <c r="M4367" t="s">
        <v>612</v>
      </c>
      <c r="N4367" t="s">
        <v>604</v>
      </c>
      <c r="O4367" s="37" t="str">
        <f t="shared" si="343"/>
        <v>Digital Payment</v>
      </c>
      <c r="P4367">
        <v>986.76</v>
      </c>
      <c r="Q4367" s="37" t="str">
        <f>IF(P4367&gt;500,"High","low")</f>
        <v>High</v>
      </c>
      <c r="R4367" s="37" t="str">
        <f t="shared" si="344"/>
        <v>Good</v>
      </c>
      <c r="S4367" t="s">
        <v>600</v>
      </c>
    </row>
    <row r="4368" spans="1:19" x14ac:dyDescent="0.2">
      <c r="A4368" t="s">
        <v>4979</v>
      </c>
      <c r="B4368" t="s">
        <v>75</v>
      </c>
      <c r="C4368" t="s">
        <v>607</v>
      </c>
      <c r="D4368">
        <v>4699.32</v>
      </c>
      <c r="E4368" s="37" t="str">
        <f t="shared" si="340"/>
        <v>Excellent Order</v>
      </c>
      <c r="F4368">
        <v>0.1</v>
      </c>
      <c r="G4368" s="37" t="str">
        <f t="shared" si="341"/>
        <v>Normal Discount</v>
      </c>
      <c r="H4368" s="37" t="str">
        <f t="shared" si="342"/>
        <v>Low</v>
      </c>
      <c r="I4368">
        <v>2</v>
      </c>
      <c r="J4368" t="str" cm="1">
        <f t="array" ref="J4368">_xlfn.IFS(I4368&lt;=3,"small",I4368&lt;=6,"Medium",I4368&lt;=9,"Large")</f>
        <v>small</v>
      </c>
      <c r="K4368" s="36">
        <v>45602</v>
      </c>
      <c r="L4368" s="36">
        <v>45606</v>
      </c>
      <c r="M4368" t="s">
        <v>603</v>
      </c>
      <c r="N4368" t="s">
        <v>608</v>
      </c>
      <c r="O4368" s="37" t="str">
        <f t="shared" si="343"/>
        <v>Cash Payment</v>
      </c>
      <c r="P4368">
        <v>1397.88</v>
      </c>
      <c r="Q4368" s="37" t="str">
        <f>IF(P4368&gt;500,"High","low")</f>
        <v>High</v>
      </c>
      <c r="R4368" s="37" t="str">
        <f t="shared" si="344"/>
        <v>Excellent</v>
      </c>
      <c r="S4368" t="s">
        <v>609</v>
      </c>
    </row>
    <row r="4369" spans="1:19" x14ac:dyDescent="0.2">
      <c r="A4369" t="s">
        <v>4980</v>
      </c>
      <c r="B4369" t="s">
        <v>75</v>
      </c>
      <c r="C4369" t="s">
        <v>607</v>
      </c>
      <c r="D4369">
        <v>625.04999999999995</v>
      </c>
      <c r="E4369" s="37" t="str">
        <f t="shared" si="340"/>
        <v xml:space="preserve"> </v>
      </c>
      <c r="F4369">
        <v>0.21</v>
      </c>
      <c r="G4369" s="37" t="str">
        <f t="shared" si="341"/>
        <v>Normal Discount</v>
      </c>
      <c r="H4369" s="37" t="str">
        <f t="shared" si="342"/>
        <v>Medium</v>
      </c>
      <c r="I4369">
        <v>2</v>
      </c>
      <c r="J4369" t="str" cm="1">
        <f t="array" ref="J4369">_xlfn.IFS(I4369&lt;=3,"small",I4369&lt;=6,"Medium",I4369&lt;=9,"Large")</f>
        <v>small</v>
      </c>
      <c r="K4369" s="36">
        <v>45056</v>
      </c>
      <c r="L4369" s="36">
        <v>45059</v>
      </c>
      <c r="M4369" t="s">
        <v>598</v>
      </c>
      <c r="N4369" t="s">
        <v>599</v>
      </c>
      <c r="O4369" s="37" t="str">
        <f t="shared" si="343"/>
        <v>Digital Payment</v>
      </c>
      <c r="P4369">
        <v>72.19</v>
      </c>
      <c r="Q4369" s="37" t="str">
        <f>IF(P4369&gt;500,"High","low")</f>
        <v>low</v>
      </c>
      <c r="R4369" s="37" t="str">
        <f t="shared" si="344"/>
        <v>AVERAGE</v>
      </c>
      <c r="S4369" t="s">
        <v>600</v>
      </c>
    </row>
    <row r="4370" spans="1:19" x14ac:dyDescent="0.2">
      <c r="A4370" t="s">
        <v>4981</v>
      </c>
      <c r="B4370" t="s">
        <v>83</v>
      </c>
      <c r="C4370" t="s">
        <v>617</v>
      </c>
      <c r="D4370">
        <v>778.12</v>
      </c>
      <c r="E4370" s="37" t="str">
        <f t="shared" si="340"/>
        <v xml:space="preserve"> </v>
      </c>
      <c r="F4370">
        <v>0.11</v>
      </c>
      <c r="G4370" s="37" t="str">
        <f t="shared" si="341"/>
        <v>Normal Discount</v>
      </c>
      <c r="H4370" s="37" t="str">
        <f t="shared" si="342"/>
        <v>Low</v>
      </c>
      <c r="I4370">
        <v>1</v>
      </c>
      <c r="J4370" t="str" cm="1">
        <f t="array" ref="J4370">_xlfn.IFS(I4370&lt;=3,"small",I4370&lt;=6,"Medium",I4370&lt;=9,"Large")</f>
        <v>small</v>
      </c>
      <c r="K4370" s="36">
        <v>45306</v>
      </c>
      <c r="L4370" s="36">
        <v>45308</v>
      </c>
      <c r="M4370" t="s">
        <v>598</v>
      </c>
      <c r="N4370" t="s">
        <v>604</v>
      </c>
      <c r="O4370" s="37" t="str">
        <f t="shared" si="343"/>
        <v>Digital Payment</v>
      </c>
      <c r="P4370">
        <v>89.9</v>
      </c>
      <c r="Q4370" s="37" t="str">
        <f>IF(P4370&gt;500,"High","low")</f>
        <v>low</v>
      </c>
      <c r="R4370" s="37" t="str">
        <f t="shared" si="344"/>
        <v>AVERAGE</v>
      </c>
      <c r="S4370" t="s">
        <v>609</v>
      </c>
    </row>
    <row r="4371" spans="1:19" x14ac:dyDescent="0.2">
      <c r="A4371" t="s">
        <v>4982</v>
      </c>
      <c r="B4371" t="s">
        <v>67</v>
      </c>
      <c r="C4371" t="s">
        <v>597</v>
      </c>
      <c r="D4371">
        <v>1854.47</v>
      </c>
      <c r="E4371" s="37" t="str">
        <f t="shared" si="340"/>
        <v xml:space="preserve"> </v>
      </c>
      <c r="F4371">
        <v>0.31</v>
      </c>
      <c r="G4371" s="37" t="str">
        <f t="shared" si="341"/>
        <v>Heavy Discount</v>
      </c>
      <c r="H4371" s="37" t="str">
        <f t="shared" si="342"/>
        <v>Medium</v>
      </c>
      <c r="I4371">
        <v>2</v>
      </c>
      <c r="J4371" t="str" cm="1">
        <f t="array" ref="J4371">_xlfn.IFS(I4371&lt;=3,"small",I4371&lt;=6,"Medium",I4371&lt;=9,"Large")</f>
        <v>small</v>
      </c>
      <c r="K4371" s="36">
        <v>45356</v>
      </c>
      <c r="L4371" s="36">
        <v>45360</v>
      </c>
      <c r="M4371" t="s">
        <v>598</v>
      </c>
      <c r="N4371" t="s">
        <v>599</v>
      </c>
      <c r="O4371" s="37" t="str">
        <f t="shared" si="343"/>
        <v>Digital Payment</v>
      </c>
      <c r="P4371">
        <v>275.44</v>
      </c>
      <c r="Q4371" s="37" t="str">
        <f>IF(P4371&gt;500,"High","low")</f>
        <v>low</v>
      </c>
      <c r="R4371" s="37" t="str">
        <f t="shared" si="344"/>
        <v>AVERAGE</v>
      </c>
      <c r="S4371" t="s">
        <v>620</v>
      </c>
    </row>
    <row r="4372" spans="1:19" x14ac:dyDescent="0.2">
      <c r="A4372" t="s">
        <v>4983</v>
      </c>
      <c r="B4372" t="s">
        <v>83</v>
      </c>
      <c r="C4372" t="s">
        <v>617</v>
      </c>
      <c r="D4372">
        <v>2164.0500000000002</v>
      </c>
      <c r="E4372" s="37" t="str">
        <f t="shared" si="340"/>
        <v xml:space="preserve"> </v>
      </c>
      <c r="F4372">
        <v>0.24</v>
      </c>
      <c r="G4372" s="37" t="str">
        <f t="shared" si="341"/>
        <v>Normal Discount</v>
      </c>
      <c r="H4372" s="37" t="str">
        <f t="shared" si="342"/>
        <v>Medium</v>
      </c>
      <c r="I4372">
        <v>3</v>
      </c>
      <c r="J4372" t="str" cm="1">
        <f t="array" ref="J4372">_xlfn.IFS(I4372&lt;=3,"small",I4372&lt;=6,"Medium",I4372&lt;=9,"Large")</f>
        <v>small</v>
      </c>
      <c r="K4372" s="36">
        <v>45166</v>
      </c>
      <c r="L4372" s="36">
        <v>45171</v>
      </c>
      <c r="M4372" t="s">
        <v>612</v>
      </c>
      <c r="N4372" t="s">
        <v>599</v>
      </c>
      <c r="O4372" s="37" t="str">
        <f t="shared" si="343"/>
        <v>Digital Payment</v>
      </c>
      <c r="P4372">
        <v>464.77</v>
      </c>
      <c r="Q4372" s="37" t="str">
        <f>IF(P4372&gt;500,"High","low")</f>
        <v>low</v>
      </c>
      <c r="R4372" s="37" t="str">
        <f t="shared" si="344"/>
        <v>AVERAGE</v>
      </c>
      <c r="S4372" t="s">
        <v>609</v>
      </c>
    </row>
    <row r="4373" spans="1:19" x14ac:dyDescent="0.2">
      <c r="A4373" t="s">
        <v>4984</v>
      </c>
      <c r="B4373" t="s">
        <v>67</v>
      </c>
      <c r="C4373" t="s">
        <v>602</v>
      </c>
      <c r="D4373">
        <v>2971.73</v>
      </c>
      <c r="E4373" s="37" t="str">
        <f t="shared" si="340"/>
        <v xml:space="preserve"> </v>
      </c>
      <c r="F4373">
        <v>0.19</v>
      </c>
      <c r="G4373" s="37" t="str">
        <f t="shared" si="341"/>
        <v>Normal Discount</v>
      </c>
      <c r="H4373" s="37" t="str">
        <f t="shared" si="342"/>
        <v>Low</v>
      </c>
      <c r="I4373">
        <v>4</v>
      </c>
      <c r="J4373" t="str" cm="1">
        <f t="array" ref="J4373">_xlfn.IFS(I4373&lt;=3,"small",I4373&lt;=6,"Medium",I4373&lt;=9,"Large")</f>
        <v>Medium</v>
      </c>
      <c r="K4373" s="36">
        <v>45478</v>
      </c>
      <c r="L4373" s="36">
        <v>45481</v>
      </c>
      <c r="M4373" t="s">
        <v>598</v>
      </c>
      <c r="N4373" t="s">
        <v>599</v>
      </c>
      <c r="O4373" s="37" t="str">
        <f t="shared" si="343"/>
        <v>Digital Payment</v>
      </c>
      <c r="P4373">
        <v>836.73</v>
      </c>
      <c r="Q4373" s="37" t="str">
        <f>IF(P4373&gt;500,"High","low")</f>
        <v>High</v>
      </c>
      <c r="R4373" s="37" t="str">
        <f t="shared" si="344"/>
        <v>Good</v>
      </c>
      <c r="S4373" t="s">
        <v>628</v>
      </c>
    </row>
    <row r="4374" spans="1:19" x14ac:dyDescent="0.2">
      <c r="A4374" t="s">
        <v>4985</v>
      </c>
      <c r="B4374" t="s">
        <v>67</v>
      </c>
      <c r="C4374" t="s">
        <v>602</v>
      </c>
      <c r="D4374">
        <v>3888.48</v>
      </c>
      <c r="E4374" s="37" t="str">
        <f t="shared" si="340"/>
        <v xml:space="preserve"> </v>
      </c>
      <c r="F4374">
        <v>0.24</v>
      </c>
      <c r="G4374" s="37" t="str">
        <f t="shared" si="341"/>
        <v>Normal Discount</v>
      </c>
      <c r="H4374" s="37" t="str">
        <f t="shared" si="342"/>
        <v>Medium</v>
      </c>
      <c r="I4374">
        <v>1</v>
      </c>
      <c r="J4374" t="str" cm="1">
        <f t="array" ref="J4374">_xlfn.IFS(I4374&lt;=3,"small",I4374&lt;=6,"Medium",I4374&lt;=9,"Large")</f>
        <v>small</v>
      </c>
      <c r="K4374" s="36">
        <v>45072</v>
      </c>
      <c r="L4374" s="36">
        <v>45077</v>
      </c>
      <c r="M4374" t="s">
        <v>598</v>
      </c>
      <c r="N4374" t="s">
        <v>599</v>
      </c>
      <c r="O4374" s="37" t="str">
        <f t="shared" si="343"/>
        <v>Digital Payment</v>
      </c>
      <c r="P4374">
        <v>1116.99</v>
      </c>
      <c r="Q4374" s="37" t="str">
        <f>IF(P4374&gt;500,"High","low")</f>
        <v>High</v>
      </c>
      <c r="R4374" s="37" t="str">
        <f t="shared" si="344"/>
        <v>Excellent</v>
      </c>
      <c r="S4374" t="s">
        <v>628</v>
      </c>
    </row>
    <row r="4375" spans="1:19" x14ac:dyDescent="0.2">
      <c r="A4375" t="s">
        <v>4986</v>
      </c>
      <c r="B4375" t="s">
        <v>75</v>
      </c>
      <c r="C4375" t="s">
        <v>607</v>
      </c>
      <c r="D4375">
        <v>765.26</v>
      </c>
      <c r="E4375" s="37" t="str">
        <f t="shared" si="340"/>
        <v xml:space="preserve"> </v>
      </c>
      <c r="F4375">
        <v>0.21</v>
      </c>
      <c r="G4375" s="37" t="str">
        <f t="shared" si="341"/>
        <v>Normal Discount</v>
      </c>
      <c r="H4375" s="37" t="str">
        <f t="shared" si="342"/>
        <v>Medium</v>
      </c>
      <c r="I4375">
        <v>1</v>
      </c>
      <c r="J4375" t="str" cm="1">
        <f t="array" ref="J4375">_xlfn.IFS(I4375&lt;=3,"small",I4375&lt;=6,"Medium",I4375&lt;=9,"Large")</f>
        <v>small</v>
      </c>
      <c r="K4375" s="36">
        <v>45218</v>
      </c>
      <c r="L4375" s="36">
        <v>45223</v>
      </c>
      <c r="M4375" t="s">
        <v>603</v>
      </c>
      <c r="N4375" t="s">
        <v>604</v>
      </c>
      <c r="O4375" s="37" t="str">
        <f t="shared" si="343"/>
        <v>Digital Payment</v>
      </c>
      <c r="P4375">
        <v>102.93</v>
      </c>
      <c r="Q4375" s="37" t="str">
        <f>IF(P4375&gt;500,"High","low")</f>
        <v>low</v>
      </c>
      <c r="R4375" s="37" t="str">
        <f t="shared" si="344"/>
        <v>AVERAGE</v>
      </c>
      <c r="S4375" t="s">
        <v>615</v>
      </c>
    </row>
    <row r="4376" spans="1:19" x14ac:dyDescent="0.2">
      <c r="A4376" t="s">
        <v>4987</v>
      </c>
      <c r="B4376" t="s">
        <v>90</v>
      </c>
      <c r="C4376" t="s">
        <v>607</v>
      </c>
      <c r="D4376">
        <v>4032.93</v>
      </c>
      <c r="E4376" s="37" t="str">
        <f t="shared" si="340"/>
        <v xml:space="preserve"> </v>
      </c>
      <c r="F4376">
        <v>0.43</v>
      </c>
      <c r="G4376" s="37" t="str">
        <f t="shared" si="341"/>
        <v>Heavy Discount</v>
      </c>
      <c r="H4376" s="37" t="str">
        <f t="shared" si="342"/>
        <v>High</v>
      </c>
      <c r="I4376">
        <v>7</v>
      </c>
      <c r="J4376" t="str" cm="1">
        <f t="array" ref="J4376">_xlfn.IFS(I4376&lt;=3,"small",I4376&lt;=6,"Medium",I4376&lt;=9,"Large")</f>
        <v>Large</v>
      </c>
      <c r="K4376" s="36">
        <v>45238</v>
      </c>
      <c r="L4376" s="36">
        <v>45243</v>
      </c>
      <c r="M4376" t="s">
        <v>598</v>
      </c>
      <c r="N4376" t="s">
        <v>608</v>
      </c>
      <c r="O4376" s="37" t="str">
        <f t="shared" si="343"/>
        <v>Cash Payment</v>
      </c>
      <c r="P4376">
        <v>622.36</v>
      </c>
      <c r="Q4376" s="37" t="str">
        <f>IF(P4376&gt;500,"High","low")</f>
        <v>High</v>
      </c>
      <c r="R4376" s="37" t="str">
        <f t="shared" si="344"/>
        <v>Good</v>
      </c>
      <c r="S4376" t="s">
        <v>600</v>
      </c>
    </row>
    <row r="4377" spans="1:19" x14ac:dyDescent="0.2">
      <c r="A4377" t="s">
        <v>4988</v>
      </c>
      <c r="B4377" t="s">
        <v>75</v>
      </c>
      <c r="C4377" t="s">
        <v>617</v>
      </c>
      <c r="D4377">
        <v>3089.14</v>
      </c>
      <c r="E4377" s="37" t="str">
        <f t="shared" si="340"/>
        <v xml:space="preserve"> </v>
      </c>
      <c r="F4377">
        <v>0.06</v>
      </c>
      <c r="G4377" s="37" t="str">
        <f t="shared" si="341"/>
        <v>Normal Discount</v>
      </c>
      <c r="H4377" s="37" t="str">
        <f t="shared" si="342"/>
        <v>Low</v>
      </c>
      <c r="I4377">
        <v>5</v>
      </c>
      <c r="J4377" t="str" cm="1">
        <f t="array" ref="J4377">_xlfn.IFS(I4377&lt;=3,"small",I4377&lt;=6,"Medium",I4377&lt;=9,"Large")</f>
        <v>Medium</v>
      </c>
      <c r="K4377" s="36">
        <v>45234</v>
      </c>
      <c r="L4377" s="36">
        <v>45237</v>
      </c>
      <c r="M4377" t="s">
        <v>612</v>
      </c>
      <c r="N4377" t="s">
        <v>604</v>
      </c>
      <c r="O4377" s="37" t="str">
        <f t="shared" si="343"/>
        <v>Digital Payment</v>
      </c>
      <c r="P4377">
        <v>491.43</v>
      </c>
      <c r="Q4377" s="37" t="str">
        <f>IF(P4377&gt;500,"High","low")</f>
        <v>low</v>
      </c>
      <c r="R4377" s="37" t="str">
        <f t="shared" si="344"/>
        <v>AVERAGE</v>
      </c>
      <c r="S4377" t="s">
        <v>605</v>
      </c>
    </row>
    <row r="4378" spans="1:19" x14ac:dyDescent="0.2">
      <c r="A4378" t="s">
        <v>4989</v>
      </c>
      <c r="B4378" t="s">
        <v>90</v>
      </c>
      <c r="C4378" t="s">
        <v>617</v>
      </c>
      <c r="D4378">
        <v>4906.33</v>
      </c>
      <c r="E4378" s="37" t="str">
        <f t="shared" si="340"/>
        <v xml:space="preserve"> </v>
      </c>
      <c r="F4378">
        <v>0.4</v>
      </c>
      <c r="G4378" s="37" t="str">
        <f t="shared" si="341"/>
        <v>Heavy Discount</v>
      </c>
      <c r="H4378" s="37" t="str">
        <f t="shared" si="342"/>
        <v>Medium</v>
      </c>
      <c r="I4378">
        <v>7</v>
      </c>
      <c r="J4378" t="str" cm="1">
        <f t="array" ref="J4378">_xlfn.IFS(I4378&lt;=3,"small",I4378&lt;=6,"Medium",I4378&lt;=9,"Large")</f>
        <v>Large</v>
      </c>
      <c r="K4378" s="36">
        <v>45556</v>
      </c>
      <c r="L4378" s="36">
        <v>45560</v>
      </c>
      <c r="M4378" t="s">
        <v>603</v>
      </c>
      <c r="N4378" t="s">
        <v>599</v>
      </c>
      <c r="O4378" s="37" t="str">
        <f t="shared" si="343"/>
        <v>Digital Payment</v>
      </c>
      <c r="P4378">
        <v>673.29</v>
      </c>
      <c r="Q4378" s="37" t="str">
        <f>IF(P4378&gt;500,"High","low")</f>
        <v>High</v>
      </c>
      <c r="R4378" s="37" t="str">
        <f t="shared" si="344"/>
        <v>Good</v>
      </c>
      <c r="S4378" t="s">
        <v>628</v>
      </c>
    </row>
    <row r="4379" spans="1:19" x14ac:dyDescent="0.2">
      <c r="A4379" t="s">
        <v>4990</v>
      </c>
      <c r="B4379" t="s">
        <v>67</v>
      </c>
      <c r="C4379" t="s">
        <v>614</v>
      </c>
      <c r="D4379">
        <v>3290.72</v>
      </c>
      <c r="E4379" s="37" t="str">
        <f t="shared" si="340"/>
        <v xml:space="preserve"> </v>
      </c>
      <c r="F4379">
        <v>0.33</v>
      </c>
      <c r="G4379" s="37" t="str">
        <f t="shared" si="341"/>
        <v>Heavy Discount</v>
      </c>
      <c r="H4379" s="37" t="str">
        <f t="shared" si="342"/>
        <v>Medium</v>
      </c>
      <c r="I4379">
        <v>9</v>
      </c>
      <c r="J4379" t="str" cm="1">
        <f t="array" ref="J4379">_xlfn.IFS(I4379&lt;=3,"small",I4379&lt;=6,"Medium",I4379&lt;=9,"Large")</f>
        <v>Large</v>
      </c>
      <c r="K4379" s="36">
        <v>45552</v>
      </c>
      <c r="L4379" s="36">
        <v>45558</v>
      </c>
      <c r="M4379" t="s">
        <v>603</v>
      </c>
      <c r="N4379" t="s">
        <v>599</v>
      </c>
      <c r="O4379" s="37" t="str">
        <f t="shared" si="343"/>
        <v>Digital Payment</v>
      </c>
      <c r="P4379">
        <v>424.02</v>
      </c>
      <c r="Q4379" s="37" t="str">
        <f>IF(P4379&gt;500,"High","low")</f>
        <v>low</v>
      </c>
      <c r="R4379" s="37" t="str">
        <f t="shared" si="344"/>
        <v>AVERAGE</v>
      </c>
      <c r="S4379" t="s">
        <v>609</v>
      </c>
    </row>
    <row r="4380" spans="1:19" x14ac:dyDescent="0.2">
      <c r="A4380" t="s">
        <v>4991</v>
      </c>
      <c r="B4380" t="s">
        <v>75</v>
      </c>
      <c r="C4380" t="s">
        <v>602</v>
      </c>
      <c r="D4380">
        <v>3608.85</v>
      </c>
      <c r="E4380" s="37" t="str">
        <f t="shared" si="340"/>
        <v xml:space="preserve"> </v>
      </c>
      <c r="F4380">
        <v>0.17</v>
      </c>
      <c r="G4380" s="37" t="str">
        <f t="shared" si="341"/>
        <v>Normal Discount</v>
      </c>
      <c r="H4380" s="37" t="str">
        <f t="shared" si="342"/>
        <v>Low</v>
      </c>
      <c r="I4380">
        <v>1</v>
      </c>
      <c r="J4380" t="str" cm="1">
        <f t="array" ref="J4380">_xlfn.IFS(I4380&lt;=3,"small",I4380&lt;=6,"Medium",I4380&lt;=9,"Large")</f>
        <v>small</v>
      </c>
      <c r="K4380" s="36">
        <v>45458</v>
      </c>
      <c r="L4380" s="36">
        <v>45463</v>
      </c>
      <c r="M4380" t="s">
        <v>603</v>
      </c>
      <c r="N4380" t="s">
        <v>604</v>
      </c>
      <c r="O4380" s="37" t="str">
        <f t="shared" si="343"/>
        <v>Digital Payment</v>
      </c>
      <c r="P4380">
        <v>244.85</v>
      </c>
      <c r="Q4380" s="37" t="str">
        <f>IF(P4380&gt;500,"High","low")</f>
        <v>low</v>
      </c>
      <c r="R4380" s="37" t="str">
        <f t="shared" si="344"/>
        <v>AVERAGE</v>
      </c>
      <c r="S4380" t="s">
        <v>609</v>
      </c>
    </row>
    <row r="4381" spans="1:19" x14ac:dyDescent="0.2">
      <c r="A4381" t="s">
        <v>4992</v>
      </c>
      <c r="B4381" t="s">
        <v>90</v>
      </c>
      <c r="C4381" t="s">
        <v>617</v>
      </c>
      <c r="D4381">
        <v>1056.52</v>
      </c>
      <c r="E4381" s="37" t="str">
        <f t="shared" si="340"/>
        <v xml:space="preserve"> </v>
      </c>
      <c r="F4381">
        <v>0.46</v>
      </c>
      <c r="G4381" s="37" t="str">
        <f t="shared" si="341"/>
        <v>Heavy Discount</v>
      </c>
      <c r="H4381" s="37" t="str">
        <f t="shared" si="342"/>
        <v>High</v>
      </c>
      <c r="I4381">
        <v>8</v>
      </c>
      <c r="J4381" t="str" cm="1">
        <f t="array" ref="J4381">_xlfn.IFS(I4381&lt;=3,"small",I4381&lt;=6,"Medium",I4381&lt;=9,"Large")</f>
        <v>Large</v>
      </c>
      <c r="K4381" s="36">
        <v>45155</v>
      </c>
      <c r="L4381" s="36">
        <v>45157</v>
      </c>
      <c r="M4381" t="s">
        <v>598</v>
      </c>
      <c r="N4381" t="s">
        <v>599</v>
      </c>
      <c r="O4381" s="37" t="str">
        <f t="shared" si="343"/>
        <v>Digital Payment</v>
      </c>
      <c r="P4381">
        <v>196.8</v>
      </c>
      <c r="Q4381" s="37" t="str">
        <f>IF(P4381&gt;500,"High","low")</f>
        <v>low</v>
      </c>
      <c r="R4381" s="37" t="str">
        <f t="shared" si="344"/>
        <v>AVERAGE</v>
      </c>
      <c r="S4381" t="s">
        <v>620</v>
      </c>
    </row>
    <row r="4382" spans="1:19" x14ac:dyDescent="0.2">
      <c r="A4382" t="s">
        <v>4993</v>
      </c>
      <c r="B4382" t="s">
        <v>83</v>
      </c>
      <c r="C4382" t="s">
        <v>597</v>
      </c>
      <c r="D4382">
        <v>3867.42</v>
      </c>
      <c r="E4382" s="37" t="str">
        <f t="shared" si="340"/>
        <v xml:space="preserve"> </v>
      </c>
      <c r="F4382">
        <v>0.09</v>
      </c>
      <c r="G4382" s="37" t="str">
        <f t="shared" si="341"/>
        <v>Normal Discount</v>
      </c>
      <c r="H4382" s="37" t="str">
        <f t="shared" si="342"/>
        <v>Low</v>
      </c>
      <c r="I4382">
        <v>4</v>
      </c>
      <c r="J4382" t="str" cm="1">
        <f t="array" ref="J4382">_xlfn.IFS(I4382&lt;=3,"small",I4382&lt;=6,"Medium",I4382&lt;=9,"Large")</f>
        <v>Medium</v>
      </c>
      <c r="K4382" s="36">
        <v>45439</v>
      </c>
      <c r="L4382" s="36">
        <v>45443</v>
      </c>
      <c r="M4382" t="s">
        <v>603</v>
      </c>
      <c r="N4382" t="s">
        <v>599</v>
      </c>
      <c r="O4382" s="37" t="str">
        <f t="shared" si="343"/>
        <v>Digital Payment</v>
      </c>
      <c r="P4382">
        <v>833.76</v>
      </c>
      <c r="Q4382" s="37" t="str">
        <f>IF(P4382&gt;500,"High","low")</f>
        <v>High</v>
      </c>
      <c r="R4382" s="37" t="str">
        <f t="shared" si="344"/>
        <v>Good</v>
      </c>
      <c r="S4382" t="s">
        <v>600</v>
      </c>
    </row>
    <row r="4383" spans="1:19" x14ac:dyDescent="0.2">
      <c r="A4383" t="s">
        <v>4994</v>
      </c>
      <c r="B4383" t="s">
        <v>90</v>
      </c>
      <c r="C4383" t="s">
        <v>614</v>
      </c>
      <c r="D4383">
        <v>488.4</v>
      </c>
      <c r="E4383" s="37" t="str">
        <f t="shared" si="340"/>
        <v xml:space="preserve"> </v>
      </c>
      <c r="F4383">
        <v>0.16</v>
      </c>
      <c r="G4383" s="37" t="str">
        <f t="shared" si="341"/>
        <v>Normal Discount</v>
      </c>
      <c r="H4383" s="37" t="str">
        <f t="shared" si="342"/>
        <v>Low</v>
      </c>
      <c r="I4383">
        <v>9</v>
      </c>
      <c r="J4383" t="str" cm="1">
        <f t="array" ref="J4383">_xlfn.IFS(I4383&lt;=3,"small",I4383&lt;=6,"Medium",I4383&lt;=9,"Large")</f>
        <v>Large</v>
      </c>
      <c r="K4383" s="36">
        <v>44946</v>
      </c>
      <c r="L4383" s="36">
        <v>44951</v>
      </c>
      <c r="M4383" t="s">
        <v>603</v>
      </c>
      <c r="N4383" t="s">
        <v>604</v>
      </c>
      <c r="O4383" s="37" t="str">
        <f t="shared" si="343"/>
        <v>Digital Payment</v>
      </c>
      <c r="P4383">
        <v>145.49</v>
      </c>
      <c r="Q4383" s="37" t="str">
        <f>IF(P4383&gt;500,"High","low")</f>
        <v>low</v>
      </c>
      <c r="R4383" s="37" t="str">
        <f t="shared" si="344"/>
        <v>AVERAGE</v>
      </c>
      <c r="S4383" t="s">
        <v>615</v>
      </c>
    </row>
    <row r="4384" spans="1:19" x14ac:dyDescent="0.2">
      <c r="A4384" t="s">
        <v>4995</v>
      </c>
      <c r="B4384" t="s">
        <v>75</v>
      </c>
      <c r="C4384" t="s">
        <v>617</v>
      </c>
      <c r="D4384">
        <v>3317</v>
      </c>
      <c r="E4384" s="37" t="str">
        <f t="shared" si="340"/>
        <v xml:space="preserve"> </v>
      </c>
      <c r="F4384">
        <v>0.19</v>
      </c>
      <c r="G4384" s="37" t="str">
        <f t="shared" si="341"/>
        <v>Normal Discount</v>
      </c>
      <c r="H4384" s="37" t="str">
        <f t="shared" si="342"/>
        <v>Low</v>
      </c>
      <c r="I4384">
        <v>2</v>
      </c>
      <c r="J4384" t="str" cm="1">
        <f t="array" ref="J4384">_xlfn.IFS(I4384&lt;=3,"small",I4384&lt;=6,"Medium",I4384&lt;=9,"Large")</f>
        <v>small</v>
      </c>
      <c r="K4384" s="36">
        <v>45186</v>
      </c>
      <c r="L4384" s="36">
        <v>45189</v>
      </c>
      <c r="M4384" t="s">
        <v>603</v>
      </c>
      <c r="N4384" t="s">
        <v>604</v>
      </c>
      <c r="O4384" s="37" t="str">
        <f t="shared" si="343"/>
        <v>Digital Payment</v>
      </c>
      <c r="P4384">
        <v>679.3</v>
      </c>
      <c r="Q4384" s="37" t="str">
        <f>IF(P4384&gt;500,"High","low")</f>
        <v>High</v>
      </c>
      <c r="R4384" s="37" t="str">
        <f t="shared" si="344"/>
        <v>Good</v>
      </c>
      <c r="S4384" t="s">
        <v>600</v>
      </c>
    </row>
    <row r="4385" spans="1:19" x14ac:dyDescent="0.2">
      <c r="A4385" t="s">
        <v>4996</v>
      </c>
      <c r="B4385" t="s">
        <v>83</v>
      </c>
      <c r="C4385" t="s">
        <v>607</v>
      </c>
      <c r="D4385">
        <v>372.31</v>
      </c>
      <c r="E4385" s="37" t="str">
        <f t="shared" si="340"/>
        <v xml:space="preserve"> </v>
      </c>
      <c r="F4385">
        <v>0.32</v>
      </c>
      <c r="G4385" s="37" t="str">
        <f t="shared" si="341"/>
        <v>Heavy Discount</v>
      </c>
      <c r="H4385" s="37" t="str">
        <f t="shared" si="342"/>
        <v>Medium</v>
      </c>
      <c r="I4385">
        <v>9</v>
      </c>
      <c r="J4385" t="str" cm="1">
        <f t="array" ref="J4385">_xlfn.IFS(I4385&lt;=3,"small",I4385&lt;=6,"Medium",I4385&lt;=9,"Large")</f>
        <v>Large</v>
      </c>
      <c r="K4385" s="36">
        <v>45540</v>
      </c>
      <c r="L4385" s="36">
        <v>45545</v>
      </c>
      <c r="M4385" t="s">
        <v>598</v>
      </c>
      <c r="N4385" t="s">
        <v>608</v>
      </c>
      <c r="O4385" s="37" t="str">
        <f t="shared" si="343"/>
        <v>Cash Payment</v>
      </c>
      <c r="P4385">
        <v>75.430000000000007</v>
      </c>
      <c r="Q4385" s="37" t="str">
        <f>IF(P4385&gt;500,"High","low")</f>
        <v>low</v>
      </c>
      <c r="R4385" s="37" t="str">
        <f t="shared" si="344"/>
        <v>AVERAGE</v>
      </c>
      <c r="S4385" t="s">
        <v>615</v>
      </c>
    </row>
    <row r="4386" spans="1:19" x14ac:dyDescent="0.2">
      <c r="A4386" t="s">
        <v>4997</v>
      </c>
      <c r="B4386" t="s">
        <v>90</v>
      </c>
      <c r="C4386" t="s">
        <v>617</v>
      </c>
      <c r="D4386">
        <v>664.61</v>
      </c>
      <c r="E4386" s="37" t="str">
        <f t="shared" si="340"/>
        <v xml:space="preserve"> </v>
      </c>
      <c r="F4386">
        <v>0.47</v>
      </c>
      <c r="G4386" s="37" t="str">
        <f t="shared" si="341"/>
        <v>Heavy Discount</v>
      </c>
      <c r="H4386" s="37" t="str">
        <f t="shared" si="342"/>
        <v>High</v>
      </c>
      <c r="I4386">
        <v>8</v>
      </c>
      <c r="J4386" t="str" cm="1">
        <f t="array" ref="J4386">_xlfn.IFS(I4386&lt;=3,"small",I4386&lt;=6,"Medium",I4386&lt;=9,"Large")</f>
        <v>Large</v>
      </c>
      <c r="K4386" s="36">
        <v>45123</v>
      </c>
      <c r="L4386" s="36">
        <v>45128</v>
      </c>
      <c r="M4386" t="s">
        <v>603</v>
      </c>
      <c r="N4386" t="s">
        <v>599</v>
      </c>
      <c r="O4386" s="37" t="str">
        <f t="shared" si="343"/>
        <v>Digital Payment</v>
      </c>
      <c r="P4386">
        <v>94.77</v>
      </c>
      <c r="Q4386" s="37" t="str">
        <f>IF(P4386&gt;500,"High","low")</f>
        <v>low</v>
      </c>
      <c r="R4386" s="37" t="str">
        <f t="shared" si="344"/>
        <v>AVERAGE</v>
      </c>
      <c r="S4386" t="s">
        <v>620</v>
      </c>
    </row>
    <row r="4387" spans="1:19" x14ac:dyDescent="0.2">
      <c r="A4387" t="s">
        <v>4998</v>
      </c>
      <c r="B4387" t="s">
        <v>90</v>
      </c>
      <c r="C4387" t="s">
        <v>607</v>
      </c>
      <c r="D4387">
        <v>628.54</v>
      </c>
      <c r="E4387" s="37" t="str">
        <f t="shared" si="340"/>
        <v xml:space="preserve"> </v>
      </c>
      <c r="F4387">
        <v>0.3</v>
      </c>
      <c r="G4387" s="37" t="str">
        <f t="shared" si="341"/>
        <v>Normal Discount</v>
      </c>
      <c r="H4387" s="37" t="str">
        <f t="shared" si="342"/>
        <v>Medium</v>
      </c>
      <c r="I4387">
        <v>6</v>
      </c>
      <c r="J4387" t="str" cm="1">
        <f t="array" ref="J4387">_xlfn.IFS(I4387&lt;=3,"small",I4387&lt;=6,"Medium",I4387&lt;=9,"Large")</f>
        <v>Medium</v>
      </c>
      <c r="K4387" s="36">
        <v>45316</v>
      </c>
      <c r="L4387" s="36">
        <v>45317</v>
      </c>
      <c r="M4387" t="s">
        <v>598</v>
      </c>
      <c r="N4387" t="s">
        <v>599</v>
      </c>
      <c r="O4387" s="37" t="str">
        <f t="shared" si="343"/>
        <v>Digital Payment</v>
      </c>
      <c r="P4387">
        <v>40.46</v>
      </c>
      <c r="Q4387" s="37" t="str">
        <f>IF(P4387&gt;500,"High","low")</f>
        <v>low</v>
      </c>
      <c r="R4387" s="37" t="str">
        <f t="shared" si="344"/>
        <v>AVERAGE</v>
      </c>
      <c r="S4387" t="s">
        <v>600</v>
      </c>
    </row>
    <row r="4388" spans="1:19" x14ac:dyDescent="0.2">
      <c r="A4388" t="s">
        <v>4999</v>
      </c>
      <c r="B4388" t="s">
        <v>90</v>
      </c>
      <c r="C4388" t="s">
        <v>607</v>
      </c>
      <c r="D4388">
        <v>357.17</v>
      </c>
      <c r="E4388" s="37" t="str">
        <f t="shared" si="340"/>
        <v xml:space="preserve"> </v>
      </c>
      <c r="F4388">
        <v>0.43</v>
      </c>
      <c r="G4388" s="37" t="str">
        <f t="shared" si="341"/>
        <v>Heavy Discount</v>
      </c>
      <c r="H4388" s="37" t="str">
        <f t="shared" si="342"/>
        <v>High</v>
      </c>
      <c r="I4388">
        <v>5</v>
      </c>
      <c r="J4388" t="str" cm="1">
        <f t="array" ref="J4388">_xlfn.IFS(I4388&lt;=3,"small",I4388&lt;=6,"Medium",I4388&lt;=9,"Large")</f>
        <v>Medium</v>
      </c>
      <c r="K4388" s="36">
        <v>45629</v>
      </c>
      <c r="L4388" s="36">
        <v>45630</v>
      </c>
      <c r="M4388" t="s">
        <v>612</v>
      </c>
      <c r="N4388" t="s">
        <v>604</v>
      </c>
      <c r="O4388" s="37" t="str">
        <f t="shared" si="343"/>
        <v>Digital Payment</v>
      </c>
      <c r="P4388">
        <v>72.7</v>
      </c>
      <c r="Q4388" s="37" t="str">
        <f>IF(P4388&gt;500,"High","low")</f>
        <v>low</v>
      </c>
      <c r="R4388" s="37" t="str">
        <f t="shared" si="344"/>
        <v>AVERAGE</v>
      </c>
      <c r="S4388" t="s">
        <v>609</v>
      </c>
    </row>
    <row r="4389" spans="1:19" x14ac:dyDescent="0.2">
      <c r="A4389" t="s">
        <v>5000</v>
      </c>
      <c r="B4389" t="s">
        <v>90</v>
      </c>
      <c r="C4389" t="s">
        <v>602</v>
      </c>
      <c r="D4389">
        <v>1673.58</v>
      </c>
      <c r="E4389" s="37" t="str">
        <f t="shared" si="340"/>
        <v xml:space="preserve"> </v>
      </c>
      <c r="F4389">
        <v>0.45</v>
      </c>
      <c r="G4389" s="37" t="str">
        <f t="shared" si="341"/>
        <v>Heavy Discount</v>
      </c>
      <c r="H4389" s="37" t="str">
        <f t="shared" si="342"/>
        <v>High</v>
      </c>
      <c r="I4389">
        <v>3</v>
      </c>
      <c r="J4389" t="str" cm="1">
        <f t="array" ref="J4389">_xlfn.IFS(I4389&lt;=3,"small",I4389&lt;=6,"Medium",I4389&lt;=9,"Large")</f>
        <v>small</v>
      </c>
      <c r="K4389" s="36">
        <v>45272</v>
      </c>
      <c r="L4389" s="36">
        <v>45276</v>
      </c>
      <c r="M4389" t="s">
        <v>598</v>
      </c>
      <c r="N4389" t="s">
        <v>604</v>
      </c>
      <c r="O4389" s="37" t="str">
        <f t="shared" si="343"/>
        <v>Digital Payment</v>
      </c>
      <c r="P4389">
        <v>136.19999999999999</v>
      </c>
      <c r="Q4389" s="37" t="str">
        <f>IF(P4389&gt;500,"High","low")</f>
        <v>low</v>
      </c>
      <c r="R4389" s="37" t="str">
        <f t="shared" si="344"/>
        <v>AVERAGE</v>
      </c>
      <c r="S4389" t="s">
        <v>628</v>
      </c>
    </row>
    <row r="4390" spans="1:19" x14ac:dyDescent="0.2">
      <c r="A4390" t="s">
        <v>5001</v>
      </c>
      <c r="B4390" t="s">
        <v>90</v>
      </c>
      <c r="C4390" t="s">
        <v>602</v>
      </c>
      <c r="D4390">
        <v>4972.33</v>
      </c>
      <c r="E4390" s="37" t="str">
        <f t="shared" si="340"/>
        <v>Excellent Order</v>
      </c>
      <c r="F4390">
        <v>0.23</v>
      </c>
      <c r="G4390" s="37" t="str">
        <f t="shared" si="341"/>
        <v>Normal Discount</v>
      </c>
      <c r="H4390" s="37" t="str">
        <f t="shared" si="342"/>
        <v>Medium</v>
      </c>
      <c r="I4390">
        <v>1</v>
      </c>
      <c r="J4390" t="str" cm="1">
        <f t="array" ref="J4390">_xlfn.IFS(I4390&lt;=3,"small",I4390&lt;=6,"Medium",I4390&lt;=9,"Large")</f>
        <v>small</v>
      </c>
      <c r="K4390" s="36">
        <v>45567</v>
      </c>
      <c r="L4390" s="36">
        <v>45574</v>
      </c>
      <c r="M4390" t="s">
        <v>612</v>
      </c>
      <c r="N4390" t="s">
        <v>599</v>
      </c>
      <c r="O4390" s="37" t="str">
        <f t="shared" si="343"/>
        <v>Digital Payment</v>
      </c>
      <c r="P4390">
        <v>1173.3599999999999</v>
      </c>
      <c r="Q4390" s="37" t="str">
        <f>IF(P4390&gt;500,"High","low")</f>
        <v>High</v>
      </c>
      <c r="R4390" s="37" t="str">
        <f t="shared" si="344"/>
        <v>Excellent</v>
      </c>
      <c r="S4390" t="s">
        <v>609</v>
      </c>
    </row>
    <row r="4391" spans="1:19" x14ac:dyDescent="0.2">
      <c r="A4391" t="s">
        <v>5002</v>
      </c>
      <c r="B4391" t="s">
        <v>83</v>
      </c>
      <c r="C4391" t="s">
        <v>617</v>
      </c>
      <c r="D4391">
        <v>1806.3</v>
      </c>
      <c r="E4391" s="37" t="str">
        <f t="shared" si="340"/>
        <v xml:space="preserve"> </v>
      </c>
      <c r="F4391">
        <v>0.24</v>
      </c>
      <c r="G4391" s="37" t="str">
        <f t="shared" si="341"/>
        <v>Normal Discount</v>
      </c>
      <c r="H4391" s="37" t="str">
        <f t="shared" si="342"/>
        <v>Medium</v>
      </c>
      <c r="I4391">
        <v>6</v>
      </c>
      <c r="J4391" t="str" cm="1">
        <f t="array" ref="J4391">_xlfn.IFS(I4391&lt;=3,"small",I4391&lt;=6,"Medium",I4391&lt;=9,"Large")</f>
        <v>Medium</v>
      </c>
      <c r="K4391" s="36">
        <v>45054</v>
      </c>
      <c r="L4391" s="36">
        <v>45055</v>
      </c>
      <c r="M4391" t="s">
        <v>612</v>
      </c>
      <c r="N4391" t="s">
        <v>604</v>
      </c>
      <c r="O4391" s="37" t="str">
        <f t="shared" si="343"/>
        <v>Digital Payment</v>
      </c>
      <c r="P4391">
        <v>430.87</v>
      </c>
      <c r="Q4391" s="37" t="str">
        <f>IF(P4391&gt;500,"High","low")</f>
        <v>low</v>
      </c>
      <c r="R4391" s="37" t="str">
        <f t="shared" si="344"/>
        <v>AVERAGE</v>
      </c>
      <c r="S4391" t="s">
        <v>615</v>
      </c>
    </row>
    <row r="4392" spans="1:19" x14ac:dyDescent="0.2">
      <c r="A4392" t="s">
        <v>5003</v>
      </c>
      <c r="B4392" t="s">
        <v>67</v>
      </c>
      <c r="C4392" t="s">
        <v>617</v>
      </c>
      <c r="D4392">
        <v>3827.8</v>
      </c>
      <c r="E4392" s="37" t="str">
        <f t="shared" si="340"/>
        <v xml:space="preserve"> </v>
      </c>
      <c r="F4392">
        <v>0.12</v>
      </c>
      <c r="G4392" s="37" t="str">
        <f t="shared" si="341"/>
        <v>Normal Discount</v>
      </c>
      <c r="H4392" s="37" t="str">
        <f t="shared" si="342"/>
        <v>Low</v>
      </c>
      <c r="I4392">
        <v>5</v>
      </c>
      <c r="J4392" t="str" cm="1">
        <f t="array" ref="J4392">_xlfn.IFS(I4392&lt;=3,"small",I4392&lt;=6,"Medium",I4392&lt;=9,"Large")</f>
        <v>Medium</v>
      </c>
      <c r="K4392" s="36">
        <v>45040</v>
      </c>
      <c r="L4392" s="36">
        <v>45043</v>
      </c>
      <c r="M4392" t="s">
        <v>612</v>
      </c>
      <c r="N4392" t="s">
        <v>604</v>
      </c>
      <c r="O4392" s="37" t="str">
        <f t="shared" si="343"/>
        <v>Digital Payment</v>
      </c>
      <c r="P4392">
        <v>291.95999999999998</v>
      </c>
      <c r="Q4392" s="37" t="str">
        <f>IF(P4392&gt;500,"High","low")</f>
        <v>low</v>
      </c>
      <c r="R4392" s="37" t="str">
        <f t="shared" si="344"/>
        <v>AVERAGE</v>
      </c>
      <c r="S4392" t="s">
        <v>628</v>
      </c>
    </row>
    <row r="4393" spans="1:19" x14ac:dyDescent="0.2">
      <c r="A4393" t="s">
        <v>5004</v>
      </c>
      <c r="B4393" t="s">
        <v>83</v>
      </c>
      <c r="C4393" t="s">
        <v>597</v>
      </c>
      <c r="D4393">
        <v>748.35</v>
      </c>
      <c r="E4393" s="37" t="str">
        <f t="shared" si="340"/>
        <v xml:space="preserve"> </v>
      </c>
      <c r="F4393">
        <v>0.3</v>
      </c>
      <c r="G4393" s="37" t="str">
        <f t="shared" si="341"/>
        <v>Normal Discount</v>
      </c>
      <c r="H4393" s="37" t="str">
        <f t="shared" si="342"/>
        <v>Medium</v>
      </c>
      <c r="I4393">
        <v>8</v>
      </c>
      <c r="J4393" t="str" cm="1">
        <f t="array" ref="J4393">_xlfn.IFS(I4393&lt;=3,"small",I4393&lt;=6,"Medium",I4393&lt;=9,"Large")</f>
        <v>Large</v>
      </c>
      <c r="K4393" s="36">
        <v>45133</v>
      </c>
      <c r="L4393" s="36">
        <v>45134</v>
      </c>
      <c r="M4393" t="s">
        <v>603</v>
      </c>
      <c r="N4393" t="s">
        <v>604</v>
      </c>
      <c r="O4393" s="37" t="str">
        <f t="shared" si="343"/>
        <v>Digital Payment</v>
      </c>
      <c r="P4393">
        <v>89.36</v>
      </c>
      <c r="Q4393" s="37" t="str">
        <f>IF(P4393&gt;500,"High","low")</f>
        <v>low</v>
      </c>
      <c r="R4393" s="37" t="str">
        <f t="shared" si="344"/>
        <v>AVERAGE</v>
      </c>
      <c r="S4393" t="s">
        <v>609</v>
      </c>
    </row>
    <row r="4394" spans="1:19" x14ac:dyDescent="0.2">
      <c r="A4394" t="s">
        <v>5005</v>
      </c>
      <c r="B4394" t="s">
        <v>83</v>
      </c>
      <c r="C4394" t="s">
        <v>614</v>
      </c>
      <c r="D4394">
        <v>2327.0100000000002</v>
      </c>
      <c r="E4394" s="37" t="str">
        <f t="shared" si="340"/>
        <v xml:space="preserve"> </v>
      </c>
      <c r="F4394">
        <v>0.06</v>
      </c>
      <c r="G4394" s="37" t="str">
        <f t="shared" si="341"/>
        <v>Normal Discount</v>
      </c>
      <c r="H4394" s="37" t="str">
        <f t="shared" si="342"/>
        <v>Low</v>
      </c>
      <c r="I4394">
        <v>1</v>
      </c>
      <c r="J4394" t="str" cm="1">
        <f t="array" ref="J4394">_xlfn.IFS(I4394&lt;=3,"small",I4394&lt;=6,"Medium",I4394&lt;=9,"Large")</f>
        <v>small</v>
      </c>
      <c r="K4394" s="36">
        <v>45031</v>
      </c>
      <c r="L4394" s="36">
        <v>45034</v>
      </c>
      <c r="M4394" t="s">
        <v>598</v>
      </c>
      <c r="N4394" t="s">
        <v>599</v>
      </c>
      <c r="O4394" s="37" t="str">
        <f t="shared" si="343"/>
        <v>Digital Payment</v>
      </c>
      <c r="P4394">
        <v>593.33000000000004</v>
      </c>
      <c r="Q4394" s="37" t="str">
        <f>IF(P4394&gt;500,"High","low")</f>
        <v>High</v>
      </c>
      <c r="R4394" s="37" t="str">
        <f t="shared" si="344"/>
        <v>Good</v>
      </c>
      <c r="S4394" t="s">
        <v>605</v>
      </c>
    </row>
    <row r="4395" spans="1:19" x14ac:dyDescent="0.2">
      <c r="A4395" t="s">
        <v>5006</v>
      </c>
      <c r="B4395" t="s">
        <v>83</v>
      </c>
      <c r="C4395" t="s">
        <v>614</v>
      </c>
      <c r="D4395">
        <v>1007.07</v>
      </c>
      <c r="E4395" s="37" t="str">
        <f t="shared" si="340"/>
        <v xml:space="preserve"> </v>
      </c>
      <c r="F4395">
        <v>0.32</v>
      </c>
      <c r="G4395" s="37" t="str">
        <f t="shared" si="341"/>
        <v>Heavy Discount</v>
      </c>
      <c r="H4395" s="37" t="str">
        <f t="shared" si="342"/>
        <v>Medium</v>
      </c>
      <c r="I4395">
        <v>1</v>
      </c>
      <c r="J4395" t="str" cm="1">
        <f t="array" ref="J4395">_xlfn.IFS(I4395&lt;=3,"small",I4395&lt;=6,"Medium",I4395&lt;=9,"Large")</f>
        <v>small</v>
      </c>
      <c r="K4395" s="36">
        <v>45652</v>
      </c>
      <c r="L4395" s="36">
        <v>45657</v>
      </c>
      <c r="M4395" t="s">
        <v>598</v>
      </c>
      <c r="N4395" t="s">
        <v>599</v>
      </c>
      <c r="O4395" s="37" t="str">
        <f t="shared" si="343"/>
        <v>Digital Payment</v>
      </c>
      <c r="P4395">
        <v>292.60000000000002</v>
      </c>
      <c r="Q4395" s="37" t="str">
        <f>IF(P4395&gt;500,"High","low")</f>
        <v>low</v>
      </c>
      <c r="R4395" s="37" t="str">
        <f t="shared" si="344"/>
        <v>AVERAGE</v>
      </c>
      <c r="S4395" t="s">
        <v>628</v>
      </c>
    </row>
    <row r="4396" spans="1:19" x14ac:dyDescent="0.2">
      <c r="A4396" t="s">
        <v>5007</v>
      </c>
      <c r="B4396" t="s">
        <v>67</v>
      </c>
      <c r="C4396" t="s">
        <v>617</v>
      </c>
      <c r="D4396">
        <v>1041.28</v>
      </c>
      <c r="E4396" s="37" t="str">
        <f t="shared" si="340"/>
        <v xml:space="preserve"> </v>
      </c>
      <c r="F4396">
        <v>0.45</v>
      </c>
      <c r="G4396" s="37" t="str">
        <f t="shared" si="341"/>
        <v>Heavy Discount</v>
      </c>
      <c r="H4396" s="37" t="str">
        <f t="shared" si="342"/>
        <v>High</v>
      </c>
      <c r="I4396">
        <v>7</v>
      </c>
      <c r="J4396" t="str" cm="1">
        <f t="array" ref="J4396">_xlfn.IFS(I4396&lt;=3,"small",I4396&lt;=6,"Medium",I4396&lt;=9,"Large")</f>
        <v>Large</v>
      </c>
      <c r="K4396" s="36">
        <v>45635</v>
      </c>
      <c r="L4396" s="36">
        <v>45639</v>
      </c>
      <c r="M4396" t="s">
        <v>603</v>
      </c>
      <c r="N4396" t="s">
        <v>608</v>
      </c>
      <c r="O4396" s="37" t="str">
        <f t="shared" si="343"/>
        <v>Cash Payment</v>
      </c>
      <c r="P4396">
        <v>242.25</v>
      </c>
      <c r="Q4396" s="37" t="str">
        <f>IF(P4396&gt;500,"High","low")</f>
        <v>low</v>
      </c>
      <c r="R4396" s="37" t="str">
        <f t="shared" si="344"/>
        <v>AVERAGE</v>
      </c>
      <c r="S4396" t="s">
        <v>615</v>
      </c>
    </row>
    <row r="4397" spans="1:19" x14ac:dyDescent="0.2">
      <c r="A4397" t="s">
        <v>5008</v>
      </c>
      <c r="B4397" t="s">
        <v>75</v>
      </c>
      <c r="C4397" t="s">
        <v>602</v>
      </c>
      <c r="D4397">
        <v>588.48</v>
      </c>
      <c r="E4397" s="37" t="str">
        <f t="shared" si="340"/>
        <v xml:space="preserve"> </v>
      </c>
      <c r="F4397">
        <v>0.38</v>
      </c>
      <c r="G4397" s="37" t="str">
        <f t="shared" si="341"/>
        <v>Heavy Discount</v>
      </c>
      <c r="H4397" s="37" t="str">
        <f t="shared" si="342"/>
        <v>Medium</v>
      </c>
      <c r="I4397">
        <v>8</v>
      </c>
      <c r="J4397" t="str" cm="1">
        <f t="array" ref="J4397">_xlfn.IFS(I4397&lt;=3,"small",I4397&lt;=6,"Medium",I4397&lt;=9,"Large")</f>
        <v>Large</v>
      </c>
      <c r="K4397" s="36">
        <v>45097</v>
      </c>
      <c r="L4397" s="36">
        <v>45098</v>
      </c>
      <c r="M4397" t="s">
        <v>598</v>
      </c>
      <c r="N4397" t="s">
        <v>608</v>
      </c>
      <c r="O4397" s="37" t="str">
        <f t="shared" si="343"/>
        <v>Cash Payment</v>
      </c>
      <c r="P4397">
        <v>88.47</v>
      </c>
      <c r="Q4397" s="37" t="str">
        <f>IF(P4397&gt;500,"High","low")</f>
        <v>low</v>
      </c>
      <c r="R4397" s="37" t="str">
        <f t="shared" si="344"/>
        <v>AVERAGE</v>
      </c>
      <c r="S4397" t="s">
        <v>628</v>
      </c>
    </row>
    <row r="4398" spans="1:19" x14ac:dyDescent="0.2">
      <c r="A4398" t="s">
        <v>5009</v>
      </c>
      <c r="B4398" t="s">
        <v>67</v>
      </c>
      <c r="C4398" t="s">
        <v>597</v>
      </c>
      <c r="D4398">
        <v>2217.02</v>
      </c>
      <c r="E4398" s="37" t="str">
        <f t="shared" si="340"/>
        <v xml:space="preserve"> </v>
      </c>
      <c r="F4398">
        <v>0.32</v>
      </c>
      <c r="G4398" s="37" t="str">
        <f t="shared" si="341"/>
        <v>Heavy Discount</v>
      </c>
      <c r="H4398" s="37" t="str">
        <f t="shared" si="342"/>
        <v>Medium</v>
      </c>
      <c r="I4398">
        <v>1</v>
      </c>
      <c r="J4398" t="str" cm="1">
        <f t="array" ref="J4398">_xlfn.IFS(I4398&lt;=3,"small",I4398&lt;=6,"Medium",I4398&lt;=9,"Large")</f>
        <v>small</v>
      </c>
      <c r="K4398" s="36">
        <v>45187</v>
      </c>
      <c r="L4398" s="36">
        <v>45188</v>
      </c>
      <c r="M4398" t="s">
        <v>603</v>
      </c>
      <c r="N4398" t="s">
        <v>608</v>
      </c>
      <c r="O4398" s="37" t="str">
        <f t="shared" si="343"/>
        <v>Cash Payment</v>
      </c>
      <c r="P4398">
        <v>569.34</v>
      </c>
      <c r="Q4398" s="37" t="str">
        <f>IF(P4398&gt;500,"High","low")</f>
        <v>High</v>
      </c>
      <c r="R4398" s="37" t="str">
        <f t="shared" si="344"/>
        <v>Good</v>
      </c>
      <c r="S4398" t="s">
        <v>609</v>
      </c>
    </row>
    <row r="4399" spans="1:19" x14ac:dyDescent="0.2">
      <c r="A4399" t="s">
        <v>5010</v>
      </c>
      <c r="B4399" t="s">
        <v>83</v>
      </c>
      <c r="C4399" t="s">
        <v>614</v>
      </c>
      <c r="D4399">
        <v>470.12</v>
      </c>
      <c r="E4399" s="37" t="str">
        <f t="shared" si="340"/>
        <v xml:space="preserve"> </v>
      </c>
      <c r="F4399">
        <v>0.42</v>
      </c>
      <c r="G4399" s="37" t="str">
        <f t="shared" si="341"/>
        <v>Heavy Discount</v>
      </c>
      <c r="H4399" s="37" t="str">
        <f t="shared" si="342"/>
        <v>High</v>
      </c>
      <c r="I4399">
        <v>9</v>
      </c>
      <c r="J4399" t="str" cm="1">
        <f t="array" ref="J4399">_xlfn.IFS(I4399&lt;=3,"small",I4399&lt;=6,"Medium",I4399&lt;=9,"Large")</f>
        <v>Large</v>
      </c>
      <c r="K4399" s="36">
        <v>45248</v>
      </c>
      <c r="L4399" s="36">
        <v>45252</v>
      </c>
      <c r="M4399" t="s">
        <v>603</v>
      </c>
      <c r="N4399" t="s">
        <v>608</v>
      </c>
      <c r="O4399" s="37" t="str">
        <f t="shared" si="343"/>
        <v>Cash Payment</v>
      </c>
      <c r="P4399">
        <v>57.93</v>
      </c>
      <c r="Q4399" s="37" t="str">
        <f>IF(P4399&gt;500,"High","low")</f>
        <v>low</v>
      </c>
      <c r="R4399" s="37" t="str">
        <f t="shared" si="344"/>
        <v>AVERAGE</v>
      </c>
      <c r="S4399" t="s">
        <v>605</v>
      </c>
    </row>
    <row r="4400" spans="1:19" x14ac:dyDescent="0.2">
      <c r="A4400" t="s">
        <v>5011</v>
      </c>
      <c r="B4400" t="s">
        <v>90</v>
      </c>
      <c r="C4400" t="s">
        <v>617</v>
      </c>
      <c r="D4400">
        <v>4558.08</v>
      </c>
      <c r="E4400" s="37" t="str">
        <f t="shared" si="340"/>
        <v>Excellent Order</v>
      </c>
      <c r="F4400">
        <v>0.36</v>
      </c>
      <c r="G4400" s="37" t="str">
        <f t="shared" si="341"/>
        <v>Heavy Discount</v>
      </c>
      <c r="H4400" s="37" t="str">
        <f t="shared" si="342"/>
        <v>Medium</v>
      </c>
      <c r="I4400">
        <v>7</v>
      </c>
      <c r="J4400" t="str" cm="1">
        <f t="array" ref="J4400">_xlfn.IFS(I4400&lt;=3,"small",I4400&lt;=6,"Medium",I4400&lt;=9,"Large")</f>
        <v>Large</v>
      </c>
      <c r="K4400" s="36">
        <v>45090</v>
      </c>
      <c r="L4400" s="36">
        <v>45093</v>
      </c>
      <c r="M4400" t="s">
        <v>598</v>
      </c>
      <c r="N4400" t="s">
        <v>599</v>
      </c>
      <c r="O4400" s="37" t="str">
        <f t="shared" si="343"/>
        <v>Digital Payment</v>
      </c>
      <c r="P4400">
        <v>1215.02</v>
      </c>
      <c r="Q4400" s="37" t="str">
        <f>IF(P4400&gt;500,"High","low")</f>
        <v>High</v>
      </c>
      <c r="R4400" s="37" t="str">
        <f t="shared" si="344"/>
        <v>Excellent</v>
      </c>
      <c r="S4400" t="s">
        <v>615</v>
      </c>
    </row>
    <row r="4401" spans="1:19" x14ac:dyDescent="0.2">
      <c r="A4401" t="s">
        <v>5012</v>
      </c>
      <c r="B4401" t="s">
        <v>90</v>
      </c>
      <c r="C4401" t="s">
        <v>602</v>
      </c>
      <c r="D4401">
        <v>2294.71</v>
      </c>
      <c r="E4401" s="37" t="str">
        <f t="shared" si="340"/>
        <v xml:space="preserve"> </v>
      </c>
      <c r="F4401">
        <v>0.26</v>
      </c>
      <c r="G4401" s="37" t="str">
        <f t="shared" si="341"/>
        <v>Normal Discount</v>
      </c>
      <c r="H4401" s="37" t="str">
        <f t="shared" si="342"/>
        <v>Medium</v>
      </c>
      <c r="I4401">
        <v>7</v>
      </c>
      <c r="J4401" t="str" cm="1">
        <f t="array" ref="J4401">_xlfn.IFS(I4401&lt;=3,"small",I4401&lt;=6,"Medium",I4401&lt;=9,"Large")</f>
        <v>Large</v>
      </c>
      <c r="K4401" s="36">
        <v>45164</v>
      </c>
      <c r="L4401" s="36">
        <v>45170</v>
      </c>
      <c r="M4401" t="s">
        <v>612</v>
      </c>
      <c r="N4401" t="s">
        <v>604</v>
      </c>
      <c r="O4401" s="37" t="str">
        <f t="shared" si="343"/>
        <v>Digital Payment</v>
      </c>
      <c r="P4401">
        <v>139.31</v>
      </c>
      <c r="Q4401" s="37" t="str">
        <f>IF(P4401&gt;500,"High","low")</f>
        <v>low</v>
      </c>
      <c r="R4401" s="37" t="str">
        <f t="shared" si="344"/>
        <v>AVERAGE</v>
      </c>
      <c r="S4401" t="s">
        <v>615</v>
      </c>
    </row>
    <row r="4402" spans="1:19" x14ac:dyDescent="0.2">
      <c r="A4402" t="s">
        <v>5013</v>
      </c>
      <c r="B4402" t="s">
        <v>83</v>
      </c>
      <c r="C4402" t="s">
        <v>602</v>
      </c>
      <c r="D4402">
        <v>4208.97</v>
      </c>
      <c r="E4402" s="37" t="str">
        <f t="shared" si="340"/>
        <v>Excellent Order</v>
      </c>
      <c r="F4402">
        <v>0.26</v>
      </c>
      <c r="G4402" s="37" t="str">
        <f t="shared" si="341"/>
        <v>Normal Discount</v>
      </c>
      <c r="H4402" s="37" t="str">
        <f t="shared" si="342"/>
        <v>Medium</v>
      </c>
      <c r="I4402">
        <v>8</v>
      </c>
      <c r="J4402" t="str" cm="1">
        <f t="array" ref="J4402">_xlfn.IFS(I4402&lt;=3,"small",I4402&lt;=6,"Medium",I4402&lt;=9,"Large")</f>
        <v>Large</v>
      </c>
      <c r="K4402" s="36">
        <v>45601</v>
      </c>
      <c r="L4402" s="36">
        <v>45604</v>
      </c>
      <c r="M4402" t="s">
        <v>612</v>
      </c>
      <c r="N4402" t="s">
        <v>599</v>
      </c>
      <c r="O4402" s="37" t="str">
        <f t="shared" si="343"/>
        <v>Digital Payment</v>
      </c>
      <c r="P4402">
        <v>1255.25</v>
      </c>
      <c r="Q4402" s="37" t="str">
        <f>IF(P4402&gt;500,"High","low")</f>
        <v>High</v>
      </c>
      <c r="R4402" s="37" t="str">
        <f t="shared" si="344"/>
        <v>Excellent</v>
      </c>
      <c r="S4402" t="s">
        <v>620</v>
      </c>
    </row>
    <row r="4403" spans="1:19" x14ac:dyDescent="0.2">
      <c r="A4403" t="s">
        <v>5014</v>
      </c>
      <c r="B4403" t="s">
        <v>90</v>
      </c>
      <c r="C4403" t="s">
        <v>602</v>
      </c>
      <c r="D4403">
        <v>4899.38</v>
      </c>
      <c r="E4403" s="37" t="str">
        <f t="shared" si="340"/>
        <v xml:space="preserve"> </v>
      </c>
      <c r="F4403">
        <v>0.05</v>
      </c>
      <c r="G4403" s="37" t="str">
        <f t="shared" si="341"/>
        <v>Normal Discount</v>
      </c>
      <c r="H4403" s="37" t="str">
        <f t="shared" si="342"/>
        <v>Low</v>
      </c>
      <c r="I4403">
        <v>8</v>
      </c>
      <c r="J4403" t="str" cm="1">
        <f t="array" ref="J4403">_xlfn.IFS(I4403&lt;=3,"small",I4403&lt;=6,"Medium",I4403&lt;=9,"Large")</f>
        <v>Large</v>
      </c>
      <c r="K4403" s="36">
        <v>45461</v>
      </c>
      <c r="L4403" s="36">
        <v>45462</v>
      </c>
      <c r="M4403" t="s">
        <v>612</v>
      </c>
      <c r="N4403" t="s">
        <v>599</v>
      </c>
      <c r="O4403" s="37" t="str">
        <f t="shared" si="343"/>
        <v>Digital Payment</v>
      </c>
      <c r="P4403">
        <v>380.36</v>
      </c>
      <c r="Q4403" s="37" t="str">
        <f>IF(P4403&gt;500,"High","low")</f>
        <v>low</v>
      </c>
      <c r="R4403" s="37" t="str">
        <f t="shared" si="344"/>
        <v>AVERAGE</v>
      </c>
      <c r="S4403" t="s">
        <v>600</v>
      </c>
    </row>
    <row r="4404" spans="1:19" x14ac:dyDescent="0.2">
      <c r="A4404" t="s">
        <v>5015</v>
      </c>
      <c r="B4404" t="s">
        <v>83</v>
      </c>
      <c r="C4404" t="s">
        <v>607</v>
      </c>
      <c r="D4404">
        <v>3421.12</v>
      </c>
      <c r="E4404" s="37" t="str">
        <f t="shared" si="340"/>
        <v xml:space="preserve"> </v>
      </c>
      <c r="F4404">
        <v>0.22</v>
      </c>
      <c r="G4404" s="37" t="str">
        <f t="shared" si="341"/>
        <v>Normal Discount</v>
      </c>
      <c r="H4404" s="37" t="str">
        <f t="shared" si="342"/>
        <v>Medium</v>
      </c>
      <c r="I4404">
        <v>1</v>
      </c>
      <c r="J4404" t="str" cm="1">
        <f t="array" ref="J4404">_xlfn.IFS(I4404&lt;=3,"small",I4404&lt;=6,"Medium",I4404&lt;=9,"Large")</f>
        <v>small</v>
      </c>
      <c r="K4404" s="36">
        <v>45628</v>
      </c>
      <c r="L4404" s="36">
        <v>45634</v>
      </c>
      <c r="M4404" t="s">
        <v>603</v>
      </c>
      <c r="N4404" t="s">
        <v>599</v>
      </c>
      <c r="O4404" s="37" t="str">
        <f t="shared" si="343"/>
        <v>Digital Payment</v>
      </c>
      <c r="P4404">
        <v>953.78</v>
      </c>
      <c r="Q4404" s="37" t="str">
        <f>IF(P4404&gt;500,"High","low")</f>
        <v>High</v>
      </c>
      <c r="R4404" s="37" t="str">
        <f t="shared" si="344"/>
        <v>Good</v>
      </c>
      <c r="S4404" t="s">
        <v>605</v>
      </c>
    </row>
    <row r="4405" spans="1:19" x14ac:dyDescent="0.2">
      <c r="A4405" t="s">
        <v>5016</v>
      </c>
      <c r="B4405" t="s">
        <v>90</v>
      </c>
      <c r="C4405" t="s">
        <v>602</v>
      </c>
      <c r="D4405">
        <v>4517.3999999999996</v>
      </c>
      <c r="E4405" s="37" t="str">
        <f t="shared" si="340"/>
        <v>Excellent Order</v>
      </c>
      <c r="F4405">
        <v>0.26</v>
      </c>
      <c r="G4405" s="37" t="str">
        <f t="shared" si="341"/>
        <v>Normal Discount</v>
      </c>
      <c r="H4405" s="37" t="str">
        <f t="shared" si="342"/>
        <v>Medium</v>
      </c>
      <c r="I4405">
        <v>4</v>
      </c>
      <c r="J4405" t="str" cm="1">
        <f t="array" ref="J4405">_xlfn.IFS(I4405&lt;=3,"small",I4405&lt;=6,"Medium",I4405&lt;=9,"Large")</f>
        <v>Medium</v>
      </c>
      <c r="K4405" s="36">
        <v>45229</v>
      </c>
      <c r="L4405" s="36">
        <v>45232</v>
      </c>
      <c r="M4405" t="s">
        <v>612</v>
      </c>
      <c r="N4405" t="s">
        <v>608</v>
      </c>
      <c r="O4405" s="37" t="str">
        <f t="shared" si="343"/>
        <v>Cash Payment</v>
      </c>
      <c r="P4405">
        <v>1188.69</v>
      </c>
      <c r="Q4405" s="37" t="str">
        <f>IF(P4405&gt;500,"High","low")</f>
        <v>High</v>
      </c>
      <c r="R4405" s="37" t="str">
        <f t="shared" si="344"/>
        <v>Excellent</v>
      </c>
      <c r="S4405" t="s">
        <v>615</v>
      </c>
    </row>
    <row r="4406" spans="1:19" x14ac:dyDescent="0.2">
      <c r="A4406" t="s">
        <v>5017</v>
      </c>
      <c r="B4406" t="s">
        <v>67</v>
      </c>
      <c r="C4406" t="s">
        <v>617</v>
      </c>
      <c r="D4406">
        <v>763.3</v>
      </c>
      <c r="E4406" s="37" t="str">
        <f t="shared" si="340"/>
        <v xml:space="preserve"> </v>
      </c>
      <c r="F4406">
        <v>0.23</v>
      </c>
      <c r="G4406" s="37" t="str">
        <f t="shared" si="341"/>
        <v>Normal Discount</v>
      </c>
      <c r="H4406" s="37" t="str">
        <f t="shared" si="342"/>
        <v>Medium</v>
      </c>
      <c r="I4406">
        <v>9</v>
      </c>
      <c r="J4406" t="str" cm="1">
        <f t="array" ref="J4406">_xlfn.IFS(I4406&lt;=3,"small",I4406&lt;=6,"Medium",I4406&lt;=9,"Large")</f>
        <v>Large</v>
      </c>
      <c r="K4406" s="36">
        <v>45091</v>
      </c>
      <c r="L4406" s="36">
        <v>45094</v>
      </c>
      <c r="M4406" t="s">
        <v>603</v>
      </c>
      <c r="N4406" t="s">
        <v>604</v>
      </c>
      <c r="O4406" s="37" t="str">
        <f t="shared" si="343"/>
        <v>Digital Payment</v>
      </c>
      <c r="P4406">
        <v>94.12</v>
      </c>
      <c r="Q4406" s="37" t="str">
        <f>IF(P4406&gt;500,"High","low")</f>
        <v>low</v>
      </c>
      <c r="R4406" s="37" t="str">
        <f t="shared" si="344"/>
        <v>AVERAGE</v>
      </c>
      <c r="S4406" t="s">
        <v>628</v>
      </c>
    </row>
    <row r="4407" spans="1:19" x14ac:dyDescent="0.2">
      <c r="A4407" t="s">
        <v>5018</v>
      </c>
      <c r="B4407" t="s">
        <v>75</v>
      </c>
      <c r="C4407" t="s">
        <v>597</v>
      </c>
      <c r="D4407">
        <v>4166.97</v>
      </c>
      <c r="E4407" s="37" t="str">
        <f t="shared" si="340"/>
        <v xml:space="preserve"> </v>
      </c>
      <c r="F4407">
        <v>0.39</v>
      </c>
      <c r="G4407" s="37" t="str">
        <f t="shared" si="341"/>
        <v>Heavy Discount</v>
      </c>
      <c r="H4407" s="37" t="str">
        <f t="shared" si="342"/>
        <v>Medium</v>
      </c>
      <c r="I4407">
        <v>3</v>
      </c>
      <c r="J4407" t="str" cm="1">
        <f t="array" ref="J4407">_xlfn.IFS(I4407&lt;=3,"small",I4407&lt;=6,"Medium",I4407&lt;=9,"Large")</f>
        <v>small</v>
      </c>
      <c r="K4407" s="36">
        <v>45345</v>
      </c>
      <c r="L4407" s="36">
        <v>45346</v>
      </c>
      <c r="M4407" t="s">
        <v>603</v>
      </c>
      <c r="N4407" t="s">
        <v>604</v>
      </c>
      <c r="O4407" s="37" t="str">
        <f t="shared" si="343"/>
        <v>Digital Payment</v>
      </c>
      <c r="P4407">
        <v>690</v>
      </c>
      <c r="Q4407" s="37" t="str">
        <f>IF(P4407&gt;500,"High","low")</f>
        <v>High</v>
      </c>
      <c r="R4407" s="37" t="str">
        <f t="shared" si="344"/>
        <v>Good</v>
      </c>
      <c r="S4407" t="s">
        <v>609</v>
      </c>
    </row>
    <row r="4408" spans="1:19" x14ac:dyDescent="0.2">
      <c r="A4408" t="s">
        <v>5019</v>
      </c>
      <c r="B4408" t="s">
        <v>75</v>
      </c>
      <c r="C4408" t="s">
        <v>617</v>
      </c>
      <c r="D4408">
        <v>1428.96</v>
      </c>
      <c r="E4408" s="37" t="str">
        <f t="shared" si="340"/>
        <v xml:space="preserve"> </v>
      </c>
      <c r="F4408">
        <v>0.08</v>
      </c>
      <c r="G4408" s="37" t="str">
        <f t="shared" si="341"/>
        <v>Normal Discount</v>
      </c>
      <c r="H4408" s="37" t="str">
        <f t="shared" si="342"/>
        <v>Low</v>
      </c>
      <c r="I4408">
        <v>6</v>
      </c>
      <c r="J4408" t="str" cm="1">
        <f t="array" ref="J4408">_xlfn.IFS(I4408&lt;=3,"small",I4408&lt;=6,"Medium",I4408&lt;=9,"Large")</f>
        <v>Medium</v>
      </c>
      <c r="K4408" s="36">
        <v>45166</v>
      </c>
      <c r="L4408" s="36">
        <v>45167</v>
      </c>
      <c r="M4408" t="s">
        <v>612</v>
      </c>
      <c r="N4408" t="s">
        <v>599</v>
      </c>
      <c r="O4408" s="37" t="str">
        <f t="shared" si="343"/>
        <v>Digital Payment</v>
      </c>
      <c r="P4408">
        <v>148.07</v>
      </c>
      <c r="Q4408" s="37" t="str">
        <f>IF(P4408&gt;500,"High","low")</f>
        <v>low</v>
      </c>
      <c r="R4408" s="37" t="str">
        <f t="shared" si="344"/>
        <v>AVERAGE</v>
      </c>
      <c r="S4408" t="s">
        <v>600</v>
      </c>
    </row>
    <row r="4409" spans="1:19" x14ac:dyDescent="0.2">
      <c r="A4409" t="s">
        <v>5020</v>
      </c>
      <c r="B4409" t="s">
        <v>67</v>
      </c>
      <c r="C4409" t="s">
        <v>602</v>
      </c>
      <c r="D4409">
        <v>2415.73</v>
      </c>
      <c r="E4409" s="37" t="str">
        <f t="shared" si="340"/>
        <v xml:space="preserve"> </v>
      </c>
      <c r="F4409">
        <v>0.4</v>
      </c>
      <c r="G4409" s="37" t="str">
        <f t="shared" si="341"/>
        <v>Heavy Discount</v>
      </c>
      <c r="H4409" s="37" t="str">
        <f t="shared" si="342"/>
        <v>Medium</v>
      </c>
      <c r="I4409">
        <v>4</v>
      </c>
      <c r="J4409" t="str" cm="1">
        <f t="array" ref="J4409">_xlfn.IFS(I4409&lt;=3,"small",I4409&lt;=6,"Medium",I4409&lt;=9,"Large")</f>
        <v>Medium</v>
      </c>
      <c r="K4409" s="36">
        <v>45478</v>
      </c>
      <c r="L4409" s="36">
        <v>45485</v>
      </c>
      <c r="M4409" t="s">
        <v>612</v>
      </c>
      <c r="N4409" t="s">
        <v>608</v>
      </c>
      <c r="O4409" s="37" t="str">
        <f t="shared" si="343"/>
        <v>Cash Payment</v>
      </c>
      <c r="P4409">
        <v>411.32</v>
      </c>
      <c r="Q4409" s="37" t="str">
        <f>IF(P4409&gt;500,"High","low")</f>
        <v>low</v>
      </c>
      <c r="R4409" s="37" t="str">
        <f t="shared" si="344"/>
        <v>AVERAGE</v>
      </c>
      <c r="S4409" t="s">
        <v>609</v>
      </c>
    </row>
    <row r="4410" spans="1:19" x14ac:dyDescent="0.2">
      <c r="A4410" t="s">
        <v>5021</v>
      </c>
      <c r="B4410" t="s">
        <v>67</v>
      </c>
      <c r="C4410" t="s">
        <v>597</v>
      </c>
      <c r="D4410">
        <v>3268.25</v>
      </c>
      <c r="E4410" s="37" t="str">
        <f t="shared" si="340"/>
        <v xml:space="preserve"> </v>
      </c>
      <c r="F4410">
        <v>0.37</v>
      </c>
      <c r="G4410" s="37" t="str">
        <f t="shared" si="341"/>
        <v>Heavy Discount</v>
      </c>
      <c r="H4410" s="37" t="str">
        <f t="shared" si="342"/>
        <v>Medium</v>
      </c>
      <c r="I4410">
        <v>1</v>
      </c>
      <c r="J4410" t="str" cm="1">
        <f t="array" ref="J4410">_xlfn.IFS(I4410&lt;=3,"small",I4410&lt;=6,"Medium",I4410&lt;=9,"Large")</f>
        <v>small</v>
      </c>
      <c r="K4410" s="36">
        <v>45454</v>
      </c>
      <c r="L4410" s="36">
        <v>45455</v>
      </c>
      <c r="M4410" t="s">
        <v>603</v>
      </c>
      <c r="N4410" t="s">
        <v>599</v>
      </c>
      <c r="O4410" s="37" t="str">
        <f t="shared" si="343"/>
        <v>Digital Payment</v>
      </c>
      <c r="P4410">
        <v>311.14</v>
      </c>
      <c r="Q4410" s="37" t="str">
        <f>IF(P4410&gt;500,"High","low")</f>
        <v>low</v>
      </c>
      <c r="R4410" s="37" t="str">
        <f t="shared" si="344"/>
        <v>AVERAGE</v>
      </c>
      <c r="S4410" t="s">
        <v>600</v>
      </c>
    </row>
    <row r="4411" spans="1:19" x14ac:dyDescent="0.2">
      <c r="A4411" t="s">
        <v>5022</v>
      </c>
      <c r="B4411" t="s">
        <v>83</v>
      </c>
      <c r="C4411" t="s">
        <v>614</v>
      </c>
      <c r="D4411">
        <v>4527.3599999999997</v>
      </c>
      <c r="E4411" s="37" t="str">
        <f t="shared" si="340"/>
        <v xml:space="preserve"> </v>
      </c>
      <c r="F4411">
        <v>0.45</v>
      </c>
      <c r="G4411" s="37" t="str">
        <f t="shared" si="341"/>
        <v>Heavy Discount</v>
      </c>
      <c r="H4411" s="37" t="str">
        <f t="shared" si="342"/>
        <v>High</v>
      </c>
      <c r="I4411">
        <v>3</v>
      </c>
      <c r="J4411" t="str" cm="1">
        <f t="array" ref="J4411">_xlfn.IFS(I4411&lt;=3,"small",I4411&lt;=6,"Medium",I4411&lt;=9,"Large")</f>
        <v>small</v>
      </c>
      <c r="K4411" s="36">
        <v>45123</v>
      </c>
      <c r="L4411" s="36">
        <v>45125</v>
      </c>
      <c r="M4411" t="s">
        <v>603</v>
      </c>
      <c r="N4411" t="s">
        <v>604</v>
      </c>
      <c r="O4411" s="37" t="str">
        <f t="shared" si="343"/>
        <v>Digital Payment</v>
      </c>
      <c r="P4411">
        <v>557.55999999999995</v>
      </c>
      <c r="Q4411" s="37" t="str">
        <f>IF(P4411&gt;500,"High","low")</f>
        <v>High</v>
      </c>
      <c r="R4411" s="37" t="str">
        <f t="shared" si="344"/>
        <v>Good</v>
      </c>
      <c r="S4411" t="s">
        <v>600</v>
      </c>
    </row>
    <row r="4412" spans="1:19" x14ac:dyDescent="0.2">
      <c r="A4412" t="s">
        <v>5023</v>
      </c>
      <c r="B4412" t="s">
        <v>83</v>
      </c>
      <c r="C4412" t="s">
        <v>614</v>
      </c>
      <c r="D4412">
        <v>4563.87</v>
      </c>
      <c r="E4412" s="37" t="str">
        <f t="shared" si="340"/>
        <v xml:space="preserve"> </v>
      </c>
      <c r="F4412">
        <v>0.19</v>
      </c>
      <c r="G4412" s="37" t="str">
        <f t="shared" si="341"/>
        <v>Normal Discount</v>
      </c>
      <c r="H4412" s="37" t="str">
        <f t="shared" si="342"/>
        <v>Low</v>
      </c>
      <c r="I4412">
        <v>3</v>
      </c>
      <c r="J4412" t="str" cm="1">
        <f t="array" ref="J4412">_xlfn.IFS(I4412&lt;=3,"small",I4412&lt;=6,"Medium",I4412&lt;=9,"Large")</f>
        <v>small</v>
      </c>
      <c r="K4412" s="36">
        <v>45193</v>
      </c>
      <c r="L4412" s="36">
        <v>45194</v>
      </c>
      <c r="M4412" t="s">
        <v>612</v>
      </c>
      <c r="N4412" t="s">
        <v>604</v>
      </c>
      <c r="O4412" s="37" t="str">
        <f t="shared" si="343"/>
        <v>Digital Payment</v>
      </c>
      <c r="P4412">
        <v>272.87</v>
      </c>
      <c r="Q4412" s="37" t="str">
        <f>IF(P4412&gt;500,"High","low")</f>
        <v>low</v>
      </c>
      <c r="R4412" s="37" t="str">
        <f t="shared" si="344"/>
        <v>AVERAGE</v>
      </c>
      <c r="S4412" t="s">
        <v>620</v>
      </c>
    </row>
    <row r="4413" spans="1:19" x14ac:dyDescent="0.2">
      <c r="A4413" t="s">
        <v>5024</v>
      </c>
      <c r="B4413" t="s">
        <v>83</v>
      </c>
      <c r="C4413" t="s">
        <v>617</v>
      </c>
      <c r="D4413">
        <v>551.29999999999995</v>
      </c>
      <c r="E4413" s="37" t="str">
        <f t="shared" si="340"/>
        <v xml:space="preserve"> </v>
      </c>
      <c r="F4413">
        <v>0.09</v>
      </c>
      <c r="G4413" s="37" t="str">
        <f t="shared" si="341"/>
        <v>Normal Discount</v>
      </c>
      <c r="H4413" s="37" t="str">
        <f t="shared" si="342"/>
        <v>Low</v>
      </c>
      <c r="I4413">
        <v>3</v>
      </c>
      <c r="J4413" t="str" cm="1">
        <f t="array" ref="J4413">_xlfn.IFS(I4413&lt;=3,"small",I4413&lt;=6,"Medium",I4413&lt;=9,"Large")</f>
        <v>small</v>
      </c>
      <c r="K4413" s="36">
        <v>44977</v>
      </c>
      <c r="L4413" s="36">
        <v>44983</v>
      </c>
      <c r="M4413" t="s">
        <v>598</v>
      </c>
      <c r="N4413" t="s">
        <v>599</v>
      </c>
      <c r="O4413" s="37" t="str">
        <f t="shared" si="343"/>
        <v>Digital Payment</v>
      </c>
      <c r="P4413">
        <v>103.63</v>
      </c>
      <c r="Q4413" s="37" t="str">
        <f>IF(P4413&gt;500,"High","low")</f>
        <v>low</v>
      </c>
      <c r="R4413" s="37" t="str">
        <f t="shared" si="344"/>
        <v>AVERAGE</v>
      </c>
      <c r="S4413" t="s">
        <v>600</v>
      </c>
    </row>
    <row r="4414" spans="1:19" x14ac:dyDescent="0.2">
      <c r="A4414" t="s">
        <v>5025</v>
      </c>
      <c r="B4414" t="s">
        <v>90</v>
      </c>
      <c r="C4414" t="s">
        <v>597</v>
      </c>
      <c r="D4414">
        <v>1886.32</v>
      </c>
      <c r="E4414" s="37" t="str">
        <f t="shared" si="340"/>
        <v xml:space="preserve"> </v>
      </c>
      <c r="F4414">
        <v>0.38</v>
      </c>
      <c r="G4414" s="37" t="str">
        <f t="shared" si="341"/>
        <v>Heavy Discount</v>
      </c>
      <c r="H4414" s="37" t="str">
        <f t="shared" si="342"/>
        <v>Medium</v>
      </c>
      <c r="I4414">
        <v>6</v>
      </c>
      <c r="J4414" t="str" cm="1">
        <f t="array" ref="J4414">_xlfn.IFS(I4414&lt;=3,"small",I4414&lt;=6,"Medium",I4414&lt;=9,"Large")</f>
        <v>Medium</v>
      </c>
      <c r="K4414" s="36">
        <v>45294</v>
      </c>
      <c r="L4414" s="36">
        <v>45296</v>
      </c>
      <c r="M4414" t="s">
        <v>603</v>
      </c>
      <c r="N4414" t="s">
        <v>604</v>
      </c>
      <c r="O4414" s="37" t="str">
        <f t="shared" si="343"/>
        <v>Digital Payment</v>
      </c>
      <c r="P4414">
        <v>435.52</v>
      </c>
      <c r="Q4414" s="37" t="str">
        <f>IF(P4414&gt;500,"High","low")</f>
        <v>low</v>
      </c>
      <c r="R4414" s="37" t="str">
        <f t="shared" si="344"/>
        <v>AVERAGE</v>
      </c>
      <c r="S4414" t="s">
        <v>600</v>
      </c>
    </row>
    <row r="4415" spans="1:19" x14ac:dyDescent="0.2">
      <c r="A4415" t="s">
        <v>5026</v>
      </c>
      <c r="B4415" t="s">
        <v>83</v>
      </c>
      <c r="C4415" t="s">
        <v>617</v>
      </c>
      <c r="D4415">
        <v>3986.56</v>
      </c>
      <c r="E4415" s="37" t="str">
        <f t="shared" si="340"/>
        <v xml:space="preserve"> </v>
      </c>
      <c r="F4415">
        <v>0.28999999999999998</v>
      </c>
      <c r="G4415" s="37" t="str">
        <f t="shared" si="341"/>
        <v>Normal Discount</v>
      </c>
      <c r="H4415" s="37" t="str">
        <f t="shared" si="342"/>
        <v>Medium</v>
      </c>
      <c r="I4415">
        <v>9</v>
      </c>
      <c r="J4415" t="str" cm="1">
        <f t="array" ref="J4415">_xlfn.IFS(I4415&lt;=3,"small",I4415&lt;=6,"Medium",I4415&lt;=9,"Large")</f>
        <v>Large</v>
      </c>
      <c r="K4415" s="36">
        <v>45292</v>
      </c>
      <c r="L4415" s="36">
        <v>45297</v>
      </c>
      <c r="M4415" t="s">
        <v>603</v>
      </c>
      <c r="N4415" t="s">
        <v>608</v>
      </c>
      <c r="O4415" s="37" t="str">
        <f t="shared" si="343"/>
        <v>Cash Payment</v>
      </c>
      <c r="P4415">
        <v>400.95</v>
      </c>
      <c r="Q4415" s="37" t="str">
        <f>IF(P4415&gt;500,"High","low")</f>
        <v>low</v>
      </c>
      <c r="R4415" s="37" t="str">
        <f t="shared" si="344"/>
        <v>AVERAGE</v>
      </c>
      <c r="S4415" t="s">
        <v>615</v>
      </c>
    </row>
    <row r="4416" spans="1:19" x14ac:dyDescent="0.2">
      <c r="A4416" t="s">
        <v>5027</v>
      </c>
      <c r="B4416" t="s">
        <v>67</v>
      </c>
      <c r="C4416" t="s">
        <v>597</v>
      </c>
      <c r="D4416">
        <v>3545.47</v>
      </c>
      <c r="E4416" s="37" t="str">
        <f t="shared" si="340"/>
        <v xml:space="preserve"> </v>
      </c>
      <c r="F4416">
        <v>0.36</v>
      </c>
      <c r="G4416" s="37" t="str">
        <f t="shared" si="341"/>
        <v>Heavy Discount</v>
      </c>
      <c r="H4416" s="37" t="str">
        <f t="shared" si="342"/>
        <v>Medium</v>
      </c>
      <c r="I4416">
        <v>7</v>
      </c>
      <c r="J4416" t="str" cm="1">
        <f t="array" ref="J4416">_xlfn.IFS(I4416&lt;=3,"small",I4416&lt;=6,"Medium",I4416&lt;=9,"Large")</f>
        <v>Large</v>
      </c>
      <c r="K4416" s="36">
        <v>45385</v>
      </c>
      <c r="L4416" s="36">
        <v>45388</v>
      </c>
      <c r="M4416" t="s">
        <v>612</v>
      </c>
      <c r="N4416" t="s">
        <v>604</v>
      </c>
      <c r="O4416" s="37" t="str">
        <f t="shared" si="343"/>
        <v>Digital Payment</v>
      </c>
      <c r="P4416">
        <v>719.85</v>
      </c>
      <c r="Q4416" s="37" t="str">
        <f>IF(P4416&gt;500,"High","low")</f>
        <v>High</v>
      </c>
      <c r="R4416" s="37" t="str">
        <f t="shared" si="344"/>
        <v>Good</v>
      </c>
      <c r="S4416" t="s">
        <v>600</v>
      </c>
    </row>
    <row r="4417" spans="1:19" x14ac:dyDescent="0.2">
      <c r="A4417" t="s">
        <v>5028</v>
      </c>
      <c r="B4417" t="s">
        <v>75</v>
      </c>
      <c r="C4417" t="s">
        <v>597</v>
      </c>
      <c r="D4417">
        <v>229.13</v>
      </c>
      <c r="E4417" s="37" t="str">
        <f t="shared" si="340"/>
        <v xml:space="preserve"> </v>
      </c>
      <c r="F4417">
        <v>0.5</v>
      </c>
      <c r="G4417" s="37" t="str">
        <f t="shared" si="341"/>
        <v>Heavy Discount</v>
      </c>
      <c r="H4417" s="37" t="str">
        <f t="shared" si="342"/>
        <v>High</v>
      </c>
      <c r="I4417">
        <v>7</v>
      </c>
      <c r="J4417" t="str" cm="1">
        <f t="array" ref="J4417">_xlfn.IFS(I4417&lt;=3,"small",I4417&lt;=6,"Medium",I4417&lt;=9,"Large")</f>
        <v>Large</v>
      </c>
      <c r="K4417" s="36">
        <v>45164</v>
      </c>
      <c r="L4417" s="36">
        <v>45166</v>
      </c>
      <c r="M4417" t="s">
        <v>612</v>
      </c>
      <c r="N4417" t="s">
        <v>599</v>
      </c>
      <c r="O4417" s="37" t="str">
        <f t="shared" si="343"/>
        <v>Digital Payment</v>
      </c>
      <c r="P4417">
        <v>14.21</v>
      </c>
      <c r="Q4417" s="37" t="str">
        <f>IF(P4417&gt;500,"High","low")</f>
        <v>low</v>
      </c>
      <c r="R4417" s="37" t="str">
        <f t="shared" si="344"/>
        <v>AVERAGE</v>
      </c>
      <c r="S4417" t="s">
        <v>600</v>
      </c>
    </row>
    <row r="4418" spans="1:19" x14ac:dyDescent="0.2">
      <c r="A4418" t="s">
        <v>5029</v>
      </c>
      <c r="B4418" t="s">
        <v>90</v>
      </c>
      <c r="C4418" t="s">
        <v>617</v>
      </c>
      <c r="D4418">
        <v>2304.46</v>
      </c>
      <c r="E4418" s="37" t="str">
        <f t="shared" si="340"/>
        <v xml:space="preserve"> </v>
      </c>
      <c r="F4418">
        <v>0.1</v>
      </c>
      <c r="G4418" s="37" t="str">
        <f t="shared" si="341"/>
        <v>Normal Discount</v>
      </c>
      <c r="H4418" s="37" t="str">
        <f t="shared" si="342"/>
        <v>Low</v>
      </c>
      <c r="I4418">
        <v>1</v>
      </c>
      <c r="J4418" t="str" cm="1">
        <f t="array" ref="J4418">_xlfn.IFS(I4418&lt;=3,"small",I4418&lt;=6,"Medium",I4418&lt;=9,"Large")</f>
        <v>small</v>
      </c>
      <c r="K4418" s="36">
        <v>45262</v>
      </c>
      <c r="L4418" s="36">
        <v>45267</v>
      </c>
      <c r="M4418" t="s">
        <v>612</v>
      </c>
      <c r="N4418" t="s">
        <v>604</v>
      </c>
      <c r="O4418" s="37" t="str">
        <f t="shared" si="343"/>
        <v>Digital Payment</v>
      </c>
      <c r="P4418">
        <v>163.31</v>
      </c>
      <c r="Q4418" s="37" t="str">
        <f>IF(P4418&gt;500,"High","low")</f>
        <v>low</v>
      </c>
      <c r="R4418" s="37" t="str">
        <f t="shared" si="344"/>
        <v>AVERAGE</v>
      </c>
      <c r="S4418" t="s">
        <v>620</v>
      </c>
    </row>
    <row r="4419" spans="1:19" x14ac:dyDescent="0.2">
      <c r="A4419" t="s">
        <v>5030</v>
      </c>
      <c r="B4419" t="s">
        <v>83</v>
      </c>
      <c r="C4419" t="s">
        <v>597</v>
      </c>
      <c r="D4419">
        <v>4163.34</v>
      </c>
      <c r="E4419" s="37" t="str">
        <f t="shared" ref="E4419:E4482" si="345">IF(AND(D4419&gt;4000,P4419&gt;800),"Excellent Order"," ")</f>
        <v xml:space="preserve"> </v>
      </c>
      <c r="F4419">
        <v>0.21</v>
      </c>
      <c r="G4419" s="37" t="str">
        <f t="shared" ref="G4419:G4482" si="346">IF(F4419&gt;30%,"Heavy Discount","Normal Discount")</f>
        <v>Normal Discount</v>
      </c>
      <c r="H4419" s="37" t="str">
        <f t="shared" ref="H4419:H4482" si="347">IF(F4419&gt;0.4,"High",IF(F4419&gt;=0.2,"Medium","Low"))</f>
        <v>Medium</v>
      </c>
      <c r="I4419">
        <v>9</v>
      </c>
      <c r="J4419" t="str" cm="1">
        <f t="array" ref="J4419">_xlfn.IFS(I4419&lt;=3,"small",I4419&lt;=6,"Medium",I4419&lt;=9,"Large")</f>
        <v>Large</v>
      </c>
      <c r="K4419" s="36">
        <v>45271</v>
      </c>
      <c r="L4419" s="36">
        <v>45277</v>
      </c>
      <c r="M4419" t="s">
        <v>603</v>
      </c>
      <c r="N4419" t="s">
        <v>599</v>
      </c>
      <c r="O4419" s="37" t="str">
        <f t="shared" ref="O4419:O4482" si="348">IF(OR(N4419="Card",N4419="UPI"),"Digital Payment","Cash Payment")</f>
        <v>Digital Payment</v>
      </c>
      <c r="P4419">
        <v>774.86</v>
      </c>
      <c r="Q4419" s="37" t="str">
        <f>IF(P4419&gt;500,"High","low")</f>
        <v>High</v>
      </c>
      <c r="R4419" s="37" t="str">
        <f t="shared" ref="R4419:R4482" si="349">IF(P4419&gt;1000,"Excellent",IF(P4419&gt;=500,"Good","AVERAGE"))</f>
        <v>Good</v>
      </c>
      <c r="S4419" t="s">
        <v>605</v>
      </c>
    </row>
    <row r="4420" spans="1:19" x14ac:dyDescent="0.2">
      <c r="A4420" t="s">
        <v>5031</v>
      </c>
      <c r="B4420" t="s">
        <v>90</v>
      </c>
      <c r="C4420" t="s">
        <v>602</v>
      </c>
      <c r="D4420">
        <v>3714.65</v>
      </c>
      <c r="E4420" s="37" t="str">
        <f t="shared" si="345"/>
        <v xml:space="preserve"> </v>
      </c>
      <c r="F4420">
        <v>0.1</v>
      </c>
      <c r="G4420" s="37" t="str">
        <f t="shared" si="346"/>
        <v>Normal Discount</v>
      </c>
      <c r="H4420" s="37" t="str">
        <f t="shared" si="347"/>
        <v>Low</v>
      </c>
      <c r="I4420">
        <v>4</v>
      </c>
      <c r="J4420" t="str" cm="1">
        <f t="array" ref="J4420">_xlfn.IFS(I4420&lt;=3,"small",I4420&lt;=6,"Medium",I4420&lt;=9,"Large")</f>
        <v>Medium</v>
      </c>
      <c r="K4420" s="36">
        <v>45249</v>
      </c>
      <c r="L4420" s="36">
        <v>45252</v>
      </c>
      <c r="M4420" t="s">
        <v>612</v>
      </c>
      <c r="N4420" t="s">
        <v>599</v>
      </c>
      <c r="O4420" s="37" t="str">
        <f t="shared" si="348"/>
        <v>Digital Payment</v>
      </c>
      <c r="P4420">
        <v>240.79</v>
      </c>
      <c r="Q4420" s="37" t="str">
        <f>IF(P4420&gt;500,"High","low")</f>
        <v>low</v>
      </c>
      <c r="R4420" s="37" t="str">
        <f t="shared" si="349"/>
        <v>AVERAGE</v>
      </c>
      <c r="S4420" t="s">
        <v>628</v>
      </c>
    </row>
    <row r="4421" spans="1:19" x14ac:dyDescent="0.2">
      <c r="A4421" t="s">
        <v>5032</v>
      </c>
      <c r="B4421" t="s">
        <v>90</v>
      </c>
      <c r="C4421" t="s">
        <v>597</v>
      </c>
      <c r="D4421">
        <v>2118.06</v>
      </c>
      <c r="E4421" s="37" t="str">
        <f t="shared" si="345"/>
        <v xml:space="preserve"> </v>
      </c>
      <c r="F4421">
        <v>0.43</v>
      </c>
      <c r="G4421" s="37" t="str">
        <f t="shared" si="346"/>
        <v>Heavy Discount</v>
      </c>
      <c r="H4421" s="37" t="str">
        <f t="shared" si="347"/>
        <v>High</v>
      </c>
      <c r="I4421">
        <v>8</v>
      </c>
      <c r="J4421" t="str" cm="1">
        <f t="array" ref="J4421">_xlfn.IFS(I4421&lt;=3,"small",I4421&lt;=6,"Medium",I4421&lt;=9,"Large")</f>
        <v>Large</v>
      </c>
      <c r="K4421" s="36">
        <v>45633</v>
      </c>
      <c r="L4421" s="36">
        <v>45636</v>
      </c>
      <c r="M4421" t="s">
        <v>598</v>
      </c>
      <c r="N4421" t="s">
        <v>608</v>
      </c>
      <c r="O4421" s="37" t="str">
        <f t="shared" si="348"/>
        <v>Cash Payment</v>
      </c>
      <c r="P4421">
        <v>348</v>
      </c>
      <c r="Q4421" s="37" t="str">
        <f>IF(P4421&gt;500,"High","low")</f>
        <v>low</v>
      </c>
      <c r="R4421" s="37" t="str">
        <f t="shared" si="349"/>
        <v>AVERAGE</v>
      </c>
      <c r="S4421" t="s">
        <v>605</v>
      </c>
    </row>
    <row r="4422" spans="1:19" x14ac:dyDescent="0.2">
      <c r="A4422" t="s">
        <v>5033</v>
      </c>
      <c r="B4422" t="s">
        <v>83</v>
      </c>
      <c r="C4422" t="s">
        <v>597</v>
      </c>
      <c r="D4422">
        <v>3702.29</v>
      </c>
      <c r="E4422" s="37" t="str">
        <f t="shared" si="345"/>
        <v xml:space="preserve"> </v>
      </c>
      <c r="F4422">
        <v>0.01</v>
      </c>
      <c r="G4422" s="37" t="str">
        <f t="shared" si="346"/>
        <v>Normal Discount</v>
      </c>
      <c r="H4422" s="37" t="str">
        <f t="shared" si="347"/>
        <v>Low</v>
      </c>
      <c r="I4422">
        <v>1</v>
      </c>
      <c r="J4422" t="str" cm="1">
        <f t="array" ref="J4422">_xlfn.IFS(I4422&lt;=3,"small",I4422&lt;=6,"Medium",I4422&lt;=9,"Large")</f>
        <v>small</v>
      </c>
      <c r="K4422" s="36">
        <v>44991</v>
      </c>
      <c r="L4422" s="36">
        <v>44994</v>
      </c>
      <c r="M4422" t="s">
        <v>598</v>
      </c>
      <c r="N4422" t="s">
        <v>599</v>
      </c>
      <c r="O4422" s="37" t="str">
        <f t="shared" si="348"/>
        <v>Digital Payment</v>
      </c>
      <c r="P4422">
        <v>244.42</v>
      </c>
      <c r="Q4422" s="37" t="str">
        <f>IF(P4422&gt;500,"High","low")</f>
        <v>low</v>
      </c>
      <c r="R4422" s="37" t="str">
        <f t="shared" si="349"/>
        <v>AVERAGE</v>
      </c>
      <c r="S4422" t="s">
        <v>620</v>
      </c>
    </row>
    <row r="4423" spans="1:19" x14ac:dyDescent="0.2">
      <c r="A4423" t="s">
        <v>5034</v>
      </c>
      <c r="B4423" t="s">
        <v>90</v>
      </c>
      <c r="C4423" t="s">
        <v>617</v>
      </c>
      <c r="D4423">
        <v>2800.93</v>
      </c>
      <c r="E4423" s="37" t="str">
        <f t="shared" si="345"/>
        <v xml:space="preserve"> </v>
      </c>
      <c r="F4423">
        <v>7.0000000000000007E-2</v>
      </c>
      <c r="G4423" s="37" t="str">
        <f t="shared" si="346"/>
        <v>Normal Discount</v>
      </c>
      <c r="H4423" s="37" t="str">
        <f t="shared" si="347"/>
        <v>Low</v>
      </c>
      <c r="I4423">
        <v>8</v>
      </c>
      <c r="J4423" t="str" cm="1">
        <f t="array" ref="J4423">_xlfn.IFS(I4423&lt;=3,"small",I4423&lt;=6,"Medium",I4423&lt;=9,"Large")</f>
        <v>Large</v>
      </c>
      <c r="K4423" s="36">
        <v>44938</v>
      </c>
      <c r="L4423" s="36">
        <v>44944</v>
      </c>
      <c r="M4423" t="s">
        <v>612</v>
      </c>
      <c r="N4423" t="s">
        <v>599</v>
      </c>
      <c r="O4423" s="37" t="str">
        <f t="shared" si="348"/>
        <v>Digital Payment</v>
      </c>
      <c r="P4423">
        <v>384.62</v>
      </c>
      <c r="Q4423" s="37" t="str">
        <f>IF(P4423&gt;500,"High","low")</f>
        <v>low</v>
      </c>
      <c r="R4423" s="37" t="str">
        <f t="shared" si="349"/>
        <v>AVERAGE</v>
      </c>
      <c r="S4423" t="s">
        <v>615</v>
      </c>
    </row>
    <row r="4424" spans="1:19" x14ac:dyDescent="0.2">
      <c r="A4424" t="s">
        <v>5035</v>
      </c>
      <c r="B4424" t="s">
        <v>75</v>
      </c>
      <c r="C4424" t="s">
        <v>614</v>
      </c>
      <c r="D4424">
        <v>4571.88</v>
      </c>
      <c r="E4424" s="37" t="str">
        <f t="shared" si="345"/>
        <v>Excellent Order</v>
      </c>
      <c r="F4424">
        <v>0.12</v>
      </c>
      <c r="G4424" s="37" t="str">
        <f t="shared" si="346"/>
        <v>Normal Discount</v>
      </c>
      <c r="H4424" s="37" t="str">
        <f t="shared" si="347"/>
        <v>Low</v>
      </c>
      <c r="I4424">
        <v>9</v>
      </c>
      <c r="J4424" t="str" cm="1">
        <f t="array" ref="J4424">_xlfn.IFS(I4424&lt;=3,"small",I4424&lt;=6,"Medium",I4424&lt;=9,"Large")</f>
        <v>Large</v>
      </c>
      <c r="K4424" s="36">
        <v>45278</v>
      </c>
      <c r="L4424" s="36">
        <v>45282</v>
      </c>
      <c r="M4424" t="s">
        <v>603</v>
      </c>
      <c r="N4424" t="s">
        <v>604</v>
      </c>
      <c r="O4424" s="37" t="str">
        <f t="shared" si="348"/>
        <v>Digital Payment</v>
      </c>
      <c r="P4424">
        <v>1235.17</v>
      </c>
      <c r="Q4424" s="37" t="str">
        <f>IF(P4424&gt;500,"High","low")</f>
        <v>High</v>
      </c>
      <c r="R4424" s="37" t="str">
        <f t="shared" si="349"/>
        <v>Excellent</v>
      </c>
      <c r="S4424" t="s">
        <v>600</v>
      </c>
    </row>
    <row r="4425" spans="1:19" x14ac:dyDescent="0.2">
      <c r="A4425" t="s">
        <v>5036</v>
      </c>
      <c r="B4425" t="s">
        <v>67</v>
      </c>
      <c r="C4425" t="s">
        <v>607</v>
      </c>
      <c r="D4425">
        <v>2976.92</v>
      </c>
      <c r="E4425" s="37" t="str">
        <f t="shared" si="345"/>
        <v xml:space="preserve"> </v>
      </c>
      <c r="F4425">
        <v>0.39</v>
      </c>
      <c r="G4425" s="37" t="str">
        <f t="shared" si="346"/>
        <v>Heavy Discount</v>
      </c>
      <c r="H4425" s="37" t="str">
        <f t="shared" si="347"/>
        <v>Medium</v>
      </c>
      <c r="I4425">
        <v>5</v>
      </c>
      <c r="J4425" t="str" cm="1">
        <f t="array" ref="J4425">_xlfn.IFS(I4425&lt;=3,"small",I4425&lt;=6,"Medium",I4425&lt;=9,"Large")</f>
        <v>Medium</v>
      </c>
      <c r="K4425" s="36">
        <v>45258</v>
      </c>
      <c r="L4425" s="36">
        <v>45262</v>
      </c>
      <c r="M4425" t="s">
        <v>612</v>
      </c>
      <c r="N4425" t="s">
        <v>604</v>
      </c>
      <c r="O4425" s="37" t="str">
        <f t="shared" si="348"/>
        <v>Digital Payment</v>
      </c>
      <c r="P4425">
        <v>704.34</v>
      </c>
      <c r="Q4425" s="37" t="str">
        <f>IF(P4425&gt;500,"High","low")</f>
        <v>High</v>
      </c>
      <c r="R4425" s="37" t="str">
        <f t="shared" si="349"/>
        <v>Good</v>
      </c>
      <c r="S4425" t="s">
        <v>609</v>
      </c>
    </row>
    <row r="4426" spans="1:19" x14ac:dyDescent="0.2">
      <c r="A4426" t="s">
        <v>5037</v>
      </c>
      <c r="B4426" t="s">
        <v>67</v>
      </c>
      <c r="C4426" t="s">
        <v>597</v>
      </c>
      <c r="D4426">
        <v>2063.6</v>
      </c>
      <c r="E4426" s="37" t="str">
        <f t="shared" si="345"/>
        <v xml:space="preserve"> </v>
      </c>
      <c r="F4426">
        <v>0.31</v>
      </c>
      <c r="G4426" s="37" t="str">
        <f t="shared" si="346"/>
        <v>Heavy Discount</v>
      </c>
      <c r="H4426" s="37" t="str">
        <f t="shared" si="347"/>
        <v>Medium</v>
      </c>
      <c r="I4426">
        <v>7</v>
      </c>
      <c r="J4426" t="str" cm="1">
        <f t="array" ref="J4426">_xlfn.IFS(I4426&lt;=3,"small",I4426&lt;=6,"Medium",I4426&lt;=9,"Large")</f>
        <v>Large</v>
      </c>
      <c r="K4426" s="36">
        <v>45476</v>
      </c>
      <c r="L4426" s="36">
        <v>45478</v>
      </c>
      <c r="M4426" t="s">
        <v>612</v>
      </c>
      <c r="N4426" t="s">
        <v>604</v>
      </c>
      <c r="O4426" s="37" t="str">
        <f t="shared" si="348"/>
        <v>Digital Payment</v>
      </c>
      <c r="P4426">
        <v>316.52999999999997</v>
      </c>
      <c r="Q4426" s="37" t="str">
        <f>IF(P4426&gt;500,"High","low")</f>
        <v>low</v>
      </c>
      <c r="R4426" s="37" t="str">
        <f t="shared" si="349"/>
        <v>AVERAGE</v>
      </c>
      <c r="S4426" t="s">
        <v>628</v>
      </c>
    </row>
    <row r="4427" spans="1:19" x14ac:dyDescent="0.2">
      <c r="A4427" t="s">
        <v>5038</v>
      </c>
      <c r="B4427" t="s">
        <v>75</v>
      </c>
      <c r="C4427" t="s">
        <v>607</v>
      </c>
      <c r="D4427">
        <v>4328.3100000000004</v>
      </c>
      <c r="E4427" s="37" t="str">
        <f t="shared" si="345"/>
        <v xml:space="preserve"> </v>
      </c>
      <c r="F4427">
        <v>0.19</v>
      </c>
      <c r="G4427" s="37" t="str">
        <f t="shared" si="346"/>
        <v>Normal Discount</v>
      </c>
      <c r="H4427" s="37" t="str">
        <f t="shared" si="347"/>
        <v>Low</v>
      </c>
      <c r="I4427">
        <v>2</v>
      </c>
      <c r="J4427" t="str" cm="1">
        <f t="array" ref="J4427">_xlfn.IFS(I4427&lt;=3,"small",I4427&lt;=6,"Medium",I4427&lt;=9,"Large")</f>
        <v>small</v>
      </c>
      <c r="K4427" s="36">
        <v>45093</v>
      </c>
      <c r="L4427" s="36">
        <v>45095</v>
      </c>
      <c r="M4427" t="s">
        <v>603</v>
      </c>
      <c r="N4427" t="s">
        <v>608</v>
      </c>
      <c r="O4427" s="37" t="str">
        <f t="shared" si="348"/>
        <v>Cash Payment</v>
      </c>
      <c r="P4427">
        <v>595.45000000000005</v>
      </c>
      <c r="Q4427" s="37" t="str">
        <f>IF(P4427&gt;500,"High","low")</f>
        <v>High</v>
      </c>
      <c r="R4427" s="37" t="str">
        <f t="shared" si="349"/>
        <v>Good</v>
      </c>
      <c r="S4427" t="s">
        <v>620</v>
      </c>
    </row>
    <row r="4428" spans="1:19" x14ac:dyDescent="0.2">
      <c r="A4428" t="s">
        <v>5039</v>
      </c>
      <c r="B4428" t="s">
        <v>90</v>
      </c>
      <c r="C4428" t="s">
        <v>597</v>
      </c>
      <c r="D4428">
        <v>344.36</v>
      </c>
      <c r="E4428" s="37" t="str">
        <f t="shared" si="345"/>
        <v xml:space="preserve"> </v>
      </c>
      <c r="F4428">
        <v>0.08</v>
      </c>
      <c r="G4428" s="37" t="str">
        <f t="shared" si="346"/>
        <v>Normal Discount</v>
      </c>
      <c r="H4428" s="37" t="str">
        <f t="shared" si="347"/>
        <v>Low</v>
      </c>
      <c r="I4428">
        <v>1</v>
      </c>
      <c r="J4428" t="str" cm="1">
        <f t="array" ref="J4428">_xlfn.IFS(I4428&lt;=3,"small",I4428&lt;=6,"Medium",I4428&lt;=9,"Large")</f>
        <v>small</v>
      </c>
      <c r="K4428" s="36">
        <v>45370</v>
      </c>
      <c r="L4428" s="36">
        <v>45373</v>
      </c>
      <c r="M4428" t="s">
        <v>598</v>
      </c>
      <c r="N4428" t="s">
        <v>608</v>
      </c>
      <c r="O4428" s="37" t="str">
        <f t="shared" si="348"/>
        <v>Cash Payment</v>
      </c>
      <c r="P4428">
        <v>48.62</v>
      </c>
      <c r="Q4428" s="37" t="str">
        <f>IF(P4428&gt;500,"High","low")</f>
        <v>low</v>
      </c>
      <c r="R4428" s="37" t="str">
        <f t="shared" si="349"/>
        <v>AVERAGE</v>
      </c>
      <c r="S4428" t="s">
        <v>615</v>
      </c>
    </row>
    <row r="4429" spans="1:19" x14ac:dyDescent="0.2">
      <c r="A4429" t="s">
        <v>5040</v>
      </c>
      <c r="B4429" t="s">
        <v>83</v>
      </c>
      <c r="C4429" t="s">
        <v>617</v>
      </c>
      <c r="D4429">
        <v>4512.5</v>
      </c>
      <c r="E4429" s="37" t="str">
        <f t="shared" si="345"/>
        <v xml:space="preserve"> </v>
      </c>
      <c r="F4429">
        <v>0.16</v>
      </c>
      <c r="G4429" s="37" t="str">
        <f t="shared" si="346"/>
        <v>Normal Discount</v>
      </c>
      <c r="H4429" s="37" t="str">
        <f t="shared" si="347"/>
        <v>Low</v>
      </c>
      <c r="I4429">
        <v>6</v>
      </c>
      <c r="J4429" t="str" cm="1">
        <f t="array" ref="J4429">_xlfn.IFS(I4429&lt;=3,"small",I4429&lt;=6,"Medium",I4429&lt;=9,"Large")</f>
        <v>Medium</v>
      </c>
      <c r="K4429" s="36">
        <v>45543</v>
      </c>
      <c r="L4429" s="36">
        <v>45548</v>
      </c>
      <c r="M4429" t="s">
        <v>598</v>
      </c>
      <c r="N4429" t="s">
        <v>604</v>
      </c>
      <c r="O4429" s="37" t="str">
        <f t="shared" si="348"/>
        <v>Digital Payment</v>
      </c>
      <c r="P4429">
        <v>374.28</v>
      </c>
      <c r="Q4429" s="37" t="str">
        <f>IF(P4429&gt;500,"High","low")</f>
        <v>low</v>
      </c>
      <c r="R4429" s="37" t="str">
        <f t="shared" si="349"/>
        <v>AVERAGE</v>
      </c>
      <c r="S4429" t="s">
        <v>605</v>
      </c>
    </row>
    <row r="4430" spans="1:19" x14ac:dyDescent="0.2">
      <c r="A4430" t="s">
        <v>5041</v>
      </c>
      <c r="B4430" t="s">
        <v>90</v>
      </c>
      <c r="C4430" t="s">
        <v>617</v>
      </c>
      <c r="D4430">
        <v>3512.1</v>
      </c>
      <c r="E4430" s="37" t="str">
        <f t="shared" si="345"/>
        <v xml:space="preserve"> </v>
      </c>
      <c r="F4430">
        <v>0.37</v>
      </c>
      <c r="G4430" s="37" t="str">
        <f t="shared" si="346"/>
        <v>Heavy Discount</v>
      </c>
      <c r="H4430" s="37" t="str">
        <f t="shared" si="347"/>
        <v>Medium</v>
      </c>
      <c r="I4430">
        <v>9</v>
      </c>
      <c r="J4430" t="str" cm="1">
        <f t="array" ref="J4430">_xlfn.IFS(I4430&lt;=3,"small",I4430&lt;=6,"Medium",I4430&lt;=9,"Large")</f>
        <v>Large</v>
      </c>
      <c r="K4430" s="36">
        <v>45523</v>
      </c>
      <c r="L4430" s="36">
        <v>45525</v>
      </c>
      <c r="M4430" t="s">
        <v>603</v>
      </c>
      <c r="N4430" t="s">
        <v>608</v>
      </c>
      <c r="O4430" s="37" t="str">
        <f t="shared" si="348"/>
        <v>Cash Payment</v>
      </c>
      <c r="P4430">
        <v>518.61</v>
      </c>
      <c r="Q4430" s="37" t="str">
        <f>IF(P4430&gt;500,"High","low")</f>
        <v>High</v>
      </c>
      <c r="R4430" s="37" t="str">
        <f t="shared" si="349"/>
        <v>Good</v>
      </c>
      <c r="S4430" t="s">
        <v>628</v>
      </c>
    </row>
    <row r="4431" spans="1:19" x14ac:dyDescent="0.2">
      <c r="A4431" t="s">
        <v>5042</v>
      </c>
      <c r="B4431" t="s">
        <v>75</v>
      </c>
      <c r="C4431" t="s">
        <v>597</v>
      </c>
      <c r="D4431">
        <v>4708.97</v>
      </c>
      <c r="E4431" s="37" t="str">
        <f t="shared" si="345"/>
        <v>Excellent Order</v>
      </c>
      <c r="F4431">
        <v>0.19</v>
      </c>
      <c r="G4431" s="37" t="str">
        <f t="shared" si="346"/>
        <v>Normal Discount</v>
      </c>
      <c r="H4431" s="37" t="str">
        <f t="shared" si="347"/>
        <v>Low</v>
      </c>
      <c r="I4431">
        <v>1</v>
      </c>
      <c r="J4431" t="str" cm="1">
        <f t="array" ref="J4431">_xlfn.IFS(I4431&lt;=3,"small",I4431&lt;=6,"Medium",I4431&lt;=9,"Large")</f>
        <v>small</v>
      </c>
      <c r="K4431" s="36">
        <v>45116</v>
      </c>
      <c r="L4431" s="36">
        <v>45117</v>
      </c>
      <c r="M4431" t="s">
        <v>612</v>
      </c>
      <c r="N4431" t="s">
        <v>604</v>
      </c>
      <c r="O4431" s="37" t="str">
        <f t="shared" si="348"/>
        <v>Digital Payment</v>
      </c>
      <c r="P4431">
        <v>927.06</v>
      </c>
      <c r="Q4431" s="37" t="str">
        <f>IF(P4431&gt;500,"High","low")</f>
        <v>High</v>
      </c>
      <c r="R4431" s="37" t="str">
        <f t="shared" si="349"/>
        <v>Good</v>
      </c>
      <c r="S4431" t="s">
        <v>615</v>
      </c>
    </row>
    <row r="4432" spans="1:19" x14ac:dyDescent="0.2">
      <c r="A4432" t="s">
        <v>5043</v>
      </c>
      <c r="B4432" t="s">
        <v>90</v>
      </c>
      <c r="C4432" t="s">
        <v>617</v>
      </c>
      <c r="D4432">
        <v>1327.47</v>
      </c>
      <c r="E4432" s="37" t="str">
        <f t="shared" si="345"/>
        <v xml:space="preserve"> </v>
      </c>
      <c r="F4432">
        <v>0.23</v>
      </c>
      <c r="G4432" s="37" t="str">
        <f t="shared" si="346"/>
        <v>Normal Discount</v>
      </c>
      <c r="H4432" s="37" t="str">
        <f t="shared" si="347"/>
        <v>Medium</v>
      </c>
      <c r="I4432">
        <v>1</v>
      </c>
      <c r="J4432" t="str" cm="1">
        <f t="array" ref="J4432">_xlfn.IFS(I4432&lt;=3,"small",I4432&lt;=6,"Medium",I4432&lt;=9,"Large")</f>
        <v>small</v>
      </c>
      <c r="K4432" s="36">
        <v>45018</v>
      </c>
      <c r="L4432" s="36">
        <v>45024</v>
      </c>
      <c r="M4432" t="s">
        <v>612</v>
      </c>
      <c r="N4432" t="s">
        <v>608</v>
      </c>
      <c r="O4432" s="37" t="str">
        <f t="shared" si="348"/>
        <v>Cash Payment</v>
      </c>
      <c r="P4432">
        <v>347.78</v>
      </c>
      <c r="Q4432" s="37" t="str">
        <f>IF(P4432&gt;500,"High","low")</f>
        <v>low</v>
      </c>
      <c r="R4432" s="37" t="str">
        <f t="shared" si="349"/>
        <v>AVERAGE</v>
      </c>
      <c r="S4432" t="s">
        <v>609</v>
      </c>
    </row>
    <row r="4433" spans="1:19" x14ac:dyDescent="0.2">
      <c r="A4433" t="s">
        <v>5044</v>
      </c>
      <c r="B4433" t="s">
        <v>67</v>
      </c>
      <c r="C4433" t="s">
        <v>617</v>
      </c>
      <c r="D4433">
        <v>3505.11</v>
      </c>
      <c r="E4433" s="37" t="str">
        <f t="shared" si="345"/>
        <v xml:space="preserve"> </v>
      </c>
      <c r="F4433">
        <v>0.3</v>
      </c>
      <c r="G4433" s="37" t="str">
        <f t="shared" si="346"/>
        <v>Normal Discount</v>
      </c>
      <c r="H4433" s="37" t="str">
        <f t="shared" si="347"/>
        <v>Medium</v>
      </c>
      <c r="I4433">
        <v>4</v>
      </c>
      <c r="J4433" t="str" cm="1">
        <f t="array" ref="J4433">_xlfn.IFS(I4433&lt;=3,"small",I4433&lt;=6,"Medium",I4433&lt;=9,"Large")</f>
        <v>Medium</v>
      </c>
      <c r="K4433" s="36">
        <v>45593</v>
      </c>
      <c r="L4433" s="36">
        <v>45594</v>
      </c>
      <c r="M4433" t="s">
        <v>603</v>
      </c>
      <c r="N4433" t="s">
        <v>599</v>
      </c>
      <c r="O4433" s="37" t="str">
        <f t="shared" si="348"/>
        <v>Digital Payment</v>
      </c>
      <c r="P4433">
        <v>773.35</v>
      </c>
      <c r="Q4433" s="37" t="str">
        <f>IF(P4433&gt;500,"High","low")</f>
        <v>High</v>
      </c>
      <c r="R4433" s="37" t="str">
        <f t="shared" si="349"/>
        <v>Good</v>
      </c>
      <c r="S4433" t="s">
        <v>628</v>
      </c>
    </row>
    <row r="4434" spans="1:19" x14ac:dyDescent="0.2">
      <c r="A4434" t="s">
        <v>5045</v>
      </c>
      <c r="B4434" t="s">
        <v>90</v>
      </c>
      <c r="C4434" t="s">
        <v>597</v>
      </c>
      <c r="D4434">
        <v>4066.37</v>
      </c>
      <c r="E4434" s="37" t="str">
        <f t="shared" si="345"/>
        <v>Excellent Order</v>
      </c>
      <c r="F4434">
        <v>0.46</v>
      </c>
      <c r="G4434" s="37" t="str">
        <f t="shared" si="346"/>
        <v>Heavy Discount</v>
      </c>
      <c r="H4434" s="37" t="str">
        <f t="shared" si="347"/>
        <v>High</v>
      </c>
      <c r="I4434">
        <v>6</v>
      </c>
      <c r="J4434" t="str" cm="1">
        <f t="array" ref="J4434">_xlfn.IFS(I4434&lt;=3,"small",I4434&lt;=6,"Medium",I4434&lt;=9,"Large")</f>
        <v>Medium</v>
      </c>
      <c r="K4434" s="36">
        <v>45453</v>
      </c>
      <c r="L4434" s="36">
        <v>45455</v>
      </c>
      <c r="M4434" t="s">
        <v>598</v>
      </c>
      <c r="N4434" t="s">
        <v>604</v>
      </c>
      <c r="O4434" s="37" t="str">
        <f t="shared" si="348"/>
        <v>Digital Payment</v>
      </c>
      <c r="P4434">
        <v>851.86</v>
      </c>
      <c r="Q4434" s="37" t="str">
        <f>IF(P4434&gt;500,"High","low")</f>
        <v>High</v>
      </c>
      <c r="R4434" s="37" t="str">
        <f t="shared" si="349"/>
        <v>Good</v>
      </c>
      <c r="S4434" t="s">
        <v>615</v>
      </c>
    </row>
    <row r="4435" spans="1:19" x14ac:dyDescent="0.2">
      <c r="A4435" t="s">
        <v>5046</v>
      </c>
      <c r="B4435" t="s">
        <v>75</v>
      </c>
      <c r="C4435" t="s">
        <v>614</v>
      </c>
      <c r="D4435">
        <v>3540.3</v>
      </c>
      <c r="E4435" s="37" t="str">
        <f t="shared" si="345"/>
        <v xml:space="preserve"> </v>
      </c>
      <c r="F4435">
        <v>0.13</v>
      </c>
      <c r="G4435" s="37" t="str">
        <f t="shared" si="346"/>
        <v>Normal Discount</v>
      </c>
      <c r="H4435" s="37" t="str">
        <f t="shared" si="347"/>
        <v>Low</v>
      </c>
      <c r="I4435">
        <v>9</v>
      </c>
      <c r="J4435" t="str" cm="1">
        <f t="array" ref="J4435">_xlfn.IFS(I4435&lt;=3,"small",I4435&lt;=6,"Medium",I4435&lt;=9,"Large")</f>
        <v>Large</v>
      </c>
      <c r="K4435" s="36">
        <v>45022</v>
      </c>
      <c r="L4435" s="36">
        <v>45027</v>
      </c>
      <c r="M4435" t="s">
        <v>603</v>
      </c>
      <c r="N4435" t="s">
        <v>604</v>
      </c>
      <c r="O4435" s="37" t="str">
        <f t="shared" si="348"/>
        <v>Digital Payment</v>
      </c>
      <c r="P4435">
        <v>236.49</v>
      </c>
      <c r="Q4435" s="37" t="str">
        <f>IF(P4435&gt;500,"High","low")</f>
        <v>low</v>
      </c>
      <c r="R4435" s="37" t="str">
        <f t="shared" si="349"/>
        <v>AVERAGE</v>
      </c>
      <c r="S4435" t="s">
        <v>620</v>
      </c>
    </row>
    <row r="4436" spans="1:19" x14ac:dyDescent="0.2">
      <c r="A4436" t="s">
        <v>5047</v>
      </c>
      <c r="B4436" t="s">
        <v>67</v>
      </c>
      <c r="C4436" t="s">
        <v>597</v>
      </c>
      <c r="D4436">
        <v>1130.6400000000001</v>
      </c>
      <c r="E4436" s="37" t="str">
        <f t="shared" si="345"/>
        <v xml:space="preserve"> </v>
      </c>
      <c r="F4436">
        <v>0.22</v>
      </c>
      <c r="G4436" s="37" t="str">
        <f t="shared" si="346"/>
        <v>Normal Discount</v>
      </c>
      <c r="H4436" s="37" t="str">
        <f t="shared" si="347"/>
        <v>Medium</v>
      </c>
      <c r="I4436">
        <v>2</v>
      </c>
      <c r="J4436" t="str" cm="1">
        <f t="array" ref="J4436">_xlfn.IFS(I4436&lt;=3,"small",I4436&lt;=6,"Medium",I4436&lt;=9,"Large")</f>
        <v>small</v>
      </c>
      <c r="K4436" s="36">
        <v>45152</v>
      </c>
      <c r="L4436" s="36">
        <v>45153</v>
      </c>
      <c r="M4436" t="s">
        <v>603</v>
      </c>
      <c r="N4436" t="s">
        <v>608</v>
      </c>
      <c r="O4436" s="37" t="str">
        <f t="shared" si="348"/>
        <v>Cash Payment</v>
      </c>
      <c r="P4436">
        <v>96.88</v>
      </c>
      <c r="Q4436" s="37" t="str">
        <f>IF(P4436&gt;500,"High","low")</f>
        <v>low</v>
      </c>
      <c r="R4436" s="37" t="str">
        <f t="shared" si="349"/>
        <v>AVERAGE</v>
      </c>
      <c r="S4436" t="s">
        <v>628</v>
      </c>
    </row>
    <row r="4437" spans="1:19" x14ac:dyDescent="0.2">
      <c r="A4437" t="s">
        <v>5048</v>
      </c>
      <c r="B4437" t="s">
        <v>90</v>
      </c>
      <c r="C4437" t="s">
        <v>614</v>
      </c>
      <c r="D4437">
        <v>1450.39</v>
      </c>
      <c r="E4437" s="37" t="str">
        <f t="shared" si="345"/>
        <v xml:space="preserve"> </v>
      </c>
      <c r="F4437">
        <v>0.16</v>
      </c>
      <c r="G4437" s="37" t="str">
        <f t="shared" si="346"/>
        <v>Normal Discount</v>
      </c>
      <c r="H4437" s="37" t="str">
        <f t="shared" si="347"/>
        <v>Low</v>
      </c>
      <c r="I4437">
        <v>5</v>
      </c>
      <c r="J4437" t="str" cm="1">
        <f t="array" ref="J4437">_xlfn.IFS(I4437&lt;=3,"small",I4437&lt;=6,"Medium",I4437&lt;=9,"Large")</f>
        <v>Medium</v>
      </c>
      <c r="K4437" s="36">
        <v>45426</v>
      </c>
      <c r="L4437" s="36">
        <v>45429</v>
      </c>
      <c r="M4437" t="s">
        <v>598</v>
      </c>
      <c r="N4437" t="s">
        <v>608</v>
      </c>
      <c r="O4437" s="37" t="str">
        <f t="shared" si="348"/>
        <v>Cash Payment</v>
      </c>
      <c r="P4437">
        <v>106.76</v>
      </c>
      <c r="Q4437" s="37" t="str">
        <f>IF(P4437&gt;500,"High","low")</f>
        <v>low</v>
      </c>
      <c r="R4437" s="37" t="str">
        <f t="shared" si="349"/>
        <v>AVERAGE</v>
      </c>
      <c r="S4437" t="s">
        <v>609</v>
      </c>
    </row>
    <row r="4438" spans="1:19" x14ac:dyDescent="0.2">
      <c r="A4438" t="s">
        <v>5049</v>
      </c>
      <c r="B4438" t="s">
        <v>90</v>
      </c>
      <c r="C4438" t="s">
        <v>617</v>
      </c>
      <c r="D4438">
        <v>2877.04</v>
      </c>
      <c r="E4438" s="37" t="str">
        <f t="shared" si="345"/>
        <v xml:space="preserve"> </v>
      </c>
      <c r="F4438">
        <v>0.23</v>
      </c>
      <c r="G4438" s="37" t="str">
        <f t="shared" si="346"/>
        <v>Normal Discount</v>
      </c>
      <c r="H4438" s="37" t="str">
        <f t="shared" si="347"/>
        <v>Medium</v>
      </c>
      <c r="I4438">
        <v>7</v>
      </c>
      <c r="J4438" t="str" cm="1">
        <f t="array" ref="J4438">_xlfn.IFS(I4438&lt;=3,"small",I4438&lt;=6,"Medium",I4438&lt;=9,"Large")</f>
        <v>Large</v>
      </c>
      <c r="K4438" s="36">
        <v>45556</v>
      </c>
      <c r="L4438" s="36">
        <v>45559</v>
      </c>
      <c r="M4438" t="s">
        <v>603</v>
      </c>
      <c r="N4438" t="s">
        <v>599</v>
      </c>
      <c r="O4438" s="37" t="str">
        <f t="shared" si="348"/>
        <v>Digital Payment</v>
      </c>
      <c r="P4438">
        <v>281.14</v>
      </c>
      <c r="Q4438" s="37" t="str">
        <f>IF(P4438&gt;500,"High","low")</f>
        <v>low</v>
      </c>
      <c r="R4438" s="37" t="str">
        <f t="shared" si="349"/>
        <v>AVERAGE</v>
      </c>
      <c r="S4438" t="s">
        <v>620</v>
      </c>
    </row>
    <row r="4439" spans="1:19" x14ac:dyDescent="0.2">
      <c r="A4439" t="s">
        <v>5050</v>
      </c>
      <c r="B4439" t="s">
        <v>67</v>
      </c>
      <c r="C4439" t="s">
        <v>614</v>
      </c>
      <c r="D4439">
        <v>2289.08</v>
      </c>
      <c r="E4439" s="37" t="str">
        <f t="shared" si="345"/>
        <v xml:space="preserve"> </v>
      </c>
      <c r="F4439">
        <v>0.35</v>
      </c>
      <c r="G4439" s="37" t="str">
        <f t="shared" si="346"/>
        <v>Heavy Discount</v>
      </c>
      <c r="H4439" s="37" t="str">
        <f t="shared" si="347"/>
        <v>Medium</v>
      </c>
      <c r="I4439">
        <v>4</v>
      </c>
      <c r="J4439" t="str" cm="1">
        <f t="array" ref="J4439">_xlfn.IFS(I4439&lt;=3,"small",I4439&lt;=6,"Medium",I4439&lt;=9,"Large")</f>
        <v>Medium</v>
      </c>
      <c r="K4439" s="36">
        <v>45125</v>
      </c>
      <c r="L4439" s="36">
        <v>45129</v>
      </c>
      <c r="M4439" t="s">
        <v>612</v>
      </c>
      <c r="N4439" t="s">
        <v>608</v>
      </c>
      <c r="O4439" s="37" t="str">
        <f t="shared" si="348"/>
        <v>Cash Payment</v>
      </c>
      <c r="P4439">
        <v>557.38</v>
      </c>
      <c r="Q4439" s="37" t="str">
        <f>IF(P4439&gt;500,"High","low")</f>
        <v>High</v>
      </c>
      <c r="R4439" s="37" t="str">
        <f t="shared" si="349"/>
        <v>Good</v>
      </c>
      <c r="S4439" t="s">
        <v>600</v>
      </c>
    </row>
    <row r="4440" spans="1:19" x14ac:dyDescent="0.2">
      <c r="A4440" t="s">
        <v>5051</v>
      </c>
      <c r="B4440" t="s">
        <v>83</v>
      </c>
      <c r="C4440" t="s">
        <v>617</v>
      </c>
      <c r="D4440">
        <v>3702.07</v>
      </c>
      <c r="E4440" s="37" t="str">
        <f t="shared" si="345"/>
        <v xml:space="preserve"> </v>
      </c>
      <c r="F4440">
        <v>0.24</v>
      </c>
      <c r="G4440" s="37" t="str">
        <f t="shared" si="346"/>
        <v>Normal Discount</v>
      </c>
      <c r="H4440" s="37" t="str">
        <f t="shared" si="347"/>
        <v>Medium</v>
      </c>
      <c r="I4440">
        <v>6</v>
      </c>
      <c r="J4440" t="str" cm="1">
        <f t="array" ref="J4440">_xlfn.IFS(I4440&lt;=3,"small",I4440&lt;=6,"Medium",I4440&lt;=9,"Large")</f>
        <v>Medium</v>
      </c>
      <c r="K4440" s="36">
        <v>45579</v>
      </c>
      <c r="L4440" s="36">
        <v>45583</v>
      </c>
      <c r="M4440" t="s">
        <v>612</v>
      </c>
      <c r="N4440" t="s">
        <v>604</v>
      </c>
      <c r="O4440" s="37" t="str">
        <f t="shared" si="348"/>
        <v>Digital Payment</v>
      </c>
      <c r="P4440">
        <v>759.26</v>
      </c>
      <c r="Q4440" s="37" t="str">
        <f>IF(P4440&gt;500,"High","low")</f>
        <v>High</v>
      </c>
      <c r="R4440" s="37" t="str">
        <f t="shared" si="349"/>
        <v>Good</v>
      </c>
      <c r="S4440" t="s">
        <v>600</v>
      </c>
    </row>
    <row r="4441" spans="1:19" x14ac:dyDescent="0.2">
      <c r="A4441" t="s">
        <v>5052</v>
      </c>
      <c r="B4441" t="s">
        <v>67</v>
      </c>
      <c r="C4441" t="s">
        <v>614</v>
      </c>
      <c r="D4441">
        <v>1955.52</v>
      </c>
      <c r="E4441" s="37" t="str">
        <f t="shared" si="345"/>
        <v xml:space="preserve"> </v>
      </c>
      <c r="F4441">
        <v>0.42</v>
      </c>
      <c r="G4441" s="37" t="str">
        <f t="shared" si="346"/>
        <v>Heavy Discount</v>
      </c>
      <c r="H4441" s="37" t="str">
        <f t="shared" si="347"/>
        <v>High</v>
      </c>
      <c r="I4441">
        <v>6</v>
      </c>
      <c r="J4441" t="str" cm="1">
        <f t="array" ref="J4441">_xlfn.IFS(I4441&lt;=3,"small",I4441&lt;=6,"Medium",I4441&lt;=9,"Large")</f>
        <v>Medium</v>
      </c>
      <c r="K4441" s="36">
        <v>45619</v>
      </c>
      <c r="L4441" s="36">
        <v>45623</v>
      </c>
      <c r="M4441" t="s">
        <v>603</v>
      </c>
      <c r="N4441" t="s">
        <v>599</v>
      </c>
      <c r="O4441" s="37" t="str">
        <f t="shared" si="348"/>
        <v>Digital Payment</v>
      </c>
      <c r="P4441">
        <v>314.02999999999997</v>
      </c>
      <c r="Q4441" s="37" t="str">
        <f>IF(P4441&gt;500,"High","low")</f>
        <v>low</v>
      </c>
      <c r="R4441" s="37" t="str">
        <f t="shared" si="349"/>
        <v>AVERAGE</v>
      </c>
      <c r="S4441" t="s">
        <v>628</v>
      </c>
    </row>
    <row r="4442" spans="1:19" x14ac:dyDescent="0.2">
      <c r="A4442" t="s">
        <v>5053</v>
      </c>
      <c r="B4442" t="s">
        <v>83</v>
      </c>
      <c r="C4442" t="s">
        <v>614</v>
      </c>
      <c r="D4442">
        <v>4311.45</v>
      </c>
      <c r="E4442" s="37" t="str">
        <f t="shared" si="345"/>
        <v xml:space="preserve"> </v>
      </c>
      <c r="F4442">
        <v>0.28000000000000003</v>
      </c>
      <c r="G4442" s="37" t="str">
        <f t="shared" si="346"/>
        <v>Normal Discount</v>
      </c>
      <c r="H4442" s="37" t="str">
        <f t="shared" si="347"/>
        <v>Medium</v>
      </c>
      <c r="I4442">
        <v>4</v>
      </c>
      <c r="J4442" t="str" cm="1">
        <f t="array" ref="J4442">_xlfn.IFS(I4442&lt;=3,"small",I4442&lt;=6,"Medium",I4442&lt;=9,"Large")</f>
        <v>Medium</v>
      </c>
      <c r="K4442" s="36">
        <v>45093</v>
      </c>
      <c r="L4442" s="36">
        <v>45099</v>
      </c>
      <c r="M4442" t="s">
        <v>603</v>
      </c>
      <c r="N4442" t="s">
        <v>604</v>
      </c>
      <c r="O4442" s="37" t="str">
        <f t="shared" si="348"/>
        <v>Digital Payment</v>
      </c>
      <c r="P4442">
        <v>228.07</v>
      </c>
      <c r="Q4442" s="37" t="str">
        <f>IF(P4442&gt;500,"High","low")</f>
        <v>low</v>
      </c>
      <c r="R4442" s="37" t="str">
        <f t="shared" si="349"/>
        <v>AVERAGE</v>
      </c>
      <c r="S4442" t="s">
        <v>615</v>
      </c>
    </row>
    <row r="4443" spans="1:19" x14ac:dyDescent="0.2">
      <c r="A4443" t="s">
        <v>5054</v>
      </c>
      <c r="B4443" t="s">
        <v>75</v>
      </c>
      <c r="C4443" t="s">
        <v>597</v>
      </c>
      <c r="D4443">
        <v>2216.41</v>
      </c>
      <c r="E4443" s="37" t="str">
        <f t="shared" si="345"/>
        <v xml:space="preserve"> </v>
      </c>
      <c r="F4443">
        <v>0.19</v>
      </c>
      <c r="G4443" s="37" t="str">
        <f t="shared" si="346"/>
        <v>Normal Discount</v>
      </c>
      <c r="H4443" s="37" t="str">
        <f t="shared" si="347"/>
        <v>Low</v>
      </c>
      <c r="I4443">
        <v>4</v>
      </c>
      <c r="J4443" t="str" cm="1">
        <f t="array" ref="J4443">_xlfn.IFS(I4443&lt;=3,"small",I4443&lt;=6,"Medium",I4443&lt;=9,"Large")</f>
        <v>Medium</v>
      </c>
      <c r="K4443" s="36">
        <v>45041</v>
      </c>
      <c r="L4443" s="36">
        <v>45046</v>
      </c>
      <c r="M4443" t="s">
        <v>598</v>
      </c>
      <c r="N4443" t="s">
        <v>608</v>
      </c>
      <c r="O4443" s="37" t="str">
        <f t="shared" si="348"/>
        <v>Cash Payment</v>
      </c>
      <c r="P4443">
        <v>481.02</v>
      </c>
      <c r="Q4443" s="37" t="str">
        <f>IF(P4443&gt;500,"High","low")</f>
        <v>low</v>
      </c>
      <c r="R4443" s="37" t="str">
        <f t="shared" si="349"/>
        <v>AVERAGE</v>
      </c>
      <c r="S4443" t="s">
        <v>600</v>
      </c>
    </row>
    <row r="4444" spans="1:19" x14ac:dyDescent="0.2">
      <c r="A4444" t="s">
        <v>5055</v>
      </c>
      <c r="B4444" t="s">
        <v>75</v>
      </c>
      <c r="C4444" t="s">
        <v>614</v>
      </c>
      <c r="D4444">
        <v>296.2</v>
      </c>
      <c r="E4444" s="37" t="str">
        <f t="shared" si="345"/>
        <v xml:space="preserve"> </v>
      </c>
      <c r="F4444">
        <v>0.39</v>
      </c>
      <c r="G4444" s="37" t="str">
        <f t="shared" si="346"/>
        <v>Heavy Discount</v>
      </c>
      <c r="H4444" s="37" t="str">
        <f t="shared" si="347"/>
        <v>Medium</v>
      </c>
      <c r="I4444">
        <v>9</v>
      </c>
      <c r="J4444" t="str" cm="1">
        <f t="array" ref="J4444">_xlfn.IFS(I4444&lt;=3,"small",I4444&lt;=6,"Medium",I4444&lt;=9,"Large")</f>
        <v>Large</v>
      </c>
      <c r="K4444" s="36">
        <v>45032</v>
      </c>
      <c r="L4444" s="36">
        <v>45035</v>
      </c>
      <c r="M4444" t="s">
        <v>603</v>
      </c>
      <c r="N4444" t="s">
        <v>604</v>
      </c>
      <c r="O4444" s="37" t="str">
        <f t="shared" si="348"/>
        <v>Digital Payment</v>
      </c>
      <c r="P4444">
        <v>54.75</v>
      </c>
      <c r="Q4444" s="37" t="str">
        <f>IF(P4444&gt;500,"High","low")</f>
        <v>low</v>
      </c>
      <c r="R4444" s="37" t="str">
        <f t="shared" si="349"/>
        <v>AVERAGE</v>
      </c>
      <c r="S4444" t="s">
        <v>600</v>
      </c>
    </row>
    <row r="4445" spans="1:19" x14ac:dyDescent="0.2">
      <c r="A4445" t="s">
        <v>5056</v>
      </c>
      <c r="B4445" t="s">
        <v>67</v>
      </c>
      <c r="C4445" t="s">
        <v>617</v>
      </c>
      <c r="D4445">
        <v>185.08</v>
      </c>
      <c r="E4445" s="37" t="str">
        <f t="shared" si="345"/>
        <v xml:space="preserve"> </v>
      </c>
      <c r="F4445">
        <v>0.22</v>
      </c>
      <c r="G4445" s="37" t="str">
        <f t="shared" si="346"/>
        <v>Normal Discount</v>
      </c>
      <c r="H4445" s="37" t="str">
        <f t="shared" si="347"/>
        <v>Medium</v>
      </c>
      <c r="I4445">
        <v>1</v>
      </c>
      <c r="J4445" t="str" cm="1">
        <f t="array" ref="J4445">_xlfn.IFS(I4445&lt;=3,"small",I4445&lt;=6,"Medium",I4445&lt;=9,"Large")</f>
        <v>small</v>
      </c>
      <c r="K4445" s="36">
        <v>44930</v>
      </c>
      <c r="L4445" s="36">
        <v>44935</v>
      </c>
      <c r="M4445" t="s">
        <v>612</v>
      </c>
      <c r="N4445" t="s">
        <v>599</v>
      </c>
      <c r="O4445" s="37" t="str">
        <f t="shared" si="348"/>
        <v>Digital Payment</v>
      </c>
      <c r="P4445">
        <v>13.09</v>
      </c>
      <c r="Q4445" s="37" t="str">
        <f>IF(P4445&gt;500,"High","low")</f>
        <v>low</v>
      </c>
      <c r="R4445" s="37" t="str">
        <f t="shared" si="349"/>
        <v>AVERAGE</v>
      </c>
      <c r="S4445" t="s">
        <v>620</v>
      </c>
    </row>
    <row r="4446" spans="1:19" x14ac:dyDescent="0.2">
      <c r="A4446" t="s">
        <v>5057</v>
      </c>
      <c r="B4446" t="s">
        <v>67</v>
      </c>
      <c r="C4446" t="s">
        <v>597</v>
      </c>
      <c r="D4446">
        <v>3269.04</v>
      </c>
      <c r="E4446" s="37" t="str">
        <f t="shared" si="345"/>
        <v xml:space="preserve"> </v>
      </c>
      <c r="F4446">
        <v>0.26</v>
      </c>
      <c r="G4446" s="37" t="str">
        <f t="shared" si="346"/>
        <v>Normal Discount</v>
      </c>
      <c r="H4446" s="37" t="str">
        <f t="shared" si="347"/>
        <v>Medium</v>
      </c>
      <c r="I4446">
        <v>5</v>
      </c>
      <c r="J4446" t="str" cm="1">
        <f t="array" ref="J4446">_xlfn.IFS(I4446&lt;=3,"small",I4446&lt;=6,"Medium",I4446&lt;=9,"Large")</f>
        <v>Medium</v>
      </c>
      <c r="K4446" s="36">
        <v>45171</v>
      </c>
      <c r="L4446" s="36">
        <v>45172</v>
      </c>
      <c r="M4446" t="s">
        <v>598</v>
      </c>
      <c r="N4446" t="s">
        <v>604</v>
      </c>
      <c r="O4446" s="37" t="str">
        <f t="shared" si="348"/>
        <v>Digital Payment</v>
      </c>
      <c r="P4446">
        <v>736.15</v>
      </c>
      <c r="Q4446" s="37" t="str">
        <f>IF(P4446&gt;500,"High","low")</f>
        <v>High</v>
      </c>
      <c r="R4446" s="37" t="str">
        <f t="shared" si="349"/>
        <v>Good</v>
      </c>
      <c r="S4446" t="s">
        <v>600</v>
      </c>
    </row>
    <row r="4447" spans="1:19" x14ac:dyDescent="0.2">
      <c r="A4447" t="s">
        <v>5058</v>
      </c>
      <c r="B4447" t="s">
        <v>75</v>
      </c>
      <c r="C4447" t="s">
        <v>614</v>
      </c>
      <c r="D4447">
        <v>2748.71</v>
      </c>
      <c r="E4447" s="37" t="str">
        <f t="shared" si="345"/>
        <v xml:space="preserve"> </v>
      </c>
      <c r="F4447">
        <v>0.5</v>
      </c>
      <c r="G4447" s="37" t="str">
        <f t="shared" si="346"/>
        <v>Heavy Discount</v>
      </c>
      <c r="H4447" s="37" t="str">
        <f t="shared" si="347"/>
        <v>High</v>
      </c>
      <c r="I4447">
        <v>9</v>
      </c>
      <c r="J4447" t="str" cm="1">
        <f t="array" ref="J4447">_xlfn.IFS(I4447&lt;=3,"small",I4447&lt;=6,"Medium",I4447&lt;=9,"Large")</f>
        <v>Large</v>
      </c>
      <c r="K4447" s="36">
        <v>45066</v>
      </c>
      <c r="L4447" s="36">
        <v>45073</v>
      </c>
      <c r="M4447" t="s">
        <v>603</v>
      </c>
      <c r="N4447" t="s">
        <v>608</v>
      </c>
      <c r="O4447" s="37" t="str">
        <f t="shared" si="348"/>
        <v>Cash Payment</v>
      </c>
      <c r="P4447">
        <v>322.85000000000002</v>
      </c>
      <c r="Q4447" s="37" t="str">
        <f>IF(P4447&gt;500,"High","low")</f>
        <v>low</v>
      </c>
      <c r="R4447" s="37" t="str">
        <f t="shared" si="349"/>
        <v>AVERAGE</v>
      </c>
      <c r="S4447" t="s">
        <v>615</v>
      </c>
    </row>
    <row r="4448" spans="1:19" x14ac:dyDescent="0.2">
      <c r="A4448" t="s">
        <v>5059</v>
      </c>
      <c r="B4448" t="s">
        <v>83</v>
      </c>
      <c r="C4448" t="s">
        <v>597</v>
      </c>
      <c r="D4448">
        <v>2759.45</v>
      </c>
      <c r="E4448" s="37" t="str">
        <f t="shared" si="345"/>
        <v xml:space="preserve"> </v>
      </c>
      <c r="F4448">
        <v>0.39</v>
      </c>
      <c r="G4448" s="37" t="str">
        <f t="shared" si="346"/>
        <v>Heavy Discount</v>
      </c>
      <c r="H4448" s="37" t="str">
        <f t="shared" si="347"/>
        <v>Medium</v>
      </c>
      <c r="I4448">
        <v>9</v>
      </c>
      <c r="J4448" t="str" cm="1">
        <f t="array" ref="J4448">_xlfn.IFS(I4448&lt;=3,"small",I4448&lt;=6,"Medium",I4448&lt;=9,"Large")</f>
        <v>Large</v>
      </c>
      <c r="K4448" s="36">
        <v>45003</v>
      </c>
      <c r="L4448" s="36">
        <v>45006</v>
      </c>
      <c r="M4448" t="s">
        <v>612</v>
      </c>
      <c r="N4448" t="s">
        <v>604</v>
      </c>
      <c r="O4448" s="37" t="str">
        <f t="shared" si="348"/>
        <v>Digital Payment</v>
      </c>
      <c r="P4448">
        <v>471.87</v>
      </c>
      <c r="Q4448" s="37" t="str">
        <f>IF(P4448&gt;500,"High","low")</f>
        <v>low</v>
      </c>
      <c r="R4448" s="37" t="str">
        <f t="shared" si="349"/>
        <v>AVERAGE</v>
      </c>
      <c r="S4448" t="s">
        <v>620</v>
      </c>
    </row>
    <row r="4449" spans="1:19" x14ac:dyDescent="0.2">
      <c r="A4449" t="s">
        <v>5060</v>
      </c>
      <c r="B4449" t="s">
        <v>75</v>
      </c>
      <c r="C4449" t="s">
        <v>607</v>
      </c>
      <c r="D4449">
        <v>3971.04</v>
      </c>
      <c r="E4449" s="37" t="str">
        <f t="shared" si="345"/>
        <v xml:space="preserve"> </v>
      </c>
      <c r="F4449">
        <v>0.43</v>
      </c>
      <c r="G4449" s="37" t="str">
        <f t="shared" si="346"/>
        <v>Heavy Discount</v>
      </c>
      <c r="H4449" s="37" t="str">
        <f t="shared" si="347"/>
        <v>High</v>
      </c>
      <c r="I4449">
        <v>9</v>
      </c>
      <c r="J4449" t="str" cm="1">
        <f t="array" ref="J4449">_xlfn.IFS(I4449&lt;=3,"small",I4449&lt;=6,"Medium",I4449&lt;=9,"Large")</f>
        <v>Large</v>
      </c>
      <c r="K4449" s="36">
        <v>44976</v>
      </c>
      <c r="L4449" s="36">
        <v>44980</v>
      </c>
      <c r="M4449" t="s">
        <v>603</v>
      </c>
      <c r="N4449" t="s">
        <v>604</v>
      </c>
      <c r="O4449" s="37" t="str">
        <f t="shared" si="348"/>
        <v>Digital Payment</v>
      </c>
      <c r="P4449">
        <v>515.02</v>
      </c>
      <c r="Q4449" s="37" t="str">
        <f>IF(P4449&gt;500,"High","low")</f>
        <v>High</v>
      </c>
      <c r="R4449" s="37" t="str">
        <f t="shared" si="349"/>
        <v>Good</v>
      </c>
      <c r="S4449" t="s">
        <v>609</v>
      </c>
    </row>
    <row r="4450" spans="1:19" x14ac:dyDescent="0.2">
      <c r="A4450" t="s">
        <v>5061</v>
      </c>
      <c r="B4450" t="s">
        <v>67</v>
      </c>
      <c r="C4450" t="s">
        <v>597</v>
      </c>
      <c r="D4450">
        <v>1941.03</v>
      </c>
      <c r="E4450" s="37" t="str">
        <f t="shared" si="345"/>
        <v xml:space="preserve"> </v>
      </c>
      <c r="F4450">
        <v>0.3</v>
      </c>
      <c r="G4450" s="37" t="str">
        <f t="shared" si="346"/>
        <v>Normal Discount</v>
      </c>
      <c r="H4450" s="37" t="str">
        <f t="shared" si="347"/>
        <v>Medium</v>
      </c>
      <c r="I4450">
        <v>2</v>
      </c>
      <c r="J4450" t="str" cm="1">
        <f t="array" ref="J4450">_xlfn.IFS(I4450&lt;=3,"small",I4450&lt;=6,"Medium",I4450&lt;=9,"Large")</f>
        <v>small</v>
      </c>
      <c r="K4450" s="36">
        <v>45579</v>
      </c>
      <c r="L4450" s="36">
        <v>45585</v>
      </c>
      <c r="M4450" t="s">
        <v>603</v>
      </c>
      <c r="N4450" t="s">
        <v>599</v>
      </c>
      <c r="O4450" s="37" t="str">
        <f t="shared" si="348"/>
        <v>Digital Payment</v>
      </c>
      <c r="P4450">
        <v>253.58</v>
      </c>
      <c r="Q4450" s="37" t="str">
        <f>IF(P4450&gt;500,"High","low")</f>
        <v>low</v>
      </c>
      <c r="R4450" s="37" t="str">
        <f t="shared" si="349"/>
        <v>AVERAGE</v>
      </c>
      <c r="S4450" t="s">
        <v>600</v>
      </c>
    </row>
    <row r="4451" spans="1:19" x14ac:dyDescent="0.2">
      <c r="A4451" t="s">
        <v>5062</v>
      </c>
      <c r="B4451" t="s">
        <v>75</v>
      </c>
      <c r="C4451" t="s">
        <v>607</v>
      </c>
      <c r="D4451">
        <v>4977.6899999999996</v>
      </c>
      <c r="E4451" s="37" t="str">
        <f t="shared" si="345"/>
        <v xml:space="preserve"> </v>
      </c>
      <c r="F4451">
        <v>0.17</v>
      </c>
      <c r="G4451" s="37" t="str">
        <f t="shared" si="346"/>
        <v>Normal Discount</v>
      </c>
      <c r="H4451" s="37" t="str">
        <f t="shared" si="347"/>
        <v>Low</v>
      </c>
      <c r="I4451">
        <v>7</v>
      </c>
      <c r="J4451" t="str" cm="1">
        <f t="array" ref="J4451">_xlfn.IFS(I4451&lt;=3,"small",I4451&lt;=6,"Medium",I4451&lt;=9,"Large")</f>
        <v>Large</v>
      </c>
      <c r="K4451" s="36">
        <v>45618</v>
      </c>
      <c r="L4451" s="36">
        <v>45622</v>
      </c>
      <c r="M4451" t="s">
        <v>598</v>
      </c>
      <c r="N4451" t="s">
        <v>608</v>
      </c>
      <c r="O4451" s="37" t="str">
        <f t="shared" si="348"/>
        <v>Cash Payment</v>
      </c>
      <c r="P4451">
        <v>322.33999999999997</v>
      </c>
      <c r="Q4451" s="37" t="str">
        <f>IF(P4451&gt;500,"High","low")</f>
        <v>low</v>
      </c>
      <c r="R4451" s="37" t="str">
        <f t="shared" si="349"/>
        <v>AVERAGE</v>
      </c>
      <c r="S4451" t="s">
        <v>615</v>
      </c>
    </row>
    <row r="4452" spans="1:19" x14ac:dyDescent="0.2">
      <c r="A4452" t="s">
        <v>5063</v>
      </c>
      <c r="B4452" t="s">
        <v>67</v>
      </c>
      <c r="C4452" t="s">
        <v>607</v>
      </c>
      <c r="D4452">
        <v>4733.1000000000004</v>
      </c>
      <c r="E4452" s="37" t="str">
        <f t="shared" si="345"/>
        <v xml:space="preserve"> </v>
      </c>
      <c r="F4452">
        <v>0.5</v>
      </c>
      <c r="G4452" s="37" t="str">
        <f t="shared" si="346"/>
        <v>Heavy Discount</v>
      </c>
      <c r="H4452" s="37" t="str">
        <f t="shared" si="347"/>
        <v>High</v>
      </c>
      <c r="I4452">
        <v>8</v>
      </c>
      <c r="J4452" t="str" cm="1">
        <f t="array" ref="J4452">_xlfn.IFS(I4452&lt;=3,"small",I4452&lt;=6,"Medium",I4452&lt;=9,"Large")</f>
        <v>Large</v>
      </c>
      <c r="K4452" s="36">
        <v>45401</v>
      </c>
      <c r="L4452" s="36">
        <v>45407</v>
      </c>
      <c r="M4452" t="s">
        <v>603</v>
      </c>
      <c r="N4452" t="s">
        <v>599</v>
      </c>
      <c r="O4452" s="37" t="str">
        <f t="shared" si="348"/>
        <v>Digital Payment</v>
      </c>
      <c r="P4452">
        <v>293.16000000000003</v>
      </c>
      <c r="Q4452" s="37" t="str">
        <f>IF(P4452&gt;500,"High","low")</f>
        <v>low</v>
      </c>
      <c r="R4452" s="37" t="str">
        <f t="shared" si="349"/>
        <v>AVERAGE</v>
      </c>
      <c r="S4452" t="s">
        <v>615</v>
      </c>
    </row>
    <row r="4453" spans="1:19" x14ac:dyDescent="0.2">
      <c r="A4453" t="s">
        <v>5064</v>
      </c>
      <c r="B4453" t="s">
        <v>67</v>
      </c>
      <c r="C4453" t="s">
        <v>597</v>
      </c>
      <c r="D4453">
        <v>163.51</v>
      </c>
      <c r="E4453" s="37" t="str">
        <f t="shared" si="345"/>
        <v xml:space="preserve"> </v>
      </c>
      <c r="F4453">
        <v>0.12</v>
      </c>
      <c r="G4453" s="37" t="str">
        <f t="shared" si="346"/>
        <v>Normal Discount</v>
      </c>
      <c r="H4453" s="37" t="str">
        <f t="shared" si="347"/>
        <v>Low</v>
      </c>
      <c r="I4453">
        <v>1</v>
      </c>
      <c r="J4453" t="str" cm="1">
        <f t="array" ref="J4453">_xlfn.IFS(I4453&lt;=3,"small",I4453&lt;=6,"Medium",I4453&lt;=9,"Large")</f>
        <v>small</v>
      </c>
      <c r="K4453" s="36">
        <v>45274</v>
      </c>
      <c r="L4453" s="36">
        <v>45275</v>
      </c>
      <c r="M4453" t="s">
        <v>598</v>
      </c>
      <c r="N4453" t="s">
        <v>599</v>
      </c>
      <c r="O4453" s="37" t="str">
        <f t="shared" si="348"/>
        <v>Digital Payment</v>
      </c>
      <c r="P4453">
        <v>39.97</v>
      </c>
      <c r="Q4453" s="37" t="str">
        <f>IF(P4453&gt;500,"High","low")</f>
        <v>low</v>
      </c>
      <c r="R4453" s="37" t="str">
        <f t="shared" si="349"/>
        <v>AVERAGE</v>
      </c>
      <c r="S4453" t="s">
        <v>628</v>
      </c>
    </row>
    <row r="4454" spans="1:19" x14ac:dyDescent="0.2">
      <c r="A4454" t="s">
        <v>5065</v>
      </c>
      <c r="B4454" t="s">
        <v>75</v>
      </c>
      <c r="C4454" t="s">
        <v>617</v>
      </c>
      <c r="D4454">
        <v>4489.1400000000003</v>
      </c>
      <c r="E4454" s="37" t="str">
        <f t="shared" si="345"/>
        <v xml:space="preserve"> </v>
      </c>
      <c r="F4454">
        <v>0.44</v>
      </c>
      <c r="G4454" s="37" t="str">
        <f t="shared" si="346"/>
        <v>Heavy Discount</v>
      </c>
      <c r="H4454" s="37" t="str">
        <f t="shared" si="347"/>
        <v>High</v>
      </c>
      <c r="I4454">
        <v>2</v>
      </c>
      <c r="J4454" t="str" cm="1">
        <f t="array" ref="J4454">_xlfn.IFS(I4454&lt;=3,"small",I4454&lt;=6,"Medium",I4454&lt;=9,"Large")</f>
        <v>small</v>
      </c>
      <c r="K4454" s="36">
        <v>45411</v>
      </c>
      <c r="L4454" s="36">
        <v>45414</v>
      </c>
      <c r="M4454" t="s">
        <v>598</v>
      </c>
      <c r="N4454" t="s">
        <v>599</v>
      </c>
      <c r="O4454" s="37" t="str">
        <f t="shared" si="348"/>
        <v>Digital Payment</v>
      </c>
      <c r="P4454">
        <v>228.14</v>
      </c>
      <c r="Q4454" s="37" t="str">
        <f>IF(P4454&gt;500,"High","low")</f>
        <v>low</v>
      </c>
      <c r="R4454" s="37" t="str">
        <f t="shared" si="349"/>
        <v>AVERAGE</v>
      </c>
      <c r="S4454" t="s">
        <v>605</v>
      </c>
    </row>
    <row r="4455" spans="1:19" x14ac:dyDescent="0.2">
      <c r="A4455" t="s">
        <v>5066</v>
      </c>
      <c r="B4455" t="s">
        <v>83</v>
      </c>
      <c r="C4455" t="s">
        <v>617</v>
      </c>
      <c r="D4455">
        <v>3434.69</v>
      </c>
      <c r="E4455" s="37" t="str">
        <f t="shared" si="345"/>
        <v xml:space="preserve"> </v>
      </c>
      <c r="F4455">
        <v>0.46</v>
      </c>
      <c r="G4455" s="37" t="str">
        <f t="shared" si="346"/>
        <v>Heavy Discount</v>
      </c>
      <c r="H4455" s="37" t="str">
        <f t="shared" si="347"/>
        <v>High</v>
      </c>
      <c r="I4455">
        <v>1</v>
      </c>
      <c r="J4455" t="str" cm="1">
        <f t="array" ref="J4455">_xlfn.IFS(I4455&lt;=3,"small",I4455&lt;=6,"Medium",I4455&lt;=9,"Large")</f>
        <v>small</v>
      </c>
      <c r="K4455" s="36">
        <v>45134</v>
      </c>
      <c r="L4455" s="36">
        <v>45139</v>
      </c>
      <c r="M4455" t="s">
        <v>603</v>
      </c>
      <c r="N4455" t="s">
        <v>608</v>
      </c>
      <c r="O4455" s="37" t="str">
        <f t="shared" si="348"/>
        <v>Cash Payment</v>
      </c>
      <c r="P4455">
        <v>418.7</v>
      </c>
      <c r="Q4455" s="37" t="str">
        <f>IF(P4455&gt;500,"High","low")</f>
        <v>low</v>
      </c>
      <c r="R4455" s="37" t="str">
        <f t="shared" si="349"/>
        <v>AVERAGE</v>
      </c>
      <c r="S4455" t="s">
        <v>609</v>
      </c>
    </row>
    <row r="4456" spans="1:19" x14ac:dyDescent="0.2">
      <c r="A4456" t="s">
        <v>5067</v>
      </c>
      <c r="B4456" t="s">
        <v>90</v>
      </c>
      <c r="C4456" t="s">
        <v>617</v>
      </c>
      <c r="D4456">
        <v>2560.2399999999998</v>
      </c>
      <c r="E4456" s="37" t="str">
        <f t="shared" si="345"/>
        <v xml:space="preserve"> </v>
      </c>
      <c r="F4456">
        <v>0.41</v>
      </c>
      <c r="G4456" s="37" t="str">
        <f t="shared" si="346"/>
        <v>Heavy Discount</v>
      </c>
      <c r="H4456" s="37" t="str">
        <f t="shared" si="347"/>
        <v>High</v>
      </c>
      <c r="I4456">
        <v>9</v>
      </c>
      <c r="J4456" t="str" cm="1">
        <f t="array" ref="J4456">_xlfn.IFS(I4456&lt;=3,"small",I4456&lt;=6,"Medium",I4456&lt;=9,"Large")</f>
        <v>Large</v>
      </c>
      <c r="K4456" s="36">
        <v>45555</v>
      </c>
      <c r="L4456" s="36">
        <v>45560</v>
      </c>
      <c r="M4456" t="s">
        <v>598</v>
      </c>
      <c r="N4456" t="s">
        <v>604</v>
      </c>
      <c r="O4456" s="37" t="str">
        <f t="shared" si="348"/>
        <v>Digital Payment</v>
      </c>
      <c r="P4456">
        <v>736.88</v>
      </c>
      <c r="Q4456" s="37" t="str">
        <f>IF(P4456&gt;500,"High","low")</f>
        <v>High</v>
      </c>
      <c r="R4456" s="37" t="str">
        <f t="shared" si="349"/>
        <v>Good</v>
      </c>
      <c r="S4456" t="s">
        <v>609</v>
      </c>
    </row>
    <row r="4457" spans="1:19" x14ac:dyDescent="0.2">
      <c r="A4457" t="s">
        <v>5068</v>
      </c>
      <c r="B4457" t="s">
        <v>75</v>
      </c>
      <c r="C4457" t="s">
        <v>602</v>
      </c>
      <c r="D4457">
        <v>2955.46</v>
      </c>
      <c r="E4457" s="37" t="str">
        <f t="shared" si="345"/>
        <v xml:space="preserve"> </v>
      </c>
      <c r="F4457">
        <v>0.06</v>
      </c>
      <c r="G4457" s="37" t="str">
        <f t="shared" si="346"/>
        <v>Normal Discount</v>
      </c>
      <c r="H4457" s="37" t="str">
        <f t="shared" si="347"/>
        <v>Low</v>
      </c>
      <c r="I4457">
        <v>5</v>
      </c>
      <c r="J4457" t="str" cm="1">
        <f t="array" ref="J4457">_xlfn.IFS(I4457&lt;=3,"small",I4457&lt;=6,"Medium",I4457&lt;=9,"Large")</f>
        <v>Medium</v>
      </c>
      <c r="K4457" s="36">
        <v>45587</v>
      </c>
      <c r="L4457" s="36">
        <v>45588</v>
      </c>
      <c r="M4457" t="s">
        <v>598</v>
      </c>
      <c r="N4457" t="s">
        <v>608</v>
      </c>
      <c r="O4457" s="37" t="str">
        <f t="shared" si="348"/>
        <v>Cash Payment</v>
      </c>
      <c r="P4457">
        <v>737.96</v>
      </c>
      <c r="Q4457" s="37" t="str">
        <f>IF(P4457&gt;500,"High","low")</f>
        <v>High</v>
      </c>
      <c r="R4457" s="37" t="str">
        <f t="shared" si="349"/>
        <v>Good</v>
      </c>
      <c r="S4457" t="s">
        <v>615</v>
      </c>
    </row>
    <row r="4458" spans="1:19" x14ac:dyDescent="0.2">
      <c r="A4458" t="s">
        <v>5069</v>
      </c>
      <c r="B4458" t="s">
        <v>90</v>
      </c>
      <c r="C4458" t="s">
        <v>607</v>
      </c>
      <c r="D4458">
        <v>4225.1000000000004</v>
      </c>
      <c r="E4458" s="37" t="str">
        <f t="shared" si="345"/>
        <v xml:space="preserve"> </v>
      </c>
      <c r="F4458">
        <v>0.43</v>
      </c>
      <c r="G4458" s="37" t="str">
        <f t="shared" si="346"/>
        <v>Heavy Discount</v>
      </c>
      <c r="H4458" s="37" t="str">
        <f t="shared" si="347"/>
        <v>High</v>
      </c>
      <c r="I4458">
        <v>4</v>
      </c>
      <c r="J4458" t="str" cm="1">
        <f t="array" ref="J4458">_xlfn.IFS(I4458&lt;=3,"small",I4458&lt;=6,"Medium",I4458&lt;=9,"Large")</f>
        <v>Medium</v>
      </c>
      <c r="K4458" s="36">
        <v>45109</v>
      </c>
      <c r="L4458" s="36">
        <v>45115</v>
      </c>
      <c r="M4458" t="s">
        <v>598</v>
      </c>
      <c r="N4458" t="s">
        <v>604</v>
      </c>
      <c r="O4458" s="37" t="str">
        <f t="shared" si="348"/>
        <v>Digital Payment</v>
      </c>
      <c r="P4458">
        <v>758.82</v>
      </c>
      <c r="Q4458" s="37" t="str">
        <f>IF(P4458&gt;500,"High","low")</f>
        <v>High</v>
      </c>
      <c r="R4458" s="37" t="str">
        <f t="shared" si="349"/>
        <v>Good</v>
      </c>
      <c r="S4458" t="s">
        <v>609</v>
      </c>
    </row>
    <row r="4459" spans="1:19" x14ac:dyDescent="0.2">
      <c r="A4459" t="s">
        <v>5070</v>
      </c>
      <c r="B4459" t="s">
        <v>75</v>
      </c>
      <c r="C4459" t="s">
        <v>597</v>
      </c>
      <c r="D4459">
        <v>4760.08</v>
      </c>
      <c r="E4459" s="37" t="str">
        <f t="shared" si="345"/>
        <v>Excellent Order</v>
      </c>
      <c r="F4459">
        <v>0.33</v>
      </c>
      <c r="G4459" s="37" t="str">
        <f t="shared" si="346"/>
        <v>Heavy Discount</v>
      </c>
      <c r="H4459" s="37" t="str">
        <f t="shared" si="347"/>
        <v>Medium</v>
      </c>
      <c r="I4459">
        <v>8</v>
      </c>
      <c r="J4459" t="str" cm="1">
        <f t="array" ref="J4459">_xlfn.IFS(I4459&lt;=3,"small",I4459&lt;=6,"Medium",I4459&lt;=9,"Large")</f>
        <v>Large</v>
      </c>
      <c r="K4459" s="36">
        <v>45448</v>
      </c>
      <c r="L4459" s="36">
        <v>45451</v>
      </c>
      <c r="M4459" t="s">
        <v>598</v>
      </c>
      <c r="N4459" t="s">
        <v>599</v>
      </c>
      <c r="O4459" s="37" t="str">
        <f t="shared" si="348"/>
        <v>Digital Payment</v>
      </c>
      <c r="P4459">
        <v>1121.22</v>
      </c>
      <c r="Q4459" s="37" t="str">
        <f>IF(P4459&gt;500,"High","low")</f>
        <v>High</v>
      </c>
      <c r="R4459" s="37" t="str">
        <f t="shared" si="349"/>
        <v>Excellent</v>
      </c>
      <c r="S4459" t="s">
        <v>605</v>
      </c>
    </row>
    <row r="4460" spans="1:19" x14ac:dyDescent="0.2">
      <c r="A4460" t="s">
        <v>5071</v>
      </c>
      <c r="B4460" t="s">
        <v>90</v>
      </c>
      <c r="C4460" t="s">
        <v>617</v>
      </c>
      <c r="D4460">
        <v>2845.63</v>
      </c>
      <c r="E4460" s="37" t="str">
        <f t="shared" si="345"/>
        <v xml:space="preserve"> </v>
      </c>
      <c r="F4460">
        <v>0.34</v>
      </c>
      <c r="G4460" s="37" t="str">
        <f t="shared" si="346"/>
        <v>Heavy Discount</v>
      </c>
      <c r="H4460" s="37" t="str">
        <f t="shared" si="347"/>
        <v>Medium</v>
      </c>
      <c r="I4460">
        <v>3</v>
      </c>
      <c r="J4460" t="str" cm="1">
        <f t="array" ref="J4460">_xlfn.IFS(I4460&lt;=3,"small",I4460&lt;=6,"Medium",I4460&lt;=9,"Large")</f>
        <v>small</v>
      </c>
      <c r="K4460" s="36">
        <v>45557</v>
      </c>
      <c r="L4460" s="36">
        <v>45562</v>
      </c>
      <c r="M4460" t="s">
        <v>603</v>
      </c>
      <c r="N4460" t="s">
        <v>604</v>
      </c>
      <c r="O4460" s="37" t="str">
        <f t="shared" si="348"/>
        <v>Digital Payment</v>
      </c>
      <c r="P4460">
        <v>813.7</v>
      </c>
      <c r="Q4460" s="37" t="str">
        <f>IF(P4460&gt;500,"High","low")</f>
        <v>High</v>
      </c>
      <c r="R4460" s="37" t="str">
        <f t="shared" si="349"/>
        <v>Good</v>
      </c>
      <c r="S4460" t="s">
        <v>605</v>
      </c>
    </row>
    <row r="4461" spans="1:19" x14ac:dyDescent="0.2">
      <c r="A4461" t="s">
        <v>5072</v>
      </c>
      <c r="B4461" t="s">
        <v>83</v>
      </c>
      <c r="C4461" t="s">
        <v>617</v>
      </c>
      <c r="D4461">
        <v>988.33</v>
      </c>
      <c r="E4461" s="37" t="str">
        <f t="shared" si="345"/>
        <v xml:space="preserve"> </v>
      </c>
      <c r="F4461">
        <v>0.39</v>
      </c>
      <c r="G4461" s="37" t="str">
        <f t="shared" si="346"/>
        <v>Heavy Discount</v>
      </c>
      <c r="H4461" s="37" t="str">
        <f t="shared" si="347"/>
        <v>Medium</v>
      </c>
      <c r="I4461">
        <v>8</v>
      </c>
      <c r="J4461" t="str" cm="1">
        <f t="array" ref="J4461">_xlfn.IFS(I4461&lt;=3,"small",I4461&lt;=6,"Medium",I4461&lt;=9,"Large")</f>
        <v>Large</v>
      </c>
      <c r="K4461" s="36">
        <v>45018</v>
      </c>
      <c r="L4461" s="36">
        <v>45025</v>
      </c>
      <c r="M4461" t="s">
        <v>598</v>
      </c>
      <c r="N4461" t="s">
        <v>608</v>
      </c>
      <c r="O4461" s="37" t="str">
        <f t="shared" si="348"/>
        <v>Cash Payment</v>
      </c>
      <c r="P4461">
        <v>281.64</v>
      </c>
      <c r="Q4461" s="37" t="str">
        <f>IF(P4461&gt;500,"High","low")</f>
        <v>low</v>
      </c>
      <c r="R4461" s="37" t="str">
        <f t="shared" si="349"/>
        <v>AVERAGE</v>
      </c>
      <c r="S4461" t="s">
        <v>628</v>
      </c>
    </row>
    <row r="4462" spans="1:19" x14ac:dyDescent="0.2">
      <c r="A4462" t="s">
        <v>5073</v>
      </c>
      <c r="B4462" t="s">
        <v>83</v>
      </c>
      <c r="C4462" t="s">
        <v>597</v>
      </c>
      <c r="D4462">
        <v>3234.79</v>
      </c>
      <c r="E4462" s="37" t="str">
        <f t="shared" si="345"/>
        <v xml:space="preserve"> </v>
      </c>
      <c r="F4462">
        <v>0.25</v>
      </c>
      <c r="G4462" s="37" t="str">
        <f t="shared" si="346"/>
        <v>Normal Discount</v>
      </c>
      <c r="H4462" s="37" t="str">
        <f t="shared" si="347"/>
        <v>Medium</v>
      </c>
      <c r="I4462">
        <v>3</v>
      </c>
      <c r="J4462" t="str" cm="1">
        <f t="array" ref="J4462">_xlfn.IFS(I4462&lt;=3,"small",I4462&lt;=6,"Medium",I4462&lt;=9,"Large")</f>
        <v>small</v>
      </c>
      <c r="K4462" s="36">
        <v>45595</v>
      </c>
      <c r="L4462" s="36">
        <v>45599</v>
      </c>
      <c r="M4462" t="s">
        <v>603</v>
      </c>
      <c r="N4462" t="s">
        <v>608</v>
      </c>
      <c r="O4462" s="37" t="str">
        <f t="shared" si="348"/>
        <v>Cash Payment</v>
      </c>
      <c r="P4462">
        <v>522.28</v>
      </c>
      <c r="Q4462" s="37" t="str">
        <f>IF(P4462&gt;500,"High","low")</f>
        <v>High</v>
      </c>
      <c r="R4462" s="37" t="str">
        <f t="shared" si="349"/>
        <v>Good</v>
      </c>
      <c r="S4462" t="s">
        <v>605</v>
      </c>
    </row>
    <row r="4463" spans="1:19" x14ac:dyDescent="0.2">
      <c r="A4463" t="s">
        <v>5074</v>
      </c>
      <c r="B4463" t="s">
        <v>75</v>
      </c>
      <c r="C4463" t="s">
        <v>607</v>
      </c>
      <c r="D4463">
        <v>473.47</v>
      </c>
      <c r="E4463" s="37" t="str">
        <f t="shared" si="345"/>
        <v xml:space="preserve"> </v>
      </c>
      <c r="F4463">
        <v>0.13</v>
      </c>
      <c r="G4463" s="37" t="str">
        <f t="shared" si="346"/>
        <v>Normal Discount</v>
      </c>
      <c r="H4463" s="37" t="str">
        <f t="shared" si="347"/>
        <v>Low</v>
      </c>
      <c r="I4463">
        <v>6</v>
      </c>
      <c r="J4463" t="str" cm="1">
        <f t="array" ref="J4463">_xlfn.IFS(I4463&lt;=3,"small",I4463&lt;=6,"Medium",I4463&lt;=9,"Large")</f>
        <v>Medium</v>
      </c>
      <c r="K4463" s="36">
        <v>45037</v>
      </c>
      <c r="L4463" s="36">
        <v>45041</v>
      </c>
      <c r="M4463" t="s">
        <v>612</v>
      </c>
      <c r="N4463" t="s">
        <v>608</v>
      </c>
      <c r="O4463" s="37" t="str">
        <f t="shared" si="348"/>
        <v>Cash Payment</v>
      </c>
      <c r="P4463">
        <v>61.84</v>
      </c>
      <c r="Q4463" s="37" t="str">
        <f>IF(P4463&gt;500,"High","low")</f>
        <v>low</v>
      </c>
      <c r="R4463" s="37" t="str">
        <f t="shared" si="349"/>
        <v>AVERAGE</v>
      </c>
      <c r="S4463" t="s">
        <v>628</v>
      </c>
    </row>
    <row r="4464" spans="1:19" x14ac:dyDescent="0.2">
      <c r="A4464" t="s">
        <v>5075</v>
      </c>
      <c r="B4464" t="s">
        <v>67</v>
      </c>
      <c r="C4464" t="s">
        <v>597</v>
      </c>
      <c r="D4464">
        <v>3212.18</v>
      </c>
      <c r="E4464" s="37" t="str">
        <f t="shared" si="345"/>
        <v xml:space="preserve"> </v>
      </c>
      <c r="F4464">
        <v>0.28999999999999998</v>
      </c>
      <c r="G4464" s="37" t="str">
        <f t="shared" si="346"/>
        <v>Normal Discount</v>
      </c>
      <c r="H4464" s="37" t="str">
        <f t="shared" si="347"/>
        <v>Medium</v>
      </c>
      <c r="I4464">
        <v>4</v>
      </c>
      <c r="J4464" t="str" cm="1">
        <f t="array" ref="J4464">_xlfn.IFS(I4464&lt;=3,"small",I4464&lt;=6,"Medium",I4464&lt;=9,"Large")</f>
        <v>Medium</v>
      </c>
      <c r="K4464" s="36">
        <v>45321</v>
      </c>
      <c r="L4464" s="36">
        <v>45326</v>
      </c>
      <c r="M4464" t="s">
        <v>603</v>
      </c>
      <c r="N4464" t="s">
        <v>604</v>
      </c>
      <c r="O4464" s="37" t="str">
        <f t="shared" si="348"/>
        <v>Digital Payment</v>
      </c>
      <c r="P4464">
        <v>761.39</v>
      </c>
      <c r="Q4464" s="37" t="str">
        <f>IF(P4464&gt;500,"High","low")</f>
        <v>High</v>
      </c>
      <c r="R4464" s="37" t="str">
        <f t="shared" si="349"/>
        <v>Good</v>
      </c>
      <c r="S4464" t="s">
        <v>609</v>
      </c>
    </row>
    <row r="4465" spans="1:19" x14ac:dyDescent="0.2">
      <c r="A4465" t="s">
        <v>5076</v>
      </c>
      <c r="B4465" t="s">
        <v>90</v>
      </c>
      <c r="C4465" t="s">
        <v>602</v>
      </c>
      <c r="D4465">
        <v>4062.2</v>
      </c>
      <c r="E4465" s="37" t="str">
        <f t="shared" si="345"/>
        <v xml:space="preserve"> </v>
      </c>
      <c r="F4465">
        <v>0.05</v>
      </c>
      <c r="G4465" s="37" t="str">
        <f t="shared" si="346"/>
        <v>Normal Discount</v>
      </c>
      <c r="H4465" s="37" t="str">
        <f t="shared" si="347"/>
        <v>Low</v>
      </c>
      <c r="I4465">
        <v>8</v>
      </c>
      <c r="J4465" t="str" cm="1">
        <f t="array" ref="J4465">_xlfn.IFS(I4465&lt;=3,"small",I4465&lt;=6,"Medium",I4465&lt;=9,"Large")</f>
        <v>Large</v>
      </c>
      <c r="K4465" s="36">
        <v>44956</v>
      </c>
      <c r="L4465" s="36">
        <v>44962</v>
      </c>
      <c r="M4465" t="s">
        <v>598</v>
      </c>
      <c r="N4465" t="s">
        <v>604</v>
      </c>
      <c r="O4465" s="37" t="str">
        <f t="shared" si="348"/>
        <v>Digital Payment</v>
      </c>
      <c r="P4465">
        <v>619.66999999999996</v>
      </c>
      <c r="Q4465" s="37" t="str">
        <f>IF(P4465&gt;500,"High","low")</f>
        <v>High</v>
      </c>
      <c r="R4465" s="37" t="str">
        <f t="shared" si="349"/>
        <v>Good</v>
      </c>
      <c r="S4465" t="s">
        <v>628</v>
      </c>
    </row>
    <row r="4466" spans="1:19" x14ac:dyDescent="0.2">
      <c r="A4466" t="s">
        <v>5077</v>
      </c>
      <c r="B4466" t="s">
        <v>67</v>
      </c>
      <c r="C4466" t="s">
        <v>602</v>
      </c>
      <c r="D4466">
        <v>1831.32</v>
      </c>
      <c r="E4466" s="37" t="str">
        <f t="shared" si="345"/>
        <v xml:space="preserve"> </v>
      </c>
      <c r="F4466">
        <v>0.34</v>
      </c>
      <c r="G4466" s="37" t="str">
        <f t="shared" si="346"/>
        <v>Heavy Discount</v>
      </c>
      <c r="H4466" s="37" t="str">
        <f t="shared" si="347"/>
        <v>Medium</v>
      </c>
      <c r="I4466">
        <v>7</v>
      </c>
      <c r="J4466" t="str" cm="1">
        <f t="array" ref="J4466">_xlfn.IFS(I4466&lt;=3,"small",I4466&lt;=6,"Medium",I4466&lt;=9,"Large")</f>
        <v>Large</v>
      </c>
      <c r="K4466" s="36">
        <v>45606</v>
      </c>
      <c r="L4466" s="36">
        <v>45609</v>
      </c>
      <c r="M4466" t="s">
        <v>598</v>
      </c>
      <c r="N4466" t="s">
        <v>608</v>
      </c>
      <c r="O4466" s="37" t="str">
        <f t="shared" si="348"/>
        <v>Cash Payment</v>
      </c>
      <c r="P4466">
        <v>162.44</v>
      </c>
      <c r="Q4466" s="37" t="str">
        <f>IF(P4466&gt;500,"High","low")</f>
        <v>low</v>
      </c>
      <c r="R4466" s="37" t="str">
        <f t="shared" si="349"/>
        <v>AVERAGE</v>
      </c>
      <c r="S4466" t="s">
        <v>605</v>
      </c>
    </row>
    <row r="4467" spans="1:19" x14ac:dyDescent="0.2">
      <c r="A4467" t="s">
        <v>5078</v>
      </c>
      <c r="B4467" t="s">
        <v>67</v>
      </c>
      <c r="C4467" t="s">
        <v>597</v>
      </c>
      <c r="D4467">
        <v>448.8</v>
      </c>
      <c r="E4467" s="37" t="str">
        <f t="shared" si="345"/>
        <v xml:space="preserve"> </v>
      </c>
      <c r="F4467">
        <v>0.24</v>
      </c>
      <c r="G4467" s="37" t="str">
        <f t="shared" si="346"/>
        <v>Normal Discount</v>
      </c>
      <c r="H4467" s="37" t="str">
        <f t="shared" si="347"/>
        <v>Medium</v>
      </c>
      <c r="I4467">
        <v>5</v>
      </c>
      <c r="J4467" t="str" cm="1">
        <f t="array" ref="J4467">_xlfn.IFS(I4467&lt;=3,"small",I4467&lt;=6,"Medium",I4467&lt;=9,"Large")</f>
        <v>Medium</v>
      </c>
      <c r="K4467" s="36">
        <v>45401</v>
      </c>
      <c r="L4467" s="36">
        <v>45406</v>
      </c>
      <c r="M4467" t="s">
        <v>612</v>
      </c>
      <c r="N4467" t="s">
        <v>608</v>
      </c>
      <c r="O4467" s="37" t="str">
        <f t="shared" si="348"/>
        <v>Cash Payment</v>
      </c>
      <c r="P4467">
        <v>44.18</v>
      </c>
      <c r="Q4467" s="37" t="str">
        <f>IF(P4467&gt;500,"High","low")</f>
        <v>low</v>
      </c>
      <c r="R4467" s="37" t="str">
        <f t="shared" si="349"/>
        <v>AVERAGE</v>
      </c>
      <c r="S4467" t="s">
        <v>609</v>
      </c>
    </row>
    <row r="4468" spans="1:19" x14ac:dyDescent="0.2">
      <c r="A4468" t="s">
        <v>5079</v>
      </c>
      <c r="B4468" t="s">
        <v>67</v>
      </c>
      <c r="C4468" t="s">
        <v>607</v>
      </c>
      <c r="D4468">
        <v>3491.91</v>
      </c>
      <c r="E4468" s="37" t="str">
        <f t="shared" si="345"/>
        <v xml:space="preserve"> </v>
      </c>
      <c r="F4468">
        <v>0.25</v>
      </c>
      <c r="G4468" s="37" t="str">
        <f t="shared" si="346"/>
        <v>Normal Discount</v>
      </c>
      <c r="H4468" s="37" t="str">
        <f t="shared" si="347"/>
        <v>Medium</v>
      </c>
      <c r="I4468">
        <v>3</v>
      </c>
      <c r="J4468" t="str" cm="1">
        <f t="array" ref="J4468">_xlfn.IFS(I4468&lt;=3,"small",I4468&lt;=6,"Medium",I4468&lt;=9,"Large")</f>
        <v>small</v>
      </c>
      <c r="K4468" s="36">
        <v>45103</v>
      </c>
      <c r="L4468" s="36">
        <v>45104</v>
      </c>
      <c r="M4468" t="s">
        <v>612</v>
      </c>
      <c r="N4468" t="s">
        <v>604</v>
      </c>
      <c r="O4468" s="37" t="str">
        <f t="shared" si="348"/>
        <v>Digital Payment</v>
      </c>
      <c r="P4468">
        <v>648.72</v>
      </c>
      <c r="Q4468" s="37" t="str">
        <f>IF(P4468&gt;500,"High","low")</f>
        <v>High</v>
      </c>
      <c r="R4468" s="37" t="str">
        <f t="shared" si="349"/>
        <v>Good</v>
      </c>
      <c r="S4468" t="s">
        <v>605</v>
      </c>
    </row>
    <row r="4469" spans="1:19" x14ac:dyDescent="0.2">
      <c r="A4469" t="s">
        <v>5080</v>
      </c>
      <c r="B4469" t="s">
        <v>83</v>
      </c>
      <c r="C4469" t="s">
        <v>617</v>
      </c>
      <c r="D4469">
        <v>1762.71</v>
      </c>
      <c r="E4469" s="37" t="str">
        <f t="shared" si="345"/>
        <v xml:space="preserve"> </v>
      </c>
      <c r="F4469">
        <v>0.09</v>
      </c>
      <c r="G4469" s="37" t="str">
        <f t="shared" si="346"/>
        <v>Normal Discount</v>
      </c>
      <c r="H4469" s="37" t="str">
        <f t="shared" si="347"/>
        <v>Low</v>
      </c>
      <c r="I4469">
        <v>5</v>
      </c>
      <c r="J4469" t="str" cm="1">
        <f t="array" ref="J4469">_xlfn.IFS(I4469&lt;=3,"small",I4469&lt;=6,"Medium",I4469&lt;=9,"Large")</f>
        <v>Medium</v>
      </c>
      <c r="K4469" s="36">
        <v>45569</v>
      </c>
      <c r="L4469" s="36">
        <v>45572</v>
      </c>
      <c r="M4469" t="s">
        <v>603</v>
      </c>
      <c r="N4469" t="s">
        <v>599</v>
      </c>
      <c r="O4469" s="37" t="str">
        <f t="shared" si="348"/>
        <v>Digital Payment</v>
      </c>
      <c r="P4469">
        <v>312.52</v>
      </c>
      <c r="Q4469" s="37" t="str">
        <f>IF(P4469&gt;500,"High","low")</f>
        <v>low</v>
      </c>
      <c r="R4469" s="37" t="str">
        <f t="shared" si="349"/>
        <v>AVERAGE</v>
      </c>
      <c r="S4469" t="s">
        <v>609</v>
      </c>
    </row>
    <row r="4470" spans="1:19" x14ac:dyDescent="0.2">
      <c r="A4470" t="s">
        <v>5081</v>
      </c>
      <c r="B4470" t="s">
        <v>75</v>
      </c>
      <c r="C4470" t="s">
        <v>602</v>
      </c>
      <c r="D4470">
        <v>1320.57</v>
      </c>
      <c r="E4470" s="37" t="str">
        <f t="shared" si="345"/>
        <v xml:space="preserve"> </v>
      </c>
      <c r="F4470">
        <v>0.02</v>
      </c>
      <c r="G4470" s="37" t="str">
        <f t="shared" si="346"/>
        <v>Normal Discount</v>
      </c>
      <c r="H4470" s="37" t="str">
        <f t="shared" si="347"/>
        <v>Low</v>
      </c>
      <c r="I4470">
        <v>4</v>
      </c>
      <c r="J4470" t="str" cm="1">
        <f t="array" ref="J4470">_xlfn.IFS(I4470&lt;=3,"small",I4470&lt;=6,"Medium",I4470&lt;=9,"Large")</f>
        <v>Medium</v>
      </c>
      <c r="K4470" s="36">
        <v>45439</v>
      </c>
      <c r="L4470" s="36">
        <v>45444</v>
      </c>
      <c r="M4470" t="s">
        <v>612</v>
      </c>
      <c r="N4470" t="s">
        <v>608</v>
      </c>
      <c r="O4470" s="37" t="str">
        <f t="shared" si="348"/>
        <v>Cash Payment</v>
      </c>
      <c r="P4470">
        <v>219</v>
      </c>
      <c r="Q4470" s="37" t="str">
        <f>IF(P4470&gt;500,"High","low")</f>
        <v>low</v>
      </c>
      <c r="R4470" s="37" t="str">
        <f t="shared" si="349"/>
        <v>AVERAGE</v>
      </c>
      <c r="S4470" t="s">
        <v>620</v>
      </c>
    </row>
    <row r="4471" spans="1:19" x14ac:dyDescent="0.2">
      <c r="A4471" t="s">
        <v>5082</v>
      </c>
      <c r="B4471" t="s">
        <v>75</v>
      </c>
      <c r="C4471" t="s">
        <v>602</v>
      </c>
      <c r="D4471">
        <v>3476.99</v>
      </c>
      <c r="E4471" s="37" t="str">
        <f t="shared" si="345"/>
        <v xml:space="preserve"> </v>
      </c>
      <c r="F4471">
        <v>0.31</v>
      </c>
      <c r="G4471" s="37" t="str">
        <f t="shared" si="346"/>
        <v>Heavy Discount</v>
      </c>
      <c r="H4471" s="37" t="str">
        <f t="shared" si="347"/>
        <v>Medium</v>
      </c>
      <c r="I4471">
        <v>8</v>
      </c>
      <c r="J4471" t="str" cm="1">
        <f t="array" ref="J4471">_xlfn.IFS(I4471&lt;=3,"small",I4471&lt;=6,"Medium",I4471&lt;=9,"Large")</f>
        <v>Large</v>
      </c>
      <c r="K4471" s="36">
        <v>45214</v>
      </c>
      <c r="L4471" s="36">
        <v>45221</v>
      </c>
      <c r="M4471" t="s">
        <v>598</v>
      </c>
      <c r="N4471" t="s">
        <v>604</v>
      </c>
      <c r="O4471" s="37" t="str">
        <f t="shared" si="348"/>
        <v>Digital Payment</v>
      </c>
      <c r="P4471">
        <v>495.52</v>
      </c>
      <c r="Q4471" s="37" t="str">
        <f>IF(P4471&gt;500,"High","low")</f>
        <v>low</v>
      </c>
      <c r="R4471" s="37" t="str">
        <f t="shared" si="349"/>
        <v>AVERAGE</v>
      </c>
      <c r="S4471" t="s">
        <v>615</v>
      </c>
    </row>
    <row r="4472" spans="1:19" x14ac:dyDescent="0.2">
      <c r="A4472" t="s">
        <v>5083</v>
      </c>
      <c r="B4472" t="s">
        <v>83</v>
      </c>
      <c r="C4472" t="s">
        <v>607</v>
      </c>
      <c r="D4472">
        <v>4850.97</v>
      </c>
      <c r="E4472" s="37" t="str">
        <f t="shared" si="345"/>
        <v xml:space="preserve"> </v>
      </c>
      <c r="F4472">
        <v>0.33</v>
      </c>
      <c r="G4472" s="37" t="str">
        <f t="shared" si="346"/>
        <v>Heavy Discount</v>
      </c>
      <c r="H4472" s="37" t="str">
        <f t="shared" si="347"/>
        <v>Medium</v>
      </c>
      <c r="I4472">
        <v>5</v>
      </c>
      <c r="J4472" t="str" cm="1">
        <f t="array" ref="J4472">_xlfn.IFS(I4472&lt;=3,"small",I4472&lt;=6,"Medium",I4472&lt;=9,"Large")</f>
        <v>Medium</v>
      </c>
      <c r="K4472" s="36">
        <v>45221</v>
      </c>
      <c r="L4472" s="36">
        <v>45225</v>
      </c>
      <c r="M4472" t="s">
        <v>603</v>
      </c>
      <c r="N4472" t="s">
        <v>608</v>
      </c>
      <c r="O4472" s="37" t="str">
        <f t="shared" si="348"/>
        <v>Cash Payment</v>
      </c>
      <c r="P4472">
        <v>636.80999999999995</v>
      </c>
      <c r="Q4472" s="37" t="str">
        <f>IF(P4472&gt;500,"High","low")</f>
        <v>High</v>
      </c>
      <c r="R4472" s="37" t="str">
        <f t="shared" si="349"/>
        <v>Good</v>
      </c>
      <c r="S4472" t="s">
        <v>600</v>
      </c>
    </row>
    <row r="4473" spans="1:19" x14ac:dyDescent="0.2">
      <c r="A4473" t="s">
        <v>5084</v>
      </c>
      <c r="B4473" t="s">
        <v>83</v>
      </c>
      <c r="C4473" t="s">
        <v>602</v>
      </c>
      <c r="D4473">
        <v>3752.08</v>
      </c>
      <c r="E4473" s="37" t="str">
        <f t="shared" si="345"/>
        <v xml:space="preserve"> </v>
      </c>
      <c r="F4473">
        <v>0.25</v>
      </c>
      <c r="G4473" s="37" t="str">
        <f t="shared" si="346"/>
        <v>Normal Discount</v>
      </c>
      <c r="H4473" s="37" t="str">
        <f t="shared" si="347"/>
        <v>Medium</v>
      </c>
      <c r="I4473">
        <v>5</v>
      </c>
      <c r="J4473" t="str" cm="1">
        <f t="array" ref="J4473">_xlfn.IFS(I4473&lt;=3,"small",I4473&lt;=6,"Medium",I4473&lt;=9,"Large")</f>
        <v>Medium</v>
      </c>
      <c r="K4473" s="36">
        <v>45523</v>
      </c>
      <c r="L4473" s="36">
        <v>45526</v>
      </c>
      <c r="M4473" t="s">
        <v>598</v>
      </c>
      <c r="N4473" t="s">
        <v>599</v>
      </c>
      <c r="O4473" s="37" t="str">
        <f t="shared" si="348"/>
        <v>Digital Payment</v>
      </c>
      <c r="P4473">
        <v>364.17</v>
      </c>
      <c r="Q4473" s="37" t="str">
        <f>IF(P4473&gt;500,"High","low")</f>
        <v>low</v>
      </c>
      <c r="R4473" s="37" t="str">
        <f t="shared" si="349"/>
        <v>AVERAGE</v>
      </c>
      <c r="S4473" t="s">
        <v>628</v>
      </c>
    </row>
    <row r="4474" spans="1:19" x14ac:dyDescent="0.2">
      <c r="A4474" t="s">
        <v>5085</v>
      </c>
      <c r="B4474" t="s">
        <v>75</v>
      </c>
      <c r="C4474" t="s">
        <v>602</v>
      </c>
      <c r="D4474">
        <v>2507.62</v>
      </c>
      <c r="E4474" s="37" t="str">
        <f t="shared" si="345"/>
        <v xml:space="preserve"> </v>
      </c>
      <c r="F4474">
        <v>0.38</v>
      </c>
      <c r="G4474" s="37" t="str">
        <f t="shared" si="346"/>
        <v>Heavy Discount</v>
      </c>
      <c r="H4474" s="37" t="str">
        <f t="shared" si="347"/>
        <v>Medium</v>
      </c>
      <c r="I4474">
        <v>2</v>
      </c>
      <c r="J4474" t="str" cm="1">
        <f t="array" ref="J4474">_xlfn.IFS(I4474&lt;=3,"small",I4474&lt;=6,"Medium",I4474&lt;=9,"Large")</f>
        <v>small</v>
      </c>
      <c r="K4474" s="36">
        <v>45056</v>
      </c>
      <c r="L4474" s="36">
        <v>45058</v>
      </c>
      <c r="M4474" t="s">
        <v>598</v>
      </c>
      <c r="N4474" t="s">
        <v>599</v>
      </c>
      <c r="O4474" s="37" t="str">
        <f t="shared" si="348"/>
        <v>Digital Payment</v>
      </c>
      <c r="P4474">
        <v>552.83000000000004</v>
      </c>
      <c r="Q4474" s="37" t="str">
        <f>IF(P4474&gt;500,"High","low")</f>
        <v>High</v>
      </c>
      <c r="R4474" s="37" t="str">
        <f t="shared" si="349"/>
        <v>Good</v>
      </c>
      <c r="S4474" t="s">
        <v>615</v>
      </c>
    </row>
    <row r="4475" spans="1:19" x14ac:dyDescent="0.2">
      <c r="A4475" t="s">
        <v>5086</v>
      </c>
      <c r="B4475" t="s">
        <v>67</v>
      </c>
      <c r="C4475" t="s">
        <v>607</v>
      </c>
      <c r="D4475">
        <v>3042.5</v>
      </c>
      <c r="E4475" s="37" t="str">
        <f t="shared" si="345"/>
        <v xml:space="preserve"> </v>
      </c>
      <c r="F4475">
        <v>0.28000000000000003</v>
      </c>
      <c r="G4475" s="37" t="str">
        <f t="shared" si="346"/>
        <v>Normal Discount</v>
      </c>
      <c r="H4475" s="37" t="str">
        <f t="shared" si="347"/>
        <v>Medium</v>
      </c>
      <c r="I4475">
        <v>9</v>
      </c>
      <c r="J4475" t="str" cm="1">
        <f t="array" ref="J4475">_xlfn.IFS(I4475&lt;=3,"small",I4475&lt;=6,"Medium",I4475&lt;=9,"Large")</f>
        <v>Large</v>
      </c>
      <c r="K4475" s="36">
        <v>45640</v>
      </c>
      <c r="L4475" s="36">
        <v>45643</v>
      </c>
      <c r="M4475" t="s">
        <v>598</v>
      </c>
      <c r="N4475" t="s">
        <v>599</v>
      </c>
      <c r="O4475" s="37" t="str">
        <f t="shared" si="348"/>
        <v>Digital Payment</v>
      </c>
      <c r="P4475">
        <v>534.79999999999995</v>
      </c>
      <c r="Q4475" s="37" t="str">
        <f>IF(P4475&gt;500,"High","low")</f>
        <v>High</v>
      </c>
      <c r="R4475" s="37" t="str">
        <f t="shared" si="349"/>
        <v>Good</v>
      </c>
      <c r="S4475" t="s">
        <v>628</v>
      </c>
    </row>
    <row r="4476" spans="1:19" x14ac:dyDescent="0.2">
      <c r="A4476" t="s">
        <v>5087</v>
      </c>
      <c r="B4476" t="s">
        <v>90</v>
      </c>
      <c r="C4476" t="s">
        <v>597</v>
      </c>
      <c r="D4476">
        <v>797.17</v>
      </c>
      <c r="E4476" s="37" t="str">
        <f t="shared" si="345"/>
        <v xml:space="preserve"> </v>
      </c>
      <c r="F4476">
        <v>0.42</v>
      </c>
      <c r="G4476" s="37" t="str">
        <f t="shared" si="346"/>
        <v>Heavy Discount</v>
      </c>
      <c r="H4476" s="37" t="str">
        <f t="shared" si="347"/>
        <v>High</v>
      </c>
      <c r="I4476">
        <v>6</v>
      </c>
      <c r="J4476" t="str" cm="1">
        <f t="array" ref="J4476">_xlfn.IFS(I4476&lt;=3,"small",I4476&lt;=6,"Medium",I4476&lt;=9,"Large")</f>
        <v>Medium</v>
      </c>
      <c r="K4476" s="36">
        <v>45597</v>
      </c>
      <c r="L4476" s="36">
        <v>45601</v>
      </c>
      <c r="M4476" t="s">
        <v>598</v>
      </c>
      <c r="N4476" t="s">
        <v>604</v>
      </c>
      <c r="O4476" s="37" t="str">
        <f t="shared" si="348"/>
        <v>Digital Payment</v>
      </c>
      <c r="P4476">
        <v>113.47</v>
      </c>
      <c r="Q4476" s="37" t="str">
        <f>IF(P4476&gt;500,"High","low")</f>
        <v>low</v>
      </c>
      <c r="R4476" s="37" t="str">
        <f t="shared" si="349"/>
        <v>AVERAGE</v>
      </c>
      <c r="S4476" t="s">
        <v>600</v>
      </c>
    </row>
    <row r="4477" spans="1:19" x14ac:dyDescent="0.2">
      <c r="A4477" t="s">
        <v>5088</v>
      </c>
      <c r="B4477" t="s">
        <v>90</v>
      </c>
      <c r="C4477" t="s">
        <v>617</v>
      </c>
      <c r="D4477">
        <v>4084.75</v>
      </c>
      <c r="E4477" s="37" t="str">
        <f t="shared" si="345"/>
        <v>Excellent Order</v>
      </c>
      <c r="F4477">
        <v>0.14000000000000001</v>
      </c>
      <c r="G4477" s="37" t="str">
        <f t="shared" si="346"/>
        <v>Normal Discount</v>
      </c>
      <c r="H4477" s="37" t="str">
        <f t="shared" si="347"/>
        <v>Low</v>
      </c>
      <c r="I4477">
        <v>1</v>
      </c>
      <c r="J4477" t="str" cm="1">
        <f t="array" ref="J4477">_xlfn.IFS(I4477&lt;=3,"small",I4477&lt;=6,"Medium",I4477&lt;=9,"Large")</f>
        <v>small</v>
      </c>
      <c r="K4477" s="36">
        <v>45584</v>
      </c>
      <c r="L4477" s="36">
        <v>45591</v>
      </c>
      <c r="M4477" t="s">
        <v>612</v>
      </c>
      <c r="N4477" t="s">
        <v>599</v>
      </c>
      <c r="O4477" s="37" t="str">
        <f t="shared" si="348"/>
        <v>Digital Payment</v>
      </c>
      <c r="P4477">
        <v>998.1</v>
      </c>
      <c r="Q4477" s="37" t="str">
        <f>IF(P4477&gt;500,"High","low")</f>
        <v>High</v>
      </c>
      <c r="R4477" s="37" t="str">
        <f t="shared" si="349"/>
        <v>Good</v>
      </c>
      <c r="S4477" t="s">
        <v>609</v>
      </c>
    </row>
    <row r="4478" spans="1:19" x14ac:dyDescent="0.2">
      <c r="A4478" t="s">
        <v>5089</v>
      </c>
      <c r="B4478" t="s">
        <v>90</v>
      </c>
      <c r="C4478" t="s">
        <v>617</v>
      </c>
      <c r="D4478">
        <v>3061.05</v>
      </c>
      <c r="E4478" s="37" t="str">
        <f t="shared" si="345"/>
        <v xml:space="preserve"> </v>
      </c>
      <c r="F4478">
        <v>0.12</v>
      </c>
      <c r="G4478" s="37" t="str">
        <f t="shared" si="346"/>
        <v>Normal Discount</v>
      </c>
      <c r="H4478" s="37" t="str">
        <f t="shared" si="347"/>
        <v>Low</v>
      </c>
      <c r="I4478">
        <v>3</v>
      </c>
      <c r="J4478" t="str" cm="1">
        <f t="array" ref="J4478">_xlfn.IFS(I4478&lt;=3,"small",I4478&lt;=6,"Medium",I4478&lt;=9,"Large")</f>
        <v>small</v>
      </c>
      <c r="K4478" s="36">
        <v>45061</v>
      </c>
      <c r="L4478" s="36">
        <v>45064</v>
      </c>
      <c r="M4478" t="s">
        <v>603</v>
      </c>
      <c r="N4478" t="s">
        <v>608</v>
      </c>
      <c r="O4478" s="37" t="str">
        <f t="shared" si="348"/>
        <v>Cash Payment</v>
      </c>
      <c r="P4478">
        <v>637.01</v>
      </c>
      <c r="Q4478" s="37" t="str">
        <f>IF(P4478&gt;500,"High","low")</f>
        <v>High</v>
      </c>
      <c r="R4478" s="37" t="str">
        <f t="shared" si="349"/>
        <v>Good</v>
      </c>
      <c r="S4478" t="s">
        <v>615</v>
      </c>
    </row>
    <row r="4479" spans="1:19" x14ac:dyDescent="0.2">
      <c r="A4479" t="s">
        <v>5090</v>
      </c>
      <c r="B4479" t="s">
        <v>67</v>
      </c>
      <c r="C4479" t="s">
        <v>602</v>
      </c>
      <c r="D4479">
        <v>4832.57</v>
      </c>
      <c r="E4479" s="37" t="str">
        <f t="shared" si="345"/>
        <v>Excellent Order</v>
      </c>
      <c r="F4479">
        <v>0.13</v>
      </c>
      <c r="G4479" s="37" t="str">
        <f t="shared" si="346"/>
        <v>Normal Discount</v>
      </c>
      <c r="H4479" s="37" t="str">
        <f t="shared" si="347"/>
        <v>Low</v>
      </c>
      <c r="I4479">
        <v>4</v>
      </c>
      <c r="J4479" t="str" cm="1">
        <f t="array" ref="J4479">_xlfn.IFS(I4479&lt;=3,"small",I4479&lt;=6,"Medium",I4479&lt;=9,"Large")</f>
        <v>Medium</v>
      </c>
      <c r="K4479" s="36">
        <v>45339</v>
      </c>
      <c r="L4479" s="36">
        <v>45340</v>
      </c>
      <c r="M4479" t="s">
        <v>598</v>
      </c>
      <c r="N4479" t="s">
        <v>599</v>
      </c>
      <c r="O4479" s="37" t="str">
        <f t="shared" si="348"/>
        <v>Digital Payment</v>
      </c>
      <c r="P4479">
        <v>1154.53</v>
      </c>
      <c r="Q4479" s="37" t="str">
        <f>IF(P4479&gt;500,"High","low")</f>
        <v>High</v>
      </c>
      <c r="R4479" s="37" t="str">
        <f t="shared" si="349"/>
        <v>Excellent</v>
      </c>
      <c r="S4479" t="s">
        <v>600</v>
      </c>
    </row>
    <row r="4480" spans="1:19" x14ac:dyDescent="0.2">
      <c r="A4480" t="s">
        <v>5091</v>
      </c>
      <c r="B4480" t="s">
        <v>75</v>
      </c>
      <c r="C4480" t="s">
        <v>617</v>
      </c>
      <c r="D4480">
        <v>4899.47</v>
      </c>
      <c r="E4480" s="37" t="str">
        <f t="shared" si="345"/>
        <v>Excellent Order</v>
      </c>
      <c r="F4480">
        <v>0.02</v>
      </c>
      <c r="G4480" s="37" t="str">
        <f t="shared" si="346"/>
        <v>Normal Discount</v>
      </c>
      <c r="H4480" s="37" t="str">
        <f t="shared" si="347"/>
        <v>Low</v>
      </c>
      <c r="I4480">
        <v>2</v>
      </c>
      <c r="J4480" t="str" cm="1">
        <f t="array" ref="J4480">_xlfn.IFS(I4480&lt;=3,"small",I4480&lt;=6,"Medium",I4480&lt;=9,"Large")</f>
        <v>small</v>
      </c>
      <c r="K4480" s="36">
        <v>45484</v>
      </c>
      <c r="L4480" s="36">
        <v>45491</v>
      </c>
      <c r="M4480" t="s">
        <v>598</v>
      </c>
      <c r="N4480" t="s">
        <v>608</v>
      </c>
      <c r="O4480" s="37" t="str">
        <f t="shared" si="348"/>
        <v>Cash Payment</v>
      </c>
      <c r="P4480">
        <v>1034.33</v>
      </c>
      <c r="Q4480" s="37" t="str">
        <f>IF(P4480&gt;500,"High","low")</f>
        <v>High</v>
      </c>
      <c r="R4480" s="37" t="str">
        <f t="shared" si="349"/>
        <v>Excellent</v>
      </c>
      <c r="S4480" t="s">
        <v>628</v>
      </c>
    </row>
    <row r="4481" spans="1:19" x14ac:dyDescent="0.2">
      <c r="A4481" t="s">
        <v>5092</v>
      </c>
      <c r="B4481" t="s">
        <v>83</v>
      </c>
      <c r="C4481" t="s">
        <v>597</v>
      </c>
      <c r="D4481">
        <v>1837.47</v>
      </c>
      <c r="E4481" s="37" t="str">
        <f t="shared" si="345"/>
        <v xml:space="preserve"> </v>
      </c>
      <c r="F4481">
        <v>0.45</v>
      </c>
      <c r="G4481" s="37" t="str">
        <f t="shared" si="346"/>
        <v>Heavy Discount</v>
      </c>
      <c r="H4481" s="37" t="str">
        <f t="shared" si="347"/>
        <v>High</v>
      </c>
      <c r="I4481">
        <v>4</v>
      </c>
      <c r="J4481" t="str" cm="1">
        <f t="array" ref="J4481">_xlfn.IFS(I4481&lt;=3,"small",I4481&lt;=6,"Medium",I4481&lt;=9,"Large")</f>
        <v>Medium</v>
      </c>
      <c r="K4481" s="36">
        <v>45110</v>
      </c>
      <c r="L4481" s="36">
        <v>45114</v>
      </c>
      <c r="M4481" t="s">
        <v>603</v>
      </c>
      <c r="N4481" t="s">
        <v>608</v>
      </c>
      <c r="O4481" s="37" t="str">
        <f t="shared" si="348"/>
        <v>Cash Payment</v>
      </c>
      <c r="P4481">
        <v>378.98</v>
      </c>
      <c r="Q4481" s="37" t="str">
        <f>IF(P4481&gt;500,"High","low")</f>
        <v>low</v>
      </c>
      <c r="R4481" s="37" t="str">
        <f t="shared" si="349"/>
        <v>AVERAGE</v>
      </c>
      <c r="S4481" t="s">
        <v>600</v>
      </c>
    </row>
    <row r="4482" spans="1:19" x14ac:dyDescent="0.2">
      <c r="A4482" t="s">
        <v>5093</v>
      </c>
      <c r="B4482" t="s">
        <v>75</v>
      </c>
      <c r="C4482" t="s">
        <v>602</v>
      </c>
      <c r="D4482">
        <v>4943.88</v>
      </c>
      <c r="E4482" s="37" t="str">
        <f t="shared" si="345"/>
        <v xml:space="preserve"> </v>
      </c>
      <c r="F4482">
        <v>0.5</v>
      </c>
      <c r="G4482" s="37" t="str">
        <f t="shared" si="346"/>
        <v>Heavy Discount</v>
      </c>
      <c r="H4482" s="37" t="str">
        <f t="shared" si="347"/>
        <v>High</v>
      </c>
      <c r="I4482">
        <v>2</v>
      </c>
      <c r="J4482" t="str" cm="1">
        <f t="array" ref="J4482">_xlfn.IFS(I4482&lt;=3,"small",I4482&lt;=6,"Medium",I4482&lt;=9,"Large")</f>
        <v>small</v>
      </c>
      <c r="K4482" s="36">
        <v>44929</v>
      </c>
      <c r="L4482" s="36">
        <v>44933</v>
      </c>
      <c r="M4482" t="s">
        <v>598</v>
      </c>
      <c r="N4482" t="s">
        <v>608</v>
      </c>
      <c r="O4482" s="37" t="str">
        <f t="shared" si="348"/>
        <v>Cash Payment</v>
      </c>
      <c r="P4482">
        <v>756.18</v>
      </c>
      <c r="Q4482" s="37" t="str">
        <f>IF(P4482&gt;500,"High","low")</f>
        <v>High</v>
      </c>
      <c r="R4482" s="37" t="str">
        <f t="shared" si="349"/>
        <v>Good</v>
      </c>
      <c r="S4482" t="s">
        <v>628</v>
      </c>
    </row>
    <row r="4483" spans="1:19" x14ac:dyDescent="0.2">
      <c r="A4483" t="s">
        <v>5094</v>
      </c>
      <c r="B4483" t="s">
        <v>67</v>
      </c>
      <c r="C4483" t="s">
        <v>617</v>
      </c>
      <c r="D4483">
        <v>4788.4799999999996</v>
      </c>
      <c r="E4483" s="37" t="str">
        <f t="shared" ref="E4483:E4546" si="350">IF(AND(D4483&gt;4000,P4483&gt;800),"Excellent Order"," ")</f>
        <v xml:space="preserve"> </v>
      </c>
      <c r="F4483">
        <v>0.41</v>
      </c>
      <c r="G4483" s="37" t="str">
        <f t="shared" ref="G4483:G4546" si="351">IF(F4483&gt;30%,"Heavy Discount","Normal Discount")</f>
        <v>Heavy Discount</v>
      </c>
      <c r="H4483" s="37" t="str">
        <f t="shared" ref="H4483:H4546" si="352">IF(F4483&gt;0.4,"High",IF(F4483&gt;=0.2,"Medium","Low"))</f>
        <v>High</v>
      </c>
      <c r="I4483">
        <v>6</v>
      </c>
      <c r="J4483" t="str" cm="1">
        <f t="array" ref="J4483">_xlfn.IFS(I4483&lt;=3,"small",I4483&lt;=6,"Medium",I4483&lt;=9,"Large")</f>
        <v>Medium</v>
      </c>
      <c r="K4483" s="36">
        <v>45067</v>
      </c>
      <c r="L4483" s="36">
        <v>45073</v>
      </c>
      <c r="M4483" t="s">
        <v>603</v>
      </c>
      <c r="N4483" t="s">
        <v>608</v>
      </c>
      <c r="O4483" s="37" t="str">
        <f t="shared" ref="O4483:O4546" si="353">IF(OR(N4483="Card",N4483="UPI"),"Digital Payment","Cash Payment")</f>
        <v>Cash Payment</v>
      </c>
      <c r="P4483">
        <v>575.86</v>
      </c>
      <c r="Q4483" s="37" t="str">
        <f>IF(P4483&gt;500,"High","low")</f>
        <v>High</v>
      </c>
      <c r="R4483" s="37" t="str">
        <f t="shared" ref="R4483:R4546" si="354">IF(P4483&gt;1000,"Excellent",IF(P4483&gt;=500,"Good","AVERAGE"))</f>
        <v>Good</v>
      </c>
      <c r="S4483" t="s">
        <v>605</v>
      </c>
    </row>
    <row r="4484" spans="1:19" x14ac:dyDescent="0.2">
      <c r="A4484" t="s">
        <v>5095</v>
      </c>
      <c r="B4484" t="s">
        <v>83</v>
      </c>
      <c r="C4484" t="s">
        <v>614</v>
      </c>
      <c r="D4484">
        <v>3235.18</v>
      </c>
      <c r="E4484" s="37" t="str">
        <f t="shared" si="350"/>
        <v xml:space="preserve"> </v>
      </c>
      <c r="F4484">
        <v>0.21</v>
      </c>
      <c r="G4484" s="37" t="str">
        <f t="shared" si="351"/>
        <v>Normal Discount</v>
      </c>
      <c r="H4484" s="37" t="str">
        <f t="shared" si="352"/>
        <v>Medium</v>
      </c>
      <c r="I4484">
        <v>9</v>
      </c>
      <c r="J4484" t="str" cm="1">
        <f t="array" ref="J4484">_xlfn.IFS(I4484&lt;=3,"small",I4484&lt;=6,"Medium",I4484&lt;=9,"Large")</f>
        <v>Large</v>
      </c>
      <c r="K4484" s="36">
        <v>44993</v>
      </c>
      <c r="L4484" s="36">
        <v>45000</v>
      </c>
      <c r="M4484" t="s">
        <v>603</v>
      </c>
      <c r="N4484" t="s">
        <v>608</v>
      </c>
      <c r="O4484" s="37" t="str">
        <f t="shared" si="353"/>
        <v>Cash Payment</v>
      </c>
      <c r="P4484">
        <v>348.66</v>
      </c>
      <c r="Q4484" s="37" t="str">
        <f>IF(P4484&gt;500,"High","low")</f>
        <v>low</v>
      </c>
      <c r="R4484" s="37" t="str">
        <f t="shared" si="354"/>
        <v>AVERAGE</v>
      </c>
      <c r="S4484" t="s">
        <v>628</v>
      </c>
    </row>
    <row r="4485" spans="1:19" x14ac:dyDescent="0.2">
      <c r="A4485" t="s">
        <v>5096</v>
      </c>
      <c r="B4485" t="s">
        <v>67</v>
      </c>
      <c r="C4485" t="s">
        <v>614</v>
      </c>
      <c r="D4485">
        <v>1733.98</v>
      </c>
      <c r="E4485" s="37" t="str">
        <f t="shared" si="350"/>
        <v xml:space="preserve"> </v>
      </c>
      <c r="F4485">
        <v>0.18</v>
      </c>
      <c r="G4485" s="37" t="str">
        <f t="shared" si="351"/>
        <v>Normal Discount</v>
      </c>
      <c r="H4485" s="37" t="str">
        <f t="shared" si="352"/>
        <v>Low</v>
      </c>
      <c r="I4485">
        <v>1</v>
      </c>
      <c r="J4485" t="str" cm="1">
        <f t="array" ref="J4485">_xlfn.IFS(I4485&lt;=3,"small",I4485&lt;=6,"Medium",I4485&lt;=9,"Large")</f>
        <v>small</v>
      </c>
      <c r="K4485" s="36">
        <v>44998</v>
      </c>
      <c r="L4485" s="36">
        <v>44999</v>
      </c>
      <c r="M4485" t="s">
        <v>612</v>
      </c>
      <c r="N4485" t="s">
        <v>599</v>
      </c>
      <c r="O4485" s="37" t="str">
        <f t="shared" si="353"/>
        <v>Digital Payment</v>
      </c>
      <c r="P4485">
        <v>476.27</v>
      </c>
      <c r="Q4485" s="37" t="str">
        <f>IF(P4485&gt;500,"High","low")</f>
        <v>low</v>
      </c>
      <c r="R4485" s="37" t="str">
        <f t="shared" si="354"/>
        <v>AVERAGE</v>
      </c>
      <c r="S4485" t="s">
        <v>615</v>
      </c>
    </row>
    <row r="4486" spans="1:19" x14ac:dyDescent="0.2">
      <c r="A4486" t="s">
        <v>5097</v>
      </c>
      <c r="B4486" t="s">
        <v>90</v>
      </c>
      <c r="C4486" t="s">
        <v>614</v>
      </c>
      <c r="D4486">
        <v>3791.37</v>
      </c>
      <c r="E4486" s="37" t="str">
        <f t="shared" si="350"/>
        <v xml:space="preserve"> </v>
      </c>
      <c r="F4486">
        <v>0.39</v>
      </c>
      <c r="G4486" s="37" t="str">
        <f t="shared" si="351"/>
        <v>Heavy Discount</v>
      </c>
      <c r="H4486" s="37" t="str">
        <f t="shared" si="352"/>
        <v>Medium</v>
      </c>
      <c r="I4486">
        <v>5</v>
      </c>
      <c r="J4486" t="str" cm="1">
        <f t="array" ref="J4486">_xlfn.IFS(I4486&lt;=3,"small",I4486&lt;=6,"Medium",I4486&lt;=9,"Large")</f>
        <v>Medium</v>
      </c>
      <c r="K4486" s="36">
        <v>45616</v>
      </c>
      <c r="L4486" s="36">
        <v>45618</v>
      </c>
      <c r="M4486" t="s">
        <v>603</v>
      </c>
      <c r="N4486" t="s">
        <v>604</v>
      </c>
      <c r="O4486" s="37" t="str">
        <f t="shared" si="353"/>
        <v>Digital Payment</v>
      </c>
      <c r="P4486">
        <v>379.95</v>
      </c>
      <c r="Q4486" s="37" t="str">
        <f>IF(P4486&gt;500,"High","low")</f>
        <v>low</v>
      </c>
      <c r="R4486" s="37" t="str">
        <f t="shared" si="354"/>
        <v>AVERAGE</v>
      </c>
      <c r="S4486" t="s">
        <v>600</v>
      </c>
    </row>
    <row r="4487" spans="1:19" x14ac:dyDescent="0.2">
      <c r="A4487" t="s">
        <v>5098</v>
      </c>
      <c r="B4487" t="s">
        <v>90</v>
      </c>
      <c r="C4487" t="s">
        <v>614</v>
      </c>
      <c r="D4487">
        <v>1429.06</v>
      </c>
      <c r="E4487" s="37" t="str">
        <f t="shared" si="350"/>
        <v xml:space="preserve"> </v>
      </c>
      <c r="F4487">
        <v>0.25</v>
      </c>
      <c r="G4487" s="37" t="str">
        <f t="shared" si="351"/>
        <v>Normal Discount</v>
      </c>
      <c r="H4487" s="37" t="str">
        <f t="shared" si="352"/>
        <v>Medium</v>
      </c>
      <c r="I4487">
        <v>9</v>
      </c>
      <c r="J4487" t="str" cm="1">
        <f t="array" ref="J4487">_xlfn.IFS(I4487&lt;=3,"small",I4487&lt;=6,"Medium",I4487&lt;=9,"Large")</f>
        <v>Large</v>
      </c>
      <c r="K4487" s="36">
        <v>45041</v>
      </c>
      <c r="L4487" s="36">
        <v>45044</v>
      </c>
      <c r="M4487" t="s">
        <v>603</v>
      </c>
      <c r="N4487" t="s">
        <v>599</v>
      </c>
      <c r="O4487" s="37" t="str">
        <f t="shared" si="353"/>
        <v>Digital Payment</v>
      </c>
      <c r="P4487">
        <v>311.83</v>
      </c>
      <c r="Q4487" s="37" t="str">
        <f>IF(P4487&gt;500,"High","low")</f>
        <v>low</v>
      </c>
      <c r="R4487" s="37" t="str">
        <f t="shared" si="354"/>
        <v>AVERAGE</v>
      </c>
      <c r="S4487" t="s">
        <v>615</v>
      </c>
    </row>
    <row r="4488" spans="1:19" x14ac:dyDescent="0.2">
      <c r="A4488" t="s">
        <v>5099</v>
      </c>
      <c r="B4488" t="s">
        <v>67</v>
      </c>
      <c r="C4488" t="s">
        <v>614</v>
      </c>
      <c r="D4488">
        <v>3186.24</v>
      </c>
      <c r="E4488" s="37" t="str">
        <f t="shared" si="350"/>
        <v xml:space="preserve"> </v>
      </c>
      <c r="F4488">
        <v>0.47</v>
      </c>
      <c r="G4488" s="37" t="str">
        <f t="shared" si="351"/>
        <v>Heavy Discount</v>
      </c>
      <c r="H4488" s="37" t="str">
        <f t="shared" si="352"/>
        <v>High</v>
      </c>
      <c r="I4488">
        <v>7</v>
      </c>
      <c r="J4488" t="str" cm="1">
        <f t="array" ref="J4488">_xlfn.IFS(I4488&lt;=3,"small",I4488&lt;=6,"Medium",I4488&lt;=9,"Large")</f>
        <v>Large</v>
      </c>
      <c r="K4488" s="36">
        <v>45352</v>
      </c>
      <c r="L4488" s="36">
        <v>45353</v>
      </c>
      <c r="M4488" t="s">
        <v>603</v>
      </c>
      <c r="N4488" t="s">
        <v>599</v>
      </c>
      <c r="O4488" s="37" t="str">
        <f t="shared" si="353"/>
        <v>Digital Payment</v>
      </c>
      <c r="P4488">
        <v>310.18</v>
      </c>
      <c r="Q4488" s="37" t="str">
        <f>IF(P4488&gt;500,"High","low")</f>
        <v>low</v>
      </c>
      <c r="R4488" s="37" t="str">
        <f t="shared" si="354"/>
        <v>AVERAGE</v>
      </c>
      <c r="S4488" t="s">
        <v>600</v>
      </c>
    </row>
    <row r="4489" spans="1:19" x14ac:dyDescent="0.2">
      <c r="A4489" t="s">
        <v>5100</v>
      </c>
      <c r="B4489" t="s">
        <v>83</v>
      </c>
      <c r="C4489" t="s">
        <v>602</v>
      </c>
      <c r="D4489">
        <v>220.45</v>
      </c>
      <c r="E4489" s="37" t="str">
        <f t="shared" si="350"/>
        <v xml:space="preserve"> </v>
      </c>
      <c r="F4489">
        <v>0.14000000000000001</v>
      </c>
      <c r="G4489" s="37" t="str">
        <f t="shared" si="351"/>
        <v>Normal Discount</v>
      </c>
      <c r="H4489" s="37" t="str">
        <f t="shared" si="352"/>
        <v>Low</v>
      </c>
      <c r="I4489">
        <v>6</v>
      </c>
      <c r="J4489" t="str" cm="1">
        <f t="array" ref="J4489">_xlfn.IFS(I4489&lt;=3,"small",I4489&lt;=6,"Medium",I4489&lt;=9,"Large")</f>
        <v>Medium</v>
      </c>
      <c r="K4489" s="36">
        <v>45537</v>
      </c>
      <c r="L4489" s="36">
        <v>45540</v>
      </c>
      <c r="M4489" t="s">
        <v>598</v>
      </c>
      <c r="N4489" t="s">
        <v>604</v>
      </c>
      <c r="O4489" s="37" t="str">
        <f t="shared" si="353"/>
        <v>Digital Payment</v>
      </c>
      <c r="P4489">
        <v>62.77</v>
      </c>
      <c r="Q4489" s="37" t="str">
        <f>IF(P4489&gt;500,"High","low")</f>
        <v>low</v>
      </c>
      <c r="R4489" s="37" t="str">
        <f t="shared" si="354"/>
        <v>AVERAGE</v>
      </c>
      <c r="S4489" t="s">
        <v>605</v>
      </c>
    </row>
    <row r="4490" spans="1:19" x14ac:dyDescent="0.2">
      <c r="A4490" t="s">
        <v>5101</v>
      </c>
      <c r="B4490" t="s">
        <v>83</v>
      </c>
      <c r="C4490" t="s">
        <v>607</v>
      </c>
      <c r="D4490">
        <v>3180.06</v>
      </c>
      <c r="E4490" s="37" t="str">
        <f t="shared" si="350"/>
        <v xml:space="preserve"> </v>
      </c>
      <c r="F4490">
        <v>0.16</v>
      </c>
      <c r="G4490" s="37" t="str">
        <f t="shared" si="351"/>
        <v>Normal Discount</v>
      </c>
      <c r="H4490" s="37" t="str">
        <f t="shared" si="352"/>
        <v>Low</v>
      </c>
      <c r="I4490">
        <v>7</v>
      </c>
      <c r="J4490" t="str" cm="1">
        <f t="array" ref="J4490">_xlfn.IFS(I4490&lt;=3,"small",I4490&lt;=6,"Medium",I4490&lt;=9,"Large")</f>
        <v>Large</v>
      </c>
      <c r="K4490" s="36">
        <v>45514</v>
      </c>
      <c r="L4490" s="36">
        <v>45517</v>
      </c>
      <c r="M4490" t="s">
        <v>603</v>
      </c>
      <c r="N4490" t="s">
        <v>599</v>
      </c>
      <c r="O4490" s="37" t="str">
        <f t="shared" si="353"/>
        <v>Digital Payment</v>
      </c>
      <c r="P4490">
        <v>314.85000000000002</v>
      </c>
      <c r="Q4490" s="37" t="str">
        <f>IF(P4490&gt;500,"High","low")</f>
        <v>low</v>
      </c>
      <c r="R4490" s="37" t="str">
        <f t="shared" si="354"/>
        <v>AVERAGE</v>
      </c>
      <c r="S4490" t="s">
        <v>628</v>
      </c>
    </row>
    <row r="4491" spans="1:19" x14ac:dyDescent="0.2">
      <c r="A4491" t="s">
        <v>5102</v>
      </c>
      <c r="B4491" t="s">
        <v>75</v>
      </c>
      <c r="C4491" t="s">
        <v>607</v>
      </c>
      <c r="D4491">
        <v>4762.88</v>
      </c>
      <c r="E4491" s="37" t="str">
        <f t="shared" si="350"/>
        <v>Excellent Order</v>
      </c>
      <c r="F4491">
        <v>0.5</v>
      </c>
      <c r="G4491" s="37" t="str">
        <f t="shared" si="351"/>
        <v>Heavy Discount</v>
      </c>
      <c r="H4491" s="37" t="str">
        <f t="shared" si="352"/>
        <v>High</v>
      </c>
      <c r="I4491">
        <v>9</v>
      </c>
      <c r="J4491" t="str" cm="1">
        <f t="array" ref="J4491">_xlfn.IFS(I4491&lt;=3,"small",I4491&lt;=6,"Medium",I4491&lt;=9,"Large")</f>
        <v>Large</v>
      </c>
      <c r="K4491" s="36">
        <v>45206</v>
      </c>
      <c r="L4491" s="36">
        <v>45208</v>
      </c>
      <c r="M4491" t="s">
        <v>603</v>
      </c>
      <c r="N4491" t="s">
        <v>604</v>
      </c>
      <c r="O4491" s="37" t="str">
        <f t="shared" si="353"/>
        <v>Digital Payment</v>
      </c>
      <c r="P4491">
        <v>1256.04</v>
      </c>
      <c r="Q4491" s="37" t="str">
        <f>IF(P4491&gt;500,"High","low")</f>
        <v>High</v>
      </c>
      <c r="R4491" s="37" t="str">
        <f t="shared" si="354"/>
        <v>Excellent</v>
      </c>
      <c r="S4491" t="s">
        <v>605</v>
      </c>
    </row>
    <row r="4492" spans="1:19" x14ac:dyDescent="0.2">
      <c r="A4492" t="s">
        <v>5103</v>
      </c>
      <c r="B4492" t="s">
        <v>90</v>
      </c>
      <c r="C4492" t="s">
        <v>602</v>
      </c>
      <c r="D4492">
        <v>1252.2</v>
      </c>
      <c r="E4492" s="37" t="str">
        <f t="shared" si="350"/>
        <v xml:space="preserve"> </v>
      </c>
      <c r="F4492">
        <v>0.49</v>
      </c>
      <c r="G4492" s="37" t="str">
        <f t="shared" si="351"/>
        <v>Heavy Discount</v>
      </c>
      <c r="H4492" s="37" t="str">
        <f t="shared" si="352"/>
        <v>High</v>
      </c>
      <c r="I4492">
        <v>3</v>
      </c>
      <c r="J4492" t="str" cm="1">
        <f t="array" ref="J4492">_xlfn.IFS(I4492&lt;=3,"small",I4492&lt;=6,"Medium",I4492&lt;=9,"Large")</f>
        <v>small</v>
      </c>
      <c r="K4492" s="36">
        <v>45284</v>
      </c>
      <c r="L4492" s="36">
        <v>45287</v>
      </c>
      <c r="M4492" t="s">
        <v>612</v>
      </c>
      <c r="N4492" t="s">
        <v>608</v>
      </c>
      <c r="O4492" s="37" t="str">
        <f t="shared" si="353"/>
        <v>Cash Payment</v>
      </c>
      <c r="P4492">
        <v>355.35</v>
      </c>
      <c r="Q4492" s="37" t="str">
        <f>IF(P4492&gt;500,"High","low")</f>
        <v>low</v>
      </c>
      <c r="R4492" s="37" t="str">
        <f t="shared" si="354"/>
        <v>AVERAGE</v>
      </c>
      <c r="S4492" t="s">
        <v>609</v>
      </c>
    </row>
    <row r="4493" spans="1:19" x14ac:dyDescent="0.2">
      <c r="A4493" t="s">
        <v>5104</v>
      </c>
      <c r="B4493" t="s">
        <v>75</v>
      </c>
      <c r="C4493" t="s">
        <v>602</v>
      </c>
      <c r="D4493">
        <v>3913.08</v>
      </c>
      <c r="E4493" s="37" t="str">
        <f t="shared" si="350"/>
        <v xml:space="preserve"> </v>
      </c>
      <c r="F4493">
        <v>0.44</v>
      </c>
      <c r="G4493" s="37" t="str">
        <f t="shared" si="351"/>
        <v>Heavy Discount</v>
      </c>
      <c r="H4493" s="37" t="str">
        <f t="shared" si="352"/>
        <v>High</v>
      </c>
      <c r="I4493">
        <v>8</v>
      </c>
      <c r="J4493" t="str" cm="1">
        <f t="array" ref="J4493">_xlfn.IFS(I4493&lt;=3,"small",I4493&lt;=6,"Medium",I4493&lt;=9,"Large")</f>
        <v>Large</v>
      </c>
      <c r="K4493" s="36">
        <v>45201</v>
      </c>
      <c r="L4493" s="36">
        <v>45208</v>
      </c>
      <c r="M4493" t="s">
        <v>612</v>
      </c>
      <c r="N4493" t="s">
        <v>599</v>
      </c>
      <c r="O4493" s="37" t="str">
        <f t="shared" si="353"/>
        <v>Digital Payment</v>
      </c>
      <c r="P4493">
        <v>398.05</v>
      </c>
      <c r="Q4493" s="37" t="str">
        <f>IF(P4493&gt;500,"High","low")</f>
        <v>low</v>
      </c>
      <c r="R4493" s="37" t="str">
        <f t="shared" si="354"/>
        <v>AVERAGE</v>
      </c>
      <c r="S4493" t="s">
        <v>620</v>
      </c>
    </row>
    <row r="4494" spans="1:19" x14ac:dyDescent="0.2">
      <c r="A4494" t="s">
        <v>5105</v>
      </c>
      <c r="B4494" t="s">
        <v>75</v>
      </c>
      <c r="C4494" t="s">
        <v>597</v>
      </c>
      <c r="D4494">
        <v>1537.78</v>
      </c>
      <c r="E4494" s="37" t="str">
        <f t="shared" si="350"/>
        <v xml:space="preserve"> </v>
      </c>
      <c r="F4494">
        <v>0.2</v>
      </c>
      <c r="G4494" s="37" t="str">
        <f t="shared" si="351"/>
        <v>Normal Discount</v>
      </c>
      <c r="H4494" s="37" t="str">
        <f t="shared" si="352"/>
        <v>Medium</v>
      </c>
      <c r="I4494">
        <v>1</v>
      </c>
      <c r="J4494" t="str" cm="1">
        <f t="array" ref="J4494">_xlfn.IFS(I4494&lt;=3,"small",I4494&lt;=6,"Medium",I4494&lt;=9,"Large")</f>
        <v>small</v>
      </c>
      <c r="K4494" s="36">
        <v>45026</v>
      </c>
      <c r="L4494" s="36">
        <v>45032</v>
      </c>
      <c r="M4494" t="s">
        <v>612</v>
      </c>
      <c r="N4494" t="s">
        <v>608</v>
      </c>
      <c r="O4494" s="37" t="str">
        <f t="shared" si="353"/>
        <v>Cash Payment</v>
      </c>
      <c r="P4494">
        <v>417.91</v>
      </c>
      <c r="Q4494" s="37" t="str">
        <f>IF(P4494&gt;500,"High","low")</f>
        <v>low</v>
      </c>
      <c r="R4494" s="37" t="str">
        <f t="shared" si="354"/>
        <v>AVERAGE</v>
      </c>
      <c r="S4494" t="s">
        <v>609</v>
      </c>
    </row>
    <row r="4495" spans="1:19" x14ac:dyDescent="0.2">
      <c r="A4495" t="s">
        <v>5106</v>
      </c>
      <c r="B4495" t="s">
        <v>67</v>
      </c>
      <c r="C4495" t="s">
        <v>607</v>
      </c>
      <c r="D4495">
        <v>3568.46</v>
      </c>
      <c r="E4495" s="37" t="str">
        <f t="shared" si="350"/>
        <v xml:space="preserve"> </v>
      </c>
      <c r="F4495">
        <v>0.42</v>
      </c>
      <c r="G4495" s="37" t="str">
        <f t="shared" si="351"/>
        <v>Heavy Discount</v>
      </c>
      <c r="H4495" s="37" t="str">
        <f t="shared" si="352"/>
        <v>High</v>
      </c>
      <c r="I4495">
        <v>6</v>
      </c>
      <c r="J4495" t="str" cm="1">
        <f t="array" ref="J4495">_xlfn.IFS(I4495&lt;=3,"small",I4495&lt;=6,"Medium",I4495&lt;=9,"Large")</f>
        <v>Medium</v>
      </c>
      <c r="K4495" s="36">
        <v>45008</v>
      </c>
      <c r="L4495" s="36">
        <v>45009</v>
      </c>
      <c r="M4495" t="s">
        <v>612</v>
      </c>
      <c r="N4495" t="s">
        <v>608</v>
      </c>
      <c r="O4495" s="37" t="str">
        <f t="shared" si="353"/>
        <v>Cash Payment</v>
      </c>
      <c r="P4495">
        <v>276.07</v>
      </c>
      <c r="Q4495" s="37" t="str">
        <f>IF(P4495&gt;500,"High","low")</f>
        <v>low</v>
      </c>
      <c r="R4495" s="37" t="str">
        <f t="shared" si="354"/>
        <v>AVERAGE</v>
      </c>
      <c r="S4495" t="s">
        <v>615</v>
      </c>
    </row>
    <row r="4496" spans="1:19" x14ac:dyDescent="0.2">
      <c r="A4496" t="s">
        <v>5107</v>
      </c>
      <c r="B4496" t="s">
        <v>67</v>
      </c>
      <c r="C4496" t="s">
        <v>614</v>
      </c>
      <c r="D4496">
        <v>3529.86</v>
      </c>
      <c r="E4496" s="37" t="str">
        <f t="shared" si="350"/>
        <v xml:space="preserve"> </v>
      </c>
      <c r="F4496">
        <v>0.14000000000000001</v>
      </c>
      <c r="G4496" s="37" t="str">
        <f t="shared" si="351"/>
        <v>Normal Discount</v>
      </c>
      <c r="H4496" s="37" t="str">
        <f t="shared" si="352"/>
        <v>Low</v>
      </c>
      <c r="I4496">
        <v>9</v>
      </c>
      <c r="J4496" t="str" cm="1">
        <f t="array" ref="J4496">_xlfn.IFS(I4496&lt;=3,"small",I4496&lt;=6,"Medium",I4496&lt;=9,"Large")</f>
        <v>Large</v>
      </c>
      <c r="K4496" s="36">
        <v>45565</v>
      </c>
      <c r="L4496" s="36">
        <v>45572</v>
      </c>
      <c r="M4496" t="s">
        <v>603</v>
      </c>
      <c r="N4496" t="s">
        <v>604</v>
      </c>
      <c r="O4496" s="37" t="str">
        <f t="shared" si="353"/>
        <v>Digital Payment</v>
      </c>
      <c r="P4496">
        <v>794.21</v>
      </c>
      <c r="Q4496" s="37" t="str">
        <f>IF(P4496&gt;500,"High","low")</f>
        <v>High</v>
      </c>
      <c r="R4496" s="37" t="str">
        <f t="shared" si="354"/>
        <v>Good</v>
      </c>
      <c r="S4496" t="s">
        <v>600</v>
      </c>
    </row>
    <row r="4497" spans="1:19" x14ac:dyDescent="0.2">
      <c r="A4497" t="s">
        <v>5108</v>
      </c>
      <c r="B4497" t="s">
        <v>75</v>
      </c>
      <c r="C4497" t="s">
        <v>602</v>
      </c>
      <c r="D4497">
        <v>1005.21</v>
      </c>
      <c r="E4497" s="37" t="str">
        <f t="shared" si="350"/>
        <v xml:space="preserve"> </v>
      </c>
      <c r="F4497">
        <v>0.13</v>
      </c>
      <c r="G4497" s="37" t="str">
        <f t="shared" si="351"/>
        <v>Normal Discount</v>
      </c>
      <c r="H4497" s="37" t="str">
        <f t="shared" si="352"/>
        <v>Low</v>
      </c>
      <c r="I4497">
        <v>1</v>
      </c>
      <c r="J4497" t="str" cm="1">
        <f t="array" ref="J4497">_xlfn.IFS(I4497&lt;=3,"small",I4497&lt;=6,"Medium",I4497&lt;=9,"Large")</f>
        <v>small</v>
      </c>
      <c r="K4497" s="36">
        <v>45182</v>
      </c>
      <c r="L4497" s="36">
        <v>45185</v>
      </c>
      <c r="M4497" t="s">
        <v>598</v>
      </c>
      <c r="N4497" t="s">
        <v>599</v>
      </c>
      <c r="O4497" s="37" t="str">
        <f t="shared" si="353"/>
        <v>Digital Payment</v>
      </c>
      <c r="P4497">
        <v>177.64</v>
      </c>
      <c r="Q4497" s="37" t="str">
        <f>IF(P4497&gt;500,"High","low")</f>
        <v>low</v>
      </c>
      <c r="R4497" s="37" t="str">
        <f t="shared" si="354"/>
        <v>AVERAGE</v>
      </c>
      <c r="S4497" t="s">
        <v>615</v>
      </c>
    </row>
    <row r="4498" spans="1:19" x14ac:dyDescent="0.2">
      <c r="A4498" t="s">
        <v>5109</v>
      </c>
      <c r="B4498" t="s">
        <v>90</v>
      </c>
      <c r="C4498" t="s">
        <v>614</v>
      </c>
      <c r="D4498">
        <v>3025.93</v>
      </c>
      <c r="E4498" s="37" t="str">
        <f t="shared" si="350"/>
        <v xml:space="preserve"> </v>
      </c>
      <c r="F4498">
        <v>0.27</v>
      </c>
      <c r="G4498" s="37" t="str">
        <f t="shared" si="351"/>
        <v>Normal Discount</v>
      </c>
      <c r="H4498" s="37" t="str">
        <f t="shared" si="352"/>
        <v>Medium</v>
      </c>
      <c r="I4498">
        <v>5</v>
      </c>
      <c r="J4498" t="str" cm="1">
        <f t="array" ref="J4498">_xlfn.IFS(I4498&lt;=3,"small",I4498&lt;=6,"Medium",I4498&lt;=9,"Large")</f>
        <v>Medium</v>
      </c>
      <c r="K4498" s="36">
        <v>45655</v>
      </c>
      <c r="L4498" s="36">
        <v>45658</v>
      </c>
      <c r="M4498" t="s">
        <v>598</v>
      </c>
      <c r="N4498" t="s">
        <v>608</v>
      </c>
      <c r="O4498" s="37" t="str">
        <f t="shared" si="353"/>
        <v>Cash Payment</v>
      </c>
      <c r="P4498">
        <v>878.36</v>
      </c>
      <c r="Q4498" s="37" t="str">
        <f>IF(P4498&gt;500,"High","low")</f>
        <v>High</v>
      </c>
      <c r="R4498" s="37" t="str">
        <f t="shared" si="354"/>
        <v>Good</v>
      </c>
      <c r="S4498" t="s">
        <v>605</v>
      </c>
    </row>
    <row r="4499" spans="1:19" x14ac:dyDescent="0.2">
      <c r="A4499" t="s">
        <v>5110</v>
      </c>
      <c r="B4499" t="s">
        <v>67</v>
      </c>
      <c r="C4499" t="s">
        <v>607</v>
      </c>
      <c r="D4499">
        <v>4309.93</v>
      </c>
      <c r="E4499" s="37" t="str">
        <f t="shared" si="350"/>
        <v xml:space="preserve"> </v>
      </c>
      <c r="F4499">
        <v>0.43</v>
      </c>
      <c r="G4499" s="37" t="str">
        <f t="shared" si="351"/>
        <v>Heavy Discount</v>
      </c>
      <c r="H4499" s="37" t="str">
        <f t="shared" si="352"/>
        <v>High</v>
      </c>
      <c r="I4499">
        <v>8</v>
      </c>
      <c r="J4499" t="str" cm="1">
        <f t="array" ref="J4499">_xlfn.IFS(I4499&lt;=3,"small",I4499&lt;=6,"Medium",I4499&lt;=9,"Large")</f>
        <v>Large</v>
      </c>
      <c r="K4499" s="36">
        <v>45562</v>
      </c>
      <c r="L4499" s="36">
        <v>45564</v>
      </c>
      <c r="M4499" t="s">
        <v>598</v>
      </c>
      <c r="N4499" t="s">
        <v>608</v>
      </c>
      <c r="O4499" s="37" t="str">
        <f t="shared" si="353"/>
        <v>Cash Payment</v>
      </c>
      <c r="P4499">
        <v>733.71</v>
      </c>
      <c r="Q4499" s="37" t="str">
        <f>IF(P4499&gt;500,"High","low")</f>
        <v>High</v>
      </c>
      <c r="R4499" s="37" t="str">
        <f t="shared" si="354"/>
        <v>Good</v>
      </c>
      <c r="S4499" t="s">
        <v>609</v>
      </c>
    </row>
    <row r="4500" spans="1:19" x14ac:dyDescent="0.2">
      <c r="A4500" t="s">
        <v>5111</v>
      </c>
      <c r="B4500" t="s">
        <v>75</v>
      </c>
      <c r="C4500" t="s">
        <v>617</v>
      </c>
      <c r="D4500">
        <v>1974.41</v>
      </c>
      <c r="E4500" s="37" t="str">
        <f t="shared" si="350"/>
        <v xml:space="preserve"> </v>
      </c>
      <c r="F4500">
        <v>0.05</v>
      </c>
      <c r="G4500" s="37" t="str">
        <f t="shared" si="351"/>
        <v>Normal Discount</v>
      </c>
      <c r="H4500" s="37" t="str">
        <f t="shared" si="352"/>
        <v>Low</v>
      </c>
      <c r="I4500">
        <v>6</v>
      </c>
      <c r="J4500" t="str" cm="1">
        <f t="array" ref="J4500">_xlfn.IFS(I4500&lt;=3,"small",I4500&lt;=6,"Medium",I4500&lt;=9,"Large")</f>
        <v>Medium</v>
      </c>
      <c r="K4500" s="36">
        <v>44933</v>
      </c>
      <c r="L4500" s="36">
        <v>44936</v>
      </c>
      <c r="M4500" t="s">
        <v>612</v>
      </c>
      <c r="N4500" t="s">
        <v>608</v>
      </c>
      <c r="O4500" s="37" t="str">
        <f t="shared" si="353"/>
        <v>Cash Payment</v>
      </c>
      <c r="P4500">
        <v>132.5</v>
      </c>
      <c r="Q4500" s="37" t="str">
        <f>IF(P4500&gt;500,"High","low")</f>
        <v>low</v>
      </c>
      <c r="R4500" s="37" t="str">
        <f t="shared" si="354"/>
        <v>AVERAGE</v>
      </c>
      <c r="S4500" t="s">
        <v>620</v>
      </c>
    </row>
    <row r="4501" spans="1:19" x14ac:dyDescent="0.2">
      <c r="A4501" t="s">
        <v>5112</v>
      </c>
      <c r="B4501" t="s">
        <v>75</v>
      </c>
      <c r="C4501" t="s">
        <v>617</v>
      </c>
      <c r="D4501">
        <v>3580.36</v>
      </c>
      <c r="E4501" s="37" t="str">
        <f t="shared" si="350"/>
        <v xml:space="preserve"> </v>
      </c>
      <c r="F4501">
        <v>0.28000000000000003</v>
      </c>
      <c r="G4501" s="37" t="str">
        <f t="shared" si="351"/>
        <v>Normal Discount</v>
      </c>
      <c r="H4501" s="37" t="str">
        <f t="shared" si="352"/>
        <v>Medium</v>
      </c>
      <c r="I4501">
        <v>6</v>
      </c>
      <c r="J4501" t="str" cm="1">
        <f t="array" ref="J4501">_xlfn.IFS(I4501&lt;=3,"small",I4501&lt;=6,"Medium",I4501&lt;=9,"Large")</f>
        <v>Medium</v>
      </c>
      <c r="K4501" s="36">
        <v>45001</v>
      </c>
      <c r="L4501" s="36">
        <v>45005</v>
      </c>
      <c r="M4501" t="s">
        <v>612</v>
      </c>
      <c r="N4501" t="s">
        <v>604</v>
      </c>
      <c r="O4501" s="37" t="str">
        <f t="shared" si="353"/>
        <v>Digital Payment</v>
      </c>
      <c r="P4501">
        <v>292.01</v>
      </c>
      <c r="Q4501" s="37" t="str">
        <f>IF(P4501&gt;500,"High","low")</f>
        <v>low</v>
      </c>
      <c r="R4501" s="37" t="str">
        <f t="shared" si="354"/>
        <v>AVERAGE</v>
      </c>
      <c r="S4501" t="s">
        <v>620</v>
      </c>
    </row>
    <row r="4502" spans="1:19" x14ac:dyDescent="0.2">
      <c r="A4502" t="s">
        <v>5113</v>
      </c>
      <c r="B4502" t="s">
        <v>75</v>
      </c>
      <c r="C4502" t="s">
        <v>602</v>
      </c>
      <c r="D4502">
        <v>3404.71</v>
      </c>
      <c r="E4502" s="37" t="str">
        <f t="shared" si="350"/>
        <v xml:space="preserve"> </v>
      </c>
      <c r="F4502">
        <v>0.3</v>
      </c>
      <c r="G4502" s="37" t="str">
        <f t="shared" si="351"/>
        <v>Normal Discount</v>
      </c>
      <c r="H4502" s="37" t="str">
        <f t="shared" si="352"/>
        <v>Medium</v>
      </c>
      <c r="I4502">
        <v>3</v>
      </c>
      <c r="J4502" t="str" cm="1">
        <f t="array" ref="J4502">_xlfn.IFS(I4502&lt;=3,"small",I4502&lt;=6,"Medium",I4502&lt;=9,"Large")</f>
        <v>small</v>
      </c>
      <c r="K4502" s="36">
        <v>45476</v>
      </c>
      <c r="L4502" s="36">
        <v>45481</v>
      </c>
      <c r="M4502" t="s">
        <v>603</v>
      </c>
      <c r="N4502" t="s">
        <v>604</v>
      </c>
      <c r="O4502" s="37" t="str">
        <f t="shared" si="353"/>
        <v>Digital Payment</v>
      </c>
      <c r="P4502">
        <v>443.84</v>
      </c>
      <c r="Q4502" s="37" t="str">
        <f>IF(P4502&gt;500,"High","low")</f>
        <v>low</v>
      </c>
      <c r="R4502" s="37" t="str">
        <f t="shared" si="354"/>
        <v>AVERAGE</v>
      </c>
      <c r="S4502" t="s">
        <v>605</v>
      </c>
    </row>
    <row r="4503" spans="1:19" x14ac:dyDescent="0.2">
      <c r="A4503" t="s">
        <v>5114</v>
      </c>
      <c r="B4503" t="s">
        <v>75</v>
      </c>
      <c r="C4503" t="s">
        <v>597</v>
      </c>
      <c r="D4503">
        <v>1361.82</v>
      </c>
      <c r="E4503" s="37" t="str">
        <f t="shared" si="350"/>
        <v xml:space="preserve"> </v>
      </c>
      <c r="F4503">
        <v>0.28999999999999998</v>
      </c>
      <c r="G4503" s="37" t="str">
        <f t="shared" si="351"/>
        <v>Normal Discount</v>
      </c>
      <c r="H4503" s="37" t="str">
        <f t="shared" si="352"/>
        <v>Medium</v>
      </c>
      <c r="I4503">
        <v>8</v>
      </c>
      <c r="J4503" t="str" cm="1">
        <f t="array" ref="J4503">_xlfn.IFS(I4503&lt;=3,"small",I4503&lt;=6,"Medium",I4503&lt;=9,"Large")</f>
        <v>Large</v>
      </c>
      <c r="K4503" s="36">
        <v>45586</v>
      </c>
      <c r="L4503" s="36">
        <v>45592</v>
      </c>
      <c r="M4503" t="s">
        <v>612</v>
      </c>
      <c r="N4503" t="s">
        <v>608</v>
      </c>
      <c r="O4503" s="37" t="str">
        <f t="shared" si="353"/>
        <v>Cash Payment</v>
      </c>
      <c r="P4503">
        <v>227.76</v>
      </c>
      <c r="Q4503" s="37" t="str">
        <f>IF(P4503&gt;500,"High","low")</f>
        <v>low</v>
      </c>
      <c r="R4503" s="37" t="str">
        <f t="shared" si="354"/>
        <v>AVERAGE</v>
      </c>
      <c r="S4503" t="s">
        <v>609</v>
      </c>
    </row>
    <row r="4504" spans="1:19" x14ac:dyDescent="0.2">
      <c r="A4504" t="s">
        <v>5115</v>
      </c>
      <c r="B4504" t="s">
        <v>75</v>
      </c>
      <c r="C4504" t="s">
        <v>614</v>
      </c>
      <c r="D4504">
        <v>4601.3500000000004</v>
      </c>
      <c r="E4504" s="37" t="str">
        <f t="shared" si="350"/>
        <v>Excellent Order</v>
      </c>
      <c r="F4504">
        <v>0.11</v>
      </c>
      <c r="G4504" s="37" t="str">
        <f t="shared" si="351"/>
        <v>Normal Discount</v>
      </c>
      <c r="H4504" s="37" t="str">
        <f t="shared" si="352"/>
        <v>Low</v>
      </c>
      <c r="I4504">
        <v>1</v>
      </c>
      <c r="J4504" t="str" cm="1">
        <f t="array" ref="J4504">_xlfn.IFS(I4504&lt;=3,"small",I4504&lt;=6,"Medium",I4504&lt;=9,"Large")</f>
        <v>small</v>
      </c>
      <c r="K4504" s="36">
        <v>45401</v>
      </c>
      <c r="L4504" s="36">
        <v>45405</v>
      </c>
      <c r="M4504" t="s">
        <v>603</v>
      </c>
      <c r="N4504" t="s">
        <v>599</v>
      </c>
      <c r="O4504" s="37" t="str">
        <f t="shared" si="353"/>
        <v>Digital Payment</v>
      </c>
      <c r="P4504">
        <v>1332.01</v>
      </c>
      <c r="Q4504" s="37" t="str">
        <f>IF(P4504&gt;500,"High","low")</f>
        <v>High</v>
      </c>
      <c r="R4504" s="37" t="str">
        <f t="shared" si="354"/>
        <v>Excellent</v>
      </c>
      <c r="S4504" t="s">
        <v>605</v>
      </c>
    </row>
    <row r="4505" spans="1:19" x14ac:dyDescent="0.2">
      <c r="A4505" t="s">
        <v>5116</v>
      </c>
      <c r="B4505" t="s">
        <v>75</v>
      </c>
      <c r="C4505" t="s">
        <v>602</v>
      </c>
      <c r="D4505">
        <v>2861.21</v>
      </c>
      <c r="E4505" s="37" t="str">
        <f t="shared" si="350"/>
        <v xml:space="preserve"> </v>
      </c>
      <c r="F4505">
        <v>0.03</v>
      </c>
      <c r="G4505" s="37" t="str">
        <f t="shared" si="351"/>
        <v>Normal Discount</v>
      </c>
      <c r="H4505" s="37" t="str">
        <f t="shared" si="352"/>
        <v>Low</v>
      </c>
      <c r="I4505">
        <v>4</v>
      </c>
      <c r="J4505" t="str" cm="1">
        <f t="array" ref="J4505">_xlfn.IFS(I4505&lt;=3,"small",I4505&lt;=6,"Medium",I4505&lt;=9,"Large")</f>
        <v>Medium</v>
      </c>
      <c r="K4505" s="36">
        <v>45149</v>
      </c>
      <c r="L4505" s="36">
        <v>45156</v>
      </c>
      <c r="M4505" t="s">
        <v>603</v>
      </c>
      <c r="N4505" t="s">
        <v>604</v>
      </c>
      <c r="O4505" s="37" t="str">
        <f t="shared" si="353"/>
        <v>Digital Payment</v>
      </c>
      <c r="P4505">
        <v>489.48</v>
      </c>
      <c r="Q4505" s="37" t="str">
        <f>IF(P4505&gt;500,"High","low")</f>
        <v>low</v>
      </c>
      <c r="R4505" s="37" t="str">
        <f t="shared" si="354"/>
        <v>AVERAGE</v>
      </c>
      <c r="S4505" t="s">
        <v>609</v>
      </c>
    </row>
    <row r="4506" spans="1:19" x14ac:dyDescent="0.2">
      <c r="A4506" t="s">
        <v>5117</v>
      </c>
      <c r="B4506" t="s">
        <v>67</v>
      </c>
      <c r="C4506" t="s">
        <v>597</v>
      </c>
      <c r="D4506">
        <v>1840.93</v>
      </c>
      <c r="E4506" s="37" t="str">
        <f t="shared" si="350"/>
        <v xml:space="preserve"> </v>
      </c>
      <c r="F4506">
        <v>0.45</v>
      </c>
      <c r="G4506" s="37" t="str">
        <f t="shared" si="351"/>
        <v>Heavy Discount</v>
      </c>
      <c r="H4506" s="37" t="str">
        <f t="shared" si="352"/>
        <v>High</v>
      </c>
      <c r="I4506">
        <v>8</v>
      </c>
      <c r="J4506" t="str" cm="1">
        <f t="array" ref="J4506">_xlfn.IFS(I4506&lt;=3,"small",I4506&lt;=6,"Medium",I4506&lt;=9,"Large")</f>
        <v>Large</v>
      </c>
      <c r="K4506" s="36">
        <v>45655</v>
      </c>
      <c r="L4506" s="36">
        <v>45657</v>
      </c>
      <c r="M4506" t="s">
        <v>598</v>
      </c>
      <c r="N4506" t="s">
        <v>608</v>
      </c>
      <c r="O4506" s="37" t="str">
        <f t="shared" si="353"/>
        <v>Cash Payment</v>
      </c>
      <c r="P4506">
        <v>520.07000000000005</v>
      </c>
      <c r="Q4506" s="37" t="str">
        <f>IF(P4506&gt;500,"High","low")</f>
        <v>High</v>
      </c>
      <c r="R4506" s="37" t="str">
        <f t="shared" si="354"/>
        <v>Good</v>
      </c>
      <c r="S4506" t="s">
        <v>600</v>
      </c>
    </row>
    <row r="4507" spans="1:19" x14ac:dyDescent="0.2">
      <c r="A4507" t="s">
        <v>5118</v>
      </c>
      <c r="B4507" t="s">
        <v>90</v>
      </c>
      <c r="C4507" t="s">
        <v>614</v>
      </c>
      <c r="D4507">
        <v>905.36</v>
      </c>
      <c r="E4507" s="37" t="str">
        <f t="shared" si="350"/>
        <v xml:space="preserve"> </v>
      </c>
      <c r="F4507">
        <v>0.28999999999999998</v>
      </c>
      <c r="G4507" s="37" t="str">
        <f t="shared" si="351"/>
        <v>Normal Discount</v>
      </c>
      <c r="H4507" s="37" t="str">
        <f t="shared" si="352"/>
        <v>Medium</v>
      </c>
      <c r="I4507">
        <v>6</v>
      </c>
      <c r="J4507" t="str" cm="1">
        <f t="array" ref="J4507">_xlfn.IFS(I4507&lt;=3,"small",I4507&lt;=6,"Medium",I4507&lt;=9,"Large")</f>
        <v>Medium</v>
      </c>
      <c r="K4507" s="36">
        <v>45056</v>
      </c>
      <c r="L4507" s="36">
        <v>45062</v>
      </c>
      <c r="M4507" t="s">
        <v>612</v>
      </c>
      <c r="N4507" t="s">
        <v>608</v>
      </c>
      <c r="O4507" s="37" t="str">
        <f t="shared" si="353"/>
        <v>Cash Payment</v>
      </c>
      <c r="P4507">
        <v>251.99</v>
      </c>
      <c r="Q4507" s="37" t="str">
        <f>IF(P4507&gt;500,"High","low")</f>
        <v>low</v>
      </c>
      <c r="R4507" s="37" t="str">
        <f t="shared" si="354"/>
        <v>AVERAGE</v>
      </c>
      <c r="S4507" t="s">
        <v>605</v>
      </c>
    </row>
    <row r="4508" spans="1:19" x14ac:dyDescent="0.2">
      <c r="A4508" t="s">
        <v>5119</v>
      </c>
      <c r="B4508" t="s">
        <v>75</v>
      </c>
      <c r="C4508" t="s">
        <v>607</v>
      </c>
      <c r="D4508">
        <v>2419.9499999999998</v>
      </c>
      <c r="E4508" s="37" t="str">
        <f t="shared" si="350"/>
        <v xml:space="preserve"> </v>
      </c>
      <c r="F4508">
        <v>0.38</v>
      </c>
      <c r="G4508" s="37" t="str">
        <f t="shared" si="351"/>
        <v>Heavy Discount</v>
      </c>
      <c r="H4508" s="37" t="str">
        <f t="shared" si="352"/>
        <v>Medium</v>
      </c>
      <c r="I4508">
        <v>9</v>
      </c>
      <c r="J4508" t="str" cm="1">
        <f t="array" ref="J4508">_xlfn.IFS(I4508&lt;=3,"small",I4508&lt;=6,"Medium",I4508&lt;=9,"Large")</f>
        <v>Large</v>
      </c>
      <c r="K4508" s="36">
        <v>45475</v>
      </c>
      <c r="L4508" s="36">
        <v>45478</v>
      </c>
      <c r="M4508" t="s">
        <v>612</v>
      </c>
      <c r="N4508" t="s">
        <v>604</v>
      </c>
      <c r="O4508" s="37" t="str">
        <f t="shared" si="353"/>
        <v>Digital Payment</v>
      </c>
      <c r="P4508">
        <v>223.07</v>
      </c>
      <c r="Q4508" s="37" t="str">
        <f>IF(P4508&gt;500,"High","low")</f>
        <v>low</v>
      </c>
      <c r="R4508" s="37" t="str">
        <f t="shared" si="354"/>
        <v>AVERAGE</v>
      </c>
      <c r="S4508" t="s">
        <v>600</v>
      </c>
    </row>
    <row r="4509" spans="1:19" x14ac:dyDescent="0.2">
      <c r="A4509" t="s">
        <v>5120</v>
      </c>
      <c r="B4509" t="s">
        <v>83</v>
      </c>
      <c r="C4509" t="s">
        <v>617</v>
      </c>
      <c r="D4509">
        <v>3677.56</v>
      </c>
      <c r="E4509" s="37" t="str">
        <f t="shared" si="350"/>
        <v xml:space="preserve"> </v>
      </c>
      <c r="F4509">
        <v>0.18</v>
      </c>
      <c r="G4509" s="37" t="str">
        <f t="shared" si="351"/>
        <v>Normal Discount</v>
      </c>
      <c r="H4509" s="37" t="str">
        <f t="shared" si="352"/>
        <v>Low</v>
      </c>
      <c r="I4509">
        <v>1</v>
      </c>
      <c r="J4509" t="str" cm="1">
        <f t="array" ref="J4509">_xlfn.IFS(I4509&lt;=3,"small",I4509&lt;=6,"Medium",I4509&lt;=9,"Large")</f>
        <v>small</v>
      </c>
      <c r="K4509" s="36">
        <v>44957</v>
      </c>
      <c r="L4509" s="36">
        <v>44958</v>
      </c>
      <c r="M4509" t="s">
        <v>603</v>
      </c>
      <c r="N4509" t="s">
        <v>608</v>
      </c>
      <c r="O4509" s="37" t="str">
        <f t="shared" si="353"/>
        <v>Cash Payment</v>
      </c>
      <c r="P4509">
        <v>1029.06</v>
      </c>
      <c r="Q4509" s="37" t="str">
        <f>IF(P4509&gt;500,"High","low")</f>
        <v>High</v>
      </c>
      <c r="R4509" s="37" t="str">
        <f t="shared" si="354"/>
        <v>Excellent</v>
      </c>
      <c r="S4509" t="s">
        <v>605</v>
      </c>
    </row>
    <row r="4510" spans="1:19" x14ac:dyDescent="0.2">
      <c r="A4510" t="s">
        <v>5121</v>
      </c>
      <c r="B4510" t="s">
        <v>67</v>
      </c>
      <c r="C4510" t="s">
        <v>597</v>
      </c>
      <c r="D4510">
        <v>3155.84</v>
      </c>
      <c r="E4510" s="37" t="str">
        <f t="shared" si="350"/>
        <v xml:space="preserve"> </v>
      </c>
      <c r="F4510">
        <v>0.02</v>
      </c>
      <c r="G4510" s="37" t="str">
        <f t="shared" si="351"/>
        <v>Normal Discount</v>
      </c>
      <c r="H4510" s="37" t="str">
        <f t="shared" si="352"/>
        <v>Low</v>
      </c>
      <c r="I4510">
        <v>2</v>
      </c>
      <c r="J4510" t="str" cm="1">
        <f t="array" ref="J4510">_xlfn.IFS(I4510&lt;=3,"small",I4510&lt;=6,"Medium",I4510&lt;=9,"Large")</f>
        <v>small</v>
      </c>
      <c r="K4510" s="36">
        <v>45165</v>
      </c>
      <c r="L4510" s="36">
        <v>45168</v>
      </c>
      <c r="M4510" t="s">
        <v>598</v>
      </c>
      <c r="N4510" t="s">
        <v>599</v>
      </c>
      <c r="O4510" s="37" t="str">
        <f t="shared" si="353"/>
        <v>Digital Payment</v>
      </c>
      <c r="P4510">
        <v>359.12</v>
      </c>
      <c r="Q4510" s="37" t="str">
        <f>IF(P4510&gt;500,"High","low")</f>
        <v>low</v>
      </c>
      <c r="R4510" s="37" t="str">
        <f t="shared" si="354"/>
        <v>AVERAGE</v>
      </c>
      <c r="S4510" t="s">
        <v>600</v>
      </c>
    </row>
    <row r="4511" spans="1:19" x14ac:dyDescent="0.2">
      <c r="A4511" t="s">
        <v>5122</v>
      </c>
      <c r="B4511" t="s">
        <v>67</v>
      </c>
      <c r="C4511" t="s">
        <v>614</v>
      </c>
      <c r="D4511">
        <v>3662.56</v>
      </c>
      <c r="E4511" s="37" t="str">
        <f t="shared" si="350"/>
        <v xml:space="preserve"> </v>
      </c>
      <c r="F4511">
        <v>0.13</v>
      </c>
      <c r="G4511" s="37" t="str">
        <f t="shared" si="351"/>
        <v>Normal Discount</v>
      </c>
      <c r="H4511" s="37" t="str">
        <f t="shared" si="352"/>
        <v>Low</v>
      </c>
      <c r="I4511">
        <v>1</v>
      </c>
      <c r="J4511" t="str" cm="1">
        <f t="array" ref="J4511">_xlfn.IFS(I4511&lt;=3,"small",I4511&lt;=6,"Medium",I4511&lt;=9,"Large")</f>
        <v>small</v>
      </c>
      <c r="K4511" s="36">
        <v>45480</v>
      </c>
      <c r="L4511" s="36">
        <v>45486</v>
      </c>
      <c r="M4511" t="s">
        <v>603</v>
      </c>
      <c r="N4511" t="s">
        <v>604</v>
      </c>
      <c r="O4511" s="37" t="str">
        <f t="shared" si="353"/>
        <v>Digital Payment</v>
      </c>
      <c r="P4511">
        <v>949.34</v>
      </c>
      <c r="Q4511" s="37" t="str">
        <f>IF(P4511&gt;500,"High","low")</f>
        <v>High</v>
      </c>
      <c r="R4511" s="37" t="str">
        <f t="shared" si="354"/>
        <v>Good</v>
      </c>
      <c r="S4511" t="s">
        <v>615</v>
      </c>
    </row>
    <row r="4512" spans="1:19" x14ac:dyDescent="0.2">
      <c r="A4512" t="s">
        <v>5123</v>
      </c>
      <c r="B4512" t="s">
        <v>75</v>
      </c>
      <c r="C4512" t="s">
        <v>602</v>
      </c>
      <c r="D4512">
        <v>3979.63</v>
      </c>
      <c r="E4512" s="37" t="str">
        <f t="shared" si="350"/>
        <v xml:space="preserve"> </v>
      </c>
      <c r="F4512">
        <v>0.04</v>
      </c>
      <c r="G4512" s="37" t="str">
        <f t="shared" si="351"/>
        <v>Normal Discount</v>
      </c>
      <c r="H4512" s="37" t="str">
        <f t="shared" si="352"/>
        <v>Low</v>
      </c>
      <c r="I4512">
        <v>4</v>
      </c>
      <c r="J4512" t="str" cm="1">
        <f t="array" ref="J4512">_xlfn.IFS(I4512&lt;=3,"small",I4512&lt;=6,"Medium",I4512&lt;=9,"Large")</f>
        <v>Medium</v>
      </c>
      <c r="K4512" s="36">
        <v>45188</v>
      </c>
      <c r="L4512" s="36">
        <v>45191</v>
      </c>
      <c r="M4512" t="s">
        <v>603</v>
      </c>
      <c r="N4512" t="s">
        <v>604</v>
      </c>
      <c r="O4512" s="37" t="str">
        <f t="shared" si="353"/>
        <v>Digital Payment</v>
      </c>
      <c r="P4512">
        <v>1169.3</v>
      </c>
      <c r="Q4512" s="37" t="str">
        <f>IF(P4512&gt;500,"High","low")</f>
        <v>High</v>
      </c>
      <c r="R4512" s="37" t="str">
        <f t="shared" si="354"/>
        <v>Excellent</v>
      </c>
      <c r="S4512" t="s">
        <v>615</v>
      </c>
    </row>
    <row r="4513" spans="1:19" x14ac:dyDescent="0.2">
      <c r="A4513" t="s">
        <v>5124</v>
      </c>
      <c r="B4513" t="s">
        <v>67</v>
      </c>
      <c r="C4513" t="s">
        <v>614</v>
      </c>
      <c r="D4513">
        <v>2260.92</v>
      </c>
      <c r="E4513" s="37" t="str">
        <f t="shared" si="350"/>
        <v xml:space="preserve"> </v>
      </c>
      <c r="F4513">
        <v>0.04</v>
      </c>
      <c r="G4513" s="37" t="str">
        <f t="shared" si="351"/>
        <v>Normal Discount</v>
      </c>
      <c r="H4513" s="37" t="str">
        <f t="shared" si="352"/>
        <v>Low</v>
      </c>
      <c r="I4513">
        <v>9</v>
      </c>
      <c r="J4513" t="str" cm="1">
        <f t="array" ref="J4513">_xlfn.IFS(I4513&lt;=3,"small",I4513&lt;=6,"Medium",I4513&lt;=9,"Large")</f>
        <v>Large</v>
      </c>
      <c r="K4513" s="36">
        <v>45548</v>
      </c>
      <c r="L4513" s="36">
        <v>45550</v>
      </c>
      <c r="M4513" t="s">
        <v>603</v>
      </c>
      <c r="N4513" t="s">
        <v>599</v>
      </c>
      <c r="O4513" s="37" t="str">
        <f t="shared" si="353"/>
        <v>Digital Payment</v>
      </c>
      <c r="P4513">
        <v>153.72999999999999</v>
      </c>
      <c r="Q4513" s="37" t="str">
        <f>IF(P4513&gt;500,"High","low")</f>
        <v>low</v>
      </c>
      <c r="R4513" s="37" t="str">
        <f t="shared" si="354"/>
        <v>AVERAGE</v>
      </c>
      <c r="S4513" t="s">
        <v>609</v>
      </c>
    </row>
    <row r="4514" spans="1:19" x14ac:dyDescent="0.2">
      <c r="A4514" t="s">
        <v>5125</v>
      </c>
      <c r="B4514" t="s">
        <v>75</v>
      </c>
      <c r="C4514" t="s">
        <v>602</v>
      </c>
      <c r="D4514">
        <v>2648.81</v>
      </c>
      <c r="E4514" s="37" t="str">
        <f t="shared" si="350"/>
        <v xml:space="preserve"> </v>
      </c>
      <c r="F4514">
        <v>0.11</v>
      </c>
      <c r="G4514" s="37" t="str">
        <f t="shared" si="351"/>
        <v>Normal Discount</v>
      </c>
      <c r="H4514" s="37" t="str">
        <f t="shared" si="352"/>
        <v>Low</v>
      </c>
      <c r="I4514">
        <v>4</v>
      </c>
      <c r="J4514" t="str" cm="1">
        <f t="array" ref="J4514">_xlfn.IFS(I4514&lt;=3,"small",I4514&lt;=6,"Medium",I4514&lt;=9,"Large")</f>
        <v>Medium</v>
      </c>
      <c r="K4514" s="36">
        <v>45575</v>
      </c>
      <c r="L4514" s="36">
        <v>45582</v>
      </c>
      <c r="M4514" t="s">
        <v>612</v>
      </c>
      <c r="N4514" t="s">
        <v>608</v>
      </c>
      <c r="O4514" s="37" t="str">
        <f t="shared" si="353"/>
        <v>Cash Payment</v>
      </c>
      <c r="P4514">
        <v>583.66999999999996</v>
      </c>
      <c r="Q4514" s="37" t="str">
        <f>IF(P4514&gt;500,"High","low")</f>
        <v>High</v>
      </c>
      <c r="R4514" s="37" t="str">
        <f t="shared" si="354"/>
        <v>Good</v>
      </c>
      <c r="S4514" t="s">
        <v>615</v>
      </c>
    </row>
    <row r="4515" spans="1:19" x14ac:dyDescent="0.2">
      <c r="A4515" t="s">
        <v>5126</v>
      </c>
      <c r="B4515" t="s">
        <v>90</v>
      </c>
      <c r="C4515" t="s">
        <v>617</v>
      </c>
      <c r="D4515">
        <v>4933.47</v>
      </c>
      <c r="E4515" s="37" t="str">
        <f t="shared" si="350"/>
        <v xml:space="preserve"> </v>
      </c>
      <c r="F4515">
        <v>0.32</v>
      </c>
      <c r="G4515" s="37" t="str">
        <f t="shared" si="351"/>
        <v>Heavy Discount</v>
      </c>
      <c r="H4515" s="37" t="str">
        <f t="shared" si="352"/>
        <v>Medium</v>
      </c>
      <c r="I4515">
        <v>9</v>
      </c>
      <c r="J4515" t="str" cm="1">
        <f t="array" ref="J4515">_xlfn.IFS(I4515&lt;=3,"small",I4515&lt;=6,"Medium",I4515&lt;=9,"Large")</f>
        <v>Large</v>
      </c>
      <c r="K4515" s="36">
        <v>45640</v>
      </c>
      <c r="L4515" s="36">
        <v>45643</v>
      </c>
      <c r="M4515" t="s">
        <v>612</v>
      </c>
      <c r="N4515" t="s">
        <v>604</v>
      </c>
      <c r="O4515" s="37" t="str">
        <f t="shared" si="353"/>
        <v>Digital Payment</v>
      </c>
      <c r="P4515">
        <v>772.4</v>
      </c>
      <c r="Q4515" s="37" t="str">
        <f>IF(P4515&gt;500,"High","low")</f>
        <v>High</v>
      </c>
      <c r="R4515" s="37" t="str">
        <f t="shared" si="354"/>
        <v>Good</v>
      </c>
      <c r="S4515" t="s">
        <v>609</v>
      </c>
    </row>
    <row r="4516" spans="1:19" x14ac:dyDescent="0.2">
      <c r="A4516" t="s">
        <v>5127</v>
      </c>
      <c r="B4516" t="s">
        <v>90</v>
      </c>
      <c r="C4516" t="s">
        <v>617</v>
      </c>
      <c r="D4516">
        <v>4843.45</v>
      </c>
      <c r="E4516" s="37" t="str">
        <f t="shared" si="350"/>
        <v xml:space="preserve"> </v>
      </c>
      <c r="F4516">
        <v>0.41</v>
      </c>
      <c r="G4516" s="37" t="str">
        <f t="shared" si="351"/>
        <v>Heavy Discount</v>
      </c>
      <c r="H4516" s="37" t="str">
        <f t="shared" si="352"/>
        <v>High</v>
      </c>
      <c r="I4516">
        <v>6</v>
      </c>
      <c r="J4516" t="str" cm="1">
        <f t="array" ref="J4516">_xlfn.IFS(I4516&lt;=3,"small",I4516&lt;=6,"Medium",I4516&lt;=9,"Large")</f>
        <v>Medium</v>
      </c>
      <c r="K4516" s="36">
        <v>45524</v>
      </c>
      <c r="L4516" s="36">
        <v>45531</v>
      </c>
      <c r="M4516" t="s">
        <v>612</v>
      </c>
      <c r="N4516" t="s">
        <v>599</v>
      </c>
      <c r="O4516" s="37" t="str">
        <f t="shared" si="353"/>
        <v>Digital Payment</v>
      </c>
      <c r="P4516">
        <v>793.28</v>
      </c>
      <c r="Q4516" s="37" t="str">
        <f>IF(P4516&gt;500,"High","low")</f>
        <v>High</v>
      </c>
      <c r="R4516" s="37" t="str">
        <f t="shared" si="354"/>
        <v>Good</v>
      </c>
      <c r="S4516" t="s">
        <v>628</v>
      </c>
    </row>
    <row r="4517" spans="1:19" x14ac:dyDescent="0.2">
      <c r="A4517" t="s">
        <v>5128</v>
      </c>
      <c r="B4517" t="s">
        <v>67</v>
      </c>
      <c r="C4517" t="s">
        <v>614</v>
      </c>
      <c r="D4517">
        <v>2132.6</v>
      </c>
      <c r="E4517" s="37" t="str">
        <f t="shared" si="350"/>
        <v xml:space="preserve"> </v>
      </c>
      <c r="F4517">
        <v>0.41</v>
      </c>
      <c r="G4517" s="37" t="str">
        <f t="shared" si="351"/>
        <v>Heavy Discount</v>
      </c>
      <c r="H4517" s="37" t="str">
        <f t="shared" si="352"/>
        <v>High</v>
      </c>
      <c r="I4517">
        <v>5</v>
      </c>
      <c r="J4517" t="str" cm="1">
        <f t="array" ref="J4517">_xlfn.IFS(I4517&lt;=3,"small",I4517&lt;=6,"Medium",I4517&lt;=9,"Large")</f>
        <v>Medium</v>
      </c>
      <c r="K4517" s="36">
        <v>45405</v>
      </c>
      <c r="L4517" s="36">
        <v>45406</v>
      </c>
      <c r="M4517" t="s">
        <v>598</v>
      </c>
      <c r="N4517" t="s">
        <v>599</v>
      </c>
      <c r="O4517" s="37" t="str">
        <f t="shared" si="353"/>
        <v>Digital Payment</v>
      </c>
      <c r="P4517">
        <v>404.54</v>
      </c>
      <c r="Q4517" s="37" t="str">
        <f>IF(P4517&gt;500,"High","low")</f>
        <v>low</v>
      </c>
      <c r="R4517" s="37" t="str">
        <f t="shared" si="354"/>
        <v>AVERAGE</v>
      </c>
      <c r="S4517" t="s">
        <v>620</v>
      </c>
    </row>
    <row r="4518" spans="1:19" x14ac:dyDescent="0.2">
      <c r="A4518" t="s">
        <v>5129</v>
      </c>
      <c r="B4518" t="s">
        <v>67</v>
      </c>
      <c r="C4518" t="s">
        <v>614</v>
      </c>
      <c r="D4518">
        <v>3457.38</v>
      </c>
      <c r="E4518" s="37" t="str">
        <f t="shared" si="350"/>
        <v xml:space="preserve"> </v>
      </c>
      <c r="F4518">
        <v>0.47</v>
      </c>
      <c r="G4518" s="37" t="str">
        <f t="shared" si="351"/>
        <v>Heavy Discount</v>
      </c>
      <c r="H4518" s="37" t="str">
        <f t="shared" si="352"/>
        <v>High</v>
      </c>
      <c r="I4518">
        <v>4</v>
      </c>
      <c r="J4518" t="str" cm="1">
        <f t="array" ref="J4518">_xlfn.IFS(I4518&lt;=3,"small",I4518&lt;=6,"Medium",I4518&lt;=9,"Large")</f>
        <v>Medium</v>
      </c>
      <c r="K4518" s="36">
        <v>45107</v>
      </c>
      <c r="L4518" s="36">
        <v>45108</v>
      </c>
      <c r="M4518" t="s">
        <v>612</v>
      </c>
      <c r="N4518" t="s">
        <v>608</v>
      </c>
      <c r="O4518" s="37" t="str">
        <f t="shared" si="353"/>
        <v>Cash Payment</v>
      </c>
      <c r="P4518">
        <v>990.05</v>
      </c>
      <c r="Q4518" s="37" t="str">
        <f>IF(P4518&gt;500,"High","low")</f>
        <v>High</v>
      </c>
      <c r="R4518" s="37" t="str">
        <f t="shared" si="354"/>
        <v>Good</v>
      </c>
      <c r="S4518" t="s">
        <v>615</v>
      </c>
    </row>
    <row r="4519" spans="1:19" x14ac:dyDescent="0.2">
      <c r="A4519" t="s">
        <v>5130</v>
      </c>
      <c r="B4519" t="s">
        <v>83</v>
      </c>
      <c r="C4519" t="s">
        <v>602</v>
      </c>
      <c r="D4519">
        <v>1411.19</v>
      </c>
      <c r="E4519" s="37" t="str">
        <f t="shared" si="350"/>
        <v xml:space="preserve"> </v>
      </c>
      <c r="F4519">
        <v>0.33</v>
      </c>
      <c r="G4519" s="37" t="str">
        <f t="shared" si="351"/>
        <v>Heavy Discount</v>
      </c>
      <c r="H4519" s="37" t="str">
        <f t="shared" si="352"/>
        <v>Medium</v>
      </c>
      <c r="I4519">
        <v>2</v>
      </c>
      <c r="J4519" t="str" cm="1">
        <f t="array" ref="J4519">_xlfn.IFS(I4519&lt;=3,"small",I4519&lt;=6,"Medium",I4519&lt;=9,"Large")</f>
        <v>small</v>
      </c>
      <c r="K4519" s="36">
        <v>45300</v>
      </c>
      <c r="L4519" s="36">
        <v>45305</v>
      </c>
      <c r="M4519" t="s">
        <v>598</v>
      </c>
      <c r="N4519" t="s">
        <v>604</v>
      </c>
      <c r="O4519" s="37" t="str">
        <f t="shared" si="353"/>
        <v>Digital Payment</v>
      </c>
      <c r="P4519">
        <v>293.57</v>
      </c>
      <c r="Q4519" s="37" t="str">
        <f>IF(P4519&gt;500,"High","low")</f>
        <v>low</v>
      </c>
      <c r="R4519" s="37" t="str">
        <f t="shared" si="354"/>
        <v>AVERAGE</v>
      </c>
      <c r="S4519" t="s">
        <v>605</v>
      </c>
    </row>
    <row r="4520" spans="1:19" x14ac:dyDescent="0.2">
      <c r="A4520" t="s">
        <v>5131</v>
      </c>
      <c r="B4520" t="s">
        <v>67</v>
      </c>
      <c r="C4520" t="s">
        <v>602</v>
      </c>
      <c r="D4520">
        <v>848.22</v>
      </c>
      <c r="E4520" s="37" t="str">
        <f t="shared" si="350"/>
        <v xml:space="preserve"> </v>
      </c>
      <c r="F4520">
        <v>0.01</v>
      </c>
      <c r="G4520" s="37" t="str">
        <f t="shared" si="351"/>
        <v>Normal Discount</v>
      </c>
      <c r="H4520" s="37" t="str">
        <f t="shared" si="352"/>
        <v>Low</v>
      </c>
      <c r="I4520">
        <v>8</v>
      </c>
      <c r="J4520" t="str" cm="1">
        <f t="array" ref="J4520">_xlfn.IFS(I4520&lt;=3,"small",I4520&lt;=6,"Medium",I4520&lt;=9,"Large")</f>
        <v>Large</v>
      </c>
      <c r="K4520" s="36">
        <v>45521</v>
      </c>
      <c r="L4520" s="36">
        <v>45526</v>
      </c>
      <c r="M4520" t="s">
        <v>598</v>
      </c>
      <c r="N4520" t="s">
        <v>604</v>
      </c>
      <c r="O4520" s="37" t="str">
        <f t="shared" si="353"/>
        <v>Digital Payment</v>
      </c>
      <c r="P4520">
        <v>252.73</v>
      </c>
      <c r="Q4520" s="37" t="str">
        <f>IF(P4520&gt;500,"High","low")</f>
        <v>low</v>
      </c>
      <c r="R4520" s="37" t="str">
        <f t="shared" si="354"/>
        <v>AVERAGE</v>
      </c>
      <c r="S4520" t="s">
        <v>615</v>
      </c>
    </row>
    <row r="4521" spans="1:19" x14ac:dyDescent="0.2">
      <c r="A4521" t="s">
        <v>5132</v>
      </c>
      <c r="B4521" t="s">
        <v>83</v>
      </c>
      <c r="C4521" t="s">
        <v>597</v>
      </c>
      <c r="D4521">
        <v>3865.17</v>
      </c>
      <c r="E4521" s="37" t="str">
        <f t="shared" si="350"/>
        <v xml:space="preserve"> </v>
      </c>
      <c r="F4521">
        <v>0.19</v>
      </c>
      <c r="G4521" s="37" t="str">
        <f t="shared" si="351"/>
        <v>Normal Discount</v>
      </c>
      <c r="H4521" s="37" t="str">
        <f t="shared" si="352"/>
        <v>Low</v>
      </c>
      <c r="I4521">
        <v>3</v>
      </c>
      <c r="J4521" t="str" cm="1">
        <f t="array" ref="J4521">_xlfn.IFS(I4521&lt;=3,"small",I4521&lt;=6,"Medium",I4521&lt;=9,"Large")</f>
        <v>small</v>
      </c>
      <c r="K4521" s="36">
        <v>45287</v>
      </c>
      <c r="L4521" s="36">
        <v>45290</v>
      </c>
      <c r="M4521" t="s">
        <v>612</v>
      </c>
      <c r="N4521" t="s">
        <v>599</v>
      </c>
      <c r="O4521" s="37" t="str">
        <f t="shared" si="353"/>
        <v>Digital Payment</v>
      </c>
      <c r="P4521">
        <v>1125.97</v>
      </c>
      <c r="Q4521" s="37" t="str">
        <f>IF(P4521&gt;500,"High","low")</f>
        <v>High</v>
      </c>
      <c r="R4521" s="37" t="str">
        <f t="shared" si="354"/>
        <v>Excellent</v>
      </c>
      <c r="S4521" t="s">
        <v>605</v>
      </c>
    </row>
    <row r="4522" spans="1:19" x14ac:dyDescent="0.2">
      <c r="A4522" t="s">
        <v>5133</v>
      </c>
      <c r="B4522" t="s">
        <v>90</v>
      </c>
      <c r="C4522" t="s">
        <v>597</v>
      </c>
      <c r="D4522">
        <v>2237.2800000000002</v>
      </c>
      <c r="E4522" s="37" t="str">
        <f t="shared" si="350"/>
        <v xml:space="preserve"> </v>
      </c>
      <c r="F4522">
        <v>0.06</v>
      </c>
      <c r="G4522" s="37" t="str">
        <f t="shared" si="351"/>
        <v>Normal Discount</v>
      </c>
      <c r="H4522" s="37" t="str">
        <f t="shared" si="352"/>
        <v>Low</v>
      </c>
      <c r="I4522">
        <v>1</v>
      </c>
      <c r="J4522" t="str" cm="1">
        <f t="array" ref="J4522">_xlfn.IFS(I4522&lt;=3,"small",I4522&lt;=6,"Medium",I4522&lt;=9,"Large")</f>
        <v>small</v>
      </c>
      <c r="K4522" s="36">
        <v>45426</v>
      </c>
      <c r="L4522" s="36">
        <v>45427</v>
      </c>
      <c r="M4522" t="s">
        <v>612</v>
      </c>
      <c r="N4522" t="s">
        <v>599</v>
      </c>
      <c r="O4522" s="37" t="str">
        <f t="shared" si="353"/>
        <v>Digital Payment</v>
      </c>
      <c r="P4522">
        <v>590.80999999999995</v>
      </c>
      <c r="Q4522" s="37" t="str">
        <f>IF(P4522&gt;500,"High","low")</f>
        <v>High</v>
      </c>
      <c r="R4522" s="37" t="str">
        <f t="shared" si="354"/>
        <v>Good</v>
      </c>
      <c r="S4522" t="s">
        <v>609</v>
      </c>
    </row>
    <row r="4523" spans="1:19" x14ac:dyDescent="0.2">
      <c r="A4523" t="s">
        <v>5134</v>
      </c>
      <c r="B4523" t="s">
        <v>90</v>
      </c>
      <c r="C4523" t="s">
        <v>597</v>
      </c>
      <c r="D4523">
        <v>967.56</v>
      </c>
      <c r="E4523" s="37" t="str">
        <f t="shared" si="350"/>
        <v xml:space="preserve"> </v>
      </c>
      <c r="F4523">
        <v>0.39</v>
      </c>
      <c r="G4523" s="37" t="str">
        <f t="shared" si="351"/>
        <v>Heavy Discount</v>
      </c>
      <c r="H4523" s="37" t="str">
        <f t="shared" si="352"/>
        <v>Medium</v>
      </c>
      <c r="I4523">
        <v>7</v>
      </c>
      <c r="J4523" t="str" cm="1">
        <f t="array" ref="J4523">_xlfn.IFS(I4523&lt;=3,"small",I4523&lt;=6,"Medium",I4523&lt;=9,"Large")</f>
        <v>Large</v>
      </c>
      <c r="K4523" s="36">
        <v>45156</v>
      </c>
      <c r="L4523" s="36">
        <v>45159</v>
      </c>
      <c r="M4523" t="s">
        <v>598</v>
      </c>
      <c r="N4523" t="s">
        <v>604</v>
      </c>
      <c r="O4523" s="37" t="str">
        <f t="shared" si="353"/>
        <v>Digital Payment</v>
      </c>
      <c r="P4523">
        <v>217.49</v>
      </c>
      <c r="Q4523" s="37" t="str">
        <f>IF(P4523&gt;500,"High","low")</f>
        <v>low</v>
      </c>
      <c r="R4523" s="37" t="str">
        <f t="shared" si="354"/>
        <v>AVERAGE</v>
      </c>
      <c r="S4523" t="s">
        <v>628</v>
      </c>
    </row>
    <row r="4524" spans="1:19" x14ac:dyDescent="0.2">
      <c r="A4524" t="s">
        <v>5135</v>
      </c>
      <c r="B4524" t="s">
        <v>75</v>
      </c>
      <c r="C4524" t="s">
        <v>614</v>
      </c>
      <c r="D4524">
        <v>3818.35</v>
      </c>
      <c r="E4524" s="37" t="str">
        <f t="shared" si="350"/>
        <v xml:space="preserve"> </v>
      </c>
      <c r="F4524">
        <v>0.06</v>
      </c>
      <c r="G4524" s="37" t="str">
        <f t="shared" si="351"/>
        <v>Normal Discount</v>
      </c>
      <c r="H4524" s="37" t="str">
        <f t="shared" si="352"/>
        <v>Low</v>
      </c>
      <c r="I4524">
        <v>8</v>
      </c>
      <c r="J4524" t="str" cm="1">
        <f t="array" ref="J4524">_xlfn.IFS(I4524&lt;=3,"small",I4524&lt;=6,"Medium",I4524&lt;=9,"Large")</f>
        <v>Large</v>
      </c>
      <c r="K4524" s="36">
        <v>45198</v>
      </c>
      <c r="L4524" s="36">
        <v>45202</v>
      </c>
      <c r="M4524" t="s">
        <v>612</v>
      </c>
      <c r="N4524" t="s">
        <v>608</v>
      </c>
      <c r="O4524" s="37" t="str">
        <f t="shared" si="353"/>
        <v>Cash Payment</v>
      </c>
      <c r="P4524">
        <v>412.21</v>
      </c>
      <c r="Q4524" s="37" t="str">
        <f>IF(P4524&gt;500,"High","low")</f>
        <v>low</v>
      </c>
      <c r="R4524" s="37" t="str">
        <f t="shared" si="354"/>
        <v>AVERAGE</v>
      </c>
      <c r="S4524" t="s">
        <v>628</v>
      </c>
    </row>
    <row r="4525" spans="1:19" x14ac:dyDescent="0.2">
      <c r="A4525" t="s">
        <v>5136</v>
      </c>
      <c r="B4525" t="s">
        <v>90</v>
      </c>
      <c r="C4525" t="s">
        <v>597</v>
      </c>
      <c r="D4525">
        <v>4584.33</v>
      </c>
      <c r="E4525" s="37" t="str">
        <f t="shared" si="350"/>
        <v>Excellent Order</v>
      </c>
      <c r="F4525">
        <v>0.05</v>
      </c>
      <c r="G4525" s="37" t="str">
        <f t="shared" si="351"/>
        <v>Normal Discount</v>
      </c>
      <c r="H4525" s="37" t="str">
        <f t="shared" si="352"/>
        <v>Low</v>
      </c>
      <c r="I4525">
        <v>7</v>
      </c>
      <c r="J4525" t="str" cm="1">
        <f t="array" ref="J4525">_xlfn.IFS(I4525&lt;=3,"small",I4525&lt;=6,"Medium",I4525&lt;=9,"Large")</f>
        <v>Large</v>
      </c>
      <c r="K4525" s="36">
        <v>44939</v>
      </c>
      <c r="L4525" s="36">
        <v>44941</v>
      </c>
      <c r="M4525" t="s">
        <v>603</v>
      </c>
      <c r="N4525" t="s">
        <v>608</v>
      </c>
      <c r="O4525" s="37" t="str">
        <f t="shared" si="353"/>
        <v>Cash Payment</v>
      </c>
      <c r="P4525">
        <v>885.89</v>
      </c>
      <c r="Q4525" s="37" t="str">
        <f>IF(P4525&gt;500,"High","low")</f>
        <v>High</v>
      </c>
      <c r="R4525" s="37" t="str">
        <f t="shared" si="354"/>
        <v>Good</v>
      </c>
      <c r="S4525" t="s">
        <v>609</v>
      </c>
    </row>
    <row r="4526" spans="1:19" x14ac:dyDescent="0.2">
      <c r="A4526" t="s">
        <v>5137</v>
      </c>
      <c r="B4526" t="s">
        <v>83</v>
      </c>
      <c r="C4526" t="s">
        <v>614</v>
      </c>
      <c r="D4526">
        <v>4673.04</v>
      </c>
      <c r="E4526" s="37" t="str">
        <f t="shared" si="350"/>
        <v xml:space="preserve"> </v>
      </c>
      <c r="F4526">
        <v>0.01</v>
      </c>
      <c r="G4526" s="37" t="str">
        <f t="shared" si="351"/>
        <v>Normal Discount</v>
      </c>
      <c r="H4526" s="37" t="str">
        <f t="shared" si="352"/>
        <v>Low</v>
      </c>
      <c r="I4526">
        <v>4</v>
      </c>
      <c r="J4526" t="str" cm="1">
        <f t="array" ref="J4526">_xlfn.IFS(I4526&lt;=3,"small",I4526&lt;=6,"Medium",I4526&lt;=9,"Large")</f>
        <v>Medium</v>
      </c>
      <c r="K4526" s="36">
        <v>45348</v>
      </c>
      <c r="L4526" s="36">
        <v>45350</v>
      </c>
      <c r="M4526" t="s">
        <v>598</v>
      </c>
      <c r="N4526" t="s">
        <v>608</v>
      </c>
      <c r="O4526" s="37" t="str">
        <f t="shared" si="353"/>
        <v>Cash Payment</v>
      </c>
      <c r="P4526">
        <v>506.8</v>
      </c>
      <c r="Q4526" s="37" t="str">
        <f>IF(P4526&gt;500,"High","low")</f>
        <v>High</v>
      </c>
      <c r="R4526" s="37" t="str">
        <f t="shared" si="354"/>
        <v>Good</v>
      </c>
      <c r="S4526" t="s">
        <v>605</v>
      </c>
    </row>
    <row r="4527" spans="1:19" x14ac:dyDescent="0.2">
      <c r="A4527" t="s">
        <v>5138</v>
      </c>
      <c r="B4527" t="s">
        <v>67</v>
      </c>
      <c r="C4527" t="s">
        <v>617</v>
      </c>
      <c r="D4527">
        <v>3022.04</v>
      </c>
      <c r="E4527" s="37" t="str">
        <f t="shared" si="350"/>
        <v xml:space="preserve"> </v>
      </c>
      <c r="F4527">
        <v>0.48</v>
      </c>
      <c r="G4527" s="37" t="str">
        <f t="shared" si="351"/>
        <v>Heavy Discount</v>
      </c>
      <c r="H4527" s="37" t="str">
        <f t="shared" si="352"/>
        <v>High</v>
      </c>
      <c r="I4527">
        <v>8</v>
      </c>
      <c r="J4527" t="str" cm="1">
        <f t="array" ref="J4527">_xlfn.IFS(I4527&lt;=3,"small",I4527&lt;=6,"Medium",I4527&lt;=9,"Large")</f>
        <v>Large</v>
      </c>
      <c r="K4527" s="36">
        <v>45325</v>
      </c>
      <c r="L4527" s="36">
        <v>45326</v>
      </c>
      <c r="M4527" t="s">
        <v>612</v>
      </c>
      <c r="N4527" t="s">
        <v>599</v>
      </c>
      <c r="O4527" s="37" t="str">
        <f t="shared" si="353"/>
        <v>Digital Payment</v>
      </c>
      <c r="P4527">
        <v>872.04</v>
      </c>
      <c r="Q4527" s="37" t="str">
        <f>IF(P4527&gt;500,"High","low")</f>
        <v>High</v>
      </c>
      <c r="R4527" s="37" t="str">
        <f t="shared" si="354"/>
        <v>Good</v>
      </c>
      <c r="S4527" t="s">
        <v>605</v>
      </c>
    </row>
    <row r="4528" spans="1:19" x14ac:dyDescent="0.2">
      <c r="A4528" t="s">
        <v>5139</v>
      </c>
      <c r="B4528" t="s">
        <v>75</v>
      </c>
      <c r="C4528" t="s">
        <v>607</v>
      </c>
      <c r="D4528">
        <v>2450.2399999999998</v>
      </c>
      <c r="E4528" s="37" t="str">
        <f t="shared" si="350"/>
        <v xml:space="preserve"> </v>
      </c>
      <c r="F4528">
        <v>0.39</v>
      </c>
      <c r="G4528" s="37" t="str">
        <f t="shared" si="351"/>
        <v>Heavy Discount</v>
      </c>
      <c r="H4528" s="37" t="str">
        <f t="shared" si="352"/>
        <v>Medium</v>
      </c>
      <c r="I4528">
        <v>4</v>
      </c>
      <c r="J4528" t="str" cm="1">
        <f t="array" ref="J4528">_xlfn.IFS(I4528&lt;=3,"small",I4528&lt;=6,"Medium",I4528&lt;=9,"Large")</f>
        <v>Medium</v>
      </c>
      <c r="K4528" s="36">
        <v>44944</v>
      </c>
      <c r="L4528" s="36">
        <v>44948</v>
      </c>
      <c r="M4528" t="s">
        <v>598</v>
      </c>
      <c r="N4528" t="s">
        <v>599</v>
      </c>
      <c r="O4528" s="37" t="str">
        <f t="shared" si="353"/>
        <v>Digital Payment</v>
      </c>
      <c r="P4528">
        <v>709.83</v>
      </c>
      <c r="Q4528" s="37" t="str">
        <f>IF(P4528&gt;500,"High","low")</f>
        <v>High</v>
      </c>
      <c r="R4528" s="37" t="str">
        <f t="shared" si="354"/>
        <v>Good</v>
      </c>
      <c r="S4528" t="s">
        <v>628</v>
      </c>
    </row>
    <row r="4529" spans="1:19" x14ac:dyDescent="0.2">
      <c r="A4529" t="s">
        <v>5140</v>
      </c>
      <c r="B4529" t="s">
        <v>83</v>
      </c>
      <c r="C4529" t="s">
        <v>617</v>
      </c>
      <c r="D4529">
        <v>795.15</v>
      </c>
      <c r="E4529" s="37" t="str">
        <f t="shared" si="350"/>
        <v xml:space="preserve"> </v>
      </c>
      <c r="F4529">
        <v>0.17</v>
      </c>
      <c r="G4529" s="37" t="str">
        <f t="shared" si="351"/>
        <v>Normal Discount</v>
      </c>
      <c r="H4529" s="37" t="str">
        <f t="shared" si="352"/>
        <v>Low</v>
      </c>
      <c r="I4529">
        <v>5</v>
      </c>
      <c r="J4529" t="str" cm="1">
        <f t="array" ref="J4529">_xlfn.IFS(I4529&lt;=3,"small",I4529&lt;=6,"Medium",I4529&lt;=9,"Large")</f>
        <v>Medium</v>
      </c>
      <c r="K4529" s="36">
        <v>45326</v>
      </c>
      <c r="L4529" s="36">
        <v>45327</v>
      </c>
      <c r="M4529" t="s">
        <v>598</v>
      </c>
      <c r="N4529" t="s">
        <v>608</v>
      </c>
      <c r="O4529" s="37" t="str">
        <f t="shared" si="353"/>
        <v>Cash Payment</v>
      </c>
      <c r="P4529">
        <v>105.87</v>
      </c>
      <c r="Q4529" s="37" t="str">
        <f>IF(P4529&gt;500,"High","low")</f>
        <v>low</v>
      </c>
      <c r="R4529" s="37" t="str">
        <f t="shared" si="354"/>
        <v>AVERAGE</v>
      </c>
      <c r="S4529" t="s">
        <v>628</v>
      </c>
    </row>
    <row r="4530" spans="1:19" x14ac:dyDescent="0.2">
      <c r="A4530" t="s">
        <v>5141</v>
      </c>
      <c r="B4530" t="s">
        <v>67</v>
      </c>
      <c r="C4530" t="s">
        <v>614</v>
      </c>
      <c r="D4530">
        <v>3984.67</v>
      </c>
      <c r="E4530" s="37" t="str">
        <f t="shared" si="350"/>
        <v xml:space="preserve"> </v>
      </c>
      <c r="F4530">
        <v>0.19</v>
      </c>
      <c r="G4530" s="37" t="str">
        <f t="shared" si="351"/>
        <v>Normal Discount</v>
      </c>
      <c r="H4530" s="37" t="str">
        <f t="shared" si="352"/>
        <v>Low</v>
      </c>
      <c r="I4530">
        <v>8</v>
      </c>
      <c r="J4530" t="str" cm="1">
        <f t="array" ref="J4530">_xlfn.IFS(I4530&lt;=3,"small",I4530&lt;=6,"Medium",I4530&lt;=9,"Large")</f>
        <v>Large</v>
      </c>
      <c r="K4530" s="36">
        <v>45095</v>
      </c>
      <c r="L4530" s="36">
        <v>45099</v>
      </c>
      <c r="M4530" t="s">
        <v>612</v>
      </c>
      <c r="N4530" t="s">
        <v>604</v>
      </c>
      <c r="O4530" s="37" t="str">
        <f t="shared" si="353"/>
        <v>Digital Payment</v>
      </c>
      <c r="P4530">
        <v>247.16</v>
      </c>
      <c r="Q4530" s="37" t="str">
        <f>IF(P4530&gt;500,"High","low")</f>
        <v>low</v>
      </c>
      <c r="R4530" s="37" t="str">
        <f t="shared" si="354"/>
        <v>AVERAGE</v>
      </c>
      <c r="S4530" t="s">
        <v>615</v>
      </c>
    </row>
    <row r="4531" spans="1:19" x14ac:dyDescent="0.2">
      <c r="A4531" t="s">
        <v>5142</v>
      </c>
      <c r="B4531" t="s">
        <v>75</v>
      </c>
      <c r="C4531" t="s">
        <v>614</v>
      </c>
      <c r="D4531">
        <v>4732.08</v>
      </c>
      <c r="E4531" s="37" t="str">
        <f t="shared" si="350"/>
        <v>Excellent Order</v>
      </c>
      <c r="F4531">
        <v>0.03</v>
      </c>
      <c r="G4531" s="37" t="str">
        <f t="shared" si="351"/>
        <v>Normal Discount</v>
      </c>
      <c r="H4531" s="37" t="str">
        <f t="shared" si="352"/>
        <v>Low</v>
      </c>
      <c r="I4531">
        <v>2</v>
      </c>
      <c r="J4531" t="str" cm="1">
        <f t="array" ref="J4531">_xlfn.IFS(I4531&lt;=3,"small",I4531&lt;=6,"Medium",I4531&lt;=9,"Large")</f>
        <v>small</v>
      </c>
      <c r="K4531" s="36">
        <v>44976</v>
      </c>
      <c r="L4531" s="36">
        <v>44983</v>
      </c>
      <c r="M4531" t="s">
        <v>612</v>
      </c>
      <c r="N4531" t="s">
        <v>599</v>
      </c>
      <c r="O4531" s="37" t="str">
        <f t="shared" si="353"/>
        <v>Digital Payment</v>
      </c>
      <c r="P4531">
        <v>1215.8900000000001</v>
      </c>
      <c r="Q4531" s="37" t="str">
        <f>IF(P4531&gt;500,"High","low")</f>
        <v>High</v>
      </c>
      <c r="R4531" s="37" t="str">
        <f t="shared" si="354"/>
        <v>Excellent</v>
      </c>
      <c r="S4531" t="s">
        <v>628</v>
      </c>
    </row>
    <row r="4532" spans="1:19" x14ac:dyDescent="0.2">
      <c r="A4532" t="s">
        <v>5143</v>
      </c>
      <c r="B4532" t="s">
        <v>90</v>
      </c>
      <c r="C4532" t="s">
        <v>607</v>
      </c>
      <c r="D4532">
        <v>4458.3599999999997</v>
      </c>
      <c r="E4532" s="37" t="str">
        <f t="shared" si="350"/>
        <v xml:space="preserve"> </v>
      </c>
      <c r="F4532">
        <v>0.08</v>
      </c>
      <c r="G4532" s="37" t="str">
        <f t="shared" si="351"/>
        <v>Normal Discount</v>
      </c>
      <c r="H4532" s="37" t="str">
        <f t="shared" si="352"/>
        <v>Low</v>
      </c>
      <c r="I4532">
        <v>8</v>
      </c>
      <c r="J4532" t="str" cm="1">
        <f t="array" ref="J4532">_xlfn.IFS(I4532&lt;=3,"small",I4532&lt;=6,"Medium",I4532&lt;=9,"Large")</f>
        <v>Large</v>
      </c>
      <c r="K4532" s="36">
        <v>45032</v>
      </c>
      <c r="L4532" s="36">
        <v>45039</v>
      </c>
      <c r="M4532" t="s">
        <v>598</v>
      </c>
      <c r="N4532" t="s">
        <v>599</v>
      </c>
      <c r="O4532" s="37" t="str">
        <f t="shared" si="353"/>
        <v>Digital Payment</v>
      </c>
      <c r="P4532">
        <v>615.36</v>
      </c>
      <c r="Q4532" s="37" t="str">
        <f>IF(P4532&gt;500,"High","low")</f>
        <v>High</v>
      </c>
      <c r="R4532" s="37" t="str">
        <f t="shared" si="354"/>
        <v>Good</v>
      </c>
      <c r="S4532" t="s">
        <v>615</v>
      </c>
    </row>
    <row r="4533" spans="1:19" x14ac:dyDescent="0.2">
      <c r="A4533" t="s">
        <v>5144</v>
      </c>
      <c r="B4533" t="s">
        <v>83</v>
      </c>
      <c r="C4533" t="s">
        <v>602</v>
      </c>
      <c r="D4533">
        <v>3783.74</v>
      </c>
      <c r="E4533" s="37" t="str">
        <f t="shared" si="350"/>
        <v xml:space="preserve"> </v>
      </c>
      <c r="F4533">
        <v>0.16</v>
      </c>
      <c r="G4533" s="37" t="str">
        <f t="shared" si="351"/>
        <v>Normal Discount</v>
      </c>
      <c r="H4533" s="37" t="str">
        <f t="shared" si="352"/>
        <v>Low</v>
      </c>
      <c r="I4533">
        <v>5</v>
      </c>
      <c r="J4533" t="str" cm="1">
        <f t="array" ref="J4533">_xlfn.IFS(I4533&lt;=3,"small",I4533&lt;=6,"Medium",I4533&lt;=9,"Large")</f>
        <v>Medium</v>
      </c>
      <c r="K4533" s="36">
        <v>45034</v>
      </c>
      <c r="L4533" s="36">
        <v>45040</v>
      </c>
      <c r="M4533" t="s">
        <v>612</v>
      </c>
      <c r="N4533" t="s">
        <v>604</v>
      </c>
      <c r="O4533" s="37" t="str">
        <f t="shared" si="353"/>
        <v>Digital Payment</v>
      </c>
      <c r="P4533">
        <v>491.43</v>
      </c>
      <c r="Q4533" s="37" t="str">
        <f>IF(P4533&gt;500,"High","low")</f>
        <v>low</v>
      </c>
      <c r="R4533" s="37" t="str">
        <f t="shared" si="354"/>
        <v>AVERAGE</v>
      </c>
      <c r="S4533" t="s">
        <v>615</v>
      </c>
    </row>
    <row r="4534" spans="1:19" x14ac:dyDescent="0.2">
      <c r="A4534" t="s">
        <v>5145</v>
      </c>
      <c r="B4534" t="s">
        <v>67</v>
      </c>
      <c r="C4534" t="s">
        <v>602</v>
      </c>
      <c r="D4534">
        <v>122.39</v>
      </c>
      <c r="E4534" s="37" t="str">
        <f t="shared" si="350"/>
        <v xml:space="preserve"> </v>
      </c>
      <c r="F4534">
        <v>0.19</v>
      </c>
      <c r="G4534" s="37" t="str">
        <f t="shared" si="351"/>
        <v>Normal Discount</v>
      </c>
      <c r="H4534" s="37" t="str">
        <f t="shared" si="352"/>
        <v>Low</v>
      </c>
      <c r="I4534">
        <v>5</v>
      </c>
      <c r="J4534" t="str" cm="1">
        <f t="array" ref="J4534">_xlfn.IFS(I4534&lt;=3,"small",I4534&lt;=6,"Medium",I4534&lt;=9,"Large")</f>
        <v>Medium</v>
      </c>
      <c r="K4534" s="36">
        <v>45123</v>
      </c>
      <c r="L4534" s="36">
        <v>45130</v>
      </c>
      <c r="M4534" t="s">
        <v>612</v>
      </c>
      <c r="N4534" t="s">
        <v>599</v>
      </c>
      <c r="O4534" s="37" t="str">
        <f t="shared" si="353"/>
        <v>Digital Payment</v>
      </c>
      <c r="P4534">
        <v>23.86</v>
      </c>
      <c r="Q4534" s="37" t="str">
        <f>IF(P4534&gt;500,"High","low")</f>
        <v>low</v>
      </c>
      <c r="R4534" s="37" t="str">
        <f t="shared" si="354"/>
        <v>AVERAGE</v>
      </c>
      <c r="S4534" t="s">
        <v>605</v>
      </c>
    </row>
    <row r="4535" spans="1:19" x14ac:dyDescent="0.2">
      <c r="A4535" t="s">
        <v>5146</v>
      </c>
      <c r="B4535" t="s">
        <v>75</v>
      </c>
      <c r="C4535" t="s">
        <v>602</v>
      </c>
      <c r="D4535">
        <v>2097.98</v>
      </c>
      <c r="E4535" s="37" t="str">
        <f t="shared" si="350"/>
        <v xml:space="preserve"> </v>
      </c>
      <c r="F4535">
        <v>0.31</v>
      </c>
      <c r="G4535" s="37" t="str">
        <f t="shared" si="351"/>
        <v>Heavy Discount</v>
      </c>
      <c r="H4535" s="37" t="str">
        <f t="shared" si="352"/>
        <v>Medium</v>
      </c>
      <c r="I4535">
        <v>7</v>
      </c>
      <c r="J4535" t="str" cm="1">
        <f t="array" ref="J4535">_xlfn.IFS(I4535&lt;=3,"small",I4535&lt;=6,"Medium",I4535&lt;=9,"Large")</f>
        <v>Large</v>
      </c>
      <c r="K4535" s="36">
        <v>45145</v>
      </c>
      <c r="L4535" s="36">
        <v>45146</v>
      </c>
      <c r="M4535" t="s">
        <v>598</v>
      </c>
      <c r="N4535" t="s">
        <v>599</v>
      </c>
      <c r="O4535" s="37" t="str">
        <f t="shared" si="353"/>
        <v>Digital Payment</v>
      </c>
      <c r="P4535">
        <v>105.15</v>
      </c>
      <c r="Q4535" s="37" t="str">
        <f>IF(P4535&gt;500,"High","low")</f>
        <v>low</v>
      </c>
      <c r="R4535" s="37" t="str">
        <f t="shared" si="354"/>
        <v>AVERAGE</v>
      </c>
      <c r="S4535" t="s">
        <v>600</v>
      </c>
    </row>
    <row r="4536" spans="1:19" x14ac:dyDescent="0.2">
      <c r="A4536" t="s">
        <v>5147</v>
      </c>
      <c r="B4536" t="s">
        <v>75</v>
      </c>
      <c r="C4536" t="s">
        <v>597</v>
      </c>
      <c r="D4536">
        <v>2112.5</v>
      </c>
      <c r="E4536" s="37" t="str">
        <f t="shared" si="350"/>
        <v xml:space="preserve"> </v>
      </c>
      <c r="F4536">
        <v>0.18</v>
      </c>
      <c r="G4536" s="37" t="str">
        <f t="shared" si="351"/>
        <v>Normal Discount</v>
      </c>
      <c r="H4536" s="37" t="str">
        <f t="shared" si="352"/>
        <v>Low</v>
      </c>
      <c r="I4536">
        <v>4</v>
      </c>
      <c r="J4536" t="str" cm="1">
        <f t="array" ref="J4536">_xlfn.IFS(I4536&lt;=3,"small",I4536&lt;=6,"Medium",I4536&lt;=9,"Large")</f>
        <v>Medium</v>
      </c>
      <c r="K4536" s="36">
        <v>45054</v>
      </c>
      <c r="L4536" s="36">
        <v>45059</v>
      </c>
      <c r="M4536" t="s">
        <v>603</v>
      </c>
      <c r="N4536" t="s">
        <v>608</v>
      </c>
      <c r="O4536" s="37" t="str">
        <f t="shared" si="353"/>
        <v>Cash Payment</v>
      </c>
      <c r="P4536">
        <v>303.66000000000003</v>
      </c>
      <c r="Q4536" s="37" t="str">
        <f>IF(P4536&gt;500,"High","low")</f>
        <v>low</v>
      </c>
      <c r="R4536" s="37" t="str">
        <f t="shared" si="354"/>
        <v>AVERAGE</v>
      </c>
      <c r="S4536" t="s">
        <v>620</v>
      </c>
    </row>
    <row r="4537" spans="1:19" x14ac:dyDescent="0.2">
      <c r="A4537" t="s">
        <v>5148</v>
      </c>
      <c r="B4537" t="s">
        <v>90</v>
      </c>
      <c r="C4537" t="s">
        <v>602</v>
      </c>
      <c r="D4537">
        <v>4482.3999999999996</v>
      </c>
      <c r="E4537" s="37" t="str">
        <f t="shared" si="350"/>
        <v xml:space="preserve"> </v>
      </c>
      <c r="F4537">
        <v>0.48</v>
      </c>
      <c r="G4537" s="37" t="str">
        <f t="shared" si="351"/>
        <v>Heavy Discount</v>
      </c>
      <c r="H4537" s="37" t="str">
        <f t="shared" si="352"/>
        <v>High</v>
      </c>
      <c r="I4537">
        <v>3</v>
      </c>
      <c r="J4537" t="str" cm="1">
        <f t="array" ref="J4537">_xlfn.IFS(I4537&lt;=3,"small",I4537&lt;=6,"Medium",I4537&lt;=9,"Large")</f>
        <v>small</v>
      </c>
      <c r="K4537" s="36">
        <v>45632</v>
      </c>
      <c r="L4537" s="36">
        <v>45635</v>
      </c>
      <c r="M4537" t="s">
        <v>612</v>
      </c>
      <c r="N4537" t="s">
        <v>608</v>
      </c>
      <c r="O4537" s="37" t="str">
        <f t="shared" si="353"/>
        <v>Cash Payment</v>
      </c>
      <c r="P4537">
        <v>690.7</v>
      </c>
      <c r="Q4537" s="37" t="str">
        <f>IF(P4537&gt;500,"High","low")</f>
        <v>High</v>
      </c>
      <c r="R4537" s="37" t="str">
        <f t="shared" si="354"/>
        <v>Good</v>
      </c>
      <c r="S4537" t="s">
        <v>615</v>
      </c>
    </row>
    <row r="4538" spans="1:19" x14ac:dyDescent="0.2">
      <c r="A4538" t="s">
        <v>5149</v>
      </c>
      <c r="B4538" t="s">
        <v>67</v>
      </c>
      <c r="C4538" t="s">
        <v>597</v>
      </c>
      <c r="D4538">
        <v>421.69</v>
      </c>
      <c r="E4538" s="37" t="str">
        <f t="shared" si="350"/>
        <v xml:space="preserve"> </v>
      </c>
      <c r="F4538">
        <v>0.17</v>
      </c>
      <c r="G4538" s="37" t="str">
        <f t="shared" si="351"/>
        <v>Normal Discount</v>
      </c>
      <c r="H4538" s="37" t="str">
        <f t="shared" si="352"/>
        <v>Low</v>
      </c>
      <c r="I4538">
        <v>6</v>
      </c>
      <c r="J4538" t="str" cm="1">
        <f t="array" ref="J4538">_xlfn.IFS(I4538&lt;=3,"small",I4538&lt;=6,"Medium",I4538&lt;=9,"Large")</f>
        <v>Medium</v>
      </c>
      <c r="K4538" s="36">
        <v>44967</v>
      </c>
      <c r="L4538" s="36">
        <v>44969</v>
      </c>
      <c r="M4538" t="s">
        <v>603</v>
      </c>
      <c r="N4538" t="s">
        <v>604</v>
      </c>
      <c r="O4538" s="37" t="str">
        <f t="shared" si="353"/>
        <v>Digital Payment</v>
      </c>
      <c r="P4538">
        <v>123.43</v>
      </c>
      <c r="Q4538" s="37" t="str">
        <f>IF(P4538&gt;500,"High","low")</f>
        <v>low</v>
      </c>
      <c r="R4538" s="37" t="str">
        <f t="shared" si="354"/>
        <v>AVERAGE</v>
      </c>
      <c r="S4538" t="s">
        <v>615</v>
      </c>
    </row>
    <row r="4539" spans="1:19" x14ac:dyDescent="0.2">
      <c r="A4539" t="s">
        <v>5150</v>
      </c>
      <c r="B4539" t="s">
        <v>90</v>
      </c>
      <c r="C4539" t="s">
        <v>597</v>
      </c>
      <c r="D4539">
        <v>2702.99</v>
      </c>
      <c r="E4539" s="37" t="str">
        <f t="shared" si="350"/>
        <v xml:space="preserve"> </v>
      </c>
      <c r="F4539">
        <v>0.47</v>
      </c>
      <c r="G4539" s="37" t="str">
        <f t="shared" si="351"/>
        <v>Heavy Discount</v>
      </c>
      <c r="H4539" s="37" t="str">
        <f t="shared" si="352"/>
        <v>High</v>
      </c>
      <c r="I4539">
        <v>6</v>
      </c>
      <c r="J4539" t="str" cm="1">
        <f t="array" ref="J4539">_xlfn.IFS(I4539&lt;=3,"small",I4539&lt;=6,"Medium",I4539&lt;=9,"Large")</f>
        <v>Medium</v>
      </c>
      <c r="K4539" s="36">
        <v>45296</v>
      </c>
      <c r="L4539" s="36">
        <v>45298</v>
      </c>
      <c r="M4539" t="s">
        <v>603</v>
      </c>
      <c r="N4539" t="s">
        <v>608</v>
      </c>
      <c r="O4539" s="37" t="str">
        <f t="shared" si="353"/>
        <v>Cash Payment</v>
      </c>
      <c r="P4539">
        <v>242.18</v>
      </c>
      <c r="Q4539" s="37" t="str">
        <f>IF(P4539&gt;500,"High","low")</f>
        <v>low</v>
      </c>
      <c r="R4539" s="37" t="str">
        <f t="shared" si="354"/>
        <v>AVERAGE</v>
      </c>
      <c r="S4539" t="s">
        <v>609</v>
      </c>
    </row>
    <row r="4540" spans="1:19" x14ac:dyDescent="0.2">
      <c r="A4540" t="s">
        <v>5151</v>
      </c>
      <c r="B4540" t="s">
        <v>90</v>
      </c>
      <c r="C4540" t="s">
        <v>602</v>
      </c>
      <c r="D4540">
        <v>767.06</v>
      </c>
      <c r="E4540" s="37" t="str">
        <f t="shared" si="350"/>
        <v xml:space="preserve"> </v>
      </c>
      <c r="F4540">
        <v>0.36</v>
      </c>
      <c r="G4540" s="37" t="str">
        <f t="shared" si="351"/>
        <v>Heavy Discount</v>
      </c>
      <c r="H4540" s="37" t="str">
        <f t="shared" si="352"/>
        <v>Medium</v>
      </c>
      <c r="I4540">
        <v>6</v>
      </c>
      <c r="J4540" t="str" cm="1">
        <f t="array" ref="J4540">_xlfn.IFS(I4540&lt;=3,"small",I4540&lt;=6,"Medium",I4540&lt;=9,"Large")</f>
        <v>Medium</v>
      </c>
      <c r="K4540" s="36">
        <v>45558</v>
      </c>
      <c r="L4540" s="36">
        <v>45564</v>
      </c>
      <c r="M4540" t="s">
        <v>603</v>
      </c>
      <c r="N4540" t="s">
        <v>599</v>
      </c>
      <c r="O4540" s="37" t="str">
        <f t="shared" si="353"/>
        <v>Digital Payment</v>
      </c>
      <c r="P4540">
        <v>67.239999999999995</v>
      </c>
      <c r="Q4540" s="37" t="str">
        <f>IF(P4540&gt;500,"High","low")</f>
        <v>low</v>
      </c>
      <c r="R4540" s="37" t="str">
        <f t="shared" si="354"/>
        <v>AVERAGE</v>
      </c>
      <c r="S4540" t="s">
        <v>620</v>
      </c>
    </row>
    <row r="4541" spans="1:19" x14ac:dyDescent="0.2">
      <c r="A4541" t="s">
        <v>5152</v>
      </c>
      <c r="B4541" t="s">
        <v>67</v>
      </c>
      <c r="C4541" t="s">
        <v>602</v>
      </c>
      <c r="D4541">
        <v>3345.24</v>
      </c>
      <c r="E4541" s="37" t="str">
        <f t="shared" si="350"/>
        <v xml:space="preserve"> </v>
      </c>
      <c r="F4541">
        <v>0.45</v>
      </c>
      <c r="G4541" s="37" t="str">
        <f t="shared" si="351"/>
        <v>Heavy Discount</v>
      </c>
      <c r="H4541" s="37" t="str">
        <f t="shared" si="352"/>
        <v>High</v>
      </c>
      <c r="I4541">
        <v>7</v>
      </c>
      <c r="J4541" t="str" cm="1">
        <f t="array" ref="J4541">_xlfn.IFS(I4541&lt;=3,"small",I4541&lt;=6,"Medium",I4541&lt;=9,"Large")</f>
        <v>Large</v>
      </c>
      <c r="K4541" s="36">
        <v>45465</v>
      </c>
      <c r="L4541" s="36">
        <v>45469</v>
      </c>
      <c r="M4541" t="s">
        <v>603</v>
      </c>
      <c r="N4541" t="s">
        <v>608</v>
      </c>
      <c r="O4541" s="37" t="str">
        <f t="shared" si="353"/>
        <v>Cash Payment</v>
      </c>
      <c r="P4541">
        <v>685.24</v>
      </c>
      <c r="Q4541" s="37" t="str">
        <f>IF(P4541&gt;500,"High","low")</f>
        <v>High</v>
      </c>
      <c r="R4541" s="37" t="str">
        <f t="shared" si="354"/>
        <v>Good</v>
      </c>
      <c r="S4541" t="s">
        <v>600</v>
      </c>
    </row>
    <row r="4542" spans="1:19" x14ac:dyDescent="0.2">
      <c r="A4542" t="s">
        <v>5153</v>
      </c>
      <c r="B4542" t="s">
        <v>67</v>
      </c>
      <c r="C4542" t="s">
        <v>607</v>
      </c>
      <c r="D4542">
        <v>3982.05</v>
      </c>
      <c r="E4542" s="37" t="str">
        <f t="shared" si="350"/>
        <v xml:space="preserve"> </v>
      </c>
      <c r="F4542">
        <v>0.35</v>
      </c>
      <c r="G4542" s="37" t="str">
        <f t="shared" si="351"/>
        <v>Heavy Discount</v>
      </c>
      <c r="H4542" s="37" t="str">
        <f t="shared" si="352"/>
        <v>Medium</v>
      </c>
      <c r="I4542">
        <v>4</v>
      </c>
      <c r="J4542" t="str" cm="1">
        <f t="array" ref="J4542">_xlfn.IFS(I4542&lt;=3,"small",I4542&lt;=6,"Medium",I4542&lt;=9,"Large")</f>
        <v>Medium</v>
      </c>
      <c r="K4542" s="36">
        <v>45625</v>
      </c>
      <c r="L4542" s="36">
        <v>45630</v>
      </c>
      <c r="M4542" t="s">
        <v>612</v>
      </c>
      <c r="N4542" t="s">
        <v>608</v>
      </c>
      <c r="O4542" s="37" t="str">
        <f t="shared" si="353"/>
        <v>Cash Payment</v>
      </c>
      <c r="P4542">
        <v>276.94</v>
      </c>
      <c r="Q4542" s="37" t="str">
        <f>IF(P4542&gt;500,"High","low")</f>
        <v>low</v>
      </c>
      <c r="R4542" s="37" t="str">
        <f t="shared" si="354"/>
        <v>AVERAGE</v>
      </c>
      <c r="S4542" t="s">
        <v>628</v>
      </c>
    </row>
    <row r="4543" spans="1:19" x14ac:dyDescent="0.2">
      <c r="A4543" t="s">
        <v>5154</v>
      </c>
      <c r="B4543" t="s">
        <v>67</v>
      </c>
      <c r="C4543" t="s">
        <v>607</v>
      </c>
      <c r="D4543">
        <v>3245.6</v>
      </c>
      <c r="E4543" s="37" t="str">
        <f t="shared" si="350"/>
        <v xml:space="preserve"> </v>
      </c>
      <c r="F4543">
        <v>0.28000000000000003</v>
      </c>
      <c r="G4543" s="37" t="str">
        <f t="shared" si="351"/>
        <v>Normal Discount</v>
      </c>
      <c r="H4543" s="37" t="str">
        <f t="shared" si="352"/>
        <v>Medium</v>
      </c>
      <c r="I4543">
        <v>3</v>
      </c>
      <c r="J4543" t="str" cm="1">
        <f t="array" ref="J4543">_xlfn.IFS(I4543&lt;=3,"small",I4543&lt;=6,"Medium",I4543&lt;=9,"Large")</f>
        <v>small</v>
      </c>
      <c r="K4543" s="36">
        <v>45247</v>
      </c>
      <c r="L4543" s="36">
        <v>45251</v>
      </c>
      <c r="M4543" t="s">
        <v>603</v>
      </c>
      <c r="N4543" t="s">
        <v>599</v>
      </c>
      <c r="O4543" s="37" t="str">
        <f t="shared" si="353"/>
        <v>Digital Payment</v>
      </c>
      <c r="P4543">
        <v>666.22</v>
      </c>
      <c r="Q4543" s="37" t="str">
        <f>IF(P4543&gt;500,"High","low")</f>
        <v>High</v>
      </c>
      <c r="R4543" s="37" t="str">
        <f t="shared" si="354"/>
        <v>Good</v>
      </c>
      <c r="S4543" t="s">
        <v>605</v>
      </c>
    </row>
    <row r="4544" spans="1:19" x14ac:dyDescent="0.2">
      <c r="A4544" t="s">
        <v>5155</v>
      </c>
      <c r="B4544" t="s">
        <v>83</v>
      </c>
      <c r="C4544" t="s">
        <v>597</v>
      </c>
      <c r="D4544">
        <v>3993.47</v>
      </c>
      <c r="E4544" s="37" t="str">
        <f t="shared" si="350"/>
        <v xml:space="preserve"> </v>
      </c>
      <c r="F4544">
        <v>0.25</v>
      </c>
      <c r="G4544" s="37" t="str">
        <f t="shared" si="351"/>
        <v>Normal Discount</v>
      </c>
      <c r="H4544" s="37" t="str">
        <f t="shared" si="352"/>
        <v>Medium</v>
      </c>
      <c r="I4544">
        <v>3</v>
      </c>
      <c r="J4544" t="str" cm="1">
        <f t="array" ref="J4544">_xlfn.IFS(I4544&lt;=3,"small",I4544&lt;=6,"Medium",I4544&lt;=9,"Large")</f>
        <v>small</v>
      </c>
      <c r="K4544" s="36">
        <v>45309</v>
      </c>
      <c r="L4544" s="36">
        <v>45314</v>
      </c>
      <c r="M4544" t="s">
        <v>598</v>
      </c>
      <c r="N4544" t="s">
        <v>599</v>
      </c>
      <c r="O4544" s="37" t="str">
        <f t="shared" si="353"/>
        <v>Digital Payment</v>
      </c>
      <c r="P4544">
        <v>606.45000000000005</v>
      </c>
      <c r="Q4544" s="37" t="str">
        <f>IF(P4544&gt;500,"High","low")</f>
        <v>High</v>
      </c>
      <c r="R4544" s="37" t="str">
        <f t="shared" si="354"/>
        <v>Good</v>
      </c>
      <c r="S4544" t="s">
        <v>615</v>
      </c>
    </row>
    <row r="4545" spans="1:19" x14ac:dyDescent="0.2">
      <c r="A4545" t="s">
        <v>5156</v>
      </c>
      <c r="B4545" t="s">
        <v>67</v>
      </c>
      <c r="C4545" t="s">
        <v>607</v>
      </c>
      <c r="D4545">
        <v>3076.73</v>
      </c>
      <c r="E4545" s="37" t="str">
        <f t="shared" si="350"/>
        <v xml:space="preserve"> </v>
      </c>
      <c r="F4545">
        <v>0.15</v>
      </c>
      <c r="G4545" s="37" t="str">
        <f t="shared" si="351"/>
        <v>Normal Discount</v>
      </c>
      <c r="H4545" s="37" t="str">
        <f t="shared" si="352"/>
        <v>Low</v>
      </c>
      <c r="I4545">
        <v>3</v>
      </c>
      <c r="J4545" t="str" cm="1">
        <f t="array" ref="J4545">_xlfn.IFS(I4545&lt;=3,"small",I4545&lt;=6,"Medium",I4545&lt;=9,"Large")</f>
        <v>small</v>
      </c>
      <c r="K4545" s="36">
        <v>45068</v>
      </c>
      <c r="L4545" s="36">
        <v>45072</v>
      </c>
      <c r="M4545" t="s">
        <v>612</v>
      </c>
      <c r="N4545" t="s">
        <v>599</v>
      </c>
      <c r="O4545" s="37" t="str">
        <f t="shared" si="353"/>
        <v>Digital Payment</v>
      </c>
      <c r="P4545">
        <v>155.86000000000001</v>
      </c>
      <c r="Q4545" s="37" t="str">
        <f>IF(P4545&gt;500,"High","low")</f>
        <v>low</v>
      </c>
      <c r="R4545" s="37" t="str">
        <f t="shared" si="354"/>
        <v>AVERAGE</v>
      </c>
      <c r="S4545" t="s">
        <v>620</v>
      </c>
    </row>
    <row r="4546" spans="1:19" x14ac:dyDescent="0.2">
      <c r="A4546" t="s">
        <v>5157</v>
      </c>
      <c r="B4546" t="s">
        <v>75</v>
      </c>
      <c r="C4546" t="s">
        <v>597</v>
      </c>
      <c r="D4546">
        <v>1030.21</v>
      </c>
      <c r="E4546" s="37" t="str">
        <f t="shared" si="350"/>
        <v xml:space="preserve"> </v>
      </c>
      <c r="F4546">
        <v>0.15</v>
      </c>
      <c r="G4546" s="37" t="str">
        <f t="shared" si="351"/>
        <v>Normal Discount</v>
      </c>
      <c r="H4546" s="37" t="str">
        <f t="shared" si="352"/>
        <v>Low</v>
      </c>
      <c r="I4546">
        <v>2</v>
      </c>
      <c r="J4546" t="str" cm="1">
        <f t="array" ref="J4546">_xlfn.IFS(I4546&lt;=3,"small",I4546&lt;=6,"Medium",I4546&lt;=9,"Large")</f>
        <v>small</v>
      </c>
      <c r="K4546" s="36">
        <v>45205</v>
      </c>
      <c r="L4546" s="36">
        <v>45206</v>
      </c>
      <c r="M4546" t="s">
        <v>612</v>
      </c>
      <c r="N4546" t="s">
        <v>608</v>
      </c>
      <c r="O4546" s="37" t="str">
        <f t="shared" si="353"/>
        <v>Cash Payment</v>
      </c>
      <c r="P4546">
        <v>165</v>
      </c>
      <c r="Q4546" s="37" t="str">
        <f>IF(P4546&gt;500,"High","low")</f>
        <v>low</v>
      </c>
      <c r="R4546" s="37" t="str">
        <f t="shared" si="354"/>
        <v>AVERAGE</v>
      </c>
      <c r="S4546" t="s">
        <v>620</v>
      </c>
    </row>
    <row r="4547" spans="1:19" x14ac:dyDescent="0.2">
      <c r="A4547" t="s">
        <v>5158</v>
      </c>
      <c r="B4547" t="s">
        <v>90</v>
      </c>
      <c r="C4547" t="s">
        <v>614</v>
      </c>
      <c r="D4547">
        <v>1975.05</v>
      </c>
      <c r="E4547" s="37" t="str">
        <f t="shared" ref="E4547:E4610" si="355">IF(AND(D4547&gt;4000,P4547&gt;800),"Excellent Order"," ")</f>
        <v xml:space="preserve"> </v>
      </c>
      <c r="F4547">
        <v>0.11</v>
      </c>
      <c r="G4547" s="37" t="str">
        <f t="shared" ref="G4547:G4610" si="356">IF(F4547&gt;30%,"Heavy Discount","Normal Discount")</f>
        <v>Normal Discount</v>
      </c>
      <c r="H4547" s="37" t="str">
        <f t="shared" ref="H4547:H4610" si="357">IF(F4547&gt;0.4,"High",IF(F4547&gt;=0.2,"Medium","Low"))</f>
        <v>Low</v>
      </c>
      <c r="I4547">
        <v>6</v>
      </c>
      <c r="J4547" t="str" cm="1">
        <f t="array" ref="J4547">_xlfn.IFS(I4547&lt;=3,"small",I4547&lt;=6,"Medium",I4547&lt;=9,"Large")</f>
        <v>Medium</v>
      </c>
      <c r="K4547" s="36">
        <v>45417</v>
      </c>
      <c r="L4547" s="36">
        <v>45423</v>
      </c>
      <c r="M4547" t="s">
        <v>603</v>
      </c>
      <c r="N4547" t="s">
        <v>608</v>
      </c>
      <c r="O4547" s="37" t="str">
        <f t="shared" ref="O4547:O4610" si="358">IF(OR(N4547="Card",N4547="UPI"),"Digital Payment","Cash Payment")</f>
        <v>Cash Payment</v>
      </c>
      <c r="P4547">
        <v>463.52</v>
      </c>
      <c r="Q4547" s="37" t="str">
        <f>IF(P4547&gt;500,"High","low")</f>
        <v>low</v>
      </c>
      <c r="R4547" s="37" t="str">
        <f t="shared" ref="R4547:R4610" si="359">IF(P4547&gt;1000,"Excellent",IF(P4547&gt;=500,"Good","AVERAGE"))</f>
        <v>AVERAGE</v>
      </c>
      <c r="S4547" t="s">
        <v>620</v>
      </c>
    </row>
    <row r="4548" spans="1:19" x14ac:dyDescent="0.2">
      <c r="A4548" t="s">
        <v>5159</v>
      </c>
      <c r="B4548" t="s">
        <v>83</v>
      </c>
      <c r="C4548" t="s">
        <v>597</v>
      </c>
      <c r="D4548">
        <v>4788.66</v>
      </c>
      <c r="E4548" s="37" t="str">
        <f t="shared" si="355"/>
        <v xml:space="preserve"> </v>
      </c>
      <c r="F4548">
        <v>0.19</v>
      </c>
      <c r="G4548" s="37" t="str">
        <f t="shared" si="356"/>
        <v>Normal Discount</v>
      </c>
      <c r="H4548" s="37" t="str">
        <f t="shared" si="357"/>
        <v>Low</v>
      </c>
      <c r="I4548">
        <v>1</v>
      </c>
      <c r="J4548" t="str" cm="1">
        <f t="array" ref="J4548">_xlfn.IFS(I4548&lt;=3,"small",I4548&lt;=6,"Medium",I4548&lt;=9,"Large")</f>
        <v>small</v>
      </c>
      <c r="K4548" s="36">
        <v>44948</v>
      </c>
      <c r="L4548" s="36">
        <v>44949</v>
      </c>
      <c r="M4548" t="s">
        <v>612</v>
      </c>
      <c r="N4548" t="s">
        <v>608</v>
      </c>
      <c r="O4548" s="37" t="str">
        <f t="shared" si="358"/>
        <v>Cash Payment</v>
      </c>
      <c r="P4548">
        <v>398.18</v>
      </c>
      <c r="Q4548" s="37" t="str">
        <f>IF(P4548&gt;500,"High","low")</f>
        <v>low</v>
      </c>
      <c r="R4548" s="37" t="str">
        <f t="shared" si="359"/>
        <v>AVERAGE</v>
      </c>
      <c r="S4548" t="s">
        <v>615</v>
      </c>
    </row>
    <row r="4549" spans="1:19" x14ac:dyDescent="0.2">
      <c r="A4549" t="s">
        <v>5160</v>
      </c>
      <c r="B4549" t="s">
        <v>67</v>
      </c>
      <c r="C4549" t="s">
        <v>597</v>
      </c>
      <c r="D4549">
        <v>1512.06</v>
      </c>
      <c r="E4549" s="37" t="str">
        <f t="shared" si="355"/>
        <v xml:space="preserve"> </v>
      </c>
      <c r="F4549">
        <v>0.06</v>
      </c>
      <c r="G4549" s="37" t="str">
        <f t="shared" si="356"/>
        <v>Normal Discount</v>
      </c>
      <c r="H4549" s="37" t="str">
        <f t="shared" si="357"/>
        <v>Low</v>
      </c>
      <c r="I4549">
        <v>6</v>
      </c>
      <c r="J4549" t="str" cm="1">
        <f t="array" ref="J4549">_xlfn.IFS(I4549&lt;=3,"small",I4549&lt;=6,"Medium",I4549&lt;=9,"Large")</f>
        <v>Medium</v>
      </c>
      <c r="K4549" s="36">
        <v>45465</v>
      </c>
      <c r="L4549" s="36">
        <v>45472</v>
      </c>
      <c r="M4549" t="s">
        <v>603</v>
      </c>
      <c r="N4549" t="s">
        <v>604</v>
      </c>
      <c r="O4549" s="37" t="str">
        <f t="shared" si="358"/>
        <v>Digital Payment</v>
      </c>
      <c r="P4549">
        <v>144.99</v>
      </c>
      <c r="Q4549" s="37" t="str">
        <f>IF(P4549&gt;500,"High","low")</f>
        <v>low</v>
      </c>
      <c r="R4549" s="37" t="str">
        <f t="shared" si="359"/>
        <v>AVERAGE</v>
      </c>
      <c r="S4549" t="s">
        <v>628</v>
      </c>
    </row>
    <row r="4550" spans="1:19" x14ac:dyDescent="0.2">
      <c r="A4550" t="s">
        <v>5161</v>
      </c>
      <c r="B4550" t="s">
        <v>83</v>
      </c>
      <c r="C4550" t="s">
        <v>607</v>
      </c>
      <c r="D4550">
        <v>408.03</v>
      </c>
      <c r="E4550" s="37" t="str">
        <f t="shared" si="355"/>
        <v xml:space="preserve"> </v>
      </c>
      <c r="F4550">
        <v>0.19</v>
      </c>
      <c r="G4550" s="37" t="str">
        <f t="shared" si="356"/>
        <v>Normal Discount</v>
      </c>
      <c r="H4550" s="37" t="str">
        <f t="shared" si="357"/>
        <v>Low</v>
      </c>
      <c r="I4550">
        <v>8</v>
      </c>
      <c r="J4550" t="str" cm="1">
        <f t="array" ref="J4550">_xlfn.IFS(I4550&lt;=3,"small",I4550&lt;=6,"Medium",I4550&lt;=9,"Large")</f>
        <v>Large</v>
      </c>
      <c r="K4550" s="36">
        <v>45360</v>
      </c>
      <c r="L4550" s="36">
        <v>45367</v>
      </c>
      <c r="M4550" t="s">
        <v>603</v>
      </c>
      <c r="N4550" t="s">
        <v>608</v>
      </c>
      <c r="O4550" s="37" t="str">
        <f t="shared" si="358"/>
        <v>Cash Payment</v>
      </c>
      <c r="P4550">
        <v>44.32</v>
      </c>
      <c r="Q4550" s="37" t="str">
        <f>IF(P4550&gt;500,"High","low")</f>
        <v>low</v>
      </c>
      <c r="R4550" s="37" t="str">
        <f t="shared" si="359"/>
        <v>AVERAGE</v>
      </c>
      <c r="S4550" t="s">
        <v>620</v>
      </c>
    </row>
    <row r="4551" spans="1:19" x14ac:dyDescent="0.2">
      <c r="A4551" t="s">
        <v>5162</v>
      </c>
      <c r="B4551" t="s">
        <v>67</v>
      </c>
      <c r="C4551" t="s">
        <v>614</v>
      </c>
      <c r="D4551">
        <v>1985.67</v>
      </c>
      <c r="E4551" s="37" t="str">
        <f t="shared" si="355"/>
        <v xml:space="preserve"> </v>
      </c>
      <c r="F4551">
        <v>0.42</v>
      </c>
      <c r="G4551" s="37" t="str">
        <f t="shared" si="356"/>
        <v>Heavy Discount</v>
      </c>
      <c r="H4551" s="37" t="str">
        <f t="shared" si="357"/>
        <v>High</v>
      </c>
      <c r="I4551">
        <v>6</v>
      </c>
      <c r="J4551" t="str" cm="1">
        <f t="array" ref="J4551">_xlfn.IFS(I4551&lt;=3,"small",I4551&lt;=6,"Medium",I4551&lt;=9,"Large")</f>
        <v>Medium</v>
      </c>
      <c r="K4551" s="36">
        <v>44951</v>
      </c>
      <c r="L4551" s="36">
        <v>44953</v>
      </c>
      <c r="M4551" t="s">
        <v>612</v>
      </c>
      <c r="N4551" t="s">
        <v>604</v>
      </c>
      <c r="O4551" s="37" t="str">
        <f t="shared" si="358"/>
        <v>Digital Payment</v>
      </c>
      <c r="P4551">
        <v>292.83</v>
      </c>
      <c r="Q4551" s="37" t="str">
        <f>IF(P4551&gt;500,"High","low")</f>
        <v>low</v>
      </c>
      <c r="R4551" s="37" t="str">
        <f t="shared" si="359"/>
        <v>AVERAGE</v>
      </c>
      <c r="S4551" t="s">
        <v>620</v>
      </c>
    </row>
    <row r="4552" spans="1:19" x14ac:dyDescent="0.2">
      <c r="A4552" t="s">
        <v>5163</v>
      </c>
      <c r="B4552" t="s">
        <v>83</v>
      </c>
      <c r="C4552" t="s">
        <v>617</v>
      </c>
      <c r="D4552">
        <v>1894.9</v>
      </c>
      <c r="E4552" s="37" t="str">
        <f t="shared" si="355"/>
        <v xml:space="preserve"> </v>
      </c>
      <c r="F4552">
        <v>0.44</v>
      </c>
      <c r="G4552" s="37" t="str">
        <f t="shared" si="356"/>
        <v>Heavy Discount</v>
      </c>
      <c r="H4552" s="37" t="str">
        <f t="shared" si="357"/>
        <v>High</v>
      </c>
      <c r="I4552">
        <v>2</v>
      </c>
      <c r="J4552" t="str" cm="1">
        <f t="array" ref="J4552">_xlfn.IFS(I4552&lt;=3,"small",I4552&lt;=6,"Medium",I4552&lt;=9,"Large")</f>
        <v>small</v>
      </c>
      <c r="K4552" s="36">
        <v>45108</v>
      </c>
      <c r="L4552" s="36">
        <v>45114</v>
      </c>
      <c r="M4552" t="s">
        <v>598</v>
      </c>
      <c r="N4552" t="s">
        <v>599</v>
      </c>
      <c r="O4552" s="37" t="str">
        <f t="shared" si="358"/>
        <v>Digital Payment</v>
      </c>
      <c r="P4552">
        <v>544.39</v>
      </c>
      <c r="Q4552" s="37" t="str">
        <f>IF(P4552&gt;500,"High","low")</f>
        <v>High</v>
      </c>
      <c r="R4552" s="37" t="str">
        <f t="shared" si="359"/>
        <v>Good</v>
      </c>
      <c r="S4552" t="s">
        <v>605</v>
      </c>
    </row>
    <row r="4553" spans="1:19" x14ac:dyDescent="0.2">
      <c r="A4553" t="s">
        <v>5164</v>
      </c>
      <c r="B4553" t="s">
        <v>90</v>
      </c>
      <c r="C4553" t="s">
        <v>617</v>
      </c>
      <c r="D4553">
        <v>2404.5100000000002</v>
      </c>
      <c r="E4553" s="37" t="str">
        <f t="shared" si="355"/>
        <v xml:space="preserve"> </v>
      </c>
      <c r="F4553">
        <v>0.32</v>
      </c>
      <c r="G4553" s="37" t="str">
        <f t="shared" si="356"/>
        <v>Heavy Discount</v>
      </c>
      <c r="H4553" s="37" t="str">
        <f t="shared" si="357"/>
        <v>Medium</v>
      </c>
      <c r="I4553">
        <v>7</v>
      </c>
      <c r="J4553" t="str" cm="1">
        <f t="array" ref="J4553">_xlfn.IFS(I4553&lt;=3,"small",I4553&lt;=6,"Medium",I4553&lt;=9,"Large")</f>
        <v>Large</v>
      </c>
      <c r="K4553" s="36">
        <v>45615</v>
      </c>
      <c r="L4553" s="36">
        <v>45619</v>
      </c>
      <c r="M4553" t="s">
        <v>612</v>
      </c>
      <c r="N4553" t="s">
        <v>599</v>
      </c>
      <c r="O4553" s="37" t="str">
        <f t="shared" si="358"/>
        <v>Digital Payment</v>
      </c>
      <c r="P4553">
        <v>162.63999999999999</v>
      </c>
      <c r="Q4553" s="37" t="str">
        <f>IF(P4553&gt;500,"High","low")</f>
        <v>low</v>
      </c>
      <c r="R4553" s="37" t="str">
        <f t="shared" si="359"/>
        <v>AVERAGE</v>
      </c>
      <c r="S4553" t="s">
        <v>620</v>
      </c>
    </row>
    <row r="4554" spans="1:19" x14ac:dyDescent="0.2">
      <c r="A4554" t="s">
        <v>5165</v>
      </c>
      <c r="B4554" t="s">
        <v>90</v>
      </c>
      <c r="C4554" t="s">
        <v>617</v>
      </c>
      <c r="D4554">
        <v>2845.49</v>
      </c>
      <c r="E4554" s="37" t="str">
        <f t="shared" si="355"/>
        <v xml:space="preserve"> </v>
      </c>
      <c r="F4554">
        <v>0.13</v>
      </c>
      <c r="G4554" s="37" t="str">
        <f t="shared" si="356"/>
        <v>Normal Discount</v>
      </c>
      <c r="H4554" s="37" t="str">
        <f t="shared" si="357"/>
        <v>Low</v>
      </c>
      <c r="I4554">
        <v>3</v>
      </c>
      <c r="J4554" t="str" cm="1">
        <f t="array" ref="J4554">_xlfn.IFS(I4554&lt;=3,"small",I4554&lt;=6,"Medium",I4554&lt;=9,"Large")</f>
        <v>small</v>
      </c>
      <c r="K4554" s="36">
        <v>45267</v>
      </c>
      <c r="L4554" s="36">
        <v>45274</v>
      </c>
      <c r="M4554" t="s">
        <v>612</v>
      </c>
      <c r="N4554" t="s">
        <v>604</v>
      </c>
      <c r="O4554" s="37" t="str">
        <f t="shared" si="358"/>
        <v>Digital Payment</v>
      </c>
      <c r="P4554">
        <v>726.79</v>
      </c>
      <c r="Q4554" s="37" t="str">
        <f>IF(P4554&gt;500,"High","low")</f>
        <v>High</v>
      </c>
      <c r="R4554" s="37" t="str">
        <f t="shared" si="359"/>
        <v>Good</v>
      </c>
      <c r="S4554" t="s">
        <v>609</v>
      </c>
    </row>
    <row r="4555" spans="1:19" x14ac:dyDescent="0.2">
      <c r="A4555" t="s">
        <v>5166</v>
      </c>
      <c r="B4555" t="s">
        <v>75</v>
      </c>
      <c r="C4555" t="s">
        <v>614</v>
      </c>
      <c r="D4555">
        <v>4962.87</v>
      </c>
      <c r="E4555" s="37" t="str">
        <f t="shared" si="355"/>
        <v>Excellent Order</v>
      </c>
      <c r="F4555">
        <v>0.12</v>
      </c>
      <c r="G4555" s="37" t="str">
        <f t="shared" si="356"/>
        <v>Normal Discount</v>
      </c>
      <c r="H4555" s="37" t="str">
        <f t="shared" si="357"/>
        <v>Low</v>
      </c>
      <c r="I4555">
        <v>9</v>
      </c>
      <c r="J4555" t="str" cm="1">
        <f t="array" ref="J4555">_xlfn.IFS(I4555&lt;=3,"small",I4555&lt;=6,"Medium",I4555&lt;=9,"Large")</f>
        <v>Large</v>
      </c>
      <c r="K4555" s="36">
        <v>45029</v>
      </c>
      <c r="L4555" s="36">
        <v>45035</v>
      </c>
      <c r="M4555" t="s">
        <v>612</v>
      </c>
      <c r="N4555" t="s">
        <v>599</v>
      </c>
      <c r="O4555" s="37" t="str">
        <f t="shared" si="358"/>
        <v>Digital Payment</v>
      </c>
      <c r="P4555">
        <v>1241.6300000000001</v>
      </c>
      <c r="Q4555" s="37" t="str">
        <f>IF(P4555&gt;500,"High","low")</f>
        <v>High</v>
      </c>
      <c r="R4555" s="37" t="str">
        <f t="shared" si="359"/>
        <v>Excellent</v>
      </c>
      <c r="S4555" t="s">
        <v>600</v>
      </c>
    </row>
    <row r="4556" spans="1:19" x14ac:dyDescent="0.2">
      <c r="A4556" t="s">
        <v>5167</v>
      </c>
      <c r="B4556" t="s">
        <v>75</v>
      </c>
      <c r="C4556" t="s">
        <v>602</v>
      </c>
      <c r="D4556">
        <v>3805.55</v>
      </c>
      <c r="E4556" s="37" t="str">
        <f t="shared" si="355"/>
        <v xml:space="preserve"> </v>
      </c>
      <c r="F4556">
        <v>0.14000000000000001</v>
      </c>
      <c r="G4556" s="37" t="str">
        <f t="shared" si="356"/>
        <v>Normal Discount</v>
      </c>
      <c r="H4556" s="37" t="str">
        <f t="shared" si="357"/>
        <v>Low</v>
      </c>
      <c r="I4556">
        <v>8</v>
      </c>
      <c r="J4556" t="str" cm="1">
        <f t="array" ref="J4556">_xlfn.IFS(I4556&lt;=3,"small",I4556&lt;=6,"Medium",I4556&lt;=9,"Large")</f>
        <v>Large</v>
      </c>
      <c r="K4556" s="36">
        <v>45591</v>
      </c>
      <c r="L4556" s="36">
        <v>45595</v>
      </c>
      <c r="M4556" t="s">
        <v>598</v>
      </c>
      <c r="N4556" t="s">
        <v>599</v>
      </c>
      <c r="O4556" s="37" t="str">
        <f t="shared" si="358"/>
        <v>Digital Payment</v>
      </c>
      <c r="P4556">
        <v>633.33000000000004</v>
      </c>
      <c r="Q4556" s="37" t="str">
        <f>IF(P4556&gt;500,"High","low")</f>
        <v>High</v>
      </c>
      <c r="R4556" s="37" t="str">
        <f t="shared" si="359"/>
        <v>Good</v>
      </c>
      <c r="S4556" t="s">
        <v>628</v>
      </c>
    </row>
    <row r="4557" spans="1:19" x14ac:dyDescent="0.2">
      <c r="A4557" t="s">
        <v>5168</v>
      </c>
      <c r="B4557" t="s">
        <v>67</v>
      </c>
      <c r="C4557" t="s">
        <v>614</v>
      </c>
      <c r="D4557">
        <v>275.86</v>
      </c>
      <c r="E4557" s="37" t="str">
        <f t="shared" si="355"/>
        <v xml:space="preserve"> </v>
      </c>
      <c r="F4557">
        <v>0.25</v>
      </c>
      <c r="G4557" s="37" t="str">
        <f t="shared" si="356"/>
        <v>Normal Discount</v>
      </c>
      <c r="H4557" s="37" t="str">
        <f t="shared" si="357"/>
        <v>Medium</v>
      </c>
      <c r="I4557">
        <v>6</v>
      </c>
      <c r="J4557" t="str" cm="1">
        <f t="array" ref="J4557">_xlfn.IFS(I4557&lt;=3,"small",I4557&lt;=6,"Medium",I4557&lt;=9,"Large")</f>
        <v>Medium</v>
      </c>
      <c r="K4557" s="36">
        <v>45421</v>
      </c>
      <c r="L4557" s="36">
        <v>45428</v>
      </c>
      <c r="M4557" t="s">
        <v>612</v>
      </c>
      <c r="N4557" t="s">
        <v>604</v>
      </c>
      <c r="O4557" s="37" t="str">
        <f t="shared" si="358"/>
        <v>Digital Payment</v>
      </c>
      <c r="P4557">
        <v>23.17</v>
      </c>
      <c r="Q4557" s="37" t="str">
        <f>IF(P4557&gt;500,"High","low")</f>
        <v>low</v>
      </c>
      <c r="R4557" s="37" t="str">
        <f t="shared" si="359"/>
        <v>AVERAGE</v>
      </c>
      <c r="S4557" t="s">
        <v>609</v>
      </c>
    </row>
    <row r="4558" spans="1:19" x14ac:dyDescent="0.2">
      <c r="A4558" t="s">
        <v>5169</v>
      </c>
      <c r="B4558" t="s">
        <v>90</v>
      </c>
      <c r="C4558" t="s">
        <v>607</v>
      </c>
      <c r="D4558">
        <v>3592.29</v>
      </c>
      <c r="E4558" s="37" t="str">
        <f t="shared" si="355"/>
        <v xml:space="preserve"> </v>
      </c>
      <c r="F4558">
        <v>0.49</v>
      </c>
      <c r="G4558" s="37" t="str">
        <f t="shared" si="356"/>
        <v>Heavy Discount</v>
      </c>
      <c r="H4558" s="37" t="str">
        <f t="shared" si="357"/>
        <v>High</v>
      </c>
      <c r="I4558">
        <v>1</v>
      </c>
      <c r="J4558" t="str" cm="1">
        <f t="array" ref="J4558">_xlfn.IFS(I4558&lt;=3,"small",I4558&lt;=6,"Medium",I4558&lt;=9,"Large")</f>
        <v>small</v>
      </c>
      <c r="K4558" s="36">
        <v>45250</v>
      </c>
      <c r="L4558" s="36">
        <v>45251</v>
      </c>
      <c r="M4558" t="s">
        <v>612</v>
      </c>
      <c r="N4558" t="s">
        <v>604</v>
      </c>
      <c r="O4558" s="37" t="str">
        <f t="shared" si="358"/>
        <v>Digital Payment</v>
      </c>
      <c r="P4558">
        <v>729.37</v>
      </c>
      <c r="Q4558" s="37" t="str">
        <f>IF(P4558&gt;500,"High","low")</f>
        <v>High</v>
      </c>
      <c r="R4558" s="37" t="str">
        <f t="shared" si="359"/>
        <v>Good</v>
      </c>
      <c r="S4558" t="s">
        <v>628</v>
      </c>
    </row>
    <row r="4559" spans="1:19" x14ac:dyDescent="0.2">
      <c r="A4559" t="s">
        <v>5170</v>
      </c>
      <c r="B4559" t="s">
        <v>83</v>
      </c>
      <c r="C4559" t="s">
        <v>597</v>
      </c>
      <c r="D4559">
        <v>4138.74</v>
      </c>
      <c r="E4559" s="37" t="str">
        <f t="shared" si="355"/>
        <v>Excellent Order</v>
      </c>
      <c r="F4559">
        <v>0.05</v>
      </c>
      <c r="G4559" s="37" t="str">
        <f t="shared" si="356"/>
        <v>Normal Discount</v>
      </c>
      <c r="H4559" s="37" t="str">
        <f t="shared" si="357"/>
        <v>Low</v>
      </c>
      <c r="I4559">
        <v>2</v>
      </c>
      <c r="J4559" t="str" cm="1">
        <f t="array" ref="J4559">_xlfn.IFS(I4559&lt;=3,"small",I4559&lt;=6,"Medium",I4559&lt;=9,"Large")</f>
        <v>small</v>
      </c>
      <c r="K4559" s="36">
        <v>45633</v>
      </c>
      <c r="L4559" s="36">
        <v>45640</v>
      </c>
      <c r="M4559" t="s">
        <v>612</v>
      </c>
      <c r="N4559" t="s">
        <v>608</v>
      </c>
      <c r="O4559" s="37" t="str">
        <f t="shared" si="358"/>
        <v>Cash Payment</v>
      </c>
      <c r="P4559">
        <v>955.36</v>
      </c>
      <c r="Q4559" s="37" t="str">
        <f>IF(P4559&gt;500,"High","low")</f>
        <v>High</v>
      </c>
      <c r="R4559" s="37" t="str">
        <f t="shared" si="359"/>
        <v>Good</v>
      </c>
      <c r="S4559" t="s">
        <v>609</v>
      </c>
    </row>
    <row r="4560" spans="1:19" x14ac:dyDescent="0.2">
      <c r="A4560" t="s">
        <v>5171</v>
      </c>
      <c r="B4560" t="s">
        <v>83</v>
      </c>
      <c r="C4560" t="s">
        <v>597</v>
      </c>
      <c r="D4560">
        <v>4488.59</v>
      </c>
      <c r="E4560" s="37" t="str">
        <f t="shared" si="355"/>
        <v xml:space="preserve"> </v>
      </c>
      <c r="F4560">
        <v>0.25</v>
      </c>
      <c r="G4560" s="37" t="str">
        <f t="shared" si="356"/>
        <v>Normal Discount</v>
      </c>
      <c r="H4560" s="37" t="str">
        <f t="shared" si="357"/>
        <v>Medium</v>
      </c>
      <c r="I4560">
        <v>8</v>
      </c>
      <c r="J4560" t="str" cm="1">
        <f t="array" ref="J4560">_xlfn.IFS(I4560&lt;=3,"small",I4560&lt;=6,"Medium",I4560&lt;=9,"Large")</f>
        <v>Large</v>
      </c>
      <c r="K4560" s="36">
        <v>45577</v>
      </c>
      <c r="L4560" s="36">
        <v>45581</v>
      </c>
      <c r="M4560" t="s">
        <v>612</v>
      </c>
      <c r="N4560" t="s">
        <v>608</v>
      </c>
      <c r="O4560" s="37" t="str">
        <f t="shared" si="358"/>
        <v>Cash Payment</v>
      </c>
      <c r="P4560">
        <v>398.64</v>
      </c>
      <c r="Q4560" s="37" t="str">
        <f>IF(P4560&gt;500,"High","low")</f>
        <v>low</v>
      </c>
      <c r="R4560" s="37" t="str">
        <f t="shared" si="359"/>
        <v>AVERAGE</v>
      </c>
      <c r="S4560" t="s">
        <v>620</v>
      </c>
    </row>
    <row r="4561" spans="1:19" x14ac:dyDescent="0.2">
      <c r="A4561" t="s">
        <v>5172</v>
      </c>
      <c r="B4561" t="s">
        <v>83</v>
      </c>
      <c r="C4561" t="s">
        <v>607</v>
      </c>
      <c r="D4561">
        <v>2177.63</v>
      </c>
      <c r="E4561" s="37" t="str">
        <f t="shared" si="355"/>
        <v xml:space="preserve"> </v>
      </c>
      <c r="F4561">
        <v>0.34</v>
      </c>
      <c r="G4561" s="37" t="str">
        <f t="shared" si="356"/>
        <v>Heavy Discount</v>
      </c>
      <c r="H4561" s="37" t="str">
        <f t="shared" si="357"/>
        <v>Medium</v>
      </c>
      <c r="I4561">
        <v>6</v>
      </c>
      <c r="J4561" t="str" cm="1">
        <f t="array" ref="J4561">_xlfn.IFS(I4561&lt;=3,"small",I4561&lt;=6,"Medium",I4561&lt;=9,"Large")</f>
        <v>Medium</v>
      </c>
      <c r="K4561" s="36">
        <v>45018</v>
      </c>
      <c r="L4561" s="36">
        <v>45020</v>
      </c>
      <c r="M4561" t="s">
        <v>612</v>
      </c>
      <c r="N4561" t="s">
        <v>604</v>
      </c>
      <c r="O4561" s="37" t="str">
        <f t="shared" si="358"/>
        <v>Digital Payment</v>
      </c>
      <c r="P4561">
        <v>489.39</v>
      </c>
      <c r="Q4561" s="37" t="str">
        <f>IF(P4561&gt;500,"High","low")</f>
        <v>low</v>
      </c>
      <c r="R4561" s="37" t="str">
        <f t="shared" si="359"/>
        <v>AVERAGE</v>
      </c>
      <c r="S4561" t="s">
        <v>600</v>
      </c>
    </row>
    <row r="4562" spans="1:19" x14ac:dyDescent="0.2">
      <c r="A4562" t="s">
        <v>5173</v>
      </c>
      <c r="B4562" t="s">
        <v>75</v>
      </c>
      <c r="C4562" t="s">
        <v>607</v>
      </c>
      <c r="D4562">
        <v>1636.77</v>
      </c>
      <c r="E4562" s="37" t="str">
        <f t="shared" si="355"/>
        <v xml:space="preserve"> </v>
      </c>
      <c r="F4562">
        <v>0.12</v>
      </c>
      <c r="G4562" s="37" t="str">
        <f t="shared" si="356"/>
        <v>Normal Discount</v>
      </c>
      <c r="H4562" s="37" t="str">
        <f t="shared" si="357"/>
        <v>Low</v>
      </c>
      <c r="I4562">
        <v>1</v>
      </c>
      <c r="J4562" t="str" cm="1">
        <f t="array" ref="J4562">_xlfn.IFS(I4562&lt;=3,"small",I4562&lt;=6,"Medium",I4562&lt;=9,"Large")</f>
        <v>small</v>
      </c>
      <c r="K4562" s="36">
        <v>45441</v>
      </c>
      <c r="L4562" s="36">
        <v>45447</v>
      </c>
      <c r="M4562" t="s">
        <v>598</v>
      </c>
      <c r="N4562" t="s">
        <v>604</v>
      </c>
      <c r="O4562" s="37" t="str">
        <f t="shared" si="358"/>
        <v>Digital Payment</v>
      </c>
      <c r="P4562">
        <v>458.51</v>
      </c>
      <c r="Q4562" s="37" t="str">
        <f>IF(P4562&gt;500,"High","low")</f>
        <v>low</v>
      </c>
      <c r="R4562" s="37" t="str">
        <f t="shared" si="359"/>
        <v>AVERAGE</v>
      </c>
      <c r="S4562" t="s">
        <v>615</v>
      </c>
    </row>
    <row r="4563" spans="1:19" x14ac:dyDescent="0.2">
      <c r="A4563" t="s">
        <v>5174</v>
      </c>
      <c r="B4563" t="s">
        <v>83</v>
      </c>
      <c r="C4563" t="s">
        <v>597</v>
      </c>
      <c r="D4563">
        <v>4212.6899999999996</v>
      </c>
      <c r="E4563" s="37" t="str">
        <f t="shared" si="355"/>
        <v xml:space="preserve"> </v>
      </c>
      <c r="F4563">
        <v>0.48</v>
      </c>
      <c r="G4563" s="37" t="str">
        <f t="shared" si="356"/>
        <v>Heavy Discount</v>
      </c>
      <c r="H4563" s="37" t="str">
        <f t="shared" si="357"/>
        <v>High</v>
      </c>
      <c r="I4563">
        <v>9</v>
      </c>
      <c r="J4563" t="str" cm="1">
        <f t="array" ref="J4563">_xlfn.IFS(I4563&lt;=3,"small",I4563&lt;=6,"Medium",I4563&lt;=9,"Large")</f>
        <v>Large</v>
      </c>
      <c r="K4563" s="36">
        <v>45051</v>
      </c>
      <c r="L4563" s="36">
        <v>45053</v>
      </c>
      <c r="M4563" t="s">
        <v>612</v>
      </c>
      <c r="N4563" t="s">
        <v>604</v>
      </c>
      <c r="O4563" s="37" t="str">
        <f t="shared" si="358"/>
        <v>Digital Payment</v>
      </c>
      <c r="P4563">
        <v>410.2</v>
      </c>
      <c r="Q4563" s="37" t="str">
        <f>IF(P4563&gt;500,"High","low")</f>
        <v>low</v>
      </c>
      <c r="R4563" s="37" t="str">
        <f t="shared" si="359"/>
        <v>AVERAGE</v>
      </c>
      <c r="S4563" t="s">
        <v>628</v>
      </c>
    </row>
    <row r="4564" spans="1:19" x14ac:dyDescent="0.2">
      <c r="A4564" t="s">
        <v>5175</v>
      </c>
      <c r="B4564" t="s">
        <v>75</v>
      </c>
      <c r="C4564" t="s">
        <v>602</v>
      </c>
      <c r="D4564">
        <v>3910.32</v>
      </c>
      <c r="E4564" s="37" t="str">
        <f t="shared" si="355"/>
        <v xml:space="preserve"> </v>
      </c>
      <c r="F4564">
        <v>0.17</v>
      </c>
      <c r="G4564" s="37" t="str">
        <f t="shared" si="356"/>
        <v>Normal Discount</v>
      </c>
      <c r="H4564" s="37" t="str">
        <f t="shared" si="357"/>
        <v>Low</v>
      </c>
      <c r="I4564">
        <v>8</v>
      </c>
      <c r="J4564" t="str" cm="1">
        <f t="array" ref="J4564">_xlfn.IFS(I4564&lt;=3,"small",I4564&lt;=6,"Medium",I4564&lt;=9,"Large")</f>
        <v>Large</v>
      </c>
      <c r="K4564" s="36">
        <v>45456</v>
      </c>
      <c r="L4564" s="36">
        <v>45463</v>
      </c>
      <c r="M4564" t="s">
        <v>612</v>
      </c>
      <c r="N4564" t="s">
        <v>604</v>
      </c>
      <c r="O4564" s="37" t="str">
        <f t="shared" si="358"/>
        <v>Digital Payment</v>
      </c>
      <c r="P4564">
        <v>318.37</v>
      </c>
      <c r="Q4564" s="37" t="str">
        <f>IF(P4564&gt;500,"High","low")</f>
        <v>low</v>
      </c>
      <c r="R4564" s="37" t="str">
        <f t="shared" si="359"/>
        <v>AVERAGE</v>
      </c>
      <c r="S4564" t="s">
        <v>628</v>
      </c>
    </row>
    <row r="4565" spans="1:19" x14ac:dyDescent="0.2">
      <c r="A4565" t="s">
        <v>5176</v>
      </c>
      <c r="B4565" t="s">
        <v>75</v>
      </c>
      <c r="C4565" t="s">
        <v>602</v>
      </c>
      <c r="D4565">
        <v>2726.61</v>
      </c>
      <c r="E4565" s="37" t="str">
        <f t="shared" si="355"/>
        <v xml:space="preserve"> </v>
      </c>
      <c r="F4565">
        <v>0.47</v>
      </c>
      <c r="G4565" s="37" t="str">
        <f t="shared" si="356"/>
        <v>Heavy Discount</v>
      </c>
      <c r="H4565" s="37" t="str">
        <f t="shared" si="357"/>
        <v>High</v>
      </c>
      <c r="I4565">
        <v>2</v>
      </c>
      <c r="J4565" t="str" cm="1">
        <f t="array" ref="J4565">_xlfn.IFS(I4565&lt;=3,"small",I4565&lt;=6,"Medium",I4565&lt;=9,"Large")</f>
        <v>small</v>
      </c>
      <c r="K4565" s="36">
        <v>45619</v>
      </c>
      <c r="L4565" s="36">
        <v>45623</v>
      </c>
      <c r="M4565" t="s">
        <v>603</v>
      </c>
      <c r="N4565" t="s">
        <v>604</v>
      </c>
      <c r="O4565" s="37" t="str">
        <f t="shared" si="358"/>
        <v>Digital Payment</v>
      </c>
      <c r="P4565">
        <v>590.91</v>
      </c>
      <c r="Q4565" s="37" t="str">
        <f>IF(P4565&gt;500,"High","low")</f>
        <v>High</v>
      </c>
      <c r="R4565" s="37" t="str">
        <f t="shared" si="359"/>
        <v>Good</v>
      </c>
      <c r="S4565" t="s">
        <v>600</v>
      </c>
    </row>
    <row r="4566" spans="1:19" x14ac:dyDescent="0.2">
      <c r="A4566" t="s">
        <v>5177</v>
      </c>
      <c r="B4566" t="s">
        <v>67</v>
      </c>
      <c r="C4566" t="s">
        <v>602</v>
      </c>
      <c r="D4566">
        <v>677.63</v>
      </c>
      <c r="E4566" s="37" t="str">
        <f t="shared" si="355"/>
        <v xml:space="preserve"> </v>
      </c>
      <c r="F4566">
        <v>0.3</v>
      </c>
      <c r="G4566" s="37" t="str">
        <f t="shared" si="356"/>
        <v>Normal Discount</v>
      </c>
      <c r="H4566" s="37" t="str">
        <f t="shared" si="357"/>
        <v>Medium</v>
      </c>
      <c r="I4566">
        <v>5</v>
      </c>
      <c r="J4566" t="str" cm="1">
        <f t="array" ref="J4566">_xlfn.IFS(I4566&lt;=3,"small",I4566&lt;=6,"Medium",I4566&lt;=9,"Large")</f>
        <v>Medium</v>
      </c>
      <c r="K4566" s="36">
        <v>45191</v>
      </c>
      <c r="L4566" s="36">
        <v>45198</v>
      </c>
      <c r="M4566" t="s">
        <v>612</v>
      </c>
      <c r="N4566" t="s">
        <v>608</v>
      </c>
      <c r="O4566" s="37" t="str">
        <f t="shared" si="358"/>
        <v>Cash Payment</v>
      </c>
      <c r="P4566">
        <v>115.39</v>
      </c>
      <c r="Q4566" s="37" t="str">
        <f>IF(P4566&gt;500,"High","low")</f>
        <v>low</v>
      </c>
      <c r="R4566" s="37" t="str">
        <f t="shared" si="359"/>
        <v>AVERAGE</v>
      </c>
      <c r="S4566" t="s">
        <v>609</v>
      </c>
    </row>
    <row r="4567" spans="1:19" x14ac:dyDescent="0.2">
      <c r="A4567" t="s">
        <v>5178</v>
      </c>
      <c r="B4567" t="s">
        <v>83</v>
      </c>
      <c r="C4567" t="s">
        <v>607</v>
      </c>
      <c r="D4567">
        <v>3293.63</v>
      </c>
      <c r="E4567" s="37" t="str">
        <f t="shared" si="355"/>
        <v xml:space="preserve"> </v>
      </c>
      <c r="F4567">
        <v>0</v>
      </c>
      <c r="G4567" s="37" t="str">
        <f t="shared" si="356"/>
        <v>Normal Discount</v>
      </c>
      <c r="H4567" s="37" t="str">
        <f t="shared" si="357"/>
        <v>Low</v>
      </c>
      <c r="I4567">
        <v>3</v>
      </c>
      <c r="J4567" t="str" cm="1">
        <f t="array" ref="J4567">_xlfn.IFS(I4567&lt;=3,"small",I4567&lt;=6,"Medium",I4567&lt;=9,"Large")</f>
        <v>small</v>
      </c>
      <c r="K4567" s="36">
        <v>45565</v>
      </c>
      <c r="L4567" s="36">
        <v>45567</v>
      </c>
      <c r="M4567" t="s">
        <v>603</v>
      </c>
      <c r="N4567" t="s">
        <v>604</v>
      </c>
      <c r="O4567" s="37" t="str">
        <f t="shared" si="358"/>
        <v>Digital Payment</v>
      </c>
      <c r="P4567">
        <v>867.82</v>
      </c>
      <c r="Q4567" s="37" t="str">
        <f>IF(P4567&gt;500,"High","low")</f>
        <v>High</v>
      </c>
      <c r="R4567" s="37" t="str">
        <f t="shared" si="359"/>
        <v>Good</v>
      </c>
      <c r="S4567" t="s">
        <v>628</v>
      </c>
    </row>
    <row r="4568" spans="1:19" x14ac:dyDescent="0.2">
      <c r="A4568" t="s">
        <v>5179</v>
      </c>
      <c r="B4568" t="s">
        <v>83</v>
      </c>
      <c r="C4568" t="s">
        <v>597</v>
      </c>
      <c r="D4568">
        <v>421.77</v>
      </c>
      <c r="E4568" s="37" t="str">
        <f t="shared" si="355"/>
        <v xml:space="preserve"> </v>
      </c>
      <c r="F4568">
        <v>0.16</v>
      </c>
      <c r="G4568" s="37" t="str">
        <f t="shared" si="356"/>
        <v>Normal Discount</v>
      </c>
      <c r="H4568" s="37" t="str">
        <f t="shared" si="357"/>
        <v>Low</v>
      </c>
      <c r="I4568">
        <v>1</v>
      </c>
      <c r="J4568" t="str" cm="1">
        <f t="array" ref="J4568">_xlfn.IFS(I4568&lt;=3,"small",I4568&lt;=6,"Medium",I4568&lt;=9,"Large")</f>
        <v>small</v>
      </c>
      <c r="K4568" s="36">
        <v>45261</v>
      </c>
      <c r="L4568" s="36">
        <v>45263</v>
      </c>
      <c r="M4568" t="s">
        <v>612</v>
      </c>
      <c r="N4568" t="s">
        <v>599</v>
      </c>
      <c r="O4568" s="37" t="str">
        <f t="shared" si="358"/>
        <v>Digital Payment</v>
      </c>
      <c r="P4568">
        <v>75.489999999999995</v>
      </c>
      <c r="Q4568" s="37" t="str">
        <f>IF(P4568&gt;500,"High","low")</f>
        <v>low</v>
      </c>
      <c r="R4568" s="37" t="str">
        <f t="shared" si="359"/>
        <v>AVERAGE</v>
      </c>
      <c r="S4568" t="s">
        <v>600</v>
      </c>
    </row>
    <row r="4569" spans="1:19" x14ac:dyDescent="0.2">
      <c r="A4569" t="s">
        <v>5180</v>
      </c>
      <c r="B4569" t="s">
        <v>90</v>
      </c>
      <c r="C4569" t="s">
        <v>597</v>
      </c>
      <c r="D4569">
        <v>591.79999999999995</v>
      </c>
      <c r="E4569" s="37" t="str">
        <f t="shared" si="355"/>
        <v xml:space="preserve"> </v>
      </c>
      <c r="F4569">
        <v>0.01</v>
      </c>
      <c r="G4569" s="37" t="str">
        <f t="shared" si="356"/>
        <v>Normal Discount</v>
      </c>
      <c r="H4569" s="37" t="str">
        <f t="shared" si="357"/>
        <v>Low</v>
      </c>
      <c r="I4569">
        <v>7</v>
      </c>
      <c r="J4569" t="str" cm="1">
        <f t="array" ref="J4569">_xlfn.IFS(I4569&lt;=3,"small",I4569&lt;=6,"Medium",I4569&lt;=9,"Large")</f>
        <v>Large</v>
      </c>
      <c r="K4569" s="36">
        <v>45030</v>
      </c>
      <c r="L4569" s="36">
        <v>45034</v>
      </c>
      <c r="M4569" t="s">
        <v>612</v>
      </c>
      <c r="N4569" t="s">
        <v>608</v>
      </c>
      <c r="O4569" s="37" t="str">
        <f t="shared" si="358"/>
        <v>Cash Payment</v>
      </c>
      <c r="P4569">
        <v>151.04</v>
      </c>
      <c r="Q4569" s="37" t="str">
        <f>IF(P4569&gt;500,"High","low")</f>
        <v>low</v>
      </c>
      <c r="R4569" s="37" t="str">
        <f t="shared" si="359"/>
        <v>AVERAGE</v>
      </c>
      <c r="S4569" t="s">
        <v>605</v>
      </c>
    </row>
    <row r="4570" spans="1:19" x14ac:dyDescent="0.2">
      <c r="A4570" t="s">
        <v>5181</v>
      </c>
      <c r="B4570" t="s">
        <v>67</v>
      </c>
      <c r="C4570" t="s">
        <v>597</v>
      </c>
      <c r="D4570">
        <v>1722.59</v>
      </c>
      <c r="E4570" s="37" t="str">
        <f t="shared" si="355"/>
        <v xml:space="preserve"> </v>
      </c>
      <c r="F4570">
        <v>0.19</v>
      </c>
      <c r="G4570" s="37" t="str">
        <f t="shared" si="356"/>
        <v>Normal Discount</v>
      </c>
      <c r="H4570" s="37" t="str">
        <f t="shared" si="357"/>
        <v>Low</v>
      </c>
      <c r="I4570">
        <v>9</v>
      </c>
      <c r="J4570" t="str" cm="1">
        <f t="array" ref="J4570">_xlfn.IFS(I4570&lt;=3,"small",I4570&lt;=6,"Medium",I4570&lt;=9,"Large")</f>
        <v>Large</v>
      </c>
      <c r="K4570" s="36">
        <v>45366</v>
      </c>
      <c r="L4570" s="36">
        <v>45370</v>
      </c>
      <c r="M4570" t="s">
        <v>612</v>
      </c>
      <c r="N4570" t="s">
        <v>599</v>
      </c>
      <c r="O4570" s="37" t="str">
        <f t="shared" si="358"/>
        <v>Digital Payment</v>
      </c>
      <c r="P4570">
        <v>256.27999999999997</v>
      </c>
      <c r="Q4570" s="37" t="str">
        <f>IF(P4570&gt;500,"High","low")</f>
        <v>low</v>
      </c>
      <c r="R4570" s="37" t="str">
        <f t="shared" si="359"/>
        <v>AVERAGE</v>
      </c>
      <c r="S4570" t="s">
        <v>620</v>
      </c>
    </row>
    <row r="4571" spans="1:19" x14ac:dyDescent="0.2">
      <c r="A4571" t="s">
        <v>5182</v>
      </c>
      <c r="B4571" t="s">
        <v>90</v>
      </c>
      <c r="C4571" t="s">
        <v>614</v>
      </c>
      <c r="D4571">
        <v>1918.76</v>
      </c>
      <c r="E4571" s="37" t="str">
        <f t="shared" si="355"/>
        <v xml:space="preserve"> </v>
      </c>
      <c r="F4571">
        <v>0.47</v>
      </c>
      <c r="G4571" s="37" t="str">
        <f t="shared" si="356"/>
        <v>Heavy Discount</v>
      </c>
      <c r="H4571" s="37" t="str">
        <f t="shared" si="357"/>
        <v>High</v>
      </c>
      <c r="I4571">
        <v>7</v>
      </c>
      <c r="J4571" t="str" cm="1">
        <f t="array" ref="J4571">_xlfn.IFS(I4571&lt;=3,"small",I4571&lt;=6,"Medium",I4571&lt;=9,"Large")</f>
        <v>Large</v>
      </c>
      <c r="K4571" s="36">
        <v>45284</v>
      </c>
      <c r="L4571" s="36">
        <v>45285</v>
      </c>
      <c r="M4571" t="s">
        <v>603</v>
      </c>
      <c r="N4571" t="s">
        <v>608</v>
      </c>
      <c r="O4571" s="37" t="str">
        <f t="shared" si="358"/>
        <v>Cash Payment</v>
      </c>
      <c r="P4571">
        <v>190.02</v>
      </c>
      <c r="Q4571" s="37" t="str">
        <f>IF(P4571&gt;500,"High","low")</f>
        <v>low</v>
      </c>
      <c r="R4571" s="37" t="str">
        <f t="shared" si="359"/>
        <v>AVERAGE</v>
      </c>
      <c r="S4571" t="s">
        <v>615</v>
      </c>
    </row>
    <row r="4572" spans="1:19" x14ac:dyDescent="0.2">
      <c r="A4572" t="s">
        <v>5183</v>
      </c>
      <c r="B4572" t="s">
        <v>67</v>
      </c>
      <c r="C4572" t="s">
        <v>614</v>
      </c>
      <c r="D4572">
        <v>2363.67</v>
      </c>
      <c r="E4572" s="37" t="str">
        <f t="shared" si="355"/>
        <v xml:space="preserve"> </v>
      </c>
      <c r="F4572">
        <v>0.39</v>
      </c>
      <c r="G4572" s="37" t="str">
        <f t="shared" si="356"/>
        <v>Heavy Discount</v>
      </c>
      <c r="H4572" s="37" t="str">
        <f t="shared" si="357"/>
        <v>Medium</v>
      </c>
      <c r="I4572">
        <v>3</v>
      </c>
      <c r="J4572" t="str" cm="1">
        <f t="array" ref="J4572">_xlfn.IFS(I4572&lt;=3,"small",I4572&lt;=6,"Medium",I4572&lt;=9,"Large")</f>
        <v>small</v>
      </c>
      <c r="K4572" s="36">
        <v>45627</v>
      </c>
      <c r="L4572" s="36">
        <v>45628</v>
      </c>
      <c r="M4572" t="s">
        <v>598</v>
      </c>
      <c r="N4572" t="s">
        <v>599</v>
      </c>
      <c r="O4572" s="37" t="str">
        <f t="shared" si="358"/>
        <v>Digital Payment</v>
      </c>
      <c r="P4572">
        <v>340.05</v>
      </c>
      <c r="Q4572" s="37" t="str">
        <f>IF(P4572&gt;500,"High","low")</f>
        <v>low</v>
      </c>
      <c r="R4572" s="37" t="str">
        <f t="shared" si="359"/>
        <v>AVERAGE</v>
      </c>
      <c r="S4572" t="s">
        <v>600</v>
      </c>
    </row>
    <row r="4573" spans="1:19" x14ac:dyDescent="0.2">
      <c r="A4573" t="s">
        <v>5184</v>
      </c>
      <c r="B4573" t="s">
        <v>83</v>
      </c>
      <c r="C4573" t="s">
        <v>617</v>
      </c>
      <c r="D4573">
        <v>1761.8</v>
      </c>
      <c r="E4573" s="37" t="str">
        <f t="shared" si="355"/>
        <v xml:space="preserve"> </v>
      </c>
      <c r="F4573">
        <v>0.31</v>
      </c>
      <c r="G4573" s="37" t="str">
        <f t="shared" si="356"/>
        <v>Heavy Discount</v>
      </c>
      <c r="H4573" s="37" t="str">
        <f t="shared" si="357"/>
        <v>Medium</v>
      </c>
      <c r="I4573">
        <v>6</v>
      </c>
      <c r="J4573" t="str" cm="1">
        <f t="array" ref="J4573">_xlfn.IFS(I4573&lt;=3,"small",I4573&lt;=6,"Medium",I4573&lt;=9,"Large")</f>
        <v>Medium</v>
      </c>
      <c r="K4573" s="36">
        <v>45256</v>
      </c>
      <c r="L4573" s="36">
        <v>45263</v>
      </c>
      <c r="M4573" t="s">
        <v>598</v>
      </c>
      <c r="N4573" t="s">
        <v>599</v>
      </c>
      <c r="O4573" s="37" t="str">
        <f t="shared" si="358"/>
        <v>Digital Payment</v>
      </c>
      <c r="P4573">
        <v>246.45</v>
      </c>
      <c r="Q4573" s="37" t="str">
        <f>IF(P4573&gt;500,"High","low")</f>
        <v>low</v>
      </c>
      <c r="R4573" s="37" t="str">
        <f t="shared" si="359"/>
        <v>AVERAGE</v>
      </c>
      <c r="S4573" t="s">
        <v>615</v>
      </c>
    </row>
    <row r="4574" spans="1:19" x14ac:dyDescent="0.2">
      <c r="A4574" t="s">
        <v>5185</v>
      </c>
      <c r="B4574" t="s">
        <v>75</v>
      </c>
      <c r="C4574" t="s">
        <v>614</v>
      </c>
      <c r="D4574">
        <v>265.56</v>
      </c>
      <c r="E4574" s="37" t="str">
        <f t="shared" si="355"/>
        <v xml:space="preserve"> </v>
      </c>
      <c r="F4574">
        <v>0.27</v>
      </c>
      <c r="G4574" s="37" t="str">
        <f t="shared" si="356"/>
        <v>Normal Discount</v>
      </c>
      <c r="H4574" s="37" t="str">
        <f t="shared" si="357"/>
        <v>Medium</v>
      </c>
      <c r="I4574">
        <v>3</v>
      </c>
      <c r="J4574" t="str" cm="1">
        <f t="array" ref="J4574">_xlfn.IFS(I4574&lt;=3,"small",I4574&lt;=6,"Medium",I4574&lt;=9,"Large")</f>
        <v>small</v>
      </c>
      <c r="K4574" s="36">
        <v>45546</v>
      </c>
      <c r="L4574" s="36">
        <v>45551</v>
      </c>
      <c r="M4574" t="s">
        <v>598</v>
      </c>
      <c r="N4574" t="s">
        <v>604</v>
      </c>
      <c r="O4574" s="37" t="str">
        <f t="shared" si="358"/>
        <v>Digital Payment</v>
      </c>
      <c r="P4574">
        <v>33.159999999999997</v>
      </c>
      <c r="Q4574" s="37" t="str">
        <f>IF(P4574&gt;500,"High","low")</f>
        <v>low</v>
      </c>
      <c r="R4574" s="37" t="str">
        <f t="shared" si="359"/>
        <v>AVERAGE</v>
      </c>
      <c r="S4574" t="s">
        <v>600</v>
      </c>
    </row>
    <row r="4575" spans="1:19" x14ac:dyDescent="0.2">
      <c r="A4575" t="s">
        <v>5186</v>
      </c>
      <c r="B4575" t="s">
        <v>75</v>
      </c>
      <c r="C4575" t="s">
        <v>602</v>
      </c>
      <c r="D4575">
        <v>871.34</v>
      </c>
      <c r="E4575" s="37" t="str">
        <f t="shared" si="355"/>
        <v xml:space="preserve"> </v>
      </c>
      <c r="F4575">
        <v>0.19</v>
      </c>
      <c r="G4575" s="37" t="str">
        <f t="shared" si="356"/>
        <v>Normal Discount</v>
      </c>
      <c r="H4575" s="37" t="str">
        <f t="shared" si="357"/>
        <v>Low</v>
      </c>
      <c r="I4575">
        <v>4</v>
      </c>
      <c r="J4575" t="str" cm="1">
        <f t="array" ref="J4575">_xlfn.IFS(I4575&lt;=3,"small",I4575&lt;=6,"Medium",I4575&lt;=9,"Large")</f>
        <v>Medium</v>
      </c>
      <c r="K4575" s="36">
        <v>45315</v>
      </c>
      <c r="L4575" s="36">
        <v>45319</v>
      </c>
      <c r="M4575" t="s">
        <v>612</v>
      </c>
      <c r="N4575" t="s">
        <v>604</v>
      </c>
      <c r="O4575" s="37" t="str">
        <f t="shared" si="358"/>
        <v>Digital Payment</v>
      </c>
      <c r="P4575">
        <v>94.58</v>
      </c>
      <c r="Q4575" s="37" t="str">
        <f>IF(P4575&gt;500,"High","low")</f>
        <v>low</v>
      </c>
      <c r="R4575" s="37" t="str">
        <f t="shared" si="359"/>
        <v>AVERAGE</v>
      </c>
      <c r="S4575" t="s">
        <v>628</v>
      </c>
    </row>
    <row r="4576" spans="1:19" x14ac:dyDescent="0.2">
      <c r="A4576" t="s">
        <v>5187</v>
      </c>
      <c r="B4576" t="s">
        <v>75</v>
      </c>
      <c r="C4576" t="s">
        <v>602</v>
      </c>
      <c r="D4576">
        <v>664.05</v>
      </c>
      <c r="E4576" s="37" t="str">
        <f t="shared" si="355"/>
        <v xml:space="preserve"> </v>
      </c>
      <c r="F4576">
        <v>0.11</v>
      </c>
      <c r="G4576" s="37" t="str">
        <f t="shared" si="356"/>
        <v>Normal Discount</v>
      </c>
      <c r="H4576" s="37" t="str">
        <f t="shared" si="357"/>
        <v>Low</v>
      </c>
      <c r="I4576">
        <v>1</v>
      </c>
      <c r="J4576" t="str" cm="1">
        <f t="array" ref="J4576">_xlfn.IFS(I4576&lt;=3,"small",I4576&lt;=6,"Medium",I4576&lt;=9,"Large")</f>
        <v>small</v>
      </c>
      <c r="K4576" s="36">
        <v>45268</v>
      </c>
      <c r="L4576" s="36">
        <v>45273</v>
      </c>
      <c r="M4576" t="s">
        <v>598</v>
      </c>
      <c r="N4576" t="s">
        <v>608</v>
      </c>
      <c r="O4576" s="37" t="str">
        <f t="shared" si="358"/>
        <v>Cash Payment</v>
      </c>
      <c r="P4576">
        <v>97.38</v>
      </c>
      <c r="Q4576" s="37" t="str">
        <f>IF(P4576&gt;500,"High","low")</f>
        <v>low</v>
      </c>
      <c r="R4576" s="37" t="str">
        <f t="shared" si="359"/>
        <v>AVERAGE</v>
      </c>
      <c r="S4576" t="s">
        <v>600</v>
      </c>
    </row>
    <row r="4577" spans="1:19" x14ac:dyDescent="0.2">
      <c r="A4577" t="s">
        <v>5188</v>
      </c>
      <c r="B4577" t="s">
        <v>75</v>
      </c>
      <c r="C4577" t="s">
        <v>602</v>
      </c>
      <c r="D4577">
        <v>2212.8000000000002</v>
      </c>
      <c r="E4577" s="37" t="str">
        <f t="shared" si="355"/>
        <v xml:space="preserve"> </v>
      </c>
      <c r="F4577">
        <v>0.03</v>
      </c>
      <c r="G4577" s="37" t="str">
        <f t="shared" si="356"/>
        <v>Normal Discount</v>
      </c>
      <c r="H4577" s="37" t="str">
        <f t="shared" si="357"/>
        <v>Low</v>
      </c>
      <c r="I4577">
        <v>2</v>
      </c>
      <c r="J4577" t="str" cm="1">
        <f t="array" ref="J4577">_xlfn.IFS(I4577&lt;=3,"small",I4577&lt;=6,"Medium",I4577&lt;=9,"Large")</f>
        <v>small</v>
      </c>
      <c r="K4577" s="36">
        <v>45187</v>
      </c>
      <c r="L4577" s="36">
        <v>45191</v>
      </c>
      <c r="M4577" t="s">
        <v>598</v>
      </c>
      <c r="N4577" t="s">
        <v>608</v>
      </c>
      <c r="O4577" s="37" t="str">
        <f t="shared" si="358"/>
        <v>Cash Payment</v>
      </c>
      <c r="P4577">
        <v>648.15</v>
      </c>
      <c r="Q4577" s="37" t="str">
        <f>IF(P4577&gt;500,"High","low")</f>
        <v>High</v>
      </c>
      <c r="R4577" s="37" t="str">
        <f t="shared" si="359"/>
        <v>Good</v>
      </c>
      <c r="S4577" t="s">
        <v>615</v>
      </c>
    </row>
    <row r="4578" spans="1:19" x14ac:dyDescent="0.2">
      <c r="A4578" t="s">
        <v>5189</v>
      </c>
      <c r="B4578" t="s">
        <v>75</v>
      </c>
      <c r="C4578" t="s">
        <v>602</v>
      </c>
      <c r="D4578">
        <v>1139.43</v>
      </c>
      <c r="E4578" s="37" t="str">
        <f t="shared" si="355"/>
        <v xml:space="preserve"> </v>
      </c>
      <c r="F4578">
        <v>0.1</v>
      </c>
      <c r="G4578" s="37" t="str">
        <f t="shared" si="356"/>
        <v>Normal Discount</v>
      </c>
      <c r="H4578" s="37" t="str">
        <f t="shared" si="357"/>
        <v>Low</v>
      </c>
      <c r="I4578">
        <v>1</v>
      </c>
      <c r="J4578" t="str" cm="1">
        <f t="array" ref="J4578">_xlfn.IFS(I4578&lt;=3,"small",I4578&lt;=6,"Medium",I4578&lt;=9,"Large")</f>
        <v>small</v>
      </c>
      <c r="K4578" s="36">
        <v>45322</v>
      </c>
      <c r="L4578" s="36">
        <v>45329</v>
      </c>
      <c r="M4578" t="s">
        <v>603</v>
      </c>
      <c r="N4578" t="s">
        <v>604</v>
      </c>
      <c r="O4578" s="37" t="str">
        <f t="shared" si="358"/>
        <v>Digital Payment</v>
      </c>
      <c r="P4578">
        <v>197.03</v>
      </c>
      <c r="Q4578" s="37" t="str">
        <f>IF(P4578&gt;500,"High","low")</f>
        <v>low</v>
      </c>
      <c r="R4578" s="37" t="str">
        <f t="shared" si="359"/>
        <v>AVERAGE</v>
      </c>
      <c r="S4578" t="s">
        <v>600</v>
      </c>
    </row>
    <row r="4579" spans="1:19" x14ac:dyDescent="0.2">
      <c r="A4579" t="s">
        <v>5190</v>
      </c>
      <c r="B4579" t="s">
        <v>90</v>
      </c>
      <c r="C4579" t="s">
        <v>617</v>
      </c>
      <c r="D4579">
        <v>1538.37</v>
      </c>
      <c r="E4579" s="37" t="str">
        <f t="shared" si="355"/>
        <v xml:space="preserve"> </v>
      </c>
      <c r="F4579">
        <v>0.18</v>
      </c>
      <c r="G4579" s="37" t="str">
        <f t="shared" si="356"/>
        <v>Normal Discount</v>
      </c>
      <c r="H4579" s="37" t="str">
        <f t="shared" si="357"/>
        <v>Low</v>
      </c>
      <c r="I4579">
        <v>2</v>
      </c>
      <c r="J4579" t="str" cm="1">
        <f t="array" ref="J4579">_xlfn.IFS(I4579&lt;=3,"small",I4579&lt;=6,"Medium",I4579&lt;=9,"Large")</f>
        <v>small</v>
      </c>
      <c r="K4579" s="36">
        <v>45523</v>
      </c>
      <c r="L4579" s="36">
        <v>45528</v>
      </c>
      <c r="M4579" t="s">
        <v>598</v>
      </c>
      <c r="N4579" t="s">
        <v>599</v>
      </c>
      <c r="O4579" s="37" t="str">
        <f t="shared" si="358"/>
        <v>Digital Payment</v>
      </c>
      <c r="P4579">
        <v>130.31</v>
      </c>
      <c r="Q4579" s="37" t="str">
        <f>IF(P4579&gt;500,"High","low")</f>
        <v>low</v>
      </c>
      <c r="R4579" s="37" t="str">
        <f t="shared" si="359"/>
        <v>AVERAGE</v>
      </c>
      <c r="S4579" t="s">
        <v>620</v>
      </c>
    </row>
    <row r="4580" spans="1:19" x14ac:dyDescent="0.2">
      <c r="A4580" t="s">
        <v>5191</v>
      </c>
      <c r="B4580" t="s">
        <v>67</v>
      </c>
      <c r="C4580" t="s">
        <v>602</v>
      </c>
      <c r="D4580">
        <v>2410.6799999999998</v>
      </c>
      <c r="E4580" s="37" t="str">
        <f t="shared" si="355"/>
        <v xml:space="preserve"> </v>
      </c>
      <c r="F4580">
        <v>0.26</v>
      </c>
      <c r="G4580" s="37" t="str">
        <f t="shared" si="356"/>
        <v>Normal Discount</v>
      </c>
      <c r="H4580" s="37" t="str">
        <f t="shared" si="357"/>
        <v>Medium</v>
      </c>
      <c r="I4580">
        <v>4</v>
      </c>
      <c r="J4580" t="str" cm="1">
        <f t="array" ref="J4580">_xlfn.IFS(I4580&lt;=3,"small",I4580&lt;=6,"Medium",I4580&lt;=9,"Large")</f>
        <v>Medium</v>
      </c>
      <c r="K4580" s="36">
        <v>45336</v>
      </c>
      <c r="L4580" s="36">
        <v>45339</v>
      </c>
      <c r="M4580" t="s">
        <v>612</v>
      </c>
      <c r="N4580" t="s">
        <v>608</v>
      </c>
      <c r="O4580" s="37" t="str">
        <f t="shared" si="358"/>
        <v>Cash Payment</v>
      </c>
      <c r="P4580">
        <v>262.26</v>
      </c>
      <c r="Q4580" s="37" t="str">
        <f>IF(P4580&gt;500,"High","low")</f>
        <v>low</v>
      </c>
      <c r="R4580" s="37" t="str">
        <f t="shared" si="359"/>
        <v>AVERAGE</v>
      </c>
      <c r="S4580" t="s">
        <v>609</v>
      </c>
    </row>
    <row r="4581" spans="1:19" x14ac:dyDescent="0.2">
      <c r="A4581" t="s">
        <v>5192</v>
      </c>
      <c r="B4581" t="s">
        <v>83</v>
      </c>
      <c r="C4581" t="s">
        <v>607</v>
      </c>
      <c r="D4581">
        <v>1254.25</v>
      </c>
      <c r="E4581" s="37" t="str">
        <f t="shared" si="355"/>
        <v xml:space="preserve"> </v>
      </c>
      <c r="F4581">
        <v>0.1</v>
      </c>
      <c r="G4581" s="37" t="str">
        <f t="shared" si="356"/>
        <v>Normal Discount</v>
      </c>
      <c r="H4581" s="37" t="str">
        <f t="shared" si="357"/>
        <v>Low</v>
      </c>
      <c r="I4581">
        <v>6</v>
      </c>
      <c r="J4581" t="str" cm="1">
        <f t="array" ref="J4581">_xlfn.IFS(I4581&lt;=3,"small",I4581&lt;=6,"Medium",I4581&lt;=9,"Large")</f>
        <v>Medium</v>
      </c>
      <c r="K4581" s="36">
        <v>45311</v>
      </c>
      <c r="L4581" s="36">
        <v>45315</v>
      </c>
      <c r="M4581" t="s">
        <v>612</v>
      </c>
      <c r="N4581" t="s">
        <v>608</v>
      </c>
      <c r="O4581" s="37" t="str">
        <f t="shared" si="358"/>
        <v>Cash Payment</v>
      </c>
      <c r="P4581">
        <v>173.39</v>
      </c>
      <c r="Q4581" s="37" t="str">
        <f>IF(P4581&gt;500,"High","low")</f>
        <v>low</v>
      </c>
      <c r="R4581" s="37" t="str">
        <f t="shared" si="359"/>
        <v>AVERAGE</v>
      </c>
      <c r="S4581" t="s">
        <v>609</v>
      </c>
    </row>
    <row r="4582" spans="1:19" x14ac:dyDescent="0.2">
      <c r="A4582" t="s">
        <v>5193</v>
      </c>
      <c r="B4582" t="s">
        <v>90</v>
      </c>
      <c r="C4582" t="s">
        <v>607</v>
      </c>
      <c r="D4582">
        <v>1305.05</v>
      </c>
      <c r="E4582" s="37" t="str">
        <f t="shared" si="355"/>
        <v xml:space="preserve"> </v>
      </c>
      <c r="F4582">
        <v>0.49</v>
      </c>
      <c r="G4582" s="37" t="str">
        <f t="shared" si="356"/>
        <v>Heavy Discount</v>
      </c>
      <c r="H4582" s="37" t="str">
        <f t="shared" si="357"/>
        <v>High</v>
      </c>
      <c r="I4582">
        <v>8</v>
      </c>
      <c r="J4582" t="str" cm="1">
        <f t="array" ref="J4582">_xlfn.IFS(I4582&lt;=3,"small",I4582&lt;=6,"Medium",I4582&lt;=9,"Large")</f>
        <v>Large</v>
      </c>
      <c r="K4582" s="36">
        <v>45064</v>
      </c>
      <c r="L4582" s="36">
        <v>45066</v>
      </c>
      <c r="M4582" t="s">
        <v>612</v>
      </c>
      <c r="N4582" t="s">
        <v>604</v>
      </c>
      <c r="O4582" s="37" t="str">
        <f t="shared" si="358"/>
        <v>Digital Payment</v>
      </c>
      <c r="P4582">
        <v>126.73</v>
      </c>
      <c r="Q4582" s="37" t="str">
        <f>IF(P4582&gt;500,"High","low")</f>
        <v>low</v>
      </c>
      <c r="R4582" s="37" t="str">
        <f t="shared" si="359"/>
        <v>AVERAGE</v>
      </c>
      <c r="S4582" t="s">
        <v>628</v>
      </c>
    </row>
    <row r="4583" spans="1:19" x14ac:dyDescent="0.2">
      <c r="A4583" t="s">
        <v>5194</v>
      </c>
      <c r="B4583" t="s">
        <v>67</v>
      </c>
      <c r="C4583" t="s">
        <v>607</v>
      </c>
      <c r="D4583">
        <v>4182.41</v>
      </c>
      <c r="E4583" s="37" t="str">
        <f t="shared" si="355"/>
        <v>Excellent Order</v>
      </c>
      <c r="F4583">
        <v>0.04</v>
      </c>
      <c r="G4583" s="37" t="str">
        <f t="shared" si="356"/>
        <v>Normal Discount</v>
      </c>
      <c r="H4583" s="37" t="str">
        <f t="shared" si="357"/>
        <v>Low</v>
      </c>
      <c r="I4583">
        <v>9</v>
      </c>
      <c r="J4583" t="str" cm="1">
        <f t="array" ref="J4583">_xlfn.IFS(I4583&lt;=3,"small",I4583&lt;=6,"Medium",I4583&lt;=9,"Large")</f>
        <v>Large</v>
      </c>
      <c r="K4583" s="36">
        <v>45181</v>
      </c>
      <c r="L4583" s="36">
        <v>45186</v>
      </c>
      <c r="M4583" t="s">
        <v>603</v>
      </c>
      <c r="N4583" t="s">
        <v>604</v>
      </c>
      <c r="O4583" s="37" t="str">
        <f t="shared" si="358"/>
        <v>Digital Payment</v>
      </c>
      <c r="P4583">
        <v>984.7</v>
      </c>
      <c r="Q4583" s="37" t="str">
        <f>IF(P4583&gt;500,"High","low")</f>
        <v>High</v>
      </c>
      <c r="R4583" s="37" t="str">
        <f t="shared" si="359"/>
        <v>Good</v>
      </c>
      <c r="S4583" t="s">
        <v>620</v>
      </c>
    </row>
    <row r="4584" spans="1:19" x14ac:dyDescent="0.2">
      <c r="A4584" t="s">
        <v>5195</v>
      </c>
      <c r="B4584" t="s">
        <v>75</v>
      </c>
      <c r="C4584" t="s">
        <v>614</v>
      </c>
      <c r="D4584">
        <v>2785.63</v>
      </c>
      <c r="E4584" s="37" t="str">
        <f t="shared" si="355"/>
        <v xml:space="preserve"> </v>
      </c>
      <c r="F4584">
        <v>0.05</v>
      </c>
      <c r="G4584" s="37" t="str">
        <f t="shared" si="356"/>
        <v>Normal Discount</v>
      </c>
      <c r="H4584" s="37" t="str">
        <f t="shared" si="357"/>
        <v>Low</v>
      </c>
      <c r="I4584">
        <v>7</v>
      </c>
      <c r="J4584" t="str" cm="1">
        <f t="array" ref="J4584">_xlfn.IFS(I4584&lt;=3,"small",I4584&lt;=6,"Medium",I4584&lt;=9,"Large")</f>
        <v>Large</v>
      </c>
      <c r="K4584" s="36">
        <v>45348</v>
      </c>
      <c r="L4584" s="36">
        <v>45351</v>
      </c>
      <c r="M4584" t="s">
        <v>612</v>
      </c>
      <c r="N4584" t="s">
        <v>608</v>
      </c>
      <c r="O4584" s="37" t="str">
        <f t="shared" si="358"/>
        <v>Cash Payment</v>
      </c>
      <c r="P4584">
        <v>689.9</v>
      </c>
      <c r="Q4584" s="37" t="str">
        <f>IF(P4584&gt;500,"High","low")</f>
        <v>High</v>
      </c>
      <c r="R4584" s="37" t="str">
        <f t="shared" si="359"/>
        <v>Good</v>
      </c>
      <c r="S4584" t="s">
        <v>620</v>
      </c>
    </row>
    <row r="4585" spans="1:19" x14ac:dyDescent="0.2">
      <c r="A4585" t="s">
        <v>5196</v>
      </c>
      <c r="B4585" t="s">
        <v>67</v>
      </c>
      <c r="C4585" t="s">
        <v>597</v>
      </c>
      <c r="D4585">
        <v>4298.12</v>
      </c>
      <c r="E4585" s="37" t="str">
        <f t="shared" si="355"/>
        <v>Excellent Order</v>
      </c>
      <c r="F4585">
        <v>0.34</v>
      </c>
      <c r="G4585" s="37" t="str">
        <f t="shared" si="356"/>
        <v>Heavy Discount</v>
      </c>
      <c r="H4585" s="37" t="str">
        <f t="shared" si="357"/>
        <v>Medium</v>
      </c>
      <c r="I4585">
        <v>4</v>
      </c>
      <c r="J4585" t="str" cm="1">
        <f t="array" ref="J4585">_xlfn.IFS(I4585&lt;=3,"small",I4585&lt;=6,"Medium",I4585&lt;=9,"Large")</f>
        <v>Medium</v>
      </c>
      <c r="K4585" s="36">
        <v>45078</v>
      </c>
      <c r="L4585" s="36">
        <v>45081</v>
      </c>
      <c r="M4585" t="s">
        <v>603</v>
      </c>
      <c r="N4585" t="s">
        <v>599</v>
      </c>
      <c r="O4585" s="37" t="str">
        <f t="shared" si="358"/>
        <v>Digital Payment</v>
      </c>
      <c r="P4585">
        <v>1077.31</v>
      </c>
      <c r="Q4585" s="37" t="str">
        <f>IF(P4585&gt;500,"High","low")</f>
        <v>High</v>
      </c>
      <c r="R4585" s="37" t="str">
        <f t="shared" si="359"/>
        <v>Excellent</v>
      </c>
      <c r="S4585" t="s">
        <v>609</v>
      </c>
    </row>
    <row r="4586" spans="1:19" x14ac:dyDescent="0.2">
      <c r="A4586" t="s">
        <v>5197</v>
      </c>
      <c r="B4586" t="s">
        <v>67</v>
      </c>
      <c r="C4586" t="s">
        <v>617</v>
      </c>
      <c r="D4586">
        <v>2621.1799999999998</v>
      </c>
      <c r="E4586" s="37" t="str">
        <f t="shared" si="355"/>
        <v xml:space="preserve"> </v>
      </c>
      <c r="F4586">
        <v>0.38</v>
      </c>
      <c r="G4586" s="37" t="str">
        <f t="shared" si="356"/>
        <v>Heavy Discount</v>
      </c>
      <c r="H4586" s="37" t="str">
        <f t="shared" si="357"/>
        <v>Medium</v>
      </c>
      <c r="I4586">
        <v>7</v>
      </c>
      <c r="J4586" t="str" cm="1">
        <f t="array" ref="J4586">_xlfn.IFS(I4586&lt;=3,"small",I4586&lt;=6,"Medium",I4586&lt;=9,"Large")</f>
        <v>Large</v>
      </c>
      <c r="K4586" s="36">
        <v>45042</v>
      </c>
      <c r="L4586" s="36">
        <v>45049</v>
      </c>
      <c r="M4586" t="s">
        <v>612</v>
      </c>
      <c r="N4586" t="s">
        <v>608</v>
      </c>
      <c r="O4586" s="37" t="str">
        <f t="shared" si="358"/>
        <v>Cash Payment</v>
      </c>
      <c r="P4586">
        <v>731.15</v>
      </c>
      <c r="Q4586" s="37" t="str">
        <f>IF(P4586&gt;500,"High","low")</f>
        <v>High</v>
      </c>
      <c r="R4586" s="37" t="str">
        <f t="shared" si="359"/>
        <v>Good</v>
      </c>
      <c r="S4586" t="s">
        <v>600</v>
      </c>
    </row>
    <row r="4587" spans="1:19" x14ac:dyDescent="0.2">
      <c r="A4587" t="s">
        <v>5198</v>
      </c>
      <c r="B4587" t="s">
        <v>75</v>
      </c>
      <c r="C4587" t="s">
        <v>607</v>
      </c>
      <c r="D4587">
        <v>4555.3900000000003</v>
      </c>
      <c r="E4587" s="37" t="str">
        <f t="shared" si="355"/>
        <v>Excellent Order</v>
      </c>
      <c r="F4587">
        <v>0.49</v>
      </c>
      <c r="G4587" s="37" t="str">
        <f t="shared" si="356"/>
        <v>Heavy Discount</v>
      </c>
      <c r="H4587" s="37" t="str">
        <f t="shared" si="357"/>
        <v>High</v>
      </c>
      <c r="I4587">
        <v>1</v>
      </c>
      <c r="J4587" t="str" cm="1">
        <f t="array" ref="J4587">_xlfn.IFS(I4587&lt;=3,"small",I4587&lt;=6,"Medium",I4587&lt;=9,"Large")</f>
        <v>small</v>
      </c>
      <c r="K4587" s="36">
        <v>44973</v>
      </c>
      <c r="L4587" s="36">
        <v>44974</v>
      </c>
      <c r="M4587" t="s">
        <v>612</v>
      </c>
      <c r="N4587" t="s">
        <v>604</v>
      </c>
      <c r="O4587" s="37" t="str">
        <f t="shared" si="358"/>
        <v>Digital Payment</v>
      </c>
      <c r="P4587">
        <v>1205.75</v>
      </c>
      <c r="Q4587" s="37" t="str">
        <f>IF(P4587&gt;500,"High","low")</f>
        <v>High</v>
      </c>
      <c r="R4587" s="37" t="str">
        <f t="shared" si="359"/>
        <v>Excellent</v>
      </c>
      <c r="S4587" t="s">
        <v>628</v>
      </c>
    </row>
    <row r="4588" spans="1:19" x14ac:dyDescent="0.2">
      <c r="A4588" t="s">
        <v>5199</v>
      </c>
      <c r="B4588" t="s">
        <v>75</v>
      </c>
      <c r="C4588" t="s">
        <v>607</v>
      </c>
      <c r="D4588">
        <v>1348.24</v>
      </c>
      <c r="E4588" s="37" t="str">
        <f t="shared" si="355"/>
        <v xml:space="preserve"> </v>
      </c>
      <c r="F4588">
        <v>0.27</v>
      </c>
      <c r="G4588" s="37" t="str">
        <f t="shared" si="356"/>
        <v>Normal Discount</v>
      </c>
      <c r="H4588" s="37" t="str">
        <f t="shared" si="357"/>
        <v>Medium</v>
      </c>
      <c r="I4588">
        <v>6</v>
      </c>
      <c r="J4588" t="str" cm="1">
        <f t="array" ref="J4588">_xlfn.IFS(I4588&lt;=3,"small",I4588&lt;=6,"Medium",I4588&lt;=9,"Large")</f>
        <v>Medium</v>
      </c>
      <c r="K4588" s="36">
        <v>45184</v>
      </c>
      <c r="L4588" s="36">
        <v>45187</v>
      </c>
      <c r="M4588" t="s">
        <v>603</v>
      </c>
      <c r="N4588" t="s">
        <v>608</v>
      </c>
      <c r="O4588" s="37" t="str">
        <f t="shared" si="358"/>
        <v>Cash Payment</v>
      </c>
      <c r="P4588">
        <v>263.16000000000003</v>
      </c>
      <c r="Q4588" s="37" t="str">
        <f>IF(P4588&gt;500,"High","low")</f>
        <v>low</v>
      </c>
      <c r="R4588" s="37" t="str">
        <f t="shared" si="359"/>
        <v>AVERAGE</v>
      </c>
      <c r="S4588" t="s">
        <v>600</v>
      </c>
    </row>
    <row r="4589" spans="1:19" x14ac:dyDescent="0.2">
      <c r="A4589" t="s">
        <v>5200</v>
      </c>
      <c r="B4589" t="s">
        <v>75</v>
      </c>
      <c r="C4589" t="s">
        <v>602</v>
      </c>
      <c r="D4589">
        <v>3121.68</v>
      </c>
      <c r="E4589" s="37" t="str">
        <f t="shared" si="355"/>
        <v xml:space="preserve"> </v>
      </c>
      <c r="F4589">
        <v>0.08</v>
      </c>
      <c r="G4589" s="37" t="str">
        <f t="shared" si="356"/>
        <v>Normal Discount</v>
      </c>
      <c r="H4589" s="37" t="str">
        <f t="shared" si="357"/>
        <v>Low</v>
      </c>
      <c r="I4589">
        <v>1</v>
      </c>
      <c r="J4589" t="str" cm="1">
        <f t="array" ref="J4589">_xlfn.IFS(I4589&lt;=3,"small",I4589&lt;=6,"Medium",I4589&lt;=9,"Large")</f>
        <v>small</v>
      </c>
      <c r="K4589" s="36">
        <v>45299</v>
      </c>
      <c r="L4589" s="36">
        <v>45306</v>
      </c>
      <c r="M4589" t="s">
        <v>598</v>
      </c>
      <c r="N4589" t="s">
        <v>608</v>
      </c>
      <c r="O4589" s="37" t="str">
        <f t="shared" si="358"/>
        <v>Cash Payment</v>
      </c>
      <c r="P4589">
        <v>545.77</v>
      </c>
      <c r="Q4589" s="37" t="str">
        <f>IF(P4589&gt;500,"High","low")</f>
        <v>High</v>
      </c>
      <c r="R4589" s="37" t="str">
        <f t="shared" si="359"/>
        <v>Good</v>
      </c>
      <c r="S4589" t="s">
        <v>609</v>
      </c>
    </row>
    <row r="4590" spans="1:19" x14ac:dyDescent="0.2">
      <c r="A4590" t="s">
        <v>5201</v>
      </c>
      <c r="B4590" t="s">
        <v>83</v>
      </c>
      <c r="C4590" t="s">
        <v>607</v>
      </c>
      <c r="D4590">
        <v>2565.84</v>
      </c>
      <c r="E4590" s="37" t="str">
        <f t="shared" si="355"/>
        <v xml:space="preserve"> </v>
      </c>
      <c r="F4590">
        <v>0.47</v>
      </c>
      <c r="G4590" s="37" t="str">
        <f t="shared" si="356"/>
        <v>Heavy Discount</v>
      </c>
      <c r="H4590" s="37" t="str">
        <f t="shared" si="357"/>
        <v>High</v>
      </c>
      <c r="I4590">
        <v>8</v>
      </c>
      <c r="J4590" t="str" cm="1">
        <f t="array" ref="J4590">_xlfn.IFS(I4590&lt;=3,"small",I4590&lt;=6,"Medium",I4590&lt;=9,"Large")</f>
        <v>Large</v>
      </c>
      <c r="K4590" s="36">
        <v>45533</v>
      </c>
      <c r="L4590" s="36">
        <v>45538</v>
      </c>
      <c r="M4590" t="s">
        <v>603</v>
      </c>
      <c r="N4590" t="s">
        <v>599</v>
      </c>
      <c r="O4590" s="37" t="str">
        <f t="shared" si="358"/>
        <v>Digital Payment</v>
      </c>
      <c r="P4590">
        <v>641.87</v>
      </c>
      <c r="Q4590" s="37" t="str">
        <f>IF(P4590&gt;500,"High","low")</f>
        <v>High</v>
      </c>
      <c r="R4590" s="37" t="str">
        <f t="shared" si="359"/>
        <v>Good</v>
      </c>
      <c r="S4590" t="s">
        <v>600</v>
      </c>
    </row>
    <row r="4591" spans="1:19" x14ac:dyDescent="0.2">
      <c r="A4591" t="s">
        <v>5202</v>
      </c>
      <c r="B4591" t="s">
        <v>75</v>
      </c>
      <c r="C4591" t="s">
        <v>602</v>
      </c>
      <c r="D4591">
        <v>4601.59</v>
      </c>
      <c r="E4591" s="37" t="str">
        <f t="shared" si="355"/>
        <v>Excellent Order</v>
      </c>
      <c r="F4591">
        <v>0.49</v>
      </c>
      <c r="G4591" s="37" t="str">
        <f t="shared" si="356"/>
        <v>Heavy Discount</v>
      </c>
      <c r="H4591" s="37" t="str">
        <f t="shared" si="357"/>
        <v>High</v>
      </c>
      <c r="I4591">
        <v>4</v>
      </c>
      <c r="J4591" t="str" cm="1">
        <f t="array" ref="J4591">_xlfn.IFS(I4591&lt;=3,"small",I4591&lt;=6,"Medium",I4591&lt;=9,"Large")</f>
        <v>Medium</v>
      </c>
      <c r="K4591" s="36">
        <v>45306</v>
      </c>
      <c r="L4591" s="36">
        <v>45309</v>
      </c>
      <c r="M4591" t="s">
        <v>603</v>
      </c>
      <c r="N4591" t="s">
        <v>608</v>
      </c>
      <c r="O4591" s="37" t="str">
        <f t="shared" si="358"/>
        <v>Cash Payment</v>
      </c>
      <c r="P4591">
        <v>1340.79</v>
      </c>
      <c r="Q4591" s="37" t="str">
        <f>IF(P4591&gt;500,"High","low")</f>
        <v>High</v>
      </c>
      <c r="R4591" s="37" t="str">
        <f t="shared" si="359"/>
        <v>Excellent</v>
      </c>
      <c r="S4591" t="s">
        <v>620</v>
      </c>
    </row>
    <row r="4592" spans="1:19" x14ac:dyDescent="0.2">
      <c r="A4592" t="s">
        <v>5203</v>
      </c>
      <c r="B4592" t="s">
        <v>83</v>
      </c>
      <c r="C4592" t="s">
        <v>602</v>
      </c>
      <c r="D4592">
        <v>2150.5500000000002</v>
      </c>
      <c r="E4592" s="37" t="str">
        <f t="shared" si="355"/>
        <v xml:space="preserve"> </v>
      </c>
      <c r="F4592">
        <v>0.46</v>
      </c>
      <c r="G4592" s="37" t="str">
        <f t="shared" si="356"/>
        <v>Heavy Discount</v>
      </c>
      <c r="H4592" s="37" t="str">
        <f t="shared" si="357"/>
        <v>High</v>
      </c>
      <c r="I4592">
        <v>8</v>
      </c>
      <c r="J4592" t="str" cm="1">
        <f t="array" ref="J4592">_xlfn.IFS(I4592&lt;=3,"small",I4592&lt;=6,"Medium",I4592&lt;=9,"Large")</f>
        <v>Large</v>
      </c>
      <c r="K4592" s="36">
        <v>45568</v>
      </c>
      <c r="L4592" s="36">
        <v>45571</v>
      </c>
      <c r="M4592" t="s">
        <v>612</v>
      </c>
      <c r="N4592" t="s">
        <v>599</v>
      </c>
      <c r="O4592" s="37" t="str">
        <f t="shared" si="358"/>
        <v>Digital Payment</v>
      </c>
      <c r="P4592">
        <v>123.94</v>
      </c>
      <c r="Q4592" s="37" t="str">
        <f>IF(P4592&gt;500,"High","low")</f>
        <v>low</v>
      </c>
      <c r="R4592" s="37" t="str">
        <f t="shared" si="359"/>
        <v>AVERAGE</v>
      </c>
      <c r="S4592" t="s">
        <v>628</v>
      </c>
    </row>
    <row r="4593" spans="1:19" x14ac:dyDescent="0.2">
      <c r="A4593" t="s">
        <v>5204</v>
      </c>
      <c r="B4593" t="s">
        <v>75</v>
      </c>
      <c r="C4593" t="s">
        <v>597</v>
      </c>
      <c r="D4593">
        <v>4288.6400000000003</v>
      </c>
      <c r="E4593" s="37" t="str">
        <f t="shared" si="355"/>
        <v xml:space="preserve"> </v>
      </c>
      <c r="F4593">
        <v>0.44</v>
      </c>
      <c r="G4593" s="37" t="str">
        <f t="shared" si="356"/>
        <v>Heavy Discount</v>
      </c>
      <c r="H4593" s="37" t="str">
        <f t="shared" si="357"/>
        <v>High</v>
      </c>
      <c r="I4593">
        <v>8</v>
      </c>
      <c r="J4593" t="str" cm="1">
        <f t="array" ref="J4593">_xlfn.IFS(I4593&lt;=3,"small",I4593&lt;=6,"Medium",I4593&lt;=9,"Large")</f>
        <v>Large</v>
      </c>
      <c r="K4593" s="36">
        <v>45084</v>
      </c>
      <c r="L4593" s="36">
        <v>45085</v>
      </c>
      <c r="M4593" t="s">
        <v>603</v>
      </c>
      <c r="N4593" t="s">
        <v>604</v>
      </c>
      <c r="O4593" s="37" t="str">
        <f t="shared" si="358"/>
        <v>Digital Payment</v>
      </c>
      <c r="P4593">
        <v>600.77</v>
      </c>
      <c r="Q4593" s="37" t="str">
        <f>IF(P4593&gt;500,"High","low")</f>
        <v>High</v>
      </c>
      <c r="R4593" s="37" t="str">
        <f t="shared" si="359"/>
        <v>Good</v>
      </c>
      <c r="S4593" t="s">
        <v>609</v>
      </c>
    </row>
    <row r="4594" spans="1:19" x14ac:dyDescent="0.2">
      <c r="A4594" t="s">
        <v>5205</v>
      </c>
      <c r="B4594" t="s">
        <v>83</v>
      </c>
      <c r="C4594" t="s">
        <v>614</v>
      </c>
      <c r="D4594">
        <v>2863.13</v>
      </c>
      <c r="E4594" s="37" t="str">
        <f t="shared" si="355"/>
        <v xml:space="preserve"> </v>
      </c>
      <c r="F4594">
        <v>0.04</v>
      </c>
      <c r="G4594" s="37" t="str">
        <f t="shared" si="356"/>
        <v>Normal Discount</v>
      </c>
      <c r="H4594" s="37" t="str">
        <f t="shared" si="357"/>
        <v>Low</v>
      </c>
      <c r="I4594">
        <v>2</v>
      </c>
      <c r="J4594" t="str" cm="1">
        <f t="array" ref="J4594">_xlfn.IFS(I4594&lt;=3,"small",I4594&lt;=6,"Medium",I4594&lt;=9,"Large")</f>
        <v>small</v>
      </c>
      <c r="K4594" s="36">
        <v>45079</v>
      </c>
      <c r="L4594" s="36">
        <v>45080</v>
      </c>
      <c r="M4594" t="s">
        <v>603</v>
      </c>
      <c r="N4594" t="s">
        <v>604</v>
      </c>
      <c r="O4594" s="37" t="str">
        <f t="shared" si="358"/>
        <v>Digital Payment</v>
      </c>
      <c r="P4594">
        <v>621.30999999999995</v>
      </c>
      <c r="Q4594" s="37" t="str">
        <f>IF(P4594&gt;500,"High","low")</f>
        <v>High</v>
      </c>
      <c r="R4594" s="37" t="str">
        <f t="shared" si="359"/>
        <v>Good</v>
      </c>
      <c r="S4594" t="s">
        <v>609</v>
      </c>
    </row>
    <row r="4595" spans="1:19" x14ac:dyDescent="0.2">
      <c r="A4595" t="s">
        <v>5206</v>
      </c>
      <c r="B4595" t="s">
        <v>67</v>
      </c>
      <c r="C4595" t="s">
        <v>602</v>
      </c>
      <c r="D4595">
        <v>3571.86</v>
      </c>
      <c r="E4595" s="37" t="str">
        <f t="shared" si="355"/>
        <v xml:space="preserve"> </v>
      </c>
      <c r="F4595">
        <v>0.43</v>
      </c>
      <c r="G4595" s="37" t="str">
        <f t="shared" si="356"/>
        <v>Heavy Discount</v>
      </c>
      <c r="H4595" s="37" t="str">
        <f t="shared" si="357"/>
        <v>High</v>
      </c>
      <c r="I4595">
        <v>6</v>
      </c>
      <c r="J4595" t="str" cm="1">
        <f t="array" ref="J4595">_xlfn.IFS(I4595&lt;=3,"small",I4595&lt;=6,"Medium",I4595&lt;=9,"Large")</f>
        <v>Medium</v>
      </c>
      <c r="K4595" s="36">
        <v>45295</v>
      </c>
      <c r="L4595" s="36">
        <v>45299</v>
      </c>
      <c r="M4595" t="s">
        <v>612</v>
      </c>
      <c r="N4595" t="s">
        <v>608</v>
      </c>
      <c r="O4595" s="37" t="str">
        <f t="shared" si="358"/>
        <v>Cash Payment</v>
      </c>
      <c r="P4595">
        <v>497.79</v>
      </c>
      <c r="Q4595" s="37" t="str">
        <f>IF(P4595&gt;500,"High","low")</f>
        <v>low</v>
      </c>
      <c r="R4595" s="37" t="str">
        <f t="shared" si="359"/>
        <v>AVERAGE</v>
      </c>
      <c r="S4595" t="s">
        <v>615</v>
      </c>
    </row>
    <row r="4596" spans="1:19" x14ac:dyDescent="0.2">
      <c r="A4596" t="s">
        <v>5207</v>
      </c>
      <c r="B4596" t="s">
        <v>90</v>
      </c>
      <c r="C4596" t="s">
        <v>602</v>
      </c>
      <c r="D4596">
        <v>4445.78</v>
      </c>
      <c r="E4596" s="37" t="str">
        <f t="shared" si="355"/>
        <v>Excellent Order</v>
      </c>
      <c r="F4596">
        <v>0.48</v>
      </c>
      <c r="G4596" s="37" t="str">
        <f t="shared" si="356"/>
        <v>Heavy Discount</v>
      </c>
      <c r="H4596" s="37" t="str">
        <f t="shared" si="357"/>
        <v>High</v>
      </c>
      <c r="I4596">
        <v>4</v>
      </c>
      <c r="J4596" t="str" cm="1">
        <f t="array" ref="J4596">_xlfn.IFS(I4596&lt;=3,"small",I4596&lt;=6,"Medium",I4596&lt;=9,"Large")</f>
        <v>Medium</v>
      </c>
      <c r="K4596" s="36">
        <v>45521</v>
      </c>
      <c r="L4596" s="36">
        <v>45527</v>
      </c>
      <c r="M4596" t="s">
        <v>612</v>
      </c>
      <c r="N4596" t="s">
        <v>604</v>
      </c>
      <c r="O4596" s="37" t="str">
        <f t="shared" si="358"/>
        <v>Digital Payment</v>
      </c>
      <c r="P4596">
        <v>1070.1400000000001</v>
      </c>
      <c r="Q4596" s="37" t="str">
        <f>IF(P4596&gt;500,"High","low")</f>
        <v>High</v>
      </c>
      <c r="R4596" s="37" t="str">
        <f t="shared" si="359"/>
        <v>Excellent</v>
      </c>
      <c r="S4596" t="s">
        <v>615</v>
      </c>
    </row>
    <row r="4597" spans="1:19" x14ac:dyDescent="0.2">
      <c r="A4597" t="s">
        <v>5208</v>
      </c>
      <c r="B4597" t="s">
        <v>67</v>
      </c>
      <c r="C4597" t="s">
        <v>597</v>
      </c>
      <c r="D4597">
        <v>4984.84</v>
      </c>
      <c r="E4597" s="37" t="str">
        <f t="shared" si="355"/>
        <v>Excellent Order</v>
      </c>
      <c r="F4597">
        <v>0.28000000000000003</v>
      </c>
      <c r="G4597" s="37" t="str">
        <f t="shared" si="356"/>
        <v>Normal Discount</v>
      </c>
      <c r="H4597" s="37" t="str">
        <f t="shared" si="357"/>
        <v>Medium</v>
      </c>
      <c r="I4597">
        <v>3</v>
      </c>
      <c r="J4597" t="str" cm="1">
        <f t="array" ref="J4597">_xlfn.IFS(I4597&lt;=3,"small",I4597&lt;=6,"Medium",I4597&lt;=9,"Large")</f>
        <v>small</v>
      </c>
      <c r="K4597" s="36">
        <v>45116</v>
      </c>
      <c r="L4597" s="36">
        <v>45118</v>
      </c>
      <c r="M4597" t="s">
        <v>598</v>
      </c>
      <c r="N4597" t="s">
        <v>604</v>
      </c>
      <c r="O4597" s="37" t="str">
        <f t="shared" si="358"/>
        <v>Digital Payment</v>
      </c>
      <c r="P4597">
        <v>1235.99</v>
      </c>
      <c r="Q4597" s="37" t="str">
        <f>IF(P4597&gt;500,"High","low")</f>
        <v>High</v>
      </c>
      <c r="R4597" s="37" t="str">
        <f t="shared" si="359"/>
        <v>Excellent</v>
      </c>
      <c r="S4597" t="s">
        <v>609</v>
      </c>
    </row>
    <row r="4598" spans="1:19" x14ac:dyDescent="0.2">
      <c r="A4598" t="s">
        <v>5209</v>
      </c>
      <c r="B4598" t="s">
        <v>67</v>
      </c>
      <c r="C4598" t="s">
        <v>602</v>
      </c>
      <c r="D4598">
        <v>3682.58</v>
      </c>
      <c r="E4598" s="37" t="str">
        <f t="shared" si="355"/>
        <v xml:space="preserve"> </v>
      </c>
      <c r="F4598">
        <v>0.39</v>
      </c>
      <c r="G4598" s="37" t="str">
        <f t="shared" si="356"/>
        <v>Heavy Discount</v>
      </c>
      <c r="H4598" s="37" t="str">
        <f t="shared" si="357"/>
        <v>Medium</v>
      </c>
      <c r="I4598">
        <v>9</v>
      </c>
      <c r="J4598" t="str" cm="1">
        <f t="array" ref="J4598">_xlfn.IFS(I4598&lt;=3,"small",I4598&lt;=6,"Medium",I4598&lt;=9,"Large")</f>
        <v>Large</v>
      </c>
      <c r="K4598" s="36">
        <v>45183</v>
      </c>
      <c r="L4598" s="36">
        <v>45186</v>
      </c>
      <c r="M4598" t="s">
        <v>603</v>
      </c>
      <c r="N4598" t="s">
        <v>608</v>
      </c>
      <c r="O4598" s="37" t="str">
        <f t="shared" si="358"/>
        <v>Cash Payment</v>
      </c>
      <c r="P4598">
        <v>812.81</v>
      </c>
      <c r="Q4598" s="37" t="str">
        <f>IF(P4598&gt;500,"High","low")</f>
        <v>High</v>
      </c>
      <c r="R4598" s="37" t="str">
        <f t="shared" si="359"/>
        <v>Good</v>
      </c>
      <c r="S4598" t="s">
        <v>605</v>
      </c>
    </row>
    <row r="4599" spans="1:19" x14ac:dyDescent="0.2">
      <c r="A4599" t="s">
        <v>5210</v>
      </c>
      <c r="B4599" t="s">
        <v>75</v>
      </c>
      <c r="C4599" t="s">
        <v>617</v>
      </c>
      <c r="D4599">
        <v>1641.16</v>
      </c>
      <c r="E4599" s="37" t="str">
        <f t="shared" si="355"/>
        <v xml:space="preserve"> </v>
      </c>
      <c r="F4599">
        <v>0.33</v>
      </c>
      <c r="G4599" s="37" t="str">
        <f t="shared" si="356"/>
        <v>Heavy Discount</v>
      </c>
      <c r="H4599" s="37" t="str">
        <f t="shared" si="357"/>
        <v>Medium</v>
      </c>
      <c r="I4599">
        <v>9</v>
      </c>
      <c r="J4599" t="str" cm="1">
        <f t="array" ref="J4599">_xlfn.IFS(I4599&lt;=3,"small",I4599&lt;=6,"Medium",I4599&lt;=9,"Large")</f>
        <v>Large</v>
      </c>
      <c r="K4599" s="36">
        <v>45402</v>
      </c>
      <c r="L4599" s="36">
        <v>45404</v>
      </c>
      <c r="M4599" t="s">
        <v>598</v>
      </c>
      <c r="N4599" t="s">
        <v>608</v>
      </c>
      <c r="O4599" s="37" t="str">
        <f t="shared" si="358"/>
        <v>Cash Payment</v>
      </c>
      <c r="P4599">
        <v>147.05000000000001</v>
      </c>
      <c r="Q4599" s="37" t="str">
        <f>IF(P4599&gt;500,"High","low")</f>
        <v>low</v>
      </c>
      <c r="R4599" s="37" t="str">
        <f t="shared" si="359"/>
        <v>AVERAGE</v>
      </c>
      <c r="S4599" t="s">
        <v>600</v>
      </c>
    </row>
    <row r="4600" spans="1:19" x14ac:dyDescent="0.2">
      <c r="A4600" t="s">
        <v>5211</v>
      </c>
      <c r="B4600" t="s">
        <v>83</v>
      </c>
      <c r="C4600" t="s">
        <v>614</v>
      </c>
      <c r="D4600">
        <v>1565.16</v>
      </c>
      <c r="E4600" s="37" t="str">
        <f t="shared" si="355"/>
        <v xml:space="preserve"> </v>
      </c>
      <c r="F4600">
        <v>0.14000000000000001</v>
      </c>
      <c r="G4600" s="37" t="str">
        <f t="shared" si="356"/>
        <v>Normal Discount</v>
      </c>
      <c r="H4600" s="37" t="str">
        <f t="shared" si="357"/>
        <v>Low</v>
      </c>
      <c r="I4600">
        <v>2</v>
      </c>
      <c r="J4600" t="str" cm="1">
        <f t="array" ref="J4600">_xlfn.IFS(I4600&lt;=3,"small",I4600&lt;=6,"Medium",I4600&lt;=9,"Large")</f>
        <v>small</v>
      </c>
      <c r="K4600" s="36">
        <v>45117</v>
      </c>
      <c r="L4600" s="36">
        <v>45124</v>
      </c>
      <c r="M4600" t="s">
        <v>598</v>
      </c>
      <c r="N4600" t="s">
        <v>608</v>
      </c>
      <c r="O4600" s="37" t="str">
        <f t="shared" si="358"/>
        <v>Cash Payment</v>
      </c>
      <c r="P4600">
        <v>443.13</v>
      </c>
      <c r="Q4600" s="37" t="str">
        <f>IF(P4600&gt;500,"High","low")</f>
        <v>low</v>
      </c>
      <c r="R4600" s="37" t="str">
        <f t="shared" si="359"/>
        <v>AVERAGE</v>
      </c>
      <c r="S4600" t="s">
        <v>615</v>
      </c>
    </row>
    <row r="4601" spans="1:19" x14ac:dyDescent="0.2">
      <c r="A4601" t="s">
        <v>5212</v>
      </c>
      <c r="B4601" t="s">
        <v>90</v>
      </c>
      <c r="C4601" t="s">
        <v>617</v>
      </c>
      <c r="D4601">
        <v>1614.61</v>
      </c>
      <c r="E4601" s="37" t="str">
        <f t="shared" si="355"/>
        <v xml:space="preserve"> </v>
      </c>
      <c r="F4601">
        <v>0.28999999999999998</v>
      </c>
      <c r="G4601" s="37" t="str">
        <f t="shared" si="356"/>
        <v>Normal Discount</v>
      </c>
      <c r="H4601" s="37" t="str">
        <f t="shared" si="357"/>
        <v>Medium</v>
      </c>
      <c r="I4601">
        <v>5</v>
      </c>
      <c r="J4601" t="str" cm="1">
        <f t="array" ref="J4601">_xlfn.IFS(I4601&lt;=3,"small",I4601&lt;=6,"Medium",I4601&lt;=9,"Large")</f>
        <v>Medium</v>
      </c>
      <c r="K4601" s="36">
        <v>45113</v>
      </c>
      <c r="L4601" s="36">
        <v>45116</v>
      </c>
      <c r="M4601" t="s">
        <v>598</v>
      </c>
      <c r="N4601" t="s">
        <v>604</v>
      </c>
      <c r="O4601" s="37" t="str">
        <f t="shared" si="358"/>
        <v>Digital Payment</v>
      </c>
      <c r="P4601">
        <v>213.19</v>
      </c>
      <c r="Q4601" s="37" t="str">
        <f>IF(P4601&gt;500,"High","low")</f>
        <v>low</v>
      </c>
      <c r="R4601" s="37" t="str">
        <f t="shared" si="359"/>
        <v>AVERAGE</v>
      </c>
      <c r="S4601" t="s">
        <v>609</v>
      </c>
    </row>
    <row r="4602" spans="1:19" x14ac:dyDescent="0.2">
      <c r="A4602" t="s">
        <v>5213</v>
      </c>
      <c r="B4602" t="s">
        <v>75</v>
      </c>
      <c r="C4602" t="s">
        <v>607</v>
      </c>
      <c r="D4602">
        <v>579.75</v>
      </c>
      <c r="E4602" s="37" t="str">
        <f t="shared" si="355"/>
        <v xml:space="preserve"> </v>
      </c>
      <c r="F4602">
        <v>0.44</v>
      </c>
      <c r="G4602" s="37" t="str">
        <f t="shared" si="356"/>
        <v>Heavy Discount</v>
      </c>
      <c r="H4602" s="37" t="str">
        <f t="shared" si="357"/>
        <v>High</v>
      </c>
      <c r="I4602">
        <v>7</v>
      </c>
      <c r="J4602" t="str" cm="1">
        <f t="array" ref="J4602">_xlfn.IFS(I4602&lt;=3,"small",I4602&lt;=6,"Medium",I4602&lt;=9,"Large")</f>
        <v>Large</v>
      </c>
      <c r="K4602" s="36">
        <v>45550</v>
      </c>
      <c r="L4602" s="36">
        <v>45556</v>
      </c>
      <c r="M4602" t="s">
        <v>612</v>
      </c>
      <c r="N4602" t="s">
        <v>599</v>
      </c>
      <c r="O4602" s="37" t="str">
        <f t="shared" si="358"/>
        <v>Digital Payment</v>
      </c>
      <c r="P4602">
        <v>170.67</v>
      </c>
      <c r="Q4602" s="37" t="str">
        <f>IF(P4602&gt;500,"High","low")</f>
        <v>low</v>
      </c>
      <c r="R4602" s="37" t="str">
        <f t="shared" si="359"/>
        <v>AVERAGE</v>
      </c>
      <c r="S4602" t="s">
        <v>620</v>
      </c>
    </row>
    <row r="4603" spans="1:19" x14ac:dyDescent="0.2">
      <c r="A4603" t="s">
        <v>5214</v>
      </c>
      <c r="B4603" t="s">
        <v>75</v>
      </c>
      <c r="C4603" t="s">
        <v>614</v>
      </c>
      <c r="D4603">
        <v>362.63</v>
      </c>
      <c r="E4603" s="37" t="str">
        <f t="shared" si="355"/>
        <v xml:space="preserve"> </v>
      </c>
      <c r="F4603">
        <v>0.25</v>
      </c>
      <c r="G4603" s="37" t="str">
        <f t="shared" si="356"/>
        <v>Normal Discount</v>
      </c>
      <c r="H4603" s="37" t="str">
        <f t="shared" si="357"/>
        <v>Medium</v>
      </c>
      <c r="I4603">
        <v>9</v>
      </c>
      <c r="J4603" t="str" cm="1">
        <f t="array" ref="J4603">_xlfn.IFS(I4603&lt;=3,"small",I4603&lt;=6,"Medium",I4603&lt;=9,"Large")</f>
        <v>Large</v>
      </c>
      <c r="K4603" s="36">
        <v>45236</v>
      </c>
      <c r="L4603" s="36">
        <v>45237</v>
      </c>
      <c r="M4603" t="s">
        <v>603</v>
      </c>
      <c r="N4603" t="s">
        <v>604</v>
      </c>
      <c r="O4603" s="37" t="str">
        <f t="shared" si="358"/>
        <v>Digital Payment</v>
      </c>
      <c r="P4603">
        <v>50.04</v>
      </c>
      <c r="Q4603" s="37" t="str">
        <f>IF(P4603&gt;500,"High","low")</f>
        <v>low</v>
      </c>
      <c r="R4603" s="37" t="str">
        <f t="shared" si="359"/>
        <v>AVERAGE</v>
      </c>
      <c r="S4603" t="s">
        <v>615</v>
      </c>
    </row>
    <row r="4604" spans="1:19" x14ac:dyDescent="0.2">
      <c r="A4604" t="s">
        <v>5215</v>
      </c>
      <c r="B4604" t="s">
        <v>75</v>
      </c>
      <c r="C4604" t="s">
        <v>607</v>
      </c>
      <c r="D4604">
        <v>2946.13</v>
      </c>
      <c r="E4604" s="37" t="str">
        <f t="shared" si="355"/>
        <v xml:space="preserve"> </v>
      </c>
      <c r="F4604">
        <v>0.3</v>
      </c>
      <c r="G4604" s="37" t="str">
        <f t="shared" si="356"/>
        <v>Normal Discount</v>
      </c>
      <c r="H4604" s="37" t="str">
        <f t="shared" si="357"/>
        <v>Medium</v>
      </c>
      <c r="I4604">
        <v>8</v>
      </c>
      <c r="J4604" t="str" cm="1">
        <f t="array" ref="J4604">_xlfn.IFS(I4604&lt;=3,"small",I4604&lt;=6,"Medium",I4604&lt;=9,"Large")</f>
        <v>Large</v>
      </c>
      <c r="K4604" s="36">
        <v>45365</v>
      </c>
      <c r="L4604" s="36">
        <v>45370</v>
      </c>
      <c r="M4604" t="s">
        <v>598</v>
      </c>
      <c r="N4604" t="s">
        <v>604</v>
      </c>
      <c r="O4604" s="37" t="str">
        <f t="shared" si="358"/>
        <v>Digital Payment</v>
      </c>
      <c r="P4604">
        <v>265.72000000000003</v>
      </c>
      <c r="Q4604" s="37" t="str">
        <f>IF(P4604&gt;500,"High","low")</f>
        <v>low</v>
      </c>
      <c r="R4604" s="37" t="str">
        <f t="shared" si="359"/>
        <v>AVERAGE</v>
      </c>
      <c r="S4604" t="s">
        <v>605</v>
      </c>
    </row>
    <row r="4605" spans="1:19" x14ac:dyDescent="0.2">
      <c r="A4605" t="s">
        <v>5216</v>
      </c>
      <c r="B4605" t="s">
        <v>67</v>
      </c>
      <c r="C4605" t="s">
        <v>602</v>
      </c>
      <c r="D4605">
        <v>4071.88</v>
      </c>
      <c r="E4605" s="37" t="str">
        <f t="shared" si="355"/>
        <v xml:space="preserve"> </v>
      </c>
      <c r="F4605">
        <v>0.27</v>
      </c>
      <c r="G4605" s="37" t="str">
        <f t="shared" si="356"/>
        <v>Normal Discount</v>
      </c>
      <c r="H4605" s="37" t="str">
        <f t="shared" si="357"/>
        <v>Medium</v>
      </c>
      <c r="I4605">
        <v>4</v>
      </c>
      <c r="J4605" t="str" cm="1">
        <f t="array" ref="J4605">_xlfn.IFS(I4605&lt;=3,"small",I4605&lt;=6,"Medium",I4605&lt;=9,"Large")</f>
        <v>Medium</v>
      </c>
      <c r="K4605" s="36">
        <v>45532</v>
      </c>
      <c r="L4605" s="36">
        <v>45538</v>
      </c>
      <c r="M4605" t="s">
        <v>612</v>
      </c>
      <c r="N4605" t="s">
        <v>599</v>
      </c>
      <c r="O4605" s="37" t="str">
        <f t="shared" si="358"/>
        <v>Digital Payment</v>
      </c>
      <c r="P4605">
        <v>497.12</v>
      </c>
      <c r="Q4605" s="37" t="str">
        <f>IF(P4605&gt;500,"High","low")</f>
        <v>low</v>
      </c>
      <c r="R4605" s="37" t="str">
        <f t="shared" si="359"/>
        <v>AVERAGE</v>
      </c>
      <c r="S4605" t="s">
        <v>615</v>
      </c>
    </row>
    <row r="4606" spans="1:19" x14ac:dyDescent="0.2">
      <c r="A4606" t="s">
        <v>5217</v>
      </c>
      <c r="B4606" t="s">
        <v>83</v>
      </c>
      <c r="C4606" t="s">
        <v>597</v>
      </c>
      <c r="D4606">
        <v>277.06</v>
      </c>
      <c r="E4606" s="37" t="str">
        <f t="shared" si="355"/>
        <v xml:space="preserve"> </v>
      </c>
      <c r="F4606">
        <v>0.14000000000000001</v>
      </c>
      <c r="G4606" s="37" t="str">
        <f t="shared" si="356"/>
        <v>Normal Discount</v>
      </c>
      <c r="H4606" s="37" t="str">
        <f t="shared" si="357"/>
        <v>Low</v>
      </c>
      <c r="I4606">
        <v>3</v>
      </c>
      <c r="J4606" t="str" cm="1">
        <f t="array" ref="J4606">_xlfn.IFS(I4606&lt;=3,"small",I4606&lt;=6,"Medium",I4606&lt;=9,"Large")</f>
        <v>small</v>
      </c>
      <c r="K4606" s="36">
        <v>45224</v>
      </c>
      <c r="L4606" s="36">
        <v>45228</v>
      </c>
      <c r="M4606" t="s">
        <v>612</v>
      </c>
      <c r="N4606" t="s">
        <v>599</v>
      </c>
      <c r="O4606" s="37" t="str">
        <f t="shared" si="358"/>
        <v>Digital Payment</v>
      </c>
      <c r="P4606">
        <v>70.27</v>
      </c>
      <c r="Q4606" s="37" t="str">
        <f>IF(P4606&gt;500,"High","low")</f>
        <v>low</v>
      </c>
      <c r="R4606" s="37" t="str">
        <f t="shared" si="359"/>
        <v>AVERAGE</v>
      </c>
      <c r="S4606" t="s">
        <v>628</v>
      </c>
    </row>
    <row r="4607" spans="1:19" x14ac:dyDescent="0.2">
      <c r="A4607" t="s">
        <v>5218</v>
      </c>
      <c r="B4607" t="s">
        <v>83</v>
      </c>
      <c r="C4607" t="s">
        <v>617</v>
      </c>
      <c r="D4607">
        <v>2876.51</v>
      </c>
      <c r="E4607" s="37" t="str">
        <f t="shared" si="355"/>
        <v xml:space="preserve"> </v>
      </c>
      <c r="F4607">
        <v>0.32</v>
      </c>
      <c r="G4607" s="37" t="str">
        <f t="shared" si="356"/>
        <v>Heavy Discount</v>
      </c>
      <c r="H4607" s="37" t="str">
        <f t="shared" si="357"/>
        <v>Medium</v>
      </c>
      <c r="I4607">
        <v>1</v>
      </c>
      <c r="J4607" t="str" cm="1">
        <f t="array" ref="J4607">_xlfn.IFS(I4607&lt;=3,"small",I4607&lt;=6,"Medium",I4607&lt;=9,"Large")</f>
        <v>small</v>
      </c>
      <c r="K4607" s="36">
        <v>45160</v>
      </c>
      <c r="L4607" s="36">
        <v>45163</v>
      </c>
      <c r="M4607" t="s">
        <v>603</v>
      </c>
      <c r="N4607" t="s">
        <v>599</v>
      </c>
      <c r="O4607" s="37" t="str">
        <f t="shared" si="358"/>
        <v>Digital Payment</v>
      </c>
      <c r="P4607">
        <v>365.43</v>
      </c>
      <c r="Q4607" s="37" t="str">
        <f>IF(P4607&gt;500,"High","low")</f>
        <v>low</v>
      </c>
      <c r="R4607" s="37" t="str">
        <f t="shared" si="359"/>
        <v>AVERAGE</v>
      </c>
      <c r="S4607" t="s">
        <v>615</v>
      </c>
    </row>
    <row r="4608" spans="1:19" x14ac:dyDescent="0.2">
      <c r="A4608" t="s">
        <v>5219</v>
      </c>
      <c r="B4608" t="s">
        <v>90</v>
      </c>
      <c r="C4608" t="s">
        <v>607</v>
      </c>
      <c r="D4608">
        <v>1921.63</v>
      </c>
      <c r="E4608" s="37" t="str">
        <f t="shared" si="355"/>
        <v xml:space="preserve"> </v>
      </c>
      <c r="F4608">
        <v>0.25</v>
      </c>
      <c r="G4608" s="37" t="str">
        <f t="shared" si="356"/>
        <v>Normal Discount</v>
      </c>
      <c r="H4608" s="37" t="str">
        <f t="shared" si="357"/>
        <v>Medium</v>
      </c>
      <c r="I4608">
        <v>1</v>
      </c>
      <c r="J4608" t="str" cm="1">
        <f t="array" ref="J4608">_xlfn.IFS(I4608&lt;=3,"small",I4608&lt;=6,"Medium",I4608&lt;=9,"Large")</f>
        <v>small</v>
      </c>
      <c r="K4608" s="36">
        <v>44991</v>
      </c>
      <c r="L4608" s="36">
        <v>44996</v>
      </c>
      <c r="M4608" t="s">
        <v>598</v>
      </c>
      <c r="N4608" t="s">
        <v>599</v>
      </c>
      <c r="O4608" s="37" t="str">
        <f t="shared" si="358"/>
        <v>Digital Payment</v>
      </c>
      <c r="P4608">
        <v>383.34</v>
      </c>
      <c r="Q4608" s="37" t="str">
        <f>IF(P4608&gt;500,"High","low")</f>
        <v>low</v>
      </c>
      <c r="R4608" s="37" t="str">
        <f t="shared" si="359"/>
        <v>AVERAGE</v>
      </c>
      <c r="S4608" t="s">
        <v>620</v>
      </c>
    </row>
    <row r="4609" spans="1:19" x14ac:dyDescent="0.2">
      <c r="A4609" t="s">
        <v>5220</v>
      </c>
      <c r="B4609" t="s">
        <v>83</v>
      </c>
      <c r="C4609" t="s">
        <v>602</v>
      </c>
      <c r="D4609">
        <v>4473.18</v>
      </c>
      <c r="E4609" s="37" t="str">
        <f t="shared" si="355"/>
        <v>Excellent Order</v>
      </c>
      <c r="F4609">
        <v>0.12</v>
      </c>
      <c r="G4609" s="37" t="str">
        <f t="shared" si="356"/>
        <v>Normal Discount</v>
      </c>
      <c r="H4609" s="37" t="str">
        <f t="shared" si="357"/>
        <v>Low</v>
      </c>
      <c r="I4609">
        <v>9</v>
      </c>
      <c r="J4609" t="str" cm="1">
        <f t="array" ref="J4609">_xlfn.IFS(I4609&lt;=3,"small",I4609&lt;=6,"Medium",I4609&lt;=9,"Large")</f>
        <v>Large</v>
      </c>
      <c r="K4609" s="36">
        <v>45575</v>
      </c>
      <c r="L4609" s="36">
        <v>45582</v>
      </c>
      <c r="M4609" t="s">
        <v>612</v>
      </c>
      <c r="N4609" t="s">
        <v>604</v>
      </c>
      <c r="O4609" s="37" t="str">
        <f t="shared" si="358"/>
        <v>Digital Payment</v>
      </c>
      <c r="P4609">
        <v>1001.85</v>
      </c>
      <c r="Q4609" s="37" t="str">
        <f>IF(P4609&gt;500,"High","low")</f>
        <v>High</v>
      </c>
      <c r="R4609" s="37" t="str">
        <f t="shared" si="359"/>
        <v>Excellent</v>
      </c>
      <c r="S4609" t="s">
        <v>605</v>
      </c>
    </row>
    <row r="4610" spans="1:19" x14ac:dyDescent="0.2">
      <c r="A4610" t="s">
        <v>5221</v>
      </c>
      <c r="B4610" t="s">
        <v>83</v>
      </c>
      <c r="C4610" t="s">
        <v>617</v>
      </c>
      <c r="D4610">
        <v>812.4</v>
      </c>
      <c r="E4610" s="37" t="str">
        <f t="shared" si="355"/>
        <v xml:space="preserve"> </v>
      </c>
      <c r="F4610">
        <v>0.45</v>
      </c>
      <c r="G4610" s="37" t="str">
        <f t="shared" si="356"/>
        <v>Heavy Discount</v>
      </c>
      <c r="H4610" s="37" t="str">
        <f t="shared" si="357"/>
        <v>High</v>
      </c>
      <c r="I4610">
        <v>4</v>
      </c>
      <c r="J4610" t="str" cm="1">
        <f t="array" ref="J4610">_xlfn.IFS(I4610&lt;=3,"small",I4610&lt;=6,"Medium",I4610&lt;=9,"Large")</f>
        <v>Medium</v>
      </c>
      <c r="K4610" s="36">
        <v>45040</v>
      </c>
      <c r="L4610" s="36">
        <v>45041</v>
      </c>
      <c r="M4610" t="s">
        <v>598</v>
      </c>
      <c r="N4610" t="s">
        <v>599</v>
      </c>
      <c r="O4610" s="37" t="str">
        <f t="shared" si="358"/>
        <v>Digital Payment</v>
      </c>
      <c r="P4610">
        <v>102.44</v>
      </c>
      <c r="Q4610" s="37" t="str">
        <f>IF(P4610&gt;500,"High","low")</f>
        <v>low</v>
      </c>
      <c r="R4610" s="37" t="str">
        <f t="shared" si="359"/>
        <v>AVERAGE</v>
      </c>
      <c r="S4610" t="s">
        <v>600</v>
      </c>
    </row>
    <row r="4611" spans="1:19" x14ac:dyDescent="0.2">
      <c r="A4611" t="s">
        <v>5222</v>
      </c>
      <c r="B4611" t="s">
        <v>75</v>
      </c>
      <c r="C4611" t="s">
        <v>617</v>
      </c>
      <c r="D4611">
        <v>2860.82</v>
      </c>
      <c r="E4611" s="37" t="str">
        <f t="shared" ref="E4611:E4674" si="360">IF(AND(D4611&gt;4000,P4611&gt;800),"Excellent Order"," ")</f>
        <v xml:space="preserve"> </v>
      </c>
      <c r="F4611">
        <v>0.48</v>
      </c>
      <c r="G4611" s="37" t="str">
        <f t="shared" ref="G4611:G4674" si="361">IF(F4611&gt;30%,"Heavy Discount","Normal Discount")</f>
        <v>Heavy Discount</v>
      </c>
      <c r="H4611" s="37" t="str">
        <f t="shared" ref="H4611:H4674" si="362">IF(F4611&gt;0.4,"High",IF(F4611&gt;=0.2,"Medium","Low"))</f>
        <v>High</v>
      </c>
      <c r="I4611">
        <v>8</v>
      </c>
      <c r="J4611" t="str" cm="1">
        <f t="array" ref="J4611">_xlfn.IFS(I4611&lt;=3,"small",I4611&lt;=6,"Medium",I4611&lt;=9,"Large")</f>
        <v>Large</v>
      </c>
      <c r="K4611" s="36">
        <v>45125</v>
      </c>
      <c r="L4611" s="36">
        <v>45131</v>
      </c>
      <c r="M4611" t="s">
        <v>603</v>
      </c>
      <c r="N4611" t="s">
        <v>604</v>
      </c>
      <c r="O4611" s="37" t="str">
        <f t="shared" ref="O4611:O4674" si="363">IF(OR(N4611="Card",N4611="UPI"),"Digital Payment","Cash Payment")</f>
        <v>Digital Payment</v>
      </c>
      <c r="P4611">
        <v>617.79</v>
      </c>
      <c r="Q4611" s="37" t="str">
        <f>IF(P4611&gt;500,"High","low")</f>
        <v>High</v>
      </c>
      <c r="R4611" s="37" t="str">
        <f t="shared" ref="R4611:R4674" si="364">IF(P4611&gt;1000,"Excellent",IF(P4611&gt;=500,"Good","AVERAGE"))</f>
        <v>Good</v>
      </c>
      <c r="S4611" t="s">
        <v>615</v>
      </c>
    </row>
    <row r="4612" spans="1:19" x14ac:dyDescent="0.2">
      <c r="A4612" t="s">
        <v>5223</v>
      </c>
      <c r="B4612" t="s">
        <v>75</v>
      </c>
      <c r="C4612" t="s">
        <v>607</v>
      </c>
      <c r="D4612">
        <v>4857.51</v>
      </c>
      <c r="E4612" s="37" t="str">
        <f t="shared" si="360"/>
        <v xml:space="preserve"> </v>
      </c>
      <c r="F4612">
        <v>0.03</v>
      </c>
      <c r="G4612" s="37" t="str">
        <f t="shared" si="361"/>
        <v>Normal Discount</v>
      </c>
      <c r="H4612" s="37" t="str">
        <f t="shared" si="362"/>
        <v>Low</v>
      </c>
      <c r="I4612">
        <v>4</v>
      </c>
      <c r="J4612" t="str" cm="1">
        <f t="array" ref="J4612">_xlfn.IFS(I4612&lt;=3,"small",I4612&lt;=6,"Medium",I4612&lt;=9,"Large")</f>
        <v>Medium</v>
      </c>
      <c r="K4612" s="36">
        <v>44977</v>
      </c>
      <c r="L4612" s="36">
        <v>44981</v>
      </c>
      <c r="M4612" t="s">
        <v>598</v>
      </c>
      <c r="N4612" t="s">
        <v>604</v>
      </c>
      <c r="O4612" s="37" t="str">
        <f t="shared" si="363"/>
        <v>Digital Payment</v>
      </c>
      <c r="P4612">
        <v>430.46</v>
      </c>
      <c r="Q4612" s="37" t="str">
        <f>IF(P4612&gt;500,"High","low")</f>
        <v>low</v>
      </c>
      <c r="R4612" s="37" t="str">
        <f t="shared" si="364"/>
        <v>AVERAGE</v>
      </c>
      <c r="S4612" t="s">
        <v>620</v>
      </c>
    </row>
    <row r="4613" spans="1:19" x14ac:dyDescent="0.2">
      <c r="A4613" t="s">
        <v>5224</v>
      </c>
      <c r="B4613" t="s">
        <v>67</v>
      </c>
      <c r="C4613" t="s">
        <v>602</v>
      </c>
      <c r="D4613">
        <v>1790.66</v>
      </c>
      <c r="E4613" s="37" t="str">
        <f t="shared" si="360"/>
        <v xml:space="preserve"> </v>
      </c>
      <c r="F4613">
        <v>0.31</v>
      </c>
      <c r="G4613" s="37" t="str">
        <f t="shared" si="361"/>
        <v>Heavy Discount</v>
      </c>
      <c r="H4613" s="37" t="str">
        <f t="shared" si="362"/>
        <v>Medium</v>
      </c>
      <c r="I4613">
        <v>6</v>
      </c>
      <c r="J4613" t="str" cm="1">
        <f t="array" ref="J4613">_xlfn.IFS(I4613&lt;=3,"small",I4613&lt;=6,"Medium",I4613&lt;=9,"Large")</f>
        <v>Medium</v>
      </c>
      <c r="K4613" s="36">
        <v>45144</v>
      </c>
      <c r="L4613" s="36">
        <v>45146</v>
      </c>
      <c r="M4613" t="s">
        <v>612</v>
      </c>
      <c r="N4613" t="s">
        <v>608</v>
      </c>
      <c r="O4613" s="37" t="str">
        <f t="shared" si="363"/>
        <v>Cash Payment</v>
      </c>
      <c r="P4613">
        <v>371.7</v>
      </c>
      <c r="Q4613" s="37" t="str">
        <f>IF(P4613&gt;500,"High","low")</f>
        <v>low</v>
      </c>
      <c r="R4613" s="37" t="str">
        <f t="shared" si="364"/>
        <v>AVERAGE</v>
      </c>
      <c r="S4613" t="s">
        <v>628</v>
      </c>
    </row>
    <row r="4614" spans="1:19" x14ac:dyDescent="0.2">
      <c r="A4614" t="s">
        <v>5225</v>
      </c>
      <c r="B4614" t="s">
        <v>75</v>
      </c>
      <c r="C4614" t="s">
        <v>597</v>
      </c>
      <c r="D4614">
        <v>3734.71</v>
      </c>
      <c r="E4614" s="37" t="str">
        <f t="shared" si="360"/>
        <v xml:space="preserve"> </v>
      </c>
      <c r="F4614">
        <v>0.21</v>
      </c>
      <c r="G4614" s="37" t="str">
        <f t="shared" si="361"/>
        <v>Normal Discount</v>
      </c>
      <c r="H4614" s="37" t="str">
        <f t="shared" si="362"/>
        <v>Medium</v>
      </c>
      <c r="I4614">
        <v>4</v>
      </c>
      <c r="J4614" t="str" cm="1">
        <f t="array" ref="J4614">_xlfn.IFS(I4614&lt;=3,"small",I4614&lt;=6,"Medium",I4614&lt;=9,"Large")</f>
        <v>Medium</v>
      </c>
      <c r="K4614" s="36">
        <v>45300</v>
      </c>
      <c r="L4614" s="36">
        <v>45304</v>
      </c>
      <c r="M4614" t="s">
        <v>598</v>
      </c>
      <c r="N4614" t="s">
        <v>608</v>
      </c>
      <c r="O4614" s="37" t="str">
        <f t="shared" si="363"/>
        <v>Cash Payment</v>
      </c>
      <c r="P4614">
        <v>798.16</v>
      </c>
      <c r="Q4614" s="37" t="str">
        <f>IF(P4614&gt;500,"High","low")</f>
        <v>High</v>
      </c>
      <c r="R4614" s="37" t="str">
        <f t="shared" si="364"/>
        <v>Good</v>
      </c>
      <c r="S4614" t="s">
        <v>615</v>
      </c>
    </row>
    <row r="4615" spans="1:19" x14ac:dyDescent="0.2">
      <c r="A4615" t="s">
        <v>5226</v>
      </c>
      <c r="B4615" t="s">
        <v>75</v>
      </c>
      <c r="C4615" t="s">
        <v>607</v>
      </c>
      <c r="D4615">
        <v>4424.01</v>
      </c>
      <c r="E4615" s="37" t="str">
        <f t="shared" si="360"/>
        <v xml:space="preserve"> </v>
      </c>
      <c r="F4615">
        <v>0.26</v>
      </c>
      <c r="G4615" s="37" t="str">
        <f t="shared" si="361"/>
        <v>Normal Discount</v>
      </c>
      <c r="H4615" s="37" t="str">
        <f t="shared" si="362"/>
        <v>Medium</v>
      </c>
      <c r="I4615">
        <v>2</v>
      </c>
      <c r="J4615" t="str" cm="1">
        <f t="array" ref="J4615">_xlfn.IFS(I4615&lt;=3,"small",I4615&lt;=6,"Medium",I4615&lt;=9,"Large")</f>
        <v>small</v>
      </c>
      <c r="K4615" s="36">
        <v>44942</v>
      </c>
      <c r="L4615" s="36">
        <v>44944</v>
      </c>
      <c r="M4615" t="s">
        <v>612</v>
      </c>
      <c r="N4615" t="s">
        <v>599</v>
      </c>
      <c r="O4615" s="37" t="str">
        <f t="shared" si="363"/>
        <v>Digital Payment</v>
      </c>
      <c r="P4615">
        <v>257.38</v>
      </c>
      <c r="Q4615" s="37" t="str">
        <f>IF(P4615&gt;500,"High","low")</f>
        <v>low</v>
      </c>
      <c r="R4615" s="37" t="str">
        <f t="shared" si="364"/>
        <v>AVERAGE</v>
      </c>
      <c r="S4615" t="s">
        <v>615</v>
      </c>
    </row>
    <row r="4616" spans="1:19" x14ac:dyDescent="0.2">
      <c r="A4616" t="s">
        <v>5227</v>
      </c>
      <c r="B4616" t="s">
        <v>75</v>
      </c>
      <c r="C4616" t="s">
        <v>617</v>
      </c>
      <c r="D4616">
        <v>1012.43</v>
      </c>
      <c r="E4616" s="37" t="str">
        <f t="shared" si="360"/>
        <v xml:space="preserve"> </v>
      </c>
      <c r="F4616">
        <v>0.19</v>
      </c>
      <c r="G4616" s="37" t="str">
        <f t="shared" si="361"/>
        <v>Normal Discount</v>
      </c>
      <c r="H4616" s="37" t="str">
        <f t="shared" si="362"/>
        <v>Low</v>
      </c>
      <c r="I4616">
        <v>1</v>
      </c>
      <c r="J4616" t="str" cm="1">
        <f t="array" ref="J4616">_xlfn.IFS(I4616&lt;=3,"small",I4616&lt;=6,"Medium",I4616&lt;=9,"Large")</f>
        <v>small</v>
      </c>
      <c r="K4616" s="36">
        <v>45363</v>
      </c>
      <c r="L4616" s="36">
        <v>45366</v>
      </c>
      <c r="M4616" t="s">
        <v>598</v>
      </c>
      <c r="N4616" t="s">
        <v>604</v>
      </c>
      <c r="O4616" s="37" t="str">
        <f t="shared" si="363"/>
        <v>Digital Payment</v>
      </c>
      <c r="P4616">
        <v>125.06</v>
      </c>
      <c r="Q4616" s="37" t="str">
        <f>IF(P4616&gt;500,"High","low")</f>
        <v>low</v>
      </c>
      <c r="R4616" s="37" t="str">
        <f t="shared" si="364"/>
        <v>AVERAGE</v>
      </c>
      <c r="S4616" t="s">
        <v>605</v>
      </c>
    </row>
    <row r="4617" spans="1:19" x14ac:dyDescent="0.2">
      <c r="A4617" t="s">
        <v>5228</v>
      </c>
      <c r="B4617" t="s">
        <v>75</v>
      </c>
      <c r="C4617" t="s">
        <v>617</v>
      </c>
      <c r="D4617">
        <v>4963.38</v>
      </c>
      <c r="E4617" s="37" t="str">
        <f t="shared" si="360"/>
        <v xml:space="preserve"> </v>
      </c>
      <c r="F4617">
        <v>0.24</v>
      </c>
      <c r="G4617" s="37" t="str">
        <f t="shared" si="361"/>
        <v>Normal Discount</v>
      </c>
      <c r="H4617" s="37" t="str">
        <f t="shared" si="362"/>
        <v>Medium</v>
      </c>
      <c r="I4617">
        <v>8</v>
      </c>
      <c r="J4617" t="str" cm="1">
        <f t="array" ref="J4617">_xlfn.IFS(I4617&lt;=3,"small",I4617&lt;=6,"Medium",I4617&lt;=9,"Large")</f>
        <v>Large</v>
      </c>
      <c r="K4617" s="36">
        <v>45116</v>
      </c>
      <c r="L4617" s="36">
        <v>45122</v>
      </c>
      <c r="M4617" t="s">
        <v>603</v>
      </c>
      <c r="N4617" t="s">
        <v>608</v>
      </c>
      <c r="O4617" s="37" t="str">
        <f t="shared" si="363"/>
        <v>Cash Payment</v>
      </c>
      <c r="P4617">
        <v>255.71</v>
      </c>
      <c r="Q4617" s="37" t="str">
        <f>IF(P4617&gt;500,"High","low")</f>
        <v>low</v>
      </c>
      <c r="R4617" s="37" t="str">
        <f t="shared" si="364"/>
        <v>AVERAGE</v>
      </c>
      <c r="S4617" t="s">
        <v>600</v>
      </c>
    </row>
    <row r="4618" spans="1:19" x14ac:dyDescent="0.2">
      <c r="A4618" t="s">
        <v>5229</v>
      </c>
      <c r="B4618" t="s">
        <v>67</v>
      </c>
      <c r="C4618" t="s">
        <v>614</v>
      </c>
      <c r="D4618">
        <v>4065.99</v>
      </c>
      <c r="E4618" s="37" t="str">
        <f t="shared" si="360"/>
        <v>Excellent Order</v>
      </c>
      <c r="F4618">
        <v>0.16</v>
      </c>
      <c r="G4618" s="37" t="str">
        <f t="shared" si="361"/>
        <v>Normal Discount</v>
      </c>
      <c r="H4618" s="37" t="str">
        <f t="shared" si="362"/>
        <v>Low</v>
      </c>
      <c r="I4618">
        <v>6</v>
      </c>
      <c r="J4618" t="str" cm="1">
        <f t="array" ref="J4618">_xlfn.IFS(I4618&lt;=3,"small",I4618&lt;=6,"Medium",I4618&lt;=9,"Large")</f>
        <v>Medium</v>
      </c>
      <c r="K4618" s="36">
        <v>44963</v>
      </c>
      <c r="L4618" s="36">
        <v>44965</v>
      </c>
      <c r="M4618" t="s">
        <v>603</v>
      </c>
      <c r="N4618" t="s">
        <v>599</v>
      </c>
      <c r="O4618" s="37" t="str">
        <f t="shared" si="363"/>
        <v>Digital Payment</v>
      </c>
      <c r="P4618">
        <v>1008.81</v>
      </c>
      <c r="Q4618" s="37" t="str">
        <f>IF(P4618&gt;500,"High","low")</f>
        <v>High</v>
      </c>
      <c r="R4618" s="37" t="str">
        <f t="shared" si="364"/>
        <v>Excellent</v>
      </c>
      <c r="S4618" t="s">
        <v>605</v>
      </c>
    </row>
    <row r="4619" spans="1:19" x14ac:dyDescent="0.2">
      <c r="A4619" t="s">
        <v>5230</v>
      </c>
      <c r="B4619" t="s">
        <v>75</v>
      </c>
      <c r="C4619" t="s">
        <v>602</v>
      </c>
      <c r="D4619">
        <v>774.06</v>
      </c>
      <c r="E4619" s="37" t="str">
        <f t="shared" si="360"/>
        <v xml:space="preserve"> </v>
      </c>
      <c r="F4619">
        <v>0.06</v>
      </c>
      <c r="G4619" s="37" t="str">
        <f t="shared" si="361"/>
        <v>Normal Discount</v>
      </c>
      <c r="H4619" s="37" t="str">
        <f t="shared" si="362"/>
        <v>Low</v>
      </c>
      <c r="I4619">
        <v>1</v>
      </c>
      <c r="J4619" t="str" cm="1">
        <f t="array" ref="J4619">_xlfn.IFS(I4619&lt;=3,"small",I4619&lt;=6,"Medium",I4619&lt;=9,"Large")</f>
        <v>small</v>
      </c>
      <c r="K4619" s="36">
        <v>45371</v>
      </c>
      <c r="L4619" s="36">
        <v>45373</v>
      </c>
      <c r="M4619" t="s">
        <v>612</v>
      </c>
      <c r="N4619" t="s">
        <v>599</v>
      </c>
      <c r="O4619" s="37" t="str">
        <f t="shared" si="363"/>
        <v>Digital Payment</v>
      </c>
      <c r="P4619">
        <v>125.13</v>
      </c>
      <c r="Q4619" s="37" t="str">
        <f>IF(P4619&gt;500,"High","low")</f>
        <v>low</v>
      </c>
      <c r="R4619" s="37" t="str">
        <f t="shared" si="364"/>
        <v>AVERAGE</v>
      </c>
      <c r="S4619" t="s">
        <v>615</v>
      </c>
    </row>
    <row r="4620" spans="1:19" x14ac:dyDescent="0.2">
      <c r="A4620" t="s">
        <v>5231</v>
      </c>
      <c r="B4620" t="s">
        <v>90</v>
      </c>
      <c r="C4620" t="s">
        <v>614</v>
      </c>
      <c r="D4620">
        <v>1623.34</v>
      </c>
      <c r="E4620" s="37" t="str">
        <f t="shared" si="360"/>
        <v xml:space="preserve"> </v>
      </c>
      <c r="F4620">
        <v>0.15</v>
      </c>
      <c r="G4620" s="37" t="str">
        <f t="shared" si="361"/>
        <v>Normal Discount</v>
      </c>
      <c r="H4620" s="37" t="str">
        <f t="shared" si="362"/>
        <v>Low</v>
      </c>
      <c r="I4620">
        <v>5</v>
      </c>
      <c r="J4620" t="str" cm="1">
        <f t="array" ref="J4620">_xlfn.IFS(I4620&lt;=3,"small",I4620&lt;=6,"Medium",I4620&lt;=9,"Large")</f>
        <v>Medium</v>
      </c>
      <c r="K4620" s="36">
        <v>45623</v>
      </c>
      <c r="L4620" s="36">
        <v>45630</v>
      </c>
      <c r="M4620" t="s">
        <v>603</v>
      </c>
      <c r="N4620" t="s">
        <v>608</v>
      </c>
      <c r="O4620" s="37" t="str">
        <f t="shared" si="363"/>
        <v>Cash Payment</v>
      </c>
      <c r="P4620">
        <v>254.38</v>
      </c>
      <c r="Q4620" s="37" t="str">
        <f>IF(P4620&gt;500,"High","low")</f>
        <v>low</v>
      </c>
      <c r="R4620" s="37" t="str">
        <f t="shared" si="364"/>
        <v>AVERAGE</v>
      </c>
      <c r="S4620" t="s">
        <v>600</v>
      </c>
    </row>
    <row r="4621" spans="1:19" x14ac:dyDescent="0.2">
      <c r="A4621" t="s">
        <v>5232</v>
      </c>
      <c r="B4621" t="s">
        <v>90</v>
      </c>
      <c r="C4621" t="s">
        <v>597</v>
      </c>
      <c r="D4621">
        <v>3162.35</v>
      </c>
      <c r="E4621" s="37" t="str">
        <f t="shared" si="360"/>
        <v xml:space="preserve"> </v>
      </c>
      <c r="F4621">
        <v>0.34</v>
      </c>
      <c r="G4621" s="37" t="str">
        <f t="shared" si="361"/>
        <v>Heavy Discount</v>
      </c>
      <c r="H4621" s="37" t="str">
        <f t="shared" si="362"/>
        <v>Medium</v>
      </c>
      <c r="I4621">
        <v>3</v>
      </c>
      <c r="J4621" t="str" cm="1">
        <f t="array" ref="J4621">_xlfn.IFS(I4621&lt;=3,"small",I4621&lt;=6,"Medium",I4621&lt;=9,"Large")</f>
        <v>small</v>
      </c>
      <c r="K4621" s="36">
        <v>45099</v>
      </c>
      <c r="L4621" s="36">
        <v>45103</v>
      </c>
      <c r="M4621" t="s">
        <v>603</v>
      </c>
      <c r="N4621" t="s">
        <v>604</v>
      </c>
      <c r="O4621" s="37" t="str">
        <f t="shared" si="363"/>
        <v>Digital Payment</v>
      </c>
      <c r="P4621">
        <v>519.32000000000005</v>
      </c>
      <c r="Q4621" s="37" t="str">
        <f>IF(P4621&gt;500,"High","low")</f>
        <v>High</v>
      </c>
      <c r="R4621" s="37" t="str">
        <f t="shared" si="364"/>
        <v>Good</v>
      </c>
      <c r="S4621" t="s">
        <v>620</v>
      </c>
    </row>
    <row r="4622" spans="1:19" x14ac:dyDescent="0.2">
      <c r="A4622" t="s">
        <v>5233</v>
      </c>
      <c r="B4622" t="s">
        <v>90</v>
      </c>
      <c r="C4622" t="s">
        <v>607</v>
      </c>
      <c r="D4622">
        <v>4436.1000000000004</v>
      </c>
      <c r="E4622" s="37" t="str">
        <f t="shared" si="360"/>
        <v xml:space="preserve"> </v>
      </c>
      <c r="F4622">
        <v>0.03</v>
      </c>
      <c r="G4622" s="37" t="str">
        <f t="shared" si="361"/>
        <v>Normal Discount</v>
      </c>
      <c r="H4622" s="37" t="str">
        <f t="shared" si="362"/>
        <v>Low</v>
      </c>
      <c r="I4622">
        <v>2</v>
      </c>
      <c r="J4622" t="str" cm="1">
        <f t="array" ref="J4622">_xlfn.IFS(I4622&lt;=3,"small",I4622&lt;=6,"Medium",I4622&lt;=9,"Large")</f>
        <v>small</v>
      </c>
      <c r="K4622" s="36">
        <v>45258</v>
      </c>
      <c r="L4622" s="36">
        <v>45261</v>
      </c>
      <c r="M4622" t="s">
        <v>598</v>
      </c>
      <c r="N4622" t="s">
        <v>608</v>
      </c>
      <c r="O4622" s="37" t="str">
        <f t="shared" si="363"/>
        <v>Cash Payment</v>
      </c>
      <c r="P4622">
        <v>670.17</v>
      </c>
      <c r="Q4622" s="37" t="str">
        <f>IF(P4622&gt;500,"High","low")</f>
        <v>High</v>
      </c>
      <c r="R4622" s="37" t="str">
        <f t="shared" si="364"/>
        <v>Good</v>
      </c>
      <c r="S4622" t="s">
        <v>628</v>
      </c>
    </row>
    <row r="4623" spans="1:19" x14ac:dyDescent="0.2">
      <c r="A4623" t="s">
        <v>5234</v>
      </c>
      <c r="B4623" t="s">
        <v>90</v>
      </c>
      <c r="C4623" t="s">
        <v>617</v>
      </c>
      <c r="D4623">
        <v>1054.69</v>
      </c>
      <c r="E4623" s="37" t="str">
        <f t="shared" si="360"/>
        <v xml:space="preserve"> </v>
      </c>
      <c r="F4623">
        <v>0.19</v>
      </c>
      <c r="G4623" s="37" t="str">
        <f t="shared" si="361"/>
        <v>Normal Discount</v>
      </c>
      <c r="H4623" s="37" t="str">
        <f t="shared" si="362"/>
        <v>Low</v>
      </c>
      <c r="I4623">
        <v>3</v>
      </c>
      <c r="J4623" t="str" cm="1">
        <f t="array" ref="J4623">_xlfn.IFS(I4623&lt;=3,"small",I4623&lt;=6,"Medium",I4623&lt;=9,"Large")</f>
        <v>small</v>
      </c>
      <c r="K4623" s="36">
        <v>45014</v>
      </c>
      <c r="L4623" s="36">
        <v>45021</v>
      </c>
      <c r="M4623" t="s">
        <v>598</v>
      </c>
      <c r="N4623" t="s">
        <v>599</v>
      </c>
      <c r="O4623" s="37" t="str">
        <f t="shared" si="363"/>
        <v>Digital Payment</v>
      </c>
      <c r="P4623">
        <v>96.15</v>
      </c>
      <c r="Q4623" s="37" t="str">
        <f>IF(P4623&gt;500,"High","low")</f>
        <v>low</v>
      </c>
      <c r="R4623" s="37" t="str">
        <f t="shared" si="364"/>
        <v>AVERAGE</v>
      </c>
      <c r="S4623" t="s">
        <v>600</v>
      </c>
    </row>
    <row r="4624" spans="1:19" x14ac:dyDescent="0.2">
      <c r="A4624" t="s">
        <v>5235</v>
      </c>
      <c r="B4624" t="s">
        <v>75</v>
      </c>
      <c r="C4624" t="s">
        <v>602</v>
      </c>
      <c r="D4624">
        <v>3682.91</v>
      </c>
      <c r="E4624" s="37" t="str">
        <f t="shared" si="360"/>
        <v xml:space="preserve"> </v>
      </c>
      <c r="F4624">
        <v>0.02</v>
      </c>
      <c r="G4624" s="37" t="str">
        <f t="shared" si="361"/>
        <v>Normal Discount</v>
      </c>
      <c r="H4624" s="37" t="str">
        <f t="shared" si="362"/>
        <v>Low</v>
      </c>
      <c r="I4624">
        <v>2</v>
      </c>
      <c r="J4624" t="str" cm="1">
        <f t="array" ref="J4624">_xlfn.IFS(I4624&lt;=3,"small",I4624&lt;=6,"Medium",I4624&lt;=9,"Large")</f>
        <v>small</v>
      </c>
      <c r="K4624" s="36">
        <v>45564</v>
      </c>
      <c r="L4624" s="36">
        <v>45565</v>
      </c>
      <c r="M4624" t="s">
        <v>598</v>
      </c>
      <c r="N4624" t="s">
        <v>599</v>
      </c>
      <c r="O4624" s="37" t="str">
        <f t="shared" si="363"/>
        <v>Digital Payment</v>
      </c>
      <c r="P4624">
        <v>793.64</v>
      </c>
      <c r="Q4624" s="37" t="str">
        <f>IF(P4624&gt;500,"High","low")</f>
        <v>High</v>
      </c>
      <c r="R4624" s="37" t="str">
        <f t="shared" si="364"/>
        <v>Good</v>
      </c>
      <c r="S4624" t="s">
        <v>615</v>
      </c>
    </row>
    <row r="4625" spans="1:19" x14ac:dyDescent="0.2">
      <c r="A4625" t="s">
        <v>5236</v>
      </c>
      <c r="B4625" t="s">
        <v>90</v>
      </c>
      <c r="C4625" t="s">
        <v>617</v>
      </c>
      <c r="D4625">
        <v>1426.18</v>
      </c>
      <c r="E4625" s="37" t="str">
        <f t="shared" si="360"/>
        <v xml:space="preserve"> </v>
      </c>
      <c r="F4625">
        <v>0.18</v>
      </c>
      <c r="G4625" s="37" t="str">
        <f t="shared" si="361"/>
        <v>Normal Discount</v>
      </c>
      <c r="H4625" s="37" t="str">
        <f t="shared" si="362"/>
        <v>Low</v>
      </c>
      <c r="I4625">
        <v>2</v>
      </c>
      <c r="J4625" t="str" cm="1">
        <f t="array" ref="J4625">_xlfn.IFS(I4625&lt;=3,"small",I4625&lt;=6,"Medium",I4625&lt;=9,"Large")</f>
        <v>small</v>
      </c>
      <c r="K4625" s="36">
        <v>45180</v>
      </c>
      <c r="L4625" s="36">
        <v>45184</v>
      </c>
      <c r="M4625" t="s">
        <v>598</v>
      </c>
      <c r="N4625" t="s">
        <v>608</v>
      </c>
      <c r="O4625" s="37" t="str">
        <f t="shared" si="363"/>
        <v>Cash Payment</v>
      </c>
      <c r="P4625">
        <v>398.38</v>
      </c>
      <c r="Q4625" s="37" t="str">
        <f>IF(P4625&gt;500,"High","low")</f>
        <v>low</v>
      </c>
      <c r="R4625" s="37" t="str">
        <f t="shared" si="364"/>
        <v>AVERAGE</v>
      </c>
      <c r="S4625" t="s">
        <v>600</v>
      </c>
    </row>
    <row r="4626" spans="1:19" x14ac:dyDescent="0.2">
      <c r="A4626" t="s">
        <v>5237</v>
      </c>
      <c r="B4626" t="s">
        <v>75</v>
      </c>
      <c r="C4626" t="s">
        <v>614</v>
      </c>
      <c r="D4626">
        <v>4046.54</v>
      </c>
      <c r="E4626" s="37" t="str">
        <f t="shared" si="360"/>
        <v>Excellent Order</v>
      </c>
      <c r="F4626">
        <v>0.04</v>
      </c>
      <c r="G4626" s="37" t="str">
        <f t="shared" si="361"/>
        <v>Normal Discount</v>
      </c>
      <c r="H4626" s="37" t="str">
        <f t="shared" si="362"/>
        <v>Low</v>
      </c>
      <c r="I4626">
        <v>1</v>
      </c>
      <c r="J4626" t="str" cm="1">
        <f t="array" ref="J4626">_xlfn.IFS(I4626&lt;=3,"small",I4626&lt;=6,"Medium",I4626&lt;=9,"Large")</f>
        <v>small</v>
      </c>
      <c r="K4626" s="36">
        <v>45312</v>
      </c>
      <c r="L4626" s="36">
        <v>45315</v>
      </c>
      <c r="M4626" t="s">
        <v>598</v>
      </c>
      <c r="N4626" t="s">
        <v>608</v>
      </c>
      <c r="O4626" s="37" t="str">
        <f t="shared" si="363"/>
        <v>Cash Payment</v>
      </c>
      <c r="P4626">
        <v>1200.5</v>
      </c>
      <c r="Q4626" s="37" t="str">
        <f>IF(P4626&gt;500,"High","low")</f>
        <v>High</v>
      </c>
      <c r="R4626" s="37" t="str">
        <f t="shared" si="364"/>
        <v>Excellent</v>
      </c>
      <c r="S4626" t="s">
        <v>600</v>
      </c>
    </row>
    <row r="4627" spans="1:19" x14ac:dyDescent="0.2">
      <c r="A4627" t="s">
        <v>5238</v>
      </c>
      <c r="B4627" t="s">
        <v>67</v>
      </c>
      <c r="C4627" t="s">
        <v>614</v>
      </c>
      <c r="D4627">
        <v>3448.87</v>
      </c>
      <c r="E4627" s="37" t="str">
        <f t="shared" si="360"/>
        <v xml:space="preserve"> </v>
      </c>
      <c r="F4627">
        <v>0.17</v>
      </c>
      <c r="G4627" s="37" t="str">
        <f t="shared" si="361"/>
        <v>Normal Discount</v>
      </c>
      <c r="H4627" s="37" t="str">
        <f t="shared" si="362"/>
        <v>Low</v>
      </c>
      <c r="I4627">
        <v>3</v>
      </c>
      <c r="J4627" t="str" cm="1">
        <f t="array" ref="J4627">_xlfn.IFS(I4627&lt;=3,"small",I4627&lt;=6,"Medium",I4627&lt;=9,"Large")</f>
        <v>small</v>
      </c>
      <c r="K4627" s="36">
        <v>45405</v>
      </c>
      <c r="L4627" s="36">
        <v>45411</v>
      </c>
      <c r="M4627" t="s">
        <v>603</v>
      </c>
      <c r="N4627" t="s">
        <v>599</v>
      </c>
      <c r="O4627" s="37" t="str">
        <f t="shared" si="363"/>
        <v>Digital Payment</v>
      </c>
      <c r="P4627">
        <v>859.51</v>
      </c>
      <c r="Q4627" s="37" t="str">
        <f>IF(P4627&gt;500,"High","low")</f>
        <v>High</v>
      </c>
      <c r="R4627" s="37" t="str">
        <f t="shared" si="364"/>
        <v>Good</v>
      </c>
      <c r="S4627" t="s">
        <v>615</v>
      </c>
    </row>
    <row r="4628" spans="1:19" x14ac:dyDescent="0.2">
      <c r="A4628" t="s">
        <v>5239</v>
      </c>
      <c r="B4628" t="s">
        <v>90</v>
      </c>
      <c r="C4628" t="s">
        <v>607</v>
      </c>
      <c r="D4628">
        <v>2662.25</v>
      </c>
      <c r="E4628" s="37" t="str">
        <f t="shared" si="360"/>
        <v xml:space="preserve"> </v>
      </c>
      <c r="F4628">
        <v>0.42</v>
      </c>
      <c r="G4628" s="37" t="str">
        <f t="shared" si="361"/>
        <v>Heavy Discount</v>
      </c>
      <c r="H4628" s="37" t="str">
        <f t="shared" si="362"/>
        <v>High</v>
      </c>
      <c r="I4628">
        <v>3</v>
      </c>
      <c r="J4628" t="str" cm="1">
        <f t="array" ref="J4628">_xlfn.IFS(I4628&lt;=3,"small",I4628&lt;=6,"Medium",I4628&lt;=9,"Large")</f>
        <v>small</v>
      </c>
      <c r="K4628" s="36">
        <v>45211</v>
      </c>
      <c r="L4628" s="36">
        <v>45216</v>
      </c>
      <c r="M4628" t="s">
        <v>603</v>
      </c>
      <c r="N4628" t="s">
        <v>599</v>
      </c>
      <c r="O4628" s="37" t="str">
        <f t="shared" si="363"/>
        <v>Digital Payment</v>
      </c>
      <c r="P4628">
        <v>391.83</v>
      </c>
      <c r="Q4628" s="37" t="str">
        <f>IF(P4628&gt;500,"High","low")</f>
        <v>low</v>
      </c>
      <c r="R4628" s="37" t="str">
        <f t="shared" si="364"/>
        <v>AVERAGE</v>
      </c>
      <c r="S4628" t="s">
        <v>609</v>
      </c>
    </row>
    <row r="4629" spans="1:19" x14ac:dyDescent="0.2">
      <c r="A4629" t="s">
        <v>5240</v>
      </c>
      <c r="B4629" t="s">
        <v>83</v>
      </c>
      <c r="C4629" t="s">
        <v>602</v>
      </c>
      <c r="D4629">
        <v>3284.34</v>
      </c>
      <c r="E4629" s="37" t="str">
        <f t="shared" si="360"/>
        <v xml:space="preserve"> </v>
      </c>
      <c r="F4629">
        <v>0.31</v>
      </c>
      <c r="G4629" s="37" t="str">
        <f t="shared" si="361"/>
        <v>Heavy Discount</v>
      </c>
      <c r="H4629" s="37" t="str">
        <f t="shared" si="362"/>
        <v>Medium</v>
      </c>
      <c r="I4629">
        <v>4</v>
      </c>
      <c r="J4629" t="str" cm="1">
        <f t="array" ref="J4629">_xlfn.IFS(I4629&lt;=3,"small",I4629&lt;=6,"Medium",I4629&lt;=9,"Large")</f>
        <v>Medium</v>
      </c>
      <c r="K4629" s="36">
        <v>45132</v>
      </c>
      <c r="L4629" s="36">
        <v>45139</v>
      </c>
      <c r="M4629" t="s">
        <v>612</v>
      </c>
      <c r="N4629" t="s">
        <v>608</v>
      </c>
      <c r="O4629" s="37" t="str">
        <f t="shared" si="363"/>
        <v>Cash Payment</v>
      </c>
      <c r="P4629">
        <v>626.27</v>
      </c>
      <c r="Q4629" s="37" t="str">
        <f>IF(P4629&gt;500,"High","low")</f>
        <v>High</v>
      </c>
      <c r="R4629" s="37" t="str">
        <f t="shared" si="364"/>
        <v>Good</v>
      </c>
      <c r="S4629" t="s">
        <v>609</v>
      </c>
    </row>
    <row r="4630" spans="1:19" x14ac:dyDescent="0.2">
      <c r="A4630" t="s">
        <v>5241</v>
      </c>
      <c r="B4630" t="s">
        <v>90</v>
      </c>
      <c r="C4630" t="s">
        <v>602</v>
      </c>
      <c r="D4630">
        <v>4394.58</v>
      </c>
      <c r="E4630" s="37" t="str">
        <f t="shared" si="360"/>
        <v xml:space="preserve"> </v>
      </c>
      <c r="F4630">
        <v>0.34</v>
      </c>
      <c r="G4630" s="37" t="str">
        <f t="shared" si="361"/>
        <v>Heavy Discount</v>
      </c>
      <c r="H4630" s="37" t="str">
        <f t="shared" si="362"/>
        <v>Medium</v>
      </c>
      <c r="I4630">
        <v>3</v>
      </c>
      <c r="J4630" t="str" cm="1">
        <f t="array" ref="J4630">_xlfn.IFS(I4630&lt;=3,"small",I4630&lt;=6,"Medium",I4630&lt;=9,"Large")</f>
        <v>small</v>
      </c>
      <c r="K4630" s="36">
        <v>45301</v>
      </c>
      <c r="L4630" s="36">
        <v>45308</v>
      </c>
      <c r="M4630" t="s">
        <v>598</v>
      </c>
      <c r="N4630" t="s">
        <v>599</v>
      </c>
      <c r="O4630" s="37" t="str">
        <f t="shared" si="363"/>
        <v>Digital Payment</v>
      </c>
      <c r="P4630">
        <v>233.68</v>
      </c>
      <c r="Q4630" s="37" t="str">
        <f>IF(P4630&gt;500,"High","low")</f>
        <v>low</v>
      </c>
      <c r="R4630" s="37" t="str">
        <f t="shared" si="364"/>
        <v>AVERAGE</v>
      </c>
      <c r="S4630" t="s">
        <v>628</v>
      </c>
    </row>
    <row r="4631" spans="1:19" x14ac:dyDescent="0.2">
      <c r="A4631" t="s">
        <v>5242</v>
      </c>
      <c r="B4631" t="s">
        <v>90</v>
      </c>
      <c r="C4631" t="s">
        <v>607</v>
      </c>
      <c r="D4631">
        <v>1993.49</v>
      </c>
      <c r="E4631" s="37" t="str">
        <f t="shared" si="360"/>
        <v xml:space="preserve"> </v>
      </c>
      <c r="F4631">
        <v>0.25</v>
      </c>
      <c r="G4631" s="37" t="str">
        <f t="shared" si="361"/>
        <v>Normal Discount</v>
      </c>
      <c r="H4631" s="37" t="str">
        <f t="shared" si="362"/>
        <v>Medium</v>
      </c>
      <c r="I4631">
        <v>8</v>
      </c>
      <c r="J4631" t="str" cm="1">
        <f t="array" ref="J4631">_xlfn.IFS(I4631&lt;=3,"small",I4631&lt;=6,"Medium",I4631&lt;=9,"Large")</f>
        <v>Large</v>
      </c>
      <c r="K4631" s="36">
        <v>45039</v>
      </c>
      <c r="L4631" s="36">
        <v>45046</v>
      </c>
      <c r="M4631" t="s">
        <v>612</v>
      </c>
      <c r="N4631" t="s">
        <v>599</v>
      </c>
      <c r="O4631" s="37" t="str">
        <f t="shared" si="363"/>
        <v>Digital Payment</v>
      </c>
      <c r="P4631">
        <v>277.08999999999997</v>
      </c>
      <c r="Q4631" s="37" t="str">
        <f>IF(P4631&gt;500,"High","low")</f>
        <v>low</v>
      </c>
      <c r="R4631" s="37" t="str">
        <f t="shared" si="364"/>
        <v>AVERAGE</v>
      </c>
      <c r="S4631" t="s">
        <v>609</v>
      </c>
    </row>
    <row r="4632" spans="1:19" x14ac:dyDescent="0.2">
      <c r="A4632" t="s">
        <v>5243</v>
      </c>
      <c r="B4632" t="s">
        <v>75</v>
      </c>
      <c r="C4632" t="s">
        <v>614</v>
      </c>
      <c r="D4632">
        <v>3869.33</v>
      </c>
      <c r="E4632" s="37" t="str">
        <f t="shared" si="360"/>
        <v xml:space="preserve"> </v>
      </c>
      <c r="F4632">
        <v>0.46</v>
      </c>
      <c r="G4632" s="37" t="str">
        <f t="shared" si="361"/>
        <v>Heavy Discount</v>
      </c>
      <c r="H4632" s="37" t="str">
        <f t="shared" si="362"/>
        <v>High</v>
      </c>
      <c r="I4632">
        <v>4</v>
      </c>
      <c r="J4632" t="str" cm="1">
        <f t="array" ref="J4632">_xlfn.IFS(I4632&lt;=3,"small",I4632&lt;=6,"Medium",I4632&lt;=9,"Large")</f>
        <v>Medium</v>
      </c>
      <c r="K4632" s="36">
        <v>45150</v>
      </c>
      <c r="L4632" s="36">
        <v>45151</v>
      </c>
      <c r="M4632" t="s">
        <v>598</v>
      </c>
      <c r="N4632" t="s">
        <v>608</v>
      </c>
      <c r="O4632" s="37" t="str">
        <f t="shared" si="363"/>
        <v>Cash Payment</v>
      </c>
      <c r="P4632">
        <v>842.86</v>
      </c>
      <c r="Q4632" s="37" t="str">
        <f>IF(P4632&gt;500,"High","low")</f>
        <v>High</v>
      </c>
      <c r="R4632" s="37" t="str">
        <f t="shared" si="364"/>
        <v>Good</v>
      </c>
      <c r="S4632" t="s">
        <v>605</v>
      </c>
    </row>
    <row r="4633" spans="1:19" x14ac:dyDescent="0.2">
      <c r="A4633" t="s">
        <v>5244</v>
      </c>
      <c r="B4633" t="s">
        <v>90</v>
      </c>
      <c r="C4633" t="s">
        <v>614</v>
      </c>
      <c r="D4633">
        <v>878.64</v>
      </c>
      <c r="E4633" s="37" t="str">
        <f t="shared" si="360"/>
        <v xml:space="preserve"> </v>
      </c>
      <c r="F4633">
        <v>0.27</v>
      </c>
      <c r="G4633" s="37" t="str">
        <f t="shared" si="361"/>
        <v>Normal Discount</v>
      </c>
      <c r="H4633" s="37" t="str">
        <f t="shared" si="362"/>
        <v>Medium</v>
      </c>
      <c r="I4633">
        <v>1</v>
      </c>
      <c r="J4633" t="str" cm="1">
        <f t="array" ref="J4633">_xlfn.IFS(I4633&lt;=3,"small",I4633&lt;=6,"Medium",I4633&lt;=9,"Large")</f>
        <v>small</v>
      </c>
      <c r="K4633" s="36">
        <v>45202</v>
      </c>
      <c r="L4633" s="36">
        <v>45208</v>
      </c>
      <c r="M4633" t="s">
        <v>598</v>
      </c>
      <c r="N4633" t="s">
        <v>608</v>
      </c>
      <c r="O4633" s="37" t="str">
        <f t="shared" si="363"/>
        <v>Cash Payment</v>
      </c>
      <c r="P4633">
        <v>240.42</v>
      </c>
      <c r="Q4633" s="37" t="str">
        <f>IF(P4633&gt;500,"High","low")</f>
        <v>low</v>
      </c>
      <c r="R4633" s="37" t="str">
        <f t="shared" si="364"/>
        <v>AVERAGE</v>
      </c>
      <c r="S4633" t="s">
        <v>600</v>
      </c>
    </row>
    <row r="4634" spans="1:19" x14ac:dyDescent="0.2">
      <c r="A4634" t="s">
        <v>5245</v>
      </c>
      <c r="B4634" t="s">
        <v>83</v>
      </c>
      <c r="C4634" t="s">
        <v>614</v>
      </c>
      <c r="D4634">
        <v>3535.81</v>
      </c>
      <c r="E4634" s="37" t="str">
        <f t="shared" si="360"/>
        <v xml:space="preserve"> </v>
      </c>
      <c r="F4634">
        <v>0.05</v>
      </c>
      <c r="G4634" s="37" t="str">
        <f t="shared" si="361"/>
        <v>Normal Discount</v>
      </c>
      <c r="H4634" s="37" t="str">
        <f t="shared" si="362"/>
        <v>Low</v>
      </c>
      <c r="I4634">
        <v>2</v>
      </c>
      <c r="J4634" t="str" cm="1">
        <f t="array" ref="J4634">_xlfn.IFS(I4634&lt;=3,"small",I4634&lt;=6,"Medium",I4634&lt;=9,"Large")</f>
        <v>small</v>
      </c>
      <c r="K4634" s="36">
        <v>45632</v>
      </c>
      <c r="L4634" s="36">
        <v>45634</v>
      </c>
      <c r="M4634" t="s">
        <v>603</v>
      </c>
      <c r="N4634" t="s">
        <v>599</v>
      </c>
      <c r="O4634" s="37" t="str">
        <f t="shared" si="363"/>
        <v>Digital Payment</v>
      </c>
      <c r="P4634">
        <v>274.48</v>
      </c>
      <c r="Q4634" s="37" t="str">
        <f>IF(P4634&gt;500,"High","low")</f>
        <v>low</v>
      </c>
      <c r="R4634" s="37" t="str">
        <f t="shared" si="364"/>
        <v>AVERAGE</v>
      </c>
      <c r="S4634" t="s">
        <v>620</v>
      </c>
    </row>
    <row r="4635" spans="1:19" x14ac:dyDescent="0.2">
      <c r="A4635" t="s">
        <v>5246</v>
      </c>
      <c r="B4635" t="s">
        <v>75</v>
      </c>
      <c r="C4635" t="s">
        <v>617</v>
      </c>
      <c r="D4635">
        <v>3778.22</v>
      </c>
      <c r="E4635" s="37" t="str">
        <f t="shared" si="360"/>
        <v xml:space="preserve"> </v>
      </c>
      <c r="F4635">
        <v>0.47</v>
      </c>
      <c r="G4635" s="37" t="str">
        <f t="shared" si="361"/>
        <v>Heavy Discount</v>
      </c>
      <c r="H4635" s="37" t="str">
        <f t="shared" si="362"/>
        <v>High</v>
      </c>
      <c r="I4635">
        <v>7</v>
      </c>
      <c r="J4635" t="str" cm="1">
        <f t="array" ref="J4635">_xlfn.IFS(I4635&lt;=3,"small",I4635&lt;=6,"Medium",I4635&lt;=9,"Large")</f>
        <v>Large</v>
      </c>
      <c r="K4635" s="36">
        <v>45341</v>
      </c>
      <c r="L4635" s="36">
        <v>45346</v>
      </c>
      <c r="M4635" t="s">
        <v>598</v>
      </c>
      <c r="N4635" t="s">
        <v>599</v>
      </c>
      <c r="O4635" s="37" t="str">
        <f t="shared" si="363"/>
        <v>Digital Payment</v>
      </c>
      <c r="P4635">
        <v>275.54000000000002</v>
      </c>
      <c r="Q4635" s="37" t="str">
        <f>IF(P4635&gt;500,"High","low")</f>
        <v>low</v>
      </c>
      <c r="R4635" s="37" t="str">
        <f t="shared" si="364"/>
        <v>AVERAGE</v>
      </c>
      <c r="S4635" t="s">
        <v>628</v>
      </c>
    </row>
    <row r="4636" spans="1:19" x14ac:dyDescent="0.2">
      <c r="A4636" t="s">
        <v>5247</v>
      </c>
      <c r="B4636" t="s">
        <v>75</v>
      </c>
      <c r="C4636" t="s">
        <v>597</v>
      </c>
      <c r="D4636">
        <v>2270.69</v>
      </c>
      <c r="E4636" s="37" t="str">
        <f t="shared" si="360"/>
        <v xml:space="preserve"> </v>
      </c>
      <c r="F4636">
        <v>7.0000000000000007E-2</v>
      </c>
      <c r="G4636" s="37" t="str">
        <f t="shared" si="361"/>
        <v>Normal Discount</v>
      </c>
      <c r="H4636" s="37" t="str">
        <f t="shared" si="362"/>
        <v>Low</v>
      </c>
      <c r="I4636">
        <v>6</v>
      </c>
      <c r="J4636" t="str" cm="1">
        <f t="array" ref="J4636">_xlfn.IFS(I4636&lt;=3,"small",I4636&lt;=6,"Medium",I4636&lt;=9,"Large")</f>
        <v>Medium</v>
      </c>
      <c r="K4636" s="36">
        <v>45315</v>
      </c>
      <c r="L4636" s="36">
        <v>45317</v>
      </c>
      <c r="M4636" t="s">
        <v>598</v>
      </c>
      <c r="N4636" t="s">
        <v>604</v>
      </c>
      <c r="O4636" s="37" t="str">
        <f t="shared" si="363"/>
        <v>Digital Payment</v>
      </c>
      <c r="P4636">
        <v>201.13</v>
      </c>
      <c r="Q4636" s="37" t="str">
        <f>IF(P4636&gt;500,"High","low")</f>
        <v>low</v>
      </c>
      <c r="R4636" s="37" t="str">
        <f t="shared" si="364"/>
        <v>AVERAGE</v>
      </c>
      <c r="S4636" t="s">
        <v>609</v>
      </c>
    </row>
    <row r="4637" spans="1:19" x14ac:dyDescent="0.2">
      <c r="A4637" t="s">
        <v>5248</v>
      </c>
      <c r="B4637" t="s">
        <v>67</v>
      </c>
      <c r="C4637" t="s">
        <v>614</v>
      </c>
      <c r="D4637">
        <v>3988.75</v>
      </c>
      <c r="E4637" s="37" t="str">
        <f t="shared" si="360"/>
        <v xml:space="preserve"> </v>
      </c>
      <c r="F4637">
        <v>0.5</v>
      </c>
      <c r="G4637" s="37" t="str">
        <f t="shared" si="361"/>
        <v>Heavy Discount</v>
      </c>
      <c r="H4637" s="37" t="str">
        <f t="shared" si="362"/>
        <v>High</v>
      </c>
      <c r="I4637">
        <v>9</v>
      </c>
      <c r="J4637" t="str" cm="1">
        <f t="array" ref="J4637">_xlfn.IFS(I4637&lt;=3,"small",I4637&lt;=6,"Medium",I4637&lt;=9,"Large")</f>
        <v>Large</v>
      </c>
      <c r="K4637" s="36">
        <v>45278</v>
      </c>
      <c r="L4637" s="36">
        <v>45281</v>
      </c>
      <c r="M4637" t="s">
        <v>603</v>
      </c>
      <c r="N4637" t="s">
        <v>604</v>
      </c>
      <c r="O4637" s="37" t="str">
        <f t="shared" si="363"/>
        <v>Digital Payment</v>
      </c>
      <c r="P4637">
        <v>343.66</v>
      </c>
      <c r="Q4637" s="37" t="str">
        <f>IF(P4637&gt;500,"High","low")</f>
        <v>low</v>
      </c>
      <c r="R4637" s="37" t="str">
        <f t="shared" si="364"/>
        <v>AVERAGE</v>
      </c>
      <c r="S4637" t="s">
        <v>615</v>
      </c>
    </row>
    <row r="4638" spans="1:19" x14ac:dyDescent="0.2">
      <c r="A4638" t="s">
        <v>5249</v>
      </c>
      <c r="B4638" t="s">
        <v>67</v>
      </c>
      <c r="C4638" t="s">
        <v>597</v>
      </c>
      <c r="D4638">
        <v>2829.81</v>
      </c>
      <c r="E4638" s="37" t="str">
        <f t="shared" si="360"/>
        <v xml:space="preserve"> </v>
      </c>
      <c r="F4638">
        <v>0.22</v>
      </c>
      <c r="G4638" s="37" t="str">
        <f t="shared" si="361"/>
        <v>Normal Discount</v>
      </c>
      <c r="H4638" s="37" t="str">
        <f t="shared" si="362"/>
        <v>Medium</v>
      </c>
      <c r="I4638">
        <v>6</v>
      </c>
      <c r="J4638" t="str" cm="1">
        <f t="array" ref="J4638">_xlfn.IFS(I4638&lt;=3,"small",I4638&lt;=6,"Medium",I4638&lt;=9,"Large")</f>
        <v>Medium</v>
      </c>
      <c r="K4638" s="36">
        <v>44976</v>
      </c>
      <c r="L4638" s="36">
        <v>44977</v>
      </c>
      <c r="M4638" t="s">
        <v>598</v>
      </c>
      <c r="N4638" t="s">
        <v>604</v>
      </c>
      <c r="O4638" s="37" t="str">
        <f t="shared" si="363"/>
        <v>Digital Payment</v>
      </c>
      <c r="P4638">
        <v>696.5</v>
      </c>
      <c r="Q4638" s="37" t="str">
        <f>IF(P4638&gt;500,"High","low")</f>
        <v>High</v>
      </c>
      <c r="R4638" s="37" t="str">
        <f t="shared" si="364"/>
        <v>Good</v>
      </c>
      <c r="S4638" t="s">
        <v>609</v>
      </c>
    </row>
    <row r="4639" spans="1:19" x14ac:dyDescent="0.2">
      <c r="A4639" t="s">
        <v>5250</v>
      </c>
      <c r="B4639" t="s">
        <v>90</v>
      </c>
      <c r="C4639" t="s">
        <v>597</v>
      </c>
      <c r="D4639">
        <v>4687.74</v>
      </c>
      <c r="E4639" s="37" t="str">
        <f t="shared" si="360"/>
        <v>Excellent Order</v>
      </c>
      <c r="F4639">
        <v>0.04</v>
      </c>
      <c r="G4639" s="37" t="str">
        <f t="shared" si="361"/>
        <v>Normal Discount</v>
      </c>
      <c r="H4639" s="37" t="str">
        <f t="shared" si="362"/>
        <v>Low</v>
      </c>
      <c r="I4639">
        <v>2</v>
      </c>
      <c r="J4639" t="str" cm="1">
        <f t="array" ref="J4639">_xlfn.IFS(I4639&lt;=3,"small",I4639&lt;=6,"Medium",I4639&lt;=9,"Large")</f>
        <v>small</v>
      </c>
      <c r="K4639" s="36">
        <v>44967</v>
      </c>
      <c r="L4639" s="36">
        <v>44973</v>
      </c>
      <c r="M4639" t="s">
        <v>603</v>
      </c>
      <c r="N4639" t="s">
        <v>608</v>
      </c>
      <c r="O4639" s="37" t="str">
        <f t="shared" si="363"/>
        <v>Cash Payment</v>
      </c>
      <c r="P4639">
        <v>1068.4000000000001</v>
      </c>
      <c r="Q4639" s="37" t="str">
        <f>IF(P4639&gt;500,"High","low")</f>
        <v>High</v>
      </c>
      <c r="R4639" s="37" t="str">
        <f t="shared" si="364"/>
        <v>Excellent</v>
      </c>
      <c r="S4639" t="s">
        <v>605</v>
      </c>
    </row>
    <row r="4640" spans="1:19" x14ac:dyDescent="0.2">
      <c r="A4640" t="s">
        <v>5251</v>
      </c>
      <c r="B4640" t="s">
        <v>67</v>
      </c>
      <c r="C4640" t="s">
        <v>602</v>
      </c>
      <c r="D4640">
        <v>651.09</v>
      </c>
      <c r="E4640" s="37" t="str">
        <f t="shared" si="360"/>
        <v xml:space="preserve"> </v>
      </c>
      <c r="F4640">
        <v>0.43</v>
      </c>
      <c r="G4640" s="37" t="str">
        <f t="shared" si="361"/>
        <v>Heavy Discount</v>
      </c>
      <c r="H4640" s="37" t="str">
        <f t="shared" si="362"/>
        <v>High</v>
      </c>
      <c r="I4640">
        <v>8</v>
      </c>
      <c r="J4640" t="str" cm="1">
        <f t="array" ref="J4640">_xlfn.IFS(I4640&lt;=3,"small",I4640&lt;=6,"Medium",I4640&lt;=9,"Large")</f>
        <v>Large</v>
      </c>
      <c r="K4640" s="36">
        <v>45437</v>
      </c>
      <c r="L4640" s="36">
        <v>45438</v>
      </c>
      <c r="M4640" t="s">
        <v>598</v>
      </c>
      <c r="N4640" t="s">
        <v>599</v>
      </c>
      <c r="O4640" s="37" t="str">
        <f t="shared" si="363"/>
        <v>Digital Payment</v>
      </c>
      <c r="P4640">
        <v>179.78</v>
      </c>
      <c r="Q4640" s="37" t="str">
        <f>IF(P4640&gt;500,"High","low")</f>
        <v>low</v>
      </c>
      <c r="R4640" s="37" t="str">
        <f t="shared" si="364"/>
        <v>AVERAGE</v>
      </c>
      <c r="S4640" t="s">
        <v>600</v>
      </c>
    </row>
    <row r="4641" spans="1:19" x14ac:dyDescent="0.2">
      <c r="A4641" t="s">
        <v>5252</v>
      </c>
      <c r="B4641" t="s">
        <v>67</v>
      </c>
      <c r="C4641" t="s">
        <v>607</v>
      </c>
      <c r="D4641">
        <v>741.02</v>
      </c>
      <c r="E4641" s="37" t="str">
        <f t="shared" si="360"/>
        <v xml:space="preserve"> </v>
      </c>
      <c r="F4641">
        <v>0.05</v>
      </c>
      <c r="G4641" s="37" t="str">
        <f t="shared" si="361"/>
        <v>Normal Discount</v>
      </c>
      <c r="H4641" s="37" t="str">
        <f t="shared" si="362"/>
        <v>Low</v>
      </c>
      <c r="I4641">
        <v>9</v>
      </c>
      <c r="J4641" t="str" cm="1">
        <f t="array" ref="J4641">_xlfn.IFS(I4641&lt;=3,"small",I4641&lt;=6,"Medium",I4641&lt;=9,"Large")</f>
        <v>Large</v>
      </c>
      <c r="K4641" s="36">
        <v>45448</v>
      </c>
      <c r="L4641" s="36">
        <v>45452</v>
      </c>
      <c r="M4641" t="s">
        <v>603</v>
      </c>
      <c r="N4641" t="s">
        <v>608</v>
      </c>
      <c r="O4641" s="37" t="str">
        <f t="shared" si="363"/>
        <v>Cash Payment</v>
      </c>
      <c r="P4641">
        <v>91.51</v>
      </c>
      <c r="Q4641" s="37" t="str">
        <f>IF(P4641&gt;500,"High","low")</f>
        <v>low</v>
      </c>
      <c r="R4641" s="37" t="str">
        <f t="shared" si="364"/>
        <v>AVERAGE</v>
      </c>
      <c r="S4641" t="s">
        <v>620</v>
      </c>
    </row>
    <row r="4642" spans="1:19" x14ac:dyDescent="0.2">
      <c r="A4642" t="s">
        <v>5253</v>
      </c>
      <c r="B4642" t="s">
        <v>67</v>
      </c>
      <c r="C4642" t="s">
        <v>617</v>
      </c>
      <c r="D4642">
        <v>4227.8900000000003</v>
      </c>
      <c r="E4642" s="37" t="str">
        <f t="shared" si="360"/>
        <v>Excellent Order</v>
      </c>
      <c r="F4642">
        <v>0.09</v>
      </c>
      <c r="G4642" s="37" t="str">
        <f t="shared" si="361"/>
        <v>Normal Discount</v>
      </c>
      <c r="H4642" s="37" t="str">
        <f t="shared" si="362"/>
        <v>Low</v>
      </c>
      <c r="I4642">
        <v>5</v>
      </c>
      <c r="J4642" t="str" cm="1">
        <f t="array" ref="J4642">_xlfn.IFS(I4642&lt;=3,"small",I4642&lt;=6,"Medium",I4642&lt;=9,"Large")</f>
        <v>Medium</v>
      </c>
      <c r="K4642" s="36">
        <v>45619</v>
      </c>
      <c r="L4642" s="36">
        <v>45622</v>
      </c>
      <c r="M4642" t="s">
        <v>612</v>
      </c>
      <c r="N4642" t="s">
        <v>604</v>
      </c>
      <c r="O4642" s="37" t="str">
        <f t="shared" si="363"/>
        <v>Digital Payment</v>
      </c>
      <c r="P4642">
        <v>929.71</v>
      </c>
      <c r="Q4642" s="37" t="str">
        <f>IF(P4642&gt;500,"High","low")</f>
        <v>High</v>
      </c>
      <c r="R4642" s="37" t="str">
        <f t="shared" si="364"/>
        <v>Good</v>
      </c>
      <c r="S4642" t="s">
        <v>605</v>
      </c>
    </row>
    <row r="4643" spans="1:19" x14ac:dyDescent="0.2">
      <c r="A4643" t="s">
        <v>5254</v>
      </c>
      <c r="B4643" t="s">
        <v>75</v>
      </c>
      <c r="C4643" t="s">
        <v>597</v>
      </c>
      <c r="D4643">
        <v>4227.57</v>
      </c>
      <c r="E4643" s="37" t="str">
        <f t="shared" si="360"/>
        <v xml:space="preserve"> </v>
      </c>
      <c r="F4643">
        <v>0.21</v>
      </c>
      <c r="G4643" s="37" t="str">
        <f t="shared" si="361"/>
        <v>Normal Discount</v>
      </c>
      <c r="H4643" s="37" t="str">
        <f t="shared" si="362"/>
        <v>Medium</v>
      </c>
      <c r="I4643">
        <v>6</v>
      </c>
      <c r="J4643" t="str" cm="1">
        <f t="array" ref="J4643">_xlfn.IFS(I4643&lt;=3,"small",I4643&lt;=6,"Medium",I4643&lt;=9,"Large")</f>
        <v>Medium</v>
      </c>
      <c r="K4643" s="36">
        <v>45103</v>
      </c>
      <c r="L4643" s="36">
        <v>45105</v>
      </c>
      <c r="M4643" t="s">
        <v>598</v>
      </c>
      <c r="N4643" t="s">
        <v>604</v>
      </c>
      <c r="O4643" s="37" t="str">
        <f t="shared" si="363"/>
        <v>Digital Payment</v>
      </c>
      <c r="P4643">
        <v>596.69000000000005</v>
      </c>
      <c r="Q4643" s="37" t="str">
        <f>IF(P4643&gt;500,"High","low")</f>
        <v>High</v>
      </c>
      <c r="R4643" s="37" t="str">
        <f t="shared" si="364"/>
        <v>Good</v>
      </c>
      <c r="S4643" t="s">
        <v>609</v>
      </c>
    </row>
    <row r="4644" spans="1:19" x14ac:dyDescent="0.2">
      <c r="A4644" t="s">
        <v>5255</v>
      </c>
      <c r="B4644" t="s">
        <v>75</v>
      </c>
      <c r="C4644" t="s">
        <v>617</v>
      </c>
      <c r="D4644">
        <v>2409</v>
      </c>
      <c r="E4644" s="37" t="str">
        <f t="shared" si="360"/>
        <v xml:space="preserve"> </v>
      </c>
      <c r="F4644">
        <v>0.34</v>
      </c>
      <c r="G4644" s="37" t="str">
        <f t="shared" si="361"/>
        <v>Heavy Discount</v>
      </c>
      <c r="H4644" s="37" t="str">
        <f t="shared" si="362"/>
        <v>Medium</v>
      </c>
      <c r="I4644">
        <v>4</v>
      </c>
      <c r="J4644" t="str" cm="1">
        <f t="array" ref="J4644">_xlfn.IFS(I4644&lt;=3,"small",I4644&lt;=6,"Medium",I4644&lt;=9,"Large")</f>
        <v>Medium</v>
      </c>
      <c r="K4644" s="36">
        <v>45336</v>
      </c>
      <c r="L4644" s="36">
        <v>45338</v>
      </c>
      <c r="M4644" t="s">
        <v>612</v>
      </c>
      <c r="N4644" t="s">
        <v>608</v>
      </c>
      <c r="O4644" s="37" t="str">
        <f t="shared" si="363"/>
        <v>Cash Payment</v>
      </c>
      <c r="P4644">
        <v>203.26</v>
      </c>
      <c r="Q4644" s="37" t="str">
        <f>IF(P4644&gt;500,"High","low")</f>
        <v>low</v>
      </c>
      <c r="R4644" s="37" t="str">
        <f t="shared" si="364"/>
        <v>AVERAGE</v>
      </c>
      <c r="S4644" t="s">
        <v>620</v>
      </c>
    </row>
    <row r="4645" spans="1:19" x14ac:dyDescent="0.2">
      <c r="A4645" t="s">
        <v>5256</v>
      </c>
      <c r="B4645" t="s">
        <v>75</v>
      </c>
      <c r="C4645" t="s">
        <v>602</v>
      </c>
      <c r="D4645">
        <v>4823.41</v>
      </c>
      <c r="E4645" s="37" t="str">
        <f t="shared" si="360"/>
        <v>Excellent Order</v>
      </c>
      <c r="F4645">
        <v>0.06</v>
      </c>
      <c r="G4645" s="37" t="str">
        <f t="shared" si="361"/>
        <v>Normal Discount</v>
      </c>
      <c r="H4645" s="37" t="str">
        <f t="shared" si="362"/>
        <v>Low</v>
      </c>
      <c r="I4645">
        <v>2</v>
      </c>
      <c r="J4645" t="str" cm="1">
        <f t="array" ref="J4645">_xlfn.IFS(I4645&lt;=3,"small",I4645&lt;=6,"Medium",I4645&lt;=9,"Large")</f>
        <v>small</v>
      </c>
      <c r="K4645" s="36">
        <v>45034</v>
      </c>
      <c r="L4645" s="36">
        <v>45041</v>
      </c>
      <c r="M4645" t="s">
        <v>598</v>
      </c>
      <c r="N4645" t="s">
        <v>599</v>
      </c>
      <c r="O4645" s="37" t="str">
        <f t="shared" si="363"/>
        <v>Digital Payment</v>
      </c>
      <c r="P4645">
        <v>1189.02</v>
      </c>
      <c r="Q4645" s="37" t="str">
        <f>IF(P4645&gt;500,"High","low")</f>
        <v>High</v>
      </c>
      <c r="R4645" s="37" t="str">
        <f t="shared" si="364"/>
        <v>Excellent</v>
      </c>
      <c r="S4645" t="s">
        <v>615</v>
      </c>
    </row>
    <row r="4646" spans="1:19" x14ac:dyDescent="0.2">
      <c r="A4646" t="s">
        <v>5257</v>
      </c>
      <c r="B4646" t="s">
        <v>67</v>
      </c>
      <c r="C4646" t="s">
        <v>614</v>
      </c>
      <c r="D4646">
        <v>3429.01</v>
      </c>
      <c r="E4646" s="37" t="str">
        <f t="shared" si="360"/>
        <v xml:space="preserve"> </v>
      </c>
      <c r="F4646">
        <v>0.31</v>
      </c>
      <c r="G4646" s="37" t="str">
        <f t="shared" si="361"/>
        <v>Heavy Discount</v>
      </c>
      <c r="H4646" s="37" t="str">
        <f t="shared" si="362"/>
        <v>Medium</v>
      </c>
      <c r="I4646">
        <v>5</v>
      </c>
      <c r="J4646" t="str" cm="1">
        <f t="array" ref="J4646">_xlfn.IFS(I4646&lt;=3,"small",I4646&lt;=6,"Medium",I4646&lt;=9,"Large")</f>
        <v>Medium</v>
      </c>
      <c r="K4646" s="36">
        <v>45505</v>
      </c>
      <c r="L4646" s="36">
        <v>45511</v>
      </c>
      <c r="M4646" t="s">
        <v>598</v>
      </c>
      <c r="N4646" t="s">
        <v>604</v>
      </c>
      <c r="O4646" s="37" t="str">
        <f t="shared" si="363"/>
        <v>Digital Payment</v>
      </c>
      <c r="P4646">
        <v>707.36</v>
      </c>
      <c r="Q4646" s="37" t="str">
        <f>IF(P4646&gt;500,"High","low")</f>
        <v>High</v>
      </c>
      <c r="R4646" s="37" t="str">
        <f t="shared" si="364"/>
        <v>Good</v>
      </c>
      <c r="S4646" t="s">
        <v>600</v>
      </c>
    </row>
    <row r="4647" spans="1:19" x14ac:dyDescent="0.2">
      <c r="A4647" t="s">
        <v>5258</v>
      </c>
      <c r="B4647" t="s">
        <v>75</v>
      </c>
      <c r="C4647" t="s">
        <v>597</v>
      </c>
      <c r="D4647">
        <v>4915.9799999999996</v>
      </c>
      <c r="E4647" s="37" t="str">
        <f t="shared" si="360"/>
        <v>Excellent Order</v>
      </c>
      <c r="F4647">
        <v>0.39</v>
      </c>
      <c r="G4647" s="37" t="str">
        <f t="shared" si="361"/>
        <v>Heavy Discount</v>
      </c>
      <c r="H4647" s="37" t="str">
        <f t="shared" si="362"/>
        <v>Medium</v>
      </c>
      <c r="I4647">
        <v>5</v>
      </c>
      <c r="J4647" t="str" cm="1">
        <f t="array" ref="J4647">_xlfn.IFS(I4647&lt;=3,"small",I4647&lt;=6,"Medium",I4647&lt;=9,"Large")</f>
        <v>Medium</v>
      </c>
      <c r="K4647" s="36">
        <v>44962</v>
      </c>
      <c r="L4647" s="36">
        <v>44964</v>
      </c>
      <c r="M4647" t="s">
        <v>612</v>
      </c>
      <c r="N4647" t="s">
        <v>608</v>
      </c>
      <c r="O4647" s="37" t="str">
        <f t="shared" si="363"/>
        <v>Cash Payment</v>
      </c>
      <c r="P4647">
        <v>1110.04</v>
      </c>
      <c r="Q4647" s="37" t="str">
        <f>IF(P4647&gt;500,"High","low")</f>
        <v>High</v>
      </c>
      <c r="R4647" s="37" t="str">
        <f t="shared" si="364"/>
        <v>Excellent</v>
      </c>
      <c r="S4647" t="s">
        <v>600</v>
      </c>
    </row>
    <row r="4648" spans="1:19" x14ac:dyDescent="0.2">
      <c r="A4648" t="s">
        <v>5259</v>
      </c>
      <c r="B4648" t="s">
        <v>67</v>
      </c>
      <c r="C4648" t="s">
        <v>607</v>
      </c>
      <c r="D4648">
        <v>2708.74</v>
      </c>
      <c r="E4648" s="37" t="str">
        <f t="shared" si="360"/>
        <v xml:space="preserve"> </v>
      </c>
      <c r="F4648">
        <v>0.06</v>
      </c>
      <c r="G4648" s="37" t="str">
        <f t="shared" si="361"/>
        <v>Normal Discount</v>
      </c>
      <c r="H4648" s="37" t="str">
        <f t="shared" si="362"/>
        <v>Low</v>
      </c>
      <c r="I4648">
        <v>1</v>
      </c>
      <c r="J4648" t="str" cm="1">
        <f t="array" ref="J4648">_xlfn.IFS(I4648&lt;=3,"small",I4648&lt;=6,"Medium",I4648&lt;=9,"Large")</f>
        <v>small</v>
      </c>
      <c r="K4648" s="36">
        <v>45333</v>
      </c>
      <c r="L4648" s="36">
        <v>45335</v>
      </c>
      <c r="M4648" t="s">
        <v>612</v>
      </c>
      <c r="N4648" t="s">
        <v>599</v>
      </c>
      <c r="O4648" s="37" t="str">
        <f t="shared" si="363"/>
        <v>Digital Payment</v>
      </c>
      <c r="P4648">
        <v>245.77</v>
      </c>
      <c r="Q4648" s="37" t="str">
        <f>IF(P4648&gt;500,"High","low")</f>
        <v>low</v>
      </c>
      <c r="R4648" s="37" t="str">
        <f t="shared" si="364"/>
        <v>AVERAGE</v>
      </c>
      <c r="S4648" t="s">
        <v>615</v>
      </c>
    </row>
    <row r="4649" spans="1:19" x14ac:dyDescent="0.2">
      <c r="A4649" t="s">
        <v>5260</v>
      </c>
      <c r="B4649" t="s">
        <v>75</v>
      </c>
      <c r="C4649" t="s">
        <v>602</v>
      </c>
      <c r="D4649">
        <v>1087.9100000000001</v>
      </c>
      <c r="E4649" s="37" t="str">
        <f t="shared" si="360"/>
        <v xml:space="preserve"> </v>
      </c>
      <c r="F4649">
        <v>0.32</v>
      </c>
      <c r="G4649" s="37" t="str">
        <f t="shared" si="361"/>
        <v>Heavy Discount</v>
      </c>
      <c r="H4649" s="37" t="str">
        <f t="shared" si="362"/>
        <v>Medium</v>
      </c>
      <c r="I4649">
        <v>5</v>
      </c>
      <c r="J4649" t="str" cm="1">
        <f t="array" ref="J4649">_xlfn.IFS(I4649&lt;=3,"small",I4649&lt;=6,"Medium",I4649&lt;=9,"Large")</f>
        <v>Medium</v>
      </c>
      <c r="K4649" s="36">
        <v>45276</v>
      </c>
      <c r="L4649" s="36">
        <v>45283</v>
      </c>
      <c r="M4649" t="s">
        <v>603</v>
      </c>
      <c r="N4649" t="s">
        <v>599</v>
      </c>
      <c r="O4649" s="37" t="str">
        <f t="shared" si="363"/>
        <v>Digital Payment</v>
      </c>
      <c r="P4649">
        <v>229.84</v>
      </c>
      <c r="Q4649" s="37" t="str">
        <f>IF(P4649&gt;500,"High","low")</f>
        <v>low</v>
      </c>
      <c r="R4649" s="37" t="str">
        <f t="shared" si="364"/>
        <v>AVERAGE</v>
      </c>
      <c r="S4649" t="s">
        <v>609</v>
      </c>
    </row>
    <row r="4650" spans="1:19" x14ac:dyDescent="0.2">
      <c r="A4650" t="s">
        <v>5261</v>
      </c>
      <c r="B4650" t="s">
        <v>75</v>
      </c>
      <c r="C4650" t="s">
        <v>617</v>
      </c>
      <c r="D4650">
        <v>2277.5300000000002</v>
      </c>
      <c r="E4650" s="37" t="str">
        <f t="shared" si="360"/>
        <v xml:space="preserve"> </v>
      </c>
      <c r="F4650">
        <v>0.48</v>
      </c>
      <c r="G4650" s="37" t="str">
        <f t="shared" si="361"/>
        <v>Heavy Discount</v>
      </c>
      <c r="H4650" s="37" t="str">
        <f t="shared" si="362"/>
        <v>High</v>
      </c>
      <c r="I4650">
        <v>1</v>
      </c>
      <c r="J4650" t="str" cm="1">
        <f t="array" ref="J4650">_xlfn.IFS(I4650&lt;=3,"small",I4650&lt;=6,"Medium",I4650&lt;=9,"Large")</f>
        <v>small</v>
      </c>
      <c r="K4650" s="36">
        <v>45093</v>
      </c>
      <c r="L4650" s="36">
        <v>45094</v>
      </c>
      <c r="M4650" t="s">
        <v>598</v>
      </c>
      <c r="N4650" t="s">
        <v>604</v>
      </c>
      <c r="O4650" s="37" t="str">
        <f t="shared" si="363"/>
        <v>Digital Payment</v>
      </c>
      <c r="P4650">
        <v>289.99</v>
      </c>
      <c r="Q4650" s="37" t="str">
        <f>IF(P4650&gt;500,"High","low")</f>
        <v>low</v>
      </c>
      <c r="R4650" s="37" t="str">
        <f t="shared" si="364"/>
        <v>AVERAGE</v>
      </c>
      <c r="S4650" t="s">
        <v>600</v>
      </c>
    </row>
    <row r="4651" spans="1:19" x14ac:dyDescent="0.2">
      <c r="A4651" t="s">
        <v>5262</v>
      </c>
      <c r="B4651" t="s">
        <v>83</v>
      </c>
      <c r="C4651" t="s">
        <v>614</v>
      </c>
      <c r="D4651">
        <v>4904.3900000000003</v>
      </c>
      <c r="E4651" s="37" t="str">
        <f t="shared" si="360"/>
        <v xml:space="preserve"> </v>
      </c>
      <c r="F4651">
        <v>0.48</v>
      </c>
      <c r="G4651" s="37" t="str">
        <f t="shared" si="361"/>
        <v>Heavy Discount</v>
      </c>
      <c r="H4651" s="37" t="str">
        <f t="shared" si="362"/>
        <v>High</v>
      </c>
      <c r="I4651">
        <v>3</v>
      </c>
      <c r="J4651" t="str" cm="1">
        <f t="array" ref="J4651">_xlfn.IFS(I4651&lt;=3,"small",I4651&lt;=6,"Medium",I4651&lt;=9,"Large")</f>
        <v>small</v>
      </c>
      <c r="K4651" s="36">
        <v>45241</v>
      </c>
      <c r="L4651" s="36">
        <v>45242</v>
      </c>
      <c r="M4651" t="s">
        <v>612</v>
      </c>
      <c r="N4651" t="s">
        <v>599</v>
      </c>
      <c r="O4651" s="37" t="str">
        <f t="shared" si="363"/>
        <v>Digital Payment</v>
      </c>
      <c r="P4651">
        <v>553.65</v>
      </c>
      <c r="Q4651" s="37" t="str">
        <f>IF(P4651&gt;500,"High","low")</f>
        <v>High</v>
      </c>
      <c r="R4651" s="37" t="str">
        <f t="shared" si="364"/>
        <v>Good</v>
      </c>
      <c r="S4651" t="s">
        <v>620</v>
      </c>
    </row>
    <row r="4652" spans="1:19" x14ac:dyDescent="0.2">
      <c r="A4652" t="s">
        <v>5263</v>
      </c>
      <c r="B4652" t="s">
        <v>90</v>
      </c>
      <c r="C4652" t="s">
        <v>617</v>
      </c>
      <c r="D4652">
        <v>1915.03</v>
      </c>
      <c r="E4652" s="37" t="str">
        <f t="shared" si="360"/>
        <v xml:space="preserve"> </v>
      </c>
      <c r="F4652">
        <v>0.08</v>
      </c>
      <c r="G4652" s="37" t="str">
        <f t="shared" si="361"/>
        <v>Normal Discount</v>
      </c>
      <c r="H4652" s="37" t="str">
        <f t="shared" si="362"/>
        <v>Low</v>
      </c>
      <c r="I4652">
        <v>9</v>
      </c>
      <c r="J4652" t="str" cm="1">
        <f t="array" ref="J4652">_xlfn.IFS(I4652&lt;=3,"small",I4652&lt;=6,"Medium",I4652&lt;=9,"Large")</f>
        <v>Large</v>
      </c>
      <c r="K4652" s="36">
        <v>45205</v>
      </c>
      <c r="L4652" s="36">
        <v>45207</v>
      </c>
      <c r="M4652" t="s">
        <v>598</v>
      </c>
      <c r="N4652" t="s">
        <v>599</v>
      </c>
      <c r="O4652" s="37" t="str">
        <f t="shared" si="363"/>
        <v>Digital Payment</v>
      </c>
      <c r="P4652">
        <v>406.8</v>
      </c>
      <c r="Q4652" s="37" t="str">
        <f>IF(P4652&gt;500,"High","low")</f>
        <v>low</v>
      </c>
      <c r="R4652" s="37" t="str">
        <f t="shared" si="364"/>
        <v>AVERAGE</v>
      </c>
      <c r="S4652" t="s">
        <v>615</v>
      </c>
    </row>
    <row r="4653" spans="1:19" x14ac:dyDescent="0.2">
      <c r="A4653" t="s">
        <v>5264</v>
      </c>
      <c r="B4653" t="s">
        <v>67</v>
      </c>
      <c r="C4653" t="s">
        <v>607</v>
      </c>
      <c r="D4653">
        <v>4789.38</v>
      </c>
      <c r="E4653" s="37" t="str">
        <f t="shared" si="360"/>
        <v xml:space="preserve"> </v>
      </c>
      <c r="F4653">
        <v>0.38</v>
      </c>
      <c r="G4653" s="37" t="str">
        <f t="shared" si="361"/>
        <v>Heavy Discount</v>
      </c>
      <c r="H4653" s="37" t="str">
        <f t="shared" si="362"/>
        <v>Medium</v>
      </c>
      <c r="I4653">
        <v>4</v>
      </c>
      <c r="J4653" t="str" cm="1">
        <f t="array" ref="J4653">_xlfn.IFS(I4653&lt;=3,"small",I4653&lt;=6,"Medium",I4653&lt;=9,"Large")</f>
        <v>Medium</v>
      </c>
      <c r="K4653" s="36">
        <v>45538</v>
      </c>
      <c r="L4653" s="36">
        <v>45542</v>
      </c>
      <c r="M4653" t="s">
        <v>603</v>
      </c>
      <c r="N4653" t="s">
        <v>604</v>
      </c>
      <c r="O4653" s="37" t="str">
        <f t="shared" si="363"/>
        <v>Digital Payment</v>
      </c>
      <c r="P4653">
        <v>268.58</v>
      </c>
      <c r="Q4653" s="37" t="str">
        <f>IF(P4653&gt;500,"High","low")</f>
        <v>low</v>
      </c>
      <c r="R4653" s="37" t="str">
        <f t="shared" si="364"/>
        <v>AVERAGE</v>
      </c>
      <c r="S4653" t="s">
        <v>628</v>
      </c>
    </row>
    <row r="4654" spans="1:19" x14ac:dyDescent="0.2">
      <c r="A4654" t="s">
        <v>5265</v>
      </c>
      <c r="B4654" t="s">
        <v>83</v>
      </c>
      <c r="C4654" t="s">
        <v>597</v>
      </c>
      <c r="D4654">
        <v>4005.4</v>
      </c>
      <c r="E4654" s="37" t="str">
        <f t="shared" si="360"/>
        <v>Excellent Order</v>
      </c>
      <c r="F4654">
        <v>0.42</v>
      </c>
      <c r="G4654" s="37" t="str">
        <f t="shared" si="361"/>
        <v>Heavy Discount</v>
      </c>
      <c r="H4654" s="37" t="str">
        <f t="shared" si="362"/>
        <v>High</v>
      </c>
      <c r="I4654">
        <v>9</v>
      </c>
      <c r="J4654" t="str" cm="1">
        <f t="array" ref="J4654">_xlfn.IFS(I4654&lt;=3,"small",I4654&lt;=6,"Medium",I4654&lt;=9,"Large")</f>
        <v>Large</v>
      </c>
      <c r="K4654" s="36">
        <v>45266</v>
      </c>
      <c r="L4654" s="36">
        <v>45271</v>
      </c>
      <c r="M4654" t="s">
        <v>612</v>
      </c>
      <c r="N4654" t="s">
        <v>608</v>
      </c>
      <c r="O4654" s="37" t="str">
        <f t="shared" si="363"/>
        <v>Cash Payment</v>
      </c>
      <c r="P4654">
        <v>1105.75</v>
      </c>
      <c r="Q4654" s="37" t="str">
        <f>IF(P4654&gt;500,"High","low")</f>
        <v>High</v>
      </c>
      <c r="R4654" s="37" t="str">
        <f t="shared" si="364"/>
        <v>Excellent</v>
      </c>
      <c r="S4654" t="s">
        <v>628</v>
      </c>
    </row>
    <row r="4655" spans="1:19" x14ac:dyDescent="0.2">
      <c r="A4655" t="s">
        <v>5266</v>
      </c>
      <c r="B4655" t="s">
        <v>75</v>
      </c>
      <c r="C4655" t="s">
        <v>607</v>
      </c>
      <c r="D4655">
        <v>2266.3200000000002</v>
      </c>
      <c r="E4655" s="37" t="str">
        <f t="shared" si="360"/>
        <v xml:space="preserve"> </v>
      </c>
      <c r="F4655">
        <v>0.44</v>
      </c>
      <c r="G4655" s="37" t="str">
        <f t="shared" si="361"/>
        <v>Heavy Discount</v>
      </c>
      <c r="H4655" s="37" t="str">
        <f t="shared" si="362"/>
        <v>High</v>
      </c>
      <c r="I4655">
        <v>6</v>
      </c>
      <c r="J4655" t="str" cm="1">
        <f t="array" ref="J4655">_xlfn.IFS(I4655&lt;=3,"small",I4655&lt;=6,"Medium",I4655&lt;=9,"Large")</f>
        <v>Medium</v>
      </c>
      <c r="K4655" s="36">
        <v>44986</v>
      </c>
      <c r="L4655" s="36">
        <v>44989</v>
      </c>
      <c r="M4655" t="s">
        <v>603</v>
      </c>
      <c r="N4655" t="s">
        <v>608</v>
      </c>
      <c r="O4655" s="37" t="str">
        <f t="shared" si="363"/>
        <v>Cash Payment</v>
      </c>
      <c r="P4655">
        <v>205.42</v>
      </c>
      <c r="Q4655" s="37" t="str">
        <f>IF(P4655&gt;500,"High","low")</f>
        <v>low</v>
      </c>
      <c r="R4655" s="37" t="str">
        <f t="shared" si="364"/>
        <v>AVERAGE</v>
      </c>
      <c r="S4655" t="s">
        <v>609</v>
      </c>
    </row>
    <row r="4656" spans="1:19" x14ac:dyDescent="0.2">
      <c r="A4656" t="s">
        <v>5267</v>
      </c>
      <c r="B4656" t="s">
        <v>67</v>
      </c>
      <c r="C4656" t="s">
        <v>617</v>
      </c>
      <c r="D4656">
        <v>2755.17</v>
      </c>
      <c r="E4656" s="37" t="str">
        <f t="shared" si="360"/>
        <v xml:space="preserve"> </v>
      </c>
      <c r="F4656">
        <v>0.16</v>
      </c>
      <c r="G4656" s="37" t="str">
        <f t="shared" si="361"/>
        <v>Normal Discount</v>
      </c>
      <c r="H4656" s="37" t="str">
        <f t="shared" si="362"/>
        <v>Low</v>
      </c>
      <c r="I4656">
        <v>1</v>
      </c>
      <c r="J4656" t="str" cm="1">
        <f t="array" ref="J4656">_xlfn.IFS(I4656&lt;=3,"small",I4656&lt;=6,"Medium",I4656&lt;=9,"Large")</f>
        <v>small</v>
      </c>
      <c r="K4656" s="36">
        <v>45028</v>
      </c>
      <c r="L4656" s="36">
        <v>45030</v>
      </c>
      <c r="M4656" t="s">
        <v>598</v>
      </c>
      <c r="N4656" t="s">
        <v>604</v>
      </c>
      <c r="O4656" s="37" t="str">
        <f t="shared" si="363"/>
        <v>Digital Payment</v>
      </c>
      <c r="P4656">
        <v>426.54</v>
      </c>
      <c r="Q4656" s="37" t="str">
        <f>IF(P4656&gt;500,"High","low")</f>
        <v>low</v>
      </c>
      <c r="R4656" s="37" t="str">
        <f t="shared" si="364"/>
        <v>AVERAGE</v>
      </c>
      <c r="S4656" t="s">
        <v>620</v>
      </c>
    </row>
    <row r="4657" spans="1:19" x14ac:dyDescent="0.2">
      <c r="A4657" t="s">
        <v>5268</v>
      </c>
      <c r="B4657" t="s">
        <v>75</v>
      </c>
      <c r="C4657" t="s">
        <v>617</v>
      </c>
      <c r="D4657">
        <v>3076.45</v>
      </c>
      <c r="E4657" s="37" t="str">
        <f t="shared" si="360"/>
        <v xml:space="preserve"> </v>
      </c>
      <c r="F4657">
        <v>0.14000000000000001</v>
      </c>
      <c r="G4657" s="37" t="str">
        <f t="shared" si="361"/>
        <v>Normal Discount</v>
      </c>
      <c r="H4657" s="37" t="str">
        <f t="shared" si="362"/>
        <v>Low</v>
      </c>
      <c r="I4657">
        <v>3</v>
      </c>
      <c r="J4657" t="str" cm="1">
        <f t="array" ref="J4657">_xlfn.IFS(I4657&lt;=3,"small",I4657&lt;=6,"Medium",I4657&lt;=9,"Large")</f>
        <v>small</v>
      </c>
      <c r="K4657" s="36">
        <v>45599</v>
      </c>
      <c r="L4657" s="36">
        <v>45602</v>
      </c>
      <c r="M4657" t="s">
        <v>603</v>
      </c>
      <c r="N4657" t="s">
        <v>599</v>
      </c>
      <c r="O4657" s="37" t="str">
        <f t="shared" si="363"/>
        <v>Digital Payment</v>
      </c>
      <c r="P4657">
        <v>572.11</v>
      </c>
      <c r="Q4657" s="37" t="str">
        <f>IF(P4657&gt;500,"High","low")</f>
        <v>High</v>
      </c>
      <c r="R4657" s="37" t="str">
        <f t="shared" si="364"/>
        <v>Good</v>
      </c>
      <c r="S4657" t="s">
        <v>615</v>
      </c>
    </row>
    <row r="4658" spans="1:19" x14ac:dyDescent="0.2">
      <c r="A4658" t="s">
        <v>5269</v>
      </c>
      <c r="B4658" t="s">
        <v>90</v>
      </c>
      <c r="C4658" t="s">
        <v>607</v>
      </c>
      <c r="D4658">
        <v>3362.25</v>
      </c>
      <c r="E4658" s="37" t="str">
        <f t="shared" si="360"/>
        <v xml:space="preserve"> </v>
      </c>
      <c r="F4658">
        <v>0.02</v>
      </c>
      <c r="G4658" s="37" t="str">
        <f t="shared" si="361"/>
        <v>Normal Discount</v>
      </c>
      <c r="H4658" s="37" t="str">
        <f t="shared" si="362"/>
        <v>Low</v>
      </c>
      <c r="I4658">
        <v>3</v>
      </c>
      <c r="J4658" t="str" cm="1">
        <f t="array" ref="J4658">_xlfn.IFS(I4658&lt;=3,"small",I4658&lt;=6,"Medium",I4658&lt;=9,"Large")</f>
        <v>small</v>
      </c>
      <c r="K4658" s="36">
        <v>45087</v>
      </c>
      <c r="L4658" s="36">
        <v>45089</v>
      </c>
      <c r="M4658" t="s">
        <v>603</v>
      </c>
      <c r="N4658" t="s">
        <v>604</v>
      </c>
      <c r="O4658" s="37" t="str">
        <f t="shared" si="363"/>
        <v>Digital Payment</v>
      </c>
      <c r="P4658">
        <v>869.88</v>
      </c>
      <c r="Q4658" s="37" t="str">
        <f>IF(P4658&gt;500,"High","low")</f>
        <v>High</v>
      </c>
      <c r="R4658" s="37" t="str">
        <f t="shared" si="364"/>
        <v>Good</v>
      </c>
      <c r="S4658" t="s">
        <v>609</v>
      </c>
    </row>
    <row r="4659" spans="1:19" x14ac:dyDescent="0.2">
      <c r="A4659" t="s">
        <v>5270</v>
      </c>
      <c r="B4659" t="s">
        <v>83</v>
      </c>
      <c r="C4659" t="s">
        <v>607</v>
      </c>
      <c r="D4659">
        <v>475.83</v>
      </c>
      <c r="E4659" s="37" t="str">
        <f t="shared" si="360"/>
        <v xml:space="preserve"> </v>
      </c>
      <c r="F4659">
        <v>0.2</v>
      </c>
      <c r="G4659" s="37" t="str">
        <f t="shared" si="361"/>
        <v>Normal Discount</v>
      </c>
      <c r="H4659" s="37" t="str">
        <f t="shared" si="362"/>
        <v>Medium</v>
      </c>
      <c r="I4659">
        <v>4</v>
      </c>
      <c r="J4659" t="str" cm="1">
        <f t="array" ref="J4659">_xlfn.IFS(I4659&lt;=3,"small",I4659&lt;=6,"Medium",I4659&lt;=9,"Large")</f>
        <v>Medium</v>
      </c>
      <c r="K4659" s="36">
        <v>45631</v>
      </c>
      <c r="L4659" s="36">
        <v>45637</v>
      </c>
      <c r="M4659" t="s">
        <v>603</v>
      </c>
      <c r="N4659" t="s">
        <v>599</v>
      </c>
      <c r="O4659" s="37" t="str">
        <f t="shared" si="363"/>
        <v>Digital Payment</v>
      </c>
      <c r="P4659">
        <v>50.34</v>
      </c>
      <c r="Q4659" s="37" t="str">
        <f>IF(P4659&gt;500,"High","low")</f>
        <v>low</v>
      </c>
      <c r="R4659" s="37" t="str">
        <f t="shared" si="364"/>
        <v>AVERAGE</v>
      </c>
      <c r="S4659" t="s">
        <v>609</v>
      </c>
    </row>
    <row r="4660" spans="1:19" x14ac:dyDescent="0.2">
      <c r="A4660" t="s">
        <v>5271</v>
      </c>
      <c r="B4660" t="s">
        <v>90</v>
      </c>
      <c r="C4660" t="s">
        <v>607</v>
      </c>
      <c r="D4660">
        <v>4674.58</v>
      </c>
      <c r="E4660" s="37" t="str">
        <f t="shared" si="360"/>
        <v>Excellent Order</v>
      </c>
      <c r="F4660">
        <v>0.06</v>
      </c>
      <c r="G4660" s="37" t="str">
        <f t="shared" si="361"/>
        <v>Normal Discount</v>
      </c>
      <c r="H4660" s="37" t="str">
        <f t="shared" si="362"/>
        <v>Low</v>
      </c>
      <c r="I4660">
        <v>4</v>
      </c>
      <c r="J4660" t="str" cm="1">
        <f t="array" ref="J4660">_xlfn.IFS(I4660&lt;=3,"small",I4660&lt;=6,"Medium",I4660&lt;=9,"Large")</f>
        <v>Medium</v>
      </c>
      <c r="K4660" s="36">
        <v>45471</v>
      </c>
      <c r="L4660" s="36">
        <v>45477</v>
      </c>
      <c r="M4660" t="s">
        <v>603</v>
      </c>
      <c r="N4660" t="s">
        <v>604</v>
      </c>
      <c r="O4660" s="37" t="str">
        <f t="shared" si="363"/>
        <v>Digital Payment</v>
      </c>
      <c r="P4660">
        <v>1312.25</v>
      </c>
      <c r="Q4660" s="37" t="str">
        <f>IF(P4660&gt;500,"High","low")</f>
        <v>High</v>
      </c>
      <c r="R4660" s="37" t="str">
        <f t="shared" si="364"/>
        <v>Excellent</v>
      </c>
      <c r="S4660" t="s">
        <v>615</v>
      </c>
    </row>
    <row r="4661" spans="1:19" x14ac:dyDescent="0.2">
      <c r="A4661" t="s">
        <v>5272</v>
      </c>
      <c r="B4661" t="s">
        <v>83</v>
      </c>
      <c r="C4661" t="s">
        <v>614</v>
      </c>
      <c r="D4661">
        <v>3025.3</v>
      </c>
      <c r="E4661" s="37" t="str">
        <f t="shared" si="360"/>
        <v xml:space="preserve"> </v>
      </c>
      <c r="F4661">
        <v>0.39</v>
      </c>
      <c r="G4661" s="37" t="str">
        <f t="shared" si="361"/>
        <v>Heavy Discount</v>
      </c>
      <c r="H4661" s="37" t="str">
        <f t="shared" si="362"/>
        <v>Medium</v>
      </c>
      <c r="I4661">
        <v>8</v>
      </c>
      <c r="J4661" t="str" cm="1">
        <f t="array" ref="J4661">_xlfn.IFS(I4661&lt;=3,"small",I4661&lt;=6,"Medium",I4661&lt;=9,"Large")</f>
        <v>Large</v>
      </c>
      <c r="K4661" s="36">
        <v>45220</v>
      </c>
      <c r="L4661" s="36">
        <v>45224</v>
      </c>
      <c r="M4661" t="s">
        <v>598</v>
      </c>
      <c r="N4661" t="s">
        <v>604</v>
      </c>
      <c r="O4661" s="37" t="str">
        <f t="shared" si="363"/>
        <v>Digital Payment</v>
      </c>
      <c r="P4661">
        <v>375.53</v>
      </c>
      <c r="Q4661" s="37" t="str">
        <f>IF(P4661&gt;500,"High","low")</f>
        <v>low</v>
      </c>
      <c r="R4661" s="37" t="str">
        <f t="shared" si="364"/>
        <v>AVERAGE</v>
      </c>
      <c r="S4661" t="s">
        <v>605</v>
      </c>
    </row>
    <row r="4662" spans="1:19" x14ac:dyDescent="0.2">
      <c r="A4662" t="s">
        <v>5273</v>
      </c>
      <c r="B4662" t="s">
        <v>75</v>
      </c>
      <c r="C4662" t="s">
        <v>617</v>
      </c>
      <c r="D4662">
        <v>4662.63</v>
      </c>
      <c r="E4662" s="37" t="str">
        <f t="shared" si="360"/>
        <v>Excellent Order</v>
      </c>
      <c r="F4662">
        <v>7.0000000000000007E-2</v>
      </c>
      <c r="G4662" s="37" t="str">
        <f t="shared" si="361"/>
        <v>Normal Discount</v>
      </c>
      <c r="H4662" s="37" t="str">
        <f t="shared" si="362"/>
        <v>Low</v>
      </c>
      <c r="I4662">
        <v>3</v>
      </c>
      <c r="J4662" t="str" cm="1">
        <f t="array" ref="J4662">_xlfn.IFS(I4662&lt;=3,"small",I4662&lt;=6,"Medium",I4662&lt;=9,"Large")</f>
        <v>small</v>
      </c>
      <c r="K4662" s="36">
        <v>45078</v>
      </c>
      <c r="L4662" s="36">
        <v>45083</v>
      </c>
      <c r="M4662" t="s">
        <v>603</v>
      </c>
      <c r="N4662" t="s">
        <v>608</v>
      </c>
      <c r="O4662" s="37" t="str">
        <f t="shared" si="363"/>
        <v>Cash Payment</v>
      </c>
      <c r="P4662">
        <v>860.13</v>
      </c>
      <c r="Q4662" s="37" t="str">
        <f>IF(P4662&gt;500,"High","low")</f>
        <v>High</v>
      </c>
      <c r="R4662" s="37" t="str">
        <f t="shared" si="364"/>
        <v>Good</v>
      </c>
      <c r="S4662" t="s">
        <v>609</v>
      </c>
    </row>
    <row r="4663" spans="1:19" x14ac:dyDescent="0.2">
      <c r="A4663" t="s">
        <v>5274</v>
      </c>
      <c r="B4663" t="s">
        <v>90</v>
      </c>
      <c r="C4663" t="s">
        <v>602</v>
      </c>
      <c r="D4663">
        <v>3196.3</v>
      </c>
      <c r="E4663" s="37" t="str">
        <f t="shared" si="360"/>
        <v xml:space="preserve"> </v>
      </c>
      <c r="F4663">
        <v>0.41</v>
      </c>
      <c r="G4663" s="37" t="str">
        <f t="shared" si="361"/>
        <v>Heavy Discount</v>
      </c>
      <c r="H4663" s="37" t="str">
        <f t="shared" si="362"/>
        <v>High</v>
      </c>
      <c r="I4663">
        <v>4</v>
      </c>
      <c r="J4663" t="str" cm="1">
        <f t="array" ref="J4663">_xlfn.IFS(I4663&lt;=3,"small",I4663&lt;=6,"Medium",I4663&lt;=9,"Large")</f>
        <v>Medium</v>
      </c>
      <c r="K4663" s="36">
        <v>45383</v>
      </c>
      <c r="L4663" s="36">
        <v>45385</v>
      </c>
      <c r="M4663" t="s">
        <v>603</v>
      </c>
      <c r="N4663" t="s">
        <v>604</v>
      </c>
      <c r="O4663" s="37" t="str">
        <f t="shared" si="363"/>
        <v>Digital Payment</v>
      </c>
      <c r="P4663">
        <v>294.95999999999998</v>
      </c>
      <c r="Q4663" s="37" t="str">
        <f>IF(P4663&gt;500,"High","low")</f>
        <v>low</v>
      </c>
      <c r="R4663" s="37" t="str">
        <f t="shared" si="364"/>
        <v>AVERAGE</v>
      </c>
      <c r="S4663" t="s">
        <v>605</v>
      </c>
    </row>
    <row r="4664" spans="1:19" x14ac:dyDescent="0.2">
      <c r="A4664" t="s">
        <v>5275</v>
      </c>
      <c r="B4664" t="s">
        <v>90</v>
      </c>
      <c r="C4664" t="s">
        <v>614</v>
      </c>
      <c r="D4664">
        <v>2211.98</v>
      </c>
      <c r="E4664" s="37" t="str">
        <f t="shared" si="360"/>
        <v xml:space="preserve"> </v>
      </c>
      <c r="F4664">
        <v>0.05</v>
      </c>
      <c r="G4664" s="37" t="str">
        <f t="shared" si="361"/>
        <v>Normal Discount</v>
      </c>
      <c r="H4664" s="37" t="str">
        <f t="shared" si="362"/>
        <v>Low</v>
      </c>
      <c r="I4664">
        <v>3</v>
      </c>
      <c r="J4664" t="str" cm="1">
        <f t="array" ref="J4664">_xlfn.IFS(I4664&lt;=3,"small",I4664&lt;=6,"Medium",I4664&lt;=9,"Large")</f>
        <v>small</v>
      </c>
      <c r="K4664" s="36">
        <v>45277</v>
      </c>
      <c r="L4664" s="36">
        <v>45284</v>
      </c>
      <c r="M4664" t="s">
        <v>603</v>
      </c>
      <c r="N4664" t="s">
        <v>608</v>
      </c>
      <c r="O4664" s="37" t="str">
        <f t="shared" si="363"/>
        <v>Cash Payment</v>
      </c>
      <c r="P4664">
        <v>454.77</v>
      </c>
      <c r="Q4664" s="37" t="str">
        <f>IF(P4664&gt;500,"High","low")</f>
        <v>low</v>
      </c>
      <c r="R4664" s="37" t="str">
        <f t="shared" si="364"/>
        <v>AVERAGE</v>
      </c>
      <c r="S4664" t="s">
        <v>609</v>
      </c>
    </row>
    <row r="4665" spans="1:19" x14ac:dyDescent="0.2">
      <c r="A4665" t="s">
        <v>5276</v>
      </c>
      <c r="B4665" t="s">
        <v>75</v>
      </c>
      <c r="C4665" t="s">
        <v>614</v>
      </c>
      <c r="D4665">
        <v>2877.95</v>
      </c>
      <c r="E4665" s="37" t="str">
        <f t="shared" si="360"/>
        <v xml:space="preserve"> </v>
      </c>
      <c r="F4665">
        <v>0.24</v>
      </c>
      <c r="G4665" s="37" t="str">
        <f t="shared" si="361"/>
        <v>Normal Discount</v>
      </c>
      <c r="H4665" s="37" t="str">
        <f t="shared" si="362"/>
        <v>Medium</v>
      </c>
      <c r="I4665">
        <v>7</v>
      </c>
      <c r="J4665" t="str" cm="1">
        <f t="array" ref="J4665">_xlfn.IFS(I4665&lt;=3,"small",I4665&lt;=6,"Medium",I4665&lt;=9,"Large")</f>
        <v>Large</v>
      </c>
      <c r="K4665" s="36">
        <v>45653</v>
      </c>
      <c r="L4665" s="36">
        <v>45655</v>
      </c>
      <c r="M4665" t="s">
        <v>603</v>
      </c>
      <c r="N4665" t="s">
        <v>604</v>
      </c>
      <c r="O4665" s="37" t="str">
        <f t="shared" si="363"/>
        <v>Digital Payment</v>
      </c>
      <c r="P4665">
        <v>256.66000000000003</v>
      </c>
      <c r="Q4665" s="37" t="str">
        <f>IF(P4665&gt;500,"High","low")</f>
        <v>low</v>
      </c>
      <c r="R4665" s="37" t="str">
        <f t="shared" si="364"/>
        <v>AVERAGE</v>
      </c>
      <c r="S4665" t="s">
        <v>600</v>
      </c>
    </row>
    <row r="4666" spans="1:19" x14ac:dyDescent="0.2">
      <c r="A4666" t="s">
        <v>5277</v>
      </c>
      <c r="B4666" t="s">
        <v>90</v>
      </c>
      <c r="C4666" t="s">
        <v>614</v>
      </c>
      <c r="D4666">
        <v>4164.57</v>
      </c>
      <c r="E4666" s="37" t="str">
        <f t="shared" si="360"/>
        <v xml:space="preserve"> </v>
      </c>
      <c r="F4666">
        <v>0.19</v>
      </c>
      <c r="G4666" s="37" t="str">
        <f t="shared" si="361"/>
        <v>Normal Discount</v>
      </c>
      <c r="H4666" s="37" t="str">
        <f t="shared" si="362"/>
        <v>Low</v>
      </c>
      <c r="I4666">
        <v>6</v>
      </c>
      <c r="J4666" t="str" cm="1">
        <f t="array" ref="J4666">_xlfn.IFS(I4666&lt;=3,"small",I4666&lt;=6,"Medium",I4666&lt;=9,"Large")</f>
        <v>Medium</v>
      </c>
      <c r="K4666" s="36">
        <v>45392</v>
      </c>
      <c r="L4666" s="36">
        <v>45397</v>
      </c>
      <c r="M4666" t="s">
        <v>603</v>
      </c>
      <c r="N4666" t="s">
        <v>608</v>
      </c>
      <c r="O4666" s="37" t="str">
        <f t="shared" si="363"/>
        <v>Cash Payment</v>
      </c>
      <c r="P4666">
        <v>295.83999999999997</v>
      </c>
      <c r="Q4666" s="37" t="str">
        <f>IF(P4666&gt;500,"High","low")</f>
        <v>low</v>
      </c>
      <c r="R4666" s="37" t="str">
        <f t="shared" si="364"/>
        <v>AVERAGE</v>
      </c>
      <c r="S4666" t="s">
        <v>628</v>
      </c>
    </row>
    <row r="4667" spans="1:19" x14ac:dyDescent="0.2">
      <c r="A4667" t="s">
        <v>5278</v>
      </c>
      <c r="B4667" t="s">
        <v>67</v>
      </c>
      <c r="C4667" t="s">
        <v>602</v>
      </c>
      <c r="D4667">
        <v>1698.02</v>
      </c>
      <c r="E4667" s="37" t="str">
        <f t="shared" si="360"/>
        <v xml:space="preserve"> </v>
      </c>
      <c r="F4667">
        <v>0.3</v>
      </c>
      <c r="G4667" s="37" t="str">
        <f t="shared" si="361"/>
        <v>Normal Discount</v>
      </c>
      <c r="H4667" s="37" t="str">
        <f t="shared" si="362"/>
        <v>Medium</v>
      </c>
      <c r="I4667">
        <v>1</v>
      </c>
      <c r="J4667" t="str" cm="1">
        <f t="array" ref="J4667">_xlfn.IFS(I4667&lt;=3,"small",I4667&lt;=6,"Medium",I4667&lt;=9,"Large")</f>
        <v>small</v>
      </c>
      <c r="K4667" s="36">
        <v>45429</v>
      </c>
      <c r="L4667" s="36">
        <v>45431</v>
      </c>
      <c r="M4667" t="s">
        <v>603</v>
      </c>
      <c r="N4667" t="s">
        <v>599</v>
      </c>
      <c r="O4667" s="37" t="str">
        <f t="shared" si="363"/>
        <v>Digital Payment</v>
      </c>
      <c r="P4667">
        <v>293.61</v>
      </c>
      <c r="Q4667" s="37" t="str">
        <f>IF(P4667&gt;500,"High","low")</f>
        <v>low</v>
      </c>
      <c r="R4667" s="37" t="str">
        <f t="shared" si="364"/>
        <v>AVERAGE</v>
      </c>
      <c r="S4667" t="s">
        <v>605</v>
      </c>
    </row>
    <row r="4668" spans="1:19" x14ac:dyDescent="0.2">
      <c r="A4668" t="s">
        <v>5279</v>
      </c>
      <c r="B4668" t="s">
        <v>83</v>
      </c>
      <c r="C4668" t="s">
        <v>607</v>
      </c>
      <c r="D4668">
        <v>4786.6499999999996</v>
      </c>
      <c r="E4668" s="37" t="str">
        <f t="shared" si="360"/>
        <v>Excellent Order</v>
      </c>
      <c r="F4668">
        <v>0.26</v>
      </c>
      <c r="G4668" s="37" t="str">
        <f t="shared" si="361"/>
        <v>Normal Discount</v>
      </c>
      <c r="H4668" s="37" t="str">
        <f t="shared" si="362"/>
        <v>Medium</v>
      </c>
      <c r="I4668">
        <v>1</v>
      </c>
      <c r="J4668" t="str" cm="1">
        <f t="array" ref="J4668">_xlfn.IFS(I4668&lt;=3,"small",I4668&lt;=6,"Medium",I4668&lt;=9,"Large")</f>
        <v>small</v>
      </c>
      <c r="K4668" s="36">
        <v>44984</v>
      </c>
      <c r="L4668" s="36">
        <v>44985</v>
      </c>
      <c r="M4668" t="s">
        <v>598</v>
      </c>
      <c r="N4668" t="s">
        <v>599</v>
      </c>
      <c r="O4668" s="37" t="str">
        <f t="shared" si="363"/>
        <v>Digital Payment</v>
      </c>
      <c r="P4668">
        <v>1074.1099999999999</v>
      </c>
      <c r="Q4668" s="37" t="str">
        <f>IF(P4668&gt;500,"High","low")</f>
        <v>High</v>
      </c>
      <c r="R4668" s="37" t="str">
        <f t="shared" si="364"/>
        <v>Excellent</v>
      </c>
      <c r="S4668" t="s">
        <v>620</v>
      </c>
    </row>
    <row r="4669" spans="1:19" x14ac:dyDescent="0.2">
      <c r="A4669" t="s">
        <v>5280</v>
      </c>
      <c r="B4669" t="s">
        <v>83</v>
      </c>
      <c r="C4669" t="s">
        <v>617</v>
      </c>
      <c r="D4669">
        <v>2383.1799999999998</v>
      </c>
      <c r="E4669" s="37" t="str">
        <f t="shared" si="360"/>
        <v xml:space="preserve"> </v>
      </c>
      <c r="F4669">
        <v>0.3</v>
      </c>
      <c r="G4669" s="37" t="str">
        <f t="shared" si="361"/>
        <v>Normal Discount</v>
      </c>
      <c r="H4669" s="37" t="str">
        <f t="shared" si="362"/>
        <v>Medium</v>
      </c>
      <c r="I4669">
        <v>6</v>
      </c>
      <c r="J4669" t="str" cm="1">
        <f t="array" ref="J4669">_xlfn.IFS(I4669&lt;=3,"small",I4669&lt;=6,"Medium",I4669&lt;=9,"Large")</f>
        <v>Medium</v>
      </c>
      <c r="K4669" s="36">
        <v>45656</v>
      </c>
      <c r="L4669" s="36">
        <v>45660</v>
      </c>
      <c r="M4669" t="s">
        <v>603</v>
      </c>
      <c r="N4669" t="s">
        <v>599</v>
      </c>
      <c r="O4669" s="37" t="str">
        <f t="shared" si="363"/>
        <v>Digital Payment</v>
      </c>
      <c r="P4669">
        <v>230.37</v>
      </c>
      <c r="Q4669" s="37" t="str">
        <f>IF(P4669&gt;500,"High","low")</f>
        <v>low</v>
      </c>
      <c r="R4669" s="37" t="str">
        <f t="shared" si="364"/>
        <v>AVERAGE</v>
      </c>
      <c r="S4669" t="s">
        <v>605</v>
      </c>
    </row>
    <row r="4670" spans="1:19" x14ac:dyDescent="0.2">
      <c r="A4670" t="s">
        <v>5281</v>
      </c>
      <c r="B4670" t="s">
        <v>83</v>
      </c>
      <c r="C4670" t="s">
        <v>597</v>
      </c>
      <c r="D4670">
        <v>4785.5600000000004</v>
      </c>
      <c r="E4670" s="37" t="str">
        <f t="shared" si="360"/>
        <v xml:space="preserve"> </v>
      </c>
      <c r="F4670">
        <v>0</v>
      </c>
      <c r="G4670" s="37" t="str">
        <f t="shared" si="361"/>
        <v>Normal Discount</v>
      </c>
      <c r="H4670" s="37" t="str">
        <f t="shared" si="362"/>
        <v>Low</v>
      </c>
      <c r="I4670">
        <v>3</v>
      </c>
      <c r="J4670" t="str" cm="1">
        <f t="array" ref="J4670">_xlfn.IFS(I4670&lt;=3,"small",I4670&lt;=6,"Medium",I4670&lt;=9,"Large")</f>
        <v>small</v>
      </c>
      <c r="K4670" s="36">
        <v>45279</v>
      </c>
      <c r="L4670" s="36">
        <v>45280</v>
      </c>
      <c r="M4670" t="s">
        <v>598</v>
      </c>
      <c r="N4670" t="s">
        <v>604</v>
      </c>
      <c r="O4670" s="37" t="str">
        <f t="shared" si="363"/>
        <v>Digital Payment</v>
      </c>
      <c r="P4670">
        <v>304.76</v>
      </c>
      <c r="Q4670" s="37" t="str">
        <f>IF(P4670&gt;500,"High","low")</f>
        <v>low</v>
      </c>
      <c r="R4670" s="37" t="str">
        <f t="shared" si="364"/>
        <v>AVERAGE</v>
      </c>
      <c r="S4670" t="s">
        <v>628</v>
      </c>
    </row>
    <row r="4671" spans="1:19" x14ac:dyDescent="0.2">
      <c r="A4671" t="s">
        <v>5282</v>
      </c>
      <c r="B4671" t="s">
        <v>67</v>
      </c>
      <c r="C4671" t="s">
        <v>597</v>
      </c>
      <c r="D4671">
        <v>4415.71</v>
      </c>
      <c r="E4671" s="37" t="str">
        <f t="shared" si="360"/>
        <v xml:space="preserve"> </v>
      </c>
      <c r="F4671">
        <v>0.06</v>
      </c>
      <c r="G4671" s="37" t="str">
        <f t="shared" si="361"/>
        <v>Normal Discount</v>
      </c>
      <c r="H4671" s="37" t="str">
        <f t="shared" si="362"/>
        <v>Low</v>
      </c>
      <c r="I4671">
        <v>9</v>
      </c>
      <c r="J4671" t="str" cm="1">
        <f t="array" ref="J4671">_xlfn.IFS(I4671&lt;=3,"small",I4671&lt;=6,"Medium",I4671&lt;=9,"Large")</f>
        <v>Large</v>
      </c>
      <c r="K4671" s="36">
        <v>45559</v>
      </c>
      <c r="L4671" s="36">
        <v>45565</v>
      </c>
      <c r="M4671" t="s">
        <v>603</v>
      </c>
      <c r="N4671" t="s">
        <v>608</v>
      </c>
      <c r="O4671" s="37" t="str">
        <f t="shared" si="363"/>
        <v>Cash Payment</v>
      </c>
      <c r="P4671">
        <v>267.69</v>
      </c>
      <c r="Q4671" s="37" t="str">
        <f>IF(P4671&gt;500,"High","low")</f>
        <v>low</v>
      </c>
      <c r="R4671" s="37" t="str">
        <f t="shared" si="364"/>
        <v>AVERAGE</v>
      </c>
      <c r="S4671" t="s">
        <v>615</v>
      </c>
    </row>
    <row r="4672" spans="1:19" x14ac:dyDescent="0.2">
      <c r="A4672" t="s">
        <v>5283</v>
      </c>
      <c r="B4672" t="s">
        <v>83</v>
      </c>
      <c r="C4672" t="s">
        <v>617</v>
      </c>
      <c r="D4672">
        <v>3861.54</v>
      </c>
      <c r="E4672" s="37" t="str">
        <f t="shared" si="360"/>
        <v xml:space="preserve"> </v>
      </c>
      <c r="F4672">
        <v>0.26</v>
      </c>
      <c r="G4672" s="37" t="str">
        <f t="shared" si="361"/>
        <v>Normal Discount</v>
      </c>
      <c r="H4672" s="37" t="str">
        <f t="shared" si="362"/>
        <v>Medium</v>
      </c>
      <c r="I4672">
        <v>2</v>
      </c>
      <c r="J4672" t="str" cm="1">
        <f t="array" ref="J4672">_xlfn.IFS(I4672&lt;=3,"small",I4672&lt;=6,"Medium",I4672&lt;=9,"Large")</f>
        <v>small</v>
      </c>
      <c r="K4672" s="36">
        <v>45070</v>
      </c>
      <c r="L4672" s="36">
        <v>45074</v>
      </c>
      <c r="M4672" t="s">
        <v>598</v>
      </c>
      <c r="N4672" t="s">
        <v>608</v>
      </c>
      <c r="O4672" s="37" t="str">
        <f t="shared" si="363"/>
        <v>Cash Payment</v>
      </c>
      <c r="P4672">
        <v>194.49</v>
      </c>
      <c r="Q4672" s="37" t="str">
        <f>IF(P4672&gt;500,"High","low")</f>
        <v>low</v>
      </c>
      <c r="R4672" s="37" t="str">
        <f t="shared" si="364"/>
        <v>AVERAGE</v>
      </c>
      <c r="S4672" t="s">
        <v>605</v>
      </c>
    </row>
    <row r="4673" spans="1:19" x14ac:dyDescent="0.2">
      <c r="A4673" t="s">
        <v>5284</v>
      </c>
      <c r="B4673" t="s">
        <v>75</v>
      </c>
      <c r="C4673" t="s">
        <v>602</v>
      </c>
      <c r="D4673">
        <v>2390.4499999999998</v>
      </c>
      <c r="E4673" s="37" t="str">
        <f t="shared" si="360"/>
        <v xml:space="preserve"> </v>
      </c>
      <c r="F4673">
        <v>0.11</v>
      </c>
      <c r="G4673" s="37" t="str">
        <f t="shared" si="361"/>
        <v>Normal Discount</v>
      </c>
      <c r="H4673" s="37" t="str">
        <f t="shared" si="362"/>
        <v>Low</v>
      </c>
      <c r="I4673">
        <v>3</v>
      </c>
      <c r="J4673" t="str" cm="1">
        <f t="array" ref="J4673">_xlfn.IFS(I4673&lt;=3,"small",I4673&lt;=6,"Medium",I4673&lt;=9,"Large")</f>
        <v>small</v>
      </c>
      <c r="K4673" s="36">
        <v>45582</v>
      </c>
      <c r="L4673" s="36">
        <v>45583</v>
      </c>
      <c r="M4673" t="s">
        <v>612</v>
      </c>
      <c r="N4673" t="s">
        <v>604</v>
      </c>
      <c r="O4673" s="37" t="str">
        <f t="shared" si="363"/>
        <v>Digital Payment</v>
      </c>
      <c r="P4673">
        <v>259.2</v>
      </c>
      <c r="Q4673" s="37" t="str">
        <f>IF(P4673&gt;500,"High","low")</f>
        <v>low</v>
      </c>
      <c r="R4673" s="37" t="str">
        <f t="shared" si="364"/>
        <v>AVERAGE</v>
      </c>
      <c r="S4673" t="s">
        <v>628</v>
      </c>
    </row>
    <row r="4674" spans="1:19" x14ac:dyDescent="0.2">
      <c r="A4674" t="s">
        <v>5285</v>
      </c>
      <c r="B4674" t="s">
        <v>90</v>
      </c>
      <c r="C4674" t="s">
        <v>597</v>
      </c>
      <c r="D4674">
        <v>2976.03</v>
      </c>
      <c r="E4674" s="37" t="str">
        <f t="shared" si="360"/>
        <v xml:space="preserve"> </v>
      </c>
      <c r="F4674">
        <v>0.04</v>
      </c>
      <c r="G4674" s="37" t="str">
        <f t="shared" si="361"/>
        <v>Normal Discount</v>
      </c>
      <c r="H4674" s="37" t="str">
        <f t="shared" si="362"/>
        <v>Low</v>
      </c>
      <c r="I4674">
        <v>9</v>
      </c>
      <c r="J4674" t="str" cm="1">
        <f t="array" ref="J4674">_xlfn.IFS(I4674&lt;=3,"small",I4674&lt;=6,"Medium",I4674&lt;=9,"Large")</f>
        <v>Large</v>
      </c>
      <c r="K4674" s="36">
        <v>45343</v>
      </c>
      <c r="L4674" s="36">
        <v>45349</v>
      </c>
      <c r="M4674" t="s">
        <v>598</v>
      </c>
      <c r="N4674" t="s">
        <v>608</v>
      </c>
      <c r="O4674" s="37" t="str">
        <f t="shared" si="363"/>
        <v>Cash Payment</v>
      </c>
      <c r="P4674">
        <v>793.5</v>
      </c>
      <c r="Q4674" s="37" t="str">
        <f>IF(P4674&gt;500,"High","low")</f>
        <v>High</v>
      </c>
      <c r="R4674" s="37" t="str">
        <f t="shared" si="364"/>
        <v>Good</v>
      </c>
      <c r="S4674" t="s">
        <v>605</v>
      </c>
    </row>
    <row r="4675" spans="1:19" x14ac:dyDescent="0.2">
      <c r="A4675" t="s">
        <v>5286</v>
      </c>
      <c r="B4675" t="s">
        <v>67</v>
      </c>
      <c r="C4675" t="s">
        <v>614</v>
      </c>
      <c r="D4675">
        <v>4206.34</v>
      </c>
      <c r="E4675" s="37" t="str">
        <f t="shared" ref="E4675:E4738" si="365">IF(AND(D4675&gt;4000,P4675&gt;800),"Excellent Order"," ")</f>
        <v xml:space="preserve"> </v>
      </c>
      <c r="F4675">
        <v>0.11</v>
      </c>
      <c r="G4675" s="37" t="str">
        <f t="shared" ref="G4675:G4738" si="366">IF(F4675&gt;30%,"Heavy Discount","Normal Discount")</f>
        <v>Normal Discount</v>
      </c>
      <c r="H4675" s="37" t="str">
        <f t="shared" ref="H4675:H4738" si="367">IF(F4675&gt;0.4,"High",IF(F4675&gt;=0.2,"Medium","Low"))</f>
        <v>Low</v>
      </c>
      <c r="I4675">
        <v>6</v>
      </c>
      <c r="J4675" t="str" cm="1">
        <f t="array" ref="J4675">_xlfn.IFS(I4675&lt;=3,"small",I4675&lt;=6,"Medium",I4675&lt;=9,"Large")</f>
        <v>Medium</v>
      </c>
      <c r="K4675" s="36">
        <v>45221</v>
      </c>
      <c r="L4675" s="36">
        <v>45222</v>
      </c>
      <c r="M4675" t="s">
        <v>612</v>
      </c>
      <c r="N4675" t="s">
        <v>604</v>
      </c>
      <c r="O4675" s="37" t="str">
        <f t="shared" ref="O4675:O4738" si="368">IF(OR(N4675="Card",N4675="UPI"),"Digital Payment","Cash Payment")</f>
        <v>Digital Payment</v>
      </c>
      <c r="P4675">
        <v>685.74</v>
      </c>
      <c r="Q4675" s="37" t="str">
        <f>IF(P4675&gt;500,"High","low")</f>
        <v>High</v>
      </c>
      <c r="R4675" s="37" t="str">
        <f t="shared" ref="R4675:R4738" si="369">IF(P4675&gt;1000,"Excellent",IF(P4675&gt;=500,"Good","AVERAGE"))</f>
        <v>Good</v>
      </c>
      <c r="S4675" t="s">
        <v>605</v>
      </c>
    </row>
    <row r="4676" spans="1:19" x14ac:dyDescent="0.2">
      <c r="A4676" t="s">
        <v>5287</v>
      </c>
      <c r="B4676" t="s">
        <v>83</v>
      </c>
      <c r="C4676" t="s">
        <v>597</v>
      </c>
      <c r="D4676">
        <v>2765.87</v>
      </c>
      <c r="E4676" s="37" t="str">
        <f t="shared" si="365"/>
        <v xml:space="preserve"> </v>
      </c>
      <c r="F4676">
        <v>0.39</v>
      </c>
      <c r="G4676" s="37" t="str">
        <f t="shared" si="366"/>
        <v>Heavy Discount</v>
      </c>
      <c r="H4676" s="37" t="str">
        <f t="shared" si="367"/>
        <v>Medium</v>
      </c>
      <c r="I4676">
        <v>1</v>
      </c>
      <c r="J4676" t="str" cm="1">
        <f t="array" ref="J4676">_xlfn.IFS(I4676&lt;=3,"small",I4676&lt;=6,"Medium",I4676&lt;=9,"Large")</f>
        <v>small</v>
      </c>
      <c r="K4676" s="36">
        <v>45484</v>
      </c>
      <c r="L4676" s="36">
        <v>45490</v>
      </c>
      <c r="M4676" t="s">
        <v>612</v>
      </c>
      <c r="N4676" t="s">
        <v>608</v>
      </c>
      <c r="O4676" s="37" t="str">
        <f t="shared" si="368"/>
        <v>Cash Payment</v>
      </c>
      <c r="P4676">
        <v>776.64</v>
      </c>
      <c r="Q4676" s="37" t="str">
        <f>IF(P4676&gt;500,"High","low")</f>
        <v>High</v>
      </c>
      <c r="R4676" s="37" t="str">
        <f t="shared" si="369"/>
        <v>Good</v>
      </c>
      <c r="S4676" t="s">
        <v>628</v>
      </c>
    </row>
    <row r="4677" spans="1:19" x14ac:dyDescent="0.2">
      <c r="A4677" t="s">
        <v>5288</v>
      </c>
      <c r="B4677" t="s">
        <v>75</v>
      </c>
      <c r="C4677" t="s">
        <v>617</v>
      </c>
      <c r="D4677">
        <v>3717.13</v>
      </c>
      <c r="E4677" s="37" t="str">
        <f t="shared" si="365"/>
        <v xml:space="preserve"> </v>
      </c>
      <c r="F4677">
        <v>0.27</v>
      </c>
      <c r="G4677" s="37" t="str">
        <f t="shared" si="366"/>
        <v>Normal Discount</v>
      </c>
      <c r="H4677" s="37" t="str">
        <f t="shared" si="367"/>
        <v>Medium</v>
      </c>
      <c r="I4677">
        <v>2</v>
      </c>
      <c r="J4677" t="str" cm="1">
        <f t="array" ref="J4677">_xlfn.IFS(I4677&lt;=3,"small",I4677&lt;=6,"Medium",I4677&lt;=9,"Large")</f>
        <v>small</v>
      </c>
      <c r="K4677" s="36">
        <v>45421</v>
      </c>
      <c r="L4677" s="36">
        <v>45423</v>
      </c>
      <c r="M4677" t="s">
        <v>598</v>
      </c>
      <c r="N4677" t="s">
        <v>604</v>
      </c>
      <c r="O4677" s="37" t="str">
        <f t="shared" si="368"/>
        <v>Digital Payment</v>
      </c>
      <c r="P4677">
        <v>417.61</v>
      </c>
      <c r="Q4677" s="37" t="str">
        <f>IF(P4677&gt;500,"High","low")</f>
        <v>low</v>
      </c>
      <c r="R4677" s="37" t="str">
        <f t="shared" si="369"/>
        <v>AVERAGE</v>
      </c>
      <c r="S4677" t="s">
        <v>628</v>
      </c>
    </row>
    <row r="4678" spans="1:19" x14ac:dyDescent="0.2">
      <c r="A4678" t="s">
        <v>5289</v>
      </c>
      <c r="B4678" t="s">
        <v>90</v>
      </c>
      <c r="C4678" t="s">
        <v>614</v>
      </c>
      <c r="D4678">
        <v>3974.23</v>
      </c>
      <c r="E4678" s="37" t="str">
        <f t="shared" si="365"/>
        <v xml:space="preserve"> </v>
      </c>
      <c r="F4678">
        <v>0.1</v>
      </c>
      <c r="G4678" s="37" t="str">
        <f t="shared" si="366"/>
        <v>Normal Discount</v>
      </c>
      <c r="H4678" s="37" t="str">
        <f t="shared" si="367"/>
        <v>Low</v>
      </c>
      <c r="I4678">
        <v>7</v>
      </c>
      <c r="J4678" t="str" cm="1">
        <f t="array" ref="J4678">_xlfn.IFS(I4678&lt;=3,"small",I4678&lt;=6,"Medium",I4678&lt;=9,"Large")</f>
        <v>Large</v>
      </c>
      <c r="K4678" s="36">
        <v>45348</v>
      </c>
      <c r="L4678" s="36">
        <v>45352</v>
      </c>
      <c r="M4678" t="s">
        <v>612</v>
      </c>
      <c r="N4678" t="s">
        <v>608</v>
      </c>
      <c r="O4678" s="37" t="str">
        <f t="shared" si="368"/>
        <v>Cash Payment</v>
      </c>
      <c r="P4678">
        <v>1175.75</v>
      </c>
      <c r="Q4678" s="37" t="str">
        <f>IF(P4678&gt;500,"High","low")</f>
        <v>High</v>
      </c>
      <c r="R4678" s="37" t="str">
        <f t="shared" si="369"/>
        <v>Excellent</v>
      </c>
      <c r="S4678" t="s">
        <v>600</v>
      </c>
    </row>
    <row r="4679" spans="1:19" x14ac:dyDescent="0.2">
      <c r="A4679" t="s">
        <v>5290</v>
      </c>
      <c r="B4679" t="s">
        <v>90</v>
      </c>
      <c r="C4679" t="s">
        <v>597</v>
      </c>
      <c r="D4679">
        <v>2614.17</v>
      </c>
      <c r="E4679" s="37" t="str">
        <f t="shared" si="365"/>
        <v xml:space="preserve"> </v>
      </c>
      <c r="F4679">
        <v>0.01</v>
      </c>
      <c r="G4679" s="37" t="str">
        <f t="shared" si="366"/>
        <v>Normal Discount</v>
      </c>
      <c r="H4679" s="37" t="str">
        <f t="shared" si="367"/>
        <v>Low</v>
      </c>
      <c r="I4679">
        <v>6</v>
      </c>
      <c r="J4679" t="str" cm="1">
        <f t="array" ref="J4679">_xlfn.IFS(I4679&lt;=3,"small",I4679&lt;=6,"Medium",I4679&lt;=9,"Large")</f>
        <v>Medium</v>
      </c>
      <c r="K4679" s="36">
        <v>45077</v>
      </c>
      <c r="L4679" s="36">
        <v>45081</v>
      </c>
      <c r="M4679" t="s">
        <v>612</v>
      </c>
      <c r="N4679" t="s">
        <v>599</v>
      </c>
      <c r="O4679" s="37" t="str">
        <f t="shared" si="368"/>
        <v>Digital Payment</v>
      </c>
      <c r="P4679">
        <v>669.79</v>
      </c>
      <c r="Q4679" s="37" t="str">
        <f>IF(P4679&gt;500,"High","low")</f>
        <v>High</v>
      </c>
      <c r="R4679" s="37" t="str">
        <f t="shared" si="369"/>
        <v>Good</v>
      </c>
      <c r="S4679" t="s">
        <v>628</v>
      </c>
    </row>
    <row r="4680" spans="1:19" x14ac:dyDescent="0.2">
      <c r="A4680" t="s">
        <v>5291</v>
      </c>
      <c r="B4680" t="s">
        <v>67</v>
      </c>
      <c r="C4680" t="s">
        <v>617</v>
      </c>
      <c r="D4680">
        <v>2727.61</v>
      </c>
      <c r="E4680" s="37" t="str">
        <f t="shared" si="365"/>
        <v xml:space="preserve"> </v>
      </c>
      <c r="F4680">
        <v>0.18</v>
      </c>
      <c r="G4680" s="37" t="str">
        <f t="shared" si="366"/>
        <v>Normal Discount</v>
      </c>
      <c r="H4680" s="37" t="str">
        <f t="shared" si="367"/>
        <v>Low</v>
      </c>
      <c r="I4680">
        <v>1</v>
      </c>
      <c r="J4680" t="str" cm="1">
        <f t="array" ref="J4680">_xlfn.IFS(I4680&lt;=3,"small",I4680&lt;=6,"Medium",I4680&lt;=9,"Large")</f>
        <v>small</v>
      </c>
      <c r="K4680" s="36">
        <v>44952</v>
      </c>
      <c r="L4680" s="36">
        <v>44954</v>
      </c>
      <c r="M4680" t="s">
        <v>612</v>
      </c>
      <c r="N4680" t="s">
        <v>608</v>
      </c>
      <c r="O4680" s="37" t="str">
        <f t="shared" si="368"/>
        <v>Cash Payment</v>
      </c>
      <c r="P4680">
        <v>670.88</v>
      </c>
      <c r="Q4680" s="37" t="str">
        <f>IF(P4680&gt;500,"High","low")</f>
        <v>High</v>
      </c>
      <c r="R4680" s="37" t="str">
        <f t="shared" si="369"/>
        <v>Good</v>
      </c>
      <c r="S4680" t="s">
        <v>628</v>
      </c>
    </row>
    <row r="4681" spans="1:19" x14ac:dyDescent="0.2">
      <c r="A4681" t="s">
        <v>5292</v>
      </c>
      <c r="B4681" t="s">
        <v>67</v>
      </c>
      <c r="C4681" t="s">
        <v>602</v>
      </c>
      <c r="D4681">
        <v>1069.3900000000001</v>
      </c>
      <c r="E4681" s="37" t="str">
        <f t="shared" si="365"/>
        <v xml:space="preserve"> </v>
      </c>
      <c r="F4681">
        <v>0.18</v>
      </c>
      <c r="G4681" s="37" t="str">
        <f t="shared" si="366"/>
        <v>Normal Discount</v>
      </c>
      <c r="H4681" s="37" t="str">
        <f t="shared" si="367"/>
        <v>Low</v>
      </c>
      <c r="I4681">
        <v>2</v>
      </c>
      <c r="J4681" t="str" cm="1">
        <f t="array" ref="J4681">_xlfn.IFS(I4681&lt;=3,"small",I4681&lt;=6,"Medium",I4681&lt;=9,"Large")</f>
        <v>small</v>
      </c>
      <c r="K4681" s="36">
        <v>45519</v>
      </c>
      <c r="L4681" s="36">
        <v>45525</v>
      </c>
      <c r="M4681" t="s">
        <v>603</v>
      </c>
      <c r="N4681" t="s">
        <v>604</v>
      </c>
      <c r="O4681" s="37" t="str">
        <f t="shared" si="368"/>
        <v>Digital Payment</v>
      </c>
      <c r="P4681">
        <v>212.7</v>
      </c>
      <c r="Q4681" s="37" t="str">
        <f>IF(P4681&gt;500,"High","low")</f>
        <v>low</v>
      </c>
      <c r="R4681" s="37" t="str">
        <f t="shared" si="369"/>
        <v>AVERAGE</v>
      </c>
      <c r="S4681" t="s">
        <v>628</v>
      </c>
    </row>
    <row r="4682" spans="1:19" x14ac:dyDescent="0.2">
      <c r="A4682" t="s">
        <v>5293</v>
      </c>
      <c r="B4682" t="s">
        <v>67</v>
      </c>
      <c r="C4682" t="s">
        <v>617</v>
      </c>
      <c r="D4682">
        <v>1299.22</v>
      </c>
      <c r="E4682" s="37" t="str">
        <f t="shared" si="365"/>
        <v xml:space="preserve"> </v>
      </c>
      <c r="F4682">
        <v>0.37</v>
      </c>
      <c r="G4682" s="37" t="str">
        <f t="shared" si="366"/>
        <v>Heavy Discount</v>
      </c>
      <c r="H4682" s="37" t="str">
        <f t="shared" si="367"/>
        <v>Medium</v>
      </c>
      <c r="I4682">
        <v>6</v>
      </c>
      <c r="J4682" t="str" cm="1">
        <f t="array" ref="J4682">_xlfn.IFS(I4682&lt;=3,"small",I4682&lt;=6,"Medium",I4682&lt;=9,"Large")</f>
        <v>Medium</v>
      </c>
      <c r="K4682" s="36">
        <v>45540</v>
      </c>
      <c r="L4682" s="36">
        <v>45544</v>
      </c>
      <c r="M4682" t="s">
        <v>603</v>
      </c>
      <c r="N4682" t="s">
        <v>608</v>
      </c>
      <c r="O4682" s="37" t="str">
        <f t="shared" si="368"/>
        <v>Cash Payment</v>
      </c>
      <c r="P4682">
        <v>128.59</v>
      </c>
      <c r="Q4682" s="37" t="str">
        <f>IF(P4682&gt;500,"High","low")</f>
        <v>low</v>
      </c>
      <c r="R4682" s="37" t="str">
        <f t="shared" si="369"/>
        <v>AVERAGE</v>
      </c>
      <c r="S4682" t="s">
        <v>615</v>
      </c>
    </row>
    <row r="4683" spans="1:19" x14ac:dyDescent="0.2">
      <c r="A4683" t="s">
        <v>5294</v>
      </c>
      <c r="B4683" t="s">
        <v>75</v>
      </c>
      <c r="C4683" t="s">
        <v>602</v>
      </c>
      <c r="D4683">
        <v>4534.22</v>
      </c>
      <c r="E4683" s="37" t="str">
        <f t="shared" si="365"/>
        <v>Excellent Order</v>
      </c>
      <c r="F4683">
        <v>0.46</v>
      </c>
      <c r="G4683" s="37" t="str">
        <f t="shared" si="366"/>
        <v>Heavy Discount</v>
      </c>
      <c r="H4683" s="37" t="str">
        <f t="shared" si="367"/>
        <v>High</v>
      </c>
      <c r="I4683">
        <v>6</v>
      </c>
      <c r="J4683" t="str" cm="1">
        <f t="array" ref="J4683">_xlfn.IFS(I4683&lt;=3,"small",I4683&lt;=6,"Medium",I4683&lt;=9,"Large")</f>
        <v>Medium</v>
      </c>
      <c r="K4683" s="36">
        <v>45547</v>
      </c>
      <c r="L4683" s="36">
        <v>45551</v>
      </c>
      <c r="M4683" t="s">
        <v>598</v>
      </c>
      <c r="N4683" t="s">
        <v>608</v>
      </c>
      <c r="O4683" s="37" t="str">
        <f t="shared" si="368"/>
        <v>Cash Payment</v>
      </c>
      <c r="P4683">
        <v>1305.48</v>
      </c>
      <c r="Q4683" s="37" t="str">
        <f>IF(P4683&gt;500,"High","low")</f>
        <v>High</v>
      </c>
      <c r="R4683" s="37" t="str">
        <f t="shared" si="369"/>
        <v>Excellent</v>
      </c>
      <c r="S4683" t="s">
        <v>620</v>
      </c>
    </row>
    <row r="4684" spans="1:19" x14ac:dyDescent="0.2">
      <c r="A4684" t="s">
        <v>5295</v>
      </c>
      <c r="B4684" t="s">
        <v>75</v>
      </c>
      <c r="C4684" t="s">
        <v>614</v>
      </c>
      <c r="D4684">
        <v>4217.62</v>
      </c>
      <c r="E4684" s="37" t="str">
        <f t="shared" si="365"/>
        <v>Excellent Order</v>
      </c>
      <c r="F4684">
        <v>0.19</v>
      </c>
      <c r="G4684" s="37" t="str">
        <f t="shared" si="366"/>
        <v>Normal Discount</v>
      </c>
      <c r="H4684" s="37" t="str">
        <f t="shared" si="367"/>
        <v>Low</v>
      </c>
      <c r="I4684">
        <v>6</v>
      </c>
      <c r="J4684" t="str" cm="1">
        <f t="array" ref="J4684">_xlfn.IFS(I4684&lt;=3,"small",I4684&lt;=6,"Medium",I4684&lt;=9,"Large")</f>
        <v>Medium</v>
      </c>
      <c r="K4684" s="36">
        <v>45206</v>
      </c>
      <c r="L4684" s="36">
        <v>45208</v>
      </c>
      <c r="M4684" t="s">
        <v>598</v>
      </c>
      <c r="N4684" t="s">
        <v>608</v>
      </c>
      <c r="O4684" s="37" t="str">
        <f t="shared" si="368"/>
        <v>Cash Payment</v>
      </c>
      <c r="P4684">
        <v>1065.33</v>
      </c>
      <c r="Q4684" s="37" t="str">
        <f>IF(P4684&gt;500,"High","low")</f>
        <v>High</v>
      </c>
      <c r="R4684" s="37" t="str">
        <f t="shared" si="369"/>
        <v>Excellent</v>
      </c>
      <c r="S4684" t="s">
        <v>605</v>
      </c>
    </row>
    <row r="4685" spans="1:19" x14ac:dyDescent="0.2">
      <c r="A4685" t="s">
        <v>5296</v>
      </c>
      <c r="B4685" t="s">
        <v>67</v>
      </c>
      <c r="C4685" t="s">
        <v>617</v>
      </c>
      <c r="D4685">
        <v>149.6</v>
      </c>
      <c r="E4685" s="37" t="str">
        <f t="shared" si="365"/>
        <v xml:space="preserve"> </v>
      </c>
      <c r="F4685">
        <v>0.34</v>
      </c>
      <c r="G4685" s="37" t="str">
        <f t="shared" si="366"/>
        <v>Heavy Discount</v>
      </c>
      <c r="H4685" s="37" t="str">
        <f t="shared" si="367"/>
        <v>Medium</v>
      </c>
      <c r="I4685">
        <v>9</v>
      </c>
      <c r="J4685" t="str" cm="1">
        <f t="array" ref="J4685">_xlfn.IFS(I4685&lt;=3,"small",I4685&lt;=6,"Medium",I4685&lt;=9,"Large")</f>
        <v>Large</v>
      </c>
      <c r="K4685" s="36">
        <v>45565</v>
      </c>
      <c r="L4685" s="36">
        <v>45568</v>
      </c>
      <c r="M4685" t="s">
        <v>603</v>
      </c>
      <c r="N4685" t="s">
        <v>604</v>
      </c>
      <c r="O4685" s="37" t="str">
        <f t="shared" si="368"/>
        <v>Digital Payment</v>
      </c>
      <c r="P4685">
        <v>38.61</v>
      </c>
      <c r="Q4685" s="37" t="str">
        <f>IF(P4685&gt;500,"High","low")</f>
        <v>low</v>
      </c>
      <c r="R4685" s="37" t="str">
        <f t="shared" si="369"/>
        <v>AVERAGE</v>
      </c>
      <c r="S4685" t="s">
        <v>605</v>
      </c>
    </row>
    <row r="4686" spans="1:19" x14ac:dyDescent="0.2">
      <c r="A4686" t="s">
        <v>5297</v>
      </c>
      <c r="B4686" t="s">
        <v>83</v>
      </c>
      <c r="C4686" t="s">
        <v>607</v>
      </c>
      <c r="D4686">
        <v>4360</v>
      </c>
      <c r="E4686" s="37" t="str">
        <f t="shared" si="365"/>
        <v>Excellent Order</v>
      </c>
      <c r="F4686">
        <v>0.32</v>
      </c>
      <c r="G4686" s="37" t="str">
        <f t="shared" si="366"/>
        <v>Heavy Discount</v>
      </c>
      <c r="H4686" s="37" t="str">
        <f t="shared" si="367"/>
        <v>Medium</v>
      </c>
      <c r="I4686">
        <v>2</v>
      </c>
      <c r="J4686" t="str" cm="1">
        <f t="array" ref="J4686">_xlfn.IFS(I4686&lt;=3,"small",I4686&lt;=6,"Medium",I4686&lt;=9,"Large")</f>
        <v>small</v>
      </c>
      <c r="K4686" s="36">
        <v>45545</v>
      </c>
      <c r="L4686" s="36">
        <v>45550</v>
      </c>
      <c r="M4686" t="s">
        <v>598</v>
      </c>
      <c r="N4686" t="s">
        <v>604</v>
      </c>
      <c r="O4686" s="37" t="str">
        <f t="shared" si="368"/>
        <v>Digital Payment</v>
      </c>
      <c r="P4686">
        <v>1183.8800000000001</v>
      </c>
      <c r="Q4686" s="37" t="str">
        <f>IF(P4686&gt;500,"High","low")</f>
        <v>High</v>
      </c>
      <c r="R4686" s="37" t="str">
        <f t="shared" si="369"/>
        <v>Excellent</v>
      </c>
      <c r="S4686" t="s">
        <v>628</v>
      </c>
    </row>
    <row r="4687" spans="1:19" x14ac:dyDescent="0.2">
      <c r="A4687" t="s">
        <v>5298</v>
      </c>
      <c r="B4687" t="s">
        <v>90</v>
      </c>
      <c r="C4687" t="s">
        <v>607</v>
      </c>
      <c r="D4687">
        <v>223.65</v>
      </c>
      <c r="E4687" s="37" t="str">
        <f t="shared" si="365"/>
        <v xml:space="preserve"> </v>
      </c>
      <c r="F4687">
        <v>0.21</v>
      </c>
      <c r="G4687" s="37" t="str">
        <f t="shared" si="366"/>
        <v>Normal Discount</v>
      </c>
      <c r="H4687" s="37" t="str">
        <f t="shared" si="367"/>
        <v>Medium</v>
      </c>
      <c r="I4687">
        <v>9</v>
      </c>
      <c r="J4687" t="str" cm="1">
        <f t="array" ref="J4687">_xlfn.IFS(I4687&lt;=3,"small",I4687&lt;=6,"Medium",I4687&lt;=9,"Large")</f>
        <v>Large</v>
      </c>
      <c r="K4687" s="36">
        <v>45096</v>
      </c>
      <c r="L4687" s="36">
        <v>45102</v>
      </c>
      <c r="M4687" t="s">
        <v>598</v>
      </c>
      <c r="N4687" t="s">
        <v>608</v>
      </c>
      <c r="O4687" s="37" t="str">
        <f t="shared" si="368"/>
        <v>Cash Payment</v>
      </c>
      <c r="P4687">
        <v>25.6</v>
      </c>
      <c r="Q4687" s="37" t="str">
        <f>IF(P4687&gt;500,"High","low")</f>
        <v>low</v>
      </c>
      <c r="R4687" s="37" t="str">
        <f t="shared" si="369"/>
        <v>AVERAGE</v>
      </c>
      <c r="S4687" t="s">
        <v>600</v>
      </c>
    </row>
    <row r="4688" spans="1:19" x14ac:dyDescent="0.2">
      <c r="A4688" t="s">
        <v>5299</v>
      </c>
      <c r="B4688" t="s">
        <v>90</v>
      </c>
      <c r="C4688" t="s">
        <v>607</v>
      </c>
      <c r="D4688">
        <v>2345.5700000000002</v>
      </c>
      <c r="E4688" s="37" t="str">
        <f t="shared" si="365"/>
        <v xml:space="preserve"> </v>
      </c>
      <c r="F4688">
        <v>0.03</v>
      </c>
      <c r="G4688" s="37" t="str">
        <f t="shared" si="366"/>
        <v>Normal Discount</v>
      </c>
      <c r="H4688" s="37" t="str">
        <f t="shared" si="367"/>
        <v>Low</v>
      </c>
      <c r="I4688">
        <v>9</v>
      </c>
      <c r="J4688" t="str" cm="1">
        <f t="array" ref="J4688">_xlfn.IFS(I4688&lt;=3,"small",I4688&lt;=6,"Medium",I4688&lt;=9,"Large")</f>
        <v>Large</v>
      </c>
      <c r="K4688" s="36">
        <v>45052</v>
      </c>
      <c r="L4688" s="36">
        <v>45059</v>
      </c>
      <c r="M4688" t="s">
        <v>603</v>
      </c>
      <c r="N4688" t="s">
        <v>604</v>
      </c>
      <c r="O4688" s="37" t="str">
        <f t="shared" si="368"/>
        <v>Digital Payment</v>
      </c>
      <c r="P4688">
        <v>627.15</v>
      </c>
      <c r="Q4688" s="37" t="str">
        <f>IF(P4688&gt;500,"High","low")</f>
        <v>High</v>
      </c>
      <c r="R4688" s="37" t="str">
        <f t="shared" si="369"/>
        <v>Good</v>
      </c>
      <c r="S4688" t="s">
        <v>615</v>
      </c>
    </row>
    <row r="4689" spans="1:19" x14ac:dyDescent="0.2">
      <c r="A4689" t="s">
        <v>5300</v>
      </c>
      <c r="B4689" t="s">
        <v>75</v>
      </c>
      <c r="C4689" t="s">
        <v>607</v>
      </c>
      <c r="D4689">
        <v>430.42</v>
      </c>
      <c r="E4689" s="37" t="str">
        <f t="shared" si="365"/>
        <v xml:space="preserve"> </v>
      </c>
      <c r="F4689">
        <v>0.24</v>
      </c>
      <c r="G4689" s="37" t="str">
        <f t="shared" si="366"/>
        <v>Normal Discount</v>
      </c>
      <c r="H4689" s="37" t="str">
        <f t="shared" si="367"/>
        <v>Medium</v>
      </c>
      <c r="I4689">
        <v>9</v>
      </c>
      <c r="J4689" t="str" cm="1">
        <f t="array" ref="J4689">_xlfn.IFS(I4689&lt;=3,"small",I4689&lt;=6,"Medium",I4689&lt;=9,"Large")</f>
        <v>Large</v>
      </c>
      <c r="K4689" s="36">
        <v>45465</v>
      </c>
      <c r="L4689" s="36">
        <v>45471</v>
      </c>
      <c r="M4689" t="s">
        <v>603</v>
      </c>
      <c r="N4689" t="s">
        <v>604</v>
      </c>
      <c r="O4689" s="37" t="str">
        <f t="shared" si="368"/>
        <v>Digital Payment</v>
      </c>
      <c r="P4689">
        <v>74.28</v>
      </c>
      <c r="Q4689" s="37" t="str">
        <f>IF(P4689&gt;500,"High","low")</f>
        <v>low</v>
      </c>
      <c r="R4689" s="37" t="str">
        <f t="shared" si="369"/>
        <v>AVERAGE</v>
      </c>
      <c r="S4689" t="s">
        <v>609</v>
      </c>
    </row>
    <row r="4690" spans="1:19" x14ac:dyDescent="0.2">
      <c r="A4690" t="s">
        <v>5301</v>
      </c>
      <c r="B4690" t="s">
        <v>90</v>
      </c>
      <c r="C4690" t="s">
        <v>607</v>
      </c>
      <c r="D4690">
        <v>4847.2299999999996</v>
      </c>
      <c r="E4690" s="37" t="str">
        <f t="shared" si="365"/>
        <v>Excellent Order</v>
      </c>
      <c r="F4690">
        <v>0.18</v>
      </c>
      <c r="G4690" s="37" t="str">
        <f t="shared" si="366"/>
        <v>Normal Discount</v>
      </c>
      <c r="H4690" s="37" t="str">
        <f t="shared" si="367"/>
        <v>Low</v>
      </c>
      <c r="I4690">
        <v>9</v>
      </c>
      <c r="J4690" t="str" cm="1">
        <f t="array" ref="J4690">_xlfn.IFS(I4690&lt;=3,"small",I4690&lt;=6,"Medium",I4690&lt;=9,"Large")</f>
        <v>Large</v>
      </c>
      <c r="K4690" s="36">
        <v>45056</v>
      </c>
      <c r="L4690" s="36">
        <v>45057</v>
      </c>
      <c r="M4690" t="s">
        <v>603</v>
      </c>
      <c r="N4690" t="s">
        <v>599</v>
      </c>
      <c r="O4690" s="37" t="str">
        <f t="shared" si="368"/>
        <v>Digital Payment</v>
      </c>
      <c r="P4690">
        <v>1034.08</v>
      </c>
      <c r="Q4690" s="37" t="str">
        <f>IF(P4690&gt;500,"High","low")</f>
        <v>High</v>
      </c>
      <c r="R4690" s="37" t="str">
        <f t="shared" si="369"/>
        <v>Excellent</v>
      </c>
      <c r="S4690" t="s">
        <v>609</v>
      </c>
    </row>
    <row r="4691" spans="1:19" x14ac:dyDescent="0.2">
      <c r="A4691" t="s">
        <v>5302</v>
      </c>
      <c r="B4691" t="s">
        <v>83</v>
      </c>
      <c r="C4691" t="s">
        <v>602</v>
      </c>
      <c r="D4691">
        <v>4864.3599999999997</v>
      </c>
      <c r="E4691" s="37" t="str">
        <f t="shared" si="365"/>
        <v>Excellent Order</v>
      </c>
      <c r="F4691">
        <v>0.28000000000000003</v>
      </c>
      <c r="G4691" s="37" t="str">
        <f t="shared" si="366"/>
        <v>Normal Discount</v>
      </c>
      <c r="H4691" s="37" t="str">
        <f t="shared" si="367"/>
        <v>Medium</v>
      </c>
      <c r="I4691">
        <v>3</v>
      </c>
      <c r="J4691" t="str" cm="1">
        <f t="array" ref="J4691">_xlfn.IFS(I4691&lt;=3,"small",I4691&lt;=6,"Medium",I4691&lt;=9,"Large")</f>
        <v>small</v>
      </c>
      <c r="K4691" s="36">
        <v>45554</v>
      </c>
      <c r="L4691" s="36">
        <v>45558</v>
      </c>
      <c r="M4691" t="s">
        <v>603</v>
      </c>
      <c r="N4691" t="s">
        <v>608</v>
      </c>
      <c r="O4691" s="37" t="str">
        <f t="shared" si="368"/>
        <v>Cash Payment</v>
      </c>
      <c r="P4691">
        <v>1411.6</v>
      </c>
      <c r="Q4691" s="37" t="str">
        <f>IF(P4691&gt;500,"High","low")</f>
        <v>High</v>
      </c>
      <c r="R4691" s="37" t="str">
        <f t="shared" si="369"/>
        <v>Excellent</v>
      </c>
      <c r="S4691" t="s">
        <v>600</v>
      </c>
    </row>
    <row r="4692" spans="1:19" x14ac:dyDescent="0.2">
      <c r="A4692" t="s">
        <v>5303</v>
      </c>
      <c r="B4692" t="s">
        <v>90</v>
      </c>
      <c r="C4692" t="s">
        <v>617</v>
      </c>
      <c r="D4692">
        <v>3093.27</v>
      </c>
      <c r="E4692" s="37" t="str">
        <f t="shared" si="365"/>
        <v xml:space="preserve"> </v>
      </c>
      <c r="F4692">
        <v>0.06</v>
      </c>
      <c r="G4692" s="37" t="str">
        <f t="shared" si="366"/>
        <v>Normal Discount</v>
      </c>
      <c r="H4692" s="37" t="str">
        <f t="shared" si="367"/>
        <v>Low</v>
      </c>
      <c r="I4692">
        <v>9</v>
      </c>
      <c r="J4692" t="str" cm="1">
        <f t="array" ref="J4692">_xlfn.IFS(I4692&lt;=3,"small",I4692&lt;=6,"Medium",I4692&lt;=9,"Large")</f>
        <v>Large</v>
      </c>
      <c r="K4692" s="36">
        <v>45062</v>
      </c>
      <c r="L4692" s="36">
        <v>45069</v>
      </c>
      <c r="M4692" t="s">
        <v>612</v>
      </c>
      <c r="N4692" t="s">
        <v>599</v>
      </c>
      <c r="O4692" s="37" t="str">
        <f t="shared" si="368"/>
        <v>Digital Payment</v>
      </c>
      <c r="P4692">
        <v>849.61</v>
      </c>
      <c r="Q4692" s="37" t="str">
        <f>IF(P4692&gt;500,"High","low")</f>
        <v>High</v>
      </c>
      <c r="R4692" s="37" t="str">
        <f t="shared" si="369"/>
        <v>Good</v>
      </c>
      <c r="S4692" t="s">
        <v>615</v>
      </c>
    </row>
    <row r="4693" spans="1:19" x14ac:dyDescent="0.2">
      <c r="A4693" t="s">
        <v>5304</v>
      </c>
      <c r="B4693" t="s">
        <v>75</v>
      </c>
      <c r="C4693" t="s">
        <v>614</v>
      </c>
      <c r="D4693">
        <v>2021.8</v>
      </c>
      <c r="E4693" s="37" t="str">
        <f t="shared" si="365"/>
        <v xml:space="preserve"> </v>
      </c>
      <c r="F4693">
        <v>0.36</v>
      </c>
      <c r="G4693" s="37" t="str">
        <f t="shared" si="366"/>
        <v>Heavy Discount</v>
      </c>
      <c r="H4693" s="37" t="str">
        <f t="shared" si="367"/>
        <v>Medium</v>
      </c>
      <c r="I4693">
        <v>9</v>
      </c>
      <c r="J4693" t="str" cm="1">
        <f t="array" ref="J4693">_xlfn.IFS(I4693&lt;=3,"small",I4693&lt;=6,"Medium",I4693&lt;=9,"Large")</f>
        <v>Large</v>
      </c>
      <c r="K4693" s="36">
        <v>45307</v>
      </c>
      <c r="L4693" s="36">
        <v>45314</v>
      </c>
      <c r="M4693" t="s">
        <v>603</v>
      </c>
      <c r="N4693" t="s">
        <v>604</v>
      </c>
      <c r="O4693" s="37" t="str">
        <f t="shared" si="368"/>
        <v>Digital Payment</v>
      </c>
      <c r="P4693">
        <v>227.29</v>
      </c>
      <c r="Q4693" s="37" t="str">
        <f>IF(P4693&gt;500,"High","low")</f>
        <v>low</v>
      </c>
      <c r="R4693" s="37" t="str">
        <f t="shared" si="369"/>
        <v>AVERAGE</v>
      </c>
      <c r="S4693" t="s">
        <v>609</v>
      </c>
    </row>
    <row r="4694" spans="1:19" x14ac:dyDescent="0.2">
      <c r="A4694" t="s">
        <v>5305</v>
      </c>
      <c r="B4694" t="s">
        <v>75</v>
      </c>
      <c r="C4694" t="s">
        <v>607</v>
      </c>
      <c r="D4694">
        <v>2608.7600000000002</v>
      </c>
      <c r="E4694" s="37" t="str">
        <f t="shared" si="365"/>
        <v xml:space="preserve"> </v>
      </c>
      <c r="F4694">
        <v>0.39</v>
      </c>
      <c r="G4694" s="37" t="str">
        <f t="shared" si="366"/>
        <v>Heavy Discount</v>
      </c>
      <c r="H4694" s="37" t="str">
        <f t="shared" si="367"/>
        <v>Medium</v>
      </c>
      <c r="I4694">
        <v>3</v>
      </c>
      <c r="J4694" t="str" cm="1">
        <f t="array" ref="J4694">_xlfn.IFS(I4694&lt;=3,"small",I4694&lt;=6,"Medium",I4694&lt;=9,"Large")</f>
        <v>small</v>
      </c>
      <c r="K4694" s="36">
        <v>45607</v>
      </c>
      <c r="L4694" s="36">
        <v>45612</v>
      </c>
      <c r="M4694" t="s">
        <v>603</v>
      </c>
      <c r="N4694" t="s">
        <v>608</v>
      </c>
      <c r="O4694" s="37" t="str">
        <f t="shared" si="368"/>
        <v>Cash Payment</v>
      </c>
      <c r="P4694">
        <v>609</v>
      </c>
      <c r="Q4694" s="37" t="str">
        <f>IF(P4694&gt;500,"High","low")</f>
        <v>High</v>
      </c>
      <c r="R4694" s="37" t="str">
        <f t="shared" si="369"/>
        <v>Good</v>
      </c>
      <c r="S4694" t="s">
        <v>620</v>
      </c>
    </row>
    <row r="4695" spans="1:19" x14ac:dyDescent="0.2">
      <c r="A4695" t="s">
        <v>5306</v>
      </c>
      <c r="B4695" t="s">
        <v>83</v>
      </c>
      <c r="C4695" t="s">
        <v>607</v>
      </c>
      <c r="D4695">
        <v>3835.27</v>
      </c>
      <c r="E4695" s="37" t="str">
        <f t="shared" si="365"/>
        <v xml:space="preserve"> </v>
      </c>
      <c r="F4695">
        <v>0.19</v>
      </c>
      <c r="G4695" s="37" t="str">
        <f t="shared" si="366"/>
        <v>Normal Discount</v>
      </c>
      <c r="H4695" s="37" t="str">
        <f t="shared" si="367"/>
        <v>Low</v>
      </c>
      <c r="I4695">
        <v>4</v>
      </c>
      <c r="J4695" t="str" cm="1">
        <f t="array" ref="J4695">_xlfn.IFS(I4695&lt;=3,"small",I4695&lt;=6,"Medium",I4695&lt;=9,"Large")</f>
        <v>Medium</v>
      </c>
      <c r="K4695" s="36">
        <v>45067</v>
      </c>
      <c r="L4695" s="36">
        <v>45069</v>
      </c>
      <c r="M4695" t="s">
        <v>603</v>
      </c>
      <c r="N4695" t="s">
        <v>604</v>
      </c>
      <c r="O4695" s="37" t="str">
        <f t="shared" si="368"/>
        <v>Digital Payment</v>
      </c>
      <c r="P4695">
        <v>987.01</v>
      </c>
      <c r="Q4695" s="37" t="str">
        <f>IF(P4695&gt;500,"High","low")</f>
        <v>High</v>
      </c>
      <c r="R4695" s="37" t="str">
        <f t="shared" si="369"/>
        <v>Good</v>
      </c>
      <c r="S4695" t="s">
        <v>615</v>
      </c>
    </row>
    <row r="4696" spans="1:19" x14ac:dyDescent="0.2">
      <c r="A4696" t="s">
        <v>5307</v>
      </c>
      <c r="B4696" t="s">
        <v>83</v>
      </c>
      <c r="C4696" t="s">
        <v>614</v>
      </c>
      <c r="D4696">
        <v>1193.6500000000001</v>
      </c>
      <c r="E4696" s="37" t="str">
        <f t="shared" si="365"/>
        <v xml:space="preserve"> </v>
      </c>
      <c r="F4696">
        <v>0.09</v>
      </c>
      <c r="G4696" s="37" t="str">
        <f t="shared" si="366"/>
        <v>Normal Discount</v>
      </c>
      <c r="H4696" s="37" t="str">
        <f t="shared" si="367"/>
        <v>Low</v>
      </c>
      <c r="I4696">
        <v>4</v>
      </c>
      <c r="J4696" t="str" cm="1">
        <f t="array" ref="J4696">_xlfn.IFS(I4696&lt;=3,"small",I4696&lt;=6,"Medium",I4696&lt;=9,"Large")</f>
        <v>Medium</v>
      </c>
      <c r="K4696" s="36">
        <v>45017</v>
      </c>
      <c r="L4696" s="36">
        <v>45021</v>
      </c>
      <c r="M4696" t="s">
        <v>603</v>
      </c>
      <c r="N4696" t="s">
        <v>599</v>
      </c>
      <c r="O4696" s="37" t="str">
        <f t="shared" si="368"/>
        <v>Digital Payment</v>
      </c>
      <c r="P4696">
        <v>191.39</v>
      </c>
      <c r="Q4696" s="37" t="str">
        <f>IF(P4696&gt;500,"High","low")</f>
        <v>low</v>
      </c>
      <c r="R4696" s="37" t="str">
        <f t="shared" si="369"/>
        <v>AVERAGE</v>
      </c>
      <c r="S4696" t="s">
        <v>605</v>
      </c>
    </row>
    <row r="4697" spans="1:19" x14ac:dyDescent="0.2">
      <c r="A4697" t="s">
        <v>5308</v>
      </c>
      <c r="B4697" t="s">
        <v>90</v>
      </c>
      <c r="C4697" t="s">
        <v>614</v>
      </c>
      <c r="D4697">
        <v>2264.44</v>
      </c>
      <c r="E4697" s="37" t="str">
        <f t="shared" si="365"/>
        <v xml:space="preserve"> </v>
      </c>
      <c r="F4697">
        <v>0.31</v>
      </c>
      <c r="G4697" s="37" t="str">
        <f t="shared" si="366"/>
        <v>Heavy Discount</v>
      </c>
      <c r="H4697" s="37" t="str">
        <f t="shared" si="367"/>
        <v>Medium</v>
      </c>
      <c r="I4697">
        <v>4</v>
      </c>
      <c r="J4697" t="str" cm="1">
        <f t="array" ref="J4697">_xlfn.IFS(I4697&lt;=3,"small",I4697&lt;=6,"Medium",I4697&lt;=9,"Large")</f>
        <v>Medium</v>
      </c>
      <c r="K4697" s="36">
        <v>45588</v>
      </c>
      <c r="L4697" s="36">
        <v>45595</v>
      </c>
      <c r="M4697" t="s">
        <v>603</v>
      </c>
      <c r="N4697" t="s">
        <v>599</v>
      </c>
      <c r="O4697" s="37" t="str">
        <f t="shared" si="368"/>
        <v>Digital Payment</v>
      </c>
      <c r="P4697">
        <v>173.77</v>
      </c>
      <c r="Q4697" s="37" t="str">
        <f>IF(P4697&gt;500,"High","low")</f>
        <v>low</v>
      </c>
      <c r="R4697" s="37" t="str">
        <f t="shared" si="369"/>
        <v>AVERAGE</v>
      </c>
      <c r="S4697" t="s">
        <v>628</v>
      </c>
    </row>
    <row r="4698" spans="1:19" x14ac:dyDescent="0.2">
      <c r="A4698" t="s">
        <v>5309</v>
      </c>
      <c r="B4698" t="s">
        <v>90</v>
      </c>
      <c r="C4698" t="s">
        <v>607</v>
      </c>
      <c r="D4698">
        <v>3712.62</v>
      </c>
      <c r="E4698" s="37" t="str">
        <f t="shared" si="365"/>
        <v xml:space="preserve"> </v>
      </c>
      <c r="F4698">
        <v>0.48</v>
      </c>
      <c r="G4698" s="37" t="str">
        <f t="shared" si="366"/>
        <v>Heavy Discount</v>
      </c>
      <c r="H4698" s="37" t="str">
        <f t="shared" si="367"/>
        <v>High</v>
      </c>
      <c r="I4698">
        <v>7</v>
      </c>
      <c r="J4698" t="str" cm="1">
        <f t="array" ref="J4698">_xlfn.IFS(I4698&lt;=3,"small",I4698&lt;=6,"Medium",I4698&lt;=9,"Large")</f>
        <v>Large</v>
      </c>
      <c r="K4698" s="36">
        <v>44973</v>
      </c>
      <c r="L4698" s="36">
        <v>44980</v>
      </c>
      <c r="M4698" t="s">
        <v>612</v>
      </c>
      <c r="N4698" t="s">
        <v>599</v>
      </c>
      <c r="O4698" s="37" t="str">
        <f t="shared" si="368"/>
        <v>Digital Payment</v>
      </c>
      <c r="P4698">
        <v>477.22</v>
      </c>
      <c r="Q4698" s="37" t="str">
        <f>IF(P4698&gt;500,"High","low")</f>
        <v>low</v>
      </c>
      <c r="R4698" s="37" t="str">
        <f t="shared" si="369"/>
        <v>AVERAGE</v>
      </c>
      <c r="S4698" t="s">
        <v>620</v>
      </c>
    </row>
    <row r="4699" spans="1:19" x14ac:dyDescent="0.2">
      <c r="A4699" t="s">
        <v>5310</v>
      </c>
      <c r="B4699" t="s">
        <v>75</v>
      </c>
      <c r="C4699" t="s">
        <v>602</v>
      </c>
      <c r="D4699">
        <v>2037.42</v>
      </c>
      <c r="E4699" s="37" t="str">
        <f t="shared" si="365"/>
        <v xml:space="preserve"> </v>
      </c>
      <c r="F4699">
        <v>0.35</v>
      </c>
      <c r="G4699" s="37" t="str">
        <f t="shared" si="366"/>
        <v>Heavy Discount</v>
      </c>
      <c r="H4699" s="37" t="str">
        <f t="shared" si="367"/>
        <v>Medium</v>
      </c>
      <c r="I4699">
        <v>5</v>
      </c>
      <c r="J4699" t="str" cm="1">
        <f t="array" ref="J4699">_xlfn.IFS(I4699&lt;=3,"small",I4699&lt;=6,"Medium",I4699&lt;=9,"Large")</f>
        <v>Medium</v>
      </c>
      <c r="K4699" s="36">
        <v>45229</v>
      </c>
      <c r="L4699" s="36">
        <v>45236</v>
      </c>
      <c r="M4699" t="s">
        <v>603</v>
      </c>
      <c r="N4699" t="s">
        <v>604</v>
      </c>
      <c r="O4699" s="37" t="str">
        <f t="shared" si="368"/>
        <v>Digital Payment</v>
      </c>
      <c r="P4699">
        <v>475.83</v>
      </c>
      <c r="Q4699" s="37" t="str">
        <f>IF(P4699&gt;500,"High","low")</f>
        <v>low</v>
      </c>
      <c r="R4699" s="37" t="str">
        <f t="shared" si="369"/>
        <v>AVERAGE</v>
      </c>
      <c r="S4699" t="s">
        <v>605</v>
      </c>
    </row>
    <row r="4700" spans="1:19" x14ac:dyDescent="0.2">
      <c r="A4700" t="s">
        <v>5311</v>
      </c>
      <c r="B4700" t="s">
        <v>83</v>
      </c>
      <c r="C4700" t="s">
        <v>614</v>
      </c>
      <c r="D4700">
        <v>256.77999999999997</v>
      </c>
      <c r="E4700" s="37" t="str">
        <f t="shared" si="365"/>
        <v xml:space="preserve"> </v>
      </c>
      <c r="F4700">
        <v>0.06</v>
      </c>
      <c r="G4700" s="37" t="str">
        <f t="shared" si="366"/>
        <v>Normal Discount</v>
      </c>
      <c r="H4700" s="37" t="str">
        <f t="shared" si="367"/>
        <v>Low</v>
      </c>
      <c r="I4700">
        <v>7</v>
      </c>
      <c r="J4700" t="str" cm="1">
        <f t="array" ref="J4700">_xlfn.IFS(I4700&lt;=3,"small",I4700&lt;=6,"Medium",I4700&lt;=9,"Large")</f>
        <v>Large</v>
      </c>
      <c r="K4700" s="36">
        <v>45503</v>
      </c>
      <c r="L4700" s="36">
        <v>45508</v>
      </c>
      <c r="M4700" t="s">
        <v>612</v>
      </c>
      <c r="N4700" t="s">
        <v>608</v>
      </c>
      <c r="O4700" s="37" t="str">
        <f t="shared" si="368"/>
        <v>Cash Payment</v>
      </c>
      <c r="P4700">
        <v>50.53</v>
      </c>
      <c r="Q4700" s="37" t="str">
        <f>IF(P4700&gt;500,"High","low")</f>
        <v>low</v>
      </c>
      <c r="R4700" s="37" t="str">
        <f t="shared" si="369"/>
        <v>AVERAGE</v>
      </c>
      <c r="S4700" t="s">
        <v>620</v>
      </c>
    </row>
    <row r="4701" spans="1:19" x14ac:dyDescent="0.2">
      <c r="A4701" t="s">
        <v>5312</v>
      </c>
      <c r="B4701" t="s">
        <v>83</v>
      </c>
      <c r="C4701" t="s">
        <v>617</v>
      </c>
      <c r="D4701">
        <v>2586.23</v>
      </c>
      <c r="E4701" s="37" t="str">
        <f t="shared" si="365"/>
        <v xml:space="preserve"> </v>
      </c>
      <c r="F4701">
        <v>0.2</v>
      </c>
      <c r="G4701" s="37" t="str">
        <f t="shared" si="366"/>
        <v>Normal Discount</v>
      </c>
      <c r="H4701" s="37" t="str">
        <f t="shared" si="367"/>
        <v>Medium</v>
      </c>
      <c r="I4701">
        <v>6</v>
      </c>
      <c r="J4701" t="str" cm="1">
        <f t="array" ref="J4701">_xlfn.IFS(I4701&lt;=3,"small",I4701&lt;=6,"Medium",I4701&lt;=9,"Large")</f>
        <v>Medium</v>
      </c>
      <c r="K4701" s="36">
        <v>45123</v>
      </c>
      <c r="L4701" s="36">
        <v>45129</v>
      </c>
      <c r="M4701" t="s">
        <v>612</v>
      </c>
      <c r="N4701" t="s">
        <v>608</v>
      </c>
      <c r="O4701" s="37" t="str">
        <f t="shared" si="368"/>
        <v>Cash Payment</v>
      </c>
      <c r="P4701">
        <v>628.19000000000005</v>
      </c>
      <c r="Q4701" s="37" t="str">
        <f>IF(P4701&gt;500,"High","low")</f>
        <v>High</v>
      </c>
      <c r="R4701" s="37" t="str">
        <f t="shared" si="369"/>
        <v>Good</v>
      </c>
      <c r="S4701" t="s">
        <v>620</v>
      </c>
    </row>
    <row r="4702" spans="1:19" x14ac:dyDescent="0.2">
      <c r="A4702" t="s">
        <v>5313</v>
      </c>
      <c r="B4702" t="s">
        <v>83</v>
      </c>
      <c r="C4702" t="s">
        <v>617</v>
      </c>
      <c r="D4702">
        <v>3713.31</v>
      </c>
      <c r="E4702" s="37" t="str">
        <f t="shared" si="365"/>
        <v xml:space="preserve"> </v>
      </c>
      <c r="F4702">
        <v>0.46</v>
      </c>
      <c r="G4702" s="37" t="str">
        <f t="shared" si="366"/>
        <v>Heavy Discount</v>
      </c>
      <c r="H4702" s="37" t="str">
        <f t="shared" si="367"/>
        <v>High</v>
      </c>
      <c r="I4702">
        <v>7</v>
      </c>
      <c r="J4702" t="str" cm="1">
        <f t="array" ref="J4702">_xlfn.IFS(I4702&lt;=3,"small",I4702&lt;=6,"Medium",I4702&lt;=9,"Large")</f>
        <v>Large</v>
      </c>
      <c r="K4702" s="36">
        <v>45339</v>
      </c>
      <c r="L4702" s="36">
        <v>45345</v>
      </c>
      <c r="M4702" t="s">
        <v>612</v>
      </c>
      <c r="N4702" t="s">
        <v>599</v>
      </c>
      <c r="O4702" s="37" t="str">
        <f t="shared" si="368"/>
        <v>Digital Payment</v>
      </c>
      <c r="P4702">
        <v>1017.95</v>
      </c>
      <c r="Q4702" s="37" t="str">
        <f>IF(P4702&gt;500,"High","low")</f>
        <v>High</v>
      </c>
      <c r="R4702" s="37" t="str">
        <f t="shared" si="369"/>
        <v>Excellent</v>
      </c>
      <c r="S4702" t="s">
        <v>600</v>
      </c>
    </row>
    <row r="4703" spans="1:19" x14ac:dyDescent="0.2">
      <c r="A4703" t="s">
        <v>5314</v>
      </c>
      <c r="B4703" t="s">
        <v>90</v>
      </c>
      <c r="C4703" t="s">
        <v>602</v>
      </c>
      <c r="D4703">
        <v>4886.3999999999996</v>
      </c>
      <c r="E4703" s="37" t="str">
        <f t="shared" si="365"/>
        <v xml:space="preserve"> </v>
      </c>
      <c r="F4703">
        <v>0.32</v>
      </c>
      <c r="G4703" s="37" t="str">
        <f t="shared" si="366"/>
        <v>Heavy Discount</v>
      </c>
      <c r="H4703" s="37" t="str">
        <f t="shared" si="367"/>
        <v>Medium</v>
      </c>
      <c r="I4703">
        <v>8</v>
      </c>
      <c r="J4703" t="str" cm="1">
        <f t="array" ref="J4703">_xlfn.IFS(I4703&lt;=3,"small",I4703&lt;=6,"Medium",I4703&lt;=9,"Large")</f>
        <v>Large</v>
      </c>
      <c r="K4703" s="36">
        <v>45261</v>
      </c>
      <c r="L4703" s="36">
        <v>45262</v>
      </c>
      <c r="M4703" t="s">
        <v>598</v>
      </c>
      <c r="N4703" t="s">
        <v>608</v>
      </c>
      <c r="O4703" s="37" t="str">
        <f t="shared" si="368"/>
        <v>Cash Payment</v>
      </c>
      <c r="P4703">
        <v>642.54999999999995</v>
      </c>
      <c r="Q4703" s="37" t="str">
        <f>IF(P4703&gt;500,"High","low")</f>
        <v>High</v>
      </c>
      <c r="R4703" s="37" t="str">
        <f t="shared" si="369"/>
        <v>Good</v>
      </c>
      <c r="S4703" t="s">
        <v>600</v>
      </c>
    </row>
    <row r="4704" spans="1:19" x14ac:dyDescent="0.2">
      <c r="A4704" t="s">
        <v>5315</v>
      </c>
      <c r="B4704" t="s">
        <v>83</v>
      </c>
      <c r="C4704" t="s">
        <v>597</v>
      </c>
      <c r="D4704">
        <v>281.52999999999997</v>
      </c>
      <c r="E4704" s="37" t="str">
        <f t="shared" si="365"/>
        <v xml:space="preserve"> </v>
      </c>
      <c r="F4704">
        <v>7.0000000000000007E-2</v>
      </c>
      <c r="G4704" s="37" t="str">
        <f t="shared" si="366"/>
        <v>Normal Discount</v>
      </c>
      <c r="H4704" s="37" t="str">
        <f t="shared" si="367"/>
        <v>Low</v>
      </c>
      <c r="I4704">
        <v>6</v>
      </c>
      <c r="J4704" t="str" cm="1">
        <f t="array" ref="J4704">_xlfn.IFS(I4704&lt;=3,"small",I4704&lt;=6,"Medium",I4704&lt;=9,"Large")</f>
        <v>Medium</v>
      </c>
      <c r="K4704" s="36">
        <v>45300</v>
      </c>
      <c r="L4704" s="36">
        <v>45306</v>
      </c>
      <c r="M4704" t="s">
        <v>612</v>
      </c>
      <c r="N4704" t="s">
        <v>608</v>
      </c>
      <c r="O4704" s="37" t="str">
        <f t="shared" si="368"/>
        <v>Cash Payment</v>
      </c>
      <c r="P4704">
        <v>62.5</v>
      </c>
      <c r="Q4704" s="37" t="str">
        <f>IF(P4704&gt;500,"High","low")</f>
        <v>low</v>
      </c>
      <c r="R4704" s="37" t="str">
        <f t="shared" si="369"/>
        <v>AVERAGE</v>
      </c>
      <c r="S4704" t="s">
        <v>609</v>
      </c>
    </row>
    <row r="4705" spans="1:19" x14ac:dyDescent="0.2">
      <c r="A4705" t="s">
        <v>5316</v>
      </c>
      <c r="B4705" t="s">
        <v>75</v>
      </c>
      <c r="C4705" t="s">
        <v>602</v>
      </c>
      <c r="D4705">
        <v>2745.61</v>
      </c>
      <c r="E4705" s="37" t="str">
        <f t="shared" si="365"/>
        <v xml:space="preserve"> </v>
      </c>
      <c r="F4705">
        <v>0.36</v>
      </c>
      <c r="G4705" s="37" t="str">
        <f t="shared" si="366"/>
        <v>Heavy Discount</v>
      </c>
      <c r="H4705" s="37" t="str">
        <f t="shared" si="367"/>
        <v>Medium</v>
      </c>
      <c r="I4705">
        <v>9</v>
      </c>
      <c r="J4705" t="str" cm="1">
        <f t="array" ref="J4705">_xlfn.IFS(I4705&lt;=3,"small",I4705&lt;=6,"Medium",I4705&lt;=9,"Large")</f>
        <v>Large</v>
      </c>
      <c r="K4705" s="36">
        <v>45228</v>
      </c>
      <c r="L4705" s="36">
        <v>45233</v>
      </c>
      <c r="M4705" t="s">
        <v>603</v>
      </c>
      <c r="N4705" t="s">
        <v>599</v>
      </c>
      <c r="O4705" s="37" t="str">
        <f t="shared" si="368"/>
        <v>Digital Payment</v>
      </c>
      <c r="P4705">
        <v>203.8</v>
      </c>
      <c r="Q4705" s="37" t="str">
        <f>IF(P4705&gt;500,"High","low")</f>
        <v>low</v>
      </c>
      <c r="R4705" s="37" t="str">
        <f t="shared" si="369"/>
        <v>AVERAGE</v>
      </c>
      <c r="S4705" t="s">
        <v>605</v>
      </c>
    </row>
    <row r="4706" spans="1:19" x14ac:dyDescent="0.2">
      <c r="A4706" t="s">
        <v>5317</v>
      </c>
      <c r="B4706" t="s">
        <v>75</v>
      </c>
      <c r="C4706" t="s">
        <v>607</v>
      </c>
      <c r="D4706">
        <v>2304.6999999999998</v>
      </c>
      <c r="E4706" s="37" t="str">
        <f t="shared" si="365"/>
        <v xml:space="preserve"> </v>
      </c>
      <c r="F4706">
        <v>0.18</v>
      </c>
      <c r="G4706" s="37" t="str">
        <f t="shared" si="366"/>
        <v>Normal Discount</v>
      </c>
      <c r="H4706" s="37" t="str">
        <f t="shared" si="367"/>
        <v>Low</v>
      </c>
      <c r="I4706">
        <v>4</v>
      </c>
      <c r="J4706" t="str" cm="1">
        <f t="array" ref="J4706">_xlfn.IFS(I4706&lt;=3,"small",I4706&lt;=6,"Medium",I4706&lt;=9,"Large")</f>
        <v>Medium</v>
      </c>
      <c r="K4706" s="36">
        <v>45188</v>
      </c>
      <c r="L4706" s="36">
        <v>45195</v>
      </c>
      <c r="M4706" t="s">
        <v>603</v>
      </c>
      <c r="N4706" t="s">
        <v>608</v>
      </c>
      <c r="O4706" s="37" t="str">
        <f t="shared" si="368"/>
        <v>Cash Payment</v>
      </c>
      <c r="P4706">
        <v>498.11</v>
      </c>
      <c r="Q4706" s="37" t="str">
        <f>IF(P4706&gt;500,"High","low")</f>
        <v>low</v>
      </c>
      <c r="R4706" s="37" t="str">
        <f t="shared" si="369"/>
        <v>AVERAGE</v>
      </c>
      <c r="S4706" t="s">
        <v>609</v>
      </c>
    </row>
    <row r="4707" spans="1:19" x14ac:dyDescent="0.2">
      <c r="A4707" t="s">
        <v>5318</v>
      </c>
      <c r="B4707" t="s">
        <v>90</v>
      </c>
      <c r="C4707" t="s">
        <v>597</v>
      </c>
      <c r="D4707">
        <v>1288</v>
      </c>
      <c r="E4707" s="37" t="str">
        <f t="shared" si="365"/>
        <v xml:space="preserve"> </v>
      </c>
      <c r="F4707">
        <v>0.24</v>
      </c>
      <c r="G4707" s="37" t="str">
        <f t="shared" si="366"/>
        <v>Normal Discount</v>
      </c>
      <c r="H4707" s="37" t="str">
        <f t="shared" si="367"/>
        <v>Medium</v>
      </c>
      <c r="I4707">
        <v>5</v>
      </c>
      <c r="J4707" t="str" cm="1">
        <f t="array" ref="J4707">_xlfn.IFS(I4707&lt;=3,"small",I4707&lt;=6,"Medium",I4707&lt;=9,"Large")</f>
        <v>Medium</v>
      </c>
      <c r="K4707" s="36">
        <v>45525</v>
      </c>
      <c r="L4707" s="36">
        <v>45528</v>
      </c>
      <c r="M4707" t="s">
        <v>598</v>
      </c>
      <c r="N4707" t="s">
        <v>599</v>
      </c>
      <c r="O4707" s="37" t="str">
        <f t="shared" si="368"/>
        <v>Digital Payment</v>
      </c>
      <c r="P4707">
        <v>75.91</v>
      </c>
      <c r="Q4707" s="37" t="str">
        <f>IF(P4707&gt;500,"High","low")</f>
        <v>low</v>
      </c>
      <c r="R4707" s="37" t="str">
        <f t="shared" si="369"/>
        <v>AVERAGE</v>
      </c>
      <c r="S4707" t="s">
        <v>609</v>
      </c>
    </row>
    <row r="4708" spans="1:19" x14ac:dyDescent="0.2">
      <c r="A4708" t="s">
        <v>5319</v>
      </c>
      <c r="B4708" t="s">
        <v>67</v>
      </c>
      <c r="C4708" t="s">
        <v>607</v>
      </c>
      <c r="D4708">
        <v>3225.04</v>
      </c>
      <c r="E4708" s="37" t="str">
        <f t="shared" si="365"/>
        <v xml:space="preserve"> </v>
      </c>
      <c r="F4708">
        <v>0.21</v>
      </c>
      <c r="G4708" s="37" t="str">
        <f t="shared" si="366"/>
        <v>Normal Discount</v>
      </c>
      <c r="H4708" s="37" t="str">
        <f t="shared" si="367"/>
        <v>Medium</v>
      </c>
      <c r="I4708">
        <v>9</v>
      </c>
      <c r="J4708" t="str" cm="1">
        <f t="array" ref="J4708">_xlfn.IFS(I4708&lt;=3,"small",I4708&lt;=6,"Medium",I4708&lt;=9,"Large")</f>
        <v>Large</v>
      </c>
      <c r="K4708" s="36">
        <v>45490</v>
      </c>
      <c r="L4708" s="36">
        <v>45494</v>
      </c>
      <c r="M4708" t="s">
        <v>603</v>
      </c>
      <c r="N4708" t="s">
        <v>604</v>
      </c>
      <c r="O4708" s="37" t="str">
        <f t="shared" si="368"/>
        <v>Digital Payment</v>
      </c>
      <c r="P4708">
        <v>364.43</v>
      </c>
      <c r="Q4708" s="37" t="str">
        <f>IF(P4708&gt;500,"High","low")</f>
        <v>low</v>
      </c>
      <c r="R4708" s="37" t="str">
        <f t="shared" si="369"/>
        <v>AVERAGE</v>
      </c>
      <c r="S4708" t="s">
        <v>600</v>
      </c>
    </row>
    <row r="4709" spans="1:19" x14ac:dyDescent="0.2">
      <c r="A4709" t="s">
        <v>5320</v>
      </c>
      <c r="B4709" t="s">
        <v>90</v>
      </c>
      <c r="C4709" t="s">
        <v>617</v>
      </c>
      <c r="D4709">
        <v>901.75</v>
      </c>
      <c r="E4709" s="37" t="str">
        <f t="shared" si="365"/>
        <v xml:space="preserve"> </v>
      </c>
      <c r="F4709">
        <v>0.36</v>
      </c>
      <c r="G4709" s="37" t="str">
        <f t="shared" si="366"/>
        <v>Heavy Discount</v>
      </c>
      <c r="H4709" s="37" t="str">
        <f t="shared" si="367"/>
        <v>Medium</v>
      </c>
      <c r="I4709">
        <v>9</v>
      </c>
      <c r="J4709" t="str" cm="1">
        <f t="array" ref="J4709">_xlfn.IFS(I4709&lt;=3,"small",I4709&lt;=6,"Medium",I4709&lt;=9,"Large")</f>
        <v>Large</v>
      </c>
      <c r="K4709" s="36">
        <v>44931</v>
      </c>
      <c r="L4709" s="36">
        <v>44938</v>
      </c>
      <c r="M4709" t="s">
        <v>612</v>
      </c>
      <c r="N4709" t="s">
        <v>604</v>
      </c>
      <c r="O4709" s="37" t="str">
        <f t="shared" si="368"/>
        <v>Digital Payment</v>
      </c>
      <c r="P4709">
        <v>146.12</v>
      </c>
      <c r="Q4709" s="37" t="str">
        <f>IF(P4709&gt;500,"High","low")</f>
        <v>low</v>
      </c>
      <c r="R4709" s="37" t="str">
        <f t="shared" si="369"/>
        <v>AVERAGE</v>
      </c>
      <c r="S4709" t="s">
        <v>615</v>
      </c>
    </row>
    <row r="4710" spans="1:19" x14ac:dyDescent="0.2">
      <c r="A4710" t="s">
        <v>5321</v>
      </c>
      <c r="B4710" t="s">
        <v>67</v>
      </c>
      <c r="C4710" t="s">
        <v>614</v>
      </c>
      <c r="D4710">
        <v>1490.94</v>
      </c>
      <c r="E4710" s="37" t="str">
        <f t="shared" si="365"/>
        <v xml:space="preserve"> </v>
      </c>
      <c r="F4710">
        <v>0.11</v>
      </c>
      <c r="G4710" s="37" t="str">
        <f t="shared" si="366"/>
        <v>Normal Discount</v>
      </c>
      <c r="H4710" s="37" t="str">
        <f t="shared" si="367"/>
        <v>Low</v>
      </c>
      <c r="I4710">
        <v>2</v>
      </c>
      <c r="J4710" t="str" cm="1">
        <f t="array" ref="J4710">_xlfn.IFS(I4710&lt;=3,"small",I4710&lt;=6,"Medium",I4710&lt;=9,"Large")</f>
        <v>small</v>
      </c>
      <c r="K4710" s="36">
        <v>45652</v>
      </c>
      <c r="L4710" s="36">
        <v>45653</v>
      </c>
      <c r="M4710" t="s">
        <v>612</v>
      </c>
      <c r="N4710" t="s">
        <v>604</v>
      </c>
      <c r="O4710" s="37" t="str">
        <f t="shared" si="368"/>
        <v>Digital Payment</v>
      </c>
      <c r="P4710">
        <v>389.58</v>
      </c>
      <c r="Q4710" s="37" t="str">
        <f>IF(P4710&gt;500,"High","low")</f>
        <v>low</v>
      </c>
      <c r="R4710" s="37" t="str">
        <f t="shared" si="369"/>
        <v>AVERAGE</v>
      </c>
      <c r="S4710" t="s">
        <v>628</v>
      </c>
    </row>
    <row r="4711" spans="1:19" x14ac:dyDescent="0.2">
      <c r="A4711" t="s">
        <v>5322</v>
      </c>
      <c r="B4711" t="s">
        <v>83</v>
      </c>
      <c r="C4711" t="s">
        <v>607</v>
      </c>
      <c r="D4711">
        <v>3930.61</v>
      </c>
      <c r="E4711" s="37" t="str">
        <f t="shared" si="365"/>
        <v xml:space="preserve"> </v>
      </c>
      <c r="F4711">
        <v>0.19</v>
      </c>
      <c r="G4711" s="37" t="str">
        <f t="shared" si="366"/>
        <v>Normal Discount</v>
      </c>
      <c r="H4711" s="37" t="str">
        <f t="shared" si="367"/>
        <v>Low</v>
      </c>
      <c r="I4711">
        <v>2</v>
      </c>
      <c r="J4711" t="str" cm="1">
        <f t="array" ref="J4711">_xlfn.IFS(I4711&lt;=3,"small",I4711&lt;=6,"Medium",I4711&lt;=9,"Large")</f>
        <v>small</v>
      </c>
      <c r="K4711" s="36">
        <v>45479</v>
      </c>
      <c r="L4711" s="36">
        <v>45480</v>
      </c>
      <c r="M4711" t="s">
        <v>612</v>
      </c>
      <c r="N4711" t="s">
        <v>599</v>
      </c>
      <c r="O4711" s="37" t="str">
        <f t="shared" si="368"/>
        <v>Digital Payment</v>
      </c>
      <c r="P4711">
        <v>342.55</v>
      </c>
      <c r="Q4711" s="37" t="str">
        <f>IF(P4711&gt;500,"High","low")</f>
        <v>low</v>
      </c>
      <c r="R4711" s="37" t="str">
        <f t="shared" si="369"/>
        <v>AVERAGE</v>
      </c>
      <c r="S4711" t="s">
        <v>628</v>
      </c>
    </row>
    <row r="4712" spans="1:19" x14ac:dyDescent="0.2">
      <c r="A4712" t="s">
        <v>5323</v>
      </c>
      <c r="B4712" t="s">
        <v>90</v>
      </c>
      <c r="C4712" t="s">
        <v>617</v>
      </c>
      <c r="D4712">
        <v>2356.02</v>
      </c>
      <c r="E4712" s="37" t="str">
        <f t="shared" si="365"/>
        <v xml:space="preserve"> </v>
      </c>
      <c r="F4712">
        <v>0.37</v>
      </c>
      <c r="G4712" s="37" t="str">
        <f t="shared" si="366"/>
        <v>Heavy Discount</v>
      </c>
      <c r="H4712" s="37" t="str">
        <f t="shared" si="367"/>
        <v>Medium</v>
      </c>
      <c r="I4712">
        <v>9</v>
      </c>
      <c r="J4712" t="str" cm="1">
        <f t="array" ref="J4712">_xlfn.IFS(I4712&lt;=3,"small",I4712&lt;=6,"Medium",I4712&lt;=9,"Large")</f>
        <v>Large</v>
      </c>
      <c r="K4712" s="36">
        <v>45330</v>
      </c>
      <c r="L4712" s="36">
        <v>45337</v>
      </c>
      <c r="M4712" t="s">
        <v>612</v>
      </c>
      <c r="N4712" t="s">
        <v>608</v>
      </c>
      <c r="O4712" s="37" t="str">
        <f t="shared" si="368"/>
        <v>Cash Payment</v>
      </c>
      <c r="P4712">
        <v>577.16</v>
      </c>
      <c r="Q4712" s="37" t="str">
        <f>IF(P4712&gt;500,"High","low")</f>
        <v>High</v>
      </c>
      <c r="R4712" s="37" t="str">
        <f t="shared" si="369"/>
        <v>Good</v>
      </c>
      <c r="S4712" t="s">
        <v>615</v>
      </c>
    </row>
    <row r="4713" spans="1:19" x14ac:dyDescent="0.2">
      <c r="A4713" t="s">
        <v>5324</v>
      </c>
      <c r="B4713" t="s">
        <v>75</v>
      </c>
      <c r="C4713" t="s">
        <v>602</v>
      </c>
      <c r="D4713">
        <v>4968.99</v>
      </c>
      <c r="E4713" s="37" t="str">
        <f t="shared" si="365"/>
        <v>Excellent Order</v>
      </c>
      <c r="F4713">
        <v>0.35</v>
      </c>
      <c r="G4713" s="37" t="str">
        <f t="shared" si="366"/>
        <v>Heavy Discount</v>
      </c>
      <c r="H4713" s="37" t="str">
        <f t="shared" si="367"/>
        <v>Medium</v>
      </c>
      <c r="I4713">
        <v>6</v>
      </c>
      <c r="J4713" t="str" cm="1">
        <f t="array" ref="J4713">_xlfn.IFS(I4713&lt;=3,"small",I4713&lt;=6,"Medium",I4713&lt;=9,"Large")</f>
        <v>Medium</v>
      </c>
      <c r="K4713" s="36">
        <v>45605</v>
      </c>
      <c r="L4713" s="36">
        <v>45606</v>
      </c>
      <c r="M4713" t="s">
        <v>598</v>
      </c>
      <c r="N4713" t="s">
        <v>599</v>
      </c>
      <c r="O4713" s="37" t="str">
        <f t="shared" si="368"/>
        <v>Digital Payment</v>
      </c>
      <c r="P4713">
        <v>949.8</v>
      </c>
      <c r="Q4713" s="37" t="str">
        <f>IF(P4713&gt;500,"High","low")</f>
        <v>High</v>
      </c>
      <c r="R4713" s="37" t="str">
        <f t="shared" si="369"/>
        <v>Good</v>
      </c>
      <c r="S4713" t="s">
        <v>600</v>
      </c>
    </row>
    <row r="4714" spans="1:19" x14ac:dyDescent="0.2">
      <c r="A4714" t="s">
        <v>5325</v>
      </c>
      <c r="B4714" t="s">
        <v>83</v>
      </c>
      <c r="C4714" t="s">
        <v>607</v>
      </c>
      <c r="D4714">
        <v>1993.66</v>
      </c>
      <c r="E4714" s="37" t="str">
        <f t="shared" si="365"/>
        <v xml:space="preserve"> </v>
      </c>
      <c r="F4714">
        <v>0.1</v>
      </c>
      <c r="G4714" s="37" t="str">
        <f t="shared" si="366"/>
        <v>Normal Discount</v>
      </c>
      <c r="H4714" s="37" t="str">
        <f t="shared" si="367"/>
        <v>Low</v>
      </c>
      <c r="I4714">
        <v>8</v>
      </c>
      <c r="J4714" t="str" cm="1">
        <f t="array" ref="J4714">_xlfn.IFS(I4714&lt;=3,"small",I4714&lt;=6,"Medium",I4714&lt;=9,"Large")</f>
        <v>Large</v>
      </c>
      <c r="K4714" s="36">
        <v>44956</v>
      </c>
      <c r="L4714" s="36">
        <v>44963</v>
      </c>
      <c r="M4714" t="s">
        <v>612</v>
      </c>
      <c r="N4714" t="s">
        <v>604</v>
      </c>
      <c r="O4714" s="37" t="str">
        <f t="shared" si="368"/>
        <v>Digital Payment</v>
      </c>
      <c r="P4714">
        <v>327.51</v>
      </c>
      <c r="Q4714" s="37" t="str">
        <f>IF(P4714&gt;500,"High","low")</f>
        <v>low</v>
      </c>
      <c r="R4714" s="37" t="str">
        <f t="shared" si="369"/>
        <v>AVERAGE</v>
      </c>
      <c r="S4714" t="s">
        <v>628</v>
      </c>
    </row>
    <row r="4715" spans="1:19" x14ac:dyDescent="0.2">
      <c r="A4715" t="s">
        <v>5326</v>
      </c>
      <c r="B4715" t="s">
        <v>75</v>
      </c>
      <c r="C4715" t="s">
        <v>617</v>
      </c>
      <c r="D4715">
        <v>2369.98</v>
      </c>
      <c r="E4715" s="37" t="str">
        <f t="shared" si="365"/>
        <v xml:space="preserve"> </v>
      </c>
      <c r="F4715">
        <v>0.18</v>
      </c>
      <c r="G4715" s="37" t="str">
        <f t="shared" si="366"/>
        <v>Normal Discount</v>
      </c>
      <c r="H4715" s="37" t="str">
        <f t="shared" si="367"/>
        <v>Low</v>
      </c>
      <c r="I4715">
        <v>8</v>
      </c>
      <c r="J4715" t="str" cm="1">
        <f t="array" ref="J4715">_xlfn.IFS(I4715&lt;=3,"small",I4715&lt;=6,"Medium",I4715&lt;=9,"Large")</f>
        <v>Large</v>
      </c>
      <c r="K4715" s="36">
        <v>45486</v>
      </c>
      <c r="L4715" s="36">
        <v>45489</v>
      </c>
      <c r="M4715" t="s">
        <v>603</v>
      </c>
      <c r="N4715" t="s">
        <v>608</v>
      </c>
      <c r="O4715" s="37" t="str">
        <f t="shared" si="368"/>
        <v>Cash Payment</v>
      </c>
      <c r="P4715">
        <v>499.02</v>
      </c>
      <c r="Q4715" s="37" t="str">
        <f>IF(P4715&gt;500,"High","low")</f>
        <v>low</v>
      </c>
      <c r="R4715" s="37" t="str">
        <f t="shared" si="369"/>
        <v>AVERAGE</v>
      </c>
      <c r="S4715" t="s">
        <v>620</v>
      </c>
    </row>
    <row r="4716" spans="1:19" x14ac:dyDescent="0.2">
      <c r="A4716" t="s">
        <v>5327</v>
      </c>
      <c r="B4716" t="s">
        <v>83</v>
      </c>
      <c r="C4716" t="s">
        <v>614</v>
      </c>
      <c r="D4716">
        <v>1571.26</v>
      </c>
      <c r="E4716" s="37" t="str">
        <f t="shared" si="365"/>
        <v xml:space="preserve"> </v>
      </c>
      <c r="F4716">
        <v>0.01</v>
      </c>
      <c r="G4716" s="37" t="str">
        <f t="shared" si="366"/>
        <v>Normal Discount</v>
      </c>
      <c r="H4716" s="37" t="str">
        <f t="shared" si="367"/>
        <v>Low</v>
      </c>
      <c r="I4716">
        <v>8</v>
      </c>
      <c r="J4716" t="str" cm="1">
        <f t="array" ref="J4716">_xlfn.IFS(I4716&lt;=3,"small",I4716&lt;=6,"Medium",I4716&lt;=9,"Large")</f>
        <v>Large</v>
      </c>
      <c r="K4716" s="36">
        <v>45647</v>
      </c>
      <c r="L4716" s="36">
        <v>45652</v>
      </c>
      <c r="M4716" t="s">
        <v>603</v>
      </c>
      <c r="N4716" t="s">
        <v>608</v>
      </c>
      <c r="O4716" s="37" t="str">
        <f t="shared" si="368"/>
        <v>Cash Payment</v>
      </c>
      <c r="P4716">
        <v>213.93</v>
      </c>
      <c r="Q4716" s="37" t="str">
        <f>IF(P4716&gt;500,"High","low")</f>
        <v>low</v>
      </c>
      <c r="R4716" s="37" t="str">
        <f t="shared" si="369"/>
        <v>AVERAGE</v>
      </c>
      <c r="S4716" t="s">
        <v>620</v>
      </c>
    </row>
    <row r="4717" spans="1:19" x14ac:dyDescent="0.2">
      <c r="A4717" t="s">
        <v>5328</v>
      </c>
      <c r="B4717" t="s">
        <v>90</v>
      </c>
      <c r="C4717" t="s">
        <v>607</v>
      </c>
      <c r="D4717">
        <v>1257.8399999999999</v>
      </c>
      <c r="E4717" s="37" t="str">
        <f t="shared" si="365"/>
        <v xml:space="preserve"> </v>
      </c>
      <c r="F4717">
        <v>0.27</v>
      </c>
      <c r="G4717" s="37" t="str">
        <f t="shared" si="366"/>
        <v>Normal Discount</v>
      </c>
      <c r="H4717" s="37" t="str">
        <f t="shared" si="367"/>
        <v>Medium</v>
      </c>
      <c r="I4717">
        <v>5</v>
      </c>
      <c r="J4717" t="str" cm="1">
        <f t="array" ref="J4717">_xlfn.IFS(I4717&lt;=3,"small",I4717&lt;=6,"Medium",I4717&lt;=9,"Large")</f>
        <v>Medium</v>
      </c>
      <c r="K4717" s="36">
        <v>45626</v>
      </c>
      <c r="L4717" s="36">
        <v>45627</v>
      </c>
      <c r="M4717" t="s">
        <v>612</v>
      </c>
      <c r="N4717" t="s">
        <v>608</v>
      </c>
      <c r="O4717" s="37" t="str">
        <f t="shared" si="368"/>
        <v>Cash Payment</v>
      </c>
      <c r="P4717">
        <v>375.65</v>
      </c>
      <c r="Q4717" s="37" t="str">
        <f>IF(P4717&gt;500,"High","low")</f>
        <v>low</v>
      </c>
      <c r="R4717" s="37" t="str">
        <f t="shared" si="369"/>
        <v>AVERAGE</v>
      </c>
      <c r="S4717" t="s">
        <v>609</v>
      </c>
    </row>
    <row r="4718" spans="1:19" x14ac:dyDescent="0.2">
      <c r="A4718" t="s">
        <v>5329</v>
      </c>
      <c r="B4718" t="s">
        <v>67</v>
      </c>
      <c r="C4718" t="s">
        <v>617</v>
      </c>
      <c r="D4718">
        <v>4619.18</v>
      </c>
      <c r="E4718" s="37" t="str">
        <f t="shared" si="365"/>
        <v xml:space="preserve"> </v>
      </c>
      <c r="F4718">
        <v>0.14000000000000001</v>
      </c>
      <c r="G4718" s="37" t="str">
        <f t="shared" si="366"/>
        <v>Normal Discount</v>
      </c>
      <c r="H4718" s="37" t="str">
        <f t="shared" si="367"/>
        <v>Low</v>
      </c>
      <c r="I4718">
        <v>4</v>
      </c>
      <c r="J4718" t="str" cm="1">
        <f t="array" ref="J4718">_xlfn.IFS(I4718&lt;=3,"small",I4718&lt;=6,"Medium",I4718&lt;=9,"Large")</f>
        <v>Medium</v>
      </c>
      <c r="K4718" s="36">
        <v>45561</v>
      </c>
      <c r="L4718" s="36">
        <v>45564</v>
      </c>
      <c r="M4718" t="s">
        <v>598</v>
      </c>
      <c r="N4718" t="s">
        <v>608</v>
      </c>
      <c r="O4718" s="37" t="str">
        <f t="shared" si="368"/>
        <v>Cash Payment</v>
      </c>
      <c r="P4718">
        <v>358.57</v>
      </c>
      <c r="Q4718" s="37" t="str">
        <f>IF(P4718&gt;500,"High","low")</f>
        <v>low</v>
      </c>
      <c r="R4718" s="37" t="str">
        <f t="shared" si="369"/>
        <v>AVERAGE</v>
      </c>
      <c r="S4718" t="s">
        <v>609</v>
      </c>
    </row>
    <row r="4719" spans="1:19" x14ac:dyDescent="0.2">
      <c r="A4719" t="s">
        <v>5330</v>
      </c>
      <c r="B4719" t="s">
        <v>83</v>
      </c>
      <c r="C4719" t="s">
        <v>607</v>
      </c>
      <c r="D4719">
        <v>3769.25</v>
      </c>
      <c r="E4719" s="37" t="str">
        <f t="shared" si="365"/>
        <v xml:space="preserve"> </v>
      </c>
      <c r="F4719">
        <v>0.01</v>
      </c>
      <c r="G4719" s="37" t="str">
        <f t="shared" si="366"/>
        <v>Normal Discount</v>
      </c>
      <c r="H4719" s="37" t="str">
        <f t="shared" si="367"/>
        <v>Low</v>
      </c>
      <c r="I4719">
        <v>3</v>
      </c>
      <c r="J4719" t="str" cm="1">
        <f t="array" ref="J4719">_xlfn.IFS(I4719&lt;=3,"small",I4719&lt;=6,"Medium",I4719&lt;=9,"Large")</f>
        <v>small</v>
      </c>
      <c r="K4719" s="36">
        <v>45077</v>
      </c>
      <c r="L4719" s="36">
        <v>45081</v>
      </c>
      <c r="M4719" t="s">
        <v>598</v>
      </c>
      <c r="N4719" t="s">
        <v>604</v>
      </c>
      <c r="O4719" s="37" t="str">
        <f t="shared" si="368"/>
        <v>Digital Payment</v>
      </c>
      <c r="P4719">
        <v>319.05</v>
      </c>
      <c r="Q4719" s="37" t="str">
        <f>IF(P4719&gt;500,"High","low")</f>
        <v>low</v>
      </c>
      <c r="R4719" s="37" t="str">
        <f t="shared" si="369"/>
        <v>AVERAGE</v>
      </c>
      <c r="S4719" t="s">
        <v>605</v>
      </c>
    </row>
    <row r="4720" spans="1:19" x14ac:dyDescent="0.2">
      <c r="A4720" t="s">
        <v>5331</v>
      </c>
      <c r="B4720" t="s">
        <v>67</v>
      </c>
      <c r="C4720" t="s">
        <v>614</v>
      </c>
      <c r="D4720">
        <v>1733.67</v>
      </c>
      <c r="E4720" s="37" t="str">
        <f t="shared" si="365"/>
        <v xml:space="preserve"> </v>
      </c>
      <c r="F4720">
        <v>0.21</v>
      </c>
      <c r="G4720" s="37" t="str">
        <f t="shared" si="366"/>
        <v>Normal Discount</v>
      </c>
      <c r="H4720" s="37" t="str">
        <f t="shared" si="367"/>
        <v>Medium</v>
      </c>
      <c r="I4720">
        <v>4</v>
      </c>
      <c r="J4720" t="str" cm="1">
        <f t="array" ref="J4720">_xlfn.IFS(I4720&lt;=3,"small",I4720&lt;=6,"Medium",I4720&lt;=9,"Large")</f>
        <v>Medium</v>
      </c>
      <c r="K4720" s="36">
        <v>45286</v>
      </c>
      <c r="L4720" s="36">
        <v>45290</v>
      </c>
      <c r="M4720" t="s">
        <v>612</v>
      </c>
      <c r="N4720" t="s">
        <v>599</v>
      </c>
      <c r="O4720" s="37" t="str">
        <f t="shared" si="368"/>
        <v>Digital Payment</v>
      </c>
      <c r="P4720">
        <v>469.84</v>
      </c>
      <c r="Q4720" s="37" t="str">
        <f>IF(P4720&gt;500,"High","low")</f>
        <v>low</v>
      </c>
      <c r="R4720" s="37" t="str">
        <f t="shared" si="369"/>
        <v>AVERAGE</v>
      </c>
      <c r="S4720" t="s">
        <v>620</v>
      </c>
    </row>
    <row r="4721" spans="1:19" x14ac:dyDescent="0.2">
      <c r="A4721" t="s">
        <v>5332</v>
      </c>
      <c r="B4721" t="s">
        <v>83</v>
      </c>
      <c r="C4721" t="s">
        <v>607</v>
      </c>
      <c r="D4721">
        <v>3530.76</v>
      </c>
      <c r="E4721" s="37" t="str">
        <f t="shared" si="365"/>
        <v xml:space="preserve"> </v>
      </c>
      <c r="F4721">
        <v>0.46</v>
      </c>
      <c r="G4721" s="37" t="str">
        <f t="shared" si="366"/>
        <v>Heavy Discount</v>
      </c>
      <c r="H4721" s="37" t="str">
        <f t="shared" si="367"/>
        <v>High</v>
      </c>
      <c r="I4721">
        <v>8</v>
      </c>
      <c r="J4721" t="str" cm="1">
        <f t="array" ref="J4721">_xlfn.IFS(I4721&lt;=3,"small",I4721&lt;=6,"Medium",I4721&lt;=9,"Large")</f>
        <v>Large</v>
      </c>
      <c r="K4721" s="36">
        <v>45616</v>
      </c>
      <c r="L4721" s="36">
        <v>45623</v>
      </c>
      <c r="M4721" t="s">
        <v>612</v>
      </c>
      <c r="N4721" t="s">
        <v>608</v>
      </c>
      <c r="O4721" s="37" t="str">
        <f t="shared" si="368"/>
        <v>Cash Payment</v>
      </c>
      <c r="P4721">
        <v>369.96</v>
      </c>
      <c r="Q4721" s="37" t="str">
        <f>IF(P4721&gt;500,"High","low")</f>
        <v>low</v>
      </c>
      <c r="R4721" s="37" t="str">
        <f t="shared" si="369"/>
        <v>AVERAGE</v>
      </c>
      <c r="S4721" t="s">
        <v>615</v>
      </c>
    </row>
    <row r="4722" spans="1:19" x14ac:dyDescent="0.2">
      <c r="A4722" t="s">
        <v>5333</v>
      </c>
      <c r="B4722" t="s">
        <v>75</v>
      </c>
      <c r="C4722" t="s">
        <v>607</v>
      </c>
      <c r="D4722">
        <v>4832.34</v>
      </c>
      <c r="E4722" s="37" t="str">
        <f t="shared" si="365"/>
        <v xml:space="preserve"> </v>
      </c>
      <c r="F4722">
        <v>0.46</v>
      </c>
      <c r="G4722" s="37" t="str">
        <f t="shared" si="366"/>
        <v>Heavy Discount</v>
      </c>
      <c r="H4722" s="37" t="str">
        <f t="shared" si="367"/>
        <v>High</v>
      </c>
      <c r="I4722">
        <v>4</v>
      </c>
      <c r="J4722" t="str" cm="1">
        <f t="array" ref="J4722">_xlfn.IFS(I4722&lt;=3,"small",I4722&lt;=6,"Medium",I4722&lt;=9,"Large")</f>
        <v>Medium</v>
      </c>
      <c r="K4722" s="36">
        <v>44939</v>
      </c>
      <c r="L4722" s="36">
        <v>44941</v>
      </c>
      <c r="M4722" t="s">
        <v>612</v>
      </c>
      <c r="N4722" t="s">
        <v>608</v>
      </c>
      <c r="O4722" s="37" t="str">
        <f t="shared" si="368"/>
        <v>Cash Payment</v>
      </c>
      <c r="P4722">
        <v>315.42</v>
      </c>
      <c r="Q4722" s="37" t="str">
        <f>IF(P4722&gt;500,"High","low")</f>
        <v>low</v>
      </c>
      <c r="R4722" s="37" t="str">
        <f t="shared" si="369"/>
        <v>AVERAGE</v>
      </c>
      <c r="S4722" t="s">
        <v>620</v>
      </c>
    </row>
    <row r="4723" spans="1:19" x14ac:dyDescent="0.2">
      <c r="A4723" t="s">
        <v>5334</v>
      </c>
      <c r="B4723" t="s">
        <v>75</v>
      </c>
      <c r="C4723" t="s">
        <v>617</v>
      </c>
      <c r="D4723">
        <v>462.84</v>
      </c>
      <c r="E4723" s="37" t="str">
        <f t="shared" si="365"/>
        <v xml:space="preserve"> </v>
      </c>
      <c r="F4723">
        <v>0.19</v>
      </c>
      <c r="G4723" s="37" t="str">
        <f t="shared" si="366"/>
        <v>Normal Discount</v>
      </c>
      <c r="H4723" s="37" t="str">
        <f t="shared" si="367"/>
        <v>Low</v>
      </c>
      <c r="I4723">
        <v>8</v>
      </c>
      <c r="J4723" t="str" cm="1">
        <f t="array" ref="J4723">_xlfn.IFS(I4723&lt;=3,"small",I4723&lt;=6,"Medium",I4723&lt;=9,"Large")</f>
        <v>Large</v>
      </c>
      <c r="K4723" s="36">
        <v>45036</v>
      </c>
      <c r="L4723" s="36">
        <v>45039</v>
      </c>
      <c r="M4723" t="s">
        <v>603</v>
      </c>
      <c r="N4723" t="s">
        <v>608</v>
      </c>
      <c r="O4723" s="37" t="str">
        <f t="shared" si="368"/>
        <v>Cash Payment</v>
      </c>
      <c r="P4723">
        <v>126.24</v>
      </c>
      <c r="Q4723" s="37" t="str">
        <f>IF(P4723&gt;500,"High","low")</f>
        <v>low</v>
      </c>
      <c r="R4723" s="37" t="str">
        <f t="shared" si="369"/>
        <v>AVERAGE</v>
      </c>
      <c r="S4723" t="s">
        <v>605</v>
      </c>
    </row>
    <row r="4724" spans="1:19" x14ac:dyDescent="0.2">
      <c r="A4724" t="s">
        <v>5335</v>
      </c>
      <c r="B4724" t="s">
        <v>83</v>
      </c>
      <c r="C4724" t="s">
        <v>597</v>
      </c>
      <c r="D4724">
        <v>1396.07</v>
      </c>
      <c r="E4724" s="37" t="str">
        <f t="shared" si="365"/>
        <v xml:space="preserve"> </v>
      </c>
      <c r="F4724">
        <v>0.22</v>
      </c>
      <c r="G4724" s="37" t="str">
        <f t="shared" si="366"/>
        <v>Normal Discount</v>
      </c>
      <c r="H4724" s="37" t="str">
        <f t="shared" si="367"/>
        <v>Medium</v>
      </c>
      <c r="I4724">
        <v>8</v>
      </c>
      <c r="J4724" t="str" cm="1">
        <f t="array" ref="J4724">_xlfn.IFS(I4724&lt;=3,"small",I4724&lt;=6,"Medium",I4724&lt;=9,"Large")</f>
        <v>Large</v>
      </c>
      <c r="K4724" s="36">
        <v>44964</v>
      </c>
      <c r="L4724" s="36">
        <v>44965</v>
      </c>
      <c r="M4724" t="s">
        <v>603</v>
      </c>
      <c r="N4724" t="s">
        <v>604</v>
      </c>
      <c r="O4724" s="37" t="str">
        <f t="shared" si="368"/>
        <v>Digital Payment</v>
      </c>
      <c r="P4724">
        <v>91.59</v>
      </c>
      <c r="Q4724" s="37" t="str">
        <f>IF(P4724&gt;500,"High","low")</f>
        <v>low</v>
      </c>
      <c r="R4724" s="37" t="str">
        <f t="shared" si="369"/>
        <v>AVERAGE</v>
      </c>
      <c r="S4724" t="s">
        <v>615</v>
      </c>
    </row>
    <row r="4725" spans="1:19" x14ac:dyDescent="0.2">
      <c r="A4725" t="s">
        <v>5336</v>
      </c>
      <c r="B4725" t="s">
        <v>67</v>
      </c>
      <c r="C4725" t="s">
        <v>607</v>
      </c>
      <c r="D4725">
        <v>1082.83</v>
      </c>
      <c r="E4725" s="37" t="str">
        <f t="shared" si="365"/>
        <v xml:space="preserve"> </v>
      </c>
      <c r="F4725">
        <v>0.12</v>
      </c>
      <c r="G4725" s="37" t="str">
        <f t="shared" si="366"/>
        <v>Normal Discount</v>
      </c>
      <c r="H4725" s="37" t="str">
        <f t="shared" si="367"/>
        <v>Low</v>
      </c>
      <c r="I4725">
        <v>1</v>
      </c>
      <c r="J4725" t="str" cm="1">
        <f t="array" ref="J4725">_xlfn.IFS(I4725&lt;=3,"small",I4725&lt;=6,"Medium",I4725&lt;=9,"Large")</f>
        <v>small</v>
      </c>
      <c r="K4725" s="36">
        <v>45285</v>
      </c>
      <c r="L4725" s="36">
        <v>45291</v>
      </c>
      <c r="M4725" t="s">
        <v>598</v>
      </c>
      <c r="N4725" t="s">
        <v>604</v>
      </c>
      <c r="O4725" s="37" t="str">
        <f t="shared" si="368"/>
        <v>Digital Payment</v>
      </c>
      <c r="P4725">
        <v>286.88</v>
      </c>
      <c r="Q4725" s="37" t="str">
        <f>IF(P4725&gt;500,"High","low")</f>
        <v>low</v>
      </c>
      <c r="R4725" s="37" t="str">
        <f t="shared" si="369"/>
        <v>AVERAGE</v>
      </c>
      <c r="S4725" t="s">
        <v>620</v>
      </c>
    </row>
    <row r="4726" spans="1:19" x14ac:dyDescent="0.2">
      <c r="A4726" t="s">
        <v>5337</v>
      </c>
      <c r="B4726" t="s">
        <v>90</v>
      </c>
      <c r="C4726" t="s">
        <v>597</v>
      </c>
      <c r="D4726">
        <v>4361.9399999999996</v>
      </c>
      <c r="E4726" s="37" t="str">
        <f t="shared" si="365"/>
        <v xml:space="preserve"> </v>
      </c>
      <c r="F4726">
        <v>0.03</v>
      </c>
      <c r="G4726" s="37" t="str">
        <f t="shared" si="366"/>
        <v>Normal Discount</v>
      </c>
      <c r="H4726" s="37" t="str">
        <f t="shared" si="367"/>
        <v>Low</v>
      </c>
      <c r="I4726">
        <v>9</v>
      </c>
      <c r="J4726" t="str" cm="1">
        <f t="array" ref="J4726">_xlfn.IFS(I4726&lt;=3,"small",I4726&lt;=6,"Medium",I4726&lt;=9,"Large")</f>
        <v>Large</v>
      </c>
      <c r="K4726" s="36">
        <v>45378</v>
      </c>
      <c r="L4726" s="36">
        <v>45381</v>
      </c>
      <c r="M4726" t="s">
        <v>603</v>
      </c>
      <c r="N4726" t="s">
        <v>599</v>
      </c>
      <c r="O4726" s="37" t="str">
        <f t="shared" si="368"/>
        <v>Digital Payment</v>
      </c>
      <c r="P4726">
        <v>796.66</v>
      </c>
      <c r="Q4726" s="37" t="str">
        <f>IF(P4726&gt;500,"High","low")</f>
        <v>High</v>
      </c>
      <c r="R4726" s="37" t="str">
        <f t="shared" si="369"/>
        <v>Good</v>
      </c>
      <c r="S4726" t="s">
        <v>615</v>
      </c>
    </row>
    <row r="4727" spans="1:19" x14ac:dyDescent="0.2">
      <c r="A4727" t="s">
        <v>5338</v>
      </c>
      <c r="B4727" t="s">
        <v>90</v>
      </c>
      <c r="C4727" t="s">
        <v>602</v>
      </c>
      <c r="D4727">
        <v>978.03</v>
      </c>
      <c r="E4727" s="37" t="str">
        <f t="shared" si="365"/>
        <v xml:space="preserve"> </v>
      </c>
      <c r="F4727">
        <v>0.35</v>
      </c>
      <c r="G4727" s="37" t="str">
        <f t="shared" si="366"/>
        <v>Heavy Discount</v>
      </c>
      <c r="H4727" s="37" t="str">
        <f t="shared" si="367"/>
        <v>Medium</v>
      </c>
      <c r="I4727">
        <v>3</v>
      </c>
      <c r="J4727" t="str" cm="1">
        <f t="array" ref="J4727">_xlfn.IFS(I4727&lt;=3,"small",I4727&lt;=6,"Medium",I4727&lt;=9,"Large")</f>
        <v>small</v>
      </c>
      <c r="K4727" s="36">
        <v>45329</v>
      </c>
      <c r="L4727" s="36">
        <v>45332</v>
      </c>
      <c r="M4727" t="s">
        <v>598</v>
      </c>
      <c r="N4727" t="s">
        <v>599</v>
      </c>
      <c r="O4727" s="37" t="str">
        <f t="shared" si="368"/>
        <v>Digital Payment</v>
      </c>
      <c r="P4727">
        <v>179.55</v>
      </c>
      <c r="Q4727" s="37" t="str">
        <f>IF(P4727&gt;500,"High","low")</f>
        <v>low</v>
      </c>
      <c r="R4727" s="37" t="str">
        <f t="shared" si="369"/>
        <v>AVERAGE</v>
      </c>
      <c r="S4727" t="s">
        <v>600</v>
      </c>
    </row>
    <row r="4728" spans="1:19" x14ac:dyDescent="0.2">
      <c r="A4728" t="s">
        <v>5339</v>
      </c>
      <c r="B4728" t="s">
        <v>75</v>
      </c>
      <c r="C4728" t="s">
        <v>607</v>
      </c>
      <c r="D4728">
        <v>1609.57</v>
      </c>
      <c r="E4728" s="37" t="str">
        <f t="shared" si="365"/>
        <v xml:space="preserve"> </v>
      </c>
      <c r="F4728">
        <v>0.4</v>
      </c>
      <c r="G4728" s="37" t="str">
        <f t="shared" si="366"/>
        <v>Heavy Discount</v>
      </c>
      <c r="H4728" s="37" t="str">
        <f t="shared" si="367"/>
        <v>Medium</v>
      </c>
      <c r="I4728">
        <v>6</v>
      </c>
      <c r="J4728" t="str" cm="1">
        <f t="array" ref="J4728">_xlfn.IFS(I4728&lt;=3,"small",I4728&lt;=6,"Medium",I4728&lt;=9,"Large")</f>
        <v>Medium</v>
      </c>
      <c r="K4728" s="36">
        <v>45618</v>
      </c>
      <c r="L4728" s="36">
        <v>45625</v>
      </c>
      <c r="M4728" t="s">
        <v>598</v>
      </c>
      <c r="N4728" t="s">
        <v>608</v>
      </c>
      <c r="O4728" s="37" t="str">
        <f t="shared" si="368"/>
        <v>Cash Payment</v>
      </c>
      <c r="P4728">
        <v>133.13999999999999</v>
      </c>
      <c r="Q4728" s="37" t="str">
        <f>IF(P4728&gt;500,"High","low")</f>
        <v>low</v>
      </c>
      <c r="R4728" s="37" t="str">
        <f t="shared" si="369"/>
        <v>AVERAGE</v>
      </c>
      <c r="S4728" t="s">
        <v>600</v>
      </c>
    </row>
    <row r="4729" spans="1:19" x14ac:dyDescent="0.2">
      <c r="A4729" t="s">
        <v>5340</v>
      </c>
      <c r="B4729" t="s">
        <v>90</v>
      </c>
      <c r="C4729" t="s">
        <v>597</v>
      </c>
      <c r="D4729">
        <v>2764.92</v>
      </c>
      <c r="E4729" s="37" t="str">
        <f t="shared" si="365"/>
        <v xml:space="preserve"> </v>
      </c>
      <c r="F4729">
        <v>0.44</v>
      </c>
      <c r="G4729" s="37" t="str">
        <f t="shared" si="366"/>
        <v>Heavy Discount</v>
      </c>
      <c r="H4729" s="37" t="str">
        <f t="shared" si="367"/>
        <v>High</v>
      </c>
      <c r="I4729">
        <v>3</v>
      </c>
      <c r="J4729" t="str" cm="1">
        <f t="array" ref="J4729">_xlfn.IFS(I4729&lt;=3,"small",I4729&lt;=6,"Medium",I4729&lt;=9,"Large")</f>
        <v>small</v>
      </c>
      <c r="K4729" s="36">
        <v>45351</v>
      </c>
      <c r="L4729" s="36">
        <v>45356</v>
      </c>
      <c r="M4729" t="s">
        <v>598</v>
      </c>
      <c r="N4729" t="s">
        <v>604</v>
      </c>
      <c r="O4729" s="37" t="str">
        <f t="shared" si="368"/>
        <v>Digital Payment</v>
      </c>
      <c r="P4729">
        <v>573.97</v>
      </c>
      <c r="Q4729" s="37" t="str">
        <f>IF(P4729&gt;500,"High","low")</f>
        <v>High</v>
      </c>
      <c r="R4729" s="37" t="str">
        <f t="shared" si="369"/>
        <v>Good</v>
      </c>
      <c r="S4729" t="s">
        <v>600</v>
      </c>
    </row>
    <row r="4730" spans="1:19" x14ac:dyDescent="0.2">
      <c r="A4730" t="s">
        <v>5341</v>
      </c>
      <c r="B4730" t="s">
        <v>75</v>
      </c>
      <c r="C4730" t="s">
        <v>602</v>
      </c>
      <c r="D4730">
        <v>3143.36</v>
      </c>
      <c r="E4730" s="37" t="str">
        <f t="shared" si="365"/>
        <v xml:space="preserve"> </v>
      </c>
      <c r="F4730">
        <v>0.47</v>
      </c>
      <c r="G4730" s="37" t="str">
        <f t="shared" si="366"/>
        <v>Heavy Discount</v>
      </c>
      <c r="H4730" s="37" t="str">
        <f t="shared" si="367"/>
        <v>High</v>
      </c>
      <c r="I4730">
        <v>9</v>
      </c>
      <c r="J4730" t="str" cm="1">
        <f t="array" ref="J4730">_xlfn.IFS(I4730&lt;=3,"small",I4730&lt;=6,"Medium",I4730&lt;=9,"Large")</f>
        <v>Large</v>
      </c>
      <c r="K4730" s="36">
        <v>45048</v>
      </c>
      <c r="L4730" s="36">
        <v>45050</v>
      </c>
      <c r="M4730" t="s">
        <v>603</v>
      </c>
      <c r="N4730" t="s">
        <v>608</v>
      </c>
      <c r="O4730" s="37" t="str">
        <f t="shared" si="368"/>
        <v>Cash Payment</v>
      </c>
      <c r="P4730">
        <v>448.17</v>
      </c>
      <c r="Q4730" s="37" t="str">
        <f>IF(P4730&gt;500,"High","low")</f>
        <v>low</v>
      </c>
      <c r="R4730" s="37" t="str">
        <f t="shared" si="369"/>
        <v>AVERAGE</v>
      </c>
      <c r="S4730" t="s">
        <v>600</v>
      </c>
    </row>
    <row r="4731" spans="1:19" x14ac:dyDescent="0.2">
      <c r="A4731" t="s">
        <v>5342</v>
      </c>
      <c r="B4731" t="s">
        <v>90</v>
      </c>
      <c r="C4731" t="s">
        <v>617</v>
      </c>
      <c r="D4731">
        <v>4060.1</v>
      </c>
      <c r="E4731" s="37" t="str">
        <f t="shared" si="365"/>
        <v xml:space="preserve"> </v>
      </c>
      <c r="F4731">
        <v>0.46</v>
      </c>
      <c r="G4731" s="37" t="str">
        <f t="shared" si="366"/>
        <v>Heavy Discount</v>
      </c>
      <c r="H4731" s="37" t="str">
        <f t="shared" si="367"/>
        <v>High</v>
      </c>
      <c r="I4731">
        <v>1</v>
      </c>
      <c r="J4731" t="str" cm="1">
        <f t="array" ref="J4731">_xlfn.IFS(I4731&lt;=3,"small",I4731&lt;=6,"Medium",I4731&lt;=9,"Large")</f>
        <v>small</v>
      </c>
      <c r="K4731" s="36">
        <v>45018</v>
      </c>
      <c r="L4731" s="36">
        <v>45021</v>
      </c>
      <c r="M4731" t="s">
        <v>603</v>
      </c>
      <c r="N4731" t="s">
        <v>604</v>
      </c>
      <c r="O4731" s="37" t="str">
        <f t="shared" si="368"/>
        <v>Digital Payment</v>
      </c>
      <c r="P4731">
        <v>571.03</v>
      </c>
      <c r="Q4731" s="37" t="str">
        <f>IF(P4731&gt;500,"High","low")</f>
        <v>High</v>
      </c>
      <c r="R4731" s="37" t="str">
        <f t="shared" si="369"/>
        <v>Good</v>
      </c>
      <c r="S4731" t="s">
        <v>615</v>
      </c>
    </row>
    <row r="4732" spans="1:19" x14ac:dyDescent="0.2">
      <c r="A4732" t="s">
        <v>5343</v>
      </c>
      <c r="B4732" t="s">
        <v>83</v>
      </c>
      <c r="C4732" t="s">
        <v>607</v>
      </c>
      <c r="D4732">
        <v>2095.88</v>
      </c>
      <c r="E4732" s="37" t="str">
        <f t="shared" si="365"/>
        <v xml:space="preserve"> </v>
      </c>
      <c r="F4732">
        <v>0.01</v>
      </c>
      <c r="G4732" s="37" t="str">
        <f t="shared" si="366"/>
        <v>Normal Discount</v>
      </c>
      <c r="H4732" s="37" t="str">
        <f t="shared" si="367"/>
        <v>Low</v>
      </c>
      <c r="I4732">
        <v>7</v>
      </c>
      <c r="J4732" t="str" cm="1">
        <f t="array" ref="J4732">_xlfn.IFS(I4732&lt;=3,"small",I4732&lt;=6,"Medium",I4732&lt;=9,"Large")</f>
        <v>Large</v>
      </c>
      <c r="K4732" s="36">
        <v>44953</v>
      </c>
      <c r="L4732" s="36">
        <v>44954</v>
      </c>
      <c r="M4732" t="s">
        <v>598</v>
      </c>
      <c r="N4732" t="s">
        <v>604</v>
      </c>
      <c r="O4732" s="37" t="str">
        <f t="shared" si="368"/>
        <v>Digital Payment</v>
      </c>
      <c r="P4732">
        <v>470.04</v>
      </c>
      <c r="Q4732" s="37" t="str">
        <f>IF(P4732&gt;500,"High","low")</f>
        <v>low</v>
      </c>
      <c r="R4732" s="37" t="str">
        <f t="shared" si="369"/>
        <v>AVERAGE</v>
      </c>
      <c r="S4732" t="s">
        <v>620</v>
      </c>
    </row>
    <row r="4733" spans="1:19" x14ac:dyDescent="0.2">
      <c r="A4733" t="s">
        <v>5344</v>
      </c>
      <c r="B4733" t="s">
        <v>75</v>
      </c>
      <c r="C4733" t="s">
        <v>617</v>
      </c>
      <c r="D4733">
        <v>2717.8</v>
      </c>
      <c r="E4733" s="37" t="str">
        <f t="shared" si="365"/>
        <v xml:space="preserve"> </v>
      </c>
      <c r="F4733">
        <v>0.49</v>
      </c>
      <c r="G4733" s="37" t="str">
        <f t="shared" si="366"/>
        <v>Heavy Discount</v>
      </c>
      <c r="H4733" s="37" t="str">
        <f t="shared" si="367"/>
        <v>High</v>
      </c>
      <c r="I4733">
        <v>5</v>
      </c>
      <c r="J4733" t="str" cm="1">
        <f t="array" ref="J4733">_xlfn.IFS(I4733&lt;=3,"small",I4733&lt;=6,"Medium",I4733&lt;=9,"Large")</f>
        <v>Medium</v>
      </c>
      <c r="K4733" s="36">
        <v>45309</v>
      </c>
      <c r="L4733" s="36">
        <v>45315</v>
      </c>
      <c r="M4733" t="s">
        <v>598</v>
      </c>
      <c r="N4733" t="s">
        <v>599</v>
      </c>
      <c r="O4733" s="37" t="str">
        <f t="shared" si="368"/>
        <v>Digital Payment</v>
      </c>
      <c r="P4733">
        <v>725.51</v>
      </c>
      <c r="Q4733" s="37" t="str">
        <f>IF(P4733&gt;500,"High","low")</f>
        <v>High</v>
      </c>
      <c r="R4733" s="37" t="str">
        <f t="shared" si="369"/>
        <v>Good</v>
      </c>
      <c r="S4733" t="s">
        <v>615</v>
      </c>
    </row>
    <row r="4734" spans="1:19" x14ac:dyDescent="0.2">
      <c r="A4734" t="s">
        <v>5345</v>
      </c>
      <c r="B4734" t="s">
        <v>75</v>
      </c>
      <c r="C4734" t="s">
        <v>602</v>
      </c>
      <c r="D4734">
        <v>4830.76</v>
      </c>
      <c r="E4734" s="37" t="str">
        <f t="shared" si="365"/>
        <v>Excellent Order</v>
      </c>
      <c r="F4734">
        <v>0.19</v>
      </c>
      <c r="G4734" s="37" t="str">
        <f t="shared" si="366"/>
        <v>Normal Discount</v>
      </c>
      <c r="H4734" s="37" t="str">
        <f t="shared" si="367"/>
        <v>Low</v>
      </c>
      <c r="I4734">
        <v>3</v>
      </c>
      <c r="J4734" t="str" cm="1">
        <f t="array" ref="J4734">_xlfn.IFS(I4734&lt;=3,"small",I4734&lt;=6,"Medium",I4734&lt;=9,"Large")</f>
        <v>small</v>
      </c>
      <c r="K4734" s="36">
        <v>44945</v>
      </c>
      <c r="L4734" s="36">
        <v>44952</v>
      </c>
      <c r="M4734" t="s">
        <v>612</v>
      </c>
      <c r="N4734" t="s">
        <v>599</v>
      </c>
      <c r="O4734" s="37" t="str">
        <f t="shared" si="368"/>
        <v>Digital Payment</v>
      </c>
      <c r="P4734">
        <v>1124.81</v>
      </c>
      <c r="Q4734" s="37" t="str">
        <f>IF(P4734&gt;500,"High","low")</f>
        <v>High</v>
      </c>
      <c r="R4734" s="37" t="str">
        <f t="shared" si="369"/>
        <v>Excellent</v>
      </c>
      <c r="S4734" t="s">
        <v>600</v>
      </c>
    </row>
    <row r="4735" spans="1:19" x14ac:dyDescent="0.2">
      <c r="A4735" t="s">
        <v>5346</v>
      </c>
      <c r="B4735" t="s">
        <v>83</v>
      </c>
      <c r="C4735" t="s">
        <v>617</v>
      </c>
      <c r="D4735">
        <v>1557.07</v>
      </c>
      <c r="E4735" s="37" t="str">
        <f t="shared" si="365"/>
        <v xml:space="preserve"> </v>
      </c>
      <c r="F4735">
        <v>0.44</v>
      </c>
      <c r="G4735" s="37" t="str">
        <f t="shared" si="366"/>
        <v>Heavy Discount</v>
      </c>
      <c r="H4735" s="37" t="str">
        <f t="shared" si="367"/>
        <v>High</v>
      </c>
      <c r="I4735">
        <v>7</v>
      </c>
      <c r="J4735" t="str" cm="1">
        <f t="array" ref="J4735">_xlfn.IFS(I4735&lt;=3,"small",I4735&lt;=6,"Medium",I4735&lt;=9,"Large")</f>
        <v>Large</v>
      </c>
      <c r="K4735" s="36">
        <v>45262</v>
      </c>
      <c r="L4735" s="36">
        <v>45264</v>
      </c>
      <c r="M4735" t="s">
        <v>598</v>
      </c>
      <c r="N4735" t="s">
        <v>604</v>
      </c>
      <c r="O4735" s="37" t="str">
        <f t="shared" si="368"/>
        <v>Digital Payment</v>
      </c>
      <c r="P4735">
        <v>343.3</v>
      </c>
      <c r="Q4735" s="37" t="str">
        <f>IF(P4735&gt;500,"High","low")</f>
        <v>low</v>
      </c>
      <c r="R4735" s="37" t="str">
        <f t="shared" si="369"/>
        <v>AVERAGE</v>
      </c>
      <c r="S4735" t="s">
        <v>628</v>
      </c>
    </row>
    <row r="4736" spans="1:19" x14ac:dyDescent="0.2">
      <c r="A4736" t="s">
        <v>5347</v>
      </c>
      <c r="B4736" t="s">
        <v>75</v>
      </c>
      <c r="C4736" t="s">
        <v>617</v>
      </c>
      <c r="D4736">
        <v>1315.66</v>
      </c>
      <c r="E4736" s="37" t="str">
        <f t="shared" si="365"/>
        <v xml:space="preserve"> </v>
      </c>
      <c r="F4736">
        <v>0.22</v>
      </c>
      <c r="G4736" s="37" t="str">
        <f t="shared" si="366"/>
        <v>Normal Discount</v>
      </c>
      <c r="H4736" s="37" t="str">
        <f t="shared" si="367"/>
        <v>Medium</v>
      </c>
      <c r="I4736">
        <v>1</v>
      </c>
      <c r="J4736" t="str" cm="1">
        <f t="array" ref="J4736">_xlfn.IFS(I4736&lt;=3,"small",I4736&lt;=6,"Medium",I4736&lt;=9,"Large")</f>
        <v>small</v>
      </c>
      <c r="K4736" s="36">
        <v>45345</v>
      </c>
      <c r="L4736" s="36">
        <v>45349</v>
      </c>
      <c r="M4736" t="s">
        <v>598</v>
      </c>
      <c r="N4736" t="s">
        <v>608</v>
      </c>
      <c r="O4736" s="37" t="str">
        <f t="shared" si="368"/>
        <v>Cash Payment</v>
      </c>
      <c r="P4736">
        <v>357.24</v>
      </c>
      <c r="Q4736" s="37" t="str">
        <f>IF(P4736&gt;500,"High","low")</f>
        <v>low</v>
      </c>
      <c r="R4736" s="37" t="str">
        <f t="shared" si="369"/>
        <v>AVERAGE</v>
      </c>
      <c r="S4736" t="s">
        <v>609</v>
      </c>
    </row>
    <row r="4737" spans="1:19" x14ac:dyDescent="0.2">
      <c r="A4737" t="s">
        <v>5348</v>
      </c>
      <c r="B4737" t="s">
        <v>90</v>
      </c>
      <c r="C4737" t="s">
        <v>614</v>
      </c>
      <c r="D4737">
        <v>3581.94</v>
      </c>
      <c r="E4737" s="37" t="str">
        <f t="shared" si="365"/>
        <v xml:space="preserve"> </v>
      </c>
      <c r="F4737">
        <v>0.21</v>
      </c>
      <c r="G4737" s="37" t="str">
        <f t="shared" si="366"/>
        <v>Normal Discount</v>
      </c>
      <c r="H4737" s="37" t="str">
        <f t="shared" si="367"/>
        <v>Medium</v>
      </c>
      <c r="I4737">
        <v>6</v>
      </c>
      <c r="J4737" t="str" cm="1">
        <f t="array" ref="J4737">_xlfn.IFS(I4737&lt;=3,"small",I4737&lt;=6,"Medium",I4737&lt;=9,"Large")</f>
        <v>Medium</v>
      </c>
      <c r="K4737" s="36">
        <v>45315</v>
      </c>
      <c r="L4737" s="36">
        <v>45318</v>
      </c>
      <c r="M4737" t="s">
        <v>612</v>
      </c>
      <c r="N4737" t="s">
        <v>604</v>
      </c>
      <c r="O4737" s="37" t="str">
        <f t="shared" si="368"/>
        <v>Digital Payment</v>
      </c>
      <c r="P4737">
        <v>985.26</v>
      </c>
      <c r="Q4737" s="37" t="str">
        <f>IF(P4737&gt;500,"High","low")</f>
        <v>High</v>
      </c>
      <c r="R4737" s="37" t="str">
        <f t="shared" si="369"/>
        <v>Good</v>
      </c>
      <c r="S4737" t="s">
        <v>615</v>
      </c>
    </row>
    <row r="4738" spans="1:19" x14ac:dyDescent="0.2">
      <c r="A4738" t="s">
        <v>5349</v>
      </c>
      <c r="B4738" t="s">
        <v>90</v>
      </c>
      <c r="C4738" t="s">
        <v>602</v>
      </c>
      <c r="D4738">
        <v>3878.57</v>
      </c>
      <c r="E4738" s="37" t="str">
        <f t="shared" si="365"/>
        <v xml:space="preserve"> </v>
      </c>
      <c r="F4738">
        <v>0.01</v>
      </c>
      <c r="G4738" s="37" t="str">
        <f t="shared" si="366"/>
        <v>Normal Discount</v>
      </c>
      <c r="H4738" s="37" t="str">
        <f t="shared" si="367"/>
        <v>Low</v>
      </c>
      <c r="I4738">
        <v>7</v>
      </c>
      <c r="J4738" t="str" cm="1">
        <f t="array" ref="J4738">_xlfn.IFS(I4738&lt;=3,"small",I4738&lt;=6,"Medium",I4738&lt;=9,"Large")</f>
        <v>Large</v>
      </c>
      <c r="K4738" s="36">
        <v>45526</v>
      </c>
      <c r="L4738" s="36">
        <v>45532</v>
      </c>
      <c r="M4738" t="s">
        <v>598</v>
      </c>
      <c r="N4738" t="s">
        <v>604</v>
      </c>
      <c r="O4738" s="37" t="str">
        <f t="shared" si="368"/>
        <v>Digital Payment</v>
      </c>
      <c r="P4738">
        <v>907.93</v>
      </c>
      <c r="Q4738" s="37" t="str">
        <f>IF(P4738&gt;500,"High","low")</f>
        <v>High</v>
      </c>
      <c r="R4738" s="37" t="str">
        <f t="shared" si="369"/>
        <v>Good</v>
      </c>
      <c r="S4738" t="s">
        <v>605</v>
      </c>
    </row>
    <row r="4739" spans="1:19" x14ac:dyDescent="0.2">
      <c r="A4739" t="s">
        <v>5350</v>
      </c>
      <c r="B4739" t="s">
        <v>75</v>
      </c>
      <c r="C4739" t="s">
        <v>617</v>
      </c>
      <c r="D4739">
        <v>2132.42</v>
      </c>
      <c r="E4739" s="37" t="str">
        <f t="shared" ref="E4739:E4802" si="370">IF(AND(D4739&gt;4000,P4739&gt;800),"Excellent Order"," ")</f>
        <v xml:space="preserve"> </v>
      </c>
      <c r="F4739">
        <v>0.03</v>
      </c>
      <c r="G4739" s="37" t="str">
        <f t="shared" ref="G4739:G4802" si="371">IF(F4739&gt;30%,"Heavy Discount","Normal Discount")</f>
        <v>Normal Discount</v>
      </c>
      <c r="H4739" s="37" t="str">
        <f t="shared" ref="H4739:H4802" si="372">IF(F4739&gt;0.4,"High",IF(F4739&gt;=0.2,"Medium","Low"))</f>
        <v>Low</v>
      </c>
      <c r="I4739">
        <v>9</v>
      </c>
      <c r="J4739" t="str" cm="1">
        <f t="array" ref="J4739">_xlfn.IFS(I4739&lt;=3,"small",I4739&lt;=6,"Medium",I4739&lt;=9,"Large")</f>
        <v>Large</v>
      </c>
      <c r="K4739" s="36">
        <v>45019</v>
      </c>
      <c r="L4739" s="36">
        <v>45024</v>
      </c>
      <c r="M4739" t="s">
        <v>603</v>
      </c>
      <c r="N4739" t="s">
        <v>604</v>
      </c>
      <c r="O4739" s="37" t="str">
        <f t="shared" ref="O4739:O4802" si="373">IF(OR(N4739="Card",N4739="UPI"),"Digital Payment","Cash Payment")</f>
        <v>Digital Payment</v>
      </c>
      <c r="P4739">
        <v>543.92999999999995</v>
      </c>
      <c r="Q4739" s="37" t="str">
        <f>IF(P4739&gt;500,"High","low")</f>
        <v>High</v>
      </c>
      <c r="R4739" s="37" t="str">
        <f t="shared" ref="R4739:R4802" si="374">IF(P4739&gt;1000,"Excellent",IF(P4739&gt;=500,"Good","AVERAGE"))</f>
        <v>Good</v>
      </c>
      <c r="S4739" t="s">
        <v>605</v>
      </c>
    </row>
    <row r="4740" spans="1:19" x14ac:dyDescent="0.2">
      <c r="A4740" t="s">
        <v>5351</v>
      </c>
      <c r="B4740" t="s">
        <v>90</v>
      </c>
      <c r="C4740" t="s">
        <v>597</v>
      </c>
      <c r="D4740">
        <v>1143.5999999999999</v>
      </c>
      <c r="E4740" s="37" t="str">
        <f t="shared" si="370"/>
        <v xml:space="preserve"> </v>
      </c>
      <c r="F4740">
        <v>0.34</v>
      </c>
      <c r="G4740" s="37" t="str">
        <f t="shared" si="371"/>
        <v>Heavy Discount</v>
      </c>
      <c r="H4740" s="37" t="str">
        <f t="shared" si="372"/>
        <v>Medium</v>
      </c>
      <c r="I4740">
        <v>9</v>
      </c>
      <c r="J4740" t="str" cm="1">
        <f t="array" ref="J4740">_xlfn.IFS(I4740&lt;=3,"small",I4740&lt;=6,"Medium",I4740&lt;=9,"Large")</f>
        <v>Large</v>
      </c>
      <c r="K4740" s="36">
        <v>45188</v>
      </c>
      <c r="L4740" s="36">
        <v>45195</v>
      </c>
      <c r="M4740" t="s">
        <v>603</v>
      </c>
      <c r="N4740" t="s">
        <v>599</v>
      </c>
      <c r="O4740" s="37" t="str">
        <f t="shared" si="373"/>
        <v>Digital Payment</v>
      </c>
      <c r="P4740">
        <v>126.17</v>
      </c>
      <c r="Q4740" s="37" t="str">
        <f>IF(P4740&gt;500,"High","low")</f>
        <v>low</v>
      </c>
      <c r="R4740" s="37" t="str">
        <f t="shared" si="374"/>
        <v>AVERAGE</v>
      </c>
      <c r="S4740" t="s">
        <v>600</v>
      </c>
    </row>
    <row r="4741" spans="1:19" x14ac:dyDescent="0.2">
      <c r="A4741" t="s">
        <v>5352</v>
      </c>
      <c r="B4741" t="s">
        <v>67</v>
      </c>
      <c r="C4741" t="s">
        <v>602</v>
      </c>
      <c r="D4741">
        <v>3916.72</v>
      </c>
      <c r="E4741" s="37" t="str">
        <f t="shared" si="370"/>
        <v xml:space="preserve"> </v>
      </c>
      <c r="F4741">
        <v>0.47</v>
      </c>
      <c r="G4741" s="37" t="str">
        <f t="shared" si="371"/>
        <v>Heavy Discount</v>
      </c>
      <c r="H4741" s="37" t="str">
        <f t="shared" si="372"/>
        <v>High</v>
      </c>
      <c r="I4741">
        <v>7</v>
      </c>
      <c r="J4741" t="str" cm="1">
        <f t="array" ref="J4741">_xlfn.IFS(I4741&lt;=3,"small",I4741&lt;=6,"Medium",I4741&lt;=9,"Large")</f>
        <v>Large</v>
      </c>
      <c r="K4741" s="36">
        <v>44967</v>
      </c>
      <c r="L4741" s="36">
        <v>44968</v>
      </c>
      <c r="M4741" t="s">
        <v>598</v>
      </c>
      <c r="N4741" t="s">
        <v>604</v>
      </c>
      <c r="O4741" s="37" t="str">
        <f t="shared" si="373"/>
        <v>Digital Payment</v>
      </c>
      <c r="P4741">
        <v>862.89</v>
      </c>
      <c r="Q4741" s="37" t="str">
        <f>IF(P4741&gt;500,"High","low")</f>
        <v>High</v>
      </c>
      <c r="R4741" s="37" t="str">
        <f t="shared" si="374"/>
        <v>Good</v>
      </c>
      <c r="S4741" t="s">
        <v>628</v>
      </c>
    </row>
    <row r="4742" spans="1:19" x14ac:dyDescent="0.2">
      <c r="A4742" t="s">
        <v>5353</v>
      </c>
      <c r="B4742" t="s">
        <v>75</v>
      </c>
      <c r="C4742" t="s">
        <v>614</v>
      </c>
      <c r="D4742">
        <v>3385.42</v>
      </c>
      <c r="E4742" s="37" t="str">
        <f t="shared" si="370"/>
        <v xml:space="preserve"> </v>
      </c>
      <c r="F4742">
        <v>0.11</v>
      </c>
      <c r="G4742" s="37" t="str">
        <f t="shared" si="371"/>
        <v>Normal Discount</v>
      </c>
      <c r="H4742" s="37" t="str">
        <f t="shared" si="372"/>
        <v>Low</v>
      </c>
      <c r="I4742">
        <v>5</v>
      </c>
      <c r="J4742" t="str" cm="1">
        <f t="array" ref="J4742">_xlfn.IFS(I4742&lt;=3,"small",I4742&lt;=6,"Medium",I4742&lt;=9,"Large")</f>
        <v>Medium</v>
      </c>
      <c r="K4742" s="36">
        <v>45620</v>
      </c>
      <c r="L4742" s="36">
        <v>45626</v>
      </c>
      <c r="M4742" t="s">
        <v>612</v>
      </c>
      <c r="N4742" t="s">
        <v>604</v>
      </c>
      <c r="O4742" s="37" t="str">
        <f t="shared" si="373"/>
        <v>Digital Payment</v>
      </c>
      <c r="P4742">
        <v>583.30999999999995</v>
      </c>
      <c r="Q4742" s="37" t="str">
        <f>IF(P4742&gt;500,"High","low")</f>
        <v>High</v>
      </c>
      <c r="R4742" s="37" t="str">
        <f t="shared" si="374"/>
        <v>Good</v>
      </c>
      <c r="S4742" t="s">
        <v>609</v>
      </c>
    </row>
    <row r="4743" spans="1:19" x14ac:dyDescent="0.2">
      <c r="A4743" t="s">
        <v>5354</v>
      </c>
      <c r="B4743" t="s">
        <v>83</v>
      </c>
      <c r="C4743" t="s">
        <v>607</v>
      </c>
      <c r="D4743">
        <v>4393.5200000000004</v>
      </c>
      <c r="E4743" s="37" t="str">
        <f t="shared" si="370"/>
        <v>Excellent Order</v>
      </c>
      <c r="F4743">
        <v>0.05</v>
      </c>
      <c r="G4743" s="37" t="str">
        <f t="shared" si="371"/>
        <v>Normal Discount</v>
      </c>
      <c r="H4743" s="37" t="str">
        <f t="shared" si="372"/>
        <v>Low</v>
      </c>
      <c r="I4743">
        <v>7</v>
      </c>
      <c r="J4743" t="str" cm="1">
        <f t="array" ref="J4743">_xlfn.IFS(I4743&lt;=3,"small",I4743&lt;=6,"Medium",I4743&lt;=9,"Large")</f>
        <v>Large</v>
      </c>
      <c r="K4743" s="36">
        <v>45354</v>
      </c>
      <c r="L4743" s="36">
        <v>45357</v>
      </c>
      <c r="M4743" t="s">
        <v>612</v>
      </c>
      <c r="N4743" t="s">
        <v>599</v>
      </c>
      <c r="O4743" s="37" t="str">
        <f t="shared" si="373"/>
        <v>Digital Payment</v>
      </c>
      <c r="P4743">
        <v>1152.28</v>
      </c>
      <c r="Q4743" s="37" t="str">
        <f>IF(P4743&gt;500,"High","low")</f>
        <v>High</v>
      </c>
      <c r="R4743" s="37" t="str">
        <f t="shared" si="374"/>
        <v>Excellent</v>
      </c>
      <c r="S4743" t="s">
        <v>615</v>
      </c>
    </row>
    <row r="4744" spans="1:19" x14ac:dyDescent="0.2">
      <c r="A4744" t="s">
        <v>5355</v>
      </c>
      <c r="B4744" t="s">
        <v>67</v>
      </c>
      <c r="C4744" t="s">
        <v>617</v>
      </c>
      <c r="D4744">
        <v>4237.2</v>
      </c>
      <c r="E4744" s="37" t="str">
        <f t="shared" si="370"/>
        <v>Excellent Order</v>
      </c>
      <c r="F4744">
        <v>0.11</v>
      </c>
      <c r="G4744" s="37" t="str">
        <f t="shared" si="371"/>
        <v>Normal Discount</v>
      </c>
      <c r="H4744" s="37" t="str">
        <f t="shared" si="372"/>
        <v>Low</v>
      </c>
      <c r="I4744">
        <v>1</v>
      </c>
      <c r="J4744" t="str" cm="1">
        <f t="array" ref="J4744">_xlfn.IFS(I4744&lt;=3,"small",I4744&lt;=6,"Medium",I4744&lt;=9,"Large")</f>
        <v>small</v>
      </c>
      <c r="K4744" s="36">
        <v>44974</v>
      </c>
      <c r="L4744" s="36">
        <v>44981</v>
      </c>
      <c r="M4744" t="s">
        <v>603</v>
      </c>
      <c r="N4744" t="s">
        <v>599</v>
      </c>
      <c r="O4744" s="37" t="str">
        <f t="shared" si="373"/>
        <v>Digital Payment</v>
      </c>
      <c r="P4744">
        <v>1229.83</v>
      </c>
      <c r="Q4744" s="37" t="str">
        <f>IF(P4744&gt;500,"High","low")</f>
        <v>High</v>
      </c>
      <c r="R4744" s="37" t="str">
        <f t="shared" si="374"/>
        <v>Excellent</v>
      </c>
      <c r="S4744" t="s">
        <v>605</v>
      </c>
    </row>
    <row r="4745" spans="1:19" x14ac:dyDescent="0.2">
      <c r="A4745" t="s">
        <v>5356</v>
      </c>
      <c r="B4745" t="s">
        <v>75</v>
      </c>
      <c r="C4745" t="s">
        <v>597</v>
      </c>
      <c r="D4745">
        <v>1105.46</v>
      </c>
      <c r="E4745" s="37" t="str">
        <f t="shared" si="370"/>
        <v xml:space="preserve"> </v>
      </c>
      <c r="F4745">
        <v>0.11</v>
      </c>
      <c r="G4745" s="37" t="str">
        <f t="shared" si="371"/>
        <v>Normal Discount</v>
      </c>
      <c r="H4745" s="37" t="str">
        <f t="shared" si="372"/>
        <v>Low</v>
      </c>
      <c r="I4745">
        <v>7</v>
      </c>
      <c r="J4745" t="str" cm="1">
        <f t="array" ref="J4745">_xlfn.IFS(I4745&lt;=3,"small",I4745&lt;=6,"Medium",I4745&lt;=9,"Large")</f>
        <v>Large</v>
      </c>
      <c r="K4745" s="36">
        <v>45347</v>
      </c>
      <c r="L4745" s="36">
        <v>45352</v>
      </c>
      <c r="M4745" t="s">
        <v>603</v>
      </c>
      <c r="N4745" t="s">
        <v>604</v>
      </c>
      <c r="O4745" s="37" t="str">
        <f t="shared" si="373"/>
        <v>Digital Payment</v>
      </c>
      <c r="P4745">
        <v>129.15</v>
      </c>
      <c r="Q4745" s="37" t="str">
        <f>IF(P4745&gt;500,"High","low")</f>
        <v>low</v>
      </c>
      <c r="R4745" s="37" t="str">
        <f t="shared" si="374"/>
        <v>AVERAGE</v>
      </c>
      <c r="S4745" t="s">
        <v>605</v>
      </c>
    </row>
    <row r="4746" spans="1:19" x14ac:dyDescent="0.2">
      <c r="A4746" t="s">
        <v>5357</v>
      </c>
      <c r="B4746" t="s">
        <v>83</v>
      </c>
      <c r="C4746" t="s">
        <v>614</v>
      </c>
      <c r="D4746">
        <v>4178.46</v>
      </c>
      <c r="E4746" s="37" t="str">
        <f t="shared" si="370"/>
        <v>Excellent Order</v>
      </c>
      <c r="F4746">
        <v>0.15</v>
      </c>
      <c r="G4746" s="37" t="str">
        <f t="shared" si="371"/>
        <v>Normal Discount</v>
      </c>
      <c r="H4746" s="37" t="str">
        <f t="shared" si="372"/>
        <v>Low</v>
      </c>
      <c r="I4746">
        <v>4</v>
      </c>
      <c r="J4746" t="str" cm="1">
        <f t="array" ref="J4746">_xlfn.IFS(I4746&lt;=3,"small",I4746&lt;=6,"Medium",I4746&lt;=9,"Large")</f>
        <v>Medium</v>
      </c>
      <c r="K4746" s="36">
        <v>45531</v>
      </c>
      <c r="L4746" s="36">
        <v>45538</v>
      </c>
      <c r="M4746" t="s">
        <v>612</v>
      </c>
      <c r="N4746" t="s">
        <v>604</v>
      </c>
      <c r="O4746" s="37" t="str">
        <f t="shared" si="373"/>
        <v>Digital Payment</v>
      </c>
      <c r="P4746">
        <v>910.24</v>
      </c>
      <c r="Q4746" s="37" t="str">
        <f>IF(P4746&gt;500,"High","low")</f>
        <v>High</v>
      </c>
      <c r="R4746" s="37" t="str">
        <f t="shared" si="374"/>
        <v>Good</v>
      </c>
      <c r="S4746" t="s">
        <v>605</v>
      </c>
    </row>
    <row r="4747" spans="1:19" x14ac:dyDescent="0.2">
      <c r="A4747" t="s">
        <v>5358</v>
      </c>
      <c r="B4747" t="s">
        <v>90</v>
      </c>
      <c r="C4747" t="s">
        <v>602</v>
      </c>
      <c r="D4747">
        <v>958.35</v>
      </c>
      <c r="E4747" s="37" t="str">
        <f t="shared" si="370"/>
        <v xml:space="preserve"> </v>
      </c>
      <c r="F4747">
        <v>0.05</v>
      </c>
      <c r="G4747" s="37" t="str">
        <f t="shared" si="371"/>
        <v>Normal Discount</v>
      </c>
      <c r="H4747" s="37" t="str">
        <f t="shared" si="372"/>
        <v>Low</v>
      </c>
      <c r="I4747">
        <v>2</v>
      </c>
      <c r="J4747" t="str" cm="1">
        <f t="array" ref="J4747">_xlfn.IFS(I4747&lt;=3,"small",I4747&lt;=6,"Medium",I4747&lt;=9,"Large")</f>
        <v>small</v>
      </c>
      <c r="K4747" s="36">
        <v>45110</v>
      </c>
      <c r="L4747" s="36">
        <v>45114</v>
      </c>
      <c r="M4747" t="s">
        <v>598</v>
      </c>
      <c r="N4747" t="s">
        <v>608</v>
      </c>
      <c r="O4747" s="37" t="str">
        <f t="shared" si="373"/>
        <v>Cash Payment</v>
      </c>
      <c r="P4747">
        <v>252.73</v>
      </c>
      <c r="Q4747" s="37" t="str">
        <f>IF(P4747&gt;500,"High","low")</f>
        <v>low</v>
      </c>
      <c r="R4747" s="37" t="str">
        <f t="shared" si="374"/>
        <v>AVERAGE</v>
      </c>
      <c r="S4747" t="s">
        <v>609</v>
      </c>
    </row>
    <row r="4748" spans="1:19" x14ac:dyDescent="0.2">
      <c r="A4748" t="s">
        <v>5359</v>
      </c>
      <c r="B4748" t="s">
        <v>83</v>
      </c>
      <c r="C4748" t="s">
        <v>617</v>
      </c>
      <c r="D4748">
        <v>4332.1499999999996</v>
      </c>
      <c r="E4748" s="37" t="str">
        <f t="shared" si="370"/>
        <v>Excellent Order</v>
      </c>
      <c r="F4748">
        <v>0.12</v>
      </c>
      <c r="G4748" s="37" t="str">
        <f t="shared" si="371"/>
        <v>Normal Discount</v>
      </c>
      <c r="H4748" s="37" t="str">
        <f t="shared" si="372"/>
        <v>Low</v>
      </c>
      <c r="I4748">
        <v>6</v>
      </c>
      <c r="J4748" t="str" cm="1">
        <f t="array" ref="J4748">_xlfn.IFS(I4748&lt;=3,"small",I4748&lt;=6,"Medium",I4748&lt;=9,"Large")</f>
        <v>Medium</v>
      </c>
      <c r="K4748" s="36">
        <v>45182</v>
      </c>
      <c r="L4748" s="36">
        <v>45185</v>
      </c>
      <c r="M4748" t="s">
        <v>598</v>
      </c>
      <c r="N4748" t="s">
        <v>599</v>
      </c>
      <c r="O4748" s="37" t="str">
        <f t="shared" si="373"/>
        <v>Digital Payment</v>
      </c>
      <c r="P4748">
        <v>954.84</v>
      </c>
      <c r="Q4748" s="37" t="str">
        <f>IF(P4748&gt;500,"High","low")</f>
        <v>High</v>
      </c>
      <c r="R4748" s="37" t="str">
        <f t="shared" si="374"/>
        <v>Good</v>
      </c>
      <c r="S4748" t="s">
        <v>620</v>
      </c>
    </row>
    <row r="4749" spans="1:19" x14ac:dyDescent="0.2">
      <c r="A4749" t="s">
        <v>5360</v>
      </c>
      <c r="B4749" t="s">
        <v>67</v>
      </c>
      <c r="C4749" t="s">
        <v>614</v>
      </c>
      <c r="D4749">
        <v>3874.57</v>
      </c>
      <c r="E4749" s="37" t="str">
        <f t="shared" si="370"/>
        <v xml:space="preserve"> </v>
      </c>
      <c r="F4749">
        <v>0.46</v>
      </c>
      <c r="G4749" s="37" t="str">
        <f t="shared" si="371"/>
        <v>Heavy Discount</v>
      </c>
      <c r="H4749" s="37" t="str">
        <f t="shared" si="372"/>
        <v>High</v>
      </c>
      <c r="I4749">
        <v>7</v>
      </c>
      <c r="J4749" t="str" cm="1">
        <f t="array" ref="J4749">_xlfn.IFS(I4749&lt;=3,"small",I4749&lt;=6,"Medium",I4749&lt;=9,"Large")</f>
        <v>Large</v>
      </c>
      <c r="K4749" s="36">
        <v>45471</v>
      </c>
      <c r="L4749" s="36">
        <v>45476</v>
      </c>
      <c r="M4749" t="s">
        <v>598</v>
      </c>
      <c r="N4749" t="s">
        <v>604</v>
      </c>
      <c r="O4749" s="37" t="str">
        <f t="shared" si="373"/>
        <v>Digital Payment</v>
      </c>
      <c r="P4749">
        <v>860.26</v>
      </c>
      <c r="Q4749" s="37" t="str">
        <f>IF(P4749&gt;500,"High","low")</f>
        <v>High</v>
      </c>
      <c r="R4749" s="37" t="str">
        <f t="shared" si="374"/>
        <v>Good</v>
      </c>
      <c r="S4749" t="s">
        <v>609</v>
      </c>
    </row>
    <row r="4750" spans="1:19" x14ac:dyDescent="0.2">
      <c r="A4750" t="s">
        <v>5361</v>
      </c>
      <c r="B4750" t="s">
        <v>90</v>
      </c>
      <c r="C4750" t="s">
        <v>614</v>
      </c>
      <c r="D4750">
        <v>2892.32</v>
      </c>
      <c r="E4750" s="37" t="str">
        <f t="shared" si="370"/>
        <v xml:space="preserve"> </v>
      </c>
      <c r="F4750">
        <v>0.45</v>
      </c>
      <c r="G4750" s="37" t="str">
        <f t="shared" si="371"/>
        <v>Heavy Discount</v>
      </c>
      <c r="H4750" s="37" t="str">
        <f t="shared" si="372"/>
        <v>High</v>
      </c>
      <c r="I4750">
        <v>7</v>
      </c>
      <c r="J4750" t="str" cm="1">
        <f t="array" ref="J4750">_xlfn.IFS(I4750&lt;=3,"small",I4750&lt;=6,"Medium",I4750&lt;=9,"Large")</f>
        <v>Large</v>
      </c>
      <c r="K4750" s="36">
        <v>45145</v>
      </c>
      <c r="L4750" s="36">
        <v>45151</v>
      </c>
      <c r="M4750" t="s">
        <v>598</v>
      </c>
      <c r="N4750" t="s">
        <v>599</v>
      </c>
      <c r="O4750" s="37" t="str">
        <f t="shared" si="373"/>
        <v>Digital Payment</v>
      </c>
      <c r="P4750">
        <v>735.74</v>
      </c>
      <c r="Q4750" s="37" t="str">
        <f>IF(P4750&gt;500,"High","low")</f>
        <v>High</v>
      </c>
      <c r="R4750" s="37" t="str">
        <f t="shared" si="374"/>
        <v>Good</v>
      </c>
      <c r="S4750" t="s">
        <v>615</v>
      </c>
    </row>
    <row r="4751" spans="1:19" x14ac:dyDescent="0.2">
      <c r="A4751" t="s">
        <v>5362</v>
      </c>
      <c r="B4751" t="s">
        <v>75</v>
      </c>
      <c r="C4751" t="s">
        <v>597</v>
      </c>
      <c r="D4751">
        <v>3246.89</v>
      </c>
      <c r="E4751" s="37" t="str">
        <f t="shared" si="370"/>
        <v xml:space="preserve"> </v>
      </c>
      <c r="F4751">
        <v>0.16</v>
      </c>
      <c r="G4751" s="37" t="str">
        <f t="shared" si="371"/>
        <v>Normal Discount</v>
      </c>
      <c r="H4751" s="37" t="str">
        <f t="shared" si="372"/>
        <v>Low</v>
      </c>
      <c r="I4751">
        <v>8</v>
      </c>
      <c r="J4751" t="str" cm="1">
        <f t="array" ref="J4751">_xlfn.IFS(I4751&lt;=3,"small",I4751&lt;=6,"Medium",I4751&lt;=9,"Large")</f>
        <v>Large</v>
      </c>
      <c r="K4751" s="36">
        <v>45345</v>
      </c>
      <c r="L4751" s="36">
        <v>45346</v>
      </c>
      <c r="M4751" t="s">
        <v>612</v>
      </c>
      <c r="N4751" t="s">
        <v>599</v>
      </c>
      <c r="O4751" s="37" t="str">
        <f t="shared" si="373"/>
        <v>Digital Payment</v>
      </c>
      <c r="P4751">
        <v>732.63</v>
      </c>
      <c r="Q4751" s="37" t="str">
        <f>IF(P4751&gt;500,"High","low")</f>
        <v>High</v>
      </c>
      <c r="R4751" s="37" t="str">
        <f t="shared" si="374"/>
        <v>Good</v>
      </c>
      <c r="S4751" t="s">
        <v>628</v>
      </c>
    </row>
    <row r="4752" spans="1:19" x14ac:dyDescent="0.2">
      <c r="A4752" t="s">
        <v>5363</v>
      </c>
      <c r="B4752" t="s">
        <v>90</v>
      </c>
      <c r="C4752" t="s">
        <v>607</v>
      </c>
      <c r="D4752">
        <v>609.99</v>
      </c>
      <c r="E4752" s="37" t="str">
        <f t="shared" si="370"/>
        <v xml:space="preserve"> </v>
      </c>
      <c r="F4752">
        <v>0.5</v>
      </c>
      <c r="G4752" s="37" t="str">
        <f t="shared" si="371"/>
        <v>Heavy Discount</v>
      </c>
      <c r="H4752" s="37" t="str">
        <f t="shared" si="372"/>
        <v>High</v>
      </c>
      <c r="I4752">
        <v>5</v>
      </c>
      <c r="J4752" t="str" cm="1">
        <f t="array" ref="J4752">_xlfn.IFS(I4752&lt;=3,"small",I4752&lt;=6,"Medium",I4752&lt;=9,"Large")</f>
        <v>Medium</v>
      </c>
      <c r="K4752" s="36">
        <v>45028</v>
      </c>
      <c r="L4752" s="36">
        <v>45029</v>
      </c>
      <c r="M4752" t="s">
        <v>612</v>
      </c>
      <c r="N4752" t="s">
        <v>599</v>
      </c>
      <c r="O4752" s="37" t="str">
        <f t="shared" si="373"/>
        <v>Digital Payment</v>
      </c>
      <c r="P4752">
        <v>156.62</v>
      </c>
      <c r="Q4752" s="37" t="str">
        <f>IF(P4752&gt;500,"High","low")</f>
        <v>low</v>
      </c>
      <c r="R4752" s="37" t="str">
        <f t="shared" si="374"/>
        <v>AVERAGE</v>
      </c>
      <c r="S4752" t="s">
        <v>609</v>
      </c>
    </row>
    <row r="4753" spans="1:19" x14ac:dyDescent="0.2">
      <c r="A4753" t="s">
        <v>5364</v>
      </c>
      <c r="B4753" t="s">
        <v>75</v>
      </c>
      <c r="C4753" t="s">
        <v>607</v>
      </c>
      <c r="D4753">
        <v>295.44</v>
      </c>
      <c r="E4753" s="37" t="str">
        <f t="shared" si="370"/>
        <v xml:space="preserve"> </v>
      </c>
      <c r="F4753">
        <v>0.15</v>
      </c>
      <c r="G4753" s="37" t="str">
        <f t="shared" si="371"/>
        <v>Normal Discount</v>
      </c>
      <c r="H4753" s="37" t="str">
        <f t="shared" si="372"/>
        <v>Low</v>
      </c>
      <c r="I4753">
        <v>8</v>
      </c>
      <c r="J4753" t="str" cm="1">
        <f t="array" ref="J4753">_xlfn.IFS(I4753&lt;=3,"small",I4753&lt;=6,"Medium",I4753&lt;=9,"Large")</f>
        <v>Large</v>
      </c>
      <c r="K4753" s="36">
        <v>45294</v>
      </c>
      <c r="L4753" s="36">
        <v>45298</v>
      </c>
      <c r="M4753" t="s">
        <v>612</v>
      </c>
      <c r="N4753" t="s">
        <v>604</v>
      </c>
      <c r="O4753" s="37" t="str">
        <f t="shared" si="373"/>
        <v>Digital Payment</v>
      </c>
      <c r="P4753">
        <v>87.98</v>
      </c>
      <c r="Q4753" s="37" t="str">
        <f>IF(P4753&gt;500,"High","low")</f>
        <v>low</v>
      </c>
      <c r="R4753" s="37" t="str">
        <f t="shared" si="374"/>
        <v>AVERAGE</v>
      </c>
      <c r="S4753" t="s">
        <v>609</v>
      </c>
    </row>
    <row r="4754" spans="1:19" x14ac:dyDescent="0.2">
      <c r="A4754" t="s">
        <v>5365</v>
      </c>
      <c r="B4754" t="s">
        <v>75</v>
      </c>
      <c r="C4754" t="s">
        <v>607</v>
      </c>
      <c r="D4754">
        <v>1720.17</v>
      </c>
      <c r="E4754" s="37" t="str">
        <f t="shared" si="370"/>
        <v xml:space="preserve"> </v>
      </c>
      <c r="F4754">
        <v>0.36</v>
      </c>
      <c r="G4754" s="37" t="str">
        <f t="shared" si="371"/>
        <v>Heavy Discount</v>
      </c>
      <c r="H4754" s="37" t="str">
        <f t="shared" si="372"/>
        <v>Medium</v>
      </c>
      <c r="I4754">
        <v>4</v>
      </c>
      <c r="J4754" t="str" cm="1">
        <f t="array" ref="J4754">_xlfn.IFS(I4754&lt;=3,"small",I4754&lt;=6,"Medium",I4754&lt;=9,"Large")</f>
        <v>Medium</v>
      </c>
      <c r="K4754" s="36">
        <v>45228</v>
      </c>
      <c r="L4754" s="36">
        <v>45230</v>
      </c>
      <c r="M4754" t="s">
        <v>598</v>
      </c>
      <c r="N4754" t="s">
        <v>608</v>
      </c>
      <c r="O4754" s="37" t="str">
        <f t="shared" si="373"/>
        <v>Cash Payment</v>
      </c>
      <c r="P4754">
        <v>319.95999999999998</v>
      </c>
      <c r="Q4754" s="37" t="str">
        <f>IF(P4754&gt;500,"High","low")</f>
        <v>low</v>
      </c>
      <c r="R4754" s="37" t="str">
        <f t="shared" si="374"/>
        <v>AVERAGE</v>
      </c>
      <c r="S4754" t="s">
        <v>615</v>
      </c>
    </row>
    <row r="4755" spans="1:19" x14ac:dyDescent="0.2">
      <c r="A4755" t="s">
        <v>5366</v>
      </c>
      <c r="B4755" t="s">
        <v>83</v>
      </c>
      <c r="C4755" t="s">
        <v>602</v>
      </c>
      <c r="D4755">
        <v>4124.8900000000003</v>
      </c>
      <c r="E4755" s="37" t="str">
        <f t="shared" si="370"/>
        <v>Excellent Order</v>
      </c>
      <c r="F4755">
        <v>0.32</v>
      </c>
      <c r="G4755" s="37" t="str">
        <f t="shared" si="371"/>
        <v>Heavy Discount</v>
      </c>
      <c r="H4755" s="37" t="str">
        <f t="shared" si="372"/>
        <v>Medium</v>
      </c>
      <c r="I4755">
        <v>1</v>
      </c>
      <c r="J4755" t="str" cm="1">
        <f t="array" ref="J4755">_xlfn.IFS(I4755&lt;=3,"small",I4755&lt;=6,"Medium",I4755&lt;=9,"Large")</f>
        <v>small</v>
      </c>
      <c r="K4755" s="36">
        <v>45512</v>
      </c>
      <c r="L4755" s="36">
        <v>45519</v>
      </c>
      <c r="M4755" t="s">
        <v>598</v>
      </c>
      <c r="N4755" t="s">
        <v>599</v>
      </c>
      <c r="O4755" s="37" t="str">
        <f t="shared" si="373"/>
        <v>Digital Payment</v>
      </c>
      <c r="P4755">
        <v>892.97</v>
      </c>
      <c r="Q4755" s="37" t="str">
        <f>IF(P4755&gt;500,"High","low")</f>
        <v>High</v>
      </c>
      <c r="R4755" s="37" t="str">
        <f t="shared" si="374"/>
        <v>Good</v>
      </c>
      <c r="S4755" t="s">
        <v>620</v>
      </c>
    </row>
    <row r="4756" spans="1:19" x14ac:dyDescent="0.2">
      <c r="A4756" t="s">
        <v>5367</v>
      </c>
      <c r="B4756" t="s">
        <v>83</v>
      </c>
      <c r="C4756" t="s">
        <v>614</v>
      </c>
      <c r="D4756">
        <v>2382.35</v>
      </c>
      <c r="E4756" s="37" t="str">
        <f t="shared" si="370"/>
        <v xml:space="preserve"> </v>
      </c>
      <c r="F4756">
        <v>0.03</v>
      </c>
      <c r="G4756" s="37" t="str">
        <f t="shared" si="371"/>
        <v>Normal Discount</v>
      </c>
      <c r="H4756" s="37" t="str">
        <f t="shared" si="372"/>
        <v>Low</v>
      </c>
      <c r="I4756">
        <v>8</v>
      </c>
      <c r="J4756" t="str" cm="1">
        <f t="array" ref="J4756">_xlfn.IFS(I4756&lt;=3,"small",I4756&lt;=6,"Medium",I4756&lt;=9,"Large")</f>
        <v>Large</v>
      </c>
      <c r="K4756" s="36">
        <v>44962</v>
      </c>
      <c r="L4756" s="36">
        <v>44969</v>
      </c>
      <c r="M4756" t="s">
        <v>603</v>
      </c>
      <c r="N4756" t="s">
        <v>604</v>
      </c>
      <c r="O4756" s="37" t="str">
        <f t="shared" si="373"/>
        <v>Digital Payment</v>
      </c>
      <c r="P4756">
        <v>485.54</v>
      </c>
      <c r="Q4756" s="37" t="str">
        <f>IF(P4756&gt;500,"High","low")</f>
        <v>low</v>
      </c>
      <c r="R4756" s="37" t="str">
        <f t="shared" si="374"/>
        <v>AVERAGE</v>
      </c>
      <c r="S4756" t="s">
        <v>609</v>
      </c>
    </row>
    <row r="4757" spans="1:19" x14ac:dyDescent="0.2">
      <c r="A4757" t="s">
        <v>5368</v>
      </c>
      <c r="B4757" t="s">
        <v>83</v>
      </c>
      <c r="C4757" t="s">
        <v>602</v>
      </c>
      <c r="D4757">
        <v>1194.6300000000001</v>
      </c>
      <c r="E4757" s="37" t="str">
        <f t="shared" si="370"/>
        <v xml:space="preserve"> </v>
      </c>
      <c r="F4757">
        <v>0.17</v>
      </c>
      <c r="G4757" s="37" t="str">
        <f t="shared" si="371"/>
        <v>Normal Discount</v>
      </c>
      <c r="H4757" s="37" t="str">
        <f t="shared" si="372"/>
        <v>Low</v>
      </c>
      <c r="I4757">
        <v>4</v>
      </c>
      <c r="J4757" t="str" cm="1">
        <f t="array" ref="J4757">_xlfn.IFS(I4757&lt;=3,"small",I4757&lt;=6,"Medium",I4757&lt;=9,"Large")</f>
        <v>Medium</v>
      </c>
      <c r="K4757" s="36">
        <v>45354</v>
      </c>
      <c r="L4757" s="36">
        <v>45360</v>
      </c>
      <c r="M4757" t="s">
        <v>612</v>
      </c>
      <c r="N4757" t="s">
        <v>604</v>
      </c>
      <c r="O4757" s="37" t="str">
        <f t="shared" si="373"/>
        <v>Digital Payment</v>
      </c>
      <c r="P4757">
        <v>143.93</v>
      </c>
      <c r="Q4757" s="37" t="str">
        <f>IF(P4757&gt;500,"High","low")</f>
        <v>low</v>
      </c>
      <c r="R4757" s="37" t="str">
        <f t="shared" si="374"/>
        <v>AVERAGE</v>
      </c>
      <c r="S4757" t="s">
        <v>620</v>
      </c>
    </row>
    <row r="4758" spans="1:19" x14ac:dyDescent="0.2">
      <c r="A4758" t="s">
        <v>5369</v>
      </c>
      <c r="B4758" t="s">
        <v>67</v>
      </c>
      <c r="C4758" t="s">
        <v>614</v>
      </c>
      <c r="D4758">
        <v>4189.29</v>
      </c>
      <c r="E4758" s="37" t="str">
        <f t="shared" si="370"/>
        <v>Excellent Order</v>
      </c>
      <c r="F4758">
        <v>0.48</v>
      </c>
      <c r="G4758" s="37" t="str">
        <f t="shared" si="371"/>
        <v>Heavy Discount</v>
      </c>
      <c r="H4758" s="37" t="str">
        <f t="shared" si="372"/>
        <v>High</v>
      </c>
      <c r="I4758">
        <v>5</v>
      </c>
      <c r="J4758" t="str" cm="1">
        <f t="array" ref="J4758">_xlfn.IFS(I4758&lt;=3,"small",I4758&lt;=6,"Medium",I4758&lt;=9,"Large")</f>
        <v>Medium</v>
      </c>
      <c r="K4758" s="36">
        <v>45061</v>
      </c>
      <c r="L4758" s="36">
        <v>45064</v>
      </c>
      <c r="M4758" t="s">
        <v>612</v>
      </c>
      <c r="N4758" t="s">
        <v>608</v>
      </c>
      <c r="O4758" s="37" t="str">
        <f t="shared" si="373"/>
        <v>Cash Payment</v>
      </c>
      <c r="P4758">
        <v>1082.1099999999999</v>
      </c>
      <c r="Q4758" s="37" t="str">
        <f>IF(P4758&gt;500,"High","low")</f>
        <v>High</v>
      </c>
      <c r="R4758" s="37" t="str">
        <f t="shared" si="374"/>
        <v>Excellent</v>
      </c>
      <c r="S4758" t="s">
        <v>628</v>
      </c>
    </row>
    <row r="4759" spans="1:19" x14ac:dyDescent="0.2">
      <c r="A4759" t="s">
        <v>5370</v>
      </c>
      <c r="B4759" t="s">
        <v>67</v>
      </c>
      <c r="C4759" t="s">
        <v>597</v>
      </c>
      <c r="D4759">
        <v>1220.27</v>
      </c>
      <c r="E4759" s="37" t="str">
        <f t="shared" si="370"/>
        <v xml:space="preserve"> </v>
      </c>
      <c r="F4759">
        <v>0.03</v>
      </c>
      <c r="G4759" s="37" t="str">
        <f t="shared" si="371"/>
        <v>Normal Discount</v>
      </c>
      <c r="H4759" s="37" t="str">
        <f t="shared" si="372"/>
        <v>Low</v>
      </c>
      <c r="I4759">
        <v>4</v>
      </c>
      <c r="J4759" t="str" cm="1">
        <f t="array" ref="J4759">_xlfn.IFS(I4759&lt;=3,"small",I4759&lt;=6,"Medium",I4759&lt;=9,"Large")</f>
        <v>Medium</v>
      </c>
      <c r="K4759" s="36">
        <v>45211</v>
      </c>
      <c r="L4759" s="36">
        <v>45217</v>
      </c>
      <c r="M4759" t="s">
        <v>598</v>
      </c>
      <c r="N4759" t="s">
        <v>599</v>
      </c>
      <c r="O4759" s="37" t="str">
        <f t="shared" si="373"/>
        <v>Digital Payment</v>
      </c>
      <c r="P4759">
        <v>178.86</v>
      </c>
      <c r="Q4759" s="37" t="str">
        <f>IF(P4759&gt;500,"High","low")</f>
        <v>low</v>
      </c>
      <c r="R4759" s="37" t="str">
        <f t="shared" si="374"/>
        <v>AVERAGE</v>
      </c>
      <c r="S4759" t="s">
        <v>628</v>
      </c>
    </row>
    <row r="4760" spans="1:19" x14ac:dyDescent="0.2">
      <c r="A4760" t="s">
        <v>5371</v>
      </c>
      <c r="B4760" t="s">
        <v>83</v>
      </c>
      <c r="C4760" t="s">
        <v>597</v>
      </c>
      <c r="D4760">
        <v>4095.92</v>
      </c>
      <c r="E4760" s="37" t="str">
        <f t="shared" si="370"/>
        <v>Excellent Order</v>
      </c>
      <c r="F4760">
        <v>0.09</v>
      </c>
      <c r="G4760" s="37" t="str">
        <f t="shared" si="371"/>
        <v>Normal Discount</v>
      </c>
      <c r="H4760" s="37" t="str">
        <f t="shared" si="372"/>
        <v>Low</v>
      </c>
      <c r="I4760">
        <v>7</v>
      </c>
      <c r="J4760" t="str" cm="1">
        <f t="array" ref="J4760">_xlfn.IFS(I4760&lt;=3,"small",I4760&lt;=6,"Medium",I4760&lt;=9,"Large")</f>
        <v>Large</v>
      </c>
      <c r="K4760" s="36">
        <v>45646</v>
      </c>
      <c r="L4760" s="36">
        <v>45651</v>
      </c>
      <c r="M4760" t="s">
        <v>598</v>
      </c>
      <c r="N4760" t="s">
        <v>599</v>
      </c>
      <c r="O4760" s="37" t="str">
        <f t="shared" si="373"/>
        <v>Digital Payment</v>
      </c>
      <c r="P4760">
        <v>1182.44</v>
      </c>
      <c r="Q4760" s="37" t="str">
        <f>IF(P4760&gt;500,"High","low")</f>
        <v>High</v>
      </c>
      <c r="R4760" s="37" t="str">
        <f t="shared" si="374"/>
        <v>Excellent</v>
      </c>
      <c r="S4760" t="s">
        <v>600</v>
      </c>
    </row>
    <row r="4761" spans="1:19" x14ac:dyDescent="0.2">
      <c r="A4761" t="s">
        <v>5372</v>
      </c>
      <c r="B4761" t="s">
        <v>67</v>
      </c>
      <c r="C4761" t="s">
        <v>602</v>
      </c>
      <c r="D4761">
        <v>2319.6</v>
      </c>
      <c r="E4761" s="37" t="str">
        <f t="shared" si="370"/>
        <v xml:space="preserve"> </v>
      </c>
      <c r="F4761">
        <v>0.49</v>
      </c>
      <c r="G4761" s="37" t="str">
        <f t="shared" si="371"/>
        <v>Heavy Discount</v>
      </c>
      <c r="H4761" s="37" t="str">
        <f t="shared" si="372"/>
        <v>High</v>
      </c>
      <c r="I4761">
        <v>3</v>
      </c>
      <c r="J4761" t="str" cm="1">
        <f t="array" ref="J4761">_xlfn.IFS(I4761&lt;=3,"small",I4761&lt;=6,"Medium",I4761&lt;=9,"Large")</f>
        <v>small</v>
      </c>
      <c r="K4761" s="36">
        <v>45503</v>
      </c>
      <c r="L4761" s="36">
        <v>45510</v>
      </c>
      <c r="M4761" t="s">
        <v>598</v>
      </c>
      <c r="N4761" t="s">
        <v>608</v>
      </c>
      <c r="O4761" s="37" t="str">
        <f t="shared" si="373"/>
        <v>Cash Payment</v>
      </c>
      <c r="P4761">
        <v>595.55999999999995</v>
      </c>
      <c r="Q4761" s="37" t="str">
        <f>IF(P4761&gt;500,"High","low")</f>
        <v>High</v>
      </c>
      <c r="R4761" s="37" t="str">
        <f t="shared" si="374"/>
        <v>Good</v>
      </c>
      <c r="S4761" t="s">
        <v>620</v>
      </c>
    </row>
    <row r="4762" spans="1:19" x14ac:dyDescent="0.2">
      <c r="A4762" t="s">
        <v>5373</v>
      </c>
      <c r="B4762" t="s">
        <v>90</v>
      </c>
      <c r="C4762" t="s">
        <v>602</v>
      </c>
      <c r="D4762">
        <v>2371.12</v>
      </c>
      <c r="E4762" s="37" t="str">
        <f t="shared" si="370"/>
        <v xml:space="preserve"> </v>
      </c>
      <c r="F4762">
        <v>0.02</v>
      </c>
      <c r="G4762" s="37" t="str">
        <f t="shared" si="371"/>
        <v>Normal Discount</v>
      </c>
      <c r="H4762" s="37" t="str">
        <f t="shared" si="372"/>
        <v>Low</v>
      </c>
      <c r="I4762">
        <v>2</v>
      </c>
      <c r="J4762" t="str" cm="1">
        <f t="array" ref="J4762">_xlfn.IFS(I4762&lt;=3,"small",I4762&lt;=6,"Medium",I4762&lt;=9,"Large")</f>
        <v>small</v>
      </c>
      <c r="K4762" s="36">
        <v>45242</v>
      </c>
      <c r="L4762" s="36">
        <v>45249</v>
      </c>
      <c r="M4762" t="s">
        <v>598</v>
      </c>
      <c r="N4762" t="s">
        <v>599</v>
      </c>
      <c r="O4762" s="37" t="str">
        <f t="shared" si="373"/>
        <v>Digital Payment</v>
      </c>
      <c r="P4762">
        <v>210.45</v>
      </c>
      <c r="Q4762" s="37" t="str">
        <f>IF(P4762&gt;500,"High","low")</f>
        <v>low</v>
      </c>
      <c r="R4762" s="37" t="str">
        <f t="shared" si="374"/>
        <v>AVERAGE</v>
      </c>
      <c r="S4762" t="s">
        <v>620</v>
      </c>
    </row>
    <row r="4763" spans="1:19" x14ac:dyDescent="0.2">
      <c r="A4763" t="s">
        <v>5374</v>
      </c>
      <c r="B4763" t="s">
        <v>90</v>
      </c>
      <c r="C4763" t="s">
        <v>597</v>
      </c>
      <c r="D4763">
        <v>1436.33</v>
      </c>
      <c r="E4763" s="37" t="str">
        <f t="shared" si="370"/>
        <v xml:space="preserve"> </v>
      </c>
      <c r="F4763">
        <v>0.22</v>
      </c>
      <c r="G4763" s="37" t="str">
        <f t="shared" si="371"/>
        <v>Normal Discount</v>
      </c>
      <c r="H4763" s="37" t="str">
        <f t="shared" si="372"/>
        <v>Medium</v>
      </c>
      <c r="I4763">
        <v>2</v>
      </c>
      <c r="J4763" t="str" cm="1">
        <f t="array" ref="J4763">_xlfn.IFS(I4763&lt;=3,"small",I4763&lt;=6,"Medium",I4763&lt;=9,"Large")</f>
        <v>small</v>
      </c>
      <c r="K4763" s="36">
        <v>45294</v>
      </c>
      <c r="L4763" s="36">
        <v>45298</v>
      </c>
      <c r="M4763" t="s">
        <v>612</v>
      </c>
      <c r="N4763" t="s">
        <v>599</v>
      </c>
      <c r="O4763" s="37" t="str">
        <f t="shared" si="373"/>
        <v>Digital Payment</v>
      </c>
      <c r="P4763">
        <v>93.3</v>
      </c>
      <c r="Q4763" s="37" t="str">
        <f>IF(P4763&gt;500,"High","low")</f>
        <v>low</v>
      </c>
      <c r="R4763" s="37" t="str">
        <f t="shared" si="374"/>
        <v>AVERAGE</v>
      </c>
      <c r="S4763" t="s">
        <v>609</v>
      </c>
    </row>
    <row r="4764" spans="1:19" x14ac:dyDescent="0.2">
      <c r="A4764" t="s">
        <v>5375</v>
      </c>
      <c r="B4764" t="s">
        <v>67</v>
      </c>
      <c r="C4764" t="s">
        <v>617</v>
      </c>
      <c r="D4764">
        <v>4510.8500000000004</v>
      </c>
      <c r="E4764" s="37" t="str">
        <f t="shared" si="370"/>
        <v xml:space="preserve"> </v>
      </c>
      <c r="F4764">
        <v>0.46</v>
      </c>
      <c r="G4764" s="37" t="str">
        <f t="shared" si="371"/>
        <v>Heavy Discount</v>
      </c>
      <c r="H4764" s="37" t="str">
        <f t="shared" si="372"/>
        <v>High</v>
      </c>
      <c r="I4764">
        <v>7</v>
      </c>
      <c r="J4764" t="str" cm="1">
        <f t="array" ref="J4764">_xlfn.IFS(I4764&lt;=3,"small",I4764&lt;=6,"Medium",I4764&lt;=9,"Large")</f>
        <v>Large</v>
      </c>
      <c r="K4764" s="36">
        <v>45217</v>
      </c>
      <c r="L4764" s="36">
        <v>45221</v>
      </c>
      <c r="M4764" t="s">
        <v>598</v>
      </c>
      <c r="N4764" t="s">
        <v>604</v>
      </c>
      <c r="O4764" s="37" t="str">
        <f t="shared" si="373"/>
        <v>Digital Payment</v>
      </c>
      <c r="P4764">
        <v>383.61</v>
      </c>
      <c r="Q4764" s="37" t="str">
        <f>IF(P4764&gt;500,"High","low")</f>
        <v>low</v>
      </c>
      <c r="R4764" s="37" t="str">
        <f t="shared" si="374"/>
        <v>AVERAGE</v>
      </c>
      <c r="S4764" t="s">
        <v>605</v>
      </c>
    </row>
    <row r="4765" spans="1:19" x14ac:dyDescent="0.2">
      <c r="A4765" t="s">
        <v>5376</v>
      </c>
      <c r="B4765" t="s">
        <v>67</v>
      </c>
      <c r="C4765" t="s">
        <v>607</v>
      </c>
      <c r="D4765">
        <v>535.04999999999995</v>
      </c>
      <c r="E4765" s="37" t="str">
        <f t="shared" si="370"/>
        <v xml:space="preserve"> </v>
      </c>
      <c r="F4765">
        <v>0.47</v>
      </c>
      <c r="G4765" s="37" t="str">
        <f t="shared" si="371"/>
        <v>Heavy Discount</v>
      </c>
      <c r="H4765" s="37" t="str">
        <f t="shared" si="372"/>
        <v>High</v>
      </c>
      <c r="I4765">
        <v>6</v>
      </c>
      <c r="J4765" t="str" cm="1">
        <f t="array" ref="J4765">_xlfn.IFS(I4765&lt;=3,"small",I4765&lt;=6,"Medium",I4765&lt;=9,"Large")</f>
        <v>Medium</v>
      </c>
      <c r="K4765" s="36">
        <v>45165</v>
      </c>
      <c r="L4765" s="36">
        <v>45171</v>
      </c>
      <c r="M4765" t="s">
        <v>603</v>
      </c>
      <c r="N4765" t="s">
        <v>604</v>
      </c>
      <c r="O4765" s="37" t="str">
        <f t="shared" si="373"/>
        <v>Digital Payment</v>
      </c>
      <c r="P4765">
        <v>130.91</v>
      </c>
      <c r="Q4765" s="37" t="str">
        <f>IF(P4765&gt;500,"High","low")</f>
        <v>low</v>
      </c>
      <c r="R4765" s="37" t="str">
        <f t="shared" si="374"/>
        <v>AVERAGE</v>
      </c>
      <c r="S4765" t="s">
        <v>605</v>
      </c>
    </row>
    <row r="4766" spans="1:19" x14ac:dyDescent="0.2">
      <c r="A4766" t="s">
        <v>5377</v>
      </c>
      <c r="B4766" t="s">
        <v>90</v>
      </c>
      <c r="C4766" t="s">
        <v>607</v>
      </c>
      <c r="D4766">
        <v>807.59</v>
      </c>
      <c r="E4766" s="37" t="str">
        <f t="shared" si="370"/>
        <v xml:space="preserve"> </v>
      </c>
      <c r="F4766">
        <v>0.49</v>
      </c>
      <c r="G4766" s="37" t="str">
        <f t="shared" si="371"/>
        <v>Heavy Discount</v>
      </c>
      <c r="H4766" s="37" t="str">
        <f t="shared" si="372"/>
        <v>High</v>
      </c>
      <c r="I4766">
        <v>2</v>
      </c>
      <c r="J4766" t="str" cm="1">
        <f t="array" ref="J4766">_xlfn.IFS(I4766&lt;=3,"small",I4766&lt;=6,"Medium",I4766&lt;=9,"Large")</f>
        <v>small</v>
      </c>
      <c r="K4766" s="36">
        <v>45623</v>
      </c>
      <c r="L4766" s="36">
        <v>45629</v>
      </c>
      <c r="M4766" t="s">
        <v>598</v>
      </c>
      <c r="N4766" t="s">
        <v>604</v>
      </c>
      <c r="O4766" s="37" t="str">
        <f t="shared" si="373"/>
        <v>Digital Payment</v>
      </c>
      <c r="P4766">
        <v>187.6</v>
      </c>
      <c r="Q4766" s="37" t="str">
        <f>IF(P4766&gt;500,"High","low")</f>
        <v>low</v>
      </c>
      <c r="R4766" s="37" t="str">
        <f t="shared" si="374"/>
        <v>AVERAGE</v>
      </c>
      <c r="S4766" t="s">
        <v>605</v>
      </c>
    </row>
    <row r="4767" spans="1:19" x14ac:dyDescent="0.2">
      <c r="A4767" t="s">
        <v>5378</v>
      </c>
      <c r="B4767" t="s">
        <v>75</v>
      </c>
      <c r="C4767" t="s">
        <v>597</v>
      </c>
      <c r="D4767">
        <v>3215.84</v>
      </c>
      <c r="E4767" s="37" t="str">
        <f t="shared" si="370"/>
        <v xml:space="preserve"> </v>
      </c>
      <c r="F4767">
        <v>0.24</v>
      </c>
      <c r="G4767" s="37" t="str">
        <f t="shared" si="371"/>
        <v>Normal Discount</v>
      </c>
      <c r="H4767" s="37" t="str">
        <f t="shared" si="372"/>
        <v>Medium</v>
      </c>
      <c r="I4767">
        <v>8</v>
      </c>
      <c r="J4767" t="str" cm="1">
        <f t="array" ref="J4767">_xlfn.IFS(I4767&lt;=3,"small",I4767&lt;=6,"Medium",I4767&lt;=9,"Large")</f>
        <v>Large</v>
      </c>
      <c r="K4767" s="36">
        <v>44955</v>
      </c>
      <c r="L4767" s="36">
        <v>44960</v>
      </c>
      <c r="M4767" t="s">
        <v>603</v>
      </c>
      <c r="N4767" t="s">
        <v>604</v>
      </c>
      <c r="O4767" s="37" t="str">
        <f t="shared" si="373"/>
        <v>Digital Payment</v>
      </c>
      <c r="P4767">
        <v>645</v>
      </c>
      <c r="Q4767" s="37" t="str">
        <f>IF(P4767&gt;500,"High","low")</f>
        <v>High</v>
      </c>
      <c r="R4767" s="37" t="str">
        <f t="shared" si="374"/>
        <v>Good</v>
      </c>
      <c r="S4767" t="s">
        <v>605</v>
      </c>
    </row>
    <row r="4768" spans="1:19" x14ac:dyDescent="0.2">
      <c r="A4768" t="s">
        <v>5379</v>
      </c>
      <c r="B4768" t="s">
        <v>90</v>
      </c>
      <c r="C4768" t="s">
        <v>607</v>
      </c>
      <c r="D4768">
        <v>4265.5600000000004</v>
      </c>
      <c r="E4768" s="37" t="str">
        <f t="shared" si="370"/>
        <v xml:space="preserve"> </v>
      </c>
      <c r="F4768">
        <v>0.04</v>
      </c>
      <c r="G4768" s="37" t="str">
        <f t="shared" si="371"/>
        <v>Normal Discount</v>
      </c>
      <c r="H4768" s="37" t="str">
        <f t="shared" si="372"/>
        <v>Low</v>
      </c>
      <c r="I4768">
        <v>6</v>
      </c>
      <c r="J4768" t="str" cm="1">
        <f t="array" ref="J4768">_xlfn.IFS(I4768&lt;=3,"small",I4768&lt;=6,"Medium",I4768&lt;=9,"Large")</f>
        <v>Medium</v>
      </c>
      <c r="K4768" s="36">
        <v>45131</v>
      </c>
      <c r="L4768" s="36">
        <v>45133</v>
      </c>
      <c r="M4768" t="s">
        <v>603</v>
      </c>
      <c r="N4768" t="s">
        <v>604</v>
      </c>
      <c r="O4768" s="37" t="str">
        <f t="shared" si="373"/>
        <v>Digital Payment</v>
      </c>
      <c r="P4768">
        <v>406.66</v>
      </c>
      <c r="Q4768" s="37" t="str">
        <f>IF(P4768&gt;500,"High","low")</f>
        <v>low</v>
      </c>
      <c r="R4768" s="37" t="str">
        <f t="shared" si="374"/>
        <v>AVERAGE</v>
      </c>
      <c r="S4768" t="s">
        <v>615</v>
      </c>
    </row>
    <row r="4769" spans="1:19" x14ac:dyDescent="0.2">
      <c r="A4769" t="s">
        <v>5380</v>
      </c>
      <c r="B4769" t="s">
        <v>90</v>
      </c>
      <c r="C4769" t="s">
        <v>617</v>
      </c>
      <c r="D4769">
        <v>567.71</v>
      </c>
      <c r="E4769" s="37" t="str">
        <f t="shared" si="370"/>
        <v xml:space="preserve"> </v>
      </c>
      <c r="F4769">
        <v>0.39</v>
      </c>
      <c r="G4769" s="37" t="str">
        <f t="shared" si="371"/>
        <v>Heavy Discount</v>
      </c>
      <c r="H4769" s="37" t="str">
        <f t="shared" si="372"/>
        <v>Medium</v>
      </c>
      <c r="I4769">
        <v>8</v>
      </c>
      <c r="J4769" t="str" cm="1">
        <f t="array" ref="J4769">_xlfn.IFS(I4769&lt;=3,"small",I4769&lt;=6,"Medium",I4769&lt;=9,"Large")</f>
        <v>Large</v>
      </c>
      <c r="K4769" s="36">
        <v>45426</v>
      </c>
      <c r="L4769" s="36">
        <v>45432</v>
      </c>
      <c r="M4769" t="s">
        <v>598</v>
      </c>
      <c r="N4769" t="s">
        <v>608</v>
      </c>
      <c r="O4769" s="37" t="str">
        <f t="shared" si="373"/>
        <v>Cash Payment</v>
      </c>
      <c r="P4769">
        <v>92.22</v>
      </c>
      <c r="Q4769" s="37" t="str">
        <f>IF(P4769&gt;500,"High","low")</f>
        <v>low</v>
      </c>
      <c r="R4769" s="37" t="str">
        <f t="shared" si="374"/>
        <v>AVERAGE</v>
      </c>
      <c r="S4769" t="s">
        <v>615</v>
      </c>
    </row>
    <row r="4770" spans="1:19" x14ac:dyDescent="0.2">
      <c r="A4770" t="s">
        <v>5381</v>
      </c>
      <c r="B4770" t="s">
        <v>67</v>
      </c>
      <c r="C4770" t="s">
        <v>617</v>
      </c>
      <c r="D4770">
        <v>3695.39</v>
      </c>
      <c r="E4770" s="37" t="str">
        <f t="shared" si="370"/>
        <v xml:space="preserve"> </v>
      </c>
      <c r="F4770">
        <v>0.35</v>
      </c>
      <c r="G4770" s="37" t="str">
        <f t="shared" si="371"/>
        <v>Heavy Discount</v>
      </c>
      <c r="H4770" s="37" t="str">
        <f t="shared" si="372"/>
        <v>Medium</v>
      </c>
      <c r="I4770">
        <v>6</v>
      </c>
      <c r="J4770" t="str" cm="1">
        <f t="array" ref="J4770">_xlfn.IFS(I4770&lt;=3,"small",I4770&lt;=6,"Medium",I4770&lt;=9,"Large")</f>
        <v>Medium</v>
      </c>
      <c r="K4770" s="36">
        <v>45158</v>
      </c>
      <c r="L4770" s="36">
        <v>45160</v>
      </c>
      <c r="M4770" t="s">
        <v>598</v>
      </c>
      <c r="N4770" t="s">
        <v>604</v>
      </c>
      <c r="O4770" s="37" t="str">
        <f t="shared" si="373"/>
        <v>Digital Payment</v>
      </c>
      <c r="P4770">
        <v>679.22</v>
      </c>
      <c r="Q4770" s="37" t="str">
        <f>IF(P4770&gt;500,"High","low")</f>
        <v>High</v>
      </c>
      <c r="R4770" s="37" t="str">
        <f t="shared" si="374"/>
        <v>Good</v>
      </c>
      <c r="S4770" t="s">
        <v>628</v>
      </c>
    </row>
    <row r="4771" spans="1:19" x14ac:dyDescent="0.2">
      <c r="A4771" t="s">
        <v>5382</v>
      </c>
      <c r="B4771" t="s">
        <v>90</v>
      </c>
      <c r="C4771" t="s">
        <v>614</v>
      </c>
      <c r="D4771">
        <v>3738.31</v>
      </c>
      <c r="E4771" s="37" t="str">
        <f t="shared" si="370"/>
        <v xml:space="preserve"> </v>
      </c>
      <c r="F4771">
        <v>0.28999999999999998</v>
      </c>
      <c r="G4771" s="37" t="str">
        <f t="shared" si="371"/>
        <v>Normal Discount</v>
      </c>
      <c r="H4771" s="37" t="str">
        <f t="shared" si="372"/>
        <v>Medium</v>
      </c>
      <c r="I4771">
        <v>4</v>
      </c>
      <c r="J4771" t="str" cm="1">
        <f t="array" ref="J4771">_xlfn.IFS(I4771&lt;=3,"small",I4771&lt;=6,"Medium",I4771&lt;=9,"Large")</f>
        <v>Medium</v>
      </c>
      <c r="K4771" s="36">
        <v>45548</v>
      </c>
      <c r="L4771" s="36">
        <v>45552</v>
      </c>
      <c r="M4771" t="s">
        <v>603</v>
      </c>
      <c r="N4771" t="s">
        <v>604</v>
      </c>
      <c r="O4771" s="37" t="str">
        <f t="shared" si="373"/>
        <v>Digital Payment</v>
      </c>
      <c r="P4771">
        <v>1093.93</v>
      </c>
      <c r="Q4771" s="37" t="str">
        <f>IF(P4771&gt;500,"High","low")</f>
        <v>High</v>
      </c>
      <c r="R4771" s="37" t="str">
        <f t="shared" si="374"/>
        <v>Excellent</v>
      </c>
      <c r="S4771" t="s">
        <v>605</v>
      </c>
    </row>
    <row r="4772" spans="1:19" x14ac:dyDescent="0.2">
      <c r="A4772" t="s">
        <v>5383</v>
      </c>
      <c r="B4772" t="s">
        <v>67</v>
      </c>
      <c r="C4772" t="s">
        <v>602</v>
      </c>
      <c r="D4772">
        <v>2949.46</v>
      </c>
      <c r="E4772" s="37" t="str">
        <f t="shared" si="370"/>
        <v xml:space="preserve"> </v>
      </c>
      <c r="F4772">
        <v>0.44</v>
      </c>
      <c r="G4772" s="37" t="str">
        <f t="shared" si="371"/>
        <v>Heavy Discount</v>
      </c>
      <c r="H4772" s="37" t="str">
        <f t="shared" si="372"/>
        <v>High</v>
      </c>
      <c r="I4772">
        <v>8</v>
      </c>
      <c r="J4772" t="str" cm="1">
        <f t="array" ref="J4772">_xlfn.IFS(I4772&lt;=3,"small",I4772&lt;=6,"Medium",I4772&lt;=9,"Large")</f>
        <v>Large</v>
      </c>
      <c r="K4772" s="36">
        <v>45518</v>
      </c>
      <c r="L4772" s="36">
        <v>45522</v>
      </c>
      <c r="M4772" t="s">
        <v>598</v>
      </c>
      <c r="N4772" t="s">
        <v>608</v>
      </c>
      <c r="O4772" s="37" t="str">
        <f t="shared" si="373"/>
        <v>Cash Payment</v>
      </c>
      <c r="P4772">
        <v>308.67</v>
      </c>
      <c r="Q4772" s="37" t="str">
        <f>IF(P4772&gt;500,"High","low")</f>
        <v>low</v>
      </c>
      <c r="R4772" s="37" t="str">
        <f t="shared" si="374"/>
        <v>AVERAGE</v>
      </c>
      <c r="S4772" t="s">
        <v>620</v>
      </c>
    </row>
    <row r="4773" spans="1:19" x14ac:dyDescent="0.2">
      <c r="A4773" t="s">
        <v>5384</v>
      </c>
      <c r="B4773" t="s">
        <v>67</v>
      </c>
      <c r="C4773" t="s">
        <v>607</v>
      </c>
      <c r="D4773">
        <v>2484.9699999999998</v>
      </c>
      <c r="E4773" s="37" t="str">
        <f t="shared" si="370"/>
        <v xml:space="preserve"> </v>
      </c>
      <c r="F4773">
        <v>0.46</v>
      </c>
      <c r="G4773" s="37" t="str">
        <f t="shared" si="371"/>
        <v>Heavy Discount</v>
      </c>
      <c r="H4773" s="37" t="str">
        <f t="shared" si="372"/>
        <v>High</v>
      </c>
      <c r="I4773">
        <v>4</v>
      </c>
      <c r="J4773" t="str" cm="1">
        <f t="array" ref="J4773">_xlfn.IFS(I4773&lt;=3,"small",I4773&lt;=6,"Medium",I4773&lt;=9,"Large")</f>
        <v>Medium</v>
      </c>
      <c r="K4773" s="36">
        <v>45624</v>
      </c>
      <c r="L4773" s="36">
        <v>45628</v>
      </c>
      <c r="M4773" t="s">
        <v>603</v>
      </c>
      <c r="N4773" t="s">
        <v>608</v>
      </c>
      <c r="O4773" s="37" t="str">
        <f t="shared" si="373"/>
        <v>Cash Payment</v>
      </c>
      <c r="P4773">
        <v>342.6</v>
      </c>
      <c r="Q4773" s="37" t="str">
        <f>IF(P4773&gt;500,"High","low")</f>
        <v>low</v>
      </c>
      <c r="R4773" s="37" t="str">
        <f t="shared" si="374"/>
        <v>AVERAGE</v>
      </c>
      <c r="S4773" t="s">
        <v>628</v>
      </c>
    </row>
    <row r="4774" spans="1:19" x14ac:dyDescent="0.2">
      <c r="A4774" t="s">
        <v>5385</v>
      </c>
      <c r="B4774" t="s">
        <v>83</v>
      </c>
      <c r="C4774" t="s">
        <v>617</v>
      </c>
      <c r="D4774">
        <v>1673.33</v>
      </c>
      <c r="E4774" s="37" t="str">
        <f t="shared" si="370"/>
        <v xml:space="preserve"> </v>
      </c>
      <c r="F4774">
        <v>0.34</v>
      </c>
      <c r="G4774" s="37" t="str">
        <f t="shared" si="371"/>
        <v>Heavy Discount</v>
      </c>
      <c r="H4774" s="37" t="str">
        <f t="shared" si="372"/>
        <v>Medium</v>
      </c>
      <c r="I4774">
        <v>6</v>
      </c>
      <c r="J4774" t="str" cm="1">
        <f t="array" ref="J4774">_xlfn.IFS(I4774&lt;=3,"small",I4774&lt;=6,"Medium",I4774&lt;=9,"Large")</f>
        <v>Medium</v>
      </c>
      <c r="K4774" s="36">
        <v>45262</v>
      </c>
      <c r="L4774" s="36">
        <v>45269</v>
      </c>
      <c r="M4774" t="s">
        <v>603</v>
      </c>
      <c r="N4774" t="s">
        <v>608</v>
      </c>
      <c r="O4774" s="37" t="str">
        <f t="shared" si="373"/>
        <v>Cash Payment</v>
      </c>
      <c r="P4774">
        <v>352.52</v>
      </c>
      <c r="Q4774" s="37" t="str">
        <f>IF(P4774&gt;500,"High","low")</f>
        <v>low</v>
      </c>
      <c r="R4774" s="37" t="str">
        <f t="shared" si="374"/>
        <v>AVERAGE</v>
      </c>
      <c r="S4774" t="s">
        <v>620</v>
      </c>
    </row>
    <row r="4775" spans="1:19" x14ac:dyDescent="0.2">
      <c r="A4775" t="s">
        <v>5386</v>
      </c>
      <c r="B4775" t="s">
        <v>90</v>
      </c>
      <c r="C4775" t="s">
        <v>602</v>
      </c>
      <c r="D4775">
        <v>1822.16</v>
      </c>
      <c r="E4775" s="37" t="str">
        <f t="shared" si="370"/>
        <v xml:space="preserve"> </v>
      </c>
      <c r="F4775">
        <v>0.06</v>
      </c>
      <c r="G4775" s="37" t="str">
        <f t="shared" si="371"/>
        <v>Normal Discount</v>
      </c>
      <c r="H4775" s="37" t="str">
        <f t="shared" si="372"/>
        <v>Low</v>
      </c>
      <c r="I4775">
        <v>5</v>
      </c>
      <c r="J4775" t="str" cm="1">
        <f t="array" ref="J4775">_xlfn.IFS(I4775&lt;=3,"small",I4775&lt;=6,"Medium",I4775&lt;=9,"Large")</f>
        <v>Medium</v>
      </c>
      <c r="K4775" s="36">
        <v>45316</v>
      </c>
      <c r="L4775" s="36">
        <v>45320</v>
      </c>
      <c r="M4775" t="s">
        <v>598</v>
      </c>
      <c r="N4775" t="s">
        <v>599</v>
      </c>
      <c r="O4775" s="37" t="str">
        <f t="shared" si="373"/>
        <v>Digital Payment</v>
      </c>
      <c r="P4775">
        <v>187</v>
      </c>
      <c r="Q4775" s="37" t="str">
        <f>IF(P4775&gt;500,"High","low")</f>
        <v>low</v>
      </c>
      <c r="R4775" s="37" t="str">
        <f t="shared" si="374"/>
        <v>AVERAGE</v>
      </c>
      <c r="S4775" t="s">
        <v>620</v>
      </c>
    </row>
    <row r="4776" spans="1:19" x14ac:dyDescent="0.2">
      <c r="A4776" t="s">
        <v>5387</v>
      </c>
      <c r="B4776" t="s">
        <v>75</v>
      </c>
      <c r="C4776" t="s">
        <v>602</v>
      </c>
      <c r="D4776">
        <v>3404.72</v>
      </c>
      <c r="E4776" s="37" t="str">
        <f t="shared" si="370"/>
        <v xml:space="preserve"> </v>
      </c>
      <c r="F4776">
        <v>0.05</v>
      </c>
      <c r="G4776" s="37" t="str">
        <f t="shared" si="371"/>
        <v>Normal Discount</v>
      </c>
      <c r="H4776" s="37" t="str">
        <f t="shared" si="372"/>
        <v>Low</v>
      </c>
      <c r="I4776">
        <v>4</v>
      </c>
      <c r="J4776" t="str" cm="1">
        <f t="array" ref="J4776">_xlfn.IFS(I4776&lt;=3,"small",I4776&lt;=6,"Medium",I4776&lt;=9,"Large")</f>
        <v>Medium</v>
      </c>
      <c r="K4776" s="36">
        <v>45474</v>
      </c>
      <c r="L4776" s="36">
        <v>45478</v>
      </c>
      <c r="M4776" t="s">
        <v>603</v>
      </c>
      <c r="N4776" t="s">
        <v>599</v>
      </c>
      <c r="O4776" s="37" t="str">
        <f t="shared" si="373"/>
        <v>Digital Payment</v>
      </c>
      <c r="P4776">
        <v>322.68</v>
      </c>
      <c r="Q4776" s="37" t="str">
        <f>IF(P4776&gt;500,"High","low")</f>
        <v>low</v>
      </c>
      <c r="R4776" s="37" t="str">
        <f t="shared" si="374"/>
        <v>AVERAGE</v>
      </c>
      <c r="S4776" t="s">
        <v>628</v>
      </c>
    </row>
    <row r="4777" spans="1:19" x14ac:dyDescent="0.2">
      <c r="A4777" t="s">
        <v>5388</v>
      </c>
      <c r="B4777" t="s">
        <v>83</v>
      </c>
      <c r="C4777" t="s">
        <v>614</v>
      </c>
      <c r="D4777">
        <v>419.91</v>
      </c>
      <c r="E4777" s="37" t="str">
        <f t="shared" si="370"/>
        <v xml:space="preserve"> </v>
      </c>
      <c r="F4777">
        <v>0.2</v>
      </c>
      <c r="G4777" s="37" t="str">
        <f t="shared" si="371"/>
        <v>Normal Discount</v>
      </c>
      <c r="H4777" s="37" t="str">
        <f t="shared" si="372"/>
        <v>Medium</v>
      </c>
      <c r="I4777">
        <v>7</v>
      </c>
      <c r="J4777" t="str" cm="1">
        <f t="array" ref="J4777">_xlfn.IFS(I4777&lt;=3,"small",I4777&lt;=6,"Medium",I4777&lt;=9,"Large")</f>
        <v>Large</v>
      </c>
      <c r="K4777" s="36">
        <v>44978</v>
      </c>
      <c r="L4777" s="36">
        <v>44981</v>
      </c>
      <c r="M4777" t="s">
        <v>603</v>
      </c>
      <c r="N4777" t="s">
        <v>608</v>
      </c>
      <c r="O4777" s="37" t="str">
        <f t="shared" si="373"/>
        <v>Cash Payment</v>
      </c>
      <c r="P4777">
        <v>67.42</v>
      </c>
      <c r="Q4777" s="37" t="str">
        <f>IF(P4777&gt;500,"High","low")</f>
        <v>low</v>
      </c>
      <c r="R4777" s="37" t="str">
        <f t="shared" si="374"/>
        <v>AVERAGE</v>
      </c>
      <c r="S4777" t="s">
        <v>620</v>
      </c>
    </row>
    <row r="4778" spans="1:19" x14ac:dyDescent="0.2">
      <c r="A4778" t="s">
        <v>5389</v>
      </c>
      <c r="B4778" t="s">
        <v>67</v>
      </c>
      <c r="C4778" t="s">
        <v>602</v>
      </c>
      <c r="D4778">
        <v>2966.18</v>
      </c>
      <c r="E4778" s="37" t="str">
        <f t="shared" si="370"/>
        <v xml:space="preserve"> </v>
      </c>
      <c r="F4778">
        <v>0.15</v>
      </c>
      <c r="G4778" s="37" t="str">
        <f t="shared" si="371"/>
        <v>Normal Discount</v>
      </c>
      <c r="H4778" s="37" t="str">
        <f t="shared" si="372"/>
        <v>Low</v>
      </c>
      <c r="I4778">
        <v>8</v>
      </c>
      <c r="J4778" t="str" cm="1">
        <f t="array" ref="J4778">_xlfn.IFS(I4778&lt;=3,"small",I4778&lt;=6,"Medium",I4778&lt;=9,"Large")</f>
        <v>Large</v>
      </c>
      <c r="K4778" s="36">
        <v>45297</v>
      </c>
      <c r="L4778" s="36">
        <v>45304</v>
      </c>
      <c r="M4778" t="s">
        <v>603</v>
      </c>
      <c r="N4778" t="s">
        <v>604</v>
      </c>
      <c r="O4778" s="37" t="str">
        <f t="shared" si="373"/>
        <v>Digital Payment</v>
      </c>
      <c r="P4778">
        <v>534.54</v>
      </c>
      <c r="Q4778" s="37" t="str">
        <f>IF(P4778&gt;500,"High","low")</f>
        <v>High</v>
      </c>
      <c r="R4778" s="37" t="str">
        <f t="shared" si="374"/>
        <v>Good</v>
      </c>
      <c r="S4778" t="s">
        <v>609</v>
      </c>
    </row>
    <row r="4779" spans="1:19" x14ac:dyDescent="0.2">
      <c r="A4779" t="s">
        <v>5390</v>
      </c>
      <c r="B4779" t="s">
        <v>67</v>
      </c>
      <c r="C4779" t="s">
        <v>602</v>
      </c>
      <c r="D4779">
        <v>1465.79</v>
      </c>
      <c r="E4779" s="37" t="str">
        <f t="shared" si="370"/>
        <v xml:space="preserve"> </v>
      </c>
      <c r="F4779">
        <v>7.0000000000000007E-2</v>
      </c>
      <c r="G4779" s="37" t="str">
        <f t="shared" si="371"/>
        <v>Normal Discount</v>
      </c>
      <c r="H4779" s="37" t="str">
        <f t="shared" si="372"/>
        <v>Low</v>
      </c>
      <c r="I4779">
        <v>6</v>
      </c>
      <c r="J4779" t="str" cm="1">
        <f t="array" ref="J4779">_xlfn.IFS(I4779&lt;=3,"small",I4779&lt;=6,"Medium",I4779&lt;=9,"Large")</f>
        <v>Medium</v>
      </c>
      <c r="K4779" s="36">
        <v>45463</v>
      </c>
      <c r="L4779" s="36">
        <v>45470</v>
      </c>
      <c r="M4779" t="s">
        <v>612</v>
      </c>
      <c r="N4779" t="s">
        <v>604</v>
      </c>
      <c r="O4779" s="37" t="str">
        <f t="shared" si="373"/>
        <v>Digital Payment</v>
      </c>
      <c r="P4779">
        <v>325.51</v>
      </c>
      <c r="Q4779" s="37" t="str">
        <f>IF(P4779&gt;500,"High","low")</f>
        <v>low</v>
      </c>
      <c r="R4779" s="37" t="str">
        <f t="shared" si="374"/>
        <v>AVERAGE</v>
      </c>
      <c r="S4779" t="s">
        <v>605</v>
      </c>
    </row>
    <row r="4780" spans="1:19" x14ac:dyDescent="0.2">
      <c r="A4780" t="s">
        <v>5391</v>
      </c>
      <c r="B4780" t="s">
        <v>75</v>
      </c>
      <c r="C4780" t="s">
        <v>597</v>
      </c>
      <c r="D4780">
        <v>2386.37</v>
      </c>
      <c r="E4780" s="37" t="str">
        <f t="shared" si="370"/>
        <v xml:space="preserve"> </v>
      </c>
      <c r="F4780">
        <v>0.31</v>
      </c>
      <c r="G4780" s="37" t="str">
        <f t="shared" si="371"/>
        <v>Heavy Discount</v>
      </c>
      <c r="H4780" s="37" t="str">
        <f t="shared" si="372"/>
        <v>Medium</v>
      </c>
      <c r="I4780">
        <v>1</v>
      </c>
      <c r="J4780" t="str" cm="1">
        <f t="array" ref="J4780">_xlfn.IFS(I4780&lt;=3,"small",I4780&lt;=6,"Medium",I4780&lt;=9,"Large")</f>
        <v>small</v>
      </c>
      <c r="K4780" s="36">
        <v>45094</v>
      </c>
      <c r="L4780" s="36">
        <v>45097</v>
      </c>
      <c r="M4780" t="s">
        <v>598</v>
      </c>
      <c r="N4780" t="s">
        <v>608</v>
      </c>
      <c r="O4780" s="37" t="str">
        <f t="shared" si="373"/>
        <v>Cash Payment</v>
      </c>
      <c r="P4780">
        <v>572.9</v>
      </c>
      <c r="Q4780" s="37" t="str">
        <f>IF(P4780&gt;500,"High","low")</f>
        <v>High</v>
      </c>
      <c r="R4780" s="37" t="str">
        <f t="shared" si="374"/>
        <v>Good</v>
      </c>
      <c r="S4780" t="s">
        <v>620</v>
      </c>
    </row>
    <row r="4781" spans="1:19" x14ac:dyDescent="0.2">
      <c r="A4781" t="s">
        <v>5392</v>
      </c>
      <c r="B4781" t="s">
        <v>67</v>
      </c>
      <c r="C4781" t="s">
        <v>614</v>
      </c>
      <c r="D4781">
        <v>2839</v>
      </c>
      <c r="E4781" s="37" t="str">
        <f t="shared" si="370"/>
        <v xml:space="preserve"> </v>
      </c>
      <c r="F4781">
        <v>0.34</v>
      </c>
      <c r="G4781" s="37" t="str">
        <f t="shared" si="371"/>
        <v>Heavy Discount</v>
      </c>
      <c r="H4781" s="37" t="str">
        <f t="shared" si="372"/>
        <v>Medium</v>
      </c>
      <c r="I4781">
        <v>7</v>
      </c>
      <c r="J4781" t="str" cm="1">
        <f t="array" ref="J4781">_xlfn.IFS(I4781&lt;=3,"small",I4781&lt;=6,"Medium",I4781&lt;=9,"Large")</f>
        <v>Large</v>
      </c>
      <c r="K4781" s="36">
        <v>45277</v>
      </c>
      <c r="L4781" s="36">
        <v>45280</v>
      </c>
      <c r="M4781" t="s">
        <v>598</v>
      </c>
      <c r="N4781" t="s">
        <v>599</v>
      </c>
      <c r="O4781" s="37" t="str">
        <f t="shared" si="373"/>
        <v>Digital Payment</v>
      </c>
      <c r="P4781">
        <v>758.64</v>
      </c>
      <c r="Q4781" s="37" t="str">
        <f>IF(P4781&gt;500,"High","low")</f>
        <v>High</v>
      </c>
      <c r="R4781" s="37" t="str">
        <f t="shared" si="374"/>
        <v>Good</v>
      </c>
      <c r="S4781" t="s">
        <v>600</v>
      </c>
    </row>
    <row r="4782" spans="1:19" x14ac:dyDescent="0.2">
      <c r="A4782" t="s">
        <v>5393</v>
      </c>
      <c r="B4782" t="s">
        <v>90</v>
      </c>
      <c r="C4782" t="s">
        <v>614</v>
      </c>
      <c r="D4782">
        <v>4439.7299999999996</v>
      </c>
      <c r="E4782" s="37" t="str">
        <f t="shared" si="370"/>
        <v xml:space="preserve"> </v>
      </c>
      <c r="F4782">
        <v>0.35</v>
      </c>
      <c r="G4782" s="37" t="str">
        <f t="shared" si="371"/>
        <v>Heavy Discount</v>
      </c>
      <c r="H4782" s="37" t="str">
        <f t="shared" si="372"/>
        <v>Medium</v>
      </c>
      <c r="I4782">
        <v>4</v>
      </c>
      <c r="J4782" t="str" cm="1">
        <f t="array" ref="J4782">_xlfn.IFS(I4782&lt;=3,"small",I4782&lt;=6,"Medium",I4782&lt;=9,"Large")</f>
        <v>Medium</v>
      </c>
      <c r="K4782" s="36">
        <v>45441</v>
      </c>
      <c r="L4782" s="36">
        <v>45442</v>
      </c>
      <c r="M4782" t="s">
        <v>612</v>
      </c>
      <c r="N4782" t="s">
        <v>604</v>
      </c>
      <c r="O4782" s="37" t="str">
        <f t="shared" si="373"/>
        <v>Digital Payment</v>
      </c>
      <c r="P4782">
        <v>598.15</v>
      </c>
      <c r="Q4782" s="37" t="str">
        <f>IF(P4782&gt;500,"High","low")</f>
        <v>High</v>
      </c>
      <c r="R4782" s="37" t="str">
        <f t="shared" si="374"/>
        <v>Good</v>
      </c>
      <c r="S4782" t="s">
        <v>620</v>
      </c>
    </row>
    <row r="4783" spans="1:19" x14ac:dyDescent="0.2">
      <c r="A4783" t="s">
        <v>5394</v>
      </c>
      <c r="B4783" t="s">
        <v>83</v>
      </c>
      <c r="C4783" t="s">
        <v>607</v>
      </c>
      <c r="D4783">
        <v>2937.47</v>
      </c>
      <c r="E4783" s="37" t="str">
        <f t="shared" si="370"/>
        <v xml:space="preserve"> </v>
      </c>
      <c r="F4783">
        <v>0.09</v>
      </c>
      <c r="G4783" s="37" t="str">
        <f t="shared" si="371"/>
        <v>Normal Discount</v>
      </c>
      <c r="H4783" s="37" t="str">
        <f t="shared" si="372"/>
        <v>Low</v>
      </c>
      <c r="I4783">
        <v>2</v>
      </c>
      <c r="J4783" t="str" cm="1">
        <f t="array" ref="J4783">_xlfn.IFS(I4783&lt;=3,"small",I4783&lt;=6,"Medium",I4783&lt;=9,"Large")</f>
        <v>small</v>
      </c>
      <c r="K4783" s="36">
        <v>45579</v>
      </c>
      <c r="L4783" s="36">
        <v>45582</v>
      </c>
      <c r="M4783" t="s">
        <v>603</v>
      </c>
      <c r="N4783" t="s">
        <v>604</v>
      </c>
      <c r="O4783" s="37" t="str">
        <f t="shared" si="373"/>
        <v>Digital Payment</v>
      </c>
      <c r="P4783">
        <v>517.07000000000005</v>
      </c>
      <c r="Q4783" s="37" t="str">
        <f>IF(P4783&gt;500,"High","low")</f>
        <v>High</v>
      </c>
      <c r="R4783" s="37" t="str">
        <f t="shared" si="374"/>
        <v>Good</v>
      </c>
      <c r="S4783" t="s">
        <v>615</v>
      </c>
    </row>
    <row r="4784" spans="1:19" x14ac:dyDescent="0.2">
      <c r="A4784" t="s">
        <v>5395</v>
      </c>
      <c r="B4784" t="s">
        <v>67</v>
      </c>
      <c r="C4784" t="s">
        <v>602</v>
      </c>
      <c r="D4784">
        <v>1213.08</v>
      </c>
      <c r="E4784" s="37" t="str">
        <f t="shared" si="370"/>
        <v xml:space="preserve"> </v>
      </c>
      <c r="F4784">
        <v>0.15</v>
      </c>
      <c r="G4784" s="37" t="str">
        <f t="shared" si="371"/>
        <v>Normal Discount</v>
      </c>
      <c r="H4784" s="37" t="str">
        <f t="shared" si="372"/>
        <v>Low</v>
      </c>
      <c r="I4784">
        <v>3</v>
      </c>
      <c r="J4784" t="str" cm="1">
        <f t="array" ref="J4784">_xlfn.IFS(I4784&lt;=3,"small",I4784&lt;=6,"Medium",I4784&lt;=9,"Large")</f>
        <v>small</v>
      </c>
      <c r="K4784" s="36">
        <v>45250</v>
      </c>
      <c r="L4784" s="36">
        <v>45256</v>
      </c>
      <c r="M4784" t="s">
        <v>612</v>
      </c>
      <c r="N4784" t="s">
        <v>608</v>
      </c>
      <c r="O4784" s="37" t="str">
        <f t="shared" si="373"/>
        <v>Cash Payment</v>
      </c>
      <c r="P4784">
        <v>322.48</v>
      </c>
      <c r="Q4784" s="37" t="str">
        <f>IF(P4784&gt;500,"High","low")</f>
        <v>low</v>
      </c>
      <c r="R4784" s="37" t="str">
        <f t="shared" si="374"/>
        <v>AVERAGE</v>
      </c>
      <c r="S4784" t="s">
        <v>600</v>
      </c>
    </row>
    <row r="4785" spans="1:19" x14ac:dyDescent="0.2">
      <c r="A4785" t="s">
        <v>5396</v>
      </c>
      <c r="B4785" t="s">
        <v>67</v>
      </c>
      <c r="C4785" t="s">
        <v>607</v>
      </c>
      <c r="D4785">
        <v>489.35</v>
      </c>
      <c r="E4785" s="37" t="str">
        <f t="shared" si="370"/>
        <v xml:space="preserve"> </v>
      </c>
      <c r="F4785">
        <v>0.1</v>
      </c>
      <c r="G4785" s="37" t="str">
        <f t="shared" si="371"/>
        <v>Normal Discount</v>
      </c>
      <c r="H4785" s="37" t="str">
        <f t="shared" si="372"/>
        <v>Low</v>
      </c>
      <c r="I4785">
        <v>4</v>
      </c>
      <c r="J4785" t="str" cm="1">
        <f t="array" ref="J4785">_xlfn.IFS(I4785&lt;=3,"small",I4785&lt;=6,"Medium",I4785&lt;=9,"Large")</f>
        <v>Medium</v>
      </c>
      <c r="K4785" s="36">
        <v>45065</v>
      </c>
      <c r="L4785" s="36">
        <v>45068</v>
      </c>
      <c r="M4785" t="s">
        <v>603</v>
      </c>
      <c r="N4785" t="s">
        <v>599</v>
      </c>
      <c r="O4785" s="37" t="str">
        <f t="shared" si="373"/>
        <v>Digital Payment</v>
      </c>
      <c r="P4785">
        <v>81.150000000000006</v>
      </c>
      <c r="Q4785" s="37" t="str">
        <f>IF(P4785&gt;500,"High","low")</f>
        <v>low</v>
      </c>
      <c r="R4785" s="37" t="str">
        <f t="shared" si="374"/>
        <v>AVERAGE</v>
      </c>
      <c r="S4785" t="s">
        <v>609</v>
      </c>
    </row>
    <row r="4786" spans="1:19" x14ac:dyDescent="0.2">
      <c r="A4786" t="s">
        <v>5397</v>
      </c>
      <c r="B4786" t="s">
        <v>75</v>
      </c>
      <c r="C4786" t="s">
        <v>617</v>
      </c>
      <c r="D4786">
        <v>3172.24</v>
      </c>
      <c r="E4786" s="37" t="str">
        <f t="shared" si="370"/>
        <v xml:space="preserve"> </v>
      </c>
      <c r="F4786">
        <v>0.3</v>
      </c>
      <c r="G4786" s="37" t="str">
        <f t="shared" si="371"/>
        <v>Normal Discount</v>
      </c>
      <c r="H4786" s="37" t="str">
        <f t="shared" si="372"/>
        <v>Medium</v>
      </c>
      <c r="I4786">
        <v>7</v>
      </c>
      <c r="J4786" t="str" cm="1">
        <f t="array" ref="J4786">_xlfn.IFS(I4786&lt;=3,"small",I4786&lt;=6,"Medium",I4786&lt;=9,"Large")</f>
        <v>Large</v>
      </c>
      <c r="K4786" s="36">
        <v>45358</v>
      </c>
      <c r="L4786" s="36">
        <v>45364</v>
      </c>
      <c r="M4786" t="s">
        <v>598</v>
      </c>
      <c r="N4786" t="s">
        <v>599</v>
      </c>
      <c r="O4786" s="37" t="str">
        <f t="shared" si="373"/>
        <v>Digital Payment</v>
      </c>
      <c r="P4786">
        <v>268.23</v>
      </c>
      <c r="Q4786" s="37" t="str">
        <f>IF(P4786&gt;500,"High","low")</f>
        <v>low</v>
      </c>
      <c r="R4786" s="37" t="str">
        <f t="shared" si="374"/>
        <v>AVERAGE</v>
      </c>
      <c r="S4786" t="s">
        <v>620</v>
      </c>
    </row>
    <row r="4787" spans="1:19" x14ac:dyDescent="0.2">
      <c r="A4787" t="s">
        <v>5398</v>
      </c>
      <c r="B4787" t="s">
        <v>90</v>
      </c>
      <c r="C4787" t="s">
        <v>602</v>
      </c>
      <c r="D4787">
        <v>2770.74</v>
      </c>
      <c r="E4787" s="37" t="str">
        <f t="shared" si="370"/>
        <v xml:space="preserve"> </v>
      </c>
      <c r="F4787">
        <v>0.28000000000000003</v>
      </c>
      <c r="G4787" s="37" t="str">
        <f t="shared" si="371"/>
        <v>Normal Discount</v>
      </c>
      <c r="H4787" s="37" t="str">
        <f t="shared" si="372"/>
        <v>Medium</v>
      </c>
      <c r="I4787">
        <v>9</v>
      </c>
      <c r="J4787" t="str" cm="1">
        <f t="array" ref="J4787">_xlfn.IFS(I4787&lt;=3,"small",I4787&lt;=6,"Medium",I4787&lt;=9,"Large")</f>
        <v>Large</v>
      </c>
      <c r="K4787" s="36">
        <v>44928</v>
      </c>
      <c r="L4787" s="36">
        <v>44930</v>
      </c>
      <c r="M4787" t="s">
        <v>598</v>
      </c>
      <c r="N4787" t="s">
        <v>604</v>
      </c>
      <c r="O4787" s="37" t="str">
        <f t="shared" si="373"/>
        <v>Digital Payment</v>
      </c>
      <c r="P4787">
        <v>440.15</v>
      </c>
      <c r="Q4787" s="37" t="str">
        <f>IF(P4787&gt;500,"High","low")</f>
        <v>low</v>
      </c>
      <c r="R4787" s="37" t="str">
        <f t="shared" si="374"/>
        <v>AVERAGE</v>
      </c>
      <c r="S4787" t="s">
        <v>628</v>
      </c>
    </row>
    <row r="4788" spans="1:19" x14ac:dyDescent="0.2">
      <c r="A4788" t="s">
        <v>5399</v>
      </c>
      <c r="B4788" t="s">
        <v>67</v>
      </c>
      <c r="C4788" t="s">
        <v>617</v>
      </c>
      <c r="D4788">
        <v>3391.81</v>
      </c>
      <c r="E4788" s="37" t="str">
        <f t="shared" si="370"/>
        <v xml:space="preserve"> </v>
      </c>
      <c r="F4788">
        <v>0.25</v>
      </c>
      <c r="G4788" s="37" t="str">
        <f t="shared" si="371"/>
        <v>Normal Discount</v>
      </c>
      <c r="H4788" s="37" t="str">
        <f t="shared" si="372"/>
        <v>Medium</v>
      </c>
      <c r="I4788">
        <v>6</v>
      </c>
      <c r="J4788" t="str" cm="1">
        <f t="array" ref="J4788">_xlfn.IFS(I4788&lt;=3,"small",I4788&lt;=6,"Medium",I4788&lt;=9,"Large")</f>
        <v>Medium</v>
      </c>
      <c r="K4788" s="36">
        <v>45261</v>
      </c>
      <c r="L4788" s="36">
        <v>45265</v>
      </c>
      <c r="M4788" t="s">
        <v>598</v>
      </c>
      <c r="N4788" t="s">
        <v>608</v>
      </c>
      <c r="O4788" s="37" t="str">
        <f t="shared" si="373"/>
        <v>Cash Payment</v>
      </c>
      <c r="P4788">
        <v>822.4</v>
      </c>
      <c r="Q4788" s="37" t="str">
        <f>IF(P4788&gt;500,"High","low")</f>
        <v>High</v>
      </c>
      <c r="R4788" s="37" t="str">
        <f t="shared" si="374"/>
        <v>Good</v>
      </c>
      <c r="S4788" t="s">
        <v>628</v>
      </c>
    </row>
    <row r="4789" spans="1:19" x14ac:dyDescent="0.2">
      <c r="A4789" t="s">
        <v>5400</v>
      </c>
      <c r="B4789" t="s">
        <v>75</v>
      </c>
      <c r="C4789" t="s">
        <v>597</v>
      </c>
      <c r="D4789">
        <v>2351.04</v>
      </c>
      <c r="E4789" s="37" t="str">
        <f t="shared" si="370"/>
        <v xml:space="preserve"> </v>
      </c>
      <c r="F4789">
        <v>0.15</v>
      </c>
      <c r="G4789" s="37" t="str">
        <f t="shared" si="371"/>
        <v>Normal Discount</v>
      </c>
      <c r="H4789" s="37" t="str">
        <f t="shared" si="372"/>
        <v>Low</v>
      </c>
      <c r="I4789">
        <v>5</v>
      </c>
      <c r="J4789" t="str" cm="1">
        <f t="array" ref="J4789">_xlfn.IFS(I4789&lt;=3,"small",I4789&lt;=6,"Medium",I4789&lt;=9,"Large")</f>
        <v>Medium</v>
      </c>
      <c r="K4789" s="36">
        <v>45473</v>
      </c>
      <c r="L4789" s="36">
        <v>45478</v>
      </c>
      <c r="M4789" t="s">
        <v>603</v>
      </c>
      <c r="N4789" t="s">
        <v>604</v>
      </c>
      <c r="O4789" s="37" t="str">
        <f t="shared" si="373"/>
        <v>Digital Payment</v>
      </c>
      <c r="P4789">
        <v>393.45</v>
      </c>
      <c r="Q4789" s="37" t="str">
        <f>IF(P4789&gt;500,"High","low")</f>
        <v>low</v>
      </c>
      <c r="R4789" s="37" t="str">
        <f t="shared" si="374"/>
        <v>AVERAGE</v>
      </c>
      <c r="S4789" t="s">
        <v>600</v>
      </c>
    </row>
    <row r="4790" spans="1:19" x14ac:dyDescent="0.2">
      <c r="A4790" t="s">
        <v>5401</v>
      </c>
      <c r="B4790" t="s">
        <v>67</v>
      </c>
      <c r="C4790" t="s">
        <v>602</v>
      </c>
      <c r="D4790">
        <v>4143.12</v>
      </c>
      <c r="E4790" s="37" t="str">
        <f t="shared" si="370"/>
        <v xml:space="preserve"> </v>
      </c>
      <c r="F4790">
        <v>0.12</v>
      </c>
      <c r="G4790" s="37" t="str">
        <f t="shared" si="371"/>
        <v>Normal Discount</v>
      </c>
      <c r="H4790" s="37" t="str">
        <f t="shared" si="372"/>
        <v>Low</v>
      </c>
      <c r="I4790">
        <v>9</v>
      </c>
      <c r="J4790" t="str" cm="1">
        <f t="array" ref="J4790">_xlfn.IFS(I4790&lt;=3,"small",I4790&lt;=6,"Medium",I4790&lt;=9,"Large")</f>
        <v>Large</v>
      </c>
      <c r="K4790" s="36">
        <v>45034</v>
      </c>
      <c r="L4790" s="36">
        <v>45040</v>
      </c>
      <c r="M4790" t="s">
        <v>612</v>
      </c>
      <c r="N4790" t="s">
        <v>604</v>
      </c>
      <c r="O4790" s="37" t="str">
        <f t="shared" si="373"/>
        <v>Digital Payment</v>
      </c>
      <c r="P4790">
        <v>461.01</v>
      </c>
      <c r="Q4790" s="37" t="str">
        <f>IF(P4790&gt;500,"High","low")</f>
        <v>low</v>
      </c>
      <c r="R4790" s="37" t="str">
        <f t="shared" si="374"/>
        <v>AVERAGE</v>
      </c>
      <c r="S4790" t="s">
        <v>609</v>
      </c>
    </row>
    <row r="4791" spans="1:19" x14ac:dyDescent="0.2">
      <c r="A4791" t="s">
        <v>5402</v>
      </c>
      <c r="B4791" t="s">
        <v>75</v>
      </c>
      <c r="C4791" t="s">
        <v>607</v>
      </c>
      <c r="D4791">
        <v>4608.88</v>
      </c>
      <c r="E4791" s="37" t="str">
        <f t="shared" si="370"/>
        <v>Excellent Order</v>
      </c>
      <c r="F4791">
        <v>0.45</v>
      </c>
      <c r="G4791" s="37" t="str">
        <f t="shared" si="371"/>
        <v>Heavy Discount</v>
      </c>
      <c r="H4791" s="37" t="str">
        <f t="shared" si="372"/>
        <v>High</v>
      </c>
      <c r="I4791">
        <v>8</v>
      </c>
      <c r="J4791" t="str" cm="1">
        <f t="array" ref="J4791">_xlfn.IFS(I4791&lt;=3,"small",I4791&lt;=6,"Medium",I4791&lt;=9,"Large")</f>
        <v>Large</v>
      </c>
      <c r="K4791" s="36">
        <v>45551</v>
      </c>
      <c r="L4791" s="36">
        <v>45553</v>
      </c>
      <c r="M4791" t="s">
        <v>612</v>
      </c>
      <c r="N4791" t="s">
        <v>608</v>
      </c>
      <c r="O4791" s="37" t="str">
        <f t="shared" si="373"/>
        <v>Cash Payment</v>
      </c>
      <c r="P4791">
        <v>1315.18</v>
      </c>
      <c r="Q4791" s="37" t="str">
        <f>IF(P4791&gt;500,"High","low")</f>
        <v>High</v>
      </c>
      <c r="R4791" s="37" t="str">
        <f t="shared" si="374"/>
        <v>Excellent</v>
      </c>
      <c r="S4791" t="s">
        <v>620</v>
      </c>
    </row>
    <row r="4792" spans="1:19" x14ac:dyDescent="0.2">
      <c r="A4792" t="s">
        <v>5403</v>
      </c>
      <c r="B4792" t="s">
        <v>75</v>
      </c>
      <c r="C4792" t="s">
        <v>607</v>
      </c>
      <c r="D4792">
        <v>296.02</v>
      </c>
      <c r="E4792" s="37" t="str">
        <f t="shared" si="370"/>
        <v xml:space="preserve"> </v>
      </c>
      <c r="F4792">
        <v>0.02</v>
      </c>
      <c r="G4792" s="37" t="str">
        <f t="shared" si="371"/>
        <v>Normal Discount</v>
      </c>
      <c r="H4792" s="37" t="str">
        <f t="shared" si="372"/>
        <v>Low</v>
      </c>
      <c r="I4792">
        <v>8</v>
      </c>
      <c r="J4792" t="str" cm="1">
        <f t="array" ref="J4792">_xlfn.IFS(I4792&lt;=3,"small",I4792&lt;=6,"Medium",I4792&lt;=9,"Large")</f>
        <v>Large</v>
      </c>
      <c r="K4792" s="36">
        <v>44982</v>
      </c>
      <c r="L4792" s="36">
        <v>44983</v>
      </c>
      <c r="M4792" t="s">
        <v>612</v>
      </c>
      <c r="N4792" t="s">
        <v>599</v>
      </c>
      <c r="O4792" s="37" t="str">
        <f t="shared" si="373"/>
        <v>Digital Payment</v>
      </c>
      <c r="P4792">
        <v>37.35</v>
      </c>
      <c r="Q4792" s="37" t="str">
        <f>IF(P4792&gt;500,"High","low")</f>
        <v>low</v>
      </c>
      <c r="R4792" s="37" t="str">
        <f t="shared" si="374"/>
        <v>AVERAGE</v>
      </c>
      <c r="S4792" t="s">
        <v>609</v>
      </c>
    </row>
    <row r="4793" spans="1:19" x14ac:dyDescent="0.2">
      <c r="A4793" t="s">
        <v>5404</v>
      </c>
      <c r="B4793" t="s">
        <v>90</v>
      </c>
      <c r="C4793" t="s">
        <v>602</v>
      </c>
      <c r="D4793">
        <v>3746.02</v>
      </c>
      <c r="E4793" s="37" t="str">
        <f t="shared" si="370"/>
        <v xml:space="preserve"> </v>
      </c>
      <c r="F4793">
        <v>0.33</v>
      </c>
      <c r="G4793" s="37" t="str">
        <f t="shared" si="371"/>
        <v>Heavy Discount</v>
      </c>
      <c r="H4793" s="37" t="str">
        <f t="shared" si="372"/>
        <v>Medium</v>
      </c>
      <c r="I4793">
        <v>8</v>
      </c>
      <c r="J4793" t="str" cm="1">
        <f t="array" ref="J4793">_xlfn.IFS(I4793&lt;=3,"small",I4793&lt;=6,"Medium",I4793&lt;=9,"Large")</f>
        <v>Large</v>
      </c>
      <c r="K4793" s="36">
        <v>44966</v>
      </c>
      <c r="L4793" s="36">
        <v>44968</v>
      </c>
      <c r="M4793" t="s">
        <v>603</v>
      </c>
      <c r="N4793" t="s">
        <v>608</v>
      </c>
      <c r="O4793" s="37" t="str">
        <f t="shared" si="373"/>
        <v>Cash Payment</v>
      </c>
      <c r="P4793">
        <v>673.63</v>
      </c>
      <c r="Q4793" s="37" t="str">
        <f>IF(P4793&gt;500,"High","low")</f>
        <v>High</v>
      </c>
      <c r="R4793" s="37" t="str">
        <f t="shared" si="374"/>
        <v>Good</v>
      </c>
      <c r="S4793" t="s">
        <v>615</v>
      </c>
    </row>
    <row r="4794" spans="1:19" x14ac:dyDescent="0.2">
      <c r="A4794" t="s">
        <v>5405</v>
      </c>
      <c r="B4794" t="s">
        <v>67</v>
      </c>
      <c r="C4794" t="s">
        <v>607</v>
      </c>
      <c r="D4794">
        <v>272.29000000000002</v>
      </c>
      <c r="E4794" s="37" t="str">
        <f t="shared" si="370"/>
        <v xml:space="preserve"> </v>
      </c>
      <c r="F4794">
        <v>0.01</v>
      </c>
      <c r="G4794" s="37" t="str">
        <f t="shared" si="371"/>
        <v>Normal Discount</v>
      </c>
      <c r="H4794" s="37" t="str">
        <f t="shared" si="372"/>
        <v>Low</v>
      </c>
      <c r="I4794">
        <v>8</v>
      </c>
      <c r="J4794" t="str" cm="1">
        <f t="array" ref="J4794">_xlfn.IFS(I4794&lt;=3,"small",I4794&lt;=6,"Medium",I4794&lt;=9,"Large")</f>
        <v>Large</v>
      </c>
      <c r="K4794" s="36">
        <v>45431</v>
      </c>
      <c r="L4794" s="36">
        <v>45436</v>
      </c>
      <c r="M4794" t="s">
        <v>598</v>
      </c>
      <c r="N4794" t="s">
        <v>599</v>
      </c>
      <c r="O4794" s="37" t="str">
        <f t="shared" si="373"/>
        <v>Digital Payment</v>
      </c>
      <c r="P4794">
        <v>37.65</v>
      </c>
      <c r="Q4794" s="37" t="str">
        <f>IF(P4794&gt;500,"High","low")</f>
        <v>low</v>
      </c>
      <c r="R4794" s="37" t="str">
        <f t="shared" si="374"/>
        <v>AVERAGE</v>
      </c>
      <c r="S4794" t="s">
        <v>600</v>
      </c>
    </row>
    <row r="4795" spans="1:19" x14ac:dyDescent="0.2">
      <c r="A4795" t="s">
        <v>5406</v>
      </c>
      <c r="B4795" t="s">
        <v>90</v>
      </c>
      <c r="C4795" t="s">
        <v>602</v>
      </c>
      <c r="D4795">
        <v>2280.9699999999998</v>
      </c>
      <c r="E4795" s="37" t="str">
        <f t="shared" si="370"/>
        <v xml:space="preserve"> </v>
      </c>
      <c r="F4795">
        <v>0.1</v>
      </c>
      <c r="G4795" s="37" t="str">
        <f t="shared" si="371"/>
        <v>Normal Discount</v>
      </c>
      <c r="H4795" s="37" t="str">
        <f t="shared" si="372"/>
        <v>Low</v>
      </c>
      <c r="I4795">
        <v>8</v>
      </c>
      <c r="J4795" t="str" cm="1">
        <f t="array" ref="J4795">_xlfn.IFS(I4795&lt;=3,"small",I4795&lt;=6,"Medium",I4795&lt;=9,"Large")</f>
        <v>Large</v>
      </c>
      <c r="K4795" s="36">
        <v>45625</v>
      </c>
      <c r="L4795" s="36">
        <v>45627</v>
      </c>
      <c r="M4795" t="s">
        <v>598</v>
      </c>
      <c r="N4795" t="s">
        <v>608</v>
      </c>
      <c r="O4795" s="37" t="str">
        <f t="shared" si="373"/>
        <v>Cash Payment</v>
      </c>
      <c r="P4795">
        <v>351.81</v>
      </c>
      <c r="Q4795" s="37" t="str">
        <f>IF(P4795&gt;500,"High","low")</f>
        <v>low</v>
      </c>
      <c r="R4795" s="37" t="str">
        <f t="shared" si="374"/>
        <v>AVERAGE</v>
      </c>
      <c r="S4795" t="s">
        <v>615</v>
      </c>
    </row>
    <row r="4796" spans="1:19" x14ac:dyDescent="0.2">
      <c r="A4796" t="s">
        <v>5407</v>
      </c>
      <c r="B4796" t="s">
        <v>75</v>
      </c>
      <c r="C4796" t="s">
        <v>614</v>
      </c>
      <c r="D4796">
        <v>2361.86</v>
      </c>
      <c r="E4796" s="37" t="str">
        <f t="shared" si="370"/>
        <v xml:space="preserve"> </v>
      </c>
      <c r="F4796">
        <v>0.14000000000000001</v>
      </c>
      <c r="G4796" s="37" t="str">
        <f t="shared" si="371"/>
        <v>Normal Discount</v>
      </c>
      <c r="H4796" s="37" t="str">
        <f t="shared" si="372"/>
        <v>Low</v>
      </c>
      <c r="I4796">
        <v>7</v>
      </c>
      <c r="J4796" t="str" cm="1">
        <f t="array" ref="J4796">_xlfn.IFS(I4796&lt;=3,"small",I4796&lt;=6,"Medium",I4796&lt;=9,"Large")</f>
        <v>Large</v>
      </c>
      <c r="K4796" s="36">
        <v>44938</v>
      </c>
      <c r="L4796" s="36">
        <v>44945</v>
      </c>
      <c r="M4796" t="s">
        <v>598</v>
      </c>
      <c r="N4796" t="s">
        <v>608</v>
      </c>
      <c r="O4796" s="37" t="str">
        <f t="shared" si="373"/>
        <v>Cash Payment</v>
      </c>
      <c r="P4796">
        <v>497.95</v>
      </c>
      <c r="Q4796" s="37" t="str">
        <f>IF(P4796&gt;500,"High","low")</f>
        <v>low</v>
      </c>
      <c r="R4796" s="37" t="str">
        <f t="shared" si="374"/>
        <v>AVERAGE</v>
      </c>
      <c r="S4796" t="s">
        <v>600</v>
      </c>
    </row>
    <row r="4797" spans="1:19" x14ac:dyDescent="0.2">
      <c r="A4797" t="s">
        <v>5408</v>
      </c>
      <c r="B4797" t="s">
        <v>83</v>
      </c>
      <c r="C4797" t="s">
        <v>607</v>
      </c>
      <c r="D4797">
        <v>3511.47</v>
      </c>
      <c r="E4797" s="37" t="str">
        <f t="shared" si="370"/>
        <v xml:space="preserve"> </v>
      </c>
      <c r="F4797">
        <v>0.44</v>
      </c>
      <c r="G4797" s="37" t="str">
        <f t="shared" si="371"/>
        <v>Heavy Discount</v>
      </c>
      <c r="H4797" s="37" t="str">
        <f t="shared" si="372"/>
        <v>High</v>
      </c>
      <c r="I4797">
        <v>2</v>
      </c>
      <c r="J4797" t="str" cm="1">
        <f t="array" ref="J4797">_xlfn.IFS(I4797&lt;=3,"small",I4797&lt;=6,"Medium",I4797&lt;=9,"Large")</f>
        <v>small</v>
      </c>
      <c r="K4797" s="36">
        <v>45161</v>
      </c>
      <c r="L4797" s="36">
        <v>45163</v>
      </c>
      <c r="M4797" t="s">
        <v>598</v>
      </c>
      <c r="N4797" t="s">
        <v>599</v>
      </c>
      <c r="O4797" s="37" t="str">
        <f t="shared" si="373"/>
        <v>Digital Payment</v>
      </c>
      <c r="P4797">
        <v>598.01</v>
      </c>
      <c r="Q4797" s="37" t="str">
        <f>IF(P4797&gt;500,"High","low")</f>
        <v>High</v>
      </c>
      <c r="R4797" s="37" t="str">
        <f t="shared" si="374"/>
        <v>Good</v>
      </c>
      <c r="S4797" t="s">
        <v>628</v>
      </c>
    </row>
    <row r="4798" spans="1:19" x14ac:dyDescent="0.2">
      <c r="A4798" t="s">
        <v>5409</v>
      </c>
      <c r="B4798" t="s">
        <v>67</v>
      </c>
      <c r="C4798" t="s">
        <v>602</v>
      </c>
      <c r="D4798">
        <v>1826.78</v>
      </c>
      <c r="E4798" s="37" t="str">
        <f t="shared" si="370"/>
        <v xml:space="preserve"> </v>
      </c>
      <c r="F4798">
        <v>7.0000000000000007E-2</v>
      </c>
      <c r="G4798" s="37" t="str">
        <f t="shared" si="371"/>
        <v>Normal Discount</v>
      </c>
      <c r="H4798" s="37" t="str">
        <f t="shared" si="372"/>
        <v>Low</v>
      </c>
      <c r="I4798">
        <v>2</v>
      </c>
      <c r="J4798" t="str" cm="1">
        <f t="array" ref="J4798">_xlfn.IFS(I4798&lt;=3,"small",I4798&lt;=6,"Medium",I4798&lt;=9,"Large")</f>
        <v>small</v>
      </c>
      <c r="K4798" s="36">
        <v>45554</v>
      </c>
      <c r="L4798" s="36">
        <v>45557</v>
      </c>
      <c r="M4798" t="s">
        <v>612</v>
      </c>
      <c r="N4798" t="s">
        <v>608</v>
      </c>
      <c r="O4798" s="37" t="str">
        <f t="shared" si="373"/>
        <v>Cash Payment</v>
      </c>
      <c r="P4798">
        <v>137.99</v>
      </c>
      <c r="Q4798" s="37" t="str">
        <f>IF(P4798&gt;500,"High","low")</f>
        <v>low</v>
      </c>
      <c r="R4798" s="37" t="str">
        <f t="shared" si="374"/>
        <v>AVERAGE</v>
      </c>
      <c r="S4798" t="s">
        <v>605</v>
      </c>
    </row>
    <row r="4799" spans="1:19" x14ac:dyDescent="0.2">
      <c r="A4799" t="s">
        <v>5410</v>
      </c>
      <c r="B4799" t="s">
        <v>83</v>
      </c>
      <c r="C4799" t="s">
        <v>602</v>
      </c>
      <c r="D4799">
        <v>4122.42</v>
      </c>
      <c r="E4799" s="37" t="str">
        <f t="shared" si="370"/>
        <v xml:space="preserve"> </v>
      </c>
      <c r="F4799">
        <v>0.47</v>
      </c>
      <c r="G4799" s="37" t="str">
        <f t="shared" si="371"/>
        <v>Heavy Discount</v>
      </c>
      <c r="H4799" s="37" t="str">
        <f t="shared" si="372"/>
        <v>High</v>
      </c>
      <c r="I4799">
        <v>5</v>
      </c>
      <c r="J4799" t="str" cm="1">
        <f t="array" ref="J4799">_xlfn.IFS(I4799&lt;=3,"small",I4799&lt;=6,"Medium",I4799&lt;=9,"Large")</f>
        <v>Medium</v>
      </c>
      <c r="K4799" s="36">
        <v>45223</v>
      </c>
      <c r="L4799" s="36">
        <v>45224</v>
      </c>
      <c r="M4799" t="s">
        <v>598</v>
      </c>
      <c r="N4799" t="s">
        <v>608</v>
      </c>
      <c r="O4799" s="37" t="str">
        <f t="shared" si="373"/>
        <v>Cash Payment</v>
      </c>
      <c r="P4799">
        <v>730.31</v>
      </c>
      <c r="Q4799" s="37" t="str">
        <f>IF(P4799&gt;500,"High","low")</f>
        <v>High</v>
      </c>
      <c r="R4799" s="37" t="str">
        <f t="shared" si="374"/>
        <v>Good</v>
      </c>
      <c r="S4799" t="s">
        <v>609</v>
      </c>
    </row>
    <row r="4800" spans="1:19" x14ac:dyDescent="0.2">
      <c r="A4800" t="s">
        <v>5411</v>
      </c>
      <c r="B4800" t="s">
        <v>67</v>
      </c>
      <c r="C4800" t="s">
        <v>607</v>
      </c>
      <c r="D4800">
        <v>1780.03</v>
      </c>
      <c r="E4800" s="37" t="str">
        <f t="shared" si="370"/>
        <v xml:space="preserve"> </v>
      </c>
      <c r="F4800">
        <v>0.41</v>
      </c>
      <c r="G4800" s="37" t="str">
        <f t="shared" si="371"/>
        <v>Heavy Discount</v>
      </c>
      <c r="H4800" s="37" t="str">
        <f t="shared" si="372"/>
        <v>High</v>
      </c>
      <c r="I4800">
        <v>6</v>
      </c>
      <c r="J4800" t="str" cm="1">
        <f t="array" ref="J4800">_xlfn.IFS(I4800&lt;=3,"small",I4800&lt;=6,"Medium",I4800&lt;=9,"Large")</f>
        <v>Medium</v>
      </c>
      <c r="K4800" s="36">
        <v>45350</v>
      </c>
      <c r="L4800" s="36">
        <v>45357</v>
      </c>
      <c r="M4800" t="s">
        <v>598</v>
      </c>
      <c r="N4800" t="s">
        <v>599</v>
      </c>
      <c r="O4800" s="37" t="str">
        <f t="shared" si="373"/>
        <v>Digital Payment</v>
      </c>
      <c r="P4800">
        <v>221.65</v>
      </c>
      <c r="Q4800" s="37" t="str">
        <f>IF(P4800&gt;500,"High","low")</f>
        <v>low</v>
      </c>
      <c r="R4800" s="37" t="str">
        <f t="shared" si="374"/>
        <v>AVERAGE</v>
      </c>
      <c r="S4800" t="s">
        <v>609</v>
      </c>
    </row>
    <row r="4801" spans="1:19" x14ac:dyDescent="0.2">
      <c r="A4801" t="s">
        <v>5412</v>
      </c>
      <c r="B4801" t="s">
        <v>90</v>
      </c>
      <c r="C4801" t="s">
        <v>614</v>
      </c>
      <c r="D4801">
        <v>1778.34</v>
      </c>
      <c r="E4801" s="37" t="str">
        <f t="shared" si="370"/>
        <v xml:space="preserve"> </v>
      </c>
      <c r="F4801">
        <v>0.34</v>
      </c>
      <c r="G4801" s="37" t="str">
        <f t="shared" si="371"/>
        <v>Heavy Discount</v>
      </c>
      <c r="H4801" s="37" t="str">
        <f t="shared" si="372"/>
        <v>Medium</v>
      </c>
      <c r="I4801">
        <v>9</v>
      </c>
      <c r="J4801" t="str" cm="1">
        <f t="array" ref="J4801">_xlfn.IFS(I4801&lt;=3,"small",I4801&lt;=6,"Medium",I4801&lt;=9,"Large")</f>
        <v>Large</v>
      </c>
      <c r="K4801" s="36">
        <v>45499</v>
      </c>
      <c r="L4801" s="36">
        <v>45506</v>
      </c>
      <c r="M4801" t="s">
        <v>598</v>
      </c>
      <c r="N4801" t="s">
        <v>608</v>
      </c>
      <c r="O4801" s="37" t="str">
        <f t="shared" si="373"/>
        <v>Cash Payment</v>
      </c>
      <c r="P4801">
        <v>369.45</v>
      </c>
      <c r="Q4801" s="37" t="str">
        <f>IF(P4801&gt;500,"High","low")</f>
        <v>low</v>
      </c>
      <c r="R4801" s="37" t="str">
        <f t="shared" si="374"/>
        <v>AVERAGE</v>
      </c>
      <c r="S4801" t="s">
        <v>609</v>
      </c>
    </row>
    <row r="4802" spans="1:19" x14ac:dyDescent="0.2">
      <c r="A4802" t="s">
        <v>5413</v>
      </c>
      <c r="B4802" t="s">
        <v>90</v>
      </c>
      <c r="C4802" t="s">
        <v>607</v>
      </c>
      <c r="D4802">
        <v>1191.53</v>
      </c>
      <c r="E4802" s="37" t="str">
        <f t="shared" si="370"/>
        <v xml:space="preserve"> </v>
      </c>
      <c r="F4802">
        <v>0.21</v>
      </c>
      <c r="G4802" s="37" t="str">
        <f t="shared" si="371"/>
        <v>Normal Discount</v>
      </c>
      <c r="H4802" s="37" t="str">
        <f t="shared" si="372"/>
        <v>Medium</v>
      </c>
      <c r="I4802">
        <v>1</v>
      </c>
      <c r="J4802" t="str" cm="1">
        <f t="array" ref="J4802">_xlfn.IFS(I4802&lt;=3,"small",I4802&lt;=6,"Medium",I4802&lt;=9,"Large")</f>
        <v>small</v>
      </c>
      <c r="K4802" s="36">
        <v>45472</v>
      </c>
      <c r="L4802" s="36">
        <v>45478</v>
      </c>
      <c r="M4802" t="s">
        <v>598</v>
      </c>
      <c r="N4802" t="s">
        <v>608</v>
      </c>
      <c r="O4802" s="37" t="str">
        <f t="shared" si="373"/>
        <v>Cash Payment</v>
      </c>
      <c r="P4802">
        <v>113.69</v>
      </c>
      <c r="Q4802" s="37" t="str">
        <f>IF(P4802&gt;500,"High","low")</f>
        <v>low</v>
      </c>
      <c r="R4802" s="37" t="str">
        <f t="shared" si="374"/>
        <v>AVERAGE</v>
      </c>
      <c r="S4802" t="s">
        <v>615</v>
      </c>
    </row>
    <row r="4803" spans="1:19" x14ac:dyDescent="0.2">
      <c r="A4803" t="s">
        <v>5414</v>
      </c>
      <c r="B4803" t="s">
        <v>90</v>
      </c>
      <c r="C4803" t="s">
        <v>602</v>
      </c>
      <c r="D4803">
        <v>3450.96</v>
      </c>
      <c r="E4803" s="37" t="str">
        <f t="shared" ref="E4803:E4866" si="375">IF(AND(D4803&gt;4000,P4803&gt;800),"Excellent Order"," ")</f>
        <v xml:space="preserve"> </v>
      </c>
      <c r="F4803">
        <v>0.45</v>
      </c>
      <c r="G4803" s="37" t="str">
        <f t="shared" ref="G4803:G4866" si="376">IF(F4803&gt;30%,"Heavy Discount","Normal Discount")</f>
        <v>Heavy Discount</v>
      </c>
      <c r="H4803" s="37" t="str">
        <f t="shared" ref="H4803:H4866" si="377">IF(F4803&gt;0.4,"High",IF(F4803&gt;=0.2,"Medium","Low"))</f>
        <v>High</v>
      </c>
      <c r="I4803">
        <v>7</v>
      </c>
      <c r="J4803" t="str" cm="1">
        <f t="array" ref="J4803">_xlfn.IFS(I4803&lt;=3,"small",I4803&lt;=6,"Medium",I4803&lt;=9,"Large")</f>
        <v>Large</v>
      </c>
      <c r="K4803" s="36">
        <v>45201</v>
      </c>
      <c r="L4803" s="36">
        <v>45204</v>
      </c>
      <c r="M4803" t="s">
        <v>603</v>
      </c>
      <c r="N4803" t="s">
        <v>599</v>
      </c>
      <c r="O4803" s="37" t="str">
        <f t="shared" ref="O4803:O4866" si="378">IF(OR(N4803="Card",N4803="UPI"),"Digital Payment","Cash Payment")</f>
        <v>Digital Payment</v>
      </c>
      <c r="P4803">
        <v>674.65</v>
      </c>
      <c r="Q4803" s="37" t="str">
        <f>IF(P4803&gt;500,"High","low")</f>
        <v>High</v>
      </c>
      <c r="R4803" s="37" t="str">
        <f t="shared" ref="R4803:R4866" si="379">IF(P4803&gt;1000,"Excellent",IF(P4803&gt;=500,"Good","AVERAGE"))</f>
        <v>Good</v>
      </c>
      <c r="S4803" t="s">
        <v>620</v>
      </c>
    </row>
    <row r="4804" spans="1:19" x14ac:dyDescent="0.2">
      <c r="A4804" t="s">
        <v>5415</v>
      </c>
      <c r="B4804" t="s">
        <v>90</v>
      </c>
      <c r="C4804" t="s">
        <v>614</v>
      </c>
      <c r="D4804">
        <v>475.28</v>
      </c>
      <c r="E4804" s="37" t="str">
        <f t="shared" si="375"/>
        <v xml:space="preserve"> </v>
      </c>
      <c r="F4804">
        <v>0.26</v>
      </c>
      <c r="G4804" s="37" t="str">
        <f t="shared" si="376"/>
        <v>Normal Discount</v>
      </c>
      <c r="H4804" s="37" t="str">
        <f t="shared" si="377"/>
        <v>Medium</v>
      </c>
      <c r="I4804">
        <v>7</v>
      </c>
      <c r="J4804" t="str" cm="1">
        <f t="array" ref="J4804">_xlfn.IFS(I4804&lt;=3,"small",I4804&lt;=6,"Medium",I4804&lt;=9,"Large")</f>
        <v>Large</v>
      </c>
      <c r="K4804" s="36">
        <v>45099</v>
      </c>
      <c r="L4804" s="36">
        <v>45104</v>
      </c>
      <c r="M4804" t="s">
        <v>603</v>
      </c>
      <c r="N4804" t="s">
        <v>599</v>
      </c>
      <c r="O4804" s="37" t="str">
        <f t="shared" si="378"/>
        <v>Digital Payment</v>
      </c>
      <c r="P4804">
        <v>77.239999999999995</v>
      </c>
      <c r="Q4804" s="37" t="str">
        <f>IF(P4804&gt;500,"High","low")</f>
        <v>low</v>
      </c>
      <c r="R4804" s="37" t="str">
        <f t="shared" si="379"/>
        <v>AVERAGE</v>
      </c>
      <c r="S4804" t="s">
        <v>620</v>
      </c>
    </row>
    <row r="4805" spans="1:19" x14ac:dyDescent="0.2">
      <c r="A4805" t="s">
        <v>5416</v>
      </c>
      <c r="B4805" t="s">
        <v>90</v>
      </c>
      <c r="C4805" t="s">
        <v>617</v>
      </c>
      <c r="D4805">
        <v>1878.97</v>
      </c>
      <c r="E4805" s="37" t="str">
        <f t="shared" si="375"/>
        <v xml:space="preserve"> </v>
      </c>
      <c r="F4805">
        <v>0.19</v>
      </c>
      <c r="G4805" s="37" t="str">
        <f t="shared" si="376"/>
        <v>Normal Discount</v>
      </c>
      <c r="H4805" s="37" t="str">
        <f t="shared" si="377"/>
        <v>Low</v>
      </c>
      <c r="I4805">
        <v>8</v>
      </c>
      <c r="J4805" t="str" cm="1">
        <f t="array" ref="J4805">_xlfn.IFS(I4805&lt;=3,"small",I4805&lt;=6,"Medium",I4805&lt;=9,"Large")</f>
        <v>Large</v>
      </c>
      <c r="K4805" s="36">
        <v>45529</v>
      </c>
      <c r="L4805" s="36">
        <v>45530</v>
      </c>
      <c r="M4805" t="s">
        <v>612</v>
      </c>
      <c r="N4805" t="s">
        <v>604</v>
      </c>
      <c r="O4805" s="37" t="str">
        <f t="shared" si="378"/>
        <v>Digital Payment</v>
      </c>
      <c r="P4805">
        <v>473.58</v>
      </c>
      <c r="Q4805" s="37" t="str">
        <f>IF(P4805&gt;500,"High","low")</f>
        <v>low</v>
      </c>
      <c r="R4805" s="37" t="str">
        <f t="shared" si="379"/>
        <v>AVERAGE</v>
      </c>
      <c r="S4805" t="s">
        <v>615</v>
      </c>
    </row>
    <row r="4806" spans="1:19" x14ac:dyDescent="0.2">
      <c r="A4806" t="s">
        <v>5417</v>
      </c>
      <c r="B4806" t="s">
        <v>83</v>
      </c>
      <c r="C4806" t="s">
        <v>597</v>
      </c>
      <c r="D4806">
        <v>1407.76</v>
      </c>
      <c r="E4806" s="37" t="str">
        <f t="shared" si="375"/>
        <v xml:space="preserve"> </v>
      </c>
      <c r="F4806">
        <v>0.28999999999999998</v>
      </c>
      <c r="G4806" s="37" t="str">
        <f t="shared" si="376"/>
        <v>Normal Discount</v>
      </c>
      <c r="H4806" s="37" t="str">
        <f t="shared" si="377"/>
        <v>Medium</v>
      </c>
      <c r="I4806">
        <v>1</v>
      </c>
      <c r="J4806" t="str" cm="1">
        <f t="array" ref="J4806">_xlfn.IFS(I4806&lt;=3,"small",I4806&lt;=6,"Medium",I4806&lt;=9,"Large")</f>
        <v>small</v>
      </c>
      <c r="K4806" s="36">
        <v>44955</v>
      </c>
      <c r="L4806" s="36">
        <v>44961</v>
      </c>
      <c r="M4806" t="s">
        <v>598</v>
      </c>
      <c r="N4806" t="s">
        <v>599</v>
      </c>
      <c r="O4806" s="37" t="str">
        <f t="shared" si="378"/>
        <v>Digital Payment</v>
      </c>
      <c r="P4806">
        <v>189.71</v>
      </c>
      <c r="Q4806" s="37" t="str">
        <f>IF(P4806&gt;500,"High","low")</f>
        <v>low</v>
      </c>
      <c r="R4806" s="37" t="str">
        <f t="shared" si="379"/>
        <v>AVERAGE</v>
      </c>
      <c r="S4806" t="s">
        <v>628</v>
      </c>
    </row>
    <row r="4807" spans="1:19" x14ac:dyDescent="0.2">
      <c r="A4807" t="s">
        <v>5418</v>
      </c>
      <c r="B4807" t="s">
        <v>90</v>
      </c>
      <c r="C4807" t="s">
        <v>607</v>
      </c>
      <c r="D4807">
        <v>1223.74</v>
      </c>
      <c r="E4807" s="37" t="str">
        <f t="shared" si="375"/>
        <v xml:space="preserve"> </v>
      </c>
      <c r="F4807">
        <v>0.12</v>
      </c>
      <c r="G4807" s="37" t="str">
        <f t="shared" si="376"/>
        <v>Normal Discount</v>
      </c>
      <c r="H4807" s="37" t="str">
        <f t="shared" si="377"/>
        <v>Low</v>
      </c>
      <c r="I4807">
        <v>4</v>
      </c>
      <c r="J4807" t="str" cm="1">
        <f t="array" ref="J4807">_xlfn.IFS(I4807&lt;=3,"small",I4807&lt;=6,"Medium",I4807&lt;=9,"Large")</f>
        <v>Medium</v>
      </c>
      <c r="K4807" s="36">
        <v>45457</v>
      </c>
      <c r="L4807" s="36">
        <v>45463</v>
      </c>
      <c r="M4807" t="s">
        <v>603</v>
      </c>
      <c r="N4807" t="s">
        <v>608</v>
      </c>
      <c r="O4807" s="37" t="str">
        <f t="shared" si="378"/>
        <v>Cash Payment</v>
      </c>
      <c r="P4807">
        <v>91.8</v>
      </c>
      <c r="Q4807" s="37" t="str">
        <f>IF(P4807&gt;500,"High","low")</f>
        <v>low</v>
      </c>
      <c r="R4807" s="37" t="str">
        <f t="shared" si="379"/>
        <v>AVERAGE</v>
      </c>
      <c r="S4807" t="s">
        <v>605</v>
      </c>
    </row>
    <row r="4808" spans="1:19" x14ac:dyDescent="0.2">
      <c r="A4808" t="s">
        <v>5419</v>
      </c>
      <c r="B4808" t="s">
        <v>75</v>
      </c>
      <c r="C4808" t="s">
        <v>602</v>
      </c>
      <c r="D4808">
        <v>398.82</v>
      </c>
      <c r="E4808" s="37" t="str">
        <f t="shared" si="375"/>
        <v xml:space="preserve"> </v>
      </c>
      <c r="F4808">
        <v>0.14000000000000001</v>
      </c>
      <c r="G4808" s="37" t="str">
        <f t="shared" si="376"/>
        <v>Normal Discount</v>
      </c>
      <c r="H4808" s="37" t="str">
        <f t="shared" si="377"/>
        <v>Low</v>
      </c>
      <c r="I4808">
        <v>5</v>
      </c>
      <c r="J4808" t="str" cm="1">
        <f t="array" ref="J4808">_xlfn.IFS(I4808&lt;=3,"small",I4808&lt;=6,"Medium",I4808&lt;=9,"Large")</f>
        <v>Medium</v>
      </c>
      <c r="K4808" s="36">
        <v>45110</v>
      </c>
      <c r="L4808" s="36">
        <v>45115</v>
      </c>
      <c r="M4808" t="s">
        <v>612</v>
      </c>
      <c r="N4808" t="s">
        <v>599</v>
      </c>
      <c r="O4808" s="37" t="str">
        <f t="shared" si="378"/>
        <v>Digital Payment</v>
      </c>
      <c r="P4808">
        <v>28.44</v>
      </c>
      <c r="Q4808" s="37" t="str">
        <f>IF(P4808&gt;500,"High","low")</f>
        <v>low</v>
      </c>
      <c r="R4808" s="37" t="str">
        <f t="shared" si="379"/>
        <v>AVERAGE</v>
      </c>
      <c r="S4808" t="s">
        <v>620</v>
      </c>
    </row>
    <row r="4809" spans="1:19" x14ac:dyDescent="0.2">
      <c r="A4809" t="s">
        <v>5420</v>
      </c>
      <c r="B4809" t="s">
        <v>75</v>
      </c>
      <c r="C4809" t="s">
        <v>614</v>
      </c>
      <c r="D4809">
        <v>1032.8800000000001</v>
      </c>
      <c r="E4809" s="37" t="str">
        <f t="shared" si="375"/>
        <v xml:space="preserve"> </v>
      </c>
      <c r="F4809">
        <v>0.46</v>
      </c>
      <c r="G4809" s="37" t="str">
        <f t="shared" si="376"/>
        <v>Heavy Discount</v>
      </c>
      <c r="H4809" s="37" t="str">
        <f t="shared" si="377"/>
        <v>High</v>
      </c>
      <c r="I4809">
        <v>2</v>
      </c>
      <c r="J4809" t="str" cm="1">
        <f t="array" ref="J4809">_xlfn.IFS(I4809&lt;=3,"small",I4809&lt;=6,"Medium",I4809&lt;=9,"Large")</f>
        <v>small</v>
      </c>
      <c r="K4809" s="36">
        <v>45465</v>
      </c>
      <c r="L4809" s="36">
        <v>45470</v>
      </c>
      <c r="M4809" t="s">
        <v>603</v>
      </c>
      <c r="N4809" t="s">
        <v>599</v>
      </c>
      <c r="O4809" s="37" t="str">
        <f t="shared" si="378"/>
        <v>Digital Payment</v>
      </c>
      <c r="P4809">
        <v>167.95</v>
      </c>
      <c r="Q4809" s="37" t="str">
        <f>IF(P4809&gt;500,"High","low")</f>
        <v>low</v>
      </c>
      <c r="R4809" s="37" t="str">
        <f t="shared" si="379"/>
        <v>AVERAGE</v>
      </c>
      <c r="S4809" t="s">
        <v>628</v>
      </c>
    </row>
    <row r="4810" spans="1:19" x14ac:dyDescent="0.2">
      <c r="A4810" t="s">
        <v>5421</v>
      </c>
      <c r="B4810" t="s">
        <v>83</v>
      </c>
      <c r="C4810" t="s">
        <v>614</v>
      </c>
      <c r="D4810">
        <v>2286.6</v>
      </c>
      <c r="E4810" s="37" t="str">
        <f t="shared" si="375"/>
        <v xml:space="preserve"> </v>
      </c>
      <c r="F4810">
        <v>0.4</v>
      </c>
      <c r="G4810" s="37" t="str">
        <f t="shared" si="376"/>
        <v>Heavy Discount</v>
      </c>
      <c r="H4810" s="37" t="str">
        <f t="shared" si="377"/>
        <v>Medium</v>
      </c>
      <c r="I4810">
        <v>2</v>
      </c>
      <c r="J4810" t="str" cm="1">
        <f t="array" ref="J4810">_xlfn.IFS(I4810&lt;=3,"small",I4810&lt;=6,"Medium",I4810&lt;=9,"Large")</f>
        <v>small</v>
      </c>
      <c r="K4810" s="36">
        <v>45568</v>
      </c>
      <c r="L4810" s="36">
        <v>45574</v>
      </c>
      <c r="M4810" t="s">
        <v>612</v>
      </c>
      <c r="N4810" t="s">
        <v>608</v>
      </c>
      <c r="O4810" s="37" t="str">
        <f t="shared" si="378"/>
        <v>Cash Payment</v>
      </c>
      <c r="P4810">
        <v>410.35</v>
      </c>
      <c r="Q4810" s="37" t="str">
        <f>IF(P4810&gt;500,"High","low")</f>
        <v>low</v>
      </c>
      <c r="R4810" s="37" t="str">
        <f t="shared" si="379"/>
        <v>AVERAGE</v>
      </c>
      <c r="S4810" t="s">
        <v>609</v>
      </c>
    </row>
    <row r="4811" spans="1:19" x14ac:dyDescent="0.2">
      <c r="A4811" t="s">
        <v>5422</v>
      </c>
      <c r="B4811" t="s">
        <v>67</v>
      </c>
      <c r="C4811" t="s">
        <v>617</v>
      </c>
      <c r="D4811">
        <v>2568.33</v>
      </c>
      <c r="E4811" s="37" t="str">
        <f t="shared" si="375"/>
        <v xml:space="preserve"> </v>
      </c>
      <c r="F4811">
        <v>0.26</v>
      </c>
      <c r="G4811" s="37" t="str">
        <f t="shared" si="376"/>
        <v>Normal Discount</v>
      </c>
      <c r="H4811" s="37" t="str">
        <f t="shared" si="377"/>
        <v>Medium</v>
      </c>
      <c r="I4811">
        <v>4</v>
      </c>
      <c r="J4811" t="str" cm="1">
        <f t="array" ref="J4811">_xlfn.IFS(I4811&lt;=3,"small",I4811&lt;=6,"Medium",I4811&lt;=9,"Large")</f>
        <v>Medium</v>
      </c>
      <c r="K4811" s="36">
        <v>45350</v>
      </c>
      <c r="L4811" s="36">
        <v>45352</v>
      </c>
      <c r="M4811" t="s">
        <v>612</v>
      </c>
      <c r="N4811" t="s">
        <v>599</v>
      </c>
      <c r="O4811" s="37" t="str">
        <f t="shared" si="378"/>
        <v>Digital Payment</v>
      </c>
      <c r="P4811">
        <v>369.29</v>
      </c>
      <c r="Q4811" s="37" t="str">
        <f>IF(P4811&gt;500,"High","low")</f>
        <v>low</v>
      </c>
      <c r="R4811" s="37" t="str">
        <f t="shared" si="379"/>
        <v>AVERAGE</v>
      </c>
      <c r="S4811" t="s">
        <v>615</v>
      </c>
    </row>
    <row r="4812" spans="1:19" x14ac:dyDescent="0.2">
      <c r="A4812" t="s">
        <v>5423</v>
      </c>
      <c r="B4812" t="s">
        <v>75</v>
      </c>
      <c r="C4812" t="s">
        <v>607</v>
      </c>
      <c r="D4812">
        <v>1420.57</v>
      </c>
      <c r="E4812" s="37" t="str">
        <f t="shared" si="375"/>
        <v xml:space="preserve"> </v>
      </c>
      <c r="F4812">
        <v>0.21</v>
      </c>
      <c r="G4812" s="37" t="str">
        <f t="shared" si="376"/>
        <v>Normal Discount</v>
      </c>
      <c r="H4812" s="37" t="str">
        <f t="shared" si="377"/>
        <v>Medium</v>
      </c>
      <c r="I4812">
        <v>3</v>
      </c>
      <c r="J4812" t="str" cm="1">
        <f t="array" ref="J4812">_xlfn.IFS(I4812&lt;=3,"small",I4812&lt;=6,"Medium",I4812&lt;=9,"Large")</f>
        <v>small</v>
      </c>
      <c r="K4812" s="36">
        <v>45541</v>
      </c>
      <c r="L4812" s="36">
        <v>45543</v>
      </c>
      <c r="M4812" t="s">
        <v>598</v>
      </c>
      <c r="N4812" t="s">
        <v>608</v>
      </c>
      <c r="O4812" s="37" t="str">
        <f t="shared" si="378"/>
        <v>Cash Payment</v>
      </c>
      <c r="P4812">
        <v>350.71</v>
      </c>
      <c r="Q4812" s="37" t="str">
        <f>IF(P4812&gt;500,"High","low")</f>
        <v>low</v>
      </c>
      <c r="R4812" s="37" t="str">
        <f t="shared" si="379"/>
        <v>AVERAGE</v>
      </c>
      <c r="S4812" t="s">
        <v>609</v>
      </c>
    </row>
    <row r="4813" spans="1:19" x14ac:dyDescent="0.2">
      <c r="A4813" t="s">
        <v>5424</v>
      </c>
      <c r="B4813" t="s">
        <v>67</v>
      </c>
      <c r="C4813" t="s">
        <v>614</v>
      </c>
      <c r="D4813">
        <v>3286.19</v>
      </c>
      <c r="E4813" s="37" t="str">
        <f t="shared" si="375"/>
        <v xml:space="preserve"> </v>
      </c>
      <c r="F4813">
        <v>0.4</v>
      </c>
      <c r="G4813" s="37" t="str">
        <f t="shared" si="376"/>
        <v>Heavy Discount</v>
      </c>
      <c r="H4813" s="37" t="str">
        <f t="shared" si="377"/>
        <v>Medium</v>
      </c>
      <c r="I4813">
        <v>7</v>
      </c>
      <c r="J4813" t="str" cm="1">
        <f t="array" ref="J4813">_xlfn.IFS(I4813&lt;=3,"small",I4813&lt;=6,"Medium",I4813&lt;=9,"Large")</f>
        <v>Large</v>
      </c>
      <c r="K4813" s="36">
        <v>45375</v>
      </c>
      <c r="L4813" s="36">
        <v>45377</v>
      </c>
      <c r="M4813" t="s">
        <v>612</v>
      </c>
      <c r="N4813" t="s">
        <v>604</v>
      </c>
      <c r="O4813" s="37" t="str">
        <f t="shared" si="378"/>
        <v>Digital Payment</v>
      </c>
      <c r="P4813">
        <v>710.87</v>
      </c>
      <c r="Q4813" s="37" t="str">
        <f>IF(P4813&gt;500,"High","low")</f>
        <v>High</v>
      </c>
      <c r="R4813" s="37" t="str">
        <f t="shared" si="379"/>
        <v>Good</v>
      </c>
      <c r="S4813" t="s">
        <v>609</v>
      </c>
    </row>
    <row r="4814" spans="1:19" x14ac:dyDescent="0.2">
      <c r="A4814" t="s">
        <v>5425</v>
      </c>
      <c r="B4814" t="s">
        <v>83</v>
      </c>
      <c r="C4814" t="s">
        <v>617</v>
      </c>
      <c r="D4814">
        <v>1745.39</v>
      </c>
      <c r="E4814" s="37" t="str">
        <f t="shared" si="375"/>
        <v xml:space="preserve"> </v>
      </c>
      <c r="F4814">
        <v>0.28999999999999998</v>
      </c>
      <c r="G4814" s="37" t="str">
        <f t="shared" si="376"/>
        <v>Normal Discount</v>
      </c>
      <c r="H4814" s="37" t="str">
        <f t="shared" si="377"/>
        <v>Medium</v>
      </c>
      <c r="I4814">
        <v>7</v>
      </c>
      <c r="J4814" t="str" cm="1">
        <f t="array" ref="J4814">_xlfn.IFS(I4814&lt;=3,"small",I4814&lt;=6,"Medium",I4814&lt;=9,"Large")</f>
        <v>Large</v>
      </c>
      <c r="K4814" s="36">
        <v>45004</v>
      </c>
      <c r="L4814" s="36">
        <v>45006</v>
      </c>
      <c r="M4814" t="s">
        <v>598</v>
      </c>
      <c r="N4814" t="s">
        <v>604</v>
      </c>
      <c r="O4814" s="37" t="str">
        <f t="shared" si="378"/>
        <v>Digital Payment</v>
      </c>
      <c r="P4814">
        <v>333.99</v>
      </c>
      <c r="Q4814" s="37" t="str">
        <f>IF(P4814&gt;500,"High","low")</f>
        <v>low</v>
      </c>
      <c r="R4814" s="37" t="str">
        <f t="shared" si="379"/>
        <v>AVERAGE</v>
      </c>
      <c r="S4814" t="s">
        <v>628</v>
      </c>
    </row>
    <row r="4815" spans="1:19" x14ac:dyDescent="0.2">
      <c r="A4815" t="s">
        <v>5426</v>
      </c>
      <c r="B4815" t="s">
        <v>67</v>
      </c>
      <c r="C4815" t="s">
        <v>602</v>
      </c>
      <c r="D4815">
        <v>1899.5</v>
      </c>
      <c r="E4815" s="37" t="str">
        <f t="shared" si="375"/>
        <v xml:space="preserve"> </v>
      </c>
      <c r="F4815">
        <v>0.21</v>
      </c>
      <c r="G4815" s="37" t="str">
        <f t="shared" si="376"/>
        <v>Normal Discount</v>
      </c>
      <c r="H4815" s="37" t="str">
        <f t="shared" si="377"/>
        <v>Medium</v>
      </c>
      <c r="I4815">
        <v>2</v>
      </c>
      <c r="J4815" t="str" cm="1">
        <f t="array" ref="J4815">_xlfn.IFS(I4815&lt;=3,"small",I4815&lt;=6,"Medium",I4815&lt;=9,"Large")</f>
        <v>small</v>
      </c>
      <c r="K4815" s="36">
        <v>45446</v>
      </c>
      <c r="L4815" s="36">
        <v>45447</v>
      </c>
      <c r="M4815" t="s">
        <v>598</v>
      </c>
      <c r="N4815" t="s">
        <v>608</v>
      </c>
      <c r="O4815" s="37" t="str">
        <f t="shared" si="378"/>
        <v>Cash Payment</v>
      </c>
      <c r="P4815">
        <v>385.19</v>
      </c>
      <c r="Q4815" s="37" t="str">
        <f>IF(P4815&gt;500,"High","low")</f>
        <v>low</v>
      </c>
      <c r="R4815" s="37" t="str">
        <f t="shared" si="379"/>
        <v>AVERAGE</v>
      </c>
      <c r="S4815" t="s">
        <v>620</v>
      </c>
    </row>
    <row r="4816" spans="1:19" x14ac:dyDescent="0.2">
      <c r="A4816" t="s">
        <v>5427</v>
      </c>
      <c r="B4816" t="s">
        <v>67</v>
      </c>
      <c r="C4816" t="s">
        <v>617</v>
      </c>
      <c r="D4816">
        <v>3934.86</v>
      </c>
      <c r="E4816" s="37" t="str">
        <f t="shared" si="375"/>
        <v xml:space="preserve"> </v>
      </c>
      <c r="F4816">
        <v>0.26</v>
      </c>
      <c r="G4816" s="37" t="str">
        <f t="shared" si="376"/>
        <v>Normal Discount</v>
      </c>
      <c r="H4816" s="37" t="str">
        <f t="shared" si="377"/>
        <v>Medium</v>
      </c>
      <c r="I4816">
        <v>5</v>
      </c>
      <c r="J4816" t="str" cm="1">
        <f t="array" ref="J4816">_xlfn.IFS(I4816&lt;=3,"small",I4816&lt;=6,"Medium",I4816&lt;=9,"Large")</f>
        <v>Medium</v>
      </c>
      <c r="K4816" s="36">
        <v>44953</v>
      </c>
      <c r="L4816" s="36">
        <v>44959</v>
      </c>
      <c r="M4816" t="s">
        <v>598</v>
      </c>
      <c r="N4816" t="s">
        <v>604</v>
      </c>
      <c r="O4816" s="37" t="str">
        <f t="shared" si="378"/>
        <v>Digital Payment</v>
      </c>
      <c r="P4816">
        <v>947.71</v>
      </c>
      <c r="Q4816" s="37" t="str">
        <f>IF(P4816&gt;500,"High","low")</f>
        <v>High</v>
      </c>
      <c r="R4816" s="37" t="str">
        <f t="shared" si="379"/>
        <v>Good</v>
      </c>
      <c r="S4816" t="s">
        <v>615</v>
      </c>
    </row>
    <row r="4817" spans="1:19" x14ac:dyDescent="0.2">
      <c r="A4817" t="s">
        <v>5428</v>
      </c>
      <c r="B4817" t="s">
        <v>67</v>
      </c>
      <c r="C4817" t="s">
        <v>607</v>
      </c>
      <c r="D4817">
        <v>2804.64</v>
      </c>
      <c r="E4817" s="37" t="str">
        <f t="shared" si="375"/>
        <v xml:space="preserve"> </v>
      </c>
      <c r="F4817">
        <v>0.12</v>
      </c>
      <c r="G4817" s="37" t="str">
        <f t="shared" si="376"/>
        <v>Normal Discount</v>
      </c>
      <c r="H4817" s="37" t="str">
        <f t="shared" si="377"/>
        <v>Low</v>
      </c>
      <c r="I4817">
        <v>5</v>
      </c>
      <c r="J4817" t="str" cm="1">
        <f t="array" ref="J4817">_xlfn.IFS(I4817&lt;=3,"small",I4817&lt;=6,"Medium",I4817&lt;=9,"Large")</f>
        <v>Medium</v>
      </c>
      <c r="K4817" s="36">
        <v>45591</v>
      </c>
      <c r="L4817" s="36">
        <v>45594</v>
      </c>
      <c r="M4817" t="s">
        <v>612</v>
      </c>
      <c r="N4817" t="s">
        <v>599</v>
      </c>
      <c r="O4817" s="37" t="str">
        <f t="shared" si="378"/>
        <v>Digital Payment</v>
      </c>
      <c r="P4817">
        <v>566.5</v>
      </c>
      <c r="Q4817" s="37" t="str">
        <f>IF(P4817&gt;500,"High","low")</f>
        <v>High</v>
      </c>
      <c r="R4817" s="37" t="str">
        <f t="shared" si="379"/>
        <v>Good</v>
      </c>
      <c r="S4817" t="s">
        <v>615</v>
      </c>
    </row>
    <row r="4818" spans="1:19" x14ac:dyDescent="0.2">
      <c r="A4818" t="s">
        <v>5429</v>
      </c>
      <c r="B4818" t="s">
        <v>67</v>
      </c>
      <c r="C4818" t="s">
        <v>617</v>
      </c>
      <c r="D4818">
        <v>4770.5600000000004</v>
      </c>
      <c r="E4818" s="37" t="str">
        <f t="shared" si="375"/>
        <v xml:space="preserve"> </v>
      </c>
      <c r="F4818">
        <v>0.1</v>
      </c>
      <c r="G4818" s="37" t="str">
        <f t="shared" si="376"/>
        <v>Normal Discount</v>
      </c>
      <c r="H4818" s="37" t="str">
        <f t="shared" si="377"/>
        <v>Low</v>
      </c>
      <c r="I4818">
        <v>8</v>
      </c>
      <c r="J4818" t="str" cm="1">
        <f t="array" ref="J4818">_xlfn.IFS(I4818&lt;=3,"small",I4818&lt;=6,"Medium",I4818&lt;=9,"Large")</f>
        <v>Large</v>
      </c>
      <c r="K4818" s="36">
        <v>45487</v>
      </c>
      <c r="L4818" s="36">
        <v>45488</v>
      </c>
      <c r="M4818" t="s">
        <v>612</v>
      </c>
      <c r="N4818" t="s">
        <v>608</v>
      </c>
      <c r="O4818" s="37" t="str">
        <f t="shared" si="378"/>
        <v>Cash Payment</v>
      </c>
      <c r="P4818">
        <v>504.18</v>
      </c>
      <c r="Q4818" s="37" t="str">
        <f>IF(P4818&gt;500,"High","low")</f>
        <v>High</v>
      </c>
      <c r="R4818" s="37" t="str">
        <f t="shared" si="379"/>
        <v>Good</v>
      </c>
      <c r="S4818" t="s">
        <v>600</v>
      </c>
    </row>
    <row r="4819" spans="1:19" x14ac:dyDescent="0.2">
      <c r="A4819" t="s">
        <v>5430</v>
      </c>
      <c r="B4819" t="s">
        <v>83</v>
      </c>
      <c r="C4819" t="s">
        <v>614</v>
      </c>
      <c r="D4819">
        <v>1860.58</v>
      </c>
      <c r="E4819" s="37" t="str">
        <f t="shared" si="375"/>
        <v xml:space="preserve"> </v>
      </c>
      <c r="F4819">
        <v>0.49</v>
      </c>
      <c r="G4819" s="37" t="str">
        <f t="shared" si="376"/>
        <v>Heavy Discount</v>
      </c>
      <c r="H4819" s="37" t="str">
        <f t="shared" si="377"/>
        <v>High</v>
      </c>
      <c r="I4819">
        <v>8</v>
      </c>
      <c r="J4819" t="str" cm="1">
        <f t="array" ref="J4819">_xlfn.IFS(I4819&lt;=3,"small",I4819&lt;=6,"Medium",I4819&lt;=9,"Large")</f>
        <v>Large</v>
      </c>
      <c r="K4819" s="36">
        <v>45494</v>
      </c>
      <c r="L4819" s="36">
        <v>45501</v>
      </c>
      <c r="M4819" t="s">
        <v>612</v>
      </c>
      <c r="N4819" t="s">
        <v>604</v>
      </c>
      <c r="O4819" s="37" t="str">
        <f t="shared" si="378"/>
        <v>Digital Payment</v>
      </c>
      <c r="P4819">
        <v>281.94</v>
      </c>
      <c r="Q4819" s="37" t="str">
        <f>IF(P4819&gt;500,"High","low")</f>
        <v>low</v>
      </c>
      <c r="R4819" s="37" t="str">
        <f t="shared" si="379"/>
        <v>AVERAGE</v>
      </c>
      <c r="S4819" t="s">
        <v>605</v>
      </c>
    </row>
    <row r="4820" spans="1:19" x14ac:dyDescent="0.2">
      <c r="A4820" t="s">
        <v>5431</v>
      </c>
      <c r="B4820" t="s">
        <v>75</v>
      </c>
      <c r="C4820" t="s">
        <v>614</v>
      </c>
      <c r="D4820">
        <v>4156.42</v>
      </c>
      <c r="E4820" s="37" t="str">
        <f t="shared" si="375"/>
        <v xml:space="preserve"> </v>
      </c>
      <c r="F4820">
        <v>0.48</v>
      </c>
      <c r="G4820" s="37" t="str">
        <f t="shared" si="376"/>
        <v>Heavy Discount</v>
      </c>
      <c r="H4820" s="37" t="str">
        <f t="shared" si="377"/>
        <v>High</v>
      </c>
      <c r="I4820">
        <v>4</v>
      </c>
      <c r="J4820" t="str" cm="1">
        <f t="array" ref="J4820">_xlfn.IFS(I4820&lt;=3,"small",I4820&lt;=6,"Medium",I4820&lt;=9,"Large")</f>
        <v>Medium</v>
      </c>
      <c r="K4820" s="36">
        <v>45540</v>
      </c>
      <c r="L4820" s="36">
        <v>45542</v>
      </c>
      <c r="M4820" t="s">
        <v>598</v>
      </c>
      <c r="N4820" t="s">
        <v>599</v>
      </c>
      <c r="O4820" s="37" t="str">
        <f t="shared" si="378"/>
        <v>Digital Payment</v>
      </c>
      <c r="P4820">
        <v>349.3</v>
      </c>
      <c r="Q4820" s="37" t="str">
        <f>IF(P4820&gt;500,"High","low")</f>
        <v>low</v>
      </c>
      <c r="R4820" s="37" t="str">
        <f t="shared" si="379"/>
        <v>AVERAGE</v>
      </c>
      <c r="S4820" t="s">
        <v>620</v>
      </c>
    </row>
    <row r="4821" spans="1:19" x14ac:dyDescent="0.2">
      <c r="A4821" t="s">
        <v>5432</v>
      </c>
      <c r="B4821" t="s">
        <v>90</v>
      </c>
      <c r="C4821" t="s">
        <v>597</v>
      </c>
      <c r="D4821">
        <v>3717.85</v>
      </c>
      <c r="E4821" s="37" t="str">
        <f t="shared" si="375"/>
        <v xml:space="preserve"> </v>
      </c>
      <c r="F4821">
        <v>0.21</v>
      </c>
      <c r="G4821" s="37" t="str">
        <f t="shared" si="376"/>
        <v>Normal Discount</v>
      </c>
      <c r="H4821" s="37" t="str">
        <f t="shared" si="377"/>
        <v>Medium</v>
      </c>
      <c r="I4821">
        <v>1</v>
      </c>
      <c r="J4821" t="str" cm="1">
        <f t="array" ref="J4821">_xlfn.IFS(I4821&lt;=3,"small",I4821&lt;=6,"Medium",I4821&lt;=9,"Large")</f>
        <v>small</v>
      </c>
      <c r="K4821" s="36">
        <v>45247</v>
      </c>
      <c r="L4821" s="36">
        <v>45251</v>
      </c>
      <c r="M4821" t="s">
        <v>612</v>
      </c>
      <c r="N4821" t="s">
        <v>599</v>
      </c>
      <c r="O4821" s="37" t="str">
        <f t="shared" si="378"/>
        <v>Digital Payment</v>
      </c>
      <c r="P4821">
        <v>995.72</v>
      </c>
      <c r="Q4821" s="37" t="str">
        <f>IF(P4821&gt;500,"High","low")</f>
        <v>High</v>
      </c>
      <c r="R4821" s="37" t="str">
        <f t="shared" si="379"/>
        <v>Good</v>
      </c>
      <c r="S4821" t="s">
        <v>609</v>
      </c>
    </row>
    <row r="4822" spans="1:19" x14ac:dyDescent="0.2">
      <c r="A4822" t="s">
        <v>5433</v>
      </c>
      <c r="B4822" t="s">
        <v>67</v>
      </c>
      <c r="C4822" t="s">
        <v>617</v>
      </c>
      <c r="D4822">
        <v>4461.93</v>
      </c>
      <c r="E4822" s="37" t="str">
        <f t="shared" si="375"/>
        <v xml:space="preserve"> </v>
      </c>
      <c r="F4822">
        <v>0.26</v>
      </c>
      <c r="G4822" s="37" t="str">
        <f t="shared" si="376"/>
        <v>Normal Discount</v>
      </c>
      <c r="H4822" s="37" t="str">
        <f t="shared" si="377"/>
        <v>Medium</v>
      </c>
      <c r="I4822">
        <v>6</v>
      </c>
      <c r="J4822" t="str" cm="1">
        <f t="array" ref="J4822">_xlfn.IFS(I4822&lt;=3,"small",I4822&lt;=6,"Medium",I4822&lt;=9,"Large")</f>
        <v>Medium</v>
      </c>
      <c r="K4822" s="36">
        <v>45213</v>
      </c>
      <c r="L4822" s="36">
        <v>45218</v>
      </c>
      <c r="M4822" t="s">
        <v>603</v>
      </c>
      <c r="N4822" t="s">
        <v>604</v>
      </c>
      <c r="O4822" s="37" t="str">
        <f t="shared" si="378"/>
        <v>Digital Payment</v>
      </c>
      <c r="P4822">
        <v>466.94</v>
      </c>
      <c r="Q4822" s="37" t="str">
        <f>IF(P4822&gt;500,"High","low")</f>
        <v>low</v>
      </c>
      <c r="R4822" s="37" t="str">
        <f t="shared" si="379"/>
        <v>AVERAGE</v>
      </c>
      <c r="S4822" t="s">
        <v>620</v>
      </c>
    </row>
    <row r="4823" spans="1:19" x14ac:dyDescent="0.2">
      <c r="A4823" t="s">
        <v>5434</v>
      </c>
      <c r="B4823" t="s">
        <v>75</v>
      </c>
      <c r="C4823" t="s">
        <v>602</v>
      </c>
      <c r="D4823">
        <v>4788.28</v>
      </c>
      <c r="E4823" s="37" t="str">
        <f t="shared" si="375"/>
        <v>Excellent Order</v>
      </c>
      <c r="F4823">
        <v>0.41</v>
      </c>
      <c r="G4823" s="37" t="str">
        <f t="shared" si="376"/>
        <v>Heavy Discount</v>
      </c>
      <c r="H4823" s="37" t="str">
        <f t="shared" si="377"/>
        <v>High</v>
      </c>
      <c r="I4823">
        <v>7</v>
      </c>
      <c r="J4823" t="str" cm="1">
        <f t="array" ref="J4823">_xlfn.IFS(I4823&lt;=3,"small",I4823&lt;=6,"Medium",I4823&lt;=9,"Large")</f>
        <v>Large</v>
      </c>
      <c r="K4823" s="36">
        <v>45153</v>
      </c>
      <c r="L4823" s="36">
        <v>45159</v>
      </c>
      <c r="M4823" t="s">
        <v>598</v>
      </c>
      <c r="N4823" t="s">
        <v>599</v>
      </c>
      <c r="O4823" s="37" t="str">
        <f t="shared" si="378"/>
        <v>Digital Payment</v>
      </c>
      <c r="P4823">
        <v>957.96</v>
      </c>
      <c r="Q4823" s="37" t="str">
        <f>IF(P4823&gt;500,"High","low")</f>
        <v>High</v>
      </c>
      <c r="R4823" s="37" t="str">
        <f t="shared" si="379"/>
        <v>Good</v>
      </c>
      <c r="S4823" t="s">
        <v>628</v>
      </c>
    </row>
    <row r="4824" spans="1:19" x14ac:dyDescent="0.2">
      <c r="A4824" t="s">
        <v>5435</v>
      </c>
      <c r="B4824" t="s">
        <v>75</v>
      </c>
      <c r="C4824" t="s">
        <v>607</v>
      </c>
      <c r="D4824">
        <v>137.61000000000001</v>
      </c>
      <c r="E4824" s="37" t="str">
        <f t="shared" si="375"/>
        <v xml:space="preserve"> </v>
      </c>
      <c r="F4824">
        <v>0.36</v>
      </c>
      <c r="G4824" s="37" t="str">
        <f t="shared" si="376"/>
        <v>Heavy Discount</v>
      </c>
      <c r="H4824" s="37" t="str">
        <f t="shared" si="377"/>
        <v>Medium</v>
      </c>
      <c r="I4824">
        <v>1</v>
      </c>
      <c r="J4824" t="str" cm="1">
        <f t="array" ref="J4824">_xlfn.IFS(I4824&lt;=3,"small",I4824&lt;=6,"Medium",I4824&lt;=9,"Large")</f>
        <v>small</v>
      </c>
      <c r="K4824" s="36">
        <v>45242</v>
      </c>
      <c r="L4824" s="36">
        <v>45244</v>
      </c>
      <c r="M4824" t="s">
        <v>603</v>
      </c>
      <c r="N4824" t="s">
        <v>604</v>
      </c>
      <c r="O4824" s="37" t="str">
        <f t="shared" si="378"/>
        <v>Digital Payment</v>
      </c>
      <c r="P4824">
        <v>8.7200000000000006</v>
      </c>
      <c r="Q4824" s="37" t="str">
        <f>IF(P4824&gt;500,"High","low")</f>
        <v>low</v>
      </c>
      <c r="R4824" s="37" t="str">
        <f t="shared" si="379"/>
        <v>AVERAGE</v>
      </c>
      <c r="S4824" t="s">
        <v>615</v>
      </c>
    </row>
    <row r="4825" spans="1:19" x14ac:dyDescent="0.2">
      <c r="A4825" t="s">
        <v>5436</v>
      </c>
      <c r="B4825" t="s">
        <v>83</v>
      </c>
      <c r="C4825" t="s">
        <v>597</v>
      </c>
      <c r="D4825">
        <v>532.66</v>
      </c>
      <c r="E4825" s="37" t="str">
        <f t="shared" si="375"/>
        <v xml:space="preserve"> </v>
      </c>
      <c r="F4825">
        <v>0.05</v>
      </c>
      <c r="G4825" s="37" t="str">
        <f t="shared" si="376"/>
        <v>Normal Discount</v>
      </c>
      <c r="H4825" s="37" t="str">
        <f t="shared" si="377"/>
        <v>Low</v>
      </c>
      <c r="I4825">
        <v>8</v>
      </c>
      <c r="J4825" t="str" cm="1">
        <f t="array" ref="J4825">_xlfn.IFS(I4825&lt;=3,"small",I4825&lt;=6,"Medium",I4825&lt;=9,"Large")</f>
        <v>Large</v>
      </c>
      <c r="K4825" s="36">
        <v>45139</v>
      </c>
      <c r="L4825" s="36">
        <v>45141</v>
      </c>
      <c r="M4825" t="s">
        <v>612</v>
      </c>
      <c r="N4825" t="s">
        <v>599</v>
      </c>
      <c r="O4825" s="37" t="str">
        <f t="shared" si="378"/>
        <v>Digital Payment</v>
      </c>
      <c r="P4825">
        <v>68.95</v>
      </c>
      <c r="Q4825" s="37" t="str">
        <f>IF(P4825&gt;500,"High","low")</f>
        <v>low</v>
      </c>
      <c r="R4825" s="37" t="str">
        <f t="shared" si="379"/>
        <v>AVERAGE</v>
      </c>
      <c r="S4825" t="s">
        <v>609</v>
      </c>
    </row>
    <row r="4826" spans="1:19" x14ac:dyDescent="0.2">
      <c r="A4826" t="s">
        <v>5437</v>
      </c>
      <c r="B4826" t="s">
        <v>75</v>
      </c>
      <c r="C4826" t="s">
        <v>617</v>
      </c>
      <c r="D4826">
        <v>3404.26</v>
      </c>
      <c r="E4826" s="37" t="str">
        <f t="shared" si="375"/>
        <v xml:space="preserve"> </v>
      </c>
      <c r="F4826">
        <v>0.19</v>
      </c>
      <c r="G4826" s="37" t="str">
        <f t="shared" si="376"/>
        <v>Normal Discount</v>
      </c>
      <c r="H4826" s="37" t="str">
        <f t="shared" si="377"/>
        <v>Low</v>
      </c>
      <c r="I4826">
        <v>9</v>
      </c>
      <c r="J4826" t="str" cm="1">
        <f t="array" ref="J4826">_xlfn.IFS(I4826&lt;=3,"small",I4826&lt;=6,"Medium",I4826&lt;=9,"Large")</f>
        <v>Large</v>
      </c>
      <c r="K4826" s="36">
        <v>45600</v>
      </c>
      <c r="L4826" s="36">
        <v>45605</v>
      </c>
      <c r="M4826" t="s">
        <v>603</v>
      </c>
      <c r="N4826" t="s">
        <v>599</v>
      </c>
      <c r="O4826" s="37" t="str">
        <f t="shared" si="378"/>
        <v>Digital Payment</v>
      </c>
      <c r="P4826">
        <v>931.92</v>
      </c>
      <c r="Q4826" s="37" t="str">
        <f>IF(P4826&gt;500,"High","low")</f>
        <v>High</v>
      </c>
      <c r="R4826" s="37" t="str">
        <f t="shared" si="379"/>
        <v>Good</v>
      </c>
      <c r="S4826" t="s">
        <v>620</v>
      </c>
    </row>
    <row r="4827" spans="1:19" x14ac:dyDescent="0.2">
      <c r="A4827" t="s">
        <v>5438</v>
      </c>
      <c r="B4827" t="s">
        <v>83</v>
      </c>
      <c r="C4827" t="s">
        <v>602</v>
      </c>
      <c r="D4827">
        <v>2011.98</v>
      </c>
      <c r="E4827" s="37" t="str">
        <f t="shared" si="375"/>
        <v xml:space="preserve"> </v>
      </c>
      <c r="F4827">
        <v>0.13</v>
      </c>
      <c r="G4827" s="37" t="str">
        <f t="shared" si="376"/>
        <v>Normal Discount</v>
      </c>
      <c r="H4827" s="37" t="str">
        <f t="shared" si="377"/>
        <v>Low</v>
      </c>
      <c r="I4827">
        <v>8</v>
      </c>
      <c r="J4827" t="str" cm="1">
        <f t="array" ref="J4827">_xlfn.IFS(I4827&lt;=3,"small",I4827&lt;=6,"Medium",I4827&lt;=9,"Large")</f>
        <v>Large</v>
      </c>
      <c r="K4827" s="36">
        <v>45583</v>
      </c>
      <c r="L4827" s="36">
        <v>45588</v>
      </c>
      <c r="M4827" t="s">
        <v>603</v>
      </c>
      <c r="N4827" t="s">
        <v>599</v>
      </c>
      <c r="O4827" s="37" t="str">
        <f t="shared" si="378"/>
        <v>Digital Payment</v>
      </c>
      <c r="P4827">
        <v>500.08</v>
      </c>
      <c r="Q4827" s="37" t="str">
        <f>IF(P4827&gt;500,"High","low")</f>
        <v>High</v>
      </c>
      <c r="R4827" s="37" t="str">
        <f t="shared" si="379"/>
        <v>Good</v>
      </c>
      <c r="S4827" t="s">
        <v>620</v>
      </c>
    </row>
    <row r="4828" spans="1:19" x14ac:dyDescent="0.2">
      <c r="A4828" t="s">
        <v>5439</v>
      </c>
      <c r="B4828" t="s">
        <v>67</v>
      </c>
      <c r="C4828" t="s">
        <v>597</v>
      </c>
      <c r="D4828">
        <v>4113.71</v>
      </c>
      <c r="E4828" s="37" t="str">
        <f t="shared" si="375"/>
        <v xml:space="preserve"> </v>
      </c>
      <c r="F4828">
        <v>0.5</v>
      </c>
      <c r="G4828" s="37" t="str">
        <f t="shared" si="376"/>
        <v>Heavy Discount</v>
      </c>
      <c r="H4828" s="37" t="str">
        <f t="shared" si="377"/>
        <v>High</v>
      </c>
      <c r="I4828">
        <v>3</v>
      </c>
      <c r="J4828" t="str" cm="1">
        <f t="array" ref="J4828">_xlfn.IFS(I4828&lt;=3,"small",I4828&lt;=6,"Medium",I4828&lt;=9,"Large")</f>
        <v>small</v>
      </c>
      <c r="K4828" s="36">
        <v>44999</v>
      </c>
      <c r="L4828" s="36">
        <v>45002</v>
      </c>
      <c r="M4828" t="s">
        <v>603</v>
      </c>
      <c r="N4828" t="s">
        <v>608</v>
      </c>
      <c r="O4828" s="37" t="str">
        <f t="shared" si="378"/>
        <v>Cash Payment</v>
      </c>
      <c r="P4828">
        <v>301.36</v>
      </c>
      <c r="Q4828" s="37" t="str">
        <f>IF(P4828&gt;500,"High","low")</f>
        <v>low</v>
      </c>
      <c r="R4828" s="37" t="str">
        <f t="shared" si="379"/>
        <v>AVERAGE</v>
      </c>
      <c r="S4828" t="s">
        <v>605</v>
      </c>
    </row>
    <row r="4829" spans="1:19" x14ac:dyDescent="0.2">
      <c r="A4829" t="s">
        <v>5440</v>
      </c>
      <c r="B4829" t="s">
        <v>67</v>
      </c>
      <c r="C4829" t="s">
        <v>614</v>
      </c>
      <c r="D4829">
        <v>158.69999999999999</v>
      </c>
      <c r="E4829" s="37" t="str">
        <f t="shared" si="375"/>
        <v xml:space="preserve"> </v>
      </c>
      <c r="F4829">
        <v>0.37</v>
      </c>
      <c r="G4829" s="37" t="str">
        <f t="shared" si="376"/>
        <v>Heavy Discount</v>
      </c>
      <c r="H4829" s="37" t="str">
        <f t="shared" si="377"/>
        <v>Medium</v>
      </c>
      <c r="I4829">
        <v>9</v>
      </c>
      <c r="J4829" t="str" cm="1">
        <f t="array" ref="J4829">_xlfn.IFS(I4829&lt;=3,"small",I4829&lt;=6,"Medium",I4829&lt;=9,"Large")</f>
        <v>Large</v>
      </c>
      <c r="K4829" s="36">
        <v>44955</v>
      </c>
      <c r="L4829" s="36">
        <v>44956</v>
      </c>
      <c r="M4829" t="s">
        <v>598</v>
      </c>
      <c r="N4829" t="s">
        <v>599</v>
      </c>
      <c r="O4829" s="37" t="str">
        <f t="shared" si="378"/>
        <v>Digital Payment</v>
      </c>
      <c r="P4829">
        <v>30.08</v>
      </c>
      <c r="Q4829" s="37" t="str">
        <f>IF(P4829&gt;500,"High","low")</f>
        <v>low</v>
      </c>
      <c r="R4829" s="37" t="str">
        <f t="shared" si="379"/>
        <v>AVERAGE</v>
      </c>
      <c r="S4829" t="s">
        <v>628</v>
      </c>
    </row>
    <row r="4830" spans="1:19" x14ac:dyDescent="0.2">
      <c r="A4830" t="s">
        <v>5441</v>
      </c>
      <c r="B4830" t="s">
        <v>90</v>
      </c>
      <c r="C4830" t="s">
        <v>607</v>
      </c>
      <c r="D4830">
        <v>4054.19</v>
      </c>
      <c r="E4830" s="37" t="str">
        <f t="shared" si="375"/>
        <v xml:space="preserve"> </v>
      </c>
      <c r="F4830">
        <v>0.02</v>
      </c>
      <c r="G4830" s="37" t="str">
        <f t="shared" si="376"/>
        <v>Normal Discount</v>
      </c>
      <c r="H4830" s="37" t="str">
        <f t="shared" si="377"/>
        <v>Low</v>
      </c>
      <c r="I4830">
        <v>3</v>
      </c>
      <c r="J4830" t="str" cm="1">
        <f t="array" ref="J4830">_xlfn.IFS(I4830&lt;=3,"small",I4830&lt;=6,"Medium",I4830&lt;=9,"Large")</f>
        <v>small</v>
      </c>
      <c r="K4830" s="36">
        <v>45126</v>
      </c>
      <c r="L4830" s="36">
        <v>45132</v>
      </c>
      <c r="M4830" t="s">
        <v>612</v>
      </c>
      <c r="N4830" t="s">
        <v>608</v>
      </c>
      <c r="O4830" s="37" t="str">
        <f t="shared" si="378"/>
        <v>Cash Payment</v>
      </c>
      <c r="P4830">
        <v>591.96</v>
      </c>
      <c r="Q4830" s="37" t="str">
        <f>IF(P4830&gt;500,"High","low")</f>
        <v>High</v>
      </c>
      <c r="R4830" s="37" t="str">
        <f t="shared" si="379"/>
        <v>Good</v>
      </c>
      <c r="S4830" t="s">
        <v>628</v>
      </c>
    </row>
    <row r="4831" spans="1:19" x14ac:dyDescent="0.2">
      <c r="A4831" t="s">
        <v>5442</v>
      </c>
      <c r="B4831" t="s">
        <v>90</v>
      </c>
      <c r="C4831" t="s">
        <v>617</v>
      </c>
      <c r="D4831">
        <v>762.69</v>
      </c>
      <c r="E4831" s="37" t="str">
        <f t="shared" si="375"/>
        <v xml:space="preserve"> </v>
      </c>
      <c r="F4831">
        <v>0.45</v>
      </c>
      <c r="G4831" s="37" t="str">
        <f t="shared" si="376"/>
        <v>Heavy Discount</v>
      </c>
      <c r="H4831" s="37" t="str">
        <f t="shared" si="377"/>
        <v>High</v>
      </c>
      <c r="I4831">
        <v>4</v>
      </c>
      <c r="J4831" t="str" cm="1">
        <f t="array" ref="J4831">_xlfn.IFS(I4831&lt;=3,"small",I4831&lt;=6,"Medium",I4831&lt;=9,"Large")</f>
        <v>Medium</v>
      </c>
      <c r="K4831" s="36">
        <v>45649</v>
      </c>
      <c r="L4831" s="36">
        <v>45656</v>
      </c>
      <c r="M4831" t="s">
        <v>598</v>
      </c>
      <c r="N4831" t="s">
        <v>604</v>
      </c>
      <c r="O4831" s="37" t="str">
        <f t="shared" si="378"/>
        <v>Digital Payment</v>
      </c>
      <c r="P4831">
        <v>63.9</v>
      </c>
      <c r="Q4831" s="37" t="str">
        <f>IF(P4831&gt;500,"High","low")</f>
        <v>low</v>
      </c>
      <c r="R4831" s="37" t="str">
        <f t="shared" si="379"/>
        <v>AVERAGE</v>
      </c>
      <c r="S4831" t="s">
        <v>609</v>
      </c>
    </row>
    <row r="4832" spans="1:19" x14ac:dyDescent="0.2">
      <c r="A4832" t="s">
        <v>5443</v>
      </c>
      <c r="B4832" t="s">
        <v>90</v>
      </c>
      <c r="C4832" t="s">
        <v>602</v>
      </c>
      <c r="D4832">
        <v>1522.22</v>
      </c>
      <c r="E4832" s="37" t="str">
        <f t="shared" si="375"/>
        <v xml:space="preserve"> </v>
      </c>
      <c r="F4832">
        <v>0.46</v>
      </c>
      <c r="G4832" s="37" t="str">
        <f t="shared" si="376"/>
        <v>Heavy Discount</v>
      </c>
      <c r="H4832" s="37" t="str">
        <f t="shared" si="377"/>
        <v>High</v>
      </c>
      <c r="I4832">
        <v>6</v>
      </c>
      <c r="J4832" t="str" cm="1">
        <f t="array" ref="J4832">_xlfn.IFS(I4832&lt;=3,"small",I4832&lt;=6,"Medium",I4832&lt;=9,"Large")</f>
        <v>Medium</v>
      </c>
      <c r="K4832" s="36">
        <v>45421</v>
      </c>
      <c r="L4832" s="36">
        <v>45426</v>
      </c>
      <c r="M4832" t="s">
        <v>612</v>
      </c>
      <c r="N4832" t="s">
        <v>604</v>
      </c>
      <c r="O4832" s="37" t="str">
        <f t="shared" si="378"/>
        <v>Digital Payment</v>
      </c>
      <c r="P4832">
        <v>387.52</v>
      </c>
      <c r="Q4832" s="37" t="str">
        <f>IF(P4832&gt;500,"High","low")</f>
        <v>low</v>
      </c>
      <c r="R4832" s="37" t="str">
        <f t="shared" si="379"/>
        <v>AVERAGE</v>
      </c>
      <c r="S4832" t="s">
        <v>609</v>
      </c>
    </row>
    <row r="4833" spans="1:19" x14ac:dyDescent="0.2">
      <c r="A4833" t="s">
        <v>5444</v>
      </c>
      <c r="B4833" t="s">
        <v>75</v>
      </c>
      <c r="C4833" t="s">
        <v>614</v>
      </c>
      <c r="D4833">
        <v>4848.4799999999996</v>
      </c>
      <c r="E4833" s="37" t="str">
        <f t="shared" si="375"/>
        <v>Excellent Order</v>
      </c>
      <c r="F4833">
        <v>0.17</v>
      </c>
      <c r="G4833" s="37" t="str">
        <f t="shared" si="376"/>
        <v>Normal Discount</v>
      </c>
      <c r="H4833" s="37" t="str">
        <f t="shared" si="377"/>
        <v>Low</v>
      </c>
      <c r="I4833">
        <v>7</v>
      </c>
      <c r="J4833" t="str" cm="1">
        <f t="array" ref="J4833">_xlfn.IFS(I4833&lt;=3,"small",I4833&lt;=6,"Medium",I4833&lt;=9,"Large")</f>
        <v>Large</v>
      </c>
      <c r="K4833" s="36">
        <v>45572</v>
      </c>
      <c r="L4833" s="36">
        <v>45579</v>
      </c>
      <c r="M4833" t="s">
        <v>598</v>
      </c>
      <c r="N4833" t="s">
        <v>608</v>
      </c>
      <c r="O4833" s="37" t="str">
        <f t="shared" si="378"/>
        <v>Cash Payment</v>
      </c>
      <c r="P4833">
        <v>1296.8599999999999</v>
      </c>
      <c r="Q4833" s="37" t="str">
        <f>IF(P4833&gt;500,"High","low")</f>
        <v>High</v>
      </c>
      <c r="R4833" s="37" t="str">
        <f t="shared" si="379"/>
        <v>Excellent</v>
      </c>
      <c r="S4833" t="s">
        <v>600</v>
      </c>
    </row>
    <row r="4834" spans="1:19" x14ac:dyDescent="0.2">
      <c r="A4834" t="s">
        <v>5445</v>
      </c>
      <c r="B4834" t="s">
        <v>67</v>
      </c>
      <c r="C4834" t="s">
        <v>597</v>
      </c>
      <c r="D4834">
        <v>352.83</v>
      </c>
      <c r="E4834" s="37" t="str">
        <f t="shared" si="375"/>
        <v xml:space="preserve"> </v>
      </c>
      <c r="F4834">
        <v>0.32</v>
      </c>
      <c r="G4834" s="37" t="str">
        <f t="shared" si="376"/>
        <v>Heavy Discount</v>
      </c>
      <c r="H4834" s="37" t="str">
        <f t="shared" si="377"/>
        <v>Medium</v>
      </c>
      <c r="I4834">
        <v>8</v>
      </c>
      <c r="J4834" t="str" cm="1">
        <f t="array" ref="J4834">_xlfn.IFS(I4834&lt;=3,"small",I4834&lt;=6,"Medium",I4834&lt;=9,"Large")</f>
        <v>Large</v>
      </c>
      <c r="K4834" s="36">
        <v>45270</v>
      </c>
      <c r="L4834" s="36">
        <v>45276</v>
      </c>
      <c r="M4834" t="s">
        <v>603</v>
      </c>
      <c r="N4834" t="s">
        <v>604</v>
      </c>
      <c r="O4834" s="37" t="str">
        <f t="shared" si="378"/>
        <v>Digital Payment</v>
      </c>
      <c r="P4834">
        <v>62.15</v>
      </c>
      <c r="Q4834" s="37" t="str">
        <f>IF(P4834&gt;500,"High","low")</f>
        <v>low</v>
      </c>
      <c r="R4834" s="37" t="str">
        <f t="shared" si="379"/>
        <v>AVERAGE</v>
      </c>
      <c r="S4834" t="s">
        <v>615</v>
      </c>
    </row>
    <row r="4835" spans="1:19" x14ac:dyDescent="0.2">
      <c r="A4835" t="s">
        <v>5446</v>
      </c>
      <c r="B4835" t="s">
        <v>83</v>
      </c>
      <c r="C4835" t="s">
        <v>607</v>
      </c>
      <c r="D4835">
        <v>1810.3</v>
      </c>
      <c r="E4835" s="37" t="str">
        <f t="shared" si="375"/>
        <v xml:space="preserve"> </v>
      </c>
      <c r="F4835">
        <v>0.34</v>
      </c>
      <c r="G4835" s="37" t="str">
        <f t="shared" si="376"/>
        <v>Heavy Discount</v>
      </c>
      <c r="H4835" s="37" t="str">
        <f t="shared" si="377"/>
        <v>Medium</v>
      </c>
      <c r="I4835">
        <v>7</v>
      </c>
      <c r="J4835" t="str" cm="1">
        <f t="array" ref="J4835">_xlfn.IFS(I4835&lt;=3,"small",I4835&lt;=6,"Medium",I4835&lt;=9,"Large")</f>
        <v>Large</v>
      </c>
      <c r="K4835" s="36">
        <v>45052</v>
      </c>
      <c r="L4835" s="36">
        <v>45053</v>
      </c>
      <c r="M4835" t="s">
        <v>603</v>
      </c>
      <c r="N4835" t="s">
        <v>608</v>
      </c>
      <c r="O4835" s="37" t="str">
        <f t="shared" si="378"/>
        <v>Cash Payment</v>
      </c>
      <c r="P4835">
        <v>176.48</v>
      </c>
      <c r="Q4835" s="37" t="str">
        <f>IF(P4835&gt;500,"High","low")</f>
        <v>low</v>
      </c>
      <c r="R4835" s="37" t="str">
        <f t="shared" si="379"/>
        <v>AVERAGE</v>
      </c>
      <c r="S4835" t="s">
        <v>600</v>
      </c>
    </row>
    <row r="4836" spans="1:19" x14ac:dyDescent="0.2">
      <c r="A4836" t="s">
        <v>5447</v>
      </c>
      <c r="B4836" t="s">
        <v>90</v>
      </c>
      <c r="C4836" t="s">
        <v>597</v>
      </c>
      <c r="D4836">
        <v>514.19000000000005</v>
      </c>
      <c r="E4836" s="37" t="str">
        <f t="shared" si="375"/>
        <v xml:space="preserve"> </v>
      </c>
      <c r="F4836">
        <v>0.36</v>
      </c>
      <c r="G4836" s="37" t="str">
        <f t="shared" si="376"/>
        <v>Heavy Discount</v>
      </c>
      <c r="H4836" s="37" t="str">
        <f t="shared" si="377"/>
        <v>Medium</v>
      </c>
      <c r="I4836">
        <v>3</v>
      </c>
      <c r="J4836" t="str" cm="1">
        <f t="array" ref="J4836">_xlfn.IFS(I4836&lt;=3,"small",I4836&lt;=6,"Medium",I4836&lt;=9,"Large")</f>
        <v>small</v>
      </c>
      <c r="K4836" s="36">
        <v>45444</v>
      </c>
      <c r="L4836" s="36">
        <v>45450</v>
      </c>
      <c r="M4836" t="s">
        <v>598</v>
      </c>
      <c r="N4836" t="s">
        <v>608</v>
      </c>
      <c r="O4836" s="37" t="str">
        <f t="shared" si="378"/>
        <v>Cash Payment</v>
      </c>
      <c r="P4836">
        <v>79.64</v>
      </c>
      <c r="Q4836" s="37" t="str">
        <f>IF(P4836&gt;500,"High","low")</f>
        <v>low</v>
      </c>
      <c r="R4836" s="37" t="str">
        <f t="shared" si="379"/>
        <v>AVERAGE</v>
      </c>
      <c r="S4836" t="s">
        <v>600</v>
      </c>
    </row>
    <row r="4837" spans="1:19" x14ac:dyDescent="0.2">
      <c r="A4837" t="s">
        <v>5448</v>
      </c>
      <c r="B4837" t="s">
        <v>83</v>
      </c>
      <c r="C4837" t="s">
        <v>597</v>
      </c>
      <c r="D4837">
        <v>4282.66</v>
      </c>
      <c r="E4837" s="37" t="str">
        <f t="shared" si="375"/>
        <v xml:space="preserve"> </v>
      </c>
      <c r="F4837">
        <v>0.35</v>
      </c>
      <c r="G4837" s="37" t="str">
        <f t="shared" si="376"/>
        <v>Heavy Discount</v>
      </c>
      <c r="H4837" s="37" t="str">
        <f t="shared" si="377"/>
        <v>Medium</v>
      </c>
      <c r="I4837">
        <v>2</v>
      </c>
      <c r="J4837" t="str" cm="1">
        <f t="array" ref="J4837">_xlfn.IFS(I4837&lt;=3,"small",I4837&lt;=6,"Medium",I4837&lt;=9,"Large")</f>
        <v>small</v>
      </c>
      <c r="K4837" s="36">
        <v>45030</v>
      </c>
      <c r="L4837" s="36">
        <v>45032</v>
      </c>
      <c r="M4837" t="s">
        <v>603</v>
      </c>
      <c r="N4837" t="s">
        <v>599</v>
      </c>
      <c r="O4837" s="37" t="str">
        <f t="shared" si="378"/>
        <v>Digital Payment</v>
      </c>
      <c r="P4837">
        <v>248.94</v>
      </c>
      <c r="Q4837" s="37" t="str">
        <f>IF(P4837&gt;500,"High","low")</f>
        <v>low</v>
      </c>
      <c r="R4837" s="37" t="str">
        <f t="shared" si="379"/>
        <v>AVERAGE</v>
      </c>
      <c r="S4837" t="s">
        <v>620</v>
      </c>
    </row>
    <row r="4838" spans="1:19" x14ac:dyDescent="0.2">
      <c r="A4838" t="s">
        <v>5449</v>
      </c>
      <c r="B4838" t="s">
        <v>83</v>
      </c>
      <c r="C4838" t="s">
        <v>602</v>
      </c>
      <c r="D4838">
        <v>3544.78</v>
      </c>
      <c r="E4838" s="37" t="str">
        <f t="shared" si="375"/>
        <v xml:space="preserve"> </v>
      </c>
      <c r="F4838">
        <v>0.28000000000000003</v>
      </c>
      <c r="G4838" s="37" t="str">
        <f t="shared" si="376"/>
        <v>Normal Discount</v>
      </c>
      <c r="H4838" s="37" t="str">
        <f t="shared" si="377"/>
        <v>Medium</v>
      </c>
      <c r="I4838">
        <v>2</v>
      </c>
      <c r="J4838" t="str" cm="1">
        <f t="array" ref="J4838">_xlfn.IFS(I4838&lt;=3,"small",I4838&lt;=6,"Medium",I4838&lt;=9,"Large")</f>
        <v>small</v>
      </c>
      <c r="K4838" s="36">
        <v>45569</v>
      </c>
      <c r="L4838" s="36">
        <v>45573</v>
      </c>
      <c r="M4838" t="s">
        <v>603</v>
      </c>
      <c r="N4838" t="s">
        <v>608</v>
      </c>
      <c r="O4838" s="37" t="str">
        <f t="shared" si="378"/>
        <v>Cash Payment</v>
      </c>
      <c r="P4838">
        <v>799.91</v>
      </c>
      <c r="Q4838" s="37" t="str">
        <f>IF(P4838&gt;500,"High","low")</f>
        <v>High</v>
      </c>
      <c r="R4838" s="37" t="str">
        <f t="shared" si="379"/>
        <v>Good</v>
      </c>
      <c r="S4838" t="s">
        <v>620</v>
      </c>
    </row>
    <row r="4839" spans="1:19" x14ac:dyDescent="0.2">
      <c r="A4839" t="s">
        <v>5450</v>
      </c>
      <c r="B4839" t="s">
        <v>90</v>
      </c>
      <c r="C4839" t="s">
        <v>614</v>
      </c>
      <c r="D4839">
        <v>4021.65</v>
      </c>
      <c r="E4839" s="37" t="str">
        <f t="shared" si="375"/>
        <v>Excellent Order</v>
      </c>
      <c r="F4839">
        <v>0.48</v>
      </c>
      <c r="G4839" s="37" t="str">
        <f t="shared" si="376"/>
        <v>Heavy Discount</v>
      </c>
      <c r="H4839" s="37" t="str">
        <f t="shared" si="377"/>
        <v>High</v>
      </c>
      <c r="I4839">
        <v>9</v>
      </c>
      <c r="J4839" t="str" cm="1">
        <f t="array" ref="J4839">_xlfn.IFS(I4839&lt;=3,"small",I4839&lt;=6,"Medium",I4839&lt;=9,"Large")</f>
        <v>Large</v>
      </c>
      <c r="K4839" s="36">
        <v>45021</v>
      </c>
      <c r="L4839" s="36">
        <v>45028</v>
      </c>
      <c r="M4839" t="s">
        <v>612</v>
      </c>
      <c r="N4839" t="s">
        <v>608</v>
      </c>
      <c r="O4839" s="37" t="str">
        <f t="shared" si="378"/>
        <v>Cash Payment</v>
      </c>
      <c r="P4839">
        <v>1109.23</v>
      </c>
      <c r="Q4839" s="37" t="str">
        <f>IF(P4839&gt;500,"High","low")</f>
        <v>High</v>
      </c>
      <c r="R4839" s="37" t="str">
        <f t="shared" si="379"/>
        <v>Excellent</v>
      </c>
      <c r="S4839" t="s">
        <v>609</v>
      </c>
    </row>
    <row r="4840" spans="1:19" x14ac:dyDescent="0.2">
      <c r="A4840" t="s">
        <v>5451</v>
      </c>
      <c r="B4840" t="s">
        <v>67</v>
      </c>
      <c r="C4840" t="s">
        <v>617</v>
      </c>
      <c r="D4840">
        <v>2683.67</v>
      </c>
      <c r="E4840" s="37" t="str">
        <f t="shared" si="375"/>
        <v xml:space="preserve"> </v>
      </c>
      <c r="F4840">
        <v>0.26</v>
      </c>
      <c r="G4840" s="37" t="str">
        <f t="shared" si="376"/>
        <v>Normal Discount</v>
      </c>
      <c r="H4840" s="37" t="str">
        <f t="shared" si="377"/>
        <v>Medium</v>
      </c>
      <c r="I4840">
        <v>7</v>
      </c>
      <c r="J4840" t="str" cm="1">
        <f t="array" ref="J4840">_xlfn.IFS(I4840&lt;=3,"small",I4840&lt;=6,"Medium",I4840&lt;=9,"Large")</f>
        <v>Large</v>
      </c>
      <c r="K4840" s="36">
        <v>45085</v>
      </c>
      <c r="L4840" s="36">
        <v>45089</v>
      </c>
      <c r="M4840" t="s">
        <v>612</v>
      </c>
      <c r="N4840" t="s">
        <v>604</v>
      </c>
      <c r="O4840" s="37" t="str">
        <f t="shared" si="378"/>
        <v>Digital Payment</v>
      </c>
      <c r="P4840">
        <v>144.71</v>
      </c>
      <c r="Q4840" s="37" t="str">
        <f>IF(P4840&gt;500,"High","low")</f>
        <v>low</v>
      </c>
      <c r="R4840" s="37" t="str">
        <f t="shared" si="379"/>
        <v>AVERAGE</v>
      </c>
      <c r="S4840" t="s">
        <v>620</v>
      </c>
    </row>
    <row r="4841" spans="1:19" x14ac:dyDescent="0.2">
      <c r="A4841" t="s">
        <v>5452</v>
      </c>
      <c r="B4841" t="s">
        <v>90</v>
      </c>
      <c r="C4841" t="s">
        <v>602</v>
      </c>
      <c r="D4841">
        <v>1852.83</v>
      </c>
      <c r="E4841" s="37" t="str">
        <f t="shared" si="375"/>
        <v xml:space="preserve"> </v>
      </c>
      <c r="F4841">
        <v>0.06</v>
      </c>
      <c r="G4841" s="37" t="str">
        <f t="shared" si="376"/>
        <v>Normal Discount</v>
      </c>
      <c r="H4841" s="37" t="str">
        <f t="shared" si="377"/>
        <v>Low</v>
      </c>
      <c r="I4841">
        <v>7</v>
      </c>
      <c r="J4841" t="str" cm="1">
        <f t="array" ref="J4841">_xlfn.IFS(I4841&lt;=3,"small",I4841&lt;=6,"Medium",I4841&lt;=9,"Large")</f>
        <v>Large</v>
      </c>
      <c r="K4841" s="36">
        <v>45514</v>
      </c>
      <c r="L4841" s="36">
        <v>45517</v>
      </c>
      <c r="M4841" t="s">
        <v>598</v>
      </c>
      <c r="N4841" t="s">
        <v>604</v>
      </c>
      <c r="O4841" s="37" t="str">
        <f t="shared" si="378"/>
        <v>Digital Payment</v>
      </c>
      <c r="P4841">
        <v>395.95</v>
      </c>
      <c r="Q4841" s="37" t="str">
        <f>IF(P4841&gt;500,"High","low")</f>
        <v>low</v>
      </c>
      <c r="R4841" s="37" t="str">
        <f t="shared" si="379"/>
        <v>AVERAGE</v>
      </c>
      <c r="S4841" t="s">
        <v>620</v>
      </c>
    </row>
    <row r="4842" spans="1:19" x14ac:dyDescent="0.2">
      <c r="A4842" t="s">
        <v>5453</v>
      </c>
      <c r="B4842" t="s">
        <v>83</v>
      </c>
      <c r="C4842" t="s">
        <v>607</v>
      </c>
      <c r="D4842">
        <v>111.14</v>
      </c>
      <c r="E4842" s="37" t="str">
        <f t="shared" si="375"/>
        <v xml:space="preserve"> </v>
      </c>
      <c r="F4842">
        <v>0.04</v>
      </c>
      <c r="G4842" s="37" t="str">
        <f t="shared" si="376"/>
        <v>Normal Discount</v>
      </c>
      <c r="H4842" s="37" t="str">
        <f t="shared" si="377"/>
        <v>Low</v>
      </c>
      <c r="I4842">
        <v>5</v>
      </c>
      <c r="J4842" t="str" cm="1">
        <f t="array" ref="J4842">_xlfn.IFS(I4842&lt;=3,"small",I4842&lt;=6,"Medium",I4842&lt;=9,"Large")</f>
        <v>Medium</v>
      </c>
      <c r="K4842" s="36">
        <v>45618</v>
      </c>
      <c r="L4842" s="36">
        <v>45621</v>
      </c>
      <c r="M4842" t="s">
        <v>612</v>
      </c>
      <c r="N4842" t="s">
        <v>599</v>
      </c>
      <c r="O4842" s="37" t="str">
        <f t="shared" si="378"/>
        <v>Digital Payment</v>
      </c>
      <c r="P4842">
        <v>8.0299999999999994</v>
      </c>
      <c r="Q4842" s="37" t="str">
        <f>IF(P4842&gt;500,"High","low")</f>
        <v>low</v>
      </c>
      <c r="R4842" s="37" t="str">
        <f t="shared" si="379"/>
        <v>AVERAGE</v>
      </c>
      <c r="S4842" t="s">
        <v>605</v>
      </c>
    </row>
    <row r="4843" spans="1:19" x14ac:dyDescent="0.2">
      <c r="A4843" t="s">
        <v>5454</v>
      </c>
      <c r="B4843" t="s">
        <v>90</v>
      </c>
      <c r="C4843" t="s">
        <v>597</v>
      </c>
      <c r="D4843">
        <v>1461.84</v>
      </c>
      <c r="E4843" s="37" t="str">
        <f t="shared" si="375"/>
        <v xml:space="preserve"> </v>
      </c>
      <c r="F4843">
        <v>0.01</v>
      </c>
      <c r="G4843" s="37" t="str">
        <f t="shared" si="376"/>
        <v>Normal Discount</v>
      </c>
      <c r="H4843" s="37" t="str">
        <f t="shared" si="377"/>
        <v>Low</v>
      </c>
      <c r="I4843">
        <v>6</v>
      </c>
      <c r="J4843" t="str" cm="1">
        <f t="array" ref="J4843">_xlfn.IFS(I4843&lt;=3,"small",I4843&lt;=6,"Medium",I4843&lt;=9,"Large")</f>
        <v>Medium</v>
      </c>
      <c r="K4843" s="36">
        <v>45062</v>
      </c>
      <c r="L4843" s="36">
        <v>45065</v>
      </c>
      <c r="M4843" t="s">
        <v>598</v>
      </c>
      <c r="N4843" t="s">
        <v>599</v>
      </c>
      <c r="O4843" s="37" t="str">
        <f t="shared" si="378"/>
        <v>Digital Payment</v>
      </c>
      <c r="P4843">
        <v>157.66999999999999</v>
      </c>
      <c r="Q4843" s="37" t="str">
        <f>IF(P4843&gt;500,"High","low")</f>
        <v>low</v>
      </c>
      <c r="R4843" s="37" t="str">
        <f t="shared" si="379"/>
        <v>AVERAGE</v>
      </c>
      <c r="S4843" t="s">
        <v>615</v>
      </c>
    </row>
    <row r="4844" spans="1:19" x14ac:dyDescent="0.2">
      <c r="A4844" t="s">
        <v>5455</v>
      </c>
      <c r="B4844" t="s">
        <v>83</v>
      </c>
      <c r="C4844" t="s">
        <v>607</v>
      </c>
      <c r="D4844">
        <v>2621.31</v>
      </c>
      <c r="E4844" s="37" t="str">
        <f t="shared" si="375"/>
        <v xml:space="preserve"> </v>
      </c>
      <c r="F4844">
        <v>0.21</v>
      </c>
      <c r="G4844" s="37" t="str">
        <f t="shared" si="376"/>
        <v>Normal Discount</v>
      </c>
      <c r="H4844" s="37" t="str">
        <f t="shared" si="377"/>
        <v>Medium</v>
      </c>
      <c r="I4844">
        <v>7</v>
      </c>
      <c r="J4844" t="str" cm="1">
        <f t="array" ref="J4844">_xlfn.IFS(I4844&lt;=3,"small",I4844&lt;=6,"Medium",I4844&lt;=9,"Large")</f>
        <v>Large</v>
      </c>
      <c r="K4844" s="36">
        <v>45161</v>
      </c>
      <c r="L4844" s="36">
        <v>45168</v>
      </c>
      <c r="M4844" t="s">
        <v>598</v>
      </c>
      <c r="N4844" t="s">
        <v>604</v>
      </c>
      <c r="O4844" s="37" t="str">
        <f t="shared" si="378"/>
        <v>Digital Payment</v>
      </c>
      <c r="P4844">
        <v>481.87</v>
      </c>
      <c r="Q4844" s="37" t="str">
        <f>IF(P4844&gt;500,"High","low")</f>
        <v>low</v>
      </c>
      <c r="R4844" s="37" t="str">
        <f t="shared" si="379"/>
        <v>AVERAGE</v>
      </c>
      <c r="S4844" t="s">
        <v>620</v>
      </c>
    </row>
    <row r="4845" spans="1:19" x14ac:dyDescent="0.2">
      <c r="A4845" t="s">
        <v>5456</v>
      </c>
      <c r="B4845" t="s">
        <v>83</v>
      </c>
      <c r="C4845" t="s">
        <v>602</v>
      </c>
      <c r="D4845">
        <v>3355.37</v>
      </c>
      <c r="E4845" s="37" t="str">
        <f t="shared" si="375"/>
        <v xml:space="preserve"> </v>
      </c>
      <c r="F4845">
        <v>0.14000000000000001</v>
      </c>
      <c r="G4845" s="37" t="str">
        <f t="shared" si="376"/>
        <v>Normal Discount</v>
      </c>
      <c r="H4845" s="37" t="str">
        <f t="shared" si="377"/>
        <v>Low</v>
      </c>
      <c r="I4845">
        <v>9</v>
      </c>
      <c r="J4845" t="str" cm="1">
        <f t="array" ref="J4845">_xlfn.IFS(I4845&lt;=3,"small",I4845&lt;=6,"Medium",I4845&lt;=9,"Large")</f>
        <v>Large</v>
      </c>
      <c r="K4845" s="36">
        <v>45528</v>
      </c>
      <c r="L4845" s="36">
        <v>45532</v>
      </c>
      <c r="M4845" t="s">
        <v>612</v>
      </c>
      <c r="N4845" t="s">
        <v>599</v>
      </c>
      <c r="O4845" s="37" t="str">
        <f t="shared" si="378"/>
        <v>Digital Payment</v>
      </c>
      <c r="P4845">
        <v>436.12</v>
      </c>
      <c r="Q4845" s="37" t="str">
        <f>IF(P4845&gt;500,"High","low")</f>
        <v>low</v>
      </c>
      <c r="R4845" s="37" t="str">
        <f t="shared" si="379"/>
        <v>AVERAGE</v>
      </c>
      <c r="S4845" t="s">
        <v>628</v>
      </c>
    </row>
    <row r="4846" spans="1:19" x14ac:dyDescent="0.2">
      <c r="A4846" t="s">
        <v>5457</v>
      </c>
      <c r="B4846" t="s">
        <v>90</v>
      </c>
      <c r="C4846" t="s">
        <v>602</v>
      </c>
      <c r="D4846">
        <v>1221.79</v>
      </c>
      <c r="E4846" s="37" t="str">
        <f t="shared" si="375"/>
        <v xml:space="preserve"> </v>
      </c>
      <c r="F4846">
        <v>0.45</v>
      </c>
      <c r="G4846" s="37" t="str">
        <f t="shared" si="376"/>
        <v>Heavy Discount</v>
      </c>
      <c r="H4846" s="37" t="str">
        <f t="shared" si="377"/>
        <v>High</v>
      </c>
      <c r="I4846">
        <v>4</v>
      </c>
      <c r="J4846" t="str" cm="1">
        <f t="array" ref="J4846">_xlfn.IFS(I4846&lt;=3,"small",I4846&lt;=6,"Medium",I4846&lt;=9,"Large")</f>
        <v>Medium</v>
      </c>
      <c r="K4846" s="36">
        <v>45208</v>
      </c>
      <c r="L4846" s="36">
        <v>45213</v>
      </c>
      <c r="M4846" t="s">
        <v>598</v>
      </c>
      <c r="N4846" t="s">
        <v>599</v>
      </c>
      <c r="O4846" s="37" t="str">
        <f t="shared" si="378"/>
        <v>Digital Payment</v>
      </c>
      <c r="P4846">
        <v>62.89</v>
      </c>
      <c r="Q4846" s="37" t="str">
        <f>IF(P4846&gt;500,"High","low")</f>
        <v>low</v>
      </c>
      <c r="R4846" s="37" t="str">
        <f t="shared" si="379"/>
        <v>AVERAGE</v>
      </c>
      <c r="S4846" t="s">
        <v>609</v>
      </c>
    </row>
    <row r="4847" spans="1:19" x14ac:dyDescent="0.2">
      <c r="A4847" t="s">
        <v>5458</v>
      </c>
      <c r="B4847" t="s">
        <v>75</v>
      </c>
      <c r="C4847" t="s">
        <v>617</v>
      </c>
      <c r="D4847">
        <v>780.61</v>
      </c>
      <c r="E4847" s="37" t="str">
        <f t="shared" si="375"/>
        <v xml:space="preserve"> </v>
      </c>
      <c r="F4847">
        <v>0.43</v>
      </c>
      <c r="G4847" s="37" t="str">
        <f t="shared" si="376"/>
        <v>Heavy Discount</v>
      </c>
      <c r="H4847" s="37" t="str">
        <f t="shared" si="377"/>
        <v>High</v>
      </c>
      <c r="I4847">
        <v>6</v>
      </c>
      <c r="J4847" t="str" cm="1">
        <f t="array" ref="J4847">_xlfn.IFS(I4847&lt;=3,"small",I4847&lt;=6,"Medium",I4847&lt;=9,"Large")</f>
        <v>Medium</v>
      </c>
      <c r="K4847" s="36">
        <v>45325</v>
      </c>
      <c r="L4847" s="36">
        <v>45332</v>
      </c>
      <c r="M4847" t="s">
        <v>603</v>
      </c>
      <c r="N4847" t="s">
        <v>599</v>
      </c>
      <c r="O4847" s="37" t="str">
        <f t="shared" si="378"/>
        <v>Digital Payment</v>
      </c>
      <c r="P4847">
        <v>230.82</v>
      </c>
      <c r="Q4847" s="37" t="str">
        <f>IF(P4847&gt;500,"High","low")</f>
        <v>low</v>
      </c>
      <c r="R4847" s="37" t="str">
        <f t="shared" si="379"/>
        <v>AVERAGE</v>
      </c>
      <c r="S4847" t="s">
        <v>615</v>
      </c>
    </row>
    <row r="4848" spans="1:19" x14ac:dyDescent="0.2">
      <c r="A4848" t="s">
        <v>5459</v>
      </c>
      <c r="B4848" t="s">
        <v>90</v>
      </c>
      <c r="C4848" t="s">
        <v>597</v>
      </c>
      <c r="D4848">
        <v>1087.9100000000001</v>
      </c>
      <c r="E4848" s="37" t="str">
        <f t="shared" si="375"/>
        <v xml:space="preserve"> </v>
      </c>
      <c r="F4848">
        <v>0.42</v>
      </c>
      <c r="G4848" s="37" t="str">
        <f t="shared" si="376"/>
        <v>Heavy Discount</v>
      </c>
      <c r="H4848" s="37" t="str">
        <f t="shared" si="377"/>
        <v>High</v>
      </c>
      <c r="I4848">
        <v>1</v>
      </c>
      <c r="J4848" t="str" cm="1">
        <f t="array" ref="J4848">_xlfn.IFS(I4848&lt;=3,"small",I4848&lt;=6,"Medium",I4848&lt;=9,"Large")</f>
        <v>small</v>
      </c>
      <c r="K4848" s="36">
        <v>45387</v>
      </c>
      <c r="L4848" s="36">
        <v>45392</v>
      </c>
      <c r="M4848" t="s">
        <v>603</v>
      </c>
      <c r="N4848" t="s">
        <v>604</v>
      </c>
      <c r="O4848" s="37" t="str">
        <f t="shared" si="378"/>
        <v>Digital Payment</v>
      </c>
      <c r="P4848">
        <v>100.95</v>
      </c>
      <c r="Q4848" s="37" t="str">
        <f>IF(P4848&gt;500,"High","low")</f>
        <v>low</v>
      </c>
      <c r="R4848" s="37" t="str">
        <f t="shared" si="379"/>
        <v>AVERAGE</v>
      </c>
      <c r="S4848" t="s">
        <v>605</v>
      </c>
    </row>
    <row r="4849" spans="1:19" x14ac:dyDescent="0.2">
      <c r="A4849" t="s">
        <v>5460</v>
      </c>
      <c r="B4849" t="s">
        <v>75</v>
      </c>
      <c r="C4849" t="s">
        <v>602</v>
      </c>
      <c r="D4849">
        <v>1834.97</v>
      </c>
      <c r="E4849" s="37" t="str">
        <f t="shared" si="375"/>
        <v xml:space="preserve"> </v>
      </c>
      <c r="F4849">
        <v>0.43</v>
      </c>
      <c r="G4849" s="37" t="str">
        <f t="shared" si="376"/>
        <v>Heavy Discount</v>
      </c>
      <c r="H4849" s="37" t="str">
        <f t="shared" si="377"/>
        <v>High</v>
      </c>
      <c r="I4849">
        <v>7</v>
      </c>
      <c r="J4849" t="str" cm="1">
        <f t="array" ref="J4849">_xlfn.IFS(I4849&lt;=3,"small",I4849&lt;=6,"Medium",I4849&lt;=9,"Large")</f>
        <v>Large</v>
      </c>
      <c r="K4849" s="36">
        <v>45110</v>
      </c>
      <c r="L4849" s="36">
        <v>45115</v>
      </c>
      <c r="M4849" t="s">
        <v>603</v>
      </c>
      <c r="N4849" t="s">
        <v>599</v>
      </c>
      <c r="O4849" s="37" t="str">
        <f t="shared" si="378"/>
        <v>Digital Payment</v>
      </c>
      <c r="P4849">
        <v>333.66</v>
      </c>
      <c r="Q4849" s="37" t="str">
        <f>IF(P4849&gt;500,"High","low")</f>
        <v>low</v>
      </c>
      <c r="R4849" s="37" t="str">
        <f t="shared" si="379"/>
        <v>AVERAGE</v>
      </c>
      <c r="S4849" t="s">
        <v>600</v>
      </c>
    </row>
    <row r="4850" spans="1:19" x14ac:dyDescent="0.2">
      <c r="A4850" t="s">
        <v>5461</v>
      </c>
      <c r="B4850" t="s">
        <v>83</v>
      </c>
      <c r="C4850" t="s">
        <v>607</v>
      </c>
      <c r="D4850">
        <v>827.05</v>
      </c>
      <c r="E4850" s="37" t="str">
        <f t="shared" si="375"/>
        <v xml:space="preserve"> </v>
      </c>
      <c r="F4850">
        <v>0.15</v>
      </c>
      <c r="G4850" s="37" t="str">
        <f t="shared" si="376"/>
        <v>Normal Discount</v>
      </c>
      <c r="H4850" s="37" t="str">
        <f t="shared" si="377"/>
        <v>Low</v>
      </c>
      <c r="I4850">
        <v>4</v>
      </c>
      <c r="J4850" t="str" cm="1">
        <f t="array" ref="J4850">_xlfn.IFS(I4850&lt;=3,"small",I4850&lt;=6,"Medium",I4850&lt;=9,"Large")</f>
        <v>Medium</v>
      </c>
      <c r="K4850" s="36">
        <v>45524</v>
      </c>
      <c r="L4850" s="36">
        <v>45526</v>
      </c>
      <c r="M4850" t="s">
        <v>598</v>
      </c>
      <c r="N4850" t="s">
        <v>608</v>
      </c>
      <c r="O4850" s="37" t="str">
        <f t="shared" si="378"/>
        <v>Cash Payment</v>
      </c>
      <c r="P4850">
        <v>147.97</v>
      </c>
      <c r="Q4850" s="37" t="str">
        <f>IF(P4850&gt;500,"High","low")</f>
        <v>low</v>
      </c>
      <c r="R4850" s="37" t="str">
        <f t="shared" si="379"/>
        <v>AVERAGE</v>
      </c>
      <c r="S4850" t="s">
        <v>628</v>
      </c>
    </row>
    <row r="4851" spans="1:19" x14ac:dyDescent="0.2">
      <c r="A4851" t="s">
        <v>5462</v>
      </c>
      <c r="B4851" t="s">
        <v>83</v>
      </c>
      <c r="C4851" t="s">
        <v>617</v>
      </c>
      <c r="D4851">
        <v>868.4</v>
      </c>
      <c r="E4851" s="37" t="str">
        <f t="shared" si="375"/>
        <v xml:space="preserve"> </v>
      </c>
      <c r="F4851">
        <v>0.21</v>
      </c>
      <c r="G4851" s="37" t="str">
        <f t="shared" si="376"/>
        <v>Normal Discount</v>
      </c>
      <c r="H4851" s="37" t="str">
        <f t="shared" si="377"/>
        <v>Medium</v>
      </c>
      <c r="I4851">
        <v>2</v>
      </c>
      <c r="J4851" t="str" cm="1">
        <f t="array" ref="J4851">_xlfn.IFS(I4851&lt;=3,"small",I4851&lt;=6,"Medium",I4851&lt;=9,"Large")</f>
        <v>small</v>
      </c>
      <c r="K4851" s="36">
        <v>45048</v>
      </c>
      <c r="L4851" s="36">
        <v>45049</v>
      </c>
      <c r="M4851" t="s">
        <v>612</v>
      </c>
      <c r="N4851" t="s">
        <v>604</v>
      </c>
      <c r="O4851" s="37" t="str">
        <f t="shared" si="378"/>
        <v>Digital Payment</v>
      </c>
      <c r="P4851">
        <v>249.56</v>
      </c>
      <c r="Q4851" s="37" t="str">
        <f>IF(P4851&gt;500,"High","low")</f>
        <v>low</v>
      </c>
      <c r="R4851" s="37" t="str">
        <f t="shared" si="379"/>
        <v>AVERAGE</v>
      </c>
      <c r="S4851" t="s">
        <v>628</v>
      </c>
    </row>
    <row r="4852" spans="1:19" x14ac:dyDescent="0.2">
      <c r="A4852" t="s">
        <v>5463</v>
      </c>
      <c r="B4852" t="s">
        <v>75</v>
      </c>
      <c r="C4852" t="s">
        <v>607</v>
      </c>
      <c r="D4852">
        <v>314.38</v>
      </c>
      <c r="E4852" s="37" t="str">
        <f t="shared" si="375"/>
        <v xml:space="preserve"> </v>
      </c>
      <c r="F4852">
        <v>0.16</v>
      </c>
      <c r="G4852" s="37" t="str">
        <f t="shared" si="376"/>
        <v>Normal Discount</v>
      </c>
      <c r="H4852" s="37" t="str">
        <f t="shared" si="377"/>
        <v>Low</v>
      </c>
      <c r="I4852">
        <v>4</v>
      </c>
      <c r="J4852" t="str" cm="1">
        <f t="array" ref="J4852">_xlfn.IFS(I4852&lt;=3,"small",I4852&lt;=6,"Medium",I4852&lt;=9,"Large")</f>
        <v>Medium</v>
      </c>
      <c r="K4852" s="36">
        <v>45244</v>
      </c>
      <c r="L4852" s="36">
        <v>45246</v>
      </c>
      <c r="M4852" t="s">
        <v>598</v>
      </c>
      <c r="N4852" t="s">
        <v>608</v>
      </c>
      <c r="O4852" s="37" t="str">
        <f t="shared" si="378"/>
        <v>Cash Payment</v>
      </c>
      <c r="P4852">
        <v>76.28</v>
      </c>
      <c r="Q4852" s="37" t="str">
        <f>IF(P4852&gt;500,"High","low")</f>
        <v>low</v>
      </c>
      <c r="R4852" s="37" t="str">
        <f t="shared" si="379"/>
        <v>AVERAGE</v>
      </c>
      <c r="S4852" t="s">
        <v>600</v>
      </c>
    </row>
    <row r="4853" spans="1:19" x14ac:dyDescent="0.2">
      <c r="A4853" t="s">
        <v>5464</v>
      </c>
      <c r="B4853" t="s">
        <v>83</v>
      </c>
      <c r="C4853" t="s">
        <v>597</v>
      </c>
      <c r="D4853">
        <v>4297.95</v>
      </c>
      <c r="E4853" s="37" t="str">
        <f t="shared" si="375"/>
        <v>Excellent Order</v>
      </c>
      <c r="F4853">
        <v>0.04</v>
      </c>
      <c r="G4853" s="37" t="str">
        <f t="shared" si="376"/>
        <v>Normal Discount</v>
      </c>
      <c r="H4853" s="37" t="str">
        <f t="shared" si="377"/>
        <v>Low</v>
      </c>
      <c r="I4853">
        <v>8</v>
      </c>
      <c r="J4853" t="str" cm="1">
        <f t="array" ref="J4853">_xlfn.IFS(I4853&lt;=3,"small",I4853&lt;=6,"Medium",I4853&lt;=9,"Large")</f>
        <v>Large</v>
      </c>
      <c r="K4853" s="36">
        <v>45067</v>
      </c>
      <c r="L4853" s="36">
        <v>45073</v>
      </c>
      <c r="M4853" t="s">
        <v>603</v>
      </c>
      <c r="N4853" t="s">
        <v>604</v>
      </c>
      <c r="O4853" s="37" t="str">
        <f t="shared" si="378"/>
        <v>Digital Payment</v>
      </c>
      <c r="P4853">
        <v>812.06</v>
      </c>
      <c r="Q4853" s="37" t="str">
        <f>IF(P4853&gt;500,"High","low")</f>
        <v>High</v>
      </c>
      <c r="R4853" s="37" t="str">
        <f t="shared" si="379"/>
        <v>Good</v>
      </c>
      <c r="S4853" t="s">
        <v>628</v>
      </c>
    </row>
    <row r="4854" spans="1:19" x14ac:dyDescent="0.2">
      <c r="A4854" t="s">
        <v>5465</v>
      </c>
      <c r="B4854" t="s">
        <v>75</v>
      </c>
      <c r="C4854" t="s">
        <v>617</v>
      </c>
      <c r="D4854">
        <v>1176.82</v>
      </c>
      <c r="E4854" s="37" t="str">
        <f t="shared" si="375"/>
        <v xml:space="preserve"> </v>
      </c>
      <c r="F4854">
        <v>0.46</v>
      </c>
      <c r="G4854" s="37" t="str">
        <f t="shared" si="376"/>
        <v>Heavy Discount</v>
      </c>
      <c r="H4854" s="37" t="str">
        <f t="shared" si="377"/>
        <v>High</v>
      </c>
      <c r="I4854">
        <v>2</v>
      </c>
      <c r="J4854" t="str" cm="1">
        <f t="array" ref="J4854">_xlfn.IFS(I4854&lt;=3,"small",I4854&lt;=6,"Medium",I4854&lt;=9,"Large")</f>
        <v>small</v>
      </c>
      <c r="K4854" s="36">
        <v>45484</v>
      </c>
      <c r="L4854" s="36">
        <v>45487</v>
      </c>
      <c r="M4854" t="s">
        <v>603</v>
      </c>
      <c r="N4854" t="s">
        <v>599</v>
      </c>
      <c r="O4854" s="37" t="str">
        <f t="shared" si="378"/>
        <v>Digital Payment</v>
      </c>
      <c r="P4854">
        <v>275.49</v>
      </c>
      <c r="Q4854" s="37" t="str">
        <f>IF(P4854&gt;500,"High","low")</f>
        <v>low</v>
      </c>
      <c r="R4854" s="37" t="str">
        <f t="shared" si="379"/>
        <v>AVERAGE</v>
      </c>
      <c r="S4854" t="s">
        <v>620</v>
      </c>
    </row>
    <row r="4855" spans="1:19" x14ac:dyDescent="0.2">
      <c r="A4855" t="s">
        <v>5466</v>
      </c>
      <c r="B4855" t="s">
        <v>75</v>
      </c>
      <c r="C4855" t="s">
        <v>617</v>
      </c>
      <c r="D4855">
        <v>4127.32</v>
      </c>
      <c r="E4855" s="37" t="str">
        <f t="shared" si="375"/>
        <v>Excellent Order</v>
      </c>
      <c r="F4855">
        <v>0.31</v>
      </c>
      <c r="G4855" s="37" t="str">
        <f t="shared" si="376"/>
        <v>Heavy Discount</v>
      </c>
      <c r="H4855" s="37" t="str">
        <f t="shared" si="377"/>
        <v>Medium</v>
      </c>
      <c r="I4855">
        <v>1</v>
      </c>
      <c r="J4855" t="str" cm="1">
        <f t="array" ref="J4855">_xlfn.IFS(I4855&lt;=3,"small",I4855&lt;=6,"Medium",I4855&lt;=9,"Large")</f>
        <v>small</v>
      </c>
      <c r="K4855" s="36">
        <v>45108</v>
      </c>
      <c r="L4855" s="36">
        <v>45111</v>
      </c>
      <c r="M4855" t="s">
        <v>603</v>
      </c>
      <c r="N4855" t="s">
        <v>608</v>
      </c>
      <c r="O4855" s="37" t="str">
        <f t="shared" si="378"/>
        <v>Cash Payment</v>
      </c>
      <c r="P4855">
        <v>1079.8499999999999</v>
      </c>
      <c r="Q4855" s="37" t="str">
        <f>IF(P4855&gt;500,"High","low")</f>
        <v>High</v>
      </c>
      <c r="R4855" s="37" t="str">
        <f t="shared" si="379"/>
        <v>Excellent</v>
      </c>
      <c r="S4855" t="s">
        <v>609</v>
      </c>
    </row>
    <row r="4856" spans="1:19" x14ac:dyDescent="0.2">
      <c r="A4856" t="s">
        <v>5467</v>
      </c>
      <c r="B4856" t="s">
        <v>83</v>
      </c>
      <c r="C4856" t="s">
        <v>617</v>
      </c>
      <c r="D4856">
        <v>2247.7199999999998</v>
      </c>
      <c r="E4856" s="37" t="str">
        <f t="shared" si="375"/>
        <v xml:space="preserve"> </v>
      </c>
      <c r="F4856">
        <v>7.0000000000000007E-2</v>
      </c>
      <c r="G4856" s="37" t="str">
        <f t="shared" si="376"/>
        <v>Normal Discount</v>
      </c>
      <c r="H4856" s="37" t="str">
        <f t="shared" si="377"/>
        <v>Low</v>
      </c>
      <c r="I4856">
        <v>1</v>
      </c>
      <c r="J4856" t="str" cm="1">
        <f t="array" ref="J4856">_xlfn.IFS(I4856&lt;=3,"small",I4856&lt;=6,"Medium",I4856&lt;=9,"Large")</f>
        <v>small</v>
      </c>
      <c r="K4856" s="36">
        <v>45270</v>
      </c>
      <c r="L4856" s="36">
        <v>45277</v>
      </c>
      <c r="M4856" t="s">
        <v>612</v>
      </c>
      <c r="N4856" t="s">
        <v>604</v>
      </c>
      <c r="O4856" s="37" t="str">
        <f t="shared" si="378"/>
        <v>Digital Payment</v>
      </c>
      <c r="P4856">
        <v>294.13</v>
      </c>
      <c r="Q4856" s="37" t="str">
        <f>IF(P4856&gt;500,"High","low")</f>
        <v>low</v>
      </c>
      <c r="R4856" s="37" t="str">
        <f t="shared" si="379"/>
        <v>AVERAGE</v>
      </c>
      <c r="S4856" t="s">
        <v>628</v>
      </c>
    </row>
    <row r="4857" spans="1:19" x14ac:dyDescent="0.2">
      <c r="A4857" t="s">
        <v>5468</v>
      </c>
      <c r="B4857" t="s">
        <v>67</v>
      </c>
      <c r="C4857" t="s">
        <v>614</v>
      </c>
      <c r="D4857">
        <v>3198.95</v>
      </c>
      <c r="E4857" s="37" t="str">
        <f t="shared" si="375"/>
        <v xml:space="preserve"> </v>
      </c>
      <c r="F4857">
        <v>0.1</v>
      </c>
      <c r="G4857" s="37" t="str">
        <f t="shared" si="376"/>
        <v>Normal Discount</v>
      </c>
      <c r="H4857" s="37" t="str">
        <f t="shared" si="377"/>
        <v>Low</v>
      </c>
      <c r="I4857">
        <v>7</v>
      </c>
      <c r="J4857" t="str" cm="1">
        <f t="array" ref="J4857">_xlfn.IFS(I4857&lt;=3,"small",I4857&lt;=6,"Medium",I4857&lt;=9,"Large")</f>
        <v>Large</v>
      </c>
      <c r="K4857" s="36">
        <v>45185</v>
      </c>
      <c r="L4857" s="36">
        <v>45190</v>
      </c>
      <c r="M4857" t="s">
        <v>603</v>
      </c>
      <c r="N4857" t="s">
        <v>604</v>
      </c>
      <c r="O4857" s="37" t="str">
        <f t="shared" si="378"/>
        <v>Digital Payment</v>
      </c>
      <c r="P4857">
        <v>256.85000000000002</v>
      </c>
      <c r="Q4857" s="37" t="str">
        <f>IF(P4857&gt;500,"High","low")</f>
        <v>low</v>
      </c>
      <c r="R4857" s="37" t="str">
        <f t="shared" si="379"/>
        <v>AVERAGE</v>
      </c>
      <c r="S4857" t="s">
        <v>600</v>
      </c>
    </row>
    <row r="4858" spans="1:19" x14ac:dyDescent="0.2">
      <c r="A4858" t="s">
        <v>5469</v>
      </c>
      <c r="B4858" t="s">
        <v>75</v>
      </c>
      <c r="C4858" t="s">
        <v>617</v>
      </c>
      <c r="D4858">
        <v>470.94</v>
      </c>
      <c r="E4858" s="37" t="str">
        <f t="shared" si="375"/>
        <v xml:space="preserve"> </v>
      </c>
      <c r="F4858">
        <v>0.23</v>
      </c>
      <c r="G4858" s="37" t="str">
        <f t="shared" si="376"/>
        <v>Normal Discount</v>
      </c>
      <c r="H4858" s="37" t="str">
        <f t="shared" si="377"/>
        <v>Medium</v>
      </c>
      <c r="I4858">
        <v>7</v>
      </c>
      <c r="J4858" t="str" cm="1">
        <f t="array" ref="J4858">_xlfn.IFS(I4858&lt;=3,"small",I4858&lt;=6,"Medium",I4858&lt;=9,"Large")</f>
        <v>Large</v>
      </c>
      <c r="K4858" s="36">
        <v>44938</v>
      </c>
      <c r="L4858" s="36">
        <v>44945</v>
      </c>
      <c r="M4858" t="s">
        <v>598</v>
      </c>
      <c r="N4858" t="s">
        <v>608</v>
      </c>
      <c r="O4858" s="37" t="str">
        <f t="shared" si="378"/>
        <v>Cash Payment</v>
      </c>
      <c r="P4858">
        <v>119.05</v>
      </c>
      <c r="Q4858" s="37" t="str">
        <f>IF(P4858&gt;500,"High","low")</f>
        <v>low</v>
      </c>
      <c r="R4858" s="37" t="str">
        <f t="shared" si="379"/>
        <v>AVERAGE</v>
      </c>
      <c r="S4858" t="s">
        <v>615</v>
      </c>
    </row>
    <row r="4859" spans="1:19" x14ac:dyDescent="0.2">
      <c r="A4859" t="s">
        <v>5470</v>
      </c>
      <c r="B4859" t="s">
        <v>90</v>
      </c>
      <c r="C4859" t="s">
        <v>607</v>
      </c>
      <c r="D4859">
        <v>2959.54</v>
      </c>
      <c r="E4859" s="37" t="str">
        <f t="shared" si="375"/>
        <v xml:space="preserve"> </v>
      </c>
      <c r="F4859">
        <v>0.03</v>
      </c>
      <c r="G4859" s="37" t="str">
        <f t="shared" si="376"/>
        <v>Normal Discount</v>
      </c>
      <c r="H4859" s="37" t="str">
        <f t="shared" si="377"/>
        <v>Low</v>
      </c>
      <c r="I4859">
        <v>4</v>
      </c>
      <c r="J4859" t="str" cm="1">
        <f t="array" ref="J4859">_xlfn.IFS(I4859&lt;=3,"small",I4859&lt;=6,"Medium",I4859&lt;=9,"Large")</f>
        <v>Medium</v>
      </c>
      <c r="K4859" s="36">
        <v>45479</v>
      </c>
      <c r="L4859" s="36">
        <v>45481</v>
      </c>
      <c r="M4859" t="s">
        <v>603</v>
      </c>
      <c r="N4859" t="s">
        <v>604</v>
      </c>
      <c r="O4859" s="37" t="str">
        <f t="shared" si="378"/>
        <v>Digital Payment</v>
      </c>
      <c r="P4859">
        <v>289.56</v>
      </c>
      <c r="Q4859" s="37" t="str">
        <f>IF(P4859&gt;500,"High","low")</f>
        <v>low</v>
      </c>
      <c r="R4859" s="37" t="str">
        <f t="shared" si="379"/>
        <v>AVERAGE</v>
      </c>
      <c r="S4859" t="s">
        <v>605</v>
      </c>
    </row>
    <row r="4860" spans="1:19" x14ac:dyDescent="0.2">
      <c r="A4860" t="s">
        <v>5471</v>
      </c>
      <c r="B4860" t="s">
        <v>90</v>
      </c>
      <c r="C4860" t="s">
        <v>607</v>
      </c>
      <c r="D4860">
        <v>1520.98</v>
      </c>
      <c r="E4860" s="37" t="str">
        <f t="shared" si="375"/>
        <v xml:space="preserve"> </v>
      </c>
      <c r="F4860">
        <v>0.14000000000000001</v>
      </c>
      <c r="G4860" s="37" t="str">
        <f t="shared" si="376"/>
        <v>Normal Discount</v>
      </c>
      <c r="H4860" s="37" t="str">
        <f t="shared" si="377"/>
        <v>Low</v>
      </c>
      <c r="I4860">
        <v>5</v>
      </c>
      <c r="J4860" t="str" cm="1">
        <f t="array" ref="J4860">_xlfn.IFS(I4860&lt;=3,"small",I4860&lt;=6,"Medium",I4860&lt;=9,"Large")</f>
        <v>Medium</v>
      </c>
      <c r="K4860" s="36">
        <v>45354</v>
      </c>
      <c r="L4860" s="36">
        <v>45361</v>
      </c>
      <c r="M4860" t="s">
        <v>612</v>
      </c>
      <c r="N4860" t="s">
        <v>608</v>
      </c>
      <c r="O4860" s="37" t="str">
        <f t="shared" si="378"/>
        <v>Cash Payment</v>
      </c>
      <c r="P4860">
        <v>205.78</v>
      </c>
      <c r="Q4860" s="37" t="str">
        <f>IF(P4860&gt;500,"High","low")</f>
        <v>low</v>
      </c>
      <c r="R4860" s="37" t="str">
        <f t="shared" si="379"/>
        <v>AVERAGE</v>
      </c>
      <c r="S4860" t="s">
        <v>605</v>
      </c>
    </row>
    <row r="4861" spans="1:19" x14ac:dyDescent="0.2">
      <c r="A4861" t="s">
        <v>5472</v>
      </c>
      <c r="B4861" t="s">
        <v>83</v>
      </c>
      <c r="C4861" t="s">
        <v>597</v>
      </c>
      <c r="D4861">
        <v>566.53</v>
      </c>
      <c r="E4861" s="37" t="str">
        <f t="shared" si="375"/>
        <v xml:space="preserve"> </v>
      </c>
      <c r="F4861">
        <v>0.35</v>
      </c>
      <c r="G4861" s="37" t="str">
        <f t="shared" si="376"/>
        <v>Heavy Discount</v>
      </c>
      <c r="H4861" s="37" t="str">
        <f t="shared" si="377"/>
        <v>Medium</v>
      </c>
      <c r="I4861">
        <v>5</v>
      </c>
      <c r="J4861" t="str" cm="1">
        <f t="array" ref="J4861">_xlfn.IFS(I4861&lt;=3,"small",I4861&lt;=6,"Medium",I4861&lt;=9,"Large")</f>
        <v>Medium</v>
      </c>
      <c r="K4861" s="36">
        <v>45624</v>
      </c>
      <c r="L4861" s="36">
        <v>45631</v>
      </c>
      <c r="M4861" t="s">
        <v>598</v>
      </c>
      <c r="N4861" t="s">
        <v>604</v>
      </c>
      <c r="O4861" s="37" t="str">
        <f t="shared" si="378"/>
        <v>Digital Payment</v>
      </c>
      <c r="P4861">
        <v>153.16</v>
      </c>
      <c r="Q4861" s="37" t="str">
        <f>IF(P4861&gt;500,"High","low")</f>
        <v>low</v>
      </c>
      <c r="R4861" s="37" t="str">
        <f t="shared" si="379"/>
        <v>AVERAGE</v>
      </c>
      <c r="S4861" t="s">
        <v>620</v>
      </c>
    </row>
    <row r="4862" spans="1:19" x14ac:dyDescent="0.2">
      <c r="A4862" t="s">
        <v>5473</v>
      </c>
      <c r="B4862" t="s">
        <v>67</v>
      </c>
      <c r="C4862" t="s">
        <v>602</v>
      </c>
      <c r="D4862">
        <v>4550.34</v>
      </c>
      <c r="E4862" s="37" t="str">
        <f t="shared" si="375"/>
        <v>Excellent Order</v>
      </c>
      <c r="F4862">
        <v>0.46</v>
      </c>
      <c r="G4862" s="37" t="str">
        <f t="shared" si="376"/>
        <v>Heavy Discount</v>
      </c>
      <c r="H4862" s="37" t="str">
        <f t="shared" si="377"/>
        <v>High</v>
      </c>
      <c r="I4862">
        <v>7</v>
      </c>
      <c r="J4862" t="str" cm="1">
        <f t="array" ref="J4862">_xlfn.IFS(I4862&lt;=3,"small",I4862&lt;=6,"Medium",I4862&lt;=9,"Large")</f>
        <v>Large</v>
      </c>
      <c r="K4862" s="36">
        <v>45449</v>
      </c>
      <c r="L4862" s="36">
        <v>45451</v>
      </c>
      <c r="M4862" t="s">
        <v>603</v>
      </c>
      <c r="N4862" t="s">
        <v>608</v>
      </c>
      <c r="O4862" s="37" t="str">
        <f t="shared" si="378"/>
        <v>Cash Payment</v>
      </c>
      <c r="P4862">
        <v>984.14</v>
      </c>
      <c r="Q4862" s="37" t="str">
        <f>IF(P4862&gt;500,"High","low")</f>
        <v>High</v>
      </c>
      <c r="R4862" s="37" t="str">
        <f t="shared" si="379"/>
        <v>Good</v>
      </c>
      <c r="S4862" t="s">
        <v>620</v>
      </c>
    </row>
    <row r="4863" spans="1:19" x14ac:dyDescent="0.2">
      <c r="A4863" t="s">
        <v>5474</v>
      </c>
      <c r="B4863" t="s">
        <v>83</v>
      </c>
      <c r="C4863" t="s">
        <v>602</v>
      </c>
      <c r="D4863">
        <v>3057.78</v>
      </c>
      <c r="E4863" s="37" t="str">
        <f t="shared" si="375"/>
        <v xml:space="preserve"> </v>
      </c>
      <c r="F4863">
        <v>0.46</v>
      </c>
      <c r="G4863" s="37" t="str">
        <f t="shared" si="376"/>
        <v>Heavy Discount</v>
      </c>
      <c r="H4863" s="37" t="str">
        <f t="shared" si="377"/>
        <v>High</v>
      </c>
      <c r="I4863">
        <v>3</v>
      </c>
      <c r="J4863" t="str" cm="1">
        <f t="array" ref="J4863">_xlfn.IFS(I4863&lt;=3,"small",I4863&lt;=6,"Medium",I4863&lt;=9,"Large")</f>
        <v>small</v>
      </c>
      <c r="K4863" s="36">
        <v>45585</v>
      </c>
      <c r="L4863" s="36">
        <v>45590</v>
      </c>
      <c r="M4863" t="s">
        <v>612</v>
      </c>
      <c r="N4863" t="s">
        <v>599</v>
      </c>
      <c r="O4863" s="37" t="str">
        <f t="shared" si="378"/>
        <v>Digital Payment</v>
      </c>
      <c r="P4863">
        <v>219.35</v>
      </c>
      <c r="Q4863" s="37" t="str">
        <f>IF(P4863&gt;500,"High","low")</f>
        <v>low</v>
      </c>
      <c r="R4863" s="37" t="str">
        <f t="shared" si="379"/>
        <v>AVERAGE</v>
      </c>
      <c r="S4863" t="s">
        <v>620</v>
      </c>
    </row>
    <row r="4864" spans="1:19" x14ac:dyDescent="0.2">
      <c r="A4864" t="s">
        <v>5475</v>
      </c>
      <c r="B4864" t="s">
        <v>67</v>
      </c>
      <c r="C4864" t="s">
        <v>614</v>
      </c>
      <c r="D4864">
        <v>1284.3699999999999</v>
      </c>
      <c r="E4864" s="37" t="str">
        <f t="shared" si="375"/>
        <v xml:space="preserve"> </v>
      </c>
      <c r="F4864">
        <v>0.26</v>
      </c>
      <c r="G4864" s="37" t="str">
        <f t="shared" si="376"/>
        <v>Normal Discount</v>
      </c>
      <c r="H4864" s="37" t="str">
        <f t="shared" si="377"/>
        <v>Medium</v>
      </c>
      <c r="I4864">
        <v>5</v>
      </c>
      <c r="J4864" t="str" cm="1">
        <f t="array" ref="J4864">_xlfn.IFS(I4864&lt;=3,"small",I4864&lt;=6,"Medium",I4864&lt;=9,"Large")</f>
        <v>Medium</v>
      </c>
      <c r="K4864" s="36">
        <v>45369</v>
      </c>
      <c r="L4864" s="36">
        <v>45370</v>
      </c>
      <c r="M4864" t="s">
        <v>612</v>
      </c>
      <c r="N4864" t="s">
        <v>608</v>
      </c>
      <c r="O4864" s="37" t="str">
        <f t="shared" si="378"/>
        <v>Cash Payment</v>
      </c>
      <c r="P4864">
        <v>142.35</v>
      </c>
      <c r="Q4864" s="37" t="str">
        <f>IF(P4864&gt;500,"High","low")</f>
        <v>low</v>
      </c>
      <c r="R4864" s="37" t="str">
        <f t="shared" si="379"/>
        <v>AVERAGE</v>
      </c>
      <c r="S4864" t="s">
        <v>628</v>
      </c>
    </row>
    <row r="4865" spans="1:19" x14ac:dyDescent="0.2">
      <c r="A4865" t="s">
        <v>5476</v>
      </c>
      <c r="B4865" t="s">
        <v>75</v>
      </c>
      <c r="C4865" t="s">
        <v>617</v>
      </c>
      <c r="D4865">
        <v>2156.2800000000002</v>
      </c>
      <c r="E4865" s="37" t="str">
        <f t="shared" si="375"/>
        <v xml:space="preserve"> </v>
      </c>
      <c r="F4865">
        <v>0.16</v>
      </c>
      <c r="G4865" s="37" t="str">
        <f t="shared" si="376"/>
        <v>Normal Discount</v>
      </c>
      <c r="H4865" s="37" t="str">
        <f t="shared" si="377"/>
        <v>Low</v>
      </c>
      <c r="I4865">
        <v>7</v>
      </c>
      <c r="J4865" t="str" cm="1">
        <f t="array" ref="J4865">_xlfn.IFS(I4865&lt;=3,"small",I4865&lt;=6,"Medium",I4865&lt;=9,"Large")</f>
        <v>Large</v>
      </c>
      <c r="K4865" s="36">
        <v>44999</v>
      </c>
      <c r="L4865" s="36">
        <v>45000</v>
      </c>
      <c r="M4865" t="s">
        <v>603</v>
      </c>
      <c r="N4865" t="s">
        <v>599</v>
      </c>
      <c r="O4865" s="37" t="str">
        <f t="shared" si="378"/>
        <v>Digital Payment</v>
      </c>
      <c r="P4865">
        <v>191.54</v>
      </c>
      <c r="Q4865" s="37" t="str">
        <f>IF(P4865&gt;500,"High","low")</f>
        <v>low</v>
      </c>
      <c r="R4865" s="37" t="str">
        <f t="shared" si="379"/>
        <v>AVERAGE</v>
      </c>
      <c r="S4865" t="s">
        <v>600</v>
      </c>
    </row>
    <row r="4866" spans="1:19" x14ac:dyDescent="0.2">
      <c r="A4866" t="s">
        <v>5477</v>
      </c>
      <c r="B4866" t="s">
        <v>75</v>
      </c>
      <c r="C4866" t="s">
        <v>614</v>
      </c>
      <c r="D4866">
        <v>1848.81</v>
      </c>
      <c r="E4866" s="37" t="str">
        <f t="shared" si="375"/>
        <v xml:space="preserve"> </v>
      </c>
      <c r="F4866">
        <v>0.46</v>
      </c>
      <c r="G4866" s="37" t="str">
        <f t="shared" si="376"/>
        <v>Heavy Discount</v>
      </c>
      <c r="H4866" s="37" t="str">
        <f t="shared" si="377"/>
        <v>High</v>
      </c>
      <c r="I4866">
        <v>7</v>
      </c>
      <c r="J4866" t="str" cm="1">
        <f t="array" ref="J4866">_xlfn.IFS(I4866&lt;=3,"small",I4866&lt;=6,"Medium",I4866&lt;=9,"Large")</f>
        <v>Large</v>
      </c>
      <c r="K4866" s="36">
        <v>45091</v>
      </c>
      <c r="L4866" s="36">
        <v>45093</v>
      </c>
      <c r="M4866" t="s">
        <v>612</v>
      </c>
      <c r="N4866" t="s">
        <v>599</v>
      </c>
      <c r="O4866" s="37" t="str">
        <f t="shared" si="378"/>
        <v>Digital Payment</v>
      </c>
      <c r="P4866">
        <v>107.14</v>
      </c>
      <c r="Q4866" s="37" t="str">
        <f>IF(P4866&gt;500,"High","low")</f>
        <v>low</v>
      </c>
      <c r="R4866" s="37" t="str">
        <f t="shared" si="379"/>
        <v>AVERAGE</v>
      </c>
      <c r="S4866" t="s">
        <v>615</v>
      </c>
    </row>
    <row r="4867" spans="1:19" x14ac:dyDescent="0.2">
      <c r="A4867" t="s">
        <v>5478</v>
      </c>
      <c r="B4867" t="s">
        <v>75</v>
      </c>
      <c r="C4867" t="s">
        <v>597</v>
      </c>
      <c r="D4867">
        <v>3532.84</v>
      </c>
      <c r="E4867" s="37" t="str">
        <f t="shared" ref="E4867:E4930" si="380">IF(AND(D4867&gt;4000,P4867&gt;800),"Excellent Order"," ")</f>
        <v xml:space="preserve"> </v>
      </c>
      <c r="F4867">
        <v>0.39</v>
      </c>
      <c r="G4867" s="37" t="str">
        <f t="shared" ref="G4867:G4930" si="381">IF(F4867&gt;30%,"Heavy Discount","Normal Discount")</f>
        <v>Heavy Discount</v>
      </c>
      <c r="H4867" s="37" t="str">
        <f t="shared" ref="H4867:H4930" si="382">IF(F4867&gt;0.4,"High",IF(F4867&gt;=0.2,"Medium","Low"))</f>
        <v>Medium</v>
      </c>
      <c r="I4867">
        <v>9</v>
      </c>
      <c r="J4867" t="str" cm="1">
        <f t="array" ref="J4867">_xlfn.IFS(I4867&lt;=3,"small",I4867&lt;=6,"Medium",I4867&lt;=9,"Large")</f>
        <v>Large</v>
      </c>
      <c r="K4867" s="36">
        <v>45064</v>
      </c>
      <c r="L4867" s="36">
        <v>45066</v>
      </c>
      <c r="M4867" t="s">
        <v>603</v>
      </c>
      <c r="N4867" t="s">
        <v>599</v>
      </c>
      <c r="O4867" s="37" t="str">
        <f t="shared" ref="O4867:O4930" si="383">IF(OR(N4867="Card",N4867="UPI"),"Digital Payment","Cash Payment")</f>
        <v>Digital Payment</v>
      </c>
      <c r="P4867">
        <v>368.2</v>
      </c>
      <c r="Q4867" s="37" t="str">
        <f>IF(P4867&gt;500,"High","low")</f>
        <v>low</v>
      </c>
      <c r="R4867" s="37" t="str">
        <f t="shared" ref="R4867:R4930" si="384">IF(P4867&gt;1000,"Excellent",IF(P4867&gt;=500,"Good","AVERAGE"))</f>
        <v>AVERAGE</v>
      </c>
      <c r="S4867" t="s">
        <v>615</v>
      </c>
    </row>
    <row r="4868" spans="1:19" x14ac:dyDescent="0.2">
      <c r="A4868" t="s">
        <v>5479</v>
      </c>
      <c r="B4868" t="s">
        <v>75</v>
      </c>
      <c r="C4868" t="s">
        <v>597</v>
      </c>
      <c r="D4868">
        <v>3076.42</v>
      </c>
      <c r="E4868" s="37" t="str">
        <f t="shared" si="380"/>
        <v xml:space="preserve"> </v>
      </c>
      <c r="F4868">
        <v>0.28999999999999998</v>
      </c>
      <c r="G4868" s="37" t="str">
        <f t="shared" si="381"/>
        <v>Normal Discount</v>
      </c>
      <c r="H4868" s="37" t="str">
        <f t="shared" si="382"/>
        <v>Medium</v>
      </c>
      <c r="I4868">
        <v>4</v>
      </c>
      <c r="J4868" t="str" cm="1">
        <f t="array" ref="J4868">_xlfn.IFS(I4868&lt;=3,"small",I4868&lt;=6,"Medium",I4868&lt;=9,"Large")</f>
        <v>Medium</v>
      </c>
      <c r="K4868" s="36">
        <v>45255</v>
      </c>
      <c r="L4868" s="36">
        <v>45256</v>
      </c>
      <c r="M4868" t="s">
        <v>598</v>
      </c>
      <c r="N4868" t="s">
        <v>608</v>
      </c>
      <c r="O4868" s="37" t="str">
        <f t="shared" si="383"/>
        <v>Cash Payment</v>
      </c>
      <c r="P4868">
        <v>651.89</v>
      </c>
      <c r="Q4868" s="37" t="str">
        <f>IF(P4868&gt;500,"High","low")</f>
        <v>High</v>
      </c>
      <c r="R4868" s="37" t="str">
        <f t="shared" si="384"/>
        <v>Good</v>
      </c>
      <c r="S4868" t="s">
        <v>620</v>
      </c>
    </row>
    <row r="4869" spans="1:19" x14ac:dyDescent="0.2">
      <c r="A4869" t="s">
        <v>5480</v>
      </c>
      <c r="B4869" t="s">
        <v>90</v>
      </c>
      <c r="C4869" t="s">
        <v>602</v>
      </c>
      <c r="D4869">
        <v>196.93</v>
      </c>
      <c r="E4869" s="37" t="str">
        <f t="shared" si="380"/>
        <v xml:space="preserve"> </v>
      </c>
      <c r="F4869">
        <v>0.42</v>
      </c>
      <c r="G4869" s="37" t="str">
        <f t="shared" si="381"/>
        <v>Heavy Discount</v>
      </c>
      <c r="H4869" s="37" t="str">
        <f t="shared" si="382"/>
        <v>High</v>
      </c>
      <c r="I4869">
        <v>1</v>
      </c>
      <c r="J4869" t="str" cm="1">
        <f t="array" ref="J4869">_xlfn.IFS(I4869&lt;=3,"small",I4869&lt;=6,"Medium",I4869&lt;=9,"Large")</f>
        <v>small</v>
      </c>
      <c r="K4869" s="36">
        <v>44959</v>
      </c>
      <c r="L4869" s="36">
        <v>44963</v>
      </c>
      <c r="M4869" t="s">
        <v>598</v>
      </c>
      <c r="N4869" t="s">
        <v>599</v>
      </c>
      <c r="O4869" s="37" t="str">
        <f t="shared" si="383"/>
        <v>Digital Payment</v>
      </c>
      <c r="P4869">
        <v>10.53</v>
      </c>
      <c r="Q4869" s="37" t="str">
        <f>IF(P4869&gt;500,"High","low")</f>
        <v>low</v>
      </c>
      <c r="R4869" s="37" t="str">
        <f t="shared" si="384"/>
        <v>AVERAGE</v>
      </c>
      <c r="S4869" t="s">
        <v>620</v>
      </c>
    </row>
    <row r="4870" spans="1:19" x14ac:dyDescent="0.2">
      <c r="A4870" t="s">
        <v>5481</v>
      </c>
      <c r="B4870" t="s">
        <v>90</v>
      </c>
      <c r="C4870" t="s">
        <v>597</v>
      </c>
      <c r="D4870">
        <v>1069.3499999999999</v>
      </c>
      <c r="E4870" s="37" t="str">
        <f t="shared" si="380"/>
        <v xml:space="preserve"> </v>
      </c>
      <c r="F4870">
        <v>0.23</v>
      </c>
      <c r="G4870" s="37" t="str">
        <f t="shared" si="381"/>
        <v>Normal Discount</v>
      </c>
      <c r="H4870" s="37" t="str">
        <f t="shared" si="382"/>
        <v>Medium</v>
      </c>
      <c r="I4870">
        <v>5</v>
      </c>
      <c r="J4870" t="str" cm="1">
        <f t="array" ref="J4870">_xlfn.IFS(I4870&lt;=3,"small",I4870&lt;=6,"Medium",I4870&lt;=9,"Large")</f>
        <v>Medium</v>
      </c>
      <c r="K4870" s="36">
        <v>45643</v>
      </c>
      <c r="L4870" s="36">
        <v>45647</v>
      </c>
      <c r="M4870" t="s">
        <v>612</v>
      </c>
      <c r="N4870" t="s">
        <v>604</v>
      </c>
      <c r="O4870" s="37" t="str">
        <f t="shared" si="383"/>
        <v>Digital Payment</v>
      </c>
      <c r="P4870">
        <v>310.76</v>
      </c>
      <c r="Q4870" s="37" t="str">
        <f>IF(P4870&gt;500,"High","low")</f>
        <v>low</v>
      </c>
      <c r="R4870" s="37" t="str">
        <f t="shared" si="384"/>
        <v>AVERAGE</v>
      </c>
      <c r="S4870" t="s">
        <v>628</v>
      </c>
    </row>
    <row r="4871" spans="1:19" x14ac:dyDescent="0.2">
      <c r="A4871" t="s">
        <v>5482</v>
      </c>
      <c r="B4871" t="s">
        <v>83</v>
      </c>
      <c r="C4871" t="s">
        <v>617</v>
      </c>
      <c r="D4871">
        <v>2442.83</v>
      </c>
      <c r="E4871" s="37" t="str">
        <f t="shared" si="380"/>
        <v xml:space="preserve"> </v>
      </c>
      <c r="F4871">
        <v>0.06</v>
      </c>
      <c r="G4871" s="37" t="str">
        <f t="shared" si="381"/>
        <v>Normal Discount</v>
      </c>
      <c r="H4871" s="37" t="str">
        <f t="shared" si="382"/>
        <v>Low</v>
      </c>
      <c r="I4871">
        <v>4</v>
      </c>
      <c r="J4871" t="str" cm="1">
        <f t="array" ref="J4871">_xlfn.IFS(I4871&lt;=3,"small",I4871&lt;=6,"Medium",I4871&lt;=9,"Large")</f>
        <v>Medium</v>
      </c>
      <c r="K4871" s="36">
        <v>45074</v>
      </c>
      <c r="L4871" s="36">
        <v>45077</v>
      </c>
      <c r="M4871" t="s">
        <v>598</v>
      </c>
      <c r="N4871" t="s">
        <v>608</v>
      </c>
      <c r="O4871" s="37" t="str">
        <f t="shared" si="383"/>
        <v>Cash Payment</v>
      </c>
      <c r="P4871">
        <v>264.8</v>
      </c>
      <c r="Q4871" s="37" t="str">
        <f>IF(P4871&gt;500,"High","low")</f>
        <v>low</v>
      </c>
      <c r="R4871" s="37" t="str">
        <f t="shared" si="384"/>
        <v>AVERAGE</v>
      </c>
      <c r="S4871" t="s">
        <v>615</v>
      </c>
    </row>
    <row r="4872" spans="1:19" x14ac:dyDescent="0.2">
      <c r="A4872" t="s">
        <v>5483</v>
      </c>
      <c r="B4872" t="s">
        <v>67</v>
      </c>
      <c r="C4872" t="s">
        <v>607</v>
      </c>
      <c r="D4872">
        <v>2282.88</v>
      </c>
      <c r="E4872" s="37" t="str">
        <f t="shared" si="380"/>
        <v xml:space="preserve"> </v>
      </c>
      <c r="F4872">
        <v>0.47</v>
      </c>
      <c r="G4872" s="37" t="str">
        <f t="shared" si="381"/>
        <v>Heavy Discount</v>
      </c>
      <c r="H4872" s="37" t="str">
        <f t="shared" si="382"/>
        <v>High</v>
      </c>
      <c r="I4872">
        <v>3</v>
      </c>
      <c r="J4872" t="str" cm="1">
        <f t="array" ref="J4872">_xlfn.IFS(I4872&lt;=3,"small",I4872&lt;=6,"Medium",I4872&lt;=9,"Large")</f>
        <v>small</v>
      </c>
      <c r="K4872" s="36">
        <v>45257</v>
      </c>
      <c r="L4872" s="36">
        <v>45259</v>
      </c>
      <c r="M4872" t="s">
        <v>603</v>
      </c>
      <c r="N4872" t="s">
        <v>608</v>
      </c>
      <c r="O4872" s="37" t="str">
        <f t="shared" si="383"/>
        <v>Cash Payment</v>
      </c>
      <c r="P4872">
        <v>280.69</v>
      </c>
      <c r="Q4872" s="37" t="str">
        <f>IF(P4872&gt;500,"High","low")</f>
        <v>low</v>
      </c>
      <c r="R4872" s="37" t="str">
        <f t="shared" si="384"/>
        <v>AVERAGE</v>
      </c>
      <c r="S4872" t="s">
        <v>609</v>
      </c>
    </row>
    <row r="4873" spans="1:19" x14ac:dyDescent="0.2">
      <c r="A4873" t="s">
        <v>5484</v>
      </c>
      <c r="B4873" t="s">
        <v>75</v>
      </c>
      <c r="C4873" t="s">
        <v>597</v>
      </c>
      <c r="D4873">
        <v>2631.71</v>
      </c>
      <c r="E4873" s="37" t="str">
        <f t="shared" si="380"/>
        <v xml:space="preserve"> </v>
      </c>
      <c r="F4873">
        <v>0.27</v>
      </c>
      <c r="G4873" s="37" t="str">
        <f t="shared" si="381"/>
        <v>Normal Discount</v>
      </c>
      <c r="H4873" s="37" t="str">
        <f t="shared" si="382"/>
        <v>Medium</v>
      </c>
      <c r="I4873">
        <v>7</v>
      </c>
      <c r="J4873" t="str" cm="1">
        <f t="array" ref="J4873">_xlfn.IFS(I4873&lt;=3,"small",I4873&lt;=6,"Medium",I4873&lt;=9,"Large")</f>
        <v>Large</v>
      </c>
      <c r="K4873" s="36">
        <v>45275</v>
      </c>
      <c r="L4873" s="36">
        <v>45276</v>
      </c>
      <c r="M4873" t="s">
        <v>598</v>
      </c>
      <c r="N4873" t="s">
        <v>608</v>
      </c>
      <c r="O4873" s="37" t="str">
        <f t="shared" si="383"/>
        <v>Cash Payment</v>
      </c>
      <c r="P4873">
        <v>154.49</v>
      </c>
      <c r="Q4873" s="37" t="str">
        <f>IF(P4873&gt;500,"High","low")</f>
        <v>low</v>
      </c>
      <c r="R4873" s="37" t="str">
        <f t="shared" si="384"/>
        <v>AVERAGE</v>
      </c>
      <c r="S4873" t="s">
        <v>600</v>
      </c>
    </row>
    <row r="4874" spans="1:19" x14ac:dyDescent="0.2">
      <c r="A4874" t="s">
        <v>5485</v>
      </c>
      <c r="B4874" t="s">
        <v>75</v>
      </c>
      <c r="C4874" t="s">
        <v>614</v>
      </c>
      <c r="D4874">
        <v>3602.57</v>
      </c>
      <c r="E4874" s="37" t="str">
        <f t="shared" si="380"/>
        <v xml:space="preserve"> </v>
      </c>
      <c r="F4874">
        <v>0.35</v>
      </c>
      <c r="G4874" s="37" t="str">
        <f t="shared" si="381"/>
        <v>Heavy Discount</v>
      </c>
      <c r="H4874" s="37" t="str">
        <f t="shared" si="382"/>
        <v>Medium</v>
      </c>
      <c r="I4874">
        <v>9</v>
      </c>
      <c r="J4874" t="str" cm="1">
        <f t="array" ref="J4874">_xlfn.IFS(I4874&lt;=3,"small",I4874&lt;=6,"Medium",I4874&lt;=9,"Large")</f>
        <v>Large</v>
      </c>
      <c r="K4874" s="36">
        <v>45549</v>
      </c>
      <c r="L4874" s="36">
        <v>45554</v>
      </c>
      <c r="M4874" t="s">
        <v>598</v>
      </c>
      <c r="N4874" t="s">
        <v>604</v>
      </c>
      <c r="O4874" s="37" t="str">
        <f t="shared" si="383"/>
        <v>Digital Payment</v>
      </c>
      <c r="P4874">
        <v>242.83</v>
      </c>
      <c r="Q4874" s="37" t="str">
        <f>IF(P4874&gt;500,"High","low")</f>
        <v>low</v>
      </c>
      <c r="R4874" s="37" t="str">
        <f t="shared" si="384"/>
        <v>AVERAGE</v>
      </c>
      <c r="S4874" t="s">
        <v>615</v>
      </c>
    </row>
    <row r="4875" spans="1:19" x14ac:dyDescent="0.2">
      <c r="A4875" t="s">
        <v>5486</v>
      </c>
      <c r="B4875" t="s">
        <v>67</v>
      </c>
      <c r="C4875" t="s">
        <v>617</v>
      </c>
      <c r="D4875">
        <v>3441.84</v>
      </c>
      <c r="E4875" s="37" t="str">
        <f t="shared" si="380"/>
        <v xml:space="preserve"> </v>
      </c>
      <c r="F4875">
        <v>0.2</v>
      </c>
      <c r="G4875" s="37" t="str">
        <f t="shared" si="381"/>
        <v>Normal Discount</v>
      </c>
      <c r="H4875" s="37" t="str">
        <f t="shared" si="382"/>
        <v>Medium</v>
      </c>
      <c r="I4875">
        <v>4</v>
      </c>
      <c r="J4875" t="str" cm="1">
        <f t="array" ref="J4875">_xlfn.IFS(I4875&lt;=3,"small",I4875&lt;=6,"Medium",I4875&lt;=9,"Large")</f>
        <v>Medium</v>
      </c>
      <c r="K4875" s="36">
        <v>45563</v>
      </c>
      <c r="L4875" s="36">
        <v>45568</v>
      </c>
      <c r="M4875" t="s">
        <v>603</v>
      </c>
      <c r="N4875" t="s">
        <v>608</v>
      </c>
      <c r="O4875" s="37" t="str">
        <f t="shared" si="383"/>
        <v>Cash Payment</v>
      </c>
      <c r="P4875">
        <v>1031.46</v>
      </c>
      <c r="Q4875" s="37" t="str">
        <f>IF(P4875&gt;500,"High","low")</f>
        <v>High</v>
      </c>
      <c r="R4875" s="37" t="str">
        <f t="shared" si="384"/>
        <v>Excellent</v>
      </c>
      <c r="S4875" t="s">
        <v>600</v>
      </c>
    </row>
    <row r="4876" spans="1:19" x14ac:dyDescent="0.2">
      <c r="A4876" t="s">
        <v>5487</v>
      </c>
      <c r="B4876" t="s">
        <v>67</v>
      </c>
      <c r="C4876" t="s">
        <v>597</v>
      </c>
      <c r="D4876">
        <v>1926.79</v>
      </c>
      <c r="E4876" s="37" t="str">
        <f t="shared" si="380"/>
        <v xml:space="preserve"> </v>
      </c>
      <c r="F4876">
        <v>7.0000000000000007E-2</v>
      </c>
      <c r="G4876" s="37" t="str">
        <f t="shared" si="381"/>
        <v>Normal Discount</v>
      </c>
      <c r="H4876" s="37" t="str">
        <f t="shared" si="382"/>
        <v>Low</v>
      </c>
      <c r="I4876">
        <v>6</v>
      </c>
      <c r="J4876" t="str" cm="1">
        <f t="array" ref="J4876">_xlfn.IFS(I4876&lt;=3,"small",I4876&lt;=6,"Medium",I4876&lt;=9,"Large")</f>
        <v>Medium</v>
      </c>
      <c r="K4876" s="36">
        <v>45562</v>
      </c>
      <c r="L4876" s="36">
        <v>45566</v>
      </c>
      <c r="M4876" t="s">
        <v>603</v>
      </c>
      <c r="N4876" t="s">
        <v>599</v>
      </c>
      <c r="O4876" s="37" t="str">
        <f t="shared" si="383"/>
        <v>Digital Payment</v>
      </c>
      <c r="P4876">
        <v>257.33</v>
      </c>
      <c r="Q4876" s="37" t="str">
        <f>IF(P4876&gt;500,"High","low")</f>
        <v>low</v>
      </c>
      <c r="R4876" s="37" t="str">
        <f t="shared" si="384"/>
        <v>AVERAGE</v>
      </c>
      <c r="S4876" t="s">
        <v>605</v>
      </c>
    </row>
    <row r="4877" spans="1:19" x14ac:dyDescent="0.2">
      <c r="A4877" t="s">
        <v>5488</v>
      </c>
      <c r="B4877" t="s">
        <v>83</v>
      </c>
      <c r="C4877" t="s">
        <v>597</v>
      </c>
      <c r="D4877">
        <v>4400.1499999999996</v>
      </c>
      <c r="E4877" s="37" t="str">
        <f t="shared" si="380"/>
        <v>Excellent Order</v>
      </c>
      <c r="F4877">
        <v>0.14000000000000001</v>
      </c>
      <c r="G4877" s="37" t="str">
        <f t="shared" si="381"/>
        <v>Normal Discount</v>
      </c>
      <c r="H4877" s="37" t="str">
        <f t="shared" si="382"/>
        <v>Low</v>
      </c>
      <c r="I4877">
        <v>1</v>
      </c>
      <c r="J4877" t="str" cm="1">
        <f t="array" ref="J4877">_xlfn.IFS(I4877&lt;=3,"small",I4877&lt;=6,"Medium",I4877&lt;=9,"Large")</f>
        <v>small</v>
      </c>
      <c r="K4877" s="36">
        <v>45195</v>
      </c>
      <c r="L4877" s="36">
        <v>45196</v>
      </c>
      <c r="M4877" t="s">
        <v>612</v>
      </c>
      <c r="N4877" t="s">
        <v>604</v>
      </c>
      <c r="O4877" s="37" t="str">
        <f t="shared" si="383"/>
        <v>Digital Payment</v>
      </c>
      <c r="P4877">
        <v>967.72</v>
      </c>
      <c r="Q4877" s="37" t="str">
        <f>IF(P4877&gt;500,"High","low")</f>
        <v>High</v>
      </c>
      <c r="R4877" s="37" t="str">
        <f t="shared" si="384"/>
        <v>Good</v>
      </c>
      <c r="S4877" t="s">
        <v>605</v>
      </c>
    </row>
    <row r="4878" spans="1:19" x14ac:dyDescent="0.2">
      <c r="A4878" t="s">
        <v>5489</v>
      </c>
      <c r="B4878" t="s">
        <v>67</v>
      </c>
      <c r="C4878" t="s">
        <v>617</v>
      </c>
      <c r="D4878">
        <v>408.37</v>
      </c>
      <c r="E4878" s="37" t="str">
        <f t="shared" si="380"/>
        <v xml:space="preserve"> </v>
      </c>
      <c r="F4878">
        <v>0.02</v>
      </c>
      <c r="G4878" s="37" t="str">
        <f t="shared" si="381"/>
        <v>Normal Discount</v>
      </c>
      <c r="H4878" s="37" t="str">
        <f t="shared" si="382"/>
        <v>Low</v>
      </c>
      <c r="I4878">
        <v>1</v>
      </c>
      <c r="J4878" t="str" cm="1">
        <f t="array" ref="J4878">_xlfn.IFS(I4878&lt;=3,"small",I4878&lt;=6,"Medium",I4878&lt;=9,"Large")</f>
        <v>small</v>
      </c>
      <c r="K4878" s="36">
        <v>45050</v>
      </c>
      <c r="L4878" s="36">
        <v>45054</v>
      </c>
      <c r="M4878" t="s">
        <v>603</v>
      </c>
      <c r="N4878" t="s">
        <v>599</v>
      </c>
      <c r="O4878" s="37" t="str">
        <f t="shared" si="383"/>
        <v>Digital Payment</v>
      </c>
      <c r="P4878">
        <v>97.09</v>
      </c>
      <c r="Q4878" s="37" t="str">
        <f>IF(P4878&gt;500,"High","low")</f>
        <v>low</v>
      </c>
      <c r="R4878" s="37" t="str">
        <f t="shared" si="384"/>
        <v>AVERAGE</v>
      </c>
      <c r="S4878" t="s">
        <v>609</v>
      </c>
    </row>
    <row r="4879" spans="1:19" x14ac:dyDescent="0.2">
      <c r="A4879" t="s">
        <v>5490</v>
      </c>
      <c r="B4879" t="s">
        <v>75</v>
      </c>
      <c r="C4879" t="s">
        <v>597</v>
      </c>
      <c r="D4879">
        <v>2964.1</v>
      </c>
      <c r="E4879" s="37" t="str">
        <f t="shared" si="380"/>
        <v xml:space="preserve"> </v>
      </c>
      <c r="F4879">
        <v>0.04</v>
      </c>
      <c r="G4879" s="37" t="str">
        <f t="shared" si="381"/>
        <v>Normal Discount</v>
      </c>
      <c r="H4879" s="37" t="str">
        <f t="shared" si="382"/>
        <v>Low</v>
      </c>
      <c r="I4879">
        <v>3</v>
      </c>
      <c r="J4879" t="str" cm="1">
        <f t="array" ref="J4879">_xlfn.IFS(I4879&lt;=3,"small",I4879&lt;=6,"Medium",I4879&lt;=9,"Large")</f>
        <v>small</v>
      </c>
      <c r="K4879" s="36">
        <v>45580</v>
      </c>
      <c r="L4879" s="36">
        <v>45587</v>
      </c>
      <c r="M4879" t="s">
        <v>603</v>
      </c>
      <c r="N4879" t="s">
        <v>608</v>
      </c>
      <c r="O4879" s="37" t="str">
        <f t="shared" si="383"/>
        <v>Cash Payment</v>
      </c>
      <c r="P4879">
        <v>513.95000000000005</v>
      </c>
      <c r="Q4879" s="37" t="str">
        <f>IF(P4879&gt;500,"High","low")</f>
        <v>High</v>
      </c>
      <c r="R4879" s="37" t="str">
        <f t="shared" si="384"/>
        <v>Good</v>
      </c>
      <c r="S4879" t="s">
        <v>615</v>
      </c>
    </row>
    <row r="4880" spans="1:19" x14ac:dyDescent="0.2">
      <c r="A4880" t="s">
        <v>5491</v>
      </c>
      <c r="B4880" t="s">
        <v>75</v>
      </c>
      <c r="C4880" t="s">
        <v>607</v>
      </c>
      <c r="D4880">
        <v>4753.46</v>
      </c>
      <c r="E4880" s="37" t="str">
        <f t="shared" si="380"/>
        <v xml:space="preserve"> </v>
      </c>
      <c r="F4880">
        <v>0.1</v>
      </c>
      <c r="G4880" s="37" t="str">
        <f t="shared" si="381"/>
        <v>Normal Discount</v>
      </c>
      <c r="H4880" s="37" t="str">
        <f t="shared" si="382"/>
        <v>Low</v>
      </c>
      <c r="I4880">
        <v>5</v>
      </c>
      <c r="J4880" t="str" cm="1">
        <f t="array" ref="J4880">_xlfn.IFS(I4880&lt;=3,"small",I4880&lt;=6,"Medium",I4880&lt;=9,"Large")</f>
        <v>Medium</v>
      </c>
      <c r="K4880" s="36">
        <v>45639</v>
      </c>
      <c r="L4880" s="36">
        <v>45643</v>
      </c>
      <c r="M4880" t="s">
        <v>598</v>
      </c>
      <c r="N4880" t="s">
        <v>599</v>
      </c>
      <c r="O4880" s="37" t="str">
        <f t="shared" si="383"/>
        <v>Digital Payment</v>
      </c>
      <c r="P4880">
        <v>787.48</v>
      </c>
      <c r="Q4880" s="37" t="str">
        <f>IF(P4880&gt;500,"High","low")</f>
        <v>High</v>
      </c>
      <c r="R4880" s="37" t="str">
        <f t="shared" si="384"/>
        <v>Good</v>
      </c>
      <c r="S4880" t="s">
        <v>600</v>
      </c>
    </row>
    <row r="4881" spans="1:19" x14ac:dyDescent="0.2">
      <c r="A4881" t="s">
        <v>5492</v>
      </c>
      <c r="B4881" t="s">
        <v>75</v>
      </c>
      <c r="C4881" t="s">
        <v>602</v>
      </c>
      <c r="D4881">
        <v>2790.5</v>
      </c>
      <c r="E4881" s="37" t="str">
        <f t="shared" si="380"/>
        <v xml:space="preserve"> </v>
      </c>
      <c r="F4881">
        <v>0.28000000000000003</v>
      </c>
      <c r="G4881" s="37" t="str">
        <f t="shared" si="381"/>
        <v>Normal Discount</v>
      </c>
      <c r="H4881" s="37" t="str">
        <f t="shared" si="382"/>
        <v>Medium</v>
      </c>
      <c r="I4881">
        <v>6</v>
      </c>
      <c r="J4881" t="str" cm="1">
        <f t="array" ref="J4881">_xlfn.IFS(I4881&lt;=3,"small",I4881&lt;=6,"Medium",I4881&lt;=9,"Large")</f>
        <v>Medium</v>
      </c>
      <c r="K4881" s="36">
        <v>44980</v>
      </c>
      <c r="L4881" s="36">
        <v>44987</v>
      </c>
      <c r="M4881" t="s">
        <v>603</v>
      </c>
      <c r="N4881" t="s">
        <v>599</v>
      </c>
      <c r="O4881" s="37" t="str">
        <f t="shared" si="383"/>
        <v>Digital Payment</v>
      </c>
      <c r="P4881">
        <v>373.88</v>
      </c>
      <c r="Q4881" s="37" t="str">
        <f>IF(P4881&gt;500,"High","low")</f>
        <v>low</v>
      </c>
      <c r="R4881" s="37" t="str">
        <f t="shared" si="384"/>
        <v>AVERAGE</v>
      </c>
      <c r="S4881" t="s">
        <v>620</v>
      </c>
    </row>
    <row r="4882" spans="1:19" x14ac:dyDescent="0.2">
      <c r="A4882" t="s">
        <v>5493</v>
      </c>
      <c r="B4882" t="s">
        <v>75</v>
      </c>
      <c r="C4882" t="s">
        <v>617</v>
      </c>
      <c r="D4882">
        <v>2330.02</v>
      </c>
      <c r="E4882" s="37" t="str">
        <f t="shared" si="380"/>
        <v xml:space="preserve"> </v>
      </c>
      <c r="F4882">
        <v>0.5</v>
      </c>
      <c r="G4882" s="37" t="str">
        <f t="shared" si="381"/>
        <v>Heavy Discount</v>
      </c>
      <c r="H4882" s="37" t="str">
        <f t="shared" si="382"/>
        <v>High</v>
      </c>
      <c r="I4882">
        <v>9</v>
      </c>
      <c r="J4882" t="str" cm="1">
        <f t="array" ref="J4882">_xlfn.IFS(I4882&lt;=3,"small",I4882&lt;=6,"Medium",I4882&lt;=9,"Large")</f>
        <v>Large</v>
      </c>
      <c r="K4882" s="36">
        <v>45352</v>
      </c>
      <c r="L4882" s="36">
        <v>45354</v>
      </c>
      <c r="M4882" t="s">
        <v>603</v>
      </c>
      <c r="N4882" t="s">
        <v>604</v>
      </c>
      <c r="O4882" s="37" t="str">
        <f t="shared" si="383"/>
        <v>Digital Payment</v>
      </c>
      <c r="P4882">
        <v>525.37</v>
      </c>
      <c r="Q4882" s="37" t="str">
        <f>IF(P4882&gt;500,"High","low")</f>
        <v>High</v>
      </c>
      <c r="R4882" s="37" t="str">
        <f t="shared" si="384"/>
        <v>Good</v>
      </c>
      <c r="S4882" t="s">
        <v>615</v>
      </c>
    </row>
    <row r="4883" spans="1:19" x14ac:dyDescent="0.2">
      <c r="A4883" t="s">
        <v>5494</v>
      </c>
      <c r="B4883" t="s">
        <v>75</v>
      </c>
      <c r="C4883" t="s">
        <v>614</v>
      </c>
      <c r="D4883">
        <v>756.2</v>
      </c>
      <c r="E4883" s="37" t="str">
        <f t="shared" si="380"/>
        <v xml:space="preserve"> </v>
      </c>
      <c r="F4883">
        <v>0.42</v>
      </c>
      <c r="G4883" s="37" t="str">
        <f t="shared" si="381"/>
        <v>Heavy Discount</v>
      </c>
      <c r="H4883" s="37" t="str">
        <f t="shared" si="382"/>
        <v>High</v>
      </c>
      <c r="I4883">
        <v>9</v>
      </c>
      <c r="J4883" t="str" cm="1">
        <f t="array" ref="J4883">_xlfn.IFS(I4883&lt;=3,"small",I4883&lt;=6,"Medium",I4883&lt;=9,"Large")</f>
        <v>Large</v>
      </c>
      <c r="K4883" s="36">
        <v>45009</v>
      </c>
      <c r="L4883" s="36">
        <v>45011</v>
      </c>
      <c r="M4883" t="s">
        <v>598</v>
      </c>
      <c r="N4883" t="s">
        <v>604</v>
      </c>
      <c r="O4883" s="37" t="str">
        <f t="shared" si="383"/>
        <v>Digital Payment</v>
      </c>
      <c r="P4883">
        <v>137.15</v>
      </c>
      <c r="Q4883" s="37" t="str">
        <f>IF(P4883&gt;500,"High","low")</f>
        <v>low</v>
      </c>
      <c r="R4883" s="37" t="str">
        <f t="shared" si="384"/>
        <v>AVERAGE</v>
      </c>
      <c r="S4883" t="s">
        <v>609</v>
      </c>
    </row>
    <row r="4884" spans="1:19" x14ac:dyDescent="0.2">
      <c r="A4884" t="s">
        <v>5495</v>
      </c>
      <c r="B4884" t="s">
        <v>83</v>
      </c>
      <c r="C4884" t="s">
        <v>597</v>
      </c>
      <c r="D4884">
        <v>4069.93</v>
      </c>
      <c r="E4884" s="37" t="str">
        <f t="shared" si="380"/>
        <v xml:space="preserve"> </v>
      </c>
      <c r="F4884">
        <v>0.04</v>
      </c>
      <c r="G4884" s="37" t="str">
        <f t="shared" si="381"/>
        <v>Normal Discount</v>
      </c>
      <c r="H4884" s="37" t="str">
        <f t="shared" si="382"/>
        <v>Low</v>
      </c>
      <c r="I4884">
        <v>1</v>
      </c>
      <c r="J4884" t="str" cm="1">
        <f t="array" ref="J4884">_xlfn.IFS(I4884&lt;=3,"small",I4884&lt;=6,"Medium",I4884&lt;=9,"Large")</f>
        <v>small</v>
      </c>
      <c r="K4884" s="36">
        <v>45544</v>
      </c>
      <c r="L4884" s="36">
        <v>45545</v>
      </c>
      <c r="M4884" t="s">
        <v>612</v>
      </c>
      <c r="N4884" t="s">
        <v>604</v>
      </c>
      <c r="O4884" s="37" t="str">
        <f t="shared" si="383"/>
        <v>Digital Payment</v>
      </c>
      <c r="P4884">
        <v>637.86</v>
      </c>
      <c r="Q4884" s="37" t="str">
        <f>IF(P4884&gt;500,"High","low")</f>
        <v>High</v>
      </c>
      <c r="R4884" s="37" t="str">
        <f t="shared" si="384"/>
        <v>Good</v>
      </c>
      <c r="S4884" t="s">
        <v>600</v>
      </c>
    </row>
    <row r="4885" spans="1:19" x14ac:dyDescent="0.2">
      <c r="A4885" t="s">
        <v>5496</v>
      </c>
      <c r="B4885" t="s">
        <v>75</v>
      </c>
      <c r="C4885" t="s">
        <v>602</v>
      </c>
      <c r="D4885">
        <v>1931.59</v>
      </c>
      <c r="E4885" s="37" t="str">
        <f t="shared" si="380"/>
        <v xml:space="preserve"> </v>
      </c>
      <c r="F4885">
        <v>0.42</v>
      </c>
      <c r="G4885" s="37" t="str">
        <f t="shared" si="381"/>
        <v>Heavy Discount</v>
      </c>
      <c r="H4885" s="37" t="str">
        <f t="shared" si="382"/>
        <v>High</v>
      </c>
      <c r="I4885">
        <v>2</v>
      </c>
      <c r="J4885" t="str" cm="1">
        <f t="array" ref="J4885">_xlfn.IFS(I4885&lt;=3,"small",I4885&lt;=6,"Medium",I4885&lt;=9,"Large")</f>
        <v>small</v>
      </c>
      <c r="K4885" s="36">
        <v>45549</v>
      </c>
      <c r="L4885" s="36">
        <v>45552</v>
      </c>
      <c r="M4885" t="s">
        <v>603</v>
      </c>
      <c r="N4885" t="s">
        <v>608</v>
      </c>
      <c r="O4885" s="37" t="str">
        <f t="shared" si="383"/>
        <v>Cash Payment</v>
      </c>
      <c r="P4885">
        <v>169.82</v>
      </c>
      <c r="Q4885" s="37" t="str">
        <f>IF(P4885&gt;500,"High","low")</f>
        <v>low</v>
      </c>
      <c r="R4885" s="37" t="str">
        <f t="shared" si="384"/>
        <v>AVERAGE</v>
      </c>
      <c r="S4885" t="s">
        <v>615</v>
      </c>
    </row>
    <row r="4886" spans="1:19" x14ac:dyDescent="0.2">
      <c r="A4886" t="s">
        <v>5497</v>
      </c>
      <c r="B4886" t="s">
        <v>83</v>
      </c>
      <c r="C4886" t="s">
        <v>614</v>
      </c>
      <c r="D4886">
        <v>3536.1</v>
      </c>
      <c r="E4886" s="37" t="str">
        <f t="shared" si="380"/>
        <v xml:space="preserve"> </v>
      </c>
      <c r="F4886">
        <v>0.27</v>
      </c>
      <c r="G4886" s="37" t="str">
        <f t="shared" si="381"/>
        <v>Normal Discount</v>
      </c>
      <c r="H4886" s="37" t="str">
        <f t="shared" si="382"/>
        <v>Medium</v>
      </c>
      <c r="I4886">
        <v>8</v>
      </c>
      <c r="J4886" t="str" cm="1">
        <f t="array" ref="J4886">_xlfn.IFS(I4886&lt;=3,"small",I4886&lt;=6,"Medium",I4886&lt;=9,"Large")</f>
        <v>Large</v>
      </c>
      <c r="K4886" s="36">
        <v>45299</v>
      </c>
      <c r="L4886" s="36">
        <v>45301</v>
      </c>
      <c r="M4886" t="s">
        <v>598</v>
      </c>
      <c r="N4886" t="s">
        <v>604</v>
      </c>
      <c r="O4886" s="37" t="str">
        <f t="shared" si="383"/>
        <v>Digital Payment</v>
      </c>
      <c r="P4886">
        <v>767.02</v>
      </c>
      <c r="Q4886" s="37" t="str">
        <f>IF(P4886&gt;500,"High","low")</f>
        <v>High</v>
      </c>
      <c r="R4886" s="37" t="str">
        <f t="shared" si="384"/>
        <v>Good</v>
      </c>
      <c r="S4886" t="s">
        <v>609</v>
      </c>
    </row>
    <row r="4887" spans="1:19" x14ac:dyDescent="0.2">
      <c r="A4887" t="s">
        <v>5498</v>
      </c>
      <c r="B4887" t="s">
        <v>75</v>
      </c>
      <c r="C4887" t="s">
        <v>614</v>
      </c>
      <c r="D4887">
        <v>1067.98</v>
      </c>
      <c r="E4887" s="37" t="str">
        <f t="shared" si="380"/>
        <v xml:space="preserve"> </v>
      </c>
      <c r="F4887">
        <v>0.33</v>
      </c>
      <c r="G4887" s="37" t="str">
        <f t="shared" si="381"/>
        <v>Heavy Discount</v>
      </c>
      <c r="H4887" s="37" t="str">
        <f t="shared" si="382"/>
        <v>Medium</v>
      </c>
      <c r="I4887">
        <v>5</v>
      </c>
      <c r="J4887" t="str" cm="1">
        <f t="array" ref="J4887">_xlfn.IFS(I4887&lt;=3,"small",I4887&lt;=6,"Medium",I4887&lt;=9,"Large")</f>
        <v>Medium</v>
      </c>
      <c r="K4887" s="36">
        <v>45436</v>
      </c>
      <c r="L4887" s="36">
        <v>45439</v>
      </c>
      <c r="M4887" t="s">
        <v>612</v>
      </c>
      <c r="N4887" t="s">
        <v>604</v>
      </c>
      <c r="O4887" s="37" t="str">
        <f t="shared" si="383"/>
        <v>Digital Payment</v>
      </c>
      <c r="P4887">
        <v>170.06</v>
      </c>
      <c r="Q4887" s="37" t="str">
        <f>IF(P4887&gt;500,"High","low")</f>
        <v>low</v>
      </c>
      <c r="R4887" s="37" t="str">
        <f t="shared" si="384"/>
        <v>AVERAGE</v>
      </c>
      <c r="S4887" t="s">
        <v>620</v>
      </c>
    </row>
    <row r="4888" spans="1:19" x14ac:dyDescent="0.2">
      <c r="A4888" t="s">
        <v>5499</v>
      </c>
      <c r="B4888" t="s">
        <v>90</v>
      </c>
      <c r="C4888" t="s">
        <v>607</v>
      </c>
      <c r="D4888">
        <v>305.13</v>
      </c>
      <c r="E4888" s="37" t="str">
        <f t="shared" si="380"/>
        <v xml:space="preserve"> </v>
      </c>
      <c r="F4888">
        <v>0.06</v>
      </c>
      <c r="G4888" s="37" t="str">
        <f t="shared" si="381"/>
        <v>Normal Discount</v>
      </c>
      <c r="H4888" s="37" t="str">
        <f t="shared" si="382"/>
        <v>Low</v>
      </c>
      <c r="I4888">
        <v>3</v>
      </c>
      <c r="J4888" t="str" cm="1">
        <f t="array" ref="J4888">_xlfn.IFS(I4888&lt;=3,"small",I4888&lt;=6,"Medium",I4888&lt;=9,"Large")</f>
        <v>small</v>
      </c>
      <c r="K4888" s="36">
        <v>45152</v>
      </c>
      <c r="L4888" s="36">
        <v>45156</v>
      </c>
      <c r="M4888" t="s">
        <v>612</v>
      </c>
      <c r="N4888" t="s">
        <v>604</v>
      </c>
      <c r="O4888" s="37" t="str">
        <f t="shared" si="383"/>
        <v>Digital Payment</v>
      </c>
      <c r="P4888">
        <v>23.21</v>
      </c>
      <c r="Q4888" s="37" t="str">
        <f>IF(P4888&gt;500,"High","low")</f>
        <v>low</v>
      </c>
      <c r="R4888" s="37" t="str">
        <f t="shared" si="384"/>
        <v>AVERAGE</v>
      </c>
      <c r="S4888" t="s">
        <v>628</v>
      </c>
    </row>
    <row r="4889" spans="1:19" x14ac:dyDescent="0.2">
      <c r="A4889" t="s">
        <v>5500</v>
      </c>
      <c r="B4889" t="s">
        <v>90</v>
      </c>
      <c r="C4889" t="s">
        <v>602</v>
      </c>
      <c r="D4889">
        <v>1596.79</v>
      </c>
      <c r="E4889" s="37" t="str">
        <f t="shared" si="380"/>
        <v xml:space="preserve"> </v>
      </c>
      <c r="F4889">
        <v>0.2</v>
      </c>
      <c r="G4889" s="37" t="str">
        <f t="shared" si="381"/>
        <v>Normal Discount</v>
      </c>
      <c r="H4889" s="37" t="str">
        <f t="shared" si="382"/>
        <v>Medium</v>
      </c>
      <c r="I4889">
        <v>9</v>
      </c>
      <c r="J4889" t="str" cm="1">
        <f t="array" ref="J4889">_xlfn.IFS(I4889&lt;=3,"small",I4889&lt;=6,"Medium",I4889&lt;=9,"Large")</f>
        <v>Large</v>
      </c>
      <c r="K4889" s="36">
        <v>45218</v>
      </c>
      <c r="L4889" s="36">
        <v>45224</v>
      </c>
      <c r="M4889" t="s">
        <v>612</v>
      </c>
      <c r="N4889" t="s">
        <v>599</v>
      </c>
      <c r="O4889" s="37" t="str">
        <f t="shared" si="383"/>
        <v>Digital Payment</v>
      </c>
      <c r="P4889">
        <v>216.74</v>
      </c>
      <c r="Q4889" s="37" t="str">
        <f>IF(P4889&gt;500,"High","low")</f>
        <v>low</v>
      </c>
      <c r="R4889" s="37" t="str">
        <f t="shared" si="384"/>
        <v>AVERAGE</v>
      </c>
      <c r="S4889" t="s">
        <v>620</v>
      </c>
    </row>
    <row r="4890" spans="1:19" x14ac:dyDescent="0.2">
      <c r="A4890" t="s">
        <v>5501</v>
      </c>
      <c r="B4890" t="s">
        <v>90</v>
      </c>
      <c r="C4890" t="s">
        <v>617</v>
      </c>
      <c r="D4890">
        <v>1478.93</v>
      </c>
      <c r="E4890" s="37" t="str">
        <f t="shared" si="380"/>
        <v xml:space="preserve"> </v>
      </c>
      <c r="F4890">
        <v>0.44</v>
      </c>
      <c r="G4890" s="37" t="str">
        <f t="shared" si="381"/>
        <v>Heavy Discount</v>
      </c>
      <c r="H4890" s="37" t="str">
        <f t="shared" si="382"/>
        <v>High</v>
      </c>
      <c r="I4890">
        <v>2</v>
      </c>
      <c r="J4890" t="str" cm="1">
        <f t="array" ref="J4890">_xlfn.IFS(I4890&lt;=3,"small",I4890&lt;=6,"Medium",I4890&lt;=9,"Large")</f>
        <v>small</v>
      </c>
      <c r="K4890" s="36">
        <v>44935</v>
      </c>
      <c r="L4890" s="36">
        <v>44939</v>
      </c>
      <c r="M4890" t="s">
        <v>612</v>
      </c>
      <c r="N4890" t="s">
        <v>608</v>
      </c>
      <c r="O4890" s="37" t="str">
        <f t="shared" si="383"/>
        <v>Cash Payment</v>
      </c>
      <c r="P4890">
        <v>90.83</v>
      </c>
      <c r="Q4890" s="37" t="str">
        <f>IF(P4890&gt;500,"High","low")</f>
        <v>low</v>
      </c>
      <c r="R4890" s="37" t="str">
        <f t="shared" si="384"/>
        <v>AVERAGE</v>
      </c>
      <c r="S4890" t="s">
        <v>615</v>
      </c>
    </row>
    <row r="4891" spans="1:19" x14ac:dyDescent="0.2">
      <c r="A4891" t="s">
        <v>5502</v>
      </c>
      <c r="B4891" t="s">
        <v>90</v>
      </c>
      <c r="C4891" t="s">
        <v>602</v>
      </c>
      <c r="D4891">
        <v>4380.03</v>
      </c>
      <c r="E4891" s="37" t="str">
        <f t="shared" si="380"/>
        <v xml:space="preserve"> </v>
      </c>
      <c r="F4891">
        <v>0.21</v>
      </c>
      <c r="G4891" s="37" t="str">
        <f t="shared" si="381"/>
        <v>Normal Discount</v>
      </c>
      <c r="H4891" s="37" t="str">
        <f t="shared" si="382"/>
        <v>Medium</v>
      </c>
      <c r="I4891">
        <v>7</v>
      </c>
      <c r="J4891" t="str" cm="1">
        <f t="array" ref="J4891">_xlfn.IFS(I4891&lt;=3,"small",I4891&lt;=6,"Medium",I4891&lt;=9,"Large")</f>
        <v>Large</v>
      </c>
      <c r="K4891" s="36">
        <v>45646</v>
      </c>
      <c r="L4891" s="36">
        <v>45647</v>
      </c>
      <c r="M4891" t="s">
        <v>598</v>
      </c>
      <c r="N4891" t="s">
        <v>604</v>
      </c>
      <c r="O4891" s="37" t="str">
        <f t="shared" si="383"/>
        <v>Digital Payment</v>
      </c>
      <c r="P4891">
        <v>353.96</v>
      </c>
      <c r="Q4891" s="37" t="str">
        <f>IF(P4891&gt;500,"High","low")</f>
        <v>low</v>
      </c>
      <c r="R4891" s="37" t="str">
        <f t="shared" si="384"/>
        <v>AVERAGE</v>
      </c>
      <c r="S4891" t="s">
        <v>615</v>
      </c>
    </row>
    <row r="4892" spans="1:19" x14ac:dyDescent="0.2">
      <c r="A4892" t="s">
        <v>5503</v>
      </c>
      <c r="B4892" t="s">
        <v>83</v>
      </c>
      <c r="C4892" t="s">
        <v>602</v>
      </c>
      <c r="D4892">
        <v>4336.8999999999996</v>
      </c>
      <c r="E4892" s="37" t="str">
        <f t="shared" si="380"/>
        <v>Excellent Order</v>
      </c>
      <c r="F4892">
        <v>0.06</v>
      </c>
      <c r="G4892" s="37" t="str">
        <f t="shared" si="381"/>
        <v>Normal Discount</v>
      </c>
      <c r="H4892" s="37" t="str">
        <f t="shared" si="382"/>
        <v>Low</v>
      </c>
      <c r="I4892">
        <v>8</v>
      </c>
      <c r="J4892" t="str" cm="1">
        <f t="array" ref="J4892">_xlfn.IFS(I4892&lt;=3,"small",I4892&lt;=6,"Medium",I4892&lt;=9,"Large")</f>
        <v>Large</v>
      </c>
      <c r="K4892" s="36">
        <v>45581</v>
      </c>
      <c r="L4892" s="36">
        <v>45582</v>
      </c>
      <c r="M4892" t="s">
        <v>612</v>
      </c>
      <c r="N4892" t="s">
        <v>604</v>
      </c>
      <c r="O4892" s="37" t="str">
        <f t="shared" si="383"/>
        <v>Digital Payment</v>
      </c>
      <c r="P4892">
        <v>1294.0999999999999</v>
      </c>
      <c r="Q4892" s="37" t="str">
        <f>IF(P4892&gt;500,"High","low")</f>
        <v>High</v>
      </c>
      <c r="R4892" s="37" t="str">
        <f t="shared" si="384"/>
        <v>Excellent</v>
      </c>
      <c r="S4892" t="s">
        <v>628</v>
      </c>
    </row>
    <row r="4893" spans="1:19" x14ac:dyDescent="0.2">
      <c r="A4893" t="s">
        <v>5504</v>
      </c>
      <c r="B4893" t="s">
        <v>83</v>
      </c>
      <c r="C4893" t="s">
        <v>614</v>
      </c>
      <c r="D4893">
        <v>2716.08</v>
      </c>
      <c r="E4893" s="37" t="str">
        <f t="shared" si="380"/>
        <v xml:space="preserve"> </v>
      </c>
      <c r="F4893">
        <v>0.16</v>
      </c>
      <c r="G4893" s="37" t="str">
        <f t="shared" si="381"/>
        <v>Normal Discount</v>
      </c>
      <c r="H4893" s="37" t="str">
        <f t="shared" si="382"/>
        <v>Low</v>
      </c>
      <c r="I4893">
        <v>2</v>
      </c>
      <c r="J4893" t="str" cm="1">
        <f t="array" ref="J4893">_xlfn.IFS(I4893&lt;=3,"small",I4893&lt;=6,"Medium",I4893&lt;=9,"Large")</f>
        <v>small</v>
      </c>
      <c r="K4893" s="36">
        <v>45437</v>
      </c>
      <c r="L4893" s="36">
        <v>45443</v>
      </c>
      <c r="M4893" t="s">
        <v>598</v>
      </c>
      <c r="N4893" t="s">
        <v>608</v>
      </c>
      <c r="O4893" s="37" t="str">
        <f t="shared" si="383"/>
        <v>Cash Payment</v>
      </c>
      <c r="P4893">
        <v>673.16</v>
      </c>
      <c r="Q4893" s="37" t="str">
        <f>IF(P4893&gt;500,"High","low")</f>
        <v>High</v>
      </c>
      <c r="R4893" s="37" t="str">
        <f t="shared" si="384"/>
        <v>Good</v>
      </c>
      <c r="S4893" t="s">
        <v>628</v>
      </c>
    </row>
    <row r="4894" spans="1:19" x14ac:dyDescent="0.2">
      <c r="A4894" t="s">
        <v>5505</v>
      </c>
      <c r="B4894" t="s">
        <v>67</v>
      </c>
      <c r="C4894" t="s">
        <v>607</v>
      </c>
      <c r="D4894">
        <v>193.09</v>
      </c>
      <c r="E4894" s="37" t="str">
        <f t="shared" si="380"/>
        <v xml:space="preserve"> </v>
      </c>
      <c r="F4894">
        <v>0.11</v>
      </c>
      <c r="G4894" s="37" t="str">
        <f t="shared" si="381"/>
        <v>Normal Discount</v>
      </c>
      <c r="H4894" s="37" t="str">
        <f t="shared" si="382"/>
        <v>Low</v>
      </c>
      <c r="I4894">
        <v>1</v>
      </c>
      <c r="J4894" t="str" cm="1">
        <f t="array" ref="J4894">_xlfn.IFS(I4894&lt;=3,"small",I4894&lt;=6,"Medium",I4894&lt;=9,"Large")</f>
        <v>small</v>
      </c>
      <c r="K4894" s="36">
        <v>44990</v>
      </c>
      <c r="L4894" s="36">
        <v>44994</v>
      </c>
      <c r="M4894" t="s">
        <v>612</v>
      </c>
      <c r="N4894" t="s">
        <v>599</v>
      </c>
      <c r="O4894" s="37" t="str">
        <f t="shared" si="383"/>
        <v>Digital Payment</v>
      </c>
      <c r="P4894">
        <v>57.34</v>
      </c>
      <c r="Q4894" s="37" t="str">
        <f>IF(P4894&gt;500,"High","low")</f>
        <v>low</v>
      </c>
      <c r="R4894" s="37" t="str">
        <f t="shared" si="384"/>
        <v>AVERAGE</v>
      </c>
      <c r="S4894" t="s">
        <v>600</v>
      </c>
    </row>
    <row r="4895" spans="1:19" x14ac:dyDescent="0.2">
      <c r="A4895" t="s">
        <v>5506</v>
      </c>
      <c r="B4895" t="s">
        <v>75</v>
      </c>
      <c r="C4895" t="s">
        <v>607</v>
      </c>
      <c r="D4895">
        <v>1218.79</v>
      </c>
      <c r="E4895" s="37" t="str">
        <f t="shared" si="380"/>
        <v xml:space="preserve"> </v>
      </c>
      <c r="F4895">
        <v>0.34</v>
      </c>
      <c r="G4895" s="37" t="str">
        <f t="shared" si="381"/>
        <v>Heavy Discount</v>
      </c>
      <c r="H4895" s="37" t="str">
        <f t="shared" si="382"/>
        <v>Medium</v>
      </c>
      <c r="I4895">
        <v>3</v>
      </c>
      <c r="J4895" t="str" cm="1">
        <f t="array" ref="J4895">_xlfn.IFS(I4895&lt;=3,"small",I4895&lt;=6,"Medium",I4895&lt;=9,"Large")</f>
        <v>small</v>
      </c>
      <c r="K4895" s="36">
        <v>45421</v>
      </c>
      <c r="L4895" s="36">
        <v>45424</v>
      </c>
      <c r="M4895" t="s">
        <v>598</v>
      </c>
      <c r="N4895" t="s">
        <v>604</v>
      </c>
      <c r="O4895" s="37" t="str">
        <f t="shared" si="383"/>
        <v>Digital Payment</v>
      </c>
      <c r="P4895">
        <v>347.51</v>
      </c>
      <c r="Q4895" s="37" t="str">
        <f>IF(P4895&gt;500,"High","low")</f>
        <v>low</v>
      </c>
      <c r="R4895" s="37" t="str">
        <f t="shared" si="384"/>
        <v>AVERAGE</v>
      </c>
      <c r="S4895" t="s">
        <v>628</v>
      </c>
    </row>
    <row r="4896" spans="1:19" x14ac:dyDescent="0.2">
      <c r="A4896" t="s">
        <v>5507</v>
      </c>
      <c r="B4896" t="s">
        <v>90</v>
      </c>
      <c r="C4896" t="s">
        <v>602</v>
      </c>
      <c r="D4896">
        <v>3231.16</v>
      </c>
      <c r="E4896" s="37" t="str">
        <f t="shared" si="380"/>
        <v xml:space="preserve"> </v>
      </c>
      <c r="F4896">
        <v>0.46</v>
      </c>
      <c r="G4896" s="37" t="str">
        <f t="shared" si="381"/>
        <v>Heavy Discount</v>
      </c>
      <c r="H4896" s="37" t="str">
        <f t="shared" si="382"/>
        <v>High</v>
      </c>
      <c r="I4896">
        <v>8</v>
      </c>
      <c r="J4896" t="str" cm="1">
        <f t="array" ref="J4896">_xlfn.IFS(I4896&lt;=3,"small",I4896&lt;=6,"Medium",I4896&lt;=9,"Large")</f>
        <v>Large</v>
      </c>
      <c r="K4896" s="36">
        <v>44974</v>
      </c>
      <c r="L4896" s="36">
        <v>44977</v>
      </c>
      <c r="M4896" t="s">
        <v>612</v>
      </c>
      <c r="N4896" t="s">
        <v>604</v>
      </c>
      <c r="O4896" s="37" t="str">
        <f t="shared" si="383"/>
        <v>Digital Payment</v>
      </c>
      <c r="P4896">
        <v>935.21</v>
      </c>
      <c r="Q4896" s="37" t="str">
        <f>IF(P4896&gt;500,"High","low")</f>
        <v>High</v>
      </c>
      <c r="R4896" s="37" t="str">
        <f t="shared" si="384"/>
        <v>Good</v>
      </c>
      <c r="S4896" t="s">
        <v>628</v>
      </c>
    </row>
    <row r="4897" spans="1:19" x14ac:dyDescent="0.2">
      <c r="A4897" t="s">
        <v>5508</v>
      </c>
      <c r="B4897" t="s">
        <v>83</v>
      </c>
      <c r="C4897" t="s">
        <v>602</v>
      </c>
      <c r="D4897">
        <v>596.9</v>
      </c>
      <c r="E4897" s="37" t="str">
        <f t="shared" si="380"/>
        <v xml:space="preserve"> </v>
      </c>
      <c r="F4897">
        <v>0.37</v>
      </c>
      <c r="G4897" s="37" t="str">
        <f t="shared" si="381"/>
        <v>Heavy Discount</v>
      </c>
      <c r="H4897" s="37" t="str">
        <f t="shared" si="382"/>
        <v>Medium</v>
      </c>
      <c r="I4897">
        <v>4</v>
      </c>
      <c r="J4897" t="str" cm="1">
        <f t="array" ref="J4897">_xlfn.IFS(I4897&lt;=3,"small",I4897&lt;=6,"Medium",I4897&lt;=9,"Large")</f>
        <v>Medium</v>
      </c>
      <c r="K4897" s="36">
        <v>45093</v>
      </c>
      <c r="L4897" s="36">
        <v>45097</v>
      </c>
      <c r="M4897" t="s">
        <v>598</v>
      </c>
      <c r="N4897" t="s">
        <v>599</v>
      </c>
      <c r="O4897" s="37" t="str">
        <f t="shared" si="383"/>
        <v>Digital Payment</v>
      </c>
      <c r="P4897">
        <v>101.29</v>
      </c>
      <c r="Q4897" s="37" t="str">
        <f>IF(P4897&gt;500,"High","low")</f>
        <v>low</v>
      </c>
      <c r="R4897" s="37" t="str">
        <f t="shared" si="384"/>
        <v>AVERAGE</v>
      </c>
      <c r="S4897" t="s">
        <v>628</v>
      </c>
    </row>
    <row r="4898" spans="1:19" x14ac:dyDescent="0.2">
      <c r="A4898" t="s">
        <v>5509</v>
      </c>
      <c r="B4898" t="s">
        <v>75</v>
      </c>
      <c r="C4898" t="s">
        <v>597</v>
      </c>
      <c r="D4898">
        <v>3533.05</v>
      </c>
      <c r="E4898" s="37" t="str">
        <f t="shared" si="380"/>
        <v xml:space="preserve"> </v>
      </c>
      <c r="F4898">
        <v>0.42</v>
      </c>
      <c r="G4898" s="37" t="str">
        <f t="shared" si="381"/>
        <v>Heavy Discount</v>
      </c>
      <c r="H4898" s="37" t="str">
        <f t="shared" si="382"/>
        <v>High</v>
      </c>
      <c r="I4898">
        <v>5</v>
      </c>
      <c r="J4898" t="str" cm="1">
        <f t="array" ref="J4898">_xlfn.IFS(I4898&lt;=3,"small",I4898&lt;=6,"Medium",I4898&lt;=9,"Large")</f>
        <v>Medium</v>
      </c>
      <c r="K4898" s="36">
        <v>45591</v>
      </c>
      <c r="L4898" s="36">
        <v>45596</v>
      </c>
      <c r="M4898" t="s">
        <v>603</v>
      </c>
      <c r="N4898" t="s">
        <v>599</v>
      </c>
      <c r="O4898" s="37" t="str">
        <f t="shared" si="383"/>
        <v>Digital Payment</v>
      </c>
      <c r="P4898">
        <v>774.71</v>
      </c>
      <c r="Q4898" s="37" t="str">
        <f>IF(P4898&gt;500,"High","low")</f>
        <v>High</v>
      </c>
      <c r="R4898" s="37" t="str">
        <f t="shared" si="384"/>
        <v>Good</v>
      </c>
      <c r="S4898" t="s">
        <v>620</v>
      </c>
    </row>
    <row r="4899" spans="1:19" x14ac:dyDescent="0.2">
      <c r="A4899" t="s">
        <v>5510</v>
      </c>
      <c r="B4899" t="s">
        <v>75</v>
      </c>
      <c r="C4899" t="s">
        <v>614</v>
      </c>
      <c r="D4899">
        <v>158.62</v>
      </c>
      <c r="E4899" s="37" t="str">
        <f t="shared" si="380"/>
        <v xml:space="preserve"> </v>
      </c>
      <c r="F4899">
        <v>0.4</v>
      </c>
      <c r="G4899" s="37" t="str">
        <f t="shared" si="381"/>
        <v>Heavy Discount</v>
      </c>
      <c r="H4899" s="37" t="str">
        <f t="shared" si="382"/>
        <v>Medium</v>
      </c>
      <c r="I4899">
        <v>9</v>
      </c>
      <c r="J4899" t="str" cm="1">
        <f t="array" ref="J4899">_xlfn.IFS(I4899&lt;=3,"small",I4899&lt;=6,"Medium",I4899&lt;=9,"Large")</f>
        <v>Large</v>
      </c>
      <c r="K4899" s="36">
        <v>45646</v>
      </c>
      <c r="L4899" s="36">
        <v>45651</v>
      </c>
      <c r="M4899" t="s">
        <v>603</v>
      </c>
      <c r="N4899" t="s">
        <v>599</v>
      </c>
      <c r="O4899" s="37" t="str">
        <f t="shared" si="383"/>
        <v>Digital Payment</v>
      </c>
      <c r="P4899">
        <v>8.42</v>
      </c>
      <c r="Q4899" s="37" t="str">
        <f>IF(P4899&gt;500,"High","low")</f>
        <v>low</v>
      </c>
      <c r="R4899" s="37" t="str">
        <f t="shared" si="384"/>
        <v>AVERAGE</v>
      </c>
      <c r="S4899" t="s">
        <v>605</v>
      </c>
    </row>
    <row r="4900" spans="1:19" x14ac:dyDescent="0.2">
      <c r="A4900" t="s">
        <v>5511</v>
      </c>
      <c r="B4900" t="s">
        <v>83</v>
      </c>
      <c r="C4900" t="s">
        <v>617</v>
      </c>
      <c r="D4900">
        <v>3444.43</v>
      </c>
      <c r="E4900" s="37" t="str">
        <f t="shared" si="380"/>
        <v xml:space="preserve"> </v>
      </c>
      <c r="F4900">
        <v>0.01</v>
      </c>
      <c r="G4900" s="37" t="str">
        <f t="shared" si="381"/>
        <v>Normal Discount</v>
      </c>
      <c r="H4900" s="37" t="str">
        <f t="shared" si="382"/>
        <v>Low</v>
      </c>
      <c r="I4900">
        <v>4</v>
      </c>
      <c r="J4900" t="str" cm="1">
        <f t="array" ref="J4900">_xlfn.IFS(I4900&lt;=3,"small",I4900&lt;=6,"Medium",I4900&lt;=9,"Large")</f>
        <v>Medium</v>
      </c>
      <c r="K4900" s="36">
        <v>45268</v>
      </c>
      <c r="L4900" s="36">
        <v>45271</v>
      </c>
      <c r="M4900" t="s">
        <v>598</v>
      </c>
      <c r="N4900" t="s">
        <v>599</v>
      </c>
      <c r="O4900" s="37" t="str">
        <f t="shared" si="383"/>
        <v>Digital Payment</v>
      </c>
      <c r="P4900">
        <v>499.31</v>
      </c>
      <c r="Q4900" s="37" t="str">
        <f>IF(P4900&gt;500,"High","low")</f>
        <v>low</v>
      </c>
      <c r="R4900" s="37" t="str">
        <f t="shared" si="384"/>
        <v>AVERAGE</v>
      </c>
      <c r="S4900" t="s">
        <v>600</v>
      </c>
    </row>
    <row r="4901" spans="1:19" x14ac:dyDescent="0.2">
      <c r="A4901" t="s">
        <v>5512</v>
      </c>
      <c r="B4901" t="s">
        <v>90</v>
      </c>
      <c r="C4901" t="s">
        <v>617</v>
      </c>
      <c r="D4901">
        <v>4238.24</v>
      </c>
      <c r="E4901" s="37" t="str">
        <f t="shared" si="380"/>
        <v>Excellent Order</v>
      </c>
      <c r="F4901">
        <v>0.06</v>
      </c>
      <c r="G4901" s="37" t="str">
        <f t="shared" si="381"/>
        <v>Normal Discount</v>
      </c>
      <c r="H4901" s="37" t="str">
        <f t="shared" si="382"/>
        <v>Low</v>
      </c>
      <c r="I4901">
        <v>9</v>
      </c>
      <c r="J4901" t="str" cm="1">
        <f t="array" ref="J4901">_xlfn.IFS(I4901&lt;=3,"small",I4901&lt;=6,"Medium",I4901&lt;=9,"Large")</f>
        <v>Large</v>
      </c>
      <c r="K4901" s="36">
        <v>45296</v>
      </c>
      <c r="L4901" s="36">
        <v>45303</v>
      </c>
      <c r="M4901" t="s">
        <v>612</v>
      </c>
      <c r="N4901" t="s">
        <v>604</v>
      </c>
      <c r="O4901" s="37" t="str">
        <f t="shared" si="383"/>
        <v>Digital Payment</v>
      </c>
      <c r="P4901">
        <v>927.51</v>
      </c>
      <c r="Q4901" s="37" t="str">
        <f>IF(P4901&gt;500,"High","low")</f>
        <v>High</v>
      </c>
      <c r="R4901" s="37" t="str">
        <f t="shared" si="384"/>
        <v>Good</v>
      </c>
      <c r="S4901" t="s">
        <v>628</v>
      </c>
    </row>
    <row r="4902" spans="1:19" x14ac:dyDescent="0.2">
      <c r="A4902" t="s">
        <v>5513</v>
      </c>
      <c r="B4902" t="s">
        <v>67</v>
      </c>
      <c r="C4902" t="s">
        <v>607</v>
      </c>
      <c r="D4902">
        <v>2399.17</v>
      </c>
      <c r="E4902" s="37" t="str">
        <f t="shared" si="380"/>
        <v xml:space="preserve"> </v>
      </c>
      <c r="F4902">
        <v>0.21</v>
      </c>
      <c r="G4902" s="37" t="str">
        <f t="shared" si="381"/>
        <v>Normal Discount</v>
      </c>
      <c r="H4902" s="37" t="str">
        <f t="shared" si="382"/>
        <v>Medium</v>
      </c>
      <c r="I4902">
        <v>6</v>
      </c>
      <c r="J4902" t="str" cm="1">
        <f t="array" ref="J4902">_xlfn.IFS(I4902&lt;=3,"small",I4902&lt;=6,"Medium",I4902&lt;=9,"Large")</f>
        <v>Medium</v>
      </c>
      <c r="K4902" s="36">
        <v>45646</v>
      </c>
      <c r="L4902" s="36">
        <v>45651</v>
      </c>
      <c r="M4902" t="s">
        <v>603</v>
      </c>
      <c r="N4902" t="s">
        <v>604</v>
      </c>
      <c r="O4902" s="37" t="str">
        <f t="shared" si="383"/>
        <v>Digital Payment</v>
      </c>
      <c r="P4902">
        <v>212.27</v>
      </c>
      <c r="Q4902" s="37" t="str">
        <f>IF(P4902&gt;500,"High","low")</f>
        <v>low</v>
      </c>
      <c r="R4902" s="37" t="str">
        <f t="shared" si="384"/>
        <v>AVERAGE</v>
      </c>
      <c r="S4902" t="s">
        <v>600</v>
      </c>
    </row>
    <row r="4903" spans="1:19" x14ac:dyDescent="0.2">
      <c r="A4903" t="s">
        <v>5514</v>
      </c>
      <c r="B4903" t="s">
        <v>75</v>
      </c>
      <c r="C4903" t="s">
        <v>614</v>
      </c>
      <c r="D4903">
        <v>4162.5</v>
      </c>
      <c r="E4903" s="37" t="str">
        <f t="shared" si="380"/>
        <v>Excellent Order</v>
      </c>
      <c r="F4903">
        <v>0.06</v>
      </c>
      <c r="G4903" s="37" t="str">
        <f t="shared" si="381"/>
        <v>Normal Discount</v>
      </c>
      <c r="H4903" s="37" t="str">
        <f t="shared" si="382"/>
        <v>Low</v>
      </c>
      <c r="I4903">
        <v>7</v>
      </c>
      <c r="J4903" t="str" cm="1">
        <f t="array" ref="J4903">_xlfn.IFS(I4903&lt;=3,"small",I4903&lt;=6,"Medium",I4903&lt;=9,"Large")</f>
        <v>Large</v>
      </c>
      <c r="K4903" s="36">
        <v>45151</v>
      </c>
      <c r="L4903" s="36">
        <v>45157</v>
      </c>
      <c r="M4903" t="s">
        <v>603</v>
      </c>
      <c r="N4903" t="s">
        <v>599</v>
      </c>
      <c r="O4903" s="37" t="str">
        <f t="shared" si="383"/>
        <v>Digital Payment</v>
      </c>
      <c r="P4903">
        <v>1139.6199999999999</v>
      </c>
      <c r="Q4903" s="37" t="str">
        <f>IF(P4903&gt;500,"High","low")</f>
        <v>High</v>
      </c>
      <c r="R4903" s="37" t="str">
        <f t="shared" si="384"/>
        <v>Excellent</v>
      </c>
      <c r="S4903" t="s">
        <v>605</v>
      </c>
    </row>
    <row r="4904" spans="1:19" x14ac:dyDescent="0.2">
      <c r="A4904" t="s">
        <v>5515</v>
      </c>
      <c r="B4904" t="s">
        <v>67</v>
      </c>
      <c r="C4904" t="s">
        <v>607</v>
      </c>
      <c r="D4904">
        <v>3929.49</v>
      </c>
      <c r="E4904" s="37" t="str">
        <f t="shared" si="380"/>
        <v xml:space="preserve"> </v>
      </c>
      <c r="F4904">
        <v>0.37</v>
      </c>
      <c r="G4904" s="37" t="str">
        <f t="shared" si="381"/>
        <v>Heavy Discount</v>
      </c>
      <c r="H4904" s="37" t="str">
        <f t="shared" si="382"/>
        <v>Medium</v>
      </c>
      <c r="I4904">
        <v>8</v>
      </c>
      <c r="J4904" t="str" cm="1">
        <f t="array" ref="J4904">_xlfn.IFS(I4904&lt;=3,"small",I4904&lt;=6,"Medium",I4904&lt;=9,"Large")</f>
        <v>Large</v>
      </c>
      <c r="K4904" s="36">
        <v>45370</v>
      </c>
      <c r="L4904" s="36">
        <v>45376</v>
      </c>
      <c r="M4904" t="s">
        <v>598</v>
      </c>
      <c r="N4904" t="s">
        <v>599</v>
      </c>
      <c r="O4904" s="37" t="str">
        <f t="shared" si="383"/>
        <v>Digital Payment</v>
      </c>
      <c r="P4904">
        <v>301.75</v>
      </c>
      <c r="Q4904" s="37" t="str">
        <f>IF(P4904&gt;500,"High","low")</f>
        <v>low</v>
      </c>
      <c r="R4904" s="37" t="str">
        <f t="shared" si="384"/>
        <v>AVERAGE</v>
      </c>
      <c r="S4904" t="s">
        <v>628</v>
      </c>
    </row>
    <row r="4905" spans="1:19" x14ac:dyDescent="0.2">
      <c r="A4905" t="s">
        <v>5516</v>
      </c>
      <c r="B4905" t="s">
        <v>90</v>
      </c>
      <c r="C4905" t="s">
        <v>617</v>
      </c>
      <c r="D4905">
        <v>3389.95</v>
      </c>
      <c r="E4905" s="37" t="str">
        <f t="shared" si="380"/>
        <v xml:space="preserve"> </v>
      </c>
      <c r="F4905">
        <v>0.04</v>
      </c>
      <c r="G4905" s="37" t="str">
        <f t="shared" si="381"/>
        <v>Normal Discount</v>
      </c>
      <c r="H4905" s="37" t="str">
        <f t="shared" si="382"/>
        <v>Low</v>
      </c>
      <c r="I4905">
        <v>1</v>
      </c>
      <c r="J4905" t="str" cm="1">
        <f t="array" ref="J4905">_xlfn.IFS(I4905&lt;=3,"small",I4905&lt;=6,"Medium",I4905&lt;=9,"Large")</f>
        <v>small</v>
      </c>
      <c r="K4905" s="36">
        <v>45301</v>
      </c>
      <c r="L4905" s="36">
        <v>45308</v>
      </c>
      <c r="M4905" t="s">
        <v>598</v>
      </c>
      <c r="N4905" t="s">
        <v>599</v>
      </c>
      <c r="O4905" s="37" t="str">
        <f t="shared" si="383"/>
        <v>Digital Payment</v>
      </c>
      <c r="P4905">
        <v>879.62</v>
      </c>
      <c r="Q4905" s="37" t="str">
        <f>IF(P4905&gt;500,"High","low")</f>
        <v>High</v>
      </c>
      <c r="R4905" s="37" t="str">
        <f t="shared" si="384"/>
        <v>Good</v>
      </c>
      <c r="S4905" t="s">
        <v>600</v>
      </c>
    </row>
    <row r="4906" spans="1:19" x14ac:dyDescent="0.2">
      <c r="A4906" t="s">
        <v>5517</v>
      </c>
      <c r="B4906" t="s">
        <v>90</v>
      </c>
      <c r="C4906" t="s">
        <v>602</v>
      </c>
      <c r="D4906">
        <v>2281.23</v>
      </c>
      <c r="E4906" s="37" t="str">
        <f t="shared" si="380"/>
        <v xml:space="preserve"> </v>
      </c>
      <c r="F4906">
        <v>0.21</v>
      </c>
      <c r="G4906" s="37" t="str">
        <f t="shared" si="381"/>
        <v>Normal Discount</v>
      </c>
      <c r="H4906" s="37" t="str">
        <f t="shared" si="382"/>
        <v>Medium</v>
      </c>
      <c r="I4906">
        <v>9</v>
      </c>
      <c r="J4906" t="str" cm="1">
        <f t="array" ref="J4906">_xlfn.IFS(I4906&lt;=3,"small",I4906&lt;=6,"Medium",I4906&lt;=9,"Large")</f>
        <v>Large</v>
      </c>
      <c r="K4906" s="36">
        <v>45189</v>
      </c>
      <c r="L4906" s="36">
        <v>45196</v>
      </c>
      <c r="M4906" t="s">
        <v>598</v>
      </c>
      <c r="N4906" t="s">
        <v>604</v>
      </c>
      <c r="O4906" s="37" t="str">
        <f t="shared" si="383"/>
        <v>Digital Payment</v>
      </c>
      <c r="P4906">
        <v>464.94</v>
      </c>
      <c r="Q4906" s="37" t="str">
        <f>IF(P4906&gt;500,"High","low")</f>
        <v>low</v>
      </c>
      <c r="R4906" s="37" t="str">
        <f t="shared" si="384"/>
        <v>AVERAGE</v>
      </c>
      <c r="S4906" t="s">
        <v>600</v>
      </c>
    </row>
    <row r="4907" spans="1:19" x14ac:dyDescent="0.2">
      <c r="A4907" t="s">
        <v>5518</v>
      </c>
      <c r="B4907" t="s">
        <v>67</v>
      </c>
      <c r="C4907" t="s">
        <v>614</v>
      </c>
      <c r="D4907">
        <v>1432.33</v>
      </c>
      <c r="E4907" s="37" t="str">
        <f t="shared" si="380"/>
        <v xml:space="preserve"> </v>
      </c>
      <c r="F4907">
        <v>0.2</v>
      </c>
      <c r="G4907" s="37" t="str">
        <f t="shared" si="381"/>
        <v>Normal Discount</v>
      </c>
      <c r="H4907" s="37" t="str">
        <f t="shared" si="382"/>
        <v>Medium</v>
      </c>
      <c r="I4907">
        <v>2</v>
      </c>
      <c r="J4907" t="str" cm="1">
        <f t="array" ref="J4907">_xlfn.IFS(I4907&lt;=3,"small",I4907&lt;=6,"Medium",I4907&lt;=9,"Large")</f>
        <v>small</v>
      </c>
      <c r="K4907" s="36">
        <v>45072</v>
      </c>
      <c r="L4907" s="36">
        <v>45074</v>
      </c>
      <c r="M4907" t="s">
        <v>598</v>
      </c>
      <c r="N4907" t="s">
        <v>608</v>
      </c>
      <c r="O4907" s="37" t="str">
        <f t="shared" si="383"/>
        <v>Cash Payment</v>
      </c>
      <c r="P4907">
        <v>379.49</v>
      </c>
      <c r="Q4907" s="37" t="str">
        <f>IF(P4907&gt;500,"High","low")</f>
        <v>low</v>
      </c>
      <c r="R4907" s="37" t="str">
        <f t="shared" si="384"/>
        <v>AVERAGE</v>
      </c>
      <c r="S4907" t="s">
        <v>628</v>
      </c>
    </row>
    <row r="4908" spans="1:19" x14ac:dyDescent="0.2">
      <c r="A4908" t="s">
        <v>5519</v>
      </c>
      <c r="B4908" t="s">
        <v>90</v>
      </c>
      <c r="C4908" t="s">
        <v>614</v>
      </c>
      <c r="D4908">
        <v>4318.2299999999996</v>
      </c>
      <c r="E4908" s="37" t="str">
        <f t="shared" si="380"/>
        <v xml:space="preserve"> </v>
      </c>
      <c r="F4908">
        <v>0.27</v>
      </c>
      <c r="G4908" s="37" t="str">
        <f t="shared" si="381"/>
        <v>Normal Discount</v>
      </c>
      <c r="H4908" s="37" t="str">
        <f t="shared" si="382"/>
        <v>Medium</v>
      </c>
      <c r="I4908">
        <v>3</v>
      </c>
      <c r="J4908" t="str" cm="1">
        <f t="array" ref="J4908">_xlfn.IFS(I4908&lt;=3,"small",I4908&lt;=6,"Medium",I4908&lt;=9,"Large")</f>
        <v>small</v>
      </c>
      <c r="K4908" s="36">
        <v>45054</v>
      </c>
      <c r="L4908" s="36">
        <v>45055</v>
      </c>
      <c r="M4908" t="s">
        <v>598</v>
      </c>
      <c r="N4908" t="s">
        <v>604</v>
      </c>
      <c r="O4908" s="37" t="str">
        <f t="shared" si="383"/>
        <v>Digital Payment</v>
      </c>
      <c r="P4908">
        <v>457.67</v>
      </c>
      <c r="Q4908" s="37" t="str">
        <f>IF(P4908&gt;500,"High","low")</f>
        <v>low</v>
      </c>
      <c r="R4908" s="37" t="str">
        <f t="shared" si="384"/>
        <v>AVERAGE</v>
      </c>
      <c r="S4908" t="s">
        <v>628</v>
      </c>
    </row>
    <row r="4909" spans="1:19" x14ac:dyDescent="0.2">
      <c r="A4909" t="s">
        <v>5520</v>
      </c>
      <c r="B4909" t="s">
        <v>75</v>
      </c>
      <c r="C4909" t="s">
        <v>597</v>
      </c>
      <c r="D4909">
        <v>3278.09</v>
      </c>
      <c r="E4909" s="37" t="str">
        <f t="shared" si="380"/>
        <v xml:space="preserve"> </v>
      </c>
      <c r="F4909">
        <v>0.31</v>
      </c>
      <c r="G4909" s="37" t="str">
        <f t="shared" si="381"/>
        <v>Heavy Discount</v>
      </c>
      <c r="H4909" s="37" t="str">
        <f t="shared" si="382"/>
        <v>Medium</v>
      </c>
      <c r="I4909">
        <v>1</v>
      </c>
      <c r="J4909" t="str" cm="1">
        <f t="array" ref="J4909">_xlfn.IFS(I4909&lt;=3,"small",I4909&lt;=6,"Medium",I4909&lt;=9,"Large")</f>
        <v>small</v>
      </c>
      <c r="K4909" s="36">
        <v>45551</v>
      </c>
      <c r="L4909" s="36">
        <v>45552</v>
      </c>
      <c r="M4909" t="s">
        <v>603</v>
      </c>
      <c r="N4909" t="s">
        <v>599</v>
      </c>
      <c r="O4909" s="37" t="str">
        <f t="shared" si="383"/>
        <v>Digital Payment</v>
      </c>
      <c r="P4909">
        <v>686.22</v>
      </c>
      <c r="Q4909" s="37" t="str">
        <f>IF(P4909&gt;500,"High","low")</f>
        <v>High</v>
      </c>
      <c r="R4909" s="37" t="str">
        <f t="shared" si="384"/>
        <v>Good</v>
      </c>
      <c r="S4909" t="s">
        <v>600</v>
      </c>
    </row>
    <row r="4910" spans="1:19" x14ac:dyDescent="0.2">
      <c r="A4910" t="s">
        <v>5521</v>
      </c>
      <c r="B4910" t="s">
        <v>67</v>
      </c>
      <c r="C4910" t="s">
        <v>602</v>
      </c>
      <c r="D4910">
        <v>4010.28</v>
      </c>
      <c r="E4910" s="37" t="str">
        <f t="shared" si="380"/>
        <v xml:space="preserve"> </v>
      </c>
      <c r="F4910">
        <v>0.47</v>
      </c>
      <c r="G4910" s="37" t="str">
        <f t="shared" si="381"/>
        <v>Heavy Discount</v>
      </c>
      <c r="H4910" s="37" t="str">
        <f t="shared" si="382"/>
        <v>High</v>
      </c>
      <c r="I4910">
        <v>3</v>
      </c>
      <c r="J4910" t="str" cm="1">
        <f t="array" ref="J4910">_xlfn.IFS(I4910&lt;=3,"small",I4910&lt;=6,"Medium",I4910&lt;=9,"Large")</f>
        <v>small</v>
      </c>
      <c r="K4910" s="36">
        <v>45194</v>
      </c>
      <c r="L4910" s="36">
        <v>45199</v>
      </c>
      <c r="M4910" t="s">
        <v>598</v>
      </c>
      <c r="N4910" t="s">
        <v>608</v>
      </c>
      <c r="O4910" s="37" t="str">
        <f t="shared" si="383"/>
        <v>Cash Payment</v>
      </c>
      <c r="P4910">
        <v>423.97</v>
      </c>
      <c r="Q4910" s="37" t="str">
        <f>IF(P4910&gt;500,"High","low")</f>
        <v>low</v>
      </c>
      <c r="R4910" s="37" t="str">
        <f t="shared" si="384"/>
        <v>AVERAGE</v>
      </c>
      <c r="S4910" t="s">
        <v>615</v>
      </c>
    </row>
    <row r="4911" spans="1:19" x14ac:dyDescent="0.2">
      <c r="A4911" t="s">
        <v>5522</v>
      </c>
      <c r="B4911" t="s">
        <v>90</v>
      </c>
      <c r="C4911" t="s">
        <v>602</v>
      </c>
      <c r="D4911">
        <v>2804.64</v>
      </c>
      <c r="E4911" s="37" t="str">
        <f t="shared" si="380"/>
        <v xml:space="preserve"> </v>
      </c>
      <c r="F4911">
        <v>0.14000000000000001</v>
      </c>
      <c r="G4911" s="37" t="str">
        <f t="shared" si="381"/>
        <v>Normal Discount</v>
      </c>
      <c r="H4911" s="37" t="str">
        <f t="shared" si="382"/>
        <v>Low</v>
      </c>
      <c r="I4911">
        <v>2</v>
      </c>
      <c r="J4911" t="str" cm="1">
        <f t="array" ref="J4911">_xlfn.IFS(I4911&lt;=3,"small",I4911&lt;=6,"Medium",I4911&lt;=9,"Large")</f>
        <v>small</v>
      </c>
      <c r="K4911" s="36">
        <v>45290</v>
      </c>
      <c r="L4911" s="36">
        <v>45294</v>
      </c>
      <c r="M4911" t="s">
        <v>612</v>
      </c>
      <c r="N4911" t="s">
        <v>608</v>
      </c>
      <c r="O4911" s="37" t="str">
        <f t="shared" si="383"/>
        <v>Cash Payment</v>
      </c>
      <c r="P4911">
        <v>323.54000000000002</v>
      </c>
      <c r="Q4911" s="37" t="str">
        <f>IF(P4911&gt;500,"High","low")</f>
        <v>low</v>
      </c>
      <c r="R4911" s="37" t="str">
        <f t="shared" si="384"/>
        <v>AVERAGE</v>
      </c>
      <c r="S4911" t="s">
        <v>600</v>
      </c>
    </row>
    <row r="4912" spans="1:19" x14ac:dyDescent="0.2">
      <c r="A4912" t="s">
        <v>5523</v>
      </c>
      <c r="B4912" t="s">
        <v>67</v>
      </c>
      <c r="C4912" t="s">
        <v>607</v>
      </c>
      <c r="D4912">
        <v>942.15</v>
      </c>
      <c r="E4912" s="37" t="str">
        <f t="shared" si="380"/>
        <v xml:space="preserve"> </v>
      </c>
      <c r="F4912">
        <v>0.33</v>
      </c>
      <c r="G4912" s="37" t="str">
        <f t="shared" si="381"/>
        <v>Heavy Discount</v>
      </c>
      <c r="H4912" s="37" t="str">
        <f t="shared" si="382"/>
        <v>Medium</v>
      </c>
      <c r="I4912">
        <v>7</v>
      </c>
      <c r="J4912" t="str" cm="1">
        <f t="array" ref="J4912">_xlfn.IFS(I4912&lt;=3,"small",I4912&lt;=6,"Medium",I4912&lt;=9,"Large")</f>
        <v>Large</v>
      </c>
      <c r="K4912" s="36">
        <v>45599</v>
      </c>
      <c r="L4912" s="36">
        <v>45601</v>
      </c>
      <c r="M4912" t="s">
        <v>598</v>
      </c>
      <c r="N4912" t="s">
        <v>599</v>
      </c>
      <c r="O4912" s="37" t="str">
        <f t="shared" si="383"/>
        <v>Digital Payment</v>
      </c>
      <c r="P4912">
        <v>73.86</v>
      </c>
      <c r="Q4912" s="37" t="str">
        <f>IF(P4912&gt;500,"High","low")</f>
        <v>low</v>
      </c>
      <c r="R4912" s="37" t="str">
        <f t="shared" si="384"/>
        <v>AVERAGE</v>
      </c>
      <c r="S4912" t="s">
        <v>620</v>
      </c>
    </row>
    <row r="4913" spans="1:19" x14ac:dyDescent="0.2">
      <c r="A4913" t="s">
        <v>5524</v>
      </c>
      <c r="B4913" t="s">
        <v>75</v>
      </c>
      <c r="C4913" t="s">
        <v>614</v>
      </c>
      <c r="D4913">
        <v>4899.25</v>
      </c>
      <c r="E4913" s="37" t="str">
        <f t="shared" si="380"/>
        <v>Excellent Order</v>
      </c>
      <c r="F4913">
        <v>0.02</v>
      </c>
      <c r="G4913" s="37" t="str">
        <f t="shared" si="381"/>
        <v>Normal Discount</v>
      </c>
      <c r="H4913" s="37" t="str">
        <f t="shared" si="382"/>
        <v>Low</v>
      </c>
      <c r="I4913">
        <v>7</v>
      </c>
      <c r="J4913" t="str" cm="1">
        <f t="array" ref="J4913">_xlfn.IFS(I4913&lt;=3,"small",I4913&lt;=6,"Medium",I4913&lt;=9,"Large")</f>
        <v>Large</v>
      </c>
      <c r="K4913" s="36">
        <v>45408</v>
      </c>
      <c r="L4913" s="36">
        <v>45413</v>
      </c>
      <c r="M4913" t="s">
        <v>612</v>
      </c>
      <c r="N4913" t="s">
        <v>608</v>
      </c>
      <c r="O4913" s="37" t="str">
        <f t="shared" si="383"/>
        <v>Cash Payment</v>
      </c>
      <c r="P4913">
        <v>1291.29</v>
      </c>
      <c r="Q4913" s="37" t="str">
        <f>IF(P4913&gt;500,"High","low")</f>
        <v>High</v>
      </c>
      <c r="R4913" s="37" t="str">
        <f t="shared" si="384"/>
        <v>Excellent</v>
      </c>
      <c r="S4913" t="s">
        <v>609</v>
      </c>
    </row>
    <row r="4914" spans="1:19" x14ac:dyDescent="0.2">
      <c r="A4914" t="s">
        <v>5525</v>
      </c>
      <c r="B4914" t="s">
        <v>90</v>
      </c>
      <c r="C4914" t="s">
        <v>607</v>
      </c>
      <c r="D4914">
        <v>995.42</v>
      </c>
      <c r="E4914" s="37" t="str">
        <f t="shared" si="380"/>
        <v xml:space="preserve"> </v>
      </c>
      <c r="F4914">
        <v>0</v>
      </c>
      <c r="G4914" s="37" t="str">
        <f t="shared" si="381"/>
        <v>Normal Discount</v>
      </c>
      <c r="H4914" s="37" t="str">
        <f t="shared" si="382"/>
        <v>Low</v>
      </c>
      <c r="I4914">
        <v>6</v>
      </c>
      <c r="J4914" t="str" cm="1">
        <f t="array" ref="J4914">_xlfn.IFS(I4914&lt;=3,"small",I4914&lt;=6,"Medium",I4914&lt;=9,"Large")</f>
        <v>Medium</v>
      </c>
      <c r="K4914" s="36">
        <v>45624</v>
      </c>
      <c r="L4914" s="36">
        <v>45630</v>
      </c>
      <c r="M4914" t="s">
        <v>603</v>
      </c>
      <c r="N4914" t="s">
        <v>608</v>
      </c>
      <c r="O4914" s="37" t="str">
        <f t="shared" si="383"/>
        <v>Cash Payment</v>
      </c>
      <c r="P4914">
        <v>249.39</v>
      </c>
      <c r="Q4914" s="37" t="str">
        <f>IF(P4914&gt;500,"High","low")</f>
        <v>low</v>
      </c>
      <c r="R4914" s="37" t="str">
        <f t="shared" si="384"/>
        <v>AVERAGE</v>
      </c>
      <c r="S4914" t="s">
        <v>600</v>
      </c>
    </row>
    <row r="4915" spans="1:19" x14ac:dyDescent="0.2">
      <c r="A4915" t="s">
        <v>5526</v>
      </c>
      <c r="B4915" t="s">
        <v>75</v>
      </c>
      <c r="C4915" t="s">
        <v>602</v>
      </c>
      <c r="D4915">
        <v>4565.08</v>
      </c>
      <c r="E4915" s="37" t="str">
        <f t="shared" si="380"/>
        <v xml:space="preserve"> </v>
      </c>
      <c r="F4915">
        <v>0.01</v>
      </c>
      <c r="G4915" s="37" t="str">
        <f t="shared" si="381"/>
        <v>Normal Discount</v>
      </c>
      <c r="H4915" s="37" t="str">
        <f t="shared" si="382"/>
        <v>Low</v>
      </c>
      <c r="I4915">
        <v>4</v>
      </c>
      <c r="J4915" t="str" cm="1">
        <f t="array" ref="J4915">_xlfn.IFS(I4915&lt;=3,"small",I4915&lt;=6,"Medium",I4915&lt;=9,"Large")</f>
        <v>Medium</v>
      </c>
      <c r="K4915" s="36">
        <v>45136</v>
      </c>
      <c r="L4915" s="36">
        <v>45140</v>
      </c>
      <c r="M4915" t="s">
        <v>603</v>
      </c>
      <c r="N4915" t="s">
        <v>599</v>
      </c>
      <c r="O4915" s="37" t="str">
        <f t="shared" si="383"/>
        <v>Digital Payment</v>
      </c>
      <c r="P4915">
        <v>549.62</v>
      </c>
      <c r="Q4915" s="37" t="str">
        <f>IF(P4915&gt;500,"High","low")</f>
        <v>High</v>
      </c>
      <c r="R4915" s="37" t="str">
        <f t="shared" si="384"/>
        <v>Good</v>
      </c>
      <c r="S4915" t="s">
        <v>600</v>
      </c>
    </row>
    <row r="4916" spans="1:19" x14ac:dyDescent="0.2">
      <c r="A4916" t="s">
        <v>5527</v>
      </c>
      <c r="B4916" t="s">
        <v>90</v>
      </c>
      <c r="C4916" t="s">
        <v>597</v>
      </c>
      <c r="D4916">
        <v>1119.8800000000001</v>
      </c>
      <c r="E4916" s="37" t="str">
        <f t="shared" si="380"/>
        <v xml:space="preserve"> </v>
      </c>
      <c r="F4916">
        <v>0.22</v>
      </c>
      <c r="G4916" s="37" t="str">
        <f t="shared" si="381"/>
        <v>Normal Discount</v>
      </c>
      <c r="H4916" s="37" t="str">
        <f t="shared" si="382"/>
        <v>Medium</v>
      </c>
      <c r="I4916">
        <v>3</v>
      </c>
      <c r="J4916" t="str" cm="1">
        <f t="array" ref="J4916">_xlfn.IFS(I4916&lt;=3,"small",I4916&lt;=6,"Medium",I4916&lt;=9,"Large")</f>
        <v>small</v>
      </c>
      <c r="K4916" s="36">
        <v>45480</v>
      </c>
      <c r="L4916" s="36">
        <v>45486</v>
      </c>
      <c r="M4916" t="s">
        <v>598</v>
      </c>
      <c r="N4916" t="s">
        <v>604</v>
      </c>
      <c r="O4916" s="37" t="str">
        <f t="shared" si="383"/>
        <v>Digital Payment</v>
      </c>
      <c r="P4916">
        <v>106.31</v>
      </c>
      <c r="Q4916" s="37" t="str">
        <f>IF(P4916&gt;500,"High","low")</f>
        <v>low</v>
      </c>
      <c r="R4916" s="37" t="str">
        <f t="shared" si="384"/>
        <v>AVERAGE</v>
      </c>
      <c r="S4916" t="s">
        <v>615</v>
      </c>
    </row>
    <row r="4917" spans="1:19" x14ac:dyDescent="0.2">
      <c r="A4917" t="s">
        <v>5528</v>
      </c>
      <c r="B4917" t="s">
        <v>83</v>
      </c>
      <c r="C4917" t="s">
        <v>614</v>
      </c>
      <c r="D4917">
        <v>1931.37</v>
      </c>
      <c r="E4917" s="37" t="str">
        <f t="shared" si="380"/>
        <v xml:space="preserve"> </v>
      </c>
      <c r="F4917">
        <v>0.28000000000000003</v>
      </c>
      <c r="G4917" s="37" t="str">
        <f t="shared" si="381"/>
        <v>Normal Discount</v>
      </c>
      <c r="H4917" s="37" t="str">
        <f t="shared" si="382"/>
        <v>Medium</v>
      </c>
      <c r="I4917">
        <v>7</v>
      </c>
      <c r="J4917" t="str" cm="1">
        <f t="array" ref="J4917">_xlfn.IFS(I4917&lt;=3,"small",I4917&lt;=6,"Medium",I4917&lt;=9,"Large")</f>
        <v>Large</v>
      </c>
      <c r="K4917" s="36">
        <v>45148</v>
      </c>
      <c r="L4917" s="36">
        <v>45152</v>
      </c>
      <c r="M4917" t="s">
        <v>603</v>
      </c>
      <c r="N4917" t="s">
        <v>608</v>
      </c>
      <c r="O4917" s="37" t="str">
        <f t="shared" si="383"/>
        <v>Cash Payment</v>
      </c>
      <c r="P4917">
        <v>482.05</v>
      </c>
      <c r="Q4917" s="37" t="str">
        <f>IF(P4917&gt;500,"High","low")</f>
        <v>low</v>
      </c>
      <c r="R4917" s="37" t="str">
        <f t="shared" si="384"/>
        <v>AVERAGE</v>
      </c>
      <c r="S4917" t="s">
        <v>628</v>
      </c>
    </row>
    <row r="4918" spans="1:19" x14ac:dyDescent="0.2">
      <c r="A4918" t="s">
        <v>5529</v>
      </c>
      <c r="B4918" t="s">
        <v>90</v>
      </c>
      <c r="C4918" t="s">
        <v>602</v>
      </c>
      <c r="D4918">
        <v>2256.41</v>
      </c>
      <c r="E4918" s="37" t="str">
        <f t="shared" si="380"/>
        <v xml:space="preserve"> </v>
      </c>
      <c r="F4918">
        <v>0</v>
      </c>
      <c r="G4918" s="37" t="str">
        <f t="shared" si="381"/>
        <v>Normal Discount</v>
      </c>
      <c r="H4918" s="37" t="str">
        <f t="shared" si="382"/>
        <v>Low</v>
      </c>
      <c r="I4918">
        <v>3</v>
      </c>
      <c r="J4918" t="str" cm="1">
        <f t="array" ref="J4918">_xlfn.IFS(I4918&lt;=3,"small",I4918&lt;=6,"Medium",I4918&lt;=9,"Large")</f>
        <v>small</v>
      </c>
      <c r="K4918" s="36">
        <v>45228</v>
      </c>
      <c r="L4918" s="36">
        <v>45231</v>
      </c>
      <c r="M4918" t="s">
        <v>603</v>
      </c>
      <c r="N4918" t="s">
        <v>599</v>
      </c>
      <c r="O4918" s="37" t="str">
        <f t="shared" si="383"/>
        <v>Digital Payment</v>
      </c>
      <c r="P4918">
        <v>374.26</v>
      </c>
      <c r="Q4918" s="37" t="str">
        <f>IF(P4918&gt;500,"High","low")</f>
        <v>low</v>
      </c>
      <c r="R4918" s="37" t="str">
        <f t="shared" si="384"/>
        <v>AVERAGE</v>
      </c>
      <c r="S4918" t="s">
        <v>615</v>
      </c>
    </row>
    <row r="4919" spans="1:19" x14ac:dyDescent="0.2">
      <c r="A4919" t="s">
        <v>5530</v>
      </c>
      <c r="B4919" t="s">
        <v>67</v>
      </c>
      <c r="C4919" t="s">
        <v>597</v>
      </c>
      <c r="D4919">
        <v>4614.74</v>
      </c>
      <c r="E4919" s="37" t="str">
        <f t="shared" si="380"/>
        <v xml:space="preserve"> </v>
      </c>
      <c r="F4919">
        <v>0.2</v>
      </c>
      <c r="G4919" s="37" t="str">
        <f t="shared" si="381"/>
        <v>Normal Discount</v>
      </c>
      <c r="H4919" s="37" t="str">
        <f t="shared" si="382"/>
        <v>Medium</v>
      </c>
      <c r="I4919">
        <v>9</v>
      </c>
      <c r="J4919" t="str" cm="1">
        <f t="array" ref="J4919">_xlfn.IFS(I4919&lt;=3,"small",I4919&lt;=6,"Medium",I4919&lt;=9,"Large")</f>
        <v>Large</v>
      </c>
      <c r="K4919" s="36">
        <v>45185</v>
      </c>
      <c r="L4919" s="36">
        <v>45187</v>
      </c>
      <c r="M4919" t="s">
        <v>612</v>
      </c>
      <c r="N4919" t="s">
        <v>604</v>
      </c>
      <c r="O4919" s="37" t="str">
        <f t="shared" si="383"/>
        <v>Digital Payment</v>
      </c>
      <c r="P4919">
        <v>609.04</v>
      </c>
      <c r="Q4919" s="37" t="str">
        <f>IF(P4919&gt;500,"High","low")</f>
        <v>High</v>
      </c>
      <c r="R4919" s="37" t="str">
        <f t="shared" si="384"/>
        <v>Good</v>
      </c>
      <c r="S4919" t="s">
        <v>615</v>
      </c>
    </row>
    <row r="4920" spans="1:19" x14ac:dyDescent="0.2">
      <c r="A4920" t="s">
        <v>5531</v>
      </c>
      <c r="B4920" t="s">
        <v>90</v>
      </c>
      <c r="C4920" t="s">
        <v>617</v>
      </c>
      <c r="D4920">
        <v>4452.17</v>
      </c>
      <c r="E4920" s="37" t="str">
        <f t="shared" si="380"/>
        <v>Excellent Order</v>
      </c>
      <c r="F4920">
        <v>0.02</v>
      </c>
      <c r="G4920" s="37" t="str">
        <f t="shared" si="381"/>
        <v>Normal Discount</v>
      </c>
      <c r="H4920" s="37" t="str">
        <f t="shared" si="382"/>
        <v>Low</v>
      </c>
      <c r="I4920">
        <v>8</v>
      </c>
      <c r="J4920" t="str" cm="1">
        <f t="array" ref="J4920">_xlfn.IFS(I4920&lt;=3,"small",I4920&lt;=6,"Medium",I4920&lt;=9,"Large")</f>
        <v>Large</v>
      </c>
      <c r="K4920" s="36">
        <v>44979</v>
      </c>
      <c r="L4920" s="36">
        <v>44981</v>
      </c>
      <c r="M4920" t="s">
        <v>603</v>
      </c>
      <c r="N4920" t="s">
        <v>604</v>
      </c>
      <c r="O4920" s="37" t="str">
        <f t="shared" si="383"/>
        <v>Digital Payment</v>
      </c>
      <c r="P4920">
        <v>981.08</v>
      </c>
      <c r="Q4920" s="37" t="str">
        <f>IF(P4920&gt;500,"High","low")</f>
        <v>High</v>
      </c>
      <c r="R4920" s="37" t="str">
        <f t="shared" si="384"/>
        <v>Good</v>
      </c>
      <c r="S4920" t="s">
        <v>605</v>
      </c>
    </row>
    <row r="4921" spans="1:19" x14ac:dyDescent="0.2">
      <c r="A4921" t="s">
        <v>5532</v>
      </c>
      <c r="B4921" t="s">
        <v>75</v>
      </c>
      <c r="C4921" t="s">
        <v>602</v>
      </c>
      <c r="D4921">
        <v>4133.78</v>
      </c>
      <c r="E4921" s="37" t="str">
        <f t="shared" si="380"/>
        <v xml:space="preserve"> </v>
      </c>
      <c r="F4921">
        <v>0.33</v>
      </c>
      <c r="G4921" s="37" t="str">
        <f t="shared" si="381"/>
        <v>Heavy Discount</v>
      </c>
      <c r="H4921" s="37" t="str">
        <f t="shared" si="382"/>
        <v>Medium</v>
      </c>
      <c r="I4921">
        <v>7</v>
      </c>
      <c r="J4921" t="str" cm="1">
        <f t="array" ref="J4921">_xlfn.IFS(I4921&lt;=3,"small",I4921&lt;=6,"Medium",I4921&lt;=9,"Large")</f>
        <v>Large</v>
      </c>
      <c r="K4921" s="36">
        <v>44988</v>
      </c>
      <c r="L4921" s="36">
        <v>44991</v>
      </c>
      <c r="M4921" t="s">
        <v>598</v>
      </c>
      <c r="N4921" t="s">
        <v>608</v>
      </c>
      <c r="O4921" s="37" t="str">
        <f t="shared" si="383"/>
        <v>Cash Payment</v>
      </c>
      <c r="P4921">
        <v>604.51</v>
      </c>
      <c r="Q4921" s="37" t="str">
        <f>IF(P4921&gt;500,"High","low")</f>
        <v>High</v>
      </c>
      <c r="R4921" s="37" t="str">
        <f t="shared" si="384"/>
        <v>Good</v>
      </c>
      <c r="S4921" t="s">
        <v>615</v>
      </c>
    </row>
    <row r="4922" spans="1:19" x14ac:dyDescent="0.2">
      <c r="A4922" t="s">
        <v>5533</v>
      </c>
      <c r="B4922" t="s">
        <v>75</v>
      </c>
      <c r="C4922" t="s">
        <v>617</v>
      </c>
      <c r="D4922">
        <v>1945.71</v>
      </c>
      <c r="E4922" s="37" t="str">
        <f t="shared" si="380"/>
        <v xml:space="preserve"> </v>
      </c>
      <c r="F4922">
        <v>0.32</v>
      </c>
      <c r="G4922" s="37" t="str">
        <f t="shared" si="381"/>
        <v>Heavy Discount</v>
      </c>
      <c r="H4922" s="37" t="str">
        <f t="shared" si="382"/>
        <v>Medium</v>
      </c>
      <c r="I4922">
        <v>2</v>
      </c>
      <c r="J4922" t="str" cm="1">
        <f t="array" ref="J4922">_xlfn.IFS(I4922&lt;=3,"small",I4922&lt;=6,"Medium",I4922&lt;=9,"Large")</f>
        <v>small</v>
      </c>
      <c r="K4922" s="36">
        <v>45411</v>
      </c>
      <c r="L4922" s="36">
        <v>45415</v>
      </c>
      <c r="M4922" t="s">
        <v>603</v>
      </c>
      <c r="N4922" t="s">
        <v>599</v>
      </c>
      <c r="O4922" s="37" t="str">
        <f t="shared" si="383"/>
        <v>Digital Payment</v>
      </c>
      <c r="P4922">
        <v>451.43</v>
      </c>
      <c r="Q4922" s="37" t="str">
        <f>IF(P4922&gt;500,"High","low")</f>
        <v>low</v>
      </c>
      <c r="R4922" s="37" t="str">
        <f t="shared" si="384"/>
        <v>AVERAGE</v>
      </c>
      <c r="S4922" t="s">
        <v>615</v>
      </c>
    </row>
    <row r="4923" spans="1:19" x14ac:dyDescent="0.2">
      <c r="A4923" t="s">
        <v>5534</v>
      </c>
      <c r="B4923" t="s">
        <v>90</v>
      </c>
      <c r="C4923" t="s">
        <v>607</v>
      </c>
      <c r="D4923">
        <v>122.02</v>
      </c>
      <c r="E4923" s="37" t="str">
        <f t="shared" si="380"/>
        <v xml:space="preserve"> </v>
      </c>
      <c r="F4923">
        <v>0.39</v>
      </c>
      <c r="G4923" s="37" t="str">
        <f t="shared" si="381"/>
        <v>Heavy Discount</v>
      </c>
      <c r="H4923" s="37" t="str">
        <f t="shared" si="382"/>
        <v>Medium</v>
      </c>
      <c r="I4923">
        <v>3</v>
      </c>
      <c r="J4923" t="str" cm="1">
        <f t="array" ref="J4923">_xlfn.IFS(I4923&lt;=3,"small",I4923&lt;=6,"Medium",I4923&lt;=9,"Large")</f>
        <v>small</v>
      </c>
      <c r="K4923" s="36">
        <v>45329</v>
      </c>
      <c r="L4923" s="36">
        <v>45333</v>
      </c>
      <c r="M4923" t="s">
        <v>603</v>
      </c>
      <c r="N4923" t="s">
        <v>604</v>
      </c>
      <c r="O4923" s="37" t="str">
        <f t="shared" si="383"/>
        <v>Digital Payment</v>
      </c>
      <c r="P4923">
        <v>12.49</v>
      </c>
      <c r="Q4923" s="37" t="str">
        <f>IF(P4923&gt;500,"High","low")</f>
        <v>low</v>
      </c>
      <c r="R4923" s="37" t="str">
        <f t="shared" si="384"/>
        <v>AVERAGE</v>
      </c>
      <c r="S4923" t="s">
        <v>615</v>
      </c>
    </row>
    <row r="4924" spans="1:19" x14ac:dyDescent="0.2">
      <c r="A4924" t="s">
        <v>5535</v>
      </c>
      <c r="B4924" t="s">
        <v>67</v>
      </c>
      <c r="C4924" t="s">
        <v>617</v>
      </c>
      <c r="D4924">
        <v>3439.76</v>
      </c>
      <c r="E4924" s="37" t="str">
        <f t="shared" si="380"/>
        <v xml:space="preserve"> </v>
      </c>
      <c r="F4924">
        <v>0.27</v>
      </c>
      <c r="G4924" s="37" t="str">
        <f t="shared" si="381"/>
        <v>Normal Discount</v>
      </c>
      <c r="H4924" s="37" t="str">
        <f t="shared" si="382"/>
        <v>Medium</v>
      </c>
      <c r="I4924">
        <v>8</v>
      </c>
      <c r="J4924" t="str" cm="1">
        <f t="array" ref="J4924">_xlfn.IFS(I4924&lt;=3,"small",I4924&lt;=6,"Medium",I4924&lt;=9,"Large")</f>
        <v>Large</v>
      </c>
      <c r="K4924" s="36">
        <v>45369</v>
      </c>
      <c r="L4924" s="36">
        <v>45376</v>
      </c>
      <c r="M4924" t="s">
        <v>612</v>
      </c>
      <c r="N4924" t="s">
        <v>604</v>
      </c>
      <c r="O4924" s="37" t="str">
        <f t="shared" si="383"/>
        <v>Digital Payment</v>
      </c>
      <c r="P4924">
        <v>660.41</v>
      </c>
      <c r="Q4924" s="37" t="str">
        <f>IF(P4924&gt;500,"High","low")</f>
        <v>High</v>
      </c>
      <c r="R4924" s="37" t="str">
        <f t="shared" si="384"/>
        <v>Good</v>
      </c>
      <c r="S4924" t="s">
        <v>600</v>
      </c>
    </row>
    <row r="4925" spans="1:19" x14ac:dyDescent="0.2">
      <c r="A4925" t="s">
        <v>5536</v>
      </c>
      <c r="B4925" t="s">
        <v>83</v>
      </c>
      <c r="C4925" t="s">
        <v>602</v>
      </c>
      <c r="D4925">
        <v>2113.67</v>
      </c>
      <c r="E4925" s="37" t="str">
        <f t="shared" si="380"/>
        <v xml:space="preserve"> </v>
      </c>
      <c r="F4925">
        <v>0.31</v>
      </c>
      <c r="G4925" s="37" t="str">
        <f t="shared" si="381"/>
        <v>Heavy Discount</v>
      </c>
      <c r="H4925" s="37" t="str">
        <f t="shared" si="382"/>
        <v>Medium</v>
      </c>
      <c r="I4925">
        <v>3</v>
      </c>
      <c r="J4925" t="str" cm="1">
        <f t="array" ref="J4925">_xlfn.IFS(I4925&lt;=3,"small",I4925&lt;=6,"Medium",I4925&lt;=9,"Large")</f>
        <v>small</v>
      </c>
      <c r="K4925" s="36">
        <v>45244</v>
      </c>
      <c r="L4925" s="36">
        <v>45250</v>
      </c>
      <c r="M4925" t="s">
        <v>612</v>
      </c>
      <c r="N4925" t="s">
        <v>604</v>
      </c>
      <c r="O4925" s="37" t="str">
        <f t="shared" si="383"/>
        <v>Digital Payment</v>
      </c>
      <c r="P4925">
        <v>567.98</v>
      </c>
      <c r="Q4925" s="37" t="str">
        <f>IF(P4925&gt;500,"High","low")</f>
        <v>High</v>
      </c>
      <c r="R4925" s="37" t="str">
        <f t="shared" si="384"/>
        <v>Good</v>
      </c>
      <c r="S4925" t="s">
        <v>609</v>
      </c>
    </row>
    <row r="4926" spans="1:19" x14ac:dyDescent="0.2">
      <c r="A4926" t="s">
        <v>5537</v>
      </c>
      <c r="B4926" t="s">
        <v>67</v>
      </c>
      <c r="C4926" t="s">
        <v>617</v>
      </c>
      <c r="D4926">
        <v>3809.59</v>
      </c>
      <c r="E4926" s="37" t="str">
        <f t="shared" si="380"/>
        <v xml:space="preserve"> </v>
      </c>
      <c r="F4926">
        <v>0.14000000000000001</v>
      </c>
      <c r="G4926" s="37" t="str">
        <f t="shared" si="381"/>
        <v>Normal Discount</v>
      </c>
      <c r="H4926" s="37" t="str">
        <f t="shared" si="382"/>
        <v>Low</v>
      </c>
      <c r="I4926">
        <v>8</v>
      </c>
      <c r="J4926" t="str" cm="1">
        <f t="array" ref="J4926">_xlfn.IFS(I4926&lt;=3,"small",I4926&lt;=6,"Medium",I4926&lt;=9,"Large")</f>
        <v>Large</v>
      </c>
      <c r="K4926" s="36">
        <v>45347</v>
      </c>
      <c r="L4926" s="36">
        <v>45354</v>
      </c>
      <c r="M4926" t="s">
        <v>598</v>
      </c>
      <c r="N4926" t="s">
        <v>604</v>
      </c>
      <c r="O4926" s="37" t="str">
        <f t="shared" si="383"/>
        <v>Digital Payment</v>
      </c>
      <c r="P4926">
        <v>963.26</v>
      </c>
      <c r="Q4926" s="37" t="str">
        <f>IF(P4926&gt;500,"High","low")</f>
        <v>High</v>
      </c>
      <c r="R4926" s="37" t="str">
        <f t="shared" si="384"/>
        <v>Good</v>
      </c>
      <c r="S4926" t="s">
        <v>605</v>
      </c>
    </row>
    <row r="4927" spans="1:19" x14ac:dyDescent="0.2">
      <c r="A4927" t="s">
        <v>5538</v>
      </c>
      <c r="B4927" t="s">
        <v>83</v>
      </c>
      <c r="C4927" t="s">
        <v>614</v>
      </c>
      <c r="D4927">
        <v>3994.78</v>
      </c>
      <c r="E4927" s="37" t="str">
        <f t="shared" si="380"/>
        <v xml:space="preserve"> </v>
      </c>
      <c r="F4927">
        <v>0.04</v>
      </c>
      <c r="G4927" s="37" t="str">
        <f t="shared" si="381"/>
        <v>Normal Discount</v>
      </c>
      <c r="H4927" s="37" t="str">
        <f t="shared" si="382"/>
        <v>Low</v>
      </c>
      <c r="I4927">
        <v>4</v>
      </c>
      <c r="J4927" t="str" cm="1">
        <f t="array" ref="J4927">_xlfn.IFS(I4927&lt;=3,"small",I4927&lt;=6,"Medium",I4927&lt;=9,"Large")</f>
        <v>Medium</v>
      </c>
      <c r="K4927" s="36">
        <v>45643</v>
      </c>
      <c r="L4927" s="36">
        <v>45648</v>
      </c>
      <c r="M4927" t="s">
        <v>603</v>
      </c>
      <c r="N4927" t="s">
        <v>599</v>
      </c>
      <c r="O4927" s="37" t="str">
        <f t="shared" si="383"/>
        <v>Digital Payment</v>
      </c>
      <c r="P4927">
        <v>1142.05</v>
      </c>
      <c r="Q4927" s="37" t="str">
        <f>IF(P4927&gt;500,"High","low")</f>
        <v>High</v>
      </c>
      <c r="R4927" s="37" t="str">
        <f t="shared" si="384"/>
        <v>Excellent</v>
      </c>
      <c r="S4927" t="s">
        <v>615</v>
      </c>
    </row>
    <row r="4928" spans="1:19" x14ac:dyDescent="0.2">
      <c r="A4928" t="s">
        <v>5539</v>
      </c>
      <c r="B4928" t="s">
        <v>75</v>
      </c>
      <c r="C4928" t="s">
        <v>602</v>
      </c>
      <c r="D4928">
        <v>2254.64</v>
      </c>
      <c r="E4928" s="37" t="str">
        <f t="shared" si="380"/>
        <v xml:space="preserve"> </v>
      </c>
      <c r="F4928">
        <v>0.37</v>
      </c>
      <c r="G4928" s="37" t="str">
        <f t="shared" si="381"/>
        <v>Heavy Discount</v>
      </c>
      <c r="H4928" s="37" t="str">
        <f t="shared" si="382"/>
        <v>Medium</v>
      </c>
      <c r="I4928">
        <v>5</v>
      </c>
      <c r="J4928" t="str" cm="1">
        <f t="array" ref="J4928">_xlfn.IFS(I4928&lt;=3,"small",I4928&lt;=6,"Medium",I4928&lt;=9,"Large")</f>
        <v>Medium</v>
      </c>
      <c r="K4928" s="36">
        <v>45325</v>
      </c>
      <c r="L4928" s="36">
        <v>45326</v>
      </c>
      <c r="M4928" t="s">
        <v>603</v>
      </c>
      <c r="N4928" t="s">
        <v>599</v>
      </c>
      <c r="O4928" s="37" t="str">
        <f t="shared" si="383"/>
        <v>Digital Payment</v>
      </c>
      <c r="P4928">
        <v>124.62</v>
      </c>
      <c r="Q4928" s="37" t="str">
        <f>IF(P4928&gt;500,"High","low")</f>
        <v>low</v>
      </c>
      <c r="R4928" s="37" t="str">
        <f t="shared" si="384"/>
        <v>AVERAGE</v>
      </c>
      <c r="S4928" t="s">
        <v>615</v>
      </c>
    </row>
    <row r="4929" spans="1:19" x14ac:dyDescent="0.2">
      <c r="A4929" t="s">
        <v>5540</v>
      </c>
      <c r="B4929" t="s">
        <v>67</v>
      </c>
      <c r="C4929" t="s">
        <v>597</v>
      </c>
      <c r="D4929">
        <v>3765.7</v>
      </c>
      <c r="E4929" s="37" t="str">
        <f t="shared" si="380"/>
        <v xml:space="preserve"> </v>
      </c>
      <c r="F4929">
        <v>0.31</v>
      </c>
      <c r="G4929" s="37" t="str">
        <f t="shared" si="381"/>
        <v>Heavy Discount</v>
      </c>
      <c r="H4929" s="37" t="str">
        <f t="shared" si="382"/>
        <v>Medium</v>
      </c>
      <c r="I4929">
        <v>9</v>
      </c>
      <c r="J4929" t="str" cm="1">
        <f t="array" ref="J4929">_xlfn.IFS(I4929&lt;=3,"small",I4929&lt;=6,"Medium",I4929&lt;=9,"Large")</f>
        <v>Large</v>
      </c>
      <c r="K4929" s="36">
        <v>45016</v>
      </c>
      <c r="L4929" s="36">
        <v>45022</v>
      </c>
      <c r="M4929" t="s">
        <v>612</v>
      </c>
      <c r="N4929" t="s">
        <v>604</v>
      </c>
      <c r="O4929" s="37" t="str">
        <f t="shared" si="383"/>
        <v>Digital Payment</v>
      </c>
      <c r="P4929">
        <v>1062.4000000000001</v>
      </c>
      <c r="Q4929" s="37" t="str">
        <f>IF(P4929&gt;500,"High","low")</f>
        <v>High</v>
      </c>
      <c r="R4929" s="37" t="str">
        <f t="shared" si="384"/>
        <v>Excellent</v>
      </c>
      <c r="S4929" t="s">
        <v>615</v>
      </c>
    </row>
    <row r="4930" spans="1:19" x14ac:dyDescent="0.2">
      <c r="A4930" t="s">
        <v>5541</v>
      </c>
      <c r="B4930" t="s">
        <v>83</v>
      </c>
      <c r="C4930" t="s">
        <v>617</v>
      </c>
      <c r="D4930">
        <v>4215.6899999999996</v>
      </c>
      <c r="E4930" s="37" t="str">
        <f t="shared" si="380"/>
        <v xml:space="preserve"> </v>
      </c>
      <c r="F4930">
        <v>0.47</v>
      </c>
      <c r="G4930" s="37" t="str">
        <f t="shared" si="381"/>
        <v>Heavy Discount</v>
      </c>
      <c r="H4930" s="37" t="str">
        <f t="shared" si="382"/>
        <v>High</v>
      </c>
      <c r="I4930">
        <v>2</v>
      </c>
      <c r="J4930" t="str" cm="1">
        <f t="array" ref="J4930">_xlfn.IFS(I4930&lt;=3,"small",I4930&lt;=6,"Medium",I4930&lt;=9,"Large")</f>
        <v>small</v>
      </c>
      <c r="K4930" s="36">
        <v>45508</v>
      </c>
      <c r="L4930" s="36">
        <v>45511</v>
      </c>
      <c r="M4930" t="s">
        <v>603</v>
      </c>
      <c r="N4930" t="s">
        <v>604</v>
      </c>
      <c r="O4930" s="37" t="str">
        <f t="shared" si="383"/>
        <v>Digital Payment</v>
      </c>
      <c r="P4930">
        <v>464.19</v>
      </c>
      <c r="Q4930" s="37" t="str">
        <f>IF(P4930&gt;500,"High","low")</f>
        <v>low</v>
      </c>
      <c r="R4930" s="37" t="str">
        <f t="shared" si="384"/>
        <v>AVERAGE</v>
      </c>
      <c r="S4930" t="s">
        <v>628</v>
      </c>
    </row>
    <row r="4931" spans="1:19" x14ac:dyDescent="0.2">
      <c r="A4931" t="s">
        <v>5542</v>
      </c>
      <c r="B4931" t="s">
        <v>90</v>
      </c>
      <c r="C4931" t="s">
        <v>614</v>
      </c>
      <c r="D4931">
        <v>4649.53</v>
      </c>
      <c r="E4931" s="37" t="str">
        <f t="shared" ref="E4931:E4994" si="385">IF(AND(D4931&gt;4000,P4931&gt;800),"Excellent Order"," ")</f>
        <v>Excellent Order</v>
      </c>
      <c r="F4931">
        <v>0.49</v>
      </c>
      <c r="G4931" s="37" t="str">
        <f t="shared" ref="G4931:G4994" si="386">IF(F4931&gt;30%,"Heavy Discount","Normal Discount")</f>
        <v>Heavy Discount</v>
      </c>
      <c r="H4931" s="37" t="str">
        <f t="shared" ref="H4931:H4994" si="387">IF(F4931&gt;0.4,"High",IF(F4931&gt;=0.2,"Medium","Low"))</f>
        <v>High</v>
      </c>
      <c r="I4931">
        <v>3</v>
      </c>
      <c r="J4931" t="str" cm="1">
        <f t="array" ref="J4931">_xlfn.IFS(I4931&lt;=3,"small",I4931&lt;=6,"Medium",I4931&lt;=9,"Large")</f>
        <v>small</v>
      </c>
      <c r="K4931" s="36">
        <v>45529</v>
      </c>
      <c r="L4931" s="36">
        <v>45536</v>
      </c>
      <c r="M4931" t="s">
        <v>612</v>
      </c>
      <c r="N4931" t="s">
        <v>608</v>
      </c>
      <c r="O4931" s="37" t="str">
        <f t="shared" ref="O4931:O4994" si="388">IF(OR(N4931="Card",N4931="UPI"),"Digital Payment","Cash Payment")</f>
        <v>Cash Payment</v>
      </c>
      <c r="P4931">
        <v>1330.27</v>
      </c>
      <c r="Q4931" s="37" t="str">
        <f>IF(P4931&gt;500,"High","low")</f>
        <v>High</v>
      </c>
      <c r="R4931" s="37" t="str">
        <f t="shared" ref="R4931:R4994" si="389">IF(P4931&gt;1000,"Excellent",IF(P4931&gt;=500,"Good","AVERAGE"))</f>
        <v>Excellent</v>
      </c>
      <c r="S4931" t="s">
        <v>628</v>
      </c>
    </row>
    <row r="4932" spans="1:19" x14ac:dyDescent="0.2">
      <c r="A4932" t="s">
        <v>5543</v>
      </c>
      <c r="B4932" t="s">
        <v>75</v>
      </c>
      <c r="C4932" t="s">
        <v>607</v>
      </c>
      <c r="D4932">
        <v>2954.03</v>
      </c>
      <c r="E4932" s="37" t="str">
        <f t="shared" si="385"/>
        <v xml:space="preserve"> </v>
      </c>
      <c r="F4932">
        <v>0.42</v>
      </c>
      <c r="G4932" s="37" t="str">
        <f t="shared" si="386"/>
        <v>Heavy Discount</v>
      </c>
      <c r="H4932" s="37" t="str">
        <f t="shared" si="387"/>
        <v>High</v>
      </c>
      <c r="I4932">
        <v>1</v>
      </c>
      <c r="J4932" t="str" cm="1">
        <f t="array" ref="J4932">_xlfn.IFS(I4932&lt;=3,"small",I4932&lt;=6,"Medium",I4932&lt;=9,"Large")</f>
        <v>small</v>
      </c>
      <c r="K4932" s="36">
        <v>45422</v>
      </c>
      <c r="L4932" s="36">
        <v>45427</v>
      </c>
      <c r="M4932" t="s">
        <v>598</v>
      </c>
      <c r="N4932" t="s">
        <v>599</v>
      </c>
      <c r="O4932" s="37" t="str">
        <f t="shared" si="388"/>
        <v>Digital Payment</v>
      </c>
      <c r="P4932">
        <v>336.18</v>
      </c>
      <c r="Q4932" s="37" t="str">
        <f>IF(P4932&gt;500,"High","low")</f>
        <v>low</v>
      </c>
      <c r="R4932" s="37" t="str">
        <f t="shared" si="389"/>
        <v>AVERAGE</v>
      </c>
      <c r="S4932" t="s">
        <v>600</v>
      </c>
    </row>
    <row r="4933" spans="1:19" x14ac:dyDescent="0.2">
      <c r="A4933" t="s">
        <v>5544</v>
      </c>
      <c r="B4933" t="s">
        <v>90</v>
      </c>
      <c r="C4933" t="s">
        <v>607</v>
      </c>
      <c r="D4933">
        <v>3914.55</v>
      </c>
      <c r="E4933" s="37" t="str">
        <f t="shared" si="385"/>
        <v xml:space="preserve"> </v>
      </c>
      <c r="F4933">
        <v>0.49</v>
      </c>
      <c r="G4933" s="37" t="str">
        <f t="shared" si="386"/>
        <v>Heavy Discount</v>
      </c>
      <c r="H4933" s="37" t="str">
        <f t="shared" si="387"/>
        <v>High</v>
      </c>
      <c r="I4933">
        <v>8</v>
      </c>
      <c r="J4933" t="str" cm="1">
        <f t="array" ref="J4933">_xlfn.IFS(I4933&lt;=3,"small",I4933&lt;=6,"Medium",I4933&lt;=9,"Large")</f>
        <v>Large</v>
      </c>
      <c r="K4933" s="36">
        <v>45271</v>
      </c>
      <c r="L4933" s="36">
        <v>45273</v>
      </c>
      <c r="M4933" t="s">
        <v>612</v>
      </c>
      <c r="N4933" t="s">
        <v>599</v>
      </c>
      <c r="O4933" s="37" t="str">
        <f t="shared" si="388"/>
        <v>Digital Payment</v>
      </c>
      <c r="P4933">
        <v>378.93</v>
      </c>
      <c r="Q4933" s="37" t="str">
        <f>IF(P4933&gt;500,"High","low")</f>
        <v>low</v>
      </c>
      <c r="R4933" s="37" t="str">
        <f t="shared" si="389"/>
        <v>AVERAGE</v>
      </c>
      <c r="S4933" t="s">
        <v>620</v>
      </c>
    </row>
    <row r="4934" spans="1:19" x14ac:dyDescent="0.2">
      <c r="A4934" t="s">
        <v>5545</v>
      </c>
      <c r="B4934" t="s">
        <v>75</v>
      </c>
      <c r="C4934" t="s">
        <v>617</v>
      </c>
      <c r="D4934">
        <v>2523.37</v>
      </c>
      <c r="E4934" s="37" t="str">
        <f t="shared" si="385"/>
        <v xml:space="preserve"> </v>
      </c>
      <c r="F4934">
        <v>0.32</v>
      </c>
      <c r="G4934" s="37" t="str">
        <f t="shared" si="386"/>
        <v>Heavy Discount</v>
      </c>
      <c r="H4934" s="37" t="str">
        <f t="shared" si="387"/>
        <v>Medium</v>
      </c>
      <c r="I4934">
        <v>9</v>
      </c>
      <c r="J4934" t="str" cm="1">
        <f t="array" ref="J4934">_xlfn.IFS(I4934&lt;=3,"small",I4934&lt;=6,"Medium",I4934&lt;=9,"Large")</f>
        <v>Large</v>
      </c>
      <c r="K4934" s="36">
        <v>45360</v>
      </c>
      <c r="L4934" s="36">
        <v>45362</v>
      </c>
      <c r="M4934" t="s">
        <v>598</v>
      </c>
      <c r="N4934" t="s">
        <v>604</v>
      </c>
      <c r="O4934" s="37" t="str">
        <f t="shared" si="388"/>
        <v>Digital Payment</v>
      </c>
      <c r="P4934">
        <v>522.16999999999996</v>
      </c>
      <c r="Q4934" s="37" t="str">
        <f>IF(P4934&gt;500,"High","low")</f>
        <v>High</v>
      </c>
      <c r="R4934" s="37" t="str">
        <f t="shared" si="389"/>
        <v>Good</v>
      </c>
      <c r="S4934" t="s">
        <v>600</v>
      </c>
    </row>
    <row r="4935" spans="1:19" x14ac:dyDescent="0.2">
      <c r="A4935" t="s">
        <v>5546</v>
      </c>
      <c r="B4935" t="s">
        <v>67</v>
      </c>
      <c r="C4935" t="s">
        <v>607</v>
      </c>
      <c r="D4935">
        <v>304.14999999999998</v>
      </c>
      <c r="E4935" s="37" t="str">
        <f t="shared" si="385"/>
        <v xml:space="preserve"> </v>
      </c>
      <c r="F4935">
        <v>0.05</v>
      </c>
      <c r="G4935" s="37" t="str">
        <f t="shared" si="386"/>
        <v>Normal Discount</v>
      </c>
      <c r="H4935" s="37" t="str">
        <f t="shared" si="387"/>
        <v>Low</v>
      </c>
      <c r="I4935">
        <v>9</v>
      </c>
      <c r="J4935" t="str" cm="1">
        <f t="array" ref="J4935">_xlfn.IFS(I4935&lt;=3,"small",I4935&lt;=6,"Medium",I4935&lt;=9,"Large")</f>
        <v>Large</v>
      </c>
      <c r="K4935" s="36">
        <v>45485</v>
      </c>
      <c r="L4935" s="36">
        <v>45487</v>
      </c>
      <c r="M4935" t="s">
        <v>603</v>
      </c>
      <c r="N4935" t="s">
        <v>608</v>
      </c>
      <c r="O4935" s="37" t="str">
        <f t="shared" si="388"/>
        <v>Cash Payment</v>
      </c>
      <c r="P4935">
        <v>70.459999999999994</v>
      </c>
      <c r="Q4935" s="37" t="str">
        <f>IF(P4935&gt;500,"High","low")</f>
        <v>low</v>
      </c>
      <c r="R4935" s="37" t="str">
        <f t="shared" si="389"/>
        <v>AVERAGE</v>
      </c>
      <c r="S4935" t="s">
        <v>615</v>
      </c>
    </row>
    <row r="4936" spans="1:19" x14ac:dyDescent="0.2">
      <c r="A4936" t="s">
        <v>5547</v>
      </c>
      <c r="B4936" t="s">
        <v>67</v>
      </c>
      <c r="C4936" t="s">
        <v>597</v>
      </c>
      <c r="D4936">
        <v>860.58</v>
      </c>
      <c r="E4936" s="37" t="str">
        <f t="shared" si="385"/>
        <v xml:space="preserve"> </v>
      </c>
      <c r="F4936">
        <v>0.04</v>
      </c>
      <c r="G4936" s="37" t="str">
        <f t="shared" si="386"/>
        <v>Normal Discount</v>
      </c>
      <c r="H4936" s="37" t="str">
        <f t="shared" si="387"/>
        <v>Low</v>
      </c>
      <c r="I4936">
        <v>3</v>
      </c>
      <c r="J4936" t="str" cm="1">
        <f t="array" ref="J4936">_xlfn.IFS(I4936&lt;=3,"small",I4936&lt;=6,"Medium",I4936&lt;=9,"Large")</f>
        <v>small</v>
      </c>
      <c r="K4936" s="36">
        <v>45454</v>
      </c>
      <c r="L4936" s="36">
        <v>45455</v>
      </c>
      <c r="M4936" t="s">
        <v>603</v>
      </c>
      <c r="N4936" t="s">
        <v>599</v>
      </c>
      <c r="O4936" s="37" t="str">
        <f t="shared" si="388"/>
        <v>Digital Payment</v>
      </c>
      <c r="P4936">
        <v>250.02</v>
      </c>
      <c r="Q4936" s="37" t="str">
        <f>IF(P4936&gt;500,"High","low")</f>
        <v>low</v>
      </c>
      <c r="R4936" s="37" t="str">
        <f t="shared" si="389"/>
        <v>AVERAGE</v>
      </c>
      <c r="S4936" t="s">
        <v>605</v>
      </c>
    </row>
    <row r="4937" spans="1:19" x14ac:dyDescent="0.2">
      <c r="A4937" t="s">
        <v>5548</v>
      </c>
      <c r="B4937" t="s">
        <v>75</v>
      </c>
      <c r="C4937" t="s">
        <v>602</v>
      </c>
      <c r="D4937">
        <v>728.3</v>
      </c>
      <c r="E4937" s="37" t="str">
        <f t="shared" si="385"/>
        <v xml:space="preserve"> </v>
      </c>
      <c r="F4937">
        <v>0.4</v>
      </c>
      <c r="G4937" s="37" t="str">
        <f t="shared" si="386"/>
        <v>Heavy Discount</v>
      </c>
      <c r="H4937" s="37" t="str">
        <f t="shared" si="387"/>
        <v>Medium</v>
      </c>
      <c r="I4937">
        <v>5</v>
      </c>
      <c r="J4937" t="str" cm="1">
        <f t="array" ref="J4937">_xlfn.IFS(I4937&lt;=3,"small",I4937&lt;=6,"Medium",I4937&lt;=9,"Large")</f>
        <v>Medium</v>
      </c>
      <c r="K4937" s="36">
        <v>45292</v>
      </c>
      <c r="L4937" s="36">
        <v>45295</v>
      </c>
      <c r="M4937" t="s">
        <v>612</v>
      </c>
      <c r="N4937" t="s">
        <v>608</v>
      </c>
      <c r="O4937" s="37" t="str">
        <f t="shared" si="388"/>
        <v>Cash Payment</v>
      </c>
      <c r="P4937">
        <v>91.25</v>
      </c>
      <c r="Q4937" s="37" t="str">
        <f>IF(P4937&gt;500,"High","low")</f>
        <v>low</v>
      </c>
      <c r="R4937" s="37" t="str">
        <f t="shared" si="389"/>
        <v>AVERAGE</v>
      </c>
      <c r="S4937" t="s">
        <v>628</v>
      </c>
    </row>
    <row r="4938" spans="1:19" x14ac:dyDescent="0.2">
      <c r="A4938" t="s">
        <v>5549</v>
      </c>
      <c r="B4938" t="s">
        <v>75</v>
      </c>
      <c r="C4938" t="s">
        <v>614</v>
      </c>
      <c r="D4938">
        <v>941.65</v>
      </c>
      <c r="E4938" s="37" t="str">
        <f t="shared" si="385"/>
        <v xml:space="preserve"> </v>
      </c>
      <c r="F4938">
        <v>0.12</v>
      </c>
      <c r="G4938" s="37" t="str">
        <f t="shared" si="386"/>
        <v>Normal Discount</v>
      </c>
      <c r="H4938" s="37" t="str">
        <f t="shared" si="387"/>
        <v>Low</v>
      </c>
      <c r="I4938">
        <v>9</v>
      </c>
      <c r="J4938" t="str" cm="1">
        <f t="array" ref="J4938">_xlfn.IFS(I4938&lt;=3,"small",I4938&lt;=6,"Medium",I4938&lt;=9,"Large")</f>
        <v>Large</v>
      </c>
      <c r="K4938" s="36">
        <v>45326</v>
      </c>
      <c r="L4938" s="36">
        <v>45332</v>
      </c>
      <c r="M4938" t="s">
        <v>598</v>
      </c>
      <c r="N4938" t="s">
        <v>604</v>
      </c>
      <c r="O4938" s="37" t="str">
        <f t="shared" si="388"/>
        <v>Digital Payment</v>
      </c>
      <c r="P4938">
        <v>153.5</v>
      </c>
      <c r="Q4938" s="37" t="str">
        <f>IF(P4938&gt;500,"High","low")</f>
        <v>low</v>
      </c>
      <c r="R4938" s="37" t="str">
        <f t="shared" si="389"/>
        <v>AVERAGE</v>
      </c>
      <c r="S4938" t="s">
        <v>628</v>
      </c>
    </row>
    <row r="4939" spans="1:19" x14ac:dyDescent="0.2">
      <c r="A4939" t="s">
        <v>5550</v>
      </c>
      <c r="B4939" t="s">
        <v>75</v>
      </c>
      <c r="C4939" t="s">
        <v>617</v>
      </c>
      <c r="D4939">
        <v>150.04</v>
      </c>
      <c r="E4939" s="37" t="str">
        <f t="shared" si="385"/>
        <v xml:space="preserve"> </v>
      </c>
      <c r="F4939">
        <v>0.03</v>
      </c>
      <c r="G4939" s="37" t="str">
        <f t="shared" si="386"/>
        <v>Normal Discount</v>
      </c>
      <c r="H4939" s="37" t="str">
        <f t="shared" si="387"/>
        <v>Low</v>
      </c>
      <c r="I4939">
        <v>5</v>
      </c>
      <c r="J4939" t="str" cm="1">
        <f t="array" ref="J4939">_xlfn.IFS(I4939&lt;=3,"small",I4939&lt;=6,"Medium",I4939&lt;=9,"Large")</f>
        <v>Medium</v>
      </c>
      <c r="K4939" s="36">
        <v>45121</v>
      </c>
      <c r="L4939" s="36">
        <v>45128</v>
      </c>
      <c r="M4939" t="s">
        <v>612</v>
      </c>
      <c r="N4939" t="s">
        <v>599</v>
      </c>
      <c r="O4939" s="37" t="str">
        <f t="shared" si="388"/>
        <v>Digital Payment</v>
      </c>
      <c r="P4939">
        <v>30.19</v>
      </c>
      <c r="Q4939" s="37" t="str">
        <f>IF(P4939&gt;500,"High","low")</f>
        <v>low</v>
      </c>
      <c r="R4939" s="37" t="str">
        <f t="shared" si="389"/>
        <v>AVERAGE</v>
      </c>
      <c r="S4939" t="s">
        <v>620</v>
      </c>
    </row>
    <row r="4940" spans="1:19" x14ac:dyDescent="0.2">
      <c r="A4940" t="s">
        <v>5551</v>
      </c>
      <c r="B4940" t="s">
        <v>67</v>
      </c>
      <c r="C4940" t="s">
        <v>607</v>
      </c>
      <c r="D4940">
        <v>4307.66</v>
      </c>
      <c r="E4940" s="37" t="str">
        <f t="shared" si="385"/>
        <v>Excellent Order</v>
      </c>
      <c r="F4940">
        <v>0.24</v>
      </c>
      <c r="G4940" s="37" t="str">
        <f t="shared" si="386"/>
        <v>Normal Discount</v>
      </c>
      <c r="H4940" s="37" t="str">
        <f t="shared" si="387"/>
        <v>Medium</v>
      </c>
      <c r="I4940">
        <v>1</v>
      </c>
      <c r="J4940" t="str" cm="1">
        <f t="array" ref="J4940">_xlfn.IFS(I4940&lt;=3,"small",I4940&lt;=6,"Medium",I4940&lt;=9,"Large")</f>
        <v>small</v>
      </c>
      <c r="K4940" s="36">
        <v>45160</v>
      </c>
      <c r="L4940" s="36">
        <v>45161</v>
      </c>
      <c r="M4940" t="s">
        <v>603</v>
      </c>
      <c r="N4940" t="s">
        <v>608</v>
      </c>
      <c r="O4940" s="37" t="str">
        <f t="shared" si="388"/>
        <v>Cash Payment</v>
      </c>
      <c r="P4940">
        <v>1102.56</v>
      </c>
      <c r="Q4940" s="37" t="str">
        <f>IF(P4940&gt;500,"High","low")</f>
        <v>High</v>
      </c>
      <c r="R4940" s="37" t="str">
        <f t="shared" si="389"/>
        <v>Excellent</v>
      </c>
      <c r="S4940" t="s">
        <v>620</v>
      </c>
    </row>
    <row r="4941" spans="1:19" x14ac:dyDescent="0.2">
      <c r="A4941" t="s">
        <v>5552</v>
      </c>
      <c r="B4941" t="s">
        <v>83</v>
      </c>
      <c r="C4941" t="s">
        <v>602</v>
      </c>
      <c r="D4941">
        <v>2844.73</v>
      </c>
      <c r="E4941" s="37" t="str">
        <f t="shared" si="385"/>
        <v xml:space="preserve"> </v>
      </c>
      <c r="F4941">
        <v>0.16</v>
      </c>
      <c r="G4941" s="37" t="str">
        <f t="shared" si="386"/>
        <v>Normal Discount</v>
      </c>
      <c r="H4941" s="37" t="str">
        <f t="shared" si="387"/>
        <v>Low</v>
      </c>
      <c r="I4941">
        <v>1</v>
      </c>
      <c r="J4941" t="str" cm="1">
        <f t="array" ref="J4941">_xlfn.IFS(I4941&lt;=3,"small",I4941&lt;=6,"Medium",I4941&lt;=9,"Large")</f>
        <v>small</v>
      </c>
      <c r="K4941" s="36">
        <v>45525</v>
      </c>
      <c r="L4941" s="36">
        <v>45529</v>
      </c>
      <c r="M4941" t="s">
        <v>612</v>
      </c>
      <c r="N4941" t="s">
        <v>599</v>
      </c>
      <c r="O4941" s="37" t="str">
        <f t="shared" si="388"/>
        <v>Digital Payment</v>
      </c>
      <c r="P4941">
        <v>698.07</v>
      </c>
      <c r="Q4941" s="37" t="str">
        <f>IF(P4941&gt;500,"High","low")</f>
        <v>High</v>
      </c>
      <c r="R4941" s="37" t="str">
        <f t="shared" si="389"/>
        <v>Good</v>
      </c>
      <c r="S4941" t="s">
        <v>620</v>
      </c>
    </row>
    <row r="4942" spans="1:19" x14ac:dyDescent="0.2">
      <c r="A4942" t="s">
        <v>5553</v>
      </c>
      <c r="B4942" t="s">
        <v>90</v>
      </c>
      <c r="C4942" t="s">
        <v>597</v>
      </c>
      <c r="D4942">
        <v>1977.44</v>
      </c>
      <c r="E4942" s="37" t="str">
        <f t="shared" si="385"/>
        <v xml:space="preserve"> </v>
      </c>
      <c r="F4942">
        <v>0.28999999999999998</v>
      </c>
      <c r="G4942" s="37" t="str">
        <f t="shared" si="386"/>
        <v>Normal Discount</v>
      </c>
      <c r="H4942" s="37" t="str">
        <f t="shared" si="387"/>
        <v>Medium</v>
      </c>
      <c r="I4942">
        <v>4</v>
      </c>
      <c r="J4942" t="str" cm="1">
        <f t="array" ref="J4942">_xlfn.IFS(I4942&lt;=3,"small",I4942&lt;=6,"Medium",I4942&lt;=9,"Large")</f>
        <v>Medium</v>
      </c>
      <c r="K4942" s="36">
        <v>44990</v>
      </c>
      <c r="L4942" s="36">
        <v>44994</v>
      </c>
      <c r="M4942" t="s">
        <v>603</v>
      </c>
      <c r="N4942" t="s">
        <v>604</v>
      </c>
      <c r="O4942" s="37" t="str">
        <f t="shared" si="388"/>
        <v>Digital Payment</v>
      </c>
      <c r="P4942">
        <v>565.45000000000005</v>
      </c>
      <c r="Q4942" s="37" t="str">
        <f>IF(P4942&gt;500,"High","low")</f>
        <v>High</v>
      </c>
      <c r="R4942" s="37" t="str">
        <f t="shared" si="389"/>
        <v>Good</v>
      </c>
      <c r="S4942" t="s">
        <v>605</v>
      </c>
    </row>
    <row r="4943" spans="1:19" x14ac:dyDescent="0.2">
      <c r="A4943" t="s">
        <v>5554</v>
      </c>
      <c r="B4943" t="s">
        <v>90</v>
      </c>
      <c r="C4943" t="s">
        <v>607</v>
      </c>
      <c r="D4943">
        <v>2107.92</v>
      </c>
      <c r="E4943" s="37" t="str">
        <f t="shared" si="385"/>
        <v xml:space="preserve"> </v>
      </c>
      <c r="F4943">
        <v>0.3</v>
      </c>
      <c r="G4943" s="37" t="str">
        <f t="shared" si="386"/>
        <v>Normal Discount</v>
      </c>
      <c r="H4943" s="37" t="str">
        <f t="shared" si="387"/>
        <v>Medium</v>
      </c>
      <c r="I4943">
        <v>7</v>
      </c>
      <c r="J4943" t="str" cm="1">
        <f t="array" ref="J4943">_xlfn.IFS(I4943&lt;=3,"small",I4943&lt;=6,"Medium",I4943&lt;=9,"Large")</f>
        <v>Large</v>
      </c>
      <c r="K4943" s="36">
        <v>45404</v>
      </c>
      <c r="L4943" s="36">
        <v>45406</v>
      </c>
      <c r="M4943" t="s">
        <v>612</v>
      </c>
      <c r="N4943" t="s">
        <v>599</v>
      </c>
      <c r="O4943" s="37" t="str">
        <f t="shared" si="388"/>
        <v>Digital Payment</v>
      </c>
      <c r="P4943">
        <v>391.01</v>
      </c>
      <c r="Q4943" s="37" t="str">
        <f>IF(P4943&gt;500,"High","low")</f>
        <v>low</v>
      </c>
      <c r="R4943" s="37" t="str">
        <f t="shared" si="389"/>
        <v>AVERAGE</v>
      </c>
      <c r="S4943" t="s">
        <v>615</v>
      </c>
    </row>
    <row r="4944" spans="1:19" x14ac:dyDescent="0.2">
      <c r="A4944" t="s">
        <v>5555</v>
      </c>
      <c r="B4944" t="s">
        <v>67</v>
      </c>
      <c r="C4944" t="s">
        <v>607</v>
      </c>
      <c r="D4944">
        <v>2370.42</v>
      </c>
      <c r="E4944" s="37" t="str">
        <f t="shared" si="385"/>
        <v xml:space="preserve"> </v>
      </c>
      <c r="F4944">
        <v>0.34</v>
      </c>
      <c r="G4944" s="37" t="str">
        <f t="shared" si="386"/>
        <v>Heavy Discount</v>
      </c>
      <c r="H4944" s="37" t="str">
        <f t="shared" si="387"/>
        <v>Medium</v>
      </c>
      <c r="I4944">
        <v>7</v>
      </c>
      <c r="J4944" t="str" cm="1">
        <f t="array" ref="J4944">_xlfn.IFS(I4944&lt;=3,"small",I4944&lt;=6,"Medium",I4944&lt;=9,"Large")</f>
        <v>Large</v>
      </c>
      <c r="K4944" s="36">
        <v>45331</v>
      </c>
      <c r="L4944" s="36">
        <v>45334</v>
      </c>
      <c r="M4944" t="s">
        <v>598</v>
      </c>
      <c r="N4944" t="s">
        <v>604</v>
      </c>
      <c r="O4944" s="37" t="str">
        <f t="shared" si="388"/>
        <v>Digital Payment</v>
      </c>
      <c r="P4944">
        <v>605.46</v>
      </c>
      <c r="Q4944" s="37" t="str">
        <f>IF(P4944&gt;500,"High","low")</f>
        <v>High</v>
      </c>
      <c r="R4944" s="37" t="str">
        <f t="shared" si="389"/>
        <v>Good</v>
      </c>
      <c r="S4944" t="s">
        <v>605</v>
      </c>
    </row>
    <row r="4945" spans="1:19" x14ac:dyDescent="0.2">
      <c r="A4945" t="s">
        <v>5556</v>
      </c>
      <c r="B4945" t="s">
        <v>90</v>
      </c>
      <c r="C4945" t="s">
        <v>614</v>
      </c>
      <c r="D4945">
        <v>462.03</v>
      </c>
      <c r="E4945" s="37" t="str">
        <f t="shared" si="385"/>
        <v xml:space="preserve"> </v>
      </c>
      <c r="F4945">
        <v>0.28999999999999998</v>
      </c>
      <c r="G4945" s="37" t="str">
        <f t="shared" si="386"/>
        <v>Normal Discount</v>
      </c>
      <c r="H4945" s="37" t="str">
        <f t="shared" si="387"/>
        <v>Medium</v>
      </c>
      <c r="I4945">
        <v>7</v>
      </c>
      <c r="J4945" t="str" cm="1">
        <f t="array" ref="J4945">_xlfn.IFS(I4945&lt;=3,"small",I4945&lt;=6,"Medium",I4945&lt;=9,"Large")</f>
        <v>Large</v>
      </c>
      <c r="K4945" s="36">
        <v>45628</v>
      </c>
      <c r="L4945" s="36">
        <v>45635</v>
      </c>
      <c r="M4945" t="s">
        <v>598</v>
      </c>
      <c r="N4945" t="s">
        <v>608</v>
      </c>
      <c r="O4945" s="37" t="str">
        <f t="shared" si="388"/>
        <v>Cash Payment</v>
      </c>
      <c r="P4945">
        <v>115.9</v>
      </c>
      <c r="Q4945" s="37" t="str">
        <f>IF(P4945&gt;500,"High","low")</f>
        <v>low</v>
      </c>
      <c r="R4945" s="37" t="str">
        <f t="shared" si="389"/>
        <v>AVERAGE</v>
      </c>
      <c r="S4945" t="s">
        <v>605</v>
      </c>
    </row>
    <row r="4946" spans="1:19" x14ac:dyDescent="0.2">
      <c r="A4946" t="s">
        <v>5557</v>
      </c>
      <c r="B4946" t="s">
        <v>75</v>
      </c>
      <c r="C4946" t="s">
        <v>597</v>
      </c>
      <c r="D4946">
        <v>1445.86</v>
      </c>
      <c r="E4946" s="37" t="str">
        <f t="shared" si="385"/>
        <v xml:space="preserve"> </v>
      </c>
      <c r="F4946">
        <v>0.19</v>
      </c>
      <c r="G4946" s="37" t="str">
        <f t="shared" si="386"/>
        <v>Normal Discount</v>
      </c>
      <c r="H4946" s="37" t="str">
        <f t="shared" si="387"/>
        <v>Low</v>
      </c>
      <c r="I4946">
        <v>6</v>
      </c>
      <c r="J4946" t="str" cm="1">
        <f t="array" ref="J4946">_xlfn.IFS(I4946&lt;=3,"small",I4946&lt;=6,"Medium",I4946&lt;=9,"Large")</f>
        <v>Medium</v>
      </c>
      <c r="K4946" s="36">
        <v>45620</v>
      </c>
      <c r="L4946" s="36">
        <v>45625</v>
      </c>
      <c r="M4946" t="s">
        <v>598</v>
      </c>
      <c r="N4946" t="s">
        <v>608</v>
      </c>
      <c r="O4946" s="37" t="str">
        <f t="shared" si="388"/>
        <v>Cash Payment</v>
      </c>
      <c r="P4946">
        <v>147.1</v>
      </c>
      <c r="Q4946" s="37" t="str">
        <f>IF(P4946&gt;500,"High","low")</f>
        <v>low</v>
      </c>
      <c r="R4946" s="37" t="str">
        <f t="shared" si="389"/>
        <v>AVERAGE</v>
      </c>
      <c r="S4946" t="s">
        <v>628</v>
      </c>
    </row>
    <row r="4947" spans="1:19" x14ac:dyDescent="0.2">
      <c r="A4947" t="s">
        <v>5558</v>
      </c>
      <c r="B4947" t="s">
        <v>83</v>
      </c>
      <c r="C4947" t="s">
        <v>597</v>
      </c>
      <c r="D4947">
        <v>4272.97</v>
      </c>
      <c r="E4947" s="37" t="str">
        <f t="shared" si="385"/>
        <v xml:space="preserve"> </v>
      </c>
      <c r="F4947">
        <v>0.01</v>
      </c>
      <c r="G4947" s="37" t="str">
        <f t="shared" si="386"/>
        <v>Normal Discount</v>
      </c>
      <c r="H4947" s="37" t="str">
        <f t="shared" si="387"/>
        <v>Low</v>
      </c>
      <c r="I4947">
        <v>1</v>
      </c>
      <c r="J4947" t="str" cm="1">
        <f t="array" ref="J4947">_xlfn.IFS(I4947&lt;=3,"small",I4947&lt;=6,"Medium",I4947&lt;=9,"Large")</f>
        <v>small</v>
      </c>
      <c r="K4947" s="36">
        <v>45520</v>
      </c>
      <c r="L4947" s="36">
        <v>45524</v>
      </c>
      <c r="M4947" t="s">
        <v>612</v>
      </c>
      <c r="N4947" t="s">
        <v>608</v>
      </c>
      <c r="O4947" s="37" t="str">
        <f t="shared" si="388"/>
        <v>Cash Payment</v>
      </c>
      <c r="P4947">
        <v>581.45000000000005</v>
      </c>
      <c r="Q4947" s="37" t="str">
        <f>IF(P4947&gt;500,"High","low")</f>
        <v>High</v>
      </c>
      <c r="R4947" s="37" t="str">
        <f t="shared" si="389"/>
        <v>Good</v>
      </c>
      <c r="S4947" t="s">
        <v>609</v>
      </c>
    </row>
    <row r="4948" spans="1:19" x14ac:dyDescent="0.2">
      <c r="A4948" t="s">
        <v>5559</v>
      </c>
      <c r="B4948" t="s">
        <v>90</v>
      </c>
      <c r="C4948" t="s">
        <v>617</v>
      </c>
      <c r="D4948">
        <v>3744.01</v>
      </c>
      <c r="E4948" s="37" t="str">
        <f t="shared" si="385"/>
        <v xml:space="preserve"> </v>
      </c>
      <c r="F4948">
        <v>0.45</v>
      </c>
      <c r="G4948" s="37" t="str">
        <f t="shared" si="386"/>
        <v>Heavy Discount</v>
      </c>
      <c r="H4948" s="37" t="str">
        <f t="shared" si="387"/>
        <v>High</v>
      </c>
      <c r="I4948">
        <v>3</v>
      </c>
      <c r="J4948" t="str" cm="1">
        <f t="array" ref="J4948">_xlfn.IFS(I4948&lt;=3,"small",I4948&lt;=6,"Medium",I4948&lt;=9,"Large")</f>
        <v>small</v>
      </c>
      <c r="K4948" s="36">
        <v>45057</v>
      </c>
      <c r="L4948" s="36">
        <v>45062</v>
      </c>
      <c r="M4948" t="s">
        <v>603</v>
      </c>
      <c r="N4948" t="s">
        <v>604</v>
      </c>
      <c r="O4948" s="37" t="str">
        <f t="shared" si="388"/>
        <v>Digital Payment</v>
      </c>
      <c r="P4948">
        <v>374.25</v>
      </c>
      <c r="Q4948" s="37" t="str">
        <f>IF(P4948&gt;500,"High","low")</f>
        <v>low</v>
      </c>
      <c r="R4948" s="37" t="str">
        <f t="shared" si="389"/>
        <v>AVERAGE</v>
      </c>
      <c r="S4948" t="s">
        <v>605</v>
      </c>
    </row>
    <row r="4949" spans="1:19" x14ac:dyDescent="0.2">
      <c r="A4949" t="s">
        <v>5560</v>
      </c>
      <c r="B4949" t="s">
        <v>83</v>
      </c>
      <c r="C4949" t="s">
        <v>614</v>
      </c>
      <c r="D4949">
        <v>2860.69</v>
      </c>
      <c r="E4949" s="37" t="str">
        <f t="shared" si="385"/>
        <v xml:space="preserve"> </v>
      </c>
      <c r="F4949">
        <v>0.16</v>
      </c>
      <c r="G4949" s="37" t="str">
        <f t="shared" si="386"/>
        <v>Normal Discount</v>
      </c>
      <c r="H4949" s="37" t="str">
        <f t="shared" si="387"/>
        <v>Low</v>
      </c>
      <c r="I4949">
        <v>5</v>
      </c>
      <c r="J4949" t="str" cm="1">
        <f t="array" ref="J4949">_xlfn.IFS(I4949&lt;=3,"small",I4949&lt;=6,"Medium",I4949&lt;=9,"Large")</f>
        <v>Medium</v>
      </c>
      <c r="K4949" s="36">
        <v>45363</v>
      </c>
      <c r="L4949" s="36">
        <v>45369</v>
      </c>
      <c r="M4949" t="s">
        <v>612</v>
      </c>
      <c r="N4949" t="s">
        <v>608</v>
      </c>
      <c r="O4949" s="37" t="str">
        <f t="shared" si="388"/>
        <v>Cash Payment</v>
      </c>
      <c r="P4949">
        <v>173.21</v>
      </c>
      <c r="Q4949" s="37" t="str">
        <f>IF(P4949&gt;500,"High","low")</f>
        <v>low</v>
      </c>
      <c r="R4949" s="37" t="str">
        <f t="shared" si="389"/>
        <v>AVERAGE</v>
      </c>
      <c r="S4949" t="s">
        <v>609</v>
      </c>
    </row>
    <row r="4950" spans="1:19" x14ac:dyDescent="0.2">
      <c r="A4950" t="s">
        <v>5561</v>
      </c>
      <c r="B4950" t="s">
        <v>75</v>
      </c>
      <c r="C4950" t="s">
        <v>617</v>
      </c>
      <c r="D4950">
        <v>2455.4499999999998</v>
      </c>
      <c r="E4950" s="37" t="str">
        <f t="shared" si="385"/>
        <v xml:space="preserve"> </v>
      </c>
      <c r="F4950">
        <v>0.25</v>
      </c>
      <c r="G4950" s="37" t="str">
        <f t="shared" si="386"/>
        <v>Normal Discount</v>
      </c>
      <c r="H4950" s="37" t="str">
        <f t="shared" si="387"/>
        <v>Medium</v>
      </c>
      <c r="I4950">
        <v>4</v>
      </c>
      <c r="J4950" t="str" cm="1">
        <f t="array" ref="J4950">_xlfn.IFS(I4950&lt;=3,"small",I4950&lt;=6,"Medium",I4950&lt;=9,"Large")</f>
        <v>Medium</v>
      </c>
      <c r="K4950" s="36">
        <v>45165</v>
      </c>
      <c r="L4950" s="36">
        <v>45170</v>
      </c>
      <c r="M4950" t="s">
        <v>603</v>
      </c>
      <c r="N4950" t="s">
        <v>604</v>
      </c>
      <c r="O4950" s="37" t="str">
        <f t="shared" si="388"/>
        <v>Digital Payment</v>
      </c>
      <c r="P4950">
        <v>644.67999999999995</v>
      </c>
      <c r="Q4950" s="37" t="str">
        <f>IF(P4950&gt;500,"High","low")</f>
        <v>High</v>
      </c>
      <c r="R4950" s="37" t="str">
        <f t="shared" si="389"/>
        <v>Good</v>
      </c>
      <c r="S4950" t="s">
        <v>620</v>
      </c>
    </row>
    <row r="4951" spans="1:19" x14ac:dyDescent="0.2">
      <c r="A4951" t="s">
        <v>5562</v>
      </c>
      <c r="B4951" t="s">
        <v>90</v>
      </c>
      <c r="C4951" t="s">
        <v>614</v>
      </c>
      <c r="D4951">
        <v>1368.97</v>
      </c>
      <c r="E4951" s="37" t="str">
        <f t="shared" si="385"/>
        <v xml:space="preserve"> </v>
      </c>
      <c r="F4951">
        <v>0.28000000000000003</v>
      </c>
      <c r="G4951" s="37" t="str">
        <f t="shared" si="386"/>
        <v>Normal Discount</v>
      </c>
      <c r="H4951" s="37" t="str">
        <f t="shared" si="387"/>
        <v>Medium</v>
      </c>
      <c r="I4951">
        <v>4</v>
      </c>
      <c r="J4951" t="str" cm="1">
        <f t="array" ref="J4951">_xlfn.IFS(I4951&lt;=3,"small",I4951&lt;=6,"Medium",I4951&lt;=9,"Large")</f>
        <v>Medium</v>
      </c>
      <c r="K4951" s="36">
        <v>45066</v>
      </c>
      <c r="L4951" s="36">
        <v>45073</v>
      </c>
      <c r="M4951" t="s">
        <v>598</v>
      </c>
      <c r="N4951" t="s">
        <v>608</v>
      </c>
      <c r="O4951" s="37" t="str">
        <f t="shared" si="388"/>
        <v>Cash Payment</v>
      </c>
      <c r="P4951">
        <v>377.12</v>
      </c>
      <c r="Q4951" s="37" t="str">
        <f>IF(P4951&gt;500,"High","low")</f>
        <v>low</v>
      </c>
      <c r="R4951" s="37" t="str">
        <f t="shared" si="389"/>
        <v>AVERAGE</v>
      </c>
      <c r="S4951" t="s">
        <v>615</v>
      </c>
    </row>
    <row r="4952" spans="1:19" x14ac:dyDescent="0.2">
      <c r="A4952" t="s">
        <v>5563</v>
      </c>
      <c r="B4952" t="s">
        <v>67</v>
      </c>
      <c r="C4952" t="s">
        <v>597</v>
      </c>
      <c r="D4952">
        <v>2409.15</v>
      </c>
      <c r="E4952" s="37" t="str">
        <f t="shared" si="385"/>
        <v xml:space="preserve"> </v>
      </c>
      <c r="F4952">
        <v>0.16</v>
      </c>
      <c r="G4952" s="37" t="str">
        <f t="shared" si="386"/>
        <v>Normal Discount</v>
      </c>
      <c r="H4952" s="37" t="str">
        <f t="shared" si="387"/>
        <v>Low</v>
      </c>
      <c r="I4952">
        <v>9</v>
      </c>
      <c r="J4952" t="str" cm="1">
        <f t="array" ref="J4952">_xlfn.IFS(I4952&lt;=3,"small",I4952&lt;=6,"Medium",I4952&lt;=9,"Large")</f>
        <v>Large</v>
      </c>
      <c r="K4952" s="36">
        <v>45476</v>
      </c>
      <c r="L4952" s="36">
        <v>45482</v>
      </c>
      <c r="M4952" t="s">
        <v>598</v>
      </c>
      <c r="N4952" t="s">
        <v>604</v>
      </c>
      <c r="O4952" s="37" t="str">
        <f t="shared" si="388"/>
        <v>Digital Payment</v>
      </c>
      <c r="P4952">
        <v>373.99</v>
      </c>
      <c r="Q4952" s="37" t="str">
        <f>IF(P4952&gt;500,"High","low")</f>
        <v>low</v>
      </c>
      <c r="R4952" s="37" t="str">
        <f t="shared" si="389"/>
        <v>AVERAGE</v>
      </c>
      <c r="S4952" t="s">
        <v>628</v>
      </c>
    </row>
    <row r="4953" spans="1:19" x14ac:dyDescent="0.2">
      <c r="A4953" t="s">
        <v>5564</v>
      </c>
      <c r="B4953" t="s">
        <v>83</v>
      </c>
      <c r="C4953" t="s">
        <v>614</v>
      </c>
      <c r="D4953">
        <v>3029.49</v>
      </c>
      <c r="E4953" s="37" t="str">
        <f t="shared" si="385"/>
        <v xml:space="preserve"> </v>
      </c>
      <c r="F4953">
        <v>0.15</v>
      </c>
      <c r="G4953" s="37" t="str">
        <f t="shared" si="386"/>
        <v>Normal Discount</v>
      </c>
      <c r="H4953" s="37" t="str">
        <f t="shared" si="387"/>
        <v>Low</v>
      </c>
      <c r="I4953">
        <v>7</v>
      </c>
      <c r="J4953" t="str" cm="1">
        <f t="array" ref="J4953">_xlfn.IFS(I4953&lt;=3,"small",I4953&lt;=6,"Medium",I4953&lt;=9,"Large")</f>
        <v>Large</v>
      </c>
      <c r="K4953" s="36">
        <v>45260</v>
      </c>
      <c r="L4953" s="36">
        <v>45266</v>
      </c>
      <c r="M4953" t="s">
        <v>612</v>
      </c>
      <c r="N4953" t="s">
        <v>599</v>
      </c>
      <c r="O4953" s="37" t="str">
        <f t="shared" si="388"/>
        <v>Digital Payment</v>
      </c>
      <c r="P4953">
        <v>427.83</v>
      </c>
      <c r="Q4953" s="37" t="str">
        <f>IF(P4953&gt;500,"High","low")</f>
        <v>low</v>
      </c>
      <c r="R4953" s="37" t="str">
        <f t="shared" si="389"/>
        <v>AVERAGE</v>
      </c>
      <c r="S4953" t="s">
        <v>628</v>
      </c>
    </row>
    <row r="4954" spans="1:19" x14ac:dyDescent="0.2">
      <c r="A4954" t="s">
        <v>5565</v>
      </c>
      <c r="B4954" t="s">
        <v>75</v>
      </c>
      <c r="C4954" t="s">
        <v>614</v>
      </c>
      <c r="D4954">
        <v>3591.93</v>
      </c>
      <c r="E4954" s="37" t="str">
        <f t="shared" si="385"/>
        <v xml:space="preserve"> </v>
      </c>
      <c r="F4954">
        <v>0.13</v>
      </c>
      <c r="G4954" s="37" t="str">
        <f t="shared" si="386"/>
        <v>Normal Discount</v>
      </c>
      <c r="H4954" s="37" t="str">
        <f t="shared" si="387"/>
        <v>Low</v>
      </c>
      <c r="I4954">
        <v>9</v>
      </c>
      <c r="J4954" t="str" cm="1">
        <f t="array" ref="J4954">_xlfn.IFS(I4954&lt;=3,"small",I4954&lt;=6,"Medium",I4954&lt;=9,"Large")</f>
        <v>Large</v>
      </c>
      <c r="K4954" s="36">
        <v>45017</v>
      </c>
      <c r="L4954" s="36">
        <v>45021</v>
      </c>
      <c r="M4954" t="s">
        <v>603</v>
      </c>
      <c r="N4954" t="s">
        <v>608</v>
      </c>
      <c r="O4954" s="37" t="str">
        <f t="shared" si="388"/>
        <v>Cash Payment</v>
      </c>
      <c r="P4954">
        <v>602.29</v>
      </c>
      <c r="Q4954" s="37" t="str">
        <f>IF(P4954&gt;500,"High","low")</f>
        <v>High</v>
      </c>
      <c r="R4954" s="37" t="str">
        <f t="shared" si="389"/>
        <v>Good</v>
      </c>
      <c r="S4954" t="s">
        <v>628</v>
      </c>
    </row>
    <row r="4955" spans="1:19" x14ac:dyDescent="0.2">
      <c r="A4955" t="s">
        <v>5566</v>
      </c>
      <c r="B4955" t="s">
        <v>83</v>
      </c>
      <c r="C4955" t="s">
        <v>614</v>
      </c>
      <c r="D4955">
        <v>916.54</v>
      </c>
      <c r="E4955" s="37" t="str">
        <f t="shared" si="385"/>
        <v xml:space="preserve"> </v>
      </c>
      <c r="F4955">
        <v>0.12</v>
      </c>
      <c r="G4955" s="37" t="str">
        <f t="shared" si="386"/>
        <v>Normal Discount</v>
      </c>
      <c r="H4955" s="37" t="str">
        <f t="shared" si="387"/>
        <v>Low</v>
      </c>
      <c r="I4955">
        <v>7</v>
      </c>
      <c r="J4955" t="str" cm="1">
        <f t="array" ref="J4955">_xlfn.IFS(I4955&lt;=3,"small",I4955&lt;=6,"Medium",I4955&lt;=9,"Large")</f>
        <v>Large</v>
      </c>
      <c r="K4955" s="36">
        <v>45072</v>
      </c>
      <c r="L4955" s="36">
        <v>45077</v>
      </c>
      <c r="M4955" t="s">
        <v>603</v>
      </c>
      <c r="N4955" t="s">
        <v>599</v>
      </c>
      <c r="O4955" s="37" t="str">
        <f t="shared" si="388"/>
        <v>Digital Payment</v>
      </c>
      <c r="P4955">
        <v>189.82</v>
      </c>
      <c r="Q4955" s="37" t="str">
        <f>IF(P4955&gt;500,"High","low")</f>
        <v>low</v>
      </c>
      <c r="R4955" s="37" t="str">
        <f t="shared" si="389"/>
        <v>AVERAGE</v>
      </c>
      <c r="S4955" t="s">
        <v>620</v>
      </c>
    </row>
    <row r="4956" spans="1:19" x14ac:dyDescent="0.2">
      <c r="A4956" t="s">
        <v>5567</v>
      </c>
      <c r="B4956" t="s">
        <v>90</v>
      </c>
      <c r="C4956" t="s">
        <v>602</v>
      </c>
      <c r="D4956">
        <v>4084.24</v>
      </c>
      <c r="E4956" s="37" t="str">
        <f t="shared" si="385"/>
        <v>Excellent Order</v>
      </c>
      <c r="F4956">
        <v>0.02</v>
      </c>
      <c r="G4956" s="37" t="str">
        <f t="shared" si="386"/>
        <v>Normal Discount</v>
      </c>
      <c r="H4956" s="37" t="str">
        <f t="shared" si="387"/>
        <v>Low</v>
      </c>
      <c r="I4956">
        <v>3</v>
      </c>
      <c r="J4956" t="str" cm="1">
        <f t="array" ref="J4956">_xlfn.IFS(I4956&lt;=3,"small",I4956&lt;=6,"Medium",I4956&lt;=9,"Large")</f>
        <v>small</v>
      </c>
      <c r="K4956" s="36">
        <v>45522</v>
      </c>
      <c r="L4956" s="36">
        <v>45527</v>
      </c>
      <c r="M4956" t="s">
        <v>603</v>
      </c>
      <c r="N4956" t="s">
        <v>604</v>
      </c>
      <c r="O4956" s="37" t="str">
        <f t="shared" si="388"/>
        <v>Digital Payment</v>
      </c>
      <c r="P4956">
        <v>1212.25</v>
      </c>
      <c r="Q4956" s="37" t="str">
        <f>IF(P4956&gt;500,"High","low")</f>
        <v>High</v>
      </c>
      <c r="R4956" s="37" t="str">
        <f t="shared" si="389"/>
        <v>Excellent</v>
      </c>
      <c r="S4956" t="s">
        <v>609</v>
      </c>
    </row>
    <row r="4957" spans="1:19" x14ac:dyDescent="0.2">
      <c r="A4957" t="s">
        <v>5568</v>
      </c>
      <c r="B4957" t="s">
        <v>90</v>
      </c>
      <c r="C4957" t="s">
        <v>602</v>
      </c>
      <c r="D4957">
        <v>1794.48</v>
      </c>
      <c r="E4957" s="37" t="str">
        <f t="shared" si="385"/>
        <v xml:space="preserve"> </v>
      </c>
      <c r="F4957">
        <v>0.48</v>
      </c>
      <c r="G4957" s="37" t="str">
        <f t="shared" si="386"/>
        <v>Heavy Discount</v>
      </c>
      <c r="H4957" s="37" t="str">
        <f t="shared" si="387"/>
        <v>High</v>
      </c>
      <c r="I4957">
        <v>4</v>
      </c>
      <c r="J4957" t="str" cm="1">
        <f t="array" ref="J4957">_xlfn.IFS(I4957&lt;=3,"small",I4957&lt;=6,"Medium",I4957&lt;=9,"Large")</f>
        <v>Medium</v>
      </c>
      <c r="K4957" s="36">
        <v>45601</v>
      </c>
      <c r="L4957" s="36">
        <v>45607</v>
      </c>
      <c r="M4957" t="s">
        <v>612</v>
      </c>
      <c r="N4957" t="s">
        <v>604</v>
      </c>
      <c r="O4957" s="37" t="str">
        <f t="shared" si="388"/>
        <v>Digital Payment</v>
      </c>
      <c r="P4957">
        <v>480.74</v>
      </c>
      <c r="Q4957" s="37" t="str">
        <f>IF(P4957&gt;500,"High","low")</f>
        <v>low</v>
      </c>
      <c r="R4957" s="37" t="str">
        <f t="shared" si="389"/>
        <v>AVERAGE</v>
      </c>
      <c r="S4957" t="s">
        <v>609</v>
      </c>
    </row>
    <row r="4958" spans="1:19" x14ac:dyDescent="0.2">
      <c r="A4958" t="s">
        <v>5569</v>
      </c>
      <c r="B4958" t="s">
        <v>67</v>
      </c>
      <c r="C4958" t="s">
        <v>597</v>
      </c>
      <c r="D4958">
        <v>2565.96</v>
      </c>
      <c r="E4958" s="37" t="str">
        <f t="shared" si="385"/>
        <v xml:space="preserve"> </v>
      </c>
      <c r="F4958">
        <v>0.3</v>
      </c>
      <c r="G4958" s="37" t="str">
        <f t="shared" si="386"/>
        <v>Normal Discount</v>
      </c>
      <c r="H4958" s="37" t="str">
        <f t="shared" si="387"/>
        <v>Medium</v>
      </c>
      <c r="I4958">
        <v>9</v>
      </c>
      <c r="J4958" t="str" cm="1">
        <f t="array" ref="J4958">_xlfn.IFS(I4958&lt;=3,"small",I4958&lt;=6,"Medium",I4958&lt;=9,"Large")</f>
        <v>Large</v>
      </c>
      <c r="K4958" s="36">
        <v>45266</v>
      </c>
      <c r="L4958" s="36">
        <v>45272</v>
      </c>
      <c r="M4958" t="s">
        <v>603</v>
      </c>
      <c r="N4958" t="s">
        <v>608</v>
      </c>
      <c r="O4958" s="37" t="str">
        <f t="shared" si="388"/>
        <v>Cash Payment</v>
      </c>
      <c r="P4958">
        <v>232.56</v>
      </c>
      <c r="Q4958" s="37" t="str">
        <f>IF(P4958&gt;500,"High","low")</f>
        <v>low</v>
      </c>
      <c r="R4958" s="37" t="str">
        <f t="shared" si="389"/>
        <v>AVERAGE</v>
      </c>
      <c r="S4958" t="s">
        <v>615</v>
      </c>
    </row>
    <row r="4959" spans="1:19" x14ac:dyDescent="0.2">
      <c r="A4959" t="s">
        <v>5570</v>
      </c>
      <c r="B4959" t="s">
        <v>75</v>
      </c>
      <c r="C4959" t="s">
        <v>614</v>
      </c>
      <c r="D4959">
        <v>3078.73</v>
      </c>
      <c r="E4959" s="37" t="str">
        <f t="shared" si="385"/>
        <v xml:space="preserve"> </v>
      </c>
      <c r="F4959">
        <v>0.05</v>
      </c>
      <c r="G4959" s="37" t="str">
        <f t="shared" si="386"/>
        <v>Normal Discount</v>
      </c>
      <c r="H4959" s="37" t="str">
        <f t="shared" si="387"/>
        <v>Low</v>
      </c>
      <c r="I4959">
        <v>1</v>
      </c>
      <c r="J4959" t="str" cm="1">
        <f t="array" ref="J4959">_xlfn.IFS(I4959&lt;=3,"small",I4959&lt;=6,"Medium",I4959&lt;=9,"Large")</f>
        <v>small</v>
      </c>
      <c r="K4959" s="36">
        <v>45124</v>
      </c>
      <c r="L4959" s="36">
        <v>45129</v>
      </c>
      <c r="M4959" t="s">
        <v>612</v>
      </c>
      <c r="N4959" t="s">
        <v>599</v>
      </c>
      <c r="O4959" s="37" t="str">
        <f t="shared" si="388"/>
        <v>Digital Payment</v>
      </c>
      <c r="P4959">
        <v>829.06</v>
      </c>
      <c r="Q4959" s="37" t="str">
        <f>IF(P4959&gt;500,"High","low")</f>
        <v>High</v>
      </c>
      <c r="R4959" s="37" t="str">
        <f t="shared" si="389"/>
        <v>Good</v>
      </c>
      <c r="S4959" t="s">
        <v>600</v>
      </c>
    </row>
    <row r="4960" spans="1:19" x14ac:dyDescent="0.2">
      <c r="A4960" t="s">
        <v>5571</v>
      </c>
      <c r="B4960" t="s">
        <v>75</v>
      </c>
      <c r="C4960" t="s">
        <v>597</v>
      </c>
      <c r="D4960">
        <v>2491.67</v>
      </c>
      <c r="E4960" s="37" t="str">
        <f t="shared" si="385"/>
        <v xml:space="preserve"> </v>
      </c>
      <c r="F4960">
        <v>0.3</v>
      </c>
      <c r="G4960" s="37" t="str">
        <f t="shared" si="386"/>
        <v>Normal Discount</v>
      </c>
      <c r="H4960" s="37" t="str">
        <f t="shared" si="387"/>
        <v>Medium</v>
      </c>
      <c r="I4960">
        <v>3</v>
      </c>
      <c r="J4960" t="str" cm="1">
        <f t="array" ref="J4960">_xlfn.IFS(I4960&lt;=3,"small",I4960&lt;=6,"Medium",I4960&lt;=9,"Large")</f>
        <v>small</v>
      </c>
      <c r="K4960" s="36">
        <v>45400</v>
      </c>
      <c r="L4960" s="36">
        <v>45401</v>
      </c>
      <c r="M4960" t="s">
        <v>598</v>
      </c>
      <c r="N4960" t="s">
        <v>604</v>
      </c>
      <c r="O4960" s="37" t="str">
        <f t="shared" si="388"/>
        <v>Digital Payment</v>
      </c>
      <c r="P4960">
        <v>426.57</v>
      </c>
      <c r="Q4960" s="37" t="str">
        <f>IF(P4960&gt;500,"High","low")</f>
        <v>low</v>
      </c>
      <c r="R4960" s="37" t="str">
        <f t="shared" si="389"/>
        <v>AVERAGE</v>
      </c>
      <c r="S4960" t="s">
        <v>615</v>
      </c>
    </row>
    <row r="4961" spans="1:19" x14ac:dyDescent="0.2">
      <c r="A4961" t="s">
        <v>5572</v>
      </c>
      <c r="B4961" t="s">
        <v>67</v>
      </c>
      <c r="C4961" t="s">
        <v>602</v>
      </c>
      <c r="D4961">
        <v>2902.59</v>
      </c>
      <c r="E4961" s="37" t="str">
        <f t="shared" si="385"/>
        <v xml:space="preserve"> </v>
      </c>
      <c r="F4961">
        <v>0.12</v>
      </c>
      <c r="G4961" s="37" t="str">
        <f t="shared" si="386"/>
        <v>Normal Discount</v>
      </c>
      <c r="H4961" s="37" t="str">
        <f t="shared" si="387"/>
        <v>Low</v>
      </c>
      <c r="I4961">
        <v>4</v>
      </c>
      <c r="J4961" t="str" cm="1">
        <f t="array" ref="J4961">_xlfn.IFS(I4961&lt;=3,"small",I4961&lt;=6,"Medium",I4961&lt;=9,"Large")</f>
        <v>Medium</v>
      </c>
      <c r="K4961" s="36">
        <v>45381</v>
      </c>
      <c r="L4961" s="36">
        <v>45388</v>
      </c>
      <c r="M4961" t="s">
        <v>598</v>
      </c>
      <c r="N4961" t="s">
        <v>608</v>
      </c>
      <c r="O4961" s="37" t="str">
        <f t="shared" si="388"/>
        <v>Cash Payment</v>
      </c>
      <c r="P4961">
        <v>729.36</v>
      </c>
      <c r="Q4961" s="37" t="str">
        <f>IF(P4961&gt;500,"High","low")</f>
        <v>High</v>
      </c>
      <c r="R4961" s="37" t="str">
        <f t="shared" si="389"/>
        <v>Good</v>
      </c>
      <c r="S4961" t="s">
        <v>609</v>
      </c>
    </row>
    <row r="4962" spans="1:19" x14ac:dyDescent="0.2">
      <c r="A4962" t="s">
        <v>5573</v>
      </c>
      <c r="B4962" t="s">
        <v>67</v>
      </c>
      <c r="C4962" t="s">
        <v>614</v>
      </c>
      <c r="D4962">
        <v>646.46</v>
      </c>
      <c r="E4962" s="37" t="str">
        <f t="shared" si="385"/>
        <v xml:space="preserve"> </v>
      </c>
      <c r="F4962">
        <v>0.16</v>
      </c>
      <c r="G4962" s="37" t="str">
        <f t="shared" si="386"/>
        <v>Normal Discount</v>
      </c>
      <c r="H4962" s="37" t="str">
        <f t="shared" si="387"/>
        <v>Low</v>
      </c>
      <c r="I4962">
        <v>4</v>
      </c>
      <c r="J4962" t="str" cm="1">
        <f t="array" ref="J4962">_xlfn.IFS(I4962&lt;=3,"small",I4962&lt;=6,"Medium",I4962&lt;=9,"Large")</f>
        <v>Medium</v>
      </c>
      <c r="K4962" s="36">
        <v>45284</v>
      </c>
      <c r="L4962" s="36">
        <v>45290</v>
      </c>
      <c r="M4962" t="s">
        <v>598</v>
      </c>
      <c r="N4962" t="s">
        <v>599</v>
      </c>
      <c r="O4962" s="37" t="str">
        <f t="shared" si="388"/>
        <v>Digital Payment</v>
      </c>
      <c r="P4962">
        <v>168.9</v>
      </c>
      <c r="Q4962" s="37" t="str">
        <f>IF(P4962&gt;500,"High","low")</f>
        <v>low</v>
      </c>
      <c r="R4962" s="37" t="str">
        <f t="shared" si="389"/>
        <v>AVERAGE</v>
      </c>
      <c r="S4962" t="s">
        <v>609</v>
      </c>
    </row>
    <row r="4963" spans="1:19" x14ac:dyDescent="0.2">
      <c r="A4963" t="s">
        <v>5574</v>
      </c>
      <c r="B4963" t="s">
        <v>75</v>
      </c>
      <c r="C4963" t="s">
        <v>617</v>
      </c>
      <c r="D4963">
        <v>2217.56</v>
      </c>
      <c r="E4963" s="37" t="str">
        <f t="shared" si="385"/>
        <v xml:space="preserve"> </v>
      </c>
      <c r="F4963">
        <v>0.4</v>
      </c>
      <c r="G4963" s="37" t="str">
        <f t="shared" si="386"/>
        <v>Heavy Discount</v>
      </c>
      <c r="H4963" s="37" t="str">
        <f t="shared" si="387"/>
        <v>Medium</v>
      </c>
      <c r="I4963">
        <v>7</v>
      </c>
      <c r="J4963" t="str" cm="1">
        <f t="array" ref="J4963">_xlfn.IFS(I4963&lt;=3,"small",I4963&lt;=6,"Medium",I4963&lt;=9,"Large")</f>
        <v>Large</v>
      </c>
      <c r="K4963" s="36">
        <v>45199</v>
      </c>
      <c r="L4963" s="36">
        <v>45202</v>
      </c>
      <c r="M4963" t="s">
        <v>598</v>
      </c>
      <c r="N4963" t="s">
        <v>608</v>
      </c>
      <c r="O4963" s="37" t="str">
        <f t="shared" si="388"/>
        <v>Cash Payment</v>
      </c>
      <c r="P4963">
        <v>320.55</v>
      </c>
      <c r="Q4963" s="37" t="str">
        <f>IF(P4963&gt;500,"High","low")</f>
        <v>low</v>
      </c>
      <c r="R4963" s="37" t="str">
        <f t="shared" si="389"/>
        <v>AVERAGE</v>
      </c>
      <c r="S4963" t="s">
        <v>628</v>
      </c>
    </row>
    <row r="4964" spans="1:19" x14ac:dyDescent="0.2">
      <c r="A4964" t="s">
        <v>5575</v>
      </c>
      <c r="B4964" t="s">
        <v>83</v>
      </c>
      <c r="C4964" t="s">
        <v>602</v>
      </c>
      <c r="D4964">
        <v>1474.29</v>
      </c>
      <c r="E4964" s="37" t="str">
        <f t="shared" si="385"/>
        <v xml:space="preserve"> </v>
      </c>
      <c r="F4964">
        <v>0.44</v>
      </c>
      <c r="G4964" s="37" t="str">
        <f t="shared" si="386"/>
        <v>Heavy Discount</v>
      </c>
      <c r="H4964" s="37" t="str">
        <f t="shared" si="387"/>
        <v>High</v>
      </c>
      <c r="I4964">
        <v>4</v>
      </c>
      <c r="J4964" t="str" cm="1">
        <f t="array" ref="J4964">_xlfn.IFS(I4964&lt;=3,"small",I4964&lt;=6,"Medium",I4964&lt;=9,"Large")</f>
        <v>Medium</v>
      </c>
      <c r="K4964" s="36">
        <v>45427</v>
      </c>
      <c r="L4964" s="36">
        <v>45429</v>
      </c>
      <c r="M4964" t="s">
        <v>612</v>
      </c>
      <c r="N4964" t="s">
        <v>599</v>
      </c>
      <c r="O4964" s="37" t="str">
        <f t="shared" si="388"/>
        <v>Digital Payment</v>
      </c>
      <c r="P4964">
        <v>84.07</v>
      </c>
      <c r="Q4964" s="37" t="str">
        <f>IF(P4964&gt;500,"High","low")</f>
        <v>low</v>
      </c>
      <c r="R4964" s="37" t="str">
        <f t="shared" si="389"/>
        <v>AVERAGE</v>
      </c>
      <c r="S4964" t="s">
        <v>605</v>
      </c>
    </row>
    <row r="4965" spans="1:19" x14ac:dyDescent="0.2">
      <c r="A4965" t="s">
        <v>5576</v>
      </c>
      <c r="B4965" t="s">
        <v>83</v>
      </c>
      <c r="C4965" t="s">
        <v>602</v>
      </c>
      <c r="D4965">
        <v>521.53</v>
      </c>
      <c r="E4965" s="37" t="str">
        <f t="shared" si="385"/>
        <v xml:space="preserve"> </v>
      </c>
      <c r="F4965">
        <v>0.35</v>
      </c>
      <c r="G4965" s="37" t="str">
        <f t="shared" si="386"/>
        <v>Heavy Discount</v>
      </c>
      <c r="H4965" s="37" t="str">
        <f t="shared" si="387"/>
        <v>Medium</v>
      </c>
      <c r="I4965">
        <v>8</v>
      </c>
      <c r="J4965" t="str" cm="1">
        <f t="array" ref="J4965">_xlfn.IFS(I4965&lt;=3,"small",I4965&lt;=6,"Medium",I4965&lt;=9,"Large")</f>
        <v>Large</v>
      </c>
      <c r="K4965" s="36">
        <v>44996</v>
      </c>
      <c r="L4965" s="36">
        <v>44997</v>
      </c>
      <c r="M4965" t="s">
        <v>612</v>
      </c>
      <c r="N4965" t="s">
        <v>604</v>
      </c>
      <c r="O4965" s="37" t="str">
        <f t="shared" si="388"/>
        <v>Digital Payment</v>
      </c>
      <c r="P4965">
        <v>73.64</v>
      </c>
      <c r="Q4965" s="37" t="str">
        <f>IF(P4965&gt;500,"High","low")</f>
        <v>low</v>
      </c>
      <c r="R4965" s="37" t="str">
        <f t="shared" si="389"/>
        <v>AVERAGE</v>
      </c>
      <c r="S4965" t="s">
        <v>605</v>
      </c>
    </row>
    <row r="4966" spans="1:19" x14ac:dyDescent="0.2">
      <c r="A4966" t="s">
        <v>5577</v>
      </c>
      <c r="B4966" t="s">
        <v>67</v>
      </c>
      <c r="C4966" t="s">
        <v>602</v>
      </c>
      <c r="D4966">
        <v>1039.08</v>
      </c>
      <c r="E4966" s="37" t="str">
        <f t="shared" si="385"/>
        <v xml:space="preserve"> </v>
      </c>
      <c r="F4966">
        <v>0.47</v>
      </c>
      <c r="G4966" s="37" t="str">
        <f t="shared" si="386"/>
        <v>Heavy Discount</v>
      </c>
      <c r="H4966" s="37" t="str">
        <f t="shared" si="387"/>
        <v>High</v>
      </c>
      <c r="I4966">
        <v>1</v>
      </c>
      <c r="J4966" t="str" cm="1">
        <f t="array" ref="J4966">_xlfn.IFS(I4966&lt;=3,"small",I4966&lt;=6,"Medium",I4966&lt;=9,"Large")</f>
        <v>small</v>
      </c>
      <c r="K4966" s="36">
        <v>44935</v>
      </c>
      <c r="L4966" s="36">
        <v>44940</v>
      </c>
      <c r="M4966" t="s">
        <v>612</v>
      </c>
      <c r="N4966" t="s">
        <v>604</v>
      </c>
      <c r="O4966" s="37" t="str">
        <f t="shared" si="388"/>
        <v>Digital Payment</v>
      </c>
      <c r="P4966">
        <v>59.74</v>
      </c>
      <c r="Q4966" s="37" t="str">
        <f>IF(P4966&gt;500,"High","low")</f>
        <v>low</v>
      </c>
      <c r="R4966" s="37" t="str">
        <f t="shared" si="389"/>
        <v>AVERAGE</v>
      </c>
      <c r="S4966" t="s">
        <v>605</v>
      </c>
    </row>
    <row r="4967" spans="1:19" x14ac:dyDescent="0.2">
      <c r="A4967" t="s">
        <v>5578</v>
      </c>
      <c r="B4967" t="s">
        <v>83</v>
      </c>
      <c r="C4967" t="s">
        <v>614</v>
      </c>
      <c r="D4967">
        <v>3051.98</v>
      </c>
      <c r="E4967" s="37" t="str">
        <f t="shared" si="385"/>
        <v xml:space="preserve"> </v>
      </c>
      <c r="F4967">
        <v>0.45</v>
      </c>
      <c r="G4967" s="37" t="str">
        <f t="shared" si="386"/>
        <v>Heavy Discount</v>
      </c>
      <c r="H4967" s="37" t="str">
        <f t="shared" si="387"/>
        <v>High</v>
      </c>
      <c r="I4967">
        <v>3</v>
      </c>
      <c r="J4967" t="str" cm="1">
        <f t="array" ref="J4967">_xlfn.IFS(I4967&lt;=3,"small",I4967&lt;=6,"Medium",I4967&lt;=9,"Large")</f>
        <v>small</v>
      </c>
      <c r="K4967" s="36">
        <v>45634</v>
      </c>
      <c r="L4967" s="36">
        <v>45635</v>
      </c>
      <c r="M4967" t="s">
        <v>598</v>
      </c>
      <c r="N4967" t="s">
        <v>604</v>
      </c>
      <c r="O4967" s="37" t="str">
        <f t="shared" si="388"/>
        <v>Digital Payment</v>
      </c>
      <c r="P4967">
        <v>544.79</v>
      </c>
      <c r="Q4967" s="37" t="str">
        <f>IF(P4967&gt;500,"High","low")</f>
        <v>High</v>
      </c>
      <c r="R4967" s="37" t="str">
        <f t="shared" si="389"/>
        <v>Good</v>
      </c>
      <c r="S4967" t="s">
        <v>605</v>
      </c>
    </row>
    <row r="4968" spans="1:19" x14ac:dyDescent="0.2">
      <c r="A4968" t="s">
        <v>5579</v>
      </c>
      <c r="B4968" t="s">
        <v>75</v>
      </c>
      <c r="C4968" t="s">
        <v>607</v>
      </c>
      <c r="D4968">
        <v>1063.76</v>
      </c>
      <c r="E4968" s="37" t="str">
        <f t="shared" si="385"/>
        <v xml:space="preserve"> </v>
      </c>
      <c r="F4968">
        <v>0.28000000000000003</v>
      </c>
      <c r="G4968" s="37" t="str">
        <f t="shared" si="386"/>
        <v>Normal Discount</v>
      </c>
      <c r="H4968" s="37" t="str">
        <f t="shared" si="387"/>
        <v>Medium</v>
      </c>
      <c r="I4968">
        <v>6</v>
      </c>
      <c r="J4968" t="str" cm="1">
        <f t="array" ref="J4968">_xlfn.IFS(I4968&lt;=3,"small",I4968&lt;=6,"Medium",I4968&lt;=9,"Large")</f>
        <v>Medium</v>
      </c>
      <c r="K4968" s="36">
        <v>44929</v>
      </c>
      <c r="L4968" s="36">
        <v>44936</v>
      </c>
      <c r="M4968" t="s">
        <v>598</v>
      </c>
      <c r="N4968" t="s">
        <v>599</v>
      </c>
      <c r="O4968" s="37" t="str">
        <f t="shared" si="388"/>
        <v>Digital Payment</v>
      </c>
      <c r="P4968">
        <v>305.61</v>
      </c>
      <c r="Q4968" s="37" t="str">
        <f>IF(P4968&gt;500,"High","low")</f>
        <v>low</v>
      </c>
      <c r="R4968" s="37" t="str">
        <f t="shared" si="389"/>
        <v>AVERAGE</v>
      </c>
      <c r="S4968" t="s">
        <v>600</v>
      </c>
    </row>
    <row r="4969" spans="1:19" x14ac:dyDescent="0.2">
      <c r="A4969" t="s">
        <v>5580</v>
      </c>
      <c r="B4969" t="s">
        <v>90</v>
      </c>
      <c r="C4969" t="s">
        <v>617</v>
      </c>
      <c r="D4969">
        <v>987.21</v>
      </c>
      <c r="E4969" s="37" t="str">
        <f t="shared" si="385"/>
        <v xml:space="preserve"> </v>
      </c>
      <c r="F4969">
        <v>0.45</v>
      </c>
      <c r="G4969" s="37" t="str">
        <f t="shared" si="386"/>
        <v>Heavy Discount</v>
      </c>
      <c r="H4969" s="37" t="str">
        <f t="shared" si="387"/>
        <v>High</v>
      </c>
      <c r="I4969">
        <v>3</v>
      </c>
      <c r="J4969" t="str" cm="1">
        <f t="array" ref="J4969">_xlfn.IFS(I4969&lt;=3,"small",I4969&lt;=6,"Medium",I4969&lt;=9,"Large")</f>
        <v>small</v>
      </c>
      <c r="K4969" s="36">
        <v>45195</v>
      </c>
      <c r="L4969" s="36">
        <v>45202</v>
      </c>
      <c r="M4969" t="s">
        <v>603</v>
      </c>
      <c r="N4969" t="s">
        <v>599</v>
      </c>
      <c r="O4969" s="37" t="str">
        <f t="shared" si="388"/>
        <v>Digital Payment</v>
      </c>
      <c r="P4969">
        <v>267.81</v>
      </c>
      <c r="Q4969" s="37" t="str">
        <f>IF(P4969&gt;500,"High","low")</f>
        <v>low</v>
      </c>
      <c r="R4969" s="37" t="str">
        <f t="shared" si="389"/>
        <v>AVERAGE</v>
      </c>
      <c r="S4969" t="s">
        <v>628</v>
      </c>
    </row>
    <row r="4970" spans="1:19" x14ac:dyDescent="0.2">
      <c r="A4970" t="s">
        <v>5581</v>
      </c>
      <c r="B4970" t="s">
        <v>90</v>
      </c>
      <c r="C4970" t="s">
        <v>617</v>
      </c>
      <c r="D4970">
        <v>2808.87</v>
      </c>
      <c r="E4970" s="37" t="str">
        <f t="shared" si="385"/>
        <v xml:space="preserve"> </v>
      </c>
      <c r="F4970">
        <v>0.27</v>
      </c>
      <c r="G4970" s="37" t="str">
        <f t="shared" si="386"/>
        <v>Normal Discount</v>
      </c>
      <c r="H4970" s="37" t="str">
        <f t="shared" si="387"/>
        <v>Medium</v>
      </c>
      <c r="I4970">
        <v>8</v>
      </c>
      <c r="J4970" t="str" cm="1">
        <f t="array" ref="J4970">_xlfn.IFS(I4970&lt;=3,"small",I4970&lt;=6,"Medium",I4970&lt;=9,"Large")</f>
        <v>Large</v>
      </c>
      <c r="K4970" s="36">
        <v>45278</v>
      </c>
      <c r="L4970" s="36">
        <v>45285</v>
      </c>
      <c r="M4970" t="s">
        <v>612</v>
      </c>
      <c r="N4970" t="s">
        <v>608</v>
      </c>
      <c r="O4970" s="37" t="str">
        <f t="shared" si="388"/>
        <v>Cash Payment</v>
      </c>
      <c r="P4970">
        <v>409.73</v>
      </c>
      <c r="Q4970" s="37" t="str">
        <f>IF(P4970&gt;500,"High","low")</f>
        <v>low</v>
      </c>
      <c r="R4970" s="37" t="str">
        <f t="shared" si="389"/>
        <v>AVERAGE</v>
      </c>
      <c r="S4970" t="s">
        <v>600</v>
      </c>
    </row>
    <row r="4971" spans="1:19" x14ac:dyDescent="0.2">
      <c r="A4971" t="s">
        <v>5582</v>
      </c>
      <c r="B4971" t="s">
        <v>83</v>
      </c>
      <c r="C4971" t="s">
        <v>597</v>
      </c>
      <c r="D4971">
        <v>4533.04</v>
      </c>
      <c r="E4971" s="37" t="str">
        <f t="shared" si="385"/>
        <v>Excellent Order</v>
      </c>
      <c r="F4971">
        <v>0.05</v>
      </c>
      <c r="G4971" s="37" t="str">
        <f t="shared" si="386"/>
        <v>Normal Discount</v>
      </c>
      <c r="H4971" s="37" t="str">
        <f t="shared" si="387"/>
        <v>Low</v>
      </c>
      <c r="I4971">
        <v>7</v>
      </c>
      <c r="J4971" t="str" cm="1">
        <f t="array" ref="J4971">_xlfn.IFS(I4971&lt;=3,"small",I4971&lt;=6,"Medium",I4971&lt;=9,"Large")</f>
        <v>Large</v>
      </c>
      <c r="K4971" s="36">
        <v>44932</v>
      </c>
      <c r="L4971" s="36">
        <v>44939</v>
      </c>
      <c r="M4971" t="s">
        <v>603</v>
      </c>
      <c r="N4971" t="s">
        <v>604</v>
      </c>
      <c r="O4971" s="37" t="str">
        <f t="shared" si="388"/>
        <v>Digital Payment</v>
      </c>
      <c r="P4971">
        <v>1084.03</v>
      </c>
      <c r="Q4971" s="37" t="str">
        <f>IF(P4971&gt;500,"High","low")</f>
        <v>High</v>
      </c>
      <c r="R4971" s="37" t="str">
        <f t="shared" si="389"/>
        <v>Excellent</v>
      </c>
      <c r="S4971" t="s">
        <v>620</v>
      </c>
    </row>
    <row r="4972" spans="1:19" x14ac:dyDescent="0.2">
      <c r="A4972" t="s">
        <v>5583</v>
      </c>
      <c r="B4972" t="s">
        <v>67</v>
      </c>
      <c r="C4972" t="s">
        <v>614</v>
      </c>
      <c r="D4972">
        <v>3964.59</v>
      </c>
      <c r="E4972" s="37" t="str">
        <f t="shared" si="385"/>
        <v xml:space="preserve"> </v>
      </c>
      <c r="F4972">
        <v>0.41</v>
      </c>
      <c r="G4972" s="37" t="str">
        <f t="shared" si="386"/>
        <v>Heavy Discount</v>
      </c>
      <c r="H4972" s="37" t="str">
        <f t="shared" si="387"/>
        <v>High</v>
      </c>
      <c r="I4972">
        <v>5</v>
      </c>
      <c r="J4972" t="str" cm="1">
        <f t="array" ref="J4972">_xlfn.IFS(I4972&lt;=3,"small",I4972&lt;=6,"Medium",I4972&lt;=9,"Large")</f>
        <v>Medium</v>
      </c>
      <c r="K4972" s="36">
        <v>45311</v>
      </c>
      <c r="L4972" s="36">
        <v>45312</v>
      </c>
      <c r="M4972" t="s">
        <v>598</v>
      </c>
      <c r="N4972" t="s">
        <v>599</v>
      </c>
      <c r="O4972" s="37" t="str">
        <f t="shared" si="388"/>
        <v>Digital Payment</v>
      </c>
      <c r="P4972">
        <v>922.71</v>
      </c>
      <c r="Q4972" s="37" t="str">
        <f>IF(P4972&gt;500,"High","low")</f>
        <v>High</v>
      </c>
      <c r="R4972" s="37" t="str">
        <f t="shared" si="389"/>
        <v>Good</v>
      </c>
      <c r="S4972" t="s">
        <v>628</v>
      </c>
    </row>
    <row r="4973" spans="1:19" x14ac:dyDescent="0.2">
      <c r="A4973" t="s">
        <v>5584</v>
      </c>
      <c r="B4973" t="s">
        <v>67</v>
      </c>
      <c r="C4973" t="s">
        <v>602</v>
      </c>
      <c r="D4973">
        <v>4534.9399999999996</v>
      </c>
      <c r="E4973" s="37" t="str">
        <f t="shared" si="385"/>
        <v>Excellent Order</v>
      </c>
      <c r="F4973">
        <v>7.0000000000000007E-2</v>
      </c>
      <c r="G4973" s="37" t="str">
        <f t="shared" si="386"/>
        <v>Normal Discount</v>
      </c>
      <c r="H4973" s="37" t="str">
        <f t="shared" si="387"/>
        <v>Low</v>
      </c>
      <c r="I4973">
        <v>2</v>
      </c>
      <c r="J4973" t="str" cm="1">
        <f t="array" ref="J4973">_xlfn.IFS(I4973&lt;=3,"small",I4973&lt;=6,"Medium",I4973&lt;=9,"Large")</f>
        <v>small</v>
      </c>
      <c r="K4973" s="36">
        <v>45160</v>
      </c>
      <c r="L4973" s="36">
        <v>45163</v>
      </c>
      <c r="M4973" t="s">
        <v>603</v>
      </c>
      <c r="N4973" t="s">
        <v>604</v>
      </c>
      <c r="O4973" s="37" t="str">
        <f t="shared" si="388"/>
        <v>Digital Payment</v>
      </c>
      <c r="P4973">
        <v>881.69</v>
      </c>
      <c r="Q4973" s="37" t="str">
        <f>IF(P4973&gt;500,"High","low")</f>
        <v>High</v>
      </c>
      <c r="R4973" s="37" t="str">
        <f t="shared" si="389"/>
        <v>Good</v>
      </c>
      <c r="S4973" t="s">
        <v>615</v>
      </c>
    </row>
    <row r="4974" spans="1:19" x14ac:dyDescent="0.2">
      <c r="A4974" t="s">
        <v>5585</v>
      </c>
      <c r="B4974" t="s">
        <v>67</v>
      </c>
      <c r="C4974" t="s">
        <v>607</v>
      </c>
      <c r="D4974">
        <v>2956.6</v>
      </c>
      <c r="E4974" s="37" t="str">
        <f t="shared" si="385"/>
        <v xml:space="preserve"> </v>
      </c>
      <c r="F4974">
        <v>0.16</v>
      </c>
      <c r="G4974" s="37" t="str">
        <f t="shared" si="386"/>
        <v>Normal Discount</v>
      </c>
      <c r="H4974" s="37" t="str">
        <f t="shared" si="387"/>
        <v>Low</v>
      </c>
      <c r="I4974">
        <v>5</v>
      </c>
      <c r="J4974" t="str" cm="1">
        <f t="array" ref="J4974">_xlfn.IFS(I4974&lt;=3,"small",I4974&lt;=6,"Medium",I4974&lt;=9,"Large")</f>
        <v>Medium</v>
      </c>
      <c r="K4974" s="36">
        <v>45504</v>
      </c>
      <c r="L4974" s="36">
        <v>45507</v>
      </c>
      <c r="M4974" t="s">
        <v>598</v>
      </c>
      <c r="N4974" t="s">
        <v>599</v>
      </c>
      <c r="O4974" s="37" t="str">
        <f t="shared" si="388"/>
        <v>Digital Payment</v>
      </c>
      <c r="P4974">
        <v>668.6</v>
      </c>
      <c r="Q4974" s="37" t="str">
        <f>IF(P4974&gt;500,"High","low")</f>
        <v>High</v>
      </c>
      <c r="R4974" s="37" t="str">
        <f t="shared" si="389"/>
        <v>Good</v>
      </c>
      <c r="S4974" t="s">
        <v>615</v>
      </c>
    </row>
    <row r="4975" spans="1:19" x14ac:dyDescent="0.2">
      <c r="A4975" t="s">
        <v>5586</v>
      </c>
      <c r="B4975" t="s">
        <v>67</v>
      </c>
      <c r="C4975" t="s">
        <v>614</v>
      </c>
      <c r="D4975">
        <v>2108.65</v>
      </c>
      <c r="E4975" s="37" t="str">
        <f t="shared" si="385"/>
        <v xml:space="preserve"> </v>
      </c>
      <c r="F4975">
        <v>0.19</v>
      </c>
      <c r="G4975" s="37" t="str">
        <f t="shared" si="386"/>
        <v>Normal Discount</v>
      </c>
      <c r="H4975" s="37" t="str">
        <f t="shared" si="387"/>
        <v>Low</v>
      </c>
      <c r="I4975">
        <v>9</v>
      </c>
      <c r="J4975" t="str" cm="1">
        <f t="array" ref="J4975">_xlfn.IFS(I4975&lt;=3,"small",I4975&lt;=6,"Medium",I4975&lt;=9,"Large")</f>
        <v>Large</v>
      </c>
      <c r="K4975" s="36">
        <v>45022</v>
      </c>
      <c r="L4975" s="36">
        <v>45027</v>
      </c>
      <c r="M4975" t="s">
        <v>603</v>
      </c>
      <c r="N4975" t="s">
        <v>599</v>
      </c>
      <c r="O4975" s="37" t="str">
        <f t="shared" si="388"/>
        <v>Digital Payment</v>
      </c>
      <c r="P4975">
        <v>581.65</v>
      </c>
      <c r="Q4975" s="37" t="str">
        <f>IF(P4975&gt;500,"High","low")</f>
        <v>High</v>
      </c>
      <c r="R4975" s="37" t="str">
        <f t="shared" si="389"/>
        <v>Good</v>
      </c>
      <c r="S4975" t="s">
        <v>620</v>
      </c>
    </row>
    <row r="4976" spans="1:19" x14ac:dyDescent="0.2">
      <c r="A4976" t="s">
        <v>5587</v>
      </c>
      <c r="B4976" t="s">
        <v>67</v>
      </c>
      <c r="C4976" t="s">
        <v>614</v>
      </c>
      <c r="D4976">
        <v>3675.24</v>
      </c>
      <c r="E4976" s="37" t="str">
        <f t="shared" si="385"/>
        <v xml:space="preserve"> </v>
      </c>
      <c r="F4976">
        <v>0.4</v>
      </c>
      <c r="G4976" s="37" t="str">
        <f t="shared" si="386"/>
        <v>Heavy Discount</v>
      </c>
      <c r="H4976" s="37" t="str">
        <f t="shared" si="387"/>
        <v>Medium</v>
      </c>
      <c r="I4976">
        <v>5</v>
      </c>
      <c r="J4976" t="str" cm="1">
        <f t="array" ref="J4976">_xlfn.IFS(I4976&lt;=3,"small",I4976&lt;=6,"Medium",I4976&lt;=9,"Large")</f>
        <v>Medium</v>
      </c>
      <c r="K4976" s="36">
        <v>45425</v>
      </c>
      <c r="L4976" s="36">
        <v>45432</v>
      </c>
      <c r="M4976" t="s">
        <v>612</v>
      </c>
      <c r="N4976" t="s">
        <v>599</v>
      </c>
      <c r="O4976" s="37" t="str">
        <f t="shared" si="388"/>
        <v>Digital Payment</v>
      </c>
      <c r="P4976">
        <v>442.18</v>
      </c>
      <c r="Q4976" s="37" t="str">
        <f>IF(P4976&gt;500,"High","low")</f>
        <v>low</v>
      </c>
      <c r="R4976" s="37" t="str">
        <f t="shared" si="389"/>
        <v>AVERAGE</v>
      </c>
      <c r="S4976" t="s">
        <v>600</v>
      </c>
    </row>
    <row r="4977" spans="1:19" x14ac:dyDescent="0.2">
      <c r="A4977" t="s">
        <v>5588</v>
      </c>
      <c r="B4977" t="s">
        <v>83</v>
      </c>
      <c r="C4977" t="s">
        <v>607</v>
      </c>
      <c r="D4977">
        <v>1380.68</v>
      </c>
      <c r="E4977" s="37" t="str">
        <f t="shared" si="385"/>
        <v xml:space="preserve"> </v>
      </c>
      <c r="F4977">
        <v>0.04</v>
      </c>
      <c r="G4977" s="37" t="str">
        <f t="shared" si="386"/>
        <v>Normal Discount</v>
      </c>
      <c r="H4977" s="37" t="str">
        <f t="shared" si="387"/>
        <v>Low</v>
      </c>
      <c r="I4977">
        <v>3</v>
      </c>
      <c r="J4977" t="str" cm="1">
        <f t="array" ref="J4977">_xlfn.IFS(I4977&lt;=3,"small",I4977&lt;=6,"Medium",I4977&lt;=9,"Large")</f>
        <v>small</v>
      </c>
      <c r="K4977" s="36">
        <v>45550</v>
      </c>
      <c r="L4977" s="36">
        <v>45556</v>
      </c>
      <c r="M4977" t="s">
        <v>598</v>
      </c>
      <c r="N4977" t="s">
        <v>608</v>
      </c>
      <c r="O4977" s="37" t="str">
        <f t="shared" si="388"/>
        <v>Cash Payment</v>
      </c>
      <c r="P4977">
        <v>129.68</v>
      </c>
      <c r="Q4977" s="37" t="str">
        <f>IF(P4977&gt;500,"High","low")</f>
        <v>low</v>
      </c>
      <c r="R4977" s="37" t="str">
        <f t="shared" si="389"/>
        <v>AVERAGE</v>
      </c>
      <c r="S4977" t="s">
        <v>600</v>
      </c>
    </row>
    <row r="4978" spans="1:19" x14ac:dyDescent="0.2">
      <c r="A4978" t="s">
        <v>5589</v>
      </c>
      <c r="B4978" t="s">
        <v>90</v>
      </c>
      <c r="C4978" t="s">
        <v>602</v>
      </c>
      <c r="D4978">
        <v>482.46</v>
      </c>
      <c r="E4978" s="37" t="str">
        <f t="shared" si="385"/>
        <v xml:space="preserve"> </v>
      </c>
      <c r="F4978">
        <v>0.22</v>
      </c>
      <c r="G4978" s="37" t="str">
        <f t="shared" si="386"/>
        <v>Normal Discount</v>
      </c>
      <c r="H4978" s="37" t="str">
        <f t="shared" si="387"/>
        <v>Medium</v>
      </c>
      <c r="I4978">
        <v>7</v>
      </c>
      <c r="J4978" t="str" cm="1">
        <f t="array" ref="J4978">_xlfn.IFS(I4978&lt;=3,"small",I4978&lt;=6,"Medium",I4978&lt;=9,"Large")</f>
        <v>Large</v>
      </c>
      <c r="K4978" s="36">
        <v>45051</v>
      </c>
      <c r="L4978" s="36">
        <v>45052</v>
      </c>
      <c r="M4978" t="s">
        <v>612</v>
      </c>
      <c r="N4978" t="s">
        <v>604</v>
      </c>
      <c r="O4978" s="37" t="str">
        <f t="shared" si="388"/>
        <v>Digital Payment</v>
      </c>
      <c r="P4978">
        <v>62.93</v>
      </c>
      <c r="Q4978" s="37" t="str">
        <f>IF(P4978&gt;500,"High","low")</f>
        <v>low</v>
      </c>
      <c r="R4978" s="37" t="str">
        <f t="shared" si="389"/>
        <v>AVERAGE</v>
      </c>
      <c r="S4978" t="s">
        <v>605</v>
      </c>
    </row>
    <row r="4979" spans="1:19" x14ac:dyDescent="0.2">
      <c r="A4979" t="s">
        <v>5590</v>
      </c>
      <c r="B4979" t="s">
        <v>90</v>
      </c>
      <c r="C4979" t="s">
        <v>614</v>
      </c>
      <c r="D4979">
        <v>1788.61</v>
      </c>
      <c r="E4979" s="37" t="str">
        <f t="shared" si="385"/>
        <v xml:space="preserve"> </v>
      </c>
      <c r="F4979">
        <v>0.22</v>
      </c>
      <c r="G4979" s="37" t="str">
        <f t="shared" si="386"/>
        <v>Normal Discount</v>
      </c>
      <c r="H4979" s="37" t="str">
        <f t="shared" si="387"/>
        <v>Medium</v>
      </c>
      <c r="I4979">
        <v>3</v>
      </c>
      <c r="J4979" t="str" cm="1">
        <f t="array" ref="J4979">_xlfn.IFS(I4979&lt;=3,"small",I4979&lt;=6,"Medium",I4979&lt;=9,"Large")</f>
        <v>small</v>
      </c>
      <c r="K4979" s="36">
        <v>45436</v>
      </c>
      <c r="L4979" s="36">
        <v>45439</v>
      </c>
      <c r="M4979" t="s">
        <v>612</v>
      </c>
      <c r="N4979" t="s">
        <v>599</v>
      </c>
      <c r="O4979" s="37" t="str">
        <f t="shared" si="388"/>
        <v>Digital Payment</v>
      </c>
      <c r="P4979">
        <v>362.64</v>
      </c>
      <c r="Q4979" s="37" t="str">
        <f>IF(P4979&gt;500,"High","low")</f>
        <v>low</v>
      </c>
      <c r="R4979" s="37" t="str">
        <f t="shared" si="389"/>
        <v>AVERAGE</v>
      </c>
      <c r="S4979" t="s">
        <v>628</v>
      </c>
    </row>
    <row r="4980" spans="1:19" x14ac:dyDescent="0.2">
      <c r="A4980" t="s">
        <v>5591</v>
      </c>
      <c r="B4980" t="s">
        <v>83</v>
      </c>
      <c r="C4980" t="s">
        <v>617</v>
      </c>
      <c r="D4980">
        <v>1566.26</v>
      </c>
      <c r="E4980" s="37" t="str">
        <f t="shared" si="385"/>
        <v xml:space="preserve"> </v>
      </c>
      <c r="F4980">
        <v>0.28999999999999998</v>
      </c>
      <c r="G4980" s="37" t="str">
        <f t="shared" si="386"/>
        <v>Normal Discount</v>
      </c>
      <c r="H4980" s="37" t="str">
        <f t="shared" si="387"/>
        <v>Medium</v>
      </c>
      <c r="I4980">
        <v>8</v>
      </c>
      <c r="J4980" t="str" cm="1">
        <f t="array" ref="J4980">_xlfn.IFS(I4980&lt;=3,"small",I4980&lt;=6,"Medium",I4980&lt;=9,"Large")</f>
        <v>Large</v>
      </c>
      <c r="K4980" s="36">
        <v>45479</v>
      </c>
      <c r="L4980" s="36">
        <v>45486</v>
      </c>
      <c r="M4980" t="s">
        <v>603</v>
      </c>
      <c r="N4980" t="s">
        <v>599</v>
      </c>
      <c r="O4980" s="37" t="str">
        <f t="shared" si="388"/>
        <v>Digital Payment</v>
      </c>
      <c r="P4980">
        <v>267.26</v>
      </c>
      <c r="Q4980" s="37" t="str">
        <f>IF(P4980&gt;500,"High","low")</f>
        <v>low</v>
      </c>
      <c r="R4980" s="37" t="str">
        <f t="shared" si="389"/>
        <v>AVERAGE</v>
      </c>
      <c r="S4980" t="s">
        <v>615</v>
      </c>
    </row>
    <row r="4981" spans="1:19" x14ac:dyDescent="0.2">
      <c r="A4981" t="s">
        <v>5592</v>
      </c>
      <c r="B4981" t="s">
        <v>67</v>
      </c>
      <c r="C4981" t="s">
        <v>617</v>
      </c>
      <c r="D4981">
        <v>3410.14</v>
      </c>
      <c r="E4981" s="37" t="str">
        <f t="shared" si="385"/>
        <v xml:space="preserve"> </v>
      </c>
      <c r="F4981">
        <v>0.18</v>
      </c>
      <c r="G4981" s="37" t="str">
        <f t="shared" si="386"/>
        <v>Normal Discount</v>
      </c>
      <c r="H4981" s="37" t="str">
        <f t="shared" si="387"/>
        <v>Low</v>
      </c>
      <c r="I4981">
        <v>5</v>
      </c>
      <c r="J4981" t="str" cm="1">
        <f t="array" ref="J4981">_xlfn.IFS(I4981&lt;=3,"small",I4981&lt;=6,"Medium",I4981&lt;=9,"Large")</f>
        <v>Medium</v>
      </c>
      <c r="K4981" s="36">
        <v>45295</v>
      </c>
      <c r="L4981" s="36">
        <v>45298</v>
      </c>
      <c r="M4981" t="s">
        <v>598</v>
      </c>
      <c r="N4981" t="s">
        <v>608</v>
      </c>
      <c r="O4981" s="37" t="str">
        <f t="shared" si="388"/>
        <v>Cash Payment</v>
      </c>
      <c r="P4981">
        <v>743.65</v>
      </c>
      <c r="Q4981" s="37" t="str">
        <f>IF(P4981&gt;500,"High","low")</f>
        <v>High</v>
      </c>
      <c r="R4981" s="37" t="str">
        <f t="shared" si="389"/>
        <v>Good</v>
      </c>
      <c r="S4981" t="s">
        <v>620</v>
      </c>
    </row>
    <row r="4982" spans="1:19" x14ac:dyDescent="0.2">
      <c r="A4982" t="s">
        <v>5593</v>
      </c>
      <c r="B4982" t="s">
        <v>83</v>
      </c>
      <c r="C4982" t="s">
        <v>607</v>
      </c>
      <c r="D4982">
        <v>2801.68</v>
      </c>
      <c r="E4982" s="37" t="str">
        <f t="shared" si="385"/>
        <v xml:space="preserve"> </v>
      </c>
      <c r="F4982">
        <v>0.28999999999999998</v>
      </c>
      <c r="G4982" s="37" t="str">
        <f t="shared" si="386"/>
        <v>Normal Discount</v>
      </c>
      <c r="H4982" s="37" t="str">
        <f t="shared" si="387"/>
        <v>Medium</v>
      </c>
      <c r="I4982">
        <v>5</v>
      </c>
      <c r="J4982" t="str" cm="1">
        <f t="array" ref="J4982">_xlfn.IFS(I4982&lt;=3,"small",I4982&lt;=6,"Medium",I4982&lt;=9,"Large")</f>
        <v>Medium</v>
      </c>
      <c r="K4982" s="36">
        <v>44933</v>
      </c>
      <c r="L4982" s="36">
        <v>44934</v>
      </c>
      <c r="M4982" t="s">
        <v>603</v>
      </c>
      <c r="N4982" t="s">
        <v>604</v>
      </c>
      <c r="O4982" s="37" t="str">
        <f t="shared" si="388"/>
        <v>Digital Payment</v>
      </c>
      <c r="P4982">
        <v>452.24</v>
      </c>
      <c r="Q4982" s="37" t="str">
        <f>IF(P4982&gt;500,"High","low")</f>
        <v>low</v>
      </c>
      <c r="R4982" s="37" t="str">
        <f t="shared" si="389"/>
        <v>AVERAGE</v>
      </c>
      <c r="S4982" t="s">
        <v>609</v>
      </c>
    </row>
    <row r="4983" spans="1:19" x14ac:dyDescent="0.2">
      <c r="A4983" t="s">
        <v>5594</v>
      </c>
      <c r="B4983" t="s">
        <v>90</v>
      </c>
      <c r="C4983" t="s">
        <v>602</v>
      </c>
      <c r="D4983">
        <v>777.49</v>
      </c>
      <c r="E4983" s="37" t="str">
        <f t="shared" si="385"/>
        <v xml:space="preserve"> </v>
      </c>
      <c r="F4983">
        <v>0.49</v>
      </c>
      <c r="G4983" s="37" t="str">
        <f t="shared" si="386"/>
        <v>Heavy Discount</v>
      </c>
      <c r="H4983" s="37" t="str">
        <f t="shared" si="387"/>
        <v>High</v>
      </c>
      <c r="I4983">
        <v>6</v>
      </c>
      <c r="J4983" t="str" cm="1">
        <f t="array" ref="J4983">_xlfn.IFS(I4983&lt;=3,"small",I4983&lt;=6,"Medium",I4983&lt;=9,"Large")</f>
        <v>Medium</v>
      </c>
      <c r="K4983" s="36">
        <v>45203</v>
      </c>
      <c r="L4983" s="36">
        <v>45206</v>
      </c>
      <c r="M4983" t="s">
        <v>612</v>
      </c>
      <c r="N4983" t="s">
        <v>599</v>
      </c>
      <c r="O4983" s="37" t="str">
        <f t="shared" si="388"/>
        <v>Digital Payment</v>
      </c>
      <c r="P4983">
        <v>165.45</v>
      </c>
      <c r="Q4983" s="37" t="str">
        <f>IF(P4983&gt;500,"High","low")</f>
        <v>low</v>
      </c>
      <c r="R4983" s="37" t="str">
        <f t="shared" si="389"/>
        <v>AVERAGE</v>
      </c>
      <c r="S4983" t="s">
        <v>620</v>
      </c>
    </row>
    <row r="4984" spans="1:19" x14ac:dyDescent="0.2">
      <c r="A4984" t="s">
        <v>5595</v>
      </c>
      <c r="B4984" t="s">
        <v>75</v>
      </c>
      <c r="C4984" t="s">
        <v>607</v>
      </c>
      <c r="D4984">
        <v>4551.67</v>
      </c>
      <c r="E4984" s="37" t="str">
        <f t="shared" si="385"/>
        <v xml:space="preserve"> </v>
      </c>
      <c r="F4984">
        <v>0.04</v>
      </c>
      <c r="G4984" s="37" t="str">
        <f t="shared" si="386"/>
        <v>Normal Discount</v>
      </c>
      <c r="H4984" s="37" t="str">
        <f t="shared" si="387"/>
        <v>Low</v>
      </c>
      <c r="I4984">
        <v>6</v>
      </c>
      <c r="J4984" t="str" cm="1">
        <f t="array" ref="J4984">_xlfn.IFS(I4984&lt;=3,"small",I4984&lt;=6,"Medium",I4984&lt;=9,"Large")</f>
        <v>Medium</v>
      </c>
      <c r="K4984" s="36">
        <v>45135</v>
      </c>
      <c r="L4984" s="36">
        <v>45139</v>
      </c>
      <c r="M4984" t="s">
        <v>598</v>
      </c>
      <c r="N4984" t="s">
        <v>604</v>
      </c>
      <c r="O4984" s="37" t="str">
        <f t="shared" si="388"/>
        <v>Digital Payment</v>
      </c>
      <c r="P4984">
        <v>328.51</v>
      </c>
      <c r="Q4984" s="37" t="str">
        <f>IF(P4984&gt;500,"High","low")</f>
        <v>low</v>
      </c>
      <c r="R4984" s="37" t="str">
        <f t="shared" si="389"/>
        <v>AVERAGE</v>
      </c>
      <c r="S4984" t="s">
        <v>628</v>
      </c>
    </row>
    <row r="4985" spans="1:19" x14ac:dyDescent="0.2">
      <c r="A4985" t="s">
        <v>5596</v>
      </c>
      <c r="B4985" t="s">
        <v>83</v>
      </c>
      <c r="C4985" t="s">
        <v>614</v>
      </c>
      <c r="D4985">
        <v>3007.36</v>
      </c>
      <c r="E4985" s="37" t="str">
        <f t="shared" si="385"/>
        <v xml:space="preserve"> </v>
      </c>
      <c r="F4985">
        <v>0.44</v>
      </c>
      <c r="G4985" s="37" t="str">
        <f t="shared" si="386"/>
        <v>Heavy Discount</v>
      </c>
      <c r="H4985" s="37" t="str">
        <f t="shared" si="387"/>
        <v>High</v>
      </c>
      <c r="I4985">
        <v>3</v>
      </c>
      <c r="J4985" t="str" cm="1">
        <f t="array" ref="J4985">_xlfn.IFS(I4985&lt;=3,"small",I4985&lt;=6,"Medium",I4985&lt;=9,"Large")</f>
        <v>small</v>
      </c>
      <c r="K4985" s="36">
        <v>45119</v>
      </c>
      <c r="L4985" s="36">
        <v>45126</v>
      </c>
      <c r="M4985" t="s">
        <v>603</v>
      </c>
      <c r="N4985" t="s">
        <v>608</v>
      </c>
      <c r="O4985" s="37" t="str">
        <f t="shared" si="388"/>
        <v>Cash Payment</v>
      </c>
      <c r="P4985">
        <v>476.69</v>
      </c>
      <c r="Q4985" s="37" t="str">
        <f>IF(P4985&gt;500,"High","low")</f>
        <v>low</v>
      </c>
      <c r="R4985" s="37" t="str">
        <f t="shared" si="389"/>
        <v>AVERAGE</v>
      </c>
      <c r="S4985" t="s">
        <v>600</v>
      </c>
    </row>
    <row r="4986" spans="1:19" x14ac:dyDescent="0.2">
      <c r="A4986" t="s">
        <v>5597</v>
      </c>
      <c r="B4986" t="s">
        <v>67</v>
      </c>
      <c r="C4986" t="s">
        <v>617</v>
      </c>
      <c r="D4986">
        <v>2342.65</v>
      </c>
      <c r="E4986" s="37" t="str">
        <f t="shared" si="385"/>
        <v xml:space="preserve"> </v>
      </c>
      <c r="F4986">
        <v>0.15</v>
      </c>
      <c r="G4986" s="37" t="str">
        <f t="shared" si="386"/>
        <v>Normal Discount</v>
      </c>
      <c r="H4986" s="37" t="str">
        <f t="shared" si="387"/>
        <v>Low</v>
      </c>
      <c r="I4986">
        <v>7</v>
      </c>
      <c r="J4986" t="str" cm="1">
        <f t="array" ref="J4986">_xlfn.IFS(I4986&lt;=3,"small",I4986&lt;=6,"Medium",I4986&lt;=9,"Large")</f>
        <v>Large</v>
      </c>
      <c r="K4986" s="36">
        <v>45086</v>
      </c>
      <c r="L4986" s="36">
        <v>45089</v>
      </c>
      <c r="M4986" t="s">
        <v>612</v>
      </c>
      <c r="N4986" t="s">
        <v>608</v>
      </c>
      <c r="O4986" s="37" t="str">
        <f t="shared" si="388"/>
        <v>Cash Payment</v>
      </c>
      <c r="P4986">
        <v>495.27</v>
      </c>
      <c r="Q4986" s="37" t="str">
        <f>IF(P4986&gt;500,"High","low")</f>
        <v>low</v>
      </c>
      <c r="R4986" s="37" t="str">
        <f t="shared" si="389"/>
        <v>AVERAGE</v>
      </c>
      <c r="S4986" t="s">
        <v>615</v>
      </c>
    </row>
    <row r="4987" spans="1:19" x14ac:dyDescent="0.2">
      <c r="A4987" t="s">
        <v>5598</v>
      </c>
      <c r="B4987" t="s">
        <v>90</v>
      </c>
      <c r="C4987" t="s">
        <v>597</v>
      </c>
      <c r="D4987">
        <v>4692.26</v>
      </c>
      <c r="E4987" s="37" t="str">
        <f t="shared" si="385"/>
        <v xml:space="preserve"> </v>
      </c>
      <c r="F4987">
        <v>0.23</v>
      </c>
      <c r="G4987" s="37" t="str">
        <f t="shared" si="386"/>
        <v>Normal Discount</v>
      </c>
      <c r="H4987" s="37" t="str">
        <f t="shared" si="387"/>
        <v>Medium</v>
      </c>
      <c r="I4987">
        <v>9</v>
      </c>
      <c r="J4987" t="str" cm="1">
        <f t="array" ref="J4987">_xlfn.IFS(I4987&lt;=3,"small",I4987&lt;=6,"Medium",I4987&lt;=9,"Large")</f>
        <v>Large</v>
      </c>
      <c r="K4987" s="36">
        <v>45414</v>
      </c>
      <c r="L4987" s="36">
        <v>45419</v>
      </c>
      <c r="M4987" t="s">
        <v>612</v>
      </c>
      <c r="N4987" t="s">
        <v>604</v>
      </c>
      <c r="O4987" s="37" t="str">
        <f t="shared" si="388"/>
        <v>Digital Payment</v>
      </c>
      <c r="P4987">
        <v>576.29999999999995</v>
      </c>
      <c r="Q4987" s="37" t="str">
        <f>IF(P4987&gt;500,"High","low")</f>
        <v>High</v>
      </c>
      <c r="R4987" s="37" t="str">
        <f t="shared" si="389"/>
        <v>Good</v>
      </c>
      <c r="S4987" t="s">
        <v>628</v>
      </c>
    </row>
    <row r="4988" spans="1:19" x14ac:dyDescent="0.2">
      <c r="A4988" t="s">
        <v>5599</v>
      </c>
      <c r="B4988" t="s">
        <v>90</v>
      </c>
      <c r="C4988" t="s">
        <v>607</v>
      </c>
      <c r="D4988">
        <v>576.78</v>
      </c>
      <c r="E4988" s="37" t="str">
        <f t="shared" si="385"/>
        <v xml:space="preserve"> </v>
      </c>
      <c r="F4988">
        <v>0.37</v>
      </c>
      <c r="G4988" s="37" t="str">
        <f t="shared" si="386"/>
        <v>Heavy Discount</v>
      </c>
      <c r="H4988" s="37" t="str">
        <f t="shared" si="387"/>
        <v>Medium</v>
      </c>
      <c r="I4988">
        <v>1</v>
      </c>
      <c r="J4988" t="str" cm="1">
        <f t="array" ref="J4988">_xlfn.IFS(I4988&lt;=3,"small",I4988&lt;=6,"Medium",I4988&lt;=9,"Large")</f>
        <v>small</v>
      </c>
      <c r="K4988" s="36">
        <v>45534</v>
      </c>
      <c r="L4988" s="36">
        <v>45539</v>
      </c>
      <c r="M4988" t="s">
        <v>603</v>
      </c>
      <c r="N4988" t="s">
        <v>604</v>
      </c>
      <c r="O4988" s="37" t="str">
        <f t="shared" si="388"/>
        <v>Digital Payment</v>
      </c>
      <c r="P4988">
        <v>75.42</v>
      </c>
      <c r="Q4988" s="37" t="str">
        <f>IF(P4988&gt;500,"High","low")</f>
        <v>low</v>
      </c>
      <c r="R4988" s="37" t="str">
        <f t="shared" si="389"/>
        <v>AVERAGE</v>
      </c>
      <c r="S4988" t="s">
        <v>615</v>
      </c>
    </row>
    <row r="4989" spans="1:19" x14ac:dyDescent="0.2">
      <c r="A4989" t="s">
        <v>5600</v>
      </c>
      <c r="B4989" t="s">
        <v>90</v>
      </c>
      <c r="C4989" t="s">
        <v>597</v>
      </c>
      <c r="D4989">
        <v>3969.01</v>
      </c>
      <c r="E4989" s="37" t="str">
        <f t="shared" si="385"/>
        <v xml:space="preserve"> </v>
      </c>
      <c r="F4989">
        <v>0.46</v>
      </c>
      <c r="G4989" s="37" t="str">
        <f t="shared" si="386"/>
        <v>Heavy Discount</v>
      </c>
      <c r="H4989" s="37" t="str">
        <f t="shared" si="387"/>
        <v>High</v>
      </c>
      <c r="I4989">
        <v>4</v>
      </c>
      <c r="J4989" t="str" cm="1">
        <f t="array" ref="J4989">_xlfn.IFS(I4989&lt;=3,"small",I4989&lt;=6,"Medium",I4989&lt;=9,"Large")</f>
        <v>Medium</v>
      </c>
      <c r="K4989" s="36">
        <v>45384</v>
      </c>
      <c r="L4989" s="36">
        <v>45386</v>
      </c>
      <c r="M4989" t="s">
        <v>612</v>
      </c>
      <c r="N4989" t="s">
        <v>604</v>
      </c>
      <c r="O4989" s="37" t="str">
        <f t="shared" si="388"/>
        <v>Digital Payment</v>
      </c>
      <c r="P4989">
        <v>218.57</v>
      </c>
      <c r="Q4989" s="37" t="str">
        <f>IF(P4989&gt;500,"High","low")</f>
        <v>low</v>
      </c>
      <c r="R4989" s="37" t="str">
        <f t="shared" si="389"/>
        <v>AVERAGE</v>
      </c>
      <c r="S4989" t="s">
        <v>605</v>
      </c>
    </row>
    <row r="4990" spans="1:19" x14ac:dyDescent="0.2">
      <c r="A4990" t="s">
        <v>5601</v>
      </c>
      <c r="B4990" t="s">
        <v>90</v>
      </c>
      <c r="C4990" t="s">
        <v>597</v>
      </c>
      <c r="D4990">
        <v>1886.86</v>
      </c>
      <c r="E4990" s="37" t="str">
        <f t="shared" si="385"/>
        <v xml:space="preserve"> </v>
      </c>
      <c r="F4990">
        <v>0</v>
      </c>
      <c r="G4990" s="37" t="str">
        <f t="shared" si="386"/>
        <v>Normal Discount</v>
      </c>
      <c r="H4990" s="37" t="str">
        <f t="shared" si="387"/>
        <v>Low</v>
      </c>
      <c r="I4990">
        <v>4</v>
      </c>
      <c r="J4990" t="str" cm="1">
        <f t="array" ref="J4990">_xlfn.IFS(I4990&lt;=3,"small",I4990&lt;=6,"Medium",I4990&lt;=9,"Large")</f>
        <v>Medium</v>
      </c>
      <c r="K4990" s="36">
        <v>45173</v>
      </c>
      <c r="L4990" s="36">
        <v>45180</v>
      </c>
      <c r="M4990" t="s">
        <v>612</v>
      </c>
      <c r="N4990" t="s">
        <v>604</v>
      </c>
      <c r="O4990" s="37" t="str">
        <f t="shared" si="388"/>
        <v>Digital Payment</v>
      </c>
      <c r="P4990">
        <v>465.44</v>
      </c>
      <c r="Q4990" s="37" t="str">
        <f>IF(P4990&gt;500,"High","low")</f>
        <v>low</v>
      </c>
      <c r="R4990" s="37" t="str">
        <f t="shared" si="389"/>
        <v>AVERAGE</v>
      </c>
      <c r="S4990" t="s">
        <v>615</v>
      </c>
    </row>
    <row r="4991" spans="1:19" x14ac:dyDescent="0.2">
      <c r="A4991" t="s">
        <v>5602</v>
      </c>
      <c r="B4991" t="s">
        <v>67</v>
      </c>
      <c r="C4991" t="s">
        <v>617</v>
      </c>
      <c r="D4991">
        <v>3507.41</v>
      </c>
      <c r="E4991" s="37" t="str">
        <f t="shared" si="385"/>
        <v xml:space="preserve"> </v>
      </c>
      <c r="F4991">
        <v>0.33</v>
      </c>
      <c r="G4991" s="37" t="str">
        <f t="shared" si="386"/>
        <v>Heavy Discount</v>
      </c>
      <c r="H4991" s="37" t="str">
        <f t="shared" si="387"/>
        <v>Medium</v>
      </c>
      <c r="I4991">
        <v>1</v>
      </c>
      <c r="J4991" t="str" cm="1">
        <f t="array" ref="J4991">_xlfn.IFS(I4991&lt;=3,"small",I4991&lt;=6,"Medium",I4991&lt;=9,"Large")</f>
        <v>small</v>
      </c>
      <c r="K4991" s="36">
        <v>44932</v>
      </c>
      <c r="L4991" s="36">
        <v>44934</v>
      </c>
      <c r="M4991" t="s">
        <v>603</v>
      </c>
      <c r="N4991" t="s">
        <v>599</v>
      </c>
      <c r="O4991" s="37" t="str">
        <f t="shared" si="388"/>
        <v>Digital Payment</v>
      </c>
      <c r="P4991">
        <v>601.15</v>
      </c>
      <c r="Q4991" s="37" t="str">
        <f>IF(P4991&gt;500,"High","low")</f>
        <v>High</v>
      </c>
      <c r="R4991" s="37" t="str">
        <f t="shared" si="389"/>
        <v>Good</v>
      </c>
      <c r="S4991" t="s">
        <v>600</v>
      </c>
    </row>
    <row r="4992" spans="1:19" x14ac:dyDescent="0.2">
      <c r="A4992" t="s">
        <v>5603</v>
      </c>
      <c r="B4992" t="s">
        <v>75</v>
      </c>
      <c r="C4992" t="s">
        <v>607</v>
      </c>
      <c r="D4992">
        <v>4660.55</v>
      </c>
      <c r="E4992" s="37" t="str">
        <f t="shared" si="385"/>
        <v xml:space="preserve"> </v>
      </c>
      <c r="F4992">
        <v>0.03</v>
      </c>
      <c r="G4992" s="37" t="str">
        <f t="shared" si="386"/>
        <v>Normal Discount</v>
      </c>
      <c r="H4992" s="37" t="str">
        <f t="shared" si="387"/>
        <v>Low</v>
      </c>
      <c r="I4992">
        <v>6</v>
      </c>
      <c r="J4992" t="str" cm="1">
        <f t="array" ref="J4992">_xlfn.IFS(I4992&lt;=3,"small",I4992&lt;=6,"Medium",I4992&lt;=9,"Large")</f>
        <v>Medium</v>
      </c>
      <c r="K4992" s="36">
        <v>45479</v>
      </c>
      <c r="L4992" s="36">
        <v>45480</v>
      </c>
      <c r="M4992" t="s">
        <v>603</v>
      </c>
      <c r="N4992" t="s">
        <v>608</v>
      </c>
      <c r="O4992" s="37" t="str">
        <f t="shared" si="388"/>
        <v>Cash Payment</v>
      </c>
      <c r="P4992">
        <v>427.1</v>
      </c>
      <c r="Q4992" s="37" t="str">
        <f>IF(P4992&gt;500,"High","low")</f>
        <v>low</v>
      </c>
      <c r="R4992" s="37" t="str">
        <f t="shared" si="389"/>
        <v>AVERAGE</v>
      </c>
      <c r="S4992" t="s">
        <v>605</v>
      </c>
    </row>
    <row r="4993" spans="1:19" x14ac:dyDescent="0.2">
      <c r="A4993" t="s">
        <v>5604</v>
      </c>
      <c r="B4993" t="s">
        <v>90</v>
      </c>
      <c r="C4993" t="s">
        <v>597</v>
      </c>
      <c r="D4993">
        <v>2636.79</v>
      </c>
      <c r="E4993" s="37" t="str">
        <f t="shared" si="385"/>
        <v xml:space="preserve"> </v>
      </c>
      <c r="F4993">
        <v>0.26</v>
      </c>
      <c r="G4993" s="37" t="str">
        <f t="shared" si="386"/>
        <v>Normal Discount</v>
      </c>
      <c r="H4993" s="37" t="str">
        <f t="shared" si="387"/>
        <v>Medium</v>
      </c>
      <c r="I4993">
        <v>2</v>
      </c>
      <c r="J4993" t="str" cm="1">
        <f t="array" ref="J4993">_xlfn.IFS(I4993&lt;=3,"small",I4993&lt;=6,"Medium",I4993&lt;=9,"Large")</f>
        <v>small</v>
      </c>
      <c r="K4993" s="36">
        <v>44959</v>
      </c>
      <c r="L4993" s="36">
        <v>44965</v>
      </c>
      <c r="M4993" t="s">
        <v>612</v>
      </c>
      <c r="N4993" t="s">
        <v>599</v>
      </c>
      <c r="O4993" s="37" t="str">
        <f t="shared" si="388"/>
        <v>Digital Payment</v>
      </c>
      <c r="P4993">
        <v>547.33000000000004</v>
      </c>
      <c r="Q4993" s="37" t="str">
        <f>IF(P4993&gt;500,"High","low")</f>
        <v>High</v>
      </c>
      <c r="R4993" s="37" t="str">
        <f t="shared" si="389"/>
        <v>Good</v>
      </c>
      <c r="S4993" t="s">
        <v>609</v>
      </c>
    </row>
    <row r="4994" spans="1:19" x14ac:dyDescent="0.2">
      <c r="A4994" t="s">
        <v>5605</v>
      </c>
      <c r="B4994" t="s">
        <v>83</v>
      </c>
      <c r="C4994" t="s">
        <v>614</v>
      </c>
      <c r="D4994">
        <v>210.93</v>
      </c>
      <c r="E4994" s="37" t="str">
        <f t="shared" si="385"/>
        <v xml:space="preserve"> </v>
      </c>
      <c r="F4994">
        <v>0.37</v>
      </c>
      <c r="G4994" s="37" t="str">
        <f t="shared" si="386"/>
        <v>Heavy Discount</v>
      </c>
      <c r="H4994" s="37" t="str">
        <f t="shared" si="387"/>
        <v>Medium</v>
      </c>
      <c r="I4994">
        <v>6</v>
      </c>
      <c r="J4994" t="str" cm="1">
        <f t="array" ref="J4994">_xlfn.IFS(I4994&lt;=3,"small",I4994&lt;=6,"Medium",I4994&lt;=9,"Large")</f>
        <v>Medium</v>
      </c>
      <c r="K4994" s="36">
        <v>45591</v>
      </c>
      <c r="L4994" s="36">
        <v>45596</v>
      </c>
      <c r="M4994" t="s">
        <v>603</v>
      </c>
      <c r="N4994" t="s">
        <v>599</v>
      </c>
      <c r="O4994" s="37" t="str">
        <f t="shared" si="388"/>
        <v>Digital Payment</v>
      </c>
      <c r="P4994">
        <v>16.850000000000001</v>
      </c>
      <c r="Q4994" s="37" t="str">
        <f>IF(P4994&gt;500,"High","low")</f>
        <v>low</v>
      </c>
      <c r="R4994" s="37" t="str">
        <f t="shared" si="389"/>
        <v>AVERAGE</v>
      </c>
      <c r="S4994" t="s">
        <v>600</v>
      </c>
    </row>
    <row r="4995" spans="1:19" x14ac:dyDescent="0.2">
      <c r="A4995" t="s">
        <v>5606</v>
      </c>
      <c r="B4995" t="s">
        <v>75</v>
      </c>
      <c r="C4995" t="s">
        <v>602</v>
      </c>
      <c r="D4995">
        <v>241.36</v>
      </c>
      <c r="E4995" s="37" t="str">
        <f t="shared" ref="E4995:E5058" si="390">IF(AND(D4995&gt;4000,P4995&gt;800),"Excellent Order"," ")</f>
        <v xml:space="preserve"> </v>
      </c>
      <c r="F4995">
        <v>0.08</v>
      </c>
      <c r="G4995" s="37" t="str">
        <f t="shared" ref="G4995:G5058" si="391">IF(F4995&gt;30%,"Heavy Discount","Normal Discount")</f>
        <v>Normal Discount</v>
      </c>
      <c r="H4995" s="37" t="str">
        <f t="shared" ref="H4995:H5058" si="392">IF(F4995&gt;0.4,"High",IF(F4995&gt;=0.2,"Medium","Low"))</f>
        <v>Low</v>
      </c>
      <c r="I4995">
        <v>1</v>
      </c>
      <c r="J4995" t="str" cm="1">
        <f t="array" ref="J4995">_xlfn.IFS(I4995&lt;=3,"small",I4995&lt;=6,"Medium",I4995&lt;=9,"Large")</f>
        <v>small</v>
      </c>
      <c r="K4995" s="36">
        <v>45206</v>
      </c>
      <c r="L4995" s="36">
        <v>45208</v>
      </c>
      <c r="M4995" t="s">
        <v>612</v>
      </c>
      <c r="N4995" t="s">
        <v>599</v>
      </c>
      <c r="O4995" s="37" t="str">
        <f t="shared" ref="O4995:O5058" si="393">IF(OR(N4995="Card",N4995="UPI"),"Digital Payment","Cash Payment")</f>
        <v>Digital Payment</v>
      </c>
      <c r="P4995">
        <v>40.119999999999997</v>
      </c>
      <c r="Q4995" s="37" t="str">
        <f>IF(P4995&gt;500,"High","low")</f>
        <v>low</v>
      </c>
      <c r="R4995" s="37" t="str">
        <f t="shared" ref="R4995:R5058" si="394">IF(P4995&gt;1000,"Excellent",IF(P4995&gt;=500,"Good","AVERAGE"))</f>
        <v>AVERAGE</v>
      </c>
      <c r="S4995" t="s">
        <v>605</v>
      </c>
    </row>
    <row r="4996" spans="1:19" x14ac:dyDescent="0.2">
      <c r="A4996" t="s">
        <v>5607</v>
      </c>
      <c r="B4996" t="s">
        <v>90</v>
      </c>
      <c r="C4996" t="s">
        <v>602</v>
      </c>
      <c r="D4996">
        <v>1719.75</v>
      </c>
      <c r="E4996" s="37" t="str">
        <f t="shared" si="390"/>
        <v xml:space="preserve"> </v>
      </c>
      <c r="F4996">
        <v>0.38</v>
      </c>
      <c r="G4996" s="37" t="str">
        <f t="shared" si="391"/>
        <v>Heavy Discount</v>
      </c>
      <c r="H4996" s="37" t="str">
        <f t="shared" si="392"/>
        <v>Medium</v>
      </c>
      <c r="I4996">
        <v>5</v>
      </c>
      <c r="J4996" t="str" cm="1">
        <f t="array" ref="J4996">_xlfn.IFS(I4996&lt;=3,"small",I4996&lt;=6,"Medium",I4996&lt;=9,"Large")</f>
        <v>Medium</v>
      </c>
      <c r="K4996" s="36">
        <v>45533</v>
      </c>
      <c r="L4996" s="36">
        <v>45534</v>
      </c>
      <c r="M4996" t="s">
        <v>598</v>
      </c>
      <c r="N4996" t="s">
        <v>599</v>
      </c>
      <c r="O4996" s="37" t="str">
        <f t="shared" si="393"/>
        <v>Digital Payment</v>
      </c>
      <c r="P4996">
        <v>143.9</v>
      </c>
      <c r="Q4996" s="37" t="str">
        <f>IF(P4996&gt;500,"High","low")</f>
        <v>low</v>
      </c>
      <c r="R4996" s="37" t="str">
        <f t="shared" si="394"/>
        <v>AVERAGE</v>
      </c>
      <c r="S4996" t="s">
        <v>600</v>
      </c>
    </row>
    <row r="4997" spans="1:19" x14ac:dyDescent="0.2">
      <c r="A4997" t="s">
        <v>5608</v>
      </c>
      <c r="B4997" t="s">
        <v>75</v>
      </c>
      <c r="C4997" t="s">
        <v>617</v>
      </c>
      <c r="D4997">
        <v>3930.13</v>
      </c>
      <c r="E4997" s="37" t="str">
        <f t="shared" si="390"/>
        <v xml:space="preserve"> </v>
      </c>
      <c r="F4997">
        <v>0.15</v>
      </c>
      <c r="G4997" s="37" t="str">
        <f t="shared" si="391"/>
        <v>Normal Discount</v>
      </c>
      <c r="H4997" s="37" t="str">
        <f t="shared" si="392"/>
        <v>Low</v>
      </c>
      <c r="I4997">
        <v>6</v>
      </c>
      <c r="J4997" t="str" cm="1">
        <f t="array" ref="J4997">_xlfn.IFS(I4997&lt;=3,"small",I4997&lt;=6,"Medium",I4997&lt;=9,"Large")</f>
        <v>Medium</v>
      </c>
      <c r="K4997" s="36">
        <v>45032</v>
      </c>
      <c r="L4997" s="36">
        <v>45034</v>
      </c>
      <c r="M4997" t="s">
        <v>612</v>
      </c>
      <c r="N4997" t="s">
        <v>608</v>
      </c>
      <c r="O4997" s="37" t="str">
        <f t="shared" si="393"/>
        <v>Cash Payment</v>
      </c>
      <c r="P4997">
        <v>861.32</v>
      </c>
      <c r="Q4997" s="37" t="str">
        <f>IF(P4997&gt;500,"High","low")</f>
        <v>High</v>
      </c>
      <c r="R4997" s="37" t="str">
        <f t="shared" si="394"/>
        <v>Good</v>
      </c>
      <c r="S4997" t="s">
        <v>605</v>
      </c>
    </row>
    <row r="4998" spans="1:19" x14ac:dyDescent="0.2">
      <c r="A4998" t="s">
        <v>5609</v>
      </c>
      <c r="B4998" t="s">
        <v>83</v>
      </c>
      <c r="C4998" t="s">
        <v>607</v>
      </c>
      <c r="D4998">
        <v>1512.48</v>
      </c>
      <c r="E4998" s="37" t="str">
        <f t="shared" si="390"/>
        <v xml:space="preserve"> </v>
      </c>
      <c r="F4998">
        <v>0.31</v>
      </c>
      <c r="G4998" s="37" t="str">
        <f t="shared" si="391"/>
        <v>Heavy Discount</v>
      </c>
      <c r="H4998" s="37" t="str">
        <f t="shared" si="392"/>
        <v>Medium</v>
      </c>
      <c r="I4998">
        <v>2</v>
      </c>
      <c r="J4998" t="str" cm="1">
        <f t="array" ref="J4998">_xlfn.IFS(I4998&lt;=3,"small",I4998&lt;=6,"Medium",I4998&lt;=9,"Large")</f>
        <v>small</v>
      </c>
      <c r="K4998" s="36">
        <v>45447</v>
      </c>
      <c r="L4998" s="36">
        <v>45450</v>
      </c>
      <c r="M4998" t="s">
        <v>603</v>
      </c>
      <c r="N4998" t="s">
        <v>608</v>
      </c>
      <c r="O4998" s="37" t="str">
        <f t="shared" si="393"/>
        <v>Cash Payment</v>
      </c>
      <c r="P4998">
        <v>147.13999999999999</v>
      </c>
      <c r="Q4998" s="37" t="str">
        <f>IF(P4998&gt;500,"High","low")</f>
        <v>low</v>
      </c>
      <c r="R4998" s="37" t="str">
        <f t="shared" si="394"/>
        <v>AVERAGE</v>
      </c>
      <c r="S4998" t="s">
        <v>628</v>
      </c>
    </row>
    <row r="4999" spans="1:19" x14ac:dyDescent="0.2">
      <c r="A4999" t="s">
        <v>5610</v>
      </c>
      <c r="B4999" t="s">
        <v>90</v>
      </c>
      <c r="C4999" t="s">
        <v>607</v>
      </c>
      <c r="D4999">
        <v>1738.9</v>
      </c>
      <c r="E4999" s="37" t="str">
        <f t="shared" si="390"/>
        <v xml:space="preserve"> </v>
      </c>
      <c r="F4999">
        <v>0.33</v>
      </c>
      <c r="G4999" s="37" t="str">
        <f t="shared" si="391"/>
        <v>Heavy Discount</v>
      </c>
      <c r="H4999" s="37" t="str">
        <f t="shared" si="392"/>
        <v>Medium</v>
      </c>
      <c r="I4999">
        <v>1</v>
      </c>
      <c r="J4999" t="str" cm="1">
        <f t="array" ref="J4999">_xlfn.IFS(I4999&lt;=3,"small",I4999&lt;=6,"Medium",I4999&lt;=9,"Large")</f>
        <v>small</v>
      </c>
      <c r="K4999" s="36">
        <v>45531</v>
      </c>
      <c r="L4999" s="36">
        <v>45535</v>
      </c>
      <c r="M4999" t="s">
        <v>603</v>
      </c>
      <c r="N4999" t="s">
        <v>599</v>
      </c>
      <c r="O4999" s="37" t="str">
        <f t="shared" si="393"/>
        <v>Digital Payment</v>
      </c>
      <c r="P4999">
        <v>501.59</v>
      </c>
      <c r="Q4999" s="37" t="str">
        <f>IF(P4999&gt;500,"High","low")</f>
        <v>High</v>
      </c>
      <c r="R4999" s="37" t="str">
        <f t="shared" si="394"/>
        <v>Good</v>
      </c>
      <c r="S4999" t="s">
        <v>600</v>
      </c>
    </row>
    <row r="5000" spans="1:19" x14ac:dyDescent="0.2">
      <c r="A5000" t="s">
        <v>5611</v>
      </c>
      <c r="B5000" t="s">
        <v>83</v>
      </c>
      <c r="C5000" t="s">
        <v>602</v>
      </c>
      <c r="D5000">
        <v>3943.86</v>
      </c>
      <c r="E5000" s="37" t="str">
        <f t="shared" si="390"/>
        <v xml:space="preserve"> </v>
      </c>
      <c r="F5000">
        <v>0.32</v>
      </c>
      <c r="G5000" s="37" t="str">
        <f t="shared" si="391"/>
        <v>Heavy Discount</v>
      </c>
      <c r="H5000" s="37" t="str">
        <f t="shared" si="392"/>
        <v>Medium</v>
      </c>
      <c r="I5000">
        <v>7</v>
      </c>
      <c r="J5000" t="str" cm="1">
        <f t="array" ref="J5000">_xlfn.IFS(I5000&lt;=3,"small",I5000&lt;=6,"Medium",I5000&lt;=9,"Large")</f>
        <v>Large</v>
      </c>
      <c r="K5000" s="36">
        <v>45564</v>
      </c>
      <c r="L5000" s="36">
        <v>45566</v>
      </c>
      <c r="M5000" t="s">
        <v>612</v>
      </c>
      <c r="N5000" t="s">
        <v>599</v>
      </c>
      <c r="O5000" s="37" t="str">
        <f t="shared" si="393"/>
        <v>Digital Payment</v>
      </c>
      <c r="P5000">
        <v>790.39</v>
      </c>
      <c r="Q5000" s="37" t="str">
        <f>IF(P5000&gt;500,"High","low")</f>
        <v>High</v>
      </c>
      <c r="R5000" s="37" t="str">
        <f t="shared" si="394"/>
        <v>Good</v>
      </c>
      <c r="S5000" t="s">
        <v>605</v>
      </c>
    </row>
    <row r="5001" spans="1:19" x14ac:dyDescent="0.2">
      <c r="A5001" t="s">
        <v>5612</v>
      </c>
      <c r="B5001" t="s">
        <v>67</v>
      </c>
      <c r="C5001" t="s">
        <v>614</v>
      </c>
      <c r="D5001">
        <v>669.33</v>
      </c>
      <c r="E5001" s="37" t="str">
        <f t="shared" si="390"/>
        <v xml:space="preserve"> </v>
      </c>
      <c r="F5001">
        <v>0.01</v>
      </c>
      <c r="G5001" s="37" t="str">
        <f t="shared" si="391"/>
        <v>Normal Discount</v>
      </c>
      <c r="H5001" s="37" t="str">
        <f t="shared" si="392"/>
        <v>Low</v>
      </c>
      <c r="I5001">
        <v>1</v>
      </c>
      <c r="J5001" t="str" cm="1">
        <f t="array" ref="J5001">_xlfn.IFS(I5001&lt;=3,"small",I5001&lt;=6,"Medium",I5001&lt;=9,"Large")</f>
        <v>small</v>
      </c>
      <c r="K5001" s="36">
        <v>44993</v>
      </c>
      <c r="L5001" s="36">
        <v>44996</v>
      </c>
      <c r="M5001" t="s">
        <v>612</v>
      </c>
      <c r="N5001" t="s">
        <v>608</v>
      </c>
      <c r="O5001" s="37" t="str">
        <f t="shared" si="393"/>
        <v>Cash Payment</v>
      </c>
      <c r="P5001">
        <v>37.17</v>
      </c>
      <c r="Q5001" s="37" t="str">
        <f>IF(P5001&gt;500,"High","low")</f>
        <v>low</v>
      </c>
      <c r="R5001" s="37" t="str">
        <f t="shared" si="394"/>
        <v>AVERAGE</v>
      </c>
      <c r="S5001" t="s">
        <v>615</v>
      </c>
    </row>
    <row r="5002" spans="1:19" x14ac:dyDescent="0.2">
      <c r="A5002" t="s">
        <v>5613</v>
      </c>
      <c r="B5002" t="s">
        <v>90</v>
      </c>
      <c r="C5002" t="s">
        <v>602</v>
      </c>
      <c r="D5002">
        <v>4249.38</v>
      </c>
      <c r="E5002" s="37" t="str">
        <f t="shared" si="390"/>
        <v xml:space="preserve"> </v>
      </c>
      <c r="F5002">
        <v>0.08</v>
      </c>
      <c r="G5002" s="37" t="str">
        <f t="shared" si="391"/>
        <v>Normal Discount</v>
      </c>
      <c r="H5002" s="37" t="str">
        <f t="shared" si="392"/>
        <v>Low</v>
      </c>
      <c r="I5002">
        <v>7</v>
      </c>
      <c r="J5002" t="str" cm="1">
        <f t="array" ref="J5002">_xlfn.IFS(I5002&lt;=3,"small",I5002&lt;=6,"Medium",I5002&lt;=9,"Large")</f>
        <v>Large</v>
      </c>
      <c r="K5002" s="36">
        <v>44930</v>
      </c>
      <c r="L5002" s="36">
        <v>44937</v>
      </c>
      <c r="M5002" t="s">
        <v>612</v>
      </c>
      <c r="N5002" t="s">
        <v>608</v>
      </c>
      <c r="O5002" s="37" t="str">
        <f t="shared" si="393"/>
        <v>Cash Payment</v>
      </c>
      <c r="P5002">
        <v>658.44</v>
      </c>
      <c r="Q5002" s="37" t="str">
        <f>IF(P5002&gt;500,"High","low")</f>
        <v>High</v>
      </c>
      <c r="R5002" s="37" t="str">
        <f t="shared" si="394"/>
        <v>Good</v>
      </c>
      <c r="S5002" t="s">
        <v>620</v>
      </c>
    </row>
    <row r="5003" spans="1:19" x14ac:dyDescent="0.2">
      <c r="A5003" t="s">
        <v>5614</v>
      </c>
      <c r="B5003" t="s">
        <v>90</v>
      </c>
      <c r="C5003" t="s">
        <v>602</v>
      </c>
      <c r="D5003">
        <v>1402.38</v>
      </c>
      <c r="E5003" s="37" t="str">
        <f t="shared" si="390"/>
        <v xml:space="preserve"> </v>
      </c>
      <c r="F5003">
        <v>0.43</v>
      </c>
      <c r="G5003" s="37" t="str">
        <f t="shared" si="391"/>
        <v>Heavy Discount</v>
      </c>
      <c r="H5003" s="37" t="str">
        <f t="shared" si="392"/>
        <v>High</v>
      </c>
      <c r="I5003">
        <v>1</v>
      </c>
      <c r="J5003" t="str" cm="1">
        <f t="array" ref="J5003">_xlfn.IFS(I5003&lt;=3,"small",I5003&lt;=6,"Medium",I5003&lt;=9,"Large")</f>
        <v>small</v>
      </c>
      <c r="K5003" s="36">
        <v>44980</v>
      </c>
      <c r="L5003" s="36">
        <v>44984</v>
      </c>
      <c r="M5003" t="s">
        <v>598</v>
      </c>
      <c r="N5003" t="s">
        <v>608</v>
      </c>
      <c r="O5003" s="37" t="str">
        <f t="shared" si="393"/>
        <v>Cash Payment</v>
      </c>
      <c r="P5003">
        <v>126.38</v>
      </c>
      <c r="Q5003" s="37" t="str">
        <f>IF(P5003&gt;500,"High","low")</f>
        <v>low</v>
      </c>
      <c r="R5003" s="37" t="str">
        <f t="shared" si="394"/>
        <v>AVERAGE</v>
      </c>
      <c r="S5003" t="s">
        <v>600</v>
      </c>
    </row>
    <row r="5004" spans="1:19" x14ac:dyDescent="0.2">
      <c r="A5004" t="s">
        <v>5615</v>
      </c>
      <c r="B5004" t="s">
        <v>90</v>
      </c>
      <c r="C5004" t="s">
        <v>607</v>
      </c>
      <c r="D5004">
        <v>350.99</v>
      </c>
      <c r="E5004" s="37" t="str">
        <f t="shared" si="390"/>
        <v xml:space="preserve"> </v>
      </c>
      <c r="F5004">
        <v>0.47</v>
      </c>
      <c r="G5004" s="37" t="str">
        <f t="shared" si="391"/>
        <v>Heavy Discount</v>
      </c>
      <c r="H5004" s="37" t="str">
        <f t="shared" si="392"/>
        <v>High</v>
      </c>
      <c r="I5004">
        <v>9</v>
      </c>
      <c r="J5004" t="str" cm="1">
        <f t="array" ref="J5004">_xlfn.IFS(I5004&lt;=3,"small",I5004&lt;=6,"Medium",I5004&lt;=9,"Large")</f>
        <v>Large</v>
      </c>
      <c r="K5004" s="36">
        <v>45267</v>
      </c>
      <c r="L5004" s="36">
        <v>45269</v>
      </c>
      <c r="M5004" t="s">
        <v>603</v>
      </c>
      <c r="N5004" t="s">
        <v>608</v>
      </c>
      <c r="O5004" s="37" t="str">
        <f t="shared" si="393"/>
        <v>Cash Payment</v>
      </c>
      <c r="P5004">
        <v>70.650000000000006</v>
      </c>
      <c r="Q5004" s="37" t="str">
        <f>IF(P5004&gt;500,"High","low")</f>
        <v>low</v>
      </c>
      <c r="R5004" s="37" t="str">
        <f t="shared" si="394"/>
        <v>AVERAGE</v>
      </c>
      <c r="S5004" t="s">
        <v>605</v>
      </c>
    </row>
    <row r="5005" spans="1:19" x14ac:dyDescent="0.2">
      <c r="A5005" t="s">
        <v>5616</v>
      </c>
      <c r="B5005" t="s">
        <v>90</v>
      </c>
      <c r="C5005" t="s">
        <v>597</v>
      </c>
      <c r="D5005">
        <v>674.98</v>
      </c>
      <c r="E5005" s="37" t="str">
        <f t="shared" si="390"/>
        <v xml:space="preserve"> </v>
      </c>
      <c r="F5005">
        <v>0.28000000000000003</v>
      </c>
      <c r="G5005" s="37" t="str">
        <f t="shared" si="391"/>
        <v>Normal Discount</v>
      </c>
      <c r="H5005" s="37" t="str">
        <f t="shared" si="392"/>
        <v>Medium</v>
      </c>
      <c r="I5005">
        <v>5</v>
      </c>
      <c r="J5005" t="str" cm="1">
        <f t="array" ref="J5005">_xlfn.IFS(I5005&lt;=3,"small",I5005&lt;=6,"Medium",I5005&lt;=9,"Large")</f>
        <v>Medium</v>
      </c>
      <c r="K5005" s="36">
        <v>45060</v>
      </c>
      <c r="L5005" s="36">
        <v>45065</v>
      </c>
      <c r="M5005" t="s">
        <v>598</v>
      </c>
      <c r="N5005" t="s">
        <v>599</v>
      </c>
      <c r="O5005" s="37" t="str">
        <f t="shared" si="393"/>
        <v>Digital Payment</v>
      </c>
      <c r="P5005">
        <v>162.87</v>
      </c>
      <c r="Q5005" s="37" t="str">
        <f>IF(P5005&gt;500,"High","low")</f>
        <v>low</v>
      </c>
      <c r="R5005" s="37" t="str">
        <f t="shared" si="394"/>
        <v>AVERAGE</v>
      </c>
      <c r="S5005" t="s">
        <v>609</v>
      </c>
    </row>
    <row r="5006" spans="1:19" x14ac:dyDescent="0.2">
      <c r="A5006" t="s">
        <v>5617</v>
      </c>
      <c r="B5006" t="s">
        <v>67</v>
      </c>
      <c r="C5006" t="s">
        <v>614</v>
      </c>
      <c r="D5006">
        <v>4767.5200000000004</v>
      </c>
      <c r="E5006" s="37" t="str">
        <f t="shared" si="390"/>
        <v xml:space="preserve"> </v>
      </c>
      <c r="F5006">
        <v>0.3</v>
      </c>
      <c r="G5006" s="37" t="str">
        <f t="shared" si="391"/>
        <v>Normal Discount</v>
      </c>
      <c r="H5006" s="37" t="str">
        <f t="shared" si="392"/>
        <v>Medium</v>
      </c>
      <c r="I5006">
        <v>6</v>
      </c>
      <c r="J5006" t="str" cm="1">
        <f t="array" ref="J5006">_xlfn.IFS(I5006&lt;=3,"small",I5006&lt;=6,"Medium",I5006&lt;=9,"Large")</f>
        <v>Medium</v>
      </c>
      <c r="K5006" s="36">
        <v>45376</v>
      </c>
      <c r="L5006" s="36">
        <v>45380</v>
      </c>
      <c r="M5006" t="s">
        <v>603</v>
      </c>
      <c r="N5006" t="s">
        <v>608</v>
      </c>
      <c r="O5006" s="37" t="str">
        <f t="shared" si="393"/>
        <v>Cash Payment</v>
      </c>
      <c r="P5006">
        <v>606.01</v>
      </c>
      <c r="Q5006" s="37" t="str">
        <f>IF(P5006&gt;500,"High","low")</f>
        <v>High</v>
      </c>
      <c r="R5006" s="37" t="str">
        <f t="shared" si="394"/>
        <v>Good</v>
      </c>
      <c r="S5006" t="s">
        <v>615</v>
      </c>
    </row>
    <row r="5007" spans="1:19" x14ac:dyDescent="0.2">
      <c r="A5007" t="s">
        <v>5618</v>
      </c>
      <c r="B5007" t="s">
        <v>90</v>
      </c>
      <c r="C5007" t="s">
        <v>607</v>
      </c>
      <c r="D5007">
        <v>2311.4899999999998</v>
      </c>
      <c r="E5007" s="37" t="str">
        <f t="shared" si="390"/>
        <v xml:space="preserve"> </v>
      </c>
      <c r="F5007">
        <v>0.38</v>
      </c>
      <c r="G5007" s="37" t="str">
        <f t="shared" si="391"/>
        <v>Heavy Discount</v>
      </c>
      <c r="H5007" s="37" t="str">
        <f t="shared" si="392"/>
        <v>Medium</v>
      </c>
      <c r="I5007">
        <v>7</v>
      </c>
      <c r="J5007" t="str" cm="1">
        <f t="array" ref="J5007">_xlfn.IFS(I5007&lt;=3,"small",I5007&lt;=6,"Medium",I5007&lt;=9,"Large")</f>
        <v>Large</v>
      </c>
      <c r="K5007" s="36">
        <v>44971</v>
      </c>
      <c r="L5007" s="36">
        <v>44978</v>
      </c>
      <c r="M5007" t="s">
        <v>598</v>
      </c>
      <c r="N5007" t="s">
        <v>599</v>
      </c>
      <c r="O5007" s="37" t="str">
        <f t="shared" si="393"/>
        <v>Digital Payment</v>
      </c>
      <c r="P5007">
        <v>505.96</v>
      </c>
      <c r="Q5007" s="37" t="str">
        <f>IF(P5007&gt;500,"High","low")</f>
        <v>High</v>
      </c>
      <c r="R5007" s="37" t="str">
        <f t="shared" si="394"/>
        <v>Good</v>
      </c>
      <c r="S5007" t="s">
        <v>615</v>
      </c>
    </row>
    <row r="5008" spans="1:19" x14ac:dyDescent="0.2">
      <c r="A5008" t="s">
        <v>5619</v>
      </c>
      <c r="B5008" t="s">
        <v>75</v>
      </c>
      <c r="C5008" t="s">
        <v>602</v>
      </c>
      <c r="D5008">
        <v>1356.55</v>
      </c>
      <c r="E5008" s="37" t="str">
        <f t="shared" si="390"/>
        <v xml:space="preserve"> </v>
      </c>
      <c r="F5008">
        <v>0.2</v>
      </c>
      <c r="G5008" s="37" t="str">
        <f t="shared" si="391"/>
        <v>Normal Discount</v>
      </c>
      <c r="H5008" s="37" t="str">
        <f t="shared" si="392"/>
        <v>Medium</v>
      </c>
      <c r="I5008">
        <v>1</v>
      </c>
      <c r="J5008" t="str" cm="1">
        <f t="array" ref="J5008">_xlfn.IFS(I5008&lt;=3,"small",I5008&lt;=6,"Medium",I5008&lt;=9,"Large")</f>
        <v>small</v>
      </c>
      <c r="K5008" s="36">
        <v>45151</v>
      </c>
      <c r="L5008" s="36">
        <v>45157</v>
      </c>
      <c r="M5008" t="s">
        <v>612</v>
      </c>
      <c r="N5008" t="s">
        <v>604</v>
      </c>
      <c r="O5008" s="37" t="str">
        <f t="shared" si="393"/>
        <v>Digital Payment</v>
      </c>
      <c r="P5008">
        <v>363.3</v>
      </c>
      <c r="Q5008" s="37" t="str">
        <f>IF(P5008&gt;500,"High","low")</f>
        <v>low</v>
      </c>
      <c r="R5008" s="37" t="str">
        <f t="shared" si="394"/>
        <v>AVERAGE</v>
      </c>
      <c r="S5008" t="s">
        <v>620</v>
      </c>
    </row>
    <row r="5009" spans="1:19" x14ac:dyDescent="0.2">
      <c r="A5009" t="s">
        <v>5620</v>
      </c>
      <c r="B5009" t="s">
        <v>90</v>
      </c>
      <c r="C5009" t="s">
        <v>597</v>
      </c>
      <c r="D5009">
        <v>2654.23</v>
      </c>
      <c r="E5009" s="37" t="str">
        <f t="shared" si="390"/>
        <v xml:space="preserve"> </v>
      </c>
      <c r="F5009">
        <v>0.16</v>
      </c>
      <c r="G5009" s="37" t="str">
        <f t="shared" si="391"/>
        <v>Normal Discount</v>
      </c>
      <c r="H5009" s="37" t="str">
        <f t="shared" si="392"/>
        <v>Low</v>
      </c>
      <c r="I5009">
        <v>8</v>
      </c>
      <c r="J5009" t="str" cm="1">
        <f t="array" ref="J5009">_xlfn.IFS(I5009&lt;=3,"small",I5009&lt;=6,"Medium",I5009&lt;=9,"Large")</f>
        <v>Large</v>
      </c>
      <c r="K5009" s="36">
        <v>45580</v>
      </c>
      <c r="L5009" s="36">
        <v>45586</v>
      </c>
      <c r="M5009" t="s">
        <v>598</v>
      </c>
      <c r="N5009" t="s">
        <v>599</v>
      </c>
      <c r="O5009" s="37" t="str">
        <f t="shared" si="393"/>
        <v>Digital Payment</v>
      </c>
      <c r="P5009">
        <v>733.43</v>
      </c>
      <c r="Q5009" s="37" t="str">
        <f>IF(P5009&gt;500,"High","low")</f>
        <v>High</v>
      </c>
      <c r="R5009" s="37" t="str">
        <f t="shared" si="394"/>
        <v>Good</v>
      </c>
      <c r="S5009" t="s">
        <v>600</v>
      </c>
    </row>
    <row r="5010" spans="1:19" x14ac:dyDescent="0.2">
      <c r="A5010" t="s">
        <v>5621</v>
      </c>
      <c r="B5010" t="s">
        <v>67</v>
      </c>
      <c r="C5010" t="s">
        <v>614</v>
      </c>
      <c r="D5010">
        <v>3443.5</v>
      </c>
      <c r="E5010" s="37" t="str">
        <f t="shared" si="390"/>
        <v xml:space="preserve"> </v>
      </c>
      <c r="F5010">
        <v>0.38</v>
      </c>
      <c r="G5010" s="37" t="str">
        <f t="shared" si="391"/>
        <v>Heavy Discount</v>
      </c>
      <c r="H5010" s="37" t="str">
        <f t="shared" si="392"/>
        <v>Medium</v>
      </c>
      <c r="I5010">
        <v>6</v>
      </c>
      <c r="J5010" t="str" cm="1">
        <f t="array" ref="J5010">_xlfn.IFS(I5010&lt;=3,"small",I5010&lt;=6,"Medium",I5010&lt;=9,"Large")</f>
        <v>Medium</v>
      </c>
      <c r="K5010" s="36">
        <v>45097</v>
      </c>
      <c r="L5010" s="36">
        <v>45100</v>
      </c>
      <c r="M5010" t="s">
        <v>612</v>
      </c>
      <c r="N5010" t="s">
        <v>608</v>
      </c>
      <c r="O5010" s="37" t="str">
        <f t="shared" si="393"/>
        <v>Cash Payment</v>
      </c>
      <c r="P5010">
        <v>277.98</v>
      </c>
      <c r="Q5010" s="37" t="str">
        <f>IF(P5010&gt;500,"High","low")</f>
        <v>low</v>
      </c>
      <c r="R5010" s="37" t="str">
        <f t="shared" si="394"/>
        <v>AVERAGE</v>
      </c>
      <c r="S5010" t="s">
        <v>615</v>
      </c>
    </row>
    <row r="5011" spans="1:19" x14ac:dyDescent="0.2">
      <c r="A5011" t="s">
        <v>5622</v>
      </c>
      <c r="B5011" t="s">
        <v>90</v>
      </c>
      <c r="C5011" t="s">
        <v>617</v>
      </c>
      <c r="D5011">
        <v>1662.11</v>
      </c>
      <c r="E5011" s="37" t="str">
        <f t="shared" si="390"/>
        <v xml:space="preserve"> </v>
      </c>
      <c r="F5011">
        <v>0.01</v>
      </c>
      <c r="G5011" s="37" t="str">
        <f t="shared" si="391"/>
        <v>Normal Discount</v>
      </c>
      <c r="H5011" s="37" t="str">
        <f t="shared" si="392"/>
        <v>Low</v>
      </c>
      <c r="I5011">
        <v>2</v>
      </c>
      <c r="J5011" t="str" cm="1">
        <f t="array" ref="J5011">_xlfn.IFS(I5011&lt;=3,"small",I5011&lt;=6,"Medium",I5011&lt;=9,"Large")</f>
        <v>small</v>
      </c>
      <c r="K5011" s="36">
        <v>45376</v>
      </c>
      <c r="L5011" s="36">
        <v>45381</v>
      </c>
      <c r="M5011" t="s">
        <v>603</v>
      </c>
      <c r="N5011" t="s">
        <v>599</v>
      </c>
      <c r="O5011" s="37" t="str">
        <f t="shared" si="393"/>
        <v>Digital Payment</v>
      </c>
      <c r="P5011">
        <v>230.64</v>
      </c>
      <c r="Q5011" s="37" t="str">
        <f>IF(P5011&gt;500,"High","low")</f>
        <v>low</v>
      </c>
      <c r="R5011" s="37" t="str">
        <f t="shared" si="394"/>
        <v>AVERAGE</v>
      </c>
      <c r="S5011" t="s">
        <v>609</v>
      </c>
    </row>
    <row r="5012" spans="1:19" x14ac:dyDescent="0.2">
      <c r="A5012" t="s">
        <v>5623</v>
      </c>
      <c r="B5012" t="s">
        <v>75</v>
      </c>
      <c r="C5012" t="s">
        <v>614</v>
      </c>
      <c r="D5012">
        <v>3653.83</v>
      </c>
      <c r="E5012" s="37" t="str">
        <f t="shared" si="390"/>
        <v xml:space="preserve"> </v>
      </c>
      <c r="F5012">
        <v>0.44</v>
      </c>
      <c r="G5012" s="37" t="str">
        <f t="shared" si="391"/>
        <v>Heavy Discount</v>
      </c>
      <c r="H5012" s="37" t="str">
        <f t="shared" si="392"/>
        <v>High</v>
      </c>
      <c r="I5012">
        <v>1</v>
      </c>
      <c r="J5012" t="str" cm="1">
        <f t="array" ref="J5012">_xlfn.IFS(I5012&lt;=3,"small",I5012&lt;=6,"Medium",I5012&lt;=9,"Large")</f>
        <v>small</v>
      </c>
      <c r="K5012" s="36">
        <v>45293</v>
      </c>
      <c r="L5012" s="36">
        <v>45296</v>
      </c>
      <c r="M5012" t="s">
        <v>612</v>
      </c>
      <c r="N5012" t="s">
        <v>608</v>
      </c>
      <c r="O5012" s="37" t="str">
        <f t="shared" si="393"/>
        <v>Cash Payment</v>
      </c>
      <c r="P5012">
        <v>432.07</v>
      </c>
      <c r="Q5012" s="37" t="str">
        <f>IF(P5012&gt;500,"High","low")</f>
        <v>low</v>
      </c>
      <c r="R5012" s="37" t="str">
        <f t="shared" si="394"/>
        <v>AVERAGE</v>
      </c>
      <c r="S5012" t="s">
        <v>615</v>
      </c>
    </row>
    <row r="5013" spans="1:19" x14ac:dyDescent="0.2">
      <c r="A5013" t="s">
        <v>5624</v>
      </c>
      <c r="B5013" t="s">
        <v>67</v>
      </c>
      <c r="C5013" t="s">
        <v>614</v>
      </c>
      <c r="D5013">
        <v>1336.04</v>
      </c>
      <c r="E5013" s="37" t="str">
        <f t="shared" si="390"/>
        <v xml:space="preserve"> </v>
      </c>
      <c r="F5013">
        <v>0.22</v>
      </c>
      <c r="G5013" s="37" t="str">
        <f t="shared" si="391"/>
        <v>Normal Discount</v>
      </c>
      <c r="H5013" s="37" t="str">
        <f t="shared" si="392"/>
        <v>Medium</v>
      </c>
      <c r="I5013">
        <v>1</v>
      </c>
      <c r="J5013" t="str" cm="1">
        <f t="array" ref="J5013">_xlfn.IFS(I5013&lt;=3,"small",I5013&lt;=6,"Medium",I5013&lt;=9,"Large")</f>
        <v>small</v>
      </c>
      <c r="K5013" s="36">
        <v>45237</v>
      </c>
      <c r="L5013" s="36">
        <v>45243</v>
      </c>
      <c r="M5013" t="s">
        <v>603</v>
      </c>
      <c r="N5013" t="s">
        <v>604</v>
      </c>
      <c r="O5013" s="37" t="str">
        <f t="shared" si="393"/>
        <v>Digital Payment</v>
      </c>
      <c r="P5013">
        <v>257.38</v>
      </c>
      <c r="Q5013" s="37" t="str">
        <f>IF(P5013&gt;500,"High","low")</f>
        <v>low</v>
      </c>
      <c r="R5013" s="37" t="str">
        <f t="shared" si="394"/>
        <v>AVERAGE</v>
      </c>
      <c r="S5013" t="s">
        <v>628</v>
      </c>
    </row>
    <row r="5014" spans="1:19" x14ac:dyDescent="0.2">
      <c r="A5014" t="s">
        <v>5625</v>
      </c>
      <c r="B5014" t="s">
        <v>67</v>
      </c>
      <c r="C5014" t="s">
        <v>602</v>
      </c>
      <c r="D5014">
        <v>650.45000000000005</v>
      </c>
      <c r="E5014" s="37" t="str">
        <f t="shared" si="390"/>
        <v xml:space="preserve"> </v>
      </c>
      <c r="F5014">
        <v>0.25</v>
      </c>
      <c r="G5014" s="37" t="str">
        <f t="shared" si="391"/>
        <v>Normal Discount</v>
      </c>
      <c r="H5014" s="37" t="str">
        <f t="shared" si="392"/>
        <v>Medium</v>
      </c>
      <c r="I5014">
        <v>4</v>
      </c>
      <c r="J5014" t="str" cm="1">
        <f t="array" ref="J5014">_xlfn.IFS(I5014&lt;=3,"small",I5014&lt;=6,"Medium",I5014&lt;=9,"Large")</f>
        <v>Medium</v>
      </c>
      <c r="K5014" s="36">
        <v>45603</v>
      </c>
      <c r="L5014" s="36">
        <v>45605</v>
      </c>
      <c r="M5014" t="s">
        <v>603</v>
      </c>
      <c r="N5014" t="s">
        <v>608</v>
      </c>
      <c r="O5014" s="37" t="str">
        <f t="shared" si="393"/>
        <v>Cash Payment</v>
      </c>
      <c r="P5014">
        <v>165.23</v>
      </c>
      <c r="Q5014" s="37" t="str">
        <f>IF(P5014&gt;500,"High","low")</f>
        <v>low</v>
      </c>
      <c r="R5014" s="37" t="str">
        <f t="shared" si="394"/>
        <v>AVERAGE</v>
      </c>
      <c r="S5014" t="s">
        <v>620</v>
      </c>
    </row>
    <row r="5015" spans="1:19" x14ac:dyDescent="0.2">
      <c r="A5015" t="s">
        <v>5626</v>
      </c>
      <c r="B5015" t="s">
        <v>75</v>
      </c>
      <c r="C5015" t="s">
        <v>602</v>
      </c>
      <c r="D5015">
        <v>2793.57</v>
      </c>
      <c r="E5015" s="37" t="str">
        <f t="shared" si="390"/>
        <v xml:space="preserve"> </v>
      </c>
      <c r="F5015">
        <v>0.32</v>
      </c>
      <c r="G5015" s="37" t="str">
        <f t="shared" si="391"/>
        <v>Heavy Discount</v>
      </c>
      <c r="H5015" s="37" t="str">
        <f t="shared" si="392"/>
        <v>Medium</v>
      </c>
      <c r="I5015">
        <v>3</v>
      </c>
      <c r="J5015" t="str" cm="1">
        <f t="array" ref="J5015">_xlfn.IFS(I5015&lt;=3,"small",I5015&lt;=6,"Medium",I5015&lt;=9,"Large")</f>
        <v>small</v>
      </c>
      <c r="K5015" s="36">
        <v>45130</v>
      </c>
      <c r="L5015" s="36">
        <v>45133</v>
      </c>
      <c r="M5015" t="s">
        <v>612</v>
      </c>
      <c r="N5015" t="s">
        <v>608</v>
      </c>
      <c r="O5015" s="37" t="str">
        <f t="shared" si="393"/>
        <v>Cash Payment</v>
      </c>
      <c r="P5015">
        <v>589.38</v>
      </c>
      <c r="Q5015" s="37" t="str">
        <f>IF(P5015&gt;500,"High","low")</f>
        <v>High</v>
      </c>
      <c r="R5015" s="37" t="str">
        <f t="shared" si="394"/>
        <v>Good</v>
      </c>
      <c r="S5015" t="s">
        <v>615</v>
      </c>
    </row>
    <row r="5016" spans="1:19" x14ac:dyDescent="0.2">
      <c r="A5016" t="s">
        <v>5627</v>
      </c>
      <c r="B5016" t="s">
        <v>75</v>
      </c>
      <c r="C5016" t="s">
        <v>617</v>
      </c>
      <c r="D5016">
        <v>840.48</v>
      </c>
      <c r="E5016" s="37" t="str">
        <f t="shared" si="390"/>
        <v xml:space="preserve"> </v>
      </c>
      <c r="F5016">
        <v>0.14000000000000001</v>
      </c>
      <c r="G5016" s="37" t="str">
        <f t="shared" si="391"/>
        <v>Normal Discount</v>
      </c>
      <c r="H5016" s="37" t="str">
        <f t="shared" si="392"/>
        <v>Low</v>
      </c>
      <c r="I5016">
        <v>6</v>
      </c>
      <c r="J5016" t="str" cm="1">
        <f t="array" ref="J5016">_xlfn.IFS(I5016&lt;=3,"small",I5016&lt;=6,"Medium",I5016&lt;=9,"Large")</f>
        <v>Medium</v>
      </c>
      <c r="K5016" s="36">
        <v>45423</v>
      </c>
      <c r="L5016" s="36">
        <v>45424</v>
      </c>
      <c r="M5016" t="s">
        <v>603</v>
      </c>
      <c r="N5016" t="s">
        <v>608</v>
      </c>
      <c r="O5016" s="37" t="str">
        <f t="shared" si="393"/>
        <v>Cash Payment</v>
      </c>
      <c r="P5016">
        <v>248.58</v>
      </c>
      <c r="Q5016" s="37" t="str">
        <f>IF(P5016&gt;500,"High","low")</f>
        <v>low</v>
      </c>
      <c r="R5016" s="37" t="str">
        <f t="shared" si="394"/>
        <v>AVERAGE</v>
      </c>
      <c r="S5016" t="s">
        <v>620</v>
      </c>
    </row>
    <row r="5017" spans="1:19" x14ac:dyDescent="0.2">
      <c r="A5017" t="s">
        <v>5628</v>
      </c>
      <c r="B5017" t="s">
        <v>75</v>
      </c>
      <c r="C5017" t="s">
        <v>617</v>
      </c>
      <c r="D5017">
        <v>4708.38</v>
      </c>
      <c r="E5017" s="37" t="str">
        <f t="shared" si="390"/>
        <v xml:space="preserve"> </v>
      </c>
      <c r="F5017">
        <v>0.3</v>
      </c>
      <c r="G5017" s="37" t="str">
        <f t="shared" si="391"/>
        <v>Normal Discount</v>
      </c>
      <c r="H5017" s="37" t="str">
        <f t="shared" si="392"/>
        <v>Medium</v>
      </c>
      <c r="I5017">
        <v>8</v>
      </c>
      <c r="J5017" t="str" cm="1">
        <f t="array" ref="J5017">_xlfn.IFS(I5017&lt;=3,"small",I5017&lt;=6,"Medium",I5017&lt;=9,"Large")</f>
        <v>Large</v>
      </c>
      <c r="K5017" s="36">
        <v>45198</v>
      </c>
      <c r="L5017" s="36">
        <v>45201</v>
      </c>
      <c r="M5017" t="s">
        <v>603</v>
      </c>
      <c r="N5017" t="s">
        <v>608</v>
      </c>
      <c r="O5017" s="37" t="str">
        <f t="shared" si="393"/>
        <v>Cash Payment</v>
      </c>
      <c r="P5017">
        <v>281.92</v>
      </c>
      <c r="Q5017" s="37" t="str">
        <f>IF(P5017&gt;500,"High","low")</f>
        <v>low</v>
      </c>
      <c r="R5017" s="37" t="str">
        <f t="shared" si="394"/>
        <v>AVERAGE</v>
      </c>
      <c r="S5017" t="s">
        <v>628</v>
      </c>
    </row>
    <row r="5018" spans="1:19" x14ac:dyDescent="0.2">
      <c r="A5018" t="s">
        <v>5629</v>
      </c>
      <c r="B5018" t="s">
        <v>75</v>
      </c>
      <c r="C5018" t="s">
        <v>617</v>
      </c>
      <c r="D5018">
        <v>102.2</v>
      </c>
      <c r="E5018" s="37" t="str">
        <f t="shared" si="390"/>
        <v xml:space="preserve"> </v>
      </c>
      <c r="F5018">
        <v>0.35</v>
      </c>
      <c r="G5018" s="37" t="str">
        <f t="shared" si="391"/>
        <v>Heavy Discount</v>
      </c>
      <c r="H5018" s="37" t="str">
        <f t="shared" si="392"/>
        <v>Medium</v>
      </c>
      <c r="I5018">
        <v>1</v>
      </c>
      <c r="J5018" t="str" cm="1">
        <f t="array" ref="J5018">_xlfn.IFS(I5018&lt;=3,"small",I5018&lt;=6,"Medium",I5018&lt;=9,"Large")</f>
        <v>small</v>
      </c>
      <c r="K5018" s="36">
        <v>45405</v>
      </c>
      <c r="L5018" s="36">
        <v>45408</v>
      </c>
      <c r="M5018" t="s">
        <v>603</v>
      </c>
      <c r="N5018" t="s">
        <v>599</v>
      </c>
      <c r="O5018" s="37" t="str">
        <f t="shared" si="393"/>
        <v>Digital Payment</v>
      </c>
      <c r="P5018">
        <v>10.199999999999999</v>
      </c>
      <c r="Q5018" s="37" t="str">
        <f>IF(P5018&gt;500,"High","low")</f>
        <v>low</v>
      </c>
      <c r="R5018" s="37" t="str">
        <f t="shared" si="394"/>
        <v>AVERAGE</v>
      </c>
      <c r="S5018" t="s">
        <v>615</v>
      </c>
    </row>
    <row r="5019" spans="1:19" x14ac:dyDescent="0.2">
      <c r="A5019" t="s">
        <v>5630</v>
      </c>
      <c r="B5019" t="s">
        <v>75</v>
      </c>
      <c r="C5019" t="s">
        <v>607</v>
      </c>
      <c r="D5019">
        <v>3802.91</v>
      </c>
      <c r="E5019" s="37" t="str">
        <f t="shared" si="390"/>
        <v xml:space="preserve"> </v>
      </c>
      <c r="F5019">
        <v>0.06</v>
      </c>
      <c r="G5019" s="37" t="str">
        <f t="shared" si="391"/>
        <v>Normal Discount</v>
      </c>
      <c r="H5019" s="37" t="str">
        <f t="shared" si="392"/>
        <v>Low</v>
      </c>
      <c r="I5019">
        <v>7</v>
      </c>
      <c r="J5019" t="str" cm="1">
        <f t="array" ref="J5019">_xlfn.IFS(I5019&lt;=3,"small",I5019&lt;=6,"Medium",I5019&lt;=9,"Large")</f>
        <v>Large</v>
      </c>
      <c r="K5019" s="36">
        <v>45177</v>
      </c>
      <c r="L5019" s="36">
        <v>45184</v>
      </c>
      <c r="M5019" t="s">
        <v>598</v>
      </c>
      <c r="N5019" t="s">
        <v>608</v>
      </c>
      <c r="O5019" s="37" t="str">
        <f t="shared" si="393"/>
        <v>Cash Payment</v>
      </c>
      <c r="P5019">
        <v>999.56</v>
      </c>
      <c r="Q5019" s="37" t="str">
        <f>IF(P5019&gt;500,"High","low")</f>
        <v>High</v>
      </c>
      <c r="R5019" s="37" t="str">
        <f t="shared" si="394"/>
        <v>Good</v>
      </c>
      <c r="S5019" t="s">
        <v>605</v>
      </c>
    </row>
    <row r="5020" spans="1:19" x14ac:dyDescent="0.2">
      <c r="A5020" t="s">
        <v>5631</v>
      </c>
      <c r="B5020" t="s">
        <v>67</v>
      </c>
      <c r="C5020" t="s">
        <v>607</v>
      </c>
      <c r="D5020">
        <v>1469.42</v>
      </c>
      <c r="E5020" s="37" t="str">
        <f t="shared" si="390"/>
        <v xml:space="preserve"> </v>
      </c>
      <c r="F5020">
        <v>0.26</v>
      </c>
      <c r="G5020" s="37" t="str">
        <f t="shared" si="391"/>
        <v>Normal Discount</v>
      </c>
      <c r="H5020" s="37" t="str">
        <f t="shared" si="392"/>
        <v>Medium</v>
      </c>
      <c r="I5020">
        <v>8</v>
      </c>
      <c r="J5020" t="str" cm="1">
        <f t="array" ref="J5020">_xlfn.IFS(I5020&lt;=3,"small",I5020&lt;=6,"Medium",I5020&lt;=9,"Large")</f>
        <v>Large</v>
      </c>
      <c r="K5020" s="36">
        <v>44997</v>
      </c>
      <c r="L5020" s="36">
        <v>45002</v>
      </c>
      <c r="M5020" t="s">
        <v>598</v>
      </c>
      <c r="N5020" t="s">
        <v>604</v>
      </c>
      <c r="O5020" s="37" t="str">
        <f t="shared" si="393"/>
        <v>Digital Payment</v>
      </c>
      <c r="P5020">
        <v>217.72</v>
      </c>
      <c r="Q5020" s="37" t="str">
        <f>IF(P5020&gt;500,"High","low")</f>
        <v>low</v>
      </c>
      <c r="R5020" s="37" t="str">
        <f t="shared" si="394"/>
        <v>AVERAGE</v>
      </c>
      <c r="S5020" t="s">
        <v>609</v>
      </c>
    </row>
    <row r="5021" spans="1:19" x14ac:dyDescent="0.2">
      <c r="A5021" t="s">
        <v>5632</v>
      </c>
      <c r="B5021" t="s">
        <v>67</v>
      </c>
      <c r="C5021" t="s">
        <v>602</v>
      </c>
      <c r="D5021">
        <v>4245.83</v>
      </c>
      <c r="E5021" s="37" t="str">
        <f t="shared" si="390"/>
        <v>Excellent Order</v>
      </c>
      <c r="F5021">
        <v>0.16</v>
      </c>
      <c r="G5021" s="37" t="str">
        <f t="shared" si="391"/>
        <v>Normal Discount</v>
      </c>
      <c r="H5021" s="37" t="str">
        <f t="shared" si="392"/>
        <v>Low</v>
      </c>
      <c r="I5021">
        <v>5</v>
      </c>
      <c r="J5021" t="str" cm="1">
        <f t="array" ref="J5021">_xlfn.IFS(I5021&lt;=3,"small",I5021&lt;=6,"Medium",I5021&lt;=9,"Large")</f>
        <v>Medium</v>
      </c>
      <c r="K5021" s="36">
        <v>45272</v>
      </c>
      <c r="L5021" s="36">
        <v>45275</v>
      </c>
      <c r="M5021" t="s">
        <v>603</v>
      </c>
      <c r="N5021" t="s">
        <v>599</v>
      </c>
      <c r="O5021" s="37" t="str">
        <f t="shared" si="393"/>
        <v>Digital Payment</v>
      </c>
      <c r="P5021">
        <v>1038.93</v>
      </c>
      <c r="Q5021" s="37" t="str">
        <f>IF(P5021&gt;500,"High","low")</f>
        <v>High</v>
      </c>
      <c r="R5021" s="37" t="str">
        <f t="shared" si="394"/>
        <v>Excellent</v>
      </c>
      <c r="S5021" t="s">
        <v>615</v>
      </c>
    </row>
    <row r="5022" spans="1:19" x14ac:dyDescent="0.2">
      <c r="A5022" t="s">
        <v>5633</v>
      </c>
      <c r="B5022" t="s">
        <v>90</v>
      </c>
      <c r="C5022" t="s">
        <v>602</v>
      </c>
      <c r="D5022">
        <v>394.74</v>
      </c>
      <c r="E5022" s="37" t="str">
        <f t="shared" si="390"/>
        <v xml:space="preserve"> </v>
      </c>
      <c r="F5022">
        <v>0.28000000000000003</v>
      </c>
      <c r="G5022" s="37" t="str">
        <f t="shared" si="391"/>
        <v>Normal Discount</v>
      </c>
      <c r="H5022" s="37" t="str">
        <f t="shared" si="392"/>
        <v>Medium</v>
      </c>
      <c r="I5022">
        <v>8</v>
      </c>
      <c r="J5022" t="str" cm="1">
        <f t="array" ref="J5022">_xlfn.IFS(I5022&lt;=3,"small",I5022&lt;=6,"Medium",I5022&lt;=9,"Large")</f>
        <v>Large</v>
      </c>
      <c r="K5022" s="36">
        <v>45181</v>
      </c>
      <c r="L5022" s="36">
        <v>45185</v>
      </c>
      <c r="M5022" t="s">
        <v>598</v>
      </c>
      <c r="N5022" t="s">
        <v>608</v>
      </c>
      <c r="O5022" s="37" t="str">
        <f t="shared" si="393"/>
        <v>Cash Payment</v>
      </c>
      <c r="P5022">
        <v>115.63</v>
      </c>
      <c r="Q5022" s="37" t="str">
        <f>IF(P5022&gt;500,"High","low")</f>
        <v>low</v>
      </c>
      <c r="R5022" s="37" t="str">
        <f t="shared" si="394"/>
        <v>AVERAGE</v>
      </c>
      <c r="S5022" t="s">
        <v>615</v>
      </c>
    </row>
    <row r="5023" spans="1:19" x14ac:dyDescent="0.2">
      <c r="A5023" t="s">
        <v>5634</v>
      </c>
      <c r="B5023" t="s">
        <v>90</v>
      </c>
      <c r="C5023" t="s">
        <v>617</v>
      </c>
      <c r="D5023">
        <v>4769.7</v>
      </c>
      <c r="E5023" s="37" t="str">
        <f t="shared" si="390"/>
        <v>Excellent Order</v>
      </c>
      <c r="F5023">
        <v>0.01</v>
      </c>
      <c r="G5023" s="37" t="str">
        <f t="shared" si="391"/>
        <v>Normal Discount</v>
      </c>
      <c r="H5023" s="37" t="str">
        <f t="shared" si="392"/>
        <v>Low</v>
      </c>
      <c r="I5023">
        <v>1</v>
      </c>
      <c r="J5023" t="str" cm="1">
        <f t="array" ref="J5023">_xlfn.IFS(I5023&lt;=3,"small",I5023&lt;=6,"Medium",I5023&lt;=9,"Large")</f>
        <v>small</v>
      </c>
      <c r="K5023" s="36">
        <v>45055</v>
      </c>
      <c r="L5023" s="36">
        <v>45058</v>
      </c>
      <c r="M5023" t="s">
        <v>598</v>
      </c>
      <c r="N5023" t="s">
        <v>604</v>
      </c>
      <c r="O5023" s="37" t="str">
        <f t="shared" si="393"/>
        <v>Digital Payment</v>
      </c>
      <c r="P5023">
        <v>942.29</v>
      </c>
      <c r="Q5023" s="37" t="str">
        <f>IF(P5023&gt;500,"High","low")</f>
        <v>High</v>
      </c>
      <c r="R5023" s="37" t="str">
        <f t="shared" si="394"/>
        <v>Good</v>
      </c>
      <c r="S5023" t="s">
        <v>609</v>
      </c>
    </row>
    <row r="5024" spans="1:19" x14ac:dyDescent="0.2">
      <c r="A5024" t="s">
        <v>5635</v>
      </c>
      <c r="B5024" t="s">
        <v>83</v>
      </c>
      <c r="C5024" t="s">
        <v>607</v>
      </c>
      <c r="D5024">
        <v>596.83000000000004</v>
      </c>
      <c r="E5024" s="37" t="str">
        <f t="shared" si="390"/>
        <v xml:space="preserve"> </v>
      </c>
      <c r="F5024">
        <v>0.37</v>
      </c>
      <c r="G5024" s="37" t="str">
        <f t="shared" si="391"/>
        <v>Heavy Discount</v>
      </c>
      <c r="H5024" s="37" t="str">
        <f t="shared" si="392"/>
        <v>Medium</v>
      </c>
      <c r="I5024">
        <v>2</v>
      </c>
      <c r="J5024" t="str" cm="1">
        <f t="array" ref="J5024">_xlfn.IFS(I5024&lt;=3,"small",I5024&lt;=6,"Medium",I5024&lt;=9,"Large")</f>
        <v>small</v>
      </c>
      <c r="K5024" s="36">
        <v>45440</v>
      </c>
      <c r="L5024" s="36">
        <v>45446</v>
      </c>
      <c r="M5024" t="s">
        <v>612</v>
      </c>
      <c r="N5024" t="s">
        <v>599</v>
      </c>
      <c r="O5024" s="37" t="str">
        <f t="shared" si="393"/>
        <v>Digital Payment</v>
      </c>
      <c r="P5024">
        <v>129.21</v>
      </c>
      <c r="Q5024" s="37" t="str">
        <f>IF(P5024&gt;500,"High","low")</f>
        <v>low</v>
      </c>
      <c r="R5024" s="37" t="str">
        <f t="shared" si="394"/>
        <v>AVERAGE</v>
      </c>
      <c r="S5024" t="s">
        <v>605</v>
      </c>
    </row>
    <row r="5025" spans="1:19" x14ac:dyDescent="0.2">
      <c r="A5025" t="s">
        <v>5636</v>
      </c>
      <c r="B5025" t="s">
        <v>90</v>
      </c>
      <c r="C5025" t="s">
        <v>597</v>
      </c>
      <c r="D5025">
        <v>3960.63</v>
      </c>
      <c r="E5025" s="37" t="str">
        <f t="shared" si="390"/>
        <v xml:space="preserve"> </v>
      </c>
      <c r="F5025">
        <v>0.08</v>
      </c>
      <c r="G5025" s="37" t="str">
        <f t="shared" si="391"/>
        <v>Normal Discount</v>
      </c>
      <c r="H5025" s="37" t="str">
        <f t="shared" si="392"/>
        <v>Low</v>
      </c>
      <c r="I5025">
        <v>4</v>
      </c>
      <c r="J5025" t="str" cm="1">
        <f t="array" ref="J5025">_xlfn.IFS(I5025&lt;=3,"small",I5025&lt;=6,"Medium",I5025&lt;=9,"Large")</f>
        <v>Medium</v>
      </c>
      <c r="K5025" s="36">
        <v>45277</v>
      </c>
      <c r="L5025" s="36">
        <v>45279</v>
      </c>
      <c r="M5025" t="s">
        <v>612</v>
      </c>
      <c r="N5025" t="s">
        <v>599</v>
      </c>
      <c r="O5025" s="37" t="str">
        <f t="shared" si="393"/>
        <v>Digital Payment</v>
      </c>
      <c r="P5025">
        <v>578.73</v>
      </c>
      <c r="Q5025" s="37" t="str">
        <f>IF(P5025&gt;500,"High","low")</f>
        <v>High</v>
      </c>
      <c r="R5025" s="37" t="str">
        <f t="shared" si="394"/>
        <v>Good</v>
      </c>
      <c r="S5025" t="s">
        <v>600</v>
      </c>
    </row>
    <row r="5026" spans="1:19" x14ac:dyDescent="0.2">
      <c r="A5026" t="s">
        <v>5637</v>
      </c>
      <c r="B5026" t="s">
        <v>90</v>
      </c>
      <c r="C5026" t="s">
        <v>607</v>
      </c>
      <c r="D5026">
        <v>2634.98</v>
      </c>
      <c r="E5026" s="37" t="str">
        <f t="shared" si="390"/>
        <v xml:space="preserve"> </v>
      </c>
      <c r="F5026">
        <v>0.34</v>
      </c>
      <c r="G5026" s="37" t="str">
        <f t="shared" si="391"/>
        <v>Heavy Discount</v>
      </c>
      <c r="H5026" s="37" t="str">
        <f t="shared" si="392"/>
        <v>Medium</v>
      </c>
      <c r="I5026">
        <v>1</v>
      </c>
      <c r="J5026" t="str" cm="1">
        <f t="array" ref="J5026">_xlfn.IFS(I5026&lt;=3,"small",I5026&lt;=6,"Medium",I5026&lt;=9,"Large")</f>
        <v>small</v>
      </c>
      <c r="K5026" s="36">
        <v>45010</v>
      </c>
      <c r="L5026" s="36">
        <v>45011</v>
      </c>
      <c r="M5026" t="s">
        <v>603</v>
      </c>
      <c r="N5026" t="s">
        <v>608</v>
      </c>
      <c r="O5026" s="37" t="str">
        <f t="shared" si="393"/>
        <v>Cash Payment</v>
      </c>
      <c r="P5026">
        <v>724.1</v>
      </c>
      <c r="Q5026" s="37" t="str">
        <f>IF(P5026&gt;500,"High","low")</f>
        <v>High</v>
      </c>
      <c r="R5026" s="37" t="str">
        <f t="shared" si="394"/>
        <v>Good</v>
      </c>
      <c r="S5026" t="s">
        <v>605</v>
      </c>
    </row>
    <row r="5027" spans="1:19" x14ac:dyDescent="0.2">
      <c r="A5027" t="s">
        <v>5638</v>
      </c>
      <c r="B5027" t="s">
        <v>75</v>
      </c>
      <c r="C5027" t="s">
        <v>602</v>
      </c>
      <c r="D5027">
        <v>2208.9299999999998</v>
      </c>
      <c r="E5027" s="37" t="str">
        <f t="shared" si="390"/>
        <v xml:space="preserve"> </v>
      </c>
      <c r="F5027">
        <v>0.38</v>
      </c>
      <c r="G5027" s="37" t="str">
        <f t="shared" si="391"/>
        <v>Heavy Discount</v>
      </c>
      <c r="H5027" s="37" t="str">
        <f t="shared" si="392"/>
        <v>Medium</v>
      </c>
      <c r="I5027">
        <v>5</v>
      </c>
      <c r="J5027" t="str" cm="1">
        <f t="array" ref="J5027">_xlfn.IFS(I5027&lt;=3,"small",I5027&lt;=6,"Medium",I5027&lt;=9,"Large")</f>
        <v>Medium</v>
      </c>
      <c r="K5027" s="36">
        <v>45283</v>
      </c>
      <c r="L5027" s="36">
        <v>45284</v>
      </c>
      <c r="M5027" t="s">
        <v>612</v>
      </c>
      <c r="N5027" t="s">
        <v>604</v>
      </c>
      <c r="O5027" s="37" t="str">
        <f t="shared" si="393"/>
        <v>Digital Payment</v>
      </c>
      <c r="P5027">
        <v>480.62</v>
      </c>
      <c r="Q5027" s="37" t="str">
        <f>IF(P5027&gt;500,"High","low")</f>
        <v>low</v>
      </c>
      <c r="R5027" s="37" t="str">
        <f t="shared" si="394"/>
        <v>AVERAGE</v>
      </c>
      <c r="S5027" t="s">
        <v>628</v>
      </c>
    </row>
    <row r="5028" spans="1:19" x14ac:dyDescent="0.2">
      <c r="A5028" t="s">
        <v>5639</v>
      </c>
      <c r="B5028" t="s">
        <v>75</v>
      </c>
      <c r="C5028" t="s">
        <v>607</v>
      </c>
      <c r="D5028">
        <v>1472.76</v>
      </c>
      <c r="E5028" s="37" t="str">
        <f t="shared" si="390"/>
        <v xml:space="preserve"> </v>
      </c>
      <c r="F5028">
        <v>0.38</v>
      </c>
      <c r="G5028" s="37" t="str">
        <f t="shared" si="391"/>
        <v>Heavy Discount</v>
      </c>
      <c r="H5028" s="37" t="str">
        <f t="shared" si="392"/>
        <v>Medium</v>
      </c>
      <c r="I5028">
        <v>3</v>
      </c>
      <c r="J5028" t="str" cm="1">
        <f t="array" ref="J5028">_xlfn.IFS(I5028&lt;=3,"small",I5028&lt;=6,"Medium",I5028&lt;=9,"Large")</f>
        <v>small</v>
      </c>
      <c r="K5028" s="36">
        <v>45049</v>
      </c>
      <c r="L5028" s="36">
        <v>45055</v>
      </c>
      <c r="M5028" t="s">
        <v>603</v>
      </c>
      <c r="N5028" t="s">
        <v>599</v>
      </c>
      <c r="O5028" s="37" t="str">
        <f t="shared" si="393"/>
        <v>Digital Payment</v>
      </c>
      <c r="P5028">
        <v>296.01</v>
      </c>
      <c r="Q5028" s="37" t="str">
        <f>IF(P5028&gt;500,"High","low")</f>
        <v>low</v>
      </c>
      <c r="R5028" s="37" t="str">
        <f t="shared" si="394"/>
        <v>AVERAGE</v>
      </c>
      <c r="S5028" t="s">
        <v>600</v>
      </c>
    </row>
    <row r="5029" spans="1:19" x14ac:dyDescent="0.2">
      <c r="A5029" t="s">
        <v>5640</v>
      </c>
      <c r="B5029" t="s">
        <v>90</v>
      </c>
      <c r="C5029" t="s">
        <v>602</v>
      </c>
      <c r="D5029">
        <v>4222.71</v>
      </c>
      <c r="E5029" s="37" t="str">
        <f t="shared" si="390"/>
        <v xml:space="preserve"> </v>
      </c>
      <c r="F5029">
        <v>0.41</v>
      </c>
      <c r="G5029" s="37" t="str">
        <f t="shared" si="391"/>
        <v>Heavy Discount</v>
      </c>
      <c r="H5029" s="37" t="str">
        <f t="shared" si="392"/>
        <v>High</v>
      </c>
      <c r="I5029">
        <v>2</v>
      </c>
      <c r="J5029" t="str" cm="1">
        <f t="array" ref="J5029">_xlfn.IFS(I5029&lt;=3,"small",I5029&lt;=6,"Medium",I5029&lt;=9,"Large")</f>
        <v>small</v>
      </c>
      <c r="K5029" s="36">
        <v>45599</v>
      </c>
      <c r="L5029" s="36">
        <v>45602</v>
      </c>
      <c r="M5029" t="s">
        <v>603</v>
      </c>
      <c r="N5029" t="s">
        <v>608</v>
      </c>
      <c r="O5029" s="37" t="str">
        <f t="shared" si="393"/>
        <v>Cash Payment</v>
      </c>
      <c r="P5029">
        <v>240.31</v>
      </c>
      <c r="Q5029" s="37" t="str">
        <f>IF(P5029&gt;500,"High","low")</f>
        <v>low</v>
      </c>
      <c r="R5029" s="37" t="str">
        <f t="shared" si="394"/>
        <v>AVERAGE</v>
      </c>
      <c r="S5029" t="s">
        <v>609</v>
      </c>
    </row>
    <row r="5030" spans="1:19" x14ac:dyDescent="0.2">
      <c r="A5030" t="s">
        <v>5641</v>
      </c>
      <c r="B5030" t="s">
        <v>83</v>
      </c>
      <c r="C5030" t="s">
        <v>617</v>
      </c>
      <c r="D5030">
        <v>1078.78</v>
      </c>
      <c r="E5030" s="37" t="str">
        <f t="shared" si="390"/>
        <v xml:space="preserve"> </v>
      </c>
      <c r="F5030">
        <v>0.15</v>
      </c>
      <c r="G5030" s="37" t="str">
        <f t="shared" si="391"/>
        <v>Normal Discount</v>
      </c>
      <c r="H5030" s="37" t="str">
        <f t="shared" si="392"/>
        <v>Low</v>
      </c>
      <c r="I5030">
        <v>7</v>
      </c>
      <c r="J5030" t="str" cm="1">
        <f t="array" ref="J5030">_xlfn.IFS(I5030&lt;=3,"small",I5030&lt;=6,"Medium",I5030&lt;=9,"Large")</f>
        <v>Large</v>
      </c>
      <c r="K5030" s="36">
        <v>45233</v>
      </c>
      <c r="L5030" s="36">
        <v>45234</v>
      </c>
      <c r="M5030" t="s">
        <v>612</v>
      </c>
      <c r="N5030" t="s">
        <v>608</v>
      </c>
      <c r="O5030" s="37" t="str">
        <f t="shared" si="393"/>
        <v>Cash Payment</v>
      </c>
      <c r="P5030">
        <v>187.33</v>
      </c>
      <c r="Q5030" s="37" t="str">
        <f>IF(P5030&gt;500,"High","low")</f>
        <v>low</v>
      </c>
      <c r="R5030" s="37" t="str">
        <f t="shared" si="394"/>
        <v>AVERAGE</v>
      </c>
      <c r="S5030" t="s">
        <v>628</v>
      </c>
    </row>
    <row r="5031" spans="1:19" x14ac:dyDescent="0.2">
      <c r="A5031" t="s">
        <v>5642</v>
      </c>
      <c r="B5031" t="s">
        <v>75</v>
      </c>
      <c r="C5031" t="s">
        <v>617</v>
      </c>
      <c r="D5031">
        <v>3634.08</v>
      </c>
      <c r="E5031" s="37" t="str">
        <f t="shared" si="390"/>
        <v xml:space="preserve"> </v>
      </c>
      <c r="F5031">
        <v>0.48</v>
      </c>
      <c r="G5031" s="37" t="str">
        <f t="shared" si="391"/>
        <v>Heavy Discount</v>
      </c>
      <c r="H5031" s="37" t="str">
        <f t="shared" si="392"/>
        <v>High</v>
      </c>
      <c r="I5031">
        <v>2</v>
      </c>
      <c r="J5031" t="str" cm="1">
        <f t="array" ref="J5031">_xlfn.IFS(I5031&lt;=3,"small",I5031&lt;=6,"Medium",I5031&lt;=9,"Large")</f>
        <v>small</v>
      </c>
      <c r="K5031" s="36">
        <v>45087</v>
      </c>
      <c r="L5031" s="36">
        <v>45092</v>
      </c>
      <c r="M5031" t="s">
        <v>612</v>
      </c>
      <c r="N5031" t="s">
        <v>604</v>
      </c>
      <c r="O5031" s="37" t="str">
        <f t="shared" si="393"/>
        <v>Digital Payment</v>
      </c>
      <c r="P5031">
        <v>1085.77</v>
      </c>
      <c r="Q5031" s="37" t="str">
        <f>IF(P5031&gt;500,"High","low")</f>
        <v>High</v>
      </c>
      <c r="R5031" s="37" t="str">
        <f t="shared" si="394"/>
        <v>Excellent</v>
      </c>
      <c r="S5031" t="s">
        <v>605</v>
      </c>
    </row>
    <row r="5032" spans="1:19" x14ac:dyDescent="0.2">
      <c r="A5032" t="s">
        <v>5643</v>
      </c>
      <c r="B5032" t="s">
        <v>90</v>
      </c>
      <c r="C5032" t="s">
        <v>617</v>
      </c>
      <c r="D5032">
        <v>2284.38</v>
      </c>
      <c r="E5032" s="37" t="str">
        <f t="shared" si="390"/>
        <v xml:space="preserve"> </v>
      </c>
      <c r="F5032">
        <v>0.01</v>
      </c>
      <c r="G5032" s="37" t="str">
        <f t="shared" si="391"/>
        <v>Normal Discount</v>
      </c>
      <c r="H5032" s="37" t="str">
        <f t="shared" si="392"/>
        <v>Low</v>
      </c>
      <c r="I5032">
        <v>9</v>
      </c>
      <c r="J5032" t="str" cm="1">
        <f t="array" ref="J5032">_xlfn.IFS(I5032&lt;=3,"small",I5032&lt;=6,"Medium",I5032&lt;=9,"Large")</f>
        <v>Large</v>
      </c>
      <c r="K5032" s="36">
        <v>45441</v>
      </c>
      <c r="L5032" s="36">
        <v>45442</v>
      </c>
      <c r="M5032" t="s">
        <v>612</v>
      </c>
      <c r="N5032" t="s">
        <v>608</v>
      </c>
      <c r="O5032" s="37" t="str">
        <f t="shared" si="393"/>
        <v>Cash Payment</v>
      </c>
      <c r="P5032">
        <v>370.77</v>
      </c>
      <c r="Q5032" s="37" t="str">
        <f>IF(P5032&gt;500,"High","low")</f>
        <v>low</v>
      </c>
      <c r="R5032" s="37" t="str">
        <f t="shared" si="394"/>
        <v>AVERAGE</v>
      </c>
      <c r="S5032" t="s">
        <v>620</v>
      </c>
    </row>
    <row r="5033" spans="1:19" x14ac:dyDescent="0.2">
      <c r="A5033" t="s">
        <v>5644</v>
      </c>
      <c r="B5033" t="s">
        <v>90</v>
      </c>
      <c r="C5033" t="s">
        <v>597</v>
      </c>
      <c r="D5033">
        <v>4992.63</v>
      </c>
      <c r="E5033" s="37" t="str">
        <f t="shared" si="390"/>
        <v>Excellent Order</v>
      </c>
      <c r="F5033">
        <v>0.24</v>
      </c>
      <c r="G5033" s="37" t="str">
        <f t="shared" si="391"/>
        <v>Normal Discount</v>
      </c>
      <c r="H5033" s="37" t="str">
        <f t="shared" si="392"/>
        <v>Medium</v>
      </c>
      <c r="I5033">
        <v>6</v>
      </c>
      <c r="J5033" t="str" cm="1">
        <f t="array" ref="J5033">_xlfn.IFS(I5033&lt;=3,"small",I5033&lt;=6,"Medium",I5033&lt;=9,"Large")</f>
        <v>Medium</v>
      </c>
      <c r="K5033" s="36">
        <v>45498</v>
      </c>
      <c r="L5033" s="36">
        <v>45500</v>
      </c>
      <c r="M5033" t="s">
        <v>603</v>
      </c>
      <c r="N5033" t="s">
        <v>604</v>
      </c>
      <c r="O5033" s="37" t="str">
        <f t="shared" si="393"/>
        <v>Digital Payment</v>
      </c>
      <c r="P5033">
        <v>1444.15</v>
      </c>
      <c r="Q5033" s="37" t="str">
        <f>IF(P5033&gt;500,"High","low")</f>
        <v>High</v>
      </c>
      <c r="R5033" s="37" t="str">
        <f t="shared" si="394"/>
        <v>Excellent</v>
      </c>
      <c r="S5033" t="s">
        <v>615</v>
      </c>
    </row>
    <row r="5034" spans="1:19" x14ac:dyDescent="0.2">
      <c r="A5034" t="s">
        <v>5645</v>
      </c>
      <c r="B5034" t="s">
        <v>67</v>
      </c>
      <c r="C5034" t="s">
        <v>597</v>
      </c>
      <c r="D5034">
        <v>3095.86</v>
      </c>
      <c r="E5034" s="37" t="str">
        <f t="shared" si="390"/>
        <v xml:space="preserve"> </v>
      </c>
      <c r="F5034">
        <v>0.14000000000000001</v>
      </c>
      <c r="G5034" s="37" t="str">
        <f t="shared" si="391"/>
        <v>Normal Discount</v>
      </c>
      <c r="H5034" s="37" t="str">
        <f t="shared" si="392"/>
        <v>Low</v>
      </c>
      <c r="I5034">
        <v>8</v>
      </c>
      <c r="J5034" t="str" cm="1">
        <f t="array" ref="J5034">_xlfn.IFS(I5034&lt;=3,"small",I5034&lt;=6,"Medium",I5034&lt;=9,"Large")</f>
        <v>Large</v>
      </c>
      <c r="K5034" s="36">
        <v>45393</v>
      </c>
      <c r="L5034" s="36">
        <v>45396</v>
      </c>
      <c r="M5034" t="s">
        <v>603</v>
      </c>
      <c r="N5034" t="s">
        <v>599</v>
      </c>
      <c r="O5034" s="37" t="str">
        <f t="shared" si="393"/>
        <v>Digital Payment</v>
      </c>
      <c r="P5034">
        <v>914.39</v>
      </c>
      <c r="Q5034" s="37" t="str">
        <f>IF(P5034&gt;500,"High","low")</f>
        <v>High</v>
      </c>
      <c r="R5034" s="37" t="str">
        <f t="shared" si="394"/>
        <v>Good</v>
      </c>
      <c r="S5034" t="s">
        <v>615</v>
      </c>
    </row>
    <row r="5035" spans="1:19" x14ac:dyDescent="0.2">
      <c r="A5035" t="s">
        <v>5646</v>
      </c>
      <c r="B5035" t="s">
        <v>83</v>
      </c>
      <c r="C5035" t="s">
        <v>602</v>
      </c>
      <c r="D5035">
        <v>610.53</v>
      </c>
      <c r="E5035" s="37" t="str">
        <f t="shared" si="390"/>
        <v xml:space="preserve"> </v>
      </c>
      <c r="F5035">
        <v>0.37</v>
      </c>
      <c r="G5035" s="37" t="str">
        <f t="shared" si="391"/>
        <v>Heavy Discount</v>
      </c>
      <c r="H5035" s="37" t="str">
        <f t="shared" si="392"/>
        <v>Medium</v>
      </c>
      <c r="I5035">
        <v>3</v>
      </c>
      <c r="J5035" t="str" cm="1">
        <f t="array" ref="J5035">_xlfn.IFS(I5035&lt;=3,"small",I5035&lt;=6,"Medium",I5035&lt;=9,"Large")</f>
        <v>small</v>
      </c>
      <c r="K5035" s="36">
        <v>45610</v>
      </c>
      <c r="L5035" s="36">
        <v>45611</v>
      </c>
      <c r="M5035" t="s">
        <v>598</v>
      </c>
      <c r="N5035" t="s">
        <v>599</v>
      </c>
      <c r="O5035" s="37" t="str">
        <f t="shared" si="393"/>
        <v>Digital Payment</v>
      </c>
      <c r="P5035">
        <v>129.19</v>
      </c>
      <c r="Q5035" s="37" t="str">
        <f>IF(P5035&gt;500,"High","low")</f>
        <v>low</v>
      </c>
      <c r="R5035" s="37" t="str">
        <f t="shared" si="394"/>
        <v>AVERAGE</v>
      </c>
      <c r="S5035" t="s">
        <v>620</v>
      </c>
    </row>
    <row r="5036" spans="1:19" x14ac:dyDescent="0.2">
      <c r="A5036" t="s">
        <v>5647</v>
      </c>
      <c r="B5036" t="s">
        <v>67</v>
      </c>
      <c r="C5036" t="s">
        <v>614</v>
      </c>
      <c r="D5036">
        <v>2155.65</v>
      </c>
      <c r="E5036" s="37" t="str">
        <f t="shared" si="390"/>
        <v xml:space="preserve"> </v>
      </c>
      <c r="F5036">
        <v>0.4</v>
      </c>
      <c r="G5036" s="37" t="str">
        <f t="shared" si="391"/>
        <v>Heavy Discount</v>
      </c>
      <c r="H5036" s="37" t="str">
        <f t="shared" si="392"/>
        <v>Medium</v>
      </c>
      <c r="I5036">
        <v>5</v>
      </c>
      <c r="J5036" t="str" cm="1">
        <f t="array" ref="J5036">_xlfn.IFS(I5036&lt;=3,"small",I5036&lt;=6,"Medium",I5036&lt;=9,"Large")</f>
        <v>Medium</v>
      </c>
      <c r="K5036" s="36">
        <v>45304</v>
      </c>
      <c r="L5036" s="36">
        <v>45310</v>
      </c>
      <c r="M5036" t="s">
        <v>603</v>
      </c>
      <c r="N5036" t="s">
        <v>608</v>
      </c>
      <c r="O5036" s="37" t="str">
        <f t="shared" si="393"/>
        <v>Cash Payment</v>
      </c>
      <c r="P5036">
        <v>269.51</v>
      </c>
      <c r="Q5036" s="37" t="str">
        <f>IF(P5036&gt;500,"High","low")</f>
        <v>low</v>
      </c>
      <c r="R5036" s="37" t="str">
        <f t="shared" si="394"/>
        <v>AVERAGE</v>
      </c>
      <c r="S5036" t="s">
        <v>605</v>
      </c>
    </row>
    <row r="5037" spans="1:19" x14ac:dyDescent="0.2">
      <c r="A5037" t="s">
        <v>5648</v>
      </c>
      <c r="B5037" t="s">
        <v>83</v>
      </c>
      <c r="C5037" t="s">
        <v>597</v>
      </c>
      <c r="D5037">
        <v>424.87</v>
      </c>
      <c r="E5037" s="37" t="str">
        <f t="shared" si="390"/>
        <v xml:space="preserve"> </v>
      </c>
      <c r="F5037">
        <v>0.41</v>
      </c>
      <c r="G5037" s="37" t="str">
        <f t="shared" si="391"/>
        <v>Heavy Discount</v>
      </c>
      <c r="H5037" s="37" t="str">
        <f t="shared" si="392"/>
        <v>High</v>
      </c>
      <c r="I5037">
        <v>3</v>
      </c>
      <c r="J5037" t="str" cm="1">
        <f t="array" ref="J5037">_xlfn.IFS(I5037&lt;=3,"small",I5037&lt;=6,"Medium",I5037&lt;=9,"Large")</f>
        <v>small</v>
      </c>
      <c r="K5037" s="36">
        <v>45030</v>
      </c>
      <c r="L5037" s="36">
        <v>45032</v>
      </c>
      <c r="M5037" t="s">
        <v>612</v>
      </c>
      <c r="N5037" t="s">
        <v>604</v>
      </c>
      <c r="O5037" s="37" t="str">
        <f t="shared" si="393"/>
        <v>Digital Payment</v>
      </c>
      <c r="P5037">
        <v>42.01</v>
      </c>
      <c r="Q5037" s="37" t="str">
        <f>IF(P5037&gt;500,"High","low")</f>
        <v>low</v>
      </c>
      <c r="R5037" s="37" t="str">
        <f t="shared" si="394"/>
        <v>AVERAGE</v>
      </c>
      <c r="S5037" t="s">
        <v>600</v>
      </c>
    </row>
    <row r="5038" spans="1:19" x14ac:dyDescent="0.2">
      <c r="A5038" t="s">
        <v>5649</v>
      </c>
      <c r="B5038" t="s">
        <v>75</v>
      </c>
      <c r="C5038" t="s">
        <v>602</v>
      </c>
      <c r="D5038">
        <v>1499.71</v>
      </c>
      <c r="E5038" s="37" t="str">
        <f t="shared" si="390"/>
        <v xml:space="preserve"> </v>
      </c>
      <c r="F5038">
        <v>0.15</v>
      </c>
      <c r="G5038" s="37" t="str">
        <f t="shared" si="391"/>
        <v>Normal Discount</v>
      </c>
      <c r="H5038" s="37" t="str">
        <f t="shared" si="392"/>
        <v>Low</v>
      </c>
      <c r="I5038">
        <v>9</v>
      </c>
      <c r="J5038" t="str" cm="1">
        <f t="array" ref="J5038">_xlfn.IFS(I5038&lt;=3,"small",I5038&lt;=6,"Medium",I5038&lt;=9,"Large")</f>
        <v>Large</v>
      </c>
      <c r="K5038" s="36">
        <v>45406</v>
      </c>
      <c r="L5038" s="36">
        <v>45412</v>
      </c>
      <c r="M5038" t="s">
        <v>603</v>
      </c>
      <c r="N5038" t="s">
        <v>599</v>
      </c>
      <c r="O5038" s="37" t="str">
        <f t="shared" si="393"/>
        <v>Digital Payment</v>
      </c>
      <c r="P5038">
        <v>279.74</v>
      </c>
      <c r="Q5038" s="37" t="str">
        <f>IF(P5038&gt;500,"High","low")</f>
        <v>low</v>
      </c>
      <c r="R5038" s="37" t="str">
        <f t="shared" si="394"/>
        <v>AVERAGE</v>
      </c>
      <c r="S5038" t="s">
        <v>609</v>
      </c>
    </row>
    <row r="5039" spans="1:19" x14ac:dyDescent="0.2">
      <c r="A5039" t="s">
        <v>5650</v>
      </c>
      <c r="B5039" t="s">
        <v>83</v>
      </c>
      <c r="C5039" t="s">
        <v>607</v>
      </c>
      <c r="D5039">
        <v>1782.25</v>
      </c>
      <c r="E5039" s="37" t="str">
        <f t="shared" si="390"/>
        <v xml:space="preserve"> </v>
      </c>
      <c r="F5039">
        <v>0.14000000000000001</v>
      </c>
      <c r="G5039" s="37" t="str">
        <f t="shared" si="391"/>
        <v>Normal Discount</v>
      </c>
      <c r="H5039" s="37" t="str">
        <f t="shared" si="392"/>
        <v>Low</v>
      </c>
      <c r="I5039">
        <v>1</v>
      </c>
      <c r="J5039" t="str" cm="1">
        <f t="array" ref="J5039">_xlfn.IFS(I5039&lt;=3,"small",I5039&lt;=6,"Medium",I5039&lt;=9,"Large")</f>
        <v>small</v>
      </c>
      <c r="K5039" s="36">
        <v>45059</v>
      </c>
      <c r="L5039" s="36">
        <v>45060</v>
      </c>
      <c r="M5039" t="s">
        <v>612</v>
      </c>
      <c r="N5039" t="s">
        <v>604</v>
      </c>
      <c r="O5039" s="37" t="str">
        <f t="shared" si="393"/>
        <v>Digital Payment</v>
      </c>
      <c r="P5039">
        <v>135.88</v>
      </c>
      <c r="Q5039" s="37" t="str">
        <f>IF(P5039&gt;500,"High","low")</f>
        <v>low</v>
      </c>
      <c r="R5039" s="37" t="str">
        <f t="shared" si="394"/>
        <v>AVERAGE</v>
      </c>
      <c r="S5039" t="s">
        <v>620</v>
      </c>
    </row>
    <row r="5040" spans="1:19" x14ac:dyDescent="0.2">
      <c r="A5040" t="s">
        <v>5651</v>
      </c>
      <c r="B5040" t="s">
        <v>90</v>
      </c>
      <c r="C5040" t="s">
        <v>617</v>
      </c>
      <c r="D5040">
        <v>4280.57</v>
      </c>
      <c r="E5040" s="37" t="str">
        <f t="shared" si="390"/>
        <v xml:space="preserve"> </v>
      </c>
      <c r="F5040">
        <v>0.34</v>
      </c>
      <c r="G5040" s="37" t="str">
        <f t="shared" si="391"/>
        <v>Heavy Discount</v>
      </c>
      <c r="H5040" s="37" t="str">
        <f t="shared" si="392"/>
        <v>Medium</v>
      </c>
      <c r="I5040">
        <v>8</v>
      </c>
      <c r="J5040" t="str" cm="1">
        <f t="array" ref="J5040">_xlfn.IFS(I5040&lt;=3,"small",I5040&lt;=6,"Medium",I5040&lt;=9,"Large")</f>
        <v>Large</v>
      </c>
      <c r="K5040" s="36">
        <v>45481</v>
      </c>
      <c r="L5040" s="36">
        <v>45483</v>
      </c>
      <c r="M5040" t="s">
        <v>612</v>
      </c>
      <c r="N5040" t="s">
        <v>599</v>
      </c>
      <c r="O5040" s="37" t="str">
        <f t="shared" si="393"/>
        <v>Digital Payment</v>
      </c>
      <c r="P5040">
        <v>755.56</v>
      </c>
      <c r="Q5040" s="37" t="str">
        <f>IF(P5040&gt;500,"High","low")</f>
        <v>High</v>
      </c>
      <c r="R5040" s="37" t="str">
        <f t="shared" si="394"/>
        <v>Good</v>
      </c>
      <c r="S5040" t="s">
        <v>620</v>
      </c>
    </row>
    <row r="5041" spans="1:19" x14ac:dyDescent="0.2">
      <c r="A5041" t="s">
        <v>5652</v>
      </c>
      <c r="B5041" t="s">
        <v>90</v>
      </c>
      <c r="C5041" t="s">
        <v>617</v>
      </c>
      <c r="D5041">
        <v>4206.1400000000003</v>
      </c>
      <c r="E5041" s="37" t="str">
        <f t="shared" si="390"/>
        <v>Excellent Order</v>
      </c>
      <c r="F5041">
        <v>0.46</v>
      </c>
      <c r="G5041" s="37" t="str">
        <f t="shared" si="391"/>
        <v>Heavy Discount</v>
      </c>
      <c r="H5041" s="37" t="str">
        <f t="shared" si="392"/>
        <v>High</v>
      </c>
      <c r="I5041">
        <v>6</v>
      </c>
      <c r="J5041" t="str" cm="1">
        <f t="array" ref="J5041">_xlfn.IFS(I5041&lt;=3,"small",I5041&lt;=6,"Medium",I5041&lt;=9,"Large")</f>
        <v>Medium</v>
      </c>
      <c r="K5041" s="36">
        <v>45155</v>
      </c>
      <c r="L5041" s="36">
        <v>45161</v>
      </c>
      <c r="M5041" t="s">
        <v>603</v>
      </c>
      <c r="N5041" t="s">
        <v>604</v>
      </c>
      <c r="O5041" s="37" t="str">
        <f t="shared" si="393"/>
        <v>Digital Payment</v>
      </c>
      <c r="P5041">
        <v>901.92</v>
      </c>
      <c r="Q5041" s="37" t="str">
        <f>IF(P5041&gt;500,"High","low")</f>
        <v>High</v>
      </c>
      <c r="R5041" s="37" t="str">
        <f t="shared" si="394"/>
        <v>Good</v>
      </c>
      <c r="S5041" t="s">
        <v>600</v>
      </c>
    </row>
    <row r="5042" spans="1:19" x14ac:dyDescent="0.2">
      <c r="A5042" t="s">
        <v>5653</v>
      </c>
      <c r="B5042" t="s">
        <v>83</v>
      </c>
      <c r="C5042" t="s">
        <v>617</v>
      </c>
      <c r="D5042">
        <v>156.63</v>
      </c>
      <c r="E5042" s="37" t="str">
        <f t="shared" si="390"/>
        <v xml:space="preserve"> </v>
      </c>
      <c r="F5042">
        <v>0.13</v>
      </c>
      <c r="G5042" s="37" t="str">
        <f t="shared" si="391"/>
        <v>Normal Discount</v>
      </c>
      <c r="H5042" s="37" t="str">
        <f t="shared" si="392"/>
        <v>Low</v>
      </c>
      <c r="I5042">
        <v>7</v>
      </c>
      <c r="J5042" t="str" cm="1">
        <f t="array" ref="J5042">_xlfn.IFS(I5042&lt;=3,"small",I5042&lt;=6,"Medium",I5042&lt;=9,"Large")</f>
        <v>Large</v>
      </c>
      <c r="K5042" s="36">
        <v>45444</v>
      </c>
      <c r="L5042" s="36">
        <v>45447</v>
      </c>
      <c r="M5042" t="s">
        <v>612</v>
      </c>
      <c r="N5042" t="s">
        <v>599</v>
      </c>
      <c r="O5042" s="37" t="str">
        <f t="shared" si="393"/>
        <v>Digital Payment</v>
      </c>
      <c r="P5042">
        <v>25.02</v>
      </c>
      <c r="Q5042" s="37" t="str">
        <f>IF(P5042&gt;500,"High","low")</f>
        <v>low</v>
      </c>
      <c r="R5042" s="37" t="str">
        <f t="shared" si="394"/>
        <v>AVERAGE</v>
      </c>
      <c r="S5042" t="s">
        <v>605</v>
      </c>
    </row>
    <row r="5043" spans="1:19" x14ac:dyDescent="0.2">
      <c r="A5043" t="s">
        <v>5654</v>
      </c>
      <c r="B5043" t="s">
        <v>83</v>
      </c>
      <c r="C5043" t="s">
        <v>602</v>
      </c>
      <c r="D5043">
        <v>2708.17</v>
      </c>
      <c r="E5043" s="37" t="str">
        <f t="shared" si="390"/>
        <v xml:space="preserve"> </v>
      </c>
      <c r="F5043">
        <v>0.46</v>
      </c>
      <c r="G5043" s="37" t="str">
        <f t="shared" si="391"/>
        <v>Heavy Discount</v>
      </c>
      <c r="H5043" s="37" t="str">
        <f t="shared" si="392"/>
        <v>High</v>
      </c>
      <c r="I5043">
        <v>2</v>
      </c>
      <c r="J5043" t="str" cm="1">
        <f t="array" ref="J5043">_xlfn.IFS(I5043&lt;=3,"small",I5043&lt;=6,"Medium",I5043&lt;=9,"Large")</f>
        <v>small</v>
      </c>
      <c r="K5043" s="36">
        <v>45114</v>
      </c>
      <c r="L5043" s="36">
        <v>45116</v>
      </c>
      <c r="M5043" t="s">
        <v>603</v>
      </c>
      <c r="N5043" t="s">
        <v>604</v>
      </c>
      <c r="O5043" s="37" t="str">
        <f t="shared" si="393"/>
        <v>Digital Payment</v>
      </c>
      <c r="P5043">
        <v>237.27</v>
      </c>
      <c r="Q5043" s="37" t="str">
        <f>IF(P5043&gt;500,"High","low")</f>
        <v>low</v>
      </c>
      <c r="R5043" s="37" t="str">
        <f t="shared" si="394"/>
        <v>AVERAGE</v>
      </c>
      <c r="S5043" t="s">
        <v>628</v>
      </c>
    </row>
    <row r="5044" spans="1:19" x14ac:dyDescent="0.2">
      <c r="A5044" t="s">
        <v>5655</v>
      </c>
      <c r="B5044" t="s">
        <v>83</v>
      </c>
      <c r="C5044" t="s">
        <v>617</v>
      </c>
      <c r="D5044">
        <v>1195.3599999999999</v>
      </c>
      <c r="E5044" s="37" t="str">
        <f t="shared" si="390"/>
        <v xml:space="preserve"> </v>
      </c>
      <c r="F5044">
        <v>0.3</v>
      </c>
      <c r="G5044" s="37" t="str">
        <f t="shared" si="391"/>
        <v>Normal Discount</v>
      </c>
      <c r="H5044" s="37" t="str">
        <f t="shared" si="392"/>
        <v>Medium</v>
      </c>
      <c r="I5044">
        <v>7</v>
      </c>
      <c r="J5044" t="str" cm="1">
        <f t="array" ref="J5044">_xlfn.IFS(I5044&lt;=3,"small",I5044&lt;=6,"Medium",I5044&lt;=9,"Large")</f>
        <v>Large</v>
      </c>
      <c r="K5044" s="36">
        <v>45346</v>
      </c>
      <c r="L5044" s="36">
        <v>45347</v>
      </c>
      <c r="M5044" t="s">
        <v>612</v>
      </c>
      <c r="N5044" t="s">
        <v>599</v>
      </c>
      <c r="O5044" s="37" t="str">
        <f t="shared" si="393"/>
        <v>Digital Payment</v>
      </c>
      <c r="P5044">
        <v>300.49</v>
      </c>
      <c r="Q5044" s="37" t="str">
        <f>IF(P5044&gt;500,"High","low")</f>
        <v>low</v>
      </c>
      <c r="R5044" s="37" t="str">
        <f t="shared" si="394"/>
        <v>AVERAGE</v>
      </c>
      <c r="S5044" t="s">
        <v>628</v>
      </c>
    </row>
    <row r="5045" spans="1:19" x14ac:dyDescent="0.2">
      <c r="A5045" t="s">
        <v>5656</v>
      </c>
      <c r="B5045" t="s">
        <v>67</v>
      </c>
      <c r="C5045" t="s">
        <v>597</v>
      </c>
      <c r="D5045">
        <v>1668.46</v>
      </c>
      <c r="E5045" s="37" t="str">
        <f t="shared" si="390"/>
        <v xml:space="preserve"> </v>
      </c>
      <c r="F5045">
        <v>0.37</v>
      </c>
      <c r="G5045" s="37" t="str">
        <f t="shared" si="391"/>
        <v>Heavy Discount</v>
      </c>
      <c r="H5045" s="37" t="str">
        <f t="shared" si="392"/>
        <v>Medium</v>
      </c>
      <c r="I5045">
        <v>1</v>
      </c>
      <c r="J5045" t="str" cm="1">
        <f t="array" ref="J5045">_xlfn.IFS(I5045&lt;=3,"small",I5045&lt;=6,"Medium",I5045&lt;=9,"Large")</f>
        <v>small</v>
      </c>
      <c r="K5045" s="36">
        <v>45300</v>
      </c>
      <c r="L5045" s="36">
        <v>45302</v>
      </c>
      <c r="M5045" t="s">
        <v>603</v>
      </c>
      <c r="N5045" t="s">
        <v>608</v>
      </c>
      <c r="O5045" s="37" t="str">
        <f t="shared" si="393"/>
        <v>Cash Payment</v>
      </c>
      <c r="P5045">
        <v>309.13</v>
      </c>
      <c r="Q5045" s="37" t="str">
        <f>IF(P5045&gt;500,"High","low")</f>
        <v>low</v>
      </c>
      <c r="R5045" s="37" t="str">
        <f t="shared" si="394"/>
        <v>AVERAGE</v>
      </c>
      <c r="S5045" t="s">
        <v>615</v>
      </c>
    </row>
    <row r="5046" spans="1:19" x14ac:dyDescent="0.2">
      <c r="A5046" t="s">
        <v>5657</v>
      </c>
      <c r="B5046" t="s">
        <v>83</v>
      </c>
      <c r="C5046" t="s">
        <v>607</v>
      </c>
      <c r="D5046">
        <v>206.09</v>
      </c>
      <c r="E5046" s="37" t="str">
        <f t="shared" si="390"/>
        <v xml:space="preserve"> </v>
      </c>
      <c r="F5046">
        <v>0.22</v>
      </c>
      <c r="G5046" s="37" t="str">
        <f t="shared" si="391"/>
        <v>Normal Discount</v>
      </c>
      <c r="H5046" s="37" t="str">
        <f t="shared" si="392"/>
        <v>Medium</v>
      </c>
      <c r="I5046">
        <v>7</v>
      </c>
      <c r="J5046" t="str" cm="1">
        <f t="array" ref="J5046">_xlfn.IFS(I5046&lt;=3,"small",I5046&lt;=6,"Medium",I5046&lt;=9,"Large")</f>
        <v>Large</v>
      </c>
      <c r="K5046" s="36">
        <v>45386</v>
      </c>
      <c r="L5046" s="36">
        <v>45389</v>
      </c>
      <c r="M5046" t="s">
        <v>598</v>
      </c>
      <c r="N5046" t="s">
        <v>604</v>
      </c>
      <c r="O5046" s="37" t="str">
        <f t="shared" si="393"/>
        <v>Digital Payment</v>
      </c>
      <c r="P5046">
        <v>24.23</v>
      </c>
      <c r="Q5046" s="37" t="str">
        <f>IF(P5046&gt;500,"High","low")</f>
        <v>low</v>
      </c>
      <c r="R5046" s="37" t="str">
        <f t="shared" si="394"/>
        <v>AVERAGE</v>
      </c>
      <c r="S5046" t="s">
        <v>615</v>
      </c>
    </row>
    <row r="5047" spans="1:19" x14ac:dyDescent="0.2">
      <c r="A5047" t="s">
        <v>5658</v>
      </c>
      <c r="B5047" t="s">
        <v>75</v>
      </c>
      <c r="C5047" t="s">
        <v>617</v>
      </c>
      <c r="D5047">
        <v>3773.75</v>
      </c>
      <c r="E5047" s="37" t="str">
        <f t="shared" si="390"/>
        <v xml:space="preserve"> </v>
      </c>
      <c r="F5047">
        <v>0.4</v>
      </c>
      <c r="G5047" s="37" t="str">
        <f t="shared" si="391"/>
        <v>Heavy Discount</v>
      </c>
      <c r="H5047" s="37" t="str">
        <f t="shared" si="392"/>
        <v>Medium</v>
      </c>
      <c r="I5047">
        <v>8</v>
      </c>
      <c r="J5047" t="str" cm="1">
        <f t="array" ref="J5047">_xlfn.IFS(I5047&lt;=3,"small",I5047&lt;=6,"Medium",I5047&lt;=9,"Large")</f>
        <v>Large</v>
      </c>
      <c r="K5047" s="36">
        <v>45444</v>
      </c>
      <c r="L5047" s="36">
        <v>45446</v>
      </c>
      <c r="M5047" t="s">
        <v>603</v>
      </c>
      <c r="N5047" t="s">
        <v>608</v>
      </c>
      <c r="O5047" s="37" t="str">
        <f t="shared" si="393"/>
        <v>Cash Payment</v>
      </c>
      <c r="P5047">
        <v>203.49</v>
      </c>
      <c r="Q5047" s="37" t="str">
        <f>IF(P5047&gt;500,"High","low")</f>
        <v>low</v>
      </c>
      <c r="R5047" s="37" t="str">
        <f t="shared" si="394"/>
        <v>AVERAGE</v>
      </c>
      <c r="S5047" t="s">
        <v>615</v>
      </c>
    </row>
    <row r="5048" spans="1:19" x14ac:dyDescent="0.2">
      <c r="A5048" t="s">
        <v>5659</v>
      </c>
      <c r="B5048" t="s">
        <v>67</v>
      </c>
      <c r="C5048" t="s">
        <v>602</v>
      </c>
      <c r="D5048">
        <v>4757.8900000000003</v>
      </c>
      <c r="E5048" s="37" t="str">
        <f t="shared" si="390"/>
        <v>Excellent Order</v>
      </c>
      <c r="F5048">
        <v>0.49</v>
      </c>
      <c r="G5048" s="37" t="str">
        <f t="shared" si="391"/>
        <v>Heavy Discount</v>
      </c>
      <c r="H5048" s="37" t="str">
        <f t="shared" si="392"/>
        <v>High</v>
      </c>
      <c r="I5048">
        <v>2</v>
      </c>
      <c r="J5048" t="str" cm="1">
        <f t="array" ref="J5048">_xlfn.IFS(I5048&lt;=3,"small",I5048&lt;=6,"Medium",I5048&lt;=9,"Large")</f>
        <v>small</v>
      </c>
      <c r="K5048" s="36">
        <v>45027</v>
      </c>
      <c r="L5048" s="36">
        <v>45032</v>
      </c>
      <c r="M5048" t="s">
        <v>612</v>
      </c>
      <c r="N5048" t="s">
        <v>599</v>
      </c>
      <c r="O5048" s="37" t="str">
        <f t="shared" si="393"/>
        <v>Digital Payment</v>
      </c>
      <c r="P5048">
        <v>885.2</v>
      </c>
      <c r="Q5048" s="37" t="str">
        <f>IF(P5048&gt;500,"High","low")</f>
        <v>High</v>
      </c>
      <c r="R5048" s="37" t="str">
        <f t="shared" si="394"/>
        <v>Good</v>
      </c>
      <c r="S5048" t="s">
        <v>615</v>
      </c>
    </row>
    <row r="5049" spans="1:19" x14ac:dyDescent="0.2">
      <c r="A5049" t="s">
        <v>5660</v>
      </c>
      <c r="B5049" t="s">
        <v>67</v>
      </c>
      <c r="C5049" t="s">
        <v>607</v>
      </c>
      <c r="D5049">
        <v>1174.4100000000001</v>
      </c>
      <c r="E5049" s="37" t="str">
        <f t="shared" si="390"/>
        <v xml:space="preserve"> </v>
      </c>
      <c r="F5049">
        <v>0.09</v>
      </c>
      <c r="G5049" s="37" t="str">
        <f t="shared" si="391"/>
        <v>Normal Discount</v>
      </c>
      <c r="H5049" s="37" t="str">
        <f t="shared" si="392"/>
        <v>Low</v>
      </c>
      <c r="I5049">
        <v>2</v>
      </c>
      <c r="J5049" t="str" cm="1">
        <f t="array" ref="J5049">_xlfn.IFS(I5049&lt;=3,"small",I5049&lt;=6,"Medium",I5049&lt;=9,"Large")</f>
        <v>small</v>
      </c>
      <c r="K5049" s="36">
        <v>45146</v>
      </c>
      <c r="L5049" s="36">
        <v>45152</v>
      </c>
      <c r="M5049" t="s">
        <v>612</v>
      </c>
      <c r="N5049" t="s">
        <v>604</v>
      </c>
      <c r="O5049" s="37" t="str">
        <f t="shared" si="393"/>
        <v>Digital Payment</v>
      </c>
      <c r="P5049">
        <v>283.98</v>
      </c>
      <c r="Q5049" s="37" t="str">
        <f>IF(P5049&gt;500,"High","low")</f>
        <v>low</v>
      </c>
      <c r="R5049" s="37" t="str">
        <f t="shared" si="394"/>
        <v>AVERAGE</v>
      </c>
      <c r="S5049" t="s">
        <v>615</v>
      </c>
    </row>
    <row r="5050" spans="1:19" x14ac:dyDescent="0.2">
      <c r="A5050" t="s">
        <v>5661</v>
      </c>
      <c r="B5050" t="s">
        <v>83</v>
      </c>
      <c r="C5050" t="s">
        <v>617</v>
      </c>
      <c r="D5050">
        <v>1774.69</v>
      </c>
      <c r="E5050" s="37" t="str">
        <f t="shared" si="390"/>
        <v xml:space="preserve"> </v>
      </c>
      <c r="F5050">
        <v>0.19</v>
      </c>
      <c r="G5050" s="37" t="str">
        <f t="shared" si="391"/>
        <v>Normal Discount</v>
      </c>
      <c r="H5050" s="37" t="str">
        <f t="shared" si="392"/>
        <v>Low</v>
      </c>
      <c r="I5050">
        <v>3</v>
      </c>
      <c r="J5050" t="str" cm="1">
        <f t="array" ref="J5050">_xlfn.IFS(I5050&lt;=3,"small",I5050&lt;=6,"Medium",I5050&lt;=9,"Large")</f>
        <v>small</v>
      </c>
      <c r="K5050" s="36">
        <v>45064</v>
      </c>
      <c r="L5050" s="36">
        <v>45065</v>
      </c>
      <c r="M5050" t="s">
        <v>603</v>
      </c>
      <c r="N5050" t="s">
        <v>599</v>
      </c>
      <c r="O5050" s="37" t="str">
        <f t="shared" si="393"/>
        <v>Digital Payment</v>
      </c>
      <c r="P5050">
        <v>250.2</v>
      </c>
      <c r="Q5050" s="37" t="str">
        <f>IF(P5050&gt;500,"High","low")</f>
        <v>low</v>
      </c>
      <c r="R5050" s="37" t="str">
        <f t="shared" si="394"/>
        <v>AVERAGE</v>
      </c>
      <c r="S5050" t="s">
        <v>620</v>
      </c>
    </row>
    <row r="5051" spans="1:19" x14ac:dyDescent="0.2">
      <c r="A5051" t="s">
        <v>5662</v>
      </c>
      <c r="B5051" t="s">
        <v>75</v>
      </c>
      <c r="C5051" t="s">
        <v>614</v>
      </c>
      <c r="D5051">
        <v>1111.53</v>
      </c>
      <c r="E5051" s="37" t="str">
        <f t="shared" si="390"/>
        <v xml:space="preserve"> </v>
      </c>
      <c r="F5051">
        <v>0.43</v>
      </c>
      <c r="G5051" s="37" t="str">
        <f t="shared" si="391"/>
        <v>Heavy Discount</v>
      </c>
      <c r="H5051" s="37" t="str">
        <f t="shared" si="392"/>
        <v>High</v>
      </c>
      <c r="I5051">
        <v>4</v>
      </c>
      <c r="J5051" t="str" cm="1">
        <f t="array" ref="J5051">_xlfn.IFS(I5051&lt;=3,"small",I5051&lt;=6,"Medium",I5051&lt;=9,"Large")</f>
        <v>Medium</v>
      </c>
      <c r="K5051" s="36">
        <v>45594</v>
      </c>
      <c r="L5051" s="36">
        <v>45600</v>
      </c>
      <c r="M5051" t="s">
        <v>612</v>
      </c>
      <c r="N5051" t="s">
        <v>599</v>
      </c>
      <c r="O5051" s="37" t="str">
        <f t="shared" si="393"/>
        <v>Digital Payment</v>
      </c>
      <c r="P5051">
        <v>239.26</v>
      </c>
      <c r="Q5051" s="37" t="str">
        <f>IF(P5051&gt;500,"High","low")</f>
        <v>low</v>
      </c>
      <c r="R5051" s="37" t="str">
        <f t="shared" si="394"/>
        <v>AVERAGE</v>
      </c>
      <c r="S5051" t="s">
        <v>600</v>
      </c>
    </row>
    <row r="5052" spans="1:19" x14ac:dyDescent="0.2">
      <c r="A5052" t="s">
        <v>5663</v>
      </c>
      <c r="B5052" t="s">
        <v>67</v>
      </c>
      <c r="C5052" t="s">
        <v>617</v>
      </c>
      <c r="D5052">
        <v>4657.24</v>
      </c>
      <c r="E5052" s="37" t="str">
        <f t="shared" si="390"/>
        <v>Excellent Order</v>
      </c>
      <c r="F5052">
        <v>0.09</v>
      </c>
      <c r="G5052" s="37" t="str">
        <f t="shared" si="391"/>
        <v>Normal Discount</v>
      </c>
      <c r="H5052" s="37" t="str">
        <f t="shared" si="392"/>
        <v>Low</v>
      </c>
      <c r="I5052">
        <v>8</v>
      </c>
      <c r="J5052" t="str" cm="1">
        <f t="array" ref="J5052">_xlfn.IFS(I5052&lt;=3,"small",I5052&lt;=6,"Medium",I5052&lt;=9,"Large")</f>
        <v>Large</v>
      </c>
      <c r="K5052" s="36">
        <v>45188</v>
      </c>
      <c r="L5052" s="36">
        <v>45190</v>
      </c>
      <c r="M5052" t="s">
        <v>598</v>
      </c>
      <c r="N5052" t="s">
        <v>608</v>
      </c>
      <c r="O5052" s="37" t="str">
        <f t="shared" si="393"/>
        <v>Cash Payment</v>
      </c>
      <c r="P5052">
        <v>1159.28</v>
      </c>
      <c r="Q5052" s="37" t="str">
        <f>IF(P5052&gt;500,"High","low")</f>
        <v>High</v>
      </c>
      <c r="R5052" s="37" t="str">
        <f t="shared" si="394"/>
        <v>Excellent</v>
      </c>
      <c r="S5052" t="s">
        <v>615</v>
      </c>
    </row>
    <row r="5053" spans="1:19" x14ac:dyDescent="0.2">
      <c r="A5053" t="s">
        <v>5664</v>
      </c>
      <c r="B5053" t="s">
        <v>90</v>
      </c>
      <c r="C5053" t="s">
        <v>597</v>
      </c>
      <c r="D5053">
        <v>145.84</v>
      </c>
      <c r="E5053" s="37" t="str">
        <f t="shared" si="390"/>
        <v xml:space="preserve"> </v>
      </c>
      <c r="F5053">
        <v>0.21</v>
      </c>
      <c r="G5053" s="37" t="str">
        <f t="shared" si="391"/>
        <v>Normal Discount</v>
      </c>
      <c r="H5053" s="37" t="str">
        <f t="shared" si="392"/>
        <v>Medium</v>
      </c>
      <c r="I5053">
        <v>3</v>
      </c>
      <c r="J5053" t="str" cm="1">
        <f t="array" ref="J5053">_xlfn.IFS(I5053&lt;=3,"small",I5053&lt;=6,"Medium",I5053&lt;=9,"Large")</f>
        <v>small</v>
      </c>
      <c r="K5053" s="36">
        <v>45511</v>
      </c>
      <c r="L5053" s="36">
        <v>45516</v>
      </c>
      <c r="M5053" t="s">
        <v>603</v>
      </c>
      <c r="N5053" t="s">
        <v>608</v>
      </c>
      <c r="O5053" s="37" t="str">
        <f t="shared" si="393"/>
        <v>Cash Payment</v>
      </c>
      <c r="P5053">
        <v>24.42</v>
      </c>
      <c r="Q5053" s="37" t="str">
        <f>IF(P5053&gt;500,"High","low")</f>
        <v>low</v>
      </c>
      <c r="R5053" s="37" t="str">
        <f t="shared" si="394"/>
        <v>AVERAGE</v>
      </c>
      <c r="S5053" t="s">
        <v>605</v>
      </c>
    </row>
    <row r="5054" spans="1:19" x14ac:dyDescent="0.2">
      <c r="A5054" t="s">
        <v>5665</v>
      </c>
      <c r="B5054" t="s">
        <v>67</v>
      </c>
      <c r="C5054" t="s">
        <v>607</v>
      </c>
      <c r="D5054">
        <v>2960.93</v>
      </c>
      <c r="E5054" s="37" t="str">
        <f t="shared" si="390"/>
        <v xml:space="preserve"> </v>
      </c>
      <c r="F5054">
        <v>0.08</v>
      </c>
      <c r="G5054" s="37" t="str">
        <f t="shared" si="391"/>
        <v>Normal Discount</v>
      </c>
      <c r="H5054" s="37" t="str">
        <f t="shared" si="392"/>
        <v>Low</v>
      </c>
      <c r="I5054">
        <v>6</v>
      </c>
      <c r="J5054" t="str" cm="1">
        <f t="array" ref="J5054">_xlfn.IFS(I5054&lt;=3,"small",I5054&lt;=6,"Medium",I5054&lt;=9,"Large")</f>
        <v>Medium</v>
      </c>
      <c r="K5054" s="36">
        <v>45206</v>
      </c>
      <c r="L5054" s="36">
        <v>45212</v>
      </c>
      <c r="M5054" t="s">
        <v>598</v>
      </c>
      <c r="N5054" t="s">
        <v>608</v>
      </c>
      <c r="O5054" s="37" t="str">
        <f t="shared" si="393"/>
        <v>Cash Payment</v>
      </c>
      <c r="P5054">
        <v>348.02</v>
      </c>
      <c r="Q5054" s="37" t="str">
        <f>IF(P5054&gt;500,"High","low")</f>
        <v>low</v>
      </c>
      <c r="R5054" s="37" t="str">
        <f t="shared" si="394"/>
        <v>AVERAGE</v>
      </c>
      <c r="S5054" t="s">
        <v>615</v>
      </c>
    </row>
    <row r="5055" spans="1:19" x14ac:dyDescent="0.2">
      <c r="A5055" t="s">
        <v>5666</v>
      </c>
      <c r="B5055" t="s">
        <v>83</v>
      </c>
      <c r="C5055" t="s">
        <v>597</v>
      </c>
      <c r="D5055">
        <v>4366.74</v>
      </c>
      <c r="E5055" s="37" t="str">
        <f t="shared" si="390"/>
        <v xml:space="preserve"> </v>
      </c>
      <c r="F5055">
        <v>0.32</v>
      </c>
      <c r="G5055" s="37" t="str">
        <f t="shared" si="391"/>
        <v>Heavy Discount</v>
      </c>
      <c r="H5055" s="37" t="str">
        <f t="shared" si="392"/>
        <v>Medium</v>
      </c>
      <c r="I5055">
        <v>8</v>
      </c>
      <c r="J5055" t="str" cm="1">
        <f t="array" ref="J5055">_xlfn.IFS(I5055&lt;=3,"small",I5055&lt;=6,"Medium",I5055&lt;=9,"Large")</f>
        <v>Large</v>
      </c>
      <c r="K5055" s="36">
        <v>45490</v>
      </c>
      <c r="L5055" s="36">
        <v>45495</v>
      </c>
      <c r="M5055" t="s">
        <v>598</v>
      </c>
      <c r="N5055" t="s">
        <v>599</v>
      </c>
      <c r="O5055" s="37" t="str">
        <f t="shared" si="393"/>
        <v>Digital Payment</v>
      </c>
      <c r="P5055">
        <v>670.08</v>
      </c>
      <c r="Q5055" s="37" t="str">
        <f>IF(P5055&gt;500,"High","low")</f>
        <v>High</v>
      </c>
      <c r="R5055" s="37" t="str">
        <f t="shared" si="394"/>
        <v>Good</v>
      </c>
      <c r="S5055" t="s">
        <v>600</v>
      </c>
    </row>
    <row r="5056" spans="1:19" x14ac:dyDescent="0.2">
      <c r="A5056" t="s">
        <v>5667</v>
      </c>
      <c r="B5056" t="s">
        <v>75</v>
      </c>
      <c r="C5056" t="s">
        <v>614</v>
      </c>
      <c r="D5056">
        <v>1012.91</v>
      </c>
      <c r="E5056" s="37" t="str">
        <f t="shared" si="390"/>
        <v xml:space="preserve"> </v>
      </c>
      <c r="F5056">
        <v>0.12</v>
      </c>
      <c r="G5056" s="37" t="str">
        <f t="shared" si="391"/>
        <v>Normal Discount</v>
      </c>
      <c r="H5056" s="37" t="str">
        <f t="shared" si="392"/>
        <v>Low</v>
      </c>
      <c r="I5056">
        <v>2</v>
      </c>
      <c r="J5056" t="str" cm="1">
        <f t="array" ref="J5056">_xlfn.IFS(I5056&lt;=3,"small",I5056&lt;=6,"Medium",I5056&lt;=9,"Large")</f>
        <v>small</v>
      </c>
      <c r="K5056" s="36">
        <v>45008</v>
      </c>
      <c r="L5056" s="36">
        <v>45012</v>
      </c>
      <c r="M5056" t="s">
        <v>603</v>
      </c>
      <c r="N5056" t="s">
        <v>608</v>
      </c>
      <c r="O5056" s="37" t="str">
        <f t="shared" si="393"/>
        <v>Cash Payment</v>
      </c>
      <c r="P5056">
        <v>243.41</v>
      </c>
      <c r="Q5056" s="37" t="str">
        <f>IF(P5056&gt;500,"High","low")</f>
        <v>low</v>
      </c>
      <c r="R5056" s="37" t="str">
        <f t="shared" si="394"/>
        <v>AVERAGE</v>
      </c>
      <c r="S5056" t="s">
        <v>600</v>
      </c>
    </row>
    <row r="5057" spans="1:19" x14ac:dyDescent="0.2">
      <c r="A5057" t="s">
        <v>5668</v>
      </c>
      <c r="B5057" t="s">
        <v>83</v>
      </c>
      <c r="C5057" t="s">
        <v>614</v>
      </c>
      <c r="D5057">
        <v>2990.98</v>
      </c>
      <c r="E5057" s="37" t="str">
        <f t="shared" si="390"/>
        <v xml:space="preserve"> </v>
      </c>
      <c r="F5057">
        <v>0.19</v>
      </c>
      <c r="G5057" s="37" t="str">
        <f t="shared" si="391"/>
        <v>Normal Discount</v>
      </c>
      <c r="H5057" s="37" t="str">
        <f t="shared" si="392"/>
        <v>Low</v>
      </c>
      <c r="I5057">
        <v>4</v>
      </c>
      <c r="J5057" t="str" cm="1">
        <f t="array" ref="J5057">_xlfn.IFS(I5057&lt;=3,"small",I5057&lt;=6,"Medium",I5057&lt;=9,"Large")</f>
        <v>Medium</v>
      </c>
      <c r="K5057" s="36">
        <v>45250</v>
      </c>
      <c r="L5057" s="36">
        <v>45252</v>
      </c>
      <c r="M5057" t="s">
        <v>598</v>
      </c>
      <c r="N5057" t="s">
        <v>608</v>
      </c>
      <c r="O5057" s="37" t="str">
        <f t="shared" si="393"/>
        <v>Cash Payment</v>
      </c>
      <c r="P5057">
        <v>312.86</v>
      </c>
      <c r="Q5057" s="37" t="str">
        <f>IF(P5057&gt;500,"High","low")</f>
        <v>low</v>
      </c>
      <c r="R5057" s="37" t="str">
        <f t="shared" si="394"/>
        <v>AVERAGE</v>
      </c>
      <c r="S5057" t="s">
        <v>628</v>
      </c>
    </row>
    <row r="5058" spans="1:19" x14ac:dyDescent="0.2">
      <c r="A5058" t="s">
        <v>5669</v>
      </c>
      <c r="B5058" t="s">
        <v>90</v>
      </c>
      <c r="C5058" t="s">
        <v>597</v>
      </c>
      <c r="D5058">
        <v>348.18</v>
      </c>
      <c r="E5058" s="37" t="str">
        <f t="shared" si="390"/>
        <v xml:space="preserve"> </v>
      </c>
      <c r="F5058">
        <v>0.25</v>
      </c>
      <c r="G5058" s="37" t="str">
        <f t="shared" si="391"/>
        <v>Normal Discount</v>
      </c>
      <c r="H5058" s="37" t="str">
        <f t="shared" si="392"/>
        <v>Medium</v>
      </c>
      <c r="I5058">
        <v>1</v>
      </c>
      <c r="J5058" t="str" cm="1">
        <f t="array" ref="J5058">_xlfn.IFS(I5058&lt;=3,"small",I5058&lt;=6,"Medium",I5058&lt;=9,"Large")</f>
        <v>small</v>
      </c>
      <c r="K5058" s="36">
        <v>45355</v>
      </c>
      <c r="L5058" s="36">
        <v>45359</v>
      </c>
      <c r="M5058" t="s">
        <v>612</v>
      </c>
      <c r="N5058" t="s">
        <v>604</v>
      </c>
      <c r="O5058" s="37" t="str">
        <f t="shared" si="393"/>
        <v>Digital Payment</v>
      </c>
      <c r="P5058">
        <v>39.619999999999997</v>
      </c>
      <c r="Q5058" s="37" t="str">
        <f>IF(P5058&gt;500,"High","low")</f>
        <v>low</v>
      </c>
      <c r="R5058" s="37" t="str">
        <f t="shared" si="394"/>
        <v>AVERAGE</v>
      </c>
      <c r="S5058" t="s">
        <v>605</v>
      </c>
    </row>
    <row r="5059" spans="1:19" x14ac:dyDescent="0.2">
      <c r="A5059" t="s">
        <v>5670</v>
      </c>
      <c r="B5059" t="s">
        <v>90</v>
      </c>
      <c r="C5059" t="s">
        <v>607</v>
      </c>
      <c r="D5059">
        <v>4091.47</v>
      </c>
      <c r="E5059" s="37" t="str">
        <f t="shared" ref="E5059:E5122" si="395">IF(AND(D5059&gt;4000,P5059&gt;800),"Excellent Order"," ")</f>
        <v xml:space="preserve"> </v>
      </c>
      <c r="F5059">
        <v>0.15</v>
      </c>
      <c r="G5059" s="37" t="str">
        <f t="shared" ref="G5059:G5122" si="396">IF(F5059&gt;30%,"Heavy Discount","Normal Discount")</f>
        <v>Normal Discount</v>
      </c>
      <c r="H5059" s="37" t="str">
        <f t="shared" ref="H5059:H5122" si="397">IF(F5059&gt;0.4,"High",IF(F5059&gt;=0.2,"Medium","Low"))</f>
        <v>Low</v>
      </c>
      <c r="I5059">
        <v>8</v>
      </c>
      <c r="J5059" t="str" cm="1">
        <f t="array" ref="J5059">_xlfn.IFS(I5059&lt;=3,"small",I5059&lt;=6,"Medium",I5059&lt;=9,"Large")</f>
        <v>Large</v>
      </c>
      <c r="K5059" s="36">
        <v>45300</v>
      </c>
      <c r="L5059" s="36">
        <v>45305</v>
      </c>
      <c r="M5059" t="s">
        <v>598</v>
      </c>
      <c r="N5059" t="s">
        <v>604</v>
      </c>
      <c r="O5059" s="37" t="str">
        <f t="shared" ref="O5059:O5122" si="398">IF(OR(N5059="Card",N5059="UPI"),"Digital Payment","Cash Payment")</f>
        <v>Digital Payment</v>
      </c>
      <c r="P5059">
        <v>572.53</v>
      </c>
      <c r="Q5059" s="37" t="str">
        <f>IF(P5059&gt;500,"High","low")</f>
        <v>High</v>
      </c>
      <c r="R5059" s="37" t="str">
        <f t="shared" ref="R5059:R5122" si="399">IF(P5059&gt;1000,"Excellent",IF(P5059&gt;=500,"Good","AVERAGE"))</f>
        <v>Good</v>
      </c>
      <c r="S5059" t="s">
        <v>628</v>
      </c>
    </row>
    <row r="5060" spans="1:19" x14ac:dyDescent="0.2">
      <c r="A5060" t="s">
        <v>5671</v>
      </c>
      <c r="B5060" t="s">
        <v>90</v>
      </c>
      <c r="C5060" t="s">
        <v>614</v>
      </c>
      <c r="D5060">
        <v>1444.7</v>
      </c>
      <c r="E5060" s="37" t="str">
        <f t="shared" si="395"/>
        <v xml:space="preserve"> </v>
      </c>
      <c r="F5060">
        <v>0.34</v>
      </c>
      <c r="G5060" s="37" t="str">
        <f t="shared" si="396"/>
        <v>Heavy Discount</v>
      </c>
      <c r="H5060" s="37" t="str">
        <f t="shared" si="397"/>
        <v>Medium</v>
      </c>
      <c r="I5060">
        <v>1</v>
      </c>
      <c r="J5060" t="str" cm="1">
        <f t="array" ref="J5060">_xlfn.IFS(I5060&lt;=3,"small",I5060&lt;=6,"Medium",I5060&lt;=9,"Large")</f>
        <v>small</v>
      </c>
      <c r="K5060" s="36">
        <v>45432</v>
      </c>
      <c r="L5060" s="36">
        <v>45438</v>
      </c>
      <c r="M5060" t="s">
        <v>612</v>
      </c>
      <c r="N5060" t="s">
        <v>608</v>
      </c>
      <c r="O5060" s="37" t="str">
        <f t="shared" si="398"/>
        <v>Cash Payment</v>
      </c>
      <c r="P5060">
        <v>298.88</v>
      </c>
      <c r="Q5060" s="37" t="str">
        <f>IF(P5060&gt;500,"High","low")</f>
        <v>low</v>
      </c>
      <c r="R5060" s="37" t="str">
        <f t="shared" si="399"/>
        <v>AVERAGE</v>
      </c>
      <c r="S5060" t="s">
        <v>628</v>
      </c>
    </row>
    <row r="5061" spans="1:19" x14ac:dyDescent="0.2">
      <c r="A5061" t="s">
        <v>5672</v>
      </c>
      <c r="B5061" t="s">
        <v>83</v>
      </c>
      <c r="C5061" t="s">
        <v>614</v>
      </c>
      <c r="D5061">
        <v>4944.8900000000003</v>
      </c>
      <c r="E5061" s="37" t="str">
        <f t="shared" si="395"/>
        <v xml:space="preserve"> </v>
      </c>
      <c r="F5061">
        <v>0.06</v>
      </c>
      <c r="G5061" s="37" t="str">
        <f t="shared" si="396"/>
        <v>Normal Discount</v>
      </c>
      <c r="H5061" s="37" t="str">
        <f t="shared" si="397"/>
        <v>Low</v>
      </c>
      <c r="I5061">
        <v>9</v>
      </c>
      <c r="J5061" t="str" cm="1">
        <f t="array" ref="J5061">_xlfn.IFS(I5061&lt;=3,"small",I5061&lt;=6,"Medium",I5061&lt;=9,"Large")</f>
        <v>Large</v>
      </c>
      <c r="K5061" s="36">
        <v>45397</v>
      </c>
      <c r="L5061" s="36">
        <v>45403</v>
      </c>
      <c r="M5061" t="s">
        <v>598</v>
      </c>
      <c r="N5061" t="s">
        <v>608</v>
      </c>
      <c r="O5061" s="37" t="str">
        <f t="shared" si="398"/>
        <v>Cash Payment</v>
      </c>
      <c r="P5061">
        <v>544.9</v>
      </c>
      <c r="Q5061" s="37" t="str">
        <f>IF(P5061&gt;500,"High","low")</f>
        <v>High</v>
      </c>
      <c r="R5061" s="37" t="str">
        <f t="shared" si="399"/>
        <v>Good</v>
      </c>
      <c r="S5061" t="s">
        <v>628</v>
      </c>
    </row>
    <row r="5062" spans="1:19" x14ac:dyDescent="0.2">
      <c r="A5062" t="s">
        <v>5673</v>
      </c>
      <c r="B5062" t="s">
        <v>67</v>
      </c>
      <c r="C5062" t="s">
        <v>617</v>
      </c>
      <c r="D5062">
        <v>4617.8500000000004</v>
      </c>
      <c r="E5062" s="37" t="str">
        <f t="shared" si="395"/>
        <v>Excellent Order</v>
      </c>
      <c r="F5062">
        <v>0.44</v>
      </c>
      <c r="G5062" s="37" t="str">
        <f t="shared" si="396"/>
        <v>Heavy Discount</v>
      </c>
      <c r="H5062" s="37" t="str">
        <f t="shared" si="397"/>
        <v>High</v>
      </c>
      <c r="I5062">
        <v>6</v>
      </c>
      <c r="J5062" t="str" cm="1">
        <f t="array" ref="J5062">_xlfn.IFS(I5062&lt;=3,"small",I5062&lt;=6,"Medium",I5062&lt;=9,"Large")</f>
        <v>Medium</v>
      </c>
      <c r="K5062" s="36">
        <v>45209</v>
      </c>
      <c r="L5062" s="36">
        <v>45215</v>
      </c>
      <c r="M5062" t="s">
        <v>603</v>
      </c>
      <c r="N5062" t="s">
        <v>608</v>
      </c>
      <c r="O5062" s="37" t="str">
        <f t="shared" si="398"/>
        <v>Cash Payment</v>
      </c>
      <c r="P5062">
        <v>802.36</v>
      </c>
      <c r="Q5062" s="37" t="str">
        <f>IF(P5062&gt;500,"High","low")</f>
        <v>High</v>
      </c>
      <c r="R5062" s="37" t="str">
        <f t="shared" si="399"/>
        <v>Good</v>
      </c>
      <c r="S5062" t="s">
        <v>605</v>
      </c>
    </row>
    <row r="5063" spans="1:19" x14ac:dyDescent="0.2">
      <c r="A5063" t="s">
        <v>5674</v>
      </c>
      <c r="B5063" t="s">
        <v>83</v>
      </c>
      <c r="C5063" t="s">
        <v>602</v>
      </c>
      <c r="D5063">
        <v>3689.33</v>
      </c>
      <c r="E5063" s="37" t="str">
        <f t="shared" si="395"/>
        <v xml:space="preserve"> </v>
      </c>
      <c r="F5063">
        <v>0.24</v>
      </c>
      <c r="G5063" s="37" t="str">
        <f t="shared" si="396"/>
        <v>Normal Discount</v>
      </c>
      <c r="H5063" s="37" t="str">
        <f t="shared" si="397"/>
        <v>Medium</v>
      </c>
      <c r="I5063">
        <v>3</v>
      </c>
      <c r="J5063" t="str" cm="1">
        <f t="array" ref="J5063">_xlfn.IFS(I5063&lt;=3,"small",I5063&lt;=6,"Medium",I5063&lt;=9,"Large")</f>
        <v>small</v>
      </c>
      <c r="K5063" s="36">
        <v>45513</v>
      </c>
      <c r="L5063" s="36">
        <v>45516</v>
      </c>
      <c r="M5063" t="s">
        <v>612</v>
      </c>
      <c r="N5063" t="s">
        <v>608</v>
      </c>
      <c r="O5063" s="37" t="str">
        <f t="shared" si="398"/>
        <v>Cash Payment</v>
      </c>
      <c r="P5063">
        <v>770.18</v>
      </c>
      <c r="Q5063" s="37" t="str">
        <f>IF(P5063&gt;500,"High","low")</f>
        <v>High</v>
      </c>
      <c r="R5063" s="37" t="str">
        <f t="shared" si="399"/>
        <v>Good</v>
      </c>
      <c r="S5063" t="s">
        <v>628</v>
      </c>
    </row>
    <row r="5064" spans="1:19" x14ac:dyDescent="0.2">
      <c r="A5064" t="s">
        <v>5675</v>
      </c>
      <c r="B5064" t="s">
        <v>75</v>
      </c>
      <c r="C5064" t="s">
        <v>614</v>
      </c>
      <c r="D5064">
        <v>2534.5300000000002</v>
      </c>
      <c r="E5064" s="37" t="str">
        <f t="shared" si="395"/>
        <v xml:space="preserve"> </v>
      </c>
      <c r="F5064">
        <v>0.28999999999999998</v>
      </c>
      <c r="G5064" s="37" t="str">
        <f t="shared" si="396"/>
        <v>Normal Discount</v>
      </c>
      <c r="H5064" s="37" t="str">
        <f t="shared" si="397"/>
        <v>Medium</v>
      </c>
      <c r="I5064">
        <v>8</v>
      </c>
      <c r="J5064" t="str" cm="1">
        <f t="array" ref="J5064">_xlfn.IFS(I5064&lt;=3,"small",I5064&lt;=6,"Medium",I5064&lt;=9,"Large")</f>
        <v>Large</v>
      </c>
      <c r="K5064" s="36">
        <v>45073</v>
      </c>
      <c r="L5064" s="36">
        <v>45075</v>
      </c>
      <c r="M5064" t="s">
        <v>598</v>
      </c>
      <c r="N5064" t="s">
        <v>599</v>
      </c>
      <c r="O5064" s="37" t="str">
        <f t="shared" si="398"/>
        <v>Digital Payment</v>
      </c>
      <c r="P5064">
        <v>457.32</v>
      </c>
      <c r="Q5064" s="37" t="str">
        <f>IF(P5064&gt;500,"High","low")</f>
        <v>low</v>
      </c>
      <c r="R5064" s="37" t="str">
        <f t="shared" si="399"/>
        <v>AVERAGE</v>
      </c>
      <c r="S5064" t="s">
        <v>620</v>
      </c>
    </row>
    <row r="5065" spans="1:19" x14ac:dyDescent="0.2">
      <c r="A5065" t="s">
        <v>5676</v>
      </c>
      <c r="B5065" t="s">
        <v>67</v>
      </c>
      <c r="C5065" t="s">
        <v>607</v>
      </c>
      <c r="D5065">
        <v>3856.29</v>
      </c>
      <c r="E5065" s="37" t="str">
        <f t="shared" si="395"/>
        <v xml:space="preserve"> </v>
      </c>
      <c r="F5065">
        <v>0.31</v>
      </c>
      <c r="G5065" s="37" t="str">
        <f t="shared" si="396"/>
        <v>Heavy Discount</v>
      </c>
      <c r="H5065" s="37" t="str">
        <f t="shared" si="397"/>
        <v>Medium</v>
      </c>
      <c r="I5065">
        <v>2</v>
      </c>
      <c r="J5065" t="str" cm="1">
        <f t="array" ref="J5065">_xlfn.IFS(I5065&lt;=3,"small",I5065&lt;=6,"Medium",I5065&lt;=9,"Large")</f>
        <v>small</v>
      </c>
      <c r="K5065" s="36">
        <v>45087</v>
      </c>
      <c r="L5065" s="36">
        <v>45094</v>
      </c>
      <c r="M5065" t="s">
        <v>612</v>
      </c>
      <c r="N5065" t="s">
        <v>599</v>
      </c>
      <c r="O5065" s="37" t="str">
        <f t="shared" si="398"/>
        <v>Digital Payment</v>
      </c>
      <c r="P5065">
        <v>199.3</v>
      </c>
      <c r="Q5065" s="37" t="str">
        <f>IF(P5065&gt;500,"High","low")</f>
        <v>low</v>
      </c>
      <c r="R5065" s="37" t="str">
        <f t="shared" si="399"/>
        <v>AVERAGE</v>
      </c>
      <c r="S5065" t="s">
        <v>600</v>
      </c>
    </row>
    <row r="5066" spans="1:19" x14ac:dyDescent="0.2">
      <c r="A5066" t="s">
        <v>5677</v>
      </c>
      <c r="B5066" t="s">
        <v>90</v>
      </c>
      <c r="C5066" t="s">
        <v>607</v>
      </c>
      <c r="D5066">
        <v>739.98</v>
      </c>
      <c r="E5066" s="37" t="str">
        <f t="shared" si="395"/>
        <v xml:space="preserve"> </v>
      </c>
      <c r="F5066">
        <v>0.03</v>
      </c>
      <c r="G5066" s="37" t="str">
        <f t="shared" si="396"/>
        <v>Normal Discount</v>
      </c>
      <c r="H5066" s="37" t="str">
        <f t="shared" si="397"/>
        <v>Low</v>
      </c>
      <c r="I5066">
        <v>3</v>
      </c>
      <c r="J5066" t="str" cm="1">
        <f t="array" ref="J5066">_xlfn.IFS(I5066&lt;=3,"small",I5066&lt;=6,"Medium",I5066&lt;=9,"Large")</f>
        <v>small</v>
      </c>
      <c r="K5066" s="36">
        <v>45644</v>
      </c>
      <c r="L5066" s="36">
        <v>45648</v>
      </c>
      <c r="M5066" t="s">
        <v>603</v>
      </c>
      <c r="N5066" t="s">
        <v>604</v>
      </c>
      <c r="O5066" s="37" t="str">
        <f t="shared" si="398"/>
        <v>Digital Payment</v>
      </c>
      <c r="P5066">
        <v>129.54</v>
      </c>
      <c r="Q5066" s="37" t="str">
        <f>IF(P5066&gt;500,"High","low")</f>
        <v>low</v>
      </c>
      <c r="R5066" s="37" t="str">
        <f t="shared" si="399"/>
        <v>AVERAGE</v>
      </c>
      <c r="S5066" t="s">
        <v>605</v>
      </c>
    </row>
    <row r="5067" spans="1:19" x14ac:dyDescent="0.2">
      <c r="A5067" t="s">
        <v>5678</v>
      </c>
      <c r="B5067" t="s">
        <v>83</v>
      </c>
      <c r="C5067" t="s">
        <v>617</v>
      </c>
      <c r="D5067">
        <v>1619.98</v>
      </c>
      <c r="E5067" s="37" t="str">
        <f t="shared" si="395"/>
        <v xml:space="preserve"> </v>
      </c>
      <c r="F5067">
        <v>0.38</v>
      </c>
      <c r="G5067" s="37" t="str">
        <f t="shared" si="396"/>
        <v>Heavy Discount</v>
      </c>
      <c r="H5067" s="37" t="str">
        <f t="shared" si="397"/>
        <v>Medium</v>
      </c>
      <c r="I5067">
        <v>7</v>
      </c>
      <c r="J5067" t="str" cm="1">
        <f t="array" ref="J5067">_xlfn.IFS(I5067&lt;=3,"small",I5067&lt;=6,"Medium",I5067&lt;=9,"Large")</f>
        <v>Large</v>
      </c>
      <c r="K5067" s="36">
        <v>45195</v>
      </c>
      <c r="L5067" s="36">
        <v>45196</v>
      </c>
      <c r="M5067" t="s">
        <v>612</v>
      </c>
      <c r="N5067" t="s">
        <v>608</v>
      </c>
      <c r="O5067" s="37" t="str">
        <f t="shared" si="398"/>
        <v>Cash Payment</v>
      </c>
      <c r="P5067">
        <v>225.07</v>
      </c>
      <c r="Q5067" s="37" t="str">
        <f>IF(P5067&gt;500,"High","low")</f>
        <v>low</v>
      </c>
      <c r="R5067" s="37" t="str">
        <f t="shared" si="399"/>
        <v>AVERAGE</v>
      </c>
      <c r="S5067" t="s">
        <v>600</v>
      </c>
    </row>
    <row r="5068" spans="1:19" x14ac:dyDescent="0.2">
      <c r="A5068" t="s">
        <v>5679</v>
      </c>
      <c r="B5068" t="s">
        <v>90</v>
      </c>
      <c r="C5068" t="s">
        <v>607</v>
      </c>
      <c r="D5068">
        <v>231.79</v>
      </c>
      <c r="E5068" s="37" t="str">
        <f t="shared" si="395"/>
        <v xml:space="preserve"> </v>
      </c>
      <c r="F5068">
        <v>0.47</v>
      </c>
      <c r="G5068" s="37" t="str">
        <f t="shared" si="396"/>
        <v>Heavy Discount</v>
      </c>
      <c r="H5068" s="37" t="str">
        <f t="shared" si="397"/>
        <v>High</v>
      </c>
      <c r="I5068">
        <v>1</v>
      </c>
      <c r="J5068" t="str" cm="1">
        <f t="array" ref="J5068">_xlfn.IFS(I5068&lt;=3,"small",I5068&lt;=6,"Medium",I5068&lt;=9,"Large")</f>
        <v>small</v>
      </c>
      <c r="K5068" s="36">
        <v>45189</v>
      </c>
      <c r="L5068" s="36">
        <v>45196</v>
      </c>
      <c r="M5068" t="s">
        <v>612</v>
      </c>
      <c r="N5068" t="s">
        <v>604</v>
      </c>
      <c r="O5068" s="37" t="str">
        <f t="shared" si="398"/>
        <v>Digital Payment</v>
      </c>
      <c r="P5068">
        <v>14.25</v>
      </c>
      <c r="Q5068" s="37" t="str">
        <f>IF(P5068&gt;500,"High","low")</f>
        <v>low</v>
      </c>
      <c r="R5068" s="37" t="str">
        <f t="shared" si="399"/>
        <v>AVERAGE</v>
      </c>
      <c r="S5068" t="s">
        <v>615</v>
      </c>
    </row>
    <row r="5069" spans="1:19" x14ac:dyDescent="0.2">
      <c r="A5069" t="s">
        <v>5680</v>
      </c>
      <c r="B5069" t="s">
        <v>90</v>
      </c>
      <c r="C5069" t="s">
        <v>617</v>
      </c>
      <c r="D5069">
        <v>3260.62</v>
      </c>
      <c r="E5069" s="37" t="str">
        <f t="shared" si="395"/>
        <v xml:space="preserve"> </v>
      </c>
      <c r="F5069">
        <v>0.26</v>
      </c>
      <c r="G5069" s="37" t="str">
        <f t="shared" si="396"/>
        <v>Normal Discount</v>
      </c>
      <c r="H5069" s="37" t="str">
        <f t="shared" si="397"/>
        <v>Medium</v>
      </c>
      <c r="I5069">
        <v>9</v>
      </c>
      <c r="J5069" t="str" cm="1">
        <f t="array" ref="J5069">_xlfn.IFS(I5069&lt;=3,"small",I5069&lt;=6,"Medium",I5069&lt;=9,"Large")</f>
        <v>Large</v>
      </c>
      <c r="K5069" s="36">
        <v>45086</v>
      </c>
      <c r="L5069" s="36">
        <v>45092</v>
      </c>
      <c r="M5069" t="s">
        <v>612</v>
      </c>
      <c r="N5069" t="s">
        <v>599</v>
      </c>
      <c r="O5069" s="37" t="str">
        <f t="shared" si="398"/>
        <v>Digital Payment</v>
      </c>
      <c r="P5069">
        <v>909.05</v>
      </c>
      <c r="Q5069" s="37" t="str">
        <f>IF(P5069&gt;500,"High","low")</f>
        <v>High</v>
      </c>
      <c r="R5069" s="37" t="str">
        <f t="shared" si="399"/>
        <v>Good</v>
      </c>
      <c r="S5069" t="s">
        <v>600</v>
      </c>
    </row>
    <row r="5070" spans="1:19" x14ac:dyDescent="0.2">
      <c r="A5070" t="s">
        <v>5681</v>
      </c>
      <c r="B5070" t="s">
        <v>75</v>
      </c>
      <c r="C5070" t="s">
        <v>614</v>
      </c>
      <c r="D5070">
        <v>4047.13</v>
      </c>
      <c r="E5070" s="37" t="str">
        <f t="shared" si="395"/>
        <v>Excellent Order</v>
      </c>
      <c r="F5070">
        <v>0.2</v>
      </c>
      <c r="G5070" s="37" t="str">
        <f t="shared" si="396"/>
        <v>Normal Discount</v>
      </c>
      <c r="H5070" s="37" t="str">
        <f t="shared" si="397"/>
        <v>Medium</v>
      </c>
      <c r="I5070">
        <v>9</v>
      </c>
      <c r="J5070" t="str" cm="1">
        <f t="array" ref="J5070">_xlfn.IFS(I5070&lt;=3,"small",I5070&lt;=6,"Medium",I5070&lt;=9,"Large")</f>
        <v>Large</v>
      </c>
      <c r="K5070" s="36">
        <v>45483</v>
      </c>
      <c r="L5070" s="36">
        <v>45489</v>
      </c>
      <c r="M5070" t="s">
        <v>598</v>
      </c>
      <c r="N5070" t="s">
        <v>608</v>
      </c>
      <c r="O5070" s="37" t="str">
        <f t="shared" si="398"/>
        <v>Cash Payment</v>
      </c>
      <c r="P5070">
        <v>859.43</v>
      </c>
      <c r="Q5070" s="37" t="str">
        <f>IF(P5070&gt;500,"High","low")</f>
        <v>High</v>
      </c>
      <c r="R5070" s="37" t="str">
        <f t="shared" si="399"/>
        <v>Good</v>
      </c>
      <c r="S5070" t="s">
        <v>609</v>
      </c>
    </row>
    <row r="5071" spans="1:19" x14ac:dyDescent="0.2">
      <c r="A5071" t="s">
        <v>5682</v>
      </c>
      <c r="B5071" t="s">
        <v>67</v>
      </c>
      <c r="C5071" t="s">
        <v>614</v>
      </c>
      <c r="D5071">
        <v>4736.8</v>
      </c>
      <c r="E5071" s="37" t="str">
        <f t="shared" si="395"/>
        <v>Excellent Order</v>
      </c>
      <c r="F5071">
        <v>0.39</v>
      </c>
      <c r="G5071" s="37" t="str">
        <f t="shared" si="396"/>
        <v>Heavy Discount</v>
      </c>
      <c r="H5071" s="37" t="str">
        <f t="shared" si="397"/>
        <v>Medium</v>
      </c>
      <c r="I5071">
        <v>3</v>
      </c>
      <c r="J5071" t="str" cm="1">
        <f t="array" ref="J5071">_xlfn.IFS(I5071&lt;=3,"small",I5071&lt;=6,"Medium",I5071&lt;=9,"Large")</f>
        <v>small</v>
      </c>
      <c r="K5071" s="36">
        <v>45238</v>
      </c>
      <c r="L5071" s="36">
        <v>45245</v>
      </c>
      <c r="M5071" t="s">
        <v>598</v>
      </c>
      <c r="N5071" t="s">
        <v>608</v>
      </c>
      <c r="O5071" s="37" t="str">
        <f t="shared" si="398"/>
        <v>Cash Payment</v>
      </c>
      <c r="P5071">
        <v>1318.46</v>
      </c>
      <c r="Q5071" s="37" t="str">
        <f>IF(P5071&gt;500,"High","low")</f>
        <v>High</v>
      </c>
      <c r="R5071" s="37" t="str">
        <f t="shared" si="399"/>
        <v>Excellent</v>
      </c>
      <c r="S5071" t="s">
        <v>628</v>
      </c>
    </row>
    <row r="5072" spans="1:19" x14ac:dyDescent="0.2">
      <c r="A5072" t="s">
        <v>5683</v>
      </c>
      <c r="B5072" t="s">
        <v>75</v>
      </c>
      <c r="C5072" t="s">
        <v>614</v>
      </c>
      <c r="D5072">
        <v>3463.89</v>
      </c>
      <c r="E5072" s="37" t="str">
        <f t="shared" si="395"/>
        <v xml:space="preserve"> </v>
      </c>
      <c r="F5072">
        <v>0.36</v>
      </c>
      <c r="G5072" s="37" t="str">
        <f t="shared" si="396"/>
        <v>Heavy Discount</v>
      </c>
      <c r="H5072" s="37" t="str">
        <f t="shared" si="397"/>
        <v>Medium</v>
      </c>
      <c r="I5072">
        <v>4</v>
      </c>
      <c r="J5072" t="str" cm="1">
        <f t="array" ref="J5072">_xlfn.IFS(I5072&lt;=3,"small",I5072&lt;=6,"Medium",I5072&lt;=9,"Large")</f>
        <v>Medium</v>
      </c>
      <c r="K5072" s="36">
        <v>45155</v>
      </c>
      <c r="L5072" s="36">
        <v>45162</v>
      </c>
      <c r="M5072" t="s">
        <v>612</v>
      </c>
      <c r="N5072" t="s">
        <v>599</v>
      </c>
      <c r="O5072" s="37" t="str">
        <f t="shared" si="398"/>
        <v>Digital Payment</v>
      </c>
      <c r="P5072">
        <v>437.74</v>
      </c>
      <c r="Q5072" s="37" t="str">
        <f>IF(P5072&gt;500,"High","low")</f>
        <v>low</v>
      </c>
      <c r="R5072" s="37" t="str">
        <f t="shared" si="399"/>
        <v>AVERAGE</v>
      </c>
      <c r="S5072" t="s">
        <v>609</v>
      </c>
    </row>
    <row r="5073" spans="1:19" x14ac:dyDescent="0.2">
      <c r="A5073" t="s">
        <v>5684</v>
      </c>
      <c r="B5073" t="s">
        <v>75</v>
      </c>
      <c r="C5073" t="s">
        <v>614</v>
      </c>
      <c r="D5073">
        <v>3687.25</v>
      </c>
      <c r="E5073" s="37" t="str">
        <f t="shared" si="395"/>
        <v xml:space="preserve"> </v>
      </c>
      <c r="F5073">
        <v>0.33</v>
      </c>
      <c r="G5073" s="37" t="str">
        <f t="shared" si="396"/>
        <v>Heavy Discount</v>
      </c>
      <c r="H5073" s="37" t="str">
        <f t="shared" si="397"/>
        <v>Medium</v>
      </c>
      <c r="I5073">
        <v>2</v>
      </c>
      <c r="J5073" t="str" cm="1">
        <f t="array" ref="J5073">_xlfn.IFS(I5073&lt;=3,"small",I5073&lt;=6,"Medium",I5073&lt;=9,"Large")</f>
        <v>small</v>
      </c>
      <c r="K5073" s="36">
        <v>45228</v>
      </c>
      <c r="L5073" s="36">
        <v>45231</v>
      </c>
      <c r="M5073" t="s">
        <v>603</v>
      </c>
      <c r="N5073" t="s">
        <v>604</v>
      </c>
      <c r="O5073" s="37" t="str">
        <f t="shared" si="398"/>
        <v>Digital Payment</v>
      </c>
      <c r="P5073">
        <v>1036.23</v>
      </c>
      <c r="Q5073" s="37" t="str">
        <f>IF(P5073&gt;500,"High","low")</f>
        <v>High</v>
      </c>
      <c r="R5073" s="37" t="str">
        <f t="shared" si="399"/>
        <v>Excellent</v>
      </c>
      <c r="S5073" t="s">
        <v>609</v>
      </c>
    </row>
    <row r="5074" spans="1:19" x14ac:dyDescent="0.2">
      <c r="A5074" t="s">
        <v>5685</v>
      </c>
      <c r="B5074" t="s">
        <v>75</v>
      </c>
      <c r="C5074" t="s">
        <v>602</v>
      </c>
      <c r="D5074">
        <v>4487.7299999999996</v>
      </c>
      <c r="E5074" s="37" t="str">
        <f t="shared" si="395"/>
        <v xml:space="preserve"> </v>
      </c>
      <c r="F5074">
        <v>0.48</v>
      </c>
      <c r="G5074" s="37" t="str">
        <f t="shared" si="396"/>
        <v>Heavy Discount</v>
      </c>
      <c r="H5074" s="37" t="str">
        <f t="shared" si="397"/>
        <v>High</v>
      </c>
      <c r="I5074">
        <v>1</v>
      </c>
      <c r="J5074" t="str" cm="1">
        <f t="array" ref="J5074">_xlfn.IFS(I5074&lt;=3,"small",I5074&lt;=6,"Medium",I5074&lt;=9,"Large")</f>
        <v>small</v>
      </c>
      <c r="K5074" s="36">
        <v>45026</v>
      </c>
      <c r="L5074" s="36">
        <v>45030</v>
      </c>
      <c r="M5074" t="s">
        <v>612</v>
      </c>
      <c r="N5074" t="s">
        <v>599</v>
      </c>
      <c r="O5074" s="37" t="str">
        <f t="shared" si="398"/>
        <v>Digital Payment</v>
      </c>
      <c r="P5074">
        <v>719.66</v>
      </c>
      <c r="Q5074" s="37" t="str">
        <f>IF(P5074&gt;500,"High","low")</f>
        <v>High</v>
      </c>
      <c r="R5074" s="37" t="str">
        <f t="shared" si="399"/>
        <v>Good</v>
      </c>
      <c r="S5074" t="s">
        <v>615</v>
      </c>
    </row>
    <row r="5075" spans="1:19" x14ac:dyDescent="0.2">
      <c r="A5075" t="s">
        <v>5686</v>
      </c>
      <c r="B5075" t="s">
        <v>90</v>
      </c>
      <c r="C5075" t="s">
        <v>602</v>
      </c>
      <c r="D5075">
        <v>4688.25</v>
      </c>
      <c r="E5075" s="37" t="str">
        <f t="shared" si="395"/>
        <v xml:space="preserve"> </v>
      </c>
      <c r="F5075">
        <v>0.28999999999999998</v>
      </c>
      <c r="G5075" s="37" t="str">
        <f t="shared" si="396"/>
        <v>Normal Discount</v>
      </c>
      <c r="H5075" s="37" t="str">
        <f t="shared" si="397"/>
        <v>Medium</v>
      </c>
      <c r="I5075">
        <v>8</v>
      </c>
      <c r="J5075" t="str" cm="1">
        <f t="array" ref="J5075">_xlfn.IFS(I5075&lt;=3,"small",I5075&lt;=6,"Medium",I5075&lt;=9,"Large")</f>
        <v>Large</v>
      </c>
      <c r="K5075" s="36">
        <v>45344</v>
      </c>
      <c r="L5075" s="36">
        <v>45346</v>
      </c>
      <c r="M5075" t="s">
        <v>612</v>
      </c>
      <c r="N5075" t="s">
        <v>604</v>
      </c>
      <c r="O5075" s="37" t="str">
        <f t="shared" si="398"/>
        <v>Digital Payment</v>
      </c>
      <c r="P5075">
        <v>613.38</v>
      </c>
      <c r="Q5075" s="37" t="str">
        <f>IF(P5075&gt;500,"High","low")</f>
        <v>High</v>
      </c>
      <c r="R5075" s="37" t="str">
        <f t="shared" si="399"/>
        <v>Good</v>
      </c>
      <c r="S5075" t="s">
        <v>609</v>
      </c>
    </row>
    <row r="5076" spans="1:19" x14ac:dyDescent="0.2">
      <c r="A5076" t="s">
        <v>5687</v>
      </c>
      <c r="B5076" t="s">
        <v>75</v>
      </c>
      <c r="C5076" t="s">
        <v>614</v>
      </c>
      <c r="D5076">
        <v>2507.36</v>
      </c>
      <c r="E5076" s="37" t="str">
        <f t="shared" si="395"/>
        <v xml:space="preserve"> </v>
      </c>
      <c r="F5076">
        <v>0.12</v>
      </c>
      <c r="G5076" s="37" t="str">
        <f t="shared" si="396"/>
        <v>Normal Discount</v>
      </c>
      <c r="H5076" s="37" t="str">
        <f t="shared" si="397"/>
        <v>Low</v>
      </c>
      <c r="I5076">
        <v>9</v>
      </c>
      <c r="J5076" t="str" cm="1">
        <f t="array" ref="J5076">_xlfn.IFS(I5076&lt;=3,"small",I5076&lt;=6,"Medium",I5076&lt;=9,"Large")</f>
        <v>Large</v>
      </c>
      <c r="K5076" s="36">
        <v>45154</v>
      </c>
      <c r="L5076" s="36">
        <v>45155</v>
      </c>
      <c r="M5076" t="s">
        <v>598</v>
      </c>
      <c r="N5076" t="s">
        <v>608</v>
      </c>
      <c r="O5076" s="37" t="str">
        <f t="shared" si="398"/>
        <v>Cash Payment</v>
      </c>
      <c r="P5076">
        <v>652.92999999999995</v>
      </c>
      <c r="Q5076" s="37" t="str">
        <f>IF(P5076&gt;500,"High","low")</f>
        <v>High</v>
      </c>
      <c r="R5076" s="37" t="str">
        <f t="shared" si="399"/>
        <v>Good</v>
      </c>
      <c r="S5076" t="s">
        <v>620</v>
      </c>
    </row>
    <row r="5077" spans="1:19" x14ac:dyDescent="0.2">
      <c r="A5077" t="s">
        <v>5688</v>
      </c>
      <c r="B5077" t="s">
        <v>75</v>
      </c>
      <c r="C5077" t="s">
        <v>607</v>
      </c>
      <c r="D5077">
        <v>637.96</v>
      </c>
      <c r="E5077" s="37" t="str">
        <f t="shared" si="395"/>
        <v xml:space="preserve"> </v>
      </c>
      <c r="F5077">
        <v>0.01</v>
      </c>
      <c r="G5077" s="37" t="str">
        <f t="shared" si="396"/>
        <v>Normal Discount</v>
      </c>
      <c r="H5077" s="37" t="str">
        <f t="shared" si="397"/>
        <v>Low</v>
      </c>
      <c r="I5077">
        <v>9</v>
      </c>
      <c r="J5077" t="str" cm="1">
        <f t="array" ref="J5077">_xlfn.IFS(I5077&lt;=3,"small",I5077&lt;=6,"Medium",I5077&lt;=9,"Large")</f>
        <v>Large</v>
      </c>
      <c r="K5077" s="36">
        <v>45117</v>
      </c>
      <c r="L5077" s="36">
        <v>45120</v>
      </c>
      <c r="M5077" t="s">
        <v>612</v>
      </c>
      <c r="N5077" t="s">
        <v>599</v>
      </c>
      <c r="O5077" s="37" t="str">
        <f t="shared" si="398"/>
        <v>Digital Payment</v>
      </c>
      <c r="P5077">
        <v>38.880000000000003</v>
      </c>
      <c r="Q5077" s="37" t="str">
        <f>IF(P5077&gt;500,"High","low")</f>
        <v>low</v>
      </c>
      <c r="R5077" s="37" t="str">
        <f t="shared" si="399"/>
        <v>AVERAGE</v>
      </c>
      <c r="S5077" t="s">
        <v>605</v>
      </c>
    </row>
    <row r="5078" spans="1:19" x14ac:dyDescent="0.2">
      <c r="A5078" t="s">
        <v>5689</v>
      </c>
      <c r="B5078" t="s">
        <v>67</v>
      </c>
      <c r="C5078" t="s">
        <v>617</v>
      </c>
      <c r="D5078">
        <v>2385.44</v>
      </c>
      <c r="E5078" s="37" t="str">
        <f t="shared" si="395"/>
        <v xml:space="preserve"> </v>
      </c>
      <c r="F5078">
        <v>0.23</v>
      </c>
      <c r="G5078" s="37" t="str">
        <f t="shared" si="396"/>
        <v>Normal Discount</v>
      </c>
      <c r="H5078" s="37" t="str">
        <f t="shared" si="397"/>
        <v>Medium</v>
      </c>
      <c r="I5078">
        <v>5</v>
      </c>
      <c r="J5078" t="str" cm="1">
        <f t="array" ref="J5078">_xlfn.IFS(I5078&lt;=3,"small",I5078&lt;=6,"Medium",I5078&lt;=9,"Large")</f>
        <v>Medium</v>
      </c>
      <c r="K5078" s="36">
        <v>44996</v>
      </c>
      <c r="L5078" s="36">
        <v>45001</v>
      </c>
      <c r="M5078" t="s">
        <v>612</v>
      </c>
      <c r="N5078" t="s">
        <v>599</v>
      </c>
      <c r="O5078" s="37" t="str">
        <f t="shared" si="398"/>
        <v>Digital Payment</v>
      </c>
      <c r="P5078">
        <v>555.6</v>
      </c>
      <c r="Q5078" s="37" t="str">
        <f>IF(P5078&gt;500,"High","low")</f>
        <v>High</v>
      </c>
      <c r="R5078" s="37" t="str">
        <f t="shared" si="399"/>
        <v>Good</v>
      </c>
      <c r="S5078" t="s">
        <v>609</v>
      </c>
    </row>
    <row r="5079" spans="1:19" x14ac:dyDescent="0.2">
      <c r="A5079" t="s">
        <v>5690</v>
      </c>
      <c r="B5079" t="s">
        <v>67</v>
      </c>
      <c r="C5079" t="s">
        <v>597</v>
      </c>
      <c r="D5079">
        <v>2824.76</v>
      </c>
      <c r="E5079" s="37" t="str">
        <f t="shared" si="395"/>
        <v xml:space="preserve"> </v>
      </c>
      <c r="F5079">
        <v>0.33</v>
      </c>
      <c r="G5079" s="37" t="str">
        <f t="shared" si="396"/>
        <v>Heavy Discount</v>
      </c>
      <c r="H5079" s="37" t="str">
        <f t="shared" si="397"/>
        <v>Medium</v>
      </c>
      <c r="I5079">
        <v>5</v>
      </c>
      <c r="J5079" t="str" cm="1">
        <f t="array" ref="J5079">_xlfn.IFS(I5079&lt;=3,"small",I5079&lt;=6,"Medium",I5079&lt;=9,"Large")</f>
        <v>Medium</v>
      </c>
      <c r="K5079" s="36">
        <v>45438</v>
      </c>
      <c r="L5079" s="36">
        <v>45445</v>
      </c>
      <c r="M5079" t="s">
        <v>603</v>
      </c>
      <c r="N5079" t="s">
        <v>599</v>
      </c>
      <c r="O5079" s="37" t="str">
        <f t="shared" si="398"/>
        <v>Digital Payment</v>
      </c>
      <c r="P5079">
        <v>751.69</v>
      </c>
      <c r="Q5079" s="37" t="str">
        <f>IF(P5079&gt;500,"High","low")</f>
        <v>High</v>
      </c>
      <c r="R5079" s="37" t="str">
        <f t="shared" si="399"/>
        <v>Good</v>
      </c>
      <c r="S5079" t="s">
        <v>628</v>
      </c>
    </row>
    <row r="5080" spans="1:19" x14ac:dyDescent="0.2">
      <c r="A5080" t="s">
        <v>5691</v>
      </c>
      <c r="B5080" t="s">
        <v>75</v>
      </c>
      <c r="C5080" t="s">
        <v>617</v>
      </c>
      <c r="D5080">
        <v>3194.57</v>
      </c>
      <c r="E5080" s="37" t="str">
        <f t="shared" si="395"/>
        <v xml:space="preserve"> </v>
      </c>
      <c r="F5080">
        <v>0.09</v>
      </c>
      <c r="G5080" s="37" t="str">
        <f t="shared" si="396"/>
        <v>Normal Discount</v>
      </c>
      <c r="H5080" s="37" t="str">
        <f t="shared" si="397"/>
        <v>Low</v>
      </c>
      <c r="I5080">
        <v>5</v>
      </c>
      <c r="J5080" t="str" cm="1">
        <f t="array" ref="J5080">_xlfn.IFS(I5080&lt;=3,"small",I5080&lt;=6,"Medium",I5080&lt;=9,"Large")</f>
        <v>Medium</v>
      </c>
      <c r="K5080" s="36">
        <v>45236</v>
      </c>
      <c r="L5080" s="36">
        <v>45243</v>
      </c>
      <c r="M5080" t="s">
        <v>603</v>
      </c>
      <c r="N5080" t="s">
        <v>608</v>
      </c>
      <c r="O5080" s="37" t="str">
        <f t="shared" si="398"/>
        <v>Cash Payment</v>
      </c>
      <c r="P5080">
        <v>855.61</v>
      </c>
      <c r="Q5080" s="37" t="str">
        <f>IF(P5080&gt;500,"High","low")</f>
        <v>High</v>
      </c>
      <c r="R5080" s="37" t="str">
        <f t="shared" si="399"/>
        <v>Good</v>
      </c>
      <c r="S5080" t="s">
        <v>605</v>
      </c>
    </row>
    <row r="5081" spans="1:19" x14ac:dyDescent="0.2">
      <c r="A5081" t="s">
        <v>5692</v>
      </c>
      <c r="B5081" t="s">
        <v>67</v>
      </c>
      <c r="C5081" t="s">
        <v>597</v>
      </c>
      <c r="D5081">
        <v>4947.49</v>
      </c>
      <c r="E5081" s="37" t="str">
        <f t="shared" si="395"/>
        <v xml:space="preserve"> </v>
      </c>
      <c r="F5081">
        <v>0.01</v>
      </c>
      <c r="G5081" s="37" t="str">
        <f t="shared" si="396"/>
        <v>Normal Discount</v>
      </c>
      <c r="H5081" s="37" t="str">
        <f t="shared" si="397"/>
        <v>Low</v>
      </c>
      <c r="I5081">
        <v>6</v>
      </c>
      <c r="J5081" t="str" cm="1">
        <f t="array" ref="J5081">_xlfn.IFS(I5081&lt;=3,"small",I5081&lt;=6,"Medium",I5081&lt;=9,"Large")</f>
        <v>Medium</v>
      </c>
      <c r="K5081" s="36">
        <v>45227</v>
      </c>
      <c r="L5081" s="36">
        <v>45231</v>
      </c>
      <c r="M5081" t="s">
        <v>612</v>
      </c>
      <c r="N5081" t="s">
        <v>608</v>
      </c>
      <c r="O5081" s="37" t="str">
        <f t="shared" si="398"/>
        <v>Cash Payment</v>
      </c>
      <c r="P5081">
        <v>286.66000000000003</v>
      </c>
      <c r="Q5081" s="37" t="str">
        <f>IF(P5081&gt;500,"High","low")</f>
        <v>low</v>
      </c>
      <c r="R5081" s="37" t="str">
        <f t="shared" si="399"/>
        <v>AVERAGE</v>
      </c>
      <c r="S5081" t="s">
        <v>615</v>
      </c>
    </row>
    <row r="5082" spans="1:19" x14ac:dyDescent="0.2">
      <c r="A5082" t="s">
        <v>5693</v>
      </c>
      <c r="B5082" t="s">
        <v>67</v>
      </c>
      <c r="C5082" t="s">
        <v>597</v>
      </c>
      <c r="D5082">
        <v>4596.0600000000004</v>
      </c>
      <c r="E5082" s="37" t="str">
        <f t="shared" si="395"/>
        <v>Excellent Order</v>
      </c>
      <c r="F5082">
        <v>0.45</v>
      </c>
      <c r="G5082" s="37" t="str">
        <f t="shared" si="396"/>
        <v>Heavy Discount</v>
      </c>
      <c r="H5082" s="37" t="str">
        <f t="shared" si="397"/>
        <v>High</v>
      </c>
      <c r="I5082">
        <v>4</v>
      </c>
      <c r="J5082" t="str" cm="1">
        <f t="array" ref="J5082">_xlfn.IFS(I5082&lt;=3,"small",I5082&lt;=6,"Medium",I5082&lt;=9,"Large")</f>
        <v>Medium</v>
      </c>
      <c r="K5082" s="36">
        <v>44956</v>
      </c>
      <c r="L5082" s="36">
        <v>44959</v>
      </c>
      <c r="M5082" t="s">
        <v>612</v>
      </c>
      <c r="N5082" t="s">
        <v>604</v>
      </c>
      <c r="O5082" s="37" t="str">
        <f t="shared" si="398"/>
        <v>Digital Payment</v>
      </c>
      <c r="P5082">
        <v>1242.81</v>
      </c>
      <c r="Q5082" s="37" t="str">
        <f>IF(P5082&gt;500,"High","low")</f>
        <v>High</v>
      </c>
      <c r="R5082" s="37" t="str">
        <f t="shared" si="399"/>
        <v>Excellent</v>
      </c>
      <c r="S5082" t="s">
        <v>620</v>
      </c>
    </row>
    <row r="5083" spans="1:19" x14ac:dyDescent="0.2">
      <c r="A5083" t="s">
        <v>5694</v>
      </c>
      <c r="B5083" t="s">
        <v>75</v>
      </c>
      <c r="C5083" t="s">
        <v>614</v>
      </c>
      <c r="D5083">
        <v>2042.18</v>
      </c>
      <c r="E5083" s="37" t="str">
        <f t="shared" si="395"/>
        <v xml:space="preserve"> </v>
      </c>
      <c r="F5083">
        <v>0.15</v>
      </c>
      <c r="G5083" s="37" t="str">
        <f t="shared" si="396"/>
        <v>Normal Discount</v>
      </c>
      <c r="H5083" s="37" t="str">
        <f t="shared" si="397"/>
        <v>Low</v>
      </c>
      <c r="I5083">
        <v>2</v>
      </c>
      <c r="J5083" t="str" cm="1">
        <f t="array" ref="J5083">_xlfn.IFS(I5083&lt;=3,"small",I5083&lt;=6,"Medium",I5083&lt;=9,"Large")</f>
        <v>small</v>
      </c>
      <c r="K5083" s="36">
        <v>45005</v>
      </c>
      <c r="L5083" s="36">
        <v>45010</v>
      </c>
      <c r="M5083" t="s">
        <v>603</v>
      </c>
      <c r="N5083" t="s">
        <v>608</v>
      </c>
      <c r="O5083" s="37" t="str">
        <f t="shared" si="398"/>
        <v>Cash Payment</v>
      </c>
      <c r="P5083">
        <v>467.29</v>
      </c>
      <c r="Q5083" s="37" t="str">
        <f>IF(P5083&gt;500,"High","low")</f>
        <v>low</v>
      </c>
      <c r="R5083" s="37" t="str">
        <f t="shared" si="399"/>
        <v>AVERAGE</v>
      </c>
      <c r="S5083" t="s">
        <v>620</v>
      </c>
    </row>
    <row r="5084" spans="1:19" x14ac:dyDescent="0.2">
      <c r="A5084" t="s">
        <v>5695</v>
      </c>
      <c r="B5084" t="s">
        <v>90</v>
      </c>
      <c r="C5084" t="s">
        <v>597</v>
      </c>
      <c r="D5084">
        <v>655.92</v>
      </c>
      <c r="E5084" s="37" t="str">
        <f t="shared" si="395"/>
        <v xml:space="preserve"> </v>
      </c>
      <c r="F5084">
        <v>0.23</v>
      </c>
      <c r="G5084" s="37" t="str">
        <f t="shared" si="396"/>
        <v>Normal Discount</v>
      </c>
      <c r="H5084" s="37" t="str">
        <f t="shared" si="397"/>
        <v>Medium</v>
      </c>
      <c r="I5084">
        <v>2</v>
      </c>
      <c r="J5084" t="str" cm="1">
        <f t="array" ref="J5084">_xlfn.IFS(I5084&lt;=3,"small",I5084&lt;=6,"Medium",I5084&lt;=9,"Large")</f>
        <v>small</v>
      </c>
      <c r="K5084" s="36">
        <v>45173</v>
      </c>
      <c r="L5084" s="36">
        <v>45179</v>
      </c>
      <c r="M5084" t="s">
        <v>603</v>
      </c>
      <c r="N5084" t="s">
        <v>608</v>
      </c>
      <c r="O5084" s="37" t="str">
        <f t="shared" si="398"/>
        <v>Cash Payment</v>
      </c>
      <c r="P5084">
        <v>171.44</v>
      </c>
      <c r="Q5084" s="37" t="str">
        <f>IF(P5084&gt;500,"High","low")</f>
        <v>low</v>
      </c>
      <c r="R5084" s="37" t="str">
        <f t="shared" si="399"/>
        <v>AVERAGE</v>
      </c>
      <c r="S5084" t="s">
        <v>605</v>
      </c>
    </row>
    <row r="5085" spans="1:19" x14ac:dyDescent="0.2">
      <c r="A5085" t="s">
        <v>5696</v>
      </c>
      <c r="B5085" t="s">
        <v>75</v>
      </c>
      <c r="C5085" t="s">
        <v>614</v>
      </c>
      <c r="D5085">
        <v>1152.48</v>
      </c>
      <c r="E5085" s="37" t="str">
        <f t="shared" si="395"/>
        <v xml:space="preserve"> </v>
      </c>
      <c r="F5085">
        <v>0.05</v>
      </c>
      <c r="G5085" s="37" t="str">
        <f t="shared" si="396"/>
        <v>Normal Discount</v>
      </c>
      <c r="H5085" s="37" t="str">
        <f t="shared" si="397"/>
        <v>Low</v>
      </c>
      <c r="I5085">
        <v>6</v>
      </c>
      <c r="J5085" t="str" cm="1">
        <f t="array" ref="J5085">_xlfn.IFS(I5085&lt;=3,"small",I5085&lt;=6,"Medium",I5085&lt;=9,"Large")</f>
        <v>Medium</v>
      </c>
      <c r="K5085" s="36">
        <v>45243</v>
      </c>
      <c r="L5085" s="36">
        <v>45245</v>
      </c>
      <c r="M5085" t="s">
        <v>612</v>
      </c>
      <c r="N5085" t="s">
        <v>604</v>
      </c>
      <c r="O5085" s="37" t="str">
        <f t="shared" si="398"/>
        <v>Digital Payment</v>
      </c>
      <c r="P5085">
        <v>249.91</v>
      </c>
      <c r="Q5085" s="37" t="str">
        <f>IF(P5085&gt;500,"High","low")</f>
        <v>low</v>
      </c>
      <c r="R5085" s="37" t="str">
        <f t="shared" si="399"/>
        <v>AVERAGE</v>
      </c>
      <c r="S5085" t="s">
        <v>615</v>
      </c>
    </row>
    <row r="5086" spans="1:19" x14ac:dyDescent="0.2">
      <c r="A5086" t="s">
        <v>5697</v>
      </c>
      <c r="B5086" t="s">
        <v>67</v>
      </c>
      <c r="C5086" t="s">
        <v>602</v>
      </c>
      <c r="D5086">
        <v>951.62</v>
      </c>
      <c r="E5086" s="37" t="str">
        <f t="shared" si="395"/>
        <v xml:space="preserve"> </v>
      </c>
      <c r="F5086">
        <v>0.19</v>
      </c>
      <c r="G5086" s="37" t="str">
        <f t="shared" si="396"/>
        <v>Normal Discount</v>
      </c>
      <c r="H5086" s="37" t="str">
        <f t="shared" si="397"/>
        <v>Low</v>
      </c>
      <c r="I5086">
        <v>5</v>
      </c>
      <c r="J5086" t="str" cm="1">
        <f t="array" ref="J5086">_xlfn.IFS(I5086&lt;=3,"small",I5086&lt;=6,"Medium",I5086&lt;=9,"Large")</f>
        <v>Medium</v>
      </c>
      <c r="K5086" s="36">
        <v>45147</v>
      </c>
      <c r="L5086" s="36">
        <v>45153</v>
      </c>
      <c r="M5086" t="s">
        <v>612</v>
      </c>
      <c r="N5086" t="s">
        <v>599</v>
      </c>
      <c r="O5086" s="37" t="str">
        <f t="shared" si="398"/>
        <v>Digital Payment</v>
      </c>
      <c r="P5086">
        <v>225.78</v>
      </c>
      <c r="Q5086" s="37" t="str">
        <f>IF(P5086&gt;500,"High","low")</f>
        <v>low</v>
      </c>
      <c r="R5086" s="37" t="str">
        <f t="shared" si="399"/>
        <v>AVERAGE</v>
      </c>
      <c r="S5086" t="s">
        <v>609</v>
      </c>
    </row>
    <row r="5087" spans="1:19" x14ac:dyDescent="0.2">
      <c r="A5087" t="s">
        <v>5698</v>
      </c>
      <c r="B5087" t="s">
        <v>90</v>
      </c>
      <c r="C5087" t="s">
        <v>607</v>
      </c>
      <c r="D5087">
        <v>1844.46</v>
      </c>
      <c r="E5087" s="37" t="str">
        <f t="shared" si="395"/>
        <v xml:space="preserve"> </v>
      </c>
      <c r="F5087">
        <v>0.21</v>
      </c>
      <c r="G5087" s="37" t="str">
        <f t="shared" si="396"/>
        <v>Normal Discount</v>
      </c>
      <c r="H5087" s="37" t="str">
        <f t="shared" si="397"/>
        <v>Medium</v>
      </c>
      <c r="I5087">
        <v>4</v>
      </c>
      <c r="J5087" t="str" cm="1">
        <f t="array" ref="J5087">_xlfn.IFS(I5087&lt;=3,"small",I5087&lt;=6,"Medium",I5087&lt;=9,"Large")</f>
        <v>Medium</v>
      </c>
      <c r="K5087" s="36">
        <v>45369</v>
      </c>
      <c r="L5087" s="36">
        <v>45371</v>
      </c>
      <c r="M5087" t="s">
        <v>612</v>
      </c>
      <c r="N5087" t="s">
        <v>599</v>
      </c>
      <c r="O5087" s="37" t="str">
        <f t="shared" si="398"/>
        <v>Digital Payment</v>
      </c>
      <c r="P5087">
        <v>376.97</v>
      </c>
      <c r="Q5087" s="37" t="str">
        <f>IF(P5087&gt;500,"High","low")</f>
        <v>low</v>
      </c>
      <c r="R5087" s="37" t="str">
        <f t="shared" si="399"/>
        <v>AVERAGE</v>
      </c>
      <c r="S5087" t="s">
        <v>600</v>
      </c>
    </row>
    <row r="5088" spans="1:19" x14ac:dyDescent="0.2">
      <c r="A5088" t="s">
        <v>5699</v>
      </c>
      <c r="B5088" t="s">
        <v>83</v>
      </c>
      <c r="C5088" t="s">
        <v>597</v>
      </c>
      <c r="D5088">
        <v>4394.8</v>
      </c>
      <c r="E5088" s="37" t="str">
        <f t="shared" si="395"/>
        <v xml:space="preserve"> </v>
      </c>
      <c r="F5088">
        <v>0.45</v>
      </c>
      <c r="G5088" s="37" t="str">
        <f t="shared" si="396"/>
        <v>Heavy Discount</v>
      </c>
      <c r="H5088" s="37" t="str">
        <f t="shared" si="397"/>
        <v>High</v>
      </c>
      <c r="I5088">
        <v>6</v>
      </c>
      <c r="J5088" t="str" cm="1">
        <f t="array" ref="J5088">_xlfn.IFS(I5088&lt;=3,"small",I5088&lt;=6,"Medium",I5088&lt;=9,"Large")</f>
        <v>Medium</v>
      </c>
      <c r="K5088" s="36">
        <v>45056</v>
      </c>
      <c r="L5088" s="36">
        <v>45063</v>
      </c>
      <c r="M5088" t="s">
        <v>598</v>
      </c>
      <c r="N5088" t="s">
        <v>608</v>
      </c>
      <c r="O5088" s="37" t="str">
        <f t="shared" si="398"/>
        <v>Cash Payment</v>
      </c>
      <c r="P5088">
        <v>736.95</v>
      </c>
      <c r="Q5088" s="37" t="str">
        <f>IF(P5088&gt;500,"High","low")</f>
        <v>High</v>
      </c>
      <c r="R5088" s="37" t="str">
        <f t="shared" si="399"/>
        <v>Good</v>
      </c>
      <c r="S5088" t="s">
        <v>628</v>
      </c>
    </row>
    <row r="5089" spans="1:19" x14ac:dyDescent="0.2">
      <c r="A5089" t="s">
        <v>5700</v>
      </c>
      <c r="B5089" t="s">
        <v>90</v>
      </c>
      <c r="C5089" t="s">
        <v>607</v>
      </c>
      <c r="D5089">
        <v>2246.0500000000002</v>
      </c>
      <c r="E5089" s="37" t="str">
        <f t="shared" si="395"/>
        <v xml:space="preserve"> </v>
      </c>
      <c r="F5089">
        <v>0.43</v>
      </c>
      <c r="G5089" s="37" t="str">
        <f t="shared" si="396"/>
        <v>Heavy Discount</v>
      </c>
      <c r="H5089" s="37" t="str">
        <f t="shared" si="397"/>
        <v>High</v>
      </c>
      <c r="I5089">
        <v>4</v>
      </c>
      <c r="J5089" t="str" cm="1">
        <f t="array" ref="J5089">_xlfn.IFS(I5089&lt;=3,"small",I5089&lt;=6,"Medium",I5089&lt;=9,"Large")</f>
        <v>Medium</v>
      </c>
      <c r="K5089" s="36">
        <v>45084</v>
      </c>
      <c r="L5089" s="36">
        <v>45089</v>
      </c>
      <c r="M5089" t="s">
        <v>603</v>
      </c>
      <c r="N5089" t="s">
        <v>599</v>
      </c>
      <c r="O5089" s="37" t="str">
        <f t="shared" si="398"/>
        <v>Digital Payment</v>
      </c>
      <c r="P5089">
        <v>633.75</v>
      </c>
      <c r="Q5089" s="37" t="str">
        <f>IF(P5089&gt;500,"High","low")</f>
        <v>High</v>
      </c>
      <c r="R5089" s="37" t="str">
        <f t="shared" si="399"/>
        <v>Good</v>
      </c>
      <c r="S5089" t="s">
        <v>609</v>
      </c>
    </row>
    <row r="5090" spans="1:19" x14ac:dyDescent="0.2">
      <c r="A5090" t="s">
        <v>5701</v>
      </c>
      <c r="B5090" t="s">
        <v>67</v>
      </c>
      <c r="C5090" t="s">
        <v>614</v>
      </c>
      <c r="D5090">
        <v>2879.66</v>
      </c>
      <c r="E5090" s="37" t="str">
        <f t="shared" si="395"/>
        <v xml:space="preserve"> </v>
      </c>
      <c r="F5090">
        <v>0.09</v>
      </c>
      <c r="G5090" s="37" t="str">
        <f t="shared" si="396"/>
        <v>Normal Discount</v>
      </c>
      <c r="H5090" s="37" t="str">
        <f t="shared" si="397"/>
        <v>Low</v>
      </c>
      <c r="I5090">
        <v>4</v>
      </c>
      <c r="J5090" t="str" cm="1">
        <f t="array" ref="J5090">_xlfn.IFS(I5090&lt;=3,"small",I5090&lt;=6,"Medium",I5090&lt;=9,"Large")</f>
        <v>Medium</v>
      </c>
      <c r="K5090" s="36">
        <v>45100</v>
      </c>
      <c r="L5090" s="36">
        <v>45103</v>
      </c>
      <c r="M5090" t="s">
        <v>603</v>
      </c>
      <c r="N5090" t="s">
        <v>604</v>
      </c>
      <c r="O5090" s="37" t="str">
        <f t="shared" si="398"/>
        <v>Digital Payment</v>
      </c>
      <c r="P5090">
        <v>223.52</v>
      </c>
      <c r="Q5090" s="37" t="str">
        <f>IF(P5090&gt;500,"High","low")</f>
        <v>low</v>
      </c>
      <c r="R5090" s="37" t="str">
        <f t="shared" si="399"/>
        <v>AVERAGE</v>
      </c>
      <c r="S5090" t="s">
        <v>628</v>
      </c>
    </row>
    <row r="5091" spans="1:19" x14ac:dyDescent="0.2">
      <c r="A5091" t="s">
        <v>5702</v>
      </c>
      <c r="B5091" t="s">
        <v>90</v>
      </c>
      <c r="C5091" t="s">
        <v>597</v>
      </c>
      <c r="D5091">
        <v>977.92</v>
      </c>
      <c r="E5091" s="37" t="str">
        <f t="shared" si="395"/>
        <v xml:space="preserve"> </v>
      </c>
      <c r="F5091">
        <v>0.28000000000000003</v>
      </c>
      <c r="G5091" s="37" t="str">
        <f t="shared" si="396"/>
        <v>Normal Discount</v>
      </c>
      <c r="H5091" s="37" t="str">
        <f t="shared" si="397"/>
        <v>Medium</v>
      </c>
      <c r="I5091">
        <v>6</v>
      </c>
      <c r="J5091" t="str" cm="1">
        <f t="array" ref="J5091">_xlfn.IFS(I5091&lt;=3,"small",I5091&lt;=6,"Medium",I5091&lt;=9,"Large")</f>
        <v>Medium</v>
      </c>
      <c r="K5091" s="36">
        <v>44994</v>
      </c>
      <c r="L5091" s="36">
        <v>44998</v>
      </c>
      <c r="M5091" t="s">
        <v>598</v>
      </c>
      <c r="N5091" t="s">
        <v>599</v>
      </c>
      <c r="O5091" s="37" t="str">
        <f t="shared" si="398"/>
        <v>Digital Payment</v>
      </c>
      <c r="P5091">
        <v>64.48</v>
      </c>
      <c r="Q5091" s="37" t="str">
        <f>IF(P5091&gt;500,"High","low")</f>
        <v>low</v>
      </c>
      <c r="R5091" s="37" t="str">
        <f t="shared" si="399"/>
        <v>AVERAGE</v>
      </c>
      <c r="S5091" t="s">
        <v>628</v>
      </c>
    </row>
    <row r="5092" spans="1:19" x14ac:dyDescent="0.2">
      <c r="A5092" t="s">
        <v>5703</v>
      </c>
      <c r="B5092" t="s">
        <v>75</v>
      </c>
      <c r="C5092" t="s">
        <v>617</v>
      </c>
      <c r="D5092">
        <v>2514.96</v>
      </c>
      <c r="E5092" s="37" t="str">
        <f t="shared" si="395"/>
        <v xml:space="preserve"> </v>
      </c>
      <c r="F5092">
        <v>0.37</v>
      </c>
      <c r="G5092" s="37" t="str">
        <f t="shared" si="396"/>
        <v>Heavy Discount</v>
      </c>
      <c r="H5092" s="37" t="str">
        <f t="shared" si="397"/>
        <v>Medium</v>
      </c>
      <c r="I5092">
        <v>4</v>
      </c>
      <c r="J5092" t="str" cm="1">
        <f t="array" ref="J5092">_xlfn.IFS(I5092&lt;=3,"small",I5092&lt;=6,"Medium",I5092&lt;=9,"Large")</f>
        <v>Medium</v>
      </c>
      <c r="K5092" s="36">
        <v>45073</v>
      </c>
      <c r="L5092" s="36">
        <v>45075</v>
      </c>
      <c r="M5092" t="s">
        <v>603</v>
      </c>
      <c r="N5092" t="s">
        <v>608</v>
      </c>
      <c r="O5092" s="37" t="str">
        <f t="shared" si="398"/>
        <v>Cash Payment</v>
      </c>
      <c r="P5092">
        <v>544.13</v>
      </c>
      <c r="Q5092" s="37" t="str">
        <f>IF(P5092&gt;500,"High","low")</f>
        <v>High</v>
      </c>
      <c r="R5092" s="37" t="str">
        <f t="shared" si="399"/>
        <v>Good</v>
      </c>
      <c r="S5092" t="s">
        <v>609</v>
      </c>
    </row>
    <row r="5093" spans="1:19" x14ac:dyDescent="0.2">
      <c r="A5093" t="s">
        <v>5704</v>
      </c>
      <c r="B5093" t="s">
        <v>83</v>
      </c>
      <c r="C5093" t="s">
        <v>602</v>
      </c>
      <c r="D5093">
        <v>4380.78</v>
      </c>
      <c r="E5093" s="37" t="str">
        <f t="shared" si="395"/>
        <v>Excellent Order</v>
      </c>
      <c r="F5093">
        <v>0.15</v>
      </c>
      <c r="G5093" s="37" t="str">
        <f t="shared" si="396"/>
        <v>Normal Discount</v>
      </c>
      <c r="H5093" s="37" t="str">
        <f t="shared" si="397"/>
        <v>Low</v>
      </c>
      <c r="I5093">
        <v>9</v>
      </c>
      <c r="J5093" t="str" cm="1">
        <f t="array" ref="J5093">_xlfn.IFS(I5093&lt;=3,"small",I5093&lt;=6,"Medium",I5093&lt;=9,"Large")</f>
        <v>Large</v>
      </c>
      <c r="K5093" s="36">
        <v>45394</v>
      </c>
      <c r="L5093" s="36">
        <v>45396</v>
      </c>
      <c r="M5093" t="s">
        <v>598</v>
      </c>
      <c r="N5093" t="s">
        <v>604</v>
      </c>
      <c r="O5093" s="37" t="str">
        <f t="shared" si="398"/>
        <v>Digital Payment</v>
      </c>
      <c r="P5093">
        <v>956.76</v>
      </c>
      <c r="Q5093" s="37" t="str">
        <f>IF(P5093&gt;500,"High","low")</f>
        <v>High</v>
      </c>
      <c r="R5093" s="37" t="str">
        <f t="shared" si="399"/>
        <v>Good</v>
      </c>
      <c r="S5093" t="s">
        <v>609</v>
      </c>
    </row>
    <row r="5094" spans="1:19" x14ac:dyDescent="0.2">
      <c r="A5094" t="s">
        <v>5705</v>
      </c>
      <c r="B5094" t="s">
        <v>83</v>
      </c>
      <c r="C5094" t="s">
        <v>602</v>
      </c>
      <c r="D5094">
        <v>3889.97</v>
      </c>
      <c r="E5094" s="37" t="str">
        <f t="shared" si="395"/>
        <v xml:space="preserve"> </v>
      </c>
      <c r="F5094">
        <v>0.2</v>
      </c>
      <c r="G5094" s="37" t="str">
        <f t="shared" si="396"/>
        <v>Normal Discount</v>
      </c>
      <c r="H5094" s="37" t="str">
        <f t="shared" si="397"/>
        <v>Medium</v>
      </c>
      <c r="I5094">
        <v>7</v>
      </c>
      <c r="J5094" t="str" cm="1">
        <f t="array" ref="J5094">_xlfn.IFS(I5094&lt;=3,"small",I5094&lt;=6,"Medium",I5094&lt;=9,"Large")</f>
        <v>Large</v>
      </c>
      <c r="K5094" s="36">
        <v>44931</v>
      </c>
      <c r="L5094" s="36">
        <v>44938</v>
      </c>
      <c r="M5094" t="s">
        <v>603</v>
      </c>
      <c r="N5094" t="s">
        <v>599</v>
      </c>
      <c r="O5094" s="37" t="str">
        <f t="shared" si="398"/>
        <v>Digital Payment</v>
      </c>
      <c r="P5094">
        <v>1013.24</v>
      </c>
      <c r="Q5094" s="37" t="str">
        <f>IF(P5094&gt;500,"High","low")</f>
        <v>High</v>
      </c>
      <c r="R5094" s="37" t="str">
        <f t="shared" si="399"/>
        <v>Excellent</v>
      </c>
      <c r="S5094" t="s">
        <v>620</v>
      </c>
    </row>
    <row r="5095" spans="1:19" x14ac:dyDescent="0.2">
      <c r="A5095" t="s">
        <v>5706</v>
      </c>
      <c r="B5095" t="s">
        <v>83</v>
      </c>
      <c r="C5095" t="s">
        <v>597</v>
      </c>
      <c r="D5095">
        <v>497.83</v>
      </c>
      <c r="E5095" s="37" t="str">
        <f t="shared" si="395"/>
        <v xml:space="preserve"> </v>
      </c>
      <c r="F5095">
        <v>0.49</v>
      </c>
      <c r="G5095" s="37" t="str">
        <f t="shared" si="396"/>
        <v>Heavy Discount</v>
      </c>
      <c r="H5095" s="37" t="str">
        <f t="shared" si="397"/>
        <v>High</v>
      </c>
      <c r="I5095">
        <v>6</v>
      </c>
      <c r="J5095" t="str" cm="1">
        <f t="array" ref="J5095">_xlfn.IFS(I5095&lt;=3,"small",I5095&lt;=6,"Medium",I5095&lt;=9,"Large")</f>
        <v>Medium</v>
      </c>
      <c r="K5095" s="36">
        <v>45511</v>
      </c>
      <c r="L5095" s="36">
        <v>45514</v>
      </c>
      <c r="M5095" t="s">
        <v>612</v>
      </c>
      <c r="N5095" t="s">
        <v>599</v>
      </c>
      <c r="O5095" s="37" t="str">
        <f t="shared" si="398"/>
        <v>Digital Payment</v>
      </c>
      <c r="P5095">
        <v>105.61</v>
      </c>
      <c r="Q5095" s="37" t="str">
        <f>IF(P5095&gt;500,"High","low")</f>
        <v>low</v>
      </c>
      <c r="R5095" s="37" t="str">
        <f t="shared" si="399"/>
        <v>AVERAGE</v>
      </c>
      <c r="S5095" t="s">
        <v>615</v>
      </c>
    </row>
    <row r="5096" spans="1:19" x14ac:dyDescent="0.2">
      <c r="A5096" t="s">
        <v>5707</v>
      </c>
      <c r="B5096" t="s">
        <v>67</v>
      </c>
      <c r="C5096" t="s">
        <v>602</v>
      </c>
      <c r="D5096">
        <v>4324.1499999999996</v>
      </c>
      <c r="E5096" s="37" t="str">
        <f t="shared" si="395"/>
        <v xml:space="preserve"> </v>
      </c>
      <c r="F5096">
        <v>0.38</v>
      </c>
      <c r="G5096" s="37" t="str">
        <f t="shared" si="396"/>
        <v>Heavy Discount</v>
      </c>
      <c r="H5096" s="37" t="str">
        <f t="shared" si="397"/>
        <v>Medium</v>
      </c>
      <c r="I5096">
        <v>3</v>
      </c>
      <c r="J5096" t="str" cm="1">
        <f t="array" ref="J5096">_xlfn.IFS(I5096&lt;=3,"small",I5096&lt;=6,"Medium",I5096&lt;=9,"Large")</f>
        <v>small</v>
      </c>
      <c r="K5096" s="36">
        <v>45138</v>
      </c>
      <c r="L5096" s="36">
        <v>45144</v>
      </c>
      <c r="M5096" t="s">
        <v>598</v>
      </c>
      <c r="N5096" t="s">
        <v>599</v>
      </c>
      <c r="O5096" s="37" t="str">
        <f t="shared" si="398"/>
        <v>Digital Payment</v>
      </c>
      <c r="P5096">
        <v>310.89</v>
      </c>
      <c r="Q5096" s="37" t="str">
        <f>IF(P5096&gt;500,"High","low")</f>
        <v>low</v>
      </c>
      <c r="R5096" s="37" t="str">
        <f t="shared" si="399"/>
        <v>AVERAGE</v>
      </c>
      <c r="S5096" t="s">
        <v>628</v>
      </c>
    </row>
    <row r="5097" spans="1:19" x14ac:dyDescent="0.2">
      <c r="A5097" t="s">
        <v>5708</v>
      </c>
      <c r="B5097" t="s">
        <v>67</v>
      </c>
      <c r="C5097" t="s">
        <v>617</v>
      </c>
      <c r="D5097">
        <v>1441.76</v>
      </c>
      <c r="E5097" s="37" t="str">
        <f t="shared" si="395"/>
        <v xml:space="preserve"> </v>
      </c>
      <c r="F5097">
        <v>0.22</v>
      </c>
      <c r="G5097" s="37" t="str">
        <f t="shared" si="396"/>
        <v>Normal Discount</v>
      </c>
      <c r="H5097" s="37" t="str">
        <f t="shared" si="397"/>
        <v>Medium</v>
      </c>
      <c r="I5097">
        <v>4</v>
      </c>
      <c r="J5097" t="str" cm="1">
        <f t="array" ref="J5097">_xlfn.IFS(I5097&lt;=3,"small",I5097&lt;=6,"Medium",I5097&lt;=9,"Large")</f>
        <v>Medium</v>
      </c>
      <c r="K5097" s="36">
        <v>45495</v>
      </c>
      <c r="L5097" s="36">
        <v>45502</v>
      </c>
      <c r="M5097" t="s">
        <v>598</v>
      </c>
      <c r="N5097" t="s">
        <v>604</v>
      </c>
      <c r="O5097" s="37" t="str">
        <f t="shared" si="398"/>
        <v>Digital Payment</v>
      </c>
      <c r="P5097">
        <v>389.05</v>
      </c>
      <c r="Q5097" s="37" t="str">
        <f>IF(P5097&gt;500,"High","low")</f>
        <v>low</v>
      </c>
      <c r="R5097" s="37" t="str">
        <f t="shared" si="399"/>
        <v>AVERAGE</v>
      </c>
      <c r="S5097" t="s">
        <v>609</v>
      </c>
    </row>
    <row r="5098" spans="1:19" x14ac:dyDescent="0.2">
      <c r="A5098" t="s">
        <v>5709</v>
      </c>
      <c r="B5098" t="s">
        <v>83</v>
      </c>
      <c r="C5098" t="s">
        <v>607</v>
      </c>
      <c r="D5098">
        <v>3362.01</v>
      </c>
      <c r="E5098" s="37" t="str">
        <f t="shared" si="395"/>
        <v xml:space="preserve"> </v>
      </c>
      <c r="F5098">
        <v>0.27</v>
      </c>
      <c r="G5098" s="37" t="str">
        <f t="shared" si="396"/>
        <v>Normal Discount</v>
      </c>
      <c r="H5098" s="37" t="str">
        <f t="shared" si="397"/>
        <v>Medium</v>
      </c>
      <c r="I5098">
        <v>2</v>
      </c>
      <c r="J5098" t="str" cm="1">
        <f t="array" ref="J5098">_xlfn.IFS(I5098&lt;=3,"small",I5098&lt;=6,"Medium",I5098&lt;=9,"Large")</f>
        <v>small</v>
      </c>
      <c r="K5098" s="36">
        <v>45373</v>
      </c>
      <c r="L5098" s="36">
        <v>45375</v>
      </c>
      <c r="M5098" t="s">
        <v>612</v>
      </c>
      <c r="N5098" t="s">
        <v>604</v>
      </c>
      <c r="O5098" s="37" t="str">
        <f t="shared" si="398"/>
        <v>Digital Payment</v>
      </c>
      <c r="P5098">
        <v>251.42</v>
      </c>
      <c r="Q5098" s="37" t="str">
        <f>IF(P5098&gt;500,"High","low")</f>
        <v>low</v>
      </c>
      <c r="R5098" s="37" t="str">
        <f t="shared" si="399"/>
        <v>AVERAGE</v>
      </c>
      <c r="S5098" t="s">
        <v>620</v>
      </c>
    </row>
    <row r="5099" spans="1:19" x14ac:dyDescent="0.2">
      <c r="A5099" t="s">
        <v>5710</v>
      </c>
      <c r="B5099" t="s">
        <v>90</v>
      </c>
      <c r="C5099" t="s">
        <v>617</v>
      </c>
      <c r="D5099">
        <v>817.28</v>
      </c>
      <c r="E5099" s="37" t="str">
        <f t="shared" si="395"/>
        <v xml:space="preserve"> </v>
      </c>
      <c r="F5099">
        <v>0.31</v>
      </c>
      <c r="G5099" s="37" t="str">
        <f t="shared" si="396"/>
        <v>Heavy Discount</v>
      </c>
      <c r="H5099" s="37" t="str">
        <f t="shared" si="397"/>
        <v>Medium</v>
      </c>
      <c r="I5099">
        <v>3</v>
      </c>
      <c r="J5099" t="str" cm="1">
        <f t="array" ref="J5099">_xlfn.IFS(I5099&lt;=3,"small",I5099&lt;=6,"Medium",I5099&lt;=9,"Large")</f>
        <v>small</v>
      </c>
      <c r="K5099" s="36">
        <v>45490</v>
      </c>
      <c r="L5099" s="36">
        <v>45491</v>
      </c>
      <c r="M5099" t="s">
        <v>598</v>
      </c>
      <c r="N5099" t="s">
        <v>604</v>
      </c>
      <c r="O5099" s="37" t="str">
        <f t="shared" si="398"/>
        <v>Digital Payment</v>
      </c>
      <c r="P5099">
        <v>132.69</v>
      </c>
      <c r="Q5099" s="37" t="str">
        <f>IF(P5099&gt;500,"High","low")</f>
        <v>low</v>
      </c>
      <c r="R5099" s="37" t="str">
        <f t="shared" si="399"/>
        <v>AVERAGE</v>
      </c>
      <c r="S5099" t="s">
        <v>605</v>
      </c>
    </row>
    <row r="5100" spans="1:19" x14ac:dyDescent="0.2">
      <c r="A5100" t="s">
        <v>5711</v>
      </c>
      <c r="B5100" t="s">
        <v>83</v>
      </c>
      <c r="C5100" t="s">
        <v>602</v>
      </c>
      <c r="D5100">
        <v>3405.76</v>
      </c>
      <c r="E5100" s="37" t="str">
        <f t="shared" si="395"/>
        <v xml:space="preserve"> </v>
      </c>
      <c r="F5100">
        <v>0.25</v>
      </c>
      <c r="G5100" s="37" t="str">
        <f t="shared" si="396"/>
        <v>Normal Discount</v>
      </c>
      <c r="H5100" s="37" t="str">
        <f t="shared" si="397"/>
        <v>Medium</v>
      </c>
      <c r="I5100">
        <v>1</v>
      </c>
      <c r="J5100" t="str" cm="1">
        <f t="array" ref="J5100">_xlfn.IFS(I5100&lt;=3,"small",I5100&lt;=6,"Medium",I5100&lt;=9,"Large")</f>
        <v>small</v>
      </c>
      <c r="K5100" s="36">
        <v>45295</v>
      </c>
      <c r="L5100" s="36">
        <v>45300</v>
      </c>
      <c r="M5100" t="s">
        <v>603</v>
      </c>
      <c r="N5100" t="s">
        <v>604</v>
      </c>
      <c r="O5100" s="37" t="str">
        <f t="shared" si="398"/>
        <v>Digital Payment</v>
      </c>
      <c r="P5100">
        <v>706.15</v>
      </c>
      <c r="Q5100" s="37" t="str">
        <f>IF(P5100&gt;500,"High","low")</f>
        <v>High</v>
      </c>
      <c r="R5100" s="37" t="str">
        <f t="shared" si="399"/>
        <v>Good</v>
      </c>
      <c r="S5100" t="s">
        <v>615</v>
      </c>
    </row>
    <row r="5101" spans="1:19" x14ac:dyDescent="0.2">
      <c r="A5101" t="s">
        <v>5712</v>
      </c>
      <c r="B5101" t="s">
        <v>90</v>
      </c>
      <c r="C5101" t="s">
        <v>607</v>
      </c>
      <c r="D5101">
        <v>274.94</v>
      </c>
      <c r="E5101" s="37" t="str">
        <f t="shared" si="395"/>
        <v xml:space="preserve"> </v>
      </c>
      <c r="F5101">
        <v>0.21</v>
      </c>
      <c r="G5101" s="37" t="str">
        <f t="shared" si="396"/>
        <v>Normal Discount</v>
      </c>
      <c r="H5101" s="37" t="str">
        <f t="shared" si="397"/>
        <v>Medium</v>
      </c>
      <c r="I5101">
        <v>9</v>
      </c>
      <c r="J5101" t="str" cm="1">
        <f t="array" ref="J5101">_xlfn.IFS(I5101&lt;=3,"small",I5101&lt;=6,"Medium",I5101&lt;=9,"Large")</f>
        <v>Large</v>
      </c>
      <c r="K5101" s="36">
        <v>44985</v>
      </c>
      <c r="L5101" s="36">
        <v>44989</v>
      </c>
      <c r="M5101" t="s">
        <v>598</v>
      </c>
      <c r="N5101" t="s">
        <v>599</v>
      </c>
      <c r="O5101" s="37" t="str">
        <f t="shared" si="398"/>
        <v>Digital Payment</v>
      </c>
      <c r="P5101">
        <v>57.21</v>
      </c>
      <c r="Q5101" s="37" t="str">
        <f>IF(P5101&gt;500,"High","low")</f>
        <v>low</v>
      </c>
      <c r="R5101" s="37" t="str">
        <f t="shared" si="399"/>
        <v>AVERAGE</v>
      </c>
      <c r="S5101" t="s">
        <v>609</v>
      </c>
    </row>
    <row r="5102" spans="1:19" x14ac:dyDescent="0.2">
      <c r="A5102" t="s">
        <v>5713</v>
      </c>
      <c r="B5102" t="s">
        <v>90</v>
      </c>
      <c r="C5102" t="s">
        <v>617</v>
      </c>
      <c r="D5102">
        <v>3043.16</v>
      </c>
      <c r="E5102" s="37" t="str">
        <f t="shared" si="395"/>
        <v xml:space="preserve"> </v>
      </c>
      <c r="F5102">
        <v>0.18</v>
      </c>
      <c r="G5102" s="37" t="str">
        <f t="shared" si="396"/>
        <v>Normal Discount</v>
      </c>
      <c r="H5102" s="37" t="str">
        <f t="shared" si="397"/>
        <v>Low</v>
      </c>
      <c r="I5102">
        <v>3</v>
      </c>
      <c r="J5102" t="str" cm="1">
        <f t="array" ref="J5102">_xlfn.IFS(I5102&lt;=3,"small",I5102&lt;=6,"Medium",I5102&lt;=9,"Large")</f>
        <v>small</v>
      </c>
      <c r="K5102" s="36">
        <v>45242</v>
      </c>
      <c r="L5102" s="36">
        <v>45245</v>
      </c>
      <c r="M5102" t="s">
        <v>612</v>
      </c>
      <c r="N5102" t="s">
        <v>608</v>
      </c>
      <c r="O5102" s="37" t="str">
        <f t="shared" si="398"/>
        <v>Cash Payment</v>
      </c>
      <c r="P5102">
        <v>493.07</v>
      </c>
      <c r="Q5102" s="37" t="str">
        <f>IF(P5102&gt;500,"High","low")</f>
        <v>low</v>
      </c>
      <c r="R5102" s="37" t="str">
        <f t="shared" si="399"/>
        <v>AVERAGE</v>
      </c>
      <c r="S5102" t="s">
        <v>605</v>
      </c>
    </row>
    <row r="5103" spans="1:19" x14ac:dyDescent="0.2">
      <c r="A5103" t="s">
        <v>5714</v>
      </c>
      <c r="B5103" t="s">
        <v>67</v>
      </c>
      <c r="C5103" t="s">
        <v>614</v>
      </c>
      <c r="D5103">
        <v>3265.11</v>
      </c>
      <c r="E5103" s="37" t="str">
        <f t="shared" si="395"/>
        <v xml:space="preserve"> </v>
      </c>
      <c r="F5103">
        <v>0.08</v>
      </c>
      <c r="G5103" s="37" t="str">
        <f t="shared" si="396"/>
        <v>Normal Discount</v>
      </c>
      <c r="H5103" s="37" t="str">
        <f t="shared" si="397"/>
        <v>Low</v>
      </c>
      <c r="I5103">
        <v>8</v>
      </c>
      <c r="J5103" t="str" cm="1">
        <f t="array" ref="J5103">_xlfn.IFS(I5103&lt;=3,"small",I5103&lt;=6,"Medium",I5103&lt;=9,"Large")</f>
        <v>Large</v>
      </c>
      <c r="K5103" s="36">
        <v>45049</v>
      </c>
      <c r="L5103" s="36">
        <v>45050</v>
      </c>
      <c r="M5103" t="s">
        <v>598</v>
      </c>
      <c r="N5103" t="s">
        <v>608</v>
      </c>
      <c r="O5103" s="37" t="str">
        <f t="shared" si="398"/>
        <v>Cash Payment</v>
      </c>
      <c r="P5103">
        <v>433.04</v>
      </c>
      <c r="Q5103" s="37" t="str">
        <f>IF(P5103&gt;500,"High","low")</f>
        <v>low</v>
      </c>
      <c r="R5103" s="37" t="str">
        <f t="shared" si="399"/>
        <v>AVERAGE</v>
      </c>
      <c r="S5103" t="s">
        <v>600</v>
      </c>
    </row>
    <row r="5104" spans="1:19" x14ac:dyDescent="0.2">
      <c r="A5104" t="s">
        <v>5715</v>
      </c>
      <c r="B5104" t="s">
        <v>90</v>
      </c>
      <c r="C5104" t="s">
        <v>614</v>
      </c>
      <c r="D5104">
        <v>1298.03</v>
      </c>
      <c r="E5104" s="37" t="str">
        <f t="shared" si="395"/>
        <v xml:space="preserve"> </v>
      </c>
      <c r="F5104">
        <v>0.49</v>
      </c>
      <c r="G5104" s="37" t="str">
        <f t="shared" si="396"/>
        <v>Heavy Discount</v>
      </c>
      <c r="H5104" s="37" t="str">
        <f t="shared" si="397"/>
        <v>High</v>
      </c>
      <c r="I5104">
        <v>4</v>
      </c>
      <c r="J5104" t="str" cm="1">
        <f t="array" ref="J5104">_xlfn.IFS(I5104&lt;=3,"small",I5104&lt;=6,"Medium",I5104&lt;=9,"Large")</f>
        <v>Medium</v>
      </c>
      <c r="K5104" s="36">
        <v>45518</v>
      </c>
      <c r="L5104" s="36">
        <v>45520</v>
      </c>
      <c r="M5104" t="s">
        <v>603</v>
      </c>
      <c r="N5104" t="s">
        <v>599</v>
      </c>
      <c r="O5104" s="37" t="str">
        <f t="shared" si="398"/>
        <v>Digital Payment</v>
      </c>
      <c r="P5104">
        <v>162.62</v>
      </c>
      <c r="Q5104" s="37" t="str">
        <f>IF(P5104&gt;500,"High","low")</f>
        <v>low</v>
      </c>
      <c r="R5104" s="37" t="str">
        <f t="shared" si="399"/>
        <v>AVERAGE</v>
      </c>
      <c r="S5104" t="s">
        <v>620</v>
      </c>
    </row>
    <row r="5105" spans="1:19" x14ac:dyDescent="0.2">
      <c r="A5105" t="s">
        <v>5716</v>
      </c>
      <c r="B5105" t="s">
        <v>83</v>
      </c>
      <c r="C5105" t="s">
        <v>607</v>
      </c>
      <c r="D5105">
        <v>4691.18</v>
      </c>
      <c r="E5105" s="37" t="str">
        <f t="shared" si="395"/>
        <v>Excellent Order</v>
      </c>
      <c r="F5105">
        <v>0.05</v>
      </c>
      <c r="G5105" s="37" t="str">
        <f t="shared" si="396"/>
        <v>Normal Discount</v>
      </c>
      <c r="H5105" s="37" t="str">
        <f t="shared" si="397"/>
        <v>Low</v>
      </c>
      <c r="I5105">
        <v>8</v>
      </c>
      <c r="J5105" t="str" cm="1">
        <f t="array" ref="J5105">_xlfn.IFS(I5105&lt;=3,"small",I5105&lt;=6,"Medium",I5105&lt;=9,"Large")</f>
        <v>Large</v>
      </c>
      <c r="K5105" s="36">
        <v>45305</v>
      </c>
      <c r="L5105" s="36">
        <v>45307</v>
      </c>
      <c r="M5105" t="s">
        <v>612</v>
      </c>
      <c r="N5105" t="s">
        <v>599</v>
      </c>
      <c r="O5105" s="37" t="str">
        <f t="shared" si="398"/>
        <v>Digital Payment</v>
      </c>
      <c r="P5105">
        <v>1376.24</v>
      </c>
      <c r="Q5105" s="37" t="str">
        <f>IF(P5105&gt;500,"High","low")</f>
        <v>High</v>
      </c>
      <c r="R5105" s="37" t="str">
        <f t="shared" si="399"/>
        <v>Excellent</v>
      </c>
      <c r="S5105" t="s">
        <v>620</v>
      </c>
    </row>
    <row r="5106" spans="1:19" x14ac:dyDescent="0.2">
      <c r="A5106" t="s">
        <v>5717</v>
      </c>
      <c r="B5106" t="s">
        <v>67</v>
      </c>
      <c r="C5106" t="s">
        <v>607</v>
      </c>
      <c r="D5106">
        <v>325.26</v>
      </c>
      <c r="E5106" s="37" t="str">
        <f t="shared" si="395"/>
        <v xml:space="preserve"> </v>
      </c>
      <c r="F5106">
        <v>0.3</v>
      </c>
      <c r="G5106" s="37" t="str">
        <f t="shared" si="396"/>
        <v>Normal Discount</v>
      </c>
      <c r="H5106" s="37" t="str">
        <f t="shared" si="397"/>
        <v>Medium</v>
      </c>
      <c r="I5106">
        <v>7</v>
      </c>
      <c r="J5106" t="str" cm="1">
        <f t="array" ref="J5106">_xlfn.IFS(I5106&lt;=3,"small",I5106&lt;=6,"Medium",I5106&lt;=9,"Large")</f>
        <v>Large</v>
      </c>
      <c r="K5106" s="36">
        <v>45522</v>
      </c>
      <c r="L5106" s="36">
        <v>45523</v>
      </c>
      <c r="M5106" t="s">
        <v>598</v>
      </c>
      <c r="N5106" t="s">
        <v>604</v>
      </c>
      <c r="O5106" s="37" t="str">
        <f t="shared" si="398"/>
        <v>Digital Payment</v>
      </c>
      <c r="P5106">
        <v>43.91</v>
      </c>
      <c r="Q5106" s="37" t="str">
        <f>IF(P5106&gt;500,"High","low")</f>
        <v>low</v>
      </c>
      <c r="R5106" s="37" t="str">
        <f t="shared" si="399"/>
        <v>AVERAGE</v>
      </c>
      <c r="S5106" t="s">
        <v>628</v>
      </c>
    </row>
    <row r="5107" spans="1:19" x14ac:dyDescent="0.2">
      <c r="A5107" t="s">
        <v>5718</v>
      </c>
      <c r="B5107" t="s">
        <v>75</v>
      </c>
      <c r="C5107" t="s">
        <v>607</v>
      </c>
      <c r="D5107">
        <v>4469.38</v>
      </c>
      <c r="E5107" s="37" t="str">
        <f t="shared" si="395"/>
        <v>Excellent Order</v>
      </c>
      <c r="F5107">
        <v>0.48</v>
      </c>
      <c r="G5107" s="37" t="str">
        <f t="shared" si="396"/>
        <v>Heavy Discount</v>
      </c>
      <c r="H5107" s="37" t="str">
        <f t="shared" si="397"/>
        <v>High</v>
      </c>
      <c r="I5107">
        <v>4</v>
      </c>
      <c r="J5107" t="str" cm="1">
        <f t="array" ref="J5107">_xlfn.IFS(I5107&lt;=3,"small",I5107&lt;=6,"Medium",I5107&lt;=9,"Large")</f>
        <v>Medium</v>
      </c>
      <c r="K5107" s="36">
        <v>45029</v>
      </c>
      <c r="L5107" s="36">
        <v>45031</v>
      </c>
      <c r="M5107" t="s">
        <v>598</v>
      </c>
      <c r="N5107" t="s">
        <v>608</v>
      </c>
      <c r="O5107" s="37" t="str">
        <f t="shared" si="398"/>
        <v>Cash Payment</v>
      </c>
      <c r="P5107">
        <v>872.95</v>
      </c>
      <c r="Q5107" s="37" t="str">
        <f>IF(P5107&gt;500,"High","low")</f>
        <v>High</v>
      </c>
      <c r="R5107" s="37" t="str">
        <f t="shared" si="399"/>
        <v>Good</v>
      </c>
      <c r="S5107" t="s">
        <v>628</v>
      </c>
    </row>
    <row r="5108" spans="1:19" x14ac:dyDescent="0.2">
      <c r="A5108" t="s">
        <v>5719</v>
      </c>
      <c r="B5108" t="s">
        <v>75</v>
      </c>
      <c r="C5108" t="s">
        <v>614</v>
      </c>
      <c r="D5108">
        <v>1971.3</v>
      </c>
      <c r="E5108" s="37" t="str">
        <f t="shared" si="395"/>
        <v xml:space="preserve"> </v>
      </c>
      <c r="F5108">
        <v>0.19</v>
      </c>
      <c r="G5108" s="37" t="str">
        <f t="shared" si="396"/>
        <v>Normal Discount</v>
      </c>
      <c r="H5108" s="37" t="str">
        <f t="shared" si="397"/>
        <v>Low</v>
      </c>
      <c r="I5108">
        <v>7</v>
      </c>
      <c r="J5108" t="str" cm="1">
        <f t="array" ref="J5108">_xlfn.IFS(I5108&lt;=3,"small",I5108&lt;=6,"Medium",I5108&lt;=9,"Large")</f>
        <v>Large</v>
      </c>
      <c r="K5108" s="36">
        <v>45599</v>
      </c>
      <c r="L5108" s="36">
        <v>45604</v>
      </c>
      <c r="M5108" t="s">
        <v>612</v>
      </c>
      <c r="N5108" t="s">
        <v>604</v>
      </c>
      <c r="O5108" s="37" t="str">
        <f t="shared" si="398"/>
        <v>Digital Payment</v>
      </c>
      <c r="P5108">
        <v>383.79</v>
      </c>
      <c r="Q5108" s="37" t="str">
        <f>IF(P5108&gt;500,"High","low")</f>
        <v>low</v>
      </c>
      <c r="R5108" s="37" t="str">
        <f t="shared" si="399"/>
        <v>AVERAGE</v>
      </c>
      <c r="S5108" t="s">
        <v>620</v>
      </c>
    </row>
    <row r="5109" spans="1:19" x14ac:dyDescent="0.2">
      <c r="A5109" t="s">
        <v>5720</v>
      </c>
      <c r="B5109" t="s">
        <v>67</v>
      </c>
      <c r="C5109" t="s">
        <v>617</v>
      </c>
      <c r="D5109">
        <v>3598.18</v>
      </c>
      <c r="E5109" s="37" t="str">
        <f t="shared" si="395"/>
        <v xml:space="preserve"> </v>
      </c>
      <c r="F5109">
        <v>0.13</v>
      </c>
      <c r="G5109" s="37" t="str">
        <f t="shared" si="396"/>
        <v>Normal Discount</v>
      </c>
      <c r="H5109" s="37" t="str">
        <f t="shared" si="397"/>
        <v>Low</v>
      </c>
      <c r="I5109">
        <v>8</v>
      </c>
      <c r="J5109" t="str" cm="1">
        <f t="array" ref="J5109">_xlfn.IFS(I5109&lt;=3,"small",I5109&lt;=6,"Medium",I5109&lt;=9,"Large")</f>
        <v>Large</v>
      </c>
      <c r="K5109" s="36">
        <v>45578</v>
      </c>
      <c r="L5109" s="36">
        <v>45585</v>
      </c>
      <c r="M5109" t="s">
        <v>612</v>
      </c>
      <c r="N5109" t="s">
        <v>604</v>
      </c>
      <c r="O5109" s="37" t="str">
        <f t="shared" si="398"/>
        <v>Digital Payment</v>
      </c>
      <c r="P5109">
        <v>693.41</v>
      </c>
      <c r="Q5109" s="37" t="str">
        <f>IF(P5109&gt;500,"High","low")</f>
        <v>High</v>
      </c>
      <c r="R5109" s="37" t="str">
        <f t="shared" si="399"/>
        <v>Good</v>
      </c>
      <c r="S5109" t="s">
        <v>605</v>
      </c>
    </row>
    <row r="5110" spans="1:19" x14ac:dyDescent="0.2">
      <c r="A5110" t="s">
        <v>5721</v>
      </c>
      <c r="B5110" t="s">
        <v>83</v>
      </c>
      <c r="C5110" t="s">
        <v>607</v>
      </c>
      <c r="D5110">
        <v>3292.59</v>
      </c>
      <c r="E5110" s="37" t="str">
        <f t="shared" si="395"/>
        <v xml:space="preserve"> </v>
      </c>
      <c r="F5110">
        <v>0.48</v>
      </c>
      <c r="G5110" s="37" t="str">
        <f t="shared" si="396"/>
        <v>Heavy Discount</v>
      </c>
      <c r="H5110" s="37" t="str">
        <f t="shared" si="397"/>
        <v>High</v>
      </c>
      <c r="I5110">
        <v>3</v>
      </c>
      <c r="J5110" t="str" cm="1">
        <f t="array" ref="J5110">_xlfn.IFS(I5110&lt;=3,"small",I5110&lt;=6,"Medium",I5110&lt;=9,"Large")</f>
        <v>small</v>
      </c>
      <c r="K5110" s="36">
        <v>45432</v>
      </c>
      <c r="L5110" s="36">
        <v>45434</v>
      </c>
      <c r="M5110" t="s">
        <v>603</v>
      </c>
      <c r="N5110" t="s">
        <v>599</v>
      </c>
      <c r="O5110" s="37" t="str">
        <f t="shared" si="398"/>
        <v>Digital Payment</v>
      </c>
      <c r="P5110">
        <v>675.98</v>
      </c>
      <c r="Q5110" s="37" t="str">
        <f>IF(P5110&gt;500,"High","low")</f>
        <v>High</v>
      </c>
      <c r="R5110" s="37" t="str">
        <f t="shared" si="399"/>
        <v>Good</v>
      </c>
      <c r="S5110" t="s">
        <v>609</v>
      </c>
    </row>
    <row r="5111" spans="1:19" x14ac:dyDescent="0.2">
      <c r="A5111" t="s">
        <v>5722</v>
      </c>
      <c r="B5111" t="s">
        <v>75</v>
      </c>
      <c r="C5111" t="s">
        <v>614</v>
      </c>
      <c r="D5111">
        <v>924.41</v>
      </c>
      <c r="E5111" s="37" t="str">
        <f t="shared" si="395"/>
        <v xml:space="preserve"> </v>
      </c>
      <c r="F5111">
        <v>0.4</v>
      </c>
      <c r="G5111" s="37" t="str">
        <f t="shared" si="396"/>
        <v>Heavy Discount</v>
      </c>
      <c r="H5111" s="37" t="str">
        <f t="shared" si="397"/>
        <v>Medium</v>
      </c>
      <c r="I5111">
        <v>5</v>
      </c>
      <c r="J5111" t="str" cm="1">
        <f t="array" ref="J5111">_xlfn.IFS(I5111&lt;=3,"small",I5111&lt;=6,"Medium",I5111&lt;=9,"Large")</f>
        <v>Medium</v>
      </c>
      <c r="K5111" s="36">
        <v>45238</v>
      </c>
      <c r="L5111" s="36">
        <v>45242</v>
      </c>
      <c r="M5111" t="s">
        <v>598</v>
      </c>
      <c r="N5111" t="s">
        <v>604</v>
      </c>
      <c r="O5111" s="37" t="str">
        <f t="shared" si="398"/>
        <v>Digital Payment</v>
      </c>
      <c r="P5111">
        <v>106.87</v>
      </c>
      <c r="Q5111" s="37" t="str">
        <f>IF(P5111&gt;500,"High","low")</f>
        <v>low</v>
      </c>
      <c r="R5111" s="37" t="str">
        <f t="shared" si="399"/>
        <v>AVERAGE</v>
      </c>
      <c r="S5111" t="s">
        <v>615</v>
      </c>
    </row>
    <row r="5112" spans="1:19" x14ac:dyDescent="0.2">
      <c r="A5112" t="s">
        <v>5723</v>
      </c>
      <c r="B5112" t="s">
        <v>75</v>
      </c>
      <c r="C5112" t="s">
        <v>607</v>
      </c>
      <c r="D5112">
        <v>1663.1</v>
      </c>
      <c r="E5112" s="37" t="str">
        <f t="shared" si="395"/>
        <v xml:space="preserve"> </v>
      </c>
      <c r="F5112">
        <v>0.33</v>
      </c>
      <c r="G5112" s="37" t="str">
        <f t="shared" si="396"/>
        <v>Heavy Discount</v>
      </c>
      <c r="H5112" s="37" t="str">
        <f t="shared" si="397"/>
        <v>Medium</v>
      </c>
      <c r="I5112">
        <v>3</v>
      </c>
      <c r="J5112" t="str" cm="1">
        <f t="array" ref="J5112">_xlfn.IFS(I5112&lt;=3,"small",I5112&lt;=6,"Medium",I5112&lt;=9,"Large")</f>
        <v>small</v>
      </c>
      <c r="K5112" s="36">
        <v>45589</v>
      </c>
      <c r="L5112" s="36">
        <v>45594</v>
      </c>
      <c r="M5112" t="s">
        <v>612</v>
      </c>
      <c r="N5112" t="s">
        <v>599</v>
      </c>
      <c r="O5112" s="37" t="str">
        <f t="shared" si="398"/>
        <v>Digital Payment</v>
      </c>
      <c r="P5112">
        <v>223.93</v>
      </c>
      <c r="Q5112" s="37" t="str">
        <f>IF(P5112&gt;500,"High","low")</f>
        <v>low</v>
      </c>
      <c r="R5112" s="37" t="str">
        <f t="shared" si="399"/>
        <v>AVERAGE</v>
      </c>
      <c r="S5112" t="s">
        <v>605</v>
      </c>
    </row>
    <row r="5113" spans="1:19" x14ac:dyDescent="0.2">
      <c r="A5113" t="s">
        <v>5724</v>
      </c>
      <c r="B5113" t="s">
        <v>90</v>
      </c>
      <c r="C5113" t="s">
        <v>607</v>
      </c>
      <c r="D5113">
        <v>2695.4</v>
      </c>
      <c r="E5113" s="37" t="str">
        <f t="shared" si="395"/>
        <v xml:space="preserve"> </v>
      </c>
      <c r="F5113">
        <v>0.31</v>
      </c>
      <c r="G5113" s="37" t="str">
        <f t="shared" si="396"/>
        <v>Heavy Discount</v>
      </c>
      <c r="H5113" s="37" t="str">
        <f t="shared" si="397"/>
        <v>Medium</v>
      </c>
      <c r="I5113">
        <v>7</v>
      </c>
      <c r="J5113" t="str" cm="1">
        <f t="array" ref="J5113">_xlfn.IFS(I5113&lt;=3,"small",I5113&lt;=6,"Medium",I5113&lt;=9,"Large")</f>
        <v>Large</v>
      </c>
      <c r="K5113" s="36">
        <v>45330</v>
      </c>
      <c r="L5113" s="36">
        <v>45333</v>
      </c>
      <c r="M5113" t="s">
        <v>603</v>
      </c>
      <c r="N5113" t="s">
        <v>608</v>
      </c>
      <c r="O5113" s="37" t="str">
        <f t="shared" si="398"/>
        <v>Cash Payment</v>
      </c>
      <c r="P5113">
        <v>182.25</v>
      </c>
      <c r="Q5113" s="37" t="str">
        <f>IF(P5113&gt;500,"High","low")</f>
        <v>low</v>
      </c>
      <c r="R5113" s="37" t="str">
        <f t="shared" si="399"/>
        <v>AVERAGE</v>
      </c>
      <c r="S5113" t="s">
        <v>600</v>
      </c>
    </row>
    <row r="5114" spans="1:19" x14ac:dyDescent="0.2">
      <c r="A5114" t="s">
        <v>5725</v>
      </c>
      <c r="B5114" t="s">
        <v>90</v>
      </c>
      <c r="C5114" t="s">
        <v>607</v>
      </c>
      <c r="D5114">
        <v>4247.8999999999996</v>
      </c>
      <c r="E5114" s="37" t="str">
        <f t="shared" si="395"/>
        <v>Excellent Order</v>
      </c>
      <c r="F5114">
        <v>0.18</v>
      </c>
      <c r="G5114" s="37" t="str">
        <f t="shared" si="396"/>
        <v>Normal Discount</v>
      </c>
      <c r="H5114" s="37" t="str">
        <f t="shared" si="397"/>
        <v>Low</v>
      </c>
      <c r="I5114">
        <v>6</v>
      </c>
      <c r="J5114" t="str" cm="1">
        <f t="array" ref="J5114">_xlfn.IFS(I5114&lt;=3,"small",I5114&lt;=6,"Medium",I5114&lt;=9,"Large")</f>
        <v>Medium</v>
      </c>
      <c r="K5114" s="36">
        <v>45487</v>
      </c>
      <c r="L5114" s="36">
        <v>45494</v>
      </c>
      <c r="M5114" t="s">
        <v>612</v>
      </c>
      <c r="N5114" t="s">
        <v>608</v>
      </c>
      <c r="O5114" s="37" t="str">
        <f t="shared" si="398"/>
        <v>Cash Payment</v>
      </c>
      <c r="P5114">
        <v>818.8</v>
      </c>
      <c r="Q5114" s="37" t="str">
        <f>IF(P5114&gt;500,"High","low")</f>
        <v>High</v>
      </c>
      <c r="R5114" s="37" t="str">
        <f t="shared" si="399"/>
        <v>Good</v>
      </c>
      <c r="S5114" t="s">
        <v>609</v>
      </c>
    </row>
    <row r="5115" spans="1:19" x14ac:dyDescent="0.2">
      <c r="A5115" t="s">
        <v>5726</v>
      </c>
      <c r="B5115" t="s">
        <v>83</v>
      </c>
      <c r="C5115" t="s">
        <v>614</v>
      </c>
      <c r="D5115">
        <v>4778.8100000000004</v>
      </c>
      <c r="E5115" s="37" t="str">
        <f t="shared" si="395"/>
        <v xml:space="preserve"> </v>
      </c>
      <c r="F5115">
        <v>0.32</v>
      </c>
      <c r="G5115" s="37" t="str">
        <f t="shared" si="396"/>
        <v>Heavy Discount</v>
      </c>
      <c r="H5115" s="37" t="str">
        <f t="shared" si="397"/>
        <v>Medium</v>
      </c>
      <c r="I5115">
        <v>1</v>
      </c>
      <c r="J5115" t="str" cm="1">
        <f t="array" ref="J5115">_xlfn.IFS(I5115&lt;=3,"small",I5115&lt;=6,"Medium",I5115&lt;=9,"Large")</f>
        <v>small</v>
      </c>
      <c r="K5115" s="36">
        <v>45613</v>
      </c>
      <c r="L5115" s="36">
        <v>45618</v>
      </c>
      <c r="M5115" t="s">
        <v>598</v>
      </c>
      <c r="N5115" t="s">
        <v>604</v>
      </c>
      <c r="O5115" s="37" t="str">
        <f t="shared" si="398"/>
        <v>Digital Payment</v>
      </c>
      <c r="P5115">
        <v>524.34</v>
      </c>
      <c r="Q5115" s="37" t="str">
        <f>IF(P5115&gt;500,"High","low")</f>
        <v>High</v>
      </c>
      <c r="R5115" s="37" t="str">
        <f t="shared" si="399"/>
        <v>Good</v>
      </c>
      <c r="S5115" t="s">
        <v>600</v>
      </c>
    </row>
    <row r="5116" spans="1:19" x14ac:dyDescent="0.2">
      <c r="A5116" t="s">
        <v>5727</v>
      </c>
      <c r="B5116" t="s">
        <v>67</v>
      </c>
      <c r="C5116" t="s">
        <v>617</v>
      </c>
      <c r="D5116">
        <v>200.87</v>
      </c>
      <c r="E5116" s="37" t="str">
        <f t="shared" si="395"/>
        <v xml:space="preserve"> </v>
      </c>
      <c r="F5116">
        <v>0.36</v>
      </c>
      <c r="G5116" s="37" t="str">
        <f t="shared" si="396"/>
        <v>Heavy Discount</v>
      </c>
      <c r="H5116" s="37" t="str">
        <f t="shared" si="397"/>
        <v>Medium</v>
      </c>
      <c r="I5116">
        <v>5</v>
      </c>
      <c r="J5116" t="str" cm="1">
        <f t="array" ref="J5116">_xlfn.IFS(I5116&lt;=3,"small",I5116&lt;=6,"Medium",I5116&lt;=9,"Large")</f>
        <v>Medium</v>
      </c>
      <c r="K5116" s="36">
        <v>44996</v>
      </c>
      <c r="L5116" s="36">
        <v>44999</v>
      </c>
      <c r="M5116" t="s">
        <v>598</v>
      </c>
      <c r="N5116" t="s">
        <v>604</v>
      </c>
      <c r="O5116" s="37" t="str">
        <f t="shared" si="398"/>
        <v>Digital Payment</v>
      </c>
      <c r="P5116">
        <v>18.649999999999999</v>
      </c>
      <c r="Q5116" s="37" t="str">
        <f>IF(P5116&gt;500,"High","low")</f>
        <v>low</v>
      </c>
      <c r="R5116" s="37" t="str">
        <f t="shared" si="399"/>
        <v>AVERAGE</v>
      </c>
      <c r="S5116" t="s">
        <v>620</v>
      </c>
    </row>
    <row r="5117" spans="1:19" x14ac:dyDescent="0.2">
      <c r="A5117" t="s">
        <v>5728</v>
      </c>
      <c r="B5117" t="s">
        <v>83</v>
      </c>
      <c r="C5117" t="s">
        <v>614</v>
      </c>
      <c r="D5117">
        <v>1827.54</v>
      </c>
      <c r="E5117" s="37" t="str">
        <f t="shared" si="395"/>
        <v xml:space="preserve"> </v>
      </c>
      <c r="F5117">
        <v>0.02</v>
      </c>
      <c r="G5117" s="37" t="str">
        <f t="shared" si="396"/>
        <v>Normal Discount</v>
      </c>
      <c r="H5117" s="37" t="str">
        <f t="shared" si="397"/>
        <v>Low</v>
      </c>
      <c r="I5117">
        <v>4</v>
      </c>
      <c r="J5117" t="str" cm="1">
        <f t="array" ref="J5117">_xlfn.IFS(I5117&lt;=3,"small",I5117&lt;=6,"Medium",I5117&lt;=9,"Large")</f>
        <v>Medium</v>
      </c>
      <c r="K5117" s="36">
        <v>45181</v>
      </c>
      <c r="L5117" s="36">
        <v>45184</v>
      </c>
      <c r="M5117" t="s">
        <v>603</v>
      </c>
      <c r="N5117" t="s">
        <v>608</v>
      </c>
      <c r="O5117" s="37" t="str">
        <f t="shared" si="398"/>
        <v>Cash Payment</v>
      </c>
      <c r="P5117">
        <v>472.14</v>
      </c>
      <c r="Q5117" s="37" t="str">
        <f>IF(P5117&gt;500,"High","low")</f>
        <v>low</v>
      </c>
      <c r="R5117" s="37" t="str">
        <f t="shared" si="399"/>
        <v>AVERAGE</v>
      </c>
      <c r="S5117" t="s">
        <v>628</v>
      </c>
    </row>
    <row r="5118" spans="1:19" x14ac:dyDescent="0.2">
      <c r="A5118" t="s">
        <v>5729</v>
      </c>
      <c r="B5118" t="s">
        <v>67</v>
      </c>
      <c r="C5118" t="s">
        <v>614</v>
      </c>
      <c r="D5118">
        <v>3373.91</v>
      </c>
      <c r="E5118" s="37" t="str">
        <f t="shared" si="395"/>
        <v xml:space="preserve"> </v>
      </c>
      <c r="F5118">
        <v>0.06</v>
      </c>
      <c r="G5118" s="37" t="str">
        <f t="shared" si="396"/>
        <v>Normal Discount</v>
      </c>
      <c r="H5118" s="37" t="str">
        <f t="shared" si="397"/>
        <v>Low</v>
      </c>
      <c r="I5118">
        <v>2</v>
      </c>
      <c r="J5118" t="str" cm="1">
        <f t="array" ref="J5118">_xlfn.IFS(I5118&lt;=3,"small",I5118&lt;=6,"Medium",I5118&lt;=9,"Large")</f>
        <v>small</v>
      </c>
      <c r="K5118" s="36">
        <v>45227</v>
      </c>
      <c r="L5118" s="36">
        <v>45232</v>
      </c>
      <c r="M5118" t="s">
        <v>603</v>
      </c>
      <c r="N5118" t="s">
        <v>608</v>
      </c>
      <c r="O5118" s="37" t="str">
        <f t="shared" si="398"/>
        <v>Cash Payment</v>
      </c>
      <c r="P5118">
        <v>659.51</v>
      </c>
      <c r="Q5118" s="37" t="str">
        <f>IF(P5118&gt;500,"High","low")</f>
        <v>High</v>
      </c>
      <c r="R5118" s="37" t="str">
        <f t="shared" si="399"/>
        <v>Good</v>
      </c>
      <c r="S5118" t="s">
        <v>609</v>
      </c>
    </row>
    <row r="5119" spans="1:19" x14ac:dyDescent="0.2">
      <c r="A5119" t="s">
        <v>5730</v>
      </c>
      <c r="B5119" t="s">
        <v>75</v>
      </c>
      <c r="C5119" t="s">
        <v>607</v>
      </c>
      <c r="D5119">
        <v>2685.87</v>
      </c>
      <c r="E5119" s="37" t="str">
        <f t="shared" si="395"/>
        <v xml:space="preserve"> </v>
      </c>
      <c r="F5119">
        <v>0.16</v>
      </c>
      <c r="G5119" s="37" t="str">
        <f t="shared" si="396"/>
        <v>Normal Discount</v>
      </c>
      <c r="H5119" s="37" t="str">
        <f t="shared" si="397"/>
        <v>Low</v>
      </c>
      <c r="I5119">
        <v>1</v>
      </c>
      <c r="J5119" t="str" cm="1">
        <f t="array" ref="J5119">_xlfn.IFS(I5119&lt;=3,"small",I5119&lt;=6,"Medium",I5119&lt;=9,"Large")</f>
        <v>small</v>
      </c>
      <c r="K5119" s="36">
        <v>45429</v>
      </c>
      <c r="L5119" s="36">
        <v>45433</v>
      </c>
      <c r="M5119" t="s">
        <v>612</v>
      </c>
      <c r="N5119" t="s">
        <v>608</v>
      </c>
      <c r="O5119" s="37" t="str">
        <f t="shared" si="398"/>
        <v>Cash Payment</v>
      </c>
      <c r="P5119">
        <v>509.17</v>
      </c>
      <c r="Q5119" s="37" t="str">
        <f>IF(P5119&gt;500,"High","low")</f>
        <v>High</v>
      </c>
      <c r="R5119" s="37" t="str">
        <f t="shared" si="399"/>
        <v>Good</v>
      </c>
      <c r="S5119" t="s">
        <v>600</v>
      </c>
    </row>
    <row r="5120" spans="1:19" x14ac:dyDescent="0.2">
      <c r="A5120" t="s">
        <v>5731</v>
      </c>
      <c r="B5120" t="s">
        <v>90</v>
      </c>
      <c r="C5120" t="s">
        <v>597</v>
      </c>
      <c r="D5120">
        <v>4720.8100000000004</v>
      </c>
      <c r="E5120" s="37" t="str">
        <f t="shared" si="395"/>
        <v xml:space="preserve"> </v>
      </c>
      <c r="F5120">
        <v>0.16</v>
      </c>
      <c r="G5120" s="37" t="str">
        <f t="shared" si="396"/>
        <v>Normal Discount</v>
      </c>
      <c r="H5120" s="37" t="str">
        <f t="shared" si="397"/>
        <v>Low</v>
      </c>
      <c r="I5120">
        <v>7</v>
      </c>
      <c r="J5120" t="str" cm="1">
        <f t="array" ref="J5120">_xlfn.IFS(I5120&lt;=3,"small",I5120&lt;=6,"Medium",I5120&lt;=9,"Large")</f>
        <v>Large</v>
      </c>
      <c r="K5120" s="36">
        <v>45130</v>
      </c>
      <c r="L5120" s="36">
        <v>45137</v>
      </c>
      <c r="M5120" t="s">
        <v>598</v>
      </c>
      <c r="N5120" t="s">
        <v>599</v>
      </c>
      <c r="O5120" s="37" t="str">
        <f t="shared" si="398"/>
        <v>Digital Payment</v>
      </c>
      <c r="P5120">
        <v>420.15</v>
      </c>
      <c r="Q5120" s="37" t="str">
        <f>IF(P5120&gt;500,"High","low")</f>
        <v>low</v>
      </c>
      <c r="R5120" s="37" t="str">
        <f t="shared" si="399"/>
        <v>AVERAGE</v>
      </c>
      <c r="S5120" t="s">
        <v>628</v>
      </c>
    </row>
    <row r="5121" spans="1:19" x14ac:dyDescent="0.2">
      <c r="A5121" t="s">
        <v>5732</v>
      </c>
      <c r="B5121" t="s">
        <v>83</v>
      </c>
      <c r="C5121" t="s">
        <v>597</v>
      </c>
      <c r="D5121">
        <v>183.15</v>
      </c>
      <c r="E5121" s="37" t="str">
        <f t="shared" si="395"/>
        <v xml:space="preserve"> </v>
      </c>
      <c r="F5121">
        <v>0.45</v>
      </c>
      <c r="G5121" s="37" t="str">
        <f t="shared" si="396"/>
        <v>Heavy Discount</v>
      </c>
      <c r="H5121" s="37" t="str">
        <f t="shared" si="397"/>
        <v>High</v>
      </c>
      <c r="I5121">
        <v>7</v>
      </c>
      <c r="J5121" t="str" cm="1">
        <f t="array" ref="J5121">_xlfn.IFS(I5121&lt;=3,"small",I5121&lt;=6,"Medium",I5121&lt;=9,"Large")</f>
        <v>Large</v>
      </c>
      <c r="K5121" s="36">
        <v>45089</v>
      </c>
      <c r="L5121" s="36">
        <v>45091</v>
      </c>
      <c r="M5121" t="s">
        <v>598</v>
      </c>
      <c r="N5121" t="s">
        <v>599</v>
      </c>
      <c r="O5121" s="37" t="str">
        <f t="shared" si="398"/>
        <v>Digital Payment</v>
      </c>
      <c r="P5121">
        <v>29.52</v>
      </c>
      <c r="Q5121" s="37" t="str">
        <f>IF(P5121&gt;500,"High","low")</f>
        <v>low</v>
      </c>
      <c r="R5121" s="37" t="str">
        <f t="shared" si="399"/>
        <v>AVERAGE</v>
      </c>
      <c r="S5121" t="s">
        <v>609</v>
      </c>
    </row>
    <row r="5122" spans="1:19" x14ac:dyDescent="0.2">
      <c r="A5122" t="s">
        <v>5733</v>
      </c>
      <c r="B5122" t="s">
        <v>83</v>
      </c>
      <c r="C5122" t="s">
        <v>597</v>
      </c>
      <c r="D5122">
        <v>2244.92</v>
      </c>
      <c r="E5122" s="37" t="str">
        <f t="shared" si="395"/>
        <v xml:space="preserve"> </v>
      </c>
      <c r="F5122">
        <v>0.34</v>
      </c>
      <c r="G5122" s="37" t="str">
        <f t="shared" si="396"/>
        <v>Heavy Discount</v>
      </c>
      <c r="H5122" s="37" t="str">
        <f t="shared" si="397"/>
        <v>Medium</v>
      </c>
      <c r="I5122">
        <v>6</v>
      </c>
      <c r="J5122" t="str" cm="1">
        <f t="array" ref="J5122">_xlfn.IFS(I5122&lt;=3,"small",I5122&lt;=6,"Medium",I5122&lt;=9,"Large")</f>
        <v>Medium</v>
      </c>
      <c r="K5122" s="36">
        <v>45302</v>
      </c>
      <c r="L5122" s="36">
        <v>45308</v>
      </c>
      <c r="M5122" t="s">
        <v>598</v>
      </c>
      <c r="N5122" t="s">
        <v>604</v>
      </c>
      <c r="O5122" s="37" t="str">
        <f t="shared" si="398"/>
        <v>Digital Payment</v>
      </c>
      <c r="P5122">
        <v>423.83</v>
      </c>
      <c r="Q5122" s="37" t="str">
        <f>IF(P5122&gt;500,"High","low")</f>
        <v>low</v>
      </c>
      <c r="R5122" s="37" t="str">
        <f t="shared" si="399"/>
        <v>AVERAGE</v>
      </c>
      <c r="S5122" t="s">
        <v>615</v>
      </c>
    </row>
    <row r="5123" spans="1:19" x14ac:dyDescent="0.2">
      <c r="A5123" t="s">
        <v>5734</v>
      </c>
      <c r="B5123" t="s">
        <v>67</v>
      </c>
      <c r="C5123" t="s">
        <v>614</v>
      </c>
      <c r="D5123">
        <v>3377.14</v>
      </c>
      <c r="E5123" s="37" t="str">
        <f t="shared" ref="E5123:E5186" si="400">IF(AND(D5123&gt;4000,P5123&gt;800),"Excellent Order"," ")</f>
        <v xml:space="preserve"> </v>
      </c>
      <c r="F5123">
        <v>0.19</v>
      </c>
      <c r="G5123" s="37" t="str">
        <f t="shared" ref="G5123:G5186" si="401">IF(F5123&gt;30%,"Heavy Discount","Normal Discount")</f>
        <v>Normal Discount</v>
      </c>
      <c r="H5123" s="37" t="str">
        <f t="shared" ref="H5123:H5186" si="402">IF(F5123&gt;0.4,"High",IF(F5123&gt;=0.2,"Medium","Low"))</f>
        <v>Low</v>
      </c>
      <c r="I5123">
        <v>5</v>
      </c>
      <c r="J5123" t="str" cm="1">
        <f t="array" ref="J5123">_xlfn.IFS(I5123&lt;=3,"small",I5123&lt;=6,"Medium",I5123&lt;=9,"Large")</f>
        <v>Medium</v>
      </c>
      <c r="K5123" s="36">
        <v>45081</v>
      </c>
      <c r="L5123" s="36">
        <v>45086</v>
      </c>
      <c r="M5123" t="s">
        <v>603</v>
      </c>
      <c r="N5123" t="s">
        <v>604</v>
      </c>
      <c r="O5123" s="37" t="str">
        <f t="shared" ref="O5123:O5186" si="403">IF(OR(N5123="Card",N5123="UPI"),"Digital Payment","Cash Payment")</f>
        <v>Digital Payment</v>
      </c>
      <c r="P5123">
        <v>538.66</v>
      </c>
      <c r="Q5123" s="37" t="str">
        <f>IF(P5123&gt;500,"High","low")</f>
        <v>High</v>
      </c>
      <c r="R5123" s="37" t="str">
        <f t="shared" ref="R5123:R5186" si="404">IF(P5123&gt;1000,"Excellent",IF(P5123&gt;=500,"Good","AVERAGE"))</f>
        <v>Good</v>
      </c>
      <c r="S5123" t="s">
        <v>600</v>
      </c>
    </row>
    <row r="5124" spans="1:19" x14ac:dyDescent="0.2">
      <c r="A5124" t="s">
        <v>5735</v>
      </c>
      <c r="B5124" t="s">
        <v>67</v>
      </c>
      <c r="C5124" t="s">
        <v>607</v>
      </c>
      <c r="D5124">
        <v>1166.1600000000001</v>
      </c>
      <c r="E5124" s="37" t="str">
        <f t="shared" si="400"/>
        <v xml:space="preserve"> </v>
      </c>
      <c r="F5124">
        <v>0.4</v>
      </c>
      <c r="G5124" s="37" t="str">
        <f t="shared" si="401"/>
        <v>Heavy Discount</v>
      </c>
      <c r="H5124" s="37" t="str">
        <f t="shared" si="402"/>
        <v>Medium</v>
      </c>
      <c r="I5124">
        <v>9</v>
      </c>
      <c r="J5124" t="str" cm="1">
        <f t="array" ref="J5124">_xlfn.IFS(I5124&lt;=3,"small",I5124&lt;=6,"Medium",I5124&lt;=9,"Large")</f>
        <v>Large</v>
      </c>
      <c r="K5124" s="36">
        <v>45390</v>
      </c>
      <c r="L5124" s="36">
        <v>45393</v>
      </c>
      <c r="M5124" t="s">
        <v>603</v>
      </c>
      <c r="N5124" t="s">
        <v>604</v>
      </c>
      <c r="O5124" s="37" t="str">
        <f t="shared" si="403"/>
        <v>Digital Payment</v>
      </c>
      <c r="P5124">
        <v>213.95</v>
      </c>
      <c r="Q5124" s="37" t="str">
        <f>IF(P5124&gt;500,"High","low")</f>
        <v>low</v>
      </c>
      <c r="R5124" s="37" t="str">
        <f t="shared" si="404"/>
        <v>AVERAGE</v>
      </c>
      <c r="S5124" t="s">
        <v>609</v>
      </c>
    </row>
    <row r="5125" spans="1:19" x14ac:dyDescent="0.2">
      <c r="A5125" t="s">
        <v>5736</v>
      </c>
      <c r="B5125" t="s">
        <v>83</v>
      </c>
      <c r="C5125" t="s">
        <v>597</v>
      </c>
      <c r="D5125">
        <v>3656.77</v>
      </c>
      <c r="E5125" s="37" t="str">
        <f t="shared" si="400"/>
        <v xml:space="preserve"> </v>
      </c>
      <c r="F5125">
        <v>0.16</v>
      </c>
      <c r="G5125" s="37" t="str">
        <f t="shared" si="401"/>
        <v>Normal Discount</v>
      </c>
      <c r="H5125" s="37" t="str">
        <f t="shared" si="402"/>
        <v>Low</v>
      </c>
      <c r="I5125">
        <v>2</v>
      </c>
      <c r="J5125" t="str" cm="1">
        <f t="array" ref="J5125">_xlfn.IFS(I5125&lt;=3,"small",I5125&lt;=6,"Medium",I5125&lt;=9,"Large")</f>
        <v>small</v>
      </c>
      <c r="K5125" s="36">
        <v>45229</v>
      </c>
      <c r="L5125" s="36">
        <v>45234</v>
      </c>
      <c r="M5125" t="s">
        <v>598</v>
      </c>
      <c r="N5125" t="s">
        <v>604</v>
      </c>
      <c r="O5125" s="37" t="str">
        <f t="shared" si="403"/>
        <v>Digital Payment</v>
      </c>
      <c r="P5125">
        <v>196.44</v>
      </c>
      <c r="Q5125" s="37" t="str">
        <f>IF(P5125&gt;500,"High","low")</f>
        <v>low</v>
      </c>
      <c r="R5125" s="37" t="str">
        <f t="shared" si="404"/>
        <v>AVERAGE</v>
      </c>
      <c r="S5125" t="s">
        <v>628</v>
      </c>
    </row>
    <row r="5126" spans="1:19" x14ac:dyDescent="0.2">
      <c r="A5126" t="s">
        <v>5737</v>
      </c>
      <c r="B5126" t="s">
        <v>67</v>
      </c>
      <c r="C5126" t="s">
        <v>602</v>
      </c>
      <c r="D5126">
        <v>498.02</v>
      </c>
      <c r="E5126" s="37" t="str">
        <f t="shared" si="400"/>
        <v xml:space="preserve"> </v>
      </c>
      <c r="F5126">
        <v>0.5</v>
      </c>
      <c r="G5126" s="37" t="str">
        <f t="shared" si="401"/>
        <v>Heavy Discount</v>
      </c>
      <c r="H5126" s="37" t="str">
        <f t="shared" si="402"/>
        <v>High</v>
      </c>
      <c r="I5126">
        <v>3</v>
      </c>
      <c r="J5126" t="str" cm="1">
        <f t="array" ref="J5126">_xlfn.IFS(I5126&lt;=3,"small",I5126&lt;=6,"Medium",I5126&lt;=9,"Large")</f>
        <v>small</v>
      </c>
      <c r="K5126" s="36">
        <v>45171</v>
      </c>
      <c r="L5126" s="36">
        <v>45174</v>
      </c>
      <c r="M5126" t="s">
        <v>598</v>
      </c>
      <c r="N5126" t="s">
        <v>608</v>
      </c>
      <c r="O5126" s="37" t="str">
        <f t="shared" si="403"/>
        <v>Cash Payment</v>
      </c>
      <c r="P5126">
        <v>49.74</v>
      </c>
      <c r="Q5126" s="37" t="str">
        <f>IF(P5126&gt;500,"High","low")</f>
        <v>low</v>
      </c>
      <c r="R5126" s="37" t="str">
        <f t="shared" si="404"/>
        <v>AVERAGE</v>
      </c>
      <c r="S5126" t="s">
        <v>620</v>
      </c>
    </row>
    <row r="5127" spans="1:19" x14ac:dyDescent="0.2">
      <c r="A5127" t="s">
        <v>5738</v>
      </c>
      <c r="B5127" t="s">
        <v>83</v>
      </c>
      <c r="C5127" t="s">
        <v>602</v>
      </c>
      <c r="D5127">
        <v>2310.09</v>
      </c>
      <c r="E5127" s="37" t="str">
        <f t="shared" si="400"/>
        <v xml:space="preserve"> </v>
      </c>
      <c r="F5127">
        <v>0.39</v>
      </c>
      <c r="G5127" s="37" t="str">
        <f t="shared" si="401"/>
        <v>Heavy Discount</v>
      </c>
      <c r="H5127" s="37" t="str">
        <f t="shared" si="402"/>
        <v>Medium</v>
      </c>
      <c r="I5127">
        <v>9</v>
      </c>
      <c r="J5127" t="str" cm="1">
        <f t="array" ref="J5127">_xlfn.IFS(I5127&lt;=3,"small",I5127&lt;=6,"Medium",I5127&lt;=9,"Large")</f>
        <v>Large</v>
      </c>
      <c r="K5127" s="36">
        <v>45214</v>
      </c>
      <c r="L5127" s="36">
        <v>45217</v>
      </c>
      <c r="M5127" t="s">
        <v>612</v>
      </c>
      <c r="N5127" t="s">
        <v>604</v>
      </c>
      <c r="O5127" s="37" t="str">
        <f t="shared" si="403"/>
        <v>Digital Payment</v>
      </c>
      <c r="P5127">
        <v>240.74</v>
      </c>
      <c r="Q5127" s="37" t="str">
        <f>IF(P5127&gt;500,"High","low")</f>
        <v>low</v>
      </c>
      <c r="R5127" s="37" t="str">
        <f t="shared" si="404"/>
        <v>AVERAGE</v>
      </c>
      <c r="S5127" t="s">
        <v>615</v>
      </c>
    </row>
    <row r="5128" spans="1:19" x14ac:dyDescent="0.2">
      <c r="A5128" t="s">
        <v>5739</v>
      </c>
      <c r="B5128" t="s">
        <v>83</v>
      </c>
      <c r="C5128" t="s">
        <v>602</v>
      </c>
      <c r="D5128">
        <v>3413.55</v>
      </c>
      <c r="E5128" s="37" t="str">
        <f t="shared" si="400"/>
        <v xml:space="preserve"> </v>
      </c>
      <c r="F5128">
        <v>0.4</v>
      </c>
      <c r="G5128" s="37" t="str">
        <f t="shared" si="401"/>
        <v>Heavy Discount</v>
      </c>
      <c r="H5128" s="37" t="str">
        <f t="shared" si="402"/>
        <v>Medium</v>
      </c>
      <c r="I5128">
        <v>2</v>
      </c>
      <c r="J5128" t="str" cm="1">
        <f t="array" ref="J5128">_xlfn.IFS(I5128&lt;=3,"small",I5128&lt;=6,"Medium",I5128&lt;=9,"Large")</f>
        <v>small</v>
      </c>
      <c r="K5128" s="36">
        <v>44955</v>
      </c>
      <c r="L5128" s="36">
        <v>44956</v>
      </c>
      <c r="M5128" t="s">
        <v>603</v>
      </c>
      <c r="N5128" t="s">
        <v>604</v>
      </c>
      <c r="O5128" s="37" t="str">
        <f t="shared" si="403"/>
        <v>Digital Payment</v>
      </c>
      <c r="P5128">
        <v>493.37</v>
      </c>
      <c r="Q5128" s="37" t="str">
        <f>IF(P5128&gt;500,"High","low")</f>
        <v>low</v>
      </c>
      <c r="R5128" s="37" t="str">
        <f t="shared" si="404"/>
        <v>AVERAGE</v>
      </c>
      <c r="S5128" t="s">
        <v>605</v>
      </c>
    </row>
    <row r="5129" spans="1:19" x14ac:dyDescent="0.2">
      <c r="A5129" t="s">
        <v>5740</v>
      </c>
      <c r="B5129" t="s">
        <v>83</v>
      </c>
      <c r="C5129" t="s">
        <v>617</v>
      </c>
      <c r="D5129">
        <v>1407.11</v>
      </c>
      <c r="E5129" s="37" t="str">
        <f t="shared" si="400"/>
        <v xml:space="preserve"> </v>
      </c>
      <c r="F5129">
        <v>0.13</v>
      </c>
      <c r="G5129" s="37" t="str">
        <f t="shared" si="401"/>
        <v>Normal Discount</v>
      </c>
      <c r="H5129" s="37" t="str">
        <f t="shared" si="402"/>
        <v>Low</v>
      </c>
      <c r="I5129">
        <v>3</v>
      </c>
      <c r="J5129" t="str" cm="1">
        <f t="array" ref="J5129">_xlfn.IFS(I5129&lt;=3,"small",I5129&lt;=6,"Medium",I5129&lt;=9,"Large")</f>
        <v>small</v>
      </c>
      <c r="K5129" s="36">
        <v>45125</v>
      </c>
      <c r="L5129" s="36">
        <v>45131</v>
      </c>
      <c r="M5129" t="s">
        <v>612</v>
      </c>
      <c r="N5129" t="s">
        <v>604</v>
      </c>
      <c r="O5129" s="37" t="str">
        <f t="shared" si="403"/>
        <v>Digital Payment</v>
      </c>
      <c r="P5129">
        <v>401.29</v>
      </c>
      <c r="Q5129" s="37" t="str">
        <f>IF(P5129&gt;500,"High","low")</f>
        <v>low</v>
      </c>
      <c r="R5129" s="37" t="str">
        <f t="shared" si="404"/>
        <v>AVERAGE</v>
      </c>
      <c r="S5129" t="s">
        <v>628</v>
      </c>
    </row>
    <row r="5130" spans="1:19" x14ac:dyDescent="0.2">
      <c r="A5130" t="s">
        <v>5741</v>
      </c>
      <c r="B5130" t="s">
        <v>75</v>
      </c>
      <c r="C5130" t="s">
        <v>607</v>
      </c>
      <c r="D5130">
        <v>461.85</v>
      </c>
      <c r="E5130" s="37" t="str">
        <f t="shared" si="400"/>
        <v xml:space="preserve"> </v>
      </c>
      <c r="F5130">
        <v>7.0000000000000007E-2</v>
      </c>
      <c r="G5130" s="37" t="str">
        <f t="shared" si="401"/>
        <v>Normal Discount</v>
      </c>
      <c r="H5130" s="37" t="str">
        <f t="shared" si="402"/>
        <v>Low</v>
      </c>
      <c r="I5130">
        <v>6</v>
      </c>
      <c r="J5130" t="str" cm="1">
        <f t="array" ref="J5130">_xlfn.IFS(I5130&lt;=3,"small",I5130&lt;=6,"Medium",I5130&lt;=9,"Large")</f>
        <v>Medium</v>
      </c>
      <c r="K5130" s="36">
        <v>44979</v>
      </c>
      <c r="L5130" s="36">
        <v>44986</v>
      </c>
      <c r="M5130" t="s">
        <v>603</v>
      </c>
      <c r="N5130" t="s">
        <v>608</v>
      </c>
      <c r="O5130" s="37" t="str">
        <f t="shared" si="403"/>
        <v>Cash Payment</v>
      </c>
      <c r="P5130">
        <v>85.58</v>
      </c>
      <c r="Q5130" s="37" t="str">
        <f>IF(P5130&gt;500,"High","low")</f>
        <v>low</v>
      </c>
      <c r="R5130" s="37" t="str">
        <f t="shared" si="404"/>
        <v>AVERAGE</v>
      </c>
      <c r="S5130" t="s">
        <v>605</v>
      </c>
    </row>
    <row r="5131" spans="1:19" x14ac:dyDescent="0.2">
      <c r="A5131" t="s">
        <v>5742</v>
      </c>
      <c r="B5131" t="s">
        <v>67</v>
      </c>
      <c r="C5131" t="s">
        <v>614</v>
      </c>
      <c r="D5131">
        <v>4789.41</v>
      </c>
      <c r="E5131" s="37" t="str">
        <f t="shared" si="400"/>
        <v xml:space="preserve"> </v>
      </c>
      <c r="F5131">
        <v>0.19</v>
      </c>
      <c r="G5131" s="37" t="str">
        <f t="shared" si="401"/>
        <v>Normal Discount</v>
      </c>
      <c r="H5131" s="37" t="str">
        <f t="shared" si="402"/>
        <v>Low</v>
      </c>
      <c r="I5131">
        <v>7</v>
      </c>
      <c r="J5131" t="str" cm="1">
        <f t="array" ref="J5131">_xlfn.IFS(I5131&lt;=3,"small",I5131&lt;=6,"Medium",I5131&lt;=9,"Large")</f>
        <v>Large</v>
      </c>
      <c r="K5131" s="36">
        <v>45019</v>
      </c>
      <c r="L5131" s="36">
        <v>45023</v>
      </c>
      <c r="M5131" t="s">
        <v>612</v>
      </c>
      <c r="N5131" t="s">
        <v>604</v>
      </c>
      <c r="O5131" s="37" t="str">
        <f t="shared" si="403"/>
        <v>Digital Payment</v>
      </c>
      <c r="P5131">
        <v>546.41999999999996</v>
      </c>
      <c r="Q5131" s="37" t="str">
        <f>IF(P5131&gt;500,"High","low")</f>
        <v>High</v>
      </c>
      <c r="R5131" s="37" t="str">
        <f t="shared" si="404"/>
        <v>Good</v>
      </c>
      <c r="S5131" t="s">
        <v>600</v>
      </c>
    </row>
    <row r="5132" spans="1:19" x14ac:dyDescent="0.2">
      <c r="A5132" t="s">
        <v>5743</v>
      </c>
      <c r="B5132" t="s">
        <v>90</v>
      </c>
      <c r="C5132" t="s">
        <v>614</v>
      </c>
      <c r="D5132">
        <v>4577.7299999999996</v>
      </c>
      <c r="E5132" s="37" t="str">
        <f t="shared" si="400"/>
        <v>Excellent Order</v>
      </c>
      <c r="F5132">
        <v>0.17</v>
      </c>
      <c r="G5132" s="37" t="str">
        <f t="shared" si="401"/>
        <v>Normal Discount</v>
      </c>
      <c r="H5132" s="37" t="str">
        <f t="shared" si="402"/>
        <v>Low</v>
      </c>
      <c r="I5132">
        <v>2</v>
      </c>
      <c r="J5132" t="str" cm="1">
        <f t="array" ref="J5132">_xlfn.IFS(I5132&lt;=3,"small",I5132&lt;=6,"Medium",I5132&lt;=9,"Large")</f>
        <v>small</v>
      </c>
      <c r="K5132" s="36">
        <v>45366</v>
      </c>
      <c r="L5132" s="36">
        <v>45373</v>
      </c>
      <c r="M5132" t="s">
        <v>612</v>
      </c>
      <c r="N5132" t="s">
        <v>604</v>
      </c>
      <c r="O5132" s="37" t="str">
        <f t="shared" si="403"/>
        <v>Digital Payment</v>
      </c>
      <c r="P5132">
        <v>1049.0899999999999</v>
      </c>
      <c r="Q5132" s="37" t="str">
        <f>IF(P5132&gt;500,"High","low")</f>
        <v>High</v>
      </c>
      <c r="R5132" s="37" t="str">
        <f t="shared" si="404"/>
        <v>Excellent</v>
      </c>
      <c r="S5132" t="s">
        <v>605</v>
      </c>
    </row>
    <row r="5133" spans="1:19" x14ac:dyDescent="0.2">
      <c r="A5133" t="s">
        <v>5744</v>
      </c>
      <c r="B5133" t="s">
        <v>90</v>
      </c>
      <c r="C5133" t="s">
        <v>607</v>
      </c>
      <c r="D5133">
        <v>4639.21</v>
      </c>
      <c r="E5133" s="37" t="str">
        <f t="shared" si="400"/>
        <v xml:space="preserve"> </v>
      </c>
      <c r="F5133">
        <v>0.38</v>
      </c>
      <c r="G5133" s="37" t="str">
        <f t="shared" si="401"/>
        <v>Heavy Discount</v>
      </c>
      <c r="H5133" s="37" t="str">
        <f t="shared" si="402"/>
        <v>Medium</v>
      </c>
      <c r="I5133">
        <v>8</v>
      </c>
      <c r="J5133" t="str" cm="1">
        <f t="array" ref="J5133">_xlfn.IFS(I5133&lt;=3,"small",I5133&lt;=6,"Medium",I5133&lt;=9,"Large")</f>
        <v>Large</v>
      </c>
      <c r="K5133" s="36">
        <v>45143</v>
      </c>
      <c r="L5133" s="36">
        <v>45149</v>
      </c>
      <c r="M5133" t="s">
        <v>612</v>
      </c>
      <c r="N5133" t="s">
        <v>608</v>
      </c>
      <c r="O5133" s="37" t="str">
        <f t="shared" si="403"/>
        <v>Cash Payment</v>
      </c>
      <c r="P5133">
        <v>485.74</v>
      </c>
      <c r="Q5133" s="37" t="str">
        <f>IF(P5133&gt;500,"High","low")</f>
        <v>low</v>
      </c>
      <c r="R5133" s="37" t="str">
        <f t="shared" si="404"/>
        <v>AVERAGE</v>
      </c>
      <c r="S5133" t="s">
        <v>600</v>
      </c>
    </row>
    <row r="5134" spans="1:19" x14ac:dyDescent="0.2">
      <c r="A5134" t="s">
        <v>5745</v>
      </c>
      <c r="B5134" t="s">
        <v>67</v>
      </c>
      <c r="C5134" t="s">
        <v>617</v>
      </c>
      <c r="D5134">
        <v>4894.66</v>
      </c>
      <c r="E5134" s="37" t="str">
        <f t="shared" si="400"/>
        <v xml:space="preserve"> </v>
      </c>
      <c r="F5134">
        <v>0.09</v>
      </c>
      <c r="G5134" s="37" t="str">
        <f t="shared" si="401"/>
        <v>Normal Discount</v>
      </c>
      <c r="H5134" s="37" t="str">
        <f t="shared" si="402"/>
        <v>Low</v>
      </c>
      <c r="I5134">
        <v>9</v>
      </c>
      <c r="J5134" t="str" cm="1">
        <f t="array" ref="J5134">_xlfn.IFS(I5134&lt;=3,"small",I5134&lt;=6,"Medium",I5134&lt;=9,"Large")</f>
        <v>Large</v>
      </c>
      <c r="K5134" s="36">
        <v>45225</v>
      </c>
      <c r="L5134" s="36">
        <v>45229</v>
      </c>
      <c r="M5134" t="s">
        <v>598</v>
      </c>
      <c r="N5134" t="s">
        <v>599</v>
      </c>
      <c r="O5134" s="37" t="str">
        <f t="shared" si="403"/>
        <v>Digital Payment</v>
      </c>
      <c r="P5134">
        <v>437.6</v>
      </c>
      <c r="Q5134" s="37" t="str">
        <f>IF(P5134&gt;500,"High","low")</f>
        <v>low</v>
      </c>
      <c r="R5134" s="37" t="str">
        <f t="shared" si="404"/>
        <v>AVERAGE</v>
      </c>
      <c r="S5134" t="s">
        <v>609</v>
      </c>
    </row>
    <row r="5135" spans="1:19" x14ac:dyDescent="0.2">
      <c r="A5135" t="s">
        <v>5746</v>
      </c>
      <c r="B5135" t="s">
        <v>83</v>
      </c>
      <c r="C5135" t="s">
        <v>607</v>
      </c>
      <c r="D5135">
        <v>1005.02</v>
      </c>
      <c r="E5135" s="37" t="str">
        <f t="shared" si="400"/>
        <v xml:space="preserve"> </v>
      </c>
      <c r="F5135">
        <v>0.26</v>
      </c>
      <c r="G5135" s="37" t="str">
        <f t="shared" si="401"/>
        <v>Normal Discount</v>
      </c>
      <c r="H5135" s="37" t="str">
        <f t="shared" si="402"/>
        <v>Medium</v>
      </c>
      <c r="I5135">
        <v>1</v>
      </c>
      <c r="J5135" t="str" cm="1">
        <f t="array" ref="J5135">_xlfn.IFS(I5135&lt;=3,"small",I5135&lt;=6,"Medium",I5135&lt;=9,"Large")</f>
        <v>small</v>
      </c>
      <c r="K5135" s="36">
        <v>45538</v>
      </c>
      <c r="L5135" s="36">
        <v>45544</v>
      </c>
      <c r="M5135" t="s">
        <v>612</v>
      </c>
      <c r="N5135" t="s">
        <v>604</v>
      </c>
      <c r="O5135" s="37" t="str">
        <f t="shared" si="403"/>
        <v>Digital Payment</v>
      </c>
      <c r="P5135">
        <v>125.1</v>
      </c>
      <c r="Q5135" s="37" t="str">
        <f>IF(P5135&gt;500,"High","low")</f>
        <v>low</v>
      </c>
      <c r="R5135" s="37" t="str">
        <f t="shared" si="404"/>
        <v>AVERAGE</v>
      </c>
      <c r="S5135" t="s">
        <v>605</v>
      </c>
    </row>
    <row r="5136" spans="1:19" x14ac:dyDescent="0.2">
      <c r="A5136" t="s">
        <v>5747</v>
      </c>
      <c r="B5136" t="s">
        <v>90</v>
      </c>
      <c r="C5136" t="s">
        <v>617</v>
      </c>
      <c r="D5136">
        <v>873.1</v>
      </c>
      <c r="E5136" s="37" t="str">
        <f t="shared" si="400"/>
        <v xml:space="preserve"> </v>
      </c>
      <c r="F5136">
        <v>0.31</v>
      </c>
      <c r="G5136" s="37" t="str">
        <f t="shared" si="401"/>
        <v>Heavy Discount</v>
      </c>
      <c r="H5136" s="37" t="str">
        <f t="shared" si="402"/>
        <v>Medium</v>
      </c>
      <c r="I5136">
        <v>6</v>
      </c>
      <c r="J5136" t="str" cm="1">
        <f t="array" ref="J5136">_xlfn.IFS(I5136&lt;=3,"small",I5136&lt;=6,"Medium",I5136&lt;=9,"Large")</f>
        <v>Medium</v>
      </c>
      <c r="K5136" s="36">
        <v>45038</v>
      </c>
      <c r="L5136" s="36">
        <v>45041</v>
      </c>
      <c r="M5136" t="s">
        <v>603</v>
      </c>
      <c r="N5136" t="s">
        <v>604</v>
      </c>
      <c r="O5136" s="37" t="str">
        <f t="shared" si="403"/>
        <v>Digital Payment</v>
      </c>
      <c r="P5136">
        <v>107.56</v>
      </c>
      <c r="Q5136" s="37" t="str">
        <f>IF(P5136&gt;500,"High","low")</f>
        <v>low</v>
      </c>
      <c r="R5136" s="37" t="str">
        <f t="shared" si="404"/>
        <v>AVERAGE</v>
      </c>
      <c r="S5136" t="s">
        <v>600</v>
      </c>
    </row>
    <row r="5137" spans="1:19" x14ac:dyDescent="0.2">
      <c r="A5137" t="s">
        <v>5748</v>
      </c>
      <c r="B5137" t="s">
        <v>90</v>
      </c>
      <c r="C5137" t="s">
        <v>597</v>
      </c>
      <c r="D5137">
        <v>267.64999999999998</v>
      </c>
      <c r="E5137" s="37" t="str">
        <f t="shared" si="400"/>
        <v xml:space="preserve"> </v>
      </c>
      <c r="F5137">
        <v>0.19</v>
      </c>
      <c r="G5137" s="37" t="str">
        <f t="shared" si="401"/>
        <v>Normal Discount</v>
      </c>
      <c r="H5137" s="37" t="str">
        <f t="shared" si="402"/>
        <v>Low</v>
      </c>
      <c r="I5137">
        <v>4</v>
      </c>
      <c r="J5137" t="str" cm="1">
        <f t="array" ref="J5137">_xlfn.IFS(I5137&lt;=3,"small",I5137&lt;=6,"Medium",I5137&lt;=9,"Large")</f>
        <v>Medium</v>
      </c>
      <c r="K5137" s="36">
        <v>45570</v>
      </c>
      <c r="L5137" s="36">
        <v>45577</v>
      </c>
      <c r="M5137" t="s">
        <v>612</v>
      </c>
      <c r="N5137" t="s">
        <v>599</v>
      </c>
      <c r="O5137" s="37" t="str">
        <f t="shared" si="403"/>
        <v>Digital Payment</v>
      </c>
      <c r="P5137">
        <v>41.58</v>
      </c>
      <c r="Q5137" s="37" t="str">
        <f>IF(P5137&gt;500,"High","low")</f>
        <v>low</v>
      </c>
      <c r="R5137" s="37" t="str">
        <f t="shared" si="404"/>
        <v>AVERAGE</v>
      </c>
      <c r="S5137" t="s">
        <v>615</v>
      </c>
    </row>
    <row r="5138" spans="1:19" x14ac:dyDescent="0.2">
      <c r="A5138" t="s">
        <v>5749</v>
      </c>
      <c r="B5138" t="s">
        <v>67</v>
      </c>
      <c r="C5138" t="s">
        <v>597</v>
      </c>
      <c r="D5138">
        <v>4469.93</v>
      </c>
      <c r="E5138" s="37" t="str">
        <f t="shared" si="400"/>
        <v>Excellent Order</v>
      </c>
      <c r="F5138">
        <v>0.1</v>
      </c>
      <c r="G5138" s="37" t="str">
        <f t="shared" si="401"/>
        <v>Normal Discount</v>
      </c>
      <c r="H5138" s="37" t="str">
        <f t="shared" si="402"/>
        <v>Low</v>
      </c>
      <c r="I5138">
        <v>5</v>
      </c>
      <c r="J5138" t="str" cm="1">
        <f t="array" ref="J5138">_xlfn.IFS(I5138&lt;=3,"small",I5138&lt;=6,"Medium",I5138&lt;=9,"Large")</f>
        <v>Medium</v>
      </c>
      <c r="K5138" s="36">
        <v>45374</v>
      </c>
      <c r="L5138" s="36">
        <v>45377</v>
      </c>
      <c r="M5138" t="s">
        <v>598</v>
      </c>
      <c r="N5138" t="s">
        <v>599</v>
      </c>
      <c r="O5138" s="37" t="str">
        <f t="shared" si="403"/>
        <v>Digital Payment</v>
      </c>
      <c r="P5138">
        <v>1021.74</v>
      </c>
      <c r="Q5138" s="37" t="str">
        <f>IF(P5138&gt;500,"High","low")</f>
        <v>High</v>
      </c>
      <c r="R5138" s="37" t="str">
        <f t="shared" si="404"/>
        <v>Excellent</v>
      </c>
      <c r="S5138" t="s">
        <v>605</v>
      </c>
    </row>
    <row r="5139" spans="1:19" x14ac:dyDescent="0.2">
      <c r="A5139" t="s">
        <v>5750</v>
      </c>
      <c r="B5139" t="s">
        <v>90</v>
      </c>
      <c r="C5139" t="s">
        <v>617</v>
      </c>
      <c r="D5139">
        <v>3788.54</v>
      </c>
      <c r="E5139" s="37" t="str">
        <f t="shared" si="400"/>
        <v xml:space="preserve"> </v>
      </c>
      <c r="F5139">
        <v>0.45</v>
      </c>
      <c r="G5139" s="37" t="str">
        <f t="shared" si="401"/>
        <v>Heavy Discount</v>
      </c>
      <c r="H5139" s="37" t="str">
        <f t="shared" si="402"/>
        <v>High</v>
      </c>
      <c r="I5139">
        <v>6</v>
      </c>
      <c r="J5139" t="str" cm="1">
        <f t="array" ref="J5139">_xlfn.IFS(I5139&lt;=3,"small",I5139&lt;=6,"Medium",I5139&lt;=9,"Large")</f>
        <v>Medium</v>
      </c>
      <c r="K5139" s="36">
        <v>45017</v>
      </c>
      <c r="L5139" s="36">
        <v>45019</v>
      </c>
      <c r="M5139" t="s">
        <v>598</v>
      </c>
      <c r="N5139" t="s">
        <v>604</v>
      </c>
      <c r="O5139" s="37" t="str">
        <f t="shared" si="403"/>
        <v>Digital Payment</v>
      </c>
      <c r="P5139">
        <v>737.76</v>
      </c>
      <c r="Q5139" s="37" t="str">
        <f>IF(P5139&gt;500,"High","low")</f>
        <v>High</v>
      </c>
      <c r="R5139" s="37" t="str">
        <f t="shared" si="404"/>
        <v>Good</v>
      </c>
      <c r="S5139" t="s">
        <v>609</v>
      </c>
    </row>
    <row r="5140" spans="1:19" x14ac:dyDescent="0.2">
      <c r="A5140" t="s">
        <v>5751</v>
      </c>
      <c r="B5140" t="s">
        <v>83</v>
      </c>
      <c r="C5140" t="s">
        <v>607</v>
      </c>
      <c r="D5140">
        <v>3202.99</v>
      </c>
      <c r="E5140" s="37" t="str">
        <f t="shared" si="400"/>
        <v xml:space="preserve"> </v>
      </c>
      <c r="F5140">
        <v>7.0000000000000007E-2</v>
      </c>
      <c r="G5140" s="37" t="str">
        <f t="shared" si="401"/>
        <v>Normal Discount</v>
      </c>
      <c r="H5140" s="37" t="str">
        <f t="shared" si="402"/>
        <v>Low</v>
      </c>
      <c r="I5140">
        <v>6</v>
      </c>
      <c r="J5140" t="str" cm="1">
        <f t="array" ref="J5140">_xlfn.IFS(I5140&lt;=3,"small",I5140&lt;=6,"Medium",I5140&lt;=9,"Large")</f>
        <v>Medium</v>
      </c>
      <c r="K5140" s="36">
        <v>45589</v>
      </c>
      <c r="L5140" s="36">
        <v>45592</v>
      </c>
      <c r="M5140" t="s">
        <v>598</v>
      </c>
      <c r="N5140" t="s">
        <v>604</v>
      </c>
      <c r="O5140" s="37" t="str">
        <f t="shared" si="403"/>
        <v>Digital Payment</v>
      </c>
      <c r="P5140">
        <v>554.53</v>
      </c>
      <c r="Q5140" s="37" t="str">
        <f>IF(P5140&gt;500,"High","low")</f>
        <v>High</v>
      </c>
      <c r="R5140" s="37" t="str">
        <f t="shared" si="404"/>
        <v>Good</v>
      </c>
      <c r="S5140" t="s">
        <v>609</v>
      </c>
    </row>
    <row r="5141" spans="1:19" x14ac:dyDescent="0.2">
      <c r="A5141" t="s">
        <v>5752</v>
      </c>
      <c r="B5141" t="s">
        <v>67</v>
      </c>
      <c r="C5141" t="s">
        <v>597</v>
      </c>
      <c r="D5141">
        <v>4645.6099999999997</v>
      </c>
      <c r="E5141" s="37" t="str">
        <f t="shared" si="400"/>
        <v>Excellent Order</v>
      </c>
      <c r="F5141">
        <v>0.15</v>
      </c>
      <c r="G5141" s="37" t="str">
        <f t="shared" si="401"/>
        <v>Normal Discount</v>
      </c>
      <c r="H5141" s="37" t="str">
        <f t="shared" si="402"/>
        <v>Low</v>
      </c>
      <c r="I5141">
        <v>7</v>
      </c>
      <c r="J5141" t="str" cm="1">
        <f t="array" ref="J5141">_xlfn.IFS(I5141&lt;=3,"small",I5141&lt;=6,"Medium",I5141&lt;=9,"Large")</f>
        <v>Large</v>
      </c>
      <c r="K5141" s="36">
        <v>45242</v>
      </c>
      <c r="L5141" s="36">
        <v>45245</v>
      </c>
      <c r="M5141" t="s">
        <v>598</v>
      </c>
      <c r="N5141" t="s">
        <v>599</v>
      </c>
      <c r="O5141" s="37" t="str">
        <f t="shared" si="403"/>
        <v>Digital Payment</v>
      </c>
      <c r="P5141">
        <v>1333.86</v>
      </c>
      <c r="Q5141" s="37" t="str">
        <f>IF(P5141&gt;500,"High","low")</f>
        <v>High</v>
      </c>
      <c r="R5141" s="37" t="str">
        <f t="shared" si="404"/>
        <v>Excellent</v>
      </c>
      <c r="S5141" t="s">
        <v>628</v>
      </c>
    </row>
    <row r="5142" spans="1:19" x14ac:dyDescent="0.2">
      <c r="A5142" t="s">
        <v>5753</v>
      </c>
      <c r="B5142" t="s">
        <v>83</v>
      </c>
      <c r="C5142" t="s">
        <v>607</v>
      </c>
      <c r="D5142">
        <v>2917.88</v>
      </c>
      <c r="E5142" s="37" t="str">
        <f t="shared" si="400"/>
        <v xml:space="preserve"> </v>
      </c>
      <c r="F5142">
        <v>0.38</v>
      </c>
      <c r="G5142" s="37" t="str">
        <f t="shared" si="401"/>
        <v>Heavy Discount</v>
      </c>
      <c r="H5142" s="37" t="str">
        <f t="shared" si="402"/>
        <v>Medium</v>
      </c>
      <c r="I5142">
        <v>9</v>
      </c>
      <c r="J5142" t="str" cm="1">
        <f t="array" ref="J5142">_xlfn.IFS(I5142&lt;=3,"small",I5142&lt;=6,"Medium",I5142&lt;=9,"Large")</f>
        <v>Large</v>
      </c>
      <c r="K5142" s="36">
        <v>45212</v>
      </c>
      <c r="L5142" s="36">
        <v>45219</v>
      </c>
      <c r="M5142" t="s">
        <v>612</v>
      </c>
      <c r="N5142" t="s">
        <v>604</v>
      </c>
      <c r="O5142" s="37" t="str">
        <f t="shared" si="403"/>
        <v>Digital Payment</v>
      </c>
      <c r="P5142">
        <v>169.42</v>
      </c>
      <c r="Q5142" s="37" t="str">
        <f>IF(P5142&gt;500,"High","low")</f>
        <v>low</v>
      </c>
      <c r="R5142" s="37" t="str">
        <f t="shared" si="404"/>
        <v>AVERAGE</v>
      </c>
      <c r="S5142" t="s">
        <v>600</v>
      </c>
    </row>
    <row r="5143" spans="1:19" x14ac:dyDescent="0.2">
      <c r="A5143" t="s">
        <v>5754</v>
      </c>
      <c r="B5143" t="s">
        <v>90</v>
      </c>
      <c r="C5143" t="s">
        <v>597</v>
      </c>
      <c r="D5143">
        <v>735.68</v>
      </c>
      <c r="E5143" s="37" t="str">
        <f t="shared" si="400"/>
        <v xml:space="preserve"> </v>
      </c>
      <c r="F5143">
        <v>0.3</v>
      </c>
      <c r="G5143" s="37" t="str">
        <f t="shared" si="401"/>
        <v>Normal Discount</v>
      </c>
      <c r="H5143" s="37" t="str">
        <f t="shared" si="402"/>
        <v>Medium</v>
      </c>
      <c r="I5143">
        <v>4</v>
      </c>
      <c r="J5143" t="str" cm="1">
        <f t="array" ref="J5143">_xlfn.IFS(I5143&lt;=3,"small",I5143&lt;=6,"Medium",I5143&lt;=9,"Large")</f>
        <v>Medium</v>
      </c>
      <c r="K5143" s="36">
        <v>44969</v>
      </c>
      <c r="L5143" s="36">
        <v>44975</v>
      </c>
      <c r="M5143" t="s">
        <v>612</v>
      </c>
      <c r="N5143" t="s">
        <v>604</v>
      </c>
      <c r="O5143" s="37" t="str">
        <f t="shared" si="403"/>
        <v>Digital Payment</v>
      </c>
      <c r="P5143">
        <v>111.09</v>
      </c>
      <c r="Q5143" s="37" t="str">
        <f>IF(P5143&gt;500,"High","low")</f>
        <v>low</v>
      </c>
      <c r="R5143" s="37" t="str">
        <f t="shared" si="404"/>
        <v>AVERAGE</v>
      </c>
      <c r="S5143" t="s">
        <v>628</v>
      </c>
    </row>
    <row r="5144" spans="1:19" x14ac:dyDescent="0.2">
      <c r="A5144" t="s">
        <v>5755</v>
      </c>
      <c r="B5144" t="s">
        <v>90</v>
      </c>
      <c r="C5144" t="s">
        <v>607</v>
      </c>
      <c r="D5144">
        <v>966.64</v>
      </c>
      <c r="E5144" s="37" t="str">
        <f t="shared" si="400"/>
        <v xml:space="preserve"> </v>
      </c>
      <c r="F5144">
        <v>0.37</v>
      </c>
      <c r="G5144" s="37" t="str">
        <f t="shared" si="401"/>
        <v>Heavy Discount</v>
      </c>
      <c r="H5144" s="37" t="str">
        <f t="shared" si="402"/>
        <v>Medium</v>
      </c>
      <c r="I5144">
        <v>9</v>
      </c>
      <c r="J5144" t="str" cm="1">
        <f t="array" ref="J5144">_xlfn.IFS(I5144&lt;=3,"small",I5144&lt;=6,"Medium",I5144&lt;=9,"Large")</f>
        <v>Large</v>
      </c>
      <c r="K5144" s="36">
        <v>45142</v>
      </c>
      <c r="L5144" s="36">
        <v>45146</v>
      </c>
      <c r="M5144" t="s">
        <v>603</v>
      </c>
      <c r="N5144" t="s">
        <v>599</v>
      </c>
      <c r="O5144" s="37" t="str">
        <f t="shared" si="403"/>
        <v>Digital Payment</v>
      </c>
      <c r="P5144">
        <v>213.84</v>
      </c>
      <c r="Q5144" s="37" t="str">
        <f>IF(P5144&gt;500,"High","low")</f>
        <v>low</v>
      </c>
      <c r="R5144" s="37" t="str">
        <f t="shared" si="404"/>
        <v>AVERAGE</v>
      </c>
      <c r="S5144" t="s">
        <v>615</v>
      </c>
    </row>
    <row r="5145" spans="1:19" x14ac:dyDescent="0.2">
      <c r="A5145" t="s">
        <v>5756</v>
      </c>
      <c r="B5145" t="s">
        <v>83</v>
      </c>
      <c r="C5145" t="s">
        <v>607</v>
      </c>
      <c r="D5145">
        <v>747.7</v>
      </c>
      <c r="E5145" s="37" t="str">
        <f t="shared" si="400"/>
        <v xml:space="preserve"> </v>
      </c>
      <c r="F5145">
        <v>0.4</v>
      </c>
      <c r="G5145" s="37" t="str">
        <f t="shared" si="401"/>
        <v>Heavy Discount</v>
      </c>
      <c r="H5145" s="37" t="str">
        <f t="shared" si="402"/>
        <v>Medium</v>
      </c>
      <c r="I5145">
        <v>1</v>
      </c>
      <c r="J5145" t="str" cm="1">
        <f t="array" ref="J5145">_xlfn.IFS(I5145&lt;=3,"small",I5145&lt;=6,"Medium",I5145&lt;=9,"Large")</f>
        <v>small</v>
      </c>
      <c r="K5145" s="36">
        <v>45189</v>
      </c>
      <c r="L5145" s="36">
        <v>45192</v>
      </c>
      <c r="M5145" t="s">
        <v>603</v>
      </c>
      <c r="N5145" t="s">
        <v>608</v>
      </c>
      <c r="O5145" s="37" t="str">
        <f t="shared" si="403"/>
        <v>Cash Payment</v>
      </c>
      <c r="P5145">
        <v>97.28</v>
      </c>
      <c r="Q5145" s="37" t="str">
        <f>IF(P5145&gt;500,"High","low")</f>
        <v>low</v>
      </c>
      <c r="R5145" s="37" t="str">
        <f t="shared" si="404"/>
        <v>AVERAGE</v>
      </c>
      <c r="S5145" t="s">
        <v>600</v>
      </c>
    </row>
    <row r="5146" spans="1:19" x14ac:dyDescent="0.2">
      <c r="A5146" t="s">
        <v>5757</v>
      </c>
      <c r="B5146" t="s">
        <v>75</v>
      </c>
      <c r="C5146" t="s">
        <v>602</v>
      </c>
      <c r="D5146">
        <v>1607.52</v>
      </c>
      <c r="E5146" s="37" t="str">
        <f t="shared" si="400"/>
        <v xml:space="preserve"> </v>
      </c>
      <c r="F5146">
        <v>0.45</v>
      </c>
      <c r="G5146" s="37" t="str">
        <f t="shared" si="401"/>
        <v>Heavy Discount</v>
      </c>
      <c r="H5146" s="37" t="str">
        <f t="shared" si="402"/>
        <v>High</v>
      </c>
      <c r="I5146">
        <v>9</v>
      </c>
      <c r="J5146" t="str" cm="1">
        <f t="array" ref="J5146">_xlfn.IFS(I5146&lt;=3,"small",I5146&lt;=6,"Medium",I5146&lt;=9,"Large")</f>
        <v>Large</v>
      </c>
      <c r="K5146" s="36">
        <v>45013</v>
      </c>
      <c r="L5146" s="36">
        <v>45015</v>
      </c>
      <c r="M5146" t="s">
        <v>612</v>
      </c>
      <c r="N5146" t="s">
        <v>599</v>
      </c>
      <c r="O5146" s="37" t="str">
        <f t="shared" si="403"/>
        <v>Digital Payment</v>
      </c>
      <c r="P5146">
        <v>271.44</v>
      </c>
      <c r="Q5146" s="37" t="str">
        <f>IF(P5146&gt;500,"High","low")</f>
        <v>low</v>
      </c>
      <c r="R5146" s="37" t="str">
        <f t="shared" si="404"/>
        <v>AVERAGE</v>
      </c>
      <c r="S5146" t="s">
        <v>605</v>
      </c>
    </row>
    <row r="5147" spans="1:19" x14ac:dyDescent="0.2">
      <c r="A5147" t="s">
        <v>5758</v>
      </c>
      <c r="B5147" t="s">
        <v>90</v>
      </c>
      <c r="C5147" t="s">
        <v>617</v>
      </c>
      <c r="D5147">
        <v>1959.53</v>
      </c>
      <c r="E5147" s="37" t="str">
        <f t="shared" si="400"/>
        <v xml:space="preserve"> </v>
      </c>
      <c r="F5147">
        <v>0.15</v>
      </c>
      <c r="G5147" s="37" t="str">
        <f t="shared" si="401"/>
        <v>Normal Discount</v>
      </c>
      <c r="H5147" s="37" t="str">
        <f t="shared" si="402"/>
        <v>Low</v>
      </c>
      <c r="I5147">
        <v>8</v>
      </c>
      <c r="J5147" t="str" cm="1">
        <f t="array" ref="J5147">_xlfn.IFS(I5147&lt;=3,"small",I5147&lt;=6,"Medium",I5147&lt;=9,"Large")</f>
        <v>Large</v>
      </c>
      <c r="K5147" s="36">
        <v>45044</v>
      </c>
      <c r="L5147" s="36">
        <v>45045</v>
      </c>
      <c r="M5147" t="s">
        <v>603</v>
      </c>
      <c r="N5147" t="s">
        <v>599</v>
      </c>
      <c r="O5147" s="37" t="str">
        <f t="shared" si="403"/>
        <v>Digital Payment</v>
      </c>
      <c r="P5147">
        <v>112.72</v>
      </c>
      <c r="Q5147" s="37" t="str">
        <f>IF(P5147&gt;500,"High","low")</f>
        <v>low</v>
      </c>
      <c r="R5147" s="37" t="str">
        <f t="shared" si="404"/>
        <v>AVERAGE</v>
      </c>
      <c r="S5147" t="s">
        <v>605</v>
      </c>
    </row>
    <row r="5148" spans="1:19" x14ac:dyDescent="0.2">
      <c r="A5148" t="s">
        <v>5759</v>
      </c>
      <c r="B5148" t="s">
        <v>75</v>
      </c>
      <c r="C5148" t="s">
        <v>614</v>
      </c>
      <c r="D5148">
        <v>4004.51</v>
      </c>
      <c r="E5148" s="37" t="str">
        <f t="shared" si="400"/>
        <v xml:space="preserve"> </v>
      </c>
      <c r="F5148">
        <v>0.24</v>
      </c>
      <c r="G5148" s="37" t="str">
        <f t="shared" si="401"/>
        <v>Normal Discount</v>
      </c>
      <c r="H5148" s="37" t="str">
        <f t="shared" si="402"/>
        <v>Medium</v>
      </c>
      <c r="I5148">
        <v>2</v>
      </c>
      <c r="J5148" t="str" cm="1">
        <f t="array" ref="J5148">_xlfn.IFS(I5148&lt;=3,"small",I5148&lt;=6,"Medium",I5148&lt;=9,"Large")</f>
        <v>small</v>
      </c>
      <c r="K5148" s="36">
        <v>44945</v>
      </c>
      <c r="L5148" s="36">
        <v>44952</v>
      </c>
      <c r="M5148" t="s">
        <v>603</v>
      </c>
      <c r="N5148" t="s">
        <v>608</v>
      </c>
      <c r="O5148" s="37" t="str">
        <f t="shared" si="403"/>
        <v>Cash Payment</v>
      </c>
      <c r="P5148">
        <v>403.69</v>
      </c>
      <c r="Q5148" s="37" t="str">
        <f>IF(P5148&gt;500,"High","low")</f>
        <v>low</v>
      </c>
      <c r="R5148" s="37" t="str">
        <f t="shared" si="404"/>
        <v>AVERAGE</v>
      </c>
      <c r="S5148" t="s">
        <v>600</v>
      </c>
    </row>
    <row r="5149" spans="1:19" x14ac:dyDescent="0.2">
      <c r="A5149" t="s">
        <v>5760</v>
      </c>
      <c r="B5149" t="s">
        <v>90</v>
      </c>
      <c r="C5149" t="s">
        <v>617</v>
      </c>
      <c r="D5149">
        <v>1037.1400000000001</v>
      </c>
      <c r="E5149" s="37" t="str">
        <f t="shared" si="400"/>
        <v xml:space="preserve"> </v>
      </c>
      <c r="F5149">
        <v>0.34</v>
      </c>
      <c r="G5149" s="37" t="str">
        <f t="shared" si="401"/>
        <v>Heavy Discount</v>
      </c>
      <c r="H5149" s="37" t="str">
        <f t="shared" si="402"/>
        <v>Medium</v>
      </c>
      <c r="I5149">
        <v>7</v>
      </c>
      <c r="J5149" t="str" cm="1">
        <f t="array" ref="J5149">_xlfn.IFS(I5149&lt;=3,"small",I5149&lt;=6,"Medium",I5149&lt;=9,"Large")</f>
        <v>Large</v>
      </c>
      <c r="K5149" s="36">
        <v>44978</v>
      </c>
      <c r="L5149" s="36">
        <v>44979</v>
      </c>
      <c r="M5149" t="s">
        <v>603</v>
      </c>
      <c r="N5149" t="s">
        <v>604</v>
      </c>
      <c r="O5149" s="37" t="str">
        <f t="shared" si="403"/>
        <v>Digital Payment</v>
      </c>
      <c r="P5149">
        <v>73.010000000000005</v>
      </c>
      <c r="Q5149" s="37" t="str">
        <f>IF(P5149&gt;500,"High","low")</f>
        <v>low</v>
      </c>
      <c r="R5149" s="37" t="str">
        <f t="shared" si="404"/>
        <v>AVERAGE</v>
      </c>
      <c r="S5149" t="s">
        <v>605</v>
      </c>
    </row>
    <row r="5150" spans="1:19" x14ac:dyDescent="0.2">
      <c r="A5150" t="s">
        <v>5761</v>
      </c>
      <c r="B5150" t="s">
        <v>75</v>
      </c>
      <c r="C5150" t="s">
        <v>607</v>
      </c>
      <c r="D5150">
        <v>3654.29</v>
      </c>
      <c r="E5150" s="37" t="str">
        <f t="shared" si="400"/>
        <v xml:space="preserve"> </v>
      </c>
      <c r="F5150">
        <v>0.4</v>
      </c>
      <c r="G5150" s="37" t="str">
        <f t="shared" si="401"/>
        <v>Heavy Discount</v>
      </c>
      <c r="H5150" s="37" t="str">
        <f t="shared" si="402"/>
        <v>Medium</v>
      </c>
      <c r="I5150">
        <v>7</v>
      </c>
      <c r="J5150" t="str" cm="1">
        <f t="array" ref="J5150">_xlfn.IFS(I5150&lt;=3,"small",I5150&lt;=6,"Medium",I5150&lt;=9,"Large")</f>
        <v>Large</v>
      </c>
      <c r="K5150" s="36">
        <v>45432</v>
      </c>
      <c r="L5150" s="36">
        <v>45438</v>
      </c>
      <c r="M5150" t="s">
        <v>603</v>
      </c>
      <c r="N5150" t="s">
        <v>604</v>
      </c>
      <c r="O5150" s="37" t="str">
        <f t="shared" si="403"/>
        <v>Digital Payment</v>
      </c>
      <c r="P5150">
        <v>1069.45</v>
      </c>
      <c r="Q5150" s="37" t="str">
        <f>IF(P5150&gt;500,"High","low")</f>
        <v>High</v>
      </c>
      <c r="R5150" s="37" t="str">
        <f t="shared" si="404"/>
        <v>Excellent</v>
      </c>
      <c r="S5150" t="s">
        <v>605</v>
      </c>
    </row>
    <row r="5151" spans="1:19" x14ac:dyDescent="0.2">
      <c r="A5151" t="s">
        <v>5762</v>
      </c>
      <c r="B5151" t="s">
        <v>75</v>
      </c>
      <c r="C5151" t="s">
        <v>607</v>
      </c>
      <c r="D5151">
        <v>2507.02</v>
      </c>
      <c r="E5151" s="37" t="str">
        <f t="shared" si="400"/>
        <v xml:space="preserve"> </v>
      </c>
      <c r="F5151">
        <v>0.28999999999999998</v>
      </c>
      <c r="G5151" s="37" t="str">
        <f t="shared" si="401"/>
        <v>Normal Discount</v>
      </c>
      <c r="H5151" s="37" t="str">
        <f t="shared" si="402"/>
        <v>Medium</v>
      </c>
      <c r="I5151">
        <v>2</v>
      </c>
      <c r="J5151" t="str" cm="1">
        <f t="array" ref="J5151">_xlfn.IFS(I5151&lt;=3,"small",I5151&lt;=6,"Medium",I5151&lt;=9,"Large")</f>
        <v>small</v>
      </c>
      <c r="K5151" s="36">
        <v>45431</v>
      </c>
      <c r="L5151" s="36">
        <v>45438</v>
      </c>
      <c r="M5151" t="s">
        <v>598</v>
      </c>
      <c r="N5151" t="s">
        <v>604</v>
      </c>
      <c r="O5151" s="37" t="str">
        <f t="shared" si="403"/>
        <v>Digital Payment</v>
      </c>
      <c r="P5151">
        <v>591.89</v>
      </c>
      <c r="Q5151" s="37" t="str">
        <f>IF(P5151&gt;500,"High","low")</f>
        <v>High</v>
      </c>
      <c r="R5151" s="37" t="str">
        <f t="shared" si="404"/>
        <v>Good</v>
      </c>
      <c r="S5151" t="s">
        <v>600</v>
      </c>
    </row>
    <row r="5152" spans="1:19" x14ac:dyDescent="0.2">
      <c r="A5152" t="s">
        <v>5763</v>
      </c>
      <c r="B5152" t="s">
        <v>75</v>
      </c>
      <c r="C5152" t="s">
        <v>617</v>
      </c>
      <c r="D5152">
        <v>4998.33</v>
      </c>
      <c r="E5152" s="37" t="str">
        <f t="shared" si="400"/>
        <v>Excellent Order</v>
      </c>
      <c r="F5152">
        <v>0.26</v>
      </c>
      <c r="G5152" s="37" t="str">
        <f t="shared" si="401"/>
        <v>Normal Discount</v>
      </c>
      <c r="H5152" s="37" t="str">
        <f t="shared" si="402"/>
        <v>Medium</v>
      </c>
      <c r="I5152">
        <v>8</v>
      </c>
      <c r="J5152" t="str" cm="1">
        <f t="array" ref="J5152">_xlfn.IFS(I5152&lt;=3,"small",I5152&lt;=6,"Medium",I5152&lt;=9,"Large")</f>
        <v>Large</v>
      </c>
      <c r="K5152" s="36">
        <v>45060</v>
      </c>
      <c r="L5152" s="36">
        <v>45062</v>
      </c>
      <c r="M5152" t="s">
        <v>603</v>
      </c>
      <c r="N5152" t="s">
        <v>608</v>
      </c>
      <c r="O5152" s="37" t="str">
        <f t="shared" si="403"/>
        <v>Cash Payment</v>
      </c>
      <c r="P5152">
        <v>1066.33</v>
      </c>
      <c r="Q5152" s="37" t="str">
        <f>IF(P5152&gt;500,"High","low")</f>
        <v>High</v>
      </c>
      <c r="R5152" s="37" t="str">
        <f t="shared" si="404"/>
        <v>Excellent</v>
      </c>
      <c r="S5152" t="s">
        <v>609</v>
      </c>
    </row>
    <row r="5153" spans="1:19" x14ac:dyDescent="0.2">
      <c r="A5153" t="s">
        <v>5764</v>
      </c>
      <c r="B5153" t="s">
        <v>83</v>
      </c>
      <c r="C5153" t="s">
        <v>607</v>
      </c>
      <c r="D5153">
        <v>3905.25</v>
      </c>
      <c r="E5153" s="37" t="str">
        <f t="shared" si="400"/>
        <v xml:space="preserve"> </v>
      </c>
      <c r="F5153">
        <v>0.35</v>
      </c>
      <c r="G5153" s="37" t="str">
        <f t="shared" si="401"/>
        <v>Heavy Discount</v>
      </c>
      <c r="H5153" s="37" t="str">
        <f t="shared" si="402"/>
        <v>Medium</v>
      </c>
      <c r="I5153">
        <v>6</v>
      </c>
      <c r="J5153" t="str" cm="1">
        <f t="array" ref="J5153">_xlfn.IFS(I5153&lt;=3,"small",I5153&lt;=6,"Medium",I5153&lt;=9,"Large")</f>
        <v>Medium</v>
      </c>
      <c r="K5153" s="36">
        <v>45137</v>
      </c>
      <c r="L5153" s="36">
        <v>45143</v>
      </c>
      <c r="M5153" t="s">
        <v>612</v>
      </c>
      <c r="N5153" t="s">
        <v>599</v>
      </c>
      <c r="O5153" s="37" t="str">
        <f t="shared" si="403"/>
        <v>Digital Payment</v>
      </c>
      <c r="P5153">
        <v>197.33</v>
      </c>
      <c r="Q5153" s="37" t="str">
        <f>IF(P5153&gt;500,"High","low")</f>
        <v>low</v>
      </c>
      <c r="R5153" s="37" t="str">
        <f t="shared" si="404"/>
        <v>AVERAGE</v>
      </c>
      <c r="S5153" t="s">
        <v>605</v>
      </c>
    </row>
    <row r="5154" spans="1:19" x14ac:dyDescent="0.2">
      <c r="A5154" t="s">
        <v>5765</v>
      </c>
      <c r="B5154" t="s">
        <v>75</v>
      </c>
      <c r="C5154" t="s">
        <v>597</v>
      </c>
      <c r="D5154">
        <v>4847.87</v>
      </c>
      <c r="E5154" s="37" t="str">
        <f t="shared" si="400"/>
        <v>Excellent Order</v>
      </c>
      <c r="F5154">
        <v>0.19</v>
      </c>
      <c r="G5154" s="37" t="str">
        <f t="shared" si="401"/>
        <v>Normal Discount</v>
      </c>
      <c r="H5154" s="37" t="str">
        <f t="shared" si="402"/>
        <v>Low</v>
      </c>
      <c r="I5154">
        <v>6</v>
      </c>
      <c r="J5154" t="str" cm="1">
        <f t="array" ref="J5154">_xlfn.IFS(I5154&lt;=3,"small",I5154&lt;=6,"Medium",I5154&lt;=9,"Large")</f>
        <v>Medium</v>
      </c>
      <c r="K5154" s="36">
        <v>45242</v>
      </c>
      <c r="L5154" s="36">
        <v>45249</v>
      </c>
      <c r="M5154" t="s">
        <v>612</v>
      </c>
      <c r="N5154" t="s">
        <v>608</v>
      </c>
      <c r="O5154" s="37" t="str">
        <f t="shared" si="403"/>
        <v>Cash Payment</v>
      </c>
      <c r="P5154">
        <v>807.78</v>
      </c>
      <c r="Q5154" s="37" t="str">
        <f>IF(P5154&gt;500,"High","low")</f>
        <v>High</v>
      </c>
      <c r="R5154" s="37" t="str">
        <f t="shared" si="404"/>
        <v>Good</v>
      </c>
      <c r="S5154" t="s">
        <v>620</v>
      </c>
    </row>
    <row r="5155" spans="1:19" x14ac:dyDescent="0.2">
      <c r="A5155" t="s">
        <v>5766</v>
      </c>
      <c r="B5155" t="s">
        <v>75</v>
      </c>
      <c r="C5155" t="s">
        <v>607</v>
      </c>
      <c r="D5155">
        <v>1777.52</v>
      </c>
      <c r="E5155" s="37" t="str">
        <f t="shared" si="400"/>
        <v xml:space="preserve"> </v>
      </c>
      <c r="F5155">
        <v>0.45</v>
      </c>
      <c r="G5155" s="37" t="str">
        <f t="shared" si="401"/>
        <v>Heavy Discount</v>
      </c>
      <c r="H5155" s="37" t="str">
        <f t="shared" si="402"/>
        <v>High</v>
      </c>
      <c r="I5155">
        <v>5</v>
      </c>
      <c r="J5155" t="str" cm="1">
        <f t="array" ref="J5155">_xlfn.IFS(I5155&lt;=3,"small",I5155&lt;=6,"Medium",I5155&lt;=9,"Large")</f>
        <v>Medium</v>
      </c>
      <c r="K5155" s="36">
        <v>45401</v>
      </c>
      <c r="L5155" s="36">
        <v>45404</v>
      </c>
      <c r="M5155" t="s">
        <v>603</v>
      </c>
      <c r="N5155" t="s">
        <v>608</v>
      </c>
      <c r="O5155" s="37" t="str">
        <f t="shared" si="403"/>
        <v>Cash Payment</v>
      </c>
      <c r="P5155">
        <v>403.53</v>
      </c>
      <c r="Q5155" s="37" t="str">
        <f>IF(P5155&gt;500,"High","low")</f>
        <v>low</v>
      </c>
      <c r="R5155" s="37" t="str">
        <f t="shared" si="404"/>
        <v>AVERAGE</v>
      </c>
      <c r="S5155" t="s">
        <v>620</v>
      </c>
    </row>
    <row r="5156" spans="1:19" x14ac:dyDescent="0.2">
      <c r="A5156" t="s">
        <v>5767</v>
      </c>
      <c r="B5156" t="s">
        <v>75</v>
      </c>
      <c r="C5156" t="s">
        <v>617</v>
      </c>
      <c r="D5156">
        <v>702.95</v>
      </c>
      <c r="E5156" s="37" t="str">
        <f t="shared" si="400"/>
        <v xml:space="preserve"> </v>
      </c>
      <c r="F5156">
        <v>0.11</v>
      </c>
      <c r="G5156" s="37" t="str">
        <f t="shared" si="401"/>
        <v>Normal Discount</v>
      </c>
      <c r="H5156" s="37" t="str">
        <f t="shared" si="402"/>
        <v>Low</v>
      </c>
      <c r="I5156">
        <v>8</v>
      </c>
      <c r="J5156" t="str" cm="1">
        <f t="array" ref="J5156">_xlfn.IFS(I5156&lt;=3,"small",I5156&lt;=6,"Medium",I5156&lt;=9,"Large")</f>
        <v>Large</v>
      </c>
      <c r="K5156" s="36">
        <v>45426</v>
      </c>
      <c r="L5156" s="36">
        <v>45428</v>
      </c>
      <c r="M5156" t="s">
        <v>598</v>
      </c>
      <c r="N5156" t="s">
        <v>599</v>
      </c>
      <c r="O5156" s="37" t="str">
        <f t="shared" si="403"/>
        <v>Digital Payment</v>
      </c>
      <c r="P5156">
        <v>142.05000000000001</v>
      </c>
      <c r="Q5156" s="37" t="str">
        <f>IF(P5156&gt;500,"High","low")</f>
        <v>low</v>
      </c>
      <c r="R5156" s="37" t="str">
        <f t="shared" si="404"/>
        <v>AVERAGE</v>
      </c>
      <c r="S5156" t="s">
        <v>600</v>
      </c>
    </row>
    <row r="5157" spans="1:19" x14ac:dyDescent="0.2">
      <c r="A5157" t="s">
        <v>5768</v>
      </c>
      <c r="B5157" t="s">
        <v>90</v>
      </c>
      <c r="C5157" t="s">
        <v>617</v>
      </c>
      <c r="D5157">
        <v>2578.89</v>
      </c>
      <c r="E5157" s="37" t="str">
        <f t="shared" si="400"/>
        <v xml:space="preserve"> </v>
      </c>
      <c r="F5157">
        <v>0.44</v>
      </c>
      <c r="G5157" s="37" t="str">
        <f t="shared" si="401"/>
        <v>Heavy Discount</v>
      </c>
      <c r="H5157" s="37" t="str">
        <f t="shared" si="402"/>
        <v>High</v>
      </c>
      <c r="I5157">
        <v>9</v>
      </c>
      <c r="J5157" t="str" cm="1">
        <f t="array" ref="J5157">_xlfn.IFS(I5157&lt;=3,"small",I5157&lt;=6,"Medium",I5157&lt;=9,"Large")</f>
        <v>Large</v>
      </c>
      <c r="K5157" s="36">
        <v>45275</v>
      </c>
      <c r="L5157" s="36">
        <v>45276</v>
      </c>
      <c r="M5157" t="s">
        <v>598</v>
      </c>
      <c r="N5157" t="s">
        <v>599</v>
      </c>
      <c r="O5157" s="37" t="str">
        <f t="shared" si="403"/>
        <v>Digital Payment</v>
      </c>
      <c r="P5157">
        <v>460.6</v>
      </c>
      <c r="Q5157" s="37" t="str">
        <f>IF(P5157&gt;500,"High","low")</f>
        <v>low</v>
      </c>
      <c r="R5157" s="37" t="str">
        <f t="shared" si="404"/>
        <v>AVERAGE</v>
      </c>
      <c r="S5157" t="s">
        <v>615</v>
      </c>
    </row>
    <row r="5158" spans="1:19" x14ac:dyDescent="0.2">
      <c r="A5158" t="s">
        <v>5769</v>
      </c>
      <c r="B5158" t="s">
        <v>75</v>
      </c>
      <c r="C5158" t="s">
        <v>617</v>
      </c>
      <c r="D5158">
        <v>708.77</v>
      </c>
      <c r="E5158" s="37" t="str">
        <f t="shared" si="400"/>
        <v xml:space="preserve"> </v>
      </c>
      <c r="F5158">
        <v>0.32</v>
      </c>
      <c r="G5158" s="37" t="str">
        <f t="shared" si="401"/>
        <v>Heavy Discount</v>
      </c>
      <c r="H5158" s="37" t="str">
        <f t="shared" si="402"/>
        <v>Medium</v>
      </c>
      <c r="I5158">
        <v>5</v>
      </c>
      <c r="J5158" t="str" cm="1">
        <f t="array" ref="J5158">_xlfn.IFS(I5158&lt;=3,"small",I5158&lt;=6,"Medium",I5158&lt;=9,"Large")</f>
        <v>Medium</v>
      </c>
      <c r="K5158" s="36">
        <v>45044</v>
      </c>
      <c r="L5158" s="36">
        <v>45051</v>
      </c>
      <c r="M5158" t="s">
        <v>598</v>
      </c>
      <c r="N5158" t="s">
        <v>599</v>
      </c>
      <c r="O5158" s="37" t="str">
        <f t="shared" si="403"/>
        <v>Digital Payment</v>
      </c>
      <c r="P5158">
        <v>182.39</v>
      </c>
      <c r="Q5158" s="37" t="str">
        <f>IF(P5158&gt;500,"High","low")</f>
        <v>low</v>
      </c>
      <c r="R5158" s="37" t="str">
        <f t="shared" si="404"/>
        <v>AVERAGE</v>
      </c>
      <c r="S5158" t="s">
        <v>628</v>
      </c>
    </row>
    <row r="5159" spans="1:19" x14ac:dyDescent="0.2">
      <c r="A5159" t="s">
        <v>5770</v>
      </c>
      <c r="B5159" t="s">
        <v>90</v>
      </c>
      <c r="C5159" t="s">
        <v>602</v>
      </c>
      <c r="D5159">
        <v>2513.0100000000002</v>
      </c>
      <c r="E5159" s="37" t="str">
        <f t="shared" si="400"/>
        <v xml:space="preserve"> </v>
      </c>
      <c r="F5159">
        <v>0.3</v>
      </c>
      <c r="G5159" s="37" t="str">
        <f t="shared" si="401"/>
        <v>Normal Discount</v>
      </c>
      <c r="H5159" s="37" t="str">
        <f t="shared" si="402"/>
        <v>Medium</v>
      </c>
      <c r="I5159">
        <v>1</v>
      </c>
      <c r="J5159" t="str" cm="1">
        <f t="array" ref="J5159">_xlfn.IFS(I5159&lt;=3,"small",I5159&lt;=6,"Medium",I5159&lt;=9,"Large")</f>
        <v>small</v>
      </c>
      <c r="K5159" s="36">
        <v>45578</v>
      </c>
      <c r="L5159" s="36">
        <v>45584</v>
      </c>
      <c r="M5159" t="s">
        <v>603</v>
      </c>
      <c r="N5159" t="s">
        <v>608</v>
      </c>
      <c r="O5159" s="37" t="str">
        <f t="shared" si="403"/>
        <v>Cash Payment</v>
      </c>
      <c r="P5159">
        <v>336.25</v>
      </c>
      <c r="Q5159" s="37" t="str">
        <f>IF(P5159&gt;500,"High","low")</f>
        <v>low</v>
      </c>
      <c r="R5159" s="37" t="str">
        <f t="shared" si="404"/>
        <v>AVERAGE</v>
      </c>
      <c r="S5159" t="s">
        <v>609</v>
      </c>
    </row>
    <row r="5160" spans="1:19" x14ac:dyDescent="0.2">
      <c r="A5160" t="s">
        <v>5771</v>
      </c>
      <c r="B5160" t="s">
        <v>75</v>
      </c>
      <c r="C5160" t="s">
        <v>602</v>
      </c>
      <c r="D5160">
        <v>1422.71</v>
      </c>
      <c r="E5160" s="37" t="str">
        <f t="shared" si="400"/>
        <v xml:space="preserve"> </v>
      </c>
      <c r="F5160">
        <v>0.23</v>
      </c>
      <c r="G5160" s="37" t="str">
        <f t="shared" si="401"/>
        <v>Normal Discount</v>
      </c>
      <c r="H5160" s="37" t="str">
        <f t="shared" si="402"/>
        <v>Medium</v>
      </c>
      <c r="I5160">
        <v>6</v>
      </c>
      <c r="J5160" t="str" cm="1">
        <f t="array" ref="J5160">_xlfn.IFS(I5160&lt;=3,"small",I5160&lt;=6,"Medium",I5160&lt;=9,"Large")</f>
        <v>Medium</v>
      </c>
      <c r="K5160" s="36">
        <v>45092</v>
      </c>
      <c r="L5160" s="36">
        <v>45096</v>
      </c>
      <c r="M5160" t="s">
        <v>612</v>
      </c>
      <c r="N5160" t="s">
        <v>599</v>
      </c>
      <c r="O5160" s="37" t="str">
        <f t="shared" si="403"/>
        <v>Digital Payment</v>
      </c>
      <c r="P5160">
        <v>369.51</v>
      </c>
      <c r="Q5160" s="37" t="str">
        <f>IF(P5160&gt;500,"High","low")</f>
        <v>low</v>
      </c>
      <c r="R5160" s="37" t="str">
        <f t="shared" si="404"/>
        <v>AVERAGE</v>
      </c>
      <c r="S5160" t="s">
        <v>605</v>
      </c>
    </row>
    <row r="5161" spans="1:19" x14ac:dyDescent="0.2">
      <c r="A5161" t="s">
        <v>5772</v>
      </c>
      <c r="B5161" t="s">
        <v>75</v>
      </c>
      <c r="C5161" t="s">
        <v>602</v>
      </c>
      <c r="D5161">
        <v>2506.13</v>
      </c>
      <c r="E5161" s="37" t="str">
        <f t="shared" si="400"/>
        <v xml:space="preserve"> </v>
      </c>
      <c r="F5161">
        <v>0.08</v>
      </c>
      <c r="G5161" s="37" t="str">
        <f t="shared" si="401"/>
        <v>Normal Discount</v>
      </c>
      <c r="H5161" s="37" t="str">
        <f t="shared" si="402"/>
        <v>Low</v>
      </c>
      <c r="I5161">
        <v>1</v>
      </c>
      <c r="J5161" t="str" cm="1">
        <f t="array" ref="J5161">_xlfn.IFS(I5161&lt;=3,"small",I5161&lt;=6,"Medium",I5161&lt;=9,"Large")</f>
        <v>small</v>
      </c>
      <c r="K5161" s="36">
        <v>45067</v>
      </c>
      <c r="L5161" s="36">
        <v>45070</v>
      </c>
      <c r="M5161" t="s">
        <v>603</v>
      </c>
      <c r="N5161" t="s">
        <v>604</v>
      </c>
      <c r="O5161" s="37" t="str">
        <f t="shared" si="403"/>
        <v>Digital Payment</v>
      </c>
      <c r="P5161">
        <v>368.58</v>
      </c>
      <c r="Q5161" s="37" t="str">
        <f>IF(P5161&gt;500,"High","low")</f>
        <v>low</v>
      </c>
      <c r="R5161" s="37" t="str">
        <f t="shared" si="404"/>
        <v>AVERAGE</v>
      </c>
      <c r="S5161" t="s">
        <v>620</v>
      </c>
    </row>
    <row r="5162" spans="1:19" x14ac:dyDescent="0.2">
      <c r="A5162" t="s">
        <v>5773</v>
      </c>
      <c r="B5162" t="s">
        <v>83</v>
      </c>
      <c r="C5162" t="s">
        <v>602</v>
      </c>
      <c r="D5162">
        <v>4753.22</v>
      </c>
      <c r="E5162" s="37" t="str">
        <f t="shared" si="400"/>
        <v>Excellent Order</v>
      </c>
      <c r="F5162">
        <v>0.43</v>
      </c>
      <c r="G5162" s="37" t="str">
        <f t="shared" si="401"/>
        <v>Heavy Discount</v>
      </c>
      <c r="H5162" s="37" t="str">
        <f t="shared" si="402"/>
        <v>High</v>
      </c>
      <c r="I5162">
        <v>5</v>
      </c>
      <c r="J5162" t="str" cm="1">
        <f t="array" ref="J5162">_xlfn.IFS(I5162&lt;=3,"small",I5162&lt;=6,"Medium",I5162&lt;=9,"Large")</f>
        <v>Medium</v>
      </c>
      <c r="K5162" s="36">
        <v>45434</v>
      </c>
      <c r="L5162" s="36">
        <v>45437</v>
      </c>
      <c r="M5162" t="s">
        <v>612</v>
      </c>
      <c r="N5162" t="s">
        <v>599</v>
      </c>
      <c r="O5162" s="37" t="str">
        <f t="shared" si="403"/>
        <v>Digital Payment</v>
      </c>
      <c r="P5162">
        <v>927.62</v>
      </c>
      <c r="Q5162" s="37" t="str">
        <f>IF(P5162&gt;500,"High","low")</f>
        <v>High</v>
      </c>
      <c r="R5162" s="37" t="str">
        <f t="shared" si="404"/>
        <v>Good</v>
      </c>
      <c r="S5162" t="s">
        <v>605</v>
      </c>
    </row>
    <row r="5163" spans="1:19" x14ac:dyDescent="0.2">
      <c r="A5163" t="s">
        <v>5774</v>
      </c>
      <c r="B5163" t="s">
        <v>90</v>
      </c>
      <c r="C5163" t="s">
        <v>602</v>
      </c>
      <c r="D5163">
        <v>1516.27</v>
      </c>
      <c r="E5163" s="37" t="str">
        <f t="shared" si="400"/>
        <v xml:space="preserve"> </v>
      </c>
      <c r="F5163">
        <v>0.03</v>
      </c>
      <c r="G5163" s="37" t="str">
        <f t="shared" si="401"/>
        <v>Normal Discount</v>
      </c>
      <c r="H5163" s="37" t="str">
        <f t="shared" si="402"/>
        <v>Low</v>
      </c>
      <c r="I5163">
        <v>6</v>
      </c>
      <c r="J5163" t="str" cm="1">
        <f t="array" ref="J5163">_xlfn.IFS(I5163&lt;=3,"small",I5163&lt;=6,"Medium",I5163&lt;=9,"Large")</f>
        <v>Medium</v>
      </c>
      <c r="K5163" s="36">
        <v>44954</v>
      </c>
      <c r="L5163" s="36">
        <v>44960</v>
      </c>
      <c r="M5163" t="s">
        <v>612</v>
      </c>
      <c r="N5163" t="s">
        <v>608</v>
      </c>
      <c r="O5163" s="37" t="str">
        <f t="shared" si="403"/>
        <v>Cash Payment</v>
      </c>
      <c r="P5163">
        <v>272.87</v>
      </c>
      <c r="Q5163" s="37" t="str">
        <f>IF(P5163&gt;500,"High","low")</f>
        <v>low</v>
      </c>
      <c r="R5163" s="37" t="str">
        <f t="shared" si="404"/>
        <v>AVERAGE</v>
      </c>
      <c r="S5163" t="s">
        <v>628</v>
      </c>
    </row>
    <row r="5164" spans="1:19" x14ac:dyDescent="0.2">
      <c r="A5164" t="s">
        <v>5775</v>
      </c>
      <c r="B5164" t="s">
        <v>75</v>
      </c>
      <c r="C5164" t="s">
        <v>602</v>
      </c>
      <c r="D5164">
        <v>4967.83</v>
      </c>
      <c r="E5164" s="37" t="str">
        <f t="shared" si="400"/>
        <v xml:space="preserve"> </v>
      </c>
      <c r="F5164">
        <v>0.13</v>
      </c>
      <c r="G5164" s="37" t="str">
        <f t="shared" si="401"/>
        <v>Normal Discount</v>
      </c>
      <c r="H5164" s="37" t="str">
        <f t="shared" si="402"/>
        <v>Low</v>
      </c>
      <c r="I5164">
        <v>3</v>
      </c>
      <c r="J5164" t="str" cm="1">
        <f t="array" ref="J5164">_xlfn.IFS(I5164&lt;=3,"small",I5164&lt;=6,"Medium",I5164&lt;=9,"Large")</f>
        <v>small</v>
      </c>
      <c r="K5164" s="36">
        <v>44931</v>
      </c>
      <c r="L5164" s="36">
        <v>44937</v>
      </c>
      <c r="M5164" t="s">
        <v>598</v>
      </c>
      <c r="N5164" t="s">
        <v>599</v>
      </c>
      <c r="O5164" s="37" t="str">
        <f t="shared" si="403"/>
        <v>Digital Payment</v>
      </c>
      <c r="P5164">
        <v>758.23</v>
      </c>
      <c r="Q5164" s="37" t="str">
        <f>IF(P5164&gt;500,"High","low")</f>
        <v>High</v>
      </c>
      <c r="R5164" s="37" t="str">
        <f t="shared" si="404"/>
        <v>Good</v>
      </c>
      <c r="S5164" t="s">
        <v>615</v>
      </c>
    </row>
    <row r="5165" spans="1:19" x14ac:dyDescent="0.2">
      <c r="A5165" t="s">
        <v>5776</v>
      </c>
      <c r="B5165" t="s">
        <v>90</v>
      </c>
      <c r="C5165" t="s">
        <v>602</v>
      </c>
      <c r="D5165">
        <v>1223.71</v>
      </c>
      <c r="E5165" s="37" t="str">
        <f t="shared" si="400"/>
        <v xml:space="preserve"> </v>
      </c>
      <c r="F5165">
        <v>0.05</v>
      </c>
      <c r="G5165" s="37" t="str">
        <f t="shared" si="401"/>
        <v>Normal Discount</v>
      </c>
      <c r="H5165" s="37" t="str">
        <f t="shared" si="402"/>
        <v>Low</v>
      </c>
      <c r="I5165">
        <v>1</v>
      </c>
      <c r="J5165" t="str" cm="1">
        <f t="array" ref="J5165">_xlfn.IFS(I5165&lt;=3,"small",I5165&lt;=6,"Medium",I5165&lt;=9,"Large")</f>
        <v>small</v>
      </c>
      <c r="K5165" s="36">
        <v>45100</v>
      </c>
      <c r="L5165" s="36">
        <v>45105</v>
      </c>
      <c r="M5165" t="s">
        <v>603</v>
      </c>
      <c r="N5165" t="s">
        <v>604</v>
      </c>
      <c r="O5165" s="37" t="str">
        <f t="shared" si="403"/>
        <v>Digital Payment</v>
      </c>
      <c r="P5165">
        <v>142.69999999999999</v>
      </c>
      <c r="Q5165" s="37" t="str">
        <f>IF(P5165&gt;500,"High","low")</f>
        <v>low</v>
      </c>
      <c r="R5165" s="37" t="str">
        <f t="shared" si="404"/>
        <v>AVERAGE</v>
      </c>
      <c r="S5165" t="s">
        <v>600</v>
      </c>
    </row>
    <row r="5166" spans="1:19" x14ac:dyDescent="0.2">
      <c r="A5166" t="s">
        <v>5777</v>
      </c>
      <c r="B5166" t="s">
        <v>90</v>
      </c>
      <c r="C5166" t="s">
        <v>617</v>
      </c>
      <c r="D5166">
        <v>1119.73</v>
      </c>
      <c r="E5166" s="37" t="str">
        <f t="shared" si="400"/>
        <v xml:space="preserve"> </v>
      </c>
      <c r="F5166">
        <v>0.05</v>
      </c>
      <c r="G5166" s="37" t="str">
        <f t="shared" si="401"/>
        <v>Normal Discount</v>
      </c>
      <c r="H5166" s="37" t="str">
        <f t="shared" si="402"/>
        <v>Low</v>
      </c>
      <c r="I5166">
        <v>2</v>
      </c>
      <c r="J5166" t="str" cm="1">
        <f t="array" ref="J5166">_xlfn.IFS(I5166&lt;=3,"small",I5166&lt;=6,"Medium",I5166&lt;=9,"Large")</f>
        <v>small</v>
      </c>
      <c r="K5166" s="36">
        <v>45081</v>
      </c>
      <c r="L5166" s="36">
        <v>45084</v>
      </c>
      <c r="M5166" t="s">
        <v>612</v>
      </c>
      <c r="N5166" t="s">
        <v>608</v>
      </c>
      <c r="O5166" s="37" t="str">
        <f t="shared" si="403"/>
        <v>Cash Payment</v>
      </c>
      <c r="P5166">
        <v>181.48</v>
      </c>
      <c r="Q5166" s="37" t="str">
        <f>IF(P5166&gt;500,"High","low")</f>
        <v>low</v>
      </c>
      <c r="R5166" s="37" t="str">
        <f t="shared" si="404"/>
        <v>AVERAGE</v>
      </c>
      <c r="S5166" t="s">
        <v>609</v>
      </c>
    </row>
    <row r="5167" spans="1:19" x14ac:dyDescent="0.2">
      <c r="A5167" t="s">
        <v>5778</v>
      </c>
      <c r="B5167" t="s">
        <v>67</v>
      </c>
      <c r="C5167" t="s">
        <v>614</v>
      </c>
      <c r="D5167">
        <v>2769.46</v>
      </c>
      <c r="E5167" s="37" t="str">
        <f t="shared" si="400"/>
        <v xml:space="preserve"> </v>
      </c>
      <c r="F5167">
        <v>0.2</v>
      </c>
      <c r="G5167" s="37" t="str">
        <f t="shared" si="401"/>
        <v>Normal Discount</v>
      </c>
      <c r="H5167" s="37" t="str">
        <f t="shared" si="402"/>
        <v>Medium</v>
      </c>
      <c r="I5167">
        <v>3</v>
      </c>
      <c r="J5167" t="str" cm="1">
        <f t="array" ref="J5167">_xlfn.IFS(I5167&lt;=3,"small",I5167&lt;=6,"Medium",I5167&lt;=9,"Large")</f>
        <v>small</v>
      </c>
      <c r="K5167" s="36">
        <v>45336</v>
      </c>
      <c r="L5167" s="36">
        <v>45341</v>
      </c>
      <c r="M5167" t="s">
        <v>612</v>
      </c>
      <c r="N5167" t="s">
        <v>599</v>
      </c>
      <c r="O5167" s="37" t="str">
        <f t="shared" si="403"/>
        <v>Digital Payment</v>
      </c>
      <c r="P5167">
        <v>222.46</v>
      </c>
      <c r="Q5167" s="37" t="str">
        <f>IF(P5167&gt;500,"High","low")</f>
        <v>low</v>
      </c>
      <c r="R5167" s="37" t="str">
        <f t="shared" si="404"/>
        <v>AVERAGE</v>
      </c>
      <c r="S5167" t="s">
        <v>615</v>
      </c>
    </row>
    <row r="5168" spans="1:19" x14ac:dyDescent="0.2">
      <c r="A5168" t="s">
        <v>5779</v>
      </c>
      <c r="B5168" t="s">
        <v>83</v>
      </c>
      <c r="C5168" t="s">
        <v>602</v>
      </c>
      <c r="D5168">
        <v>4226.0200000000004</v>
      </c>
      <c r="E5168" s="37" t="str">
        <f t="shared" si="400"/>
        <v xml:space="preserve"> </v>
      </c>
      <c r="F5168">
        <v>0.08</v>
      </c>
      <c r="G5168" s="37" t="str">
        <f t="shared" si="401"/>
        <v>Normal Discount</v>
      </c>
      <c r="H5168" s="37" t="str">
        <f t="shared" si="402"/>
        <v>Low</v>
      </c>
      <c r="I5168">
        <v>3</v>
      </c>
      <c r="J5168" t="str" cm="1">
        <f t="array" ref="J5168">_xlfn.IFS(I5168&lt;=3,"small",I5168&lt;=6,"Medium",I5168&lt;=9,"Large")</f>
        <v>small</v>
      </c>
      <c r="K5168" s="36">
        <v>44988</v>
      </c>
      <c r="L5168" s="36">
        <v>44993</v>
      </c>
      <c r="M5168" t="s">
        <v>612</v>
      </c>
      <c r="N5168" t="s">
        <v>599</v>
      </c>
      <c r="O5168" s="37" t="str">
        <f t="shared" si="403"/>
        <v>Digital Payment</v>
      </c>
      <c r="P5168">
        <v>574.88</v>
      </c>
      <c r="Q5168" s="37" t="str">
        <f>IF(P5168&gt;500,"High","low")</f>
        <v>High</v>
      </c>
      <c r="R5168" s="37" t="str">
        <f t="shared" si="404"/>
        <v>Good</v>
      </c>
      <c r="S5168" t="s">
        <v>620</v>
      </c>
    </row>
    <row r="5169" spans="1:19" x14ac:dyDescent="0.2">
      <c r="A5169" t="s">
        <v>5780</v>
      </c>
      <c r="B5169" t="s">
        <v>83</v>
      </c>
      <c r="C5169" t="s">
        <v>617</v>
      </c>
      <c r="D5169">
        <v>3772.57</v>
      </c>
      <c r="E5169" s="37" t="str">
        <f t="shared" si="400"/>
        <v xml:space="preserve"> </v>
      </c>
      <c r="F5169">
        <v>0.28999999999999998</v>
      </c>
      <c r="G5169" s="37" t="str">
        <f t="shared" si="401"/>
        <v>Normal Discount</v>
      </c>
      <c r="H5169" s="37" t="str">
        <f t="shared" si="402"/>
        <v>Medium</v>
      </c>
      <c r="I5169">
        <v>2</v>
      </c>
      <c r="J5169" t="str" cm="1">
        <f t="array" ref="J5169">_xlfn.IFS(I5169&lt;=3,"small",I5169&lt;=6,"Medium",I5169&lt;=9,"Large")</f>
        <v>small</v>
      </c>
      <c r="K5169" s="36">
        <v>45122</v>
      </c>
      <c r="L5169" s="36">
        <v>45126</v>
      </c>
      <c r="M5169" t="s">
        <v>612</v>
      </c>
      <c r="N5169" t="s">
        <v>599</v>
      </c>
      <c r="O5169" s="37" t="str">
        <f t="shared" si="403"/>
        <v>Digital Payment</v>
      </c>
      <c r="P5169">
        <v>735.42</v>
      </c>
      <c r="Q5169" s="37" t="str">
        <f>IF(P5169&gt;500,"High","low")</f>
        <v>High</v>
      </c>
      <c r="R5169" s="37" t="str">
        <f t="shared" si="404"/>
        <v>Good</v>
      </c>
      <c r="S5169" t="s">
        <v>600</v>
      </c>
    </row>
    <row r="5170" spans="1:19" x14ac:dyDescent="0.2">
      <c r="A5170" t="s">
        <v>5781</v>
      </c>
      <c r="B5170" t="s">
        <v>83</v>
      </c>
      <c r="C5170" t="s">
        <v>614</v>
      </c>
      <c r="D5170">
        <v>3645.33</v>
      </c>
      <c r="E5170" s="37" t="str">
        <f t="shared" si="400"/>
        <v xml:space="preserve"> </v>
      </c>
      <c r="F5170">
        <v>0.31</v>
      </c>
      <c r="G5170" s="37" t="str">
        <f t="shared" si="401"/>
        <v>Heavy Discount</v>
      </c>
      <c r="H5170" s="37" t="str">
        <f t="shared" si="402"/>
        <v>Medium</v>
      </c>
      <c r="I5170">
        <v>6</v>
      </c>
      <c r="J5170" t="str" cm="1">
        <f t="array" ref="J5170">_xlfn.IFS(I5170&lt;=3,"small",I5170&lt;=6,"Medium",I5170&lt;=9,"Large")</f>
        <v>Medium</v>
      </c>
      <c r="K5170" s="36">
        <v>45510</v>
      </c>
      <c r="L5170" s="36">
        <v>45515</v>
      </c>
      <c r="M5170" t="s">
        <v>612</v>
      </c>
      <c r="N5170" t="s">
        <v>604</v>
      </c>
      <c r="O5170" s="37" t="str">
        <f t="shared" si="403"/>
        <v>Digital Payment</v>
      </c>
      <c r="P5170">
        <v>238.5</v>
      </c>
      <c r="Q5170" s="37" t="str">
        <f>IF(P5170&gt;500,"High","low")</f>
        <v>low</v>
      </c>
      <c r="R5170" s="37" t="str">
        <f t="shared" si="404"/>
        <v>AVERAGE</v>
      </c>
      <c r="S5170" t="s">
        <v>628</v>
      </c>
    </row>
    <row r="5171" spans="1:19" x14ac:dyDescent="0.2">
      <c r="A5171" t="s">
        <v>5782</v>
      </c>
      <c r="B5171" t="s">
        <v>67</v>
      </c>
      <c r="C5171" t="s">
        <v>602</v>
      </c>
      <c r="D5171">
        <v>1484.9</v>
      </c>
      <c r="E5171" s="37" t="str">
        <f t="shared" si="400"/>
        <v xml:space="preserve"> </v>
      </c>
      <c r="F5171">
        <v>0.44</v>
      </c>
      <c r="G5171" s="37" t="str">
        <f t="shared" si="401"/>
        <v>Heavy Discount</v>
      </c>
      <c r="H5171" s="37" t="str">
        <f t="shared" si="402"/>
        <v>High</v>
      </c>
      <c r="I5171">
        <v>7</v>
      </c>
      <c r="J5171" t="str" cm="1">
        <f t="array" ref="J5171">_xlfn.IFS(I5171&lt;=3,"small",I5171&lt;=6,"Medium",I5171&lt;=9,"Large")</f>
        <v>Large</v>
      </c>
      <c r="K5171" s="36">
        <v>45016</v>
      </c>
      <c r="L5171" s="36">
        <v>45021</v>
      </c>
      <c r="M5171" t="s">
        <v>598</v>
      </c>
      <c r="N5171" t="s">
        <v>599</v>
      </c>
      <c r="O5171" s="37" t="str">
        <f t="shared" si="403"/>
        <v>Digital Payment</v>
      </c>
      <c r="P5171">
        <v>350.27</v>
      </c>
      <c r="Q5171" s="37" t="str">
        <f>IF(P5171&gt;500,"High","low")</f>
        <v>low</v>
      </c>
      <c r="R5171" s="37" t="str">
        <f t="shared" si="404"/>
        <v>AVERAGE</v>
      </c>
      <c r="S5171" t="s">
        <v>605</v>
      </c>
    </row>
    <row r="5172" spans="1:19" x14ac:dyDescent="0.2">
      <c r="A5172" t="s">
        <v>5783</v>
      </c>
      <c r="B5172" t="s">
        <v>67</v>
      </c>
      <c r="C5172" t="s">
        <v>614</v>
      </c>
      <c r="D5172">
        <v>210.33</v>
      </c>
      <c r="E5172" s="37" t="str">
        <f t="shared" si="400"/>
        <v xml:space="preserve"> </v>
      </c>
      <c r="F5172">
        <v>0.15</v>
      </c>
      <c r="G5172" s="37" t="str">
        <f t="shared" si="401"/>
        <v>Normal Discount</v>
      </c>
      <c r="H5172" s="37" t="str">
        <f t="shared" si="402"/>
        <v>Low</v>
      </c>
      <c r="I5172">
        <v>5</v>
      </c>
      <c r="J5172" t="str" cm="1">
        <f t="array" ref="J5172">_xlfn.IFS(I5172&lt;=3,"small",I5172&lt;=6,"Medium",I5172&lt;=9,"Large")</f>
        <v>Medium</v>
      </c>
      <c r="K5172" s="36">
        <v>45535</v>
      </c>
      <c r="L5172" s="36">
        <v>45540</v>
      </c>
      <c r="M5172" t="s">
        <v>598</v>
      </c>
      <c r="N5172" t="s">
        <v>599</v>
      </c>
      <c r="O5172" s="37" t="str">
        <f t="shared" si="403"/>
        <v>Digital Payment</v>
      </c>
      <c r="P5172">
        <v>40.35</v>
      </c>
      <c r="Q5172" s="37" t="str">
        <f>IF(P5172&gt;500,"High","low")</f>
        <v>low</v>
      </c>
      <c r="R5172" s="37" t="str">
        <f t="shared" si="404"/>
        <v>AVERAGE</v>
      </c>
      <c r="S5172" t="s">
        <v>600</v>
      </c>
    </row>
    <row r="5173" spans="1:19" x14ac:dyDescent="0.2">
      <c r="A5173" t="s">
        <v>5784</v>
      </c>
      <c r="B5173" t="s">
        <v>83</v>
      </c>
      <c r="C5173" t="s">
        <v>614</v>
      </c>
      <c r="D5173">
        <v>892.57</v>
      </c>
      <c r="E5173" s="37" t="str">
        <f t="shared" si="400"/>
        <v xml:space="preserve"> </v>
      </c>
      <c r="F5173">
        <v>0.15</v>
      </c>
      <c r="G5173" s="37" t="str">
        <f t="shared" si="401"/>
        <v>Normal Discount</v>
      </c>
      <c r="H5173" s="37" t="str">
        <f t="shared" si="402"/>
        <v>Low</v>
      </c>
      <c r="I5173">
        <v>7</v>
      </c>
      <c r="J5173" t="str" cm="1">
        <f t="array" ref="J5173">_xlfn.IFS(I5173&lt;=3,"small",I5173&lt;=6,"Medium",I5173&lt;=9,"Large")</f>
        <v>Large</v>
      </c>
      <c r="K5173" s="36">
        <v>45566</v>
      </c>
      <c r="L5173" s="36">
        <v>45571</v>
      </c>
      <c r="M5173" t="s">
        <v>612</v>
      </c>
      <c r="N5173" t="s">
        <v>608</v>
      </c>
      <c r="O5173" s="37" t="str">
        <f t="shared" si="403"/>
        <v>Cash Payment</v>
      </c>
      <c r="P5173">
        <v>259.95999999999998</v>
      </c>
      <c r="Q5173" s="37" t="str">
        <f>IF(P5173&gt;500,"High","low")</f>
        <v>low</v>
      </c>
      <c r="R5173" s="37" t="str">
        <f t="shared" si="404"/>
        <v>AVERAGE</v>
      </c>
      <c r="S5173" t="s">
        <v>620</v>
      </c>
    </row>
    <row r="5174" spans="1:19" x14ac:dyDescent="0.2">
      <c r="A5174" t="s">
        <v>5785</v>
      </c>
      <c r="B5174" t="s">
        <v>67</v>
      </c>
      <c r="C5174" t="s">
        <v>597</v>
      </c>
      <c r="D5174">
        <v>1812.42</v>
      </c>
      <c r="E5174" s="37" t="str">
        <f t="shared" si="400"/>
        <v xml:space="preserve"> </v>
      </c>
      <c r="F5174">
        <v>0.12</v>
      </c>
      <c r="G5174" s="37" t="str">
        <f t="shared" si="401"/>
        <v>Normal Discount</v>
      </c>
      <c r="H5174" s="37" t="str">
        <f t="shared" si="402"/>
        <v>Low</v>
      </c>
      <c r="I5174">
        <v>3</v>
      </c>
      <c r="J5174" t="str" cm="1">
        <f t="array" ref="J5174">_xlfn.IFS(I5174&lt;=3,"small",I5174&lt;=6,"Medium",I5174&lt;=9,"Large")</f>
        <v>small</v>
      </c>
      <c r="K5174" s="36">
        <v>45322</v>
      </c>
      <c r="L5174" s="36">
        <v>45327</v>
      </c>
      <c r="M5174" t="s">
        <v>603</v>
      </c>
      <c r="N5174" t="s">
        <v>604</v>
      </c>
      <c r="O5174" s="37" t="str">
        <f t="shared" si="403"/>
        <v>Digital Payment</v>
      </c>
      <c r="P5174">
        <v>131.81</v>
      </c>
      <c r="Q5174" s="37" t="str">
        <f>IF(P5174&gt;500,"High","low")</f>
        <v>low</v>
      </c>
      <c r="R5174" s="37" t="str">
        <f t="shared" si="404"/>
        <v>AVERAGE</v>
      </c>
      <c r="S5174" t="s">
        <v>609</v>
      </c>
    </row>
    <row r="5175" spans="1:19" x14ac:dyDescent="0.2">
      <c r="A5175" t="s">
        <v>5786</v>
      </c>
      <c r="B5175" t="s">
        <v>67</v>
      </c>
      <c r="C5175" t="s">
        <v>607</v>
      </c>
      <c r="D5175">
        <v>4861.25</v>
      </c>
      <c r="E5175" s="37" t="str">
        <f t="shared" si="400"/>
        <v xml:space="preserve"> </v>
      </c>
      <c r="F5175">
        <v>0.39</v>
      </c>
      <c r="G5175" s="37" t="str">
        <f t="shared" si="401"/>
        <v>Heavy Discount</v>
      </c>
      <c r="H5175" s="37" t="str">
        <f t="shared" si="402"/>
        <v>Medium</v>
      </c>
      <c r="I5175">
        <v>5</v>
      </c>
      <c r="J5175" t="str" cm="1">
        <f t="array" ref="J5175">_xlfn.IFS(I5175&lt;=3,"small",I5175&lt;=6,"Medium",I5175&lt;=9,"Large")</f>
        <v>Medium</v>
      </c>
      <c r="K5175" s="36">
        <v>45387</v>
      </c>
      <c r="L5175" s="36">
        <v>45389</v>
      </c>
      <c r="M5175" t="s">
        <v>612</v>
      </c>
      <c r="N5175" t="s">
        <v>599</v>
      </c>
      <c r="O5175" s="37" t="str">
        <f t="shared" si="403"/>
        <v>Digital Payment</v>
      </c>
      <c r="P5175">
        <v>518.58000000000004</v>
      </c>
      <c r="Q5175" s="37" t="str">
        <f>IF(P5175&gt;500,"High","low")</f>
        <v>High</v>
      </c>
      <c r="R5175" s="37" t="str">
        <f t="shared" si="404"/>
        <v>Good</v>
      </c>
      <c r="S5175" t="s">
        <v>628</v>
      </c>
    </row>
    <row r="5176" spans="1:19" x14ac:dyDescent="0.2">
      <c r="A5176" t="s">
        <v>5787</v>
      </c>
      <c r="B5176" t="s">
        <v>67</v>
      </c>
      <c r="C5176" t="s">
        <v>597</v>
      </c>
      <c r="D5176">
        <v>4606.91</v>
      </c>
      <c r="E5176" s="37" t="str">
        <f t="shared" si="400"/>
        <v>Excellent Order</v>
      </c>
      <c r="F5176">
        <v>0.21</v>
      </c>
      <c r="G5176" s="37" t="str">
        <f t="shared" si="401"/>
        <v>Normal Discount</v>
      </c>
      <c r="H5176" s="37" t="str">
        <f t="shared" si="402"/>
        <v>Medium</v>
      </c>
      <c r="I5176">
        <v>3</v>
      </c>
      <c r="J5176" t="str" cm="1">
        <f t="array" ref="J5176">_xlfn.IFS(I5176&lt;=3,"small",I5176&lt;=6,"Medium",I5176&lt;=9,"Large")</f>
        <v>small</v>
      </c>
      <c r="K5176" s="36">
        <v>45395</v>
      </c>
      <c r="L5176" s="36">
        <v>45400</v>
      </c>
      <c r="M5176" t="s">
        <v>603</v>
      </c>
      <c r="N5176" t="s">
        <v>608</v>
      </c>
      <c r="O5176" s="37" t="str">
        <f t="shared" si="403"/>
        <v>Cash Payment</v>
      </c>
      <c r="P5176">
        <v>850.12</v>
      </c>
      <c r="Q5176" s="37" t="str">
        <f>IF(P5176&gt;500,"High","low")</f>
        <v>High</v>
      </c>
      <c r="R5176" s="37" t="str">
        <f t="shared" si="404"/>
        <v>Good</v>
      </c>
      <c r="S5176" t="s">
        <v>615</v>
      </c>
    </row>
    <row r="5177" spans="1:19" x14ac:dyDescent="0.2">
      <c r="A5177" t="s">
        <v>5788</v>
      </c>
      <c r="B5177" t="s">
        <v>83</v>
      </c>
      <c r="C5177" t="s">
        <v>614</v>
      </c>
      <c r="D5177">
        <v>1083.1600000000001</v>
      </c>
      <c r="E5177" s="37" t="str">
        <f t="shared" si="400"/>
        <v xml:space="preserve"> </v>
      </c>
      <c r="F5177">
        <v>0.28000000000000003</v>
      </c>
      <c r="G5177" s="37" t="str">
        <f t="shared" si="401"/>
        <v>Normal Discount</v>
      </c>
      <c r="H5177" s="37" t="str">
        <f t="shared" si="402"/>
        <v>Medium</v>
      </c>
      <c r="I5177">
        <v>4</v>
      </c>
      <c r="J5177" t="str" cm="1">
        <f t="array" ref="J5177">_xlfn.IFS(I5177&lt;=3,"small",I5177&lt;=6,"Medium",I5177&lt;=9,"Large")</f>
        <v>Medium</v>
      </c>
      <c r="K5177" s="36">
        <v>45106</v>
      </c>
      <c r="L5177" s="36">
        <v>45112</v>
      </c>
      <c r="M5177" t="s">
        <v>612</v>
      </c>
      <c r="N5177" t="s">
        <v>604</v>
      </c>
      <c r="O5177" s="37" t="str">
        <f t="shared" si="403"/>
        <v>Digital Payment</v>
      </c>
      <c r="P5177">
        <v>185.5</v>
      </c>
      <c r="Q5177" s="37" t="str">
        <f>IF(P5177&gt;500,"High","low")</f>
        <v>low</v>
      </c>
      <c r="R5177" s="37" t="str">
        <f t="shared" si="404"/>
        <v>AVERAGE</v>
      </c>
      <c r="S5177" t="s">
        <v>605</v>
      </c>
    </row>
    <row r="5178" spans="1:19" x14ac:dyDescent="0.2">
      <c r="A5178" t="s">
        <v>5789</v>
      </c>
      <c r="B5178" t="s">
        <v>83</v>
      </c>
      <c r="C5178" t="s">
        <v>617</v>
      </c>
      <c r="D5178">
        <v>3655.55</v>
      </c>
      <c r="E5178" s="37" t="str">
        <f t="shared" si="400"/>
        <v xml:space="preserve"> </v>
      </c>
      <c r="F5178">
        <v>0.19</v>
      </c>
      <c r="G5178" s="37" t="str">
        <f t="shared" si="401"/>
        <v>Normal Discount</v>
      </c>
      <c r="H5178" s="37" t="str">
        <f t="shared" si="402"/>
        <v>Low</v>
      </c>
      <c r="I5178">
        <v>6</v>
      </c>
      <c r="J5178" t="str" cm="1">
        <f t="array" ref="J5178">_xlfn.IFS(I5178&lt;=3,"small",I5178&lt;=6,"Medium",I5178&lt;=9,"Large")</f>
        <v>Medium</v>
      </c>
      <c r="K5178" s="36">
        <v>45591</v>
      </c>
      <c r="L5178" s="36">
        <v>45593</v>
      </c>
      <c r="M5178" t="s">
        <v>598</v>
      </c>
      <c r="N5178" t="s">
        <v>608</v>
      </c>
      <c r="O5178" s="37" t="str">
        <f t="shared" si="403"/>
        <v>Cash Payment</v>
      </c>
      <c r="P5178">
        <v>638.25</v>
      </c>
      <c r="Q5178" s="37" t="str">
        <f>IF(P5178&gt;500,"High","low")</f>
        <v>High</v>
      </c>
      <c r="R5178" s="37" t="str">
        <f t="shared" si="404"/>
        <v>Good</v>
      </c>
      <c r="S5178" t="s">
        <v>620</v>
      </c>
    </row>
    <row r="5179" spans="1:19" x14ac:dyDescent="0.2">
      <c r="A5179" t="s">
        <v>5790</v>
      </c>
      <c r="B5179" t="s">
        <v>83</v>
      </c>
      <c r="C5179" t="s">
        <v>602</v>
      </c>
      <c r="D5179">
        <v>2937.18</v>
      </c>
      <c r="E5179" s="37" t="str">
        <f t="shared" si="400"/>
        <v xml:space="preserve"> </v>
      </c>
      <c r="F5179">
        <v>0.08</v>
      </c>
      <c r="G5179" s="37" t="str">
        <f t="shared" si="401"/>
        <v>Normal Discount</v>
      </c>
      <c r="H5179" s="37" t="str">
        <f t="shared" si="402"/>
        <v>Low</v>
      </c>
      <c r="I5179">
        <v>4</v>
      </c>
      <c r="J5179" t="str" cm="1">
        <f t="array" ref="J5179">_xlfn.IFS(I5179&lt;=3,"small",I5179&lt;=6,"Medium",I5179&lt;=9,"Large")</f>
        <v>Medium</v>
      </c>
      <c r="K5179" s="36">
        <v>44965</v>
      </c>
      <c r="L5179" s="36">
        <v>44967</v>
      </c>
      <c r="M5179" t="s">
        <v>598</v>
      </c>
      <c r="N5179" t="s">
        <v>604</v>
      </c>
      <c r="O5179" s="37" t="str">
        <f t="shared" si="403"/>
        <v>Digital Payment</v>
      </c>
      <c r="P5179">
        <v>397.86</v>
      </c>
      <c r="Q5179" s="37" t="str">
        <f>IF(P5179&gt;500,"High","low")</f>
        <v>low</v>
      </c>
      <c r="R5179" s="37" t="str">
        <f t="shared" si="404"/>
        <v>AVERAGE</v>
      </c>
      <c r="S5179" t="s">
        <v>620</v>
      </c>
    </row>
    <row r="5180" spans="1:19" x14ac:dyDescent="0.2">
      <c r="A5180" t="s">
        <v>5791</v>
      </c>
      <c r="B5180" t="s">
        <v>67</v>
      </c>
      <c r="C5180" t="s">
        <v>607</v>
      </c>
      <c r="D5180">
        <v>344.23</v>
      </c>
      <c r="E5180" s="37" t="str">
        <f t="shared" si="400"/>
        <v xml:space="preserve"> </v>
      </c>
      <c r="F5180">
        <v>0.05</v>
      </c>
      <c r="G5180" s="37" t="str">
        <f t="shared" si="401"/>
        <v>Normal Discount</v>
      </c>
      <c r="H5180" s="37" t="str">
        <f t="shared" si="402"/>
        <v>Low</v>
      </c>
      <c r="I5180">
        <v>4</v>
      </c>
      <c r="J5180" t="str" cm="1">
        <f t="array" ref="J5180">_xlfn.IFS(I5180&lt;=3,"small",I5180&lt;=6,"Medium",I5180&lt;=9,"Large")</f>
        <v>Medium</v>
      </c>
      <c r="K5180" s="36">
        <v>45633</v>
      </c>
      <c r="L5180" s="36">
        <v>45635</v>
      </c>
      <c r="M5180" t="s">
        <v>603</v>
      </c>
      <c r="N5180" t="s">
        <v>608</v>
      </c>
      <c r="O5180" s="37" t="str">
        <f t="shared" si="403"/>
        <v>Cash Payment</v>
      </c>
      <c r="P5180">
        <v>91.75</v>
      </c>
      <c r="Q5180" s="37" t="str">
        <f>IF(P5180&gt;500,"High","low")</f>
        <v>low</v>
      </c>
      <c r="R5180" s="37" t="str">
        <f t="shared" si="404"/>
        <v>AVERAGE</v>
      </c>
      <c r="S5180" t="s">
        <v>628</v>
      </c>
    </row>
    <row r="5181" spans="1:19" x14ac:dyDescent="0.2">
      <c r="A5181" t="s">
        <v>5792</v>
      </c>
      <c r="B5181" t="s">
        <v>83</v>
      </c>
      <c r="C5181" t="s">
        <v>602</v>
      </c>
      <c r="D5181">
        <v>1921.36</v>
      </c>
      <c r="E5181" s="37" t="str">
        <f t="shared" si="400"/>
        <v xml:space="preserve"> </v>
      </c>
      <c r="F5181">
        <v>0.43</v>
      </c>
      <c r="G5181" s="37" t="str">
        <f t="shared" si="401"/>
        <v>Heavy Discount</v>
      </c>
      <c r="H5181" s="37" t="str">
        <f t="shared" si="402"/>
        <v>High</v>
      </c>
      <c r="I5181">
        <v>7</v>
      </c>
      <c r="J5181" t="str" cm="1">
        <f t="array" ref="J5181">_xlfn.IFS(I5181&lt;=3,"small",I5181&lt;=6,"Medium",I5181&lt;=9,"Large")</f>
        <v>Large</v>
      </c>
      <c r="K5181" s="36">
        <v>45073</v>
      </c>
      <c r="L5181" s="36">
        <v>45079</v>
      </c>
      <c r="M5181" t="s">
        <v>612</v>
      </c>
      <c r="N5181" t="s">
        <v>608</v>
      </c>
      <c r="O5181" s="37" t="str">
        <f t="shared" si="403"/>
        <v>Cash Payment</v>
      </c>
      <c r="P5181">
        <v>120.72</v>
      </c>
      <c r="Q5181" s="37" t="str">
        <f>IF(P5181&gt;500,"High","low")</f>
        <v>low</v>
      </c>
      <c r="R5181" s="37" t="str">
        <f t="shared" si="404"/>
        <v>AVERAGE</v>
      </c>
      <c r="S5181" t="s">
        <v>600</v>
      </c>
    </row>
    <row r="5182" spans="1:19" x14ac:dyDescent="0.2">
      <c r="A5182" t="s">
        <v>5793</v>
      </c>
      <c r="B5182" t="s">
        <v>67</v>
      </c>
      <c r="C5182" t="s">
        <v>617</v>
      </c>
      <c r="D5182">
        <v>2481.7600000000002</v>
      </c>
      <c r="E5182" s="37" t="str">
        <f t="shared" si="400"/>
        <v xml:space="preserve"> </v>
      </c>
      <c r="F5182">
        <v>0.13</v>
      </c>
      <c r="G5182" s="37" t="str">
        <f t="shared" si="401"/>
        <v>Normal Discount</v>
      </c>
      <c r="H5182" s="37" t="str">
        <f t="shared" si="402"/>
        <v>Low</v>
      </c>
      <c r="I5182">
        <v>6</v>
      </c>
      <c r="J5182" t="str" cm="1">
        <f t="array" ref="J5182">_xlfn.IFS(I5182&lt;=3,"small",I5182&lt;=6,"Medium",I5182&lt;=9,"Large")</f>
        <v>Medium</v>
      </c>
      <c r="K5182" s="36">
        <v>45509</v>
      </c>
      <c r="L5182" s="36">
        <v>45512</v>
      </c>
      <c r="M5182" t="s">
        <v>612</v>
      </c>
      <c r="N5182" t="s">
        <v>599</v>
      </c>
      <c r="O5182" s="37" t="str">
        <f t="shared" si="403"/>
        <v>Digital Payment</v>
      </c>
      <c r="P5182">
        <v>665.31</v>
      </c>
      <c r="Q5182" s="37" t="str">
        <f>IF(P5182&gt;500,"High","low")</f>
        <v>High</v>
      </c>
      <c r="R5182" s="37" t="str">
        <f t="shared" si="404"/>
        <v>Good</v>
      </c>
      <c r="S5182" t="s">
        <v>609</v>
      </c>
    </row>
    <row r="5183" spans="1:19" x14ac:dyDescent="0.2">
      <c r="A5183" t="s">
        <v>5794</v>
      </c>
      <c r="B5183" t="s">
        <v>75</v>
      </c>
      <c r="C5183" t="s">
        <v>607</v>
      </c>
      <c r="D5183">
        <v>3371.11</v>
      </c>
      <c r="E5183" s="37" t="str">
        <f t="shared" si="400"/>
        <v xml:space="preserve"> </v>
      </c>
      <c r="F5183">
        <v>0.47</v>
      </c>
      <c r="G5183" s="37" t="str">
        <f t="shared" si="401"/>
        <v>Heavy Discount</v>
      </c>
      <c r="H5183" s="37" t="str">
        <f t="shared" si="402"/>
        <v>High</v>
      </c>
      <c r="I5183">
        <v>1</v>
      </c>
      <c r="J5183" t="str" cm="1">
        <f t="array" ref="J5183">_xlfn.IFS(I5183&lt;=3,"small",I5183&lt;=6,"Medium",I5183&lt;=9,"Large")</f>
        <v>small</v>
      </c>
      <c r="K5183" s="36">
        <v>45391</v>
      </c>
      <c r="L5183" s="36">
        <v>45393</v>
      </c>
      <c r="M5183" t="s">
        <v>598</v>
      </c>
      <c r="N5183" t="s">
        <v>608</v>
      </c>
      <c r="O5183" s="37" t="str">
        <f t="shared" si="403"/>
        <v>Cash Payment</v>
      </c>
      <c r="P5183">
        <v>822.78</v>
      </c>
      <c r="Q5183" s="37" t="str">
        <f>IF(P5183&gt;500,"High","low")</f>
        <v>High</v>
      </c>
      <c r="R5183" s="37" t="str">
        <f t="shared" si="404"/>
        <v>Good</v>
      </c>
      <c r="S5183" t="s">
        <v>600</v>
      </c>
    </row>
    <row r="5184" spans="1:19" x14ac:dyDescent="0.2">
      <c r="A5184" t="s">
        <v>5795</v>
      </c>
      <c r="B5184" t="s">
        <v>67</v>
      </c>
      <c r="C5184" t="s">
        <v>597</v>
      </c>
      <c r="D5184">
        <v>1545.04</v>
      </c>
      <c r="E5184" s="37" t="str">
        <f t="shared" si="400"/>
        <v xml:space="preserve"> </v>
      </c>
      <c r="F5184">
        <v>0.47</v>
      </c>
      <c r="G5184" s="37" t="str">
        <f t="shared" si="401"/>
        <v>Heavy Discount</v>
      </c>
      <c r="H5184" s="37" t="str">
        <f t="shared" si="402"/>
        <v>High</v>
      </c>
      <c r="I5184">
        <v>8</v>
      </c>
      <c r="J5184" t="str" cm="1">
        <f t="array" ref="J5184">_xlfn.IFS(I5184&lt;=3,"small",I5184&lt;=6,"Medium",I5184&lt;=9,"Large")</f>
        <v>Large</v>
      </c>
      <c r="K5184" s="36">
        <v>45003</v>
      </c>
      <c r="L5184" s="36">
        <v>45010</v>
      </c>
      <c r="M5184" t="s">
        <v>603</v>
      </c>
      <c r="N5184" t="s">
        <v>604</v>
      </c>
      <c r="O5184" s="37" t="str">
        <f t="shared" si="403"/>
        <v>Digital Payment</v>
      </c>
      <c r="P5184">
        <v>381.81</v>
      </c>
      <c r="Q5184" s="37" t="str">
        <f>IF(P5184&gt;500,"High","low")</f>
        <v>low</v>
      </c>
      <c r="R5184" s="37" t="str">
        <f t="shared" si="404"/>
        <v>AVERAGE</v>
      </c>
      <c r="S5184" t="s">
        <v>628</v>
      </c>
    </row>
    <row r="5185" spans="1:19" x14ac:dyDescent="0.2">
      <c r="A5185" t="s">
        <v>5796</v>
      </c>
      <c r="B5185" t="s">
        <v>90</v>
      </c>
      <c r="C5185" t="s">
        <v>614</v>
      </c>
      <c r="D5185">
        <v>4675.71</v>
      </c>
      <c r="E5185" s="37" t="str">
        <f t="shared" si="400"/>
        <v>Excellent Order</v>
      </c>
      <c r="F5185">
        <v>0.24</v>
      </c>
      <c r="G5185" s="37" t="str">
        <f t="shared" si="401"/>
        <v>Normal Discount</v>
      </c>
      <c r="H5185" s="37" t="str">
        <f t="shared" si="402"/>
        <v>Medium</v>
      </c>
      <c r="I5185">
        <v>1</v>
      </c>
      <c r="J5185" t="str" cm="1">
        <f t="array" ref="J5185">_xlfn.IFS(I5185&lt;=3,"small",I5185&lt;=6,"Medium",I5185&lt;=9,"Large")</f>
        <v>small</v>
      </c>
      <c r="K5185" s="36">
        <v>45382</v>
      </c>
      <c r="L5185" s="36">
        <v>45385</v>
      </c>
      <c r="M5185" t="s">
        <v>612</v>
      </c>
      <c r="N5185" t="s">
        <v>604</v>
      </c>
      <c r="O5185" s="37" t="str">
        <f t="shared" si="403"/>
        <v>Digital Payment</v>
      </c>
      <c r="P5185">
        <v>1297.8599999999999</v>
      </c>
      <c r="Q5185" s="37" t="str">
        <f>IF(P5185&gt;500,"High","low")</f>
        <v>High</v>
      </c>
      <c r="R5185" s="37" t="str">
        <f t="shared" si="404"/>
        <v>Excellent</v>
      </c>
      <c r="S5185" t="s">
        <v>628</v>
      </c>
    </row>
    <row r="5186" spans="1:19" x14ac:dyDescent="0.2">
      <c r="A5186" t="s">
        <v>5797</v>
      </c>
      <c r="B5186" t="s">
        <v>83</v>
      </c>
      <c r="C5186" t="s">
        <v>617</v>
      </c>
      <c r="D5186">
        <v>2314.21</v>
      </c>
      <c r="E5186" s="37" t="str">
        <f t="shared" si="400"/>
        <v xml:space="preserve"> </v>
      </c>
      <c r="F5186">
        <v>0.48</v>
      </c>
      <c r="G5186" s="37" t="str">
        <f t="shared" si="401"/>
        <v>Heavy Discount</v>
      </c>
      <c r="H5186" s="37" t="str">
        <f t="shared" si="402"/>
        <v>High</v>
      </c>
      <c r="I5186">
        <v>9</v>
      </c>
      <c r="J5186" t="str" cm="1">
        <f t="array" ref="J5186">_xlfn.IFS(I5186&lt;=3,"small",I5186&lt;=6,"Medium",I5186&lt;=9,"Large")</f>
        <v>Large</v>
      </c>
      <c r="K5186" s="36">
        <v>45355</v>
      </c>
      <c r="L5186" s="36">
        <v>45357</v>
      </c>
      <c r="M5186" t="s">
        <v>603</v>
      </c>
      <c r="N5186" t="s">
        <v>604</v>
      </c>
      <c r="O5186" s="37" t="str">
        <f t="shared" si="403"/>
        <v>Digital Payment</v>
      </c>
      <c r="P5186">
        <v>443.56</v>
      </c>
      <c r="Q5186" s="37" t="str">
        <f>IF(P5186&gt;500,"High","low")</f>
        <v>low</v>
      </c>
      <c r="R5186" s="37" t="str">
        <f t="shared" si="404"/>
        <v>AVERAGE</v>
      </c>
      <c r="S5186" t="s">
        <v>620</v>
      </c>
    </row>
    <row r="5187" spans="1:19" x14ac:dyDescent="0.2">
      <c r="A5187" t="s">
        <v>5798</v>
      </c>
      <c r="B5187" t="s">
        <v>83</v>
      </c>
      <c r="C5187" t="s">
        <v>614</v>
      </c>
      <c r="D5187">
        <v>1317.8</v>
      </c>
      <c r="E5187" s="37" t="str">
        <f t="shared" ref="E5187:E5250" si="405">IF(AND(D5187&gt;4000,P5187&gt;800),"Excellent Order"," ")</f>
        <v xml:space="preserve"> </v>
      </c>
      <c r="F5187">
        <v>0.01</v>
      </c>
      <c r="G5187" s="37" t="str">
        <f t="shared" ref="G5187:G5250" si="406">IF(F5187&gt;30%,"Heavy Discount","Normal Discount")</f>
        <v>Normal Discount</v>
      </c>
      <c r="H5187" s="37" t="str">
        <f t="shared" ref="H5187:H5250" si="407">IF(F5187&gt;0.4,"High",IF(F5187&gt;=0.2,"Medium","Low"))</f>
        <v>Low</v>
      </c>
      <c r="I5187">
        <v>4</v>
      </c>
      <c r="J5187" t="str" cm="1">
        <f t="array" ref="J5187">_xlfn.IFS(I5187&lt;=3,"small",I5187&lt;=6,"Medium",I5187&lt;=9,"Large")</f>
        <v>Medium</v>
      </c>
      <c r="K5187" s="36">
        <v>45056</v>
      </c>
      <c r="L5187" s="36">
        <v>45058</v>
      </c>
      <c r="M5187" t="s">
        <v>598</v>
      </c>
      <c r="N5187" t="s">
        <v>599</v>
      </c>
      <c r="O5187" s="37" t="str">
        <f t="shared" ref="O5187:O5250" si="408">IF(OR(N5187="Card",N5187="UPI"),"Digital Payment","Cash Payment")</f>
        <v>Digital Payment</v>
      </c>
      <c r="P5187">
        <v>351.14</v>
      </c>
      <c r="Q5187" s="37" t="str">
        <f>IF(P5187&gt;500,"High","low")</f>
        <v>low</v>
      </c>
      <c r="R5187" s="37" t="str">
        <f t="shared" ref="R5187:R5250" si="409">IF(P5187&gt;1000,"Excellent",IF(P5187&gt;=500,"Good","AVERAGE"))</f>
        <v>AVERAGE</v>
      </c>
      <c r="S5187" t="s">
        <v>609</v>
      </c>
    </row>
    <row r="5188" spans="1:19" x14ac:dyDescent="0.2">
      <c r="A5188" t="s">
        <v>5799</v>
      </c>
      <c r="B5188" t="s">
        <v>90</v>
      </c>
      <c r="C5188" t="s">
        <v>614</v>
      </c>
      <c r="D5188">
        <v>1650.5</v>
      </c>
      <c r="E5188" s="37" t="str">
        <f t="shared" si="405"/>
        <v xml:space="preserve"> </v>
      </c>
      <c r="F5188">
        <v>0.05</v>
      </c>
      <c r="G5188" s="37" t="str">
        <f t="shared" si="406"/>
        <v>Normal Discount</v>
      </c>
      <c r="H5188" s="37" t="str">
        <f t="shared" si="407"/>
        <v>Low</v>
      </c>
      <c r="I5188">
        <v>7</v>
      </c>
      <c r="J5188" t="str" cm="1">
        <f t="array" ref="J5188">_xlfn.IFS(I5188&lt;=3,"small",I5188&lt;=6,"Medium",I5188&lt;=9,"Large")</f>
        <v>Large</v>
      </c>
      <c r="K5188" s="36">
        <v>45249</v>
      </c>
      <c r="L5188" s="36">
        <v>45251</v>
      </c>
      <c r="M5188" t="s">
        <v>612</v>
      </c>
      <c r="N5188" t="s">
        <v>599</v>
      </c>
      <c r="O5188" s="37" t="str">
        <f t="shared" si="408"/>
        <v>Digital Payment</v>
      </c>
      <c r="P5188">
        <v>249.68</v>
      </c>
      <c r="Q5188" s="37" t="str">
        <f>IF(P5188&gt;500,"High","low")</f>
        <v>low</v>
      </c>
      <c r="R5188" s="37" t="str">
        <f t="shared" si="409"/>
        <v>AVERAGE</v>
      </c>
      <c r="S5188" t="s">
        <v>620</v>
      </c>
    </row>
    <row r="5189" spans="1:19" x14ac:dyDescent="0.2">
      <c r="A5189" t="s">
        <v>5800</v>
      </c>
      <c r="B5189" t="s">
        <v>67</v>
      </c>
      <c r="C5189" t="s">
        <v>602</v>
      </c>
      <c r="D5189">
        <v>3784.24</v>
      </c>
      <c r="E5189" s="37" t="str">
        <f t="shared" si="405"/>
        <v xml:space="preserve"> </v>
      </c>
      <c r="F5189">
        <v>0.12</v>
      </c>
      <c r="G5189" s="37" t="str">
        <f t="shared" si="406"/>
        <v>Normal Discount</v>
      </c>
      <c r="H5189" s="37" t="str">
        <f t="shared" si="407"/>
        <v>Low</v>
      </c>
      <c r="I5189">
        <v>5</v>
      </c>
      <c r="J5189" t="str" cm="1">
        <f t="array" ref="J5189">_xlfn.IFS(I5189&lt;=3,"small",I5189&lt;=6,"Medium",I5189&lt;=9,"Large")</f>
        <v>Medium</v>
      </c>
      <c r="K5189" s="36">
        <v>45355</v>
      </c>
      <c r="L5189" s="36">
        <v>45359</v>
      </c>
      <c r="M5189" t="s">
        <v>612</v>
      </c>
      <c r="N5189" t="s">
        <v>604</v>
      </c>
      <c r="O5189" s="37" t="str">
        <f t="shared" si="408"/>
        <v>Digital Payment</v>
      </c>
      <c r="P5189">
        <v>836.58</v>
      </c>
      <c r="Q5189" s="37" t="str">
        <f>IF(P5189&gt;500,"High","low")</f>
        <v>High</v>
      </c>
      <c r="R5189" s="37" t="str">
        <f t="shared" si="409"/>
        <v>Good</v>
      </c>
      <c r="S5189" t="s">
        <v>620</v>
      </c>
    </row>
    <row r="5190" spans="1:19" x14ac:dyDescent="0.2">
      <c r="A5190" t="s">
        <v>5801</v>
      </c>
      <c r="B5190" t="s">
        <v>75</v>
      </c>
      <c r="C5190" t="s">
        <v>617</v>
      </c>
      <c r="D5190">
        <v>3237.4</v>
      </c>
      <c r="E5190" s="37" t="str">
        <f t="shared" si="405"/>
        <v xml:space="preserve"> </v>
      </c>
      <c r="F5190">
        <v>0.1</v>
      </c>
      <c r="G5190" s="37" t="str">
        <f t="shared" si="406"/>
        <v>Normal Discount</v>
      </c>
      <c r="H5190" s="37" t="str">
        <f t="shared" si="407"/>
        <v>Low</v>
      </c>
      <c r="I5190">
        <v>3</v>
      </c>
      <c r="J5190" t="str" cm="1">
        <f t="array" ref="J5190">_xlfn.IFS(I5190&lt;=3,"small",I5190&lt;=6,"Medium",I5190&lt;=9,"Large")</f>
        <v>small</v>
      </c>
      <c r="K5190" s="36">
        <v>45592</v>
      </c>
      <c r="L5190" s="36">
        <v>45595</v>
      </c>
      <c r="M5190" t="s">
        <v>603</v>
      </c>
      <c r="N5190" t="s">
        <v>608</v>
      </c>
      <c r="O5190" s="37" t="str">
        <f t="shared" si="408"/>
        <v>Cash Payment</v>
      </c>
      <c r="P5190">
        <v>408.56</v>
      </c>
      <c r="Q5190" s="37" t="str">
        <f>IF(P5190&gt;500,"High","low")</f>
        <v>low</v>
      </c>
      <c r="R5190" s="37" t="str">
        <f t="shared" si="409"/>
        <v>AVERAGE</v>
      </c>
      <c r="S5190" t="s">
        <v>620</v>
      </c>
    </row>
    <row r="5191" spans="1:19" x14ac:dyDescent="0.2">
      <c r="A5191" t="s">
        <v>5802</v>
      </c>
      <c r="B5191" t="s">
        <v>90</v>
      </c>
      <c r="C5191" t="s">
        <v>614</v>
      </c>
      <c r="D5191">
        <v>3736.67</v>
      </c>
      <c r="E5191" s="37" t="str">
        <f t="shared" si="405"/>
        <v xml:space="preserve"> </v>
      </c>
      <c r="F5191">
        <v>0.13</v>
      </c>
      <c r="G5191" s="37" t="str">
        <f t="shared" si="406"/>
        <v>Normal Discount</v>
      </c>
      <c r="H5191" s="37" t="str">
        <f t="shared" si="407"/>
        <v>Low</v>
      </c>
      <c r="I5191">
        <v>8</v>
      </c>
      <c r="J5191" t="str" cm="1">
        <f t="array" ref="J5191">_xlfn.IFS(I5191&lt;=3,"small",I5191&lt;=6,"Medium",I5191&lt;=9,"Large")</f>
        <v>Large</v>
      </c>
      <c r="K5191" s="36">
        <v>45455</v>
      </c>
      <c r="L5191" s="36">
        <v>45458</v>
      </c>
      <c r="M5191" t="s">
        <v>598</v>
      </c>
      <c r="N5191" t="s">
        <v>604</v>
      </c>
      <c r="O5191" s="37" t="str">
        <f t="shared" si="408"/>
        <v>Digital Payment</v>
      </c>
      <c r="P5191">
        <v>940.14</v>
      </c>
      <c r="Q5191" s="37" t="str">
        <f>IF(P5191&gt;500,"High","low")</f>
        <v>High</v>
      </c>
      <c r="R5191" s="37" t="str">
        <f t="shared" si="409"/>
        <v>Good</v>
      </c>
      <c r="S5191" t="s">
        <v>605</v>
      </c>
    </row>
    <row r="5192" spans="1:19" x14ac:dyDescent="0.2">
      <c r="A5192" t="s">
        <v>5803</v>
      </c>
      <c r="B5192" t="s">
        <v>90</v>
      </c>
      <c r="C5192" t="s">
        <v>597</v>
      </c>
      <c r="D5192">
        <v>1532.47</v>
      </c>
      <c r="E5192" s="37" t="str">
        <f t="shared" si="405"/>
        <v xml:space="preserve"> </v>
      </c>
      <c r="F5192">
        <v>0.23</v>
      </c>
      <c r="G5192" s="37" t="str">
        <f t="shared" si="406"/>
        <v>Normal Discount</v>
      </c>
      <c r="H5192" s="37" t="str">
        <f t="shared" si="407"/>
        <v>Medium</v>
      </c>
      <c r="I5192">
        <v>2</v>
      </c>
      <c r="J5192" t="str" cm="1">
        <f t="array" ref="J5192">_xlfn.IFS(I5192&lt;=3,"small",I5192&lt;=6,"Medium",I5192&lt;=9,"Large")</f>
        <v>small</v>
      </c>
      <c r="K5192" s="36">
        <v>45476</v>
      </c>
      <c r="L5192" s="36">
        <v>45480</v>
      </c>
      <c r="M5192" t="s">
        <v>598</v>
      </c>
      <c r="N5192" t="s">
        <v>608</v>
      </c>
      <c r="O5192" s="37" t="str">
        <f t="shared" si="408"/>
        <v>Cash Payment</v>
      </c>
      <c r="P5192">
        <v>89.91</v>
      </c>
      <c r="Q5192" s="37" t="str">
        <f>IF(P5192&gt;500,"High","low")</f>
        <v>low</v>
      </c>
      <c r="R5192" s="37" t="str">
        <f t="shared" si="409"/>
        <v>AVERAGE</v>
      </c>
      <c r="S5192" t="s">
        <v>615</v>
      </c>
    </row>
    <row r="5193" spans="1:19" x14ac:dyDescent="0.2">
      <c r="A5193" t="s">
        <v>5804</v>
      </c>
      <c r="B5193" t="s">
        <v>67</v>
      </c>
      <c r="C5193" t="s">
        <v>607</v>
      </c>
      <c r="D5193">
        <v>1701.56</v>
      </c>
      <c r="E5193" s="37" t="str">
        <f t="shared" si="405"/>
        <v xml:space="preserve"> </v>
      </c>
      <c r="F5193">
        <v>0.03</v>
      </c>
      <c r="G5193" s="37" t="str">
        <f t="shared" si="406"/>
        <v>Normal Discount</v>
      </c>
      <c r="H5193" s="37" t="str">
        <f t="shared" si="407"/>
        <v>Low</v>
      </c>
      <c r="I5193">
        <v>3</v>
      </c>
      <c r="J5193" t="str" cm="1">
        <f t="array" ref="J5193">_xlfn.IFS(I5193&lt;=3,"small",I5193&lt;=6,"Medium",I5193&lt;=9,"Large")</f>
        <v>small</v>
      </c>
      <c r="K5193" s="36">
        <v>44983</v>
      </c>
      <c r="L5193" s="36">
        <v>44988</v>
      </c>
      <c r="M5193" t="s">
        <v>603</v>
      </c>
      <c r="N5193" t="s">
        <v>608</v>
      </c>
      <c r="O5193" s="37" t="str">
        <f t="shared" si="408"/>
        <v>Cash Payment</v>
      </c>
      <c r="P5193">
        <v>444.67</v>
      </c>
      <c r="Q5193" s="37" t="str">
        <f>IF(P5193&gt;500,"High","low")</f>
        <v>low</v>
      </c>
      <c r="R5193" s="37" t="str">
        <f t="shared" si="409"/>
        <v>AVERAGE</v>
      </c>
      <c r="S5193" t="s">
        <v>605</v>
      </c>
    </row>
    <row r="5194" spans="1:19" x14ac:dyDescent="0.2">
      <c r="A5194" t="s">
        <v>5805</v>
      </c>
      <c r="B5194" t="s">
        <v>83</v>
      </c>
      <c r="C5194" t="s">
        <v>617</v>
      </c>
      <c r="D5194">
        <v>2043.92</v>
      </c>
      <c r="E5194" s="37" t="str">
        <f t="shared" si="405"/>
        <v xml:space="preserve"> </v>
      </c>
      <c r="F5194">
        <v>0.28000000000000003</v>
      </c>
      <c r="G5194" s="37" t="str">
        <f t="shared" si="406"/>
        <v>Normal Discount</v>
      </c>
      <c r="H5194" s="37" t="str">
        <f t="shared" si="407"/>
        <v>Medium</v>
      </c>
      <c r="I5194">
        <v>5</v>
      </c>
      <c r="J5194" t="str" cm="1">
        <f t="array" ref="J5194">_xlfn.IFS(I5194&lt;=3,"small",I5194&lt;=6,"Medium",I5194&lt;=9,"Large")</f>
        <v>Medium</v>
      </c>
      <c r="K5194" s="36">
        <v>45087</v>
      </c>
      <c r="L5194" s="36">
        <v>45089</v>
      </c>
      <c r="M5194" t="s">
        <v>598</v>
      </c>
      <c r="N5194" t="s">
        <v>608</v>
      </c>
      <c r="O5194" s="37" t="str">
        <f t="shared" si="408"/>
        <v>Cash Payment</v>
      </c>
      <c r="P5194">
        <v>162.25</v>
      </c>
      <c r="Q5194" s="37" t="str">
        <f>IF(P5194&gt;500,"High","low")</f>
        <v>low</v>
      </c>
      <c r="R5194" s="37" t="str">
        <f t="shared" si="409"/>
        <v>AVERAGE</v>
      </c>
      <c r="S5194" t="s">
        <v>620</v>
      </c>
    </row>
    <row r="5195" spans="1:19" x14ac:dyDescent="0.2">
      <c r="A5195" t="s">
        <v>5806</v>
      </c>
      <c r="B5195" t="s">
        <v>67</v>
      </c>
      <c r="C5195" t="s">
        <v>602</v>
      </c>
      <c r="D5195">
        <v>1024.1099999999999</v>
      </c>
      <c r="E5195" s="37" t="str">
        <f t="shared" si="405"/>
        <v xml:space="preserve"> </v>
      </c>
      <c r="F5195">
        <v>0.15</v>
      </c>
      <c r="G5195" s="37" t="str">
        <f t="shared" si="406"/>
        <v>Normal Discount</v>
      </c>
      <c r="H5195" s="37" t="str">
        <f t="shared" si="407"/>
        <v>Low</v>
      </c>
      <c r="I5195">
        <v>5</v>
      </c>
      <c r="J5195" t="str" cm="1">
        <f t="array" ref="J5195">_xlfn.IFS(I5195&lt;=3,"small",I5195&lt;=6,"Medium",I5195&lt;=9,"Large")</f>
        <v>Medium</v>
      </c>
      <c r="K5195" s="36">
        <v>45389</v>
      </c>
      <c r="L5195" s="36">
        <v>45390</v>
      </c>
      <c r="M5195" t="s">
        <v>598</v>
      </c>
      <c r="N5195" t="s">
        <v>608</v>
      </c>
      <c r="O5195" s="37" t="str">
        <f t="shared" si="408"/>
        <v>Cash Payment</v>
      </c>
      <c r="P5195">
        <v>91.12</v>
      </c>
      <c r="Q5195" s="37" t="str">
        <f>IF(P5195&gt;500,"High","low")</f>
        <v>low</v>
      </c>
      <c r="R5195" s="37" t="str">
        <f t="shared" si="409"/>
        <v>AVERAGE</v>
      </c>
      <c r="S5195" t="s">
        <v>609</v>
      </c>
    </row>
    <row r="5196" spans="1:19" x14ac:dyDescent="0.2">
      <c r="A5196" t="s">
        <v>5807</v>
      </c>
      <c r="B5196" t="s">
        <v>90</v>
      </c>
      <c r="C5196" t="s">
        <v>617</v>
      </c>
      <c r="D5196">
        <v>3486.12</v>
      </c>
      <c r="E5196" s="37" t="str">
        <f t="shared" si="405"/>
        <v xml:space="preserve"> </v>
      </c>
      <c r="F5196">
        <v>0.04</v>
      </c>
      <c r="G5196" s="37" t="str">
        <f t="shared" si="406"/>
        <v>Normal Discount</v>
      </c>
      <c r="H5196" s="37" t="str">
        <f t="shared" si="407"/>
        <v>Low</v>
      </c>
      <c r="I5196">
        <v>5</v>
      </c>
      <c r="J5196" t="str" cm="1">
        <f t="array" ref="J5196">_xlfn.IFS(I5196&lt;=3,"small",I5196&lt;=6,"Medium",I5196&lt;=9,"Large")</f>
        <v>Medium</v>
      </c>
      <c r="K5196" s="36">
        <v>44998</v>
      </c>
      <c r="L5196" s="36">
        <v>45001</v>
      </c>
      <c r="M5196" t="s">
        <v>603</v>
      </c>
      <c r="N5196" t="s">
        <v>608</v>
      </c>
      <c r="O5196" s="37" t="str">
        <f t="shared" si="408"/>
        <v>Cash Payment</v>
      </c>
      <c r="P5196">
        <v>833.71</v>
      </c>
      <c r="Q5196" s="37" t="str">
        <f>IF(P5196&gt;500,"High","low")</f>
        <v>High</v>
      </c>
      <c r="R5196" s="37" t="str">
        <f t="shared" si="409"/>
        <v>Good</v>
      </c>
      <c r="S5196" t="s">
        <v>600</v>
      </c>
    </row>
    <row r="5197" spans="1:19" x14ac:dyDescent="0.2">
      <c r="A5197" t="s">
        <v>5808</v>
      </c>
      <c r="B5197" t="s">
        <v>90</v>
      </c>
      <c r="C5197" t="s">
        <v>602</v>
      </c>
      <c r="D5197">
        <v>1713.81</v>
      </c>
      <c r="E5197" s="37" t="str">
        <f t="shared" si="405"/>
        <v xml:space="preserve"> </v>
      </c>
      <c r="F5197">
        <v>0.38</v>
      </c>
      <c r="G5197" s="37" t="str">
        <f t="shared" si="406"/>
        <v>Heavy Discount</v>
      </c>
      <c r="H5197" s="37" t="str">
        <f t="shared" si="407"/>
        <v>Medium</v>
      </c>
      <c r="I5197">
        <v>7</v>
      </c>
      <c r="J5197" t="str" cm="1">
        <f t="array" ref="J5197">_xlfn.IFS(I5197&lt;=3,"small",I5197&lt;=6,"Medium",I5197&lt;=9,"Large")</f>
        <v>Large</v>
      </c>
      <c r="K5197" s="36">
        <v>45276</v>
      </c>
      <c r="L5197" s="36">
        <v>45279</v>
      </c>
      <c r="M5197" t="s">
        <v>603</v>
      </c>
      <c r="N5197" t="s">
        <v>604</v>
      </c>
      <c r="O5197" s="37" t="str">
        <f t="shared" si="408"/>
        <v>Digital Payment</v>
      </c>
      <c r="P5197">
        <v>187.14</v>
      </c>
      <c r="Q5197" s="37" t="str">
        <f>IF(P5197&gt;500,"High","low")</f>
        <v>low</v>
      </c>
      <c r="R5197" s="37" t="str">
        <f t="shared" si="409"/>
        <v>AVERAGE</v>
      </c>
      <c r="S5197" t="s">
        <v>628</v>
      </c>
    </row>
    <row r="5198" spans="1:19" x14ac:dyDescent="0.2">
      <c r="A5198" t="s">
        <v>5809</v>
      </c>
      <c r="B5198" t="s">
        <v>83</v>
      </c>
      <c r="C5198" t="s">
        <v>607</v>
      </c>
      <c r="D5198">
        <v>1698.56</v>
      </c>
      <c r="E5198" s="37" t="str">
        <f t="shared" si="405"/>
        <v xml:space="preserve"> </v>
      </c>
      <c r="F5198">
        <v>0.33</v>
      </c>
      <c r="G5198" s="37" t="str">
        <f t="shared" si="406"/>
        <v>Heavy Discount</v>
      </c>
      <c r="H5198" s="37" t="str">
        <f t="shared" si="407"/>
        <v>Medium</v>
      </c>
      <c r="I5198">
        <v>8</v>
      </c>
      <c r="J5198" t="str" cm="1">
        <f t="array" ref="J5198">_xlfn.IFS(I5198&lt;=3,"small",I5198&lt;=6,"Medium",I5198&lt;=9,"Large")</f>
        <v>Large</v>
      </c>
      <c r="K5198" s="36">
        <v>45246</v>
      </c>
      <c r="L5198" s="36">
        <v>45253</v>
      </c>
      <c r="M5198" t="s">
        <v>612</v>
      </c>
      <c r="N5198" t="s">
        <v>604</v>
      </c>
      <c r="O5198" s="37" t="str">
        <f t="shared" si="408"/>
        <v>Digital Payment</v>
      </c>
      <c r="P5198">
        <v>293.56</v>
      </c>
      <c r="Q5198" s="37" t="str">
        <f>IF(P5198&gt;500,"High","low")</f>
        <v>low</v>
      </c>
      <c r="R5198" s="37" t="str">
        <f t="shared" si="409"/>
        <v>AVERAGE</v>
      </c>
      <c r="S5198" t="s">
        <v>605</v>
      </c>
    </row>
    <row r="5199" spans="1:19" x14ac:dyDescent="0.2">
      <c r="A5199" t="s">
        <v>5810</v>
      </c>
      <c r="B5199" t="s">
        <v>83</v>
      </c>
      <c r="C5199" t="s">
        <v>597</v>
      </c>
      <c r="D5199">
        <v>1419.89</v>
      </c>
      <c r="E5199" s="37" t="str">
        <f t="shared" si="405"/>
        <v xml:space="preserve"> </v>
      </c>
      <c r="F5199">
        <v>0.4</v>
      </c>
      <c r="G5199" s="37" t="str">
        <f t="shared" si="406"/>
        <v>Heavy Discount</v>
      </c>
      <c r="H5199" s="37" t="str">
        <f t="shared" si="407"/>
        <v>Medium</v>
      </c>
      <c r="I5199">
        <v>8</v>
      </c>
      <c r="J5199" t="str" cm="1">
        <f t="array" ref="J5199">_xlfn.IFS(I5199&lt;=3,"small",I5199&lt;=6,"Medium",I5199&lt;=9,"Large")</f>
        <v>Large</v>
      </c>
      <c r="K5199" s="36">
        <v>45205</v>
      </c>
      <c r="L5199" s="36">
        <v>45206</v>
      </c>
      <c r="M5199" t="s">
        <v>598</v>
      </c>
      <c r="N5199" t="s">
        <v>599</v>
      </c>
      <c r="O5199" s="37" t="str">
        <f t="shared" si="408"/>
        <v>Digital Payment</v>
      </c>
      <c r="P5199">
        <v>247.99</v>
      </c>
      <c r="Q5199" s="37" t="str">
        <f>IF(P5199&gt;500,"High","low")</f>
        <v>low</v>
      </c>
      <c r="R5199" s="37" t="str">
        <f t="shared" si="409"/>
        <v>AVERAGE</v>
      </c>
      <c r="S5199" t="s">
        <v>620</v>
      </c>
    </row>
    <row r="5200" spans="1:19" x14ac:dyDescent="0.2">
      <c r="A5200" t="s">
        <v>5811</v>
      </c>
      <c r="B5200" t="s">
        <v>83</v>
      </c>
      <c r="C5200" t="s">
        <v>614</v>
      </c>
      <c r="D5200">
        <v>2318.86</v>
      </c>
      <c r="E5200" s="37" t="str">
        <f t="shared" si="405"/>
        <v xml:space="preserve"> </v>
      </c>
      <c r="F5200">
        <v>0.47</v>
      </c>
      <c r="G5200" s="37" t="str">
        <f t="shared" si="406"/>
        <v>Heavy Discount</v>
      </c>
      <c r="H5200" s="37" t="str">
        <f t="shared" si="407"/>
        <v>High</v>
      </c>
      <c r="I5200">
        <v>3</v>
      </c>
      <c r="J5200" t="str" cm="1">
        <f t="array" ref="J5200">_xlfn.IFS(I5200&lt;=3,"small",I5200&lt;=6,"Medium",I5200&lt;=9,"Large")</f>
        <v>small</v>
      </c>
      <c r="K5200" s="36">
        <v>44938</v>
      </c>
      <c r="L5200" s="36">
        <v>44939</v>
      </c>
      <c r="M5200" t="s">
        <v>598</v>
      </c>
      <c r="N5200" t="s">
        <v>604</v>
      </c>
      <c r="O5200" s="37" t="str">
        <f t="shared" si="408"/>
        <v>Digital Payment</v>
      </c>
      <c r="P5200">
        <v>333.48</v>
      </c>
      <c r="Q5200" s="37" t="str">
        <f>IF(P5200&gt;500,"High","low")</f>
        <v>low</v>
      </c>
      <c r="R5200" s="37" t="str">
        <f t="shared" si="409"/>
        <v>AVERAGE</v>
      </c>
      <c r="S5200" t="s">
        <v>628</v>
      </c>
    </row>
    <row r="5201" spans="1:19" x14ac:dyDescent="0.2">
      <c r="A5201" t="s">
        <v>5812</v>
      </c>
      <c r="B5201" t="s">
        <v>67</v>
      </c>
      <c r="C5201" t="s">
        <v>617</v>
      </c>
      <c r="D5201">
        <v>3882.68</v>
      </c>
      <c r="E5201" s="37" t="str">
        <f t="shared" si="405"/>
        <v xml:space="preserve"> </v>
      </c>
      <c r="F5201">
        <v>0.28999999999999998</v>
      </c>
      <c r="G5201" s="37" t="str">
        <f t="shared" si="406"/>
        <v>Normal Discount</v>
      </c>
      <c r="H5201" s="37" t="str">
        <f t="shared" si="407"/>
        <v>Medium</v>
      </c>
      <c r="I5201">
        <v>8</v>
      </c>
      <c r="J5201" t="str" cm="1">
        <f t="array" ref="J5201">_xlfn.IFS(I5201&lt;=3,"small",I5201&lt;=6,"Medium",I5201&lt;=9,"Large")</f>
        <v>Large</v>
      </c>
      <c r="K5201" s="36">
        <v>45285</v>
      </c>
      <c r="L5201" s="36">
        <v>45291</v>
      </c>
      <c r="M5201" t="s">
        <v>612</v>
      </c>
      <c r="N5201" t="s">
        <v>608</v>
      </c>
      <c r="O5201" s="37" t="str">
        <f t="shared" si="408"/>
        <v>Cash Payment</v>
      </c>
      <c r="P5201">
        <v>1099.32</v>
      </c>
      <c r="Q5201" s="37" t="str">
        <f>IF(P5201&gt;500,"High","low")</f>
        <v>High</v>
      </c>
      <c r="R5201" s="37" t="str">
        <f t="shared" si="409"/>
        <v>Excellent</v>
      </c>
      <c r="S5201" t="s">
        <v>620</v>
      </c>
    </row>
    <row r="5202" spans="1:19" x14ac:dyDescent="0.2">
      <c r="A5202" t="s">
        <v>5813</v>
      </c>
      <c r="B5202" t="s">
        <v>83</v>
      </c>
      <c r="C5202" t="s">
        <v>602</v>
      </c>
      <c r="D5202">
        <v>4194.4799999999996</v>
      </c>
      <c r="E5202" s="37" t="str">
        <f t="shared" si="405"/>
        <v>Excellent Order</v>
      </c>
      <c r="F5202">
        <v>0.39</v>
      </c>
      <c r="G5202" s="37" t="str">
        <f t="shared" si="406"/>
        <v>Heavy Discount</v>
      </c>
      <c r="H5202" s="37" t="str">
        <f t="shared" si="407"/>
        <v>Medium</v>
      </c>
      <c r="I5202">
        <v>2</v>
      </c>
      <c r="J5202" t="str" cm="1">
        <f t="array" ref="J5202">_xlfn.IFS(I5202&lt;=3,"small",I5202&lt;=6,"Medium",I5202&lt;=9,"Large")</f>
        <v>small</v>
      </c>
      <c r="K5202" s="36">
        <v>45446</v>
      </c>
      <c r="L5202" s="36">
        <v>45447</v>
      </c>
      <c r="M5202" t="s">
        <v>603</v>
      </c>
      <c r="N5202" t="s">
        <v>604</v>
      </c>
      <c r="O5202" s="37" t="str">
        <f t="shared" si="408"/>
        <v>Digital Payment</v>
      </c>
      <c r="P5202">
        <v>801.01</v>
      </c>
      <c r="Q5202" s="37" t="str">
        <f>IF(P5202&gt;500,"High","low")</f>
        <v>High</v>
      </c>
      <c r="R5202" s="37" t="str">
        <f t="shared" si="409"/>
        <v>Good</v>
      </c>
      <c r="S5202" t="s">
        <v>615</v>
      </c>
    </row>
    <row r="5203" spans="1:19" x14ac:dyDescent="0.2">
      <c r="A5203" t="s">
        <v>5814</v>
      </c>
      <c r="B5203" t="s">
        <v>90</v>
      </c>
      <c r="C5203" t="s">
        <v>607</v>
      </c>
      <c r="D5203">
        <v>4042.09</v>
      </c>
      <c r="E5203" s="37" t="str">
        <f t="shared" si="405"/>
        <v>Excellent Order</v>
      </c>
      <c r="F5203">
        <v>0.1</v>
      </c>
      <c r="G5203" s="37" t="str">
        <f t="shared" si="406"/>
        <v>Normal Discount</v>
      </c>
      <c r="H5203" s="37" t="str">
        <f t="shared" si="407"/>
        <v>Low</v>
      </c>
      <c r="I5203">
        <v>4</v>
      </c>
      <c r="J5203" t="str" cm="1">
        <f t="array" ref="J5203">_xlfn.IFS(I5203&lt;=3,"small",I5203&lt;=6,"Medium",I5203&lt;=9,"Large")</f>
        <v>Medium</v>
      </c>
      <c r="K5203" s="36">
        <v>45383</v>
      </c>
      <c r="L5203" s="36">
        <v>45387</v>
      </c>
      <c r="M5203" t="s">
        <v>598</v>
      </c>
      <c r="N5203" t="s">
        <v>608</v>
      </c>
      <c r="O5203" s="37" t="str">
        <f t="shared" si="408"/>
        <v>Cash Payment</v>
      </c>
      <c r="P5203">
        <v>926.69</v>
      </c>
      <c r="Q5203" s="37" t="str">
        <f>IF(P5203&gt;500,"High","low")</f>
        <v>High</v>
      </c>
      <c r="R5203" s="37" t="str">
        <f t="shared" si="409"/>
        <v>Good</v>
      </c>
      <c r="S5203" t="s">
        <v>615</v>
      </c>
    </row>
    <row r="5204" spans="1:19" x14ac:dyDescent="0.2">
      <c r="A5204" t="s">
        <v>5815</v>
      </c>
      <c r="B5204" t="s">
        <v>90</v>
      </c>
      <c r="C5204" t="s">
        <v>614</v>
      </c>
      <c r="D5204">
        <v>3143.85</v>
      </c>
      <c r="E5204" s="37" t="str">
        <f t="shared" si="405"/>
        <v xml:space="preserve"> </v>
      </c>
      <c r="F5204">
        <v>0.21</v>
      </c>
      <c r="G5204" s="37" t="str">
        <f t="shared" si="406"/>
        <v>Normal Discount</v>
      </c>
      <c r="H5204" s="37" t="str">
        <f t="shared" si="407"/>
        <v>Medium</v>
      </c>
      <c r="I5204">
        <v>2</v>
      </c>
      <c r="J5204" t="str" cm="1">
        <f t="array" ref="J5204">_xlfn.IFS(I5204&lt;=3,"small",I5204&lt;=6,"Medium",I5204&lt;=9,"Large")</f>
        <v>small</v>
      </c>
      <c r="K5204" s="36">
        <v>44959</v>
      </c>
      <c r="L5204" s="36">
        <v>44961</v>
      </c>
      <c r="M5204" t="s">
        <v>603</v>
      </c>
      <c r="N5204" t="s">
        <v>599</v>
      </c>
      <c r="O5204" s="37" t="str">
        <f t="shared" si="408"/>
        <v>Digital Payment</v>
      </c>
      <c r="P5204">
        <v>856.93</v>
      </c>
      <c r="Q5204" s="37" t="str">
        <f>IF(P5204&gt;500,"High","low")</f>
        <v>High</v>
      </c>
      <c r="R5204" s="37" t="str">
        <f t="shared" si="409"/>
        <v>Good</v>
      </c>
      <c r="S5204" t="s">
        <v>620</v>
      </c>
    </row>
    <row r="5205" spans="1:19" x14ac:dyDescent="0.2">
      <c r="A5205" t="s">
        <v>5816</v>
      </c>
      <c r="B5205" t="s">
        <v>75</v>
      </c>
      <c r="C5205" t="s">
        <v>607</v>
      </c>
      <c r="D5205">
        <v>1474.09</v>
      </c>
      <c r="E5205" s="37" t="str">
        <f t="shared" si="405"/>
        <v xml:space="preserve"> </v>
      </c>
      <c r="F5205">
        <v>0.27</v>
      </c>
      <c r="G5205" s="37" t="str">
        <f t="shared" si="406"/>
        <v>Normal Discount</v>
      </c>
      <c r="H5205" s="37" t="str">
        <f t="shared" si="407"/>
        <v>Medium</v>
      </c>
      <c r="I5205">
        <v>5</v>
      </c>
      <c r="J5205" t="str" cm="1">
        <f t="array" ref="J5205">_xlfn.IFS(I5205&lt;=3,"small",I5205&lt;=6,"Medium",I5205&lt;=9,"Large")</f>
        <v>Medium</v>
      </c>
      <c r="K5205" s="36">
        <v>45358</v>
      </c>
      <c r="L5205" s="36">
        <v>45360</v>
      </c>
      <c r="M5205" t="s">
        <v>598</v>
      </c>
      <c r="N5205" t="s">
        <v>604</v>
      </c>
      <c r="O5205" s="37" t="str">
        <f t="shared" si="408"/>
        <v>Digital Payment</v>
      </c>
      <c r="P5205">
        <v>300.25</v>
      </c>
      <c r="Q5205" s="37" t="str">
        <f>IF(P5205&gt;500,"High","low")</f>
        <v>low</v>
      </c>
      <c r="R5205" s="37" t="str">
        <f t="shared" si="409"/>
        <v>AVERAGE</v>
      </c>
      <c r="S5205" t="s">
        <v>628</v>
      </c>
    </row>
    <row r="5206" spans="1:19" x14ac:dyDescent="0.2">
      <c r="A5206" t="s">
        <v>5817</v>
      </c>
      <c r="B5206" t="s">
        <v>67</v>
      </c>
      <c r="C5206" t="s">
        <v>597</v>
      </c>
      <c r="D5206">
        <v>3700.79</v>
      </c>
      <c r="E5206" s="37" t="str">
        <f t="shared" si="405"/>
        <v xml:space="preserve"> </v>
      </c>
      <c r="F5206">
        <v>0.27</v>
      </c>
      <c r="G5206" s="37" t="str">
        <f t="shared" si="406"/>
        <v>Normal Discount</v>
      </c>
      <c r="H5206" s="37" t="str">
        <f t="shared" si="407"/>
        <v>Medium</v>
      </c>
      <c r="I5206">
        <v>3</v>
      </c>
      <c r="J5206" t="str" cm="1">
        <f t="array" ref="J5206">_xlfn.IFS(I5206&lt;=3,"small",I5206&lt;=6,"Medium",I5206&lt;=9,"Large")</f>
        <v>small</v>
      </c>
      <c r="K5206" s="36">
        <v>45279</v>
      </c>
      <c r="L5206" s="36">
        <v>45280</v>
      </c>
      <c r="M5206" t="s">
        <v>603</v>
      </c>
      <c r="N5206" t="s">
        <v>604</v>
      </c>
      <c r="O5206" s="37" t="str">
        <f t="shared" si="408"/>
        <v>Digital Payment</v>
      </c>
      <c r="P5206">
        <v>827.91</v>
      </c>
      <c r="Q5206" s="37" t="str">
        <f>IF(P5206&gt;500,"High","low")</f>
        <v>High</v>
      </c>
      <c r="R5206" s="37" t="str">
        <f t="shared" si="409"/>
        <v>Good</v>
      </c>
      <c r="S5206" t="s">
        <v>620</v>
      </c>
    </row>
    <row r="5207" spans="1:19" x14ac:dyDescent="0.2">
      <c r="A5207" t="s">
        <v>5818</v>
      </c>
      <c r="B5207" t="s">
        <v>75</v>
      </c>
      <c r="C5207" t="s">
        <v>614</v>
      </c>
      <c r="D5207">
        <v>292.87</v>
      </c>
      <c r="E5207" s="37" t="str">
        <f t="shared" si="405"/>
        <v xml:space="preserve"> </v>
      </c>
      <c r="F5207">
        <v>0.36</v>
      </c>
      <c r="G5207" s="37" t="str">
        <f t="shared" si="406"/>
        <v>Heavy Discount</v>
      </c>
      <c r="H5207" s="37" t="str">
        <f t="shared" si="407"/>
        <v>Medium</v>
      </c>
      <c r="I5207">
        <v>3</v>
      </c>
      <c r="J5207" t="str" cm="1">
        <f t="array" ref="J5207">_xlfn.IFS(I5207&lt;=3,"small",I5207&lt;=6,"Medium",I5207&lt;=9,"Large")</f>
        <v>small</v>
      </c>
      <c r="K5207" s="36">
        <v>45227</v>
      </c>
      <c r="L5207" s="36">
        <v>45232</v>
      </c>
      <c r="M5207" t="s">
        <v>612</v>
      </c>
      <c r="N5207" t="s">
        <v>604</v>
      </c>
      <c r="O5207" s="37" t="str">
        <f t="shared" si="408"/>
        <v>Digital Payment</v>
      </c>
      <c r="P5207">
        <v>47.03</v>
      </c>
      <c r="Q5207" s="37" t="str">
        <f>IF(P5207&gt;500,"High","low")</f>
        <v>low</v>
      </c>
      <c r="R5207" s="37" t="str">
        <f t="shared" si="409"/>
        <v>AVERAGE</v>
      </c>
      <c r="S5207" t="s">
        <v>600</v>
      </c>
    </row>
    <row r="5208" spans="1:19" x14ac:dyDescent="0.2">
      <c r="A5208" t="s">
        <v>5819</v>
      </c>
      <c r="B5208" t="s">
        <v>90</v>
      </c>
      <c r="C5208" t="s">
        <v>614</v>
      </c>
      <c r="D5208">
        <v>4010.95</v>
      </c>
      <c r="E5208" s="37" t="str">
        <f t="shared" si="405"/>
        <v>Excellent Order</v>
      </c>
      <c r="F5208">
        <v>0.4</v>
      </c>
      <c r="G5208" s="37" t="str">
        <f t="shared" si="406"/>
        <v>Heavy Discount</v>
      </c>
      <c r="H5208" s="37" t="str">
        <f t="shared" si="407"/>
        <v>Medium</v>
      </c>
      <c r="I5208">
        <v>5</v>
      </c>
      <c r="J5208" t="str" cm="1">
        <f t="array" ref="J5208">_xlfn.IFS(I5208&lt;=3,"small",I5208&lt;=6,"Medium",I5208&lt;=9,"Large")</f>
        <v>Medium</v>
      </c>
      <c r="K5208" s="36">
        <v>45001</v>
      </c>
      <c r="L5208" s="36">
        <v>45003</v>
      </c>
      <c r="M5208" t="s">
        <v>598</v>
      </c>
      <c r="N5208" t="s">
        <v>608</v>
      </c>
      <c r="O5208" s="37" t="str">
        <f t="shared" si="408"/>
        <v>Cash Payment</v>
      </c>
      <c r="P5208">
        <v>1198.72</v>
      </c>
      <c r="Q5208" s="37" t="str">
        <f>IF(P5208&gt;500,"High","low")</f>
        <v>High</v>
      </c>
      <c r="R5208" s="37" t="str">
        <f t="shared" si="409"/>
        <v>Excellent</v>
      </c>
      <c r="S5208" t="s">
        <v>620</v>
      </c>
    </row>
    <row r="5209" spans="1:19" x14ac:dyDescent="0.2">
      <c r="A5209" t="s">
        <v>5820</v>
      </c>
      <c r="B5209" t="s">
        <v>75</v>
      </c>
      <c r="C5209" t="s">
        <v>614</v>
      </c>
      <c r="D5209">
        <v>3923.12</v>
      </c>
      <c r="E5209" s="37" t="str">
        <f t="shared" si="405"/>
        <v xml:space="preserve"> </v>
      </c>
      <c r="F5209">
        <v>0.33</v>
      </c>
      <c r="G5209" s="37" t="str">
        <f t="shared" si="406"/>
        <v>Heavy Discount</v>
      </c>
      <c r="H5209" s="37" t="str">
        <f t="shared" si="407"/>
        <v>Medium</v>
      </c>
      <c r="I5209">
        <v>4</v>
      </c>
      <c r="J5209" t="str" cm="1">
        <f t="array" ref="J5209">_xlfn.IFS(I5209&lt;=3,"small",I5209&lt;=6,"Medium",I5209&lt;=9,"Large")</f>
        <v>Medium</v>
      </c>
      <c r="K5209" s="36">
        <v>45169</v>
      </c>
      <c r="L5209" s="36">
        <v>45174</v>
      </c>
      <c r="M5209" t="s">
        <v>612</v>
      </c>
      <c r="N5209" t="s">
        <v>599</v>
      </c>
      <c r="O5209" s="37" t="str">
        <f t="shared" si="408"/>
        <v>Digital Payment</v>
      </c>
      <c r="P5209">
        <v>957.15</v>
      </c>
      <c r="Q5209" s="37" t="str">
        <f>IF(P5209&gt;500,"High","low")</f>
        <v>High</v>
      </c>
      <c r="R5209" s="37" t="str">
        <f t="shared" si="409"/>
        <v>Good</v>
      </c>
      <c r="S5209" t="s">
        <v>628</v>
      </c>
    </row>
    <row r="5210" spans="1:19" x14ac:dyDescent="0.2">
      <c r="A5210" t="s">
        <v>5821</v>
      </c>
      <c r="B5210" t="s">
        <v>90</v>
      </c>
      <c r="C5210" t="s">
        <v>602</v>
      </c>
      <c r="D5210">
        <v>3383.01</v>
      </c>
      <c r="E5210" s="37" t="str">
        <f t="shared" si="405"/>
        <v xml:space="preserve"> </v>
      </c>
      <c r="F5210">
        <v>0.02</v>
      </c>
      <c r="G5210" s="37" t="str">
        <f t="shared" si="406"/>
        <v>Normal Discount</v>
      </c>
      <c r="H5210" s="37" t="str">
        <f t="shared" si="407"/>
        <v>Low</v>
      </c>
      <c r="I5210">
        <v>6</v>
      </c>
      <c r="J5210" t="str" cm="1">
        <f t="array" ref="J5210">_xlfn.IFS(I5210&lt;=3,"small",I5210&lt;=6,"Medium",I5210&lt;=9,"Large")</f>
        <v>Medium</v>
      </c>
      <c r="K5210" s="36">
        <v>45297</v>
      </c>
      <c r="L5210" s="36">
        <v>45299</v>
      </c>
      <c r="M5210" t="s">
        <v>603</v>
      </c>
      <c r="N5210" t="s">
        <v>608</v>
      </c>
      <c r="O5210" s="37" t="str">
        <f t="shared" si="408"/>
        <v>Cash Payment</v>
      </c>
      <c r="P5210">
        <v>985.4</v>
      </c>
      <c r="Q5210" s="37" t="str">
        <f>IF(P5210&gt;500,"High","low")</f>
        <v>High</v>
      </c>
      <c r="R5210" s="37" t="str">
        <f t="shared" si="409"/>
        <v>Good</v>
      </c>
      <c r="S5210" t="s">
        <v>620</v>
      </c>
    </row>
    <row r="5211" spans="1:19" x14ac:dyDescent="0.2">
      <c r="A5211" t="s">
        <v>5822</v>
      </c>
      <c r="B5211" t="s">
        <v>75</v>
      </c>
      <c r="C5211" t="s">
        <v>614</v>
      </c>
      <c r="D5211">
        <v>579.83000000000004</v>
      </c>
      <c r="E5211" s="37" t="str">
        <f t="shared" si="405"/>
        <v xml:space="preserve"> </v>
      </c>
      <c r="F5211">
        <v>0.18</v>
      </c>
      <c r="G5211" s="37" t="str">
        <f t="shared" si="406"/>
        <v>Normal Discount</v>
      </c>
      <c r="H5211" s="37" t="str">
        <f t="shared" si="407"/>
        <v>Low</v>
      </c>
      <c r="I5211">
        <v>5</v>
      </c>
      <c r="J5211" t="str" cm="1">
        <f t="array" ref="J5211">_xlfn.IFS(I5211&lt;=3,"small",I5211&lt;=6,"Medium",I5211&lt;=9,"Large")</f>
        <v>Medium</v>
      </c>
      <c r="K5211" s="36">
        <v>45225</v>
      </c>
      <c r="L5211" s="36">
        <v>45232</v>
      </c>
      <c r="M5211" t="s">
        <v>598</v>
      </c>
      <c r="N5211" t="s">
        <v>604</v>
      </c>
      <c r="O5211" s="37" t="str">
        <f t="shared" si="408"/>
        <v>Digital Payment</v>
      </c>
      <c r="P5211">
        <v>47.44</v>
      </c>
      <c r="Q5211" s="37" t="str">
        <f>IF(P5211&gt;500,"High","low")</f>
        <v>low</v>
      </c>
      <c r="R5211" s="37" t="str">
        <f t="shared" si="409"/>
        <v>AVERAGE</v>
      </c>
      <c r="S5211" t="s">
        <v>628</v>
      </c>
    </row>
    <row r="5212" spans="1:19" x14ac:dyDescent="0.2">
      <c r="A5212" t="s">
        <v>5823</v>
      </c>
      <c r="B5212" t="s">
        <v>83</v>
      </c>
      <c r="C5212" t="s">
        <v>607</v>
      </c>
      <c r="D5212">
        <v>4986.97</v>
      </c>
      <c r="E5212" s="37" t="str">
        <f t="shared" si="405"/>
        <v xml:space="preserve"> </v>
      </c>
      <c r="F5212">
        <v>0.28999999999999998</v>
      </c>
      <c r="G5212" s="37" t="str">
        <f t="shared" si="406"/>
        <v>Normal Discount</v>
      </c>
      <c r="H5212" s="37" t="str">
        <f t="shared" si="407"/>
        <v>Medium</v>
      </c>
      <c r="I5212">
        <v>5</v>
      </c>
      <c r="J5212" t="str" cm="1">
        <f t="array" ref="J5212">_xlfn.IFS(I5212&lt;=3,"small",I5212&lt;=6,"Medium",I5212&lt;=9,"Large")</f>
        <v>Medium</v>
      </c>
      <c r="K5212" s="36">
        <v>45207</v>
      </c>
      <c r="L5212" s="36">
        <v>45214</v>
      </c>
      <c r="M5212" t="s">
        <v>612</v>
      </c>
      <c r="N5212" t="s">
        <v>599</v>
      </c>
      <c r="O5212" s="37" t="str">
        <f t="shared" si="408"/>
        <v>Digital Payment</v>
      </c>
      <c r="P5212">
        <v>277.89999999999998</v>
      </c>
      <c r="Q5212" s="37" t="str">
        <f>IF(P5212&gt;500,"High","low")</f>
        <v>low</v>
      </c>
      <c r="R5212" s="37" t="str">
        <f t="shared" si="409"/>
        <v>AVERAGE</v>
      </c>
      <c r="S5212" t="s">
        <v>620</v>
      </c>
    </row>
    <row r="5213" spans="1:19" x14ac:dyDescent="0.2">
      <c r="A5213" t="s">
        <v>5824</v>
      </c>
      <c r="B5213" t="s">
        <v>75</v>
      </c>
      <c r="C5213" t="s">
        <v>602</v>
      </c>
      <c r="D5213">
        <v>3806.41</v>
      </c>
      <c r="E5213" s="37" t="str">
        <f t="shared" si="405"/>
        <v xml:space="preserve"> </v>
      </c>
      <c r="F5213">
        <v>0.25</v>
      </c>
      <c r="G5213" s="37" t="str">
        <f t="shared" si="406"/>
        <v>Normal Discount</v>
      </c>
      <c r="H5213" s="37" t="str">
        <f t="shared" si="407"/>
        <v>Medium</v>
      </c>
      <c r="I5213">
        <v>3</v>
      </c>
      <c r="J5213" t="str" cm="1">
        <f t="array" ref="J5213">_xlfn.IFS(I5213&lt;=3,"small",I5213&lt;=6,"Medium",I5213&lt;=9,"Large")</f>
        <v>small</v>
      </c>
      <c r="K5213" s="36">
        <v>45453</v>
      </c>
      <c r="L5213" s="36">
        <v>45459</v>
      </c>
      <c r="M5213" t="s">
        <v>603</v>
      </c>
      <c r="N5213" t="s">
        <v>608</v>
      </c>
      <c r="O5213" s="37" t="str">
        <f t="shared" si="408"/>
        <v>Cash Payment</v>
      </c>
      <c r="P5213">
        <v>688.47</v>
      </c>
      <c r="Q5213" s="37" t="str">
        <f>IF(P5213&gt;500,"High","low")</f>
        <v>High</v>
      </c>
      <c r="R5213" s="37" t="str">
        <f t="shared" si="409"/>
        <v>Good</v>
      </c>
      <c r="S5213" t="s">
        <v>620</v>
      </c>
    </row>
    <row r="5214" spans="1:19" x14ac:dyDescent="0.2">
      <c r="A5214" t="s">
        <v>5825</v>
      </c>
      <c r="B5214" t="s">
        <v>83</v>
      </c>
      <c r="C5214" t="s">
        <v>614</v>
      </c>
      <c r="D5214">
        <v>3700.55</v>
      </c>
      <c r="E5214" s="37" t="str">
        <f t="shared" si="405"/>
        <v xml:space="preserve"> </v>
      </c>
      <c r="F5214">
        <v>0.02</v>
      </c>
      <c r="G5214" s="37" t="str">
        <f t="shared" si="406"/>
        <v>Normal Discount</v>
      </c>
      <c r="H5214" s="37" t="str">
        <f t="shared" si="407"/>
        <v>Low</v>
      </c>
      <c r="I5214">
        <v>4</v>
      </c>
      <c r="J5214" t="str" cm="1">
        <f t="array" ref="J5214">_xlfn.IFS(I5214&lt;=3,"small",I5214&lt;=6,"Medium",I5214&lt;=9,"Large")</f>
        <v>Medium</v>
      </c>
      <c r="K5214" s="36">
        <v>45448</v>
      </c>
      <c r="L5214" s="36">
        <v>45455</v>
      </c>
      <c r="M5214" t="s">
        <v>612</v>
      </c>
      <c r="N5214" t="s">
        <v>599</v>
      </c>
      <c r="O5214" s="37" t="str">
        <f t="shared" si="408"/>
        <v>Digital Payment</v>
      </c>
      <c r="P5214">
        <v>861.78</v>
      </c>
      <c r="Q5214" s="37" t="str">
        <f>IF(P5214&gt;500,"High","low")</f>
        <v>High</v>
      </c>
      <c r="R5214" s="37" t="str">
        <f t="shared" si="409"/>
        <v>Good</v>
      </c>
      <c r="S5214" t="s">
        <v>615</v>
      </c>
    </row>
    <row r="5215" spans="1:19" x14ac:dyDescent="0.2">
      <c r="A5215" t="s">
        <v>5826</v>
      </c>
      <c r="B5215" t="s">
        <v>83</v>
      </c>
      <c r="C5215" t="s">
        <v>607</v>
      </c>
      <c r="D5215">
        <v>413.64</v>
      </c>
      <c r="E5215" s="37" t="str">
        <f t="shared" si="405"/>
        <v xml:space="preserve"> </v>
      </c>
      <c r="F5215">
        <v>0.49</v>
      </c>
      <c r="G5215" s="37" t="str">
        <f t="shared" si="406"/>
        <v>Heavy Discount</v>
      </c>
      <c r="H5215" s="37" t="str">
        <f t="shared" si="407"/>
        <v>High</v>
      </c>
      <c r="I5215">
        <v>3</v>
      </c>
      <c r="J5215" t="str" cm="1">
        <f t="array" ref="J5215">_xlfn.IFS(I5215&lt;=3,"small",I5215&lt;=6,"Medium",I5215&lt;=9,"Large")</f>
        <v>small</v>
      </c>
      <c r="K5215" s="36">
        <v>45330</v>
      </c>
      <c r="L5215" s="36">
        <v>45335</v>
      </c>
      <c r="M5215" t="s">
        <v>603</v>
      </c>
      <c r="N5215" t="s">
        <v>608</v>
      </c>
      <c r="O5215" s="37" t="str">
        <f t="shared" si="408"/>
        <v>Cash Payment</v>
      </c>
      <c r="P5215">
        <v>106.82</v>
      </c>
      <c r="Q5215" s="37" t="str">
        <f>IF(P5215&gt;500,"High","low")</f>
        <v>low</v>
      </c>
      <c r="R5215" s="37" t="str">
        <f t="shared" si="409"/>
        <v>AVERAGE</v>
      </c>
      <c r="S5215" t="s">
        <v>609</v>
      </c>
    </row>
    <row r="5216" spans="1:19" x14ac:dyDescent="0.2">
      <c r="A5216" t="s">
        <v>5827</v>
      </c>
      <c r="B5216" t="s">
        <v>67</v>
      </c>
      <c r="C5216" t="s">
        <v>607</v>
      </c>
      <c r="D5216">
        <v>2053.66</v>
      </c>
      <c r="E5216" s="37" t="str">
        <f t="shared" si="405"/>
        <v xml:space="preserve"> </v>
      </c>
      <c r="F5216">
        <v>0.48</v>
      </c>
      <c r="G5216" s="37" t="str">
        <f t="shared" si="406"/>
        <v>Heavy Discount</v>
      </c>
      <c r="H5216" s="37" t="str">
        <f t="shared" si="407"/>
        <v>High</v>
      </c>
      <c r="I5216">
        <v>3</v>
      </c>
      <c r="J5216" t="str" cm="1">
        <f t="array" ref="J5216">_xlfn.IFS(I5216&lt;=3,"small",I5216&lt;=6,"Medium",I5216&lt;=9,"Large")</f>
        <v>small</v>
      </c>
      <c r="K5216" s="36">
        <v>45198</v>
      </c>
      <c r="L5216" s="36">
        <v>45202</v>
      </c>
      <c r="M5216" t="s">
        <v>612</v>
      </c>
      <c r="N5216" t="s">
        <v>599</v>
      </c>
      <c r="O5216" s="37" t="str">
        <f t="shared" si="408"/>
        <v>Digital Payment</v>
      </c>
      <c r="P5216">
        <v>538.48</v>
      </c>
      <c r="Q5216" s="37" t="str">
        <f>IF(P5216&gt;500,"High","low")</f>
        <v>High</v>
      </c>
      <c r="R5216" s="37" t="str">
        <f t="shared" si="409"/>
        <v>Good</v>
      </c>
      <c r="S5216" t="s">
        <v>620</v>
      </c>
    </row>
    <row r="5217" spans="1:19" x14ac:dyDescent="0.2">
      <c r="A5217" t="s">
        <v>5828</v>
      </c>
      <c r="B5217" t="s">
        <v>83</v>
      </c>
      <c r="C5217" t="s">
        <v>617</v>
      </c>
      <c r="D5217">
        <v>522.25</v>
      </c>
      <c r="E5217" s="37" t="str">
        <f t="shared" si="405"/>
        <v xml:space="preserve"> </v>
      </c>
      <c r="F5217">
        <v>0.39</v>
      </c>
      <c r="G5217" s="37" t="str">
        <f t="shared" si="406"/>
        <v>Heavy Discount</v>
      </c>
      <c r="H5217" s="37" t="str">
        <f t="shared" si="407"/>
        <v>Medium</v>
      </c>
      <c r="I5217">
        <v>9</v>
      </c>
      <c r="J5217" t="str" cm="1">
        <f t="array" ref="J5217">_xlfn.IFS(I5217&lt;=3,"small",I5217&lt;=6,"Medium",I5217&lt;=9,"Large")</f>
        <v>Large</v>
      </c>
      <c r="K5217" s="36">
        <v>45307</v>
      </c>
      <c r="L5217" s="36">
        <v>45309</v>
      </c>
      <c r="M5217" t="s">
        <v>603</v>
      </c>
      <c r="N5217" t="s">
        <v>608</v>
      </c>
      <c r="O5217" s="37" t="str">
        <f t="shared" si="408"/>
        <v>Cash Payment</v>
      </c>
      <c r="P5217">
        <v>63.58</v>
      </c>
      <c r="Q5217" s="37" t="str">
        <f>IF(P5217&gt;500,"High","low")</f>
        <v>low</v>
      </c>
      <c r="R5217" s="37" t="str">
        <f t="shared" si="409"/>
        <v>AVERAGE</v>
      </c>
      <c r="S5217" t="s">
        <v>628</v>
      </c>
    </row>
    <row r="5218" spans="1:19" x14ac:dyDescent="0.2">
      <c r="A5218" t="s">
        <v>5829</v>
      </c>
      <c r="B5218" t="s">
        <v>83</v>
      </c>
      <c r="C5218" t="s">
        <v>607</v>
      </c>
      <c r="D5218">
        <v>1869.08</v>
      </c>
      <c r="E5218" s="37" t="str">
        <f t="shared" si="405"/>
        <v xml:space="preserve"> </v>
      </c>
      <c r="F5218">
        <v>0.03</v>
      </c>
      <c r="G5218" s="37" t="str">
        <f t="shared" si="406"/>
        <v>Normal Discount</v>
      </c>
      <c r="H5218" s="37" t="str">
        <f t="shared" si="407"/>
        <v>Low</v>
      </c>
      <c r="I5218">
        <v>6</v>
      </c>
      <c r="J5218" t="str" cm="1">
        <f t="array" ref="J5218">_xlfn.IFS(I5218&lt;=3,"small",I5218&lt;=6,"Medium",I5218&lt;=9,"Large")</f>
        <v>Medium</v>
      </c>
      <c r="K5218" s="36">
        <v>45024</v>
      </c>
      <c r="L5218" s="36">
        <v>45026</v>
      </c>
      <c r="M5218" t="s">
        <v>603</v>
      </c>
      <c r="N5218" t="s">
        <v>599</v>
      </c>
      <c r="O5218" s="37" t="str">
        <f t="shared" si="408"/>
        <v>Digital Payment</v>
      </c>
      <c r="P5218">
        <v>448.18</v>
      </c>
      <c r="Q5218" s="37" t="str">
        <f>IF(P5218&gt;500,"High","low")</f>
        <v>low</v>
      </c>
      <c r="R5218" s="37" t="str">
        <f t="shared" si="409"/>
        <v>AVERAGE</v>
      </c>
      <c r="S5218" t="s">
        <v>609</v>
      </c>
    </row>
    <row r="5219" spans="1:19" x14ac:dyDescent="0.2">
      <c r="A5219" t="s">
        <v>5830</v>
      </c>
      <c r="B5219" t="s">
        <v>75</v>
      </c>
      <c r="C5219" t="s">
        <v>597</v>
      </c>
      <c r="D5219">
        <v>2895.38</v>
      </c>
      <c r="E5219" s="37" t="str">
        <f t="shared" si="405"/>
        <v xml:space="preserve"> </v>
      </c>
      <c r="F5219">
        <v>0.22</v>
      </c>
      <c r="G5219" s="37" t="str">
        <f t="shared" si="406"/>
        <v>Normal Discount</v>
      </c>
      <c r="H5219" s="37" t="str">
        <f t="shared" si="407"/>
        <v>Medium</v>
      </c>
      <c r="I5219">
        <v>2</v>
      </c>
      <c r="J5219" t="str" cm="1">
        <f t="array" ref="J5219">_xlfn.IFS(I5219&lt;=3,"small",I5219&lt;=6,"Medium",I5219&lt;=9,"Large")</f>
        <v>small</v>
      </c>
      <c r="K5219" s="36">
        <v>45139</v>
      </c>
      <c r="L5219" s="36">
        <v>45142</v>
      </c>
      <c r="M5219" t="s">
        <v>598</v>
      </c>
      <c r="N5219" t="s">
        <v>604</v>
      </c>
      <c r="O5219" s="37" t="str">
        <f t="shared" si="408"/>
        <v>Digital Payment</v>
      </c>
      <c r="P5219">
        <v>258.68</v>
      </c>
      <c r="Q5219" s="37" t="str">
        <f>IF(P5219&gt;500,"High","low")</f>
        <v>low</v>
      </c>
      <c r="R5219" s="37" t="str">
        <f t="shared" si="409"/>
        <v>AVERAGE</v>
      </c>
      <c r="S5219" t="s">
        <v>609</v>
      </c>
    </row>
    <row r="5220" spans="1:19" x14ac:dyDescent="0.2">
      <c r="A5220" t="s">
        <v>5831</v>
      </c>
      <c r="B5220" t="s">
        <v>90</v>
      </c>
      <c r="C5220" t="s">
        <v>614</v>
      </c>
      <c r="D5220">
        <v>4406.47</v>
      </c>
      <c r="E5220" s="37" t="str">
        <f t="shared" si="405"/>
        <v xml:space="preserve"> </v>
      </c>
      <c r="F5220">
        <v>0.2</v>
      </c>
      <c r="G5220" s="37" t="str">
        <f t="shared" si="406"/>
        <v>Normal Discount</v>
      </c>
      <c r="H5220" s="37" t="str">
        <f t="shared" si="407"/>
        <v>Medium</v>
      </c>
      <c r="I5220">
        <v>1</v>
      </c>
      <c r="J5220" t="str" cm="1">
        <f t="array" ref="J5220">_xlfn.IFS(I5220&lt;=3,"small",I5220&lt;=6,"Medium",I5220&lt;=9,"Large")</f>
        <v>small</v>
      </c>
      <c r="K5220" s="36">
        <v>44972</v>
      </c>
      <c r="L5220" s="36">
        <v>44974</v>
      </c>
      <c r="M5220" t="s">
        <v>612</v>
      </c>
      <c r="N5220" t="s">
        <v>604</v>
      </c>
      <c r="O5220" s="37" t="str">
        <f t="shared" si="408"/>
        <v>Digital Payment</v>
      </c>
      <c r="P5220">
        <v>792.39</v>
      </c>
      <c r="Q5220" s="37" t="str">
        <f>IF(P5220&gt;500,"High","low")</f>
        <v>High</v>
      </c>
      <c r="R5220" s="37" t="str">
        <f t="shared" si="409"/>
        <v>Good</v>
      </c>
      <c r="S5220" t="s">
        <v>600</v>
      </c>
    </row>
    <row r="5221" spans="1:19" x14ac:dyDescent="0.2">
      <c r="A5221" t="s">
        <v>5832</v>
      </c>
      <c r="B5221" t="s">
        <v>67</v>
      </c>
      <c r="C5221" t="s">
        <v>614</v>
      </c>
      <c r="D5221">
        <v>1486.39</v>
      </c>
      <c r="E5221" s="37" t="str">
        <f t="shared" si="405"/>
        <v xml:space="preserve"> </v>
      </c>
      <c r="F5221">
        <v>0.28000000000000003</v>
      </c>
      <c r="G5221" s="37" t="str">
        <f t="shared" si="406"/>
        <v>Normal Discount</v>
      </c>
      <c r="H5221" s="37" t="str">
        <f t="shared" si="407"/>
        <v>Medium</v>
      </c>
      <c r="I5221">
        <v>3</v>
      </c>
      <c r="J5221" t="str" cm="1">
        <f t="array" ref="J5221">_xlfn.IFS(I5221&lt;=3,"small",I5221&lt;=6,"Medium",I5221&lt;=9,"Large")</f>
        <v>small</v>
      </c>
      <c r="K5221" s="36">
        <v>45562</v>
      </c>
      <c r="L5221" s="36">
        <v>45565</v>
      </c>
      <c r="M5221" t="s">
        <v>598</v>
      </c>
      <c r="N5221" t="s">
        <v>604</v>
      </c>
      <c r="O5221" s="37" t="str">
        <f t="shared" si="408"/>
        <v>Digital Payment</v>
      </c>
      <c r="P5221">
        <v>161.79</v>
      </c>
      <c r="Q5221" s="37" t="str">
        <f>IF(P5221&gt;500,"High","low")</f>
        <v>low</v>
      </c>
      <c r="R5221" s="37" t="str">
        <f t="shared" si="409"/>
        <v>AVERAGE</v>
      </c>
      <c r="S5221" t="s">
        <v>600</v>
      </c>
    </row>
    <row r="5222" spans="1:19" x14ac:dyDescent="0.2">
      <c r="A5222" t="s">
        <v>5833</v>
      </c>
      <c r="B5222" t="s">
        <v>83</v>
      </c>
      <c r="C5222" t="s">
        <v>614</v>
      </c>
      <c r="D5222">
        <v>3154.73</v>
      </c>
      <c r="E5222" s="37" t="str">
        <f t="shared" si="405"/>
        <v xml:space="preserve"> </v>
      </c>
      <c r="F5222">
        <v>0.03</v>
      </c>
      <c r="G5222" s="37" t="str">
        <f t="shared" si="406"/>
        <v>Normal Discount</v>
      </c>
      <c r="H5222" s="37" t="str">
        <f t="shared" si="407"/>
        <v>Low</v>
      </c>
      <c r="I5222">
        <v>3</v>
      </c>
      <c r="J5222" t="str" cm="1">
        <f t="array" ref="J5222">_xlfn.IFS(I5222&lt;=3,"small",I5222&lt;=6,"Medium",I5222&lt;=9,"Large")</f>
        <v>small</v>
      </c>
      <c r="K5222" s="36">
        <v>45430</v>
      </c>
      <c r="L5222" s="36">
        <v>45436</v>
      </c>
      <c r="M5222" t="s">
        <v>612</v>
      </c>
      <c r="N5222" t="s">
        <v>608</v>
      </c>
      <c r="O5222" s="37" t="str">
        <f t="shared" si="408"/>
        <v>Cash Payment</v>
      </c>
      <c r="P5222">
        <v>340.46</v>
      </c>
      <c r="Q5222" s="37" t="str">
        <f>IF(P5222&gt;500,"High","low")</f>
        <v>low</v>
      </c>
      <c r="R5222" s="37" t="str">
        <f t="shared" si="409"/>
        <v>AVERAGE</v>
      </c>
      <c r="S5222" t="s">
        <v>620</v>
      </c>
    </row>
    <row r="5223" spans="1:19" x14ac:dyDescent="0.2">
      <c r="A5223" t="s">
        <v>5834</v>
      </c>
      <c r="B5223" t="s">
        <v>67</v>
      </c>
      <c r="C5223" t="s">
        <v>607</v>
      </c>
      <c r="D5223">
        <v>906.79</v>
      </c>
      <c r="E5223" s="37" t="str">
        <f t="shared" si="405"/>
        <v xml:space="preserve"> </v>
      </c>
      <c r="F5223">
        <v>0.21</v>
      </c>
      <c r="G5223" s="37" t="str">
        <f t="shared" si="406"/>
        <v>Normal Discount</v>
      </c>
      <c r="H5223" s="37" t="str">
        <f t="shared" si="407"/>
        <v>Medium</v>
      </c>
      <c r="I5223">
        <v>4</v>
      </c>
      <c r="J5223" t="str" cm="1">
        <f t="array" ref="J5223">_xlfn.IFS(I5223&lt;=3,"small",I5223&lt;=6,"Medium",I5223&lt;=9,"Large")</f>
        <v>Medium</v>
      </c>
      <c r="K5223" s="36">
        <v>45158</v>
      </c>
      <c r="L5223" s="36">
        <v>45159</v>
      </c>
      <c r="M5223" t="s">
        <v>598</v>
      </c>
      <c r="N5223" t="s">
        <v>599</v>
      </c>
      <c r="O5223" s="37" t="str">
        <f t="shared" si="408"/>
        <v>Digital Payment</v>
      </c>
      <c r="P5223">
        <v>113.28</v>
      </c>
      <c r="Q5223" s="37" t="str">
        <f>IF(P5223&gt;500,"High","low")</f>
        <v>low</v>
      </c>
      <c r="R5223" s="37" t="str">
        <f t="shared" si="409"/>
        <v>AVERAGE</v>
      </c>
      <c r="S5223" t="s">
        <v>628</v>
      </c>
    </row>
    <row r="5224" spans="1:19" x14ac:dyDescent="0.2">
      <c r="A5224" t="s">
        <v>5835</v>
      </c>
      <c r="B5224" t="s">
        <v>75</v>
      </c>
      <c r="C5224" t="s">
        <v>607</v>
      </c>
      <c r="D5224">
        <v>1834.42</v>
      </c>
      <c r="E5224" s="37" t="str">
        <f t="shared" si="405"/>
        <v xml:space="preserve"> </v>
      </c>
      <c r="F5224">
        <v>0.38</v>
      </c>
      <c r="G5224" s="37" t="str">
        <f t="shared" si="406"/>
        <v>Heavy Discount</v>
      </c>
      <c r="H5224" s="37" t="str">
        <f t="shared" si="407"/>
        <v>Medium</v>
      </c>
      <c r="I5224">
        <v>4</v>
      </c>
      <c r="J5224" t="str" cm="1">
        <f t="array" ref="J5224">_xlfn.IFS(I5224&lt;=3,"small",I5224&lt;=6,"Medium",I5224&lt;=9,"Large")</f>
        <v>Medium</v>
      </c>
      <c r="K5224" s="36">
        <v>45055</v>
      </c>
      <c r="L5224" s="36">
        <v>45058</v>
      </c>
      <c r="M5224" t="s">
        <v>612</v>
      </c>
      <c r="N5224" t="s">
        <v>604</v>
      </c>
      <c r="O5224" s="37" t="str">
        <f t="shared" si="408"/>
        <v>Digital Payment</v>
      </c>
      <c r="P5224">
        <v>232.7</v>
      </c>
      <c r="Q5224" s="37" t="str">
        <f>IF(P5224&gt;500,"High","low")</f>
        <v>low</v>
      </c>
      <c r="R5224" s="37" t="str">
        <f t="shared" si="409"/>
        <v>AVERAGE</v>
      </c>
      <c r="S5224" t="s">
        <v>620</v>
      </c>
    </row>
    <row r="5225" spans="1:19" x14ac:dyDescent="0.2">
      <c r="A5225" t="s">
        <v>5836</v>
      </c>
      <c r="B5225" t="s">
        <v>83</v>
      </c>
      <c r="C5225" t="s">
        <v>614</v>
      </c>
      <c r="D5225">
        <v>4741.46</v>
      </c>
      <c r="E5225" s="37" t="str">
        <f t="shared" si="405"/>
        <v xml:space="preserve"> </v>
      </c>
      <c r="F5225">
        <v>0.5</v>
      </c>
      <c r="G5225" s="37" t="str">
        <f t="shared" si="406"/>
        <v>Heavy Discount</v>
      </c>
      <c r="H5225" s="37" t="str">
        <f t="shared" si="407"/>
        <v>High</v>
      </c>
      <c r="I5225">
        <v>5</v>
      </c>
      <c r="J5225" t="str" cm="1">
        <f t="array" ref="J5225">_xlfn.IFS(I5225&lt;=3,"small",I5225&lt;=6,"Medium",I5225&lt;=9,"Large")</f>
        <v>Medium</v>
      </c>
      <c r="K5225" s="36">
        <v>45238</v>
      </c>
      <c r="L5225" s="36">
        <v>45239</v>
      </c>
      <c r="M5225" t="s">
        <v>603</v>
      </c>
      <c r="N5225" t="s">
        <v>608</v>
      </c>
      <c r="O5225" s="37" t="str">
        <f t="shared" si="408"/>
        <v>Cash Payment</v>
      </c>
      <c r="P5225">
        <v>633.96</v>
      </c>
      <c r="Q5225" s="37" t="str">
        <f>IF(P5225&gt;500,"High","low")</f>
        <v>High</v>
      </c>
      <c r="R5225" s="37" t="str">
        <f t="shared" si="409"/>
        <v>Good</v>
      </c>
      <c r="S5225" t="s">
        <v>628</v>
      </c>
    </row>
    <row r="5226" spans="1:19" x14ac:dyDescent="0.2">
      <c r="A5226" t="s">
        <v>5837</v>
      </c>
      <c r="B5226" t="s">
        <v>75</v>
      </c>
      <c r="C5226" t="s">
        <v>602</v>
      </c>
      <c r="D5226">
        <v>3763.44</v>
      </c>
      <c r="E5226" s="37" t="str">
        <f t="shared" si="405"/>
        <v xml:space="preserve"> </v>
      </c>
      <c r="F5226">
        <v>0.3</v>
      </c>
      <c r="G5226" s="37" t="str">
        <f t="shared" si="406"/>
        <v>Normal Discount</v>
      </c>
      <c r="H5226" s="37" t="str">
        <f t="shared" si="407"/>
        <v>Medium</v>
      </c>
      <c r="I5226">
        <v>4</v>
      </c>
      <c r="J5226" t="str" cm="1">
        <f t="array" ref="J5226">_xlfn.IFS(I5226&lt;=3,"small",I5226&lt;=6,"Medium",I5226&lt;=9,"Large")</f>
        <v>Medium</v>
      </c>
      <c r="K5226" s="36">
        <v>44972</v>
      </c>
      <c r="L5226" s="36">
        <v>44974</v>
      </c>
      <c r="M5226" t="s">
        <v>598</v>
      </c>
      <c r="N5226" t="s">
        <v>608</v>
      </c>
      <c r="O5226" s="37" t="str">
        <f t="shared" si="408"/>
        <v>Cash Payment</v>
      </c>
      <c r="P5226">
        <v>1047.53</v>
      </c>
      <c r="Q5226" s="37" t="str">
        <f>IF(P5226&gt;500,"High","low")</f>
        <v>High</v>
      </c>
      <c r="R5226" s="37" t="str">
        <f t="shared" si="409"/>
        <v>Excellent</v>
      </c>
      <c r="S5226" t="s">
        <v>605</v>
      </c>
    </row>
    <row r="5227" spans="1:19" x14ac:dyDescent="0.2">
      <c r="A5227" t="s">
        <v>5838</v>
      </c>
      <c r="B5227" t="s">
        <v>67</v>
      </c>
      <c r="C5227" t="s">
        <v>602</v>
      </c>
      <c r="D5227">
        <v>2774.45</v>
      </c>
      <c r="E5227" s="37" t="str">
        <f t="shared" si="405"/>
        <v xml:space="preserve"> </v>
      </c>
      <c r="F5227">
        <v>0.47</v>
      </c>
      <c r="G5227" s="37" t="str">
        <f t="shared" si="406"/>
        <v>Heavy Discount</v>
      </c>
      <c r="H5227" s="37" t="str">
        <f t="shared" si="407"/>
        <v>High</v>
      </c>
      <c r="I5227">
        <v>2</v>
      </c>
      <c r="J5227" t="str" cm="1">
        <f t="array" ref="J5227">_xlfn.IFS(I5227&lt;=3,"small",I5227&lt;=6,"Medium",I5227&lt;=9,"Large")</f>
        <v>small</v>
      </c>
      <c r="K5227" s="36">
        <v>45372</v>
      </c>
      <c r="L5227" s="36">
        <v>45375</v>
      </c>
      <c r="M5227" t="s">
        <v>612</v>
      </c>
      <c r="N5227" t="s">
        <v>608</v>
      </c>
      <c r="O5227" s="37" t="str">
        <f t="shared" si="408"/>
        <v>Cash Payment</v>
      </c>
      <c r="P5227">
        <v>615.14</v>
      </c>
      <c r="Q5227" s="37" t="str">
        <f>IF(P5227&gt;500,"High","low")</f>
        <v>High</v>
      </c>
      <c r="R5227" s="37" t="str">
        <f t="shared" si="409"/>
        <v>Good</v>
      </c>
      <c r="S5227" t="s">
        <v>609</v>
      </c>
    </row>
    <row r="5228" spans="1:19" x14ac:dyDescent="0.2">
      <c r="A5228" t="s">
        <v>5839</v>
      </c>
      <c r="B5228" t="s">
        <v>75</v>
      </c>
      <c r="C5228" t="s">
        <v>597</v>
      </c>
      <c r="D5228">
        <v>1333.31</v>
      </c>
      <c r="E5228" s="37" t="str">
        <f t="shared" si="405"/>
        <v xml:space="preserve"> </v>
      </c>
      <c r="F5228">
        <v>0.5</v>
      </c>
      <c r="G5228" s="37" t="str">
        <f t="shared" si="406"/>
        <v>Heavy Discount</v>
      </c>
      <c r="H5228" s="37" t="str">
        <f t="shared" si="407"/>
        <v>High</v>
      </c>
      <c r="I5228">
        <v>1</v>
      </c>
      <c r="J5228" t="str" cm="1">
        <f t="array" ref="J5228">_xlfn.IFS(I5228&lt;=3,"small",I5228&lt;=6,"Medium",I5228&lt;=9,"Large")</f>
        <v>small</v>
      </c>
      <c r="K5228" s="36">
        <v>45388</v>
      </c>
      <c r="L5228" s="36">
        <v>45389</v>
      </c>
      <c r="M5228" t="s">
        <v>612</v>
      </c>
      <c r="N5228" t="s">
        <v>599</v>
      </c>
      <c r="O5228" s="37" t="str">
        <f t="shared" si="408"/>
        <v>Digital Payment</v>
      </c>
      <c r="P5228">
        <v>68.13</v>
      </c>
      <c r="Q5228" s="37" t="str">
        <f>IF(P5228&gt;500,"High","low")</f>
        <v>low</v>
      </c>
      <c r="R5228" s="37" t="str">
        <f t="shared" si="409"/>
        <v>AVERAGE</v>
      </c>
      <c r="S5228" t="s">
        <v>615</v>
      </c>
    </row>
    <row r="5229" spans="1:19" x14ac:dyDescent="0.2">
      <c r="A5229" t="s">
        <v>5840</v>
      </c>
      <c r="B5229" t="s">
        <v>67</v>
      </c>
      <c r="C5229" t="s">
        <v>617</v>
      </c>
      <c r="D5229">
        <v>1960.56</v>
      </c>
      <c r="E5229" s="37" t="str">
        <f t="shared" si="405"/>
        <v xml:space="preserve"> </v>
      </c>
      <c r="F5229">
        <v>0.22</v>
      </c>
      <c r="G5229" s="37" t="str">
        <f t="shared" si="406"/>
        <v>Normal Discount</v>
      </c>
      <c r="H5229" s="37" t="str">
        <f t="shared" si="407"/>
        <v>Medium</v>
      </c>
      <c r="I5229">
        <v>7</v>
      </c>
      <c r="J5229" t="str" cm="1">
        <f t="array" ref="J5229">_xlfn.IFS(I5229&lt;=3,"small",I5229&lt;=6,"Medium",I5229&lt;=9,"Large")</f>
        <v>Large</v>
      </c>
      <c r="K5229" s="36">
        <v>45371</v>
      </c>
      <c r="L5229" s="36">
        <v>45377</v>
      </c>
      <c r="M5229" t="s">
        <v>598</v>
      </c>
      <c r="N5229" t="s">
        <v>599</v>
      </c>
      <c r="O5229" s="37" t="str">
        <f t="shared" si="408"/>
        <v>Digital Payment</v>
      </c>
      <c r="P5229">
        <v>294.77999999999997</v>
      </c>
      <c r="Q5229" s="37" t="str">
        <f>IF(P5229&gt;500,"High","low")</f>
        <v>low</v>
      </c>
      <c r="R5229" s="37" t="str">
        <f t="shared" si="409"/>
        <v>AVERAGE</v>
      </c>
      <c r="S5229" t="s">
        <v>620</v>
      </c>
    </row>
    <row r="5230" spans="1:19" x14ac:dyDescent="0.2">
      <c r="A5230" t="s">
        <v>5841</v>
      </c>
      <c r="B5230" t="s">
        <v>75</v>
      </c>
      <c r="C5230" t="s">
        <v>597</v>
      </c>
      <c r="D5230">
        <v>867.8</v>
      </c>
      <c r="E5230" s="37" t="str">
        <f t="shared" si="405"/>
        <v xml:space="preserve"> </v>
      </c>
      <c r="F5230">
        <v>0.33</v>
      </c>
      <c r="G5230" s="37" t="str">
        <f t="shared" si="406"/>
        <v>Heavy Discount</v>
      </c>
      <c r="H5230" s="37" t="str">
        <f t="shared" si="407"/>
        <v>Medium</v>
      </c>
      <c r="I5230">
        <v>9</v>
      </c>
      <c r="J5230" t="str" cm="1">
        <f t="array" ref="J5230">_xlfn.IFS(I5230&lt;=3,"small",I5230&lt;=6,"Medium",I5230&lt;=9,"Large")</f>
        <v>Large</v>
      </c>
      <c r="K5230" s="36">
        <v>45479</v>
      </c>
      <c r="L5230" s="36">
        <v>45482</v>
      </c>
      <c r="M5230" t="s">
        <v>603</v>
      </c>
      <c r="N5230" t="s">
        <v>599</v>
      </c>
      <c r="O5230" s="37" t="str">
        <f t="shared" si="408"/>
        <v>Digital Payment</v>
      </c>
      <c r="P5230">
        <v>79.19</v>
      </c>
      <c r="Q5230" s="37" t="str">
        <f>IF(P5230&gt;500,"High","low")</f>
        <v>low</v>
      </c>
      <c r="R5230" s="37" t="str">
        <f t="shared" si="409"/>
        <v>AVERAGE</v>
      </c>
      <c r="S5230" t="s">
        <v>609</v>
      </c>
    </row>
    <row r="5231" spans="1:19" x14ac:dyDescent="0.2">
      <c r="A5231" t="s">
        <v>5842</v>
      </c>
      <c r="B5231" t="s">
        <v>67</v>
      </c>
      <c r="C5231" t="s">
        <v>614</v>
      </c>
      <c r="D5231">
        <v>1831.99</v>
      </c>
      <c r="E5231" s="37" t="str">
        <f t="shared" si="405"/>
        <v xml:space="preserve"> </v>
      </c>
      <c r="F5231">
        <v>0.11</v>
      </c>
      <c r="G5231" s="37" t="str">
        <f t="shared" si="406"/>
        <v>Normal Discount</v>
      </c>
      <c r="H5231" s="37" t="str">
        <f t="shared" si="407"/>
        <v>Low</v>
      </c>
      <c r="I5231">
        <v>9</v>
      </c>
      <c r="J5231" t="str" cm="1">
        <f t="array" ref="J5231">_xlfn.IFS(I5231&lt;=3,"small",I5231&lt;=6,"Medium",I5231&lt;=9,"Large")</f>
        <v>Large</v>
      </c>
      <c r="K5231" s="36">
        <v>45069</v>
      </c>
      <c r="L5231" s="36">
        <v>45070</v>
      </c>
      <c r="M5231" t="s">
        <v>612</v>
      </c>
      <c r="N5231" t="s">
        <v>599</v>
      </c>
      <c r="O5231" s="37" t="str">
        <f t="shared" si="408"/>
        <v>Digital Payment</v>
      </c>
      <c r="P5231">
        <v>421.91</v>
      </c>
      <c r="Q5231" s="37" t="str">
        <f>IF(P5231&gt;500,"High","low")</f>
        <v>low</v>
      </c>
      <c r="R5231" s="37" t="str">
        <f t="shared" si="409"/>
        <v>AVERAGE</v>
      </c>
      <c r="S5231" t="s">
        <v>620</v>
      </c>
    </row>
    <row r="5232" spans="1:19" x14ac:dyDescent="0.2">
      <c r="A5232" t="s">
        <v>5843</v>
      </c>
      <c r="B5232" t="s">
        <v>90</v>
      </c>
      <c r="C5232" t="s">
        <v>614</v>
      </c>
      <c r="D5232">
        <v>838.1</v>
      </c>
      <c r="E5232" s="37" t="str">
        <f t="shared" si="405"/>
        <v xml:space="preserve"> </v>
      </c>
      <c r="F5232">
        <v>0.24</v>
      </c>
      <c r="G5232" s="37" t="str">
        <f t="shared" si="406"/>
        <v>Normal Discount</v>
      </c>
      <c r="H5232" s="37" t="str">
        <f t="shared" si="407"/>
        <v>Medium</v>
      </c>
      <c r="I5232">
        <v>1</v>
      </c>
      <c r="J5232" t="str" cm="1">
        <f t="array" ref="J5232">_xlfn.IFS(I5232&lt;=3,"small",I5232&lt;=6,"Medium",I5232&lt;=9,"Large")</f>
        <v>small</v>
      </c>
      <c r="K5232" s="36">
        <v>45482</v>
      </c>
      <c r="L5232" s="36">
        <v>45485</v>
      </c>
      <c r="M5232" t="s">
        <v>612</v>
      </c>
      <c r="N5232" t="s">
        <v>599</v>
      </c>
      <c r="O5232" s="37" t="str">
        <f t="shared" si="408"/>
        <v>Digital Payment</v>
      </c>
      <c r="P5232">
        <v>247.77</v>
      </c>
      <c r="Q5232" s="37" t="str">
        <f>IF(P5232&gt;500,"High","low")</f>
        <v>low</v>
      </c>
      <c r="R5232" s="37" t="str">
        <f t="shared" si="409"/>
        <v>AVERAGE</v>
      </c>
      <c r="S5232" t="s">
        <v>628</v>
      </c>
    </row>
    <row r="5233" spans="1:19" x14ac:dyDescent="0.2">
      <c r="A5233" t="s">
        <v>5844</v>
      </c>
      <c r="B5233" t="s">
        <v>75</v>
      </c>
      <c r="C5233" t="s">
        <v>614</v>
      </c>
      <c r="D5233">
        <v>3997</v>
      </c>
      <c r="E5233" s="37" t="str">
        <f t="shared" si="405"/>
        <v xml:space="preserve"> </v>
      </c>
      <c r="F5233">
        <v>0.04</v>
      </c>
      <c r="G5233" s="37" t="str">
        <f t="shared" si="406"/>
        <v>Normal Discount</v>
      </c>
      <c r="H5233" s="37" t="str">
        <f t="shared" si="407"/>
        <v>Low</v>
      </c>
      <c r="I5233">
        <v>9</v>
      </c>
      <c r="J5233" t="str" cm="1">
        <f t="array" ref="J5233">_xlfn.IFS(I5233&lt;=3,"small",I5233&lt;=6,"Medium",I5233&lt;=9,"Large")</f>
        <v>Large</v>
      </c>
      <c r="K5233" s="36">
        <v>45181</v>
      </c>
      <c r="L5233" s="36">
        <v>45187</v>
      </c>
      <c r="M5233" t="s">
        <v>603</v>
      </c>
      <c r="N5233" t="s">
        <v>608</v>
      </c>
      <c r="O5233" s="37" t="str">
        <f t="shared" si="408"/>
        <v>Cash Payment</v>
      </c>
      <c r="P5233">
        <v>698.27</v>
      </c>
      <c r="Q5233" s="37" t="str">
        <f>IF(P5233&gt;500,"High","low")</f>
        <v>High</v>
      </c>
      <c r="R5233" s="37" t="str">
        <f t="shared" si="409"/>
        <v>Good</v>
      </c>
      <c r="S5233" t="s">
        <v>620</v>
      </c>
    </row>
    <row r="5234" spans="1:19" x14ac:dyDescent="0.2">
      <c r="A5234" t="s">
        <v>5845</v>
      </c>
      <c r="B5234" t="s">
        <v>75</v>
      </c>
      <c r="C5234" t="s">
        <v>617</v>
      </c>
      <c r="D5234">
        <v>495.72</v>
      </c>
      <c r="E5234" s="37" t="str">
        <f t="shared" si="405"/>
        <v xml:space="preserve"> </v>
      </c>
      <c r="F5234">
        <v>0.01</v>
      </c>
      <c r="G5234" s="37" t="str">
        <f t="shared" si="406"/>
        <v>Normal Discount</v>
      </c>
      <c r="H5234" s="37" t="str">
        <f t="shared" si="407"/>
        <v>Low</v>
      </c>
      <c r="I5234">
        <v>1</v>
      </c>
      <c r="J5234" t="str" cm="1">
        <f t="array" ref="J5234">_xlfn.IFS(I5234&lt;=3,"small",I5234&lt;=6,"Medium",I5234&lt;=9,"Large")</f>
        <v>small</v>
      </c>
      <c r="K5234" s="36">
        <v>45567</v>
      </c>
      <c r="L5234" s="36">
        <v>45568</v>
      </c>
      <c r="M5234" t="s">
        <v>603</v>
      </c>
      <c r="N5234" t="s">
        <v>608</v>
      </c>
      <c r="O5234" s="37" t="str">
        <f t="shared" si="408"/>
        <v>Cash Payment</v>
      </c>
      <c r="P5234">
        <v>146.36000000000001</v>
      </c>
      <c r="Q5234" s="37" t="str">
        <f>IF(P5234&gt;500,"High","low")</f>
        <v>low</v>
      </c>
      <c r="R5234" s="37" t="str">
        <f t="shared" si="409"/>
        <v>AVERAGE</v>
      </c>
      <c r="S5234" t="s">
        <v>615</v>
      </c>
    </row>
    <row r="5235" spans="1:19" x14ac:dyDescent="0.2">
      <c r="A5235" t="s">
        <v>5846</v>
      </c>
      <c r="B5235" t="s">
        <v>90</v>
      </c>
      <c r="C5235" t="s">
        <v>607</v>
      </c>
      <c r="D5235">
        <v>1028.0899999999999</v>
      </c>
      <c r="E5235" s="37" t="str">
        <f t="shared" si="405"/>
        <v xml:space="preserve"> </v>
      </c>
      <c r="F5235">
        <v>0.45</v>
      </c>
      <c r="G5235" s="37" t="str">
        <f t="shared" si="406"/>
        <v>Heavy Discount</v>
      </c>
      <c r="H5235" s="37" t="str">
        <f t="shared" si="407"/>
        <v>High</v>
      </c>
      <c r="I5235">
        <v>1</v>
      </c>
      <c r="J5235" t="str" cm="1">
        <f t="array" ref="J5235">_xlfn.IFS(I5235&lt;=3,"small",I5235&lt;=6,"Medium",I5235&lt;=9,"Large")</f>
        <v>small</v>
      </c>
      <c r="K5235" s="36">
        <v>45037</v>
      </c>
      <c r="L5235" s="36">
        <v>45043</v>
      </c>
      <c r="M5235" t="s">
        <v>598</v>
      </c>
      <c r="N5235" t="s">
        <v>608</v>
      </c>
      <c r="O5235" s="37" t="str">
        <f t="shared" si="408"/>
        <v>Cash Payment</v>
      </c>
      <c r="P5235">
        <v>122.32</v>
      </c>
      <c r="Q5235" s="37" t="str">
        <f>IF(P5235&gt;500,"High","low")</f>
        <v>low</v>
      </c>
      <c r="R5235" s="37" t="str">
        <f t="shared" si="409"/>
        <v>AVERAGE</v>
      </c>
      <c r="S5235" t="s">
        <v>620</v>
      </c>
    </row>
    <row r="5236" spans="1:19" x14ac:dyDescent="0.2">
      <c r="A5236" t="s">
        <v>5847</v>
      </c>
      <c r="B5236" t="s">
        <v>90</v>
      </c>
      <c r="C5236" t="s">
        <v>617</v>
      </c>
      <c r="D5236">
        <v>3486.72</v>
      </c>
      <c r="E5236" s="37" t="str">
        <f t="shared" si="405"/>
        <v xml:space="preserve"> </v>
      </c>
      <c r="F5236">
        <v>0.43</v>
      </c>
      <c r="G5236" s="37" t="str">
        <f t="shared" si="406"/>
        <v>Heavy Discount</v>
      </c>
      <c r="H5236" s="37" t="str">
        <f t="shared" si="407"/>
        <v>High</v>
      </c>
      <c r="I5236">
        <v>2</v>
      </c>
      <c r="J5236" t="str" cm="1">
        <f t="array" ref="J5236">_xlfn.IFS(I5236&lt;=3,"small",I5236&lt;=6,"Medium",I5236&lt;=9,"Large")</f>
        <v>small</v>
      </c>
      <c r="K5236" s="36">
        <v>45151</v>
      </c>
      <c r="L5236" s="36">
        <v>45156</v>
      </c>
      <c r="M5236" t="s">
        <v>603</v>
      </c>
      <c r="N5236" t="s">
        <v>604</v>
      </c>
      <c r="O5236" s="37" t="str">
        <f t="shared" si="408"/>
        <v>Digital Payment</v>
      </c>
      <c r="P5236">
        <v>680.82</v>
      </c>
      <c r="Q5236" s="37" t="str">
        <f>IF(P5236&gt;500,"High","low")</f>
        <v>High</v>
      </c>
      <c r="R5236" s="37" t="str">
        <f t="shared" si="409"/>
        <v>Good</v>
      </c>
      <c r="S5236" t="s">
        <v>609</v>
      </c>
    </row>
    <row r="5237" spans="1:19" x14ac:dyDescent="0.2">
      <c r="A5237" t="s">
        <v>5848</v>
      </c>
      <c r="B5237" t="s">
        <v>75</v>
      </c>
      <c r="C5237" t="s">
        <v>597</v>
      </c>
      <c r="D5237">
        <v>4522.33</v>
      </c>
      <c r="E5237" s="37" t="str">
        <f t="shared" si="405"/>
        <v>Excellent Order</v>
      </c>
      <c r="F5237">
        <v>0.16</v>
      </c>
      <c r="G5237" s="37" t="str">
        <f t="shared" si="406"/>
        <v>Normal Discount</v>
      </c>
      <c r="H5237" s="37" t="str">
        <f t="shared" si="407"/>
        <v>Low</v>
      </c>
      <c r="I5237">
        <v>6</v>
      </c>
      <c r="J5237" t="str" cm="1">
        <f t="array" ref="J5237">_xlfn.IFS(I5237&lt;=3,"small",I5237&lt;=6,"Medium",I5237&lt;=9,"Large")</f>
        <v>Medium</v>
      </c>
      <c r="K5237" s="36">
        <v>45119</v>
      </c>
      <c r="L5237" s="36">
        <v>45121</v>
      </c>
      <c r="M5237" t="s">
        <v>598</v>
      </c>
      <c r="N5237" t="s">
        <v>599</v>
      </c>
      <c r="O5237" s="37" t="str">
        <f t="shared" si="408"/>
        <v>Digital Payment</v>
      </c>
      <c r="P5237">
        <v>842.46</v>
      </c>
      <c r="Q5237" s="37" t="str">
        <f>IF(P5237&gt;500,"High","low")</f>
        <v>High</v>
      </c>
      <c r="R5237" s="37" t="str">
        <f t="shared" si="409"/>
        <v>Good</v>
      </c>
      <c r="S5237" t="s">
        <v>605</v>
      </c>
    </row>
    <row r="5238" spans="1:19" x14ac:dyDescent="0.2">
      <c r="A5238" t="s">
        <v>5849</v>
      </c>
      <c r="B5238" t="s">
        <v>90</v>
      </c>
      <c r="C5238" t="s">
        <v>607</v>
      </c>
      <c r="D5238">
        <v>4826.5</v>
      </c>
      <c r="E5238" s="37" t="str">
        <f t="shared" si="405"/>
        <v>Excellent Order</v>
      </c>
      <c r="F5238">
        <v>0.23</v>
      </c>
      <c r="G5238" s="37" t="str">
        <f t="shared" si="406"/>
        <v>Normal Discount</v>
      </c>
      <c r="H5238" s="37" t="str">
        <f t="shared" si="407"/>
        <v>Medium</v>
      </c>
      <c r="I5238">
        <v>9</v>
      </c>
      <c r="J5238" t="str" cm="1">
        <f t="array" ref="J5238">_xlfn.IFS(I5238&lt;=3,"small",I5238&lt;=6,"Medium",I5238&lt;=9,"Large")</f>
        <v>Large</v>
      </c>
      <c r="K5238" s="36">
        <v>45043</v>
      </c>
      <c r="L5238" s="36">
        <v>45045</v>
      </c>
      <c r="M5238" t="s">
        <v>603</v>
      </c>
      <c r="N5238" t="s">
        <v>608</v>
      </c>
      <c r="O5238" s="37" t="str">
        <f t="shared" si="408"/>
        <v>Cash Payment</v>
      </c>
      <c r="P5238">
        <v>1201.72</v>
      </c>
      <c r="Q5238" s="37" t="str">
        <f>IF(P5238&gt;500,"High","low")</f>
        <v>High</v>
      </c>
      <c r="R5238" s="37" t="str">
        <f t="shared" si="409"/>
        <v>Excellent</v>
      </c>
      <c r="S5238" t="s">
        <v>609</v>
      </c>
    </row>
    <row r="5239" spans="1:19" x14ac:dyDescent="0.2">
      <c r="A5239" t="s">
        <v>5850</v>
      </c>
      <c r="B5239" t="s">
        <v>83</v>
      </c>
      <c r="C5239" t="s">
        <v>607</v>
      </c>
      <c r="D5239">
        <v>4196.51</v>
      </c>
      <c r="E5239" s="37" t="str">
        <f t="shared" si="405"/>
        <v xml:space="preserve"> </v>
      </c>
      <c r="F5239">
        <v>0.25</v>
      </c>
      <c r="G5239" s="37" t="str">
        <f t="shared" si="406"/>
        <v>Normal Discount</v>
      </c>
      <c r="H5239" s="37" t="str">
        <f t="shared" si="407"/>
        <v>Medium</v>
      </c>
      <c r="I5239">
        <v>5</v>
      </c>
      <c r="J5239" t="str" cm="1">
        <f t="array" ref="J5239">_xlfn.IFS(I5239&lt;=3,"small",I5239&lt;=6,"Medium",I5239&lt;=9,"Large")</f>
        <v>Medium</v>
      </c>
      <c r="K5239" s="36">
        <v>45344</v>
      </c>
      <c r="L5239" s="36">
        <v>45347</v>
      </c>
      <c r="M5239" t="s">
        <v>612</v>
      </c>
      <c r="N5239" t="s">
        <v>599</v>
      </c>
      <c r="O5239" s="37" t="str">
        <f t="shared" si="408"/>
        <v>Digital Payment</v>
      </c>
      <c r="P5239">
        <v>484.07</v>
      </c>
      <c r="Q5239" s="37" t="str">
        <f>IF(P5239&gt;500,"High","low")</f>
        <v>low</v>
      </c>
      <c r="R5239" s="37" t="str">
        <f t="shared" si="409"/>
        <v>AVERAGE</v>
      </c>
      <c r="S5239" t="s">
        <v>609</v>
      </c>
    </row>
    <row r="5240" spans="1:19" x14ac:dyDescent="0.2">
      <c r="A5240" t="s">
        <v>5851</v>
      </c>
      <c r="B5240" t="s">
        <v>67</v>
      </c>
      <c r="C5240" t="s">
        <v>597</v>
      </c>
      <c r="D5240">
        <v>1136.21</v>
      </c>
      <c r="E5240" s="37" t="str">
        <f t="shared" si="405"/>
        <v xml:space="preserve"> </v>
      </c>
      <c r="F5240">
        <v>0.26</v>
      </c>
      <c r="G5240" s="37" t="str">
        <f t="shared" si="406"/>
        <v>Normal Discount</v>
      </c>
      <c r="H5240" s="37" t="str">
        <f t="shared" si="407"/>
        <v>Medium</v>
      </c>
      <c r="I5240">
        <v>9</v>
      </c>
      <c r="J5240" t="str" cm="1">
        <f t="array" ref="J5240">_xlfn.IFS(I5240&lt;=3,"small",I5240&lt;=6,"Medium",I5240&lt;=9,"Large")</f>
        <v>Large</v>
      </c>
      <c r="K5240" s="36">
        <v>45314</v>
      </c>
      <c r="L5240" s="36">
        <v>45321</v>
      </c>
      <c r="M5240" t="s">
        <v>603</v>
      </c>
      <c r="N5240" t="s">
        <v>604</v>
      </c>
      <c r="O5240" s="37" t="str">
        <f t="shared" si="408"/>
        <v>Digital Payment</v>
      </c>
      <c r="P5240">
        <v>130.43</v>
      </c>
      <c r="Q5240" s="37" t="str">
        <f>IF(P5240&gt;500,"High","low")</f>
        <v>low</v>
      </c>
      <c r="R5240" s="37" t="str">
        <f t="shared" si="409"/>
        <v>AVERAGE</v>
      </c>
      <c r="S5240" t="s">
        <v>615</v>
      </c>
    </row>
    <row r="5241" spans="1:19" x14ac:dyDescent="0.2">
      <c r="A5241" t="s">
        <v>5852</v>
      </c>
      <c r="B5241" t="s">
        <v>67</v>
      </c>
      <c r="C5241" t="s">
        <v>607</v>
      </c>
      <c r="D5241">
        <v>1499.99</v>
      </c>
      <c r="E5241" s="37" t="str">
        <f t="shared" si="405"/>
        <v xml:space="preserve"> </v>
      </c>
      <c r="F5241">
        <v>7.0000000000000007E-2</v>
      </c>
      <c r="G5241" s="37" t="str">
        <f t="shared" si="406"/>
        <v>Normal Discount</v>
      </c>
      <c r="H5241" s="37" t="str">
        <f t="shared" si="407"/>
        <v>Low</v>
      </c>
      <c r="I5241">
        <v>9</v>
      </c>
      <c r="J5241" t="str" cm="1">
        <f t="array" ref="J5241">_xlfn.IFS(I5241&lt;=3,"small",I5241&lt;=6,"Medium",I5241&lt;=9,"Large")</f>
        <v>Large</v>
      </c>
      <c r="K5241" s="36">
        <v>45312</v>
      </c>
      <c r="L5241" s="36">
        <v>45313</v>
      </c>
      <c r="M5241" t="s">
        <v>603</v>
      </c>
      <c r="N5241" t="s">
        <v>604</v>
      </c>
      <c r="O5241" s="37" t="str">
        <f t="shared" si="408"/>
        <v>Digital Payment</v>
      </c>
      <c r="P5241">
        <v>208.05</v>
      </c>
      <c r="Q5241" s="37" t="str">
        <f>IF(P5241&gt;500,"High","low")</f>
        <v>low</v>
      </c>
      <c r="R5241" s="37" t="str">
        <f t="shared" si="409"/>
        <v>AVERAGE</v>
      </c>
      <c r="S5241" t="s">
        <v>615</v>
      </c>
    </row>
    <row r="5242" spans="1:19" x14ac:dyDescent="0.2">
      <c r="A5242" t="s">
        <v>5853</v>
      </c>
      <c r="B5242" t="s">
        <v>67</v>
      </c>
      <c r="C5242" t="s">
        <v>602</v>
      </c>
      <c r="D5242">
        <v>4366.6899999999996</v>
      </c>
      <c r="E5242" s="37" t="str">
        <f t="shared" si="405"/>
        <v>Excellent Order</v>
      </c>
      <c r="F5242">
        <v>0.39</v>
      </c>
      <c r="G5242" s="37" t="str">
        <f t="shared" si="406"/>
        <v>Heavy Discount</v>
      </c>
      <c r="H5242" s="37" t="str">
        <f t="shared" si="407"/>
        <v>Medium</v>
      </c>
      <c r="I5242">
        <v>8</v>
      </c>
      <c r="J5242" t="str" cm="1">
        <f t="array" ref="J5242">_xlfn.IFS(I5242&lt;=3,"small",I5242&lt;=6,"Medium",I5242&lt;=9,"Large")</f>
        <v>Large</v>
      </c>
      <c r="K5242" s="36">
        <v>45349</v>
      </c>
      <c r="L5242" s="36">
        <v>45354</v>
      </c>
      <c r="M5242" t="s">
        <v>603</v>
      </c>
      <c r="N5242" t="s">
        <v>608</v>
      </c>
      <c r="O5242" s="37" t="str">
        <f t="shared" si="408"/>
        <v>Cash Payment</v>
      </c>
      <c r="P5242">
        <v>855.98</v>
      </c>
      <c r="Q5242" s="37" t="str">
        <f>IF(P5242&gt;500,"High","low")</f>
        <v>High</v>
      </c>
      <c r="R5242" s="37" t="str">
        <f t="shared" si="409"/>
        <v>Good</v>
      </c>
      <c r="S5242" t="s">
        <v>605</v>
      </c>
    </row>
    <row r="5243" spans="1:19" x14ac:dyDescent="0.2">
      <c r="A5243" t="s">
        <v>5854</v>
      </c>
      <c r="B5243" t="s">
        <v>83</v>
      </c>
      <c r="C5243" t="s">
        <v>597</v>
      </c>
      <c r="D5243">
        <v>4457.7299999999996</v>
      </c>
      <c r="E5243" s="37" t="str">
        <f t="shared" si="405"/>
        <v xml:space="preserve"> </v>
      </c>
      <c r="F5243">
        <v>0.17</v>
      </c>
      <c r="G5243" s="37" t="str">
        <f t="shared" si="406"/>
        <v>Normal Discount</v>
      </c>
      <c r="H5243" s="37" t="str">
        <f t="shared" si="407"/>
        <v>Low</v>
      </c>
      <c r="I5243">
        <v>7</v>
      </c>
      <c r="J5243" t="str" cm="1">
        <f t="array" ref="J5243">_xlfn.IFS(I5243&lt;=3,"small",I5243&lt;=6,"Medium",I5243&lt;=9,"Large")</f>
        <v>Large</v>
      </c>
      <c r="K5243" s="36">
        <v>45181</v>
      </c>
      <c r="L5243" s="36">
        <v>45183</v>
      </c>
      <c r="M5243" t="s">
        <v>603</v>
      </c>
      <c r="N5243" t="s">
        <v>604</v>
      </c>
      <c r="O5243" s="37" t="str">
        <f t="shared" si="408"/>
        <v>Digital Payment</v>
      </c>
      <c r="P5243">
        <v>373.78</v>
      </c>
      <c r="Q5243" s="37" t="str">
        <f>IF(P5243&gt;500,"High","low")</f>
        <v>low</v>
      </c>
      <c r="R5243" s="37" t="str">
        <f t="shared" si="409"/>
        <v>AVERAGE</v>
      </c>
      <c r="S5243" t="s">
        <v>615</v>
      </c>
    </row>
    <row r="5244" spans="1:19" x14ac:dyDescent="0.2">
      <c r="A5244" t="s">
        <v>5855</v>
      </c>
      <c r="B5244" t="s">
        <v>90</v>
      </c>
      <c r="C5244" t="s">
        <v>597</v>
      </c>
      <c r="D5244">
        <v>3239.2</v>
      </c>
      <c r="E5244" s="37" t="str">
        <f t="shared" si="405"/>
        <v xml:space="preserve"> </v>
      </c>
      <c r="F5244">
        <v>0.02</v>
      </c>
      <c r="G5244" s="37" t="str">
        <f t="shared" si="406"/>
        <v>Normal Discount</v>
      </c>
      <c r="H5244" s="37" t="str">
        <f t="shared" si="407"/>
        <v>Low</v>
      </c>
      <c r="I5244">
        <v>3</v>
      </c>
      <c r="J5244" t="str" cm="1">
        <f t="array" ref="J5244">_xlfn.IFS(I5244&lt;=3,"small",I5244&lt;=6,"Medium",I5244&lt;=9,"Large")</f>
        <v>small</v>
      </c>
      <c r="K5244" s="36">
        <v>45576</v>
      </c>
      <c r="L5244" s="36">
        <v>45579</v>
      </c>
      <c r="M5244" t="s">
        <v>603</v>
      </c>
      <c r="N5244" t="s">
        <v>599</v>
      </c>
      <c r="O5244" s="37" t="str">
        <f t="shared" si="408"/>
        <v>Digital Payment</v>
      </c>
      <c r="P5244">
        <v>935.26</v>
      </c>
      <c r="Q5244" s="37" t="str">
        <f>IF(P5244&gt;500,"High","low")</f>
        <v>High</v>
      </c>
      <c r="R5244" s="37" t="str">
        <f t="shared" si="409"/>
        <v>Good</v>
      </c>
      <c r="S5244" t="s">
        <v>600</v>
      </c>
    </row>
    <row r="5245" spans="1:19" x14ac:dyDescent="0.2">
      <c r="A5245" t="s">
        <v>5856</v>
      </c>
      <c r="B5245" t="s">
        <v>90</v>
      </c>
      <c r="C5245" t="s">
        <v>602</v>
      </c>
      <c r="D5245">
        <v>1636.84</v>
      </c>
      <c r="E5245" s="37" t="str">
        <f t="shared" si="405"/>
        <v xml:space="preserve"> </v>
      </c>
      <c r="F5245">
        <v>0.34</v>
      </c>
      <c r="G5245" s="37" t="str">
        <f t="shared" si="406"/>
        <v>Heavy Discount</v>
      </c>
      <c r="H5245" s="37" t="str">
        <f t="shared" si="407"/>
        <v>Medium</v>
      </c>
      <c r="I5245">
        <v>3</v>
      </c>
      <c r="J5245" t="str" cm="1">
        <f t="array" ref="J5245">_xlfn.IFS(I5245&lt;=3,"small",I5245&lt;=6,"Medium",I5245&lt;=9,"Large")</f>
        <v>small</v>
      </c>
      <c r="K5245" s="36">
        <v>45224</v>
      </c>
      <c r="L5245" s="36">
        <v>45226</v>
      </c>
      <c r="M5245" t="s">
        <v>598</v>
      </c>
      <c r="N5245" t="s">
        <v>599</v>
      </c>
      <c r="O5245" s="37" t="str">
        <f t="shared" si="408"/>
        <v>Digital Payment</v>
      </c>
      <c r="P5245">
        <v>270.33</v>
      </c>
      <c r="Q5245" s="37" t="str">
        <f>IF(P5245&gt;500,"High","low")</f>
        <v>low</v>
      </c>
      <c r="R5245" s="37" t="str">
        <f t="shared" si="409"/>
        <v>AVERAGE</v>
      </c>
      <c r="S5245" t="s">
        <v>605</v>
      </c>
    </row>
    <row r="5246" spans="1:19" x14ac:dyDescent="0.2">
      <c r="A5246" t="s">
        <v>5857</v>
      </c>
      <c r="B5246" t="s">
        <v>75</v>
      </c>
      <c r="C5246" t="s">
        <v>617</v>
      </c>
      <c r="D5246">
        <v>1197.8800000000001</v>
      </c>
      <c r="E5246" s="37" t="str">
        <f t="shared" si="405"/>
        <v xml:space="preserve"> </v>
      </c>
      <c r="F5246">
        <v>0.41</v>
      </c>
      <c r="G5246" s="37" t="str">
        <f t="shared" si="406"/>
        <v>Heavy Discount</v>
      </c>
      <c r="H5246" s="37" t="str">
        <f t="shared" si="407"/>
        <v>High</v>
      </c>
      <c r="I5246">
        <v>4</v>
      </c>
      <c r="J5246" t="str" cm="1">
        <f t="array" ref="J5246">_xlfn.IFS(I5246&lt;=3,"small",I5246&lt;=6,"Medium",I5246&lt;=9,"Large")</f>
        <v>Medium</v>
      </c>
      <c r="K5246" s="36">
        <v>45483</v>
      </c>
      <c r="L5246" s="36">
        <v>45489</v>
      </c>
      <c r="M5246" t="s">
        <v>598</v>
      </c>
      <c r="N5246" t="s">
        <v>608</v>
      </c>
      <c r="O5246" s="37" t="str">
        <f t="shared" si="408"/>
        <v>Cash Payment</v>
      </c>
      <c r="P5246">
        <v>210.63</v>
      </c>
      <c r="Q5246" s="37" t="str">
        <f>IF(P5246&gt;500,"High","low")</f>
        <v>low</v>
      </c>
      <c r="R5246" s="37" t="str">
        <f t="shared" si="409"/>
        <v>AVERAGE</v>
      </c>
      <c r="S5246" t="s">
        <v>609</v>
      </c>
    </row>
    <row r="5247" spans="1:19" x14ac:dyDescent="0.2">
      <c r="A5247" t="s">
        <v>5858</v>
      </c>
      <c r="B5247" t="s">
        <v>90</v>
      </c>
      <c r="C5247" t="s">
        <v>617</v>
      </c>
      <c r="D5247">
        <v>4276.1899999999996</v>
      </c>
      <c r="E5247" s="37" t="str">
        <f t="shared" si="405"/>
        <v xml:space="preserve"> </v>
      </c>
      <c r="F5247">
        <v>0.46</v>
      </c>
      <c r="G5247" s="37" t="str">
        <f t="shared" si="406"/>
        <v>Heavy Discount</v>
      </c>
      <c r="H5247" s="37" t="str">
        <f t="shared" si="407"/>
        <v>High</v>
      </c>
      <c r="I5247">
        <v>9</v>
      </c>
      <c r="J5247" t="str" cm="1">
        <f t="array" ref="J5247">_xlfn.IFS(I5247&lt;=3,"small",I5247&lt;=6,"Medium",I5247&lt;=9,"Large")</f>
        <v>Large</v>
      </c>
      <c r="K5247" s="36">
        <v>45539</v>
      </c>
      <c r="L5247" s="36">
        <v>45544</v>
      </c>
      <c r="M5247" t="s">
        <v>598</v>
      </c>
      <c r="N5247" t="s">
        <v>604</v>
      </c>
      <c r="O5247" s="37" t="str">
        <f t="shared" si="408"/>
        <v>Digital Payment</v>
      </c>
      <c r="P5247">
        <v>652.91</v>
      </c>
      <c r="Q5247" s="37" t="str">
        <f>IF(P5247&gt;500,"High","low")</f>
        <v>High</v>
      </c>
      <c r="R5247" s="37" t="str">
        <f t="shared" si="409"/>
        <v>Good</v>
      </c>
      <c r="S5247" t="s">
        <v>609</v>
      </c>
    </row>
    <row r="5248" spans="1:19" x14ac:dyDescent="0.2">
      <c r="A5248" t="s">
        <v>5859</v>
      </c>
      <c r="B5248" t="s">
        <v>75</v>
      </c>
      <c r="C5248" t="s">
        <v>617</v>
      </c>
      <c r="D5248">
        <v>1105.75</v>
      </c>
      <c r="E5248" s="37" t="str">
        <f t="shared" si="405"/>
        <v xml:space="preserve"> </v>
      </c>
      <c r="F5248">
        <v>0.34</v>
      </c>
      <c r="G5248" s="37" t="str">
        <f t="shared" si="406"/>
        <v>Heavy Discount</v>
      </c>
      <c r="H5248" s="37" t="str">
        <f t="shared" si="407"/>
        <v>Medium</v>
      </c>
      <c r="I5248">
        <v>3</v>
      </c>
      <c r="J5248" t="str" cm="1">
        <f t="array" ref="J5248">_xlfn.IFS(I5248&lt;=3,"small",I5248&lt;=6,"Medium",I5248&lt;=9,"Large")</f>
        <v>small</v>
      </c>
      <c r="K5248" s="36">
        <v>45336</v>
      </c>
      <c r="L5248" s="36">
        <v>45338</v>
      </c>
      <c r="M5248" t="s">
        <v>612</v>
      </c>
      <c r="N5248" t="s">
        <v>608</v>
      </c>
      <c r="O5248" s="37" t="str">
        <f t="shared" si="408"/>
        <v>Cash Payment</v>
      </c>
      <c r="P5248">
        <v>162.35</v>
      </c>
      <c r="Q5248" s="37" t="str">
        <f>IF(P5248&gt;500,"High","low")</f>
        <v>low</v>
      </c>
      <c r="R5248" s="37" t="str">
        <f t="shared" si="409"/>
        <v>AVERAGE</v>
      </c>
      <c r="S5248" t="s">
        <v>615</v>
      </c>
    </row>
    <row r="5249" spans="1:19" x14ac:dyDescent="0.2">
      <c r="A5249" t="s">
        <v>5860</v>
      </c>
      <c r="B5249" t="s">
        <v>83</v>
      </c>
      <c r="C5249" t="s">
        <v>607</v>
      </c>
      <c r="D5249">
        <v>3342.84</v>
      </c>
      <c r="E5249" s="37" t="str">
        <f t="shared" si="405"/>
        <v xml:space="preserve"> </v>
      </c>
      <c r="F5249">
        <v>0.1</v>
      </c>
      <c r="G5249" s="37" t="str">
        <f t="shared" si="406"/>
        <v>Normal Discount</v>
      </c>
      <c r="H5249" s="37" t="str">
        <f t="shared" si="407"/>
        <v>Low</v>
      </c>
      <c r="I5249">
        <v>8</v>
      </c>
      <c r="J5249" t="str" cm="1">
        <f t="array" ref="J5249">_xlfn.IFS(I5249&lt;=3,"small",I5249&lt;=6,"Medium",I5249&lt;=9,"Large")</f>
        <v>Large</v>
      </c>
      <c r="K5249" s="36">
        <v>45605</v>
      </c>
      <c r="L5249" s="36">
        <v>45611</v>
      </c>
      <c r="M5249" t="s">
        <v>598</v>
      </c>
      <c r="N5249" t="s">
        <v>608</v>
      </c>
      <c r="O5249" s="37" t="str">
        <f t="shared" si="408"/>
        <v>Cash Payment</v>
      </c>
      <c r="P5249">
        <v>548.53</v>
      </c>
      <c r="Q5249" s="37" t="str">
        <f>IF(P5249&gt;500,"High","low")</f>
        <v>High</v>
      </c>
      <c r="R5249" s="37" t="str">
        <f t="shared" si="409"/>
        <v>Good</v>
      </c>
      <c r="S5249" t="s">
        <v>600</v>
      </c>
    </row>
    <row r="5250" spans="1:19" x14ac:dyDescent="0.2">
      <c r="A5250" t="s">
        <v>5861</v>
      </c>
      <c r="B5250" t="s">
        <v>67</v>
      </c>
      <c r="C5250" t="s">
        <v>602</v>
      </c>
      <c r="D5250">
        <v>4842.97</v>
      </c>
      <c r="E5250" s="37" t="str">
        <f t="shared" si="405"/>
        <v xml:space="preserve"> </v>
      </c>
      <c r="F5250">
        <v>0.28999999999999998</v>
      </c>
      <c r="G5250" s="37" t="str">
        <f t="shared" si="406"/>
        <v>Normal Discount</v>
      </c>
      <c r="H5250" s="37" t="str">
        <f t="shared" si="407"/>
        <v>Medium</v>
      </c>
      <c r="I5250">
        <v>8</v>
      </c>
      <c r="J5250" t="str" cm="1">
        <f t="array" ref="J5250">_xlfn.IFS(I5250&lt;=3,"small",I5250&lt;=6,"Medium",I5250&lt;=9,"Large")</f>
        <v>Large</v>
      </c>
      <c r="K5250" s="36">
        <v>45292</v>
      </c>
      <c r="L5250" s="36">
        <v>45299</v>
      </c>
      <c r="M5250" t="s">
        <v>612</v>
      </c>
      <c r="N5250" t="s">
        <v>599</v>
      </c>
      <c r="O5250" s="37" t="str">
        <f t="shared" si="408"/>
        <v>Digital Payment</v>
      </c>
      <c r="P5250">
        <v>535.62</v>
      </c>
      <c r="Q5250" s="37" t="str">
        <f>IF(P5250&gt;500,"High","low")</f>
        <v>High</v>
      </c>
      <c r="R5250" s="37" t="str">
        <f t="shared" si="409"/>
        <v>Good</v>
      </c>
      <c r="S5250" t="s">
        <v>605</v>
      </c>
    </row>
    <row r="5251" spans="1:19" x14ac:dyDescent="0.2">
      <c r="A5251" t="s">
        <v>5862</v>
      </c>
      <c r="B5251" t="s">
        <v>67</v>
      </c>
      <c r="C5251" t="s">
        <v>597</v>
      </c>
      <c r="D5251">
        <v>3555.93</v>
      </c>
      <c r="E5251" s="37" t="str">
        <f t="shared" ref="E5251:E5314" si="410">IF(AND(D5251&gt;4000,P5251&gt;800),"Excellent Order"," ")</f>
        <v xml:space="preserve"> </v>
      </c>
      <c r="F5251">
        <v>0.46</v>
      </c>
      <c r="G5251" s="37" t="str">
        <f t="shared" ref="G5251:G5314" si="411">IF(F5251&gt;30%,"Heavy Discount","Normal Discount")</f>
        <v>Heavy Discount</v>
      </c>
      <c r="H5251" s="37" t="str">
        <f t="shared" ref="H5251:H5314" si="412">IF(F5251&gt;0.4,"High",IF(F5251&gt;=0.2,"Medium","Low"))</f>
        <v>High</v>
      </c>
      <c r="I5251">
        <v>6</v>
      </c>
      <c r="J5251" t="str" cm="1">
        <f t="array" ref="J5251">_xlfn.IFS(I5251&lt;=3,"small",I5251&lt;=6,"Medium",I5251&lt;=9,"Large")</f>
        <v>Medium</v>
      </c>
      <c r="K5251" s="36">
        <v>45392</v>
      </c>
      <c r="L5251" s="36">
        <v>45398</v>
      </c>
      <c r="M5251" t="s">
        <v>612</v>
      </c>
      <c r="N5251" t="s">
        <v>608</v>
      </c>
      <c r="O5251" s="37" t="str">
        <f t="shared" ref="O5251:O5314" si="413">IF(OR(N5251="Card",N5251="UPI"),"Digital Payment","Cash Payment")</f>
        <v>Cash Payment</v>
      </c>
      <c r="P5251">
        <v>309.26</v>
      </c>
      <c r="Q5251" s="37" t="str">
        <f>IF(P5251&gt;500,"High","low")</f>
        <v>low</v>
      </c>
      <c r="R5251" s="37" t="str">
        <f t="shared" ref="R5251:R5314" si="414">IF(P5251&gt;1000,"Excellent",IF(P5251&gt;=500,"Good","AVERAGE"))</f>
        <v>AVERAGE</v>
      </c>
      <c r="S5251" t="s">
        <v>605</v>
      </c>
    </row>
    <row r="5252" spans="1:19" x14ac:dyDescent="0.2">
      <c r="A5252" t="s">
        <v>5863</v>
      </c>
      <c r="B5252" t="s">
        <v>67</v>
      </c>
      <c r="C5252" t="s">
        <v>597</v>
      </c>
      <c r="D5252">
        <v>1362.58</v>
      </c>
      <c r="E5252" s="37" t="str">
        <f t="shared" si="410"/>
        <v xml:space="preserve"> </v>
      </c>
      <c r="F5252">
        <v>0.18</v>
      </c>
      <c r="G5252" s="37" t="str">
        <f t="shared" si="411"/>
        <v>Normal Discount</v>
      </c>
      <c r="H5252" s="37" t="str">
        <f t="shared" si="412"/>
        <v>Low</v>
      </c>
      <c r="I5252">
        <v>2</v>
      </c>
      <c r="J5252" t="str" cm="1">
        <f t="array" ref="J5252">_xlfn.IFS(I5252&lt;=3,"small",I5252&lt;=6,"Medium",I5252&lt;=9,"Large")</f>
        <v>small</v>
      </c>
      <c r="K5252" s="36">
        <v>45460</v>
      </c>
      <c r="L5252" s="36">
        <v>45466</v>
      </c>
      <c r="M5252" t="s">
        <v>612</v>
      </c>
      <c r="N5252" t="s">
        <v>599</v>
      </c>
      <c r="O5252" s="37" t="str">
        <f t="shared" si="413"/>
        <v>Digital Payment</v>
      </c>
      <c r="P5252">
        <v>216.76</v>
      </c>
      <c r="Q5252" s="37" t="str">
        <f>IF(P5252&gt;500,"High","low")</f>
        <v>low</v>
      </c>
      <c r="R5252" s="37" t="str">
        <f t="shared" si="414"/>
        <v>AVERAGE</v>
      </c>
      <c r="S5252" t="s">
        <v>600</v>
      </c>
    </row>
    <row r="5253" spans="1:19" x14ac:dyDescent="0.2">
      <c r="A5253" t="s">
        <v>5864</v>
      </c>
      <c r="B5253" t="s">
        <v>90</v>
      </c>
      <c r="C5253" t="s">
        <v>597</v>
      </c>
      <c r="D5253">
        <v>1484.28</v>
      </c>
      <c r="E5253" s="37" t="str">
        <f t="shared" si="410"/>
        <v xml:space="preserve"> </v>
      </c>
      <c r="F5253">
        <v>0.48</v>
      </c>
      <c r="G5253" s="37" t="str">
        <f t="shared" si="411"/>
        <v>Heavy Discount</v>
      </c>
      <c r="H5253" s="37" t="str">
        <f t="shared" si="412"/>
        <v>High</v>
      </c>
      <c r="I5253">
        <v>6</v>
      </c>
      <c r="J5253" t="str" cm="1">
        <f t="array" ref="J5253">_xlfn.IFS(I5253&lt;=3,"small",I5253&lt;=6,"Medium",I5253&lt;=9,"Large")</f>
        <v>Medium</v>
      </c>
      <c r="K5253" s="36">
        <v>45297</v>
      </c>
      <c r="L5253" s="36">
        <v>45301</v>
      </c>
      <c r="M5253" t="s">
        <v>598</v>
      </c>
      <c r="N5253" t="s">
        <v>608</v>
      </c>
      <c r="O5253" s="37" t="str">
        <f t="shared" si="413"/>
        <v>Cash Payment</v>
      </c>
      <c r="P5253">
        <v>325.23</v>
      </c>
      <c r="Q5253" s="37" t="str">
        <f>IF(P5253&gt;500,"High","low")</f>
        <v>low</v>
      </c>
      <c r="R5253" s="37" t="str">
        <f t="shared" si="414"/>
        <v>AVERAGE</v>
      </c>
      <c r="S5253" t="s">
        <v>615</v>
      </c>
    </row>
    <row r="5254" spans="1:19" x14ac:dyDescent="0.2">
      <c r="A5254" t="s">
        <v>5865</v>
      </c>
      <c r="B5254" t="s">
        <v>75</v>
      </c>
      <c r="C5254" t="s">
        <v>607</v>
      </c>
      <c r="D5254">
        <v>555.17999999999995</v>
      </c>
      <c r="E5254" s="37" t="str">
        <f t="shared" si="410"/>
        <v xml:space="preserve"> </v>
      </c>
      <c r="F5254">
        <v>0.05</v>
      </c>
      <c r="G5254" s="37" t="str">
        <f t="shared" si="411"/>
        <v>Normal Discount</v>
      </c>
      <c r="H5254" s="37" t="str">
        <f t="shared" si="412"/>
        <v>Low</v>
      </c>
      <c r="I5254">
        <v>4</v>
      </c>
      <c r="J5254" t="str" cm="1">
        <f t="array" ref="J5254">_xlfn.IFS(I5254&lt;=3,"small",I5254&lt;=6,"Medium",I5254&lt;=9,"Large")</f>
        <v>Medium</v>
      </c>
      <c r="K5254" s="36">
        <v>45370</v>
      </c>
      <c r="L5254" s="36">
        <v>45376</v>
      </c>
      <c r="M5254" t="s">
        <v>603</v>
      </c>
      <c r="N5254" t="s">
        <v>599</v>
      </c>
      <c r="O5254" s="37" t="str">
        <f t="shared" si="413"/>
        <v>Digital Payment</v>
      </c>
      <c r="P5254">
        <v>77.23</v>
      </c>
      <c r="Q5254" s="37" t="str">
        <f>IF(P5254&gt;500,"High","low")</f>
        <v>low</v>
      </c>
      <c r="R5254" s="37" t="str">
        <f t="shared" si="414"/>
        <v>AVERAGE</v>
      </c>
      <c r="S5254" t="s">
        <v>600</v>
      </c>
    </row>
    <row r="5255" spans="1:19" x14ac:dyDescent="0.2">
      <c r="A5255" t="s">
        <v>5866</v>
      </c>
      <c r="B5255" t="s">
        <v>75</v>
      </c>
      <c r="C5255" t="s">
        <v>607</v>
      </c>
      <c r="D5255">
        <v>3462.56</v>
      </c>
      <c r="E5255" s="37" t="str">
        <f t="shared" si="410"/>
        <v xml:space="preserve"> </v>
      </c>
      <c r="F5255">
        <v>0.36</v>
      </c>
      <c r="G5255" s="37" t="str">
        <f t="shared" si="411"/>
        <v>Heavy Discount</v>
      </c>
      <c r="H5255" s="37" t="str">
        <f t="shared" si="412"/>
        <v>Medium</v>
      </c>
      <c r="I5255">
        <v>7</v>
      </c>
      <c r="J5255" t="str" cm="1">
        <f t="array" ref="J5255">_xlfn.IFS(I5255&lt;=3,"small",I5255&lt;=6,"Medium",I5255&lt;=9,"Large")</f>
        <v>Large</v>
      </c>
      <c r="K5255" s="36">
        <v>45272</v>
      </c>
      <c r="L5255" s="36">
        <v>45277</v>
      </c>
      <c r="M5255" t="s">
        <v>598</v>
      </c>
      <c r="N5255" t="s">
        <v>599</v>
      </c>
      <c r="O5255" s="37" t="str">
        <f t="shared" si="413"/>
        <v>Digital Payment</v>
      </c>
      <c r="P5255">
        <v>266.61</v>
      </c>
      <c r="Q5255" s="37" t="str">
        <f>IF(P5255&gt;500,"High","low")</f>
        <v>low</v>
      </c>
      <c r="R5255" s="37" t="str">
        <f t="shared" si="414"/>
        <v>AVERAGE</v>
      </c>
      <c r="S5255" t="s">
        <v>615</v>
      </c>
    </row>
    <row r="5256" spans="1:19" x14ac:dyDescent="0.2">
      <c r="A5256" t="s">
        <v>5867</v>
      </c>
      <c r="B5256" t="s">
        <v>83</v>
      </c>
      <c r="C5256" t="s">
        <v>617</v>
      </c>
      <c r="D5256">
        <v>2640.33</v>
      </c>
      <c r="E5256" s="37" t="str">
        <f t="shared" si="410"/>
        <v xml:space="preserve"> </v>
      </c>
      <c r="F5256">
        <v>0.06</v>
      </c>
      <c r="G5256" s="37" t="str">
        <f t="shared" si="411"/>
        <v>Normal Discount</v>
      </c>
      <c r="H5256" s="37" t="str">
        <f t="shared" si="412"/>
        <v>Low</v>
      </c>
      <c r="I5256">
        <v>1</v>
      </c>
      <c r="J5256" t="str" cm="1">
        <f t="array" ref="J5256">_xlfn.IFS(I5256&lt;=3,"small",I5256&lt;=6,"Medium",I5256&lt;=9,"Large")</f>
        <v>small</v>
      </c>
      <c r="K5256" s="36">
        <v>45618</v>
      </c>
      <c r="L5256" s="36">
        <v>45625</v>
      </c>
      <c r="M5256" t="s">
        <v>598</v>
      </c>
      <c r="N5256" t="s">
        <v>608</v>
      </c>
      <c r="O5256" s="37" t="str">
        <f t="shared" si="413"/>
        <v>Cash Payment</v>
      </c>
      <c r="P5256">
        <v>477.87</v>
      </c>
      <c r="Q5256" s="37" t="str">
        <f>IF(P5256&gt;500,"High","low")</f>
        <v>low</v>
      </c>
      <c r="R5256" s="37" t="str">
        <f t="shared" si="414"/>
        <v>AVERAGE</v>
      </c>
      <c r="S5256" t="s">
        <v>609</v>
      </c>
    </row>
    <row r="5257" spans="1:19" x14ac:dyDescent="0.2">
      <c r="A5257" t="s">
        <v>5868</v>
      </c>
      <c r="B5257" t="s">
        <v>90</v>
      </c>
      <c r="C5257" t="s">
        <v>607</v>
      </c>
      <c r="D5257">
        <v>1111.71</v>
      </c>
      <c r="E5257" s="37" t="str">
        <f t="shared" si="410"/>
        <v xml:space="preserve"> </v>
      </c>
      <c r="F5257">
        <v>0.4</v>
      </c>
      <c r="G5257" s="37" t="str">
        <f t="shared" si="411"/>
        <v>Heavy Discount</v>
      </c>
      <c r="H5257" s="37" t="str">
        <f t="shared" si="412"/>
        <v>Medium</v>
      </c>
      <c r="I5257">
        <v>3</v>
      </c>
      <c r="J5257" t="str" cm="1">
        <f t="array" ref="J5257">_xlfn.IFS(I5257&lt;=3,"small",I5257&lt;=6,"Medium",I5257&lt;=9,"Large")</f>
        <v>small</v>
      </c>
      <c r="K5257" s="36">
        <v>45523</v>
      </c>
      <c r="L5257" s="36">
        <v>45524</v>
      </c>
      <c r="M5257" t="s">
        <v>598</v>
      </c>
      <c r="N5257" t="s">
        <v>608</v>
      </c>
      <c r="O5257" s="37" t="str">
        <f t="shared" si="413"/>
        <v>Cash Payment</v>
      </c>
      <c r="P5257">
        <v>201.24</v>
      </c>
      <c r="Q5257" s="37" t="str">
        <f>IF(P5257&gt;500,"High","low")</f>
        <v>low</v>
      </c>
      <c r="R5257" s="37" t="str">
        <f t="shared" si="414"/>
        <v>AVERAGE</v>
      </c>
      <c r="S5257" t="s">
        <v>620</v>
      </c>
    </row>
    <row r="5258" spans="1:19" x14ac:dyDescent="0.2">
      <c r="A5258" t="s">
        <v>5869</v>
      </c>
      <c r="B5258" t="s">
        <v>83</v>
      </c>
      <c r="C5258" t="s">
        <v>617</v>
      </c>
      <c r="D5258">
        <v>1215.57</v>
      </c>
      <c r="E5258" s="37" t="str">
        <f t="shared" si="410"/>
        <v xml:space="preserve"> </v>
      </c>
      <c r="F5258">
        <v>0.05</v>
      </c>
      <c r="G5258" s="37" t="str">
        <f t="shared" si="411"/>
        <v>Normal Discount</v>
      </c>
      <c r="H5258" s="37" t="str">
        <f t="shared" si="412"/>
        <v>Low</v>
      </c>
      <c r="I5258">
        <v>8</v>
      </c>
      <c r="J5258" t="str" cm="1">
        <f t="array" ref="J5258">_xlfn.IFS(I5258&lt;=3,"small",I5258&lt;=6,"Medium",I5258&lt;=9,"Large")</f>
        <v>Large</v>
      </c>
      <c r="K5258" s="36">
        <v>45331</v>
      </c>
      <c r="L5258" s="36">
        <v>45336</v>
      </c>
      <c r="M5258" t="s">
        <v>598</v>
      </c>
      <c r="N5258" t="s">
        <v>608</v>
      </c>
      <c r="O5258" s="37" t="str">
        <f t="shared" si="413"/>
        <v>Cash Payment</v>
      </c>
      <c r="P5258">
        <v>112.11</v>
      </c>
      <c r="Q5258" s="37" t="str">
        <f>IF(P5258&gt;500,"High","low")</f>
        <v>low</v>
      </c>
      <c r="R5258" s="37" t="str">
        <f t="shared" si="414"/>
        <v>AVERAGE</v>
      </c>
      <c r="S5258" t="s">
        <v>609</v>
      </c>
    </row>
    <row r="5259" spans="1:19" x14ac:dyDescent="0.2">
      <c r="A5259" t="s">
        <v>5870</v>
      </c>
      <c r="B5259" t="s">
        <v>75</v>
      </c>
      <c r="C5259" t="s">
        <v>617</v>
      </c>
      <c r="D5259">
        <v>144.22</v>
      </c>
      <c r="E5259" s="37" t="str">
        <f t="shared" si="410"/>
        <v xml:space="preserve"> </v>
      </c>
      <c r="F5259">
        <v>0.16</v>
      </c>
      <c r="G5259" s="37" t="str">
        <f t="shared" si="411"/>
        <v>Normal Discount</v>
      </c>
      <c r="H5259" s="37" t="str">
        <f t="shared" si="412"/>
        <v>Low</v>
      </c>
      <c r="I5259">
        <v>1</v>
      </c>
      <c r="J5259" t="str" cm="1">
        <f t="array" ref="J5259">_xlfn.IFS(I5259&lt;=3,"small",I5259&lt;=6,"Medium",I5259&lt;=9,"Large")</f>
        <v>small</v>
      </c>
      <c r="K5259" s="36">
        <v>45544</v>
      </c>
      <c r="L5259" s="36">
        <v>45547</v>
      </c>
      <c r="M5259" t="s">
        <v>598</v>
      </c>
      <c r="N5259" t="s">
        <v>604</v>
      </c>
      <c r="O5259" s="37" t="str">
        <f t="shared" si="413"/>
        <v>Digital Payment</v>
      </c>
      <c r="P5259">
        <v>19.579999999999998</v>
      </c>
      <c r="Q5259" s="37" t="str">
        <f>IF(P5259&gt;500,"High","low")</f>
        <v>low</v>
      </c>
      <c r="R5259" s="37" t="str">
        <f t="shared" si="414"/>
        <v>AVERAGE</v>
      </c>
      <c r="S5259" t="s">
        <v>609</v>
      </c>
    </row>
    <row r="5260" spans="1:19" x14ac:dyDescent="0.2">
      <c r="A5260" t="s">
        <v>5871</v>
      </c>
      <c r="B5260" t="s">
        <v>75</v>
      </c>
      <c r="C5260" t="s">
        <v>597</v>
      </c>
      <c r="D5260">
        <v>4894.26</v>
      </c>
      <c r="E5260" s="37" t="str">
        <f t="shared" si="410"/>
        <v>Excellent Order</v>
      </c>
      <c r="F5260">
        <v>0.39</v>
      </c>
      <c r="G5260" s="37" t="str">
        <f t="shared" si="411"/>
        <v>Heavy Discount</v>
      </c>
      <c r="H5260" s="37" t="str">
        <f t="shared" si="412"/>
        <v>Medium</v>
      </c>
      <c r="I5260">
        <v>3</v>
      </c>
      <c r="J5260" t="str" cm="1">
        <f t="array" ref="J5260">_xlfn.IFS(I5260&lt;=3,"small",I5260&lt;=6,"Medium",I5260&lt;=9,"Large")</f>
        <v>small</v>
      </c>
      <c r="K5260" s="36">
        <v>45062</v>
      </c>
      <c r="L5260" s="36">
        <v>45063</v>
      </c>
      <c r="M5260" t="s">
        <v>598</v>
      </c>
      <c r="N5260" t="s">
        <v>608</v>
      </c>
      <c r="O5260" s="37" t="str">
        <f t="shared" si="413"/>
        <v>Cash Payment</v>
      </c>
      <c r="P5260">
        <v>1210.49</v>
      </c>
      <c r="Q5260" s="37" t="str">
        <f>IF(P5260&gt;500,"High","low")</f>
        <v>High</v>
      </c>
      <c r="R5260" s="37" t="str">
        <f t="shared" si="414"/>
        <v>Excellent</v>
      </c>
      <c r="S5260" t="s">
        <v>628</v>
      </c>
    </row>
    <row r="5261" spans="1:19" x14ac:dyDescent="0.2">
      <c r="A5261" t="s">
        <v>5872</v>
      </c>
      <c r="B5261" t="s">
        <v>67</v>
      </c>
      <c r="C5261" t="s">
        <v>607</v>
      </c>
      <c r="D5261">
        <v>4157.29</v>
      </c>
      <c r="E5261" s="37" t="str">
        <f t="shared" si="410"/>
        <v xml:space="preserve"> </v>
      </c>
      <c r="F5261">
        <v>0.23</v>
      </c>
      <c r="G5261" s="37" t="str">
        <f t="shared" si="411"/>
        <v>Normal Discount</v>
      </c>
      <c r="H5261" s="37" t="str">
        <f t="shared" si="412"/>
        <v>Medium</v>
      </c>
      <c r="I5261">
        <v>3</v>
      </c>
      <c r="J5261" t="str" cm="1">
        <f t="array" ref="J5261">_xlfn.IFS(I5261&lt;=3,"small",I5261&lt;=6,"Medium",I5261&lt;=9,"Large")</f>
        <v>small</v>
      </c>
      <c r="K5261" s="36">
        <v>45299</v>
      </c>
      <c r="L5261" s="36">
        <v>45301</v>
      </c>
      <c r="M5261" t="s">
        <v>603</v>
      </c>
      <c r="N5261" t="s">
        <v>599</v>
      </c>
      <c r="O5261" s="37" t="str">
        <f t="shared" si="413"/>
        <v>Digital Payment</v>
      </c>
      <c r="P5261">
        <v>241.29</v>
      </c>
      <c r="Q5261" s="37" t="str">
        <f>IF(P5261&gt;500,"High","low")</f>
        <v>low</v>
      </c>
      <c r="R5261" s="37" t="str">
        <f t="shared" si="414"/>
        <v>AVERAGE</v>
      </c>
      <c r="S5261" t="s">
        <v>609</v>
      </c>
    </row>
    <row r="5262" spans="1:19" x14ac:dyDescent="0.2">
      <c r="A5262" t="s">
        <v>5873</v>
      </c>
      <c r="B5262" t="s">
        <v>90</v>
      </c>
      <c r="C5262" t="s">
        <v>617</v>
      </c>
      <c r="D5262">
        <v>2031.43</v>
      </c>
      <c r="E5262" s="37" t="str">
        <f t="shared" si="410"/>
        <v xml:space="preserve"> </v>
      </c>
      <c r="F5262">
        <v>0.44</v>
      </c>
      <c r="G5262" s="37" t="str">
        <f t="shared" si="411"/>
        <v>Heavy Discount</v>
      </c>
      <c r="H5262" s="37" t="str">
        <f t="shared" si="412"/>
        <v>High</v>
      </c>
      <c r="I5262">
        <v>8</v>
      </c>
      <c r="J5262" t="str" cm="1">
        <f t="array" ref="J5262">_xlfn.IFS(I5262&lt;=3,"small",I5262&lt;=6,"Medium",I5262&lt;=9,"Large")</f>
        <v>Large</v>
      </c>
      <c r="K5262" s="36">
        <v>45248</v>
      </c>
      <c r="L5262" s="36">
        <v>45253</v>
      </c>
      <c r="M5262" t="s">
        <v>598</v>
      </c>
      <c r="N5262" t="s">
        <v>599</v>
      </c>
      <c r="O5262" s="37" t="str">
        <f t="shared" si="413"/>
        <v>Digital Payment</v>
      </c>
      <c r="P5262">
        <v>149.84</v>
      </c>
      <c r="Q5262" s="37" t="str">
        <f>IF(P5262&gt;500,"High","low")</f>
        <v>low</v>
      </c>
      <c r="R5262" s="37" t="str">
        <f t="shared" si="414"/>
        <v>AVERAGE</v>
      </c>
      <c r="S5262" t="s">
        <v>628</v>
      </c>
    </row>
    <row r="5263" spans="1:19" x14ac:dyDescent="0.2">
      <c r="A5263" t="s">
        <v>5874</v>
      </c>
      <c r="B5263" t="s">
        <v>75</v>
      </c>
      <c r="C5263" t="s">
        <v>602</v>
      </c>
      <c r="D5263">
        <v>4735.84</v>
      </c>
      <c r="E5263" s="37" t="str">
        <f t="shared" si="410"/>
        <v>Excellent Order</v>
      </c>
      <c r="F5263">
        <v>0.2</v>
      </c>
      <c r="G5263" s="37" t="str">
        <f t="shared" si="411"/>
        <v>Normal Discount</v>
      </c>
      <c r="H5263" s="37" t="str">
        <f t="shared" si="412"/>
        <v>Medium</v>
      </c>
      <c r="I5263">
        <v>1</v>
      </c>
      <c r="J5263" t="str" cm="1">
        <f t="array" ref="J5263">_xlfn.IFS(I5263&lt;=3,"small",I5263&lt;=6,"Medium",I5263&lt;=9,"Large")</f>
        <v>small</v>
      </c>
      <c r="K5263" s="36">
        <v>45152</v>
      </c>
      <c r="L5263" s="36">
        <v>45153</v>
      </c>
      <c r="M5263" t="s">
        <v>603</v>
      </c>
      <c r="N5263" t="s">
        <v>599</v>
      </c>
      <c r="O5263" s="37" t="str">
        <f t="shared" si="413"/>
        <v>Digital Payment</v>
      </c>
      <c r="P5263">
        <v>1066.3599999999999</v>
      </c>
      <c r="Q5263" s="37" t="str">
        <f>IF(P5263&gt;500,"High","low")</f>
        <v>High</v>
      </c>
      <c r="R5263" s="37" t="str">
        <f t="shared" si="414"/>
        <v>Excellent</v>
      </c>
      <c r="S5263" t="s">
        <v>600</v>
      </c>
    </row>
    <row r="5264" spans="1:19" x14ac:dyDescent="0.2">
      <c r="A5264" t="s">
        <v>5875</v>
      </c>
      <c r="B5264" t="s">
        <v>67</v>
      </c>
      <c r="C5264" t="s">
        <v>602</v>
      </c>
      <c r="D5264">
        <v>3417.89</v>
      </c>
      <c r="E5264" s="37" t="str">
        <f t="shared" si="410"/>
        <v xml:space="preserve"> </v>
      </c>
      <c r="F5264">
        <v>0.5</v>
      </c>
      <c r="G5264" s="37" t="str">
        <f t="shared" si="411"/>
        <v>Heavy Discount</v>
      </c>
      <c r="H5264" s="37" t="str">
        <f t="shared" si="412"/>
        <v>High</v>
      </c>
      <c r="I5264">
        <v>5</v>
      </c>
      <c r="J5264" t="str" cm="1">
        <f t="array" ref="J5264">_xlfn.IFS(I5264&lt;=3,"small",I5264&lt;=6,"Medium",I5264&lt;=9,"Large")</f>
        <v>Medium</v>
      </c>
      <c r="K5264" s="36">
        <v>45642</v>
      </c>
      <c r="L5264" s="36">
        <v>45644</v>
      </c>
      <c r="M5264" t="s">
        <v>612</v>
      </c>
      <c r="N5264" t="s">
        <v>608</v>
      </c>
      <c r="O5264" s="37" t="str">
        <f t="shared" si="413"/>
        <v>Cash Payment</v>
      </c>
      <c r="P5264">
        <v>660.06</v>
      </c>
      <c r="Q5264" s="37" t="str">
        <f>IF(P5264&gt;500,"High","low")</f>
        <v>High</v>
      </c>
      <c r="R5264" s="37" t="str">
        <f t="shared" si="414"/>
        <v>Good</v>
      </c>
      <c r="S5264" t="s">
        <v>615</v>
      </c>
    </row>
    <row r="5265" spans="1:19" x14ac:dyDescent="0.2">
      <c r="A5265" t="s">
        <v>5876</v>
      </c>
      <c r="B5265" t="s">
        <v>90</v>
      </c>
      <c r="C5265" t="s">
        <v>607</v>
      </c>
      <c r="D5265">
        <v>3782.17</v>
      </c>
      <c r="E5265" s="37" t="str">
        <f t="shared" si="410"/>
        <v xml:space="preserve"> </v>
      </c>
      <c r="F5265">
        <v>0.01</v>
      </c>
      <c r="G5265" s="37" t="str">
        <f t="shared" si="411"/>
        <v>Normal Discount</v>
      </c>
      <c r="H5265" s="37" t="str">
        <f t="shared" si="412"/>
        <v>Low</v>
      </c>
      <c r="I5265">
        <v>7</v>
      </c>
      <c r="J5265" t="str" cm="1">
        <f t="array" ref="J5265">_xlfn.IFS(I5265&lt;=3,"small",I5265&lt;=6,"Medium",I5265&lt;=9,"Large")</f>
        <v>Large</v>
      </c>
      <c r="K5265" s="36">
        <v>45039</v>
      </c>
      <c r="L5265" s="36">
        <v>45045</v>
      </c>
      <c r="M5265" t="s">
        <v>612</v>
      </c>
      <c r="N5265" t="s">
        <v>604</v>
      </c>
      <c r="O5265" s="37" t="str">
        <f t="shared" si="413"/>
        <v>Digital Payment</v>
      </c>
      <c r="P5265">
        <v>736.41</v>
      </c>
      <c r="Q5265" s="37" t="str">
        <f>IF(P5265&gt;500,"High","low")</f>
        <v>High</v>
      </c>
      <c r="R5265" s="37" t="str">
        <f t="shared" si="414"/>
        <v>Good</v>
      </c>
      <c r="S5265" t="s">
        <v>600</v>
      </c>
    </row>
    <row r="5266" spans="1:19" x14ac:dyDescent="0.2">
      <c r="A5266" t="s">
        <v>5877</v>
      </c>
      <c r="B5266" t="s">
        <v>83</v>
      </c>
      <c r="C5266" t="s">
        <v>597</v>
      </c>
      <c r="D5266">
        <v>3431.78</v>
      </c>
      <c r="E5266" s="37" t="str">
        <f t="shared" si="410"/>
        <v xml:space="preserve"> </v>
      </c>
      <c r="F5266">
        <v>0.35</v>
      </c>
      <c r="G5266" s="37" t="str">
        <f t="shared" si="411"/>
        <v>Heavy Discount</v>
      </c>
      <c r="H5266" s="37" t="str">
        <f t="shared" si="412"/>
        <v>Medium</v>
      </c>
      <c r="I5266">
        <v>4</v>
      </c>
      <c r="J5266" t="str" cm="1">
        <f t="array" ref="J5266">_xlfn.IFS(I5266&lt;=3,"small",I5266&lt;=6,"Medium",I5266&lt;=9,"Large")</f>
        <v>Medium</v>
      </c>
      <c r="K5266" s="36">
        <v>44944</v>
      </c>
      <c r="L5266" s="36">
        <v>44949</v>
      </c>
      <c r="M5266" t="s">
        <v>603</v>
      </c>
      <c r="N5266" t="s">
        <v>604</v>
      </c>
      <c r="O5266" s="37" t="str">
        <f t="shared" si="413"/>
        <v>Digital Payment</v>
      </c>
      <c r="P5266">
        <v>564.26</v>
      </c>
      <c r="Q5266" s="37" t="str">
        <f>IF(P5266&gt;500,"High","low")</f>
        <v>High</v>
      </c>
      <c r="R5266" s="37" t="str">
        <f t="shared" si="414"/>
        <v>Good</v>
      </c>
      <c r="S5266" t="s">
        <v>605</v>
      </c>
    </row>
    <row r="5267" spans="1:19" x14ac:dyDescent="0.2">
      <c r="A5267" t="s">
        <v>5878</v>
      </c>
      <c r="B5267" t="s">
        <v>90</v>
      </c>
      <c r="C5267" t="s">
        <v>597</v>
      </c>
      <c r="D5267">
        <v>3808.56</v>
      </c>
      <c r="E5267" s="37" t="str">
        <f t="shared" si="410"/>
        <v xml:space="preserve"> </v>
      </c>
      <c r="F5267">
        <v>0.46</v>
      </c>
      <c r="G5267" s="37" t="str">
        <f t="shared" si="411"/>
        <v>Heavy Discount</v>
      </c>
      <c r="H5267" s="37" t="str">
        <f t="shared" si="412"/>
        <v>High</v>
      </c>
      <c r="I5267">
        <v>3</v>
      </c>
      <c r="J5267" t="str" cm="1">
        <f t="array" ref="J5267">_xlfn.IFS(I5267&lt;=3,"small",I5267&lt;=6,"Medium",I5267&lt;=9,"Large")</f>
        <v>small</v>
      </c>
      <c r="K5267" s="36">
        <v>45581</v>
      </c>
      <c r="L5267" s="36">
        <v>45582</v>
      </c>
      <c r="M5267" t="s">
        <v>603</v>
      </c>
      <c r="N5267" t="s">
        <v>599</v>
      </c>
      <c r="O5267" s="37" t="str">
        <f t="shared" si="413"/>
        <v>Digital Payment</v>
      </c>
      <c r="P5267">
        <v>272.22000000000003</v>
      </c>
      <c r="Q5267" s="37" t="str">
        <f>IF(P5267&gt;500,"High","low")</f>
        <v>low</v>
      </c>
      <c r="R5267" s="37" t="str">
        <f t="shared" si="414"/>
        <v>AVERAGE</v>
      </c>
      <c r="S5267" t="s">
        <v>600</v>
      </c>
    </row>
    <row r="5268" spans="1:19" x14ac:dyDescent="0.2">
      <c r="A5268" t="s">
        <v>5879</v>
      </c>
      <c r="B5268" t="s">
        <v>90</v>
      </c>
      <c r="C5268" t="s">
        <v>617</v>
      </c>
      <c r="D5268">
        <v>937.6</v>
      </c>
      <c r="E5268" s="37" t="str">
        <f t="shared" si="410"/>
        <v xml:space="preserve"> </v>
      </c>
      <c r="F5268">
        <v>0.27</v>
      </c>
      <c r="G5268" s="37" t="str">
        <f t="shared" si="411"/>
        <v>Normal Discount</v>
      </c>
      <c r="H5268" s="37" t="str">
        <f t="shared" si="412"/>
        <v>Medium</v>
      </c>
      <c r="I5268">
        <v>6</v>
      </c>
      <c r="J5268" t="str" cm="1">
        <f t="array" ref="J5268">_xlfn.IFS(I5268&lt;=3,"small",I5268&lt;=6,"Medium",I5268&lt;=9,"Large")</f>
        <v>Medium</v>
      </c>
      <c r="K5268" s="36">
        <v>45521</v>
      </c>
      <c r="L5268" s="36">
        <v>45527</v>
      </c>
      <c r="M5268" t="s">
        <v>612</v>
      </c>
      <c r="N5268" t="s">
        <v>604</v>
      </c>
      <c r="O5268" s="37" t="str">
        <f t="shared" si="413"/>
        <v>Digital Payment</v>
      </c>
      <c r="P5268">
        <v>59.28</v>
      </c>
      <c r="Q5268" s="37" t="str">
        <f>IF(P5268&gt;500,"High","low")</f>
        <v>low</v>
      </c>
      <c r="R5268" s="37" t="str">
        <f t="shared" si="414"/>
        <v>AVERAGE</v>
      </c>
      <c r="S5268" t="s">
        <v>620</v>
      </c>
    </row>
    <row r="5269" spans="1:19" x14ac:dyDescent="0.2">
      <c r="A5269" t="s">
        <v>5880</v>
      </c>
      <c r="B5269" t="s">
        <v>75</v>
      </c>
      <c r="C5269" t="s">
        <v>607</v>
      </c>
      <c r="D5269">
        <v>2855.75</v>
      </c>
      <c r="E5269" s="37" t="str">
        <f t="shared" si="410"/>
        <v xml:space="preserve"> </v>
      </c>
      <c r="F5269">
        <v>0.49</v>
      </c>
      <c r="G5269" s="37" t="str">
        <f t="shared" si="411"/>
        <v>Heavy Discount</v>
      </c>
      <c r="H5269" s="37" t="str">
        <f t="shared" si="412"/>
        <v>High</v>
      </c>
      <c r="I5269">
        <v>5</v>
      </c>
      <c r="J5269" t="str" cm="1">
        <f t="array" ref="J5269">_xlfn.IFS(I5269&lt;=3,"small",I5269&lt;=6,"Medium",I5269&lt;=9,"Large")</f>
        <v>Medium</v>
      </c>
      <c r="K5269" s="36">
        <v>45241</v>
      </c>
      <c r="L5269" s="36">
        <v>45244</v>
      </c>
      <c r="M5269" t="s">
        <v>598</v>
      </c>
      <c r="N5269" t="s">
        <v>604</v>
      </c>
      <c r="O5269" s="37" t="str">
        <f t="shared" si="413"/>
        <v>Digital Payment</v>
      </c>
      <c r="P5269">
        <v>374.22</v>
      </c>
      <c r="Q5269" s="37" t="str">
        <f>IF(P5269&gt;500,"High","low")</f>
        <v>low</v>
      </c>
      <c r="R5269" s="37" t="str">
        <f t="shared" si="414"/>
        <v>AVERAGE</v>
      </c>
      <c r="S5269" t="s">
        <v>615</v>
      </c>
    </row>
    <row r="5270" spans="1:19" x14ac:dyDescent="0.2">
      <c r="A5270" t="s">
        <v>5881</v>
      </c>
      <c r="B5270" t="s">
        <v>75</v>
      </c>
      <c r="C5270" t="s">
        <v>602</v>
      </c>
      <c r="D5270">
        <v>4261.9399999999996</v>
      </c>
      <c r="E5270" s="37" t="str">
        <f t="shared" si="410"/>
        <v xml:space="preserve"> </v>
      </c>
      <c r="F5270">
        <v>0.35</v>
      </c>
      <c r="G5270" s="37" t="str">
        <f t="shared" si="411"/>
        <v>Heavy Discount</v>
      </c>
      <c r="H5270" s="37" t="str">
        <f t="shared" si="412"/>
        <v>Medium</v>
      </c>
      <c r="I5270">
        <v>2</v>
      </c>
      <c r="J5270" t="str" cm="1">
        <f t="array" ref="J5270">_xlfn.IFS(I5270&lt;=3,"small",I5270&lt;=6,"Medium",I5270&lt;=9,"Large")</f>
        <v>small</v>
      </c>
      <c r="K5270" s="36">
        <v>45621</v>
      </c>
      <c r="L5270" s="36">
        <v>45627</v>
      </c>
      <c r="M5270" t="s">
        <v>598</v>
      </c>
      <c r="N5270" t="s">
        <v>608</v>
      </c>
      <c r="O5270" s="37" t="str">
        <f t="shared" si="413"/>
        <v>Cash Payment</v>
      </c>
      <c r="P5270">
        <v>273.45999999999998</v>
      </c>
      <c r="Q5270" s="37" t="str">
        <f>IF(P5270&gt;500,"High","low")</f>
        <v>low</v>
      </c>
      <c r="R5270" s="37" t="str">
        <f t="shared" si="414"/>
        <v>AVERAGE</v>
      </c>
      <c r="S5270" t="s">
        <v>605</v>
      </c>
    </row>
    <row r="5271" spans="1:19" x14ac:dyDescent="0.2">
      <c r="A5271" t="s">
        <v>5882</v>
      </c>
      <c r="B5271" t="s">
        <v>90</v>
      </c>
      <c r="C5271" t="s">
        <v>617</v>
      </c>
      <c r="D5271">
        <v>195.76</v>
      </c>
      <c r="E5271" s="37" t="str">
        <f t="shared" si="410"/>
        <v xml:space="preserve"> </v>
      </c>
      <c r="F5271">
        <v>0.21</v>
      </c>
      <c r="G5271" s="37" t="str">
        <f t="shared" si="411"/>
        <v>Normal Discount</v>
      </c>
      <c r="H5271" s="37" t="str">
        <f t="shared" si="412"/>
        <v>Medium</v>
      </c>
      <c r="I5271">
        <v>6</v>
      </c>
      <c r="J5271" t="str" cm="1">
        <f t="array" ref="J5271">_xlfn.IFS(I5271&lt;=3,"small",I5271&lt;=6,"Medium",I5271&lt;=9,"Large")</f>
        <v>Medium</v>
      </c>
      <c r="K5271" s="36">
        <v>45048</v>
      </c>
      <c r="L5271" s="36">
        <v>45055</v>
      </c>
      <c r="M5271" t="s">
        <v>603</v>
      </c>
      <c r="N5271" t="s">
        <v>599</v>
      </c>
      <c r="O5271" s="37" t="str">
        <f t="shared" si="413"/>
        <v>Digital Payment</v>
      </c>
      <c r="P5271">
        <v>37.450000000000003</v>
      </c>
      <c r="Q5271" s="37" t="str">
        <f>IF(P5271&gt;500,"High","low")</f>
        <v>low</v>
      </c>
      <c r="R5271" s="37" t="str">
        <f t="shared" si="414"/>
        <v>AVERAGE</v>
      </c>
      <c r="S5271" t="s">
        <v>620</v>
      </c>
    </row>
    <row r="5272" spans="1:19" x14ac:dyDescent="0.2">
      <c r="A5272" t="s">
        <v>5883</v>
      </c>
      <c r="B5272" t="s">
        <v>75</v>
      </c>
      <c r="C5272" t="s">
        <v>617</v>
      </c>
      <c r="D5272">
        <v>704.87</v>
      </c>
      <c r="E5272" s="37" t="str">
        <f t="shared" si="410"/>
        <v xml:space="preserve"> </v>
      </c>
      <c r="F5272">
        <v>0.26</v>
      </c>
      <c r="G5272" s="37" t="str">
        <f t="shared" si="411"/>
        <v>Normal Discount</v>
      </c>
      <c r="H5272" s="37" t="str">
        <f t="shared" si="412"/>
        <v>Medium</v>
      </c>
      <c r="I5272">
        <v>3</v>
      </c>
      <c r="J5272" t="str" cm="1">
        <f t="array" ref="J5272">_xlfn.IFS(I5272&lt;=3,"small",I5272&lt;=6,"Medium",I5272&lt;=9,"Large")</f>
        <v>small</v>
      </c>
      <c r="K5272" s="36">
        <v>45342</v>
      </c>
      <c r="L5272" s="36">
        <v>45344</v>
      </c>
      <c r="M5272" t="s">
        <v>612</v>
      </c>
      <c r="N5272" t="s">
        <v>599</v>
      </c>
      <c r="O5272" s="37" t="str">
        <f t="shared" si="413"/>
        <v>Digital Payment</v>
      </c>
      <c r="P5272">
        <v>154.9</v>
      </c>
      <c r="Q5272" s="37" t="str">
        <f>IF(P5272&gt;500,"High","low")</f>
        <v>low</v>
      </c>
      <c r="R5272" s="37" t="str">
        <f t="shared" si="414"/>
        <v>AVERAGE</v>
      </c>
      <c r="S5272" t="s">
        <v>605</v>
      </c>
    </row>
    <row r="5273" spans="1:19" x14ac:dyDescent="0.2">
      <c r="A5273" t="s">
        <v>5884</v>
      </c>
      <c r="B5273" t="s">
        <v>75</v>
      </c>
      <c r="C5273" t="s">
        <v>614</v>
      </c>
      <c r="D5273">
        <v>1303.6400000000001</v>
      </c>
      <c r="E5273" s="37" t="str">
        <f t="shared" si="410"/>
        <v xml:space="preserve"> </v>
      </c>
      <c r="F5273">
        <v>0.44</v>
      </c>
      <c r="G5273" s="37" t="str">
        <f t="shared" si="411"/>
        <v>Heavy Discount</v>
      </c>
      <c r="H5273" s="37" t="str">
        <f t="shared" si="412"/>
        <v>High</v>
      </c>
      <c r="I5273">
        <v>9</v>
      </c>
      <c r="J5273" t="str" cm="1">
        <f t="array" ref="J5273">_xlfn.IFS(I5273&lt;=3,"small",I5273&lt;=6,"Medium",I5273&lt;=9,"Large")</f>
        <v>Large</v>
      </c>
      <c r="K5273" s="36">
        <v>44937</v>
      </c>
      <c r="L5273" s="36">
        <v>44939</v>
      </c>
      <c r="M5273" t="s">
        <v>598</v>
      </c>
      <c r="N5273" t="s">
        <v>604</v>
      </c>
      <c r="O5273" s="37" t="str">
        <f t="shared" si="413"/>
        <v>Digital Payment</v>
      </c>
      <c r="P5273">
        <v>266.68</v>
      </c>
      <c r="Q5273" s="37" t="str">
        <f>IF(P5273&gt;500,"High","low")</f>
        <v>low</v>
      </c>
      <c r="R5273" s="37" t="str">
        <f t="shared" si="414"/>
        <v>AVERAGE</v>
      </c>
      <c r="S5273" t="s">
        <v>620</v>
      </c>
    </row>
    <row r="5274" spans="1:19" x14ac:dyDescent="0.2">
      <c r="A5274" t="s">
        <v>5885</v>
      </c>
      <c r="B5274" t="s">
        <v>75</v>
      </c>
      <c r="C5274" t="s">
        <v>607</v>
      </c>
      <c r="D5274">
        <v>1544.16</v>
      </c>
      <c r="E5274" s="37" t="str">
        <f t="shared" si="410"/>
        <v xml:space="preserve"> </v>
      </c>
      <c r="F5274">
        <v>0.48</v>
      </c>
      <c r="G5274" s="37" t="str">
        <f t="shared" si="411"/>
        <v>Heavy Discount</v>
      </c>
      <c r="H5274" s="37" t="str">
        <f t="shared" si="412"/>
        <v>High</v>
      </c>
      <c r="I5274">
        <v>3</v>
      </c>
      <c r="J5274" t="str" cm="1">
        <f t="array" ref="J5274">_xlfn.IFS(I5274&lt;=3,"small",I5274&lt;=6,"Medium",I5274&lt;=9,"Large")</f>
        <v>small</v>
      </c>
      <c r="K5274" s="36">
        <v>45107</v>
      </c>
      <c r="L5274" s="36">
        <v>45110</v>
      </c>
      <c r="M5274" t="s">
        <v>603</v>
      </c>
      <c r="N5274" t="s">
        <v>599</v>
      </c>
      <c r="O5274" s="37" t="str">
        <f t="shared" si="413"/>
        <v>Digital Payment</v>
      </c>
      <c r="P5274">
        <v>358.76</v>
      </c>
      <c r="Q5274" s="37" t="str">
        <f>IF(P5274&gt;500,"High","low")</f>
        <v>low</v>
      </c>
      <c r="R5274" s="37" t="str">
        <f t="shared" si="414"/>
        <v>AVERAGE</v>
      </c>
      <c r="S5274" t="s">
        <v>620</v>
      </c>
    </row>
    <row r="5275" spans="1:19" x14ac:dyDescent="0.2">
      <c r="A5275" t="s">
        <v>5886</v>
      </c>
      <c r="B5275" t="s">
        <v>67</v>
      </c>
      <c r="C5275" t="s">
        <v>617</v>
      </c>
      <c r="D5275">
        <v>995.25</v>
      </c>
      <c r="E5275" s="37" t="str">
        <f t="shared" si="410"/>
        <v xml:space="preserve"> </v>
      </c>
      <c r="F5275">
        <v>0.28000000000000003</v>
      </c>
      <c r="G5275" s="37" t="str">
        <f t="shared" si="411"/>
        <v>Normal Discount</v>
      </c>
      <c r="H5275" s="37" t="str">
        <f t="shared" si="412"/>
        <v>Medium</v>
      </c>
      <c r="I5275">
        <v>9</v>
      </c>
      <c r="J5275" t="str" cm="1">
        <f t="array" ref="J5275">_xlfn.IFS(I5275&lt;=3,"small",I5275&lt;=6,"Medium",I5275&lt;=9,"Large")</f>
        <v>Large</v>
      </c>
      <c r="K5275" s="36">
        <v>45339</v>
      </c>
      <c r="L5275" s="36">
        <v>45342</v>
      </c>
      <c r="M5275" t="s">
        <v>612</v>
      </c>
      <c r="N5275" t="s">
        <v>608</v>
      </c>
      <c r="O5275" s="37" t="str">
        <f t="shared" si="413"/>
        <v>Cash Payment</v>
      </c>
      <c r="P5275">
        <v>286.64999999999998</v>
      </c>
      <c r="Q5275" s="37" t="str">
        <f>IF(P5275&gt;500,"High","low")</f>
        <v>low</v>
      </c>
      <c r="R5275" s="37" t="str">
        <f t="shared" si="414"/>
        <v>AVERAGE</v>
      </c>
      <c r="S5275" t="s">
        <v>609</v>
      </c>
    </row>
    <row r="5276" spans="1:19" x14ac:dyDescent="0.2">
      <c r="A5276" t="s">
        <v>5887</v>
      </c>
      <c r="B5276" t="s">
        <v>67</v>
      </c>
      <c r="C5276" t="s">
        <v>602</v>
      </c>
      <c r="D5276">
        <v>3159.22</v>
      </c>
      <c r="E5276" s="37" t="str">
        <f t="shared" si="410"/>
        <v xml:space="preserve"> </v>
      </c>
      <c r="F5276">
        <v>0.15</v>
      </c>
      <c r="G5276" s="37" t="str">
        <f t="shared" si="411"/>
        <v>Normal Discount</v>
      </c>
      <c r="H5276" s="37" t="str">
        <f t="shared" si="412"/>
        <v>Low</v>
      </c>
      <c r="I5276">
        <v>6</v>
      </c>
      <c r="J5276" t="str" cm="1">
        <f t="array" ref="J5276">_xlfn.IFS(I5276&lt;=3,"small",I5276&lt;=6,"Medium",I5276&lt;=9,"Large")</f>
        <v>Medium</v>
      </c>
      <c r="K5276" s="36">
        <v>45424</v>
      </c>
      <c r="L5276" s="36">
        <v>45427</v>
      </c>
      <c r="M5276" t="s">
        <v>612</v>
      </c>
      <c r="N5276" t="s">
        <v>604</v>
      </c>
      <c r="O5276" s="37" t="str">
        <f t="shared" si="413"/>
        <v>Digital Payment</v>
      </c>
      <c r="P5276">
        <v>922.06</v>
      </c>
      <c r="Q5276" s="37" t="str">
        <f>IF(P5276&gt;500,"High","low")</f>
        <v>High</v>
      </c>
      <c r="R5276" s="37" t="str">
        <f t="shared" si="414"/>
        <v>Good</v>
      </c>
      <c r="S5276" t="s">
        <v>600</v>
      </c>
    </row>
    <row r="5277" spans="1:19" x14ac:dyDescent="0.2">
      <c r="A5277" t="s">
        <v>5888</v>
      </c>
      <c r="B5277" t="s">
        <v>90</v>
      </c>
      <c r="C5277" t="s">
        <v>614</v>
      </c>
      <c r="D5277">
        <v>1540.69</v>
      </c>
      <c r="E5277" s="37" t="str">
        <f t="shared" si="410"/>
        <v xml:space="preserve"> </v>
      </c>
      <c r="F5277">
        <v>0.12</v>
      </c>
      <c r="G5277" s="37" t="str">
        <f t="shared" si="411"/>
        <v>Normal Discount</v>
      </c>
      <c r="H5277" s="37" t="str">
        <f t="shared" si="412"/>
        <v>Low</v>
      </c>
      <c r="I5277">
        <v>8</v>
      </c>
      <c r="J5277" t="str" cm="1">
        <f t="array" ref="J5277">_xlfn.IFS(I5277&lt;=3,"small",I5277&lt;=6,"Medium",I5277&lt;=9,"Large")</f>
        <v>Large</v>
      </c>
      <c r="K5277" s="36">
        <v>45314</v>
      </c>
      <c r="L5277" s="36">
        <v>45315</v>
      </c>
      <c r="M5277" t="s">
        <v>603</v>
      </c>
      <c r="N5277" t="s">
        <v>604</v>
      </c>
      <c r="O5277" s="37" t="str">
        <f t="shared" si="413"/>
        <v>Digital Payment</v>
      </c>
      <c r="P5277">
        <v>186.99</v>
      </c>
      <c r="Q5277" s="37" t="str">
        <f>IF(P5277&gt;500,"High","low")</f>
        <v>low</v>
      </c>
      <c r="R5277" s="37" t="str">
        <f t="shared" si="414"/>
        <v>AVERAGE</v>
      </c>
      <c r="S5277" t="s">
        <v>615</v>
      </c>
    </row>
    <row r="5278" spans="1:19" x14ac:dyDescent="0.2">
      <c r="A5278" t="s">
        <v>5889</v>
      </c>
      <c r="B5278" t="s">
        <v>75</v>
      </c>
      <c r="C5278" t="s">
        <v>602</v>
      </c>
      <c r="D5278">
        <v>874.69</v>
      </c>
      <c r="E5278" s="37" t="str">
        <f t="shared" si="410"/>
        <v xml:space="preserve"> </v>
      </c>
      <c r="F5278">
        <v>0.24</v>
      </c>
      <c r="G5278" s="37" t="str">
        <f t="shared" si="411"/>
        <v>Normal Discount</v>
      </c>
      <c r="H5278" s="37" t="str">
        <f t="shared" si="412"/>
        <v>Medium</v>
      </c>
      <c r="I5278">
        <v>9</v>
      </c>
      <c r="J5278" t="str" cm="1">
        <f t="array" ref="J5278">_xlfn.IFS(I5278&lt;=3,"small",I5278&lt;=6,"Medium",I5278&lt;=9,"Large")</f>
        <v>Large</v>
      </c>
      <c r="K5278" s="36">
        <v>45146</v>
      </c>
      <c r="L5278" s="36">
        <v>45149</v>
      </c>
      <c r="M5278" t="s">
        <v>603</v>
      </c>
      <c r="N5278" t="s">
        <v>608</v>
      </c>
      <c r="O5278" s="37" t="str">
        <f t="shared" si="413"/>
        <v>Cash Payment</v>
      </c>
      <c r="P5278">
        <v>107.5</v>
      </c>
      <c r="Q5278" s="37" t="str">
        <f>IF(P5278&gt;500,"High","low")</f>
        <v>low</v>
      </c>
      <c r="R5278" s="37" t="str">
        <f t="shared" si="414"/>
        <v>AVERAGE</v>
      </c>
      <c r="S5278" t="s">
        <v>609</v>
      </c>
    </row>
    <row r="5279" spans="1:19" x14ac:dyDescent="0.2">
      <c r="A5279" t="s">
        <v>5890</v>
      </c>
      <c r="B5279" t="s">
        <v>67</v>
      </c>
      <c r="C5279" t="s">
        <v>597</v>
      </c>
      <c r="D5279">
        <v>4538.55</v>
      </c>
      <c r="E5279" s="37" t="str">
        <f t="shared" si="410"/>
        <v>Excellent Order</v>
      </c>
      <c r="F5279">
        <v>0.15</v>
      </c>
      <c r="G5279" s="37" t="str">
        <f t="shared" si="411"/>
        <v>Normal Discount</v>
      </c>
      <c r="H5279" s="37" t="str">
        <f t="shared" si="412"/>
        <v>Low</v>
      </c>
      <c r="I5279">
        <v>8</v>
      </c>
      <c r="J5279" t="str" cm="1">
        <f t="array" ref="J5279">_xlfn.IFS(I5279&lt;=3,"small",I5279&lt;=6,"Medium",I5279&lt;=9,"Large")</f>
        <v>Large</v>
      </c>
      <c r="K5279" s="36">
        <v>45063</v>
      </c>
      <c r="L5279" s="36">
        <v>45069</v>
      </c>
      <c r="M5279" t="s">
        <v>612</v>
      </c>
      <c r="N5279" t="s">
        <v>608</v>
      </c>
      <c r="O5279" s="37" t="str">
        <f t="shared" si="413"/>
        <v>Cash Payment</v>
      </c>
      <c r="P5279">
        <v>1070.3900000000001</v>
      </c>
      <c r="Q5279" s="37" t="str">
        <f>IF(P5279&gt;500,"High","low")</f>
        <v>High</v>
      </c>
      <c r="R5279" s="37" t="str">
        <f t="shared" si="414"/>
        <v>Excellent</v>
      </c>
      <c r="S5279" t="s">
        <v>620</v>
      </c>
    </row>
    <row r="5280" spans="1:19" x14ac:dyDescent="0.2">
      <c r="A5280" t="s">
        <v>5891</v>
      </c>
      <c r="B5280" t="s">
        <v>90</v>
      </c>
      <c r="C5280" t="s">
        <v>614</v>
      </c>
      <c r="D5280">
        <v>3505.67</v>
      </c>
      <c r="E5280" s="37" t="str">
        <f t="shared" si="410"/>
        <v xml:space="preserve"> </v>
      </c>
      <c r="F5280">
        <v>0.21</v>
      </c>
      <c r="G5280" s="37" t="str">
        <f t="shared" si="411"/>
        <v>Normal Discount</v>
      </c>
      <c r="H5280" s="37" t="str">
        <f t="shared" si="412"/>
        <v>Medium</v>
      </c>
      <c r="I5280">
        <v>2</v>
      </c>
      <c r="J5280" t="str" cm="1">
        <f t="array" ref="J5280">_xlfn.IFS(I5280&lt;=3,"small",I5280&lt;=6,"Medium",I5280&lt;=9,"Large")</f>
        <v>small</v>
      </c>
      <c r="K5280" s="36">
        <v>45239</v>
      </c>
      <c r="L5280" s="36">
        <v>45245</v>
      </c>
      <c r="M5280" t="s">
        <v>598</v>
      </c>
      <c r="N5280" t="s">
        <v>608</v>
      </c>
      <c r="O5280" s="37" t="str">
        <f t="shared" si="413"/>
        <v>Cash Payment</v>
      </c>
      <c r="P5280">
        <v>1042.94</v>
      </c>
      <c r="Q5280" s="37" t="str">
        <f>IF(P5280&gt;500,"High","low")</f>
        <v>High</v>
      </c>
      <c r="R5280" s="37" t="str">
        <f t="shared" si="414"/>
        <v>Excellent</v>
      </c>
      <c r="S5280" t="s">
        <v>620</v>
      </c>
    </row>
    <row r="5281" spans="1:19" x14ac:dyDescent="0.2">
      <c r="A5281" t="s">
        <v>5892</v>
      </c>
      <c r="B5281" t="s">
        <v>75</v>
      </c>
      <c r="C5281" t="s">
        <v>614</v>
      </c>
      <c r="D5281">
        <v>1305.69</v>
      </c>
      <c r="E5281" s="37" t="str">
        <f t="shared" si="410"/>
        <v xml:space="preserve"> </v>
      </c>
      <c r="F5281">
        <v>0.42</v>
      </c>
      <c r="G5281" s="37" t="str">
        <f t="shared" si="411"/>
        <v>Heavy Discount</v>
      </c>
      <c r="H5281" s="37" t="str">
        <f t="shared" si="412"/>
        <v>High</v>
      </c>
      <c r="I5281">
        <v>3</v>
      </c>
      <c r="J5281" t="str" cm="1">
        <f t="array" ref="J5281">_xlfn.IFS(I5281&lt;=3,"small",I5281&lt;=6,"Medium",I5281&lt;=9,"Large")</f>
        <v>small</v>
      </c>
      <c r="K5281" s="36">
        <v>45092</v>
      </c>
      <c r="L5281" s="36">
        <v>45096</v>
      </c>
      <c r="M5281" t="s">
        <v>612</v>
      </c>
      <c r="N5281" t="s">
        <v>608</v>
      </c>
      <c r="O5281" s="37" t="str">
        <f t="shared" si="413"/>
        <v>Cash Payment</v>
      </c>
      <c r="P5281">
        <v>200.05</v>
      </c>
      <c r="Q5281" s="37" t="str">
        <f>IF(P5281&gt;500,"High","low")</f>
        <v>low</v>
      </c>
      <c r="R5281" s="37" t="str">
        <f t="shared" si="414"/>
        <v>AVERAGE</v>
      </c>
      <c r="S5281" t="s">
        <v>605</v>
      </c>
    </row>
    <row r="5282" spans="1:19" x14ac:dyDescent="0.2">
      <c r="A5282" t="s">
        <v>5893</v>
      </c>
      <c r="B5282" t="s">
        <v>83</v>
      </c>
      <c r="C5282" t="s">
        <v>617</v>
      </c>
      <c r="D5282">
        <v>1868.67</v>
      </c>
      <c r="E5282" s="37" t="str">
        <f t="shared" si="410"/>
        <v xml:space="preserve"> </v>
      </c>
      <c r="F5282">
        <v>0.24</v>
      </c>
      <c r="G5282" s="37" t="str">
        <f t="shared" si="411"/>
        <v>Normal Discount</v>
      </c>
      <c r="H5282" s="37" t="str">
        <f t="shared" si="412"/>
        <v>Medium</v>
      </c>
      <c r="I5282">
        <v>8</v>
      </c>
      <c r="J5282" t="str" cm="1">
        <f t="array" ref="J5282">_xlfn.IFS(I5282&lt;=3,"small",I5282&lt;=6,"Medium",I5282&lt;=9,"Large")</f>
        <v>Large</v>
      </c>
      <c r="K5282" s="36">
        <v>45345</v>
      </c>
      <c r="L5282" s="36">
        <v>45351</v>
      </c>
      <c r="M5282" t="s">
        <v>598</v>
      </c>
      <c r="N5282" t="s">
        <v>604</v>
      </c>
      <c r="O5282" s="37" t="str">
        <f t="shared" si="413"/>
        <v>Digital Payment</v>
      </c>
      <c r="P5282">
        <v>180</v>
      </c>
      <c r="Q5282" s="37" t="str">
        <f>IF(P5282&gt;500,"High","low")</f>
        <v>low</v>
      </c>
      <c r="R5282" s="37" t="str">
        <f t="shared" si="414"/>
        <v>AVERAGE</v>
      </c>
      <c r="S5282" t="s">
        <v>620</v>
      </c>
    </row>
    <row r="5283" spans="1:19" x14ac:dyDescent="0.2">
      <c r="A5283" t="s">
        <v>5894</v>
      </c>
      <c r="B5283" t="s">
        <v>75</v>
      </c>
      <c r="C5283" t="s">
        <v>597</v>
      </c>
      <c r="D5283">
        <v>3729.85</v>
      </c>
      <c r="E5283" s="37" t="str">
        <f t="shared" si="410"/>
        <v xml:space="preserve"> </v>
      </c>
      <c r="F5283">
        <v>0.32</v>
      </c>
      <c r="G5283" s="37" t="str">
        <f t="shared" si="411"/>
        <v>Heavy Discount</v>
      </c>
      <c r="H5283" s="37" t="str">
        <f t="shared" si="412"/>
        <v>Medium</v>
      </c>
      <c r="I5283">
        <v>5</v>
      </c>
      <c r="J5283" t="str" cm="1">
        <f t="array" ref="J5283">_xlfn.IFS(I5283&lt;=3,"small",I5283&lt;=6,"Medium",I5283&lt;=9,"Large")</f>
        <v>Medium</v>
      </c>
      <c r="K5283" s="36">
        <v>45357</v>
      </c>
      <c r="L5283" s="36">
        <v>45358</v>
      </c>
      <c r="M5283" t="s">
        <v>612</v>
      </c>
      <c r="N5283" t="s">
        <v>599</v>
      </c>
      <c r="O5283" s="37" t="str">
        <f t="shared" si="413"/>
        <v>Digital Payment</v>
      </c>
      <c r="P5283">
        <v>866.05</v>
      </c>
      <c r="Q5283" s="37" t="str">
        <f>IF(P5283&gt;500,"High","low")</f>
        <v>High</v>
      </c>
      <c r="R5283" s="37" t="str">
        <f t="shared" si="414"/>
        <v>Good</v>
      </c>
      <c r="S5283" t="s">
        <v>620</v>
      </c>
    </row>
    <row r="5284" spans="1:19" x14ac:dyDescent="0.2">
      <c r="A5284" t="s">
        <v>5895</v>
      </c>
      <c r="B5284" t="s">
        <v>75</v>
      </c>
      <c r="C5284" t="s">
        <v>617</v>
      </c>
      <c r="D5284">
        <v>3975.46</v>
      </c>
      <c r="E5284" s="37" t="str">
        <f t="shared" si="410"/>
        <v xml:space="preserve"> </v>
      </c>
      <c r="F5284">
        <v>0.05</v>
      </c>
      <c r="G5284" s="37" t="str">
        <f t="shared" si="411"/>
        <v>Normal Discount</v>
      </c>
      <c r="H5284" s="37" t="str">
        <f t="shared" si="412"/>
        <v>Low</v>
      </c>
      <c r="I5284">
        <v>4</v>
      </c>
      <c r="J5284" t="str" cm="1">
        <f t="array" ref="J5284">_xlfn.IFS(I5284&lt;=3,"small",I5284&lt;=6,"Medium",I5284&lt;=9,"Large")</f>
        <v>Medium</v>
      </c>
      <c r="K5284" s="36">
        <v>44960</v>
      </c>
      <c r="L5284" s="36">
        <v>44963</v>
      </c>
      <c r="M5284" t="s">
        <v>598</v>
      </c>
      <c r="N5284" t="s">
        <v>608</v>
      </c>
      <c r="O5284" s="37" t="str">
        <f t="shared" si="413"/>
        <v>Cash Payment</v>
      </c>
      <c r="P5284">
        <v>581.70000000000005</v>
      </c>
      <c r="Q5284" s="37" t="str">
        <f>IF(P5284&gt;500,"High","low")</f>
        <v>High</v>
      </c>
      <c r="R5284" s="37" t="str">
        <f t="shared" si="414"/>
        <v>Good</v>
      </c>
      <c r="S5284" t="s">
        <v>628</v>
      </c>
    </row>
    <row r="5285" spans="1:19" x14ac:dyDescent="0.2">
      <c r="A5285" t="s">
        <v>5896</v>
      </c>
      <c r="B5285" t="s">
        <v>67</v>
      </c>
      <c r="C5285" t="s">
        <v>607</v>
      </c>
      <c r="D5285">
        <v>964.54</v>
      </c>
      <c r="E5285" s="37" t="str">
        <f t="shared" si="410"/>
        <v xml:space="preserve"> </v>
      </c>
      <c r="F5285">
        <v>0.38</v>
      </c>
      <c r="G5285" s="37" t="str">
        <f t="shared" si="411"/>
        <v>Heavy Discount</v>
      </c>
      <c r="H5285" s="37" t="str">
        <f t="shared" si="412"/>
        <v>Medium</v>
      </c>
      <c r="I5285">
        <v>6</v>
      </c>
      <c r="J5285" t="str" cm="1">
        <f t="array" ref="J5285">_xlfn.IFS(I5285&lt;=3,"small",I5285&lt;=6,"Medium",I5285&lt;=9,"Large")</f>
        <v>Medium</v>
      </c>
      <c r="K5285" s="36">
        <v>45245</v>
      </c>
      <c r="L5285" s="36">
        <v>45248</v>
      </c>
      <c r="M5285" t="s">
        <v>612</v>
      </c>
      <c r="N5285" t="s">
        <v>599</v>
      </c>
      <c r="O5285" s="37" t="str">
        <f t="shared" si="413"/>
        <v>Digital Payment</v>
      </c>
      <c r="P5285">
        <v>67.52</v>
      </c>
      <c r="Q5285" s="37" t="str">
        <f>IF(P5285&gt;500,"High","low")</f>
        <v>low</v>
      </c>
      <c r="R5285" s="37" t="str">
        <f t="shared" si="414"/>
        <v>AVERAGE</v>
      </c>
      <c r="S5285" t="s">
        <v>628</v>
      </c>
    </row>
    <row r="5286" spans="1:19" x14ac:dyDescent="0.2">
      <c r="A5286" t="s">
        <v>5897</v>
      </c>
      <c r="B5286" t="s">
        <v>90</v>
      </c>
      <c r="C5286" t="s">
        <v>602</v>
      </c>
      <c r="D5286">
        <v>4689.22</v>
      </c>
      <c r="E5286" s="37" t="str">
        <f t="shared" si="410"/>
        <v>Excellent Order</v>
      </c>
      <c r="F5286">
        <v>0.24</v>
      </c>
      <c r="G5286" s="37" t="str">
        <f t="shared" si="411"/>
        <v>Normal Discount</v>
      </c>
      <c r="H5286" s="37" t="str">
        <f t="shared" si="412"/>
        <v>Medium</v>
      </c>
      <c r="I5286">
        <v>6</v>
      </c>
      <c r="J5286" t="str" cm="1">
        <f t="array" ref="J5286">_xlfn.IFS(I5286&lt;=3,"small",I5286&lt;=6,"Medium",I5286&lt;=9,"Large")</f>
        <v>Medium</v>
      </c>
      <c r="K5286" s="36">
        <v>45191</v>
      </c>
      <c r="L5286" s="36">
        <v>45195</v>
      </c>
      <c r="M5286" t="s">
        <v>603</v>
      </c>
      <c r="N5286" t="s">
        <v>599</v>
      </c>
      <c r="O5286" s="37" t="str">
        <f t="shared" si="413"/>
        <v>Digital Payment</v>
      </c>
      <c r="P5286">
        <v>1112.1099999999999</v>
      </c>
      <c r="Q5286" s="37" t="str">
        <f>IF(P5286&gt;500,"High","low")</f>
        <v>High</v>
      </c>
      <c r="R5286" s="37" t="str">
        <f t="shared" si="414"/>
        <v>Excellent</v>
      </c>
      <c r="S5286" t="s">
        <v>605</v>
      </c>
    </row>
    <row r="5287" spans="1:19" x14ac:dyDescent="0.2">
      <c r="A5287" t="s">
        <v>5898</v>
      </c>
      <c r="B5287" t="s">
        <v>90</v>
      </c>
      <c r="C5287" t="s">
        <v>602</v>
      </c>
      <c r="D5287">
        <v>3947.83</v>
      </c>
      <c r="E5287" s="37" t="str">
        <f t="shared" si="410"/>
        <v xml:space="preserve"> </v>
      </c>
      <c r="F5287">
        <v>0.18</v>
      </c>
      <c r="G5287" s="37" t="str">
        <f t="shared" si="411"/>
        <v>Normal Discount</v>
      </c>
      <c r="H5287" s="37" t="str">
        <f t="shared" si="412"/>
        <v>Low</v>
      </c>
      <c r="I5287">
        <v>7</v>
      </c>
      <c r="J5287" t="str" cm="1">
        <f t="array" ref="J5287">_xlfn.IFS(I5287&lt;=3,"small",I5287&lt;=6,"Medium",I5287&lt;=9,"Large")</f>
        <v>Large</v>
      </c>
      <c r="K5287" s="36">
        <v>45638</v>
      </c>
      <c r="L5287" s="36">
        <v>45643</v>
      </c>
      <c r="M5287" t="s">
        <v>612</v>
      </c>
      <c r="N5287" t="s">
        <v>608</v>
      </c>
      <c r="O5287" s="37" t="str">
        <f t="shared" si="413"/>
        <v>Cash Payment</v>
      </c>
      <c r="P5287">
        <v>600.20000000000005</v>
      </c>
      <c r="Q5287" s="37" t="str">
        <f>IF(P5287&gt;500,"High","low")</f>
        <v>High</v>
      </c>
      <c r="R5287" s="37" t="str">
        <f t="shared" si="414"/>
        <v>Good</v>
      </c>
      <c r="S5287" t="s">
        <v>620</v>
      </c>
    </row>
    <row r="5288" spans="1:19" x14ac:dyDescent="0.2">
      <c r="A5288" t="s">
        <v>5899</v>
      </c>
      <c r="B5288" t="s">
        <v>67</v>
      </c>
      <c r="C5288" t="s">
        <v>617</v>
      </c>
      <c r="D5288">
        <v>4298.3900000000003</v>
      </c>
      <c r="E5288" s="37" t="str">
        <f t="shared" si="410"/>
        <v>Excellent Order</v>
      </c>
      <c r="F5288">
        <v>0.31</v>
      </c>
      <c r="G5288" s="37" t="str">
        <f t="shared" si="411"/>
        <v>Heavy Discount</v>
      </c>
      <c r="H5288" s="37" t="str">
        <f t="shared" si="412"/>
        <v>Medium</v>
      </c>
      <c r="I5288">
        <v>5</v>
      </c>
      <c r="J5288" t="str" cm="1">
        <f t="array" ref="J5288">_xlfn.IFS(I5288&lt;=3,"small",I5288&lt;=6,"Medium",I5288&lt;=9,"Large")</f>
        <v>Medium</v>
      </c>
      <c r="K5288" s="36">
        <v>45201</v>
      </c>
      <c r="L5288" s="36">
        <v>45204</v>
      </c>
      <c r="M5288" t="s">
        <v>603</v>
      </c>
      <c r="N5288" t="s">
        <v>599</v>
      </c>
      <c r="O5288" s="37" t="str">
        <f t="shared" si="413"/>
        <v>Digital Payment</v>
      </c>
      <c r="P5288">
        <v>850.38</v>
      </c>
      <c r="Q5288" s="37" t="str">
        <f>IF(P5288&gt;500,"High","low")</f>
        <v>High</v>
      </c>
      <c r="R5288" s="37" t="str">
        <f t="shared" si="414"/>
        <v>Good</v>
      </c>
      <c r="S5288" t="s">
        <v>628</v>
      </c>
    </row>
    <row r="5289" spans="1:19" x14ac:dyDescent="0.2">
      <c r="A5289" t="s">
        <v>5900</v>
      </c>
      <c r="B5289" t="s">
        <v>75</v>
      </c>
      <c r="C5289" t="s">
        <v>602</v>
      </c>
      <c r="D5289">
        <v>804.91</v>
      </c>
      <c r="E5289" s="37" t="str">
        <f t="shared" si="410"/>
        <v xml:space="preserve"> </v>
      </c>
      <c r="F5289">
        <v>0.05</v>
      </c>
      <c r="G5289" s="37" t="str">
        <f t="shared" si="411"/>
        <v>Normal Discount</v>
      </c>
      <c r="H5289" s="37" t="str">
        <f t="shared" si="412"/>
        <v>Low</v>
      </c>
      <c r="I5289">
        <v>1</v>
      </c>
      <c r="J5289" t="str" cm="1">
        <f t="array" ref="J5289">_xlfn.IFS(I5289&lt;=3,"small",I5289&lt;=6,"Medium",I5289&lt;=9,"Large")</f>
        <v>small</v>
      </c>
      <c r="K5289" s="36">
        <v>45336</v>
      </c>
      <c r="L5289" s="36">
        <v>45338</v>
      </c>
      <c r="M5289" t="s">
        <v>598</v>
      </c>
      <c r="N5289" t="s">
        <v>599</v>
      </c>
      <c r="O5289" s="37" t="str">
        <f t="shared" si="413"/>
        <v>Digital Payment</v>
      </c>
      <c r="P5289">
        <v>179.48</v>
      </c>
      <c r="Q5289" s="37" t="str">
        <f>IF(P5289&gt;500,"High","low")</f>
        <v>low</v>
      </c>
      <c r="R5289" s="37" t="str">
        <f t="shared" si="414"/>
        <v>AVERAGE</v>
      </c>
      <c r="S5289" t="s">
        <v>615</v>
      </c>
    </row>
    <row r="5290" spans="1:19" x14ac:dyDescent="0.2">
      <c r="A5290" t="s">
        <v>5901</v>
      </c>
      <c r="B5290" t="s">
        <v>83</v>
      </c>
      <c r="C5290" t="s">
        <v>602</v>
      </c>
      <c r="D5290">
        <v>802.5</v>
      </c>
      <c r="E5290" s="37" t="str">
        <f t="shared" si="410"/>
        <v xml:space="preserve"> </v>
      </c>
      <c r="F5290">
        <v>0.21</v>
      </c>
      <c r="G5290" s="37" t="str">
        <f t="shared" si="411"/>
        <v>Normal Discount</v>
      </c>
      <c r="H5290" s="37" t="str">
        <f t="shared" si="412"/>
        <v>Medium</v>
      </c>
      <c r="I5290">
        <v>8</v>
      </c>
      <c r="J5290" t="str" cm="1">
        <f t="array" ref="J5290">_xlfn.IFS(I5290&lt;=3,"small",I5290&lt;=6,"Medium",I5290&lt;=9,"Large")</f>
        <v>Large</v>
      </c>
      <c r="K5290" s="36">
        <v>45100</v>
      </c>
      <c r="L5290" s="36">
        <v>45103</v>
      </c>
      <c r="M5290" t="s">
        <v>598</v>
      </c>
      <c r="N5290" t="s">
        <v>599</v>
      </c>
      <c r="O5290" s="37" t="str">
        <f t="shared" si="413"/>
        <v>Digital Payment</v>
      </c>
      <c r="P5290">
        <v>204.81</v>
      </c>
      <c r="Q5290" s="37" t="str">
        <f>IF(P5290&gt;500,"High","low")</f>
        <v>low</v>
      </c>
      <c r="R5290" s="37" t="str">
        <f t="shared" si="414"/>
        <v>AVERAGE</v>
      </c>
      <c r="S5290" t="s">
        <v>620</v>
      </c>
    </row>
    <row r="5291" spans="1:19" x14ac:dyDescent="0.2">
      <c r="A5291" t="s">
        <v>5902</v>
      </c>
      <c r="B5291" t="s">
        <v>75</v>
      </c>
      <c r="C5291" t="s">
        <v>607</v>
      </c>
      <c r="D5291">
        <v>1596.31</v>
      </c>
      <c r="E5291" s="37" t="str">
        <f t="shared" si="410"/>
        <v xml:space="preserve"> </v>
      </c>
      <c r="F5291">
        <v>0.41</v>
      </c>
      <c r="G5291" s="37" t="str">
        <f t="shared" si="411"/>
        <v>Heavy Discount</v>
      </c>
      <c r="H5291" s="37" t="str">
        <f t="shared" si="412"/>
        <v>High</v>
      </c>
      <c r="I5291">
        <v>1</v>
      </c>
      <c r="J5291" t="str" cm="1">
        <f t="array" ref="J5291">_xlfn.IFS(I5291&lt;=3,"small",I5291&lt;=6,"Medium",I5291&lt;=9,"Large")</f>
        <v>small</v>
      </c>
      <c r="K5291" s="36">
        <v>45238</v>
      </c>
      <c r="L5291" s="36">
        <v>45239</v>
      </c>
      <c r="M5291" t="s">
        <v>612</v>
      </c>
      <c r="N5291" t="s">
        <v>599</v>
      </c>
      <c r="O5291" s="37" t="str">
        <f t="shared" si="413"/>
        <v>Digital Payment</v>
      </c>
      <c r="P5291">
        <v>327.82</v>
      </c>
      <c r="Q5291" s="37" t="str">
        <f>IF(P5291&gt;500,"High","low")</f>
        <v>low</v>
      </c>
      <c r="R5291" s="37" t="str">
        <f t="shared" si="414"/>
        <v>AVERAGE</v>
      </c>
      <c r="S5291" t="s">
        <v>628</v>
      </c>
    </row>
    <row r="5292" spans="1:19" x14ac:dyDescent="0.2">
      <c r="A5292" t="s">
        <v>5903</v>
      </c>
      <c r="B5292" t="s">
        <v>75</v>
      </c>
      <c r="C5292" t="s">
        <v>597</v>
      </c>
      <c r="D5292">
        <v>416.77</v>
      </c>
      <c r="E5292" s="37" t="str">
        <f t="shared" si="410"/>
        <v xml:space="preserve"> </v>
      </c>
      <c r="F5292">
        <v>0.13</v>
      </c>
      <c r="G5292" s="37" t="str">
        <f t="shared" si="411"/>
        <v>Normal Discount</v>
      </c>
      <c r="H5292" s="37" t="str">
        <f t="shared" si="412"/>
        <v>Low</v>
      </c>
      <c r="I5292">
        <v>4</v>
      </c>
      <c r="J5292" t="str" cm="1">
        <f t="array" ref="J5292">_xlfn.IFS(I5292&lt;=3,"small",I5292&lt;=6,"Medium",I5292&lt;=9,"Large")</f>
        <v>Medium</v>
      </c>
      <c r="K5292" s="36">
        <v>45192</v>
      </c>
      <c r="L5292" s="36">
        <v>45193</v>
      </c>
      <c r="M5292" t="s">
        <v>603</v>
      </c>
      <c r="N5292" t="s">
        <v>604</v>
      </c>
      <c r="O5292" s="37" t="str">
        <f t="shared" si="413"/>
        <v>Digital Payment</v>
      </c>
      <c r="P5292">
        <v>118.35</v>
      </c>
      <c r="Q5292" s="37" t="str">
        <f>IF(P5292&gt;500,"High","low")</f>
        <v>low</v>
      </c>
      <c r="R5292" s="37" t="str">
        <f t="shared" si="414"/>
        <v>AVERAGE</v>
      </c>
      <c r="S5292" t="s">
        <v>628</v>
      </c>
    </row>
    <row r="5293" spans="1:19" x14ac:dyDescent="0.2">
      <c r="A5293" t="s">
        <v>5904</v>
      </c>
      <c r="B5293" t="s">
        <v>83</v>
      </c>
      <c r="C5293" t="s">
        <v>614</v>
      </c>
      <c r="D5293">
        <v>546.23</v>
      </c>
      <c r="E5293" s="37" t="str">
        <f t="shared" si="410"/>
        <v xml:space="preserve"> </v>
      </c>
      <c r="F5293">
        <v>0.46</v>
      </c>
      <c r="G5293" s="37" t="str">
        <f t="shared" si="411"/>
        <v>Heavy Discount</v>
      </c>
      <c r="H5293" s="37" t="str">
        <f t="shared" si="412"/>
        <v>High</v>
      </c>
      <c r="I5293">
        <v>3</v>
      </c>
      <c r="J5293" t="str" cm="1">
        <f t="array" ref="J5293">_xlfn.IFS(I5293&lt;=3,"small",I5293&lt;=6,"Medium",I5293&lt;=9,"Large")</f>
        <v>small</v>
      </c>
      <c r="K5293" s="36">
        <v>45558</v>
      </c>
      <c r="L5293" s="36">
        <v>45561</v>
      </c>
      <c r="M5293" t="s">
        <v>603</v>
      </c>
      <c r="N5293" t="s">
        <v>604</v>
      </c>
      <c r="O5293" s="37" t="str">
        <f t="shared" si="413"/>
        <v>Digital Payment</v>
      </c>
      <c r="P5293">
        <v>93.51</v>
      </c>
      <c r="Q5293" s="37" t="str">
        <f>IF(P5293&gt;500,"High","low")</f>
        <v>low</v>
      </c>
      <c r="R5293" s="37" t="str">
        <f t="shared" si="414"/>
        <v>AVERAGE</v>
      </c>
      <c r="S5293" t="s">
        <v>600</v>
      </c>
    </row>
    <row r="5294" spans="1:19" x14ac:dyDescent="0.2">
      <c r="A5294" t="s">
        <v>5905</v>
      </c>
      <c r="B5294" t="s">
        <v>67</v>
      </c>
      <c r="C5294" t="s">
        <v>617</v>
      </c>
      <c r="D5294">
        <v>801.72</v>
      </c>
      <c r="E5294" s="37" t="str">
        <f t="shared" si="410"/>
        <v xml:space="preserve"> </v>
      </c>
      <c r="F5294">
        <v>0.3</v>
      </c>
      <c r="G5294" s="37" t="str">
        <f t="shared" si="411"/>
        <v>Normal Discount</v>
      </c>
      <c r="H5294" s="37" t="str">
        <f t="shared" si="412"/>
        <v>Medium</v>
      </c>
      <c r="I5294">
        <v>3</v>
      </c>
      <c r="J5294" t="str" cm="1">
        <f t="array" ref="J5294">_xlfn.IFS(I5294&lt;=3,"small",I5294&lt;=6,"Medium",I5294&lt;=9,"Large")</f>
        <v>small</v>
      </c>
      <c r="K5294" s="36">
        <v>45609</v>
      </c>
      <c r="L5294" s="36">
        <v>45610</v>
      </c>
      <c r="M5294" t="s">
        <v>598</v>
      </c>
      <c r="N5294" t="s">
        <v>608</v>
      </c>
      <c r="O5294" s="37" t="str">
        <f t="shared" si="413"/>
        <v>Cash Payment</v>
      </c>
      <c r="P5294">
        <v>146.37</v>
      </c>
      <c r="Q5294" s="37" t="str">
        <f>IF(P5294&gt;500,"High","low")</f>
        <v>low</v>
      </c>
      <c r="R5294" s="37" t="str">
        <f t="shared" si="414"/>
        <v>AVERAGE</v>
      </c>
      <c r="S5294" t="s">
        <v>600</v>
      </c>
    </row>
    <row r="5295" spans="1:19" x14ac:dyDescent="0.2">
      <c r="A5295" t="s">
        <v>5906</v>
      </c>
      <c r="B5295" t="s">
        <v>90</v>
      </c>
      <c r="C5295" t="s">
        <v>617</v>
      </c>
      <c r="D5295">
        <v>3590.91</v>
      </c>
      <c r="E5295" s="37" t="str">
        <f t="shared" si="410"/>
        <v xml:space="preserve"> </v>
      </c>
      <c r="F5295">
        <v>0.27</v>
      </c>
      <c r="G5295" s="37" t="str">
        <f t="shared" si="411"/>
        <v>Normal Discount</v>
      </c>
      <c r="H5295" s="37" t="str">
        <f t="shared" si="412"/>
        <v>Medium</v>
      </c>
      <c r="I5295">
        <v>6</v>
      </c>
      <c r="J5295" t="str" cm="1">
        <f t="array" ref="J5295">_xlfn.IFS(I5295&lt;=3,"small",I5295&lt;=6,"Medium",I5295&lt;=9,"Large")</f>
        <v>Medium</v>
      </c>
      <c r="K5295" s="36">
        <v>45340</v>
      </c>
      <c r="L5295" s="36">
        <v>45347</v>
      </c>
      <c r="M5295" t="s">
        <v>612</v>
      </c>
      <c r="N5295" t="s">
        <v>599</v>
      </c>
      <c r="O5295" s="37" t="str">
        <f t="shared" si="413"/>
        <v>Digital Payment</v>
      </c>
      <c r="P5295">
        <v>452.54</v>
      </c>
      <c r="Q5295" s="37" t="str">
        <f>IF(P5295&gt;500,"High","low")</f>
        <v>low</v>
      </c>
      <c r="R5295" s="37" t="str">
        <f t="shared" si="414"/>
        <v>AVERAGE</v>
      </c>
      <c r="S5295" t="s">
        <v>615</v>
      </c>
    </row>
    <row r="5296" spans="1:19" x14ac:dyDescent="0.2">
      <c r="A5296" t="s">
        <v>5907</v>
      </c>
      <c r="B5296" t="s">
        <v>67</v>
      </c>
      <c r="C5296" t="s">
        <v>607</v>
      </c>
      <c r="D5296">
        <v>248.13</v>
      </c>
      <c r="E5296" s="37" t="str">
        <f t="shared" si="410"/>
        <v xml:space="preserve"> </v>
      </c>
      <c r="F5296">
        <v>0.2</v>
      </c>
      <c r="G5296" s="37" t="str">
        <f t="shared" si="411"/>
        <v>Normal Discount</v>
      </c>
      <c r="H5296" s="37" t="str">
        <f t="shared" si="412"/>
        <v>Medium</v>
      </c>
      <c r="I5296">
        <v>8</v>
      </c>
      <c r="J5296" t="str" cm="1">
        <f t="array" ref="J5296">_xlfn.IFS(I5296&lt;=3,"small",I5296&lt;=6,"Medium",I5296&lt;=9,"Large")</f>
        <v>Large</v>
      </c>
      <c r="K5296" s="36">
        <v>45478</v>
      </c>
      <c r="L5296" s="36">
        <v>45485</v>
      </c>
      <c r="M5296" t="s">
        <v>603</v>
      </c>
      <c r="N5296" t="s">
        <v>604</v>
      </c>
      <c r="O5296" s="37" t="str">
        <f t="shared" si="413"/>
        <v>Digital Payment</v>
      </c>
      <c r="P5296">
        <v>20.59</v>
      </c>
      <c r="Q5296" s="37" t="str">
        <f>IF(P5296&gt;500,"High","low")</f>
        <v>low</v>
      </c>
      <c r="R5296" s="37" t="str">
        <f t="shared" si="414"/>
        <v>AVERAGE</v>
      </c>
      <c r="S5296" t="s">
        <v>605</v>
      </c>
    </row>
    <row r="5297" spans="1:19" x14ac:dyDescent="0.2">
      <c r="A5297" t="s">
        <v>5908</v>
      </c>
      <c r="B5297" t="s">
        <v>67</v>
      </c>
      <c r="C5297" t="s">
        <v>607</v>
      </c>
      <c r="D5297">
        <v>507.9</v>
      </c>
      <c r="E5297" s="37" t="str">
        <f t="shared" si="410"/>
        <v xml:space="preserve"> </v>
      </c>
      <c r="F5297">
        <v>0.37</v>
      </c>
      <c r="G5297" s="37" t="str">
        <f t="shared" si="411"/>
        <v>Heavy Discount</v>
      </c>
      <c r="H5297" s="37" t="str">
        <f t="shared" si="412"/>
        <v>Medium</v>
      </c>
      <c r="I5297">
        <v>5</v>
      </c>
      <c r="J5297" t="str" cm="1">
        <f t="array" ref="J5297">_xlfn.IFS(I5297&lt;=3,"small",I5297&lt;=6,"Medium",I5297&lt;=9,"Large")</f>
        <v>Medium</v>
      </c>
      <c r="K5297" s="36">
        <v>45410</v>
      </c>
      <c r="L5297" s="36">
        <v>45416</v>
      </c>
      <c r="M5297" t="s">
        <v>603</v>
      </c>
      <c r="N5297" t="s">
        <v>608</v>
      </c>
      <c r="O5297" s="37" t="str">
        <f t="shared" si="413"/>
        <v>Cash Payment</v>
      </c>
      <c r="P5297">
        <v>105.2</v>
      </c>
      <c r="Q5297" s="37" t="str">
        <f>IF(P5297&gt;500,"High","low")</f>
        <v>low</v>
      </c>
      <c r="R5297" s="37" t="str">
        <f t="shared" si="414"/>
        <v>AVERAGE</v>
      </c>
      <c r="S5297" t="s">
        <v>620</v>
      </c>
    </row>
    <row r="5298" spans="1:19" x14ac:dyDescent="0.2">
      <c r="A5298" t="s">
        <v>5909</v>
      </c>
      <c r="B5298" t="s">
        <v>75</v>
      </c>
      <c r="C5298" t="s">
        <v>614</v>
      </c>
      <c r="D5298">
        <v>4726.5</v>
      </c>
      <c r="E5298" s="37" t="str">
        <f t="shared" si="410"/>
        <v xml:space="preserve"> </v>
      </c>
      <c r="F5298">
        <v>0.28000000000000003</v>
      </c>
      <c r="G5298" s="37" t="str">
        <f t="shared" si="411"/>
        <v>Normal Discount</v>
      </c>
      <c r="H5298" s="37" t="str">
        <f t="shared" si="412"/>
        <v>Medium</v>
      </c>
      <c r="I5298">
        <v>6</v>
      </c>
      <c r="J5298" t="str" cm="1">
        <f t="array" ref="J5298">_xlfn.IFS(I5298&lt;=3,"small",I5298&lt;=6,"Medium",I5298&lt;=9,"Large")</f>
        <v>Medium</v>
      </c>
      <c r="K5298" s="36">
        <v>45109</v>
      </c>
      <c r="L5298" s="36">
        <v>45116</v>
      </c>
      <c r="M5298" t="s">
        <v>612</v>
      </c>
      <c r="N5298" t="s">
        <v>599</v>
      </c>
      <c r="O5298" s="37" t="str">
        <f t="shared" si="413"/>
        <v>Digital Payment</v>
      </c>
      <c r="P5298">
        <v>582.05999999999995</v>
      </c>
      <c r="Q5298" s="37" t="str">
        <f>IF(P5298&gt;500,"High","low")</f>
        <v>High</v>
      </c>
      <c r="R5298" s="37" t="str">
        <f t="shared" si="414"/>
        <v>Good</v>
      </c>
      <c r="S5298" t="s">
        <v>600</v>
      </c>
    </row>
    <row r="5299" spans="1:19" x14ac:dyDescent="0.2">
      <c r="A5299" t="s">
        <v>5910</v>
      </c>
      <c r="B5299" t="s">
        <v>90</v>
      </c>
      <c r="C5299" t="s">
        <v>597</v>
      </c>
      <c r="D5299">
        <v>509.92</v>
      </c>
      <c r="E5299" s="37" t="str">
        <f t="shared" si="410"/>
        <v xml:space="preserve"> </v>
      </c>
      <c r="F5299">
        <v>0.4</v>
      </c>
      <c r="G5299" s="37" t="str">
        <f t="shared" si="411"/>
        <v>Heavy Discount</v>
      </c>
      <c r="H5299" s="37" t="str">
        <f t="shared" si="412"/>
        <v>Medium</v>
      </c>
      <c r="I5299">
        <v>6</v>
      </c>
      <c r="J5299" t="str" cm="1">
        <f t="array" ref="J5299">_xlfn.IFS(I5299&lt;=3,"small",I5299&lt;=6,"Medium",I5299&lt;=9,"Large")</f>
        <v>Medium</v>
      </c>
      <c r="K5299" s="36">
        <v>45368</v>
      </c>
      <c r="L5299" s="36">
        <v>45375</v>
      </c>
      <c r="M5299" t="s">
        <v>603</v>
      </c>
      <c r="N5299" t="s">
        <v>599</v>
      </c>
      <c r="O5299" s="37" t="str">
        <f t="shared" si="413"/>
        <v>Digital Payment</v>
      </c>
      <c r="P5299">
        <v>116.54</v>
      </c>
      <c r="Q5299" s="37" t="str">
        <f>IF(P5299&gt;500,"High","low")</f>
        <v>low</v>
      </c>
      <c r="R5299" s="37" t="str">
        <f t="shared" si="414"/>
        <v>AVERAGE</v>
      </c>
      <c r="S5299" t="s">
        <v>620</v>
      </c>
    </row>
    <row r="5300" spans="1:19" x14ac:dyDescent="0.2">
      <c r="A5300" t="s">
        <v>5911</v>
      </c>
      <c r="B5300" t="s">
        <v>90</v>
      </c>
      <c r="C5300" t="s">
        <v>617</v>
      </c>
      <c r="D5300">
        <v>2733.57</v>
      </c>
      <c r="E5300" s="37" t="str">
        <f t="shared" si="410"/>
        <v xml:space="preserve"> </v>
      </c>
      <c r="F5300">
        <v>0.17</v>
      </c>
      <c r="G5300" s="37" t="str">
        <f t="shared" si="411"/>
        <v>Normal Discount</v>
      </c>
      <c r="H5300" s="37" t="str">
        <f t="shared" si="412"/>
        <v>Low</v>
      </c>
      <c r="I5300">
        <v>1</v>
      </c>
      <c r="J5300" t="str" cm="1">
        <f t="array" ref="J5300">_xlfn.IFS(I5300&lt;=3,"small",I5300&lt;=6,"Medium",I5300&lt;=9,"Large")</f>
        <v>small</v>
      </c>
      <c r="K5300" s="36">
        <v>45382</v>
      </c>
      <c r="L5300" s="36">
        <v>45384</v>
      </c>
      <c r="M5300" t="s">
        <v>598</v>
      </c>
      <c r="N5300" t="s">
        <v>604</v>
      </c>
      <c r="O5300" s="37" t="str">
        <f t="shared" si="413"/>
        <v>Digital Payment</v>
      </c>
      <c r="P5300">
        <v>560.84</v>
      </c>
      <c r="Q5300" s="37" t="str">
        <f>IF(P5300&gt;500,"High","low")</f>
        <v>High</v>
      </c>
      <c r="R5300" s="37" t="str">
        <f t="shared" si="414"/>
        <v>Good</v>
      </c>
      <c r="S5300" t="s">
        <v>600</v>
      </c>
    </row>
    <row r="5301" spans="1:19" x14ac:dyDescent="0.2">
      <c r="A5301" t="s">
        <v>5912</v>
      </c>
      <c r="B5301" t="s">
        <v>67</v>
      </c>
      <c r="C5301" t="s">
        <v>607</v>
      </c>
      <c r="D5301">
        <v>3248.61</v>
      </c>
      <c r="E5301" s="37" t="str">
        <f t="shared" si="410"/>
        <v xml:space="preserve"> </v>
      </c>
      <c r="F5301">
        <v>0.35</v>
      </c>
      <c r="G5301" s="37" t="str">
        <f t="shared" si="411"/>
        <v>Heavy Discount</v>
      </c>
      <c r="H5301" s="37" t="str">
        <f t="shared" si="412"/>
        <v>Medium</v>
      </c>
      <c r="I5301">
        <v>7</v>
      </c>
      <c r="J5301" t="str" cm="1">
        <f t="array" ref="J5301">_xlfn.IFS(I5301&lt;=3,"small",I5301&lt;=6,"Medium",I5301&lt;=9,"Large")</f>
        <v>Large</v>
      </c>
      <c r="K5301" s="36">
        <v>45416</v>
      </c>
      <c r="L5301" s="36">
        <v>45422</v>
      </c>
      <c r="M5301" t="s">
        <v>598</v>
      </c>
      <c r="N5301" t="s">
        <v>608</v>
      </c>
      <c r="O5301" s="37" t="str">
        <f t="shared" si="413"/>
        <v>Cash Payment</v>
      </c>
      <c r="P5301">
        <v>390.9</v>
      </c>
      <c r="Q5301" s="37" t="str">
        <f>IF(P5301&gt;500,"High","low")</f>
        <v>low</v>
      </c>
      <c r="R5301" s="37" t="str">
        <f t="shared" si="414"/>
        <v>AVERAGE</v>
      </c>
      <c r="S5301" t="s">
        <v>605</v>
      </c>
    </row>
    <row r="5302" spans="1:19" x14ac:dyDescent="0.2">
      <c r="A5302" t="s">
        <v>5913</v>
      </c>
      <c r="B5302" t="s">
        <v>83</v>
      </c>
      <c r="C5302" t="s">
        <v>617</v>
      </c>
      <c r="D5302">
        <v>4797.1099999999997</v>
      </c>
      <c r="E5302" s="37" t="str">
        <f t="shared" si="410"/>
        <v>Excellent Order</v>
      </c>
      <c r="F5302">
        <v>0.47</v>
      </c>
      <c r="G5302" s="37" t="str">
        <f t="shared" si="411"/>
        <v>Heavy Discount</v>
      </c>
      <c r="H5302" s="37" t="str">
        <f t="shared" si="412"/>
        <v>High</v>
      </c>
      <c r="I5302">
        <v>1</v>
      </c>
      <c r="J5302" t="str" cm="1">
        <f t="array" ref="J5302">_xlfn.IFS(I5302&lt;=3,"small",I5302&lt;=6,"Medium",I5302&lt;=9,"Large")</f>
        <v>small</v>
      </c>
      <c r="K5302" s="36">
        <v>44973</v>
      </c>
      <c r="L5302" s="36">
        <v>44976</v>
      </c>
      <c r="M5302" t="s">
        <v>612</v>
      </c>
      <c r="N5302" t="s">
        <v>599</v>
      </c>
      <c r="O5302" s="37" t="str">
        <f t="shared" si="413"/>
        <v>Digital Payment</v>
      </c>
      <c r="P5302">
        <v>908.33</v>
      </c>
      <c r="Q5302" s="37" t="str">
        <f>IF(P5302&gt;500,"High","low")</f>
        <v>High</v>
      </c>
      <c r="R5302" s="37" t="str">
        <f t="shared" si="414"/>
        <v>Good</v>
      </c>
      <c r="S5302" t="s">
        <v>620</v>
      </c>
    </row>
    <row r="5303" spans="1:19" x14ac:dyDescent="0.2">
      <c r="A5303" t="s">
        <v>5914</v>
      </c>
      <c r="B5303" t="s">
        <v>67</v>
      </c>
      <c r="C5303" t="s">
        <v>602</v>
      </c>
      <c r="D5303">
        <v>4509.03</v>
      </c>
      <c r="E5303" s="37" t="str">
        <f t="shared" si="410"/>
        <v>Excellent Order</v>
      </c>
      <c r="F5303">
        <v>0.14000000000000001</v>
      </c>
      <c r="G5303" s="37" t="str">
        <f t="shared" si="411"/>
        <v>Normal Discount</v>
      </c>
      <c r="H5303" s="37" t="str">
        <f t="shared" si="412"/>
        <v>Low</v>
      </c>
      <c r="I5303">
        <v>7</v>
      </c>
      <c r="J5303" t="str" cm="1">
        <f t="array" ref="J5303">_xlfn.IFS(I5303&lt;=3,"small",I5303&lt;=6,"Medium",I5303&lt;=9,"Large")</f>
        <v>Large</v>
      </c>
      <c r="K5303" s="36">
        <v>45219</v>
      </c>
      <c r="L5303" s="36">
        <v>45221</v>
      </c>
      <c r="M5303" t="s">
        <v>603</v>
      </c>
      <c r="N5303" t="s">
        <v>604</v>
      </c>
      <c r="O5303" s="37" t="str">
        <f t="shared" si="413"/>
        <v>Digital Payment</v>
      </c>
      <c r="P5303">
        <v>1339.58</v>
      </c>
      <c r="Q5303" s="37" t="str">
        <f>IF(P5303&gt;500,"High","low")</f>
        <v>High</v>
      </c>
      <c r="R5303" s="37" t="str">
        <f t="shared" si="414"/>
        <v>Excellent</v>
      </c>
      <c r="S5303" t="s">
        <v>628</v>
      </c>
    </row>
    <row r="5304" spans="1:19" x14ac:dyDescent="0.2">
      <c r="A5304" t="s">
        <v>5915</v>
      </c>
      <c r="B5304" t="s">
        <v>83</v>
      </c>
      <c r="C5304" t="s">
        <v>617</v>
      </c>
      <c r="D5304">
        <v>2259.35</v>
      </c>
      <c r="E5304" s="37" t="str">
        <f t="shared" si="410"/>
        <v xml:space="preserve"> </v>
      </c>
      <c r="F5304">
        <v>0.49</v>
      </c>
      <c r="G5304" s="37" t="str">
        <f t="shared" si="411"/>
        <v>Heavy Discount</v>
      </c>
      <c r="H5304" s="37" t="str">
        <f t="shared" si="412"/>
        <v>High</v>
      </c>
      <c r="I5304">
        <v>8</v>
      </c>
      <c r="J5304" t="str" cm="1">
        <f t="array" ref="J5304">_xlfn.IFS(I5304&lt;=3,"small",I5304&lt;=6,"Medium",I5304&lt;=9,"Large")</f>
        <v>Large</v>
      </c>
      <c r="K5304" s="36">
        <v>45623</v>
      </c>
      <c r="L5304" s="36">
        <v>45627</v>
      </c>
      <c r="M5304" t="s">
        <v>598</v>
      </c>
      <c r="N5304" t="s">
        <v>604</v>
      </c>
      <c r="O5304" s="37" t="str">
        <f t="shared" si="413"/>
        <v>Digital Payment</v>
      </c>
      <c r="P5304">
        <v>611.34</v>
      </c>
      <c r="Q5304" s="37" t="str">
        <f>IF(P5304&gt;500,"High","low")</f>
        <v>High</v>
      </c>
      <c r="R5304" s="37" t="str">
        <f t="shared" si="414"/>
        <v>Good</v>
      </c>
      <c r="S5304" t="s">
        <v>628</v>
      </c>
    </row>
    <row r="5305" spans="1:19" x14ac:dyDescent="0.2">
      <c r="A5305" t="s">
        <v>5916</v>
      </c>
      <c r="B5305" t="s">
        <v>90</v>
      </c>
      <c r="C5305" t="s">
        <v>597</v>
      </c>
      <c r="D5305">
        <v>4716.6000000000004</v>
      </c>
      <c r="E5305" s="37" t="str">
        <f t="shared" si="410"/>
        <v xml:space="preserve"> </v>
      </c>
      <c r="F5305">
        <v>0.21</v>
      </c>
      <c r="G5305" s="37" t="str">
        <f t="shared" si="411"/>
        <v>Normal Discount</v>
      </c>
      <c r="H5305" s="37" t="str">
        <f t="shared" si="412"/>
        <v>Medium</v>
      </c>
      <c r="I5305">
        <v>4</v>
      </c>
      <c r="J5305" t="str" cm="1">
        <f t="array" ref="J5305">_xlfn.IFS(I5305&lt;=3,"small",I5305&lt;=6,"Medium",I5305&lt;=9,"Large")</f>
        <v>Medium</v>
      </c>
      <c r="K5305" s="36">
        <v>45005</v>
      </c>
      <c r="L5305" s="36">
        <v>45010</v>
      </c>
      <c r="M5305" t="s">
        <v>603</v>
      </c>
      <c r="N5305" t="s">
        <v>608</v>
      </c>
      <c r="O5305" s="37" t="str">
        <f t="shared" si="413"/>
        <v>Cash Payment</v>
      </c>
      <c r="P5305">
        <v>727.3</v>
      </c>
      <c r="Q5305" s="37" t="str">
        <f>IF(P5305&gt;500,"High","low")</f>
        <v>High</v>
      </c>
      <c r="R5305" s="37" t="str">
        <f t="shared" si="414"/>
        <v>Good</v>
      </c>
      <c r="S5305" t="s">
        <v>605</v>
      </c>
    </row>
    <row r="5306" spans="1:19" x14ac:dyDescent="0.2">
      <c r="A5306" t="s">
        <v>5917</v>
      </c>
      <c r="B5306" t="s">
        <v>67</v>
      </c>
      <c r="C5306" t="s">
        <v>597</v>
      </c>
      <c r="D5306">
        <v>2218.1</v>
      </c>
      <c r="E5306" s="37" t="str">
        <f t="shared" si="410"/>
        <v xml:space="preserve"> </v>
      </c>
      <c r="F5306">
        <v>0.02</v>
      </c>
      <c r="G5306" s="37" t="str">
        <f t="shared" si="411"/>
        <v>Normal Discount</v>
      </c>
      <c r="H5306" s="37" t="str">
        <f t="shared" si="412"/>
        <v>Low</v>
      </c>
      <c r="I5306">
        <v>8</v>
      </c>
      <c r="J5306" t="str" cm="1">
        <f t="array" ref="J5306">_xlfn.IFS(I5306&lt;=3,"small",I5306&lt;=6,"Medium",I5306&lt;=9,"Large")</f>
        <v>Large</v>
      </c>
      <c r="K5306" s="36">
        <v>45111</v>
      </c>
      <c r="L5306" s="36">
        <v>45115</v>
      </c>
      <c r="M5306" t="s">
        <v>598</v>
      </c>
      <c r="N5306" t="s">
        <v>604</v>
      </c>
      <c r="O5306" s="37" t="str">
        <f t="shared" si="413"/>
        <v>Digital Payment</v>
      </c>
      <c r="P5306">
        <v>492.09</v>
      </c>
      <c r="Q5306" s="37" t="str">
        <f>IF(P5306&gt;500,"High","low")</f>
        <v>low</v>
      </c>
      <c r="R5306" s="37" t="str">
        <f t="shared" si="414"/>
        <v>AVERAGE</v>
      </c>
      <c r="S5306" t="s">
        <v>615</v>
      </c>
    </row>
    <row r="5307" spans="1:19" x14ac:dyDescent="0.2">
      <c r="A5307" t="s">
        <v>5918</v>
      </c>
      <c r="B5307" t="s">
        <v>75</v>
      </c>
      <c r="C5307" t="s">
        <v>617</v>
      </c>
      <c r="D5307">
        <v>3382.6</v>
      </c>
      <c r="E5307" s="37" t="str">
        <f t="shared" si="410"/>
        <v xml:space="preserve"> </v>
      </c>
      <c r="F5307">
        <v>0.18</v>
      </c>
      <c r="G5307" s="37" t="str">
        <f t="shared" si="411"/>
        <v>Normal Discount</v>
      </c>
      <c r="H5307" s="37" t="str">
        <f t="shared" si="412"/>
        <v>Low</v>
      </c>
      <c r="I5307">
        <v>6</v>
      </c>
      <c r="J5307" t="str" cm="1">
        <f t="array" ref="J5307">_xlfn.IFS(I5307&lt;=3,"small",I5307&lt;=6,"Medium",I5307&lt;=9,"Large")</f>
        <v>Medium</v>
      </c>
      <c r="K5307" s="36">
        <v>45537</v>
      </c>
      <c r="L5307" s="36">
        <v>45540</v>
      </c>
      <c r="M5307" t="s">
        <v>598</v>
      </c>
      <c r="N5307" t="s">
        <v>608</v>
      </c>
      <c r="O5307" s="37" t="str">
        <f t="shared" si="413"/>
        <v>Cash Payment</v>
      </c>
      <c r="P5307">
        <v>324.14</v>
      </c>
      <c r="Q5307" s="37" t="str">
        <f>IF(P5307&gt;500,"High","low")</f>
        <v>low</v>
      </c>
      <c r="R5307" s="37" t="str">
        <f t="shared" si="414"/>
        <v>AVERAGE</v>
      </c>
      <c r="S5307" t="s">
        <v>609</v>
      </c>
    </row>
    <row r="5308" spans="1:19" x14ac:dyDescent="0.2">
      <c r="A5308" t="s">
        <v>5919</v>
      </c>
      <c r="B5308" t="s">
        <v>67</v>
      </c>
      <c r="C5308" t="s">
        <v>602</v>
      </c>
      <c r="D5308">
        <v>1372.08</v>
      </c>
      <c r="E5308" s="37" t="str">
        <f t="shared" si="410"/>
        <v xml:space="preserve"> </v>
      </c>
      <c r="F5308">
        <v>7.0000000000000007E-2</v>
      </c>
      <c r="G5308" s="37" t="str">
        <f t="shared" si="411"/>
        <v>Normal Discount</v>
      </c>
      <c r="H5308" s="37" t="str">
        <f t="shared" si="412"/>
        <v>Low</v>
      </c>
      <c r="I5308">
        <v>6</v>
      </c>
      <c r="J5308" t="str" cm="1">
        <f t="array" ref="J5308">_xlfn.IFS(I5308&lt;=3,"small",I5308&lt;=6,"Medium",I5308&lt;=9,"Large")</f>
        <v>Medium</v>
      </c>
      <c r="K5308" s="36">
        <v>45595</v>
      </c>
      <c r="L5308" s="36">
        <v>45600</v>
      </c>
      <c r="M5308" t="s">
        <v>598</v>
      </c>
      <c r="N5308" t="s">
        <v>608</v>
      </c>
      <c r="O5308" s="37" t="str">
        <f t="shared" si="413"/>
        <v>Cash Payment</v>
      </c>
      <c r="P5308">
        <v>72.08</v>
      </c>
      <c r="Q5308" s="37" t="str">
        <f>IF(P5308&gt;500,"High","low")</f>
        <v>low</v>
      </c>
      <c r="R5308" s="37" t="str">
        <f t="shared" si="414"/>
        <v>AVERAGE</v>
      </c>
      <c r="S5308" t="s">
        <v>628</v>
      </c>
    </row>
    <row r="5309" spans="1:19" x14ac:dyDescent="0.2">
      <c r="A5309" t="s">
        <v>5920</v>
      </c>
      <c r="B5309" t="s">
        <v>90</v>
      </c>
      <c r="C5309" t="s">
        <v>597</v>
      </c>
      <c r="D5309">
        <v>3219.56</v>
      </c>
      <c r="E5309" s="37" t="str">
        <f t="shared" si="410"/>
        <v xml:space="preserve"> </v>
      </c>
      <c r="F5309">
        <v>0.15</v>
      </c>
      <c r="G5309" s="37" t="str">
        <f t="shared" si="411"/>
        <v>Normal Discount</v>
      </c>
      <c r="H5309" s="37" t="str">
        <f t="shared" si="412"/>
        <v>Low</v>
      </c>
      <c r="I5309">
        <v>9</v>
      </c>
      <c r="J5309" t="str" cm="1">
        <f t="array" ref="J5309">_xlfn.IFS(I5309&lt;=3,"small",I5309&lt;=6,"Medium",I5309&lt;=9,"Large")</f>
        <v>Large</v>
      </c>
      <c r="K5309" s="36">
        <v>45398</v>
      </c>
      <c r="L5309" s="36">
        <v>45401</v>
      </c>
      <c r="M5309" t="s">
        <v>603</v>
      </c>
      <c r="N5309" t="s">
        <v>608</v>
      </c>
      <c r="O5309" s="37" t="str">
        <f t="shared" si="413"/>
        <v>Cash Payment</v>
      </c>
      <c r="P5309">
        <v>836.71</v>
      </c>
      <c r="Q5309" s="37" t="str">
        <f>IF(P5309&gt;500,"High","low")</f>
        <v>High</v>
      </c>
      <c r="R5309" s="37" t="str">
        <f t="shared" si="414"/>
        <v>Good</v>
      </c>
      <c r="S5309" t="s">
        <v>600</v>
      </c>
    </row>
    <row r="5310" spans="1:19" x14ac:dyDescent="0.2">
      <c r="A5310" t="s">
        <v>5921</v>
      </c>
      <c r="B5310" t="s">
        <v>75</v>
      </c>
      <c r="C5310" t="s">
        <v>607</v>
      </c>
      <c r="D5310">
        <v>2737.13</v>
      </c>
      <c r="E5310" s="37" t="str">
        <f t="shared" si="410"/>
        <v xml:space="preserve"> </v>
      </c>
      <c r="F5310">
        <v>0.05</v>
      </c>
      <c r="G5310" s="37" t="str">
        <f t="shared" si="411"/>
        <v>Normal Discount</v>
      </c>
      <c r="H5310" s="37" t="str">
        <f t="shared" si="412"/>
        <v>Low</v>
      </c>
      <c r="I5310">
        <v>6</v>
      </c>
      <c r="J5310" t="str" cm="1">
        <f t="array" ref="J5310">_xlfn.IFS(I5310&lt;=3,"small",I5310&lt;=6,"Medium",I5310&lt;=9,"Large")</f>
        <v>Medium</v>
      </c>
      <c r="K5310" s="36">
        <v>45483</v>
      </c>
      <c r="L5310" s="36">
        <v>45489</v>
      </c>
      <c r="M5310" t="s">
        <v>598</v>
      </c>
      <c r="N5310" t="s">
        <v>608</v>
      </c>
      <c r="O5310" s="37" t="str">
        <f t="shared" si="413"/>
        <v>Cash Payment</v>
      </c>
      <c r="P5310">
        <v>420.26</v>
      </c>
      <c r="Q5310" s="37" t="str">
        <f>IF(P5310&gt;500,"High","low")</f>
        <v>low</v>
      </c>
      <c r="R5310" s="37" t="str">
        <f t="shared" si="414"/>
        <v>AVERAGE</v>
      </c>
      <c r="S5310" t="s">
        <v>605</v>
      </c>
    </row>
    <row r="5311" spans="1:19" x14ac:dyDescent="0.2">
      <c r="A5311" t="s">
        <v>5922</v>
      </c>
      <c r="B5311" t="s">
        <v>75</v>
      </c>
      <c r="C5311" t="s">
        <v>617</v>
      </c>
      <c r="D5311">
        <v>3073.47</v>
      </c>
      <c r="E5311" s="37" t="str">
        <f t="shared" si="410"/>
        <v xml:space="preserve"> </v>
      </c>
      <c r="F5311">
        <v>0.09</v>
      </c>
      <c r="G5311" s="37" t="str">
        <f t="shared" si="411"/>
        <v>Normal Discount</v>
      </c>
      <c r="H5311" s="37" t="str">
        <f t="shared" si="412"/>
        <v>Low</v>
      </c>
      <c r="I5311">
        <v>5</v>
      </c>
      <c r="J5311" t="str" cm="1">
        <f t="array" ref="J5311">_xlfn.IFS(I5311&lt;=3,"small",I5311&lt;=6,"Medium",I5311&lt;=9,"Large")</f>
        <v>Medium</v>
      </c>
      <c r="K5311" s="36">
        <v>45525</v>
      </c>
      <c r="L5311" s="36">
        <v>45531</v>
      </c>
      <c r="M5311" t="s">
        <v>612</v>
      </c>
      <c r="N5311" t="s">
        <v>599</v>
      </c>
      <c r="O5311" s="37" t="str">
        <f t="shared" si="413"/>
        <v>Digital Payment</v>
      </c>
      <c r="P5311">
        <v>293.14</v>
      </c>
      <c r="Q5311" s="37" t="str">
        <f>IF(P5311&gt;500,"High","low")</f>
        <v>low</v>
      </c>
      <c r="R5311" s="37" t="str">
        <f t="shared" si="414"/>
        <v>AVERAGE</v>
      </c>
      <c r="S5311" t="s">
        <v>620</v>
      </c>
    </row>
    <row r="5312" spans="1:19" x14ac:dyDescent="0.2">
      <c r="A5312" t="s">
        <v>5923</v>
      </c>
      <c r="B5312" t="s">
        <v>83</v>
      </c>
      <c r="C5312" t="s">
        <v>602</v>
      </c>
      <c r="D5312">
        <v>3444.99</v>
      </c>
      <c r="E5312" s="37" t="str">
        <f t="shared" si="410"/>
        <v xml:space="preserve"> </v>
      </c>
      <c r="F5312">
        <v>0.06</v>
      </c>
      <c r="G5312" s="37" t="str">
        <f t="shared" si="411"/>
        <v>Normal Discount</v>
      </c>
      <c r="H5312" s="37" t="str">
        <f t="shared" si="412"/>
        <v>Low</v>
      </c>
      <c r="I5312">
        <v>6</v>
      </c>
      <c r="J5312" t="str" cm="1">
        <f t="array" ref="J5312">_xlfn.IFS(I5312&lt;=3,"small",I5312&lt;=6,"Medium",I5312&lt;=9,"Large")</f>
        <v>Medium</v>
      </c>
      <c r="K5312" s="36">
        <v>45255</v>
      </c>
      <c r="L5312" s="36">
        <v>45261</v>
      </c>
      <c r="M5312" t="s">
        <v>612</v>
      </c>
      <c r="N5312" t="s">
        <v>599</v>
      </c>
      <c r="O5312" s="37" t="str">
        <f t="shared" si="413"/>
        <v>Digital Payment</v>
      </c>
      <c r="P5312">
        <v>443.8</v>
      </c>
      <c r="Q5312" s="37" t="str">
        <f>IF(P5312&gt;500,"High","low")</f>
        <v>low</v>
      </c>
      <c r="R5312" s="37" t="str">
        <f t="shared" si="414"/>
        <v>AVERAGE</v>
      </c>
      <c r="S5312" t="s">
        <v>620</v>
      </c>
    </row>
    <row r="5313" spans="1:19" x14ac:dyDescent="0.2">
      <c r="A5313" t="s">
        <v>5924</v>
      </c>
      <c r="B5313" t="s">
        <v>75</v>
      </c>
      <c r="C5313" t="s">
        <v>607</v>
      </c>
      <c r="D5313">
        <v>949.93</v>
      </c>
      <c r="E5313" s="37" t="str">
        <f t="shared" si="410"/>
        <v xml:space="preserve"> </v>
      </c>
      <c r="F5313">
        <v>0.02</v>
      </c>
      <c r="G5313" s="37" t="str">
        <f t="shared" si="411"/>
        <v>Normal Discount</v>
      </c>
      <c r="H5313" s="37" t="str">
        <f t="shared" si="412"/>
        <v>Low</v>
      </c>
      <c r="I5313">
        <v>8</v>
      </c>
      <c r="J5313" t="str" cm="1">
        <f t="array" ref="J5313">_xlfn.IFS(I5313&lt;=3,"small",I5313&lt;=6,"Medium",I5313&lt;=9,"Large")</f>
        <v>Large</v>
      </c>
      <c r="K5313" s="36">
        <v>45440</v>
      </c>
      <c r="L5313" s="36">
        <v>45447</v>
      </c>
      <c r="M5313" t="s">
        <v>603</v>
      </c>
      <c r="N5313" t="s">
        <v>604</v>
      </c>
      <c r="O5313" s="37" t="str">
        <f t="shared" si="413"/>
        <v>Digital Payment</v>
      </c>
      <c r="P5313">
        <v>266.60000000000002</v>
      </c>
      <c r="Q5313" s="37" t="str">
        <f>IF(P5313&gt;500,"High","low")</f>
        <v>low</v>
      </c>
      <c r="R5313" s="37" t="str">
        <f t="shared" si="414"/>
        <v>AVERAGE</v>
      </c>
      <c r="S5313" t="s">
        <v>615</v>
      </c>
    </row>
    <row r="5314" spans="1:19" x14ac:dyDescent="0.2">
      <c r="A5314" t="s">
        <v>5925</v>
      </c>
      <c r="B5314" t="s">
        <v>75</v>
      </c>
      <c r="C5314" t="s">
        <v>617</v>
      </c>
      <c r="D5314">
        <v>1576.19</v>
      </c>
      <c r="E5314" s="37" t="str">
        <f t="shared" si="410"/>
        <v xml:space="preserve"> </v>
      </c>
      <c r="F5314">
        <v>0.15</v>
      </c>
      <c r="G5314" s="37" t="str">
        <f t="shared" si="411"/>
        <v>Normal Discount</v>
      </c>
      <c r="H5314" s="37" t="str">
        <f t="shared" si="412"/>
        <v>Low</v>
      </c>
      <c r="I5314">
        <v>9</v>
      </c>
      <c r="J5314" t="str" cm="1">
        <f t="array" ref="J5314">_xlfn.IFS(I5314&lt;=3,"small",I5314&lt;=6,"Medium",I5314&lt;=9,"Large")</f>
        <v>Large</v>
      </c>
      <c r="K5314" s="36">
        <v>45325</v>
      </c>
      <c r="L5314" s="36">
        <v>45330</v>
      </c>
      <c r="M5314" t="s">
        <v>598</v>
      </c>
      <c r="N5314" t="s">
        <v>604</v>
      </c>
      <c r="O5314" s="37" t="str">
        <f t="shared" si="413"/>
        <v>Digital Payment</v>
      </c>
      <c r="P5314">
        <v>430.45</v>
      </c>
      <c r="Q5314" s="37" t="str">
        <f>IF(P5314&gt;500,"High","low")</f>
        <v>low</v>
      </c>
      <c r="R5314" s="37" t="str">
        <f t="shared" si="414"/>
        <v>AVERAGE</v>
      </c>
      <c r="S5314" t="s">
        <v>628</v>
      </c>
    </row>
    <row r="5315" spans="1:19" x14ac:dyDescent="0.2">
      <c r="A5315" t="s">
        <v>5926</v>
      </c>
      <c r="B5315" t="s">
        <v>67</v>
      </c>
      <c r="C5315" t="s">
        <v>602</v>
      </c>
      <c r="D5315">
        <v>3707.58</v>
      </c>
      <c r="E5315" s="37" t="str">
        <f t="shared" ref="E5315:E5378" si="415">IF(AND(D5315&gt;4000,P5315&gt;800),"Excellent Order"," ")</f>
        <v xml:space="preserve"> </v>
      </c>
      <c r="F5315">
        <v>0.47</v>
      </c>
      <c r="G5315" s="37" t="str">
        <f t="shared" ref="G5315:G5378" si="416">IF(F5315&gt;30%,"Heavy Discount","Normal Discount")</f>
        <v>Heavy Discount</v>
      </c>
      <c r="H5315" s="37" t="str">
        <f t="shared" ref="H5315:H5378" si="417">IF(F5315&gt;0.4,"High",IF(F5315&gt;=0.2,"Medium","Low"))</f>
        <v>High</v>
      </c>
      <c r="I5315">
        <v>8</v>
      </c>
      <c r="J5315" t="str" cm="1">
        <f t="array" ref="J5315">_xlfn.IFS(I5315&lt;=3,"small",I5315&lt;=6,"Medium",I5315&lt;=9,"Large")</f>
        <v>Large</v>
      </c>
      <c r="K5315" s="36">
        <v>45584</v>
      </c>
      <c r="L5315" s="36">
        <v>45587</v>
      </c>
      <c r="M5315" t="s">
        <v>612</v>
      </c>
      <c r="N5315" t="s">
        <v>608</v>
      </c>
      <c r="O5315" s="37" t="str">
        <f t="shared" ref="O5315:O5378" si="418">IF(OR(N5315="Card",N5315="UPI"),"Digital Payment","Cash Payment")</f>
        <v>Cash Payment</v>
      </c>
      <c r="P5315">
        <v>788.72</v>
      </c>
      <c r="Q5315" s="37" t="str">
        <f>IF(P5315&gt;500,"High","low")</f>
        <v>High</v>
      </c>
      <c r="R5315" s="37" t="str">
        <f t="shared" ref="R5315:R5378" si="419">IF(P5315&gt;1000,"Excellent",IF(P5315&gt;=500,"Good","AVERAGE"))</f>
        <v>Good</v>
      </c>
      <c r="S5315" t="s">
        <v>609</v>
      </c>
    </row>
    <row r="5316" spans="1:19" x14ac:dyDescent="0.2">
      <c r="A5316" t="s">
        <v>5927</v>
      </c>
      <c r="B5316" t="s">
        <v>90</v>
      </c>
      <c r="C5316" t="s">
        <v>607</v>
      </c>
      <c r="D5316">
        <v>902.74</v>
      </c>
      <c r="E5316" s="37" t="str">
        <f t="shared" si="415"/>
        <v xml:space="preserve"> </v>
      </c>
      <c r="F5316">
        <v>0.47</v>
      </c>
      <c r="G5316" s="37" t="str">
        <f t="shared" si="416"/>
        <v>Heavy Discount</v>
      </c>
      <c r="H5316" s="37" t="str">
        <f t="shared" si="417"/>
        <v>High</v>
      </c>
      <c r="I5316">
        <v>8</v>
      </c>
      <c r="J5316" t="str" cm="1">
        <f t="array" ref="J5316">_xlfn.IFS(I5316&lt;=3,"small",I5316&lt;=6,"Medium",I5316&lt;=9,"Large")</f>
        <v>Large</v>
      </c>
      <c r="K5316" s="36">
        <v>45595</v>
      </c>
      <c r="L5316" s="36">
        <v>45600</v>
      </c>
      <c r="M5316" t="s">
        <v>612</v>
      </c>
      <c r="N5316" t="s">
        <v>599</v>
      </c>
      <c r="O5316" s="37" t="str">
        <f t="shared" si="418"/>
        <v>Digital Payment</v>
      </c>
      <c r="P5316">
        <v>65.91</v>
      </c>
      <c r="Q5316" s="37" t="str">
        <f>IF(P5316&gt;500,"High","low")</f>
        <v>low</v>
      </c>
      <c r="R5316" s="37" t="str">
        <f t="shared" si="419"/>
        <v>AVERAGE</v>
      </c>
      <c r="S5316" t="s">
        <v>609</v>
      </c>
    </row>
    <row r="5317" spans="1:19" x14ac:dyDescent="0.2">
      <c r="A5317" t="s">
        <v>5928</v>
      </c>
      <c r="B5317" t="s">
        <v>83</v>
      </c>
      <c r="C5317" t="s">
        <v>597</v>
      </c>
      <c r="D5317">
        <v>1786.78</v>
      </c>
      <c r="E5317" s="37" t="str">
        <f t="shared" si="415"/>
        <v xml:space="preserve"> </v>
      </c>
      <c r="F5317">
        <v>0.42</v>
      </c>
      <c r="G5317" s="37" t="str">
        <f t="shared" si="416"/>
        <v>Heavy Discount</v>
      </c>
      <c r="H5317" s="37" t="str">
        <f t="shared" si="417"/>
        <v>High</v>
      </c>
      <c r="I5317">
        <v>7</v>
      </c>
      <c r="J5317" t="str" cm="1">
        <f t="array" ref="J5317">_xlfn.IFS(I5317&lt;=3,"small",I5317&lt;=6,"Medium",I5317&lt;=9,"Large")</f>
        <v>Large</v>
      </c>
      <c r="K5317" s="36">
        <v>45222</v>
      </c>
      <c r="L5317" s="36">
        <v>45224</v>
      </c>
      <c r="M5317" t="s">
        <v>598</v>
      </c>
      <c r="N5317" t="s">
        <v>604</v>
      </c>
      <c r="O5317" s="37" t="str">
        <f t="shared" si="418"/>
        <v>Digital Payment</v>
      </c>
      <c r="P5317">
        <v>410.06</v>
      </c>
      <c r="Q5317" s="37" t="str">
        <f>IF(P5317&gt;500,"High","low")</f>
        <v>low</v>
      </c>
      <c r="R5317" s="37" t="str">
        <f t="shared" si="419"/>
        <v>AVERAGE</v>
      </c>
      <c r="S5317" t="s">
        <v>609</v>
      </c>
    </row>
    <row r="5318" spans="1:19" x14ac:dyDescent="0.2">
      <c r="A5318" t="s">
        <v>5929</v>
      </c>
      <c r="B5318" t="s">
        <v>67</v>
      </c>
      <c r="C5318" t="s">
        <v>617</v>
      </c>
      <c r="D5318">
        <v>3365.75</v>
      </c>
      <c r="E5318" s="37" t="str">
        <f t="shared" si="415"/>
        <v xml:space="preserve"> </v>
      </c>
      <c r="F5318">
        <v>0.01</v>
      </c>
      <c r="G5318" s="37" t="str">
        <f t="shared" si="416"/>
        <v>Normal Discount</v>
      </c>
      <c r="H5318" s="37" t="str">
        <f t="shared" si="417"/>
        <v>Low</v>
      </c>
      <c r="I5318">
        <v>1</v>
      </c>
      <c r="J5318" t="str" cm="1">
        <f t="array" ref="J5318">_xlfn.IFS(I5318&lt;=3,"small",I5318&lt;=6,"Medium",I5318&lt;=9,"Large")</f>
        <v>small</v>
      </c>
      <c r="K5318" s="36">
        <v>44929</v>
      </c>
      <c r="L5318" s="36">
        <v>44930</v>
      </c>
      <c r="M5318" t="s">
        <v>603</v>
      </c>
      <c r="N5318" t="s">
        <v>608</v>
      </c>
      <c r="O5318" s="37" t="str">
        <f t="shared" si="418"/>
        <v>Cash Payment</v>
      </c>
      <c r="P5318">
        <v>917.28</v>
      </c>
      <c r="Q5318" s="37" t="str">
        <f>IF(P5318&gt;500,"High","low")</f>
        <v>High</v>
      </c>
      <c r="R5318" s="37" t="str">
        <f t="shared" si="419"/>
        <v>Good</v>
      </c>
      <c r="S5318" t="s">
        <v>609</v>
      </c>
    </row>
    <row r="5319" spans="1:19" x14ac:dyDescent="0.2">
      <c r="A5319" t="s">
        <v>5930</v>
      </c>
      <c r="B5319" t="s">
        <v>75</v>
      </c>
      <c r="C5319" t="s">
        <v>617</v>
      </c>
      <c r="D5319">
        <v>4694.49</v>
      </c>
      <c r="E5319" s="37" t="str">
        <f t="shared" si="415"/>
        <v>Excellent Order</v>
      </c>
      <c r="F5319">
        <v>0.01</v>
      </c>
      <c r="G5319" s="37" t="str">
        <f t="shared" si="416"/>
        <v>Normal Discount</v>
      </c>
      <c r="H5319" s="37" t="str">
        <f t="shared" si="417"/>
        <v>Low</v>
      </c>
      <c r="I5319">
        <v>4</v>
      </c>
      <c r="J5319" t="str" cm="1">
        <f t="array" ref="J5319">_xlfn.IFS(I5319&lt;=3,"small",I5319&lt;=6,"Medium",I5319&lt;=9,"Large")</f>
        <v>Medium</v>
      </c>
      <c r="K5319" s="36">
        <v>45240</v>
      </c>
      <c r="L5319" s="36">
        <v>45243</v>
      </c>
      <c r="M5319" t="s">
        <v>603</v>
      </c>
      <c r="N5319" t="s">
        <v>604</v>
      </c>
      <c r="O5319" s="37" t="str">
        <f t="shared" si="418"/>
        <v>Digital Payment</v>
      </c>
      <c r="P5319">
        <v>1313.26</v>
      </c>
      <c r="Q5319" s="37" t="str">
        <f>IF(P5319&gt;500,"High","low")</f>
        <v>High</v>
      </c>
      <c r="R5319" s="37" t="str">
        <f t="shared" si="419"/>
        <v>Excellent</v>
      </c>
      <c r="S5319" t="s">
        <v>605</v>
      </c>
    </row>
    <row r="5320" spans="1:19" x14ac:dyDescent="0.2">
      <c r="A5320" t="s">
        <v>5931</v>
      </c>
      <c r="B5320" t="s">
        <v>75</v>
      </c>
      <c r="C5320" t="s">
        <v>597</v>
      </c>
      <c r="D5320">
        <v>468.97</v>
      </c>
      <c r="E5320" s="37" t="str">
        <f t="shared" si="415"/>
        <v xml:space="preserve"> </v>
      </c>
      <c r="F5320">
        <v>0.01</v>
      </c>
      <c r="G5320" s="37" t="str">
        <f t="shared" si="416"/>
        <v>Normal Discount</v>
      </c>
      <c r="H5320" s="37" t="str">
        <f t="shared" si="417"/>
        <v>Low</v>
      </c>
      <c r="I5320">
        <v>4</v>
      </c>
      <c r="J5320" t="str" cm="1">
        <f t="array" ref="J5320">_xlfn.IFS(I5320&lt;=3,"small",I5320&lt;=6,"Medium",I5320&lt;=9,"Large")</f>
        <v>Medium</v>
      </c>
      <c r="K5320" s="36">
        <v>45253</v>
      </c>
      <c r="L5320" s="36">
        <v>45257</v>
      </c>
      <c r="M5320" t="s">
        <v>603</v>
      </c>
      <c r="N5320" t="s">
        <v>599</v>
      </c>
      <c r="O5320" s="37" t="str">
        <f t="shared" si="418"/>
        <v>Digital Payment</v>
      </c>
      <c r="P5320">
        <v>68.75</v>
      </c>
      <c r="Q5320" s="37" t="str">
        <f>IF(P5320&gt;500,"High","low")</f>
        <v>low</v>
      </c>
      <c r="R5320" s="37" t="str">
        <f t="shared" si="419"/>
        <v>AVERAGE</v>
      </c>
      <c r="S5320" t="s">
        <v>628</v>
      </c>
    </row>
    <row r="5321" spans="1:19" x14ac:dyDescent="0.2">
      <c r="A5321" t="s">
        <v>5932</v>
      </c>
      <c r="B5321" t="s">
        <v>83</v>
      </c>
      <c r="C5321" t="s">
        <v>614</v>
      </c>
      <c r="D5321">
        <v>2631.15</v>
      </c>
      <c r="E5321" s="37" t="str">
        <f t="shared" si="415"/>
        <v xml:space="preserve"> </v>
      </c>
      <c r="F5321">
        <v>0.18</v>
      </c>
      <c r="G5321" s="37" t="str">
        <f t="shared" si="416"/>
        <v>Normal Discount</v>
      </c>
      <c r="H5321" s="37" t="str">
        <f t="shared" si="417"/>
        <v>Low</v>
      </c>
      <c r="I5321">
        <v>3</v>
      </c>
      <c r="J5321" t="str" cm="1">
        <f t="array" ref="J5321">_xlfn.IFS(I5321&lt;=3,"small",I5321&lt;=6,"Medium",I5321&lt;=9,"Large")</f>
        <v>small</v>
      </c>
      <c r="K5321" s="36">
        <v>45276</v>
      </c>
      <c r="L5321" s="36">
        <v>45280</v>
      </c>
      <c r="M5321" t="s">
        <v>603</v>
      </c>
      <c r="N5321" t="s">
        <v>608</v>
      </c>
      <c r="O5321" s="37" t="str">
        <f t="shared" si="418"/>
        <v>Cash Payment</v>
      </c>
      <c r="P5321">
        <v>242.98</v>
      </c>
      <c r="Q5321" s="37" t="str">
        <f>IF(P5321&gt;500,"High","low")</f>
        <v>low</v>
      </c>
      <c r="R5321" s="37" t="str">
        <f t="shared" si="419"/>
        <v>AVERAGE</v>
      </c>
      <c r="S5321" t="s">
        <v>628</v>
      </c>
    </row>
    <row r="5322" spans="1:19" x14ac:dyDescent="0.2">
      <c r="A5322" t="s">
        <v>5933</v>
      </c>
      <c r="B5322" t="s">
        <v>90</v>
      </c>
      <c r="C5322" t="s">
        <v>607</v>
      </c>
      <c r="D5322">
        <v>501.34</v>
      </c>
      <c r="E5322" s="37" t="str">
        <f t="shared" si="415"/>
        <v xml:space="preserve"> </v>
      </c>
      <c r="F5322">
        <v>0.49</v>
      </c>
      <c r="G5322" s="37" t="str">
        <f t="shared" si="416"/>
        <v>Heavy Discount</v>
      </c>
      <c r="H5322" s="37" t="str">
        <f t="shared" si="417"/>
        <v>High</v>
      </c>
      <c r="I5322">
        <v>4</v>
      </c>
      <c r="J5322" t="str" cm="1">
        <f t="array" ref="J5322">_xlfn.IFS(I5322&lt;=3,"small",I5322&lt;=6,"Medium",I5322&lt;=9,"Large")</f>
        <v>Medium</v>
      </c>
      <c r="K5322" s="36">
        <v>45145</v>
      </c>
      <c r="L5322" s="36">
        <v>45148</v>
      </c>
      <c r="M5322" t="s">
        <v>598</v>
      </c>
      <c r="N5322" t="s">
        <v>604</v>
      </c>
      <c r="O5322" s="37" t="str">
        <f t="shared" si="418"/>
        <v>Digital Payment</v>
      </c>
      <c r="P5322">
        <v>145.5</v>
      </c>
      <c r="Q5322" s="37" t="str">
        <f>IF(P5322&gt;500,"High","low")</f>
        <v>low</v>
      </c>
      <c r="R5322" s="37" t="str">
        <f t="shared" si="419"/>
        <v>AVERAGE</v>
      </c>
      <c r="S5322" t="s">
        <v>609</v>
      </c>
    </row>
    <row r="5323" spans="1:19" x14ac:dyDescent="0.2">
      <c r="A5323" t="s">
        <v>5934</v>
      </c>
      <c r="B5323" t="s">
        <v>83</v>
      </c>
      <c r="C5323" t="s">
        <v>597</v>
      </c>
      <c r="D5323">
        <v>1957.75</v>
      </c>
      <c r="E5323" s="37" t="str">
        <f t="shared" si="415"/>
        <v xml:space="preserve"> </v>
      </c>
      <c r="F5323">
        <v>0.45</v>
      </c>
      <c r="G5323" s="37" t="str">
        <f t="shared" si="416"/>
        <v>Heavy Discount</v>
      </c>
      <c r="H5323" s="37" t="str">
        <f t="shared" si="417"/>
        <v>High</v>
      </c>
      <c r="I5323">
        <v>2</v>
      </c>
      <c r="J5323" t="str" cm="1">
        <f t="array" ref="J5323">_xlfn.IFS(I5323&lt;=3,"small",I5323&lt;=6,"Medium",I5323&lt;=9,"Large")</f>
        <v>small</v>
      </c>
      <c r="K5323" s="36">
        <v>45604</v>
      </c>
      <c r="L5323" s="36">
        <v>45606</v>
      </c>
      <c r="M5323" t="s">
        <v>603</v>
      </c>
      <c r="N5323" t="s">
        <v>599</v>
      </c>
      <c r="O5323" s="37" t="str">
        <f t="shared" si="418"/>
        <v>Digital Payment</v>
      </c>
      <c r="P5323">
        <v>494.55</v>
      </c>
      <c r="Q5323" s="37" t="str">
        <f>IF(P5323&gt;500,"High","low")</f>
        <v>low</v>
      </c>
      <c r="R5323" s="37" t="str">
        <f t="shared" si="419"/>
        <v>AVERAGE</v>
      </c>
      <c r="S5323" t="s">
        <v>620</v>
      </c>
    </row>
    <row r="5324" spans="1:19" x14ac:dyDescent="0.2">
      <c r="A5324" t="s">
        <v>5935</v>
      </c>
      <c r="B5324" t="s">
        <v>67</v>
      </c>
      <c r="C5324" t="s">
        <v>617</v>
      </c>
      <c r="D5324">
        <v>959.39</v>
      </c>
      <c r="E5324" s="37" t="str">
        <f t="shared" si="415"/>
        <v xml:space="preserve"> </v>
      </c>
      <c r="F5324">
        <v>0.13</v>
      </c>
      <c r="G5324" s="37" t="str">
        <f t="shared" si="416"/>
        <v>Normal Discount</v>
      </c>
      <c r="H5324" s="37" t="str">
        <f t="shared" si="417"/>
        <v>Low</v>
      </c>
      <c r="I5324">
        <v>3</v>
      </c>
      <c r="J5324" t="str" cm="1">
        <f t="array" ref="J5324">_xlfn.IFS(I5324&lt;=3,"small",I5324&lt;=6,"Medium",I5324&lt;=9,"Large")</f>
        <v>small</v>
      </c>
      <c r="K5324" s="36">
        <v>45595</v>
      </c>
      <c r="L5324" s="36">
        <v>45598</v>
      </c>
      <c r="M5324" t="s">
        <v>598</v>
      </c>
      <c r="N5324" t="s">
        <v>599</v>
      </c>
      <c r="O5324" s="37" t="str">
        <f t="shared" si="418"/>
        <v>Digital Payment</v>
      </c>
      <c r="P5324">
        <v>151.75</v>
      </c>
      <c r="Q5324" s="37" t="str">
        <f>IF(P5324&gt;500,"High","low")</f>
        <v>low</v>
      </c>
      <c r="R5324" s="37" t="str">
        <f t="shared" si="419"/>
        <v>AVERAGE</v>
      </c>
      <c r="S5324" t="s">
        <v>620</v>
      </c>
    </row>
    <row r="5325" spans="1:19" x14ac:dyDescent="0.2">
      <c r="A5325" t="s">
        <v>5936</v>
      </c>
      <c r="B5325" t="s">
        <v>83</v>
      </c>
      <c r="C5325" t="s">
        <v>607</v>
      </c>
      <c r="D5325">
        <v>3282.25</v>
      </c>
      <c r="E5325" s="37" t="str">
        <f t="shared" si="415"/>
        <v xml:space="preserve"> </v>
      </c>
      <c r="F5325">
        <v>0.21</v>
      </c>
      <c r="G5325" s="37" t="str">
        <f t="shared" si="416"/>
        <v>Normal Discount</v>
      </c>
      <c r="H5325" s="37" t="str">
        <f t="shared" si="417"/>
        <v>Medium</v>
      </c>
      <c r="I5325">
        <v>3</v>
      </c>
      <c r="J5325" t="str" cm="1">
        <f t="array" ref="J5325">_xlfn.IFS(I5325&lt;=3,"small",I5325&lt;=6,"Medium",I5325&lt;=9,"Large")</f>
        <v>small</v>
      </c>
      <c r="K5325" s="36">
        <v>45597</v>
      </c>
      <c r="L5325" s="36">
        <v>45602</v>
      </c>
      <c r="M5325" t="s">
        <v>598</v>
      </c>
      <c r="N5325" t="s">
        <v>599</v>
      </c>
      <c r="O5325" s="37" t="str">
        <f t="shared" si="418"/>
        <v>Digital Payment</v>
      </c>
      <c r="P5325">
        <v>682.77</v>
      </c>
      <c r="Q5325" s="37" t="str">
        <f>IF(P5325&gt;500,"High","low")</f>
        <v>High</v>
      </c>
      <c r="R5325" s="37" t="str">
        <f t="shared" si="419"/>
        <v>Good</v>
      </c>
      <c r="S5325" t="s">
        <v>605</v>
      </c>
    </row>
    <row r="5326" spans="1:19" x14ac:dyDescent="0.2">
      <c r="A5326" t="s">
        <v>5937</v>
      </c>
      <c r="B5326" t="s">
        <v>75</v>
      </c>
      <c r="C5326" t="s">
        <v>607</v>
      </c>
      <c r="D5326">
        <v>3813.38</v>
      </c>
      <c r="E5326" s="37" t="str">
        <f t="shared" si="415"/>
        <v xml:space="preserve"> </v>
      </c>
      <c r="F5326">
        <v>0.41</v>
      </c>
      <c r="G5326" s="37" t="str">
        <f t="shared" si="416"/>
        <v>Heavy Discount</v>
      </c>
      <c r="H5326" s="37" t="str">
        <f t="shared" si="417"/>
        <v>High</v>
      </c>
      <c r="I5326">
        <v>1</v>
      </c>
      <c r="J5326" t="str" cm="1">
        <f t="array" ref="J5326">_xlfn.IFS(I5326&lt;=3,"small",I5326&lt;=6,"Medium",I5326&lt;=9,"Large")</f>
        <v>small</v>
      </c>
      <c r="K5326" s="36">
        <v>45564</v>
      </c>
      <c r="L5326" s="36">
        <v>45565</v>
      </c>
      <c r="M5326" t="s">
        <v>598</v>
      </c>
      <c r="N5326" t="s">
        <v>599</v>
      </c>
      <c r="O5326" s="37" t="str">
        <f t="shared" si="418"/>
        <v>Digital Payment</v>
      </c>
      <c r="P5326">
        <v>569.65</v>
      </c>
      <c r="Q5326" s="37" t="str">
        <f>IF(P5326&gt;500,"High","low")</f>
        <v>High</v>
      </c>
      <c r="R5326" s="37" t="str">
        <f t="shared" si="419"/>
        <v>Good</v>
      </c>
      <c r="S5326" t="s">
        <v>620</v>
      </c>
    </row>
    <row r="5327" spans="1:19" x14ac:dyDescent="0.2">
      <c r="A5327" t="s">
        <v>5938</v>
      </c>
      <c r="B5327" t="s">
        <v>67</v>
      </c>
      <c r="C5327" t="s">
        <v>614</v>
      </c>
      <c r="D5327">
        <v>1311.98</v>
      </c>
      <c r="E5327" s="37" t="str">
        <f t="shared" si="415"/>
        <v xml:space="preserve"> </v>
      </c>
      <c r="F5327">
        <v>0.38</v>
      </c>
      <c r="G5327" s="37" t="str">
        <f t="shared" si="416"/>
        <v>Heavy Discount</v>
      </c>
      <c r="H5327" s="37" t="str">
        <f t="shared" si="417"/>
        <v>Medium</v>
      </c>
      <c r="I5327">
        <v>7</v>
      </c>
      <c r="J5327" t="str" cm="1">
        <f t="array" ref="J5327">_xlfn.IFS(I5327&lt;=3,"small",I5327&lt;=6,"Medium",I5327&lt;=9,"Large")</f>
        <v>Large</v>
      </c>
      <c r="K5327" s="36">
        <v>45631</v>
      </c>
      <c r="L5327" s="36">
        <v>45633</v>
      </c>
      <c r="M5327" t="s">
        <v>603</v>
      </c>
      <c r="N5327" t="s">
        <v>608</v>
      </c>
      <c r="O5327" s="37" t="str">
        <f t="shared" si="418"/>
        <v>Cash Payment</v>
      </c>
      <c r="P5327">
        <v>215.57</v>
      </c>
      <c r="Q5327" s="37" t="str">
        <f>IF(P5327&gt;500,"High","low")</f>
        <v>low</v>
      </c>
      <c r="R5327" s="37" t="str">
        <f t="shared" si="419"/>
        <v>AVERAGE</v>
      </c>
      <c r="S5327" t="s">
        <v>600</v>
      </c>
    </row>
    <row r="5328" spans="1:19" x14ac:dyDescent="0.2">
      <c r="A5328" t="s">
        <v>5939</v>
      </c>
      <c r="B5328" t="s">
        <v>75</v>
      </c>
      <c r="C5328" t="s">
        <v>617</v>
      </c>
      <c r="D5328">
        <v>3593.15</v>
      </c>
      <c r="E5328" s="37" t="str">
        <f t="shared" si="415"/>
        <v xml:space="preserve"> </v>
      </c>
      <c r="F5328">
        <v>7.0000000000000007E-2</v>
      </c>
      <c r="G5328" s="37" t="str">
        <f t="shared" si="416"/>
        <v>Normal Discount</v>
      </c>
      <c r="H5328" s="37" t="str">
        <f t="shared" si="417"/>
        <v>Low</v>
      </c>
      <c r="I5328">
        <v>4</v>
      </c>
      <c r="J5328" t="str" cm="1">
        <f t="array" ref="J5328">_xlfn.IFS(I5328&lt;=3,"small",I5328&lt;=6,"Medium",I5328&lt;=9,"Large")</f>
        <v>Medium</v>
      </c>
      <c r="K5328" s="36">
        <v>45225</v>
      </c>
      <c r="L5328" s="36">
        <v>45231</v>
      </c>
      <c r="M5328" t="s">
        <v>603</v>
      </c>
      <c r="N5328" t="s">
        <v>599</v>
      </c>
      <c r="O5328" s="37" t="str">
        <f t="shared" si="418"/>
        <v>Digital Payment</v>
      </c>
      <c r="P5328">
        <v>474.11</v>
      </c>
      <c r="Q5328" s="37" t="str">
        <f>IF(P5328&gt;500,"High","low")</f>
        <v>low</v>
      </c>
      <c r="R5328" s="37" t="str">
        <f t="shared" si="419"/>
        <v>AVERAGE</v>
      </c>
      <c r="S5328" t="s">
        <v>628</v>
      </c>
    </row>
    <row r="5329" spans="1:19" x14ac:dyDescent="0.2">
      <c r="A5329" t="s">
        <v>5940</v>
      </c>
      <c r="B5329" t="s">
        <v>90</v>
      </c>
      <c r="C5329" t="s">
        <v>602</v>
      </c>
      <c r="D5329">
        <v>2289.41</v>
      </c>
      <c r="E5329" s="37" t="str">
        <f t="shared" si="415"/>
        <v xml:space="preserve"> </v>
      </c>
      <c r="F5329">
        <v>0.05</v>
      </c>
      <c r="G5329" s="37" t="str">
        <f t="shared" si="416"/>
        <v>Normal Discount</v>
      </c>
      <c r="H5329" s="37" t="str">
        <f t="shared" si="417"/>
        <v>Low</v>
      </c>
      <c r="I5329">
        <v>8</v>
      </c>
      <c r="J5329" t="str" cm="1">
        <f t="array" ref="J5329">_xlfn.IFS(I5329&lt;=3,"small",I5329&lt;=6,"Medium",I5329&lt;=9,"Large")</f>
        <v>Large</v>
      </c>
      <c r="K5329" s="36">
        <v>45593</v>
      </c>
      <c r="L5329" s="36">
        <v>45594</v>
      </c>
      <c r="M5329" t="s">
        <v>598</v>
      </c>
      <c r="N5329" t="s">
        <v>608</v>
      </c>
      <c r="O5329" s="37" t="str">
        <f t="shared" si="418"/>
        <v>Cash Payment</v>
      </c>
      <c r="P5329">
        <v>146.31</v>
      </c>
      <c r="Q5329" s="37" t="str">
        <f>IF(P5329&gt;500,"High","low")</f>
        <v>low</v>
      </c>
      <c r="R5329" s="37" t="str">
        <f t="shared" si="419"/>
        <v>AVERAGE</v>
      </c>
      <c r="S5329" t="s">
        <v>620</v>
      </c>
    </row>
    <row r="5330" spans="1:19" x14ac:dyDescent="0.2">
      <c r="A5330" t="s">
        <v>5941</v>
      </c>
      <c r="B5330" t="s">
        <v>75</v>
      </c>
      <c r="C5330" t="s">
        <v>614</v>
      </c>
      <c r="D5330">
        <v>1489.54</v>
      </c>
      <c r="E5330" s="37" t="str">
        <f t="shared" si="415"/>
        <v xml:space="preserve"> </v>
      </c>
      <c r="F5330">
        <v>0.27</v>
      </c>
      <c r="G5330" s="37" t="str">
        <f t="shared" si="416"/>
        <v>Normal Discount</v>
      </c>
      <c r="H5330" s="37" t="str">
        <f t="shared" si="417"/>
        <v>Medium</v>
      </c>
      <c r="I5330">
        <v>9</v>
      </c>
      <c r="J5330" t="str" cm="1">
        <f t="array" ref="J5330">_xlfn.IFS(I5330&lt;=3,"small",I5330&lt;=6,"Medium",I5330&lt;=9,"Large")</f>
        <v>Large</v>
      </c>
      <c r="K5330" s="36">
        <v>45081</v>
      </c>
      <c r="L5330" s="36">
        <v>45085</v>
      </c>
      <c r="M5330" t="s">
        <v>598</v>
      </c>
      <c r="N5330" t="s">
        <v>599</v>
      </c>
      <c r="O5330" s="37" t="str">
        <f t="shared" si="418"/>
        <v>Digital Payment</v>
      </c>
      <c r="P5330">
        <v>445.79</v>
      </c>
      <c r="Q5330" s="37" t="str">
        <f>IF(P5330&gt;500,"High","low")</f>
        <v>low</v>
      </c>
      <c r="R5330" s="37" t="str">
        <f t="shared" si="419"/>
        <v>AVERAGE</v>
      </c>
      <c r="S5330" t="s">
        <v>628</v>
      </c>
    </row>
    <row r="5331" spans="1:19" x14ac:dyDescent="0.2">
      <c r="A5331" t="s">
        <v>5942</v>
      </c>
      <c r="B5331" t="s">
        <v>75</v>
      </c>
      <c r="C5331" t="s">
        <v>614</v>
      </c>
      <c r="D5331">
        <v>2664.67</v>
      </c>
      <c r="E5331" s="37" t="str">
        <f t="shared" si="415"/>
        <v xml:space="preserve"> </v>
      </c>
      <c r="F5331">
        <v>0.05</v>
      </c>
      <c r="G5331" s="37" t="str">
        <f t="shared" si="416"/>
        <v>Normal Discount</v>
      </c>
      <c r="H5331" s="37" t="str">
        <f t="shared" si="417"/>
        <v>Low</v>
      </c>
      <c r="I5331">
        <v>2</v>
      </c>
      <c r="J5331" t="str" cm="1">
        <f t="array" ref="J5331">_xlfn.IFS(I5331&lt;=3,"small",I5331&lt;=6,"Medium",I5331&lt;=9,"Large")</f>
        <v>small</v>
      </c>
      <c r="K5331" s="36">
        <v>45556</v>
      </c>
      <c r="L5331" s="36">
        <v>45557</v>
      </c>
      <c r="M5331" t="s">
        <v>598</v>
      </c>
      <c r="N5331" t="s">
        <v>599</v>
      </c>
      <c r="O5331" s="37" t="str">
        <f t="shared" si="418"/>
        <v>Digital Payment</v>
      </c>
      <c r="P5331">
        <v>292.81</v>
      </c>
      <c r="Q5331" s="37" t="str">
        <f>IF(P5331&gt;500,"High","low")</f>
        <v>low</v>
      </c>
      <c r="R5331" s="37" t="str">
        <f t="shared" si="419"/>
        <v>AVERAGE</v>
      </c>
      <c r="S5331" t="s">
        <v>609</v>
      </c>
    </row>
    <row r="5332" spans="1:19" x14ac:dyDescent="0.2">
      <c r="A5332" t="s">
        <v>5943</v>
      </c>
      <c r="B5332" t="s">
        <v>83</v>
      </c>
      <c r="C5332" t="s">
        <v>602</v>
      </c>
      <c r="D5332">
        <v>1960.29</v>
      </c>
      <c r="E5332" s="37" t="str">
        <f t="shared" si="415"/>
        <v xml:space="preserve"> </v>
      </c>
      <c r="F5332">
        <v>0.41</v>
      </c>
      <c r="G5332" s="37" t="str">
        <f t="shared" si="416"/>
        <v>Heavy Discount</v>
      </c>
      <c r="H5332" s="37" t="str">
        <f t="shared" si="417"/>
        <v>High</v>
      </c>
      <c r="I5332">
        <v>2</v>
      </c>
      <c r="J5332" t="str" cm="1">
        <f t="array" ref="J5332">_xlfn.IFS(I5332&lt;=3,"small",I5332&lt;=6,"Medium",I5332&lt;=9,"Large")</f>
        <v>small</v>
      </c>
      <c r="K5332" s="36">
        <v>45251</v>
      </c>
      <c r="L5332" s="36">
        <v>45258</v>
      </c>
      <c r="M5332" t="s">
        <v>598</v>
      </c>
      <c r="N5332" t="s">
        <v>599</v>
      </c>
      <c r="O5332" s="37" t="str">
        <f t="shared" si="418"/>
        <v>Digital Payment</v>
      </c>
      <c r="P5332">
        <v>240.18</v>
      </c>
      <c r="Q5332" s="37" t="str">
        <f>IF(P5332&gt;500,"High","low")</f>
        <v>low</v>
      </c>
      <c r="R5332" s="37" t="str">
        <f t="shared" si="419"/>
        <v>AVERAGE</v>
      </c>
      <c r="S5332" t="s">
        <v>628</v>
      </c>
    </row>
    <row r="5333" spans="1:19" x14ac:dyDescent="0.2">
      <c r="A5333" t="s">
        <v>5944</v>
      </c>
      <c r="B5333" t="s">
        <v>75</v>
      </c>
      <c r="C5333" t="s">
        <v>602</v>
      </c>
      <c r="D5333">
        <v>1226.98</v>
      </c>
      <c r="E5333" s="37" t="str">
        <f t="shared" si="415"/>
        <v xml:space="preserve"> </v>
      </c>
      <c r="F5333">
        <v>0.13</v>
      </c>
      <c r="G5333" s="37" t="str">
        <f t="shared" si="416"/>
        <v>Normal Discount</v>
      </c>
      <c r="H5333" s="37" t="str">
        <f t="shared" si="417"/>
        <v>Low</v>
      </c>
      <c r="I5333">
        <v>2</v>
      </c>
      <c r="J5333" t="str" cm="1">
        <f t="array" ref="J5333">_xlfn.IFS(I5333&lt;=3,"small",I5333&lt;=6,"Medium",I5333&lt;=9,"Large")</f>
        <v>small</v>
      </c>
      <c r="K5333" s="36">
        <v>44929</v>
      </c>
      <c r="L5333" s="36">
        <v>44930</v>
      </c>
      <c r="M5333" t="s">
        <v>598</v>
      </c>
      <c r="N5333" t="s">
        <v>599</v>
      </c>
      <c r="O5333" s="37" t="str">
        <f t="shared" si="418"/>
        <v>Digital Payment</v>
      </c>
      <c r="P5333">
        <v>161.02000000000001</v>
      </c>
      <c r="Q5333" s="37" t="str">
        <f>IF(P5333&gt;500,"High","low")</f>
        <v>low</v>
      </c>
      <c r="R5333" s="37" t="str">
        <f t="shared" si="419"/>
        <v>AVERAGE</v>
      </c>
      <c r="S5333" t="s">
        <v>609</v>
      </c>
    </row>
    <row r="5334" spans="1:19" x14ac:dyDescent="0.2">
      <c r="A5334" t="s">
        <v>5945</v>
      </c>
      <c r="B5334" t="s">
        <v>67</v>
      </c>
      <c r="C5334" t="s">
        <v>614</v>
      </c>
      <c r="D5334">
        <v>3808.54</v>
      </c>
      <c r="E5334" s="37" t="str">
        <f t="shared" si="415"/>
        <v xml:space="preserve"> </v>
      </c>
      <c r="F5334">
        <v>0.09</v>
      </c>
      <c r="G5334" s="37" t="str">
        <f t="shared" si="416"/>
        <v>Normal Discount</v>
      </c>
      <c r="H5334" s="37" t="str">
        <f t="shared" si="417"/>
        <v>Low</v>
      </c>
      <c r="I5334">
        <v>8</v>
      </c>
      <c r="J5334" t="str" cm="1">
        <f t="array" ref="J5334">_xlfn.IFS(I5334&lt;=3,"small",I5334&lt;=6,"Medium",I5334&lt;=9,"Large")</f>
        <v>Large</v>
      </c>
      <c r="K5334" s="36">
        <v>45595</v>
      </c>
      <c r="L5334" s="36">
        <v>45598</v>
      </c>
      <c r="M5334" t="s">
        <v>612</v>
      </c>
      <c r="N5334" t="s">
        <v>604</v>
      </c>
      <c r="O5334" s="37" t="str">
        <f t="shared" si="418"/>
        <v>Digital Payment</v>
      </c>
      <c r="P5334">
        <v>423.01</v>
      </c>
      <c r="Q5334" s="37" t="str">
        <f>IF(P5334&gt;500,"High","low")</f>
        <v>low</v>
      </c>
      <c r="R5334" s="37" t="str">
        <f t="shared" si="419"/>
        <v>AVERAGE</v>
      </c>
      <c r="S5334" t="s">
        <v>605</v>
      </c>
    </row>
    <row r="5335" spans="1:19" x14ac:dyDescent="0.2">
      <c r="A5335" t="s">
        <v>5946</v>
      </c>
      <c r="B5335" t="s">
        <v>67</v>
      </c>
      <c r="C5335" t="s">
        <v>607</v>
      </c>
      <c r="D5335">
        <v>4007.87</v>
      </c>
      <c r="E5335" s="37" t="str">
        <f t="shared" si="415"/>
        <v xml:space="preserve"> </v>
      </c>
      <c r="F5335">
        <v>0.09</v>
      </c>
      <c r="G5335" s="37" t="str">
        <f t="shared" si="416"/>
        <v>Normal Discount</v>
      </c>
      <c r="H5335" s="37" t="str">
        <f t="shared" si="417"/>
        <v>Low</v>
      </c>
      <c r="I5335">
        <v>2</v>
      </c>
      <c r="J5335" t="str" cm="1">
        <f t="array" ref="J5335">_xlfn.IFS(I5335&lt;=3,"small",I5335&lt;=6,"Medium",I5335&lt;=9,"Large")</f>
        <v>small</v>
      </c>
      <c r="K5335" s="36">
        <v>45579</v>
      </c>
      <c r="L5335" s="36">
        <v>45586</v>
      </c>
      <c r="M5335" t="s">
        <v>598</v>
      </c>
      <c r="N5335" t="s">
        <v>599</v>
      </c>
      <c r="O5335" s="37" t="str">
        <f t="shared" si="418"/>
        <v>Digital Payment</v>
      </c>
      <c r="P5335">
        <v>526.84</v>
      </c>
      <c r="Q5335" s="37" t="str">
        <f>IF(P5335&gt;500,"High","low")</f>
        <v>High</v>
      </c>
      <c r="R5335" s="37" t="str">
        <f t="shared" si="419"/>
        <v>Good</v>
      </c>
      <c r="S5335" t="s">
        <v>615</v>
      </c>
    </row>
    <row r="5336" spans="1:19" x14ac:dyDescent="0.2">
      <c r="A5336" t="s">
        <v>5947</v>
      </c>
      <c r="B5336" t="s">
        <v>90</v>
      </c>
      <c r="C5336" t="s">
        <v>597</v>
      </c>
      <c r="D5336">
        <v>4021.53</v>
      </c>
      <c r="E5336" s="37" t="str">
        <f t="shared" si="415"/>
        <v xml:space="preserve"> </v>
      </c>
      <c r="F5336">
        <v>0.02</v>
      </c>
      <c r="G5336" s="37" t="str">
        <f t="shared" si="416"/>
        <v>Normal Discount</v>
      </c>
      <c r="H5336" s="37" t="str">
        <f t="shared" si="417"/>
        <v>Low</v>
      </c>
      <c r="I5336">
        <v>6</v>
      </c>
      <c r="J5336" t="str" cm="1">
        <f t="array" ref="J5336">_xlfn.IFS(I5336&lt;=3,"small",I5336&lt;=6,"Medium",I5336&lt;=9,"Large")</f>
        <v>Medium</v>
      </c>
      <c r="K5336" s="36">
        <v>44986</v>
      </c>
      <c r="L5336" s="36">
        <v>44993</v>
      </c>
      <c r="M5336" t="s">
        <v>598</v>
      </c>
      <c r="N5336" t="s">
        <v>608</v>
      </c>
      <c r="O5336" s="37" t="str">
        <f t="shared" si="418"/>
        <v>Cash Payment</v>
      </c>
      <c r="P5336">
        <v>770.78</v>
      </c>
      <c r="Q5336" s="37" t="str">
        <f>IF(P5336&gt;500,"High","low")</f>
        <v>High</v>
      </c>
      <c r="R5336" s="37" t="str">
        <f t="shared" si="419"/>
        <v>Good</v>
      </c>
      <c r="S5336" t="s">
        <v>628</v>
      </c>
    </row>
    <row r="5337" spans="1:19" x14ac:dyDescent="0.2">
      <c r="A5337" t="s">
        <v>5948</v>
      </c>
      <c r="B5337" t="s">
        <v>67</v>
      </c>
      <c r="C5337" t="s">
        <v>597</v>
      </c>
      <c r="D5337">
        <v>1972.5</v>
      </c>
      <c r="E5337" s="37" t="str">
        <f t="shared" si="415"/>
        <v xml:space="preserve"> </v>
      </c>
      <c r="F5337">
        <v>0.32</v>
      </c>
      <c r="G5337" s="37" t="str">
        <f t="shared" si="416"/>
        <v>Heavy Discount</v>
      </c>
      <c r="H5337" s="37" t="str">
        <f t="shared" si="417"/>
        <v>Medium</v>
      </c>
      <c r="I5337">
        <v>5</v>
      </c>
      <c r="J5337" t="str" cm="1">
        <f t="array" ref="J5337">_xlfn.IFS(I5337&lt;=3,"small",I5337&lt;=6,"Medium",I5337&lt;=9,"Large")</f>
        <v>Medium</v>
      </c>
      <c r="K5337" s="36">
        <v>45522</v>
      </c>
      <c r="L5337" s="36">
        <v>45529</v>
      </c>
      <c r="M5337" t="s">
        <v>612</v>
      </c>
      <c r="N5337" t="s">
        <v>599</v>
      </c>
      <c r="O5337" s="37" t="str">
        <f t="shared" si="418"/>
        <v>Digital Payment</v>
      </c>
      <c r="P5337">
        <v>137.65</v>
      </c>
      <c r="Q5337" s="37" t="str">
        <f>IF(P5337&gt;500,"High","low")</f>
        <v>low</v>
      </c>
      <c r="R5337" s="37" t="str">
        <f t="shared" si="419"/>
        <v>AVERAGE</v>
      </c>
      <c r="S5337" t="s">
        <v>600</v>
      </c>
    </row>
    <row r="5338" spans="1:19" x14ac:dyDescent="0.2">
      <c r="A5338" t="s">
        <v>5949</v>
      </c>
      <c r="B5338" t="s">
        <v>83</v>
      </c>
      <c r="C5338" t="s">
        <v>614</v>
      </c>
      <c r="D5338">
        <v>930.69</v>
      </c>
      <c r="E5338" s="37" t="str">
        <f t="shared" si="415"/>
        <v xml:space="preserve"> </v>
      </c>
      <c r="F5338">
        <v>0.08</v>
      </c>
      <c r="G5338" s="37" t="str">
        <f t="shared" si="416"/>
        <v>Normal Discount</v>
      </c>
      <c r="H5338" s="37" t="str">
        <f t="shared" si="417"/>
        <v>Low</v>
      </c>
      <c r="I5338">
        <v>9</v>
      </c>
      <c r="J5338" t="str" cm="1">
        <f t="array" ref="J5338">_xlfn.IFS(I5338&lt;=3,"small",I5338&lt;=6,"Medium",I5338&lt;=9,"Large")</f>
        <v>Large</v>
      </c>
      <c r="K5338" s="36">
        <v>45124</v>
      </c>
      <c r="L5338" s="36">
        <v>45130</v>
      </c>
      <c r="M5338" t="s">
        <v>612</v>
      </c>
      <c r="N5338" t="s">
        <v>604</v>
      </c>
      <c r="O5338" s="37" t="str">
        <f t="shared" si="418"/>
        <v>Digital Payment</v>
      </c>
      <c r="P5338">
        <v>63.18</v>
      </c>
      <c r="Q5338" s="37" t="str">
        <f>IF(P5338&gt;500,"High","low")</f>
        <v>low</v>
      </c>
      <c r="R5338" s="37" t="str">
        <f t="shared" si="419"/>
        <v>AVERAGE</v>
      </c>
      <c r="S5338" t="s">
        <v>628</v>
      </c>
    </row>
    <row r="5339" spans="1:19" x14ac:dyDescent="0.2">
      <c r="A5339" t="s">
        <v>5950</v>
      </c>
      <c r="B5339" t="s">
        <v>90</v>
      </c>
      <c r="C5339" t="s">
        <v>607</v>
      </c>
      <c r="D5339">
        <v>4218.0200000000004</v>
      </c>
      <c r="E5339" s="37" t="str">
        <f t="shared" si="415"/>
        <v xml:space="preserve"> </v>
      </c>
      <c r="F5339">
        <v>0.12</v>
      </c>
      <c r="G5339" s="37" t="str">
        <f t="shared" si="416"/>
        <v>Normal Discount</v>
      </c>
      <c r="H5339" s="37" t="str">
        <f t="shared" si="417"/>
        <v>Low</v>
      </c>
      <c r="I5339">
        <v>2</v>
      </c>
      <c r="J5339" t="str" cm="1">
        <f t="array" ref="J5339">_xlfn.IFS(I5339&lt;=3,"small",I5339&lt;=6,"Medium",I5339&lt;=9,"Large")</f>
        <v>small</v>
      </c>
      <c r="K5339" s="36">
        <v>45289</v>
      </c>
      <c r="L5339" s="36">
        <v>45296</v>
      </c>
      <c r="M5339" t="s">
        <v>598</v>
      </c>
      <c r="N5339" t="s">
        <v>608</v>
      </c>
      <c r="O5339" s="37" t="str">
        <f t="shared" si="418"/>
        <v>Cash Payment</v>
      </c>
      <c r="P5339">
        <v>698.13</v>
      </c>
      <c r="Q5339" s="37" t="str">
        <f>IF(P5339&gt;500,"High","low")</f>
        <v>High</v>
      </c>
      <c r="R5339" s="37" t="str">
        <f t="shared" si="419"/>
        <v>Good</v>
      </c>
      <c r="S5339" t="s">
        <v>628</v>
      </c>
    </row>
    <row r="5340" spans="1:19" x14ac:dyDescent="0.2">
      <c r="A5340" t="s">
        <v>5951</v>
      </c>
      <c r="B5340" t="s">
        <v>67</v>
      </c>
      <c r="C5340" t="s">
        <v>602</v>
      </c>
      <c r="D5340">
        <v>1713.39</v>
      </c>
      <c r="E5340" s="37" t="str">
        <f t="shared" si="415"/>
        <v xml:space="preserve"> </v>
      </c>
      <c r="F5340">
        <v>0.38</v>
      </c>
      <c r="G5340" s="37" t="str">
        <f t="shared" si="416"/>
        <v>Heavy Discount</v>
      </c>
      <c r="H5340" s="37" t="str">
        <f t="shared" si="417"/>
        <v>Medium</v>
      </c>
      <c r="I5340">
        <v>1</v>
      </c>
      <c r="J5340" t="str" cm="1">
        <f t="array" ref="J5340">_xlfn.IFS(I5340&lt;=3,"small",I5340&lt;=6,"Medium",I5340&lt;=9,"Large")</f>
        <v>small</v>
      </c>
      <c r="K5340" s="36">
        <v>45535</v>
      </c>
      <c r="L5340" s="36">
        <v>45542</v>
      </c>
      <c r="M5340" t="s">
        <v>598</v>
      </c>
      <c r="N5340" t="s">
        <v>608</v>
      </c>
      <c r="O5340" s="37" t="str">
        <f t="shared" si="418"/>
        <v>Cash Payment</v>
      </c>
      <c r="P5340">
        <v>384.07</v>
      </c>
      <c r="Q5340" s="37" t="str">
        <f>IF(P5340&gt;500,"High","low")</f>
        <v>low</v>
      </c>
      <c r="R5340" s="37" t="str">
        <f t="shared" si="419"/>
        <v>AVERAGE</v>
      </c>
      <c r="S5340" t="s">
        <v>620</v>
      </c>
    </row>
    <row r="5341" spans="1:19" x14ac:dyDescent="0.2">
      <c r="A5341" t="s">
        <v>5952</v>
      </c>
      <c r="B5341" t="s">
        <v>83</v>
      </c>
      <c r="C5341" t="s">
        <v>614</v>
      </c>
      <c r="D5341">
        <v>3765.53</v>
      </c>
      <c r="E5341" s="37" t="str">
        <f t="shared" si="415"/>
        <v xml:space="preserve"> </v>
      </c>
      <c r="F5341">
        <v>0.03</v>
      </c>
      <c r="G5341" s="37" t="str">
        <f t="shared" si="416"/>
        <v>Normal Discount</v>
      </c>
      <c r="H5341" s="37" t="str">
        <f t="shared" si="417"/>
        <v>Low</v>
      </c>
      <c r="I5341">
        <v>2</v>
      </c>
      <c r="J5341" t="str" cm="1">
        <f t="array" ref="J5341">_xlfn.IFS(I5341&lt;=3,"small",I5341&lt;=6,"Medium",I5341&lt;=9,"Large")</f>
        <v>small</v>
      </c>
      <c r="K5341" s="36">
        <v>45087</v>
      </c>
      <c r="L5341" s="36">
        <v>45094</v>
      </c>
      <c r="M5341" t="s">
        <v>603</v>
      </c>
      <c r="N5341" t="s">
        <v>604</v>
      </c>
      <c r="O5341" s="37" t="str">
        <f t="shared" si="418"/>
        <v>Digital Payment</v>
      </c>
      <c r="P5341">
        <v>392.88</v>
      </c>
      <c r="Q5341" s="37" t="str">
        <f>IF(P5341&gt;500,"High","low")</f>
        <v>low</v>
      </c>
      <c r="R5341" s="37" t="str">
        <f t="shared" si="419"/>
        <v>AVERAGE</v>
      </c>
      <c r="S5341" t="s">
        <v>615</v>
      </c>
    </row>
    <row r="5342" spans="1:19" x14ac:dyDescent="0.2">
      <c r="A5342" t="s">
        <v>5953</v>
      </c>
      <c r="B5342" t="s">
        <v>67</v>
      </c>
      <c r="C5342" t="s">
        <v>617</v>
      </c>
      <c r="D5342">
        <v>4105.51</v>
      </c>
      <c r="E5342" s="37" t="str">
        <f t="shared" si="415"/>
        <v xml:space="preserve"> </v>
      </c>
      <c r="F5342">
        <v>0.1</v>
      </c>
      <c r="G5342" s="37" t="str">
        <f t="shared" si="416"/>
        <v>Normal Discount</v>
      </c>
      <c r="H5342" s="37" t="str">
        <f t="shared" si="417"/>
        <v>Low</v>
      </c>
      <c r="I5342">
        <v>5</v>
      </c>
      <c r="J5342" t="str" cm="1">
        <f t="array" ref="J5342">_xlfn.IFS(I5342&lt;=3,"small",I5342&lt;=6,"Medium",I5342&lt;=9,"Large")</f>
        <v>Medium</v>
      </c>
      <c r="K5342" s="36">
        <v>45444</v>
      </c>
      <c r="L5342" s="36">
        <v>45451</v>
      </c>
      <c r="M5342" t="s">
        <v>612</v>
      </c>
      <c r="N5342" t="s">
        <v>599</v>
      </c>
      <c r="O5342" s="37" t="str">
        <f t="shared" si="418"/>
        <v>Digital Payment</v>
      </c>
      <c r="P5342">
        <v>739.17</v>
      </c>
      <c r="Q5342" s="37" t="str">
        <f>IF(P5342&gt;500,"High","low")</f>
        <v>High</v>
      </c>
      <c r="R5342" s="37" t="str">
        <f t="shared" si="419"/>
        <v>Good</v>
      </c>
      <c r="S5342" t="s">
        <v>620</v>
      </c>
    </row>
    <row r="5343" spans="1:19" x14ac:dyDescent="0.2">
      <c r="A5343" t="s">
        <v>5954</v>
      </c>
      <c r="B5343" t="s">
        <v>67</v>
      </c>
      <c r="C5343" t="s">
        <v>607</v>
      </c>
      <c r="D5343">
        <v>3863.95</v>
      </c>
      <c r="E5343" s="37" t="str">
        <f t="shared" si="415"/>
        <v xml:space="preserve"> </v>
      </c>
      <c r="F5343">
        <v>7.0000000000000007E-2</v>
      </c>
      <c r="G5343" s="37" t="str">
        <f t="shared" si="416"/>
        <v>Normal Discount</v>
      </c>
      <c r="H5343" s="37" t="str">
        <f t="shared" si="417"/>
        <v>Low</v>
      </c>
      <c r="I5343">
        <v>8</v>
      </c>
      <c r="J5343" t="str" cm="1">
        <f t="array" ref="J5343">_xlfn.IFS(I5343&lt;=3,"small",I5343&lt;=6,"Medium",I5343&lt;=9,"Large")</f>
        <v>Large</v>
      </c>
      <c r="K5343" s="36">
        <v>45374</v>
      </c>
      <c r="L5343" s="36">
        <v>45378</v>
      </c>
      <c r="M5343" t="s">
        <v>598</v>
      </c>
      <c r="N5343" t="s">
        <v>599</v>
      </c>
      <c r="O5343" s="37" t="str">
        <f t="shared" si="418"/>
        <v>Digital Payment</v>
      </c>
      <c r="P5343">
        <v>618.69000000000005</v>
      </c>
      <c r="Q5343" s="37" t="str">
        <f>IF(P5343&gt;500,"High","low")</f>
        <v>High</v>
      </c>
      <c r="R5343" s="37" t="str">
        <f t="shared" si="419"/>
        <v>Good</v>
      </c>
      <c r="S5343" t="s">
        <v>609</v>
      </c>
    </row>
    <row r="5344" spans="1:19" x14ac:dyDescent="0.2">
      <c r="A5344" t="s">
        <v>5955</v>
      </c>
      <c r="B5344" t="s">
        <v>75</v>
      </c>
      <c r="C5344" t="s">
        <v>617</v>
      </c>
      <c r="D5344">
        <v>2010.05</v>
      </c>
      <c r="E5344" s="37" t="str">
        <f t="shared" si="415"/>
        <v xml:space="preserve"> </v>
      </c>
      <c r="F5344">
        <v>0</v>
      </c>
      <c r="G5344" s="37" t="str">
        <f t="shared" si="416"/>
        <v>Normal Discount</v>
      </c>
      <c r="H5344" s="37" t="str">
        <f t="shared" si="417"/>
        <v>Low</v>
      </c>
      <c r="I5344">
        <v>8</v>
      </c>
      <c r="J5344" t="str" cm="1">
        <f t="array" ref="J5344">_xlfn.IFS(I5344&lt;=3,"small",I5344&lt;=6,"Medium",I5344&lt;=9,"Large")</f>
        <v>Large</v>
      </c>
      <c r="K5344" s="36">
        <v>45415</v>
      </c>
      <c r="L5344" s="36">
        <v>45416</v>
      </c>
      <c r="M5344" t="s">
        <v>612</v>
      </c>
      <c r="N5344" t="s">
        <v>608</v>
      </c>
      <c r="O5344" s="37" t="str">
        <f t="shared" si="418"/>
        <v>Cash Payment</v>
      </c>
      <c r="P5344">
        <v>327.76</v>
      </c>
      <c r="Q5344" s="37" t="str">
        <f>IF(P5344&gt;500,"High","low")</f>
        <v>low</v>
      </c>
      <c r="R5344" s="37" t="str">
        <f t="shared" si="419"/>
        <v>AVERAGE</v>
      </c>
      <c r="S5344" t="s">
        <v>615</v>
      </c>
    </row>
    <row r="5345" spans="1:19" x14ac:dyDescent="0.2">
      <c r="A5345" t="s">
        <v>5956</v>
      </c>
      <c r="B5345" t="s">
        <v>67</v>
      </c>
      <c r="C5345" t="s">
        <v>617</v>
      </c>
      <c r="D5345">
        <v>4696.28</v>
      </c>
      <c r="E5345" s="37" t="str">
        <f t="shared" si="415"/>
        <v>Excellent Order</v>
      </c>
      <c r="F5345">
        <v>0.27</v>
      </c>
      <c r="G5345" s="37" t="str">
        <f t="shared" si="416"/>
        <v>Normal Discount</v>
      </c>
      <c r="H5345" s="37" t="str">
        <f t="shared" si="417"/>
        <v>Medium</v>
      </c>
      <c r="I5345">
        <v>2</v>
      </c>
      <c r="J5345" t="str" cm="1">
        <f t="array" ref="J5345">_xlfn.IFS(I5345&lt;=3,"small",I5345&lt;=6,"Medium",I5345&lt;=9,"Large")</f>
        <v>small</v>
      </c>
      <c r="K5345" s="36">
        <v>45381</v>
      </c>
      <c r="L5345" s="36">
        <v>45386</v>
      </c>
      <c r="M5345" t="s">
        <v>598</v>
      </c>
      <c r="N5345" t="s">
        <v>608</v>
      </c>
      <c r="O5345" s="37" t="str">
        <f t="shared" si="418"/>
        <v>Cash Payment</v>
      </c>
      <c r="P5345">
        <v>1058.54</v>
      </c>
      <c r="Q5345" s="37" t="str">
        <f>IF(P5345&gt;500,"High","low")</f>
        <v>High</v>
      </c>
      <c r="R5345" s="37" t="str">
        <f t="shared" si="419"/>
        <v>Excellent</v>
      </c>
      <c r="S5345" t="s">
        <v>615</v>
      </c>
    </row>
    <row r="5346" spans="1:19" x14ac:dyDescent="0.2">
      <c r="A5346" t="s">
        <v>5957</v>
      </c>
      <c r="B5346" t="s">
        <v>67</v>
      </c>
      <c r="C5346" t="s">
        <v>614</v>
      </c>
      <c r="D5346">
        <v>3334.8</v>
      </c>
      <c r="E5346" s="37" t="str">
        <f t="shared" si="415"/>
        <v xml:space="preserve"> </v>
      </c>
      <c r="F5346">
        <v>0.1</v>
      </c>
      <c r="G5346" s="37" t="str">
        <f t="shared" si="416"/>
        <v>Normal Discount</v>
      </c>
      <c r="H5346" s="37" t="str">
        <f t="shared" si="417"/>
        <v>Low</v>
      </c>
      <c r="I5346">
        <v>5</v>
      </c>
      <c r="J5346" t="str" cm="1">
        <f t="array" ref="J5346">_xlfn.IFS(I5346&lt;=3,"small",I5346&lt;=6,"Medium",I5346&lt;=9,"Large")</f>
        <v>Medium</v>
      </c>
      <c r="K5346" s="36">
        <v>45249</v>
      </c>
      <c r="L5346" s="36">
        <v>45250</v>
      </c>
      <c r="M5346" t="s">
        <v>603</v>
      </c>
      <c r="N5346" t="s">
        <v>608</v>
      </c>
      <c r="O5346" s="37" t="str">
        <f t="shared" si="418"/>
        <v>Cash Payment</v>
      </c>
      <c r="P5346">
        <v>664.57</v>
      </c>
      <c r="Q5346" s="37" t="str">
        <f>IF(P5346&gt;500,"High","low")</f>
        <v>High</v>
      </c>
      <c r="R5346" s="37" t="str">
        <f t="shared" si="419"/>
        <v>Good</v>
      </c>
      <c r="S5346" t="s">
        <v>605</v>
      </c>
    </row>
    <row r="5347" spans="1:19" x14ac:dyDescent="0.2">
      <c r="A5347" t="s">
        <v>5958</v>
      </c>
      <c r="B5347" t="s">
        <v>83</v>
      </c>
      <c r="C5347" t="s">
        <v>607</v>
      </c>
      <c r="D5347">
        <v>2921.16</v>
      </c>
      <c r="E5347" s="37" t="str">
        <f t="shared" si="415"/>
        <v xml:space="preserve"> </v>
      </c>
      <c r="F5347">
        <v>0.32</v>
      </c>
      <c r="G5347" s="37" t="str">
        <f t="shared" si="416"/>
        <v>Heavy Discount</v>
      </c>
      <c r="H5347" s="37" t="str">
        <f t="shared" si="417"/>
        <v>Medium</v>
      </c>
      <c r="I5347">
        <v>2</v>
      </c>
      <c r="J5347" t="str" cm="1">
        <f t="array" ref="J5347">_xlfn.IFS(I5347&lt;=3,"small",I5347&lt;=6,"Medium",I5347&lt;=9,"Large")</f>
        <v>small</v>
      </c>
      <c r="K5347" s="36">
        <v>45332</v>
      </c>
      <c r="L5347" s="36">
        <v>45335</v>
      </c>
      <c r="M5347" t="s">
        <v>612</v>
      </c>
      <c r="N5347" t="s">
        <v>608</v>
      </c>
      <c r="O5347" s="37" t="str">
        <f t="shared" si="418"/>
        <v>Cash Payment</v>
      </c>
      <c r="P5347">
        <v>489</v>
      </c>
      <c r="Q5347" s="37" t="str">
        <f>IF(P5347&gt;500,"High","low")</f>
        <v>low</v>
      </c>
      <c r="R5347" s="37" t="str">
        <f t="shared" si="419"/>
        <v>AVERAGE</v>
      </c>
      <c r="S5347" t="s">
        <v>615</v>
      </c>
    </row>
    <row r="5348" spans="1:19" x14ac:dyDescent="0.2">
      <c r="A5348" t="s">
        <v>5959</v>
      </c>
      <c r="B5348" t="s">
        <v>83</v>
      </c>
      <c r="C5348" t="s">
        <v>617</v>
      </c>
      <c r="D5348">
        <v>3519.75</v>
      </c>
      <c r="E5348" s="37" t="str">
        <f t="shared" si="415"/>
        <v xml:space="preserve"> </v>
      </c>
      <c r="F5348">
        <v>0.25</v>
      </c>
      <c r="G5348" s="37" t="str">
        <f t="shared" si="416"/>
        <v>Normal Discount</v>
      </c>
      <c r="H5348" s="37" t="str">
        <f t="shared" si="417"/>
        <v>Medium</v>
      </c>
      <c r="I5348">
        <v>7</v>
      </c>
      <c r="J5348" t="str" cm="1">
        <f t="array" ref="J5348">_xlfn.IFS(I5348&lt;=3,"small",I5348&lt;=6,"Medium",I5348&lt;=9,"Large")</f>
        <v>Large</v>
      </c>
      <c r="K5348" s="36">
        <v>45382</v>
      </c>
      <c r="L5348" s="36">
        <v>45384</v>
      </c>
      <c r="M5348" t="s">
        <v>603</v>
      </c>
      <c r="N5348" t="s">
        <v>604</v>
      </c>
      <c r="O5348" s="37" t="str">
        <f t="shared" si="418"/>
        <v>Digital Payment</v>
      </c>
      <c r="P5348">
        <v>413.88</v>
      </c>
      <c r="Q5348" s="37" t="str">
        <f>IF(P5348&gt;500,"High","low")</f>
        <v>low</v>
      </c>
      <c r="R5348" s="37" t="str">
        <f t="shared" si="419"/>
        <v>AVERAGE</v>
      </c>
      <c r="S5348" t="s">
        <v>628</v>
      </c>
    </row>
    <row r="5349" spans="1:19" x14ac:dyDescent="0.2">
      <c r="A5349" t="s">
        <v>5960</v>
      </c>
      <c r="B5349" t="s">
        <v>75</v>
      </c>
      <c r="C5349" t="s">
        <v>607</v>
      </c>
      <c r="D5349">
        <v>319.16000000000003</v>
      </c>
      <c r="E5349" s="37" t="str">
        <f t="shared" si="415"/>
        <v xml:space="preserve"> </v>
      </c>
      <c r="F5349">
        <v>0.33</v>
      </c>
      <c r="G5349" s="37" t="str">
        <f t="shared" si="416"/>
        <v>Heavy Discount</v>
      </c>
      <c r="H5349" s="37" t="str">
        <f t="shared" si="417"/>
        <v>Medium</v>
      </c>
      <c r="I5349">
        <v>8</v>
      </c>
      <c r="J5349" t="str" cm="1">
        <f t="array" ref="J5349">_xlfn.IFS(I5349&lt;=3,"small",I5349&lt;=6,"Medium",I5349&lt;=9,"Large")</f>
        <v>Large</v>
      </c>
      <c r="K5349" s="36">
        <v>45131</v>
      </c>
      <c r="L5349" s="36">
        <v>45133</v>
      </c>
      <c r="M5349" t="s">
        <v>598</v>
      </c>
      <c r="N5349" t="s">
        <v>608</v>
      </c>
      <c r="O5349" s="37" t="str">
        <f t="shared" si="418"/>
        <v>Cash Payment</v>
      </c>
      <c r="P5349">
        <v>62.66</v>
      </c>
      <c r="Q5349" s="37" t="str">
        <f>IF(P5349&gt;500,"High","low")</f>
        <v>low</v>
      </c>
      <c r="R5349" s="37" t="str">
        <f t="shared" si="419"/>
        <v>AVERAGE</v>
      </c>
      <c r="S5349" t="s">
        <v>620</v>
      </c>
    </row>
    <row r="5350" spans="1:19" x14ac:dyDescent="0.2">
      <c r="A5350" t="s">
        <v>5961</v>
      </c>
      <c r="B5350" t="s">
        <v>67</v>
      </c>
      <c r="C5350" t="s">
        <v>597</v>
      </c>
      <c r="D5350">
        <v>2013.52</v>
      </c>
      <c r="E5350" s="37" t="str">
        <f t="shared" si="415"/>
        <v xml:space="preserve"> </v>
      </c>
      <c r="F5350">
        <v>0.49</v>
      </c>
      <c r="G5350" s="37" t="str">
        <f t="shared" si="416"/>
        <v>Heavy Discount</v>
      </c>
      <c r="H5350" s="37" t="str">
        <f t="shared" si="417"/>
        <v>High</v>
      </c>
      <c r="I5350">
        <v>5</v>
      </c>
      <c r="J5350" t="str" cm="1">
        <f t="array" ref="J5350">_xlfn.IFS(I5350&lt;=3,"small",I5350&lt;=6,"Medium",I5350&lt;=9,"Large")</f>
        <v>Medium</v>
      </c>
      <c r="K5350" s="36">
        <v>45247</v>
      </c>
      <c r="L5350" s="36">
        <v>45254</v>
      </c>
      <c r="M5350" t="s">
        <v>612</v>
      </c>
      <c r="N5350" t="s">
        <v>608</v>
      </c>
      <c r="O5350" s="37" t="str">
        <f t="shared" si="418"/>
        <v>Cash Payment</v>
      </c>
      <c r="P5350">
        <v>169.83</v>
      </c>
      <c r="Q5350" s="37" t="str">
        <f>IF(P5350&gt;500,"High","low")</f>
        <v>low</v>
      </c>
      <c r="R5350" s="37" t="str">
        <f t="shared" si="419"/>
        <v>AVERAGE</v>
      </c>
      <c r="S5350" t="s">
        <v>609</v>
      </c>
    </row>
    <row r="5351" spans="1:19" x14ac:dyDescent="0.2">
      <c r="A5351" t="s">
        <v>5962</v>
      </c>
      <c r="B5351" t="s">
        <v>75</v>
      </c>
      <c r="C5351" t="s">
        <v>617</v>
      </c>
      <c r="D5351">
        <v>4417.96</v>
      </c>
      <c r="E5351" s="37" t="str">
        <f t="shared" si="415"/>
        <v xml:space="preserve"> </v>
      </c>
      <c r="F5351">
        <v>0.11</v>
      </c>
      <c r="G5351" s="37" t="str">
        <f t="shared" si="416"/>
        <v>Normal Discount</v>
      </c>
      <c r="H5351" s="37" t="str">
        <f t="shared" si="417"/>
        <v>Low</v>
      </c>
      <c r="I5351">
        <v>1</v>
      </c>
      <c r="J5351" t="str" cm="1">
        <f t="array" ref="J5351">_xlfn.IFS(I5351&lt;=3,"small",I5351&lt;=6,"Medium",I5351&lt;=9,"Large")</f>
        <v>small</v>
      </c>
      <c r="K5351" s="36">
        <v>45107</v>
      </c>
      <c r="L5351" s="36">
        <v>45109</v>
      </c>
      <c r="M5351" t="s">
        <v>603</v>
      </c>
      <c r="N5351" t="s">
        <v>608</v>
      </c>
      <c r="O5351" s="37" t="str">
        <f t="shared" si="418"/>
        <v>Cash Payment</v>
      </c>
      <c r="P5351">
        <v>680.27</v>
      </c>
      <c r="Q5351" s="37" t="str">
        <f>IF(P5351&gt;500,"High","low")</f>
        <v>High</v>
      </c>
      <c r="R5351" s="37" t="str">
        <f t="shared" si="419"/>
        <v>Good</v>
      </c>
      <c r="S5351" t="s">
        <v>628</v>
      </c>
    </row>
    <row r="5352" spans="1:19" x14ac:dyDescent="0.2">
      <c r="A5352" t="s">
        <v>5963</v>
      </c>
      <c r="B5352" t="s">
        <v>67</v>
      </c>
      <c r="C5352" t="s">
        <v>617</v>
      </c>
      <c r="D5352">
        <v>889.29</v>
      </c>
      <c r="E5352" s="37" t="str">
        <f t="shared" si="415"/>
        <v xml:space="preserve"> </v>
      </c>
      <c r="F5352">
        <v>0.33</v>
      </c>
      <c r="G5352" s="37" t="str">
        <f t="shared" si="416"/>
        <v>Heavy Discount</v>
      </c>
      <c r="H5352" s="37" t="str">
        <f t="shared" si="417"/>
        <v>Medium</v>
      </c>
      <c r="I5352">
        <v>7</v>
      </c>
      <c r="J5352" t="str" cm="1">
        <f t="array" ref="J5352">_xlfn.IFS(I5352&lt;=3,"small",I5352&lt;=6,"Medium",I5352&lt;=9,"Large")</f>
        <v>Large</v>
      </c>
      <c r="K5352" s="36">
        <v>45054</v>
      </c>
      <c r="L5352" s="36">
        <v>45059</v>
      </c>
      <c r="M5352" t="s">
        <v>598</v>
      </c>
      <c r="N5352" t="s">
        <v>599</v>
      </c>
      <c r="O5352" s="37" t="str">
        <f t="shared" si="418"/>
        <v>Digital Payment</v>
      </c>
      <c r="P5352">
        <v>74.42</v>
      </c>
      <c r="Q5352" s="37" t="str">
        <f>IF(P5352&gt;500,"High","low")</f>
        <v>low</v>
      </c>
      <c r="R5352" s="37" t="str">
        <f t="shared" si="419"/>
        <v>AVERAGE</v>
      </c>
      <c r="S5352" t="s">
        <v>600</v>
      </c>
    </row>
    <row r="5353" spans="1:19" x14ac:dyDescent="0.2">
      <c r="A5353" t="s">
        <v>5964</v>
      </c>
      <c r="B5353" t="s">
        <v>90</v>
      </c>
      <c r="C5353" t="s">
        <v>607</v>
      </c>
      <c r="D5353">
        <v>2130.56</v>
      </c>
      <c r="E5353" s="37" t="str">
        <f t="shared" si="415"/>
        <v xml:space="preserve"> </v>
      </c>
      <c r="F5353">
        <v>0.42</v>
      </c>
      <c r="G5353" s="37" t="str">
        <f t="shared" si="416"/>
        <v>Heavy Discount</v>
      </c>
      <c r="H5353" s="37" t="str">
        <f t="shared" si="417"/>
        <v>High</v>
      </c>
      <c r="I5353">
        <v>3</v>
      </c>
      <c r="J5353" t="str" cm="1">
        <f t="array" ref="J5353">_xlfn.IFS(I5353&lt;=3,"small",I5353&lt;=6,"Medium",I5353&lt;=9,"Large")</f>
        <v>small</v>
      </c>
      <c r="K5353" s="36">
        <v>45026</v>
      </c>
      <c r="L5353" s="36">
        <v>45027</v>
      </c>
      <c r="M5353" t="s">
        <v>603</v>
      </c>
      <c r="N5353" t="s">
        <v>604</v>
      </c>
      <c r="O5353" s="37" t="str">
        <f t="shared" si="418"/>
        <v>Digital Payment</v>
      </c>
      <c r="P5353">
        <v>275.98</v>
      </c>
      <c r="Q5353" s="37" t="str">
        <f>IF(P5353&gt;500,"High","low")</f>
        <v>low</v>
      </c>
      <c r="R5353" s="37" t="str">
        <f t="shared" si="419"/>
        <v>AVERAGE</v>
      </c>
      <c r="S5353" t="s">
        <v>600</v>
      </c>
    </row>
    <row r="5354" spans="1:19" x14ac:dyDescent="0.2">
      <c r="A5354" t="s">
        <v>5965</v>
      </c>
      <c r="B5354" t="s">
        <v>90</v>
      </c>
      <c r="C5354" t="s">
        <v>597</v>
      </c>
      <c r="D5354">
        <v>2085.7199999999998</v>
      </c>
      <c r="E5354" s="37" t="str">
        <f t="shared" si="415"/>
        <v xml:space="preserve"> </v>
      </c>
      <c r="F5354">
        <v>0.48</v>
      </c>
      <c r="G5354" s="37" t="str">
        <f t="shared" si="416"/>
        <v>Heavy Discount</v>
      </c>
      <c r="H5354" s="37" t="str">
        <f t="shared" si="417"/>
        <v>High</v>
      </c>
      <c r="I5354">
        <v>2</v>
      </c>
      <c r="J5354" t="str" cm="1">
        <f t="array" ref="J5354">_xlfn.IFS(I5354&lt;=3,"small",I5354&lt;=6,"Medium",I5354&lt;=9,"Large")</f>
        <v>small</v>
      </c>
      <c r="K5354" s="36">
        <v>45507</v>
      </c>
      <c r="L5354" s="36">
        <v>45513</v>
      </c>
      <c r="M5354" t="s">
        <v>603</v>
      </c>
      <c r="N5354" t="s">
        <v>599</v>
      </c>
      <c r="O5354" s="37" t="str">
        <f t="shared" si="418"/>
        <v>Digital Payment</v>
      </c>
      <c r="P5354">
        <v>436.31</v>
      </c>
      <c r="Q5354" s="37" t="str">
        <f>IF(P5354&gt;500,"High","low")</f>
        <v>low</v>
      </c>
      <c r="R5354" s="37" t="str">
        <f t="shared" si="419"/>
        <v>AVERAGE</v>
      </c>
      <c r="S5354" t="s">
        <v>600</v>
      </c>
    </row>
    <row r="5355" spans="1:19" x14ac:dyDescent="0.2">
      <c r="A5355" t="s">
        <v>5966</v>
      </c>
      <c r="B5355" t="s">
        <v>75</v>
      </c>
      <c r="C5355" t="s">
        <v>617</v>
      </c>
      <c r="D5355">
        <v>1844.6</v>
      </c>
      <c r="E5355" s="37" t="str">
        <f t="shared" si="415"/>
        <v xml:space="preserve"> </v>
      </c>
      <c r="F5355">
        <v>0.31</v>
      </c>
      <c r="G5355" s="37" t="str">
        <f t="shared" si="416"/>
        <v>Heavy Discount</v>
      </c>
      <c r="H5355" s="37" t="str">
        <f t="shared" si="417"/>
        <v>Medium</v>
      </c>
      <c r="I5355">
        <v>6</v>
      </c>
      <c r="J5355" t="str" cm="1">
        <f t="array" ref="J5355">_xlfn.IFS(I5355&lt;=3,"small",I5355&lt;=6,"Medium",I5355&lt;=9,"Large")</f>
        <v>Medium</v>
      </c>
      <c r="K5355" s="36">
        <v>45253</v>
      </c>
      <c r="L5355" s="36">
        <v>45259</v>
      </c>
      <c r="M5355" t="s">
        <v>598</v>
      </c>
      <c r="N5355" t="s">
        <v>599</v>
      </c>
      <c r="O5355" s="37" t="str">
        <f t="shared" si="418"/>
        <v>Digital Payment</v>
      </c>
      <c r="P5355">
        <v>455.05</v>
      </c>
      <c r="Q5355" s="37" t="str">
        <f>IF(P5355&gt;500,"High","low")</f>
        <v>low</v>
      </c>
      <c r="R5355" s="37" t="str">
        <f t="shared" si="419"/>
        <v>AVERAGE</v>
      </c>
      <c r="S5355" t="s">
        <v>620</v>
      </c>
    </row>
    <row r="5356" spans="1:19" x14ac:dyDescent="0.2">
      <c r="A5356" t="s">
        <v>5967</v>
      </c>
      <c r="B5356" t="s">
        <v>75</v>
      </c>
      <c r="C5356" t="s">
        <v>614</v>
      </c>
      <c r="D5356">
        <v>2855.52</v>
      </c>
      <c r="E5356" s="37" t="str">
        <f t="shared" si="415"/>
        <v xml:space="preserve"> </v>
      </c>
      <c r="F5356">
        <v>7.0000000000000007E-2</v>
      </c>
      <c r="G5356" s="37" t="str">
        <f t="shared" si="416"/>
        <v>Normal Discount</v>
      </c>
      <c r="H5356" s="37" t="str">
        <f t="shared" si="417"/>
        <v>Low</v>
      </c>
      <c r="I5356">
        <v>2</v>
      </c>
      <c r="J5356" t="str" cm="1">
        <f t="array" ref="J5356">_xlfn.IFS(I5356&lt;=3,"small",I5356&lt;=6,"Medium",I5356&lt;=9,"Large")</f>
        <v>small</v>
      </c>
      <c r="K5356" s="36">
        <v>45168</v>
      </c>
      <c r="L5356" s="36">
        <v>45175</v>
      </c>
      <c r="M5356" t="s">
        <v>598</v>
      </c>
      <c r="N5356" t="s">
        <v>604</v>
      </c>
      <c r="O5356" s="37" t="str">
        <f t="shared" si="418"/>
        <v>Digital Payment</v>
      </c>
      <c r="P5356">
        <v>310.95999999999998</v>
      </c>
      <c r="Q5356" s="37" t="str">
        <f>IF(P5356&gt;500,"High","low")</f>
        <v>low</v>
      </c>
      <c r="R5356" s="37" t="str">
        <f t="shared" si="419"/>
        <v>AVERAGE</v>
      </c>
      <c r="S5356" t="s">
        <v>628</v>
      </c>
    </row>
    <row r="5357" spans="1:19" x14ac:dyDescent="0.2">
      <c r="A5357" t="s">
        <v>5968</v>
      </c>
      <c r="B5357" t="s">
        <v>75</v>
      </c>
      <c r="C5357" t="s">
        <v>607</v>
      </c>
      <c r="D5357">
        <v>4981.37</v>
      </c>
      <c r="E5357" s="37" t="str">
        <f t="shared" si="415"/>
        <v>Excellent Order</v>
      </c>
      <c r="F5357">
        <v>0.03</v>
      </c>
      <c r="G5357" s="37" t="str">
        <f t="shared" si="416"/>
        <v>Normal Discount</v>
      </c>
      <c r="H5357" s="37" t="str">
        <f t="shared" si="417"/>
        <v>Low</v>
      </c>
      <c r="I5357">
        <v>8</v>
      </c>
      <c r="J5357" t="str" cm="1">
        <f t="array" ref="J5357">_xlfn.IFS(I5357&lt;=3,"small",I5357&lt;=6,"Medium",I5357&lt;=9,"Large")</f>
        <v>Large</v>
      </c>
      <c r="K5357" s="36">
        <v>44971</v>
      </c>
      <c r="L5357" s="36">
        <v>44975</v>
      </c>
      <c r="M5357" t="s">
        <v>612</v>
      </c>
      <c r="N5357" t="s">
        <v>599</v>
      </c>
      <c r="O5357" s="37" t="str">
        <f t="shared" si="418"/>
        <v>Digital Payment</v>
      </c>
      <c r="P5357">
        <v>1048.3699999999999</v>
      </c>
      <c r="Q5357" s="37" t="str">
        <f>IF(P5357&gt;500,"High","low")</f>
        <v>High</v>
      </c>
      <c r="R5357" s="37" t="str">
        <f t="shared" si="419"/>
        <v>Excellent</v>
      </c>
      <c r="S5357" t="s">
        <v>615</v>
      </c>
    </row>
    <row r="5358" spans="1:19" x14ac:dyDescent="0.2">
      <c r="A5358" t="s">
        <v>5969</v>
      </c>
      <c r="B5358" t="s">
        <v>83</v>
      </c>
      <c r="C5358" t="s">
        <v>607</v>
      </c>
      <c r="D5358">
        <v>1353.66</v>
      </c>
      <c r="E5358" s="37" t="str">
        <f t="shared" si="415"/>
        <v xml:space="preserve"> </v>
      </c>
      <c r="F5358">
        <v>0.14000000000000001</v>
      </c>
      <c r="G5358" s="37" t="str">
        <f t="shared" si="416"/>
        <v>Normal Discount</v>
      </c>
      <c r="H5358" s="37" t="str">
        <f t="shared" si="417"/>
        <v>Low</v>
      </c>
      <c r="I5358">
        <v>3</v>
      </c>
      <c r="J5358" t="str" cm="1">
        <f t="array" ref="J5358">_xlfn.IFS(I5358&lt;=3,"small",I5358&lt;=6,"Medium",I5358&lt;=9,"Large")</f>
        <v>small</v>
      </c>
      <c r="K5358" s="36">
        <v>44958</v>
      </c>
      <c r="L5358" s="36">
        <v>44959</v>
      </c>
      <c r="M5358" t="s">
        <v>603</v>
      </c>
      <c r="N5358" t="s">
        <v>608</v>
      </c>
      <c r="O5358" s="37" t="str">
        <f t="shared" si="418"/>
        <v>Cash Payment</v>
      </c>
      <c r="P5358">
        <v>160.19</v>
      </c>
      <c r="Q5358" s="37" t="str">
        <f>IF(P5358&gt;500,"High","low")</f>
        <v>low</v>
      </c>
      <c r="R5358" s="37" t="str">
        <f t="shared" si="419"/>
        <v>AVERAGE</v>
      </c>
      <c r="S5358" t="s">
        <v>628</v>
      </c>
    </row>
    <row r="5359" spans="1:19" x14ac:dyDescent="0.2">
      <c r="A5359" t="s">
        <v>5970</v>
      </c>
      <c r="B5359" t="s">
        <v>83</v>
      </c>
      <c r="C5359" t="s">
        <v>617</v>
      </c>
      <c r="D5359">
        <v>3554.29</v>
      </c>
      <c r="E5359" s="37" t="str">
        <f t="shared" si="415"/>
        <v xml:space="preserve"> </v>
      </c>
      <c r="F5359">
        <v>0.46</v>
      </c>
      <c r="G5359" s="37" t="str">
        <f t="shared" si="416"/>
        <v>Heavy Discount</v>
      </c>
      <c r="H5359" s="37" t="str">
        <f t="shared" si="417"/>
        <v>High</v>
      </c>
      <c r="I5359">
        <v>2</v>
      </c>
      <c r="J5359" t="str" cm="1">
        <f t="array" ref="J5359">_xlfn.IFS(I5359&lt;=3,"small",I5359&lt;=6,"Medium",I5359&lt;=9,"Large")</f>
        <v>small</v>
      </c>
      <c r="K5359" s="36">
        <v>45466</v>
      </c>
      <c r="L5359" s="36">
        <v>45468</v>
      </c>
      <c r="M5359" t="s">
        <v>612</v>
      </c>
      <c r="N5359" t="s">
        <v>608</v>
      </c>
      <c r="O5359" s="37" t="str">
        <f t="shared" si="418"/>
        <v>Cash Payment</v>
      </c>
      <c r="P5359">
        <v>546.9</v>
      </c>
      <c r="Q5359" s="37" t="str">
        <f>IF(P5359&gt;500,"High","low")</f>
        <v>High</v>
      </c>
      <c r="R5359" s="37" t="str">
        <f t="shared" si="419"/>
        <v>Good</v>
      </c>
      <c r="S5359" t="s">
        <v>628</v>
      </c>
    </row>
    <row r="5360" spans="1:19" x14ac:dyDescent="0.2">
      <c r="A5360" t="s">
        <v>5971</v>
      </c>
      <c r="B5360" t="s">
        <v>83</v>
      </c>
      <c r="C5360" t="s">
        <v>597</v>
      </c>
      <c r="D5360">
        <v>3814.18</v>
      </c>
      <c r="E5360" s="37" t="str">
        <f t="shared" si="415"/>
        <v xml:space="preserve"> </v>
      </c>
      <c r="F5360">
        <v>0.27</v>
      </c>
      <c r="G5360" s="37" t="str">
        <f t="shared" si="416"/>
        <v>Normal Discount</v>
      </c>
      <c r="H5360" s="37" t="str">
        <f t="shared" si="417"/>
        <v>Medium</v>
      </c>
      <c r="I5360">
        <v>8</v>
      </c>
      <c r="J5360" t="str" cm="1">
        <f t="array" ref="J5360">_xlfn.IFS(I5360&lt;=3,"small",I5360&lt;=6,"Medium",I5360&lt;=9,"Large")</f>
        <v>Large</v>
      </c>
      <c r="K5360" s="36">
        <v>45279</v>
      </c>
      <c r="L5360" s="36">
        <v>45281</v>
      </c>
      <c r="M5360" t="s">
        <v>598</v>
      </c>
      <c r="N5360" t="s">
        <v>608</v>
      </c>
      <c r="O5360" s="37" t="str">
        <f t="shared" si="418"/>
        <v>Cash Payment</v>
      </c>
      <c r="P5360">
        <v>1062.58</v>
      </c>
      <c r="Q5360" s="37" t="str">
        <f>IF(P5360&gt;500,"High","low")</f>
        <v>High</v>
      </c>
      <c r="R5360" s="37" t="str">
        <f t="shared" si="419"/>
        <v>Excellent</v>
      </c>
      <c r="S5360" t="s">
        <v>615</v>
      </c>
    </row>
    <row r="5361" spans="1:19" x14ac:dyDescent="0.2">
      <c r="A5361" t="s">
        <v>5972</v>
      </c>
      <c r="B5361" t="s">
        <v>75</v>
      </c>
      <c r="C5361" t="s">
        <v>617</v>
      </c>
      <c r="D5361">
        <v>2964.04</v>
      </c>
      <c r="E5361" s="37" t="str">
        <f t="shared" si="415"/>
        <v xml:space="preserve"> </v>
      </c>
      <c r="F5361">
        <v>0.28999999999999998</v>
      </c>
      <c r="G5361" s="37" t="str">
        <f t="shared" si="416"/>
        <v>Normal Discount</v>
      </c>
      <c r="H5361" s="37" t="str">
        <f t="shared" si="417"/>
        <v>Medium</v>
      </c>
      <c r="I5361">
        <v>6</v>
      </c>
      <c r="J5361" t="str" cm="1">
        <f t="array" ref="J5361">_xlfn.IFS(I5361&lt;=3,"small",I5361&lt;=6,"Medium",I5361&lt;=9,"Large")</f>
        <v>Medium</v>
      </c>
      <c r="K5361" s="36">
        <v>45579</v>
      </c>
      <c r="L5361" s="36">
        <v>45586</v>
      </c>
      <c r="M5361" t="s">
        <v>598</v>
      </c>
      <c r="N5361" t="s">
        <v>604</v>
      </c>
      <c r="O5361" s="37" t="str">
        <f t="shared" si="418"/>
        <v>Digital Payment</v>
      </c>
      <c r="P5361">
        <v>223.14</v>
      </c>
      <c r="Q5361" s="37" t="str">
        <f>IF(P5361&gt;500,"High","low")</f>
        <v>low</v>
      </c>
      <c r="R5361" s="37" t="str">
        <f t="shared" si="419"/>
        <v>AVERAGE</v>
      </c>
      <c r="S5361" t="s">
        <v>600</v>
      </c>
    </row>
    <row r="5362" spans="1:19" x14ac:dyDescent="0.2">
      <c r="A5362" t="s">
        <v>5973</v>
      </c>
      <c r="B5362" t="s">
        <v>67</v>
      </c>
      <c r="C5362" t="s">
        <v>602</v>
      </c>
      <c r="D5362">
        <v>577.63</v>
      </c>
      <c r="E5362" s="37" t="str">
        <f t="shared" si="415"/>
        <v xml:space="preserve"> </v>
      </c>
      <c r="F5362">
        <v>0.31</v>
      </c>
      <c r="G5362" s="37" t="str">
        <f t="shared" si="416"/>
        <v>Heavy Discount</v>
      </c>
      <c r="H5362" s="37" t="str">
        <f t="shared" si="417"/>
        <v>Medium</v>
      </c>
      <c r="I5362">
        <v>4</v>
      </c>
      <c r="J5362" t="str" cm="1">
        <f t="array" ref="J5362">_xlfn.IFS(I5362&lt;=3,"small",I5362&lt;=6,"Medium",I5362&lt;=9,"Large")</f>
        <v>Medium</v>
      </c>
      <c r="K5362" s="36">
        <v>45360</v>
      </c>
      <c r="L5362" s="36">
        <v>45364</v>
      </c>
      <c r="M5362" t="s">
        <v>603</v>
      </c>
      <c r="N5362" t="s">
        <v>608</v>
      </c>
      <c r="O5362" s="37" t="str">
        <f t="shared" si="418"/>
        <v>Cash Payment</v>
      </c>
      <c r="P5362">
        <v>170.97</v>
      </c>
      <c r="Q5362" s="37" t="str">
        <f>IF(P5362&gt;500,"High","low")</f>
        <v>low</v>
      </c>
      <c r="R5362" s="37" t="str">
        <f t="shared" si="419"/>
        <v>AVERAGE</v>
      </c>
      <c r="S5362" t="s">
        <v>605</v>
      </c>
    </row>
    <row r="5363" spans="1:19" x14ac:dyDescent="0.2">
      <c r="A5363" t="s">
        <v>5974</v>
      </c>
      <c r="B5363" t="s">
        <v>90</v>
      </c>
      <c r="C5363" t="s">
        <v>617</v>
      </c>
      <c r="D5363">
        <v>2904.63</v>
      </c>
      <c r="E5363" s="37" t="str">
        <f t="shared" si="415"/>
        <v xml:space="preserve"> </v>
      </c>
      <c r="F5363">
        <v>0.17</v>
      </c>
      <c r="G5363" s="37" t="str">
        <f t="shared" si="416"/>
        <v>Normal Discount</v>
      </c>
      <c r="H5363" s="37" t="str">
        <f t="shared" si="417"/>
        <v>Low</v>
      </c>
      <c r="I5363">
        <v>5</v>
      </c>
      <c r="J5363" t="str" cm="1">
        <f t="array" ref="J5363">_xlfn.IFS(I5363&lt;=3,"small",I5363&lt;=6,"Medium",I5363&lt;=9,"Large")</f>
        <v>Medium</v>
      </c>
      <c r="K5363" s="36">
        <v>45094</v>
      </c>
      <c r="L5363" s="36">
        <v>45095</v>
      </c>
      <c r="M5363" t="s">
        <v>598</v>
      </c>
      <c r="N5363" t="s">
        <v>608</v>
      </c>
      <c r="O5363" s="37" t="str">
        <f t="shared" si="418"/>
        <v>Cash Payment</v>
      </c>
      <c r="P5363">
        <v>611.72</v>
      </c>
      <c r="Q5363" s="37" t="str">
        <f>IF(P5363&gt;500,"High","low")</f>
        <v>High</v>
      </c>
      <c r="R5363" s="37" t="str">
        <f t="shared" si="419"/>
        <v>Good</v>
      </c>
      <c r="S5363" t="s">
        <v>615</v>
      </c>
    </row>
    <row r="5364" spans="1:19" x14ac:dyDescent="0.2">
      <c r="A5364" t="s">
        <v>5975</v>
      </c>
      <c r="B5364" t="s">
        <v>75</v>
      </c>
      <c r="C5364" t="s">
        <v>602</v>
      </c>
      <c r="D5364">
        <v>4771.9799999999996</v>
      </c>
      <c r="E5364" s="37" t="str">
        <f t="shared" si="415"/>
        <v>Excellent Order</v>
      </c>
      <c r="F5364">
        <v>0.09</v>
      </c>
      <c r="G5364" s="37" t="str">
        <f t="shared" si="416"/>
        <v>Normal Discount</v>
      </c>
      <c r="H5364" s="37" t="str">
        <f t="shared" si="417"/>
        <v>Low</v>
      </c>
      <c r="I5364">
        <v>7</v>
      </c>
      <c r="J5364" t="str" cm="1">
        <f t="array" ref="J5364">_xlfn.IFS(I5364&lt;=3,"small",I5364&lt;=6,"Medium",I5364&lt;=9,"Large")</f>
        <v>Large</v>
      </c>
      <c r="K5364" s="36">
        <v>45357</v>
      </c>
      <c r="L5364" s="36">
        <v>45359</v>
      </c>
      <c r="M5364" t="s">
        <v>603</v>
      </c>
      <c r="N5364" t="s">
        <v>599</v>
      </c>
      <c r="O5364" s="37" t="str">
        <f t="shared" si="418"/>
        <v>Digital Payment</v>
      </c>
      <c r="P5364">
        <v>965.07</v>
      </c>
      <c r="Q5364" s="37" t="str">
        <f>IF(P5364&gt;500,"High","low")</f>
        <v>High</v>
      </c>
      <c r="R5364" s="37" t="str">
        <f t="shared" si="419"/>
        <v>Good</v>
      </c>
      <c r="S5364" t="s">
        <v>600</v>
      </c>
    </row>
    <row r="5365" spans="1:19" x14ac:dyDescent="0.2">
      <c r="A5365" t="s">
        <v>5976</v>
      </c>
      <c r="B5365" t="s">
        <v>83</v>
      </c>
      <c r="C5365" t="s">
        <v>614</v>
      </c>
      <c r="D5365">
        <v>1776.09</v>
      </c>
      <c r="E5365" s="37" t="str">
        <f t="shared" si="415"/>
        <v xml:space="preserve"> </v>
      </c>
      <c r="F5365">
        <v>0.48</v>
      </c>
      <c r="G5365" s="37" t="str">
        <f t="shared" si="416"/>
        <v>Heavy Discount</v>
      </c>
      <c r="H5365" s="37" t="str">
        <f t="shared" si="417"/>
        <v>High</v>
      </c>
      <c r="I5365">
        <v>4</v>
      </c>
      <c r="J5365" t="str" cm="1">
        <f t="array" ref="J5365">_xlfn.IFS(I5365&lt;=3,"small",I5365&lt;=6,"Medium",I5365&lt;=9,"Large")</f>
        <v>Medium</v>
      </c>
      <c r="K5365" s="36">
        <v>45039</v>
      </c>
      <c r="L5365" s="36">
        <v>45043</v>
      </c>
      <c r="M5365" t="s">
        <v>612</v>
      </c>
      <c r="N5365" t="s">
        <v>608</v>
      </c>
      <c r="O5365" s="37" t="str">
        <f t="shared" si="418"/>
        <v>Cash Payment</v>
      </c>
      <c r="P5365">
        <v>184.05</v>
      </c>
      <c r="Q5365" s="37" t="str">
        <f>IF(P5365&gt;500,"High","low")</f>
        <v>low</v>
      </c>
      <c r="R5365" s="37" t="str">
        <f t="shared" si="419"/>
        <v>AVERAGE</v>
      </c>
      <c r="S5365" t="s">
        <v>628</v>
      </c>
    </row>
    <row r="5366" spans="1:19" x14ac:dyDescent="0.2">
      <c r="A5366" t="s">
        <v>5977</v>
      </c>
      <c r="B5366" t="s">
        <v>83</v>
      </c>
      <c r="C5366" t="s">
        <v>607</v>
      </c>
      <c r="D5366">
        <v>3234.47</v>
      </c>
      <c r="E5366" s="37" t="str">
        <f t="shared" si="415"/>
        <v xml:space="preserve"> </v>
      </c>
      <c r="F5366">
        <v>0.38</v>
      </c>
      <c r="G5366" s="37" t="str">
        <f t="shared" si="416"/>
        <v>Heavy Discount</v>
      </c>
      <c r="H5366" s="37" t="str">
        <f t="shared" si="417"/>
        <v>Medium</v>
      </c>
      <c r="I5366">
        <v>7</v>
      </c>
      <c r="J5366" t="str" cm="1">
        <f t="array" ref="J5366">_xlfn.IFS(I5366&lt;=3,"small",I5366&lt;=6,"Medium",I5366&lt;=9,"Large")</f>
        <v>Large</v>
      </c>
      <c r="K5366" s="36">
        <v>45551</v>
      </c>
      <c r="L5366" s="36">
        <v>45554</v>
      </c>
      <c r="M5366" t="s">
        <v>603</v>
      </c>
      <c r="N5366" t="s">
        <v>604</v>
      </c>
      <c r="O5366" s="37" t="str">
        <f t="shared" si="418"/>
        <v>Digital Payment</v>
      </c>
      <c r="P5366">
        <v>319.07</v>
      </c>
      <c r="Q5366" s="37" t="str">
        <f>IF(P5366&gt;500,"High","low")</f>
        <v>low</v>
      </c>
      <c r="R5366" s="37" t="str">
        <f t="shared" si="419"/>
        <v>AVERAGE</v>
      </c>
      <c r="S5366" t="s">
        <v>605</v>
      </c>
    </row>
    <row r="5367" spans="1:19" x14ac:dyDescent="0.2">
      <c r="A5367" t="s">
        <v>5978</v>
      </c>
      <c r="B5367" t="s">
        <v>75</v>
      </c>
      <c r="C5367" t="s">
        <v>607</v>
      </c>
      <c r="D5367">
        <v>4801.05</v>
      </c>
      <c r="E5367" s="37" t="str">
        <f t="shared" si="415"/>
        <v>Excellent Order</v>
      </c>
      <c r="F5367">
        <v>0.26</v>
      </c>
      <c r="G5367" s="37" t="str">
        <f t="shared" si="416"/>
        <v>Normal Discount</v>
      </c>
      <c r="H5367" s="37" t="str">
        <f t="shared" si="417"/>
        <v>Medium</v>
      </c>
      <c r="I5367">
        <v>6</v>
      </c>
      <c r="J5367" t="str" cm="1">
        <f t="array" ref="J5367">_xlfn.IFS(I5367&lt;=3,"small",I5367&lt;=6,"Medium",I5367&lt;=9,"Large")</f>
        <v>Medium</v>
      </c>
      <c r="K5367" s="36">
        <v>45401</v>
      </c>
      <c r="L5367" s="36">
        <v>45408</v>
      </c>
      <c r="M5367" t="s">
        <v>598</v>
      </c>
      <c r="N5367" t="s">
        <v>599</v>
      </c>
      <c r="O5367" s="37" t="str">
        <f t="shared" si="418"/>
        <v>Digital Payment</v>
      </c>
      <c r="P5367">
        <v>1347.79</v>
      </c>
      <c r="Q5367" s="37" t="str">
        <f>IF(P5367&gt;500,"High","low")</f>
        <v>High</v>
      </c>
      <c r="R5367" s="37" t="str">
        <f t="shared" si="419"/>
        <v>Excellent</v>
      </c>
      <c r="S5367" t="s">
        <v>605</v>
      </c>
    </row>
    <row r="5368" spans="1:19" x14ac:dyDescent="0.2">
      <c r="A5368" t="s">
        <v>5979</v>
      </c>
      <c r="B5368" t="s">
        <v>75</v>
      </c>
      <c r="C5368" t="s">
        <v>597</v>
      </c>
      <c r="D5368">
        <v>4010.15</v>
      </c>
      <c r="E5368" s="37" t="str">
        <f t="shared" si="415"/>
        <v xml:space="preserve"> </v>
      </c>
      <c r="F5368">
        <v>0.19</v>
      </c>
      <c r="G5368" s="37" t="str">
        <f t="shared" si="416"/>
        <v>Normal Discount</v>
      </c>
      <c r="H5368" s="37" t="str">
        <f t="shared" si="417"/>
        <v>Low</v>
      </c>
      <c r="I5368">
        <v>5</v>
      </c>
      <c r="J5368" t="str" cm="1">
        <f t="array" ref="J5368">_xlfn.IFS(I5368&lt;=3,"small",I5368&lt;=6,"Medium",I5368&lt;=9,"Large")</f>
        <v>Medium</v>
      </c>
      <c r="K5368" s="36">
        <v>45212</v>
      </c>
      <c r="L5368" s="36">
        <v>45214</v>
      </c>
      <c r="M5368" t="s">
        <v>612</v>
      </c>
      <c r="N5368" t="s">
        <v>604</v>
      </c>
      <c r="O5368" s="37" t="str">
        <f t="shared" si="418"/>
        <v>Digital Payment</v>
      </c>
      <c r="P5368">
        <v>361.18</v>
      </c>
      <c r="Q5368" s="37" t="str">
        <f>IF(P5368&gt;500,"High","low")</f>
        <v>low</v>
      </c>
      <c r="R5368" s="37" t="str">
        <f t="shared" si="419"/>
        <v>AVERAGE</v>
      </c>
      <c r="S5368" t="s">
        <v>600</v>
      </c>
    </row>
    <row r="5369" spans="1:19" x14ac:dyDescent="0.2">
      <c r="A5369" t="s">
        <v>5980</v>
      </c>
      <c r="B5369" t="s">
        <v>83</v>
      </c>
      <c r="C5369" t="s">
        <v>617</v>
      </c>
      <c r="D5369">
        <v>3472.71</v>
      </c>
      <c r="E5369" s="37" t="str">
        <f t="shared" si="415"/>
        <v xml:space="preserve"> </v>
      </c>
      <c r="F5369">
        <v>0.24</v>
      </c>
      <c r="G5369" s="37" t="str">
        <f t="shared" si="416"/>
        <v>Normal Discount</v>
      </c>
      <c r="H5369" s="37" t="str">
        <f t="shared" si="417"/>
        <v>Medium</v>
      </c>
      <c r="I5369">
        <v>3</v>
      </c>
      <c r="J5369" t="str" cm="1">
        <f t="array" ref="J5369">_xlfn.IFS(I5369&lt;=3,"small",I5369&lt;=6,"Medium",I5369&lt;=9,"Large")</f>
        <v>small</v>
      </c>
      <c r="K5369" s="36">
        <v>45472</v>
      </c>
      <c r="L5369" s="36">
        <v>45475</v>
      </c>
      <c r="M5369" t="s">
        <v>612</v>
      </c>
      <c r="N5369" t="s">
        <v>604</v>
      </c>
      <c r="O5369" s="37" t="str">
        <f t="shared" si="418"/>
        <v>Digital Payment</v>
      </c>
      <c r="P5369">
        <v>322.70999999999998</v>
      </c>
      <c r="Q5369" s="37" t="str">
        <f>IF(P5369&gt;500,"High","low")</f>
        <v>low</v>
      </c>
      <c r="R5369" s="37" t="str">
        <f t="shared" si="419"/>
        <v>AVERAGE</v>
      </c>
      <c r="S5369" t="s">
        <v>615</v>
      </c>
    </row>
    <row r="5370" spans="1:19" x14ac:dyDescent="0.2">
      <c r="A5370" t="s">
        <v>5981</v>
      </c>
      <c r="B5370" t="s">
        <v>67</v>
      </c>
      <c r="C5370" t="s">
        <v>614</v>
      </c>
      <c r="D5370">
        <v>4858.63</v>
      </c>
      <c r="E5370" s="37" t="str">
        <f t="shared" si="415"/>
        <v>Excellent Order</v>
      </c>
      <c r="F5370">
        <v>0.02</v>
      </c>
      <c r="G5370" s="37" t="str">
        <f t="shared" si="416"/>
        <v>Normal Discount</v>
      </c>
      <c r="H5370" s="37" t="str">
        <f t="shared" si="417"/>
        <v>Low</v>
      </c>
      <c r="I5370">
        <v>1</v>
      </c>
      <c r="J5370" t="str" cm="1">
        <f t="array" ref="J5370">_xlfn.IFS(I5370&lt;=3,"small",I5370&lt;=6,"Medium",I5370&lt;=9,"Large")</f>
        <v>small</v>
      </c>
      <c r="K5370" s="36">
        <v>45484</v>
      </c>
      <c r="L5370" s="36">
        <v>45485</v>
      </c>
      <c r="M5370" t="s">
        <v>603</v>
      </c>
      <c r="N5370" t="s">
        <v>599</v>
      </c>
      <c r="O5370" s="37" t="str">
        <f t="shared" si="418"/>
        <v>Digital Payment</v>
      </c>
      <c r="P5370">
        <v>1093.56</v>
      </c>
      <c r="Q5370" s="37" t="str">
        <f>IF(P5370&gt;500,"High","low")</f>
        <v>High</v>
      </c>
      <c r="R5370" s="37" t="str">
        <f t="shared" si="419"/>
        <v>Excellent</v>
      </c>
      <c r="S5370" t="s">
        <v>609</v>
      </c>
    </row>
    <row r="5371" spans="1:19" x14ac:dyDescent="0.2">
      <c r="A5371" t="s">
        <v>5982</v>
      </c>
      <c r="B5371" t="s">
        <v>83</v>
      </c>
      <c r="C5371" t="s">
        <v>602</v>
      </c>
      <c r="D5371">
        <v>935.86</v>
      </c>
      <c r="E5371" s="37" t="str">
        <f t="shared" si="415"/>
        <v xml:space="preserve"> </v>
      </c>
      <c r="F5371">
        <v>0.12</v>
      </c>
      <c r="G5371" s="37" t="str">
        <f t="shared" si="416"/>
        <v>Normal Discount</v>
      </c>
      <c r="H5371" s="37" t="str">
        <f t="shared" si="417"/>
        <v>Low</v>
      </c>
      <c r="I5371">
        <v>8</v>
      </c>
      <c r="J5371" t="str" cm="1">
        <f t="array" ref="J5371">_xlfn.IFS(I5371&lt;=3,"small",I5371&lt;=6,"Medium",I5371&lt;=9,"Large")</f>
        <v>Large</v>
      </c>
      <c r="K5371" s="36">
        <v>44927</v>
      </c>
      <c r="L5371" s="36">
        <v>44932</v>
      </c>
      <c r="M5371" t="s">
        <v>612</v>
      </c>
      <c r="N5371" t="s">
        <v>604</v>
      </c>
      <c r="O5371" s="37" t="str">
        <f t="shared" si="418"/>
        <v>Digital Payment</v>
      </c>
      <c r="P5371">
        <v>211.6</v>
      </c>
      <c r="Q5371" s="37" t="str">
        <f>IF(P5371&gt;500,"High","low")</f>
        <v>low</v>
      </c>
      <c r="R5371" s="37" t="str">
        <f t="shared" si="419"/>
        <v>AVERAGE</v>
      </c>
      <c r="S5371" t="s">
        <v>600</v>
      </c>
    </row>
    <row r="5372" spans="1:19" x14ac:dyDescent="0.2">
      <c r="A5372" t="s">
        <v>5983</v>
      </c>
      <c r="B5372" t="s">
        <v>83</v>
      </c>
      <c r="C5372" t="s">
        <v>597</v>
      </c>
      <c r="D5372">
        <v>3886.47</v>
      </c>
      <c r="E5372" s="37" t="str">
        <f t="shared" si="415"/>
        <v xml:space="preserve"> </v>
      </c>
      <c r="F5372">
        <v>0.13</v>
      </c>
      <c r="G5372" s="37" t="str">
        <f t="shared" si="416"/>
        <v>Normal Discount</v>
      </c>
      <c r="H5372" s="37" t="str">
        <f t="shared" si="417"/>
        <v>Low</v>
      </c>
      <c r="I5372">
        <v>7</v>
      </c>
      <c r="J5372" t="str" cm="1">
        <f t="array" ref="J5372">_xlfn.IFS(I5372&lt;=3,"small",I5372&lt;=6,"Medium",I5372&lt;=9,"Large")</f>
        <v>Large</v>
      </c>
      <c r="K5372" s="36">
        <v>45344</v>
      </c>
      <c r="L5372" s="36">
        <v>45350</v>
      </c>
      <c r="M5372" t="s">
        <v>603</v>
      </c>
      <c r="N5372" t="s">
        <v>608</v>
      </c>
      <c r="O5372" s="37" t="str">
        <f t="shared" si="418"/>
        <v>Cash Payment</v>
      </c>
      <c r="P5372">
        <v>581.4</v>
      </c>
      <c r="Q5372" s="37" t="str">
        <f>IF(P5372&gt;500,"High","low")</f>
        <v>High</v>
      </c>
      <c r="R5372" s="37" t="str">
        <f t="shared" si="419"/>
        <v>Good</v>
      </c>
      <c r="S5372" t="s">
        <v>620</v>
      </c>
    </row>
    <row r="5373" spans="1:19" x14ac:dyDescent="0.2">
      <c r="A5373" t="s">
        <v>5984</v>
      </c>
      <c r="B5373" t="s">
        <v>75</v>
      </c>
      <c r="C5373" t="s">
        <v>614</v>
      </c>
      <c r="D5373">
        <v>2093.5</v>
      </c>
      <c r="E5373" s="37" t="str">
        <f t="shared" si="415"/>
        <v xml:space="preserve"> </v>
      </c>
      <c r="F5373">
        <v>0.22</v>
      </c>
      <c r="G5373" s="37" t="str">
        <f t="shared" si="416"/>
        <v>Normal Discount</v>
      </c>
      <c r="H5373" s="37" t="str">
        <f t="shared" si="417"/>
        <v>Medium</v>
      </c>
      <c r="I5373">
        <v>6</v>
      </c>
      <c r="J5373" t="str" cm="1">
        <f t="array" ref="J5373">_xlfn.IFS(I5373&lt;=3,"small",I5373&lt;=6,"Medium",I5373&lt;=9,"Large")</f>
        <v>Medium</v>
      </c>
      <c r="K5373" s="36">
        <v>45113</v>
      </c>
      <c r="L5373" s="36">
        <v>45114</v>
      </c>
      <c r="M5373" t="s">
        <v>612</v>
      </c>
      <c r="N5373" t="s">
        <v>604</v>
      </c>
      <c r="O5373" s="37" t="str">
        <f t="shared" si="418"/>
        <v>Digital Payment</v>
      </c>
      <c r="P5373">
        <v>579.66</v>
      </c>
      <c r="Q5373" s="37" t="str">
        <f>IF(P5373&gt;500,"High","low")</f>
        <v>High</v>
      </c>
      <c r="R5373" s="37" t="str">
        <f t="shared" si="419"/>
        <v>Good</v>
      </c>
      <c r="S5373" t="s">
        <v>628</v>
      </c>
    </row>
    <row r="5374" spans="1:19" x14ac:dyDescent="0.2">
      <c r="A5374" t="s">
        <v>5985</v>
      </c>
      <c r="B5374" t="s">
        <v>67</v>
      </c>
      <c r="C5374" t="s">
        <v>614</v>
      </c>
      <c r="D5374">
        <v>1866.12</v>
      </c>
      <c r="E5374" s="37" t="str">
        <f t="shared" si="415"/>
        <v xml:space="preserve"> </v>
      </c>
      <c r="F5374">
        <v>0.12</v>
      </c>
      <c r="G5374" s="37" t="str">
        <f t="shared" si="416"/>
        <v>Normal Discount</v>
      </c>
      <c r="H5374" s="37" t="str">
        <f t="shared" si="417"/>
        <v>Low</v>
      </c>
      <c r="I5374">
        <v>4</v>
      </c>
      <c r="J5374" t="str" cm="1">
        <f t="array" ref="J5374">_xlfn.IFS(I5374&lt;=3,"small",I5374&lt;=6,"Medium",I5374&lt;=9,"Large")</f>
        <v>Medium</v>
      </c>
      <c r="K5374" s="36">
        <v>45375</v>
      </c>
      <c r="L5374" s="36">
        <v>45380</v>
      </c>
      <c r="M5374" t="s">
        <v>598</v>
      </c>
      <c r="N5374" t="s">
        <v>599</v>
      </c>
      <c r="O5374" s="37" t="str">
        <f t="shared" si="418"/>
        <v>Digital Payment</v>
      </c>
      <c r="P5374">
        <v>522.15</v>
      </c>
      <c r="Q5374" s="37" t="str">
        <f>IF(P5374&gt;500,"High","low")</f>
        <v>High</v>
      </c>
      <c r="R5374" s="37" t="str">
        <f t="shared" si="419"/>
        <v>Good</v>
      </c>
      <c r="S5374" t="s">
        <v>615</v>
      </c>
    </row>
    <row r="5375" spans="1:19" x14ac:dyDescent="0.2">
      <c r="A5375" t="s">
        <v>5986</v>
      </c>
      <c r="B5375" t="s">
        <v>83</v>
      </c>
      <c r="C5375" t="s">
        <v>602</v>
      </c>
      <c r="D5375">
        <v>2651.3</v>
      </c>
      <c r="E5375" s="37" t="str">
        <f t="shared" si="415"/>
        <v xml:space="preserve"> </v>
      </c>
      <c r="F5375">
        <v>0.09</v>
      </c>
      <c r="G5375" s="37" t="str">
        <f t="shared" si="416"/>
        <v>Normal Discount</v>
      </c>
      <c r="H5375" s="37" t="str">
        <f t="shared" si="417"/>
        <v>Low</v>
      </c>
      <c r="I5375">
        <v>5</v>
      </c>
      <c r="J5375" t="str" cm="1">
        <f t="array" ref="J5375">_xlfn.IFS(I5375&lt;=3,"small",I5375&lt;=6,"Medium",I5375&lt;=9,"Large")</f>
        <v>Medium</v>
      </c>
      <c r="K5375" s="36">
        <v>45608</v>
      </c>
      <c r="L5375" s="36">
        <v>45612</v>
      </c>
      <c r="M5375" t="s">
        <v>598</v>
      </c>
      <c r="N5375" t="s">
        <v>599</v>
      </c>
      <c r="O5375" s="37" t="str">
        <f t="shared" si="418"/>
        <v>Digital Payment</v>
      </c>
      <c r="P5375">
        <v>690.25</v>
      </c>
      <c r="Q5375" s="37" t="str">
        <f>IF(P5375&gt;500,"High","low")</f>
        <v>High</v>
      </c>
      <c r="R5375" s="37" t="str">
        <f t="shared" si="419"/>
        <v>Good</v>
      </c>
      <c r="S5375" t="s">
        <v>615</v>
      </c>
    </row>
    <row r="5376" spans="1:19" x14ac:dyDescent="0.2">
      <c r="A5376" t="s">
        <v>5987</v>
      </c>
      <c r="B5376" t="s">
        <v>83</v>
      </c>
      <c r="C5376" t="s">
        <v>602</v>
      </c>
      <c r="D5376">
        <v>265.38</v>
      </c>
      <c r="E5376" s="37" t="str">
        <f t="shared" si="415"/>
        <v xml:space="preserve"> </v>
      </c>
      <c r="F5376">
        <v>0.38</v>
      </c>
      <c r="G5376" s="37" t="str">
        <f t="shared" si="416"/>
        <v>Heavy Discount</v>
      </c>
      <c r="H5376" s="37" t="str">
        <f t="shared" si="417"/>
        <v>Medium</v>
      </c>
      <c r="I5376">
        <v>5</v>
      </c>
      <c r="J5376" t="str" cm="1">
        <f t="array" ref="J5376">_xlfn.IFS(I5376&lt;=3,"small",I5376&lt;=6,"Medium",I5376&lt;=9,"Large")</f>
        <v>Medium</v>
      </c>
      <c r="K5376" s="36">
        <v>45201</v>
      </c>
      <c r="L5376" s="36">
        <v>45206</v>
      </c>
      <c r="M5376" t="s">
        <v>598</v>
      </c>
      <c r="N5376" t="s">
        <v>608</v>
      </c>
      <c r="O5376" s="37" t="str">
        <f t="shared" si="418"/>
        <v>Cash Payment</v>
      </c>
      <c r="P5376">
        <v>14.33</v>
      </c>
      <c r="Q5376" s="37" t="str">
        <f>IF(P5376&gt;500,"High","low")</f>
        <v>low</v>
      </c>
      <c r="R5376" s="37" t="str">
        <f t="shared" si="419"/>
        <v>AVERAGE</v>
      </c>
      <c r="S5376" t="s">
        <v>609</v>
      </c>
    </row>
    <row r="5377" spans="1:19" x14ac:dyDescent="0.2">
      <c r="A5377" t="s">
        <v>5988</v>
      </c>
      <c r="B5377" t="s">
        <v>90</v>
      </c>
      <c r="C5377" t="s">
        <v>607</v>
      </c>
      <c r="D5377">
        <v>1631.4</v>
      </c>
      <c r="E5377" s="37" t="str">
        <f t="shared" si="415"/>
        <v xml:space="preserve"> </v>
      </c>
      <c r="F5377">
        <v>0.45</v>
      </c>
      <c r="G5377" s="37" t="str">
        <f t="shared" si="416"/>
        <v>Heavy Discount</v>
      </c>
      <c r="H5377" s="37" t="str">
        <f t="shared" si="417"/>
        <v>High</v>
      </c>
      <c r="I5377">
        <v>2</v>
      </c>
      <c r="J5377" t="str" cm="1">
        <f t="array" ref="J5377">_xlfn.IFS(I5377&lt;=3,"small",I5377&lt;=6,"Medium",I5377&lt;=9,"Large")</f>
        <v>small</v>
      </c>
      <c r="K5377" s="36">
        <v>44949</v>
      </c>
      <c r="L5377" s="36">
        <v>44953</v>
      </c>
      <c r="M5377" t="s">
        <v>612</v>
      </c>
      <c r="N5377" t="s">
        <v>608</v>
      </c>
      <c r="O5377" s="37" t="str">
        <f t="shared" si="418"/>
        <v>Cash Payment</v>
      </c>
      <c r="P5377">
        <v>204.79</v>
      </c>
      <c r="Q5377" s="37" t="str">
        <f>IF(P5377&gt;500,"High","low")</f>
        <v>low</v>
      </c>
      <c r="R5377" s="37" t="str">
        <f t="shared" si="419"/>
        <v>AVERAGE</v>
      </c>
      <c r="S5377" t="s">
        <v>600</v>
      </c>
    </row>
    <row r="5378" spans="1:19" x14ac:dyDescent="0.2">
      <c r="A5378" t="s">
        <v>5989</v>
      </c>
      <c r="B5378" t="s">
        <v>75</v>
      </c>
      <c r="C5378" t="s">
        <v>617</v>
      </c>
      <c r="D5378">
        <v>914.46</v>
      </c>
      <c r="E5378" s="37" t="str">
        <f t="shared" si="415"/>
        <v xml:space="preserve"> </v>
      </c>
      <c r="F5378">
        <v>0.03</v>
      </c>
      <c r="G5378" s="37" t="str">
        <f t="shared" si="416"/>
        <v>Normal Discount</v>
      </c>
      <c r="H5378" s="37" t="str">
        <f t="shared" si="417"/>
        <v>Low</v>
      </c>
      <c r="I5378">
        <v>6</v>
      </c>
      <c r="J5378" t="str" cm="1">
        <f t="array" ref="J5378">_xlfn.IFS(I5378&lt;=3,"small",I5378&lt;=6,"Medium",I5378&lt;=9,"Large")</f>
        <v>Medium</v>
      </c>
      <c r="K5378" s="36">
        <v>44992</v>
      </c>
      <c r="L5378" s="36">
        <v>44994</v>
      </c>
      <c r="M5378" t="s">
        <v>598</v>
      </c>
      <c r="N5378" t="s">
        <v>604</v>
      </c>
      <c r="O5378" s="37" t="str">
        <f t="shared" si="418"/>
        <v>Digital Payment</v>
      </c>
      <c r="P5378">
        <v>112.1</v>
      </c>
      <c r="Q5378" s="37" t="str">
        <f>IF(P5378&gt;500,"High","low")</f>
        <v>low</v>
      </c>
      <c r="R5378" s="37" t="str">
        <f t="shared" si="419"/>
        <v>AVERAGE</v>
      </c>
      <c r="S5378" t="s">
        <v>628</v>
      </c>
    </row>
    <row r="5379" spans="1:19" x14ac:dyDescent="0.2">
      <c r="A5379" t="s">
        <v>5990</v>
      </c>
      <c r="B5379" t="s">
        <v>90</v>
      </c>
      <c r="C5379" t="s">
        <v>597</v>
      </c>
      <c r="D5379">
        <v>779.59</v>
      </c>
      <c r="E5379" s="37" t="str">
        <f t="shared" ref="E5379:E5442" si="420">IF(AND(D5379&gt;4000,P5379&gt;800),"Excellent Order"," ")</f>
        <v xml:space="preserve"> </v>
      </c>
      <c r="F5379">
        <v>0.1</v>
      </c>
      <c r="G5379" s="37" t="str">
        <f t="shared" ref="G5379:G5442" si="421">IF(F5379&gt;30%,"Heavy Discount","Normal Discount")</f>
        <v>Normal Discount</v>
      </c>
      <c r="H5379" s="37" t="str">
        <f t="shared" ref="H5379:H5442" si="422">IF(F5379&gt;0.4,"High",IF(F5379&gt;=0.2,"Medium","Low"))</f>
        <v>Low</v>
      </c>
      <c r="I5379">
        <v>5</v>
      </c>
      <c r="J5379" t="str" cm="1">
        <f t="array" ref="J5379">_xlfn.IFS(I5379&lt;=3,"small",I5379&lt;=6,"Medium",I5379&lt;=9,"Large")</f>
        <v>Medium</v>
      </c>
      <c r="K5379" s="36">
        <v>45313</v>
      </c>
      <c r="L5379" s="36">
        <v>45314</v>
      </c>
      <c r="M5379" t="s">
        <v>598</v>
      </c>
      <c r="N5379" t="s">
        <v>599</v>
      </c>
      <c r="O5379" s="37" t="str">
        <f t="shared" ref="O5379:O5442" si="423">IF(OR(N5379="Card",N5379="UPI"),"Digital Payment","Cash Payment")</f>
        <v>Digital Payment</v>
      </c>
      <c r="P5379">
        <v>51.77</v>
      </c>
      <c r="Q5379" s="37" t="str">
        <f>IF(P5379&gt;500,"High","low")</f>
        <v>low</v>
      </c>
      <c r="R5379" s="37" t="str">
        <f t="shared" ref="R5379:R5442" si="424">IF(P5379&gt;1000,"Excellent",IF(P5379&gt;=500,"Good","AVERAGE"))</f>
        <v>AVERAGE</v>
      </c>
      <c r="S5379" t="s">
        <v>628</v>
      </c>
    </row>
    <row r="5380" spans="1:19" x14ac:dyDescent="0.2">
      <c r="A5380" t="s">
        <v>5991</v>
      </c>
      <c r="B5380" t="s">
        <v>90</v>
      </c>
      <c r="C5380" t="s">
        <v>617</v>
      </c>
      <c r="D5380">
        <v>1752.97</v>
      </c>
      <c r="E5380" s="37" t="str">
        <f t="shared" si="420"/>
        <v xml:space="preserve"> </v>
      </c>
      <c r="F5380">
        <v>0.39</v>
      </c>
      <c r="G5380" s="37" t="str">
        <f t="shared" si="421"/>
        <v>Heavy Discount</v>
      </c>
      <c r="H5380" s="37" t="str">
        <f t="shared" si="422"/>
        <v>Medium</v>
      </c>
      <c r="I5380">
        <v>1</v>
      </c>
      <c r="J5380" t="str" cm="1">
        <f t="array" ref="J5380">_xlfn.IFS(I5380&lt;=3,"small",I5380&lt;=6,"Medium",I5380&lt;=9,"Large")</f>
        <v>small</v>
      </c>
      <c r="K5380" s="36">
        <v>45012</v>
      </c>
      <c r="L5380" s="36">
        <v>45016</v>
      </c>
      <c r="M5380" t="s">
        <v>598</v>
      </c>
      <c r="N5380" t="s">
        <v>599</v>
      </c>
      <c r="O5380" s="37" t="str">
        <f t="shared" si="423"/>
        <v>Digital Payment</v>
      </c>
      <c r="P5380">
        <v>479.04</v>
      </c>
      <c r="Q5380" s="37" t="str">
        <f>IF(P5380&gt;500,"High","low")</f>
        <v>low</v>
      </c>
      <c r="R5380" s="37" t="str">
        <f t="shared" si="424"/>
        <v>AVERAGE</v>
      </c>
      <c r="S5380" t="s">
        <v>600</v>
      </c>
    </row>
    <row r="5381" spans="1:19" x14ac:dyDescent="0.2">
      <c r="A5381" t="s">
        <v>5992</v>
      </c>
      <c r="B5381" t="s">
        <v>83</v>
      </c>
      <c r="C5381" t="s">
        <v>597</v>
      </c>
      <c r="D5381">
        <v>4031.1</v>
      </c>
      <c r="E5381" s="37" t="str">
        <f t="shared" si="420"/>
        <v>Excellent Order</v>
      </c>
      <c r="F5381">
        <v>0.41</v>
      </c>
      <c r="G5381" s="37" t="str">
        <f t="shared" si="421"/>
        <v>Heavy Discount</v>
      </c>
      <c r="H5381" s="37" t="str">
        <f t="shared" si="422"/>
        <v>High</v>
      </c>
      <c r="I5381">
        <v>9</v>
      </c>
      <c r="J5381" t="str" cm="1">
        <f t="array" ref="J5381">_xlfn.IFS(I5381&lt;=3,"small",I5381&lt;=6,"Medium",I5381&lt;=9,"Large")</f>
        <v>Large</v>
      </c>
      <c r="K5381" s="36">
        <v>45638</v>
      </c>
      <c r="L5381" s="36">
        <v>45645</v>
      </c>
      <c r="M5381" t="s">
        <v>612</v>
      </c>
      <c r="N5381" t="s">
        <v>608</v>
      </c>
      <c r="O5381" s="37" t="str">
        <f t="shared" si="423"/>
        <v>Cash Payment</v>
      </c>
      <c r="P5381">
        <v>1201.8699999999999</v>
      </c>
      <c r="Q5381" s="37" t="str">
        <f>IF(P5381&gt;500,"High","low")</f>
        <v>High</v>
      </c>
      <c r="R5381" s="37" t="str">
        <f t="shared" si="424"/>
        <v>Excellent</v>
      </c>
      <c r="S5381" t="s">
        <v>628</v>
      </c>
    </row>
    <row r="5382" spans="1:19" x14ac:dyDescent="0.2">
      <c r="A5382" t="s">
        <v>5993</v>
      </c>
      <c r="B5382" t="s">
        <v>75</v>
      </c>
      <c r="C5382" t="s">
        <v>614</v>
      </c>
      <c r="D5382">
        <v>1085.44</v>
      </c>
      <c r="E5382" s="37" t="str">
        <f t="shared" si="420"/>
        <v xml:space="preserve"> </v>
      </c>
      <c r="F5382">
        <v>0.25</v>
      </c>
      <c r="G5382" s="37" t="str">
        <f t="shared" si="421"/>
        <v>Normal Discount</v>
      </c>
      <c r="H5382" s="37" t="str">
        <f t="shared" si="422"/>
        <v>Medium</v>
      </c>
      <c r="I5382">
        <v>7</v>
      </c>
      <c r="J5382" t="str" cm="1">
        <f t="array" ref="J5382">_xlfn.IFS(I5382&lt;=3,"small",I5382&lt;=6,"Medium",I5382&lt;=9,"Large")</f>
        <v>Large</v>
      </c>
      <c r="K5382" s="36">
        <v>45013</v>
      </c>
      <c r="L5382" s="36">
        <v>45014</v>
      </c>
      <c r="M5382" t="s">
        <v>612</v>
      </c>
      <c r="N5382" t="s">
        <v>604</v>
      </c>
      <c r="O5382" s="37" t="str">
        <f t="shared" si="423"/>
        <v>Digital Payment</v>
      </c>
      <c r="P5382">
        <v>93.17</v>
      </c>
      <c r="Q5382" s="37" t="str">
        <f>IF(P5382&gt;500,"High","low")</f>
        <v>low</v>
      </c>
      <c r="R5382" s="37" t="str">
        <f t="shared" si="424"/>
        <v>AVERAGE</v>
      </c>
      <c r="S5382" t="s">
        <v>620</v>
      </c>
    </row>
    <row r="5383" spans="1:19" x14ac:dyDescent="0.2">
      <c r="A5383" t="s">
        <v>5994</v>
      </c>
      <c r="B5383" t="s">
        <v>67</v>
      </c>
      <c r="C5383" t="s">
        <v>602</v>
      </c>
      <c r="D5383">
        <v>2703.94</v>
      </c>
      <c r="E5383" s="37" t="str">
        <f t="shared" si="420"/>
        <v xml:space="preserve"> </v>
      </c>
      <c r="F5383">
        <v>0.35</v>
      </c>
      <c r="G5383" s="37" t="str">
        <f t="shared" si="421"/>
        <v>Heavy Discount</v>
      </c>
      <c r="H5383" s="37" t="str">
        <f t="shared" si="422"/>
        <v>Medium</v>
      </c>
      <c r="I5383">
        <v>2</v>
      </c>
      <c r="J5383" t="str" cm="1">
        <f t="array" ref="J5383">_xlfn.IFS(I5383&lt;=3,"small",I5383&lt;=6,"Medium",I5383&lt;=9,"Large")</f>
        <v>small</v>
      </c>
      <c r="K5383" s="36">
        <v>45254</v>
      </c>
      <c r="L5383" s="36">
        <v>45255</v>
      </c>
      <c r="M5383" t="s">
        <v>598</v>
      </c>
      <c r="N5383" t="s">
        <v>608</v>
      </c>
      <c r="O5383" s="37" t="str">
        <f t="shared" si="423"/>
        <v>Cash Payment</v>
      </c>
      <c r="P5383">
        <v>328.04</v>
      </c>
      <c r="Q5383" s="37" t="str">
        <f>IF(P5383&gt;500,"High","low")</f>
        <v>low</v>
      </c>
      <c r="R5383" s="37" t="str">
        <f t="shared" si="424"/>
        <v>AVERAGE</v>
      </c>
      <c r="S5383" t="s">
        <v>600</v>
      </c>
    </row>
    <row r="5384" spans="1:19" x14ac:dyDescent="0.2">
      <c r="A5384" t="s">
        <v>5995</v>
      </c>
      <c r="B5384" t="s">
        <v>83</v>
      </c>
      <c r="C5384" t="s">
        <v>602</v>
      </c>
      <c r="D5384">
        <v>3768.42</v>
      </c>
      <c r="E5384" s="37" t="str">
        <f t="shared" si="420"/>
        <v xml:space="preserve"> </v>
      </c>
      <c r="F5384">
        <v>0.04</v>
      </c>
      <c r="G5384" s="37" t="str">
        <f t="shared" si="421"/>
        <v>Normal Discount</v>
      </c>
      <c r="H5384" s="37" t="str">
        <f t="shared" si="422"/>
        <v>Low</v>
      </c>
      <c r="I5384">
        <v>6</v>
      </c>
      <c r="J5384" t="str" cm="1">
        <f t="array" ref="J5384">_xlfn.IFS(I5384&lt;=3,"small",I5384&lt;=6,"Medium",I5384&lt;=9,"Large")</f>
        <v>Medium</v>
      </c>
      <c r="K5384" s="36">
        <v>45549</v>
      </c>
      <c r="L5384" s="36">
        <v>45553</v>
      </c>
      <c r="M5384" t="s">
        <v>598</v>
      </c>
      <c r="N5384" t="s">
        <v>608</v>
      </c>
      <c r="O5384" s="37" t="str">
        <f t="shared" si="423"/>
        <v>Cash Payment</v>
      </c>
      <c r="P5384">
        <v>213.59</v>
      </c>
      <c r="Q5384" s="37" t="str">
        <f>IF(P5384&gt;500,"High","low")</f>
        <v>low</v>
      </c>
      <c r="R5384" s="37" t="str">
        <f t="shared" si="424"/>
        <v>AVERAGE</v>
      </c>
      <c r="S5384" t="s">
        <v>620</v>
      </c>
    </row>
    <row r="5385" spans="1:19" x14ac:dyDescent="0.2">
      <c r="A5385" t="s">
        <v>5996</v>
      </c>
      <c r="B5385" t="s">
        <v>67</v>
      </c>
      <c r="C5385" t="s">
        <v>614</v>
      </c>
      <c r="D5385">
        <v>1280.76</v>
      </c>
      <c r="E5385" s="37" t="str">
        <f t="shared" si="420"/>
        <v xml:space="preserve"> </v>
      </c>
      <c r="F5385">
        <v>0.42</v>
      </c>
      <c r="G5385" s="37" t="str">
        <f t="shared" si="421"/>
        <v>Heavy Discount</v>
      </c>
      <c r="H5385" s="37" t="str">
        <f t="shared" si="422"/>
        <v>High</v>
      </c>
      <c r="I5385">
        <v>1</v>
      </c>
      <c r="J5385" t="str" cm="1">
        <f t="array" ref="J5385">_xlfn.IFS(I5385&lt;=3,"small",I5385&lt;=6,"Medium",I5385&lt;=9,"Large")</f>
        <v>small</v>
      </c>
      <c r="K5385" s="36">
        <v>45065</v>
      </c>
      <c r="L5385" s="36">
        <v>45069</v>
      </c>
      <c r="M5385" t="s">
        <v>598</v>
      </c>
      <c r="N5385" t="s">
        <v>608</v>
      </c>
      <c r="O5385" s="37" t="str">
        <f t="shared" si="423"/>
        <v>Cash Payment</v>
      </c>
      <c r="P5385">
        <v>101</v>
      </c>
      <c r="Q5385" s="37" t="str">
        <f>IF(P5385&gt;500,"High","low")</f>
        <v>low</v>
      </c>
      <c r="R5385" s="37" t="str">
        <f t="shared" si="424"/>
        <v>AVERAGE</v>
      </c>
      <c r="S5385" t="s">
        <v>605</v>
      </c>
    </row>
    <row r="5386" spans="1:19" x14ac:dyDescent="0.2">
      <c r="A5386" t="s">
        <v>5997</v>
      </c>
      <c r="B5386" t="s">
        <v>67</v>
      </c>
      <c r="C5386" t="s">
        <v>614</v>
      </c>
      <c r="D5386">
        <v>4628.6000000000004</v>
      </c>
      <c r="E5386" s="37" t="str">
        <f t="shared" si="420"/>
        <v>Excellent Order</v>
      </c>
      <c r="F5386">
        <v>0.42</v>
      </c>
      <c r="G5386" s="37" t="str">
        <f t="shared" si="421"/>
        <v>Heavy Discount</v>
      </c>
      <c r="H5386" s="37" t="str">
        <f t="shared" si="422"/>
        <v>High</v>
      </c>
      <c r="I5386">
        <v>2</v>
      </c>
      <c r="J5386" t="str" cm="1">
        <f t="array" ref="J5386">_xlfn.IFS(I5386&lt;=3,"small",I5386&lt;=6,"Medium",I5386&lt;=9,"Large")</f>
        <v>small</v>
      </c>
      <c r="K5386" s="36">
        <v>45161</v>
      </c>
      <c r="L5386" s="36">
        <v>45166</v>
      </c>
      <c r="M5386" t="s">
        <v>612</v>
      </c>
      <c r="N5386" t="s">
        <v>599</v>
      </c>
      <c r="O5386" s="37" t="str">
        <f t="shared" si="423"/>
        <v>Digital Payment</v>
      </c>
      <c r="P5386">
        <v>809.47</v>
      </c>
      <c r="Q5386" s="37" t="str">
        <f>IF(P5386&gt;500,"High","low")</f>
        <v>High</v>
      </c>
      <c r="R5386" s="37" t="str">
        <f t="shared" si="424"/>
        <v>Good</v>
      </c>
      <c r="S5386" t="s">
        <v>620</v>
      </c>
    </row>
    <row r="5387" spans="1:19" x14ac:dyDescent="0.2">
      <c r="A5387" t="s">
        <v>5998</v>
      </c>
      <c r="B5387" t="s">
        <v>75</v>
      </c>
      <c r="C5387" t="s">
        <v>597</v>
      </c>
      <c r="D5387">
        <v>4345.84</v>
      </c>
      <c r="E5387" s="37" t="str">
        <f t="shared" si="420"/>
        <v xml:space="preserve"> </v>
      </c>
      <c r="F5387">
        <v>0.35</v>
      </c>
      <c r="G5387" s="37" t="str">
        <f t="shared" si="421"/>
        <v>Heavy Discount</v>
      </c>
      <c r="H5387" s="37" t="str">
        <f t="shared" si="422"/>
        <v>Medium</v>
      </c>
      <c r="I5387">
        <v>7</v>
      </c>
      <c r="J5387" t="str" cm="1">
        <f t="array" ref="J5387">_xlfn.IFS(I5387&lt;=3,"small",I5387&lt;=6,"Medium",I5387&lt;=9,"Large")</f>
        <v>Large</v>
      </c>
      <c r="K5387" s="36">
        <v>45647</v>
      </c>
      <c r="L5387" s="36">
        <v>45649</v>
      </c>
      <c r="M5387" t="s">
        <v>598</v>
      </c>
      <c r="N5387" t="s">
        <v>599</v>
      </c>
      <c r="O5387" s="37" t="str">
        <f t="shared" si="423"/>
        <v>Digital Payment</v>
      </c>
      <c r="P5387">
        <v>617.02</v>
      </c>
      <c r="Q5387" s="37" t="str">
        <f>IF(P5387&gt;500,"High","low")</f>
        <v>High</v>
      </c>
      <c r="R5387" s="37" t="str">
        <f t="shared" si="424"/>
        <v>Good</v>
      </c>
      <c r="S5387" t="s">
        <v>615</v>
      </c>
    </row>
    <row r="5388" spans="1:19" x14ac:dyDescent="0.2">
      <c r="A5388" t="s">
        <v>5999</v>
      </c>
      <c r="B5388" t="s">
        <v>90</v>
      </c>
      <c r="C5388" t="s">
        <v>614</v>
      </c>
      <c r="D5388">
        <v>1330.77</v>
      </c>
      <c r="E5388" s="37" t="str">
        <f t="shared" si="420"/>
        <v xml:space="preserve"> </v>
      </c>
      <c r="F5388">
        <v>0.46</v>
      </c>
      <c r="G5388" s="37" t="str">
        <f t="shared" si="421"/>
        <v>Heavy Discount</v>
      </c>
      <c r="H5388" s="37" t="str">
        <f t="shared" si="422"/>
        <v>High</v>
      </c>
      <c r="I5388">
        <v>3</v>
      </c>
      <c r="J5388" t="str" cm="1">
        <f t="array" ref="J5388">_xlfn.IFS(I5388&lt;=3,"small",I5388&lt;=6,"Medium",I5388&lt;=9,"Large")</f>
        <v>small</v>
      </c>
      <c r="K5388" s="36">
        <v>45154</v>
      </c>
      <c r="L5388" s="36">
        <v>45156</v>
      </c>
      <c r="M5388" t="s">
        <v>603</v>
      </c>
      <c r="N5388" t="s">
        <v>599</v>
      </c>
      <c r="O5388" s="37" t="str">
        <f t="shared" si="423"/>
        <v>Digital Payment</v>
      </c>
      <c r="P5388">
        <v>207.51</v>
      </c>
      <c r="Q5388" s="37" t="str">
        <f>IF(P5388&gt;500,"High","low")</f>
        <v>low</v>
      </c>
      <c r="R5388" s="37" t="str">
        <f t="shared" si="424"/>
        <v>AVERAGE</v>
      </c>
      <c r="S5388" t="s">
        <v>628</v>
      </c>
    </row>
    <row r="5389" spans="1:19" x14ac:dyDescent="0.2">
      <c r="A5389" t="s">
        <v>6000</v>
      </c>
      <c r="B5389" t="s">
        <v>75</v>
      </c>
      <c r="C5389" t="s">
        <v>597</v>
      </c>
      <c r="D5389">
        <v>4949.2299999999996</v>
      </c>
      <c r="E5389" s="37" t="str">
        <f t="shared" si="420"/>
        <v>Excellent Order</v>
      </c>
      <c r="F5389">
        <v>0.02</v>
      </c>
      <c r="G5389" s="37" t="str">
        <f t="shared" si="421"/>
        <v>Normal Discount</v>
      </c>
      <c r="H5389" s="37" t="str">
        <f t="shared" si="422"/>
        <v>Low</v>
      </c>
      <c r="I5389">
        <v>7</v>
      </c>
      <c r="J5389" t="str" cm="1">
        <f t="array" ref="J5389">_xlfn.IFS(I5389&lt;=3,"small",I5389&lt;=6,"Medium",I5389&lt;=9,"Large")</f>
        <v>Large</v>
      </c>
      <c r="K5389" s="36">
        <v>45623</v>
      </c>
      <c r="L5389" s="36">
        <v>45626</v>
      </c>
      <c r="M5389" t="s">
        <v>598</v>
      </c>
      <c r="N5389" t="s">
        <v>599</v>
      </c>
      <c r="O5389" s="37" t="str">
        <f t="shared" si="423"/>
        <v>Digital Payment</v>
      </c>
      <c r="P5389">
        <v>1071.71</v>
      </c>
      <c r="Q5389" s="37" t="str">
        <f>IF(P5389&gt;500,"High","low")</f>
        <v>High</v>
      </c>
      <c r="R5389" s="37" t="str">
        <f t="shared" si="424"/>
        <v>Excellent</v>
      </c>
      <c r="S5389" t="s">
        <v>628</v>
      </c>
    </row>
    <row r="5390" spans="1:19" x14ac:dyDescent="0.2">
      <c r="A5390" t="s">
        <v>6001</v>
      </c>
      <c r="B5390" t="s">
        <v>67</v>
      </c>
      <c r="C5390" t="s">
        <v>617</v>
      </c>
      <c r="D5390">
        <v>3378.94</v>
      </c>
      <c r="E5390" s="37" t="str">
        <f t="shared" si="420"/>
        <v xml:space="preserve"> </v>
      </c>
      <c r="F5390">
        <v>0.12</v>
      </c>
      <c r="G5390" s="37" t="str">
        <f t="shared" si="421"/>
        <v>Normal Discount</v>
      </c>
      <c r="H5390" s="37" t="str">
        <f t="shared" si="422"/>
        <v>Low</v>
      </c>
      <c r="I5390">
        <v>6</v>
      </c>
      <c r="J5390" t="str" cm="1">
        <f t="array" ref="J5390">_xlfn.IFS(I5390&lt;=3,"small",I5390&lt;=6,"Medium",I5390&lt;=9,"Large")</f>
        <v>Medium</v>
      </c>
      <c r="K5390" s="36">
        <v>45008</v>
      </c>
      <c r="L5390" s="36">
        <v>45013</v>
      </c>
      <c r="M5390" t="s">
        <v>603</v>
      </c>
      <c r="N5390" t="s">
        <v>604</v>
      </c>
      <c r="O5390" s="37" t="str">
        <f t="shared" si="423"/>
        <v>Digital Payment</v>
      </c>
      <c r="P5390">
        <v>251.47</v>
      </c>
      <c r="Q5390" s="37" t="str">
        <f>IF(P5390&gt;500,"High","low")</f>
        <v>low</v>
      </c>
      <c r="R5390" s="37" t="str">
        <f t="shared" si="424"/>
        <v>AVERAGE</v>
      </c>
      <c r="S5390" t="s">
        <v>605</v>
      </c>
    </row>
    <row r="5391" spans="1:19" x14ac:dyDescent="0.2">
      <c r="A5391" t="s">
        <v>6002</v>
      </c>
      <c r="B5391" t="s">
        <v>83</v>
      </c>
      <c r="C5391" t="s">
        <v>602</v>
      </c>
      <c r="D5391">
        <v>1501.89</v>
      </c>
      <c r="E5391" s="37" t="str">
        <f t="shared" si="420"/>
        <v xml:space="preserve"> </v>
      </c>
      <c r="F5391">
        <v>0.18</v>
      </c>
      <c r="G5391" s="37" t="str">
        <f t="shared" si="421"/>
        <v>Normal Discount</v>
      </c>
      <c r="H5391" s="37" t="str">
        <f t="shared" si="422"/>
        <v>Low</v>
      </c>
      <c r="I5391">
        <v>5</v>
      </c>
      <c r="J5391" t="str" cm="1">
        <f t="array" ref="J5391">_xlfn.IFS(I5391&lt;=3,"small",I5391&lt;=6,"Medium",I5391&lt;=9,"Large")</f>
        <v>Medium</v>
      </c>
      <c r="K5391" s="36">
        <v>45599</v>
      </c>
      <c r="L5391" s="36">
        <v>45604</v>
      </c>
      <c r="M5391" t="s">
        <v>612</v>
      </c>
      <c r="N5391" t="s">
        <v>599</v>
      </c>
      <c r="O5391" s="37" t="str">
        <f t="shared" si="423"/>
        <v>Digital Payment</v>
      </c>
      <c r="P5391">
        <v>393.41</v>
      </c>
      <c r="Q5391" s="37" t="str">
        <f>IF(P5391&gt;500,"High","low")</f>
        <v>low</v>
      </c>
      <c r="R5391" s="37" t="str">
        <f t="shared" si="424"/>
        <v>AVERAGE</v>
      </c>
      <c r="S5391" t="s">
        <v>609</v>
      </c>
    </row>
    <row r="5392" spans="1:19" x14ac:dyDescent="0.2">
      <c r="A5392" t="s">
        <v>6003</v>
      </c>
      <c r="B5392" t="s">
        <v>67</v>
      </c>
      <c r="C5392" t="s">
        <v>602</v>
      </c>
      <c r="D5392">
        <v>3437.08</v>
      </c>
      <c r="E5392" s="37" t="str">
        <f t="shared" si="420"/>
        <v xml:space="preserve"> </v>
      </c>
      <c r="F5392">
        <v>0.08</v>
      </c>
      <c r="G5392" s="37" t="str">
        <f t="shared" si="421"/>
        <v>Normal Discount</v>
      </c>
      <c r="H5392" s="37" t="str">
        <f t="shared" si="422"/>
        <v>Low</v>
      </c>
      <c r="I5392">
        <v>9</v>
      </c>
      <c r="J5392" t="str" cm="1">
        <f t="array" ref="J5392">_xlfn.IFS(I5392&lt;=3,"small",I5392&lt;=6,"Medium",I5392&lt;=9,"Large")</f>
        <v>Large</v>
      </c>
      <c r="K5392" s="36">
        <v>45115</v>
      </c>
      <c r="L5392" s="36">
        <v>45116</v>
      </c>
      <c r="M5392" t="s">
        <v>612</v>
      </c>
      <c r="N5392" t="s">
        <v>604</v>
      </c>
      <c r="O5392" s="37" t="str">
        <f t="shared" si="423"/>
        <v>Digital Payment</v>
      </c>
      <c r="P5392">
        <v>915.64</v>
      </c>
      <c r="Q5392" s="37" t="str">
        <f>IF(P5392&gt;500,"High","low")</f>
        <v>High</v>
      </c>
      <c r="R5392" s="37" t="str">
        <f t="shared" si="424"/>
        <v>Good</v>
      </c>
      <c r="S5392" t="s">
        <v>628</v>
      </c>
    </row>
    <row r="5393" spans="1:19" x14ac:dyDescent="0.2">
      <c r="A5393" t="s">
        <v>6004</v>
      </c>
      <c r="B5393" t="s">
        <v>83</v>
      </c>
      <c r="C5393" t="s">
        <v>602</v>
      </c>
      <c r="D5393">
        <v>3364.62</v>
      </c>
      <c r="E5393" s="37" t="str">
        <f t="shared" si="420"/>
        <v xml:space="preserve"> </v>
      </c>
      <c r="F5393">
        <v>0.41</v>
      </c>
      <c r="G5393" s="37" t="str">
        <f t="shared" si="421"/>
        <v>Heavy Discount</v>
      </c>
      <c r="H5393" s="37" t="str">
        <f t="shared" si="422"/>
        <v>High</v>
      </c>
      <c r="I5393">
        <v>5</v>
      </c>
      <c r="J5393" t="str" cm="1">
        <f t="array" ref="J5393">_xlfn.IFS(I5393&lt;=3,"small",I5393&lt;=6,"Medium",I5393&lt;=9,"Large")</f>
        <v>Medium</v>
      </c>
      <c r="K5393" s="36">
        <v>44944</v>
      </c>
      <c r="L5393" s="36">
        <v>44945</v>
      </c>
      <c r="M5393" t="s">
        <v>603</v>
      </c>
      <c r="N5393" t="s">
        <v>599</v>
      </c>
      <c r="O5393" s="37" t="str">
        <f t="shared" si="423"/>
        <v>Digital Payment</v>
      </c>
      <c r="P5393">
        <v>305.32</v>
      </c>
      <c r="Q5393" s="37" t="str">
        <f>IF(P5393&gt;500,"High","low")</f>
        <v>low</v>
      </c>
      <c r="R5393" s="37" t="str">
        <f t="shared" si="424"/>
        <v>AVERAGE</v>
      </c>
      <c r="S5393" t="s">
        <v>605</v>
      </c>
    </row>
    <row r="5394" spans="1:19" x14ac:dyDescent="0.2">
      <c r="A5394" t="s">
        <v>6005</v>
      </c>
      <c r="B5394" t="s">
        <v>83</v>
      </c>
      <c r="C5394" t="s">
        <v>617</v>
      </c>
      <c r="D5394">
        <v>3070.35</v>
      </c>
      <c r="E5394" s="37" t="str">
        <f t="shared" si="420"/>
        <v xml:space="preserve"> </v>
      </c>
      <c r="F5394">
        <v>0.38</v>
      </c>
      <c r="G5394" s="37" t="str">
        <f t="shared" si="421"/>
        <v>Heavy Discount</v>
      </c>
      <c r="H5394" s="37" t="str">
        <f t="shared" si="422"/>
        <v>Medium</v>
      </c>
      <c r="I5394">
        <v>5</v>
      </c>
      <c r="J5394" t="str" cm="1">
        <f t="array" ref="J5394">_xlfn.IFS(I5394&lt;=3,"small",I5394&lt;=6,"Medium",I5394&lt;=9,"Large")</f>
        <v>Medium</v>
      </c>
      <c r="K5394" s="36">
        <v>44933</v>
      </c>
      <c r="L5394" s="36">
        <v>44937</v>
      </c>
      <c r="M5394" t="s">
        <v>612</v>
      </c>
      <c r="N5394" t="s">
        <v>599</v>
      </c>
      <c r="O5394" s="37" t="str">
        <f t="shared" si="423"/>
        <v>Digital Payment</v>
      </c>
      <c r="P5394">
        <v>640.79999999999995</v>
      </c>
      <c r="Q5394" s="37" t="str">
        <f>IF(P5394&gt;500,"High","low")</f>
        <v>High</v>
      </c>
      <c r="R5394" s="37" t="str">
        <f t="shared" si="424"/>
        <v>Good</v>
      </c>
      <c r="S5394" t="s">
        <v>600</v>
      </c>
    </row>
    <row r="5395" spans="1:19" x14ac:dyDescent="0.2">
      <c r="A5395" t="s">
        <v>6006</v>
      </c>
      <c r="B5395" t="s">
        <v>75</v>
      </c>
      <c r="C5395" t="s">
        <v>617</v>
      </c>
      <c r="D5395">
        <v>3587.31</v>
      </c>
      <c r="E5395" s="37" t="str">
        <f t="shared" si="420"/>
        <v xml:space="preserve"> </v>
      </c>
      <c r="F5395">
        <v>0.39</v>
      </c>
      <c r="G5395" s="37" t="str">
        <f t="shared" si="421"/>
        <v>Heavy Discount</v>
      </c>
      <c r="H5395" s="37" t="str">
        <f t="shared" si="422"/>
        <v>Medium</v>
      </c>
      <c r="I5395">
        <v>8</v>
      </c>
      <c r="J5395" t="str" cm="1">
        <f t="array" ref="J5395">_xlfn.IFS(I5395&lt;=3,"small",I5395&lt;=6,"Medium",I5395&lt;=9,"Large")</f>
        <v>Large</v>
      </c>
      <c r="K5395" s="36">
        <v>45211</v>
      </c>
      <c r="L5395" s="36">
        <v>45218</v>
      </c>
      <c r="M5395" t="s">
        <v>603</v>
      </c>
      <c r="N5395" t="s">
        <v>599</v>
      </c>
      <c r="O5395" s="37" t="str">
        <f t="shared" si="423"/>
        <v>Digital Payment</v>
      </c>
      <c r="P5395">
        <v>798.5</v>
      </c>
      <c r="Q5395" s="37" t="str">
        <f>IF(P5395&gt;500,"High","low")</f>
        <v>High</v>
      </c>
      <c r="R5395" s="37" t="str">
        <f t="shared" si="424"/>
        <v>Good</v>
      </c>
      <c r="S5395" t="s">
        <v>620</v>
      </c>
    </row>
    <row r="5396" spans="1:19" x14ac:dyDescent="0.2">
      <c r="A5396" t="s">
        <v>6007</v>
      </c>
      <c r="B5396" t="s">
        <v>67</v>
      </c>
      <c r="C5396" t="s">
        <v>607</v>
      </c>
      <c r="D5396">
        <v>1414.75</v>
      </c>
      <c r="E5396" s="37" t="str">
        <f t="shared" si="420"/>
        <v xml:space="preserve"> </v>
      </c>
      <c r="F5396">
        <v>0.15</v>
      </c>
      <c r="G5396" s="37" t="str">
        <f t="shared" si="421"/>
        <v>Normal Discount</v>
      </c>
      <c r="H5396" s="37" t="str">
        <f t="shared" si="422"/>
        <v>Low</v>
      </c>
      <c r="I5396">
        <v>7</v>
      </c>
      <c r="J5396" t="str" cm="1">
        <f t="array" ref="J5396">_xlfn.IFS(I5396&lt;=3,"small",I5396&lt;=6,"Medium",I5396&lt;=9,"Large")</f>
        <v>Large</v>
      </c>
      <c r="K5396" s="36">
        <v>45123</v>
      </c>
      <c r="L5396" s="36">
        <v>45126</v>
      </c>
      <c r="M5396" t="s">
        <v>603</v>
      </c>
      <c r="N5396" t="s">
        <v>599</v>
      </c>
      <c r="O5396" s="37" t="str">
        <f t="shared" si="423"/>
        <v>Digital Payment</v>
      </c>
      <c r="P5396">
        <v>132.19999999999999</v>
      </c>
      <c r="Q5396" s="37" t="str">
        <f>IF(P5396&gt;500,"High","low")</f>
        <v>low</v>
      </c>
      <c r="R5396" s="37" t="str">
        <f t="shared" si="424"/>
        <v>AVERAGE</v>
      </c>
      <c r="S5396" t="s">
        <v>600</v>
      </c>
    </row>
    <row r="5397" spans="1:19" x14ac:dyDescent="0.2">
      <c r="A5397" t="s">
        <v>6008</v>
      </c>
      <c r="B5397" t="s">
        <v>90</v>
      </c>
      <c r="C5397" t="s">
        <v>597</v>
      </c>
      <c r="D5397">
        <v>4897.03</v>
      </c>
      <c r="E5397" s="37" t="str">
        <f t="shared" si="420"/>
        <v xml:space="preserve"> </v>
      </c>
      <c r="F5397">
        <v>0.38</v>
      </c>
      <c r="G5397" s="37" t="str">
        <f t="shared" si="421"/>
        <v>Heavy Discount</v>
      </c>
      <c r="H5397" s="37" t="str">
        <f t="shared" si="422"/>
        <v>Medium</v>
      </c>
      <c r="I5397">
        <v>1</v>
      </c>
      <c r="J5397" t="str" cm="1">
        <f t="array" ref="J5397">_xlfn.IFS(I5397&lt;=3,"small",I5397&lt;=6,"Medium",I5397&lt;=9,"Large")</f>
        <v>small</v>
      </c>
      <c r="K5397" s="36">
        <v>45326</v>
      </c>
      <c r="L5397" s="36">
        <v>45327</v>
      </c>
      <c r="M5397" t="s">
        <v>598</v>
      </c>
      <c r="N5397" t="s">
        <v>604</v>
      </c>
      <c r="O5397" s="37" t="str">
        <f t="shared" si="423"/>
        <v>Digital Payment</v>
      </c>
      <c r="P5397">
        <v>703.69</v>
      </c>
      <c r="Q5397" s="37" t="str">
        <f>IF(P5397&gt;500,"High","low")</f>
        <v>High</v>
      </c>
      <c r="R5397" s="37" t="str">
        <f t="shared" si="424"/>
        <v>Good</v>
      </c>
      <c r="S5397" t="s">
        <v>628</v>
      </c>
    </row>
    <row r="5398" spans="1:19" x14ac:dyDescent="0.2">
      <c r="A5398" t="s">
        <v>6009</v>
      </c>
      <c r="B5398" t="s">
        <v>67</v>
      </c>
      <c r="C5398" t="s">
        <v>597</v>
      </c>
      <c r="D5398">
        <v>4303.6899999999996</v>
      </c>
      <c r="E5398" s="37" t="str">
        <f t="shared" si="420"/>
        <v>Excellent Order</v>
      </c>
      <c r="F5398">
        <v>0.06</v>
      </c>
      <c r="G5398" s="37" t="str">
        <f t="shared" si="421"/>
        <v>Normal Discount</v>
      </c>
      <c r="H5398" s="37" t="str">
        <f t="shared" si="422"/>
        <v>Low</v>
      </c>
      <c r="I5398">
        <v>2</v>
      </c>
      <c r="J5398" t="str" cm="1">
        <f t="array" ref="J5398">_xlfn.IFS(I5398&lt;=3,"small",I5398&lt;=6,"Medium",I5398&lt;=9,"Large")</f>
        <v>small</v>
      </c>
      <c r="K5398" s="36">
        <v>45000</v>
      </c>
      <c r="L5398" s="36">
        <v>45005</v>
      </c>
      <c r="M5398" t="s">
        <v>598</v>
      </c>
      <c r="N5398" t="s">
        <v>608</v>
      </c>
      <c r="O5398" s="37" t="str">
        <f t="shared" si="423"/>
        <v>Cash Payment</v>
      </c>
      <c r="P5398">
        <v>960.01</v>
      </c>
      <c r="Q5398" s="37" t="str">
        <f>IF(P5398&gt;500,"High","low")</f>
        <v>High</v>
      </c>
      <c r="R5398" s="37" t="str">
        <f t="shared" si="424"/>
        <v>Good</v>
      </c>
      <c r="S5398" t="s">
        <v>600</v>
      </c>
    </row>
    <row r="5399" spans="1:19" x14ac:dyDescent="0.2">
      <c r="A5399" t="s">
        <v>6010</v>
      </c>
      <c r="B5399" t="s">
        <v>67</v>
      </c>
      <c r="C5399" t="s">
        <v>607</v>
      </c>
      <c r="D5399">
        <v>3754.13</v>
      </c>
      <c r="E5399" s="37" t="str">
        <f t="shared" si="420"/>
        <v xml:space="preserve"> </v>
      </c>
      <c r="F5399">
        <v>0.05</v>
      </c>
      <c r="G5399" s="37" t="str">
        <f t="shared" si="421"/>
        <v>Normal Discount</v>
      </c>
      <c r="H5399" s="37" t="str">
        <f t="shared" si="422"/>
        <v>Low</v>
      </c>
      <c r="I5399">
        <v>4</v>
      </c>
      <c r="J5399" t="str" cm="1">
        <f t="array" ref="J5399">_xlfn.IFS(I5399&lt;=3,"small",I5399&lt;=6,"Medium",I5399&lt;=9,"Large")</f>
        <v>Medium</v>
      </c>
      <c r="K5399" s="36">
        <v>45339</v>
      </c>
      <c r="L5399" s="36">
        <v>45342</v>
      </c>
      <c r="M5399" t="s">
        <v>612</v>
      </c>
      <c r="N5399" t="s">
        <v>608</v>
      </c>
      <c r="O5399" s="37" t="str">
        <f t="shared" si="423"/>
        <v>Cash Payment</v>
      </c>
      <c r="P5399">
        <v>819.39</v>
      </c>
      <c r="Q5399" s="37" t="str">
        <f>IF(P5399&gt;500,"High","low")</f>
        <v>High</v>
      </c>
      <c r="R5399" s="37" t="str">
        <f t="shared" si="424"/>
        <v>Good</v>
      </c>
      <c r="S5399" t="s">
        <v>628</v>
      </c>
    </row>
    <row r="5400" spans="1:19" x14ac:dyDescent="0.2">
      <c r="A5400" t="s">
        <v>6011</v>
      </c>
      <c r="B5400" t="s">
        <v>90</v>
      </c>
      <c r="C5400" t="s">
        <v>602</v>
      </c>
      <c r="D5400">
        <v>228.89</v>
      </c>
      <c r="E5400" s="37" t="str">
        <f t="shared" si="420"/>
        <v xml:space="preserve"> </v>
      </c>
      <c r="F5400">
        <v>0.28999999999999998</v>
      </c>
      <c r="G5400" s="37" t="str">
        <f t="shared" si="421"/>
        <v>Normal Discount</v>
      </c>
      <c r="H5400" s="37" t="str">
        <f t="shared" si="422"/>
        <v>Medium</v>
      </c>
      <c r="I5400">
        <v>9</v>
      </c>
      <c r="J5400" t="str" cm="1">
        <f t="array" ref="J5400">_xlfn.IFS(I5400&lt;=3,"small",I5400&lt;=6,"Medium",I5400&lt;=9,"Large")</f>
        <v>Large</v>
      </c>
      <c r="K5400" s="36">
        <v>45339</v>
      </c>
      <c r="L5400" s="36">
        <v>45344</v>
      </c>
      <c r="M5400" t="s">
        <v>598</v>
      </c>
      <c r="N5400" t="s">
        <v>608</v>
      </c>
      <c r="O5400" s="37" t="str">
        <f t="shared" si="423"/>
        <v>Cash Payment</v>
      </c>
      <c r="P5400">
        <v>59.44</v>
      </c>
      <c r="Q5400" s="37" t="str">
        <f>IF(P5400&gt;500,"High","low")</f>
        <v>low</v>
      </c>
      <c r="R5400" s="37" t="str">
        <f t="shared" si="424"/>
        <v>AVERAGE</v>
      </c>
      <c r="S5400" t="s">
        <v>609</v>
      </c>
    </row>
    <row r="5401" spans="1:19" x14ac:dyDescent="0.2">
      <c r="A5401" t="s">
        <v>6012</v>
      </c>
      <c r="B5401" t="s">
        <v>75</v>
      </c>
      <c r="C5401" t="s">
        <v>597</v>
      </c>
      <c r="D5401">
        <v>2992.89</v>
      </c>
      <c r="E5401" s="37" t="str">
        <f t="shared" si="420"/>
        <v xml:space="preserve"> </v>
      </c>
      <c r="F5401">
        <v>0.02</v>
      </c>
      <c r="G5401" s="37" t="str">
        <f t="shared" si="421"/>
        <v>Normal Discount</v>
      </c>
      <c r="H5401" s="37" t="str">
        <f t="shared" si="422"/>
        <v>Low</v>
      </c>
      <c r="I5401">
        <v>7</v>
      </c>
      <c r="J5401" t="str" cm="1">
        <f t="array" ref="J5401">_xlfn.IFS(I5401&lt;=3,"small",I5401&lt;=6,"Medium",I5401&lt;=9,"Large")</f>
        <v>Large</v>
      </c>
      <c r="K5401" s="36">
        <v>44942</v>
      </c>
      <c r="L5401" s="36">
        <v>44947</v>
      </c>
      <c r="M5401" t="s">
        <v>612</v>
      </c>
      <c r="N5401" t="s">
        <v>599</v>
      </c>
      <c r="O5401" s="37" t="str">
        <f t="shared" si="423"/>
        <v>Digital Payment</v>
      </c>
      <c r="P5401">
        <v>248.8</v>
      </c>
      <c r="Q5401" s="37" t="str">
        <f>IF(P5401&gt;500,"High","low")</f>
        <v>low</v>
      </c>
      <c r="R5401" s="37" t="str">
        <f t="shared" si="424"/>
        <v>AVERAGE</v>
      </c>
      <c r="S5401" t="s">
        <v>605</v>
      </c>
    </row>
    <row r="5402" spans="1:19" x14ac:dyDescent="0.2">
      <c r="A5402" t="s">
        <v>6013</v>
      </c>
      <c r="B5402" t="s">
        <v>67</v>
      </c>
      <c r="C5402" t="s">
        <v>597</v>
      </c>
      <c r="D5402">
        <v>3561.77</v>
      </c>
      <c r="E5402" s="37" t="str">
        <f t="shared" si="420"/>
        <v xml:space="preserve"> </v>
      </c>
      <c r="F5402">
        <v>0.47</v>
      </c>
      <c r="G5402" s="37" t="str">
        <f t="shared" si="421"/>
        <v>Heavy Discount</v>
      </c>
      <c r="H5402" s="37" t="str">
        <f t="shared" si="422"/>
        <v>High</v>
      </c>
      <c r="I5402">
        <v>2</v>
      </c>
      <c r="J5402" t="str" cm="1">
        <f t="array" ref="J5402">_xlfn.IFS(I5402&lt;=3,"small",I5402&lt;=6,"Medium",I5402&lt;=9,"Large")</f>
        <v>small</v>
      </c>
      <c r="K5402" s="36">
        <v>45186</v>
      </c>
      <c r="L5402" s="36">
        <v>45191</v>
      </c>
      <c r="M5402" t="s">
        <v>612</v>
      </c>
      <c r="N5402" t="s">
        <v>608</v>
      </c>
      <c r="O5402" s="37" t="str">
        <f t="shared" si="423"/>
        <v>Cash Payment</v>
      </c>
      <c r="P5402">
        <v>465.57</v>
      </c>
      <c r="Q5402" s="37" t="str">
        <f>IF(P5402&gt;500,"High","low")</f>
        <v>low</v>
      </c>
      <c r="R5402" s="37" t="str">
        <f t="shared" si="424"/>
        <v>AVERAGE</v>
      </c>
      <c r="S5402" t="s">
        <v>609</v>
      </c>
    </row>
    <row r="5403" spans="1:19" x14ac:dyDescent="0.2">
      <c r="A5403" t="s">
        <v>6014</v>
      </c>
      <c r="B5403" t="s">
        <v>67</v>
      </c>
      <c r="C5403" t="s">
        <v>602</v>
      </c>
      <c r="D5403">
        <v>4285.09</v>
      </c>
      <c r="E5403" s="37" t="str">
        <f t="shared" si="420"/>
        <v>Excellent Order</v>
      </c>
      <c r="F5403">
        <v>0.16</v>
      </c>
      <c r="G5403" s="37" t="str">
        <f t="shared" si="421"/>
        <v>Normal Discount</v>
      </c>
      <c r="H5403" s="37" t="str">
        <f t="shared" si="422"/>
        <v>Low</v>
      </c>
      <c r="I5403">
        <v>8</v>
      </c>
      <c r="J5403" t="str" cm="1">
        <f t="array" ref="J5403">_xlfn.IFS(I5403&lt;=3,"small",I5403&lt;=6,"Medium",I5403&lt;=9,"Large")</f>
        <v>Large</v>
      </c>
      <c r="K5403" s="36">
        <v>44991</v>
      </c>
      <c r="L5403" s="36">
        <v>44993</v>
      </c>
      <c r="M5403" t="s">
        <v>612</v>
      </c>
      <c r="N5403" t="s">
        <v>604</v>
      </c>
      <c r="O5403" s="37" t="str">
        <f t="shared" si="423"/>
        <v>Digital Payment</v>
      </c>
      <c r="P5403">
        <v>1020.76</v>
      </c>
      <c r="Q5403" s="37" t="str">
        <f>IF(P5403&gt;500,"High","low")</f>
        <v>High</v>
      </c>
      <c r="R5403" s="37" t="str">
        <f t="shared" si="424"/>
        <v>Excellent</v>
      </c>
      <c r="S5403" t="s">
        <v>605</v>
      </c>
    </row>
    <row r="5404" spans="1:19" x14ac:dyDescent="0.2">
      <c r="A5404" t="s">
        <v>6015</v>
      </c>
      <c r="B5404" t="s">
        <v>83</v>
      </c>
      <c r="C5404" t="s">
        <v>614</v>
      </c>
      <c r="D5404">
        <v>4736.17</v>
      </c>
      <c r="E5404" s="37" t="str">
        <f t="shared" si="420"/>
        <v xml:space="preserve"> </v>
      </c>
      <c r="F5404">
        <v>0.24</v>
      </c>
      <c r="G5404" s="37" t="str">
        <f t="shared" si="421"/>
        <v>Normal Discount</v>
      </c>
      <c r="H5404" s="37" t="str">
        <f t="shared" si="422"/>
        <v>Medium</v>
      </c>
      <c r="I5404">
        <v>1</v>
      </c>
      <c r="J5404" t="str" cm="1">
        <f t="array" ref="J5404">_xlfn.IFS(I5404&lt;=3,"small",I5404&lt;=6,"Medium",I5404&lt;=9,"Large")</f>
        <v>small</v>
      </c>
      <c r="K5404" s="36">
        <v>44998</v>
      </c>
      <c r="L5404" s="36">
        <v>45003</v>
      </c>
      <c r="M5404" t="s">
        <v>612</v>
      </c>
      <c r="N5404" t="s">
        <v>604</v>
      </c>
      <c r="O5404" s="37" t="str">
        <f t="shared" si="423"/>
        <v>Digital Payment</v>
      </c>
      <c r="P5404">
        <v>531.33000000000004</v>
      </c>
      <c r="Q5404" s="37" t="str">
        <f>IF(P5404&gt;500,"High","low")</f>
        <v>High</v>
      </c>
      <c r="R5404" s="37" t="str">
        <f t="shared" si="424"/>
        <v>Good</v>
      </c>
      <c r="S5404" t="s">
        <v>605</v>
      </c>
    </row>
    <row r="5405" spans="1:19" x14ac:dyDescent="0.2">
      <c r="A5405" t="s">
        <v>6016</v>
      </c>
      <c r="B5405" t="s">
        <v>67</v>
      </c>
      <c r="C5405" t="s">
        <v>614</v>
      </c>
      <c r="D5405">
        <v>4587.68</v>
      </c>
      <c r="E5405" s="37" t="str">
        <f t="shared" si="420"/>
        <v>Excellent Order</v>
      </c>
      <c r="F5405">
        <v>0.41</v>
      </c>
      <c r="G5405" s="37" t="str">
        <f t="shared" si="421"/>
        <v>Heavy Discount</v>
      </c>
      <c r="H5405" s="37" t="str">
        <f t="shared" si="422"/>
        <v>High</v>
      </c>
      <c r="I5405">
        <v>8</v>
      </c>
      <c r="J5405" t="str" cm="1">
        <f t="array" ref="J5405">_xlfn.IFS(I5405&lt;=3,"small",I5405&lt;=6,"Medium",I5405&lt;=9,"Large")</f>
        <v>Large</v>
      </c>
      <c r="K5405" s="36">
        <v>45567</v>
      </c>
      <c r="L5405" s="36">
        <v>45569</v>
      </c>
      <c r="M5405" t="s">
        <v>603</v>
      </c>
      <c r="N5405" t="s">
        <v>604</v>
      </c>
      <c r="O5405" s="37" t="str">
        <f t="shared" si="423"/>
        <v>Digital Payment</v>
      </c>
      <c r="P5405">
        <v>845.38</v>
      </c>
      <c r="Q5405" s="37" t="str">
        <f>IF(P5405&gt;500,"High","low")</f>
        <v>High</v>
      </c>
      <c r="R5405" s="37" t="str">
        <f t="shared" si="424"/>
        <v>Good</v>
      </c>
      <c r="S5405" t="s">
        <v>605</v>
      </c>
    </row>
    <row r="5406" spans="1:19" x14ac:dyDescent="0.2">
      <c r="A5406" t="s">
        <v>6017</v>
      </c>
      <c r="B5406" t="s">
        <v>90</v>
      </c>
      <c r="C5406" t="s">
        <v>607</v>
      </c>
      <c r="D5406">
        <v>2089.62</v>
      </c>
      <c r="E5406" s="37" t="str">
        <f t="shared" si="420"/>
        <v xml:space="preserve"> </v>
      </c>
      <c r="F5406">
        <v>0.2</v>
      </c>
      <c r="G5406" s="37" t="str">
        <f t="shared" si="421"/>
        <v>Normal Discount</v>
      </c>
      <c r="H5406" s="37" t="str">
        <f t="shared" si="422"/>
        <v>Medium</v>
      </c>
      <c r="I5406">
        <v>5</v>
      </c>
      <c r="J5406" t="str" cm="1">
        <f t="array" ref="J5406">_xlfn.IFS(I5406&lt;=3,"small",I5406&lt;=6,"Medium",I5406&lt;=9,"Large")</f>
        <v>Medium</v>
      </c>
      <c r="K5406" s="36">
        <v>45432</v>
      </c>
      <c r="L5406" s="36">
        <v>45433</v>
      </c>
      <c r="M5406" t="s">
        <v>603</v>
      </c>
      <c r="N5406" t="s">
        <v>608</v>
      </c>
      <c r="O5406" s="37" t="str">
        <f t="shared" si="423"/>
        <v>Cash Payment</v>
      </c>
      <c r="P5406">
        <v>176.2</v>
      </c>
      <c r="Q5406" s="37" t="str">
        <f>IF(P5406&gt;500,"High","low")</f>
        <v>low</v>
      </c>
      <c r="R5406" s="37" t="str">
        <f t="shared" si="424"/>
        <v>AVERAGE</v>
      </c>
      <c r="S5406" t="s">
        <v>628</v>
      </c>
    </row>
    <row r="5407" spans="1:19" x14ac:dyDescent="0.2">
      <c r="A5407" t="s">
        <v>6018</v>
      </c>
      <c r="B5407" t="s">
        <v>83</v>
      </c>
      <c r="C5407" t="s">
        <v>617</v>
      </c>
      <c r="D5407">
        <v>4492.8599999999997</v>
      </c>
      <c r="E5407" s="37" t="str">
        <f t="shared" si="420"/>
        <v xml:space="preserve"> </v>
      </c>
      <c r="F5407">
        <v>0.22</v>
      </c>
      <c r="G5407" s="37" t="str">
        <f t="shared" si="421"/>
        <v>Normal Discount</v>
      </c>
      <c r="H5407" s="37" t="str">
        <f t="shared" si="422"/>
        <v>Medium</v>
      </c>
      <c r="I5407">
        <v>1</v>
      </c>
      <c r="J5407" t="str" cm="1">
        <f t="array" ref="J5407">_xlfn.IFS(I5407&lt;=3,"small",I5407&lt;=6,"Medium",I5407&lt;=9,"Large")</f>
        <v>small</v>
      </c>
      <c r="K5407" s="36">
        <v>45057</v>
      </c>
      <c r="L5407" s="36">
        <v>45062</v>
      </c>
      <c r="M5407" t="s">
        <v>598</v>
      </c>
      <c r="N5407" t="s">
        <v>604</v>
      </c>
      <c r="O5407" s="37" t="str">
        <f t="shared" si="423"/>
        <v>Digital Payment</v>
      </c>
      <c r="P5407">
        <v>401.03</v>
      </c>
      <c r="Q5407" s="37" t="str">
        <f>IF(P5407&gt;500,"High","low")</f>
        <v>low</v>
      </c>
      <c r="R5407" s="37" t="str">
        <f t="shared" si="424"/>
        <v>AVERAGE</v>
      </c>
      <c r="S5407" t="s">
        <v>600</v>
      </c>
    </row>
    <row r="5408" spans="1:19" x14ac:dyDescent="0.2">
      <c r="A5408" t="s">
        <v>6019</v>
      </c>
      <c r="B5408" t="s">
        <v>75</v>
      </c>
      <c r="C5408" t="s">
        <v>597</v>
      </c>
      <c r="D5408">
        <v>103.67</v>
      </c>
      <c r="E5408" s="37" t="str">
        <f t="shared" si="420"/>
        <v xml:space="preserve"> </v>
      </c>
      <c r="F5408">
        <v>0.17</v>
      </c>
      <c r="G5408" s="37" t="str">
        <f t="shared" si="421"/>
        <v>Normal Discount</v>
      </c>
      <c r="H5408" s="37" t="str">
        <f t="shared" si="422"/>
        <v>Low</v>
      </c>
      <c r="I5408">
        <v>3</v>
      </c>
      <c r="J5408" t="str" cm="1">
        <f t="array" ref="J5408">_xlfn.IFS(I5408&lt;=3,"small",I5408&lt;=6,"Medium",I5408&lt;=9,"Large")</f>
        <v>small</v>
      </c>
      <c r="K5408" s="36">
        <v>45502</v>
      </c>
      <c r="L5408" s="36">
        <v>45508</v>
      </c>
      <c r="M5408" t="s">
        <v>612</v>
      </c>
      <c r="N5408" t="s">
        <v>599</v>
      </c>
      <c r="O5408" s="37" t="str">
        <f t="shared" si="423"/>
        <v>Digital Payment</v>
      </c>
      <c r="P5408">
        <v>11.82</v>
      </c>
      <c r="Q5408" s="37" t="str">
        <f>IF(P5408&gt;500,"High","low")</f>
        <v>low</v>
      </c>
      <c r="R5408" s="37" t="str">
        <f t="shared" si="424"/>
        <v>AVERAGE</v>
      </c>
      <c r="S5408" t="s">
        <v>620</v>
      </c>
    </row>
    <row r="5409" spans="1:19" x14ac:dyDescent="0.2">
      <c r="A5409" t="s">
        <v>6020</v>
      </c>
      <c r="B5409" t="s">
        <v>83</v>
      </c>
      <c r="C5409" t="s">
        <v>597</v>
      </c>
      <c r="D5409">
        <v>1822.23</v>
      </c>
      <c r="E5409" s="37" t="str">
        <f t="shared" si="420"/>
        <v xml:space="preserve"> </v>
      </c>
      <c r="F5409">
        <v>0.18</v>
      </c>
      <c r="G5409" s="37" t="str">
        <f t="shared" si="421"/>
        <v>Normal Discount</v>
      </c>
      <c r="H5409" s="37" t="str">
        <f t="shared" si="422"/>
        <v>Low</v>
      </c>
      <c r="I5409">
        <v>7</v>
      </c>
      <c r="J5409" t="str" cm="1">
        <f t="array" ref="J5409">_xlfn.IFS(I5409&lt;=3,"small",I5409&lt;=6,"Medium",I5409&lt;=9,"Large")</f>
        <v>Large</v>
      </c>
      <c r="K5409" s="36">
        <v>44992</v>
      </c>
      <c r="L5409" s="36">
        <v>44996</v>
      </c>
      <c r="M5409" t="s">
        <v>603</v>
      </c>
      <c r="N5409" t="s">
        <v>604</v>
      </c>
      <c r="O5409" s="37" t="str">
        <f t="shared" si="423"/>
        <v>Digital Payment</v>
      </c>
      <c r="P5409">
        <v>225.03</v>
      </c>
      <c r="Q5409" s="37" t="str">
        <f>IF(P5409&gt;500,"High","low")</f>
        <v>low</v>
      </c>
      <c r="R5409" s="37" t="str">
        <f t="shared" si="424"/>
        <v>AVERAGE</v>
      </c>
      <c r="S5409" t="s">
        <v>628</v>
      </c>
    </row>
    <row r="5410" spans="1:19" x14ac:dyDescent="0.2">
      <c r="A5410" t="s">
        <v>6021</v>
      </c>
      <c r="B5410" t="s">
        <v>90</v>
      </c>
      <c r="C5410" t="s">
        <v>607</v>
      </c>
      <c r="D5410">
        <v>658.02</v>
      </c>
      <c r="E5410" s="37" t="str">
        <f t="shared" si="420"/>
        <v xml:space="preserve"> </v>
      </c>
      <c r="F5410">
        <v>0.23</v>
      </c>
      <c r="G5410" s="37" t="str">
        <f t="shared" si="421"/>
        <v>Normal Discount</v>
      </c>
      <c r="H5410" s="37" t="str">
        <f t="shared" si="422"/>
        <v>Medium</v>
      </c>
      <c r="I5410">
        <v>7</v>
      </c>
      <c r="J5410" t="str" cm="1">
        <f t="array" ref="J5410">_xlfn.IFS(I5410&lt;=3,"small",I5410&lt;=6,"Medium",I5410&lt;=9,"Large")</f>
        <v>Large</v>
      </c>
      <c r="K5410" s="36">
        <v>45527</v>
      </c>
      <c r="L5410" s="36">
        <v>45533</v>
      </c>
      <c r="M5410" t="s">
        <v>603</v>
      </c>
      <c r="N5410" t="s">
        <v>608</v>
      </c>
      <c r="O5410" s="37" t="str">
        <f t="shared" si="423"/>
        <v>Cash Payment</v>
      </c>
      <c r="P5410">
        <v>39.770000000000003</v>
      </c>
      <c r="Q5410" s="37" t="str">
        <f>IF(P5410&gt;500,"High","low")</f>
        <v>low</v>
      </c>
      <c r="R5410" s="37" t="str">
        <f t="shared" si="424"/>
        <v>AVERAGE</v>
      </c>
      <c r="S5410" t="s">
        <v>609</v>
      </c>
    </row>
    <row r="5411" spans="1:19" x14ac:dyDescent="0.2">
      <c r="A5411" t="s">
        <v>6022</v>
      </c>
      <c r="B5411" t="s">
        <v>90</v>
      </c>
      <c r="C5411" t="s">
        <v>607</v>
      </c>
      <c r="D5411">
        <v>4427.03</v>
      </c>
      <c r="E5411" s="37" t="str">
        <f t="shared" si="420"/>
        <v>Excellent Order</v>
      </c>
      <c r="F5411">
        <v>0.47</v>
      </c>
      <c r="G5411" s="37" t="str">
        <f t="shared" si="421"/>
        <v>Heavy Discount</v>
      </c>
      <c r="H5411" s="37" t="str">
        <f t="shared" si="422"/>
        <v>High</v>
      </c>
      <c r="I5411">
        <v>8</v>
      </c>
      <c r="J5411" t="str" cm="1">
        <f t="array" ref="J5411">_xlfn.IFS(I5411&lt;=3,"small",I5411&lt;=6,"Medium",I5411&lt;=9,"Large")</f>
        <v>Large</v>
      </c>
      <c r="K5411" s="36">
        <v>45283</v>
      </c>
      <c r="L5411" s="36">
        <v>45287</v>
      </c>
      <c r="M5411" t="s">
        <v>603</v>
      </c>
      <c r="N5411" t="s">
        <v>608</v>
      </c>
      <c r="O5411" s="37" t="str">
        <f t="shared" si="423"/>
        <v>Cash Payment</v>
      </c>
      <c r="P5411">
        <v>1168.57</v>
      </c>
      <c r="Q5411" s="37" t="str">
        <f>IF(P5411&gt;500,"High","low")</f>
        <v>High</v>
      </c>
      <c r="R5411" s="37" t="str">
        <f t="shared" si="424"/>
        <v>Excellent</v>
      </c>
      <c r="S5411" t="s">
        <v>605</v>
      </c>
    </row>
    <row r="5412" spans="1:19" x14ac:dyDescent="0.2">
      <c r="A5412" t="s">
        <v>6023</v>
      </c>
      <c r="B5412" t="s">
        <v>83</v>
      </c>
      <c r="C5412" t="s">
        <v>597</v>
      </c>
      <c r="D5412">
        <v>4647.1099999999997</v>
      </c>
      <c r="E5412" s="37" t="str">
        <f t="shared" si="420"/>
        <v xml:space="preserve"> </v>
      </c>
      <c r="F5412">
        <v>0.47</v>
      </c>
      <c r="G5412" s="37" t="str">
        <f t="shared" si="421"/>
        <v>Heavy Discount</v>
      </c>
      <c r="H5412" s="37" t="str">
        <f t="shared" si="422"/>
        <v>High</v>
      </c>
      <c r="I5412">
        <v>4</v>
      </c>
      <c r="J5412" t="str" cm="1">
        <f t="array" ref="J5412">_xlfn.IFS(I5412&lt;=3,"small",I5412&lt;=6,"Medium",I5412&lt;=9,"Large")</f>
        <v>Medium</v>
      </c>
      <c r="K5412" s="36">
        <v>45385</v>
      </c>
      <c r="L5412" s="36">
        <v>45391</v>
      </c>
      <c r="M5412" t="s">
        <v>612</v>
      </c>
      <c r="N5412" t="s">
        <v>608</v>
      </c>
      <c r="O5412" s="37" t="str">
        <f t="shared" si="423"/>
        <v>Cash Payment</v>
      </c>
      <c r="P5412">
        <v>283.39</v>
      </c>
      <c r="Q5412" s="37" t="str">
        <f>IF(P5412&gt;500,"High","low")</f>
        <v>low</v>
      </c>
      <c r="R5412" s="37" t="str">
        <f t="shared" si="424"/>
        <v>AVERAGE</v>
      </c>
      <c r="S5412" t="s">
        <v>605</v>
      </c>
    </row>
    <row r="5413" spans="1:19" x14ac:dyDescent="0.2">
      <c r="A5413" t="s">
        <v>6024</v>
      </c>
      <c r="B5413" t="s">
        <v>75</v>
      </c>
      <c r="C5413" t="s">
        <v>602</v>
      </c>
      <c r="D5413">
        <v>1354.44</v>
      </c>
      <c r="E5413" s="37" t="str">
        <f t="shared" si="420"/>
        <v xml:space="preserve"> </v>
      </c>
      <c r="F5413">
        <v>0.27</v>
      </c>
      <c r="G5413" s="37" t="str">
        <f t="shared" si="421"/>
        <v>Normal Discount</v>
      </c>
      <c r="H5413" s="37" t="str">
        <f t="shared" si="422"/>
        <v>Medium</v>
      </c>
      <c r="I5413">
        <v>6</v>
      </c>
      <c r="J5413" t="str" cm="1">
        <f t="array" ref="J5413">_xlfn.IFS(I5413&lt;=3,"small",I5413&lt;=6,"Medium",I5413&lt;=9,"Large")</f>
        <v>Medium</v>
      </c>
      <c r="K5413" s="36">
        <v>45200</v>
      </c>
      <c r="L5413" s="36">
        <v>45202</v>
      </c>
      <c r="M5413" t="s">
        <v>603</v>
      </c>
      <c r="N5413" t="s">
        <v>608</v>
      </c>
      <c r="O5413" s="37" t="str">
        <f t="shared" si="423"/>
        <v>Cash Payment</v>
      </c>
      <c r="P5413">
        <v>326.01</v>
      </c>
      <c r="Q5413" s="37" t="str">
        <f>IF(P5413&gt;500,"High","low")</f>
        <v>low</v>
      </c>
      <c r="R5413" s="37" t="str">
        <f t="shared" si="424"/>
        <v>AVERAGE</v>
      </c>
      <c r="S5413" t="s">
        <v>615</v>
      </c>
    </row>
    <row r="5414" spans="1:19" x14ac:dyDescent="0.2">
      <c r="A5414" t="s">
        <v>6025</v>
      </c>
      <c r="B5414" t="s">
        <v>83</v>
      </c>
      <c r="C5414" t="s">
        <v>602</v>
      </c>
      <c r="D5414">
        <v>1899.82</v>
      </c>
      <c r="E5414" s="37" t="str">
        <f t="shared" si="420"/>
        <v xml:space="preserve"> </v>
      </c>
      <c r="F5414">
        <v>0.23</v>
      </c>
      <c r="G5414" s="37" t="str">
        <f t="shared" si="421"/>
        <v>Normal Discount</v>
      </c>
      <c r="H5414" s="37" t="str">
        <f t="shared" si="422"/>
        <v>Medium</v>
      </c>
      <c r="I5414">
        <v>7</v>
      </c>
      <c r="J5414" t="str" cm="1">
        <f t="array" ref="J5414">_xlfn.IFS(I5414&lt;=3,"small",I5414&lt;=6,"Medium",I5414&lt;=9,"Large")</f>
        <v>Large</v>
      </c>
      <c r="K5414" s="36">
        <v>45032</v>
      </c>
      <c r="L5414" s="36">
        <v>45039</v>
      </c>
      <c r="M5414" t="s">
        <v>598</v>
      </c>
      <c r="N5414" t="s">
        <v>604</v>
      </c>
      <c r="O5414" s="37" t="str">
        <f t="shared" si="423"/>
        <v>Digital Payment</v>
      </c>
      <c r="P5414">
        <v>231.3</v>
      </c>
      <c r="Q5414" s="37" t="str">
        <f>IF(P5414&gt;500,"High","low")</f>
        <v>low</v>
      </c>
      <c r="R5414" s="37" t="str">
        <f t="shared" si="424"/>
        <v>AVERAGE</v>
      </c>
      <c r="S5414" t="s">
        <v>628</v>
      </c>
    </row>
    <row r="5415" spans="1:19" x14ac:dyDescent="0.2">
      <c r="A5415" t="s">
        <v>6026</v>
      </c>
      <c r="B5415" t="s">
        <v>75</v>
      </c>
      <c r="C5415" t="s">
        <v>617</v>
      </c>
      <c r="D5415">
        <v>4921</v>
      </c>
      <c r="E5415" s="37" t="str">
        <f t="shared" si="420"/>
        <v xml:space="preserve"> </v>
      </c>
      <c r="F5415">
        <v>0.4</v>
      </c>
      <c r="G5415" s="37" t="str">
        <f t="shared" si="421"/>
        <v>Heavy Discount</v>
      </c>
      <c r="H5415" s="37" t="str">
        <f t="shared" si="422"/>
        <v>Medium</v>
      </c>
      <c r="I5415">
        <v>8</v>
      </c>
      <c r="J5415" t="str" cm="1">
        <f t="array" ref="J5415">_xlfn.IFS(I5415&lt;=3,"small",I5415&lt;=6,"Medium",I5415&lt;=9,"Large")</f>
        <v>Large</v>
      </c>
      <c r="K5415" s="36">
        <v>44965</v>
      </c>
      <c r="L5415" s="36">
        <v>44967</v>
      </c>
      <c r="M5415" t="s">
        <v>612</v>
      </c>
      <c r="N5415" t="s">
        <v>604</v>
      </c>
      <c r="O5415" s="37" t="str">
        <f t="shared" si="423"/>
        <v>Digital Payment</v>
      </c>
      <c r="P5415">
        <v>736.2</v>
      </c>
      <c r="Q5415" s="37" t="str">
        <f>IF(P5415&gt;500,"High","low")</f>
        <v>High</v>
      </c>
      <c r="R5415" s="37" t="str">
        <f t="shared" si="424"/>
        <v>Good</v>
      </c>
      <c r="S5415" t="s">
        <v>615</v>
      </c>
    </row>
    <row r="5416" spans="1:19" x14ac:dyDescent="0.2">
      <c r="A5416" t="s">
        <v>6027</v>
      </c>
      <c r="B5416" t="s">
        <v>83</v>
      </c>
      <c r="C5416" t="s">
        <v>597</v>
      </c>
      <c r="D5416">
        <v>2873.71</v>
      </c>
      <c r="E5416" s="37" t="str">
        <f t="shared" si="420"/>
        <v xml:space="preserve"> </v>
      </c>
      <c r="F5416">
        <v>0.34</v>
      </c>
      <c r="G5416" s="37" t="str">
        <f t="shared" si="421"/>
        <v>Heavy Discount</v>
      </c>
      <c r="H5416" s="37" t="str">
        <f t="shared" si="422"/>
        <v>Medium</v>
      </c>
      <c r="I5416">
        <v>3</v>
      </c>
      <c r="J5416" t="str" cm="1">
        <f t="array" ref="J5416">_xlfn.IFS(I5416&lt;=3,"small",I5416&lt;=6,"Medium",I5416&lt;=9,"Large")</f>
        <v>small</v>
      </c>
      <c r="K5416" s="36">
        <v>45414</v>
      </c>
      <c r="L5416" s="36">
        <v>45417</v>
      </c>
      <c r="M5416" t="s">
        <v>598</v>
      </c>
      <c r="N5416" t="s">
        <v>599</v>
      </c>
      <c r="O5416" s="37" t="str">
        <f t="shared" si="423"/>
        <v>Digital Payment</v>
      </c>
      <c r="P5416">
        <v>558.91</v>
      </c>
      <c r="Q5416" s="37" t="str">
        <f>IF(P5416&gt;500,"High","low")</f>
        <v>High</v>
      </c>
      <c r="R5416" s="37" t="str">
        <f t="shared" si="424"/>
        <v>Good</v>
      </c>
      <c r="S5416" t="s">
        <v>615</v>
      </c>
    </row>
    <row r="5417" spans="1:19" x14ac:dyDescent="0.2">
      <c r="A5417" t="s">
        <v>6028</v>
      </c>
      <c r="B5417" t="s">
        <v>90</v>
      </c>
      <c r="C5417" t="s">
        <v>597</v>
      </c>
      <c r="D5417">
        <v>2535.5700000000002</v>
      </c>
      <c r="E5417" s="37" t="str">
        <f t="shared" si="420"/>
        <v xml:space="preserve"> </v>
      </c>
      <c r="F5417">
        <v>0.44</v>
      </c>
      <c r="G5417" s="37" t="str">
        <f t="shared" si="421"/>
        <v>Heavy Discount</v>
      </c>
      <c r="H5417" s="37" t="str">
        <f t="shared" si="422"/>
        <v>High</v>
      </c>
      <c r="I5417">
        <v>5</v>
      </c>
      <c r="J5417" t="str" cm="1">
        <f t="array" ref="J5417">_xlfn.IFS(I5417&lt;=3,"small",I5417&lt;=6,"Medium",I5417&lt;=9,"Large")</f>
        <v>Medium</v>
      </c>
      <c r="K5417" s="36">
        <v>45562</v>
      </c>
      <c r="L5417" s="36">
        <v>45567</v>
      </c>
      <c r="M5417" t="s">
        <v>603</v>
      </c>
      <c r="N5417" t="s">
        <v>604</v>
      </c>
      <c r="O5417" s="37" t="str">
        <f t="shared" si="423"/>
        <v>Digital Payment</v>
      </c>
      <c r="P5417">
        <v>269.23</v>
      </c>
      <c r="Q5417" s="37" t="str">
        <f>IF(P5417&gt;500,"High","low")</f>
        <v>low</v>
      </c>
      <c r="R5417" s="37" t="str">
        <f t="shared" si="424"/>
        <v>AVERAGE</v>
      </c>
      <c r="S5417" t="s">
        <v>620</v>
      </c>
    </row>
    <row r="5418" spans="1:19" x14ac:dyDescent="0.2">
      <c r="A5418" t="s">
        <v>6029</v>
      </c>
      <c r="B5418" t="s">
        <v>67</v>
      </c>
      <c r="C5418" t="s">
        <v>597</v>
      </c>
      <c r="D5418">
        <v>2552.13</v>
      </c>
      <c r="E5418" s="37" t="str">
        <f t="shared" si="420"/>
        <v xml:space="preserve"> </v>
      </c>
      <c r="F5418">
        <v>0.37</v>
      </c>
      <c r="G5418" s="37" t="str">
        <f t="shared" si="421"/>
        <v>Heavy Discount</v>
      </c>
      <c r="H5418" s="37" t="str">
        <f t="shared" si="422"/>
        <v>Medium</v>
      </c>
      <c r="I5418">
        <v>8</v>
      </c>
      <c r="J5418" t="str" cm="1">
        <f t="array" ref="J5418">_xlfn.IFS(I5418&lt;=3,"small",I5418&lt;=6,"Medium",I5418&lt;=9,"Large")</f>
        <v>Large</v>
      </c>
      <c r="K5418" s="36">
        <v>45047</v>
      </c>
      <c r="L5418" s="36">
        <v>45052</v>
      </c>
      <c r="M5418" t="s">
        <v>612</v>
      </c>
      <c r="N5418" t="s">
        <v>599</v>
      </c>
      <c r="O5418" s="37" t="str">
        <f t="shared" si="423"/>
        <v>Digital Payment</v>
      </c>
      <c r="P5418">
        <v>176.56</v>
      </c>
      <c r="Q5418" s="37" t="str">
        <f>IF(P5418&gt;500,"High","low")</f>
        <v>low</v>
      </c>
      <c r="R5418" s="37" t="str">
        <f t="shared" si="424"/>
        <v>AVERAGE</v>
      </c>
      <c r="S5418" t="s">
        <v>609</v>
      </c>
    </row>
    <row r="5419" spans="1:19" x14ac:dyDescent="0.2">
      <c r="A5419" t="s">
        <v>6030</v>
      </c>
      <c r="B5419" t="s">
        <v>67</v>
      </c>
      <c r="C5419" t="s">
        <v>597</v>
      </c>
      <c r="D5419">
        <v>3511.32</v>
      </c>
      <c r="E5419" s="37" t="str">
        <f t="shared" si="420"/>
        <v xml:space="preserve"> </v>
      </c>
      <c r="F5419">
        <v>0.48</v>
      </c>
      <c r="G5419" s="37" t="str">
        <f t="shared" si="421"/>
        <v>Heavy Discount</v>
      </c>
      <c r="H5419" s="37" t="str">
        <f t="shared" si="422"/>
        <v>High</v>
      </c>
      <c r="I5419">
        <v>6</v>
      </c>
      <c r="J5419" t="str" cm="1">
        <f t="array" ref="J5419">_xlfn.IFS(I5419&lt;=3,"small",I5419&lt;=6,"Medium",I5419&lt;=9,"Large")</f>
        <v>Medium</v>
      </c>
      <c r="K5419" s="36">
        <v>45522</v>
      </c>
      <c r="L5419" s="36">
        <v>45529</v>
      </c>
      <c r="M5419" t="s">
        <v>603</v>
      </c>
      <c r="N5419" t="s">
        <v>608</v>
      </c>
      <c r="O5419" s="37" t="str">
        <f t="shared" si="423"/>
        <v>Cash Payment</v>
      </c>
      <c r="P5419">
        <v>1015.75</v>
      </c>
      <c r="Q5419" s="37" t="str">
        <f>IF(P5419&gt;500,"High","low")</f>
        <v>High</v>
      </c>
      <c r="R5419" s="37" t="str">
        <f t="shared" si="424"/>
        <v>Excellent</v>
      </c>
      <c r="S5419" t="s">
        <v>605</v>
      </c>
    </row>
    <row r="5420" spans="1:19" x14ac:dyDescent="0.2">
      <c r="A5420" t="s">
        <v>6031</v>
      </c>
      <c r="B5420" t="s">
        <v>75</v>
      </c>
      <c r="C5420" t="s">
        <v>607</v>
      </c>
      <c r="D5420">
        <v>4777.26</v>
      </c>
      <c r="E5420" s="37" t="str">
        <f t="shared" si="420"/>
        <v>Excellent Order</v>
      </c>
      <c r="F5420">
        <v>0.44</v>
      </c>
      <c r="G5420" s="37" t="str">
        <f t="shared" si="421"/>
        <v>Heavy Discount</v>
      </c>
      <c r="H5420" s="37" t="str">
        <f t="shared" si="422"/>
        <v>High</v>
      </c>
      <c r="I5420">
        <v>1</v>
      </c>
      <c r="J5420" t="str" cm="1">
        <f t="array" ref="J5420">_xlfn.IFS(I5420&lt;=3,"small",I5420&lt;=6,"Medium",I5420&lt;=9,"Large")</f>
        <v>small</v>
      </c>
      <c r="K5420" s="36">
        <v>45135</v>
      </c>
      <c r="L5420" s="36">
        <v>45140</v>
      </c>
      <c r="M5420" t="s">
        <v>603</v>
      </c>
      <c r="N5420" t="s">
        <v>599</v>
      </c>
      <c r="O5420" s="37" t="str">
        <f t="shared" si="423"/>
        <v>Digital Payment</v>
      </c>
      <c r="P5420">
        <v>1228.08</v>
      </c>
      <c r="Q5420" s="37" t="str">
        <f>IF(P5420&gt;500,"High","low")</f>
        <v>High</v>
      </c>
      <c r="R5420" s="37" t="str">
        <f t="shared" si="424"/>
        <v>Excellent</v>
      </c>
      <c r="S5420" t="s">
        <v>628</v>
      </c>
    </row>
    <row r="5421" spans="1:19" x14ac:dyDescent="0.2">
      <c r="A5421" t="s">
        <v>6032</v>
      </c>
      <c r="B5421" t="s">
        <v>75</v>
      </c>
      <c r="C5421" t="s">
        <v>614</v>
      </c>
      <c r="D5421">
        <v>1896.45</v>
      </c>
      <c r="E5421" s="37" t="str">
        <f t="shared" si="420"/>
        <v xml:space="preserve"> </v>
      </c>
      <c r="F5421">
        <v>0.43</v>
      </c>
      <c r="G5421" s="37" t="str">
        <f t="shared" si="421"/>
        <v>Heavy Discount</v>
      </c>
      <c r="H5421" s="37" t="str">
        <f t="shared" si="422"/>
        <v>High</v>
      </c>
      <c r="I5421">
        <v>2</v>
      </c>
      <c r="J5421" t="str" cm="1">
        <f t="array" ref="J5421">_xlfn.IFS(I5421&lt;=3,"small",I5421&lt;=6,"Medium",I5421&lt;=9,"Large")</f>
        <v>small</v>
      </c>
      <c r="K5421" s="36">
        <v>45038</v>
      </c>
      <c r="L5421" s="36">
        <v>45043</v>
      </c>
      <c r="M5421" t="s">
        <v>603</v>
      </c>
      <c r="N5421" t="s">
        <v>604</v>
      </c>
      <c r="O5421" s="37" t="str">
        <f t="shared" si="423"/>
        <v>Digital Payment</v>
      </c>
      <c r="P5421">
        <v>454.85</v>
      </c>
      <c r="Q5421" s="37" t="str">
        <f>IF(P5421&gt;500,"High","low")</f>
        <v>low</v>
      </c>
      <c r="R5421" s="37" t="str">
        <f t="shared" si="424"/>
        <v>AVERAGE</v>
      </c>
      <c r="S5421" t="s">
        <v>615</v>
      </c>
    </row>
    <row r="5422" spans="1:19" x14ac:dyDescent="0.2">
      <c r="A5422" t="s">
        <v>6033</v>
      </c>
      <c r="B5422" t="s">
        <v>75</v>
      </c>
      <c r="C5422" t="s">
        <v>597</v>
      </c>
      <c r="D5422">
        <v>946.02</v>
      </c>
      <c r="E5422" s="37" t="str">
        <f t="shared" si="420"/>
        <v xml:space="preserve"> </v>
      </c>
      <c r="F5422">
        <v>0.2</v>
      </c>
      <c r="G5422" s="37" t="str">
        <f t="shared" si="421"/>
        <v>Normal Discount</v>
      </c>
      <c r="H5422" s="37" t="str">
        <f t="shared" si="422"/>
        <v>Medium</v>
      </c>
      <c r="I5422">
        <v>3</v>
      </c>
      <c r="J5422" t="str" cm="1">
        <f t="array" ref="J5422">_xlfn.IFS(I5422&lt;=3,"small",I5422&lt;=6,"Medium",I5422&lt;=9,"Large")</f>
        <v>small</v>
      </c>
      <c r="K5422" s="36">
        <v>45327</v>
      </c>
      <c r="L5422" s="36">
        <v>45330</v>
      </c>
      <c r="M5422" t="s">
        <v>598</v>
      </c>
      <c r="N5422" t="s">
        <v>608</v>
      </c>
      <c r="O5422" s="37" t="str">
        <f t="shared" si="423"/>
        <v>Cash Payment</v>
      </c>
      <c r="P5422">
        <v>173.71</v>
      </c>
      <c r="Q5422" s="37" t="str">
        <f>IF(P5422&gt;500,"High","low")</f>
        <v>low</v>
      </c>
      <c r="R5422" s="37" t="str">
        <f t="shared" si="424"/>
        <v>AVERAGE</v>
      </c>
      <c r="S5422" t="s">
        <v>609</v>
      </c>
    </row>
    <row r="5423" spans="1:19" x14ac:dyDescent="0.2">
      <c r="A5423" t="s">
        <v>6034</v>
      </c>
      <c r="B5423" t="s">
        <v>90</v>
      </c>
      <c r="C5423" t="s">
        <v>614</v>
      </c>
      <c r="D5423">
        <v>1006.56</v>
      </c>
      <c r="E5423" s="37" t="str">
        <f t="shared" si="420"/>
        <v xml:space="preserve"> </v>
      </c>
      <c r="F5423">
        <v>0.19</v>
      </c>
      <c r="G5423" s="37" t="str">
        <f t="shared" si="421"/>
        <v>Normal Discount</v>
      </c>
      <c r="H5423" s="37" t="str">
        <f t="shared" si="422"/>
        <v>Low</v>
      </c>
      <c r="I5423">
        <v>7</v>
      </c>
      <c r="J5423" t="str" cm="1">
        <f t="array" ref="J5423">_xlfn.IFS(I5423&lt;=3,"small",I5423&lt;=6,"Medium",I5423&lt;=9,"Large")</f>
        <v>Large</v>
      </c>
      <c r="K5423" s="36">
        <v>45506</v>
      </c>
      <c r="L5423" s="36">
        <v>45507</v>
      </c>
      <c r="M5423" t="s">
        <v>612</v>
      </c>
      <c r="N5423" t="s">
        <v>604</v>
      </c>
      <c r="O5423" s="37" t="str">
        <f t="shared" si="423"/>
        <v>Digital Payment</v>
      </c>
      <c r="P5423">
        <v>210.78</v>
      </c>
      <c r="Q5423" s="37" t="str">
        <f>IF(P5423&gt;500,"High","low")</f>
        <v>low</v>
      </c>
      <c r="R5423" s="37" t="str">
        <f t="shared" si="424"/>
        <v>AVERAGE</v>
      </c>
      <c r="S5423" t="s">
        <v>605</v>
      </c>
    </row>
    <row r="5424" spans="1:19" x14ac:dyDescent="0.2">
      <c r="A5424" t="s">
        <v>6035</v>
      </c>
      <c r="B5424" t="s">
        <v>83</v>
      </c>
      <c r="C5424" t="s">
        <v>602</v>
      </c>
      <c r="D5424">
        <v>199.76</v>
      </c>
      <c r="E5424" s="37" t="str">
        <f t="shared" si="420"/>
        <v xml:space="preserve"> </v>
      </c>
      <c r="F5424">
        <v>0.37</v>
      </c>
      <c r="G5424" s="37" t="str">
        <f t="shared" si="421"/>
        <v>Heavy Discount</v>
      </c>
      <c r="H5424" s="37" t="str">
        <f t="shared" si="422"/>
        <v>Medium</v>
      </c>
      <c r="I5424">
        <v>3</v>
      </c>
      <c r="J5424" t="str" cm="1">
        <f t="array" ref="J5424">_xlfn.IFS(I5424&lt;=3,"small",I5424&lt;=6,"Medium",I5424&lt;=9,"Large")</f>
        <v>small</v>
      </c>
      <c r="K5424" s="36">
        <v>44927</v>
      </c>
      <c r="L5424" s="36">
        <v>44929</v>
      </c>
      <c r="M5424" t="s">
        <v>612</v>
      </c>
      <c r="N5424" t="s">
        <v>608</v>
      </c>
      <c r="O5424" s="37" t="str">
        <f t="shared" si="423"/>
        <v>Cash Payment</v>
      </c>
      <c r="P5424">
        <v>53.15</v>
      </c>
      <c r="Q5424" s="37" t="str">
        <f>IF(P5424&gt;500,"High","low")</f>
        <v>low</v>
      </c>
      <c r="R5424" s="37" t="str">
        <f t="shared" si="424"/>
        <v>AVERAGE</v>
      </c>
      <c r="S5424" t="s">
        <v>609</v>
      </c>
    </row>
    <row r="5425" spans="1:19" x14ac:dyDescent="0.2">
      <c r="A5425" t="s">
        <v>6036</v>
      </c>
      <c r="B5425" t="s">
        <v>90</v>
      </c>
      <c r="C5425" t="s">
        <v>617</v>
      </c>
      <c r="D5425">
        <v>2821.51</v>
      </c>
      <c r="E5425" s="37" t="str">
        <f t="shared" si="420"/>
        <v xml:space="preserve"> </v>
      </c>
      <c r="F5425">
        <v>0.04</v>
      </c>
      <c r="G5425" s="37" t="str">
        <f t="shared" si="421"/>
        <v>Normal Discount</v>
      </c>
      <c r="H5425" s="37" t="str">
        <f t="shared" si="422"/>
        <v>Low</v>
      </c>
      <c r="I5425">
        <v>9</v>
      </c>
      <c r="J5425" t="str" cm="1">
        <f t="array" ref="J5425">_xlfn.IFS(I5425&lt;=3,"small",I5425&lt;=6,"Medium",I5425&lt;=9,"Large")</f>
        <v>Large</v>
      </c>
      <c r="K5425" s="36">
        <v>45217</v>
      </c>
      <c r="L5425" s="36">
        <v>45219</v>
      </c>
      <c r="M5425" t="s">
        <v>612</v>
      </c>
      <c r="N5425" t="s">
        <v>599</v>
      </c>
      <c r="O5425" s="37" t="str">
        <f t="shared" si="423"/>
        <v>Digital Payment</v>
      </c>
      <c r="P5425">
        <v>415.38</v>
      </c>
      <c r="Q5425" s="37" t="str">
        <f>IF(P5425&gt;500,"High","low")</f>
        <v>low</v>
      </c>
      <c r="R5425" s="37" t="str">
        <f t="shared" si="424"/>
        <v>AVERAGE</v>
      </c>
      <c r="S5425" t="s">
        <v>609</v>
      </c>
    </row>
    <row r="5426" spans="1:19" x14ac:dyDescent="0.2">
      <c r="A5426" t="s">
        <v>6037</v>
      </c>
      <c r="B5426" t="s">
        <v>67</v>
      </c>
      <c r="C5426" t="s">
        <v>602</v>
      </c>
      <c r="D5426">
        <v>4652.67</v>
      </c>
      <c r="E5426" s="37" t="str">
        <f t="shared" si="420"/>
        <v xml:space="preserve"> </v>
      </c>
      <c r="F5426">
        <v>0.16</v>
      </c>
      <c r="G5426" s="37" t="str">
        <f t="shared" si="421"/>
        <v>Normal Discount</v>
      </c>
      <c r="H5426" s="37" t="str">
        <f t="shared" si="422"/>
        <v>Low</v>
      </c>
      <c r="I5426">
        <v>9</v>
      </c>
      <c r="J5426" t="str" cm="1">
        <f t="array" ref="J5426">_xlfn.IFS(I5426&lt;=3,"small",I5426&lt;=6,"Medium",I5426&lt;=9,"Large")</f>
        <v>Large</v>
      </c>
      <c r="K5426" s="36">
        <v>45002</v>
      </c>
      <c r="L5426" s="36">
        <v>45006</v>
      </c>
      <c r="M5426" t="s">
        <v>612</v>
      </c>
      <c r="N5426" t="s">
        <v>604</v>
      </c>
      <c r="O5426" s="37" t="str">
        <f t="shared" si="423"/>
        <v>Digital Payment</v>
      </c>
      <c r="P5426">
        <v>354.28</v>
      </c>
      <c r="Q5426" s="37" t="str">
        <f>IF(P5426&gt;500,"High","low")</f>
        <v>low</v>
      </c>
      <c r="R5426" s="37" t="str">
        <f t="shared" si="424"/>
        <v>AVERAGE</v>
      </c>
      <c r="S5426" t="s">
        <v>609</v>
      </c>
    </row>
    <row r="5427" spans="1:19" x14ac:dyDescent="0.2">
      <c r="A5427" t="s">
        <v>6038</v>
      </c>
      <c r="B5427" t="s">
        <v>75</v>
      </c>
      <c r="C5427" t="s">
        <v>597</v>
      </c>
      <c r="D5427">
        <v>3594.08</v>
      </c>
      <c r="E5427" s="37" t="str">
        <f t="shared" si="420"/>
        <v xml:space="preserve"> </v>
      </c>
      <c r="F5427">
        <v>0.47</v>
      </c>
      <c r="G5427" s="37" t="str">
        <f t="shared" si="421"/>
        <v>Heavy Discount</v>
      </c>
      <c r="H5427" s="37" t="str">
        <f t="shared" si="422"/>
        <v>High</v>
      </c>
      <c r="I5427">
        <v>8</v>
      </c>
      <c r="J5427" t="str" cm="1">
        <f t="array" ref="J5427">_xlfn.IFS(I5427&lt;=3,"small",I5427&lt;=6,"Medium",I5427&lt;=9,"Large")</f>
        <v>Large</v>
      </c>
      <c r="K5427" s="36">
        <v>45327</v>
      </c>
      <c r="L5427" s="36">
        <v>45333</v>
      </c>
      <c r="M5427" t="s">
        <v>598</v>
      </c>
      <c r="N5427" t="s">
        <v>608</v>
      </c>
      <c r="O5427" s="37" t="str">
        <f t="shared" si="423"/>
        <v>Cash Payment</v>
      </c>
      <c r="P5427">
        <v>935.33</v>
      </c>
      <c r="Q5427" s="37" t="str">
        <f>IF(P5427&gt;500,"High","low")</f>
        <v>High</v>
      </c>
      <c r="R5427" s="37" t="str">
        <f t="shared" si="424"/>
        <v>Good</v>
      </c>
      <c r="S5427" t="s">
        <v>609</v>
      </c>
    </row>
    <row r="5428" spans="1:19" x14ac:dyDescent="0.2">
      <c r="A5428" t="s">
        <v>6039</v>
      </c>
      <c r="B5428" t="s">
        <v>83</v>
      </c>
      <c r="C5428" t="s">
        <v>602</v>
      </c>
      <c r="D5428">
        <v>4965.53</v>
      </c>
      <c r="E5428" s="37" t="str">
        <f t="shared" si="420"/>
        <v xml:space="preserve"> </v>
      </c>
      <c r="F5428">
        <v>0.23</v>
      </c>
      <c r="G5428" s="37" t="str">
        <f t="shared" si="421"/>
        <v>Normal Discount</v>
      </c>
      <c r="H5428" s="37" t="str">
        <f t="shared" si="422"/>
        <v>Medium</v>
      </c>
      <c r="I5428">
        <v>9</v>
      </c>
      <c r="J5428" t="str" cm="1">
        <f t="array" ref="J5428">_xlfn.IFS(I5428&lt;=3,"small",I5428&lt;=6,"Medium",I5428&lt;=9,"Large")</f>
        <v>Large</v>
      </c>
      <c r="K5428" s="36">
        <v>45518</v>
      </c>
      <c r="L5428" s="36">
        <v>45525</v>
      </c>
      <c r="M5428" t="s">
        <v>612</v>
      </c>
      <c r="N5428" t="s">
        <v>604</v>
      </c>
      <c r="O5428" s="37" t="str">
        <f t="shared" si="423"/>
        <v>Digital Payment</v>
      </c>
      <c r="P5428">
        <v>326.16000000000003</v>
      </c>
      <c r="Q5428" s="37" t="str">
        <f>IF(P5428&gt;500,"High","low")</f>
        <v>low</v>
      </c>
      <c r="R5428" s="37" t="str">
        <f t="shared" si="424"/>
        <v>AVERAGE</v>
      </c>
      <c r="S5428" t="s">
        <v>609</v>
      </c>
    </row>
    <row r="5429" spans="1:19" x14ac:dyDescent="0.2">
      <c r="A5429" t="s">
        <v>6040</v>
      </c>
      <c r="B5429" t="s">
        <v>67</v>
      </c>
      <c r="C5429" t="s">
        <v>607</v>
      </c>
      <c r="D5429">
        <v>4556.68</v>
      </c>
      <c r="E5429" s="37" t="str">
        <f t="shared" si="420"/>
        <v>Excellent Order</v>
      </c>
      <c r="F5429">
        <v>0.13</v>
      </c>
      <c r="G5429" s="37" t="str">
        <f t="shared" si="421"/>
        <v>Normal Discount</v>
      </c>
      <c r="H5429" s="37" t="str">
        <f t="shared" si="422"/>
        <v>Low</v>
      </c>
      <c r="I5429">
        <v>8</v>
      </c>
      <c r="J5429" t="str" cm="1">
        <f t="array" ref="J5429">_xlfn.IFS(I5429&lt;=3,"small",I5429&lt;=6,"Medium",I5429&lt;=9,"Large")</f>
        <v>Large</v>
      </c>
      <c r="K5429" s="36">
        <v>45594</v>
      </c>
      <c r="L5429" s="36">
        <v>45599</v>
      </c>
      <c r="M5429" t="s">
        <v>598</v>
      </c>
      <c r="N5429" t="s">
        <v>608</v>
      </c>
      <c r="O5429" s="37" t="str">
        <f t="shared" si="423"/>
        <v>Cash Payment</v>
      </c>
      <c r="P5429">
        <v>1274.24</v>
      </c>
      <c r="Q5429" s="37" t="str">
        <f>IF(P5429&gt;500,"High","low")</f>
        <v>High</v>
      </c>
      <c r="R5429" s="37" t="str">
        <f t="shared" si="424"/>
        <v>Excellent</v>
      </c>
      <c r="S5429" t="s">
        <v>600</v>
      </c>
    </row>
    <row r="5430" spans="1:19" x14ac:dyDescent="0.2">
      <c r="A5430" t="s">
        <v>6041</v>
      </c>
      <c r="B5430" t="s">
        <v>67</v>
      </c>
      <c r="C5430" t="s">
        <v>614</v>
      </c>
      <c r="D5430">
        <v>2510.1</v>
      </c>
      <c r="E5430" s="37" t="str">
        <f t="shared" si="420"/>
        <v xml:space="preserve"> </v>
      </c>
      <c r="F5430">
        <v>0.24</v>
      </c>
      <c r="G5430" s="37" t="str">
        <f t="shared" si="421"/>
        <v>Normal Discount</v>
      </c>
      <c r="H5430" s="37" t="str">
        <f t="shared" si="422"/>
        <v>Medium</v>
      </c>
      <c r="I5430">
        <v>9</v>
      </c>
      <c r="J5430" t="str" cm="1">
        <f t="array" ref="J5430">_xlfn.IFS(I5430&lt;=3,"small",I5430&lt;=6,"Medium",I5430&lt;=9,"Large")</f>
        <v>Large</v>
      </c>
      <c r="K5430" s="36">
        <v>45457</v>
      </c>
      <c r="L5430" s="36">
        <v>45459</v>
      </c>
      <c r="M5430" t="s">
        <v>612</v>
      </c>
      <c r="N5430" t="s">
        <v>604</v>
      </c>
      <c r="O5430" s="37" t="str">
        <f t="shared" si="423"/>
        <v>Digital Payment</v>
      </c>
      <c r="P5430">
        <v>578.53</v>
      </c>
      <c r="Q5430" s="37" t="str">
        <f>IF(P5430&gt;500,"High","low")</f>
        <v>High</v>
      </c>
      <c r="R5430" s="37" t="str">
        <f t="shared" si="424"/>
        <v>Good</v>
      </c>
      <c r="S5430" t="s">
        <v>600</v>
      </c>
    </row>
    <row r="5431" spans="1:19" x14ac:dyDescent="0.2">
      <c r="A5431" t="s">
        <v>6042</v>
      </c>
      <c r="B5431" t="s">
        <v>67</v>
      </c>
      <c r="C5431" t="s">
        <v>597</v>
      </c>
      <c r="D5431">
        <v>2484.09</v>
      </c>
      <c r="E5431" s="37" t="str">
        <f t="shared" si="420"/>
        <v xml:space="preserve"> </v>
      </c>
      <c r="F5431">
        <v>0.14000000000000001</v>
      </c>
      <c r="G5431" s="37" t="str">
        <f t="shared" si="421"/>
        <v>Normal Discount</v>
      </c>
      <c r="H5431" s="37" t="str">
        <f t="shared" si="422"/>
        <v>Low</v>
      </c>
      <c r="I5431">
        <v>4</v>
      </c>
      <c r="J5431" t="str" cm="1">
        <f t="array" ref="J5431">_xlfn.IFS(I5431&lt;=3,"small",I5431&lt;=6,"Medium",I5431&lt;=9,"Large")</f>
        <v>Medium</v>
      </c>
      <c r="K5431" s="36">
        <v>45019</v>
      </c>
      <c r="L5431" s="36">
        <v>45023</v>
      </c>
      <c r="M5431" t="s">
        <v>598</v>
      </c>
      <c r="N5431" t="s">
        <v>599</v>
      </c>
      <c r="O5431" s="37" t="str">
        <f t="shared" si="423"/>
        <v>Digital Payment</v>
      </c>
      <c r="P5431">
        <v>400.83</v>
      </c>
      <c r="Q5431" s="37" t="str">
        <f>IF(P5431&gt;500,"High","low")</f>
        <v>low</v>
      </c>
      <c r="R5431" s="37" t="str">
        <f t="shared" si="424"/>
        <v>AVERAGE</v>
      </c>
      <c r="S5431" t="s">
        <v>609</v>
      </c>
    </row>
    <row r="5432" spans="1:19" x14ac:dyDescent="0.2">
      <c r="A5432" t="s">
        <v>6043</v>
      </c>
      <c r="B5432" t="s">
        <v>90</v>
      </c>
      <c r="C5432" t="s">
        <v>607</v>
      </c>
      <c r="D5432">
        <v>3178.95</v>
      </c>
      <c r="E5432" s="37" t="str">
        <f t="shared" si="420"/>
        <v xml:space="preserve"> </v>
      </c>
      <c r="F5432">
        <v>0.38</v>
      </c>
      <c r="G5432" s="37" t="str">
        <f t="shared" si="421"/>
        <v>Heavy Discount</v>
      </c>
      <c r="H5432" s="37" t="str">
        <f t="shared" si="422"/>
        <v>Medium</v>
      </c>
      <c r="I5432">
        <v>4</v>
      </c>
      <c r="J5432" t="str" cm="1">
        <f t="array" ref="J5432">_xlfn.IFS(I5432&lt;=3,"small",I5432&lt;=6,"Medium",I5432&lt;=9,"Large")</f>
        <v>Medium</v>
      </c>
      <c r="K5432" s="36">
        <v>45531</v>
      </c>
      <c r="L5432" s="36">
        <v>45538</v>
      </c>
      <c r="M5432" t="s">
        <v>603</v>
      </c>
      <c r="N5432" t="s">
        <v>604</v>
      </c>
      <c r="O5432" s="37" t="str">
        <f t="shared" si="423"/>
        <v>Digital Payment</v>
      </c>
      <c r="P5432">
        <v>648</v>
      </c>
      <c r="Q5432" s="37" t="str">
        <f>IF(P5432&gt;500,"High","low")</f>
        <v>High</v>
      </c>
      <c r="R5432" s="37" t="str">
        <f t="shared" si="424"/>
        <v>Good</v>
      </c>
      <c r="S5432" t="s">
        <v>600</v>
      </c>
    </row>
    <row r="5433" spans="1:19" x14ac:dyDescent="0.2">
      <c r="A5433" t="s">
        <v>6044</v>
      </c>
      <c r="B5433" t="s">
        <v>75</v>
      </c>
      <c r="C5433" t="s">
        <v>614</v>
      </c>
      <c r="D5433">
        <v>643.58000000000004</v>
      </c>
      <c r="E5433" s="37" t="str">
        <f t="shared" si="420"/>
        <v xml:space="preserve"> </v>
      </c>
      <c r="F5433">
        <v>0.43</v>
      </c>
      <c r="G5433" s="37" t="str">
        <f t="shared" si="421"/>
        <v>Heavy Discount</v>
      </c>
      <c r="H5433" s="37" t="str">
        <f t="shared" si="422"/>
        <v>High</v>
      </c>
      <c r="I5433">
        <v>5</v>
      </c>
      <c r="J5433" t="str" cm="1">
        <f t="array" ref="J5433">_xlfn.IFS(I5433&lt;=3,"small",I5433&lt;=6,"Medium",I5433&lt;=9,"Large")</f>
        <v>Medium</v>
      </c>
      <c r="K5433" s="36">
        <v>45425</v>
      </c>
      <c r="L5433" s="36">
        <v>45428</v>
      </c>
      <c r="M5433" t="s">
        <v>603</v>
      </c>
      <c r="N5433" t="s">
        <v>604</v>
      </c>
      <c r="O5433" s="37" t="str">
        <f t="shared" si="423"/>
        <v>Digital Payment</v>
      </c>
      <c r="P5433">
        <v>118.26</v>
      </c>
      <c r="Q5433" s="37" t="str">
        <f>IF(P5433&gt;500,"High","low")</f>
        <v>low</v>
      </c>
      <c r="R5433" s="37" t="str">
        <f t="shared" si="424"/>
        <v>AVERAGE</v>
      </c>
      <c r="S5433" t="s">
        <v>628</v>
      </c>
    </row>
    <row r="5434" spans="1:19" x14ac:dyDescent="0.2">
      <c r="A5434" t="s">
        <v>6045</v>
      </c>
      <c r="B5434" t="s">
        <v>67</v>
      </c>
      <c r="C5434" t="s">
        <v>607</v>
      </c>
      <c r="D5434">
        <v>3077.65</v>
      </c>
      <c r="E5434" s="37" t="str">
        <f t="shared" si="420"/>
        <v xml:space="preserve"> </v>
      </c>
      <c r="F5434">
        <v>0.39</v>
      </c>
      <c r="G5434" s="37" t="str">
        <f t="shared" si="421"/>
        <v>Heavy Discount</v>
      </c>
      <c r="H5434" s="37" t="str">
        <f t="shared" si="422"/>
        <v>Medium</v>
      </c>
      <c r="I5434">
        <v>7</v>
      </c>
      <c r="J5434" t="str" cm="1">
        <f t="array" ref="J5434">_xlfn.IFS(I5434&lt;=3,"small",I5434&lt;=6,"Medium",I5434&lt;=9,"Large")</f>
        <v>Large</v>
      </c>
      <c r="K5434" s="36">
        <v>45518</v>
      </c>
      <c r="L5434" s="36">
        <v>45522</v>
      </c>
      <c r="M5434" t="s">
        <v>598</v>
      </c>
      <c r="N5434" t="s">
        <v>608</v>
      </c>
      <c r="O5434" s="37" t="str">
        <f t="shared" si="423"/>
        <v>Cash Payment</v>
      </c>
      <c r="P5434">
        <v>462.85</v>
      </c>
      <c r="Q5434" s="37" t="str">
        <f>IF(P5434&gt;500,"High","low")</f>
        <v>low</v>
      </c>
      <c r="R5434" s="37" t="str">
        <f t="shared" si="424"/>
        <v>AVERAGE</v>
      </c>
      <c r="S5434" t="s">
        <v>620</v>
      </c>
    </row>
    <row r="5435" spans="1:19" x14ac:dyDescent="0.2">
      <c r="A5435" t="s">
        <v>6046</v>
      </c>
      <c r="B5435" t="s">
        <v>75</v>
      </c>
      <c r="C5435" t="s">
        <v>602</v>
      </c>
      <c r="D5435">
        <v>2373.96</v>
      </c>
      <c r="E5435" s="37" t="str">
        <f t="shared" si="420"/>
        <v xml:space="preserve"> </v>
      </c>
      <c r="F5435">
        <v>7.0000000000000007E-2</v>
      </c>
      <c r="G5435" s="37" t="str">
        <f t="shared" si="421"/>
        <v>Normal Discount</v>
      </c>
      <c r="H5435" s="37" t="str">
        <f t="shared" si="422"/>
        <v>Low</v>
      </c>
      <c r="I5435">
        <v>9</v>
      </c>
      <c r="J5435" t="str" cm="1">
        <f t="array" ref="J5435">_xlfn.IFS(I5435&lt;=3,"small",I5435&lt;=6,"Medium",I5435&lt;=9,"Large")</f>
        <v>Large</v>
      </c>
      <c r="K5435" s="36">
        <v>45331</v>
      </c>
      <c r="L5435" s="36">
        <v>45337</v>
      </c>
      <c r="M5435" t="s">
        <v>598</v>
      </c>
      <c r="N5435" t="s">
        <v>604</v>
      </c>
      <c r="O5435" s="37" t="str">
        <f t="shared" si="423"/>
        <v>Digital Payment</v>
      </c>
      <c r="P5435">
        <v>194.99</v>
      </c>
      <c r="Q5435" s="37" t="str">
        <f>IF(P5435&gt;500,"High","low")</f>
        <v>low</v>
      </c>
      <c r="R5435" s="37" t="str">
        <f t="shared" si="424"/>
        <v>AVERAGE</v>
      </c>
      <c r="S5435" t="s">
        <v>605</v>
      </c>
    </row>
    <row r="5436" spans="1:19" x14ac:dyDescent="0.2">
      <c r="A5436" t="s">
        <v>6047</v>
      </c>
      <c r="B5436" t="s">
        <v>90</v>
      </c>
      <c r="C5436" t="s">
        <v>597</v>
      </c>
      <c r="D5436">
        <v>3249.43</v>
      </c>
      <c r="E5436" s="37" t="str">
        <f t="shared" si="420"/>
        <v xml:space="preserve"> </v>
      </c>
      <c r="F5436">
        <v>0.17</v>
      </c>
      <c r="G5436" s="37" t="str">
        <f t="shared" si="421"/>
        <v>Normal Discount</v>
      </c>
      <c r="H5436" s="37" t="str">
        <f t="shared" si="422"/>
        <v>Low</v>
      </c>
      <c r="I5436">
        <v>4</v>
      </c>
      <c r="J5436" t="str" cm="1">
        <f t="array" ref="J5436">_xlfn.IFS(I5436&lt;=3,"small",I5436&lt;=6,"Medium",I5436&lt;=9,"Large")</f>
        <v>Medium</v>
      </c>
      <c r="K5436" s="36">
        <v>45436</v>
      </c>
      <c r="L5436" s="36">
        <v>45441</v>
      </c>
      <c r="M5436" t="s">
        <v>598</v>
      </c>
      <c r="N5436" t="s">
        <v>599</v>
      </c>
      <c r="O5436" s="37" t="str">
        <f t="shared" si="423"/>
        <v>Digital Payment</v>
      </c>
      <c r="P5436">
        <v>819.13</v>
      </c>
      <c r="Q5436" s="37" t="str">
        <f>IF(P5436&gt;500,"High","low")</f>
        <v>High</v>
      </c>
      <c r="R5436" s="37" t="str">
        <f t="shared" si="424"/>
        <v>Good</v>
      </c>
      <c r="S5436" t="s">
        <v>600</v>
      </c>
    </row>
    <row r="5437" spans="1:19" x14ac:dyDescent="0.2">
      <c r="A5437" t="s">
        <v>6048</v>
      </c>
      <c r="B5437" t="s">
        <v>67</v>
      </c>
      <c r="C5437" t="s">
        <v>602</v>
      </c>
      <c r="D5437">
        <v>2869.53</v>
      </c>
      <c r="E5437" s="37" t="str">
        <f t="shared" si="420"/>
        <v xml:space="preserve"> </v>
      </c>
      <c r="F5437">
        <v>0.11</v>
      </c>
      <c r="G5437" s="37" t="str">
        <f t="shared" si="421"/>
        <v>Normal Discount</v>
      </c>
      <c r="H5437" s="37" t="str">
        <f t="shared" si="422"/>
        <v>Low</v>
      </c>
      <c r="I5437">
        <v>7</v>
      </c>
      <c r="J5437" t="str" cm="1">
        <f t="array" ref="J5437">_xlfn.IFS(I5437&lt;=3,"small",I5437&lt;=6,"Medium",I5437&lt;=9,"Large")</f>
        <v>Large</v>
      </c>
      <c r="K5437" s="36">
        <v>45551</v>
      </c>
      <c r="L5437" s="36">
        <v>45555</v>
      </c>
      <c r="M5437" t="s">
        <v>598</v>
      </c>
      <c r="N5437" t="s">
        <v>604</v>
      </c>
      <c r="O5437" s="37" t="str">
        <f t="shared" si="423"/>
        <v>Digital Payment</v>
      </c>
      <c r="P5437">
        <v>565.12</v>
      </c>
      <c r="Q5437" s="37" t="str">
        <f>IF(P5437&gt;500,"High","low")</f>
        <v>High</v>
      </c>
      <c r="R5437" s="37" t="str">
        <f t="shared" si="424"/>
        <v>Good</v>
      </c>
      <c r="S5437" t="s">
        <v>600</v>
      </c>
    </row>
    <row r="5438" spans="1:19" x14ac:dyDescent="0.2">
      <c r="A5438" t="s">
        <v>6049</v>
      </c>
      <c r="B5438" t="s">
        <v>90</v>
      </c>
      <c r="C5438" t="s">
        <v>617</v>
      </c>
      <c r="D5438">
        <v>1620.94</v>
      </c>
      <c r="E5438" s="37" t="str">
        <f t="shared" si="420"/>
        <v xml:space="preserve"> </v>
      </c>
      <c r="F5438">
        <v>0.02</v>
      </c>
      <c r="G5438" s="37" t="str">
        <f t="shared" si="421"/>
        <v>Normal Discount</v>
      </c>
      <c r="H5438" s="37" t="str">
        <f t="shared" si="422"/>
        <v>Low</v>
      </c>
      <c r="I5438">
        <v>6</v>
      </c>
      <c r="J5438" t="str" cm="1">
        <f t="array" ref="J5438">_xlfn.IFS(I5438&lt;=3,"small",I5438&lt;=6,"Medium",I5438&lt;=9,"Large")</f>
        <v>Medium</v>
      </c>
      <c r="K5438" s="36">
        <v>45041</v>
      </c>
      <c r="L5438" s="36">
        <v>45046</v>
      </c>
      <c r="M5438" t="s">
        <v>612</v>
      </c>
      <c r="N5438" t="s">
        <v>608</v>
      </c>
      <c r="O5438" s="37" t="str">
        <f t="shared" si="423"/>
        <v>Cash Payment</v>
      </c>
      <c r="P5438">
        <v>365.74</v>
      </c>
      <c r="Q5438" s="37" t="str">
        <f>IF(P5438&gt;500,"High","low")</f>
        <v>low</v>
      </c>
      <c r="R5438" s="37" t="str">
        <f t="shared" si="424"/>
        <v>AVERAGE</v>
      </c>
      <c r="S5438" t="s">
        <v>615</v>
      </c>
    </row>
    <row r="5439" spans="1:19" x14ac:dyDescent="0.2">
      <c r="A5439" t="s">
        <v>6050</v>
      </c>
      <c r="B5439" t="s">
        <v>90</v>
      </c>
      <c r="C5439" t="s">
        <v>597</v>
      </c>
      <c r="D5439">
        <v>3078.03</v>
      </c>
      <c r="E5439" s="37" t="str">
        <f t="shared" si="420"/>
        <v xml:space="preserve"> </v>
      </c>
      <c r="F5439">
        <v>0.37</v>
      </c>
      <c r="G5439" s="37" t="str">
        <f t="shared" si="421"/>
        <v>Heavy Discount</v>
      </c>
      <c r="H5439" s="37" t="str">
        <f t="shared" si="422"/>
        <v>Medium</v>
      </c>
      <c r="I5439">
        <v>9</v>
      </c>
      <c r="J5439" t="str" cm="1">
        <f t="array" ref="J5439">_xlfn.IFS(I5439&lt;=3,"small",I5439&lt;=6,"Medium",I5439&lt;=9,"Large")</f>
        <v>Large</v>
      </c>
      <c r="K5439" s="36">
        <v>45610</v>
      </c>
      <c r="L5439" s="36">
        <v>45613</v>
      </c>
      <c r="M5439" t="s">
        <v>612</v>
      </c>
      <c r="N5439" t="s">
        <v>604</v>
      </c>
      <c r="O5439" s="37" t="str">
        <f t="shared" si="423"/>
        <v>Digital Payment</v>
      </c>
      <c r="P5439">
        <v>314.27999999999997</v>
      </c>
      <c r="Q5439" s="37" t="str">
        <f>IF(P5439&gt;500,"High","low")</f>
        <v>low</v>
      </c>
      <c r="R5439" s="37" t="str">
        <f t="shared" si="424"/>
        <v>AVERAGE</v>
      </c>
      <c r="S5439" t="s">
        <v>620</v>
      </c>
    </row>
    <row r="5440" spans="1:19" x14ac:dyDescent="0.2">
      <c r="A5440" t="s">
        <v>6051</v>
      </c>
      <c r="B5440" t="s">
        <v>75</v>
      </c>
      <c r="C5440" t="s">
        <v>602</v>
      </c>
      <c r="D5440">
        <v>1893.47</v>
      </c>
      <c r="E5440" s="37" t="str">
        <f t="shared" si="420"/>
        <v xml:space="preserve"> </v>
      </c>
      <c r="F5440">
        <v>0.21</v>
      </c>
      <c r="G5440" s="37" t="str">
        <f t="shared" si="421"/>
        <v>Normal Discount</v>
      </c>
      <c r="H5440" s="37" t="str">
        <f t="shared" si="422"/>
        <v>Medium</v>
      </c>
      <c r="I5440">
        <v>9</v>
      </c>
      <c r="J5440" t="str" cm="1">
        <f t="array" ref="J5440">_xlfn.IFS(I5440&lt;=3,"small",I5440&lt;=6,"Medium",I5440&lt;=9,"Large")</f>
        <v>Large</v>
      </c>
      <c r="K5440" s="36">
        <v>45500</v>
      </c>
      <c r="L5440" s="36">
        <v>45503</v>
      </c>
      <c r="M5440" t="s">
        <v>603</v>
      </c>
      <c r="N5440" t="s">
        <v>599</v>
      </c>
      <c r="O5440" s="37" t="str">
        <f t="shared" si="423"/>
        <v>Digital Payment</v>
      </c>
      <c r="P5440">
        <v>189.96</v>
      </c>
      <c r="Q5440" s="37" t="str">
        <f>IF(P5440&gt;500,"High","low")</f>
        <v>low</v>
      </c>
      <c r="R5440" s="37" t="str">
        <f t="shared" si="424"/>
        <v>AVERAGE</v>
      </c>
      <c r="S5440" t="s">
        <v>609</v>
      </c>
    </row>
    <row r="5441" spans="1:19" x14ac:dyDescent="0.2">
      <c r="A5441" t="s">
        <v>6052</v>
      </c>
      <c r="B5441" t="s">
        <v>67</v>
      </c>
      <c r="C5441" t="s">
        <v>597</v>
      </c>
      <c r="D5441">
        <v>1053.6400000000001</v>
      </c>
      <c r="E5441" s="37" t="str">
        <f t="shared" si="420"/>
        <v xml:space="preserve"> </v>
      </c>
      <c r="F5441">
        <v>0.14000000000000001</v>
      </c>
      <c r="G5441" s="37" t="str">
        <f t="shared" si="421"/>
        <v>Normal Discount</v>
      </c>
      <c r="H5441" s="37" t="str">
        <f t="shared" si="422"/>
        <v>Low</v>
      </c>
      <c r="I5441">
        <v>9</v>
      </c>
      <c r="J5441" t="str" cm="1">
        <f t="array" ref="J5441">_xlfn.IFS(I5441&lt;=3,"small",I5441&lt;=6,"Medium",I5441&lt;=9,"Large")</f>
        <v>Large</v>
      </c>
      <c r="K5441" s="36">
        <v>45567</v>
      </c>
      <c r="L5441" s="36">
        <v>45570</v>
      </c>
      <c r="M5441" t="s">
        <v>603</v>
      </c>
      <c r="N5441" t="s">
        <v>604</v>
      </c>
      <c r="O5441" s="37" t="str">
        <f t="shared" si="423"/>
        <v>Digital Payment</v>
      </c>
      <c r="P5441">
        <v>273.68</v>
      </c>
      <c r="Q5441" s="37" t="str">
        <f>IF(P5441&gt;500,"High","low")</f>
        <v>low</v>
      </c>
      <c r="R5441" s="37" t="str">
        <f t="shared" si="424"/>
        <v>AVERAGE</v>
      </c>
      <c r="S5441" t="s">
        <v>609</v>
      </c>
    </row>
    <row r="5442" spans="1:19" x14ac:dyDescent="0.2">
      <c r="A5442" t="s">
        <v>6053</v>
      </c>
      <c r="B5442" t="s">
        <v>90</v>
      </c>
      <c r="C5442" t="s">
        <v>614</v>
      </c>
      <c r="D5442">
        <v>3407.85</v>
      </c>
      <c r="E5442" s="37" t="str">
        <f t="shared" si="420"/>
        <v xml:space="preserve"> </v>
      </c>
      <c r="F5442">
        <v>0.15</v>
      </c>
      <c r="G5442" s="37" t="str">
        <f t="shared" si="421"/>
        <v>Normal Discount</v>
      </c>
      <c r="H5442" s="37" t="str">
        <f t="shared" si="422"/>
        <v>Low</v>
      </c>
      <c r="I5442">
        <v>5</v>
      </c>
      <c r="J5442" t="str" cm="1">
        <f t="array" ref="J5442">_xlfn.IFS(I5442&lt;=3,"small",I5442&lt;=6,"Medium",I5442&lt;=9,"Large")</f>
        <v>Medium</v>
      </c>
      <c r="K5442" s="36">
        <v>45233</v>
      </c>
      <c r="L5442" s="36">
        <v>45239</v>
      </c>
      <c r="M5442" t="s">
        <v>612</v>
      </c>
      <c r="N5442" t="s">
        <v>608</v>
      </c>
      <c r="O5442" s="37" t="str">
        <f t="shared" si="423"/>
        <v>Cash Payment</v>
      </c>
      <c r="P5442">
        <v>636.72</v>
      </c>
      <c r="Q5442" s="37" t="str">
        <f>IF(P5442&gt;500,"High","low")</f>
        <v>High</v>
      </c>
      <c r="R5442" s="37" t="str">
        <f t="shared" si="424"/>
        <v>Good</v>
      </c>
      <c r="S5442" t="s">
        <v>609</v>
      </c>
    </row>
    <row r="5443" spans="1:19" x14ac:dyDescent="0.2">
      <c r="A5443" t="s">
        <v>6054</v>
      </c>
      <c r="B5443" t="s">
        <v>67</v>
      </c>
      <c r="C5443" t="s">
        <v>597</v>
      </c>
      <c r="D5443">
        <v>1601.1</v>
      </c>
      <c r="E5443" s="37" t="str">
        <f t="shared" ref="E5443:E5506" si="425">IF(AND(D5443&gt;4000,P5443&gt;800),"Excellent Order"," ")</f>
        <v xml:space="preserve"> </v>
      </c>
      <c r="F5443">
        <v>7.0000000000000007E-2</v>
      </c>
      <c r="G5443" s="37" t="str">
        <f t="shared" ref="G5443:G5506" si="426">IF(F5443&gt;30%,"Heavy Discount","Normal Discount")</f>
        <v>Normal Discount</v>
      </c>
      <c r="H5443" s="37" t="str">
        <f t="shared" ref="H5443:H5506" si="427">IF(F5443&gt;0.4,"High",IF(F5443&gt;=0.2,"Medium","Low"))</f>
        <v>Low</v>
      </c>
      <c r="I5443">
        <v>3</v>
      </c>
      <c r="J5443" t="str" cm="1">
        <f t="array" ref="J5443">_xlfn.IFS(I5443&lt;=3,"small",I5443&lt;=6,"Medium",I5443&lt;=9,"Large")</f>
        <v>small</v>
      </c>
      <c r="K5443" s="36">
        <v>45042</v>
      </c>
      <c r="L5443" s="36">
        <v>45046</v>
      </c>
      <c r="M5443" t="s">
        <v>598</v>
      </c>
      <c r="N5443" t="s">
        <v>604</v>
      </c>
      <c r="O5443" s="37" t="str">
        <f t="shared" ref="O5443:O5506" si="428">IF(OR(N5443="Card",N5443="UPI"),"Digital Payment","Cash Payment")</f>
        <v>Digital Payment</v>
      </c>
      <c r="P5443">
        <v>261.32</v>
      </c>
      <c r="Q5443" s="37" t="str">
        <f>IF(P5443&gt;500,"High","low")</f>
        <v>low</v>
      </c>
      <c r="R5443" s="37" t="str">
        <f t="shared" ref="R5443:R5506" si="429">IF(P5443&gt;1000,"Excellent",IF(P5443&gt;=500,"Good","AVERAGE"))</f>
        <v>AVERAGE</v>
      </c>
      <c r="S5443" t="s">
        <v>628</v>
      </c>
    </row>
    <row r="5444" spans="1:19" x14ac:dyDescent="0.2">
      <c r="A5444" t="s">
        <v>6055</v>
      </c>
      <c r="B5444" t="s">
        <v>75</v>
      </c>
      <c r="C5444" t="s">
        <v>597</v>
      </c>
      <c r="D5444">
        <v>4456.22</v>
      </c>
      <c r="E5444" s="37" t="str">
        <f t="shared" si="425"/>
        <v xml:space="preserve"> </v>
      </c>
      <c r="F5444">
        <v>0.41</v>
      </c>
      <c r="G5444" s="37" t="str">
        <f t="shared" si="426"/>
        <v>Heavy Discount</v>
      </c>
      <c r="H5444" s="37" t="str">
        <f t="shared" si="427"/>
        <v>High</v>
      </c>
      <c r="I5444">
        <v>6</v>
      </c>
      <c r="J5444" t="str" cm="1">
        <f t="array" ref="J5444">_xlfn.IFS(I5444&lt;=3,"small",I5444&lt;=6,"Medium",I5444&lt;=9,"Large")</f>
        <v>Medium</v>
      </c>
      <c r="K5444" s="36">
        <v>45034</v>
      </c>
      <c r="L5444" s="36">
        <v>45039</v>
      </c>
      <c r="M5444" t="s">
        <v>598</v>
      </c>
      <c r="N5444" t="s">
        <v>599</v>
      </c>
      <c r="O5444" s="37" t="str">
        <f t="shared" si="428"/>
        <v>Digital Payment</v>
      </c>
      <c r="P5444">
        <v>326.70999999999998</v>
      </c>
      <c r="Q5444" s="37" t="str">
        <f>IF(P5444&gt;500,"High","low")</f>
        <v>low</v>
      </c>
      <c r="R5444" s="37" t="str">
        <f t="shared" si="429"/>
        <v>AVERAGE</v>
      </c>
      <c r="S5444" t="s">
        <v>615</v>
      </c>
    </row>
    <row r="5445" spans="1:19" x14ac:dyDescent="0.2">
      <c r="A5445" t="s">
        <v>6056</v>
      </c>
      <c r="B5445" t="s">
        <v>90</v>
      </c>
      <c r="C5445" t="s">
        <v>614</v>
      </c>
      <c r="D5445">
        <v>1076.73</v>
      </c>
      <c r="E5445" s="37" t="str">
        <f t="shared" si="425"/>
        <v xml:space="preserve"> </v>
      </c>
      <c r="F5445">
        <v>7.0000000000000007E-2</v>
      </c>
      <c r="G5445" s="37" t="str">
        <f t="shared" si="426"/>
        <v>Normal Discount</v>
      </c>
      <c r="H5445" s="37" t="str">
        <f t="shared" si="427"/>
        <v>Low</v>
      </c>
      <c r="I5445">
        <v>2</v>
      </c>
      <c r="J5445" t="str" cm="1">
        <f t="array" ref="J5445">_xlfn.IFS(I5445&lt;=3,"small",I5445&lt;=6,"Medium",I5445&lt;=9,"Large")</f>
        <v>small</v>
      </c>
      <c r="K5445" s="36">
        <v>45144</v>
      </c>
      <c r="L5445" s="36">
        <v>45146</v>
      </c>
      <c r="M5445" t="s">
        <v>598</v>
      </c>
      <c r="N5445" t="s">
        <v>604</v>
      </c>
      <c r="O5445" s="37" t="str">
        <f t="shared" si="428"/>
        <v>Digital Payment</v>
      </c>
      <c r="P5445">
        <v>168.56</v>
      </c>
      <c r="Q5445" s="37" t="str">
        <f>IF(P5445&gt;500,"High","low")</f>
        <v>low</v>
      </c>
      <c r="R5445" s="37" t="str">
        <f t="shared" si="429"/>
        <v>AVERAGE</v>
      </c>
      <c r="S5445" t="s">
        <v>605</v>
      </c>
    </row>
    <row r="5446" spans="1:19" x14ac:dyDescent="0.2">
      <c r="A5446" t="s">
        <v>6057</v>
      </c>
      <c r="B5446" t="s">
        <v>75</v>
      </c>
      <c r="C5446" t="s">
        <v>602</v>
      </c>
      <c r="D5446">
        <v>3040.71</v>
      </c>
      <c r="E5446" s="37" t="str">
        <f t="shared" si="425"/>
        <v xml:space="preserve"> </v>
      </c>
      <c r="F5446">
        <v>0.17</v>
      </c>
      <c r="G5446" s="37" t="str">
        <f t="shared" si="426"/>
        <v>Normal Discount</v>
      </c>
      <c r="H5446" s="37" t="str">
        <f t="shared" si="427"/>
        <v>Low</v>
      </c>
      <c r="I5446">
        <v>7</v>
      </c>
      <c r="J5446" t="str" cm="1">
        <f t="array" ref="J5446">_xlfn.IFS(I5446&lt;=3,"small",I5446&lt;=6,"Medium",I5446&lt;=9,"Large")</f>
        <v>Large</v>
      </c>
      <c r="K5446" s="36">
        <v>45642</v>
      </c>
      <c r="L5446" s="36">
        <v>45647</v>
      </c>
      <c r="M5446" t="s">
        <v>612</v>
      </c>
      <c r="N5446" t="s">
        <v>608</v>
      </c>
      <c r="O5446" s="37" t="str">
        <f t="shared" si="428"/>
        <v>Cash Payment</v>
      </c>
      <c r="P5446">
        <v>686.88</v>
      </c>
      <c r="Q5446" s="37" t="str">
        <f>IF(P5446&gt;500,"High","low")</f>
        <v>High</v>
      </c>
      <c r="R5446" s="37" t="str">
        <f t="shared" si="429"/>
        <v>Good</v>
      </c>
      <c r="S5446" t="s">
        <v>620</v>
      </c>
    </row>
    <row r="5447" spans="1:19" x14ac:dyDescent="0.2">
      <c r="A5447" t="s">
        <v>6058</v>
      </c>
      <c r="B5447" t="s">
        <v>67</v>
      </c>
      <c r="C5447" t="s">
        <v>597</v>
      </c>
      <c r="D5447">
        <v>2900.59</v>
      </c>
      <c r="E5447" s="37" t="str">
        <f t="shared" si="425"/>
        <v xml:space="preserve"> </v>
      </c>
      <c r="F5447">
        <v>0</v>
      </c>
      <c r="G5447" s="37" t="str">
        <f t="shared" si="426"/>
        <v>Normal Discount</v>
      </c>
      <c r="H5447" s="37" t="str">
        <f t="shared" si="427"/>
        <v>Low</v>
      </c>
      <c r="I5447">
        <v>7</v>
      </c>
      <c r="J5447" t="str" cm="1">
        <f t="array" ref="J5447">_xlfn.IFS(I5447&lt;=3,"small",I5447&lt;=6,"Medium",I5447&lt;=9,"Large")</f>
        <v>Large</v>
      </c>
      <c r="K5447" s="36">
        <v>45583</v>
      </c>
      <c r="L5447" s="36">
        <v>45587</v>
      </c>
      <c r="M5447" t="s">
        <v>612</v>
      </c>
      <c r="N5447" t="s">
        <v>599</v>
      </c>
      <c r="O5447" s="37" t="str">
        <f t="shared" si="428"/>
        <v>Digital Payment</v>
      </c>
      <c r="P5447">
        <v>220.18</v>
      </c>
      <c r="Q5447" s="37" t="str">
        <f>IF(P5447&gt;500,"High","low")</f>
        <v>low</v>
      </c>
      <c r="R5447" s="37" t="str">
        <f t="shared" si="429"/>
        <v>AVERAGE</v>
      </c>
      <c r="S5447" t="s">
        <v>600</v>
      </c>
    </row>
    <row r="5448" spans="1:19" x14ac:dyDescent="0.2">
      <c r="A5448" t="s">
        <v>6059</v>
      </c>
      <c r="B5448" t="s">
        <v>67</v>
      </c>
      <c r="C5448" t="s">
        <v>607</v>
      </c>
      <c r="D5448">
        <v>1068.93</v>
      </c>
      <c r="E5448" s="37" t="str">
        <f t="shared" si="425"/>
        <v xml:space="preserve"> </v>
      </c>
      <c r="F5448">
        <v>0.22</v>
      </c>
      <c r="G5448" s="37" t="str">
        <f t="shared" si="426"/>
        <v>Normal Discount</v>
      </c>
      <c r="H5448" s="37" t="str">
        <f t="shared" si="427"/>
        <v>Medium</v>
      </c>
      <c r="I5448">
        <v>2</v>
      </c>
      <c r="J5448" t="str" cm="1">
        <f t="array" ref="J5448">_xlfn.IFS(I5448&lt;=3,"small",I5448&lt;=6,"Medium",I5448&lt;=9,"Large")</f>
        <v>small</v>
      </c>
      <c r="K5448" s="36">
        <v>44963</v>
      </c>
      <c r="L5448" s="36">
        <v>44966</v>
      </c>
      <c r="M5448" t="s">
        <v>603</v>
      </c>
      <c r="N5448" t="s">
        <v>604</v>
      </c>
      <c r="O5448" s="37" t="str">
        <f t="shared" si="428"/>
        <v>Digital Payment</v>
      </c>
      <c r="P5448">
        <v>61.24</v>
      </c>
      <c r="Q5448" s="37" t="str">
        <f>IF(P5448&gt;500,"High","low")</f>
        <v>low</v>
      </c>
      <c r="R5448" s="37" t="str">
        <f t="shared" si="429"/>
        <v>AVERAGE</v>
      </c>
      <c r="S5448" t="s">
        <v>615</v>
      </c>
    </row>
    <row r="5449" spans="1:19" x14ac:dyDescent="0.2">
      <c r="A5449" t="s">
        <v>6060</v>
      </c>
      <c r="B5449" t="s">
        <v>75</v>
      </c>
      <c r="C5449" t="s">
        <v>597</v>
      </c>
      <c r="D5449">
        <v>2255.4499999999998</v>
      </c>
      <c r="E5449" s="37" t="str">
        <f t="shared" si="425"/>
        <v xml:space="preserve"> </v>
      </c>
      <c r="F5449">
        <v>0.18</v>
      </c>
      <c r="G5449" s="37" t="str">
        <f t="shared" si="426"/>
        <v>Normal Discount</v>
      </c>
      <c r="H5449" s="37" t="str">
        <f t="shared" si="427"/>
        <v>Low</v>
      </c>
      <c r="I5449">
        <v>6</v>
      </c>
      <c r="J5449" t="str" cm="1">
        <f t="array" ref="J5449">_xlfn.IFS(I5449&lt;=3,"small",I5449&lt;=6,"Medium",I5449&lt;=9,"Large")</f>
        <v>Medium</v>
      </c>
      <c r="K5449" s="36">
        <v>44962</v>
      </c>
      <c r="L5449" s="36">
        <v>44963</v>
      </c>
      <c r="M5449" t="s">
        <v>603</v>
      </c>
      <c r="N5449" t="s">
        <v>599</v>
      </c>
      <c r="O5449" s="37" t="str">
        <f t="shared" si="428"/>
        <v>Digital Payment</v>
      </c>
      <c r="P5449">
        <v>424.68</v>
      </c>
      <c r="Q5449" s="37" t="str">
        <f>IF(P5449&gt;500,"High","low")</f>
        <v>low</v>
      </c>
      <c r="R5449" s="37" t="str">
        <f t="shared" si="429"/>
        <v>AVERAGE</v>
      </c>
      <c r="S5449" t="s">
        <v>605</v>
      </c>
    </row>
    <row r="5450" spans="1:19" x14ac:dyDescent="0.2">
      <c r="A5450" t="s">
        <v>6061</v>
      </c>
      <c r="B5450" t="s">
        <v>83</v>
      </c>
      <c r="C5450" t="s">
        <v>602</v>
      </c>
      <c r="D5450">
        <v>3410.14</v>
      </c>
      <c r="E5450" s="37" t="str">
        <f t="shared" si="425"/>
        <v xml:space="preserve"> </v>
      </c>
      <c r="F5450">
        <v>0.36</v>
      </c>
      <c r="G5450" s="37" t="str">
        <f t="shared" si="426"/>
        <v>Heavy Discount</v>
      </c>
      <c r="H5450" s="37" t="str">
        <f t="shared" si="427"/>
        <v>Medium</v>
      </c>
      <c r="I5450">
        <v>4</v>
      </c>
      <c r="J5450" t="str" cm="1">
        <f t="array" ref="J5450">_xlfn.IFS(I5450&lt;=3,"small",I5450&lt;=6,"Medium",I5450&lt;=9,"Large")</f>
        <v>Medium</v>
      </c>
      <c r="K5450" s="36">
        <v>45251</v>
      </c>
      <c r="L5450" s="36">
        <v>45253</v>
      </c>
      <c r="M5450" t="s">
        <v>603</v>
      </c>
      <c r="N5450" t="s">
        <v>608</v>
      </c>
      <c r="O5450" s="37" t="str">
        <f t="shared" si="428"/>
        <v>Cash Payment</v>
      </c>
      <c r="P5450">
        <v>440.04</v>
      </c>
      <c r="Q5450" s="37" t="str">
        <f>IF(P5450&gt;500,"High","low")</f>
        <v>low</v>
      </c>
      <c r="R5450" s="37" t="str">
        <f t="shared" si="429"/>
        <v>AVERAGE</v>
      </c>
      <c r="S5450" t="s">
        <v>600</v>
      </c>
    </row>
    <row r="5451" spans="1:19" x14ac:dyDescent="0.2">
      <c r="A5451" t="s">
        <v>6062</v>
      </c>
      <c r="B5451" t="s">
        <v>90</v>
      </c>
      <c r="C5451" t="s">
        <v>614</v>
      </c>
      <c r="D5451">
        <v>1660.78</v>
      </c>
      <c r="E5451" s="37" t="str">
        <f t="shared" si="425"/>
        <v xml:space="preserve"> </v>
      </c>
      <c r="F5451">
        <v>0.36</v>
      </c>
      <c r="G5451" s="37" t="str">
        <f t="shared" si="426"/>
        <v>Heavy Discount</v>
      </c>
      <c r="H5451" s="37" t="str">
        <f t="shared" si="427"/>
        <v>Medium</v>
      </c>
      <c r="I5451">
        <v>7</v>
      </c>
      <c r="J5451" t="str" cm="1">
        <f t="array" ref="J5451">_xlfn.IFS(I5451&lt;=3,"small",I5451&lt;=6,"Medium",I5451&lt;=9,"Large")</f>
        <v>Large</v>
      </c>
      <c r="K5451" s="36">
        <v>45540</v>
      </c>
      <c r="L5451" s="36">
        <v>45547</v>
      </c>
      <c r="M5451" t="s">
        <v>612</v>
      </c>
      <c r="N5451" t="s">
        <v>599</v>
      </c>
      <c r="O5451" s="37" t="str">
        <f t="shared" si="428"/>
        <v>Digital Payment</v>
      </c>
      <c r="P5451">
        <v>459.2</v>
      </c>
      <c r="Q5451" s="37" t="str">
        <f>IF(P5451&gt;500,"High","low")</f>
        <v>low</v>
      </c>
      <c r="R5451" s="37" t="str">
        <f t="shared" si="429"/>
        <v>AVERAGE</v>
      </c>
      <c r="S5451" t="s">
        <v>628</v>
      </c>
    </row>
    <row r="5452" spans="1:19" x14ac:dyDescent="0.2">
      <c r="A5452" t="s">
        <v>6063</v>
      </c>
      <c r="B5452" t="s">
        <v>67</v>
      </c>
      <c r="C5452" t="s">
        <v>602</v>
      </c>
      <c r="D5452">
        <v>657.77</v>
      </c>
      <c r="E5452" s="37" t="str">
        <f t="shared" si="425"/>
        <v xml:space="preserve"> </v>
      </c>
      <c r="F5452">
        <v>0.02</v>
      </c>
      <c r="G5452" s="37" t="str">
        <f t="shared" si="426"/>
        <v>Normal Discount</v>
      </c>
      <c r="H5452" s="37" t="str">
        <f t="shared" si="427"/>
        <v>Low</v>
      </c>
      <c r="I5452">
        <v>8</v>
      </c>
      <c r="J5452" t="str" cm="1">
        <f t="array" ref="J5452">_xlfn.IFS(I5452&lt;=3,"small",I5452&lt;=6,"Medium",I5452&lt;=9,"Large")</f>
        <v>Large</v>
      </c>
      <c r="K5452" s="36">
        <v>45569</v>
      </c>
      <c r="L5452" s="36">
        <v>45574</v>
      </c>
      <c r="M5452" t="s">
        <v>612</v>
      </c>
      <c r="N5452" t="s">
        <v>599</v>
      </c>
      <c r="O5452" s="37" t="str">
        <f t="shared" si="428"/>
        <v>Digital Payment</v>
      </c>
      <c r="P5452">
        <v>130.33000000000001</v>
      </c>
      <c r="Q5452" s="37" t="str">
        <f>IF(P5452&gt;500,"High","low")</f>
        <v>low</v>
      </c>
      <c r="R5452" s="37" t="str">
        <f t="shared" si="429"/>
        <v>AVERAGE</v>
      </c>
      <c r="S5452" t="s">
        <v>615</v>
      </c>
    </row>
    <row r="5453" spans="1:19" x14ac:dyDescent="0.2">
      <c r="A5453" t="s">
        <v>6064</v>
      </c>
      <c r="B5453" t="s">
        <v>67</v>
      </c>
      <c r="C5453" t="s">
        <v>617</v>
      </c>
      <c r="D5453">
        <v>3114.68</v>
      </c>
      <c r="E5453" s="37" t="str">
        <f t="shared" si="425"/>
        <v xml:space="preserve"> </v>
      </c>
      <c r="F5453">
        <v>0.06</v>
      </c>
      <c r="G5453" s="37" t="str">
        <f t="shared" si="426"/>
        <v>Normal Discount</v>
      </c>
      <c r="H5453" s="37" t="str">
        <f t="shared" si="427"/>
        <v>Low</v>
      </c>
      <c r="I5453">
        <v>1</v>
      </c>
      <c r="J5453" t="str" cm="1">
        <f t="array" ref="J5453">_xlfn.IFS(I5453&lt;=3,"small",I5453&lt;=6,"Medium",I5453&lt;=9,"Large")</f>
        <v>small</v>
      </c>
      <c r="K5453" s="36">
        <v>45325</v>
      </c>
      <c r="L5453" s="36">
        <v>45331</v>
      </c>
      <c r="M5453" t="s">
        <v>612</v>
      </c>
      <c r="N5453" t="s">
        <v>599</v>
      </c>
      <c r="O5453" s="37" t="str">
        <f t="shared" si="428"/>
        <v>Digital Payment</v>
      </c>
      <c r="P5453">
        <v>389.68</v>
      </c>
      <c r="Q5453" s="37" t="str">
        <f>IF(P5453&gt;500,"High","low")</f>
        <v>low</v>
      </c>
      <c r="R5453" s="37" t="str">
        <f t="shared" si="429"/>
        <v>AVERAGE</v>
      </c>
      <c r="S5453" t="s">
        <v>615</v>
      </c>
    </row>
    <row r="5454" spans="1:19" x14ac:dyDescent="0.2">
      <c r="A5454" t="s">
        <v>6065</v>
      </c>
      <c r="B5454" t="s">
        <v>90</v>
      </c>
      <c r="C5454" t="s">
        <v>597</v>
      </c>
      <c r="D5454">
        <v>1198.2</v>
      </c>
      <c r="E5454" s="37" t="str">
        <f t="shared" si="425"/>
        <v xml:space="preserve"> </v>
      </c>
      <c r="F5454">
        <v>0.45</v>
      </c>
      <c r="G5454" s="37" t="str">
        <f t="shared" si="426"/>
        <v>Heavy Discount</v>
      </c>
      <c r="H5454" s="37" t="str">
        <f t="shared" si="427"/>
        <v>High</v>
      </c>
      <c r="I5454">
        <v>5</v>
      </c>
      <c r="J5454" t="str" cm="1">
        <f t="array" ref="J5454">_xlfn.IFS(I5454&lt;=3,"small",I5454&lt;=6,"Medium",I5454&lt;=9,"Large")</f>
        <v>Medium</v>
      </c>
      <c r="K5454" s="36">
        <v>45259</v>
      </c>
      <c r="L5454" s="36">
        <v>45266</v>
      </c>
      <c r="M5454" t="s">
        <v>598</v>
      </c>
      <c r="N5454" t="s">
        <v>608</v>
      </c>
      <c r="O5454" s="37" t="str">
        <f t="shared" si="428"/>
        <v>Cash Payment</v>
      </c>
      <c r="P5454">
        <v>153.94</v>
      </c>
      <c r="Q5454" s="37" t="str">
        <f>IF(P5454&gt;500,"High","low")</f>
        <v>low</v>
      </c>
      <c r="R5454" s="37" t="str">
        <f t="shared" si="429"/>
        <v>AVERAGE</v>
      </c>
      <c r="S5454" t="s">
        <v>600</v>
      </c>
    </row>
    <row r="5455" spans="1:19" x14ac:dyDescent="0.2">
      <c r="A5455" t="s">
        <v>6066</v>
      </c>
      <c r="B5455" t="s">
        <v>75</v>
      </c>
      <c r="C5455" t="s">
        <v>597</v>
      </c>
      <c r="D5455">
        <v>3439.23</v>
      </c>
      <c r="E5455" s="37" t="str">
        <f t="shared" si="425"/>
        <v xml:space="preserve"> </v>
      </c>
      <c r="F5455">
        <v>0.4</v>
      </c>
      <c r="G5455" s="37" t="str">
        <f t="shared" si="426"/>
        <v>Heavy Discount</v>
      </c>
      <c r="H5455" s="37" t="str">
        <f t="shared" si="427"/>
        <v>Medium</v>
      </c>
      <c r="I5455">
        <v>9</v>
      </c>
      <c r="J5455" t="str" cm="1">
        <f t="array" ref="J5455">_xlfn.IFS(I5455&lt;=3,"small",I5455&lt;=6,"Medium",I5455&lt;=9,"Large")</f>
        <v>Large</v>
      </c>
      <c r="K5455" s="36">
        <v>45635</v>
      </c>
      <c r="L5455" s="36">
        <v>45640</v>
      </c>
      <c r="M5455" t="s">
        <v>603</v>
      </c>
      <c r="N5455" t="s">
        <v>599</v>
      </c>
      <c r="O5455" s="37" t="str">
        <f t="shared" si="428"/>
        <v>Digital Payment</v>
      </c>
      <c r="P5455">
        <v>282.94</v>
      </c>
      <c r="Q5455" s="37" t="str">
        <f>IF(P5455&gt;500,"High","low")</f>
        <v>low</v>
      </c>
      <c r="R5455" s="37" t="str">
        <f t="shared" si="429"/>
        <v>AVERAGE</v>
      </c>
      <c r="S5455" t="s">
        <v>605</v>
      </c>
    </row>
    <row r="5456" spans="1:19" x14ac:dyDescent="0.2">
      <c r="A5456" t="s">
        <v>6067</v>
      </c>
      <c r="B5456" t="s">
        <v>75</v>
      </c>
      <c r="C5456" t="s">
        <v>614</v>
      </c>
      <c r="D5456">
        <v>4213.3900000000003</v>
      </c>
      <c r="E5456" s="37" t="str">
        <f t="shared" si="425"/>
        <v xml:space="preserve"> </v>
      </c>
      <c r="F5456">
        <v>0.19</v>
      </c>
      <c r="G5456" s="37" t="str">
        <f t="shared" si="426"/>
        <v>Normal Discount</v>
      </c>
      <c r="H5456" s="37" t="str">
        <f t="shared" si="427"/>
        <v>Low</v>
      </c>
      <c r="I5456">
        <v>2</v>
      </c>
      <c r="J5456" t="str" cm="1">
        <f t="array" ref="J5456">_xlfn.IFS(I5456&lt;=3,"small",I5456&lt;=6,"Medium",I5456&lt;=9,"Large")</f>
        <v>small</v>
      </c>
      <c r="K5456" s="36">
        <v>45287</v>
      </c>
      <c r="L5456" s="36">
        <v>45288</v>
      </c>
      <c r="M5456" t="s">
        <v>603</v>
      </c>
      <c r="N5456" t="s">
        <v>604</v>
      </c>
      <c r="O5456" s="37" t="str">
        <f t="shared" si="428"/>
        <v>Digital Payment</v>
      </c>
      <c r="P5456">
        <v>671.65</v>
      </c>
      <c r="Q5456" s="37" t="str">
        <f>IF(P5456&gt;500,"High","low")</f>
        <v>High</v>
      </c>
      <c r="R5456" s="37" t="str">
        <f t="shared" si="429"/>
        <v>Good</v>
      </c>
      <c r="S5456" t="s">
        <v>615</v>
      </c>
    </row>
    <row r="5457" spans="1:19" x14ac:dyDescent="0.2">
      <c r="A5457" t="s">
        <v>6068</v>
      </c>
      <c r="B5457" t="s">
        <v>75</v>
      </c>
      <c r="C5457" t="s">
        <v>597</v>
      </c>
      <c r="D5457">
        <v>704.44</v>
      </c>
      <c r="E5457" s="37" t="str">
        <f t="shared" si="425"/>
        <v xml:space="preserve"> </v>
      </c>
      <c r="F5457">
        <v>0.08</v>
      </c>
      <c r="G5457" s="37" t="str">
        <f t="shared" si="426"/>
        <v>Normal Discount</v>
      </c>
      <c r="H5457" s="37" t="str">
        <f t="shared" si="427"/>
        <v>Low</v>
      </c>
      <c r="I5457">
        <v>4</v>
      </c>
      <c r="J5457" t="str" cm="1">
        <f t="array" ref="J5457">_xlfn.IFS(I5457&lt;=3,"small",I5457&lt;=6,"Medium",I5457&lt;=9,"Large")</f>
        <v>Medium</v>
      </c>
      <c r="K5457" s="36">
        <v>45205</v>
      </c>
      <c r="L5457" s="36">
        <v>45211</v>
      </c>
      <c r="M5457" t="s">
        <v>603</v>
      </c>
      <c r="N5457" t="s">
        <v>599</v>
      </c>
      <c r="O5457" s="37" t="str">
        <f t="shared" si="428"/>
        <v>Digital Payment</v>
      </c>
      <c r="P5457">
        <v>47.27</v>
      </c>
      <c r="Q5457" s="37" t="str">
        <f>IF(P5457&gt;500,"High","low")</f>
        <v>low</v>
      </c>
      <c r="R5457" s="37" t="str">
        <f t="shared" si="429"/>
        <v>AVERAGE</v>
      </c>
      <c r="S5457" t="s">
        <v>620</v>
      </c>
    </row>
    <row r="5458" spans="1:19" x14ac:dyDescent="0.2">
      <c r="A5458" t="s">
        <v>6069</v>
      </c>
      <c r="B5458" t="s">
        <v>83</v>
      </c>
      <c r="C5458" t="s">
        <v>607</v>
      </c>
      <c r="D5458">
        <v>2244.2800000000002</v>
      </c>
      <c r="E5458" s="37" t="str">
        <f t="shared" si="425"/>
        <v xml:space="preserve"> </v>
      </c>
      <c r="F5458">
        <v>0.13</v>
      </c>
      <c r="G5458" s="37" t="str">
        <f t="shared" si="426"/>
        <v>Normal Discount</v>
      </c>
      <c r="H5458" s="37" t="str">
        <f t="shared" si="427"/>
        <v>Low</v>
      </c>
      <c r="I5458">
        <v>8</v>
      </c>
      <c r="J5458" t="str" cm="1">
        <f t="array" ref="J5458">_xlfn.IFS(I5458&lt;=3,"small",I5458&lt;=6,"Medium",I5458&lt;=9,"Large")</f>
        <v>Large</v>
      </c>
      <c r="K5458" s="36">
        <v>44973</v>
      </c>
      <c r="L5458" s="36">
        <v>44976</v>
      </c>
      <c r="M5458" t="s">
        <v>598</v>
      </c>
      <c r="N5458" t="s">
        <v>604</v>
      </c>
      <c r="O5458" s="37" t="str">
        <f t="shared" si="428"/>
        <v>Digital Payment</v>
      </c>
      <c r="P5458">
        <v>359.45</v>
      </c>
      <c r="Q5458" s="37" t="str">
        <f>IF(P5458&gt;500,"High","low")</f>
        <v>low</v>
      </c>
      <c r="R5458" s="37" t="str">
        <f t="shared" si="429"/>
        <v>AVERAGE</v>
      </c>
      <c r="S5458" t="s">
        <v>600</v>
      </c>
    </row>
    <row r="5459" spans="1:19" x14ac:dyDescent="0.2">
      <c r="A5459" t="s">
        <v>6070</v>
      </c>
      <c r="B5459" t="s">
        <v>83</v>
      </c>
      <c r="C5459" t="s">
        <v>607</v>
      </c>
      <c r="D5459">
        <v>2280.12</v>
      </c>
      <c r="E5459" s="37" t="str">
        <f t="shared" si="425"/>
        <v xml:space="preserve"> </v>
      </c>
      <c r="F5459">
        <v>0.33</v>
      </c>
      <c r="G5459" s="37" t="str">
        <f t="shared" si="426"/>
        <v>Heavy Discount</v>
      </c>
      <c r="H5459" s="37" t="str">
        <f t="shared" si="427"/>
        <v>Medium</v>
      </c>
      <c r="I5459">
        <v>5</v>
      </c>
      <c r="J5459" t="str" cm="1">
        <f t="array" ref="J5459">_xlfn.IFS(I5459&lt;=3,"small",I5459&lt;=6,"Medium",I5459&lt;=9,"Large")</f>
        <v>Medium</v>
      </c>
      <c r="K5459" s="36">
        <v>45140</v>
      </c>
      <c r="L5459" s="36">
        <v>45141</v>
      </c>
      <c r="M5459" t="s">
        <v>612</v>
      </c>
      <c r="N5459" t="s">
        <v>599</v>
      </c>
      <c r="O5459" s="37" t="str">
        <f t="shared" si="428"/>
        <v>Digital Payment</v>
      </c>
      <c r="P5459">
        <v>182.7</v>
      </c>
      <c r="Q5459" s="37" t="str">
        <f>IF(P5459&gt;500,"High","low")</f>
        <v>low</v>
      </c>
      <c r="R5459" s="37" t="str">
        <f t="shared" si="429"/>
        <v>AVERAGE</v>
      </c>
      <c r="S5459" t="s">
        <v>609</v>
      </c>
    </row>
    <row r="5460" spans="1:19" x14ac:dyDescent="0.2">
      <c r="A5460" t="s">
        <v>6071</v>
      </c>
      <c r="B5460" t="s">
        <v>67</v>
      </c>
      <c r="C5460" t="s">
        <v>602</v>
      </c>
      <c r="D5460">
        <v>3199.43</v>
      </c>
      <c r="E5460" s="37" t="str">
        <f t="shared" si="425"/>
        <v xml:space="preserve"> </v>
      </c>
      <c r="F5460">
        <v>0.47</v>
      </c>
      <c r="G5460" s="37" t="str">
        <f t="shared" si="426"/>
        <v>Heavy Discount</v>
      </c>
      <c r="H5460" s="37" t="str">
        <f t="shared" si="427"/>
        <v>High</v>
      </c>
      <c r="I5460">
        <v>8</v>
      </c>
      <c r="J5460" t="str" cm="1">
        <f t="array" ref="J5460">_xlfn.IFS(I5460&lt;=3,"small",I5460&lt;=6,"Medium",I5460&lt;=9,"Large")</f>
        <v>Large</v>
      </c>
      <c r="K5460" s="36">
        <v>45472</v>
      </c>
      <c r="L5460" s="36">
        <v>45475</v>
      </c>
      <c r="M5460" t="s">
        <v>603</v>
      </c>
      <c r="N5460" t="s">
        <v>604</v>
      </c>
      <c r="O5460" s="37" t="str">
        <f t="shared" si="428"/>
        <v>Digital Payment</v>
      </c>
      <c r="P5460">
        <v>701.61</v>
      </c>
      <c r="Q5460" s="37" t="str">
        <f>IF(P5460&gt;500,"High","low")</f>
        <v>High</v>
      </c>
      <c r="R5460" s="37" t="str">
        <f t="shared" si="429"/>
        <v>Good</v>
      </c>
      <c r="S5460" t="s">
        <v>628</v>
      </c>
    </row>
    <row r="5461" spans="1:19" x14ac:dyDescent="0.2">
      <c r="A5461" t="s">
        <v>6072</v>
      </c>
      <c r="B5461" t="s">
        <v>75</v>
      </c>
      <c r="C5461" t="s">
        <v>614</v>
      </c>
      <c r="D5461">
        <v>1738.6</v>
      </c>
      <c r="E5461" s="37" t="str">
        <f t="shared" si="425"/>
        <v xml:space="preserve"> </v>
      </c>
      <c r="F5461">
        <v>0.31</v>
      </c>
      <c r="G5461" s="37" t="str">
        <f t="shared" si="426"/>
        <v>Heavy Discount</v>
      </c>
      <c r="H5461" s="37" t="str">
        <f t="shared" si="427"/>
        <v>Medium</v>
      </c>
      <c r="I5461">
        <v>1</v>
      </c>
      <c r="J5461" t="str" cm="1">
        <f t="array" ref="J5461">_xlfn.IFS(I5461&lt;=3,"small",I5461&lt;=6,"Medium",I5461&lt;=9,"Large")</f>
        <v>small</v>
      </c>
      <c r="K5461" s="36">
        <v>45656</v>
      </c>
      <c r="L5461" s="36">
        <v>45663</v>
      </c>
      <c r="M5461" t="s">
        <v>603</v>
      </c>
      <c r="N5461" t="s">
        <v>608</v>
      </c>
      <c r="O5461" s="37" t="str">
        <f t="shared" si="428"/>
        <v>Cash Payment</v>
      </c>
      <c r="P5461">
        <v>369.92</v>
      </c>
      <c r="Q5461" s="37" t="str">
        <f>IF(P5461&gt;500,"High","low")</f>
        <v>low</v>
      </c>
      <c r="R5461" s="37" t="str">
        <f t="shared" si="429"/>
        <v>AVERAGE</v>
      </c>
      <c r="S5461" t="s">
        <v>600</v>
      </c>
    </row>
    <row r="5462" spans="1:19" x14ac:dyDescent="0.2">
      <c r="A5462" t="s">
        <v>6073</v>
      </c>
      <c r="B5462" t="s">
        <v>90</v>
      </c>
      <c r="C5462" t="s">
        <v>617</v>
      </c>
      <c r="D5462">
        <v>2150.9899999999998</v>
      </c>
      <c r="E5462" s="37" t="str">
        <f t="shared" si="425"/>
        <v xml:space="preserve"> </v>
      </c>
      <c r="F5462">
        <v>0.01</v>
      </c>
      <c r="G5462" s="37" t="str">
        <f t="shared" si="426"/>
        <v>Normal Discount</v>
      </c>
      <c r="H5462" s="37" t="str">
        <f t="shared" si="427"/>
        <v>Low</v>
      </c>
      <c r="I5462">
        <v>7</v>
      </c>
      <c r="J5462" t="str" cm="1">
        <f t="array" ref="J5462">_xlfn.IFS(I5462&lt;=3,"small",I5462&lt;=6,"Medium",I5462&lt;=9,"Large")</f>
        <v>Large</v>
      </c>
      <c r="K5462" s="36">
        <v>45085</v>
      </c>
      <c r="L5462" s="36">
        <v>45091</v>
      </c>
      <c r="M5462" t="s">
        <v>598</v>
      </c>
      <c r="N5462" t="s">
        <v>608</v>
      </c>
      <c r="O5462" s="37" t="str">
        <f t="shared" si="428"/>
        <v>Cash Payment</v>
      </c>
      <c r="P5462">
        <v>558.37</v>
      </c>
      <c r="Q5462" s="37" t="str">
        <f>IF(P5462&gt;500,"High","low")</f>
        <v>High</v>
      </c>
      <c r="R5462" s="37" t="str">
        <f t="shared" si="429"/>
        <v>Good</v>
      </c>
      <c r="S5462" t="s">
        <v>609</v>
      </c>
    </row>
    <row r="5463" spans="1:19" x14ac:dyDescent="0.2">
      <c r="A5463" t="s">
        <v>6074</v>
      </c>
      <c r="B5463" t="s">
        <v>67</v>
      </c>
      <c r="C5463" t="s">
        <v>602</v>
      </c>
      <c r="D5463">
        <v>158.76</v>
      </c>
      <c r="E5463" s="37" t="str">
        <f t="shared" si="425"/>
        <v xml:space="preserve"> </v>
      </c>
      <c r="F5463">
        <v>0.33</v>
      </c>
      <c r="G5463" s="37" t="str">
        <f t="shared" si="426"/>
        <v>Heavy Discount</v>
      </c>
      <c r="H5463" s="37" t="str">
        <f t="shared" si="427"/>
        <v>Medium</v>
      </c>
      <c r="I5463">
        <v>6</v>
      </c>
      <c r="J5463" t="str" cm="1">
        <f t="array" ref="J5463">_xlfn.IFS(I5463&lt;=3,"small",I5463&lt;=6,"Medium",I5463&lt;=9,"Large")</f>
        <v>Medium</v>
      </c>
      <c r="K5463" s="36">
        <v>44961</v>
      </c>
      <c r="L5463" s="36">
        <v>44968</v>
      </c>
      <c r="M5463" t="s">
        <v>603</v>
      </c>
      <c r="N5463" t="s">
        <v>599</v>
      </c>
      <c r="O5463" s="37" t="str">
        <f t="shared" si="428"/>
        <v>Digital Payment</v>
      </c>
      <c r="P5463">
        <v>44.55</v>
      </c>
      <c r="Q5463" s="37" t="str">
        <f>IF(P5463&gt;500,"High","low")</f>
        <v>low</v>
      </c>
      <c r="R5463" s="37" t="str">
        <f t="shared" si="429"/>
        <v>AVERAGE</v>
      </c>
      <c r="S5463" t="s">
        <v>600</v>
      </c>
    </row>
    <row r="5464" spans="1:19" x14ac:dyDescent="0.2">
      <c r="A5464" t="s">
        <v>6075</v>
      </c>
      <c r="B5464" t="s">
        <v>90</v>
      </c>
      <c r="C5464" t="s">
        <v>614</v>
      </c>
      <c r="D5464">
        <v>699.89</v>
      </c>
      <c r="E5464" s="37" t="str">
        <f t="shared" si="425"/>
        <v xml:space="preserve"> </v>
      </c>
      <c r="F5464">
        <v>0.47</v>
      </c>
      <c r="G5464" s="37" t="str">
        <f t="shared" si="426"/>
        <v>Heavy Discount</v>
      </c>
      <c r="H5464" s="37" t="str">
        <f t="shared" si="427"/>
        <v>High</v>
      </c>
      <c r="I5464">
        <v>2</v>
      </c>
      <c r="J5464" t="str" cm="1">
        <f t="array" ref="J5464">_xlfn.IFS(I5464&lt;=3,"small",I5464&lt;=6,"Medium",I5464&lt;=9,"Large")</f>
        <v>small</v>
      </c>
      <c r="K5464" s="36">
        <v>45414</v>
      </c>
      <c r="L5464" s="36">
        <v>45421</v>
      </c>
      <c r="M5464" t="s">
        <v>598</v>
      </c>
      <c r="N5464" t="s">
        <v>604</v>
      </c>
      <c r="O5464" s="37" t="str">
        <f t="shared" si="428"/>
        <v>Digital Payment</v>
      </c>
      <c r="P5464">
        <v>149.41</v>
      </c>
      <c r="Q5464" s="37" t="str">
        <f>IF(P5464&gt;500,"High","low")</f>
        <v>low</v>
      </c>
      <c r="R5464" s="37" t="str">
        <f t="shared" si="429"/>
        <v>AVERAGE</v>
      </c>
      <c r="S5464" t="s">
        <v>605</v>
      </c>
    </row>
    <row r="5465" spans="1:19" x14ac:dyDescent="0.2">
      <c r="A5465" t="s">
        <v>6076</v>
      </c>
      <c r="B5465" t="s">
        <v>67</v>
      </c>
      <c r="C5465" t="s">
        <v>614</v>
      </c>
      <c r="D5465">
        <v>2892.32</v>
      </c>
      <c r="E5465" s="37" t="str">
        <f t="shared" si="425"/>
        <v xml:space="preserve"> </v>
      </c>
      <c r="F5465">
        <v>0.18</v>
      </c>
      <c r="G5465" s="37" t="str">
        <f t="shared" si="426"/>
        <v>Normal Discount</v>
      </c>
      <c r="H5465" s="37" t="str">
        <f t="shared" si="427"/>
        <v>Low</v>
      </c>
      <c r="I5465">
        <v>7</v>
      </c>
      <c r="J5465" t="str" cm="1">
        <f t="array" ref="J5465">_xlfn.IFS(I5465&lt;=3,"small",I5465&lt;=6,"Medium",I5465&lt;=9,"Large")</f>
        <v>Large</v>
      </c>
      <c r="K5465" s="36">
        <v>45436</v>
      </c>
      <c r="L5465" s="36">
        <v>45441</v>
      </c>
      <c r="M5465" t="s">
        <v>603</v>
      </c>
      <c r="N5465" t="s">
        <v>599</v>
      </c>
      <c r="O5465" s="37" t="str">
        <f t="shared" si="428"/>
        <v>Digital Payment</v>
      </c>
      <c r="P5465">
        <v>256.18</v>
      </c>
      <c r="Q5465" s="37" t="str">
        <f>IF(P5465&gt;500,"High","low")</f>
        <v>low</v>
      </c>
      <c r="R5465" s="37" t="str">
        <f t="shared" si="429"/>
        <v>AVERAGE</v>
      </c>
      <c r="S5465" t="s">
        <v>628</v>
      </c>
    </row>
    <row r="5466" spans="1:19" x14ac:dyDescent="0.2">
      <c r="A5466" t="s">
        <v>6077</v>
      </c>
      <c r="B5466" t="s">
        <v>83</v>
      </c>
      <c r="C5466" t="s">
        <v>602</v>
      </c>
      <c r="D5466">
        <v>1157.8900000000001</v>
      </c>
      <c r="E5466" s="37" t="str">
        <f t="shared" si="425"/>
        <v xml:space="preserve"> </v>
      </c>
      <c r="F5466">
        <v>0.47</v>
      </c>
      <c r="G5466" s="37" t="str">
        <f t="shared" si="426"/>
        <v>Heavy Discount</v>
      </c>
      <c r="H5466" s="37" t="str">
        <f t="shared" si="427"/>
        <v>High</v>
      </c>
      <c r="I5466">
        <v>3</v>
      </c>
      <c r="J5466" t="str" cm="1">
        <f t="array" ref="J5466">_xlfn.IFS(I5466&lt;=3,"small",I5466&lt;=6,"Medium",I5466&lt;=9,"Large")</f>
        <v>small</v>
      </c>
      <c r="K5466" s="36">
        <v>45555</v>
      </c>
      <c r="L5466" s="36">
        <v>45561</v>
      </c>
      <c r="M5466" t="s">
        <v>598</v>
      </c>
      <c r="N5466" t="s">
        <v>599</v>
      </c>
      <c r="O5466" s="37" t="str">
        <f t="shared" si="428"/>
        <v>Digital Payment</v>
      </c>
      <c r="P5466">
        <v>205.03</v>
      </c>
      <c r="Q5466" s="37" t="str">
        <f>IF(P5466&gt;500,"High","low")</f>
        <v>low</v>
      </c>
      <c r="R5466" s="37" t="str">
        <f t="shared" si="429"/>
        <v>AVERAGE</v>
      </c>
      <c r="S5466" t="s">
        <v>609</v>
      </c>
    </row>
    <row r="5467" spans="1:19" x14ac:dyDescent="0.2">
      <c r="A5467" t="s">
        <v>6078</v>
      </c>
      <c r="B5467" t="s">
        <v>67</v>
      </c>
      <c r="C5467" t="s">
        <v>602</v>
      </c>
      <c r="D5467">
        <v>808.43</v>
      </c>
      <c r="E5467" s="37" t="str">
        <f t="shared" si="425"/>
        <v xml:space="preserve"> </v>
      </c>
      <c r="F5467">
        <v>0.34</v>
      </c>
      <c r="G5467" s="37" t="str">
        <f t="shared" si="426"/>
        <v>Heavy Discount</v>
      </c>
      <c r="H5467" s="37" t="str">
        <f t="shared" si="427"/>
        <v>Medium</v>
      </c>
      <c r="I5467">
        <v>4</v>
      </c>
      <c r="J5467" t="str" cm="1">
        <f t="array" ref="J5467">_xlfn.IFS(I5467&lt;=3,"small",I5467&lt;=6,"Medium",I5467&lt;=9,"Large")</f>
        <v>Medium</v>
      </c>
      <c r="K5467" s="36">
        <v>45549</v>
      </c>
      <c r="L5467" s="36">
        <v>45552</v>
      </c>
      <c r="M5467" t="s">
        <v>612</v>
      </c>
      <c r="N5467" t="s">
        <v>599</v>
      </c>
      <c r="O5467" s="37" t="str">
        <f t="shared" si="428"/>
        <v>Digital Payment</v>
      </c>
      <c r="P5467">
        <v>230.64</v>
      </c>
      <c r="Q5467" s="37" t="str">
        <f>IF(P5467&gt;500,"High","low")</f>
        <v>low</v>
      </c>
      <c r="R5467" s="37" t="str">
        <f t="shared" si="429"/>
        <v>AVERAGE</v>
      </c>
      <c r="S5467" t="s">
        <v>600</v>
      </c>
    </row>
    <row r="5468" spans="1:19" x14ac:dyDescent="0.2">
      <c r="A5468" t="s">
        <v>6079</v>
      </c>
      <c r="B5468" t="s">
        <v>83</v>
      </c>
      <c r="C5468" t="s">
        <v>597</v>
      </c>
      <c r="D5468">
        <v>1689.62</v>
      </c>
      <c r="E5468" s="37" t="str">
        <f t="shared" si="425"/>
        <v xml:space="preserve"> </v>
      </c>
      <c r="F5468">
        <v>0.09</v>
      </c>
      <c r="G5468" s="37" t="str">
        <f t="shared" si="426"/>
        <v>Normal Discount</v>
      </c>
      <c r="H5468" s="37" t="str">
        <f t="shared" si="427"/>
        <v>Low</v>
      </c>
      <c r="I5468">
        <v>6</v>
      </c>
      <c r="J5468" t="str" cm="1">
        <f t="array" ref="J5468">_xlfn.IFS(I5468&lt;=3,"small",I5468&lt;=6,"Medium",I5468&lt;=9,"Large")</f>
        <v>Medium</v>
      </c>
      <c r="K5468" s="36">
        <v>45587</v>
      </c>
      <c r="L5468" s="36">
        <v>45589</v>
      </c>
      <c r="M5468" t="s">
        <v>598</v>
      </c>
      <c r="N5468" t="s">
        <v>604</v>
      </c>
      <c r="O5468" s="37" t="str">
        <f t="shared" si="428"/>
        <v>Digital Payment</v>
      </c>
      <c r="P5468">
        <v>168.66</v>
      </c>
      <c r="Q5468" s="37" t="str">
        <f>IF(P5468&gt;500,"High","low")</f>
        <v>low</v>
      </c>
      <c r="R5468" s="37" t="str">
        <f t="shared" si="429"/>
        <v>AVERAGE</v>
      </c>
      <c r="S5468" t="s">
        <v>600</v>
      </c>
    </row>
    <row r="5469" spans="1:19" x14ac:dyDescent="0.2">
      <c r="A5469" t="s">
        <v>6080</v>
      </c>
      <c r="B5469" t="s">
        <v>67</v>
      </c>
      <c r="C5469" t="s">
        <v>617</v>
      </c>
      <c r="D5469">
        <v>901.32</v>
      </c>
      <c r="E5469" s="37" t="str">
        <f t="shared" si="425"/>
        <v xml:space="preserve"> </v>
      </c>
      <c r="F5469">
        <v>7.0000000000000007E-2</v>
      </c>
      <c r="G5469" s="37" t="str">
        <f t="shared" si="426"/>
        <v>Normal Discount</v>
      </c>
      <c r="H5469" s="37" t="str">
        <f t="shared" si="427"/>
        <v>Low</v>
      </c>
      <c r="I5469">
        <v>3</v>
      </c>
      <c r="J5469" t="str" cm="1">
        <f t="array" ref="J5469">_xlfn.IFS(I5469&lt;=3,"small",I5469&lt;=6,"Medium",I5469&lt;=9,"Large")</f>
        <v>small</v>
      </c>
      <c r="K5469" s="36">
        <v>45163</v>
      </c>
      <c r="L5469" s="36">
        <v>45167</v>
      </c>
      <c r="M5469" t="s">
        <v>612</v>
      </c>
      <c r="N5469" t="s">
        <v>604</v>
      </c>
      <c r="O5469" s="37" t="str">
        <f t="shared" si="428"/>
        <v>Digital Payment</v>
      </c>
      <c r="P5469">
        <v>132.80000000000001</v>
      </c>
      <c r="Q5469" s="37" t="str">
        <f>IF(P5469&gt;500,"High","low")</f>
        <v>low</v>
      </c>
      <c r="R5469" s="37" t="str">
        <f t="shared" si="429"/>
        <v>AVERAGE</v>
      </c>
      <c r="S5469" t="s">
        <v>620</v>
      </c>
    </row>
    <row r="5470" spans="1:19" x14ac:dyDescent="0.2">
      <c r="A5470" t="s">
        <v>6081</v>
      </c>
      <c r="B5470" t="s">
        <v>75</v>
      </c>
      <c r="C5470" t="s">
        <v>607</v>
      </c>
      <c r="D5470">
        <v>392.15</v>
      </c>
      <c r="E5470" s="37" t="str">
        <f t="shared" si="425"/>
        <v xml:space="preserve"> </v>
      </c>
      <c r="F5470">
        <v>0.09</v>
      </c>
      <c r="G5470" s="37" t="str">
        <f t="shared" si="426"/>
        <v>Normal Discount</v>
      </c>
      <c r="H5470" s="37" t="str">
        <f t="shared" si="427"/>
        <v>Low</v>
      </c>
      <c r="I5470">
        <v>1</v>
      </c>
      <c r="J5470" t="str" cm="1">
        <f t="array" ref="J5470">_xlfn.IFS(I5470&lt;=3,"small",I5470&lt;=6,"Medium",I5470&lt;=9,"Large")</f>
        <v>small</v>
      </c>
      <c r="K5470" s="36">
        <v>45285</v>
      </c>
      <c r="L5470" s="36">
        <v>45289</v>
      </c>
      <c r="M5470" t="s">
        <v>603</v>
      </c>
      <c r="N5470" t="s">
        <v>599</v>
      </c>
      <c r="O5470" s="37" t="str">
        <f t="shared" si="428"/>
        <v>Digital Payment</v>
      </c>
      <c r="P5470">
        <v>92.94</v>
      </c>
      <c r="Q5470" s="37" t="str">
        <f>IF(P5470&gt;500,"High","low")</f>
        <v>low</v>
      </c>
      <c r="R5470" s="37" t="str">
        <f t="shared" si="429"/>
        <v>AVERAGE</v>
      </c>
      <c r="S5470" t="s">
        <v>628</v>
      </c>
    </row>
    <row r="5471" spans="1:19" x14ac:dyDescent="0.2">
      <c r="A5471" t="s">
        <v>6082</v>
      </c>
      <c r="B5471" t="s">
        <v>90</v>
      </c>
      <c r="C5471" t="s">
        <v>597</v>
      </c>
      <c r="D5471">
        <v>1490.91</v>
      </c>
      <c r="E5471" s="37" t="str">
        <f t="shared" si="425"/>
        <v xml:space="preserve"> </v>
      </c>
      <c r="F5471">
        <v>0.35</v>
      </c>
      <c r="G5471" s="37" t="str">
        <f t="shared" si="426"/>
        <v>Heavy Discount</v>
      </c>
      <c r="H5471" s="37" t="str">
        <f t="shared" si="427"/>
        <v>Medium</v>
      </c>
      <c r="I5471">
        <v>1</v>
      </c>
      <c r="J5471" t="str" cm="1">
        <f t="array" ref="J5471">_xlfn.IFS(I5471&lt;=3,"small",I5471&lt;=6,"Medium",I5471&lt;=9,"Large")</f>
        <v>small</v>
      </c>
      <c r="K5471" s="36">
        <v>45487</v>
      </c>
      <c r="L5471" s="36">
        <v>45490</v>
      </c>
      <c r="M5471" t="s">
        <v>612</v>
      </c>
      <c r="N5471" t="s">
        <v>608</v>
      </c>
      <c r="O5471" s="37" t="str">
        <f t="shared" si="428"/>
        <v>Cash Payment</v>
      </c>
      <c r="P5471">
        <v>359.04</v>
      </c>
      <c r="Q5471" s="37" t="str">
        <f>IF(P5471&gt;500,"High","low")</f>
        <v>low</v>
      </c>
      <c r="R5471" s="37" t="str">
        <f t="shared" si="429"/>
        <v>AVERAGE</v>
      </c>
      <c r="S5471" t="s">
        <v>620</v>
      </c>
    </row>
    <row r="5472" spans="1:19" x14ac:dyDescent="0.2">
      <c r="A5472" t="s">
        <v>6083</v>
      </c>
      <c r="B5472" t="s">
        <v>75</v>
      </c>
      <c r="C5472" t="s">
        <v>614</v>
      </c>
      <c r="D5472">
        <v>905.36</v>
      </c>
      <c r="E5472" s="37" t="str">
        <f t="shared" si="425"/>
        <v xml:space="preserve"> </v>
      </c>
      <c r="F5472">
        <v>0.28999999999999998</v>
      </c>
      <c r="G5472" s="37" t="str">
        <f t="shared" si="426"/>
        <v>Normal Discount</v>
      </c>
      <c r="H5472" s="37" t="str">
        <f t="shared" si="427"/>
        <v>Medium</v>
      </c>
      <c r="I5472">
        <v>6</v>
      </c>
      <c r="J5472" t="str" cm="1">
        <f t="array" ref="J5472">_xlfn.IFS(I5472&lt;=3,"small",I5472&lt;=6,"Medium",I5472&lt;=9,"Large")</f>
        <v>Medium</v>
      </c>
      <c r="K5472" s="36">
        <v>44973</v>
      </c>
      <c r="L5472" s="36">
        <v>44978</v>
      </c>
      <c r="M5472" t="s">
        <v>603</v>
      </c>
      <c r="N5472" t="s">
        <v>608</v>
      </c>
      <c r="O5472" s="37" t="str">
        <f t="shared" si="428"/>
        <v>Cash Payment</v>
      </c>
      <c r="P5472">
        <v>260.14999999999998</v>
      </c>
      <c r="Q5472" s="37" t="str">
        <f>IF(P5472&gt;500,"High","low")</f>
        <v>low</v>
      </c>
      <c r="R5472" s="37" t="str">
        <f t="shared" si="429"/>
        <v>AVERAGE</v>
      </c>
      <c r="S5472" t="s">
        <v>620</v>
      </c>
    </row>
    <row r="5473" spans="1:19" x14ac:dyDescent="0.2">
      <c r="A5473" t="s">
        <v>6084</v>
      </c>
      <c r="B5473" t="s">
        <v>67</v>
      </c>
      <c r="C5473" t="s">
        <v>617</v>
      </c>
      <c r="D5473">
        <v>4017.04</v>
      </c>
      <c r="E5473" s="37" t="str">
        <f t="shared" si="425"/>
        <v xml:space="preserve"> </v>
      </c>
      <c r="F5473">
        <v>0.23</v>
      </c>
      <c r="G5473" s="37" t="str">
        <f t="shared" si="426"/>
        <v>Normal Discount</v>
      </c>
      <c r="H5473" s="37" t="str">
        <f t="shared" si="427"/>
        <v>Medium</v>
      </c>
      <c r="I5473">
        <v>4</v>
      </c>
      <c r="J5473" t="str" cm="1">
        <f t="array" ref="J5473">_xlfn.IFS(I5473&lt;=3,"small",I5473&lt;=6,"Medium",I5473&lt;=9,"Large")</f>
        <v>Medium</v>
      </c>
      <c r="K5473" s="36">
        <v>45027</v>
      </c>
      <c r="L5473" s="36">
        <v>45032</v>
      </c>
      <c r="M5473" t="s">
        <v>603</v>
      </c>
      <c r="N5473" t="s">
        <v>608</v>
      </c>
      <c r="O5473" s="37" t="str">
        <f t="shared" si="428"/>
        <v>Cash Payment</v>
      </c>
      <c r="P5473">
        <v>449.07</v>
      </c>
      <c r="Q5473" s="37" t="str">
        <f>IF(P5473&gt;500,"High","low")</f>
        <v>low</v>
      </c>
      <c r="R5473" s="37" t="str">
        <f t="shared" si="429"/>
        <v>AVERAGE</v>
      </c>
      <c r="S5473" t="s">
        <v>609</v>
      </c>
    </row>
    <row r="5474" spans="1:19" x14ac:dyDescent="0.2">
      <c r="A5474" t="s">
        <v>6085</v>
      </c>
      <c r="B5474" t="s">
        <v>67</v>
      </c>
      <c r="C5474" t="s">
        <v>617</v>
      </c>
      <c r="D5474">
        <v>407.02</v>
      </c>
      <c r="E5474" s="37" t="str">
        <f t="shared" si="425"/>
        <v xml:space="preserve"> </v>
      </c>
      <c r="F5474">
        <v>0.13</v>
      </c>
      <c r="G5474" s="37" t="str">
        <f t="shared" si="426"/>
        <v>Normal Discount</v>
      </c>
      <c r="H5474" s="37" t="str">
        <f t="shared" si="427"/>
        <v>Low</v>
      </c>
      <c r="I5474">
        <v>7</v>
      </c>
      <c r="J5474" t="str" cm="1">
        <f t="array" ref="J5474">_xlfn.IFS(I5474&lt;=3,"small",I5474&lt;=6,"Medium",I5474&lt;=9,"Large")</f>
        <v>Large</v>
      </c>
      <c r="K5474" s="36">
        <v>45524</v>
      </c>
      <c r="L5474" s="36">
        <v>45530</v>
      </c>
      <c r="M5474" t="s">
        <v>612</v>
      </c>
      <c r="N5474" t="s">
        <v>604</v>
      </c>
      <c r="O5474" s="37" t="str">
        <f t="shared" si="428"/>
        <v>Digital Payment</v>
      </c>
      <c r="P5474">
        <v>107.69</v>
      </c>
      <c r="Q5474" s="37" t="str">
        <f>IF(P5474&gt;500,"High","low")</f>
        <v>low</v>
      </c>
      <c r="R5474" s="37" t="str">
        <f t="shared" si="429"/>
        <v>AVERAGE</v>
      </c>
      <c r="S5474" t="s">
        <v>628</v>
      </c>
    </row>
    <row r="5475" spans="1:19" x14ac:dyDescent="0.2">
      <c r="A5475" t="s">
        <v>6086</v>
      </c>
      <c r="B5475" t="s">
        <v>67</v>
      </c>
      <c r="C5475" t="s">
        <v>602</v>
      </c>
      <c r="D5475">
        <v>3762.47</v>
      </c>
      <c r="E5475" s="37" t="str">
        <f t="shared" si="425"/>
        <v xml:space="preserve"> </v>
      </c>
      <c r="F5475">
        <v>0.45</v>
      </c>
      <c r="G5475" s="37" t="str">
        <f t="shared" si="426"/>
        <v>Heavy Discount</v>
      </c>
      <c r="H5475" s="37" t="str">
        <f t="shared" si="427"/>
        <v>High</v>
      </c>
      <c r="I5475">
        <v>9</v>
      </c>
      <c r="J5475" t="str" cm="1">
        <f t="array" ref="J5475">_xlfn.IFS(I5475&lt;=3,"small",I5475&lt;=6,"Medium",I5475&lt;=9,"Large")</f>
        <v>Large</v>
      </c>
      <c r="K5475" s="36">
        <v>45354</v>
      </c>
      <c r="L5475" s="36">
        <v>45360</v>
      </c>
      <c r="M5475" t="s">
        <v>603</v>
      </c>
      <c r="N5475" t="s">
        <v>604</v>
      </c>
      <c r="O5475" s="37" t="str">
        <f t="shared" si="428"/>
        <v>Digital Payment</v>
      </c>
      <c r="P5475">
        <v>237.51</v>
      </c>
      <c r="Q5475" s="37" t="str">
        <f>IF(P5475&gt;500,"High","low")</f>
        <v>low</v>
      </c>
      <c r="R5475" s="37" t="str">
        <f t="shared" si="429"/>
        <v>AVERAGE</v>
      </c>
      <c r="S5475" t="s">
        <v>628</v>
      </c>
    </row>
    <row r="5476" spans="1:19" x14ac:dyDescent="0.2">
      <c r="A5476" t="s">
        <v>6087</v>
      </c>
      <c r="B5476" t="s">
        <v>83</v>
      </c>
      <c r="C5476" t="s">
        <v>617</v>
      </c>
      <c r="D5476">
        <v>1975.7</v>
      </c>
      <c r="E5476" s="37" t="str">
        <f t="shared" si="425"/>
        <v xml:space="preserve"> </v>
      </c>
      <c r="F5476">
        <v>0.11</v>
      </c>
      <c r="G5476" s="37" t="str">
        <f t="shared" si="426"/>
        <v>Normal Discount</v>
      </c>
      <c r="H5476" s="37" t="str">
        <f t="shared" si="427"/>
        <v>Low</v>
      </c>
      <c r="I5476">
        <v>8</v>
      </c>
      <c r="J5476" t="str" cm="1">
        <f t="array" ref="J5476">_xlfn.IFS(I5476&lt;=3,"small",I5476&lt;=6,"Medium",I5476&lt;=9,"Large")</f>
        <v>Large</v>
      </c>
      <c r="K5476" s="36">
        <v>45328</v>
      </c>
      <c r="L5476" s="36">
        <v>45331</v>
      </c>
      <c r="M5476" t="s">
        <v>603</v>
      </c>
      <c r="N5476" t="s">
        <v>599</v>
      </c>
      <c r="O5476" s="37" t="str">
        <f t="shared" si="428"/>
        <v>Digital Payment</v>
      </c>
      <c r="P5476">
        <v>170.8</v>
      </c>
      <c r="Q5476" s="37" t="str">
        <f>IF(P5476&gt;500,"High","low")</f>
        <v>low</v>
      </c>
      <c r="R5476" s="37" t="str">
        <f t="shared" si="429"/>
        <v>AVERAGE</v>
      </c>
      <c r="S5476" t="s">
        <v>620</v>
      </c>
    </row>
    <row r="5477" spans="1:19" x14ac:dyDescent="0.2">
      <c r="A5477" t="s">
        <v>6088</v>
      </c>
      <c r="B5477" t="s">
        <v>90</v>
      </c>
      <c r="C5477" t="s">
        <v>617</v>
      </c>
      <c r="D5477">
        <v>3409.07</v>
      </c>
      <c r="E5477" s="37" t="str">
        <f t="shared" si="425"/>
        <v xml:space="preserve"> </v>
      </c>
      <c r="F5477">
        <v>0.14000000000000001</v>
      </c>
      <c r="G5477" s="37" t="str">
        <f t="shared" si="426"/>
        <v>Normal Discount</v>
      </c>
      <c r="H5477" s="37" t="str">
        <f t="shared" si="427"/>
        <v>Low</v>
      </c>
      <c r="I5477">
        <v>3</v>
      </c>
      <c r="J5477" t="str" cm="1">
        <f t="array" ref="J5477">_xlfn.IFS(I5477&lt;=3,"small",I5477&lt;=6,"Medium",I5477&lt;=9,"Large")</f>
        <v>small</v>
      </c>
      <c r="K5477" s="36">
        <v>45220</v>
      </c>
      <c r="L5477" s="36">
        <v>45227</v>
      </c>
      <c r="M5477" t="s">
        <v>612</v>
      </c>
      <c r="N5477" t="s">
        <v>604</v>
      </c>
      <c r="O5477" s="37" t="str">
        <f t="shared" si="428"/>
        <v>Digital Payment</v>
      </c>
      <c r="P5477">
        <v>974.17</v>
      </c>
      <c r="Q5477" s="37" t="str">
        <f>IF(P5477&gt;500,"High","low")</f>
        <v>High</v>
      </c>
      <c r="R5477" s="37" t="str">
        <f t="shared" si="429"/>
        <v>Good</v>
      </c>
      <c r="S5477" t="s">
        <v>615</v>
      </c>
    </row>
    <row r="5478" spans="1:19" x14ac:dyDescent="0.2">
      <c r="A5478" t="s">
        <v>6089</v>
      </c>
      <c r="B5478" t="s">
        <v>90</v>
      </c>
      <c r="C5478" t="s">
        <v>614</v>
      </c>
      <c r="D5478">
        <v>358.18</v>
      </c>
      <c r="E5478" s="37" t="str">
        <f t="shared" si="425"/>
        <v xml:space="preserve"> </v>
      </c>
      <c r="F5478">
        <v>0.03</v>
      </c>
      <c r="G5478" s="37" t="str">
        <f t="shared" si="426"/>
        <v>Normal Discount</v>
      </c>
      <c r="H5478" s="37" t="str">
        <f t="shared" si="427"/>
        <v>Low</v>
      </c>
      <c r="I5478">
        <v>7</v>
      </c>
      <c r="J5478" t="str" cm="1">
        <f t="array" ref="J5478">_xlfn.IFS(I5478&lt;=3,"small",I5478&lt;=6,"Medium",I5478&lt;=9,"Large")</f>
        <v>Large</v>
      </c>
      <c r="K5478" s="36">
        <v>45474</v>
      </c>
      <c r="L5478" s="36">
        <v>45475</v>
      </c>
      <c r="M5478" t="s">
        <v>603</v>
      </c>
      <c r="N5478" t="s">
        <v>599</v>
      </c>
      <c r="O5478" s="37" t="str">
        <f t="shared" si="428"/>
        <v>Digital Payment</v>
      </c>
      <c r="P5478">
        <v>96.78</v>
      </c>
      <c r="Q5478" s="37" t="str">
        <f>IF(P5478&gt;500,"High","low")</f>
        <v>low</v>
      </c>
      <c r="R5478" s="37" t="str">
        <f t="shared" si="429"/>
        <v>AVERAGE</v>
      </c>
      <c r="S5478" t="s">
        <v>609</v>
      </c>
    </row>
    <row r="5479" spans="1:19" x14ac:dyDescent="0.2">
      <c r="A5479" t="s">
        <v>6090</v>
      </c>
      <c r="B5479" t="s">
        <v>67</v>
      </c>
      <c r="C5479" t="s">
        <v>597</v>
      </c>
      <c r="D5479">
        <v>4611.45</v>
      </c>
      <c r="E5479" s="37" t="str">
        <f t="shared" si="425"/>
        <v xml:space="preserve"> </v>
      </c>
      <c r="F5479">
        <v>0.14000000000000001</v>
      </c>
      <c r="G5479" s="37" t="str">
        <f t="shared" si="426"/>
        <v>Normal Discount</v>
      </c>
      <c r="H5479" s="37" t="str">
        <f t="shared" si="427"/>
        <v>Low</v>
      </c>
      <c r="I5479">
        <v>1</v>
      </c>
      <c r="J5479" t="str" cm="1">
        <f t="array" ref="J5479">_xlfn.IFS(I5479&lt;=3,"small",I5479&lt;=6,"Medium",I5479&lt;=9,"Large")</f>
        <v>small</v>
      </c>
      <c r="K5479" s="36">
        <v>45242</v>
      </c>
      <c r="L5479" s="36">
        <v>45243</v>
      </c>
      <c r="M5479" t="s">
        <v>612</v>
      </c>
      <c r="N5479" t="s">
        <v>608</v>
      </c>
      <c r="O5479" s="37" t="str">
        <f t="shared" si="428"/>
        <v>Cash Payment</v>
      </c>
      <c r="P5479">
        <v>300.82</v>
      </c>
      <c r="Q5479" s="37" t="str">
        <f>IF(P5479&gt;500,"High","low")</f>
        <v>low</v>
      </c>
      <c r="R5479" s="37" t="str">
        <f t="shared" si="429"/>
        <v>AVERAGE</v>
      </c>
      <c r="S5479" t="s">
        <v>620</v>
      </c>
    </row>
    <row r="5480" spans="1:19" x14ac:dyDescent="0.2">
      <c r="A5480" t="s">
        <v>6091</v>
      </c>
      <c r="B5480" t="s">
        <v>67</v>
      </c>
      <c r="C5480" t="s">
        <v>617</v>
      </c>
      <c r="D5480">
        <v>3860.14</v>
      </c>
      <c r="E5480" s="37" t="str">
        <f t="shared" si="425"/>
        <v xml:space="preserve"> </v>
      </c>
      <c r="F5480">
        <v>0.46</v>
      </c>
      <c r="G5480" s="37" t="str">
        <f t="shared" si="426"/>
        <v>Heavy Discount</v>
      </c>
      <c r="H5480" s="37" t="str">
        <f t="shared" si="427"/>
        <v>High</v>
      </c>
      <c r="I5480">
        <v>2</v>
      </c>
      <c r="J5480" t="str" cm="1">
        <f t="array" ref="J5480">_xlfn.IFS(I5480&lt;=3,"small",I5480&lt;=6,"Medium",I5480&lt;=9,"Large")</f>
        <v>small</v>
      </c>
      <c r="K5480" s="36">
        <v>45634</v>
      </c>
      <c r="L5480" s="36">
        <v>45635</v>
      </c>
      <c r="M5480" t="s">
        <v>612</v>
      </c>
      <c r="N5480" t="s">
        <v>599</v>
      </c>
      <c r="O5480" s="37" t="str">
        <f t="shared" si="428"/>
        <v>Digital Payment</v>
      </c>
      <c r="P5480">
        <v>258.27</v>
      </c>
      <c r="Q5480" s="37" t="str">
        <f>IF(P5480&gt;500,"High","low")</f>
        <v>low</v>
      </c>
      <c r="R5480" s="37" t="str">
        <f t="shared" si="429"/>
        <v>AVERAGE</v>
      </c>
      <c r="S5480" t="s">
        <v>628</v>
      </c>
    </row>
    <row r="5481" spans="1:19" x14ac:dyDescent="0.2">
      <c r="A5481" t="s">
        <v>6092</v>
      </c>
      <c r="B5481" t="s">
        <v>83</v>
      </c>
      <c r="C5481" t="s">
        <v>602</v>
      </c>
      <c r="D5481">
        <v>786.7</v>
      </c>
      <c r="E5481" s="37" t="str">
        <f t="shared" si="425"/>
        <v xml:space="preserve"> </v>
      </c>
      <c r="F5481">
        <v>0.09</v>
      </c>
      <c r="G5481" s="37" t="str">
        <f t="shared" si="426"/>
        <v>Normal Discount</v>
      </c>
      <c r="H5481" s="37" t="str">
        <f t="shared" si="427"/>
        <v>Low</v>
      </c>
      <c r="I5481">
        <v>9</v>
      </c>
      <c r="J5481" t="str" cm="1">
        <f t="array" ref="J5481">_xlfn.IFS(I5481&lt;=3,"small",I5481&lt;=6,"Medium",I5481&lt;=9,"Large")</f>
        <v>Large</v>
      </c>
      <c r="K5481" s="36">
        <v>45163</v>
      </c>
      <c r="L5481" s="36">
        <v>45168</v>
      </c>
      <c r="M5481" t="s">
        <v>603</v>
      </c>
      <c r="N5481" t="s">
        <v>604</v>
      </c>
      <c r="O5481" s="37" t="str">
        <f t="shared" si="428"/>
        <v>Digital Payment</v>
      </c>
      <c r="P5481">
        <v>108.55</v>
      </c>
      <c r="Q5481" s="37" t="str">
        <f>IF(P5481&gt;500,"High","low")</f>
        <v>low</v>
      </c>
      <c r="R5481" s="37" t="str">
        <f t="shared" si="429"/>
        <v>AVERAGE</v>
      </c>
      <c r="S5481" t="s">
        <v>620</v>
      </c>
    </row>
    <row r="5482" spans="1:19" x14ac:dyDescent="0.2">
      <c r="A5482" t="s">
        <v>6093</v>
      </c>
      <c r="B5482" t="s">
        <v>75</v>
      </c>
      <c r="C5482" t="s">
        <v>597</v>
      </c>
      <c r="D5482">
        <v>1172.04</v>
      </c>
      <c r="E5482" s="37" t="str">
        <f t="shared" si="425"/>
        <v xml:space="preserve"> </v>
      </c>
      <c r="F5482">
        <v>0.1</v>
      </c>
      <c r="G5482" s="37" t="str">
        <f t="shared" si="426"/>
        <v>Normal Discount</v>
      </c>
      <c r="H5482" s="37" t="str">
        <f t="shared" si="427"/>
        <v>Low</v>
      </c>
      <c r="I5482">
        <v>8</v>
      </c>
      <c r="J5482" t="str" cm="1">
        <f t="array" ref="J5482">_xlfn.IFS(I5482&lt;=3,"small",I5482&lt;=6,"Medium",I5482&lt;=9,"Large")</f>
        <v>Large</v>
      </c>
      <c r="K5482" s="36">
        <v>45512</v>
      </c>
      <c r="L5482" s="36">
        <v>45515</v>
      </c>
      <c r="M5482" t="s">
        <v>598</v>
      </c>
      <c r="N5482" t="s">
        <v>608</v>
      </c>
      <c r="O5482" s="37" t="str">
        <f t="shared" si="428"/>
        <v>Cash Payment</v>
      </c>
      <c r="P5482">
        <v>175.8</v>
      </c>
      <c r="Q5482" s="37" t="str">
        <f>IF(P5482&gt;500,"High","low")</f>
        <v>low</v>
      </c>
      <c r="R5482" s="37" t="str">
        <f t="shared" si="429"/>
        <v>AVERAGE</v>
      </c>
      <c r="S5482" t="s">
        <v>605</v>
      </c>
    </row>
    <row r="5483" spans="1:19" x14ac:dyDescent="0.2">
      <c r="A5483" t="s">
        <v>6094</v>
      </c>
      <c r="B5483" t="s">
        <v>75</v>
      </c>
      <c r="C5483" t="s">
        <v>602</v>
      </c>
      <c r="D5483">
        <v>3255.58</v>
      </c>
      <c r="E5483" s="37" t="str">
        <f t="shared" si="425"/>
        <v xml:space="preserve"> </v>
      </c>
      <c r="F5483">
        <v>0.3</v>
      </c>
      <c r="G5483" s="37" t="str">
        <f t="shared" si="426"/>
        <v>Normal Discount</v>
      </c>
      <c r="H5483" s="37" t="str">
        <f t="shared" si="427"/>
        <v>Medium</v>
      </c>
      <c r="I5483">
        <v>7</v>
      </c>
      <c r="J5483" t="str" cm="1">
        <f t="array" ref="J5483">_xlfn.IFS(I5483&lt;=3,"small",I5483&lt;=6,"Medium",I5483&lt;=9,"Large")</f>
        <v>Large</v>
      </c>
      <c r="K5483" s="36">
        <v>45355</v>
      </c>
      <c r="L5483" s="36">
        <v>45362</v>
      </c>
      <c r="M5483" t="s">
        <v>612</v>
      </c>
      <c r="N5483" t="s">
        <v>604</v>
      </c>
      <c r="O5483" s="37" t="str">
        <f t="shared" si="428"/>
        <v>Digital Payment</v>
      </c>
      <c r="P5483">
        <v>543.54</v>
      </c>
      <c r="Q5483" s="37" t="str">
        <f>IF(P5483&gt;500,"High","low")</f>
        <v>High</v>
      </c>
      <c r="R5483" s="37" t="str">
        <f t="shared" si="429"/>
        <v>Good</v>
      </c>
      <c r="S5483" t="s">
        <v>605</v>
      </c>
    </row>
    <row r="5484" spans="1:19" x14ac:dyDescent="0.2">
      <c r="A5484" t="s">
        <v>6095</v>
      </c>
      <c r="B5484" t="s">
        <v>90</v>
      </c>
      <c r="C5484" t="s">
        <v>617</v>
      </c>
      <c r="D5484">
        <v>4615.66</v>
      </c>
      <c r="E5484" s="37" t="str">
        <f t="shared" si="425"/>
        <v>Excellent Order</v>
      </c>
      <c r="F5484">
        <v>0.28000000000000003</v>
      </c>
      <c r="G5484" s="37" t="str">
        <f t="shared" si="426"/>
        <v>Normal Discount</v>
      </c>
      <c r="H5484" s="37" t="str">
        <f t="shared" si="427"/>
        <v>Medium</v>
      </c>
      <c r="I5484">
        <v>2</v>
      </c>
      <c r="J5484" t="str" cm="1">
        <f t="array" ref="J5484">_xlfn.IFS(I5484&lt;=3,"small",I5484&lt;=6,"Medium",I5484&lt;=9,"Large")</f>
        <v>small</v>
      </c>
      <c r="K5484" s="36">
        <v>45256</v>
      </c>
      <c r="L5484" s="36">
        <v>45259</v>
      </c>
      <c r="M5484" t="s">
        <v>603</v>
      </c>
      <c r="N5484" t="s">
        <v>608</v>
      </c>
      <c r="O5484" s="37" t="str">
        <f t="shared" si="428"/>
        <v>Cash Payment</v>
      </c>
      <c r="P5484">
        <v>863.7</v>
      </c>
      <c r="Q5484" s="37" t="str">
        <f>IF(P5484&gt;500,"High","low")</f>
        <v>High</v>
      </c>
      <c r="R5484" s="37" t="str">
        <f t="shared" si="429"/>
        <v>Good</v>
      </c>
      <c r="S5484" t="s">
        <v>600</v>
      </c>
    </row>
    <row r="5485" spans="1:19" x14ac:dyDescent="0.2">
      <c r="A5485" t="s">
        <v>6096</v>
      </c>
      <c r="B5485" t="s">
        <v>83</v>
      </c>
      <c r="C5485" t="s">
        <v>597</v>
      </c>
      <c r="D5485">
        <v>2284.58</v>
      </c>
      <c r="E5485" s="37" t="str">
        <f t="shared" si="425"/>
        <v xml:space="preserve"> </v>
      </c>
      <c r="F5485">
        <v>0.09</v>
      </c>
      <c r="G5485" s="37" t="str">
        <f t="shared" si="426"/>
        <v>Normal Discount</v>
      </c>
      <c r="H5485" s="37" t="str">
        <f t="shared" si="427"/>
        <v>Low</v>
      </c>
      <c r="I5485">
        <v>2</v>
      </c>
      <c r="J5485" t="str" cm="1">
        <f t="array" ref="J5485">_xlfn.IFS(I5485&lt;=3,"small",I5485&lt;=6,"Medium",I5485&lt;=9,"Large")</f>
        <v>small</v>
      </c>
      <c r="K5485" s="36">
        <v>45385</v>
      </c>
      <c r="L5485" s="36">
        <v>45390</v>
      </c>
      <c r="M5485" t="s">
        <v>603</v>
      </c>
      <c r="N5485" t="s">
        <v>604</v>
      </c>
      <c r="O5485" s="37" t="str">
        <f t="shared" si="428"/>
        <v>Digital Payment</v>
      </c>
      <c r="P5485">
        <v>188.84</v>
      </c>
      <c r="Q5485" s="37" t="str">
        <f>IF(P5485&gt;500,"High","low")</f>
        <v>low</v>
      </c>
      <c r="R5485" s="37" t="str">
        <f t="shared" si="429"/>
        <v>AVERAGE</v>
      </c>
      <c r="S5485" t="s">
        <v>628</v>
      </c>
    </row>
    <row r="5486" spans="1:19" x14ac:dyDescent="0.2">
      <c r="A5486" t="s">
        <v>6097</v>
      </c>
      <c r="B5486" t="s">
        <v>67</v>
      </c>
      <c r="C5486" t="s">
        <v>617</v>
      </c>
      <c r="D5486">
        <v>2479.6</v>
      </c>
      <c r="E5486" s="37" t="str">
        <f t="shared" si="425"/>
        <v xml:space="preserve"> </v>
      </c>
      <c r="F5486">
        <v>0.08</v>
      </c>
      <c r="G5486" s="37" t="str">
        <f t="shared" si="426"/>
        <v>Normal Discount</v>
      </c>
      <c r="H5486" s="37" t="str">
        <f t="shared" si="427"/>
        <v>Low</v>
      </c>
      <c r="I5486">
        <v>7</v>
      </c>
      <c r="J5486" t="str" cm="1">
        <f t="array" ref="J5486">_xlfn.IFS(I5486&lt;=3,"small",I5486&lt;=6,"Medium",I5486&lt;=9,"Large")</f>
        <v>Large</v>
      </c>
      <c r="K5486" s="36">
        <v>45552</v>
      </c>
      <c r="L5486" s="36">
        <v>45555</v>
      </c>
      <c r="M5486" t="s">
        <v>598</v>
      </c>
      <c r="N5486" t="s">
        <v>604</v>
      </c>
      <c r="O5486" s="37" t="str">
        <f t="shared" si="428"/>
        <v>Digital Payment</v>
      </c>
      <c r="P5486">
        <v>735.46</v>
      </c>
      <c r="Q5486" s="37" t="str">
        <f>IF(P5486&gt;500,"High","low")</f>
        <v>High</v>
      </c>
      <c r="R5486" s="37" t="str">
        <f t="shared" si="429"/>
        <v>Good</v>
      </c>
      <c r="S5486" t="s">
        <v>620</v>
      </c>
    </row>
    <row r="5487" spans="1:19" x14ac:dyDescent="0.2">
      <c r="A5487" t="s">
        <v>6098</v>
      </c>
      <c r="B5487" t="s">
        <v>90</v>
      </c>
      <c r="C5487" t="s">
        <v>614</v>
      </c>
      <c r="D5487">
        <v>1265.22</v>
      </c>
      <c r="E5487" s="37" t="str">
        <f t="shared" si="425"/>
        <v xml:space="preserve"> </v>
      </c>
      <c r="F5487">
        <v>0.06</v>
      </c>
      <c r="G5487" s="37" t="str">
        <f t="shared" si="426"/>
        <v>Normal Discount</v>
      </c>
      <c r="H5487" s="37" t="str">
        <f t="shared" si="427"/>
        <v>Low</v>
      </c>
      <c r="I5487">
        <v>7</v>
      </c>
      <c r="J5487" t="str" cm="1">
        <f t="array" ref="J5487">_xlfn.IFS(I5487&lt;=3,"small",I5487&lt;=6,"Medium",I5487&lt;=9,"Large")</f>
        <v>Large</v>
      </c>
      <c r="K5487" s="36">
        <v>45575</v>
      </c>
      <c r="L5487" s="36">
        <v>45577</v>
      </c>
      <c r="M5487" t="s">
        <v>612</v>
      </c>
      <c r="N5487" t="s">
        <v>608</v>
      </c>
      <c r="O5487" s="37" t="str">
        <f t="shared" si="428"/>
        <v>Cash Payment</v>
      </c>
      <c r="P5487">
        <v>366.23</v>
      </c>
      <c r="Q5487" s="37" t="str">
        <f>IF(P5487&gt;500,"High","low")</f>
        <v>low</v>
      </c>
      <c r="R5487" s="37" t="str">
        <f t="shared" si="429"/>
        <v>AVERAGE</v>
      </c>
      <c r="S5487" t="s">
        <v>609</v>
      </c>
    </row>
    <row r="5488" spans="1:19" x14ac:dyDescent="0.2">
      <c r="A5488" t="s">
        <v>6099</v>
      </c>
      <c r="B5488" t="s">
        <v>83</v>
      </c>
      <c r="C5488" t="s">
        <v>597</v>
      </c>
      <c r="D5488">
        <v>1976.75</v>
      </c>
      <c r="E5488" s="37" t="str">
        <f t="shared" si="425"/>
        <v xml:space="preserve"> </v>
      </c>
      <c r="F5488">
        <v>0.43</v>
      </c>
      <c r="G5488" s="37" t="str">
        <f t="shared" si="426"/>
        <v>Heavy Discount</v>
      </c>
      <c r="H5488" s="37" t="str">
        <f t="shared" si="427"/>
        <v>High</v>
      </c>
      <c r="I5488">
        <v>6</v>
      </c>
      <c r="J5488" t="str" cm="1">
        <f t="array" ref="J5488">_xlfn.IFS(I5488&lt;=3,"small",I5488&lt;=6,"Medium",I5488&lt;=9,"Large")</f>
        <v>Medium</v>
      </c>
      <c r="K5488" s="36">
        <v>44939</v>
      </c>
      <c r="L5488" s="36">
        <v>44940</v>
      </c>
      <c r="M5488" t="s">
        <v>598</v>
      </c>
      <c r="N5488" t="s">
        <v>608</v>
      </c>
      <c r="O5488" s="37" t="str">
        <f t="shared" si="428"/>
        <v>Cash Payment</v>
      </c>
      <c r="P5488">
        <v>300.88</v>
      </c>
      <c r="Q5488" s="37" t="str">
        <f>IF(P5488&gt;500,"High","low")</f>
        <v>low</v>
      </c>
      <c r="R5488" s="37" t="str">
        <f t="shared" si="429"/>
        <v>AVERAGE</v>
      </c>
      <c r="S5488" t="s">
        <v>620</v>
      </c>
    </row>
    <row r="5489" spans="1:19" x14ac:dyDescent="0.2">
      <c r="A5489" t="s">
        <v>6100</v>
      </c>
      <c r="B5489" t="s">
        <v>75</v>
      </c>
      <c r="C5489" t="s">
        <v>602</v>
      </c>
      <c r="D5489">
        <v>1501.49</v>
      </c>
      <c r="E5489" s="37" t="str">
        <f t="shared" si="425"/>
        <v xml:space="preserve"> </v>
      </c>
      <c r="F5489">
        <v>0.33</v>
      </c>
      <c r="G5489" s="37" t="str">
        <f t="shared" si="426"/>
        <v>Heavy Discount</v>
      </c>
      <c r="H5489" s="37" t="str">
        <f t="shared" si="427"/>
        <v>Medium</v>
      </c>
      <c r="I5489">
        <v>5</v>
      </c>
      <c r="J5489" t="str" cm="1">
        <f t="array" ref="J5489">_xlfn.IFS(I5489&lt;=3,"small",I5489&lt;=6,"Medium",I5489&lt;=9,"Large")</f>
        <v>Medium</v>
      </c>
      <c r="K5489" s="36">
        <v>45111</v>
      </c>
      <c r="L5489" s="36">
        <v>45118</v>
      </c>
      <c r="M5489" t="s">
        <v>612</v>
      </c>
      <c r="N5489" t="s">
        <v>608</v>
      </c>
      <c r="O5489" s="37" t="str">
        <f t="shared" si="428"/>
        <v>Cash Payment</v>
      </c>
      <c r="P5489">
        <v>258.16000000000003</v>
      </c>
      <c r="Q5489" s="37" t="str">
        <f>IF(P5489&gt;500,"High","low")</f>
        <v>low</v>
      </c>
      <c r="R5489" s="37" t="str">
        <f t="shared" si="429"/>
        <v>AVERAGE</v>
      </c>
      <c r="S5489" t="s">
        <v>615</v>
      </c>
    </row>
    <row r="5490" spans="1:19" x14ac:dyDescent="0.2">
      <c r="A5490" t="s">
        <v>6101</v>
      </c>
      <c r="B5490" t="s">
        <v>83</v>
      </c>
      <c r="C5490" t="s">
        <v>614</v>
      </c>
      <c r="D5490">
        <v>1817.8</v>
      </c>
      <c r="E5490" s="37" t="str">
        <f t="shared" si="425"/>
        <v xml:space="preserve"> </v>
      </c>
      <c r="F5490">
        <v>0.48</v>
      </c>
      <c r="G5490" s="37" t="str">
        <f t="shared" si="426"/>
        <v>Heavy Discount</v>
      </c>
      <c r="H5490" s="37" t="str">
        <f t="shared" si="427"/>
        <v>High</v>
      </c>
      <c r="I5490">
        <v>6</v>
      </c>
      <c r="J5490" t="str" cm="1">
        <f t="array" ref="J5490">_xlfn.IFS(I5490&lt;=3,"small",I5490&lt;=6,"Medium",I5490&lt;=9,"Large")</f>
        <v>Medium</v>
      </c>
      <c r="K5490" s="36">
        <v>45008</v>
      </c>
      <c r="L5490" s="36">
        <v>45011</v>
      </c>
      <c r="M5490" t="s">
        <v>603</v>
      </c>
      <c r="N5490" t="s">
        <v>599</v>
      </c>
      <c r="O5490" s="37" t="str">
        <f t="shared" si="428"/>
        <v>Digital Payment</v>
      </c>
      <c r="P5490">
        <v>255.92</v>
      </c>
      <c r="Q5490" s="37" t="str">
        <f>IF(P5490&gt;500,"High","low")</f>
        <v>low</v>
      </c>
      <c r="R5490" s="37" t="str">
        <f t="shared" si="429"/>
        <v>AVERAGE</v>
      </c>
      <c r="S5490" t="s">
        <v>620</v>
      </c>
    </row>
    <row r="5491" spans="1:19" x14ac:dyDescent="0.2">
      <c r="A5491" t="s">
        <v>6102</v>
      </c>
      <c r="B5491" t="s">
        <v>75</v>
      </c>
      <c r="C5491" t="s">
        <v>607</v>
      </c>
      <c r="D5491">
        <v>200.93</v>
      </c>
      <c r="E5491" s="37" t="str">
        <f t="shared" si="425"/>
        <v xml:space="preserve"> </v>
      </c>
      <c r="F5491">
        <v>0.08</v>
      </c>
      <c r="G5491" s="37" t="str">
        <f t="shared" si="426"/>
        <v>Normal Discount</v>
      </c>
      <c r="H5491" s="37" t="str">
        <f t="shared" si="427"/>
        <v>Low</v>
      </c>
      <c r="I5491">
        <v>9</v>
      </c>
      <c r="J5491" t="str" cm="1">
        <f t="array" ref="J5491">_xlfn.IFS(I5491&lt;=3,"small",I5491&lt;=6,"Medium",I5491&lt;=9,"Large")</f>
        <v>Large</v>
      </c>
      <c r="K5491" s="36">
        <v>45293</v>
      </c>
      <c r="L5491" s="36">
        <v>45298</v>
      </c>
      <c r="M5491" t="s">
        <v>612</v>
      </c>
      <c r="N5491" t="s">
        <v>599</v>
      </c>
      <c r="O5491" s="37" t="str">
        <f t="shared" si="428"/>
        <v>Digital Payment</v>
      </c>
      <c r="P5491">
        <v>42.73</v>
      </c>
      <c r="Q5491" s="37" t="str">
        <f>IF(P5491&gt;500,"High","low")</f>
        <v>low</v>
      </c>
      <c r="R5491" s="37" t="str">
        <f t="shared" si="429"/>
        <v>AVERAGE</v>
      </c>
      <c r="S5491" t="s">
        <v>609</v>
      </c>
    </row>
    <row r="5492" spans="1:19" x14ac:dyDescent="0.2">
      <c r="A5492" t="s">
        <v>6103</v>
      </c>
      <c r="B5492" t="s">
        <v>83</v>
      </c>
      <c r="C5492" t="s">
        <v>602</v>
      </c>
      <c r="D5492">
        <v>301.2</v>
      </c>
      <c r="E5492" s="37" t="str">
        <f t="shared" si="425"/>
        <v xml:space="preserve"> </v>
      </c>
      <c r="F5492">
        <v>0.23</v>
      </c>
      <c r="G5492" s="37" t="str">
        <f t="shared" si="426"/>
        <v>Normal Discount</v>
      </c>
      <c r="H5492" s="37" t="str">
        <f t="shared" si="427"/>
        <v>Medium</v>
      </c>
      <c r="I5492">
        <v>4</v>
      </c>
      <c r="J5492" t="str" cm="1">
        <f t="array" ref="J5492">_xlfn.IFS(I5492&lt;=3,"small",I5492&lt;=6,"Medium",I5492&lt;=9,"Large")</f>
        <v>Medium</v>
      </c>
      <c r="K5492" s="36">
        <v>45239</v>
      </c>
      <c r="L5492" s="36">
        <v>45242</v>
      </c>
      <c r="M5492" t="s">
        <v>603</v>
      </c>
      <c r="N5492" t="s">
        <v>604</v>
      </c>
      <c r="O5492" s="37" t="str">
        <f t="shared" si="428"/>
        <v>Digital Payment</v>
      </c>
      <c r="P5492">
        <v>67.72</v>
      </c>
      <c r="Q5492" s="37" t="str">
        <f>IF(P5492&gt;500,"High","low")</f>
        <v>low</v>
      </c>
      <c r="R5492" s="37" t="str">
        <f t="shared" si="429"/>
        <v>AVERAGE</v>
      </c>
      <c r="S5492" t="s">
        <v>605</v>
      </c>
    </row>
    <row r="5493" spans="1:19" x14ac:dyDescent="0.2">
      <c r="A5493" t="s">
        <v>6104</v>
      </c>
      <c r="B5493" t="s">
        <v>90</v>
      </c>
      <c r="C5493" t="s">
        <v>617</v>
      </c>
      <c r="D5493">
        <v>3435.36</v>
      </c>
      <c r="E5493" s="37" t="str">
        <f t="shared" si="425"/>
        <v xml:space="preserve"> </v>
      </c>
      <c r="F5493">
        <v>0.37</v>
      </c>
      <c r="G5493" s="37" t="str">
        <f t="shared" si="426"/>
        <v>Heavy Discount</v>
      </c>
      <c r="H5493" s="37" t="str">
        <f t="shared" si="427"/>
        <v>Medium</v>
      </c>
      <c r="I5493">
        <v>1</v>
      </c>
      <c r="J5493" t="str" cm="1">
        <f t="array" ref="J5493">_xlfn.IFS(I5493&lt;=3,"small",I5493&lt;=6,"Medium",I5493&lt;=9,"Large")</f>
        <v>small</v>
      </c>
      <c r="K5493" s="36">
        <v>45091</v>
      </c>
      <c r="L5493" s="36">
        <v>45097</v>
      </c>
      <c r="M5493" t="s">
        <v>603</v>
      </c>
      <c r="N5493" t="s">
        <v>604</v>
      </c>
      <c r="O5493" s="37" t="str">
        <f t="shared" si="428"/>
        <v>Digital Payment</v>
      </c>
      <c r="P5493">
        <v>631.58000000000004</v>
      </c>
      <c r="Q5493" s="37" t="str">
        <f>IF(P5493&gt;500,"High","low")</f>
        <v>High</v>
      </c>
      <c r="R5493" s="37" t="str">
        <f t="shared" si="429"/>
        <v>Good</v>
      </c>
      <c r="S5493" t="s">
        <v>628</v>
      </c>
    </row>
    <row r="5494" spans="1:19" x14ac:dyDescent="0.2">
      <c r="A5494" t="s">
        <v>6105</v>
      </c>
      <c r="B5494" t="s">
        <v>75</v>
      </c>
      <c r="C5494" t="s">
        <v>602</v>
      </c>
      <c r="D5494">
        <v>3440.8</v>
      </c>
      <c r="E5494" s="37" t="str">
        <f t="shared" si="425"/>
        <v xml:space="preserve"> </v>
      </c>
      <c r="F5494">
        <v>0.11</v>
      </c>
      <c r="G5494" s="37" t="str">
        <f t="shared" si="426"/>
        <v>Normal Discount</v>
      </c>
      <c r="H5494" s="37" t="str">
        <f t="shared" si="427"/>
        <v>Low</v>
      </c>
      <c r="I5494">
        <v>9</v>
      </c>
      <c r="J5494" t="str" cm="1">
        <f t="array" ref="J5494">_xlfn.IFS(I5494&lt;=3,"small",I5494&lt;=6,"Medium",I5494&lt;=9,"Large")</f>
        <v>Large</v>
      </c>
      <c r="K5494" s="36">
        <v>45449</v>
      </c>
      <c r="L5494" s="36">
        <v>45455</v>
      </c>
      <c r="M5494" t="s">
        <v>598</v>
      </c>
      <c r="N5494" t="s">
        <v>608</v>
      </c>
      <c r="O5494" s="37" t="str">
        <f t="shared" si="428"/>
        <v>Cash Payment</v>
      </c>
      <c r="P5494">
        <v>967.12</v>
      </c>
      <c r="Q5494" s="37" t="str">
        <f>IF(P5494&gt;500,"High","low")</f>
        <v>High</v>
      </c>
      <c r="R5494" s="37" t="str">
        <f t="shared" si="429"/>
        <v>Good</v>
      </c>
      <c r="S5494" t="s">
        <v>615</v>
      </c>
    </row>
    <row r="5495" spans="1:19" x14ac:dyDescent="0.2">
      <c r="A5495" t="s">
        <v>6106</v>
      </c>
      <c r="B5495" t="s">
        <v>90</v>
      </c>
      <c r="C5495" t="s">
        <v>607</v>
      </c>
      <c r="D5495">
        <v>1718.13</v>
      </c>
      <c r="E5495" s="37" t="str">
        <f t="shared" si="425"/>
        <v xml:space="preserve"> </v>
      </c>
      <c r="F5495">
        <v>0.34</v>
      </c>
      <c r="G5495" s="37" t="str">
        <f t="shared" si="426"/>
        <v>Heavy Discount</v>
      </c>
      <c r="H5495" s="37" t="str">
        <f t="shared" si="427"/>
        <v>Medium</v>
      </c>
      <c r="I5495">
        <v>8</v>
      </c>
      <c r="J5495" t="str" cm="1">
        <f t="array" ref="J5495">_xlfn.IFS(I5495&lt;=3,"small",I5495&lt;=6,"Medium",I5495&lt;=9,"Large")</f>
        <v>Large</v>
      </c>
      <c r="K5495" s="36">
        <v>45444</v>
      </c>
      <c r="L5495" s="36">
        <v>45449</v>
      </c>
      <c r="M5495" t="s">
        <v>603</v>
      </c>
      <c r="N5495" t="s">
        <v>604</v>
      </c>
      <c r="O5495" s="37" t="str">
        <f t="shared" si="428"/>
        <v>Digital Payment</v>
      </c>
      <c r="P5495">
        <v>234.82</v>
      </c>
      <c r="Q5495" s="37" t="str">
        <f>IF(P5495&gt;500,"High","low")</f>
        <v>low</v>
      </c>
      <c r="R5495" s="37" t="str">
        <f t="shared" si="429"/>
        <v>AVERAGE</v>
      </c>
      <c r="S5495" t="s">
        <v>620</v>
      </c>
    </row>
    <row r="5496" spans="1:19" x14ac:dyDescent="0.2">
      <c r="A5496" t="s">
        <v>6107</v>
      </c>
      <c r="B5496" t="s">
        <v>90</v>
      </c>
      <c r="C5496" t="s">
        <v>602</v>
      </c>
      <c r="D5496">
        <v>4438.7700000000004</v>
      </c>
      <c r="E5496" s="37" t="str">
        <f t="shared" si="425"/>
        <v xml:space="preserve"> </v>
      </c>
      <c r="F5496">
        <v>0.24</v>
      </c>
      <c r="G5496" s="37" t="str">
        <f t="shared" si="426"/>
        <v>Normal Discount</v>
      </c>
      <c r="H5496" s="37" t="str">
        <f t="shared" si="427"/>
        <v>Medium</v>
      </c>
      <c r="I5496">
        <v>2</v>
      </c>
      <c r="J5496" t="str" cm="1">
        <f t="array" ref="J5496">_xlfn.IFS(I5496&lt;=3,"small",I5496&lt;=6,"Medium",I5496&lt;=9,"Large")</f>
        <v>small</v>
      </c>
      <c r="K5496" s="36">
        <v>45613</v>
      </c>
      <c r="L5496" s="36">
        <v>45616</v>
      </c>
      <c r="M5496" t="s">
        <v>598</v>
      </c>
      <c r="N5496" t="s">
        <v>608</v>
      </c>
      <c r="O5496" s="37" t="str">
        <f t="shared" si="428"/>
        <v>Cash Payment</v>
      </c>
      <c r="P5496">
        <v>510.52</v>
      </c>
      <c r="Q5496" s="37" t="str">
        <f>IF(P5496&gt;500,"High","low")</f>
        <v>High</v>
      </c>
      <c r="R5496" s="37" t="str">
        <f t="shared" si="429"/>
        <v>Good</v>
      </c>
      <c r="S5496" t="s">
        <v>620</v>
      </c>
    </row>
    <row r="5497" spans="1:19" x14ac:dyDescent="0.2">
      <c r="A5497" t="s">
        <v>6108</v>
      </c>
      <c r="B5497" t="s">
        <v>75</v>
      </c>
      <c r="C5497" t="s">
        <v>614</v>
      </c>
      <c r="D5497">
        <v>1403.95</v>
      </c>
      <c r="E5497" s="37" t="str">
        <f t="shared" si="425"/>
        <v xml:space="preserve"> </v>
      </c>
      <c r="F5497">
        <v>0.22</v>
      </c>
      <c r="G5497" s="37" t="str">
        <f t="shared" si="426"/>
        <v>Normal Discount</v>
      </c>
      <c r="H5497" s="37" t="str">
        <f t="shared" si="427"/>
        <v>Medium</v>
      </c>
      <c r="I5497">
        <v>4</v>
      </c>
      <c r="J5497" t="str" cm="1">
        <f t="array" ref="J5497">_xlfn.IFS(I5497&lt;=3,"small",I5497&lt;=6,"Medium",I5497&lt;=9,"Large")</f>
        <v>Medium</v>
      </c>
      <c r="K5497" s="36">
        <v>45029</v>
      </c>
      <c r="L5497" s="36">
        <v>45033</v>
      </c>
      <c r="M5497" t="s">
        <v>612</v>
      </c>
      <c r="N5497" t="s">
        <v>608</v>
      </c>
      <c r="O5497" s="37" t="str">
        <f t="shared" si="428"/>
        <v>Cash Payment</v>
      </c>
      <c r="P5497">
        <v>300.33</v>
      </c>
      <c r="Q5497" s="37" t="str">
        <f>IF(P5497&gt;500,"High","low")</f>
        <v>low</v>
      </c>
      <c r="R5497" s="37" t="str">
        <f t="shared" si="429"/>
        <v>AVERAGE</v>
      </c>
      <c r="S5497" t="s">
        <v>615</v>
      </c>
    </row>
    <row r="5498" spans="1:19" x14ac:dyDescent="0.2">
      <c r="A5498" t="s">
        <v>6109</v>
      </c>
      <c r="B5498" t="s">
        <v>75</v>
      </c>
      <c r="C5498" t="s">
        <v>602</v>
      </c>
      <c r="D5498">
        <v>2039.35</v>
      </c>
      <c r="E5498" s="37" t="str">
        <f t="shared" si="425"/>
        <v xml:space="preserve"> </v>
      </c>
      <c r="F5498">
        <v>0.32</v>
      </c>
      <c r="G5498" s="37" t="str">
        <f t="shared" si="426"/>
        <v>Heavy Discount</v>
      </c>
      <c r="H5498" s="37" t="str">
        <f t="shared" si="427"/>
        <v>Medium</v>
      </c>
      <c r="I5498">
        <v>3</v>
      </c>
      <c r="J5498" t="str" cm="1">
        <f t="array" ref="J5498">_xlfn.IFS(I5498&lt;=3,"small",I5498&lt;=6,"Medium",I5498&lt;=9,"Large")</f>
        <v>small</v>
      </c>
      <c r="K5498" s="36">
        <v>45581</v>
      </c>
      <c r="L5498" s="36">
        <v>45583</v>
      </c>
      <c r="M5498" t="s">
        <v>612</v>
      </c>
      <c r="N5498" t="s">
        <v>604</v>
      </c>
      <c r="O5498" s="37" t="str">
        <f t="shared" si="428"/>
        <v>Digital Payment</v>
      </c>
      <c r="P5498">
        <v>184.86</v>
      </c>
      <c r="Q5498" s="37" t="str">
        <f>IF(P5498&gt;500,"High","low")</f>
        <v>low</v>
      </c>
      <c r="R5498" s="37" t="str">
        <f t="shared" si="429"/>
        <v>AVERAGE</v>
      </c>
      <c r="S5498" t="s">
        <v>615</v>
      </c>
    </row>
    <row r="5499" spans="1:19" x14ac:dyDescent="0.2">
      <c r="A5499" t="s">
        <v>6110</v>
      </c>
      <c r="B5499" t="s">
        <v>67</v>
      </c>
      <c r="C5499" t="s">
        <v>597</v>
      </c>
      <c r="D5499">
        <v>3683.74</v>
      </c>
      <c r="E5499" s="37" t="str">
        <f t="shared" si="425"/>
        <v xml:space="preserve"> </v>
      </c>
      <c r="F5499">
        <v>0.23</v>
      </c>
      <c r="G5499" s="37" t="str">
        <f t="shared" si="426"/>
        <v>Normal Discount</v>
      </c>
      <c r="H5499" s="37" t="str">
        <f t="shared" si="427"/>
        <v>Medium</v>
      </c>
      <c r="I5499">
        <v>3</v>
      </c>
      <c r="J5499" t="str" cm="1">
        <f t="array" ref="J5499">_xlfn.IFS(I5499&lt;=3,"small",I5499&lt;=6,"Medium",I5499&lt;=9,"Large")</f>
        <v>small</v>
      </c>
      <c r="K5499" s="36">
        <v>45422</v>
      </c>
      <c r="L5499" s="36">
        <v>45426</v>
      </c>
      <c r="M5499" t="s">
        <v>603</v>
      </c>
      <c r="N5499" t="s">
        <v>608</v>
      </c>
      <c r="O5499" s="37" t="str">
        <f t="shared" si="428"/>
        <v>Cash Payment</v>
      </c>
      <c r="P5499">
        <v>715.78</v>
      </c>
      <c r="Q5499" s="37" t="str">
        <f>IF(P5499&gt;500,"High","low")</f>
        <v>High</v>
      </c>
      <c r="R5499" s="37" t="str">
        <f t="shared" si="429"/>
        <v>Good</v>
      </c>
      <c r="S5499" t="s">
        <v>628</v>
      </c>
    </row>
    <row r="5500" spans="1:19" x14ac:dyDescent="0.2">
      <c r="A5500" t="s">
        <v>6111</v>
      </c>
      <c r="B5500" t="s">
        <v>67</v>
      </c>
      <c r="C5500" t="s">
        <v>607</v>
      </c>
      <c r="D5500">
        <v>3743.48</v>
      </c>
      <c r="E5500" s="37" t="str">
        <f t="shared" si="425"/>
        <v xml:space="preserve"> </v>
      </c>
      <c r="F5500">
        <v>0.41</v>
      </c>
      <c r="G5500" s="37" t="str">
        <f t="shared" si="426"/>
        <v>Heavy Discount</v>
      </c>
      <c r="H5500" s="37" t="str">
        <f t="shared" si="427"/>
        <v>High</v>
      </c>
      <c r="I5500">
        <v>6</v>
      </c>
      <c r="J5500" t="str" cm="1">
        <f t="array" ref="J5500">_xlfn.IFS(I5500&lt;=3,"small",I5500&lt;=6,"Medium",I5500&lt;=9,"Large")</f>
        <v>Medium</v>
      </c>
      <c r="K5500" s="36">
        <v>45622</v>
      </c>
      <c r="L5500" s="36">
        <v>45625</v>
      </c>
      <c r="M5500" t="s">
        <v>598</v>
      </c>
      <c r="N5500" t="s">
        <v>604</v>
      </c>
      <c r="O5500" s="37" t="str">
        <f t="shared" si="428"/>
        <v>Digital Payment</v>
      </c>
      <c r="P5500">
        <v>489.73</v>
      </c>
      <c r="Q5500" s="37" t="str">
        <f>IF(P5500&gt;500,"High","low")</f>
        <v>low</v>
      </c>
      <c r="R5500" s="37" t="str">
        <f t="shared" si="429"/>
        <v>AVERAGE</v>
      </c>
      <c r="S5500" t="s">
        <v>615</v>
      </c>
    </row>
    <row r="5501" spans="1:19" x14ac:dyDescent="0.2">
      <c r="A5501" t="s">
        <v>6112</v>
      </c>
      <c r="B5501" t="s">
        <v>67</v>
      </c>
      <c r="C5501" t="s">
        <v>602</v>
      </c>
      <c r="D5501">
        <v>4319.71</v>
      </c>
      <c r="E5501" s="37" t="str">
        <f t="shared" si="425"/>
        <v xml:space="preserve"> </v>
      </c>
      <c r="F5501">
        <v>0.47</v>
      </c>
      <c r="G5501" s="37" t="str">
        <f t="shared" si="426"/>
        <v>Heavy Discount</v>
      </c>
      <c r="H5501" s="37" t="str">
        <f t="shared" si="427"/>
        <v>High</v>
      </c>
      <c r="I5501">
        <v>7</v>
      </c>
      <c r="J5501" t="str" cm="1">
        <f t="array" ref="J5501">_xlfn.IFS(I5501&lt;=3,"small",I5501&lt;=6,"Medium",I5501&lt;=9,"Large")</f>
        <v>Large</v>
      </c>
      <c r="K5501" s="36">
        <v>45268</v>
      </c>
      <c r="L5501" s="36">
        <v>45274</v>
      </c>
      <c r="M5501" t="s">
        <v>598</v>
      </c>
      <c r="N5501" t="s">
        <v>608</v>
      </c>
      <c r="O5501" s="37" t="str">
        <f t="shared" si="428"/>
        <v>Cash Payment</v>
      </c>
      <c r="P5501">
        <v>364.28</v>
      </c>
      <c r="Q5501" s="37" t="str">
        <f>IF(P5501&gt;500,"High","low")</f>
        <v>low</v>
      </c>
      <c r="R5501" s="37" t="str">
        <f t="shared" si="429"/>
        <v>AVERAGE</v>
      </c>
      <c r="S5501" t="s">
        <v>600</v>
      </c>
    </row>
    <row r="5502" spans="1:19" x14ac:dyDescent="0.2">
      <c r="A5502" t="s">
        <v>6113</v>
      </c>
      <c r="B5502" t="s">
        <v>90</v>
      </c>
      <c r="C5502" t="s">
        <v>607</v>
      </c>
      <c r="D5502">
        <v>242.39</v>
      </c>
      <c r="E5502" s="37" t="str">
        <f t="shared" si="425"/>
        <v xml:space="preserve"> </v>
      </c>
      <c r="F5502">
        <v>0.28999999999999998</v>
      </c>
      <c r="G5502" s="37" t="str">
        <f t="shared" si="426"/>
        <v>Normal Discount</v>
      </c>
      <c r="H5502" s="37" t="str">
        <f t="shared" si="427"/>
        <v>Medium</v>
      </c>
      <c r="I5502">
        <v>8</v>
      </c>
      <c r="J5502" t="str" cm="1">
        <f t="array" ref="J5502">_xlfn.IFS(I5502&lt;=3,"small",I5502&lt;=6,"Medium",I5502&lt;=9,"Large")</f>
        <v>Large</v>
      </c>
      <c r="K5502" s="36">
        <v>45085</v>
      </c>
      <c r="L5502" s="36">
        <v>45091</v>
      </c>
      <c r="M5502" t="s">
        <v>603</v>
      </c>
      <c r="N5502" t="s">
        <v>599</v>
      </c>
      <c r="O5502" s="37" t="str">
        <f t="shared" si="428"/>
        <v>Digital Payment</v>
      </c>
      <c r="P5502">
        <v>31.3</v>
      </c>
      <c r="Q5502" s="37" t="str">
        <f>IF(P5502&gt;500,"High","low")</f>
        <v>low</v>
      </c>
      <c r="R5502" s="37" t="str">
        <f t="shared" si="429"/>
        <v>AVERAGE</v>
      </c>
      <c r="S5502" t="s">
        <v>628</v>
      </c>
    </row>
    <row r="5503" spans="1:19" x14ac:dyDescent="0.2">
      <c r="A5503" t="s">
        <v>6114</v>
      </c>
      <c r="B5503" t="s">
        <v>90</v>
      </c>
      <c r="C5503" t="s">
        <v>614</v>
      </c>
      <c r="D5503">
        <v>1000.42</v>
      </c>
      <c r="E5503" s="37" t="str">
        <f t="shared" si="425"/>
        <v xml:space="preserve"> </v>
      </c>
      <c r="F5503">
        <v>0.15</v>
      </c>
      <c r="G5503" s="37" t="str">
        <f t="shared" si="426"/>
        <v>Normal Discount</v>
      </c>
      <c r="H5503" s="37" t="str">
        <f t="shared" si="427"/>
        <v>Low</v>
      </c>
      <c r="I5503">
        <v>7</v>
      </c>
      <c r="J5503" t="str" cm="1">
        <f t="array" ref="J5503">_xlfn.IFS(I5503&lt;=3,"small",I5503&lt;=6,"Medium",I5503&lt;=9,"Large")</f>
        <v>Large</v>
      </c>
      <c r="K5503" s="36">
        <v>45072</v>
      </c>
      <c r="L5503" s="36">
        <v>45078</v>
      </c>
      <c r="M5503" t="s">
        <v>598</v>
      </c>
      <c r="N5503" t="s">
        <v>608</v>
      </c>
      <c r="O5503" s="37" t="str">
        <f t="shared" si="428"/>
        <v>Cash Payment</v>
      </c>
      <c r="P5503">
        <v>100.68</v>
      </c>
      <c r="Q5503" s="37" t="str">
        <f>IF(P5503&gt;500,"High","low")</f>
        <v>low</v>
      </c>
      <c r="R5503" s="37" t="str">
        <f t="shared" si="429"/>
        <v>AVERAGE</v>
      </c>
      <c r="S5503" t="s">
        <v>628</v>
      </c>
    </row>
    <row r="5504" spans="1:19" x14ac:dyDescent="0.2">
      <c r="A5504" t="s">
        <v>6115</v>
      </c>
      <c r="B5504" t="s">
        <v>67</v>
      </c>
      <c r="C5504" t="s">
        <v>597</v>
      </c>
      <c r="D5504">
        <v>3238.8</v>
      </c>
      <c r="E5504" s="37" t="str">
        <f t="shared" si="425"/>
        <v xml:space="preserve"> </v>
      </c>
      <c r="F5504">
        <v>0.39</v>
      </c>
      <c r="G5504" s="37" t="str">
        <f t="shared" si="426"/>
        <v>Heavy Discount</v>
      </c>
      <c r="H5504" s="37" t="str">
        <f t="shared" si="427"/>
        <v>Medium</v>
      </c>
      <c r="I5504">
        <v>9</v>
      </c>
      <c r="J5504" t="str" cm="1">
        <f t="array" ref="J5504">_xlfn.IFS(I5504&lt;=3,"small",I5504&lt;=6,"Medium",I5504&lt;=9,"Large")</f>
        <v>Large</v>
      </c>
      <c r="K5504" s="36">
        <v>45112</v>
      </c>
      <c r="L5504" s="36">
        <v>45117</v>
      </c>
      <c r="M5504" t="s">
        <v>612</v>
      </c>
      <c r="N5504" t="s">
        <v>604</v>
      </c>
      <c r="O5504" s="37" t="str">
        <f t="shared" si="428"/>
        <v>Digital Payment</v>
      </c>
      <c r="P5504">
        <v>671.64</v>
      </c>
      <c r="Q5504" s="37" t="str">
        <f>IF(P5504&gt;500,"High","low")</f>
        <v>High</v>
      </c>
      <c r="R5504" s="37" t="str">
        <f t="shared" si="429"/>
        <v>Good</v>
      </c>
      <c r="S5504" t="s">
        <v>620</v>
      </c>
    </row>
    <row r="5505" spans="1:19" x14ac:dyDescent="0.2">
      <c r="A5505" t="s">
        <v>6116</v>
      </c>
      <c r="B5505" t="s">
        <v>90</v>
      </c>
      <c r="C5505" t="s">
        <v>617</v>
      </c>
      <c r="D5505">
        <v>1757.18</v>
      </c>
      <c r="E5505" s="37" t="str">
        <f t="shared" si="425"/>
        <v xml:space="preserve"> </v>
      </c>
      <c r="F5505">
        <v>0.09</v>
      </c>
      <c r="G5505" s="37" t="str">
        <f t="shared" si="426"/>
        <v>Normal Discount</v>
      </c>
      <c r="H5505" s="37" t="str">
        <f t="shared" si="427"/>
        <v>Low</v>
      </c>
      <c r="I5505">
        <v>2</v>
      </c>
      <c r="J5505" t="str" cm="1">
        <f t="array" ref="J5505">_xlfn.IFS(I5505&lt;=3,"small",I5505&lt;=6,"Medium",I5505&lt;=9,"Large")</f>
        <v>small</v>
      </c>
      <c r="K5505" s="36">
        <v>45636</v>
      </c>
      <c r="L5505" s="36">
        <v>45639</v>
      </c>
      <c r="M5505" t="s">
        <v>598</v>
      </c>
      <c r="N5505" t="s">
        <v>599</v>
      </c>
      <c r="O5505" s="37" t="str">
        <f t="shared" si="428"/>
        <v>Digital Payment</v>
      </c>
      <c r="P5505">
        <v>110.58</v>
      </c>
      <c r="Q5505" s="37" t="str">
        <f>IF(P5505&gt;500,"High","low")</f>
        <v>low</v>
      </c>
      <c r="R5505" s="37" t="str">
        <f t="shared" si="429"/>
        <v>AVERAGE</v>
      </c>
      <c r="S5505" t="s">
        <v>609</v>
      </c>
    </row>
    <row r="5506" spans="1:19" x14ac:dyDescent="0.2">
      <c r="A5506" t="s">
        <v>6117</v>
      </c>
      <c r="B5506" t="s">
        <v>90</v>
      </c>
      <c r="C5506" t="s">
        <v>602</v>
      </c>
      <c r="D5506">
        <v>313.45</v>
      </c>
      <c r="E5506" s="37" t="str">
        <f t="shared" si="425"/>
        <v xml:space="preserve"> </v>
      </c>
      <c r="F5506">
        <v>0.05</v>
      </c>
      <c r="G5506" s="37" t="str">
        <f t="shared" si="426"/>
        <v>Normal Discount</v>
      </c>
      <c r="H5506" s="37" t="str">
        <f t="shared" si="427"/>
        <v>Low</v>
      </c>
      <c r="I5506">
        <v>4</v>
      </c>
      <c r="J5506" t="str" cm="1">
        <f t="array" ref="J5506">_xlfn.IFS(I5506&lt;=3,"small",I5506&lt;=6,"Medium",I5506&lt;=9,"Large")</f>
        <v>Medium</v>
      </c>
      <c r="K5506" s="36">
        <v>45127</v>
      </c>
      <c r="L5506" s="36">
        <v>45132</v>
      </c>
      <c r="M5506" t="s">
        <v>612</v>
      </c>
      <c r="N5506" t="s">
        <v>604</v>
      </c>
      <c r="O5506" s="37" t="str">
        <f t="shared" si="428"/>
        <v>Digital Payment</v>
      </c>
      <c r="P5506">
        <v>79.8</v>
      </c>
      <c r="Q5506" s="37" t="str">
        <f>IF(P5506&gt;500,"High","low")</f>
        <v>low</v>
      </c>
      <c r="R5506" s="37" t="str">
        <f t="shared" si="429"/>
        <v>AVERAGE</v>
      </c>
      <c r="S5506" t="s">
        <v>600</v>
      </c>
    </row>
    <row r="5507" spans="1:19" x14ac:dyDescent="0.2">
      <c r="A5507" t="s">
        <v>6118</v>
      </c>
      <c r="B5507" t="s">
        <v>75</v>
      </c>
      <c r="C5507" t="s">
        <v>614</v>
      </c>
      <c r="D5507">
        <v>2973.69</v>
      </c>
      <c r="E5507" s="37" t="str">
        <f t="shared" ref="E5507:E5570" si="430">IF(AND(D5507&gt;4000,P5507&gt;800),"Excellent Order"," ")</f>
        <v xml:space="preserve"> </v>
      </c>
      <c r="F5507">
        <v>0.26</v>
      </c>
      <c r="G5507" s="37" t="str">
        <f t="shared" ref="G5507:G5570" si="431">IF(F5507&gt;30%,"Heavy Discount","Normal Discount")</f>
        <v>Normal Discount</v>
      </c>
      <c r="H5507" s="37" t="str">
        <f t="shared" ref="H5507:H5570" si="432">IF(F5507&gt;0.4,"High",IF(F5507&gt;=0.2,"Medium","Low"))</f>
        <v>Medium</v>
      </c>
      <c r="I5507">
        <v>2</v>
      </c>
      <c r="J5507" t="str" cm="1">
        <f t="array" ref="J5507">_xlfn.IFS(I5507&lt;=3,"small",I5507&lt;=6,"Medium",I5507&lt;=9,"Large")</f>
        <v>small</v>
      </c>
      <c r="K5507" s="36">
        <v>44956</v>
      </c>
      <c r="L5507" s="36">
        <v>44962</v>
      </c>
      <c r="M5507" t="s">
        <v>598</v>
      </c>
      <c r="N5507" t="s">
        <v>608</v>
      </c>
      <c r="O5507" s="37" t="str">
        <f t="shared" ref="O5507:O5570" si="433">IF(OR(N5507="Card",N5507="UPI"),"Digital Payment","Cash Payment")</f>
        <v>Cash Payment</v>
      </c>
      <c r="P5507">
        <v>583.02</v>
      </c>
      <c r="Q5507" s="37" t="str">
        <f>IF(P5507&gt;500,"High","low")</f>
        <v>High</v>
      </c>
      <c r="R5507" s="37" t="str">
        <f t="shared" ref="R5507:R5570" si="434">IF(P5507&gt;1000,"Excellent",IF(P5507&gt;=500,"Good","AVERAGE"))</f>
        <v>Good</v>
      </c>
      <c r="S5507" t="s">
        <v>609</v>
      </c>
    </row>
    <row r="5508" spans="1:19" x14ac:dyDescent="0.2">
      <c r="A5508" t="s">
        <v>6119</v>
      </c>
      <c r="B5508" t="s">
        <v>75</v>
      </c>
      <c r="C5508" t="s">
        <v>607</v>
      </c>
      <c r="D5508">
        <v>2026.06</v>
      </c>
      <c r="E5508" s="37" t="str">
        <f t="shared" si="430"/>
        <v xml:space="preserve"> </v>
      </c>
      <c r="F5508">
        <v>0.32</v>
      </c>
      <c r="G5508" s="37" t="str">
        <f t="shared" si="431"/>
        <v>Heavy Discount</v>
      </c>
      <c r="H5508" s="37" t="str">
        <f t="shared" si="432"/>
        <v>Medium</v>
      </c>
      <c r="I5508">
        <v>3</v>
      </c>
      <c r="J5508" t="str" cm="1">
        <f t="array" ref="J5508">_xlfn.IFS(I5508&lt;=3,"small",I5508&lt;=6,"Medium",I5508&lt;=9,"Large")</f>
        <v>small</v>
      </c>
      <c r="K5508" s="36">
        <v>45089</v>
      </c>
      <c r="L5508" s="36">
        <v>45090</v>
      </c>
      <c r="M5508" t="s">
        <v>612</v>
      </c>
      <c r="N5508" t="s">
        <v>608</v>
      </c>
      <c r="O5508" s="37" t="str">
        <f t="shared" si="433"/>
        <v>Cash Payment</v>
      </c>
      <c r="P5508">
        <v>535.41999999999996</v>
      </c>
      <c r="Q5508" s="37" t="str">
        <f>IF(P5508&gt;500,"High","low")</f>
        <v>High</v>
      </c>
      <c r="R5508" s="37" t="str">
        <f t="shared" si="434"/>
        <v>Good</v>
      </c>
      <c r="S5508" t="s">
        <v>605</v>
      </c>
    </row>
    <row r="5509" spans="1:19" x14ac:dyDescent="0.2">
      <c r="A5509" t="s">
        <v>6120</v>
      </c>
      <c r="B5509" t="s">
        <v>90</v>
      </c>
      <c r="C5509" t="s">
        <v>607</v>
      </c>
      <c r="D5509">
        <v>1884.06</v>
      </c>
      <c r="E5509" s="37" t="str">
        <f t="shared" si="430"/>
        <v xml:space="preserve"> </v>
      </c>
      <c r="F5509">
        <v>0.42</v>
      </c>
      <c r="G5509" s="37" t="str">
        <f t="shared" si="431"/>
        <v>Heavy Discount</v>
      </c>
      <c r="H5509" s="37" t="str">
        <f t="shared" si="432"/>
        <v>High</v>
      </c>
      <c r="I5509">
        <v>1</v>
      </c>
      <c r="J5509" t="str" cm="1">
        <f t="array" ref="J5509">_xlfn.IFS(I5509&lt;=3,"small",I5509&lt;=6,"Medium",I5509&lt;=9,"Large")</f>
        <v>small</v>
      </c>
      <c r="K5509" s="36">
        <v>45455</v>
      </c>
      <c r="L5509" s="36">
        <v>45456</v>
      </c>
      <c r="M5509" t="s">
        <v>603</v>
      </c>
      <c r="N5509" t="s">
        <v>604</v>
      </c>
      <c r="O5509" s="37" t="str">
        <f t="shared" si="433"/>
        <v>Digital Payment</v>
      </c>
      <c r="P5509">
        <v>169.69</v>
      </c>
      <c r="Q5509" s="37" t="str">
        <f>IF(P5509&gt;500,"High","low")</f>
        <v>low</v>
      </c>
      <c r="R5509" s="37" t="str">
        <f t="shared" si="434"/>
        <v>AVERAGE</v>
      </c>
      <c r="S5509" t="s">
        <v>605</v>
      </c>
    </row>
    <row r="5510" spans="1:19" x14ac:dyDescent="0.2">
      <c r="A5510" t="s">
        <v>6121</v>
      </c>
      <c r="B5510" t="s">
        <v>67</v>
      </c>
      <c r="C5510" t="s">
        <v>614</v>
      </c>
      <c r="D5510">
        <v>1395.38</v>
      </c>
      <c r="E5510" s="37" t="str">
        <f t="shared" si="430"/>
        <v xml:space="preserve"> </v>
      </c>
      <c r="F5510">
        <v>0.48</v>
      </c>
      <c r="G5510" s="37" t="str">
        <f t="shared" si="431"/>
        <v>Heavy Discount</v>
      </c>
      <c r="H5510" s="37" t="str">
        <f t="shared" si="432"/>
        <v>High</v>
      </c>
      <c r="I5510">
        <v>8</v>
      </c>
      <c r="J5510" t="str" cm="1">
        <f t="array" ref="J5510">_xlfn.IFS(I5510&lt;=3,"small",I5510&lt;=6,"Medium",I5510&lt;=9,"Large")</f>
        <v>Large</v>
      </c>
      <c r="K5510" s="36">
        <v>45151</v>
      </c>
      <c r="L5510" s="36">
        <v>45154</v>
      </c>
      <c r="M5510" t="s">
        <v>612</v>
      </c>
      <c r="N5510" t="s">
        <v>604</v>
      </c>
      <c r="O5510" s="37" t="str">
        <f t="shared" si="433"/>
        <v>Digital Payment</v>
      </c>
      <c r="P5510">
        <v>234.5</v>
      </c>
      <c r="Q5510" s="37" t="str">
        <f>IF(P5510&gt;500,"High","low")</f>
        <v>low</v>
      </c>
      <c r="R5510" s="37" t="str">
        <f t="shared" si="434"/>
        <v>AVERAGE</v>
      </c>
      <c r="S5510" t="s">
        <v>628</v>
      </c>
    </row>
    <row r="5511" spans="1:19" x14ac:dyDescent="0.2">
      <c r="A5511" t="s">
        <v>6122</v>
      </c>
      <c r="B5511" t="s">
        <v>83</v>
      </c>
      <c r="C5511" t="s">
        <v>602</v>
      </c>
      <c r="D5511">
        <v>129.38999999999999</v>
      </c>
      <c r="E5511" s="37" t="str">
        <f t="shared" si="430"/>
        <v xml:space="preserve"> </v>
      </c>
      <c r="F5511">
        <v>0.44</v>
      </c>
      <c r="G5511" s="37" t="str">
        <f t="shared" si="431"/>
        <v>Heavy Discount</v>
      </c>
      <c r="H5511" s="37" t="str">
        <f t="shared" si="432"/>
        <v>High</v>
      </c>
      <c r="I5511">
        <v>5</v>
      </c>
      <c r="J5511" t="str" cm="1">
        <f t="array" ref="J5511">_xlfn.IFS(I5511&lt;=3,"small",I5511&lt;=6,"Medium",I5511&lt;=9,"Large")</f>
        <v>Medium</v>
      </c>
      <c r="K5511" s="36">
        <v>45250</v>
      </c>
      <c r="L5511" s="36">
        <v>45251</v>
      </c>
      <c r="M5511" t="s">
        <v>612</v>
      </c>
      <c r="N5511" t="s">
        <v>599</v>
      </c>
      <c r="O5511" s="37" t="str">
        <f t="shared" si="433"/>
        <v>Digital Payment</v>
      </c>
      <c r="P5511">
        <v>28.08</v>
      </c>
      <c r="Q5511" s="37" t="str">
        <f>IF(P5511&gt;500,"High","low")</f>
        <v>low</v>
      </c>
      <c r="R5511" s="37" t="str">
        <f t="shared" si="434"/>
        <v>AVERAGE</v>
      </c>
      <c r="S5511" t="s">
        <v>600</v>
      </c>
    </row>
    <row r="5512" spans="1:19" x14ac:dyDescent="0.2">
      <c r="A5512" t="s">
        <v>6123</v>
      </c>
      <c r="B5512" t="s">
        <v>67</v>
      </c>
      <c r="C5512" t="s">
        <v>617</v>
      </c>
      <c r="D5512">
        <v>993.56</v>
      </c>
      <c r="E5512" s="37" t="str">
        <f t="shared" si="430"/>
        <v xml:space="preserve"> </v>
      </c>
      <c r="F5512">
        <v>0.49</v>
      </c>
      <c r="G5512" s="37" t="str">
        <f t="shared" si="431"/>
        <v>Heavy Discount</v>
      </c>
      <c r="H5512" s="37" t="str">
        <f t="shared" si="432"/>
        <v>High</v>
      </c>
      <c r="I5512">
        <v>5</v>
      </c>
      <c r="J5512" t="str" cm="1">
        <f t="array" ref="J5512">_xlfn.IFS(I5512&lt;=3,"small",I5512&lt;=6,"Medium",I5512&lt;=9,"Large")</f>
        <v>Medium</v>
      </c>
      <c r="K5512" s="36">
        <v>45405</v>
      </c>
      <c r="L5512" s="36">
        <v>45408</v>
      </c>
      <c r="M5512" t="s">
        <v>612</v>
      </c>
      <c r="N5512" t="s">
        <v>599</v>
      </c>
      <c r="O5512" s="37" t="str">
        <f t="shared" si="433"/>
        <v>Digital Payment</v>
      </c>
      <c r="P5512">
        <v>85.9</v>
      </c>
      <c r="Q5512" s="37" t="str">
        <f>IF(P5512&gt;500,"High","low")</f>
        <v>low</v>
      </c>
      <c r="R5512" s="37" t="str">
        <f t="shared" si="434"/>
        <v>AVERAGE</v>
      </c>
      <c r="S5512" t="s">
        <v>620</v>
      </c>
    </row>
    <row r="5513" spans="1:19" x14ac:dyDescent="0.2">
      <c r="A5513" t="s">
        <v>6124</v>
      </c>
      <c r="B5513" t="s">
        <v>83</v>
      </c>
      <c r="C5513" t="s">
        <v>602</v>
      </c>
      <c r="D5513">
        <v>2423.75</v>
      </c>
      <c r="E5513" s="37" t="str">
        <f t="shared" si="430"/>
        <v xml:space="preserve"> </v>
      </c>
      <c r="F5513">
        <v>0.24</v>
      </c>
      <c r="G5513" s="37" t="str">
        <f t="shared" si="431"/>
        <v>Normal Discount</v>
      </c>
      <c r="H5513" s="37" t="str">
        <f t="shared" si="432"/>
        <v>Medium</v>
      </c>
      <c r="I5513">
        <v>8</v>
      </c>
      <c r="J5513" t="str" cm="1">
        <f t="array" ref="J5513">_xlfn.IFS(I5513&lt;=3,"small",I5513&lt;=6,"Medium",I5513&lt;=9,"Large")</f>
        <v>Large</v>
      </c>
      <c r="K5513" s="36">
        <v>45432</v>
      </c>
      <c r="L5513" s="36">
        <v>45438</v>
      </c>
      <c r="M5513" t="s">
        <v>603</v>
      </c>
      <c r="N5513" t="s">
        <v>599</v>
      </c>
      <c r="O5513" s="37" t="str">
        <f t="shared" si="433"/>
        <v>Digital Payment</v>
      </c>
      <c r="P5513">
        <v>129.63999999999999</v>
      </c>
      <c r="Q5513" s="37" t="str">
        <f>IF(P5513&gt;500,"High","low")</f>
        <v>low</v>
      </c>
      <c r="R5513" s="37" t="str">
        <f t="shared" si="434"/>
        <v>AVERAGE</v>
      </c>
      <c r="S5513" t="s">
        <v>609</v>
      </c>
    </row>
    <row r="5514" spans="1:19" x14ac:dyDescent="0.2">
      <c r="A5514" t="s">
        <v>6125</v>
      </c>
      <c r="B5514" t="s">
        <v>67</v>
      </c>
      <c r="C5514" t="s">
        <v>597</v>
      </c>
      <c r="D5514">
        <v>1451.11</v>
      </c>
      <c r="E5514" s="37" t="str">
        <f t="shared" si="430"/>
        <v xml:space="preserve"> </v>
      </c>
      <c r="F5514">
        <v>0.16</v>
      </c>
      <c r="G5514" s="37" t="str">
        <f t="shared" si="431"/>
        <v>Normal Discount</v>
      </c>
      <c r="H5514" s="37" t="str">
        <f t="shared" si="432"/>
        <v>Low</v>
      </c>
      <c r="I5514">
        <v>9</v>
      </c>
      <c r="J5514" t="str" cm="1">
        <f t="array" ref="J5514">_xlfn.IFS(I5514&lt;=3,"small",I5514&lt;=6,"Medium",I5514&lt;=9,"Large")</f>
        <v>Large</v>
      </c>
      <c r="K5514" s="36">
        <v>45170</v>
      </c>
      <c r="L5514" s="36">
        <v>45171</v>
      </c>
      <c r="M5514" t="s">
        <v>603</v>
      </c>
      <c r="N5514" t="s">
        <v>604</v>
      </c>
      <c r="O5514" s="37" t="str">
        <f t="shared" si="433"/>
        <v>Digital Payment</v>
      </c>
      <c r="P5514">
        <v>414.66</v>
      </c>
      <c r="Q5514" s="37" t="str">
        <f>IF(P5514&gt;500,"High","low")</f>
        <v>low</v>
      </c>
      <c r="R5514" s="37" t="str">
        <f t="shared" si="434"/>
        <v>AVERAGE</v>
      </c>
      <c r="S5514" t="s">
        <v>620</v>
      </c>
    </row>
    <row r="5515" spans="1:19" x14ac:dyDescent="0.2">
      <c r="A5515" t="s">
        <v>6126</v>
      </c>
      <c r="B5515" t="s">
        <v>75</v>
      </c>
      <c r="C5515" t="s">
        <v>602</v>
      </c>
      <c r="D5515">
        <v>4384.5</v>
      </c>
      <c r="E5515" s="37" t="str">
        <f t="shared" si="430"/>
        <v>Excellent Order</v>
      </c>
      <c r="F5515">
        <v>0.23</v>
      </c>
      <c r="G5515" s="37" t="str">
        <f t="shared" si="431"/>
        <v>Normal Discount</v>
      </c>
      <c r="H5515" s="37" t="str">
        <f t="shared" si="432"/>
        <v>Medium</v>
      </c>
      <c r="I5515">
        <v>9</v>
      </c>
      <c r="J5515" t="str" cm="1">
        <f t="array" ref="J5515">_xlfn.IFS(I5515&lt;=3,"small",I5515&lt;=6,"Medium",I5515&lt;=9,"Large")</f>
        <v>Large</v>
      </c>
      <c r="K5515" s="36">
        <v>45626</v>
      </c>
      <c r="L5515" s="36">
        <v>45632</v>
      </c>
      <c r="M5515" t="s">
        <v>598</v>
      </c>
      <c r="N5515" t="s">
        <v>604</v>
      </c>
      <c r="O5515" s="37" t="str">
        <f t="shared" si="433"/>
        <v>Digital Payment</v>
      </c>
      <c r="P5515">
        <v>1075.03</v>
      </c>
      <c r="Q5515" s="37" t="str">
        <f>IF(P5515&gt;500,"High","low")</f>
        <v>High</v>
      </c>
      <c r="R5515" s="37" t="str">
        <f t="shared" si="434"/>
        <v>Excellent</v>
      </c>
      <c r="S5515" t="s">
        <v>600</v>
      </c>
    </row>
    <row r="5516" spans="1:19" x14ac:dyDescent="0.2">
      <c r="A5516" t="s">
        <v>6127</v>
      </c>
      <c r="B5516" t="s">
        <v>90</v>
      </c>
      <c r="C5516" t="s">
        <v>597</v>
      </c>
      <c r="D5516">
        <v>800.7</v>
      </c>
      <c r="E5516" s="37" t="str">
        <f t="shared" si="430"/>
        <v xml:space="preserve"> </v>
      </c>
      <c r="F5516">
        <v>0.32</v>
      </c>
      <c r="G5516" s="37" t="str">
        <f t="shared" si="431"/>
        <v>Heavy Discount</v>
      </c>
      <c r="H5516" s="37" t="str">
        <f t="shared" si="432"/>
        <v>Medium</v>
      </c>
      <c r="I5516">
        <v>9</v>
      </c>
      <c r="J5516" t="str" cm="1">
        <f t="array" ref="J5516">_xlfn.IFS(I5516&lt;=3,"small",I5516&lt;=6,"Medium",I5516&lt;=9,"Large")</f>
        <v>Large</v>
      </c>
      <c r="K5516" s="36">
        <v>45558</v>
      </c>
      <c r="L5516" s="36">
        <v>45560</v>
      </c>
      <c r="M5516" t="s">
        <v>603</v>
      </c>
      <c r="N5516" t="s">
        <v>604</v>
      </c>
      <c r="O5516" s="37" t="str">
        <f t="shared" si="433"/>
        <v>Digital Payment</v>
      </c>
      <c r="P5516">
        <v>196.61</v>
      </c>
      <c r="Q5516" s="37" t="str">
        <f>IF(P5516&gt;500,"High","low")</f>
        <v>low</v>
      </c>
      <c r="R5516" s="37" t="str">
        <f t="shared" si="434"/>
        <v>AVERAGE</v>
      </c>
      <c r="S5516" t="s">
        <v>615</v>
      </c>
    </row>
    <row r="5517" spans="1:19" x14ac:dyDescent="0.2">
      <c r="A5517" t="s">
        <v>6128</v>
      </c>
      <c r="B5517" t="s">
        <v>90</v>
      </c>
      <c r="C5517" t="s">
        <v>607</v>
      </c>
      <c r="D5517">
        <v>4389.17</v>
      </c>
      <c r="E5517" s="37" t="str">
        <f t="shared" si="430"/>
        <v>Excellent Order</v>
      </c>
      <c r="F5517">
        <v>0.25</v>
      </c>
      <c r="G5517" s="37" t="str">
        <f t="shared" si="431"/>
        <v>Normal Discount</v>
      </c>
      <c r="H5517" s="37" t="str">
        <f t="shared" si="432"/>
        <v>Medium</v>
      </c>
      <c r="I5517">
        <v>2</v>
      </c>
      <c r="J5517" t="str" cm="1">
        <f t="array" ref="J5517">_xlfn.IFS(I5517&lt;=3,"small",I5517&lt;=6,"Medium",I5517&lt;=9,"Large")</f>
        <v>small</v>
      </c>
      <c r="K5517" s="36">
        <v>45117</v>
      </c>
      <c r="L5517" s="36">
        <v>45121</v>
      </c>
      <c r="M5517" t="s">
        <v>612</v>
      </c>
      <c r="N5517" t="s">
        <v>604</v>
      </c>
      <c r="O5517" s="37" t="str">
        <f t="shared" si="433"/>
        <v>Digital Payment</v>
      </c>
      <c r="P5517">
        <v>1229.54</v>
      </c>
      <c r="Q5517" s="37" t="str">
        <f>IF(P5517&gt;500,"High","low")</f>
        <v>High</v>
      </c>
      <c r="R5517" s="37" t="str">
        <f t="shared" si="434"/>
        <v>Excellent</v>
      </c>
      <c r="S5517" t="s">
        <v>600</v>
      </c>
    </row>
    <row r="5518" spans="1:19" x14ac:dyDescent="0.2">
      <c r="A5518" t="s">
        <v>6129</v>
      </c>
      <c r="B5518" t="s">
        <v>75</v>
      </c>
      <c r="C5518" t="s">
        <v>597</v>
      </c>
      <c r="D5518">
        <v>2083.65</v>
      </c>
      <c r="E5518" s="37" t="str">
        <f t="shared" si="430"/>
        <v xml:space="preserve"> </v>
      </c>
      <c r="F5518">
        <v>0.32</v>
      </c>
      <c r="G5518" s="37" t="str">
        <f t="shared" si="431"/>
        <v>Heavy Discount</v>
      </c>
      <c r="H5518" s="37" t="str">
        <f t="shared" si="432"/>
        <v>Medium</v>
      </c>
      <c r="I5518">
        <v>7</v>
      </c>
      <c r="J5518" t="str" cm="1">
        <f t="array" ref="J5518">_xlfn.IFS(I5518&lt;=3,"small",I5518&lt;=6,"Medium",I5518&lt;=9,"Large")</f>
        <v>Large</v>
      </c>
      <c r="K5518" s="36">
        <v>45169</v>
      </c>
      <c r="L5518" s="36">
        <v>45170</v>
      </c>
      <c r="M5518" t="s">
        <v>612</v>
      </c>
      <c r="N5518" t="s">
        <v>604</v>
      </c>
      <c r="O5518" s="37" t="str">
        <f t="shared" si="433"/>
        <v>Digital Payment</v>
      </c>
      <c r="P5518">
        <v>405.33</v>
      </c>
      <c r="Q5518" s="37" t="str">
        <f>IF(P5518&gt;500,"High","low")</f>
        <v>low</v>
      </c>
      <c r="R5518" s="37" t="str">
        <f t="shared" si="434"/>
        <v>AVERAGE</v>
      </c>
      <c r="S5518" t="s">
        <v>600</v>
      </c>
    </row>
    <row r="5519" spans="1:19" x14ac:dyDescent="0.2">
      <c r="A5519" t="s">
        <v>6130</v>
      </c>
      <c r="B5519" t="s">
        <v>83</v>
      </c>
      <c r="C5519" t="s">
        <v>617</v>
      </c>
      <c r="D5519">
        <v>1451.62</v>
      </c>
      <c r="E5519" s="37" t="str">
        <f t="shared" si="430"/>
        <v xml:space="preserve"> </v>
      </c>
      <c r="F5519">
        <v>0.44</v>
      </c>
      <c r="G5519" s="37" t="str">
        <f t="shared" si="431"/>
        <v>Heavy Discount</v>
      </c>
      <c r="H5519" s="37" t="str">
        <f t="shared" si="432"/>
        <v>High</v>
      </c>
      <c r="I5519">
        <v>7</v>
      </c>
      <c r="J5519" t="str" cm="1">
        <f t="array" ref="J5519">_xlfn.IFS(I5519&lt;=3,"small",I5519&lt;=6,"Medium",I5519&lt;=9,"Large")</f>
        <v>Large</v>
      </c>
      <c r="K5519" s="36">
        <v>45443</v>
      </c>
      <c r="L5519" s="36">
        <v>45445</v>
      </c>
      <c r="M5519" t="s">
        <v>603</v>
      </c>
      <c r="N5519" t="s">
        <v>608</v>
      </c>
      <c r="O5519" s="37" t="str">
        <f t="shared" si="433"/>
        <v>Cash Payment</v>
      </c>
      <c r="P5519">
        <v>305.41000000000003</v>
      </c>
      <c r="Q5519" s="37" t="str">
        <f>IF(P5519&gt;500,"High","low")</f>
        <v>low</v>
      </c>
      <c r="R5519" s="37" t="str">
        <f t="shared" si="434"/>
        <v>AVERAGE</v>
      </c>
      <c r="S5519" t="s">
        <v>620</v>
      </c>
    </row>
    <row r="5520" spans="1:19" x14ac:dyDescent="0.2">
      <c r="A5520" t="s">
        <v>6131</v>
      </c>
      <c r="B5520" t="s">
        <v>83</v>
      </c>
      <c r="C5520" t="s">
        <v>614</v>
      </c>
      <c r="D5520">
        <v>1591.03</v>
      </c>
      <c r="E5520" s="37" t="str">
        <f t="shared" si="430"/>
        <v xml:space="preserve"> </v>
      </c>
      <c r="F5520">
        <v>0.08</v>
      </c>
      <c r="G5520" s="37" t="str">
        <f t="shared" si="431"/>
        <v>Normal Discount</v>
      </c>
      <c r="H5520" s="37" t="str">
        <f t="shared" si="432"/>
        <v>Low</v>
      </c>
      <c r="I5520">
        <v>4</v>
      </c>
      <c r="J5520" t="str" cm="1">
        <f t="array" ref="J5520">_xlfn.IFS(I5520&lt;=3,"small",I5520&lt;=6,"Medium",I5520&lt;=9,"Large")</f>
        <v>Medium</v>
      </c>
      <c r="K5520" s="36">
        <v>45118</v>
      </c>
      <c r="L5520" s="36">
        <v>45122</v>
      </c>
      <c r="M5520" t="s">
        <v>598</v>
      </c>
      <c r="N5520" t="s">
        <v>608</v>
      </c>
      <c r="O5520" s="37" t="str">
        <f t="shared" si="433"/>
        <v>Cash Payment</v>
      </c>
      <c r="P5520">
        <v>162.68</v>
      </c>
      <c r="Q5520" s="37" t="str">
        <f>IF(P5520&gt;500,"High","low")</f>
        <v>low</v>
      </c>
      <c r="R5520" s="37" t="str">
        <f t="shared" si="434"/>
        <v>AVERAGE</v>
      </c>
      <c r="S5520" t="s">
        <v>620</v>
      </c>
    </row>
    <row r="5521" spans="1:19" x14ac:dyDescent="0.2">
      <c r="A5521" t="s">
        <v>6132</v>
      </c>
      <c r="B5521" t="s">
        <v>83</v>
      </c>
      <c r="C5521" t="s">
        <v>597</v>
      </c>
      <c r="D5521">
        <v>1717.35</v>
      </c>
      <c r="E5521" s="37" t="str">
        <f t="shared" si="430"/>
        <v xml:space="preserve"> </v>
      </c>
      <c r="F5521">
        <v>0.06</v>
      </c>
      <c r="G5521" s="37" t="str">
        <f t="shared" si="431"/>
        <v>Normal Discount</v>
      </c>
      <c r="H5521" s="37" t="str">
        <f t="shared" si="432"/>
        <v>Low</v>
      </c>
      <c r="I5521">
        <v>5</v>
      </c>
      <c r="J5521" t="str" cm="1">
        <f t="array" ref="J5521">_xlfn.IFS(I5521&lt;=3,"small",I5521&lt;=6,"Medium",I5521&lt;=9,"Large")</f>
        <v>Medium</v>
      </c>
      <c r="K5521" s="36">
        <v>45643</v>
      </c>
      <c r="L5521" s="36">
        <v>45648</v>
      </c>
      <c r="M5521" t="s">
        <v>612</v>
      </c>
      <c r="N5521" t="s">
        <v>608</v>
      </c>
      <c r="O5521" s="37" t="str">
        <f t="shared" si="433"/>
        <v>Cash Payment</v>
      </c>
      <c r="P5521">
        <v>287.82</v>
      </c>
      <c r="Q5521" s="37" t="str">
        <f>IF(P5521&gt;500,"High","low")</f>
        <v>low</v>
      </c>
      <c r="R5521" s="37" t="str">
        <f t="shared" si="434"/>
        <v>AVERAGE</v>
      </c>
      <c r="S5521" t="s">
        <v>609</v>
      </c>
    </row>
    <row r="5522" spans="1:19" x14ac:dyDescent="0.2">
      <c r="A5522" t="s">
        <v>6133</v>
      </c>
      <c r="B5522" t="s">
        <v>75</v>
      </c>
      <c r="C5522" t="s">
        <v>602</v>
      </c>
      <c r="D5522">
        <v>2582.16</v>
      </c>
      <c r="E5522" s="37" t="str">
        <f t="shared" si="430"/>
        <v xml:space="preserve"> </v>
      </c>
      <c r="F5522">
        <v>0.25</v>
      </c>
      <c r="G5522" s="37" t="str">
        <f t="shared" si="431"/>
        <v>Normal Discount</v>
      </c>
      <c r="H5522" s="37" t="str">
        <f t="shared" si="432"/>
        <v>Medium</v>
      </c>
      <c r="I5522">
        <v>6</v>
      </c>
      <c r="J5522" t="str" cm="1">
        <f t="array" ref="J5522">_xlfn.IFS(I5522&lt;=3,"small",I5522&lt;=6,"Medium",I5522&lt;=9,"Large")</f>
        <v>Medium</v>
      </c>
      <c r="K5522" s="36">
        <v>45570</v>
      </c>
      <c r="L5522" s="36">
        <v>45574</v>
      </c>
      <c r="M5522" t="s">
        <v>612</v>
      </c>
      <c r="N5522" t="s">
        <v>599</v>
      </c>
      <c r="O5522" s="37" t="str">
        <f t="shared" si="433"/>
        <v>Digital Payment</v>
      </c>
      <c r="P5522">
        <v>230.84</v>
      </c>
      <c r="Q5522" s="37" t="str">
        <f>IF(P5522&gt;500,"High","low")</f>
        <v>low</v>
      </c>
      <c r="R5522" s="37" t="str">
        <f t="shared" si="434"/>
        <v>AVERAGE</v>
      </c>
      <c r="S5522" t="s">
        <v>615</v>
      </c>
    </row>
    <row r="5523" spans="1:19" x14ac:dyDescent="0.2">
      <c r="A5523" t="s">
        <v>6134</v>
      </c>
      <c r="B5523" t="s">
        <v>83</v>
      </c>
      <c r="C5523" t="s">
        <v>597</v>
      </c>
      <c r="D5523">
        <v>1834.02</v>
      </c>
      <c r="E5523" s="37" t="str">
        <f t="shared" si="430"/>
        <v xml:space="preserve"> </v>
      </c>
      <c r="F5523">
        <v>0.49</v>
      </c>
      <c r="G5523" s="37" t="str">
        <f t="shared" si="431"/>
        <v>Heavy Discount</v>
      </c>
      <c r="H5523" s="37" t="str">
        <f t="shared" si="432"/>
        <v>High</v>
      </c>
      <c r="I5523">
        <v>7</v>
      </c>
      <c r="J5523" t="str" cm="1">
        <f t="array" ref="J5523">_xlfn.IFS(I5523&lt;=3,"small",I5523&lt;=6,"Medium",I5523&lt;=9,"Large")</f>
        <v>Large</v>
      </c>
      <c r="K5523" s="36">
        <v>45552</v>
      </c>
      <c r="L5523" s="36">
        <v>45559</v>
      </c>
      <c r="M5523" t="s">
        <v>612</v>
      </c>
      <c r="N5523" t="s">
        <v>608</v>
      </c>
      <c r="O5523" s="37" t="str">
        <f t="shared" si="433"/>
        <v>Cash Payment</v>
      </c>
      <c r="P5523">
        <v>137.02000000000001</v>
      </c>
      <c r="Q5523" s="37" t="str">
        <f>IF(P5523&gt;500,"High","low")</f>
        <v>low</v>
      </c>
      <c r="R5523" s="37" t="str">
        <f t="shared" si="434"/>
        <v>AVERAGE</v>
      </c>
      <c r="S5523" t="s">
        <v>600</v>
      </c>
    </row>
    <row r="5524" spans="1:19" x14ac:dyDescent="0.2">
      <c r="A5524" t="s">
        <v>6135</v>
      </c>
      <c r="B5524" t="s">
        <v>75</v>
      </c>
      <c r="C5524" t="s">
        <v>607</v>
      </c>
      <c r="D5524">
        <v>3271.31</v>
      </c>
      <c r="E5524" s="37" t="str">
        <f t="shared" si="430"/>
        <v xml:space="preserve"> </v>
      </c>
      <c r="F5524">
        <v>0.03</v>
      </c>
      <c r="G5524" s="37" t="str">
        <f t="shared" si="431"/>
        <v>Normal Discount</v>
      </c>
      <c r="H5524" s="37" t="str">
        <f t="shared" si="432"/>
        <v>Low</v>
      </c>
      <c r="I5524">
        <v>2</v>
      </c>
      <c r="J5524" t="str" cm="1">
        <f t="array" ref="J5524">_xlfn.IFS(I5524&lt;=3,"small",I5524&lt;=6,"Medium",I5524&lt;=9,"Large")</f>
        <v>small</v>
      </c>
      <c r="K5524" s="36">
        <v>45217</v>
      </c>
      <c r="L5524" s="36">
        <v>45221</v>
      </c>
      <c r="M5524" t="s">
        <v>598</v>
      </c>
      <c r="N5524" t="s">
        <v>604</v>
      </c>
      <c r="O5524" s="37" t="str">
        <f t="shared" si="433"/>
        <v>Digital Payment</v>
      </c>
      <c r="P5524">
        <v>372.38</v>
      </c>
      <c r="Q5524" s="37" t="str">
        <f>IF(P5524&gt;500,"High","low")</f>
        <v>low</v>
      </c>
      <c r="R5524" s="37" t="str">
        <f t="shared" si="434"/>
        <v>AVERAGE</v>
      </c>
      <c r="S5524" t="s">
        <v>615</v>
      </c>
    </row>
    <row r="5525" spans="1:19" x14ac:dyDescent="0.2">
      <c r="A5525" t="s">
        <v>6136</v>
      </c>
      <c r="B5525" t="s">
        <v>67</v>
      </c>
      <c r="C5525" t="s">
        <v>597</v>
      </c>
      <c r="D5525">
        <v>2183.38</v>
      </c>
      <c r="E5525" s="37" t="str">
        <f t="shared" si="430"/>
        <v xml:space="preserve"> </v>
      </c>
      <c r="F5525">
        <v>0.49</v>
      </c>
      <c r="G5525" s="37" t="str">
        <f t="shared" si="431"/>
        <v>Heavy Discount</v>
      </c>
      <c r="H5525" s="37" t="str">
        <f t="shared" si="432"/>
        <v>High</v>
      </c>
      <c r="I5525">
        <v>2</v>
      </c>
      <c r="J5525" t="str" cm="1">
        <f t="array" ref="J5525">_xlfn.IFS(I5525&lt;=3,"small",I5525&lt;=6,"Medium",I5525&lt;=9,"Large")</f>
        <v>small</v>
      </c>
      <c r="K5525" s="36">
        <v>44952</v>
      </c>
      <c r="L5525" s="36">
        <v>44954</v>
      </c>
      <c r="M5525" t="s">
        <v>603</v>
      </c>
      <c r="N5525" t="s">
        <v>608</v>
      </c>
      <c r="O5525" s="37" t="str">
        <f t="shared" si="433"/>
        <v>Cash Payment</v>
      </c>
      <c r="P5525">
        <v>359.99</v>
      </c>
      <c r="Q5525" s="37" t="str">
        <f>IF(P5525&gt;500,"High","low")</f>
        <v>low</v>
      </c>
      <c r="R5525" s="37" t="str">
        <f t="shared" si="434"/>
        <v>AVERAGE</v>
      </c>
      <c r="S5525" t="s">
        <v>615</v>
      </c>
    </row>
    <row r="5526" spans="1:19" x14ac:dyDescent="0.2">
      <c r="A5526" t="s">
        <v>6137</v>
      </c>
      <c r="B5526" t="s">
        <v>67</v>
      </c>
      <c r="C5526" t="s">
        <v>617</v>
      </c>
      <c r="D5526">
        <v>3391.05</v>
      </c>
      <c r="E5526" s="37" t="str">
        <f t="shared" si="430"/>
        <v xml:space="preserve"> </v>
      </c>
      <c r="F5526">
        <v>0.48</v>
      </c>
      <c r="G5526" s="37" t="str">
        <f t="shared" si="431"/>
        <v>Heavy Discount</v>
      </c>
      <c r="H5526" s="37" t="str">
        <f t="shared" si="432"/>
        <v>High</v>
      </c>
      <c r="I5526">
        <v>2</v>
      </c>
      <c r="J5526" t="str" cm="1">
        <f t="array" ref="J5526">_xlfn.IFS(I5526&lt;=3,"small",I5526&lt;=6,"Medium",I5526&lt;=9,"Large")</f>
        <v>small</v>
      </c>
      <c r="K5526" s="36">
        <v>45592</v>
      </c>
      <c r="L5526" s="36">
        <v>45595</v>
      </c>
      <c r="M5526" t="s">
        <v>612</v>
      </c>
      <c r="N5526" t="s">
        <v>604</v>
      </c>
      <c r="O5526" s="37" t="str">
        <f t="shared" si="433"/>
        <v>Digital Payment</v>
      </c>
      <c r="P5526">
        <v>710.63</v>
      </c>
      <c r="Q5526" s="37" t="str">
        <f>IF(P5526&gt;500,"High","low")</f>
        <v>High</v>
      </c>
      <c r="R5526" s="37" t="str">
        <f t="shared" si="434"/>
        <v>Good</v>
      </c>
      <c r="S5526" t="s">
        <v>628</v>
      </c>
    </row>
    <row r="5527" spans="1:19" x14ac:dyDescent="0.2">
      <c r="A5527" t="s">
        <v>6138</v>
      </c>
      <c r="B5527" t="s">
        <v>75</v>
      </c>
      <c r="C5527" t="s">
        <v>597</v>
      </c>
      <c r="D5527">
        <v>3061.69</v>
      </c>
      <c r="E5527" s="37" t="str">
        <f t="shared" si="430"/>
        <v xml:space="preserve"> </v>
      </c>
      <c r="F5527">
        <v>0.15</v>
      </c>
      <c r="G5527" s="37" t="str">
        <f t="shared" si="431"/>
        <v>Normal Discount</v>
      </c>
      <c r="H5527" s="37" t="str">
        <f t="shared" si="432"/>
        <v>Low</v>
      </c>
      <c r="I5527">
        <v>5</v>
      </c>
      <c r="J5527" t="str" cm="1">
        <f t="array" ref="J5527">_xlfn.IFS(I5527&lt;=3,"small",I5527&lt;=6,"Medium",I5527&lt;=9,"Large")</f>
        <v>Medium</v>
      </c>
      <c r="K5527" s="36">
        <v>45457</v>
      </c>
      <c r="L5527" s="36">
        <v>45463</v>
      </c>
      <c r="M5527" t="s">
        <v>612</v>
      </c>
      <c r="N5527" t="s">
        <v>608</v>
      </c>
      <c r="O5527" s="37" t="str">
        <f t="shared" si="433"/>
        <v>Cash Payment</v>
      </c>
      <c r="P5527">
        <v>539.11</v>
      </c>
      <c r="Q5527" s="37" t="str">
        <f>IF(P5527&gt;500,"High","low")</f>
        <v>High</v>
      </c>
      <c r="R5527" s="37" t="str">
        <f t="shared" si="434"/>
        <v>Good</v>
      </c>
      <c r="S5527" t="s">
        <v>615</v>
      </c>
    </row>
    <row r="5528" spans="1:19" x14ac:dyDescent="0.2">
      <c r="A5528" t="s">
        <v>6139</v>
      </c>
      <c r="B5528" t="s">
        <v>90</v>
      </c>
      <c r="C5528" t="s">
        <v>617</v>
      </c>
      <c r="D5528">
        <v>1297.82</v>
      </c>
      <c r="E5528" s="37" t="str">
        <f t="shared" si="430"/>
        <v xml:space="preserve"> </v>
      </c>
      <c r="F5528">
        <v>0.45</v>
      </c>
      <c r="G5528" s="37" t="str">
        <f t="shared" si="431"/>
        <v>Heavy Discount</v>
      </c>
      <c r="H5528" s="37" t="str">
        <f t="shared" si="432"/>
        <v>High</v>
      </c>
      <c r="I5528">
        <v>6</v>
      </c>
      <c r="J5528" t="str" cm="1">
        <f t="array" ref="J5528">_xlfn.IFS(I5528&lt;=3,"small",I5528&lt;=6,"Medium",I5528&lt;=9,"Large")</f>
        <v>Medium</v>
      </c>
      <c r="K5528" s="36">
        <v>44963</v>
      </c>
      <c r="L5528" s="36">
        <v>44970</v>
      </c>
      <c r="M5528" t="s">
        <v>603</v>
      </c>
      <c r="N5528" t="s">
        <v>599</v>
      </c>
      <c r="O5528" s="37" t="str">
        <f t="shared" si="433"/>
        <v>Digital Payment</v>
      </c>
      <c r="P5528">
        <v>355.1</v>
      </c>
      <c r="Q5528" s="37" t="str">
        <f>IF(P5528&gt;500,"High","low")</f>
        <v>low</v>
      </c>
      <c r="R5528" s="37" t="str">
        <f t="shared" si="434"/>
        <v>AVERAGE</v>
      </c>
      <c r="S5528" t="s">
        <v>615</v>
      </c>
    </row>
    <row r="5529" spans="1:19" x14ac:dyDescent="0.2">
      <c r="A5529" t="s">
        <v>6140</v>
      </c>
      <c r="B5529" t="s">
        <v>67</v>
      </c>
      <c r="C5529" t="s">
        <v>602</v>
      </c>
      <c r="D5529">
        <v>4082.59</v>
      </c>
      <c r="E5529" s="37" t="str">
        <f t="shared" si="430"/>
        <v xml:space="preserve"> </v>
      </c>
      <c r="F5529">
        <v>0</v>
      </c>
      <c r="G5529" s="37" t="str">
        <f t="shared" si="431"/>
        <v>Normal Discount</v>
      </c>
      <c r="H5529" s="37" t="str">
        <f t="shared" si="432"/>
        <v>Low</v>
      </c>
      <c r="I5529">
        <v>6</v>
      </c>
      <c r="J5529" t="str" cm="1">
        <f t="array" ref="J5529">_xlfn.IFS(I5529&lt;=3,"small",I5529&lt;=6,"Medium",I5529&lt;=9,"Large")</f>
        <v>Medium</v>
      </c>
      <c r="K5529" s="36">
        <v>45577</v>
      </c>
      <c r="L5529" s="36">
        <v>45579</v>
      </c>
      <c r="M5529" t="s">
        <v>598</v>
      </c>
      <c r="N5529" t="s">
        <v>604</v>
      </c>
      <c r="O5529" s="37" t="str">
        <f t="shared" si="433"/>
        <v>Digital Payment</v>
      </c>
      <c r="P5529">
        <v>537.72</v>
      </c>
      <c r="Q5529" s="37" t="str">
        <f>IF(P5529&gt;500,"High","low")</f>
        <v>High</v>
      </c>
      <c r="R5529" s="37" t="str">
        <f t="shared" si="434"/>
        <v>Good</v>
      </c>
      <c r="S5529" t="s">
        <v>620</v>
      </c>
    </row>
    <row r="5530" spans="1:19" x14ac:dyDescent="0.2">
      <c r="A5530" t="s">
        <v>6141</v>
      </c>
      <c r="B5530" t="s">
        <v>83</v>
      </c>
      <c r="C5530" t="s">
        <v>607</v>
      </c>
      <c r="D5530">
        <v>4015.01</v>
      </c>
      <c r="E5530" s="37" t="str">
        <f t="shared" si="430"/>
        <v>Excellent Order</v>
      </c>
      <c r="F5530">
        <v>0.23</v>
      </c>
      <c r="G5530" s="37" t="str">
        <f t="shared" si="431"/>
        <v>Normal Discount</v>
      </c>
      <c r="H5530" s="37" t="str">
        <f t="shared" si="432"/>
        <v>Medium</v>
      </c>
      <c r="I5530">
        <v>3</v>
      </c>
      <c r="J5530" t="str" cm="1">
        <f t="array" ref="J5530">_xlfn.IFS(I5530&lt;=3,"small",I5530&lt;=6,"Medium",I5530&lt;=9,"Large")</f>
        <v>small</v>
      </c>
      <c r="K5530" s="36">
        <v>44992</v>
      </c>
      <c r="L5530" s="36">
        <v>44999</v>
      </c>
      <c r="M5530" t="s">
        <v>603</v>
      </c>
      <c r="N5530" t="s">
        <v>604</v>
      </c>
      <c r="O5530" s="37" t="str">
        <f t="shared" si="433"/>
        <v>Digital Payment</v>
      </c>
      <c r="P5530">
        <v>1050.74</v>
      </c>
      <c r="Q5530" s="37" t="str">
        <f>IF(P5530&gt;500,"High","low")</f>
        <v>High</v>
      </c>
      <c r="R5530" s="37" t="str">
        <f t="shared" si="434"/>
        <v>Excellent</v>
      </c>
      <c r="S5530" t="s">
        <v>615</v>
      </c>
    </row>
    <row r="5531" spans="1:19" x14ac:dyDescent="0.2">
      <c r="A5531" t="s">
        <v>6142</v>
      </c>
      <c r="B5531" t="s">
        <v>75</v>
      </c>
      <c r="C5531" t="s">
        <v>614</v>
      </c>
      <c r="D5531">
        <v>4946</v>
      </c>
      <c r="E5531" s="37" t="str">
        <f t="shared" si="430"/>
        <v xml:space="preserve"> </v>
      </c>
      <c r="F5531">
        <v>0.2</v>
      </c>
      <c r="G5531" s="37" t="str">
        <f t="shared" si="431"/>
        <v>Normal Discount</v>
      </c>
      <c r="H5531" s="37" t="str">
        <f t="shared" si="432"/>
        <v>Medium</v>
      </c>
      <c r="I5531">
        <v>4</v>
      </c>
      <c r="J5531" t="str" cm="1">
        <f t="array" ref="J5531">_xlfn.IFS(I5531&lt;=3,"small",I5531&lt;=6,"Medium",I5531&lt;=9,"Large")</f>
        <v>Medium</v>
      </c>
      <c r="K5531" s="36">
        <v>45310</v>
      </c>
      <c r="L5531" s="36">
        <v>45314</v>
      </c>
      <c r="M5531" t="s">
        <v>603</v>
      </c>
      <c r="N5531" t="s">
        <v>608</v>
      </c>
      <c r="O5531" s="37" t="str">
        <f t="shared" si="433"/>
        <v>Cash Payment</v>
      </c>
      <c r="P5531">
        <v>786.07</v>
      </c>
      <c r="Q5531" s="37" t="str">
        <f>IF(P5531&gt;500,"High","low")</f>
        <v>High</v>
      </c>
      <c r="R5531" s="37" t="str">
        <f t="shared" si="434"/>
        <v>Good</v>
      </c>
      <c r="S5531" t="s">
        <v>628</v>
      </c>
    </row>
    <row r="5532" spans="1:19" x14ac:dyDescent="0.2">
      <c r="A5532" t="s">
        <v>6143</v>
      </c>
      <c r="B5532" t="s">
        <v>83</v>
      </c>
      <c r="C5532" t="s">
        <v>602</v>
      </c>
      <c r="D5532">
        <v>957.75</v>
      </c>
      <c r="E5532" s="37" t="str">
        <f t="shared" si="430"/>
        <v xml:space="preserve"> </v>
      </c>
      <c r="F5532">
        <v>0.45</v>
      </c>
      <c r="G5532" s="37" t="str">
        <f t="shared" si="431"/>
        <v>Heavy Discount</v>
      </c>
      <c r="H5532" s="37" t="str">
        <f t="shared" si="432"/>
        <v>High</v>
      </c>
      <c r="I5532">
        <v>7</v>
      </c>
      <c r="J5532" t="str" cm="1">
        <f t="array" ref="J5532">_xlfn.IFS(I5532&lt;=3,"small",I5532&lt;=6,"Medium",I5532&lt;=9,"Large")</f>
        <v>Large</v>
      </c>
      <c r="K5532" s="36">
        <v>44957</v>
      </c>
      <c r="L5532" s="36">
        <v>44961</v>
      </c>
      <c r="M5532" t="s">
        <v>598</v>
      </c>
      <c r="N5532" t="s">
        <v>608</v>
      </c>
      <c r="O5532" s="37" t="str">
        <f t="shared" si="433"/>
        <v>Cash Payment</v>
      </c>
      <c r="P5532">
        <v>80.94</v>
      </c>
      <c r="Q5532" s="37" t="str">
        <f>IF(P5532&gt;500,"High","low")</f>
        <v>low</v>
      </c>
      <c r="R5532" s="37" t="str">
        <f t="shared" si="434"/>
        <v>AVERAGE</v>
      </c>
      <c r="S5532" t="s">
        <v>600</v>
      </c>
    </row>
    <row r="5533" spans="1:19" x14ac:dyDescent="0.2">
      <c r="A5533" t="s">
        <v>6144</v>
      </c>
      <c r="B5533" t="s">
        <v>83</v>
      </c>
      <c r="C5533" t="s">
        <v>602</v>
      </c>
      <c r="D5533">
        <v>4254.41</v>
      </c>
      <c r="E5533" s="37" t="str">
        <f t="shared" si="430"/>
        <v>Excellent Order</v>
      </c>
      <c r="F5533">
        <v>0.24</v>
      </c>
      <c r="G5533" s="37" t="str">
        <f t="shared" si="431"/>
        <v>Normal Discount</v>
      </c>
      <c r="H5533" s="37" t="str">
        <f t="shared" si="432"/>
        <v>Medium</v>
      </c>
      <c r="I5533">
        <v>7</v>
      </c>
      <c r="J5533" t="str" cm="1">
        <f t="array" ref="J5533">_xlfn.IFS(I5533&lt;=3,"small",I5533&lt;=6,"Medium",I5533&lt;=9,"Large")</f>
        <v>Large</v>
      </c>
      <c r="K5533" s="36">
        <v>45328</v>
      </c>
      <c r="L5533" s="36">
        <v>45330</v>
      </c>
      <c r="M5533" t="s">
        <v>603</v>
      </c>
      <c r="N5533" t="s">
        <v>599</v>
      </c>
      <c r="O5533" s="37" t="str">
        <f t="shared" si="433"/>
        <v>Digital Payment</v>
      </c>
      <c r="P5533">
        <v>1133.6300000000001</v>
      </c>
      <c r="Q5533" s="37" t="str">
        <f>IF(P5533&gt;500,"High","low")</f>
        <v>High</v>
      </c>
      <c r="R5533" s="37" t="str">
        <f t="shared" si="434"/>
        <v>Excellent</v>
      </c>
      <c r="S5533" t="s">
        <v>615</v>
      </c>
    </row>
    <row r="5534" spans="1:19" x14ac:dyDescent="0.2">
      <c r="A5534" t="s">
        <v>6145</v>
      </c>
      <c r="B5534" t="s">
        <v>90</v>
      </c>
      <c r="C5534" t="s">
        <v>614</v>
      </c>
      <c r="D5534">
        <v>4372.71</v>
      </c>
      <c r="E5534" s="37" t="str">
        <f t="shared" si="430"/>
        <v xml:space="preserve"> </v>
      </c>
      <c r="F5534">
        <v>0.21</v>
      </c>
      <c r="G5534" s="37" t="str">
        <f t="shared" si="431"/>
        <v>Normal Discount</v>
      </c>
      <c r="H5534" s="37" t="str">
        <f t="shared" si="432"/>
        <v>Medium</v>
      </c>
      <c r="I5534">
        <v>6</v>
      </c>
      <c r="J5534" t="str" cm="1">
        <f t="array" ref="J5534">_xlfn.IFS(I5534&lt;=3,"small",I5534&lt;=6,"Medium",I5534&lt;=9,"Large")</f>
        <v>Medium</v>
      </c>
      <c r="K5534" s="36">
        <v>45129</v>
      </c>
      <c r="L5534" s="36">
        <v>45130</v>
      </c>
      <c r="M5534" t="s">
        <v>598</v>
      </c>
      <c r="N5534" t="s">
        <v>604</v>
      </c>
      <c r="O5534" s="37" t="str">
        <f t="shared" si="433"/>
        <v>Digital Payment</v>
      </c>
      <c r="P5534">
        <v>753.54</v>
      </c>
      <c r="Q5534" s="37" t="str">
        <f>IF(P5534&gt;500,"High","low")</f>
        <v>High</v>
      </c>
      <c r="R5534" s="37" t="str">
        <f t="shared" si="434"/>
        <v>Good</v>
      </c>
      <c r="S5534" t="s">
        <v>609</v>
      </c>
    </row>
    <row r="5535" spans="1:19" x14ac:dyDescent="0.2">
      <c r="A5535" t="s">
        <v>6146</v>
      </c>
      <c r="B5535" t="s">
        <v>83</v>
      </c>
      <c r="C5535" t="s">
        <v>597</v>
      </c>
      <c r="D5535">
        <v>3246.6</v>
      </c>
      <c r="E5535" s="37" t="str">
        <f t="shared" si="430"/>
        <v xml:space="preserve"> </v>
      </c>
      <c r="F5535">
        <v>0.32</v>
      </c>
      <c r="G5535" s="37" t="str">
        <f t="shared" si="431"/>
        <v>Heavy Discount</v>
      </c>
      <c r="H5535" s="37" t="str">
        <f t="shared" si="432"/>
        <v>Medium</v>
      </c>
      <c r="I5535">
        <v>1</v>
      </c>
      <c r="J5535" t="str" cm="1">
        <f t="array" ref="J5535">_xlfn.IFS(I5535&lt;=3,"small",I5535&lt;=6,"Medium",I5535&lt;=9,"Large")</f>
        <v>small</v>
      </c>
      <c r="K5535" s="36">
        <v>45482</v>
      </c>
      <c r="L5535" s="36">
        <v>45486</v>
      </c>
      <c r="M5535" t="s">
        <v>603</v>
      </c>
      <c r="N5535" t="s">
        <v>608</v>
      </c>
      <c r="O5535" s="37" t="str">
        <f t="shared" si="433"/>
        <v>Cash Payment</v>
      </c>
      <c r="P5535">
        <v>275.99</v>
      </c>
      <c r="Q5535" s="37" t="str">
        <f>IF(P5535&gt;500,"High","low")</f>
        <v>low</v>
      </c>
      <c r="R5535" s="37" t="str">
        <f t="shared" si="434"/>
        <v>AVERAGE</v>
      </c>
      <c r="S5535" t="s">
        <v>609</v>
      </c>
    </row>
    <row r="5536" spans="1:19" x14ac:dyDescent="0.2">
      <c r="A5536" t="s">
        <v>6147</v>
      </c>
      <c r="B5536" t="s">
        <v>90</v>
      </c>
      <c r="C5536" t="s">
        <v>597</v>
      </c>
      <c r="D5536">
        <v>2581.29</v>
      </c>
      <c r="E5536" s="37" t="str">
        <f t="shared" si="430"/>
        <v xml:space="preserve"> </v>
      </c>
      <c r="F5536">
        <v>0.19</v>
      </c>
      <c r="G5536" s="37" t="str">
        <f t="shared" si="431"/>
        <v>Normal Discount</v>
      </c>
      <c r="H5536" s="37" t="str">
        <f t="shared" si="432"/>
        <v>Low</v>
      </c>
      <c r="I5536">
        <v>6</v>
      </c>
      <c r="J5536" t="str" cm="1">
        <f t="array" ref="J5536">_xlfn.IFS(I5536&lt;=3,"small",I5536&lt;=6,"Medium",I5536&lt;=9,"Large")</f>
        <v>Medium</v>
      </c>
      <c r="K5536" s="36">
        <v>45198</v>
      </c>
      <c r="L5536" s="36">
        <v>45204</v>
      </c>
      <c r="M5536" t="s">
        <v>598</v>
      </c>
      <c r="N5536" t="s">
        <v>608</v>
      </c>
      <c r="O5536" s="37" t="str">
        <f t="shared" si="433"/>
        <v>Cash Payment</v>
      </c>
      <c r="P5536">
        <v>250.49</v>
      </c>
      <c r="Q5536" s="37" t="str">
        <f>IF(P5536&gt;500,"High","low")</f>
        <v>low</v>
      </c>
      <c r="R5536" s="37" t="str">
        <f t="shared" si="434"/>
        <v>AVERAGE</v>
      </c>
      <c r="S5536" t="s">
        <v>615</v>
      </c>
    </row>
    <row r="5537" spans="1:19" x14ac:dyDescent="0.2">
      <c r="A5537" t="s">
        <v>6148</v>
      </c>
      <c r="B5537" t="s">
        <v>67</v>
      </c>
      <c r="C5537" t="s">
        <v>597</v>
      </c>
      <c r="D5537">
        <v>4790.57</v>
      </c>
      <c r="E5537" s="37" t="str">
        <f t="shared" si="430"/>
        <v xml:space="preserve"> </v>
      </c>
      <c r="F5537">
        <v>0.27</v>
      </c>
      <c r="G5537" s="37" t="str">
        <f t="shared" si="431"/>
        <v>Normal Discount</v>
      </c>
      <c r="H5537" s="37" t="str">
        <f t="shared" si="432"/>
        <v>Medium</v>
      </c>
      <c r="I5537">
        <v>1</v>
      </c>
      <c r="J5537" t="str" cm="1">
        <f t="array" ref="J5537">_xlfn.IFS(I5537&lt;=3,"small",I5537&lt;=6,"Medium",I5537&lt;=9,"Large")</f>
        <v>small</v>
      </c>
      <c r="K5537" s="36">
        <v>45440</v>
      </c>
      <c r="L5537" s="36">
        <v>45444</v>
      </c>
      <c r="M5537" t="s">
        <v>603</v>
      </c>
      <c r="N5537" t="s">
        <v>604</v>
      </c>
      <c r="O5537" s="37" t="str">
        <f t="shared" si="433"/>
        <v>Digital Payment</v>
      </c>
      <c r="P5537">
        <v>325.97000000000003</v>
      </c>
      <c r="Q5537" s="37" t="str">
        <f>IF(P5537&gt;500,"High","low")</f>
        <v>low</v>
      </c>
      <c r="R5537" s="37" t="str">
        <f t="shared" si="434"/>
        <v>AVERAGE</v>
      </c>
      <c r="S5537" t="s">
        <v>600</v>
      </c>
    </row>
    <row r="5538" spans="1:19" x14ac:dyDescent="0.2">
      <c r="A5538" t="s">
        <v>6149</v>
      </c>
      <c r="B5538" t="s">
        <v>75</v>
      </c>
      <c r="C5538" t="s">
        <v>607</v>
      </c>
      <c r="D5538">
        <v>4866.1899999999996</v>
      </c>
      <c r="E5538" s="37" t="str">
        <f t="shared" si="430"/>
        <v>Excellent Order</v>
      </c>
      <c r="F5538">
        <v>0.48</v>
      </c>
      <c r="G5538" s="37" t="str">
        <f t="shared" si="431"/>
        <v>Heavy Discount</v>
      </c>
      <c r="H5538" s="37" t="str">
        <f t="shared" si="432"/>
        <v>High</v>
      </c>
      <c r="I5538">
        <v>5</v>
      </c>
      <c r="J5538" t="str" cm="1">
        <f t="array" ref="J5538">_xlfn.IFS(I5538&lt;=3,"small",I5538&lt;=6,"Medium",I5538&lt;=9,"Large")</f>
        <v>Medium</v>
      </c>
      <c r="K5538" s="36">
        <v>45497</v>
      </c>
      <c r="L5538" s="36">
        <v>45503</v>
      </c>
      <c r="M5538" t="s">
        <v>603</v>
      </c>
      <c r="N5538" t="s">
        <v>599</v>
      </c>
      <c r="O5538" s="37" t="str">
        <f t="shared" si="433"/>
        <v>Digital Payment</v>
      </c>
      <c r="P5538">
        <v>1027.04</v>
      </c>
      <c r="Q5538" s="37" t="str">
        <f>IF(P5538&gt;500,"High","low")</f>
        <v>High</v>
      </c>
      <c r="R5538" s="37" t="str">
        <f t="shared" si="434"/>
        <v>Excellent</v>
      </c>
      <c r="S5538" t="s">
        <v>605</v>
      </c>
    </row>
    <row r="5539" spans="1:19" x14ac:dyDescent="0.2">
      <c r="A5539" t="s">
        <v>6150</v>
      </c>
      <c r="B5539" t="s">
        <v>83</v>
      </c>
      <c r="C5539" t="s">
        <v>602</v>
      </c>
      <c r="D5539">
        <v>3244.32</v>
      </c>
      <c r="E5539" s="37" t="str">
        <f t="shared" si="430"/>
        <v xml:space="preserve"> </v>
      </c>
      <c r="F5539">
        <v>0.1</v>
      </c>
      <c r="G5539" s="37" t="str">
        <f t="shared" si="431"/>
        <v>Normal Discount</v>
      </c>
      <c r="H5539" s="37" t="str">
        <f t="shared" si="432"/>
        <v>Low</v>
      </c>
      <c r="I5539">
        <v>6</v>
      </c>
      <c r="J5539" t="str" cm="1">
        <f t="array" ref="J5539">_xlfn.IFS(I5539&lt;=3,"small",I5539&lt;=6,"Medium",I5539&lt;=9,"Large")</f>
        <v>Medium</v>
      </c>
      <c r="K5539" s="36">
        <v>45172</v>
      </c>
      <c r="L5539" s="36">
        <v>45177</v>
      </c>
      <c r="M5539" t="s">
        <v>603</v>
      </c>
      <c r="N5539" t="s">
        <v>604</v>
      </c>
      <c r="O5539" s="37" t="str">
        <f t="shared" si="433"/>
        <v>Digital Payment</v>
      </c>
      <c r="P5539">
        <v>456.76</v>
      </c>
      <c r="Q5539" s="37" t="str">
        <f>IF(P5539&gt;500,"High","low")</f>
        <v>low</v>
      </c>
      <c r="R5539" s="37" t="str">
        <f t="shared" si="434"/>
        <v>AVERAGE</v>
      </c>
      <c r="S5539" t="s">
        <v>609</v>
      </c>
    </row>
    <row r="5540" spans="1:19" x14ac:dyDescent="0.2">
      <c r="A5540" t="s">
        <v>6151</v>
      </c>
      <c r="B5540" t="s">
        <v>75</v>
      </c>
      <c r="C5540" t="s">
        <v>617</v>
      </c>
      <c r="D5540">
        <v>1861.84</v>
      </c>
      <c r="E5540" s="37" t="str">
        <f t="shared" si="430"/>
        <v xml:space="preserve"> </v>
      </c>
      <c r="F5540">
        <v>0.23</v>
      </c>
      <c r="G5540" s="37" t="str">
        <f t="shared" si="431"/>
        <v>Normal Discount</v>
      </c>
      <c r="H5540" s="37" t="str">
        <f t="shared" si="432"/>
        <v>Medium</v>
      </c>
      <c r="I5540">
        <v>7</v>
      </c>
      <c r="J5540" t="str" cm="1">
        <f t="array" ref="J5540">_xlfn.IFS(I5540&lt;=3,"small",I5540&lt;=6,"Medium",I5540&lt;=9,"Large")</f>
        <v>Large</v>
      </c>
      <c r="K5540" s="36">
        <v>45406</v>
      </c>
      <c r="L5540" s="36">
        <v>45413</v>
      </c>
      <c r="M5540" t="s">
        <v>603</v>
      </c>
      <c r="N5540" t="s">
        <v>604</v>
      </c>
      <c r="O5540" s="37" t="str">
        <f t="shared" si="433"/>
        <v>Digital Payment</v>
      </c>
      <c r="P5540">
        <v>542.91999999999996</v>
      </c>
      <c r="Q5540" s="37" t="str">
        <f>IF(P5540&gt;500,"High","low")</f>
        <v>High</v>
      </c>
      <c r="R5540" s="37" t="str">
        <f t="shared" si="434"/>
        <v>Good</v>
      </c>
      <c r="S5540" t="s">
        <v>605</v>
      </c>
    </row>
    <row r="5541" spans="1:19" x14ac:dyDescent="0.2">
      <c r="A5541" t="s">
        <v>6152</v>
      </c>
      <c r="B5541" t="s">
        <v>83</v>
      </c>
      <c r="C5541" t="s">
        <v>614</v>
      </c>
      <c r="D5541">
        <v>4104.1099999999997</v>
      </c>
      <c r="E5541" s="37" t="str">
        <f t="shared" si="430"/>
        <v xml:space="preserve"> </v>
      </c>
      <c r="F5541">
        <v>0.01</v>
      </c>
      <c r="G5541" s="37" t="str">
        <f t="shared" si="431"/>
        <v>Normal Discount</v>
      </c>
      <c r="H5541" s="37" t="str">
        <f t="shared" si="432"/>
        <v>Low</v>
      </c>
      <c r="I5541">
        <v>8</v>
      </c>
      <c r="J5541" t="str" cm="1">
        <f t="array" ref="J5541">_xlfn.IFS(I5541&lt;=3,"small",I5541&lt;=6,"Medium",I5541&lt;=9,"Large")</f>
        <v>Large</v>
      </c>
      <c r="K5541" s="36">
        <v>45302</v>
      </c>
      <c r="L5541" s="36">
        <v>45305</v>
      </c>
      <c r="M5541" t="s">
        <v>603</v>
      </c>
      <c r="N5541" t="s">
        <v>599</v>
      </c>
      <c r="O5541" s="37" t="str">
        <f t="shared" si="433"/>
        <v>Digital Payment</v>
      </c>
      <c r="P5541">
        <v>757.65</v>
      </c>
      <c r="Q5541" s="37" t="str">
        <f>IF(P5541&gt;500,"High","low")</f>
        <v>High</v>
      </c>
      <c r="R5541" s="37" t="str">
        <f t="shared" si="434"/>
        <v>Good</v>
      </c>
      <c r="S5541" t="s">
        <v>609</v>
      </c>
    </row>
    <row r="5542" spans="1:19" x14ac:dyDescent="0.2">
      <c r="A5542" t="s">
        <v>6153</v>
      </c>
      <c r="B5542" t="s">
        <v>75</v>
      </c>
      <c r="C5542" t="s">
        <v>602</v>
      </c>
      <c r="D5542">
        <v>537.35</v>
      </c>
      <c r="E5542" s="37" t="str">
        <f t="shared" si="430"/>
        <v xml:space="preserve"> </v>
      </c>
      <c r="F5542">
        <v>0.42</v>
      </c>
      <c r="G5542" s="37" t="str">
        <f t="shared" si="431"/>
        <v>Heavy Discount</v>
      </c>
      <c r="H5542" s="37" t="str">
        <f t="shared" si="432"/>
        <v>High</v>
      </c>
      <c r="I5542">
        <v>9</v>
      </c>
      <c r="J5542" t="str" cm="1">
        <f t="array" ref="J5542">_xlfn.IFS(I5542&lt;=3,"small",I5542&lt;=6,"Medium",I5542&lt;=9,"Large")</f>
        <v>Large</v>
      </c>
      <c r="K5542" s="36">
        <v>45432</v>
      </c>
      <c r="L5542" s="36">
        <v>45438</v>
      </c>
      <c r="M5542" t="s">
        <v>598</v>
      </c>
      <c r="N5542" t="s">
        <v>604</v>
      </c>
      <c r="O5542" s="37" t="str">
        <f t="shared" si="433"/>
        <v>Digital Payment</v>
      </c>
      <c r="P5542">
        <v>59.84</v>
      </c>
      <c r="Q5542" s="37" t="str">
        <f>IF(P5542&gt;500,"High","low")</f>
        <v>low</v>
      </c>
      <c r="R5542" s="37" t="str">
        <f t="shared" si="434"/>
        <v>AVERAGE</v>
      </c>
      <c r="S5542" t="s">
        <v>620</v>
      </c>
    </row>
    <row r="5543" spans="1:19" x14ac:dyDescent="0.2">
      <c r="A5543" t="s">
        <v>6154</v>
      </c>
      <c r="B5543" t="s">
        <v>83</v>
      </c>
      <c r="C5543" t="s">
        <v>597</v>
      </c>
      <c r="D5543">
        <v>1523.92</v>
      </c>
      <c r="E5543" s="37" t="str">
        <f t="shared" si="430"/>
        <v xml:space="preserve"> </v>
      </c>
      <c r="F5543">
        <v>0.05</v>
      </c>
      <c r="G5543" s="37" t="str">
        <f t="shared" si="431"/>
        <v>Normal Discount</v>
      </c>
      <c r="H5543" s="37" t="str">
        <f t="shared" si="432"/>
        <v>Low</v>
      </c>
      <c r="I5543">
        <v>6</v>
      </c>
      <c r="J5543" t="str" cm="1">
        <f t="array" ref="J5543">_xlfn.IFS(I5543&lt;=3,"small",I5543&lt;=6,"Medium",I5543&lt;=9,"Large")</f>
        <v>Medium</v>
      </c>
      <c r="K5543" s="36">
        <v>45102</v>
      </c>
      <c r="L5543" s="36">
        <v>45104</v>
      </c>
      <c r="M5543" t="s">
        <v>612</v>
      </c>
      <c r="N5543" t="s">
        <v>604</v>
      </c>
      <c r="O5543" s="37" t="str">
        <f t="shared" si="433"/>
        <v>Digital Payment</v>
      </c>
      <c r="P5543">
        <v>300.56</v>
      </c>
      <c r="Q5543" s="37" t="str">
        <f>IF(P5543&gt;500,"High","low")</f>
        <v>low</v>
      </c>
      <c r="R5543" s="37" t="str">
        <f t="shared" si="434"/>
        <v>AVERAGE</v>
      </c>
      <c r="S5543" t="s">
        <v>609</v>
      </c>
    </row>
    <row r="5544" spans="1:19" x14ac:dyDescent="0.2">
      <c r="A5544" t="s">
        <v>6155</v>
      </c>
      <c r="B5544" t="s">
        <v>83</v>
      </c>
      <c r="C5544" t="s">
        <v>614</v>
      </c>
      <c r="D5544">
        <v>4929.22</v>
      </c>
      <c r="E5544" s="37" t="str">
        <f t="shared" si="430"/>
        <v>Excellent Order</v>
      </c>
      <c r="F5544">
        <v>0.05</v>
      </c>
      <c r="G5544" s="37" t="str">
        <f t="shared" si="431"/>
        <v>Normal Discount</v>
      </c>
      <c r="H5544" s="37" t="str">
        <f t="shared" si="432"/>
        <v>Low</v>
      </c>
      <c r="I5544">
        <v>7</v>
      </c>
      <c r="J5544" t="str" cm="1">
        <f t="array" ref="J5544">_xlfn.IFS(I5544&lt;=3,"small",I5544&lt;=6,"Medium",I5544&lt;=9,"Large")</f>
        <v>Large</v>
      </c>
      <c r="K5544" s="36">
        <v>45422</v>
      </c>
      <c r="L5544" s="36">
        <v>45426</v>
      </c>
      <c r="M5544" t="s">
        <v>598</v>
      </c>
      <c r="N5544" t="s">
        <v>608</v>
      </c>
      <c r="O5544" s="37" t="str">
        <f t="shared" si="433"/>
        <v>Cash Payment</v>
      </c>
      <c r="P5544">
        <v>1450.06</v>
      </c>
      <c r="Q5544" s="37" t="str">
        <f>IF(P5544&gt;500,"High","low")</f>
        <v>High</v>
      </c>
      <c r="R5544" s="37" t="str">
        <f t="shared" si="434"/>
        <v>Excellent</v>
      </c>
      <c r="S5544" t="s">
        <v>609</v>
      </c>
    </row>
    <row r="5545" spans="1:19" x14ac:dyDescent="0.2">
      <c r="A5545" t="s">
        <v>6156</v>
      </c>
      <c r="B5545" t="s">
        <v>83</v>
      </c>
      <c r="C5545" t="s">
        <v>617</v>
      </c>
      <c r="D5545">
        <v>4090.23</v>
      </c>
      <c r="E5545" s="37" t="str">
        <f t="shared" si="430"/>
        <v xml:space="preserve"> </v>
      </c>
      <c r="F5545">
        <v>0.44</v>
      </c>
      <c r="G5545" s="37" t="str">
        <f t="shared" si="431"/>
        <v>Heavy Discount</v>
      </c>
      <c r="H5545" s="37" t="str">
        <f t="shared" si="432"/>
        <v>High</v>
      </c>
      <c r="I5545">
        <v>4</v>
      </c>
      <c r="J5545" t="str" cm="1">
        <f t="array" ref="J5545">_xlfn.IFS(I5545&lt;=3,"small",I5545&lt;=6,"Medium",I5545&lt;=9,"Large")</f>
        <v>Medium</v>
      </c>
      <c r="K5545" s="36">
        <v>45602</v>
      </c>
      <c r="L5545" s="36">
        <v>45603</v>
      </c>
      <c r="M5545" t="s">
        <v>612</v>
      </c>
      <c r="N5545" t="s">
        <v>599</v>
      </c>
      <c r="O5545" s="37" t="str">
        <f t="shared" si="433"/>
        <v>Digital Payment</v>
      </c>
      <c r="P5545">
        <v>228.16</v>
      </c>
      <c r="Q5545" s="37" t="str">
        <f>IF(P5545&gt;500,"High","low")</f>
        <v>low</v>
      </c>
      <c r="R5545" s="37" t="str">
        <f t="shared" si="434"/>
        <v>AVERAGE</v>
      </c>
      <c r="S5545" t="s">
        <v>615</v>
      </c>
    </row>
    <row r="5546" spans="1:19" x14ac:dyDescent="0.2">
      <c r="A5546" t="s">
        <v>6157</v>
      </c>
      <c r="B5546" t="s">
        <v>83</v>
      </c>
      <c r="C5546" t="s">
        <v>602</v>
      </c>
      <c r="D5546">
        <v>4703.95</v>
      </c>
      <c r="E5546" s="37" t="str">
        <f t="shared" si="430"/>
        <v xml:space="preserve"> </v>
      </c>
      <c r="F5546">
        <v>0.2</v>
      </c>
      <c r="G5546" s="37" t="str">
        <f t="shared" si="431"/>
        <v>Normal Discount</v>
      </c>
      <c r="H5546" s="37" t="str">
        <f t="shared" si="432"/>
        <v>Medium</v>
      </c>
      <c r="I5546">
        <v>7</v>
      </c>
      <c r="J5546" t="str" cm="1">
        <f t="array" ref="J5546">_xlfn.IFS(I5546&lt;=3,"small",I5546&lt;=6,"Medium",I5546&lt;=9,"Large")</f>
        <v>Large</v>
      </c>
      <c r="K5546" s="36">
        <v>45190</v>
      </c>
      <c r="L5546" s="36">
        <v>45191</v>
      </c>
      <c r="M5546" t="s">
        <v>612</v>
      </c>
      <c r="N5546" t="s">
        <v>599</v>
      </c>
      <c r="O5546" s="37" t="str">
        <f t="shared" si="433"/>
        <v>Digital Payment</v>
      </c>
      <c r="P5546">
        <v>434.92</v>
      </c>
      <c r="Q5546" s="37" t="str">
        <f>IF(P5546&gt;500,"High","low")</f>
        <v>low</v>
      </c>
      <c r="R5546" s="37" t="str">
        <f t="shared" si="434"/>
        <v>AVERAGE</v>
      </c>
      <c r="S5546" t="s">
        <v>615</v>
      </c>
    </row>
    <row r="5547" spans="1:19" x14ac:dyDescent="0.2">
      <c r="A5547" t="s">
        <v>6158</v>
      </c>
      <c r="B5547" t="s">
        <v>83</v>
      </c>
      <c r="C5547" t="s">
        <v>602</v>
      </c>
      <c r="D5547">
        <v>3014.49</v>
      </c>
      <c r="E5547" s="37" t="str">
        <f t="shared" si="430"/>
        <v xml:space="preserve"> </v>
      </c>
      <c r="F5547">
        <v>0.34</v>
      </c>
      <c r="G5547" s="37" t="str">
        <f t="shared" si="431"/>
        <v>Heavy Discount</v>
      </c>
      <c r="H5547" s="37" t="str">
        <f t="shared" si="432"/>
        <v>Medium</v>
      </c>
      <c r="I5547">
        <v>1</v>
      </c>
      <c r="J5547" t="str" cm="1">
        <f t="array" ref="J5547">_xlfn.IFS(I5547&lt;=3,"small",I5547&lt;=6,"Medium",I5547&lt;=9,"Large")</f>
        <v>small</v>
      </c>
      <c r="K5547" s="36">
        <v>44962</v>
      </c>
      <c r="L5547" s="36">
        <v>44967</v>
      </c>
      <c r="M5547" t="s">
        <v>603</v>
      </c>
      <c r="N5547" t="s">
        <v>599</v>
      </c>
      <c r="O5547" s="37" t="str">
        <f t="shared" si="433"/>
        <v>Digital Payment</v>
      </c>
      <c r="P5547">
        <v>850.2</v>
      </c>
      <c r="Q5547" s="37" t="str">
        <f>IF(P5547&gt;500,"High","low")</f>
        <v>High</v>
      </c>
      <c r="R5547" s="37" t="str">
        <f t="shared" si="434"/>
        <v>Good</v>
      </c>
      <c r="S5547" t="s">
        <v>600</v>
      </c>
    </row>
    <row r="5548" spans="1:19" x14ac:dyDescent="0.2">
      <c r="A5548" t="s">
        <v>6159</v>
      </c>
      <c r="B5548" t="s">
        <v>83</v>
      </c>
      <c r="C5548" t="s">
        <v>607</v>
      </c>
      <c r="D5548">
        <v>2097.6</v>
      </c>
      <c r="E5548" s="37" t="str">
        <f t="shared" si="430"/>
        <v xml:space="preserve"> </v>
      </c>
      <c r="F5548">
        <v>0.43</v>
      </c>
      <c r="G5548" s="37" t="str">
        <f t="shared" si="431"/>
        <v>Heavy Discount</v>
      </c>
      <c r="H5548" s="37" t="str">
        <f t="shared" si="432"/>
        <v>High</v>
      </c>
      <c r="I5548">
        <v>3</v>
      </c>
      <c r="J5548" t="str" cm="1">
        <f t="array" ref="J5548">_xlfn.IFS(I5548&lt;=3,"small",I5548&lt;=6,"Medium",I5548&lt;=9,"Large")</f>
        <v>small</v>
      </c>
      <c r="K5548" s="36">
        <v>45033</v>
      </c>
      <c r="L5548" s="36">
        <v>45040</v>
      </c>
      <c r="M5548" t="s">
        <v>603</v>
      </c>
      <c r="N5548" t="s">
        <v>608</v>
      </c>
      <c r="O5548" s="37" t="str">
        <f t="shared" si="433"/>
        <v>Cash Payment</v>
      </c>
      <c r="P5548">
        <v>117.76</v>
      </c>
      <c r="Q5548" s="37" t="str">
        <f>IF(P5548&gt;500,"High","low")</f>
        <v>low</v>
      </c>
      <c r="R5548" s="37" t="str">
        <f t="shared" si="434"/>
        <v>AVERAGE</v>
      </c>
      <c r="S5548" t="s">
        <v>600</v>
      </c>
    </row>
    <row r="5549" spans="1:19" x14ac:dyDescent="0.2">
      <c r="A5549" t="s">
        <v>6160</v>
      </c>
      <c r="B5549" t="s">
        <v>83</v>
      </c>
      <c r="C5549" t="s">
        <v>602</v>
      </c>
      <c r="D5549">
        <v>4900.4799999999996</v>
      </c>
      <c r="E5549" s="37" t="str">
        <f t="shared" si="430"/>
        <v>Excellent Order</v>
      </c>
      <c r="F5549">
        <v>0.19</v>
      </c>
      <c r="G5549" s="37" t="str">
        <f t="shared" si="431"/>
        <v>Normal Discount</v>
      </c>
      <c r="H5549" s="37" t="str">
        <f t="shared" si="432"/>
        <v>Low</v>
      </c>
      <c r="I5549">
        <v>1</v>
      </c>
      <c r="J5549" t="str" cm="1">
        <f t="array" ref="J5549">_xlfn.IFS(I5549&lt;=3,"small",I5549&lt;=6,"Medium",I5549&lt;=9,"Large")</f>
        <v>small</v>
      </c>
      <c r="K5549" s="36">
        <v>44951</v>
      </c>
      <c r="L5549" s="36">
        <v>44952</v>
      </c>
      <c r="M5549" t="s">
        <v>603</v>
      </c>
      <c r="N5549" t="s">
        <v>599</v>
      </c>
      <c r="O5549" s="37" t="str">
        <f t="shared" si="433"/>
        <v>Digital Payment</v>
      </c>
      <c r="P5549">
        <v>1425.24</v>
      </c>
      <c r="Q5549" s="37" t="str">
        <f>IF(P5549&gt;500,"High","low")</f>
        <v>High</v>
      </c>
      <c r="R5549" s="37" t="str">
        <f t="shared" si="434"/>
        <v>Excellent</v>
      </c>
      <c r="S5549" t="s">
        <v>609</v>
      </c>
    </row>
    <row r="5550" spans="1:19" x14ac:dyDescent="0.2">
      <c r="A5550" t="s">
        <v>6161</v>
      </c>
      <c r="B5550" t="s">
        <v>83</v>
      </c>
      <c r="C5550" t="s">
        <v>602</v>
      </c>
      <c r="D5550">
        <v>1616.19</v>
      </c>
      <c r="E5550" s="37" t="str">
        <f t="shared" si="430"/>
        <v xml:space="preserve"> </v>
      </c>
      <c r="F5550">
        <v>0.13</v>
      </c>
      <c r="G5550" s="37" t="str">
        <f t="shared" si="431"/>
        <v>Normal Discount</v>
      </c>
      <c r="H5550" s="37" t="str">
        <f t="shared" si="432"/>
        <v>Low</v>
      </c>
      <c r="I5550">
        <v>8</v>
      </c>
      <c r="J5550" t="str" cm="1">
        <f t="array" ref="J5550">_xlfn.IFS(I5550&lt;=3,"small",I5550&lt;=6,"Medium",I5550&lt;=9,"Large")</f>
        <v>Large</v>
      </c>
      <c r="K5550" s="36">
        <v>45350</v>
      </c>
      <c r="L5550" s="36">
        <v>45352</v>
      </c>
      <c r="M5550" t="s">
        <v>598</v>
      </c>
      <c r="N5550" t="s">
        <v>604</v>
      </c>
      <c r="O5550" s="37" t="str">
        <f t="shared" si="433"/>
        <v>Digital Payment</v>
      </c>
      <c r="P5550">
        <v>334.48</v>
      </c>
      <c r="Q5550" s="37" t="str">
        <f>IF(P5550&gt;500,"High","low")</f>
        <v>low</v>
      </c>
      <c r="R5550" s="37" t="str">
        <f t="shared" si="434"/>
        <v>AVERAGE</v>
      </c>
      <c r="S5550" t="s">
        <v>600</v>
      </c>
    </row>
    <row r="5551" spans="1:19" x14ac:dyDescent="0.2">
      <c r="A5551" t="s">
        <v>6162</v>
      </c>
      <c r="B5551" t="s">
        <v>83</v>
      </c>
      <c r="C5551" t="s">
        <v>617</v>
      </c>
      <c r="D5551">
        <v>3811.33</v>
      </c>
      <c r="E5551" s="37" t="str">
        <f t="shared" si="430"/>
        <v xml:space="preserve"> </v>
      </c>
      <c r="F5551">
        <v>0.08</v>
      </c>
      <c r="G5551" s="37" t="str">
        <f t="shared" si="431"/>
        <v>Normal Discount</v>
      </c>
      <c r="H5551" s="37" t="str">
        <f t="shared" si="432"/>
        <v>Low</v>
      </c>
      <c r="I5551">
        <v>3</v>
      </c>
      <c r="J5551" t="str" cm="1">
        <f t="array" ref="J5551">_xlfn.IFS(I5551&lt;=3,"small",I5551&lt;=6,"Medium",I5551&lt;=9,"Large")</f>
        <v>small</v>
      </c>
      <c r="K5551" s="36">
        <v>45307</v>
      </c>
      <c r="L5551" s="36">
        <v>45308</v>
      </c>
      <c r="M5551" t="s">
        <v>612</v>
      </c>
      <c r="N5551" t="s">
        <v>604</v>
      </c>
      <c r="O5551" s="37" t="str">
        <f t="shared" si="433"/>
        <v>Digital Payment</v>
      </c>
      <c r="P5551">
        <v>411.31</v>
      </c>
      <c r="Q5551" s="37" t="str">
        <f>IF(P5551&gt;500,"High","low")</f>
        <v>low</v>
      </c>
      <c r="R5551" s="37" t="str">
        <f t="shared" si="434"/>
        <v>AVERAGE</v>
      </c>
      <c r="S5551" t="s">
        <v>600</v>
      </c>
    </row>
    <row r="5552" spans="1:19" x14ac:dyDescent="0.2">
      <c r="A5552" t="s">
        <v>6163</v>
      </c>
      <c r="B5552" t="s">
        <v>75</v>
      </c>
      <c r="C5552" t="s">
        <v>617</v>
      </c>
      <c r="D5552">
        <v>2835.21</v>
      </c>
      <c r="E5552" s="37" t="str">
        <f t="shared" si="430"/>
        <v xml:space="preserve"> </v>
      </c>
      <c r="F5552">
        <v>0.3</v>
      </c>
      <c r="G5552" s="37" t="str">
        <f t="shared" si="431"/>
        <v>Normal Discount</v>
      </c>
      <c r="H5552" s="37" t="str">
        <f t="shared" si="432"/>
        <v>Medium</v>
      </c>
      <c r="I5552">
        <v>7</v>
      </c>
      <c r="J5552" t="str" cm="1">
        <f t="array" ref="J5552">_xlfn.IFS(I5552&lt;=3,"small",I5552&lt;=6,"Medium",I5552&lt;=9,"Large")</f>
        <v>Large</v>
      </c>
      <c r="K5552" s="36">
        <v>45405</v>
      </c>
      <c r="L5552" s="36">
        <v>45410</v>
      </c>
      <c r="M5552" t="s">
        <v>598</v>
      </c>
      <c r="N5552" t="s">
        <v>604</v>
      </c>
      <c r="O5552" s="37" t="str">
        <f t="shared" si="433"/>
        <v>Digital Payment</v>
      </c>
      <c r="P5552">
        <v>205.33</v>
      </c>
      <c r="Q5552" s="37" t="str">
        <f>IF(P5552&gt;500,"High","low")</f>
        <v>low</v>
      </c>
      <c r="R5552" s="37" t="str">
        <f t="shared" si="434"/>
        <v>AVERAGE</v>
      </c>
      <c r="S5552" t="s">
        <v>605</v>
      </c>
    </row>
    <row r="5553" spans="1:19" x14ac:dyDescent="0.2">
      <c r="A5553" t="s">
        <v>6164</v>
      </c>
      <c r="B5553" t="s">
        <v>90</v>
      </c>
      <c r="C5553" t="s">
        <v>614</v>
      </c>
      <c r="D5553">
        <v>1219.69</v>
      </c>
      <c r="E5553" s="37" t="str">
        <f t="shared" si="430"/>
        <v xml:space="preserve"> </v>
      </c>
      <c r="F5553">
        <v>0.13</v>
      </c>
      <c r="G5553" s="37" t="str">
        <f t="shared" si="431"/>
        <v>Normal Discount</v>
      </c>
      <c r="H5553" s="37" t="str">
        <f t="shared" si="432"/>
        <v>Low</v>
      </c>
      <c r="I5553">
        <v>2</v>
      </c>
      <c r="J5553" t="str" cm="1">
        <f t="array" ref="J5553">_xlfn.IFS(I5553&lt;=3,"small",I5553&lt;=6,"Medium",I5553&lt;=9,"Large")</f>
        <v>small</v>
      </c>
      <c r="K5553" s="36">
        <v>45547</v>
      </c>
      <c r="L5553" s="36">
        <v>45553</v>
      </c>
      <c r="M5553" t="s">
        <v>603</v>
      </c>
      <c r="N5553" t="s">
        <v>599</v>
      </c>
      <c r="O5553" s="37" t="str">
        <f t="shared" si="433"/>
        <v>Digital Payment</v>
      </c>
      <c r="P5553">
        <v>92.74</v>
      </c>
      <c r="Q5553" s="37" t="str">
        <f>IF(P5553&gt;500,"High","low")</f>
        <v>low</v>
      </c>
      <c r="R5553" s="37" t="str">
        <f t="shared" si="434"/>
        <v>AVERAGE</v>
      </c>
      <c r="S5553" t="s">
        <v>628</v>
      </c>
    </row>
    <row r="5554" spans="1:19" x14ac:dyDescent="0.2">
      <c r="A5554" t="s">
        <v>6165</v>
      </c>
      <c r="B5554" t="s">
        <v>83</v>
      </c>
      <c r="C5554" t="s">
        <v>597</v>
      </c>
      <c r="D5554">
        <v>185.67</v>
      </c>
      <c r="E5554" s="37" t="str">
        <f t="shared" si="430"/>
        <v xml:space="preserve"> </v>
      </c>
      <c r="F5554">
        <v>0.32</v>
      </c>
      <c r="G5554" s="37" t="str">
        <f t="shared" si="431"/>
        <v>Heavy Discount</v>
      </c>
      <c r="H5554" s="37" t="str">
        <f t="shared" si="432"/>
        <v>Medium</v>
      </c>
      <c r="I5554">
        <v>5</v>
      </c>
      <c r="J5554" t="str" cm="1">
        <f t="array" ref="J5554">_xlfn.IFS(I5554&lt;=3,"small",I5554&lt;=6,"Medium",I5554&lt;=9,"Large")</f>
        <v>Medium</v>
      </c>
      <c r="K5554" s="36">
        <v>45609</v>
      </c>
      <c r="L5554" s="36">
        <v>45616</v>
      </c>
      <c r="M5554" t="s">
        <v>612</v>
      </c>
      <c r="N5554" t="s">
        <v>599</v>
      </c>
      <c r="O5554" s="37" t="str">
        <f t="shared" si="433"/>
        <v>Digital Payment</v>
      </c>
      <c r="P5554">
        <v>48.17</v>
      </c>
      <c r="Q5554" s="37" t="str">
        <f>IF(P5554&gt;500,"High","low")</f>
        <v>low</v>
      </c>
      <c r="R5554" s="37" t="str">
        <f t="shared" si="434"/>
        <v>AVERAGE</v>
      </c>
      <c r="S5554" t="s">
        <v>605</v>
      </c>
    </row>
    <row r="5555" spans="1:19" x14ac:dyDescent="0.2">
      <c r="A5555" t="s">
        <v>6166</v>
      </c>
      <c r="B5555" t="s">
        <v>90</v>
      </c>
      <c r="C5555" t="s">
        <v>617</v>
      </c>
      <c r="D5555">
        <v>1980.44</v>
      </c>
      <c r="E5555" s="37" t="str">
        <f t="shared" si="430"/>
        <v xml:space="preserve"> </v>
      </c>
      <c r="F5555">
        <v>0.16</v>
      </c>
      <c r="G5555" s="37" t="str">
        <f t="shared" si="431"/>
        <v>Normal Discount</v>
      </c>
      <c r="H5555" s="37" t="str">
        <f t="shared" si="432"/>
        <v>Low</v>
      </c>
      <c r="I5555">
        <v>3</v>
      </c>
      <c r="J5555" t="str" cm="1">
        <f t="array" ref="J5555">_xlfn.IFS(I5555&lt;=3,"small",I5555&lt;=6,"Medium",I5555&lt;=9,"Large")</f>
        <v>small</v>
      </c>
      <c r="K5555" s="36">
        <v>45081</v>
      </c>
      <c r="L5555" s="36">
        <v>45088</v>
      </c>
      <c r="M5555" t="s">
        <v>598</v>
      </c>
      <c r="N5555" t="s">
        <v>599</v>
      </c>
      <c r="O5555" s="37" t="str">
        <f t="shared" si="433"/>
        <v>Digital Payment</v>
      </c>
      <c r="P5555">
        <v>505.72</v>
      </c>
      <c r="Q5555" s="37" t="str">
        <f>IF(P5555&gt;500,"High","low")</f>
        <v>High</v>
      </c>
      <c r="R5555" s="37" t="str">
        <f t="shared" si="434"/>
        <v>Good</v>
      </c>
      <c r="S5555" t="s">
        <v>620</v>
      </c>
    </row>
    <row r="5556" spans="1:19" x14ac:dyDescent="0.2">
      <c r="A5556" t="s">
        <v>6167</v>
      </c>
      <c r="B5556" t="s">
        <v>83</v>
      </c>
      <c r="C5556" t="s">
        <v>614</v>
      </c>
      <c r="D5556">
        <v>2783.66</v>
      </c>
      <c r="E5556" s="37" t="str">
        <f t="shared" si="430"/>
        <v xml:space="preserve"> </v>
      </c>
      <c r="F5556">
        <v>0.17</v>
      </c>
      <c r="G5556" s="37" t="str">
        <f t="shared" si="431"/>
        <v>Normal Discount</v>
      </c>
      <c r="H5556" s="37" t="str">
        <f t="shared" si="432"/>
        <v>Low</v>
      </c>
      <c r="I5556">
        <v>3</v>
      </c>
      <c r="J5556" t="str" cm="1">
        <f t="array" ref="J5556">_xlfn.IFS(I5556&lt;=3,"small",I5556&lt;=6,"Medium",I5556&lt;=9,"Large")</f>
        <v>small</v>
      </c>
      <c r="K5556" s="36">
        <v>45415</v>
      </c>
      <c r="L5556" s="36">
        <v>45420</v>
      </c>
      <c r="M5556" t="s">
        <v>598</v>
      </c>
      <c r="N5556" t="s">
        <v>608</v>
      </c>
      <c r="O5556" s="37" t="str">
        <f t="shared" si="433"/>
        <v>Cash Payment</v>
      </c>
      <c r="P5556">
        <v>719.48</v>
      </c>
      <c r="Q5556" s="37" t="str">
        <f>IF(P5556&gt;500,"High","low")</f>
        <v>High</v>
      </c>
      <c r="R5556" s="37" t="str">
        <f t="shared" si="434"/>
        <v>Good</v>
      </c>
      <c r="S5556" t="s">
        <v>620</v>
      </c>
    </row>
    <row r="5557" spans="1:19" x14ac:dyDescent="0.2">
      <c r="A5557" t="s">
        <v>6168</v>
      </c>
      <c r="B5557" t="s">
        <v>83</v>
      </c>
      <c r="C5557" t="s">
        <v>602</v>
      </c>
      <c r="D5557">
        <v>997.63</v>
      </c>
      <c r="E5557" s="37" t="str">
        <f t="shared" si="430"/>
        <v xml:space="preserve"> </v>
      </c>
      <c r="F5557">
        <v>0.12</v>
      </c>
      <c r="G5557" s="37" t="str">
        <f t="shared" si="431"/>
        <v>Normal Discount</v>
      </c>
      <c r="H5557" s="37" t="str">
        <f t="shared" si="432"/>
        <v>Low</v>
      </c>
      <c r="I5557">
        <v>5</v>
      </c>
      <c r="J5557" t="str" cm="1">
        <f t="array" ref="J5557">_xlfn.IFS(I5557&lt;=3,"small",I5557&lt;=6,"Medium",I5557&lt;=9,"Large")</f>
        <v>Medium</v>
      </c>
      <c r="K5557" s="36">
        <v>45348</v>
      </c>
      <c r="L5557" s="36">
        <v>45349</v>
      </c>
      <c r="M5557" t="s">
        <v>598</v>
      </c>
      <c r="N5557" t="s">
        <v>608</v>
      </c>
      <c r="O5557" s="37" t="str">
        <f t="shared" si="433"/>
        <v>Cash Payment</v>
      </c>
      <c r="P5557">
        <v>289.47000000000003</v>
      </c>
      <c r="Q5557" s="37" t="str">
        <f>IF(P5557&gt;500,"High","low")</f>
        <v>low</v>
      </c>
      <c r="R5557" s="37" t="str">
        <f t="shared" si="434"/>
        <v>AVERAGE</v>
      </c>
      <c r="S5557" t="s">
        <v>628</v>
      </c>
    </row>
    <row r="5558" spans="1:19" x14ac:dyDescent="0.2">
      <c r="A5558" t="s">
        <v>6169</v>
      </c>
      <c r="B5558" t="s">
        <v>75</v>
      </c>
      <c r="C5558" t="s">
        <v>614</v>
      </c>
      <c r="D5558">
        <v>2131.3200000000002</v>
      </c>
      <c r="E5558" s="37" t="str">
        <f t="shared" si="430"/>
        <v xml:space="preserve"> </v>
      </c>
      <c r="F5558">
        <v>0.21</v>
      </c>
      <c r="G5558" s="37" t="str">
        <f t="shared" si="431"/>
        <v>Normal Discount</v>
      </c>
      <c r="H5558" s="37" t="str">
        <f t="shared" si="432"/>
        <v>Medium</v>
      </c>
      <c r="I5558">
        <v>8</v>
      </c>
      <c r="J5558" t="str" cm="1">
        <f t="array" ref="J5558">_xlfn.IFS(I5558&lt;=3,"small",I5558&lt;=6,"Medium",I5558&lt;=9,"Large")</f>
        <v>Large</v>
      </c>
      <c r="K5558" s="36">
        <v>45391</v>
      </c>
      <c r="L5558" s="36">
        <v>45397</v>
      </c>
      <c r="M5558" t="s">
        <v>603</v>
      </c>
      <c r="N5558" t="s">
        <v>604</v>
      </c>
      <c r="O5558" s="37" t="str">
        <f t="shared" si="433"/>
        <v>Digital Payment</v>
      </c>
      <c r="P5558">
        <v>314.69</v>
      </c>
      <c r="Q5558" s="37" t="str">
        <f>IF(P5558&gt;500,"High","low")</f>
        <v>low</v>
      </c>
      <c r="R5558" s="37" t="str">
        <f t="shared" si="434"/>
        <v>AVERAGE</v>
      </c>
      <c r="S5558" t="s">
        <v>628</v>
      </c>
    </row>
    <row r="5559" spans="1:19" x14ac:dyDescent="0.2">
      <c r="A5559" t="s">
        <v>6170</v>
      </c>
      <c r="B5559" t="s">
        <v>67</v>
      </c>
      <c r="C5559" t="s">
        <v>614</v>
      </c>
      <c r="D5559">
        <v>3114.43</v>
      </c>
      <c r="E5559" s="37" t="str">
        <f t="shared" si="430"/>
        <v xml:space="preserve"> </v>
      </c>
      <c r="F5559">
        <v>0.08</v>
      </c>
      <c r="G5559" s="37" t="str">
        <f t="shared" si="431"/>
        <v>Normal Discount</v>
      </c>
      <c r="H5559" s="37" t="str">
        <f t="shared" si="432"/>
        <v>Low</v>
      </c>
      <c r="I5559">
        <v>2</v>
      </c>
      <c r="J5559" t="str" cm="1">
        <f t="array" ref="J5559">_xlfn.IFS(I5559&lt;=3,"small",I5559&lt;=6,"Medium",I5559&lt;=9,"Large")</f>
        <v>small</v>
      </c>
      <c r="K5559" s="36">
        <v>45035</v>
      </c>
      <c r="L5559" s="36">
        <v>45042</v>
      </c>
      <c r="M5559" t="s">
        <v>603</v>
      </c>
      <c r="N5559" t="s">
        <v>604</v>
      </c>
      <c r="O5559" s="37" t="str">
        <f t="shared" si="433"/>
        <v>Digital Payment</v>
      </c>
      <c r="P5559">
        <v>868.8</v>
      </c>
      <c r="Q5559" s="37" t="str">
        <f>IF(P5559&gt;500,"High","low")</f>
        <v>High</v>
      </c>
      <c r="R5559" s="37" t="str">
        <f t="shared" si="434"/>
        <v>Good</v>
      </c>
      <c r="S5559" t="s">
        <v>600</v>
      </c>
    </row>
    <row r="5560" spans="1:19" x14ac:dyDescent="0.2">
      <c r="A5560" t="s">
        <v>6171</v>
      </c>
      <c r="B5560" t="s">
        <v>67</v>
      </c>
      <c r="C5560" t="s">
        <v>614</v>
      </c>
      <c r="D5560">
        <v>3603.12</v>
      </c>
      <c r="E5560" s="37" t="str">
        <f t="shared" si="430"/>
        <v xml:space="preserve"> </v>
      </c>
      <c r="F5560">
        <v>0.16</v>
      </c>
      <c r="G5560" s="37" t="str">
        <f t="shared" si="431"/>
        <v>Normal Discount</v>
      </c>
      <c r="H5560" s="37" t="str">
        <f t="shared" si="432"/>
        <v>Low</v>
      </c>
      <c r="I5560">
        <v>4</v>
      </c>
      <c r="J5560" t="str" cm="1">
        <f t="array" ref="J5560">_xlfn.IFS(I5560&lt;=3,"small",I5560&lt;=6,"Medium",I5560&lt;=9,"Large")</f>
        <v>Medium</v>
      </c>
      <c r="K5560" s="36">
        <v>45348</v>
      </c>
      <c r="L5560" s="36">
        <v>45352</v>
      </c>
      <c r="M5560" t="s">
        <v>612</v>
      </c>
      <c r="N5560" t="s">
        <v>599</v>
      </c>
      <c r="O5560" s="37" t="str">
        <f t="shared" si="433"/>
        <v>Digital Payment</v>
      </c>
      <c r="P5560">
        <v>325.64</v>
      </c>
      <c r="Q5560" s="37" t="str">
        <f>IF(P5560&gt;500,"High","low")</f>
        <v>low</v>
      </c>
      <c r="R5560" s="37" t="str">
        <f t="shared" si="434"/>
        <v>AVERAGE</v>
      </c>
      <c r="S5560" t="s">
        <v>609</v>
      </c>
    </row>
    <row r="5561" spans="1:19" x14ac:dyDescent="0.2">
      <c r="A5561" t="s">
        <v>6172</v>
      </c>
      <c r="B5561" t="s">
        <v>75</v>
      </c>
      <c r="C5561" t="s">
        <v>614</v>
      </c>
      <c r="D5561">
        <v>358.44</v>
      </c>
      <c r="E5561" s="37" t="str">
        <f t="shared" si="430"/>
        <v xml:space="preserve"> </v>
      </c>
      <c r="F5561">
        <v>0.39</v>
      </c>
      <c r="G5561" s="37" t="str">
        <f t="shared" si="431"/>
        <v>Heavy Discount</v>
      </c>
      <c r="H5561" s="37" t="str">
        <f t="shared" si="432"/>
        <v>Medium</v>
      </c>
      <c r="I5561">
        <v>4</v>
      </c>
      <c r="J5561" t="str" cm="1">
        <f t="array" ref="J5561">_xlfn.IFS(I5561&lt;=3,"small",I5561&lt;=6,"Medium",I5561&lt;=9,"Large")</f>
        <v>Medium</v>
      </c>
      <c r="K5561" s="36">
        <v>45558</v>
      </c>
      <c r="L5561" s="36">
        <v>45559</v>
      </c>
      <c r="M5561" t="s">
        <v>612</v>
      </c>
      <c r="N5561" t="s">
        <v>599</v>
      </c>
      <c r="O5561" s="37" t="str">
        <f t="shared" si="433"/>
        <v>Digital Payment</v>
      </c>
      <c r="P5561">
        <v>102.08</v>
      </c>
      <c r="Q5561" s="37" t="str">
        <f>IF(P5561&gt;500,"High","low")</f>
        <v>low</v>
      </c>
      <c r="R5561" s="37" t="str">
        <f t="shared" si="434"/>
        <v>AVERAGE</v>
      </c>
      <c r="S5561" t="s">
        <v>605</v>
      </c>
    </row>
    <row r="5562" spans="1:19" x14ac:dyDescent="0.2">
      <c r="A5562" t="s">
        <v>6173</v>
      </c>
      <c r="B5562" t="s">
        <v>90</v>
      </c>
      <c r="C5562" t="s">
        <v>617</v>
      </c>
      <c r="D5562">
        <v>3354.49</v>
      </c>
      <c r="E5562" s="37" t="str">
        <f t="shared" si="430"/>
        <v xml:space="preserve"> </v>
      </c>
      <c r="F5562">
        <v>0.11</v>
      </c>
      <c r="G5562" s="37" t="str">
        <f t="shared" si="431"/>
        <v>Normal Discount</v>
      </c>
      <c r="H5562" s="37" t="str">
        <f t="shared" si="432"/>
        <v>Low</v>
      </c>
      <c r="I5562">
        <v>5</v>
      </c>
      <c r="J5562" t="str" cm="1">
        <f t="array" ref="J5562">_xlfn.IFS(I5562&lt;=3,"small",I5562&lt;=6,"Medium",I5562&lt;=9,"Large")</f>
        <v>Medium</v>
      </c>
      <c r="K5562" s="36">
        <v>45374</v>
      </c>
      <c r="L5562" s="36">
        <v>45379</v>
      </c>
      <c r="M5562" t="s">
        <v>612</v>
      </c>
      <c r="N5562" t="s">
        <v>599</v>
      </c>
      <c r="O5562" s="37" t="str">
        <f t="shared" si="433"/>
        <v>Digital Payment</v>
      </c>
      <c r="P5562">
        <v>372.06</v>
      </c>
      <c r="Q5562" s="37" t="str">
        <f>IF(P5562&gt;500,"High","low")</f>
        <v>low</v>
      </c>
      <c r="R5562" s="37" t="str">
        <f t="shared" si="434"/>
        <v>AVERAGE</v>
      </c>
      <c r="S5562" t="s">
        <v>628</v>
      </c>
    </row>
    <row r="5563" spans="1:19" x14ac:dyDescent="0.2">
      <c r="A5563" t="s">
        <v>6174</v>
      </c>
      <c r="B5563" t="s">
        <v>67</v>
      </c>
      <c r="C5563" t="s">
        <v>597</v>
      </c>
      <c r="D5563">
        <v>377.67</v>
      </c>
      <c r="E5563" s="37" t="str">
        <f t="shared" si="430"/>
        <v xml:space="preserve"> </v>
      </c>
      <c r="F5563">
        <v>0.47</v>
      </c>
      <c r="G5563" s="37" t="str">
        <f t="shared" si="431"/>
        <v>Heavy Discount</v>
      </c>
      <c r="H5563" s="37" t="str">
        <f t="shared" si="432"/>
        <v>High</v>
      </c>
      <c r="I5563">
        <v>6</v>
      </c>
      <c r="J5563" t="str" cm="1">
        <f t="array" ref="J5563">_xlfn.IFS(I5563&lt;=3,"small",I5563&lt;=6,"Medium",I5563&lt;=9,"Large")</f>
        <v>Medium</v>
      </c>
      <c r="K5563" s="36">
        <v>45655</v>
      </c>
      <c r="L5563" s="36">
        <v>45659</v>
      </c>
      <c r="M5563" t="s">
        <v>598</v>
      </c>
      <c r="N5563" t="s">
        <v>608</v>
      </c>
      <c r="O5563" s="37" t="str">
        <f t="shared" si="433"/>
        <v>Cash Payment</v>
      </c>
      <c r="P5563">
        <v>57.41</v>
      </c>
      <c r="Q5563" s="37" t="str">
        <f>IF(P5563&gt;500,"High","low")</f>
        <v>low</v>
      </c>
      <c r="R5563" s="37" t="str">
        <f t="shared" si="434"/>
        <v>AVERAGE</v>
      </c>
      <c r="S5563" t="s">
        <v>600</v>
      </c>
    </row>
    <row r="5564" spans="1:19" x14ac:dyDescent="0.2">
      <c r="A5564" t="s">
        <v>6175</v>
      </c>
      <c r="B5564" t="s">
        <v>75</v>
      </c>
      <c r="C5564" t="s">
        <v>614</v>
      </c>
      <c r="D5564">
        <v>238.11</v>
      </c>
      <c r="E5564" s="37" t="str">
        <f t="shared" si="430"/>
        <v xml:space="preserve"> </v>
      </c>
      <c r="F5564">
        <v>0.25</v>
      </c>
      <c r="G5564" s="37" t="str">
        <f t="shared" si="431"/>
        <v>Normal Discount</v>
      </c>
      <c r="H5564" s="37" t="str">
        <f t="shared" si="432"/>
        <v>Medium</v>
      </c>
      <c r="I5564">
        <v>9</v>
      </c>
      <c r="J5564" t="str" cm="1">
        <f t="array" ref="J5564">_xlfn.IFS(I5564&lt;=3,"small",I5564&lt;=6,"Medium",I5564&lt;=9,"Large")</f>
        <v>Large</v>
      </c>
      <c r="K5564" s="36">
        <v>45071</v>
      </c>
      <c r="L5564" s="36">
        <v>45076</v>
      </c>
      <c r="M5564" t="s">
        <v>612</v>
      </c>
      <c r="N5564" t="s">
        <v>604</v>
      </c>
      <c r="O5564" s="37" t="str">
        <f t="shared" si="433"/>
        <v>Digital Payment</v>
      </c>
      <c r="P5564">
        <v>42.58</v>
      </c>
      <c r="Q5564" s="37" t="str">
        <f>IF(P5564&gt;500,"High","low")</f>
        <v>low</v>
      </c>
      <c r="R5564" s="37" t="str">
        <f t="shared" si="434"/>
        <v>AVERAGE</v>
      </c>
      <c r="S5564" t="s">
        <v>615</v>
      </c>
    </row>
    <row r="5565" spans="1:19" x14ac:dyDescent="0.2">
      <c r="A5565" t="s">
        <v>6176</v>
      </c>
      <c r="B5565" t="s">
        <v>75</v>
      </c>
      <c r="C5565" t="s">
        <v>607</v>
      </c>
      <c r="D5565">
        <v>846.82</v>
      </c>
      <c r="E5565" s="37" t="str">
        <f t="shared" si="430"/>
        <v xml:space="preserve"> </v>
      </c>
      <c r="F5565">
        <v>0.05</v>
      </c>
      <c r="G5565" s="37" t="str">
        <f t="shared" si="431"/>
        <v>Normal Discount</v>
      </c>
      <c r="H5565" s="37" t="str">
        <f t="shared" si="432"/>
        <v>Low</v>
      </c>
      <c r="I5565">
        <v>5</v>
      </c>
      <c r="J5565" t="str" cm="1">
        <f t="array" ref="J5565">_xlfn.IFS(I5565&lt;=3,"small",I5565&lt;=6,"Medium",I5565&lt;=9,"Large")</f>
        <v>Medium</v>
      </c>
      <c r="K5565" s="36">
        <v>45261</v>
      </c>
      <c r="L5565" s="36">
        <v>45267</v>
      </c>
      <c r="M5565" t="s">
        <v>603</v>
      </c>
      <c r="N5565" t="s">
        <v>604</v>
      </c>
      <c r="O5565" s="37" t="str">
        <f t="shared" si="433"/>
        <v>Digital Payment</v>
      </c>
      <c r="P5565">
        <v>212.38</v>
      </c>
      <c r="Q5565" s="37" t="str">
        <f>IF(P5565&gt;500,"High","low")</f>
        <v>low</v>
      </c>
      <c r="R5565" s="37" t="str">
        <f t="shared" si="434"/>
        <v>AVERAGE</v>
      </c>
      <c r="S5565" t="s">
        <v>620</v>
      </c>
    </row>
    <row r="5566" spans="1:19" x14ac:dyDescent="0.2">
      <c r="A5566" t="s">
        <v>6177</v>
      </c>
      <c r="B5566" t="s">
        <v>67</v>
      </c>
      <c r="C5566" t="s">
        <v>602</v>
      </c>
      <c r="D5566">
        <v>3302.86</v>
      </c>
      <c r="E5566" s="37" t="str">
        <f t="shared" si="430"/>
        <v xml:space="preserve"> </v>
      </c>
      <c r="F5566">
        <v>0.47</v>
      </c>
      <c r="G5566" s="37" t="str">
        <f t="shared" si="431"/>
        <v>Heavy Discount</v>
      </c>
      <c r="H5566" s="37" t="str">
        <f t="shared" si="432"/>
        <v>High</v>
      </c>
      <c r="I5566">
        <v>8</v>
      </c>
      <c r="J5566" t="str" cm="1">
        <f t="array" ref="J5566">_xlfn.IFS(I5566&lt;=3,"small",I5566&lt;=6,"Medium",I5566&lt;=9,"Large")</f>
        <v>Large</v>
      </c>
      <c r="K5566" s="36">
        <v>45550</v>
      </c>
      <c r="L5566" s="36">
        <v>45554</v>
      </c>
      <c r="M5566" t="s">
        <v>603</v>
      </c>
      <c r="N5566" t="s">
        <v>608</v>
      </c>
      <c r="O5566" s="37" t="str">
        <f t="shared" si="433"/>
        <v>Cash Payment</v>
      </c>
      <c r="P5566">
        <v>486.58</v>
      </c>
      <c r="Q5566" s="37" t="str">
        <f>IF(P5566&gt;500,"High","low")</f>
        <v>low</v>
      </c>
      <c r="R5566" s="37" t="str">
        <f t="shared" si="434"/>
        <v>AVERAGE</v>
      </c>
      <c r="S5566" t="s">
        <v>605</v>
      </c>
    </row>
    <row r="5567" spans="1:19" x14ac:dyDescent="0.2">
      <c r="A5567" t="s">
        <v>6178</v>
      </c>
      <c r="B5567" t="s">
        <v>90</v>
      </c>
      <c r="C5567" t="s">
        <v>602</v>
      </c>
      <c r="D5567">
        <v>358.83</v>
      </c>
      <c r="E5567" s="37" t="str">
        <f t="shared" si="430"/>
        <v xml:space="preserve"> </v>
      </c>
      <c r="F5567">
        <v>0.23</v>
      </c>
      <c r="G5567" s="37" t="str">
        <f t="shared" si="431"/>
        <v>Normal Discount</v>
      </c>
      <c r="H5567" s="37" t="str">
        <f t="shared" si="432"/>
        <v>Medium</v>
      </c>
      <c r="I5567">
        <v>5</v>
      </c>
      <c r="J5567" t="str" cm="1">
        <f t="array" ref="J5567">_xlfn.IFS(I5567&lt;=3,"small",I5567&lt;=6,"Medium",I5567&lt;=9,"Large")</f>
        <v>Medium</v>
      </c>
      <c r="K5567" s="36">
        <v>45555</v>
      </c>
      <c r="L5567" s="36">
        <v>45556</v>
      </c>
      <c r="M5567" t="s">
        <v>603</v>
      </c>
      <c r="N5567" t="s">
        <v>599</v>
      </c>
      <c r="O5567" s="37" t="str">
        <f t="shared" si="433"/>
        <v>Digital Payment</v>
      </c>
      <c r="P5567">
        <v>48.58</v>
      </c>
      <c r="Q5567" s="37" t="str">
        <f>IF(P5567&gt;500,"High","low")</f>
        <v>low</v>
      </c>
      <c r="R5567" s="37" t="str">
        <f t="shared" si="434"/>
        <v>AVERAGE</v>
      </c>
      <c r="S5567" t="s">
        <v>628</v>
      </c>
    </row>
    <row r="5568" spans="1:19" x14ac:dyDescent="0.2">
      <c r="A5568" t="s">
        <v>6179</v>
      </c>
      <c r="B5568" t="s">
        <v>75</v>
      </c>
      <c r="C5568" t="s">
        <v>602</v>
      </c>
      <c r="D5568">
        <v>202.39</v>
      </c>
      <c r="E5568" s="37" t="str">
        <f t="shared" si="430"/>
        <v xml:space="preserve"> </v>
      </c>
      <c r="F5568">
        <v>0.28000000000000003</v>
      </c>
      <c r="G5568" s="37" t="str">
        <f t="shared" si="431"/>
        <v>Normal Discount</v>
      </c>
      <c r="H5568" s="37" t="str">
        <f t="shared" si="432"/>
        <v>Medium</v>
      </c>
      <c r="I5568">
        <v>3</v>
      </c>
      <c r="J5568" t="str" cm="1">
        <f t="array" ref="J5568">_xlfn.IFS(I5568&lt;=3,"small",I5568&lt;=6,"Medium",I5568&lt;=9,"Large")</f>
        <v>small</v>
      </c>
      <c r="K5568" s="36">
        <v>45462</v>
      </c>
      <c r="L5568" s="36">
        <v>45468</v>
      </c>
      <c r="M5568" t="s">
        <v>598</v>
      </c>
      <c r="N5568" t="s">
        <v>599</v>
      </c>
      <c r="O5568" s="37" t="str">
        <f t="shared" si="433"/>
        <v>Digital Payment</v>
      </c>
      <c r="P5568">
        <v>59.85</v>
      </c>
      <c r="Q5568" s="37" t="str">
        <f>IF(P5568&gt;500,"High","low")</f>
        <v>low</v>
      </c>
      <c r="R5568" s="37" t="str">
        <f t="shared" si="434"/>
        <v>AVERAGE</v>
      </c>
      <c r="S5568" t="s">
        <v>628</v>
      </c>
    </row>
    <row r="5569" spans="1:19" x14ac:dyDescent="0.2">
      <c r="A5569" t="s">
        <v>6180</v>
      </c>
      <c r="B5569" t="s">
        <v>83</v>
      </c>
      <c r="C5569" t="s">
        <v>602</v>
      </c>
      <c r="D5569">
        <v>678</v>
      </c>
      <c r="E5569" s="37" t="str">
        <f t="shared" si="430"/>
        <v xml:space="preserve"> </v>
      </c>
      <c r="F5569">
        <v>0.09</v>
      </c>
      <c r="G5569" s="37" t="str">
        <f t="shared" si="431"/>
        <v>Normal Discount</v>
      </c>
      <c r="H5569" s="37" t="str">
        <f t="shared" si="432"/>
        <v>Low</v>
      </c>
      <c r="I5569">
        <v>6</v>
      </c>
      <c r="J5569" t="str" cm="1">
        <f t="array" ref="J5569">_xlfn.IFS(I5569&lt;=3,"small",I5569&lt;=6,"Medium",I5569&lt;=9,"Large")</f>
        <v>Medium</v>
      </c>
      <c r="K5569" s="36">
        <v>45374</v>
      </c>
      <c r="L5569" s="36">
        <v>45377</v>
      </c>
      <c r="M5569" t="s">
        <v>598</v>
      </c>
      <c r="N5569" t="s">
        <v>599</v>
      </c>
      <c r="O5569" s="37" t="str">
        <f t="shared" si="433"/>
        <v>Digital Payment</v>
      </c>
      <c r="P5569">
        <v>46.54</v>
      </c>
      <c r="Q5569" s="37" t="str">
        <f>IF(P5569&gt;500,"High","low")</f>
        <v>low</v>
      </c>
      <c r="R5569" s="37" t="str">
        <f t="shared" si="434"/>
        <v>AVERAGE</v>
      </c>
      <c r="S5569" t="s">
        <v>628</v>
      </c>
    </row>
    <row r="5570" spans="1:19" x14ac:dyDescent="0.2">
      <c r="A5570" t="s">
        <v>6181</v>
      </c>
      <c r="B5570" t="s">
        <v>90</v>
      </c>
      <c r="C5570" t="s">
        <v>602</v>
      </c>
      <c r="D5570">
        <v>4753.63</v>
      </c>
      <c r="E5570" s="37" t="str">
        <f t="shared" si="430"/>
        <v xml:space="preserve"> </v>
      </c>
      <c r="F5570">
        <v>0.17</v>
      </c>
      <c r="G5570" s="37" t="str">
        <f t="shared" si="431"/>
        <v>Normal Discount</v>
      </c>
      <c r="H5570" s="37" t="str">
        <f t="shared" si="432"/>
        <v>Low</v>
      </c>
      <c r="I5570">
        <v>4</v>
      </c>
      <c r="J5570" t="str" cm="1">
        <f t="array" ref="J5570">_xlfn.IFS(I5570&lt;=3,"small",I5570&lt;=6,"Medium",I5570&lt;=9,"Large")</f>
        <v>Medium</v>
      </c>
      <c r="K5570" s="36">
        <v>45043</v>
      </c>
      <c r="L5570" s="36">
        <v>45045</v>
      </c>
      <c r="M5570" t="s">
        <v>598</v>
      </c>
      <c r="N5570" t="s">
        <v>604</v>
      </c>
      <c r="O5570" s="37" t="str">
        <f t="shared" si="433"/>
        <v>Digital Payment</v>
      </c>
      <c r="P5570">
        <v>268.08999999999997</v>
      </c>
      <c r="Q5570" s="37" t="str">
        <f>IF(P5570&gt;500,"High","low")</f>
        <v>low</v>
      </c>
      <c r="R5570" s="37" t="str">
        <f t="shared" si="434"/>
        <v>AVERAGE</v>
      </c>
      <c r="S5570" t="s">
        <v>620</v>
      </c>
    </row>
    <row r="5571" spans="1:19" x14ac:dyDescent="0.2">
      <c r="A5571" t="s">
        <v>6182</v>
      </c>
      <c r="B5571" t="s">
        <v>90</v>
      </c>
      <c r="C5571" t="s">
        <v>614</v>
      </c>
      <c r="D5571">
        <v>4545.66</v>
      </c>
      <c r="E5571" s="37" t="str">
        <f t="shared" ref="E5571:E5634" si="435">IF(AND(D5571&gt;4000,P5571&gt;800),"Excellent Order"," ")</f>
        <v xml:space="preserve"> </v>
      </c>
      <c r="F5571">
        <v>0.35</v>
      </c>
      <c r="G5571" s="37" t="str">
        <f t="shared" ref="G5571:G5634" si="436">IF(F5571&gt;30%,"Heavy Discount","Normal Discount")</f>
        <v>Heavy Discount</v>
      </c>
      <c r="H5571" s="37" t="str">
        <f t="shared" ref="H5571:H5634" si="437">IF(F5571&gt;0.4,"High",IF(F5571&gt;=0.2,"Medium","Low"))</f>
        <v>Medium</v>
      </c>
      <c r="I5571">
        <v>5</v>
      </c>
      <c r="J5571" t="str" cm="1">
        <f t="array" ref="J5571">_xlfn.IFS(I5571&lt;=3,"small",I5571&lt;=6,"Medium",I5571&lt;=9,"Large")</f>
        <v>Medium</v>
      </c>
      <c r="K5571" s="36">
        <v>44989</v>
      </c>
      <c r="L5571" s="36">
        <v>44996</v>
      </c>
      <c r="M5571" t="s">
        <v>603</v>
      </c>
      <c r="N5571" t="s">
        <v>604</v>
      </c>
      <c r="O5571" s="37" t="str">
        <f t="shared" ref="O5571:O5634" si="438">IF(OR(N5571="Card",N5571="UPI"),"Digital Payment","Cash Payment")</f>
        <v>Digital Payment</v>
      </c>
      <c r="P5571">
        <v>291.70999999999998</v>
      </c>
      <c r="Q5571" s="37" t="str">
        <f>IF(P5571&gt;500,"High","low")</f>
        <v>low</v>
      </c>
      <c r="R5571" s="37" t="str">
        <f t="shared" ref="R5571:R5634" si="439">IF(P5571&gt;1000,"Excellent",IF(P5571&gt;=500,"Good","AVERAGE"))</f>
        <v>AVERAGE</v>
      </c>
      <c r="S5571" t="s">
        <v>628</v>
      </c>
    </row>
    <row r="5572" spans="1:19" x14ac:dyDescent="0.2">
      <c r="A5572" t="s">
        <v>6183</v>
      </c>
      <c r="B5572" t="s">
        <v>67</v>
      </c>
      <c r="C5572" t="s">
        <v>597</v>
      </c>
      <c r="D5572">
        <v>523.67999999999995</v>
      </c>
      <c r="E5572" s="37" t="str">
        <f t="shared" si="435"/>
        <v xml:space="preserve"> </v>
      </c>
      <c r="F5572">
        <v>0.06</v>
      </c>
      <c r="G5572" s="37" t="str">
        <f t="shared" si="436"/>
        <v>Normal Discount</v>
      </c>
      <c r="H5572" s="37" t="str">
        <f t="shared" si="437"/>
        <v>Low</v>
      </c>
      <c r="I5572">
        <v>8</v>
      </c>
      <c r="J5572" t="str" cm="1">
        <f t="array" ref="J5572">_xlfn.IFS(I5572&lt;=3,"small",I5572&lt;=6,"Medium",I5572&lt;=9,"Large")</f>
        <v>Large</v>
      </c>
      <c r="K5572" s="36">
        <v>45414</v>
      </c>
      <c r="L5572" s="36">
        <v>45418</v>
      </c>
      <c r="M5572" t="s">
        <v>603</v>
      </c>
      <c r="N5572" t="s">
        <v>599</v>
      </c>
      <c r="O5572" s="37" t="str">
        <f t="shared" si="438"/>
        <v>Digital Payment</v>
      </c>
      <c r="P5572">
        <v>145.87</v>
      </c>
      <c r="Q5572" s="37" t="str">
        <f>IF(P5572&gt;500,"High","low")</f>
        <v>low</v>
      </c>
      <c r="R5572" s="37" t="str">
        <f t="shared" si="439"/>
        <v>AVERAGE</v>
      </c>
      <c r="S5572" t="s">
        <v>600</v>
      </c>
    </row>
    <row r="5573" spans="1:19" x14ac:dyDescent="0.2">
      <c r="A5573" t="s">
        <v>6184</v>
      </c>
      <c r="B5573" t="s">
        <v>67</v>
      </c>
      <c r="C5573" t="s">
        <v>607</v>
      </c>
      <c r="D5573">
        <v>1589.66</v>
      </c>
      <c r="E5573" s="37" t="str">
        <f t="shared" si="435"/>
        <v xml:space="preserve"> </v>
      </c>
      <c r="F5573">
        <v>0.28999999999999998</v>
      </c>
      <c r="G5573" s="37" t="str">
        <f t="shared" si="436"/>
        <v>Normal Discount</v>
      </c>
      <c r="H5573" s="37" t="str">
        <f t="shared" si="437"/>
        <v>Medium</v>
      </c>
      <c r="I5573">
        <v>4</v>
      </c>
      <c r="J5573" t="str" cm="1">
        <f t="array" ref="J5573">_xlfn.IFS(I5573&lt;=3,"small",I5573&lt;=6,"Medium",I5573&lt;=9,"Large")</f>
        <v>Medium</v>
      </c>
      <c r="K5573" s="36">
        <v>45076</v>
      </c>
      <c r="L5573" s="36">
        <v>45082</v>
      </c>
      <c r="M5573" t="s">
        <v>603</v>
      </c>
      <c r="N5573" t="s">
        <v>608</v>
      </c>
      <c r="O5573" s="37" t="str">
        <f t="shared" si="438"/>
        <v>Cash Payment</v>
      </c>
      <c r="P5573">
        <v>171.99</v>
      </c>
      <c r="Q5573" s="37" t="str">
        <f>IF(P5573&gt;500,"High","low")</f>
        <v>low</v>
      </c>
      <c r="R5573" s="37" t="str">
        <f t="shared" si="439"/>
        <v>AVERAGE</v>
      </c>
      <c r="S5573" t="s">
        <v>620</v>
      </c>
    </row>
    <row r="5574" spans="1:19" x14ac:dyDescent="0.2">
      <c r="A5574" t="s">
        <v>6185</v>
      </c>
      <c r="B5574" t="s">
        <v>83</v>
      </c>
      <c r="C5574" t="s">
        <v>617</v>
      </c>
      <c r="D5574">
        <v>4741.7299999999996</v>
      </c>
      <c r="E5574" s="37" t="str">
        <f t="shared" si="435"/>
        <v xml:space="preserve"> </v>
      </c>
      <c r="F5574">
        <v>0.35</v>
      </c>
      <c r="G5574" s="37" t="str">
        <f t="shared" si="436"/>
        <v>Heavy Discount</v>
      </c>
      <c r="H5574" s="37" t="str">
        <f t="shared" si="437"/>
        <v>Medium</v>
      </c>
      <c r="I5574">
        <v>7</v>
      </c>
      <c r="J5574" t="str" cm="1">
        <f t="array" ref="J5574">_xlfn.IFS(I5574&lt;=3,"small",I5574&lt;=6,"Medium",I5574&lt;=9,"Large")</f>
        <v>Large</v>
      </c>
      <c r="K5574" s="36">
        <v>45544</v>
      </c>
      <c r="L5574" s="36">
        <v>45549</v>
      </c>
      <c r="M5574" t="s">
        <v>612</v>
      </c>
      <c r="N5574" t="s">
        <v>599</v>
      </c>
      <c r="O5574" s="37" t="str">
        <f t="shared" si="438"/>
        <v>Digital Payment</v>
      </c>
      <c r="P5574">
        <v>288.88</v>
      </c>
      <c r="Q5574" s="37" t="str">
        <f>IF(P5574&gt;500,"High","low")</f>
        <v>low</v>
      </c>
      <c r="R5574" s="37" t="str">
        <f t="shared" si="439"/>
        <v>AVERAGE</v>
      </c>
      <c r="S5574" t="s">
        <v>620</v>
      </c>
    </row>
    <row r="5575" spans="1:19" x14ac:dyDescent="0.2">
      <c r="A5575" t="s">
        <v>6186</v>
      </c>
      <c r="B5575" t="s">
        <v>75</v>
      </c>
      <c r="C5575" t="s">
        <v>607</v>
      </c>
      <c r="D5575">
        <v>578.66999999999996</v>
      </c>
      <c r="E5575" s="37" t="str">
        <f t="shared" si="435"/>
        <v xml:space="preserve"> </v>
      </c>
      <c r="F5575">
        <v>0</v>
      </c>
      <c r="G5575" s="37" t="str">
        <f t="shared" si="436"/>
        <v>Normal Discount</v>
      </c>
      <c r="H5575" s="37" t="str">
        <f t="shared" si="437"/>
        <v>Low</v>
      </c>
      <c r="I5575">
        <v>3</v>
      </c>
      <c r="J5575" t="str" cm="1">
        <f t="array" ref="J5575">_xlfn.IFS(I5575&lt;=3,"small",I5575&lt;=6,"Medium",I5575&lt;=9,"Large")</f>
        <v>small</v>
      </c>
      <c r="K5575" s="36">
        <v>45107</v>
      </c>
      <c r="L5575" s="36">
        <v>45112</v>
      </c>
      <c r="M5575" t="s">
        <v>612</v>
      </c>
      <c r="N5575" t="s">
        <v>608</v>
      </c>
      <c r="O5575" s="37" t="str">
        <f t="shared" si="438"/>
        <v>Cash Payment</v>
      </c>
      <c r="P5575">
        <v>134.36000000000001</v>
      </c>
      <c r="Q5575" s="37" t="str">
        <f>IF(P5575&gt;500,"High","low")</f>
        <v>low</v>
      </c>
      <c r="R5575" s="37" t="str">
        <f t="shared" si="439"/>
        <v>AVERAGE</v>
      </c>
      <c r="S5575" t="s">
        <v>609</v>
      </c>
    </row>
    <row r="5576" spans="1:19" x14ac:dyDescent="0.2">
      <c r="A5576" t="s">
        <v>6187</v>
      </c>
      <c r="B5576" t="s">
        <v>67</v>
      </c>
      <c r="C5576" t="s">
        <v>617</v>
      </c>
      <c r="D5576">
        <v>563.52</v>
      </c>
      <c r="E5576" s="37" t="str">
        <f t="shared" si="435"/>
        <v xml:space="preserve"> </v>
      </c>
      <c r="F5576">
        <v>0.42</v>
      </c>
      <c r="G5576" s="37" t="str">
        <f t="shared" si="436"/>
        <v>Heavy Discount</v>
      </c>
      <c r="H5576" s="37" t="str">
        <f t="shared" si="437"/>
        <v>High</v>
      </c>
      <c r="I5576">
        <v>4</v>
      </c>
      <c r="J5576" t="str" cm="1">
        <f t="array" ref="J5576">_xlfn.IFS(I5576&lt;=3,"small",I5576&lt;=6,"Medium",I5576&lt;=9,"Large")</f>
        <v>Medium</v>
      </c>
      <c r="K5576" s="36">
        <v>45256</v>
      </c>
      <c r="L5576" s="36">
        <v>45259</v>
      </c>
      <c r="M5576" t="s">
        <v>603</v>
      </c>
      <c r="N5576" t="s">
        <v>604</v>
      </c>
      <c r="O5576" s="37" t="str">
        <f t="shared" si="438"/>
        <v>Digital Payment</v>
      </c>
      <c r="P5576">
        <v>118.4</v>
      </c>
      <c r="Q5576" s="37" t="str">
        <f>IF(P5576&gt;500,"High","low")</f>
        <v>low</v>
      </c>
      <c r="R5576" s="37" t="str">
        <f t="shared" si="439"/>
        <v>AVERAGE</v>
      </c>
      <c r="S5576" t="s">
        <v>628</v>
      </c>
    </row>
    <row r="5577" spans="1:19" x14ac:dyDescent="0.2">
      <c r="A5577" t="s">
        <v>6188</v>
      </c>
      <c r="B5577" t="s">
        <v>67</v>
      </c>
      <c r="C5577" t="s">
        <v>617</v>
      </c>
      <c r="D5577">
        <v>521.41999999999996</v>
      </c>
      <c r="E5577" s="37" t="str">
        <f t="shared" si="435"/>
        <v xml:space="preserve"> </v>
      </c>
      <c r="F5577">
        <v>0.03</v>
      </c>
      <c r="G5577" s="37" t="str">
        <f t="shared" si="436"/>
        <v>Normal Discount</v>
      </c>
      <c r="H5577" s="37" t="str">
        <f t="shared" si="437"/>
        <v>Low</v>
      </c>
      <c r="I5577">
        <v>8</v>
      </c>
      <c r="J5577" t="str" cm="1">
        <f t="array" ref="J5577">_xlfn.IFS(I5577&lt;=3,"small",I5577&lt;=6,"Medium",I5577&lt;=9,"Large")</f>
        <v>Large</v>
      </c>
      <c r="K5577" s="36">
        <v>45194</v>
      </c>
      <c r="L5577" s="36">
        <v>45199</v>
      </c>
      <c r="M5577" t="s">
        <v>598</v>
      </c>
      <c r="N5577" t="s">
        <v>604</v>
      </c>
      <c r="O5577" s="37" t="str">
        <f t="shared" si="438"/>
        <v>Digital Payment</v>
      </c>
      <c r="P5577">
        <v>129.28</v>
      </c>
      <c r="Q5577" s="37" t="str">
        <f>IF(P5577&gt;500,"High","low")</f>
        <v>low</v>
      </c>
      <c r="R5577" s="37" t="str">
        <f t="shared" si="439"/>
        <v>AVERAGE</v>
      </c>
      <c r="S5577" t="s">
        <v>600</v>
      </c>
    </row>
    <row r="5578" spans="1:19" x14ac:dyDescent="0.2">
      <c r="A5578" t="s">
        <v>6189</v>
      </c>
      <c r="B5578" t="s">
        <v>90</v>
      </c>
      <c r="C5578" t="s">
        <v>607</v>
      </c>
      <c r="D5578">
        <v>4884.7299999999996</v>
      </c>
      <c r="E5578" s="37" t="str">
        <f t="shared" si="435"/>
        <v>Excellent Order</v>
      </c>
      <c r="F5578">
        <v>0.12</v>
      </c>
      <c r="G5578" s="37" t="str">
        <f t="shared" si="436"/>
        <v>Normal Discount</v>
      </c>
      <c r="H5578" s="37" t="str">
        <f t="shared" si="437"/>
        <v>Low</v>
      </c>
      <c r="I5578">
        <v>8</v>
      </c>
      <c r="J5578" t="str" cm="1">
        <f t="array" ref="J5578">_xlfn.IFS(I5578&lt;=3,"small",I5578&lt;=6,"Medium",I5578&lt;=9,"Large")</f>
        <v>Large</v>
      </c>
      <c r="K5578" s="36">
        <v>45382</v>
      </c>
      <c r="L5578" s="36">
        <v>45387</v>
      </c>
      <c r="M5578" t="s">
        <v>612</v>
      </c>
      <c r="N5578" t="s">
        <v>604</v>
      </c>
      <c r="O5578" s="37" t="str">
        <f t="shared" si="438"/>
        <v>Digital Payment</v>
      </c>
      <c r="P5578">
        <v>883.79</v>
      </c>
      <c r="Q5578" s="37" t="str">
        <f>IF(P5578&gt;500,"High","low")</f>
        <v>High</v>
      </c>
      <c r="R5578" s="37" t="str">
        <f t="shared" si="439"/>
        <v>Good</v>
      </c>
      <c r="S5578" t="s">
        <v>605</v>
      </c>
    </row>
    <row r="5579" spans="1:19" x14ac:dyDescent="0.2">
      <c r="A5579" t="s">
        <v>6190</v>
      </c>
      <c r="B5579" t="s">
        <v>67</v>
      </c>
      <c r="C5579" t="s">
        <v>614</v>
      </c>
      <c r="D5579">
        <v>3741.23</v>
      </c>
      <c r="E5579" s="37" t="str">
        <f t="shared" si="435"/>
        <v xml:space="preserve"> </v>
      </c>
      <c r="F5579">
        <v>0.48</v>
      </c>
      <c r="G5579" s="37" t="str">
        <f t="shared" si="436"/>
        <v>Heavy Discount</v>
      </c>
      <c r="H5579" s="37" t="str">
        <f t="shared" si="437"/>
        <v>High</v>
      </c>
      <c r="I5579">
        <v>9</v>
      </c>
      <c r="J5579" t="str" cm="1">
        <f t="array" ref="J5579">_xlfn.IFS(I5579&lt;=3,"small",I5579&lt;=6,"Medium",I5579&lt;=9,"Large")</f>
        <v>Large</v>
      </c>
      <c r="K5579" s="36">
        <v>45030</v>
      </c>
      <c r="L5579" s="36">
        <v>45035</v>
      </c>
      <c r="M5579" t="s">
        <v>612</v>
      </c>
      <c r="N5579" t="s">
        <v>604</v>
      </c>
      <c r="O5579" s="37" t="str">
        <f t="shared" si="438"/>
        <v>Digital Payment</v>
      </c>
      <c r="P5579">
        <v>352.75</v>
      </c>
      <c r="Q5579" s="37" t="str">
        <f>IF(P5579&gt;500,"High","low")</f>
        <v>low</v>
      </c>
      <c r="R5579" s="37" t="str">
        <f t="shared" si="439"/>
        <v>AVERAGE</v>
      </c>
      <c r="S5579" t="s">
        <v>628</v>
      </c>
    </row>
    <row r="5580" spans="1:19" x14ac:dyDescent="0.2">
      <c r="A5580" t="s">
        <v>6191</v>
      </c>
      <c r="B5580" t="s">
        <v>67</v>
      </c>
      <c r="C5580" t="s">
        <v>602</v>
      </c>
      <c r="D5580">
        <v>1150.97</v>
      </c>
      <c r="E5580" s="37" t="str">
        <f t="shared" si="435"/>
        <v xml:space="preserve"> </v>
      </c>
      <c r="F5580">
        <v>0.04</v>
      </c>
      <c r="G5580" s="37" t="str">
        <f t="shared" si="436"/>
        <v>Normal Discount</v>
      </c>
      <c r="H5580" s="37" t="str">
        <f t="shared" si="437"/>
        <v>Low</v>
      </c>
      <c r="I5580">
        <v>4</v>
      </c>
      <c r="J5580" t="str" cm="1">
        <f t="array" ref="J5580">_xlfn.IFS(I5580&lt;=3,"small",I5580&lt;=6,"Medium",I5580&lt;=9,"Large")</f>
        <v>Medium</v>
      </c>
      <c r="K5580" s="36">
        <v>45307</v>
      </c>
      <c r="L5580" s="36">
        <v>45314</v>
      </c>
      <c r="M5580" t="s">
        <v>603</v>
      </c>
      <c r="N5580" t="s">
        <v>599</v>
      </c>
      <c r="O5580" s="37" t="str">
        <f t="shared" si="438"/>
        <v>Digital Payment</v>
      </c>
      <c r="P5580">
        <v>141.16999999999999</v>
      </c>
      <c r="Q5580" s="37" t="str">
        <f>IF(P5580&gt;500,"High","low")</f>
        <v>low</v>
      </c>
      <c r="R5580" s="37" t="str">
        <f t="shared" si="439"/>
        <v>AVERAGE</v>
      </c>
      <c r="S5580" t="s">
        <v>600</v>
      </c>
    </row>
    <row r="5581" spans="1:19" x14ac:dyDescent="0.2">
      <c r="A5581" t="s">
        <v>6192</v>
      </c>
      <c r="B5581" t="s">
        <v>67</v>
      </c>
      <c r="C5581" t="s">
        <v>614</v>
      </c>
      <c r="D5581">
        <v>325.14</v>
      </c>
      <c r="E5581" s="37" t="str">
        <f t="shared" si="435"/>
        <v xml:space="preserve"> </v>
      </c>
      <c r="F5581">
        <v>0.41</v>
      </c>
      <c r="G5581" s="37" t="str">
        <f t="shared" si="436"/>
        <v>Heavy Discount</v>
      </c>
      <c r="H5581" s="37" t="str">
        <f t="shared" si="437"/>
        <v>High</v>
      </c>
      <c r="I5581">
        <v>4</v>
      </c>
      <c r="J5581" t="str" cm="1">
        <f t="array" ref="J5581">_xlfn.IFS(I5581&lt;=3,"small",I5581&lt;=6,"Medium",I5581&lt;=9,"Large")</f>
        <v>Medium</v>
      </c>
      <c r="K5581" s="36">
        <v>45093</v>
      </c>
      <c r="L5581" s="36">
        <v>45097</v>
      </c>
      <c r="M5581" t="s">
        <v>598</v>
      </c>
      <c r="N5581" t="s">
        <v>604</v>
      </c>
      <c r="O5581" s="37" t="str">
        <f t="shared" si="438"/>
        <v>Digital Payment</v>
      </c>
      <c r="P5581">
        <v>21.23</v>
      </c>
      <c r="Q5581" s="37" t="str">
        <f>IF(P5581&gt;500,"High","low")</f>
        <v>low</v>
      </c>
      <c r="R5581" s="37" t="str">
        <f t="shared" si="439"/>
        <v>AVERAGE</v>
      </c>
      <c r="S5581" t="s">
        <v>615</v>
      </c>
    </row>
    <row r="5582" spans="1:19" x14ac:dyDescent="0.2">
      <c r="A5582" t="s">
        <v>6193</v>
      </c>
      <c r="B5582" t="s">
        <v>67</v>
      </c>
      <c r="C5582" t="s">
        <v>602</v>
      </c>
      <c r="D5582">
        <v>4829.68</v>
      </c>
      <c r="E5582" s="37" t="str">
        <f t="shared" si="435"/>
        <v>Excellent Order</v>
      </c>
      <c r="F5582">
        <v>0.33</v>
      </c>
      <c r="G5582" s="37" t="str">
        <f t="shared" si="436"/>
        <v>Heavy Discount</v>
      </c>
      <c r="H5582" s="37" t="str">
        <f t="shared" si="437"/>
        <v>Medium</v>
      </c>
      <c r="I5582">
        <v>5</v>
      </c>
      <c r="J5582" t="str" cm="1">
        <f t="array" ref="J5582">_xlfn.IFS(I5582&lt;=3,"small",I5582&lt;=6,"Medium",I5582&lt;=9,"Large")</f>
        <v>Medium</v>
      </c>
      <c r="K5582" s="36">
        <v>45485</v>
      </c>
      <c r="L5582" s="36">
        <v>45489</v>
      </c>
      <c r="M5582" t="s">
        <v>603</v>
      </c>
      <c r="N5582" t="s">
        <v>608</v>
      </c>
      <c r="O5582" s="37" t="str">
        <f t="shared" si="438"/>
        <v>Cash Payment</v>
      </c>
      <c r="P5582">
        <v>1091.33</v>
      </c>
      <c r="Q5582" s="37" t="str">
        <f>IF(P5582&gt;500,"High","low")</f>
        <v>High</v>
      </c>
      <c r="R5582" s="37" t="str">
        <f t="shared" si="439"/>
        <v>Excellent</v>
      </c>
      <c r="S5582" t="s">
        <v>628</v>
      </c>
    </row>
    <row r="5583" spans="1:19" x14ac:dyDescent="0.2">
      <c r="A5583" t="s">
        <v>6194</v>
      </c>
      <c r="B5583" t="s">
        <v>90</v>
      </c>
      <c r="C5583" t="s">
        <v>597</v>
      </c>
      <c r="D5583">
        <v>2184.9</v>
      </c>
      <c r="E5583" s="37" t="str">
        <f t="shared" si="435"/>
        <v xml:space="preserve"> </v>
      </c>
      <c r="F5583">
        <v>0.3</v>
      </c>
      <c r="G5583" s="37" t="str">
        <f t="shared" si="436"/>
        <v>Normal Discount</v>
      </c>
      <c r="H5583" s="37" t="str">
        <f t="shared" si="437"/>
        <v>Medium</v>
      </c>
      <c r="I5583">
        <v>5</v>
      </c>
      <c r="J5583" t="str" cm="1">
        <f t="array" ref="J5583">_xlfn.IFS(I5583&lt;=3,"small",I5583&lt;=6,"Medium",I5583&lt;=9,"Large")</f>
        <v>Medium</v>
      </c>
      <c r="K5583" s="36">
        <v>45482</v>
      </c>
      <c r="L5583" s="36">
        <v>45488</v>
      </c>
      <c r="M5583" t="s">
        <v>603</v>
      </c>
      <c r="N5583" t="s">
        <v>599</v>
      </c>
      <c r="O5583" s="37" t="str">
        <f t="shared" si="438"/>
        <v>Digital Payment</v>
      </c>
      <c r="P5583">
        <v>463.02</v>
      </c>
      <c r="Q5583" s="37" t="str">
        <f>IF(P5583&gt;500,"High","low")</f>
        <v>low</v>
      </c>
      <c r="R5583" s="37" t="str">
        <f t="shared" si="439"/>
        <v>AVERAGE</v>
      </c>
      <c r="S5583" t="s">
        <v>620</v>
      </c>
    </row>
    <row r="5584" spans="1:19" x14ac:dyDescent="0.2">
      <c r="A5584" t="s">
        <v>6195</v>
      </c>
      <c r="B5584" t="s">
        <v>83</v>
      </c>
      <c r="C5584" t="s">
        <v>617</v>
      </c>
      <c r="D5584">
        <v>3032.04</v>
      </c>
      <c r="E5584" s="37" t="str">
        <f t="shared" si="435"/>
        <v xml:space="preserve"> </v>
      </c>
      <c r="F5584">
        <v>0.28999999999999998</v>
      </c>
      <c r="G5584" s="37" t="str">
        <f t="shared" si="436"/>
        <v>Normal Discount</v>
      </c>
      <c r="H5584" s="37" t="str">
        <f t="shared" si="437"/>
        <v>Medium</v>
      </c>
      <c r="I5584">
        <v>3</v>
      </c>
      <c r="J5584" t="str" cm="1">
        <f t="array" ref="J5584">_xlfn.IFS(I5584&lt;=3,"small",I5584&lt;=6,"Medium",I5584&lt;=9,"Large")</f>
        <v>small</v>
      </c>
      <c r="K5584" s="36">
        <v>44942</v>
      </c>
      <c r="L5584" s="36">
        <v>44944</v>
      </c>
      <c r="M5584" t="s">
        <v>598</v>
      </c>
      <c r="N5584" t="s">
        <v>599</v>
      </c>
      <c r="O5584" s="37" t="str">
        <f t="shared" si="438"/>
        <v>Digital Payment</v>
      </c>
      <c r="P5584">
        <v>667.52</v>
      </c>
      <c r="Q5584" s="37" t="str">
        <f>IF(P5584&gt;500,"High","low")</f>
        <v>High</v>
      </c>
      <c r="R5584" s="37" t="str">
        <f t="shared" si="439"/>
        <v>Good</v>
      </c>
      <c r="S5584" t="s">
        <v>609</v>
      </c>
    </row>
    <row r="5585" spans="1:19" x14ac:dyDescent="0.2">
      <c r="A5585" t="s">
        <v>6196</v>
      </c>
      <c r="B5585" t="s">
        <v>83</v>
      </c>
      <c r="C5585" t="s">
        <v>607</v>
      </c>
      <c r="D5585">
        <v>1468.06</v>
      </c>
      <c r="E5585" s="37" t="str">
        <f t="shared" si="435"/>
        <v xml:space="preserve"> </v>
      </c>
      <c r="F5585">
        <v>0.08</v>
      </c>
      <c r="G5585" s="37" t="str">
        <f t="shared" si="436"/>
        <v>Normal Discount</v>
      </c>
      <c r="H5585" s="37" t="str">
        <f t="shared" si="437"/>
        <v>Low</v>
      </c>
      <c r="I5585">
        <v>1</v>
      </c>
      <c r="J5585" t="str" cm="1">
        <f t="array" ref="J5585">_xlfn.IFS(I5585&lt;=3,"small",I5585&lt;=6,"Medium",I5585&lt;=9,"Large")</f>
        <v>small</v>
      </c>
      <c r="K5585" s="36">
        <v>45422</v>
      </c>
      <c r="L5585" s="36">
        <v>45429</v>
      </c>
      <c r="M5585" t="s">
        <v>603</v>
      </c>
      <c r="N5585" t="s">
        <v>599</v>
      </c>
      <c r="O5585" s="37" t="str">
        <f t="shared" si="438"/>
        <v>Digital Payment</v>
      </c>
      <c r="P5585">
        <v>432.21</v>
      </c>
      <c r="Q5585" s="37" t="str">
        <f>IF(P5585&gt;500,"High","low")</f>
        <v>low</v>
      </c>
      <c r="R5585" s="37" t="str">
        <f t="shared" si="439"/>
        <v>AVERAGE</v>
      </c>
      <c r="S5585" t="s">
        <v>628</v>
      </c>
    </row>
    <row r="5586" spans="1:19" x14ac:dyDescent="0.2">
      <c r="A5586" t="s">
        <v>6197</v>
      </c>
      <c r="B5586" t="s">
        <v>75</v>
      </c>
      <c r="C5586" t="s">
        <v>597</v>
      </c>
      <c r="D5586">
        <v>3815.97</v>
      </c>
      <c r="E5586" s="37" t="str">
        <f t="shared" si="435"/>
        <v xml:space="preserve"> </v>
      </c>
      <c r="F5586">
        <v>0.33</v>
      </c>
      <c r="G5586" s="37" t="str">
        <f t="shared" si="436"/>
        <v>Heavy Discount</v>
      </c>
      <c r="H5586" s="37" t="str">
        <f t="shared" si="437"/>
        <v>Medium</v>
      </c>
      <c r="I5586">
        <v>1</v>
      </c>
      <c r="J5586" t="str" cm="1">
        <f t="array" ref="J5586">_xlfn.IFS(I5586&lt;=3,"small",I5586&lt;=6,"Medium",I5586&lt;=9,"Large")</f>
        <v>small</v>
      </c>
      <c r="K5586" s="36">
        <v>44960</v>
      </c>
      <c r="L5586" s="36">
        <v>44963</v>
      </c>
      <c r="M5586" t="s">
        <v>612</v>
      </c>
      <c r="N5586" t="s">
        <v>599</v>
      </c>
      <c r="O5586" s="37" t="str">
        <f t="shared" si="438"/>
        <v>Digital Payment</v>
      </c>
      <c r="P5586">
        <v>248.23</v>
      </c>
      <c r="Q5586" s="37" t="str">
        <f>IF(P5586&gt;500,"High","low")</f>
        <v>low</v>
      </c>
      <c r="R5586" s="37" t="str">
        <f t="shared" si="439"/>
        <v>AVERAGE</v>
      </c>
      <c r="S5586" t="s">
        <v>620</v>
      </c>
    </row>
    <row r="5587" spans="1:19" x14ac:dyDescent="0.2">
      <c r="A5587" t="s">
        <v>6198</v>
      </c>
      <c r="B5587" t="s">
        <v>67</v>
      </c>
      <c r="C5587" t="s">
        <v>602</v>
      </c>
      <c r="D5587">
        <v>1064.33</v>
      </c>
      <c r="E5587" s="37" t="str">
        <f t="shared" si="435"/>
        <v xml:space="preserve"> </v>
      </c>
      <c r="F5587">
        <v>0.48</v>
      </c>
      <c r="G5587" s="37" t="str">
        <f t="shared" si="436"/>
        <v>Heavy Discount</v>
      </c>
      <c r="H5587" s="37" t="str">
        <f t="shared" si="437"/>
        <v>High</v>
      </c>
      <c r="I5587">
        <v>8</v>
      </c>
      <c r="J5587" t="str" cm="1">
        <f t="array" ref="J5587">_xlfn.IFS(I5587&lt;=3,"small",I5587&lt;=6,"Medium",I5587&lt;=9,"Large")</f>
        <v>Large</v>
      </c>
      <c r="K5587" s="36">
        <v>45646</v>
      </c>
      <c r="L5587" s="36">
        <v>45647</v>
      </c>
      <c r="M5587" t="s">
        <v>598</v>
      </c>
      <c r="N5587" t="s">
        <v>608</v>
      </c>
      <c r="O5587" s="37" t="str">
        <f t="shared" si="438"/>
        <v>Cash Payment</v>
      </c>
      <c r="P5587">
        <v>70.53</v>
      </c>
      <c r="Q5587" s="37" t="str">
        <f>IF(P5587&gt;500,"High","low")</f>
        <v>low</v>
      </c>
      <c r="R5587" s="37" t="str">
        <f t="shared" si="439"/>
        <v>AVERAGE</v>
      </c>
      <c r="S5587" t="s">
        <v>620</v>
      </c>
    </row>
    <row r="5588" spans="1:19" x14ac:dyDescent="0.2">
      <c r="A5588" t="s">
        <v>6199</v>
      </c>
      <c r="B5588" t="s">
        <v>90</v>
      </c>
      <c r="C5588" t="s">
        <v>614</v>
      </c>
      <c r="D5588">
        <v>3955.87</v>
      </c>
      <c r="E5588" s="37" t="str">
        <f t="shared" si="435"/>
        <v xml:space="preserve"> </v>
      </c>
      <c r="F5588">
        <v>0.04</v>
      </c>
      <c r="G5588" s="37" t="str">
        <f t="shared" si="436"/>
        <v>Normal Discount</v>
      </c>
      <c r="H5588" s="37" t="str">
        <f t="shared" si="437"/>
        <v>Low</v>
      </c>
      <c r="I5588">
        <v>4</v>
      </c>
      <c r="J5588" t="str" cm="1">
        <f t="array" ref="J5588">_xlfn.IFS(I5588&lt;=3,"small",I5588&lt;=6,"Medium",I5588&lt;=9,"Large")</f>
        <v>Medium</v>
      </c>
      <c r="K5588" s="36">
        <v>45493</v>
      </c>
      <c r="L5588" s="36">
        <v>45499</v>
      </c>
      <c r="M5588" t="s">
        <v>612</v>
      </c>
      <c r="N5588" t="s">
        <v>604</v>
      </c>
      <c r="O5588" s="37" t="str">
        <f t="shared" si="438"/>
        <v>Digital Payment</v>
      </c>
      <c r="P5588">
        <v>928.04</v>
      </c>
      <c r="Q5588" s="37" t="str">
        <f>IF(P5588&gt;500,"High","low")</f>
        <v>High</v>
      </c>
      <c r="R5588" s="37" t="str">
        <f t="shared" si="439"/>
        <v>Good</v>
      </c>
      <c r="S5588" t="s">
        <v>609</v>
      </c>
    </row>
    <row r="5589" spans="1:19" x14ac:dyDescent="0.2">
      <c r="A5589" t="s">
        <v>6200</v>
      </c>
      <c r="B5589" t="s">
        <v>75</v>
      </c>
      <c r="C5589" t="s">
        <v>607</v>
      </c>
      <c r="D5589">
        <v>1229.95</v>
      </c>
      <c r="E5589" s="37" t="str">
        <f t="shared" si="435"/>
        <v xml:space="preserve"> </v>
      </c>
      <c r="F5589">
        <v>0.17</v>
      </c>
      <c r="G5589" s="37" t="str">
        <f t="shared" si="436"/>
        <v>Normal Discount</v>
      </c>
      <c r="H5589" s="37" t="str">
        <f t="shared" si="437"/>
        <v>Low</v>
      </c>
      <c r="I5589">
        <v>2</v>
      </c>
      <c r="J5589" t="str" cm="1">
        <f t="array" ref="J5589">_xlfn.IFS(I5589&lt;=3,"small",I5589&lt;=6,"Medium",I5589&lt;=9,"Large")</f>
        <v>small</v>
      </c>
      <c r="K5589" s="36">
        <v>45296</v>
      </c>
      <c r="L5589" s="36">
        <v>45299</v>
      </c>
      <c r="M5589" t="s">
        <v>603</v>
      </c>
      <c r="N5589" t="s">
        <v>608</v>
      </c>
      <c r="O5589" s="37" t="str">
        <f t="shared" si="438"/>
        <v>Cash Payment</v>
      </c>
      <c r="P5589">
        <v>360.61</v>
      </c>
      <c r="Q5589" s="37" t="str">
        <f>IF(P5589&gt;500,"High","low")</f>
        <v>low</v>
      </c>
      <c r="R5589" s="37" t="str">
        <f t="shared" si="439"/>
        <v>AVERAGE</v>
      </c>
      <c r="S5589" t="s">
        <v>615</v>
      </c>
    </row>
    <row r="5590" spans="1:19" x14ac:dyDescent="0.2">
      <c r="A5590" t="s">
        <v>6201</v>
      </c>
      <c r="B5590" t="s">
        <v>75</v>
      </c>
      <c r="C5590" t="s">
        <v>617</v>
      </c>
      <c r="D5590">
        <v>579.77</v>
      </c>
      <c r="E5590" s="37" t="str">
        <f t="shared" si="435"/>
        <v xml:space="preserve"> </v>
      </c>
      <c r="F5590">
        <v>0.24</v>
      </c>
      <c r="G5590" s="37" t="str">
        <f t="shared" si="436"/>
        <v>Normal Discount</v>
      </c>
      <c r="H5590" s="37" t="str">
        <f t="shared" si="437"/>
        <v>Medium</v>
      </c>
      <c r="I5590">
        <v>6</v>
      </c>
      <c r="J5590" t="str" cm="1">
        <f t="array" ref="J5590">_xlfn.IFS(I5590&lt;=3,"small",I5590&lt;=6,"Medium",I5590&lt;=9,"Large")</f>
        <v>Medium</v>
      </c>
      <c r="K5590" s="36">
        <v>45000</v>
      </c>
      <c r="L5590" s="36">
        <v>45002</v>
      </c>
      <c r="M5590" t="s">
        <v>598</v>
      </c>
      <c r="N5590" t="s">
        <v>599</v>
      </c>
      <c r="O5590" s="37" t="str">
        <f t="shared" si="438"/>
        <v>Digital Payment</v>
      </c>
      <c r="P5590">
        <v>107.65</v>
      </c>
      <c r="Q5590" s="37" t="str">
        <f>IF(P5590&gt;500,"High","low")</f>
        <v>low</v>
      </c>
      <c r="R5590" s="37" t="str">
        <f t="shared" si="439"/>
        <v>AVERAGE</v>
      </c>
      <c r="S5590" t="s">
        <v>615</v>
      </c>
    </row>
    <row r="5591" spans="1:19" x14ac:dyDescent="0.2">
      <c r="A5591" t="s">
        <v>6202</v>
      </c>
      <c r="B5591" t="s">
        <v>83</v>
      </c>
      <c r="C5591" t="s">
        <v>597</v>
      </c>
      <c r="D5591">
        <v>2446.23</v>
      </c>
      <c r="E5591" s="37" t="str">
        <f t="shared" si="435"/>
        <v xml:space="preserve"> </v>
      </c>
      <c r="F5591">
        <v>0.12</v>
      </c>
      <c r="G5591" s="37" t="str">
        <f t="shared" si="436"/>
        <v>Normal Discount</v>
      </c>
      <c r="H5591" s="37" t="str">
        <f t="shared" si="437"/>
        <v>Low</v>
      </c>
      <c r="I5591">
        <v>9</v>
      </c>
      <c r="J5591" t="str" cm="1">
        <f t="array" ref="J5591">_xlfn.IFS(I5591&lt;=3,"small",I5591&lt;=6,"Medium",I5591&lt;=9,"Large")</f>
        <v>Large</v>
      </c>
      <c r="K5591" s="36">
        <v>45462</v>
      </c>
      <c r="L5591" s="36">
        <v>45466</v>
      </c>
      <c r="M5591" t="s">
        <v>612</v>
      </c>
      <c r="N5591" t="s">
        <v>608</v>
      </c>
      <c r="O5591" s="37" t="str">
        <f t="shared" si="438"/>
        <v>Cash Payment</v>
      </c>
      <c r="P5591">
        <v>619.32000000000005</v>
      </c>
      <c r="Q5591" s="37" t="str">
        <f>IF(P5591&gt;500,"High","low")</f>
        <v>High</v>
      </c>
      <c r="R5591" s="37" t="str">
        <f t="shared" si="439"/>
        <v>Good</v>
      </c>
      <c r="S5591" t="s">
        <v>620</v>
      </c>
    </row>
    <row r="5592" spans="1:19" x14ac:dyDescent="0.2">
      <c r="A5592" t="s">
        <v>6203</v>
      </c>
      <c r="B5592" t="s">
        <v>90</v>
      </c>
      <c r="C5592" t="s">
        <v>617</v>
      </c>
      <c r="D5592">
        <v>4084.76</v>
      </c>
      <c r="E5592" s="37" t="str">
        <f t="shared" si="435"/>
        <v>Excellent Order</v>
      </c>
      <c r="F5592">
        <v>0.37</v>
      </c>
      <c r="G5592" s="37" t="str">
        <f t="shared" si="436"/>
        <v>Heavy Discount</v>
      </c>
      <c r="H5592" s="37" t="str">
        <f t="shared" si="437"/>
        <v>Medium</v>
      </c>
      <c r="I5592">
        <v>5</v>
      </c>
      <c r="J5592" t="str" cm="1">
        <f t="array" ref="J5592">_xlfn.IFS(I5592&lt;=3,"small",I5592&lt;=6,"Medium",I5592&lt;=9,"Large")</f>
        <v>Medium</v>
      </c>
      <c r="K5592" s="36">
        <v>45549</v>
      </c>
      <c r="L5592" s="36">
        <v>45553</v>
      </c>
      <c r="M5592" t="s">
        <v>612</v>
      </c>
      <c r="N5592" t="s">
        <v>608</v>
      </c>
      <c r="O5592" s="37" t="str">
        <f t="shared" si="438"/>
        <v>Cash Payment</v>
      </c>
      <c r="P5592">
        <v>826.54</v>
      </c>
      <c r="Q5592" s="37" t="str">
        <f>IF(P5592&gt;500,"High","low")</f>
        <v>High</v>
      </c>
      <c r="R5592" s="37" t="str">
        <f t="shared" si="439"/>
        <v>Good</v>
      </c>
      <c r="S5592" t="s">
        <v>615</v>
      </c>
    </row>
    <row r="5593" spans="1:19" x14ac:dyDescent="0.2">
      <c r="A5593" t="s">
        <v>6204</v>
      </c>
      <c r="B5593" t="s">
        <v>90</v>
      </c>
      <c r="C5593" t="s">
        <v>602</v>
      </c>
      <c r="D5593">
        <v>1985.84</v>
      </c>
      <c r="E5593" s="37" t="str">
        <f t="shared" si="435"/>
        <v xml:space="preserve"> </v>
      </c>
      <c r="F5593">
        <v>0.34</v>
      </c>
      <c r="G5593" s="37" t="str">
        <f t="shared" si="436"/>
        <v>Heavy Discount</v>
      </c>
      <c r="H5593" s="37" t="str">
        <f t="shared" si="437"/>
        <v>Medium</v>
      </c>
      <c r="I5593">
        <v>3</v>
      </c>
      <c r="J5593" t="str" cm="1">
        <f t="array" ref="J5593">_xlfn.IFS(I5593&lt;=3,"small",I5593&lt;=6,"Medium",I5593&lt;=9,"Large")</f>
        <v>small</v>
      </c>
      <c r="K5593" s="36">
        <v>45168</v>
      </c>
      <c r="L5593" s="36">
        <v>45175</v>
      </c>
      <c r="M5593" t="s">
        <v>612</v>
      </c>
      <c r="N5593" t="s">
        <v>599</v>
      </c>
      <c r="O5593" s="37" t="str">
        <f t="shared" si="438"/>
        <v>Digital Payment</v>
      </c>
      <c r="P5593">
        <v>562.19000000000005</v>
      </c>
      <c r="Q5593" s="37" t="str">
        <f>IF(P5593&gt;500,"High","low")</f>
        <v>High</v>
      </c>
      <c r="R5593" s="37" t="str">
        <f t="shared" si="439"/>
        <v>Good</v>
      </c>
      <c r="S5593" t="s">
        <v>628</v>
      </c>
    </row>
    <row r="5594" spans="1:19" x14ac:dyDescent="0.2">
      <c r="A5594" t="s">
        <v>6205</v>
      </c>
      <c r="B5594" t="s">
        <v>90</v>
      </c>
      <c r="C5594" t="s">
        <v>617</v>
      </c>
      <c r="D5594">
        <v>241.48</v>
      </c>
      <c r="E5594" s="37" t="str">
        <f t="shared" si="435"/>
        <v xml:space="preserve"> </v>
      </c>
      <c r="F5594">
        <v>0.06</v>
      </c>
      <c r="G5594" s="37" t="str">
        <f t="shared" si="436"/>
        <v>Normal Discount</v>
      </c>
      <c r="H5594" s="37" t="str">
        <f t="shared" si="437"/>
        <v>Low</v>
      </c>
      <c r="I5594">
        <v>4</v>
      </c>
      <c r="J5594" t="str" cm="1">
        <f t="array" ref="J5594">_xlfn.IFS(I5594&lt;=3,"small",I5594&lt;=6,"Medium",I5594&lt;=9,"Large")</f>
        <v>Medium</v>
      </c>
      <c r="K5594" s="36">
        <v>45383</v>
      </c>
      <c r="L5594" s="36">
        <v>45386</v>
      </c>
      <c r="M5594" t="s">
        <v>598</v>
      </c>
      <c r="N5594" t="s">
        <v>608</v>
      </c>
      <c r="O5594" s="37" t="str">
        <f t="shared" si="438"/>
        <v>Cash Payment</v>
      </c>
      <c r="P5594">
        <v>24.13</v>
      </c>
      <c r="Q5594" s="37" t="str">
        <f>IF(P5594&gt;500,"High","low")</f>
        <v>low</v>
      </c>
      <c r="R5594" s="37" t="str">
        <f t="shared" si="439"/>
        <v>AVERAGE</v>
      </c>
      <c r="S5594" t="s">
        <v>600</v>
      </c>
    </row>
    <row r="5595" spans="1:19" x14ac:dyDescent="0.2">
      <c r="A5595" t="s">
        <v>6206</v>
      </c>
      <c r="B5595" t="s">
        <v>83</v>
      </c>
      <c r="C5595" t="s">
        <v>614</v>
      </c>
      <c r="D5595">
        <v>2811.22</v>
      </c>
      <c r="E5595" s="37" t="str">
        <f t="shared" si="435"/>
        <v xml:space="preserve"> </v>
      </c>
      <c r="F5595">
        <v>0.28000000000000003</v>
      </c>
      <c r="G5595" s="37" t="str">
        <f t="shared" si="436"/>
        <v>Normal Discount</v>
      </c>
      <c r="H5595" s="37" t="str">
        <f t="shared" si="437"/>
        <v>Medium</v>
      </c>
      <c r="I5595">
        <v>2</v>
      </c>
      <c r="J5595" t="str" cm="1">
        <f t="array" ref="J5595">_xlfn.IFS(I5595&lt;=3,"small",I5595&lt;=6,"Medium",I5595&lt;=9,"Large")</f>
        <v>small</v>
      </c>
      <c r="K5595" s="36">
        <v>45166</v>
      </c>
      <c r="L5595" s="36">
        <v>45167</v>
      </c>
      <c r="M5595" t="s">
        <v>612</v>
      </c>
      <c r="N5595" t="s">
        <v>599</v>
      </c>
      <c r="O5595" s="37" t="str">
        <f t="shared" si="438"/>
        <v>Digital Payment</v>
      </c>
      <c r="P5595">
        <v>395.05</v>
      </c>
      <c r="Q5595" s="37" t="str">
        <f>IF(P5595&gt;500,"High","low")</f>
        <v>low</v>
      </c>
      <c r="R5595" s="37" t="str">
        <f t="shared" si="439"/>
        <v>AVERAGE</v>
      </c>
      <c r="S5595" t="s">
        <v>615</v>
      </c>
    </row>
    <row r="5596" spans="1:19" x14ac:dyDescent="0.2">
      <c r="A5596" t="s">
        <v>6207</v>
      </c>
      <c r="B5596" t="s">
        <v>83</v>
      </c>
      <c r="C5596" t="s">
        <v>597</v>
      </c>
      <c r="D5596">
        <v>3434.31</v>
      </c>
      <c r="E5596" s="37" t="str">
        <f t="shared" si="435"/>
        <v xml:space="preserve"> </v>
      </c>
      <c r="F5596">
        <v>0.18</v>
      </c>
      <c r="G5596" s="37" t="str">
        <f t="shared" si="436"/>
        <v>Normal Discount</v>
      </c>
      <c r="H5596" s="37" t="str">
        <f t="shared" si="437"/>
        <v>Low</v>
      </c>
      <c r="I5596">
        <v>7</v>
      </c>
      <c r="J5596" t="str" cm="1">
        <f t="array" ref="J5596">_xlfn.IFS(I5596&lt;=3,"small",I5596&lt;=6,"Medium",I5596&lt;=9,"Large")</f>
        <v>Large</v>
      </c>
      <c r="K5596" s="36">
        <v>45326</v>
      </c>
      <c r="L5596" s="36">
        <v>45330</v>
      </c>
      <c r="M5596" t="s">
        <v>598</v>
      </c>
      <c r="N5596" t="s">
        <v>604</v>
      </c>
      <c r="O5596" s="37" t="str">
        <f t="shared" si="438"/>
        <v>Digital Payment</v>
      </c>
      <c r="P5596">
        <v>697.81</v>
      </c>
      <c r="Q5596" s="37" t="str">
        <f>IF(P5596&gt;500,"High","low")</f>
        <v>High</v>
      </c>
      <c r="R5596" s="37" t="str">
        <f t="shared" si="439"/>
        <v>Good</v>
      </c>
      <c r="S5596" t="s">
        <v>600</v>
      </c>
    </row>
    <row r="5597" spans="1:19" x14ac:dyDescent="0.2">
      <c r="A5597" t="s">
        <v>6208</v>
      </c>
      <c r="B5597" t="s">
        <v>83</v>
      </c>
      <c r="C5597" t="s">
        <v>597</v>
      </c>
      <c r="D5597">
        <v>3729.41</v>
      </c>
      <c r="E5597" s="37" t="str">
        <f t="shared" si="435"/>
        <v xml:space="preserve"> </v>
      </c>
      <c r="F5597">
        <v>0.11</v>
      </c>
      <c r="G5597" s="37" t="str">
        <f t="shared" si="436"/>
        <v>Normal Discount</v>
      </c>
      <c r="H5597" s="37" t="str">
        <f t="shared" si="437"/>
        <v>Low</v>
      </c>
      <c r="I5597">
        <v>4</v>
      </c>
      <c r="J5597" t="str" cm="1">
        <f t="array" ref="J5597">_xlfn.IFS(I5597&lt;=3,"small",I5597&lt;=6,"Medium",I5597&lt;=9,"Large")</f>
        <v>Medium</v>
      </c>
      <c r="K5597" s="36">
        <v>45056</v>
      </c>
      <c r="L5597" s="36">
        <v>45062</v>
      </c>
      <c r="M5597" t="s">
        <v>612</v>
      </c>
      <c r="N5597" t="s">
        <v>604</v>
      </c>
      <c r="O5597" s="37" t="str">
        <f t="shared" si="438"/>
        <v>Digital Payment</v>
      </c>
      <c r="P5597">
        <v>371.65</v>
      </c>
      <c r="Q5597" s="37" t="str">
        <f>IF(P5597&gt;500,"High","low")</f>
        <v>low</v>
      </c>
      <c r="R5597" s="37" t="str">
        <f t="shared" si="439"/>
        <v>AVERAGE</v>
      </c>
      <c r="S5597" t="s">
        <v>600</v>
      </c>
    </row>
    <row r="5598" spans="1:19" x14ac:dyDescent="0.2">
      <c r="A5598" t="s">
        <v>6209</v>
      </c>
      <c r="B5598" t="s">
        <v>83</v>
      </c>
      <c r="C5598" t="s">
        <v>614</v>
      </c>
      <c r="D5598">
        <v>2069.4299999999998</v>
      </c>
      <c r="E5598" s="37" t="str">
        <f t="shared" si="435"/>
        <v xml:space="preserve"> </v>
      </c>
      <c r="F5598">
        <v>0.42</v>
      </c>
      <c r="G5598" s="37" t="str">
        <f t="shared" si="436"/>
        <v>Heavy Discount</v>
      </c>
      <c r="H5598" s="37" t="str">
        <f t="shared" si="437"/>
        <v>High</v>
      </c>
      <c r="I5598">
        <v>4</v>
      </c>
      <c r="J5598" t="str" cm="1">
        <f t="array" ref="J5598">_xlfn.IFS(I5598&lt;=3,"small",I5598&lt;=6,"Medium",I5598&lt;=9,"Large")</f>
        <v>Medium</v>
      </c>
      <c r="K5598" s="36">
        <v>45597</v>
      </c>
      <c r="L5598" s="36">
        <v>45603</v>
      </c>
      <c r="M5598" t="s">
        <v>598</v>
      </c>
      <c r="N5598" t="s">
        <v>599</v>
      </c>
      <c r="O5598" s="37" t="str">
        <f t="shared" si="438"/>
        <v>Digital Payment</v>
      </c>
      <c r="P5598">
        <v>535.02</v>
      </c>
      <c r="Q5598" s="37" t="str">
        <f>IF(P5598&gt;500,"High","low")</f>
        <v>High</v>
      </c>
      <c r="R5598" s="37" t="str">
        <f t="shared" si="439"/>
        <v>Good</v>
      </c>
      <c r="S5598" t="s">
        <v>620</v>
      </c>
    </row>
    <row r="5599" spans="1:19" x14ac:dyDescent="0.2">
      <c r="A5599" t="s">
        <v>6210</v>
      </c>
      <c r="B5599" t="s">
        <v>83</v>
      </c>
      <c r="C5599" t="s">
        <v>617</v>
      </c>
      <c r="D5599">
        <v>575.4</v>
      </c>
      <c r="E5599" s="37" t="str">
        <f t="shared" si="435"/>
        <v xml:space="preserve"> </v>
      </c>
      <c r="F5599">
        <v>0.03</v>
      </c>
      <c r="G5599" s="37" t="str">
        <f t="shared" si="436"/>
        <v>Normal Discount</v>
      </c>
      <c r="H5599" s="37" t="str">
        <f t="shared" si="437"/>
        <v>Low</v>
      </c>
      <c r="I5599">
        <v>8</v>
      </c>
      <c r="J5599" t="str" cm="1">
        <f t="array" ref="J5599">_xlfn.IFS(I5599&lt;=3,"small",I5599&lt;=6,"Medium",I5599&lt;=9,"Large")</f>
        <v>Large</v>
      </c>
      <c r="K5599" s="36">
        <v>44989</v>
      </c>
      <c r="L5599" s="36">
        <v>44996</v>
      </c>
      <c r="M5599" t="s">
        <v>612</v>
      </c>
      <c r="N5599" t="s">
        <v>608</v>
      </c>
      <c r="O5599" s="37" t="str">
        <f t="shared" si="438"/>
        <v>Cash Payment</v>
      </c>
      <c r="P5599">
        <v>143.55000000000001</v>
      </c>
      <c r="Q5599" s="37" t="str">
        <f>IF(P5599&gt;500,"High","low")</f>
        <v>low</v>
      </c>
      <c r="R5599" s="37" t="str">
        <f t="shared" si="439"/>
        <v>AVERAGE</v>
      </c>
      <c r="S5599" t="s">
        <v>615</v>
      </c>
    </row>
    <row r="5600" spans="1:19" x14ac:dyDescent="0.2">
      <c r="A5600" t="s">
        <v>6211</v>
      </c>
      <c r="B5600" t="s">
        <v>67</v>
      </c>
      <c r="C5600" t="s">
        <v>614</v>
      </c>
      <c r="D5600">
        <v>2963.2</v>
      </c>
      <c r="E5600" s="37" t="str">
        <f t="shared" si="435"/>
        <v xml:space="preserve"> </v>
      </c>
      <c r="F5600">
        <v>0.23</v>
      </c>
      <c r="G5600" s="37" t="str">
        <f t="shared" si="436"/>
        <v>Normal Discount</v>
      </c>
      <c r="H5600" s="37" t="str">
        <f t="shared" si="437"/>
        <v>Medium</v>
      </c>
      <c r="I5600">
        <v>5</v>
      </c>
      <c r="J5600" t="str" cm="1">
        <f t="array" ref="J5600">_xlfn.IFS(I5600&lt;=3,"small",I5600&lt;=6,"Medium",I5600&lt;=9,"Large")</f>
        <v>Medium</v>
      </c>
      <c r="K5600" s="36">
        <v>44973</v>
      </c>
      <c r="L5600" s="36">
        <v>44977</v>
      </c>
      <c r="M5600" t="s">
        <v>598</v>
      </c>
      <c r="N5600" t="s">
        <v>608</v>
      </c>
      <c r="O5600" s="37" t="str">
        <f t="shared" si="438"/>
        <v>Cash Payment</v>
      </c>
      <c r="P5600">
        <v>680.75</v>
      </c>
      <c r="Q5600" s="37" t="str">
        <f>IF(P5600&gt;500,"High","low")</f>
        <v>High</v>
      </c>
      <c r="R5600" s="37" t="str">
        <f t="shared" si="439"/>
        <v>Good</v>
      </c>
      <c r="S5600" t="s">
        <v>600</v>
      </c>
    </row>
    <row r="5601" spans="1:19" x14ac:dyDescent="0.2">
      <c r="A5601" t="s">
        <v>6212</v>
      </c>
      <c r="B5601" t="s">
        <v>67</v>
      </c>
      <c r="C5601" t="s">
        <v>607</v>
      </c>
      <c r="D5601">
        <v>1714.78</v>
      </c>
      <c r="E5601" s="37" t="str">
        <f t="shared" si="435"/>
        <v xml:space="preserve"> </v>
      </c>
      <c r="F5601">
        <v>0.24</v>
      </c>
      <c r="G5601" s="37" t="str">
        <f t="shared" si="436"/>
        <v>Normal Discount</v>
      </c>
      <c r="H5601" s="37" t="str">
        <f t="shared" si="437"/>
        <v>Medium</v>
      </c>
      <c r="I5601">
        <v>3</v>
      </c>
      <c r="J5601" t="str" cm="1">
        <f t="array" ref="J5601">_xlfn.IFS(I5601&lt;=3,"small",I5601&lt;=6,"Medium",I5601&lt;=9,"Large")</f>
        <v>small</v>
      </c>
      <c r="K5601" s="36">
        <v>45181</v>
      </c>
      <c r="L5601" s="36">
        <v>45184</v>
      </c>
      <c r="M5601" t="s">
        <v>603</v>
      </c>
      <c r="N5601" t="s">
        <v>599</v>
      </c>
      <c r="O5601" s="37" t="str">
        <f t="shared" si="438"/>
        <v>Digital Payment</v>
      </c>
      <c r="P5601">
        <v>351.57</v>
      </c>
      <c r="Q5601" s="37" t="str">
        <f>IF(P5601&gt;500,"High","low")</f>
        <v>low</v>
      </c>
      <c r="R5601" s="37" t="str">
        <f t="shared" si="439"/>
        <v>AVERAGE</v>
      </c>
      <c r="S5601" t="s">
        <v>615</v>
      </c>
    </row>
    <row r="5602" spans="1:19" x14ac:dyDescent="0.2">
      <c r="A5602" t="s">
        <v>6213</v>
      </c>
      <c r="B5602" t="s">
        <v>90</v>
      </c>
      <c r="C5602" t="s">
        <v>614</v>
      </c>
      <c r="D5602">
        <v>4739.75</v>
      </c>
      <c r="E5602" s="37" t="str">
        <f t="shared" si="435"/>
        <v xml:space="preserve"> </v>
      </c>
      <c r="F5602">
        <v>0.28999999999999998</v>
      </c>
      <c r="G5602" s="37" t="str">
        <f t="shared" si="436"/>
        <v>Normal Discount</v>
      </c>
      <c r="H5602" s="37" t="str">
        <f t="shared" si="437"/>
        <v>Medium</v>
      </c>
      <c r="I5602">
        <v>6</v>
      </c>
      <c r="J5602" t="str" cm="1">
        <f t="array" ref="J5602">_xlfn.IFS(I5602&lt;=3,"small",I5602&lt;=6,"Medium",I5602&lt;=9,"Large")</f>
        <v>Medium</v>
      </c>
      <c r="K5602" s="36">
        <v>45457</v>
      </c>
      <c r="L5602" s="36">
        <v>45464</v>
      </c>
      <c r="M5602" t="s">
        <v>598</v>
      </c>
      <c r="N5602" t="s">
        <v>599</v>
      </c>
      <c r="O5602" s="37" t="str">
        <f t="shared" si="438"/>
        <v>Digital Payment</v>
      </c>
      <c r="P5602">
        <v>496.73</v>
      </c>
      <c r="Q5602" s="37" t="str">
        <f>IF(P5602&gt;500,"High","low")</f>
        <v>low</v>
      </c>
      <c r="R5602" s="37" t="str">
        <f t="shared" si="439"/>
        <v>AVERAGE</v>
      </c>
      <c r="S5602" t="s">
        <v>620</v>
      </c>
    </row>
    <row r="5603" spans="1:19" x14ac:dyDescent="0.2">
      <c r="A5603" t="s">
        <v>6214</v>
      </c>
      <c r="B5603" t="s">
        <v>75</v>
      </c>
      <c r="C5603" t="s">
        <v>617</v>
      </c>
      <c r="D5603">
        <v>2563.29</v>
      </c>
      <c r="E5603" s="37" t="str">
        <f t="shared" si="435"/>
        <v xml:space="preserve"> </v>
      </c>
      <c r="F5603">
        <v>0.1</v>
      </c>
      <c r="G5603" s="37" t="str">
        <f t="shared" si="436"/>
        <v>Normal Discount</v>
      </c>
      <c r="H5603" s="37" t="str">
        <f t="shared" si="437"/>
        <v>Low</v>
      </c>
      <c r="I5603">
        <v>8</v>
      </c>
      <c r="J5603" t="str" cm="1">
        <f t="array" ref="J5603">_xlfn.IFS(I5603&lt;=3,"small",I5603&lt;=6,"Medium",I5603&lt;=9,"Large")</f>
        <v>Large</v>
      </c>
      <c r="K5603" s="36">
        <v>45494</v>
      </c>
      <c r="L5603" s="36">
        <v>45497</v>
      </c>
      <c r="M5603" t="s">
        <v>598</v>
      </c>
      <c r="N5603" t="s">
        <v>599</v>
      </c>
      <c r="O5603" s="37" t="str">
        <f t="shared" si="438"/>
        <v>Digital Payment</v>
      </c>
      <c r="P5603">
        <v>685.68</v>
      </c>
      <c r="Q5603" s="37" t="str">
        <f>IF(P5603&gt;500,"High","low")</f>
        <v>High</v>
      </c>
      <c r="R5603" s="37" t="str">
        <f t="shared" si="439"/>
        <v>Good</v>
      </c>
      <c r="S5603" t="s">
        <v>628</v>
      </c>
    </row>
    <row r="5604" spans="1:19" x14ac:dyDescent="0.2">
      <c r="A5604" t="s">
        <v>6215</v>
      </c>
      <c r="B5604" t="s">
        <v>90</v>
      </c>
      <c r="C5604" t="s">
        <v>614</v>
      </c>
      <c r="D5604">
        <v>2414.1</v>
      </c>
      <c r="E5604" s="37" t="str">
        <f t="shared" si="435"/>
        <v xml:space="preserve"> </v>
      </c>
      <c r="F5604">
        <v>0.44</v>
      </c>
      <c r="G5604" s="37" t="str">
        <f t="shared" si="436"/>
        <v>Heavy Discount</v>
      </c>
      <c r="H5604" s="37" t="str">
        <f t="shared" si="437"/>
        <v>High</v>
      </c>
      <c r="I5604">
        <v>1</v>
      </c>
      <c r="J5604" t="str" cm="1">
        <f t="array" ref="J5604">_xlfn.IFS(I5604&lt;=3,"small",I5604&lt;=6,"Medium",I5604&lt;=9,"Large")</f>
        <v>small</v>
      </c>
      <c r="K5604" s="36">
        <v>44937</v>
      </c>
      <c r="L5604" s="36">
        <v>44938</v>
      </c>
      <c r="M5604" t="s">
        <v>612</v>
      </c>
      <c r="N5604" t="s">
        <v>604</v>
      </c>
      <c r="O5604" s="37" t="str">
        <f t="shared" si="438"/>
        <v>Digital Payment</v>
      </c>
      <c r="P5604">
        <v>469.28</v>
      </c>
      <c r="Q5604" s="37" t="str">
        <f>IF(P5604&gt;500,"High","low")</f>
        <v>low</v>
      </c>
      <c r="R5604" s="37" t="str">
        <f t="shared" si="439"/>
        <v>AVERAGE</v>
      </c>
      <c r="S5604" t="s">
        <v>620</v>
      </c>
    </row>
    <row r="5605" spans="1:19" x14ac:dyDescent="0.2">
      <c r="A5605" t="s">
        <v>6216</v>
      </c>
      <c r="B5605" t="s">
        <v>75</v>
      </c>
      <c r="C5605" t="s">
        <v>602</v>
      </c>
      <c r="D5605">
        <v>1615.13</v>
      </c>
      <c r="E5605" s="37" t="str">
        <f t="shared" si="435"/>
        <v xml:space="preserve"> </v>
      </c>
      <c r="F5605">
        <v>0.48</v>
      </c>
      <c r="G5605" s="37" t="str">
        <f t="shared" si="436"/>
        <v>Heavy Discount</v>
      </c>
      <c r="H5605" s="37" t="str">
        <f t="shared" si="437"/>
        <v>High</v>
      </c>
      <c r="I5605">
        <v>9</v>
      </c>
      <c r="J5605" t="str" cm="1">
        <f t="array" ref="J5605">_xlfn.IFS(I5605&lt;=3,"small",I5605&lt;=6,"Medium",I5605&lt;=9,"Large")</f>
        <v>Large</v>
      </c>
      <c r="K5605" s="36">
        <v>45403</v>
      </c>
      <c r="L5605" s="36">
        <v>45404</v>
      </c>
      <c r="M5605" t="s">
        <v>612</v>
      </c>
      <c r="N5605" t="s">
        <v>599</v>
      </c>
      <c r="O5605" s="37" t="str">
        <f t="shared" si="438"/>
        <v>Digital Payment</v>
      </c>
      <c r="P5605">
        <v>166.32</v>
      </c>
      <c r="Q5605" s="37" t="str">
        <f>IF(P5605&gt;500,"High","low")</f>
        <v>low</v>
      </c>
      <c r="R5605" s="37" t="str">
        <f t="shared" si="439"/>
        <v>AVERAGE</v>
      </c>
      <c r="S5605" t="s">
        <v>600</v>
      </c>
    </row>
    <row r="5606" spans="1:19" x14ac:dyDescent="0.2">
      <c r="A5606" t="s">
        <v>6217</v>
      </c>
      <c r="B5606" t="s">
        <v>83</v>
      </c>
      <c r="C5606" t="s">
        <v>614</v>
      </c>
      <c r="D5606">
        <v>1760.05</v>
      </c>
      <c r="E5606" s="37" t="str">
        <f t="shared" si="435"/>
        <v xml:space="preserve"> </v>
      </c>
      <c r="F5606">
        <v>0.27</v>
      </c>
      <c r="G5606" s="37" t="str">
        <f t="shared" si="436"/>
        <v>Normal Discount</v>
      </c>
      <c r="H5606" s="37" t="str">
        <f t="shared" si="437"/>
        <v>Medium</v>
      </c>
      <c r="I5606">
        <v>4</v>
      </c>
      <c r="J5606" t="str" cm="1">
        <f t="array" ref="J5606">_xlfn.IFS(I5606&lt;=3,"small",I5606&lt;=6,"Medium",I5606&lt;=9,"Large")</f>
        <v>Medium</v>
      </c>
      <c r="K5606" s="36">
        <v>45303</v>
      </c>
      <c r="L5606" s="36">
        <v>45306</v>
      </c>
      <c r="M5606" t="s">
        <v>603</v>
      </c>
      <c r="N5606" t="s">
        <v>608</v>
      </c>
      <c r="O5606" s="37" t="str">
        <f t="shared" si="438"/>
        <v>Cash Payment</v>
      </c>
      <c r="P5606">
        <v>412.26</v>
      </c>
      <c r="Q5606" s="37" t="str">
        <f>IF(P5606&gt;500,"High","low")</f>
        <v>low</v>
      </c>
      <c r="R5606" s="37" t="str">
        <f t="shared" si="439"/>
        <v>AVERAGE</v>
      </c>
      <c r="S5606" t="s">
        <v>620</v>
      </c>
    </row>
    <row r="5607" spans="1:19" x14ac:dyDescent="0.2">
      <c r="A5607" t="s">
        <v>6218</v>
      </c>
      <c r="B5607" t="s">
        <v>75</v>
      </c>
      <c r="C5607" t="s">
        <v>614</v>
      </c>
      <c r="D5607">
        <v>2612.5</v>
      </c>
      <c r="E5607" s="37" t="str">
        <f t="shared" si="435"/>
        <v xml:space="preserve"> </v>
      </c>
      <c r="F5607">
        <v>0.13</v>
      </c>
      <c r="G5607" s="37" t="str">
        <f t="shared" si="436"/>
        <v>Normal Discount</v>
      </c>
      <c r="H5607" s="37" t="str">
        <f t="shared" si="437"/>
        <v>Low</v>
      </c>
      <c r="I5607">
        <v>5</v>
      </c>
      <c r="J5607" t="str" cm="1">
        <f t="array" ref="J5607">_xlfn.IFS(I5607&lt;=3,"small",I5607&lt;=6,"Medium",I5607&lt;=9,"Large")</f>
        <v>Medium</v>
      </c>
      <c r="K5607" s="36">
        <v>45149</v>
      </c>
      <c r="L5607" s="36">
        <v>45150</v>
      </c>
      <c r="M5607" t="s">
        <v>603</v>
      </c>
      <c r="N5607" t="s">
        <v>599</v>
      </c>
      <c r="O5607" s="37" t="str">
        <f t="shared" si="438"/>
        <v>Digital Payment</v>
      </c>
      <c r="P5607">
        <v>151.31</v>
      </c>
      <c r="Q5607" s="37" t="str">
        <f>IF(P5607&gt;500,"High","low")</f>
        <v>low</v>
      </c>
      <c r="R5607" s="37" t="str">
        <f t="shared" si="439"/>
        <v>AVERAGE</v>
      </c>
      <c r="S5607" t="s">
        <v>615</v>
      </c>
    </row>
    <row r="5608" spans="1:19" x14ac:dyDescent="0.2">
      <c r="A5608" t="s">
        <v>6219</v>
      </c>
      <c r="B5608" t="s">
        <v>90</v>
      </c>
      <c r="C5608" t="s">
        <v>617</v>
      </c>
      <c r="D5608">
        <v>1602.66</v>
      </c>
      <c r="E5608" s="37" t="str">
        <f t="shared" si="435"/>
        <v xml:space="preserve"> </v>
      </c>
      <c r="F5608">
        <v>0.44</v>
      </c>
      <c r="G5608" s="37" t="str">
        <f t="shared" si="436"/>
        <v>Heavy Discount</v>
      </c>
      <c r="H5608" s="37" t="str">
        <f t="shared" si="437"/>
        <v>High</v>
      </c>
      <c r="I5608">
        <v>3</v>
      </c>
      <c r="J5608" t="str" cm="1">
        <f t="array" ref="J5608">_xlfn.IFS(I5608&lt;=3,"small",I5608&lt;=6,"Medium",I5608&lt;=9,"Large")</f>
        <v>small</v>
      </c>
      <c r="K5608" s="36">
        <v>45000</v>
      </c>
      <c r="L5608" s="36">
        <v>45002</v>
      </c>
      <c r="M5608" t="s">
        <v>612</v>
      </c>
      <c r="N5608" t="s">
        <v>599</v>
      </c>
      <c r="O5608" s="37" t="str">
        <f t="shared" si="438"/>
        <v>Digital Payment</v>
      </c>
      <c r="P5608">
        <v>167.49</v>
      </c>
      <c r="Q5608" s="37" t="str">
        <f>IF(P5608&gt;500,"High","low")</f>
        <v>low</v>
      </c>
      <c r="R5608" s="37" t="str">
        <f t="shared" si="439"/>
        <v>AVERAGE</v>
      </c>
      <c r="S5608" t="s">
        <v>628</v>
      </c>
    </row>
    <row r="5609" spans="1:19" x14ac:dyDescent="0.2">
      <c r="A5609" t="s">
        <v>6220</v>
      </c>
      <c r="B5609" t="s">
        <v>90</v>
      </c>
      <c r="C5609" t="s">
        <v>607</v>
      </c>
      <c r="D5609">
        <v>4472.29</v>
      </c>
      <c r="E5609" s="37" t="str">
        <f t="shared" si="435"/>
        <v xml:space="preserve"> </v>
      </c>
      <c r="F5609">
        <v>0.49</v>
      </c>
      <c r="G5609" s="37" t="str">
        <f t="shared" si="436"/>
        <v>Heavy Discount</v>
      </c>
      <c r="H5609" s="37" t="str">
        <f t="shared" si="437"/>
        <v>High</v>
      </c>
      <c r="I5609">
        <v>9</v>
      </c>
      <c r="J5609" t="str" cm="1">
        <f t="array" ref="J5609">_xlfn.IFS(I5609&lt;=3,"small",I5609&lt;=6,"Medium",I5609&lt;=9,"Large")</f>
        <v>Large</v>
      </c>
      <c r="K5609" s="36">
        <v>45060</v>
      </c>
      <c r="L5609" s="36">
        <v>45066</v>
      </c>
      <c r="M5609" t="s">
        <v>603</v>
      </c>
      <c r="N5609" t="s">
        <v>608</v>
      </c>
      <c r="O5609" s="37" t="str">
        <f t="shared" si="438"/>
        <v>Cash Payment</v>
      </c>
      <c r="P5609">
        <v>477.24</v>
      </c>
      <c r="Q5609" s="37" t="str">
        <f>IF(P5609&gt;500,"High","low")</f>
        <v>low</v>
      </c>
      <c r="R5609" s="37" t="str">
        <f t="shared" si="439"/>
        <v>AVERAGE</v>
      </c>
      <c r="S5609" t="s">
        <v>628</v>
      </c>
    </row>
    <row r="5610" spans="1:19" x14ac:dyDescent="0.2">
      <c r="A5610" t="s">
        <v>6221</v>
      </c>
      <c r="B5610" t="s">
        <v>75</v>
      </c>
      <c r="C5610" t="s">
        <v>607</v>
      </c>
      <c r="D5610">
        <v>2251.19</v>
      </c>
      <c r="E5610" s="37" t="str">
        <f t="shared" si="435"/>
        <v xml:space="preserve"> </v>
      </c>
      <c r="F5610">
        <v>0.37</v>
      </c>
      <c r="G5610" s="37" t="str">
        <f t="shared" si="436"/>
        <v>Heavy Discount</v>
      </c>
      <c r="H5610" s="37" t="str">
        <f t="shared" si="437"/>
        <v>Medium</v>
      </c>
      <c r="I5610">
        <v>6</v>
      </c>
      <c r="J5610" t="str" cm="1">
        <f t="array" ref="J5610">_xlfn.IFS(I5610&lt;=3,"small",I5610&lt;=6,"Medium",I5610&lt;=9,"Large")</f>
        <v>Medium</v>
      </c>
      <c r="K5610" s="36">
        <v>45597</v>
      </c>
      <c r="L5610" s="36">
        <v>45600</v>
      </c>
      <c r="M5610" t="s">
        <v>603</v>
      </c>
      <c r="N5610" t="s">
        <v>608</v>
      </c>
      <c r="O5610" s="37" t="str">
        <f t="shared" si="438"/>
        <v>Cash Payment</v>
      </c>
      <c r="P5610">
        <v>276.70999999999998</v>
      </c>
      <c r="Q5610" s="37" t="str">
        <f>IF(P5610&gt;500,"High","low")</f>
        <v>low</v>
      </c>
      <c r="R5610" s="37" t="str">
        <f t="shared" si="439"/>
        <v>AVERAGE</v>
      </c>
      <c r="S5610" t="s">
        <v>628</v>
      </c>
    </row>
    <row r="5611" spans="1:19" x14ac:dyDescent="0.2">
      <c r="A5611" t="s">
        <v>6222</v>
      </c>
      <c r="B5611" t="s">
        <v>67</v>
      </c>
      <c r="C5611" t="s">
        <v>617</v>
      </c>
      <c r="D5611">
        <v>1530.91</v>
      </c>
      <c r="E5611" s="37" t="str">
        <f t="shared" si="435"/>
        <v xml:space="preserve"> </v>
      </c>
      <c r="F5611">
        <v>0.17</v>
      </c>
      <c r="G5611" s="37" t="str">
        <f t="shared" si="436"/>
        <v>Normal Discount</v>
      </c>
      <c r="H5611" s="37" t="str">
        <f t="shared" si="437"/>
        <v>Low</v>
      </c>
      <c r="I5611">
        <v>1</v>
      </c>
      <c r="J5611" t="str" cm="1">
        <f t="array" ref="J5611">_xlfn.IFS(I5611&lt;=3,"small",I5611&lt;=6,"Medium",I5611&lt;=9,"Large")</f>
        <v>small</v>
      </c>
      <c r="K5611" s="36">
        <v>45537</v>
      </c>
      <c r="L5611" s="36">
        <v>45542</v>
      </c>
      <c r="M5611" t="s">
        <v>603</v>
      </c>
      <c r="N5611" t="s">
        <v>608</v>
      </c>
      <c r="O5611" s="37" t="str">
        <f t="shared" si="438"/>
        <v>Cash Payment</v>
      </c>
      <c r="P5611">
        <v>89.7</v>
      </c>
      <c r="Q5611" s="37" t="str">
        <f>IF(P5611&gt;500,"High","low")</f>
        <v>low</v>
      </c>
      <c r="R5611" s="37" t="str">
        <f t="shared" si="439"/>
        <v>AVERAGE</v>
      </c>
      <c r="S5611" t="s">
        <v>628</v>
      </c>
    </row>
    <row r="5612" spans="1:19" x14ac:dyDescent="0.2">
      <c r="A5612" t="s">
        <v>6223</v>
      </c>
      <c r="B5612" t="s">
        <v>83</v>
      </c>
      <c r="C5612" t="s">
        <v>617</v>
      </c>
      <c r="D5612">
        <v>861.43</v>
      </c>
      <c r="E5612" s="37" t="str">
        <f t="shared" si="435"/>
        <v xml:space="preserve"> </v>
      </c>
      <c r="F5612">
        <v>0.12</v>
      </c>
      <c r="G5612" s="37" t="str">
        <f t="shared" si="436"/>
        <v>Normal Discount</v>
      </c>
      <c r="H5612" s="37" t="str">
        <f t="shared" si="437"/>
        <v>Low</v>
      </c>
      <c r="I5612">
        <v>9</v>
      </c>
      <c r="J5612" t="str" cm="1">
        <f t="array" ref="J5612">_xlfn.IFS(I5612&lt;=3,"small",I5612&lt;=6,"Medium",I5612&lt;=9,"Large")</f>
        <v>Large</v>
      </c>
      <c r="K5612" s="36">
        <v>45232</v>
      </c>
      <c r="L5612" s="36">
        <v>45233</v>
      </c>
      <c r="M5612" t="s">
        <v>598</v>
      </c>
      <c r="N5612" t="s">
        <v>599</v>
      </c>
      <c r="O5612" s="37" t="str">
        <f t="shared" si="438"/>
        <v>Digital Payment</v>
      </c>
      <c r="P5612">
        <v>224.53</v>
      </c>
      <c r="Q5612" s="37" t="str">
        <f>IF(P5612&gt;500,"High","low")</f>
        <v>low</v>
      </c>
      <c r="R5612" s="37" t="str">
        <f t="shared" si="439"/>
        <v>AVERAGE</v>
      </c>
      <c r="S5612" t="s">
        <v>605</v>
      </c>
    </row>
    <row r="5613" spans="1:19" x14ac:dyDescent="0.2">
      <c r="A5613" t="s">
        <v>6224</v>
      </c>
      <c r="B5613" t="s">
        <v>83</v>
      </c>
      <c r="C5613" t="s">
        <v>617</v>
      </c>
      <c r="D5613">
        <v>3394.52</v>
      </c>
      <c r="E5613" s="37" t="str">
        <f t="shared" si="435"/>
        <v xml:space="preserve"> </v>
      </c>
      <c r="F5613">
        <v>0.08</v>
      </c>
      <c r="G5613" s="37" t="str">
        <f t="shared" si="436"/>
        <v>Normal Discount</v>
      </c>
      <c r="H5613" s="37" t="str">
        <f t="shared" si="437"/>
        <v>Low</v>
      </c>
      <c r="I5613">
        <v>5</v>
      </c>
      <c r="J5613" t="str" cm="1">
        <f t="array" ref="J5613">_xlfn.IFS(I5613&lt;=3,"small",I5613&lt;=6,"Medium",I5613&lt;=9,"Large")</f>
        <v>Medium</v>
      </c>
      <c r="K5613" s="36">
        <v>45176</v>
      </c>
      <c r="L5613" s="36">
        <v>45179</v>
      </c>
      <c r="M5613" t="s">
        <v>598</v>
      </c>
      <c r="N5613" t="s">
        <v>604</v>
      </c>
      <c r="O5613" s="37" t="str">
        <f t="shared" si="438"/>
        <v>Digital Payment</v>
      </c>
      <c r="P5613">
        <v>252.34</v>
      </c>
      <c r="Q5613" s="37" t="str">
        <f>IF(P5613&gt;500,"High","low")</f>
        <v>low</v>
      </c>
      <c r="R5613" s="37" t="str">
        <f t="shared" si="439"/>
        <v>AVERAGE</v>
      </c>
      <c r="S5613" t="s">
        <v>605</v>
      </c>
    </row>
    <row r="5614" spans="1:19" x14ac:dyDescent="0.2">
      <c r="A5614" t="s">
        <v>6225</v>
      </c>
      <c r="B5614" t="s">
        <v>90</v>
      </c>
      <c r="C5614" t="s">
        <v>602</v>
      </c>
      <c r="D5614">
        <v>226.36</v>
      </c>
      <c r="E5614" s="37" t="str">
        <f t="shared" si="435"/>
        <v xml:space="preserve"> </v>
      </c>
      <c r="F5614">
        <v>0.12</v>
      </c>
      <c r="G5614" s="37" t="str">
        <f t="shared" si="436"/>
        <v>Normal Discount</v>
      </c>
      <c r="H5614" s="37" t="str">
        <f t="shared" si="437"/>
        <v>Low</v>
      </c>
      <c r="I5614">
        <v>3</v>
      </c>
      <c r="J5614" t="str" cm="1">
        <f t="array" ref="J5614">_xlfn.IFS(I5614&lt;=3,"small",I5614&lt;=6,"Medium",I5614&lt;=9,"Large")</f>
        <v>small</v>
      </c>
      <c r="K5614" s="36">
        <v>45467</v>
      </c>
      <c r="L5614" s="36">
        <v>45472</v>
      </c>
      <c r="M5614" t="s">
        <v>603</v>
      </c>
      <c r="N5614" t="s">
        <v>599</v>
      </c>
      <c r="O5614" s="37" t="str">
        <f t="shared" si="438"/>
        <v>Digital Payment</v>
      </c>
      <c r="P5614">
        <v>58.24</v>
      </c>
      <c r="Q5614" s="37" t="str">
        <f>IF(P5614&gt;500,"High","low")</f>
        <v>low</v>
      </c>
      <c r="R5614" s="37" t="str">
        <f t="shared" si="439"/>
        <v>AVERAGE</v>
      </c>
      <c r="S5614" t="s">
        <v>628</v>
      </c>
    </row>
    <row r="5615" spans="1:19" x14ac:dyDescent="0.2">
      <c r="A5615" t="s">
        <v>6226</v>
      </c>
      <c r="B5615" t="s">
        <v>67</v>
      </c>
      <c r="C5615" t="s">
        <v>597</v>
      </c>
      <c r="D5615">
        <v>2304.98</v>
      </c>
      <c r="E5615" s="37" t="str">
        <f t="shared" si="435"/>
        <v xml:space="preserve"> </v>
      </c>
      <c r="F5615">
        <v>0.11</v>
      </c>
      <c r="G5615" s="37" t="str">
        <f t="shared" si="436"/>
        <v>Normal Discount</v>
      </c>
      <c r="H5615" s="37" t="str">
        <f t="shared" si="437"/>
        <v>Low</v>
      </c>
      <c r="I5615">
        <v>4</v>
      </c>
      <c r="J5615" t="str" cm="1">
        <f t="array" ref="J5615">_xlfn.IFS(I5615&lt;=3,"small",I5615&lt;=6,"Medium",I5615&lt;=9,"Large")</f>
        <v>Medium</v>
      </c>
      <c r="K5615" s="36">
        <v>45203</v>
      </c>
      <c r="L5615" s="36">
        <v>45205</v>
      </c>
      <c r="M5615" t="s">
        <v>603</v>
      </c>
      <c r="N5615" t="s">
        <v>604</v>
      </c>
      <c r="O5615" s="37" t="str">
        <f t="shared" si="438"/>
        <v>Digital Payment</v>
      </c>
      <c r="P5615">
        <v>219.13</v>
      </c>
      <c r="Q5615" s="37" t="str">
        <f>IF(P5615&gt;500,"High","low")</f>
        <v>low</v>
      </c>
      <c r="R5615" s="37" t="str">
        <f t="shared" si="439"/>
        <v>AVERAGE</v>
      </c>
      <c r="S5615" t="s">
        <v>605</v>
      </c>
    </row>
    <row r="5616" spans="1:19" x14ac:dyDescent="0.2">
      <c r="A5616" t="s">
        <v>6227</v>
      </c>
      <c r="B5616" t="s">
        <v>75</v>
      </c>
      <c r="C5616" t="s">
        <v>614</v>
      </c>
      <c r="D5616">
        <v>2795.6</v>
      </c>
      <c r="E5616" s="37" t="str">
        <f t="shared" si="435"/>
        <v xml:space="preserve"> </v>
      </c>
      <c r="F5616">
        <v>0.48</v>
      </c>
      <c r="G5616" s="37" t="str">
        <f t="shared" si="436"/>
        <v>Heavy Discount</v>
      </c>
      <c r="H5616" s="37" t="str">
        <f t="shared" si="437"/>
        <v>High</v>
      </c>
      <c r="I5616">
        <v>5</v>
      </c>
      <c r="J5616" t="str" cm="1">
        <f t="array" ref="J5616">_xlfn.IFS(I5616&lt;=3,"small",I5616&lt;=6,"Medium",I5616&lt;=9,"Large")</f>
        <v>Medium</v>
      </c>
      <c r="K5616" s="36">
        <v>45095</v>
      </c>
      <c r="L5616" s="36">
        <v>45097</v>
      </c>
      <c r="M5616" t="s">
        <v>612</v>
      </c>
      <c r="N5616" t="s">
        <v>608</v>
      </c>
      <c r="O5616" s="37" t="str">
        <f t="shared" si="438"/>
        <v>Cash Payment</v>
      </c>
      <c r="P5616">
        <v>727.54</v>
      </c>
      <c r="Q5616" s="37" t="str">
        <f>IF(P5616&gt;500,"High","low")</f>
        <v>High</v>
      </c>
      <c r="R5616" s="37" t="str">
        <f t="shared" si="439"/>
        <v>Good</v>
      </c>
      <c r="S5616" t="s">
        <v>609</v>
      </c>
    </row>
    <row r="5617" spans="1:19" x14ac:dyDescent="0.2">
      <c r="A5617" t="s">
        <v>6228</v>
      </c>
      <c r="B5617" t="s">
        <v>83</v>
      </c>
      <c r="C5617" t="s">
        <v>617</v>
      </c>
      <c r="D5617">
        <v>1764.94</v>
      </c>
      <c r="E5617" s="37" t="str">
        <f t="shared" si="435"/>
        <v xml:space="preserve"> </v>
      </c>
      <c r="F5617">
        <v>0.32</v>
      </c>
      <c r="G5617" s="37" t="str">
        <f t="shared" si="436"/>
        <v>Heavy Discount</v>
      </c>
      <c r="H5617" s="37" t="str">
        <f t="shared" si="437"/>
        <v>Medium</v>
      </c>
      <c r="I5617">
        <v>1</v>
      </c>
      <c r="J5617" t="str" cm="1">
        <f t="array" ref="J5617">_xlfn.IFS(I5617&lt;=3,"small",I5617&lt;=6,"Medium",I5617&lt;=9,"Large")</f>
        <v>small</v>
      </c>
      <c r="K5617" s="36">
        <v>45123</v>
      </c>
      <c r="L5617" s="36">
        <v>45127</v>
      </c>
      <c r="M5617" t="s">
        <v>603</v>
      </c>
      <c r="N5617" t="s">
        <v>599</v>
      </c>
      <c r="O5617" s="37" t="str">
        <f t="shared" si="438"/>
        <v>Digital Payment</v>
      </c>
      <c r="P5617">
        <v>101.08</v>
      </c>
      <c r="Q5617" s="37" t="str">
        <f>IF(P5617&gt;500,"High","low")</f>
        <v>low</v>
      </c>
      <c r="R5617" s="37" t="str">
        <f t="shared" si="439"/>
        <v>AVERAGE</v>
      </c>
      <c r="S5617" t="s">
        <v>620</v>
      </c>
    </row>
    <row r="5618" spans="1:19" x14ac:dyDescent="0.2">
      <c r="A5618" t="s">
        <v>6229</v>
      </c>
      <c r="B5618" t="s">
        <v>67</v>
      </c>
      <c r="C5618" t="s">
        <v>617</v>
      </c>
      <c r="D5618">
        <v>3774.11</v>
      </c>
      <c r="E5618" s="37" t="str">
        <f t="shared" si="435"/>
        <v xml:space="preserve"> </v>
      </c>
      <c r="F5618">
        <v>0.08</v>
      </c>
      <c r="G5618" s="37" t="str">
        <f t="shared" si="436"/>
        <v>Normal Discount</v>
      </c>
      <c r="H5618" s="37" t="str">
        <f t="shared" si="437"/>
        <v>Low</v>
      </c>
      <c r="I5618">
        <v>3</v>
      </c>
      <c r="J5618" t="str" cm="1">
        <f t="array" ref="J5618">_xlfn.IFS(I5618&lt;=3,"small",I5618&lt;=6,"Medium",I5618&lt;=9,"Large")</f>
        <v>small</v>
      </c>
      <c r="K5618" s="36">
        <v>45526</v>
      </c>
      <c r="L5618" s="36">
        <v>45532</v>
      </c>
      <c r="M5618" t="s">
        <v>603</v>
      </c>
      <c r="N5618" t="s">
        <v>608</v>
      </c>
      <c r="O5618" s="37" t="str">
        <f t="shared" si="438"/>
        <v>Cash Payment</v>
      </c>
      <c r="P5618">
        <v>928.88</v>
      </c>
      <c r="Q5618" s="37" t="str">
        <f>IF(P5618&gt;500,"High","low")</f>
        <v>High</v>
      </c>
      <c r="R5618" s="37" t="str">
        <f t="shared" si="439"/>
        <v>Good</v>
      </c>
      <c r="S5618" t="s">
        <v>615</v>
      </c>
    </row>
    <row r="5619" spans="1:19" x14ac:dyDescent="0.2">
      <c r="A5619" t="s">
        <v>6230</v>
      </c>
      <c r="B5619" t="s">
        <v>83</v>
      </c>
      <c r="C5619" t="s">
        <v>617</v>
      </c>
      <c r="D5619">
        <v>3410.74</v>
      </c>
      <c r="E5619" s="37" t="str">
        <f t="shared" si="435"/>
        <v xml:space="preserve"> </v>
      </c>
      <c r="F5619">
        <v>0.24</v>
      </c>
      <c r="G5619" s="37" t="str">
        <f t="shared" si="436"/>
        <v>Normal Discount</v>
      </c>
      <c r="H5619" s="37" t="str">
        <f t="shared" si="437"/>
        <v>Medium</v>
      </c>
      <c r="I5619">
        <v>7</v>
      </c>
      <c r="J5619" t="str" cm="1">
        <f t="array" ref="J5619">_xlfn.IFS(I5619&lt;=3,"small",I5619&lt;=6,"Medium",I5619&lt;=9,"Large")</f>
        <v>Large</v>
      </c>
      <c r="K5619" s="36">
        <v>45261</v>
      </c>
      <c r="L5619" s="36">
        <v>45267</v>
      </c>
      <c r="M5619" t="s">
        <v>603</v>
      </c>
      <c r="N5619" t="s">
        <v>608</v>
      </c>
      <c r="O5619" s="37" t="str">
        <f t="shared" si="438"/>
        <v>Cash Payment</v>
      </c>
      <c r="P5619">
        <v>624.85</v>
      </c>
      <c r="Q5619" s="37" t="str">
        <f>IF(P5619&gt;500,"High","low")</f>
        <v>High</v>
      </c>
      <c r="R5619" s="37" t="str">
        <f t="shared" si="439"/>
        <v>Good</v>
      </c>
      <c r="S5619" t="s">
        <v>628</v>
      </c>
    </row>
    <row r="5620" spans="1:19" x14ac:dyDescent="0.2">
      <c r="A5620" t="s">
        <v>6231</v>
      </c>
      <c r="B5620" t="s">
        <v>67</v>
      </c>
      <c r="C5620" t="s">
        <v>607</v>
      </c>
      <c r="D5620">
        <v>4859.8599999999997</v>
      </c>
      <c r="E5620" s="37" t="str">
        <f t="shared" si="435"/>
        <v xml:space="preserve"> </v>
      </c>
      <c r="F5620">
        <v>0.09</v>
      </c>
      <c r="G5620" s="37" t="str">
        <f t="shared" si="436"/>
        <v>Normal Discount</v>
      </c>
      <c r="H5620" s="37" t="str">
        <f t="shared" si="437"/>
        <v>Low</v>
      </c>
      <c r="I5620">
        <v>9</v>
      </c>
      <c r="J5620" t="str" cm="1">
        <f t="array" ref="J5620">_xlfn.IFS(I5620&lt;=3,"small",I5620&lt;=6,"Medium",I5620&lt;=9,"Large")</f>
        <v>Large</v>
      </c>
      <c r="K5620" s="36">
        <v>45366</v>
      </c>
      <c r="L5620" s="36">
        <v>45373</v>
      </c>
      <c r="M5620" t="s">
        <v>598</v>
      </c>
      <c r="N5620" t="s">
        <v>599</v>
      </c>
      <c r="O5620" s="37" t="str">
        <f t="shared" si="438"/>
        <v>Digital Payment</v>
      </c>
      <c r="P5620">
        <v>505.78</v>
      </c>
      <c r="Q5620" s="37" t="str">
        <f>IF(P5620&gt;500,"High","low")</f>
        <v>High</v>
      </c>
      <c r="R5620" s="37" t="str">
        <f t="shared" si="439"/>
        <v>Good</v>
      </c>
      <c r="S5620" t="s">
        <v>600</v>
      </c>
    </row>
    <row r="5621" spans="1:19" x14ac:dyDescent="0.2">
      <c r="A5621" t="s">
        <v>6232</v>
      </c>
      <c r="B5621" t="s">
        <v>67</v>
      </c>
      <c r="C5621" t="s">
        <v>617</v>
      </c>
      <c r="D5621">
        <v>2592.96</v>
      </c>
      <c r="E5621" s="37" t="str">
        <f t="shared" si="435"/>
        <v xml:space="preserve"> </v>
      </c>
      <c r="F5621">
        <v>0.3</v>
      </c>
      <c r="G5621" s="37" t="str">
        <f t="shared" si="436"/>
        <v>Normal Discount</v>
      </c>
      <c r="H5621" s="37" t="str">
        <f t="shared" si="437"/>
        <v>Medium</v>
      </c>
      <c r="I5621">
        <v>6</v>
      </c>
      <c r="J5621" t="str" cm="1">
        <f t="array" ref="J5621">_xlfn.IFS(I5621&lt;=3,"small",I5621&lt;=6,"Medium",I5621&lt;=9,"Large")</f>
        <v>Medium</v>
      </c>
      <c r="K5621" s="36">
        <v>45088</v>
      </c>
      <c r="L5621" s="36">
        <v>45093</v>
      </c>
      <c r="M5621" t="s">
        <v>612</v>
      </c>
      <c r="N5621" t="s">
        <v>608</v>
      </c>
      <c r="O5621" s="37" t="str">
        <f t="shared" si="438"/>
        <v>Cash Payment</v>
      </c>
      <c r="P5621">
        <v>393.15</v>
      </c>
      <c r="Q5621" s="37" t="str">
        <f>IF(P5621&gt;500,"High","low")</f>
        <v>low</v>
      </c>
      <c r="R5621" s="37" t="str">
        <f t="shared" si="439"/>
        <v>AVERAGE</v>
      </c>
      <c r="S5621" t="s">
        <v>609</v>
      </c>
    </row>
    <row r="5622" spans="1:19" x14ac:dyDescent="0.2">
      <c r="A5622" t="s">
        <v>6233</v>
      </c>
      <c r="B5622" t="s">
        <v>90</v>
      </c>
      <c r="C5622" t="s">
        <v>614</v>
      </c>
      <c r="D5622">
        <v>2735.28</v>
      </c>
      <c r="E5622" s="37" t="str">
        <f t="shared" si="435"/>
        <v xml:space="preserve"> </v>
      </c>
      <c r="F5622">
        <v>0.17</v>
      </c>
      <c r="G5622" s="37" t="str">
        <f t="shared" si="436"/>
        <v>Normal Discount</v>
      </c>
      <c r="H5622" s="37" t="str">
        <f t="shared" si="437"/>
        <v>Low</v>
      </c>
      <c r="I5622">
        <v>4</v>
      </c>
      <c r="J5622" t="str" cm="1">
        <f t="array" ref="J5622">_xlfn.IFS(I5622&lt;=3,"small",I5622&lt;=6,"Medium",I5622&lt;=9,"Large")</f>
        <v>Medium</v>
      </c>
      <c r="K5622" s="36">
        <v>44982</v>
      </c>
      <c r="L5622" s="36">
        <v>44987</v>
      </c>
      <c r="M5622" t="s">
        <v>603</v>
      </c>
      <c r="N5622" t="s">
        <v>599</v>
      </c>
      <c r="O5622" s="37" t="str">
        <f t="shared" si="438"/>
        <v>Digital Payment</v>
      </c>
      <c r="P5622">
        <v>203.15</v>
      </c>
      <c r="Q5622" s="37" t="str">
        <f>IF(P5622&gt;500,"High","low")</f>
        <v>low</v>
      </c>
      <c r="R5622" s="37" t="str">
        <f t="shared" si="439"/>
        <v>AVERAGE</v>
      </c>
      <c r="S5622" t="s">
        <v>628</v>
      </c>
    </row>
    <row r="5623" spans="1:19" x14ac:dyDescent="0.2">
      <c r="A5623" t="s">
        <v>6234</v>
      </c>
      <c r="B5623" t="s">
        <v>83</v>
      </c>
      <c r="C5623" t="s">
        <v>617</v>
      </c>
      <c r="D5623">
        <v>1304.6099999999999</v>
      </c>
      <c r="E5623" s="37" t="str">
        <f t="shared" si="435"/>
        <v xml:space="preserve"> </v>
      </c>
      <c r="F5623">
        <v>0.1</v>
      </c>
      <c r="G5623" s="37" t="str">
        <f t="shared" si="436"/>
        <v>Normal Discount</v>
      </c>
      <c r="H5623" s="37" t="str">
        <f t="shared" si="437"/>
        <v>Low</v>
      </c>
      <c r="I5623">
        <v>4</v>
      </c>
      <c r="J5623" t="str" cm="1">
        <f t="array" ref="J5623">_xlfn.IFS(I5623&lt;=3,"small",I5623&lt;=6,"Medium",I5623&lt;=9,"Large")</f>
        <v>Medium</v>
      </c>
      <c r="K5623" s="36">
        <v>45109</v>
      </c>
      <c r="L5623" s="36">
        <v>45115</v>
      </c>
      <c r="M5623" t="s">
        <v>612</v>
      </c>
      <c r="N5623" t="s">
        <v>608</v>
      </c>
      <c r="O5623" s="37" t="str">
        <f t="shared" si="438"/>
        <v>Cash Payment</v>
      </c>
      <c r="P5623">
        <v>109.99</v>
      </c>
      <c r="Q5623" s="37" t="str">
        <f>IF(P5623&gt;500,"High","low")</f>
        <v>low</v>
      </c>
      <c r="R5623" s="37" t="str">
        <f t="shared" si="439"/>
        <v>AVERAGE</v>
      </c>
      <c r="S5623" t="s">
        <v>620</v>
      </c>
    </row>
    <row r="5624" spans="1:19" x14ac:dyDescent="0.2">
      <c r="A5624" t="s">
        <v>6235</v>
      </c>
      <c r="B5624" t="s">
        <v>75</v>
      </c>
      <c r="C5624" t="s">
        <v>614</v>
      </c>
      <c r="D5624">
        <v>1988.87</v>
      </c>
      <c r="E5624" s="37" t="str">
        <f t="shared" si="435"/>
        <v xml:space="preserve"> </v>
      </c>
      <c r="F5624">
        <v>0.12</v>
      </c>
      <c r="G5624" s="37" t="str">
        <f t="shared" si="436"/>
        <v>Normal Discount</v>
      </c>
      <c r="H5624" s="37" t="str">
        <f t="shared" si="437"/>
        <v>Low</v>
      </c>
      <c r="I5624">
        <v>9</v>
      </c>
      <c r="J5624" t="str" cm="1">
        <f t="array" ref="J5624">_xlfn.IFS(I5624&lt;=3,"small",I5624&lt;=6,"Medium",I5624&lt;=9,"Large")</f>
        <v>Large</v>
      </c>
      <c r="K5624" s="36">
        <v>45342</v>
      </c>
      <c r="L5624" s="36">
        <v>45347</v>
      </c>
      <c r="M5624" t="s">
        <v>598</v>
      </c>
      <c r="N5624" t="s">
        <v>599</v>
      </c>
      <c r="O5624" s="37" t="str">
        <f t="shared" si="438"/>
        <v>Digital Payment</v>
      </c>
      <c r="P5624">
        <v>281.97000000000003</v>
      </c>
      <c r="Q5624" s="37" t="str">
        <f>IF(P5624&gt;500,"High","low")</f>
        <v>low</v>
      </c>
      <c r="R5624" s="37" t="str">
        <f t="shared" si="439"/>
        <v>AVERAGE</v>
      </c>
      <c r="S5624" t="s">
        <v>600</v>
      </c>
    </row>
    <row r="5625" spans="1:19" x14ac:dyDescent="0.2">
      <c r="A5625" t="s">
        <v>6236</v>
      </c>
      <c r="B5625" t="s">
        <v>90</v>
      </c>
      <c r="C5625" t="s">
        <v>602</v>
      </c>
      <c r="D5625">
        <v>231.62</v>
      </c>
      <c r="E5625" s="37" t="str">
        <f t="shared" si="435"/>
        <v xml:space="preserve"> </v>
      </c>
      <c r="F5625">
        <v>0.34</v>
      </c>
      <c r="G5625" s="37" t="str">
        <f t="shared" si="436"/>
        <v>Heavy Discount</v>
      </c>
      <c r="H5625" s="37" t="str">
        <f t="shared" si="437"/>
        <v>Medium</v>
      </c>
      <c r="I5625">
        <v>1</v>
      </c>
      <c r="J5625" t="str" cm="1">
        <f t="array" ref="J5625">_xlfn.IFS(I5625&lt;=3,"small",I5625&lt;=6,"Medium",I5625&lt;=9,"Large")</f>
        <v>small</v>
      </c>
      <c r="K5625" s="36">
        <v>45140</v>
      </c>
      <c r="L5625" s="36">
        <v>45142</v>
      </c>
      <c r="M5625" t="s">
        <v>612</v>
      </c>
      <c r="N5625" t="s">
        <v>599</v>
      </c>
      <c r="O5625" s="37" t="str">
        <f t="shared" si="438"/>
        <v>Digital Payment</v>
      </c>
      <c r="P5625">
        <v>35.46</v>
      </c>
      <c r="Q5625" s="37" t="str">
        <f>IF(P5625&gt;500,"High","low")</f>
        <v>low</v>
      </c>
      <c r="R5625" s="37" t="str">
        <f t="shared" si="439"/>
        <v>AVERAGE</v>
      </c>
      <c r="S5625" t="s">
        <v>605</v>
      </c>
    </row>
    <row r="5626" spans="1:19" x14ac:dyDescent="0.2">
      <c r="A5626" t="s">
        <v>6237</v>
      </c>
      <c r="B5626" t="s">
        <v>90</v>
      </c>
      <c r="C5626" t="s">
        <v>597</v>
      </c>
      <c r="D5626">
        <v>3477.45</v>
      </c>
      <c r="E5626" s="37" t="str">
        <f t="shared" si="435"/>
        <v xml:space="preserve"> </v>
      </c>
      <c r="F5626">
        <v>0.2</v>
      </c>
      <c r="G5626" s="37" t="str">
        <f t="shared" si="436"/>
        <v>Normal Discount</v>
      </c>
      <c r="H5626" s="37" t="str">
        <f t="shared" si="437"/>
        <v>Medium</v>
      </c>
      <c r="I5626">
        <v>6</v>
      </c>
      <c r="J5626" t="str" cm="1">
        <f t="array" ref="J5626">_xlfn.IFS(I5626&lt;=3,"small",I5626&lt;=6,"Medium",I5626&lt;=9,"Large")</f>
        <v>Medium</v>
      </c>
      <c r="K5626" s="36">
        <v>44955</v>
      </c>
      <c r="L5626" s="36">
        <v>44962</v>
      </c>
      <c r="M5626" t="s">
        <v>612</v>
      </c>
      <c r="N5626" t="s">
        <v>599</v>
      </c>
      <c r="O5626" s="37" t="str">
        <f t="shared" si="438"/>
        <v>Digital Payment</v>
      </c>
      <c r="P5626">
        <v>848.51</v>
      </c>
      <c r="Q5626" s="37" t="str">
        <f>IF(P5626&gt;500,"High","low")</f>
        <v>High</v>
      </c>
      <c r="R5626" s="37" t="str">
        <f t="shared" si="439"/>
        <v>Good</v>
      </c>
      <c r="S5626" t="s">
        <v>628</v>
      </c>
    </row>
    <row r="5627" spans="1:19" x14ac:dyDescent="0.2">
      <c r="A5627" t="s">
        <v>6238</v>
      </c>
      <c r="B5627" t="s">
        <v>75</v>
      </c>
      <c r="C5627" t="s">
        <v>607</v>
      </c>
      <c r="D5627">
        <v>1626.95</v>
      </c>
      <c r="E5627" s="37" t="str">
        <f t="shared" si="435"/>
        <v xml:space="preserve"> </v>
      </c>
      <c r="F5627">
        <v>0.26</v>
      </c>
      <c r="G5627" s="37" t="str">
        <f t="shared" si="436"/>
        <v>Normal Discount</v>
      </c>
      <c r="H5627" s="37" t="str">
        <f t="shared" si="437"/>
        <v>Medium</v>
      </c>
      <c r="I5627">
        <v>4</v>
      </c>
      <c r="J5627" t="str" cm="1">
        <f t="array" ref="J5627">_xlfn.IFS(I5627&lt;=3,"small",I5627&lt;=6,"Medium",I5627&lt;=9,"Large")</f>
        <v>Medium</v>
      </c>
      <c r="K5627" s="36">
        <v>44929</v>
      </c>
      <c r="L5627" s="36">
        <v>44936</v>
      </c>
      <c r="M5627" t="s">
        <v>612</v>
      </c>
      <c r="N5627" t="s">
        <v>608</v>
      </c>
      <c r="O5627" s="37" t="str">
        <f t="shared" si="438"/>
        <v>Cash Payment</v>
      </c>
      <c r="P5627">
        <v>388.96</v>
      </c>
      <c r="Q5627" s="37" t="str">
        <f>IF(P5627&gt;500,"High","low")</f>
        <v>low</v>
      </c>
      <c r="R5627" s="37" t="str">
        <f t="shared" si="439"/>
        <v>AVERAGE</v>
      </c>
      <c r="S5627" t="s">
        <v>600</v>
      </c>
    </row>
    <row r="5628" spans="1:19" x14ac:dyDescent="0.2">
      <c r="A5628" t="s">
        <v>6239</v>
      </c>
      <c r="B5628" t="s">
        <v>90</v>
      </c>
      <c r="C5628" t="s">
        <v>614</v>
      </c>
      <c r="D5628">
        <v>2747.8</v>
      </c>
      <c r="E5628" s="37" t="str">
        <f t="shared" si="435"/>
        <v xml:space="preserve"> </v>
      </c>
      <c r="F5628">
        <v>0.41</v>
      </c>
      <c r="G5628" s="37" t="str">
        <f t="shared" si="436"/>
        <v>Heavy Discount</v>
      </c>
      <c r="H5628" s="37" t="str">
        <f t="shared" si="437"/>
        <v>High</v>
      </c>
      <c r="I5628">
        <v>3</v>
      </c>
      <c r="J5628" t="str" cm="1">
        <f t="array" ref="J5628">_xlfn.IFS(I5628&lt;=3,"small",I5628&lt;=6,"Medium",I5628&lt;=9,"Large")</f>
        <v>small</v>
      </c>
      <c r="K5628" s="36">
        <v>45251</v>
      </c>
      <c r="L5628" s="36">
        <v>45258</v>
      </c>
      <c r="M5628" t="s">
        <v>598</v>
      </c>
      <c r="N5628" t="s">
        <v>599</v>
      </c>
      <c r="O5628" s="37" t="str">
        <f t="shared" si="438"/>
        <v>Digital Payment</v>
      </c>
      <c r="P5628">
        <v>302.33999999999997</v>
      </c>
      <c r="Q5628" s="37" t="str">
        <f>IF(P5628&gt;500,"High","low")</f>
        <v>low</v>
      </c>
      <c r="R5628" s="37" t="str">
        <f t="shared" si="439"/>
        <v>AVERAGE</v>
      </c>
      <c r="S5628" t="s">
        <v>620</v>
      </c>
    </row>
    <row r="5629" spans="1:19" x14ac:dyDescent="0.2">
      <c r="A5629" t="s">
        <v>6240</v>
      </c>
      <c r="B5629" t="s">
        <v>67</v>
      </c>
      <c r="C5629" t="s">
        <v>602</v>
      </c>
      <c r="D5629">
        <v>1349.46</v>
      </c>
      <c r="E5629" s="37" t="str">
        <f t="shared" si="435"/>
        <v xml:space="preserve"> </v>
      </c>
      <c r="F5629">
        <v>0.33</v>
      </c>
      <c r="G5629" s="37" t="str">
        <f t="shared" si="436"/>
        <v>Heavy Discount</v>
      </c>
      <c r="H5629" s="37" t="str">
        <f t="shared" si="437"/>
        <v>Medium</v>
      </c>
      <c r="I5629">
        <v>1</v>
      </c>
      <c r="J5629" t="str" cm="1">
        <f t="array" ref="J5629">_xlfn.IFS(I5629&lt;=3,"small",I5629&lt;=6,"Medium",I5629&lt;=9,"Large")</f>
        <v>small</v>
      </c>
      <c r="K5629" s="36">
        <v>45102</v>
      </c>
      <c r="L5629" s="36">
        <v>45106</v>
      </c>
      <c r="M5629" t="s">
        <v>612</v>
      </c>
      <c r="N5629" t="s">
        <v>608</v>
      </c>
      <c r="O5629" s="37" t="str">
        <f t="shared" si="438"/>
        <v>Cash Payment</v>
      </c>
      <c r="P5629">
        <v>129.51</v>
      </c>
      <c r="Q5629" s="37" t="str">
        <f>IF(P5629&gt;500,"High","low")</f>
        <v>low</v>
      </c>
      <c r="R5629" s="37" t="str">
        <f t="shared" si="439"/>
        <v>AVERAGE</v>
      </c>
      <c r="S5629" t="s">
        <v>609</v>
      </c>
    </row>
    <row r="5630" spans="1:19" x14ac:dyDescent="0.2">
      <c r="A5630" t="s">
        <v>6241</v>
      </c>
      <c r="B5630" t="s">
        <v>67</v>
      </c>
      <c r="C5630" t="s">
        <v>597</v>
      </c>
      <c r="D5630">
        <v>3143.08</v>
      </c>
      <c r="E5630" s="37" t="str">
        <f t="shared" si="435"/>
        <v xml:space="preserve"> </v>
      </c>
      <c r="F5630">
        <v>0.23</v>
      </c>
      <c r="G5630" s="37" t="str">
        <f t="shared" si="436"/>
        <v>Normal Discount</v>
      </c>
      <c r="H5630" s="37" t="str">
        <f t="shared" si="437"/>
        <v>Medium</v>
      </c>
      <c r="I5630">
        <v>5</v>
      </c>
      <c r="J5630" t="str" cm="1">
        <f t="array" ref="J5630">_xlfn.IFS(I5630&lt;=3,"small",I5630&lt;=6,"Medium",I5630&lt;=9,"Large")</f>
        <v>Medium</v>
      </c>
      <c r="K5630" s="36">
        <v>45543</v>
      </c>
      <c r="L5630" s="36">
        <v>45545</v>
      </c>
      <c r="M5630" t="s">
        <v>603</v>
      </c>
      <c r="N5630" t="s">
        <v>608</v>
      </c>
      <c r="O5630" s="37" t="str">
        <f t="shared" si="438"/>
        <v>Cash Payment</v>
      </c>
      <c r="P5630">
        <v>289.41000000000003</v>
      </c>
      <c r="Q5630" s="37" t="str">
        <f>IF(P5630&gt;500,"High","low")</f>
        <v>low</v>
      </c>
      <c r="R5630" s="37" t="str">
        <f t="shared" si="439"/>
        <v>AVERAGE</v>
      </c>
      <c r="S5630" t="s">
        <v>628</v>
      </c>
    </row>
    <row r="5631" spans="1:19" x14ac:dyDescent="0.2">
      <c r="A5631" t="s">
        <v>6242</v>
      </c>
      <c r="B5631" t="s">
        <v>83</v>
      </c>
      <c r="C5631" t="s">
        <v>597</v>
      </c>
      <c r="D5631">
        <v>2293.15</v>
      </c>
      <c r="E5631" s="37" t="str">
        <f t="shared" si="435"/>
        <v xml:space="preserve"> </v>
      </c>
      <c r="F5631">
        <v>0.48</v>
      </c>
      <c r="G5631" s="37" t="str">
        <f t="shared" si="436"/>
        <v>Heavy Discount</v>
      </c>
      <c r="H5631" s="37" t="str">
        <f t="shared" si="437"/>
        <v>High</v>
      </c>
      <c r="I5631">
        <v>4</v>
      </c>
      <c r="J5631" t="str" cm="1">
        <f t="array" ref="J5631">_xlfn.IFS(I5631&lt;=3,"small",I5631&lt;=6,"Medium",I5631&lt;=9,"Large")</f>
        <v>Medium</v>
      </c>
      <c r="K5631" s="36">
        <v>45238</v>
      </c>
      <c r="L5631" s="36">
        <v>45244</v>
      </c>
      <c r="M5631" t="s">
        <v>603</v>
      </c>
      <c r="N5631" t="s">
        <v>608</v>
      </c>
      <c r="O5631" s="37" t="str">
        <f t="shared" si="438"/>
        <v>Cash Payment</v>
      </c>
      <c r="P5631">
        <v>453.31</v>
      </c>
      <c r="Q5631" s="37" t="str">
        <f>IF(P5631&gt;500,"High","low")</f>
        <v>low</v>
      </c>
      <c r="R5631" s="37" t="str">
        <f t="shared" si="439"/>
        <v>AVERAGE</v>
      </c>
      <c r="S5631" t="s">
        <v>605</v>
      </c>
    </row>
    <row r="5632" spans="1:19" x14ac:dyDescent="0.2">
      <c r="A5632" t="s">
        <v>6243</v>
      </c>
      <c r="B5632" t="s">
        <v>83</v>
      </c>
      <c r="C5632" t="s">
        <v>597</v>
      </c>
      <c r="D5632">
        <v>2461.12</v>
      </c>
      <c r="E5632" s="37" t="str">
        <f t="shared" si="435"/>
        <v xml:space="preserve"> </v>
      </c>
      <c r="F5632">
        <v>0.11</v>
      </c>
      <c r="G5632" s="37" t="str">
        <f t="shared" si="436"/>
        <v>Normal Discount</v>
      </c>
      <c r="H5632" s="37" t="str">
        <f t="shared" si="437"/>
        <v>Low</v>
      </c>
      <c r="I5632">
        <v>4</v>
      </c>
      <c r="J5632" t="str" cm="1">
        <f t="array" ref="J5632">_xlfn.IFS(I5632&lt;=3,"small",I5632&lt;=6,"Medium",I5632&lt;=9,"Large")</f>
        <v>Medium</v>
      </c>
      <c r="K5632" s="36">
        <v>45080</v>
      </c>
      <c r="L5632" s="36">
        <v>45083</v>
      </c>
      <c r="M5632" t="s">
        <v>603</v>
      </c>
      <c r="N5632" t="s">
        <v>599</v>
      </c>
      <c r="O5632" s="37" t="str">
        <f t="shared" si="438"/>
        <v>Digital Payment</v>
      </c>
      <c r="P5632">
        <v>480.25</v>
      </c>
      <c r="Q5632" s="37" t="str">
        <f>IF(P5632&gt;500,"High","low")</f>
        <v>low</v>
      </c>
      <c r="R5632" s="37" t="str">
        <f t="shared" si="439"/>
        <v>AVERAGE</v>
      </c>
      <c r="S5632" t="s">
        <v>628</v>
      </c>
    </row>
    <row r="5633" spans="1:19" x14ac:dyDescent="0.2">
      <c r="A5633" t="s">
        <v>6244</v>
      </c>
      <c r="B5633" t="s">
        <v>75</v>
      </c>
      <c r="C5633" t="s">
        <v>614</v>
      </c>
      <c r="D5633">
        <v>4718.7700000000004</v>
      </c>
      <c r="E5633" s="37" t="str">
        <f t="shared" si="435"/>
        <v xml:space="preserve"> </v>
      </c>
      <c r="F5633">
        <v>0.14000000000000001</v>
      </c>
      <c r="G5633" s="37" t="str">
        <f t="shared" si="436"/>
        <v>Normal Discount</v>
      </c>
      <c r="H5633" s="37" t="str">
        <f t="shared" si="437"/>
        <v>Low</v>
      </c>
      <c r="I5633">
        <v>8</v>
      </c>
      <c r="J5633" t="str" cm="1">
        <f t="array" ref="J5633">_xlfn.IFS(I5633&lt;=3,"small",I5633&lt;=6,"Medium",I5633&lt;=9,"Large")</f>
        <v>Large</v>
      </c>
      <c r="K5633" s="36">
        <v>45319</v>
      </c>
      <c r="L5633" s="36">
        <v>45324</v>
      </c>
      <c r="M5633" t="s">
        <v>598</v>
      </c>
      <c r="N5633" t="s">
        <v>599</v>
      </c>
      <c r="O5633" s="37" t="str">
        <f t="shared" si="438"/>
        <v>Digital Payment</v>
      </c>
      <c r="P5633">
        <v>359.72</v>
      </c>
      <c r="Q5633" s="37" t="str">
        <f>IF(P5633&gt;500,"High","low")</f>
        <v>low</v>
      </c>
      <c r="R5633" s="37" t="str">
        <f t="shared" si="439"/>
        <v>AVERAGE</v>
      </c>
      <c r="S5633" t="s">
        <v>615</v>
      </c>
    </row>
    <row r="5634" spans="1:19" x14ac:dyDescent="0.2">
      <c r="A5634" t="s">
        <v>6245</v>
      </c>
      <c r="B5634" t="s">
        <v>83</v>
      </c>
      <c r="C5634" t="s">
        <v>602</v>
      </c>
      <c r="D5634">
        <v>3560.19</v>
      </c>
      <c r="E5634" s="37" t="str">
        <f t="shared" si="435"/>
        <v xml:space="preserve"> </v>
      </c>
      <c r="F5634">
        <v>0.46</v>
      </c>
      <c r="G5634" s="37" t="str">
        <f t="shared" si="436"/>
        <v>Heavy Discount</v>
      </c>
      <c r="H5634" s="37" t="str">
        <f t="shared" si="437"/>
        <v>High</v>
      </c>
      <c r="I5634">
        <v>2</v>
      </c>
      <c r="J5634" t="str" cm="1">
        <f t="array" ref="J5634">_xlfn.IFS(I5634&lt;=3,"small",I5634&lt;=6,"Medium",I5634&lt;=9,"Large")</f>
        <v>small</v>
      </c>
      <c r="K5634" s="36">
        <v>45290</v>
      </c>
      <c r="L5634" s="36">
        <v>45295</v>
      </c>
      <c r="M5634" t="s">
        <v>612</v>
      </c>
      <c r="N5634" t="s">
        <v>608</v>
      </c>
      <c r="O5634" s="37" t="str">
        <f t="shared" si="438"/>
        <v>Cash Payment</v>
      </c>
      <c r="P5634">
        <v>480.98</v>
      </c>
      <c r="Q5634" s="37" t="str">
        <f>IF(P5634&gt;500,"High","low")</f>
        <v>low</v>
      </c>
      <c r="R5634" s="37" t="str">
        <f t="shared" si="439"/>
        <v>AVERAGE</v>
      </c>
      <c r="S5634" t="s">
        <v>620</v>
      </c>
    </row>
    <row r="5635" spans="1:19" x14ac:dyDescent="0.2">
      <c r="A5635" t="s">
        <v>6246</v>
      </c>
      <c r="B5635" t="s">
        <v>67</v>
      </c>
      <c r="C5635" t="s">
        <v>617</v>
      </c>
      <c r="D5635">
        <v>1383.31</v>
      </c>
      <c r="E5635" s="37" t="str">
        <f t="shared" ref="E5635:E5698" si="440">IF(AND(D5635&gt;4000,P5635&gt;800),"Excellent Order"," ")</f>
        <v xml:space="preserve"> </v>
      </c>
      <c r="F5635">
        <v>0.43</v>
      </c>
      <c r="G5635" s="37" t="str">
        <f t="shared" ref="G5635:G5698" si="441">IF(F5635&gt;30%,"Heavy Discount","Normal Discount")</f>
        <v>Heavy Discount</v>
      </c>
      <c r="H5635" s="37" t="str">
        <f t="shared" ref="H5635:H5698" si="442">IF(F5635&gt;0.4,"High",IF(F5635&gt;=0.2,"Medium","Low"))</f>
        <v>High</v>
      </c>
      <c r="I5635">
        <v>4</v>
      </c>
      <c r="J5635" t="str" cm="1">
        <f t="array" ref="J5635">_xlfn.IFS(I5635&lt;=3,"small",I5635&lt;=6,"Medium",I5635&lt;=9,"Large")</f>
        <v>Medium</v>
      </c>
      <c r="K5635" s="36">
        <v>45631</v>
      </c>
      <c r="L5635" s="36">
        <v>45635</v>
      </c>
      <c r="M5635" t="s">
        <v>612</v>
      </c>
      <c r="N5635" t="s">
        <v>599</v>
      </c>
      <c r="O5635" s="37" t="str">
        <f t="shared" ref="O5635:O5698" si="443">IF(OR(N5635="Card",N5635="UPI"),"Digital Payment","Cash Payment")</f>
        <v>Digital Payment</v>
      </c>
      <c r="P5635">
        <v>371.55</v>
      </c>
      <c r="Q5635" s="37" t="str">
        <f>IF(P5635&gt;500,"High","low")</f>
        <v>low</v>
      </c>
      <c r="R5635" s="37" t="str">
        <f t="shared" ref="R5635:R5698" si="444">IF(P5635&gt;1000,"Excellent",IF(P5635&gt;=500,"Good","AVERAGE"))</f>
        <v>AVERAGE</v>
      </c>
      <c r="S5635" t="s">
        <v>615</v>
      </c>
    </row>
    <row r="5636" spans="1:19" x14ac:dyDescent="0.2">
      <c r="A5636" t="s">
        <v>6247</v>
      </c>
      <c r="B5636" t="s">
        <v>75</v>
      </c>
      <c r="C5636" t="s">
        <v>602</v>
      </c>
      <c r="D5636">
        <v>2569.2199999999998</v>
      </c>
      <c r="E5636" s="37" t="str">
        <f t="shared" si="440"/>
        <v xml:space="preserve"> </v>
      </c>
      <c r="F5636">
        <v>7.0000000000000007E-2</v>
      </c>
      <c r="G5636" s="37" t="str">
        <f t="shared" si="441"/>
        <v>Normal Discount</v>
      </c>
      <c r="H5636" s="37" t="str">
        <f t="shared" si="442"/>
        <v>Low</v>
      </c>
      <c r="I5636">
        <v>1</v>
      </c>
      <c r="J5636" t="str" cm="1">
        <f t="array" ref="J5636">_xlfn.IFS(I5636&lt;=3,"small",I5636&lt;=6,"Medium",I5636&lt;=9,"Large")</f>
        <v>small</v>
      </c>
      <c r="K5636" s="36">
        <v>45284</v>
      </c>
      <c r="L5636" s="36">
        <v>45288</v>
      </c>
      <c r="M5636" t="s">
        <v>598</v>
      </c>
      <c r="N5636" t="s">
        <v>608</v>
      </c>
      <c r="O5636" s="37" t="str">
        <f t="shared" si="443"/>
        <v>Cash Payment</v>
      </c>
      <c r="P5636">
        <v>733.69</v>
      </c>
      <c r="Q5636" s="37" t="str">
        <f>IF(P5636&gt;500,"High","low")</f>
        <v>High</v>
      </c>
      <c r="R5636" s="37" t="str">
        <f t="shared" si="444"/>
        <v>Good</v>
      </c>
      <c r="S5636" t="s">
        <v>609</v>
      </c>
    </row>
    <row r="5637" spans="1:19" x14ac:dyDescent="0.2">
      <c r="A5637" t="s">
        <v>6248</v>
      </c>
      <c r="B5637" t="s">
        <v>75</v>
      </c>
      <c r="C5637" t="s">
        <v>602</v>
      </c>
      <c r="D5637">
        <v>2386.6999999999998</v>
      </c>
      <c r="E5637" s="37" t="str">
        <f t="shared" si="440"/>
        <v xml:space="preserve"> </v>
      </c>
      <c r="F5637">
        <v>0.46</v>
      </c>
      <c r="G5637" s="37" t="str">
        <f t="shared" si="441"/>
        <v>Heavy Discount</v>
      </c>
      <c r="H5637" s="37" t="str">
        <f t="shared" si="442"/>
        <v>High</v>
      </c>
      <c r="I5637">
        <v>2</v>
      </c>
      <c r="J5637" t="str" cm="1">
        <f t="array" ref="J5637">_xlfn.IFS(I5637&lt;=3,"small",I5637&lt;=6,"Medium",I5637&lt;=9,"Large")</f>
        <v>small</v>
      </c>
      <c r="K5637" s="36">
        <v>44982</v>
      </c>
      <c r="L5637" s="36">
        <v>44987</v>
      </c>
      <c r="M5637" t="s">
        <v>612</v>
      </c>
      <c r="N5637" t="s">
        <v>608</v>
      </c>
      <c r="O5637" s="37" t="str">
        <f t="shared" si="443"/>
        <v>Cash Payment</v>
      </c>
      <c r="P5637">
        <v>699.26</v>
      </c>
      <c r="Q5637" s="37" t="str">
        <f>IF(P5637&gt;500,"High","low")</f>
        <v>High</v>
      </c>
      <c r="R5637" s="37" t="str">
        <f t="shared" si="444"/>
        <v>Good</v>
      </c>
      <c r="S5637" t="s">
        <v>605</v>
      </c>
    </row>
    <row r="5638" spans="1:19" x14ac:dyDescent="0.2">
      <c r="A5638" t="s">
        <v>6249</v>
      </c>
      <c r="B5638" t="s">
        <v>83</v>
      </c>
      <c r="C5638" t="s">
        <v>602</v>
      </c>
      <c r="D5638">
        <v>3995.76</v>
      </c>
      <c r="E5638" s="37" t="str">
        <f t="shared" si="440"/>
        <v xml:space="preserve"> </v>
      </c>
      <c r="F5638">
        <v>0.01</v>
      </c>
      <c r="G5638" s="37" t="str">
        <f t="shared" si="441"/>
        <v>Normal Discount</v>
      </c>
      <c r="H5638" s="37" t="str">
        <f t="shared" si="442"/>
        <v>Low</v>
      </c>
      <c r="I5638">
        <v>3</v>
      </c>
      <c r="J5638" t="str" cm="1">
        <f t="array" ref="J5638">_xlfn.IFS(I5638&lt;=3,"small",I5638&lt;=6,"Medium",I5638&lt;=9,"Large")</f>
        <v>small</v>
      </c>
      <c r="K5638" s="36">
        <v>45210</v>
      </c>
      <c r="L5638" s="36">
        <v>45212</v>
      </c>
      <c r="M5638" t="s">
        <v>603</v>
      </c>
      <c r="N5638" t="s">
        <v>608</v>
      </c>
      <c r="O5638" s="37" t="str">
        <f t="shared" si="443"/>
        <v>Cash Payment</v>
      </c>
      <c r="P5638">
        <v>892.67</v>
      </c>
      <c r="Q5638" s="37" t="str">
        <f>IF(P5638&gt;500,"High","low")</f>
        <v>High</v>
      </c>
      <c r="R5638" s="37" t="str">
        <f t="shared" si="444"/>
        <v>Good</v>
      </c>
      <c r="S5638" t="s">
        <v>605</v>
      </c>
    </row>
    <row r="5639" spans="1:19" x14ac:dyDescent="0.2">
      <c r="A5639" t="s">
        <v>6250</v>
      </c>
      <c r="B5639" t="s">
        <v>67</v>
      </c>
      <c r="C5639" t="s">
        <v>614</v>
      </c>
      <c r="D5639">
        <v>4183.4399999999996</v>
      </c>
      <c r="E5639" s="37" t="str">
        <f t="shared" si="440"/>
        <v xml:space="preserve"> </v>
      </c>
      <c r="F5639">
        <v>0.41</v>
      </c>
      <c r="G5639" s="37" t="str">
        <f t="shared" si="441"/>
        <v>Heavy Discount</v>
      </c>
      <c r="H5639" s="37" t="str">
        <f t="shared" si="442"/>
        <v>High</v>
      </c>
      <c r="I5639">
        <v>1</v>
      </c>
      <c r="J5639" t="str" cm="1">
        <f t="array" ref="J5639">_xlfn.IFS(I5639&lt;=3,"small",I5639&lt;=6,"Medium",I5639&lt;=9,"Large")</f>
        <v>small</v>
      </c>
      <c r="K5639" s="36">
        <v>45589</v>
      </c>
      <c r="L5639" s="36">
        <v>45595</v>
      </c>
      <c r="M5639" t="s">
        <v>612</v>
      </c>
      <c r="N5639" t="s">
        <v>604</v>
      </c>
      <c r="O5639" s="37" t="str">
        <f t="shared" si="443"/>
        <v>Digital Payment</v>
      </c>
      <c r="P5639">
        <v>248.62</v>
      </c>
      <c r="Q5639" s="37" t="str">
        <f>IF(P5639&gt;500,"High","low")</f>
        <v>low</v>
      </c>
      <c r="R5639" s="37" t="str">
        <f t="shared" si="444"/>
        <v>AVERAGE</v>
      </c>
      <c r="S5639" t="s">
        <v>615</v>
      </c>
    </row>
    <row r="5640" spans="1:19" x14ac:dyDescent="0.2">
      <c r="A5640" t="s">
        <v>6251</v>
      </c>
      <c r="B5640" t="s">
        <v>75</v>
      </c>
      <c r="C5640" t="s">
        <v>614</v>
      </c>
      <c r="D5640">
        <v>1488.87</v>
      </c>
      <c r="E5640" s="37" t="str">
        <f t="shared" si="440"/>
        <v xml:space="preserve"> </v>
      </c>
      <c r="F5640">
        <v>0.14000000000000001</v>
      </c>
      <c r="G5640" s="37" t="str">
        <f t="shared" si="441"/>
        <v>Normal Discount</v>
      </c>
      <c r="H5640" s="37" t="str">
        <f t="shared" si="442"/>
        <v>Low</v>
      </c>
      <c r="I5640">
        <v>2</v>
      </c>
      <c r="J5640" t="str" cm="1">
        <f t="array" ref="J5640">_xlfn.IFS(I5640&lt;=3,"small",I5640&lt;=6,"Medium",I5640&lt;=9,"Large")</f>
        <v>small</v>
      </c>
      <c r="K5640" s="36">
        <v>45115</v>
      </c>
      <c r="L5640" s="36">
        <v>45121</v>
      </c>
      <c r="M5640" t="s">
        <v>612</v>
      </c>
      <c r="N5640" t="s">
        <v>608</v>
      </c>
      <c r="O5640" s="37" t="str">
        <f t="shared" si="443"/>
        <v>Cash Payment</v>
      </c>
      <c r="P5640">
        <v>255.03</v>
      </c>
      <c r="Q5640" s="37" t="str">
        <f>IF(P5640&gt;500,"High","low")</f>
        <v>low</v>
      </c>
      <c r="R5640" s="37" t="str">
        <f t="shared" si="444"/>
        <v>AVERAGE</v>
      </c>
      <c r="S5640" t="s">
        <v>615</v>
      </c>
    </row>
    <row r="5641" spans="1:19" x14ac:dyDescent="0.2">
      <c r="A5641" t="s">
        <v>6252</v>
      </c>
      <c r="B5641" t="s">
        <v>67</v>
      </c>
      <c r="C5641" t="s">
        <v>614</v>
      </c>
      <c r="D5641">
        <v>4123.6400000000003</v>
      </c>
      <c r="E5641" s="37" t="str">
        <f t="shared" si="440"/>
        <v xml:space="preserve"> </v>
      </c>
      <c r="F5641">
        <v>0.09</v>
      </c>
      <c r="G5641" s="37" t="str">
        <f t="shared" si="441"/>
        <v>Normal Discount</v>
      </c>
      <c r="H5641" s="37" t="str">
        <f t="shared" si="442"/>
        <v>Low</v>
      </c>
      <c r="I5641">
        <v>7</v>
      </c>
      <c r="J5641" t="str" cm="1">
        <f t="array" ref="J5641">_xlfn.IFS(I5641&lt;=3,"small",I5641&lt;=6,"Medium",I5641&lt;=9,"Large")</f>
        <v>Large</v>
      </c>
      <c r="K5641" s="36">
        <v>45520</v>
      </c>
      <c r="L5641" s="36">
        <v>45524</v>
      </c>
      <c r="M5641" t="s">
        <v>612</v>
      </c>
      <c r="N5641" t="s">
        <v>599</v>
      </c>
      <c r="O5641" s="37" t="str">
        <f t="shared" si="443"/>
        <v>Digital Payment</v>
      </c>
      <c r="P5641">
        <v>456.89</v>
      </c>
      <c r="Q5641" s="37" t="str">
        <f>IF(P5641&gt;500,"High","low")</f>
        <v>low</v>
      </c>
      <c r="R5641" s="37" t="str">
        <f t="shared" si="444"/>
        <v>AVERAGE</v>
      </c>
      <c r="S5641" t="s">
        <v>628</v>
      </c>
    </row>
    <row r="5642" spans="1:19" x14ac:dyDescent="0.2">
      <c r="A5642" t="s">
        <v>6253</v>
      </c>
      <c r="B5642" t="s">
        <v>67</v>
      </c>
      <c r="C5642" t="s">
        <v>602</v>
      </c>
      <c r="D5642">
        <v>979.56</v>
      </c>
      <c r="E5642" s="37" t="str">
        <f t="shared" si="440"/>
        <v xml:space="preserve"> </v>
      </c>
      <c r="F5642">
        <v>0.22</v>
      </c>
      <c r="G5642" s="37" t="str">
        <f t="shared" si="441"/>
        <v>Normal Discount</v>
      </c>
      <c r="H5642" s="37" t="str">
        <f t="shared" si="442"/>
        <v>Medium</v>
      </c>
      <c r="I5642">
        <v>6</v>
      </c>
      <c r="J5642" t="str" cm="1">
        <f t="array" ref="J5642">_xlfn.IFS(I5642&lt;=3,"small",I5642&lt;=6,"Medium",I5642&lt;=9,"Large")</f>
        <v>Medium</v>
      </c>
      <c r="K5642" s="36">
        <v>44942</v>
      </c>
      <c r="L5642" s="36">
        <v>44947</v>
      </c>
      <c r="M5642" t="s">
        <v>612</v>
      </c>
      <c r="N5642" t="s">
        <v>608</v>
      </c>
      <c r="O5642" s="37" t="str">
        <f t="shared" si="443"/>
        <v>Cash Payment</v>
      </c>
      <c r="P5642">
        <v>266.43</v>
      </c>
      <c r="Q5642" s="37" t="str">
        <f>IF(P5642&gt;500,"High","low")</f>
        <v>low</v>
      </c>
      <c r="R5642" s="37" t="str">
        <f t="shared" si="444"/>
        <v>AVERAGE</v>
      </c>
      <c r="S5642" t="s">
        <v>600</v>
      </c>
    </row>
    <row r="5643" spans="1:19" x14ac:dyDescent="0.2">
      <c r="A5643" t="s">
        <v>6254</v>
      </c>
      <c r="B5643" t="s">
        <v>67</v>
      </c>
      <c r="C5643" t="s">
        <v>614</v>
      </c>
      <c r="D5643">
        <v>3837.58</v>
      </c>
      <c r="E5643" s="37" t="str">
        <f t="shared" si="440"/>
        <v xml:space="preserve"> </v>
      </c>
      <c r="F5643">
        <v>0.45</v>
      </c>
      <c r="G5643" s="37" t="str">
        <f t="shared" si="441"/>
        <v>Heavy Discount</v>
      </c>
      <c r="H5643" s="37" t="str">
        <f t="shared" si="442"/>
        <v>High</v>
      </c>
      <c r="I5643">
        <v>2</v>
      </c>
      <c r="J5643" t="str" cm="1">
        <f t="array" ref="J5643">_xlfn.IFS(I5643&lt;=3,"small",I5643&lt;=6,"Medium",I5643&lt;=9,"Large")</f>
        <v>small</v>
      </c>
      <c r="K5643" s="36">
        <v>45113</v>
      </c>
      <c r="L5643" s="36">
        <v>45116</v>
      </c>
      <c r="M5643" t="s">
        <v>612</v>
      </c>
      <c r="N5643" t="s">
        <v>604</v>
      </c>
      <c r="O5643" s="37" t="str">
        <f t="shared" si="443"/>
        <v>Digital Payment</v>
      </c>
      <c r="P5643">
        <v>232.5</v>
      </c>
      <c r="Q5643" s="37" t="str">
        <f>IF(P5643&gt;500,"High","low")</f>
        <v>low</v>
      </c>
      <c r="R5643" s="37" t="str">
        <f t="shared" si="444"/>
        <v>AVERAGE</v>
      </c>
      <c r="S5643" t="s">
        <v>615</v>
      </c>
    </row>
    <row r="5644" spans="1:19" x14ac:dyDescent="0.2">
      <c r="A5644" t="s">
        <v>6255</v>
      </c>
      <c r="B5644" t="s">
        <v>83</v>
      </c>
      <c r="C5644" t="s">
        <v>597</v>
      </c>
      <c r="D5644">
        <v>1319.04</v>
      </c>
      <c r="E5644" s="37" t="str">
        <f t="shared" si="440"/>
        <v xml:space="preserve"> </v>
      </c>
      <c r="F5644">
        <v>0.39</v>
      </c>
      <c r="G5644" s="37" t="str">
        <f t="shared" si="441"/>
        <v>Heavy Discount</v>
      </c>
      <c r="H5644" s="37" t="str">
        <f t="shared" si="442"/>
        <v>Medium</v>
      </c>
      <c r="I5644">
        <v>1</v>
      </c>
      <c r="J5644" t="str" cm="1">
        <f t="array" ref="J5644">_xlfn.IFS(I5644&lt;=3,"small",I5644&lt;=6,"Medium",I5644&lt;=9,"Large")</f>
        <v>small</v>
      </c>
      <c r="K5644" s="36">
        <v>45102</v>
      </c>
      <c r="L5644" s="36">
        <v>45106</v>
      </c>
      <c r="M5644" t="s">
        <v>612</v>
      </c>
      <c r="N5644" t="s">
        <v>604</v>
      </c>
      <c r="O5644" s="37" t="str">
        <f t="shared" si="443"/>
        <v>Digital Payment</v>
      </c>
      <c r="P5644">
        <v>103.2</v>
      </c>
      <c r="Q5644" s="37" t="str">
        <f>IF(P5644&gt;500,"High","low")</f>
        <v>low</v>
      </c>
      <c r="R5644" s="37" t="str">
        <f t="shared" si="444"/>
        <v>AVERAGE</v>
      </c>
      <c r="S5644" t="s">
        <v>628</v>
      </c>
    </row>
    <row r="5645" spans="1:19" x14ac:dyDescent="0.2">
      <c r="A5645" t="s">
        <v>6256</v>
      </c>
      <c r="B5645" t="s">
        <v>90</v>
      </c>
      <c r="C5645" t="s">
        <v>614</v>
      </c>
      <c r="D5645">
        <v>1559.86</v>
      </c>
      <c r="E5645" s="37" t="str">
        <f t="shared" si="440"/>
        <v xml:space="preserve"> </v>
      </c>
      <c r="F5645">
        <v>0.48</v>
      </c>
      <c r="G5645" s="37" t="str">
        <f t="shared" si="441"/>
        <v>Heavy Discount</v>
      </c>
      <c r="H5645" s="37" t="str">
        <f t="shared" si="442"/>
        <v>High</v>
      </c>
      <c r="I5645">
        <v>9</v>
      </c>
      <c r="J5645" t="str" cm="1">
        <f t="array" ref="J5645">_xlfn.IFS(I5645&lt;=3,"small",I5645&lt;=6,"Medium",I5645&lt;=9,"Large")</f>
        <v>Large</v>
      </c>
      <c r="K5645" s="36">
        <v>45199</v>
      </c>
      <c r="L5645" s="36">
        <v>45200</v>
      </c>
      <c r="M5645" t="s">
        <v>598</v>
      </c>
      <c r="N5645" t="s">
        <v>604</v>
      </c>
      <c r="O5645" s="37" t="str">
        <f t="shared" si="443"/>
        <v>Digital Payment</v>
      </c>
      <c r="P5645">
        <v>189.61</v>
      </c>
      <c r="Q5645" s="37" t="str">
        <f>IF(P5645&gt;500,"High","low")</f>
        <v>low</v>
      </c>
      <c r="R5645" s="37" t="str">
        <f t="shared" si="444"/>
        <v>AVERAGE</v>
      </c>
      <c r="S5645" t="s">
        <v>600</v>
      </c>
    </row>
    <row r="5646" spans="1:19" x14ac:dyDescent="0.2">
      <c r="A5646" t="s">
        <v>6257</v>
      </c>
      <c r="B5646" t="s">
        <v>90</v>
      </c>
      <c r="C5646" t="s">
        <v>607</v>
      </c>
      <c r="D5646">
        <v>4277.09</v>
      </c>
      <c r="E5646" s="37" t="str">
        <f t="shared" si="440"/>
        <v>Excellent Order</v>
      </c>
      <c r="F5646">
        <v>0.27</v>
      </c>
      <c r="G5646" s="37" t="str">
        <f t="shared" si="441"/>
        <v>Normal Discount</v>
      </c>
      <c r="H5646" s="37" t="str">
        <f t="shared" si="442"/>
        <v>Medium</v>
      </c>
      <c r="I5646">
        <v>1</v>
      </c>
      <c r="J5646" t="str" cm="1">
        <f t="array" ref="J5646">_xlfn.IFS(I5646&lt;=3,"small",I5646&lt;=6,"Medium",I5646&lt;=9,"Large")</f>
        <v>small</v>
      </c>
      <c r="K5646" s="36">
        <v>45421</v>
      </c>
      <c r="L5646" s="36">
        <v>45428</v>
      </c>
      <c r="M5646" t="s">
        <v>603</v>
      </c>
      <c r="N5646" t="s">
        <v>608</v>
      </c>
      <c r="O5646" s="37" t="str">
        <f t="shared" si="443"/>
        <v>Cash Payment</v>
      </c>
      <c r="P5646">
        <v>963.26</v>
      </c>
      <c r="Q5646" s="37" t="str">
        <f>IF(P5646&gt;500,"High","low")</f>
        <v>High</v>
      </c>
      <c r="R5646" s="37" t="str">
        <f t="shared" si="444"/>
        <v>Good</v>
      </c>
      <c r="S5646" t="s">
        <v>605</v>
      </c>
    </row>
    <row r="5647" spans="1:19" x14ac:dyDescent="0.2">
      <c r="A5647" t="s">
        <v>6258</v>
      </c>
      <c r="B5647" t="s">
        <v>75</v>
      </c>
      <c r="C5647" t="s">
        <v>614</v>
      </c>
      <c r="D5647">
        <v>2158.37</v>
      </c>
      <c r="E5647" s="37" t="str">
        <f t="shared" si="440"/>
        <v xml:space="preserve"> </v>
      </c>
      <c r="F5647">
        <v>0.26</v>
      </c>
      <c r="G5647" s="37" t="str">
        <f t="shared" si="441"/>
        <v>Normal Discount</v>
      </c>
      <c r="H5647" s="37" t="str">
        <f t="shared" si="442"/>
        <v>Medium</v>
      </c>
      <c r="I5647">
        <v>5</v>
      </c>
      <c r="J5647" t="str" cm="1">
        <f t="array" ref="J5647">_xlfn.IFS(I5647&lt;=3,"small",I5647&lt;=6,"Medium",I5647&lt;=9,"Large")</f>
        <v>Medium</v>
      </c>
      <c r="K5647" s="36">
        <v>45473</v>
      </c>
      <c r="L5647" s="36">
        <v>45476</v>
      </c>
      <c r="M5647" t="s">
        <v>598</v>
      </c>
      <c r="N5647" t="s">
        <v>599</v>
      </c>
      <c r="O5647" s="37" t="str">
        <f t="shared" si="443"/>
        <v>Digital Payment</v>
      </c>
      <c r="P5647">
        <v>613.08000000000004</v>
      </c>
      <c r="Q5647" s="37" t="str">
        <f>IF(P5647&gt;500,"High","low")</f>
        <v>High</v>
      </c>
      <c r="R5647" s="37" t="str">
        <f t="shared" si="444"/>
        <v>Good</v>
      </c>
      <c r="S5647" t="s">
        <v>615</v>
      </c>
    </row>
    <row r="5648" spans="1:19" x14ac:dyDescent="0.2">
      <c r="A5648" t="s">
        <v>6259</v>
      </c>
      <c r="B5648" t="s">
        <v>67</v>
      </c>
      <c r="C5648" t="s">
        <v>614</v>
      </c>
      <c r="D5648">
        <v>4953.7700000000004</v>
      </c>
      <c r="E5648" s="37" t="str">
        <f t="shared" si="440"/>
        <v xml:space="preserve"> </v>
      </c>
      <c r="F5648">
        <v>0.01</v>
      </c>
      <c r="G5648" s="37" t="str">
        <f t="shared" si="441"/>
        <v>Normal Discount</v>
      </c>
      <c r="H5648" s="37" t="str">
        <f t="shared" si="442"/>
        <v>Low</v>
      </c>
      <c r="I5648">
        <v>9</v>
      </c>
      <c r="J5648" t="str" cm="1">
        <f t="array" ref="J5648">_xlfn.IFS(I5648&lt;=3,"small",I5648&lt;=6,"Medium",I5648&lt;=9,"Large")</f>
        <v>Large</v>
      </c>
      <c r="K5648" s="36">
        <v>45533</v>
      </c>
      <c r="L5648" s="36">
        <v>45539</v>
      </c>
      <c r="M5648" t="s">
        <v>598</v>
      </c>
      <c r="N5648" t="s">
        <v>604</v>
      </c>
      <c r="O5648" s="37" t="str">
        <f t="shared" si="443"/>
        <v>Digital Payment</v>
      </c>
      <c r="P5648">
        <v>728.42</v>
      </c>
      <c r="Q5648" s="37" t="str">
        <f>IF(P5648&gt;500,"High","low")</f>
        <v>High</v>
      </c>
      <c r="R5648" s="37" t="str">
        <f t="shared" si="444"/>
        <v>Good</v>
      </c>
      <c r="S5648" t="s">
        <v>615</v>
      </c>
    </row>
    <row r="5649" spans="1:19" x14ac:dyDescent="0.2">
      <c r="A5649" t="s">
        <v>6260</v>
      </c>
      <c r="B5649" t="s">
        <v>83</v>
      </c>
      <c r="C5649" t="s">
        <v>614</v>
      </c>
      <c r="D5649">
        <v>844.52</v>
      </c>
      <c r="E5649" s="37" t="str">
        <f t="shared" si="440"/>
        <v xml:space="preserve"> </v>
      </c>
      <c r="F5649">
        <v>0.09</v>
      </c>
      <c r="G5649" s="37" t="str">
        <f t="shared" si="441"/>
        <v>Normal Discount</v>
      </c>
      <c r="H5649" s="37" t="str">
        <f t="shared" si="442"/>
        <v>Low</v>
      </c>
      <c r="I5649">
        <v>9</v>
      </c>
      <c r="J5649" t="str" cm="1">
        <f t="array" ref="J5649">_xlfn.IFS(I5649&lt;=3,"small",I5649&lt;=6,"Medium",I5649&lt;=9,"Large")</f>
        <v>Large</v>
      </c>
      <c r="K5649" s="36">
        <v>45369</v>
      </c>
      <c r="L5649" s="36">
        <v>45374</v>
      </c>
      <c r="M5649" t="s">
        <v>603</v>
      </c>
      <c r="N5649" t="s">
        <v>608</v>
      </c>
      <c r="O5649" s="37" t="str">
        <f t="shared" si="443"/>
        <v>Cash Payment</v>
      </c>
      <c r="P5649">
        <v>114.36</v>
      </c>
      <c r="Q5649" s="37" t="str">
        <f>IF(P5649&gt;500,"High","low")</f>
        <v>low</v>
      </c>
      <c r="R5649" s="37" t="str">
        <f t="shared" si="444"/>
        <v>AVERAGE</v>
      </c>
      <c r="S5649" t="s">
        <v>615</v>
      </c>
    </row>
    <row r="5650" spans="1:19" x14ac:dyDescent="0.2">
      <c r="A5650" t="s">
        <v>6261</v>
      </c>
      <c r="B5650" t="s">
        <v>67</v>
      </c>
      <c r="C5650" t="s">
        <v>614</v>
      </c>
      <c r="D5650">
        <v>2370.41</v>
      </c>
      <c r="E5650" s="37" t="str">
        <f t="shared" si="440"/>
        <v xml:space="preserve"> </v>
      </c>
      <c r="F5650">
        <v>0.25</v>
      </c>
      <c r="G5650" s="37" t="str">
        <f t="shared" si="441"/>
        <v>Normal Discount</v>
      </c>
      <c r="H5650" s="37" t="str">
        <f t="shared" si="442"/>
        <v>Medium</v>
      </c>
      <c r="I5650">
        <v>6</v>
      </c>
      <c r="J5650" t="str" cm="1">
        <f t="array" ref="J5650">_xlfn.IFS(I5650&lt;=3,"small",I5650&lt;=6,"Medium",I5650&lt;=9,"Large")</f>
        <v>Medium</v>
      </c>
      <c r="K5650" s="36">
        <v>45142</v>
      </c>
      <c r="L5650" s="36">
        <v>45146</v>
      </c>
      <c r="M5650" t="s">
        <v>598</v>
      </c>
      <c r="N5650" t="s">
        <v>599</v>
      </c>
      <c r="O5650" s="37" t="str">
        <f t="shared" si="443"/>
        <v>Digital Payment</v>
      </c>
      <c r="P5650">
        <v>582.35</v>
      </c>
      <c r="Q5650" s="37" t="str">
        <f>IF(P5650&gt;500,"High","low")</f>
        <v>High</v>
      </c>
      <c r="R5650" s="37" t="str">
        <f t="shared" si="444"/>
        <v>Good</v>
      </c>
      <c r="S5650" t="s">
        <v>605</v>
      </c>
    </row>
    <row r="5651" spans="1:19" x14ac:dyDescent="0.2">
      <c r="A5651" t="s">
        <v>6262</v>
      </c>
      <c r="B5651" t="s">
        <v>67</v>
      </c>
      <c r="C5651" t="s">
        <v>607</v>
      </c>
      <c r="D5651">
        <v>3689.01</v>
      </c>
      <c r="E5651" s="37" t="str">
        <f t="shared" si="440"/>
        <v xml:space="preserve"> </v>
      </c>
      <c r="F5651">
        <v>0.38</v>
      </c>
      <c r="G5651" s="37" t="str">
        <f t="shared" si="441"/>
        <v>Heavy Discount</v>
      </c>
      <c r="H5651" s="37" t="str">
        <f t="shared" si="442"/>
        <v>Medium</v>
      </c>
      <c r="I5651">
        <v>3</v>
      </c>
      <c r="J5651" t="str" cm="1">
        <f t="array" ref="J5651">_xlfn.IFS(I5651&lt;=3,"small",I5651&lt;=6,"Medium",I5651&lt;=9,"Large")</f>
        <v>small</v>
      </c>
      <c r="K5651" s="36">
        <v>45607</v>
      </c>
      <c r="L5651" s="36">
        <v>45614</v>
      </c>
      <c r="M5651" t="s">
        <v>603</v>
      </c>
      <c r="N5651" t="s">
        <v>608</v>
      </c>
      <c r="O5651" s="37" t="str">
        <f t="shared" si="443"/>
        <v>Cash Payment</v>
      </c>
      <c r="P5651">
        <v>1012.83</v>
      </c>
      <c r="Q5651" s="37" t="str">
        <f>IF(P5651&gt;500,"High","low")</f>
        <v>High</v>
      </c>
      <c r="R5651" s="37" t="str">
        <f t="shared" si="444"/>
        <v>Excellent</v>
      </c>
      <c r="S5651" t="s">
        <v>620</v>
      </c>
    </row>
    <row r="5652" spans="1:19" x14ac:dyDescent="0.2">
      <c r="A5652" t="s">
        <v>6263</v>
      </c>
      <c r="B5652" t="s">
        <v>83</v>
      </c>
      <c r="C5652" t="s">
        <v>617</v>
      </c>
      <c r="D5652">
        <v>126.3</v>
      </c>
      <c r="E5652" s="37" t="str">
        <f t="shared" si="440"/>
        <v xml:space="preserve"> </v>
      </c>
      <c r="F5652">
        <v>0.41</v>
      </c>
      <c r="G5652" s="37" t="str">
        <f t="shared" si="441"/>
        <v>Heavy Discount</v>
      </c>
      <c r="H5652" s="37" t="str">
        <f t="shared" si="442"/>
        <v>High</v>
      </c>
      <c r="I5652">
        <v>2</v>
      </c>
      <c r="J5652" t="str" cm="1">
        <f t="array" ref="J5652">_xlfn.IFS(I5652&lt;=3,"small",I5652&lt;=6,"Medium",I5652&lt;=9,"Large")</f>
        <v>small</v>
      </c>
      <c r="K5652" s="36">
        <v>45219</v>
      </c>
      <c r="L5652" s="36">
        <v>45223</v>
      </c>
      <c r="M5652" t="s">
        <v>603</v>
      </c>
      <c r="N5652" t="s">
        <v>604</v>
      </c>
      <c r="O5652" s="37" t="str">
        <f t="shared" si="443"/>
        <v>Digital Payment</v>
      </c>
      <c r="P5652">
        <v>9.08</v>
      </c>
      <c r="Q5652" s="37" t="str">
        <f>IF(P5652&gt;500,"High","low")</f>
        <v>low</v>
      </c>
      <c r="R5652" s="37" t="str">
        <f t="shared" si="444"/>
        <v>AVERAGE</v>
      </c>
      <c r="S5652" t="s">
        <v>615</v>
      </c>
    </row>
    <row r="5653" spans="1:19" x14ac:dyDescent="0.2">
      <c r="A5653" t="s">
        <v>6264</v>
      </c>
      <c r="B5653" t="s">
        <v>90</v>
      </c>
      <c r="C5653" t="s">
        <v>614</v>
      </c>
      <c r="D5653">
        <v>844.09</v>
      </c>
      <c r="E5653" s="37" t="str">
        <f t="shared" si="440"/>
        <v xml:space="preserve"> </v>
      </c>
      <c r="F5653">
        <v>0.14000000000000001</v>
      </c>
      <c r="G5653" s="37" t="str">
        <f t="shared" si="441"/>
        <v>Normal Discount</v>
      </c>
      <c r="H5653" s="37" t="str">
        <f t="shared" si="442"/>
        <v>Low</v>
      </c>
      <c r="I5653">
        <v>3</v>
      </c>
      <c r="J5653" t="str" cm="1">
        <f t="array" ref="J5653">_xlfn.IFS(I5653&lt;=3,"small",I5653&lt;=6,"Medium",I5653&lt;=9,"Large")</f>
        <v>small</v>
      </c>
      <c r="K5653" s="36">
        <v>45039</v>
      </c>
      <c r="L5653" s="36">
        <v>45041</v>
      </c>
      <c r="M5653" t="s">
        <v>603</v>
      </c>
      <c r="N5653" t="s">
        <v>599</v>
      </c>
      <c r="O5653" s="37" t="str">
        <f t="shared" si="443"/>
        <v>Digital Payment</v>
      </c>
      <c r="P5653">
        <v>250.3</v>
      </c>
      <c r="Q5653" s="37" t="str">
        <f>IF(P5653&gt;500,"High","low")</f>
        <v>low</v>
      </c>
      <c r="R5653" s="37" t="str">
        <f t="shared" si="444"/>
        <v>AVERAGE</v>
      </c>
      <c r="S5653" t="s">
        <v>615</v>
      </c>
    </row>
    <row r="5654" spans="1:19" x14ac:dyDescent="0.2">
      <c r="A5654" t="s">
        <v>6265</v>
      </c>
      <c r="B5654" t="s">
        <v>67</v>
      </c>
      <c r="C5654" t="s">
        <v>597</v>
      </c>
      <c r="D5654">
        <v>199.75</v>
      </c>
      <c r="E5654" s="37" t="str">
        <f t="shared" si="440"/>
        <v xml:space="preserve"> </v>
      </c>
      <c r="F5654">
        <v>0.36</v>
      </c>
      <c r="G5654" s="37" t="str">
        <f t="shared" si="441"/>
        <v>Heavy Discount</v>
      </c>
      <c r="H5654" s="37" t="str">
        <f t="shared" si="442"/>
        <v>Medium</v>
      </c>
      <c r="I5654">
        <v>1</v>
      </c>
      <c r="J5654" t="str" cm="1">
        <f t="array" ref="J5654">_xlfn.IFS(I5654&lt;=3,"small",I5654&lt;=6,"Medium",I5654&lt;=9,"Large")</f>
        <v>small</v>
      </c>
      <c r="K5654" s="36">
        <v>44956</v>
      </c>
      <c r="L5654" s="36">
        <v>44962</v>
      </c>
      <c r="M5654" t="s">
        <v>603</v>
      </c>
      <c r="N5654" t="s">
        <v>599</v>
      </c>
      <c r="O5654" s="37" t="str">
        <f t="shared" si="443"/>
        <v>Digital Payment</v>
      </c>
      <c r="P5654">
        <v>35.44</v>
      </c>
      <c r="Q5654" s="37" t="str">
        <f>IF(P5654&gt;500,"High","low")</f>
        <v>low</v>
      </c>
      <c r="R5654" s="37" t="str">
        <f t="shared" si="444"/>
        <v>AVERAGE</v>
      </c>
      <c r="S5654" t="s">
        <v>605</v>
      </c>
    </row>
    <row r="5655" spans="1:19" x14ac:dyDescent="0.2">
      <c r="A5655" t="s">
        <v>6266</v>
      </c>
      <c r="B5655" t="s">
        <v>67</v>
      </c>
      <c r="C5655" t="s">
        <v>607</v>
      </c>
      <c r="D5655">
        <v>4965.1000000000004</v>
      </c>
      <c r="E5655" s="37" t="str">
        <f t="shared" si="440"/>
        <v>Excellent Order</v>
      </c>
      <c r="F5655">
        <v>0.41</v>
      </c>
      <c r="G5655" s="37" t="str">
        <f t="shared" si="441"/>
        <v>Heavy Discount</v>
      </c>
      <c r="H5655" s="37" t="str">
        <f t="shared" si="442"/>
        <v>High</v>
      </c>
      <c r="I5655">
        <v>3</v>
      </c>
      <c r="J5655" t="str" cm="1">
        <f t="array" ref="J5655">_xlfn.IFS(I5655&lt;=3,"small",I5655&lt;=6,"Medium",I5655&lt;=9,"Large")</f>
        <v>small</v>
      </c>
      <c r="K5655" s="36">
        <v>45264</v>
      </c>
      <c r="L5655" s="36">
        <v>45269</v>
      </c>
      <c r="M5655" t="s">
        <v>612</v>
      </c>
      <c r="N5655" t="s">
        <v>599</v>
      </c>
      <c r="O5655" s="37" t="str">
        <f t="shared" si="443"/>
        <v>Digital Payment</v>
      </c>
      <c r="P5655">
        <v>1482.39</v>
      </c>
      <c r="Q5655" s="37" t="str">
        <f>IF(P5655&gt;500,"High","low")</f>
        <v>High</v>
      </c>
      <c r="R5655" s="37" t="str">
        <f t="shared" si="444"/>
        <v>Excellent</v>
      </c>
      <c r="S5655" t="s">
        <v>620</v>
      </c>
    </row>
    <row r="5656" spans="1:19" x14ac:dyDescent="0.2">
      <c r="A5656" t="s">
        <v>6267</v>
      </c>
      <c r="B5656" t="s">
        <v>90</v>
      </c>
      <c r="C5656" t="s">
        <v>617</v>
      </c>
      <c r="D5656">
        <v>3827.06</v>
      </c>
      <c r="E5656" s="37" t="str">
        <f t="shared" si="440"/>
        <v xml:space="preserve"> </v>
      </c>
      <c r="F5656">
        <v>0.19</v>
      </c>
      <c r="G5656" s="37" t="str">
        <f t="shared" si="441"/>
        <v>Normal Discount</v>
      </c>
      <c r="H5656" s="37" t="str">
        <f t="shared" si="442"/>
        <v>Low</v>
      </c>
      <c r="I5656">
        <v>2</v>
      </c>
      <c r="J5656" t="str" cm="1">
        <f t="array" ref="J5656">_xlfn.IFS(I5656&lt;=3,"small",I5656&lt;=6,"Medium",I5656&lt;=9,"Large")</f>
        <v>small</v>
      </c>
      <c r="K5656" s="36">
        <v>45145</v>
      </c>
      <c r="L5656" s="36">
        <v>45151</v>
      </c>
      <c r="M5656" t="s">
        <v>603</v>
      </c>
      <c r="N5656" t="s">
        <v>604</v>
      </c>
      <c r="O5656" s="37" t="str">
        <f t="shared" si="443"/>
        <v>Digital Payment</v>
      </c>
      <c r="P5656">
        <v>203.52</v>
      </c>
      <c r="Q5656" s="37" t="str">
        <f>IF(P5656&gt;500,"High","low")</f>
        <v>low</v>
      </c>
      <c r="R5656" s="37" t="str">
        <f t="shared" si="444"/>
        <v>AVERAGE</v>
      </c>
      <c r="S5656" t="s">
        <v>620</v>
      </c>
    </row>
    <row r="5657" spans="1:19" x14ac:dyDescent="0.2">
      <c r="A5657" t="s">
        <v>6268</v>
      </c>
      <c r="B5657" t="s">
        <v>83</v>
      </c>
      <c r="C5657" t="s">
        <v>614</v>
      </c>
      <c r="D5657">
        <v>1930.44</v>
      </c>
      <c r="E5657" s="37" t="str">
        <f t="shared" si="440"/>
        <v xml:space="preserve"> </v>
      </c>
      <c r="F5657">
        <v>0.35</v>
      </c>
      <c r="G5657" s="37" t="str">
        <f t="shared" si="441"/>
        <v>Heavy Discount</v>
      </c>
      <c r="H5657" s="37" t="str">
        <f t="shared" si="442"/>
        <v>Medium</v>
      </c>
      <c r="I5657">
        <v>8</v>
      </c>
      <c r="J5657" t="str" cm="1">
        <f t="array" ref="J5657">_xlfn.IFS(I5657&lt;=3,"small",I5657&lt;=6,"Medium",I5657&lt;=9,"Large")</f>
        <v>Large</v>
      </c>
      <c r="K5657" s="36">
        <v>45326</v>
      </c>
      <c r="L5657" s="36">
        <v>45327</v>
      </c>
      <c r="M5657" t="s">
        <v>598</v>
      </c>
      <c r="N5657" t="s">
        <v>599</v>
      </c>
      <c r="O5657" s="37" t="str">
        <f t="shared" si="443"/>
        <v>Digital Payment</v>
      </c>
      <c r="P5657">
        <v>526.52</v>
      </c>
      <c r="Q5657" s="37" t="str">
        <f>IF(P5657&gt;500,"High","low")</f>
        <v>High</v>
      </c>
      <c r="R5657" s="37" t="str">
        <f t="shared" si="444"/>
        <v>Good</v>
      </c>
      <c r="S5657" t="s">
        <v>609</v>
      </c>
    </row>
    <row r="5658" spans="1:19" x14ac:dyDescent="0.2">
      <c r="A5658" t="s">
        <v>6269</v>
      </c>
      <c r="B5658" t="s">
        <v>75</v>
      </c>
      <c r="C5658" t="s">
        <v>617</v>
      </c>
      <c r="D5658">
        <v>865.8</v>
      </c>
      <c r="E5658" s="37" t="str">
        <f t="shared" si="440"/>
        <v xml:space="preserve"> </v>
      </c>
      <c r="F5658">
        <v>0.22</v>
      </c>
      <c r="G5658" s="37" t="str">
        <f t="shared" si="441"/>
        <v>Normal Discount</v>
      </c>
      <c r="H5658" s="37" t="str">
        <f t="shared" si="442"/>
        <v>Medium</v>
      </c>
      <c r="I5658">
        <v>7</v>
      </c>
      <c r="J5658" t="str" cm="1">
        <f t="array" ref="J5658">_xlfn.IFS(I5658&lt;=3,"small",I5658&lt;=6,"Medium",I5658&lt;=9,"Large")</f>
        <v>Large</v>
      </c>
      <c r="K5658" s="36">
        <v>44973</v>
      </c>
      <c r="L5658" s="36">
        <v>44979</v>
      </c>
      <c r="M5658" t="s">
        <v>598</v>
      </c>
      <c r="N5658" t="s">
        <v>599</v>
      </c>
      <c r="O5658" s="37" t="str">
        <f t="shared" si="443"/>
        <v>Digital Payment</v>
      </c>
      <c r="P5658">
        <v>64.650000000000006</v>
      </c>
      <c r="Q5658" s="37" t="str">
        <f>IF(P5658&gt;500,"High","low")</f>
        <v>low</v>
      </c>
      <c r="R5658" s="37" t="str">
        <f t="shared" si="444"/>
        <v>AVERAGE</v>
      </c>
      <c r="S5658" t="s">
        <v>628</v>
      </c>
    </row>
    <row r="5659" spans="1:19" x14ac:dyDescent="0.2">
      <c r="A5659" t="s">
        <v>6270</v>
      </c>
      <c r="B5659" t="s">
        <v>90</v>
      </c>
      <c r="C5659" t="s">
        <v>597</v>
      </c>
      <c r="D5659">
        <v>542.88</v>
      </c>
      <c r="E5659" s="37" t="str">
        <f t="shared" si="440"/>
        <v xml:space="preserve"> </v>
      </c>
      <c r="F5659">
        <v>0.49</v>
      </c>
      <c r="G5659" s="37" t="str">
        <f t="shared" si="441"/>
        <v>Heavy Discount</v>
      </c>
      <c r="H5659" s="37" t="str">
        <f t="shared" si="442"/>
        <v>High</v>
      </c>
      <c r="I5659">
        <v>1</v>
      </c>
      <c r="J5659" t="str" cm="1">
        <f t="array" ref="J5659">_xlfn.IFS(I5659&lt;=3,"small",I5659&lt;=6,"Medium",I5659&lt;=9,"Large")</f>
        <v>small</v>
      </c>
      <c r="K5659" s="36">
        <v>44967</v>
      </c>
      <c r="L5659" s="36">
        <v>44972</v>
      </c>
      <c r="M5659" t="s">
        <v>612</v>
      </c>
      <c r="N5659" t="s">
        <v>599</v>
      </c>
      <c r="O5659" s="37" t="str">
        <f t="shared" si="443"/>
        <v>Digital Payment</v>
      </c>
      <c r="P5659">
        <v>132.71</v>
      </c>
      <c r="Q5659" s="37" t="str">
        <f>IF(P5659&gt;500,"High","low")</f>
        <v>low</v>
      </c>
      <c r="R5659" s="37" t="str">
        <f t="shared" si="444"/>
        <v>AVERAGE</v>
      </c>
      <c r="S5659" t="s">
        <v>600</v>
      </c>
    </row>
    <row r="5660" spans="1:19" x14ac:dyDescent="0.2">
      <c r="A5660" t="s">
        <v>6271</v>
      </c>
      <c r="B5660" t="s">
        <v>75</v>
      </c>
      <c r="C5660" t="s">
        <v>607</v>
      </c>
      <c r="D5660">
        <v>2706.35</v>
      </c>
      <c r="E5660" s="37" t="str">
        <f t="shared" si="440"/>
        <v xml:space="preserve"> </v>
      </c>
      <c r="F5660">
        <v>0</v>
      </c>
      <c r="G5660" s="37" t="str">
        <f t="shared" si="441"/>
        <v>Normal Discount</v>
      </c>
      <c r="H5660" s="37" t="str">
        <f t="shared" si="442"/>
        <v>Low</v>
      </c>
      <c r="I5660">
        <v>1</v>
      </c>
      <c r="J5660" t="str" cm="1">
        <f t="array" ref="J5660">_xlfn.IFS(I5660&lt;=3,"small",I5660&lt;=6,"Medium",I5660&lt;=9,"Large")</f>
        <v>small</v>
      </c>
      <c r="K5660" s="36">
        <v>45179</v>
      </c>
      <c r="L5660" s="36">
        <v>45185</v>
      </c>
      <c r="M5660" t="s">
        <v>612</v>
      </c>
      <c r="N5660" t="s">
        <v>608</v>
      </c>
      <c r="O5660" s="37" t="str">
        <f t="shared" si="443"/>
        <v>Cash Payment</v>
      </c>
      <c r="P5660">
        <v>135.51</v>
      </c>
      <c r="Q5660" s="37" t="str">
        <f>IF(P5660&gt;500,"High","low")</f>
        <v>low</v>
      </c>
      <c r="R5660" s="37" t="str">
        <f t="shared" si="444"/>
        <v>AVERAGE</v>
      </c>
      <c r="S5660" t="s">
        <v>600</v>
      </c>
    </row>
    <row r="5661" spans="1:19" x14ac:dyDescent="0.2">
      <c r="A5661" t="s">
        <v>6272</v>
      </c>
      <c r="B5661" t="s">
        <v>75</v>
      </c>
      <c r="C5661" t="s">
        <v>607</v>
      </c>
      <c r="D5661">
        <v>4881.87</v>
      </c>
      <c r="E5661" s="37" t="str">
        <f t="shared" si="440"/>
        <v xml:space="preserve"> </v>
      </c>
      <c r="F5661">
        <v>0.21</v>
      </c>
      <c r="G5661" s="37" t="str">
        <f t="shared" si="441"/>
        <v>Normal Discount</v>
      </c>
      <c r="H5661" s="37" t="str">
        <f t="shared" si="442"/>
        <v>Medium</v>
      </c>
      <c r="I5661">
        <v>5</v>
      </c>
      <c r="J5661" t="str" cm="1">
        <f t="array" ref="J5661">_xlfn.IFS(I5661&lt;=3,"small",I5661&lt;=6,"Medium",I5661&lt;=9,"Large")</f>
        <v>Medium</v>
      </c>
      <c r="K5661" s="36">
        <v>45279</v>
      </c>
      <c r="L5661" s="36">
        <v>45286</v>
      </c>
      <c r="M5661" t="s">
        <v>612</v>
      </c>
      <c r="N5661" t="s">
        <v>599</v>
      </c>
      <c r="O5661" s="37" t="str">
        <f t="shared" si="443"/>
        <v>Digital Payment</v>
      </c>
      <c r="P5661">
        <v>410.5</v>
      </c>
      <c r="Q5661" s="37" t="str">
        <f>IF(P5661&gt;500,"High","low")</f>
        <v>low</v>
      </c>
      <c r="R5661" s="37" t="str">
        <f t="shared" si="444"/>
        <v>AVERAGE</v>
      </c>
      <c r="S5661" t="s">
        <v>628</v>
      </c>
    </row>
    <row r="5662" spans="1:19" x14ac:dyDescent="0.2">
      <c r="A5662" t="s">
        <v>6273</v>
      </c>
      <c r="B5662" t="s">
        <v>90</v>
      </c>
      <c r="C5662" t="s">
        <v>617</v>
      </c>
      <c r="D5662">
        <v>3405.59</v>
      </c>
      <c r="E5662" s="37" t="str">
        <f t="shared" si="440"/>
        <v xml:space="preserve"> </v>
      </c>
      <c r="F5662">
        <v>0.13</v>
      </c>
      <c r="G5662" s="37" t="str">
        <f t="shared" si="441"/>
        <v>Normal Discount</v>
      </c>
      <c r="H5662" s="37" t="str">
        <f t="shared" si="442"/>
        <v>Low</v>
      </c>
      <c r="I5662">
        <v>4</v>
      </c>
      <c r="J5662" t="str" cm="1">
        <f t="array" ref="J5662">_xlfn.IFS(I5662&lt;=3,"small",I5662&lt;=6,"Medium",I5662&lt;=9,"Large")</f>
        <v>Medium</v>
      </c>
      <c r="K5662" s="36">
        <v>45550</v>
      </c>
      <c r="L5662" s="36">
        <v>45554</v>
      </c>
      <c r="M5662" t="s">
        <v>598</v>
      </c>
      <c r="N5662" t="s">
        <v>608</v>
      </c>
      <c r="O5662" s="37" t="str">
        <f t="shared" si="443"/>
        <v>Cash Payment</v>
      </c>
      <c r="P5662">
        <v>307.32</v>
      </c>
      <c r="Q5662" s="37" t="str">
        <f>IF(P5662&gt;500,"High","low")</f>
        <v>low</v>
      </c>
      <c r="R5662" s="37" t="str">
        <f t="shared" si="444"/>
        <v>AVERAGE</v>
      </c>
      <c r="S5662" t="s">
        <v>615</v>
      </c>
    </row>
    <row r="5663" spans="1:19" x14ac:dyDescent="0.2">
      <c r="A5663" t="s">
        <v>6274</v>
      </c>
      <c r="B5663" t="s">
        <v>67</v>
      </c>
      <c r="C5663" t="s">
        <v>614</v>
      </c>
      <c r="D5663">
        <v>1889.18</v>
      </c>
      <c r="E5663" s="37" t="str">
        <f t="shared" si="440"/>
        <v xml:space="preserve"> </v>
      </c>
      <c r="F5663">
        <v>0.42</v>
      </c>
      <c r="G5663" s="37" t="str">
        <f t="shared" si="441"/>
        <v>Heavy Discount</v>
      </c>
      <c r="H5663" s="37" t="str">
        <f t="shared" si="442"/>
        <v>High</v>
      </c>
      <c r="I5663">
        <v>8</v>
      </c>
      <c r="J5663" t="str" cm="1">
        <f t="array" ref="J5663">_xlfn.IFS(I5663&lt;=3,"small",I5663&lt;=6,"Medium",I5663&lt;=9,"Large")</f>
        <v>Large</v>
      </c>
      <c r="K5663" s="36">
        <v>45127</v>
      </c>
      <c r="L5663" s="36">
        <v>45131</v>
      </c>
      <c r="M5663" t="s">
        <v>612</v>
      </c>
      <c r="N5663" t="s">
        <v>599</v>
      </c>
      <c r="O5663" s="37" t="str">
        <f t="shared" si="443"/>
        <v>Digital Payment</v>
      </c>
      <c r="P5663">
        <v>381.22</v>
      </c>
      <c r="Q5663" s="37" t="str">
        <f>IF(P5663&gt;500,"High","low")</f>
        <v>low</v>
      </c>
      <c r="R5663" s="37" t="str">
        <f t="shared" si="444"/>
        <v>AVERAGE</v>
      </c>
      <c r="S5663" t="s">
        <v>600</v>
      </c>
    </row>
    <row r="5664" spans="1:19" x14ac:dyDescent="0.2">
      <c r="A5664" t="s">
        <v>6275</v>
      </c>
      <c r="B5664" t="s">
        <v>75</v>
      </c>
      <c r="C5664" t="s">
        <v>602</v>
      </c>
      <c r="D5664">
        <v>2554.17</v>
      </c>
      <c r="E5664" s="37" t="str">
        <f t="shared" si="440"/>
        <v xml:space="preserve"> </v>
      </c>
      <c r="F5664">
        <v>0.14000000000000001</v>
      </c>
      <c r="G5664" s="37" t="str">
        <f t="shared" si="441"/>
        <v>Normal Discount</v>
      </c>
      <c r="H5664" s="37" t="str">
        <f t="shared" si="442"/>
        <v>Low</v>
      </c>
      <c r="I5664">
        <v>8</v>
      </c>
      <c r="J5664" t="str" cm="1">
        <f t="array" ref="J5664">_xlfn.IFS(I5664&lt;=3,"small",I5664&lt;=6,"Medium",I5664&lt;=9,"Large")</f>
        <v>Large</v>
      </c>
      <c r="K5664" s="36">
        <v>45374</v>
      </c>
      <c r="L5664" s="36">
        <v>45375</v>
      </c>
      <c r="M5664" t="s">
        <v>598</v>
      </c>
      <c r="N5664" t="s">
        <v>599</v>
      </c>
      <c r="O5664" s="37" t="str">
        <f t="shared" si="443"/>
        <v>Digital Payment</v>
      </c>
      <c r="P5664">
        <v>570.82000000000005</v>
      </c>
      <c r="Q5664" s="37" t="str">
        <f>IF(P5664&gt;500,"High","low")</f>
        <v>High</v>
      </c>
      <c r="R5664" s="37" t="str">
        <f t="shared" si="444"/>
        <v>Good</v>
      </c>
      <c r="S5664" t="s">
        <v>605</v>
      </c>
    </row>
    <row r="5665" spans="1:19" x14ac:dyDescent="0.2">
      <c r="A5665" t="s">
        <v>6276</v>
      </c>
      <c r="B5665" t="s">
        <v>75</v>
      </c>
      <c r="C5665" t="s">
        <v>607</v>
      </c>
      <c r="D5665">
        <v>4994.63</v>
      </c>
      <c r="E5665" s="37" t="str">
        <f t="shared" si="440"/>
        <v xml:space="preserve"> </v>
      </c>
      <c r="F5665">
        <v>0.27</v>
      </c>
      <c r="G5665" s="37" t="str">
        <f t="shared" si="441"/>
        <v>Normal Discount</v>
      </c>
      <c r="H5665" s="37" t="str">
        <f t="shared" si="442"/>
        <v>Medium</v>
      </c>
      <c r="I5665">
        <v>3</v>
      </c>
      <c r="J5665" t="str" cm="1">
        <f t="array" ref="J5665">_xlfn.IFS(I5665&lt;=3,"small",I5665&lt;=6,"Medium",I5665&lt;=9,"Large")</f>
        <v>small</v>
      </c>
      <c r="K5665" s="36">
        <v>45142</v>
      </c>
      <c r="L5665" s="36">
        <v>45145</v>
      </c>
      <c r="M5665" t="s">
        <v>612</v>
      </c>
      <c r="N5665" t="s">
        <v>608</v>
      </c>
      <c r="O5665" s="37" t="str">
        <f t="shared" si="443"/>
        <v>Cash Payment</v>
      </c>
      <c r="P5665">
        <v>362.15</v>
      </c>
      <c r="Q5665" s="37" t="str">
        <f>IF(P5665&gt;500,"High","low")</f>
        <v>low</v>
      </c>
      <c r="R5665" s="37" t="str">
        <f t="shared" si="444"/>
        <v>AVERAGE</v>
      </c>
      <c r="S5665" t="s">
        <v>600</v>
      </c>
    </row>
    <row r="5666" spans="1:19" x14ac:dyDescent="0.2">
      <c r="A5666" t="s">
        <v>6277</v>
      </c>
      <c r="B5666" t="s">
        <v>83</v>
      </c>
      <c r="C5666" t="s">
        <v>602</v>
      </c>
      <c r="D5666">
        <v>2641.95</v>
      </c>
      <c r="E5666" s="37" t="str">
        <f t="shared" si="440"/>
        <v xml:space="preserve"> </v>
      </c>
      <c r="F5666">
        <v>0.37</v>
      </c>
      <c r="G5666" s="37" t="str">
        <f t="shared" si="441"/>
        <v>Heavy Discount</v>
      </c>
      <c r="H5666" s="37" t="str">
        <f t="shared" si="442"/>
        <v>Medium</v>
      </c>
      <c r="I5666">
        <v>5</v>
      </c>
      <c r="J5666" t="str" cm="1">
        <f t="array" ref="J5666">_xlfn.IFS(I5666&lt;=3,"small",I5666&lt;=6,"Medium",I5666&lt;=9,"Large")</f>
        <v>Medium</v>
      </c>
      <c r="K5666" s="36">
        <v>45579</v>
      </c>
      <c r="L5666" s="36">
        <v>45584</v>
      </c>
      <c r="M5666" t="s">
        <v>612</v>
      </c>
      <c r="N5666" t="s">
        <v>599</v>
      </c>
      <c r="O5666" s="37" t="str">
        <f t="shared" si="443"/>
        <v>Digital Payment</v>
      </c>
      <c r="P5666">
        <v>400.18</v>
      </c>
      <c r="Q5666" s="37" t="str">
        <f>IF(P5666&gt;500,"High","low")</f>
        <v>low</v>
      </c>
      <c r="R5666" s="37" t="str">
        <f t="shared" si="444"/>
        <v>AVERAGE</v>
      </c>
      <c r="S5666" t="s">
        <v>620</v>
      </c>
    </row>
    <row r="5667" spans="1:19" x14ac:dyDescent="0.2">
      <c r="A5667" t="s">
        <v>6278</v>
      </c>
      <c r="B5667" t="s">
        <v>67</v>
      </c>
      <c r="C5667" t="s">
        <v>607</v>
      </c>
      <c r="D5667">
        <v>4824.59</v>
      </c>
      <c r="E5667" s="37" t="str">
        <f t="shared" si="440"/>
        <v>Excellent Order</v>
      </c>
      <c r="F5667">
        <v>0.25</v>
      </c>
      <c r="G5667" s="37" t="str">
        <f t="shared" si="441"/>
        <v>Normal Discount</v>
      </c>
      <c r="H5667" s="37" t="str">
        <f t="shared" si="442"/>
        <v>Medium</v>
      </c>
      <c r="I5667">
        <v>7</v>
      </c>
      <c r="J5667" t="str" cm="1">
        <f t="array" ref="J5667">_xlfn.IFS(I5667&lt;=3,"small",I5667&lt;=6,"Medium",I5667&lt;=9,"Large")</f>
        <v>Large</v>
      </c>
      <c r="K5667" s="36">
        <v>45148</v>
      </c>
      <c r="L5667" s="36">
        <v>45153</v>
      </c>
      <c r="M5667" t="s">
        <v>603</v>
      </c>
      <c r="N5667" t="s">
        <v>608</v>
      </c>
      <c r="O5667" s="37" t="str">
        <f t="shared" si="443"/>
        <v>Cash Payment</v>
      </c>
      <c r="P5667">
        <v>1087.67</v>
      </c>
      <c r="Q5667" s="37" t="str">
        <f>IF(P5667&gt;500,"High","low")</f>
        <v>High</v>
      </c>
      <c r="R5667" s="37" t="str">
        <f t="shared" si="444"/>
        <v>Excellent</v>
      </c>
      <c r="S5667" t="s">
        <v>609</v>
      </c>
    </row>
    <row r="5668" spans="1:19" x14ac:dyDescent="0.2">
      <c r="A5668" t="s">
        <v>6279</v>
      </c>
      <c r="B5668" t="s">
        <v>75</v>
      </c>
      <c r="C5668" t="s">
        <v>614</v>
      </c>
      <c r="D5668">
        <v>180.17</v>
      </c>
      <c r="E5668" s="37" t="str">
        <f t="shared" si="440"/>
        <v xml:space="preserve"> </v>
      </c>
      <c r="F5668">
        <v>0.21</v>
      </c>
      <c r="G5668" s="37" t="str">
        <f t="shared" si="441"/>
        <v>Normal Discount</v>
      </c>
      <c r="H5668" s="37" t="str">
        <f t="shared" si="442"/>
        <v>Medium</v>
      </c>
      <c r="I5668">
        <v>8</v>
      </c>
      <c r="J5668" t="str" cm="1">
        <f t="array" ref="J5668">_xlfn.IFS(I5668&lt;=3,"small",I5668&lt;=6,"Medium",I5668&lt;=9,"Large")</f>
        <v>Large</v>
      </c>
      <c r="K5668" s="36">
        <v>45097</v>
      </c>
      <c r="L5668" s="36">
        <v>45102</v>
      </c>
      <c r="M5668" t="s">
        <v>603</v>
      </c>
      <c r="N5668" t="s">
        <v>604</v>
      </c>
      <c r="O5668" s="37" t="str">
        <f t="shared" si="443"/>
        <v>Digital Payment</v>
      </c>
      <c r="P5668">
        <v>49.98</v>
      </c>
      <c r="Q5668" s="37" t="str">
        <f>IF(P5668&gt;500,"High","low")</f>
        <v>low</v>
      </c>
      <c r="R5668" s="37" t="str">
        <f t="shared" si="444"/>
        <v>AVERAGE</v>
      </c>
      <c r="S5668" t="s">
        <v>609</v>
      </c>
    </row>
    <row r="5669" spans="1:19" x14ac:dyDescent="0.2">
      <c r="A5669" t="s">
        <v>6280</v>
      </c>
      <c r="B5669" t="s">
        <v>83</v>
      </c>
      <c r="C5669" t="s">
        <v>614</v>
      </c>
      <c r="D5669">
        <v>3632.72</v>
      </c>
      <c r="E5669" s="37" t="str">
        <f t="shared" si="440"/>
        <v xml:space="preserve"> </v>
      </c>
      <c r="F5669">
        <v>0.02</v>
      </c>
      <c r="G5669" s="37" t="str">
        <f t="shared" si="441"/>
        <v>Normal Discount</v>
      </c>
      <c r="H5669" s="37" t="str">
        <f t="shared" si="442"/>
        <v>Low</v>
      </c>
      <c r="I5669">
        <v>3</v>
      </c>
      <c r="J5669" t="str" cm="1">
        <f t="array" ref="J5669">_xlfn.IFS(I5669&lt;=3,"small",I5669&lt;=6,"Medium",I5669&lt;=9,"Large")</f>
        <v>small</v>
      </c>
      <c r="K5669" s="36">
        <v>45151</v>
      </c>
      <c r="L5669" s="36">
        <v>45153</v>
      </c>
      <c r="M5669" t="s">
        <v>598</v>
      </c>
      <c r="N5669" t="s">
        <v>608</v>
      </c>
      <c r="O5669" s="37" t="str">
        <f t="shared" si="443"/>
        <v>Cash Payment</v>
      </c>
      <c r="P5669">
        <v>353.78</v>
      </c>
      <c r="Q5669" s="37" t="str">
        <f>IF(P5669&gt;500,"High","low")</f>
        <v>low</v>
      </c>
      <c r="R5669" s="37" t="str">
        <f t="shared" si="444"/>
        <v>AVERAGE</v>
      </c>
      <c r="S5669" t="s">
        <v>605</v>
      </c>
    </row>
    <row r="5670" spans="1:19" x14ac:dyDescent="0.2">
      <c r="A5670" t="s">
        <v>6281</v>
      </c>
      <c r="B5670" t="s">
        <v>67</v>
      </c>
      <c r="C5670" t="s">
        <v>607</v>
      </c>
      <c r="D5670">
        <v>3173.09</v>
      </c>
      <c r="E5670" s="37" t="str">
        <f t="shared" si="440"/>
        <v xml:space="preserve"> </v>
      </c>
      <c r="F5670">
        <v>0.01</v>
      </c>
      <c r="G5670" s="37" t="str">
        <f t="shared" si="441"/>
        <v>Normal Discount</v>
      </c>
      <c r="H5670" s="37" t="str">
        <f t="shared" si="442"/>
        <v>Low</v>
      </c>
      <c r="I5670">
        <v>8</v>
      </c>
      <c r="J5670" t="str" cm="1">
        <f t="array" ref="J5670">_xlfn.IFS(I5670&lt;=3,"small",I5670&lt;=6,"Medium",I5670&lt;=9,"Large")</f>
        <v>Large</v>
      </c>
      <c r="K5670" s="36">
        <v>45045</v>
      </c>
      <c r="L5670" s="36">
        <v>45052</v>
      </c>
      <c r="M5670" t="s">
        <v>603</v>
      </c>
      <c r="N5670" t="s">
        <v>604</v>
      </c>
      <c r="O5670" s="37" t="str">
        <f t="shared" si="443"/>
        <v>Digital Payment</v>
      </c>
      <c r="P5670">
        <v>495.59</v>
      </c>
      <c r="Q5670" s="37" t="str">
        <f>IF(P5670&gt;500,"High","low")</f>
        <v>low</v>
      </c>
      <c r="R5670" s="37" t="str">
        <f t="shared" si="444"/>
        <v>AVERAGE</v>
      </c>
      <c r="S5670" t="s">
        <v>609</v>
      </c>
    </row>
    <row r="5671" spans="1:19" x14ac:dyDescent="0.2">
      <c r="A5671" t="s">
        <v>6282</v>
      </c>
      <c r="B5671" t="s">
        <v>90</v>
      </c>
      <c r="C5671" t="s">
        <v>617</v>
      </c>
      <c r="D5671">
        <v>3458.12</v>
      </c>
      <c r="E5671" s="37" t="str">
        <f t="shared" si="440"/>
        <v xml:space="preserve"> </v>
      </c>
      <c r="F5671">
        <v>0.48</v>
      </c>
      <c r="G5671" s="37" t="str">
        <f t="shared" si="441"/>
        <v>Heavy Discount</v>
      </c>
      <c r="H5671" s="37" t="str">
        <f t="shared" si="442"/>
        <v>High</v>
      </c>
      <c r="I5671">
        <v>9</v>
      </c>
      <c r="J5671" t="str" cm="1">
        <f t="array" ref="J5671">_xlfn.IFS(I5671&lt;=3,"small",I5671&lt;=6,"Medium",I5671&lt;=9,"Large")</f>
        <v>Large</v>
      </c>
      <c r="K5671" s="36">
        <v>45036</v>
      </c>
      <c r="L5671" s="36">
        <v>45042</v>
      </c>
      <c r="M5671" t="s">
        <v>603</v>
      </c>
      <c r="N5671" t="s">
        <v>599</v>
      </c>
      <c r="O5671" s="37" t="str">
        <f t="shared" si="443"/>
        <v>Digital Payment</v>
      </c>
      <c r="P5671">
        <v>370.04</v>
      </c>
      <c r="Q5671" s="37" t="str">
        <f>IF(P5671&gt;500,"High","low")</f>
        <v>low</v>
      </c>
      <c r="R5671" s="37" t="str">
        <f t="shared" si="444"/>
        <v>AVERAGE</v>
      </c>
      <c r="S5671" t="s">
        <v>620</v>
      </c>
    </row>
    <row r="5672" spans="1:19" x14ac:dyDescent="0.2">
      <c r="A5672" t="s">
        <v>6283</v>
      </c>
      <c r="B5672" t="s">
        <v>90</v>
      </c>
      <c r="C5672" t="s">
        <v>614</v>
      </c>
      <c r="D5672">
        <v>2895.78</v>
      </c>
      <c r="E5672" s="37" t="str">
        <f t="shared" si="440"/>
        <v xml:space="preserve"> </v>
      </c>
      <c r="F5672">
        <v>0.32</v>
      </c>
      <c r="G5672" s="37" t="str">
        <f t="shared" si="441"/>
        <v>Heavy Discount</v>
      </c>
      <c r="H5672" s="37" t="str">
        <f t="shared" si="442"/>
        <v>Medium</v>
      </c>
      <c r="I5672">
        <v>3</v>
      </c>
      <c r="J5672" t="str" cm="1">
        <f t="array" ref="J5672">_xlfn.IFS(I5672&lt;=3,"small",I5672&lt;=6,"Medium",I5672&lt;=9,"Large")</f>
        <v>small</v>
      </c>
      <c r="K5672" s="36">
        <v>45496</v>
      </c>
      <c r="L5672" s="36">
        <v>45497</v>
      </c>
      <c r="M5672" t="s">
        <v>603</v>
      </c>
      <c r="N5672" t="s">
        <v>608</v>
      </c>
      <c r="O5672" s="37" t="str">
        <f t="shared" si="443"/>
        <v>Cash Payment</v>
      </c>
      <c r="P5672">
        <v>171.5</v>
      </c>
      <c r="Q5672" s="37" t="str">
        <f>IF(P5672&gt;500,"High","low")</f>
        <v>low</v>
      </c>
      <c r="R5672" s="37" t="str">
        <f t="shared" si="444"/>
        <v>AVERAGE</v>
      </c>
      <c r="S5672" t="s">
        <v>615</v>
      </c>
    </row>
    <row r="5673" spans="1:19" x14ac:dyDescent="0.2">
      <c r="A5673" t="s">
        <v>6284</v>
      </c>
      <c r="B5673" t="s">
        <v>83</v>
      </c>
      <c r="C5673" t="s">
        <v>614</v>
      </c>
      <c r="D5673">
        <v>316.47000000000003</v>
      </c>
      <c r="E5673" s="37" t="str">
        <f t="shared" si="440"/>
        <v xml:space="preserve"> </v>
      </c>
      <c r="F5673">
        <v>0.41</v>
      </c>
      <c r="G5673" s="37" t="str">
        <f t="shared" si="441"/>
        <v>Heavy Discount</v>
      </c>
      <c r="H5673" s="37" t="str">
        <f t="shared" si="442"/>
        <v>High</v>
      </c>
      <c r="I5673">
        <v>2</v>
      </c>
      <c r="J5673" t="str" cm="1">
        <f t="array" ref="J5673">_xlfn.IFS(I5673&lt;=3,"small",I5673&lt;=6,"Medium",I5673&lt;=9,"Large")</f>
        <v>small</v>
      </c>
      <c r="K5673" s="36">
        <v>45398</v>
      </c>
      <c r="L5673" s="36">
        <v>45405</v>
      </c>
      <c r="M5673" t="s">
        <v>603</v>
      </c>
      <c r="N5673" t="s">
        <v>604</v>
      </c>
      <c r="O5673" s="37" t="str">
        <f t="shared" si="443"/>
        <v>Digital Payment</v>
      </c>
      <c r="P5673">
        <v>51.9</v>
      </c>
      <c r="Q5673" s="37" t="str">
        <f>IF(P5673&gt;500,"High","low")</f>
        <v>low</v>
      </c>
      <c r="R5673" s="37" t="str">
        <f t="shared" si="444"/>
        <v>AVERAGE</v>
      </c>
      <c r="S5673" t="s">
        <v>620</v>
      </c>
    </row>
    <row r="5674" spans="1:19" x14ac:dyDescent="0.2">
      <c r="A5674" t="s">
        <v>6285</v>
      </c>
      <c r="B5674" t="s">
        <v>90</v>
      </c>
      <c r="C5674" t="s">
        <v>597</v>
      </c>
      <c r="D5674">
        <v>832.86</v>
      </c>
      <c r="E5674" s="37" t="str">
        <f t="shared" si="440"/>
        <v xml:space="preserve"> </v>
      </c>
      <c r="F5674">
        <v>0.24</v>
      </c>
      <c r="G5674" s="37" t="str">
        <f t="shared" si="441"/>
        <v>Normal Discount</v>
      </c>
      <c r="H5674" s="37" t="str">
        <f t="shared" si="442"/>
        <v>Medium</v>
      </c>
      <c r="I5674">
        <v>2</v>
      </c>
      <c r="J5674" t="str" cm="1">
        <f t="array" ref="J5674">_xlfn.IFS(I5674&lt;=3,"small",I5674&lt;=6,"Medium",I5674&lt;=9,"Large")</f>
        <v>small</v>
      </c>
      <c r="K5674" s="36">
        <v>45202</v>
      </c>
      <c r="L5674" s="36">
        <v>45205</v>
      </c>
      <c r="M5674" t="s">
        <v>603</v>
      </c>
      <c r="N5674" t="s">
        <v>608</v>
      </c>
      <c r="O5674" s="37" t="str">
        <f t="shared" si="443"/>
        <v>Cash Payment</v>
      </c>
      <c r="P5674">
        <v>129.03</v>
      </c>
      <c r="Q5674" s="37" t="str">
        <f>IF(P5674&gt;500,"High","low")</f>
        <v>low</v>
      </c>
      <c r="R5674" s="37" t="str">
        <f t="shared" si="444"/>
        <v>AVERAGE</v>
      </c>
      <c r="S5674" t="s">
        <v>600</v>
      </c>
    </row>
    <row r="5675" spans="1:19" x14ac:dyDescent="0.2">
      <c r="A5675" t="s">
        <v>6286</v>
      </c>
      <c r="B5675" t="s">
        <v>75</v>
      </c>
      <c r="C5675" t="s">
        <v>614</v>
      </c>
      <c r="D5675">
        <v>4619.03</v>
      </c>
      <c r="E5675" s="37" t="str">
        <f t="shared" si="440"/>
        <v>Excellent Order</v>
      </c>
      <c r="F5675">
        <v>0.13</v>
      </c>
      <c r="G5675" s="37" t="str">
        <f t="shared" si="441"/>
        <v>Normal Discount</v>
      </c>
      <c r="H5675" s="37" t="str">
        <f t="shared" si="442"/>
        <v>Low</v>
      </c>
      <c r="I5675">
        <v>5</v>
      </c>
      <c r="J5675" t="str" cm="1">
        <f t="array" ref="J5675">_xlfn.IFS(I5675&lt;=3,"small",I5675&lt;=6,"Medium",I5675&lt;=9,"Large")</f>
        <v>Medium</v>
      </c>
      <c r="K5675" s="36">
        <v>45040</v>
      </c>
      <c r="L5675" s="36">
        <v>45045</v>
      </c>
      <c r="M5675" t="s">
        <v>603</v>
      </c>
      <c r="N5675" t="s">
        <v>608</v>
      </c>
      <c r="O5675" s="37" t="str">
        <f t="shared" si="443"/>
        <v>Cash Payment</v>
      </c>
      <c r="P5675">
        <v>1179.69</v>
      </c>
      <c r="Q5675" s="37" t="str">
        <f>IF(P5675&gt;500,"High","low")</f>
        <v>High</v>
      </c>
      <c r="R5675" s="37" t="str">
        <f t="shared" si="444"/>
        <v>Excellent</v>
      </c>
      <c r="S5675" t="s">
        <v>600</v>
      </c>
    </row>
    <row r="5676" spans="1:19" x14ac:dyDescent="0.2">
      <c r="A5676" t="s">
        <v>6287</v>
      </c>
      <c r="B5676" t="s">
        <v>67</v>
      </c>
      <c r="C5676" t="s">
        <v>597</v>
      </c>
      <c r="D5676">
        <v>1241.33</v>
      </c>
      <c r="E5676" s="37" t="str">
        <f t="shared" si="440"/>
        <v xml:space="preserve"> </v>
      </c>
      <c r="F5676">
        <v>0.15</v>
      </c>
      <c r="G5676" s="37" t="str">
        <f t="shared" si="441"/>
        <v>Normal Discount</v>
      </c>
      <c r="H5676" s="37" t="str">
        <f t="shared" si="442"/>
        <v>Low</v>
      </c>
      <c r="I5676">
        <v>1</v>
      </c>
      <c r="J5676" t="str" cm="1">
        <f t="array" ref="J5676">_xlfn.IFS(I5676&lt;=3,"small",I5676&lt;=6,"Medium",I5676&lt;=9,"Large")</f>
        <v>small</v>
      </c>
      <c r="K5676" s="36">
        <v>45117</v>
      </c>
      <c r="L5676" s="36">
        <v>45123</v>
      </c>
      <c r="M5676" t="s">
        <v>603</v>
      </c>
      <c r="N5676" t="s">
        <v>608</v>
      </c>
      <c r="O5676" s="37" t="str">
        <f t="shared" si="443"/>
        <v>Cash Payment</v>
      </c>
      <c r="P5676">
        <v>338.42</v>
      </c>
      <c r="Q5676" s="37" t="str">
        <f>IF(P5676&gt;500,"High","low")</f>
        <v>low</v>
      </c>
      <c r="R5676" s="37" t="str">
        <f t="shared" si="444"/>
        <v>AVERAGE</v>
      </c>
      <c r="S5676" t="s">
        <v>628</v>
      </c>
    </row>
    <row r="5677" spans="1:19" x14ac:dyDescent="0.2">
      <c r="A5677" t="s">
        <v>6288</v>
      </c>
      <c r="B5677" t="s">
        <v>75</v>
      </c>
      <c r="C5677" t="s">
        <v>614</v>
      </c>
      <c r="D5677">
        <v>4965.3900000000003</v>
      </c>
      <c r="E5677" s="37" t="str">
        <f t="shared" si="440"/>
        <v xml:space="preserve"> </v>
      </c>
      <c r="F5677">
        <v>0.02</v>
      </c>
      <c r="G5677" s="37" t="str">
        <f t="shared" si="441"/>
        <v>Normal Discount</v>
      </c>
      <c r="H5677" s="37" t="str">
        <f t="shared" si="442"/>
        <v>Low</v>
      </c>
      <c r="I5677">
        <v>6</v>
      </c>
      <c r="J5677" t="str" cm="1">
        <f t="array" ref="J5677">_xlfn.IFS(I5677&lt;=3,"small",I5677&lt;=6,"Medium",I5677&lt;=9,"Large")</f>
        <v>Medium</v>
      </c>
      <c r="K5677" s="36">
        <v>45439</v>
      </c>
      <c r="L5677" s="36">
        <v>45442</v>
      </c>
      <c r="M5677" t="s">
        <v>598</v>
      </c>
      <c r="N5677" t="s">
        <v>604</v>
      </c>
      <c r="O5677" s="37" t="str">
        <f t="shared" si="443"/>
        <v>Digital Payment</v>
      </c>
      <c r="P5677">
        <v>686.94</v>
      </c>
      <c r="Q5677" s="37" t="str">
        <f>IF(P5677&gt;500,"High","low")</f>
        <v>High</v>
      </c>
      <c r="R5677" s="37" t="str">
        <f t="shared" si="444"/>
        <v>Good</v>
      </c>
      <c r="S5677" t="s">
        <v>605</v>
      </c>
    </row>
    <row r="5678" spans="1:19" x14ac:dyDescent="0.2">
      <c r="A5678" t="s">
        <v>6289</v>
      </c>
      <c r="B5678" t="s">
        <v>75</v>
      </c>
      <c r="C5678" t="s">
        <v>614</v>
      </c>
      <c r="D5678">
        <v>3429.98</v>
      </c>
      <c r="E5678" s="37" t="str">
        <f t="shared" si="440"/>
        <v xml:space="preserve"> </v>
      </c>
      <c r="F5678">
        <v>0.4</v>
      </c>
      <c r="G5678" s="37" t="str">
        <f t="shared" si="441"/>
        <v>Heavy Discount</v>
      </c>
      <c r="H5678" s="37" t="str">
        <f t="shared" si="442"/>
        <v>Medium</v>
      </c>
      <c r="I5678">
        <v>7</v>
      </c>
      <c r="J5678" t="str" cm="1">
        <f t="array" ref="J5678">_xlfn.IFS(I5678&lt;=3,"small",I5678&lt;=6,"Medium",I5678&lt;=9,"Large")</f>
        <v>Large</v>
      </c>
      <c r="K5678" s="36">
        <v>44949</v>
      </c>
      <c r="L5678" s="36">
        <v>44952</v>
      </c>
      <c r="M5678" t="s">
        <v>603</v>
      </c>
      <c r="N5678" t="s">
        <v>604</v>
      </c>
      <c r="O5678" s="37" t="str">
        <f t="shared" si="443"/>
        <v>Digital Payment</v>
      </c>
      <c r="P5678">
        <v>778.85</v>
      </c>
      <c r="Q5678" s="37" t="str">
        <f>IF(P5678&gt;500,"High","low")</f>
        <v>High</v>
      </c>
      <c r="R5678" s="37" t="str">
        <f t="shared" si="444"/>
        <v>Good</v>
      </c>
      <c r="S5678" t="s">
        <v>609</v>
      </c>
    </row>
    <row r="5679" spans="1:19" x14ac:dyDescent="0.2">
      <c r="A5679" t="s">
        <v>6290</v>
      </c>
      <c r="B5679" t="s">
        <v>90</v>
      </c>
      <c r="C5679" t="s">
        <v>617</v>
      </c>
      <c r="D5679">
        <v>2277.34</v>
      </c>
      <c r="E5679" s="37" t="str">
        <f t="shared" si="440"/>
        <v xml:space="preserve"> </v>
      </c>
      <c r="F5679">
        <v>0.28999999999999998</v>
      </c>
      <c r="G5679" s="37" t="str">
        <f t="shared" si="441"/>
        <v>Normal Discount</v>
      </c>
      <c r="H5679" s="37" t="str">
        <f t="shared" si="442"/>
        <v>Medium</v>
      </c>
      <c r="I5679">
        <v>5</v>
      </c>
      <c r="J5679" t="str" cm="1">
        <f t="array" ref="J5679">_xlfn.IFS(I5679&lt;=3,"small",I5679&lt;=6,"Medium",I5679&lt;=9,"Large")</f>
        <v>Medium</v>
      </c>
      <c r="K5679" s="36">
        <v>45471</v>
      </c>
      <c r="L5679" s="36">
        <v>45474</v>
      </c>
      <c r="M5679" t="s">
        <v>603</v>
      </c>
      <c r="N5679" t="s">
        <v>604</v>
      </c>
      <c r="O5679" s="37" t="str">
        <f t="shared" si="443"/>
        <v>Digital Payment</v>
      </c>
      <c r="P5679">
        <v>442.89</v>
      </c>
      <c r="Q5679" s="37" t="str">
        <f>IF(P5679&gt;500,"High","low")</f>
        <v>low</v>
      </c>
      <c r="R5679" s="37" t="str">
        <f t="shared" si="444"/>
        <v>AVERAGE</v>
      </c>
      <c r="S5679" t="s">
        <v>600</v>
      </c>
    </row>
    <row r="5680" spans="1:19" x14ac:dyDescent="0.2">
      <c r="A5680" t="s">
        <v>6291</v>
      </c>
      <c r="B5680" t="s">
        <v>75</v>
      </c>
      <c r="C5680" t="s">
        <v>617</v>
      </c>
      <c r="D5680">
        <v>4608.24</v>
      </c>
      <c r="E5680" s="37" t="str">
        <f t="shared" si="440"/>
        <v>Excellent Order</v>
      </c>
      <c r="F5680">
        <v>0.24</v>
      </c>
      <c r="G5680" s="37" t="str">
        <f t="shared" si="441"/>
        <v>Normal Discount</v>
      </c>
      <c r="H5680" s="37" t="str">
        <f t="shared" si="442"/>
        <v>Medium</v>
      </c>
      <c r="I5680">
        <v>8</v>
      </c>
      <c r="J5680" t="str" cm="1">
        <f t="array" ref="J5680">_xlfn.IFS(I5680&lt;=3,"small",I5680&lt;=6,"Medium",I5680&lt;=9,"Large")</f>
        <v>Large</v>
      </c>
      <c r="K5680" s="36">
        <v>45623</v>
      </c>
      <c r="L5680" s="36">
        <v>45627</v>
      </c>
      <c r="M5680" t="s">
        <v>612</v>
      </c>
      <c r="N5680" t="s">
        <v>599</v>
      </c>
      <c r="O5680" s="37" t="str">
        <f t="shared" si="443"/>
        <v>Digital Payment</v>
      </c>
      <c r="P5680">
        <v>1117.56</v>
      </c>
      <c r="Q5680" s="37" t="str">
        <f>IF(P5680&gt;500,"High","low")</f>
        <v>High</v>
      </c>
      <c r="R5680" s="37" t="str">
        <f t="shared" si="444"/>
        <v>Excellent</v>
      </c>
      <c r="S5680" t="s">
        <v>620</v>
      </c>
    </row>
    <row r="5681" spans="1:19" x14ac:dyDescent="0.2">
      <c r="A5681" t="s">
        <v>6292</v>
      </c>
      <c r="B5681" t="s">
        <v>90</v>
      </c>
      <c r="C5681" t="s">
        <v>614</v>
      </c>
      <c r="D5681">
        <v>3995.43</v>
      </c>
      <c r="E5681" s="37" t="str">
        <f t="shared" si="440"/>
        <v xml:space="preserve"> </v>
      </c>
      <c r="F5681">
        <v>0.43</v>
      </c>
      <c r="G5681" s="37" t="str">
        <f t="shared" si="441"/>
        <v>Heavy Discount</v>
      </c>
      <c r="H5681" s="37" t="str">
        <f t="shared" si="442"/>
        <v>High</v>
      </c>
      <c r="I5681">
        <v>6</v>
      </c>
      <c r="J5681" t="str" cm="1">
        <f t="array" ref="J5681">_xlfn.IFS(I5681&lt;=3,"small",I5681&lt;=6,"Medium",I5681&lt;=9,"Large")</f>
        <v>Medium</v>
      </c>
      <c r="K5681" s="36">
        <v>45135</v>
      </c>
      <c r="L5681" s="36">
        <v>45141</v>
      </c>
      <c r="M5681" t="s">
        <v>598</v>
      </c>
      <c r="N5681" t="s">
        <v>608</v>
      </c>
      <c r="O5681" s="37" t="str">
        <f t="shared" si="443"/>
        <v>Cash Payment</v>
      </c>
      <c r="P5681">
        <v>345.92</v>
      </c>
      <c r="Q5681" s="37" t="str">
        <f>IF(P5681&gt;500,"High","low")</f>
        <v>low</v>
      </c>
      <c r="R5681" s="37" t="str">
        <f t="shared" si="444"/>
        <v>AVERAGE</v>
      </c>
      <c r="S5681" t="s">
        <v>605</v>
      </c>
    </row>
    <row r="5682" spans="1:19" x14ac:dyDescent="0.2">
      <c r="A5682" t="s">
        <v>6293</v>
      </c>
      <c r="B5682" t="s">
        <v>67</v>
      </c>
      <c r="C5682" t="s">
        <v>607</v>
      </c>
      <c r="D5682">
        <v>2201.9299999999998</v>
      </c>
      <c r="E5682" s="37" t="str">
        <f t="shared" si="440"/>
        <v xml:space="preserve"> </v>
      </c>
      <c r="F5682">
        <v>0.22</v>
      </c>
      <c r="G5682" s="37" t="str">
        <f t="shared" si="441"/>
        <v>Normal Discount</v>
      </c>
      <c r="H5682" s="37" t="str">
        <f t="shared" si="442"/>
        <v>Medium</v>
      </c>
      <c r="I5682">
        <v>1</v>
      </c>
      <c r="J5682" t="str" cm="1">
        <f t="array" ref="J5682">_xlfn.IFS(I5682&lt;=3,"small",I5682&lt;=6,"Medium",I5682&lt;=9,"Large")</f>
        <v>small</v>
      </c>
      <c r="K5682" s="36">
        <v>45620</v>
      </c>
      <c r="L5682" s="36">
        <v>45627</v>
      </c>
      <c r="M5682" t="s">
        <v>598</v>
      </c>
      <c r="N5682" t="s">
        <v>599</v>
      </c>
      <c r="O5682" s="37" t="str">
        <f t="shared" si="443"/>
        <v>Digital Payment</v>
      </c>
      <c r="P5682">
        <v>557.63</v>
      </c>
      <c r="Q5682" s="37" t="str">
        <f>IF(P5682&gt;500,"High","low")</f>
        <v>High</v>
      </c>
      <c r="R5682" s="37" t="str">
        <f t="shared" si="444"/>
        <v>Good</v>
      </c>
      <c r="S5682" t="s">
        <v>605</v>
      </c>
    </row>
    <row r="5683" spans="1:19" x14ac:dyDescent="0.2">
      <c r="A5683" t="s">
        <v>6294</v>
      </c>
      <c r="B5683" t="s">
        <v>67</v>
      </c>
      <c r="C5683" t="s">
        <v>607</v>
      </c>
      <c r="D5683">
        <v>436.11</v>
      </c>
      <c r="E5683" s="37" t="str">
        <f t="shared" si="440"/>
        <v xml:space="preserve"> </v>
      </c>
      <c r="F5683">
        <v>0.47</v>
      </c>
      <c r="G5683" s="37" t="str">
        <f t="shared" si="441"/>
        <v>Heavy Discount</v>
      </c>
      <c r="H5683" s="37" t="str">
        <f t="shared" si="442"/>
        <v>High</v>
      </c>
      <c r="I5683">
        <v>9</v>
      </c>
      <c r="J5683" t="str" cm="1">
        <f t="array" ref="J5683">_xlfn.IFS(I5683&lt;=3,"small",I5683&lt;=6,"Medium",I5683&lt;=9,"Large")</f>
        <v>Large</v>
      </c>
      <c r="K5683" s="36">
        <v>45376</v>
      </c>
      <c r="L5683" s="36">
        <v>45381</v>
      </c>
      <c r="M5683" t="s">
        <v>612</v>
      </c>
      <c r="N5683" t="s">
        <v>604</v>
      </c>
      <c r="O5683" s="37" t="str">
        <f t="shared" si="443"/>
        <v>Digital Payment</v>
      </c>
      <c r="P5683">
        <v>87.52</v>
      </c>
      <c r="Q5683" s="37" t="str">
        <f>IF(P5683&gt;500,"High","low")</f>
        <v>low</v>
      </c>
      <c r="R5683" s="37" t="str">
        <f t="shared" si="444"/>
        <v>AVERAGE</v>
      </c>
      <c r="S5683" t="s">
        <v>620</v>
      </c>
    </row>
    <row r="5684" spans="1:19" x14ac:dyDescent="0.2">
      <c r="A5684" t="s">
        <v>6295</v>
      </c>
      <c r="B5684" t="s">
        <v>75</v>
      </c>
      <c r="C5684" t="s">
        <v>614</v>
      </c>
      <c r="D5684">
        <v>4354.6899999999996</v>
      </c>
      <c r="E5684" s="37" t="str">
        <f t="shared" si="440"/>
        <v>Excellent Order</v>
      </c>
      <c r="F5684">
        <v>0.01</v>
      </c>
      <c r="G5684" s="37" t="str">
        <f t="shared" si="441"/>
        <v>Normal Discount</v>
      </c>
      <c r="H5684" s="37" t="str">
        <f t="shared" si="442"/>
        <v>Low</v>
      </c>
      <c r="I5684">
        <v>5</v>
      </c>
      <c r="J5684" t="str" cm="1">
        <f t="array" ref="J5684">_xlfn.IFS(I5684&lt;=3,"small",I5684&lt;=6,"Medium",I5684&lt;=9,"Large")</f>
        <v>Medium</v>
      </c>
      <c r="K5684" s="36">
        <v>45533</v>
      </c>
      <c r="L5684" s="36">
        <v>45539</v>
      </c>
      <c r="M5684" t="s">
        <v>598</v>
      </c>
      <c r="N5684" t="s">
        <v>599</v>
      </c>
      <c r="O5684" s="37" t="str">
        <f t="shared" si="443"/>
        <v>Digital Payment</v>
      </c>
      <c r="P5684">
        <v>1053.25</v>
      </c>
      <c r="Q5684" s="37" t="str">
        <f>IF(P5684&gt;500,"High","low")</f>
        <v>High</v>
      </c>
      <c r="R5684" s="37" t="str">
        <f t="shared" si="444"/>
        <v>Excellent</v>
      </c>
      <c r="S5684" t="s">
        <v>628</v>
      </c>
    </row>
    <row r="5685" spans="1:19" x14ac:dyDescent="0.2">
      <c r="A5685" t="s">
        <v>6296</v>
      </c>
      <c r="B5685" t="s">
        <v>83</v>
      </c>
      <c r="C5685" t="s">
        <v>607</v>
      </c>
      <c r="D5685">
        <v>3848.7</v>
      </c>
      <c r="E5685" s="37" t="str">
        <f t="shared" si="440"/>
        <v xml:space="preserve"> </v>
      </c>
      <c r="F5685">
        <v>0.49</v>
      </c>
      <c r="G5685" s="37" t="str">
        <f t="shared" si="441"/>
        <v>Heavy Discount</v>
      </c>
      <c r="H5685" s="37" t="str">
        <f t="shared" si="442"/>
        <v>High</v>
      </c>
      <c r="I5685">
        <v>5</v>
      </c>
      <c r="J5685" t="str" cm="1">
        <f t="array" ref="J5685">_xlfn.IFS(I5685&lt;=3,"small",I5685&lt;=6,"Medium",I5685&lt;=9,"Large")</f>
        <v>Medium</v>
      </c>
      <c r="K5685" s="36">
        <v>45561</v>
      </c>
      <c r="L5685" s="36">
        <v>45566</v>
      </c>
      <c r="M5685" t="s">
        <v>598</v>
      </c>
      <c r="N5685" t="s">
        <v>604</v>
      </c>
      <c r="O5685" s="37" t="str">
        <f t="shared" si="443"/>
        <v>Digital Payment</v>
      </c>
      <c r="P5685">
        <v>596.54999999999995</v>
      </c>
      <c r="Q5685" s="37" t="str">
        <f>IF(P5685&gt;500,"High","low")</f>
        <v>High</v>
      </c>
      <c r="R5685" s="37" t="str">
        <f t="shared" si="444"/>
        <v>Good</v>
      </c>
      <c r="S5685" t="s">
        <v>628</v>
      </c>
    </row>
    <row r="5686" spans="1:19" x14ac:dyDescent="0.2">
      <c r="A5686" t="s">
        <v>6297</v>
      </c>
      <c r="B5686" t="s">
        <v>90</v>
      </c>
      <c r="C5686" t="s">
        <v>614</v>
      </c>
      <c r="D5686">
        <v>3974.6</v>
      </c>
      <c r="E5686" s="37" t="str">
        <f t="shared" si="440"/>
        <v xml:space="preserve"> </v>
      </c>
      <c r="F5686">
        <v>0.41</v>
      </c>
      <c r="G5686" s="37" t="str">
        <f t="shared" si="441"/>
        <v>Heavy Discount</v>
      </c>
      <c r="H5686" s="37" t="str">
        <f t="shared" si="442"/>
        <v>High</v>
      </c>
      <c r="I5686">
        <v>1</v>
      </c>
      <c r="J5686" t="str" cm="1">
        <f t="array" ref="J5686">_xlfn.IFS(I5686&lt;=3,"small",I5686&lt;=6,"Medium",I5686&lt;=9,"Large")</f>
        <v>small</v>
      </c>
      <c r="K5686" s="36">
        <v>45597</v>
      </c>
      <c r="L5686" s="36">
        <v>45604</v>
      </c>
      <c r="M5686" t="s">
        <v>598</v>
      </c>
      <c r="N5686" t="s">
        <v>599</v>
      </c>
      <c r="O5686" s="37" t="str">
        <f t="shared" si="443"/>
        <v>Digital Payment</v>
      </c>
      <c r="P5686">
        <v>206.92</v>
      </c>
      <c r="Q5686" s="37" t="str">
        <f>IF(P5686&gt;500,"High","low")</f>
        <v>low</v>
      </c>
      <c r="R5686" s="37" t="str">
        <f t="shared" si="444"/>
        <v>AVERAGE</v>
      </c>
      <c r="S5686" t="s">
        <v>628</v>
      </c>
    </row>
    <row r="5687" spans="1:19" x14ac:dyDescent="0.2">
      <c r="A5687" t="s">
        <v>6298</v>
      </c>
      <c r="B5687" t="s">
        <v>90</v>
      </c>
      <c r="C5687" t="s">
        <v>617</v>
      </c>
      <c r="D5687">
        <v>3749.81</v>
      </c>
      <c r="E5687" s="37" t="str">
        <f t="shared" si="440"/>
        <v xml:space="preserve"> </v>
      </c>
      <c r="F5687">
        <v>0.18</v>
      </c>
      <c r="G5687" s="37" t="str">
        <f t="shared" si="441"/>
        <v>Normal Discount</v>
      </c>
      <c r="H5687" s="37" t="str">
        <f t="shared" si="442"/>
        <v>Low</v>
      </c>
      <c r="I5687">
        <v>5</v>
      </c>
      <c r="J5687" t="str" cm="1">
        <f t="array" ref="J5687">_xlfn.IFS(I5687&lt;=3,"small",I5687&lt;=6,"Medium",I5687&lt;=9,"Large")</f>
        <v>Medium</v>
      </c>
      <c r="K5687" s="36">
        <v>45364</v>
      </c>
      <c r="L5687" s="36">
        <v>45369</v>
      </c>
      <c r="M5687" t="s">
        <v>603</v>
      </c>
      <c r="N5687" t="s">
        <v>608</v>
      </c>
      <c r="O5687" s="37" t="str">
        <f t="shared" si="443"/>
        <v>Cash Payment</v>
      </c>
      <c r="P5687">
        <v>1048.04</v>
      </c>
      <c r="Q5687" s="37" t="str">
        <f>IF(P5687&gt;500,"High","low")</f>
        <v>High</v>
      </c>
      <c r="R5687" s="37" t="str">
        <f t="shared" si="444"/>
        <v>Excellent</v>
      </c>
      <c r="S5687" t="s">
        <v>628</v>
      </c>
    </row>
    <row r="5688" spans="1:19" x14ac:dyDescent="0.2">
      <c r="A5688" t="s">
        <v>6299</v>
      </c>
      <c r="B5688" t="s">
        <v>75</v>
      </c>
      <c r="C5688" t="s">
        <v>602</v>
      </c>
      <c r="D5688">
        <v>1451.2</v>
      </c>
      <c r="E5688" s="37" t="str">
        <f t="shared" si="440"/>
        <v xml:space="preserve"> </v>
      </c>
      <c r="F5688">
        <v>0.3</v>
      </c>
      <c r="G5688" s="37" t="str">
        <f t="shared" si="441"/>
        <v>Normal Discount</v>
      </c>
      <c r="H5688" s="37" t="str">
        <f t="shared" si="442"/>
        <v>Medium</v>
      </c>
      <c r="I5688">
        <v>3</v>
      </c>
      <c r="J5688" t="str" cm="1">
        <f t="array" ref="J5688">_xlfn.IFS(I5688&lt;=3,"small",I5688&lt;=6,"Medium",I5688&lt;=9,"Large")</f>
        <v>small</v>
      </c>
      <c r="K5688" s="36">
        <v>45172</v>
      </c>
      <c r="L5688" s="36">
        <v>45173</v>
      </c>
      <c r="M5688" t="s">
        <v>603</v>
      </c>
      <c r="N5688" t="s">
        <v>608</v>
      </c>
      <c r="O5688" s="37" t="str">
        <f t="shared" si="443"/>
        <v>Cash Payment</v>
      </c>
      <c r="P5688">
        <v>336.85</v>
      </c>
      <c r="Q5688" s="37" t="str">
        <f>IF(P5688&gt;500,"High","low")</f>
        <v>low</v>
      </c>
      <c r="R5688" s="37" t="str">
        <f t="shared" si="444"/>
        <v>AVERAGE</v>
      </c>
      <c r="S5688" t="s">
        <v>628</v>
      </c>
    </row>
    <row r="5689" spans="1:19" x14ac:dyDescent="0.2">
      <c r="A5689" t="s">
        <v>6300</v>
      </c>
      <c r="B5689" t="s">
        <v>90</v>
      </c>
      <c r="C5689" t="s">
        <v>597</v>
      </c>
      <c r="D5689">
        <v>4308.34</v>
      </c>
      <c r="E5689" s="37" t="str">
        <f t="shared" si="440"/>
        <v>Excellent Order</v>
      </c>
      <c r="F5689">
        <v>0.43</v>
      </c>
      <c r="G5689" s="37" t="str">
        <f t="shared" si="441"/>
        <v>Heavy Discount</v>
      </c>
      <c r="H5689" s="37" t="str">
        <f t="shared" si="442"/>
        <v>High</v>
      </c>
      <c r="I5689">
        <v>3</v>
      </c>
      <c r="J5689" t="str" cm="1">
        <f t="array" ref="J5689">_xlfn.IFS(I5689&lt;=3,"small",I5689&lt;=6,"Medium",I5689&lt;=9,"Large")</f>
        <v>small</v>
      </c>
      <c r="K5689" s="36">
        <v>45091</v>
      </c>
      <c r="L5689" s="36">
        <v>45093</v>
      </c>
      <c r="M5689" t="s">
        <v>603</v>
      </c>
      <c r="N5689" t="s">
        <v>608</v>
      </c>
      <c r="O5689" s="37" t="str">
        <f t="shared" si="443"/>
        <v>Cash Payment</v>
      </c>
      <c r="P5689">
        <v>959.42</v>
      </c>
      <c r="Q5689" s="37" t="str">
        <f>IF(P5689&gt;500,"High","low")</f>
        <v>High</v>
      </c>
      <c r="R5689" s="37" t="str">
        <f t="shared" si="444"/>
        <v>Good</v>
      </c>
      <c r="S5689" t="s">
        <v>628</v>
      </c>
    </row>
    <row r="5690" spans="1:19" x14ac:dyDescent="0.2">
      <c r="A5690" t="s">
        <v>6301</v>
      </c>
      <c r="B5690" t="s">
        <v>90</v>
      </c>
      <c r="C5690" t="s">
        <v>607</v>
      </c>
      <c r="D5690">
        <v>110.94</v>
      </c>
      <c r="E5690" s="37" t="str">
        <f t="shared" si="440"/>
        <v xml:space="preserve"> </v>
      </c>
      <c r="F5690">
        <v>0.24</v>
      </c>
      <c r="G5690" s="37" t="str">
        <f t="shared" si="441"/>
        <v>Normal Discount</v>
      </c>
      <c r="H5690" s="37" t="str">
        <f t="shared" si="442"/>
        <v>Medium</v>
      </c>
      <c r="I5690">
        <v>8</v>
      </c>
      <c r="J5690" t="str" cm="1">
        <f t="array" ref="J5690">_xlfn.IFS(I5690&lt;=3,"small",I5690&lt;=6,"Medium",I5690&lt;=9,"Large")</f>
        <v>Large</v>
      </c>
      <c r="K5690" s="36">
        <v>45174</v>
      </c>
      <c r="L5690" s="36">
        <v>45176</v>
      </c>
      <c r="M5690" t="s">
        <v>612</v>
      </c>
      <c r="N5690" t="s">
        <v>608</v>
      </c>
      <c r="O5690" s="37" t="str">
        <f t="shared" si="443"/>
        <v>Cash Payment</v>
      </c>
      <c r="P5690">
        <v>18.670000000000002</v>
      </c>
      <c r="Q5690" s="37" t="str">
        <f>IF(P5690&gt;500,"High","low")</f>
        <v>low</v>
      </c>
      <c r="R5690" s="37" t="str">
        <f t="shared" si="444"/>
        <v>AVERAGE</v>
      </c>
      <c r="S5690" t="s">
        <v>628</v>
      </c>
    </row>
    <row r="5691" spans="1:19" x14ac:dyDescent="0.2">
      <c r="A5691" t="s">
        <v>6302</v>
      </c>
      <c r="B5691" t="s">
        <v>83</v>
      </c>
      <c r="C5691" t="s">
        <v>607</v>
      </c>
      <c r="D5691">
        <v>1262.6500000000001</v>
      </c>
      <c r="E5691" s="37" t="str">
        <f t="shared" si="440"/>
        <v xml:space="preserve"> </v>
      </c>
      <c r="F5691">
        <v>0.03</v>
      </c>
      <c r="G5691" s="37" t="str">
        <f t="shared" si="441"/>
        <v>Normal Discount</v>
      </c>
      <c r="H5691" s="37" t="str">
        <f t="shared" si="442"/>
        <v>Low</v>
      </c>
      <c r="I5691">
        <v>9</v>
      </c>
      <c r="J5691" t="str" cm="1">
        <f t="array" ref="J5691">_xlfn.IFS(I5691&lt;=3,"small",I5691&lt;=6,"Medium",I5691&lt;=9,"Large")</f>
        <v>Large</v>
      </c>
      <c r="K5691" s="36">
        <v>45317</v>
      </c>
      <c r="L5691" s="36">
        <v>45323</v>
      </c>
      <c r="M5691" t="s">
        <v>612</v>
      </c>
      <c r="N5691" t="s">
        <v>604</v>
      </c>
      <c r="O5691" s="37" t="str">
        <f t="shared" si="443"/>
        <v>Digital Payment</v>
      </c>
      <c r="P5691">
        <v>76.98</v>
      </c>
      <c r="Q5691" s="37" t="str">
        <f>IF(P5691&gt;500,"High","low")</f>
        <v>low</v>
      </c>
      <c r="R5691" s="37" t="str">
        <f t="shared" si="444"/>
        <v>AVERAGE</v>
      </c>
      <c r="S5691" t="s">
        <v>628</v>
      </c>
    </row>
    <row r="5692" spans="1:19" x14ac:dyDescent="0.2">
      <c r="A5692" t="s">
        <v>6303</v>
      </c>
      <c r="B5692" t="s">
        <v>83</v>
      </c>
      <c r="C5692" t="s">
        <v>617</v>
      </c>
      <c r="D5692">
        <v>328.14</v>
      </c>
      <c r="E5692" s="37" t="str">
        <f t="shared" si="440"/>
        <v xml:space="preserve"> </v>
      </c>
      <c r="F5692">
        <v>0.45</v>
      </c>
      <c r="G5692" s="37" t="str">
        <f t="shared" si="441"/>
        <v>Heavy Discount</v>
      </c>
      <c r="H5692" s="37" t="str">
        <f t="shared" si="442"/>
        <v>High</v>
      </c>
      <c r="I5692">
        <v>6</v>
      </c>
      <c r="J5692" t="str" cm="1">
        <f t="array" ref="J5692">_xlfn.IFS(I5692&lt;=3,"small",I5692&lt;=6,"Medium",I5692&lt;=9,"Large")</f>
        <v>Medium</v>
      </c>
      <c r="K5692" s="36">
        <v>45171</v>
      </c>
      <c r="L5692" s="36">
        <v>45178</v>
      </c>
      <c r="M5692" t="s">
        <v>603</v>
      </c>
      <c r="N5692" t="s">
        <v>608</v>
      </c>
      <c r="O5692" s="37" t="str">
        <f t="shared" si="443"/>
        <v>Cash Payment</v>
      </c>
      <c r="P5692">
        <v>27.71</v>
      </c>
      <c r="Q5692" s="37" t="str">
        <f>IF(P5692&gt;500,"High","low")</f>
        <v>low</v>
      </c>
      <c r="R5692" s="37" t="str">
        <f t="shared" si="444"/>
        <v>AVERAGE</v>
      </c>
      <c r="S5692" t="s">
        <v>628</v>
      </c>
    </row>
    <row r="5693" spans="1:19" x14ac:dyDescent="0.2">
      <c r="A5693" t="s">
        <v>6304</v>
      </c>
      <c r="B5693" t="s">
        <v>75</v>
      </c>
      <c r="C5693" t="s">
        <v>607</v>
      </c>
      <c r="D5693">
        <v>641.91999999999996</v>
      </c>
      <c r="E5693" s="37" t="str">
        <f t="shared" si="440"/>
        <v xml:space="preserve"> </v>
      </c>
      <c r="F5693">
        <v>0.26</v>
      </c>
      <c r="G5693" s="37" t="str">
        <f t="shared" si="441"/>
        <v>Normal Discount</v>
      </c>
      <c r="H5693" s="37" t="str">
        <f t="shared" si="442"/>
        <v>Medium</v>
      </c>
      <c r="I5693">
        <v>3</v>
      </c>
      <c r="J5693" t="str" cm="1">
        <f t="array" ref="J5693">_xlfn.IFS(I5693&lt;=3,"small",I5693&lt;=6,"Medium",I5693&lt;=9,"Large")</f>
        <v>small</v>
      </c>
      <c r="K5693" s="36">
        <v>45072</v>
      </c>
      <c r="L5693" s="36">
        <v>45074</v>
      </c>
      <c r="M5693" t="s">
        <v>603</v>
      </c>
      <c r="N5693" t="s">
        <v>599</v>
      </c>
      <c r="O5693" s="37" t="str">
        <f t="shared" si="443"/>
        <v>Digital Payment</v>
      </c>
      <c r="P5693">
        <v>102.48</v>
      </c>
      <c r="Q5693" s="37" t="str">
        <f>IF(P5693&gt;500,"High","low")</f>
        <v>low</v>
      </c>
      <c r="R5693" s="37" t="str">
        <f t="shared" si="444"/>
        <v>AVERAGE</v>
      </c>
      <c r="S5693" t="s">
        <v>628</v>
      </c>
    </row>
    <row r="5694" spans="1:19" x14ac:dyDescent="0.2">
      <c r="A5694" t="s">
        <v>6305</v>
      </c>
      <c r="B5694" t="s">
        <v>83</v>
      </c>
      <c r="C5694" t="s">
        <v>614</v>
      </c>
      <c r="D5694">
        <v>2708.66</v>
      </c>
      <c r="E5694" s="37" t="str">
        <f t="shared" si="440"/>
        <v xml:space="preserve"> </v>
      </c>
      <c r="F5694">
        <v>0.27</v>
      </c>
      <c r="G5694" s="37" t="str">
        <f t="shared" si="441"/>
        <v>Normal Discount</v>
      </c>
      <c r="H5694" s="37" t="str">
        <f t="shared" si="442"/>
        <v>Medium</v>
      </c>
      <c r="I5694">
        <v>8</v>
      </c>
      <c r="J5694" t="str" cm="1">
        <f t="array" ref="J5694">_xlfn.IFS(I5694&lt;=3,"small",I5694&lt;=6,"Medium",I5694&lt;=9,"Large")</f>
        <v>Large</v>
      </c>
      <c r="K5694" s="36">
        <v>45352</v>
      </c>
      <c r="L5694" s="36">
        <v>45354</v>
      </c>
      <c r="M5694" t="s">
        <v>598</v>
      </c>
      <c r="N5694" t="s">
        <v>608</v>
      </c>
      <c r="O5694" s="37" t="str">
        <f t="shared" si="443"/>
        <v>Cash Payment</v>
      </c>
      <c r="P5694">
        <v>672.68</v>
      </c>
      <c r="Q5694" s="37" t="str">
        <f>IF(P5694&gt;500,"High","low")</f>
        <v>High</v>
      </c>
      <c r="R5694" s="37" t="str">
        <f t="shared" si="444"/>
        <v>Good</v>
      </c>
      <c r="S5694" t="s">
        <v>609</v>
      </c>
    </row>
    <row r="5695" spans="1:19" x14ac:dyDescent="0.2">
      <c r="A5695" t="s">
        <v>6306</v>
      </c>
      <c r="B5695" t="s">
        <v>75</v>
      </c>
      <c r="C5695" t="s">
        <v>614</v>
      </c>
      <c r="D5695">
        <v>282.56</v>
      </c>
      <c r="E5695" s="37" t="str">
        <f t="shared" si="440"/>
        <v xml:space="preserve"> </v>
      </c>
      <c r="F5695">
        <v>0.01</v>
      </c>
      <c r="G5695" s="37" t="str">
        <f t="shared" si="441"/>
        <v>Normal Discount</v>
      </c>
      <c r="H5695" s="37" t="str">
        <f t="shared" si="442"/>
        <v>Low</v>
      </c>
      <c r="I5695">
        <v>3</v>
      </c>
      <c r="J5695" t="str" cm="1">
        <f t="array" ref="J5695">_xlfn.IFS(I5695&lt;=3,"small",I5695&lt;=6,"Medium",I5695&lt;=9,"Large")</f>
        <v>small</v>
      </c>
      <c r="K5695" s="36">
        <v>45257</v>
      </c>
      <c r="L5695" s="36">
        <v>45261</v>
      </c>
      <c r="M5695" t="s">
        <v>612</v>
      </c>
      <c r="N5695" t="s">
        <v>599</v>
      </c>
      <c r="O5695" s="37" t="str">
        <f t="shared" si="443"/>
        <v>Digital Payment</v>
      </c>
      <c r="P5695">
        <v>76.98</v>
      </c>
      <c r="Q5695" s="37" t="str">
        <f>IF(P5695&gt;500,"High","low")</f>
        <v>low</v>
      </c>
      <c r="R5695" s="37" t="str">
        <f t="shared" si="444"/>
        <v>AVERAGE</v>
      </c>
      <c r="S5695" t="s">
        <v>605</v>
      </c>
    </row>
    <row r="5696" spans="1:19" x14ac:dyDescent="0.2">
      <c r="A5696" t="s">
        <v>6307</v>
      </c>
      <c r="B5696" t="s">
        <v>67</v>
      </c>
      <c r="C5696" t="s">
        <v>602</v>
      </c>
      <c r="D5696">
        <v>988.77</v>
      </c>
      <c r="E5696" s="37" t="str">
        <f t="shared" si="440"/>
        <v xml:space="preserve"> </v>
      </c>
      <c r="F5696">
        <v>0.05</v>
      </c>
      <c r="G5696" s="37" t="str">
        <f t="shared" si="441"/>
        <v>Normal Discount</v>
      </c>
      <c r="H5696" s="37" t="str">
        <f t="shared" si="442"/>
        <v>Low</v>
      </c>
      <c r="I5696">
        <v>7</v>
      </c>
      <c r="J5696" t="str" cm="1">
        <f t="array" ref="J5696">_xlfn.IFS(I5696&lt;=3,"small",I5696&lt;=6,"Medium",I5696&lt;=9,"Large")</f>
        <v>Large</v>
      </c>
      <c r="K5696" s="36">
        <v>45119</v>
      </c>
      <c r="L5696" s="36">
        <v>45120</v>
      </c>
      <c r="M5696" t="s">
        <v>612</v>
      </c>
      <c r="N5696" t="s">
        <v>599</v>
      </c>
      <c r="O5696" s="37" t="str">
        <f t="shared" si="443"/>
        <v>Digital Payment</v>
      </c>
      <c r="P5696">
        <v>162.61000000000001</v>
      </c>
      <c r="Q5696" s="37" t="str">
        <f>IF(P5696&gt;500,"High","low")</f>
        <v>low</v>
      </c>
      <c r="R5696" s="37" t="str">
        <f t="shared" si="444"/>
        <v>AVERAGE</v>
      </c>
      <c r="S5696" t="s">
        <v>600</v>
      </c>
    </row>
    <row r="5697" spans="1:19" x14ac:dyDescent="0.2">
      <c r="A5697" t="s">
        <v>6308</v>
      </c>
      <c r="B5697" t="s">
        <v>75</v>
      </c>
      <c r="C5697" t="s">
        <v>602</v>
      </c>
      <c r="D5697">
        <v>1240.43</v>
      </c>
      <c r="E5697" s="37" t="str">
        <f t="shared" si="440"/>
        <v xml:space="preserve"> </v>
      </c>
      <c r="F5697">
        <v>0.39</v>
      </c>
      <c r="G5697" s="37" t="str">
        <f t="shared" si="441"/>
        <v>Heavy Discount</v>
      </c>
      <c r="H5697" s="37" t="str">
        <f t="shared" si="442"/>
        <v>Medium</v>
      </c>
      <c r="I5697">
        <v>2</v>
      </c>
      <c r="J5697" t="str" cm="1">
        <f t="array" ref="J5697">_xlfn.IFS(I5697&lt;=3,"small",I5697&lt;=6,"Medium",I5697&lt;=9,"Large")</f>
        <v>small</v>
      </c>
      <c r="K5697" s="36">
        <v>45563</v>
      </c>
      <c r="L5697" s="36">
        <v>45564</v>
      </c>
      <c r="M5697" t="s">
        <v>598</v>
      </c>
      <c r="N5697" t="s">
        <v>604</v>
      </c>
      <c r="O5697" s="37" t="str">
        <f t="shared" si="443"/>
        <v>Digital Payment</v>
      </c>
      <c r="P5697">
        <v>370.57</v>
      </c>
      <c r="Q5697" s="37" t="str">
        <f>IF(P5697&gt;500,"High","low")</f>
        <v>low</v>
      </c>
      <c r="R5697" s="37" t="str">
        <f t="shared" si="444"/>
        <v>AVERAGE</v>
      </c>
      <c r="S5697" t="s">
        <v>628</v>
      </c>
    </row>
    <row r="5698" spans="1:19" x14ac:dyDescent="0.2">
      <c r="A5698" t="s">
        <v>6309</v>
      </c>
      <c r="B5698" t="s">
        <v>67</v>
      </c>
      <c r="C5698" t="s">
        <v>602</v>
      </c>
      <c r="D5698">
        <v>3311.16</v>
      </c>
      <c r="E5698" s="37" t="str">
        <f t="shared" si="440"/>
        <v xml:space="preserve"> </v>
      </c>
      <c r="F5698">
        <v>0.22</v>
      </c>
      <c r="G5698" s="37" t="str">
        <f t="shared" si="441"/>
        <v>Normal Discount</v>
      </c>
      <c r="H5698" s="37" t="str">
        <f t="shared" si="442"/>
        <v>Medium</v>
      </c>
      <c r="I5698">
        <v>6</v>
      </c>
      <c r="J5698" t="str" cm="1">
        <f t="array" ref="J5698">_xlfn.IFS(I5698&lt;=3,"small",I5698&lt;=6,"Medium",I5698&lt;=9,"Large")</f>
        <v>Medium</v>
      </c>
      <c r="K5698" s="36">
        <v>45051</v>
      </c>
      <c r="L5698" s="36">
        <v>45055</v>
      </c>
      <c r="M5698" t="s">
        <v>612</v>
      </c>
      <c r="N5698" t="s">
        <v>604</v>
      </c>
      <c r="O5698" s="37" t="str">
        <f t="shared" si="443"/>
        <v>Digital Payment</v>
      </c>
      <c r="P5698">
        <v>976.62</v>
      </c>
      <c r="Q5698" s="37" t="str">
        <f>IF(P5698&gt;500,"High","low")</f>
        <v>High</v>
      </c>
      <c r="R5698" s="37" t="str">
        <f t="shared" si="444"/>
        <v>Good</v>
      </c>
      <c r="S5698" t="s">
        <v>620</v>
      </c>
    </row>
    <row r="5699" spans="1:19" x14ac:dyDescent="0.2">
      <c r="A5699" t="s">
        <v>6310</v>
      </c>
      <c r="B5699" t="s">
        <v>75</v>
      </c>
      <c r="C5699" t="s">
        <v>614</v>
      </c>
      <c r="D5699">
        <v>2397.2199999999998</v>
      </c>
      <c r="E5699" s="37" t="str">
        <f t="shared" ref="E5699:E5762" si="445">IF(AND(D5699&gt;4000,P5699&gt;800),"Excellent Order"," ")</f>
        <v xml:space="preserve"> </v>
      </c>
      <c r="F5699">
        <v>0.5</v>
      </c>
      <c r="G5699" s="37" t="str">
        <f t="shared" ref="G5699:G5762" si="446">IF(F5699&gt;30%,"Heavy Discount","Normal Discount")</f>
        <v>Heavy Discount</v>
      </c>
      <c r="H5699" s="37" t="str">
        <f t="shared" ref="H5699:H5762" si="447">IF(F5699&gt;0.4,"High",IF(F5699&gt;=0.2,"Medium","Low"))</f>
        <v>High</v>
      </c>
      <c r="I5699">
        <v>8</v>
      </c>
      <c r="J5699" t="str" cm="1">
        <f t="array" ref="J5699">_xlfn.IFS(I5699&lt;=3,"small",I5699&lt;=6,"Medium",I5699&lt;=9,"Large")</f>
        <v>Large</v>
      </c>
      <c r="K5699" s="36">
        <v>45495</v>
      </c>
      <c r="L5699" s="36">
        <v>45500</v>
      </c>
      <c r="M5699" t="s">
        <v>603</v>
      </c>
      <c r="N5699" t="s">
        <v>599</v>
      </c>
      <c r="O5699" s="37" t="str">
        <f t="shared" ref="O5699:O5762" si="448">IF(OR(N5699="Card",N5699="UPI"),"Digital Payment","Cash Payment")</f>
        <v>Digital Payment</v>
      </c>
      <c r="P5699">
        <v>337.81</v>
      </c>
      <c r="Q5699" s="37" t="str">
        <f>IF(P5699&gt;500,"High","low")</f>
        <v>low</v>
      </c>
      <c r="R5699" s="37" t="str">
        <f t="shared" ref="R5699:R5762" si="449">IF(P5699&gt;1000,"Excellent",IF(P5699&gt;=500,"Good","AVERAGE"))</f>
        <v>AVERAGE</v>
      </c>
      <c r="S5699" t="s">
        <v>620</v>
      </c>
    </row>
    <row r="5700" spans="1:19" x14ac:dyDescent="0.2">
      <c r="A5700" t="s">
        <v>6311</v>
      </c>
      <c r="B5700" t="s">
        <v>90</v>
      </c>
      <c r="C5700" t="s">
        <v>602</v>
      </c>
      <c r="D5700">
        <v>2346.2199999999998</v>
      </c>
      <c r="E5700" s="37" t="str">
        <f t="shared" si="445"/>
        <v xml:space="preserve"> </v>
      </c>
      <c r="F5700">
        <v>0.35</v>
      </c>
      <c r="G5700" s="37" t="str">
        <f t="shared" si="446"/>
        <v>Heavy Discount</v>
      </c>
      <c r="H5700" s="37" t="str">
        <f t="shared" si="447"/>
        <v>Medium</v>
      </c>
      <c r="I5700">
        <v>3</v>
      </c>
      <c r="J5700" t="str" cm="1">
        <f t="array" ref="J5700">_xlfn.IFS(I5700&lt;=3,"small",I5700&lt;=6,"Medium",I5700&lt;=9,"Large")</f>
        <v>small</v>
      </c>
      <c r="K5700" s="36">
        <v>45412</v>
      </c>
      <c r="L5700" s="36">
        <v>45416</v>
      </c>
      <c r="M5700" t="s">
        <v>603</v>
      </c>
      <c r="N5700" t="s">
        <v>604</v>
      </c>
      <c r="O5700" s="37" t="str">
        <f t="shared" si="448"/>
        <v>Digital Payment</v>
      </c>
      <c r="P5700">
        <v>155.33000000000001</v>
      </c>
      <c r="Q5700" s="37" t="str">
        <f>IF(P5700&gt;500,"High","low")</f>
        <v>low</v>
      </c>
      <c r="R5700" s="37" t="str">
        <f t="shared" si="449"/>
        <v>AVERAGE</v>
      </c>
      <c r="S5700" t="s">
        <v>600</v>
      </c>
    </row>
    <row r="5701" spans="1:19" x14ac:dyDescent="0.2">
      <c r="A5701" t="s">
        <v>6312</v>
      </c>
      <c r="B5701" t="s">
        <v>83</v>
      </c>
      <c r="C5701" t="s">
        <v>602</v>
      </c>
      <c r="D5701">
        <v>3865.32</v>
      </c>
      <c r="E5701" s="37" t="str">
        <f t="shared" si="445"/>
        <v xml:space="preserve"> </v>
      </c>
      <c r="F5701">
        <v>0.47</v>
      </c>
      <c r="G5701" s="37" t="str">
        <f t="shared" si="446"/>
        <v>Heavy Discount</v>
      </c>
      <c r="H5701" s="37" t="str">
        <f t="shared" si="447"/>
        <v>High</v>
      </c>
      <c r="I5701">
        <v>9</v>
      </c>
      <c r="J5701" t="str" cm="1">
        <f t="array" ref="J5701">_xlfn.IFS(I5701&lt;=3,"small",I5701&lt;=6,"Medium",I5701&lt;=9,"Large")</f>
        <v>Large</v>
      </c>
      <c r="K5701" s="36">
        <v>45123</v>
      </c>
      <c r="L5701" s="36">
        <v>45125</v>
      </c>
      <c r="M5701" t="s">
        <v>612</v>
      </c>
      <c r="N5701" t="s">
        <v>604</v>
      </c>
      <c r="O5701" s="37" t="str">
        <f t="shared" si="448"/>
        <v>Digital Payment</v>
      </c>
      <c r="P5701">
        <v>669.56</v>
      </c>
      <c r="Q5701" s="37" t="str">
        <f>IF(P5701&gt;500,"High","low")</f>
        <v>High</v>
      </c>
      <c r="R5701" s="37" t="str">
        <f t="shared" si="449"/>
        <v>Good</v>
      </c>
      <c r="S5701" t="s">
        <v>620</v>
      </c>
    </row>
    <row r="5702" spans="1:19" x14ac:dyDescent="0.2">
      <c r="A5702" t="s">
        <v>6313</v>
      </c>
      <c r="B5702" t="s">
        <v>67</v>
      </c>
      <c r="C5702" t="s">
        <v>614</v>
      </c>
      <c r="D5702">
        <v>2337.9299999999998</v>
      </c>
      <c r="E5702" s="37" t="str">
        <f t="shared" si="445"/>
        <v xml:space="preserve"> </v>
      </c>
      <c r="F5702">
        <v>0.14000000000000001</v>
      </c>
      <c r="G5702" s="37" t="str">
        <f t="shared" si="446"/>
        <v>Normal Discount</v>
      </c>
      <c r="H5702" s="37" t="str">
        <f t="shared" si="447"/>
        <v>Low</v>
      </c>
      <c r="I5702">
        <v>9</v>
      </c>
      <c r="J5702" t="str" cm="1">
        <f t="array" ref="J5702">_xlfn.IFS(I5702&lt;=3,"small",I5702&lt;=6,"Medium",I5702&lt;=9,"Large")</f>
        <v>Large</v>
      </c>
      <c r="K5702" s="36">
        <v>45140</v>
      </c>
      <c r="L5702" s="36">
        <v>45146</v>
      </c>
      <c r="M5702" t="s">
        <v>612</v>
      </c>
      <c r="N5702" t="s">
        <v>604</v>
      </c>
      <c r="O5702" s="37" t="str">
        <f t="shared" si="448"/>
        <v>Digital Payment</v>
      </c>
      <c r="P5702">
        <v>689.39</v>
      </c>
      <c r="Q5702" s="37" t="str">
        <f>IF(P5702&gt;500,"High","low")</f>
        <v>High</v>
      </c>
      <c r="R5702" s="37" t="str">
        <f t="shared" si="449"/>
        <v>Good</v>
      </c>
      <c r="S5702" t="s">
        <v>628</v>
      </c>
    </row>
    <row r="5703" spans="1:19" x14ac:dyDescent="0.2">
      <c r="A5703" t="s">
        <v>6314</v>
      </c>
      <c r="B5703" t="s">
        <v>75</v>
      </c>
      <c r="C5703" t="s">
        <v>617</v>
      </c>
      <c r="D5703">
        <v>1807.59</v>
      </c>
      <c r="E5703" s="37" t="str">
        <f t="shared" si="445"/>
        <v xml:space="preserve"> </v>
      </c>
      <c r="F5703">
        <v>0.09</v>
      </c>
      <c r="G5703" s="37" t="str">
        <f t="shared" si="446"/>
        <v>Normal Discount</v>
      </c>
      <c r="H5703" s="37" t="str">
        <f t="shared" si="447"/>
        <v>Low</v>
      </c>
      <c r="I5703">
        <v>3</v>
      </c>
      <c r="J5703" t="str" cm="1">
        <f t="array" ref="J5703">_xlfn.IFS(I5703&lt;=3,"small",I5703&lt;=6,"Medium",I5703&lt;=9,"Large")</f>
        <v>small</v>
      </c>
      <c r="K5703" s="36">
        <v>45387</v>
      </c>
      <c r="L5703" s="36">
        <v>45394</v>
      </c>
      <c r="M5703" t="s">
        <v>603</v>
      </c>
      <c r="N5703" t="s">
        <v>604</v>
      </c>
      <c r="O5703" s="37" t="str">
        <f t="shared" si="448"/>
        <v>Digital Payment</v>
      </c>
      <c r="P5703">
        <v>255.7</v>
      </c>
      <c r="Q5703" s="37" t="str">
        <f>IF(P5703&gt;500,"High","low")</f>
        <v>low</v>
      </c>
      <c r="R5703" s="37" t="str">
        <f t="shared" si="449"/>
        <v>AVERAGE</v>
      </c>
      <c r="S5703" t="s">
        <v>628</v>
      </c>
    </row>
    <row r="5704" spans="1:19" x14ac:dyDescent="0.2">
      <c r="A5704" t="s">
        <v>6315</v>
      </c>
      <c r="B5704" t="s">
        <v>83</v>
      </c>
      <c r="C5704" t="s">
        <v>607</v>
      </c>
      <c r="D5704">
        <v>4816.01</v>
      </c>
      <c r="E5704" s="37" t="str">
        <f t="shared" si="445"/>
        <v xml:space="preserve"> </v>
      </c>
      <c r="F5704">
        <v>0.19</v>
      </c>
      <c r="G5704" s="37" t="str">
        <f t="shared" si="446"/>
        <v>Normal Discount</v>
      </c>
      <c r="H5704" s="37" t="str">
        <f t="shared" si="447"/>
        <v>Low</v>
      </c>
      <c r="I5704">
        <v>3</v>
      </c>
      <c r="J5704" t="str" cm="1">
        <f t="array" ref="J5704">_xlfn.IFS(I5704&lt;=3,"small",I5704&lt;=6,"Medium",I5704&lt;=9,"Large")</f>
        <v>small</v>
      </c>
      <c r="K5704" s="36">
        <v>45455</v>
      </c>
      <c r="L5704" s="36">
        <v>45456</v>
      </c>
      <c r="M5704" t="s">
        <v>612</v>
      </c>
      <c r="N5704" t="s">
        <v>608</v>
      </c>
      <c r="O5704" s="37" t="str">
        <f t="shared" si="448"/>
        <v>Cash Payment</v>
      </c>
      <c r="P5704">
        <v>663.94</v>
      </c>
      <c r="Q5704" s="37" t="str">
        <f>IF(P5704&gt;500,"High","low")</f>
        <v>High</v>
      </c>
      <c r="R5704" s="37" t="str">
        <f t="shared" si="449"/>
        <v>Good</v>
      </c>
      <c r="S5704" t="s">
        <v>605</v>
      </c>
    </row>
    <row r="5705" spans="1:19" x14ac:dyDescent="0.2">
      <c r="A5705" t="s">
        <v>6316</v>
      </c>
      <c r="B5705" t="s">
        <v>75</v>
      </c>
      <c r="C5705" t="s">
        <v>597</v>
      </c>
      <c r="D5705">
        <v>140.63999999999999</v>
      </c>
      <c r="E5705" s="37" t="str">
        <f t="shared" si="445"/>
        <v xml:space="preserve"> </v>
      </c>
      <c r="F5705">
        <v>0.13</v>
      </c>
      <c r="G5705" s="37" t="str">
        <f t="shared" si="446"/>
        <v>Normal Discount</v>
      </c>
      <c r="H5705" s="37" t="str">
        <f t="shared" si="447"/>
        <v>Low</v>
      </c>
      <c r="I5705">
        <v>5</v>
      </c>
      <c r="J5705" t="str" cm="1">
        <f t="array" ref="J5705">_xlfn.IFS(I5705&lt;=3,"small",I5705&lt;=6,"Medium",I5705&lt;=9,"Large")</f>
        <v>Medium</v>
      </c>
      <c r="K5705" s="36">
        <v>45424</v>
      </c>
      <c r="L5705" s="36">
        <v>45431</v>
      </c>
      <c r="M5705" t="s">
        <v>612</v>
      </c>
      <c r="N5705" t="s">
        <v>608</v>
      </c>
      <c r="O5705" s="37" t="str">
        <f t="shared" si="448"/>
        <v>Cash Payment</v>
      </c>
      <c r="P5705">
        <v>17.72</v>
      </c>
      <c r="Q5705" s="37" t="str">
        <f>IF(P5705&gt;500,"High","low")</f>
        <v>low</v>
      </c>
      <c r="R5705" s="37" t="str">
        <f t="shared" si="449"/>
        <v>AVERAGE</v>
      </c>
      <c r="S5705" t="s">
        <v>628</v>
      </c>
    </row>
    <row r="5706" spans="1:19" x14ac:dyDescent="0.2">
      <c r="A5706" t="s">
        <v>6317</v>
      </c>
      <c r="B5706" t="s">
        <v>83</v>
      </c>
      <c r="C5706" t="s">
        <v>614</v>
      </c>
      <c r="D5706">
        <v>1596.43</v>
      </c>
      <c r="E5706" s="37" t="str">
        <f t="shared" si="445"/>
        <v xml:space="preserve"> </v>
      </c>
      <c r="F5706">
        <v>0.31</v>
      </c>
      <c r="G5706" s="37" t="str">
        <f t="shared" si="446"/>
        <v>Heavy Discount</v>
      </c>
      <c r="H5706" s="37" t="str">
        <f t="shared" si="447"/>
        <v>Medium</v>
      </c>
      <c r="I5706">
        <v>9</v>
      </c>
      <c r="J5706" t="str" cm="1">
        <f t="array" ref="J5706">_xlfn.IFS(I5706&lt;=3,"small",I5706&lt;=6,"Medium",I5706&lt;=9,"Large")</f>
        <v>Large</v>
      </c>
      <c r="K5706" s="36">
        <v>45317</v>
      </c>
      <c r="L5706" s="36">
        <v>45323</v>
      </c>
      <c r="M5706" t="s">
        <v>598</v>
      </c>
      <c r="N5706" t="s">
        <v>599</v>
      </c>
      <c r="O5706" s="37" t="str">
        <f t="shared" si="448"/>
        <v>Digital Payment</v>
      </c>
      <c r="P5706">
        <v>458.99</v>
      </c>
      <c r="Q5706" s="37" t="str">
        <f>IF(P5706&gt;500,"High","low")</f>
        <v>low</v>
      </c>
      <c r="R5706" s="37" t="str">
        <f t="shared" si="449"/>
        <v>AVERAGE</v>
      </c>
      <c r="S5706" t="s">
        <v>600</v>
      </c>
    </row>
    <row r="5707" spans="1:19" x14ac:dyDescent="0.2">
      <c r="A5707" t="s">
        <v>6318</v>
      </c>
      <c r="B5707" t="s">
        <v>83</v>
      </c>
      <c r="C5707" t="s">
        <v>614</v>
      </c>
      <c r="D5707">
        <v>3086.02</v>
      </c>
      <c r="E5707" s="37" t="str">
        <f t="shared" si="445"/>
        <v xml:space="preserve"> </v>
      </c>
      <c r="F5707">
        <v>0.37</v>
      </c>
      <c r="G5707" s="37" t="str">
        <f t="shared" si="446"/>
        <v>Heavy Discount</v>
      </c>
      <c r="H5707" s="37" t="str">
        <f t="shared" si="447"/>
        <v>Medium</v>
      </c>
      <c r="I5707">
        <v>1</v>
      </c>
      <c r="J5707" t="str" cm="1">
        <f t="array" ref="J5707">_xlfn.IFS(I5707&lt;=3,"small",I5707&lt;=6,"Medium",I5707&lt;=9,"Large")</f>
        <v>small</v>
      </c>
      <c r="K5707" s="36">
        <v>45637</v>
      </c>
      <c r="L5707" s="36">
        <v>45641</v>
      </c>
      <c r="M5707" t="s">
        <v>612</v>
      </c>
      <c r="N5707" t="s">
        <v>599</v>
      </c>
      <c r="O5707" s="37" t="str">
        <f t="shared" si="448"/>
        <v>Digital Payment</v>
      </c>
      <c r="P5707">
        <v>299.57</v>
      </c>
      <c r="Q5707" s="37" t="str">
        <f>IF(P5707&gt;500,"High","low")</f>
        <v>low</v>
      </c>
      <c r="R5707" s="37" t="str">
        <f t="shared" si="449"/>
        <v>AVERAGE</v>
      </c>
      <c r="S5707" t="s">
        <v>600</v>
      </c>
    </row>
    <row r="5708" spans="1:19" x14ac:dyDescent="0.2">
      <c r="A5708" t="s">
        <v>6319</v>
      </c>
      <c r="B5708" t="s">
        <v>75</v>
      </c>
      <c r="C5708" t="s">
        <v>597</v>
      </c>
      <c r="D5708">
        <v>3935.77</v>
      </c>
      <c r="E5708" s="37" t="str">
        <f t="shared" si="445"/>
        <v xml:space="preserve"> </v>
      </c>
      <c r="F5708">
        <v>0.2</v>
      </c>
      <c r="G5708" s="37" t="str">
        <f t="shared" si="446"/>
        <v>Normal Discount</v>
      </c>
      <c r="H5708" s="37" t="str">
        <f t="shared" si="447"/>
        <v>Medium</v>
      </c>
      <c r="I5708">
        <v>1</v>
      </c>
      <c r="J5708" t="str" cm="1">
        <f t="array" ref="J5708">_xlfn.IFS(I5708&lt;=3,"small",I5708&lt;=6,"Medium",I5708&lt;=9,"Large")</f>
        <v>small</v>
      </c>
      <c r="K5708" s="36">
        <v>45194</v>
      </c>
      <c r="L5708" s="36">
        <v>45201</v>
      </c>
      <c r="M5708" t="s">
        <v>603</v>
      </c>
      <c r="N5708" t="s">
        <v>599</v>
      </c>
      <c r="O5708" s="37" t="str">
        <f t="shared" si="448"/>
        <v>Digital Payment</v>
      </c>
      <c r="P5708">
        <v>625.08000000000004</v>
      </c>
      <c r="Q5708" s="37" t="str">
        <f>IF(P5708&gt;500,"High","low")</f>
        <v>High</v>
      </c>
      <c r="R5708" s="37" t="str">
        <f t="shared" si="449"/>
        <v>Good</v>
      </c>
      <c r="S5708" t="s">
        <v>609</v>
      </c>
    </row>
    <row r="5709" spans="1:19" x14ac:dyDescent="0.2">
      <c r="A5709" t="s">
        <v>6320</v>
      </c>
      <c r="B5709" t="s">
        <v>67</v>
      </c>
      <c r="C5709" t="s">
        <v>597</v>
      </c>
      <c r="D5709">
        <v>4100.42</v>
      </c>
      <c r="E5709" s="37" t="str">
        <f t="shared" si="445"/>
        <v xml:space="preserve"> </v>
      </c>
      <c r="F5709">
        <v>0.04</v>
      </c>
      <c r="G5709" s="37" t="str">
        <f t="shared" si="446"/>
        <v>Normal Discount</v>
      </c>
      <c r="H5709" s="37" t="str">
        <f t="shared" si="447"/>
        <v>Low</v>
      </c>
      <c r="I5709">
        <v>1</v>
      </c>
      <c r="J5709" t="str" cm="1">
        <f t="array" ref="J5709">_xlfn.IFS(I5709&lt;=3,"small",I5709&lt;=6,"Medium",I5709&lt;=9,"Large")</f>
        <v>small</v>
      </c>
      <c r="K5709" s="36">
        <v>45220</v>
      </c>
      <c r="L5709" s="36">
        <v>45222</v>
      </c>
      <c r="M5709" t="s">
        <v>612</v>
      </c>
      <c r="N5709" t="s">
        <v>604</v>
      </c>
      <c r="O5709" s="37" t="str">
        <f t="shared" si="448"/>
        <v>Digital Payment</v>
      </c>
      <c r="P5709">
        <v>414.61</v>
      </c>
      <c r="Q5709" s="37" t="str">
        <f>IF(P5709&gt;500,"High","low")</f>
        <v>low</v>
      </c>
      <c r="R5709" s="37" t="str">
        <f t="shared" si="449"/>
        <v>AVERAGE</v>
      </c>
      <c r="S5709" t="s">
        <v>605</v>
      </c>
    </row>
    <row r="5710" spans="1:19" x14ac:dyDescent="0.2">
      <c r="A5710" t="s">
        <v>6321</v>
      </c>
      <c r="B5710" t="s">
        <v>67</v>
      </c>
      <c r="C5710" t="s">
        <v>602</v>
      </c>
      <c r="D5710">
        <v>325.76</v>
      </c>
      <c r="E5710" s="37" t="str">
        <f t="shared" si="445"/>
        <v xml:space="preserve"> </v>
      </c>
      <c r="F5710">
        <v>0.01</v>
      </c>
      <c r="G5710" s="37" t="str">
        <f t="shared" si="446"/>
        <v>Normal Discount</v>
      </c>
      <c r="H5710" s="37" t="str">
        <f t="shared" si="447"/>
        <v>Low</v>
      </c>
      <c r="I5710">
        <v>4</v>
      </c>
      <c r="J5710" t="str" cm="1">
        <f t="array" ref="J5710">_xlfn.IFS(I5710&lt;=3,"small",I5710&lt;=6,"Medium",I5710&lt;=9,"Large")</f>
        <v>Medium</v>
      </c>
      <c r="K5710" s="36">
        <v>45141</v>
      </c>
      <c r="L5710" s="36">
        <v>45143</v>
      </c>
      <c r="M5710" t="s">
        <v>612</v>
      </c>
      <c r="N5710" t="s">
        <v>608</v>
      </c>
      <c r="O5710" s="37" t="str">
        <f t="shared" si="448"/>
        <v>Cash Payment</v>
      </c>
      <c r="P5710">
        <v>25.39</v>
      </c>
      <c r="Q5710" s="37" t="str">
        <f>IF(P5710&gt;500,"High","low")</f>
        <v>low</v>
      </c>
      <c r="R5710" s="37" t="str">
        <f t="shared" si="449"/>
        <v>AVERAGE</v>
      </c>
      <c r="S5710" t="s">
        <v>628</v>
      </c>
    </row>
    <row r="5711" spans="1:19" x14ac:dyDescent="0.2">
      <c r="A5711" t="s">
        <v>6322</v>
      </c>
      <c r="B5711" t="s">
        <v>90</v>
      </c>
      <c r="C5711" t="s">
        <v>597</v>
      </c>
      <c r="D5711">
        <v>3574.75</v>
      </c>
      <c r="E5711" s="37" t="str">
        <f t="shared" si="445"/>
        <v xml:space="preserve"> </v>
      </c>
      <c r="F5711">
        <v>0.11</v>
      </c>
      <c r="G5711" s="37" t="str">
        <f t="shared" si="446"/>
        <v>Normal Discount</v>
      </c>
      <c r="H5711" s="37" t="str">
        <f t="shared" si="447"/>
        <v>Low</v>
      </c>
      <c r="I5711">
        <v>7</v>
      </c>
      <c r="J5711" t="str" cm="1">
        <f t="array" ref="J5711">_xlfn.IFS(I5711&lt;=3,"small",I5711&lt;=6,"Medium",I5711&lt;=9,"Large")</f>
        <v>Large</v>
      </c>
      <c r="K5711" s="36">
        <v>45614</v>
      </c>
      <c r="L5711" s="36">
        <v>45617</v>
      </c>
      <c r="M5711" t="s">
        <v>603</v>
      </c>
      <c r="N5711" t="s">
        <v>599</v>
      </c>
      <c r="O5711" s="37" t="str">
        <f t="shared" si="448"/>
        <v>Digital Payment</v>
      </c>
      <c r="P5711">
        <v>568.82000000000005</v>
      </c>
      <c r="Q5711" s="37" t="str">
        <f>IF(P5711&gt;500,"High","low")</f>
        <v>High</v>
      </c>
      <c r="R5711" s="37" t="str">
        <f t="shared" si="449"/>
        <v>Good</v>
      </c>
      <c r="S5711" t="s">
        <v>605</v>
      </c>
    </row>
    <row r="5712" spans="1:19" x14ac:dyDescent="0.2">
      <c r="A5712" t="s">
        <v>6323</v>
      </c>
      <c r="B5712" t="s">
        <v>83</v>
      </c>
      <c r="C5712" t="s">
        <v>607</v>
      </c>
      <c r="D5712">
        <v>3629.24</v>
      </c>
      <c r="E5712" s="37" t="str">
        <f t="shared" si="445"/>
        <v xml:space="preserve"> </v>
      </c>
      <c r="F5712">
        <v>0.37</v>
      </c>
      <c r="G5712" s="37" t="str">
        <f t="shared" si="446"/>
        <v>Heavy Discount</v>
      </c>
      <c r="H5712" s="37" t="str">
        <f t="shared" si="447"/>
        <v>Medium</v>
      </c>
      <c r="I5712">
        <v>2</v>
      </c>
      <c r="J5712" t="str" cm="1">
        <f t="array" ref="J5712">_xlfn.IFS(I5712&lt;=3,"small",I5712&lt;=6,"Medium",I5712&lt;=9,"Large")</f>
        <v>small</v>
      </c>
      <c r="K5712" s="36">
        <v>45365</v>
      </c>
      <c r="L5712" s="36">
        <v>45370</v>
      </c>
      <c r="M5712" t="s">
        <v>603</v>
      </c>
      <c r="N5712" t="s">
        <v>608</v>
      </c>
      <c r="O5712" s="37" t="str">
        <f t="shared" si="448"/>
        <v>Cash Payment</v>
      </c>
      <c r="P5712">
        <v>912.69</v>
      </c>
      <c r="Q5712" s="37" t="str">
        <f>IF(P5712&gt;500,"High","low")</f>
        <v>High</v>
      </c>
      <c r="R5712" s="37" t="str">
        <f t="shared" si="449"/>
        <v>Good</v>
      </c>
      <c r="S5712" t="s">
        <v>615</v>
      </c>
    </row>
    <row r="5713" spans="1:19" x14ac:dyDescent="0.2">
      <c r="A5713" t="s">
        <v>6324</v>
      </c>
      <c r="B5713" t="s">
        <v>90</v>
      </c>
      <c r="C5713" t="s">
        <v>607</v>
      </c>
      <c r="D5713">
        <v>1148.99</v>
      </c>
      <c r="E5713" s="37" t="str">
        <f t="shared" si="445"/>
        <v xml:space="preserve"> </v>
      </c>
      <c r="F5713">
        <v>0.11</v>
      </c>
      <c r="G5713" s="37" t="str">
        <f t="shared" si="446"/>
        <v>Normal Discount</v>
      </c>
      <c r="H5713" s="37" t="str">
        <f t="shared" si="447"/>
        <v>Low</v>
      </c>
      <c r="I5713">
        <v>3</v>
      </c>
      <c r="J5713" t="str" cm="1">
        <f t="array" ref="J5713">_xlfn.IFS(I5713&lt;=3,"small",I5713&lt;=6,"Medium",I5713&lt;=9,"Large")</f>
        <v>small</v>
      </c>
      <c r="K5713" s="36">
        <v>45510</v>
      </c>
      <c r="L5713" s="36">
        <v>45517</v>
      </c>
      <c r="M5713" t="s">
        <v>612</v>
      </c>
      <c r="N5713" t="s">
        <v>599</v>
      </c>
      <c r="O5713" s="37" t="str">
        <f t="shared" si="448"/>
        <v>Digital Payment</v>
      </c>
      <c r="P5713">
        <v>59.68</v>
      </c>
      <c r="Q5713" s="37" t="str">
        <f>IF(P5713&gt;500,"High","low")</f>
        <v>low</v>
      </c>
      <c r="R5713" s="37" t="str">
        <f t="shared" si="449"/>
        <v>AVERAGE</v>
      </c>
      <c r="S5713" t="s">
        <v>620</v>
      </c>
    </row>
    <row r="5714" spans="1:19" x14ac:dyDescent="0.2">
      <c r="A5714" t="s">
        <v>6325</v>
      </c>
      <c r="B5714" t="s">
        <v>90</v>
      </c>
      <c r="C5714" t="s">
        <v>607</v>
      </c>
      <c r="D5714">
        <v>652.6</v>
      </c>
      <c r="E5714" s="37" t="str">
        <f t="shared" si="445"/>
        <v xml:space="preserve"> </v>
      </c>
      <c r="F5714">
        <v>0.46</v>
      </c>
      <c r="G5714" s="37" t="str">
        <f t="shared" si="446"/>
        <v>Heavy Discount</v>
      </c>
      <c r="H5714" s="37" t="str">
        <f t="shared" si="447"/>
        <v>High</v>
      </c>
      <c r="I5714">
        <v>4</v>
      </c>
      <c r="J5714" t="str" cm="1">
        <f t="array" ref="J5714">_xlfn.IFS(I5714&lt;=3,"small",I5714&lt;=6,"Medium",I5714&lt;=9,"Large")</f>
        <v>Medium</v>
      </c>
      <c r="K5714" s="36">
        <v>44941</v>
      </c>
      <c r="L5714" s="36">
        <v>44946</v>
      </c>
      <c r="M5714" t="s">
        <v>612</v>
      </c>
      <c r="N5714" t="s">
        <v>604</v>
      </c>
      <c r="O5714" s="37" t="str">
        <f t="shared" si="448"/>
        <v>Digital Payment</v>
      </c>
      <c r="P5714">
        <v>111.76</v>
      </c>
      <c r="Q5714" s="37" t="str">
        <f>IF(P5714&gt;500,"High","low")</f>
        <v>low</v>
      </c>
      <c r="R5714" s="37" t="str">
        <f t="shared" si="449"/>
        <v>AVERAGE</v>
      </c>
      <c r="S5714" t="s">
        <v>609</v>
      </c>
    </row>
    <row r="5715" spans="1:19" x14ac:dyDescent="0.2">
      <c r="A5715" t="s">
        <v>6326</v>
      </c>
      <c r="B5715" t="s">
        <v>75</v>
      </c>
      <c r="C5715" t="s">
        <v>607</v>
      </c>
      <c r="D5715">
        <v>3773.46</v>
      </c>
      <c r="E5715" s="37" t="str">
        <f t="shared" si="445"/>
        <v xml:space="preserve"> </v>
      </c>
      <c r="F5715">
        <v>0.33</v>
      </c>
      <c r="G5715" s="37" t="str">
        <f t="shared" si="446"/>
        <v>Heavy Discount</v>
      </c>
      <c r="H5715" s="37" t="str">
        <f t="shared" si="447"/>
        <v>Medium</v>
      </c>
      <c r="I5715">
        <v>1</v>
      </c>
      <c r="J5715" t="str" cm="1">
        <f t="array" ref="J5715">_xlfn.IFS(I5715&lt;=3,"small",I5715&lt;=6,"Medium",I5715&lt;=9,"Large")</f>
        <v>small</v>
      </c>
      <c r="K5715" s="36">
        <v>44956</v>
      </c>
      <c r="L5715" s="36">
        <v>44961</v>
      </c>
      <c r="M5715" t="s">
        <v>612</v>
      </c>
      <c r="N5715" t="s">
        <v>608</v>
      </c>
      <c r="O5715" s="37" t="str">
        <f t="shared" si="448"/>
        <v>Cash Payment</v>
      </c>
      <c r="P5715">
        <v>665.94</v>
      </c>
      <c r="Q5715" s="37" t="str">
        <f>IF(P5715&gt;500,"High","low")</f>
        <v>High</v>
      </c>
      <c r="R5715" s="37" t="str">
        <f t="shared" si="449"/>
        <v>Good</v>
      </c>
      <c r="S5715" t="s">
        <v>628</v>
      </c>
    </row>
    <row r="5716" spans="1:19" x14ac:dyDescent="0.2">
      <c r="A5716" t="s">
        <v>6327</v>
      </c>
      <c r="B5716" t="s">
        <v>75</v>
      </c>
      <c r="C5716" t="s">
        <v>607</v>
      </c>
      <c r="D5716">
        <v>1322.55</v>
      </c>
      <c r="E5716" s="37" t="str">
        <f t="shared" si="445"/>
        <v xml:space="preserve"> </v>
      </c>
      <c r="F5716">
        <v>0.43</v>
      </c>
      <c r="G5716" s="37" t="str">
        <f t="shared" si="446"/>
        <v>Heavy Discount</v>
      </c>
      <c r="H5716" s="37" t="str">
        <f t="shared" si="447"/>
        <v>High</v>
      </c>
      <c r="I5716">
        <v>2</v>
      </c>
      <c r="J5716" t="str" cm="1">
        <f t="array" ref="J5716">_xlfn.IFS(I5716&lt;=3,"small",I5716&lt;=6,"Medium",I5716&lt;=9,"Large")</f>
        <v>small</v>
      </c>
      <c r="K5716" s="36">
        <v>45493</v>
      </c>
      <c r="L5716" s="36">
        <v>45499</v>
      </c>
      <c r="M5716" t="s">
        <v>612</v>
      </c>
      <c r="N5716" t="s">
        <v>599</v>
      </c>
      <c r="O5716" s="37" t="str">
        <f t="shared" si="448"/>
        <v>Digital Payment</v>
      </c>
      <c r="P5716">
        <v>91.25</v>
      </c>
      <c r="Q5716" s="37" t="str">
        <f>IF(P5716&gt;500,"High","low")</f>
        <v>low</v>
      </c>
      <c r="R5716" s="37" t="str">
        <f t="shared" si="449"/>
        <v>AVERAGE</v>
      </c>
      <c r="S5716" t="s">
        <v>620</v>
      </c>
    </row>
    <row r="5717" spans="1:19" x14ac:dyDescent="0.2">
      <c r="A5717" t="s">
        <v>6328</v>
      </c>
      <c r="B5717" t="s">
        <v>75</v>
      </c>
      <c r="C5717" t="s">
        <v>602</v>
      </c>
      <c r="D5717">
        <v>108.2</v>
      </c>
      <c r="E5717" s="37" t="str">
        <f t="shared" si="445"/>
        <v xml:space="preserve"> </v>
      </c>
      <c r="F5717">
        <v>0.19</v>
      </c>
      <c r="G5717" s="37" t="str">
        <f t="shared" si="446"/>
        <v>Normal Discount</v>
      </c>
      <c r="H5717" s="37" t="str">
        <f t="shared" si="447"/>
        <v>Low</v>
      </c>
      <c r="I5717">
        <v>2</v>
      </c>
      <c r="J5717" t="str" cm="1">
        <f t="array" ref="J5717">_xlfn.IFS(I5717&lt;=3,"small",I5717&lt;=6,"Medium",I5717&lt;=9,"Large")</f>
        <v>small</v>
      </c>
      <c r="K5717" s="36">
        <v>44999</v>
      </c>
      <c r="L5717" s="36">
        <v>45006</v>
      </c>
      <c r="M5717" t="s">
        <v>612</v>
      </c>
      <c r="N5717" t="s">
        <v>608</v>
      </c>
      <c r="O5717" s="37" t="str">
        <f t="shared" si="448"/>
        <v>Cash Payment</v>
      </c>
      <c r="P5717">
        <v>31.87</v>
      </c>
      <c r="Q5717" s="37" t="str">
        <f>IF(P5717&gt;500,"High","low")</f>
        <v>low</v>
      </c>
      <c r="R5717" s="37" t="str">
        <f t="shared" si="449"/>
        <v>AVERAGE</v>
      </c>
      <c r="S5717" t="s">
        <v>615</v>
      </c>
    </row>
    <row r="5718" spans="1:19" x14ac:dyDescent="0.2">
      <c r="A5718" t="s">
        <v>6329</v>
      </c>
      <c r="B5718" t="s">
        <v>83</v>
      </c>
      <c r="C5718" t="s">
        <v>614</v>
      </c>
      <c r="D5718">
        <v>1195.51</v>
      </c>
      <c r="E5718" s="37" t="str">
        <f t="shared" si="445"/>
        <v xml:space="preserve"> </v>
      </c>
      <c r="F5718">
        <v>0.49</v>
      </c>
      <c r="G5718" s="37" t="str">
        <f t="shared" si="446"/>
        <v>Heavy Discount</v>
      </c>
      <c r="H5718" s="37" t="str">
        <f t="shared" si="447"/>
        <v>High</v>
      </c>
      <c r="I5718">
        <v>6</v>
      </c>
      <c r="J5718" t="str" cm="1">
        <f t="array" ref="J5718">_xlfn.IFS(I5718&lt;=3,"small",I5718&lt;=6,"Medium",I5718&lt;=9,"Large")</f>
        <v>Medium</v>
      </c>
      <c r="K5718" s="36">
        <v>45547</v>
      </c>
      <c r="L5718" s="36">
        <v>45548</v>
      </c>
      <c r="M5718" t="s">
        <v>612</v>
      </c>
      <c r="N5718" t="s">
        <v>608</v>
      </c>
      <c r="O5718" s="37" t="str">
        <f t="shared" si="448"/>
        <v>Cash Payment</v>
      </c>
      <c r="P5718">
        <v>118.9</v>
      </c>
      <c r="Q5718" s="37" t="str">
        <f>IF(P5718&gt;500,"High","low")</f>
        <v>low</v>
      </c>
      <c r="R5718" s="37" t="str">
        <f t="shared" si="449"/>
        <v>AVERAGE</v>
      </c>
      <c r="S5718" t="s">
        <v>615</v>
      </c>
    </row>
    <row r="5719" spans="1:19" x14ac:dyDescent="0.2">
      <c r="A5719" t="s">
        <v>6330</v>
      </c>
      <c r="B5719" t="s">
        <v>75</v>
      </c>
      <c r="C5719" t="s">
        <v>597</v>
      </c>
      <c r="D5719">
        <v>252.23</v>
      </c>
      <c r="E5719" s="37" t="str">
        <f t="shared" si="445"/>
        <v xml:space="preserve"> </v>
      </c>
      <c r="F5719">
        <v>0.34</v>
      </c>
      <c r="G5719" s="37" t="str">
        <f t="shared" si="446"/>
        <v>Heavy Discount</v>
      </c>
      <c r="H5719" s="37" t="str">
        <f t="shared" si="447"/>
        <v>Medium</v>
      </c>
      <c r="I5719">
        <v>4</v>
      </c>
      <c r="J5719" t="str" cm="1">
        <f t="array" ref="J5719">_xlfn.IFS(I5719&lt;=3,"small",I5719&lt;=6,"Medium",I5719&lt;=9,"Large")</f>
        <v>Medium</v>
      </c>
      <c r="K5719" s="36">
        <v>45075</v>
      </c>
      <c r="L5719" s="36">
        <v>45081</v>
      </c>
      <c r="M5719" t="s">
        <v>598</v>
      </c>
      <c r="N5719" t="s">
        <v>604</v>
      </c>
      <c r="O5719" s="37" t="str">
        <f t="shared" si="448"/>
        <v>Digital Payment</v>
      </c>
      <c r="P5719">
        <v>69.78</v>
      </c>
      <c r="Q5719" s="37" t="str">
        <f>IF(P5719&gt;500,"High","low")</f>
        <v>low</v>
      </c>
      <c r="R5719" s="37" t="str">
        <f t="shared" si="449"/>
        <v>AVERAGE</v>
      </c>
      <c r="S5719" t="s">
        <v>628</v>
      </c>
    </row>
    <row r="5720" spans="1:19" x14ac:dyDescent="0.2">
      <c r="A5720" t="s">
        <v>6331</v>
      </c>
      <c r="B5720" t="s">
        <v>75</v>
      </c>
      <c r="C5720" t="s">
        <v>614</v>
      </c>
      <c r="D5720">
        <v>1321.01</v>
      </c>
      <c r="E5720" s="37" t="str">
        <f t="shared" si="445"/>
        <v xml:space="preserve"> </v>
      </c>
      <c r="F5720">
        <v>0.18</v>
      </c>
      <c r="G5720" s="37" t="str">
        <f t="shared" si="446"/>
        <v>Normal Discount</v>
      </c>
      <c r="H5720" s="37" t="str">
        <f t="shared" si="447"/>
        <v>Low</v>
      </c>
      <c r="I5720">
        <v>7</v>
      </c>
      <c r="J5720" t="str" cm="1">
        <f t="array" ref="J5720">_xlfn.IFS(I5720&lt;=3,"small",I5720&lt;=6,"Medium",I5720&lt;=9,"Large")</f>
        <v>Large</v>
      </c>
      <c r="K5720" s="36">
        <v>45162</v>
      </c>
      <c r="L5720" s="36">
        <v>45163</v>
      </c>
      <c r="M5720" t="s">
        <v>603</v>
      </c>
      <c r="N5720" t="s">
        <v>608</v>
      </c>
      <c r="O5720" s="37" t="str">
        <f t="shared" si="448"/>
        <v>Cash Payment</v>
      </c>
      <c r="P5720">
        <v>141.78</v>
      </c>
      <c r="Q5720" s="37" t="str">
        <f>IF(P5720&gt;500,"High","low")</f>
        <v>low</v>
      </c>
      <c r="R5720" s="37" t="str">
        <f t="shared" si="449"/>
        <v>AVERAGE</v>
      </c>
      <c r="S5720" t="s">
        <v>628</v>
      </c>
    </row>
    <row r="5721" spans="1:19" x14ac:dyDescent="0.2">
      <c r="A5721" t="s">
        <v>6332</v>
      </c>
      <c r="B5721" t="s">
        <v>83</v>
      </c>
      <c r="C5721" t="s">
        <v>597</v>
      </c>
      <c r="D5721">
        <v>1741.6</v>
      </c>
      <c r="E5721" s="37" t="str">
        <f t="shared" si="445"/>
        <v xml:space="preserve"> </v>
      </c>
      <c r="F5721">
        <v>0.11</v>
      </c>
      <c r="G5721" s="37" t="str">
        <f t="shared" si="446"/>
        <v>Normal Discount</v>
      </c>
      <c r="H5721" s="37" t="str">
        <f t="shared" si="447"/>
        <v>Low</v>
      </c>
      <c r="I5721">
        <v>8</v>
      </c>
      <c r="J5721" t="str" cm="1">
        <f t="array" ref="J5721">_xlfn.IFS(I5721&lt;=3,"small",I5721&lt;=6,"Medium",I5721&lt;=9,"Large")</f>
        <v>Large</v>
      </c>
      <c r="K5721" s="36">
        <v>45242</v>
      </c>
      <c r="L5721" s="36">
        <v>45243</v>
      </c>
      <c r="M5721" t="s">
        <v>612</v>
      </c>
      <c r="N5721" t="s">
        <v>604</v>
      </c>
      <c r="O5721" s="37" t="str">
        <f t="shared" si="448"/>
        <v>Digital Payment</v>
      </c>
      <c r="P5721">
        <v>315.5</v>
      </c>
      <c r="Q5721" s="37" t="str">
        <f>IF(P5721&gt;500,"High","low")</f>
        <v>low</v>
      </c>
      <c r="R5721" s="37" t="str">
        <f t="shared" si="449"/>
        <v>AVERAGE</v>
      </c>
      <c r="S5721" t="s">
        <v>605</v>
      </c>
    </row>
    <row r="5722" spans="1:19" x14ac:dyDescent="0.2">
      <c r="A5722" t="s">
        <v>6333</v>
      </c>
      <c r="B5722" t="s">
        <v>83</v>
      </c>
      <c r="C5722" t="s">
        <v>602</v>
      </c>
      <c r="D5722">
        <v>1429.86</v>
      </c>
      <c r="E5722" s="37" t="str">
        <f t="shared" si="445"/>
        <v xml:space="preserve"> </v>
      </c>
      <c r="F5722">
        <v>0.43</v>
      </c>
      <c r="G5722" s="37" t="str">
        <f t="shared" si="446"/>
        <v>Heavy Discount</v>
      </c>
      <c r="H5722" s="37" t="str">
        <f t="shared" si="447"/>
        <v>High</v>
      </c>
      <c r="I5722">
        <v>2</v>
      </c>
      <c r="J5722" t="str" cm="1">
        <f t="array" ref="J5722">_xlfn.IFS(I5722&lt;=3,"small",I5722&lt;=6,"Medium",I5722&lt;=9,"Large")</f>
        <v>small</v>
      </c>
      <c r="K5722" s="36">
        <v>45574</v>
      </c>
      <c r="L5722" s="36">
        <v>45575</v>
      </c>
      <c r="M5722" t="s">
        <v>603</v>
      </c>
      <c r="N5722" t="s">
        <v>608</v>
      </c>
      <c r="O5722" s="37" t="str">
        <f t="shared" si="448"/>
        <v>Cash Payment</v>
      </c>
      <c r="P5722">
        <v>357.55</v>
      </c>
      <c r="Q5722" s="37" t="str">
        <f>IF(P5722&gt;500,"High","low")</f>
        <v>low</v>
      </c>
      <c r="R5722" s="37" t="str">
        <f t="shared" si="449"/>
        <v>AVERAGE</v>
      </c>
      <c r="S5722" t="s">
        <v>605</v>
      </c>
    </row>
    <row r="5723" spans="1:19" x14ac:dyDescent="0.2">
      <c r="A5723" t="s">
        <v>6334</v>
      </c>
      <c r="B5723" t="s">
        <v>67</v>
      </c>
      <c r="C5723" t="s">
        <v>602</v>
      </c>
      <c r="D5723">
        <v>4607.6899999999996</v>
      </c>
      <c r="E5723" s="37" t="str">
        <f t="shared" si="445"/>
        <v>Excellent Order</v>
      </c>
      <c r="F5723">
        <v>0.16</v>
      </c>
      <c r="G5723" s="37" t="str">
        <f t="shared" si="446"/>
        <v>Normal Discount</v>
      </c>
      <c r="H5723" s="37" t="str">
        <f t="shared" si="447"/>
        <v>Low</v>
      </c>
      <c r="I5723">
        <v>2</v>
      </c>
      <c r="J5723" t="str" cm="1">
        <f t="array" ref="J5723">_xlfn.IFS(I5723&lt;=3,"small",I5723&lt;=6,"Medium",I5723&lt;=9,"Large")</f>
        <v>small</v>
      </c>
      <c r="K5723" s="36">
        <v>45101</v>
      </c>
      <c r="L5723" s="36">
        <v>45103</v>
      </c>
      <c r="M5723" t="s">
        <v>598</v>
      </c>
      <c r="N5723" t="s">
        <v>604</v>
      </c>
      <c r="O5723" s="37" t="str">
        <f t="shared" si="448"/>
        <v>Digital Payment</v>
      </c>
      <c r="P5723">
        <v>1324.47</v>
      </c>
      <c r="Q5723" s="37" t="str">
        <f>IF(P5723&gt;500,"High","low")</f>
        <v>High</v>
      </c>
      <c r="R5723" s="37" t="str">
        <f t="shared" si="449"/>
        <v>Excellent</v>
      </c>
      <c r="S5723" t="s">
        <v>628</v>
      </c>
    </row>
    <row r="5724" spans="1:19" x14ac:dyDescent="0.2">
      <c r="A5724" t="s">
        <v>6335</v>
      </c>
      <c r="B5724" t="s">
        <v>75</v>
      </c>
      <c r="C5724" t="s">
        <v>617</v>
      </c>
      <c r="D5724">
        <v>1239.4100000000001</v>
      </c>
      <c r="E5724" s="37" t="str">
        <f t="shared" si="445"/>
        <v xml:space="preserve"> </v>
      </c>
      <c r="F5724">
        <v>0.02</v>
      </c>
      <c r="G5724" s="37" t="str">
        <f t="shared" si="446"/>
        <v>Normal Discount</v>
      </c>
      <c r="H5724" s="37" t="str">
        <f t="shared" si="447"/>
        <v>Low</v>
      </c>
      <c r="I5724">
        <v>5</v>
      </c>
      <c r="J5724" t="str" cm="1">
        <f t="array" ref="J5724">_xlfn.IFS(I5724&lt;=3,"small",I5724&lt;=6,"Medium",I5724&lt;=9,"Large")</f>
        <v>Medium</v>
      </c>
      <c r="K5724" s="36">
        <v>45464</v>
      </c>
      <c r="L5724" s="36">
        <v>45469</v>
      </c>
      <c r="M5724" t="s">
        <v>603</v>
      </c>
      <c r="N5724" t="s">
        <v>608</v>
      </c>
      <c r="O5724" s="37" t="str">
        <f t="shared" si="448"/>
        <v>Cash Payment</v>
      </c>
      <c r="P5724">
        <v>186.37</v>
      </c>
      <c r="Q5724" s="37" t="str">
        <f>IF(P5724&gt;500,"High","low")</f>
        <v>low</v>
      </c>
      <c r="R5724" s="37" t="str">
        <f t="shared" si="449"/>
        <v>AVERAGE</v>
      </c>
      <c r="S5724" t="s">
        <v>620</v>
      </c>
    </row>
    <row r="5725" spans="1:19" x14ac:dyDescent="0.2">
      <c r="A5725" t="s">
        <v>6336</v>
      </c>
      <c r="B5725" t="s">
        <v>75</v>
      </c>
      <c r="C5725" t="s">
        <v>617</v>
      </c>
      <c r="D5725">
        <v>2390.92</v>
      </c>
      <c r="E5725" s="37" t="str">
        <f t="shared" si="445"/>
        <v xml:space="preserve"> </v>
      </c>
      <c r="F5725">
        <v>0.14000000000000001</v>
      </c>
      <c r="G5725" s="37" t="str">
        <f t="shared" si="446"/>
        <v>Normal Discount</v>
      </c>
      <c r="H5725" s="37" t="str">
        <f t="shared" si="447"/>
        <v>Low</v>
      </c>
      <c r="I5725">
        <v>4</v>
      </c>
      <c r="J5725" t="str" cm="1">
        <f t="array" ref="J5725">_xlfn.IFS(I5725&lt;=3,"small",I5725&lt;=6,"Medium",I5725&lt;=9,"Large")</f>
        <v>Medium</v>
      </c>
      <c r="K5725" s="36">
        <v>45522</v>
      </c>
      <c r="L5725" s="36">
        <v>45528</v>
      </c>
      <c r="M5725" t="s">
        <v>603</v>
      </c>
      <c r="N5725" t="s">
        <v>599</v>
      </c>
      <c r="O5725" s="37" t="str">
        <f t="shared" si="448"/>
        <v>Digital Payment</v>
      </c>
      <c r="P5725">
        <v>161.44999999999999</v>
      </c>
      <c r="Q5725" s="37" t="str">
        <f>IF(P5725&gt;500,"High","low")</f>
        <v>low</v>
      </c>
      <c r="R5725" s="37" t="str">
        <f t="shared" si="449"/>
        <v>AVERAGE</v>
      </c>
      <c r="S5725" t="s">
        <v>605</v>
      </c>
    </row>
    <row r="5726" spans="1:19" x14ac:dyDescent="0.2">
      <c r="A5726" t="s">
        <v>6337</v>
      </c>
      <c r="B5726" t="s">
        <v>75</v>
      </c>
      <c r="C5726" t="s">
        <v>602</v>
      </c>
      <c r="D5726">
        <v>4791.3999999999996</v>
      </c>
      <c r="E5726" s="37" t="str">
        <f t="shared" si="445"/>
        <v xml:space="preserve"> </v>
      </c>
      <c r="F5726">
        <v>0.09</v>
      </c>
      <c r="G5726" s="37" t="str">
        <f t="shared" si="446"/>
        <v>Normal Discount</v>
      </c>
      <c r="H5726" s="37" t="str">
        <f t="shared" si="447"/>
        <v>Low</v>
      </c>
      <c r="I5726">
        <v>2</v>
      </c>
      <c r="J5726" t="str" cm="1">
        <f t="array" ref="J5726">_xlfn.IFS(I5726&lt;=3,"small",I5726&lt;=6,"Medium",I5726&lt;=9,"Large")</f>
        <v>small</v>
      </c>
      <c r="K5726" s="36">
        <v>45049</v>
      </c>
      <c r="L5726" s="36">
        <v>45055</v>
      </c>
      <c r="M5726" t="s">
        <v>603</v>
      </c>
      <c r="N5726" t="s">
        <v>604</v>
      </c>
      <c r="O5726" s="37" t="str">
        <f t="shared" si="448"/>
        <v>Digital Payment</v>
      </c>
      <c r="P5726">
        <v>267.11</v>
      </c>
      <c r="Q5726" s="37" t="str">
        <f>IF(P5726&gt;500,"High","low")</f>
        <v>low</v>
      </c>
      <c r="R5726" s="37" t="str">
        <f t="shared" si="449"/>
        <v>AVERAGE</v>
      </c>
      <c r="S5726" t="s">
        <v>620</v>
      </c>
    </row>
    <row r="5727" spans="1:19" x14ac:dyDescent="0.2">
      <c r="A5727" t="s">
        <v>6338</v>
      </c>
      <c r="B5727" t="s">
        <v>67</v>
      </c>
      <c r="C5727" t="s">
        <v>602</v>
      </c>
      <c r="D5727">
        <v>4408.08</v>
      </c>
      <c r="E5727" s="37" t="str">
        <f t="shared" si="445"/>
        <v>Excellent Order</v>
      </c>
      <c r="F5727">
        <v>0.16</v>
      </c>
      <c r="G5727" s="37" t="str">
        <f t="shared" si="446"/>
        <v>Normal Discount</v>
      </c>
      <c r="H5727" s="37" t="str">
        <f t="shared" si="447"/>
        <v>Low</v>
      </c>
      <c r="I5727">
        <v>9</v>
      </c>
      <c r="J5727" t="str" cm="1">
        <f t="array" ref="J5727">_xlfn.IFS(I5727&lt;=3,"small",I5727&lt;=6,"Medium",I5727&lt;=9,"Large")</f>
        <v>Large</v>
      </c>
      <c r="K5727" s="36">
        <v>45600</v>
      </c>
      <c r="L5727" s="36">
        <v>45601</v>
      </c>
      <c r="M5727" t="s">
        <v>598</v>
      </c>
      <c r="N5727" t="s">
        <v>608</v>
      </c>
      <c r="O5727" s="37" t="str">
        <f t="shared" si="448"/>
        <v>Cash Payment</v>
      </c>
      <c r="P5727">
        <v>1183.3499999999999</v>
      </c>
      <c r="Q5727" s="37" t="str">
        <f>IF(P5727&gt;500,"High","low")</f>
        <v>High</v>
      </c>
      <c r="R5727" s="37" t="str">
        <f t="shared" si="449"/>
        <v>Excellent</v>
      </c>
      <c r="S5727" t="s">
        <v>609</v>
      </c>
    </row>
    <row r="5728" spans="1:19" x14ac:dyDescent="0.2">
      <c r="A5728" t="s">
        <v>6339</v>
      </c>
      <c r="B5728" t="s">
        <v>75</v>
      </c>
      <c r="C5728" t="s">
        <v>597</v>
      </c>
      <c r="D5728">
        <v>1615.37</v>
      </c>
      <c r="E5728" s="37" t="str">
        <f t="shared" si="445"/>
        <v xml:space="preserve"> </v>
      </c>
      <c r="F5728">
        <v>0.31</v>
      </c>
      <c r="G5728" s="37" t="str">
        <f t="shared" si="446"/>
        <v>Heavy Discount</v>
      </c>
      <c r="H5728" s="37" t="str">
        <f t="shared" si="447"/>
        <v>Medium</v>
      </c>
      <c r="I5728">
        <v>9</v>
      </c>
      <c r="J5728" t="str" cm="1">
        <f t="array" ref="J5728">_xlfn.IFS(I5728&lt;=3,"small",I5728&lt;=6,"Medium",I5728&lt;=9,"Large")</f>
        <v>Large</v>
      </c>
      <c r="K5728" s="36">
        <v>44986</v>
      </c>
      <c r="L5728" s="36">
        <v>44991</v>
      </c>
      <c r="M5728" t="s">
        <v>612</v>
      </c>
      <c r="N5728" t="s">
        <v>604</v>
      </c>
      <c r="O5728" s="37" t="str">
        <f t="shared" si="448"/>
        <v>Digital Payment</v>
      </c>
      <c r="P5728">
        <v>274.08999999999997</v>
      </c>
      <c r="Q5728" s="37" t="str">
        <f>IF(P5728&gt;500,"High","low")</f>
        <v>low</v>
      </c>
      <c r="R5728" s="37" t="str">
        <f t="shared" si="449"/>
        <v>AVERAGE</v>
      </c>
      <c r="S5728" t="s">
        <v>605</v>
      </c>
    </row>
    <row r="5729" spans="1:19" x14ac:dyDescent="0.2">
      <c r="A5729" t="s">
        <v>6340</v>
      </c>
      <c r="B5729" t="s">
        <v>67</v>
      </c>
      <c r="C5729" t="s">
        <v>602</v>
      </c>
      <c r="D5729">
        <v>1699.8</v>
      </c>
      <c r="E5729" s="37" t="str">
        <f t="shared" si="445"/>
        <v xml:space="preserve"> </v>
      </c>
      <c r="F5729">
        <v>0.25</v>
      </c>
      <c r="G5729" s="37" t="str">
        <f t="shared" si="446"/>
        <v>Normal Discount</v>
      </c>
      <c r="H5729" s="37" t="str">
        <f t="shared" si="447"/>
        <v>Medium</v>
      </c>
      <c r="I5729">
        <v>4</v>
      </c>
      <c r="J5729" t="str" cm="1">
        <f t="array" ref="J5729">_xlfn.IFS(I5729&lt;=3,"small",I5729&lt;=6,"Medium",I5729&lt;=9,"Large")</f>
        <v>Medium</v>
      </c>
      <c r="K5729" s="36">
        <v>45077</v>
      </c>
      <c r="L5729" s="36">
        <v>45079</v>
      </c>
      <c r="M5729" t="s">
        <v>598</v>
      </c>
      <c r="N5729" t="s">
        <v>604</v>
      </c>
      <c r="O5729" s="37" t="str">
        <f t="shared" si="448"/>
        <v>Digital Payment</v>
      </c>
      <c r="P5729">
        <v>148.71</v>
      </c>
      <c r="Q5729" s="37" t="str">
        <f>IF(P5729&gt;500,"High","low")</f>
        <v>low</v>
      </c>
      <c r="R5729" s="37" t="str">
        <f t="shared" si="449"/>
        <v>AVERAGE</v>
      </c>
      <c r="S5729" t="s">
        <v>600</v>
      </c>
    </row>
    <row r="5730" spans="1:19" x14ac:dyDescent="0.2">
      <c r="A5730" t="s">
        <v>6341</v>
      </c>
      <c r="B5730" t="s">
        <v>90</v>
      </c>
      <c r="C5730" t="s">
        <v>614</v>
      </c>
      <c r="D5730">
        <v>3007.31</v>
      </c>
      <c r="E5730" s="37" t="str">
        <f t="shared" si="445"/>
        <v xml:space="preserve"> </v>
      </c>
      <c r="F5730">
        <v>0.36</v>
      </c>
      <c r="G5730" s="37" t="str">
        <f t="shared" si="446"/>
        <v>Heavy Discount</v>
      </c>
      <c r="H5730" s="37" t="str">
        <f t="shared" si="447"/>
        <v>Medium</v>
      </c>
      <c r="I5730">
        <v>2</v>
      </c>
      <c r="J5730" t="str" cm="1">
        <f t="array" ref="J5730">_xlfn.IFS(I5730&lt;=3,"small",I5730&lt;=6,"Medium",I5730&lt;=9,"Large")</f>
        <v>small</v>
      </c>
      <c r="K5730" s="36">
        <v>45413</v>
      </c>
      <c r="L5730" s="36">
        <v>45414</v>
      </c>
      <c r="M5730" t="s">
        <v>598</v>
      </c>
      <c r="N5730" t="s">
        <v>604</v>
      </c>
      <c r="O5730" s="37" t="str">
        <f t="shared" si="448"/>
        <v>Digital Payment</v>
      </c>
      <c r="P5730">
        <v>499.32</v>
      </c>
      <c r="Q5730" s="37" t="str">
        <f>IF(P5730&gt;500,"High","low")</f>
        <v>low</v>
      </c>
      <c r="R5730" s="37" t="str">
        <f t="shared" si="449"/>
        <v>AVERAGE</v>
      </c>
      <c r="S5730" t="s">
        <v>605</v>
      </c>
    </row>
    <row r="5731" spans="1:19" x14ac:dyDescent="0.2">
      <c r="A5731" t="s">
        <v>6342</v>
      </c>
      <c r="B5731" t="s">
        <v>67</v>
      </c>
      <c r="C5731" t="s">
        <v>597</v>
      </c>
      <c r="D5731">
        <v>4597.53</v>
      </c>
      <c r="E5731" s="37" t="str">
        <f t="shared" si="445"/>
        <v xml:space="preserve"> </v>
      </c>
      <c r="F5731">
        <v>0.17</v>
      </c>
      <c r="G5731" s="37" t="str">
        <f t="shared" si="446"/>
        <v>Normal Discount</v>
      </c>
      <c r="H5731" s="37" t="str">
        <f t="shared" si="447"/>
        <v>Low</v>
      </c>
      <c r="I5731">
        <v>3</v>
      </c>
      <c r="J5731" t="str" cm="1">
        <f t="array" ref="J5731">_xlfn.IFS(I5731&lt;=3,"small",I5731&lt;=6,"Medium",I5731&lt;=9,"Large")</f>
        <v>small</v>
      </c>
      <c r="K5731" s="36">
        <v>45563</v>
      </c>
      <c r="L5731" s="36">
        <v>45566</v>
      </c>
      <c r="M5731" t="s">
        <v>598</v>
      </c>
      <c r="N5731" t="s">
        <v>599</v>
      </c>
      <c r="O5731" s="37" t="str">
        <f t="shared" si="448"/>
        <v>Digital Payment</v>
      </c>
      <c r="P5731">
        <v>485.55</v>
      </c>
      <c r="Q5731" s="37" t="str">
        <f>IF(P5731&gt;500,"High","low")</f>
        <v>low</v>
      </c>
      <c r="R5731" s="37" t="str">
        <f t="shared" si="449"/>
        <v>AVERAGE</v>
      </c>
      <c r="S5731" t="s">
        <v>605</v>
      </c>
    </row>
    <row r="5732" spans="1:19" x14ac:dyDescent="0.2">
      <c r="A5732" t="s">
        <v>6343</v>
      </c>
      <c r="B5732" t="s">
        <v>90</v>
      </c>
      <c r="C5732" t="s">
        <v>602</v>
      </c>
      <c r="D5732">
        <v>149</v>
      </c>
      <c r="E5732" s="37" t="str">
        <f t="shared" si="445"/>
        <v xml:space="preserve"> </v>
      </c>
      <c r="F5732">
        <v>0.06</v>
      </c>
      <c r="G5732" s="37" t="str">
        <f t="shared" si="446"/>
        <v>Normal Discount</v>
      </c>
      <c r="H5732" s="37" t="str">
        <f t="shared" si="447"/>
        <v>Low</v>
      </c>
      <c r="I5732">
        <v>8</v>
      </c>
      <c r="J5732" t="str" cm="1">
        <f t="array" ref="J5732">_xlfn.IFS(I5732&lt;=3,"small",I5732&lt;=6,"Medium",I5732&lt;=9,"Large")</f>
        <v>Large</v>
      </c>
      <c r="K5732" s="36">
        <v>45523</v>
      </c>
      <c r="L5732" s="36">
        <v>45527</v>
      </c>
      <c r="M5732" t="s">
        <v>603</v>
      </c>
      <c r="N5732" t="s">
        <v>608</v>
      </c>
      <c r="O5732" s="37" t="str">
        <f t="shared" si="448"/>
        <v>Cash Payment</v>
      </c>
      <c r="P5732">
        <v>33.5</v>
      </c>
      <c r="Q5732" s="37" t="str">
        <f>IF(P5732&gt;500,"High","low")</f>
        <v>low</v>
      </c>
      <c r="R5732" s="37" t="str">
        <f t="shared" si="449"/>
        <v>AVERAGE</v>
      </c>
      <c r="S5732" t="s">
        <v>615</v>
      </c>
    </row>
    <row r="5733" spans="1:19" x14ac:dyDescent="0.2">
      <c r="A5733" t="s">
        <v>6344</v>
      </c>
      <c r="B5733" t="s">
        <v>75</v>
      </c>
      <c r="C5733" t="s">
        <v>597</v>
      </c>
      <c r="D5733">
        <v>2026.29</v>
      </c>
      <c r="E5733" s="37" t="str">
        <f t="shared" si="445"/>
        <v xml:space="preserve"> </v>
      </c>
      <c r="F5733">
        <v>0.08</v>
      </c>
      <c r="G5733" s="37" t="str">
        <f t="shared" si="446"/>
        <v>Normal Discount</v>
      </c>
      <c r="H5733" s="37" t="str">
        <f t="shared" si="447"/>
        <v>Low</v>
      </c>
      <c r="I5733">
        <v>8</v>
      </c>
      <c r="J5733" t="str" cm="1">
        <f t="array" ref="J5733">_xlfn.IFS(I5733&lt;=3,"small",I5733&lt;=6,"Medium",I5733&lt;=9,"Large")</f>
        <v>Large</v>
      </c>
      <c r="K5733" s="36">
        <v>45607</v>
      </c>
      <c r="L5733" s="36">
        <v>45608</v>
      </c>
      <c r="M5733" t="s">
        <v>598</v>
      </c>
      <c r="N5733" t="s">
        <v>599</v>
      </c>
      <c r="O5733" s="37" t="str">
        <f t="shared" si="448"/>
        <v>Digital Payment</v>
      </c>
      <c r="P5733">
        <v>307.69</v>
      </c>
      <c r="Q5733" s="37" t="str">
        <f>IF(P5733&gt;500,"High","low")</f>
        <v>low</v>
      </c>
      <c r="R5733" s="37" t="str">
        <f t="shared" si="449"/>
        <v>AVERAGE</v>
      </c>
      <c r="S5733" t="s">
        <v>628</v>
      </c>
    </row>
    <row r="5734" spans="1:19" x14ac:dyDescent="0.2">
      <c r="A5734" t="s">
        <v>6345</v>
      </c>
      <c r="B5734" t="s">
        <v>90</v>
      </c>
      <c r="C5734" t="s">
        <v>597</v>
      </c>
      <c r="D5734">
        <v>4263.8999999999996</v>
      </c>
      <c r="E5734" s="37" t="str">
        <f t="shared" si="445"/>
        <v>Excellent Order</v>
      </c>
      <c r="F5734">
        <v>0.4</v>
      </c>
      <c r="G5734" s="37" t="str">
        <f t="shared" si="446"/>
        <v>Heavy Discount</v>
      </c>
      <c r="H5734" s="37" t="str">
        <f t="shared" si="447"/>
        <v>Medium</v>
      </c>
      <c r="I5734">
        <v>7</v>
      </c>
      <c r="J5734" t="str" cm="1">
        <f t="array" ref="J5734">_xlfn.IFS(I5734&lt;=3,"small",I5734&lt;=6,"Medium",I5734&lt;=9,"Large")</f>
        <v>Large</v>
      </c>
      <c r="K5734" s="36">
        <v>45272</v>
      </c>
      <c r="L5734" s="36">
        <v>45273</v>
      </c>
      <c r="M5734" t="s">
        <v>598</v>
      </c>
      <c r="N5734" t="s">
        <v>604</v>
      </c>
      <c r="O5734" s="37" t="str">
        <f t="shared" si="448"/>
        <v>Digital Payment</v>
      </c>
      <c r="P5734">
        <v>989.37</v>
      </c>
      <c r="Q5734" s="37" t="str">
        <f>IF(P5734&gt;500,"High","low")</f>
        <v>High</v>
      </c>
      <c r="R5734" s="37" t="str">
        <f t="shared" si="449"/>
        <v>Good</v>
      </c>
      <c r="S5734" t="s">
        <v>600</v>
      </c>
    </row>
    <row r="5735" spans="1:19" x14ac:dyDescent="0.2">
      <c r="A5735" t="s">
        <v>6346</v>
      </c>
      <c r="B5735" t="s">
        <v>67</v>
      </c>
      <c r="C5735" t="s">
        <v>607</v>
      </c>
      <c r="D5735">
        <v>2111.3000000000002</v>
      </c>
      <c r="E5735" s="37" t="str">
        <f t="shared" si="445"/>
        <v xml:space="preserve"> </v>
      </c>
      <c r="F5735">
        <v>0.05</v>
      </c>
      <c r="G5735" s="37" t="str">
        <f t="shared" si="446"/>
        <v>Normal Discount</v>
      </c>
      <c r="H5735" s="37" t="str">
        <f t="shared" si="447"/>
        <v>Low</v>
      </c>
      <c r="I5735">
        <v>4</v>
      </c>
      <c r="J5735" t="str" cm="1">
        <f t="array" ref="J5735">_xlfn.IFS(I5735&lt;=3,"small",I5735&lt;=6,"Medium",I5735&lt;=9,"Large")</f>
        <v>Medium</v>
      </c>
      <c r="K5735" s="36">
        <v>44995</v>
      </c>
      <c r="L5735" s="36">
        <v>44998</v>
      </c>
      <c r="M5735" t="s">
        <v>603</v>
      </c>
      <c r="N5735" t="s">
        <v>608</v>
      </c>
      <c r="O5735" s="37" t="str">
        <f t="shared" si="448"/>
        <v>Cash Payment</v>
      </c>
      <c r="P5735">
        <v>509.35</v>
      </c>
      <c r="Q5735" s="37" t="str">
        <f>IF(P5735&gt;500,"High","low")</f>
        <v>High</v>
      </c>
      <c r="R5735" s="37" t="str">
        <f t="shared" si="449"/>
        <v>Good</v>
      </c>
      <c r="S5735" t="s">
        <v>615</v>
      </c>
    </row>
    <row r="5736" spans="1:19" x14ac:dyDescent="0.2">
      <c r="A5736" t="s">
        <v>6347</v>
      </c>
      <c r="B5736" t="s">
        <v>83</v>
      </c>
      <c r="C5736" t="s">
        <v>617</v>
      </c>
      <c r="D5736">
        <v>3628.27</v>
      </c>
      <c r="E5736" s="37" t="str">
        <f t="shared" si="445"/>
        <v xml:space="preserve"> </v>
      </c>
      <c r="F5736">
        <v>0.4</v>
      </c>
      <c r="G5736" s="37" t="str">
        <f t="shared" si="446"/>
        <v>Heavy Discount</v>
      </c>
      <c r="H5736" s="37" t="str">
        <f t="shared" si="447"/>
        <v>Medium</v>
      </c>
      <c r="I5736">
        <v>1</v>
      </c>
      <c r="J5736" t="str" cm="1">
        <f t="array" ref="J5736">_xlfn.IFS(I5736&lt;=3,"small",I5736&lt;=6,"Medium",I5736&lt;=9,"Large")</f>
        <v>small</v>
      </c>
      <c r="K5736" s="36">
        <v>45109</v>
      </c>
      <c r="L5736" s="36">
        <v>45115</v>
      </c>
      <c r="M5736" t="s">
        <v>603</v>
      </c>
      <c r="N5736" t="s">
        <v>604</v>
      </c>
      <c r="O5736" s="37" t="str">
        <f t="shared" si="448"/>
        <v>Digital Payment</v>
      </c>
      <c r="P5736">
        <v>520.85</v>
      </c>
      <c r="Q5736" s="37" t="str">
        <f>IF(P5736&gt;500,"High","low")</f>
        <v>High</v>
      </c>
      <c r="R5736" s="37" t="str">
        <f t="shared" si="449"/>
        <v>Good</v>
      </c>
      <c r="S5736" t="s">
        <v>605</v>
      </c>
    </row>
    <row r="5737" spans="1:19" x14ac:dyDescent="0.2">
      <c r="A5737" t="s">
        <v>6348</v>
      </c>
      <c r="B5737" t="s">
        <v>90</v>
      </c>
      <c r="C5737" t="s">
        <v>597</v>
      </c>
      <c r="D5737">
        <v>3490.43</v>
      </c>
      <c r="E5737" s="37" t="str">
        <f t="shared" si="445"/>
        <v xml:space="preserve"> </v>
      </c>
      <c r="F5737">
        <v>0.11</v>
      </c>
      <c r="G5737" s="37" t="str">
        <f t="shared" si="446"/>
        <v>Normal Discount</v>
      </c>
      <c r="H5737" s="37" t="str">
        <f t="shared" si="447"/>
        <v>Low</v>
      </c>
      <c r="I5737">
        <v>9</v>
      </c>
      <c r="J5737" t="str" cm="1">
        <f t="array" ref="J5737">_xlfn.IFS(I5737&lt;=3,"small",I5737&lt;=6,"Medium",I5737&lt;=9,"Large")</f>
        <v>Large</v>
      </c>
      <c r="K5737" s="36">
        <v>45511</v>
      </c>
      <c r="L5737" s="36">
        <v>45513</v>
      </c>
      <c r="M5737" t="s">
        <v>603</v>
      </c>
      <c r="N5737" t="s">
        <v>608</v>
      </c>
      <c r="O5737" s="37" t="str">
        <f t="shared" si="448"/>
        <v>Cash Payment</v>
      </c>
      <c r="P5737">
        <v>753.24</v>
      </c>
      <c r="Q5737" s="37" t="str">
        <f>IF(P5737&gt;500,"High","low")</f>
        <v>High</v>
      </c>
      <c r="R5737" s="37" t="str">
        <f t="shared" si="449"/>
        <v>Good</v>
      </c>
      <c r="S5737" t="s">
        <v>600</v>
      </c>
    </row>
    <row r="5738" spans="1:19" x14ac:dyDescent="0.2">
      <c r="A5738" t="s">
        <v>6349</v>
      </c>
      <c r="B5738" t="s">
        <v>90</v>
      </c>
      <c r="C5738" t="s">
        <v>597</v>
      </c>
      <c r="D5738">
        <v>1106.75</v>
      </c>
      <c r="E5738" s="37" t="str">
        <f t="shared" si="445"/>
        <v xml:space="preserve"> </v>
      </c>
      <c r="F5738">
        <v>0.34</v>
      </c>
      <c r="G5738" s="37" t="str">
        <f t="shared" si="446"/>
        <v>Heavy Discount</v>
      </c>
      <c r="H5738" s="37" t="str">
        <f t="shared" si="447"/>
        <v>Medium</v>
      </c>
      <c r="I5738">
        <v>7</v>
      </c>
      <c r="J5738" t="str" cm="1">
        <f t="array" ref="J5738">_xlfn.IFS(I5738&lt;=3,"small",I5738&lt;=6,"Medium",I5738&lt;=9,"Large")</f>
        <v>Large</v>
      </c>
      <c r="K5738" s="36">
        <v>45306</v>
      </c>
      <c r="L5738" s="36">
        <v>45310</v>
      </c>
      <c r="M5738" t="s">
        <v>598</v>
      </c>
      <c r="N5738" t="s">
        <v>604</v>
      </c>
      <c r="O5738" s="37" t="str">
        <f t="shared" si="448"/>
        <v>Digital Payment</v>
      </c>
      <c r="P5738">
        <v>269.42</v>
      </c>
      <c r="Q5738" s="37" t="str">
        <f>IF(P5738&gt;500,"High","low")</f>
        <v>low</v>
      </c>
      <c r="R5738" s="37" t="str">
        <f t="shared" si="449"/>
        <v>AVERAGE</v>
      </c>
      <c r="S5738" t="s">
        <v>600</v>
      </c>
    </row>
    <row r="5739" spans="1:19" x14ac:dyDescent="0.2">
      <c r="A5739" t="s">
        <v>6350</v>
      </c>
      <c r="B5739" t="s">
        <v>75</v>
      </c>
      <c r="C5739" t="s">
        <v>607</v>
      </c>
      <c r="D5739">
        <v>2303.0100000000002</v>
      </c>
      <c r="E5739" s="37" t="str">
        <f t="shared" si="445"/>
        <v xml:space="preserve"> </v>
      </c>
      <c r="F5739">
        <v>0.31</v>
      </c>
      <c r="G5739" s="37" t="str">
        <f t="shared" si="446"/>
        <v>Heavy Discount</v>
      </c>
      <c r="H5739" s="37" t="str">
        <f t="shared" si="447"/>
        <v>Medium</v>
      </c>
      <c r="I5739">
        <v>1</v>
      </c>
      <c r="J5739" t="str" cm="1">
        <f t="array" ref="J5739">_xlfn.IFS(I5739&lt;=3,"small",I5739&lt;=6,"Medium",I5739&lt;=9,"Large")</f>
        <v>small</v>
      </c>
      <c r="K5739" s="36">
        <v>45483</v>
      </c>
      <c r="L5739" s="36">
        <v>45489</v>
      </c>
      <c r="M5739" t="s">
        <v>603</v>
      </c>
      <c r="N5739" t="s">
        <v>599</v>
      </c>
      <c r="O5739" s="37" t="str">
        <f t="shared" si="448"/>
        <v>Digital Payment</v>
      </c>
      <c r="P5739">
        <v>144.54</v>
      </c>
      <c r="Q5739" s="37" t="str">
        <f>IF(P5739&gt;500,"High","low")</f>
        <v>low</v>
      </c>
      <c r="R5739" s="37" t="str">
        <f t="shared" si="449"/>
        <v>AVERAGE</v>
      </c>
      <c r="S5739" t="s">
        <v>605</v>
      </c>
    </row>
    <row r="5740" spans="1:19" x14ac:dyDescent="0.2">
      <c r="A5740" t="s">
        <v>6351</v>
      </c>
      <c r="B5740" t="s">
        <v>67</v>
      </c>
      <c r="C5740" t="s">
        <v>602</v>
      </c>
      <c r="D5740">
        <v>2874.31</v>
      </c>
      <c r="E5740" s="37" t="str">
        <f t="shared" si="445"/>
        <v xml:space="preserve"> </v>
      </c>
      <c r="F5740">
        <v>0.05</v>
      </c>
      <c r="G5740" s="37" t="str">
        <f t="shared" si="446"/>
        <v>Normal Discount</v>
      </c>
      <c r="H5740" s="37" t="str">
        <f t="shared" si="447"/>
        <v>Low</v>
      </c>
      <c r="I5740">
        <v>5</v>
      </c>
      <c r="J5740" t="str" cm="1">
        <f t="array" ref="J5740">_xlfn.IFS(I5740&lt;=3,"small",I5740&lt;=6,"Medium",I5740&lt;=9,"Large")</f>
        <v>Medium</v>
      </c>
      <c r="K5740" s="36">
        <v>44987</v>
      </c>
      <c r="L5740" s="36">
        <v>44989</v>
      </c>
      <c r="M5740" t="s">
        <v>612</v>
      </c>
      <c r="N5740" t="s">
        <v>604</v>
      </c>
      <c r="O5740" s="37" t="str">
        <f t="shared" si="448"/>
        <v>Digital Payment</v>
      </c>
      <c r="P5740">
        <v>282.49</v>
      </c>
      <c r="Q5740" s="37" t="str">
        <f>IF(P5740&gt;500,"High","low")</f>
        <v>low</v>
      </c>
      <c r="R5740" s="37" t="str">
        <f t="shared" si="449"/>
        <v>AVERAGE</v>
      </c>
      <c r="S5740" t="s">
        <v>600</v>
      </c>
    </row>
    <row r="5741" spans="1:19" x14ac:dyDescent="0.2">
      <c r="A5741" t="s">
        <v>6352</v>
      </c>
      <c r="B5741" t="s">
        <v>90</v>
      </c>
      <c r="C5741" t="s">
        <v>597</v>
      </c>
      <c r="D5741">
        <v>3605.77</v>
      </c>
      <c r="E5741" s="37" t="str">
        <f t="shared" si="445"/>
        <v xml:space="preserve"> </v>
      </c>
      <c r="F5741">
        <v>0.33</v>
      </c>
      <c r="G5741" s="37" t="str">
        <f t="shared" si="446"/>
        <v>Heavy Discount</v>
      </c>
      <c r="H5741" s="37" t="str">
        <f t="shared" si="447"/>
        <v>Medium</v>
      </c>
      <c r="I5741">
        <v>3</v>
      </c>
      <c r="J5741" t="str" cm="1">
        <f t="array" ref="J5741">_xlfn.IFS(I5741&lt;=3,"small",I5741&lt;=6,"Medium",I5741&lt;=9,"Large")</f>
        <v>small</v>
      </c>
      <c r="K5741" s="36">
        <v>45343</v>
      </c>
      <c r="L5741" s="36">
        <v>45350</v>
      </c>
      <c r="M5741" t="s">
        <v>612</v>
      </c>
      <c r="N5741" t="s">
        <v>604</v>
      </c>
      <c r="O5741" s="37" t="str">
        <f t="shared" si="448"/>
        <v>Digital Payment</v>
      </c>
      <c r="P5741">
        <v>1065.77</v>
      </c>
      <c r="Q5741" s="37" t="str">
        <f>IF(P5741&gt;500,"High","low")</f>
        <v>High</v>
      </c>
      <c r="R5741" s="37" t="str">
        <f t="shared" si="449"/>
        <v>Excellent</v>
      </c>
      <c r="S5741" t="s">
        <v>605</v>
      </c>
    </row>
    <row r="5742" spans="1:19" x14ac:dyDescent="0.2">
      <c r="A5742" t="s">
        <v>6353</v>
      </c>
      <c r="B5742" t="s">
        <v>90</v>
      </c>
      <c r="C5742" t="s">
        <v>607</v>
      </c>
      <c r="D5742">
        <v>4129.71</v>
      </c>
      <c r="E5742" s="37" t="str">
        <f t="shared" si="445"/>
        <v xml:space="preserve"> </v>
      </c>
      <c r="F5742">
        <v>0.22</v>
      </c>
      <c r="G5742" s="37" t="str">
        <f t="shared" si="446"/>
        <v>Normal Discount</v>
      </c>
      <c r="H5742" s="37" t="str">
        <f t="shared" si="447"/>
        <v>Medium</v>
      </c>
      <c r="I5742">
        <v>2</v>
      </c>
      <c r="J5742" t="str" cm="1">
        <f t="array" ref="J5742">_xlfn.IFS(I5742&lt;=3,"small",I5742&lt;=6,"Medium",I5742&lt;=9,"Large")</f>
        <v>small</v>
      </c>
      <c r="K5742" s="36">
        <v>45399</v>
      </c>
      <c r="L5742" s="36">
        <v>45405</v>
      </c>
      <c r="M5742" t="s">
        <v>603</v>
      </c>
      <c r="N5742" t="s">
        <v>608</v>
      </c>
      <c r="O5742" s="37" t="str">
        <f t="shared" si="448"/>
        <v>Cash Payment</v>
      </c>
      <c r="P5742">
        <v>213.93</v>
      </c>
      <c r="Q5742" s="37" t="str">
        <f>IF(P5742&gt;500,"High","low")</f>
        <v>low</v>
      </c>
      <c r="R5742" s="37" t="str">
        <f t="shared" si="449"/>
        <v>AVERAGE</v>
      </c>
      <c r="S5742" t="s">
        <v>620</v>
      </c>
    </row>
    <row r="5743" spans="1:19" x14ac:dyDescent="0.2">
      <c r="A5743" t="s">
        <v>6354</v>
      </c>
      <c r="B5743" t="s">
        <v>90</v>
      </c>
      <c r="C5743" t="s">
        <v>614</v>
      </c>
      <c r="D5743">
        <v>3823.67</v>
      </c>
      <c r="E5743" s="37" t="str">
        <f t="shared" si="445"/>
        <v xml:space="preserve"> </v>
      </c>
      <c r="F5743">
        <v>0.35</v>
      </c>
      <c r="G5743" s="37" t="str">
        <f t="shared" si="446"/>
        <v>Heavy Discount</v>
      </c>
      <c r="H5743" s="37" t="str">
        <f t="shared" si="447"/>
        <v>Medium</v>
      </c>
      <c r="I5743">
        <v>3</v>
      </c>
      <c r="J5743" t="str" cm="1">
        <f t="array" ref="J5743">_xlfn.IFS(I5743&lt;=3,"small",I5743&lt;=6,"Medium",I5743&lt;=9,"Large")</f>
        <v>small</v>
      </c>
      <c r="K5743" s="36">
        <v>45618</v>
      </c>
      <c r="L5743" s="36">
        <v>45621</v>
      </c>
      <c r="M5743" t="s">
        <v>598</v>
      </c>
      <c r="N5743" t="s">
        <v>599</v>
      </c>
      <c r="O5743" s="37" t="str">
        <f t="shared" si="448"/>
        <v>Digital Payment</v>
      </c>
      <c r="P5743">
        <v>490.32</v>
      </c>
      <c r="Q5743" s="37" t="str">
        <f>IF(P5743&gt;500,"High","low")</f>
        <v>low</v>
      </c>
      <c r="R5743" s="37" t="str">
        <f t="shared" si="449"/>
        <v>AVERAGE</v>
      </c>
      <c r="S5743" t="s">
        <v>609</v>
      </c>
    </row>
    <row r="5744" spans="1:19" x14ac:dyDescent="0.2">
      <c r="A5744" t="s">
        <v>6355</v>
      </c>
      <c r="B5744" t="s">
        <v>90</v>
      </c>
      <c r="C5744" t="s">
        <v>607</v>
      </c>
      <c r="D5744">
        <v>238.73</v>
      </c>
      <c r="E5744" s="37" t="str">
        <f t="shared" si="445"/>
        <v xml:space="preserve"> </v>
      </c>
      <c r="F5744">
        <v>0.42</v>
      </c>
      <c r="G5744" s="37" t="str">
        <f t="shared" si="446"/>
        <v>Heavy Discount</v>
      </c>
      <c r="H5744" s="37" t="str">
        <f t="shared" si="447"/>
        <v>High</v>
      </c>
      <c r="I5744">
        <v>6</v>
      </c>
      <c r="J5744" t="str" cm="1">
        <f t="array" ref="J5744">_xlfn.IFS(I5744&lt;=3,"small",I5744&lt;=6,"Medium",I5744&lt;=9,"Large")</f>
        <v>Medium</v>
      </c>
      <c r="K5744" s="36">
        <v>45293</v>
      </c>
      <c r="L5744" s="36">
        <v>45300</v>
      </c>
      <c r="M5744" t="s">
        <v>598</v>
      </c>
      <c r="N5744" t="s">
        <v>604</v>
      </c>
      <c r="O5744" s="37" t="str">
        <f t="shared" si="448"/>
        <v>Digital Payment</v>
      </c>
      <c r="P5744">
        <v>58.62</v>
      </c>
      <c r="Q5744" s="37" t="str">
        <f>IF(P5744&gt;500,"High","low")</f>
        <v>low</v>
      </c>
      <c r="R5744" s="37" t="str">
        <f t="shared" si="449"/>
        <v>AVERAGE</v>
      </c>
      <c r="S5744" t="s">
        <v>620</v>
      </c>
    </row>
    <row r="5745" spans="1:19" x14ac:dyDescent="0.2">
      <c r="A5745" t="s">
        <v>6356</v>
      </c>
      <c r="B5745" t="s">
        <v>83</v>
      </c>
      <c r="C5745" t="s">
        <v>617</v>
      </c>
      <c r="D5745">
        <v>3386.13</v>
      </c>
      <c r="E5745" s="37" t="str">
        <f t="shared" si="445"/>
        <v xml:space="preserve"> </v>
      </c>
      <c r="F5745">
        <v>0.02</v>
      </c>
      <c r="G5745" s="37" t="str">
        <f t="shared" si="446"/>
        <v>Normal Discount</v>
      </c>
      <c r="H5745" s="37" t="str">
        <f t="shared" si="447"/>
        <v>Low</v>
      </c>
      <c r="I5745">
        <v>7</v>
      </c>
      <c r="J5745" t="str" cm="1">
        <f t="array" ref="J5745">_xlfn.IFS(I5745&lt;=3,"small",I5745&lt;=6,"Medium",I5745&lt;=9,"Large")</f>
        <v>Large</v>
      </c>
      <c r="K5745" s="36">
        <v>45263</v>
      </c>
      <c r="L5745" s="36">
        <v>45264</v>
      </c>
      <c r="M5745" t="s">
        <v>612</v>
      </c>
      <c r="N5745" t="s">
        <v>599</v>
      </c>
      <c r="O5745" s="37" t="str">
        <f t="shared" si="448"/>
        <v>Digital Payment</v>
      </c>
      <c r="P5745">
        <v>437.07</v>
      </c>
      <c r="Q5745" s="37" t="str">
        <f>IF(P5745&gt;500,"High","low")</f>
        <v>low</v>
      </c>
      <c r="R5745" s="37" t="str">
        <f t="shared" si="449"/>
        <v>AVERAGE</v>
      </c>
      <c r="S5745" t="s">
        <v>600</v>
      </c>
    </row>
    <row r="5746" spans="1:19" x14ac:dyDescent="0.2">
      <c r="A5746" t="s">
        <v>6357</v>
      </c>
      <c r="B5746" t="s">
        <v>67</v>
      </c>
      <c r="C5746" t="s">
        <v>617</v>
      </c>
      <c r="D5746">
        <v>2536.85</v>
      </c>
      <c r="E5746" s="37" t="str">
        <f t="shared" si="445"/>
        <v xml:space="preserve"> </v>
      </c>
      <c r="F5746">
        <v>0.32</v>
      </c>
      <c r="G5746" s="37" t="str">
        <f t="shared" si="446"/>
        <v>Heavy Discount</v>
      </c>
      <c r="H5746" s="37" t="str">
        <f t="shared" si="447"/>
        <v>Medium</v>
      </c>
      <c r="I5746">
        <v>9</v>
      </c>
      <c r="J5746" t="str" cm="1">
        <f t="array" ref="J5746">_xlfn.IFS(I5746&lt;=3,"small",I5746&lt;=6,"Medium",I5746&lt;=9,"Large")</f>
        <v>Large</v>
      </c>
      <c r="K5746" s="36">
        <v>45182</v>
      </c>
      <c r="L5746" s="36">
        <v>45188</v>
      </c>
      <c r="M5746" t="s">
        <v>598</v>
      </c>
      <c r="N5746" t="s">
        <v>599</v>
      </c>
      <c r="O5746" s="37" t="str">
        <f t="shared" si="448"/>
        <v>Digital Payment</v>
      </c>
      <c r="P5746">
        <v>646.53</v>
      </c>
      <c r="Q5746" s="37" t="str">
        <f>IF(P5746&gt;500,"High","low")</f>
        <v>High</v>
      </c>
      <c r="R5746" s="37" t="str">
        <f t="shared" si="449"/>
        <v>Good</v>
      </c>
      <c r="S5746" t="s">
        <v>620</v>
      </c>
    </row>
    <row r="5747" spans="1:19" x14ac:dyDescent="0.2">
      <c r="A5747" t="s">
        <v>6358</v>
      </c>
      <c r="B5747" t="s">
        <v>75</v>
      </c>
      <c r="C5747" t="s">
        <v>602</v>
      </c>
      <c r="D5747">
        <v>2911.92</v>
      </c>
      <c r="E5747" s="37" t="str">
        <f t="shared" si="445"/>
        <v xml:space="preserve"> </v>
      </c>
      <c r="F5747">
        <v>0.05</v>
      </c>
      <c r="G5747" s="37" t="str">
        <f t="shared" si="446"/>
        <v>Normal Discount</v>
      </c>
      <c r="H5747" s="37" t="str">
        <f t="shared" si="447"/>
        <v>Low</v>
      </c>
      <c r="I5747">
        <v>7</v>
      </c>
      <c r="J5747" t="str" cm="1">
        <f t="array" ref="J5747">_xlfn.IFS(I5747&lt;=3,"small",I5747&lt;=6,"Medium",I5747&lt;=9,"Large")</f>
        <v>Large</v>
      </c>
      <c r="K5747" s="36">
        <v>45286</v>
      </c>
      <c r="L5747" s="36">
        <v>45290</v>
      </c>
      <c r="M5747" t="s">
        <v>612</v>
      </c>
      <c r="N5747" t="s">
        <v>608</v>
      </c>
      <c r="O5747" s="37" t="str">
        <f t="shared" si="448"/>
        <v>Cash Payment</v>
      </c>
      <c r="P5747">
        <v>241.92</v>
      </c>
      <c r="Q5747" s="37" t="str">
        <f>IF(P5747&gt;500,"High","low")</f>
        <v>low</v>
      </c>
      <c r="R5747" s="37" t="str">
        <f t="shared" si="449"/>
        <v>AVERAGE</v>
      </c>
      <c r="S5747" t="s">
        <v>628</v>
      </c>
    </row>
    <row r="5748" spans="1:19" x14ac:dyDescent="0.2">
      <c r="A5748" t="s">
        <v>6359</v>
      </c>
      <c r="B5748" t="s">
        <v>75</v>
      </c>
      <c r="C5748" t="s">
        <v>602</v>
      </c>
      <c r="D5748">
        <v>1927.53</v>
      </c>
      <c r="E5748" s="37" t="str">
        <f t="shared" si="445"/>
        <v xml:space="preserve"> </v>
      </c>
      <c r="F5748">
        <v>0.19</v>
      </c>
      <c r="G5748" s="37" t="str">
        <f t="shared" si="446"/>
        <v>Normal Discount</v>
      </c>
      <c r="H5748" s="37" t="str">
        <f t="shared" si="447"/>
        <v>Low</v>
      </c>
      <c r="I5748">
        <v>1</v>
      </c>
      <c r="J5748" t="str" cm="1">
        <f t="array" ref="J5748">_xlfn.IFS(I5748&lt;=3,"small",I5748&lt;=6,"Medium",I5748&lt;=9,"Large")</f>
        <v>small</v>
      </c>
      <c r="K5748" s="36">
        <v>45549</v>
      </c>
      <c r="L5748" s="36">
        <v>45551</v>
      </c>
      <c r="M5748" t="s">
        <v>603</v>
      </c>
      <c r="N5748" t="s">
        <v>608</v>
      </c>
      <c r="O5748" s="37" t="str">
        <f t="shared" si="448"/>
        <v>Cash Payment</v>
      </c>
      <c r="P5748">
        <v>518.89</v>
      </c>
      <c r="Q5748" s="37" t="str">
        <f>IF(P5748&gt;500,"High","low")</f>
        <v>High</v>
      </c>
      <c r="R5748" s="37" t="str">
        <f t="shared" si="449"/>
        <v>Good</v>
      </c>
      <c r="S5748" t="s">
        <v>628</v>
      </c>
    </row>
    <row r="5749" spans="1:19" x14ac:dyDescent="0.2">
      <c r="A5749" t="s">
        <v>6360</v>
      </c>
      <c r="B5749" t="s">
        <v>83</v>
      </c>
      <c r="C5749" t="s">
        <v>617</v>
      </c>
      <c r="D5749">
        <v>3598.73</v>
      </c>
      <c r="E5749" s="37" t="str">
        <f t="shared" si="445"/>
        <v xml:space="preserve"> </v>
      </c>
      <c r="F5749">
        <v>0.01</v>
      </c>
      <c r="G5749" s="37" t="str">
        <f t="shared" si="446"/>
        <v>Normal Discount</v>
      </c>
      <c r="H5749" s="37" t="str">
        <f t="shared" si="447"/>
        <v>Low</v>
      </c>
      <c r="I5749">
        <v>7</v>
      </c>
      <c r="J5749" t="str" cm="1">
        <f t="array" ref="J5749">_xlfn.IFS(I5749&lt;=3,"small",I5749&lt;=6,"Medium",I5749&lt;=9,"Large")</f>
        <v>Large</v>
      </c>
      <c r="K5749" s="36">
        <v>44945</v>
      </c>
      <c r="L5749" s="36">
        <v>44946</v>
      </c>
      <c r="M5749" t="s">
        <v>612</v>
      </c>
      <c r="N5749" t="s">
        <v>608</v>
      </c>
      <c r="O5749" s="37" t="str">
        <f t="shared" si="448"/>
        <v>Cash Payment</v>
      </c>
      <c r="P5749">
        <v>605.22</v>
      </c>
      <c r="Q5749" s="37" t="str">
        <f>IF(P5749&gt;500,"High","low")</f>
        <v>High</v>
      </c>
      <c r="R5749" s="37" t="str">
        <f t="shared" si="449"/>
        <v>Good</v>
      </c>
      <c r="S5749" t="s">
        <v>628</v>
      </c>
    </row>
    <row r="5750" spans="1:19" x14ac:dyDescent="0.2">
      <c r="A5750" t="s">
        <v>6361</v>
      </c>
      <c r="B5750" t="s">
        <v>67</v>
      </c>
      <c r="C5750" t="s">
        <v>617</v>
      </c>
      <c r="D5750">
        <v>3402.05</v>
      </c>
      <c r="E5750" s="37" t="str">
        <f t="shared" si="445"/>
        <v xml:space="preserve"> </v>
      </c>
      <c r="F5750">
        <v>0.16</v>
      </c>
      <c r="G5750" s="37" t="str">
        <f t="shared" si="446"/>
        <v>Normal Discount</v>
      </c>
      <c r="H5750" s="37" t="str">
        <f t="shared" si="447"/>
        <v>Low</v>
      </c>
      <c r="I5750">
        <v>1</v>
      </c>
      <c r="J5750" t="str" cm="1">
        <f t="array" ref="J5750">_xlfn.IFS(I5750&lt;=3,"small",I5750&lt;=6,"Medium",I5750&lt;=9,"Large")</f>
        <v>small</v>
      </c>
      <c r="K5750" s="36">
        <v>45636</v>
      </c>
      <c r="L5750" s="36">
        <v>45641</v>
      </c>
      <c r="M5750" t="s">
        <v>598</v>
      </c>
      <c r="N5750" t="s">
        <v>599</v>
      </c>
      <c r="O5750" s="37" t="str">
        <f t="shared" si="448"/>
        <v>Digital Payment</v>
      </c>
      <c r="P5750">
        <v>201.48</v>
      </c>
      <c r="Q5750" s="37" t="str">
        <f>IF(P5750&gt;500,"High","low")</f>
        <v>low</v>
      </c>
      <c r="R5750" s="37" t="str">
        <f t="shared" si="449"/>
        <v>AVERAGE</v>
      </c>
      <c r="S5750" t="s">
        <v>628</v>
      </c>
    </row>
    <row r="5751" spans="1:19" x14ac:dyDescent="0.2">
      <c r="A5751" t="s">
        <v>6362</v>
      </c>
      <c r="B5751" t="s">
        <v>90</v>
      </c>
      <c r="C5751" t="s">
        <v>597</v>
      </c>
      <c r="D5751">
        <v>2939.48</v>
      </c>
      <c r="E5751" s="37" t="str">
        <f t="shared" si="445"/>
        <v xml:space="preserve"> </v>
      </c>
      <c r="F5751">
        <v>0.08</v>
      </c>
      <c r="G5751" s="37" t="str">
        <f t="shared" si="446"/>
        <v>Normal Discount</v>
      </c>
      <c r="H5751" s="37" t="str">
        <f t="shared" si="447"/>
        <v>Low</v>
      </c>
      <c r="I5751">
        <v>8</v>
      </c>
      <c r="J5751" t="str" cm="1">
        <f t="array" ref="J5751">_xlfn.IFS(I5751&lt;=3,"small",I5751&lt;=6,"Medium",I5751&lt;=9,"Large")</f>
        <v>Large</v>
      </c>
      <c r="K5751" s="36">
        <v>45572</v>
      </c>
      <c r="L5751" s="36">
        <v>45578</v>
      </c>
      <c r="M5751" t="s">
        <v>612</v>
      </c>
      <c r="N5751" t="s">
        <v>604</v>
      </c>
      <c r="O5751" s="37" t="str">
        <f t="shared" si="448"/>
        <v>Digital Payment</v>
      </c>
      <c r="P5751">
        <v>605.02</v>
      </c>
      <c r="Q5751" s="37" t="str">
        <f>IF(P5751&gt;500,"High","low")</f>
        <v>High</v>
      </c>
      <c r="R5751" s="37" t="str">
        <f t="shared" si="449"/>
        <v>Good</v>
      </c>
      <c r="S5751" t="s">
        <v>600</v>
      </c>
    </row>
    <row r="5752" spans="1:19" x14ac:dyDescent="0.2">
      <c r="A5752" t="s">
        <v>6363</v>
      </c>
      <c r="B5752" t="s">
        <v>83</v>
      </c>
      <c r="C5752" t="s">
        <v>617</v>
      </c>
      <c r="D5752">
        <v>4321.87</v>
      </c>
      <c r="E5752" s="37" t="str">
        <f t="shared" si="445"/>
        <v xml:space="preserve"> </v>
      </c>
      <c r="F5752">
        <v>0.28000000000000003</v>
      </c>
      <c r="G5752" s="37" t="str">
        <f t="shared" si="446"/>
        <v>Normal Discount</v>
      </c>
      <c r="H5752" s="37" t="str">
        <f t="shared" si="447"/>
        <v>Medium</v>
      </c>
      <c r="I5752">
        <v>2</v>
      </c>
      <c r="J5752" t="str" cm="1">
        <f t="array" ref="J5752">_xlfn.IFS(I5752&lt;=3,"small",I5752&lt;=6,"Medium",I5752&lt;=9,"Large")</f>
        <v>small</v>
      </c>
      <c r="K5752" s="36">
        <v>45638</v>
      </c>
      <c r="L5752" s="36">
        <v>45641</v>
      </c>
      <c r="M5752" t="s">
        <v>598</v>
      </c>
      <c r="N5752" t="s">
        <v>608</v>
      </c>
      <c r="O5752" s="37" t="str">
        <f t="shared" si="448"/>
        <v>Cash Payment</v>
      </c>
      <c r="P5752">
        <v>515.66</v>
      </c>
      <c r="Q5752" s="37" t="str">
        <f>IF(P5752&gt;500,"High","low")</f>
        <v>High</v>
      </c>
      <c r="R5752" s="37" t="str">
        <f t="shared" si="449"/>
        <v>Good</v>
      </c>
      <c r="S5752" t="s">
        <v>615</v>
      </c>
    </row>
    <row r="5753" spans="1:19" x14ac:dyDescent="0.2">
      <c r="A5753" t="s">
        <v>6364</v>
      </c>
      <c r="B5753" t="s">
        <v>67</v>
      </c>
      <c r="C5753" t="s">
        <v>602</v>
      </c>
      <c r="D5753">
        <v>599.30999999999995</v>
      </c>
      <c r="E5753" s="37" t="str">
        <f t="shared" si="445"/>
        <v xml:space="preserve"> </v>
      </c>
      <c r="F5753">
        <v>0.26</v>
      </c>
      <c r="G5753" s="37" t="str">
        <f t="shared" si="446"/>
        <v>Normal Discount</v>
      </c>
      <c r="H5753" s="37" t="str">
        <f t="shared" si="447"/>
        <v>Medium</v>
      </c>
      <c r="I5753">
        <v>2</v>
      </c>
      <c r="J5753" t="str" cm="1">
        <f t="array" ref="J5753">_xlfn.IFS(I5753&lt;=3,"small",I5753&lt;=6,"Medium",I5753&lt;=9,"Large")</f>
        <v>small</v>
      </c>
      <c r="K5753" s="36">
        <v>45367</v>
      </c>
      <c r="L5753" s="36">
        <v>45369</v>
      </c>
      <c r="M5753" t="s">
        <v>612</v>
      </c>
      <c r="N5753" t="s">
        <v>599</v>
      </c>
      <c r="O5753" s="37" t="str">
        <f t="shared" si="448"/>
        <v>Digital Payment</v>
      </c>
      <c r="P5753">
        <v>134.91</v>
      </c>
      <c r="Q5753" s="37" t="str">
        <f>IF(P5753&gt;500,"High","low")</f>
        <v>low</v>
      </c>
      <c r="R5753" s="37" t="str">
        <f t="shared" si="449"/>
        <v>AVERAGE</v>
      </c>
      <c r="S5753" t="s">
        <v>609</v>
      </c>
    </row>
    <row r="5754" spans="1:19" x14ac:dyDescent="0.2">
      <c r="A5754" t="s">
        <v>6365</v>
      </c>
      <c r="B5754" t="s">
        <v>90</v>
      </c>
      <c r="C5754" t="s">
        <v>617</v>
      </c>
      <c r="D5754">
        <v>1575.01</v>
      </c>
      <c r="E5754" s="37" t="str">
        <f t="shared" si="445"/>
        <v xml:space="preserve"> </v>
      </c>
      <c r="F5754">
        <v>0.4</v>
      </c>
      <c r="G5754" s="37" t="str">
        <f t="shared" si="446"/>
        <v>Heavy Discount</v>
      </c>
      <c r="H5754" s="37" t="str">
        <f t="shared" si="447"/>
        <v>Medium</v>
      </c>
      <c r="I5754">
        <v>1</v>
      </c>
      <c r="J5754" t="str" cm="1">
        <f t="array" ref="J5754">_xlfn.IFS(I5754&lt;=3,"small",I5754&lt;=6,"Medium",I5754&lt;=9,"Large")</f>
        <v>small</v>
      </c>
      <c r="K5754" s="36">
        <v>45014</v>
      </c>
      <c r="L5754" s="36">
        <v>45019</v>
      </c>
      <c r="M5754" t="s">
        <v>603</v>
      </c>
      <c r="N5754" t="s">
        <v>599</v>
      </c>
      <c r="O5754" s="37" t="str">
        <f t="shared" si="448"/>
        <v>Digital Payment</v>
      </c>
      <c r="P5754">
        <v>434.2</v>
      </c>
      <c r="Q5754" s="37" t="str">
        <f>IF(P5754&gt;500,"High","low")</f>
        <v>low</v>
      </c>
      <c r="R5754" s="37" t="str">
        <f t="shared" si="449"/>
        <v>AVERAGE</v>
      </c>
      <c r="S5754" t="s">
        <v>615</v>
      </c>
    </row>
    <row r="5755" spans="1:19" x14ac:dyDescent="0.2">
      <c r="A5755" t="s">
        <v>6366</v>
      </c>
      <c r="B5755" t="s">
        <v>83</v>
      </c>
      <c r="C5755" t="s">
        <v>602</v>
      </c>
      <c r="D5755">
        <v>2526.14</v>
      </c>
      <c r="E5755" s="37" t="str">
        <f t="shared" si="445"/>
        <v xml:space="preserve"> </v>
      </c>
      <c r="F5755">
        <v>0.32</v>
      </c>
      <c r="G5755" s="37" t="str">
        <f t="shared" si="446"/>
        <v>Heavy Discount</v>
      </c>
      <c r="H5755" s="37" t="str">
        <f t="shared" si="447"/>
        <v>Medium</v>
      </c>
      <c r="I5755">
        <v>9</v>
      </c>
      <c r="J5755" t="str" cm="1">
        <f t="array" ref="J5755">_xlfn.IFS(I5755&lt;=3,"small",I5755&lt;=6,"Medium",I5755&lt;=9,"Large")</f>
        <v>Large</v>
      </c>
      <c r="K5755" s="36">
        <v>45498</v>
      </c>
      <c r="L5755" s="36">
        <v>45504</v>
      </c>
      <c r="M5755" t="s">
        <v>612</v>
      </c>
      <c r="N5755" t="s">
        <v>604</v>
      </c>
      <c r="O5755" s="37" t="str">
        <f t="shared" si="448"/>
        <v>Digital Payment</v>
      </c>
      <c r="P5755">
        <v>179.13</v>
      </c>
      <c r="Q5755" s="37" t="str">
        <f>IF(P5755&gt;500,"High","low")</f>
        <v>low</v>
      </c>
      <c r="R5755" s="37" t="str">
        <f t="shared" si="449"/>
        <v>AVERAGE</v>
      </c>
      <c r="S5755" t="s">
        <v>609</v>
      </c>
    </row>
    <row r="5756" spans="1:19" x14ac:dyDescent="0.2">
      <c r="A5756" t="s">
        <v>6367</v>
      </c>
      <c r="B5756" t="s">
        <v>67</v>
      </c>
      <c r="C5756" t="s">
        <v>614</v>
      </c>
      <c r="D5756">
        <v>4797.16</v>
      </c>
      <c r="E5756" s="37" t="str">
        <f t="shared" si="445"/>
        <v xml:space="preserve"> </v>
      </c>
      <c r="F5756">
        <v>0.36</v>
      </c>
      <c r="G5756" s="37" t="str">
        <f t="shared" si="446"/>
        <v>Heavy Discount</v>
      </c>
      <c r="H5756" s="37" t="str">
        <f t="shared" si="447"/>
        <v>Medium</v>
      </c>
      <c r="I5756">
        <v>8</v>
      </c>
      <c r="J5756" t="str" cm="1">
        <f t="array" ref="J5756">_xlfn.IFS(I5756&lt;=3,"small",I5756&lt;=6,"Medium",I5756&lt;=9,"Large")</f>
        <v>Large</v>
      </c>
      <c r="K5756" s="36">
        <v>45329</v>
      </c>
      <c r="L5756" s="36">
        <v>45331</v>
      </c>
      <c r="M5756" t="s">
        <v>603</v>
      </c>
      <c r="N5756" t="s">
        <v>599</v>
      </c>
      <c r="O5756" s="37" t="str">
        <f t="shared" si="448"/>
        <v>Digital Payment</v>
      </c>
      <c r="P5756">
        <v>532.80999999999995</v>
      </c>
      <c r="Q5756" s="37" t="str">
        <f>IF(P5756&gt;500,"High","low")</f>
        <v>High</v>
      </c>
      <c r="R5756" s="37" t="str">
        <f t="shared" si="449"/>
        <v>Good</v>
      </c>
      <c r="S5756" t="s">
        <v>615</v>
      </c>
    </row>
    <row r="5757" spans="1:19" x14ac:dyDescent="0.2">
      <c r="A5757" t="s">
        <v>6368</v>
      </c>
      <c r="B5757" t="s">
        <v>75</v>
      </c>
      <c r="C5757" t="s">
        <v>617</v>
      </c>
      <c r="D5757">
        <v>452.62</v>
      </c>
      <c r="E5757" s="37" t="str">
        <f t="shared" si="445"/>
        <v xml:space="preserve"> </v>
      </c>
      <c r="F5757">
        <v>0.05</v>
      </c>
      <c r="G5757" s="37" t="str">
        <f t="shared" si="446"/>
        <v>Normal Discount</v>
      </c>
      <c r="H5757" s="37" t="str">
        <f t="shared" si="447"/>
        <v>Low</v>
      </c>
      <c r="I5757">
        <v>9</v>
      </c>
      <c r="J5757" t="str" cm="1">
        <f t="array" ref="J5757">_xlfn.IFS(I5757&lt;=3,"small",I5757&lt;=6,"Medium",I5757&lt;=9,"Large")</f>
        <v>Large</v>
      </c>
      <c r="K5757" s="36">
        <v>45051</v>
      </c>
      <c r="L5757" s="36">
        <v>45053</v>
      </c>
      <c r="M5757" t="s">
        <v>603</v>
      </c>
      <c r="N5757" t="s">
        <v>608</v>
      </c>
      <c r="O5757" s="37" t="str">
        <f t="shared" si="448"/>
        <v>Cash Payment</v>
      </c>
      <c r="P5757">
        <v>66.89</v>
      </c>
      <c r="Q5757" s="37" t="str">
        <f>IF(P5757&gt;500,"High","low")</f>
        <v>low</v>
      </c>
      <c r="R5757" s="37" t="str">
        <f t="shared" si="449"/>
        <v>AVERAGE</v>
      </c>
      <c r="S5757" t="s">
        <v>605</v>
      </c>
    </row>
    <row r="5758" spans="1:19" x14ac:dyDescent="0.2">
      <c r="A5758" t="s">
        <v>6369</v>
      </c>
      <c r="B5758" t="s">
        <v>75</v>
      </c>
      <c r="C5758" t="s">
        <v>602</v>
      </c>
      <c r="D5758">
        <v>1751.68</v>
      </c>
      <c r="E5758" s="37" t="str">
        <f t="shared" si="445"/>
        <v xml:space="preserve"> </v>
      </c>
      <c r="F5758">
        <v>0.01</v>
      </c>
      <c r="G5758" s="37" t="str">
        <f t="shared" si="446"/>
        <v>Normal Discount</v>
      </c>
      <c r="H5758" s="37" t="str">
        <f t="shared" si="447"/>
        <v>Low</v>
      </c>
      <c r="I5758">
        <v>8</v>
      </c>
      <c r="J5758" t="str" cm="1">
        <f t="array" ref="J5758">_xlfn.IFS(I5758&lt;=3,"small",I5758&lt;=6,"Medium",I5758&lt;=9,"Large")</f>
        <v>Large</v>
      </c>
      <c r="K5758" s="36">
        <v>45106</v>
      </c>
      <c r="L5758" s="36">
        <v>45113</v>
      </c>
      <c r="M5758" t="s">
        <v>603</v>
      </c>
      <c r="N5758" t="s">
        <v>608</v>
      </c>
      <c r="O5758" s="37" t="str">
        <f t="shared" si="448"/>
        <v>Cash Payment</v>
      </c>
      <c r="P5758">
        <v>507.95</v>
      </c>
      <c r="Q5758" s="37" t="str">
        <f>IF(P5758&gt;500,"High","low")</f>
        <v>High</v>
      </c>
      <c r="R5758" s="37" t="str">
        <f t="shared" si="449"/>
        <v>Good</v>
      </c>
      <c r="S5758" t="s">
        <v>628</v>
      </c>
    </row>
    <row r="5759" spans="1:19" x14ac:dyDescent="0.2">
      <c r="A5759" t="s">
        <v>6370</v>
      </c>
      <c r="B5759" t="s">
        <v>67</v>
      </c>
      <c r="C5759" t="s">
        <v>607</v>
      </c>
      <c r="D5759">
        <v>4636.8599999999997</v>
      </c>
      <c r="E5759" s="37" t="str">
        <f t="shared" si="445"/>
        <v xml:space="preserve"> </v>
      </c>
      <c r="F5759">
        <v>0.48</v>
      </c>
      <c r="G5759" s="37" t="str">
        <f t="shared" si="446"/>
        <v>Heavy Discount</v>
      </c>
      <c r="H5759" s="37" t="str">
        <f t="shared" si="447"/>
        <v>High</v>
      </c>
      <c r="I5759">
        <v>4</v>
      </c>
      <c r="J5759" t="str" cm="1">
        <f t="array" ref="J5759">_xlfn.IFS(I5759&lt;=3,"small",I5759&lt;=6,"Medium",I5759&lt;=9,"Large")</f>
        <v>Medium</v>
      </c>
      <c r="K5759" s="36">
        <v>45273</v>
      </c>
      <c r="L5759" s="36">
        <v>45280</v>
      </c>
      <c r="M5759" t="s">
        <v>598</v>
      </c>
      <c r="N5759" t="s">
        <v>608</v>
      </c>
      <c r="O5759" s="37" t="str">
        <f t="shared" si="448"/>
        <v>Cash Payment</v>
      </c>
      <c r="P5759">
        <v>701.96</v>
      </c>
      <c r="Q5759" s="37" t="str">
        <f>IF(P5759&gt;500,"High","low")</f>
        <v>High</v>
      </c>
      <c r="R5759" s="37" t="str">
        <f t="shared" si="449"/>
        <v>Good</v>
      </c>
      <c r="S5759" t="s">
        <v>605</v>
      </c>
    </row>
    <row r="5760" spans="1:19" x14ac:dyDescent="0.2">
      <c r="A5760" t="s">
        <v>6371</v>
      </c>
      <c r="B5760" t="s">
        <v>75</v>
      </c>
      <c r="C5760" t="s">
        <v>597</v>
      </c>
      <c r="D5760">
        <v>4499.9399999999996</v>
      </c>
      <c r="E5760" s="37" t="str">
        <f t="shared" si="445"/>
        <v xml:space="preserve"> </v>
      </c>
      <c r="F5760">
        <v>0.21</v>
      </c>
      <c r="G5760" s="37" t="str">
        <f t="shared" si="446"/>
        <v>Normal Discount</v>
      </c>
      <c r="H5760" s="37" t="str">
        <f t="shared" si="447"/>
        <v>Medium</v>
      </c>
      <c r="I5760">
        <v>9</v>
      </c>
      <c r="J5760" t="str" cm="1">
        <f t="array" ref="J5760">_xlfn.IFS(I5760&lt;=3,"small",I5760&lt;=6,"Medium",I5760&lt;=9,"Large")</f>
        <v>Large</v>
      </c>
      <c r="K5760" s="36">
        <v>45394</v>
      </c>
      <c r="L5760" s="36">
        <v>45399</v>
      </c>
      <c r="M5760" t="s">
        <v>603</v>
      </c>
      <c r="N5760" t="s">
        <v>608</v>
      </c>
      <c r="O5760" s="37" t="str">
        <f t="shared" si="448"/>
        <v>Cash Payment</v>
      </c>
      <c r="P5760">
        <v>352.44</v>
      </c>
      <c r="Q5760" s="37" t="str">
        <f>IF(P5760&gt;500,"High","low")</f>
        <v>low</v>
      </c>
      <c r="R5760" s="37" t="str">
        <f t="shared" si="449"/>
        <v>AVERAGE</v>
      </c>
      <c r="S5760" t="s">
        <v>628</v>
      </c>
    </row>
    <row r="5761" spans="1:19" x14ac:dyDescent="0.2">
      <c r="A5761" t="s">
        <v>6372</v>
      </c>
      <c r="B5761" t="s">
        <v>67</v>
      </c>
      <c r="C5761" t="s">
        <v>602</v>
      </c>
      <c r="D5761">
        <v>4339.7</v>
      </c>
      <c r="E5761" s="37" t="str">
        <f t="shared" si="445"/>
        <v xml:space="preserve"> </v>
      </c>
      <c r="F5761">
        <v>0.2</v>
      </c>
      <c r="G5761" s="37" t="str">
        <f t="shared" si="446"/>
        <v>Normal Discount</v>
      </c>
      <c r="H5761" s="37" t="str">
        <f t="shared" si="447"/>
        <v>Medium</v>
      </c>
      <c r="I5761">
        <v>8</v>
      </c>
      <c r="J5761" t="str" cm="1">
        <f t="array" ref="J5761">_xlfn.IFS(I5761&lt;=3,"small",I5761&lt;=6,"Medium",I5761&lt;=9,"Large")</f>
        <v>Large</v>
      </c>
      <c r="K5761" s="36">
        <v>45604</v>
      </c>
      <c r="L5761" s="36">
        <v>45607</v>
      </c>
      <c r="M5761" t="s">
        <v>598</v>
      </c>
      <c r="N5761" t="s">
        <v>608</v>
      </c>
      <c r="O5761" s="37" t="str">
        <f t="shared" si="448"/>
        <v>Cash Payment</v>
      </c>
      <c r="P5761">
        <v>539.9</v>
      </c>
      <c r="Q5761" s="37" t="str">
        <f>IF(P5761&gt;500,"High","low")</f>
        <v>High</v>
      </c>
      <c r="R5761" s="37" t="str">
        <f t="shared" si="449"/>
        <v>Good</v>
      </c>
      <c r="S5761" t="s">
        <v>620</v>
      </c>
    </row>
    <row r="5762" spans="1:19" x14ac:dyDescent="0.2">
      <c r="A5762" t="s">
        <v>6373</v>
      </c>
      <c r="B5762" t="s">
        <v>90</v>
      </c>
      <c r="C5762" t="s">
        <v>617</v>
      </c>
      <c r="D5762">
        <v>1611.11</v>
      </c>
      <c r="E5762" s="37" t="str">
        <f t="shared" si="445"/>
        <v xml:space="preserve"> </v>
      </c>
      <c r="F5762">
        <v>0.02</v>
      </c>
      <c r="G5762" s="37" t="str">
        <f t="shared" si="446"/>
        <v>Normal Discount</v>
      </c>
      <c r="H5762" s="37" t="str">
        <f t="shared" si="447"/>
        <v>Low</v>
      </c>
      <c r="I5762">
        <v>1</v>
      </c>
      <c r="J5762" t="str" cm="1">
        <f t="array" ref="J5762">_xlfn.IFS(I5762&lt;=3,"small",I5762&lt;=6,"Medium",I5762&lt;=9,"Large")</f>
        <v>small</v>
      </c>
      <c r="K5762" s="36">
        <v>45309</v>
      </c>
      <c r="L5762" s="36">
        <v>45312</v>
      </c>
      <c r="M5762" t="s">
        <v>603</v>
      </c>
      <c r="N5762" t="s">
        <v>599</v>
      </c>
      <c r="O5762" s="37" t="str">
        <f t="shared" si="448"/>
        <v>Digital Payment</v>
      </c>
      <c r="P5762">
        <v>88.34</v>
      </c>
      <c r="Q5762" s="37" t="str">
        <f>IF(P5762&gt;500,"High","low")</f>
        <v>low</v>
      </c>
      <c r="R5762" s="37" t="str">
        <f t="shared" si="449"/>
        <v>AVERAGE</v>
      </c>
      <c r="S5762" t="s">
        <v>620</v>
      </c>
    </row>
    <row r="5763" spans="1:19" x14ac:dyDescent="0.2">
      <c r="A5763" t="s">
        <v>6374</v>
      </c>
      <c r="B5763" t="s">
        <v>67</v>
      </c>
      <c r="C5763" t="s">
        <v>617</v>
      </c>
      <c r="D5763">
        <v>4249.5</v>
      </c>
      <c r="E5763" s="37" t="str">
        <f t="shared" ref="E5763:E5826" si="450">IF(AND(D5763&gt;4000,P5763&gt;800),"Excellent Order"," ")</f>
        <v xml:space="preserve"> </v>
      </c>
      <c r="F5763">
        <v>0.06</v>
      </c>
      <c r="G5763" s="37" t="str">
        <f t="shared" ref="G5763:G5826" si="451">IF(F5763&gt;30%,"Heavy Discount","Normal Discount")</f>
        <v>Normal Discount</v>
      </c>
      <c r="H5763" s="37" t="str">
        <f t="shared" ref="H5763:H5826" si="452">IF(F5763&gt;0.4,"High",IF(F5763&gt;=0.2,"Medium","Low"))</f>
        <v>Low</v>
      </c>
      <c r="I5763">
        <v>5</v>
      </c>
      <c r="J5763" t="str" cm="1">
        <f t="array" ref="J5763">_xlfn.IFS(I5763&lt;=3,"small",I5763&lt;=6,"Medium",I5763&lt;=9,"Large")</f>
        <v>Medium</v>
      </c>
      <c r="K5763" s="36">
        <v>45251</v>
      </c>
      <c r="L5763" s="36">
        <v>45256</v>
      </c>
      <c r="M5763" t="s">
        <v>612</v>
      </c>
      <c r="N5763" t="s">
        <v>608</v>
      </c>
      <c r="O5763" s="37" t="str">
        <f t="shared" ref="O5763:O5826" si="453">IF(OR(N5763="Card",N5763="UPI"),"Digital Payment","Cash Payment")</f>
        <v>Cash Payment</v>
      </c>
      <c r="P5763">
        <v>415.59</v>
      </c>
      <c r="Q5763" s="37" t="str">
        <f>IF(P5763&gt;500,"High","low")</f>
        <v>low</v>
      </c>
      <c r="R5763" s="37" t="str">
        <f t="shared" ref="R5763:R5826" si="454">IF(P5763&gt;1000,"Excellent",IF(P5763&gt;=500,"Good","AVERAGE"))</f>
        <v>AVERAGE</v>
      </c>
      <c r="S5763" t="s">
        <v>600</v>
      </c>
    </row>
    <row r="5764" spans="1:19" x14ac:dyDescent="0.2">
      <c r="A5764" t="s">
        <v>6375</v>
      </c>
      <c r="B5764" t="s">
        <v>90</v>
      </c>
      <c r="C5764" t="s">
        <v>614</v>
      </c>
      <c r="D5764">
        <v>2576.16</v>
      </c>
      <c r="E5764" s="37" t="str">
        <f t="shared" si="450"/>
        <v xml:space="preserve"> </v>
      </c>
      <c r="F5764">
        <v>0.47</v>
      </c>
      <c r="G5764" s="37" t="str">
        <f t="shared" si="451"/>
        <v>Heavy Discount</v>
      </c>
      <c r="H5764" s="37" t="str">
        <f t="shared" si="452"/>
        <v>High</v>
      </c>
      <c r="I5764">
        <v>9</v>
      </c>
      <c r="J5764" t="str" cm="1">
        <f t="array" ref="J5764">_xlfn.IFS(I5764&lt;=3,"small",I5764&lt;=6,"Medium",I5764&lt;=9,"Large")</f>
        <v>Large</v>
      </c>
      <c r="K5764" s="36">
        <v>45582</v>
      </c>
      <c r="L5764" s="36">
        <v>45585</v>
      </c>
      <c r="M5764" t="s">
        <v>612</v>
      </c>
      <c r="N5764" t="s">
        <v>608</v>
      </c>
      <c r="O5764" s="37" t="str">
        <f t="shared" si="453"/>
        <v>Cash Payment</v>
      </c>
      <c r="P5764">
        <v>521.49</v>
      </c>
      <c r="Q5764" s="37" t="str">
        <f>IF(P5764&gt;500,"High","low")</f>
        <v>High</v>
      </c>
      <c r="R5764" s="37" t="str">
        <f t="shared" si="454"/>
        <v>Good</v>
      </c>
      <c r="S5764" t="s">
        <v>609</v>
      </c>
    </row>
    <row r="5765" spans="1:19" x14ac:dyDescent="0.2">
      <c r="A5765" t="s">
        <v>6376</v>
      </c>
      <c r="B5765" t="s">
        <v>83</v>
      </c>
      <c r="C5765" t="s">
        <v>607</v>
      </c>
      <c r="D5765">
        <v>3136.92</v>
      </c>
      <c r="E5765" s="37" t="str">
        <f t="shared" si="450"/>
        <v xml:space="preserve"> </v>
      </c>
      <c r="F5765">
        <v>0.35</v>
      </c>
      <c r="G5765" s="37" t="str">
        <f t="shared" si="451"/>
        <v>Heavy Discount</v>
      </c>
      <c r="H5765" s="37" t="str">
        <f t="shared" si="452"/>
        <v>Medium</v>
      </c>
      <c r="I5765">
        <v>8</v>
      </c>
      <c r="J5765" t="str" cm="1">
        <f t="array" ref="J5765">_xlfn.IFS(I5765&lt;=3,"small",I5765&lt;=6,"Medium",I5765&lt;=9,"Large")</f>
        <v>Large</v>
      </c>
      <c r="K5765" s="36">
        <v>45477</v>
      </c>
      <c r="L5765" s="36">
        <v>45481</v>
      </c>
      <c r="M5765" t="s">
        <v>603</v>
      </c>
      <c r="N5765" t="s">
        <v>608</v>
      </c>
      <c r="O5765" s="37" t="str">
        <f t="shared" si="453"/>
        <v>Cash Payment</v>
      </c>
      <c r="P5765">
        <v>289.20999999999998</v>
      </c>
      <c r="Q5765" s="37" t="str">
        <f>IF(P5765&gt;500,"High","low")</f>
        <v>low</v>
      </c>
      <c r="R5765" s="37" t="str">
        <f t="shared" si="454"/>
        <v>AVERAGE</v>
      </c>
      <c r="S5765" t="s">
        <v>609</v>
      </c>
    </row>
    <row r="5766" spans="1:19" x14ac:dyDescent="0.2">
      <c r="A5766" t="s">
        <v>6377</v>
      </c>
      <c r="B5766" t="s">
        <v>67</v>
      </c>
      <c r="C5766" t="s">
        <v>602</v>
      </c>
      <c r="D5766">
        <v>1270.24</v>
      </c>
      <c r="E5766" s="37" t="str">
        <f t="shared" si="450"/>
        <v xml:space="preserve"> </v>
      </c>
      <c r="F5766">
        <v>0.2</v>
      </c>
      <c r="G5766" s="37" t="str">
        <f t="shared" si="451"/>
        <v>Normal Discount</v>
      </c>
      <c r="H5766" s="37" t="str">
        <f t="shared" si="452"/>
        <v>Medium</v>
      </c>
      <c r="I5766">
        <v>1</v>
      </c>
      <c r="J5766" t="str" cm="1">
        <f t="array" ref="J5766">_xlfn.IFS(I5766&lt;=3,"small",I5766&lt;=6,"Medium",I5766&lt;=9,"Large")</f>
        <v>small</v>
      </c>
      <c r="K5766" s="36">
        <v>45128</v>
      </c>
      <c r="L5766" s="36">
        <v>45132</v>
      </c>
      <c r="M5766" t="s">
        <v>612</v>
      </c>
      <c r="N5766" t="s">
        <v>608</v>
      </c>
      <c r="O5766" s="37" t="str">
        <f t="shared" si="453"/>
        <v>Cash Payment</v>
      </c>
      <c r="P5766">
        <v>354.77</v>
      </c>
      <c r="Q5766" s="37" t="str">
        <f>IF(P5766&gt;500,"High","low")</f>
        <v>low</v>
      </c>
      <c r="R5766" s="37" t="str">
        <f t="shared" si="454"/>
        <v>AVERAGE</v>
      </c>
      <c r="S5766" t="s">
        <v>600</v>
      </c>
    </row>
    <row r="5767" spans="1:19" x14ac:dyDescent="0.2">
      <c r="A5767" t="s">
        <v>6378</v>
      </c>
      <c r="B5767" t="s">
        <v>83</v>
      </c>
      <c r="C5767" t="s">
        <v>607</v>
      </c>
      <c r="D5767">
        <v>3562.7</v>
      </c>
      <c r="E5767" s="37" t="str">
        <f t="shared" si="450"/>
        <v xml:space="preserve"> </v>
      </c>
      <c r="F5767">
        <v>0.45</v>
      </c>
      <c r="G5767" s="37" t="str">
        <f t="shared" si="451"/>
        <v>Heavy Discount</v>
      </c>
      <c r="H5767" s="37" t="str">
        <f t="shared" si="452"/>
        <v>High</v>
      </c>
      <c r="I5767">
        <v>6</v>
      </c>
      <c r="J5767" t="str" cm="1">
        <f t="array" ref="J5767">_xlfn.IFS(I5767&lt;=3,"small",I5767&lt;=6,"Medium",I5767&lt;=9,"Large")</f>
        <v>Medium</v>
      </c>
      <c r="K5767" s="36">
        <v>45489</v>
      </c>
      <c r="L5767" s="36">
        <v>45490</v>
      </c>
      <c r="M5767" t="s">
        <v>612</v>
      </c>
      <c r="N5767" t="s">
        <v>604</v>
      </c>
      <c r="O5767" s="37" t="str">
        <f t="shared" si="453"/>
        <v>Digital Payment</v>
      </c>
      <c r="P5767">
        <v>813.44</v>
      </c>
      <c r="Q5767" s="37" t="str">
        <f>IF(P5767&gt;500,"High","low")</f>
        <v>High</v>
      </c>
      <c r="R5767" s="37" t="str">
        <f t="shared" si="454"/>
        <v>Good</v>
      </c>
      <c r="S5767" t="s">
        <v>628</v>
      </c>
    </row>
    <row r="5768" spans="1:19" x14ac:dyDescent="0.2">
      <c r="A5768" t="s">
        <v>6379</v>
      </c>
      <c r="B5768" t="s">
        <v>75</v>
      </c>
      <c r="C5768" t="s">
        <v>614</v>
      </c>
      <c r="D5768">
        <v>1705.72</v>
      </c>
      <c r="E5768" s="37" t="str">
        <f t="shared" si="450"/>
        <v xml:space="preserve"> </v>
      </c>
      <c r="F5768">
        <v>0.28999999999999998</v>
      </c>
      <c r="G5768" s="37" t="str">
        <f t="shared" si="451"/>
        <v>Normal Discount</v>
      </c>
      <c r="H5768" s="37" t="str">
        <f t="shared" si="452"/>
        <v>Medium</v>
      </c>
      <c r="I5768">
        <v>6</v>
      </c>
      <c r="J5768" t="str" cm="1">
        <f t="array" ref="J5768">_xlfn.IFS(I5768&lt;=3,"small",I5768&lt;=6,"Medium",I5768&lt;=9,"Large")</f>
        <v>Medium</v>
      </c>
      <c r="K5768" s="36">
        <v>45042</v>
      </c>
      <c r="L5768" s="36">
        <v>45047</v>
      </c>
      <c r="M5768" t="s">
        <v>598</v>
      </c>
      <c r="N5768" t="s">
        <v>599</v>
      </c>
      <c r="O5768" s="37" t="str">
        <f t="shared" si="453"/>
        <v>Digital Payment</v>
      </c>
      <c r="P5768">
        <v>378.77</v>
      </c>
      <c r="Q5768" s="37" t="str">
        <f>IF(P5768&gt;500,"High","low")</f>
        <v>low</v>
      </c>
      <c r="R5768" s="37" t="str">
        <f t="shared" si="454"/>
        <v>AVERAGE</v>
      </c>
      <c r="S5768" t="s">
        <v>620</v>
      </c>
    </row>
    <row r="5769" spans="1:19" x14ac:dyDescent="0.2">
      <c r="A5769" t="s">
        <v>6380</v>
      </c>
      <c r="B5769" t="s">
        <v>90</v>
      </c>
      <c r="C5769" t="s">
        <v>597</v>
      </c>
      <c r="D5769">
        <v>1785.01</v>
      </c>
      <c r="E5769" s="37" t="str">
        <f t="shared" si="450"/>
        <v xml:space="preserve"> </v>
      </c>
      <c r="F5769">
        <v>0.37</v>
      </c>
      <c r="G5769" s="37" t="str">
        <f t="shared" si="451"/>
        <v>Heavy Discount</v>
      </c>
      <c r="H5769" s="37" t="str">
        <f t="shared" si="452"/>
        <v>Medium</v>
      </c>
      <c r="I5769">
        <v>2</v>
      </c>
      <c r="J5769" t="str" cm="1">
        <f t="array" ref="J5769">_xlfn.IFS(I5769&lt;=3,"small",I5769&lt;=6,"Medium",I5769&lt;=9,"Large")</f>
        <v>small</v>
      </c>
      <c r="K5769" s="36">
        <v>45009</v>
      </c>
      <c r="L5769" s="36">
        <v>45016</v>
      </c>
      <c r="M5769" t="s">
        <v>598</v>
      </c>
      <c r="N5769" t="s">
        <v>599</v>
      </c>
      <c r="O5769" s="37" t="str">
        <f t="shared" si="453"/>
        <v>Digital Payment</v>
      </c>
      <c r="P5769">
        <v>288.83</v>
      </c>
      <c r="Q5769" s="37" t="str">
        <f>IF(P5769&gt;500,"High","low")</f>
        <v>low</v>
      </c>
      <c r="R5769" s="37" t="str">
        <f t="shared" si="454"/>
        <v>AVERAGE</v>
      </c>
      <c r="S5769" t="s">
        <v>600</v>
      </c>
    </row>
    <row r="5770" spans="1:19" x14ac:dyDescent="0.2">
      <c r="A5770" t="s">
        <v>6381</v>
      </c>
      <c r="B5770" t="s">
        <v>67</v>
      </c>
      <c r="C5770" t="s">
        <v>607</v>
      </c>
      <c r="D5770">
        <v>3220.4</v>
      </c>
      <c r="E5770" s="37" t="str">
        <f t="shared" si="450"/>
        <v xml:space="preserve"> </v>
      </c>
      <c r="F5770">
        <v>0.22</v>
      </c>
      <c r="G5770" s="37" t="str">
        <f t="shared" si="451"/>
        <v>Normal Discount</v>
      </c>
      <c r="H5770" s="37" t="str">
        <f t="shared" si="452"/>
        <v>Medium</v>
      </c>
      <c r="I5770">
        <v>2</v>
      </c>
      <c r="J5770" t="str" cm="1">
        <f t="array" ref="J5770">_xlfn.IFS(I5770&lt;=3,"small",I5770&lt;=6,"Medium",I5770&lt;=9,"Large")</f>
        <v>small</v>
      </c>
      <c r="K5770" s="36">
        <v>45372</v>
      </c>
      <c r="L5770" s="36">
        <v>45376</v>
      </c>
      <c r="M5770" t="s">
        <v>612</v>
      </c>
      <c r="N5770" t="s">
        <v>608</v>
      </c>
      <c r="O5770" s="37" t="str">
        <f t="shared" si="453"/>
        <v>Cash Payment</v>
      </c>
      <c r="P5770">
        <v>789.27</v>
      </c>
      <c r="Q5770" s="37" t="str">
        <f>IF(P5770&gt;500,"High","low")</f>
        <v>High</v>
      </c>
      <c r="R5770" s="37" t="str">
        <f t="shared" si="454"/>
        <v>Good</v>
      </c>
      <c r="S5770" t="s">
        <v>628</v>
      </c>
    </row>
    <row r="5771" spans="1:19" x14ac:dyDescent="0.2">
      <c r="A5771" t="s">
        <v>6382</v>
      </c>
      <c r="B5771" t="s">
        <v>83</v>
      </c>
      <c r="C5771" t="s">
        <v>614</v>
      </c>
      <c r="D5771">
        <v>1275.18</v>
      </c>
      <c r="E5771" s="37" t="str">
        <f t="shared" si="450"/>
        <v xml:space="preserve"> </v>
      </c>
      <c r="F5771">
        <v>0.22</v>
      </c>
      <c r="G5771" s="37" t="str">
        <f t="shared" si="451"/>
        <v>Normal Discount</v>
      </c>
      <c r="H5771" s="37" t="str">
        <f t="shared" si="452"/>
        <v>Medium</v>
      </c>
      <c r="I5771">
        <v>1</v>
      </c>
      <c r="J5771" t="str" cm="1">
        <f t="array" ref="J5771">_xlfn.IFS(I5771&lt;=3,"small",I5771&lt;=6,"Medium",I5771&lt;=9,"Large")</f>
        <v>small</v>
      </c>
      <c r="K5771" s="36">
        <v>45041</v>
      </c>
      <c r="L5771" s="36">
        <v>45043</v>
      </c>
      <c r="M5771" t="s">
        <v>603</v>
      </c>
      <c r="N5771" t="s">
        <v>604</v>
      </c>
      <c r="O5771" s="37" t="str">
        <f t="shared" si="453"/>
        <v>Digital Payment</v>
      </c>
      <c r="P5771">
        <v>123.52</v>
      </c>
      <c r="Q5771" s="37" t="str">
        <f>IF(P5771&gt;500,"High","low")</f>
        <v>low</v>
      </c>
      <c r="R5771" s="37" t="str">
        <f t="shared" si="454"/>
        <v>AVERAGE</v>
      </c>
      <c r="S5771" t="s">
        <v>615</v>
      </c>
    </row>
    <row r="5772" spans="1:19" x14ac:dyDescent="0.2">
      <c r="A5772" t="s">
        <v>6383</v>
      </c>
      <c r="B5772" t="s">
        <v>90</v>
      </c>
      <c r="C5772" t="s">
        <v>602</v>
      </c>
      <c r="D5772">
        <v>1199.75</v>
      </c>
      <c r="E5772" s="37" t="str">
        <f t="shared" si="450"/>
        <v xml:space="preserve"> </v>
      </c>
      <c r="F5772">
        <v>0.03</v>
      </c>
      <c r="G5772" s="37" t="str">
        <f t="shared" si="451"/>
        <v>Normal Discount</v>
      </c>
      <c r="H5772" s="37" t="str">
        <f t="shared" si="452"/>
        <v>Low</v>
      </c>
      <c r="I5772">
        <v>6</v>
      </c>
      <c r="J5772" t="str" cm="1">
        <f t="array" ref="J5772">_xlfn.IFS(I5772&lt;=3,"small",I5772&lt;=6,"Medium",I5772&lt;=9,"Large")</f>
        <v>Medium</v>
      </c>
      <c r="K5772" s="36">
        <v>45011</v>
      </c>
      <c r="L5772" s="36">
        <v>45018</v>
      </c>
      <c r="M5772" t="s">
        <v>603</v>
      </c>
      <c r="N5772" t="s">
        <v>604</v>
      </c>
      <c r="O5772" s="37" t="str">
        <f t="shared" si="453"/>
        <v>Digital Payment</v>
      </c>
      <c r="P5772">
        <v>192.98</v>
      </c>
      <c r="Q5772" s="37" t="str">
        <f>IF(P5772&gt;500,"High","low")</f>
        <v>low</v>
      </c>
      <c r="R5772" s="37" t="str">
        <f t="shared" si="454"/>
        <v>AVERAGE</v>
      </c>
      <c r="S5772" t="s">
        <v>600</v>
      </c>
    </row>
    <row r="5773" spans="1:19" x14ac:dyDescent="0.2">
      <c r="A5773" t="s">
        <v>6384</v>
      </c>
      <c r="B5773" t="s">
        <v>90</v>
      </c>
      <c r="C5773" t="s">
        <v>597</v>
      </c>
      <c r="D5773">
        <v>1908.9</v>
      </c>
      <c r="E5773" s="37" t="str">
        <f t="shared" si="450"/>
        <v xml:space="preserve"> </v>
      </c>
      <c r="F5773">
        <v>0.37</v>
      </c>
      <c r="G5773" s="37" t="str">
        <f t="shared" si="451"/>
        <v>Heavy Discount</v>
      </c>
      <c r="H5773" s="37" t="str">
        <f t="shared" si="452"/>
        <v>Medium</v>
      </c>
      <c r="I5773">
        <v>9</v>
      </c>
      <c r="J5773" t="str" cm="1">
        <f t="array" ref="J5773">_xlfn.IFS(I5773&lt;=3,"small",I5773&lt;=6,"Medium",I5773&lt;=9,"Large")</f>
        <v>Large</v>
      </c>
      <c r="K5773" s="36">
        <v>45121</v>
      </c>
      <c r="L5773" s="36">
        <v>45127</v>
      </c>
      <c r="M5773" t="s">
        <v>598</v>
      </c>
      <c r="N5773" t="s">
        <v>604</v>
      </c>
      <c r="O5773" s="37" t="str">
        <f t="shared" si="453"/>
        <v>Digital Payment</v>
      </c>
      <c r="P5773">
        <v>569.72</v>
      </c>
      <c r="Q5773" s="37" t="str">
        <f>IF(P5773&gt;500,"High","low")</f>
        <v>High</v>
      </c>
      <c r="R5773" s="37" t="str">
        <f t="shared" si="454"/>
        <v>Good</v>
      </c>
      <c r="S5773" t="s">
        <v>600</v>
      </c>
    </row>
    <row r="5774" spans="1:19" x14ac:dyDescent="0.2">
      <c r="A5774" t="s">
        <v>6385</v>
      </c>
      <c r="B5774" t="s">
        <v>75</v>
      </c>
      <c r="C5774" t="s">
        <v>617</v>
      </c>
      <c r="D5774">
        <v>3912.51</v>
      </c>
      <c r="E5774" s="37" t="str">
        <f t="shared" si="450"/>
        <v xml:space="preserve"> </v>
      </c>
      <c r="F5774">
        <v>0.05</v>
      </c>
      <c r="G5774" s="37" t="str">
        <f t="shared" si="451"/>
        <v>Normal Discount</v>
      </c>
      <c r="H5774" s="37" t="str">
        <f t="shared" si="452"/>
        <v>Low</v>
      </c>
      <c r="I5774">
        <v>8</v>
      </c>
      <c r="J5774" t="str" cm="1">
        <f t="array" ref="J5774">_xlfn.IFS(I5774&lt;=3,"small",I5774&lt;=6,"Medium",I5774&lt;=9,"Large")</f>
        <v>Large</v>
      </c>
      <c r="K5774" s="36">
        <v>44985</v>
      </c>
      <c r="L5774" s="36">
        <v>44988</v>
      </c>
      <c r="M5774" t="s">
        <v>612</v>
      </c>
      <c r="N5774" t="s">
        <v>608</v>
      </c>
      <c r="O5774" s="37" t="str">
        <f t="shared" si="453"/>
        <v>Cash Payment</v>
      </c>
      <c r="P5774">
        <v>476.11</v>
      </c>
      <c r="Q5774" s="37" t="str">
        <f>IF(P5774&gt;500,"High","low")</f>
        <v>low</v>
      </c>
      <c r="R5774" s="37" t="str">
        <f t="shared" si="454"/>
        <v>AVERAGE</v>
      </c>
      <c r="S5774" t="s">
        <v>628</v>
      </c>
    </row>
    <row r="5775" spans="1:19" x14ac:dyDescent="0.2">
      <c r="A5775" t="s">
        <v>6386</v>
      </c>
      <c r="B5775" t="s">
        <v>75</v>
      </c>
      <c r="C5775" t="s">
        <v>614</v>
      </c>
      <c r="D5775">
        <v>1200.94</v>
      </c>
      <c r="E5775" s="37" t="str">
        <f t="shared" si="450"/>
        <v xml:space="preserve"> </v>
      </c>
      <c r="F5775">
        <v>0.38</v>
      </c>
      <c r="G5775" s="37" t="str">
        <f t="shared" si="451"/>
        <v>Heavy Discount</v>
      </c>
      <c r="H5775" s="37" t="str">
        <f t="shared" si="452"/>
        <v>Medium</v>
      </c>
      <c r="I5775">
        <v>5</v>
      </c>
      <c r="J5775" t="str" cm="1">
        <f t="array" ref="J5775">_xlfn.IFS(I5775&lt;=3,"small",I5775&lt;=6,"Medium",I5775&lt;=9,"Large")</f>
        <v>Medium</v>
      </c>
      <c r="K5775" s="36">
        <v>45159</v>
      </c>
      <c r="L5775" s="36">
        <v>45166</v>
      </c>
      <c r="M5775" t="s">
        <v>598</v>
      </c>
      <c r="N5775" t="s">
        <v>604</v>
      </c>
      <c r="O5775" s="37" t="str">
        <f t="shared" si="453"/>
        <v>Digital Payment</v>
      </c>
      <c r="P5775">
        <v>181.68</v>
      </c>
      <c r="Q5775" s="37" t="str">
        <f>IF(P5775&gt;500,"High","low")</f>
        <v>low</v>
      </c>
      <c r="R5775" s="37" t="str">
        <f t="shared" si="454"/>
        <v>AVERAGE</v>
      </c>
      <c r="S5775" t="s">
        <v>605</v>
      </c>
    </row>
    <row r="5776" spans="1:19" x14ac:dyDescent="0.2">
      <c r="A5776" t="s">
        <v>6387</v>
      </c>
      <c r="B5776" t="s">
        <v>90</v>
      </c>
      <c r="C5776" t="s">
        <v>617</v>
      </c>
      <c r="D5776">
        <v>3957.86</v>
      </c>
      <c r="E5776" s="37" t="str">
        <f t="shared" si="450"/>
        <v xml:space="preserve"> </v>
      </c>
      <c r="F5776">
        <v>0.1</v>
      </c>
      <c r="G5776" s="37" t="str">
        <f t="shared" si="451"/>
        <v>Normal Discount</v>
      </c>
      <c r="H5776" s="37" t="str">
        <f t="shared" si="452"/>
        <v>Low</v>
      </c>
      <c r="I5776">
        <v>8</v>
      </c>
      <c r="J5776" t="str" cm="1">
        <f t="array" ref="J5776">_xlfn.IFS(I5776&lt;=3,"small",I5776&lt;=6,"Medium",I5776&lt;=9,"Large")</f>
        <v>Large</v>
      </c>
      <c r="K5776" s="36">
        <v>45073</v>
      </c>
      <c r="L5776" s="36">
        <v>45080</v>
      </c>
      <c r="M5776" t="s">
        <v>603</v>
      </c>
      <c r="N5776" t="s">
        <v>604</v>
      </c>
      <c r="O5776" s="37" t="str">
        <f t="shared" si="453"/>
        <v>Digital Payment</v>
      </c>
      <c r="P5776">
        <v>415.91</v>
      </c>
      <c r="Q5776" s="37" t="str">
        <f>IF(P5776&gt;500,"High","low")</f>
        <v>low</v>
      </c>
      <c r="R5776" s="37" t="str">
        <f t="shared" si="454"/>
        <v>AVERAGE</v>
      </c>
      <c r="S5776" t="s">
        <v>615</v>
      </c>
    </row>
    <row r="5777" spans="1:19" x14ac:dyDescent="0.2">
      <c r="A5777" t="s">
        <v>6388</v>
      </c>
      <c r="B5777" t="s">
        <v>90</v>
      </c>
      <c r="C5777" t="s">
        <v>597</v>
      </c>
      <c r="D5777">
        <v>3508.47</v>
      </c>
      <c r="E5777" s="37" t="str">
        <f t="shared" si="450"/>
        <v xml:space="preserve"> </v>
      </c>
      <c r="F5777">
        <v>0.12</v>
      </c>
      <c r="G5777" s="37" t="str">
        <f t="shared" si="451"/>
        <v>Normal Discount</v>
      </c>
      <c r="H5777" s="37" t="str">
        <f t="shared" si="452"/>
        <v>Low</v>
      </c>
      <c r="I5777">
        <v>2</v>
      </c>
      <c r="J5777" t="str" cm="1">
        <f t="array" ref="J5777">_xlfn.IFS(I5777&lt;=3,"small",I5777&lt;=6,"Medium",I5777&lt;=9,"Large")</f>
        <v>small</v>
      </c>
      <c r="K5777" s="36">
        <v>45500</v>
      </c>
      <c r="L5777" s="36">
        <v>45506</v>
      </c>
      <c r="M5777" t="s">
        <v>598</v>
      </c>
      <c r="N5777" t="s">
        <v>608</v>
      </c>
      <c r="O5777" s="37" t="str">
        <f t="shared" si="453"/>
        <v>Cash Payment</v>
      </c>
      <c r="P5777">
        <v>241.94</v>
      </c>
      <c r="Q5777" s="37" t="str">
        <f>IF(P5777&gt;500,"High","low")</f>
        <v>low</v>
      </c>
      <c r="R5777" s="37" t="str">
        <f t="shared" si="454"/>
        <v>AVERAGE</v>
      </c>
      <c r="S5777" t="s">
        <v>620</v>
      </c>
    </row>
    <row r="5778" spans="1:19" x14ac:dyDescent="0.2">
      <c r="A5778" t="s">
        <v>6389</v>
      </c>
      <c r="B5778" t="s">
        <v>67</v>
      </c>
      <c r="C5778" t="s">
        <v>614</v>
      </c>
      <c r="D5778">
        <v>3427.49</v>
      </c>
      <c r="E5778" s="37" t="str">
        <f t="shared" si="450"/>
        <v xml:space="preserve"> </v>
      </c>
      <c r="F5778">
        <v>0.46</v>
      </c>
      <c r="G5778" s="37" t="str">
        <f t="shared" si="451"/>
        <v>Heavy Discount</v>
      </c>
      <c r="H5778" s="37" t="str">
        <f t="shared" si="452"/>
        <v>High</v>
      </c>
      <c r="I5778">
        <v>6</v>
      </c>
      <c r="J5778" t="str" cm="1">
        <f t="array" ref="J5778">_xlfn.IFS(I5778&lt;=3,"small",I5778&lt;=6,"Medium",I5778&lt;=9,"Large")</f>
        <v>Medium</v>
      </c>
      <c r="K5778" s="36">
        <v>45619</v>
      </c>
      <c r="L5778" s="36">
        <v>45623</v>
      </c>
      <c r="M5778" t="s">
        <v>612</v>
      </c>
      <c r="N5778" t="s">
        <v>608</v>
      </c>
      <c r="O5778" s="37" t="str">
        <f t="shared" si="453"/>
        <v>Cash Payment</v>
      </c>
      <c r="P5778">
        <v>517.13</v>
      </c>
      <c r="Q5778" s="37" t="str">
        <f>IF(P5778&gt;500,"High","low")</f>
        <v>High</v>
      </c>
      <c r="R5778" s="37" t="str">
        <f t="shared" si="454"/>
        <v>Good</v>
      </c>
      <c r="S5778" t="s">
        <v>600</v>
      </c>
    </row>
    <row r="5779" spans="1:19" x14ac:dyDescent="0.2">
      <c r="A5779" t="s">
        <v>6390</v>
      </c>
      <c r="B5779" t="s">
        <v>90</v>
      </c>
      <c r="C5779" t="s">
        <v>614</v>
      </c>
      <c r="D5779">
        <v>2426.3000000000002</v>
      </c>
      <c r="E5779" s="37" t="str">
        <f t="shared" si="450"/>
        <v xml:space="preserve"> </v>
      </c>
      <c r="F5779">
        <v>0.24</v>
      </c>
      <c r="G5779" s="37" t="str">
        <f t="shared" si="451"/>
        <v>Normal Discount</v>
      </c>
      <c r="H5779" s="37" t="str">
        <f t="shared" si="452"/>
        <v>Medium</v>
      </c>
      <c r="I5779">
        <v>2</v>
      </c>
      <c r="J5779" t="str" cm="1">
        <f t="array" ref="J5779">_xlfn.IFS(I5779&lt;=3,"small",I5779&lt;=6,"Medium",I5779&lt;=9,"Large")</f>
        <v>small</v>
      </c>
      <c r="K5779" s="36">
        <v>45284</v>
      </c>
      <c r="L5779" s="36">
        <v>45288</v>
      </c>
      <c r="M5779" t="s">
        <v>603</v>
      </c>
      <c r="N5779" t="s">
        <v>604</v>
      </c>
      <c r="O5779" s="37" t="str">
        <f t="shared" si="453"/>
        <v>Digital Payment</v>
      </c>
      <c r="P5779">
        <v>209.43</v>
      </c>
      <c r="Q5779" s="37" t="str">
        <f>IF(P5779&gt;500,"High","low")</f>
        <v>low</v>
      </c>
      <c r="R5779" s="37" t="str">
        <f t="shared" si="454"/>
        <v>AVERAGE</v>
      </c>
      <c r="S5779" t="s">
        <v>600</v>
      </c>
    </row>
    <row r="5780" spans="1:19" x14ac:dyDescent="0.2">
      <c r="A5780" t="s">
        <v>6391</v>
      </c>
      <c r="B5780" t="s">
        <v>67</v>
      </c>
      <c r="C5780" t="s">
        <v>597</v>
      </c>
      <c r="D5780">
        <v>3754.85</v>
      </c>
      <c r="E5780" s="37" t="str">
        <f t="shared" si="450"/>
        <v xml:space="preserve"> </v>
      </c>
      <c r="F5780">
        <v>0.06</v>
      </c>
      <c r="G5780" s="37" t="str">
        <f t="shared" si="451"/>
        <v>Normal Discount</v>
      </c>
      <c r="H5780" s="37" t="str">
        <f t="shared" si="452"/>
        <v>Low</v>
      </c>
      <c r="I5780">
        <v>8</v>
      </c>
      <c r="J5780" t="str" cm="1">
        <f t="array" ref="J5780">_xlfn.IFS(I5780&lt;=3,"small",I5780&lt;=6,"Medium",I5780&lt;=9,"Large")</f>
        <v>Large</v>
      </c>
      <c r="K5780" s="36">
        <v>45578</v>
      </c>
      <c r="L5780" s="36">
        <v>45584</v>
      </c>
      <c r="M5780" t="s">
        <v>612</v>
      </c>
      <c r="N5780" t="s">
        <v>599</v>
      </c>
      <c r="O5780" s="37" t="str">
        <f t="shared" si="453"/>
        <v>Digital Payment</v>
      </c>
      <c r="P5780">
        <v>668.03</v>
      </c>
      <c r="Q5780" s="37" t="str">
        <f>IF(P5780&gt;500,"High","low")</f>
        <v>High</v>
      </c>
      <c r="R5780" s="37" t="str">
        <f t="shared" si="454"/>
        <v>Good</v>
      </c>
      <c r="S5780" t="s">
        <v>605</v>
      </c>
    </row>
    <row r="5781" spans="1:19" x14ac:dyDescent="0.2">
      <c r="A5781" t="s">
        <v>6392</v>
      </c>
      <c r="B5781" t="s">
        <v>90</v>
      </c>
      <c r="C5781" t="s">
        <v>602</v>
      </c>
      <c r="D5781">
        <v>166.25</v>
      </c>
      <c r="E5781" s="37" t="str">
        <f t="shared" si="450"/>
        <v xml:space="preserve"> </v>
      </c>
      <c r="F5781">
        <v>0.45</v>
      </c>
      <c r="G5781" s="37" t="str">
        <f t="shared" si="451"/>
        <v>Heavy Discount</v>
      </c>
      <c r="H5781" s="37" t="str">
        <f t="shared" si="452"/>
        <v>High</v>
      </c>
      <c r="I5781">
        <v>2</v>
      </c>
      <c r="J5781" t="str" cm="1">
        <f t="array" ref="J5781">_xlfn.IFS(I5781&lt;=3,"small",I5781&lt;=6,"Medium",I5781&lt;=9,"Large")</f>
        <v>small</v>
      </c>
      <c r="K5781" s="36">
        <v>45014</v>
      </c>
      <c r="L5781" s="36">
        <v>45019</v>
      </c>
      <c r="M5781" t="s">
        <v>603</v>
      </c>
      <c r="N5781" t="s">
        <v>608</v>
      </c>
      <c r="O5781" s="37" t="str">
        <f t="shared" si="453"/>
        <v>Cash Payment</v>
      </c>
      <c r="P5781">
        <v>39.6</v>
      </c>
      <c r="Q5781" s="37" t="str">
        <f>IF(P5781&gt;500,"High","low")</f>
        <v>low</v>
      </c>
      <c r="R5781" s="37" t="str">
        <f t="shared" si="454"/>
        <v>AVERAGE</v>
      </c>
      <c r="S5781" t="s">
        <v>600</v>
      </c>
    </row>
    <row r="5782" spans="1:19" x14ac:dyDescent="0.2">
      <c r="A5782" t="s">
        <v>6393</v>
      </c>
      <c r="B5782" t="s">
        <v>75</v>
      </c>
      <c r="C5782" t="s">
        <v>614</v>
      </c>
      <c r="D5782">
        <v>1597.48</v>
      </c>
      <c r="E5782" s="37" t="str">
        <f t="shared" si="450"/>
        <v xml:space="preserve"> </v>
      </c>
      <c r="F5782">
        <v>0.23</v>
      </c>
      <c r="G5782" s="37" t="str">
        <f t="shared" si="451"/>
        <v>Normal Discount</v>
      </c>
      <c r="H5782" s="37" t="str">
        <f t="shared" si="452"/>
        <v>Medium</v>
      </c>
      <c r="I5782">
        <v>5</v>
      </c>
      <c r="J5782" t="str" cm="1">
        <f t="array" ref="J5782">_xlfn.IFS(I5782&lt;=3,"small",I5782&lt;=6,"Medium",I5782&lt;=9,"Large")</f>
        <v>Medium</v>
      </c>
      <c r="K5782" s="36">
        <v>44991</v>
      </c>
      <c r="L5782" s="36">
        <v>44997</v>
      </c>
      <c r="M5782" t="s">
        <v>612</v>
      </c>
      <c r="N5782" t="s">
        <v>599</v>
      </c>
      <c r="O5782" s="37" t="str">
        <f t="shared" si="453"/>
        <v>Digital Payment</v>
      </c>
      <c r="P5782">
        <v>418.59</v>
      </c>
      <c r="Q5782" s="37" t="str">
        <f>IF(P5782&gt;500,"High","low")</f>
        <v>low</v>
      </c>
      <c r="R5782" s="37" t="str">
        <f t="shared" si="454"/>
        <v>AVERAGE</v>
      </c>
      <c r="S5782" t="s">
        <v>620</v>
      </c>
    </row>
    <row r="5783" spans="1:19" x14ac:dyDescent="0.2">
      <c r="A5783" t="s">
        <v>6394</v>
      </c>
      <c r="B5783" t="s">
        <v>67</v>
      </c>
      <c r="C5783" t="s">
        <v>597</v>
      </c>
      <c r="D5783">
        <v>3427.77</v>
      </c>
      <c r="E5783" s="37" t="str">
        <f t="shared" si="450"/>
        <v xml:space="preserve"> </v>
      </c>
      <c r="F5783">
        <v>7.0000000000000007E-2</v>
      </c>
      <c r="G5783" s="37" t="str">
        <f t="shared" si="451"/>
        <v>Normal Discount</v>
      </c>
      <c r="H5783" s="37" t="str">
        <f t="shared" si="452"/>
        <v>Low</v>
      </c>
      <c r="I5783">
        <v>7</v>
      </c>
      <c r="J5783" t="str" cm="1">
        <f t="array" ref="J5783">_xlfn.IFS(I5783&lt;=3,"small",I5783&lt;=6,"Medium",I5783&lt;=9,"Large")</f>
        <v>Large</v>
      </c>
      <c r="K5783" s="36">
        <v>45461</v>
      </c>
      <c r="L5783" s="36">
        <v>45463</v>
      </c>
      <c r="M5783" t="s">
        <v>612</v>
      </c>
      <c r="N5783" t="s">
        <v>599</v>
      </c>
      <c r="O5783" s="37" t="str">
        <f t="shared" si="453"/>
        <v>Digital Payment</v>
      </c>
      <c r="P5783">
        <v>315.37</v>
      </c>
      <c r="Q5783" s="37" t="str">
        <f>IF(P5783&gt;500,"High","low")</f>
        <v>low</v>
      </c>
      <c r="R5783" s="37" t="str">
        <f t="shared" si="454"/>
        <v>AVERAGE</v>
      </c>
      <c r="S5783" t="s">
        <v>620</v>
      </c>
    </row>
    <row r="5784" spans="1:19" x14ac:dyDescent="0.2">
      <c r="A5784" t="s">
        <v>6395</v>
      </c>
      <c r="B5784" t="s">
        <v>83</v>
      </c>
      <c r="C5784" t="s">
        <v>607</v>
      </c>
      <c r="D5784">
        <v>4937.75</v>
      </c>
      <c r="E5784" s="37" t="str">
        <f t="shared" si="450"/>
        <v>Excellent Order</v>
      </c>
      <c r="F5784">
        <v>0.2</v>
      </c>
      <c r="G5784" s="37" t="str">
        <f t="shared" si="451"/>
        <v>Normal Discount</v>
      </c>
      <c r="H5784" s="37" t="str">
        <f t="shared" si="452"/>
        <v>Medium</v>
      </c>
      <c r="I5784">
        <v>7</v>
      </c>
      <c r="J5784" t="str" cm="1">
        <f t="array" ref="J5784">_xlfn.IFS(I5784&lt;=3,"small",I5784&lt;=6,"Medium",I5784&lt;=9,"Large")</f>
        <v>Large</v>
      </c>
      <c r="K5784" s="36">
        <v>45221</v>
      </c>
      <c r="L5784" s="36">
        <v>45227</v>
      </c>
      <c r="M5784" t="s">
        <v>598</v>
      </c>
      <c r="N5784" t="s">
        <v>599</v>
      </c>
      <c r="O5784" s="37" t="str">
        <f t="shared" si="453"/>
        <v>Digital Payment</v>
      </c>
      <c r="P5784">
        <v>1359.9</v>
      </c>
      <c r="Q5784" s="37" t="str">
        <f>IF(P5784&gt;500,"High","low")</f>
        <v>High</v>
      </c>
      <c r="R5784" s="37" t="str">
        <f t="shared" si="454"/>
        <v>Excellent</v>
      </c>
      <c r="S5784" t="s">
        <v>615</v>
      </c>
    </row>
    <row r="5785" spans="1:19" x14ac:dyDescent="0.2">
      <c r="A5785" t="s">
        <v>6396</v>
      </c>
      <c r="B5785" t="s">
        <v>75</v>
      </c>
      <c r="C5785" t="s">
        <v>617</v>
      </c>
      <c r="D5785">
        <v>112.32</v>
      </c>
      <c r="E5785" s="37" t="str">
        <f t="shared" si="450"/>
        <v xml:space="preserve"> </v>
      </c>
      <c r="F5785">
        <v>0.28999999999999998</v>
      </c>
      <c r="G5785" s="37" t="str">
        <f t="shared" si="451"/>
        <v>Normal Discount</v>
      </c>
      <c r="H5785" s="37" t="str">
        <f t="shared" si="452"/>
        <v>Medium</v>
      </c>
      <c r="I5785">
        <v>4</v>
      </c>
      <c r="J5785" t="str" cm="1">
        <f t="array" ref="J5785">_xlfn.IFS(I5785&lt;=3,"small",I5785&lt;=6,"Medium",I5785&lt;=9,"Large")</f>
        <v>Medium</v>
      </c>
      <c r="K5785" s="36">
        <v>44986</v>
      </c>
      <c r="L5785" s="36">
        <v>44993</v>
      </c>
      <c r="M5785" t="s">
        <v>603</v>
      </c>
      <c r="N5785" t="s">
        <v>608</v>
      </c>
      <c r="O5785" s="37" t="str">
        <f t="shared" si="453"/>
        <v>Cash Payment</v>
      </c>
      <c r="P5785">
        <v>15.71</v>
      </c>
      <c r="Q5785" s="37" t="str">
        <f>IF(P5785&gt;500,"High","low")</f>
        <v>low</v>
      </c>
      <c r="R5785" s="37" t="str">
        <f t="shared" si="454"/>
        <v>AVERAGE</v>
      </c>
      <c r="S5785" t="s">
        <v>615</v>
      </c>
    </row>
    <row r="5786" spans="1:19" x14ac:dyDescent="0.2">
      <c r="A5786" t="s">
        <v>6397</v>
      </c>
      <c r="B5786" t="s">
        <v>67</v>
      </c>
      <c r="C5786" t="s">
        <v>614</v>
      </c>
      <c r="D5786">
        <v>2598.86</v>
      </c>
      <c r="E5786" s="37" t="str">
        <f t="shared" si="450"/>
        <v xml:space="preserve"> </v>
      </c>
      <c r="F5786">
        <v>0.18</v>
      </c>
      <c r="G5786" s="37" t="str">
        <f t="shared" si="451"/>
        <v>Normal Discount</v>
      </c>
      <c r="H5786" s="37" t="str">
        <f t="shared" si="452"/>
        <v>Low</v>
      </c>
      <c r="I5786">
        <v>8</v>
      </c>
      <c r="J5786" t="str" cm="1">
        <f t="array" ref="J5786">_xlfn.IFS(I5786&lt;=3,"small",I5786&lt;=6,"Medium",I5786&lt;=9,"Large")</f>
        <v>Large</v>
      </c>
      <c r="K5786" s="36">
        <v>45482</v>
      </c>
      <c r="L5786" s="36">
        <v>45486</v>
      </c>
      <c r="M5786" t="s">
        <v>612</v>
      </c>
      <c r="N5786" t="s">
        <v>599</v>
      </c>
      <c r="O5786" s="37" t="str">
        <f t="shared" si="453"/>
        <v>Digital Payment</v>
      </c>
      <c r="P5786">
        <v>420.94</v>
      </c>
      <c r="Q5786" s="37" t="str">
        <f>IF(P5786&gt;500,"High","low")</f>
        <v>low</v>
      </c>
      <c r="R5786" s="37" t="str">
        <f t="shared" si="454"/>
        <v>AVERAGE</v>
      </c>
      <c r="S5786" t="s">
        <v>609</v>
      </c>
    </row>
    <row r="5787" spans="1:19" x14ac:dyDescent="0.2">
      <c r="A5787" t="s">
        <v>6398</v>
      </c>
      <c r="B5787" t="s">
        <v>67</v>
      </c>
      <c r="C5787" t="s">
        <v>607</v>
      </c>
      <c r="D5787">
        <v>4626.8</v>
      </c>
      <c r="E5787" s="37" t="str">
        <f t="shared" si="450"/>
        <v>Excellent Order</v>
      </c>
      <c r="F5787">
        <v>0.46</v>
      </c>
      <c r="G5787" s="37" t="str">
        <f t="shared" si="451"/>
        <v>Heavy Discount</v>
      </c>
      <c r="H5787" s="37" t="str">
        <f t="shared" si="452"/>
        <v>High</v>
      </c>
      <c r="I5787">
        <v>7</v>
      </c>
      <c r="J5787" t="str" cm="1">
        <f t="array" ref="J5787">_xlfn.IFS(I5787&lt;=3,"small",I5787&lt;=6,"Medium",I5787&lt;=9,"Large")</f>
        <v>Large</v>
      </c>
      <c r="K5787" s="36">
        <v>44996</v>
      </c>
      <c r="L5787" s="36">
        <v>44998</v>
      </c>
      <c r="M5787" t="s">
        <v>603</v>
      </c>
      <c r="N5787" t="s">
        <v>608</v>
      </c>
      <c r="O5787" s="37" t="str">
        <f t="shared" si="453"/>
        <v>Cash Payment</v>
      </c>
      <c r="P5787">
        <v>905.1</v>
      </c>
      <c r="Q5787" s="37" t="str">
        <f>IF(P5787&gt;500,"High","low")</f>
        <v>High</v>
      </c>
      <c r="R5787" s="37" t="str">
        <f t="shared" si="454"/>
        <v>Good</v>
      </c>
      <c r="S5787" t="s">
        <v>609</v>
      </c>
    </row>
    <row r="5788" spans="1:19" x14ac:dyDescent="0.2">
      <c r="A5788" t="s">
        <v>6399</v>
      </c>
      <c r="B5788" t="s">
        <v>83</v>
      </c>
      <c r="C5788" t="s">
        <v>614</v>
      </c>
      <c r="D5788">
        <v>4331.34</v>
      </c>
      <c r="E5788" s="37" t="str">
        <f t="shared" si="450"/>
        <v xml:space="preserve"> </v>
      </c>
      <c r="F5788">
        <v>0.13</v>
      </c>
      <c r="G5788" s="37" t="str">
        <f t="shared" si="451"/>
        <v>Normal Discount</v>
      </c>
      <c r="H5788" s="37" t="str">
        <f t="shared" si="452"/>
        <v>Low</v>
      </c>
      <c r="I5788">
        <v>5</v>
      </c>
      <c r="J5788" t="str" cm="1">
        <f t="array" ref="J5788">_xlfn.IFS(I5788&lt;=3,"small",I5788&lt;=6,"Medium",I5788&lt;=9,"Large")</f>
        <v>Medium</v>
      </c>
      <c r="K5788" s="36">
        <v>45472</v>
      </c>
      <c r="L5788" s="36">
        <v>45475</v>
      </c>
      <c r="M5788" t="s">
        <v>598</v>
      </c>
      <c r="N5788" t="s">
        <v>608</v>
      </c>
      <c r="O5788" s="37" t="str">
        <f t="shared" si="453"/>
        <v>Cash Payment</v>
      </c>
      <c r="P5788">
        <v>377.94</v>
      </c>
      <c r="Q5788" s="37" t="str">
        <f>IF(P5788&gt;500,"High","low")</f>
        <v>low</v>
      </c>
      <c r="R5788" s="37" t="str">
        <f t="shared" si="454"/>
        <v>AVERAGE</v>
      </c>
      <c r="S5788" t="s">
        <v>620</v>
      </c>
    </row>
    <row r="5789" spans="1:19" x14ac:dyDescent="0.2">
      <c r="A5789" t="s">
        <v>6400</v>
      </c>
      <c r="B5789" t="s">
        <v>67</v>
      </c>
      <c r="C5789" t="s">
        <v>602</v>
      </c>
      <c r="D5789">
        <v>213.37</v>
      </c>
      <c r="E5789" s="37" t="str">
        <f t="shared" si="450"/>
        <v xml:space="preserve"> </v>
      </c>
      <c r="F5789">
        <v>0.09</v>
      </c>
      <c r="G5789" s="37" t="str">
        <f t="shared" si="451"/>
        <v>Normal Discount</v>
      </c>
      <c r="H5789" s="37" t="str">
        <f t="shared" si="452"/>
        <v>Low</v>
      </c>
      <c r="I5789">
        <v>4</v>
      </c>
      <c r="J5789" t="str" cm="1">
        <f t="array" ref="J5789">_xlfn.IFS(I5789&lt;=3,"small",I5789&lt;=6,"Medium",I5789&lt;=9,"Large")</f>
        <v>Medium</v>
      </c>
      <c r="K5789" s="36">
        <v>45463</v>
      </c>
      <c r="L5789" s="36">
        <v>45470</v>
      </c>
      <c r="M5789" t="s">
        <v>612</v>
      </c>
      <c r="N5789" t="s">
        <v>599</v>
      </c>
      <c r="O5789" s="37" t="str">
        <f t="shared" si="453"/>
        <v>Digital Payment</v>
      </c>
      <c r="P5789">
        <v>55.56</v>
      </c>
      <c r="Q5789" s="37" t="str">
        <f>IF(P5789&gt;500,"High","low")</f>
        <v>low</v>
      </c>
      <c r="R5789" s="37" t="str">
        <f t="shared" si="454"/>
        <v>AVERAGE</v>
      </c>
      <c r="S5789" t="s">
        <v>605</v>
      </c>
    </row>
    <row r="5790" spans="1:19" x14ac:dyDescent="0.2">
      <c r="A5790" t="s">
        <v>6401</v>
      </c>
      <c r="B5790" t="s">
        <v>90</v>
      </c>
      <c r="C5790" t="s">
        <v>597</v>
      </c>
      <c r="D5790">
        <v>2694.83</v>
      </c>
      <c r="E5790" s="37" t="str">
        <f t="shared" si="450"/>
        <v xml:space="preserve"> </v>
      </c>
      <c r="F5790">
        <v>0.11</v>
      </c>
      <c r="G5790" s="37" t="str">
        <f t="shared" si="451"/>
        <v>Normal Discount</v>
      </c>
      <c r="H5790" s="37" t="str">
        <f t="shared" si="452"/>
        <v>Low</v>
      </c>
      <c r="I5790">
        <v>2</v>
      </c>
      <c r="J5790" t="str" cm="1">
        <f t="array" ref="J5790">_xlfn.IFS(I5790&lt;=3,"small",I5790&lt;=6,"Medium",I5790&lt;=9,"Large")</f>
        <v>small</v>
      </c>
      <c r="K5790" s="36">
        <v>45486</v>
      </c>
      <c r="L5790" s="36">
        <v>45489</v>
      </c>
      <c r="M5790" t="s">
        <v>603</v>
      </c>
      <c r="N5790" t="s">
        <v>604</v>
      </c>
      <c r="O5790" s="37" t="str">
        <f t="shared" si="453"/>
        <v>Digital Payment</v>
      </c>
      <c r="P5790">
        <v>666.52</v>
      </c>
      <c r="Q5790" s="37" t="str">
        <f>IF(P5790&gt;500,"High","low")</f>
        <v>High</v>
      </c>
      <c r="R5790" s="37" t="str">
        <f t="shared" si="454"/>
        <v>Good</v>
      </c>
      <c r="S5790" t="s">
        <v>600</v>
      </c>
    </row>
    <row r="5791" spans="1:19" x14ac:dyDescent="0.2">
      <c r="A5791" t="s">
        <v>6402</v>
      </c>
      <c r="B5791" t="s">
        <v>83</v>
      </c>
      <c r="C5791" t="s">
        <v>614</v>
      </c>
      <c r="D5791">
        <v>121.01</v>
      </c>
      <c r="E5791" s="37" t="str">
        <f t="shared" si="450"/>
        <v xml:space="preserve"> </v>
      </c>
      <c r="F5791">
        <v>0.04</v>
      </c>
      <c r="G5791" s="37" t="str">
        <f t="shared" si="451"/>
        <v>Normal Discount</v>
      </c>
      <c r="H5791" s="37" t="str">
        <f t="shared" si="452"/>
        <v>Low</v>
      </c>
      <c r="I5791">
        <v>2</v>
      </c>
      <c r="J5791" t="str" cm="1">
        <f t="array" ref="J5791">_xlfn.IFS(I5791&lt;=3,"small",I5791&lt;=6,"Medium",I5791&lt;=9,"Large")</f>
        <v>small</v>
      </c>
      <c r="K5791" s="36">
        <v>45064</v>
      </c>
      <c r="L5791" s="36">
        <v>45067</v>
      </c>
      <c r="M5791" t="s">
        <v>598</v>
      </c>
      <c r="N5791" t="s">
        <v>604</v>
      </c>
      <c r="O5791" s="37" t="str">
        <f t="shared" si="453"/>
        <v>Digital Payment</v>
      </c>
      <c r="P5791">
        <v>20.36</v>
      </c>
      <c r="Q5791" s="37" t="str">
        <f>IF(P5791&gt;500,"High","low")</f>
        <v>low</v>
      </c>
      <c r="R5791" s="37" t="str">
        <f t="shared" si="454"/>
        <v>AVERAGE</v>
      </c>
      <c r="S5791" t="s">
        <v>620</v>
      </c>
    </row>
    <row r="5792" spans="1:19" x14ac:dyDescent="0.2">
      <c r="A5792" t="s">
        <v>6403</v>
      </c>
      <c r="B5792" t="s">
        <v>75</v>
      </c>
      <c r="C5792" t="s">
        <v>597</v>
      </c>
      <c r="D5792">
        <v>3968.92</v>
      </c>
      <c r="E5792" s="37" t="str">
        <f t="shared" si="450"/>
        <v xml:space="preserve"> </v>
      </c>
      <c r="F5792">
        <v>0.23</v>
      </c>
      <c r="G5792" s="37" t="str">
        <f t="shared" si="451"/>
        <v>Normal Discount</v>
      </c>
      <c r="H5792" s="37" t="str">
        <f t="shared" si="452"/>
        <v>Medium</v>
      </c>
      <c r="I5792">
        <v>4</v>
      </c>
      <c r="J5792" t="str" cm="1">
        <f t="array" ref="J5792">_xlfn.IFS(I5792&lt;=3,"small",I5792&lt;=6,"Medium",I5792&lt;=9,"Large")</f>
        <v>Medium</v>
      </c>
      <c r="K5792" s="36">
        <v>45639</v>
      </c>
      <c r="L5792" s="36">
        <v>45645</v>
      </c>
      <c r="M5792" t="s">
        <v>612</v>
      </c>
      <c r="N5792" t="s">
        <v>608</v>
      </c>
      <c r="O5792" s="37" t="str">
        <f t="shared" si="453"/>
        <v>Cash Payment</v>
      </c>
      <c r="P5792">
        <v>513.57000000000005</v>
      </c>
      <c r="Q5792" s="37" t="str">
        <f>IF(P5792&gt;500,"High","low")</f>
        <v>High</v>
      </c>
      <c r="R5792" s="37" t="str">
        <f t="shared" si="454"/>
        <v>Good</v>
      </c>
      <c r="S5792" t="s">
        <v>609</v>
      </c>
    </row>
    <row r="5793" spans="1:19" x14ac:dyDescent="0.2">
      <c r="A5793" t="s">
        <v>6404</v>
      </c>
      <c r="B5793" t="s">
        <v>75</v>
      </c>
      <c r="C5793" t="s">
        <v>614</v>
      </c>
      <c r="D5793">
        <v>1613.49</v>
      </c>
      <c r="E5793" s="37" t="str">
        <f t="shared" si="450"/>
        <v xml:space="preserve"> </v>
      </c>
      <c r="F5793">
        <v>0.44</v>
      </c>
      <c r="G5793" s="37" t="str">
        <f t="shared" si="451"/>
        <v>Heavy Discount</v>
      </c>
      <c r="H5793" s="37" t="str">
        <f t="shared" si="452"/>
        <v>High</v>
      </c>
      <c r="I5793">
        <v>8</v>
      </c>
      <c r="J5793" t="str" cm="1">
        <f t="array" ref="J5793">_xlfn.IFS(I5793&lt;=3,"small",I5793&lt;=6,"Medium",I5793&lt;=9,"Large")</f>
        <v>Large</v>
      </c>
      <c r="K5793" s="36">
        <v>45336</v>
      </c>
      <c r="L5793" s="36">
        <v>45343</v>
      </c>
      <c r="M5793" t="s">
        <v>603</v>
      </c>
      <c r="N5793" t="s">
        <v>599</v>
      </c>
      <c r="O5793" s="37" t="str">
        <f t="shared" si="453"/>
        <v>Digital Payment</v>
      </c>
      <c r="P5793">
        <v>281.13</v>
      </c>
      <c r="Q5793" s="37" t="str">
        <f>IF(P5793&gt;500,"High","low")</f>
        <v>low</v>
      </c>
      <c r="R5793" s="37" t="str">
        <f t="shared" si="454"/>
        <v>AVERAGE</v>
      </c>
      <c r="S5793" t="s">
        <v>605</v>
      </c>
    </row>
    <row r="5794" spans="1:19" x14ac:dyDescent="0.2">
      <c r="A5794" t="s">
        <v>6405</v>
      </c>
      <c r="B5794" t="s">
        <v>90</v>
      </c>
      <c r="C5794" t="s">
        <v>602</v>
      </c>
      <c r="D5794">
        <v>3851.39</v>
      </c>
      <c r="E5794" s="37" t="str">
        <f t="shared" si="450"/>
        <v xml:space="preserve"> </v>
      </c>
      <c r="F5794">
        <v>0.15</v>
      </c>
      <c r="G5794" s="37" t="str">
        <f t="shared" si="451"/>
        <v>Normal Discount</v>
      </c>
      <c r="H5794" s="37" t="str">
        <f t="shared" si="452"/>
        <v>Low</v>
      </c>
      <c r="I5794">
        <v>6</v>
      </c>
      <c r="J5794" t="str" cm="1">
        <f t="array" ref="J5794">_xlfn.IFS(I5794&lt;=3,"small",I5794&lt;=6,"Medium",I5794&lt;=9,"Large")</f>
        <v>Medium</v>
      </c>
      <c r="K5794" s="36">
        <v>45200</v>
      </c>
      <c r="L5794" s="36">
        <v>45206</v>
      </c>
      <c r="M5794" t="s">
        <v>598</v>
      </c>
      <c r="N5794" t="s">
        <v>599</v>
      </c>
      <c r="O5794" s="37" t="str">
        <f t="shared" si="453"/>
        <v>Digital Payment</v>
      </c>
      <c r="P5794">
        <v>822.6</v>
      </c>
      <c r="Q5794" s="37" t="str">
        <f>IF(P5794&gt;500,"High","low")</f>
        <v>High</v>
      </c>
      <c r="R5794" s="37" t="str">
        <f t="shared" si="454"/>
        <v>Good</v>
      </c>
      <c r="S5794" t="s">
        <v>609</v>
      </c>
    </row>
    <row r="5795" spans="1:19" x14ac:dyDescent="0.2">
      <c r="A5795" t="s">
        <v>6406</v>
      </c>
      <c r="B5795" t="s">
        <v>75</v>
      </c>
      <c r="C5795" t="s">
        <v>602</v>
      </c>
      <c r="D5795">
        <v>4729.49</v>
      </c>
      <c r="E5795" s="37" t="str">
        <f t="shared" si="450"/>
        <v>Excellent Order</v>
      </c>
      <c r="F5795">
        <v>0.13</v>
      </c>
      <c r="G5795" s="37" t="str">
        <f t="shared" si="451"/>
        <v>Normal Discount</v>
      </c>
      <c r="H5795" s="37" t="str">
        <f t="shared" si="452"/>
        <v>Low</v>
      </c>
      <c r="I5795">
        <v>9</v>
      </c>
      <c r="J5795" t="str" cm="1">
        <f t="array" ref="J5795">_xlfn.IFS(I5795&lt;=3,"small",I5795&lt;=6,"Medium",I5795&lt;=9,"Large")</f>
        <v>Large</v>
      </c>
      <c r="K5795" s="36">
        <v>45114</v>
      </c>
      <c r="L5795" s="36">
        <v>45115</v>
      </c>
      <c r="M5795" t="s">
        <v>598</v>
      </c>
      <c r="N5795" t="s">
        <v>604</v>
      </c>
      <c r="O5795" s="37" t="str">
        <f t="shared" si="453"/>
        <v>Digital Payment</v>
      </c>
      <c r="P5795">
        <v>1064.53</v>
      </c>
      <c r="Q5795" s="37" t="str">
        <f>IF(P5795&gt;500,"High","low")</f>
        <v>High</v>
      </c>
      <c r="R5795" s="37" t="str">
        <f t="shared" si="454"/>
        <v>Excellent</v>
      </c>
      <c r="S5795" t="s">
        <v>628</v>
      </c>
    </row>
    <row r="5796" spans="1:19" x14ac:dyDescent="0.2">
      <c r="A5796" t="s">
        <v>6407</v>
      </c>
      <c r="B5796" t="s">
        <v>67</v>
      </c>
      <c r="C5796" t="s">
        <v>607</v>
      </c>
      <c r="D5796">
        <v>4882.82</v>
      </c>
      <c r="E5796" s="37" t="str">
        <f t="shared" si="450"/>
        <v xml:space="preserve"> </v>
      </c>
      <c r="F5796">
        <v>0.42</v>
      </c>
      <c r="G5796" s="37" t="str">
        <f t="shared" si="451"/>
        <v>Heavy Discount</v>
      </c>
      <c r="H5796" s="37" t="str">
        <f t="shared" si="452"/>
        <v>High</v>
      </c>
      <c r="I5796">
        <v>2</v>
      </c>
      <c r="J5796" t="str" cm="1">
        <f t="array" ref="J5796">_xlfn.IFS(I5796&lt;=3,"small",I5796&lt;=6,"Medium",I5796&lt;=9,"Large")</f>
        <v>small</v>
      </c>
      <c r="K5796" s="36">
        <v>45255</v>
      </c>
      <c r="L5796" s="36">
        <v>45260</v>
      </c>
      <c r="M5796" t="s">
        <v>612</v>
      </c>
      <c r="N5796" t="s">
        <v>599</v>
      </c>
      <c r="O5796" s="37" t="str">
        <f t="shared" si="453"/>
        <v>Digital Payment</v>
      </c>
      <c r="P5796">
        <v>778.44</v>
      </c>
      <c r="Q5796" s="37" t="str">
        <f>IF(P5796&gt;500,"High","low")</f>
        <v>High</v>
      </c>
      <c r="R5796" s="37" t="str">
        <f t="shared" si="454"/>
        <v>Good</v>
      </c>
      <c r="S5796" t="s">
        <v>609</v>
      </c>
    </row>
    <row r="5797" spans="1:19" x14ac:dyDescent="0.2">
      <c r="A5797" t="s">
        <v>6408</v>
      </c>
      <c r="B5797" t="s">
        <v>67</v>
      </c>
      <c r="C5797" t="s">
        <v>602</v>
      </c>
      <c r="D5797">
        <v>4481.1400000000003</v>
      </c>
      <c r="E5797" s="37" t="str">
        <f t="shared" si="450"/>
        <v xml:space="preserve"> </v>
      </c>
      <c r="F5797">
        <v>0.15</v>
      </c>
      <c r="G5797" s="37" t="str">
        <f t="shared" si="451"/>
        <v>Normal Discount</v>
      </c>
      <c r="H5797" s="37" t="str">
        <f t="shared" si="452"/>
        <v>Low</v>
      </c>
      <c r="I5797">
        <v>7</v>
      </c>
      <c r="J5797" t="str" cm="1">
        <f t="array" ref="J5797">_xlfn.IFS(I5797&lt;=3,"small",I5797&lt;=6,"Medium",I5797&lt;=9,"Large")</f>
        <v>Large</v>
      </c>
      <c r="K5797" s="36">
        <v>44971</v>
      </c>
      <c r="L5797" s="36">
        <v>44974</v>
      </c>
      <c r="M5797" t="s">
        <v>612</v>
      </c>
      <c r="N5797" t="s">
        <v>608</v>
      </c>
      <c r="O5797" s="37" t="str">
        <f t="shared" si="453"/>
        <v>Cash Payment</v>
      </c>
      <c r="P5797">
        <v>253.8</v>
      </c>
      <c r="Q5797" s="37" t="str">
        <f>IF(P5797&gt;500,"High","low")</f>
        <v>low</v>
      </c>
      <c r="R5797" s="37" t="str">
        <f t="shared" si="454"/>
        <v>AVERAGE</v>
      </c>
      <c r="S5797" t="s">
        <v>615</v>
      </c>
    </row>
    <row r="5798" spans="1:19" x14ac:dyDescent="0.2">
      <c r="A5798" t="s">
        <v>6409</v>
      </c>
      <c r="B5798" t="s">
        <v>90</v>
      </c>
      <c r="C5798" t="s">
        <v>597</v>
      </c>
      <c r="D5798">
        <v>1100.3</v>
      </c>
      <c r="E5798" s="37" t="str">
        <f t="shared" si="450"/>
        <v xml:space="preserve"> </v>
      </c>
      <c r="F5798">
        <v>0.24</v>
      </c>
      <c r="G5798" s="37" t="str">
        <f t="shared" si="451"/>
        <v>Normal Discount</v>
      </c>
      <c r="H5798" s="37" t="str">
        <f t="shared" si="452"/>
        <v>Medium</v>
      </c>
      <c r="I5798">
        <v>1</v>
      </c>
      <c r="J5798" t="str" cm="1">
        <f t="array" ref="J5798">_xlfn.IFS(I5798&lt;=3,"small",I5798&lt;=6,"Medium",I5798&lt;=9,"Large")</f>
        <v>small</v>
      </c>
      <c r="K5798" s="36">
        <v>45592</v>
      </c>
      <c r="L5798" s="36">
        <v>45593</v>
      </c>
      <c r="M5798" t="s">
        <v>612</v>
      </c>
      <c r="N5798" t="s">
        <v>608</v>
      </c>
      <c r="O5798" s="37" t="str">
        <f t="shared" si="453"/>
        <v>Cash Payment</v>
      </c>
      <c r="P5798">
        <v>251.15</v>
      </c>
      <c r="Q5798" s="37" t="str">
        <f>IF(P5798&gt;500,"High","low")</f>
        <v>low</v>
      </c>
      <c r="R5798" s="37" t="str">
        <f t="shared" si="454"/>
        <v>AVERAGE</v>
      </c>
      <c r="S5798" t="s">
        <v>628</v>
      </c>
    </row>
    <row r="5799" spans="1:19" x14ac:dyDescent="0.2">
      <c r="A5799" t="s">
        <v>6410</v>
      </c>
      <c r="B5799" t="s">
        <v>75</v>
      </c>
      <c r="C5799" t="s">
        <v>602</v>
      </c>
      <c r="D5799">
        <v>1053.54</v>
      </c>
      <c r="E5799" s="37" t="str">
        <f t="shared" si="450"/>
        <v xml:space="preserve"> </v>
      </c>
      <c r="F5799">
        <v>0.02</v>
      </c>
      <c r="G5799" s="37" t="str">
        <f t="shared" si="451"/>
        <v>Normal Discount</v>
      </c>
      <c r="H5799" s="37" t="str">
        <f t="shared" si="452"/>
        <v>Low</v>
      </c>
      <c r="I5799">
        <v>2</v>
      </c>
      <c r="J5799" t="str" cm="1">
        <f t="array" ref="J5799">_xlfn.IFS(I5799&lt;=3,"small",I5799&lt;=6,"Medium",I5799&lt;=9,"Large")</f>
        <v>small</v>
      </c>
      <c r="K5799" s="36">
        <v>44962</v>
      </c>
      <c r="L5799" s="36">
        <v>44963</v>
      </c>
      <c r="M5799" t="s">
        <v>603</v>
      </c>
      <c r="N5799" t="s">
        <v>599</v>
      </c>
      <c r="O5799" s="37" t="str">
        <f t="shared" si="453"/>
        <v>Digital Payment</v>
      </c>
      <c r="P5799">
        <v>136.91</v>
      </c>
      <c r="Q5799" s="37" t="str">
        <f>IF(P5799&gt;500,"High","low")</f>
        <v>low</v>
      </c>
      <c r="R5799" s="37" t="str">
        <f t="shared" si="454"/>
        <v>AVERAGE</v>
      </c>
      <c r="S5799" t="s">
        <v>605</v>
      </c>
    </row>
    <row r="5800" spans="1:19" x14ac:dyDescent="0.2">
      <c r="A5800" t="s">
        <v>6411</v>
      </c>
      <c r="B5800" t="s">
        <v>75</v>
      </c>
      <c r="C5800" t="s">
        <v>614</v>
      </c>
      <c r="D5800">
        <v>3166.32</v>
      </c>
      <c r="E5800" s="37" t="str">
        <f t="shared" si="450"/>
        <v xml:space="preserve"> </v>
      </c>
      <c r="F5800">
        <v>0.14000000000000001</v>
      </c>
      <c r="G5800" s="37" t="str">
        <f t="shared" si="451"/>
        <v>Normal Discount</v>
      </c>
      <c r="H5800" s="37" t="str">
        <f t="shared" si="452"/>
        <v>Low</v>
      </c>
      <c r="I5800">
        <v>9</v>
      </c>
      <c r="J5800" t="str" cm="1">
        <f t="array" ref="J5800">_xlfn.IFS(I5800&lt;=3,"small",I5800&lt;=6,"Medium",I5800&lt;=9,"Large")</f>
        <v>Large</v>
      </c>
      <c r="K5800" s="36">
        <v>45581</v>
      </c>
      <c r="L5800" s="36">
        <v>45586</v>
      </c>
      <c r="M5800" t="s">
        <v>598</v>
      </c>
      <c r="N5800" t="s">
        <v>604</v>
      </c>
      <c r="O5800" s="37" t="str">
        <f t="shared" si="453"/>
        <v>Digital Payment</v>
      </c>
      <c r="P5800">
        <v>853.98</v>
      </c>
      <c r="Q5800" s="37" t="str">
        <f>IF(P5800&gt;500,"High","low")</f>
        <v>High</v>
      </c>
      <c r="R5800" s="37" t="str">
        <f t="shared" si="454"/>
        <v>Good</v>
      </c>
      <c r="S5800" t="s">
        <v>628</v>
      </c>
    </row>
    <row r="5801" spans="1:19" x14ac:dyDescent="0.2">
      <c r="A5801" t="s">
        <v>6412</v>
      </c>
      <c r="B5801" t="s">
        <v>90</v>
      </c>
      <c r="C5801" t="s">
        <v>602</v>
      </c>
      <c r="D5801">
        <v>2765.86</v>
      </c>
      <c r="E5801" s="37" t="str">
        <f t="shared" si="450"/>
        <v xml:space="preserve"> </v>
      </c>
      <c r="F5801">
        <v>7.0000000000000007E-2</v>
      </c>
      <c r="G5801" s="37" t="str">
        <f t="shared" si="451"/>
        <v>Normal Discount</v>
      </c>
      <c r="H5801" s="37" t="str">
        <f t="shared" si="452"/>
        <v>Low</v>
      </c>
      <c r="I5801">
        <v>8</v>
      </c>
      <c r="J5801" t="str" cm="1">
        <f t="array" ref="J5801">_xlfn.IFS(I5801&lt;=3,"small",I5801&lt;=6,"Medium",I5801&lt;=9,"Large")</f>
        <v>Large</v>
      </c>
      <c r="K5801" s="36">
        <v>45334</v>
      </c>
      <c r="L5801" s="36">
        <v>45337</v>
      </c>
      <c r="M5801" t="s">
        <v>598</v>
      </c>
      <c r="N5801" t="s">
        <v>599</v>
      </c>
      <c r="O5801" s="37" t="str">
        <f t="shared" si="453"/>
        <v>Digital Payment</v>
      </c>
      <c r="P5801">
        <v>429.85</v>
      </c>
      <c r="Q5801" s="37" t="str">
        <f>IF(P5801&gt;500,"High","low")</f>
        <v>low</v>
      </c>
      <c r="R5801" s="37" t="str">
        <f t="shared" si="454"/>
        <v>AVERAGE</v>
      </c>
      <c r="S5801" t="s">
        <v>600</v>
      </c>
    </row>
    <row r="5802" spans="1:19" x14ac:dyDescent="0.2">
      <c r="A5802" t="s">
        <v>6413</v>
      </c>
      <c r="B5802" t="s">
        <v>83</v>
      </c>
      <c r="C5802" t="s">
        <v>597</v>
      </c>
      <c r="D5802">
        <v>146.72</v>
      </c>
      <c r="E5802" s="37" t="str">
        <f t="shared" si="450"/>
        <v xml:space="preserve"> </v>
      </c>
      <c r="F5802">
        <v>0.05</v>
      </c>
      <c r="G5802" s="37" t="str">
        <f t="shared" si="451"/>
        <v>Normal Discount</v>
      </c>
      <c r="H5802" s="37" t="str">
        <f t="shared" si="452"/>
        <v>Low</v>
      </c>
      <c r="I5802">
        <v>9</v>
      </c>
      <c r="J5802" t="str" cm="1">
        <f t="array" ref="J5802">_xlfn.IFS(I5802&lt;=3,"small",I5802&lt;=6,"Medium",I5802&lt;=9,"Large")</f>
        <v>Large</v>
      </c>
      <c r="K5802" s="36">
        <v>45568</v>
      </c>
      <c r="L5802" s="36">
        <v>45573</v>
      </c>
      <c r="M5802" t="s">
        <v>612</v>
      </c>
      <c r="N5802" t="s">
        <v>608</v>
      </c>
      <c r="O5802" s="37" t="str">
        <f t="shared" si="453"/>
        <v>Cash Payment</v>
      </c>
      <c r="P5802">
        <v>36.520000000000003</v>
      </c>
      <c r="Q5802" s="37" t="str">
        <f>IF(P5802&gt;500,"High","low")</f>
        <v>low</v>
      </c>
      <c r="R5802" s="37" t="str">
        <f t="shared" si="454"/>
        <v>AVERAGE</v>
      </c>
      <c r="S5802" t="s">
        <v>609</v>
      </c>
    </row>
    <row r="5803" spans="1:19" x14ac:dyDescent="0.2">
      <c r="A5803" t="s">
        <v>6414</v>
      </c>
      <c r="B5803" t="s">
        <v>75</v>
      </c>
      <c r="C5803" t="s">
        <v>614</v>
      </c>
      <c r="D5803">
        <v>2019.46</v>
      </c>
      <c r="E5803" s="37" t="str">
        <f t="shared" si="450"/>
        <v xml:space="preserve"> </v>
      </c>
      <c r="F5803">
        <v>0.22</v>
      </c>
      <c r="G5803" s="37" t="str">
        <f t="shared" si="451"/>
        <v>Normal Discount</v>
      </c>
      <c r="H5803" s="37" t="str">
        <f t="shared" si="452"/>
        <v>Medium</v>
      </c>
      <c r="I5803">
        <v>7</v>
      </c>
      <c r="J5803" t="str" cm="1">
        <f t="array" ref="J5803">_xlfn.IFS(I5803&lt;=3,"small",I5803&lt;=6,"Medium",I5803&lt;=9,"Large")</f>
        <v>Large</v>
      </c>
      <c r="K5803" s="36">
        <v>45314</v>
      </c>
      <c r="L5803" s="36">
        <v>45321</v>
      </c>
      <c r="M5803" t="s">
        <v>598</v>
      </c>
      <c r="N5803" t="s">
        <v>608</v>
      </c>
      <c r="O5803" s="37" t="str">
        <f t="shared" si="453"/>
        <v>Cash Payment</v>
      </c>
      <c r="P5803">
        <v>286.36</v>
      </c>
      <c r="Q5803" s="37" t="str">
        <f>IF(P5803&gt;500,"High","low")</f>
        <v>low</v>
      </c>
      <c r="R5803" s="37" t="str">
        <f t="shared" si="454"/>
        <v>AVERAGE</v>
      </c>
      <c r="S5803" t="s">
        <v>609</v>
      </c>
    </row>
    <row r="5804" spans="1:19" x14ac:dyDescent="0.2">
      <c r="A5804" t="s">
        <v>6415</v>
      </c>
      <c r="B5804" t="s">
        <v>83</v>
      </c>
      <c r="C5804" t="s">
        <v>607</v>
      </c>
      <c r="D5804">
        <v>4542.79</v>
      </c>
      <c r="E5804" s="37" t="str">
        <f t="shared" si="450"/>
        <v xml:space="preserve"> </v>
      </c>
      <c r="F5804">
        <v>0.14000000000000001</v>
      </c>
      <c r="G5804" s="37" t="str">
        <f t="shared" si="451"/>
        <v>Normal Discount</v>
      </c>
      <c r="H5804" s="37" t="str">
        <f t="shared" si="452"/>
        <v>Low</v>
      </c>
      <c r="I5804">
        <v>9</v>
      </c>
      <c r="J5804" t="str" cm="1">
        <f t="array" ref="J5804">_xlfn.IFS(I5804&lt;=3,"small",I5804&lt;=6,"Medium",I5804&lt;=9,"Large")</f>
        <v>Large</v>
      </c>
      <c r="K5804" s="36">
        <v>45277</v>
      </c>
      <c r="L5804" s="36">
        <v>45283</v>
      </c>
      <c r="M5804" t="s">
        <v>612</v>
      </c>
      <c r="N5804" t="s">
        <v>608</v>
      </c>
      <c r="O5804" s="37" t="str">
        <f t="shared" si="453"/>
        <v>Cash Payment</v>
      </c>
      <c r="P5804">
        <v>648.29999999999995</v>
      </c>
      <c r="Q5804" s="37" t="str">
        <f>IF(P5804&gt;500,"High","low")</f>
        <v>High</v>
      </c>
      <c r="R5804" s="37" t="str">
        <f t="shared" si="454"/>
        <v>Good</v>
      </c>
      <c r="S5804" t="s">
        <v>628</v>
      </c>
    </row>
    <row r="5805" spans="1:19" x14ac:dyDescent="0.2">
      <c r="A5805" t="s">
        <v>6416</v>
      </c>
      <c r="B5805" t="s">
        <v>75</v>
      </c>
      <c r="C5805" t="s">
        <v>607</v>
      </c>
      <c r="D5805">
        <v>4501.96</v>
      </c>
      <c r="E5805" s="37" t="str">
        <f t="shared" si="450"/>
        <v>Excellent Order</v>
      </c>
      <c r="F5805">
        <v>0.08</v>
      </c>
      <c r="G5805" s="37" t="str">
        <f t="shared" si="451"/>
        <v>Normal Discount</v>
      </c>
      <c r="H5805" s="37" t="str">
        <f t="shared" si="452"/>
        <v>Low</v>
      </c>
      <c r="I5805">
        <v>4</v>
      </c>
      <c r="J5805" t="str" cm="1">
        <f t="array" ref="J5805">_xlfn.IFS(I5805&lt;=3,"small",I5805&lt;=6,"Medium",I5805&lt;=9,"Large")</f>
        <v>Medium</v>
      </c>
      <c r="K5805" s="36">
        <v>45458</v>
      </c>
      <c r="L5805" s="36">
        <v>45463</v>
      </c>
      <c r="M5805" t="s">
        <v>612</v>
      </c>
      <c r="N5805" t="s">
        <v>604</v>
      </c>
      <c r="O5805" s="37" t="str">
        <f t="shared" si="453"/>
        <v>Digital Payment</v>
      </c>
      <c r="P5805">
        <v>1083.3599999999999</v>
      </c>
      <c r="Q5805" s="37" t="str">
        <f>IF(P5805&gt;500,"High","low")</f>
        <v>High</v>
      </c>
      <c r="R5805" s="37" t="str">
        <f t="shared" si="454"/>
        <v>Excellent</v>
      </c>
      <c r="S5805" t="s">
        <v>620</v>
      </c>
    </row>
    <row r="5806" spans="1:19" x14ac:dyDescent="0.2">
      <c r="A5806" t="s">
        <v>6417</v>
      </c>
      <c r="B5806" t="s">
        <v>75</v>
      </c>
      <c r="C5806" t="s">
        <v>607</v>
      </c>
      <c r="D5806">
        <v>1099.1400000000001</v>
      </c>
      <c r="E5806" s="37" t="str">
        <f t="shared" si="450"/>
        <v xml:space="preserve"> </v>
      </c>
      <c r="F5806">
        <v>0.26</v>
      </c>
      <c r="G5806" s="37" t="str">
        <f t="shared" si="451"/>
        <v>Normal Discount</v>
      </c>
      <c r="H5806" s="37" t="str">
        <f t="shared" si="452"/>
        <v>Medium</v>
      </c>
      <c r="I5806">
        <v>3</v>
      </c>
      <c r="J5806" t="str" cm="1">
        <f t="array" ref="J5806">_xlfn.IFS(I5806&lt;=3,"small",I5806&lt;=6,"Medium",I5806&lt;=9,"Large")</f>
        <v>small</v>
      </c>
      <c r="K5806" s="36">
        <v>45605</v>
      </c>
      <c r="L5806" s="36">
        <v>45612</v>
      </c>
      <c r="M5806" t="s">
        <v>598</v>
      </c>
      <c r="N5806" t="s">
        <v>608</v>
      </c>
      <c r="O5806" s="37" t="str">
        <f t="shared" si="453"/>
        <v>Cash Payment</v>
      </c>
      <c r="P5806">
        <v>203.21</v>
      </c>
      <c r="Q5806" s="37" t="str">
        <f>IF(P5806&gt;500,"High","low")</f>
        <v>low</v>
      </c>
      <c r="R5806" s="37" t="str">
        <f t="shared" si="454"/>
        <v>AVERAGE</v>
      </c>
      <c r="S5806" t="s">
        <v>615</v>
      </c>
    </row>
    <row r="5807" spans="1:19" x14ac:dyDescent="0.2">
      <c r="A5807" t="s">
        <v>6418</v>
      </c>
      <c r="B5807" t="s">
        <v>75</v>
      </c>
      <c r="C5807" t="s">
        <v>614</v>
      </c>
      <c r="D5807">
        <v>1971.62</v>
      </c>
      <c r="E5807" s="37" t="str">
        <f t="shared" si="450"/>
        <v xml:space="preserve"> </v>
      </c>
      <c r="F5807">
        <v>0.39</v>
      </c>
      <c r="G5807" s="37" t="str">
        <f t="shared" si="451"/>
        <v>Heavy Discount</v>
      </c>
      <c r="H5807" s="37" t="str">
        <f t="shared" si="452"/>
        <v>Medium</v>
      </c>
      <c r="I5807">
        <v>4</v>
      </c>
      <c r="J5807" t="str" cm="1">
        <f t="array" ref="J5807">_xlfn.IFS(I5807&lt;=3,"small",I5807&lt;=6,"Medium",I5807&lt;=9,"Large")</f>
        <v>Medium</v>
      </c>
      <c r="K5807" s="36">
        <v>45080</v>
      </c>
      <c r="L5807" s="36">
        <v>45084</v>
      </c>
      <c r="M5807" t="s">
        <v>598</v>
      </c>
      <c r="N5807" t="s">
        <v>608</v>
      </c>
      <c r="O5807" s="37" t="str">
        <f t="shared" si="453"/>
        <v>Cash Payment</v>
      </c>
      <c r="P5807">
        <v>224.93</v>
      </c>
      <c r="Q5807" s="37" t="str">
        <f>IF(P5807&gt;500,"High","low")</f>
        <v>low</v>
      </c>
      <c r="R5807" s="37" t="str">
        <f t="shared" si="454"/>
        <v>AVERAGE</v>
      </c>
      <c r="S5807" t="s">
        <v>609</v>
      </c>
    </row>
    <row r="5808" spans="1:19" x14ac:dyDescent="0.2">
      <c r="A5808" t="s">
        <v>6419</v>
      </c>
      <c r="B5808" t="s">
        <v>75</v>
      </c>
      <c r="C5808" t="s">
        <v>607</v>
      </c>
      <c r="D5808">
        <v>2845.79</v>
      </c>
      <c r="E5808" s="37" t="str">
        <f t="shared" si="450"/>
        <v xml:space="preserve"> </v>
      </c>
      <c r="F5808">
        <v>0.37</v>
      </c>
      <c r="G5808" s="37" t="str">
        <f t="shared" si="451"/>
        <v>Heavy Discount</v>
      </c>
      <c r="H5808" s="37" t="str">
        <f t="shared" si="452"/>
        <v>Medium</v>
      </c>
      <c r="I5808">
        <v>5</v>
      </c>
      <c r="J5808" t="str" cm="1">
        <f t="array" ref="J5808">_xlfn.IFS(I5808&lt;=3,"small",I5808&lt;=6,"Medium",I5808&lt;=9,"Large")</f>
        <v>Medium</v>
      </c>
      <c r="K5808" s="36">
        <v>45370</v>
      </c>
      <c r="L5808" s="36">
        <v>45376</v>
      </c>
      <c r="M5808" t="s">
        <v>603</v>
      </c>
      <c r="N5808" t="s">
        <v>599</v>
      </c>
      <c r="O5808" s="37" t="str">
        <f t="shared" si="453"/>
        <v>Digital Payment</v>
      </c>
      <c r="P5808">
        <v>739.55</v>
      </c>
      <c r="Q5808" s="37" t="str">
        <f>IF(P5808&gt;500,"High","low")</f>
        <v>High</v>
      </c>
      <c r="R5808" s="37" t="str">
        <f t="shared" si="454"/>
        <v>Good</v>
      </c>
      <c r="S5808" t="s">
        <v>620</v>
      </c>
    </row>
    <row r="5809" spans="1:19" x14ac:dyDescent="0.2">
      <c r="A5809" t="s">
        <v>6420</v>
      </c>
      <c r="B5809" t="s">
        <v>67</v>
      </c>
      <c r="C5809" t="s">
        <v>602</v>
      </c>
      <c r="D5809">
        <v>4278.6400000000003</v>
      </c>
      <c r="E5809" s="37" t="str">
        <f t="shared" si="450"/>
        <v>Excellent Order</v>
      </c>
      <c r="F5809">
        <v>0.13</v>
      </c>
      <c r="G5809" s="37" t="str">
        <f t="shared" si="451"/>
        <v>Normal Discount</v>
      </c>
      <c r="H5809" s="37" t="str">
        <f t="shared" si="452"/>
        <v>Low</v>
      </c>
      <c r="I5809">
        <v>4</v>
      </c>
      <c r="J5809" t="str" cm="1">
        <f t="array" ref="J5809">_xlfn.IFS(I5809&lt;=3,"small",I5809&lt;=6,"Medium",I5809&lt;=9,"Large")</f>
        <v>Medium</v>
      </c>
      <c r="K5809" s="36">
        <v>45123</v>
      </c>
      <c r="L5809" s="36">
        <v>45128</v>
      </c>
      <c r="M5809" t="s">
        <v>612</v>
      </c>
      <c r="N5809" t="s">
        <v>599</v>
      </c>
      <c r="O5809" s="37" t="str">
        <f t="shared" si="453"/>
        <v>Digital Payment</v>
      </c>
      <c r="P5809">
        <v>887.74</v>
      </c>
      <c r="Q5809" s="37" t="str">
        <f>IF(P5809&gt;500,"High","low")</f>
        <v>High</v>
      </c>
      <c r="R5809" s="37" t="str">
        <f t="shared" si="454"/>
        <v>Good</v>
      </c>
      <c r="S5809" t="s">
        <v>609</v>
      </c>
    </row>
    <row r="5810" spans="1:19" x14ac:dyDescent="0.2">
      <c r="A5810" t="s">
        <v>6421</v>
      </c>
      <c r="B5810" t="s">
        <v>83</v>
      </c>
      <c r="C5810" t="s">
        <v>614</v>
      </c>
      <c r="D5810">
        <v>2706.77</v>
      </c>
      <c r="E5810" s="37" t="str">
        <f t="shared" si="450"/>
        <v xml:space="preserve"> </v>
      </c>
      <c r="F5810">
        <v>0.13</v>
      </c>
      <c r="G5810" s="37" t="str">
        <f t="shared" si="451"/>
        <v>Normal Discount</v>
      </c>
      <c r="H5810" s="37" t="str">
        <f t="shared" si="452"/>
        <v>Low</v>
      </c>
      <c r="I5810">
        <v>4</v>
      </c>
      <c r="J5810" t="str" cm="1">
        <f t="array" ref="J5810">_xlfn.IFS(I5810&lt;=3,"small",I5810&lt;=6,"Medium",I5810&lt;=9,"Large")</f>
        <v>Medium</v>
      </c>
      <c r="K5810" s="36">
        <v>44994</v>
      </c>
      <c r="L5810" s="36">
        <v>44995</v>
      </c>
      <c r="M5810" t="s">
        <v>598</v>
      </c>
      <c r="N5810" t="s">
        <v>604</v>
      </c>
      <c r="O5810" s="37" t="str">
        <f t="shared" si="453"/>
        <v>Digital Payment</v>
      </c>
      <c r="P5810">
        <v>564.66999999999996</v>
      </c>
      <c r="Q5810" s="37" t="str">
        <f>IF(P5810&gt;500,"High","low")</f>
        <v>High</v>
      </c>
      <c r="R5810" s="37" t="str">
        <f t="shared" si="454"/>
        <v>Good</v>
      </c>
      <c r="S5810" t="s">
        <v>620</v>
      </c>
    </row>
    <row r="5811" spans="1:19" x14ac:dyDescent="0.2">
      <c r="A5811" t="s">
        <v>6422</v>
      </c>
      <c r="B5811" t="s">
        <v>83</v>
      </c>
      <c r="C5811" t="s">
        <v>614</v>
      </c>
      <c r="D5811">
        <v>4844.18</v>
      </c>
      <c r="E5811" s="37" t="str">
        <f t="shared" si="450"/>
        <v>Excellent Order</v>
      </c>
      <c r="F5811">
        <v>0.37</v>
      </c>
      <c r="G5811" s="37" t="str">
        <f t="shared" si="451"/>
        <v>Heavy Discount</v>
      </c>
      <c r="H5811" s="37" t="str">
        <f t="shared" si="452"/>
        <v>Medium</v>
      </c>
      <c r="I5811">
        <v>7</v>
      </c>
      <c r="J5811" t="str" cm="1">
        <f t="array" ref="J5811">_xlfn.IFS(I5811&lt;=3,"small",I5811&lt;=6,"Medium",I5811&lt;=9,"Large")</f>
        <v>Large</v>
      </c>
      <c r="K5811" s="36">
        <v>44996</v>
      </c>
      <c r="L5811" s="36">
        <v>44999</v>
      </c>
      <c r="M5811" t="s">
        <v>612</v>
      </c>
      <c r="N5811" t="s">
        <v>604</v>
      </c>
      <c r="O5811" s="37" t="str">
        <f t="shared" si="453"/>
        <v>Digital Payment</v>
      </c>
      <c r="P5811">
        <v>1191.4100000000001</v>
      </c>
      <c r="Q5811" s="37" t="str">
        <f>IF(P5811&gt;500,"High","low")</f>
        <v>High</v>
      </c>
      <c r="R5811" s="37" t="str">
        <f t="shared" si="454"/>
        <v>Excellent</v>
      </c>
      <c r="S5811" t="s">
        <v>615</v>
      </c>
    </row>
    <row r="5812" spans="1:19" x14ac:dyDescent="0.2">
      <c r="A5812" t="s">
        <v>6423</v>
      </c>
      <c r="B5812" t="s">
        <v>75</v>
      </c>
      <c r="C5812" t="s">
        <v>614</v>
      </c>
      <c r="D5812">
        <v>4015.36</v>
      </c>
      <c r="E5812" s="37" t="str">
        <f t="shared" si="450"/>
        <v>Excellent Order</v>
      </c>
      <c r="F5812">
        <v>0.28000000000000003</v>
      </c>
      <c r="G5812" s="37" t="str">
        <f t="shared" si="451"/>
        <v>Normal Discount</v>
      </c>
      <c r="H5812" s="37" t="str">
        <f t="shared" si="452"/>
        <v>Medium</v>
      </c>
      <c r="I5812">
        <v>4</v>
      </c>
      <c r="J5812" t="str" cm="1">
        <f t="array" ref="J5812">_xlfn.IFS(I5812&lt;=3,"small",I5812&lt;=6,"Medium",I5812&lt;=9,"Large")</f>
        <v>Medium</v>
      </c>
      <c r="K5812" s="36">
        <v>45044</v>
      </c>
      <c r="L5812" s="36">
        <v>45049</v>
      </c>
      <c r="M5812" t="s">
        <v>598</v>
      </c>
      <c r="N5812" t="s">
        <v>599</v>
      </c>
      <c r="O5812" s="37" t="str">
        <f t="shared" si="453"/>
        <v>Digital Payment</v>
      </c>
      <c r="P5812">
        <v>833.68</v>
      </c>
      <c r="Q5812" s="37" t="str">
        <f>IF(P5812&gt;500,"High","low")</f>
        <v>High</v>
      </c>
      <c r="R5812" s="37" t="str">
        <f t="shared" si="454"/>
        <v>Good</v>
      </c>
      <c r="S5812" t="s">
        <v>615</v>
      </c>
    </row>
    <row r="5813" spans="1:19" x14ac:dyDescent="0.2">
      <c r="A5813" t="s">
        <v>6424</v>
      </c>
      <c r="B5813" t="s">
        <v>75</v>
      </c>
      <c r="C5813" t="s">
        <v>617</v>
      </c>
      <c r="D5813">
        <v>4770.1499999999996</v>
      </c>
      <c r="E5813" s="37" t="str">
        <f t="shared" si="450"/>
        <v xml:space="preserve"> </v>
      </c>
      <c r="F5813">
        <v>0.37</v>
      </c>
      <c r="G5813" s="37" t="str">
        <f t="shared" si="451"/>
        <v>Heavy Discount</v>
      </c>
      <c r="H5813" s="37" t="str">
        <f t="shared" si="452"/>
        <v>Medium</v>
      </c>
      <c r="I5813">
        <v>4</v>
      </c>
      <c r="J5813" t="str" cm="1">
        <f t="array" ref="J5813">_xlfn.IFS(I5813&lt;=3,"small",I5813&lt;=6,"Medium",I5813&lt;=9,"Large")</f>
        <v>Medium</v>
      </c>
      <c r="K5813" s="36">
        <v>45309</v>
      </c>
      <c r="L5813" s="36">
        <v>45310</v>
      </c>
      <c r="M5813" t="s">
        <v>612</v>
      </c>
      <c r="N5813" t="s">
        <v>608</v>
      </c>
      <c r="O5813" s="37" t="str">
        <f t="shared" si="453"/>
        <v>Cash Payment</v>
      </c>
      <c r="P5813">
        <v>546.33000000000004</v>
      </c>
      <c r="Q5813" s="37" t="str">
        <f>IF(P5813&gt;500,"High","low")</f>
        <v>High</v>
      </c>
      <c r="R5813" s="37" t="str">
        <f t="shared" si="454"/>
        <v>Good</v>
      </c>
      <c r="S5813" t="s">
        <v>615</v>
      </c>
    </row>
    <row r="5814" spans="1:19" x14ac:dyDescent="0.2">
      <c r="A5814" t="s">
        <v>6425</v>
      </c>
      <c r="B5814" t="s">
        <v>83</v>
      </c>
      <c r="C5814" t="s">
        <v>597</v>
      </c>
      <c r="D5814">
        <v>3684.31</v>
      </c>
      <c r="E5814" s="37" t="str">
        <f t="shared" si="450"/>
        <v xml:space="preserve"> </v>
      </c>
      <c r="F5814">
        <v>0</v>
      </c>
      <c r="G5814" s="37" t="str">
        <f t="shared" si="451"/>
        <v>Normal Discount</v>
      </c>
      <c r="H5814" s="37" t="str">
        <f t="shared" si="452"/>
        <v>Low</v>
      </c>
      <c r="I5814">
        <v>9</v>
      </c>
      <c r="J5814" t="str" cm="1">
        <f t="array" ref="J5814">_xlfn.IFS(I5814&lt;=3,"small",I5814&lt;=6,"Medium",I5814&lt;=9,"Large")</f>
        <v>Large</v>
      </c>
      <c r="K5814" s="36">
        <v>45635</v>
      </c>
      <c r="L5814" s="36">
        <v>45638</v>
      </c>
      <c r="M5814" t="s">
        <v>612</v>
      </c>
      <c r="N5814" t="s">
        <v>608</v>
      </c>
      <c r="O5814" s="37" t="str">
        <f t="shared" si="453"/>
        <v>Cash Payment</v>
      </c>
      <c r="P5814">
        <v>193.73</v>
      </c>
      <c r="Q5814" s="37" t="str">
        <f>IF(P5814&gt;500,"High","low")</f>
        <v>low</v>
      </c>
      <c r="R5814" s="37" t="str">
        <f t="shared" si="454"/>
        <v>AVERAGE</v>
      </c>
      <c r="S5814" t="s">
        <v>615</v>
      </c>
    </row>
    <row r="5815" spans="1:19" x14ac:dyDescent="0.2">
      <c r="A5815" t="s">
        <v>6426</v>
      </c>
      <c r="B5815" t="s">
        <v>67</v>
      </c>
      <c r="C5815" t="s">
        <v>617</v>
      </c>
      <c r="D5815">
        <v>4400.3599999999997</v>
      </c>
      <c r="E5815" s="37" t="str">
        <f t="shared" si="450"/>
        <v>Excellent Order</v>
      </c>
      <c r="F5815">
        <v>0.04</v>
      </c>
      <c r="G5815" s="37" t="str">
        <f t="shared" si="451"/>
        <v>Normal Discount</v>
      </c>
      <c r="H5815" s="37" t="str">
        <f t="shared" si="452"/>
        <v>Low</v>
      </c>
      <c r="I5815">
        <v>9</v>
      </c>
      <c r="J5815" t="str" cm="1">
        <f t="array" ref="J5815">_xlfn.IFS(I5815&lt;=3,"small",I5815&lt;=6,"Medium",I5815&lt;=9,"Large")</f>
        <v>Large</v>
      </c>
      <c r="K5815" s="36">
        <v>45317</v>
      </c>
      <c r="L5815" s="36">
        <v>45319</v>
      </c>
      <c r="M5815" t="s">
        <v>612</v>
      </c>
      <c r="N5815" t="s">
        <v>608</v>
      </c>
      <c r="O5815" s="37" t="str">
        <f t="shared" si="453"/>
        <v>Cash Payment</v>
      </c>
      <c r="P5815">
        <v>1087.6199999999999</v>
      </c>
      <c r="Q5815" s="37" t="str">
        <f>IF(P5815&gt;500,"High","low")</f>
        <v>High</v>
      </c>
      <c r="R5815" s="37" t="str">
        <f t="shared" si="454"/>
        <v>Excellent</v>
      </c>
      <c r="S5815" t="s">
        <v>600</v>
      </c>
    </row>
    <row r="5816" spans="1:19" x14ac:dyDescent="0.2">
      <c r="A5816" t="s">
        <v>6427</v>
      </c>
      <c r="B5816" t="s">
        <v>90</v>
      </c>
      <c r="C5816" t="s">
        <v>617</v>
      </c>
      <c r="D5816">
        <v>4171.92</v>
      </c>
      <c r="E5816" s="37" t="str">
        <f t="shared" si="450"/>
        <v>Excellent Order</v>
      </c>
      <c r="F5816">
        <v>0.4</v>
      </c>
      <c r="G5816" s="37" t="str">
        <f t="shared" si="451"/>
        <v>Heavy Discount</v>
      </c>
      <c r="H5816" s="37" t="str">
        <f t="shared" si="452"/>
        <v>Medium</v>
      </c>
      <c r="I5816">
        <v>5</v>
      </c>
      <c r="J5816" t="str" cm="1">
        <f t="array" ref="J5816">_xlfn.IFS(I5816&lt;=3,"small",I5816&lt;=6,"Medium",I5816&lt;=9,"Large")</f>
        <v>Medium</v>
      </c>
      <c r="K5816" s="36">
        <v>45251</v>
      </c>
      <c r="L5816" s="36">
        <v>45257</v>
      </c>
      <c r="M5816" t="s">
        <v>612</v>
      </c>
      <c r="N5816" t="s">
        <v>599</v>
      </c>
      <c r="O5816" s="37" t="str">
        <f t="shared" si="453"/>
        <v>Digital Payment</v>
      </c>
      <c r="P5816">
        <v>1207.1099999999999</v>
      </c>
      <c r="Q5816" s="37" t="str">
        <f>IF(P5816&gt;500,"High","low")</f>
        <v>High</v>
      </c>
      <c r="R5816" s="37" t="str">
        <f t="shared" si="454"/>
        <v>Excellent</v>
      </c>
      <c r="S5816" t="s">
        <v>628</v>
      </c>
    </row>
    <row r="5817" spans="1:19" x14ac:dyDescent="0.2">
      <c r="A5817" t="s">
        <v>6428</v>
      </c>
      <c r="B5817" t="s">
        <v>90</v>
      </c>
      <c r="C5817" t="s">
        <v>617</v>
      </c>
      <c r="D5817">
        <v>1343.81</v>
      </c>
      <c r="E5817" s="37" t="str">
        <f t="shared" si="450"/>
        <v xml:space="preserve"> </v>
      </c>
      <c r="F5817">
        <v>0.43</v>
      </c>
      <c r="G5817" s="37" t="str">
        <f t="shared" si="451"/>
        <v>Heavy Discount</v>
      </c>
      <c r="H5817" s="37" t="str">
        <f t="shared" si="452"/>
        <v>High</v>
      </c>
      <c r="I5817">
        <v>9</v>
      </c>
      <c r="J5817" t="str" cm="1">
        <f t="array" ref="J5817">_xlfn.IFS(I5817&lt;=3,"small",I5817&lt;=6,"Medium",I5817&lt;=9,"Large")</f>
        <v>Large</v>
      </c>
      <c r="K5817" s="36">
        <v>45186</v>
      </c>
      <c r="L5817" s="36">
        <v>45187</v>
      </c>
      <c r="M5817" t="s">
        <v>612</v>
      </c>
      <c r="N5817" t="s">
        <v>608</v>
      </c>
      <c r="O5817" s="37" t="str">
        <f t="shared" si="453"/>
        <v>Cash Payment</v>
      </c>
      <c r="P5817">
        <v>308.88</v>
      </c>
      <c r="Q5817" s="37" t="str">
        <f>IF(P5817&gt;500,"High","low")</f>
        <v>low</v>
      </c>
      <c r="R5817" s="37" t="str">
        <f t="shared" si="454"/>
        <v>AVERAGE</v>
      </c>
      <c r="S5817" t="s">
        <v>609</v>
      </c>
    </row>
    <row r="5818" spans="1:19" x14ac:dyDescent="0.2">
      <c r="A5818" t="s">
        <v>6429</v>
      </c>
      <c r="B5818" t="s">
        <v>83</v>
      </c>
      <c r="C5818" t="s">
        <v>597</v>
      </c>
      <c r="D5818">
        <v>1224.73</v>
      </c>
      <c r="E5818" s="37" t="str">
        <f t="shared" si="450"/>
        <v xml:space="preserve"> </v>
      </c>
      <c r="F5818">
        <v>0.17</v>
      </c>
      <c r="G5818" s="37" t="str">
        <f t="shared" si="451"/>
        <v>Normal Discount</v>
      </c>
      <c r="H5818" s="37" t="str">
        <f t="shared" si="452"/>
        <v>Low</v>
      </c>
      <c r="I5818">
        <v>2</v>
      </c>
      <c r="J5818" t="str" cm="1">
        <f t="array" ref="J5818">_xlfn.IFS(I5818&lt;=3,"small",I5818&lt;=6,"Medium",I5818&lt;=9,"Large")</f>
        <v>small</v>
      </c>
      <c r="K5818" s="36">
        <v>45657</v>
      </c>
      <c r="L5818" s="36">
        <v>45664</v>
      </c>
      <c r="M5818" t="s">
        <v>603</v>
      </c>
      <c r="N5818" t="s">
        <v>599</v>
      </c>
      <c r="O5818" s="37" t="str">
        <f t="shared" si="453"/>
        <v>Digital Payment</v>
      </c>
      <c r="P5818">
        <v>314.19</v>
      </c>
      <c r="Q5818" s="37" t="str">
        <f>IF(P5818&gt;500,"High","low")</f>
        <v>low</v>
      </c>
      <c r="R5818" s="37" t="str">
        <f t="shared" si="454"/>
        <v>AVERAGE</v>
      </c>
      <c r="S5818" t="s">
        <v>609</v>
      </c>
    </row>
    <row r="5819" spans="1:19" x14ac:dyDescent="0.2">
      <c r="A5819" t="s">
        <v>6430</v>
      </c>
      <c r="B5819" t="s">
        <v>75</v>
      </c>
      <c r="C5819" t="s">
        <v>617</v>
      </c>
      <c r="D5819">
        <v>4335.4799999999996</v>
      </c>
      <c r="E5819" s="37" t="str">
        <f t="shared" si="450"/>
        <v>Excellent Order</v>
      </c>
      <c r="F5819">
        <v>0.48</v>
      </c>
      <c r="G5819" s="37" t="str">
        <f t="shared" si="451"/>
        <v>Heavy Discount</v>
      </c>
      <c r="H5819" s="37" t="str">
        <f t="shared" si="452"/>
        <v>High</v>
      </c>
      <c r="I5819">
        <v>5</v>
      </c>
      <c r="J5819" t="str" cm="1">
        <f t="array" ref="J5819">_xlfn.IFS(I5819&lt;=3,"small",I5819&lt;=6,"Medium",I5819&lt;=9,"Large")</f>
        <v>Medium</v>
      </c>
      <c r="K5819" s="36">
        <v>45127</v>
      </c>
      <c r="L5819" s="36">
        <v>45133</v>
      </c>
      <c r="M5819" t="s">
        <v>598</v>
      </c>
      <c r="N5819" t="s">
        <v>604</v>
      </c>
      <c r="O5819" s="37" t="str">
        <f t="shared" si="453"/>
        <v>Digital Payment</v>
      </c>
      <c r="P5819">
        <v>1153</v>
      </c>
      <c r="Q5819" s="37" t="str">
        <f>IF(P5819&gt;500,"High","low")</f>
        <v>High</v>
      </c>
      <c r="R5819" s="37" t="str">
        <f t="shared" si="454"/>
        <v>Excellent</v>
      </c>
      <c r="S5819" t="s">
        <v>605</v>
      </c>
    </row>
    <row r="5820" spans="1:19" x14ac:dyDescent="0.2">
      <c r="A5820" t="s">
        <v>6431</v>
      </c>
      <c r="B5820" t="s">
        <v>75</v>
      </c>
      <c r="C5820" t="s">
        <v>607</v>
      </c>
      <c r="D5820">
        <v>514.91999999999996</v>
      </c>
      <c r="E5820" s="37" t="str">
        <f t="shared" si="450"/>
        <v xml:space="preserve"> </v>
      </c>
      <c r="F5820">
        <v>0.15</v>
      </c>
      <c r="G5820" s="37" t="str">
        <f t="shared" si="451"/>
        <v>Normal Discount</v>
      </c>
      <c r="H5820" s="37" t="str">
        <f t="shared" si="452"/>
        <v>Low</v>
      </c>
      <c r="I5820">
        <v>7</v>
      </c>
      <c r="J5820" t="str" cm="1">
        <f t="array" ref="J5820">_xlfn.IFS(I5820&lt;=3,"small",I5820&lt;=6,"Medium",I5820&lt;=9,"Large")</f>
        <v>Large</v>
      </c>
      <c r="K5820" s="36">
        <v>45475</v>
      </c>
      <c r="L5820" s="36">
        <v>45477</v>
      </c>
      <c r="M5820" t="s">
        <v>598</v>
      </c>
      <c r="N5820" t="s">
        <v>608</v>
      </c>
      <c r="O5820" s="37" t="str">
        <f t="shared" si="453"/>
        <v>Cash Payment</v>
      </c>
      <c r="P5820">
        <v>58.31</v>
      </c>
      <c r="Q5820" s="37" t="str">
        <f>IF(P5820&gt;500,"High","low")</f>
        <v>low</v>
      </c>
      <c r="R5820" s="37" t="str">
        <f t="shared" si="454"/>
        <v>AVERAGE</v>
      </c>
      <c r="S5820" t="s">
        <v>605</v>
      </c>
    </row>
    <row r="5821" spans="1:19" x14ac:dyDescent="0.2">
      <c r="A5821" t="s">
        <v>6432</v>
      </c>
      <c r="B5821" t="s">
        <v>67</v>
      </c>
      <c r="C5821" t="s">
        <v>614</v>
      </c>
      <c r="D5821">
        <v>2101.96</v>
      </c>
      <c r="E5821" s="37" t="str">
        <f t="shared" si="450"/>
        <v xml:space="preserve"> </v>
      </c>
      <c r="F5821">
        <v>0.45</v>
      </c>
      <c r="G5821" s="37" t="str">
        <f t="shared" si="451"/>
        <v>Heavy Discount</v>
      </c>
      <c r="H5821" s="37" t="str">
        <f t="shared" si="452"/>
        <v>High</v>
      </c>
      <c r="I5821">
        <v>8</v>
      </c>
      <c r="J5821" t="str" cm="1">
        <f t="array" ref="J5821">_xlfn.IFS(I5821&lt;=3,"small",I5821&lt;=6,"Medium",I5821&lt;=9,"Large")</f>
        <v>Large</v>
      </c>
      <c r="K5821" s="36">
        <v>45044</v>
      </c>
      <c r="L5821" s="36">
        <v>45050</v>
      </c>
      <c r="M5821" t="s">
        <v>603</v>
      </c>
      <c r="N5821" t="s">
        <v>599</v>
      </c>
      <c r="O5821" s="37" t="str">
        <f t="shared" si="453"/>
        <v>Digital Payment</v>
      </c>
      <c r="P5821">
        <v>292.63</v>
      </c>
      <c r="Q5821" s="37" t="str">
        <f>IF(P5821&gt;500,"High","low")</f>
        <v>low</v>
      </c>
      <c r="R5821" s="37" t="str">
        <f t="shared" si="454"/>
        <v>AVERAGE</v>
      </c>
      <c r="S5821" t="s">
        <v>620</v>
      </c>
    </row>
    <row r="5822" spans="1:19" x14ac:dyDescent="0.2">
      <c r="A5822" t="s">
        <v>6433</v>
      </c>
      <c r="B5822" t="s">
        <v>90</v>
      </c>
      <c r="C5822" t="s">
        <v>614</v>
      </c>
      <c r="D5822">
        <v>4121.22</v>
      </c>
      <c r="E5822" s="37" t="str">
        <f t="shared" si="450"/>
        <v>Excellent Order</v>
      </c>
      <c r="F5822">
        <v>0.21</v>
      </c>
      <c r="G5822" s="37" t="str">
        <f t="shared" si="451"/>
        <v>Normal Discount</v>
      </c>
      <c r="H5822" s="37" t="str">
        <f t="shared" si="452"/>
        <v>Medium</v>
      </c>
      <c r="I5822">
        <v>5</v>
      </c>
      <c r="J5822" t="str" cm="1">
        <f t="array" ref="J5822">_xlfn.IFS(I5822&lt;=3,"small",I5822&lt;=6,"Medium",I5822&lt;=9,"Large")</f>
        <v>Medium</v>
      </c>
      <c r="K5822" s="36">
        <v>45440</v>
      </c>
      <c r="L5822" s="36">
        <v>45446</v>
      </c>
      <c r="M5822" t="s">
        <v>603</v>
      </c>
      <c r="N5822" t="s">
        <v>608</v>
      </c>
      <c r="O5822" s="37" t="str">
        <f t="shared" si="453"/>
        <v>Cash Payment</v>
      </c>
      <c r="P5822">
        <v>962.29</v>
      </c>
      <c r="Q5822" s="37" t="str">
        <f>IF(P5822&gt;500,"High","low")</f>
        <v>High</v>
      </c>
      <c r="R5822" s="37" t="str">
        <f t="shared" si="454"/>
        <v>Good</v>
      </c>
      <c r="S5822" t="s">
        <v>605</v>
      </c>
    </row>
    <row r="5823" spans="1:19" x14ac:dyDescent="0.2">
      <c r="A5823" t="s">
        <v>6434</v>
      </c>
      <c r="B5823" t="s">
        <v>67</v>
      </c>
      <c r="C5823" t="s">
        <v>602</v>
      </c>
      <c r="D5823">
        <v>4084.87</v>
      </c>
      <c r="E5823" s="37" t="str">
        <f t="shared" si="450"/>
        <v xml:space="preserve"> </v>
      </c>
      <c r="F5823">
        <v>0.28000000000000003</v>
      </c>
      <c r="G5823" s="37" t="str">
        <f t="shared" si="451"/>
        <v>Normal Discount</v>
      </c>
      <c r="H5823" s="37" t="str">
        <f t="shared" si="452"/>
        <v>Medium</v>
      </c>
      <c r="I5823">
        <v>9</v>
      </c>
      <c r="J5823" t="str" cm="1">
        <f t="array" ref="J5823">_xlfn.IFS(I5823&lt;=3,"small",I5823&lt;=6,"Medium",I5823&lt;=9,"Large")</f>
        <v>Large</v>
      </c>
      <c r="K5823" s="36">
        <v>45615</v>
      </c>
      <c r="L5823" s="36">
        <v>45622</v>
      </c>
      <c r="M5823" t="s">
        <v>603</v>
      </c>
      <c r="N5823" t="s">
        <v>599</v>
      </c>
      <c r="O5823" s="37" t="str">
        <f t="shared" si="453"/>
        <v>Digital Payment</v>
      </c>
      <c r="P5823">
        <v>653.02</v>
      </c>
      <c r="Q5823" s="37" t="str">
        <f>IF(P5823&gt;500,"High","low")</f>
        <v>High</v>
      </c>
      <c r="R5823" s="37" t="str">
        <f t="shared" si="454"/>
        <v>Good</v>
      </c>
      <c r="S5823" t="s">
        <v>600</v>
      </c>
    </row>
    <row r="5824" spans="1:19" x14ac:dyDescent="0.2">
      <c r="A5824" t="s">
        <v>6435</v>
      </c>
      <c r="B5824" t="s">
        <v>90</v>
      </c>
      <c r="C5824" t="s">
        <v>607</v>
      </c>
      <c r="D5824">
        <v>780.04</v>
      </c>
      <c r="E5824" s="37" t="str">
        <f t="shared" si="450"/>
        <v xml:space="preserve"> </v>
      </c>
      <c r="F5824">
        <v>0.32</v>
      </c>
      <c r="G5824" s="37" t="str">
        <f t="shared" si="451"/>
        <v>Heavy Discount</v>
      </c>
      <c r="H5824" s="37" t="str">
        <f t="shared" si="452"/>
        <v>Medium</v>
      </c>
      <c r="I5824">
        <v>3</v>
      </c>
      <c r="J5824" t="str" cm="1">
        <f t="array" ref="J5824">_xlfn.IFS(I5824&lt;=3,"small",I5824&lt;=6,"Medium",I5824&lt;=9,"Large")</f>
        <v>small</v>
      </c>
      <c r="K5824" s="36">
        <v>45157</v>
      </c>
      <c r="L5824" s="36">
        <v>45163</v>
      </c>
      <c r="M5824" t="s">
        <v>603</v>
      </c>
      <c r="N5824" t="s">
        <v>608</v>
      </c>
      <c r="O5824" s="37" t="str">
        <f t="shared" si="453"/>
        <v>Cash Payment</v>
      </c>
      <c r="P5824">
        <v>163.19999999999999</v>
      </c>
      <c r="Q5824" s="37" t="str">
        <f>IF(P5824&gt;500,"High","low")</f>
        <v>low</v>
      </c>
      <c r="R5824" s="37" t="str">
        <f t="shared" si="454"/>
        <v>AVERAGE</v>
      </c>
      <c r="S5824" t="s">
        <v>605</v>
      </c>
    </row>
    <row r="5825" spans="1:19" x14ac:dyDescent="0.2">
      <c r="A5825" t="s">
        <v>6436</v>
      </c>
      <c r="B5825" t="s">
        <v>83</v>
      </c>
      <c r="C5825" t="s">
        <v>597</v>
      </c>
      <c r="D5825">
        <v>2489.7800000000002</v>
      </c>
      <c r="E5825" s="37" t="str">
        <f t="shared" si="450"/>
        <v xml:space="preserve"> </v>
      </c>
      <c r="F5825">
        <v>7.0000000000000007E-2</v>
      </c>
      <c r="G5825" s="37" t="str">
        <f t="shared" si="451"/>
        <v>Normal Discount</v>
      </c>
      <c r="H5825" s="37" t="str">
        <f t="shared" si="452"/>
        <v>Low</v>
      </c>
      <c r="I5825">
        <v>8</v>
      </c>
      <c r="J5825" t="str" cm="1">
        <f t="array" ref="J5825">_xlfn.IFS(I5825&lt;=3,"small",I5825&lt;=6,"Medium",I5825&lt;=9,"Large")</f>
        <v>Large</v>
      </c>
      <c r="K5825" s="36">
        <v>44943</v>
      </c>
      <c r="L5825" s="36">
        <v>44945</v>
      </c>
      <c r="M5825" t="s">
        <v>612</v>
      </c>
      <c r="N5825" t="s">
        <v>604</v>
      </c>
      <c r="O5825" s="37" t="str">
        <f t="shared" si="453"/>
        <v>Digital Payment</v>
      </c>
      <c r="P5825">
        <v>292.05</v>
      </c>
      <c r="Q5825" s="37" t="str">
        <f>IF(P5825&gt;500,"High","low")</f>
        <v>low</v>
      </c>
      <c r="R5825" s="37" t="str">
        <f t="shared" si="454"/>
        <v>AVERAGE</v>
      </c>
      <c r="S5825" t="s">
        <v>609</v>
      </c>
    </row>
    <row r="5826" spans="1:19" x14ac:dyDescent="0.2">
      <c r="A5826" t="s">
        <v>6437</v>
      </c>
      <c r="B5826" t="s">
        <v>90</v>
      </c>
      <c r="C5826" t="s">
        <v>614</v>
      </c>
      <c r="D5826">
        <v>2451.1799999999998</v>
      </c>
      <c r="E5826" s="37" t="str">
        <f t="shared" si="450"/>
        <v xml:space="preserve"> </v>
      </c>
      <c r="F5826">
        <v>0.02</v>
      </c>
      <c r="G5826" s="37" t="str">
        <f t="shared" si="451"/>
        <v>Normal Discount</v>
      </c>
      <c r="H5826" s="37" t="str">
        <f t="shared" si="452"/>
        <v>Low</v>
      </c>
      <c r="I5826">
        <v>9</v>
      </c>
      <c r="J5826" t="str" cm="1">
        <f t="array" ref="J5826">_xlfn.IFS(I5826&lt;=3,"small",I5826&lt;=6,"Medium",I5826&lt;=9,"Large")</f>
        <v>Large</v>
      </c>
      <c r="K5826" s="36">
        <v>45422</v>
      </c>
      <c r="L5826" s="36">
        <v>45426</v>
      </c>
      <c r="M5826" t="s">
        <v>603</v>
      </c>
      <c r="N5826" t="s">
        <v>604</v>
      </c>
      <c r="O5826" s="37" t="str">
        <f t="shared" si="453"/>
        <v>Digital Payment</v>
      </c>
      <c r="P5826">
        <v>560.65</v>
      </c>
      <c r="Q5826" s="37" t="str">
        <f>IF(P5826&gt;500,"High","low")</f>
        <v>High</v>
      </c>
      <c r="R5826" s="37" t="str">
        <f t="shared" si="454"/>
        <v>Good</v>
      </c>
      <c r="S5826" t="s">
        <v>605</v>
      </c>
    </row>
    <row r="5827" spans="1:19" x14ac:dyDescent="0.2">
      <c r="A5827" t="s">
        <v>6438</v>
      </c>
      <c r="B5827" t="s">
        <v>67</v>
      </c>
      <c r="C5827" t="s">
        <v>617</v>
      </c>
      <c r="D5827">
        <v>1686.24</v>
      </c>
      <c r="E5827" s="37" t="str">
        <f t="shared" ref="E5827:E5890" si="455">IF(AND(D5827&gt;4000,P5827&gt;800),"Excellent Order"," ")</f>
        <v xml:space="preserve"> </v>
      </c>
      <c r="F5827">
        <v>0.21</v>
      </c>
      <c r="G5827" s="37" t="str">
        <f t="shared" ref="G5827:G5890" si="456">IF(F5827&gt;30%,"Heavy Discount","Normal Discount")</f>
        <v>Normal Discount</v>
      </c>
      <c r="H5827" s="37" t="str">
        <f t="shared" ref="H5827:H5890" si="457">IF(F5827&gt;0.4,"High",IF(F5827&gt;=0.2,"Medium","Low"))</f>
        <v>Medium</v>
      </c>
      <c r="I5827">
        <v>7</v>
      </c>
      <c r="J5827" t="str" cm="1">
        <f t="array" ref="J5827">_xlfn.IFS(I5827&lt;=3,"small",I5827&lt;=6,"Medium",I5827&lt;=9,"Large")</f>
        <v>Large</v>
      </c>
      <c r="K5827" s="36">
        <v>45233</v>
      </c>
      <c r="L5827" s="36">
        <v>45235</v>
      </c>
      <c r="M5827" t="s">
        <v>603</v>
      </c>
      <c r="N5827" t="s">
        <v>599</v>
      </c>
      <c r="O5827" s="37" t="str">
        <f t="shared" ref="O5827:O5890" si="458">IF(OR(N5827="Card",N5827="UPI"),"Digital Payment","Cash Payment")</f>
        <v>Digital Payment</v>
      </c>
      <c r="P5827">
        <v>334.78</v>
      </c>
      <c r="Q5827" s="37" t="str">
        <f>IF(P5827&gt;500,"High","low")</f>
        <v>low</v>
      </c>
      <c r="R5827" s="37" t="str">
        <f t="shared" ref="R5827:R5890" si="459">IF(P5827&gt;1000,"Excellent",IF(P5827&gt;=500,"Good","AVERAGE"))</f>
        <v>AVERAGE</v>
      </c>
      <c r="S5827" t="s">
        <v>615</v>
      </c>
    </row>
    <row r="5828" spans="1:19" x14ac:dyDescent="0.2">
      <c r="A5828" t="s">
        <v>6439</v>
      </c>
      <c r="B5828" t="s">
        <v>67</v>
      </c>
      <c r="C5828" t="s">
        <v>602</v>
      </c>
      <c r="D5828">
        <v>4594.1899999999996</v>
      </c>
      <c r="E5828" s="37" t="str">
        <f t="shared" si="455"/>
        <v>Excellent Order</v>
      </c>
      <c r="F5828">
        <v>0.08</v>
      </c>
      <c r="G5828" s="37" t="str">
        <f t="shared" si="456"/>
        <v>Normal Discount</v>
      </c>
      <c r="H5828" s="37" t="str">
        <f t="shared" si="457"/>
        <v>Low</v>
      </c>
      <c r="I5828">
        <v>5</v>
      </c>
      <c r="J5828" t="str" cm="1">
        <f t="array" ref="J5828">_xlfn.IFS(I5828&lt;=3,"small",I5828&lt;=6,"Medium",I5828&lt;=9,"Large")</f>
        <v>Medium</v>
      </c>
      <c r="K5828" s="36">
        <v>45296</v>
      </c>
      <c r="L5828" s="36">
        <v>45297</v>
      </c>
      <c r="M5828" t="s">
        <v>603</v>
      </c>
      <c r="N5828" t="s">
        <v>599</v>
      </c>
      <c r="O5828" s="37" t="str">
        <f t="shared" si="458"/>
        <v>Digital Payment</v>
      </c>
      <c r="P5828">
        <v>1329.6</v>
      </c>
      <c r="Q5828" s="37" t="str">
        <f>IF(P5828&gt;500,"High","low")</f>
        <v>High</v>
      </c>
      <c r="R5828" s="37" t="str">
        <f t="shared" si="459"/>
        <v>Excellent</v>
      </c>
      <c r="S5828" t="s">
        <v>609</v>
      </c>
    </row>
    <row r="5829" spans="1:19" x14ac:dyDescent="0.2">
      <c r="A5829" t="s">
        <v>6440</v>
      </c>
      <c r="B5829" t="s">
        <v>67</v>
      </c>
      <c r="C5829" t="s">
        <v>602</v>
      </c>
      <c r="D5829">
        <v>3300.28</v>
      </c>
      <c r="E5829" s="37" t="str">
        <f t="shared" si="455"/>
        <v xml:space="preserve"> </v>
      </c>
      <c r="F5829">
        <v>0.27</v>
      </c>
      <c r="G5829" s="37" t="str">
        <f t="shared" si="456"/>
        <v>Normal Discount</v>
      </c>
      <c r="H5829" s="37" t="str">
        <f t="shared" si="457"/>
        <v>Medium</v>
      </c>
      <c r="I5829">
        <v>9</v>
      </c>
      <c r="J5829" t="str" cm="1">
        <f t="array" ref="J5829">_xlfn.IFS(I5829&lt;=3,"small",I5829&lt;=6,"Medium",I5829&lt;=9,"Large")</f>
        <v>Large</v>
      </c>
      <c r="K5829" s="36">
        <v>45398</v>
      </c>
      <c r="L5829" s="36">
        <v>45404</v>
      </c>
      <c r="M5829" t="s">
        <v>603</v>
      </c>
      <c r="N5829" t="s">
        <v>604</v>
      </c>
      <c r="O5829" s="37" t="str">
        <f t="shared" si="458"/>
        <v>Digital Payment</v>
      </c>
      <c r="P5829">
        <v>926.97</v>
      </c>
      <c r="Q5829" s="37" t="str">
        <f>IF(P5829&gt;500,"High","low")</f>
        <v>High</v>
      </c>
      <c r="R5829" s="37" t="str">
        <f t="shared" si="459"/>
        <v>Good</v>
      </c>
      <c r="S5829" t="s">
        <v>620</v>
      </c>
    </row>
    <row r="5830" spans="1:19" x14ac:dyDescent="0.2">
      <c r="A5830" t="s">
        <v>6441</v>
      </c>
      <c r="B5830" t="s">
        <v>83</v>
      </c>
      <c r="C5830" t="s">
        <v>614</v>
      </c>
      <c r="D5830">
        <v>4902.92</v>
      </c>
      <c r="E5830" s="37" t="str">
        <f t="shared" si="455"/>
        <v>Excellent Order</v>
      </c>
      <c r="F5830">
        <v>0.23</v>
      </c>
      <c r="G5830" s="37" t="str">
        <f t="shared" si="456"/>
        <v>Normal Discount</v>
      </c>
      <c r="H5830" s="37" t="str">
        <f t="shared" si="457"/>
        <v>Medium</v>
      </c>
      <c r="I5830">
        <v>8</v>
      </c>
      <c r="J5830" t="str" cm="1">
        <f t="array" ref="J5830">_xlfn.IFS(I5830&lt;=3,"small",I5830&lt;=6,"Medium",I5830&lt;=9,"Large")</f>
        <v>Large</v>
      </c>
      <c r="K5830" s="36">
        <v>45387</v>
      </c>
      <c r="L5830" s="36">
        <v>45392</v>
      </c>
      <c r="M5830" t="s">
        <v>612</v>
      </c>
      <c r="N5830" t="s">
        <v>599</v>
      </c>
      <c r="O5830" s="37" t="str">
        <f t="shared" si="458"/>
        <v>Digital Payment</v>
      </c>
      <c r="P5830">
        <v>933.09</v>
      </c>
      <c r="Q5830" s="37" t="str">
        <f>IF(P5830&gt;500,"High","low")</f>
        <v>High</v>
      </c>
      <c r="R5830" s="37" t="str">
        <f t="shared" si="459"/>
        <v>Good</v>
      </c>
      <c r="S5830" t="s">
        <v>609</v>
      </c>
    </row>
    <row r="5831" spans="1:19" x14ac:dyDescent="0.2">
      <c r="A5831" t="s">
        <v>6442</v>
      </c>
      <c r="B5831" t="s">
        <v>90</v>
      </c>
      <c r="C5831" t="s">
        <v>607</v>
      </c>
      <c r="D5831">
        <v>427.15</v>
      </c>
      <c r="E5831" s="37" t="str">
        <f t="shared" si="455"/>
        <v xml:space="preserve"> </v>
      </c>
      <c r="F5831">
        <v>0.06</v>
      </c>
      <c r="G5831" s="37" t="str">
        <f t="shared" si="456"/>
        <v>Normal Discount</v>
      </c>
      <c r="H5831" s="37" t="str">
        <f t="shared" si="457"/>
        <v>Low</v>
      </c>
      <c r="I5831">
        <v>8</v>
      </c>
      <c r="J5831" t="str" cm="1">
        <f t="array" ref="J5831">_xlfn.IFS(I5831&lt;=3,"small",I5831&lt;=6,"Medium",I5831&lt;=9,"Large")</f>
        <v>Large</v>
      </c>
      <c r="K5831" s="36">
        <v>44954</v>
      </c>
      <c r="L5831" s="36">
        <v>44960</v>
      </c>
      <c r="M5831" t="s">
        <v>603</v>
      </c>
      <c r="N5831" t="s">
        <v>604</v>
      </c>
      <c r="O5831" s="37" t="str">
        <f t="shared" si="458"/>
        <v>Digital Payment</v>
      </c>
      <c r="P5831">
        <v>48.23</v>
      </c>
      <c r="Q5831" s="37" t="str">
        <f>IF(P5831&gt;500,"High","low")</f>
        <v>low</v>
      </c>
      <c r="R5831" s="37" t="str">
        <f t="shared" si="459"/>
        <v>AVERAGE</v>
      </c>
      <c r="S5831" t="s">
        <v>620</v>
      </c>
    </row>
    <row r="5832" spans="1:19" x14ac:dyDescent="0.2">
      <c r="A5832" t="s">
        <v>6443</v>
      </c>
      <c r="B5832" t="s">
        <v>90</v>
      </c>
      <c r="C5832" t="s">
        <v>602</v>
      </c>
      <c r="D5832">
        <v>2032.32</v>
      </c>
      <c r="E5832" s="37" t="str">
        <f t="shared" si="455"/>
        <v xml:space="preserve"> </v>
      </c>
      <c r="F5832">
        <v>0.33</v>
      </c>
      <c r="G5832" s="37" t="str">
        <f t="shared" si="456"/>
        <v>Heavy Discount</v>
      </c>
      <c r="H5832" s="37" t="str">
        <f t="shared" si="457"/>
        <v>Medium</v>
      </c>
      <c r="I5832">
        <v>6</v>
      </c>
      <c r="J5832" t="str" cm="1">
        <f t="array" ref="J5832">_xlfn.IFS(I5832&lt;=3,"small",I5832&lt;=6,"Medium",I5832&lt;=9,"Large")</f>
        <v>Medium</v>
      </c>
      <c r="K5832" s="36">
        <v>45484</v>
      </c>
      <c r="L5832" s="36">
        <v>45487</v>
      </c>
      <c r="M5832" t="s">
        <v>598</v>
      </c>
      <c r="N5832" t="s">
        <v>608</v>
      </c>
      <c r="O5832" s="37" t="str">
        <f t="shared" si="458"/>
        <v>Cash Payment</v>
      </c>
      <c r="P5832">
        <v>299.31</v>
      </c>
      <c r="Q5832" s="37" t="str">
        <f>IF(P5832&gt;500,"High","low")</f>
        <v>low</v>
      </c>
      <c r="R5832" s="37" t="str">
        <f t="shared" si="459"/>
        <v>AVERAGE</v>
      </c>
      <c r="S5832" t="s">
        <v>615</v>
      </c>
    </row>
    <row r="5833" spans="1:19" x14ac:dyDescent="0.2">
      <c r="A5833" t="s">
        <v>6444</v>
      </c>
      <c r="B5833" t="s">
        <v>67</v>
      </c>
      <c r="C5833" t="s">
        <v>614</v>
      </c>
      <c r="D5833">
        <v>4192.17</v>
      </c>
      <c r="E5833" s="37" t="str">
        <f t="shared" si="455"/>
        <v>Excellent Order</v>
      </c>
      <c r="F5833">
        <v>0.01</v>
      </c>
      <c r="G5833" s="37" t="str">
        <f t="shared" si="456"/>
        <v>Normal Discount</v>
      </c>
      <c r="H5833" s="37" t="str">
        <f t="shared" si="457"/>
        <v>Low</v>
      </c>
      <c r="I5833">
        <v>2</v>
      </c>
      <c r="J5833" t="str" cm="1">
        <f t="array" ref="J5833">_xlfn.IFS(I5833&lt;=3,"small",I5833&lt;=6,"Medium",I5833&lt;=9,"Large")</f>
        <v>small</v>
      </c>
      <c r="K5833" s="36">
        <v>45291</v>
      </c>
      <c r="L5833" s="36">
        <v>45298</v>
      </c>
      <c r="M5833" t="s">
        <v>598</v>
      </c>
      <c r="N5833" t="s">
        <v>604</v>
      </c>
      <c r="O5833" s="37" t="str">
        <f t="shared" si="458"/>
        <v>Digital Payment</v>
      </c>
      <c r="P5833">
        <v>983.29</v>
      </c>
      <c r="Q5833" s="37" t="str">
        <f>IF(P5833&gt;500,"High","low")</f>
        <v>High</v>
      </c>
      <c r="R5833" s="37" t="str">
        <f t="shared" si="459"/>
        <v>Good</v>
      </c>
      <c r="S5833" t="s">
        <v>620</v>
      </c>
    </row>
    <row r="5834" spans="1:19" x14ac:dyDescent="0.2">
      <c r="A5834" t="s">
        <v>6445</v>
      </c>
      <c r="B5834" t="s">
        <v>90</v>
      </c>
      <c r="C5834" t="s">
        <v>607</v>
      </c>
      <c r="D5834">
        <v>2171.16</v>
      </c>
      <c r="E5834" s="37" t="str">
        <f t="shared" si="455"/>
        <v xml:space="preserve"> </v>
      </c>
      <c r="F5834">
        <v>0.06</v>
      </c>
      <c r="G5834" s="37" t="str">
        <f t="shared" si="456"/>
        <v>Normal Discount</v>
      </c>
      <c r="H5834" s="37" t="str">
        <f t="shared" si="457"/>
        <v>Low</v>
      </c>
      <c r="I5834">
        <v>4</v>
      </c>
      <c r="J5834" t="str" cm="1">
        <f t="array" ref="J5834">_xlfn.IFS(I5834&lt;=3,"small",I5834&lt;=6,"Medium",I5834&lt;=9,"Large")</f>
        <v>Medium</v>
      </c>
      <c r="K5834" s="36">
        <v>45565</v>
      </c>
      <c r="L5834" s="36">
        <v>45569</v>
      </c>
      <c r="M5834" t="s">
        <v>612</v>
      </c>
      <c r="N5834" t="s">
        <v>608</v>
      </c>
      <c r="O5834" s="37" t="str">
        <f t="shared" si="458"/>
        <v>Cash Payment</v>
      </c>
      <c r="P5834">
        <v>337.4</v>
      </c>
      <c r="Q5834" s="37" t="str">
        <f>IF(P5834&gt;500,"High","low")</f>
        <v>low</v>
      </c>
      <c r="R5834" s="37" t="str">
        <f t="shared" si="459"/>
        <v>AVERAGE</v>
      </c>
      <c r="S5834" t="s">
        <v>609</v>
      </c>
    </row>
    <row r="5835" spans="1:19" x14ac:dyDescent="0.2">
      <c r="A5835" t="s">
        <v>6446</v>
      </c>
      <c r="B5835" t="s">
        <v>75</v>
      </c>
      <c r="C5835" t="s">
        <v>614</v>
      </c>
      <c r="D5835">
        <v>1383.2</v>
      </c>
      <c r="E5835" s="37" t="str">
        <f t="shared" si="455"/>
        <v xml:space="preserve"> </v>
      </c>
      <c r="F5835">
        <v>0.35</v>
      </c>
      <c r="G5835" s="37" t="str">
        <f t="shared" si="456"/>
        <v>Heavy Discount</v>
      </c>
      <c r="H5835" s="37" t="str">
        <f t="shared" si="457"/>
        <v>Medium</v>
      </c>
      <c r="I5835">
        <v>1</v>
      </c>
      <c r="J5835" t="str" cm="1">
        <f t="array" ref="J5835">_xlfn.IFS(I5835&lt;=3,"small",I5835&lt;=6,"Medium",I5835&lt;=9,"Large")</f>
        <v>small</v>
      </c>
      <c r="K5835" s="36">
        <v>45544</v>
      </c>
      <c r="L5835" s="36">
        <v>45547</v>
      </c>
      <c r="M5835" t="s">
        <v>612</v>
      </c>
      <c r="N5835" t="s">
        <v>599</v>
      </c>
      <c r="O5835" s="37" t="str">
        <f t="shared" si="458"/>
        <v>Digital Payment</v>
      </c>
      <c r="P5835">
        <v>353.5</v>
      </c>
      <c r="Q5835" s="37" t="str">
        <f>IF(P5835&gt;500,"High","low")</f>
        <v>low</v>
      </c>
      <c r="R5835" s="37" t="str">
        <f t="shared" si="459"/>
        <v>AVERAGE</v>
      </c>
      <c r="S5835" t="s">
        <v>609</v>
      </c>
    </row>
    <row r="5836" spans="1:19" x14ac:dyDescent="0.2">
      <c r="A5836" t="s">
        <v>6447</v>
      </c>
      <c r="B5836" t="s">
        <v>75</v>
      </c>
      <c r="C5836" t="s">
        <v>614</v>
      </c>
      <c r="D5836">
        <v>4989.26</v>
      </c>
      <c r="E5836" s="37" t="str">
        <f t="shared" si="455"/>
        <v xml:space="preserve"> </v>
      </c>
      <c r="F5836">
        <v>0.26</v>
      </c>
      <c r="G5836" s="37" t="str">
        <f t="shared" si="456"/>
        <v>Normal Discount</v>
      </c>
      <c r="H5836" s="37" t="str">
        <f t="shared" si="457"/>
        <v>Medium</v>
      </c>
      <c r="I5836">
        <v>5</v>
      </c>
      <c r="J5836" t="str" cm="1">
        <f t="array" ref="J5836">_xlfn.IFS(I5836&lt;=3,"small",I5836&lt;=6,"Medium",I5836&lt;=9,"Large")</f>
        <v>Medium</v>
      </c>
      <c r="K5836" s="36">
        <v>45388</v>
      </c>
      <c r="L5836" s="36">
        <v>45389</v>
      </c>
      <c r="M5836" t="s">
        <v>598</v>
      </c>
      <c r="N5836" t="s">
        <v>604</v>
      </c>
      <c r="O5836" s="37" t="str">
        <f t="shared" si="458"/>
        <v>Digital Payment</v>
      </c>
      <c r="P5836">
        <v>547.24</v>
      </c>
      <c r="Q5836" s="37" t="str">
        <f>IF(P5836&gt;500,"High","low")</f>
        <v>High</v>
      </c>
      <c r="R5836" s="37" t="str">
        <f t="shared" si="459"/>
        <v>Good</v>
      </c>
      <c r="S5836" t="s">
        <v>620</v>
      </c>
    </row>
    <row r="5837" spans="1:19" x14ac:dyDescent="0.2">
      <c r="A5837" t="s">
        <v>6448</v>
      </c>
      <c r="B5837" t="s">
        <v>75</v>
      </c>
      <c r="C5837" t="s">
        <v>607</v>
      </c>
      <c r="D5837">
        <v>4378.3100000000004</v>
      </c>
      <c r="E5837" s="37" t="str">
        <f t="shared" si="455"/>
        <v>Excellent Order</v>
      </c>
      <c r="F5837">
        <v>0.14000000000000001</v>
      </c>
      <c r="G5837" s="37" t="str">
        <f t="shared" si="456"/>
        <v>Normal Discount</v>
      </c>
      <c r="H5837" s="37" t="str">
        <f t="shared" si="457"/>
        <v>Low</v>
      </c>
      <c r="I5837">
        <v>1</v>
      </c>
      <c r="J5837" t="str" cm="1">
        <f t="array" ref="J5837">_xlfn.IFS(I5837&lt;=3,"small",I5837&lt;=6,"Medium",I5837&lt;=9,"Large")</f>
        <v>small</v>
      </c>
      <c r="K5837" s="36">
        <v>45141</v>
      </c>
      <c r="L5837" s="36">
        <v>45146</v>
      </c>
      <c r="M5837" t="s">
        <v>612</v>
      </c>
      <c r="N5837" t="s">
        <v>608</v>
      </c>
      <c r="O5837" s="37" t="str">
        <f t="shared" si="458"/>
        <v>Cash Payment</v>
      </c>
      <c r="P5837">
        <v>1063.05</v>
      </c>
      <c r="Q5837" s="37" t="str">
        <f>IF(P5837&gt;500,"High","low")</f>
        <v>High</v>
      </c>
      <c r="R5837" s="37" t="str">
        <f t="shared" si="459"/>
        <v>Excellent</v>
      </c>
      <c r="S5837" t="s">
        <v>600</v>
      </c>
    </row>
    <row r="5838" spans="1:19" x14ac:dyDescent="0.2">
      <c r="A5838" t="s">
        <v>6449</v>
      </c>
      <c r="B5838" t="s">
        <v>90</v>
      </c>
      <c r="C5838" t="s">
        <v>607</v>
      </c>
      <c r="D5838">
        <v>2777.72</v>
      </c>
      <c r="E5838" s="37" t="str">
        <f t="shared" si="455"/>
        <v xml:space="preserve"> </v>
      </c>
      <c r="F5838">
        <v>0.09</v>
      </c>
      <c r="G5838" s="37" t="str">
        <f t="shared" si="456"/>
        <v>Normal Discount</v>
      </c>
      <c r="H5838" s="37" t="str">
        <f t="shared" si="457"/>
        <v>Low</v>
      </c>
      <c r="I5838">
        <v>6</v>
      </c>
      <c r="J5838" t="str" cm="1">
        <f t="array" ref="J5838">_xlfn.IFS(I5838&lt;=3,"small",I5838&lt;=6,"Medium",I5838&lt;=9,"Large")</f>
        <v>Medium</v>
      </c>
      <c r="K5838" s="36">
        <v>45525</v>
      </c>
      <c r="L5838" s="36">
        <v>45527</v>
      </c>
      <c r="M5838" t="s">
        <v>598</v>
      </c>
      <c r="N5838" t="s">
        <v>604</v>
      </c>
      <c r="O5838" s="37" t="str">
        <f t="shared" si="458"/>
        <v>Digital Payment</v>
      </c>
      <c r="P5838">
        <v>683.95</v>
      </c>
      <c r="Q5838" s="37" t="str">
        <f>IF(P5838&gt;500,"High","low")</f>
        <v>High</v>
      </c>
      <c r="R5838" s="37" t="str">
        <f t="shared" si="459"/>
        <v>Good</v>
      </c>
      <c r="S5838" t="s">
        <v>620</v>
      </c>
    </row>
    <row r="5839" spans="1:19" x14ac:dyDescent="0.2">
      <c r="A5839" t="s">
        <v>6450</v>
      </c>
      <c r="B5839" t="s">
        <v>83</v>
      </c>
      <c r="C5839" t="s">
        <v>607</v>
      </c>
      <c r="D5839">
        <v>2852.38</v>
      </c>
      <c r="E5839" s="37" t="str">
        <f t="shared" si="455"/>
        <v xml:space="preserve"> </v>
      </c>
      <c r="F5839">
        <v>0.32</v>
      </c>
      <c r="G5839" s="37" t="str">
        <f t="shared" si="456"/>
        <v>Heavy Discount</v>
      </c>
      <c r="H5839" s="37" t="str">
        <f t="shared" si="457"/>
        <v>Medium</v>
      </c>
      <c r="I5839">
        <v>8</v>
      </c>
      <c r="J5839" t="str" cm="1">
        <f t="array" ref="J5839">_xlfn.IFS(I5839&lt;=3,"small",I5839&lt;=6,"Medium",I5839&lt;=9,"Large")</f>
        <v>Large</v>
      </c>
      <c r="K5839" s="36">
        <v>45487</v>
      </c>
      <c r="L5839" s="36">
        <v>45494</v>
      </c>
      <c r="M5839" t="s">
        <v>612</v>
      </c>
      <c r="N5839" t="s">
        <v>608</v>
      </c>
      <c r="O5839" s="37" t="str">
        <f t="shared" si="458"/>
        <v>Cash Payment</v>
      </c>
      <c r="P5839">
        <v>274.01</v>
      </c>
      <c r="Q5839" s="37" t="str">
        <f>IF(P5839&gt;500,"High","low")</f>
        <v>low</v>
      </c>
      <c r="R5839" s="37" t="str">
        <f t="shared" si="459"/>
        <v>AVERAGE</v>
      </c>
      <c r="S5839" t="s">
        <v>609</v>
      </c>
    </row>
    <row r="5840" spans="1:19" x14ac:dyDescent="0.2">
      <c r="A5840" t="s">
        <v>6451</v>
      </c>
      <c r="B5840" t="s">
        <v>83</v>
      </c>
      <c r="C5840" t="s">
        <v>614</v>
      </c>
      <c r="D5840">
        <v>133.63</v>
      </c>
      <c r="E5840" s="37" t="str">
        <f t="shared" si="455"/>
        <v xml:space="preserve"> </v>
      </c>
      <c r="F5840">
        <v>0.1</v>
      </c>
      <c r="G5840" s="37" t="str">
        <f t="shared" si="456"/>
        <v>Normal Discount</v>
      </c>
      <c r="H5840" s="37" t="str">
        <f t="shared" si="457"/>
        <v>Low</v>
      </c>
      <c r="I5840">
        <v>1</v>
      </c>
      <c r="J5840" t="str" cm="1">
        <f t="array" ref="J5840">_xlfn.IFS(I5840&lt;=3,"small",I5840&lt;=6,"Medium",I5840&lt;=9,"Large")</f>
        <v>small</v>
      </c>
      <c r="K5840" s="36">
        <v>45327</v>
      </c>
      <c r="L5840" s="36">
        <v>45329</v>
      </c>
      <c r="M5840" t="s">
        <v>612</v>
      </c>
      <c r="N5840" t="s">
        <v>599</v>
      </c>
      <c r="O5840" s="37" t="str">
        <f t="shared" si="458"/>
        <v>Digital Payment</v>
      </c>
      <c r="P5840">
        <v>9.6300000000000008</v>
      </c>
      <c r="Q5840" s="37" t="str">
        <f>IF(P5840&gt;500,"High","low")</f>
        <v>low</v>
      </c>
      <c r="R5840" s="37" t="str">
        <f t="shared" si="459"/>
        <v>AVERAGE</v>
      </c>
      <c r="S5840" t="s">
        <v>615</v>
      </c>
    </row>
    <row r="5841" spans="1:19" x14ac:dyDescent="0.2">
      <c r="A5841" t="s">
        <v>6452</v>
      </c>
      <c r="B5841" t="s">
        <v>83</v>
      </c>
      <c r="C5841" t="s">
        <v>602</v>
      </c>
      <c r="D5841">
        <v>4906.87</v>
      </c>
      <c r="E5841" s="37" t="str">
        <f t="shared" si="455"/>
        <v>Excellent Order</v>
      </c>
      <c r="F5841">
        <v>0.49</v>
      </c>
      <c r="G5841" s="37" t="str">
        <f t="shared" si="456"/>
        <v>Heavy Discount</v>
      </c>
      <c r="H5841" s="37" t="str">
        <f t="shared" si="457"/>
        <v>High</v>
      </c>
      <c r="I5841">
        <v>6</v>
      </c>
      <c r="J5841" t="str" cm="1">
        <f t="array" ref="J5841">_xlfn.IFS(I5841&lt;=3,"small",I5841&lt;=6,"Medium",I5841&lt;=9,"Large")</f>
        <v>Medium</v>
      </c>
      <c r="K5841" s="36">
        <v>45465</v>
      </c>
      <c r="L5841" s="36">
        <v>45471</v>
      </c>
      <c r="M5841" t="s">
        <v>603</v>
      </c>
      <c r="N5841" t="s">
        <v>599</v>
      </c>
      <c r="O5841" s="37" t="str">
        <f t="shared" si="458"/>
        <v>Digital Payment</v>
      </c>
      <c r="P5841">
        <v>983.08</v>
      </c>
      <c r="Q5841" s="37" t="str">
        <f>IF(P5841&gt;500,"High","low")</f>
        <v>High</v>
      </c>
      <c r="R5841" s="37" t="str">
        <f t="shared" si="459"/>
        <v>Good</v>
      </c>
      <c r="S5841" t="s">
        <v>620</v>
      </c>
    </row>
    <row r="5842" spans="1:19" x14ac:dyDescent="0.2">
      <c r="A5842" t="s">
        <v>6453</v>
      </c>
      <c r="B5842" t="s">
        <v>83</v>
      </c>
      <c r="C5842" t="s">
        <v>597</v>
      </c>
      <c r="D5842">
        <v>4050.85</v>
      </c>
      <c r="E5842" s="37" t="str">
        <f t="shared" si="455"/>
        <v>Excellent Order</v>
      </c>
      <c r="F5842">
        <v>0.43</v>
      </c>
      <c r="G5842" s="37" t="str">
        <f t="shared" si="456"/>
        <v>Heavy Discount</v>
      </c>
      <c r="H5842" s="37" t="str">
        <f t="shared" si="457"/>
        <v>High</v>
      </c>
      <c r="I5842">
        <v>4</v>
      </c>
      <c r="J5842" t="str" cm="1">
        <f t="array" ref="J5842">_xlfn.IFS(I5842&lt;=3,"small",I5842&lt;=6,"Medium",I5842&lt;=9,"Large")</f>
        <v>Medium</v>
      </c>
      <c r="K5842" s="36">
        <v>45628</v>
      </c>
      <c r="L5842" s="36">
        <v>45635</v>
      </c>
      <c r="M5842" t="s">
        <v>598</v>
      </c>
      <c r="N5842" t="s">
        <v>604</v>
      </c>
      <c r="O5842" s="37" t="str">
        <f t="shared" si="458"/>
        <v>Digital Payment</v>
      </c>
      <c r="P5842">
        <v>987.02</v>
      </c>
      <c r="Q5842" s="37" t="str">
        <f>IF(P5842&gt;500,"High","low")</f>
        <v>High</v>
      </c>
      <c r="R5842" s="37" t="str">
        <f t="shared" si="459"/>
        <v>Good</v>
      </c>
      <c r="S5842" t="s">
        <v>615</v>
      </c>
    </row>
    <row r="5843" spans="1:19" x14ac:dyDescent="0.2">
      <c r="A5843" t="s">
        <v>6454</v>
      </c>
      <c r="B5843" t="s">
        <v>75</v>
      </c>
      <c r="C5843" t="s">
        <v>597</v>
      </c>
      <c r="D5843">
        <v>279.97000000000003</v>
      </c>
      <c r="E5843" s="37" t="str">
        <f t="shared" si="455"/>
        <v xml:space="preserve"> </v>
      </c>
      <c r="F5843">
        <v>7.0000000000000007E-2</v>
      </c>
      <c r="G5843" s="37" t="str">
        <f t="shared" si="456"/>
        <v>Normal Discount</v>
      </c>
      <c r="H5843" s="37" t="str">
        <f t="shared" si="457"/>
        <v>Low</v>
      </c>
      <c r="I5843">
        <v>9</v>
      </c>
      <c r="J5843" t="str" cm="1">
        <f t="array" ref="J5843">_xlfn.IFS(I5843&lt;=3,"small",I5843&lt;=6,"Medium",I5843&lt;=9,"Large")</f>
        <v>Large</v>
      </c>
      <c r="K5843" s="36">
        <v>45193</v>
      </c>
      <c r="L5843" s="36">
        <v>45199</v>
      </c>
      <c r="M5843" t="s">
        <v>612</v>
      </c>
      <c r="N5843" t="s">
        <v>608</v>
      </c>
      <c r="O5843" s="37" t="str">
        <f t="shared" si="458"/>
        <v>Cash Payment</v>
      </c>
      <c r="P5843">
        <v>79.63</v>
      </c>
      <c r="Q5843" s="37" t="str">
        <f>IF(P5843&gt;500,"High","low")</f>
        <v>low</v>
      </c>
      <c r="R5843" s="37" t="str">
        <f t="shared" si="459"/>
        <v>AVERAGE</v>
      </c>
      <c r="S5843" t="s">
        <v>609</v>
      </c>
    </row>
    <row r="5844" spans="1:19" x14ac:dyDescent="0.2">
      <c r="A5844" t="s">
        <v>6455</v>
      </c>
      <c r="B5844" t="s">
        <v>75</v>
      </c>
      <c r="C5844" t="s">
        <v>614</v>
      </c>
      <c r="D5844">
        <v>964.02</v>
      </c>
      <c r="E5844" s="37" t="str">
        <f t="shared" si="455"/>
        <v xml:space="preserve"> </v>
      </c>
      <c r="F5844">
        <v>0.43</v>
      </c>
      <c r="G5844" s="37" t="str">
        <f t="shared" si="456"/>
        <v>Heavy Discount</v>
      </c>
      <c r="H5844" s="37" t="str">
        <f t="shared" si="457"/>
        <v>High</v>
      </c>
      <c r="I5844">
        <v>8</v>
      </c>
      <c r="J5844" t="str" cm="1">
        <f t="array" ref="J5844">_xlfn.IFS(I5844&lt;=3,"small",I5844&lt;=6,"Medium",I5844&lt;=9,"Large")</f>
        <v>Large</v>
      </c>
      <c r="K5844" s="36">
        <v>45562</v>
      </c>
      <c r="L5844" s="36">
        <v>45563</v>
      </c>
      <c r="M5844" t="s">
        <v>598</v>
      </c>
      <c r="N5844" t="s">
        <v>599</v>
      </c>
      <c r="O5844" s="37" t="str">
        <f t="shared" si="458"/>
        <v>Digital Payment</v>
      </c>
      <c r="P5844">
        <v>212.68</v>
      </c>
      <c r="Q5844" s="37" t="str">
        <f>IF(P5844&gt;500,"High","low")</f>
        <v>low</v>
      </c>
      <c r="R5844" s="37" t="str">
        <f t="shared" si="459"/>
        <v>AVERAGE</v>
      </c>
      <c r="S5844" t="s">
        <v>609</v>
      </c>
    </row>
    <row r="5845" spans="1:19" x14ac:dyDescent="0.2">
      <c r="A5845" t="s">
        <v>6456</v>
      </c>
      <c r="B5845" t="s">
        <v>67</v>
      </c>
      <c r="C5845" t="s">
        <v>614</v>
      </c>
      <c r="D5845">
        <v>4123.05</v>
      </c>
      <c r="E5845" s="37" t="str">
        <f t="shared" si="455"/>
        <v>Excellent Order</v>
      </c>
      <c r="F5845">
        <v>0.17</v>
      </c>
      <c r="G5845" s="37" t="str">
        <f t="shared" si="456"/>
        <v>Normal Discount</v>
      </c>
      <c r="H5845" s="37" t="str">
        <f t="shared" si="457"/>
        <v>Low</v>
      </c>
      <c r="I5845">
        <v>4</v>
      </c>
      <c r="J5845" t="str" cm="1">
        <f t="array" ref="J5845">_xlfn.IFS(I5845&lt;=3,"small",I5845&lt;=6,"Medium",I5845&lt;=9,"Large")</f>
        <v>Medium</v>
      </c>
      <c r="K5845" s="36">
        <v>45419</v>
      </c>
      <c r="L5845" s="36">
        <v>45420</v>
      </c>
      <c r="M5845" t="s">
        <v>612</v>
      </c>
      <c r="N5845" t="s">
        <v>608</v>
      </c>
      <c r="O5845" s="37" t="str">
        <f t="shared" si="458"/>
        <v>Cash Payment</v>
      </c>
      <c r="P5845">
        <v>910.32</v>
      </c>
      <c r="Q5845" s="37" t="str">
        <f>IF(P5845&gt;500,"High","low")</f>
        <v>High</v>
      </c>
      <c r="R5845" s="37" t="str">
        <f t="shared" si="459"/>
        <v>Good</v>
      </c>
      <c r="S5845" t="s">
        <v>628</v>
      </c>
    </row>
    <row r="5846" spans="1:19" x14ac:dyDescent="0.2">
      <c r="A5846" t="s">
        <v>6457</v>
      </c>
      <c r="B5846" t="s">
        <v>90</v>
      </c>
      <c r="C5846" t="s">
        <v>602</v>
      </c>
      <c r="D5846">
        <v>525.64</v>
      </c>
      <c r="E5846" s="37" t="str">
        <f t="shared" si="455"/>
        <v xml:space="preserve"> </v>
      </c>
      <c r="F5846">
        <v>0.24</v>
      </c>
      <c r="G5846" s="37" t="str">
        <f t="shared" si="456"/>
        <v>Normal Discount</v>
      </c>
      <c r="H5846" s="37" t="str">
        <f t="shared" si="457"/>
        <v>Medium</v>
      </c>
      <c r="I5846">
        <v>2</v>
      </c>
      <c r="J5846" t="str" cm="1">
        <f t="array" ref="J5846">_xlfn.IFS(I5846&lt;=3,"small",I5846&lt;=6,"Medium",I5846&lt;=9,"Large")</f>
        <v>small</v>
      </c>
      <c r="K5846" s="36">
        <v>45098</v>
      </c>
      <c r="L5846" s="36">
        <v>45105</v>
      </c>
      <c r="M5846" t="s">
        <v>598</v>
      </c>
      <c r="N5846" t="s">
        <v>599</v>
      </c>
      <c r="O5846" s="37" t="str">
        <f t="shared" si="458"/>
        <v>Digital Payment</v>
      </c>
      <c r="P5846">
        <v>83.27</v>
      </c>
      <c r="Q5846" s="37" t="str">
        <f>IF(P5846&gt;500,"High","low")</f>
        <v>low</v>
      </c>
      <c r="R5846" s="37" t="str">
        <f t="shared" si="459"/>
        <v>AVERAGE</v>
      </c>
      <c r="S5846" t="s">
        <v>609</v>
      </c>
    </row>
    <row r="5847" spans="1:19" x14ac:dyDescent="0.2">
      <c r="A5847" t="s">
        <v>6458</v>
      </c>
      <c r="B5847" t="s">
        <v>90</v>
      </c>
      <c r="C5847" t="s">
        <v>607</v>
      </c>
      <c r="D5847">
        <v>4714.75</v>
      </c>
      <c r="E5847" s="37" t="str">
        <f t="shared" si="455"/>
        <v xml:space="preserve"> </v>
      </c>
      <c r="F5847">
        <v>7.0000000000000007E-2</v>
      </c>
      <c r="G5847" s="37" t="str">
        <f t="shared" si="456"/>
        <v>Normal Discount</v>
      </c>
      <c r="H5847" s="37" t="str">
        <f t="shared" si="457"/>
        <v>Low</v>
      </c>
      <c r="I5847">
        <v>6</v>
      </c>
      <c r="J5847" t="str" cm="1">
        <f t="array" ref="J5847">_xlfn.IFS(I5847&lt;=3,"small",I5847&lt;=6,"Medium",I5847&lt;=9,"Large")</f>
        <v>Medium</v>
      </c>
      <c r="K5847" s="36">
        <v>45657</v>
      </c>
      <c r="L5847" s="36">
        <v>45660</v>
      </c>
      <c r="M5847" t="s">
        <v>603</v>
      </c>
      <c r="N5847" t="s">
        <v>608</v>
      </c>
      <c r="O5847" s="37" t="str">
        <f t="shared" si="458"/>
        <v>Cash Payment</v>
      </c>
      <c r="P5847">
        <v>609.22</v>
      </c>
      <c r="Q5847" s="37" t="str">
        <f>IF(P5847&gt;500,"High","low")</f>
        <v>High</v>
      </c>
      <c r="R5847" s="37" t="str">
        <f t="shared" si="459"/>
        <v>Good</v>
      </c>
      <c r="S5847" t="s">
        <v>620</v>
      </c>
    </row>
    <row r="5848" spans="1:19" x14ac:dyDescent="0.2">
      <c r="A5848" t="s">
        <v>6459</v>
      </c>
      <c r="B5848" t="s">
        <v>83</v>
      </c>
      <c r="C5848" t="s">
        <v>614</v>
      </c>
      <c r="D5848">
        <v>4999.47</v>
      </c>
      <c r="E5848" s="37" t="str">
        <f t="shared" si="455"/>
        <v xml:space="preserve"> </v>
      </c>
      <c r="F5848">
        <v>0.06</v>
      </c>
      <c r="G5848" s="37" t="str">
        <f t="shared" si="456"/>
        <v>Normal Discount</v>
      </c>
      <c r="H5848" s="37" t="str">
        <f t="shared" si="457"/>
        <v>Low</v>
      </c>
      <c r="I5848">
        <v>3</v>
      </c>
      <c r="J5848" t="str" cm="1">
        <f t="array" ref="J5848">_xlfn.IFS(I5848&lt;=3,"small",I5848&lt;=6,"Medium",I5848&lt;=9,"Large")</f>
        <v>small</v>
      </c>
      <c r="K5848" s="36">
        <v>45303</v>
      </c>
      <c r="L5848" s="36">
        <v>45310</v>
      </c>
      <c r="M5848" t="s">
        <v>603</v>
      </c>
      <c r="N5848" t="s">
        <v>608</v>
      </c>
      <c r="O5848" s="37" t="str">
        <f t="shared" si="458"/>
        <v>Cash Payment</v>
      </c>
      <c r="P5848">
        <v>777.94</v>
      </c>
      <c r="Q5848" s="37" t="str">
        <f>IF(P5848&gt;500,"High","low")</f>
        <v>High</v>
      </c>
      <c r="R5848" s="37" t="str">
        <f t="shared" si="459"/>
        <v>Good</v>
      </c>
      <c r="S5848" t="s">
        <v>620</v>
      </c>
    </row>
    <row r="5849" spans="1:19" x14ac:dyDescent="0.2">
      <c r="A5849" t="s">
        <v>6460</v>
      </c>
      <c r="B5849" t="s">
        <v>75</v>
      </c>
      <c r="C5849" t="s">
        <v>617</v>
      </c>
      <c r="D5849">
        <v>4443.5200000000004</v>
      </c>
      <c r="E5849" s="37" t="str">
        <f t="shared" si="455"/>
        <v>Excellent Order</v>
      </c>
      <c r="F5849">
        <v>0.43</v>
      </c>
      <c r="G5849" s="37" t="str">
        <f t="shared" si="456"/>
        <v>Heavy Discount</v>
      </c>
      <c r="H5849" s="37" t="str">
        <f t="shared" si="457"/>
        <v>High</v>
      </c>
      <c r="I5849">
        <v>1</v>
      </c>
      <c r="J5849" t="str" cm="1">
        <f t="array" ref="J5849">_xlfn.IFS(I5849&lt;=3,"small",I5849&lt;=6,"Medium",I5849&lt;=9,"Large")</f>
        <v>small</v>
      </c>
      <c r="K5849" s="36">
        <v>45582</v>
      </c>
      <c r="L5849" s="36">
        <v>45585</v>
      </c>
      <c r="M5849" t="s">
        <v>603</v>
      </c>
      <c r="N5849" t="s">
        <v>608</v>
      </c>
      <c r="O5849" s="37" t="str">
        <f t="shared" si="458"/>
        <v>Cash Payment</v>
      </c>
      <c r="P5849">
        <v>996.17</v>
      </c>
      <c r="Q5849" s="37" t="str">
        <f>IF(P5849&gt;500,"High","low")</f>
        <v>High</v>
      </c>
      <c r="R5849" s="37" t="str">
        <f t="shared" si="459"/>
        <v>Good</v>
      </c>
      <c r="S5849" t="s">
        <v>628</v>
      </c>
    </row>
    <row r="5850" spans="1:19" x14ac:dyDescent="0.2">
      <c r="A5850" t="s">
        <v>6461</v>
      </c>
      <c r="B5850" t="s">
        <v>83</v>
      </c>
      <c r="C5850" t="s">
        <v>607</v>
      </c>
      <c r="D5850">
        <v>3720.63</v>
      </c>
      <c r="E5850" s="37" t="str">
        <f t="shared" si="455"/>
        <v xml:space="preserve"> </v>
      </c>
      <c r="F5850">
        <v>0.31</v>
      </c>
      <c r="G5850" s="37" t="str">
        <f t="shared" si="456"/>
        <v>Heavy Discount</v>
      </c>
      <c r="H5850" s="37" t="str">
        <f t="shared" si="457"/>
        <v>Medium</v>
      </c>
      <c r="I5850">
        <v>7</v>
      </c>
      <c r="J5850" t="str" cm="1">
        <f t="array" ref="J5850">_xlfn.IFS(I5850&lt;=3,"small",I5850&lt;=6,"Medium",I5850&lt;=9,"Large")</f>
        <v>Large</v>
      </c>
      <c r="K5850" s="36">
        <v>45242</v>
      </c>
      <c r="L5850" s="36">
        <v>45248</v>
      </c>
      <c r="M5850" t="s">
        <v>598</v>
      </c>
      <c r="N5850" t="s">
        <v>608</v>
      </c>
      <c r="O5850" s="37" t="str">
        <f t="shared" si="458"/>
        <v>Cash Payment</v>
      </c>
      <c r="P5850">
        <v>1100.97</v>
      </c>
      <c r="Q5850" s="37" t="str">
        <f>IF(P5850&gt;500,"High","low")</f>
        <v>High</v>
      </c>
      <c r="R5850" s="37" t="str">
        <f t="shared" si="459"/>
        <v>Excellent</v>
      </c>
      <c r="S5850" t="s">
        <v>620</v>
      </c>
    </row>
    <row r="5851" spans="1:19" x14ac:dyDescent="0.2">
      <c r="A5851" t="s">
        <v>6462</v>
      </c>
      <c r="B5851" t="s">
        <v>67</v>
      </c>
      <c r="C5851" t="s">
        <v>614</v>
      </c>
      <c r="D5851">
        <v>2487.6799999999998</v>
      </c>
      <c r="E5851" s="37" t="str">
        <f t="shared" si="455"/>
        <v xml:space="preserve"> </v>
      </c>
      <c r="F5851">
        <v>0.23</v>
      </c>
      <c r="G5851" s="37" t="str">
        <f t="shared" si="456"/>
        <v>Normal Discount</v>
      </c>
      <c r="H5851" s="37" t="str">
        <f t="shared" si="457"/>
        <v>Medium</v>
      </c>
      <c r="I5851">
        <v>4</v>
      </c>
      <c r="J5851" t="str" cm="1">
        <f t="array" ref="J5851">_xlfn.IFS(I5851&lt;=3,"small",I5851&lt;=6,"Medium",I5851&lt;=9,"Large")</f>
        <v>Medium</v>
      </c>
      <c r="K5851" s="36">
        <v>45397</v>
      </c>
      <c r="L5851" s="36">
        <v>45403</v>
      </c>
      <c r="M5851" t="s">
        <v>598</v>
      </c>
      <c r="N5851" t="s">
        <v>599</v>
      </c>
      <c r="O5851" s="37" t="str">
        <f t="shared" si="458"/>
        <v>Digital Payment</v>
      </c>
      <c r="P5851">
        <v>550.69000000000005</v>
      </c>
      <c r="Q5851" s="37" t="str">
        <f>IF(P5851&gt;500,"High","low")</f>
        <v>High</v>
      </c>
      <c r="R5851" s="37" t="str">
        <f t="shared" si="459"/>
        <v>Good</v>
      </c>
      <c r="S5851" t="s">
        <v>600</v>
      </c>
    </row>
    <row r="5852" spans="1:19" x14ac:dyDescent="0.2">
      <c r="A5852" t="s">
        <v>6463</v>
      </c>
      <c r="B5852" t="s">
        <v>90</v>
      </c>
      <c r="C5852" t="s">
        <v>617</v>
      </c>
      <c r="D5852">
        <v>503.9</v>
      </c>
      <c r="E5852" s="37" t="str">
        <f t="shared" si="455"/>
        <v xml:space="preserve"> </v>
      </c>
      <c r="F5852">
        <v>0.02</v>
      </c>
      <c r="G5852" s="37" t="str">
        <f t="shared" si="456"/>
        <v>Normal Discount</v>
      </c>
      <c r="H5852" s="37" t="str">
        <f t="shared" si="457"/>
        <v>Low</v>
      </c>
      <c r="I5852">
        <v>9</v>
      </c>
      <c r="J5852" t="str" cm="1">
        <f t="array" ref="J5852">_xlfn.IFS(I5852&lt;=3,"small",I5852&lt;=6,"Medium",I5852&lt;=9,"Large")</f>
        <v>Large</v>
      </c>
      <c r="K5852" s="36">
        <v>45535</v>
      </c>
      <c r="L5852" s="36">
        <v>45542</v>
      </c>
      <c r="M5852" t="s">
        <v>612</v>
      </c>
      <c r="N5852" t="s">
        <v>608</v>
      </c>
      <c r="O5852" s="37" t="str">
        <f t="shared" si="458"/>
        <v>Cash Payment</v>
      </c>
      <c r="P5852">
        <v>98.19</v>
      </c>
      <c r="Q5852" s="37" t="str">
        <f>IF(P5852&gt;500,"High","low")</f>
        <v>low</v>
      </c>
      <c r="R5852" s="37" t="str">
        <f t="shared" si="459"/>
        <v>AVERAGE</v>
      </c>
      <c r="S5852" t="s">
        <v>605</v>
      </c>
    </row>
    <row r="5853" spans="1:19" x14ac:dyDescent="0.2">
      <c r="A5853" t="s">
        <v>6464</v>
      </c>
      <c r="B5853" t="s">
        <v>90</v>
      </c>
      <c r="C5853" t="s">
        <v>602</v>
      </c>
      <c r="D5853">
        <v>3679.19</v>
      </c>
      <c r="E5853" s="37" t="str">
        <f t="shared" si="455"/>
        <v xml:space="preserve"> </v>
      </c>
      <c r="F5853">
        <v>0.46</v>
      </c>
      <c r="G5853" s="37" t="str">
        <f t="shared" si="456"/>
        <v>Heavy Discount</v>
      </c>
      <c r="H5853" s="37" t="str">
        <f t="shared" si="457"/>
        <v>High</v>
      </c>
      <c r="I5853">
        <v>3</v>
      </c>
      <c r="J5853" t="str" cm="1">
        <f t="array" ref="J5853">_xlfn.IFS(I5853&lt;=3,"small",I5853&lt;=6,"Medium",I5853&lt;=9,"Large")</f>
        <v>small</v>
      </c>
      <c r="K5853" s="36">
        <v>44948</v>
      </c>
      <c r="L5853" s="36">
        <v>44951</v>
      </c>
      <c r="M5853" t="s">
        <v>603</v>
      </c>
      <c r="N5853" t="s">
        <v>608</v>
      </c>
      <c r="O5853" s="37" t="str">
        <f t="shared" si="458"/>
        <v>Cash Payment</v>
      </c>
      <c r="P5853">
        <v>562.65</v>
      </c>
      <c r="Q5853" s="37" t="str">
        <f>IF(P5853&gt;500,"High","low")</f>
        <v>High</v>
      </c>
      <c r="R5853" s="37" t="str">
        <f t="shared" si="459"/>
        <v>Good</v>
      </c>
      <c r="S5853" t="s">
        <v>609</v>
      </c>
    </row>
    <row r="5854" spans="1:19" x14ac:dyDescent="0.2">
      <c r="A5854" t="s">
        <v>6465</v>
      </c>
      <c r="B5854" t="s">
        <v>83</v>
      </c>
      <c r="C5854" t="s">
        <v>617</v>
      </c>
      <c r="D5854">
        <v>2044.64</v>
      </c>
      <c r="E5854" s="37" t="str">
        <f t="shared" si="455"/>
        <v xml:space="preserve"> </v>
      </c>
      <c r="F5854">
        <v>0.19</v>
      </c>
      <c r="G5854" s="37" t="str">
        <f t="shared" si="456"/>
        <v>Normal Discount</v>
      </c>
      <c r="H5854" s="37" t="str">
        <f t="shared" si="457"/>
        <v>Low</v>
      </c>
      <c r="I5854">
        <v>1</v>
      </c>
      <c r="J5854" t="str" cm="1">
        <f t="array" ref="J5854">_xlfn.IFS(I5854&lt;=3,"small",I5854&lt;=6,"Medium",I5854&lt;=9,"Large")</f>
        <v>small</v>
      </c>
      <c r="K5854" s="36">
        <v>45132</v>
      </c>
      <c r="L5854" s="36">
        <v>45138</v>
      </c>
      <c r="M5854" t="s">
        <v>598</v>
      </c>
      <c r="N5854" t="s">
        <v>604</v>
      </c>
      <c r="O5854" s="37" t="str">
        <f t="shared" si="458"/>
        <v>Digital Payment</v>
      </c>
      <c r="P5854">
        <v>300.51</v>
      </c>
      <c r="Q5854" s="37" t="str">
        <f>IF(P5854&gt;500,"High","low")</f>
        <v>low</v>
      </c>
      <c r="R5854" s="37" t="str">
        <f t="shared" si="459"/>
        <v>AVERAGE</v>
      </c>
      <c r="S5854" t="s">
        <v>609</v>
      </c>
    </row>
    <row r="5855" spans="1:19" x14ac:dyDescent="0.2">
      <c r="A5855" t="s">
        <v>6466</v>
      </c>
      <c r="B5855" t="s">
        <v>67</v>
      </c>
      <c r="C5855" t="s">
        <v>614</v>
      </c>
      <c r="D5855">
        <v>2894.12</v>
      </c>
      <c r="E5855" s="37" t="str">
        <f t="shared" si="455"/>
        <v xml:space="preserve"> </v>
      </c>
      <c r="F5855">
        <v>0.21</v>
      </c>
      <c r="G5855" s="37" t="str">
        <f t="shared" si="456"/>
        <v>Normal Discount</v>
      </c>
      <c r="H5855" s="37" t="str">
        <f t="shared" si="457"/>
        <v>Medium</v>
      </c>
      <c r="I5855">
        <v>2</v>
      </c>
      <c r="J5855" t="str" cm="1">
        <f t="array" ref="J5855">_xlfn.IFS(I5855&lt;=3,"small",I5855&lt;=6,"Medium",I5855&lt;=9,"Large")</f>
        <v>small</v>
      </c>
      <c r="K5855" s="36">
        <v>45003</v>
      </c>
      <c r="L5855" s="36">
        <v>45005</v>
      </c>
      <c r="M5855" t="s">
        <v>598</v>
      </c>
      <c r="N5855" t="s">
        <v>599</v>
      </c>
      <c r="O5855" s="37" t="str">
        <f t="shared" si="458"/>
        <v>Digital Payment</v>
      </c>
      <c r="P5855">
        <v>457.42</v>
      </c>
      <c r="Q5855" s="37" t="str">
        <f>IF(P5855&gt;500,"High","low")</f>
        <v>low</v>
      </c>
      <c r="R5855" s="37" t="str">
        <f t="shared" si="459"/>
        <v>AVERAGE</v>
      </c>
      <c r="S5855" t="s">
        <v>628</v>
      </c>
    </row>
    <row r="5856" spans="1:19" x14ac:dyDescent="0.2">
      <c r="A5856" t="s">
        <v>6467</v>
      </c>
      <c r="B5856" t="s">
        <v>90</v>
      </c>
      <c r="C5856" t="s">
        <v>597</v>
      </c>
      <c r="D5856">
        <v>1537.61</v>
      </c>
      <c r="E5856" s="37" t="str">
        <f t="shared" si="455"/>
        <v xml:space="preserve"> </v>
      </c>
      <c r="F5856">
        <v>0.14000000000000001</v>
      </c>
      <c r="G5856" s="37" t="str">
        <f t="shared" si="456"/>
        <v>Normal Discount</v>
      </c>
      <c r="H5856" s="37" t="str">
        <f t="shared" si="457"/>
        <v>Low</v>
      </c>
      <c r="I5856">
        <v>4</v>
      </c>
      <c r="J5856" t="str" cm="1">
        <f t="array" ref="J5856">_xlfn.IFS(I5856&lt;=3,"small",I5856&lt;=6,"Medium",I5856&lt;=9,"Large")</f>
        <v>Medium</v>
      </c>
      <c r="K5856" s="36">
        <v>45140</v>
      </c>
      <c r="L5856" s="36">
        <v>45141</v>
      </c>
      <c r="M5856" t="s">
        <v>603</v>
      </c>
      <c r="N5856" t="s">
        <v>604</v>
      </c>
      <c r="O5856" s="37" t="str">
        <f t="shared" si="458"/>
        <v>Digital Payment</v>
      </c>
      <c r="P5856">
        <v>266.5</v>
      </c>
      <c r="Q5856" s="37" t="str">
        <f>IF(P5856&gt;500,"High","low")</f>
        <v>low</v>
      </c>
      <c r="R5856" s="37" t="str">
        <f t="shared" si="459"/>
        <v>AVERAGE</v>
      </c>
      <c r="S5856" t="s">
        <v>609</v>
      </c>
    </row>
    <row r="5857" spans="1:19" x14ac:dyDescent="0.2">
      <c r="A5857" t="s">
        <v>6468</v>
      </c>
      <c r="B5857" t="s">
        <v>67</v>
      </c>
      <c r="C5857" t="s">
        <v>614</v>
      </c>
      <c r="D5857">
        <v>1286.56</v>
      </c>
      <c r="E5857" s="37" t="str">
        <f t="shared" si="455"/>
        <v xml:space="preserve"> </v>
      </c>
      <c r="F5857">
        <v>0.45</v>
      </c>
      <c r="G5857" s="37" t="str">
        <f t="shared" si="456"/>
        <v>Heavy Discount</v>
      </c>
      <c r="H5857" s="37" t="str">
        <f t="shared" si="457"/>
        <v>High</v>
      </c>
      <c r="I5857">
        <v>7</v>
      </c>
      <c r="J5857" t="str" cm="1">
        <f t="array" ref="J5857">_xlfn.IFS(I5857&lt;=3,"small",I5857&lt;=6,"Medium",I5857&lt;=9,"Large")</f>
        <v>Large</v>
      </c>
      <c r="K5857" s="36">
        <v>45381</v>
      </c>
      <c r="L5857" s="36">
        <v>45385</v>
      </c>
      <c r="M5857" t="s">
        <v>598</v>
      </c>
      <c r="N5857" t="s">
        <v>604</v>
      </c>
      <c r="O5857" s="37" t="str">
        <f t="shared" si="458"/>
        <v>Digital Payment</v>
      </c>
      <c r="P5857">
        <v>203.55</v>
      </c>
      <c r="Q5857" s="37" t="str">
        <f>IF(P5857&gt;500,"High","low")</f>
        <v>low</v>
      </c>
      <c r="R5857" s="37" t="str">
        <f t="shared" si="459"/>
        <v>AVERAGE</v>
      </c>
      <c r="S5857" t="s">
        <v>600</v>
      </c>
    </row>
    <row r="5858" spans="1:19" x14ac:dyDescent="0.2">
      <c r="A5858" t="s">
        <v>6469</v>
      </c>
      <c r="B5858" t="s">
        <v>67</v>
      </c>
      <c r="C5858" t="s">
        <v>597</v>
      </c>
      <c r="D5858">
        <v>1689.06</v>
      </c>
      <c r="E5858" s="37" t="str">
        <f t="shared" si="455"/>
        <v xml:space="preserve"> </v>
      </c>
      <c r="F5858">
        <v>0.17</v>
      </c>
      <c r="G5858" s="37" t="str">
        <f t="shared" si="456"/>
        <v>Normal Discount</v>
      </c>
      <c r="H5858" s="37" t="str">
        <f t="shared" si="457"/>
        <v>Low</v>
      </c>
      <c r="I5858">
        <v>8</v>
      </c>
      <c r="J5858" t="str" cm="1">
        <f t="array" ref="J5858">_xlfn.IFS(I5858&lt;=3,"small",I5858&lt;=6,"Medium",I5858&lt;=9,"Large")</f>
        <v>Large</v>
      </c>
      <c r="K5858" s="36">
        <v>45303</v>
      </c>
      <c r="L5858" s="36">
        <v>45305</v>
      </c>
      <c r="M5858" t="s">
        <v>612</v>
      </c>
      <c r="N5858" t="s">
        <v>608</v>
      </c>
      <c r="O5858" s="37" t="str">
        <f t="shared" si="458"/>
        <v>Cash Payment</v>
      </c>
      <c r="P5858">
        <v>453.74</v>
      </c>
      <c r="Q5858" s="37" t="str">
        <f>IF(P5858&gt;500,"High","low")</f>
        <v>low</v>
      </c>
      <c r="R5858" s="37" t="str">
        <f t="shared" si="459"/>
        <v>AVERAGE</v>
      </c>
      <c r="S5858" t="s">
        <v>609</v>
      </c>
    </row>
    <row r="5859" spans="1:19" x14ac:dyDescent="0.2">
      <c r="A5859" t="s">
        <v>6470</v>
      </c>
      <c r="B5859" t="s">
        <v>83</v>
      </c>
      <c r="C5859" t="s">
        <v>602</v>
      </c>
      <c r="D5859">
        <v>4087.76</v>
      </c>
      <c r="E5859" s="37" t="str">
        <f t="shared" si="455"/>
        <v xml:space="preserve"> </v>
      </c>
      <c r="F5859">
        <v>0.09</v>
      </c>
      <c r="G5859" s="37" t="str">
        <f t="shared" si="456"/>
        <v>Normal Discount</v>
      </c>
      <c r="H5859" s="37" t="str">
        <f t="shared" si="457"/>
        <v>Low</v>
      </c>
      <c r="I5859">
        <v>4</v>
      </c>
      <c r="J5859" t="str" cm="1">
        <f t="array" ref="J5859">_xlfn.IFS(I5859&lt;=3,"small",I5859&lt;=6,"Medium",I5859&lt;=9,"Large")</f>
        <v>Medium</v>
      </c>
      <c r="K5859" s="36">
        <v>45476</v>
      </c>
      <c r="L5859" s="36">
        <v>45480</v>
      </c>
      <c r="M5859" t="s">
        <v>603</v>
      </c>
      <c r="N5859" t="s">
        <v>604</v>
      </c>
      <c r="O5859" s="37" t="str">
        <f t="shared" si="458"/>
        <v>Digital Payment</v>
      </c>
      <c r="P5859">
        <v>222.19</v>
      </c>
      <c r="Q5859" s="37" t="str">
        <f>IF(P5859&gt;500,"High","low")</f>
        <v>low</v>
      </c>
      <c r="R5859" s="37" t="str">
        <f t="shared" si="459"/>
        <v>AVERAGE</v>
      </c>
      <c r="S5859" t="s">
        <v>620</v>
      </c>
    </row>
    <row r="5860" spans="1:19" x14ac:dyDescent="0.2">
      <c r="A5860" t="s">
        <v>6471</v>
      </c>
      <c r="B5860" t="s">
        <v>75</v>
      </c>
      <c r="C5860" t="s">
        <v>602</v>
      </c>
      <c r="D5860">
        <v>2189.81</v>
      </c>
      <c r="E5860" s="37" t="str">
        <f t="shared" si="455"/>
        <v xml:space="preserve"> </v>
      </c>
      <c r="F5860">
        <v>0.25</v>
      </c>
      <c r="G5860" s="37" t="str">
        <f t="shared" si="456"/>
        <v>Normal Discount</v>
      </c>
      <c r="H5860" s="37" t="str">
        <f t="shared" si="457"/>
        <v>Medium</v>
      </c>
      <c r="I5860">
        <v>3</v>
      </c>
      <c r="J5860" t="str" cm="1">
        <f t="array" ref="J5860">_xlfn.IFS(I5860&lt;=3,"small",I5860&lt;=6,"Medium",I5860&lt;=9,"Large")</f>
        <v>small</v>
      </c>
      <c r="K5860" s="36">
        <v>45503</v>
      </c>
      <c r="L5860" s="36">
        <v>45506</v>
      </c>
      <c r="M5860" t="s">
        <v>603</v>
      </c>
      <c r="N5860" t="s">
        <v>608</v>
      </c>
      <c r="O5860" s="37" t="str">
        <f t="shared" si="458"/>
        <v>Cash Payment</v>
      </c>
      <c r="P5860">
        <v>417.54</v>
      </c>
      <c r="Q5860" s="37" t="str">
        <f>IF(P5860&gt;500,"High","low")</f>
        <v>low</v>
      </c>
      <c r="R5860" s="37" t="str">
        <f t="shared" si="459"/>
        <v>AVERAGE</v>
      </c>
      <c r="S5860" t="s">
        <v>605</v>
      </c>
    </row>
    <row r="5861" spans="1:19" x14ac:dyDescent="0.2">
      <c r="A5861" t="s">
        <v>6472</v>
      </c>
      <c r="B5861" t="s">
        <v>83</v>
      </c>
      <c r="C5861" t="s">
        <v>607</v>
      </c>
      <c r="D5861">
        <v>1627.37</v>
      </c>
      <c r="E5861" s="37" t="str">
        <f t="shared" si="455"/>
        <v xml:space="preserve"> </v>
      </c>
      <c r="F5861">
        <v>0.39</v>
      </c>
      <c r="G5861" s="37" t="str">
        <f t="shared" si="456"/>
        <v>Heavy Discount</v>
      </c>
      <c r="H5861" s="37" t="str">
        <f t="shared" si="457"/>
        <v>Medium</v>
      </c>
      <c r="I5861">
        <v>9</v>
      </c>
      <c r="J5861" t="str" cm="1">
        <f t="array" ref="J5861">_xlfn.IFS(I5861&lt;=3,"small",I5861&lt;=6,"Medium",I5861&lt;=9,"Large")</f>
        <v>Large</v>
      </c>
      <c r="K5861" s="36">
        <v>45617</v>
      </c>
      <c r="L5861" s="36">
        <v>45620</v>
      </c>
      <c r="M5861" t="s">
        <v>603</v>
      </c>
      <c r="N5861" t="s">
        <v>604</v>
      </c>
      <c r="O5861" s="37" t="str">
        <f t="shared" si="458"/>
        <v>Digital Payment</v>
      </c>
      <c r="P5861">
        <v>424.81</v>
      </c>
      <c r="Q5861" s="37" t="str">
        <f>IF(P5861&gt;500,"High","low")</f>
        <v>low</v>
      </c>
      <c r="R5861" s="37" t="str">
        <f t="shared" si="459"/>
        <v>AVERAGE</v>
      </c>
      <c r="S5861" t="s">
        <v>609</v>
      </c>
    </row>
    <row r="5862" spans="1:19" x14ac:dyDescent="0.2">
      <c r="A5862" t="s">
        <v>6473</v>
      </c>
      <c r="B5862" t="s">
        <v>75</v>
      </c>
      <c r="C5862" t="s">
        <v>607</v>
      </c>
      <c r="D5862">
        <v>2221.5500000000002</v>
      </c>
      <c r="E5862" s="37" t="str">
        <f t="shared" si="455"/>
        <v xml:space="preserve"> </v>
      </c>
      <c r="F5862">
        <v>0.19</v>
      </c>
      <c r="G5862" s="37" t="str">
        <f t="shared" si="456"/>
        <v>Normal Discount</v>
      </c>
      <c r="H5862" s="37" t="str">
        <f t="shared" si="457"/>
        <v>Low</v>
      </c>
      <c r="I5862">
        <v>8</v>
      </c>
      <c r="J5862" t="str" cm="1">
        <f t="array" ref="J5862">_xlfn.IFS(I5862&lt;=3,"small",I5862&lt;=6,"Medium",I5862&lt;=9,"Large")</f>
        <v>Large</v>
      </c>
      <c r="K5862" s="36">
        <v>45407</v>
      </c>
      <c r="L5862" s="36">
        <v>45408</v>
      </c>
      <c r="M5862" t="s">
        <v>603</v>
      </c>
      <c r="N5862" t="s">
        <v>599</v>
      </c>
      <c r="O5862" s="37" t="str">
        <f t="shared" si="458"/>
        <v>Digital Payment</v>
      </c>
      <c r="P5862">
        <v>353.17</v>
      </c>
      <c r="Q5862" s="37" t="str">
        <f>IF(P5862&gt;500,"High","low")</f>
        <v>low</v>
      </c>
      <c r="R5862" s="37" t="str">
        <f t="shared" si="459"/>
        <v>AVERAGE</v>
      </c>
      <c r="S5862" t="s">
        <v>600</v>
      </c>
    </row>
    <row r="5863" spans="1:19" x14ac:dyDescent="0.2">
      <c r="A5863" t="s">
        <v>6474</v>
      </c>
      <c r="B5863" t="s">
        <v>67</v>
      </c>
      <c r="C5863" t="s">
        <v>597</v>
      </c>
      <c r="D5863">
        <v>258.20999999999998</v>
      </c>
      <c r="E5863" s="37" t="str">
        <f t="shared" si="455"/>
        <v xml:space="preserve"> </v>
      </c>
      <c r="F5863">
        <v>0.33</v>
      </c>
      <c r="G5863" s="37" t="str">
        <f t="shared" si="456"/>
        <v>Heavy Discount</v>
      </c>
      <c r="H5863" s="37" t="str">
        <f t="shared" si="457"/>
        <v>Medium</v>
      </c>
      <c r="I5863">
        <v>6</v>
      </c>
      <c r="J5863" t="str" cm="1">
        <f t="array" ref="J5863">_xlfn.IFS(I5863&lt;=3,"small",I5863&lt;=6,"Medium",I5863&lt;=9,"Large")</f>
        <v>Medium</v>
      </c>
      <c r="K5863" s="36">
        <v>45309</v>
      </c>
      <c r="L5863" s="36">
        <v>45314</v>
      </c>
      <c r="M5863" t="s">
        <v>598</v>
      </c>
      <c r="N5863" t="s">
        <v>599</v>
      </c>
      <c r="O5863" s="37" t="str">
        <f t="shared" si="458"/>
        <v>Digital Payment</v>
      </c>
      <c r="P5863">
        <v>69.12</v>
      </c>
      <c r="Q5863" s="37" t="str">
        <f>IF(P5863&gt;500,"High","low")</f>
        <v>low</v>
      </c>
      <c r="R5863" s="37" t="str">
        <f t="shared" si="459"/>
        <v>AVERAGE</v>
      </c>
      <c r="S5863" t="s">
        <v>605</v>
      </c>
    </row>
    <row r="5864" spans="1:19" x14ac:dyDescent="0.2">
      <c r="A5864" t="s">
        <v>6475</v>
      </c>
      <c r="B5864" t="s">
        <v>75</v>
      </c>
      <c r="C5864" t="s">
        <v>597</v>
      </c>
      <c r="D5864">
        <v>4463.96</v>
      </c>
      <c r="E5864" s="37" t="str">
        <f t="shared" si="455"/>
        <v>Excellent Order</v>
      </c>
      <c r="F5864">
        <v>0.15</v>
      </c>
      <c r="G5864" s="37" t="str">
        <f t="shared" si="456"/>
        <v>Normal Discount</v>
      </c>
      <c r="H5864" s="37" t="str">
        <f t="shared" si="457"/>
        <v>Low</v>
      </c>
      <c r="I5864">
        <v>9</v>
      </c>
      <c r="J5864" t="str" cm="1">
        <f t="array" ref="J5864">_xlfn.IFS(I5864&lt;=3,"small",I5864&lt;=6,"Medium",I5864&lt;=9,"Large")</f>
        <v>Large</v>
      </c>
      <c r="K5864" s="36">
        <v>45077</v>
      </c>
      <c r="L5864" s="36">
        <v>45082</v>
      </c>
      <c r="M5864" t="s">
        <v>603</v>
      </c>
      <c r="N5864" t="s">
        <v>604</v>
      </c>
      <c r="O5864" s="37" t="str">
        <f t="shared" si="458"/>
        <v>Digital Payment</v>
      </c>
      <c r="P5864">
        <v>891.01</v>
      </c>
      <c r="Q5864" s="37" t="str">
        <f>IF(P5864&gt;500,"High","low")</f>
        <v>High</v>
      </c>
      <c r="R5864" s="37" t="str">
        <f t="shared" si="459"/>
        <v>Good</v>
      </c>
      <c r="S5864" t="s">
        <v>620</v>
      </c>
    </row>
    <row r="5865" spans="1:19" x14ac:dyDescent="0.2">
      <c r="A5865" t="s">
        <v>6476</v>
      </c>
      <c r="B5865" t="s">
        <v>67</v>
      </c>
      <c r="C5865" t="s">
        <v>602</v>
      </c>
      <c r="D5865">
        <v>2803.63</v>
      </c>
      <c r="E5865" s="37" t="str">
        <f t="shared" si="455"/>
        <v xml:space="preserve"> </v>
      </c>
      <c r="F5865">
        <v>0.36</v>
      </c>
      <c r="G5865" s="37" t="str">
        <f t="shared" si="456"/>
        <v>Heavy Discount</v>
      </c>
      <c r="H5865" s="37" t="str">
        <f t="shared" si="457"/>
        <v>Medium</v>
      </c>
      <c r="I5865">
        <v>8</v>
      </c>
      <c r="J5865" t="str" cm="1">
        <f t="array" ref="J5865">_xlfn.IFS(I5865&lt;=3,"small",I5865&lt;=6,"Medium",I5865&lt;=9,"Large")</f>
        <v>Large</v>
      </c>
      <c r="K5865" s="36">
        <v>45309</v>
      </c>
      <c r="L5865" s="36">
        <v>45315</v>
      </c>
      <c r="M5865" t="s">
        <v>612</v>
      </c>
      <c r="N5865" t="s">
        <v>604</v>
      </c>
      <c r="O5865" s="37" t="str">
        <f t="shared" si="458"/>
        <v>Digital Payment</v>
      </c>
      <c r="P5865">
        <v>334.45</v>
      </c>
      <c r="Q5865" s="37" t="str">
        <f>IF(P5865&gt;500,"High","low")</f>
        <v>low</v>
      </c>
      <c r="R5865" s="37" t="str">
        <f t="shared" si="459"/>
        <v>AVERAGE</v>
      </c>
      <c r="S5865" t="s">
        <v>620</v>
      </c>
    </row>
    <row r="5866" spans="1:19" x14ac:dyDescent="0.2">
      <c r="A5866" t="s">
        <v>6477</v>
      </c>
      <c r="B5866" t="s">
        <v>90</v>
      </c>
      <c r="C5866" t="s">
        <v>617</v>
      </c>
      <c r="D5866">
        <v>613.65</v>
      </c>
      <c r="E5866" s="37" t="str">
        <f t="shared" si="455"/>
        <v xml:space="preserve"> </v>
      </c>
      <c r="F5866">
        <v>0.33</v>
      </c>
      <c r="G5866" s="37" t="str">
        <f t="shared" si="456"/>
        <v>Heavy Discount</v>
      </c>
      <c r="H5866" s="37" t="str">
        <f t="shared" si="457"/>
        <v>Medium</v>
      </c>
      <c r="I5866">
        <v>7</v>
      </c>
      <c r="J5866" t="str" cm="1">
        <f t="array" ref="J5866">_xlfn.IFS(I5866&lt;=3,"small",I5866&lt;=6,"Medium",I5866&lt;=9,"Large")</f>
        <v>Large</v>
      </c>
      <c r="K5866" s="36">
        <v>45290</v>
      </c>
      <c r="L5866" s="36">
        <v>45296</v>
      </c>
      <c r="M5866" t="s">
        <v>603</v>
      </c>
      <c r="N5866" t="s">
        <v>599</v>
      </c>
      <c r="O5866" s="37" t="str">
        <f t="shared" si="458"/>
        <v>Digital Payment</v>
      </c>
      <c r="P5866">
        <v>63.87</v>
      </c>
      <c r="Q5866" s="37" t="str">
        <f>IF(P5866&gt;500,"High","low")</f>
        <v>low</v>
      </c>
      <c r="R5866" s="37" t="str">
        <f t="shared" si="459"/>
        <v>AVERAGE</v>
      </c>
      <c r="S5866" t="s">
        <v>605</v>
      </c>
    </row>
    <row r="5867" spans="1:19" x14ac:dyDescent="0.2">
      <c r="A5867" t="s">
        <v>6478</v>
      </c>
      <c r="B5867" t="s">
        <v>90</v>
      </c>
      <c r="C5867" t="s">
        <v>597</v>
      </c>
      <c r="D5867">
        <v>1513.19</v>
      </c>
      <c r="E5867" s="37" t="str">
        <f t="shared" si="455"/>
        <v xml:space="preserve"> </v>
      </c>
      <c r="F5867">
        <v>0.34</v>
      </c>
      <c r="G5867" s="37" t="str">
        <f t="shared" si="456"/>
        <v>Heavy Discount</v>
      </c>
      <c r="H5867" s="37" t="str">
        <f t="shared" si="457"/>
        <v>Medium</v>
      </c>
      <c r="I5867">
        <v>6</v>
      </c>
      <c r="J5867" t="str" cm="1">
        <f t="array" ref="J5867">_xlfn.IFS(I5867&lt;=3,"small",I5867&lt;=6,"Medium",I5867&lt;=9,"Large")</f>
        <v>Medium</v>
      </c>
      <c r="K5867" s="36">
        <v>45261</v>
      </c>
      <c r="L5867" s="36">
        <v>45268</v>
      </c>
      <c r="M5867" t="s">
        <v>598</v>
      </c>
      <c r="N5867" t="s">
        <v>608</v>
      </c>
      <c r="O5867" s="37" t="str">
        <f t="shared" si="458"/>
        <v>Cash Payment</v>
      </c>
      <c r="P5867">
        <v>92.33</v>
      </c>
      <c r="Q5867" s="37" t="str">
        <f>IF(P5867&gt;500,"High","low")</f>
        <v>low</v>
      </c>
      <c r="R5867" s="37" t="str">
        <f t="shared" si="459"/>
        <v>AVERAGE</v>
      </c>
      <c r="S5867" t="s">
        <v>600</v>
      </c>
    </row>
    <row r="5868" spans="1:19" x14ac:dyDescent="0.2">
      <c r="A5868" t="s">
        <v>6479</v>
      </c>
      <c r="B5868" t="s">
        <v>90</v>
      </c>
      <c r="C5868" t="s">
        <v>597</v>
      </c>
      <c r="D5868">
        <v>4919.41</v>
      </c>
      <c r="E5868" s="37" t="str">
        <f t="shared" si="455"/>
        <v>Excellent Order</v>
      </c>
      <c r="F5868">
        <v>0.32</v>
      </c>
      <c r="G5868" s="37" t="str">
        <f t="shared" si="456"/>
        <v>Heavy Discount</v>
      </c>
      <c r="H5868" s="37" t="str">
        <f t="shared" si="457"/>
        <v>Medium</v>
      </c>
      <c r="I5868">
        <v>3</v>
      </c>
      <c r="J5868" t="str" cm="1">
        <f t="array" ref="J5868">_xlfn.IFS(I5868&lt;=3,"small",I5868&lt;=6,"Medium",I5868&lt;=9,"Large")</f>
        <v>small</v>
      </c>
      <c r="K5868" s="36">
        <v>45213</v>
      </c>
      <c r="L5868" s="36">
        <v>45216</v>
      </c>
      <c r="M5868" t="s">
        <v>612</v>
      </c>
      <c r="N5868" t="s">
        <v>604</v>
      </c>
      <c r="O5868" s="37" t="str">
        <f t="shared" si="458"/>
        <v>Digital Payment</v>
      </c>
      <c r="P5868">
        <v>1111.4000000000001</v>
      </c>
      <c r="Q5868" s="37" t="str">
        <f>IF(P5868&gt;500,"High","low")</f>
        <v>High</v>
      </c>
      <c r="R5868" s="37" t="str">
        <f t="shared" si="459"/>
        <v>Excellent</v>
      </c>
      <c r="S5868" t="s">
        <v>628</v>
      </c>
    </row>
    <row r="5869" spans="1:19" x14ac:dyDescent="0.2">
      <c r="A5869" t="s">
        <v>6480</v>
      </c>
      <c r="B5869" t="s">
        <v>83</v>
      </c>
      <c r="C5869" t="s">
        <v>617</v>
      </c>
      <c r="D5869">
        <v>3005.98</v>
      </c>
      <c r="E5869" s="37" t="str">
        <f t="shared" si="455"/>
        <v xml:space="preserve"> </v>
      </c>
      <c r="F5869">
        <v>0.08</v>
      </c>
      <c r="G5869" s="37" t="str">
        <f t="shared" si="456"/>
        <v>Normal Discount</v>
      </c>
      <c r="H5869" s="37" t="str">
        <f t="shared" si="457"/>
        <v>Low</v>
      </c>
      <c r="I5869">
        <v>6</v>
      </c>
      <c r="J5869" t="str" cm="1">
        <f t="array" ref="J5869">_xlfn.IFS(I5869&lt;=3,"small",I5869&lt;=6,"Medium",I5869&lt;=9,"Large")</f>
        <v>Medium</v>
      </c>
      <c r="K5869" s="36">
        <v>45249</v>
      </c>
      <c r="L5869" s="36">
        <v>45254</v>
      </c>
      <c r="M5869" t="s">
        <v>612</v>
      </c>
      <c r="N5869" t="s">
        <v>608</v>
      </c>
      <c r="O5869" s="37" t="str">
        <f t="shared" si="458"/>
        <v>Cash Payment</v>
      </c>
      <c r="P5869">
        <v>639.37</v>
      </c>
      <c r="Q5869" s="37" t="str">
        <f>IF(P5869&gt;500,"High","low")</f>
        <v>High</v>
      </c>
      <c r="R5869" s="37" t="str">
        <f t="shared" si="459"/>
        <v>Good</v>
      </c>
      <c r="S5869" t="s">
        <v>628</v>
      </c>
    </row>
    <row r="5870" spans="1:19" x14ac:dyDescent="0.2">
      <c r="A5870" t="s">
        <v>6481</v>
      </c>
      <c r="B5870" t="s">
        <v>83</v>
      </c>
      <c r="C5870" t="s">
        <v>607</v>
      </c>
      <c r="D5870">
        <v>1527.88</v>
      </c>
      <c r="E5870" s="37" t="str">
        <f t="shared" si="455"/>
        <v xml:space="preserve"> </v>
      </c>
      <c r="F5870">
        <v>0.44</v>
      </c>
      <c r="G5870" s="37" t="str">
        <f t="shared" si="456"/>
        <v>Heavy Discount</v>
      </c>
      <c r="H5870" s="37" t="str">
        <f t="shared" si="457"/>
        <v>High</v>
      </c>
      <c r="I5870">
        <v>4</v>
      </c>
      <c r="J5870" t="str" cm="1">
        <f t="array" ref="J5870">_xlfn.IFS(I5870&lt;=3,"small",I5870&lt;=6,"Medium",I5870&lt;=9,"Large")</f>
        <v>Medium</v>
      </c>
      <c r="K5870" s="36">
        <v>45352</v>
      </c>
      <c r="L5870" s="36">
        <v>45357</v>
      </c>
      <c r="M5870" t="s">
        <v>612</v>
      </c>
      <c r="N5870" t="s">
        <v>608</v>
      </c>
      <c r="O5870" s="37" t="str">
        <f t="shared" si="458"/>
        <v>Cash Payment</v>
      </c>
      <c r="P5870">
        <v>375.44</v>
      </c>
      <c r="Q5870" s="37" t="str">
        <f>IF(P5870&gt;500,"High","low")</f>
        <v>low</v>
      </c>
      <c r="R5870" s="37" t="str">
        <f t="shared" si="459"/>
        <v>AVERAGE</v>
      </c>
      <c r="S5870" t="s">
        <v>609</v>
      </c>
    </row>
    <row r="5871" spans="1:19" x14ac:dyDescent="0.2">
      <c r="A5871" t="s">
        <v>6482</v>
      </c>
      <c r="B5871" t="s">
        <v>67</v>
      </c>
      <c r="C5871" t="s">
        <v>607</v>
      </c>
      <c r="D5871">
        <v>2189.09</v>
      </c>
      <c r="E5871" s="37" t="str">
        <f t="shared" si="455"/>
        <v xml:space="preserve"> </v>
      </c>
      <c r="F5871">
        <v>0.28999999999999998</v>
      </c>
      <c r="G5871" s="37" t="str">
        <f t="shared" si="456"/>
        <v>Normal Discount</v>
      </c>
      <c r="H5871" s="37" t="str">
        <f t="shared" si="457"/>
        <v>Medium</v>
      </c>
      <c r="I5871">
        <v>5</v>
      </c>
      <c r="J5871" t="str" cm="1">
        <f t="array" ref="J5871">_xlfn.IFS(I5871&lt;=3,"small",I5871&lt;=6,"Medium",I5871&lt;=9,"Large")</f>
        <v>Medium</v>
      </c>
      <c r="K5871" s="36">
        <v>45591</v>
      </c>
      <c r="L5871" s="36">
        <v>45597</v>
      </c>
      <c r="M5871" t="s">
        <v>612</v>
      </c>
      <c r="N5871" t="s">
        <v>608</v>
      </c>
      <c r="O5871" s="37" t="str">
        <f t="shared" si="458"/>
        <v>Cash Payment</v>
      </c>
      <c r="P5871">
        <v>632.52</v>
      </c>
      <c r="Q5871" s="37" t="str">
        <f>IF(P5871&gt;500,"High","low")</f>
        <v>High</v>
      </c>
      <c r="R5871" s="37" t="str">
        <f t="shared" si="459"/>
        <v>Good</v>
      </c>
      <c r="S5871" t="s">
        <v>615</v>
      </c>
    </row>
    <row r="5872" spans="1:19" x14ac:dyDescent="0.2">
      <c r="A5872" t="s">
        <v>6483</v>
      </c>
      <c r="B5872" t="s">
        <v>90</v>
      </c>
      <c r="C5872" t="s">
        <v>597</v>
      </c>
      <c r="D5872">
        <v>1366.53</v>
      </c>
      <c r="E5872" s="37" t="str">
        <f t="shared" si="455"/>
        <v xml:space="preserve"> </v>
      </c>
      <c r="F5872">
        <v>0.19</v>
      </c>
      <c r="G5872" s="37" t="str">
        <f t="shared" si="456"/>
        <v>Normal Discount</v>
      </c>
      <c r="H5872" s="37" t="str">
        <f t="shared" si="457"/>
        <v>Low</v>
      </c>
      <c r="I5872">
        <v>7</v>
      </c>
      <c r="J5872" t="str" cm="1">
        <f t="array" ref="J5872">_xlfn.IFS(I5872&lt;=3,"small",I5872&lt;=6,"Medium",I5872&lt;=9,"Large")</f>
        <v>Large</v>
      </c>
      <c r="K5872" s="36">
        <v>45535</v>
      </c>
      <c r="L5872" s="36">
        <v>45538</v>
      </c>
      <c r="M5872" t="s">
        <v>603</v>
      </c>
      <c r="N5872" t="s">
        <v>599</v>
      </c>
      <c r="O5872" s="37" t="str">
        <f t="shared" si="458"/>
        <v>Digital Payment</v>
      </c>
      <c r="P5872">
        <v>180.59</v>
      </c>
      <c r="Q5872" s="37" t="str">
        <f>IF(P5872&gt;500,"High","low")</f>
        <v>low</v>
      </c>
      <c r="R5872" s="37" t="str">
        <f t="shared" si="459"/>
        <v>AVERAGE</v>
      </c>
      <c r="S5872" t="s">
        <v>620</v>
      </c>
    </row>
    <row r="5873" spans="1:19" x14ac:dyDescent="0.2">
      <c r="A5873" t="s">
        <v>6484</v>
      </c>
      <c r="B5873" t="s">
        <v>83</v>
      </c>
      <c r="C5873" t="s">
        <v>607</v>
      </c>
      <c r="D5873">
        <v>255.84</v>
      </c>
      <c r="E5873" s="37" t="str">
        <f t="shared" si="455"/>
        <v xml:space="preserve"> </v>
      </c>
      <c r="F5873">
        <v>0.09</v>
      </c>
      <c r="G5873" s="37" t="str">
        <f t="shared" si="456"/>
        <v>Normal Discount</v>
      </c>
      <c r="H5873" s="37" t="str">
        <f t="shared" si="457"/>
        <v>Low</v>
      </c>
      <c r="I5873">
        <v>7</v>
      </c>
      <c r="J5873" t="str" cm="1">
        <f t="array" ref="J5873">_xlfn.IFS(I5873&lt;=3,"small",I5873&lt;=6,"Medium",I5873&lt;=9,"Large")</f>
        <v>Large</v>
      </c>
      <c r="K5873" s="36">
        <v>45333</v>
      </c>
      <c r="L5873" s="36">
        <v>45340</v>
      </c>
      <c r="M5873" t="s">
        <v>603</v>
      </c>
      <c r="N5873" t="s">
        <v>599</v>
      </c>
      <c r="O5873" s="37" t="str">
        <f t="shared" si="458"/>
        <v>Digital Payment</v>
      </c>
      <c r="P5873">
        <v>28.3</v>
      </c>
      <c r="Q5873" s="37" t="str">
        <f>IF(P5873&gt;500,"High","low")</f>
        <v>low</v>
      </c>
      <c r="R5873" s="37" t="str">
        <f t="shared" si="459"/>
        <v>AVERAGE</v>
      </c>
      <c r="S5873" t="s">
        <v>600</v>
      </c>
    </row>
    <row r="5874" spans="1:19" x14ac:dyDescent="0.2">
      <c r="A5874" t="s">
        <v>6485</v>
      </c>
      <c r="B5874" t="s">
        <v>90</v>
      </c>
      <c r="C5874" t="s">
        <v>607</v>
      </c>
      <c r="D5874">
        <v>4225.95</v>
      </c>
      <c r="E5874" s="37" t="str">
        <f t="shared" si="455"/>
        <v xml:space="preserve"> </v>
      </c>
      <c r="F5874">
        <v>0.39</v>
      </c>
      <c r="G5874" s="37" t="str">
        <f t="shared" si="456"/>
        <v>Heavy Discount</v>
      </c>
      <c r="H5874" s="37" t="str">
        <f t="shared" si="457"/>
        <v>Medium</v>
      </c>
      <c r="I5874">
        <v>9</v>
      </c>
      <c r="J5874" t="str" cm="1">
        <f t="array" ref="J5874">_xlfn.IFS(I5874&lt;=3,"small",I5874&lt;=6,"Medium",I5874&lt;=9,"Large")</f>
        <v>Large</v>
      </c>
      <c r="K5874" s="36">
        <v>45274</v>
      </c>
      <c r="L5874" s="36">
        <v>45275</v>
      </c>
      <c r="M5874" t="s">
        <v>612</v>
      </c>
      <c r="N5874" t="s">
        <v>604</v>
      </c>
      <c r="O5874" s="37" t="str">
        <f t="shared" si="458"/>
        <v>Digital Payment</v>
      </c>
      <c r="P5874">
        <v>504.45</v>
      </c>
      <c r="Q5874" s="37" t="str">
        <f>IF(P5874&gt;500,"High","low")</f>
        <v>High</v>
      </c>
      <c r="R5874" s="37" t="str">
        <f t="shared" si="459"/>
        <v>Good</v>
      </c>
      <c r="S5874" t="s">
        <v>600</v>
      </c>
    </row>
    <row r="5875" spans="1:19" x14ac:dyDescent="0.2">
      <c r="A5875" t="s">
        <v>6486</v>
      </c>
      <c r="B5875" t="s">
        <v>83</v>
      </c>
      <c r="C5875" t="s">
        <v>607</v>
      </c>
      <c r="D5875">
        <v>1533.15</v>
      </c>
      <c r="E5875" s="37" t="str">
        <f t="shared" si="455"/>
        <v xml:space="preserve"> </v>
      </c>
      <c r="F5875">
        <v>0.25</v>
      </c>
      <c r="G5875" s="37" t="str">
        <f t="shared" si="456"/>
        <v>Normal Discount</v>
      </c>
      <c r="H5875" s="37" t="str">
        <f t="shared" si="457"/>
        <v>Medium</v>
      </c>
      <c r="I5875">
        <v>9</v>
      </c>
      <c r="J5875" t="str" cm="1">
        <f t="array" ref="J5875">_xlfn.IFS(I5875&lt;=3,"small",I5875&lt;=6,"Medium",I5875&lt;=9,"Large")</f>
        <v>Large</v>
      </c>
      <c r="K5875" s="36">
        <v>45070</v>
      </c>
      <c r="L5875" s="36">
        <v>45072</v>
      </c>
      <c r="M5875" t="s">
        <v>598</v>
      </c>
      <c r="N5875" t="s">
        <v>604</v>
      </c>
      <c r="O5875" s="37" t="str">
        <f t="shared" si="458"/>
        <v>Digital Payment</v>
      </c>
      <c r="P5875">
        <v>289.41000000000003</v>
      </c>
      <c r="Q5875" s="37" t="str">
        <f>IF(P5875&gt;500,"High","low")</f>
        <v>low</v>
      </c>
      <c r="R5875" s="37" t="str">
        <f t="shared" si="459"/>
        <v>AVERAGE</v>
      </c>
      <c r="S5875" t="s">
        <v>620</v>
      </c>
    </row>
    <row r="5876" spans="1:19" x14ac:dyDescent="0.2">
      <c r="A5876" t="s">
        <v>6487</v>
      </c>
      <c r="B5876" t="s">
        <v>75</v>
      </c>
      <c r="C5876" t="s">
        <v>602</v>
      </c>
      <c r="D5876">
        <v>4208.21</v>
      </c>
      <c r="E5876" s="37" t="str">
        <f t="shared" si="455"/>
        <v xml:space="preserve"> </v>
      </c>
      <c r="F5876">
        <v>7.0000000000000007E-2</v>
      </c>
      <c r="G5876" s="37" t="str">
        <f t="shared" si="456"/>
        <v>Normal Discount</v>
      </c>
      <c r="H5876" s="37" t="str">
        <f t="shared" si="457"/>
        <v>Low</v>
      </c>
      <c r="I5876">
        <v>6</v>
      </c>
      <c r="J5876" t="str" cm="1">
        <f t="array" ref="J5876">_xlfn.IFS(I5876&lt;=3,"small",I5876&lt;=6,"Medium",I5876&lt;=9,"Large")</f>
        <v>Medium</v>
      </c>
      <c r="K5876" s="36">
        <v>45347</v>
      </c>
      <c r="L5876" s="36">
        <v>45354</v>
      </c>
      <c r="M5876" t="s">
        <v>598</v>
      </c>
      <c r="N5876" t="s">
        <v>599</v>
      </c>
      <c r="O5876" s="37" t="str">
        <f t="shared" si="458"/>
        <v>Digital Payment</v>
      </c>
      <c r="P5876">
        <v>700.03</v>
      </c>
      <c r="Q5876" s="37" t="str">
        <f>IF(P5876&gt;500,"High","low")</f>
        <v>High</v>
      </c>
      <c r="R5876" s="37" t="str">
        <f t="shared" si="459"/>
        <v>Good</v>
      </c>
      <c r="S5876" t="s">
        <v>600</v>
      </c>
    </row>
    <row r="5877" spans="1:19" x14ac:dyDescent="0.2">
      <c r="A5877" t="s">
        <v>6488</v>
      </c>
      <c r="B5877" t="s">
        <v>75</v>
      </c>
      <c r="C5877" t="s">
        <v>614</v>
      </c>
      <c r="D5877">
        <v>2444.9299999999998</v>
      </c>
      <c r="E5877" s="37" t="str">
        <f t="shared" si="455"/>
        <v xml:space="preserve"> </v>
      </c>
      <c r="F5877">
        <v>0.46</v>
      </c>
      <c r="G5877" s="37" t="str">
        <f t="shared" si="456"/>
        <v>Heavy Discount</v>
      </c>
      <c r="H5877" s="37" t="str">
        <f t="shared" si="457"/>
        <v>High</v>
      </c>
      <c r="I5877">
        <v>6</v>
      </c>
      <c r="J5877" t="str" cm="1">
        <f t="array" ref="J5877">_xlfn.IFS(I5877&lt;=3,"small",I5877&lt;=6,"Medium",I5877&lt;=9,"Large")</f>
        <v>Medium</v>
      </c>
      <c r="K5877" s="36">
        <v>45315</v>
      </c>
      <c r="L5877" s="36">
        <v>45322</v>
      </c>
      <c r="M5877" t="s">
        <v>612</v>
      </c>
      <c r="N5877" t="s">
        <v>608</v>
      </c>
      <c r="O5877" s="37" t="str">
        <f t="shared" si="458"/>
        <v>Cash Payment</v>
      </c>
      <c r="P5877">
        <v>176.98</v>
      </c>
      <c r="Q5877" s="37" t="str">
        <f>IF(P5877&gt;500,"High","low")</f>
        <v>low</v>
      </c>
      <c r="R5877" s="37" t="str">
        <f t="shared" si="459"/>
        <v>AVERAGE</v>
      </c>
      <c r="S5877" t="s">
        <v>628</v>
      </c>
    </row>
    <row r="5878" spans="1:19" x14ac:dyDescent="0.2">
      <c r="A5878" t="s">
        <v>6489</v>
      </c>
      <c r="B5878" t="s">
        <v>90</v>
      </c>
      <c r="C5878" t="s">
        <v>597</v>
      </c>
      <c r="D5878">
        <v>996.18</v>
      </c>
      <c r="E5878" s="37" t="str">
        <f t="shared" si="455"/>
        <v xml:space="preserve"> </v>
      </c>
      <c r="F5878">
        <v>0.05</v>
      </c>
      <c r="G5878" s="37" t="str">
        <f t="shared" si="456"/>
        <v>Normal Discount</v>
      </c>
      <c r="H5878" s="37" t="str">
        <f t="shared" si="457"/>
        <v>Low</v>
      </c>
      <c r="I5878">
        <v>2</v>
      </c>
      <c r="J5878" t="str" cm="1">
        <f t="array" ref="J5878">_xlfn.IFS(I5878&lt;=3,"small",I5878&lt;=6,"Medium",I5878&lt;=9,"Large")</f>
        <v>small</v>
      </c>
      <c r="K5878" s="36">
        <v>45161</v>
      </c>
      <c r="L5878" s="36">
        <v>45167</v>
      </c>
      <c r="M5878" t="s">
        <v>598</v>
      </c>
      <c r="N5878" t="s">
        <v>604</v>
      </c>
      <c r="O5878" s="37" t="str">
        <f t="shared" si="458"/>
        <v>Digital Payment</v>
      </c>
      <c r="P5878">
        <v>104.44</v>
      </c>
      <c r="Q5878" s="37" t="str">
        <f>IF(P5878&gt;500,"High","low")</f>
        <v>low</v>
      </c>
      <c r="R5878" s="37" t="str">
        <f t="shared" si="459"/>
        <v>AVERAGE</v>
      </c>
      <c r="S5878" t="s">
        <v>628</v>
      </c>
    </row>
    <row r="5879" spans="1:19" x14ac:dyDescent="0.2">
      <c r="A5879" t="s">
        <v>6490</v>
      </c>
      <c r="B5879" t="s">
        <v>67</v>
      </c>
      <c r="C5879" t="s">
        <v>597</v>
      </c>
      <c r="D5879">
        <v>4029.16</v>
      </c>
      <c r="E5879" s="37" t="str">
        <f t="shared" si="455"/>
        <v xml:space="preserve"> </v>
      </c>
      <c r="F5879">
        <v>0.26</v>
      </c>
      <c r="G5879" s="37" t="str">
        <f t="shared" si="456"/>
        <v>Normal Discount</v>
      </c>
      <c r="H5879" s="37" t="str">
        <f t="shared" si="457"/>
        <v>Medium</v>
      </c>
      <c r="I5879">
        <v>8</v>
      </c>
      <c r="J5879" t="str" cm="1">
        <f t="array" ref="J5879">_xlfn.IFS(I5879&lt;=3,"small",I5879&lt;=6,"Medium",I5879&lt;=9,"Large")</f>
        <v>Large</v>
      </c>
      <c r="K5879" s="36">
        <v>45577</v>
      </c>
      <c r="L5879" s="36">
        <v>45582</v>
      </c>
      <c r="M5879" t="s">
        <v>612</v>
      </c>
      <c r="N5879" t="s">
        <v>604</v>
      </c>
      <c r="O5879" s="37" t="str">
        <f t="shared" si="458"/>
        <v>Digital Payment</v>
      </c>
      <c r="P5879">
        <v>761.07</v>
      </c>
      <c r="Q5879" s="37" t="str">
        <f>IF(P5879&gt;500,"High","low")</f>
        <v>High</v>
      </c>
      <c r="R5879" s="37" t="str">
        <f t="shared" si="459"/>
        <v>Good</v>
      </c>
      <c r="S5879" t="s">
        <v>605</v>
      </c>
    </row>
    <row r="5880" spans="1:19" x14ac:dyDescent="0.2">
      <c r="A5880" t="s">
        <v>6491</v>
      </c>
      <c r="B5880" t="s">
        <v>83</v>
      </c>
      <c r="C5880" t="s">
        <v>602</v>
      </c>
      <c r="D5880">
        <v>1947.85</v>
      </c>
      <c r="E5880" s="37" t="str">
        <f t="shared" si="455"/>
        <v xml:space="preserve"> </v>
      </c>
      <c r="F5880">
        <v>0.31</v>
      </c>
      <c r="G5880" s="37" t="str">
        <f t="shared" si="456"/>
        <v>Heavy Discount</v>
      </c>
      <c r="H5880" s="37" t="str">
        <f t="shared" si="457"/>
        <v>Medium</v>
      </c>
      <c r="I5880">
        <v>3</v>
      </c>
      <c r="J5880" t="str" cm="1">
        <f t="array" ref="J5880">_xlfn.IFS(I5880&lt;=3,"small",I5880&lt;=6,"Medium",I5880&lt;=9,"Large")</f>
        <v>small</v>
      </c>
      <c r="K5880" s="36">
        <v>45203</v>
      </c>
      <c r="L5880" s="36">
        <v>45207</v>
      </c>
      <c r="M5880" t="s">
        <v>612</v>
      </c>
      <c r="N5880" t="s">
        <v>599</v>
      </c>
      <c r="O5880" s="37" t="str">
        <f t="shared" si="458"/>
        <v>Digital Payment</v>
      </c>
      <c r="P5880">
        <v>571.97</v>
      </c>
      <c r="Q5880" s="37" t="str">
        <f>IF(P5880&gt;500,"High","low")</f>
        <v>High</v>
      </c>
      <c r="R5880" s="37" t="str">
        <f t="shared" si="459"/>
        <v>Good</v>
      </c>
      <c r="S5880" t="s">
        <v>620</v>
      </c>
    </row>
    <row r="5881" spans="1:19" x14ac:dyDescent="0.2">
      <c r="A5881" t="s">
        <v>6492</v>
      </c>
      <c r="B5881" t="s">
        <v>83</v>
      </c>
      <c r="C5881" t="s">
        <v>614</v>
      </c>
      <c r="D5881">
        <v>3567.87</v>
      </c>
      <c r="E5881" s="37" t="str">
        <f t="shared" si="455"/>
        <v xml:space="preserve"> </v>
      </c>
      <c r="F5881">
        <v>0.5</v>
      </c>
      <c r="G5881" s="37" t="str">
        <f t="shared" si="456"/>
        <v>Heavy Discount</v>
      </c>
      <c r="H5881" s="37" t="str">
        <f t="shared" si="457"/>
        <v>High</v>
      </c>
      <c r="I5881">
        <v>1</v>
      </c>
      <c r="J5881" t="str" cm="1">
        <f t="array" ref="J5881">_xlfn.IFS(I5881&lt;=3,"small",I5881&lt;=6,"Medium",I5881&lt;=9,"Large")</f>
        <v>small</v>
      </c>
      <c r="K5881" s="36">
        <v>45328</v>
      </c>
      <c r="L5881" s="36">
        <v>45333</v>
      </c>
      <c r="M5881" t="s">
        <v>603</v>
      </c>
      <c r="N5881" t="s">
        <v>604</v>
      </c>
      <c r="O5881" s="37" t="str">
        <f t="shared" si="458"/>
        <v>Digital Payment</v>
      </c>
      <c r="P5881">
        <v>859.76</v>
      </c>
      <c r="Q5881" s="37" t="str">
        <f>IF(P5881&gt;500,"High","low")</f>
        <v>High</v>
      </c>
      <c r="R5881" s="37" t="str">
        <f t="shared" si="459"/>
        <v>Good</v>
      </c>
      <c r="S5881" t="s">
        <v>628</v>
      </c>
    </row>
    <row r="5882" spans="1:19" x14ac:dyDescent="0.2">
      <c r="A5882" t="s">
        <v>6493</v>
      </c>
      <c r="B5882" t="s">
        <v>75</v>
      </c>
      <c r="C5882" t="s">
        <v>614</v>
      </c>
      <c r="D5882">
        <v>4202.43</v>
      </c>
      <c r="E5882" s="37" t="str">
        <f t="shared" si="455"/>
        <v>Excellent Order</v>
      </c>
      <c r="F5882">
        <v>7.0000000000000007E-2</v>
      </c>
      <c r="G5882" s="37" t="str">
        <f t="shared" si="456"/>
        <v>Normal Discount</v>
      </c>
      <c r="H5882" s="37" t="str">
        <f t="shared" si="457"/>
        <v>Low</v>
      </c>
      <c r="I5882">
        <v>4</v>
      </c>
      <c r="J5882" t="str" cm="1">
        <f t="array" ref="J5882">_xlfn.IFS(I5882&lt;=3,"small",I5882&lt;=6,"Medium",I5882&lt;=9,"Large")</f>
        <v>Medium</v>
      </c>
      <c r="K5882" s="36">
        <v>45580</v>
      </c>
      <c r="L5882" s="36">
        <v>45582</v>
      </c>
      <c r="M5882" t="s">
        <v>603</v>
      </c>
      <c r="N5882" t="s">
        <v>604</v>
      </c>
      <c r="O5882" s="37" t="str">
        <f t="shared" si="458"/>
        <v>Digital Payment</v>
      </c>
      <c r="P5882">
        <v>1242.8399999999999</v>
      </c>
      <c r="Q5882" s="37" t="str">
        <f>IF(P5882&gt;500,"High","low")</f>
        <v>High</v>
      </c>
      <c r="R5882" s="37" t="str">
        <f t="shared" si="459"/>
        <v>Excellent</v>
      </c>
      <c r="S5882" t="s">
        <v>620</v>
      </c>
    </row>
    <row r="5883" spans="1:19" x14ac:dyDescent="0.2">
      <c r="A5883" t="s">
        <v>6494</v>
      </c>
      <c r="B5883" t="s">
        <v>75</v>
      </c>
      <c r="C5883" t="s">
        <v>602</v>
      </c>
      <c r="D5883">
        <v>4818.63</v>
      </c>
      <c r="E5883" s="37" t="str">
        <f t="shared" si="455"/>
        <v>Excellent Order</v>
      </c>
      <c r="F5883">
        <v>0.31</v>
      </c>
      <c r="G5883" s="37" t="str">
        <f t="shared" si="456"/>
        <v>Heavy Discount</v>
      </c>
      <c r="H5883" s="37" t="str">
        <f t="shared" si="457"/>
        <v>Medium</v>
      </c>
      <c r="I5883">
        <v>5</v>
      </c>
      <c r="J5883" t="str" cm="1">
        <f t="array" ref="J5883">_xlfn.IFS(I5883&lt;=3,"small",I5883&lt;=6,"Medium",I5883&lt;=9,"Large")</f>
        <v>Medium</v>
      </c>
      <c r="K5883" s="36">
        <v>45215</v>
      </c>
      <c r="L5883" s="36">
        <v>45217</v>
      </c>
      <c r="M5883" t="s">
        <v>612</v>
      </c>
      <c r="N5883" t="s">
        <v>604</v>
      </c>
      <c r="O5883" s="37" t="str">
        <f t="shared" si="458"/>
        <v>Digital Payment</v>
      </c>
      <c r="P5883">
        <v>1109.55</v>
      </c>
      <c r="Q5883" s="37" t="str">
        <f>IF(P5883&gt;500,"High","low")</f>
        <v>High</v>
      </c>
      <c r="R5883" s="37" t="str">
        <f t="shared" si="459"/>
        <v>Excellent</v>
      </c>
      <c r="S5883" t="s">
        <v>605</v>
      </c>
    </row>
    <row r="5884" spans="1:19" x14ac:dyDescent="0.2">
      <c r="A5884" t="s">
        <v>6495</v>
      </c>
      <c r="B5884" t="s">
        <v>67</v>
      </c>
      <c r="C5884" t="s">
        <v>617</v>
      </c>
      <c r="D5884">
        <v>520.49</v>
      </c>
      <c r="E5884" s="37" t="str">
        <f t="shared" si="455"/>
        <v xml:space="preserve"> </v>
      </c>
      <c r="F5884">
        <v>0.24</v>
      </c>
      <c r="G5884" s="37" t="str">
        <f t="shared" si="456"/>
        <v>Normal Discount</v>
      </c>
      <c r="H5884" s="37" t="str">
        <f t="shared" si="457"/>
        <v>Medium</v>
      </c>
      <c r="I5884">
        <v>3</v>
      </c>
      <c r="J5884" t="str" cm="1">
        <f t="array" ref="J5884">_xlfn.IFS(I5884&lt;=3,"small",I5884&lt;=6,"Medium",I5884&lt;=9,"Large")</f>
        <v>small</v>
      </c>
      <c r="K5884" s="36">
        <v>45587</v>
      </c>
      <c r="L5884" s="36">
        <v>45589</v>
      </c>
      <c r="M5884" t="s">
        <v>603</v>
      </c>
      <c r="N5884" t="s">
        <v>608</v>
      </c>
      <c r="O5884" s="37" t="str">
        <f t="shared" si="458"/>
        <v>Cash Payment</v>
      </c>
      <c r="P5884">
        <v>154.5</v>
      </c>
      <c r="Q5884" s="37" t="str">
        <f>IF(P5884&gt;500,"High","low")</f>
        <v>low</v>
      </c>
      <c r="R5884" s="37" t="str">
        <f t="shared" si="459"/>
        <v>AVERAGE</v>
      </c>
      <c r="S5884" t="s">
        <v>609</v>
      </c>
    </row>
    <row r="5885" spans="1:19" x14ac:dyDescent="0.2">
      <c r="A5885" t="s">
        <v>6496</v>
      </c>
      <c r="B5885" t="s">
        <v>67</v>
      </c>
      <c r="C5885" t="s">
        <v>617</v>
      </c>
      <c r="D5885">
        <v>141.09</v>
      </c>
      <c r="E5885" s="37" t="str">
        <f t="shared" si="455"/>
        <v xml:space="preserve"> </v>
      </c>
      <c r="F5885">
        <v>0.13</v>
      </c>
      <c r="G5885" s="37" t="str">
        <f t="shared" si="456"/>
        <v>Normal Discount</v>
      </c>
      <c r="H5885" s="37" t="str">
        <f t="shared" si="457"/>
        <v>Low</v>
      </c>
      <c r="I5885">
        <v>7</v>
      </c>
      <c r="J5885" t="str" cm="1">
        <f t="array" ref="J5885">_xlfn.IFS(I5885&lt;=3,"small",I5885&lt;=6,"Medium",I5885&lt;=9,"Large")</f>
        <v>Large</v>
      </c>
      <c r="K5885" s="36">
        <v>45336</v>
      </c>
      <c r="L5885" s="36">
        <v>45343</v>
      </c>
      <c r="M5885" t="s">
        <v>598</v>
      </c>
      <c r="N5885" t="s">
        <v>599</v>
      </c>
      <c r="O5885" s="37" t="str">
        <f t="shared" si="458"/>
        <v>Digital Payment</v>
      </c>
      <c r="P5885">
        <v>15.86</v>
      </c>
      <c r="Q5885" s="37" t="str">
        <f>IF(P5885&gt;500,"High","low")</f>
        <v>low</v>
      </c>
      <c r="R5885" s="37" t="str">
        <f t="shared" si="459"/>
        <v>AVERAGE</v>
      </c>
      <c r="S5885" t="s">
        <v>615</v>
      </c>
    </row>
    <row r="5886" spans="1:19" x14ac:dyDescent="0.2">
      <c r="A5886" t="s">
        <v>6497</v>
      </c>
      <c r="B5886" t="s">
        <v>67</v>
      </c>
      <c r="C5886" t="s">
        <v>614</v>
      </c>
      <c r="D5886">
        <v>2787.28</v>
      </c>
      <c r="E5886" s="37" t="str">
        <f t="shared" si="455"/>
        <v xml:space="preserve"> </v>
      </c>
      <c r="F5886">
        <v>0.47</v>
      </c>
      <c r="G5886" s="37" t="str">
        <f t="shared" si="456"/>
        <v>Heavy Discount</v>
      </c>
      <c r="H5886" s="37" t="str">
        <f t="shared" si="457"/>
        <v>High</v>
      </c>
      <c r="I5886">
        <v>5</v>
      </c>
      <c r="J5886" t="str" cm="1">
        <f t="array" ref="J5886">_xlfn.IFS(I5886&lt;=3,"small",I5886&lt;=6,"Medium",I5886&lt;=9,"Large")</f>
        <v>Medium</v>
      </c>
      <c r="K5886" s="36">
        <v>45399</v>
      </c>
      <c r="L5886" s="36">
        <v>45401</v>
      </c>
      <c r="M5886" t="s">
        <v>603</v>
      </c>
      <c r="N5886" t="s">
        <v>608</v>
      </c>
      <c r="O5886" s="37" t="str">
        <f t="shared" si="458"/>
        <v>Cash Payment</v>
      </c>
      <c r="P5886">
        <v>777.2</v>
      </c>
      <c r="Q5886" s="37" t="str">
        <f>IF(P5886&gt;500,"High","low")</f>
        <v>High</v>
      </c>
      <c r="R5886" s="37" t="str">
        <f t="shared" si="459"/>
        <v>Good</v>
      </c>
      <c r="S5886" t="s">
        <v>600</v>
      </c>
    </row>
    <row r="5887" spans="1:19" x14ac:dyDescent="0.2">
      <c r="A5887" t="s">
        <v>6498</v>
      </c>
      <c r="B5887" t="s">
        <v>90</v>
      </c>
      <c r="C5887" t="s">
        <v>617</v>
      </c>
      <c r="D5887">
        <v>1394.78</v>
      </c>
      <c r="E5887" s="37" t="str">
        <f t="shared" si="455"/>
        <v xml:space="preserve"> </v>
      </c>
      <c r="F5887">
        <v>0.4</v>
      </c>
      <c r="G5887" s="37" t="str">
        <f t="shared" si="456"/>
        <v>Heavy Discount</v>
      </c>
      <c r="H5887" s="37" t="str">
        <f t="shared" si="457"/>
        <v>Medium</v>
      </c>
      <c r="I5887">
        <v>5</v>
      </c>
      <c r="J5887" t="str" cm="1">
        <f t="array" ref="J5887">_xlfn.IFS(I5887&lt;=3,"small",I5887&lt;=6,"Medium",I5887&lt;=9,"Large")</f>
        <v>Medium</v>
      </c>
      <c r="K5887" s="36">
        <v>45414</v>
      </c>
      <c r="L5887" s="36">
        <v>45418</v>
      </c>
      <c r="M5887" t="s">
        <v>612</v>
      </c>
      <c r="N5887" t="s">
        <v>599</v>
      </c>
      <c r="O5887" s="37" t="str">
        <f t="shared" si="458"/>
        <v>Digital Payment</v>
      </c>
      <c r="P5887">
        <v>302.88</v>
      </c>
      <c r="Q5887" s="37" t="str">
        <f>IF(P5887&gt;500,"High","low")</f>
        <v>low</v>
      </c>
      <c r="R5887" s="37" t="str">
        <f t="shared" si="459"/>
        <v>AVERAGE</v>
      </c>
      <c r="S5887" t="s">
        <v>600</v>
      </c>
    </row>
    <row r="5888" spans="1:19" x14ac:dyDescent="0.2">
      <c r="A5888" t="s">
        <v>6499</v>
      </c>
      <c r="B5888" t="s">
        <v>75</v>
      </c>
      <c r="C5888" t="s">
        <v>617</v>
      </c>
      <c r="D5888">
        <v>2398.6</v>
      </c>
      <c r="E5888" s="37" t="str">
        <f t="shared" si="455"/>
        <v xml:space="preserve"> </v>
      </c>
      <c r="F5888">
        <v>0.39</v>
      </c>
      <c r="G5888" s="37" t="str">
        <f t="shared" si="456"/>
        <v>Heavy Discount</v>
      </c>
      <c r="H5888" s="37" t="str">
        <f t="shared" si="457"/>
        <v>Medium</v>
      </c>
      <c r="I5888">
        <v>6</v>
      </c>
      <c r="J5888" t="str" cm="1">
        <f t="array" ref="J5888">_xlfn.IFS(I5888&lt;=3,"small",I5888&lt;=6,"Medium",I5888&lt;=9,"Large")</f>
        <v>Medium</v>
      </c>
      <c r="K5888" s="36">
        <v>44961</v>
      </c>
      <c r="L5888" s="36">
        <v>44962</v>
      </c>
      <c r="M5888" t="s">
        <v>612</v>
      </c>
      <c r="N5888" t="s">
        <v>608</v>
      </c>
      <c r="O5888" s="37" t="str">
        <f t="shared" si="458"/>
        <v>Cash Payment</v>
      </c>
      <c r="P5888">
        <v>478.54</v>
      </c>
      <c r="Q5888" s="37" t="str">
        <f>IF(P5888&gt;500,"High","low")</f>
        <v>low</v>
      </c>
      <c r="R5888" s="37" t="str">
        <f t="shared" si="459"/>
        <v>AVERAGE</v>
      </c>
      <c r="S5888" t="s">
        <v>605</v>
      </c>
    </row>
    <row r="5889" spans="1:19" x14ac:dyDescent="0.2">
      <c r="A5889" t="s">
        <v>6500</v>
      </c>
      <c r="B5889" t="s">
        <v>90</v>
      </c>
      <c r="C5889" t="s">
        <v>617</v>
      </c>
      <c r="D5889">
        <v>456.03</v>
      </c>
      <c r="E5889" s="37" t="str">
        <f t="shared" si="455"/>
        <v xml:space="preserve"> </v>
      </c>
      <c r="F5889">
        <v>0.45</v>
      </c>
      <c r="G5889" s="37" t="str">
        <f t="shared" si="456"/>
        <v>Heavy Discount</v>
      </c>
      <c r="H5889" s="37" t="str">
        <f t="shared" si="457"/>
        <v>High</v>
      </c>
      <c r="I5889">
        <v>6</v>
      </c>
      <c r="J5889" t="str" cm="1">
        <f t="array" ref="J5889">_xlfn.IFS(I5889&lt;=3,"small",I5889&lt;=6,"Medium",I5889&lt;=9,"Large")</f>
        <v>Medium</v>
      </c>
      <c r="K5889" s="36">
        <v>44989</v>
      </c>
      <c r="L5889" s="36">
        <v>44996</v>
      </c>
      <c r="M5889" t="s">
        <v>612</v>
      </c>
      <c r="N5889" t="s">
        <v>604</v>
      </c>
      <c r="O5889" s="37" t="str">
        <f t="shared" si="458"/>
        <v>Digital Payment</v>
      </c>
      <c r="P5889">
        <v>102.79</v>
      </c>
      <c r="Q5889" s="37" t="str">
        <f>IF(P5889&gt;500,"High","low")</f>
        <v>low</v>
      </c>
      <c r="R5889" s="37" t="str">
        <f t="shared" si="459"/>
        <v>AVERAGE</v>
      </c>
      <c r="S5889" t="s">
        <v>600</v>
      </c>
    </row>
    <row r="5890" spans="1:19" x14ac:dyDescent="0.2">
      <c r="A5890" t="s">
        <v>6501</v>
      </c>
      <c r="B5890" t="s">
        <v>75</v>
      </c>
      <c r="C5890" t="s">
        <v>614</v>
      </c>
      <c r="D5890">
        <v>2557.79</v>
      </c>
      <c r="E5890" s="37" t="str">
        <f t="shared" si="455"/>
        <v xml:space="preserve"> </v>
      </c>
      <c r="F5890">
        <v>0.36</v>
      </c>
      <c r="G5890" s="37" t="str">
        <f t="shared" si="456"/>
        <v>Heavy Discount</v>
      </c>
      <c r="H5890" s="37" t="str">
        <f t="shared" si="457"/>
        <v>Medium</v>
      </c>
      <c r="I5890">
        <v>9</v>
      </c>
      <c r="J5890" t="str" cm="1">
        <f t="array" ref="J5890">_xlfn.IFS(I5890&lt;=3,"small",I5890&lt;=6,"Medium",I5890&lt;=9,"Large")</f>
        <v>Large</v>
      </c>
      <c r="K5890" s="36">
        <v>45040</v>
      </c>
      <c r="L5890" s="36">
        <v>45042</v>
      </c>
      <c r="M5890" t="s">
        <v>598</v>
      </c>
      <c r="N5890" t="s">
        <v>608</v>
      </c>
      <c r="O5890" s="37" t="str">
        <f t="shared" si="458"/>
        <v>Cash Payment</v>
      </c>
      <c r="P5890">
        <v>491.87</v>
      </c>
      <c r="Q5890" s="37" t="str">
        <f>IF(P5890&gt;500,"High","low")</f>
        <v>low</v>
      </c>
      <c r="R5890" s="37" t="str">
        <f t="shared" si="459"/>
        <v>AVERAGE</v>
      </c>
      <c r="S5890" t="s">
        <v>605</v>
      </c>
    </row>
    <row r="5891" spans="1:19" x14ac:dyDescent="0.2">
      <c r="A5891" t="s">
        <v>6502</v>
      </c>
      <c r="B5891" t="s">
        <v>75</v>
      </c>
      <c r="C5891" t="s">
        <v>617</v>
      </c>
      <c r="D5891">
        <v>711.79</v>
      </c>
      <c r="E5891" s="37" t="str">
        <f t="shared" ref="E5891:E5954" si="460">IF(AND(D5891&gt;4000,P5891&gt;800),"Excellent Order"," ")</f>
        <v xml:space="preserve"> </v>
      </c>
      <c r="F5891">
        <v>0.25</v>
      </c>
      <c r="G5891" s="37" t="str">
        <f t="shared" ref="G5891:G5954" si="461">IF(F5891&gt;30%,"Heavy Discount","Normal Discount")</f>
        <v>Normal Discount</v>
      </c>
      <c r="H5891" s="37" t="str">
        <f t="shared" ref="H5891:H5954" si="462">IF(F5891&gt;0.4,"High",IF(F5891&gt;=0.2,"Medium","Low"))</f>
        <v>Medium</v>
      </c>
      <c r="I5891">
        <v>3</v>
      </c>
      <c r="J5891" t="str" cm="1">
        <f t="array" ref="J5891">_xlfn.IFS(I5891&lt;=3,"small",I5891&lt;=6,"Medium",I5891&lt;=9,"Large")</f>
        <v>small</v>
      </c>
      <c r="K5891" s="36">
        <v>45299</v>
      </c>
      <c r="L5891" s="36">
        <v>45301</v>
      </c>
      <c r="M5891" t="s">
        <v>603</v>
      </c>
      <c r="N5891" t="s">
        <v>608</v>
      </c>
      <c r="O5891" s="37" t="str">
        <f t="shared" ref="O5891:O5954" si="463">IF(OR(N5891="Card",N5891="UPI"),"Digital Payment","Cash Payment")</f>
        <v>Cash Payment</v>
      </c>
      <c r="P5891">
        <v>99.71</v>
      </c>
      <c r="Q5891" s="37" t="str">
        <f>IF(P5891&gt;500,"High","low")</f>
        <v>low</v>
      </c>
      <c r="R5891" s="37" t="str">
        <f t="shared" ref="R5891:R5954" si="464">IF(P5891&gt;1000,"Excellent",IF(P5891&gt;=500,"Good","AVERAGE"))</f>
        <v>AVERAGE</v>
      </c>
      <c r="S5891" t="s">
        <v>600</v>
      </c>
    </row>
    <row r="5892" spans="1:19" x14ac:dyDescent="0.2">
      <c r="A5892" t="s">
        <v>6503</v>
      </c>
      <c r="B5892" t="s">
        <v>83</v>
      </c>
      <c r="C5892" t="s">
        <v>597</v>
      </c>
      <c r="D5892">
        <v>4209.08</v>
      </c>
      <c r="E5892" s="37" t="str">
        <f t="shared" si="460"/>
        <v>Excellent Order</v>
      </c>
      <c r="F5892">
        <v>0.2</v>
      </c>
      <c r="G5892" s="37" t="str">
        <f t="shared" si="461"/>
        <v>Normal Discount</v>
      </c>
      <c r="H5892" s="37" t="str">
        <f t="shared" si="462"/>
        <v>Medium</v>
      </c>
      <c r="I5892">
        <v>8</v>
      </c>
      <c r="J5892" t="str" cm="1">
        <f t="array" ref="J5892">_xlfn.IFS(I5892&lt;=3,"small",I5892&lt;=6,"Medium",I5892&lt;=9,"Large")</f>
        <v>Large</v>
      </c>
      <c r="K5892" s="36">
        <v>45051</v>
      </c>
      <c r="L5892" s="36">
        <v>45057</v>
      </c>
      <c r="M5892" t="s">
        <v>603</v>
      </c>
      <c r="N5892" t="s">
        <v>599</v>
      </c>
      <c r="O5892" s="37" t="str">
        <f t="shared" si="463"/>
        <v>Digital Payment</v>
      </c>
      <c r="P5892">
        <v>1066.53</v>
      </c>
      <c r="Q5892" s="37" t="str">
        <f>IF(P5892&gt;500,"High","low")</f>
        <v>High</v>
      </c>
      <c r="R5892" s="37" t="str">
        <f t="shared" si="464"/>
        <v>Excellent</v>
      </c>
      <c r="S5892" t="s">
        <v>615</v>
      </c>
    </row>
    <row r="5893" spans="1:19" x14ac:dyDescent="0.2">
      <c r="A5893" t="s">
        <v>6504</v>
      </c>
      <c r="B5893" t="s">
        <v>75</v>
      </c>
      <c r="C5893" t="s">
        <v>614</v>
      </c>
      <c r="D5893">
        <v>3821.49</v>
      </c>
      <c r="E5893" s="37" t="str">
        <f t="shared" si="460"/>
        <v xml:space="preserve"> </v>
      </c>
      <c r="F5893">
        <v>0.35</v>
      </c>
      <c r="G5893" s="37" t="str">
        <f t="shared" si="461"/>
        <v>Heavy Discount</v>
      </c>
      <c r="H5893" s="37" t="str">
        <f t="shared" si="462"/>
        <v>Medium</v>
      </c>
      <c r="I5893">
        <v>7</v>
      </c>
      <c r="J5893" t="str" cm="1">
        <f t="array" ref="J5893">_xlfn.IFS(I5893&lt;=3,"small",I5893&lt;=6,"Medium",I5893&lt;=9,"Large")</f>
        <v>Large</v>
      </c>
      <c r="K5893" s="36">
        <v>45074</v>
      </c>
      <c r="L5893" s="36">
        <v>45078</v>
      </c>
      <c r="M5893" t="s">
        <v>603</v>
      </c>
      <c r="N5893" t="s">
        <v>604</v>
      </c>
      <c r="O5893" s="37" t="str">
        <f t="shared" si="463"/>
        <v>Digital Payment</v>
      </c>
      <c r="P5893">
        <v>546.01</v>
      </c>
      <c r="Q5893" s="37" t="str">
        <f>IF(P5893&gt;500,"High","low")</f>
        <v>High</v>
      </c>
      <c r="R5893" s="37" t="str">
        <f t="shared" si="464"/>
        <v>Good</v>
      </c>
      <c r="S5893" t="s">
        <v>600</v>
      </c>
    </row>
    <row r="5894" spans="1:19" x14ac:dyDescent="0.2">
      <c r="A5894" t="s">
        <v>6505</v>
      </c>
      <c r="B5894" t="s">
        <v>75</v>
      </c>
      <c r="C5894" t="s">
        <v>602</v>
      </c>
      <c r="D5894">
        <v>462.96</v>
      </c>
      <c r="E5894" s="37" t="str">
        <f t="shared" si="460"/>
        <v xml:space="preserve"> </v>
      </c>
      <c r="F5894">
        <v>0.3</v>
      </c>
      <c r="G5894" s="37" t="str">
        <f t="shared" si="461"/>
        <v>Normal Discount</v>
      </c>
      <c r="H5894" s="37" t="str">
        <f t="shared" si="462"/>
        <v>Medium</v>
      </c>
      <c r="I5894">
        <v>9</v>
      </c>
      <c r="J5894" t="str" cm="1">
        <f t="array" ref="J5894">_xlfn.IFS(I5894&lt;=3,"small",I5894&lt;=6,"Medium",I5894&lt;=9,"Large")</f>
        <v>Large</v>
      </c>
      <c r="K5894" s="36">
        <v>45245</v>
      </c>
      <c r="L5894" s="36">
        <v>45250</v>
      </c>
      <c r="M5894" t="s">
        <v>612</v>
      </c>
      <c r="N5894" t="s">
        <v>599</v>
      </c>
      <c r="O5894" s="37" t="str">
        <f t="shared" si="463"/>
        <v>Digital Payment</v>
      </c>
      <c r="P5894">
        <v>72.989999999999995</v>
      </c>
      <c r="Q5894" s="37" t="str">
        <f>IF(P5894&gt;500,"High","low")</f>
        <v>low</v>
      </c>
      <c r="R5894" s="37" t="str">
        <f t="shared" si="464"/>
        <v>AVERAGE</v>
      </c>
      <c r="S5894" t="s">
        <v>620</v>
      </c>
    </row>
    <row r="5895" spans="1:19" x14ac:dyDescent="0.2">
      <c r="A5895" t="s">
        <v>6506</v>
      </c>
      <c r="B5895" t="s">
        <v>90</v>
      </c>
      <c r="C5895" t="s">
        <v>617</v>
      </c>
      <c r="D5895">
        <v>4198.12</v>
      </c>
      <c r="E5895" s="37" t="str">
        <f t="shared" si="460"/>
        <v>Excellent Order</v>
      </c>
      <c r="F5895">
        <v>0.27</v>
      </c>
      <c r="G5895" s="37" t="str">
        <f t="shared" si="461"/>
        <v>Normal Discount</v>
      </c>
      <c r="H5895" s="37" t="str">
        <f t="shared" si="462"/>
        <v>Medium</v>
      </c>
      <c r="I5895">
        <v>5</v>
      </c>
      <c r="J5895" t="str" cm="1">
        <f t="array" ref="J5895">_xlfn.IFS(I5895&lt;=3,"small",I5895&lt;=6,"Medium",I5895&lt;=9,"Large")</f>
        <v>Medium</v>
      </c>
      <c r="K5895" s="36">
        <v>45632</v>
      </c>
      <c r="L5895" s="36">
        <v>45637</v>
      </c>
      <c r="M5895" t="s">
        <v>598</v>
      </c>
      <c r="N5895" t="s">
        <v>604</v>
      </c>
      <c r="O5895" s="37" t="str">
        <f t="shared" si="463"/>
        <v>Digital Payment</v>
      </c>
      <c r="P5895">
        <v>1037.6300000000001</v>
      </c>
      <c r="Q5895" s="37" t="str">
        <f>IF(P5895&gt;500,"High","low")</f>
        <v>High</v>
      </c>
      <c r="R5895" s="37" t="str">
        <f t="shared" si="464"/>
        <v>Excellent</v>
      </c>
      <c r="S5895" t="s">
        <v>600</v>
      </c>
    </row>
    <row r="5896" spans="1:19" x14ac:dyDescent="0.2">
      <c r="A5896" t="s">
        <v>6507</v>
      </c>
      <c r="B5896" t="s">
        <v>75</v>
      </c>
      <c r="C5896" t="s">
        <v>607</v>
      </c>
      <c r="D5896">
        <v>1692.3</v>
      </c>
      <c r="E5896" s="37" t="str">
        <f t="shared" si="460"/>
        <v xml:space="preserve"> </v>
      </c>
      <c r="F5896">
        <v>0.28999999999999998</v>
      </c>
      <c r="G5896" s="37" t="str">
        <f t="shared" si="461"/>
        <v>Normal Discount</v>
      </c>
      <c r="H5896" s="37" t="str">
        <f t="shared" si="462"/>
        <v>Medium</v>
      </c>
      <c r="I5896">
        <v>7</v>
      </c>
      <c r="J5896" t="str" cm="1">
        <f t="array" ref="J5896">_xlfn.IFS(I5896&lt;=3,"small",I5896&lt;=6,"Medium",I5896&lt;=9,"Large")</f>
        <v>Large</v>
      </c>
      <c r="K5896" s="36">
        <v>45543</v>
      </c>
      <c r="L5896" s="36">
        <v>45547</v>
      </c>
      <c r="M5896" t="s">
        <v>612</v>
      </c>
      <c r="N5896" t="s">
        <v>604</v>
      </c>
      <c r="O5896" s="37" t="str">
        <f t="shared" si="463"/>
        <v>Digital Payment</v>
      </c>
      <c r="P5896">
        <v>496.71</v>
      </c>
      <c r="Q5896" s="37" t="str">
        <f>IF(P5896&gt;500,"High","low")</f>
        <v>low</v>
      </c>
      <c r="R5896" s="37" t="str">
        <f t="shared" si="464"/>
        <v>AVERAGE</v>
      </c>
      <c r="S5896" t="s">
        <v>615</v>
      </c>
    </row>
    <row r="5897" spans="1:19" x14ac:dyDescent="0.2">
      <c r="A5897" t="s">
        <v>6508</v>
      </c>
      <c r="B5897" t="s">
        <v>90</v>
      </c>
      <c r="C5897" t="s">
        <v>614</v>
      </c>
      <c r="D5897">
        <v>1829.01</v>
      </c>
      <c r="E5897" s="37" t="str">
        <f t="shared" si="460"/>
        <v xml:space="preserve"> </v>
      </c>
      <c r="F5897">
        <v>0.33</v>
      </c>
      <c r="G5897" s="37" t="str">
        <f t="shared" si="461"/>
        <v>Heavy Discount</v>
      </c>
      <c r="H5897" s="37" t="str">
        <f t="shared" si="462"/>
        <v>Medium</v>
      </c>
      <c r="I5897">
        <v>8</v>
      </c>
      <c r="J5897" t="str" cm="1">
        <f t="array" ref="J5897">_xlfn.IFS(I5897&lt;=3,"small",I5897&lt;=6,"Medium",I5897&lt;=9,"Large")</f>
        <v>Large</v>
      </c>
      <c r="K5897" s="36">
        <v>45044</v>
      </c>
      <c r="L5897" s="36">
        <v>45049</v>
      </c>
      <c r="M5897" t="s">
        <v>603</v>
      </c>
      <c r="N5897" t="s">
        <v>604</v>
      </c>
      <c r="O5897" s="37" t="str">
        <f t="shared" si="463"/>
        <v>Digital Payment</v>
      </c>
      <c r="P5897">
        <v>235.01</v>
      </c>
      <c r="Q5897" s="37" t="str">
        <f>IF(P5897&gt;500,"High","low")</f>
        <v>low</v>
      </c>
      <c r="R5897" s="37" t="str">
        <f t="shared" si="464"/>
        <v>AVERAGE</v>
      </c>
      <c r="S5897" t="s">
        <v>615</v>
      </c>
    </row>
    <row r="5898" spans="1:19" x14ac:dyDescent="0.2">
      <c r="A5898" t="s">
        <v>6509</v>
      </c>
      <c r="B5898" t="s">
        <v>67</v>
      </c>
      <c r="C5898" t="s">
        <v>602</v>
      </c>
      <c r="D5898">
        <v>981.04</v>
      </c>
      <c r="E5898" s="37" t="str">
        <f t="shared" si="460"/>
        <v xml:space="preserve"> </v>
      </c>
      <c r="F5898">
        <v>0.48</v>
      </c>
      <c r="G5898" s="37" t="str">
        <f t="shared" si="461"/>
        <v>Heavy Discount</v>
      </c>
      <c r="H5898" s="37" t="str">
        <f t="shared" si="462"/>
        <v>High</v>
      </c>
      <c r="I5898">
        <v>9</v>
      </c>
      <c r="J5898" t="str" cm="1">
        <f t="array" ref="J5898">_xlfn.IFS(I5898&lt;=3,"small",I5898&lt;=6,"Medium",I5898&lt;=9,"Large")</f>
        <v>Large</v>
      </c>
      <c r="K5898" s="36">
        <v>45437</v>
      </c>
      <c r="L5898" s="36">
        <v>45440</v>
      </c>
      <c r="M5898" t="s">
        <v>598</v>
      </c>
      <c r="N5898" t="s">
        <v>608</v>
      </c>
      <c r="O5898" s="37" t="str">
        <f t="shared" si="463"/>
        <v>Cash Payment</v>
      </c>
      <c r="P5898">
        <v>289.33999999999997</v>
      </c>
      <c r="Q5898" s="37" t="str">
        <f>IF(P5898&gt;500,"High","low")</f>
        <v>low</v>
      </c>
      <c r="R5898" s="37" t="str">
        <f t="shared" si="464"/>
        <v>AVERAGE</v>
      </c>
      <c r="S5898" t="s">
        <v>628</v>
      </c>
    </row>
    <row r="5899" spans="1:19" x14ac:dyDescent="0.2">
      <c r="A5899" t="s">
        <v>6510</v>
      </c>
      <c r="B5899" t="s">
        <v>75</v>
      </c>
      <c r="C5899" t="s">
        <v>597</v>
      </c>
      <c r="D5899">
        <v>4192.99</v>
      </c>
      <c r="E5899" s="37" t="str">
        <f t="shared" si="460"/>
        <v>Excellent Order</v>
      </c>
      <c r="F5899">
        <v>0.38</v>
      </c>
      <c r="G5899" s="37" t="str">
        <f t="shared" si="461"/>
        <v>Heavy Discount</v>
      </c>
      <c r="H5899" s="37" t="str">
        <f t="shared" si="462"/>
        <v>Medium</v>
      </c>
      <c r="I5899">
        <v>8</v>
      </c>
      <c r="J5899" t="str" cm="1">
        <f t="array" ref="J5899">_xlfn.IFS(I5899&lt;=3,"small",I5899&lt;=6,"Medium",I5899&lt;=9,"Large")</f>
        <v>Large</v>
      </c>
      <c r="K5899" s="36">
        <v>45169</v>
      </c>
      <c r="L5899" s="36">
        <v>45170</v>
      </c>
      <c r="M5899" t="s">
        <v>603</v>
      </c>
      <c r="N5899" t="s">
        <v>608</v>
      </c>
      <c r="O5899" s="37" t="str">
        <f t="shared" si="463"/>
        <v>Cash Payment</v>
      </c>
      <c r="P5899">
        <v>1140.49</v>
      </c>
      <c r="Q5899" s="37" t="str">
        <f>IF(P5899&gt;500,"High","low")</f>
        <v>High</v>
      </c>
      <c r="R5899" s="37" t="str">
        <f t="shared" si="464"/>
        <v>Excellent</v>
      </c>
      <c r="S5899" t="s">
        <v>600</v>
      </c>
    </row>
    <row r="5900" spans="1:19" x14ac:dyDescent="0.2">
      <c r="A5900" t="s">
        <v>6511</v>
      </c>
      <c r="B5900" t="s">
        <v>75</v>
      </c>
      <c r="C5900" t="s">
        <v>602</v>
      </c>
      <c r="D5900">
        <v>2083.06</v>
      </c>
      <c r="E5900" s="37" t="str">
        <f t="shared" si="460"/>
        <v xml:space="preserve"> </v>
      </c>
      <c r="F5900">
        <v>0.09</v>
      </c>
      <c r="G5900" s="37" t="str">
        <f t="shared" si="461"/>
        <v>Normal Discount</v>
      </c>
      <c r="H5900" s="37" t="str">
        <f t="shared" si="462"/>
        <v>Low</v>
      </c>
      <c r="I5900">
        <v>2</v>
      </c>
      <c r="J5900" t="str" cm="1">
        <f t="array" ref="J5900">_xlfn.IFS(I5900&lt;=3,"small",I5900&lt;=6,"Medium",I5900&lt;=9,"Large")</f>
        <v>small</v>
      </c>
      <c r="K5900" s="36">
        <v>45470</v>
      </c>
      <c r="L5900" s="36">
        <v>45476</v>
      </c>
      <c r="M5900" t="s">
        <v>612</v>
      </c>
      <c r="N5900" t="s">
        <v>604</v>
      </c>
      <c r="O5900" s="37" t="str">
        <f t="shared" si="463"/>
        <v>Digital Payment</v>
      </c>
      <c r="P5900">
        <v>207.32</v>
      </c>
      <c r="Q5900" s="37" t="str">
        <f>IF(P5900&gt;500,"High","low")</f>
        <v>low</v>
      </c>
      <c r="R5900" s="37" t="str">
        <f t="shared" si="464"/>
        <v>AVERAGE</v>
      </c>
      <c r="S5900" t="s">
        <v>620</v>
      </c>
    </row>
    <row r="5901" spans="1:19" x14ac:dyDescent="0.2">
      <c r="A5901" t="s">
        <v>6512</v>
      </c>
      <c r="B5901" t="s">
        <v>90</v>
      </c>
      <c r="C5901" t="s">
        <v>617</v>
      </c>
      <c r="D5901">
        <v>339.3</v>
      </c>
      <c r="E5901" s="37" t="str">
        <f t="shared" si="460"/>
        <v xml:space="preserve"> </v>
      </c>
      <c r="F5901">
        <v>0.23</v>
      </c>
      <c r="G5901" s="37" t="str">
        <f t="shared" si="461"/>
        <v>Normal Discount</v>
      </c>
      <c r="H5901" s="37" t="str">
        <f t="shared" si="462"/>
        <v>Medium</v>
      </c>
      <c r="I5901">
        <v>6</v>
      </c>
      <c r="J5901" t="str" cm="1">
        <f t="array" ref="J5901">_xlfn.IFS(I5901&lt;=3,"small",I5901&lt;=6,"Medium",I5901&lt;=9,"Large")</f>
        <v>Medium</v>
      </c>
      <c r="K5901" s="36">
        <v>45545</v>
      </c>
      <c r="L5901" s="36">
        <v>45550</v>
      </c>
      <c r="M5901" t="s">
        <v>612</v>
      </c>
      <c r="N5901" t="s">
        <v>599</v>
      </c>
      <c r="O5901" s="37" t="str">
        <f t="shared" si="463"/>
        <v>Digital Payment</v>
      </c>
      <c r="P5901">
        <v>30.59</v>
      </c>
      <c r="Q5901" s="37" t="str">
        <f>IF(P5901&gt;500,"High","low")</f>
        <v>low</v>
      </c>
      <c r="R5901" s="37" t="str">
        <f t="shared" si="464"/>
        <v>AVERAGE</v>
      </c>
      <c r="S5901" t="s">
        <v>628</v>
      </c>
    </row>
    <row r="5902" spans="1:19" x14ac:dyDescent="0.2">
      <c r="A5902" t="s">
        <v>6513</v>
      </c>
      <c r="B5902" t="s">
        <v>67</v>
      </c>
      <c r="C5902" t="s">
        <v>607</v>
      </c>
      <c r="D5902">
        <v>4834.62</v>
      </c>
      <c r="E5902" s="37" t="str">
        <f t="shared" si="460"/>
        <v>Excellent Order</v>
      </c>
      <c r="F5902">
        <v>0.34</v>
      </c>
      <c r="G5902" s="37" t="str">
        <f t="shared" si="461"/>
        <v>Heavy Discount</v>
      </c>
      <c r="H5902" s="37" t="str">
        <f t="shared" si="462"/>
        <v>Medium</v>
      </c>
      <c r="I5902">
        <v>4</v>
      </c>
      <c r="J5902" t="str" cm="1">
        <f t="array" ref="J5902">_xlfn.IFS(I5902&lt;=3,"small",I5902&lt;=6,"Medium",I5902&lt;=9,"Large")</f>
        <v>Medium</v>
      </c>
      <c r="K5902" s="36">
        <v>45023</v>
      </c>
      <c r="L5902" s="36">
        <v>45027</v>
      </c>
      <c r="M5902" t="s">
        <v>598</v>
      </c>
      <c r="N5902" t="s">
        <v>599</v>
      </c>
      <c r="O5902" s="37" t="str">
        <f t="shared" si="463"/>
        <v>Digital Payment</v>
      </c>
      <c r="P5902">
        <v>1231.1099999999999</v>
      </c>
      <c r="Q5902" s="37" t="str">
        <f>IF(P5902&gt;500,"High","low")</f>
        <v>High</v>
      </c>
      <c r="R5902" s="37" t="str">
        <f t="shared" si="464"/>
        <v>Excellent</v>
      </c>
      <c r="S5902" t="s">
        <v>615</v>
      </c>
    </row>
    <row r="5903" spans="1:19" x14ac:dyDescent="0.2">
      <c r="A5903" t="s">
        <v>6514</v>
      </c>
      <c r="B5903" t="s">
        <v>83</v>
      </c>
      <c r="C5903" t="s">
        <v>617</v>
      </c>
      <c r="D5903">
        <v>1353.85</v>
      </c>
      <c r="E5903" s="37" t="str">
        <f t="shared" si="460"/>
        <v xml:space="preserve"> </v>
      </c>
      <c r="F5903">
        <v>0.09</v>
      </c>
      <c r="G5903" s="37" t="str">
        <f t="shared" si="461"/>
        <v>Normal Discount</v>
      </c>
      <c r="H5903" s="37" t="str">
        <f t="shared" si="462"/>
        <v>Low</v>
      </c>
      <c r="I5903">
        <v>4</v>
      </c>
      <c r="J5903" t="str" cm="1">
        <f t="array" ref="J5903">_xlfn.IFS(I5903&lt;=3,"small",I5903&lt;=6,"Medium",I5903&lt;=9,"Large")</f>
        <v>Medium</v>
      </c>
      <c r="K5903" s="36">
        <v>45230</v>
      </c>
      <c r="L5903" s="36">
        <v>45233</v>
      </c>
      <c r="M5903" t="s">
        <v>598</v>
      </c>
      <c r="N5903" t="s">
        <v>608</v>
      </c>
      <c r="O5903" s="37" t="str">
        <f t="shared" si="463"/>
        <v>Cash Payment</v>
      </c>
      <c r="P5903">
        <v>90.21</v>
      </c>
      <c r="Q5903" s="37" t="str">
        <f>IF(P5903&gt;500,"High","low")</f>
        <v>low</v>
      </c>
      <c r="R5903" s="37" t="str">
        <f t="shared" si="464"/>
        <v>AVERAGE</v>
      </c>
      <c r="S5903" t="s">
        <v>609</v>
      </c>
    </row>
    <row r="5904" spans="1:19" x14ac:dyDescent="0.2">
      <c r="A5904" t="s">
        <v>6515</v>
      </c>
      <c r="B5904" t="s">
        <v>67</v>
      </c>
      <c r="C5904" t="s">
        <v>602</v>
      </c>
      <c r="D5904">
        <v>4687.2700000000004</v>
      </c>
      <c r="E5904" s="37" t="str">
        <f t="shared" si="460"/>
        <v>Excellent Order</v>
      </c>
      <c r="F5904">
        <v>0.47</v>
      </c>
      <c r="G5904" s="37" t="str">
        <f t="shared" si="461"/>
        <v>Heavy Discount</v>
      </c>
      <c r="H5904" s="37" t="str">
        <f t="shared" si="462"/>
        <v>High</v>
      </c>
      <c r="I5904">
        <v>9</v>
      </c>
      <c r="J5904" t="str" cm="1">
        <f t="array" ref="J5904">_xlfn.IFS(I5904&lt;=3,"small",I5904&lt;=6,"Medium",I5904&lt;=9,"Large")</f>
        <v>Large</v>
      </c>
      <c r="K5904" s="36">
        <v>45180</v>
      </c>
      <c r="L5904" s="36">
        <v>45181</v>
      </c>
      <c r="M5904" t="s">
        <v>598</v>
      </c>
      <c r="N5904" t="s">
        <v>599</v>
      </c>
      <c r="O5904" s="37" t="str">
        <f t="shared" si="463"/>
        <v>Digital Payment</v>
      </c>
      <c r="P5904">
        <v>1388.01</v>
      </c>
      <c r="Q5904" s="37" t="str">
        <f>IF(P5904&gt;500,"High","low")</f>
        <v>High</v>
      </c>
      <c r="R5904" s="37" t="str">
        <f t="shared" si="464"/>
        <v>Excellent</v>
      </c>
      <c r="S5904" t="s">
        <v>609</v>
      </c>
    </row>
    <row r="5905" spans="1:19" x14ac:dyDescent="0.2">
      <c r="A5905" t="s">
        <v>6516</v>
      </c>
      <c r="B5905" t="s">
        <v>90</v>
      </c>
      <c r="C5905" t="s">
        <v>614</v>
      </c>
      <c r="D5905">
        <v>1576.07</v>
      </c>
      <c r="E5905" s="37" t="str">
        <f t="shared" si="460"/>
        <v xml:space="preserve"> </v>
      </c>
      <c r="F5905">
        <v>0.04</v>
      </c>
      <c r="G5905" s="37" t="str">
        <f t="shared" si="461"/>
        <v>Normal Discount</v>
      </c>
      <c r="H5905" s="37" t="str">
        <f t="shared" si="462"/>
        <v>Low</v>
      </c>
      <c r="I5905">
        <v>7</v>
      </c>
      <c r="J5905" t="str" cm="1">
        <f t="array" ref="J5905">_xlfn.IFS(I5905&lt;=3,"small",I5905&lt;=6,"Medium",I5905&lt;=9,"Large")</f>
        <v>Large</v>
      </c>
      <c r="K5905" s="36">
        <v>45302</v>
      </c>
      <c r="L5905" s="36">
        <v>45309</v>
      </c>
      <c r="M5905" t="s">
        <v>603</v>
      </c>
      <c r="N5905" t="s">
        <v>604</v>
      </c>
      <c r="O5905" s="37" t="str">
        <f t="shared" si="463"/>
        <v>Digital Payment</v>
      </c>
      <c r="P5905">
        <v>159.68</v>
      </c>
      <c r="Q5905" s="37" t="str">
        <f>IF(P5905&gt;500,"High","low")</f>
        <v>low</v>
      </c>
      <c r="R5905" s="37" t="str">
        <f t="shared" si="464"/>
        <v>AVERAGE</v>
      </c>
      <c r="S5905" t="s">
        <v>615</v>
      </c>
    </row>
    <row r="5906" spans="1:19" x14ac:dyDescent="0.2">
      <c r="A5906" t="s">
        <v>6517</v>
      </c>
      <c r="B5906" t="s">
        <v>67</v>
      </c>
      <c r="C5906" t="s">
        <v>607</v>
      </c>
      <c r="D5906">
        <v>4173.99</v>
      </c>
      <c r="E5906" s="37" t="str">
        <f t="shared" si="460"/>
        <v xml:space="preserve"> </v>
      </c>
      <c r="F5906">
        <v>0.31</v>
      </c>
      <c r="G5906" s="37" t="str">
        <f t="shared" si="461"/>
        <v>Heavy Discount</v>
      </c>
      <c r="H5906" s="37" t="str">
        <f t="shared" si="462"/>
        <v>Medium</v>
      </c>
      <c r="I5906">
        <v>6</v>
      </c>
      <c r="J5906" t="str" cm="1">
        <f t="array" ref="J5906">_xlfn.IFS(I5906&lt;=3,"small",I5906&lt;=6,"Medium",I5906&lt;=9,"Large")</f>
        <v>Medium</v>
      </c>
      <c r="K5906" s="36">
        <v>45113</v>
      </c>
      <c r="L5906" s="36">
        <v>45115</v>
      </c>
      <c r="M5906" t="s">
        <v>603</v>
      </c>
      <c r="N5906" t="s">
        <v>599</v>
      </c>
      <c r="O5906" s="37" t="str">
        <f t="shared" si="463"/>
        <v>Digital Payment</v>
      </c>
      <c r="P5906">
        <v>233.38</v>
      </c>
      <c r="Q5906" s="37" t="str">
        <f>IF(P5906&gt;500,"High","low")</f>
        <v>low</v>
      </c>
      <c r="R5906" s="37" t="str">
        <f t="shared" si="464"/>
        <v>AVERAGE</v>
      </c>
      <c r="S5906" t="s">
        <v>615</v>
      </c>
    </row>
    <row r="5907" spans="1:19" x14ac:dyDescent="0.2">
      <c r="A5907" t="s">
        <v>6518</v>
      </c>
      <c r="B5907" t="s">
        <v>90</v>
      </c>
      <c r="C5907" t="s">
        <v>607</v>
      </c>
      <c r="D5907">
        <v>3354.68</v>
      </c>
      <c r="E5907" s="37" t="str">
        <f t="shared" si="460"/>
        <v xml:space="preserve"> </v>
      </c>
      <c r="F5907">
        <v>0.49</v>
      </c>
      <c r="G5907" s="37" t="str">
        <f t="shared" si="461"/>
        <v>Heavy Discount</v>
      </c>
      <c r="H5907" s="37" t="str">
        <f t="shared" si="462"/>
        <v>High</v>
      </c>
      <c r="I5907">
        <v>2</v>
      </c>
      <c r="J5907" t="str" cm="1">
        <f t="array" ref="J5907">_xlfn.IFS(I5907&lt;=3,"small",I5907&lt;=6,"Medium",I5907&lt;=9,"Large")</f>
        <v>small</v>
      </c>
      <c r="K5907" s="36">
        <v>45202</v>
      </c>
      <c r="L5907" s="36">
        <v>45209</v>
      </c>
      <c r="M5907" t="s">
        <v>598</v>
      </c>
      <c r="N5907" t="s">
        <v>604</v>
      </c>
      <c r="O5907" s="37" t="str">
        <f t="shared" si="463"/>
        <v>Digital Payment</v>
      </c>
      <c r="P5907">
        <v>725.25</v>
      </c>
      <c r="Q5907" s="37" t="str">
        <f>IF(P5907&gt;500,"High","low")</f>
        <v>High</v>
      </c>
      <c r="R5907" s="37" t="str">
        <f t="shared" si="464"/>
        <v>Good</v>
      </c>
      <c r="S5907" t="s">
        <v>600</v>
      </c>
    </row>
    <row r="5908" spans="1:19" x14ac:dyDescent="0.2">
      <c r="A5908" t="s">
        <v>6519</v>
      </c>
      <c r="B5908" t="s">
        <v>90</v>
      </c>
      <c r="C5908" t="s">
        <v>602</v>
      </c>
      <c r="D5908">
        <v>4320.29</v>
      </c>
      <c r="E5908" s="37" t="str">
        <f t="shared" si="460"/>
        <v>Excellent Order</v>
      </c>
      <c r="F5908">
        <v>0.36</v>
      </c>
      <c r="G5908" s="37" t="str">
        <f t="shared" si="461"/>
        <v>Heavy Discount</v>
      </c>
      <c r="H5908" s="37" t="str">
        <f t="shared" si="462"/>
        <v>Medium</v>
      </c>
      <c r="I5908">
        <v>1</v>
      </c>
      <c r="J5908" t="str" cm="1">
        <f t="array" ref="J5908">_xlfn.IFS(I5908&lt;=3,"small",I5908&lt;=6,"Medium",I5908&lt;=9,"Large")</f>
        <v>small</v>
      </c>
      <c r="K5908" s="36">
        <v>45543</v>
      </c>
      <c r="L5908" s="36">
        <v>45548</v>
      </c>
      <c r="M5908" t="s">
        <v>612</v>
      </c>
      <c r="N5908" t="s">
        <v>599</v>
      </c>
      <c r="O5908" s="37" t="str">
        <f t="shared" si="463"/>
        <v>Digital Payment</v>
      </c>
      <c r="P5908">
        <v>831.3</v>
      </c>
      <c r="Q5908" s="37" t="str">
        <f>IF(P5908&gt;500,"High","low")</f>
        <v>High</v>
      </c>
      <c r="R5908" s="37" t="str">
        <f t="shared" si="464"/>
        <v>Good</v>
      </c>
      <c r="S5908" t="s">
        <v>600</v>
      </c>
    </row>
    <row r="5909" spans="1:19" x14ac:dyDescent="0.2">
      <c r="A5909" t="s">
        <v>6520</v>
      </c>
      <c r="B5909" t="s">
        <v>83</v>
      </c>
      <c r="C5909" t="s">
        <v>617</v>
      </c>
      <c r="D5909">
        <v>4882.9799999999996</v>
      </c>
      <c r="E5909" s="37" t="str">
        <f t="shared" si="460"/>
        <v>Excellent Order</v>
      </c>
      <c r="F5909">
        <v>0.34</v>
      </c>
      <c r="G5909" s="37" t="str">
        <f t="shared" si="461"/>
        <v>Heavy Discount</v>
      </c>
      <c r="H5909" s="37" t="str">
        <f t="shared" si="462"/>
        <v>Medium</v>
      </c>
      <c r="I5909">
        <v>4</v>
      </c>
      <c r="J5909" t="str" cm="1">
        <f t="array" ref="J5909">_xlfn.IFS(I5909&lt;=3,"small",I5909&lt;=6,"Medium",I5909&lt;=9,"Large")</f>
        <v>Medium</v>
      </c>
      <c r="K5909" s="36">
        <v>45478</v>
      </c>
      <c r="L5909" s="36">
        <v>45484</v>
      </c>
      <c r="M5909" t="s">
        <v>612</v>
      </c>
      <c r="N5909" t="s">
        <v>608</v>
      </c>
      <c r="O5909" s="37" t="str">
        <f t="shared" si="463"/>
        <v>Cash Payment</v>
      </c>
      <c r="P5909">
        <v>1356.52</v>
      </c>
      <c r="Q5909" s="37" t="str">
        <f>IF(P5909&gt;500,"High","low")</f>
        <v>High</v>
      </c>
      <c r="R5909" s="37" t="str">
        <f t="shared" si="464"/>
        <v>Excellent</v>
      </c>
      <c r="S5909" t="s">
        <v>600</v>
      </c>
    </row>
    <row r="5910" spans="1:19" x14ac:dyDescent="0.2">
      <c r="A5910" t="s">
        <v>6521</v>
      </c>
      <c r="B5910" t="s">
        <v>75</v>
      </c>
      <c r="C5910" t="s">
        <v>602</v>
      </c>
      <c r="D5910">
        <v>4370.2700000000004</v>
      </c>
      <c r="E5910" s="37" t="str">
        <f t="shared" si="460"/>
        <v xml:space="preserve"> </v>
      </c>
      <c r="F5910">
        <v>0.5</v>
      </c>
      <c r="G5910" s="37" t="str">
        <f t="shared" si="461"/>
        <v>Heavy Discount</v>
      </c>
      <c r="H5910" s="37" t="str">
        <f t="shared" si="462"/>
        <v>High</v>
      </c>
      <c r="I5910">
        <v>9</v>
      </c>
      <c r="J5910" t="str" cm="1">
        <f t="array" ref="J5910">_xlfn.IFS(I5910&lt;=3,"small",I5910&lt;=6,"Medium",I5910&lt;=9,"Large")</f>
        <v>Large</v>
      </c>
      <c r="K5910" s="36">
        <v>45045</v>
      </c>
      <c r="L5910" s="36">
        <v>45046</v>
      </c>
      <c r="M5910" t="s">
        <v>598</v>
      </c>
      <c r="N5910" t="s">
        <v>599</v>
      </c>
      <c r="O5910" s="37" t="str">
        <f t="shared" si="463"/>
        <v>Digital Payment</v>
      </c>
      <c r="P5910">
        <v>368.68</v>
      </c>
      <c r="Q5910" s="37" t="str">
        <f>IF(P5910&gt;500,"High","low")</f>
        <v>low</v>
      </c>
      <c r="R5910" s="37" t="str">
        <f t="shared" si="464"/>
        <v>AVERAGE</v>
      </c>
      <c r="S5910" t="s">
        <v>615</v>
      </c>
    </row>
    <row r="5911" spans="1:19" x14ac:dyDescent="0.2">
      <c r="A5911" t="s">
        <v>6522</v>
      </c>
      <c r="B5911" t="s">
        <v>90</v>
      </c>
      <c r="C5911" t="s">
        <v>607</v>
      </c>
      <c r="D5911">
        <v>2077.96</v>
      </c>
      <c r="E5911" s="37" t="str">
        <f t="shared" si="460"/>
        <v xml:space="preserve"> </v>
      </c>
      <c r="F5911">
        <v>0.4</v>
      </c>
      <c r="G5911" s="37" t="str">
        <f t="shared" si="461"/>
        <v>Heavy Discount</v>
      </c>
      <c r="H5911" s="37" t="str">
        <f t="shared" si="462"/>
        <v>Medium</v>
      </c>
      <c r="I5911">
        <v>4</v>
      </c>
      <c r="J5911" t="str" cm="1">
        <f t="array" ref="J5911">_xlfn.IFS(I5911&lt;=3,"small",I5911&lt;=6,"Medium",I5911&lt;=9,"Large")</f>
        <v>Medium</v>
      </c>
      <c r="K5911" s="36">
        <v>45494</v>
      </c>
      <c r="L5911" s="36">
        <v>45495</v>
      </c>
      <c r="M5911" t="s">
        <v>612</v>
      </c>
      <c r="N5911" t="s">
        <v>608</v>
      </c>
      <c r="O5911" s="37" t="str">
        <f t="shared" si="463"/>
        <v>Cash Payment</v>
      </c>
      <c r="P5911">
        <v>200.34</v>
      </c>
      <c r="Q5911" s="37" t="str">
        <f>IF(P5911&gt;500,"High","low")</f>
        <v>low</v>
      </c>
      <c r="R5911" s="37" t="str">
        <f t="shared" si="464"/>
        <v>AVERAGE</v>
      </c>
      <c r="S5911" t="s">
        <v>620</v>
      </c>
    </row>
    <row r="5912" spans="1:19" x14ac:dyDescent="0.2">
      <c r="A5912" t="s">
        <v>6523</v>
      </c>
      <c r="B5912" t="s">
        <v>90</v>
      </c>
      <c r="C5912" t="s">
        <v>602</v>
      </c>
      <c r="D5912">
        <v>4091.07</v>
      </c>
      <c r="E5912" s="37" t="str">
        <f t="shared" si="460"/>
        <v>Excellent Order</v>
      </c>
      <c r="F5912">
        <v>0.49</v>
      </c>
      <c r="G5912" s="37" t="str">
        <f t="shared" si="461"/>
        <v>Heavy Discount</v>
      </c>
      <c r="H5912" s="37" t="str">
        <f t="shared" si="462"/>
        <v>High</v>
      </c>
      <c r="I5912">
        <v>2</v>
      </c>
      <c r="J5912" t="str" cm="1">
        <f t="array" ref="J5912">_xlfn.IFS(I5912&lt;=3,"small",I5912&lt;=6,"Medium",I5912&lt;=9,"Large")</f>
        <v>small</v>
      </c>
      <c r="K5912" s="36">
        <v>45090</v>
      </c>
      <c r="L5912" s="36">
        <v>45096</v>
      </c>
      <c r="M5912" t="s">
        <v>612</v>
      </c>
      <c r="N5912" t="s">
        <v>599</v>
      </c>
      <c r="O5912" s="37" t="str">
        <f t="shared" si="463"/>
        <v>Digital Payment</v>
      </c>
      <c r="P5912">
        <v>951.49</v>
      </c>
      <c r="Q5912" s="37" t="str">
        <f>IF(P5912&gt;500,"High","low")</f>
        <v>High</v>
      </c>
      <c r="R5912" s="37" t="str">
        <f t="shared" si="464"/>
        <v>Good</v>
      </c>
      <c r="S5912" t="s">
        <v>615</v>
      </c>
    </row>
    <row r="5913" spans="1:19" x14ac:dyDescent="0.2">
      <c r="A5913" t="s">
        <v>6524</v>
      </c>
      <c r="B5913" t="s">
        <v>83</v>
      </c>
      <c r="C5913" t="s">
        <v>607</v>
      </c>
      <c r="D5913">
        <v>3587.09</v>
      </c>
      <c r="E5913" s="37" t="str">
        <f t="shared" si="460"/>
        <v xml:space="preserve"> </v>
      </c>
      <c r="F5913">
        <v>0.35</v>
      </c>
      <c r="G5913" s="37" t="str">
        <f t="shared" si="461"/>
        <v>Heavy Discount</v>
      </c>
      <c r="H5913" s="37" t="str">
        <f t="shared" si="462"/>
        <v>Medium</v>
      </c>
      <c r="I5913">
        <v>8</v>
      </c>
      <c r="J5913" t="str" cm="1">
        <f t="array" ref="J5913">_xlfn.IFS(I5913&lt;=3,"small",I5913&lt;=6,"Medium",I5913&lt;=9,"Large")</f>
        <v>Large</v>
      </c>
      <c r="K5913" s="36">
        <v>45130</v>
      </c>
      <c r="L5913" s="36">
        <v>45132</v>
      </c>
      <c r="M5913" t="s">
        <v>612</v>
      </c>
      <c r="N5913" t="s">
        <v>608</v>
      </c>
      <c r="O5913" s="37" t="str">
        <f t="shared" si="463"/>
        <v>Cash Payment</v>
      </c>
      <c r="P5913">
        <v>529.94000000000005</v>
      </c>
      <c r="Q5913" s="37" t="str">
        <f>IF(P5913&gt;500,"High","low")</f>
        <v>High</v>
      </c>
      <c r="R5913" s="37" t="str">
        <f t="shared" si="464"/>
        <v>Good</v>
      </c>
      <c r="S5913" t="s">
        <v>600</v>
      </c>
    </row>
    <row r="5914" spans="1:19" x14ac:dyDescent="0.2">
      <c r="A5914" t="s">
        <v>6525</v>
      </c>
      <c r="B5914" t="s">
        <v>90</v>
      </c>
      <c r="C5914" t="s">
        <v>617</v>
      </c>
      <c r="D5914">
        <v>401.86</v>
      </c>
      <c r="E5914" s="37" t="str">
        <f t="shared" si="460"/>
        <v xml:space="preserve"> </v>
      </c>
      <c r="F5914">
        <v>0.33</v>
      </c>
      <c r="G5914" s="37" t="str">
        <f t="shared" si="461"/>
        <v>Heavy Discount</v>
      </c>
      <c r="H5914" s="37" t="str">
        <f t="shared" si="462"/>
        <v>Medium</v>
      </c>
      <c r="I5914">
        <v>6</v>
      </c>
      <c r="J5914" t="str" cm="1">
        <f t="array" ref="J5914">_xlfn.IFS(I5914&lt;=3,"small",I5914&lt;=6,"Medium",I5914&lt;=9,"Large")</f>
        <v>Medium</v>
      </c>
      <c r="K5914" s="36">
        <v>45272</v>
      </c>
      <c r="L5914" s="36">
        <v>45273</v>
      </c>
      <c r="M5914" t="s">
        <v>598</v>
      </c>
      <c r="N5914" t="s">
        <v>599</v>
      </c>
      <c r="O5914" s="37" t="str">
        <f t="shared" si="463"/>
        <v>Digital Payment</v>
      </c>
      <c r="P5914">
        <v>83.24</v>
      </c>
      <c r="Q5914" s="37" t="str">
        <f>IF(P5914&gt;500,"High","low")</f>
        <v>low</v>
      </c>
      <c r="R5914" s="37" t="str">
        <f t="shared" si="464"/>
        <v>AVERAGE</v>
      </c>
      <c r="S5914" t="s">
        <v>615</v>
      </c>
    </row>
    <row r="5915" spans="1:19" x14ac:dyDescent="0.2">
      <c r="A5915" t="s">
        <v>6526</v>
      </c>
      <c r="B5915" t="s">
        <v>75</v>
      </c>
      <c r="C5915" t="s">
        <v>614</v>
      </c>
      <c r="D5915">
        <v>4655.82</v>
      </c>
      <c r="E5915" s="37" t="str">
        <f t="shared" si="460"/>
        <v xml:space="preserve"> </v>
      </c>
      <c r="F5915">
        <v>0.38</v>
      </c>
      <c r="G5915" s="37" t="str">
        <f t="shared" si="461"/>
        <v>Heavy Discount</v>
      </c>
      <c r="H5915" s="37" t="str">
        <f t="shared" si="462"/>
        <v>Medium</v>
      </c>
      <c r="I5915">
        <v>1</v>
      </c>
      <c r="J5915" t="str" cm="1">
        <f t="array" ref="J5915">_xlfn.IFS(I5915&lt;=3,"small",I5915&lt;=6,"Medium",I5915&lt;=9,"Large")</f>
        <v>small</v>
      </c>
      <c r="K5915" s="36">
        <v>44960</v>
      </c>
      <c r="L5915" s="36">
        <v>44966</v>
      </c>
      <c r="M5915" t="s">
        <v>603</v>
      </c>
      <c r="N5915" t="s">
        <v>604</v>
      </c>
      <c r="O5915" s="37" t="str">
        <f t="shared" si="463"/>
        <v>Digital Payment</v>
      </c>
      <c r="P5915">
        <v>273.38</v>
      </c>
      <c r="Q5915" s="37" t="str">
        <f>IF(P5915&gt;500,"High","low")</f>
        <v>low</v>
      </c>
      <c r="R5915" s="37" t="str">
        <f t="shared" si="464"/>
        <v>AVERAGE</v>
      </c>
      <c r="S5915" t="s">
        <v>620</v>
      </c>
    </row>
    <row r="5916" spans="1:19" x14ac:dyDescent="0.2">
      <c r="A5916" t="s">
        <v>6527</v>
      </c>
      <c r="B5916" t="s">
        <v>83</v>
      </c>
      <c r="C5916" t="s">
        <v>614</v>
      </c>
      <c r="D5916">
        <v>2383.21</v>
      </c>
      <c r="E5916" s="37" t="str">
        <f t="shared" si="460"/>
        <v xml:space="preserve"> </v>
      </c>
      <c r="F5916">
        <v>0.09</v>
      </c>
      <c r="G5916" s="37" t="str">
        <f t="shared" si="461"/>
        <v>Normal Discount</v>
      </c>
      <c r="H5916" s="37" t="str">
        <f t="shared" si="462"/>
        <v>Low</v>
      </c>
      <c r="I5916">
        <v>4</v>
      </c>
      <c r="J5916" t="str" cm="1">
        <f t="array" ref="J5916">_xlfn.IFS(I5916&lt;=3,"small",I5916&lt;=6,"Medium",I5916&lt;=9,"Large")</f>
        <v>Medium</v>
      </c>
      <c r="K5916" s="36">
        <v>45444</v>
      </c>
      <c r="L5916" s="36">
        <v>45449</v>
      </c>
      <c r="M5916" t="s">
        <v>603</v>
      </c>
      <c r="N5916" t="s">
        <v>599</v>
      </c>
      <c r="O5916" s="37" t="str">
        <f t="shared" si="463"/>
        <v>Digital Payment</v>
      </c>
      <c r="P5916">
        <v>600.29999999999995</v>
      </c>
      <c r="Q5916" s="37" t="str">
        <f>IF(P5916&gt;500,"High","low")</f>
        <v>High</v>
      </c>
      <c r="R5916" s="37" t="str">
        <f t="shared" si="464"/>
        <v>Good</v>
      </c>
      <c r="S5916" t="s">
        <v>605</v>
      </c>
    </row>
    <row r="5917" spans="1:19" x14ac:dyDescent="0.2">
      <c r="A5917" t="s">
        <v>6528</v>
      </c>
      <c r="B5917" t="s">
        <v>75</v>
      </c>
      <c r="C5917" t="s">
        <v>602</v>
      </c>
      <c r="D5917">
        <v>758.81</v>
      </c>
      <c r="E5917" s="37" t="str">
        <f t="shared" si="460"/>
        <v xml:space="preserve"> </v>
      </c>
      <c r="F5917">
        <v>0.4</v>
      </c>
      <c r="G5917" s="37" t="str">
        <f t="shared" si="461"/>
        <v>Heavy Discount</v>
      </c>
      <c r="H5917" s="37" t="str">
        <f t="shared" si="462"/>
        <v>Medium</v>
      </c>
      <c r="I5917">
        <v>5</v>
      </c>
      <c r="J5917" t="str" cm="1">
        <f t="array" ref="J5917">_xlfn.IFS(I5917&lt;=3,"small",I5917&lt;=6,"Medium",I5917&lt;=9,"Large")</f>
        <v>Medium</v>
      </c>
      <c r="K5917" s="36">
        <v>45484</v>
      </c>
      <c r="L5917" s="36">
        <v>45491</v>
      </c>
      <c r="M5917" t="s">
        <v>603</v>
      </c>
      <c r="N5917" t="s">
        <v>599</v>
      </c>
      <c r="O5917" s="37" t="str">
        <f t="shared" si="463"/>
        <v>Digital Payment</v>
      </c>
      <c r="P5917">
        <v>87.92</v>
      </c>
      <c r="Q5917" s="37" t="str">
        <f>IF(P5917&gt;500,"High","low")</f>
        <v>low</v>
      </c>
      <c r="R5917" s="37" t="str">
        <f t="shared" si="464"/>
        <v>AVERAGE</v>
      </c>
      <c r="S5917" t="s">
        <v>605</v>
      </c>
    </row>
    <row r="5918" spans="1:19" x14ac:dyDescent="0.2">
      <c r="A5918" t="s">
        <v>6529</v>
      </c>
      <c r="B5918" t="s">
        <v>75</v>
      </c>
      <c r="C5918" t="s">
        <v>607</v>
      </c>
      <c r="D5918">
        <v>2184.35</v>
      </c>
      <c r="E5918" s="37" t="str">
        <f t="shared" si="460"/>
        <v xml:space="preserve"> </v>
      </c>
      <c r="F5918">
        <v>0.49</v>
      </c>
      <c r="G5918" s="37" t="str">
        <f t="shared" si="461"/>
        <v>Heavy Discount</v>
      </c>
      <c r="H5918" s="37" t="str">
        <f t="shared" si="462"/>
        <v>High</v>
      </c>
      <c r="I5918">
        <v>1</v>
      </c>
      <c r="J5918" t="str" cm="1">
        <f t="array" ref="J5918">_xlfn.IFS(I5918&lt;=3,"small",I5918&lt;=6,"Medium",I5918&lt;=9,"Large")</f>
        <v>small</v>
      </c>
      <c r="K5918" s="36">
        <v>45643</v>
      </c>
      <c r="L5918" s="36">
        <v>45646</v>
      </c>
      <c r="M5918" t="s">
        <v>598</v>
      </c>
      <c r="N5918" t="s">
        <v>599</v>
      </c>
      <c r="O5918" s="37" t="str">
        <f t="shared" si="463"/>
        <v>Digital Payment</v>
      </c>
      <c r="P5918">
        <v>400.27</v>
      </c>
      <c r="Q5918" s="37" t="str">
        <f>IF(P5918&gt;500,"High","low")</f>
        <v>low</v>
      </c>
      <c r="R5918" s="37" t="str">
        <f t="shared" si="464"/>
        <v>AVERAGE</v>
      </c>
      <c r="S5918" t="s">
        <v>615</v>
      </c>
    </row>
    <row r="5919" spans="1:19" x14ac:dyDescent="0.2">
      <c r="A5919" t="s">
        <v>6530</v>
      </c>
      <c r="B5919" t="s">
        <v>83</v>
      </c>
      <c r="C5919" t="s">
        <v>614</v>
      </c>
      <c r="D5919">
        <v>3055.39</v>
      </c>
      <c r="E5919" s="37" t="str">
        <f t="shared" si="460"/>
        <v xml:space="preserve"> </v>
      </c>
      <c r="F5919">
        <v>0.31</v>
      </c>
      <c r="G5919" s="37" t="str">
        <f t="shared" si="461"/>
        <v>Heavy Discount</v>
      </c>
      <c r="H5919" s="37" t="str">
        <f t="shared" si="462"/>
        <v>Medium</v>
      </c>
      <c r="I5919">
        <v>2</v>
      </c>
      <c r="J5919" t="str" cm="1">
        <f t="array" ref="J5919">_xlfn.IFS(I5919&lt;=3,"small",I5919&lt;=6,"Medium",I5919&lt;=9,"Large")</f>
        <v>small</v>
      </c>
      <c r="K5919" s="36">
        <v>45557</v>
      </c>
      <c r="L5919" s="36">
        <v>45562</v>
      </c>
      <c r="M5919" t="s">
        <v>612</v>
      </c>
      <c r="N5919" t="s">
        <v>604</v>
      </c>
      <c r="O5919" s="37" t="str">
        <f t="shared" si="463"/>
        <v>Digital Payment</v>
      </c>
      <c r="P5919">
        <v>683.12</v>
      </c>
      <c r="Q5919" s="37" t="str">
        <f>IF(P5919&gt;500,"High","low")</f>
        <v>High</v>
      </c>
      <c r="R5919" s="37" t="str">
        <f t="shared" si="464"/>
        <v>Good</v>
      </c>
      <c r="S5919" t="s">
        <v>600</v>
      </c>
    </row>
    <row r="5920" spans="1:19" x14ac:dyDescent="0.2">
      <c r="A5920" t="s">
        <v>6531</v>
      </c>
      <c r="B5920" t="s">
        <v>90</v>
      </c>
      <c r="C5920" t="s">
        <v>607</v>
      </c>
      <c r="D5920">
        <v>2907.44</v>
      </c>
      <c r="E5920" s="37" t="str">
        <f t="shared" si="460"/>
        <v xml:space="preserve"> </v>
      </c>
      <c r="F5920">
        <v>0.01</v>
      </c>
      <c r="G5920" s="37" t="str">
        <f t="shared" si="461"/>
        <v>Normal Discount</v>
      </c>
      <c r="H5920" s="37" t="str">
        <f t="shared" si="462"/>
        <v>Low</v>
      </c>
      <c r="I5920">
        <v>9</v>
      </c>
      <c r="J5920" t="str" cm="1">
        <f t="array" ref="J5920">_xlfn.IFS(I5920&lt;=3,"small",I5920&lt;=6,"Medium",I5920&lt;=9,"Large")</f>
        <v>Large</v>
      </c>
      <c r="K5920" s="36">
        <v>45332</v>
      </c>
      <c r="L5920" s="36">
        <v>45339</v>
      </c>
      <c r="M5920" t="s">
        <v>603</v>
      </c>
      <c r="N5920" t="s">
        <v>604</v>
      </c>
      <c r="O5920" s="37" t="str">
        <f t="shared" si="463"/>
        <v>Digital Payment</v>
      </c>
      <c r="P5920">
        <v>266.08</v>
      </c>
      <c r="Q5920" s="37" t="str">
        <f>IF(P5920&gt;500,"High","low")</f>
        <v>low</v>
      </c>
      <c r="R5920" s="37" t="str">
        <f t="shared" si="464"/>
        <v>AVERAGE</v>
      </c>
      <c r="S5920" t="s">
        <v>605</v>
      </c>
    </row>
    <row r="5921" spans="1:19" x14ac:dyDescent="0.2">
      <c r="A5921" t="s">
        <v>6532</v>
      </c>
      <c r="B5921" t="s">
        <v>75</v>
      </c>
      <c r="C5921" t="s">
        <v>617</v>
      </c>
      <c r="D5921">
        <v>2916.49</v>
      </c>
      <c r="E5921" s="37" t="str">
        <f t="shared" si="460"/>
        <v xml:space="preserve"> </v>
      </c>
      <c r="F5921">
        <v>0.04</v>
      </c>
      <c r="G5921" s="37" t="str">
        <f t="shared" si="461"/>
        <v>Normal Discount</v>
      </c>
      <c r="H5921" s="37" t="str">
        <f t="shared" si="462"/>
        <v>Low</v>
      </c>
      <c r="I5921">
        <v>1</v>
      </c>
      <c r="J5921" t="str" cm="1">
        <f t="array" ref="J5921">_xlfn.IFS(I5921&lt;=3,"small",I5921&lt;=6,"Medium",I5921&lt;=9,"Large")</f>
        <v>small</v>
      </c>
      <c r="K5921" s="36">
        <v>45281</v>
      </c>
      <c r="L5921" s="36">
        <v>45285</v>
      </c>
      <c r="M5921" t="s">
        <v>612</v>
      </c>
      <c r="N5921" t="s">
        <v>608</v>
      </c>
      <c r="O5921" s="37" t="str">
        <f t="shared" si="463"/>
        <v>Cash Payment</v>
      </c>
      <c r="P5921">
        <v>203.32</v>
      </c>
      <c r="Q5921" s="37" t="str">
        <f>IF(P5921&gt;500,"High","low")</f>
        <v>low</v>
      </c>
      <c r="R5921" s="37" t="str">
        <f t="shared" si="464"/>
        <v>AVERAGE</v>
      </c>
      <c r="S5921" t="s">
        <v>615</v>
      </c>
    </row>
    <row r="5922" spans="1:19" x14ac:dyDescent="0.2">
      <c r="A5922" t="s">
        <v>6533</v>
      </c>
      <c r="B5922" t="s">
        <v>75</v>
      </c>
      <c r="C5922" t="s">
        <v>602</v>
      </c>
      <c r="D5922">
        <v>1353.61</v>
      </c>
      <c r="E5922" s="37" t="str">
        <f t="shared" si="460"/>
        <v xml:space="preserve"> </v>
      </c>
      <c r="F5922">
        <v>0.12</v>
      </c>
      <c r="G5922" s="37" t="str">
        <f t="shared" si="461"/>
        <v>Normal Discount</v>
      </c>
      <c r="H5922" s="37" t="str">
        <f t="shared" si="462"/>
        <v>Low</v>
      </c>
      <c r="I5922">
        <v>8</v>
      </c>
      <c r="J5922" t="str" cm="1">
        <f t="array" ref="J5922">_xlfn.IFS(I5922&lt;=3,"small",I5922&lt;=6,"Medium",I5922&lt;=9,"Large")</f>
        <v>Large</v>
      </c>
      <c r="K5922" s="36">
        <v>45009</v>
      </c>
      <c r="L5922" s="36">
        <v>45010</v>
      </c>
      <c r="M5922" t="s">
        <v>612</v>
      </c>
      <c r="N5922" t="s">
        <v>599</v>
      </c>
      <c r="O5922" s="37" t="str">
        <f t="shared" si="463"/>
        <v>Digital Payment</v>
      </c>
      <c r="P5922">
        <v>67.819999999999993</v>
      </c>
      <c r="Q5922" s="37" t="str">
        <f>IF(P5922&gt;500,"High","low")</f>
        <v>low</v>
      </c>
      <c r="R5922" s="37" t="str">
        <f t="shared" si="464"/>
        <v>AVERAGE</v>
      </c>
      <c r="S5922" t="s">
        <v>620</v>
      </c>
    </row>
    <row r="5923" spans="1:19" x14ac:dyDescent="0.2">
      <c r="A5923" t="s">
        <v>6534</v>
      </c>
      <c r="B5923" t="s">
        <v>75</v>
      </c>
      <c r="C5923" t="s">
        <v>607</v>
      </c>
      <c r="D5923">
        <v>3200.24</v>
      </c>
      <c r="E5923" s="37" t="str">
        <f t="shared" si="460"/>
        <v xml:space="preserve"> </v>
      </c>
      <c r="F5923">
        <v>0.25</v>
      </c>
      <c r="G5923" s="37" t="str">
        <f t="shared" si="461"/>
        <v>Normal Discount</v>
      </c>
      <c r="H5923" s="37" t="str">
        <f t="shared" si="462"/>
        <v>Medium</v>
      </c>
      <c r="I5923">
        <v>9</v>
      </c>
      <c r="J5923" t="str" cm="1">
        <f t="array" ref="J5923">_xlfn.IFS(I5923&lt;=3,"small",I5923&lt;=6,"Medium",I5923&lt;=9,"Large")</f>
        <v>Large</v>
      </c>
      <c r="K5923" s="36">
        <v>45077</v>
      </c>
      <c r="L5923" s="36">
        <v>45079</v>
      </c>
      <c r="M5923" t="s">
        <v>598</v>
      </c>
      <c r="N5923" t="s">
        <v>604</v>
      </c>
      <c r="O5923" s="37" t="str">
        <f t="shared" si="463"/>
        <v>Digital Payment</v>
      </c>
      <c r="P5923">
        <v>206.23</v>
      </c>
      <c r="Q5923" s="37" t="str">
        <f>IF(P5923&gt;500,"High","low")</f>
        <v>low</v>
      </c>
      <c r="R5923" s="37" t="str">
        <f t="shared" si="464"/>
        <v>AVERAGE</v>
      </c>
      <c r="S5923" t="s">
        <v>609</v>
      </c>
    </row>
    <row r="5924" spans="1:19" x14ac:dyDescent="0.2">
      <c r="A5924" t="s">
        <v>6535</v>
      </c>
      <c r="B5924" t="s">
        <v>75</v>
      </c>
      <c r="C5924" t="s">
        <v>602</v>
      </c>
      <c r="D5924">
        <v>4546.33</v>
      </c>
      <c r="E5924" s="37" t="str">
        <f t="shared" si="460"/>
        <v>Excellent Order</v>
      </c>
      <c r="F5924">
        <v>0.21</v>
      </c>
      <c r="G5924" s="37" t="str">
        <f t="shared" si="461"/>
        <v>Normal Discount</v>
      </c>
      <c r="H5924" s="37" t="str">
        <f t="shared" si="462"/>
        <v>Medium</v>
      </c>
      <c r="I5924">
        <v>2</v>
      </c>
      <c r="J5924" t="str" cm="1">
        <f t="array" ref="J5924">_xlfn.IFS(I5924&lt;=3,"small",I5924&lt;=6,"Medium",I5924&lt;=9,"Large")</f>
        <v>small</v>
      </c>
      <c r="K5924" s="36">
        <v>45040</v>
      </c>
      <c r="L5924" s="36">
        <v>45047</v>
      </c>
      <c r="M5924" t="s">
        <v>598</v>
      </c>
      <c r="N5924" t="s">
        <v>608</v>
      </c>
      <c r="O5924" s="37" t="str">
        <f t="shared" si="463"/>
        <v>Cash Payment</v>
      </c>
      <c r="P5924">
        <v>1262.6199999999999</v>
      </c>
      <c r="Q5924" s="37" t="str">
        <f>IF(P5924&gt;500,"High","low")</f>
        <v>High</v>
      </c>
      <c r="R5924" s="37" t="str">
        <f t="shared" si="464"/>
        <v>Excellent</v>
      </c>
      <c r="S5924" t="s">
        <v>605</v>
      </c>
    </row>
    <row r="5925" spans="1:19" x14ac:dyDescent="0.2">
      <c r="A5925" t="s">
        <v>6536</v>
      </c>
      <c r="B5925" t="s">
        <v>83</v>
      </c>
      <c r="C5925" t="s">
        <v>607</v>
      </c>
      <c r="D5925">
        <v>2004.47</v>
      </c>
      <c r="E5925" s="37" t="str">
        <f t="shared" si="460"/>
        <v xml:space="preserve"> </v>
      </c>
      <c r="F5925">
        <v>0.49</v>
      </c>
      <c r="G5925" s="37" t="str">
        <f t="shared" si="461"/>
        <v>Heavy Discount</v>
      </c>
      <c r="H5925" s="37" t="str">
        <f t="shared" si="462"/>
        <v>High</v>
      </c>
      <c r="I5925">
        <v>2</v>
      </c>
      <c r="J5925" t="str" cm="1">
        <f t="array" ref="J5925">_xlfn.IFS(I5925&lt;=3,"small",I5925&lt;=6,"Medium",I5925&lt;=9,"Large")</f>
        <v>small</v>
      </c>
      <c r="K5925" s="36">
        <v>45502</v>
      </c>
      <c r="L5925" s="36">
        <v>45508</v>
      </c>
      <c r="M5925" t="s">
        <v>598</v>
      </c>
      <c r="N5925" t="s">
        <v>599</v>
      </c>
      <c r="O5925" s="37" t="str">
        <f t="shared" si="463"/>
        <v>Digital Payment</v>
      </c>
      <c r="P5925">
        <v>360.43</v>
      </c>
      <c r="Q5925" s="37" t="str">
        <f>IF(P5925&gt;500,"High","low")</f>
        <v>low</v>
      </c>
      <c r="R5925" s="37" t="str">
        <f t="shared" si="464"/>
        <v>AVERAGE</v>
      </c>
      <c r="S5925" t="s">
        <v>620</v>
      </c>
    </row>
    <row r="5926" spans="1:19" x14ac:dyDescent="0.2">
      <c r="A5926" t="s">
        <v>6537</v>
      </c>
      <c r="B5926" t="s">
        <v>83</v>
      </c>
      <c r="C5926" t="s">
        <v>607</v>
      </c>
      <c r="D5926">
        <v>3189.84</v>
      </c>
      <c r="E5926" s="37" t="str">
        <f t="shared" si="460"/>
        <v xml:space="preserve"> </v>
      </c>
      <c r="F5926">
        <v>0.47</v>
      </c>
      <c r="G5926" s="37" t="str">
        <f t="shared" si="461"/>
        <v>Heavy Discount</v>
      </c>
      <c r="H5926" s="37" t="str">
        <f t="shared" si="462"/>
        <v>High</v>
      </c>
      <c r="I5926">
        <v>7</v>
      </c>
      <c r="J5926" t="str" cm="1">
        <f t="array" ref="J5926">_xlfn.IFS(I5926&lt;=3,"small",I5926&lt;=6,"Medium",I5926&lt;=9,"Large")</f>
        <v>Large</v>
      </c>
      <c r="K5926" s="36">
        <v>45534</v>
      </c>
      <c r="L5926" s="36">
        <v>45538</v>
      </c>
      <c r="M5926" t="s">
        <v>598</v>
      </c>
      <c r="N5926" t="s">
        <v>604</v>
      </c>
      <c r="O5926" s="37" t="str">
        <f t="shared" si="463"/>
        <v>Digital Payment</v>
      </c>
      <c r="P5926">
        <v>211.14</v>
      </c>
      <c r="Q5926" s="37" t="str">
        <f>IF(P5926&gt;500,"High","low")</f>
        <v>low</v>
      </c>
      <c r="R5926" s="37" t="str">
        <f t="shared" si="464"/>
        <v>AVERAGE</v>
      </c>
      <c r="S5926" t="s">
        <v>609</v>
      </c>
    </row>
    <row r="5927" spans="1:19" x14ac:dyDescent="0.2">
      <c r="A5927" t="s">
        <v>6538</v>
      </c>
      <c r="B5927" t="s">
        <v>67</v>
      </c>
      <c r="C5927" t="s">
        <v>617</v>
      </c>
      <c r="D5927">
        <v>1295.54</v>
      </c>
      <c r="E5927" s="37" t="str">
        <f t="shared" si="460"/>
        <v xml:space="preserve"> </v>
      </c>
      <c r="F5927">
        <v>0.2</v>
      </c>
      <c r="G5927" s="37" t="str">
        <f t="shared" si="461"/>
        <v>Normal Discount</v>
      </c>
      <c r="H5927" s="37" t="str">
        <f t="shared" si="462"/>
        <v>Medium</v>
      </c>
      <c r="I5927">
        <v>9</v>
      </c>
      <c r="J5927" t="str" cm="1">
        <f t="array" ref="J5927">_xlfn.IFS(I5927&lt;=3,"small",I5927&lt;=6,"Medium",I5927&lt;=9,"Large")</f>
        <v>Large</v>
      </c>
      <c r="K5927" s="36">
        <v>45098</v>
      </c>
      <c r="L5927" s="36">
        <v>45099</v>
      </c>
      <c r="M5927" t="s">
        <v>603</v>
      </c>
      <c r="N5927" t="s">
        <v>604</v>
      </c>
      <c r="O5927" s="37" t="str">
        <f t="shared" si="463"/>
        <v>Digital Payment</v>
      </c>
      <c r="P5927">
        <v>387.51</v>
      </c>
      <c r="Q5927" s="37" t="str">
        <f>IF(P5927&gt;500,"High","low")</f>
        <v>low</v>
      </c>
      <c r="R5927" s="37" t="str">
        <f t="shared" si="464"/>
        <v>AVERAGE</v>
      </c>
      <c r="S5927" t="s">
        <v>628</v>
      </c>
    </row>
    <row r="5928" spans="1:19" x14ac:dyDescent="0.2">
      <c r="A5928" t="s">
        <v>6539</v>
      </c>
      <c r="B5928" t="s">
        <v>67</v>
      </c>
      <c r="C5928" t="s">
        <v>602</v>
      </c>
      <c r="D5928">
        <v>336.58</v>
      </c>
      <c r="E5928" s="37" t="str">
        <f t="shared" si="460"/>
        <v xml:space="preserve"> </v>
      </c>
      <c r="F5928">
        <v>0.4</v>
      </c>
      <c r="G5928" s="37" t="str">
        <f t="shared" si="461"/>
        <v>Heavy Discount</v>
      </c>
      <c r="H5928" s="37" t="str">
        <f t="shared" si="462"/>
        <v>Medium</v>
      </c>
      <c r="I5928">
        <v>9</v>
      </c>
      <c r="J5928" t="str" cm="1">
        <f t="array" ref="J5928">_xlfn.IFS(I5928&lt;=3,"small",I5928&lt;=6,"Medium",I5928&lt;=9,"Large")</f>
        <v>Large</v>
      </c>
      <c r="K5928" s="36">
        <v>44937</v>
      </c>
      <c r="L5928" s="36">
        <v>44938</v>
      </c>
      <c r="M5928" t="s">
        <v>612</v>
      </c>
      <c r="N5928" t="s">
        <v>599</v>
      </c>
      <c r="O5928" s="37" t="str">
        <f t="shared" si="463"/>
        <v>Digital Payment</v>
      </c>
      <c r="P5928">
        <v>24.45</v>
      </c>
      <c r="Q5928" s="37" t="str">
        <f>IF(P5928&gt;500,"High","low")</f>
        <v>low</v>
      </c>
      <c r="R5928" s="37" t="str">
        <f t="shared" si="464"/>
        <v>AVERAGE</v>
      </c>
      <c r="S5928" t="s">
        <v>620</v>
      </c>
    </row>
    <row r="5929" spans="1:19" x14ac:dyDescent="0.2">
      <c r="A5929" t="s">
        <v>6540</v>
      </c>
      <c r="B5929" t="s">
        <v>75</v>
      </c>
      <c r="C5929" t="s">
        <v>597</v>
      </c>
      <c r="D5929">
        <v>2970.08</v>
      </c>
      <c r="E5929" s="37" t="str">
        <f t="shared" si="460"/>
        <v xml:space="preserve"> </v>
      </c>
      <c r="F5929">
        <v>0.32</v>
      </c>
      <c r="G5929" s="37" t="str">
        <f t="shared" si="461"/>
        <v>Heavy Discount</v>
      </c>
      <c r="H5929" s="37" t="str">
        <f t="shared" si="462"/>
        <v>Medium</v>
      </c>
      <c r="I5929">
        <v>3</v>
      </c>
      <c r="J5929" t="str" cm="1">
        <f t="array" ref="J5929">_xlfn.IFS(I5929&lt;=3,"small",I5929&lt;=6,"Medium",I5929&lt;=9,"Large")</f>
        <v>small</v>
      </c>
      <c r="K5929" s="36">
        <v>45506</v>
      </c>
      <c r="L5929" s="36">
        <v>45509</v>
      </c>
      <c r="M5929" t="s">
        <v>603</v>
      </c>
      <c r="N5929" t="s">
        <v>604</v>
      </c>
      <c r="O5929" s="37" t="str">
        <f t="shared" si="463"/>
        <v>Digital Payment</v>
      </c>
      <c r="P5929">
        <v>830.27</v>
      </c>
      <c r="Q5929" s="37" t="str">
        <f>IF(P5929&gt;500,"High","low")</f>
        <v>High</v>
      </c>
      <c r="R5929" s="37" t="str">
        <f t="shared" si="464"/>
        <v>Good</v>
      </c>
      <c r="S5929" t="s">
        <v>620</v>
      </c>
    </row>
    <row r="5930" spans="1:19" x14ac:dyDescent="0.2">
      <c r="A5930" t="s">
        <v>6541</v>
      </c>
      <c r="B5930" t="s">
        <v>90</v>
      </c>
      <c r="C5930" t="s">
        <v>607</v>
      </c>
      <c r="D5930">
        <v>332.99</v>
      </c>
      <c r="E5930" s="37" t="str">
        <f t="shared" si="460"/>
        <v xml:space="preserve"> </v>
      </c>
      <c r="F5930">
        <v>0.12</v>
      </c>
      <c r="G5930" s="37" t="str">
        <f t="shared" si="461"/>
        <v>Normal Discount</v>
      </c>
      <c r="H5930" s="37" t="str">
        <f t="shared" si="462"/>
        <v>Low</v>
      </c>
      <c r="I5930">
        <v>7</v>
      </c>
      <c r="J5930" t="str" cm="1">
        <f t="array" ref="J5930">_xlfn.IFS(I5930&lt;=3,"small",I5930&lt;=6,"Medium",I5930&lt;=9,"Large")</f>
        <v>Large</v>
      </c>
      <c r="K5930" s="36">
        <v>45243</v>
      </c>
      <c r="L5930" s="36">
        <v>45245</v>
      </c>
      <c r="M5930" t="s">
        <v>612</v>
      </c>
      <c r="N5930" t="s">
        <v>608</v>
      </c>
      <c r="O5930" s="37" t="str">
        <f t="shared" si="463"/>
        <v>Cash Payment</v>
      </c>
      <c r="P5930">
        <v>34.89</v>
      </c>
      <c r="Q5930" s="37" t="str">
        <f>IF(P5930&gt;500,"High","low")</f>
        <v>low</v>
      </c>
      <c r="R5930" s="37" t="str">
        <f t="shared" si="464"/>
        <v>AVERAGE</v>
      </c>
      <c r="S5930" t="s">
        <v>615</v>
      </c>
    </row>
    <row r="5931" spans="1:19" x14ac:dyDescent="0.2">
      <c r="A5931" t="s">
        <v>6542</v>
      </c>
      <c r="B5931" t="s">
        <v>75</v>
      </c>
      <c r="C5931" t="s">
        <v>607</v>
      </c>
      <c r="D5931">
        <v>3645.56</v>
      </c>
      <c r="E5931" s="37" t="str">
        <f t="shared" si="460"/>
        <v xml:space="preserve"> </v>
      </c>
      <c r="F5931">
        <v>0.47</v>
      </c>
      <c r="G5931" s="37" t="str">
        <f t="shared" si="461"/>
        <v>Heavy Discount</v>
      </c>
      <c r="H5931" s="37" t="str">
        <f t="shared" si="462"/>
        <v>High</v>
      </c>
      <c r="I5931">
        <v>6</v>
      </c>
      <c r="J5931" t="str" cm="1">
        <f t="array" ref="J5931">_xlfn.IFS(I5931&lt;=3,"small",I5931&lt;=6,"Medium",I5931&lt;=9,"Large")</f>
        <v>Medium</v>
      </c>
      <c r="K5931" s="36">
        <v>45514</v>
      </c>
      <c r="L5931" s="36">
        <v>45519</v>
      </c>
      <c r="M5931" t="s">
        <v>603</v>
      </c>
      <c r="N5931" t="s">
        <v>608</v>
      </c>
      <c r="O5931" s="37" t="str">
        <f t="shared" si="463"/>
        <v>Cash Payment</v>
      </c>
      <c r="P5931">
        <v>822.71</v>
      </c>
      <c r="Q5931" s="37" t="str">
        <f>IF(P5931&gt;500,"High","low")</f>
        <v>High</v>
      </c>
      <c r="R5931" s="37" t="str">
        <f t="shared" si="464"/>
        <v>Good</v>
      </c>
      <c r="S5931" t="s">
        <v>605</v>
      </c>
    </row>
    <row r="5932" spans="1:19" x14ac:dyDescent="0.2">
      <c r="A5932" t="s">
        <v>6543</v>
      </c>
      <c r="B5932" t="s">
        <v>90</v>
      </c>
      <c r="C5932" t="s">
        <v>614</v>
      </c>
      <c r="D5932">
        <v>3384.73</v>
      </c>
      <c r="E5932" s="37" t="str">
        <f t="shared" si="460"/>
        <v xml:space="preserve"> </v>
      </c>
      <c r="F5932">
        <v>0.13</v>
      </c>
      <c r="G5932" s="37" t="str">
        <f t="shared" si="461"/>
        <v>Normal Discount</v>
      </c>
      <c r="H5932" s="37" t="str">
        <f t="shared" si="462"/>
        <v>Low</v>
      </c>
      <c r="I5932">
        <v>8</v>
      </c>
      <c r="J5932" t="str" cm="1">
        <f t="array" ref="J5932">_xlfn.IFS(I5932&lt;=3,"small",I5932&lt;=6,"Medium",I5932&lt;=9,"Large")</f>
        <v>Large</v>
      </c>
      <c r="K5932" s="36">
        <v>45494</v>
      </c>
      <c r="L5932" s="36">
        <v>45495</v>
      </c>
      <c r="M5932" t="s">
        <v>612</v>
      </c>
      <c r="N5932" t="s">
        <v>604</v>
      </c>
      <c r="O5932" s="37" t="str">
        <f t="shared" si="463"/>
        <v>Digital Payment</v>
      </c>
      <c r="P5932">
        <v>366.61</v>
      </c>
      <c r="Q5932" s="37" t="str">
        <f>IF(P5932&gt;500,"High","low")</f>
        <v>low</v>
      </c>
      <c r="R5932" s="37" t="str">
        <f t="shared" si="464"/>
        <v>AVERAGE</v>
      </c>
      <c r="S5932" t="s">
        <v>615</v>
      </c>
    </row>
    <row r="5933" spans="1:19" x14ac:dyDescent="0.2">
      <c r="A5933" t="s">
        <v>6544</v>
      </c>
      <c r="B5933" t="s">
        <v>75</v>
      </c>
      <c r="C5933" t="s">
        <v>602</v>
      </c>
      <c r="D5933">
        <v>1909.69</v>
      </c>
      <c r="E5933" s="37" t="str">
        <f t="shared" si="460"/>
        <v xml:space="preserve"> </v>
      </c>
      <c r="F5933">
        <v>0.44</v>
      </c>
      <c r="G5933" s="37" t="str">
        <f t="shared" si="461"/>
        <v>Heavy Discount</v>
      </c>
      <c r="H5933" s="37" t="str">
        <f t="shared" si="462"/>
        <v>High</v>
      </c>
      <c r="I5933">
        <v>8</v>
      </c>
      <c r="J5933" t="str" cm="1">
        <f t="array" ref="J5933">_xlfn.IFS(I5933&lt;=3,"small",I5933&lt;=6,"Medium",I5933&lt;=9,"Large")</f>
        <v>Large</v>
      </c>
      <c r="K5933" s="36">
        <v>45617</v>
      </c>
      <c r="L5933" s="36">
        <v>45621</v>
      </c>
      <c r="M5933" t="s">
        <v>598</v>
      </c>
      <c r="N5933" t="s">
        <v>604</v>
      </c>
      <c r="O5933" s="37" t="str">
        <f t="shared" si="463"/>
        <v>Digital Payment</v>
      </c>
      <c r="P5933">
        <v>569.13</v>
      </c>
      <c r="Q5933" s="37" t="str">
        <f>IF(P5933&gt;500,"High","low")</f>
        <v>High</v>
      </c>
      <c r="R5933" s="37" t="str">
        <f t="shared" si="464"/>
        <v>Good</v>
      </c>
      <c r="S5933" t="s">
        <v>600</v>
      </c>
    </row>
    <row r="5934" spans="1:19" x14ac:dyDescent="0.2">
      <c r="A5934" t="s">
        <v>6545</v>
      </c>
      <c r="B5934" t="s">
        <v>67</v>
      </c>
      <c r="C5934" t="s">
        <v>597</v>
      </c>
      <c r="D5934">
        <v>2115.3200000000002</v>
      </c>
      <c r="E5934" s="37" t="str">
        <f t="shared" si="460"/>
        <v xml:space="preserve"> </v>
      </c>
      <c r="F5934">
        <v>0.32</v>
      </c>
      <c r="G5934" s="37" t="str">
        <f t="shared" si="461"/>
        <v>Heavy Discount</v>
      </c>
      <c r="H5934" s="37" t="str">
        <f t="shared" si="462"/>
        <v>Medium</v>
      </c>
      <c r="I5934">
        <v>8</v>
      </c>
      <c r="J5934" t="str" cm="1">
        <f t="array" ref="J5934">_xlfn.IFS(I5934&lt;=3,"small",I5934&lt;=6,"Medium",I5934&lt;=9,"Large")</f>
        <v>Large</v>
      </c>
      <c r="K5934" s="36">
        <v>44989</v>
      </c>
      <c r="L5934" s="36">
        <v>44995</v>
      </c>
      <c r="M5934" t="s">
        <v>598</v>
      </c>
      <c r="N5934" t="s">
        <v>604</v>
      </c>
      <c r="O5934" s="37" t="str">
        <f t="shared" si="463"/>
        <v>Digital Payment</v>
      </c>
      <c r="P5934">
        <v>200.69</v>
      </c>
      <c r="Q5934" s="37" t="str">
        <f>IF(P5934&gt;500,"High","low")</f>
        <v>low</v>
      </c>
      <c r="R5934" s="37" t="str">
        <f t="shared" si="464"/>
        <v>AVERAGE</v>
      </c>
      <c r="S5934" t="s">
        <v>615</v>
      </c>
    </row>
    <row r="5935" spans="1:19" x14ac:dyDescent="0.2">
      <c r="A5935" t="s">
        <v>6546</v>
      </c>
      <c r="B5935" t="s">
        <v>67</v>
      </c>
      <c r="C5935" t="s">
        <v>617</v>
      </c>
      <c r="D5935">
        <v>4597.03</v>
      </c>
      <c r="E5935" s="37" t="str">
        <f t="shared" si="460"/>
        <v xml:space="preserve"> </v>
      </c>
      <c r="F5935">
        <v>0.31</v>
      </c>
      <c r="G5935" s="37" t="str">
        <f t="shared" si="461"/>
        <v>Heavy Discount</v>
      </c>
      <c r="H5935" s="37" t="str">
        <f t="shared" si="462"/>
        <v>Medium</v>
      </c>
      <c r="I5935">
        <v>8</v>
      </c>
      <c r="J5935" t="str" cm="1">
        <f t="array" ref="J5935">_xlfn.IFS(I5935&lt;=3,"small",I5935&lt;=6,"Medium",I5935&lt;=9,"Large")</f>
        <v>Large</v>
      </c>
      <c r="K5935" s="36">
        <v>45157</v>
      </c>
      <c r="L5935" s="36">
        <v>45159</v>
      </c>
      <c r="M5935" t="s">
        <v>612</v>
      </c>
      <c r="N5935" t="s">
        <v>608</v>
      </c>
      <c r="O5935" s="37" t="str">
        <f t="shared" si="463"/>
        <v>Cash Payment</v>
      </c>
      <c r="P5935">
        <v>632.83000000000004</v>
      </c>
      <c r="Q5935" s="37" t="str">
        <f>IF(P5935&gt;500,"High","low")</f>
        <v>High</v>
      </c>
      <c r="R5935" s="37" t="str">
        <f t="shared" si="464"/>
        <v>Good</v>
      </c>
      <c r="S5935" t="s">
        <v>620</v>
      </c>
    </row>
    <row r="5936" spans="1:19" x14ac:dyDescent="0.2">
      <c r="A5936" t="s">
        <v>6547</v>
      </c>
      <c r="B5936" t="s">
        <v>90</v>
      </c>
      <c r="C5936" t="s">
        <v>597</v>
      </c>
      <c r="D5936">
        <v>164.35</v>
      </c>
      <c r="E5936" s="37" t="str">
        <f t="shared" si="460"/>
        <v xml:space="preserve"> </v>
      </c>
      <c r="F5936">
        <v>0.42</v>
      </c>
      <c r="G5936" s="37" t="str">
        <f t="shared" si="461"/>
        <v>Heavy Discount</v>
      </c>
      <c r="H5936" s="37" t="str">
        <f t="shared" si="462"/>
        <v>High</v>
      </c>
      <c r="I5936">
        <v>6</v>
      </c>
      <c r="J5936" t="str" cm="1">
        <f t="array" ref="J5936">_xlfn.IFS(I5936&lt;=3,"small",I5936&lt;=6,"Medium",I5936&lt;=9,"Large")</f>
        <v>Medium</v>
      </c>
      <c r="K5936" s="36">
        <v>44936</v>
      </c>
      <c r="L5936" s="36">
        <v>44941</v>
      </c>
      <c r="M5936" t="s">
        <v>603</v>
      </c>
      <c r="N5936" t="s">
        <v>608</v>
      </c>
      <c r="O5936" s="37" t="str">
        <f t="shared" si="463"/>
        <v>Cash Payment</v>
      </c>
      <c r="P5936">
        <v>13.82</v>
      </c>
      <c r="Q5936" s="37" t="str">
        <f>IF(P5936&gt;500,"High","low")</f>
        <v>low</v>
      </c>
      <c r="R5936" s="37" t="str">
        <f t="shared" si="464"/>
        <v>AVERAGE</v>
      </c>
      <c r="S5936" t="s">
        <v>605</v>
      </c>
    </row>
    <row r="5937" spans="1:19" x14ac:dyDescent="0.2">
      <c r="A5937" t="s">
        <v>6548</v>
      </c>
      <c r="B5937" t="s">
        <v>75</v>
      </c>
      <c r="C5937" t="s">
        <v>617</v>
      </c>
      <c r="D5937">
        <v>2860.19</v>
      </c>
      <c r="E5937" s="37" t="str">
        <f t="shared" si="460"/>
        <v xml:space="preserve"> </v>
      </c>
      <c r="F5937">
        <v>0.25</v>
      </c>
      <c r="G5937" s="37" t="str">
        <f t="shared" si="461"/>
        <v>Normal Discount</v>
      </c>
      <c r="H5937" s="37" t="str">
        <f t="shared" si="462"/>
        <v>Medium</v>
      </c>
      <c r="I5937">
        <v>9</v>
      </c>
      <c r="J5937" t="str" cm="1">
        <f t="array" ref="J5937">_xlfn.IFS(I5937&lt;=3,"small",I5937&lt;=6,"Medium",I5937&lt;=9,"Large")</f>
        <v>Large</v>
      </c>
      <c r="K5937" s="36">
        <v>45425</v>
      </c>
      <c r="L5937" s="36">
        <v>45431</v>
      </c>
      <c r="M5937" t="s">
        <v>612</v>
      </c>
      <c r="N5937" t="s">
        <v>604</v>
      </c>
      <c r="O5937" s="37" t="str">
        <f t="shared" si="463"/>
        <v>Digital Payment</v>
      </c>
      <c r="P5937">
        <v>496.86</v>
      </c>
      <c r="Q5937" s="37" t="str">
        <f>IF(P5937&gt;500,"High","low")</f>
        <v>low</v>
      </c>
      <c r="R5937" s="37" t="str">
        <f t="shared" si="464"/>
        <v>AVERAGE</v>
      </c>
      <c r="S5937" t="s">
        <v>615</v>
      </c>
    </row>
    <row r="5938" spans="1:19" x14ac:dyDescent="0.2">
      <c r="A5938" t="s">
        <v>6549</v>
      </c>
      <c r="B5938" t="s">
        <v>90</v>
      </c>
      <c r="C5938" t="s">
        <v>597</v>
      </c>
      <c r="D5938">
        <v>4624.47</v>
      </c>
      <c r="E5938" s="37" t="str">
        <f t="shared" si="460"/>
        <v xml:space="preserve"> </v>
      </c>
      <c r="F5938">
        <v>0.43</v>
      </c>
      <c r="G5938" s="37" t="str">
        <f t="shared" si="461"/>
        <v>Heavy Discount</v>
      </c>
      <c r="H5938" s="37" t="str">
        <f t="shared" si="462"/>
        <v>High</v>
      </c>
      <c r="I5938">
        <v>5</v>
      </c>
      <c r="J5938" t="str" cm="1">
        <f t="array" ref="J5938">_xlfn.IFS(I5938&lt;=3,"small",I5938&lt;=6,"Medium",I5938&lt;=9,"Large")</f>
        <v>Medium</v>
      </c>
      <c r="K5938" s="36">
        <v>45439</v>
      </c>
      <c r="L5938" s="36">
        <v>45443</v>
      </c>
      <c r="M5938" t="s">
        <v>598</v>
      </c>
      <c r="N5938" t="s">
        <v>608</v>
      </c>
      <c r="O5938" s="37" t="str">
        <f t="shared" si="463"/>
        <v>Cash Payment</v>
      </c>
      <c r="P5938">
        <v>728.04</v>
      </c>
      <c r="Q5938" s="37" t="str">
        <f>IF(P5938&gt;500,"High","low")</f>
        <v>High</v>
      </c>
      <c r="R5938" s="37" t="str">
        <f t="shared" si="464"/>
        <v>Good</v>
      </c>
      <c r="S5938" t="s">
        <v>628</v>
      </c>
    </row>
    <row r="5939" spans="1:19" x14ac:dyDescent="0.2">
      <c r="A5939" t="s">
        <v>6550</v>
      </c>
      <c r="B5939" t="s">
        <v>67</v>
      </c>
      <c r="C5939" t="s">
        <v>597</v>
      </c>
      <c r="D5939">
        <v>4578.54</v>
      </c>
      <c r="E5939" s="37" t="str">
        <f t="shared" si="460"/>
        <v>Excellent Order</v>
      </c>
      <c r="F5939">
        <v>0.28000000000000003</v>
      </c>
      <c r="G5939" s="37" t="str">
        <f t="shared" si="461"/>
        <v>Normal Discount</v>
      </c>
      <c r="H5939" s="37" t="str">
        <f t="shared" si="462"/>
        <v>Medium</v>
      </c>
      <c r="I5939">
        <v>4</v>
      </c>
      <c r="J5939" t="str" cm="1">
        <f t="array" ref="J5939">_xlfn.IFS(I5939&lt;=3,"small",I5939&lt;=6,"Medium",I5939&lt;=9,"Large")</f>
        <v>Medium</v>
      </c>
      <c r="K5939" s="36">
        <v>45486</v>
      </c>
      <c r="L5939" s="36">
        <v>45493</v>
      </c>
      <c r="M5939" t="s">
        <v>598</v>
      </c>
      <c r="N5939" t="s">
        <v>599</v>
      </c>
      <c r="O5939" s="37" t="str">
        <f t="shared" si="463"/>
        <v>Digital Payment</v>
      </c>
      <c r="P5939">
        <v>1160.26</v>
      </c>
      <c r="Q5939" s="37" t="str">
        <f>IF(P5939&gt;500,"High","low")</f>
        <v>High</v>
      </c>
      <c r="R5939" s="37" t="str">
        <f t="shared" si="464"/>
        <v>Excellent</v>
      </c>
      <c r="S5939" t="s">
        <v>615</v>
      </c>
    </row>
    <row r="5940" spans="1:19" x14ac:dyDescent="0.2">
      <c r="A5940" t="s">
        <v>6551</v>
      </c>
      <c r="B5940" t="s">
        <v>75</v>
      </c>
      <c r="C5940" t="s">
        <v>602</v>
      </c>
      <c r="D5940">
        <v>2964.81</v>
      </c>
      <c r="E5940" s="37" t="str">
        <f t="shared" si="460"/>
        <v xml:space="preserve"> </v>
      </c>
      <c r="F5940">
        <v>0.49</v>
      </c>
      <c r="G5940" s="37" t="str">
        <f t="shared" si="461"/>
        <v>Heavy Discount</v>
      </c>
      <c r="H5940" s="37" t="str">
        <f t="shared" si="462"/>
        <v>High</v>
      </c>
      <c r="I5940">
        <v>7</v>
      </c>
      <c r="J5940" t="str" cm="1">
        <f t="array" ref="J5940">_xlfn.IFS(I5940&lt;=3,"small",I5940&lt;=6,"Medium",I5940&lt;=9,"Large")</f>
        <v>Large</v>
      </c>
      <c r="K5940" s="36">
        <v>45082</v>
      </c>
      <c r="L5940" s="36">
        <v>45084</v>
      </c>
      <c r="M5940" t="s">
        <v>598</v>
      </c>
      <c r="N5940" t="s">
        <v>608</v>
      </c>
      <c r="O5940" s="37" t="str">
        <f t="shared" si="463"/>
        <v>Cash Payment</v>
      </c>
      <c r="P5940">
        <v>781.52</v>
      </c>
      <c r="Q5940" s="37" t="str">
        <f>IF(P5940&gt;500,"High","low")</f>
        <v>High</v>
      </c>
      <c r="R5940" s="37" t="str">
        <f t="shared" si="464"/>
        <v>Good</v>
      </c>
      <c r="S5940" t="s">
        <v>609</v>
      </c>
    </row>
    <row r="5941" spans="1:19" x14ac:dyDescent="0.2">
      <c r="A5941" t="s">
        <v>6552</v>
      </c>
      <c r="B5941" t="s">
        <v>75</v>
      </c>
      <c r="C5941" t="s">
        <v>614</v>
      </c>
      <c r="D5941">
        <v>1968.03</v>
      </c>
      <c r="E5941" s="37" t="str">
        <f t="shared" si="460"/>
        <v xml:space="preserve"> </v>
      </c>
      <c r="F5941">
        <v>0.33</v>
      </c>
      <c r="G5941" s="37" t="str">
        <f t="shared" si="461"/>
        <v>Heavy Discount</v>
      </c>
      <c r="H5941" s="37" t="str">
        <f t="shared" si="462"/>
        <v>Medium</v>
      </c>
      <c r="I5941">
        <v>3</v>
      </c>
      <c r="J5941" t="str" cm="1">
        <f t="array" ref="J5941">_xlfn.IFS(I5941&lt;=3,"small",I5941&lt;=6,"Medium",I5941&lt;=9,"Large")</f>
        <v>small</v>
      </c>
      <c r="K5941" s="36">
        <v>45098</v>
      </c>
      <c r="L5941" s="36">
        <v>45101</v>
      </c>
      <c r="M5941" t="s">
        <v>603</v>
      </c>
      <c r="N5941" t="s">
        <v>604</v>
      </c>
      <c r="O5941" s="37" t="str">
        <f t="shared" si="463"/>
        <v>Digital Payment</v>
      </c>
      <c r="P5941">
        <v>520.62</v>
      </c>
      <c r="Q5941" s="37" t="str">
        <f>IF(P5941&gt;500,"High","low")</f>
        <v>High</v>
      </c>
      <c r="R5941" s="37" t="str">
        <f t="shared" si="464"/>
        <v>Good</v>
      </c>
      <c r="S5941" t="s">
        <v>615</v>
      </c>
    </row>
    <row r="5942" spans="1:19" x14ac:dyDescent="0.2">
      <c r="A5942" t="s">
        <v>6553</v>
      </c>
      <c r="B5942" t="s">
        <v>90</v>
      </c>
      <c r="C5942" t="s">
        <v>597</v>
      </c>
      <c r="D5942">
        <v>584.63</v>
      </c>
      <c r="E5942" s="37" t="str">
        <f t="shared" si="460"/>
        <v xml:space="preserve"> </v>
      </c>
      <c r="F5942">
        <v>0.19</v>
      </c>
      <c r="G5942" s="37" t="str">
        <f t="shared" si="461"/>
        <v>Normal Discount</v>
      </c>
      <c r="H5942" s="37" t="str">
        <f t="shared" si="462"/>
        <v>Low</v>
      </c>
      <c r="I5942">
        <v>8</v>
      </c>
      <c r="J5942" t="str" cm="1">
        <f t="array" ref="J5942">_xlfn.IFS(I5942&lt;=3,"small",I5942&lt;=6,"Medium",I5942&lt;=9,"Large")</f>
        <v>Large</v>
      </c>
      <c r="K5942" s="36">
        <v>45163</v>
      </c>
      <c r="L5942" s="36">
        <v>45167</v>
      </c>
      <c r="M5942" t="s">
        <v>612</v>
      </c>
      <c r="N5942" t="s">
        <v>608</v>
      </c>
      <c r="O5942" s="37" t="str">
        <f t="shared" si="463"/>
        <v>Cash Payment</v>
      </c>
      <c r="P5942">
        <v>34.6</v>
      </c>
      <c r="Q5942" s="37" t="str">
        <f>IF(P5942&gt;500,"High","low")</f>
        <v>low</v>
      </c>
      <c r="R5942" s="37" t="str">
        <f t="shared" si="464"/>
        <v>AVERAGE</v>
      </c>
      <c r="S5942" t="s">
        <v>605</v>
      </c>
    </row>
    <row r="5943" spans="1:19" x14ac:dyDescent="0.2">
      <c r="A5943" t="s">
        <v>6554</v>
      </c>
      <c r="B5943" t="s">
        <v>83</v>
      </c>
      <c r="C5943" t="s">
        <v>607</v>
      </c>
      <c r="D5943">
        <v>951.54</v>
      </c>
      <c r="E5943" s="37" t="str">
        <f t="shared" si="460"/>
        <v xml:space="preserve"> </v>
      </c>
      <c r="F5943">
        <v>0.38</v>
      </c>
      <c r="G5943" s="37" t="str">
        <f t="shared" si="461"/>
        <v>Heavy Discount</v>
      </c>
      <c r="H5943" s="37" t="str">
        <f t="shared" si="462"/>
        <v>Medium</v>
      </c>
      <c r="I5943">
        <v>8</v>
      </c>
      <c r="J5943" t="str" cm="1">
        <f t="array" ref="J5943">_xlfn.IFS(I5943&lt;=3,"small",I5943&lt;=6,"Medium",I5943&lt;=9,"Large")</f>
        <v>Large</v>
      </c>
      <c r="K5943" s="36">
        <v>45043</v>
      </c>
      <c r="L5943" s="36">
        <v>45045</v>
      </c>
      <c r="M5943" t="s">
        <v>603</v>
      </c>
      <c r="N5943" t="s">
        <v>599</v>
      </c>
      <c r="O5943" s="37" t="str">
        <f t="shared" si="463"/>
        <v>Digital Payment</v>
      </c>
      <c r="P5943">
        <v>90.38</v>
      </c>
      <c r="Q5943" s="37" t="str">
        <f>IF(P5943&gt;500,"High","low")</f>
        <v>low</v>
      </c>
      <c r="R5943" s="37" t="str">
        <f t="shared" si="464"/>
        <v>AVERAGE</v>
      </c>
      <c r="S5943" t="s">
        <v>605</v>
      </c>
    </row>
    <row r="5944" spans="1:19" x14ac:dyDescent="0.2">
      <c r="A5944" t="s">
        <v>6555</v>
      </c>
      <c r="B5944" t="s">
        <v>90</v>
      </c>
      <c r="C5944" t="s">
        <v>607</v>
      </c>
      <c r="D5944">
        <v>3430.4</v>
      </c>
      <c r="E5944" s="37" t="str">
        <f t="shared" si="460"/>
        <v xml:space="preserve"> </v>
      </c>
      <c r="F5944">
        <v>0.25</v>
      </c>
      <c r="G5944" s="37" t="str">
        <f t="shared" si="461"/>
        <v>Normal Discount</v>
      </c>
      <c r="H5944" s="37" t="str">
        <f t="shared" si="462"/>
        <v>Medium</v>
      </c>
      <c r="I5944">
        <v>5</v>
      </c>
      <c r="J5944" t="str" cm="1">
        <f t="array" ref="J5944">_xlfn.IFS(I5944&lt;=3,"small",I5944&lt;=6,"Medium",I5944&lt;=9,"Large")</f>
        <v>Medium</v>
      </c>
      <c r="K5944" s="36">
        <v>45166</v>
      </c>
      <c r="L5944" s="36">
        <v>45171</v>
      </c>
      <c r="M5944" t="s">
        <v>598</v>
      </c>
      <c r="N5944" t="s">
        <v>604</v>
      </c>
      <c r="O5944" s="37" t="str">
        <f t="shared" si="463"/>
        <v>Digital Payment</v>
      </c>
      <c r="P5944">
        <v>719.61</v>
      </c>
      <c r="Q5944" s="37" t="str">
        <f>IF(P5944&gt;500,"High","low")</f>
        <v>High</v>
      </c>
      <c r="R5944" s="37" t="str">
        <f t="shared" si="464"/>
        <v>Good</v>
      </c>
      <c r="S5944" t="s">
        <v>620</v>
      </c>
    </row>
    <row r="5945" spans="1:19" x14ac:dyDescent="0.2">
      <c r="A5945" t="s">
        <v>6556</v>
      </c>
      <c r="B5945" t="s">
        <v>67</v>
      </c>
      <c r="C5945" t="s">
        <v>607</v>
      </c>
      <c r="D5945">
        <v>181.51</v>
      </c>
      <c r="E5945" s="37" t="str">
        <f t="shared" si="460"/>
        <v xml:space="preserve"> </v>
      </c>
      <c r="F5945">
        <v>0.4</v>
      </c>
      <c r="G5945" s="37" t="str">
        <f t="shared" si="461"/>
        <v>Heavy Discount</v>
      </c>
      <c r="H5945" s="37" t="str">
        <f t="shared" si="462"/>
        <v>Medium</v>
      </c>
      <c r="I5945">
        <v>8</v>
      </c>
      <c r="J5945" t="str" cm="1">
        <f t="array" ref="J5945">_xlfn.IFS(I5945&lt;=3,"small",I5945&lt;=6,"Medium",I5945&lt;=9,"Large")</f>
        <v>Large</v>
      </c>
      <c r="K5945" s="36">
        <v>45312</v>
      </c>
      <c r="L5945" s="36">
        <v>45313</v>
      </c>
      <c r="M5945" t="s">
        <v>598</v>
      </c>
      <c r="N5945" t="s">
        <v>608</v>
      </c>
      <c r="O5945" s="37" t="str">
        <f t="shared" si="463"/>
        <v>Cash Payment</v>
      </c>
      <c r="P5945">
        <v>36.380000000000003</v>
      </c>
      <c r="Q5945" s="37" t="str">
        <f>IF(P5945&gt;500,"High","low")</f>
        <v>low</v>
      </c>
      <c r="R5945" s="37" t="str">
        <f t="shared" si="464"/>
        <v>AVERAGE</v>
      </c>
      <c r="S5945" t="s">
        <v>605</v>
      </c>
    </row>
    <row r="5946" spans="1:19" x14ac:dyDescent="0.2">
      <c r="A5946" t="s">
        <v>6557</v>
      </c>
      <c r="B5946" t="s">
        <v>67</v>
      </c>
      <c r="C5946" t="s">
        <v>614</v>
      </c>
      <c r="D5946">
        <v>4429.08</v>
      </c>
      <c r="E5946" s="37" t="str">
        <f t="shared" si="460"/>
        <v>Excellent Order</v>
      </c>
      <c r="F5946">
        <v>0.42</v>
      </c>
      <c r="G5946" s="37" t="str">
        <f t="shared" si="461"/>
        <v>Heavy Discount</v>
      </c>
      <c r="H5946" s="37" t="str">
        <f t="shared" si="462"/>
        <v>High</v>
      </c>
      <c r="I5946">
        <v>3</v>
      </c>
      <c r="J5946" t="str" cm="1">
        <f t="array" ref="J5946">_xlfn.IFS(I5946&lt;=3,"small",I5946&lt;=6,"Medium",I5946&lt;=9,"Large")</f>
        <v>small</v>
      </c>
      <c r="K5946" s="36">
        <v>45543</v>
      </c>
      <c r="L5946" s="36">
        <v>45549</v>
      </c>
      <c r="M5946" t="s">
        <v>603</v>
      </c>
      <c r="N5946" t="s">
        <v>599</v>
      </c>
      <c r="O5946" s="37" t="str">
        <f t="shared" si="463"/>
        <v>Digital Payment</v>
      </c>
      <c r="P5946">
        <v>1114.5</v>
      </c>
      <c r="Q5946" s="37" t="str">
        <f>IF(P5946&gt;500,"High","low")</f>
        <v>High</v>
      </c>
      <c r="R5946" s="37" t="str">
        <f t="shared" si="464"/>
        <v>Excellent</v>
      </c>
      <c r="S5946" t="s">
        <v>628</v>
      </c>
    </row>
    <row r="5947" spans="1:19" x14ac:dyDescent="0.2">
      <c r="A5947" t="s">
        <v>6558</v>
      </c>
      <c r="B5947" t="s">
        <v>67</v>
      </c>
      <c r="C5947" t="s">
        <v>597</v>
      </c>
      <c r="D5947">
        <v>2980.88</v>
      </c>
      <c r="E5947" s="37" t="str">
        <f t="shared" si="460"/>
        <v xml:space="preserve"> </v>
      </c>
      <c r="F5947">
        <v>0.31</v>
      </c>
      <c r="G5947" s="37" t="str">
        <f t="shared" si="461"/>
        <v>Heavy Discount</v>
      </c>
      <c r="H5947" s="37" t="str">
        <f t="shared" si="462"/>
        <v>Medium</v>
      </c>
      <c r="I5947">
        <v>3</v>
      </c>
      <c r="J5947" t="str" cm="1">
        <f t="array" ref="J5947">_xlfn.IFS(I5947&lt;=3,"small",I5947&lt;=6,"Medium",I5947&lt;=9,"Large")</f>
        <v>small</v>
      </c>
      <c r="K5947" s="36">
        <v>45496</v>
      </c>
      <c r="L5947" s="36">
        <v>45498</v>
      </c>
      <c r="M5947" t="s">
        <v>612</v>
      </c>
      <c r="N5947" t="s">
        <v>608</v>
      </c>
      <c r="O5947" s="37" t="str">
        <f t="shared" si="463"/>
        <v>Cash Payment</v>
      </c>
      <c r="P5947">
        <v>726.44</v>
      </c>
      <c r="Q5947" s="37" t="str">
        <f>IF(P5947&gt;500,"High","low")</f>
        <v>High</v>
      </c>
      <c r="R5947" s="37" t="str">
        <f t="shared" si="464"/>
        <v>Good</v>
      </c>
      <c r="S5947" t="s">
        <v>615</v>
      </c>
    </row>
    <row r="5948" spans="1:19" x14ac:dyDescent="0.2">
      <c r="A5948" t="s">
        <v>6559</v>
      </c>
      <c r="B5948" t="s">
        <v>67</v>
      </c>
      <c r="C5948" t="s">
        <v>617</v>
      </c>
      <c r="D5948">
        <v>321.22000000000003</v>
      </c>
      <c r="E5948" s="37" t="str">
        <f t="shared" si="460"/>
        <v xml:space="preserve"> </v>
      </c>
      <c r="F5948">
        <v>0.44</v>
      </c>
      <c r="G5948" s="37" t="str">
        <f t="shared" si="461"/>
        <v>Heavy Discount</v>
      </c>
      <c r="H5948" s="37" t="str">
        <f t="shared" si="462"/>
        <v>High</v>
      </c>
      <c r="I5948">
        <v>4</v>
      </c>
      <c r="J5948" t="str" cm="1">
        <f t="array" ref="J5948">_xlfn.IFS(I5948&lt;=3,"small",I5948&lt;=6,"Medium",I5948&lt;=9,"Large")</f>
        <v>Medium</v>
      </c>
      <c r="K5948" s="36">
        <v>45096</v>
      </c>
      <c r="L5948" s="36">
        <v>45100</v>
      </c>
      <c r="M5948" t="s">
        <v>603</v>
      </c>
      <c r="N5948" t="s">
        <v>599</v>
      </c>
      <c r="O5948" s="37" t="str">
        <f t="shared" si="463"/>
        <v>Digital Payment</v>
      </c>
      <c r="P5948">
        <v>33.39</v>
      </c>
      <c r="Q5948" s="37" t="str">
        <f>IF(P5948&gt;500,"High","low")</f>
        <v>low</v>
      </c>
      <c r="R5948" s="37" t="str">
        <f t="shared" si="464"/>
        <v>AVERAGE</v>
      </c>
      <c r="S5948" t="s">
        <v>605</v>
      </c>
    </row>
    <row r="5949" spans="1:19" x14ac:dyDescent="0.2">
      <c r="A5949" t="s">
        <v>6560</v>
      </c>
      <c r="B5949" t="s">
        <v>67</v>
      </c>
      <c r="C5949" t="s">
        <v>617</v>
      </c>
      <c r="D5949">
        <v>1274.8599999999999</v>
      </c>
      <c r="E5949" s="37" t="str">
        <f t="shared" si="460"/>
        <v xml:space="preserve"> </v>
      </c>
      <c r="F5949">
        <v>0.2</v>
      </c>
      <c r="G5949" s="37" t="str">
        <f t="shared" si="461"/>
        <v>Normal Discount</v>
      </c>
      <c r="H5949" s="37" t="str">
        <f t="shared" si="462"/>
        <v>Medium</v>
      </c>
      <c r="I5949">
        <v>9</v>
      </c>
      <c r="J5949" t="str" cm="1">
        <f t="array" ref="J5949">_xlfn.IFS(I5949&lt;=3,"small",I5949&lt;=6,"Medium",I5949&lt;=9,"Large")</f>
        <v>Large</v>
      </c>
      <c r="K5949" s="36">
        <v>45347</v>
      </c>
      <c r="L5949" s="36">
        <v>45352</v>
      </c>
      <c r="M5949" t="s">
        <v>598</v>
      </c>
      <c r="N5949" t="s">
        <v>599</v>
      </c>
      <c r="O5949" s="37" t="str">
        <f t="shared" si="463"/>
        <v>Digital Payment</v>
      </c>
      <c r="P5949">
        <v>173.36</v>
      </c>
      <c r="Q5949" s="37" t="str">
        <f>IF(P5949&gt;500,"High","low")</f>
        <v>low</v>
      </c>
      <c r="R5949" s="37" t="str">
        <f t="shared" si="464"/>
        <v>AVERAGE</v>
      </c>
      <c r="S5949" t="s">
        <v>628</v>
      </c>
    </row>
    <row r="5950" spans="1:19" x14ac:dyDescent="0.2">
      <c r="A5950" t="s">
        <v>6561</v>
      </c>
      <c r="B5950" t="s">
        <v>83</v>
      </c>
      <c r="C5950" t="s">
        <v>602</v>
      </c>
      <c r="D5950">
        <v>3011.58</v>
      </c>
      <c r="E5950" s="37" t="str">
        <f t="shared" si="460"/>
        <v xml:space="preserve"> </v>
      </c>
      <c r="F5950">
        <v>0.03</v>
      </c>
      <c r="G5950" s="37" t="str">
        <f t="shared" si="461"/>
        <v>Normal Discount</v>
      </c>
      <c r="H5950" s="37" t="str">
        <f t="shared" si="462"/>
        <v>Low</v>
      </c>
      <c r="I5950">
        <v>5</v>
      </c>
      <c r="J5950" t="str" cm="1">
        <f t="array" ref="J5950">_xlfn.IFS(I5950&lt;=3,"small",I5950&lt;=6,"Medium",I5950&lt;=9,"Large")</f>
        <v>Medium</v>
      </c>
      <c r="K5950" s="36">
        <v>44949</v>
      </c>
      <c r="L5950" s="36">
        <v>44955</v>
      </c>
      <c r="M5950" t="s">
        <v>612</v>
      </c>
      <c r="N5950" t="s">
        <v>608</v>
      </c>
      <c r="O5950" s="37" t="str">
        <f t="shared" si="463"/>
        <v>Cash Payment</v>
      </c>
      <c r="P5950">
        <v>576.48</v>
      </c>
      <c r="Q5950" s="37" t="str">
        <f>IF(P5950&gt;500,"High","low")</f>
        <v>High</v>
      </c>
      <c r="R5950" s="37" t="str">
        <f t="shared" si="464"/>
        <v>Good</v>
      </c>
      <c r="S5950" t="s">
        <v>609</v>
      </c>
    </row>
    <row r="5951" spans="1:19" x14ac:dyDescent="0.2">
      <c r="A5951" t="s">
        <v>6562</v>
      </c>
      <c r="B5951" t="s">
        <v>75</v>
      </c>
      <c r="C5951" t="s">
        <v>614</v>
      </c>
      <c r="D5951">
        <v>274.45</v>
      </c>
      <c r="E5951" s="37" t="str">
        <f t="shared" si="460"/>
        <v xml:space="preserve"> </v>
      </c>
      <c r="F5951">
        <v>0.33</v>
      </c>
      <c r="G5951" s="37" t="str">
        <f t="shared" si="461"/>
        <v>Heavy Discount</v>
      </c>
      <c r="H5951" s="37" t="str">
        <f t="shared" si="462"/>
        <v>Medium</v>
      </c>
      <c r="I5951">
        <v>6</v>
      </c>
      <c r="J5951" t="str" cm="1">
        <f t="array" ref="J5951">_xlfn.IFS(I5951&lt;=3,"small",I5951&lt;=6,"Medium",I5951&lt;=9,"Large")</f>
        <v>Medium</v>
      </c>
      <c r="K5951" s="36">
        <v>45222</v>
      </c>
      <c r="L5951" s="36">
        <v>45223</v>
      </c>
      <c r="M5951" t="s">
        <v>612</v>
      </c>
      <c r="N5951" t="s">
        <v>604</v>
      </c>
      <c r="O5951" s="37" t="str">
        <f t="shared" si="463"/>
        <v>Digital Payment</v>
      </c>
      <c r="P5951">
        <v>72.92</v>
      </c>
      <c r="Q5951" s="37" t="str">
        <f>IF(P5951&gt;500,"High","low")</f>
        <v>low</v>
      </c>
      <c r="R5951" s="37" t="str">
        <f t="shared" si="464"/>
        <v>AVERAGE</v>
      </c>
      <c r="S5951" t="s">
        <v>620</v>
      </c>
    </row>
    <row r="5952" spans="1:19" x14ac:dyDescent="0.2">
      <c r="A5952" t="s">
        <v>6563</v>
      </c>
      <c r="B5952" t="s">
        <v>90</v>
      </c>
      <c r="C5952" t="s">
        <v>597</v>
      </c>
      <c r="D5952">
        <v>3921.94</v>
      </c>
      <c r="E5952" s="37" t="str">
        <f t="shared" si="460"/>
        <v xml:space="preserve"> </v>
      </c>
      <c r="F5952">
        <v>0.38</v>
      </c>
      <c r="G5952" s="37" t="str">
        <f t="shared" si="461"/>
        <v>Heavy Discount</v>
      </c>
      <c r="H5952" s="37" t="str">
        <f t="shared" si="462"/>
        <v>Medium</v>
      </c>
      <c r="I5952">
        <v>4</v>
      </c>
      <c r="J5952" t="str" cm="1">
        <f t="array" ref="J5952">_xlfn.IFS(I5952&lt;=3,"small",I5952&lt;=6,"Medium",I5952&lt;=9,"Large")</f>
        <v>Medium</v>
      </c>
      <c r="K5952" s="36">
        <v>45139</v>
      </c>
      <c r="L5952" s="36">
        <v>45144</v>
      </c>
      <c r="M5952" t="s">
        <v>612</v>
      </c>
      <c r="N5952" t="s">
        <v>599</v>
      </c>
      <c r="O5952" s="37" t="str">
        <f t="shared" si="463"/>
        <v>Digital Payment</v>
      </c>
      <c r="P5952">
        <v>711.06</v>
      </c>
      <c r="Q5952" s="37" t="str">
        <f>IF(P5952&gt;500,"High","low")</f>
        <v>High</v>
      </c>
      <c r="R5952" s="37" t="str">
        <f t="shared" si="464"/>
        <v>Good</v>
      </c>
      <c r="S5952" t="s">
        <v>628</v>
      </c>
    </row>
    <row r="5953" spans="1:19" x14ac:dyDescent="0.2">
      <c r="A5953" t="s">
        <v>6564</v>
      </c>
      <c r="B5953" t="s">
        <v>90</v>
      </c>
      <c r="C5953" t="s">
        <v>607</v>
      </c>
      <c r="D5953">
        <v>4607.62</v>
      </c>
      <c r="E5953" s="37" t="str">
        <f t="shared" si="460"/>
        <v>Excellent Order</v>
      </c>
      <c r="F5953">
        <v>0.04</v>
      </c>
      <c r="G5953" s="37" t="str">
        <f t="shared" si="461"/>
        <v>Normal Discount</v>
      </c>
      <c r="H5953" s="37" t="str">
        <f t="shared" si="462"/>
        <v>Low</v>
      </c>
      <c r="I5953">
        <v>9</v>
      </c>
      <c r="J5953" t="str" cm="1">
        <f t="array" ref="J5953">_xlfn.IFS(I5953&lt;=3,"small",I5953&lt;=6,"Medium",I5953&lt;=9,"Large")</f>
        <v>Large</v>
      </c>
      <c r="K5953" s="36">
        <v>45610</v>
      </c>
      <c r="L5953" s="36">
        <v>45611</v>
      </c>
      <c r="M5953" t="s">
        <v>598</v>
      </c>
      <c r="N5953" t="s">
        <v>604</v>
      </c>
      <c r="O5953" s="37" t="str">
        <f t="shared" si="463"/>
        <v>Digital Payment</v>
      </c>
      <c r="P5953">
        <v>1025.5899999999999</v>
      </c>
      <c r="Q5953" s="37" t="str">
        <f>IF(P5953&gt;500,"High","low")</f>
        <v>High</v>
      </c>
      <c r="R5953" s="37" t="str">
        <f t="shared" si="464"/>
        <v>Excellent</v>
      </c>
      <c r="S5953" t="s">
        <v>605</v>
      </c>
    </row>
    <row r="5954" spans="1:19" x14ac:dyDescent="0.2">
      <c r="A5954" t="s">
        <v>6565</v>
      </c>
      <c r="B5954" t="s">
        <v>67</v>
      </c>
      <c r="C5954" t="s">
        <v>614</v>
      </c>
      <c r="D5954">
        <v>4809.9799999999996</v>
      </c>
      <c r="E5954" s="37" t="str">
        <f t="shared" si="460"/>
        <v xml:space="preserve"> </v>
      </c>
      <c r="F5954">
        <v>0.39</v>
      </c>
      <c r="G5954" s="37" t="str">
        <f t="shared" si="461"/>
        <v>Heavy Discount</v>
      </c>
      <c r="H5954" s="37" t="str">
        <f t="shared" si="462"/>
        <v>Medium</v>
      </c>
      <c r="I5954">
        <v>4</v>
      </c>
      <c r="J5954" t="str" cm="1">
        <f t="array" ref="J5954">_xlfn.IFS(I5954&lt;=3,"small",I5954&lt;=6,"Medium",I5954&lt;=9,"Large")</f>
        <v>Medium</v>
      </c>
      <c r="K5954" s="36">
        <v>45085</v>
      </c>
      <c r="L5954" s="36">
        <v>45088</v>
      </c>
      <c r="M5954" t="s">
        <v>598</v>
      </c>
      <c r="N5954" t="s">
        <v>599</v>
      </c>
      <c r="O5954" s="37" t="str">
        <f t="shared" si="463"/>
        <v>Digital Payment</v>
      </c>
      <c r="P5954">
        <v>704.21</v>
      </c>
      <c r="Q5954" s="37" t="str">
        <f>IF(P5954&gt;500,"High","low")</f>
        <v>High</v>
      </c>
      <c r="R5954" s="37" t="str">
        <f t="shared" si="464"/>
        <v>Good</v>
      </c>
      <c r="S5954" t="s">
        <v>605</v>
      </c>
    </row>
    <row r="5955" spans="1:19" x14ac:dyDescent="0.2">
      <c r="A5955" t="s">
        <v>6566</v>
      </c>
      <c r="B5955" t="s">
        <v>90</v>
      </c>
      <c r="C5955" t="s">
        <v>614</v>
      </c>
      <c r="D5955">
        <v>3694.93</v>
      </c>
      <c r="E5955" s="37" t="str">
        <f t="shared" ref="E5955:E6018" si="465">IF(AND(D5955&gt;4000,P5955&gt;800),"Excellent Order"," ")</f>
        <v xml:space="preserve"> </v>
      </c>
      <c r="F5955">
        <v>0.32</v>
      </c>
      <c r="G5955" s="37" t="str">
        <f t="shared" ref="G5955:G6018" si="466">IF(F5955&gt;30%,"Heavy Discount","Normal Discount")</f>
        <v>Heavy Discount</v>
      </c>
      <c r="H5955" s="37" t="str">
        <f t="shared" ref="H5955:H6018" si="467">IF(F5955&gt;0.4,"High",IF(F5955&gt;=0.2,"Medium","Low"))</f>
        <v>Medium</v>
      </c>
      <c r="I5955">
        <v>3</v>
      </c>
      <c r="J5955" t="str" cm="1">
        <f t="array" ref="J5955">_xlfn.IFS(I5955&lt;=3,"small",I5955&lt;=6,"Medium",I5955&lt;=9,"Large")</f>
        <v>small</v>
      </c>
      <c r="K5955" s="36">
        <v>45514</v>
      </c>
      <c r="L5955" s="36">
        <v>45517</v>
      </c>
      <c r="M5955" t="s">
        <v>598</v>
      </c>
      <c r="N5955" t="s">
        <v>599</v>
      </c>
      <c r="O5955" s="37" t="str">
        <f t="shared" ref="O5955:O6018" si="468">IF(OR(N5955="Card",N5955="UPI"),"Digital Payment","Cash Payment")</f>
        <v>Digital Payment</v>
      </c>
      <c r="P5955">
        <v>274.64999999999998</v>
      </c>
      <c r="Q5955" s="37" t="str">
        <f>IF(P5955&gt;500,"High","low")</f>
        <v>low</v>
      </c>
      <c r="R5955" s="37" t="str">
        <f t="shared" ref="R5955:R6018" si="469">IF(P5955&gt;1000,"Excellent",IF(P5955&gt;=500,"Good","AVERAGE"))</f>
        <v>AVERAGE</v>
      </c>
      <c r="S5955" t="s">
        <v>628</v>
      </c>
    </row>
    <row r="5956" spans="1:19" x14ac:dyDescent="0.2">
      <c r="A5956" t="s">
        <v>6567</v>
      </c>
      <c r="B5956" t="s">
        <v>67</v>
      </c>
      <c r="C5956" t="s">
        <v>597</v>
      </c>
      <c r="D5956">
        <v>4298.4399999999996</v>
      </c>
      <c r="E5956" s="37" t="str">
        <f t="shared" si="465"/>
        <v xml:space="preserve"> </v>
      </c>
      <c r="F5956">
        <v>0.06</v>
      </c>
      <c r="G5956" s="37" t="str">
        <f t="shared" si="466"/>
        <v>Normal Discount</v>
      </c>
      <c r="H5956" s="37" t="str">
        <f t="shared" si="467"/>
        <v>Low</v>
      </c>
      <c r="I5956">
        <v>2</v>
      </c>
      <c r="J5956" t="str" cm="1">
        <f t="array" ref="J5956">_xlfn.IFS(I5956&lt;=3,"small",I5956&lt;=6,"Medium",I5956&lt;=9,"Large")</f>
        <v>small</v>
      </c>
      <c r="K5956" s="36">
        <v>45147</v>
      </c>
      <c r="L5956" s="36">
        <v>45154</v>
      </c>
      <c r="M5956" t="s">
        <v>598</v>
      </c>
      <c r="N5956" t="s">
        <v>599</v>
      </c>
      <c r="O5956" s="37" t="str">
        <f t="shared" si="468"/>
        <v>Digital Payment</v>
      </c>
      <c r="P5956">
        <v>689.98</v>
      </c>
      <c r="Q5956" s="37" t="str">
        <f>IF(P5956&gt;500,"High","low")</f>
        <v>High</v>
      </c>
      <c r="R5956" s="37" t="str">
        <f t="shared" si="469"/>
        <v>Good</v>
      </c>
      <c r="S5956" t="s">
        <v>615</v>
      </c>
    </row>
    <row r="5957" spans="1:19" x14ac:dyDescent="0.2">
      <c r="A5957" t="s">
        <v>6568</v>
      </c>
      <c r="B5957" t="s">
        <v>83</v>
      </c>
      <c r="C5957" t="s">
        <v>602</v>
      </c>
      <c r="D5957">
        <v>3092.47</v>
      </c>
      <c r="E5957" s="37" t="str">
        <f t="shared" si="465"/>
        <v xml:space="preserve"> </v>
      </c>
      <c r="F5957">
        <v>0.27</v>
      </c>
      <c r="G5957" s="37" t="str">
        <f t="shared" si="466"/>
        <v>Normal Discount</v>
      </c>
      <c r="H5957" s="37" t="str">
        <f t="shared" si="467"/>
        <v>Medium</v>
      </c>
      <c r="I5957">
        <v>3</v>
      </c>
      <c r="J5957" t="str" cm="1">
        <f t="array" ref="J5957">_xlfn.IFS(I5957&lt;=3,"small",I5957&lt;=6,"Medium",I5957&lt;=9,"Large")</f>
        <v>small</v>
      </c>
      <c r="K5957" s="36">
        <v>45160</v>
      </c>
      <c r="L5957" s="36">
        <v>45165</v>
      </c>
      <c r="M5957" t="s">
        <v>603</v>
      </c>
      <c r="N5957" t="s">
        <v>604</v>
      </c>
      <c r="O5957" s="37" t="str">
        <f t="shared" si="468"/>
        <v>Digital Payment</v>
      </c>
      <c r="P5957">
        <v>278.01</v>
      </c>
      <c r="Q5957" s="37" t="str">
        <f>IF(P5957&gt;500,"High","low")</f>
        <v>low</v>
      </c>
      <c r="R5957" s="37" t="str">
        <f t="shared" si="469"/>
        <v>AVERAGE</v>
      </c>
      <c r="S5957" t="s">
        <v>605</v>
      </c>
    </row>
    <row r="5958" spans="1:19" x14ac:dyDescent="0.2">
      <c r="A5958" t="s">
        <v>6569</v>
      </c>
      <c r="B5958" t="s">
        <v>83</v>
      </c>
      <c r="C5958" t="s">
        <v>602</v>
      </c>
      <c r="D5958">
        <v>2346.86</v>
      </c>
      <c r="E5958" s="37" t="str">
        <f t="shared" si="465"/>
        <v xml:space="preserve"> </v>
      </c>
      <c r="F5958">
        <v>0.05</v>
      </c>
      <c r="G5958" s="37" t="str">
        <f t="shared" si="466"/>
        <v>Normal Discount</v>
      </c>
      <c r="H5958" s="37" t="str">
        <f t="shared" si="467"/>
        <v>Low</v>
      </c>
      <c r="I5958">
        <v>1</v>
      </c>
      <c r="J5958" t="str" cm="1">
        <f t="array" ref="J5958">_xlfn.IFS(I5958&lt;=3,"small",I5958&lt;=6,"Medium",I5958&lt;=9,"Large")</f>
        <v>small</v>
      </c>
      <c r="K5958" s="36">
        <v>45400</v>
      </c>
      <c r="L5958" s="36">
        <v>45401</v>
      </c>
      <c r="M5958" t="s">
        <v>612</v>
      </c>
      <c r="N5958" t="s">
        <v>608</v>
      </c>
      <c r="O5958" s="37" t="str">
        <f t="shared" si="468"/>
        <v>Cash Payment</v>
      </c>
      <c r="P5958">
        <v>327.58999999999997</v>
      </c>
      <c r="Q5958" s="37" t="str">
        <f>IF(P5958&gt;500,"High","low")</f>
        <v>low</v>
      </c>
      <c r="R5958" s="37" t="str">
        <f t="shared" si="469"/>
        <v>AVERAGE</v>
      </c>
      <c r="S5958" t="s">
        <v>628</v>
      </c>
    </row>
    <row r="5959" spans="1:19" x14ac:dyDescent="0.2">
      <c r="A5959" t="s">
        <v>6570</v>
      </c>
      <c r="B5959" t="s">
        <v>75</v>
      </c>
      <c r="C5959" t="s">
        <v>602</v>
      </c>
      <c r="D5959">
        <v>3594.36</v>
      </c>
      <c r="E5959" s="37" t="str">
        <f t="shared" si="465"/>
        <v xml:space="preserve"> </v>
      </c>
      <c r="F5959">
        <v>0.16</v>
      </c>
      <c r="G5959" s="37" t="str">
        <f t="shared" si="466"/>
        <v>Normal Discount</v>
      </c>
      <c r="H5959" s="37" t="str">
        <f t="shared" si="467"/>
        <v>Low</v>
      </c>
      <c r="I5959">
        <v>8</v>
      </c>
      <c r="J5959" t="str" cm="1">
        <f t="array" ref="J5959">_xlfn.IFS(I5959&lt;=3,"small",I5959&lt;=6,"Medium",I5959&lt;=9,"Large")</f>
        <v>Large</v>
      </c>
      <c r="K5959" s="36">
        <v>45407</v>
      </c>
      <c r="L5959" s="36">
        <v>45413</v>
      </c>
      <c r="M5959" t="s">
        <v>603</v>
      </c>
      <c r="N5959" t="s">
        <v>599</v>
      </c>
      <c r="O5959" s="37" t="str">
        <f t="shared" si="468"/>
        <v>Digital Payment</v>
      </c>
      <c r="P5959">
        <v>452.02</v>
      </c>
      <c r="Q5959" s="37" t="str">
        <f>IF(P5959&gt;500,"High","low")</f>
        <v>low</v>
      </c>
      <c r="R5959" s="37" t="str">
        <f t="shared" si="469"/>
        <v>AVERAGE</v>
      </c>
      <c r="S5959" t="s">
        <v>609</v>
      </c>
    </row>
    <row r="5960" spans="1:19" x14ac:dyDescent="0.2">
      <c r="A5960" t="s">
        <v>6571</v>
      </c>
      <c r="B5960" t="s">
        <v>83</v>
      </c>
      <c r="C5960" t="s">
        <v>607</v>
      </c>
      <c r="D5960">
        <v>1198.49</v>
      </c>
      <c r="E5960" s="37" t="str">
        <f t="shared" si="465"/>
        <v xml:space="preserve"> </v>
      </c>
      <c r="F5960">
        <v>0.4</v>
      </c>
      <c r="G5960" s="37" t="str">
        <f t="shared" si="466"/>
        <v>Heavy Discount</v>
      </c>
      <c r="H5960" s="37" t="str">
        <f t="shared" si="467"/>
        <v>Medium</v>
      </c>
      <c r="I5960">
        <v>1</v>
      </c>
      <c r="J5960" t="str" cm="1">
        <f t="array" ref="J5960">_xlfn.IFS(I5960&lt;=3,"small",I5960&lt;=6,"Medium",I5960&lt;=9,"Large")</f>
        <v>small</v>
      </c>
      <c r="K5960" s="36">
        <v>45306</v>
      </c>
      <c r="L5960" s="36">
        <v>45313</v>
      </c>
      <c r="M5960" t="s">
        <v>598</v>
      </c>
      <c r="N5960" t="s">
        <v>608</v>
      </c>
      <c r="O5960" s="37" t="str">
        <f t="shared" si="468"/>
        <v>Cash Payment</v>
      </c>
      <c r="P5960">
        <v>133.43</v>
      </c>
      <c r="Q5960" s="37" t="str">
        <f>IF(P5960&gt;500,"High","low")</f>
        <v>low</v>
      </c>
      <c r="R5960" s="37" t="str">
        <f t="shared" si="469"/>
        <v>AVERAGE</v>
      </c>
      <c r="S5960" t="s">
        <v>620</v>
      </c>
    </row>
    <row r="5961" spans="1:19" x14ac:dyDescent="0.2">
      <c r="A5961" t="s">
        <v>6572</v>
      </c>
      <c r="B5961" t="s">
        <v>83</v>
      </c>
      <c r="C5961" t="s">
        <v>607</v>
      </c>
      <c r="D5961">
        <v>637.94000000000005</v>
      </c>
      <c r="E5961" s="37" t="str">
        <f t="shared" si="465"/>
        <v xml:space="preserve"> </v>
      </c>
      <c r="F5961">
        <v>0.05</v>
      </c>
      <c r="G5961" s="37" t="str">
        <f t="shared" si="466"/>
        <v>Normal Discount</v>
      </c>
      <c r="H5961" s="37" t="str">
        <f t="shared" si="467"/>
        <v>Low</v>
      </c>
      <c r="I5961">
        <v>6</v>
      </c>
      <c r="J5961" t="str" cm="1">
        <f t="array" ref="J5961">_xlfn.IFS(I5961&lt;=3,"small",I5961&lt;=6,"Medium",I5961&lt;=9,"Large")</f>
        <v>Medium</v>
      </c>
      <c r="K5961" s="36">
        <v>45024</v>
      </c>
      <c r="L5961" s="36">
        <v>45025</v>
      </c>
      <c r="M5961" t="s">
        <v>598</v>
      </c>
      <c r="N5961" t="s">
        <v>599</v>
      </c>
      <c r="O5961" s="37" t="str">
        <f t="shared" si="468"/>
        <v>Digital Payment</v>
      </c>
      <c r="P5961">
        <v>141.24</v>
      </c>
      <c r="Q5961" s="37" t="str">
        <f>IF(P5961&gt;500,"High","low")</f>
        <v>low</v>
      </c>
      <c r="R5961" s="37" t="str">
        <f t="shared" si="469"/>
        <v>AVERAGE</v>
      </c>
      <c r="S5961" t="s">
        <v>609</v>
      </c>
    </row>
    <row r="5962" spans="1:19" x14ac:dyDescent="0.2">
      <c r="A5962" t="s">
        <v>6573</v>
      </c>
      <c r="B5962" t="s">
        <v>75</v>
      </c>
      <c r="C5962" t="s">
        <v>597</v>
      </c>
      <c r="D5962">
        <v>3833.07</v>
      </c>
      <c r="E5962" s="37" t="str">
        <f t="shared" si="465"/>
        <v xml:space="preserve"> </v>
      </c>
      <c r="F5962">
        <v>0.23</v>
      </c>
      <c r="G5962" s="37" t="str">
        <f t="shared" si="466"/>
        <v>Normal Discount</v>
      </c>
      <c r="H5962" s="37" t="str">
        <f t="shared" si="467"/>
        <v>Medium</v>
      </c>
      <c r="I5962">
        <v>2</v>
      </c>
      <c r="J5962" t="str" cm="1">
        <f t="array" ref="J5962">_xlfn.IFS(I5962&lt;=3,"small",I5962&lt;=6,"Medium",I5962&lt;=9,"Large")</f>
        <v>small</v>
      </c>
      <c r="K5962" s="36">
        <v>45613</v>
      </c>
      <c r="L5962" s="36">
        <v>45615</v>
      </c>
      <c r="M5962" t="s">
        <v>612</v>
      </c>
      <c r="N5962" t="s">
        <v>599</v>
      </c>
      <c r="O5962" s="37" t="str">
        <f t="shared" si="468"/>
        <v>Digital Payment</v>
      </c>
      <c r="P5962">
        <v>384.14</v>
      </c>
      <c r="Q5962" s="37" t="str">
        <f>IF(P5962&gt;500,"High","low")</f>
        <v>low</v>
      </c>
      <c r="R5962" s="37" t="str">
        <f t="shared" si="469"/>
        <v>AVERAGE</v>
      </c>
      <c r="S5962" t="s">
        <v>615</v>
      </c>
    </row>
    <row r="5963" spans="1:19" x14ac:dyDescent="0.2">
      <c r="A5963" t="s">
        <v>6574</v>
      </c>
      <c r="B5963" t="s">
        <v>90</v>
      </c>
      <c r="C5963" t="s">
        <v>602</v>
      </c>
      <c r="D5963">
        <v>4795.12</v>
      </c>
      <c r="E5963" s="37" t="str">
        <f t="shared" si="465"/>
        <v>Excellent Order</v>
      </c>
      <c r="F5963">
        <v>0.3</v>
      </c>
      <c r="G5963" s="37" t="str">
        <f t="shared" si="466"/>
        <v>Normal Discount</v>
      </c>
      <c r="H5963" s="37" t="str">
        <f t="shared" si="467"/>
        <v>Medium</v>
      </c>
      <c r="I5963">
        <v>3</v>
      </c>
      <c r="J5963" t="str" cm="1">
        <f t="array" ref="J5963">_xlfn.IFS(I5963&lt;=3,"small",I5963&lt;=6,"Medium",I5963&lt;=9,"Large")</f>
        <v>small</v>
      </c>
      <c r="K5963" s="36">
        <v>45119</v>
      </c>
      <c r="L5963" s="36">
        <v>45121</v>
      </c>
      <c r="M5963" t="s">
        <v>612</v>
      </c>
      <c r="N5963" t="s">
        <v>599</v>
      </c>
      <c r="O5963" s="37" t="str">
        <f t="shared" si="468"/>
        <v>Digital Payment</v>
      </c>
      <c r="P5963">
        <v>1051.42</v>
      </c>
      <c r="Q5963" s="37" t="str">
        <f>IF(P5963&gt;500,"High","low")</f>
        <v>High</v>
      </c>
      <c r="R5963" s="37" t="str">
        <f t="shared" si="469"/>
        <v>Excellent</v>
      </c>
      <c r="S5963" t="s">
        <v>609</v>
      </c>
    </row>
    <row r="5964" spans="1:19" x14ac:dyDescent="0.2">
      <c r="A5964" t="s">
        <v>6575</v>
      </c>
      <c r="B5964" t="s">
        <v>67</v>
      </c>
      <c r="C5964" t="s">
        <v>597</v>
      </c>
      <c r="D5964">
        <v>2929.65</v>
      </c>
      <c r="E5964" s="37" t="str">
        <f t="shared" si="465"/>
        <v xml:space="preserve"> </v>
      </c>
      <c r="F5964">
        <v>0.47</v>
      </c>
      <c r="G5964" s="37" t="str">
        <f t="shared" si="466"/>
        <v>Heavy Discount</v>
      </c>
      <c r="H5964" s="37" t="str">
        <f t="shared" si="467"/>
        <v>High</v>
      </c>
      <c r="I5964">
        <v>9</v>
      </c>
      <c r="J5964" t="str" cm="1">
        <f t="array" ref="J5964">_xlfn.IFS(I5964&lt;=3,"small",I5964&lt;=6,"Medium",I5964&lt;=9,"Large")</f>
        <v>Large</v>
      </c>
      <c r="K5964" s="36">
        <v>45245</v>
      </c>
      <c r="L5964" s="36">
        <v>45252</v>
      </c>
      <c r="M5964" t="s">
        <v>598</v>
      </c>
      <c r="N5964" t="s">
        <v>599</v>
      </c>
      <c r="O5964" s="37" t="str">
        <f t="shared" si="468"/>
        <v>Digital Payment</v>
      </c>
      <c r="P5964">
        <v>174.91</v>
      </c>
      <c r="Q5964" s="37" t="str">
        <f>IF(P5964&gt;500,"High","low")</f>
        <v>low</v>
      </c>
      <c r="R5964" s="37" t="str">
        <f t="shared" si="469"/>
        <v>AVERAGE</v>
      </c>
      <c r="S5964" t="s">
        <v>620</v>
      </c>
    </row>
    <row r="5965" spans="1:19" x14ac:dyDescent="0.2">
      <c r="A5965" t="s">
        <v>6576</v>
      </c>
      <c r="B5965" t="s">
        <v>67</v>
      </c>
      <c r="C5965" t="s">
        <v>602</v>
      </c>
      <c r="D5965">
        <v>2464.46</v>
      </c>
      <c r="E5965" s="37" t="str">
        <f t="shared" si="465"/>
        <v xml:space="preserve"> </v>
      </c>
      <c r="F5965">
        <v>0.37</v>
      </c>
      <c r="G5965" s="37" t="str">
        <f t="shared" si="466"/>
        <v>Heavy Discount</v>
      </c>
      <c r="H5965" s="37" t="str">
        <f t="shared" si="467"/>
        <v>Medium</v>
      </c>
      <c r="I5965">
        <v>9</v>
      </c>
      <c r="J5965" t="str" cm="1">
        <f t="array" ref="J5965">_xlfn.IFS(I5965&lt;=3,"small",I5965&lt;=6,"Medium",I5965&lt;=9,"Large")</f>
        <v>Large</v>
      </c>
      <c r="K5965" s="36">
        <v>45595</v>
      </c>
      <c r="L5965" s="36">
        <v>45598</v>
      </c>
      <c r="M5965" t="s">
        <v>598</v>
      </c>
      <c r="N5965" t="s">
        <v>608</v>
      </c>
      <c r="O5965" s="37" t="str">
        <f t="shared" si="468"/>
        <v>Cash Payment</v>
      </c>
      <c r="P5965">
        <v>538.69000000000005</v>
      </c>
      <c r="Q5965" s="37" t="str">
        <f>IF(P5965&gt;500,"High","low")</f>
        <v>High</v>
      </c>
      <c r="R5965" s="37" t="str">
        <f t="shared" si="469"/>
        <v>Good</v>
      </c>
      <c r="S5965" t="s">
        <v>615</v>
      </c>
    </row>
    <row r="5966" spans="1:19" x14ac:dyDescent="0.2">
      <c r="A5966" t="s">
        <v>6577</v>
      </c>
      <c r="B5966" t="s">
        <v>90</v>
      </c>
      <c r="C5966" t="s">
        <v>614</v>
      </c>
      <c r="D5966">
        <v>2718.58</v>
      </c>
      <c r="E5966" s="37" t="str">
        <f t="shared" si="465"/>
        <v xml:space="preserve"> </v>
      </c>
      <c r="F5966">
        <v>7.0000000000000007E-2</v>
      </c>
      <c r="G5966" s="37" t="str">
        <f t="shared" si="466"/>
        <v>Normal Discount</v>
      </c>
      <c r="H5966" s="37" t="str">
        <f t="shared" si="467"/>
        <v>Low</v>
      </c>
      <c r="I5966">
        <v>6</v>
      </c>
      <c r="J5966" t="str" cm="1">
        <f t="array" ref="J5966">_xlfn.IFS(I5966&lt;=3,"small",I5966&lt;=6,"Medium",I5966&lt;=9,"Large")</f>
        <v>Medium</v>
      </c>
      <c r="K5966" s="36">
        <v>45364</v>
      </c>
      <c r="L5966" s="36">
        <v>45367</v>
      </c>
      <c r="M5966" t="s">
        <v>612</v>
      </c>
      <c r="N5966" t="s">
        <v>608</v>
      </c>
      <c r="O5966" s="37" t="str">
        <f t="shared" si="468"/>
        <v>Cash Payment</v>
      </c>
      <c r="P5966">
        <v>164.84</v>
      </c>
      <c r="Q5966" s="37" t="str">
        <f>IF(P5966&gt;500,"High","low")</f>
        <v>low</v>
      </c>
      <c r="R5966" s="37" t="str">
        <f t="shared" si="469"/>
        <v>AVERAGE</v>
      </c>
      <c r="S5966" t="s">
        <v>620</v>
      </c>
    </row>
    <row r="5967" spans="1:19" x14ac:dyDescent="0.2">
      <c r="A5967" t="s">
        <v>6578</v>
      </c>
      <c r="B5967" t="s">
        <v>75</v>
      </c>
      <c r="C5967" t="s">
        <v>617</v>
      </c>
      <c r="D5967">
        <v>2444.4699999999998</v>
      </c>
      <c r="E5967" s="37" t="str">
        <f t="shared" si="465"/>
        <v xml:space="preserve"> </v>
      </c>
      <c r="F5967">
        <v>0.48</v>
      </c>
      <c r="G5967" s="37" t="str">
        <f t="shared" si="466"/>
        <v>Heavy Discount</v>
      </c>
      <c r="H5967" s="37" t="str">
        <f t="shared" si="467"/>
        <v>High</v>
      </c>
      <c r="I5967">
        <v>7</v>
      </c>
      <c r="J5967" t="str" cm="1">
        <f t="array" ref="J5967">_xlfn.IFS(I5967&lt;=3,"small",I5967&lt;=6,"Medium",I5967&lt;=9,"Large")</f>
        <v>Large</v>
      </c>
      <c r="K5967" s="36">
        <v>45564</v>
      </c>
      <c r="L5967" s="36">
        <v>45565</v>
      </c>
      <c r="M5967" t="s">
        <v>598</v>
      </c>
      <c r="N5967" t="s">
        <v>604</v>
      </c>
      <c r="O5967" s="37" t="str">
        <f t="shared" si="468"/>
        <v>Digital Payment</v>
      </c>
      <c r="P5967">
        <v>231.01</v>
      </c>
      <c r="Q5967" s="37" t="str">
        <f>IF(P5967&gt;500,"High","low")</f>
        <v>low</v>
      </c>
      <c r="R5967" s="37" t="str">
        <f t="shared" si="469"/>
        <v>AVERAGE</v>
      </c>
      <c r="S5967" t="s">
        <v>628</v>
      </c>
    </row>
    <row r="5968" spans="1:19" x14ac:dyDescent="0.2">
      <c r="A5968" t="s">
        <v>6579</v>
      </c>
      <c r="B5968" t="s">
        <v>90</v>
      </c>
      <c r="C5968" t="s">
        <v>617</v>
      </c>
      <c r="D5968">
        <v>2266.7800000000002</v>
      </c>
      <c r="E5968" s="37" t="str">
        <f t="shared" si="465"/>
        <v xml:space="preserve"> </v>
      </c>
      <c r="F5968">
        <v>0.24</v>
      </c>
      <c r="G5968" s="37" t="str">
        <f t="shared" si="466"/>
        <v>Normal Discount</v>
      </c>
      <c r="H5968" s="37" t="str">
        <f t="shared" si="467"/>
        <v>Medium</v>
      </c>
      <c r="I5968">
        <v>5</v>
      </c>
      <c r="J5968" t="str" cm="1">
        <f t="array" ref="J5968">_xlfn.IFS(I5968&lt;=3,"small",I5968&lt;=6,"Medium",I5968&lt;=9,"Large")</f>
        <v>Medium</v>
      </c>
      <c r="K5968" s="36">
        <v>45012</v>
      </c>
      <c r="L5968" s="36">
        <v>45013</v>
      </c>
      <c r="M5968" t="s">
        <v>603</v>
      </c>
      <c r="N5968" t="s">
        <v>599</v>
      </c>
      <c r="O5968" s="37" t="str">
        <f t="shared" si="468"/>
        <v>Digital Payment</v>
      </c>
      <c r="P5968">
        <v>398.5</v>
      </c>
      <c r="Q5968" s="37" t="str">
        <f>IF(P5968&gt;500,"High","low")</f>
        <v>low</v>
      </c>
      <c r="R5968" s="37" t="str">
        <f t="shared" si="469"/>
        <v>AVERAGE</v>
      </c>
      <c r="S5968" t="s">
        <v>628</v>
      </c>
    </row>
    <row r="5969" spans="1:19" x14ac:dyDescent="0.2">
      <c r="A5969" t="s">
        <v>6580</v>
      </c>
      <c r="B5969" t="s">
        <v>83</v>
      </c>
      <c r="C5969" t="s">
        <v>602</v>
      </c>
      <c r="D5969">
        <v>4740.47</v>
      </c>
      <c r="E5969" s="37" t="str">
        <f t="shared" si="465"/>
        <v>Excellent Order</v>
      </c>
      <c r="F5969">
        <v>0.18</v>
      </c>
      <c r="G5969" s="37" t="str">
        <f t="shared" si="466"/>
        <v>Normal Discount</v>
      </c>
      <c r="H5969" s="37" t="str">
        <f t="shared" si="467"/>
        <v>Low</v>
      </c>
      <c r="I5969">
        <v>7</v>
      </c>
      <c r="J5969" t="str" cm="1">
        <f t="array" ref="J5969">_xlfn.IFS(I5969&lt;=3,"small",I5969&lt;=6,"Medium",I5969&lt;=9,"Large")</f>
        <v>Large</v>
      </c>
      <c r="K5969" s="36">
        <v>45488</v>
      </c>
      <c r="L5969" s="36">
        <v>45492</v>
      </c>
      <c r="M5969" t="s">
        <v>603</v>
      </c>
      <c r="N5969" t="s">
        <v>608</v>
      </c>
      <c r="O5969" s="37" t="str">
        <f t="shared" si="468"/>
        <v>Cash Payment</v>
      </c>
      <c r="P5969">
        <v>1407.81</v>
      </c>
      <c r="Q5969" s="37" t="str">
        <f>IF(P5969&gt;500,"High","low")</f>
        <v>High</v>
      </c>
      <c r="R5969" s="37" t="str">
        <f t="shared" si="469"/>
        <v>Excellent</v>
      </c>
      <c r="S5969" t="s">
        <v>615</v>
      </c>
    </row>
    <row r="5970" spans="1:19" x14ac:dyDescent="0.2">
      <c r="A5970" t="s">
        <v>6581</v>
      </c>
      <c r="B5970" t="s">
        <v>75</v>
      </c>
      <c r="C5970" t="s">
        <v>597</v>
      </c>
      <c r="D5970">
        <v>2450.84</v>
      </c>
      <c r="E5970" s="37" t="str">
        <f t="shared" si="465"/>
        <v xml:space="preserve"> </v>
      </c>
      <c r="F5970">
        <v>0.06</v>
      </c>
      <c r="G5970" s="37" t="str">
        <f t="shared" si="466"/>
        <v>Normal Discount</v>
      </c>
      <c r="H5970" s="37" t="str">
        <f t="shared" si="467"/>
        <v>Low</v>
      </c>
      <c r="I5970">
        <v>6</v>
      </c>
      <c r="J5970" t="str" cm="1">
        <f t="array" ref="J5970">_xlfn.IFS(I5970&lt;=3,"small",I5970&lt;=6,"Medium",I5970&lt;=9,"Large")</f>
        <v>Medium</v>
      </c>
      <c r="K5970" s="36">
        <v>45503</v>
      </c>
      <c r="L5970" s="36">
        <v>45510</v>
      </c>
      <c r="M5970" t="s">
        <v>612</v>
      </c>
      <c r="N5970" t="s">
        <v>608</v>
      </c>
      <c r="O5970" s="37" t="str">
        <f t="shared" si="468"/>
        <v>Cash Payment</v>
      </c>
      <c r="P5970">
        <v>513.39</v>
      </c>
      <c r="Q5970" s="37" t="str">
        <f>IF(P5970&gt;500,"High","low")</f>
        <v>High</v>
      </c>
      <c r="R5970" s="37" t="str">
        <f t="shared" si="469"/>
        <v>Good</v>
      </c>
      <c r="S5970" t="s">
        <v>620</v>
      </c>
    </row>
    <row r="5971" spans="1:19" x14ac:dyDescent="0.2">
      <c r="A5971" t="s">
        <v>6582</v>
      </c>
      <c r="B5971" t="s">
        <v>75</v>
      </c>
      <c r="C5971" t="s">
        <v>607</v>
      </c>
      <c r="D5971">
        <v>497.4</v>
      </c>
      <c r="E5971" s="37" t="str">
        <f t="shared" si="465"/>
        <v xml:space="preserve"> </v>
      </c>
      <c r="F5971">
        <v>0.47</v>
      </c>
      <c r="G5971" s="37" t="str">
        <f t="shared" si="466"/>
        <v>Heavy Discount</v>
      </c>
      <c r="H5971" s="37" t="str">
        <f t="shared" si="467"/>
        <v>High</v>
      </c>
      <c r="I5971">
        <v>5</v>
      </c>
      <c r="J5971" t="str" cm="1">
        <f t="array" ref="J5971">_xlfn.IFS(I5971&lt;=3,"small",I5971&lt;=6,"Medium",I5971&lt;=9,"Large")</f>
        <v>Medium</v>
      </c>
      <c r="K5971" s="36">
        <v>44970</v>
      </c>
      <c r="L5971" s="36">
        <v>44972</v>
      </c>
      <c r="M5971" t="s">
        <v>603</v>
      </c>
      <c r="N5971" t="s">
        <v>608</v>
      </c>
      <c r="O5971" s="37" t="str">
        <f t="shared" si="468"/>
        <v>Cash Payment</v>
      </c>
      <c r="P5971">
        <v>25.3</v>
      </c>
      <c r="Q5971" s="37" t="str">
        <f>IF(P5971&gt;500,"High","low")</f>
        <v>low</v>
      </c>
      <c r="R5971" s="37" t="str">
        <f t="shared" si="469"/>
        <v>AVERAGE</v>
      </c>
      <c r="S5971" t="s">
        <v>605</v>
      </c>
    </row>
    <row r="5972" spans="1:19" x14ac:dyDescent="0.2">
      <c r="A5972" t="s">
        <v>6583</v>
      </c>
      <c r="B5972" t="s">
        <v>75</v>
      </c>
      <c r="C5972" t="s">
        <v>602</v>
      </c>
      <c r="D5972">
        <v>3851.03</v>
      </c>
      <c r="E5972" s="37" t="str">
        <f t="shared" si="465"/>
        <v xml:space="preserve"> </v>
      </c>
      <c r="F5972">
        <v>0.28999999999999998</v>
      </c>
      <c r="G5972" s="37" t="str">
        <f t="shared" si="466"/>
        <v>Normal Discount</v>
      </c>
      <c r="H5972" s="37" t="str">
        <f t="shared" si="467"/>
        <v>Medium</v>
      </c>
      <c r="I5972">
        <v>3</v>
      </c>
      <c r="J5972" t="str" cm="1">
        <f t="array" ref="J5972">_xlfn.IFS(I5972&lt;=3,"small",I5972&lt;=6,"Medium",I5972&lt;=9,"Large")</f>
        <v>small</v>
      </c>
      <c r="K5972" s="36">
        <v>45190</v>
      </c>
      <c r="L5972" s="36">
        <v>45191</v>
      </c>
      <c r="M5972" t="s">
        <v>598</v>
      </c>
      <c r="N5972" t="s">
        <v>608</v>
      </c>
      <c r="O5972" s="37" t="str">
        <f t="shared" si="468"/>
        <v>Cash Payment</v>
      </c>
      <c r="P5972">
        <v>939.53</v>
      </c>
      <c r="Q5972" s="37" t="str">
        <f>IF(P5972&gt;500,"High","low")</f>
        <v>High</v>
      </c>
      <c r="R5972" s="37" t="str">
        <f t="shared" si="469"/>
        <v>Good</v>
      </c>
      <c r="S5972" t="s">
        <v>615</v>
      </c>
    </row>
    <row r="5973" spans="1:19" x14ac:dyDescent="0.2">
      <c r="A5973" t="s">
        <v>6584</v>
      </c>
      <c r="B5973" t="s">
        <v>67</v>
      </c>
      <c r="C5973" t="s">
        <v>602</v>
      </c>
      <c r="D5973">
        <v>2018.65</v>
      </c>
      <c r="E5973" s="37" t="str">
        <f t="shared" si="465"/>
        <v xml:space="preserve"> </v>
      </c>
      <c r="F5973">
        <v>0.49</v>
      </c>
      <c r="G5973" s="37" t="str">
        <f t="shared" si="466"/>
        <v>Heavy Discount</v>
      </c>
      <c r="H5973" s="37" t="str">
        <f t="shared" si="467"/>
        <v>High</v>
      </c>
      <c r="I5973">
        <v>2</v>
      </c>
      <c r="J5973" t="str" cm="1">
        <f t="array" ref="J5973">_xlfn.IFS(I5973&lt;=3,"small",I5973&lt;=6,"Medium",I5973&lt;=9,"Large")</f>
        <v>small</v>
      </c>
      <c r="K5973" s="36">
        <v>45175</v>
      </c>
      <c r="L5973" s="36">
        <v>45176</v>
      </c>
      <c r="M5973" t="s">
        <v>612</v>
      </c>
      <c r="N5973" t="s">
        <v>604</v>
      </c>
      <c r="O5973" s="37" t="str">
        <f t="shared" si="468"/>
        <v>Digital Payment</v>
      </c>
      <c r="P5973">
        <v>272.82</v>
      </c>
      <c r="Q5973" s="37" t="str">
        <f>IF(P5973&gt;500,"High","low")</f>
        <v>low</v>
      </c>
      <c r="R5973" s="37" t="str">
        <f t="shared" si="469"/>
        <v>AVERAGE</v>
      </c>
      <c r="S5973" t="s">
        <v>605</v>
      </c>
    </row>
    <row r="5974" spans="1:19" x14ac:dyDescent="0.2">
      <c r="A5974" t="s">
        <v>6585</v>
      </c>
      <c r="B5974" t="s">
        <v>90</v>
      </c>
      <c r="C5974" t="s">
        <v>607</v>
      </c>
      <c r="D5974">
        <v>3582.4</v>
      </c>
      <c r="E5974" s="37" t="str">
        <f t="shared" si="465"/>
        <v xml:space="preserve"> </v>
      </c>
      <c r="F5974">
        <v>0.09</v>
      </c>
      <c r="G5974" s="37" t="str">
        <f t="shared" si="466"/>
        <v>Normal Discount</v>
      </c>
      <c r="H5974" s="37" t="str">
        <f t="shared" si="467"/>
        <v>Low</v>
      </c>
      <c r="I5974">
        <v>5</v>
      </c>
      <c r="J5974" t="str" cm="1">
        <f t="array" ref="J5974">_xlfn.IFS(I5974&lt;=3,"small",I5974&lt;=6,"Medium",I5974&lt;=9,"Large")</f>
        <v>Medium</v>
      </c>
      <c r="K5974" s="36">
        <v>44949</v>
      </c>
      <c r="L5974" s="36">
        <v>44952</v>
      </c>
      <c r="M5974" t="s">
        <v>598</v>
      </c>
      <c r="N5974" t="s">
        <v>599</v>
      </c>
      <c r="O5974" s="37" t="str">
        <f t="shared" si="468"/>
        <v>Digital Payment</v>
      </c>
      <c r="P5974">
        <v>1067.6500000000001</v>
      </c>
      <c r="Q5974" s="37" t="str">
        <f>IF(P5974&gt;500,"High","low")</f>
        <v>High</v>
      </c>
      <c r="R5974" s="37" t="str">
        <f t="shared" si="469"/>
        <v>Excellent</v>
      </c>
      <c r="S5974" t="s">
        <v>620</v>
      </c>
    </row>
    <row r="5975" spans="1:19" x14ac:dyDescent="0.2">
      <c r="A5975" t="s">
        <v>6586</v>
      </c>
      <c r="B5975" t="s">
        <v>75</v>
      </c>
      <c r="C5975" t="s">
        <v>602</v>
      </c>
      <c r="D5975">
        <v>2939.89</v>
      </c>
      <c r="E5975" s="37" t="str">
        <f t="shared" si="465"/>
        <v xml:space="preserve"> </v>
      </c>
      <c r="F5975">
        <v>0.27</v>
      </c>
      <c r="G5975" s="37" t="str">
        <f t="shared" si="466"/>
        <v>Normal Discount</v>
      </c>
      <c r="H5975" s="37" t="str">
        <f t="shared" si="467"/>
        <v>Medium</v>
      </c>
      <c r="I5975">
        <v>8</v>
      </c>
      <c r="J5975" t="str" cm="1">
        <f t="array" ref="J5975">_xlfn.IFS(I5975&lt;=3,"small",I5975&lt;=6,"Medium",I5975&lt;=9,"Large")</f>
        <v>Large</v>
      </c>
      <c r="K5975" s="36">
        <v>45138</v>
      </c>
      <c r="L5975" s="36">
        <v>45143</v>
      </c>
      <c r="M5975" t="s">
        <v>598</v>
      </c>
      <c r="N5975" t="s">
        <v>599</v>
      </c>
      <c r="O5975" s="37" t="str">
        <f t="shared" si="468"/>
        <v>Digital Payment</v>
      </c>
      <c r="P5975">
        <v>592.66999999999996</v>
      </c>
      <c r="Q5975" s="37" t="str">
        <f>IF(P5975&gt;500,"High","low")</f>
        <v>High</v>
      </c>
      <c r="R5975" s="37" t="str">
        <f t="shared" si="469"/>
        <v>Good</v>
      </c>
      <c r="S5975" t="s">
        <v>628</v>
      </c>
    </row>
    <row r="5976" spans="1:19" x14ac:dyDescent="0.2">
      <c r="A5976" t="s">
        <v>6587</v>
      </c>
      <c r="B5976" t="s">
        <v>75</v>
      </c>
      <c r="C5976" t="s">
        <v>614</v>
      </c>
      <c r="D5976">
        <v>3594.58</v>
      </c>
      <c r="E5976" s="37" t="str">
        <f t="shared" si="465"/>
        <v xml:space="preserve"> </v>
      </c>
      <c r="F5976">
        <v>0.05</v>
      </c>
      <c r="G5976" s="37" t="str">
        <f t="shared" si="466"/>
        <v>Normal Discount</v>
      </c>
      <c r="H5976" s="37" t="str">
        <f t="shared" si="467"/>
        <v>Low</v>
      </c>
      <c r="I5976">
        <v>5</v>
      </c>
      <c r="J5976" t="str" cm="1">
        <f t="array" ref="J5976">_xlfn.IFS(I5976&lt;=3,"small",I5976&lt;=6,"Medium",I5976&lt;=9,"Large")</f>
        <v>Medium</v>
      </c>
      <c r="K5976" s="36">
        <v>45454</v>
      </c>
      <c r="L5976" s="36">
        <v>45457</v>
      </c>
      <c r="M5976" t="s">
        <v>612</v>
      </c>
      <c r="N5976" t="s">
        <v>599</v>
      </c>
      <c r="O5976" s="37" t="str">
        <f t="shared" si="468"/>
        <v>Digital Payment</v>
      </c>
      <c r="P5976">
        <v>1011.29</v>
      </c>
      <c r="Q5976" s="37" t="str">
        <f>IF(P5976&gt;500,"High","low")</f>
        <v>High</v>
      </c>
      <c r="R5976" s="37" t="str">
        <f t="shared" si="469"/>
        <v>Excellent</v>
      </c>
      <c r="S5976" t="s">
        <v>615</v>
      </c>
    </row>
    <row r="5977" spans="1:19" x14ac:dyDescent="0.2">
      <c r="A5977" t="s">
        <v>6588</v>
      </c>
      <c r="B5977" t="s">
        <v>75</v>
      </c>
      <c r="C5977" t="s">
        <v>607</v>
      </c>
      <c r="D5977">
        <v>403.77</v>
      </c>
      <c r="E5977" s="37" t="str">
        <f t="shared" si="465"/>
        <v xml:space="preserve"> </v>
      </c>
      <c r="F5977">
        <v>0.26</v>
      </c>
      <c r="G5977" s="37" t="str">
        <f t="shared" si="466"/>
        <v>Normal Discount</v>
      </c>
      <c r="H5977" s="37" t="str">
        <f t="shared" si="467"/>
        <v>Medium</v>
      </c>
      <c r="I5977">
        <v>3</v>
      </c>
      <c r="J5977" t="str" cm="1">
        <f t="array" ref="J5977">_xlfn.IFS(I5977&lt;=3,"small",I5977&lt;=6,"Medium",I5977&lt;=9,"Large")</f>
        <v>small</v>
      </c>
      <c r="K5977" s="36">
        <v>45173</v>
      </c>
      <c r="L5977" s="36">
        <v>45174</v>
      </c>
      <c r="M5977" t="s">
        <v>598</v>
      </c>
      <c r="N5977" t="s">
        <v>608</v>
      </c>
      <c r="O5977" s="37" t="str">
        <f t="shared" si="468"/>
        <v>Cash Payment</v>
      </c>
      <c r="P5977">
        <v>25.12</v>
      </c>
      <c r="Q5977" s="37" t="str">
        <f>IF(P5977&gt;500,"High","low")</f>
        <v>low</v>
      </c>
      <c r="R5977" s="37" t="str">
        <f t="shared" si="469"/>
        <v>AVERAGE</v>
      </c>
      <c r="S5977" t="s">
        <v>605</v>
      </c>
    </row>
    <row r="5978" spans="1:19" x14ac:dyDescent="0.2">
      <c r="A5978" t="s">
        <v>6589</v>
      </c>
      <c r="B5978" t="s">
        <v>90</v>
      </c>
      <c r="C5978" t="s">
        <v>614</v>
      </c>
      <c r="D5978">
        <v>265.98</v>
      </c>
      <c r="E5978" s="37" t="str">
        <f t="shared" si="465"/>
        <v xml:space="preserve"> </v>
      </c>
      <c r="F5978">
        <v>0.44</v>
      </c>
      <c r="G5978" s="37" t="str">
        <f t="shared" si="466"/>
        <v>Heavy Discount</v>
      </c>
      <c r="H5978" s="37" t="str">
        <f t="shared" si="467"/>
        <v>High</v>
      </c>
      <c r="I5978">
        <v>3</v>
      </c>
      <c r="J5978" t="str" cm="1">
        <f t="array" ref="J5978">_xlfn.IFS(I5978&lt;=3,"small",I5978&lt;=6,"Medium",I5978&lt;=9,"Large")</f>
        <v>small</v>
      </c>
      <c r="K5978" s="36">
        <v>45435</v>
      </c>
      <c r="L5978" s="36">
        <v>45437</v>
      </c>
      <c r="M5978" t="s">
        <v>603</v>
      </c>
      <c r="N5978" t="s">
        <v>599</v>
      </c>
      <c r="O5978" s="37" t="str">
        <f t="shared" si="468"/>
        <v>Digital Payment</v>
      </c>
      <c r="P5978">
        <v>37.840000000000003</v>
      </c>
      <c r="Q5978" s="37" t="str">
        <f>IF(P5978&gt;500,"High","low")</f>
        <v>low</v>
      </c>
      <c r="R5978" s="37" t="str">
        <f t="shared" si="469"/>
        <v>AVERAGE</v>
      </c>
      <c r="S5978" t="s">
        <v>609</v>
      </c>
    </row>
    <row r="5979" spans="1:19" x14ac:dyDescent="0.2">
      <c r="A5979" t="s">
        <v>6590</v>
      </c>
      <c r="B5979" t="s">
        <v>67</v>
      </c>
      <c r="C5979" t="s">
        <v>617</v>
      </c>
      <c r="D5979">
        <v>1954.85</v>
      </c>
      <c r="E5979" s="37" t="str">
        <f t="shared" si="465"/>
        <v xml:space="preserve"> </v>
      </c>
      <c r="F5979">
        <v>0.05</v>
      </c>
      <c r="G5979" s="37" t="str">
        <f t="shared" si="466"/>
        <v>Normal Discount</v>
      </c>
      <c r="H5979" s="37" t="str">
        <f t="shared" si="467"/>
        <v>Low</v>
      </c>
      <c r="I5979">
        <v>5</v>
      </c>
      <c r="J5979" t="str" cm="1">
        <f t="array" ref="J5979">_xlfn.IFS(I5979&lt;=3,"small",I5979&lt;=6,"Medium",I5979&lt;=9,"Large")</f>
        <v>Medium</v>
      </c>
      <c r="K5979" s="36">
        <v>45164</v>
      </c>
      <c r="L5979" s="36">
        <v>45169</v>
      </c>
      <c r="M5979" t="s">
        <v>598</v>
      </c>
      <c r="N5979" t="s">
        <v>604</v>
      </c>
      <c r="O5979" s="37" t="str">
        <f t="shared" si="468"/>
        <v>Digital Payment</v>
      </c>
      <c r="P5979">
        <v>238.2</v>
      </c>
      <c r="Q5979" s="37" t="str">
        <f>IF(P5979&gt;500,"High","low")</f>
        <v>low</v>
      </c>
      <c r="R5979" s="37" t="str">
        <f t="shared" si="469"/>
        <v>AVERAGE</v>
      </c>
      <c r="S5979" t="s">
        <v>628</v>
      </c>
    </row>
    <row r="5980" spans="1:19" x14ac:dyDescent="0.2">
      <c r="A5980" t="s">
        <v>6591</v>
      </c>
      <c r="B5980" t="s">
        <v>83</v>
      </c>
      <c r="C5980" t="s">
        <v>607</v>
      </c>
      <c r="D5980">
        <v>3496.51</v>
      </c>
      <c r="E5980" s="37" t="str">
        <f t="shared" si="465"/>
        <v xml:space="preserve"> </v>
      </c>
      <c r="F5980">
        <v>0.13</v>
      </c>
      <c r="G5980" s="37" t="str">
        <f t="shared" si="466"/>
        <v>Normal Discount</v>
      </c>
      <c r="H5980" s="37" t="str">
        <f t="shared" si="467"/>
        <v>Low</v>
      </c>
      <c r="I5980">
        <v>9</v>
      </c>
      <c r="J5980" t="str" cm="1">
        <f t="array" ref="J5980">_xlfn.IFS(I5980&lt;=3,"small",I5980&lt;=6,"Medium",I5980&lt;=9,"Large")</f>
        <v>Large</v>
      </c>
      <c r="K5980" s="36">
        <v>45628</v>
      </c>
      <c r="L5980" s="36">
        <v>45632</v>
      </c>
      <c r="M5980" t="s">
        <v>603</v>
      </c>
      <c r="N5980" t="s">
        <v>604</v>
      </c>
      <c r="O5980" s="37" t="str">
        <f t="shared" si="468"/>
        <v>Digital Payment</v>
      </c>
      <c r="P5980">
        <v>502.26</v>
      </c>
      <c r="Q5980" s="37" t="str">
        <f>IF(P5980&gt;500,"High","low")</f>
        <v>High</v>
      </c>
      <c r="R5980" s="37" t="str">
        <f t="shared" si="469"/>
        <v>Good</v>
      </c>
      <c r="S5980" t="s">
        <v>609</v>
      </c>
    </row>
    <row r="5981" spans="1:19" x14ac:dyDescent="0.2">
      <c r="A5981" t="s">
        <v>6592</v>
      </c>
      <c r="B5981" t="s">
        <v>67</v>
      </c>
      <c r="C5981" t="s">
        <v>607</v>
      </c>
      <c r="D5981">
        <v>1196.04</v>
      </c>
      <c r="E5981" s="37" t="str">
        <f t="shared" si="465"/>
        <v xml:space="preserve"> </v>
      </c>
      <c r="F5981">
        <v>0.34</v>
      </c>
      <c r="G5981" s="37" t="str">
        <f t="shared" si="466"/>
        <v>Heavy Discount</v>
      </c>
      <c r="H5981" s="37" t="str">
        <f t="shared" si="467"/>
        <v>Medium</v>
      </c>
      <c r="I5981">
        <v>8</v>
      </c>
      <c r="J5981" t="str" cm="1">
        <f t="array" ref="J5981">_xlfn.IFS(I5981&lt;=3,"small",I5981&lt;=6,"Medium",I5981&lt;=9,"Large")</f>
        <v>Large</v>
      </c>
      <c r="K5981" s="36">
        <v>45653</v>
      </c>
      <c r="L5981" s="36">
        <v>45660</v>
      </c>
      <c r="M5981" t="s">
        <v>598</v>
      </c>
      <c r="N5981" t="s">
        <v>608</v>
      </c>
      <c r="O5981" s="37" t="str">
        <f t="shared" si="468"/>
        <v>Cash Payment</v>
      </c>
      <c r="P5981">
        <v>150.91999999999999</v>
      </c>
      <c r="Q5981" s="37" t="str">
        <f>IF(P5981&gt;500,"High","low")</f>
        <v>low</v>
      </c>
      <c r="R5981" s="37" t="str">
        <f t="shared" si="469"/>
        <v>AVERAGE</v>
      </c>
      <c r="S5981" t="s">
        <v>600</v>
      </c>
    </row>
    <row r="5982" spans="1:19" x14ac:dyDescent="0.2">
      <c r="A5982" t="s">
        <v>6593</v>
      </c>
      <c r="B5982" t="s">
        <v>75</v>
      </c>
      <c r="C5982" t="s">
        <v>597</v>
      </c>
      <c r="D5982">
        <v>2223.66</v>
      </c>
      <c r="E5982" s="37" t="str">
        <f t="shared" si="465"/>
        <v xml:space="preserve"> </v>
      </c>
      <c r="F5982">
        <v>0.04</v>
      </c>
      <c r="G5982" s="37" t="str">
        <f t="shared" si="466"/>
        <v>Normal Discount</v>
      </c>
      <c r="H5982" s="37" t="str">
        <f t="shared" si="467"/>
        <v>Low</v>
      </c>
      <c r="I5982">
        <v>7</v>
      </c>
      <c r="J5982" t="str" cm="1">
        <f t="array" ref="J5982">_xlfn.IFS(I5982&lt;=3,"small",I5982&lt;=6,"Medium",I5982&lt;=9,"Large")</f>
        <v>Large</v>
      </c>
      <c r="K5982" s="36">
        <v>45503</v>
      </c>
      <c r="L5982" s="36">
        <v>45509</v>
      </c>
      <c r="M5982" t="s">
        <v>612</v>
      </c>
      <c r="N5982" t="s">
        <v>608</v>
      </c>
      <c r="O5982" s="37" t="str">
        <f t="shared" si="468"/>
        <v>Cash Payment</v>
      </c>
      <c r="P5982">
        <v>265.83</v>
      </c>
      <c r="Q5982" s="37" t="str">
        <f>IF(P5982&gt;500,"High","low")</f>
        <v>low</v>
      </c>
      <c r="R5982" s="37" t="str">
        <f t="shared" si="469"/>
        <v>AVERAGE</v>
      </c>
      <c r="S5982" t="s">
        <v>615</v>
      </c>
    </row>
    <row r="5983" spans="1:19" x14ac:dyDescent="0.2">
      <c r="A5983" t="s">
        <v>6594</v>
      </c>
      <c r="B5983" t="s">
        <v>67</v>
      </c>
      <c r="C5983" t="s">
        <v>597</v>
      </c>
      <c r="D5983">
        <v>4905.97</v>
      </c>
      <c r="E5983" s="37" t="str">
        <f t="shared" si="465"/>
        <v>Excellent Order</v>
      </c>
      <c r="F5983">
        <v>0.23</v>
      </c>
      <c r="G5983" s="37" t="str">
        <f t="shared" si="466"/>
        <v>Normal Discount</v>
      </c>
      <c r="H5983" s="37" t="str">
        <f t="shared" si="467"/>
        <v>Medium</v>
      </c>
      <c r="I5983">
        <v>5</v>
      </c>
      <c r="J5983" t="str" cm="1">
        <f t="array" ref="J5983">_xlfn.IFS(I5983&lt;=3,"small",I5983&lt;=6,"Medium",I5983&lt;=9,"Large")</f>
        <v>Medium</v>
      </c>
      <c r="K5983" s="36">
        <v>45618</v>
      </c>
      <c r="L5983" s="36">
        <v>45624</v>
      </c>
      <c r="M5983" t="s">
        <v>598</v>
      </c>
      <c r="N5983" t="s">
        <v>599</v>
      </c>
      <c r="O5983" s="37" t="str">
        <f t="shared" si="468"/>
        <v>Digital Payment</v>
      </c>
      <c r="P5983">
        <v>835.53</v>
      </c>
      <c r="Q5983" s="37" t="str">
        <f>IF(P5983&gt;500,"High","low")</f>
        <v>High</v>
      </c>
      <c r="R5983" s="37" t="str">
        <f t="shared" si="469"/>
        <v>Good</v>
      </c>
      <c r="S5983" t="s">
        <v>605</v>
      </c>
    </row>
    <row r="5984" spans="1:19" x14ac:dyDescent="0.2">
      <c r="A5984" t="s">
        <v>6595</v>
      </c>
      <c r="B5984" t="s">
        <v>67</v>
      </c>
      <c r="C5984" t="s">
        <v>607</v>
      </c>
      <c r="D5984">
        <v>1152.8900000000001</v>
      </c>
      <c r="E5984" s="37" t="str">
        <f t="shared" si="465"/>
        <v xml:space="preserve"> </v>
      </c>
      <c r="F5984">
        <v>0.17</v>
      </c>
      <c r="G5984" s="37" t="str">
        <f t="shared" si="466"/>
        <v>Normal Discount</v>
      </c>
      <c r="H5984" s="37" t="str">
        <f t="shared" si="467"/>
        <v>Low</v>
      </c>
      <c r="I5984">
        <v>9</v>
      </c>
      <c r="J5984" t="str" cm="1">
        <f t="array" ref="J5984">_xlfn.IFS(I5984&lt;=3,"small",I5984&lt;=6,"Medium",I5984&lt;=9,"Large")</f>
        <v>Large</v>
      </c>
      <c r="K5984" s="36">
        <v>45551</v>
      </c>
      <c r="L5984" s="36">
        <v>45554</v>
      </c>
      <c r="M5984" t="s">
        <v>612</v>
      </c>
      <c r="N5984" t="s">
        <v>604</v>
      </c>
      <c r="O5984" s="37" t="str">
        <f t="shared" si="468"/>
        <v>Digital Payment</v>
      </c>
      <c r="P5984">
        <v>282.60000000000002</v>
      </c>
      <c r="Q5984" s="37" t="str">
        <f>IF(P5984&gt;500,"High","low")</f>
        <v>low</v>
      </c>
      <c r="R5984" s="37" t="str">
        <f t="shared" si="469"/>
        <v>AVERAGE</v>
      </c>
      <c r="S5984" t="s">
        <v>620</v>
      </c>
    </row>
    <row r="5985" spans="1:19" x14ac:dyDescent="0.2">
      <c r="A5985" t="s">
        <v>6596</v>
      </c>
      <c r="B5985" t="s">
        <v>83</v>
      </c>
      <c r="C5985" t="s">
        <v>617</v>
      </c>
      <c r="D5985">
        <v>4254.92</v>
      </c>
      <c r="E5985" s="37" t="str">
        <f t="shared" si="465"/>
        <v>Excellent Order</v>
      </c>
      <c r="F5985">
        <v>0.42</v>
      </c>
      <c r="G5985" s="37" t="str">
        <f t="shared" si="466"/>
        <v>Heavy Discount</v>
      </c>
      <c r="H5985" s="37" t="str">
        <f t="shared" si="467"/>
        <v>High</v>
      </c>
      <c r="I5985">
        <v>2</v>
      </c>
      <c r="J5985" t="str" cm="1">
        <f t="array" ref="J5985">_xlfn.IFS(I5985&lt;=3,"small",I5985&lt;=6,"Medium",I5985&lt;=9,"Large")</f>
        <v>small</v>
      </c>
      <c r="K5985" s="36">
        <v>45589</v>
      </c>
      <c r="L5985" s="36">
        <v>45593</v>
      </c>
      <c r="M5985" t="s">
        <v>612</v>
      </c>
      <c r="N5985" t="s">
        <v>608</v>
      </c>
      <c r="O5985" s="37" t="str">
        <f t="shared" si="468"/>
        <v>Cash Payment</v>
      </c>
      <c r="P5985">
        <v>900.56</v>
      </c>
      <c r="Q5985" s="37" t="str">
        <f>IF(P5985&gt;500,"High","low")</f>
        <v>High</v>
      </c>
      <c r="R5985" s="37" t="str">
        <f t="shared" si="469"/>
        <v>Good</v>
      </c>
      <c r="S5985" t="s">
        <v>628</v>
      </c>
    </row>
    <row r="5986" spans="1:19" x14ac:dyDescent="0.2">
      <c r="A5986" t="s">
        <v>6597</v>
      </c>
      <c r="B5986" t="s">
        <v>90</v>
      </c>
      <c r="C5986" t="s">
        <v>602</v>
      </c>
      <c r="D5986">
        <v>4144.76</v>
      </c>
      <c r="E5986" s="37" t="str">
        <f t="shared" si="465"/>
        <v xml:space="preserve"> </v>
      </c>
      <c r="F5986">
        <v>0.02</v>
      </c>
      <c r="G5986" s="37" t="str">
        <f t="shared" si="466"/>
        <v>Normal Discount</v>
      </c>
      <c r="H5986" s="37" t="str">
        <f t="shared" si="467"/>
        <v>Low</v>
      </c>
      <c r="I5986">
        <v>6</v>
      </c>
      <c r="J5986" t="str" cm="1">
        <f t="array" ref="J5986">_xlfn.IFS(I5986&lt;=3,"small",I5986&lt;=6,"Medium",I5986&lt;=9,"Large")</f>
        <v>Medium</v>
      </c>
      <c r="K5986" s="36">
        <v>44964</v>
      </c>
      <c r="L5986" s="36">
        <v>44966</v>
      </c>
      <c r="M5986" t="s">
        <v>598</v>
      </c>
      <c r="N5986" t="s">
        <v>599</v>
      </c>
      <c r="O5986" s="37" t="str">
        <f t="shared" si="468"/>
        <v>Digital Payment</v>
      </c>
      <c r="P5986">
        <v>590.24</v>
      </c>
      <c r="Q5986" s="37" t="str">
        <f>IF(P5986&gt;500,"High","low")</f>
        <v>High</v>
      </c>
      <c r="R5986" s="37" t="str">
        <f t="shared" si="469"/>
        <v>Good</v>
      </c>
      <c r="S5986" t="s">
        <v>628</v>
      </c>
    </row>
    <row r="5987" spans="1:19" x14ac:dyDescent="0.2">
      <c r="A5987" t="s">
        <v>6598</v>
      </c>
      <c r="B5987" t="s">
        <v>90</v>
      </c>
      <c r="C5987" t="s">
        <v>597</v>
      </c>
      <c r="D5987">
        <v>4467.63</v>
      </c>
      <c r="E5987" s="37" t="str">
        <f t="shared" si="465"/>
        <v>Excellent Order</v>
      </c>
      <c r="F5987">
        <v>0.43</v>
      </c>
      <c r="G5987" s="37" t="str">
        <f t="shared" si="466"/>
        <v>Heavy Discount</v>
      </c>
      <c r="H5987" s="37" t="str">
        <f t="shared" si="467"/>
        <v>High</v>
      </c>
      <c r="I5987">
        <v>7</v>
      </c>
      <c r="J5987" t="str" cm="1">
        <f t="array" ref="J5987">_xlfn.IFS(I5987&lt;=3,"small",I5987&lt;=6,"Medium",I5987&lt;=9,"Large")</f>
        <v>Large</v>
      </c>
      <c r="K5987" s="36">
        <v>45296</v>
      </c>
      <c r="L5987" s="36">
        <v>45301</v>
      </c>
      <c r="M5987" t="s">
        <v>603</v>
      </c>
      <c r="N5987" t="s">
        <v>604</v>
      </c>
      <c r="O5987" s="37" t="str">
        <f t="shared" si="468"/>
        <v>Digital Payment</v>
      </c>
      <c r="P5987">
        <v>881.86</v>
      </c>
      <c r="Q5987" s="37" t="str">
        <f>IF(P5987&gt;500,"High","low")</f>
        <v>High</v>
      </c>
      <c r="R5987" s="37" t="str">
        <f t="shared" si="469"/>
        <v>Good</v>
      </c>
      <c r="S5987" t="s">
        <v>628</v>
      </c>
    </row>
    <row r="5988" spans="1:19" x14ac:dyDescent="0.2">
      <c r="A5988" t="s">
        <v>6599</v>
      </c>
      <c r="B5988" t="s">
        <v>67</v>
      </c>
      <c r="C5988" t="s">
        <v>617</v>
      </c>
      <c r="D5988">
        <v>4584.1899999999996</v>
      </c>
      <c r="E5988" s="37" t="str">
        <f t="shared" si="465"/>
        <v>Excellent Order</v>
      </c>
      <c r="F5988">
        <v>0.35</v>
      </c>
      <c r="G5988" s="37" t="str">
        <f t="shared" si="466"/>
        <v>Heavy Discount</v>
      </c>
      <c r="H5988" s="37" t="str">
        <f t="shared" si="467"/>
        <v>Medium</v>
      </c>
      <c r="I5988">
        <v>7</v>
      </c>
      <c r="J5988" t="str" cm="1">
        <f t="array" ref="J5988">_xlfn.IFS(I5988&lt;=3,"small",I5988&lt;=6,"Medium",I5988&lt;=9,"Large")</f>
        <v>Large</v>
      </c>
      <c r="K5988" s="36">
        <v>45478</v>
      </c>
      <c r="L5988" s="36">
        <v>45484</v>
      </c>
      <c r="M5988" t="s">
        <v>598</v>
      </c>
      <c r="N5988" t="s">
        <v>608</v>
      </c>
      <c r="O5988" s="37" t="str">
        <f t="shared" si="468"/>
        <v>Cash Payment</v>
      </c>
      <c r="P5988">
        <v>1268.6300000000001</v>
      </c>
      <c r="Q5988" s="37" t="str">
        <f>IF(P5988&gt;500,"High","low")</f>
        <v>High</v>
      </c>
      <c r="R5988" s="37" t="str">
        <f t="shared" si="469"/>
        <v>Excellent</v>
      </c>
      <c r="S5988" t="s">
        <v>615</v>
      </c>
    </row>
    <row r="5989" spans="1:19" x14ac:dyDescent="0.2">
      <c r="A5989" t="s">
        <v>6600</v>
      </c>
      <c r="B5989" t="s">
        <v>67</v>
      </c>
      <c r="C5989" t="s">
        <v>617</v>
      </c>
      <c r="D5989">
        <v>2585.87</v>
      </c>
      <c r="E5989" s="37" t="str">
        <f t="shared" si="465"/>
        <v xml:space="preserve"> </v>
      </c>
      <c r="F5989">
        <v>0.15</v>
      </c>
      <c r="G5989" s="37" t="str">
        <f t="shared" si="466"/>
        <v>Normal Discount</v>
      </c>
      <c r="H5989" s="37" t="str">
        <f t="shared" si="467"/>
        <v>Low</v>
      </c>
      <c r="I5989">
        <v>4</v>
      </c>
      <c r="J5989" t="str" cm="1">
        <f t="array" ref="J5989">_xlfn.IFS(I5989&lt;=3,"small",I5989&lt;=6,"Medium",I5989&lt;=9,"Large")</f>
        <v>Medium</v>
      </c>
      <c r="K5989" s="36">
        <v>45632</v>
      </c>
      <c r="L5989" s="36">
        <v>45634</v>
      </c>
      <c r="M5989" t="s">
        <v>603</v>
      </c>
      <c r="N5989" t="s">
        <v>608</v>
      </c>
      <c r="O5989" s="37" t="str">
        <f t="shared" si="468"/>
        <v>Cash Payment</v>
      </c>
      <c r="P5989">
        <v>303.01</v>
      </c>
      <c r="Q5989" s="37" t="str">
        <f>IF(P5989&gt;500,"High","low")</f>
        <v>low</v>
      </c>
      <c r="R5989" s="37" t="str">
        <f t="shared" si="469"/>
        <v>AVERAGE</v>
      </c>
      <c r="S5989" t="s">
        <v>609</v>
      </c>
    </row>
    <row r="5990" spans="1:19" x14ac:dyDescent="0.2">
      <c r="A5990" t="s">
        <v>6601</v>
      </c>
      <c r="B5990" t="s">
        <v>90</v>
      </c>
      <c r="C5990" t="s">
        <v>597</v>
      </c>
      <c r="D5990">
        <v>3441.48</v>
      </c>
      <c r="E5990" s="37" t="str">
        <f t="shared" si="465"/>
        <v xml:space="preserve"> </v>
      </c>
      <c r="F5990">
        <v>0.1</v>
      </c>
      <c r="G5990" s="37" t="str">
        <f t="shared" si="466"/>
        <v>Normal Discount</v>
      </c>
      <c r="H5990" s="37" t="str">
        <f t="shared" si="467"/>
        <v>Low</v>
      </c>
      <c r="I5990">
        <v>2</v>
      </c>
      <c r="J5990" t="str" cm="1">
        <f t="array" ref="J5990">_xlfn.IFS(I5990&lt;=3,"small",I5990&lt;=6,"Medium",I5990&lt;=9,"Large")</f>
        <v>small</v>
      </c>
      <c r="K5990" s="36">
        <v>45358</v>
      </c>
      <c r="L5990" s="36">
        <v>45364</v>
      </c>
      <c r="M5990" t="s">
        <v>598</v>
      </c>
      <c r="N5990" t="s">
        <v>599</v>
      </c>
      <c r="O5990" s="37" t="str">
        <f t="shared" si="468"/>
        <v>Digital Payment</v>
      </c>
      <c r="P5990">
        <v>602.73</v>
      </c>
      <c r="Q5990" s="37" t="str">
        <f>IF(P5990&gt;500,"High","low")</f>
        <v>High</v>
      </c>
      <c r="R5990" s="37" t="str">
        <f t="shared" si="469"/>
        <v>Good</v>
      </c>
      <c r="S5990" t="s">
        <v>620</v>
      </c>
    </row>
    <row r="5991" spans="1:19" x14ac:dyDescent="0.2">
      <c r="A5991" t="s">
        <v>6602</v>
      </c>
      <c r="B5991" t="s">
        <v>90</v>
      </c>
      <c r="C5991" t="s">
        <v>602</v>
      </c>
      <c r="D5991">
        <v>3132.57</v>
      </c>
      <c r="E5991" s="37" t="str">
        <f t="shared" si="465"/>
        <v xml:space="preserve"> </v>
      </c>
      <c r="F5991">
        <v>0.48</v>
      </c>
      <c r="G5991" s="37" t="str">
        <f t="shared" si="466"/>
        <v>Heavy Discount</v>
      </c>
      <c r="H5991" s="37" t="str">
        <f t="shared" si="467"/>
        <v>High</v>
      </c>
      <c r="I5991">
        <v>1</v>
      </c>
      <c r="J5991" t="str" cm="1">
        <f t="array" ref="J5991">_xlfn.IFS(I5991&lt;=3,"small",I5991&lt;=6,"Medium",I5991&lt;=9,"Large")</f>
        <v>small</v>
      </c>
      <c r="K5991" s="36">
        <v>45195</v>
      </c>
      <c r="L5991" s="36">
        <v>45200</v>
      </c>
      <c r="M5991" t="s">
        <v>603</v>
      </c>
      <c r="N5991" t="s">
        <v>608</v>
      </c>
      <c r="O5991" s="37" t="str">
        <f t="shared" si="468"/>
        <v>Cash Payment</v>
      </c>
      <c r="P5991">
        <v>870.57</v>
      </c>
      <c r="Q5991" s="37" t="str">
        <f>IF(P5991&gt;500,"High","low")</f>
        <v>High</v>
      </c>
      <c r="R5991" s="37" t="str">
        <f t="shared" si="469"/>
        <v>Good</v>
      </c>
      <c r="S5991" t="s">
        <v>620</v>
      </c>
    </row>
    <row r="5992" spans="1:19" x14ac:dyDescent="0.2">
      <c r="A5992" t="s">
        <v>6603</v>
      </c>
      <c r="B5992" t="s">
        <v>83</v>
      </c>
      <c r="C5992" t="s">
        <v>597</v>
      </c>
      <c r="D5992">
        <v>1613.85</v>
      </c>
      <c r="E5992" s="37" t="str">
        <f t="shared" si="465"/>
        <v xml:space="preserve"> </v>
      </c>
      <c r="F5992">
        <v>0.28000000000000003</v>
      </c>
      <c r="G5992" s="37" t="str">
        <f t="shared" si="466"/>
        <v>Normal Discount</v>
      </c>
      <c r="H5992" s="37" t="str">
        <f t="shared" si="467"/>
        <v>Medium</v>
      </c>
      <c r="I5992">
        <v>1</v>
      </c>
      <c r="J5992" t="str" cm="1">
        <f t="array" ref="J5992">_xlfn.IFS(I5992&lt;=3,"small",I5992&lt;=6,"Medium",I5992&lt;=9,"Large")</f>
        <v>small</v>
      </c>
      <c r="K5992" s="36">
        <v>45049</v>
      </c>
      <c r="L5992" s="36">
        <v>45053</v>
      </c>
      <c r="M5992" t="s">
        <v>612</v>
      </c>
      <c r="N5992" t="s">
        <v>608</v>
      </c>
      <c r="O5992" s="37" t="str">
        <f t="shared" si="468"/>
        <v>Cash Payment</v>
      </c>
      <c r="P5992">
        <v>375.65</v>
      </c>
      <c r="Q5992" s="37" t="str">
        <f>IF(P5992&gt;500,"High","low")</f>
        <v>low</v>
      </c>
      <c r="R5992" s="37" t="str">
        <f t="shared" si="469"/>
        <v>AVERAGE</v>
      </c>
      <c r="S5992" t="s">
        <v>620</v>
      </c>
    </row>
    <row r="5993" spans="1:19" x14ac:dyDescent="0.2">
      <c r="A5993" t="s">
        <v>6604</v>
      </c>
      <c r="B5993" t="s">
        <v>75</v>
      </c>
      <c r="C5993" t="s">
        <v>617</v>
      </c>
      <c r="D5993">
        <v>1470.96</v>
      </c>
      <c r="E5993" s="37" t="str">
        <f t="shared" si="465"/>
        <v xml:space="preserve"> </v>
      </c>
      <c r="F5993">
        <v>0.17</v>
      </c>
      <c r="G5993" s="37" t="str">
        <f t="shared" si="466"/>
        <v>Normal Discount</v>
      </c>
      <c r="H5993" s="37" t="str">
        <f t="shared" si="467"/>
        <v>Low</v>
      </c>
      <c r="I5993">
        <v>3</v>
      </c>
      <c r="J5993" t="str" cm="1">
        <f t="array" ref="J5993">_xlfn.IFS(I5993&lt;=3,"small",I5993&lt;=6,"Medium",I5993&lt;=9,"Large")</f>
        <v>small</v>
      </c>
      <c r="K5993" s="36">
        <v>44953</v>
      </c>
      <c r="L5993" s="36">
        <v>44957</v>
      </c>
      <c r="M5993" t="s">
        <v>603</v>
      </c>
      <c r="N5993" t="s">
        <v>599</v>
      </c>
      <c r="O5993" s="37" t="str">
        <f t="shared" si="468"/>
        <v>Digital Payment</v>
      </c>
      <c r="P5993">
        <v>137.81</v>
      </c>
      <c r="Q5993" s="37" t="str">
        <f>IF(P5993&gt;500,"High","low")</f>
        <v>low</v>
      </c>
      <c r="R5993" s="37" t="str">
        <f t="shared" si="469"/>
        <v>AVERAGE</v>
      </c>
      <c r="S5993" t="s">
        <v>600</v>
      </c>
    </row>
    <row r="5994" spans="1:19" x14ac:dyDescent="0.2">
      <c r="A5994" t="s">
        <v>6605</v>
      </c>
      <c r="B5994" t="s">
        <v>67</v>
      </c>
      <c r="C5994" t="s">
        <v>614</v>
      </c>
      <c r="D5994">
        <v>1773.69</v>
      </c>
      <c r="E5994" s="37" t="str">
        <f t="shared" si="465"/>
        <v xml:space="preserve"> </v>
      </c>
      <c r="F5994">
        <v>0.02</v>
      </c>
      <c r="G5994" s="37" t="str">
        <f t="shared" si="466"/>
        <v>Normal Discount</v>
      </c>
      <c r="H5994" s="37" t="str">
        <f t="shared" si="467"/>
        <v>Low</v>
      </c>
      <c r="I5994">
        <v>7</v>
      </c>
      <c r="J5994" t="str" cm="1">
        <f t="array" ref="J5994">_xlfn.IFS(I5994&lt;=3,"small",I5994&lt;=6,"Medium",I5994&lt;=9,"Large")</f>
        <v>Large</v>
      </c>
      <c r="K5994" s="36">
        <v>45612</v>
      </c>
      <c r="L5994" s="36">
        <v>45614</v>
      </c>
      <c r="M5994" t="s">
        <v>612</v>
      </c>
      <c r="N5994" t="s">
        <v>608</v>
      </c>
      <c r="O5994" s="37" t="str">
        <f t="shared" si="468"/>
        <v>Cash Payment</v>
      </c>
      <c r="P5994">
        <v>440.49</v>
      </c>
      <c r="Q5994" s="37" t="str">
        <f>IF(P5994&gt;500,"High","low")</f>
        <v>low</v>
      </c>
      <c r="R5994" s="37" t="str">
        <f t="shared" si="469"/>
        <v>AVERAGE</v>
      </c>
      <c r="S5994" t="s">
        <v>620</v>
      </c>
    </row>
    <row r="5995" spans="1:19" x14ac:dyDescent="0.2">
      <c r="A5995" t="s">
        <v>6606</v>
      </c>
      <c r="B5995" t="s">
        <v>90</v>
      </c>
      <c r="C5995" t="s">
        <v>597</v>
      </c>
      <c r="D5995">
        <v>1170.44</v>
      </c>
      <c r="E5995" s="37" t="str">
        <f t="shared" si="465"/>
        <v xml:space="preserve"> </v>
      </c>
      <c r="F5995">
        <v>0.08</v>
      </c>
      <c r="G5995" s="37" t="str">
        <f t="shared" si="466"/>
        <v>Normal Discount</v>
      </c>
      <c r="H5995" s="37" t="str">
        <f t="shared" si="467"/>
        <v>Low</v>
      </c>
      <c r="I5995">
        <v>5</v>
      </c>
      <c r="J5995" t="str" cm="1">
        <f t="array" ref="J5995">_xlfn.IFS(I5995&lt;=3,"small",I5995&lt;=6,"Medium",I5995&lt;=9,"Large")</f>
        <v>Medium</v>
      </c>
      <c r="K5995" s="36">
        <v>45509</v>
      </c>
      <c r="L5995" s="36">
        <v>45514</v>
      </c>
      <c r="M5995" t="s">
        <v>612</v>
      </c>
      <c r="N5995" t="s">
        <v>608</v>
      </c>
      <c r="O5995" s="37" t="str">
        <f t="shared" si="468"/>
        <v>Cash Payment</v>
      </c>
      <c r="P5995">
        <v>293.27</v>
      </c>
      <c r="Q5995" s="37" t="str">
        <f>IF(P5995&gt;500,"High","low")</f>
        <v>low</v>
      </c>
      <c r="R5995" s="37" t="str">
        <f t="shared" si="469"/>
        <v>AVERAGE</v>
      </c>
      <c r="S5995" t="s">
        <v>605</v>
      </c>
    </row>
    <row r="5996" spans="1:19" x14ac:dyDescent="0.2">
      <c r="A5996" t="s">
        <v>6607</v>
      </c>
      <c r="B5996" t="s">
        <v>67</v>
      </c>
      <c r="C5996" t="s">
        <v>617</v>
      </c>
      <c r="D5996">
        <v>3811.18</v>
      </c>
      <c r="E5996" s="37" t="str">
        <f t="shared" si="465"/>
        <v xml:space="preserve"> </v>
      </c>
      <c r="F5996">
        <v>0.3</v>
      </c>
      <c r="G5996" s="37" t="str">
        <f t="shared" si="466"/>
        <v>Normal Discount</v>
      </c>
      <c r="H5996" s="37" t="str">
        <f t="shared" si="467"/>
        <v>Medium</v>
      </c>
      <c r="I5996">
        <v>7</v>
      </c>
      <c r="J5996" t="str" cm="1">
        <f t="array" ref="J5996">_xlfn.IFS(I5996&lt;=3,"small",I5996&lt;=6,"Medium",I5996&lt;=9,"Large")</f>
        <v>Large</v>
      </c>
      <c r="K5996" s="36">
        <v>44929</v>
      </c>
      <c r="L5996" s="36">
        <v>44935</v>
      </c>
      <c r="M5996" t="s">
        <v>598</v>
      </c>
      <c r="N5996" t="s">
        <v>608</v>
      </c>
      <c r="O5996" s="37" t="str">
        <f t="shared" si="468"/>
        <v>Cash Payment</v>
      </c>
      <c r="P5996">
        <v>901.25</v>
      </c>
      <c r="Q5996" s="37" t="str">
        <f>IF(P5996&gt;500,"High","low")</f>
        <v>High</v>
      </c>
      <c r="R5996" s="37" t="str">
        <f t="shared" si="469"/>
        <v>Good</v>
      </c>
      <c r="S5996" t="s">
        <v>605</v>
      </c>
    </row>
    <row r="5997" spans="1:19" x14ac:dyDescent="0.2">
      <c r="A5997" t="s">
        <v>6608</v>
      </c>
      <c r="B5997" t="s">
        <v>67</v>
      </c>
      <c r="C5997" t="s">
        <v>597</v>
      </c>
      <c r="D5997">
        <v>4826.41</v>
      </c>
      <c r="E5997" s="37" t="str">
        <f t="shared" si="465"/>
        <v>Excellent Order</v>
      </c>
      <c r="F5997">
        <v>0.26</v>
      </c>
      <c r="G5997" s="37" t="str">
        <f t="shared" si="466"/>
        <v>Normal Discount</v>
      </c>
      <c r="H5997" s="37" t="str">
        <f t="shared" si="467"/>
        <v>Medium</v>
      </c>
      <c r="I5997">
        <v>9</v>
      </c>
      <c r="J5997" t="str" cm="1">
        <f t="array" ref="J5997">_xlfn.IFS(I5997&lt;=3,"small",I5997&lt;=6,"Medium",I5997&lt;=9,"Large")</f>
        <v>Large</v>
      </c>
      <c r="K5997" s="36">
        <v>45243</v>
      </c>
      <c r="L5997" s="36">
        <v>45250</v>
      </c>
      <c r="M5997" t="s">
        <v>612</v>
      </c>
      <c r="N5997" t="s">
        <v>608</v>
      </c>
      <c r="O5997" s="37" t="str">
        <f t="shared" si="468"/>
        <v>Cash Payment</v>
      </c>
      <c r="P5997">
        <v>960.22</v>
      </c>
      <c r="Q5997" s="37" t="str">
        <f>IF(P5997&gt;500,"High","low")</f>
        <v>High</v>
      </c>
      <c r="R5997" s="37" t="str">
        <f t="shared" si="469"/>
        <v>Good</v>
      </c>
      <c r="S5997" t="s">
        <v>615</v>
      </c>
    </row>
    <row r="5998" spans="1:19" x14ac:dyDescent="0.2">
      <c r="A5998" t="s">
        <v>6609</v>
      </c>
      <c r="B5998" t="s">
        <v>90</v>
      </c>
      <c r="C5998" t="s">
        <v>617</v>
      </c>
      <c r="D5998">
        <v>4352.08</v>
      </c>
      <c r="E5998" s="37" t="str">
        <f t="shared" si="465"/>
        <v xml:space="preserve"> </v>
      </c>
      <c r="F5998">
        <v>0.38</v>
      </c>
      <c r="G5998" s="37" t="str">
        <f t="shared" si="466"/>
        <v>Heavy Discount</v>
      </c>
      <c r="H5998" s="37" t="str">
        <f t="shared" si="467"/>
        <v>Medium</v>
      </c>
      <c r="I5998">
        <v>8</v>
      </c>
      <c r="J5998" t="str" cm="1">
        <f t="array" ref="J5998">_xlfn.IFS(I5998&lt;=3,"small",I5998&lt;=6,"Medium",I5998&lt;=9,"Large")</f>
        <v>Large</v>
      </c>
      <c r="K5998" s="36">
        <v>44998</v>
      </c>
      <c r="L5998" s="36">
        <v>45002</v>
      </c>
      <c r="M5998" t="s">
        <v>612</v>
      </c>
      <c r="N5998" t="s">
        <v>599</v>
      </c>
      <c r="O5998" s="37" t="str">
        <f t="shared" si="468"/>
        <v>Digital Payment</v>
      </c>
      <c r="P5998">
        <v>345.99</v>
      </c>
      <c r="Q5998" s="37" t="str">
        <f>IF(P5998&gt;500,"High","low")</f>
        <v>low</v>
      </c>
      <c r="R5998" s="37" t="str">
        <f t="shared" si="469"/>
        <v>AVERAGE</v>
      </c>
      <c r="S5998" t="s">
        <v>600</v>
      </c>
    </row>
    <row r="5999" spans="1:19" x14ac:dyDescent="0.2">
      <c r="A5999" t="s">
        <v>6610</v>
      </c>
      <c r="B5999" t="s">
        <v>83</v>
      </c>
      <c r="C5999" t="s">
        <v>602</v>
      </c>
      <c r="D5999">
        <v>1167.9100000000001</v>
      </c>
      <c r="E5999" s="37" t="str">
        <f t="shared" si="465"/>
        <v xml:space="preserve"> </v>
      </c>
      <c r="F5999">
        <v>0.42</v>
      </c>
      <c r="G5999" s="37" t="str">
        <f t="shared" si="466"/>
        <v>Heavy Discount</v>
      </c>
      <c r="H5999" s="37" t="str">
        <f t="shared" si="467"/>
        <v>High</v>
      </c>
      <c r="I5999">
        <v>1</v>
      </c>
      <c r="J5999" t="str" cm="1">
        <f t="array" ref="J5999">_xlfn.IFS(I5999&lt;=3,"small",I5999&lt;=6,"Medium",I5999&lt;=9,"Large")</f>
        <v>small</v>
      </c>
      <c r="K5999" s="36">
        <v>45071</v>
      </c>
      <c r="L5999" s="36">
        <v>45076</v>
      </c>
      <c r="M5999" t="s">
        <v>598</v>
      </c>
      <c r="N5999" t="s">
        <v>599</v>
      </c>
      <c r="O5999" s="37" t="str">
        <f t="shared" si="468"/>
        <v>Digital Payment</v>
      </c>
      <c r="P5999">
        <v>195.4</v>
      </c>
      <c r="Q5999" s="37" t="str">
        <f>IF(P5999&gt;500,"High","low")</f>
        <v>low</v>
      </c>
      <c r="R5999" s="37" t="str">
        <f t="shared" si="469"/>
        <v>AVERAGE</v>
      </c>
      <c r="S5999" t="s">
        <v>609</v>
      </c>
    </row>
    <row r="6000" spans="1:19" x14ac:dyDescent="0.2">
      <c r="A6000" t="s">
        <v>6611</v>
      </c>
      <c r="B6000" t="s">
        <v>67</v>
      </c>
      <c r="C6000" t="s">
        <v>617</v>
      </c>
      <c r="D6000">
        <v>354.39</v>
      </c>
      <c r="E6000" s="37" t="str">
        <f t="shared" si="465"/>
        <v xml:space="preserve"> </v>
      </c>
      <c r="F6000">
        <v>0.2</v>
      </c>
      <c r="G6000" s="37" t="str">
        <f t="shared" si="466"/>
        <v>Normal Discount</v>
      </c>
      <c r="H6000" s="37" t="str">
        <f t="shared" si="467"/>
        <v>Medium</v>
      </c>
      <c r="I6000">
        <v>4</v>
      </c>
      <c r="J6000" t="str" cm="1">
        <f t="array" ref="J6000">_xlfn.IFS(I6000&lt;=3,"small",I6000&lt;=6,"Medium",I6000&lt;=9,"Large")</f>
        <v>Medium</v>
      </c>
      <c r="K6000" s="36">
        <v>45336</v>
      </c>
      <c r="L6000" s="36">
        <v>45340</v>
      </c>
      <c r="M6000" t="s">
        <v>603</v>
      </c>
      <c r="N6000" t="s">
        <v>599</v>
      </c>
      <c r="O6000" s="37" t="str">
        <f t="shared" si="468"/>
        <v>Digital Payment</v>
      </c>
      <c r="P6000">
        <v>25.4</v>
      </c>
      <c r="Q6000" s="37" t="str">
        <f>IF(P6000&gt;500,"High","low")</f>
        <v>low</v>
      </c>
      <c r="R6000" s="37" t="str">
        <f t="shared" si="469"/>
        <v>AVERAGE</v>
      </c>
      <c r="S6000" t="s">
        <v>628</v>
      </c>
    </row>
    <row r="6001" spans="1:19" x14ac:dyDescent="0.2">
      <c r="A6001" t="s">
        <v>6612</v>
      </c>
      <c r="B6001" t="s">
        <v>83</v>
      </c>
      <c r="C6001" t="s">
        <v>607</v>
      </c>
      <c r="D6001">
        <v>3809.76</v>
      </c>
      <c r="E6001" s="37" t="str">
        <f t="shared" si="465"/>
        <v xml:space="preserve"> </v>
      </c>
      <c r="F6001">
        <v>0.05</v>
      </c>
      <c r="G6001" s="37" t="str">
        <f t="shared" si="466"/>
        <v>Normal Discount</v>
      </c>
      <c r="H6001" s="37" t="str">
        <f t="shared" si="467"/>
        <v>Low</v>
      </c>
      <c r="I6001">
        <v>5</v>
      </c>
      <c r="J6001" t="str" cm="1">
        <f t="array" ref="J6001">_xlfn.IFS(I6001&lt;=3,"small",I6001&lt;=6,"Medium",I6001&lt;=9,"Large")</f>
        <v>Medium</v>
      </c>
      <c r="K6001" s="36">
        <v>45211</v>
      </c>
      <c r="L6001" s="36">
        <v>45212</v>
      </c>
      <c r="M6001" t="s">
        <v>598</v>
      </c>
      <c r="N6001" t="s">
        <v>604</v>
      </c>
      <c r="O6001" s="37" t="str">
        <f t="shared" si="468"/>
        <v>Digital Payment</v>
      </c>
      <c r="P6001">
        <v>684.71</v>
      </c>
      <c r="Q6001" s="37" t="str">
        <f>IF(P6001&gt;500,"High","low")</f>
        <v>High</v>
      </c>
      <c r="R6001" s="37" t="str">
        <f t="shared" si="469"/>
        <v>Good</v>
      </c>
      <c r="S6001" t="s">
        <v>609</v>
      </c>
    </row>
    <row r="6002" spans="1:19" x14ac:dyDescent="0.2">
      <c r="A6002" t="s">
        <v>6613</v>
      </c>
      <c r="B6002" t="s">
        <v>90</v>
      </c>
      <c r="C6002" t="s">
        <v>614</v>
      </c>
      <c r="D6002">
        <v>2012.05</v>
      </c>
      <c r="E6002" s="37" t="str">
        <f t="shared" si="465"/>
        <v xml:space="preserve"> </v>
      </c>
      <c r="F6002">
        <v>0.4</v>
      </c>
      <c r="G6002" s="37" t="str">
        <f t="shared" si="466"/>
        <v>Heavy Discount</v>
      </c>
      <c r="H6002" s="37" t="str">
        <f t="shared" si="467"/>
        <v>Medium</v>
      </c>
      <c r="I6002">
        <v>7</v>
      </c>
      <c r="J6002" t="str" cm="1">
        <f t="array" ref="J6002">_xlfn.IFS(I6002&lt;=3,"small",I6002&lt;=6,"Medium",I6002&lt;=9,"Large")</f>
        <v>Large</v>
      </c>
      <c r="K6002" s="36">
        <v>44998</v>
      </c>
      <c r="L6002" s="36">
        <v>45002</v>
      </c>
      <c r="M6002" t="s">
        <v>603</v>
      </c>
      <c r="N6002" t="s">
        <v>608</v>
      </c>
      <c r="O6002" s="37" t="str">
        <f t="shared" si="468"/>
        <v>Cash Payment</v>
      </c>
      <c r="P6002">
        <v>304.39</v>
      </c>
      <c r="Q6002" s="37" t="str">
        <f>IF(P6002&gt;500,"High","low")</f>
        <v>low</v>
      </c>
      <c r="R6002" s="37" t="str">
        <f t="shared" si="469"/>
        <v>AVERAGE</v>
      </c>
      <c r="S6002" t="s">
        <v>600</v>
      </c>
    </row>
    <row r="6003" spans="1:19" x14ac:dyDescent="0.2">
      <c r="A6003" t="s">
        <v>6614</v>
      </c>
      <c r="B6003" t="s">
        <v>75</v>
      </c>
      <c r="C6003" t="s">
        <v>617</v>
      </c>
      <c r="D6003">
        <v>4140.6000000000004</v>
      </c>
      <c r="E6003" s="37" t="str">
        <f t="shared" si="465"/>
        <v xml:space="preserve"> </v>
      </c>
      <c r="F6003">
        <v>0.28000000000000003</v>
      </c>
      <c r="G6003" s="37" t="str">
        <f t="shared" si="466"/>
        <v>Normal Discount</v>
      </c>
      <c r="H6003" s="37" t="str">
        <f t="shared" si="467"/>
        <v>Medium</v>
      </c>
      <c r="I6003">
        <v>8</v>
      </c>
      <c r="J6003" t="str" cm="1">
        <f t="array" ref="J6003">_xlfn.IFS(I6003&lt;=3,"small",I6003&lt;=6,"Medium",I6003&lt;=9,"Large")</f>
        <v>Large</v>
      </c>
      <c r="K6003" s="36">
        <v>45105</v>
      </c>
      <c r="L6003" s="36">
        <v>45106</v>
      </c>
      <c r="M6003" t="s">
        <v>603</v>
      </c>
      <c r="N6003" t="s">
        <v>608</v>
      </c>
      <c r="O6003" s="37" t="str">
        <f t="shared" si="468"/>
        <v>Cash Payment</v>
      </c>
      <c r="P6003">
        <v>213.15</v>
      </c>
      <c r="Q6003" s="37" t="str">
        <f>IF(P6003&gt;500,"High","low")</f>
        <v>low</v>
      </c>
      <c r="R6003" s="37" t="str">
        <f t="shared" si="469"/>
        <v>AVERAGE</v>
      </c>
      <c r="S6003" t="s">
        <v>600</v>
      </c>
    </row>
    <row r="6004" spans="1:19" x14ac:dyDescent="0.2">
      <c r="A6004" t="s">
        <v>6615</v>
      </c>
      <c r="B6004" t="s">
        <v>75</v>
      </c>
      <c r="C6004" t="s">
        <v>597</v>
      </c>
      <c r="D6004">
        <v>3918.26</v>
      </c>
      <c r="E6004" s="37" t="str">
        <f t="shared" si="465"/>
        <v xml:space="preserve"> </v>
      </c>
      <c r="F6004">
        <v>0.49</v>
      </c>
      <c r="G6004" s="37" t="str">
        <f t="shared" si="466"/>
        <v>Heavy Discount</v>
      </c>
      <c r="H6004" s="37" t="str">
        <f t="shared" si="467"/>
        <v>High</v>
      </c>
      <c r="I6004">
        <v>8</v>
      </c>
      <c r="J6004" t="str" cm="1">
        <f t="array" ref="J6004">_xlfn.IFS(I6004&lt;=3,"small",I6004&lt;=6,"Medium",I6004&lt;=9,"Large")</f>
        <v>Large</v>
      </c>
      <c r="K6004" s="36">
        <v>44969</v>
      </c>
      <c r="L6004" s="36">
        <v>44971</v>
      </c>
      <c r="M6004" t="s">
        <v>598</v>
      </c>
      <c r="N6004" t="s">
        <v>604</v>
      </c>
      <c r="O6004" s="37" t="str">
        <f t="shared" si="468"/>
        <v>Digital Payment</v>
      </c>
      <c r="P6004">
        <v>957.73</v>
      </c>
      <c r="Q6004" s="37" t="str">
        <f>IF(P6004&gt;500,"High","low")</f>
        <v>High</v>
      </c>
      <c r="R6004" s="37" t="str">
        <f t="shared" si="469"/>
        <v>Good</v>
      </c>
      <c r="S6004" t="s">
        <v>628</v>
      </c>
    </row>
    <row r="6005" spans="1:19" x14ac:dyDescent="0.2">
      <c r="A6005" t="s">
        <v>6616</v>
      </c>
      <c r="B6005" t="s">
        <v>67</v>
      </c>
      <c r="C6005" t="s">
        <v>597</v>
      </c>
      <c r="D6005">
        <v>3164.51</v>
      </c>
      <c r="E6005" s="37" t="str">
        <f t="shared" si="465"/>
        <v xml:space="preserve"> </v>
      </c>
      <c r="F6005">
        <v>0.4</v>
      </c>
      <c r="G6005" s="37" t="str">
        <f t="shared" si="466"/>
        <v>Heavy Discount</v>
      </c>
      <c r="H6005" s="37" t="str">
        <f t="shared" si="467"/>
        <v>Medium</v>
      </c>
      <c r="I6005">
        <v>4</v>
      </c>
      <c r="J6005" t="str" cm="1">
        <f t="array" ref="J6005">_xlfn.IFS(I6005&lt;=3,"small",I6005&lt;=6,"Medium",I6005&lt;=9,"Large")</f>
        <v>Medium</v>
      </c>
      <c r="K6005" s="36">
        <v>45126</v>
      </c>
      <c r="L6005" s="36">
        <v>45127</v>
      </c>
      <c r="M6005" t="s">
        <v>612</v>
      </c>
      <c r="N6005" t="s">
        <v>604</v>
      </c>
      <c r="O6005" s="37" t="str">
        <f t="shared" si="468"/>
        <v>Digital Payment</v>
      </c>
      <c r="P6005">
        <v>673.06</v>
      </c>
      <c r="Q6005" s="37" t="str">
        <f>IF(P6005&gt;500,"High","low")</f>
        <v>High</v>
      </c>
      <c r="R6005" s="37" t="str">
        <f t="shared" si="469"/>
        <v>Good</v>
      </c>
      <c r="S6005" t="s">
        <v>609</v>
      </c>
    </row>
    <row r="6006" spans="1:19" x14ac:dyDescent="0.2">
      <c r="A6006" t="s">
        <v>6617</v>
      </c>
      <c r="B6006" t="s">
        <v>90</v>
      </c>
      <c r="C6006" t="s">
        <v>617</v>
      </c>
      <c r="D6006">
        <v>1351.16</v>
      </c>
      <c r="E6006" s="37" t="str">
        <f t="shared" si="465"/>
        <v xml:space="preserve"> </v>
      </c>
      <c r="F6006">
        <v>0.16</v>
      </c>
      <c r="G6006" s="37" t="str">
        <f t="shared" si="466"/>
        <v>Normal Discount</v>
      </c>
      <c r="H6006" s="37" t="str">
        <f t="shared" si="467"/>
        <v>Low</v>
      </c>
      <c r="I6006">
        <v>7</v>
      </c>
      <c r="J6006" t="str" cm="1">
        <f t="array" ref="J6006">_xlfn.IFS(I6006&lt;=3,"small",I6006&lt;=6,"Medium",I6006&lt;=9,"Large")</f>
        <v>Large</v>
      </c>
      <c r="K6006" s="36">
        <v>45335</v>
      </c>
      <c r="L6006" s="36">
        <v>45342</v>
      </c>
      <c r="M6006" t="s">
        <v>603</v>
      </c>
      <c r="N6006" t="s">
        <v>604</v>
      </c>
      <c r="O6006" s="37" t="str">
        <f t="shared" si="468"/>
        <v>Digital Payment</v>
      </c>
      <c r="P6006">
        <v>148.88999999999999</v>
      </c>
      <c r="Q6006" s="37" t="str">
        <f>IF(P6006&gt;500,"High","low")</f>
        <v>low</v>
      </c>
      <c r="R6006" s="37" t="str">
        <f t="shared" si="469"/>
        <v>AVERAGE</v>
      </c>
      <c r="S6006" t="s">
        <v>600</v>
      </c>
    </row>
    <row r="6007" spans="1:19" x14ac:dyDescent="0.2">
      <c r="A6007" t="s">
        <v>6618</v>
      </c>
      <c r="B6007" t="s">
        <v>83</v>
      </c>
      <c r="C6007" t="s">
        <v>607</v>
      </c>
      <c r="D6007">
        <v>609.78</v>
      </c>
      <c r="E6007" s="37" t="str">
        <f t="shared" si="465"/>
        <v xml:space="preserve"> </v>
      </c>
      <c r="F6007">
        <v>0.21</v>
      </c>
      <c r="G6007" s="37" t="str">
        <f t="shared" si="466"/>
        <v>Normal Discount</v>
      </c>
      <c r="H6007" s="37" t="str">
        <f t="shared" si="467"/>
        <v>Medium</v>
      </c>
      <c r="I6007">
        <v>2</v>
      </c>
      <c r="J6007" t="str" cm="1">
        <f t="array" ref="J6007">_xlfn.IFS(I6007&lt;=3,"small",I6007&lt;=6,"Medium",I6007&lt;=9,"Large")</f>
        <v>small</v>
      </c>
      <c r="K6007" s="36">
        <v>45160</v>
      </c>
      <c r="L6007" s="36">
        <v>45167</v>
      </c>
      <c r="M6007" t="s">
        <v>612</v>
      </c>
      <c r="N6007" t="s">
        <v>608</v>
      </c>
      <c r="O6007" s="37" t="str">
        <f t="shared" si="468"/>
        <v>Cash Payment</v>
      </c>
      <c r="P6007">
        <v>128.36000000000001</v>
      </c>
      <c r="Q6007" s="37" t="str">
        <f>IF(P6007&gt;500,"High","low")</f>
        <v>low</v>
      </c>
      <c r="R6007" s="37" t="str">
        <f t="shared" si="469"/>
        <v>AVERAGE</v>
      </c>
      <c r="S6007" t="s">
        <v>609</v>
      </c>
    </row>
    <row r="6008" spans="1:19" x14ac:dyDescent="0.2">
      <c r="A6008" t="s">
        <v>6619</v>
      </c>
      <c r="B6008" t="s">
        <v>67</v>
      </c>
      <c r="C6008" t="s">
        <v>617</v>
      </c>
      <c r="D6008">
        <v>1337.98</v>
      </c>
      <c r="E6008" s="37" t="str">
        <f t="shared" si="465"/>
        <v xml:space="preserve"> </v>
      </c>
      <c r="F6008">
        <v>0.12</v>
      </c>
      <c r="G6008" s="37" t="str">
        <f t="shared" si="466"/>
        <v>Normal Discount</v>
      </c>
      <c r="H6008" s="37" t="str">
        <f t="shared" si="467"/>
        <v>Low</v>
      </c>
      <c r="I6008">
        <v>9</v>
      </c>
      <c r="J6008" t="str" cm="1">
        <f t="array" ref="J6008">_xlfn.IFS(I6008&lt;=3,"small",I6008&lt;=6,"Medium",I6008&lt;=9,"Large")</f>
        <v>Large</v>
      </c>
      <c r="K6008" s="36">
        <v>45288</v>
      </c>
      <c r="L6008" s="36">
        <v>45290</v>
      </c>
      <c r="M6008" t="s">
        <v>603</v>
      </c>
      <c r="N6008" t="s">
        <v>604</v>
      </c>
      <c r="O6008" s="37" t="str">
        <f t="shared" si="468"/>
        <v>Digital Payment</v>
      </c>
      <c r="P6008">
        <v>248.91</v>
      </c>
      <c r="Q6008" s="37" t="str">
        <f>IF(P6008&gt;500,"High","low")</f>
        <v>low</v>
      </c>
      <c r="R6008" s="37" t="str">
        <f t="shared" si="469"/>
        <v>AVERAGE</v>
      </c>
      <c r="S6008" t="s">
        <v>615</v>
      </c>
    </row>
    <row r="6009" spans="1:19" x14ac:dyDescent="0.2">
      <c r="A6009" t="s">
        <v>6620</v>
      </c>
      <c r="B6009" t="s">
        <v>90</v>
      </c>
      <c r="C6009" t="s">
        <v>602</v>
      </c>
      <c r="D6009">
        <v>2597.8200000000002</v>
      </c>
      <c r="E6009" s="37" t="str">
        <f t="shared" si="465"/>
        <v xml:space="preserve"> </v>
      </c>
      <c r="F6009">
        <v>0.26</v>
      </c>
      <c r="G6009" s="37" t="str">
        <f t="shared" si="466"/>
        <v>Normal Discount</v>
      </c>
      <c r="H6009" s="37" t="str">
        <f t="shared" si="467"/>
        <v>Medium</v>
      </c>
      <c r="I6009">
        <v>6</v>
      </c>
      <c r="J6009" t="str" cm="1">
        <f t="array" ref="J6009">_xlfn.IFS(I6009&lt;=3,"small",I6009&lt;=6,"Medium",I6009&lt;=9,"Large")</f>
        <v>Medium</v>
      </c>
      <c r="K6009" s="36">
        <v>45428</v>
      </c>
      <c r="L6009" s="36">
        <v>45429</v>
      </c>
      <c r="M6009" t="s">
        <v>598</v>
      </c>
      <c r="N6009" t="s">
        <v>599</v>
      </c>
      <c r="O6009" s="37" t="str">
        <f t="shared" si="468"/>
        <v>Digital Payment</v>
      </c>
      <c r="P6009">
        <v>459.89</v>
      </c>
      <c r="Q6009" s="37" t="str">
        <f>IF(P6009&gt;500,"High","low")</f>
        <v>low</v>
      </c>
      <c r="R6009" s="37" t="str">
        <f t="shared" si="469"/>
        <v>AVERAGE</v>
      </c>
      <c r="S6009" t="s">
        <v>609</v>
      </c>
    </row>
    <row r="6010" spans="1:19" x14ac:dyDescent="0.2">
      <c r="A6010" t="s">
        <v>6621</v>
      </c>
      <c r="B6010" t="s">
        <v>90</v>
      </c>
      <c r="C6010" t="s">
        <v>607</v>
      </c>
      <c r="D6010">
        <v>4899.37</v>
      </c>
      <c r="E6010" s="37" t="str">
        <f t="shared" si="465"/>
        <v xml:space="preserve"> </v>
      </c>
      <c r="F6010">
        <v>0.36</v>
      </c>
      <c r="G6010" s="37" t="str">
        <f t="shared" si="466"/>
        <v>Heavy Discount</v>
      </c>
      <c r="H6010" s="37" t="str">
        <f t="shared" si="467"/>
        <v>Medium</v>
      </c>
      <c r="I6010">
        <v>4</v>
      </c>
      <c r="J6010" t="str" cm="1">
        <f t="array" ref="J6010">_xlfn.IFS(I6010&lt;=3,"small",I6010&lt;=6,"Medium",I6010&lt;=9,"Large")</f>
        <v>Medium</v>
      </c>
      <c r="K6010" s="36">
        <v>45050</v>
      </c>
      <c r="L6010" s="36">
        <v>45052</v>
      </c>
      <c r="M6010" t="s">
        <v>603</v>
      </c>
      <c r="N6010" t="s">
        <v>604</v>
      </c>
      <c r="O6010" s="37" t="str">
        <f t="shared" si="468"/>
        <v>Digital Payment</v>
      </c>
      <c r="P6010">
        <v>706.02</v>
      </c>
      <c r="Q6010" s="37" t="str">
        <f>IF(P6010&gt;500,"High","low")</f>
        <v>High</v>
      </c>
      <c r="R6010" s="37" t="str">
        <f t="shared" si="469"/>
        <v>Good</v>
      </c>
      <c r="S6010" t="s">
        <v>615</v>
      </c>
    </row>
    <row r="6011" spans="1:19" x14ac:dyDescent="0.2">
      <c r="A6011" t="s">
        <v>6622</v>
      </c>
      <c r="B6011" t="s">
        <v>83</v>
      </c>
      <c r="C6011" t="s">
        <v>617</v>
      </c>
      <c r="D6011">
        <v>412.07</v>
      </c>
      <c r="E6011" s="37" t="str">
        <f t="shared" si="465"/>
        <v xml:space="preserve"> </v>
      </c>
      <c r="F6011">
        <v>0.31</v>
      </c>
      <c r="G6011" s="37" t="str">
        <f t="shared" si="466"/>
        <v>Heavy Discount</v>
      </c>
      <c r="H6011" s="37" t="str">
        <f t="shared" si="467"/>
        <v>Medium</v>
      </c>
      <c r="I6011">
        <v>6</v>
      </c>
      <c r="J6011" t="str" cm="1">
        <f t="array" ref="J6011">_xlfn.IFS(I6011&lt;=3,"small",I6011&lt;=6,"Medium",I6011&lt;=9,"Large")</f>
        <v>Medium</v>
      </c>
      <c r="K6011" s="36">
        <v>45237</v>
      </c>
      <c r="L6011" s="36">
        <v>45244</v>
      </c>
      <c r="M6011" t="s">
        <v>612</v>
      </c>
      <c r="N6011" t="s">
        <v>599</v>
      </c>
      <c r="O6011" s="37" t="str">
        <f t="shared" si="468"/>
        <v>Digital Payment</v>
      </c>
      <c r="P6011">
        <v>25.08</v>
      </c>
      <c r="Q6011" s="37" t="str">
        <f>IF(P6011&gt;500,"High","low")</f>
        <v>low</v>
      </c>
      <c r="R6011" s="37" t="str">
        <f t="shared" si="469"/>
        <v>AVERAGE</v>
      </c>
      <c r="S6011" t="s">
        <v>605</v>
      </c>
    </row>
    <row r="6012" spans="1:19" x14ac:dyDescent="0.2">
      <c r="A6012" t="s">
        <v>6623</v>
      </c>
      <c r="B6012" t="s">
        <v>67</v>
      </c>
      <c r="C6012" t="s">
        <v>614</v>
      </c>
      <c r="D6012">
        <v>1080.3499999999999</v>
      </c>
      <c r="E6012" s="37" t="str">
        <f t="shared" si="465"/>
        <v xml:space="preserve"> </v>
      </c>
      <c r="F6012">
        <v>0.17</v>
      </c>
      <c r="G6012" s="37" t="str">
        <f t="shared" si="466"/>
        <v>Normal Discount</v>
      </c>
      <c r="H6012" s="37" t="str">
        <f t="shared" si="467"/>
        <v>Low</v>
      </c>
      <c r="I6012">
        <v>7</v>
      </c>
      <c r="J6012" t="str" cm="1">
        <f t="array" ref="J6012">_xlfn.IFS(I6012&lt;=3,"small",I6012&lt;=6,"Medium",I6012&lt;=9,"Large")</f>
        <v>Large</v>
      </c>
      <c r="K6012" s="36">
        <v>45099</v>
      </c>
      <c r="L6012" s="36">
        <v>45103</v>
      </c>
      <c r="M6012" t="s">
        <v>612</v>
      </c>
      <c r="N6012" t="s">
        <v>604</v>
      </c>
      <c r="O6012" s="37" t="str">
        <f t="shared" si="468"/>
        <v>Digital Payment</v>
      </c>
      <c r="P6012">
        <v>320.37</v>
      </c>
      <c r="Q6012" s="37" t="str">
        <f>IF(P6012&gt;500,"High","low")</f>
        <v>low</v>
      </c>
      <c r="R6012" s="37" t="str">
        <f t="shared" si="469"/>
        <v>AVERAGE</v>
      </c>
      <c r="S6012" t="s">
        <v>600</v>
      </c>
    </row>
    <row r="6013" spans="1:19" x14ac:dyDescent="0.2">
      <c r="A6013" t="s">
        <v>6624</v>
      </c>
      <c r="B6013" t="s">
        <v>90</v>
      </c>
      <c r="C6013" t="s">
        <v>607</v>
      </c>
      <c r="D6013">
        <v>3173.67</v>
      </c>
      <c r="E6013" s="37" t="str">
        <f t="shared" si="465"/>
        <v xml:space="preserve"> </v>
      </c>
      <c r="F6013">
        <v>0.41</v>
      </c>
      <c r="G6013" s="37" t="str">
        <f t="shared" si="466"/>
        <v>Heavy Discount</v>
      </c>
      <c r="H6013" s="37" t="str">
        <f t="shared" si="467"/>
        <v>High</v>
      </c>
      <c r="I6013">
        <v>8</v>
      </c>
      <c r="J6013" t="str" cm="1">
        <f t="array" ref="J6013">_xlfn.IFS(I6013&lt;=3,"small",I6013&lt;=6,"Medium",I6013&lt;=9,"Large")</f>
        <v>Large</v>
      </c>
      <c r="K6013" s="36">
        <v>45401</v>
      </c>
      <c r="L6013" s="36">
        <v>45407</v>
      </c>
      <c r="M6013" t="s">
        <v>612</v>
      </c>
      <c r="N6013" t="s">
        <v>599</v>
      </c>
      <c r="O6013" s="37" t="str">
        <f t="shared" si="468"/>
        <v>Digital Payment</v>
      </c>
      <c r="P6013">
        <v>563.16</v>
      </c>
      <c r="Q6013" s="37" t="str">
        <f>IF(P6013&gt;500,"High","low")</f>
        <v>High</v>
      </c>
      <c r="R6013" s="37" t="str">
        <f t="shared" si="469"/>
        <v>Good</v>
      </c>
      <c r="S6013" t="s">
        <v>609</v>
      </c>
    </row>
    <row r="6014" spans="1:19" x14ac:dyDescent="0.2">
      <c r="A6014" t="s">
        <v>6625</v>
      </c>
      <c r="B6014" t="s">
        <v>90</v>
      </c>
      <c r="C6014" t="s">
        <v>617</v>
      </c>
      <c r="D6014">
        <v>1591.39</v>
      </c>
      <c r="E6014" s="37" t="str">
        <f t="shared" si="465"/>
        <v xml:space="preserve"> </v>
      </c>
      <c r="F6014">
        <v>0.05</v>
      </c>
      <c r="G6014" s="37" t="str">
        <f t="shared" si="466"/>
        <v>Normal Discount</v>
      </c>
      <c r="H6014" s="37" t="str">
        <f t="shared" si="467"/>
        <v>Low</v>
      </c>
      <c r="I6014">
        <v>4</v>
      </c>
      <c r="J6014" t="str" cm="1">
        <f t="array" ref="J6014">_xlfn.IFS(I6014&lt;=3,"small",I6014&lt;=6,"Medium",I6014&lt;=9,"Large")</f>
        <v>Medium</v>
      </c>
      <c r="K6014" s="36">
        <v>45140</v>
      </c>
      <c r="L6014" s="36">
        <v>45147</v>
      </c>
      <c r="M6014" t="s">
        <v>598</v>
      </c>
      <c r="N6014" t="s">
        <v>608</v>
      </c>
      <c r="O6014" s="37" t="str">
        <f t="shared" si="468"/>
        <v>Cash Payment</v>
      </c>
      <c r="P6014">
        <v>101.35</v>
      </c>
      <c r="Q6014" s="37" t="str">
        <f>IF(P6014&gt;500,"High","low")</f>
        <v>low</v>
      </c>
      <c r="R6014" s="37" t="str">
        <f t="shared" si="469"/>
        <v>AVERAGE</v>
      </c>
      <c r="S6014" t="s">
        <v>609</v>
      </c>
    </row>
    <row r="6015" spans="1:19" x14ac:dyDescent="0.2">
      <c r="A6015" t="s">
        <v>6626</v>
      </c>
      <c r="B6015" t="s">
        <v>90</v>
      </c>
      <c r="C6015" t="s">
        <v>614</v>
      </c>
      <c r="D6015">
        <v>4306.67</v>
      </c>
      <c r="E6015" s="37" t="str">
        <f t="shared" si="465"/>
        <v xml:space="preserve"> </v>
      </c>
      <c r="F6015">
        <v>7.0000000000000007E-2</v>
      </c>
      <c r="G6015" s="37" t="str">
        <f t="shared" si="466"/>
        <v>Normal Discount</v>
      </c>
      <c r="H6015" s="37" t="str">
        <f t="shared" si="467"/>
        <v>Low</v>
      </c>
      <c r="I6015">
        <v>9</v>
      </c>
      <c r="J6015" t="str" cm="1">
        <f t="array" ref="J6015">_xlfn.IFS(I6015&lt;=3,"small",I6015&lt;=6,"Medium",I6015&lt;=9,"Large")</f>
        <v>Large</v>
      </c>
      <c r="K6015" s="36">
        <v>45487</v>
      </c>
      <c r="L6015" s="36">
        <v>45490</v>
      </c>
      <c r="M6015" t="s">
        <v>598</v>
      </c>
      <c r="N6015" t="s">
        <v>608</v>
      </c>
      <c r="O6015" s="37" t="str">
        <f t="shared" si="468"/>
        <v>Cash Payment</v>
      </c>
      <c r="P6015">
        <v>269.89999999999998</v>
      </c>
      <c r="Q6015" s="37" t="str">
        <f>IF(P6015&gt;500,"High","low")</f>
        <v>low</v>
      </c>
      <c r="R6015" s="37" t="str">
        <f t="shared" si="469"/>
        <v>AVERAGE</v>
      </c>
      <c r="S6015" t="s">
        <v>600</v>
      </c>
    </row>
    <row r="6016" spans="1:19" x14ac:dyDescent="0.2">
      <c r="A6016" t="s">
        <v>6627</v>
      </c>
      <c r="B6016" t="s">
        <v>83</v>
      </c>
      <c r="C6016" t="s">
        <v>617</v>
      </c>
      <c r="D6016">
        <v>783.14</v>
      </c>
      <c r="E6016" s="37" t="str">
        <f t="shared" si="465"/>
        <v xml:space="preserve"> </v>
      </c>
      <c r="F6016">
        <v>0.2</v>
      </c>
      <c r="G6016" s="37" t="str">
        <f t="shared" si="466"/>
        <v>Normal Discount</v>
      </c>
      <c r="H6016" s="37" t="str">
        <f t="shared" si="467"/>
        <v>Medium</v>
      </c>
      <c r="I6016">
        <v>6</v>
      </c>
      <c r="J6016" t="str" cm="1">
        <f t="array" ref="J6016">_xlfn.IFS(I6016&lt;=3,"small",I6016&lt;=6,"Medium",I6016&lt;=9,"Large")</f>
        <v>Medium</v>
      </c>
      <c r="K6016" s="36">
        <v>45171</v>
      </c>
      <c r="L6016" s="36">
        <v>45177</v>
      </c>
      <c r="M6016" t="s">
        <v>612</v>
      </c>
      <c r="N6016" t="s">
        <v>599</v>
      </c>
      <c r="O6016" s="37" t="str">
        <f t="shared" si="468"/>
        <v>Digital Payment</v>
      </c>
      <c r="P6016">
        <v>189.83</v>
      </c>
      <c r="Q6016" s="37" t="str">
        <f>IF(P6016&gt;500,"High","low")</f>
        <v>low</v>
      </c>
      <c r="R6016" s="37" t="str">
        <f t="shared" si="469"/>
        <v>AVERAGE</v>
      </c>
      <c r="S6016" t="s">
        <v>615</v>
      </c>
    </row>
    <row r="6017" spans="1:19" x14ac:dyDescent="0.2">
      <c r="A6017" t="s">
        <v>6628</v>
      </c>
      <c r="B6017" t="s">
        <v>67</v>
      </c>
      <c r="C6017" t="s">
        <v>602</v>
      </c>
      <c r="D6017">
        <v>4819.47</v>
      </c>
      <c r="E6017" s="37" t="str">
        <f t="shared" si="465"/>
        <v xml:space="preserve"> </v>
      </c>
      <c r="F6017">
        <v>0.35</v>
      </c>
      <c r="G6017" s="37" t="str">
        <f t="shared" si="466"/>
        <v>Heavy Discount</v>
      </c>
      <c r="H6017" s="37" t="str">
        <f t="shared" si="467"/>
        <v>Medium</v>
      </c>
      <c r="I6017">
        <v>1</v>
      </c>
      <c r="J6017" t="str" cm="1">
        <f t="array" ref="J6017">_xlfn.IFS(I6017&lt;=3,"small",I6017&lt;=6,"Medium",I6017&lt;=9,"Large")</f>
        <v>small</v>
      </c>
      <c r="K6017" s="36">
        <v>44980</v>
      </c>
      <c r="L6017" s="36">
        <v>44983</v>
      </c>
      <c r="M6017" t="s">
        <v>598</v>
      </c>
      <c r="N6017" t="s">
        <v>599</v>
      </c>
      <c r="O6017" s="37" t="str">
        <f t="shared" si="468"/>
        <v>Digital Payment</v>
      </c>
      <c r="P6017">
        <v>656.32</v>
      </c>
      <c r="Q6017" s="37" t="str">
        <f>IF(P6017&gt;500,"High","low")</f>
        <v>High</v>
      </c>
      <c r="R6017" s="37" t="str">
        <f t="shared" si="469"/>
        <v>Good</v>
      </c>
      <c r="S6017" t="s">
        <v>615</v>
      </c>
    </row>
    <row r="6018" spans="1:19" x14ac:dyDescent="0.2">
      <c r="A6018" t="s">
        <v>6629</v>
      </c>
      <c r="B6018" t="s">
        <v>67</v>
      </c>
      <c r="C6018" t="s">
        <v>597</v>
      </c>
      <c r="D6018">
        <v>4570.6400000000003</v>
      </c>
      <c r="E6018" s="37" t="str">
        <f t="shared" si="465"/>
        <v xml:space="preserve"> </v>
      </c>
      <c r="F6018">
        <v>0.35</v>
      </c>
      <c r="G6018" s="37" t="str">
        <f t="shared" si="466"/>
        <v>Heavy Discount</v>
      </c>
      <c r="H6018" s="37" t="str">
        <f t="shared" si="467"/>
        <v>Medium</v>
      </c>
      <c r="I6018">
        <v>3</v>
      </c>
      <c r="J6018" t="str" cm="1">
        <f t="array" ref="J6018">_xlfn.IFS(I6018&lt;=3,"small",I6018&lt;=6,"Medium",I6018&lt;=9,"Large")</f>
        <v>small</v>
      </c>
      <c r="K6018" s="36">
        <v>45630</v>
      </c>
      <c r="L6018" s="36">
        <v>45637</v>
      </c>
      <c r="M6018" t="s">
        <v>598</v>
      </c>
      <c r="N6018" t="s">
        <v>604</v>
      </c>
      <c r="O6018" s="37" t="str">
        <f t="shared" si="468"/>
        <v>Digital Payment</v>
      </c>
      <c r="P6018">
        <v>718.54</v>
      </c>
      <c r="Q6018" s="37" t="str">
        <f>IF(P6018&gt;500,"High","low")</f>
        <v>High</v>
      </c>
      <c r="R6018" s="37" t="str">
        <f t="shared" si="469"/>
        <v>Good</v>
      </c>
      <c r="S6018" t="s">
        <v>620</v>
      </c>
    </row>
    <row r="6019" spans="1:19" x14ac:dyDescent="0.2">
      <c r="A6019" t="s">
        <v>6630</v>
      </c>
      <c r="B6019" t="s">
        <v>67</v>
      </c>
      <c r="C6019" t="s">
        <v>617</v>
      </c>
      <c r="D6019">
        <v>4448.8900000000003</v>
      </c>
      <c r="E6019" s="37" t="str">
        <f t="shared" ref="E6019:E6082" si="470">IF(AND(D6019&gt;4000,P6019&gt;800),"Excellent Order"," ")</f>
        <v>Excellent Order</v>
      </c>
      <c r="F6019">
        <v>0.18</v>
      </c>
      <c r="G6019" s="37" t="str">
        <f t="shared" ref="G6019:G6082" si="471">IF(F6019&gt;30%,"Heavy Discount","Normal Discount")</f>
        <v>Normal Discount</v>
      </c>
      <c r="H6019" s="37" t="str">
        <f t="shared" ref="H6019:H6082" si="472">IF(F6019&gt;0.4,"High",IF(F6019&gt;=0.2,"Medium","Low"))</f>
        <v>Low</v>
      </c>
      <c r="I6019">
        <v>1</v>
      </c>
      <c r="J6019" t="str" cm="1">
        <f t="array" ref="J6019">_xlfn.IFS(I6019&lt;=3,"small",I6019&lt;=6,"Medium",I6019&lt;=9,"Large")</f>
        <v>small</v>
      </c>
      <c r="K6019" s="36">
        <v>45028</v>
      </c>
      <c r="L6019" s="36">
        <v>45031</v>
      </c>
      <c r="M6019" t="s">
        <v>598</v>
      </c>
      <c r="N6019" t="s">
        <v>599</v>
      </c>
      <c r="O6019" s="37" t="str">
        <f t="shared" ref="O6019:O6082" si="473">IF(OR(N6019="Card",N6019="UPI"),"Digital Payment","Cash Payment")</f>
        <v>Digital Payment</v>
      </c>
      <c r="P6019">
        <v>906.76</v>
      </c>
      <c r="Q6019" s="37" t="str">
        <f>IF(P6019&gt;500,"High","low")</f>
        <v>High</v>
      </c>
      <c r="R6019" s="37" t="str">
        <f t="shared" ref="R6019:R6082" si="474">IF(P6019&gt;1000,"Excellent",IF(P6019&gt;=500,"Good","AVERAGE"))</f>
        <v>Good</v>
      </c>
      <c r="S6019" t="s">
        <v>609</v>
      </c>
    </row>
    <row r="6020" spans="1:19" x14ac:dyDescent="0.2">
      <c r="A6020" t="s">
        <v>6631</v>
      </c>
      <c r="B6020" t="s">
        <v>67</v>
      </c>
      <c r="C6020" t="s">
        <v>607</v>
      </c>
      <c r="D6020">
        <v>948.04</v>
      </c>
      <c r="E6020" s="37" t="str">
        <f t="shared" si="470"/>
        <v xml:space="preserve"> </v>
      </c>
      <c r="F6020">
        <v>0.35</v>
      </c>
      <c r="G6020" s="37" t="str">
        <f t="shared" si="471"/>
        <v>Heavy Discount</v>
      </c>
      <c r="H6020" s="37" t="str">
        <f t="shared" si="472"/>
        <v>Medium</v>
      </c>
      <c r="I6020">
        <v>6</v>
      </c>
      <c r="J6020" t="str" cm="1">
        <f t="array" ref="J6020">_xlfn.IFS(I6020&lt;=3,"small",I6020&lt;=6,"Medium",I6020&lt;=9,"Large")</f>
        <v>Medium</v>
      </c>
      <c r="K6020" s="36">
        <v>45423</v>
      </c>
      <c r="L6020" s="36">
        <v>45424</v>
      </c>
      <c r="M6020" t="s">
        <v>598</v>
      </c>
      <c r="N6020" t="s">
        <v>608</v>
      </c>
      <c r="O6020" s="37" t="str">
        <f t="shared" si="473"/>
        <v>Cash Payment</v>
      </c>
      <c r="P6020">
        <v>47.9</v>
      </c>
      <c r="Q6020" s="37" t="str">
        <f>IF(P6020&gt;500,"High","low")</f>
        <v>low</v>
      </c>
      <c r="R6020" s="37" t="str">
        <f t="shared" si="474"/>
        <v>AVERAGE</v>
      </c>
      <c r="S6020" t="s">
        <v>600</v>
      </c>
    </row>
    <row r="6021" spans="1:19" x14ac:dyDescent="0.2">
      <c r="A6021" t="s">
        <v>6632</v>
      </c>
      <c r="B6021" t="s">
        <v>75</v>
      </c>
      <c r="C6021" t="s">
        <v>617</v>
      </c>
      <c r="D6021">
        <v>1714.53</v>
      </c>
      <c r="E6021" s="37" t="str">
        <f t="shared" si="470"/>
        <v xml:space="preserve"> </v>
      </c>
      <c r="F6021">
        <v>0.03</v>
      </c>
      <c r="G6021" s="37" t="str">
        <f t="shared" si="471"/>
        <v>Normal Discount</v>
      </c>
      <c r="H6021" s="37" t="str">
        <f t="shared" si="472"/>
        <v>Low</v>
      </c>
      <c r="I6021">
        <v>6</v>
      </c>
      <c r="J6021" t="str" cm="1">
        <f t="array" ref="J6021">_xlfn.IFS(I6021&lt;=3,"small",I6021&lt;=6,"Medium",I6021&lt;=9,"Large")</f>
        <v>Medium</v>
      </c>
      <c r="K6021" s="36">
        <v>45462</v>
      </c>
      <c r="L6021" s="36">
        <v>45465</v>
      </c>
      <c r="M6021" t="s">
        <v>598</v>
      </c>
      <c r="N6021" t="s">
        <v>608</v>
      </c>
      <c r="O6021" s="37" t="str">
        <f t="shared" si="473"/>
        <v>Cash Payment</v>
      </c>
      <c r="P6021">
        <v>306.87</v>
      </c>
      <c r="Q6021" s="37" t="str">
        <f>IF(P6021&gt;500,"High","low")</f>
        <v>low</v>
      </c>
      <c r="R6021" s="37" t="str">
        <f t="shared" si="474"/>
        <v>AVERAGE</v>
      </c>
      <c r="S6021" t="s">
        <v>600</v>
      </c>
    </row>
    <row r="6022" spans="1:19" x14ac:dyDescent="0.2">
      <c r="A6022" t="s">
        <v>6633</v>
      </c>
      <c r="B6022" t="s">
        <v>75</v>
      </c>
      <c r="C6022" t="s">
        <v>617</v>
      </c>
      <c r="D6022">
        <v>4040.07</v>
      </c>
      <c r="E6022" s="37" t="str">
        <f t="shared" si="470"/>
        <v>Excellent Order</v>
      </c>
      <c r="F6022">
        <v>0.15</v>
      </c>
      <c r="G6022" s="37" t="str">
        <f t="shared" si="471"/>
        <v>Normal Discount</v>
      </c>
      <c r="H6022" s="37" t="str">
        <f t="shared" si="472"/>
        <v>Low</v>
      </c>
      <c r="I6022">
        <v>7</v>
      </c>
      <c r="J6022" t="str" cm="1">
        <f t="array" ref="J6022">_xlfn.IFS(I6022&lt;=3,"small",I6022&lt;=6,"Medium",I6022&lt;=9,"Large")</f>
        <v>Large</v>
      </c>
      <c r="K6022" s="36">
        <v>45500</v>
      </c>
      <c r="L6022" s="36">
        <v>45502</v>
      </c>
      <c r="M6022" t="s">
        <v>598</v>
      </c>
      <c r="N6022" t="s">
        <v>608</v>
      </c>
      <c r="O6022" s="37" t="str">
        <f t="shared" si="473"/>
        <v>Cash Payment</v>
      </c>
      <c r="P6022">
        <v>901.74</v>
      </c>
      <c r="Q6022" s="37" t="str">
        <f>IF(P6022&gt;500,"High","low")</f>
        <v>High</v>
      </c>
      <c r="R6022" s="37" t="str">
        <f t="shared" si="474"/>
        <v>Good</v>
      </c>
      <c r="S6022" t="s">
        <v>600</v>
      </c>
    </row>
    <row r="6023" spans="1:19" x14ac:dyDescent="0.2">
      <c r="A6023" t="s">
        <v>6634</v>
      </c>
      <c r="B6023" t="s">
        <v>67</v>
      </c>
      <c r="C6023" t="s">
        <v>617</v>
      </c>
      <c r="D6023">
        <v>4058.26</v>
      </c>
      <c r="E6023" s="37" t="str">
        <f t="shared" si="470"/>
        <v xml:space="preserve"> </v>
      </c>
      <c r="F6023">
        <v>0.35</v>
      </c>
      <c r="G6023" s="37" t="str">
        <f t="shared" si="471"/>
        <v>Heavy Discount</v>
      </c>
      <c r="H6023" s="37" t="str">
        <f t="shared" si="472"/>
        <v>Medium</v>
      </c>
      <c r="I6023">
        <v>1</v>
      </c>
      <c r="J6023" t="str" cm="1">
        <f t="array" ref="J6023">_xlfn.IFS(I6023&lt;=3,"small",I6023&lt;=6,"Medium",I6023&lt;=9,"Large")</f>
        <v>small</v>
      </c>
      <c r="K6023" s="36">
        <v>45537</v>
      </c>
      <c r="L6023" s="36">
        <v>45538</v>
      </c>
      <c r="M6023" t="s">
        <v>598</v>
      </c>
      <c r="N6023" t="s">
        <v>604</v>
      </c>
      <c r="O6023" s="37" t="str">
        <f t="shared" si="473"/>
        <v>Digital Payment</v>
      </c>
      <c r="P6023">
        <v>601.38</v>
      </c>
      <c r="Q6023" s="37" t="str">
        <f>IF(P6023&gt;500,"High","low")</f>
        <v>High</v>
      </c>
      <c r="R6023" s="37" t="str">
        <f t="shared" si="474"/>
        <v>Good</v>
      </c>
      <c r="S6023" t="s">
        <v>609</v>
      </c>
    </row>
    <row r="6024" spans="1:19" x14ac:dyDescent="0.2">
      <c r="A6024" t="s">
        <v>6635</v>
      </c>
      <c r="B6024" t="s">
        <v>83</v>
      </c>
      <c r="C6024" t="s">
        <v>617</v>
      </c>
      <c r="D6024">
        <v>3555.36</v>
      </c>
      <c r="E6024" s="37" t="str">
        <f t="shared" si="470"/>
        <v xml:space="preserve"> </v>
      </c>
      <c r="F6024">
        <v>0.09</v>
      </c>
      <c r="G6024" s="37" t="str">
        <f t="shared" si="471"/>
        <v>Normal Discount</v>
      </c>
      <c r="H6024" s="37" t="str">
        <f t="shared" si="472"/>
        <v>Low</v>
      </c>
      <c r="I6024">
        <v>1</v>
      </c>
      <c r="J6024" t="str" cm="1">
        <f t="array" ref="J6024">_xlfn.IFS(I6024&lt;=3,"small",I6024&lt;=6,"Medium",I6024&lt;=9,"Large")</f>
        <v>small</v>
      </c>
      <c r="K6024" s="36">
        <v>45083</v>
      </c>
      <c r="L6024" s="36">
        <v>45084</v>
      </c>
      <c r="M6024" t="s">
        <v>598</v>
      </c>
      <c r="N6024" t="s">
        <v>604</v>
      </c>
      <c r="O6024" s="37" t="str">
        <f t="shared" si="473"/>
        <v>Digital Payment</v>
      </c>
      <c r="P6024">
        <v>322.01</v>
      </c>
      <c r="Q6024" s="37" t="str">
        <f>IF(P6024&gt;500,"High","low")</f>
        <v>low</v>
      </c>
      <c r="R6024" s="37" t="str">
        <f t="shared" si="474"/>
        <v>AVERAGE</v>
      </c>
      <c r="S6024" t="s">
        <v>605</v>
      </c>
    </row>
    <row r="6025" spans="1:19" x14ac:dyDescent="0.2">
      <c r="A6025" t="s">
        <v>6636</v>
      </c>
      <c r="B6025" t="s">
        <v>75</v>
      </c>
      <c r="C6025" t="s">
        <v>607</v>
      </c>
      <c r="D6025">
        <v>2295.4499999999998</v>
      </c>
      <c r="E6025" s="37" t="str">
        <f t="shared" si="470"/>
        <v xml:space="preserve"> </v>
      </c>
      <c r="F6025">
        <v>0.11</v>
      </c>
      <c r="G6025" s="37" t="str">
        <f t="shared" si="471"/>
        <v>Normal Discount</v>
      </c>
      <c r="H6025" s="37" t="str">
        <f t="shared" si="472"/>
        <v>Low</v>
      </c>
      <c r="I6025">
        <v>5</v>
      </c>
      <c r="J6025" t="str" cm="1">
        <f t="array" ref="J6025">_xlfn.IFS(I6025&lt;=3,"small",I6025&lt;=6,"Medium",I6025&lt;=9,"Large")</f>
        <v>Medium</v>
      </c>
      <c r="K6025" s="36">
        <v>44934</v>
      </c>
      <c r="L6025" s="36">
        <v>44940</v>
      </c>
      <c r="M6025" t="s">
        <v>598</v>
      </c>
      <c r="N6025" t="s">
        <v>604</v>
      </c>
      <c r="O6025" s="37" t="str">
        <f t="shared" si="473"/>
        <v>Digital Payment</v>
      </c>
      <c r="P6025">
        <v>603.69000000000005</v>
      </c>
      <c r="Q6025" s="37" t="str">
        <f>IF(P6025&gt;500,"High","low")</f>
        <v>High</v>
      </c>
      <c r="R6025" s="37" t="str">
        <f t="shared" si="474"/>
        <v>Good</v>
      </c>
      <c r="S6025" t="s">
        <v>628</v>
      </c>
    </row>
    <row r="6026" spans="1:19" x14ac:dyDescent="0.2">
      <c r="A6026" t="s">
        <v>6637</v>
      </c>
      <c r="B6026" t="s">
        <v>90</v>
      </c>
      <c r="C6026" t="s">
        <v>607</v>
      </c>
      <c r="D6026">
        <v>1626.79</v>
      </c>
      <c r="E6026" s="37" t="str">
        <f t="shared" si="470"/>
        <v xml:space="preserve"> </v>
      </c>
      <c r="F6026">
        <v>0.04</v>
      </c>
      <c r="G6026" s="37" t="str">
        <f t="shared" si="471"/>
        <v>Normal Discount</v>
      </c>
      <c r="H6026" s="37" t="str">
        <f t="shared" si="472"/>
        <v>Low</v>
      </c>
      <c r="I6026">
        <v>5</v>
      </c>
      <c r="J6026" t="str" cm="1">
        <f t="array" ref="J6026">_xlfn.IFS(I6026&lt;=3,"small",I6026&lt;=6,"Medium",I6026&lt;=9,"Large")</f>
        <v>Medium</v>
      </c>
      <c r="K6026" s="36">
        <v>45385</v>
      </c>
      <c r="L6026" s="36">
        <v>45389</v>
      </c>
      <c r="M6026" t="s">
        <v>603</v>
      </c>
      <c r="N6026" t="s">
        <v>599</v>
      </c>
      <c r="O6026" s="37" t="str">
        <f t="shared" si="473"/>
        <v>Digital Payment</v>
      </c>
      <c r="P6026">
        <v>242.92</v>
      </c>
      <c r="Q6026" s="37" t="str">
        <f>IF(P6026&gt;500,"High","low")</f>
        <v>low</v>
      </c>
      <c r="R6026" s="37" t="str">
        <f t="shared" si="474"/>
        <v>AVERAGE</v>
      </c>
      <c r="S6026" t="s">
        <v>600</v>
      </c>
    </row>
    <row r="6027" spans="1:19" x14ac:dyDescent="0.2">
      <c r="A6027" t="s">
        <v>6638</v>
      </c>
      <c r="B6027" t="s">
        <v>75</v>
      </c>
      <c r="C6027" t="s">
        <v>617</v>
      </c>
      <c r="D6027">
        <v>4818.49</v>
      </c>
      <c r="E6027" s="37" t="str">
        <f t="shared" si="470"/>
        <v>Excellent Order</v>
      </c>
      <c r="F6027">
        <v>0.18</v>
      </c>
      <c r="G6027" s="37" t="str">
        <f t="shared" si="471"/>
        <v>Normal Discount</v>
      </c>
      <c r="H6027" s="37" t="str">
        <f t="shared" si="472"/>
        <v>Low</v>
      </c>
      <c r="I6027">
        <v>1</v>
      </c>
      <c r="J6027" t="str" cm="1">
        <f t="array" ref="J6027">_xlfn.IFS(I6027&lt;=3,"small",I6027&lt;=6,"Medium",I6027&lt;=9,"Large")</f>
        <v>small</v>
      </c>
      <c r="K6027" s="36">
        <v>45198</v>
      </c>
      <c r="L6027" s="36">
        <v>45205</v>
      </c>
      <c r="M6027" t="s">
        <v>612</v>
      </c>
      <c r="N6027" t="s">
        <v>599</v>
      </c>
      <c r="O6027" s="37" t="str">
        <f t="shared" si="473"/>
        <v>Digital Payment</v>
      </c>
      <c r="P6027">
        <v>1441.25</v>
      </c>
      <c r="Q6027" s="37" t="str">
        <f>IF(P6027&gt;500,"High","low")</f>
        <v>High</v>
      </c>
      <c r="R6027" s="37" t="str">
        <f t="shared" si="474"/>
        <v>Excellent</v>
      </c>
      <c r="S6027" t="s">
        <v>600</v>
      </c>
    </row>
    <row r="6028" spans="1:19" x14ac:dyDescent="0.2">
      <c r="A6028" t="s">
        <v>6639</v>
      </c>
      <c r="B6028" t="s">
        <v>90</v>
      </c>
      <c r="C6028" t="s">
        <v>597</v>
      </c>
      <c r="D6028">
        <v>782.39</v>
      </c>
      <c r="E6028" s="37" t="str">
        <f t="shared" si="470"/>
        <v xml:space="preserve"> </v>
      </c>
      <c r="F6028">
        <v>0.41</v>
      </c>
      <c r="G6028" s="37" t="str">
        <f t="shared" si="471"/>
        <v>Heavy Discount</v>
      </c>
      <c r="H6028" s="37" t="str">
        <f t="shared" si="472"/>
        <v>High</v>
      </c>
      <c r="I6028">
        <v>7</v>
      </c>
      <c r="J6028" t="str" cm="1">
        <f t="array" ref="J6028">_xlfn.IFS(I6028&lt;=3,"small",I6028&lt;=6,"Medium",I6028&lt;=9,"Large")</f>
        <v>Large</v>
      </c>
      <c r="K6028" s="36">
        <v>45343</v>
      </c>
      <c r="L6028" s="36">
        <v>45345</v>
      </c>
      <c r="M6028" t="s">
        <v>598</v>
      </c>
      <c r="N6028" t="s">
        <v>604</v>
      </c>
      <c r="O6028" s="37" t="str">
        <f t="shared" si="473"/>
        <v>Digital Payment</v>
      </c>
      <c r="P6028">
        <v>143.87</v>
      </c>
      <c r="Q6028" s="37" t="str">
        <f>IF(P6028&gt;500,"High","low")</f>
        <v>low</v>
      </c>
      <c r="R6028" s="37" t="str">
        <f t="shared" si="474"/>
        <v>AVERAGE</v>
      </c>
      <c r="S6028" t="s">
        <v>628</v>
      </c>
    </row>
    <row r="6029" spans="1:19" x14ac:dyDescent="0.2">
      <c r="A6029" t="s">
        <v>6640</v>
      </c>
      <c r="B6029" t="s">
        <v>67</v>
      </c>
      <c r="C6029" t="s">
        <v>617</v>
      </c>
      <c r="D6029">
        <v>314.39</v>
      </c>
      <c r="E6029" s="37" t="str">
        <f t="shared" si="470"/>
        <v xml:space="preserve"> </v>
      </c>
      <c r="F6029">
        <v>0.42</v>
      </c>
      <c r="G6029" s="37" t="str">
        <f t="shared" si="471"/>
        <v>Heavy Discount</v>
      </c>
      <c r="H6029" s="37" t="str">
        <f t="shared" si="472"/>
        <v>High</v>
      </c>
      <c r="I6029">
        <v>7</v>
      </c>
      <c r="J6029" t="str" cm="1">
        <f t="array" ref="J6029">_xlfn.IFS(I6029&lt;=3,"small",I6029&lt;=6,"Medium",I6029&lt;=9,"Large")</f>
        <v>Large</v>
      </c>
      <c r="K6029" s="36">
        <v>45246</v>
      </c>
      <c r="L6029" s="36">
        <v>45248</v>
      </c>
      <c r="M6029" t="s">
        <v>603</v>
      </c>
      <c r="N6029" t="s">
        <v>599</v>
      </c>
      <c r="O6029" s="37" t="str">
        <f t="shared" si="473"/>
        <v>Digital Payment</v>
      </c>
      <c r="P6029">
        <v>25.65</v>
      </c>
      <c r="Q6029" s="37" t="str">
        <f>IF(P6029&gt;500,"High","low")</f>
        <v>low</v>
      </c>
      <c r="R6029" s="37" t="str">
        <f t="shared" si="474"/>
        <v>AVERAGE</v>
      </c>
      <c r="S6029" t="s">
        <v>600</v>
      </c>
    </row>
    <row r="6030" spans="1:19" x14ac:dyDescent="0.2">
      <c r="A6030" t="s">
        <v>6641</v>
      </c>
      <c r="B6030" t="s">
        <v>75</v>
      </c>
      <c r="C6030" t="s">
        <v>607</v>
      </c>
      <c r="D6030">
        <v>144.74</v>
      </c>
      <c r="E6030" s="37" t="str">
        <f t="shared" si="470"/>
        <v xml:space="preserve"> </v>
      </c>
      <c r="F6030">
        <v>0.43</v>
      </c>
      <c r="G6030" s="37" t="str">
        <f t="shared" si="471"/>
        <v>Heavy Discount</v>
      </c>
      <c r="H6030" s="37" t="str">
        <f t="shared" si="472"/>
        <v>High</v>
      </c>
      <c r="I6030">
        <v>6</v>
      </c>
      <c r="J6030" t="str" cm="1">
        <f t="array" ref="J6030">_xlfn.IFS(I6030&lt;=3,"small",I6030&lt;=6,"Medium",I6030&lt;=9,"Large")</f>
        <v>Medium</v>
      </c>
      <c r="K6030" s="36">
        <v>45181</v>
      </c>
      <c r="L6030" s="36">
        <v>45188</v>
      </c>
      <c r="M6030" t="s">
        <v>603</v>
      </c>
      <c r="N6030" t="s">
        <v>604</v>
      </c>
      <c r="O6030" s="37" t="str">
        <f t="shared" si="473"/>
        <v>Digital Payment</v>
      </c>
      <c r="P6030">
        <v>10.119999999999999</v>
      </c>
      <c r="Q6030" s="37" t="str">
        <f>IF(P6030&gt;500,"High","low")</f>
        <v>low</v>
      </c>
      <c r="R6030" s="37" t="str">
        <f t="shared" si="474"/>
        <v>AVERAGE</v>
      </c>
      <c r="S6030" t="s">
        <v>609</v>
      </c>
    </row>
    <row r="6031" spans="1:19" x14ac:dyDescent="0.2">
      <c r="A6031" t="s">
        <v>6642</v>
      </c>
      <c r="B6031" t="s">
        <v>83</v>
      </c>
      <c r="C6031" t="s">
        <v>602</v>
      </c>
      <c r="D6031">
        <v>3897.63</v>
      </c>
      <c r="E6031" s="37" t="str">
        <f t="shared" si="470"/>
        <v xml:space="preserve"> </v>
      </c>
      <c r="F6031">
        <v>0.02</v>
      </c>
      <c r="G6031" s="37" t="str">
        <f t="shared" si="471"/>
        <v>Normal Discount</v>
      </c>
      <c r="H6031" s="37" t="str">
        <f t="shared" si="472"/>
        <v>Low</v>
      </c>
      <c r="I6031">
        <v>7</v>
      </c>
      <c r="J6031" t="str" cm="1">
        <f t="array" ref="J6031">_xlfn.IFS(I6031&lt;=3,"small",I6031&lt;=6,"Medium",I6031&lt;=9,"Large")</f>
        <v>Large</v>
      </c>
      <c r="K6031" s="36">
        <v>45577</v>
      </c>
      <c r="L6031" s="36">
        <v>45581</v>
      </c>
      <c r="M6031" t="s">
        <v>603</v>
      </c>
      <c r="N6031" t="s">
        <v>604</v>
      </c>
      <c r="O6031" s="37" t="str">
        <f t="shared" si="473"/>
        <v>Digital Payment</v>
      </c>
      <c r="P6031">
        <v>397.84</v>
      </c>
      <c r="Q6031" s="37" t="str">
        <f>IF(P6031&gt;500,"High","low")</f>
        <v>low</v>
      </c>
      <c r="R6031" s="37" t="str">
        <f t="shared" si="474"/>
        <v>AVERAGE</v>
      </c>
      <c r="S6031" t="s">
        <v>605</v>
      </c>
    </row>
    <row r="6032" spans="1:19" x14ac:dyDescent="0.2">
      <c r="A6032" t="s">
        <v>6643</v>
      </c>
      <c r="B6032" t="s">
        <v>75</v>
      </c>
      <c r="C6032" t="s">
        <v>617</v>
      </c>
      <c r="D6032">
        <v>377.86</v>
      </c>
      <c r="E6032" s="37" t="str">
        <f t="shared" si="470"/>
        <v xml:space="preserve"> </v>
      </c>
      <c r="F6032">
        <v>0.5</v>
      </c>
      <c r="G6032" s="37" t="str">
        <f t="shared" si="471"/>
        <v>Heavy Discount</v>
      </c>
      <c r="H6032" s="37" t="str">
        <f t="shared" si="472"/>
        <v>High</v>
      </c>
      <c r="I6032">
        <v>6</v>
      </c>
      <c r="J6032" t="str" cm="1">
        <f t="array" ref="J6032">_xlfn.IFS(I6032&lt;=3,"small",I6032&lt;=6,"Medium",I6032&lt;=9,"Large")</f>
        <v>Medium</v>
      </c>
      <c r="K6032" s="36">
        <v>45083</v>
      </c>
      <c r="L6032" s="36">
        <v>45090</v>
      </c>
      <c r="M6032" t="s">
        <v>603</v>
      </c>
      <c r="N6032" t="s">
        <v>599</v>
      </c>
      <c r="O6032" s="37" t="str">
        <f t="shared" si="473"/>
        <v>Digital Payment</v>
      </c>
      <c r="P6032">
        <v>103.43</v>
      </c>
      <c r="Q6032" s="37" t="str">
        <f>IF(P6032&gt;500,"High","low")</f>
        <v>low</v>
      </c>
      <c r="R6032" s="37" t="str">
        <f t="shared" si="474"/>
        <v>AVERAGE</v>
      </c>
      <c r="S6032" t="s">
        <v>605</v>
      </c>
    </row>
    <row r="6033" spans="1:19" x14ac:dyDescent="0.2">
      <c r="A6033" t="s">
        <v>6644</v>
      </c>
      <c r="B6033" t="s">
        <v>75</v>
      </c>
      <c r="C6033" t="s">
        <v>617</v>
      </c>
      <c r="D6033">
        <v>2739.35</v>
      </c>
      <c r="E6033" s="37" t="str">
        <f t="shared" si="470"/>
        <v xml:space="preserve"> </v>
      </c>
      <c r="F6033">
        <v>0.25</v>
      </c>
      <c r="G6033" s="37" t="str">
        <f t="shared" si="471"/>
        <v>Normal Discount</v>
      </c>
      <c r="H6033" s="37" t="str">
        <f t="shared" si="472"/>
        <v>Medium</v>
      </c>
      <c r="I6033">
        <v>2</v>
      </c>
      <c r="J6033" t="str" cm="1">
        <f t="array" ref="J6033">_xlfn.IFS(I6033&lt;=3,"small",I6033&lt;=6,"Medium",I6033&lt;=9,"Large")</f>
        <v>small</v>
      </c>
      <c r="K6033" s="36">
        <v>45231</v>
      </c>
      <c r="L6033" s="36">
        <v>45236</v>
      </c>
      <c r="M6033" t="s">
        <v>603</v>
      </c>
      <c r="N6033" t="s">
        <v>608</v>
      </c>
      <c r="O6033" s="37" t="str">
        <f t="shared" si="473"/>
        <v>Cash Payment</v>
      </c>
      <c r="P6033">
        <v>474</v>
      </c>
      <c r="Q6033" s="37" t="str">
        <f>IF(P6033&gt;500,"High","low")</f>
        <v>low</v>
      </c>
      <c r="R6033" s="37" t="str">
        <f t="shared" si="474"/>
        <v>AVERAGE</v>
      </c>
      <c r="S6033" t="s">
        <v>628</v>
      </c>
    </row>
    <row r="6034" spans="1:19" x14ac:dyDescent="0.2">
      <c r="A6034" t="s">
        <v>6645</v>
      </c>
      <c r="B6034" t="s">
        <v>75</v>
      </c>
      <c r="C6034" t="s">
        <v>617</v>
      </c>
      <c r="D6034">
        <v>1899.73</v>
      </c>
      <c r="E6034" s="37" t="str">
        <f t="shared" si="470"/>
        <v xml:space="preserve"> </v>
      </c>
      <c r="F6034">
        <v>0.44</v>
      </c>
      <c r="G6034" s="37" t="str">
        <f t="shared" si="471"/>
        <v>Heavy Discount</v>
      </c>
      <c r="H6034" s="37" t="str">
        <f t="shared" si="472"/>
        <v>High</v>
      </c>
      <c r="I6034">
        <v>5</v>
      </c>
      <c r="J6034" t="str" cm="1">
        <f t="array" ref="J6034">_xlfn.IFS(I6034&lt;=3,"small",I6034&lt;=6,"Medium",I6034&lt;=9,"Large")</f>
        <v>Medium</v>
      </c>
      <c r="K6034" s="36">
        <v>45035</v>
      </c>
      <c r="L6034" s="36">
        <v>45039</v>
      </c>
      <c r="M6034" t="s">
        <v>612</v>
      </c>
      <c r="N6034" t="s">
        <v>599</v>
      </c>
      <c r="O6034" s="37" t="str">
        <f t="shared" si="473"/>
        <v>Digital Payment</v>
      </c>
      <c r="P6034">
        <v>488.18</v>
      </c>
      <c r="Q6034" s="37" t="str">
        <f>IF(P6034&gt;500,"High","low")</f>
        <v>low</v>
      </c>
      <c r="R6034" s="37" t="str">
        <f t="shared" si="474"/>
        <v>AVERAGE</v>
      </c>
      <c r="S6034" t="s">
        <v>620</v>
      </c>
    </row>
    <row r="6035" spans="1:19" x14ac:dyDescent="0.2">
      <c r="A6035" t="s">
        <v>6646</v>
      </c>
      <c r="B6035" t="s">
        <v>67</v>
      </c>
      <c r="C6035" t="s">
        <v>617</v>
      </c>
      <c r="D6035">
        <v>819.85</v>
      </c>
      <c r="E6035" s="37" t="str">
        <f t="shared" si="470"/>
        <v xml:space="preserve"> </v>
      </c>
      <c r="F6035">
        <v>0.45</v>
      </c>
      <c r="G6035" s="37" t="str">
        <f t="shared" si="471"/>
        <v>Heavy Discount</v>
      </c>
      <c r="H6035" s="37" t="str">
        <f t="shared" si="472"/>
        <v>High</v>
      </c>
      <c r="I6035">
        <v>7</v>
      </c>
      <c r="J6035" t="str" cm="1">
        <f t="array" ref="J6035">_xlfn.IFS(I6035&lt;=3,"small",I6035&lt;=6,"Medium",I6035&lt;=9,"Large")</f>
        <v>Large</v>
      </c>
      <c r="K6035" s="36">
        <v>45014</v>
      </c>
      <c r="L6035" s="36">
        <v>45019</v>
      </c>
      <c r="M6035" t="s">
        <v>603</v>
      </c>
      <c r="N6035" t="s">
        <v>604</v>
      </c>
      <c r="O6035" s="37" t="str">
        <f t="shared" si="473"/>
        <v>Digital Payment</v>
      </c>
      <c r="P6035">
        <v>178.49</v>
      </c>
      <c r="Q6035" s="37" t="str">
        <f>IF(P6035&gt;500,"High","low")</f>
        <v>low</v>
      </c>
      <c r="R6035" s="37" t="str">
        <f t="shared" si="474"/>
        <v>AVERAGE</v>
      </c>
      <c r="S6035" t="s">
        <v>628</v>
      </c>
    </row>
    <row r="6036" spans="1:19" x14ac:dyDescent="0.2">
      <c r="A6036" t="s">
        <v>6647</v>
      </c>
      <c r="B6036" t="s">
        <v>83</v>
      </c>
      <c r="C6036" t="s">
        <v>614</v>
      </c>
      <c r="D6036">
        <v>3728.92</v>
      </c>
      <c r="E6036" s="37" t="str">
        <f t="shared" si="470"/>
        <v xml:space="preserve"> </v>
      </c>
      <c r="F6036">
        <v>0.26</v>
      </c>
      <c r="G6036" s="37" t="str">
        <f t="shared" si="471"/>
        <v>Normal Discount</v>
      </c>
      <c r="H6036" s="37" t="str">
        <f t="shared" si="472"/>
        <v>Medium</v>
      </c>
      <c r="I6036">
        <v>2</v>
      </c>
      <c r="J6036" t="str" cm="1">
        <f t="array" ref="J6036">_xlfn.IFS(I6036&lt;=3,"small",I6036&lt;=6,"Medium",I6036&lt;=9,"Large")</f>
        <v>small</v>
      </c>
      <c r="K6036" s="36">
        <v>45632</v>
      </c>
      <c r="L6036" s="36">
        <v>45635</v>
      </c>
      <c r="M6036" t="s">
        <v>612</v>
      </c>
      <c r="N6036" t="s">
        <v>604</v>
      </c>
      <c r="O6036" s="37" t="str">
        <f t="shared" si="473"/>
        <v>Digital Payment</v>
      </c>
      <c r="P6036">
        <v>986.49</v>
      </c>
      <c r="Q6036" s="37" t="str">
        <f>IF(P6036&gt;500,"High","low")</f>
        <v>High</v>
      </c>
      <c r="R6036" s="37" t="str">
        <f t="shared" si="474"/>
        <v>Good</v>
      </c>
      <c r="S6036" t="s">
        <v>605</v>
      </c>
    </row>
    <row r="6037" spans="1:19" x14ac:dyDescent="0.2">
      <c r="A6037" t="s">
        <v>6648</v>
      </c>
      <c r="B6037" t="s">
        <v>75</v>
      </c>
      <c r="C6037" t="s">
        <v>617</v>
      </c>
      <c r="D6037">
        <v>369.53</v>
      </c>
      <c r="E6037" s="37" t="str">
        <f t="shared" si="470"/>
        <v xml:space="preserve"> </v>
      </c>
      <c r="F6037">
        <v>0.03</v>
      </c>
      <c r="G6037" s="37" t="str">
        <f t="shared" si="471"/>
        <v>Normal Discount</v>
      </c>
      <c r="H6037" s="37" t="str">
        <f t="shared" si="472"/>
        <v>Low</v>
      </c>
      <c r="I6037">
        <v>5</v>
      </c>
      <c r="J6037" t="str" cm="1">
        <f t="array" ref="J6037">_xlfn.IFS(I6037&lt;=3,"small",I6037&lt;=6,"Medium",I6037&lt;=9,"Large")</f>
        <v>Medium</v>
      </c>
      <c r="K6037" s="36">
        <v>44931</v>
      </c>
      <c r="L6037" s="36">
        <v>44934</v>
      </c>
      <c r="M6037" t="s">
        <v>603</v>
      </c>
      <c r="N6037" t="s">
        <v>608</v>
      </c>
      <c r="O6037" s="37" t="str">
        <f t="shared" si="473"/>
        <v>Cash Payment</v>
      </c>
      <c r="P6037">
        <v>66.31</v>
      </c>
      <c r="Q6037" s="37" t="str">
        <f>IF(P6037&gt;500,"High","low")</f>
        <v>low</v>
      </c>
      <c r="R6037" s="37" t="str">
        <f t="shared" si="474"/>
        <v>AVERAGE</v>
      </c>
      <c r="S6037" t="s">
        <v>615</v>
      </c>
    </row>
    <row r="6038" spans="1:19" x14ac:dyDescent="0.2">
      <c r="A6038" t="s">
        <v>6649</v>
      </c>
      <c r="B6038" t="s">
        <v>83</v>
      </c>
      <c r="C6038" t="s">
        <v>607</v>
      </c>
      <c r="D6038">
        <v>1660.13</v>
      </c>
      <c r="E6038" s="37" t="str">
        <f t="shared" si="470"/>
        <v xml:space="preserve"> </v>
      </c>
      <c r="F6038">
        <v>0.3</v>
      </c>
      <c r="G6038" s="37" t="str">
        <f t="shared" si="471"/>
        <v>Normal Discount</v>
      </c>
      <c r="H6038" s="37" t="str">
        <f t="shared" si="472"/>
        <v>Medium</v>
      </c>
      <c r="I6038">
        <v>3</v>
      </c>
      <c r="J6038" t="str" cm="1">
        <f t="array" ref="J6038">_xlfn.IFS(I6038&lt;=3,"small",I6038&lt;=6,"Medium",I6038&lt;=9,"Large")</f>
        <v>small</v>
      </c>
      <c r="K6038" s="36">
        <v>45654</v>
      </c>
      <c r="L6038" s="36">
        <v>45660</v>
      </c>
      <c r="M6038" t="s">
        <v>612</v>
      </c>
      <c r="N6038" t="s">
        <v>599</v>
      </c>
      <c r="O6038" s="37" t="str">
        <f t="shared" si="473"/>
        <v>Digital Payment</v>
      </c>
      <c r="P6038">
        <v>422.94</v>
      </c>
      <c r="Q6038" s="37" t="str">
        <f>IF(P6038&gt;500,"High","low")</f>
        <v>low</v>
      </c>
      <c r="R6038" s="37" t="str">
        <f t="shared" si="474"/>
        <v>AVERAGE</v>
      </c>
      <c r="S6038" t="s">
        <v>620</v>
      </c>
    </row>
    <row r="6039" spans="1:19" x14ac:dyDescent="0.2">
      <c r="A6039" t="s">
        <v>6650</v>
      </c>
      <c r="B6039" t="s">
        <v>67</v>
      </c>
      <c r="C6039" t="s">
        <v>607</v>
      </c>
      <c r="D6039">
        <v>2854.74</v>
      </c>
      <c r="E6039" s="37" t="str">
        <f t="shared" si="470"/>
        <v xml:space="preserve"> </v>
      </c>
      <c r="F6039">
        <v>0.17</v>
      </c>
      <c r="G6039" s="37" t="str">
        <f t="shared" si="471"/>
        <v>Normal Discount</v>
      </c>
      <c r="H6039" s="37" t="str">
        <f t="shared" si="472"/>
        <v>Low</v>
      </c>
      <c r="I6039">
        <v>9</v>
      </c>
      <c r="J6039" t="str" cm="1">
        <f t="array" ref="J6039">_xlfn.IFS(I6039&lt;=3,"small",I6039&lt;=6,"Medium",I6039&lt;=9,"Large")</f>
        <v>Large</v>
      </c>
      <c r="K6039" s="36">
        <v>45363</v>
      </c>
      <c r="L6039" s="36">
        <v>45370</v>
      </c>
      <c r="M6039" t="s">
        <v>612</v>
      </c>
      <c r="N6039" t="s">
        <v>604</v>
      </c>
      <c r="O6039" s="37" t="str">
        <f t="shared" si="473"/>
        <v>Digital Payment</v>
      </c>
      <c r="P6039">
        <v>815.77</v>
      </c>
      <c r="Q6039" s="37" t="str">
        <f>IF(P6039&gt;500,"High","low")</f>
        <v>High</v>
      </c>
      <c r="R6039" s="37" t="str">
        <f t="shared" si="474"/>
        <v>Good</v>
      </c>
      <c r="S6039" t="s">
        <v>600</v>
      </c>
    </row>
    <row r="6040" spans="1:19" x14ac:dyDescent="0.2">
      <c r="A6040" t="s">
        <v>6651</v>
      </c>
      <c r="B6040" t="s">
        <v>90</v>
      </c>
      <c r="C6040" t="s">
        <v>614</v>
      </c>
      <c r="D6040">
        <v>2071.84</v>
      </c>
      <c r="E6040" s="37" t="str">
        <f t="shared" si="470"/>
        <v xml:space="preserve"> </v>
      </c>
      <c r="F6040">
        <v>0.1</v>
      </c>
      <c r="G6040" s="37" t="str">
        <f t="shared" si="471"/>
        <v>Normal Discount</v>
      </c>
      <c r="H6040" s="37" t="str">
        <f t="shared" si="472"/>
        <v>Low</v>
      </c>
      <c r="I6040">
        <v>1</v>
      </c>
      <c r="J6040" t="str" cm="1">
        <f t="array" ref="J6040">_xlfn.IFS(I6040&lt;=3,"small",I6040&lt;=6,"Medium",I6040&lt;=9,"Large")</f>
        <v>small</v>
      </c>
      <c r="K6040" s="36">
        <v>45482</v>
      </c>
      <c r="L6040" s="36">
        <v>45485</v>
      </c>
      <c r="M6040" t="s">
        <v>603</v>
      </c>
      <c r="N6040" t="s">
        <v>608</v>
      </c>
      <c r="O6040" s="37" t="str">
        <f t="shared" si="473"/>
        <v>Cash Payment</v>
      </c>
      <c r="P6040">
        <v>178.49</v>
      </c>
      <c r="Q6040" s="37" t="str">
        <f>IF(P6040&gt;500,"High","low")</f>
        <v>low</v>
      </c>
      <c r="R6040" s="37" t="str">
        <f t="shared" si="474"/>
        <v>AVERAGE</v>
      </c>
      <c r="S6040" t="s">
        <v>600</v>
      </c>
    </row>
    <row r="6041" spans="1:19" x14ac:dyDescent="0.2">
      <c r="A6041" t="s">
        <v>6652</v>
      </c>
      <c r="B6041" t="s">
        <v>75</v>
      </c>
      <c r="C6041" t="s">
        <v>617</v>
      </c>
      <c r="D6041">
        <v>1369.83</v>
      </c>
      <c r="E6041" s="37" t="str">
        <f t="shared" si="470"/>
        <v xml:space="preserve"> </v>
      </c>
      <c r="F6041">
        <v>0.09</v>
      </c>
      <c r="G6041" s="37" t="str">
        <f t="shared" si="471"/>
        <v>Normal Discount</v>
      </c>
      <c r="H6041" s="37" t="str">
        <f t="shared" si="472"/>
        <v>Low</v>
      </c>
      <c r="I6041">
        <v>7</v>
      </c>
      <c r="J6041" t="str" cm="1">
        <f t="array" ref="J6041">_xlfn.IFS(I6041&lt;=3,"small",I6041&lt;=6,"Medium",I6041&lt;=9,"Large")</f>
        <v>Large</v>
      </c>
      <c r="K6041" s="36">
        <v>45165</v>
      </c>
      <c r="L6041" s="36">
        <v>45168</v>
      </c>
      <c r="M6041" t="s">
        <v>598</v>
      </c>
      <c r="N6041" t="s">
        <v>599</v>
      </c>
      <c r="O6041" s="37" t="str">
        <f t="shared" si="473"/>
        <v>Digital Payment</v>
      </c>
      <c r="P6041">
        <v>409.92</v>
      </c>
      <c r="Q6041" s="37" t="str">
        <f>IF(P6041&gt;500,"High","low")</f>
        <v>low</v>
      </c>
      <c r="R6041" s="37" t="str">
        <f t="shared" si="474"/>
        <v>AVERAGE</v>
      </c>
      <c r="S6041" t="s">
        <v>605</v>
      </c>
    </row>
    <row r="6042" spans="1:19" x14ac:dyDescent="0.2">
      <c r="A6042" t="s">
        <v>6653</v>
      </c>
      <c r="B6042" t="s">
        <v>83</v>
      </c>
      <c r="C6042" t="s">
        <v>597</v>
      </c>
      <c r="D6042">
        <v>4637.3999999999996</v>
      </c>
      <c r="E6042" s="37" t="str">
        <f t="shared" si="470"/>
        <v>Excellent Order</v>
      </c>
      <c r="F6042">
        <v>0.28000000000000003</v>
      </c>
      <c r="G6042" s="37" t="str">
        <f t="shared" si="471"/>
        <v>Normal Discount</v>
      </c>
      <c r="H6042" s="37" t="str">
        <f t="shared" si="472"/>
        <v>Medium</v>
      </c>
      <c r="I6042">
        <v>4</v>
      </c>
      <c r="J6042" t="str" cm="1">
        <f t="array" ref="J6042">_xlfn.IFS(I6042&lt;=3,"small",I6042&lt;=6,"Medium",I6042&lt;=9,"Large")</f>
        <v>Medium</v>
      </c>
      <c r="K6042" s="36">
        <v>45061</v>
      </c>
      <c r="L6042" s="36">
        <v>45065</v>
      </c>
      <c r="M6042" t="s">
        <v>612</v>
      </c>
      <c r="N6042" t="s">
        <v>599</v>
      </c>
      <c r="O6042" s="37" t="str">
        <f t="shared" si="473"/>
        <v>Digital Payment</v>
      </c>
      <c r="P6042">
        <v>1088.8399999999999</v>
      </c>
      <c r="Q6042" s="37" t="str">
        <f>IF(P6042&gt;500,"High","low")</f>
        <v>High</v>
      </c>
      <c r="R6042" s="37" t="str">
        <f t="shared" si="474"/>
        <v>Excellent</v>
      </c>
      <c r="S6042" t="s">
        <v>609</v>
      </c>
    </row>
    <row r="6043" spans="1:19" x14ac:dyDescent="0.2">
      <c r="A6043" t="s">
        <v>6654</v>
      </c>
      <c r="B6043" t="s">
        <v>83</v>
      </c>
      <c r="C6043" t="s">
        <v>617</v>
      </c>
      <c r="D6043">
        <v>4661.75</v>
      </c>
      <c r="E6043" s="37" t="str">
        <f t="shared" si="470"/>
        <v>Excellent Order</v>
      </c>
      <c r="F6043">
        <v>0.05</v>
      </c>
      <c r="G6043" s="37" t="str">
        <f t="shared" si="471"/>
        <v>Normal Discount</v>
      </c>
      <c r="H6043" s="37" t="str">
        <f t="shared" si="472"/>
        <v>Low</v>
      </c>
      <c r="I6043">
        <v>5</v>
      </c>
      <c r="J6043" t="str" cm="1">
        <f t="array" ref="J6043">_xlfn.IFS(I6043&lt;=3,"small",I6043&lt;=6,"Medium",I6043&lt;=9,"Large")</f>
        <v>Medium</v>
      </c>
      <c r="K6043" s="36">
        <v>45438</v>
      </c>
      <c r="L6043" s="36">
        <v>45441</v>
      </c>
      <c r="M6043" t="s">
        <v>598</v>
      </c>
      <c r="N6043" t="s">
        <v>599</v>
      </c>
      <c r="O6043" s="37" t="str">
        <f t="shared" si="473"/>
        <v>Digital Payment</v>
      </c>
      <c r="P6043">
        <v>902.6</v>
      </c>
      <c r="Q6043" s="37" t="str">
        <f>IF(P6043&gt;500,"High","low")</f>
        <v>High</v>
      </c>
      <c r="R6043" s="37" t="str">
        <f t="shared" si="474"/>
        <v>Good</v>
      </c>
      <c r="S6043" t="s">
        <v>600</v>
      </c>
    </row>
    <row r="6044" spans="1:19" x14ac:dyDescent="0.2">
      <c r="A6044" t="s">
        <v>6655</v>
      </c>
      <c r="B6044" t="s">
        <v>67</v>
      </c>
      <c r="C6044" t="s">
        <v>607</v>
      </c>
      <c r="D6044">
        <v>2138.86</v>
      </c>
      <c r="E6044" s="37" t="str">
        <f t="shared" si="470"/>
        <v xml:space="preserve"> </v>
      </c>
      <c r="F6044">
        <v>0.41</v>
      </c>
      <c r="G6044" s="37" t="str">
        <f t="shared" si="471"/>
        <v>Heavy Discount</v>
      </c>
      <c r="H6044" s="37" t="str">
        <f t="shared" si="472"/>
        <v>High</v>
      </c>
      <c r="I6044">
        <v>1</v>
      </c>
      <c r="J6044" t="str" cm="1">
        <f t="array" ref="J6044">_xlfn.IFS(I6044&lt;=3,"small",I6044&lt;=6,"Medium",I6044&lt;=9,"Large")</f>
        <v>small</v>
      </c>
      <c r="K6044" s="36">
        <v>45508</v>
      </c>
      <c r="L6044" s="36">
        <v>45515</v>
      </c>
      <c r="M6044" t="s">
        <v>598</v>
      </c>
      <c r="N6044" t="s">
        <v>604</v>
      </c>
      <c r="O6044" s="37" t="str">
        <f t="shared" si="473"/>
        <v>Digital Payment</v>
      </c>
      <c r="P6044">
        <v>637.5</v>
      </c>
      <c r="Q6044" s="37" t="str">
        <f>IF(P6044&gt;500,"High","low")</f>
        <v>High</v>
      </c>
      <c r="R6044" s="37" t="str">
        <f t="shared" si="474"/>
        <v>Good</v>
      </c>
      <c r="S6044" t="s">
        <v>615</v>
      </c>
    </row>
    <row r="6045" spans="1:19" x14ac:dyDescent="0.2">
      <c r="A6045" t="s">
        <v>6656</v>
      </c>
      <c r="B6045" t="s">
        <v>75</v>
      </c>
      <c r="C6045" t="s">
        <v>602</v>
      </c>
      <c r="D6045">
        <v>2029.35</v>
      </c>
      <c r="E6045" s="37" t="str">
        <f t="shared" si="470"/>
        <v xml:space="preserve"> </v>
      </c>
      <c r="F6045">
        <v>0.11</v>
      </c>
      <c r="G6045" s="37" t="str">
        <f t="shared" si="471"/>
        <v>Normal Discount</v>
      </c>
      <c r="H6045" s="37" t="str">
        <f t="shared" si="472"/>
        <v>Low</v>
      </c>
      <c r="I6045">
        <v>5</v>
      </c>
      <c r="J6045" t="str" cm="1">
        <f t="array" ref="J6045">_xlfn.IFS(I6045&lt;=3,"small",I6045&lt;=6,"Medium",I6045&lt;=9,"Large")</f>
        <v>Medium</v>
      </c>
      <c r="K6045" s="36">
        <v>45517</v>
      </c>
      <c r="L6045" s="36">
        <v>45521</v>
      </c>
      <c r="M6045" t="s">
        <v>603</v>
      </c>
      <c r="N6045" t="s">
        <v>604</v>
      </c>
      <c r="O6045" s="37" t="str">
        <f t="shared" si="473"/>
        <v>Digital Payment</v>
      </c>
      <c r="P6045">
        <v>186.02</v>
      </c>
      <c r="Q6045" s="37" t="str">
        <f>IF(P6045&gt;500,"High","low")</f>
        <v>low</v>
      </c>
      <c r="R6045" s="37" t="str">
        <f t="shared" si="474"/>
        <v>AVERAGE</v>
      </c>
      <c r="S6045" t="s">
        <v>620</v>
      </c>
    </row>
    <row r="6046" spans="1:19" x14ac:dyDescent="0.2">
      <c r="A6046" t="s">
        <v>6657</v>
      </c>
      <c r="B6046" t="s">
        <v>90</v>
      </c>
      <c r="C6046" t="s">
        <v>602</v>
      </c>
      <c r="D6046">
        <v>1606.19</v>
      </c>
      <c r="E6046" s="37" t="str">
        <f t="shared" si="470"/>
        <v xml:space="preserve"> </v>
      </c>
      <c r="F6046">
        <v>0.27</v>
      </c>
      <c r="G6046" s="37" t="str">
        <f t="shared" si="471"/>
        <v>Normal Discount</v>
      </c>
      <c r="H6046" s="37" t="str">
        <f t="shared" si="472"/>
        <v>Medium</v>
      </c>
      <c r="I6046">
        <v>8</v>
      </c>
      <c r="J6046" t="str" cm="1">
        <f t="array" ref="J6046">_xlfn.IFS(I6046&lt;=3,"small",I6046&lt;=6,"Medium",I6046&lt;=9,"Large")</f>
        <v>Large</v>
      </c>
      <c r="K6046" s="36">
        <v>45337</v>
      </c>
      <c r="L6046" s="36">
        <v>45343</v>
      </c>
      <c r="M6046" t="s">
        <v>598</v>
      </c>
      <c r="N6046" t="s">
        <v>608</v>
      </c>
      <c r="O6046" s="37" t="str">
        <f t="shared" si="473"/>
        <v>Cash Payment</v>
      </c>
      <c r="P6046">
        <v>340.38</v>
      </c>
      <c r="Q6046" s="37" t="str">
        <f>IF(P6046&gt;500,"High","low")</f>
        <v>low</v>
      </c>
      <c r="R6046" s="37" t="str">
        <f t="shared" si="474"/>
        <v>AVERAGE</v>
      </c>
      <c r="S6046" t="s">
        <v>609</v>
      </c>
    </row>
    <row r="6047" spans="1:19" x14ac:dyDescent="0.2">
      <c r="A6047" t="s">
        <v>6658</v>
      </c>
      <c r="B6047" t="s">
        <v>83</v>
      </c>
      <c r="C6047" t="s">
        <v>597</v>
      </c>
      <c r="D6047">
        <v>4293.21</v>
      </c>
      <c r="E6047" s="37" t="str">
        <f t="shared" si="470"/>
        <v xml:space="preserve"> </v>
      </c>
      <c r="F6047">
        <v>0.06</v>
      </c>
      <c r="G6047" s="37" t="str">
        <f t="shared" si="471"/>
        <v>Normal Discount</v>
      </c>
      <c r="H6047" s="37" t="str">
        <f t="shared" si="472"/>
        <v>Low</v>
      </c>
      <c r="I6047">
        <v>6</v>
      </c>
      <c r="J6047" t="str" cm="1">
        <f t="array" ref="J6047">_xlfn.IFS(I6047&lt;=3,"small",I6047&lt;=6,"Medium",I6047&lt;=9,"Large")</f>
        <v>Medium</v>
      </c>
      <c r="K6047" s="36">
        <v>45537</v>
      </c>
      <c r="L6047" s="36">
        <v>45544</v>
      </c>
      <c r="M6047" t="s">
        <v>612</v>
      </c>
      <c r="N6047" t="s">
        <v>608</v>
      </c>
      <c r="O6047" s="37" t="str">
        <f t="shared" si="473"/>
        <v>Cash Payment</v>
      </c>
      <c r="P6047">
        <v>416.77</v>
      </c>
      <c r="Q6047" s="37" t="str">
        <f>IF(P6047&gt;500,"High","low")</f>
        <v>low</v>
      </c>
      <c r="R6047" s="37" t="str">
        <f t="shared" si="474"/>
        <v>AVERAGE</v>
      </c>
      <c r="S6047" t="s">
        <v>605</v>
      </c>
    </row>
    <row r="6048" spans="1:19" x14ac:dyDescent="0.2">
      <c r="A6048" t="s">
        <v>6659</v>
      </c>
      <c r="B6048" t="s">
        <v>75</v>
      </c>
      <c r="C6048" t="s">
        <v>617</v>
      </c>
      <c r="D6048">
        <v>2882.78</v>
      </c>
      <c r="E6048" s="37" t="str">
        <f t="shared" si="470"/>
        <v xml:space="preserve"> </v>
      </c>
      <c r="F6048">
        <v>0.43</v>
      </c>
      <c r="G6048" s="37" t="str">
        <f t="shared" si="471"/>
        <v>Heavy Discount</v>
      </c>
      <c r="H6048" s="37" t="str">
        <f t="shared" si="472"/>
        <v>High</v>
      </c>
      <c r="I6048">
        <v>2</v>
      </c>
      <c r="J6048" t="str" cm="1">
        <f t="array" ref="J6048">_xlfn.IFS(I6048&lt;=3,"small",I6048&lt;=6,"Medium",I6048&lt;=9,"Large")</f>
        <v>small</v>
      </c>
      <c r="K6048" s="36">
        <v>45492</v>
      </c>
      <c r="L6048" s="36">
        <v>45494</v>
      </c>
      <c r="M6048" t="s">
        <v>603</v>
      </c>
      <c r="N6048" t="s">
        <v>599</v>
      </c>
      <c r="O6048" s="37" t="str">
        <f t="shared" si="473"/>
        <v>Digital Payment</v>
      </c>
      <c r="P6048">
        <v>510.68</v>
      </c>
      <c r="Q6048" s="37" t="str">
        <f>IF(P6048&gt;500,"High","low")</f>
        <v>High</v>
      </c>
      <c r="R6048" s="37" t="str">
        <f t="shared" si="474"/>
        <v>Good</v>
      </c>
      <c r="S6048" t="s">
        <v>615</v>
      </c>
    </row>
    <row r="6049" spans="1:19" x14ac:dyDescent="0.2">
      <c r="A6049" t="s">
        <v>6660</v>
      </c>
      <c r="B6049" t="s">
        <v>90</v>
      </c>
      <c r="C6049" t="s">
        <v>614</v>
      </c>
      <c r="D6049">
        <v>538.66</v>
      </c>
      <c r="E6049" s="37" t="str">
        <f t="shared" si="470"/>
        <v xml:space="preserve"> </v>
      </c>
      <c r="F6049">
        <v>0.35</v>
      </c>
      <c r="G6049" s="37" t="str">
        <f t="shared" si="471"/>
        <v>Heavy Discount</v>
      </c>
      <c r="H6049" s="37" t="str">
        <f t="shared" si="472"/>
        <v>Medium</v>
      </c>
      <c r="I6049">
        <v>2</v>
      </c>
      <c r="J6049" t="str" cm="1">
        <f t="array" ref="J6049">_xlfn.IFS(I6049&lt;=3,"small",I6049&lt;=6,"Medium",I6049&lt;=9,"Large")</f>
        <v>small</v>
      </c>
      <c r="K6049" s="36">
        <v>45127</v>
      </c>
      <c r="L6049" s="36">
        <v>45129</v>
      </c>
      <c r="M6049" t="s">
        <v>598</v>
      </c>
      <c r="N6049" t="s">
        <v>608</v>
      </c>
      <c r="O6049" s="37" t="str">
        <f t="shared" si="473"/>
        <v>Cash Payment</v>
      </c>
      <c r="P6049">
        <v>32.270000000000003</v>
      </c>
      <c r="Q6049" s="37" t="str">
        <f>IF(P6049&gt;500,"High","low")</f>
        <v>low</v>
      </c>
      <c r="R6049" s="37" t="str">
        <f t="shared" si="474"/>
        <v>AVERAGE</v>
      </c>
      <c r="S6049" t="s">
        <v>620</v>
      </c>
    </row>
    <row r="6050" spans="1:19" x14ac:dyDescent="0.2">
      <c r="A6050" t="s">
        <v>6661</v>
      </c>
      <c r="B6050" t="s">
        <v>83</v>
      </c>
      <c r="C6050" t="s">
        <v>617</v>
      </c>
      <c r="D6050">
        <v>4281.2700000000004</v>
      </c>
      <c r="E6050" s="37" t="str">
        <f t="shared" si="470"/>
        <v xml:space="preserve"> </v>
      </c>
      <c r="F6050">
        <v>0.1</v>
      </c>
      <c r="G6050" s="37" t="str">
        <f t="shared" si="471"/>
        <v>Normal Discount</v>
      </c>
      <c r="H6050" s="37" t="str">
        <f t="shared" si="472"/>
        <v>Low</v>
      </c>
      <c r="I6050">
        <v>9</v>
      </c>
      <c r="J6050" t="str" cm="1">
        <f t="array" ref="J6050">_xlfn.IFS(I6050&lt;=3,"small",I6050&lt;=6,"Medium",I6050&lt;=9,"Large")</f>
        <v>Large</v>
      </c>
      <c r="K6050" s="36">
        <v>45308</v>
      </c>
      <c r="L6050" s="36">
        <v>45309</v>
      </c>
      <c r="M6050" t="s">
        <v>598</v>
      </c>
      <c r="N6050" t="s">
        <v>604</v>
      </c>
      <c r="O6050" s="37" t="str">
        <f t="shared" si="473"/>
        <v>Digital Payment</v>
      </c>
      <c r="P6050">
        <v>581.91999999999996</v>
      </c>
      <c r="Q6050" s="37" t="str">
        <f>IF(P6050&gt;500,"High","low")</f>
        <v>High</v>
      </c>
      <c r="R6050" s="37" t="str">
        <f t="shared" si="474"/>
        <v>Good</v>
      </c>
      <c r="S6050" t="s">
        <v>609</v>
      </c>
    </row>
    <row r="6051" spans="1:19" x14ac:dyDescent="0.2">
      <c r="A6051" t="s">
        <v>6662</v>
      </c>
      <c r="B6051" t="s">
        <v>83</v>
      </c>
      <c r="C6051" t="s">
        <v>597</v>
      </c>
      <c r="D6051">
        <v>2720.94</v>
      </c>
      <c r="E6051" s="37" t="str">
        <f t="shared" si="470"/>
        <v xml:space="preserve"> </v>
      </c>
      <c r="F6051">
        <v>0.36</v>
      </c>
      <c r="G6051" s="37" t="str">
        <f t="shared" si="471"/>
        <v>Heavy Discount</v>
      </c>
      <c r="H6051" s="37" t="str">
        <f t="shared" si="472"/>
        <v>Medium</v>
      </c>
      <c r="I6051">
        <v>1</v>
      </c>
      <c r="J6051" t="str" cm="1">
        <f t="array" ref="J6051">_xlfn.IFS(I6051&lt;=3,"small",I6051&lt;=6,"Medium",I6051&lt;=9,"Large")</f>
        <v>small</v>
      </c>
      <c r="K6051" s="36">
        <v>45112</v>
      </c>
      <c r="L6051" s="36">
        <v>45114</v>
      </c>
      <c r="M6051" t="s">
        <v>603</v>
      </c>
      <c r="N6051" t="s">
        <v>604</v>
      </c>
      <c r="O6051" s="37" t="str">
        <f t="shared" si="473"/>
        <v>Digital Payment</v>
      </c>
      <c r="P6051">
        <v>730.1</v>
      </c>
      <c r="Q6051" s="37" t="str">
        <f>IF(P6051&gt;500,"High","low")</f>
        <v>High</v>
      </c>
      <c r="R6051" s="37" t="str">
        <f t="shared" si="474"/>
        <v>Good</v>
      </c>
      <c r="S6051" t="s">
        <v>628</v>
      </c>
    </row>
    <row r="6052" spans="1:19" x14ac:dyDescent="0.2">
      <c r="A6052" t="s">
        <v>6663</v>
      </c>
      <c r="B6052" t="s">
        <v>90</v>
      </c>
      <c r="C6052" t="s">
        <v>597</v>
      </c>
      <c r="D6052">
        <v>2136.4</v>
      </c>
      <c r="E6052" s="37" t="str">
        <f t="shared" si="470"/>
        <v xml:space="preserve"> </v>
      </c>
      <c r="F6052">
        <v>0.04</v>
      </c>
      <c r="G6052" s="37" t="str">
        <f t="shared" si="471"/>
        <v>Normal Discount</v>
      </c>
      <c r="H6052" s="37" t="str">
        <f t="shared" si="472"/>
        <v>Low</v>
      </c>
      <c r="I6052">
        <v>2</v>
      </c>
      <c r="J6052" t="str" cm="1">
        <f t="array" ref="J6052">_xlfn.IFS(I6052&lt;=3,"small",I6052&lt;=6,"Medium",I6052&lt;=9,"Large")</f>
        <v>small</v>
      </c>
      <c r="K6052" s="36">
        <v>45583</v>
      </c>
      <c r="L6052" s="36">
        <v>45588</v>
      </c>
      <c r="M6052" t="s">
        <v>603</v>
      </c>
      <c r="N6052" t="s">
        <v>604</v>
      </c>
      <c r="O6052" s="37" t="str">
        <f t="shared" si="473"/>
        <v>Digital Payment</v>
      </c>
      <c r="P6052">
        <v>511.96</v>
      </c>
      <c r="Q6052" s="37" t="str">
        <f>IF(P6052&gt;500,"High","low")</f>
        <v>High</v>
      </c>
      <c r="R6052" s="37" t="str">
        <f t="shared" si="474"/>
        <v>Good</v>
      </c>
      <c r="S6052" t="s">
        <v>600</v>
      </c>
    </row>
    <row r="6053" spans="1:19" x14ac:dyDescent="0.2">
      <c r="A6053" t="s">
        <v>6664</v>
      </c>
      <c r="B6053" t="s">
        <v>90</v>
      </c>
      <c r="C6053" t="s">
        <v>597</v>
      </c>
      <c r="D6053">
        <v>1755.54</v>
      </c>
      <c r="E6053" s="37" t="str">
        <f t="shared" si="470"/>
        <v xml:space="preserve"> </v>
      </c>
      <c r="F6053">
        <v>0.39</v>
      </c>
      <c r="G6053" s="37" t="str">
        <f t="shared" si="471"/>
        <v>Heavy Discount</v>
      </c>
      <c r="H6053" s="37" t="str">
        <f t="shared" si="472"/>
        <v>Medium</v>
      </c>
      <c r="I6053">
        <v>8</v>
      </c>
      <c r="J6053" t="str" cm="1">
        <f t="array" ref="J6053">_xlfn.IFS(I6053&lt;=3,"small",I6053&lt;=6,"Medium",I6053&lt;=9,"Large")</f>
        <v>Large</v>
      </c>
      <c r="K6053" s="36">
        <v>45555</v>
      </c>
      <c r="L6053" s="36">
        <v>45562</v>
      </c>
      <c r="M6053" t="s">
        <v>603</v>
      </c>
      <c r="N6053" t="s">
        <v>604</v>
      </c>
      <c r="O6053" s="37" t="str">
        <f t="shared" si="473"/>
        <v>Digital Payment</v>
      </c>
      <c r="P6053">
        <v>261.95</v>
      </c>
      <c r="Q6053" s="37" t="str">
        <f>IF(P6053&gt;500,"High","low")</f>
        <v>low</v>
      </c>
      <c r="R6053" s="37" t="str">
        <f t="shared" si="474"/>
        <v>AVERAGE</v>
      </c>
      <c r="S6053" t="s">
        <v>600</v>
      </c>
    </row>
    <row r="6054" spans="1:19" x14ac:dyDescent="0.2">
      <c r="A6054" t="s">
        <v>6665</v>
      </c>
      <c r="B6054" t="s">
        <v>67</v>
      </c>
      <c r="C6054" t="s">
        <v>602</v>
      </c>
      <c r="D6054">
        <v>587.19000000000005</v>
      </c>
      <c r="E6054" s="37" t="str">
        <f t="shared" si="470"/>
        <v xml:space="preserve"> </v>
      </c>
      <c r="F6054">
        <v>0.25</v>
      </c>
      <c r="G6054" s="37" t="str">
        <f t="shared" si="471"/>
        <v>Normal Discount</v>
      </c>
      <c r="H6054" s="37" t="str">
        <f t="shared" si="472"/>
        <v>Medium</v>
      </c>
      <c r="I6054">
        <v>6</v>
      </c>
      <c r="J6054" t="str" cm="1">
        <f t="array" ref="J6054">_xlfn.IFS(I6054&lt;=3,"small",I6054&lt;=6,"Medium",I6054&lt;=9,"Large")</f>
        <v>Medium</v>
      </c>
      <c r="K6054" s="36">
        <v>45525</v>
      </c>
      <c r="L6054" s="36">
        <v>45530</v>
      </c>
      <c r="M6054" t="s">
        <v>598</v>
      </c>
      <c r="N6054" t="s">
        <v>608</v>
      </c>
      <c r="O6054" s="37" t="str">
        <f t="shared" si="473"/>
        <v>Cash Payment</v>
      </c>
      <c r="P6054">
        <v>54.48</v>
      </c>
      <c r="Q6054" s="37" t="str">
        <f>IF(P6054&gt;500,"High","low")</f>
        <v>low</v>
      </c>
      <c r="R6054" s="37" t="str">
        <f t="shared" si="474"/>
        <v>AVERAGE</v>
      </c>
      <c r="S6054" t="s">
        <v>615</v>
      </c>
    </row>
    <row r="6055" spans="1:19" x14ac:dyDescent="0.2">
      <c r="A6055" t="s">
        <v>6666</v>
      </c>
      <c r="B6055" t="s">
        <v>75</v>
      </c>
      <c r="C6055" t="s">
        <v>617</v>
      </c>
      <c r="D6055">
        <v>4787.84</v>
      </c>
      <c r="E6055" s="37" t="str">
        <f t="shared" si="470"/>
        <v xml:space="preserve"> </v>
      </c>
      <c r="F6055">
        <v>0.06</v>
      </c>
      <c r="G6055" s="37" t="str">
        <f t="shared" si="471"/>
        <v>Normal Discount</v>
      </c>
      <c r="H6055" s="37" t="str">
        <f t="shared" si="472"/>
        <v>Low</v>
      </c>
      <c r="I6055">
        <v>3</v>
      </c>
      <c r="J6055" t="str" cm="1">
        <f t="array" ref="J6055">_xlfn.IFS(I6055&lt;=3,"small",I6055&lt;=6,"Medium",I6055&lt;=9,"Large")</f>
        <v>small</v>
      </c>
      <c r="K6055" s="36">
        <v>45228</v>
      </c>
      <c r="L6055" s="36">
        <v>45231</v>
      </c>
      <c r="M6055" t="s">
        <v>603</v>
      </c>
      <c r="N6055" t="s">
        <v>604</v>
      </c>
      <c r="O6055" s="37" t="str">
        <f t="shared" si="473"/>
        <v>Digital Payment</v>
      </c>
      <c r="P6055">
        <v>313.58</v>
      </c>
      <c r="Q6055" s="37" t="str">
        <f>IF(P6055&gt;500,"High","low")</f>
        <v>low</v>
      </c>
      <c r="R6055" s="37" t="str">
        <f t="shared" si="474"/>
        <v>AVERAGE</v>
      </c>
      <c r="S6055" t="s">
        <v>600</v>
      </c>
    </row>
    <row r="6056" spans="1:19" x14ac:dyDescent="0.2">
      <c r="A6056" t="s">
        <v>6667</v>
      </c>
      <c r="B6056" t="s">
        <v>75</v>
      </c>
      <c r="C6056" t="s">
        <v>617</v>
      </c>
      <c r="D6056">
        <v>3732.09</v>
      </c>
      <c r="E6056" s="37" t="str">
        <f t="shared" si="470"/>
        <v xml:space="preserve"> </v>
      </c>
      <c r="F6056">
        <v>0.28000000000000003</v>
      </c>
      <c r="G6056" s="37" t="str">
        <f t="shared" si="471"/>
        <v>Normal Discount</v>
      </c>
      <c r="H6056" s="37" t="str">
        <f t="shared" si="472"/>
        <v>Medium</v>
      </c>
      <c r="I6056">
        <v>3</v>
      </c>
      <c r="J6056" t="str" cm="1">
        <f t="array" ref="J6056">_xlfn.IFS(I6056&lt;=3,"small",I6056&lt;=6,"Medium",I6056&lt;=9,"Large")</f>
        <v>small</v>
      </c>
      <c r="K6056" s="36">
        <v>45541</v>
      </c>
      <c r="L6056" s="36">
        <v>45548</v>
      </c>
      <c r="M6056" t="s">
        <v>603</v>
      </c>
      <c r="N6056" t="s">
        <v>604</v>
      </c>
      <c r="O6056" s="37" t="str">
        <f t="shared" si="473"/>
        <v>Digital Payment</v>
      </c>
      <c r="P6056">
        <v>1075.8</v>
      </c>
      <c r="Q6056" s="37" t="str">
        <f>IF(P6056&gt;500,"High","low")</f>
        <v>High</v>
      </c>
      <c r="R6056" s="37" t="str">
        <f t="shared" si="474"/>
        <v>Excellent</v>
      </c>
      <c r="S6056" t="s">
        <v>609</v>
      </c>
    </row>
    <row r="6057" spans="1:19" x14ac:dyDescent="0.2">
      <c r="A6057" t="s">
        <v>6668</v>
      </c>
      <c r="B6057" t="s">
        <v>67</v>
      </c>
      <c r="C6057" t="s">
        <v>614</v>
      </c>
      <c r="D6057">
        <v>745.71</v>
      </c>
      <c r="E6057" s="37" t="str">
        <f t="shared" si="470"/>
        <v xml:space="preserve"> </v>
      </c>
      <c r="F6057">
        <v>0.1</v>
      </c>
      <c r="G6057" s="37" t="str">
        <f t="shared" si="471"/>
        <v>Normal Discount</v>
      </c>
      <c r="H6057" s="37" t="str">
        <f t="shared" si="472"/>
        <v>Low</v>
      </c>
      <c r="I6057">
        <v>9</v>
      </c>
      <c r="J6057" t="str" cm="1">
        <f t="array" ref="J6057">_xlfn.IFS(I6057&lt;=3,"small",I6057&lt;=6,"Medium",I6057&lt;=9,"Large")</f>
        <v>Large</v>
      </c>
      <c r="K6057" s="36">
        <v>45229</v>
      </c>
      <c r="L6057" s="36">
        <v>45230</v>
      </c>
      <c r="M6057" t="s">
        <v>603</v>
      </c>
      <c r="N6057" t="s">
        <v>608</v>
      </c>
      <c r="O6057" s="37" t="str">
        <f t="shared" si="473"/>
        <v>Cash Payment</v>
      </c>
      <c r="P6057">
        <v>117.9</v>
      </c>
      <c r="Q6057" s="37" t="str">
        <f>IF(P6057&gt;500,"High","low")</f>
        <v>low</v>
      </c>
      <c r="R6057" s="37" t="str">
        <f t="shared" si="474"/>
        <v>AVERAGE</v>
      </c>
      <c r="S6057" t="s">
        <v>620</v>
      </c>
    </row>
    <row r="6058" spans="1:19" x14ac:dyDescent="0.2">
      <c r="A6058" t="s">
        <v>6669</v>
      </c>
      <c r="B6058" t="s">
        <v>83</v>
      </c>
      <c r="C6058" t="s">
        <v>597</v>
      </c>
      <c r="D6058">
        <v>2605.2199999999998</v>
      </c>
      <c r="E6058" s="37" t="str">
        <f t="shared" si="470"/>
        <v xml:space="preserve"> </v>
      </c>
      <c r="F6058">
        <v>0.34</v>
      </c>
      <c r="G6058" s="37" t="str">
        <f t="shared" si="471"/>
        <v>Heavy Discount</v>
      </c>
      <c r="H6058" s="37" t="str">
        <f t="shared" si="472"/>
        <v>Medium</v>
      </c>
      <c r="I6058">
        <v>2</v>
      </c>
      <c r="J6058" t="str" cm="1">
        <f t="array" ref="J6058">_xlfn.IFS(I6058&lt;=3,"small",I6058&lt;=6,"Medium",I6058&lt;=9,"Large")</f>
        <v>small</v>
      </c>
      <c r="K6058" s="36">
        <v>45403</v>
      </c>
      <c r="L6058" s="36">
        <v>45407</v>
      </c>
      <c r="M6058" t="s">
        <v>612</v>
      </c>
      <c r="N6058" t="s">
        <v>604</v>
      </c>
      <c r="O6058" s="37" t="str">
        <f t="shared" si="473"/>
        <v>Digital Payment</v>
      </c>
      <c r="P6058">
        <v>599.46</v>
      </c>
      <c r="Q6058" s="37" t="str">
        <f>IF(P6058&gt;500,"High","low")</f>
        <v>High</v>
      </c>
      <c r="R6058" s="37" t="str">
        <f t="shared" si="474"/>
        <v>Good</v>
      </c>
      <c r="S6058" t="s">
        <v>620</v>
      </c>
    </row>
    <row r="6059" spans="1:19" x14ac:dyDescent="0.2">
      <c r="A6059" t="s">
        <v>6670</v>
      </c>
      <c r="B6059" t="s">
        <v>90</v>
      </c>
      <c r="C6059" t="s">
        <v>597</v>
      </c>
      <c r="D6059">
        <v>2822.32</v>
      </c>
      <c r="E6059" s="37" t="str">
        <f t="shared" si="470"/>
        <v xml:space="preserve"> </v>
      </c>
      <c r="F6059">
        <v>0.35</v>
      </c>
      <c r="G6059" s="37" t="str">
        <f t="shared" si="471"/>
        <v>Heavy Discount</v>
      </c>
      <c r="H6059" s="37" t="str">
        <f t="shared" si="472"/>
        <v>Medium</v>
      </c>
      <c r="I6059">
        <v>5</v>
      </c>
      <c r="J6059" t="str" cm="1">
        <f t="array" ref="J6059">_xlfn.IFS(I6059&lt;=3,"small",I6059&lt;=6,"Medium",I6059&lt;=9,"Large")</f>
        <v>Medium</v>
      </c>
      <c r="K6059" s="36">
        <v>45241</v>
      </c>
      <c r="L6059" s="36">
        <v>45245</v>
      </c>
      <c r="M6059" t="s">
        <v>612</v>
      </c>
      <c r="N6059" t="s">
        <v>599</v>
      </c>
      <c r="O6059" s="37" t="str">
        <f t="shared" si="473"/>
        <v>Digital Payment</v>
      </c>
      <c r="P6059">
        <v>781.93</v>
      </c>
      <c r="Q6059" s="37" t="str">
        <f>IF(P6059&gt;500,"High","low")</f>
        <v>High</v>
      </c>
      <c r="R6059" s="37" t="str">
        <f t="shared" si="474"/>
        <v>Good</v>
      </c>
      <c r="S6059" t="s">
        <v>620</v>
      </c>
    </row>
    <row r="6060" spans="1:19" x14ac:dyDescent="0.2">
      <c r="A6060" t="s">
        <v>6671</v>
      </c>
      <c r="B6060" t="s">
        <v>90</v>
      </c>
      <c r="C6060" t="s">
        <v>607</v>
      </c>
      <c r="D6060">
        <v>922.65</v>
      </c>
      <c r="E6060" s="37" t="str">
        <f t="shared" si="470"/>
        <v xml:space="preserve"> </v>
      </c>
      <c r="F6060">
        <v>0.38</v>
      </c>
      <c r="G6060" s="37" t="str">
        <f t="shared" si="471"/>
        <v>Heavy Discount</v>
      </c>
      <c r="H6060" s="37" t="str">
        <f t="shared" si="472"/>
        <v>Medium</v>
      </c>
      <c r="I6060">
        <v>7</v>
      </c>
      <c r="J6060" t="str" cm="1">
        <f t="array" ref="J6060">_xlfn.IFS(I6060&lt;=3,"small",I6060&lt;=6,"Medium",I6060&lt;=9,"Large")</f>
        <v>Large</v>
      </c>
      <c r="K6060" s="36">
        <v>45541</v>
      </c>
      <c r="L6060" s="36">
        <v>45547</v>
      </c>
      <c r="M6060" t="s">
        <v>603</v>
      </c>
      <c r="N6060" t="s">
        <v>608</v>
      </c>
      <c r="O6060" s="37" t="str">
        <f t="shared" si="473"/>
        <v>Cash Payment</v>
      </c>
      <c r="P6060">
        <v>216.03</v>
      </c>
      <c r="Q6060" s="37" t="str">
        <f>IF(P6060&gt;500,"High","low")</f>
        <v>low</v>
      </c>
      <c r="R6060" s="37" t="str">
        <f t="shared" si="474"/>
        <v>AVERAGE</v>
      </c>
      <c r="S6060" t="s">
        <v>605</v>
      </c>
    </row>
    <row r="6061" spans="1:19" x14ac:dyDescent="0.2">
      <c r="A6061" t="s">
        <v>6672</v>
      </c>
      <c r="B6061" t="s">
        <v>90</v>
      </c>
      <c r="C6061" t="s">
        <v>607</v>
      </c>
      <c r="D6061">
        <v>2193.39</v>
      </c>
      <c r="E6061" s="37" t="str">
        <f t="shared" si="470"/>
        <v xml:space="preserve"> </v>
      </c>
      <c r="F6061">
        <v>0.45</v>
      </c>
      <c r="G6061" s="37" t="str">
        <f t="shared" si="471"/>
        <v>Heavy Discount</v>
      </c>
      <c r="H6061" s="37" t="str">
        <f t="shared" si="472"/>
        <v>High</v>
      </c>
      <c r="I6061">
        <v>6</v>
      </c>
      <c r="J6061" t="str" cm="1">
        <f t="array" ref="J6061">_xlfn.IFS(I6061&lt;=3,"small",I6061&lt;=6,"Medium",I6061&lt;=9,"Large")</f>
        <v>Medium</v>
      </c>
      <c r="K6061" s="36">
        <v>45355</v>
      </c>
      <c r="L6061" s="36">
        <v>45359</v>
      </c>
      <c r="M6061" t="s">
        <v>612</v>
      </c>
      <c r="N6061" t="s">
        <v>604</v>
      </c>
      <c r="O6061" s="37" t="str">
        <f t="shared" si="473"/>
        <v>Digital Payment</v>
      </c>
      <c r="P6061">
        <v>366.53</v>
      </c>
      <c r="Q6061" s="37" t="str">
        <f>IF(P6061&gt;500,"High","low")</f>
        <v>low</v>
      </c>
      <c r="R6061" s="37" t="str">
        <f t="shared" si="474"/>
        <v>AVERAGE</v>
      </c>
      <c r="S6061" t="s">
        <v>620</v>
      </c>
    </row>
    <row r="6062" spans="1:19" x14ac:dyDescent="0.2">
      <c r="A6062" t="s">
        <v>6673</v>
      </c>
      <c r="B6062" t="s">
        <v>83</v>
      </c>
      <c r="C6062" t="s">
        <v>602</v>
      </c>
      <c r="D6062">
        <v>3264.16</v>
      </c>
      <c r="E6062" s="37" t="str">
        <f t="shared" si="470"/>
        <v xml:space="preserve"> </v>
      </c>
      <c r="F6062">
        <v>0.33</v>
      </c>
      <c r="G6062" s="37" t="str">
        <f t="shared" si="471"/>
        <v>Heavy Discount</v>
      </c>
      <c r="H6062" s="37" t="str">
        <f t="shared" si="472"/>
        <v>Medium</v>
      </c>
      <c r="I6062">
        <v>1</v>
      </c>
      <c r="J6062" t="str" cm="1">
        <f t="array" ref="J6062">_xlfn.IFS(I6062&lt;=3,"small",I6062&lt;=6,"Medium",I6062&lt;=9,"Large")</f>
        <v>small</v>
      </c>
      <c r="K6062" s="36">
        <v>45292</v>
      </c>
      <c r="L6062" s="36">
        <v>45295</v>
      </c>
      <c r="M6062" t="s">
        <v>598</v>
      </c>
      <c r="N6062" t="s">
        <v>608</v>
      </c>
      <c r="O6062" s="37" t="str">
        <f t="shared" si="473"/>
        <v>Cash Payment</v>
      </c>
      <c r="P6062">
        <v>464.44</v>
      </c>
      <c r="Q6062" s="37" t="str">
        <f>IF(P6062&gt;500,"High","low")</f>
        <v>low</v>
      </c>
      <c r="R6062" s="37" t="str">
        <f t="shared" si="474"/>
        <v>AVERAGE</v>
      </c>
      <c r="S6062" t="s">
        <v>620</v>
      </c>
    </row>
    <row r="6063" spans="1:19" x14ac:dyDescent="0.2">
      <c r="A6063" t="s">
        <v>6674</v>
      </c>
      <c r="B6063" t="s">
        <v>90</v>
      </c>
      <c r="C6063" t="s">
        <v>617</v>
      </c>
      <c r="D6063">
        <v>1491.65</v>
      </c>
      <c r="E6063" s="37" t="str">
        <f t="shared" si="470"/>
        <v xml:space="preserve"> </v>
      </c>
      <c r="F6063">
        <v>0.25</v>
      </c>
      <c r="G6063" s="37" t="str">
        <f t="shared" si="471"/>
        <v>Normal Discount</v>
      </c>
      <c r="H6063" s="37" t="str">
        <f t="shared" si="472"/>
        <v>Medium</v>
      </c>
      <c r="I6063">
        <v>3</v>
      </c>
      <c r="J6063" t="str" cm="1">
        <f t="array" ref="J6063">_xlfn.IFS(I6063&lt;=3,"small",I6063&lt;=6,"Medium",I6063&lt;=9,"Large")</f>
        <v>small</v>
      </c>
      <c r="K6063" s="36">
        <v>44988</v>
      </c>
      <c r="L6063" s="36">
        <v>44989</v>
      </c>
      <c r="M6063" t="s">
        <v>603</v>
      </c>
      <c r="N6063" t="s">
        <v>604</v>
      </c>
      <c r="O6063" s="37" t="str">
        <f t="shared" si="473"/>
        <v>Digital Payment</v>
      </c>
      <c r="P6063">
        <v>400.18</v>
      </c>
      <c r="Q6063" s="37" t="str">
        <f>IF(P6063&gt;500,"High","low")</f>
        <v>low</v>
      </c>
      <c r="R6063" s="37" t="str">
        <f t="shared" si="474"/>
        <v>AVERAGE</v>
      </c>
      <c r="S6063" t="s">
        <v>605</v>
      </c>
    </row>
    <row r="6064" spans="1:19" x14ac:dyDescent="0.2">
      <c r="A6064" t="s">
        <v>6675</v>
      </c>
      <c r="B6064" t="s">
        <v>90</v>
      </c>
      <c r="C6064" t="s">
        <v>614</v>
      </c>
      <c r="D6064">
        <v>1724.88</v>
      </c>
      <c r="E6064" s="37" t="str">
        <f t="shared" si="470"/>
        <v xml:space="preserve"> </v>
      </c>
      <c r="F6064">
        <v>0.43</v>
      </c>
      <c r="G6064" s="37" t="str">
        <f t="shared" si="471"/>
        <v>Heavy Discount</v>
      </c>
      <c r="H6064" s="37" t="str">
        <f t="shared" si="472"/>
        <v>High</v>
      </c>
      <c r="I6064">
        <v>5</v>
      </c>
      <c r="J6064" t="str" cm="1">
        <f t="array" ref="J6064">_xlfn.IFS(I6064&lt;=3,"small",I6064&lt;=6,"Medium",I6064&lt;=9,"Large")</f>
        <v>Medium</v>
      </c>
      <c r="K6064" s="36">
        <v>45051</v>
      </c>
      <c r="L6064" s="36">
        <v>45057</v>
      </c>
      <c r="M6064" t="s">
        <v>598</v>
      </c>
      <c r="N6064" t="s">
        <v>599</v>
      </c>
      <c r="O6064" s="37" t="str">
        <f t="shared" si="473"/>
        <v>Digital Payment</v>
      </c>
      <c r="P6064">
        <v>223.76</v>
      </c>
      <c r="Q6064" s="37" t="str">
        <f>IF(P6064&gt;500,"High","low")</f>
        <v>low</v>
      </c>
      <c r="R6064" s="37" t="str">
        <f t="shared" si="474"/>
        <v>AVERAGE</v>
      </c>
      <c r="S6064" t="s">
        <v>600</v>
      </c>
    </row>
    <row r="6065" spans="1:19" x14ac:dyDescent="0.2">
      <c r="A6065" t="s">
        <v>6676</v>
      </c>
      <c r="B6065" t="s">
        <v>67</v>
      </c>
      <c r="C6065" t="s">
        <v>614</v>
      </c>
      <c r="D6065">
        <v>697.94</v>
      </c>
      <c r="E6065" s="37" t="str">
        <f t="shared" si="470"/>
        <v xml:space="preserve"> </v>
      </c>
      <c r="F6065">
        <v>0.45</v>
      </c>
      <c r="G6065" s="37" t="str">
        <f t="shared" si="471"/>
        <v>Heavy Discount</v>
      </c>
      <c r="H6065" s="37" t="str">
        <f t="shared" si="472"/>
        <v>High</v>
      </c>
      <c r="I6065">
        <v>3</v>
      </c>
      <c r="J6065" t="str" cm="1">
        <f t="array" ref="J6065">_xlfn.IFS(I6065&lt;=3,"small",I6065&lt;=6,"Medium",I6065&lt;=9,"Large")</f>
        <v>small</v>
      </c>
      <c r="K6065" s="36">
        <v>45296</v>
      </c>
      <c r="L6065" s="36">
        <v>45298</v>
      </c>
      <c r="M6065" t="s">
        <v>603</v>
      </c>
      <c r="N6065" t="s">
        <v>604</v>
      </c>
      <c r="O6065" s="37" t="str">
        <f t="shared" si="473"/>
        <v>Digital Payment</v>
      </c>
      <c r="P6065">
        <v>91.98</v>
      </c>
      <c r="Q6065" s="37" t="str">
        <f>IF(P6065&gt;500,"High","low")</f>
        <v>low</v>
      </c>
      <c r="R6065" s="37" t="str">
        <f t="shared" si="474"/>
        <v>AVERAGE</v>
      </c>
      <c r="S6065" t="s">
        <v>620</v>
      </c>
    </row>
    <row r="6066" spans="1:19" x14ac:dyDescent="0.2">
      <c r="A6066" t="s">
        <v>6677</v>
      </c>
      <c r="B6066" t="s">
        <v>83</v>
      </c>
      <c r="C6066" t="s">
        <v>597</v>
      </c>
      <c r="D6066">
        <v>2124.88</v>
      </c>
      <c r="E6066" s="37" t="str">
        <f t="shared" si="470"/>
        <v xml:space="preserve"> </v>
      </c>
      <c r="F6066">
        <v>0.39</v>
      </c>
      <c r="G6066" s="37" t="str">
        <f t="shared" si="471"/>
        <v>Heavy Discount</v>
      </c>
      <c r="H6066" s="37" t="str">
        <f t="shared" si="472"/>
        <v>Medium</v>
      </c>
      <c r="I6066">
        <v>3</v>
      </c>
      <c r="J6066" t="str" cm="1">
        <f t="array" ref="J6066">_xlfn.IFS(I6066&lt;=3,"small",I6066&lt;=6,"Medium",I6066&lt;=9,"Large")</f>
        <v>small</v>
      </c>
      <c r="K6066" s="36">
        <v>45579</v>
      </c>
      <c r="L6066" s="36">
        <v>45586</v>
      </c>
      <c r="M6066" t="s">
        <v>598</v>
      </c>
      <c r="N6066" t="s">
        <v>599</v>
      </c>
      <c r="O6066" s="37" t="str">
        <f t="shared" si="473"/>
        <v>Digital Payment</v>
      </c>
      <c r="P6066">
        <v>508.33</v>
      </c>
      <c r="Q6066" s="37" t="str">
        <f>IF(P6066&gt;500,"High","low")</f>
        <v>High</v>
      </c>
      <c r="R6066" s="37" t="str">
        <f t="shared" si="474"/>
        <v>Good</v>
      </c>
      <c r="S6066" t="s">
        <v>615</v>
      </c>
    </row>
    <row r="6067" spans="1:19" x14ac:dyDescent="0.2">
      <c r="A6067" t="s">
        <v>6678</v>
      </c>
      <c r="B6067" t="s">
        <v>75</v>
      </c>
      <c r="C6067" t="s">
        <v>614</v>
      </c>
      <c r="D6067">
        <v>2960.9</v>
      </c>
      <c r="E6067" s="37" t="str">
        <f t="shared" si="470"/>
        <v xml:space="preserve"> </v>
      </c>
      <c r="F6067">
        <v>0.47</v>
      </c>
      <c r="G6067" s="37" t="str">
        <f t="shared" si="471"/>
        <v>Heavy Discount</v>
      </c>
      <c r="H6067" s="37" t="str">
        <f t="shared" si="472"/>
        <v>High</v>
      </c>
      <c r="I6067">
        <v>5</v>
      </c>
      <c r="J6067" t="str" cm="1">
        <f t="array" ref="J6067">_xlfn.IFS(I6067&lt;=3,"small",I6067&lt;=6,"Medium",I6067&lt;=9,"Large")</f>
        <v>Medium</v>
      </c>
      <c r="K6067" s="36">
        <v>45194</v>
      </c>
      <c r="L6067" s="36">
        <v>45200</v>
      </c>
      <c r="M6067" t="s">
        <v>612</v>
      </c>
      <c r="N6067" t="s">
        <v>599</v>
      </c>
      <c r="O6067" s="37" t="str">
        <f t="shared" si="473"/>
        <v>Digital Payment</v>
      </c>
      <c r="P6067">
        <v>581.67999999999995</v>
      </c>
      <c r="Q6067" s="37" t="str">
        <f>IF(P6067&gt;500,"High","low")</f>
        <v>High</v>
      </c>
      <c r="R6067" s="37" t="str">
        <f t="shared" si="474"/>
        <v>Good</v>
      </c>
      <c r="S6067" t="s">
        <v>600</v>
      </c>
    </row>
    <row r="6068" spans="1:19" x14ac:dyDescent="0.2">
      <c r="A6068" t="s">
        <v>6679</v>
      </c>
      <c r="B6068" t="s">
        <v>67</v>
      </c>
      <c r="C6068" t="s">
        <v>597</v>
      </c>
      <c r="D6068">
        <v>670.98</v>
      </c>
      <c r="E6068" s="37" t="str">
        <f t="shared" si="470"/>
        <v xml:space="preserve"> </v>
      </c>
      <c r="F6068">
        <v>0.49</v>
      </c>
      <c r="G6068" s="37" t="str">
        <f t="shared" si="471"/>
        <v>Heavy Discount</v>
      </c>
      <c r="H6068" s="37" t="str">
        <f t="shared" si="472"/>
        <v>High</v>
      </c>
      <c r="I6068">
        <v>8</v>
      </c>
      <c r="J6068" t="str" cm="1">
        <f t="array" ref="J6068">_xlfn.IFS(I6068&lt;=3,"small",I6068&lt;=6,"Medium",I6068&lt;=9,"Large")</f>
        <v>Large</v>
      </c>
      <c r="K6068" s="36">
        <v>45440</v>
      </c>
      <c r="L6068" s="36">
        <v>45442</v>
      </c>
      <c r="M6068" t="s">
        <v>603</v>
      </c>
      <c r="N6068" t="s">
        <v>599</v>
      </c>
      <c r="O6068" s="37" t="str">
        <f t="shared" si="473"/>
        <v>Digital Payment</v>
      </c>
      <c r="P6068">
        <v>105.34</v>
      </c>
      <c r="Q6068" s="37" t="str">
        <f>IF(P6068&gt;500,"High","low")</f>
        <v>low</v>
      </c>
      <c r="R6068" s="37" t="str">
        <f t="shared" si="474"/>
        <v>AVERAGE</v>
      </c>
      <c r="S6068" t="s">
        <v>620</v>
      </c>
    </row>
    <row r="6069" spans="1:19" x14ac:dyDescent="0.2">
      <c r="A6069" t="s">
        <v>6680</v>
      </c>
      <c r="B6069" t="s">
        <v>67</v>
      </c>
      <c r="C6069" t="s">
        <v>617</v>
      </c>
      <c r="D6069">
        <v>3112.44</v>
      </c>
      <c r="E6069" s="37" t="str">
        <f t="shared" si="470"/>
        <v xml:space="preserve"> </v>
      </c>
      <c r="F6069">
        <v>0.13</v>
      </c>
      <c r="G6069" s="37" t="str">
        <f t="shared" si="471"/>
        <v>Normal Discount</v>
      </c>
      <c r="H6069" s="37" t="str">
        <f t="shared" si="472"/>
        <v>Low</v>
      </c>
      <c r="I6069">
        <v>8</v>
      </c>
      <c r="J6069" t="str" cm="1">
        <f t="array" ref="J6069">_xlfn.IFS(I6069&lt;=3,"small",I6069&lt;=6,"Medium",I6069&lt;=9,"Large")</f>
        <v>Large</v>
      </c>
      <c r="K6069" s="36">
        <v>44968</v>
      </c>
      <c r="L6069" s="36">
        <v>44971</v>
      </c>
      <c r="M6069" t="s">
        <v>603</v>
      </c>
      <c r="N6069" t="s">
        <v>608</v>
      </c>
      <c r="O6069" s="37" t="str">
        <f t="shared" si="473"/>
        <v>Cash Payment</v>
      </c>
      <c r="P6069">
        <v>506.21</v>
      </c>
      <c r="Q6069" s="37" t="str">
        <f>IF(P6069&gt;500,"High","low")</f>
        <v>High</v>
      </c>
      <c r="R6069" s="37" t="str">
        <f t="shared" si="474"/>
        <v>Good</v>
      </c>
      <c r="S6069" t="s">
        <v>609</v>
      </c>
    </row>
    <row r="6070" spans="1:19" x14ac:dyDescent="0.2">
      <c r="A6070" t="s">
        <v>6681</v>
      </c>
      <c r="B6070" t="s">
        <v>75</v>
      </c>
      <c r="C6070" t="s">
        <v>614</v>
      </c>
      <c r="D6070">
        <v>2049.19</v>
      </c>
      <c r="E6070" s="37" t="str">
        <f t="shared" si="470"/>
        <v xml:space="preserve"> </v>
      </c>
      <c r="F6070">
        <v>0.09</v>
      </c>
      <c r="G6070" s="37" t="str">
        <f t="shared" si="471"/>
        <v>Normal Discount</v>
      </c>
      <c r="H6070" s="37" t="str">
        <f t="shared" si="472"/>
        <v>Low</v>
      </c>
      <c r="I6070">
        <v>8</v>
      </c>
      <c r="J6070" t="str" cm="1">
        <f t="array" ref="J6070">_xlfn.IFS(I6070&lt;=3,"small",I6070&lt;=6,"Medium",I6070&lt;=9,"Large")</f>
        <v>Large</v>
      </c>
      <c r="K6070" s="36">
        <v>45108</v>
      </c>
      <c r="L6070" s="36">
        <v>45114</v>
      </c>
      <c r="M6070" t="s">
        <v>612</v>
      </c>
      <c r="N6070" t="s">
        <v>599</v>
      </c>
      <c r="O6070" s="37" t="str">
        <f t="shared" si="473"/>
        <v>Digital Payment</v>
      </c>
      <c r="P6070">
        <v>401.42</v>
      </c>
      <c r="Q6070" s="37" t="str">
        <f>IF(P6070&gt;500,"High","low")</f>
        <v>low</v>
      </c>
      <c r="R6070" s="37" t="str">
        <f t="shared" si="474"/>
        <v>AVERAGE</v>
      </c>
      <c r="S6070" t="s">
        <v>628</v>
      </c>
    </row>
    <row r="6071" spans="1:19" x14ac:dyDescent="0.2">
      <c r="A6071" t="s">
        <v>6682</v>
      </c>
      <c r="B6071" t="s">
        <v>67</v>
      </c>
      <c r="C6071" t="s">
        <v>597</v>
      </c>
      <c r="D6071">
        <v>3423.09</v>
      </c>
      <c r="E6071" s="37" t="str">
        <f t="shared" si="470"/>
        <v xml:space="preserve"> </v>
      </c>
      <c r="F6071">
        <v>0.22</v>
      </c>
      <c r="G6071" s="37" t="str">
        <f t="shared" si="471"/>
        <v>Normal Discount</v>
      </c>
      <c r="H6071" s="37" t="str">
        <f t="shared" si="472"/>
        <v>Medium</v>
      </c>
      <c r="I6071">
        <v>6</v>
      </c>
      <c r="J6071" t="str" cm="1">
        <f t="array" ref="J6071">_xlfn.IFS(I6071&lt;=3,"small",I6071&lt;=6,"Medium",I6071&lt;=9,"Large")</f>
        <v>Medium</v>
      </c>
      <c r="K6071" s="36">
        <v>44937</v>
      </c>
      <c r="L6071" s="36">
        <v>44942</v>
      </c>
      <c r="M6071" t="s">
        <v>598</v>
      </c>
      <c r="N6071" t="s">
        <v>599</v>
      </c>
      <c r="O6071" s="37" t="str">
        <f t="shared" si="473"/>
        <v>Digital Payment</v>
      </c>
      <c r="P6071">
        <v>545.49</v>
      </c>
      <c r="Q6071" s="37" t="str">
        <f>IF(P6071&gt;500,"High","low")</f>
        <v>High</v>
      </c>
      <c r="R6071" s="37" t="str">
        <f t="shared" si="474"/>
        <v>Good</v>
      </c>
      <c r="S6071" t="s">
        <v>620</v>
      </c>
    </row>
    <row r="6072" spans="1:19" x14ac:dyDescent="0.2">
      <c r="A6072" t="s">
        <v>6683</v>
      </c>
      <c r="B6072" t="s">
        <v>83</v>
      </c>
      <c r="C6072" t="s">
        <v>617</v>
      </c>
      <c r="D6072">
        <v>1642.7</v>
      </c>
      <c r="E6072" s="37" t="str">
        <f t="shared" si="470"/>
        <v xml:space="preserve"> </v>
      </c>
      <c r="F6072">
        <v>0.5</v>
      </c>
      <c r="G6072" s="37" t="str">
        <f t="shared" si="471"/>
        <v>Heavy Discount</v>
      </c>
      <c r="H6072" s="37" t="str">
        <f t="shared" si="472"/>
        <v>High</v>
      </c>
      <c r="I6072">
        <v>9</v>
      </c>
      <c r="J6072" t="str" cm="1">
        <f t="array" ref="J6072">_xlfn.IFS(I6072&lt;=3,"small",I6072&lt;=6,"Medium",I6072&lt;=9,"Large")</f>
        <v>Large</v>
      </c>
      <c r="K6072" s="36">
        <v>45166</v>
      </c>
      <c r="L6072" s="36">
        <v>45170</v>
      </c>
      <c r="M6072" t="s">
        <v>603</v>
      </c>
      <c r="N6072" t="s">
        <v>599</v>
      </c>
      <c r="O6072" s="37" t="str">
        <f t="shared" si="473"/>
        <v>Digital Payment</v>
      </c>
      <c r="P6072">
        <v>212.19</v>
      </c>
      <c r="Q6072" s="37" t="str">
        <f>IF(P6072&gt;500,"High","low")</f>
        <v>low</v>
      </c>
      <c r="R6072" s="37" t="str">
        <f t="shared" si="474"/>
        <v>AVERAGE</v>
      </c>
      <c r="S6072" t="s">
        <v>605</v>
      </c>
    </row>
    <row r="6073" spans="1:19" x14ac:dyDescent="0.2">
      <c r="A6073" t="s">
        <v>6684</v>
      </c>
      <c r="B6073" t="s">
        <v>90</v>
      </c>
      <c r="C6073" t="s">
        <v>617</v>
      </c>
      <c r="D6073">
        <v>2885.65</v>
      </c>
      <c r="E6073" s="37" t="str">
        <f t="shared" si="470"/>
        <v xml:space="preserve"> </v>
      </c>
      <c r="F6073">
        <v>0.04</v>
      </c>
      <c r="G6073" s="37" t="str">
        <f t="shared" si="471"/>
        <v>Normal Discount</v>
      </c>
      <c r="H6073" s="37" t="str">
        <f t="shared" si="472"/>
        <v>Low</v>
      </c>
      <c r="I6073">
        <v>5</v>
      </c>
      <c r="J6073" t="str" cm="1">
        <f t="array" ref="J6073">_xlfn.IFS(I6073&lt;=3,"small",I6073&lt;=6,"Medium",I6073&lt;=9,"Large")</f>
        <v>Medium</v>
      </c>
      <c r="K6073" s="36">
        <v>45295</v>
      </c>
      <c r="L6073" s="36">
        <v>45301</v>
      </c>
      <c r="M6073" t="s">
        <v>612</v>
      </c>
      <c r="N6073" t="s">
        <v>608</v>
      </c>
      <c r="O6073" s="37" t="str">
        <f t="shared" si="473"/>
        <v>Cash Payment</v>
      </c>
      <c r="P6073">
        <v>797.94</v>
      </c>
      <c r="Q6073" s="37" t="str">
        <f>IF(P6073&gt;500,"High","low")</f>
        <v>High</v>
      </c>
      <c r="R6073" s="37" t="str">
        <f t="shared" si="474"/>
        <v>Good</v>
      </c>
      <c r="S6073" t="s">
        <v>620</v>
      </c>
    </row>
    <row r="6074" spans="1:19" x14ac:dyDescent="0.2">
      <c r="A6074" t="s">
        <v>6685</v>
      </c>
      <c r="B6074" t="s">
        <v>83</v>
      </c>
      <c r="C6074" t="s">
        <v>597</v>
      </c>
      <c r="D6074">
        <v>3102.73</v>
      </c>
      <c r="E6074" s="37" t="str">
        <f t="shared" si="470"/>
        <v xml:space="preserve"> </v>
      </c>
      <c r="F6074">
        <v>0.36</v>
      </c>
      <c r="G6074" s="37" t="str">
        <f t="shared" si="471"/>
        <v>Heavy Discount</v>
      </c>
      <c r="H6074" s="37" t="str">
        <f t="shared" si="472"/>
        <v>Medium</v>
      </c>
      <c r="I6074">
        <v>7</v>
      </c>
      <c r="J6074" t="str" cm="1">
        <f t="array" ref="J6074">_xlfn.IFS(I6074&lt;=3,"small",I6074&lt;=6,"Medium",I6074&lt;=9,"Large")</f>
        <v>Large</v>
      </c>
      <c r="K6074" s="36">
        <v>45516</v>
      </c>
      <c r="L6074" s="36">
        <v>45521</v>
      </c>
      <c r="M6074" t="s">
        <v>612</v>
      </c>
      <c r="N6074" t="s">
        <v>599</v>
      </c>
      <c r="O6074" s="37" t="str">
        <f t="shared" si="473"/>
        <v>Digital Payment</v>
      </c>
      <c r="P6074">
        <v>547.92999999999995</v>
      </c>
      <c r="Q6074" s="37" t="str">
        <f>IF(P6074&gt;500,"High","low")</f>
        <v>High</v>
      </c>
      <c r="R6074" s="37" t="str">
        <f t="shared" si="474"/>
        <v>Good</v>
      </c>
      <c r="S6074" t="s">
        <v>600</v>
      </c>
    </row>
    <row r="6075" spans="1:19" x14ac:dyDescent="0.2">
      <c r="A6075" t="s">
        <v>6686</v>
      </c>
      <c r="B6075" t="s">
        <v>75</v>
      </c>
      <c r="C6075" t="s">
        <v>597</v>
      </c>
      <c r="D6075">
        <v>3483.49</v>
      </c>
      <c r="E6075" s="37" t="str">
        <f t="shared" si="470"/>
        <v xml:space="preserve"> </v>
      </c>
      <c r="F6075">
        <v>0.43</v>
      </c>
      <c r="G6075" s="37" t="str">
        <f t="shared" si="471"/>
        <v>Heavy Discount</v>
      </c>
      <c r="H6075" s="37" t="str">
        <f t="shared" si="472"/>
        <v>High</v>
      </c>
      <c r="I6075">
        <v>1</v>
      </c>
      <c r="J6075" t="str" cm="1">
        <f t="array" ref="J6075">_xlfn.IFS(I6075&lt;=3,"small",I6075&lt;=6,"Medium",I6075&lt;=9,"Large")</f>
        <v>small</v>
      </c>
      <c r="K6075" s="36">
        <v>45332</v>
      </c>
      <c r="L6075" s="36">
        <v>45334</v>
      </c>
      <c r="M6075" t="s">
        <v>612</v>
      </c>
      <c r="N6075" t="s">
        <v>599</v>
      </c>
      <c r="O6075" s="37" t="str">
        <f t="shared" si="473"/>
        <v>Digital Payment</v>
      </c>
      <c r="P6075">
        <v>347.13</v>
      </c>
      <c r="Q6075" s="37" t="str">
        <f>IF(P6075&gt;500,"High","low")</f>
        <v>low</v>
      </c>
      <c r="R6075" s="37" t="str">
        <f t="shared" si="474"/>
        <v>AVERAGE</v>
      </c>
      <c r="S6075" t="s">
        <v>600</v>
      </c>
    </row>
    <row r="6076" spans="1:19" x14ac:dyDescent="0.2">
      <c r="A6076" t="s">
        <v>6687</v>
      </c>
      <c r="B6076" t="s">
        <v>75</v>
      </c>
      <c r="C6076" t="s">
        <v>602</v>
      </c>
      <c r="D6076">
        <v>3809</v>
      </c>
      <c r="E6076" s="37" t="str">
        <f t="shared" si="470"/>
        <v xml:space="preserve"> </v>
      </c>
      <c r="F6076">
        <v>0.5</v>
      </c>
      <c r="G6076" s="37" t="str">
        <f t="shared" si="471"/>
        <v>Heavy Discount</v>
      </c>
      <c r="H6076" s="37" t="str">
        <f t="shared" si="472"/>
        <v>High</v>
      </c>
      <c r="I6076">
        <v>4</v>
      </c>
      <c r="J6076" t="str" cm="1">
        <f t="array" ref="J6076">_xlfn.IFS(I6076&lt;=3,"small",I6076&lt;=6,"Medium",I6076&lt;=9,"Large")</f>
        <v>Medium</v>
      </c>
      <c r="K6076" s="36">
        <v>45139</v>
      </c>
      <c r="L6076" s="36">
        <v>45142</v>
      </c>
      <c r="M6076" t="s">
        <v>612</v>
      </c>
      <c r="N6076" t="s">
        <v>604</v>
      </c>
      <c r="O6076" s="37" t="str">
        <f t="shared" si="473"/>
        <v>Digital Payment</v>
      </c>
      <c r="P6076">
        <v>347.16</v>
      </c>
      <c r="Q6076" s="37" t="str">
        <f>IF(P6076&gt;500,"High","low")</f>
        <v>low</v>
      </c>
      <c r="R6076" s="37" t="str">
        <f t="shared" si="474"/>
        <v>AVERAGE</v>
      </c>
      <c r="S6076" t="s">
        <v>628</v>
      </c>
    </row>
    <row r="6077" spans="1:19" x14ac:dyDescent="0.2">
      <c r="A6077" t="s">
        <v>6688</v>
      </c>
      <c r="B6077" t="s">
        <v>67</v>
      </c>
      <c r="C6077" t="s">
        <v>617</v>
      </c>
      <c r="D6077">
        <v>768.12</v>
      </c>
      <c r="E6077" s="37" t="str">
        <f t="shared" si="470"/>
        <v xml:space="preserve"> </v>
      </c>
      <c r="F6077">
        <v>0.31</v>
      </c>
      <c r="G6077" s="37" t="str">
        <f t="shared" si="471"/>
        <v>Heavy Discount</v>
      </c>
      <c r="H6077" s="37" t="str">
        <f t="shared" si="472"/>
        <v>Medium</v>
      </c>
      <c r="I6077">
        <v>1</v>
      </c>
      <c r="J6077" t="str" cm="1">
        <f t="array" ref="J6077">_xlfn.IFS(I6077&lt;=3,"small",I6077&lt;=6,"Medium",I6077&lt;=9,"Large")</f>
        <v>small</v>
      </c>
      <c r="K6077" s="36">
        <v>45035</v>
      </c>
      <c r="L6077" s="36">
        <v>45041</v>
      </c>
      <c r="M6077" t="s">
        <v>598</v>
      </c>
      <c r="N6077" t="s">
        <v>599</v>
      </c>
      <c r="O6077" s="37" t="str">
        <f t="shared" si="473"/>
        <v>Digital Payment</v>
      </c>
      <c r="P6077">
        <v>93.64</v>
      </c>
      <c r="Q6077" s="37" t="str">
        <f>IF(P6077&gt;500,"High","low")</f>
        <v>low</v>
      </c>
      <c r="R6077" s="37" t="str">
        <f t="shared" si="474"/>
        <v>AVERAGE</v>
      </c>
      <c r="S6077" t="s">
        <v>615</v>
      </c>
    </row>
    <row r="6078" spans="1:19" x14ac:dyDescent="0.2">
      <c r="A6078" t="s">
        <v>6689</v>
      </c>
      <c r="B6078" t="s">
        <v>83</v>
      </c>
      <c r="C6078" t="s">
        <v>597</v>
      </c>
      <c r="D6078">
        <v>4829.6899999999996</v>
      </c>
      <c r="E6078" s="37" t="str">
        <f t="shared" si="470"/>
        <v>Excellent Order</v>
      </c>
      <c r="F6078">
        <v>0.19</v>
      </c>
      <c r="G6078" s="37" t="str">
        <f t="shared" si="471"/>
        <v>Normal Discount</v>
      </c>
      <c r="H6078" s="37" t="str">
        <f t="shared" si="472"/>
        <v>Low</v>
      </c>
      <c r="I6078">
        <v>2</v>
      </c>
      <c r="J6078" t="str" cm="1">
        <f t="array" ref="J6078">_xlfn.IFS(I6078&lt;=3,"small",I6078&lt;=6,"Medium",I6078&lt;=9,"Large")</f>
        <v>small</v>
      </c>
      <c r="K6078" s="36">
        <v>45103</v>
      </c>
      <c r="L6078" s="36">
        <v>45108</v>
      </c>
      <c r="M6078" t="s">
        <v>603</v>
      </c>
      <c r="N6078" t="s">
        <v>608</v>
      </c>
      <c r="O6078" s="37" t="str">
        <f t="shared" si="473"/>
        <v>Cash Payment</v>
      </c>
      <c r="P6078">
        <v>1432.64</v>
      </c>
      <c r="Q6078" s="37" t="str">
        <f>IF(P6078&gt;500,"High","low")</f>
        <v>High</v>
      </c>
      <c r="R6078" s="37" t="str">
        <f t="shared" si="474"/>
        <v>Excellent</v>
      </c>
      <c r="S6078" t="s">
        <v>615</v>
      </c>
    </row>
    <row r="6079" spans="1:19" x14ac:dyDescent="0.2">
      <c r="A6079" t="s">
        <v>6690</v>
      </c>
      <c r="B6079" t="s">
        <v>83</v>
      </c>
      <c r="C6079" t="s">
        <v>617</v>
      </c>
      <c r="D6079">
        <v>4233.8599999999997</v>
      </c>
      <c r="E6079" s="37" t="str">
        <f t="shared" si="470"/>
        <v>Excellent Order</v>
      </c>
      <c r="F6079">
        <v>0.08</v>
      </c>
      <c r="G6079" s="37" t="str">
        <f t="shared" si="471"/>
        <v>Normal Discount</v>
      </c>
      <c r="H6079" s="37" t="str">
        <f t="shared" si="472"/>
        <v>Low</v>
      </c>
      <c r="I6079">
        <v>6</v>
      </c>
      <c r="J6079" t="str" cm="1">
        <f t="array" ref="J6079">_xlfn.IFS(I6079&lt;=3,"small",I6079&lt;=6,"Medium",I6079&lt;=9,"Large")</f>
        <v>Medium</v>
      </c>
      <c r="K6079" s="36">
        <v>44963</v>
      </c>
      <c r="L6079" s="36">
        <v>44965</v>
      </c>
      <c r="M6079" t="s">
        <v>603</v>
      </c>
      <c r="N6079" t="s">
        <v>604</v>
      </c>
      <c r="O6079" s="37" t="str">
        <f t="shared" si="473"/>
        <v>Digital Payment</v>
      </c>
      <c r="P6079">
        <v>1190.43</v>
      </c>
      <c r="Q6079" s="37" t="str">
        <f>IF(P6079&gt;500,"High","low")</f>
        <v>High</v>
      </c>
      <c r="R6079" s="37" t="str">
        <f t="shared" si="474"/>
        <v>Excellent</v>
      </c>
      <c r="S6079" t="s">
        <v>615</v>
      </c>
    </row>
    <row r="6080" spans="1:19" x14ac:dyDescent="0.2">
      <c r="A6080" t="s">
        <v>6691</v>
      </c>
      <c r="B6080" t="s">
        <v>75</v>
      </c>
      <c r="C6080" t="s">
        <v>614</v>
      </c>
      <c r="D6080">
        <v>2855.36</v>
      </c>
      <c r="E6080" s="37" t="str">
        <f t="shared" si="470"/>
        <v xml:space="preserve"> </v>
      </c>
      <c r="F6080">
        <v>0.49</v>
      </c>
      <c r="G6080" s="37" t="str">
        <f t="shared" si="471"/>
        <v>Heavy Discount</v>
      </c>
      <c r="H6080" s="37" t="str">
        <f t="shared" si="472"/>
        <v>High</v>
      </c>
      <c r="I6080">
        <v>1</v>
      </c>
      <c r="J6080" t="str" cm="1">
        <f t="array" ref="J6080">_xlfn.IFS(I6080&lt;=3,"small",I6080&lt;=6,"Medium",I6080&lt;=9,"Large")</f>
        <v>small</v>
      </c>
      <c r="K6080" s="36">
        <v>45615</v>
      </c>
      <c r="L6080" s="36">
        <v>45618</v>
      </c>
      <c r="M6080" t="s">
        <v>612</v>
      </c>
      <c r="N6080" t="s">
        <v>608</v>
      </c>
      <c r="O6080" s="37" t="str">
        <f t="shared" si="473"/>
        <v>Cash Payment</v>
      </c>
      <c r="P6080">
        <v>208.51</v>
      </c>
      <c r="Q6080" s="37" t="str">
        <f>IF(P6080&gt;500,"High","low")</f>
        <v>low</v>
      </c>
      <c r="R6080" s="37" t="str">
        <f t="shared" si="474"/>
        <v>AVERAGE</v>
      </c>
      <c r="S6080" t="s">
        <v>620</v>
      </c>
    </row>
    <row r="6081" spans="1:19" x14ac:dyDescent="0.2">
      <c r="A6081" t="s">
        <v>6692</v>
      </c>
      <c r="B6081" t="s">
        <v>83</v>
      </c>
      <c r="C6081" t="s">
        <v>607</v>
      </c>
      <c r="D6081">
        <v>4462.76</v>
      </c>
      <c r="E6081" s="37" t="str">
        <f t="shared" si="470"/>
        <v xml:space="preserve"> </v>
      </c>
      <c r="F6081">
        <v>0.46</v>
      </c>
      <c r="G6081" s="37" t="str">
        <f t="shared" si="471"/>
        <v>Heavy Discount</v>
      </c>
      <c r="H6081" s="37" t="str">
        <f t="shared" si="472"/>
        <v>High</v>
      </c>
      <c r="I6081">
        <v>9</v>
      </c>
      <c r="J6081" t="str" cm="1">
        <f t="array" ref="J6081">_xlfn.IFS(I6081&lt;=3,"small",I6081&lt;=6,"Medium",I6081&lt;=9,"Large")</f>
        <v>Large</v>
      </c>
      <c r="K6081" s="36">
        <v>45496</v>
      </c>
      <c r="L6081" s="36">
        <v>45502</v>
      </c>
      <c r="M6081" t="s">
        <v>612</v>
      </c>
      <c r="N6081" t="s">
        <v>604</v>
      </c>
      <c r="O6081" s="37" t="str">
        <f t="shared" si="473"/>
        <v>Digital Payment</v>
      </c>
      <c r="P6081">
        <v>317.17</v>
      </c>
      <c r="Q6081" s="37" t="str">
        <f>IF(P6081&gt;500,"High","low")</f>
        <v>low</v>
      </c>
      <c r="R6081" s="37" t="str">
        <f t="shared" si="474"/>
        <v>AVERAGE</v>
      </c>
      <c r="S6081" t="s">
        <v>605</v>
      </c>
    </row>
    <row r="6082" spans="1:19" x14ac:dyDescent="0.2">
      <c r="A6082" t="s">
        <v>6693</v>
      </c>
      <c r="B6082" t="s">
        <v>75</v>
      </c>
      <c r="C6082" t="s">
        <v>607</v>
      </c>
      <c r="D6082">
        <v>1973.92</v>
      </c>
      <c r="E6082" s="37" t="str">
        <f t="shared" si="470"/>
        <v xml:space="preserve"> </v>
      </c>
      <c r="F6082">
        <v>0.4</v>
      </c>
      <c r="G6082" s="37" t="str">
        <f t="shared" si="471"/>
        <v>Heavy Discount</v>
      </c>
      <c r="H6082" s="37" t="str">
        <f t="shared" si="472"/>
        <v>Medium</v>
      </c>
      <c r="I6082">
        <v>6</v>
      </c>
      <c r="J6082" t="str" cm="1">
        <f t="array" ref="J6082">_xlfn.IFS(I6082&lt;=3,"small",I6082&lt;=6,"Medium",I6082&lt;=9,"Large")</f>
        <v>Medium</v>
      </c>
      <c r="K6082" s="36">
        <v>45185</v>
      </c>
      <c r="L6082" s="36">
        <v>45189</v>
      </c>
      <c r="M6082" t="s">
        <v>612</v>
      </c>
      <c r="N6082" t="s">
        <v>599</v>
      </c>
      <c r="O6082" s="37" t="str">
        <f t="shared" si="473"/>
        <v>Digital Payment</v>
      </c>
      <c r="P6082">
        <v>287.12</v>
      </c>
      <c r="Q6082" s="37" t="str">
        <f>IF(P6082&gt;500,"High","low")</f>
        <v>low</v>
      </c>
      <c r="R6082" s="37" t="str">
        <f t="shared" si="474"/>
        <v>AVERAGE</v>
      </c>
      <c r="S6082" t="s">
        <v>600</v>
      </c>
    </row>
    <row r="6083" spans="1:19" x14ac:dyDescent="0.2">
      <c r="A6083" t="s">
        <v>6694</v>
      </c>
      <c r="B6083" t="s">
        <v>83</v>
      </c>
      <c r="C6083" t="s">
        <v>597</v>
      </c>
      <c r="D6083">
        <v>268</v>
      </c>
      <c r="E6083" s="37" t="str">
        <f t="shared" ref="E6083:E6146" si="475">IF(AND(D6083&gt;4000,P6083&gt;800),"Excellent Order"," ")</f>
        <v xml:space="preserve"> </v>
      </c>
      <c r="F6083">
        <v>0.47</v>
      </c>
      <c r="G6083" s="37" t="str">
        <f t="shared" ref="G6083:G6146" si="476">IF(F6083&gt;30%,"Heavy Discount","Normal Discount")</f>
        <v>Heavy Discount</v>
      </c>
      <c r="H6083" s="37" t="str">
        <f t="shared" ref="H6083:H6146" si="477">IF(F6083&gt;0.4,"High",IF(F6083&gt;=0.2,"Medium","Low"))</f>
        <v>High</v>
      </c>
      <c r="I6083">
        <v>8</v>
      </c>
      <c r="J6083" t="str" cm="1">
        <f t="array" ref="J6083">_xlfn.IFS(I6083&lt;=3,"small",I6083&lt;=6,"Medium",I6083&lt;=9,"Large")</f>
        <v>Large</v>
      </c>
      <c r="K6083" s="36">
        <v>45087</v>
      </c>
      <c r="L6083" s="36">
        <v>45093</v>
      </c>
      <c r="M6083" t="s">
        <v>603</v>
      </c>
      <c r="N6083" t="s">
        <v>599</v>
      </c>
      <c r="O6083" s="37" t="str">
        <f t="shared" ref="O6083:O6146" si="478">IF(OR(N6083="Card",N6083="UPI"),"Digital Payment","Cash Payment")</f>
        <v>Digital Payment</v>
      </c>
      <c r="P6083">
        <v>47.79</v>
      </c>
      <c r="Q6083" s="37" t="str">
        <f>IF(P6083&gt;500,"High","low")</f>
        <v>low</v>
      </c>
      <c r="R6083" s="37" t="str">
        <f t="shared" ref="R6083:R6146" si="479">IF(P6083&gt;1000,"Excellent",IF(P6083&gt;=500,"Good","AVERAGE"))</f>
        <v>AVERAGE</v>
      </c>
      <c r="S6083" t="s">
        <v>620</v>
      </c>
    </row>
    <row r="6084" spans="1:19" x14ac:dyDescent="0.2">
      <c r="A6084" t="s">
        <v>6695</v>
      </c>
      <c r="B6084" t="s">
        <v>83</v>
      </c>
      <c r="C6084" t="s">
        <v>597</v>
      </c>
      <c r="D6084">
        <v>3662.45</v>
      </c>
      <c r="E6084" s="37" t="str">
        <f t="shared" si="475"/>
        <v xml:space="preserve"> </v>
      </c>
      <c r="F6084">
        <v>0.03</v>
      </c>
      <c r="G6084" s="37" t="str">
        <f t="shared" si="476"/>
        <v>Normal Discount</v>
      </c>
      <c r="H6084" s="37" t="str">
        <f t="shared" si="477"/>
        <v>Low</v>
      </c>
      <c r="I6084">
        <v>8</v>
      </c>
      <c r="J6084" t="str" cm="1">
        <f t="array" ref="J6084">_xlfn.IFS(I6084&lt;=3,"small",I6084&lt;=6,"Medium",I6084&lt;=9,"Large")</f>
        <v>Large</v>
      </c>
      <c r="K6084" s="36">
        <v>45001</v>
      </c>
      <c r="L6084" s="36">
        <v>45002</v>
      </c>
      <c r="M6084" t="s">
        <v>603</v>
      </c>
      <c r="N6084" t="s">
        <v>599</v>
      </c>
      <c r="O6084" s="37" t="str">
        <f t="shared" si="478"/>
        <v>Digital Payment</v>
      </c>
      <c r="P6084">
        <v>461.09</v>
      </c>
      <c r="Q6084" s="37" t="str">
        <f>IF(P6084&gt;500,"High","low")</f>
        <v>low</v>
      </c>
      <c r="R6084" s="37" t="str">
        <f t="shared" si="479"/>
        <v>AVERAGE</v>
      </c>
      <c r="S6084" t="s">
        <v>600</v>
      </c>
    </row>
    <row r="6085" spans="1:19" x14ac:dyDescent="0.2">
      <c r="A6085" t="s">
        <v>6696</v>
      </c>
      <c r="B6085" t="s">
        <v>83</v>
      </c>
      <c r="C6085" t="s">
        <v>617</v>
      </c>
      <c r="D6085">
        <v>4722.3900000000003</v>
      </c>
      <c r="E6085" s="37" t="str">
        <f t="shared" si="475"/>
        <v>Excellent Order</v>
      </c>
      <c r="F6085">
        <v>0.32</v>
      </c>
      <c r="G6085" s="37" t="str">
        <f t="shared" si="476"/>
        <v>Heavy Discount</v>
      </c>
      <c r="H6085" s="37" t="str">
        <f t="shared" si="477"/>
        <v>Medium</v>
      </c>
      <c r="I6085">
        <v>2</v>
      </c>
      <c r="J6085" t="str" cm="1">
        <f t="array" ref="J6085">_xlfn.IFS(I6085&lt;=3,"small",I6085&lt;=6,"Medium",I6085&lt;=9,"Large")</f>
        <v>small</v>
      </c>
      <c r="K6085" s="36">
        <v>45125</v>
      </c>
      <c r="L6085" s="36">
        <v>45127</v>
      </c>
      <c r="M6085" t="s">
        <v>603</v>
      </c>
      <c r="N6085" t="s">
        <v>599</v>
      </c>
      <c r="O6085" s="37" t="str">
        <f t="shared" si="478"/>
        <v>Digital Payment</v>
      </c>
      <c r="P6085">
        <v>1010.72</v>
      </c>
      <c r="Q6085" s="37" t="str">
        <f>IF(P6085&gt;500,"High","low")</f>
        <v>High</v>
      </c>
      <c r="R6085" s="37" t="str">
        <f t="shared" si="479"/>
        <v>Excellent</v>
      </c>
      <c r="S6085" t="s">
        <v>628</v>
      </c>
    </row>
    <row r="6086" spans="1:19" x14ac:dyDescent="0.2">
      <c r="A6086" t="s">
        <v>6697</v>
      </c>
      <c r="B6086" t="s">
        <v>75</v>
      </c>
      <c r="C6086" t="s">
        <v>597</v>
      </c>
      <c r="D6086">
        <v>893.09</v>
      </c>
      <c r="E6086" s="37" t="str">
        <f t="shared" si="475"/>
        <v xml:space="preserve"> </v>
      </c>
      <c r="F6086">
        <v>0.14000000000000001</v>
      </c>
      <c r="G6086" s="37" t="str">
        <f t="shared" si="476"/>
        <v>Normal Discount</v>
      </c>
      <c r="H6086" s="37" t="str">
        <f t="shared" si="477"/>
        <v>Low</v>
      </c>
      <c r="I6086">
        <v>2</v>
      </c>
      <c r="J6086" t="str" cm="1">
        <f t="array" ref="J6086">_xlfn.IFS(I6086&lt;=3,"small",I6086&lt;=6,"Medium",I6086&lt;=9,"Large")</f>
        <v>small</v>
      </c>
      <c r="K6086" s="36">
        <v>44963</v>
      </c>
      <c r="L6086" s="36">
        <v>44964</v>
      </c>
      <c r="M6086" t="s">
        <v>612</v>
      </c>
      <c r="N6086" t="s">
        <v>608</v>
      </c>
      <c r="O6086" s="37" t="str">
        <f t="shared" si="478"/>
        <v>Cash Payment</v>
      </c>
      <c r="P6086">
        <v>140.34</v>
      </c>
      <c r="Q6086" s="37" t="str">
        <f>IF(P6086&gt;500,"High","low")</f>
        <v>low</v>
      </c>
      <c r="R6086" s="37" t="str">
        <f t="shared" si="479"/>
        <v>AVERAGE</v>
      </c>
      <c r="S6086" t="s">
        <v>615</v>
      </c>
    </row>
    <row r="6087" spans="1:19" x14ac:dyDescent="0.2">
      <c r="A6087" t="s">
        <v>6698</v>
      </c>
      <c r="B6087" t="s">
        <v>67</v>
      </c>
      <c r="C6087" t="s">
        <v>617</v>
      </c>
      <c r="D6087">
        <v>3254.98</v>
      </c>
      <c r="E6087" s="37" t="str">
        <f t="shared" si="475"/>
        <v xml:space="preserve"> </v>
      </c>
      <c r="F6087">
        <v>0.38</v>
      </c>
      <c r="G6087" s="37" t="str">
        <f t="shared" si="476"/>
        <v>Heavy Discount</v>
      </c>
      <c r="H6087" s="37" t="str">
        <f t="shared" si="477"/>
        <v>Medium</v>
      </c>
      <c r="I6087">
        <v>3</v>
      </c>
      <c r="J6087" t="str" cm="1">
        <f t="array" ref="J6087">_xlfn.IFS(I6087&lt;=3,"small",I6087&lt;=6,"Medium",I6087&lt;=9,"Large")</f>
        <v>small</v>
      </c>
      <c r="K6087" s="36">
        <v>45616</v>
      </c>
      <c r="L6087" s="36">
        <v>45619</v>
      </c>
      <c r="M6087" t="s">
        <v>598</v>
      </c>
      <c r="N6087" t="s">
        <v>599</v>
      </c>
      <c r="O6087" s="37" t="str">
        <f t="shared" si="478"/>
        <v>Digital Payment</v>
      </c>
      <c r="P6087">
        <v>599.98</v>
      </c>
      <c r="Q6087" s="37" t="str">
        <f>IF(P6087&gt;500,"High","low")</f>
        <v>High</v>
      </c>
      <c r="R6087" s="37" t="str">
        <f t="shared" si="479"/>
        <v>Good</v>
      </c>
      <c r="S6087" t="s">
        <v>615</v>
      </c>
    </row>
    <row r="6088" spans="1:19" x14ac:dyDescent="0.2">
      <c r="A6088" t="s">
        <v>6699</v>
      </c>
      <c r="B6088" t="s">
        <v>83</v>
      </c>
      <c r="C6088" t="s">
        <v>597</v>
      </c>
      <c r="D6088">
        <v>4085.79</v>
      </c>
      <c r="E6088" s="37" t="str">
        <f t="shared" si="475"/>
        <v xml:space="preserve"> </v>
      </c>
      <c r="F6088">
        <v>0.05</v>
      </c>
      <c r="G6088" s="37" t="str">
        <f t="shared" si="476"/>
        <v>Normal Discount</v>
      </c>
      <c r="H6088" s="37" t="str">
        <f t="shared" si="477"/>
        <v>Low</v>
      </c>
      <c r="I6088">
        <v>8</v>
      </c>
      <c r="J6088" t="str" cm="1">
        <f t="array" ref="J6088">_xlfn.IFS(I6088&lt;=3,"small",I6088&lt;=6,"Medium",I6088&lt;=9,"Large")</f>
        <v>Large</v>
      </c>
      <c r="K6088" s="36">
        <v>45474</v>
      </c>
      <c r="L6088" s="36">
        <v>45476</v>
      </c>
      <c r="M6088" t="s">
        <v>603</v>
      </c>
      <c r="N6088" t="s">
        <v>604</v>
      </c>
      <c r="O6088" s="37" t="str">
        <f t="shared" si="478"/>
        <v>Digital Payment</v>
      </c>
      <c r="P6088">
        <v>490.91</v>
      </c>
      <c r="Q6088" s="37" t="str">
        <f>IF(P6088&gt;500,"High","low")</f>
        <v>low</v>
      </c>
      <c r="R6088" s="37" t="str">
        <f t="shared" si="479"/>
        <v>AVERAGE</v>
      </c>
      <c r="S6088" t="s">
        <v>600</v>
      </c>
    </row>
    <row r="6089" spans="1:19" x14ac:dyDescent="0.2">
      <c r="A6089" t="s">
        <v>6700</v>
      </c>
      <c r="B6089" t="s">
        <v>75</v>
      </c>
      <c r="C6089" t="s">
        <v>617</v>
      </c>
      <c r="D6089">
        <v>4534.83</v>
      </c>
      <c r="E6089" s="37" t="str">
        <f t="shared" si="475"/>
        <v xml:space="preserve"> </v>
      </c>
      <c r="F6089">
        <v>0.13</v>
      </c>
      <c r="G6089" s="37" t="str">
        <f t="shared" si="476"/>
        <v>Normal Discount</v>
      </c>
      <c r="H6089" s="37" t="str">
        <f t="shared" si="477"/>
        <v>Low</v>
      </c>
      <c r="I6089">
        <v>8</v>
      </c>
      <c r="J6089" t="str" cm="1">
        <f t="array" ref="J6089">_xlfn.IFS(I6089&lt;=3,"small",I6089&lt;=6,"Medium",I6089&lt;=9,"Large")</f>
        <v>Large</v>
      </c>
      <c r="K6089" s="36">
        <v>45213</v>
      </c>
      <c r="L6089" s="36">
        <v>45217</v>
      </c>
      <c r="M6089" t="s">
        <v>598</v>
      </c>
      <c r="N6089" t="s">
        <v>599</v>
      </c>
      <c r="O6089" s="37" t="str">
        <f t="shared" si="478"/>
        <v>Digital Payment</v>
      </c>
      <c r="P6089">
        <v>305.49</v>
      </c>
      <c r="Q6089" s="37" t="str">
        <f>IF(P6089&gt;500,"High","low")</f>
        <v>low</v>
      </c>
      <c r="R6089" s="37" t="str">
        <f t="shared" si="479"/>
        <v>AVERAGE</v>
      </c>
      <c r="S6089" t="s">
        <v>605</v>
      </c>
    </row>
    <row r="6090" spans="1:19" x14ac:dyDescent="0.2">
      <c r="A6090" t="s">
        <v>6701</v>
      </c>
      <c r="B6090" t="s">
        <v>75</v>
      </c>
      <c r="C6090" t="s">
        <v>597</v>
      </c>
      <c r="D6090">
        <v>1454.99</v>
      </c>
      <c r="E6090" s="37" t="str">
        <f t="shared" si="475"/>
        <v xml:space="preserve"> </v>
      </c>
      <c r="F6090">
        <v>0.43</v>
      </c>
      <c r="G6090" s="37" t="str">
        <f t="shared" si="476"/>
        <v>Heavy Discount</v>
      </c>
      <c r="H6090" s="37" t="str">
        <f t="shared" si="477"/>
        <v>High</v>
      </c>
      <c r="I6090">
        <v>5</v>
      </c>
      <c r="J6090" t="str" cm="1">
        <f t="array" ref="J6090">_xlfn.IFS(I6090&lt;=3,"small",I6090&lt;=6,"Medium",I6090&lt;=9,"Large")</f>
        <v>Medium</v>
      </c>
      <c r="K6090" s="36">
        <v>45350</v>
      </c>
      <c r="L6090" s="36">
        <v>45357</v>
      </c>
      <c r="M6090" t="s">
        <v>603</v>
      </c>
      <c r="N6090" t="s">
        <v>608</v>
      </c>
      <c r="O6090" s="37" t="str">
        <f t="shared" si="478"/>
        <v>Cash Payment</v>
      </c>
      <c r="P6090">
        <v>324.51</v>
      </c>
      <c r="Q6090" s="37" t="str">
        <f>IF(P6090&gt;500,"High","low")</f>
        <v>low</v>
      </c>
      <c r="R6090" s="37" t="str">
        <f t="shared" si="479"/>
        <v>AVERAGE</v>
      </c>
      <c r="S6090" t="s">
        <v>609</v>
      </c>
    </row>
    <row r="6091" spans="1:19" x14ac:dyDescent="0.2">
      <c r="A6091" t="s">
        <v>6702</v>
      </c>
      <c r="B6091" t="s">
        <v>83</v>
      </c>
      <c r="C6091" t="s">
        <v>602</v>
      </c>
      <c r="D6091">
        <v>730.8</v>
      </c>
      <c r="E6091" s="37" t="str">
        <f t="shared" si="475"/>
        <v xml:space="preserve"> </v>
      </c>
      <c r="F6091">
        <v>0.37</v>
      </c>
      <c r="G6091" s="37" t="str">
        <f t="shared" si="476"/>
        <v>Heavy Discount</v>
      </c>
      <c r="H6091" s="37" t="str">
        <f t="shared" si="477"/>
        <v>Medium</v>
      </c>
      <c r="I6091">
        <v>2</v>
      </c>
      <c r="J6091" t="str" cm="1">
        <f t="array" ref="J6091">_xlfn.IFS(I6091&lt;=3,"small",I6091&lt;=6,"Medium",I6091&lt;=9,"Large")</f>
        <v>small</v>
      </c>
      <c r="K6091" s="36">
        <v>45364</v>
      </c>
      <c r="L6091" s="36">
        <v>45368</v>
      </c>
      <c r="M6091" t="s">
        <v>612</v>
      </c>
      <c r="N6091" t="s">
        <v>608</v>
      </c>
      <c r="O6091" s="37" t="str">
        <f t="shared" si="478"/>
        <v>Cash Payment</v>
      </c>
      <c r="P6091">
        <v>169.21</v>
      </c>
      <c r="Q6091" s="37" t="str">
        <f>IF(P6091&gt;500,"High","low")</f>
        <v>low</v>
      </c>
      <c r="R6091" s="37" t="str">
        <f t="shared" si="479"/>
        <v>AVERAGE</v>
      </c>
      <c r="S6091" t="s">
        <v>600</v>
      </c>
    </row>
    <row r="6092" spans="1:19" x14ac:dyDescent="0.2">
      <c r="A6092" t="s">
        <v>6703</v>
      </c>
      <c r="B6092" t="s">
        <v>83</v>
      </c>
      <c r="C6092" t="s">
        <v>617</v>
      </c>
      <c r="D6092">
        <v>1314.47</v>
      </c>
      <c r="E6092" s="37" t="str">
        <f t="shared" si="475"/>
        <v xml:space="preserve"> </v>
      </c>
      <c r="F6092">
        <v>0.5</v>
      </c>
      <c r="G6092" s="37" t="str">
        <f t="shared" si="476"/>
        <v>Heavy Discount</v>
      </c>
      <c r="H6092" s="37" t="str">
        <f t="shared" si="477"/>
        <v>High</v>
      </c>
      <c r="I6092">
        <v>4</v>
      </c>
      <c r="J6092" t="str" cm="1">
        <f t="array" ref="J6092">_xlfn.IFS(I6092&lt;=3,"small",I6092&lt;=6,"Medium",I6092&lt;=9,"Large")</f>
        <v>Medium</v>
      </c>
      <c r="K6092" s="36">
        <v>45636</v>
      </c>
      <c r="L6092" s="36">
        <v>45639</v>
      </c>
      <c r="M6092" t="s">
        <v>612</v>
      </c>
      <c r="N6092" t="s">
        <v>599</v>
      </c>
      <c r="O6092" s="37" t="str">
        <f t="shared" si="478"/>
        <v>Digital Payment</v>
      </c>
      <c r="P6092">
        <v>221.49</v>
      </c>
      <c r="Q6092" s="37" t="str">
        <f>IF(P6092&gt;500,"High","low")</f>
        <v>low</v>
      </c>
      <c r="R6092" s="37" t="str">
        <f t="shared" si="479"/>
        <v>AVERAGE</v>
      </c>
      <c r="S6092" t="s">
        <v>600</v>
      </c>
    </row>
    <row r="6093" spans="1:19" x14ac:dyDescent="0.2">
      <c r="A6093" t="s">
        <v>6704</v>
      </c>
      <c r="B6093" t="s">
        <v>67</v>
      </c>
      <c r="C6093" t="s">
        <v>602</v>
      </c>
      <c r="D6093">
        <v>2930.84</v>
      </c>
      <c r="E6093" s="37" t="str">
        <f t="shared" si="475"/>
        <v xml:space="preserve"> </v>
      </c>
      <c r="F6093">
        <v>0.32</v>
      </c>
      <c r="G6093" s="37" t="str">
        <f t="shared" si="476"/>
        <v>Heavy Discount</v>
      </c>
      <c r="H6093" s="37" t="str">
        <f t="shared" si="477"/>
        <v>Medium</v>
      </c>
      <c r="I6093">
        <v>4</v>
      </c>
      <c r="J6093" t="str" cm="1">
        <f t="array" ref="J6093">_xlfn.IFS(I6093&lt;=3,"small",I6093&lt;=6,"Medium",I6093&lt;=9,"Large")</f>
        <v>Medium</v>
      </c>
      <c r="K6093" s="36">
        <v>45299</v>
      </c>
      <c r="L6093" s="36">
        <v>45300</v>
      </c>
      <c r="M6093" t="s">
        <v>603</v>
      </c>
      <c r="N6093" t="s">
        <v>599</v>
      </c>
      <c r="O6093" s="37" t="str">
        <f t="shared" si="478"/>
        <v>Digital Payment</v>
      </c>
      <c r="P6093">
        <v>778.39</v>
      </c>
      <c r="Q6093" s="37" t="str">
        <f>IF(P6093&gt;500,"High","low")</f>
        <v>High</v>
      </c>
      <c r="R6093" s="37" t="str">
        <f t="shared" si="479"/>
        <v>Good</v>
      </c>
      <c r="S6093" t="s">
        <v>609</v>
      </c>
    </row>
    <row r="6094" spans="1:19" x14ac:dyDescent="0.2">
      <c r="A6094" t="s">
        <v>6705</v>
      </c>
      <c r="B6094" t="s">
        <v>75</v>
      </c>
      <c r="C6094" t="s">
        <v>602</v>
      </c>
      <c r="D6094">
        <v>4601.7700000000004</v>
      </c>
      <c r="E6094" s="37" t="str">
        <f t="shared" si="475"/>
        <v xml:space="preserve"> </v>
      </c>
      <c r="F6094">
        <v>0.15</v>
      </c>
      <c r="G6094" s="37" t="str">
        <f t="shared" si="476"/>
        <v>Normal Discount</v>
      </c>
      <c r="H6094" s="37" t="str">
        <f t="shared" si="477"/>
        <v>Low</v>
      </c>
      <c r="I6094">
        <v>7</v>
      </c>
      <c r="J6094" t="str" cm="1">
        <f t="array" ref="J6094">_xlfn.IFS(I6094&lt;=3,"small",I6094&lt;=6,"Medium",I6094&lt;=9,"Large")</f>
        <v>Large</v>
      </c>
      <c r="K6094" s="36">
        <v>45151</v>
      </c>
      <c r="L6094" s="36">
        <v>45157</v>
      </c>
      <c r="M6094" t="s">
        <v>612</v>
      </c>
      <c r="N6094" t="s">
        <v>599</v>
      </c>
      <c r="O6094" s="37" t="str">
        <f t="shared" si="478"/>
        <v>Digital Payment</v>
      </c>
      <c r="P6094">
        <v>582.41</v>
      </c>
      <c r="Q6094" s="37" t="str">
        <f>IF(P6094&gt;500,"High","low")</f>
        <v>High</v>
      </c>
      <c r="R6094" s="37" t="str">
        <f t="shared" si="479"/>
        <v>Good</v>
      </c>
      <c r="S6094" t="s">
        <v>600</v>
      </c>
    </row>
    <row r="6095" spans="1:19" x14ac:dyDescent="0.2">
      <c r="A6095" t="s">
        <v>6706</v>
      </c>
      <c r="B6095" t="s">
        <v>75</v>
      </c>
      <c r="C6095" t="s">
        <v>602</v>
      </c>
      <c r="D6095">
        <v>2954.43</v>
      </c>
      <c r="E6095" s="37" t="str">
        <f t="shared" si="475"/>
        <v xml:space="preserve"> </v>
      </c>
      <c r="F6095">
        <v>0.27</v>
      </c>
      <c r="G6095" s="37" t="str">
        <f t="shared" si="476"/>
        <v>Normal Discount</v>
      </c>
      <c r="H6095" s="37" t="str">
        <f t="shared" si="477"/>
        <v>Medium</v>
      </c>
      <c r="I6095">
        <v>4</v>
      </c>
      <c r="J6095" t="str" cm="1">
        <f t="array" ref="J6095">_xlfn.IFS(I6095&lt;=3,"small",I6095&lt;=6,"Medium",I6095&lt;=9,"Large")</f>
        <v>Medium</v>
      </c>
      <c r="K6095" s="36">
        <v>45620</v>
      </c>
      <c r="L6095" s="36">
        <v>45625</v>
      </c>
      <c r="M6095" t="s">
        <v>612</v>
      </c>
      <c r="N6095" t="s">
        <v>608</v>
      </c>
      <c r="O6095" s="37" t="str">
        <f t="shared" si="478"/>
        <v>Cash Payment</v>
      </c>
      <c r="P6095">
        <v>682.58</v>
      </c>
      <c r="Q6095" s="37" t="str">
        <f>IF(P6095&gt;500,"High","low")</f>
        <v>High</v>
      </c>
      <c r="R6095" s="37" t="str">
        <f t="shared" si="479"/>
        <v>Good</v>
      </c>
      <c r="S6095" t="s">
        <v>615</v>
      </c>
    </row>
    <row r="6096" spans="1:19" x14ac:dyDescent="0.2">
      <c r="A6096" t="s">
        <v>6707</v>
      </c>
      <c r="B6096" t="s">
        <v>90</v>
      </c>
      <c r="C6096" t="s">
        <v>602</v>
      </c>
      <c r="D6096">
        <v>4606.1400000000003</v>
      </c>
      <c r="E6096" s="37" t="str">
        <f t="shared" si="475"/>
        <v>Excellent Order</v>
      </c>
      <c r="F6096">
        <v>0.47</v>
      </c>
      <c r="G6096" s="37" t="str">
        <f t="shared" si="476"/>
        <v>Heavy Discount</v>
      </c>
      <c r="H6096" s="37" t="str">
        <f t="shared" si="477"/>
        <v>High</v>
      </c>
      <c r="I6096">
        <v>6</v>
      </c>
      <c r="J6096" t="str" cm="1">
        <f t="array" ref="J6096">_xlfn.IFS(I6096&lt;=3,"small",I6096&lt;=6,"Medium",I6096&lt;=9,"Large")</f>
        <v>Medium</v>
      </c>
      <c r="K6096" s="36">
        <v>45503</v>
      </c>
      <c r="L6096" s="36">
        <v>45507</v>
      </c>
      <c r="M6096" t="s">
        <v>603</v>
      </c>
      <c r="N6096" t="s">
        <v>608</v>
      </c>
      <c r="O6096" s="37" t="str">
        <f t="shared" si="478"/>
        <v>Cash Payment</v>
      </c>
      <c r="P6096">
        <v>898.4</v>
      </c>
      <c r="Q6096" s="37" t="str">
        <f>IF(P6096&gt;500,"High","low")</f>
        <v>High</v>
      </c>
      <c r="R6096" s="37" t="str">
        <f t="shared" si="479"/>
        <v>Good</v>
      </c>
      <c r="S6096" t="s">
        <v>605</v>
      </c>
    </row>
    <row r="6097" spans="1:19" x14ac:dyDescent="0.2">
      <c r="A6097" t="s">
        <v>6708</v>
      </c>
      <c r="B6097" t="s">
        <v>75</v>
      </c>
      <c r="C6097" t="s">
        <v>614</v>
      </c>
      <c r="D6097">
        <v>3873.18</v>
      </c>
      <c r="E6097" s="37" t="str">
        <f t="shared" si="475"/>
        <v xml:space="preserve"> </v>
      </c>
      <c r="F6097">
        <v>0.33</v>
      </c>
      <c r="G6097" s="37" t="str">
        <f t="shared" si="476"/>
        <v>Heavy Discount</v>
      </c>
      <c r="H6097" s="37" t="str">
        <f t="shared" si="477"/>
        <v>Medium</v>
      </c>
      <c r="I6097">
        <v>2</v>
      </c>
      <c r="J6097" t="str" cm="1">
        <f t="array" ref="J6097">_xlfn.IFS(I6097&lt;=3,"small",I6097&lt;=6,"Medium",I6097&lt;=9,"Large")</f>
        <v>small</v>
      </c>
      <c r="K6097" s="36">
        <v>45541</v>
      </c>
      <c r="L6097" s="36">
        <v>45542</v>
      </c>
      <c r="M6097" t="s">
        <v>598</v>
      </c>
      <c r="N6097" t="s">
        <v>604</v>
      </c>
      <c r="O6097" s="37" t="str">
        <f t="shared" si="478"/>
        <v>Digital Payment</v>
      </c>
      <c r="P6097">
        <v>609.46</v>
      </c>
      <c r="Q6097" s="37" t="str">
        <f>IF(P6097&gt;500,"High","low")</f>
        <v>High</v>
      </c>
      <c r="R6097" s="37" t="str">
        <f t="shared" si="479"/>
        <v>Good</v>
      </c>
      <c r="S6097" t="s">
        <v>605</v>
      </c>
    </row>
    <row r="6098" spans="1:19" x14ac:dyDescent="0.2">
      <c r="A6098" t="s">
        <v>6709</v>
      </c>
      <c r="B6098" t="s">
        <v>67</v>
      </c>
      <c r="C6098" t="s">
        <v>607</v>
      </c>
      <c r="D6098">
        <v>3032.11</v>
      </c>
      <c r="E6098" s="37" t="str">
        <f t="shared" si="475"/>
        <v xml:space="preserve"> </v>
      </c>
      <c r="F6098">
        <v>0.44</v>
      </c>
      <c r="G6098" s="37" t="str">
        <f t="shared" si="476"/>
        <v>Heavy Discount</v>
      </c>
      <c r="H6098" s="37" t="str">
        <f t="shared" si="477"/>
        <v>High</v>
      </c>
      <c r="I6098">
        <v>2</v>
      </c>
      <c r="J6098" t="str" cm="1">
        <f t="array" ref="J6098">_xlfn.IFS(I6098&lt;=3,"small",I6098&lt;=6,"Medium",I6098&lt;=9,"Large")</f>
        <v>small</v>
      </c>
      <c r="K6098" s="36">
        <v>45356</v>
      </c>
      <c r="L6098" s="36">
        <v>45357</v>
      </c>
      <c r="M6098" t="s">
        <v>598</v>
      </c>
      <c r="N6098" t="s">
        <v>599</v>
      </c>
      <c r="O6098" s="37" t="str">
        <f t="shared" si="478"/>
        <v>Digital Payment</v>
      </c>
      <c r="P6098">
        <v>312.33</v>
      </c>
      <c r="Q6098" s="37" t="str">
        <f>IF(P6098&gt;500,"High","low")</f>
        <v>low</v>
      </c>
      <c r="R6098" s="37" t="str">
        <f t="shared" si="479"/>
        <v>AVERAGE</v>
      </c>
      <c r="S6098" t="s">
        <v>620</v>
      </c>
    </row>
    <row r="6099" spans="1:19" x14ac:dyDescent="0.2">
      <c r="A6099" t="s">
        <v>6710</v>
      </c>
      <c r="B6099" t="s">
        <v>90</v>
      </c>
      <c r="C6099" t="s">
        <v>614</v>
      </c>
      <c r="D6099">
        <v>206.81</v>
      </c>
      <c r="E6099" s="37" t="str">
        <f t="shared" si="475"/>
        <v xml:space="preserve"> </v>
      </c>
      <c r="F6099">
        <v>0.01</v>
      </c>
      <c r="G6099" s="37" t="str">
        <f t="shared" si="476"/>
        <v>Normal Discount</v>
      </c>
      <c r="H6099" s="37" t="str">
        <f t="shared" si="477"/>
        <v>Low</v>
      </c>
      <c r="I6099">
        <v>5</v>
      </c>
      <c r="J6099" t="str" cm="1">
        <f t="array" ref="J6099">_xlfn.IFS(I6099&lt;=3,"small",I6099&lt;=6,"Medium",I6099&lt;=9,"Large")</f>
        <v>Medium</v>
      </c>
      <c r="K6099" s="36">
        <v>45096</v>
      </c>
      <c r="L6099" s="36">
        <v>45098</v>
      </c>
      <c r="M6099" t="s">
        <v>612</v>
      </c>
      <c r="N6099" t="s">
        <v>608</v>
      </c>
      <c r="O6099" s="37" t="str">
        <f t="shared" si="478"/>
        <v>Cash Payment</v>
      </c>
      <c r="P6099">
        <v>44.51</v>
      </c>
      <c r="Q6099" s="37" t="str">
        <f>IF(P6099&gt;500,"High","low")</f>
        <v>low</v>
      </c>
      <c r="R6099" s="37" t="str">
        <f t="shared" si="479"/>
        <v>AVERAGE</v>
      </c>
      <c r="S6099" t="s">
        <v>600</v>
      </c>
    </row>
    <row r="6100" spans="1:19" x14ac:dyDescent="0.2">
      <c r="A6100" t="s">
        <v>6711</v>
      </c>
      <c r="B6100" t="s">
        <v>90</v>
      </c>
      <c r="C6100" t="s">
        <v>597</v>
      </c>
      <c r="D6100">
        <v>1732.07</v>
      </c>
      <c r="E6100" s="37" t="str">
        <f t="shared" si="475"/>
        <v xml:space="preserve"> </v>
      </c>
      <c r="F6100">
        <v>0.18</v>
      </c>
      <c r="G6100" s="37" t="str">
        <f t="shared" si="476"/>
        <v>Normal Discount</v>
      </c>
      <c r="H6100" s="37" t="str">
        <f t="shared" si="477"/>
        <v>Low</v>
      </c>
      <c r="I6100">
        <v>1</v>
      </c>
      <c r="J6100" t="str" cm="1">
        <f t="array" ref="J6100">_xlfn.IFS(I6100&lt;=3,"small",I6100&lt;=6,"Medium",I6100&lt;=9,"Large")</f>
        <v>small</v>
      </c>
      <c r="K6100" s="36">
        <v>45296</v>
      </c>
      <c r="L6100" s="36">
        <v>45301</v>
      </c>
      <c r="M6100" t="s">
        <v>612</v>
      </c>
      <c r="N6100" t="s">
        <v>599</v>
      </c>
      <c r="O6100" s="37" t="str">
        <f t="shared" si="478"/>
        <v>Digital Payment</v>
      </c>
      <c r="P6100">
        <v>155.91</v>
      </c>
      <c r="Q6100" s="37" t="str">
        <f>IF(P6100&gt;500,"High","low")</f>
        <v>low</v>
      </c>
      <c r="R6100" s="37" t="str">
        <f t="shared" si="479"/>
        <v>AVERAGE</v>
      </c>
      <c r="S6100" t="s">
        <v>609</v>
      </c>
    </row>
    <row r="6101" spans="1:19" x14ac:dyDescent="0.2">
      <c r="A6101" t="s">
        <v>6712</v>
      </c>
      <c r="B6101" t="s">
        <v>90</v>
      </c>
      <c r="C6101" t="s">
        <v>597</v>
      </c>
      <c r="D6101">
        <v>381.55</v>
      </c>
      <c r="E6101" s="37" t="str">
        <f t="shared" si="475"/>
        <v xml:space="preserve"> </v>
      </c>
      <c r="F6101">
        <v>0.47</v>
      </c>
      <c r="G6101" s="37" t="str">
        <f t="shared" si="476"/>
        <v>Heavy Discount</v>
      </c>
      <c r="H6101" s="37" t="str">
        <f t="shared" si="477"/>
        <v>High</v>
      </c>
      <c r="I6101">
        <v>2</v>
      </c>
      <c r="J6101" t="str" cm="1">
        <f t="array" ref="J6101">_xlfn.IFS(I6101&lt;=3,"small",I6101&lt;=6,"Medium",I6101&lt;=9,"Large")</f>
        <v>small</v>
      </c>
      <c r="K6101" s="36">
        <v>45550</v>
      </c>
      <c r="L6101" s="36">
        <v>45553</v>
      </c>
      <c r="M6101" t="s">
        <v>598</v>
      </c>
      <c r="N6101" t="s">
        <v>599</v>
      </c>
      <c r="O6101" s="37" t="str">
        <f t="shared" si="478"/>
        <v>Digital Payment</v>
      </c>
      <c r="P6101">
        <v>88.24</v>
      </c>
      <c r="Q6101" s="37" t="str">
        <f>IF(P6101&gt;500,"High","low")</f>
        <v>low</v>
      </c>
      <c r="R6101" s="37" t="str">
        <f t="shared" si="479"/>
        <v>AVERAGE</v>
      </c>
      <c r="S6101" t="s">
        <v>605</v>
      </c>
    </row>
    <row r="6102" spans="1:19" x14ac:dyDescent="0.2">
      <c r="A6102" t="s">
        <v>6713</v>
      </c>
      <c r="B6102" t="s">
        <v>83</v>
      </c>
      <c r="C6102" t="s">
        <v>607</v>
      </c>
      <c r="D6102">
        <v>1678.99</v>
      </c>
      <c r="E6102" s="37" t="str">
        <f t="shared" si="475"/>
        <v xml:space="preserve"> </v>
      </c>
      <c r="F6102">
        <v>0.02</v>
      </c>
      <c r="G6102" s="37" t="str">
        <f t="shared" si="476"/>
        <v>Normal Discount</v>
      </c>
      <c r="H6102" s="37" t="str">
        <f t="shared" si="477"/>
        <v>Low</v>
      </c>
      <c r="I6102">
        <v>3</v>
      </c>
      <c r="J6102" t="str" cm="1">
        <f t="array" ref="J6102">_xlfn.IFS(I6102&lt;=3,"small",I6102&lt;=6,"Medium",I6102&lt;=9,"Large")</f>
        <v>small</v>
      </c>
      <c r="K6102" s="36">
        <v>45019</v>
      </c>
      <c r="L6102" s="36">
        <v>45023</v>
      </c>
      <c r="M6102" t="s">
        <v>603</v>
      </c>
      <c r="N6102" t="s">
        <v>604</v>
      </c>
      <c r="O6102" s="37" t="str">
        <f t="shared" si="478"/>
        <v>Digital Payment</v>
      </c>
      <c r="P6102">
        <v>174.18</v>
      </c>
      <c r="Q6102" s="37" t="str">
        <f>IF(P6102&gt;500,"High","low")</f>
        <v>low</v>
      </c>
      <c r="R6102" s="37" t="str">
        <f t="shared" si="479"/>
        <v>AVERAGE</v>
      </c>
      <c r="S6102" t="s">
        <v>615</v>
      </c>
    </row>
    <row r="6103" spans="1:19" x14ac:dyDescent="0.2">
      <c r="A6103" t="s">
        <v>6714</v>
      </c>
      <c r="B6103" t="s">
        <v>83</v>
      </c>
      <c r="C6103" t="s">
        <v>607</v>
      </c>
      <c r="D6103">
        <v>405.43</v>
      </c>
      <c r="E6103" s="37" t="str">
        <f t="shared" si="475"/>
        <v xml:space="preserve"> </v>
      </c>
      <c r="F6103">
        <v>0.26</v>
      </c>
      <c r="G6103" s="37" t="str">
        <f t="shared" si="476"/>
        <v>Normal Discount</v>
      </c>
      <c r="H6103" s="37" t="str">
        <f t="shared" si="477"/>
        <v>Medium</v>
      </c>
      <c r="I6103">
        <v>9</v>
      </c>
      <c r="J6103" t="str" cm="1">
        <f t="array" ref="J6103">_xlfn.IFS(I6103&lt;=3,"small",I6103&lt;=6,"Medium",I6103&lt;=9,"Large")</f>
        <v>Large</v>
      </c>
      <c r="K6103" s="36">
        <v>45513</v>
      </c>
      <c r="L6103" s="36">
        <v>45519</v>
      </c>
      <c r="M6103" t="s">
        <v>603</v>
      </c>
      <c r="N6103" t="s">
        <v>604</v>
      </c>
      <c r="O6103" s="37" t="str">
        <f t="shared" si="478"/>
        <v>Digital Payment</v>
      </c>
      <c r="P6103">
        <v>22.03</v>
      </c>
      <c r="Q6103" s="37" t="str">
        <f>IF(P6103&gt;500,"High","low")</f>
        <v>low</v>
      </c>
      <c r="R6103" s="37" t="str">
        <f t="shared" si="479"/>
        <v>AVERAGE</v>
      </c>
      <c r="S6103" t="s">
        <v>615</v>
      </c>
    </row>
    <row r="6104" spans="1:19" x14ac:dyDescent="0.2">
      <c r="A6104" t="s">
        <v>6715</v>
      </c>
      <c r="B6104" t="s">
        <v>75</v>
      </c>
      <c r="C6104" t="s">
        <v>607</v>
      </c>
      <c r="D6104">
        <v>922.3</v>
      </c>
      <c r="E6104" s="37" t="str">
        <f t="shared" si="475"/>
        <v xml:space="preserve"> </v>
      </c>
      <c r="F6104">
        <v>0.17</v>
      </c>
      <c r="G6104" s="37" t="str">
        <f t="shared" si="476"/>
        <v>Normal Discount</v>
      </c>
      <c r="H6104" s="37" t="str">
        <f t="shared" si="477"/>
        <v>Low</v>
      </c>
      <c r="I6104">
        <v>9</v>
      </c>
      <c r="J6104" t="str" cm="1">
        <f t="array" ref="J6104">_xlfn.IFS(I6104&lt;=3,"small",I6104&lt;=6,"Medium",I6104&lt;=9,"Large")</f>
        <v>Large</v>
      </c>
      <c r="K6104" s="36">
        <v>45402</v>
      </c>
      <c r="L6104" s="36">
        <v>45409</v>
      </c>
      <c r="M6104" t="s">
        <v>598</v>
      </c>
      <c r="N6104" t="s">
        <v>608</v>
      </c>
      <c r="O6104" s="37" t="str">
        <f t="shared" si="478"/>
        <v>Cash Payment</v>
      </c>
      <c r="P6104">
        <v>115.99</v>
      </c>
      <c r="Q6104" s="37" t="str">
        <f>IF(P6104&gt;500,"High","low")</f>
        <v>low</v>
      </c>
      <c r="R6104" s="37" t="str">
        <f t="shared" si="479"/>
        <v>AVERAGE</v>
      </c>
      <c r="S6104" t="s">
        <v>615</v>
      </c>
    </row>
    <row r="6105" spans="1:19" x14ac:dyDescent="0.2">
      <c r="A6105" t="s">
        <v>6716</v>
      </c>
      <c r="B6105" t="s">
        <v>90</v>
      </c>
      <c r="C6105" t="s">
        <v>602</v>
      </c>
      <c r="D6105">
        <v>2112.36</v>
      </c>
      <c r="E6105" s="37" t="str">
        <f t="shared" si="475"/>
        <v xml:space="preserve"> </v>
      </c>
      <c r="F6105">
        <v>0.32</v>
      </c>
      <c r="G6105" s="37" t="str">
        <f t="shared" si="476"/>
        <v>Heavy Discount</v>
      </c>
      <c r="H6105" s="37" t="str">
        <f t="shared" si="477"/>
        <v>Medium</v>
      </c>
      <c r="I6105">
        <v>7</v>
      </c>
      <c r="J6105" t="str" cm="1">
        <f t="array" ref="J6105">_xlfn.IFS(I6105&lt;=3,"small",I6105&lt;=6,"Medium",I6105&lt;=9,"Large")</f>
        <v>Large</v>
      </c>
      <c r="K6105" s="36">
        <v>44941</v>
      </c>
      <c r="L6105" s="36">
        <v>44946</v>
      </c>
      <c r="M6105" t="s">
        <v>612</v>
      </c>
      <c r="N6105" t="s">
        <v>604</v>
      </c>
      <c r="O6105" s="37" t="str">
        <f t="shared" si="478"/>
        <v>Digital Payment</v>
      </c>
      <c r="P6105">
        <v>561.96</v>
      </c>
      <c r="Q6105" s="37" t="str">
        <f>IF(P6105&gt;500,"High","low")</f>
        <v>High</v>
      </c>
      <c r="R6105" s="37" t="str">
        <f t="shared" si="479"/>
        <v>Good</v>
      </c>
      <c r="S6105" t="s">
        <v>628</v>
      </c>
    </row>
    <row r="6106" spans="1:19" x14ac:dyDescent="0.2">
      <c r="A6106" t="s">
        <v>6717</v>
      </c>
      <c r="B6106" t="s">
        <v>67</v>
      </c>
      <c r="C6106" t="s">
        <v>614</v>
      </c>
      <c r="D6106">
        <v>2622.94</v>
      </c>
      <c r="E6106" s="37" t="str">
        <f t="shared" si="475"/>
        <v xml:space="preserve"> </v>
      </c>
      <c r="F6106">
        <v>0.08</v>
      </c>
      <c r="G6106" s="37" t="str">
        <f t="shared" si="476"/>
        <v>Normal Discount</v>
      </c>
      <c r="H6106" s="37" t="str">
        <f t="shared" si="477"/>
        <v>Low</v>
      </c>
      <c r="I6106">
        <v>5</v>
      </c>
      <c r="J6106" t="str" cm="1">
        <f t="array" ref="J6106">_xlfn.IFS(I6106&lt;=3,"small",I6106&lt;=6,"Medium",I6106&lt;=9,"Large")</f>
        <v>Medium</v>
      </c>
      <c r="K6106" s="36">
        <v>45212</v>
      </c>
      <c r="L6106" s="36">
        <v>45213</v>
      </c>
      <c r="M6106" t="s">
        <v>603</v>
      </c>
      <c r="N6106" t="s">
        <v>608</v>
      </c>
      <c r="O6106" s="37" t="str">
        <f t="shared" si="478"/>
        <v>Cash Payment</v>
      </c>
      <c r="P6106">
        <v>149.99</v>
      </c>
      <c r="Q6106" s="37" t="str">
        <f>IF(P6106&gt;500,"High","low")</f>
        <v>low</v>
      </c>
      <c r="R6106" s="37" t="str">
        <f t="shared" si="479"/>
        <v>AVERAGE</v>
      </c>
      <c r="S6106" t="s">
        <v>620</v>
      </c>
    </row>
    <row r="6107" spans="1:19" x14ac:dyDescent="0.2">
      <c r="A6107" t="s">
        <v>6718</v>
      </c>
      <c r="B6107" t="s">
        <v>83</v>
      </c>
      <c r="C6107" t="s">
        <v>597</v>
      </c>
      <c r="D6107">
        <v>1163.99</v>
      </c>
      <c r="E6107" s="37" t="str">
        <f t="shared" si="475"/>
        <v xml:space="preserve"> </v>
      </c>
      <c r="F6107">
        <v>0.33</v>
      </c>
      <c r="G6107" s="37" t="str">
        <f t="shared" si="476"/>
        <v>Heavy Discount</v>
      </c>
      <c r="H6107" s="37" t="str">
        <f t="shared" si="477"/>
        <v>Medium</v>
      </c>
      <c r="I6107">
        <v>2</v>
      </c>
      <c r="J6107" t="str" cm="1">
        <f t="array" ref="J6107">_xlfn.IFS(I6107&lt;=3,"small",I6107&lt;=6,"Medium",I6107&lt;=9,"Large")</f>
        <v>small</v>
      </c>
      <c r="K6107" s="36">
        <v>44949</v>
      </c>
      <c r="L6107" s="36">
        <v>44956</v>
      </c>
      <c r="M6107" t="s">
        <v>598</v>
      </c>
      <c r="N6107" t="s">
        <v>599</v>
      </c>
      <c r="O6107" s="37" t="str">
        <f t="shared" si="478"/>
        <v>Digital Payment</v>
      </c>
      <c r="P6107">
        <v>76.36</v>
      </c>
      <c r="Q6107" s="37" t="str">
        <f>IF(P6107&gt;500,"High","low")</f>
        <v>low</v>
      </c>
      <c r="R6107" s="37" t="str">
        <f t="shared" si="479"/>
        <v>AVERAGE</v>
      </c>
      <c r="S6107" t="s">
        <v>609</v>
      </c>
    </row>
    <row r="6108" spans="1:19" x14ac:dyDescent="0.2">
      <c r="A6108" t="s">
        <v>6719</v>
      </c>
      <c r="B6108" t="s">
        <v>67</v>
      </c>
      <c r="C6108" t="s">
        <v>614</v>
      </c>
      <c r="D6108">
        <v>3689.63</v>
      </c>
      <c r="E6108" s="37" t="str">
        <f t="shared" si="475"/>
        <v xml:space="preserve"> </v>
      </c>
      <c r="F6108">
        <v>0.5</v>
      </c>
      <c r="G6108" s="37" t="str">
        <f t="shared" si="476"/>
        <v>Heavy Discount</v>
      </c>
      <c r="H6108" s="37" t="str">
        <f t="shared" si="477"/>
        <v>High</v>
      </c>
      <c r="I6108">
        <v>2</v>
      </c>
      <c r="J6108" t="str" cm="1">
        <f t="array" ref="J6108">_xlfn.IFS(I6108&lt;=3,"small",I6108&lt;=6,"Medium",I6108&lt;=9,"Large")</f>
        <v>small</v>
      </c>
      <c r="K6108" s="36">
        <v>45429</v>
      </c>
      <c r="L6108" s="36">
        <v>45436</v>
      </c>
      <c r="M6108" t="s">
        <v>598</v>
      </c>
      <c r="N6108" t="s">
        <v>608</v>
      </c>
      <c r="O6108" s="37" t="str">
        <f t="shared" si="478"/>
        <v>Cash Payment</v>
      </c>
      <c r="P6108">
        <v>676.84</v>
      </c>
      <c r="Q6108" s="37" t="str">
        <f>IF(P6108&gt;500,"High","low")</f>
        <v>High</v>
      </c>
      <c r="R6108" s="37" t="str">
        <f t="shared" si="479"/>
        <v>Good</v>
      </c>
      <c r="S6108" t="s">
        <v>628</v>
      </c>
    </row>
    <row r="6109" spans="1:19" x14ac:dyDescent="0.2">
      <c r="A6109" t="s">
        <v>6720</v>
      </c>
      <c r="B6109" t="s">
        <v>67</v>
      </c>
      <c r="C6109" t="s">
        <v>614</v>
      </c>
      <c r="D6109">
        <v>2992.79</v>
      </c>
      <c r="E6109" s="37" t="str">
        <f t="shared" si="475"/>
        <v xml:space="preserve"> </v>
      </c>
      <c r="F6109">
        <v>0.14000000000000001</v>
      </c>
      <c r="G6109" s="37" t="str">
        <f t="shared" si="476"/>
        <v>Normal Discount</v>
      </c>
      <c r="H6109" s="37" t="str">
        <f t="shared" si="477"/>
        <v>Low</v>
      </c>
      <c r="I6109">
        <v>8</v>
      </c>
      <c r="J6109" t="str" cm="1">
        <f t="array" ref="J6109">_xlfn.IFS(I6109&lt;=3,"small",I6109&lt;=6,"Medium",I6109&lt;=9,"Large")</f>
        <v>Large</v>
      </c>
      <c r="K6109" s="36">
        <v>45530</v>
      </c>
      <c r="L6109" s="36">
        <v>45535</v>
      </c>
      <c r="M6109" t="s">
        <v>612</v>
      </c>
      <c r="N6109" t="s">
        <v>604</v>
      </c>
      <c r="O6109" s="37" t="str">
        <f t="shared" si="478"/>
        <v>Digital Payment</v>
      </c>
      <c r="P6109">
        <v>152.72</v>
      </c>
      <c r="Q6109" s="37" t="str">
        <f>IF(P6109&gt;500,"High","low")</f>
        <v>low</v>
      </c>
      <c r="R6109" s="37" t="str">
        <f t="shared" si="479"/>
        <v>AVERAGE</v>
      </c>
      <c r="S6109" t="s">
        <v>609</v>
      </c>
    </row>
    <row r="6110" spans="1:19" x14ac:dyDescent="0.2">
      <c r="A6110" t="s">
        <v>6721</v>
      </c>
      <c r="B6110" t="s">
        <v>83</v>
      </c>
      <c r="C6110" t="s">
        <v>614</v>
      </c>
      <c r="D6110">
        <v>3489.63</v>
      </c>
      <c r="E6110" s="37" t="str">
        <f t="shared" si="475"/>
        <v xml:space="preserve"> </v>
      </c>
      <c r="F6110">
        <v>0.23</v>
      </c>
      <c r="G6110" s="37" t="str">
        <f t="shared" si="476"/>
        <v>Normal Discount</v>
      </c>
      <c r="H6110" s="37" t="str">
        <f t="shared" si="477"/>
        <v>Medium</v>
      </c>
      <c r="I6110">
        <v>3</v>
      </c>
      <c r="J6110" t="str" cm="1">
        <f t="array" ref="J6110">_xlfn.IFS(I6110&lt;=3,"small",I6110&lt;=6,"Medium",I6110&lt;=9,"Large")</f>
        <v>small</v>
      </c>
      <c r="K6110" s="36">
        <v>45596</v>
      </c>
      <c r="L6110" s="36">
        <v>45598</v>
      </c>
      <c r="M6110" t="s">
        <v>598</v>
      </c>
      <c r="N6110" t="s">
        <v>608</v>
      </c>
      <c r="O6110" s="37" t="str">
        <f t="shared" si="478"/>
        <v>Cash Payment</v>
      </c>
      <c r="P6110">
        <v>731.63</v>
      </c>
      <c r="Q6110" s="37" t="str">
        <f>IF(P6110&gt;500,"High","low")</f>
        <v>High</v>
      </c>
      <c r="R6110" s="37" t="str">
        <f t="shared" si="479"/>
        <v>Good</v>
      </c>
      <c r="S6110" t="s">
        <v>620</v>
      </c>
    </row>
    <row r="6111" spans="1:19" x14ac:dyDescent="0.2">
      <c r="A6111" t="s">
        <v>6722</v>
      </c>
      <c r="B6111" t="s">
        <v>83</v>
      </c>
      <c r="C6111" t="s">
        <v>607</v>
      </c>
      <c r="D6111">
        <v>3690.55</v>
      </c>
      <c r="E6111" s="37" t="str">
        <f t="shared" si="475"/>
        <v xml:space="preserve"> </v>
      </c>
      <c r="F6111">
        <v>0.01</v>
      </c>
      <c r="G6111" s="37" t="str">
        <f t="shared" si="476"/>
        <v>Normal Discount</v>
      </c>
      <c r="H6111" s="37" t="str">
        <f t="shared" si="477"/>
        <v>Low</v>
      </c>
      <c r="I6111">
        <v>7</v>
      </c>
      <c r="J6111" t="str" cm="1">
        <f t="array" ref="J6111">_xlfn.IFS(I6111&lt;=3,"small",I6111&lt;=6,"Medium",I6111&lt;=9,"Large")</f>
        <v>Large</v>
      </c>
      <c r="K6111" s="36">
        <v>45049</v>
      </c>
      <c r="L6111" s="36">
        <v>45051</v>
      </c>
      <c r="M6111" t="s">
        <v>598</v>
      </c>
      <c r="N6111" t="s">
        <v>599</v>
      </c>
      <c r="O6111" s="37" t="str">
        <f t="shared" si="478"/>
        <v>Digital Payment</v>
      </c>
      <c r="P6111">
        <v>760.59</v>
      </c>
      <c r="Q6111" s="37" t="str">
        <f>IF(P6111&gt;500,"High","low")</f>
        <v>High</v>
      </c>
      <c r="R6111" s="37" t="str">
        <f t="shared" si="479"/>
        <v>Good</v>
      </c>
      <c r="S6111" t="s">
        <v>600</v>
      </c>
    </row>
    <row r="6112" spans="1:19" x14ac:dyDescent="0.2">
      <c r="A6112" t="s">
        <v>6723</v>
      </c>
      <c r="B6112" t="s">
        <v>83</v>
      </c>
      <c r="C6112" t="s">
        <v>607</v>
      </c>
      <c r="D6112">
        <v>3661.91</v>
      </c>
      <c r="E6112" s="37" t="str">
        <f t="shared" si="475"/>
        <v xml:space="preserve"> </v>
      </c>
      <c r="F6112">
        <v>0.22</v>
      </c>
      <c r="G6112" s="37" t="str">
        <f t="shared" si="476"/>
        <v>Normal Discount</v>
      </c>
      <c r="H6112" s="37" t="str">
        <f t="shared" si="477"/>
        <v>Medium</v>
      </c>
      <c r="I6112">
        <v>6</v>
      </c>
      <c r="J6112" t="str" cm="1">
        <f t="array" ref="J6112">_xlfn.IFS(I6112&lt;=3,"small",I6112&lt;=6,"Medium",I6112&lt;=9,"Large")</f>
        <v>Medium</v>
      </c>
      <c r="K6112" s="36">
        <v>45541</v>
      </c>
      <c r="L6112" s="36">
        <v>45542</v>
      </c>
      <c r="M6112" t="s">
        <v>612</v>
      </c>
      <c r="N6112" t="s">
        <v>599</v>
      </c>
      <c r="O6112" s="37" t="str">
        <f t="shared" si="478"/>
        <v>Digital Payment</v>
      </c>
      <c r="P6112">
        <v>385.51</v>
      </c>
      <c r="Q6112" s="37" t="str">
        <f>IF(P6112&gt;500,"High","low")</f>
        <v>low</v>
      </c>
      <c r="R6112" s="37" t="str">
        <f t="shared" si="479"/>
        <v>AVERAGE</v>
      </c>
      <c r="S6112" t="s">
        <v>605</v>
      </c>
    </row>
    <row r="6113" spans="1:19" x14ac:dyDescent="0.2">
      <c r="A6113" t="s">
        <v>6724</v>
      </c>
      <c r="B6113" t="s">
        <v>83</v>
      </c>
      <c r="C6113" t="s">
        <v>597</v>
      </c>
      <c r="D6113">
        <v>4687.55</v>
      </c>
      <c r="E6113" s="37" t="str">
        <f t="shared" si="475"/>
        <v xml:space="preserve"> </v>
      </c>
      <c r="F6113">
        <v>0.2</v>
      </c>
      <c r="G6113" s="37" t="str">
        <f t="shared" si="476"/>
        <v>Normal Discount</v>
      </c>
      <c r="H6113" s="37" t="str">
        <f t="shared" si="477"/>
        <v>Medium</v>
      </c>
      <c r="I6113">
        <v>6</v>
      </c>
      <c r="J6113" t="str" cm="1">
        <f t="array" ref="J6113">_xlfn.IFS(I6113&lt;=3,"small",I6113&lt;=6,"Medium",I6113&lt;=9,"Large")</f>
        <v>Medium</v>
      </c>
      <c r="K6113" s="36">
        <v>45198</v>
      </c>
      <c r="L6113" s="36">
        <v>45199</v>
      </c>
      <c r="M6113" t="s">
        <v>603</v>
      </c>
      <c r="N6113" t="s">
        <v>599</v>
      </c>
      <c r="O6113" s="37" t="str">
        <f t="shared" si="478"/>
        <v>Digital Payment</v>
      </c>
      <c r="P6113">
        <v>744.18</v>
      </c>
      <c r="Q6113" s="37" t="str">
        <f>IF(P6113&gt;500,"High","low")</f>
        <v>High</v>
      </c>
      <c r="R6113" s="37" t="str">
        <f t="shared" si="479"/>
        <v>Good</v>
      </c>
      <c r="S6113" t="s">
        <v>609</v>
      </c>
    </row>
    <row r="6114" spans="1:19" x14ac:dyDescent="0.2">
      <c r="A6114" t="s">
        <v>6725</v>
      </c>
      <c r="B6114" t="s">
        <v>90</v>
      </c>
      <c r="C6114" t="s">
        <v>597</v>
      </c>
      <c r="D6114">
        <v>1262.3800000000001</v>
      </c>
      <c r="E6114" s="37" t="str">
        <f t="shared" si="475"/>
        <v xml:space="preserve"> </v>
      </c>
      <c r="F6114">
        <v>0.28000000000000003</v>
      </c>
      <c r="G6114" s="37" t="str">
        <f t="shared" si="476"/>
        <v>Normal Discount</v>
      </c>
      <c r="H6114" s="37" t="str">
        <f t="shared" si="477"/>
        <v>Medium</v>
      </c>
      <c r="I6114">
        <v>3</v>
      </c>
      <c r="J6114" t="str" cm="1">
        <f t="array" ref="J6114">_xlfn.IFS(I6114&lt;=3,"small",I6114&lt;=6,"Medium",I6114&lt;=9,"Large")</f>
        <v>small</v>
      </c>
      <c r="K6114" s="36">
        <v>45084</v>
      </c>
      <c r="L6114" s="36">
        <v>45087</v>
      </c>
      <c r="M6114" t="s">
        <v>598</v>
      </c>
      <c r="N6114" t="s">
        <v>608</v>
      </c>
      <c r="O6114" s="37" t="str">
        <f t="shared" si="478"/>
        <v>Cash Payment</v>
      </c>
      <c r="P6114">
        <v>304.93</v>
      </c>
      <c r="Q6114" s="37" t="str">
        <f>IF(P6114&gt;500,"High","low")</f>
        <v>low</v>
      </c>
      <c r="R6114" s="37" t="str">
        <f t="shared" si="479"/>
        <v>AVERAGE</v>
      </c>
      <c r="S6114" t="s">
        <v>628</v>
      </c>
    </row>
    <row r="6115" spans="1:19" x14ac:dyDescent="0.2">
      <c r="A6115" t="s">
        <v>6726</v>
      </c>
      <c r="B6115" t="s">
        <v>90</v>
      </c>
      <c r="C6115" t="s">
        <v>597</v>
      </c>
      <c r="D6115">
        <v>1423.76</v>
      </c>
      <c r="E6115" s="37" t="str">
        <f t="shared" si="475"/>
        <v xml:space="preserve"> </v>
      </c>
      <c r="F6115">
        <v>0.13</v>
      </c>
      <c r="G6115" s="37" t="str">
        <f t="shared" si="476"/>
        <v>Normal Discount</v>
      </c>
      <c r="H6115" s="37" t="str">
        <f t="shared" si="477"/>
        <v>Low</v>
      </c>
      <c r="I6115">
        <v>6</v>
      </c>
      <c r="J6115" t="str" cm="1">
        <f t="array" ref="J6115">_xlfn.IFS(I6115&lt;=3,"small",I6115&lt;=6,"Medium",I6115&lt;=9,"Large")</f>
        <v>Medium</v>
      </c>
      <c r="K6115" s="36">
        <v>45506</v>
      </c>
      <c r="L6115" s="36">
        <v>45510</v>
      </c>
      <c r="M6115" t="s">
        <v>612</v>
      </c>
      <c r="N6115" t="s">
        <v>599</v>
      </c>
      <c r="O6115" s="37" t="str">
        <f t="shared" si="478"/>
        <v>Digital Payment</v>
      </c>
      <c r="P6115">
        <v>142.97</v>
      </c>
      <c r="Q6115" s="37" t="str">
        <f>IF(P6115&gt;500,"High","low")</f>
        <v>low</v>
      </c>
      <c r="R6115" s="37" t="str">
        <f t="shared" si="479"/>
        <v>AVERAGE</v>
      </c>
      <c r="S6115" t="s">
        <v>609</v>
      </c>
    </row>
    <row r="6116" spans="1:19" x14ac:dyDescent="0.2">
      <c r="A6116" t="s">
        <v>6727</v>
      </c>
      <c r="B6116" t="s">
        <v>90</v>
      </c>
      <c r="C6116" t="s">
        <v>614</v>
      </c>
      <c r="D6116">
        <v>561.59</v>
      </c>
      <c r="E6116" s="37" t="str">
        <f t="shared" si="475"/>
        <v xml:space="preserve"> </v>
      </c>
      <c r="F6116">
        <v>0.16</v>
      </c>
      <c r="G6116" s="37" t="str">
        <f t="shared" si="476"/>
        <v>Normal Discount</v>
      </c>
      <c r="H6116" s="37" t="str">
        <f t="shared" si="477"/>
        <v>Low</v>
      </c>
      <c r="I6116">
        <v>4</v>
      </c>
      <c r="J6116" t="str" cm="1">
        <f t="array" ref="J6116">_xlfn.IFS(I6116&lt;=3,"small",I6116&lt;=6,"Medium",I6116&lt;=9,"Large")</f>
        <v>Medium</v>
      </c>
      <c r="K6116" s="36">
        <v>45215</v>
      </c>
      <c r="L6116" s="36">
        <v>45219</v>
      </c>
      <c r="M6116" t="s">
        <v>612</v>
      </c>
      <c r="N6116" t="s">
        <v>604</v>
      </c>
      <c r="O6116" s="37" t="str">
        <f t="shared" si="478"/>
        <v>Digital Payment</v>
      </c>
      <c r="P6116">
        <v>112.76</v>
      </c>
      <c r="Q6116" s="37" t="str">
        <f>IF(P6116&gt;500,"High","low")</f>
        <v>low</v>
      </c>
      <c r="R6116" s="37" t="str">
        <f t="shared" si="479"/>
        <v>AVERAGE</v>
      </c>
      <c r="S6116" t="s">
        <v>620</v>
      </c>
    </row>
    <row r="6117" spans="1:19" x14ac:dyDescent="0.2">
      <c r="A6117" t="s">
        <v>6728</v>
      </c>
      <c r="B6117" t="s">
        <v>90</v>
      </c>
      <c r="C6117" t="s">
        <v>607</v>
      </c>
      <c r="D6117">
        <v>3003.67</v>
      </c>
      <c r="E6117" s="37" t="str">
        <f t="shared" si="475"/>
        <v xml:space="preserve"> </v>
      </c>
      <c r="F6117">
        <v>0.3</v>
      </c>
      <c r="G6117" s="37" t="str">
        <f t="shared" si="476"/>
        <v>Normal Discount</v>
      </c>
      <c r="H6117" s="37" t="str">
        <f t="shared" si="477"/>
        <v>Medium</v>
      </c>
      <c r="I6117">
        <v>1</v>
      </c>
      <c r="J6117" t="str" cm="1">
        <f t="array" ref="J6117">_xlfn.IFS(I6117&lt;=3,"small",I6117&lt;=6,"Medium",I6117&lt;=9,"Large")</f>
        <v>small</v>
      </c>
      <c r="K6117" s="36">
        <v>45367</v>
      </c>
      <c r="L6117" s="36">
        <v>45374</v>
      </c>
      <c r="M6117" t="s">
        <v>603</v>
      </c>
      <c r="N6117" t="s">
        <v>608</v>
      </c>
      <c r="O6117" s="37" t="str">
        <f t="shared" si="478"/>
        <v>Cash Payment</v>
      </c>
      <c r="P6117">
        <v>479.85</v>
      </c>
      <c r="Q6117" s="37" t="str">
        <f>IF(P6117&gt;500,"High","low")</f>
        <v>low</v>
      </c>
      <c r="R6117" s="37" t="str">
        <f t="shared" si="479"/>
        <v>AVERAGE</v>
      </c>
      <c r="S6117" t="s">
        <v>605</v>
      </c>
    </row>
    <row r="6118" spans="1:19" x14ac:dyDescent="0.2">
      <c r="A6118" t="s">
        <v>6729</v>
      </c>
      <c r="B6118" t="s">
        <v>75</v>
      </c>
      <c r="C6118" t="s">
        <v>602</v>
      </c>
      <c r="D6118">
        <v>2036.41</v>
      </c>
      <c r="E6118" s="37" t="str">
        <f t="shared" si="475"/>
        <v xml:space="preserve"> </v>
      </c>
      <c r="F6118">
        <v>0.45</v>
      </c>
      <c r="G6118" s="37" t="str">
        <f t="shared" si="476"/>
        <v>Heavy Discount</v>
      </c>
      <c r="H6118" s="37" t="str">
        <f t="shared" si="477"/>
        <v>High</v>
      </c>
      <c r="I6118">
        <v>8</v>
      </c>
      <c r="J6118" t="str" cm="1">
        <f t="array" ref="J6118">_xlfn.IFS(I6118&lt;=3,"small",I6118&lt;=6,"Medium",I6118&lt;=9,"Large")</f>
        <v>Large</v>
      </c>
      <c r="K6118" s="36">
        <v>45178</v>
      </c>
      <c r="L6118" s="36">
        <v>45183</v>
      </c>
      <c r="M6118" t="s">
        <v>598</v>
      </c>
      <c r="N6118" t="s">
        <v>608</v>
      </c>
      <c r="O6118" s="37" t="str">
        <f t="shared" si="478"/>
        <v>Cash Payment</v>
      </c>
      <c r="P6118">
        <v>302.54000000000002</v>
      </c>
      <c r="Q6118" s="37" t="str">
        <f>IF(P6118&gt;500,"High","low")</f>
        <v>low</v>
      </c>
      <c r="R6118" s="37" t="str">
        <f t="shared" si="479"/>
        <v>AVERAGE</v>
      </c>
      <c r="S6118" t="s">
        <v>609</v>
      </c>
    </row>
    <row r="6119" spans="1:19" x14ac:dyDescent="0.2">
      <c r="A6119" t="s">
        <v>6730</v>
      </c>
      <c r="B6119" t="s">
        <v>90</v>
      </c>
      <c r="C6119" t="s">
        <v>614</v>
      </c>
      <c r="D6119">
        <v>2531.37</v>
      </c>
      <c r="E6119" s="37" t="str">
        <f t="shared" si="475"/>
        <v xml:space="preserve"> </v>
      </c>
      <c r="F6119">
        <v>0.12</v>
      </c>
      <c r="G6119" s="37" t="str">
        <f t="shared" si="476"/>
        <v>Normal Discount</v>
      </c>
      <c r="H6119" s="37" t="str">
        <f t="shared" si="477"/>
        <v>Low</v>
      </c>
      <c r="I6119">
        <v>9</v>
      </c>
      <c r="J6119" t="str" cm="1">
        <f t="array" ref="J6119">_xlfn.IFS(I6119&lt;=3,"small",I6119&lt;=6,"Medium",I6119&lt;=9,"Large")</f>
        <v>Large</v>
      </c>
      <c r="K6119" s="36">
        <v>45594</v>
      </c>
      <c r="L6119" s="36">
        <v>45598</v>
      </c>
      <c r="M6119" t="s">
        <v>598</v>
      </c>
      <c r="N6119" t="s">
        <v>599</v>
      </c>
      <c r="O6119" s="37" t="str">
        <f t="shared" si="478"/>
        <v>Digital Payment</v>
      </c>
      <c r="P6119">
        <v>334.99</v>
      </c>
      <c r="Q6119" s="37" t="str">
        <f>IF(P6119&gt;500,"High","low")</f>
        <v>low</v>
      </c>
      <c r="R6119" s="37" t="str">
        <f t="shared" si="479"/>
        <v>AVERAGE</v>
      </c>
      <c r="S6119" t="s">
        <v>600</v>
      </c>
    </row>
    <row r="6120" spans="1:19" x14ac:dyDescent="0.2">
      <c r="A6120" t="s">
        <v>6731</v>
      </c>
      <c r="B6120" t="s">
        <v>83</v>
      </c>
      <c r="C6120" t="s">
        <v>617</v>
      </c>
      <c r="D6120">
        <v>932.13</v>
      </c>
      <c r="E6120" s="37" t="str">
        <f t="shared" si="475"/>
        <v xml:space="preserve"> </v>
      </c>
      <c r="F6120">
        <v>0.34</v>
      </c>
      <c r="G6120" s="37" t="str">
        <f t="shared" si="476"/>
        <v>Heavy Discount</v>
      </c>
      <c r="H6120" s="37" t="str">
        <f t="shared" si="477"/>
        <v>Medium</v>
      </c>
      <c r="I6120">
        <v>3</v>
      </c>
      <c r="J6120" t="str" cm="1">
        <f t="array" ref="J6120">_xlfn.IFS(I6120&lt;=3,"small",I6120&lt;=6,"Medium",I6120&lt;=9,"Large")</f>
        <v>small</v>
      </c>
      <c r="K6120" s="36">
        <v>45395</v>
      </c>
      <c r="L6120" s="36">
        <v>45396</v>
      </c>
      <c r="M6120" t="s">
        <v>598</v>
      </c>
      <c r="N6120" t="s">
        <v>604</v>
      </c>
      <c r="O6120" s="37" t="str">
        <f t="shared" si="478"/>
        <v>Digital Payment</v>
      </c>
      <c r="P6120">
        <v>173.52</v>
      </c>
      <c r="Q6120" s="37" t="str">
        <f>IF(P6120&gt;500,"High","low")</f>
        <v>low</v>
      </c>
      <c r="R6120" s="37" t="str">
        <f t="shared" si="479"/>
        <v>AVERAGE</v>
      </c>
      <c r="S6120" t="s">
        <v>620</v>
      </c>
    </row>
    <row r="6121" spans="1:19" x14ac:dyDescent="0.2">
      <c r="A6121" t="s">
        <v>6732</v>
      </c>
      <c r="B6121" t="s">
        <v>67</v>
      </c>
      <c r="C6121" t="s">
        <v>614</v>
      </c>
      <c r="D6121">
        <v>3280.4</v>
      </c>
      <c r="E6121" s="37" t="str">
        <f t="shared" si="475"/>
        <v xml:space="preserve"> </v>
      </c>
      <c r="F6121">
        <v>0.26</v>
      </c>
      <c r="G6121" s="37" t="str">
        <f t="shared" si="476"/>
        <v>Normal Discount</v>
      </c>
      <c r="H6121" s="37" t="str">
        <f t="shared" si="477"/>
        <v>Medium</v>
      </c>
      <c r="I6121">
        <v>1</v>
      </c>
      <c r="J6121" t="str" cm="1">
        <f t="array" ref="J6121">_xlfn.IFS(I6121&lt;=3,"small",I6121&lt;=6,"Medium",I6121&lt;=9,"Large")</f>
        <v>small</v>
      </c>
      <c r="K6121" s="36">
        <v>45645</v>
      </c>
      <c r="L6121" s="36">
        <v>45650</v>
      </c>
      <c r="M6121" t="s">
        <v>598</v>
      </c>
      <c r="N6121" t="s">
        <v>608</v>
      </c>
      <c r="O6121" s="37" t="str">
        <f t="shared" si="478"/>
        <v>Cash Payment</v>
      </c>
      <c r="P6121">
        <v>370.06</v>
      </c>
      <c r="Q6121" s="37" t="str">
        <f>IF(P6121&gt;500,"High","low")</f>
        <v>low</v>
      </c>
      <c r="R6121" s="37" t="str">
        <f t="shared" si="479"/>
        <v>AVERAGE</v>
      </c>
      <c r="S6121" t="s">
        <v>615</v>
      </c>
    </row>
    <row r="6122" spans="1:19" x14ac:dyDescent="0.2">
      <c r="A6122" t="s">
        <v>6733</v>
      </c>
      <c r="B6122" t="s">
        <v>90</v>
      </c>
      <c r="C6122" t="s">
        <v>607</v>
      </c>
      <c r="D6122">
        <v>3133.19</v>
      </c>
      <c r="E6122" s="37" t="str">
        <f t="shared" si="475"/>
        <v xml:space="preserve"> </v>
      </c>
      <c r="F6122">
        <v>0.05</v>
      </c>
      <c r="G6122" s="37" t="str">
        <f t="shared" si="476"/>
        <v>Normal Discount</v>
      </c>
      <c r="H6122" s="37" t="str">
        <f t="shared" si="477"/>
        <v>Low</v>
      </c>
      <c r="I6122">
        <v>1</v>
      </c>
      <c r="J6122" t="str" cm="1">
        <f t="array" ref="J6122">_xlfn.IFS(I6122&lt;=3,"small",I6122&lt;=6,"Medium",I6122&lt;=9,"Large")</f>
        <v>small</v>
      </c>
      <c r="K6122" s="36">
        <v>45464</v>
      </c>
      <c r="L6122" s="36">
        <v>45468</v>
      </c>
      <c r="M6122" t="s">
        <v>598</v>
      </c>
      <c r="N6122" t="s">
        <v>608</v>
      </c>
      <c r="O6122" s="37" t="str">
        <f t="shared" si="478"/>
        <v>Cash Payment</v>
      </c>
      <c r="P6122">
        <v>655.36</v>
      </c>
      <c r="Q6122" s="37" t="str">
        <f>IF(P6122&gt;500,"High","low")</f>
        <v>High</v>
      </c>
      <c r="R6122" s="37" t="str">
        <f t="shared" si="479"/>
        <v>Good</v>
      </c>
      <c r="S6122" t="s">
        <v>628</v>
      </c>
    </row>
    <row r="6123" spans="1:19" x14ac:dyDescent="0.2">
      <c r="A6123" t="s">
        <v>6734</v>
      </c>
      <c r="B6123" t="s">
        <v>75</v>
      </c>
      <c r="C6123" t="s">
        <v>617</v>
      </c>
      <c r="D6123">
        <v>1397.44</v>
      </c>
      <c r="E6123" s="37" t="str">
        <f t="shared" si="475"/>
        <v xml:space="preserve"> </v>
      </c>
      <c r="F6123">
        <v>0.28000000000000003</v>
      </c>
      <c r="G6123" s="37" t="str">
        <f t="shared" si="476"/>
        <v>Normal Discount</v>
      </c>
      <c r="H6123" s="37" t="str">
        <f t="shared" si="477"/>
        <v>Medium</v>
      </c>
      <c r="I6123">
        <v>1</v>
      </c>
      <c r="J6123" t="str" cm="1">
        <f t="array" ref="J6123">_xlfn.IFS(I6123&lt;=3,"small",I6123&lt;=6,"Medium",I6123&lt;=9,"Large")</f>
        <v>small</v>
      </c>
      <c r="K6123" s="36">
        <v>45563</v>
      </c>
      <c r="L6123" s="36">
        <v>45566</v>
      </c>
      <c r="M6123" t="s">
        <v>603</v>
      </c>
      <c r="N6123" t="s">
        <v>608</v>
      </c>
      <c r="O6123" s="37" t="str">
        <f t="shared" si="478"/>
        <v>Cash Payment</v>
      </c>
      <c r="P6123">
        <v>109.79</v>
      </c>
      <c r="Q6123" s="37" t="str">
        <f>IF(P6123&gt;500,"High","low")</f>
        <v>low</v>
      </c>
      <c r="R6123" s="37" t="str">
        <f t="shared" si="479"/>
        <v>AVERAGE</v>
      </c>
      <c r="S6123" t="s">
        <v>600</v>
      </c>
    </row>
    <row r="6124" spans="1:19" x14ac:dyDescent="0.2">
      <c r="A6124" t="s">
        <v>6735</v>
      </c>
      <c r="B6124" t="s">
        <v>83</v>
      </c>
      <c r="C6124" t="s">
        <v>614</v>
      </c>
      <c r="D6124">
        <v>2380.54</v>
      </c>
      <c r="E6124" s="37" t="str">
        <f t="shared" si="475"/>
        <v xml:space="preserve"> </v>
      </c>
      <c r="F6124">
        <v>0.35</v>
      </c>
      <c r="G6124" s="37" t="str">
        <f t="shared" si="476"/>
        <v>Heavy Discount</v>
      </c>
      <c r="H6124" s="37" t="str">
        <f t="shared" si="477"/>
        <v>Medium</v>
      </c>
      <c r="I6124">
        <v>9</v>
      </c>
      <c r="J6124" t="str" cm="1">
        <f t="array" ref="J6124">_xlfn.IFS(I6124&lt;=3,"small",I6124&lt;=6,"Medium",I6124&lt;=9,"Large")</f>
        <v>Large</v>
      </c>
      <c r="K6124" s="36">
        <v>45452</v>
      </c>
      <c r="L6124" s="36">
        <v>45453</v>
      </c>
      <c r="M6124" t="s">
        <v>598</v>
      </c>
      <c r="N6124" t="s">
        <v>599</v>
      </c>
      <c r="O6124" s="37" t="str">
        <f t="shared" si="478"/>
        <v>Digital Payment</v>
      </c>
      <c r="P6124">
        <v>629.88</v>
      </c>
      <c r="Q6124" s="37" t="str">
        <f>IF(P6124&gt;500,"High","low")</f>
        <v>High</v>
      </c>
      <c r="R6124" s="37" t="str">
        <f t="shared" si="479"/>
        <v>Good</v>
      </c>
      <c r="S6124" t="s">
        <v>628</v>
      </c>
    </row>
    <row r="6125" spans="1:19" x14ac:dyDescent="0.2">
      <c r="A6125" t="s">
        <v>6736</v>
      </c>
      <c r="B6125" t="s">
        <v>67</v>
      </c>
      <c r="C6125" t="s">
        <v>607</v>
      </c>
      <c r="D6125">
        <v>4482.07</v>
      </c>
      <c r="E6125" s="37" t="str">
        <f t="shared" si="475"/>
        <v>Excellent Order</v>
      </c>
      <c r="F6125">
        <v>0.3</v>
      </c>
      <c r="G6125" s="37" t="str">
        <f t="shared" si="476"/>
        <v>Normal Discount</v>
      </c>
      <c r="H6125" s="37" t="str">
        <f t="shared" si="477"/>
        <v>Medium</v>
      </c>
      <c r="I6125">
        <v>5</v>
      </c>
      <c r="J6125" t="str" cm="1">
        <f t="array" ref="J6125">_xlfn.IFS(I6125&lt;=3,"small",I6125&lt;=6,"Medium",I6125&lt;=9,"Large")</f>
        <v>Medium</v>
      </c>
      <c r="K6125" s="36">
        <v>45623</v>
      </c>
      <c r="L6125" s="36">
        <v>45624</v>
      </c>
      <c r="M6125" t="s">
        <v>612</v>
      </c>
      <c r="N6125" t="s">
        <v>604</v>
      </c>
      <c r="O6125" s="37" t="str">
        <f t="shared" si="478"/>
        <v>Digital Payment</v>
      </c>
      <c r="P6125">
        <v>1080.8699999999999</v>
      </c>
      <c r="Q6125" s="37" t="str">
        <f>IF(P6125&gt;500,"High","low")</f>
        <v>High</v>
      </c>
      <c r="R6125" s="37" t="str">
        <f t="shared" si="479"/>
        <v>Excellent</v>
      </c>
      <c r="S6125" t="s">
        <v>600</v>
      </c>
    </row>
    <row r="6126" spans="1:19" x14ac:dyDescent="0.2">
      <c r="A6126" t="s">
        <v>6737</v>
      </c>
      <c r="B6126" t="s">
        <v>67</v>
      </c>
      <c r="C6126" t="s">
        <v>607</v>
      </c>
      <c r="D6126">
        <v>3890.15</v>
      </c>
      <c r="E6126" s="37" t="str">
        <f t="shared" si="475"/>
        <v xml:space="preserve"> </v>
      </c>
      <c r="F6126">
        <v>0.05</v>
      </c>
      <c r="G6126" s="37" t="str">
        <f t="shared" si="476"/>
        <v>Normal Discount</v>
      </c>
      <c r="H6126" s="37" t="str">
        <f t="shared" si="477"/>
        <v>Low</v>
      </c>
      <c r="I6126">
        <v>3</v>
      </c>
      <c r="J6126" t="str" cm="1">
        <f t="array" ref="J6126">_xlfn.IFS(I6126&lt;=3,"small",I6126&lt;=6,"Medium",I6126&lt;=9,"Large")</f>
        <v>small</v>
      </c>
      <c r="K6126" s="36">
        <v>45581</v>
      </c>
      <c r="L6126" s="36">
        <v>45585</v>
      </c>
      <c r="M6126" t="s">
        <v>598</v>
      </c>
      <c r="N6126" t="s">
        <v>608</v>
      </c>
      <c r="O6126" s="37" t="str">
        <f t="shared" si="478"/>
        <v>Cash Payment</v>
      </c>
      <c r="P6126">
        <v>598.87</v>
      </c>
      <c r="Q6126" s="37" t="str">
        <f>IF(P6126&gt;500,"High","low")</f>
        <v>High</v>
      </c>
      <c r="R6126" s="37" t="str">
        <f t="shared" si="479"/>
        <v>Good</v>
      </c>
      <c r="S6126" t="s">
        <v>605</v>
      </c>
    </row>
    <row r="6127" spans="1:19" x14ac:dyDescent="0.2">
      <c r="A6127" t="s">
        <v>6738</v>
      </c>
      <c r="B6127" t="s">
        <v>90</v>
      </c>
      <c r="C6127" t="s">
        <v>602</v>
      </c>
      <c r="D6127">
        <v>1212.02</v>
      </c>
      <c r="E6127" s="37" t="str">
        <f t="shared" si="475"/>
        <v xml:space="preserve"> </v>
      </c>
      <c r="F6127">
        <v>0.43</v>
      </c>
      <c r="G6127" s="37" t="str">
        <f t="shared" si="476"/>
        <v>Heavy Discount</v>
      </c>
      <c r="H6127" s="37" t="str">
        <f t="shared" si="477"/>
        <v>High</v>
      </c>
      <c r="I6127">
        <v>9</v>
      </c>
      <c r="J6127" t="str" cm="1">
        <f t="array" ref="J6127">_xlfn.IFS(I6127&lt;=3,"small",I6127&lt;=6,"Medium",I6127&lt;=9,"Large")</f>
        <v>Large</v>
      </c>
      <c r="K6127" s="36">
        <v>45632</v>
      </c>
      <c r="L6127" s="36">
        <v>45635</v>
      </c>
      <c r="M6127" t="s">
        <v>603</v>
      </c>
      <c r="N6127" t="s">
        <v>604</v>
      </c>
      <c r="O6127" s="37" t="str">
        <f t="shared" si="478"/>
        <v>Digital Payment</v>
      </c>
      <c r="P6127">
        <v>114.59</v>
      </c>
      <c r="Q6127" s="37" t="str">
        <f>IF(P6127&gt;500,"High","low")</f>
        <v>low</v>
      </c>
      <c r="R6127" s="37" t="str">
        <f t="shared" si="479"/>
        <v>AVERAGE</v>
      </c>
      <c r="S6127" t="s">
        <v>605</v>
      </c>
    </row>
    <row r="6128" spans="1:19" x14ac:dyDescent="0.2">
      <c r="A6128" t="s">
        <v>6739</v>
      </c>
      <c r="B6128" t="s">
        <v>67</v>
      </c>
      <c r="C6128" t="s">
        <v>614</v>
      </c>
      <c r="D6128">
        <v>4406.3900000000003</v>
      </c>
      <c r="E6128" s="37" t="str">
        <f t="shared" si="475"/>
        <v xml:space="preserve"> </v>
      </c>
      <c r="F6128">
        <v>0.02</v>
      </c>
      <c r="G6128" s="37" t="str">
        <f t="shared" si="476"/>
        <v>Normal Discount</v>
      </c>
      <c r="H6128" s="37" t="str">
        <f t="shared" si="477"/>
        <v>Low</v>
      </c>
      <c r="I6128">
        <v>9</v>
      </c>
      <c r="J6128" t="str" cm="1">
        <f t="array" ref="J6128">_xlfn.IFS(I6128&lt;=3,"small",I6128&lt;=6,"Medium",I6128&lt;=9,"Large")</f>
        <v>Large</v>
      </c>
      <c r="K6128" s="36">
        <v>44942</v>
      </c>
      <c r="L6128" s="36">
        <v>44949</v>
      </c>
      <c r="M6128" t="s">
        <v>603</v>
      </c>
      <c r="N6128" t="s">
        <v>599</v>
      </c>
      <c r="O6128" s="37" t="str">
        <f t="shared" si="478"/>
        <v>Digital Payment</v>
      </c>
      <c r="P6128">
        <v>655.48</v>
      </c>
      <c r="Q6128" s="37" t="str">
        <f>IF(P6128&gt;500,"High","low")</f>
        <v>High</v>
      </c>
      <c r="R6128" s="37" t="str">
        <f t="shared" si="479"/>
        <v>Good</v>
      </c>
      <c r="S6128" t="s">
        <v>615</v>
      </c>
    </row>
    <row r="6129" spans="1:19" x14ac:dyDescent="0.2">
      <c r="A6129" t="s">
        <v>6740</v>
      </c>
      <c r="B6129" t="s">
        <v>90</v>
      </c>
      <c r="C6129" t="s">
        <v>607</v>
      </c>
      <c r="D6129">
        <v>429.83</v>
      </c>
      <c r="E6129" s="37" t="str">
        <f t="shared" si="475"/>
        <v xml:space="preserve"> </v>
      </c>
      <c r="F6129">
        <v>0.12</v>
      </c>
      <c r="G6129" s="37" t="str">
        <f t="shared" si="476"/>
        <v>Normal Discount</v>
      </c>
      <c r="H6129" s="37" t="str">
        <f t="shared" si="477"/>
        <v>Low</v>
      </c>
      <c r="I6129">
        <v>6</v>
      </c>
      <c r="J6129" t="str" cm="1">
        <f t="array" ref="J6129">_xlfn.IFS(I6129&lt;=3,"small",I6129&lt;=6,"Medium",I6129&lt;=9,"Large")</f>
        <v>Medium</v>
      </c>
      <c r="K6129" s="36">
        <v>45219</v>
      </c>
      <c r="L6129" s="36">
        <v>45225</v>
      </c>
      <c r="M6129" t="s">
        <v>598</v>
      </c>
      <c r="N6129" t="s">
        <v>599</v>
      </c>
      <c r="O6129" s="37" t="str">
        <f t="shared" si="478"/>
        <v>Digital Payment</v>
      </c>
      <c r="P6129">
        <v>93.94</v>
      </c>
      <c r="Q6129" s="37" t="str">
        <f>IF(P6129&gt;500,"High","low")</f>
        <v>low</v>
      </c>
      <c r="R6129" s="37" t="str">
        <f t="shared" si="479"/>
        <v>AVERAGE</v>
      </c>
      <c r="S6129" t="s">
        <v>615</v>
      </c>
    </row>
    <row r="6130" spans="1:19" x14ac:dyDescent="0.2">
      <c r="A6130" t="s">
        <v>6741</v>
      </c>
      <c r="B6130" t="s">
        <v>90</v>
      </c>
      <c r="C6130" t="s">
        <v>597</v>
      </c>
      <c r="D6130">
        <v>2128.25</v>
      </c>
      <c r="E6130" s="37" t="str">
        <f t="shared" si="475"/>
        <v xml:space="preserve"> </v>
      </c>
      <c r="F6130">
        <v>0.31</v>
      </c>
      <c r="G6130" s="37" t="str">
        <f t="shared" si="476"/>
        <v>Heavy Discount</v>
      </c>
      <c r="H6130" s="37" t="str">
        <f t="shared" si="477"/>
        <v>Medium</v>
      </c>
      <c r="I6130">
        <v>5</v>
      </c>
      <c r="J6130" t="str" cm="1">
        <f t="array" ref="J6130">_xlfn.IFS(I6130&lt;=3,"small",I6130&lt;=6,"Medium",I6130&lt;=9,"Large")</f>
        <v>Medium</v>
      </c>
      <c r="K6130" s="36">
        <v>45177</v>
      </c>
      <c r="L6130" s="36">
        <v>45180</v>
      </c>
      <c r="M6130" t="s">
        <v>598</v>
      </c>
      <c r="N6130" t="s">
        <v>604</v>
      </c>
      <c r="O6130" s="37" t="str">
        <f t="shared" si="478"/>
        <v>Digital Payment</v>
      </c>
      <c r="P6130">
        <v>301.23</v>
      </c>
      <c r="Q6130" s="37" t="str">
        <f>IF(P6130&gt;500,"High","low")</f>
        <v>low</v>
      </c>
      <c r="R6130" s="37" t="str">
        <f t="shared" si="479"/>
        <v>AVERAGE</v>
      </c>
      <c r="S6130" t="s">
        <v>615</v>
      </c>
    </row>
    <row r="6131" spans="1:19" x14ac:dyDescent="0.2">
      <c r="A6131" t="s">
        <v>6742</v>
      </c>
      <c r="B6131" t="s">
        <v>83</v>
      </c>
      <c r="C6131" t="s">
        <v>607</v>
      </c>
      <c r="D6131">
        <v>492.58</v>
      </c>
      <c r="E6131" s="37" t="str">
        <f t="shared" si="475"/>
        <v xml:space="preserve"> </v>
      </c>
      <c r="F6131">
        <v>0.11</v>
      </c>
      <c r="G6131" s="37" t="str">
        <f t="shared" si="476"/>
        <v>Normal Discount</v>
      </c>
      <c r="H6131" s="37" t="str">
        <f t="shared" si="477"/>
        <v>Low</v>
      </c>
      <c r="I6131">
        <v>1</v>
      </c>
      <c r="J6131" t="str" cm="1">
        <f t="array" ref="J6131">_xlfn.IFS(I6131&lt;=3,"small",I6131&lt;=6,"Medium",I6131&lt;=9,"Large")</f>
        <v>small</v>
      </c>
      <c r="K6131" s="36">
        <v>45087</v>
      </c>
      <c r="L6131" s="36">
        <v>45093</v>
      </c>
      <c r="M6131" t="s">
        <v>612</v>
      </c>
      <c r="N6131" t="s">
        <v>604</v>
      </c>
      <c r="O6131" s="37" t="str">
        <f t="shared" si="478"/>
        <v>Digital Payment</v>
      </c>
      <c r="P6131">
        <v>34.770000000000003</v>
      </c>
      <c r="Q6131" s="37" t="str">
        <f>IF(P6131&gt;500,"High","low")</f>
        <v>low</v>
      </c>
      <c r="R6131" s="37" t="str">
        <f t="shared" si="479"/>
        <v>AVERAGE</v>
      </c>
      <c r="S6131" t="s">
        <v>600</v>
      </c>
    </row>
    <row r="6132" spans="1:19" x14ac:dyDescent="0.2">
      <c r="A6132" t="s">
        <v>6743</v>
      </c>
      <c r="B6132" t="s">
        <v>83</v>
      </c>
      <c r="C6132" t="s">
        <v>602</v>
      </c>
      <c r="D6132">
        <v>4628.6499999999996</v>
      </c>
      <c r="E6132" s="37" t="str">
        <f t="shared" si="475"/>
        <v xml:space="preserve"> </v>
      </c>
      <c r="F6132">
        <v>0.05</v>
      </c>
      <c r="G6132" s="37" t="str">
        <f t="shared" si="476"/>
        <v>Normal Discount</v>
      </c>
      <c r="H6132" s="37" t="str">
        <f t="shared" si="477"/>
        <v>Low</v>
      </c>
      <c r="I6132">
        <v>6</v>
      </c>
      <c r="J6132" t="str" cm="1">
        <f t="array" ref="J6132">_xlfn.IFS(I6132&lt;=3,"small",I6132&lt;=6,"Medium",I6132&lt;=9,"Large")</f>
        <v>Medium</v>
      </c>
      <c r="K6132" s="36">
        <v>45184</v>
      </c>
      <c r="L6132" s="36">
        <v>45186</v>
      </c>
      <c r="M6132" t="s">
        <v>612</v>
      </c>
      <c r="N6132" t="s">
        <v>599</v>
      </c>
      <c r="O6132" s="37" t="str">
        <f t="shared" si="478"/>
        <v>Digital Payment</v>
      </c>
      <c r="P6132">
        <v>357.7</v>
      </c>
      <c r="Q6132" s="37" t="str">
        <f>IF(P6132&gt;500,"High","low")</f>
        <v>low</v>
      </c>
      <c r="R6132" s="37" t="str">
        <f t="shared" si="479"/>
        <v>AVERAGE</v>
      </c>
      <c r="S6132" t="s">
        <v>628</v>
      </c>
    </row>
    <row r="6133" spans="1:19" x14ac:dyDescent="0.2">
      <c r="A6133" t="s">
        <v>6744</v>
      </c>
      <c r="B6133" t="s">
        <v>75</v>
      </c>
      <c r="C6133" t="s">
        <v>607</v>
      </c>
      <c r="D6133">
        <v>299.44</v>
      </c>
      <c r="E6133" s="37" t="str">
        <f t="shared" si="475"/>
        <v xml:space="preserve"> </v>
      </c>
      <c r="F6133">
        <v>0.26</v>
      </c>
      <c r="G6133" s="37" t="str">
        <f t="shared" si="476"/>
        <v>Normal Discount</v>
      </c>
      <c r="H6133" s="37" t="str">
        <f t="shared" si="477"/>
        <v>Medium</v>
      </c>
      <c r="I6133">
        <v>5</v>
      </c>
      <c r="J6133" t="str" cm="1">
        <f t="array" ref="J6133">_xlfn.IFS(I6133&lt;=3,"small",I6133&lt;=6,"Medium",I6133&lt;=9,"Large")</f>
        <v>Medium</v>
      </c>
      <c r="K6133" s="36">
        <v>45471</v>
      </c>
      <c r="L6133" s="36">
        <v>45472</v>
      </c>
      <c r="M6133" t="s">
        <v>598</v>
      </c>
      <c r="N6133" t="s">
        <v>604</v>
      </c>
      <c r="O6133" s="37" t="str">
        <f t="shared" si="478"/>
        <v>Digital Payment</v>
      </c>
      <c r="P6133">
        <v>67.12</v>
      </c>
      <c r="Q6133" s="37" t="str">
        <f>IF(P6133&gt;500,"High","low")</f>
        <v>low</v>
      </c>
      <c r="R6133" s="37" t="str">
        <f t="shared" si="479"/>
        <v>AVERAGE</v>
      </c>
      <c r="S6133" t="s">
        <v>609</v>
      </c>
    </row>
    <row r="6134" spans="1:19" x14ac:dyDescent="0.2">
      <c r="A6134" t="s">
        <v>6745</v>
      </c>
      <c r="B6134" t="s">
        <v>83</v>
      </c>
      <c r="C6134" t="s">
        <v>614</v>
      </c>
      <c r="D6134">
        <v>841.08</v>
      </c>
      <c r="E6134" s="37" t="str">
        <f t="shared" si="475"/>
        <v xml:space="preserve"> </v>
      </c>
      <c r="F6134">
        <v>0.36</v>
      </c>
      <c r="G6134" s="37" t="str">
        <f t="shared" si="476"/>
        <v>Heavy Discount</v>
      </c>
      <c r="H6134" s="37" t="str">
        <f t="shared" si="477"/>
        <v>Medium</v>
      </c>
      <c r="I6134">
        <v>9</v>
      </c>
      <c r="J6134" t="str" cm="1">
        <f t="array" ref="J6134">_xlfn.IFS(I6134&lt;=3,"small",I6134&lt;=6,"Medium",I6134&lt;=9,"Large")</f>
        <v>Large</v>
      </c>
      <c r="K6134" s="36">
        <v>44989</v>
      </c>
      <c r="L6134" s="36">
        <v>44990</v>
      </c>
      <c r="M6134" t="s">
        <v>603</v>
      </c>
      <c r="N6134" t="s">
        <v>604</v>
      </c>
      <c r="O6134" s="37" t="str">
        <f t="shared" si="478"/>
        <v>Digital Payment</v>
      </c>
      <c r="P6134">
        <v>222.21</v>
      </c>
      <c r="Q6134" s="37" t="str">
        <f>IF(P6134&gt;500,"High","low")</f>
        <v>low</v>
      </c>
      <c r="R6134" s="37" t="str">
        <f t="shared" si="479"/>
        <v>AVERAGE</v>
      </c>
      <c r="S6134" t="s">
        <v>628</v>
      </c>
    </row>
    <row r="6135" spans="1:19" x14ac:dyDescent="0.2">
      <c r="A6135" t="s">
        <v>6746</v>
      </c>
      <c r="B6135" t="s">
        <v>83</v>
      </c>
      <c r="C6135" t="s">
        <v>614</v>
      </c>
      <c r="D6135">
        <v>4583.7</v>
      </c>
      <c r="E6135" s="37" t="str">
        <f t="shared" si="475"/>
        <v>Excellent Order</v>
      </c>
      <c r="F6135">
        <v>0.21</v>
      </c>
      <c r="G6135" s="37" t="str">
        <f t="shared" si="476"/>
        <v>Normal Discount</v>
      </c>
      <c r="H6135" s="37" t="str">
        <f t="shared" si="477"/>
        <v>Medium</v>
      </c>
      <c r="I6135">
        <v>7</v>
      </c>
      <c r="J6135" t="str" cm="1">
        <f t="array" ref="J6135">_xlfn.IFS(I6135&lt;=3,"small",I6135&lt;=6,"Medium",I6135&lt;=9,"Large")</f>
        <v>Large</v>
      </c>
      <c r="K6135" s="36">
        <v>45266</v>
      </c>
      <c r="L6135" s="36">
        <v>45270</v>
      </c>
      <c r="M6135" t="s">
        <v>612</v>
      </c>
      <c r="N6135" t="s">
        <v>608</v>
      </c>
      <c r="O6135" s="37" t="str">
        <f t="shared" si="478"/>
        <v>Cash Payment</v>
      </c>
      <c r="P6135">
        <v>1179.45</v>
      </c>
      <c r="Q6135" s="37" t="str">
        <f>IF(P6135&gt;500,"High","low")</f>
        <v>High</v>
      </c>
      <c r="R6135" s="37" t="str">
        <f t="shared" si="479"/>
        <v>Excellent</v>
      </c>
      <c r="S6135" t="s">
        <v>609</v>
      </c>
    </row>
    <row r="6136" spans="1:19" x14ac:dyDescent="0.2">
      <c r="A6136" t="s">
        <v>6747</v>
      </c>
      <c r="B6136" t="s">
        <v>90</v>
      </c>
      <c r="C6136" t="s">
        <v>617</v>
      </c>
      <c r="D6136">
        <v>2952.57</v>
      </c>
      <c r="E6136" s="37" t="str">
        <f t="shared" si="475"/>
        <v xml:space="preserve"> </v>
      </c>
      <c r="F6136">
        <v>0.35</v>
      </c>
      <c r="G6136" s="37" t="str">
        <f t="shared" si="476"/>
        <v>Heavy Discount</v>
      </c>
      <c r="H6136" s="37" t="str">
        <f t="shared" si="477"/>
        <v>Medium</v>
      </c>
      <c r="I6136">
        <v>3</v>
      </c>
      <c r="J6136" t="str" cm="1">
        <f t="array" ref="J6136">_xlfn.IFS(I6136&lt;=3,"small",I6136&lt;=6,"Medium",I6136&lt;=9,"Large")</f>
        <v>small</v>
      </c>
      <c r="K6136" s="36">
        <v>45215</v>
      </c>
      <c r="L6136" s="36">
        <v>45219</v>
      </c>
      <c r="M6136" t="s">
        <v>598</v>
      </c>
      <c r="N6136" t="s">
        <v>604</v>
      </c>
      <c r="O6136" s="37" t="str">
        <f t="shared" si="478"/>
        <v>Digital Payment</v>
      </c>
      <c r="P6136">
        <v>697.04</v>
      </c>
      <c r="Q6136" s="37" t="str">
        <f>IF(P6136&gt;500,"High","low")</f>
        <v>High</v>
      </c>
      <c r="R6136" s="37" t="str">
        <f t="shared" si="479"/>
        <v>Good</v>
      </c>
      <c r="S6136" t="s">
        <v>600</v>
      </c>
    </row>
    <row r="6137" spans="1:19" x14ac:dyDescent="0.2">
      <c r="A6137" t="s">
        <v>6748</v>
      </c>
      <c r="B6137" t="s">
        <v>83</v>
      </c>
      <c r="C6137" t="s">
        <v>614</v>
      </c>
      <c r="D6137">
        <v>3996.42</v>
      </c>
      <c r="E6137" s="37" t="str">
        <f t="shared" si="475"/>
        <v xml:space="preserve"> </v>
      </c>
      <c r="F6137">
        <v>0.43</v>
      </c>
      <c r="G6137" s="37" t="str">
        <f t="shared" si="476"/>
        <v>Heavy Discount</v>
      </c>
      <c r="H6137" s="37" t="str">
        <f t="shared" si="477"/>
        <v>High</v>
      </c>
      <c r="I6137">
        <v>5</v>
      </c>
      <c r="J6137" t="str" cm="1">
        <f t="array" ref="J6137">_xlfn.IFS(I6137&lt;=3,"small",I6137&lt;=6,"Medium",I6137&lt;=9,"Large")</f>
        <v>Medium</v>
      </c>
      <c r="K6137" s="36">
        <v>45004</v>
      </c>
      <c r="L6137" s="36">
        <v>45007</v>
      </c>
      <c r="M6137" t="s">
        <v>603</v>
      </c>
      <c r="N6137" t="s">
        <v>599</v>
      </c>
      <c r="O6137" s="37" t="str">
        <f t="shared" si="478"/>
        <v>Digital Payment</v>
      </c>
      <c r="P6137">
        <v>959.17</v>
      </c>
      <c r="Q6137" s="37" t="str">
        <f>IF(P6137&gt;500,"High","low")</f>
        <v>High</v>
      </c>
      <c r="R6137" s="37" t="str">
        <f t="shared" si="479"/>
        <v>Good</v>
      </c>
      <c r="S6137" t="s">
        <v>600</v>
      </c>
    </row>
    <row r="6138" spans="1:19" x14ac:dyDescent="0.2">
      <c r="A6138" t="s">
        <v>6749</v>
      </c>
      <c r="B6138" t="s">
        <v>90</v>
      </c>
      <c r="C6138" t="s">
        <v>617</v>
      </c>
      <c r="D6138">
        <v>180.39</v>
      </c>
      <c r="E6138" s="37" t="str">
        <f t="shared" si="475"/>
        <v xml:space="preserve"> </v>
      </c>
      <c r="F6138">
        <v>0.48</v>
      </c>
      <c r="G6138" s="37" t="str">
        <f t="shared" si="476"/>
        <v>Heavy Discount</v>
      </c>
      <c r="H6138" s="37" t="str">
        <f t="shared" si="477"/>
        <v>High</v>
      </c>
      <c r="I6138">
        <v>6</v>
      </c>
      <c r="J6138" t="str" cm="1">
        <f t="array" ref="J6138">_xlfn.IFS(I6138&lt;=3,"small",I6138&lt;=6,"Medium",I6138&lt;=9,"Large")</f>
        <v>Medium</v>
      </c>
      <c r="K6138" s="36">
        <v>45362</v>
      </c>
      <c r="L6138" s="36">
        <v>45363</v>
      </c>
      <c r="M6138" t="s">
        <v>603</v>
      </c>
      <c r="N6138" t="s">
        <v>599</v>
      </c>
      <c r="O6138" s="37" t="str">
        <f t="shared" si="478"/>
        <v>Digital Payment</v>
      </c>
      <c r="P6138">
        <v>53.25</v>
      </c>
      <c r="Q6138" s="37" t="str">
        <f>IF(P6138&gt;500,"High","low")</f>
        <v>low</v>
      </c>
      <c r="R6138" s="37" t="str">
        <f t="shared" si="479"/>
        <v>AVERAGE</v>
      </c>
      <c r="S6138" t="s">
        <v>620</v>
      </c>
    </row>
    <row r="6139" spans="1:19" x14ac:dyDescent="0.2">
      <c r="A6139" t="s">
        <v>6750</v>
      </c>
      <c r="B6139" t="s">
        <v>90</v>
      </c>
      <c r="C6139" t="s">
        <v>597</v>
      </c>
      <c r="D6139">
        <v>2153.5700000000002</v>
      </c>
      <c r="E6139" s="37" t="str">
        <f t="shared" si="475"/>
        <v xml:space="preserve"> </v>
      </c>
      <c r="F6139">
        <v>0.12</v>
      </c>
      <c r="G6139" s="37" t="str">
        <f t="shared" si="476"/>
        <v>Normal Discount</v>
      </c>
      <c r="H6139" s="37" t="str">
        <f t="shared" si="477"/>
        <v>Low</v>
      </c>
      <c r="I6139">
        <v>2</v>
      </c>
      <c r="J6139" t="str" cm="1">
        <f t="array" ref="J6139">_xlfn.IFS(I6139&lt;=3,"small",I6139&lt;=6,"Medium",I6139&lt;=9,"Large")</f>
        <v>small</v>
      </c>
      <c r="K6139" s="36">
        <v>45168</v>
      </c>
      <c r="L6139" s="36">
        <v>45172</v>
      </c>
      <c r="M6139" t="s">
        <v>612</v>
      </c>
      <c r="N6139" t="s">
        <v>599</v>
      </c>
      <c r="O6139" s="37" t="str">
        <f t="shared" si="478"/>
        <v>Digital Payment</v>
      </c>
      <c r="P6139">
        <v>191.66</v>
      </c>
      <c r="Q6139" s="37" t="str">
        <f>IF(P6139&gt;500,"High","low")</f>
        <v>low</v>
      </c>
      <c r="R6139" s="37" t="str">
        <f t="shared" si="479"/>
        <v>AVERAGE</v>
      </c>
      <c r="S6139" t="s">
        <v>605</v>
      </c>
    </row>
    <row r="6140" spans="1:19" x14ac:dyDescent="0.2">
      <c r="A6140" t="s">
        <v>6751</v>
      </c>
      <c r="B6140" t="s">
        <v>83</v>
      </c>
      <c r="C6140" t="s">
        <v>602</v>
      </c>
      <c r="D6140">
        <v>4923.88</v>
      </c>
      <c r="E6140" s="37" t="str">
        <f t="shared" si="475"/>
        <v>Excellent Order</v>
      </c>
      <c r="F6140">
        <v>0.3</v>
      </c>
      <c r="G6140" s="37" t="str">
        <f t="shared" si="476"/>
        <v>Normal Discount</v>
      </c>
      <c r="H6140" s="37" t="str">
        <f t="shared" si="477"/>
        <v>Medium</v>
      </c>
      <c r="I6140">
        <v>7</v>
      </c>
      <c r="J6140" t="str" cm="1">
        <f t="array" ref="J6140">_xlfn.IFS(I6140&lt;=3,"small",I6140&lt;=6,"Medium",I6140&lt;=9,"Large")</f>
        <v>Large</v>
      </c>
      <c r="K6140" s="36">
        <v>45382</v>
      </c>
      <c r="L6140" s="36">
        <v>45385</v>
      </c>
      <c r="M6140" t="s">
        <v>603</v>
      </c>
      <c r="N6140" t="s">
        <v>604</v>
      </c>
      <c r="O6140" s="37" t="str">
        <f t="shared" si="478"/>
        <v>Digital Payment</v>
      </c>
      <c r="P6140">
        <v>917.47</v>
      </c>
      <c r="Q6140" s="37" t="str">
        <f>IF(P6140&gt;500,"High","low")</f>
        <v>High</v>
      </c>
      <c r="R6140" s="37" t="str">
        <f t="shared" si="479"/>
        <v>Good</v>
      </c>
      <c r="S6140" t="s">
        <v>609</v>
      </c>
    </row>
    <row r="6141" spans="1:19" x14ac:dyDescent="0.2">
      <c r="A6141" t="s">
        <v>6752</v>
      </c>
      <c r="B6141" t="s">
        <v>75</v>
      </c>
      <c r="C6141" t="s">
        <v>597</v>
      </c>
      <c r="D6141">
        <v>2941.11</v>
      </c>
      <c r="E6141" s="37" t="str">
        <f t="shared" si="475"/>
        <v xml:space="preserve"> </v>
      </c>
      <c r="F6141">
        <v>0.13</v>
      </c>
      <c r="G6141" s="37" t="str">
        <f t="shared" si="476"/>
        <v>Normal Discount</v>
      </c>
      <c r="H6141" s="37" t="str">
        <f t="shared" si="477"/>
        <v>Low</v>
      </c>
      <c r="I6141">
        <v>9</v>
      </c>
      <c r="J6141" t="str" cm="1">
        <f t="array" ref="J6141">_xlfn.IFS(I6141&lt;=3,"small",I6141&lt;=6,"Medium",I6141&lt;=9,"Large")</f>
        <v>Large</v>
      </c>
      <c r="K6141" s="36">
        <v>45129</v>
      </c>
      <c r="L6141" s="36">
        <v>45130</v>
      </c>
      <c r="M6141" t="s">
        <v>598</v>
      </c>
      <c r="N6141" t="s">
        <v>604</v>
      </c>
      <c r="O6141" s="37" t="str">
        <f t="shared" si="478"/>
        <v>Digital Payment</v>
      </c>
      <c r="P6141">
        <v>340.33</v>
      </c>
      <c r="Q6141" s="37" t="str">
        <f>IF(P6141&gt;500,"High","low")</f>
        <v>low</v>
      </c>
      <c r="R6141" s="37" t="str">
        <f t="shared" si="479"/>
        <v>AVERAGE</v>
      </c>
      <c r="S6141" t="s">
        <v>628</v>
      </c>
    </row>
    <row r="6142" spans="1:19" x14ac:dyDescent="0.2">
      <c r="A6142" t="s">
        <v>6753</v>
      </c>
      <c r="B6142" t="s">
        <v>75</v>
      </c>
      <c r="C6142" t="s">
        <v>617</v>
      </c>
      <c r="D6142">
        <v>4263.45</v>
      </c>
      <c r="E6142" s="37" t="str">
        <f t="shared" si="475"/>
        <v xml:space="preserve"> </v>
      </c>
      <c r="F6142">
        <v>0.44</v>
      </c>
      <c r="G6142" s="37" t="str">
        <f t="shared" si="476"/>
        <v>Heavy Discount</v>
      </c>
      <c r="H6142" s="37" t="str">
        <f t="shared" si="477"/>
        <v>High</v>
      </c>
      <c r="I6142">
        <v>9</v>
      </c>
      <c r="J6142" t="str" cm="1">
        <f t="array" ref="J6142">_xlfn.IFS(I6142&lt;=3,"small",I6142&lt;=6,"Medium",I6142&lt;=9,"Large")</f>
        <v>Large</v>
      </c>
      <c r="K6142" s="36">
        <v>45298</v>
      </c>
      <c r="L6142" s="36">
        <v>45304</v>
      </c>
      <c r="M6142" t="s">
        <v>598</v>
      </c>
      <c r="N6142" t="s">
        <v>608</v>
      </c>
      <c r="O6142" s="37" t="str">
        <f t="shared" si="478"/>
        <v>Cash Payment</v>
      </c>
      <c r="P6142">
        <v>458.61</v>
      </c>
      <c r="Q6142" s="37" t="str">
        <f>IF(P6142&gt;500,"High","low")</f>
        <v>low</v>
      </c>
      <c r="R6142" s="37" t="str">
        <f t="shared" si="479"/>
        <v>AVERAGE</v>
      </c>
      <c r="S6142" t="s">
        <v>605</v>
      </c>
    </row>
    <row r="6143" spans="1:19" x14ac:dyDescent="0.2">
      <c r="A6143" t="s">
        <v>6754</v>
      </c>
      <c r="B6143" t="s">
        <v>67</v>
      </c>
      <c r="C6143" t="s">
        <v>607</v>
      </c>
      <c r="D6143">
        <v>4821.4399999999996</v>
      </c>
      <c r="E6143" s="37" t="str">
        <f t="shared" si="475"/>
        <v xml:space="preserve"> </v>
      </c>
      <c r="F6143">
        <v>0.45</v>
      </c>
      <c r="G6143" s="37" t="str">
        <f t="shared" si="476"/>
        <v>Heavy Discount</v>
      </c>
      <c r="H6143" s="37" t="str">
        <f t="shared" si="477"/>
        <v>High</v>
      </c>
      <c r="I6143">
        <v>5</v>
      </c>
      <c r="J6143" t="str" cm="1">
        <f t="array" ref="J6143">_xlfn.IFS(I6143&lt;=3,"small",I6143&lt;=6,"Medium",I6143&lt;=9,"Large")</f>
        <v>Medium</v>
      </c>
      <c r="K6143" s="36">
        <v>45157</v>
      </c>
      <c r="L6143" s="36">
        <v>45159</v>
      </c>
      <c r="M6143" t="s">
        <v>598</v>
      </c>
      <c r="N6143" t="s">
        <v>608</v>
      </c>
      <c r="O6143" s="37" t="str">
        <f t="shared" si="478"/>
        <v>Cash Payment</v>
      </c>
      <c r="P6143">
        <v>734.42</v>
      </c>
      <c r="Q6143" s="37" t="str">
        <f>IF(P6143&gt;500,"High","low")</f>
        <v>High</v>
      </c>
      <c r="R6143" s="37" t="str">
        <f t="shared" si="479"/>
        <v>Good</v>
      </c>
      <c r="S6143" t="s">
        <v>605</v>
      </c>
    </row>
    <row r="6144" spans="1:19" x14ac:dyDescent="0.2">
      <c r="A6144" t="s">
        <v>6755</v>
      </c>
      <c r="B6144" t="s">
        <v>67</v>
      </c>
      <c r="C6144" t="s">
        <v>607</v>
      </c>
      <c r="D6144">
        <v>3456.7</v>
      </c>
      <c r="E6144" s="37" t="str">
        <f t="shared" si="475"/>
        <v xml:space="preserve"> </v>
      </c>
      <c r="F6144">
        <v>0.16</v>
      </c>
      <c r="G6144" s="37" t="str">
        <f t="shared" si="476"/>
        <v>Normal Discount</v>
      </c>
      <c r="H6144" s="37" t="str">
        <f t="shared" si="477"/>
        <v>Low</v>
      </c>
      <c r="I6144">
        <v>8</v>
      </c>
      <c r="J6144" t="str" cm="1">
        <f t="array" ref="J6144">_xlfn.IFS(I6144&lt;=3,"small",I6144&lt;=6,"Medium",I6144&lt;=9,"Large")</f>
        <v>Large</v>
      </c>
      <c r="K6144" s="36">
        <v>45532</v>
      </c>
      <c r="L6144" s="36">
        <v>45533</v>
      </c>
      <c r="M6144" t="s">
        <v>598</v>
      </c>
      <c r="N6144" t="s">
        <v>604</v>
      </c>
      <c r="O6144" s="37" t="str">
        <f t="shared" si="478"/>
        <v>Digital Payment</v>
      </c>
      <c r="P6144">
        <v>463.74</v>
      </c>
      <c r="Q6144" s="37" t="str">
        <f>IF(P6144&gt;500,"High","low")</f>
        <v>low</v>
      </c>
      <c r="R6144" s="37" t="str">
        <f t="shared" si="479"/>
        <v>AVERAGE</v>
      </c>
      <c r="S6144" t="s">
        <v>609</v>
      </c>
    </row>
    <row r="6145" spans="1:19" x14ac:dyDescent="0.2">
      <c r="A6145" t="s">
        <v>6756</v>
      </c>
      <c r="B6145" t="s">
        <v>83</v>
      </c>
      <c r="C6145" t="s">
        <v>597</v>
      </c>
      <c r="D6145">
        <v>1705.39</v>
      </c>
      <c r="E6145" s="37" t="str">
        <f t="shared" si="475"/>
        <v xml:space="preserve"> </v>
      </c>
      <c r="F6145">
        <v>0.32</v>
      </c>
      <c r="G6145" s="37" t="str">
        <f t="shared" si="476"/>
        <v>Heavy Discount</v>
      </c>
      <c r="H6145" s="37" t="str">
        <f t="shared" si="477"/>
        <v>Medium</v>
      </c>
      <c r="I6145">
        <v>9</v>
      </c>
      <c r="J6145" t="str" cm="1">
        <f t="array" ref="J6145">_xlfn.IFS(I6145&lt;=3,"small",I6145&lt;=6,"Medium",I6145&lt;=9,"Large")</f>
        <v>Large</v>
      </c>
      <c r="K6145" s="36">
        <v>45413</v>
      </c>
      <c r="L6145" s="36">
        <v>45420</v>
      </c>
      <c r="M6145" t="s">
        <v>603</v>
      </c>
      <c r="N6145" t="s">
        <v>604</v>
      </c>
      <c r="O6145" s="37" t="str">
        <f t="shared" si="478"/>
        <v>Digital Payment</v>
      </c>
      <c r="P6145">
        <v>364.19</v>
      </c>
      <c r="Q6145" s="37" t="str">
        <f>IF(P6145&gt;500,"High","low")</f>
        <v>low</v>
      </c>
      <c r="R6145" s="37" t="str">
        <f t="shared" si="479"/>
        <v>AVERAGE</v>
      </c>
      <c r="S6145" t="s">
        <v>615</v>
      </c>
    </row>
    <row r="6146" spans="1:19" x14ac:dyDescent="0.2">
      <c r="A6146" t="s">
        <v>6757</v>
      </c>
      <c r="B6146" t="s">
        <v>75</v>
      </c>
      <c r="C6146" t="s">
        <v>607</v>
      </c>
      <c r="D6146">
        <v>1612.17</v>
      </c>
      <c r="E6146" s="37" t="str">
        <f t="shared" si="475"/>
        <v xml:space="preserve"> </v>
      </c>
      <c r="F6146">
        <v>0.44</v>
      </c>
      <c r="G6146" s="37" t="str">
        <f t="shared" si="476"/>
        <v>Heavy Discount</v>
      </c>
      <c r="H6146" s="37" t="str">
        <f t="shared" si="477"/>
        <v>High</v>
      </c>
      <c r="I6146">
        <v>6</v>
      </c>
      <c r="J6146" t="str" cm="1">
        <f t="array" ref="J6146">_xlfn.IFS(I6146&lt;=3,"small",I6146&lt;=6,"Medium",I6146&lt;=9,"Large")</f>
        <v>Medium</v>
      </c>
      <c r="K6146" s="36">
        <v>45103</v>
      </c>
      <c r="L6146" s="36">
        <v>45105</v>
      </c>
      <c r="M6146" t="s">
        <v>603</v>
      </c>
      <c r="N6146" t="s">
        <v>604</v>
      </c>
      <c r="O6146" s="37" t="str">
        <f t="shared" si="478"/>
        <v>Digital Payment</v>
      </c>
      <c r="P6146">
        <v>247.79</v>
      </c>
      <c r="Q6146" s="37" t="str">
        <f>IF(P6146&gt;500,"High","low")</f>
        <v>low</v>
      </c>
      <c r="R6146" s="37" t="str">
        <f t="shared" si="479"/>
        <v>AVERAGE</v>
      </c>
      <c r="S6146" t="s">
        <v>605</v>
      </c>
    </row>
    <row r="6147" spans="1:19" x14ac:dyDescent="0.2">
      <c r="A6147" t="s">
        <v>6758</v>
      </c>
      <c r="B6147" t="s">
        <v>90</v>
      </c>
      <c r="C6147" t="s">
        <v>617</v>
      </c>
      <c r="D6147">
        <v>449.26</v>
      </c>
      <c r="E6147" s="37" t="str">
        <f t="shared" ref="E6147:E6210" si="480">IF(AND(D6147&gt;4000,P6147&gt;800),"Excellent Order"," ")</f>
        <v xml:space="preserve"> </v>
      </c>
      <c r="F6147">
        <v>0.25</v>
      </c>
      <c r="G6147" s="37" t="str">
        <f t="shared" ref="G6147:G6210" si="481">IF(F6147&gt;30%,"Heavy Discount","Normal Discount")</f>
        <v>Normal Discount</v>
      </c>
      <c r="H6147" s="37" t="str">
        <f t="shared" ref="H6147:H6210" si="482">IF(F6147&gt;0.4,"High",IF(F6147&gt;=0.2,"Medium","Low"))</f>
        <v>Medium</v>
      </c>
      <c r="I6147">
        <v>4</v>
      </c>
      <c r="J6147" t="str" cm="1">
        <f t="array" ref="J6147">_xlfn.IFS(I6147&lt;=3,"small",I6147&lt;=6,"Medium",I6147&lt;=9,"Large")</f>
        <v>Medium</v>
      </c>
      <c r="K6147" s="36">
        <v>45229</v>
      </c>
      <c r="L6147" s="36">
        <v>45230</v>
      </c>
      <c r="M6147" t="s">
        <v>598</v>
      </c>
      <c r="N6147" t="s">
        <v>608</v>
      </c>
      <c r="O6147" s="37" t="str">
        <f t="shared" ref="O6147:O6210" si="483">IF(OR(N6147="Card",N6147="UPI"),"Digital Payment","Cash Payment")</f>
        <v>Cash Payment</v>
      </c>
      <c r="P6147">
        <v>54.49</v>
      </c>
      <c r="Q6147" s="37" t="str">
        <f>IF(P6147&gt;500,"High","low")</f>
        <v>low</v>
      </c>
      <c r="R6147" s="37" t="str">
        <f t="shared" ref="R6147:R6210" si="484">IF(P6147&gt;1000,"Excellent",IF(P6147&gt;=500,"Good","AVERAGE"))</f>
        <v>AVERAGE</v>
      </c>
      <c r="S6147" t="s">
        <v>605</v>
      </c>
    </row>
    <row r="6148" spans="1:19" x14ac:dyDescent="0.2">
      <c r="A6148" t="s">
        <v>6759</v>
      </c>
      <c r="B6148" t="s">
        <v>67</v>
      </c>
      <c r="C6148" t="s">
        <v>602</v>
      </c>
      <c r="D6148">
        <v>2196.08</v>
      </c>
      <c r="E6148" s="37" t="str">
        <f t="shared" si="480"/>
        <v xml:space="preserve"> </v>
      </c>
      <c r="F6148">
        <v>0.36</v>
      </c>
      <c r="G6148" s="37" t="str">
        <f t="shared" si="481"/>
        <v>Heavy Discount</v>
      </c>
      <c r="H6148" s="37" t="str">
        <f t="shared" si="482"/>
        <v>Medium</v>
      </c>
      <c r="I6148">
        <v>4</v>
      </c>
      <c r="J6148" t="str" cm="1">
        <f t="array" ref="J6148">_xlfn.IFS(I6148&lt;=3,"small",I6148&lt;=6,"Medium",I6148&lt;=9,"Large")</f>
        <v>Medium</v>
      </c>
      <c r="K6148" s="36">
        <v>45587</v>
      </c>
      <c r="L6148" s="36">
        <v>45590</v>
      </c>
      <c r="M6148" t="s">
        <v>603</v>
      </c>
      <c r="N6148" t="s">
        <v>599</v>
      </c>
      <c r="O6148" s="37" t="str">
        <f t="shared" si="483"/>
        <v>Digital Payment</v>
      </c>
      <c r="P6148">
        <v>155.79</v>
      </c>
      <c r="Q6148" s="37" t="str">
        <f>IF(P6148&gt;500,"High","low")</f>
        <v>low</v>
      </c>
      <c r="R6148" s="37" t="str">
        <f t="shared" si="484"/>
        <v>AVERAGE</v>
      </c>
      <c r="S6148" t="s">
        <v>600</v>
      </c>
    </row>
    <row r="6149" spans="1:19" x14ac:dyDescent="0.2">
      <c r="A6149" t="s">
        <v>6760</v>
      </c>
      <c r="B6149" t="s">
        <v>90</v>
      </c>
      <c r="C6149" t="s">
        <v>614</v>
      </c>
      <c r="D6149">
        <v>4585.41</v>
      </c>
      <c r="E6149" s="37" t="str">
        <f t="shared" si="480"/>
        <v xml:space="preserve"> </v>
      </c>
      <c r="F6149">
        <v>0.4</v>
      </c>
      <c r="G6149" s="37" t="str">
        <f t="shared" si="481"/>
        <v>Heavy Discount</v>
      </c>
      <c r="H6149" s="37" t="str">
        <f t="shared" si="482"/>
        <v>Medium</v>
      </c>
      <c r="I6149">
        <v>3</v>
      </c>
      <c r="J6149" t="str" cm="1">
        <f t="array" ref="J6149">_xlfn.IFS(I6149&lt;=3,"small",I6149&lt;=6,"Medium",I6149&lt;=9,"Large")</f>
        <v>small</v>
      </c>
      <c r="K6149" s="36">
        <v>45125</v>
      </c>
      <c r="L6149" s="36">
        <v>45126</v>
      </c>
      <c r="M6149" t="s">
        <v>598</v>
      </c>
      <c r="N6149" t="s">
        <v>599</v>
      </c>
      <c r="O6149" s="37" t="str">
        <f t="shared" si="483"/>
        <v>Digital Payment</v>
      </c>
      <c r="P6149">
        <v>562.66999999999996</v>
      </c>
      <c r="Q6149" s="37" t="str">
        <f>IF(P6149&gt;500,"High","low")</f>
        <v>High</v>
      </c>
      <c r="R6149" s="37" t="str">
        <f t="shared" si="484"/>
        <v>Good</v>
      </c>
      <c r="S6149" t="s">
        <v>605</v>
      </c>
    </row>
    <row r="6150" spans="1:19" x14ac:dyDescent="0.2">
      <c r="A6150" t="s">
        <v>6761</v>
      </c>
      <c r="B6150" t="s">
        <v>67</v>
      </c>
      <c r="C6150" t="s">
        <v>617</v>
      </c>
      <c r="D6150">
        <v>2442.5100000000002</v>
      </c>
      <c r="E6150" s="37" t="str">
        <f t="shared" si="480"/>
        <v xml:space="preserve"> </v>
      </c>
      <c r="F6150">
        <v>0.44</v>
      </c>
      <c r="G6150" s="37" t="str">
        <f t="shared" si="481"/>
        <v>Heavy Discount</v>
      </c>
      <c r="H6150" s="37" t="str">
        <f t="shared" si="482"/>
        <v>High</v>
      </c>
      <c r="I6150">
        <v>9</v>
      </c>
      <c r="J6150" t="str" cm="1">
        <f t="array" ref="J6150">_xlfn.IFS(I6150&lt;=3,"small",I6150&lt;=6,"Medium",I6150&lt;=9,"Large")</f>
        <v>Large</v>
      </c>
      <c r="K6150" s="36">
        <v>45138</v>
      </c>
      <c r="L6150" s="36">
        <v>45142</v>
      </c>
      <c r="M6150" t="s">
        <v>598</v>
      </c>
      <c r="N6150" t="s">
        <v>608</v>
      </c>
      <c r="O6150" s="37" t="str">
        <f t="shared" si="483"/>
        <v>Cash Payment</v>
      </c>
      <c r="P6150">
        <v>417.61</v>
      </c>
      <c r="Q6150" s="37" t="str">
        <f>IF(P6150&gt;500,"High","low")</f>
        <v>low</v>
      </c>
      <c r="R6150" s="37" t="str">
        <f t="shared" si="484"/>
        <v>AVERAGE</v>
      </c>
      <c r="S6150" t="s">
        <v>615</v>
      </c>
    </row>
    <row r="6151" spans="1:19" x14ac:dyDescent="0.2">
      <c r="A6151" t="s">
        <v>6762</v>
      </c>
      <c r="B6151" t="s">
        <v>83</v>
      </c>
      <c r="C6151" t="s">
        <v>617</v>
      </c>
      <c r="D6151">
        <v>4563.88</v>
      </c>
      <c r="E6151" s="37" t="str">
        <f t="shared" si="480"/>
        <v>Excellent Order</v>
      </c>
      <c r="F6151">
        <v>0.26</v>
      </c>
      <c r="G6151" s="37" t="str">
        <f t="shared" si="481"/>
        <v>Normal Discount</v>
      </c>
      <c r="H6151" s="37" t="str">
        <f t="shared" si="482"/>
        <v>Medium</v>
      </c>
      <c r="I6151">
        <v>6</v>
      </c>
      <c r="J6151" t="str" cm="1">
        <f t="array" ref="J6151">_xlfn.IFS(I6151&lt;=3,"small",I6151&lt;=6,"Medium",I6151&lt;=9,"Large")</f>
        <v>Medium</v>
      </c>
      <c r="K6151" s="36">
        <v>45243</v>
      </c>
      <c r="L6151" s="36">
        <v>45246</v>
      </c>
      <c r="M6151" t="s">
        <v>612</v>
      </c>
      <c r="N6151" t="s">
        <v>604</v>
      </c>
      <c r="O6151" s="37" t="str">
        <f t="shared" si="483"/>
        <v>Digital Payment</v>
      </c>
      <c r="P6151">
        <v>920.84</v>
      </c>
      <c r="Q6151" s="37" t="str">
        <f>IF(P6151&gt;500,"High","low")</f>
        <v>High</v>
      </c>
      <c r="R6151" s="37" t="str">
        <f t="shared" si="484"/>
        <v>Good</v>
      </c>
      <c r="S6151" t="s">
        <v>615</v>
      </c>
    </row>
    <row r="6152" spans="1:19" x14ac:dyDescent="0.2">
      <c r="A6152" t="s">
        <v>6763</v>
      </c>
      <c r="B6152" t="s">
        <v>75</v>
      </c>
      <c r="C6152" t="s">
        <v>614</v>
      </c>
      <c r="D6152">
        <v>4104</v>
      </c>
      <c r="E6152" s="37" t="str">
        <f t="shared" si="480"/>
        <v>Excellent Order</v>
      </c>
      <c r="F6152">
        <v>0.47</v>
      </c>
      <c r="G6152" s="37" t="str">
        <f t="shared" si="481"/>
        <v>Heavy Discount</v>
      </c>
      <c r="H6152" s="37" t="str">
        <f t="shared" si="482"/>
        <v>High</v>
      </c>
      <c r="I6152">
        <v>8</v>
      </c>
      <c r="J6152" t="str" cm="1">
        <f t="array" ref="J6152">_xlfn.IFS(I6152&lt;=3,"small",I6152&lt;=6,"Medium",I6152&lt;=9,"Large")</f>
        <v>Large</v>
      </c>
      <c r="K6152" s="36">
        <v>45295</v>
      </c>
      <c r="L6152" s="36">
        <v>45302</v>
      </c>
      <c r="M6152" t="s">
        <v>598</v>
      </c>
      <c r="N6152" t="s">
        <v>604</v>
      </c>
      <c r="O6152" s="37" t="str">
        <f t="shared" si="483"/>
        <v>Digital Payment</v>
      </c>
      <c r="P6152">
        <v>861.13</v>
      </c>
      <c r="Q6152" s="37" t="str">
        <f>IF(P6152&gt;500,"High","low")</f>
        <v>High</v>
      </c>
      <c r="R6152" s="37" t="str">
        <f t="shared" si="484"/>
        <v>Good</v>
      </c>
      <c r="S6152" t="s">
        <v>605</v>
      </c>
    </row>
    <row r="6153" spans="1:19" x14ac:dyDescent="0.2">
      <c r="A6153" t="s">
        <v>6764</v>
      </c>
      <c r="B6153" t="s">
        <v>67</v>
      </c>
      <c r="C6153" t="s">
        <v>614</v>
      </c>
      <c r="D6153">
        <v>4922.5200000000004</v>
      </c>
      <c r="E6153" s="37" t="str">
        <f t="shared" si="480"/>
        <v xml:space="preserve"> </v>
      </c>
      <c r="F6153">
        <v>0.31</v>
      </c>
      <c r="G6153" s="37" t="str">
        <f t="shared" si="481"/>
        <v>Heavy Discount</v>
      </c>
      <c r="H6153" s="37" t="str">
        <f t="shared" si="482"/>
        <v>Medium</v>
      </c>
      <c r="I6153">
        <v>2</v>
      </c>
      <c r="J6153" t="str" cm="1">
        <f t="array" ref="J6153">_xlfn.IFS(I6153&lt;=3,"small",I6153&lt;=6,"Medium",I6153&lt;=9,"Large")</f>
        <v>small</v>
      </c>
      <c r="K6153" s="36">
        <v>45443</v>
      </c>
      <c r="L6153" s="36">
        <v>45445</v>
      </c>
      <c r="M6153" t="s">
        <v>603</v>
      </c>
      <c r="N6153" t="s">
        <v>608</v>
      </c>
      <c r="O6153" s="37" t="str">
        <f t="shared" si="483"/>
        <v>Cash Payment</v>
      </c>
      <c r="P6153">
        <v>503.87</v>
      </c>
      <c r="Q6153" s="37" t="str">
        <f>IF(P6153&gt;500,"High","low")</f>
        <v>High</v>
      </c>
      <c r="R6153" s="37" t="str">
        <f t="shared" si="484"/>
        <v>Good</v>
      </c>
      <c r="S6153" t="s">
        <v>605</v>
      </c>
    </row>
    <row r="6154" spans="1:19" x14ac:dyDescent="0.2">
      <c r="A6154" t="s">
        <v>6765</v>
      </c>
      <c r="B6154" t="s">
        <v>75</v>
      </c>
      <c r="C6154" t="s">
        <v>602</v>
      </c>
      <c r="D6154">
        <v>4743.71</v>
      </c>
      <c r="E6154" s="37" t="str">
        <f t="shared" si="480"/>
        <v xml:space="preserve"> </v>
      </c>
      <c r="F6154">
        <v>0.08</v>
      </c>
      <c r="G6154" s="37" t="str">
        <f t="shared" si="481"/>
        <v>Normal Discount</v>
      </c>
      <c r="H6154" s="37" t="str">
        <f t="shared" si="482"/>
        <v>Low</v>
      </c>
      <c r="I6154">
        <v>4</v>
      </c>
      <c r="J6154" t="str" cm="1">
        <f t="array" ref="J6154">_xlfn.IFS(I6154&lt;=3,"small",I6154&lt;=6,"Medium",I6154&lt;=9,"Large")</f>
        <v>Medium</v>
      </c>
      <c r="K6154" s="36">
        <v>45085</v>
      </c>
      <c r="L6154" s="36">
        <v>45086</v>
      </c>
      <c r="M6154" t="s">
        <v>603</v>
      </c>
      <c r="N6154" t="s">
        <v>599</v>
      </c>
      <c r="O6154" s="37" t="str">
        <f t="shared" si="483"/>
        <v>Digital Payment</v>
      </c>
      <c r="P6154">
        <v>722.07</v>
      </c>
      <c r="Q6154" s="37" t="str">
        <f>IF(P6154&gt;500,"High","low")</f>
        <v>High</v>
      </c>
      <c r="R6154" s="37" t="str">
        <f t="shared" si="484"/>
        <v>Good</v>
      </c>
      <c r="S6154" t="s">
        <v>615</v>
      </c>
    </row>
    <row r="6155" spans="1:19" x14ac:dyDescent="0.2">
      <c r="A6155" t="s">
        <v>6766</v>
      </c>
      <c r="B6155" t="s">
        <v>90</v>
      </c>
      <c r="C6155" t="s">
        <v>602</v>
      </c>
      <c r="D6155">
        <v>3561.77</v>
      </c>
      <c r="E6155" s="37" t="str">
        <f t="shared" si="480"/>
        <v xml:space="preserve"> </v>
      </c>
      <c r="F6155">
        <v>0.31</v>
      </c>
      <c r="G6155" s="37" t="str">
        <f t="shared" si="481"/>
        <v>Heavy Discount</v>
      </c>
      <c r="H6155" s="37" t="str">
        <f t="shared" si="482"/>
        <v>Medium</v>
      </c>
      <c r="I6155">
        <v>2</v>
      </c>
      <c r="J6155" t="str" cm="1">
        <f t="array" ref="J6155">_xlfn.IFS(I6155&lt;=3,"small",I6155&lt;=6,"Medium",I6155&lt;=9,"Large")</f>
        <v>small</v>
      </c>
      <c r="K6155" s="36">
        <v>45628</v>
      </c>
      <c r="L6155" s="36">
        <v>45634</v>
      </c>
      <c r="M6155" t="s">
        <v>603</v>
      </c>
      <c r="N6155" t="s">
        <v>608</v>
      </c>
      <c r="O6155" s="37" t="str">
        <f t="shared" si="483"/>
        <v>Cash Payment</v>
      </c>
      <c r="P6155">
        <v>537.05999999999995</v>
      </c>
      <c r="Q6155" s="37" t="str">
        <f>IF(P6155&gt;500,"High","low")</f>
        <v>High</v>
      </c>
      <c r="R6155" s="37" t="str">
        <f t="shared" si="484"/>
        <v>Good</v>
      </c>
      <c r="S6155" t="s">
        <v>609</v>
      </c>
    </row>
    <row r="6156" spans="1:19" x14ac:dyDescent="0.2">
      <c r="A6156" t="s">
        <v>6767</v>
      </c>
      <c r="B6156" t="s">
        <v>83</v>
      </c>
      <c r="C6156" t="s">
        <v>602</v>
      </c>
      <c r="D6156">
        <v>4368.96</v>
      </c>
      <c r="E6156" s="37" t="str">
        <f t="shared" si="480"/>
        <v xml:space="preserve"> </v>
      </c>
      <c r="F6156">
        <v>0.15</v>
      </c>
      <c r="G6156" s="37" t="str">
        <f t="shared" si="481"/>
        <v>Normal Discount</v>
      </c>
      <c r="H6156" s="37" t="str">
        <f t="shared" si="482"/>
        <v>Low</v>
      </c>
      <c r="I6156">
        <v>3</v>
      </c>
      <c r="J6156" t="str" cm="1">
        <f t="array" ref="J6156">_xlfn.IFS(I6156&lt;=3,"small",I6156&lt;=6,"Medium",I6156&lt;=9,"Large")</f>
        <v>small</v>
      </c>
      <c r="K6156" s="36">
        <v>45494</v>
      </c>
      <c r="L6156" s="36">
        <v>45496</v>
      </c>
      <c r="M6156" t="s">
        <v>598</v>
      </c>
      <c r="N6156" t="s">
        <v>599</v>
      </c>
      <c r="O6156" s="37" t="str">
        <f t="shared" si="483"/>
        <v>Digital Payment</v>
      </c>
      <c r="P6156">
        <v>234.74</v>
      </c>
      <c r="Q6156" s="37" t="str">
        <f>IF(P6156&gt;500,"High","low")</f>
        <v>low</v>
      </c>
      <c r="R6156" s="37" t="str">
        <f t="shared" si="484"/>
        <v>AVERAGE</v>
      </c>
      <c r="S6156" t="s">
        <v>600</v>
      </c>
    </row>
    <row r="6157" spans="1:19" x14ac:dyDescent="0.2">
      <c r="A6157" t="s">
        <v>6768</v>
      </c>
      <c r="B6157" t="s">
        <v>75</v>
      </c>
      <c r="C6157" t="s">
        <v>607</v>
      </c>
      <c r="D6157">
        <v>3765.58</v>
      </c>
      <c r="E6157" s="37" t="str">
        <f t="shared" si="480"/>
        <v xml:space="preserve"> </v>
      </c>
      <c r="F6157">
        <v>0.19</v>
      </c>
      <c r="G6157" s="37" t="str">
        <f t="shared" si="481"/>
        <v>Normal Discount</v>
      </c>
      <c r="H6157" s="37" t="str">
        <f t="shared" si="482"/>
        <v>Low</v>
      </c>
      <c r="I6157">
        <v>2</v>
      </c>
      <c r="J6157" t="str" cm="1">
        <f t="array" ref="J6157">_xlfn.IFS(I6157&lt;=3,"small",I6157&lt;=6,"Medium",I6157&lt;=9,"Large")</f>
        <v>small</v>
      </c>
      <c r="K6157" s="36">
        <v>45366</v>
      </c>
      <c r="L6157" s="36">
        <v>45370</v>
      </c>
      <c r="M6157" t="s">
        <v>612</v>
      </c>
      <c r="N6157" t="s">
        <v>608</v>
      </c>
      <c r="O6157" s="37" t="str">
        <f t="shared" si="483"/>
        <v>Cash Payment</v>
      </c>
      <c r="P6157">
        <v>1020.6</v>
      </c>
      <c r="Q6157" s="37" t="str">
        <f>IF(P6157&gt;500,"High","low")</f>
        <v>High</v>
      </c>
      <c r="R6157" s="37" t="str">
        <f t="shared" si="484"/>
        <v>Excellent</v>
      </c>
      <c r="S6157" t="s">
        <v>628</v>
      </c>
    </row>
    <row r="6158" spans="1:19" x14ac:dyDescent="0.2">
      <c r="A6158" t="s">
        <v>6769</v>
      </c>
      <c r="B6158" t="s">
        <v>83</v>
      </c>
      <c r="C6158" t="s">
        <v>617</v>
      </c>
      <c r="D6158">
        <v>3546.63</v>
      </c>
      <c r="E6158" s="37" t="str">
        <f t="shared" si="480"/>
        <v xml:space="preserve"> </v>
      </c>
      <c r="F6158">
        <v>0.4</v>
      </c>
      <c r="G6158" s="37" t="str">
        <f t="shared" si="481"/>
        <v>Heavy Discount</v>
      </c>
      <c r="H6158" s="37" t="str">
        <f t="shared" si="482"/>
        <v>Medium</v>
      </c>
      <c r="I6158">
        <v>9</v>
      </c>
      <c r="J6158" t="str" cm="1">
        <f t="array" ref="J6158">_xlfn.IFS(I6158&lt;=3,"small",I6158&lt;=6,"Medium",I6158&lt;=9,"Large")</f>
        <v>Large</v>
      </c>
      <c r="K6158" s="36">
        <v>45322</v>
      </c>
      <c r="L6158" s="36">
        <v>45328</v>
      </c>
      <c r="M6158" t="s">
        <v>612</v>
      </c>
      <c r="N6158" t="s">
        <v>608</v>
      </c>
      <c r="O6158" s="37" t="str">
        <f t="shared" si="483"/>
        <v>Cash Payment</v>
      </c>
      <c r="P6158">
        <v>774.86</v>
      </c>
      <c r="Q6158" s="37" t="str">
        <f>IF(P6158&gt;500,"High","low")</f>
        <v>High</v>
      </c>
      <c r="R6158" s="37" t="str">
        <f t="shared" si="484"/>
        <v>Good</v>
      </c>
      <c r="S6158" t="s">
        <v>628</v>
      </c>
    </row>
    <row r="6159" spans="1:19" x14ac:dyDescent="0.2">
      <c r="A6159" t="s">
        <v>6770</v>
      </c>
      <c r="B6159" t="s">
        <v>75</v>
      </c>
      <c r="C6159" t="s">
        <v>614</v>
      </c>
      <c r="D6159">
        <v>3606.24</v>
      </c>
      <c r="E6159" s="37" t="str">
        <f t="shared" si="480"/>
        <v xml:space="preserve"> </v>
      </c>
      <c r="F6159">
        <v>0.49</v>
      </c>
      <c r="G6159" s="37" t="str">
        <f t="shared" si="481"/>
        <v>Heavy Discount</v>
      </c>
      <c r="H6159" s="37" t="str">
        <f t="shared" si="482"/>
        <v>High</v>
      </c>
      <c r="I6159">
        <v>9</v>
      </c>
      <c r="J6159" t="str" cm="1">
        <f t="array" ref="J6159">_xlfn.IFS(I6159&lt;=3,"small",I6159&lt;=6,"Medium",I6159&lt;=9,"Large")</f>
        <v>Large</v>
      </c>
      <c r="K6159" s="36">
        <v>45120</v>
      </c>
      <c r="L6159" s="36">
        <v>45123</v>
      </c>
      <c r="M6159" t="s">
        <v>598</v>
      </c>
      <c r="N6159" t="s">
        <v>599</v>
      </c>
      <c r="O6159" s="37" t="str">
        <f t="shared" si="483"/>
        <v>Digital Payment</v>
      </c>
      <c r="P6159">
        <v>777.34</v>
      </c>
      <c r="Q6159" s="37" t="str">
        <f>IF(P6159&gt;500,"High","low")</f>
        <v>High</v>
      </c>
      <c r="R6159" s="37" t="str">
        <f t="shared" si="484"/>
        <v>Good</v>
      </c>
      <c r="S6159" t="s">
        <v>600</v>
      </c>
    </row>
    <row r="6160" spans="1:19" x14ac:dyDescent="0.2">
      <c r="A6160" t="s">
        <v>6771</v>
      </c>
      <c r="B6160" t="s">
        <v>90</v>
      </c>
      <c r="C6160" t="s">
        <v>617</v>
      </c>
      <c r="D6160">
        <v>3633.11</v>
      </c>
      <c r="E6160" s="37" t="str">
        <f t="shared" si="480"/>
        <v xml:space="preserve"> </v>
      </c>
      <c r="F6160">
        <v>0.43</v>
      </c>
      <c r="G6160" s="37" t="str">
        <f t="shared" si="481"/>
        <v>Heavy Discount</v>
      </c>
      <c r="H6160" s="37" t="str">
        <f t="shared" si="482"/>
        <v>High</v>
      </c>
      <c r="I6160">
        <v>6</v>
      </c>
      <c r="J6160" t="str" cm="1">
        <f t="array" ref="J6160">_xlfn.IFS(I6160&lt;=3,"small",I6160&lt;=6,"Medium",I6160&lt;=9,"Large")</f>
        <v>Medium</v>
      </c>
      <c r="K6160" s="36">
        <v>45464</v>
      </c>
      <c r="L6160" s="36">
        <v>45466</v>
      </c>
      <c r="M6160" t="s">
        <v>612</v>
      </c>
      <c r="N6160" t="s">
        <v>604</v>
      </c>
      <c r="O6160" s="37" t="str">
        <f t="shared" si="483"/>
        <v>Digital Payment</v>
      </c>
      <c r="P6160">
        <v>706.93</v>
      </c>
      <c r="Q6160" s="37" t="str">
        <f>IF(P6160&gt;500,"High","low")</f>
        <v>High</v>
      </c>
      <c r="R6160" s="37" t="str">
        <f t="shared" si="484"/>
        <v>Good</v>
      </c>
      <c r="S6160" t="s">
        <v>615</v>
      </c>
    </row>
    <row r="6161" spans="1:19" x14ac:dyDescent="0.2">
      <c r="A6161" t="s">
        <v>6772</v>
      </c>
      <c r="B6161" t="s">
        <v>90</v>
      </c>
      <c r="C6161" t="s">
        <v>617</v>
      </c>
      <c r="D6161">
        <v>1959.15</v>
      </c>
      <c r="E6161" s="37" t="str">
        <f t="shared" si="480"/>
        <v xml:space="preserve"> </v>
      </c>
      <c r="F6161">
        <v>0.16</v>
      </c>
      <c r="G6161" s="37" t="str">
        <f t="shared" si="481"/>
        <v>Normal Discount</v>
      </c>
      <c r="H6161" s="37" t="str">
        <f t="shared" si="482"/>
        <v>Low</v>
      </c>
      <c r="I6161">
        <v>7</v>
      </c>
      <c r="J6161" t="str" cm="1">
        <f t="array" ref="J6161">_xlfn.IFS(I6161&lt;=3,"small",I6161&lt;=6,"Medium",I6161&lt;=9,"Large")</f>
        <v>Large</v>
      </c>
      <c r="K6161" s="36">
        <v>44994</v>
      </c>
      <c r="L6161" s="36">
        <v>45000</v>
      </c>
      <c r="M6161" t="s">
        <v>598</v>
      </c>
      <c r="N6161" t="s">
        <v>608</v>
      </c>
      <c r="O6161" s="37" t="str">
        <f t="shared" si="483"/>
        <v>Cash Payment</v>
      </c>
      <c r="P6161">
        <v>323.64</v>
      </c>
      <c r="Q6161" s="37" t="str">
        <f>IF(P6161&gt;500,"High","low")</f>
        <v>low</v>
      </c>
      <c r="R6161" s="37" t="str">
        <f t="shared" si="484"/>
        <v>AVERAGE</v>
      </c>
      <c r="S6161" t="s">
        <v>609</v>
      </c>
    </row>
    <row r="6162" spans="1:19" x14ac:dyDescent="0.2">
      <c r="A6162" t="s">
        <v>6773</v>
      </c>
      <c r="B6162" t="s">
        <v>83</v>
      </c>
      <c r="C6162" t="s">
        <v>602</v>
      </c>
      <c r="D6162">
        <v>2175.46</v>
      </c>
      <c r="E6162" s="37" t="str">
        <f t="shared" si="480"/>
        <v xml:space="preserve"> </v>
      </c>
      <c r="F6162">
        <v>0.23</v>
      </c>
      <c r="G6162" s="37" t="str">
        <f t="shared" si="481"/>
        <v>Normal Discount</v>
      </c>
      <c r="H6162" s="37" t="str">
        <f t="shared" si="482"/>
        <v>Medium</v>
      </c>
      <c r="I6162">
        <v>5</v>
      </c>
      <c r="J6162" t="str" cm="1">
        <f t="array" ref="J6162">_xlfn.IFS(I6162&lt;=3,"small",I6162&lt;=6,"Medium",I6162&lt;=9,"Large")</f>
        <v>Medium</v>
      </c>
      <c r="K6162" s="36">
        <v>45468</v>
      </c>
      <c r="L6162" s="36">
        <v>45473</v>
      </c>
      <c r="M6162" t="s">
        <v>598</v>
      </c>
      <c r="N6162" t="s">
        <v>608</v>
      </c>
      <c r="O6162" s="37" t="str">
        <f t="shared" si="483"/>
        <v>Cash Payment</v>
      </c>
      <c r="P6162">
        <v>231.03</v>
      </c>
      <c r="Q6162" s="37" t="str">
        <f>IF(P6162&gt;500,"High","low")</f>
        <v>low</v>
      </c>
      <c r="R6162" s="37" t="str">
        <f t="shared" si="484"/>
        <v>AVERAGE</v>
      </c>
      <c r="S6162" t="s">
        <v>628</v>
      </c>
    </row>
    <row r="6163" spans="1:19" x14ac:dyDescent="0.2">
      <c r="A6163" t="s">
        <v>6774</v>
      </c>
      <c r="B6163" t="s">
        <v>90</v>
      </c>
      <c r="C6163" t="s">
        <v>602</v>
      </c>
      <c r="D6163">
        <v>1540.95</v>
      </c>
      <c r="E6163" s="37" t="str">
        <f t="shared" si="480"/>
        <v xml:space="preserve"> </v>
      </c>
      <c r="F6163">
        <v>0.49</v>
      </c>
      <c r="G6163" s="37" t="str">
        <f t="shared" si="481"/>
        <v>Heavy Discount</v>
      </c>
      <c r="H6163" s="37" t="str">
        <f t="shared" si="482"/>
        <v>High</v>
      </c>
      <c r="I6163">
        <v>1</v>
      </c>
      <c r="J6163" t="str" cm="1">
        <f t="array" ref="J6163">_xlfn.IFS(I6163&lt;=3,"small",I6163&lt;=6,"Medium",I6163&lt;=9,"Large")</f>
        <v>small</v>
      </c>
      <c r="K6163" s="36">
        <v>45408</v>
      </c>
      <c r="L6163" s="36">
        <v>45414</v>
      </c>
      <c r="M6163" t="s">
        <v>603</v>
      </c>
      <c r="N6163" t="s">
        <v>604</v>
      </c>
      <c r="O6163" s="37" t="str">
        <f t="shared" si="483"/>
        <v>Digital Payment</v>
      </c>
      <c r="P6163">
        <v>228.23</v>
      </c>
      <c r="Q6163" s="37" t="str">
        <f>IF(P6163&gt;500,"High","low")</f>
        <v>low</v>
      </c>
      <c r="R6163" s="37" t="str">
        <f t="shared" si="484"/>
        <v>AVERAGE</v>
      </c>
      <c r="S6163" t="s">
        <v>600</v>
      </c>
    </row>
    <row r="6164" spans="1:19" x14ac:dyDescent="0.2">
      <c r="A6164" t="s">
        <v>6775</v>
      </c>
      <c r="B6164" t="s">
        <v>67</v>
      </c>
      <c r="C6164" t="s">
        <v>617</v>
      </c>
      <c r="D6164">
        <v>826.48</v>
      </c>
      <c r="E6164" s="37" t="str">
        <f t="shared" si="480"/>
        <v xml:space="preserve"> </v>
      </c>
      <c r="F6164">
        <v>0.46</v>
      </c>
      <c r="G6164" s="37" t="str">
        <f t="shared" si="481"/>
        <v>Heavy Discount</v>
      </c>
      <c r="H6164" s="37" t="str">
        <f t="shared" si="482"/>
        <v>High</v>
      </c>
      <c r="I6164">
        <v>4</v>
      </c>
      <c r="J6164" t="str" cm="1">
        <f t="array" ref="J6164">_xlfn.IFS(I6164&lt;=3,"small",I6164&lt;=6,"Medium",I6164&lt;=9,"Large")</f>
        <v>Medium</v>
      </c>
      <c r="K6164" s="36">
        <v>45202</v>
      </c>
      <c r="L6164" s="36">
        <v>45203</v>
      </c>
      <c r="M6164" t="s">
        <v>603</v>
      </c>
      <c r="N6164" t="s">
        <v>599</v>
      </c>
      <c r="O6164" s="37" t="str">
        <f t="shared" si="483"/>
        <v>Digital Payment</v>
      </c>
      <c r="P6164">
        <v>77.77</v>
      </c>
      <c r="Q6164" s="37" t="str">
        <f>IF(P6164&gt;500,"High","low")</f>
        <v>low</v>
      </c>
      <c r="R6164" s="37" t="str">
        <f t="shared" si="484"/>
        <v>AVERAGE</v>
      </c>
      <c r="S6164" t="s">
        <v>609</v>
      </c>
    </row>
    <row r="6165" spans="1:19" x14ac:dyDescent="0.2">
      <c r="A6165" t="s">
        <v>6776</v>
      </c>
      <c r="B6165" t="s">
        <v>75</v>
      </c>
      <c r="C6165" t="s">
        <v>602</v>
      </c>
      <c r="D6165">
        <v>2346.37</v>
      </c>
      <c r="E6165" s="37" t="str">
        <f t="shared" si="480"/>
        <v xml:space="preserve"> </v>
      </c>
      <c r="F6165">
        <v>0.49</v>
      </c>
      <c r="G6165" s="37" t="str">
        <f t="shared" si="481"/>
        <v>Heavy Discount</v>
      </c>
      <c r="H6165" s="37" t="str">
        <f t="shared" si="482"/>
        <v>High</v>
      </c>
      <c r="I6165">
        <v>4</v>
      </c>
      <c r="J6165" t="str" cm="1">
        <f t="array" ref="J6165">_xlfn.IFS(I6165&lt;=3,"small",I6165&lt;=6,"Medium",I6165&lt;=9,"Large")</f>
        <v>Medium</v>
      </c>
      <c r="K6165" s="36">
        <v>45632</v>
      </c>
      <c r="L6165" s="36">
        <v>45634</v>
      </c>
      <c r="M6165" t="s">
        <v>612</v>
      </c>
      <c r="N6165" t="s">
        <v>608</v>
      </c>
      <c r="O6165" s="37" t="str">
        <f t="shared" si="483"/>
        <v>Cash Payment</v>
      </c>
      <c r="P6165">
        <v>595.66</v>
      </c>
      <c r="Q6165" s="37" t="str">
        <f>IF(P6165&gt;500,"High","low")</f>
        <v>High</v>
      </c>
      <c r="R6165" s="37" t="str">
        <f t="shared" si="484"/>
        <v>Good</v>
      </c>
      <c r="S6165" t="s">
        <v>605</v>
      </c>
    </row>
    <row r="6166" spans="1:19" x14ac:dyDescent="0.2">
      <c r="A6166" t="s">
        <v>6777</v>
      </c>
      <c r="B6166" t="s">
        <v>90</v>
      </c>
      <c r="C6166" t="s">
        <v>607</v>
      </c>
      <c r="D6166">
        <v>4509.75</v>
      </c>
      <c r="E6166" s="37" t="str">
        <f t="shared" si="480"/>
        <v xml:space="preserve"> </v>
      </c>
      <c r="F6166">
        <v>0.22</v>
      </c>
      <c r="G6166" s="37" t="str">
        <f t="shared" si="481"/>
        <v>Normal Discount</v>
      </c>
      <c r="H6166" s="37" t="str">
        <f t="shared" si="482"/>
        <v>Medium</v>
      </c>
      <c r="I6166">
        <v>8</v>
      </c>
      <c r="J6166" t="str" cm="1">
        <f t="array" ref="J6166">_xlfn.IFS(I6166&lt;=3,"small",I6166&lt;=6,"Medium",I6166&lt;=9,"Large")</f>
        <v>Large</v>
      </c>
      <c r="K6166" s="36">
        <v>45547</v>
      </c>
      <c r="L6166" s="36">
        <v>45554</v>
      </c>
      <c r="M6166" t="s">
        <v>598</v>
      </c>
      <c r="N6166" t="s">
        <v>604</v>
      </c>
      <c r="O6166" s="37" t="str">
        <f t="shared" si="483"/>
        <v>Digital Payment</v>
      </c>
      <c r="P6166">
        <v>463.34</v>
      </c>
      <c r="Q6166" s="37" t="str">
        <f>IF(P6166&gt;500,"High","low")</f>
        <v>low</v>
      </c>
      <c r="R6166" s="37" t="str">
        <f t="shared" si="484"/>
        <v>AVERAGE</v>
      </c>
      <c r="S6166" t="s">
        <v>600</v>
      </c>
    </row>
    <row r="6167" spans="1:19" x14ac:dyDescent="0.2">
      <c r="A6167" t="s">
        <v>6778</v>
      </c>
      <c r="B6167" t="s">
        <v>67</v>
      </c>
      <c r="C6167" t="s">
        <v>614</v>
      </c>
      <c r="D6167">
        <v>3291.2</v>
      </c>
      <c r="E6167" s="37" t="str">
        <f t="shared" si="480"/>
        <v xml:space="preserve"> </v>
      </c>
      <c r="F6167">
        <v>0.4</v>
      </c>
      <c r="G6167" s="37" t="str">
        <f t="shared" si="481"/>
        <v>Heavy Discount</v>
      </c>
      <c r="H6167" s="37" t="str">
        <f t="shared" si="482"/>
        <v>Medium</v>
      </c>
      <c r="I6167">
        <v>5</v>
      </c>
      <c r="J6167" t="str" cm="1">
        <f t="array" ref="J6167">_xlfn.IFS(I6167&lt;=3,"small",I6167&lt;=6,"Medium",I6167&lt;=9,"Large")</f>
        <v>Medium</v>
      </c>
      <c r="K6167" s="36">
        <v>45345</v>
      </c>
      <c r="L6167" s="36">
        <v>45352</v>
      </c>
      <c r="M6167" t="s">
        <v>598</v>
      </c>
      <c r="N6167" t="s">
        <v>604</v>
      </c>
      <c r="O6167" s="37" t="str">
        <f t="shared" si="483"/>
        <v>Digital Payment</v>
      </c>
      <c r="P6167">
        <v>392.69</v>
      </c>
      <c r="Q6167" s="37" t="str">
        <f>IF(P6167&gt;500,"High","low")</f>
        <v>low</v>
      </c>
      <c r="R6167" s="37" t="str">
        <f t="shared" si="484"/>
        <v>AVERAGE</v>
      </c>
      <c r="S6167" t="s">
        <v>600</v>
      </c>
    </row>
    <row r="6168" spans="1:19" x14ac:dyDescent="0.2">
      <c r="A6168" t="s">
        <v>6779</v>
      </c>
      <c r="B6168" t="s">
        <v>83</v>
      </c>
      <c r="C6168" t="s">
        <v>617</v>
      </c>
      <c r="D6168">
        <v>375.28</v>
      </c>
      <c r="E6168" s="37" t="str">
        <f t="shared" si="480"/>
        <v xml:space="preserve"> </v>
      </c>
      <c r="F6168">
        <v>0.44</v>
      </c>
      <c r="G6168" s="37" t="str">
        <f t="shared" si="481"/>
        <v>Heavy Discount</v>
      </c>
      <c r="H6168" s="37" t="str">
        <f t="shared" si="482"/>
        <v>High</v>
      </c>
      <c r="I6168">
        <v>3</v>
      </c>
      <c r="J6168" t="str" cm="1">
        <f t="array" ref="J6168">_xlfn.IFS(I6168&lt;=3,"small",I6168&lt;=6,"Medium",I6168&lt;=9,"Large")</f>
        <v>small</v>
      </c>
      <c r="K6168" s="36">
        <v>45261</v>
      </c>
      <c r="L6168" s="36">
        <v>45266</v>
      </c>
      <c r="M6168" t="s">
        <v>612</v>
      </c>
      <c r="N6168" t="s">
        <v>604</v>
      </c>
      <c r="O6168" s="37" t="str">
        <f t="shared" si="483"/>
        <v>Digital Payment</v>
      </c>
      <c r="P6168">
        <v>19.96</v>
      </c>
      <c r="Q6168" s="37" t="str">
        <f>IF(P6168&gt;500,"High","low")</f>
        <v>low</v>
      </c>
      <c r="R6168" s="37" t="str">
        <f t="shared" si="484"/>
        <v>AVERAGE</v>
      </c>
      <c r="S6168" t="s">
        <v>628</v>
      </c>
    </row>
    <row r="6169" spans="1:19" x14ac:dyDescent="0.2">
      <c r="A6169" t="s">
        <v>6780</v>
      </c>
      <c r="B6169" t="s">
        <v>67</v>
      </c>
      <c r="C6169" t="s">
        <v>614</v>
      </c>
      <c r="D6169">
        <v>4074.88</v>
      </c>
      <c r="E6169" s="37" t="str">
        <f t="shared" si="480"/>
        <v xml:space="preserve"> </v>
      </c>
      <c r="F6169">
        <v>0.02</v>
      </c>
      <c r="G6169" s="37" t="str">
        <f t="shared" si="481"/>
        <v>Normal Discount</v>
      </c>
      <c r="H6169" s="37" t="str">
        <f t="shared" si="482"/>
        <v>Low</v>
      </c>
      <c r="I6169">
        <v>1</v>
      </c>
      <c r="J6169" t="str" cm="1">
        <f t="array" ref="J6169">_xlfn.IFS(I6169&lt;=3,"small",I6169&lt;=6,"Medium",I6169&lt;=9,"Large")</f>
        <v>small</v>
      </c>
      <c r="K6169" s="36">
        <v>45196</v>
      </c>
      <c r="L6169" s="36">
        <v>45201</v>
      </c>
      <c r="M6169" t="s">
        <v>598</v>
      </c>
      <c r="N6169" t="s">
        <v>599</v>
      </c>
      <c r="O6169" s="37" t="str">
        <f t="shared" si="483"/>
        <v>Digital Payment</v>
      </c>
      <c r="P6169">
        <v>585.17999999999995</v>
      </c>
      <c r="Q6169" s="37" t="str">
        <f>IF(P6169&gt;500,"High","low")</f>
        <v>High</v>
      </c>
      <c r="R6169" s="37" t="str">
        <f t="shared" si="484"/>
        <v>Good</v>
      </c>
      <c r="S6169" t="s">
        <v>609</v>
      </c>
    </row>
    <row r="6170" spans="1:19" x14ac:dyDescent="0.2">
      <c r="A6170" t="s">
        <v>6781</v>
      </c>
      <c r="B6170" t="s">
        <v>83</v>
      </c>
      <c r="C6170" t="s">
        <v>607</v>
      </c>
      <c r="D6170">
        <v>4683.47</v>
      </c>
      <c r="E6170" s="37" t="str">
        <f t="shared" si="480"/>
        <v>Excellent Order</v>
      </c>
      <c r="F6170">
        <v>0.13</v>
      </c>
      <c r="G6170" s="37" t="str">
        <f t="shared" si="481"/>
        <v>Normal Discount</v>
      </c>
      <c r="H6170" s="37" t="str">
        <f t="shared" si="482"/>
        <v>Low</v>
      </c>
      <c r="I6170">
        <v>1</v>
      </c>
      <c r="J6170" t="str" cm="1">
        <f t="array" ref="J6170">_xlfn.IFS(I6170&lt;=3,"small",I6170&lt;=6,"Medium",I6170&lt;=9,"Large")</f>
        <v>small</v>
      </c>
      <c r="K6170" s="36">
        <v>45237</v>
      </c>
      <c r="L6170" s="36">
        <v>45241</v>
      </c>
      <c r="M6170" t="s">
        <v>598</v>
      </c>
      <c r="N6170" t="s">
        <v>608</v>
      </c>
      <c r="O6170" s="37" t="str">
        <f t="shared" si="483"/>
        <v>Cash Payment</v>
      </c>
      <c r="P6170">
        <v>1065.26</v>
      </c>
      <c r="Q6170" s="37" t="str">
        <f>IF(P6170&gt;500,"High","low")</f>
        <v>High</v>
      </c>
      <c r="R6170" s="37" t="str">
        <f t="shared" si="484"/>
        <v>Excellent</v>
      </c>
      <c r="S6170" t="s">
        <v>628</v>
      </c>
    </row>
    <row r="6171" spans="1:19" x14ac:dyDescent="0.2">
      <c r="A6171" t="s">
        <v>6782</v>
      </c>
      <c r="B6171" t="s">
        <v>83</v>
      </c>
      <c r="C6171" t="s">
        <v>602</v>
      </c>
      <c r="D6171">
        <v>4164.17</v>
      </c>
      <c r="E6171" s="37" t="str">
        <f t="shared" si="480"/>
        <v xml:space="preserve"> </v>
      </c>
      <c r="F6171">
        <v>0.44</v>
      </c>
      <c r="G6171" s="37" t="str">
        <f t="shared" si="481"/>
        <v>Heavy Discount</v>
      </c>
      <c r="H6171" s="37" t="str">
        <f t="shared" si="482"/>
        <v>High</v>
      </c>
      <c r="I6171">
        <v>5</v>
      </c>
      <c r="J6171" t="str" cm="1">
        <f t="array" ref="J6171">_xlfn.IFS(I6171&lt;=3,"small",I6171&lt;=6,"Medium",I6171&lt;=9,"Large")</f>
        <v>Medium</v>
      </c>
      <c r="K6171" s="36">
        <v>45620</v>
      </c>
      <c r="L6171" s="36">
        <v>45622</v>
      </c>
      <c r="M6171" t="s">
        <v>598</v>
      </c>
      <c r="N6171" t="s">
        <v>608</v>
      </c>
      <c r="O6171" s="37" t="str">
        <f t="shared" si="483"/>
        <v>Cash Payment</v>
      </c>
      <c r="P6171">
        <v>393.79</v>
      </c>
      <c r="Q6171" s="37" t="str">
        <f>IF(P6171&gt;500,"High","low")</f>
        <v>low</v>
      </c>
      <c r="R6171" s="37" t="str">
        <f t="shared" si="484"/>
        <v>AVERAGE</v>
      </c>
      <c r="S6171" t="s">
        <v>605</v>
      </c>
    </row>
    <row r="6172" spans="1:19" x14ac:dyDescent="0.2">
      <c r="A6172" t="s">
        <v>6783</v>
      </c>
      <c r="B6172" t="s">
        <v>75</v>
      </c>
      <c r="C6172" t="s">
        <v>597</v>
      </c>
      <c r="D6172">
        <v>3664.95</v>
      </c>
      <c r="E6172" s="37" t="str">
        <f t="shared" si="480"/>
        <v xml:space="preserve"> </v>
      </c>
      <c r="F6172">
        <v>0.19</v>
      </c>
      <c r="G6172" s="37" t="str">
        <f t="shared" si="481"/>
        <v>Normal Discount</v>
      </c>
      <c r="H6172" s="37" t="str">
        <f t="shared" si="482"/>
        <v>Low</v>
      </c>
      <c r="I6172">
        <v>8</v>
      </c>
      <c r="J6172" t="str" cm="1">
        <f t="array" ref="J6172">_xlfn.IFS(I6172&lt;=3,"small",I6172&lt;=6,"Medium",I6172&lt;=9,"Large")</f>
        <v>Large</v>
      </c>
      <c r="K6172" s="36">
        <v>45373</v>
      </c>
      <c r="L6172" s="36">
        <v>45377</v>
      </c>
      <c r="M6172" t="s">
        <v>603</v>
      </c>
      <c r="N6172" t="s">
        <v>604</v>
      </c>
      <c r="O6172" s="37" t="str">
        <f t="shared" si="483"/>
        <v>Digital Payment</v>
      </c>
      <c r="P6172">
        <v>651.78</v>
      </c>
      <c r="Q6172" s="37" t="str">
        <f>IF(P6172&gt;500,"High","low")</f>
        <v>High</v>
      </c>
      <c r="R6172" s="37" t="str">
        <f t="shared" si="484"/>
        <v>Good</v>
      </c>
      <c r="S6172" t="s">
        <v>620</v>
      </c>
    </row>
    <row r="6173" spans="1:19" x14ac:dyDescent="0.2">
      <c r="A6173" t="s">
        <v>6784</v>
      </c>
      <c r="B6173" t="s">
        <v>75</v>
      </c>
      <c r="C6173" t="s">
        <v>607</v>
      </c>
      <c r="D6173">
        <v>835.59</v>
      </c>
      <c r="E6173" s="37" t="str">
        <f t="shared" si="480"/>
        <v xml:space="preserve"> </v>
      </c>
      <c r="F6173">
        <v>0.14000000000000001</v>
      </c>
      <c r="G6173" s="37" t="str">
        <f t="shared" si="481"/>
        <v>Normal Discount</v>
      </c>
      <c r="H6173" s="37" t="str">
        <f t="shared" si="482"/>
        <v>Low</v>
      </c>
      <c r="I6173">
        <v>9</v>
      </c>
      <c r="J6173" t="str" cm="1">
        <f t="array" ref="J6173">_xlfn.IFS(I6173&lt;=3,"small",I6173&lt;=6,"Medium",I6173&lt;=9,"Large")</f>
        <v>Large</v>
      </c>
      <c r="K6173" s="36">
        <v>45368</v>
      </c>
      <c r="L6173" s="36">
        <v>45375</v>
      </c>
      <c r="M6173" t="s">
        <v>598</v>
      </c>
      <c r="N6173" t="s">
        <v>604</v>
      </c>
      <c r="O6173" s="37" t="str">
        <f t="shared" si="483"/>
        <v>Digital Payment</v>
      </c>
      <c r="P6173">
        <v>237.88</v>
      </c>
      <c r="Q6173" s="37" t="str">
        <f>IF(P6173&gt;500,"High","low")</f>
        <v>low</v>
      </c>
      <c r="R6173" s="37" t="str">
        <f t="shared" si="484"/>
        <v>AVERAGE</v>
      </c>
      <c r="S6173" t="s">
        <v>605</v>
      </c>
    </row>
    <row r="6174" spans="1:19" x14ac:dyDescent="0.2">
      <c r="A6174" t="s">
        <v>6785</v>
      </c>
      <c r="B6174" t="s">
        <v>67</v>
      </c>
      <c r="C6174" t="s">
        <v>597</v>
      </c>
      <c r="D6174">
        <v>1810.1</v>
      </c>
      <c r="E6174" s="37" t="str">
        <f t="shared" si="480"/>
        <v xml:space="preserve"> </v>
      </c>
      <c r="F6174">
        <v>0.14000000000000001</v>
      </c>
      <c r="G6174" s="37" t="str">
        <f t="shared" si="481"/>
        <v>Normal Discount</v>
      </c>
      <c r="H6174" s="37" t="str">
        <f t="shared" si="482"/>
        <v>Low</v>
      </c>
      <c r="I6174">
        <v>2</v>
      </c>
      <c r="J6174" t="str" cm="1">
        <f t="array" ref="J6174">_xlfn.IFS(I6174&lt;=3,"small",I6174&lt;=6,"Medium",I6174&lt;=9,"Large")</f>
        <v>small</v>
      </c>
      <c r="K6174" s="36">
        <v>45081</v>
      </c>
      <c r="L6174" s="36">
        <v>45088</v>
      </c>
      <c r="M6174" t="s">
        <v>612</v>
      </c>
      <c r="N6174" t="s">
        <v>604</v>
      </c>
      <c r="O6174" s="37" t="str">
        <f t="shared" si="483"/>
        <v>Digital Payment</v>
      </c>
      <c r="P6174">
        <v>288.94</v>
      </c>
      <c r="Q6174" s="37" t="str">
        <f>IF(P6174&gt;500,"High","low")</f>
        <v>low</v>
      </c>
      <c r="R6174" s="37" t="str">
        <f t="shared" si="484"/>
        <v>AVERAGE</v>
      </c>
      <c r="S6174" t="s">
        <v>600</v>
      </c>
    </row>
    <row r="6175" spans="1:19" x14ac:dyDescent="0.2">
      <c r="A6175" t="s">
        <v>6786</v>
      </c>
      <c r="B6175" t="s">
        <v>75</v>
      </c>
      <c r="C6175" t="s">
        <v>614</v>
      </c>
      <c r="D6175">
        <v>2869.91</v>
      </c>
      <c r="E6175" s="37" t="str">
        <f t="shared" si="480"/>
        <v xml:space="preserve"> </v>
      </c>
      <c r="F6175">
        <v>0.19</v>
      </c>
      <c r="G6175" s="37" t="str">
        <f t="shared" si="481"/>
        <v>Normal Discount</v>
      </c>
      <c r="H6175" s="37" t="str">
        <f t="shared" si="482"/>
        <v>Low</v>
      </c>
      <c r="I6175">
        <v>5</v>
      </c>
      <c r="J6175" t="str" cm="1">
        <f t="array" ref="J6175">_xlfn.IFS(I6175&lt;=3,"small",I6175&lt;=6,"Medium",I6175&lt;=9,"Large")</f>
        <v>Medium</v>
      </c>
      <c r="K6175" s="36">
        <v>45440</v>
      </c>
      <c r="L6175" s="36">
        <v>45441</v>
      </c>
      <c r="M6175" t="s">
        <v>598</v>
      </c>
      <c r="N6175" t="s">
        <v>599</v>
      </c>
      <c r="O6175" s="37" t="str">
        <f t="shared" si="483"/>
        <v>Digital Payment</v>
      </c>
      <c r="P6175">
        <v>713.64</v>
      </c>
      <c r="Q6175" s="37" t="str">
        <f>IF(P6175&gt;500,"High","low")</f>
        <v>High</v>
      </c>
      <c r="R6175" s="37" t="str">
        <f t="shared" si="484"/>
        <v>Good</v>
      </c>
      <c r="S6175" t="s">
        <v>620</v>
      </c>
    </row>
    <row r="6176" spans="1:19" x14ac:dyDescent="0.2">
      <c r="A6176" t="s">
        <v>6787</v>
      </c>
      <c r="B6176" t="s">
        <v>75</v>
      </c>
      <c r="C6176" t="s">
        <v>617</v>
      </c>
      <c r="D6176">
        <v>476.62</v>
      </c>
      <c r="E6176" s="37" t="str">
        <f t="shared" si="480"/>
        <v xml:space="preserve"> </v>
      </c>
      <c r="F6176">
        <v>0.12</v>
      </c>
      <c r="G6176" s="37" t="str">
        <f t="shared" si="481"/>
        <v>Normal Discount</v>
      </c>
      <c r="H6176" s="37" t="str">
        <f t="shared" si="482"/>
        <v>Low</v>
      </c>
      <c r="I6176">
        <v>4</v>
      </c>
      <c r="J6176" t="str" cm="1">
        <f t="array" ref="J6176">_xlfn.IFS(I6176&lt;=3,"small",I6176&lt;=6,"Medium",I6176&lt;=9,"Large")</f>
        <v>Medium</v>
      </c>
      <c r="K6176" s="36">
        <v>45395</v>
      </c>
      <c r="L6176" s="36">
        <v>45401</v>
      </c>
      <c r="M6176" t="s">
        <v>598</v>
      </c>
      <c r="N6176" t="s">
        <v>608</v>
      </c>
      <c r="O6176" s="37" t="str">
        <f t="shared" si="483"/>
        <v>Cash Payment</v>
      </c>
      <c r="P6176">
        <v>118.96</v>
      </c>
      <c r="Q6176" s="37" t="str">
        <f>IF(P6176&gt;500,"High","low")</f>
        <v>low</v>
      </c>
      <c r="R6176" s="37" t="str">
        <f t="shared" si="484"/>
        <v>AVERAGE</v>
      </c>
      <c r="S6176" t="s">
        <v>600</v>
      </c>
    </row>
    <row r="6177" spans="1:19" x14ac:dyDescent="0.2">
      <c r="A6177" t="s">
        <v>6788</v>
      </c>
      <c r="B6177" t="s">
        <v>75</v>
      </c>
      <c r="C6177" t="s">
        <v>602</v>
      </c>
      <c r="D6177">
        <v>620.72</v>
      </c>
      <c r="E6177" s="37" t="str">
        <f t="shared" si="480"/>
        <v xml:space="preserve"> </v>
      </c>
      <c r="F6177">
        <v>0</v>
      </c>
      <c r="G6177" s="37" t="str">
        <f t="shared" si="481"/>
        <v>Normal Discount</v>
      </c>
      <c r="H6177" s="37" t="str">
        <f t="shared" si="482"/>
        <v>Low</v>
      </c>
      <c r="I6177">
        <v>3</v>
      </c>
      <c r="J6177" t="str" cm="1">
        <f t="array" ref="J6177">_xlfn.IFS(I6177&lt;=3,"small",I6177&lt;=6,"Medium",I6177&lt;=9,"Large")</f>
        <v>small</v>
      </c>
      <c r="K6177" s="36">
        <v>45004</v>
      </c>
      <c r="L6177" s="36">
        <v>45007</v>
      </c>
      <c r="M6177" t="s">
        <v>612</v>
      </c>
      <c r="N6177" t="s">
        <v>604</v>
      </c>
      <c r="O6177" s="37" t="str">
        <f t="shared" si="483"/>
        <v>Digital Payment</v>
      </c>
      <c r="P6177">
        <v>132.25</v>
      </c>
      <c r="Q6177" s="37" t="str">
        <f>IF(P6177&gt;500,"High","low")</f>
        <v>low</v>
      </c>
      <c r="R6177" s="37" t="str">
        <f t="shared" si="484"/>
        <v>AVERAGE</v>
      </c>
      <c r="S6177" t="s">
        <v>605</v>
      </c>
    </row>
    <row r="6178" spans="1:19" x14ac:dyDescent="0.2">
      <c r="A6178" t="s">
        <v>6789</v>
      </c>
      <c r="B6178" t="s">
        <v>67</v>
      </c>
      <c r="C6178" t="s">
        <v>607</v>
      </c>
      <c r="D6178">
        <v>4677.84</v>
      </c>
      <c r="E6178" s="37" t="str">
        <f t="shared" si="480"/>
        <v xml:space="preserve"> </v>
      </c>
      <c r="F6178">
        <v>0.09</v>
      </c>
      <c r="G6178" s="37" t="str">
        <f t="shared" si="481"/>
        <v>Normal Discount</v>
      </c>
      <c r="H6178" s="37" t="str">
        <f t="shared" si="482"/>
        <v>Low</v>
      </c>
      <c r="I6178">
        <v>8</v>
      </c>
      <c r="J6178" t="str" cm="1">
        <f t="array" ref="J6178">_xlfn.IFS(I6178&lt;=3,"small",I6178&lt;=6,"Medium",I6178&lt;=9,"Large")</f>
        <v>Large</v>
      </c>
      <c r="K6178" s="36">
        <v>45529</v>
      </c>
      <c r="L6178" s="36">
        <v>45534</v>
      </c>
      <c r="M6178" t="s">
        <v>603</v>
      </c>
      <c r="N6178" t="s">
        <v>608</v>
      </c>
      <c r="O6178" s="37" t="str">
        <f t="shared" si="483"/>
        <v>Cash Payment</v>
      </c>
      <c r="P6178">
        <v>662</v>
      </c>
      <c r="Q6178" s="37" t="str">
        <f>IF(P6178&gt;500,"High","low")</f>
        <v>High</v>
      </c>
      <c r="R6178" s="37" t="str">
        <f t="shared" si="484"/>
        <v>Good</v>
      </c>
      <c r="S6178" t="s">
        <v>615</v>
      </c>
    </row>
    <row r="6179" spans="1:19" x14ac:dyDescent="0.2">
      <c r="A6179" t="s">
        <v>6790</v>
      </c>
      <c r="B6179" t="s">
        <v>90</v>
      </c>
      <c r="C6179" t="s">
        <v>602</v>
      </c>
      <c r="D6179">
        <v>3543.19</v>
      </c>
      <c r="E6179" s="37" t="str">
        <f t="shared" si="480"/>
        <v xml:space="preserve"> </v>
      </c>
      <c r="F6179">
        <v>0.44</v>
      </c>
      <c r="G6179" s="37" t="str">
        <f t="shared" si="481"/>
        <v>Heavy Discount</v>
      </c>
      <c r="H6179" s="37" t="str">
        <f t="shared" si="482"/>
        <v>High</v>
      </c>
      <c r="I6179">
        <v>2</v>
      </c>
      <c r="J6179" t="str" cm="1">
        <f t="array" ref="J6179">_xlfn.IFS(I6179&lt;=3,"small",I6179&lt;=6,"Medium",I6179&lt;=9,"Large")</f>
        <v>small</v>
      </c>
      <c r="K6179" s="36">
        <v>45395</v>
      </c>
      <c r="L6179" s="36">
        <v>45397</v>
      </c>
      <c r="M6179" t="s">
        <v>612</v>
      </c>
      <c r="N6179" t="s">
        <v>599</v>
      </c>
      <c r="O6179" s="37" t="str">
        <f t="shared" si="483"/>
        <v>Digital Payment</v>
      </c>
      <c r="P6179">
        <v>850.04</v>
      </c>
      <c r="Q6179" s="37" t="str">
        <f>IF(P6179&gt;500,"High","low")</f>
        <v>High</v>
      </c>
      <c r="R6179" s="37" t="str">
        <f t="shared" si="484"/>
        <v>Good</v>
      </c>
      <c r="S6179" t="s">
        <v>615</v>
      </c>
    </row>
    <row r="6180" spans="1:19" x14ac:dyDescent="0.2">
      <c r="A6180" t="s">
        <v>6791</v>
      </c>
      <c r="B6180" t="s">
        <v>75</v>
      </c>
      <c r="C6180" t="s">
        <v>597</v>
      </c>
      <c r="D6180">
        <v>1447.93</v>
      </c>
      <c r="E6180" s="37" t="str">
        <f t="shared" si="480"/>
        <v xml:space="preserve"> </v>
      </c>
      <c r="F6180">
        <v>0.04</v>
      </c>
      <c r="G6180" s="37" t="str">
        <f t="shared" si="481"/>
        <v>Normal Discount</v>
      </c>
      <c r="H6180" s="37" t="str">
        <f t="shared" si="482"/>
        <v>Low</v>
      </c>
      <c r="I6180">
        <v>2</v>
      </c>
      <c r="J6180" t="str" cm="1">
        <f t="array" ref="J6180">_xlfn.IFS(I6180&lt;=3,"small",I6180&lt;=6,"Medium",I6180&lt;=9,"Large")</f>
        <v>small</v>
      </c>
      <c r="K6180" s="36">
        <v>45205</v>
      </c>
      <c r="L6180" s="36">
        <v>45206</v>
      </c>
      <c r="M6180" t="s">
        <v>612</v>
      </c>
      <c r="N6180" t="s">
        <v>599</v>
      </c>
      <c r="O6180" s="37" t="str">
        <f t="shared" si="483"/>
        <v>Digital Payment</v>
      </c>
      <c r="P6180">
        <v>412.64</v>
      </c>
      <c r="Q6180" s="37" t="str">
        <f>IF(P6180&gt;500,"High","low")</f>
        <v>low</v>
      </c>
      <c r="R6180" s="37" t="str">
        <f t="shared" si="484"/>
        <v>AVERAGE</v>
      </c>
      <c r="S6180" t="s">
        <v>620</v>
      </c>
    </row>
    <row r="6181" spans="1:19" x14ac:dyDescent="0.2">
      <c r="A6181" t="s">
        <v>6792</v>
      </c>
      <c r="B6181" t="s">
        <v>75</v>
      </c>
      <c r="C6181" t="s">
        <v>597</v>
      </c>
      <c r="D6181">
        <v>1704.07</v>
      </c>
      <c r="E6181" s="37" t="str">
        <f t="shared" si="480"/>
        <v xml:space="preserve"> </v>
      </c>
      <c r="F6181">
        <v>0.21</v>
      </c>
      <c r="G6181" s="37" t="str">
        <f t="shared" si="481"/>
        <v>Normal Discount</v>
      </c>
      <c r="H6181" s="37" t="str">
        <f t="shared" si="482"/>
        <v>Medium</v>
      </c>
      <c r="I6181">
        <v>5</v>
      </c>
      <c r="J6181" t="str" cm="1">
        <f t="array" ref="J6181">_xlfn.IFS(I6181&lt;=3,"small",I6181&lt;=6,"Medium",I6181&lt;=9,"Large")</f>
        <v>Medium</v>
      </c>
      <c r="K6181" s="36">
        <v>45601</v>
      </c>
      <c r="L6181" s="36">
        <v>45603</v>
      </c>
      <c r="M6181" t="s">
        <v>598</v>
      </c>
      <c r="N6181" t="s">
        <v>604</v>
      </c>
      <c r="O6181" s="37" t="str">
        <f t="shared" si="483"/>
        <v>Digital Payment</v>
      </c>
      <c r="P6181">
        <v>201.14</v>
      </c>
      <c r="Q6181" s="37" t="str">
        <f>IF(P6181&gt;500,"High","low")</f>
        <v>low</v>
      </c>
      <c r="R6181" s="37" t="str">
        <f t="shared" si="484"/>
        <v>AVERAGE</v>
      </c>
      <c r="S6181" t="s">
        <v>620</v>
      </c>
    </row>
    <row r="6182" spans="1:19" x14ac:dyDescent="0.2">
      <c r="A6182" t="s">
        <v>6793</v>
      </c>
      <c r="B6182" t="s">
        <v>67</v>
      </c>
      <c r="C6182" t="s">
        <v>617</v>
      </c>
      <c r="D6182">
        <v>1983.7</v>
      </c>
      <c r="E6182" s="37" t="str">
        <f t="shared" si="480"/>
        <v xml:space="preserve"> </v>
      </c>
      <c r="F6182">
        <v>0.23</v>
      </c>
      <c r="G6182" s="37" t="str">
        <f t="shared" si="481"/>
        <v>Normal Discount</v>
      </c>
      <c r="H6182" s="37" t="str">
        <f t="shared" si="482"/>
        <v>Medium</v>
      </c>
      <c r="I6182">
        <v>1</v>
      </c>
      <c r="J6182" t="str" cm="1">
        <f t="array" ref="J6182">_xlfn.IFS(I6182&lt;=3,"small",I6182&lt;=6,"Medium",I6182&lt;=9,"Large")</f>
        <v>small</v>
      </c>
      <c r="K6182" s="36">
        <v>45244</v>
      </c>
      <c r="L6182" s="36">
        <v>45251</v>
      </c>
      <c r="M6182" t="s">
        <v>612</v>
      </c>
      <c r="N6182" t="s">
        <v>608</v>
      </c>
      <c r="O6182" s="37" t="str">
        <f t="shared" si="483"/>
        <v>Cash Payment</v>
      </c>
      <c r="P6182">
        <v>347.93</v>
      </c>
      <c r="Q6182" s="37" t="str">
        <f>IF(P6182&gt;500,"High","low")</f>
        <v>low</v>
      </c>
      <c r="R6182" s="37" t="str">
        <f t="shared" si="484"/>
        <v>AVERAGE</v>
      </c>
      <c r="S6182" t="s">
        <v>615</v>
      </c>
    </row>
    <row r="6183" spans="1:19" x14ac:dyDescent="0.2">
      <c r="A6183" t="s">
        <v>6794</v>
      </c>
      <c r="B6183" t="s">
        <v>90</v>
      </c>
      <c r="C6183" t="s">
        <v>597</v>
      </c>
      <c r="D6183">
        <v>467.85</v>
      </c>
      <c r="E6183" s="37" t="str">
        <f t="shared" si="480"/>
        <v xml:space="preserve"> </v>
      </c>
      <c r="F6183">
        <v>0.39</v>
      </c>
      <c r="G6183" s="37" t="str">
        <f t="shared" si="481"/>
        <v>Heavy Discount</v>
      </c>
      <c r="H6183" s="37" t="str">
        <f t="shared" si="482"/>
        <v>Medium</v>
      </c>
      <c r="I6183">
        <v>7</v>
      </c>
      <c r="J6183" t="str" cm="1">
        <f t="array" ref="J6183">_xlfn.IFS(I6183&lt;=3,"small",I6183&lt;=6,"Medium",I6183&lt;=9,"Large")</f>
        <v>Large</v>
      </c>
      <c r="K6183" s="36">
        <v>45038</v>
      </c>
      <c r="L6183" s="36">
        <v>45043</v>
      </c>
      <c r="M6183" t="s">
        <v>603</v>
      </c>
      <c r="N6183" t="s">
        <v>604</v>
      </c>
      <c r="O6183" s="37" t="str">
        <f t="shared" si="483"/>
        <v>Digital Payment</v>
      </c>
      <c r="P6183">
        <v>93.61</v>
      </c>
      <c r="Q6183" s="37" t="str">
        <f>IF(P6183&gt;500,"High","low")</f>
        <v>low</v>
      </c>
      <c r="R6183" s="37" t="str">
        <f t="shared" si="484"/>
        <v>AVERAGE</v>
      </c>
      <c r="S6183" t="s">
        <v>628</v>
      </c>
    </row>
    <row r="6184" spans="1:19" x14ac:dyDescent="0.2">
      <c r="A6184" t="s">
        <v>6795</v>
      </c>
      <c r="B6184" t="s">
        <v>75</v>
      </c>
      <c r="C6184" t="s">
        <v>617</v>
      </c>
      <c r="D6184">
        <v>3721.97</v>
      </c>
      <c r="E6184" s="37" t="str">
        <f t="shared" si="480"/>
        <v xml:space="preserve"> </v>
      </c>
      <c r="F6184">
        <v>0.13</v>
      </c>
      <c r="G6184" s="37" t="str">
        <f t="shared" si="481"/>
        <v>Normal Discount</v>
      </c>
      <c r="H6184" s="37" t="str">
        <f t="shared" si="482"/>
        <v>Low</v>
      </c>
      <c r="I6184">
        <v>9</v>
      </c>
      <c r="J6184" t="str" cm="1">
        <f t="array" ref="J6184">_xlfn.IFS(I6184&lt;=3,"small",I6184&lt;=6,"Medium",I6184&lt;=9,"Large")</f>
        <v>Large</v>
      </c>
      <c r="K6184" s="36">
        <v>45254</v>
      </c>
      <c r="L6184" s="36">
        <v>45257</v>
      </c>
      <c r="M6184" t="s">
        <v>612</v>
      </c>
      <c r="N6184" t="s">
        <v>608</v>
      </c>
      <c r="O6184" s="37" t="str">
        <f t="shared" si="483"/>
        <v>Cash Payment</v>
      </c>
      <c r="P6184">
        <v>739.17</v>
      </c>
      <c r="Q6184" s="37" t="str">
        <f>IF(P6184&gt;500,"High","low")</f>
        <v>High</v>
      </c>
      <c r="R6184" s="37" t="str">
        <f t="shared" si="484"/>
        <v>Good</v>
      </c>
      <c r="S6184" t="s">
        <v>620</v>
      </c>
    </row>
    <row r="6185" spans="1:19" x14ac:dyDescent="0.2">
      <c r="A6185" t="s">
        <v>6796</v>
      </c>
      <c r="B6185" t="s">
        <v>83</v>
      </c>
      <c r="C6185" t="s">
        <v>607</v>
      </c>
      <c r="D6185">
        <v>966.49</v>
      </c>
      <c r="E6185" s="37" t="str">
        <f t="shared" si="480"/>
        <v xml:space="preserve"> </v>
      </c>
      <c r="F6185">
        <v>0.15</v>
      </c>
      <c r="G6185" s="37" t="str">
        <f t="shared" si="481"/>
        <v>Normal Discount</v>
      </c>
      <c r="H6185" s="37" t="str">
        <f t="shared" si="482"/>
        <v>Low</v>
      </c>
      <c r="I6185">
        <v>2</v>
      </c>
      <c r="J6185" t="str" cm="1">
        <f t="array" ref="J6185">_xlfn.IFS(I6185&lt;=3,"small",I6185&lt;=6,"Medium",I6185&lt;=9,"Large")</f>
        <v>small</v>
      </c>
      <c r="K6185" s="36">
        <v>44985</v>
      </c>
      <c r="L6185" s="36">
        <v>44986</v>
      </c>
      <c r="M6185" t="s">
        <v>598</v>
      </c>
      <c r="N6185" t="s">
        <v>608</v>
      </c>
      <c r="O6185" s="37" t="str">
        <f t="shared" si="483"/>
        <v>Cash Payment</v>
      </c>
      <c r="P6185">
        <v>149.01</v>
      </c>
      <c r="Q6185" s="37" t="str">
        <f>IF(P6185&gt;500,"High","low")</f>
        <v>low</v>
      </c>
      <c r="R6185" s="37" t="str">
        <f t="shared" si="484"/>
        <v>AVERAGE</v>
      </c>
      <c r="S6185" t="s">
        <v>628</v>
      </c>
    </row>
    <row r="6186" spans="1:19" x14ac:dyDescent="0.2">
      <c r="A6186" t="s">
        <v>6797</v>
      </c>
      <c r="B6186" t="s">
        <v>67</v>
      </c>
      <c r="C6186" t="s">
        <v>617</v>
      </c>
      <c r="D6186">
        <v>4045.09</v>
      </c>
      <c r="E6186" s="37" t="str">
        <f t="shared" si="480"/>
        <v xml:space="preserve"> </v>
      </c>
      <c r="F6186">
        <v>0.01</v>
      </c>
      <c r="G6186" s="37" t="str">
        <f t="shared" si="481"/>
        <v>Normal Discount</v>
      </c>
      <c r="H6186" s="37" t="str">
        <f t="shared" si="482"/>
        <v>Low</v>
      </c>
      <c r="I6186">
        <v>1</v>
      </c>
      <c r="J6186" t="str" cm="1">
        <f t="array" ref="J6186">_xlfn.IFS(I6186&lt;=3,"small",I6186&lt;=6,"Medium",I6186&lt;=9,"Large")</f>
        <v>small</v>
      </c>
      <c r="K6186" s="36">
        <v>45630</v>
      </c>
      <c r="L6186" s="36">
        <v>45635</v>
      </c>
      <c r="M6186" t="s">
        <v>598</v>
      </c>
      <c r="N6186" t="s">
        <v>604</v>
      </c>
      <c r="O6186" s="37" t="str">
        <f t="shared" si="483"/>
        <v>Digital Payment</v>
      </c>
      <c r="P6186">
        <v>751.98</v>
      </c>
      <c r="Q6186" s="37" t="str">
        <f>IF(P6186&gt;500,"High","low")</f>
        <v>High</v>
      </c>
      <c r="R6186" s="37" t="str">
        <f t="shared" si="484"/>
        <v>Good</v>
      </c>
      <c r="S6186" t="s">
        <v>615</v>
      </c>
    </row>
    <row r="6187" spans="1:19" x14ac:dyDescent="0.2">
      <c r="A6187" t="s">
        <v>6798</v>
      </c>
      <c r="B6187" t="s">
        <v>75</v>
      </c>
      <c r="C6187" t="s">
        <v>597</v>
      </c>
      <c r="D6187">
        <v>4244.7700000000004</v>
      </c>
      <c r="E6187" s="37" t="str">
        <f t="shared" si="480"/>
        <v xml:space="preserve"> </v>
      </c>
      <c r="F6187">
        <v>0.45</v>
      </c>
      <c r="G6187" s="37" t="str">
        <f t="shared" si="481"/>
        <v>Heavy Discount</v>
      </c>
      <c r="H6187" s="37" t="str">
        <f t="shared" si="482"/>
        <v>High</v>
      </c>
      <c r="I6187">
        <v>9</v>
      </c>
      <c r="J6187" t="str" cm="1">
        <f t="array" ref="J6187">_xlfn.IFS(I6187&lt;=3,"small",I6187&lt;=6,"Medium",I6187&lt;=9,"Large")</f>
        <v>Large</v>
      </c>
      <c r="K6187" s="36">
        <v>45151</v>
      </c>
      <c r="L6187" s="36">
        <v>45158</v>
      </c>
      <c r="M6187" t="s">
        <v>612</v>
      </c>
      <c r="N6187" t="s">
        <v>599</v>
      </c>
      <c r="O6187" s="37" t="str">
        <f t="shared" si="483"/>
        <v>Digital Payment</v>
      </c>
      <c r="P6187">
        <v>271.51</v>
      </c>
      <c r="Q6187" s="37" t="str">
        <f>IF(P6187&gt;500,"High","low")</f>
        <v>low</v>
      </c>
      <c r="R6187" s="37" t="str">
        <f t="shared" si="484"/>
        <v>AVERAGE</v>
      </c>
      <c r="S6187" t="s">
        <v>605</v>
      </c>
    </row>
    <row r="6188" spans="1:19" x14ac:dyDescent="0.2">
      <c r="A6188" t="s">
        <v>6799</v>
      </c>
      <c r="B6188" t="s">
        <v>75</v>
      </c>
      <c r="C6188" t="s">
        <v>614</v>
      </c>
      <c r="D6188">
        <v>3228.33</v>
      </c>
      <c r="E6188" s="37" t="str">
        <f t="shared" si="480"/>
        <v xml:space="preserve"> </v>
      </c>
      <c r="F6188">
        <v>0.34</v>
      </c>
      <c r="G6188" s="37" t="str">
        <f t="shared" si="481"/>
        <v>Heavy Discount</v>
      </c>
      <c r="H6188" s="37" t="str">
        <f t="shared" si="482"/>
        <v>Medium</v>
      </c>
      <c r="I6188">
        <v>2</v>
      </c>
      <c r="J6188" t="str" cm="1">
        <f t="array" ref="J6188">_xlfn.IFS(I6188&lt;=3,"small",I6188&lt;=6,"Medium",I6188&lt;=9,"Large")</f>
        <v>small</v>
      </c>
      <c r="K6188" s="36">
        <v>45575</v>
      </c>
      <c r="L6188" s="36">
        <v>45576</v>
      </c>
      <c r="M6188" t="s">
        <v>603</v>
      </c>
      <c r="N6188" t="s">
        <v>608</v>
      </c>
      <c r="O6188" s="37" t="str">
        <f t="shared" si="483"/>
        <v>Cash Payment</v>
      </c>
      <c r="P6188">
        <v>213.41</v>
      </c>
      <c r="Q6188" s="37" t="str">
        <f>IF(P6188&gt;500,"High","low")</f>
        <v>low</v>
      </c>
      <c r="R6188" s="37" t="str">
        <f t="shared" si="484"/>
        <v>AVERAGE</v>
      </c>
      <c r="S6188" t="s">
        <v>615</v>
      </c>
    </row>
    <row r="6189" spans="1:19" x14ac:dyDescent="0.2">
      <c r="A6189" t="s">
        <v>6800</v>
      </c>
      <c r="B6189" t="s">
        <v>83</v>
      </c>
      <c r="C6189" t="s">
        <v>617</v>
      </c>
      <c r="D6189">
        <v>3872.29</v>
      </c>
      <c r="E6189" s="37" t="str">
        <f t="shared" si="480"/>
        <v xml:space="preserve"> </v>
      </c>
      <c r="F6189">
        <v>0.13</v>
      </c>
      <c r="G6189" s="37" t="str">
        <f t="shared" si="481"/>
        <v>Normal Discount</v>
      </c>
      <c r="H6189" s="37" t="str">
        <f t="shared" si="482"/>
        <v>Low</v>
      </c>
      <c r="I6189">
        <v>9</v>
      </c>
      <c r="J6189" t="str" cm="1">
        <f t="array" ref="J6189">_xlfn.IFS(I6189&lt;=3,"small",I6189&lt;=6,"Medium",I6189&lt;=9,"Large")</f>
        <v>Large</v>
      </c>
      <c r="K6189" s="36">
        <v>45308</v>
      </c>
      <c r="L6189" s="36">
        <v>45314</v>
      </c>
      <c r="M6189" t="s">
        <v>612</v>
      </c>
      <c r="N6189" t="s">
        <v>608</v>
      </c>
      <c r="O6189" s="37" t="str">
        <f t="shared" si="483"/>
        <v>Cash Payment</v>
      </c>
      <c r="P6189">
        <v>1095.6300000000001</v>
      </c>
      <c r="Q6189" s="37" t="str">
        <f>IF(P6189&gt;500,"High","low")</f>
        <v>High</v>
      </c>
      <c r="R6189" s="37" t="str">
        <f t="shared" si="484"/>
        <v>Excellent</v>
      </c>
      <c r="S6189" t="s">
        <v>615</v>
      </c>
    </row>
    <row r="6190" spans="1:19" x14ac:dyDescent="0.2">
      <c r="A6190" t="s">
        <v>6801</v>
      </c>
      <c r="B6190" t="s">
        <v>83</v>
      </c>
      <c r="C6190" t="s">
        <v>602</v>
      </c>
      <c r="D6190">
        <v>941.99</v>
      </c>
      <c r="E6190" s="37" t="str">
        <f t="shared" si="480"/>
        <v xml:space="preserve"> </v>
      </c>
      <c r="F6190">
        <v>0.44</v>
      </c>
      <c r="G6190" s="37" t="str">
        <f t="shared" si="481"/>
        <v>Heavy Discount</v>
      </c>
      <c r="H6190" s="37" t="str">
        <f t="shared" si="482"/>
        <v>High</v>
      </c>
      <c r="I6190">
        <v>8</v>
      </c>
      <c r="J6190" t="str" cm="1">
        <f t="array" ref="J6190">_xlfn.IFS(I6190&lt;=3,"small",I6190&lt;=6,"Medium",I6190&lt;=9,"Large")</f>
        <v>Large</v>
      </c>
      <c r="K6190" s="36">
        <v>45261</v>
      </c>
      <c r="L6190" s="36">
        <v>45267</v>
      </c>
      <c r="M6190" t="s">
        <v>598</v>
      </c>
      <c r="N6190" t="s">
        <v>604</v>
      </c>
      <c r="O6190" s="37" t="str">
        <f t="shared" si="483"/>
        <v>Digital Payment</v>
      </c>
      <c r="P6190">
        <v>176.88</v>
      </c>
      <c r="Q6190" s="37" t="str">
        <f>IF(P6190&gt;500,"High","low")</f>
        <v>low</v>
      </c>
      <c r="R6190" s="37" t="str">
        <f t="shared" si="484"/>
        <v>AVERAGE</v>
      </c>
      <c r="S6190" t="s">
        <v>609</v>
      </c>
    </row>
    <row r="6191" spans="1:19" x14ac:dyDescent="0.2">
      <c r="A6191" t="s">
        <v>6802</v>
      </c>
      <c r="B6191" t="s">
        <v>67</v>
      </c>
      <c r="C6191" t="s">
        <v>614</v>
      </c>
      <c r="D6191">
        <v>2922.1</v>
      </c>
      <c r="E6191" s="37" t="str">
        <f t="shared" si="480"/>
        <v xml:space="preserve"> </v>
      </c>
      <c r="F6191">
        <v>0.04</v>
      </c>
      <c r="G6191" s="37" t="str">
        <f t="shared" si="481"/>
        <v>Normal Discount</v>
      </c>
      <c r="H6191" s="37" t="str">
        <f t="shared" si="482"/>
        <v>Low</v>
      </c>
      <c r="I6191">
        <v>7</v>
      </c>
      <c r="J6191" t="str" cm="1">
        <f t="array" ref="J6191">_xlfn.IFS(I6191&lt;=3,"small",I6191&lt;=6,"Medium",I6191&lt;=9,"Large")</f>
        <v>Large</v>
      </c>
      <c r="K6191" s="36">
        <v>45231</v>
      </c>
      <c r="L6191" s="36">
        <v>45233</v>
      </c>
      <c r="M6191" t="s">
        <v>612</v>
      </c>
      <c r="N6191" t="s">
        <v>608</v>
      </c>
      <c r="O6191" s="37" t="str">
        <f t="shared" si="483"/>
        <v>Cash Payment</v>
      </c>
      <c r="P6191">
        <v>288.72000000000003</v>
      </c>
      <c r="Q6191" s="37" t="str">
        <f>IF(P6191&gt;500,"High","low")</f>
        <v>low</v>
      </c>
      <c r="R6191" s="37" t="str">
        <f t="shared" si="484"/>
        <v>AVERAGE</v>
      </c>
      <c r="S6191" t="s">
        <v>620</v>
      </c>
    </row>
    <row r="6192" spans="1:19" x14ac:dyDescent="0.2">
      <c r="A6192" t="s">
        <v>6803</v>
      </c>
      <c r="B6192" t="s">
        <v>67</v>
      </c>
      <c r="C6192" t="s">
        <v>617</v>
      </c>
      <c r="D6192">
        <v>3416.32</v>
      </c>
      <c r="E6192" s="37" t="str">
        <f t="shared" si="480"/>
        <v xml:space="preserve"> </v>
      </c>
      <c r="F6192">
        <v>0.18</v>
      </c>
      <c r="G6192" s="37" t="str">
        <f t="shared" si="481"/>
        <v>Normal Discount</v>
      </c>
      <c r="H6192" s="37" t="str">
        <f t="shared" si="482"/>
        <v>Low</v>
      </c>
      <c r="I6192">
        <v>1</v>
      </c>
      <c r="J6192" t="str" cm="1">
        <f t="array" ref="J6192">_xlfn.IFS(I6192&lt;=3,"small",I6192&lt;=6,"Medium",I6192&lt;=9,"Large")</f>
        <v>small</v>
      </c>
      <c r="K6192" s="36">
        <v>45057</v>
      </c>
      <c r="L6192" s="36">
        <v>45062</v>
      </c>
      <c r="M6192" t="s">
        <v>603</v>
      </c>
      <c r="N6192" t="s">
        <v>604</v>
      </c>
      <c r="O6192" s="37" t="str">
        <f t="shared" si="483"/>
        <v>Digital Payment</v>
      </c>
      <c r="P6192">
        <v>396.71</v>
      </c>
      <c r="Q6192" s="37" t="str">
        <f>IF(P6192&gt;500,"High","low")</f>
        <v>low</v>
      </c>
      <c r="R6192" s="37" t="str">
        <f t="shared" si="484"/>
        <v>AVERAGE</v>
      </c>
      <c r="S6192" t="s">
        <v>605</v>
      </c>
    </row>
    <row r="6193" spans="1:19" x14ac:dyDescent="0.2">
      <c r="A6193" t="s">
        <v>6804</v>
      </c>
      <c r="B6193" t="s">
        <v>83</v>
      </c>
      <c r="C6193" t="s">
        <v>602</v>
      </c>
      <c r="D6193">
        <v>3341.65</v>
      </c>
      <c r="E6193" s="37" t="str">
        <f t="shared" si="480"/>
        <v xml:space="preserve"> </v>
      </c>
      <c r="F6193">
        <v>0.28000000000000003</v>
      </c>
      <c r="G6193" s="37" t="str">
        <f t="shared" si="481"/>
        <v>Normal Discount</v>
      </c>
      <c r="H6193" s="37" t="str">
        <f t="shared" si="482"/>
        <v>Medium</v>
      </c>
      <c r="I6193">
        <v>4</v>
      </c>
      <c r="J6193" t="str" cm="1">
        <f t="array" ref="J6193">_xlfn.IFS(I6193&lt;=3,"small",I6193&lt;=6,"Medium",I6193&lt;=9,"Large")</f>
        <v>Medium</v>
      </c>
      <c r="K6193" s="36">
        <v>45589</v>
      </c>
      <c r="L6193" s="36">
        <v>45594</v>
      </c>
      <c r="M6193" t="s">
        <v>603</v>
      </c>
      <c r="N6193" t="s">
        <v>604</v>
      </c>
      <c r="O6193" s="37" t="str">
        <f t="shared" si="483"/>
        <v>Digital Payment</v>
      </c>
      <c r="P6193">
        <v>755.15</v>
      </c>
      <c r="Q6193" s="37" t="str">
        <f>IF(P6193&gt;500,"High","low")</f>
        <v>High</v>
      </c>
      <c r="R6193" s="37" t="str">
        <f t="shared" si="484"/>
        <v>Good</v>
      </c>
      <c r="S6193" t="s">
        <v>615</v>
      </c>
    </row>
    <row r="6194" spans="1:19" x14ac:dyDescent="0.2">
      <c r="A6194" t="s">
        <v>6805</v>
      </c>
      <c r="B6194" t="s">
        <v>67</v>
      </c>
      <c r="C6194" t="s">
        <v>614</v>
      </c>
      <c r="D6194">
        <v>674.72</v>
      </c>
      <c r="E6194" s="37" t="str">
        <f t="shared" si="480"/>
        <v xml:space="preserve"> </v>
      </c>
      <c r="F6194">
        <v>0.25</v>
      </c>
      <c r="G6194" s="37" t="str">
        <f t="shared" si="481"/>
        <v>Normal Discount</v>
      </c>
      <c r="H6194" s="37" t="str">
        <f t="shared" si="482"/>
        <v>Medium</v>
      </c>
      <c r="I6194">
        <v>7</v>
      </c>
      <c r="J6194" t="str" cm="1">
        <f t="array" ref="J6194">_xlfn.IFS(I6194&lt;=3,"small",I6194&lt;=6,"Medium",I6194&lt;=9,"Large")</f>
        <v>Large</v>
      </c>
      <c r="K6194" s="36">
        <v>45128</v>
      </c>
      <c r="L6194" s="36">
        <v>45133</v>
      </c>
      <c r="M6194" t="s">
        <v>612</v>
      </c>
      <c r="N6194" t="s">
        <v>599</v>
      </c>
      <c r="O6194" s="37" t="str">
        <f t="shared" si="483"/>
        <v>Digital Payment</v>
      </c>
      <c r="P6194">
        <v>150.47</v>
      </c>
      <c r="Q6194" s="37" t="str">
        <f>IF(P6194&gt;500,"High","low")</f>
        <v>low</v>
      </c>
      <c r="R6194" s="37" t="str">
        <f t="shared" si="484"/>
        <v>AVERAGE</v>
      </c>
      <c r="S6194" t="s">
        <v>615</v>
      </c>
    </row>
    <row r="6195" spans="1:19" x14ac:dyDescent="0.2">
      <c r="A6195" t="s">
        <v>6806</v>
      </c>
      <c r="B6195" t="s">
        <v>83</v>
      </c>
      <c r="C6195" t="s">
        <v>617</v>
      </c>
      <c r="D6195">
        <v>1787.47</v>
      </c>
      <c r="E6195" s="37" t="str">
        <f t="shared" si="480"/>
        <v xml:space="preserve"> </v>
      </c>
      <c r="F6195">
        <v>0.33</v>
      </c>
      <c r="G6195" s="37" t="str">
        <f t="shared" si="481"/>
        <v>Heavy Discount</v>
      </c>
      <c r="H6195" s="37" t="str">
        <f t="shared" si="482"/>
        <v>Medium</v>
      </c>
      <c r="I6195">
        <v>6</v>
      </c>
      <c r="J6195" t="str" cm="1">
        <f t="array" ref="J6195">_xlfn.IFS(I6195&lt;=3,"small",I6195&lt;=6,"Medium",I6195&lt;=9,"Large")</f>
        <v>Medium</v>
      </c>
      <c r="K6195" s="36">
        <v>45200</v>
      </c>
      <c r="L6195" s="36">
        <v>45203</v>
      </c>
      <c r="M6195" t="s">
        <v>612</v>
      </c>
      <c r="N6195" t="s">
        <v>604</v>
      </c>
      <c r="O6195" s="37" t="str">
        <f t="shared" si="483"/>
        <v>Digital Payment</v>
      </c>
      <c r="P6195">
        <v>383.47</v>
      </c>
      <c r="Q6195" s="37" t="str">
        <f>IF(P6195&gt;500,"High","low")</f>
        <v>low</v>
      </c>
      <c r="R6195" s="37" t="str">
        <f t="shared" si="484"/>
        <v>AVERAGE</v>
      </c>
      <c r="S6195" t="s">
        <v>609</v>
      </c>
    </row>
    <row r="6196" spans="1:19" x14ac:dyDescent="0.2">
      <c r="A6196" t="s">
        <v>6807</v>
      </c>
      <c r="B6196" t="s">
        <v>75</v>
      </c>
      <c r="C6196" t="s">
        <v>607</v>
      </c>
      <c r="D6196">
        <v>1692.68</v>
      </c>
      <c r="E6196" s="37" t="str">
        <f t="shared" si="480"/>
        <v xml:space="preserve"> </v>
      </c>
      <c r="F6196">
        <v>0.15</v>
      </c>
      <c r="G6196" s="37" t="str">
        <f t="shared" si="481"/>
        <v>Normal Discount</v>
      </c>
      <c r="H6196" s="37" t="str">
        <f t="shared" si="482"/>
        <v>Low</v>
      </c>
      <c r="I6196">
        <v>1</v>
      </c>
      <c r="J6196" t="str" cm="1">
        <f t="array" ref="J6196">_xlfn.IFS(I6196&lt;=3,"small",I6196&lt;=6,"Medium",I6196&lt;=9,"Large")</f>
        <v>small</v>
      </c>
      <c r="K6196" s="36">
        <v>45601</v>
      </c>
      <c r="L6196" s="36">
        <v>45606</v>
      </c>
      <c r="M6196" t="s">
        <v>603</v>
      </c>
      <c r="N6196" t="s">
        <v>599</v>
      </c>
      <c r="O6196" s="37" t="str">
        <f t="shared" si="483"/>
        <v>Digital Payment</v>
      </c>
      <c r="P6196">
        <v>190.4</v>
      </c>
      <c r="Q6196" s="37" t="str">
        <f>IF(P6196&gt;500,"High","low")</f>
        <v>low</v>
      </c>
      <c r="R6196" s="37" t="str">
        <f t="shared" si="484"/>
        <v>AVERAGE</v>
      </c>
      <c r="S6196" t="s">
        <v>605</v>
      </c>
    </row>
    <row r="6197" spans="1:19" x14ac:dyDescent="0.2">
      <c r="A6197" t="s">
        <v>6808</v>
      </c>
      <c r="B6197" t="s">
        <v>83</v>
      </c>
      <c r="C6197" t="s">
        <v>602</v>
      </c>
      <c r="D6197">
        <v>2905.38</v>
      </c>
      <c r="E6197" s="37" t="str">
        <f t="shared" si="480"/>
        <v xml:space="preserve"> </v>
      </c>
      <c r="F6197">
        <v>0.38</v>
      </c>
      <c r="G6197" s="37" t="str">
        <f t="shared" si="481"/>
        <v>Heavy Discount</v>
      </c>
      <c r="H6197" s="37" t="str">
        <f t="shared" si="482"/>
        <v>Medium</v>
      </c>
      <c r="I6197">
        <v>7</v>
      </c>
      <c r="J6197" t="str" cm="1">
        <f t="array" ref="J6197">_xlfn.IFS(I6197&lt;=3,"small",I6197&lt;=6,"Medium",I6197&lt;=9,"Large")</f>
        <v>Large</v>
      </c>
      <c r="K6197" s="36">
        <v>45159</v>
      </c>
      <c r="L6197" s="36">
        <v>45160</v>
      </c>
      <c r="M6197" t="s">
        <v>612</v>
      </c>
      <c r="N6197" t="s">
        <v>608</v>
      </c>
      <c r="O6197" s="37" t="str">
        <f t="shared" si="483"/>
        <v>Cash Payment</v>
      </c>
      <c r="P6197">
        <v>750.69</v>
      </c>
      <c r="Q6197" s="37" t="str">
        <f>IF(P6197&gt;500,"High","low")</f>
        <v>High</v>
      </c>
      <c r="R6197" s="37" t="str">
        <f t="shared" si="484"/>
        <v>Good</v>
      </c>
      <c r="S6197" t="s">
        <v>615</v>
      </c>
    </row>
    <row r="6198" spans="1:19" x14ac:dyDescent="0.2">
      <c r="A6198" t="s">
        <v>6809</v>
      </c>
      <c r="B6198" t="s">
        <v>83</v>
      </c>
      <c r="C6198" t="s">
        <v>607</v>
      </c>
      <c r="D6198">
        <v>3849.66</v>
      </c>
      <c r="E6198" s="37" t="str">
        <f t="shared" si="480"/>
        <v xml:space="preserve"> </v>
      </c>
      <c r="F6198">
        <v>0.2</v>
      </c>
      <c r="G6198" s="37" t="str">
        <f t="shared" si="481"/>
        <v>Normal Discount</v>
      </c>
      <c r="H6198" s="37" t="str">
        <f t="shared" si="482"/>
        <v>Medium</v>
      </c>
      <c r="I6198">
        <v>2</v>
      </c>
      <c r="J6198" t="str" cm="1">
        <f t="array" ref="J6198">_xlfn.IFS(I6198&lt;=3,"small",I6198&lt;=6,"Medium",I6198&lt;=9,"Large")</f>
        <v>small</v>
      </c>
      <c r="K6198" s="36">
        <v>45370</v>
      </c>
      <c r="L6198" s="36">
        <v>45377</v>
      </c>
      <c r="M6198" t="s">
        <v>598</v>
      </c>
      <c r="N6198" t="s">
        <v>604</v>
      </c>
      <c r="O6198" s="37" t="str">
        <f t="shared" si="483"/>
        <v>Digital Payment</v>
      </c>
      <c r="P6198">
        <v>254.92</v>
      </c>
      <c r="Q6198" s="37" t="str">
        <f>IF(P6198&gt;500,"High","low")</f>
        <v>low</v>
      </c>
      <c r="R6198" s="37" t="str">
        <f t="shared" si="484"/>
        <v>AVERAGE</v>
      </c>
      <c r="S6198" t="s">
        <v>615</v>
      </c>
    </row>
    <row r="6199" spans="1:19" x14ac:dyDescent="0.2">
      <c r="A6199" t="s">
        <v>6810</v>
      </c>
      <c r="B6199" t="s">
        <v>90</v>
      </c>
      <c r="C6199" t="s">
        <v>597</v>
      </c>
      <c r="D6199">
        <v>2895.89</v>
      </c>
      <c r="E6199" s="37" t="str">
        <f t="shared" si="480"/>
        <v xml:space="preserve"> </v>
      </c>
      <c r="F6199">
        <v>0.06</v>
      </c>
      <c r="G6199" s="37" t="str">
        <f t="shared" si="481"/>
        <v>Normal Discount</v>
      </c>
      <c r="H6199" s="37" t="str">
        <f t="shared" si="482"/>
        <v>Low</v>
      </c>
      <c r="I6199">
        <v>8</v>
      </c>
      <c r="J6199" t="str" cm="1">
        <f t="array" ref="J6199">_xlfn.IFS(I6199&lt;=3,"small",I6199&lt;=6,"Medium",I6199&lt;=9,"Large")</f>
        <v>Large</v>
      </c>
      <c r="K6199" s="36">
        <v>45575</v>
      </c>
      <c r="L6199" s="36">
        <v>45580</v>
      </c>
      <c r="M6199" t="s">
        <v>598</v>
      </c>
      <c r="N6199" t="s">
        <v>604</v>
      </c>
      <c r="O6199" s="37" t="str">
        <f t="shared" si="483"/>
        <v>Digital Payment</v>
      </c>
      <c r="P6199">
        <v>450.2</v>
      </c>
      <c r="Q6199" s="37" t="str">
        <f>IF(P6199&gt;500,"High","low")</f>
        <v>low</v>
      </c>
      <c r="R6199" s="37" t="str">
        <f t="shared" si="484"/>
        <v>AVERAGE</v>
      </c>
      <c r="S6199" t="s">
        <v>628</v>
      </c>
    </row>
    <row r="6200" spans="1:19" x14ac:dyDescent="0.2">
      <c r="A6200" t="s">
        <v>6811</v>
      </c>
      <c r="B6200" t="s">
        <v>83</v>
      </c>
      <c r="C6200" t="s">
        <v>617</v>
      </c>
      <c r="D6200">
        <v>3798.65</v>
      </c>
      <c r="E6200" s="37" t="str">
        <f t="shared" si="480"/>
        <v xml:space="preserve"> </v>
      </c>
      <c r="F6200">
        <v>0.37</v>
      </c>
      <c r="G6200" s="37" t="str">
        <f t="shared" si="481"/>
        <v>Heavy Discount</v>
      </c>
      <c r="H6200" s="37" t="str">
        <f t="shared" si="482"/>
        <v>Medium</v>
      </c>
      <c r="I6200">
        <v>2</v>
      </c>
      <c r="J6200" t="str" cm="1">
        <f t="array" ref="J6200">_xlfn.IFS(I6200&lt;=3,"small",I6200&lt;=6,"Medium",I6200&lt;=9,"Large")</f>
        <v>small</v>
      </c>
      <c r="K6200" s="36">
        <v>45149</v>
      </c>
      <c r="L6200" s="36">
        <v>45156</v>
      </c>
      <c r="M6200" t="s">
        <v>612</v>
      </c>
      <c r="N6200" t="s">
        <v>608</v>
      </c>
      <c r="O6200" s="37" t="str">
        <f t="shared" si="483"/>
        <v>Cash Payment</v>
      </c>
      <c r="P6200">
        <v>915.11</v>
      </c>
      <c r="Q6200" s="37" t="str">
        <f>IF(P6200&gt;500,"High","low")</f>
        <v>High</v>
      </c>
      <c r="R6200" s="37" t="str">
        <f t="shared" si="484"/>
        <v>Good</v>
      </c>
      <c r="S6200" t="s">
        <v>600</v>
      </c>
    </row>
    <row r="6201" spans="1:19" x14ac:dyDescent="0.2">
      <c r="A6201" t="s">
        <v>6812</v>
      </c>
      <c r="B6201" t="s">
        <v>83</v>
      </c>
      <c r="C6201" t="s">
        <v>617</v>
      </c>
      <c r="D6201">
        <v>584.94000000000005</v>
      </c>
      <c r="E6201" s="37" t="str">
        <f t="shared" si="480"/>
        <v xml:space="preserve"> </v>
      </c>
      <c r="F6201">
        <v>0.46</v>
      </c>
      <c r="G6201" s="37" t="str">
        <f t="shared" si="481"/>
        <v>Heavy Discount</v>
      </c>
      <c r="H6201" s="37" t="str">
        <f t="shared" si="482"/>
        <v>High</v>
      </c>
      <c r="I6201">
        <v>4</v>
      </c>
      <c r="J6201" t="str" cm="1">
        <f t="array" ref="J6201">_xlfn.IFS(I6201&lt;=3,"small",I6201&lt;=6,"Medium",I6201&lt;=9,"Large")</f>
        <v>Medium</v>
      </c>
      <c r="K6201" s="36">
        <v>45276</v>
      </c>
      <c r="L6201" s="36">
        <v>45283</v>
      </c>
      <c r="M6201" t="s">
        <v>598</v>
      </c>
      <c r="N6201" t="s">
        <v>608</v>
      </c>
      <c r="O6201" s="37" t="str">
        <f t="shared" si="483"/>
        <v>Cash Payment</v>
      </c>
      <c r="P6201">
        <v>64.09</v>
      </c>
      <c r="Q6201" s="37" t="str">
        <f>IF(P6201&gt;500,"High","low")</f>
        <v>low</v>
      </c>
      <c r="R6201" s="37" t="str">
        <f t="shared" si="484"/>
        <v>AVERAGE</v>
      </c>
      <c r="S6201" t="s">
        <v>600</v>
      </c>
    </row>
    <row r="6202" spans="1:19" x14ac:dyDescent="0.2">
      <c r="A6202" t="s">
        <v>6813</v>
      </c>
      <c r="B6202" t="s">
        <v>90</v>
      </c>
      <c r="C6202" t="s">
        <v>602</v>
      </c>
      <c r="D6202">
        <v>4402.88</v>
      </c>
      <c r="E6202" s="37" t="str">
        <f t="shared" si="480"/>
        <v xml:space="preserve"> </v>
      </c>
      <c r="F6202">
        <v>0.18</v>
      </c>
      <c r="G6202" s="37" t="str">
        <f t="shared" si="481"/>
        <v>Normal Discount</v>
      </c>
      <c r="H6202" s="37" t="str">
        <f t="shared" si="482"/>
        <v>Low</v>
      </c>
      <c r="I6202">
        <v>6</v>
      </c>
      <c r="J6202" t="str" cm="1">
        <f t="array" ref="J6202">_xlfn.IFS(I6202&lt;=3,"small",I6202&lt;=6,"Medium",I6202&lt;=9,"Large")</f>
        <v>Medium</v>
      </c>
      <c r="K6202" s="36">
        <v>45155</v>
      </c>
      <c r="L6202" s="36">
        <v>45158</v>
      </c>
      <c r="M6202" t="s">
        <v>598</v>
      </c>
      <c r="N6202" t="s">
        <v>608</v>
      </c>
      <c r="O6202" s="37" t="str">
        <f t="shared" si="483"/>
        <v>Cash Payment</v>
      </c>
      <c r="P6202">
        <v>484.81</v>
      </c>
      <c r="Q6202" s="37" t="str">
        <f>IF(P6202&gt;500,"High","low")</f>
        <v>low</v>
      </c>
      <c r="R6202" s="37" t="str">
        <f t="shared" si="484"/>
        <v>AVERAGE</v>
      </c>
      <c r="S6202" t="s">
        <v>615</v>
      </c>
    </row>
    <row r="6203" spans="1:19" x14ac:dyDescent="0.2">
      <c r="A6203" t="s">
        <v>6814</v>
      </c>
      <c r="B6203" t="s">
        <v>67</v>
      </c>
      <c r="C6203" t="s">
        <v>617</v>
      </c>
      <c r="D6203">
        <v>2729.42</v>
      </c>
      <c r="E6203" s="37" t="str">
        <f t="shared" si="480"/>
        <v xml:space="preserve"> </v>
      </c>
      <c r="F6203">
        <v>0.28999999999999998</v>
      </c>
      <c r="G6203" s="37" t="str">
        <f t="shared" si="481"/>
        <v>Normal Discount</v>
      </c>
      <c r="H6203" s="37" t="str">
        <f t="shared" si="482"/>
        <v>Medium</v>
      </c>
      <c r="I6203">
        <v>8</v>
      </c>
      <c r="J6203" t="str" cm="1">
        <f t="array" ref="J6203">_xlfn.IFS(I6203&lt;=3,"small",I6203&lt;=6,"Medium",I6203&lt;=9,"Large")</f>
        <v>Large</v>
      </c>
      <c r="K6203" s="36">
        <v>44938</v>
      </c>
      <c r="L6203" s="36">
        <v>44941</v>
      </c>
      <c r="M6203" t="s">
        <v>598</v>
      </c>
      <c r="N6203" t="s">
        <v>608</v>
      </c>
      <c r="O6203" s="37" t="str">
        <f t="shared" si="483"/>
        <v>Cash Payment</v>
      </c>
      <c r="P6203">
        <v>137.38999999999999</v>
      </c>
      <c r="Q6203" s="37" t="str">
        <f>IF(P6203&gt;500,"High","low")</f>
        <v>low</v>
      </c>
      <c r="R6203" s="37" t="str">
        <f t="shared" si="484"/>
        <v>AVERAGE</v>
      </c>
      <c r="S6203" t="s">
        <v>600</v>
      </c>
    </row>
    <row r="6204" spans="1:19" x14ac:dyDescent="0.2">
      <c r="A6204" t="s">
        <v>6815</v>
      </c>
      <c r="B6204" t="s">
        <v>90</v>
      </c>
      <c r="C6204" t="s">
        <v>597</v>
      </c>
      <c r="D6204">
        <v>283.74</v>
      </c>
      <c r="E6204" s="37" t="str">
        <f t="shared" si="480"/>
        <v xml:space="preserve"> </v>
      </c>
      <c r="F6204">
        <v>0.34</v>
      </c>
      <c r="G6204" s="37" t="str">
        <f t="shared" si="481"/>
        <v>Heavy Discount</v>
      </c>
      <c r="H6204" s="37" t="str">
        <f t="shared" si="482"/>
        <v>Medium</v>
      </c>
      <c r="I6204">
        <v>3</v>
      </c>
      <c r="J6204" t="str" cm="1">
        <f t="array" ref="J6204">_xlfn.IFS(I6204&lt;=3,"small",I6204&lt;=6,"Medium",I6204&lt;=9,"Large")</f>
        <v>small</v>
      </c>
      <c r="K6204" s="36">
        <v>45455</v>
      </c>
      <c r="L6204" s="36">
        <v>45462</v>
      </c>
      <c r="M6204" t="s">
        <v>612</v>
      </c>
      <c r="N6204" t="s">
        <v>604</v>
      </c>
      <c r="O6204" s="37" t="str">
        <f t="shared" si="483"/>
        <v>Digital Payment</v>
      </c>
      <c r="P6204">
        <v>49.25</v>
      </c>
      <c r="Q6204" s="37" t="str">
        <f>IF(P6204&gt;500,"High","low")</f>
        <v>low</v>
      </c>
      <c r="R6204" s="37" t="str">
        <f t="shared" si="484"/>
        <v>AVERAGE</v>
      </c>
      <c r="S6204" t="s">
        <v>620</v>
      </c>
    </row>
    <row r="6205" spans="1:19" x14ac:dyDescent="0.2">
      <c r="A6205" t="s">
        <v>6816</v>
      </c>
      <c r="B6205" t="s">
        <v>75</v>
      </c>
      <c r="C6205" t="s">
        <v>617</v>
      </c>
      <c r="D6205">
        <v>3251.74</v>
      </c>
      <c r="E6205" s="37" t="str">
        <f t="shared" si="480"/>
        <v xml:space="preserve"> </v>
      </c>
      <c r="F6205">
        <v>0.42</v>
      </c>
      <c r="G6205" s="37" t="str">
        <f t="shared" si="481"/>
        <v>Heavy Discount</v>
      </c>
      <c r="H6205" s="37" t="str">
        <f t="shared" si="482"/>
        <v>High</v>
      </c>
      <c r="I6205">
        <v>6</v>
      </c>
      <c r="J6205" t="str" cm="1">
        <f t="array" ref="J6205">_xlfn.IFS(I6205&lt;=3,"small",I6205&lt;=6,"Medium",I6205&lt;=9,"Large")</f>
        <v>Medium</v>
      </c>
      <c r="K6205" s="36">
        <v>45145</v>
      </c>
      <c r="L6205" s="36">
        <v>45151</v>
      </c>
      <c r="M6205" t="s">
        <v>598</v>
      </c>
      <c r="N6205" t="s">
        <v>599</v>
      </c>
      <c r="O6205" s="37" t="str">
        <f t="shared" si="483"/>
        <v>Digital Payment</v>
      </c>
      <c r="P6205">
        <v>909.36</v>
      </c>
      <c r="Q6205" s="37" t="str">
        <f>IF(P6205&gt;500,"High","low")</f>
        <v>High</v>
      </c>
      <c r="R6205" s="37" t="str">
        <f t="shared" si="484"/>
        <v>Good</v>
      </c>
      <c r="S6205" t="s">
        <v>600</v>
      </c>
    </row>
    <row r="6206" spans="1:19" x14ac:dyDescent="0.2">
      <c r="A6206" t="s">
        <v>6817</v>
      </c>
      <c r="B6206" t="s">
        <v>90</v>
      </c>
      <c r="C6206" t="s">
        <v>614</v>
      </c>
      <c r="D6206">
        <v>2635</v>
      </c>
      <c r="E6206" s="37" t="str">
        <f t="shared" si="480"/>
        <v xml:space="preserve"> </v>
      </c>
      <c r="F6206">
        <v>0.1</v>
      </c>
      <c r="G6206" s="37" t="str">
        <f t="shared" si="481"/>
        <v>Normal Discount</v>
      </c>
      <c r="H6206" s="37" t="str">
        <f t="shared" si="482"/>
        <v>Low</v>
      </c>
      <c r="I6206">
        <v>6</v>
      </c>
      <c r="J6206" t="str" cm="1">
        <f t="array" ref="J6206">_xlfn.IFS(I6206&lt;=3,"small",I6206&lt;=6,"Medium",I6206&lt;=9,"Large")</f>
        <v>Medium</v>
      </c>
      <c r="K6206" s="36">
        <v>45231</v>
      </c>
      <c r="L6206" s="36">
        <v>45233</v>
      </c>
      <c r="M6206" t="s">
        <v>598</v>
      </c>
      <c r="N6206" t="s">
        <v>599</v>
      </c>
      <c r="O6206" s="37" t="str">
        <f t="shared" si="483"/>
        <v>Digital Payment</v>
      </c>
      <c r="P6206">
        <v>469.48</v>
      </c>
      <c r="Q6206" s="37" t="str">
        <f>IF(P6206&gt;500,"High","low")</f>
        <v>low</v>
      </c>
      <c r="R6206" s="37" t="str">
        <f t="shared" si="484"/>
        <v>AVERAGE</v>
      </c>
      <c r="S6206" t="s">
        <v>620</v>
      </c>
    </row>
    <row r="6207" spans="1:19" x14ac:dyDescent="0.2">
      <c r="A6207" t="s">
        <v>6818</v>
      </c>
      <c r="B6207" t="s">
        <v>75</v>
      </c>
      <c r="C6207" t="s">
        <v>607</v>
      </c>
      <c r="D6207">
        <v>1179.81</v>
      </c>
      <c r="E6207" s="37" t="str">
        <f t="shared" si="480"/>
        <v xml:space="preserve"> </v>
      </c>
      <c r="F6207">
        <v>0.28000000000000003</v>
      </c>
      <c r="G6207" s="37" t="str">
        <f t="shared" si="481"/>
        <v>Normal Discount</v>
      </c>
      <c r="H6207" s="37" t="str">
        <f t="shared" si="482"/>
        <v>Medium</v>
      </c>
      <c r="I6207">
        <v>1</v>
      </c>
      <c r="J6207" t="str" cm="1">
        <f t="array" ref="J6207">_xlfn.IFS(I6207&lt;=3,"small",I6207&lt;=6,"Medium",I6207&lt;=9,"Large")</f>
        <v>small</v>
      </c>
      <c r="K6207" s="36">
        <v>45614</v>
      </c>
      <c r="L6207" s="36">
        <v>45615</v>
      </c>
      <c r="M6207" t="s">
        <v>603</v>
      </c>
      <c r="N6207" t="s">
        <v>599</v>
      </c>
      <c r="O6207" s="37" t="str">
        <f t="shared" si="483"/>
        <v>Digital Payment</v>
      </c>
      <c r="P6207">
        <v>334.34</v>
      </c>
      <c r="Q6207" s="37" t="str">
        <f>IF(P6207&gt;500,"High","low")</f>
        <v>low</v>
      </c>
      <c r="R6207" s="37" t="str">
        <f t="shared" si="484"/>
        <v>AVERAGE</v>
      </c>
      <c r="S6207" t="s">
        <v>628</v>
      </c>
    </row>
    <row r="6208" spans="1:19" x14ac:dyDescent="0.2">
      <c r="A6208" t="s">
        <v>6819</v>
      </c>
      <c r="B6208" t="s">
        <v>67</v>
      </c>
      <c r="C6208" t="s">
        <v>597</v>
      </c>
      <c r="D6208">
        <v>3845.68</v>
      </c>
      <c r="E6208" s="37" t="str">
        <f t="shared" si="480"/>
        <v xml:space="preserve"> </v>
      </c>
      <c r="F6208">
        <v>0.37</v>
      </c>
      <c r="G6208" s="37" t="str">
        <f t="shared" si="481"/>
        <v>Heavy Discount</v>
      </c>
      <c r="H6208" s="37" t="str">
        <f t="shared" si="482"/>
        <v>Medium</v>
      </c>
      <c r="I6208">
        <v>6</v>
      </c>
      <c r="J6208" t="str" cm="1">
        <f t="array" ref="J6208">_xlfn.IFS(I6208&lt;=3,"small",I6208&lt;=6,"Medium",I6208&lt;=9,"Large")</f>
        <v>Medium</v>
      </c>
      <c r="K6208" s="36">
        <v>45465</v>
      </c>
      <c r="L6208" s="36">
        <v>45469</v>
      </c>
      <c r="M6208" t="s">
        <v>598</v>
      </c>
      <c r="N6208" t="s">
        <v>608</v>
      </c>
      <c r="O6208" s="37" t="str">
        <f t="shared" si="483"/>
        <v>Cash Payment</v>
      </c>
      <c r="P6208">
        <v>399.4</v>
      </c>
      <c r="Q6208" s="37" t="str">
        <f>IF(P6208&gt;500,"High","low")</f>
        <v>low</v>
      </c>
      <c r="R6208" s="37" t="str">
        <f t="shared" si="484"/>
        <v>AVERAGE</v>
      </c>
      <c r="S6208" t="s">
        <v>609</v>
      </c>
    </row>
    <row r="6209" spans="1:19" x14ac:dyDescent="0.2">
      <c r="A6209" t="s">
        <v>6820</v>
      </c>
      <c r="B6209" t="s">
        <v>90</v>
      </c>
      <c r="C6209" t="s">
        <v>597</v>
      </c>
      <c r="D6209">
        <v>4674.4799999999996</v>
      </c>
      <c r="E6209" s="37" t="str">
        <f t="shared" si="480"/>
        <v xml:space="preserve"> </v>
      </c>
      <c r="F6209">
        <v>0.1</v>
      </c>
      <c r="G6209" s="37" t="str">
        <f t="shared" si="481"/>
        <v>Normal Discount</v>
      </c>
      <c r="H6209" s="37" t="str">
        <f t="shared" si="482"/>
        <v>Low</v>
      </c>
      <c r="I6209">
        <v>1</v>
      </c>
      <c r="J6209" t="str" cm="1">
        <f t="array" ref="J6209">_xlfn.IFS(I6209&lt;=3,"small",I6209&lt;=6,"Medium",I6209&lt;=9,"Large")</f>
        <v>small</v>
      </c>
      <c r="K6209" s="36">
        <v>45172</v>
      </c>
      <c r="L6209" s="36">
        <v>45173</v>
      </c>
      <c r="M6209" t="s">
        <v>598</v>
      </c>
      <c r="N6209" t="s">
        <v>608</v>
      </c>
      <c r="O6209" s="37" t="str">
        <f t="shared" si="483"/>
        <v>Cash Payment</v>
      </c>
      <c r="P6209">
        <v>695.16</v>
      </c>
      <c r="Q6209" s="37" t="str">
        <f>IF(P6209&gt;500,"High","low")</f>
        <v>High</v>
      </c>
      <c r="R6209" s="37" t="str">
        <f t="shared" si="484"/>
        <v>Good</v>
      </c>
      <c r="S6209" t="s">
        <v>628</v>
      </c>
    </row>
    <row r="6210" spans="1:19" x14ac:dyDescent="0.2">
      <c r="A6210" t="s">
        <v>6821</v>
      </c>
      <c r="B6210" t="s">
        <v>90</v>
      </c>
      <c r="C6210" t="s">
        <v>607</v>
      </c>
      <c r="D6210">
        <v>1681.15</v>
      </c>
      <c r="E6210" s="37" t="str">
        <f t="shared" si="480"/>
        <v xml:space="preserve"> </v>
      </c>
      <c r="F6210">
        <v>0.24</v>
      </c>
      <c r="G6210" s="37" t="str">
        <f t="shared" si="481"/>
        <v>Normal Discount</v>
      </c>
      <c r="H6210" s="37" t="str">
        <f t="shared" si="482"/>
        <v>Medium</v>
      </c>
      <c r="I6210">
        <v>9</v>
      </c>
      <c r="J6210" t="str" cm="1">
        <f t="array" ref="J6210">_xlfn.IFS(I6210&lt;=3,"small",I6210&lt;=6,"Medium",I6210&lt;=9,"Large")</f>
        <v>Large</v>
      </c>
      <c r="K6210" s="36">
        <v>45109</v>
      </c>
      <c r="L6210" s="36">
        <v>45113</v>
      </c>
      <c r="M6210" t="s">
        <v>612</v>
      </c>
      <c r="N6210" t="s">
        <v>608</v>
      </c>
      <c r="O6210" s="37" t="str">
        <f t="shared" si="483"/>
        <v>Cash Payment</v>
      </c>
      <c r="P6210">
        <v>500.81</v>
      </c>
      <c r="Q6210" s="37" t="str">
        <f>IF(P6210&gt;500,"High","low")</f>
        <v>High</v>
      </c>
      <c r="R6210" s="37" t="str">
        <f t="shared" si="484"/>
        <v>Good</v>
      </c>
      <c r="S6210" t="s">
        <v>600</v>
      </c>
    </row>
    <row r="6211" spans="1:19" x14ac:dyDescent="0.2">
      <c r="A6211" t="s">
        <v>6822</v>
      </c>
      <c r="B6211" t="s">
        <v>67</v>
      </c>
      <c r="C6211" t="s">
        <v>607</v>
      </c>
      <c r="D6211">
        <v>2520.19</v>
      </c>
      <c r="E6211" s="37" t="str">
        <f t="shared" ref="E6211:E6274" si="485">IF(AND(D6211&gt;4000,P6211&gt;800),"Excellent Order"," ")</f>
        <v xml:space="preserve"> </v>
      </c>
      <c r="F6211">
        <v>0.23</v>
      </c>
      <c r="G6211" s="37" t="str">
        <f t="shared" ref="G6211:G6274" si="486">IF(F6211&gt;30%,"Heavy Discount","Normal Discount")</f>
        <v>Normal Discount</v>
      </c>
      <c r="H6211" s="37" t="str">
        <f t="shared" ref="H6211:H6274" si="487">IF(F6211&gt;0.4,"High",IF(F6211&gt;=0.2,"Medium","Low"))</f>
        <v>Medium</v>
      </c>
      <c r="I6211">
        <v>4</v>
      </c>
      <c r="J6211" t="str" cm="1">
        <f t="array" ref="J6211">_xlfn.IFS(I6211&lt;=3,"small",I6211&lt;=6,"Medium",I6211&lt;=9,"Large")</f>
        <v>Medium</v>
      </c>
      <c r="K6211" s="36">
        <v>45415</v>
      </c>
      <c r="L6211" s="36">
        <v>45416</v>
      </c>
      <c r="M6211" t="s">
        <v>598</v>
      </c>
      <c r="N6211" t="s">
        <v>599</v>
      </c>
      <c r="O6211" s="37" t="str">
        <f t="shared" ref="O6211:O6274" si="488">IF(OR(N6211="Card",N6211="UPI"),"Digital Payment","Cash Payment")</f>
        <v>Digital Payment</v>
      </c>
      <c r="P6211">
        <v>629.75</v>
      </c>
      <c r="Q6211" s="37" t="str">
        <f>IF(P6211&gt;500,"High","low")</f>
        <v>High</v>
      </c>
      <c r="R6211" s="37" t="str">
        <f t="shared" ref="R6211:R6274" si="489">IF(P6211&gt;1000,"Excellent",IF(P6211&gt;=500,"Good","AVERAGE"))</f>
        <v>Good</v>
      </c>
      <c r="S6211" t="s">
        <v>609</v>
      </c>
    </row>
    <row r="6212" spans="1:19" x14ac:dyDescent="0.2">
      <c r="A6212" t="s">
        <v>6823</v>
      </c>
      <c r="B6212" t="s">
        <v>75</v>
      </c>
      <c r="C6212" t="s">
        <v>597</v>
      </c>
      <c r="D6212">
        <v>728.06</v>
      </c>
      <c r="E6212" s="37" t="str">
        <f t="shared" si="485"/>
        <v xml:space="preserve"> </v>
      </c>
      <c r="F6212">
        <v>0.42</v>
      </c>
      <c r="G6212" s="37" t="str">
        <f t="shared" si="486"/>
        <v>Heavy Discount</v>
      </c>
      <c r="H6212" s="37" t="str">
        <f t="shared" si="487"/>
        <v>High</v>
      </c>
      <c r="I6212">
        <v>5</v>
      </c>
      <c r="J6212" t="str" cm="1">
        <f t="array" ref="J6212">_xlfn.IFS(I6212&lt;=3,"small",I6212&lt;=6,"Medium",I6212&lt;=9,"Large")</f>
        <v>Medium</v>
      </c>
      <c r="K6212" s="36">
        <v>45556</v>
      </c>
      <c r="L6212" s="36">
        <v>45561</v>
      </c>
      <c r="M6212" t="s">
        <v>612</v>
      </c>
      <c r="N6212" t="s">
        <v>608</v>
      </c>
      <c r="O6212" s="37" t="str">
        <f t="shared" si="488"/>
        <v>Cash Payment</v>
      </c>
      <c r="P6212">
        <v>141.18</v>
      </c>
      <c r="Q6212" s="37" t="str">
        <f>IF(P6212&gt;500,"High","low")</f>
        <v>low</v>
      </c>
      <c r="R6212" s="37" t="str">
        <f t="shared" si="489"/>
        <v>AVERAGE</v>
      </c>
      <c r="S6212" t="s">
        <v>605</v>
      </c>
    </row>
    <row r="6213" spans="1:19" x14ac:dyDescent="0.2">
      <c r="A6213" t="s">
        <v>6824</v>
      </c>
      <c r="B6213" t="s">
        <v>90</v>
      </c>
      <c r="C6213" t="s">
        <v>607</v>
      </c>
      <c r="D6213">
        <v>4656.0200000000004</v>
      </c>
      <c r="E6213" s="37" t="str">
        <f t="shared" si="485"/>
        <v xml:space="preserve"> </v>
      </c>
      <c r="F6213">
        <v>0.39</v>
      </c>
      <c r="G6213" s="37" t="str">
        <f t="shared" si="486"/>
        <v>Heavy Discount</v>
      </c>
      <c r="H6213" s="37" t="str">
        <f t="shared" si="487"/>
        <v>Medium</v>
      </c>
      <c r="I6213">
        <v>1</v>
      </c>
      <c r="J6213" t="str" cm="1">
        <f t="array" ref="J6213">_xlfn.IFS(I6213&lt;=3,"small",I6213&lt;=6,"Medium",I6213&lt;=9,"Large")</f>
        <v>small</v>
      </c>
      <c r="K6213" s="36">
        <v>45323</v>
      </c>
      <c r="L6213" s="36">
        <v>45327</v>
      </c>
      <c r="M6213" t="s">
        <v>603</v>
      </c>
      <c r="N6213" t="s">
        <v>604</v>
      </c>
      <c r="O6213" s="37" t="str">
        <f t="shared" si="488"/>
        <v>Digital Payment</v>
      </c>
      <c r="P6213">
        <v>334.16</v>
      </c>
      <c r="Q6213" s="37" t="str">
        <f>IF(P6213&gt;500,"High","low")</f>
        <v>low</v>
      </c>
      <c r="R6213" s="37" t="str">
        <f t="shared" si="489"/>
        <v>AVERAGE</v>
      </c>
      <c r="S6213" t="s">
        <v>605</v>
      </c>
    </row>
    <row r="6214" spans="1:19" x14ac:dyDescent="0.2">
      <c r="A6214" t="s">
        <v>6825</v>
      </c>
      <c r="B6214" t="s">
        <v>75</v>
      </c>
      <c r="C6214" t="s">
        <v>602</v>
      </c>
      <c r="D6214">
        <v>1662.1</v>
      </c>
      <c r="E6214" s="37" t="str">
        <f t="shared" si="485"/>
        <v xml:space="preserve"> </v>
      </c>
      <c r="F6214">
        <v>0.12</v>
      </c>
      <c r="G6214" s="37" t="str">
        <f t="shared" si="486"/>
        <v>Normal Discount</v>
      </c>
      <c r="H6214" s="37" t="str">
        <f t="shared" si="487"/>
        <v>Low</v>
      </c>
      <c r="I6214">
        <v>1</v>
      </c>
      <c r="J6214" t="str" cm="1">
        <f t="array" ref="J6214">_xlfn.IFS(I6214&lt;=3,"small",I6214&lt;=6,"Medium",I6214&lt;=9,"Large")</f>
        <v>small</v>
      </c>
      <c r="K6214" s="36">
        <v>45441</v>
      </c>
      <c r="L6214" s="36">
        <v>45442</v>
      </c>
      <c r="M6214" t="s">
        <v>598</v>
      </c>
      <c r="N6214" t="s">
        <v>599</v>
      </c>
      <c r="O6214" s="37" t="str">
        <f t="shared" si="488"/>
        <v>Digital Payment</v>
      </c>
      <c r="P6214">
        <v>137.32</v>
      </c>
      <c r="Q6214" s="37" t="str">
        <f>IF(P6214&gt;500,"High","low")</f>
        <v>low</v>
      </c>
      <c r="R6214" s="37" t="str">
        <f t="shared" si="489"/>
        <v>AVERAGE</v>
      </c>
      <c r="S6214" t="s">
        <v>628</v>
      </c>
    </row>
    <row r="6215" spans="1:19" x14ac:dyDescent="0.2">
      <c r="A6215" t="s">
        <v>6826</v>
      </c>
      <c r="B6215" t="s">
        <v>90</v>
      </c>
      <c r="C6215" t="s">
        <v>607</v>
      </c>
      <c r="D6215">
        <v>1054.44</v>
      </c>
      <c r="E6215" s="37" t="str">
        <f t="shared" si="485"/>
        <v xml:space="preserve"> </v>
      </c>
      <c r="F6215">
        <v>0.12</v>
      </c>
      <c r="G6215" s="37" t="str">
        <f t="shared" si="486"/>
        <v>Normal Discount</v>
      </c>
      <c r="H6215" s="37" t="str">
        <f t="shared" si="487"/>
        <v>Low</v>
      </c>
      <c r="I6215">
        <v>9</v>
      </c>
      <c r="J6215" t="str" cm="1">
        <f t="array" ref="J6215">_xlfn.IFS(I6215&lt;=3,"small",I6215&lt;=6,"Medium",I6215&lt;=9,"Large")</f>
        <v>Large</v>
      </c>
      <c r="K6215" s="36">
        <v>45142</v>
      </c>
      <c r="L6215" s="36">
        <v>45149</v>
      </c>
      <c r="M6215" t="s">
        <v>603</v>
      </c>
      <c r="N6215" t="s">
        <v>604</v>
      </c>
      <c r="O6215" s="37" t="str">
        <f t="shared" si="488"/>
        <v>Digital Payment</v>
      </c>
      <c r="P6215">
        <v>168.78</v>
      </c>
      <c r="Q6215" s="37" t="str">
        <f>IF(P6215&gt;500,"High","low")</f>
        <v>low</v>
      </c>
      <c r="R6215" s="37" t="str">
        <f t="shared" si="489"/>
        <v>AVERAGE</v>
      </c>
      <c r="S6215" t="s">
        <v>620</v>
      </c>
    </row>
    <row r="6216" spans="1:19" x14ac:dyDescent="0.2">
      <c r="A6216" t="s">
        <v>6827</v>
      </c>
      <c r="B6216" t="s">
        <v>83</v>
      </c>
      <c r="C6216" t="s">
        <v>614</v>
      </c>
      <c r="D6216">
        <v>2444.3000000000002</v>
      </c>
      <c r="E6216" s="37" t="str">
        <f t="shared" si="485"/>
        <v xml:space="preserve"> </v>
      </c>
      <c r="F6216">
        <v>0.36</v>
      </c>
      <c r="G6216" s="37" t="str">
        <f t="shared" si="486"/>
        <v>Heavy Discount</v>
      </c>
      <c r="H6216" s="37" t="str">
        <f t="shared" si="487"/>
        <v>Medium</v>
      </c>
      <c r="I6216">
        <v>6</v>
      </c>
      <c r="J6216" t="str" cm="1">
        <f t="array" ref="J6216">_xlfn.IFS(I6216&lt;=3,"small",I6216&lt;=6,"Medium",I6216&lt;=9,"Large")</f>
        <v>Medium</v>
      </c>
      <c r="K6216" s="36">
        <v>45150</v>
      </c>
      <c r="L6216" s="36">
        <v>45156</v>
      </c>
      <c r="M6216" t="s">
        <v>603</v>
      </c>
      <c r="N6216" t="s">
        <v>608</v>
      </c>
      <c r="O6216" s="37" t="str">
        <f t="shared" si="488"/>
        <v>Cash Payment</v>
      </c>
      <c r="P6216">
        <v>620.20000000000005</v>
      </c>
      <c r="Q6216" s="37" t="str">
        <f>IF(P6216&gt;500,"High","low")</f>
        <v>High</v>
      </c>
      <c r="R6216" s="37" t="str">
        <f t="shared" si="489"/>
        <v>Good</v>
      </c>
      <c r="S6216" t="s">
        <v>605</v>
      </c>
    </row>
    <row r="6217" spans="1:19" x14ac:dyDescent="0.2">
      <c r="A6217" t="s">
        <v>6828</v>
      </c>
      <c r="B6217" t="s">
        <v>90</v>
      </c>
      <c r="C6217" t="s">
        <v>614</v>
      </c>
      <c r="D6217">
        <v>312.08</v>
      </c>
      <c r="E6217" s="37" t="str">
        <f t="shared" si="485"/>
        <v xml:space="preserve"> </v>
      </c>
      <c r="F6217">
        <v>0.37</v>
      </c>
      <c r="G6217" s="37" t="str">
        <f t="shared" si="486"/>
        <v>Heavy Discount</v>
      </c>
      <c r="H6217" s="37" t="str">
        <f t="shared" si="487"/>
        <v>Medium</v>
      </c>
      <c r="I6217">
        <v>6</v>
      </c>
      <c r="J6217" t="str" cm="1">
        <f t="array" ref="J6217">_xlfn.IFS(I6217&lt;=3,"small",I6217&lt;=6,"Medium",I6217&lt;=9,"Large")</f>
        <v>Medium</v>
      </c>
      <c r="K6217" s="36">
        <v>45027</v>
      </c>
      <c r="L6217" s="36">
        <v>45033</v>
      </c>
      <c r="M6217" t="s">
        <v>598</v>
      </c>
      <c r="N6217" t="s">
        <v>608</v>
      </c>
      <c r="O6217" s="37" t="str">
        <f t="shared" si="488"/>
        <v>Cash Payment</v>
      </c>
      <c r="P6217">
        <v>73.45</v>
      </c>
      <c r="Q6217" s="37" t="str">
        <f>IF(P6217&gt;500,"High","low")</f>
        <v>low</v>
      </c>
      <c r="R6217" s="37" t="str">
        <f t="shared" si="489"/>
        <v>AVERAGE</v>
      </c>
      <c r="S6217" t="s">
        <v>600</v>
      </c>
    </row>
    <row r="6218" spans="1:19" x14ac:dyDescent="0.2">
      <c r="A6218" t="s">
        <v>6829</v>
      </c>
      <c r="B6218" t="s">
        <v>67</v>
      </c>
      <c r="C6218" t="s">
        <v>602</v>
      </c>
      <c r="D6218">
        <v>1338.9</v>
      </c>
      <c r="E6218" s="37" t="str">
        <f t="shared" si="485"/>
        <v xml:space="preserve"> </v>
      </c>
      <c r="F6218">
        <v>0.09</v>
      </c>
      <c r="G6218" s="37" t="str">
        <f t="shared" si="486"/>
        <v>Normal Discount</v>
      </c>
      <c r="H6218" s="37" t="str">
        <f t="shared" si="487"/>
        <v>Low</v>
      </c>
      <c r="I6218">
        <v>5</v>
      </c>
      <c r="J6218" t="str" cm="1">
        <f t="array" ref="J6218">_xlfn.IFS(I6218&lt;=3,"small",I6218&lt;=6,"Medium",I6218&lt;=9,"Large")</f>
        <v>Medium</v>
      </c>
      <c r="K6218" s="36">
        <v>45510</v>
      </c>
      <c r="L6218" s="36">
        <v>45516</v>
      </c>
      <c r="M6218" t="s">
        <v>603</v>
      </c>
      <c r="N6218" t="s">
        <v>608</v>
      </c>
      <c r="O6218" s="37" t="str">
        <f t="shared" si="488"/>
        <v>Cash Payment</v>
      </c>
      <c r="P6218">
        <v>352.98</v>
      </c>
      <c r="Q6218" s="37" t="str">
        <f>IF(P6218&gt;500,"High","low")</f>
        <v>low</v>
      </c>
      <c r="R6218" s="37" t="str">
        <f t="shared" si="489"/>
        <v>AVERAGE</v>
      </c>
      <c r="S6218" t="s">
        <v>620</v>
      </c>
    </row>
    <row r="6219" spans="1:19" x14ac:dyDescent="0.2">
      <c r="A6219" t="s">
        <v>6830</v>
      </c>
      <c r="B6219" t="s">
        <v>67</v>
      </c>
      <c r="C6219" t="s">
        <v>607</v>
      </c>
      <c r="D6219">
        <v>431.52</v>
      </c>
      <c r="E6219" s="37" t="str">
        <f t="shared" si="485"/>
        <v xml:space="preserve"> </v>
      </c>
      <c r="F6219">
        <v>0.21</v>
      </c>
      <c r="G6219" s="37" t="str">
        <f t="shared" si="486"/>
        <v>Normal Discount</v>
      </c>
      <c r="H6219" s="37" t="str">
        <f t="shared" si="487"/>
        <v>Medium</v>
      </c>
      <c r="I6219">
        <v>6</v>
      </c>
      <c r="J6219" t="str" cm="1">
        <f t="array" ref="J6219">_xlfn.IFS(I6219&lt;=3,"small",I6219&lt;=6,"Medium",I6219&lt;=9,"Large")</f>
        <v>Medium</v>
      </c>
      <c r="K6219" s="36">
        <v>45281</v>
      </c>
      <c r="L6219" s="36">
        <v>45288</v>
      </c>
      <c r="M6219" t="s">
        <v>598</v>
      </c>
      <c r="N6219" t="s">
        <v>599</v>
      </c>
      <c r="O6219" s="37" t="str">
        <f t="shared" si="488"/>
        <v>Digital Payment</v>
      </c>
      <c r="P6219">
        <v>65.290000000000006</v>
      </c>
      <c r="Q6219" s="37" t="str">
        <f>IF(P6219&gt;500,"High","low")</f>
        <v>low</v>
      </c>
      <c r="R6219" s="37" t="str">
        <f t="shared" si="489"/>
        <v>AVERAGE</v>
      </c>
      <c r="S6219" t="s">
        <v>600</v>
      </c>
    </row>
    <row r="6220" spans="1:19" x14ac:dyDescent="0.2">
      <c r="A6220" t="s">
        <v>6831</v>
      </c>
      <c r="B6220" t="s">
        <v>75</v>
      </c>
      <c r="C6220" t="s">
        <v>614</v>
      </c>
      <c r="D6220">
        <v>724.12</v>
      </c>
      <c r="E6220" s="37" t="str">
        <f t="shared" si="485"/>
        <v xml:space="preserve"> </v>
      </c>
      <c r="F6220">
        <v>0.41</v>
      </c>
      <c r="G6220" s="37" t="str">
        <f t="shared" si="486"/>
        <v>Heavy Discount</v>
      </c>
      <c r="H6220" s="37" t="str">
        <f t="shared" si="487"/>
        <v>High</v>
      </c>
      <c r="I6220">
        <v>8</v>
      </c>
      <c r="J6220" t="str" cm="1">
        <f t="array" ref="J6220">_xlfn.IFS(I6220&lt;=3,"small",I6220&lt;=6,"Medium",I6220&lt;=9,"Large")</f>
        <v>Large</v>
      </c>
      <c r="K6220" s="36">
        <v>45589</v>
      </c>
      <c r="L6220" s="36">
        <v>45595</v>
      </c>
      <c r="M6220" t="s">
        <v>603</v>
      </c>
      <c r="N6220" t="s">
        <v>604</v>
      </c>
      <c r="O6220" s="37" t="str">
        <f t="shared" si="488"/>
        <v>Digital Payment</v>
      </c>
      <c r="P6220">
        <v>140.75</v>
      </c>
      <c r="Q6220" s="37" t="str">
        <f>IF(P6220&gt;500,"High","low")</f>
        <v>low</v>
      </c>
      <c r="R6220" s="37" t="str">
        <f t="shared" si="489"/>
        <v>AVERAGE</v>
      </c>
      <c r="S6220" t="s">
        <v>628</v>
      </c>
    </row>
    <row r="6221" spans="1:19" x14ac:dyDescent="0.2">
      <c r="A6221" t="s">
        <v>6832</v>
      </c>
      <c r="B6221" t="s">
        <v>90</v>
      </c>
      <c r="C6221" t="s">
        <v>617</v>
      </c>
      <c r="D6221">
        <v>649.57000000000005</v>
      </c>
      <c r="E6221" s="37" t="str">
        <f t="shared" si="485"/>
        <v xml:space="preserve"> </v>
      </c>
      <c r="F6221">
        <v>0.04</v>
      </c>
      <c r="G6221" s="37" t="str">
        <f t="shared" si="486"/>
        <v>Normal Discount</v>
      </c>
      <c r="H6221" s="37" t="str">
        <f t="shared" si="487"/>
        <v>Low</v>
      </c>
      <c r="I6221">
        <v>7</v>
      </c>
      <c r="J6221" t="str" cm="1">
        <f t="array" ref="J6221">_xlfn.IFS(I6221&lt;=3,"small",I6221&lt;=6,"Medium",I6221&lt;=9,"Large")</f>
        <v>Large</v>
      </c>
      <c r="K6221" s="36">
        <v>45646</v>
      </c>
      <c r="L6221" s="36">
        <v>45653</v>
      </c>
      <c r="M6221" t="s">
        <v>612</v>
      </c>
      <c r="N6221" t="s">
        <v>604</v>
      </c>
      <c r="O6221" s="37" t="str">
        <f t="shared" si="488"/>
        <v>Digital Payment</v>
      </c>
      <c r="P6221">
        <v>82.49</v>
      </c>
      <c r="Q6221" s="37" t="str">
        <f>IF(P6221&gt;500,"High","low")</f>
        <v>low</v>
      </c>
      <c r="R6221" s="37" t="str">
        <f t="shared" si="489"/>
        <v>AVERAGE</v>
      </c>
      <c r="S6221" t="s">
        <v>615</v>
      </c>
    </row>
    <row r="6222" spans="1:19" x14ac:dyDescent="0.2">
      <c r="A6222" t="s">
        <v>6833</v>
      </c>
      <c r="B6222" t="s">
        <v>75</v>
      </c>
      <c r="C6222" t="s">
        <v>607</v>
      </c>
      <c r="D6222">
        <v>4374.8599999999997</v>
      </c>
      <c r="E6222" s="37" t="str">
        <f t="shared" si="485"/>
        <v>Excellent Order</v>
      </c>
      <c r="F6222">
        <v>0.19</v>
      </c>
      <c r="G6222" s="37" t="str">
        <f t="shared" si="486"/>
        <v>Normal Discount</v>
      </c>
      <c r="H6222" s="37" t="str">
        <f t="shared" si="487"/>
        <v>Low</v>
      </c>
      <c r="I6222">
        <v>7</v>
      </c>
      <c r="J6222" t="str" cm="1">
        <f t="array" ref="J6222">_xlfn.IFS(I6222&lt;=3,"small",I6222&lt;=6,"Medium",I6222&lt;=9,"Large")</f>
        <v>Large</v>
      </c>
      <c r="K6222" s="36">
        <v>45639</v>
      </c>
      <c r="L6222" s="36">
        <v>45641</v>
      </c>
      <c r="M6222" t="s">
        <v>612</v>
      </c>
      <c r="N6222" t="s">
        <v>599</v>
      </c>
      <c r="O6222" s="37" t="str">
        <f t="shared" si="488"/>
        <v>Digital Payment</v>
      </c>
      <c r="P6222">
        <v>807.31</v>
      </c>
      <c r="Q6222" s="37" t="str">
        <f>IF(P6222&gt;500,"High","low")</f>
        <v>High</v>
      </c>
      <c r="R6222" s="37" t="str">
        <f t="shared" si="489"/>
        <v>Good</v>
      </c>
      <c r="S6222" t="s">
        <v>628</v>
      </c>
    </row>
    <row r="6223" spans="1:19" x14ac:dyDescent="0.2">
      <c r="A6223" t="s">
        <v>6834</v>
      </c>
      <c r="B6223" t="s">
        <v>75</v>
      </c>
      <c r="C6223" t="s">
        <v>602</v>
      </c>
      <c r="D6223">
        <v>4659.13</v>
      </c>
      <c r="E6223" s="37" t="str">
        <f t="shared" si="485"/>
        <v>Excellent Order</v>
      </c>
      <c r="F6223">
        <v>0.32</v>
      </c>
      <c r="G6223" s="37" t="str">
        <f t="shared" si="486"/>
        <v>Heavy Discount</v>
      </c>
      <c r="H6223" s="37" t="str">
        <f t="shared" si="487"/>
        <v>Medium</v>
      </c>
      <c r="I6223">
        <v>9</v>
      </c>
      <c r="J6223" t="str" cm="1">
        <f t="array" ref="J6223">_xlfn.IFS(I6223&lt;=3,"small",I6223&lt;=6,"Medium",I6223&lt;=9,"Large")</f>
        <v>Large</v>
      </c>
      <c r="K6223" s="36">
        <v>45456</v>
      </c>
      <c r="L6223" s="36">
        <v>45459</v>
      </c>
      <c r="M6223" t="s">
        <v>612</v>
      </c>
      <c r="N6223" t="s">
        <v>599</v>
      </c>
      <c r="O6223" s="37" t="str">
        <f t="shared" si="488"/>
        <v>Digital Payment</v>
      </c>
      <c r="P6223">
        <v>950.82</v>
      </c>
      <c r="Q6223" s="37" t="str">
        <f>IF(P6223&gt;500,"High","low")</f>
        <v>High</v>
      </c>
      <c r="R6223" s="37" t="str">
        <f t="shared" si="489"/>
        <v>Good</v>
      </c>
      <c r="S6223" t="s">
        <v>605</v>
      </c>
    </row>
    <row r="6224" spans="1:19" x14ac:dyDescent="0.2">
      <c r="A6224" t="s">
        <v>6835</v>
      </c>
      <c r="B6224" t="s">
        <v>83</v>
      </c>
      <c r="C6224" t="s">
        <v>607</v>
      </c>
      <c r="D6224">
        <v>2425.16</v>
      </c>
      <c r="E6224" s="37" t="str">
        <f t="shared" si="485"/>
        <v xml:space="preserve"> </v>
      </c>
      <c r="F6224">
        <v>0.39</v>
      </c>
      <c r="G6224" s="37" t="str">
        <f t="shared" si="486"/>
        <v>Heavy Discount</v>
      </c>
      <c r="H6224" s="37" t="str">
        <f t="shared" si="487"/>
        <v>Medium</v>
      </c>
      <c r="I6224">
        <v>9</v>
      </c>
      <c r="J6224" t="str" cm="1">
        <f t="array" ref="J6224">_xlfn.IFS(I6224&lt;=3,"small",I6224&lt;=6,"Medium",I6224&lt;=9,"Large")</f>
        <v>Large</v>
      </c>
      <c r="K6224" s="36">
        <v>45551</v>
      </c>
      <c r="L6224" s="36">
        <v>45552</v>
      </c>
      <c r="M6224" t="s">
        <v>612</v>
      </c>
      <c r="N6224" t="s">
        <v>604</v>
      </c>
      <c r="O6224" s="37" t="str">
        <f t="shared" si="488"/>
        <v>Digital Payment</v>
      </c>
      <c r="P6224">
        <v>434.12</v>
      </c>
      <c r="Q6224" s="37" t="str">
        <f>IF(P6224&gt;500,"High","low")</f>
        <v>low</v>
      </c>
      <c r="R6224" s="37" t="str">
        <f t="shared" si="489"/>
        <v>AVERAGE</v>
      </c>
      <c r="S6224" t="s">
        <v>600</v>
      </c>
    </row>
    <row r="6225" spans="1:19" x14ac:dyDescent="0.2">
      <c r="A6225" t="s">
        <v>6836</v>
      </c>
      <c r="B6225" t="s">
        <v>83</v>
      </c>
      <c r="C6225" t="s">
        <v>597</v>
      </c>
      <c r="D6225">
        <v>3189.04</v>
      </c>
      <c r="E6225" s="37" t="str">
        <f t="shared" si="485"/>
        <v xml:space="preserve"> </v>
      </c>
      <c r="F6225">
        <v>0.33</v>
      </c>
      <c r="G6225" s="37" t="str">
        <f t="shared" si="486"/>
        <v>Heavy Discount</v>
      </c>
      <c r="H6225" s="37" t="str">
        <f t="shared" si="487"/>
        <v>Medium</v>
      </c>
      <c r="I6225">
        <v>9</v>
      </c>
      <c r="J6225" t="str" cm="1">
        <f t="array" ref="J6225">_xlfn.IFS(I6225&lt;=3,"small",I6225&lt;=6,"Medium",I6225&lt;=9,"Large")</f>
        <v>Large</v>
      </c>
      <c r="K6225" s="36">
        <v>45108</v>
      </c>
      <c r="L6225" s="36">
        <v>45109</v>
      </c>
      <c r="M6225" t="s">
        <v>603</v>
      </c>
      <c r="N6225" t="s">
        <v>599</v>
      </c>
      <c r="O6225" s="37" t="str">
        <f t="shared" si="488"/>
        <v>Digital Payment</v>
      </c>
      <c r="P6225">
        <v>317.37</v>
      </c>
      <c r="Q6225" s="37" t="str">
        <f>IF(P6225&gt;500,"High","low")</f>
        <v>low</v>
      </c>
      <c r="R6225" s="37" t="str">
        <f t="shared" si="489"/>
        <v>AVERAGE</v>
      </c>
      <c r="S6225" t="s">
        <v>620</v>
      </c>
    </row>
    <row r="6226" spans="1:19" x14ac:dyDescent="0.2">
      <c r="A6226" t="s">
        <v>6837</v>
      </c>
      <c r="B6226" t="s">
        <v>67</v>
      </c>
      <c r="C6226" t="s">
        <v>597</v>
      </c>
      <c r="D6226">
        <v>3509.92</v>
      </c>
      <c r="E6226" s="37" t="str">
        <f t="shared" si="485"/>
        <v xml:space="preserve"> </v>
      </c>
      <c r="F6226">
        <v>0.2</v>
      </c>
      <c r="G6226" s="37" t="str">
        <f t="shared" si="486"/>
        <v>Normal Discount</v>
      </c>
      <c r="H6226" s="37" t="str">
        <f t="shared" si="487"/>
        <v>Medium</v>
      </c>
      <c r="I6226">
        <v>1</v>
      </c>
      <c r="J6226" t="str" cm="1">
        <f t="array" ref="J6226">_xlfn.IFS(I6226&lt;=3,"small",I6226&lt;=6,"Medium",I6226&lt;=9,"Large")</f>
        <v>small</v>
      </c>
      <c r="K6226" s="36">
        <v>45412</v>
      </c>
      <c r="L6226" s="36">
        <v>45415</v>
      </c>
      <c r="M6226" t="s">
        <v>603</v>
      </c>
      <c r="N6226" t="s">
        <v>599</v>
      </c>
      <c r="O6226" s="37" t="str">
        <f t="shared" si="488"/>
        <v>Digital Payment</v>
      </c>
      <c r="P6226">
        <v>473.3</v>
      </c>
      <c r="Q6226" s="37" t="str">
        <f>IF(P6226&gt;500,"High","low")</f>
        <v>low</v>
      </c>
      <c r="R6226" s="37" t="str">
        <f t="shared" si="489"/>
        <v>AVERAGE</v>
      </c>
      <c r="S6226" t="s">
        <v>600</v>
      </c>
    </row>
    <row r="6227" spans="1:19" x14ac:dyDescent="0.2">
      <c r="A6227" t="s">
        <v>6838</v>
      </c>
      <c r="B6227" t="s">
        <v>75</v>
      </c>
      <c r="C6227" t="s">
        <v>614</v>
      </c>
      <c r="D6227">
        <v>2017.44</v>
      </c>
      <c r="E6227" s="37" t="str">
        <f t="shared" si="485"/>
        <v xml:space="preserve"> </v>
      </c>
      <c r="F6227">
        <v>0.5</v>
      </c>
      <c r="G6227" s="37" t="str">
        <f t="shared" si="486"/>
        <v>Heavy Discount</v>
      </c>
      <c r="H6227" s="37" t="str">
        <f t="shared" si="487"/>
        <v>High</v>
      </c>
      <c r="I6227">
        <v>6</v>
      </c>
      <c r="J6227" t="str" cm="1">
        <f t="array" ref="J6227">_xlfn.IFS(I6227&lt;=3,"small",I6227&lt;=6,"Medium",I6227&lt;=9,"Large")</f>
        <v>Medium</v>
      </c>
      <c r="K6227" s="36">
        <v>45246</v>
      </c>
      <c r="L6227" s="36">
        <v>45253</v>
      </c>
      <c r="M6227" t="s">
        <v>603</v>
      </c>
      <c r="N6227" t="s">
        <v>599</v>
      </c>
      <c r="O6227" s="37" t="str">
        <f t="shared" si="488"/>
        <v>Digital Payment</v>
      </c>
      <c r="P6227">
        <v>418.27</v>
      </c>
      <c r="Q6227" s="37" t="str">
        <f>IF(P6227&gt;500,"High","low")</f>
        <v>low</v>
      </c>
      <c r="R6227" s="37" t="str">
        <f t="shared" si="489"/>
        <v>AVERAGE</v>
      </c>
      <c r="S6227" t="s">
        <v>620</v>
      </c>
    </row>
    <row r="6228" spans="1:19" x14ac:dyDescent="0.2">
      <c r="A6228" t="s">
        <v>6839</v>
      </c>
      <c r="B6228" t="s">
        <v>67</v>
      </c>
      <c r="C6228" t="s">
        <v>597</v>
      </c>
      <c r="D6228">
        <v>1914.03</v>
      </c>
      <c r="E6228" s="37" t="str">
        <f t="shared" si="485"/>
        <v xml:space="preserve"> </v>
      </c>
      <c r="F6228">
        <v>0.02</v>
      </c>
      <c r="G6228" s="37" t="str">
        <f t="shared" si="486"/>
        <v>Normal Discount</v>
      </c>
      <c r="H6228" s="37" t="str">
        <f t="shared" si="487"/>
        <v>Low</v>
      </c>
      <c r="I6228">
        <v>5</v>
      </c>
      <c r="J6228" t="str" cm="1">
        <f t="array" ref="J6228">_xlfn.IFS(I6228&lt;=3,"small",I6228&lt;=6,"Medium",I6228&lt;=9,"Large")</f>
        <v>Medium</v>
      </c>
      <c r="K6228" s="36">
        <v>44963</v>
      </c>
      <c r="L6228" s="36">
        <v>44967</v>
      </c>
      <c r="M6228" t="s">
        <v>603</v>
      </c>
      <c r="N6228" t="s">
        <v>608</v>
      </c>
      <c r="O6228" s="37" t="str">
        <f t="shared" si="488"/>
        <v>Cash Payment</v>
      </c>
      <c r="P6228">
        <v>370.32</v>
      </c>
      <c r="Q6228" s="37" t="str">
        <f>IF(P6228&gt;500,"High","low")</f>
        <v>low</v>
      </c>
      <c r="R6228" s="37" t="str">
        <f t="shared" si="489"/>
        <v>AVERAGE</v>
      </c>
      <c r="S6228" t="s">
        <v>609</v>
      </c>
    </row>
    <row r="6229" spans="1:19" x14ac:dyDescent="0.2">
      <c r="A6229" t="s">
        <v>6840</v>
      </c>
      <c r="B6229" t="s">
        <v>90</v>
      </c>
      <c r="C6229" t="s">
        <v>602</v>
      </c>
      <c r="D6229">
        <v>3410.29</v>
      </c>
      <c r="E6229" s="37" t="str">
        <f t="shared" si="485"/>
        <v xml:space="preserve"> </v>
      </c>
      <c r="F6229">
        <v>0.25</v>
      </c>
      <c r="G6229" s="37" t="str">
        <f t="shared" si="486"/>
        <v>Normal Discount</v>
      </c>
      <c r="H6229" s="37" t="str">
        <f t="shared" si="487"/>
        <v>Medium</v>
      </c>
      <c r="I6229">
        <v>8</v>
      </c>
      <c r="J6229" t="str" cm="1">
        <f t="array" ref="J6229">_xlfn.IFS(I6229&lt;=3,"small",I6229&lt;=6,"Medium",I6229&lt;=9,"Large")</f>
        <v>Large</v>
      </c>
      <c r="K6229" s="36">
        <v>45037</v>
      </c>
      <c r="L6229" s="36">
        <v>45044</v>
      </c>
      <c r="M6229" t="s">
        <v>603</v>
      </c>
      <c r="N6229" t="s">
        <v>608</v>
      </c>
      <c r="O6229" s="37" t="str">
        <f t="shared" si="488"/>
        <v>Cash Payment</v>
      </c>
      <c r="P6229">
        <v>552.83000000000004</v>
      </c>
      <c r="Q6229" s="37" t="str">
        <f>IF(P6229&gt;500,"High","low")</f>
        <v>High</v>
      </c>
      <c r="R6229" s="37" t="str">
        <f t="shared" si="489"/>
        <v>Good</v>
      </c>
      <c r="S6229" t="s">
        <v>628</v>
      </c>
    </row>
    <row r="6230" spans="1:19" x14ac:dyDescent="0.2">
      <c r="A6230" t="s">
        <v>6841</v>
      </c>
      <c r="B6230" t="s">
        <v>75</v>
      </c>
      <c r="C6230" t="s">
        <v>614</v>
      </c>
      <c r="D6230">
        <v>1945.9</v>
      </c>
      <c r="E6230" s="37" t="str">
        <f t="shared" si="485"/>
        <v xml:space="preserve"> </v>
      </c>
      <c r="F6230">
        <v>0.26</v>
      </c>
      <c r="G6230" s="37" t="str">
        <f t="shared" si="486"/>
        <v>Normal Discount</v>
      </c>
      <c r="H6230" s="37" t="str">
        <f t="shared" si="487"/>
        <v>Medium</v>
      </c>
      <c r="I6230">
        <v>8</v>
      </c>
      <c r="J6230" t="str" cm="1">
        <f t="array" ref="J6230">_xlfn.IFS(I6230&lt;=3,"small",I6230&lt;=6,"Medium",I6230&lt;=9,"Large")</f>
        <v>Large</v>
      </c>
      <c r="K6230" s="36">
        <v>45543</v>
      </c>
      <c r="L6230" s="36">
        <v>45547</v>
      </c>
      <c r="M6230" t="s">
        <v>598</v>
      </c>
      <c r="N6230" t="s">
        <v>608</v>
      </c>
      <c r="O6230" s="37" t="str">
        <f t="shared" si="488"/>
        <v>Cash Payment</v>
      </c>
      <c r="P6230">
        <v>127.61</v>
      </c>
      <c r="Q6230" s="37" t="str">
        <f>IF(P6230&gt;500,"High","low")</f>
        <v>low</v>
      </c>
      <c r="R6230" s="37" t="str">
        <f t="shared" si="489"/>
        <v>AVERAGE</v>
      </c>
      <c r="S6230" t="s">
        <v>600</v>
      </c>
    </row>
    <row r="6231" spans="1:19" x14ac:dyDescent="0.2">
      <c r="A6231" t="s">
        <v>6842</v>
      </c>
      <c r="B6231" t="s">
        <v>75</v>
      </c>
      <c r="C6231" t="s">
        <v>602</v>
      </c>
      <c r="D6231">
        <v>2946.95</v>
      </c>
      <c r="E6231" s="37" t="str">
        <f t="shared" si="485"/>
        <v xml:space="preserve"> </v>
      </c>
      <c r="F6231">
        <v>0.12</v>
      </c>
      <c r="G6231" s="37" t="str">
        <f t="shared" si="486"/>
        <v>Normal Discount</v>
      </c>
      <c r="H6231" s="37" t="str">
        <f t="shared" si="487"/>
        <v>Low</v>
      </c>
      <c r="I6231">
        <v>8</v>
      </c>
      <c r="J6231" t="str" cm="1">
        <f t="array" ref="J6231">_xlfn.IFS(I6231&lt;=3,"small",I6231&lt;=6,"Medium",I6231&lt;=9,"Large")</f>
        <v>Large</v>
      </c>
      <c r="K6231" s="36">
        <v>45132</v>
      </c>
      <c r="L6231" s="36">
        <v>45138</v>
      </c>
      <c r="M6231" t="s">
        <v>612</v>
      </c>
      <c r="N6231" t="s">
        <v>604</v>
      </c>
      <c r="O6231" s="37" t="str">
        <f t="shared" si="488"/>
        <v>Digital Payment</v>
      </c>
      <c r="P6231">
        <v>481.63</v>
      </c>
      <c r="Q6231" s="37" t="str">
        <f>IF(P6231&gt;500,"High","low")</f>
        <v>low</v>
      </c>
      <c r="R6231" s="37" t="str">
        <f t="shared" si="489"/>
        <v>AVERAGE</v>
      </c>
      <c r="S6231" t="s">
        <v>615</v>
      </c>
    </row>
    <row r="6232" spans="1:19" x14ac:dyDescent="0.2">
      <c r="A6232" t="s">
        <v>6843</v>
      </c>
      <c r="B6232" t="s">
        <v>90</v>
      </c>
      <c r="C6232" t="s">
        <v>602</v>
      </c>
      <c r="D6232">
        <v>2624.44</v>
      </c>
      <c r="E6232" s="37" t="str">
        <f t="shared" si="485"/>
        <v xml:space="preserve"> </v>
      </c>
      <c r="F6232">
        <v>0.28000000000000003</v>
      </c>
      <c r="G6232" s="37" t="str">
        <f t="shared" si="486"/>
        <v>Normal Discount</v>
      </c>
      <c r="H6232" s="37" t="str">
        <f t="shared" si="487"/>
        <v>Medium</v>
      </c>
      <c r="I6232">
        <v>5</v>
      </c>
      <c r="J6232" t="str" cm="1">
        <f t="array" ref="J6232">_xlfn.IFS(I6232&lt;=3,"small",I6232&lt;=6,"Medium",I6232&lt;=9,"Large")</f>
        <v>Medium</v>
      </c>
      <c r="K6232" s="36">
        <v>45438</v>
      </c>
      <c r="L6232" s="36">
        <v>45443</v>
      </c>
      <c r="M6232" t="s">
        <v>612</v>
      </c>
      <c r="N6232" t="s">
        <v>599</v>
      </c>
      <c r="O6232" s="37" t="str">
        <f t="shared" si="488"/>
        <v>Digital Payment</v>
      </c>
      <c r="P6232">
        <v>502.91</v>
      </c>
      <c r="Q6232" s="37" t="str">
        <f>IF(P6232&gt;500,"High","low")</f>
        <v>High</v>
      </c>
      <c r="R6232" s="37" t="str">
        <f t="shared" si="489"/>
        <v>Good</v>
      </c>
      <c r="S6232" t="s">
        <v>600</v>
      </c>
    </row>
    <row r="6233" spans="1:19" x14ac:dyDescent="0.2">
      <c r="A6233" t="s">
        <v>6844</v>
      </c>
      <c r="B6233" t="s">
        <v>90</v>
      </c>
      <c r="C6233" t="s">
        <v>597</v>
      </c>
      <c r="D6233">
        <v>2669.86</v>
      </c>
      <c r="E6233" s="37" t="str">
        <f t="shared" si="485"/>
        <v xml:space="preserve"> </v>
      </c>
      <c r="F6233">
        <v>0.11</v>
      </c>
      <c r="G6233" s="37" t="str">
        <f t="shared" si="486"/>
        <v>Normal Discount</v>
      </c>
      <c r="H6233" s="37" t="str">
        <f t="shared" si="487"/>
        <v>Low</v>
      </c>
      <c r="I6233">
        <v>1</v>
      </c>
      <c r="J6233" t="str" cm="1">
        <f t="array" ref="J6233">_xlfn.IFS(I6233&lt;=3,"small",I6233&lt;=6,"Medium",I6233&lt;=9,"Large")</f>
        <v>small</v>
      </c>
      <c r="K6233" s="36">
        <v>45287</v>
      </c>
      <c r="L6233" s="36">
        <v>45293</v>
      </c>
      <c r="M6233" t="s">
        <v>598</v>
      </c>
      <c r="N6233" t="s">
        <v>608</v>
      </c>
      <c r="O6233" s="37" t="str">
        <f t="shared" si="488"/>
        <v>Cash Payment</v>
      </c>
      <c r="P6233">
        <v>279.52999999999997</v>
      </c>
      <c r="Q6233" s="37" t="str">
        <f>IF(P6233&gt;500,"High","low")</f>
        <v>low</v>
      </c>
      <c r="R6233" s="37" t="str">
        <f t="shared" si="489"/>
        <v>AVERAGE</v>
      </c>
      <c r="S6233" t="s">
        <v>605</v>
      </c>
    </row>
    <row r="6234" spans="1:19" x14ac:dyDescent="0.2">
      <c r="A6234" t="s">
        <v>6845</v>
      </c>
      <c r="B6234" t="s">
        <v>67</v>
      </c>
      <c r="C6234" t="s">
        <v>597</v>
      </c>
      <c r="D6234">
        <v>4163.8599999999997</v>
      </c>
      <c r="E6234" s="37" t="str">
        <f t="shared" si="485"/>
        <v xml:space="preserve"> </v>
      </c>
      <c r="F6234">
        <v>0.22</v>
      </c>
      <c r="G6234" s="37" t="str">
        <f t="shared" si="486"/>
        <v>Normal Discount</v>
      </c>
      <c r="H6234" s="37" t="str">
        <f t="shared" si="487"/>
        <v>Medium</v>
      </c>
      <c r="I6234">
        <v>4</v>
      </c>
      <c r="J6234" t="str" cm="1">
        <f t="array" ref="J6234">_xlfn.IFS(I6234&lt;=3,"small",I6234&lt;=6,"Medium",I6234&lt;=9,"Large")</f>
        <v>Medium</v>
      </c>
      <c r="K6234" s="36">
        <v>45270</v>
      </c>
      <c r="L6234" s="36">
        <v>45275</v>
      </c>
      <c r="M6234" t="s">
        <v>612</v>
      </c>
      <c r="N6234" t="s">
        <v>604</v>
      </c>
      <c r="O6234" s="37" t="str">
        <f t="shared" si="488"/>
        <v>Digital Payment</v>
      </c>
      <c r="P6234">
        <v>223.19</v>
      </c>
      <c r="Q6234" s="37" t="str">
        <f>IF(P6234&gt;500,"High","low")</f>
        <v>low</v>
      </c>
      <c r="R6234" s="37" t="str">
        <f t="shared" si="489"/>
        <v>AVERAGE</v>
      </c>
      <c r="S6234" t="s">
        <v>615</v>
      </c>
    </row>
    <row r="6235" spans="1:19" x14ac:dyDescent="0.2">
      <c r="A6235" t="s">
        <v>6846</v>
      </c>
      <c r="B6235" t="s">
        <v>67</v>
      </c>
      <c r="C6235" t="s">
        <v>602</v>
      </c>
      <c r="D6235">
        <v>3549.88</v>
      </c>
      <c r="E6235" s="37" t="str">
        <f t="shared" si="485"/>
        <v xml:space="preserve"> </v>
      </c>
      <c r="F6235">
        <v>0.22</v>
      </c>
      <c r="G6235" s="37" t="str">
        <f t="shared" si="486"/>
        <v>Normal Discount</v>
      </c>
      <c r="H6235" s="37" t="str">
        <f t="shared" si="487"/>
        <v>Medium</v>
      </c>
      <c r="I6235">
        <v>7</v>
      </c>
      <c r="J6235" t="str" cm="1">
        <f t="array" ref="J6235">_xlfn.IFS(I6235&lt;=3,"small",I6235&lt;=6,"Medium",I6235&lt;=9,"Large")</f>
        <v>Large</v>
      </c>
      <c r="K6235" s="36">
        <v>45279</v>
      </c>
      <c r="L6235" s="36">
        <v>45285</v>
      </c>
      <c r="M6235" t="s">
        <v>612</v>
      </c>
      <c r="N6235" t="s">
        <v>608</v>
      </c>
      <c r="O6235" s="37" t="str">
        <f t="shared" si="488"/>
        <v>Cash Payment</v>
      </c>
      <c r="P6235">
        <v>632</v>
      </c>
      <c r="Q6235" s="37" t="str">
        <f>IF(P6235&gt;500,"High","low")</f>
        <v>High</v>
      </c>
      <c r="R6235" s="37" t="str">
        <f t="shared" si="489"/>
        <v>Good</v>
      </c>
      <c r="S6235" t="s">
        <v>615</v>
      </c>
    </row>
    <row r="6236" spans="1:19" x14ac:dyDescent="0.2">
      <c r="A6236" t="s">
        <v>6847</v>
      </c>
      <c r="B6236" t="s">
        <v>90</v>
      </c>
      <c r="C6236" t="s">
        <v>597</v>
      </c>
      <c r="D6236">
        <v>4807.3500000000004</v>
      </c>
      <c r="E6236" s="37" t="str">
        <f t="shared" si="485"/>
        <v xml:space="preserve"> </v>
      </c>
      <c r="F6236">
        <v>0.39</v>
      </c>
      <c r="G6236" s="37" t="str">
        <f t="shared" si="486"/>
        <v>Heavy Discount</v>
      </c>
      <c r="H6236" s="37" t="str">
        <f t="shared" si="487"/>
        <v>Medium</v>
      </c>
      <c r="I6236">
        <v>2</v>
      </c>
      <c r="J6236" t="str" cm="1">
        <f t="array" ref="J6236">_xlfn.IFS(I6236&lt;=3,"small",I6236&lt;=6,"Medium",I6236&lt;=9,"Large")</f>
        <v>small</v>
      </c>
      <c r="K6236" s="36">
        <v>45467</v>
      </c>
      <c r="L6236" s="36">
        <v>45473</v>
      </c>
      <c r="M6236" t="s">
        <v>612</v>
      </c>
      <c r="N6236" t="s">
        <v>604</v>
      </c>
      <c r="O6236" s="37" t="str">
        <f t="shared" si="488"/>
        <v>Digital Payment</v>
      </c>
      <c r="P6236">
        <v>696.13</v>
      </c>
      <c r="Q6236" s="37" t="str">
        <f>IF(P6236&gt;500,"High","low")</f>
        <v>High</v>
      </c>
      <c r="R6236" s="37" t="str">
        <f t="shared" si="489"/>
        <v>Good</v>
      </c>
      <c r="S6236" t="s">
        <v>600</v>
      </c>
    </row>
    <row r="6237" spans="1:19" x14ac:dyDescent="0.2">
      <c r="A6237" t="s">
        <v>6848</v>
      </c>
      <c r="B6237" t="s">
        <v>67</v>
      </c>
      <c r="C6237" t="s">
        <v>597</v>
      </c>
      <c r="D6237">
        <v>3975.79</v>
      </c>
      <c r="E6237" s="37" t="str">
        <f t="shared" si="485"/>
        <v xml:space="preserve"> </v>
      </c>
      <c r="F6237">
        <v>0.47</v>
      </c>
      <c r="G6237" s="37" t="str">
        <f t="shared" si="486"/>
        <v>Heavy Discount</v>
      </c>
      <c r="H6237" s="37" t="str">
        <f t="shared" si="487"/>
        <v>High</v>
      </c>
      <c r="I6237">
        <v>7</v>
      </c>
      <c r="J6237" t="str" cm="1">
        <f t="array" ref="J6237">_xlfn.IFS(I6237&lt;=3,"small",I6237&lt;=6,"Medium",I6237&lt;=9,"Large")</f>
        <v>Large</v>
      </c>
      <c r="K6237" s="36">
        <v>45299</v>
      </c>
      <c r="L6237" s="36">
        <v>45306</v>
      </c>
      <c r="M6237" t="s">
        <v>598</v>
      </c>
      <c r="N6237" t="s">
        <v>599</v>
      </c>
      <c r="O6237" s="37" t="str">
        <f t="shared" si="488"/>
        <v>Digital Payment</v>
      </c>
      <c r="P6237">
        <v>884.47</v>
      </c>
      <c r="Q6237" s="37" t="str">
        <f>IF(P6237&gt;500,"High","low")</f>
        <v>High</v>
      </c>
      <c r="R6237" s="37" t="str">
        <f t="shared" si="489"/>
        <v>Good</v>
      </c>
      <c r="S6237" t="s">
        <v>600</v>
      </c>
    </row>
    <row r="6238" spans="1:19" x14ac:dyDescent="0.2">
      <c r="A6238" t="s">
        <v>6849</v>
      </c>
      <c r="B6238" t="s">
        <v>90</v>
      </c>
      <c r="C6238" t="s">
        <v>597</v>
      </c>
      <c r="D6238">
        <v>814.38</v>
      </c>
      <c r="E6238" s="37" t="str">
        <f t="shared" si="485"/>
        <v xml:space="preserve"> </v>
      </c>
      <c r="F6238">
        <v>0.1</v>
      </c>
      <c r="G6238" s="37" t="str">
        <f t="shared" si="486"/>
        <v>Normal Discount</v>
      </c>
      <c r="H6238" s="37" t="str">
        <f t="shared" si="487"/>
        <v>Low</v>
      </c>
      <c r="I6238">
        <v>5</v>
      </c>
      <c r="J6238" t="str" cm="1">
        <f t="array" ref="J6238">_xlfn.IFS(I6238&lt;=3,"small",I6238&lt;=6,"Medium",I6238&lt;=9,"Large")</f>
        <v>Medium</v>
      </c>
      <c r="K6238" s="36">
        <v>45380</v>
      </c>
      <c r="L6238" s="36">
        <v>45385</v>
      </c>
      <c r="M6238" t="s">
        <v>603</v>
      </c>
      <c r="N6238" t="s">
        <v>599</v>
      </c>
      <c r="O6238" s="37" t="str">
        <f t="shared" si="488"/>
        <v>Digital Payment</v>
      </c>
      <c r="P6238">
        <v>66.33</v>
      </c>
      <c r="Q6238" s="37" t="str">
        <f>IF(P6238&gt;500,"High","low")</f>
        <v>low</v>
      </c>
      <c r="R6238" s="37" t="str">
        <f t="shared" si="489"/>
        <v>AVERAGE</v>
      </c>
      <c r="S6238" t="s">
        <v>600</v>
      </c>
    </row>
    <row r="6239" spans="1:19" x14ac:dyDescent="0.2">
      <c r="A6239" t="s">
        <v>6850</v>
      </c>
      <c r="B6239" t="s">
        <v>75</v>
      </c>
      <c r="C6239" t="s">
        <v>607</v>
      </c>
      <c r="D6239">
        <v>3718.57</v>
      </c>
      <c r="E6239" s="37" t="str">
        <f t="shared" si="485"/>
        <v xml:space="preserve"> </v>
      </c>
      <c r="F6239">
        <v>0.5</v>
      </c>
      <c r="G6239" s="37" t="str">
        <f t="shared" si="486"/>
        <v>Heavy Discount</v>
      </c>
      <c r="H6239" s="37" t="str">
        <f t="shared" si="487"/>
        <v>High</v>
      </c>
      <c r="I6239">
        <v>6</v>
      </c>
      <c r="J6239" t="str" cm="1">
        <f t="array" ref="J6239">_xlfn.IFS(I6239&lt;=3,"small",I6239&lt;=6,"Medium",I6239&lt;=9,"Large")</f>
        <v>Medium</v>
      </c>
      <c r="K6239" s="36">
        <v>45569</v>
      </c>
      <c r="L6239" s="36">
        <v>45571</v>
      </c>
      <c r="M6239" t="s">
        <v>603</v>
      </c>
      <c r="N6239" t="s">
        <v>599</v>
      </c>
      <c r="O6239" s="37" t="str">
        <f t="shared" si="488"/>
        <v>Digital Payment</v>
      </c>
      <c r="P6239">
        <v>689.59</v>
      </c>
      <c r="Q6239" s="37" t="str">
        <f>IF(P6239&gt;500,"High","low")</f>
        <v>High</v>
      </c>
      <c r="R6239" s="37" t="str">
        <f t="shared" si="489"/>
        <v>Good</v>
      </c>
      <c r="S6239" t="s">
        <v>600</v>
      </c>
    </row>
    <row r="6240" spans="1:19" x14ac:dyDescent="0.2">
      <c r="A6240" t="s">
        <v>6851</v>
      </c>
      <c r="B6240" t="s">
        <v>75</v>
      </c>
      <c r="C6240" t="s">
        <v>602</v>
      </c>
      <c r="D6240">
        <v>3361.67</v>
      </c>
      <c r="E6240" s="37" t="str">
        <f t="shared" si="485"/>
        <v xml:space="preserve"> </v>
      </c>
      <c r="F6240">
        <v>0.47</v>
      </c>
      <c r="G6240" s="37" t="str">
        <f t="shared" si="486"/>
        <v>Heavy Discount</v>
      </c>
      <c r="H6240" s="37" t="str">
        <f t="shared" si="487"/>
        <v>High</v>
      </c>
      <c r="I6240">
        <v>6</v>
      </c>
      <c r="J6240" t="str" cm="1">
        <f t="array" ref="J6240">_xlfn.IFS(I6240&lt;=3,"small",I6240&lt;=6,"Medium",I6240&lt;=9,"Large")</f>
        <v>Medium</v>
      </c>
      <c r="K6240" s="36">
        <v>45072</v>
      </c>
      <c r="L6240" s="36">
        <v>45075</v>
      </c>
      <c r="M6240" t="s">
        <v>603</v>
      </c>
      <c r="N6240" t="s">
        <v>608</v>
      </c>
      <c r="O6240" s="37" t="str">
        <f t="shared" si="488"/>
        <v>Cash Payment</v>
      </c>
      <c r="P6240">
        <v>924.11</v>
      </c>
      <c r="Q6240" s="37" t="str">
        <f>IF(P6240&gt;500,"High","low")</f>
        <v>High</v>
      </c>
      <c r="R6240" s="37" t="str">
        <f t="shared" si="489"/>
        <v>Good</v>
      </c>
      <c r="S6240" t="s">
        <v>600</v>
      </c>
    </row>
    <row r="6241" spans="1:19" x14ac:dyDescent="0.2">
      <c r="A6241" t="s">
        <v>6852</v>
      </c>
      <c r="B6241" t="s">
        <v>83</v>
      </c>
      <c r="C6241" t="s">
        <v>617</v>
      </c>
      <c r="D6241">
        <v>3265.62</v>
      </c>
      <c r="E6241" s="37" t="str">
        <f t="shared" si="485"/>
        <v xml:space="preserve"> </v>
      </c>
      <c r="F6241">
        <v>0.06</v>
      </c>
      <c r="G6241" s="37" t="str">
        <f t="shared" si="486"/>
        <v>Normal Discount</v>
      </c>
      <c r="H6241" s="37" t="str">
        <f t="shared" si="487"/>
        <v>Low</v>
      </c>
      <c r="I6241">
        <v>5</v>
      </c>
      <c r="J6241" t="str" cm="1">
        <f t="array" ref="J6241">_xlfn.IFS(I6241&lt;=3,"small",I6241&lt;=6,"Medium",I6241&lt;=9,"Large")</f>
        <v>Medium</v>
      </c>
      <c r="K6241" s="36">
        <v>45490</v>
      </c>
      <c r="L6241" s="36">
        <v>45497</v>
      </c>
      <c r="M6241" t="s">
        <v>603</v>
      </c>
      <c r="N6241" t="s">
        <v>604</v>
      </c>
      <c r="O6241" s="37" t="str">
        <f t="shared" si="488"/>
        <v>Digital Payment</v>
      </c>
      <c r="P6241">
        <v>918.82</v>
      </c>
      <c r="Q6241" s="37" t="str">
        <f>IF(P6241&gt;500,"High","low")</f>
        <v>High</v>
      </c>
      <c r="R6241" s="37" t="str">
        <f t="shared" si="489"/>
        <v>Good</v>
      </c>
      <c r="S6241" t="s">
        <v>628</v>
      </c>
    </row>
    <row r="6242" spans="1:19" x14ac:dyDescent="0.2">
      <c r="A6242" t="s">
        <v>6853</v>
      </c>
      <c r="B6242" t="s">
        <v>75</v>
      </c>
      <c r="C6242" t="s">
        <v>602</v>
      </c>
      <c r="D6242">
        <v>2455.65</v>
      </c>
      <c r="E6242" s="37" t="str">
        <f t="shared" si="485"/>
        <v xml:space="preserve"> </v>
      </c>
      <c r="F6242">
        <v>0.46</v>
      </c>
      <c r="G6242" s="37" t="str">
        <f t="shared" si="486"/>
        <v>Heavy Discount</v>
      </c>
      <c r="H6242" s="37" t="str">
        <f t="shared" si="487"/>
        <v>High</v>
      </c>
      <c r="I6242">
        <v>7</v>
      </c>
      <c r="J6242" t="str" cm="1">
        <f t="array" ref="J6242">_xlfn.IFS(I6242&lt;=3,"small",I6242&lt;=6,"Medium",I6242&lt;=9,"Large")</f>
        <v>Large</v>
      </c>
      <c r="K6242" s="36">
        <v>45299</v>
      </c>
      <c r="L6242" s="36">
        <v>45306</v>
      </c>
      <c r="M6242" t="s">
        <v>612</v>
      </c>
      <c r="N6242" t="s">
        <v>599</v>
      </c>
      <c r="O6242" s="37" t="str">
        <f t="shared" si="488"/>
        <v>Digital Payment</v>
      </c>
      <c r="P6242">
        <v>662.75</v>
      </c>
      <c r="Q6242" s="37" t="str">
        <f>IF(P6242&gt;500,"High","low")</f>
        <v>High</v>
      </c>
      <c r="R6242" s="37" t="str">
        <f t="shared" si="489"/>
        <v>Good</v>
      </c>
      <c r="S6242" t="s">
        <v>615</v>
      </c>
    </row>
    <row r="6243" spans="1:19" x14ac:dyDescent="0.2">
      <c r="A6243" t="s">
        <v>6854</v>
      </c>
      <c r="B6243" t="s">
        <v>90</v>
      </c>
      <c r="C6243" t="s">
        <v>614</v>
      </c>
      <c r="D6243">
        <v>406.07</v>
      </c>
      <c r="E6243" s="37" t="str">
        <f t="shared" si="485"/>
        <v xml:space="preserve"> </v>
      </c>
      <c r="F6243">
        <v>0.28000000000000003</v>
      </c>
      <c r="G6243" s="37" t="str">
        <f t="shared" si="486"/>
        <v>Normal Discount</v>
      </c>
      <c r="H6243" s="37" t="str">
        <f t="shared" si="487"/>
        <v>Medium</v>
      </c>
      <c r="I6243">
        <v>4</v>
      </c>
      <c r="J6243" t="str" cm="1">
        <f t="array" ref="J6243">_xlfn.IFS(I6243&lt;=3,"small",I6243&lt;=6,"Medium",I6243&lt;=9,"Large")</f>
        <v>Medium</v>
      </c>
      <c r="K6243" s="36">
        <v>44968</v>
      </c>
      <c r="L6243" s="36">
        <v>44972</v>
      </c>
      <c r="M6243" t="s">
        <v>598</v>
      </c>
      <c r="N6243" t="s">
        <v>604</v>
      </c>
      <c r="O6243" s="37" t="str">
        <f t="shared" si="488"/>
        <v>Digital Payment</v>
      </c>
      <c r="P6243">
        <v>101.71</v>
      </c>
      <c r="Q6243" s="37" t="str">
        <f>IF(P6243&gt;500,"High","low")</f>
        <v>low</v>
      </c>
      <c r="R6243" s="37" t="str">
        <f t="shared" si="489"/>
        <v>AVERAGE</v>
      </c>
      <c r="S6243" t="s">
        <v>605</v>
      </c>
    </row>
    <row r="6244" spans="1:19" x14ac:dyDescent="0.2">
      <c r="A6244" t="s">
        <v>6855</v>
      </c>
      <c r="B6244" t="s">
        <v>67</v>
      </c>
      <c r="C6244" t="s">
        <v>597</v>
      </c>
      <c r="D6244">
        <v>4762.28</v>
      </c>
      <c r="E6244" s="37" t="str">
        <f t="shared" si="485"/>
        <v>Excellent Order</v>
      </c>
      <c r="F6244">
        <v>0.44</v>
      </c>
      <c r="G6244" s="37" t="str">
        <f t="shared" si="486"/>
        <v>Heavy Discount</v>
      </c>
      <c r="H6244" s="37" t="str">
        <f t="shared" si="487"/>
        <v>High</v>
      </c>
      <c r="I6244">
        <v>1</v>
      </c>
      <c r="J6244" t="str" cm="1">
        <f t="array" ref="J6244">_xlfn.IFS(I6244&lt;=3,"small",I6244&lt;=6,"Medium",I6244&lt;=9,"Large")</f>
        <v>small</v>
      </c>
      <c r="K6244" s="36">
        <v>45234</v>
      </c>
      <c r="L6244" s="36">
        <v>45241</v>
      </c>
      <c r="M6244" t="s">
        <v>603</v>
      </c>
      <c r="N6244" t="s">
        <v>604</v>
      </c>
      <c r="O6244" s="37" t="str">
        <f t="shared" si="488"/>
        <v>Digital Payment</v>
      </c>
      <c r="P6244">
        <v>1354.89</v>
      </c>
      <c r="Q6244" s="37" t="str">
        <f>IF(P6244&gt;500,"High","low")</f>
        <v>High</v>
      </c>
      <c r="R6244" s="37" t="str">
        <f t="shared" si="489"/>
        <v>Excellent</v>
      </c>
      <c r="S6244" t="s">
        <v>628</v>
      </c>
    </row>
    <row r="6245" spans="1:19" x14ac:dyDescent="0.2">
      <c r="A6245" t="s">
        <v>6856</v>
      </c>
      <c r="B6245" t="s">
        <v>83</v>
      </c>
      <c r="C6245" t="s">
        <v>597</v>
      </c>
      <c r="D6245">
        <v>4274.43</v>
      </c>
      <c r="E6245" s="37" t="str">
        <f t="shared" si="485"/>
        <v>Excellent Order</v>
      </c>
      <c r="F6245">
        <v>0.47</v>
      </c>
      <c r="G6245" s="37" t="str">
        <f t="shared" si="486"/>
        <v>Heavy Discount</v>
      </c>
      <c r="H6245" s="37" t="str">
        <f t="shared" si="487"/>
        <v>High</v>
      </c>
      <c r="I6245">
        <v>9</v>
      </c>
      <c r="J6245" t="str" cm="1">
        <f t="array" ref="J6245">_xlfn.IFS(I6245&lt;=3,"small",I6245&lt;=6,"Medium",I6245&lt;=9,"Large")</f>
        <v>Large</v>
      </c>
      <c r="K6245" s="36">
        <v>45346</v>
      </c>
      <c r="L6245" s="36">
        <v>45348</v>
      </c>
      <c r="M6245" t="s">
        <v>598</v>
      </c>
      <c r="N6245" t="s">
        <v>604</v>
      </c>
      <c r="O6245" s="37" t="str">
        <f t="shared" si="488"/>
        <v>Digital Payment</v>
      </c>
      <c r="P6245">
        <v>1249.04</v>
      </c>
      <c r="Q6245" s="37" t="str">
        <f>IF(P6245&gt;500,"High","low")</f>
        <v>High</v>
      </c>
      <c r="R6245" s="37" t="str">
        <f t="shared" si="489"/>
        <v>Excellent</v>
      </c>
      <c r="S6245" t="s">
        <v>615</v>
      </c>
    </row>
    <row r="6246" spans="1:19" x14ac:dyDescent="0.2">
      <c r="A6246" t="s">
        <v>6857</v>
      </c>
      <c r="B6246" t="s">
        <v>67</v>
      </c>
      <c r="C6246" t="s">
        <v>617</v>
      </c>
      <c r="D6246">
        <v>2485.36</v>
      </c>
      <c r="E6246" s="37" t="str">
        <f t="shared" si="485"/>
        <v xml:space="preserve"> </v>
      </c>
      <c r="F6246">
        <v>0.43</v>
      </c>
      <c r="G6246" s="37" t="str">
        <f t="shared" si="486"/>
        <v>Heavy Discount</v>
      </c>
      <c r="H6246" s="37" t="str">
        <f t="shared" si="487"/>
        <v>High</v>
      </c>
      <c r="I6246">
        <v>7</v>
      </c>
      <c r="J6246" t="str" cm="1">
        <f t="array" ref="J6246">_xlfn.IFS(I6246&lt;=3,"small",I6246&lt;=6,"Medium",I6246&lt;=9,"Large")</f>
        <v>Large</v>
      </c>
      <c r="K6246" s="36">
        <v>45149</v>
      </c>
      <c r="L6246" s="36">
        <v>45155</v>
      </c>
      <c r="M6246" t="s">
        <v>612</v>
      </c>
      <c r="N6246" t="s">
        <v>599</v>
      </c>
      <c r="O6246" s="37" t="str">
        <f t="shared" si="488"/>
        <v>Digital Payment</v>
      </c>
      <c r="P6246">
        <v>300.99</v>
      </c>
      <c r="Q6246" s="37" t="str">
        <f>IF(P6246&gt;500,"High","low")</f>
        <v>low</v>
      </c>
      <c r="R6246" s="37" t="str">
        <f t="shared" si="489"/>
        <v>AVERAGE</v>
      </c>
      <c r="S6246" t="s">
        <v>609</v>
      </c>
    </row>
    <row r="6247" spans="1:19" x14ac:dyDescent="0.2">
      <c r="A6247" t="s">
        <v>6858</v>
      </c>
      <c r="B6247" t="s">
        <v>90</v>
      </c>
      <c r="C6247" t="s">
        <v>614</v>
      </c>
      <c r="D6247">
        <v>877.05</v>
      </c>
      <c r="E6247" s="37" t="str">
        <f t="shared" si="485"/>
        <v xml:space="preserve"> </v>
      </c>
      <c r="F6247">
        <v>0.2</v>
      </c>
      <c r="G6247" s="37" t="str">
        <f t="shared" si="486"/>
        <v>Normal Discount</v>
      </c>
      <c r="H6247" s="37" t="str">
        <f t="shared" si="487"/>
        <v>Medium</v>
      </c>
      <c r="I6247">
        <v>9</v>
      </c>
      <c r="J6247" t="str" cm="1">
        <f t="array" ref="J6247">_xlfn.IFS(I6247&lt;=3,"small",I6247&lt;=6,"Medium",I6247&lt;=9,"Large")</f>
        <v>Large</v>
      </c>
      <c r="K6247" s="36">
        <v>45134</v>
      </c>
      <c r="L6247" s="36">
        <v>45139</v>
      </c>
      <c r="M6247" t="s">
        <v>603</v>
      </c>
      <c r="N6247" t="s">
        <v>599</v>
      </c>
      <c r="O6247" s="37" t="str">
        <f t="shared" si="488"/>
        <v>Digital Payment</v>
      </c>
      <c r="P6247">
        <v>150.79</v>
      </c>
      <c r="Q6247" s="37" t="str">
        <f>IF(P6247&gt;500,"High","low")</f>
        <v>low</v>
      </c>
      <c r="R6247" s="37" t="str">
        <f t="shared" si="489"/>
        <v>AVERAGE</v>
      </c>
      <c r="S6247" t="s">
        <v>628</v>
      </c>
    </row>
    <row r="6248" spans="1:19" x14ac:dyDescent="0.2">
      <c r="A6248" t="s">
        <v>6859</v>
      </c>
      <c r="B6248" t="s">
        <v>75</v>
      </c>
      <c r="C6248" t="s">
        <v>607</v>
      </c>
      <c r="D6248">
        <v>4139.92</v>
      </c>
      <c r="E6248" s="37" t="str">
        <f t="shared" si="485"/>
        <v>Excellent Order</v>
      </c>
      <c r="F6248">
        <v>0.32</v>
      </c>
      <c r="G6248" s="37" t="str">
        <f t="shared" si="486"/>
        <v>Heavy Discount</v>
      </c>
      <c r="H6248" s="37" t="str">
        <f t="shared" si="487"/>
        <v>Medium</v>
      </c>
      <c r="I6248">
        <v>9</v>
      </c>
      <c r="J6248" t="str" cm="1">
        <f t="array" ref="J6248">_xlfn.IFS(I6248&lt;=3,"small",I6248&lt;=6,"Medium",I6248&lt;=9,"Large")</f>
        <v>Large</v>
      </c>
      <c r="K6248" s="36">
        <v>45652</v>
      </c>
      <c r="L6248" s="36">
        <v>45658</v>
      </c>
      <c r="M6248" t="s">
        <v>612</v>
      </c>
      <c r="N6248" t="s">
        <v>599</v>
      </c>
      <c r="O6248" s="37" t="str">
        <f t="shared" si="488"/>
        <v>Digital Payment</v>
      </c>
      <c r="P6248">
        <v>941.42</v>
      </c>
      <c r="Q6248" s="37" t="str">
        <f>IF(P6248&gt;500,"High","low")</f>
        <v>High</v>
      </c>
      <c r="R6248" s="37" t="str">
        <f t="shared" si="489"/>
        <v>Good</v>
      </c>
      <c r="S6248" t="s">
        <v>628</v>
      </c>
    </row>
    <row r="6249" spans="1:19" x14ac:dyDescent="0.2">
      <c r="A6249" t="s">
        <v>6860</v>
      </c>
      <c r="B6249" t="s">
        <v>83</v>
      </c>
      <c r="C6249" t="s">
        <v>602</v>
      </c>
      <c r="D6249">
        <v>2210.29</v>
      </c>
      <c r="E6249" s="37" t="str">
        <f t="shared" si="485"/>
        <v xml:space="preserve"> </v>
      </c>
      <c r="F6249">
        <v>0.23</v>
      </c>
      <c r="G6249" s="37" t="str">
        <f t="shared" si="486"/>
        <v>Normal Discount</v>
      </c>
      <c r="H6249" s="37" t="str">
        <f t="shared" si="487"/>
        <v>Medium</v>
      </c>
      <c r="I6249">
        <v>7</v>
      </c>
      <c r="J6249" t="str" cm="1">
        <f t="array" ref="J6249">_xlfn.IFS(I6249&lt;=3,"small",I6249&lt;=6,"Medium",I6249&lt;=9,"Large")</f>
        <v>Large</v>
      </c>
      <c r="K6249" s="36">
        <v>45053</v>
      </c>
      <c r="L6249" s="36">
        <v>45056</v>
      </c>
      <c r="M6249" t="s">
        <v>612</v>
      </c>
      <c r="N6249" t="s">
        <v>599</v>
      </c>
      <c r="O6249" s="37" t="str">
        <f t="shared" si="488"/>
        <v>Digital Payment</v>
      </c>
      <c r="P6249">
        <v>391.25</v>
      </c>
      <c r="Q6249" s="37" t="str">
        <f>IF(P6249&gt;500,"High","low")</f>
        <v>low</v>
      </c>
      <c r="R6249" s="37" t="str">
        <f t="shared" si="489"/>
        <v>AVERAGE</v>
      </c>
      <c r="S6249" t="s">
        <v>620</v>
      </c>
    </row>
    <row r="6250" spans="1:19" x14ac:dyDescent="0.2">
      <c r="A6250" t="s">
        <v>6861</v>
      </c>
      <c r="B6250" t="s">
        <v>90</v>
      </c>
      <c r="C6250" t="s">
        <v>607</v>
      </c>
      <c r="D6250">
        <v>2011.56</v>
      </c>
      <c r="E6250" s="37" t="str">
        <f t="shared" si="485"/>
        <v xml:space="preserve"> </v>
      </c>
      <c r="F6250">
        <v>0.18</v>
      </c>
      <c r="G6250" s="37" t="str">
        <f t="shared" si="486"/>
        <v>Normal Discount</v>
      </c>
      <c r="H6250" s="37" t="str">
        <f t="shared" si="487"/>
        <v>Low</v>
      </c>
      <c r="I6250">
        <v>2</v>
      </c>
      <c r="J6250" t="str" cm="1">
        <f t="array" ref="J6250">_xlfn.IFS(I6250&lt;=3,"small",I6250&lt;=6,"Medium",I6250&lt;=9,"Large")</f>
        <v>small</v>
      </c>
      <c r="K6250" s="36">
        <v>44928</v>
      </c>
      <c r="L6250" s="36">
        <v>44933</v>
      </c>
      <c r="M6250" t="s">
        <v>603</v>
      </c>
      <c r="N6250" t="s">
        <v>599</v>
      </c>
      <c r="O6250" s="37" t="str">
        <f t="shared" si="488"/>
        <v>Digital Payment</v>
      </c>
      <c r="P6250">
        <v>556.96</v>
      </c>
      <c r="Q6250" s="37" t="str">
        <f>IF(P6250&gt;500,"High","low")</f>
        <v>High</v>
      </c>
      <c r="R6250" s="37" t="str">
        <f t="shared" si="489"/>
        <v>Good</v>
      </c>
      <c r="S6250" t="s">
        <v>615</v>
      </c>
    </row>
    <row r="6251" spans="1:19" x14ac:dyDescent="0.2">
      <c r="A6251" t="s">
        <v>6862</v>
      </c>
      <c r="B6251" t="s">
        <v>83</v>
      </c>
      <c r="C6251" t="s">
        <v>614</v>
      </c>
      <c r="D6251">
        <v>3360.37</v>
      </c>
      <c r="E6251" s="37" t="str">
        <f t="shared" si="485"/>
        <v xml:space="preserve"> </v>
      </c>
      <c r="F6251">
        <v>0.13</v>
      </c>
      <c r="G6251" s="37" t="str">
        <f t="shared" si="486"/>
        <v>Normal Discount</v>
      </c>
      <c r="H6251" s="37" t="str">
        <f t="shared" si="487"/>
        <v>Low</v>
      </c>
      <c r="I6251">
        <v>2</v>
      </c>
      <c r="J6251" t="str" cm="1">
        <f t="array" ref="J6251">_xlfn.IFS(I6251&lt;=3,"small",I6251&lt;=6,"Medium",I6251&lt;=9,"Large")</f>
        <v>small</v>
      </c>
      <c r="K6251" s="36">
        <v>45489</v>
      </c>
      <c r="L6251" s="36">
        <v>45490</v>
      </c>
      <c r="M6251" t="s">
        <v>598</v>
      </c>
      <c r="N6251" t="s">
        <v>599</v>
      </c>
      <c r="O6251" s="37" t="str">
        <f t="shared" si="488"/>
        <v>Digital Payment</v>
      </c>
      <c r="P6251">
        <v>986.76</v>
      </c>
      <c r="Q6251" s="37" t="str">
        <f>IF(P6251&gt;500,"High","low")</f>
        <v>High</v>
      </c>
      <c r="R6251" s="37" t="str">
        <f t="shared" si="489"/>
        <v>Good</v>
      </c>
      <c r="S6251" t="s">
        <v>600</v>
      </c>
    </row>
    <row r="6252" spans="1:19" x14ac:dyDescent="0.2">
      <c r="A6252" t="s">
        <v>6863</v>
      </c>
      <c r="B6252" t="s">
        <v>83</v>
      </c>
      <c r="C6252" t="s">
        <v>617</v>
      </c>
      <c r="D6252">
        <v>3817.51</v>
      </c>
      <c r="E6252" s="37" t="str">
        <f t="shared" si="485"/>
        <v xml:space="preserve"> </v>
      </c>
      <c r="F6252">
        <v>0.22</v>
      </c>
      <c r="G6252" s="37" t="str">
        <f t="shared" si="486"/>
        <v>Normal Discount</v>
      </c>
      <c r="H6252" s="37" t="str">
        <f t="shared" si="487"/>
        <v>Medium</v>
      </c>
      <c r="I6252">
        <v>4</v>
      </c>
      <c r="J6252" t="str" cm="1">
        <f t="array" ref="J6252">_xlfn.IFS(I6252&lt;=3,"small",I6252&lt;=6,"Medium",I6252&lt;=9,"Large")</f>
        <v>Medium</v>
      </c>
      <c r="K6252" s="36">
        <v>45286</v>
      </c>
      <c r="L6252" s="36">
        <v>45292</v>
      </c>
      <c r="M6252" t="s">
        <v>603</v>
      </c>
      <c r="N6252" t="s">
        <v>599</v>
      </c>
      <c r="O6252" s="37" t="str">
        <f t="shared" si="488"/>
        <v>Digital Payment</v>
      </c>
      <c r="P6252">
        <v>664.4</v>
      </c>
      <c r="Q6252" s="37" t="str">
        <f>IF(P6252&gt;500,"High","low")</f>
        <v>High</v>
      </c>
      <c r="R6252" s="37" t="str">
        <f t="shared" si="489"/>
        <v>Good</v>
      </c>
      <c r="S6252" t="s">
        <v>605</v>
      </c>
    </row>
    <row r="6253" spans="1:19" x14ac:dyDescent="0.2">
      <c r="A6253" t="s">
        <v>6864</v>
      </c>
      <c r="B6253" t="s">
        <v>75</v>
      </c>
      <c r="C6253" t="s">
        <v>614</v>
      </c>
      <c r="D6253">
        <v>407.92</v>
      </c>
      <c r="E6253" s="37" t="str">
        <f t="shared" si="485"/>
        <v xml:space="preserve"> </v>
      </c>
      <c r="F6253">
        <v>0.4</v>
      </c>
      <c r="G6253" s="37" t="str">
        <f t="shared" si="486"/>
        <v>Heavy Discount</v>
      </c>
      <c r="H6253" s="37" t="str">
        <f t="shared" si="487"/>
        <v>Medium</v>
      </c>
      <c r="I6253">
        <v>9</v>
      </c>
      <c r="J6253" t="str" cm="1">
        <f t="array" ref="J6253">_xlfn.IFS(I6253&lt;=3,"small",I6253&lt;=6,"Medium",I6253&lt;=9,"Large")</f>
        <v>Large</v>
      </c>
      <c r="K6253" s="36">
        <v>44943</v>
      </c>
      <c r="L6253" s="36">
        <v>44948</v>
      </c>
      <c r="M6253" t="s">
        <v>612</v>
      </c>
      <c r="N6253" t="s">
        <v>599</v>
      </c>
      <c r="O6253" s="37" t="str">
        <f t="shared" si="488"/>
        <v>Digital Payment</v>
      </c>
      <c r="P6253">
        <v>54.13</v>
      </c>
      <c r="Q6253" s="37" t="str">
        <f>IF(P6253&gt;500,"High","low")</f>
        <v>low</v>
      </c>
      <c r="R6253" s="37" t="str">
        <f t="shared" si="489"/>
        <v>AVERAGE</v>
      </c>
      <c r="S6253" t="s">
        <v>605</v>
      </c>
    </row>
    <row r="6254" spans="1:19" x14ac:dyDescent="0.2">
      <c r="A6254" t="s">
        <v>6865</v>
      </c>
      <c r="B6254" t="s">
        <v>90</v>
      </c>
      <c r="C6254" t="s">
        <v>617</v>
      </c>
      <c r="D6254">
        <v>3861.03</v>
      </c>
      <c r="E6254" s="37" t="str">
        <f t="shared" si="485"/>
        <v xml:space="preserve"> </v>
      </c>
      <c r="F6254">
        <v>0.42</v>
      </c>
      <c r="G6254" s="37" t="str">
        <f t="shared" si="486"/>
        <v>Heavy Discount</v>
      </c>
      <c r="H6254" s="37" t="str">
        <f t="shared" si="487"/>
        <v>High</v>
      </c>
      <c r="I6254">
        <v>7</v>
      </c>
      <c r="J6254" t="str" cm="1">
        <f t="array" ref="J6254">_xlfn.IFS(I6254&lt;=3,"small",I6254&lt;=6,"Medium",I6254&lt;=9,"Large")</f>
        <v>Large</v>
      </c>
      <c r="K6254" s="36">
        <v>45579</v>
      </c>
      <c r="L6254" s="36">
        <v>45585</v>
      </c>
      <c r="M6254" t="s">
        <v>598</v>
      </c>
      <c r="N6254" t="s">
        <v>608</v>
      </c>
      <c r="O6254" s="37" t="str">
        <f t="shared" si="488"/>
        <v>Cash Payment</v>
      </c>
      <c r="P6254">
        <v>585.98</v>
      </c>
      <c r="Q6254" s="37" t="str">
        <f>IF(P6254&gt;500,"High","low")</f>
        <v>High</v>
      </c>
      <c r="R6254" s="37" t="str">
        <f t="shared" si="489"/>
        <v>Good</v>
      </c>
      <c r="S6254" t="s">
        <v>620</v>
      </c>
    </row>
    <row r="6255" spans="1:19" x14ac:dyDescent="0.2">
      <c r="A6255" t="s">
        <v>6866</v>
      </c>
      <c r="B6255" t="s">
        <v>67</v>
      </c>
      <c r="C6255" t="s">
        <v>607</v>
      </c>
      <c r="D6255">
        <v>3696.31</v>
      </c>
      <c r="E6255" s="37" t="str">
        <f t="shared" si="485"/>
        <v xml:space="preserve"> </v>
      </c>
      <c r="F6255">
        <v>0.48</v>
      </c>
      <c r="G6255" s="37" t="str">
        <f t="shared" si="486"/>
        <v>Heavy Discount</v>
      </c>
      <c r="H6255" s="37" t="str">
        <f t="shared" si="487"/>
        <v>High</v>
      </c>
      <c r="I6255">
        <v>9</v>
      </c>
      <c r="J6255" t="str" cm="1">
        <f t="array" ref="J6255">_xlfn.IFS(I6255&lt;=3,"small",I6255&lt;=6,"Medium",I6255&lt;=9,"Large")</f>
        <v>Large</v>
      </c>
      <c r="K6255" s="36">
        <v>45108</v>
      </c>
      <c r="L6255" s="36">
        <v>45111</v>
      </c>
      <c r="M6255" t="s">
        <v>598</v>
      </c>
      <c r="N6255" t="s">
        <v>604</v>
      </c>
      <c r="O6255" s="37" t="str">
        <f t="shared" si="488"/>
        <v>Digital Payment</v>
      </c>
      <c r="P6255">
        <v>811.88</v>
      </c>
      <c r="Q6255" s="37" t="str">
        <f>IF(P6255&gt;500,"High","low")</f>
        <v>High</v>
      </c>
      <c r="R6255" s="37" t="str">
        <f t="shared" si="489"/>
        <v>Good</v>
      </c>
      <c r="S6255" t="s">
        <v>615</v>
      </c>
    </row>
    <row r="6256" spans="1:19" x14ac:dyDescent="0.2">
      <c r="A6256" t="s">
        <v>6867</v>
      </c>
      <c r="B6256" t="s">
        <v>83</v>
      </c>
      <c r="C6256" t="s">
        <v>607</v>
      </c>
      <c r="D6256">
        <v>2987.13</v>
      </c>
      <c r="E6256" s="37" t="str">
        <f t="shared" si="485"/>
        <v xml:space="preserve"> </v>
      </c>
      <c r="F6256">
        <v>0.15</v>
      </c>
      <c r="G6256" s="37" t="str">
        <f t="shared" si="486"/>
        <v>Normal Discount</v>
      </c>
      <c r="H6256" s="37" t="str">
        <f t="shared" si="487"/>
        <v>Low</v>
      </c>
      <c r="I6256">
        <v>4</v>
      </c>
      <c r="J6256" t="str" cm="1">
        <f t="array" ref="J6256">_xlfn.IFS(I6256&lt;=3,"small",I6256&lt;=6,"Medium",I6256&lt;=9,"Large")</f>
        <v>Medium</v>
      </c>
      <c r="K6256" s="36">
        <v>45310</v>
      </c>
      <c r="L6256" s="36">
        <v>45317</v>
      </c>
      <c r="M6256" t="s">
        <v>603</v>
      </c>
      <c r="N6256" t="s">
        <v>604</v>
      </c>
      <c r="O6256" s="37" t="str">
        <f t="shared" si="488"/>
        <v>Digital Payment</v>
      </c>
      <c r="P6256">
        <v>691.71</v>
      </c>
      <c r="Q6256" s="37" t="str">
        <f>IF(P6256&gt;500,"High","low")</f>
        <v>High</v>
      </c>
      <c r="R6256" s="37" t="str">
        <f t="shared" si="489"/>
        <v>Good</v>
      </c>
      <c r="S6256" t="s">
        <v>609</v>
      </c>
    </row>
    <row r="6257" spans="1:19" x14ac:dyDescent="0.2">
      <c r="A6257" t="s">
        <v>6868</v>
      </c>
      <c r="B6257" t="s">
        <v>83</v>
      </c>
      <c r="C6257" t="s">
        <v>614</v>
      </c>
      <c r="D6257">
        <v>1758.25</v>
      </c>
      <c r="E6257" s="37" t="str">
        <f t="shared" si="485"/>
        <v xml:space="preserve"> </v>
      </c>
      <c r="F6257">
        <v>0.33</v>
      </c>
      <c r="G6257" s="37" t="str">
        <f t="shared" si="486"/>
        <v>Heavy Discount</v>
      </c>
      <c r="H6257" s="37" t="str">
        <f t="shared" si="487"/>
        <v>Medium</v>
      </c>
      <c r="I6257">
        <v>9</v>
      </c>
      <c r="J6257" t="str" cm="1">
        <f t="array" ref="J6257">_xlfn.IFS(I6257&lt;=3,"small",I6257&lt;=6,"Medium",I6257&lt;=9,"Large")</f>
        <v>Large</v>
      </c>
      <c r="K6257" s="36">
        <v>45153</v>
      </c>
      <c r="L6257" s="36">
        <v>45159</v>
      </c>
      <c r="M6257" t="s">
        <v>603</v>
      </c>
      <c r="N6257" t="s">
        <v>608</v>
      </c>
      <c r="O6257" s="37" t="str">
        <f t="shared" si="488"/>
        <v>Cash Payment</v>
      </c>
      <c r="P6257">
        <v>254.1</v>
      </c>
      <c r="Q6257" s="37" t="str">
        <f>IF(P6257&gt;500,"High","low")</f>
        <v>low</v>
      </c>
      <c r="R6257" s="37" t="str">
        <f t="shared" si="489"/>
        <v>AVERAGE</v>
      </c>
      <c r="S6257" t="s">
        <v>628</v>
      </c>
    </row>
    <row r="6258" spans="1:19" x14ac:dyDescent="0.2">
      <c r="A6258" t="s">
        <v>6869</v>
      </c>
      <c r="B6258" t="s">
        <v>67</v>
      </c>
      <c r="C6258" t="s">
        <v>614</v>
      </c>
      <c r="D6258">
        <v>907.53</v>
      </c>
      <c r="E6258" s="37" t="str">
        <f t="shared" si="485"/>
        <v xml:space="preserve"> </v>
      </c>
      <c r="F6258">
        <v>0.35</v>
      </c>
      <c r="G6258" s="37" t="str">
        <f t="shared" si="486"/>
        <v>Heavy Discount</v>
      </c>
      <c r="H6258" s="37" t="str">
        <f t="shared" si="487"/>
        <v>Medium</v>
      </c>
      <c r="I6258">
        <v>7</v>
      </c>
      <c r="J6258" t="str" cm="1">
        <f t="array" ref="J6258">_xlfn.IFS(I6258&lt;=3,"small",I6258&lt;=6,"Medium",I6258&lt;=9,"Large")</f>
        <v>Large</v>
      </c>
      <c r="K6258" s="36">
        <v>45591</v>
      </c>
      <c r="L6258" s="36">
        <v>45595</v>
      </c>
      <c r="M6258" t="s">
        <v>603</v>
      </c>
      <c r="N6258" t="s">
        <v>599</v>
      </c>
      <c r="O6258" s="37" t="str">
        <f t="shared" si="488"/>
        <v>Digital Payment</v>
      </c>
      <c r="P6258">
        <v>237.4</v>
      </c>
      <c r="Q6258" s="37" t="str">
        <f>IF(P6258&gt;500,"High","low")</f>
        <v>low</v>
      </c>
      <c r="R6258" s="37" t="str">
        <f t="shared" si="489"/>
        <v>AVERAGE</v>
      </c>
      <c r="S6258" t="s">
        <v>600</v>
      </c>
    </row>
    <row r="6259" spans="1:19" x14ac:dyDescent="0.2">
      <c r="A6259" t="s">
        <v>6870</v>
      </c>
      <c r="B6259" t="s">
        <v>90</v>
      </c>
      <c r="C6259" t="s">
        <v>597</v>
      </c>
      <c r="D6259">
        <v>603</v>
      </c>
      <c r="E6259" s="37" t="str">
        <f t="shared" si="485"/>
        <v xml:space="preserve"> </v>
      </c>
      <c r="F6259">
        <v>0.1</v>
      </c>
      <c r="G6259" s="37" t="str">
        <f t="shared" si="486"/>
        <v>Normal Discount</v>
      </c>
      <c r="H6259" s="37" t="str">
        <f t="shared" si="487"/>
        <v>Low</v>
      </c>
      <c r="I6259">
        <v>8</v>
      </c>
      <c r="J6259" t="str" cm="1">
        <f t="array" ref="J6259">_xlfn.IFS(I6259&lt;=3,"small",I6259&lt;=6,"Medium",I6259&lt;=9,"Large")</f>
        <v>Large</v>
      </c>
      <c r="K6259" s="36">
        <v>45640</v>
      </c>
      <c r="L6259" s="36">
        <v>45643</v>
      </c>
      <c r="M6259" t="s">
        <v>598</v>
      </c>
      <c r="N6259" t="s">
        <v>599</v>
      </c>
      <c r="O6259" s="37" t="str">
        <f t="shared" si="488"/>
        <v>Digital Payment</v>
      </c>
      <c r="P6259">
        <v>49.15</v>
      </c>
      <c r="Q6259" s="37" t="str">
        <f>IF(P6259&gt;500,"High","low")</f>
        <v>low</v>
      </c>
      <c r="R6259" s="37" t="str">
        <f t="shared" si="489"/>
        <v>AVERAGE</v>
      </c>
      <c r="S6259" t="s">
        <v>628</v>
      </c>
    </row>
    <row r="6260" spans="1:19" x14ac:dyDescent="0.2">
      <c r="A6260" t="s">
        <v>6871</v>
      </c>
      <c r="B6260" t="s">
        <v>83</v>
      </c>
      <c r="C6260" t="s">
        <v>617</v>
      </c>
      <c r="D6260">
        <v>105.8</v>
      </c>
      <c r="E6260" s="37" t="str">
        <f t="shared" si="485"/>
        <v xml:space="preserve"> </v>
      </c>
      <c r="F6260">
        <v>0.18</v>
      </c>
      <c r="G6260" s="37" t="str">
        <f t="shared" si="486"/>
        <v>Normal Discount</v>
      </c>
      <c r="H6260" s="37" t="str">
        <f t="shared" si="487"/>
        <v>Low</v>
      </c>
      <c r="I6260">
        <v>1</v>
      </c>
      <c r="J6260" t="str" cm="1">
        <f t="array" ref="J6260">_xlfn.IFS(I6260&lt;=3,"small",I6260&lt;=6,"Medium",I6260&lt;=9,"Large")</f>
        <v>small</v>
      </c>
      <c r="K6260" s="36">
        <v>45035</v>
      </c>
      <c r="L6260" s="36">
        <v>45039</v>
      </c>
      <c r="M6260" t="s">
        <v>598</v>
      </c>
      <c r="N6260" t="s">
        <v>608</v>
      </c>
      <c r="O6260" s="37" t="str">
        <f t="shared" si="488"/>
        <v>Cash Payment</v>
      </c>
      <c r="P6260">
        <v>5.92</v>
      </c>
      <c r="Q6260" s="37" t="str">
        <f>IF(P6260&gt;500,"High","low")</f>
        <v>low</v>
      </c>
      <c r="R6260" s="37" t="str">
        <f t="shared" si="489"/>
        <v>AVERAGE</v>
      </c>
      <c r="S6260" t="s">
        <v>605</v>
      </c>
    </row>
    <row r="6261" spans="1:19" x14ac:dyDescent="0.2">
      <c r="A6261" t="s">
        <v>6872</v>
      </c>
      <c r="B6261" t="s">
        <v>83</v>
      </c>
      <c r="C6261" t="s">
        <v>597</v>
      </c>
      <c r="D6261">
        <v>1111.6500000000001</v>
      </c>
      <c r="E6261" s="37" t="str">
        <f t="shared" si="485"/>
        <v xml:space="preserve"> </v>
      </c>
      <c r="F6261">
        <v>0.17</v>
      </c>
      <c r="G6261" s="37" t="str">
        <f t="shared" si="486"/>
        <v>Normal Discount</v>
      </c>
      <c r="H6261" s="37" t="str">
        <f t="shared" si="487"/>
        <v>Low</v>
      </c>
      <c r="I6261">
        <v>9</v>
      </c>
      <c r="J6261" t="str" cm="1">
        <f t="array" ref="J6261">_xlfn.IFS(I6261&lt;=3,"small",I6261&lt;=6,"Medium",I6261&lt;=9,"Large")</f>
        <v>Large</v>
      </c>
      <c r="K6261" s="36">
        <v>45513</v>
      </c>
      <c r="L6261" s="36">
        <v>45519</v>
      </c>
      <c r="M6261" t="s">
        <v>603</v>
      </c>
      <c r="N6261" t="s">
        <v>604</v>
      </c>
      <c r="O6261" s="37" t="str">
        <f t="shared" si="488"/>
        <v>Digital Payment</v>
      </c>
      <c r="P6261">
        <v>327.87</v>
      </c>
      <c r="Q6261" s="37" t="str">
        <f>IF(P6261&gt;500,"High","low")</f>
        <v>low</v>
      </c>
      <c r="R6261" s="37" t="str">
        <f t="shared" si="489"/>
        <v>AVERAGE</v>
      </c>
      <c r="S6261" t="s">
        <v>600</v>
      </c>
    </row>
    <row r="6262" spans="1:19" x14ac:dyDescent="0.2">
      <c r="A6262" t="s">
        <v>6873</v>
      </c>
      <c r="B6262" t="s">
        <v>83</v>
      </c>
      <c r="C6262" t="s">
        <v>602</v>
      </c>
      <c r="D6262">
        <v>2115.5500000000002</v>
      </c>
      <c r="E6262" s="37" t="str">
        <f t="shared" si="485"/>
        <v xml:space="preserve"> </v>
      </c>
      <c r="F6262">
        <v>0.49</v>
      </c>
      <c r="G6262" s="37" t="str">
        <f t="shared" si="486"/>
        <v>Heavy Discount</v>
      </c>
      <c r="H6262" s="37" t="str">
        <f t="shared" si="487"/>
        <v>High</v>
      </c>
      <c r="I6262">
        <v>8</v>
      </c>
      <c r="J6262" t="str" cm="1">
        <f t="array" ref="J6262">_xlfn.IFS(I6262&lt;=3,"small",I6262&lt;=6,"Medium",I6262&lt;=9,"Large")</f>
        <v>Large</v>
      </c>
      <c r="K6262" s="36">
        <v>45516</v>
      </c>
      <c r="L6262" s="36">
        <v>45522</v>
      </c>
      <c r="M6262" t="s">
        <v>612</v>
      </c>
      <c r="N6262" t="s">
        <v>608</v>
      </c>
      <c r="O6262" s="37" t="str">
        <f t="shared" si="488"/>
        <v>Cash Payment</v>
      </c>
      <c r="P6262">
        <v>592.52</v>
      </c>
      <c r="Q6262" s="37" t="str">
        <f>IF(P6262&gt;500,"High","low")</f>
        <v>High</v>
      </c>
      <c r="R6262" s="37" t="str">
        <f t="shared" si="489"/>
        <v>Good</v>
      </c>
      <c r="S6262" t="s">
        <v>605</v>
      </c>
    </row>
    <row r="6263" spans="1:19" x14ac:dyDescent="0.2">
      <c r="A6263" t="s">
        <v>6874</v>
      </c>
      <c r="B6263" t="s">
        <v>90</v>
      </c>
      <c r="C6263" t="s">
        <v>602</v>
      </c>
      <c r="D6263">
        <v>1293.8599999999999</v>
      </c>
      <c r="E6263" s="37" t="str">
        <f t="shared" si="485"/>
        <v xml:space="preserve"> </v>
      </c>
      <c r="F6263">
        <v>0.48</v>
      </c>
      <c r="G6263" s="37" t="str">
        <f t="shared" si="486"/>
        <v>Heavy Discount</v>
      </c>
      <c r="H6263" s="37" t="str">
        <f t="shared" si="487"/>
        <v>High</v>
      </c>
      <c r="I6263">
        <v>1</v>
      </c>
      <c r="J6263" t="str" cm="1">
        <f t="array" ref="J6263">_xlfn.IFS(I6263&lt;=3,"small",I6263&lt;=6,"Medium",I6263&lt;=9,"Large")</f>
        <v>small</v>
      </c>
      <c r="K6263" s="36">
        <v>45536</v>
      </c>
      <c r="L6263" s="36">
        <v>45539</v>
      </c>
      <c r="M6263" t="s">
        <v>598</v>
      </c>
      <c r="N6263" t="s">
        <v>599</v>
      </c>
      <c r="O6263" s="37" t="str">
        <f t="shared" si="488"/>
        <v>Digital Payment</v>
      </c>
      <c r="P6263">
        <v>163.6</v>
      </c>
      <c r="Q6263" s="37" t="str">
        <f>IF(P6263&gt;500,"High","low")</f>
        <v>low</v>
      </c>
      <c r="R6263" s="37" t="str">
        <f t="shared" si="489"/>
        <v>AVERAGE</v>
      </c>
      <c r="S6263" t="s">
        <v>615</v>
      </c>
    </row>
    <row r="6264" spans="1:19" x14ac:dyDescent="0.2">
      <c r="A6264" t="s">
        <v>6875</v>
      </c>
      <c r="B6264" t="s">
        <v>90</v>
      </c>
      <c r="C6264" t="s">
        <v>614</v>
      </c>
      <c r="D6264">
        <v>1614</v>
      </c>
      <c r="E6264" s="37" t="str">
        <f t="shared" si="485"/>
        <v xml:space="preserve"> </v>
      </c>
      <c r="F6264">
        <v>0.41</v>
      </c>
      <c r="G6264" s="37" t="str">
        <f t="shared" si="486"/>
        <v>Heavy Discount</v>
      </c>
      <c r="H6264" s="37" t="str">
        <f t="shared" si="487"/>
        <v>High</v>
      </c>
      <c r="I6264">
        <v>8</v>
      </c>
      <c r="J6264" t="str" cm="1">
        <f t="array" ref="J6264">_xlfn.IFS(I6264&lt;=3,"small",I6264&lt;=6,"Medium",I6264&lt;=9,"Large")</f>
        <v>Large</v>
      </c>
      <c r="K6264" s="36">
        <v>45076</v>
      </c>
      <c r="L6264" s="36">
        <v>45079</v>
      </c>
      <c r="M6264" t="s">
        <v>612</v>
      </c>
      <c r="N6264" t="s">
        <v>604</v>
      </c>
      <c r="O6264" s="37" t="str">
        <f t="shared" si="488"/>
        <v>Digital Payment</v>
      </c>
      <c r="P6264">
        <v>466.45</v>
      </c>
      <c r="Q6264" s="37" t="str">
        <f>IF(P6264&gt;500,"High","low")</f>
        <v>low</v>
      </c>
      <c r="R6264" s="37" t="str">
        <f t="shared" si="489"/>
        <v>AVERAGE</v>
      </c>
      <c r="S6264" t="s">
        <v>605</v>
      </c>
    </row>
    <row r="6265" spans="1:19" x14ac:dyDescent="0.2">
      <c r="A6265" t="s">
        <v>6876</v>
      </c>
      <c r="B6265" t="s">
        <v>67</v>
      </c>
      <c r="C6265" t="s">
        <v>607</v>
      </c>
      <c r="D6265">
        <v>2013.22</v>
      </c>
      <c r="E6265" s="37" t="str">
        <f t="shared" si="485"/>
        <v xml:space="preserve"> </v>
      </c>
      <c r="F6265">
        <v>0.24</v>
      </c>
      <c r="G6265" s="37" t="str">
        <f t="shared" si="486"/>
        <v>Normal Discount</v>
      </c>
      <c r="H6265" s="37" t="str">
        <f t="shared" si="487"/>
        <v>Medium</v>
      </c>
      <c r="I6265">
        <v>5</v>
      </c>
      <c r="J6265" t="str" cm="1">
        <f t="array" ref="J6265">_xlfn.IFS(I6265&lt;=3,"small",I6265&lt;=6,"Medium",I6265&lt;=9,"Large")</f>
        <v>Medium</v>
      </c>
      <c r="K6265" s="36">
        <v>45354</v>
      </c>
      <c r="L6265" s="36">
        <v>45358</v>
      </c>
      <c r="M6265" t="s">
        <v>603</v>
      </c>
      <c r="N6265" t="s">
        <v>608</v>
      </c>
      <c r="O6265" s="37" t="str">
        <f t="shared" si="488"/>
        <v>Cash Payment</v>
      </c>
      <c r="P6265">
        <v>258.14999999999998</v>
      </c>
      <c r="Q6265" s="37" t="str">
        <f>IF(P6265&gt;500,"High","low")</f>
        <v>low</v>
      </c>
      <c r="R6265" s="37" t="str">
        <f t="shared" si="489"/>
        <v>AVERAGE</v>
      </c>
      <c r="S6265" t="s">
        <v>620</v>
      </c>
    </row>
    <row r="6266" spans="1:19" x14ac:dyDescent="0.2">
      <c r="A6266" t="s">
        <v>6877</v>
      </c>
      <c r="B6266" t="s">
        <v>90</v>
      </c>
      <c r="C6266" t="s">
        <v>602</v>
      </c>
      <c r="D6266">
        <v>1610.49</v>
      </c>
      <c r="E6266" s="37" t="str">
        <f t="shared" si="485"/>
        <v xml:space="preserve"> </v>
      </c>
      <c r="F6266">
        <v>0.13</v>
      </c>
      <c r="G6266" s="37" t="str">
        <f t="shared" si="486"/>
        <v>Normal Discount</v>
      </c>
      <c r="H6266" s="37" t="str">
        <f t="shared" si="487"/>
        <v>Low</v>
      </c>
      <c r="I6266">
        <v>3</v>
      </c>
      <c r="J6266" t="str" cm="1">
        <f t="array" ref="J6266">_xlfn.IFS(I6266&lt;=3,"small",I6266&lt;=6,"Medium",I6266&lt;=9,"Large")</f>
        <v>small</v>
      </c>
      <c r="K6266" s="36">
        <v>45570</v>
      </c>
      <c r="L6266" s="36">
        <v>45571</v>
      </c>
      <c r="M6266" t="s">
        <v>603</v>
      </c>
      <c r="N6266" t="s">
        <v>604</v>
      </c>
      <c r="O6266" s="37" t="str">
        <f t="shared" si="488"/>
        <v>Digital Payment</v>
      </c>
      <c r="P6266">
        <v>270.58</v>
      </c>
      <c r="Q6266" s="37" t="str">
        <f>IF(P6266&gt;500,"High","low")</f>
        <v>low</v>
      </c>
      <c r="R6266" s="37" t="str">
        <f t="shared" si="489"/>
        <v>AVERAGE</v>
      </c>
      <c r="S6266" t="s">
        <v>620</v>
      </c>
    </row>
    <row r="6267" spans="1:19" x14ac:dyDescent="0.2">
      <c r="A6267" t="s">
        <v>6878</v>
      </c>
      <c r="B6267" t="s">
        <v>90</v>
      </c>
      <c r="C6267" t="s">
        <v>602</v>
      </c>
      <c r="D6267">
        <v>3650.64</v>
      </c>
      <c r="E6267" s="37" t="str">
        <f t="shared" si="485"/>
        <v xml:space="preserve"> </v>
      </c>
      <c r="F6267">
        <v>0.46</v>
      </c>
      <c r="G6267" s="37" t="str">
        <f t="shared" si="486"/>
        <v>Heavy Discount</v>
      </c>
      <c r="H6267" s="37" t="str">
        <f t="shared" si="487"/>
        <v>High</v>
      </c>
      <c r="I6267">
        <v>8</v>
      </c>
      <c r="J6267" t="str" cm="1">
        <f t="array" ref="J6267">_xlfn.IFS(I6267&lt;=3,"small",I6267&lt;=6,"Medium",I6267&lt;=9,"Large")</f>
        <v>Large</v>
      </c>
      <c r="K6267" s="36">
        <v>45290</v>
      </c>
      <c r="L6267" s="36">
        <v>45293</v>
      </c>
      <c r="M6267" t="s">
        <v>612</v>
      </c>
      <c r="N6267" t="s">
        <v>599</v>
      </c>
      <c r="O6267" s="37" t="str">
        <f t="shared" si="488"/>
        <v>Digital Payment</v>
      </c>
      <c r="P6267">
        <v>664.76</v>
      </c>
      <c r="Q6267" s="37" t="str">
        <f>IF(P6267&gt;500,"High","low")</f>
        <v>High</v>
      </c>
      <c r="R6267" s="37" t="str">
        <f t="shared" si="489"/>
        <v>Good</v>
      </c>
      <c r="S6267" t="s">
        <v>609</v>
      </c>
    </row>
    <row r="6268" spans="1:19" x14ac:dyDescent="0.2">
      <c r="A6268" t="s">
        <v>6879</v>
      </c>
      <c r="B6268" t="s">
        <v>75</v>
      </c>
      <c r="C6268" t="s">
        <v>597</v>
      </c>
      <c r="D6268">
        <v>2509.46</v>
      </c>
      <c r="E6268" s="37" t="str">
        <f t="shared" si="485"/>
        <v xml:space="preserve"> </v>
      </c>
      <c r="F6268">
        <v>0.13</v>
      </c>
      <c r="G6268" s="37" t="str">
        <f t="shared" si="486"/>
        <v>Normal Discount</v>
      </c>
      <c r="H6268" s="37" t="str">
        <f t="shared" si="487"/>
        <v>Low</v>
      </c>
      <c r="I6268">
        <v>3</v>
      </c>
      <c r="J6268" t="str" cm="1">
        <f t="array" ref="J6268">_xlfn.IFS(I6268&lt;=3,"small",I6268&lt;=6,"Medium",I6268&lt;=9,"Large")</f>
        <v>small</v>
      </c>
      <c r="K6268" s="36">
        <v>45080</v>
      </c>
      <c r="L6268" s="36">
        <v>45083</v>
      </c>
      <c r="M6268" t="s">
        <v>603</v>
      </c>
      <c r="N6268" t="s">
        <v>599</v>
      </c>
      <c r="O6268" s="37" t="str">
        <f t="shared" si="488"/>
        <v>Digital Payment</v>
      </c>
      <c r="P6268">
        <v>526.16</v>
      </c>
      <c r="Q6268" s="37" t="str">
        <f>IF(P6268&gt;500,"High","low")</f>
        <v>High</v>
      </c>
      <c r="R6268" s="37" t="str">
        <f t="shared" si="489"/>
        <v>Good</v>
      </c>
      <c r="S6268" t="s">
        <v>600</v>
      </c>
    </row>
    <row r="6269" spans="1:19" x14ac:dyDescent="0.2">
      <c r="A6269" t="s">
        <v>6880</v>
      </c>
      <c r="B6269" t="s">
        <v>67</v>
      </c>
      <c r="C6269" t="s">
        <v>597</v>
      </c>
      <c r="D6269">
        <v>194.7</v>
      </c>
      <c r="E6269" s="37" t="str">
        <f t="shared" si="485"/>
        <v xml:space="preserve"> </v>
      </c>
      <c r="F6269">
        <v>0.26</v>
      </c>
      <c r="G6269" s="37" t="str">
        <f t="shared" si="486"/>
        <v>Normal Discount</v>
      </c>
      <c r="H6269" s="37" t="str">
        <f t="shared" si="487"/>
        <v>Medium</v>
      </c>
      <c r="I6269">
        <v>8</v>
      </c>
      <c r="J6269" t="str" cm="1">
        <f t="array" ref="J6269">_xlfn.IFS(I6269&lt;=3,"small",I6269&lt;=6,"Medium",I6269&lt;=9,"Large")</f>
        <v>Large</v>
      </c>
      <c r="K6269" s="36">
        <v>45567</v>
      </c>
      <c r="L6269" s="36">
        <v>45573</v>
      </c>
      <c r="M6269" t="s">
        <v>612</v>
      </c>
      <c r="N6269" t="s">
        <v>599</v>
      </c>
      <c r="O6269" s="37" t="str">
        <f t="shared" si="488"/>
        <v>Digital Payment</v>
      </c>
      <c r="P6269">
        <v>35.32</v>
      </c>
      <c r="Q6269" s="37" t="str">
        <f>IF(P6269&gt;500,"High","low")</f>
        <v>low</v>
      </c>
      <c r="R6269" s="37" t="str">
        <f t="shared" si="489"/>
        <v>AVERAGE</v>
      </c>
      <c r="S6269" t="s">
        <v>628</v>
      </c>
    </row>
    <row r="6270" spans="1:19" x14ac:dyDescent="0.2">
      <c r="A6270" t="s">
        <v>6881</v>
      </c>
      <c r="B6270" t="s">
        <v>83</v>
      </c>
      <c r="C6270" t="s">
        <v>602</v>
      </c>
      <c r="D6270">
        <v>1210.67</v>
      </c>
      <c r="E6270" s="37" t="str">
        <f t="shared" si="485"/>
        <v xml:space="preserve"> </v>
      </c>
      <c r="F6270">
        <v>0.12</v>
      </c>
      <c r="G6270" s="37" t="str">
        <f t="shared" si="486"/>
        <v>Normal Discount</v>
      </c>
      <c r="H6270" s="37" t="str">
        <f t="shared" si="487"/>
        <v>Low</v>
      </c>
      <c r="I6270">
        <v>5</v>
      </c>
      <c r="J6270" t="str" cm="1">
        <f t="array" ref="J6270">_xlfn.IFS(I6270&lt;=3,"small",I6270&lt;=6,"Medium",I6270&lt;=9,"Large")</f>
        <v>Medium</v>
      </c>
      <c r="K6270" s="36">
        <v>44936</v>
      </c>
      <c r="L6270" s="36">
        <v>44938</v>
      </c>
      <c r="M6270" t="s">
        <v>612</v>
      </c>
      <c r="N6270" t="s">
        <v>608</v>
      </c>
      <c r="O6270" s="37" t="str">
        <f t="shared" si="488"/>
        <v>Cash Payment</v>
      </c>
      <c r="P6270">
        <v>336.39</v>
      </c>
      <c r="Q6270" s="37" t="str">
        <f>IF(P6270&gt;500,"High","low")</f>
        <v>low</v>
      </c>
      <c r="R6270" s="37" t="str">
        <f t="shared" si="489"/>
        <v>AVERAGE</v>
      </c>
      <c r="S6270" t="s">
        <v>628</v>
      </c>
    </row>
    <row r="6271" spans="1:19" x14ac:dyDescent="0.2">
      <c r="A6271" t="s">
        <v>6882</v>
      </c>
      <c r="B6271" t="s">
        <v>90</v>
      </c>
      <c r="C6271" t="s">
        <v>614</v>
      </c>
      <c r="D6271">
        <v>3577.33</v>
      </c>
      <c r="E6271" s="37" t="str">
        <f t="shared" si="485"/>
        <v xml:space="preserve"> </v>
      </c>
      <c r="F6271">
        <v>0.49</v>
      </c>
      <c r="G6271" s="37" t="str">
        <f t="shared" si="486"/>
        <v>Heavy Discount</v>
      </c>
      <c r="H6271" s="37" t="str">
        <f t="shared" si="487"/>
        <v>High</v>
      </c>
      <c r="I6271">
        <v>8</v>
      </c>
      <c r="J6271" t="str" cm="1">
        <f t="array" ref="J6271">_xlfn.IFS(I6271&lt;=3,"small",I6271&lt;=6,"Medium",I6271&lt;=9,"Large")</f>
        <v>Large</v>
      </c>
      <c r="K6271" s="36">
        <v>45538</v>
      </c>
      <c r="L6271" s="36">
        <v>45545</v>
      </c>
      <c r="M6271" t="s">
        <v>598</v>
      </c>
      <c r="N6271" t="s">
        <v>599</v>
      </c>
      <c r="O6271" s="37" t="str">
        <f t="shared" si="488"/>
        <v>Digital Payment</v>
      </c>
      <c r="P6271">
        <v>679.6</v>
      </c>
      <c r="Q6271" s="37" t="str">
        <f>IF(P6271&gt;500,"High","low")</f>
        <v>High</v>
      </c>
      <c r="R6271" s="37" t="str">
        <f t="shared" si="489"/>
        <v>Good</v>
      </c>
      <c r="S6271" t="s">
        <v>605</v>
      </c>
    </row>
    <row r="6272" spans="1:19" x14ac:dyDescent="0.2">
      <c r="A6272" t="s">
        <v>6883</v>
      </c>
      <c r="B6272" t="s">
        <v>83</v>
      </c>
      <c r="C6272" t="s">
        <v>597</v>
      </c>
      <c r="D6272">
        <v>1574.56</v>
      </c>
      <c r="E6272" s="37" t="str">
        <f t="shared" si="485"/>
        <v xml:space="preserve"> </v>
      </c>
      <c r="F6272">
        <v>0.02</v>
      </c>
      <c r="G6272" s="37" t="str">
        <f t="shared" si="486"/>
        <v>Normal Discount</v>
      </c>
      <c r="H6272" s="37" t="str">
        <f t="shared" si="487"/>
        <v>Low</v>
      </c>
      <c r="I6272">
        <v>3</v>
      </c>
      <c r="J6272" t="str" cm="1">
        <f t="array" ref="J6272">_xlfn.IFS(I6272&lt;=3,"small",I6272&lt;=6,"Medium",I6272&lt;=9,"Large")</f>
        <v>small</v>
      </c>
      <c r="K6272" s="36">
        <v>44928</v>
      </c>
      <c r="L6272" s="36">
        <v>44933</v>
      </c>
      <c r="M6272" t="s">
        <v>612</v>
      </c>
      <c r="N6272" t="s">
        <v>604</v>
      </c>
      <c r="O6272" s="37" t="str">
        <f t="shared" si="488"/>
        <v>Digital Payment</v>
      </c>
      <c r="P6272">
        <v>90.59</v>
      </c>
      <c r="Q6272" s="37" t="str">
        <f>IF(P6272&gt;500,"High","low")</f>
        <v>low</v>
      </c>
      <c r="R6272" s="37" t="str">
        <f t="shared" si="489"/>
        <v>AVERAGE</v>
      </c>
      <c r="S6272" t="s">
        <v>609</v>
      </c>
    </row>
    <row r="6273" spans="1:19" x14ac:dyDescent="0.2">
      <c r="A6273" t="s">
        <v>6884</v>
      </c>
      <c r="B6273" t="s">
        <v>83</v>
      </c>
      <c r="C6273" t="s">
        <v>602</v>
      </c>
      <c r="D6273">
        <v>4608.6899999999996</v>
      </c>
      <c r="E6273" s="37" t="str">
        <f t="shared" si="485"/>
        <v xml:space="preserve"> </v>
      </c>
      <c r="F6273">
        <v>0.09</v>
      </c>
      <c r="G6273" s="37" t="str">
        <f t="shared" si="486"/>
        <v>Normal Discount</v>
      </c>
      <c r="H6273" s="37" t="str">
        <f t="shared" si="487"/>
        <v>Low</v>
      </c>
      <c r="I6273">
        <v>6</v>
      </c>
      <c r="J6273" t="str" cm="1">
        <f t="array" ref="J6273">_xlfn.IFS(I6273&lt;=3,"small",I6273&lt;=6,"Medium",I6273&lt;=9,"Large")</f>
        <v>Medium</v>
      </c>
      <c r="K6273" s="36">
        <v>45467</v>
      </c>
      <c r="L6273" s="36">
        <v>45469</v>
      </c>
      <c r="M6273" t="s">
        <v>603</v>
      </c>
      <c r="N6273" t="s">
        <v>604</v>
      </c>
      <c r="O6273" s="37" t="str">
        <f t="shared" si="488"/>
        <v>Digital Payment</v>
      </c>
      <c r="P6273">
        <v>433.93</v>
      </c>
      <c r="Q6273" s="37" t="str">
        <f>IF(P6273&gt;500,"High","low")</f>
        <v>low</v>
      </c>
      <c r="R6273" s="37" t="str">
        <f t="shared" si="489"/>
        <v>AVERAGE</v>
      </c>
      <c r="S6273" t="s">
        <v>600</v>
      </c>
    </row>
    <row r="6274" spans="1:19" x14ac:dyDescent="0.2">
      <c r="A6274" t="s">
        <v>6885</v>
      </c>
      <c r="B6274" t="s">
        <v>75</v>
      </c>
      <c r="C6274" t="s">
        <v>607</v>
      </c>
      <c r="D6274">
        <v>3592.05</v>
      </c>
      <c r="E6274" s="37" t="str">
        <f t="shared" si="485"/>
        <v xml:space="preserve"> </v>
      </c>
      <c r="F6274">
        <v>0.38</v>
      </c>
      <c r="G6274" s="37" t="str">
        <f t="shared" si="486"/>
        <v>Heavy Discount</v>
      </c>
      <c r="H6274" s="37" t="str">
        <f t="shared" si="487"/>
        <v>Medium</v>
      </c>
      <c r="I6274">
        <v>6</v>
      </c>
      <c r="J6274" t="str" cm="1">
        <f t="array" ref="J6274">_xlfn.IFS(I6274&lt;=3,"small",I6274&lt;=6,"Medium",I6274&lt;=9,"Large")</f>
        <v>Medium</v>
      </c>
      <c r="K6274" s="36">
        <v>45397</v>
      </c>
      <c r="L6274" s="36">
        <v>45403</v>
      </c>
      <c r="M6274" t="s">
        <v>603</v>
      </c>
      <c r="N6274" t="s">
        <v>608</v>
      </c>
      <c r="O6274" s="37" t="str">
        <f t="shared" si="488"/>
        <v>Cash Payment</v>
      </c>
      <c r="P6274">
        <v>1040.05</v>
      </c>
      <c r="Q6274" s="37" t="str">
        <f>IF(P6274&gt;500,"High","low")</f>
        <v>High</v>
      </c>
      <c r="R6274" s="37" t="str">
        <f t="shared" si="489"/>
        <v>Excellent</v>
      </c>
      <c r="S6274" t="s">
        <v>609</v>
      </c>
    </row>
    <row r="6275" spans="1:19" x14ac:dyDescent="0.2">
      <c r="A6275" t="s">
        <v>6886</v>
      </c>
      <c r="B6275" t="s">
        <v>90</v>
      </c>
      <c r="C6275" t="s">
        <v>597</v>
      </c>
      <c r="D6275">
        <v>1520.64</v>
      </c>
      <c r="E6275" s="37" t="str">
        <f t="shared" ref="E6275:E6338" si="490">IF(AND(D6275&gt;4000,P6275&gt;800),"Excellent Order"," ")</f>
        <v xml:space="preserve"> </v>
      </c>
      <c r="F6275">
        <v>0.08</v>
      </c>
      <c r="G6275" s="37" t="str">
        <f t="shared" ref="G6275:G6338" si="491">IF(F6275&gt;30%,"Heavy Discount","Normal Discount")</f>
        <v>Normal Discount</v>
      </c>
      <c r="H6275" s="37" t="str">
        <f t="shared" ref="H6275:H6338" si="492">IF(F6275&gt;0.4,"High",IF(F6275&gt;=0.2,"Medium","Low"))</f>
        <v>Low</v>
      </c>
      <c r="I6275">
        <v>4</v>
      </c>
      <c r="J6275" t="str" cm="1">
        <f t="array" ref="J6275">_xlfn.IFS(I6275&lt;=3,"small",I6275&lt;=6,"Medium",I6275&lt;=9,"Large")</f>
        <v>Medium</v>
      </c>
      <c r="K6275" s="36">
        <v>45307</v>
      </c>
      <c r="L6275" s="36">
        <v>45314</v>
      </c>
      <c r="M6275" t="s">
        <v>603</v>
      </c>
      <c r="N6275" t="s">
        <v>608</v>
      </c>
      <c r="O6275" s="37" t="str">
        <f t="shared" ref="O6275:O6338" si="493">IF(OR(N6275="Card",N6275="UPI"),"Digital Payment","Cash Payment")</f>
        <v>Cash Payment</v>
      </c>
      <c r="P6275">
        <v>92.97</v>
      </c>
      <c r="Q6275" s="37" t="str">
        <f>IF(P6275&gt;500,"High","low")</f>
        <v>low</v>
      </c>
      <c r="R6275" s="37" t="str">
        <f t="shared" ref="R6275:R6338" si="494">IF(P6275&gt;1000,"Excellent",IF(P6275&gt;=500,"Good","AVERAGE"))</f>
        <v>AVERAGE</v>
      </c>
      <c r="S6275" t="s">
        <v>609</v>
      </c>
    </row>
    <row r="6276" spans="1:19" x14ac:dyDescent="0.2">
      <c r="A6276" t="s">
        <v>6887</v>
      </c>
      <c r="B6276" t="s">
        <v>67</v>
      </c>
      <c r="C6276" t="s">
        <v>602</v>
      </c>
      <c r="D6276">
        <v>2630.41</v>
      </c>
      <c r="E6276" s="37" t="str">
        <f t="shared" si="490"/>
        <v xml:space="preserve"> </v>
      </c>
      <c r="F6276">
        <v>0.49</v>
      </c>
      <c r="G6276" s="37" t="str">
        <f t="shared" si="491"/>
        <v>Heavy Discount</v>
      </c>
      <c r="H6276" s="37" t="str">
        <f t="shared" si="492"/>
        <v>High</v>
      </c>
      <c r="I6276">
        <v>5</v>
      </c>
      <c r="J6276" t="str" cm="1">
        <f t="array" ref="J6276">_xlfn.IFS(I6276&lt;=3,"small",I6276&lt;=6,"Medium",I6276&lt;=9,"Large")</f>
        <v>Medium</v>
      </c>
      <c r="K6276" s="36">
        <v>45015</v>
      </c>
      <c r="L6276" s="36">
        <v>45022</v>
      </c>
      <c r="M6276" t="s">
        <v>603</v>
      </c>
      <c r="N6276" t="s">
        <v>608</v>
      </c>
      <c r="O6276" s="37" t="str">
        <f t="shared" si="493"/>
        <v>Cash Payment</v>
      </c>
      <c r="P6276">
        <v>628.73</v>
      </c>
      <c r="Q6276" s="37" t="str">
        <f>IF(P6276&gt;500,"High","low")</f>
        <v>High</v>
      </c>
      <c r="R6276" s="37" t="str">
        <f t="shared" si="494"/>
        <v>Good</v>
      </c>
      <c r="S6276" t="s">
        <v>605</v>
      </c>
    </row>
    <row r="6277" spans="1:19" x14ac:dyDescent="0.2">
      <c r="A6277" t="s">
        <v>6888</v>
      </c>
      <c r="B6277" t="s">
        <v>90</v>
      </c>
      <c r="C6277" t="s">
        <v>617</v>
      </c>
      <c r="D6277">
        <v>3369.47</v>
      </c>
      <c r="E6277" s="37" t="str">
        <f t="shared" si="490"/>
        <v xml:space="preserve"> </v>
      </c>
      <c r="F6277">
        <v>0.16</v>
      </c>
      <c r="G6277" s="37" t="str">
        <f t="shared" si="491"/>
        <v>Normal Discount</v>
      </c>
      <c r="H6277" s="37" t="str">
        <f t="shared" si="492"/>
        <v>Low</v>
      </c>
      <c r="I6277">
        <v>7</v>
      </c>
      <c r="J6277" t="str" cm="1">
        <f t="array" ref="J6277">_xlfn.IFS(I6277&lt;=3,"small",I6277&lt;=6,"Medium",I6277&lt;=9,"Large")</f>
        <v>Large</v>
      </c>
      <c r="K6277" s="36">
        <v>45606</v>
      </c>
      <c r="L6277" s="36">
        <v>45609</v>
      </c>
      <c r="M6277" t="s">
        <v>603</v>
      </c>
      <c r="N6277" t="s">
        <v>604</v>
      </c>
      <c r="O6277" s="37" t="str">
        <f t="shared" si="493"/>
        <v>Digital Payment</v>
      </c>
      <c r="P6277">
        <v>991.15</v>
      </c>
      <c r="Q6277" s="37" t="str">
        <f>IF(P6277&gt;500,"High","low")</f>
        <v>High</v>
      </c>
      <c r="R6277" s="37" t="str">
        <f t="shared" si="494"/>
        <v>Good</v>
      </c>
      <c r="S6277" t="s">
        <v>628</v>
      </c>
    </row>
    <row r="6278" spans="1:19" x14ac:dyDescent="0.2">
      <c r="A6278" t="s">
        <v>6889</v>
      </c>
      <c r="B6278" t="s">
        <v>83</v>
      </c>
      <c r="C6278" t="s">
        <v>597</v>
      </c>
      <c r="D6278">
        <v>1047.49</v>
      </c>
      <c r="E6278" s="37" t="str">
        <f t="shared" si="490"/>
        <v xml:space="preserve"> </v>
      </c>
      <c r="F6278">
        <v>0.46</v>
      </c>
      <c r="G6278" s="37" t="str">
        <f t="shared" si="491"/>
        <v>Heavy Discount</v>
      </c>
      <c r="H6278" s="37" t="str">
        <f t="shared" si="492"/>
        <v>High</v>
      </c>
      <c r="I6278">
        <v>1</v>
      </c>
      <c r="J6278" t="str" cm="1">
        <f t="array" ref="J6278">_xlfn.IFS(I6278&lt;=3,"small",I6278&lt;=6,"Medium",I6278&lt;=9,"Large")</f>
        <v>small</v>
      </c>
      <c r="K6278" s="36">
        <v>45600</v>
      </c>
      <c r="L6278" s="36">
        <v>45603</v>
      </c>
      <c r="M6278" t="s">
        <v>598</v>
      </c>
      <c r="N6278" t="s">
        <v>608</v>
      </c>
      <c r="O6278" s="37" t="str">
        <f t="shared" si="493"/>
        <v>Cash Payment</v>
      </c>
      <c r="P6278">
        <v>60.24</v>
      </c>
      <c r="Q6278" s="37" t="str">
        <f>IF(P6278&gt;500,"High","low")</f>
        <v>low</v>
      </c>
      <c r="R6278" s="37" t="str">
        <f t="shared" si="494"/>
        <v>AVERAGE</v>
      </c>
      <c r="S6278" t="s">
        <v>620</v>
      </c>
    </row>
    <row r="6279" spans="1:19" x14ac:dyDescent="0.2">
      <c r="A6279" t="s">
        <v>6890</v>
      </c>
      <c r="B6279" t="s">
        <v>67</v>
      </c>
      <c r="C6279" t="s">
        <v>617</v>
      </c>
      <c r="D6279">
        <v>1306.32</v>
      </c>
      <c r="E6279" s="37" t="str">
        <f t="shared" si="490"/>
        <v xml:space="preserve"> </v>
      </c>
      <c r="F6279">
        <v>0.33</v>
      </c>
      <c r="G6279" s="37" t="str">
        <f t="shared" si="491"/>
        <v>Heavy Discount</v>
      </c>
      <c r="H6279" s="37" t="str">
        <f t="shared" si="492"/>
        <v>Medium</v>
      </c>
      <c r="I6279">
        <v>8</v>
      </c>
      <c r="J6279" t="str" cm="1">
        <f t="array" ref="J6279">_xlfn.IFS(I6279&lt;=3,"small",I6279&lt;=6,"Medium",I6279&lt;=9,"Large")</f>
        <v>Large</v>
      </c>
      <c r="K6279" s="36">
        <v>45436</v>
      </c>
      <c r="L6279" s="36">
        <v>45439</v>
      </c>
      <c r="M6279" t="s">
        <v>598</v>
      </c>
      <c r="N6279" t="s">
        <v>608</v>
      </c>
      <c r="O6279" s="37" t="str">
        <f t="shared" si="493"/>
        <v>Cash Payment</v>
      </c>
      <c r="P6279">
        <v>346.16</v>
      </c>
      <c r="Q6279" s="37" t="str">
        <f>IF(P6279&gt;500,"High","low")</f>
        <v>low</v>
      </c>
      <c r="R6279" s="37" t="str">
        <f t="shared" si="494"/>
        <v>AVERAGE</v>
      </c>
      <c r="S6279" t="s">
        <v>620</v>
      </c>
    </row>
    <row r="6280" spans="1:19" x14ac:dyDescent="0.2">
      <c r="A6280" t="s">
        <v>6891</v>
      </c>
      <c r="B6280" t="s">
        <v>90</v>
      </c>
      <c r="C6280" t="s">
        <v>597</v>
      </c>
      <c r="D6280">
        <v>2584.91</v>
      </c>
      <c r="E6280" s="37" t="str">
        <f t="shared" si="490"/>
        <v xml:space="preserve"> </v>
      </c>
      <c r="F6280">
        <v>0.32</v>
      </c>
      <c r="G6280" s="37" t="str">
        <f t="shared" si="491"/>
        <v>Heavy Discount</v>
      </c>
      <c r="H6280" s="37" t="str">
        <f t="shared" si="492"/>
        <v>Medium</v>
      </c>
      <c r="I6280">
        <v>3</v>
      </c>
      <c r="J6280" t="str" cm="1">
        <f t="array" ref="J6280">_xlfn.IFS(I6280&lt;=3,"small",I6280&lt;=6,"Medium",I6280&lt;=9,"Large")</f>
        <v>small</v>
      </c>
      <c r="K6280" s="36">
        <v>45517</v>
      </c>
      <c r="L6280" s="36">
        <v>45518</v>
      </c>
      <c r="M6280" t="s">
        <v>598</v>
      </c>
      <c r="N6280" t="s">
        <v>604</v>
      </c>
      <c r="O6280" s="37" t="str">
        <f t="shared" si="493"/>
        <v>Digital Payment</v>
      </c>
      <c r="P6280">
        <v>584.35</v>
      </c>
      <c r="Q6280" s="37" t="str">
        <f>IF(P6280&gt;500,"High","low")</f>
        <v>High</v>
      </c>
      <c r="R6280" s="37" t="str">
        <f t="shared" si="494"/>
        <v>Good</v>
      </c>
      <c r="S6280" t="s">
        <v>605</v>
      </c>
    </row>
    <row r="6281" spans="1:19" x14ac:dyDescent="0.2">
      <c r="A6281" t="s">
        <v>6892</v>
      </c>
      <c r="B6281" t="s">
        <v>83</v>
      </c>
      <c r="C6281" t="s">
        <v>597</v>
      </c>
      <c r="D6281">
        <v>4631.9799999999996</v>
      </c>
      <c r="E6281" s="37" t="str">
        <f t="shared" si="490"/>
        <v xml:space="preserve"> </v>
      </c>
      <c r="F6281">
        <v>0.46</v>
      </c>
      <c r="G6281" s="37" t="str">
        <f t="shared" si="491"/>
        <v>Heavy Discount</v>
      </c>
      <c r="H6281" s="37" t="str">
        <f t="shared" si="492"/>
        <v>High</v>
      </c>
      <c r="I6281">
        <v>7</v>
      </c>
      <c r="J6281" t="str" cm="1">
        <f t="array" ref="J6281">_xlfn.IFS(I6281&lt;=3,"small",I6281&lt;=6,"Medium",I6281&lt;=9,"Large")</f>
        <v>Large</v>
      </c>
      <c r="K6281" s="36">
        <v>45477</v>
      </c>
      <c r="L6281" s="36">
        <v>45479</v>
      </c>
      <c r="M6281" t="s">
        <v>612</v>
      </c>
      <c r="N6281" t="s">
        <v>608</v>
      </c>
      <c r="O6281" s="37" t="str">
        <f t="shared" si="493"/>
        <v>Cash Payment</v>
      </c>
      <c r="P6281">
        <v>269.52</v>
      </c>
      <c r="Q6281" s="37" t="str">
        <f>IF(P6281&gt;500,"High","low")</f>
        <v>low</v>
      </c>
      <c r="R6281" s="37" t="str">
        <f t="shared" si="494"/>
        <v>AVERAGE</v>
      </c>
      <c r="S6281" t="s">
        <v>615</v>
      </c>
    </row>
    <row r="6282" spans="1:19" x14ac:dyDescent="0.2">
      <c r="A6282" t="s">
        <v>6893</v>
      </c>
      <c r="B6282" t="s">
        <v>83</v>
      </c>
      <c r="C6282" t="s">
        <v>617</v>
      </c>
      <c r="D6282">
        <v>1785.65</v>
      </c>
      <c r="E6282" s="37" t="str">
        <f t="shared" si="490"/>
        <v xml:space="preserve"> </v>
      </c>
      <c r="F6282">
        <v>0.26</v>
      </c>
      <c r="G6282" s="37" t="str">
        <f t="shared" si="491"/>
        <v>Normal Discount</v>
      </c>
      <c r="H6282" s="37" t="str">
        <f t="shared" si="492"/>
        <v>Medium</v>
      </c>
      <c r="I6282">
        <v>9</v>
      </c>
      <c r="J6282" t="str" cm="1">
        <f t="array" ref="J6282">_xlfn.IFS(I6282&lt;=3,"small",I6282&lt;=6,"Medium",I6282&lt;=9,"Large")</f>
        <v>Large</v>
      </c>
      <c r="K6282" s="36">
        <v>45480</v>
      </c>
      <c r="L6282" s="36">
        <v>45485</v>
      </c>
      <c r="M6282" t="s">
        <v>598</v>
      </c>
      <c r="N6282" t="s">
        <v>599</v>
      </c>
      <c r="O6282" s="37" t="str">
        <f t="shared" si="493"/>
        <v>Digital Payment</v>
      </c>
      <c r="P6282">
        <v>356.65</v>
      </c>
      <c r="Q6282" s="37" t="str">
        <f>IF(P6282&gt;500,"High","low")</f>
        <v>low</v>
      </c>
      <c r="R6282" s="37" t="str">
        <f t="shared" si="494"/>
        <v>AVERAGE</v>
      </c>
      <c r="S6282" t="s">
        <v>615</v>
      </c>
    </row>
    <row r="6283" spans="1:19" x14ac:dyDescent="0.2">
      <c r="A6283" t="s">
        <v>6894</v>
      </c>
      <c r="B6283" t="s">
        <v>75</v>
      </c>
      <c r="C6283" t="s">
        <v>614</v>
      </c>
      <c r="D6283">
        <v>2070.44</v>
      </c>
      <c r="E6283" s="37" t="str">
        <f t="shared" si="490"/>
        <v xml:space="preserve"> </v>
      </c>
      <c r="F6283">
        <v>0.2</v>
      </c>
      <c r="G6283" s="37" t="str">
        <f t="shared" si="491"/>
        <v>Normal Discount</v>
      </c>
      <c r="H6283" s="37" t="str">
        <f t="shared" si="492"/>
        <v>Medium</v>
      </c>
      <c r="I6283">
        <v>2</v>
      </c>
      <c r="J6283" t="str" cm="1">
        <f t="array" ref="J6283">_xlfn.IFS(I6283&lt;=3,"small",I6283&lt;=6,"Medium",I6283&lt;=9,"Large")</f>
        <v>small</v>
      </c>
      <c r="K6283" s="36">
        <v>45161</v>
      </c>
      <c r="L6283" s="36">
        <v>45162</v>
      </c>
      <c r="M6283" t="s">
        <v>612</v>
      </c>
      <c r="N6283" t="s">
        <v>604</v>
      </c>
      <c r="O6283" s="37" t="str">
        <f t="shared" si="493"/>
        <v>Digital Payment</v>
      </c>
      <c r="P6283">
        <v>577.73</v>
      </c>
      <c r="Q6283" s="37" t="str">
        <f>IF(P6283&gt;500,"High","low")</f>
        <v>High</v>
      </c>
      <c r="R6283" s="37" t="str">
        <f t="shared" si="494"/>
        <v>Good</v>
      </c>
      <c r="S6283" t="s">
        <v>620</v>
      </c>
    </row>
    <row r="6284" spans="1:19" x14ac:dyDescent="0.2">
      <c r="A6284" t="s">
        <v>6895</v>
      </c>
      <c r="B6284" t="s">
        <v>75</v>
      </c>
      <c r="C6284" t="s">
        <v>602</v>
      </c>
      <c r="D6284">
        <v>1034.04</v>
      </c>
      <c r="E6284" s="37" t="str">
        <f t="shared" si="490"/>
        <v xml:space="preserve"> </v>
      </c>
      <c r="F6284">
        <v>0.11</v>
      </c>
      <c r="G6284" s="37" t="str">
        <f t="shared" si="491"/>
        <v>Normal Discount</v>
      </c>
      <c r="H6284" s="37" t="str">
        <f t="shared" si="492"/>
        <v>Low</v>
      </c>
      <c r="I6284">
        <v>7</v>
      </c>
      <c r="J6284" t="str" cm="1">
        <f t="array" ref="J6284">_xlfn.IFS(I6284&lt;=3,"small",I6284&lt;=6,"Medium",I6284&lt;=9,"Large")</f>
        <v>Large</v>
      </c>
      <c r="K6284" s="36">
        <v>45140</v>
      </c>
      <c r="L6284" s="36">
        <v>45144</v>
      </c>
      <c r="M6284" t="s">
        <v>612</v>
      </c>
      <c r="N6284" t="s">
        <v>608</v>
      </c>
      <c r="O6284" s="37" t="str">
        <f t="shared" si="493"/>
        <v>Cash Payment</v>
      </c>
      <c r="P6284">
        <v>166.8</v>
      </c>
      <c r="Q6284" s="37" t="str">
        <f>IF(P6284&gt;500,"High","low")</f>
        <v>low</v>
      </c>
      <c r="R6284" s="37" t="str">
        <f t="shared" si="494"/>
        <v>AVERAGE</v>
      </c>
      <c r="S6284" t="s">
        <v>600</v>
      </c>
    </row>
    <row r="6285" spans="1:19" x14ac:dyDescent="0.2">
      <c r="A6285" t="s">
        <v>6896</v>
      </c>
      <c r="B6285" t="s">
        <v>75</v>
      </c>
      <c r="C6285" t="s">
        <v>614</v>
      </c>
      <c r="D6285">
        <v>3006.72</v>
      </c>
      <c r="E6285" s="37" t="str">
        <f t="shared" si="490"/>
        <v xml:space="preserve"> </v>
      </c>
      <c r="F6285">
        <v>7.0000000000000007E-2</v>
      </c>
      <c r="G6285" s="37" t="str">
        <f t="shared" si="491"/>
        <v>Normal Discount</v>
      </c>
      <c r="H6285" s="37" t="str">
        <f t="shared" si="492"/>
        <v>Low</v>
      </c>
      <c r="I6285">
        <v>1</v>
      </c>
      <c r="J6285" t="str" cm="1">
        <f t="array" ref="J6285">_xlfn.IFS(I6285&lt;=3,"small",I6285&lt;=6,"Medium",I6285&lt;=9,"Large")</f>
        <v>small</v>
      </c>
      <c r="K6285" s="36">
        <v>45580</v>
      </c>
      <c r="L6285" s="36">
        <v>45587</v>
      </c>
      <c r="M6285" t="s">
        <v>598</v>
      </c>
      <c r="N6285" t="s">
        <v>604</v>
      </c>
      <c r="O6285" s="37" t="str">
        <f t="shared" si="493"/>
        <v>Digital Payment</v>
      </c>
      <c r="P6285">
        <v>709.19</v>
      </c>
      <c r="Q6285" s="37" t="str">
        <f>IF(P6285&gt;500,"High","low")</f>
        <v>High</v>
      </c>
      <c r="R6285" s="37" t="str">
        <f t="shared" si="494"/>
        <v>Good</v>
      </c>
      <c r="S6285" t="s">
        <v>605</v>
      </c>
    </row>
    <row r="6286" spans="1:19" x14ac:dyDescent="0.2">
      <c r="A6286" t="s">
        <v>6897</v>
      </c>
      <c r="B6286" t="s">
        <v>83</v>
      </c>
      <c r="C6286" t="s">
        <v>614</v>
      </c>
      <c r="D6286">
        <v>3726.74</v>
      </c>
      <c r="E6286" s="37" t="str">
        <f t="shared" si="490"/>
        <v xml:space="preserve"> </v>
      </c>
      <c r="F6286">
        <v>0.4</v>
      </c>
      <c r="G6286" s="37" t="str">
        <f t="shared" si="491"/>
        <v>Heavy Discount</v>
      </c>
      <c r="H6286" s="37" t="str">
        <f t="shared" si="492"/>
        <v>Medium</v>
      </c>
      <c r="I6286">
        <v>5</v>
      </c>
      <c r="J6286" t="str" cm="1">
        <f t="array" ref="J6286">_xlfn.IFS(I6286&lt;=3,"small",I6286&lt;=6,"Medium",I6286&lt;=9,"Large")</f>
        <v>Medium</v>
      </c>
      <c r="K6286" s="36">
        <v>45265</v>
      </c>
      <c r="L6286" s="36">
        <v>45271</v>
      </c>
      <c r="M6286" t="s">
        <v>603</v>
      </c>
      <c r="N6286" t="s">
        <v>599</v>
      </c>
      <c r="O6286" s="37" t="str">
        <f t="shared" si="493"/>
        <v>Digital Payment</v>
      </c>
      <c r="P6286">
        <v>489.76</v>
      </c>
      <c r="Q6286" s="37" t="str">
        <f>IF(P6286&gt;500,"High","low")</f>
        <v>low</v>
      </c>
      <c r="R6286" s="37" t="str">
        <f t="shared" si="494"/>
        <v>AVERAGE</v>
      </c>
      <c r="S6286" t="s">
        <v>628</v>
      </c>
    </row>
    <row r="6287" spans="1:19" x14ac:dyDescent="0.2">
      <c r="A6287" t="s">
        <v>6898</v>
      </c>
      <c r="B6287" t="s">
        <v>90</v>
      </c>
      <c r="C6287" t="s">
        <v>602</v>
      </c>
      <c r="D6287">
        <v>2259.15</v>
      </c>
      <c r="E6287" s="37" t="str">
        <f t="shared" si="490"/>
        <v xml:space="preserve"> </v>
      </c>
      <c r="F6287">
        <v>0.06</v>
      </c>
      <c r="G6287" s="37" t="str">
        <f t="shared" si="491"/>
        <v>Normal Discount</v>
      </c>
      <c r="H6287" s="37" t="str">
        <f t="shared" si="492"/>
        <v>Low</v>
      </c>
      <c r="I6287">
        <v>7</v>
      </c>
      <c r="J6287" t="str" cm="1">
        <f t="array" ref="J6287">_xlfn.IFS(I6287&lt;=3,"small",I6287&lt;=6,"Medium",I6287&lt;=9,"Large")</f>
        <v>Large</v>
      </c>
      <c r="K6287" s="36">
        <v>45548</v>
      </c>
      <c r="L6287" s="36">
        <v>45551</v>
      </c>
      <c r="M6287" t="s">
        <v>598</v>
      </c>
      <c r="N6287" t="s">
        <v>604</v>
      </c>
      <c r="O6287" s="37" t="str">
        <f t="shared" si="493"/>
        <v>Digital Payment</v>
      </c>
      <c r="P6287">
        <v>335.37</v>
      </c>
      <c r="Q6287" s="37" t="str">
        <f>IF(P6287&gt;500,"High","low")</f>
        <v>low</v>
      </c>
      <c r="R6287" s="37" t="str">
        <f t="shared" si="494"/>
        <v>AVERAGE</v>
      </c>
      <c r="S6287" t="s">
        <v>609</v>
      </c>
    </row>
    <row r="6288" spans="1:19" x14ac:dyDescent="0.2">
      <c r="A6288" t="s">
        <v>6899</v>
      </c>
      <c r="B6288" t="s">
        <v>75</v>
      </c>
      <c r="C6288" t="s">
        <v>607</v>
      </c>
      <c r="D6288">
        <v>3776.22</v>
      </c>
      <c r="E6288" s="37" t="str">
        <f t="shared" si="490"/>
        <v xml:space="preserve"> </v>
      </c>
      <c r="F6288">
        <v>0.2</v>
      </c>
      <c r="G6288" s="37" t="str">
        <f t="shared" si="491"/>
        <v>Normal Discount</v>
      </c>
      <c r="H6288" s="37" t="str">
        <f t="shared" si="492"/>
        <v>Medium</v>
      </c>
      <c r="I6288">
        <v>5</v>
      </c>
      <c r="J6288" t="str" cm="1">
        <f t="array" ref="J6288">_xlfn.IFS(I6288&lt;=3,"small",I6288&lt;=6,"Medium",I6288&lt;=9,"Large")</f>
        <v>Medium</v>
      </c>
      <c r="K6288" s="36">
        <v>45524</v>
      </c>
      <c r="L6288" s="36">
        <v>45525</v>
      </c>
      <c r="M6288" t="s">
        <v>612</v>
      </c>
      <c r="N6288" t="s">
        <v>599</v>
      </c>
      <c r="O6288" s="37" t="str">
        <f t="shared" si="493"/>
        <v>Digital Payment</v>
      </c>
      <c r="P6288">
        <v>838.86</v>
      </c>
      <c r="Q6288" s="37" t="str">
        <f>IF(P6288&gt;500,"High","low")</f>
        <v>High</v>
      </c>
      <c r="R6288" s="37" t="str">
        <f t="shared" si="494"/>
        <v>Good</v>
      </c>
      <c r="S6288" t="s">
        <v>615</v>
      </c>
    </row>
    <row r="6289" spans="1:19" x14ac:dyDescent="0.2">
      <c r="A6289" t="s">
        <v>6900</v>
      </c>
      <c r="B6289" t="s">
        <v>90</v>
      </c>
      <c r="C6289" t="s">
        <v>614</v>
      </c>
      <c r="D6289">
        <v>1582.76</v>
      </c>
      <c r="E6289" s="37" t="str">
        <f t="shared" si="490"/>
        <v xml:space="preserve"> </v>
      </c>
      <c r="F6289">
        <v>0.2</v>
      </c>
      <c r="G6289" s="37" t="str">
        <f t="shared" si="491"/>
        <v>Normal Discount</v>
      </c>
      <c r="H6289" s="37" t="str">
        <f t="shared" si="492"/>
        <v>Medium</v>
      </c>
      <c r="I6289">
        <v>5</v>
      </c>
      <c r="J6289" t="str" cm="1">
        <f t="array" ref="J6289">_xlfn.IFS(I6289&lt;=3,"small",I6289&lt;=6,"Medium",I6289&lt;=9,"Large")</f>
        <v>Medium</v>
      </c>
      <c r="K6289" s="36">
        <v>45141</v>
      </c>
      <c r="L6289" s="36">
        <v>45147</v>
      </c>
      <c r="M6289" t="s">
        <v>612</v>
      </c>
      <c r="N6289" t="s">
        <v>608</v>
      </c>
      <c r="O6289" s="37" t="str">
        <f t="shared" si="493"/>
        <v>Cash Payment</v>
      </c>
      <c r="P6289">
        <v>91.24</v>
      </c>
      <c r="Q6289" s="37" t="str">
        <f>IF(P6289&gt;500,"High","low")</f>
        <v>low</v>
      </c>
      <c r="R6289" s="37" t="str">
        <f t="shared" si="494"/>
        <v>AVERAGE</v>
      </c>
      <c r="S6289" t="s">
        <v>628</v>
      </c>
    </row>
    <row r="6290" spans="1:19" x14ac:dyDescent="0.2">
      <c r="A6290" t="s">
        <v>6901</v>
      </c>
      <c r="B6290" t="s">
        <v>75</v>
      </c>
      <c r="C6290" t="s">
        <v>614</v>
      </c>
      <c r="D6290">
        <v>3564.22</v>
      </c>
      <c r="E6290" s="37" t="str">
        <f t="shared" si="490"/>
        <v xml:space="preserve"> </v>
      </c>
      <c r="F6290">
        <v>0.33</v>
      </c>
      <c r="G6290" s="37" t="str">
        <f t="shared" si="491"/>
        <v>Heavy Discount</v>
      </c>
      <c r="H6290" s="37" t="str">
        <f t="shared" si="492"/>
        <v>Medium</v>
      </c>
      <c r="I6290">
        <v>6</v>
      </c>
      <c r="J6290" t="str" cm="1">
        <f t="array" ref="J6290">_xlfn.IFS(I6290&lt;=3,"small",I6290&lt;=6,"Medium",I6290&lt;=9,"Large")</f>
        <v>Medium</v>
      </c>
      <c r="K6290" s="36">
        <v>45435</v>
      </c>
      <c r="L6290" s="36">
        <v>45441</v>
      </c>
      <c r="M6290" t="s">
        <v>612</v>
      </c>
      <c r="N6290" t="s">
        <v>599</v>
      </c>
      <c r="O6290" s="37" t="str">
        <f t="shared" si="493"/>
        <v>Digital Payment</v>
      </c>
      <c r="P6290">
        <v>831.22</v>
      </c>
      <c r="Q6290" s="37" t="str">
        <f>IF(P6290&gt;500,"High","low")</f>
        <v>High</v>
      </c>
      <c r="R6290" s="37" t="str">
        <f t="shared" si="494"/>
        <v>Good</v>
      </c>
      <c r="S6290" t="s">
        <v>609</v>
      </c>
    </row>
    <row r="6291" spans="1:19" x14ac:dyDescent="0.2">
      <c r="A6291" t="s">
        <v>6902</v>
      </c>
      <c r="B6291" t="s">
        <v>67</v>
      </c>
      <c r="C6291" t="s">
        <v>614</v>
      </c>
      <c r="D6291">
        <v>1365.89</v>
      </c>
      <c r="E6291" s="37" t="str">
        <f t="shared" si="490"/>
        <v xml:space="preserve"> </v>
      </c>
      <c r="F6291">
        <v>0.14000000000000001</v>
      </c>
      <c r="G6291" s="37" t="str">
        <f t="shared" si="491"/>
        <v>Normal Discount</v>
      </c>
      <c r="H6291" s="37" t="str">
        <f t="shared" si="492"/>
        <v>Low</v>
      </c>
      <c r="I6291">
        <v>6</v>
      </c>
      <c r="J6291" t="str" cm="1">
        <f t="array" ref="J6291">_xlfn.IFS(I6291&lt;=3,"small",I6291&lt;=6,"Medium",I6291&lt;=9,"Large")</f>
        <v>Medium</v>
      </c>
      <c r="K6291" s="36">
        <v>45349</v>
      </c>
      <c r="L6291" s="36">
        <v>45353</v>
      </c>
      <c r="M6291" t="s">
        <v>598</v>
      </c>
      <c r="N6291" t="s">
        <v>599</v>
      </c>
      <c r="O6291" s="37" t="str">
        <f t="shared" si="493"/>
        <v>Digital Payment</v>
      </c>
      <c r="P6291">
        <v>158.1</v>
      </c>
      <c r="Q6291" s="37" t="str">
        <f>IF(P6291&gt;500,"High","low")</f>
        <v>low</v>
      </c>
      <c r="R6291" s="37" t="str">
        <f t="shared" si="494"/>
        <v>AVERAGE</v>
      </c>
      <c r="S6291" t="s">
        <v>609</v>
      </c>
    </row>
    <row r="6292" spans="1:19" x14ac:dyDescent="0.2">
      <c r="A6292" t="s">
        <v>6903</v>
      </c>
      <c r="B6292" t="s">
        <v>67</v>
      </c>
      <c r="C6292" t="s">
        <v>607</v>
      </c>
      <c r="D6292">
        <v>3925.18</v>
      </c>
      <c r="E6292" s="37" t="str">
        <f t="shared" si="490"/>
        <v xml:space="preserve"> </v>
      </c>
      <c r="F6292">
        <v>0.42</v>
      </c>
      <c r="G6292" s="37" t="str">
        <f t="shared" si="491"/>
        <v>Heavy Discount</v>
      </c>
      <c r="H6292" s="37" t="str">
        <f t="shared" si="492"/>
        <v>High</v>
      </c>
      <c r="I6292">
        <v>2</v>
      </c>
      <c r="J6292" t="str" cm="1">
        <f t="array" ref="J6292">_xlfn.IFS(I6292&lt;=3,"small",I6292&lt;=6,"Medium",I6292&lt;=9,"Large")</f>
        <v>small</v>
      </c>
      <c r="K6292" s="36">
        <v>45571</v>
      </c>
      <c r="L6292" s="36">
        <v>45574</v>
      </c>
      <c r="M6292" t="s">
        <v>598</v>
      </c>
      <c r="N6292" t="s">
        <v>599</v>
      </c>
      <c r="O6292" s="37" t="str">
        <f t="shared" si="493"/>
        <v>Digital Payment</v>
      </c>
      <c r="P6292">
        <v>1028.81</v>
      </c>
      <c r="Q6292" s="37" t="str">
        <f>IF(P6292&gt;500,"High","low")</f>
        <v>High</v>
      </c>
      <c r="R6292" s="37" t="str">
        <f t="shared" si="494"/>
        <v>Excellent</v>
      </c>
      <c r="S6292" t="s">
        <v>609</v>
      </c>
    </row>
    <row r="6293" spans="1:19" x14ac:dyDescent="0.2">
      <c r="A6293" t="s">
        <v>6904</v>
      </c>
      <c r="B6293" t="s">
        <v>75</v>
      </c>
      <c r="C6293" t="s">
        <v>597</v>
      </c>
      <c r="D6293">
        <v>4170.1400000000003</v>
      </c>
      <c r="E6293" s="37" t="str">
        <f t="shared" si="490"/>
        <v xml:space="preserve"> </v>
      </c>
      <c r="F6293">
        <v>0.1</v>
      </c>
      <c r="G6293" s="37" t="str">
        <f t="shared" si="491"/>
        <v>Normal Discount</v>
      </c>
      <c r="H6293" s="37" t="str">
        <f t="shared" si="492"/>
        <v>Low</v>
      </c>
      <c r="I6293">
        <v>9</v>
      </c>
      <c r="J6293" t="str" cm="1">
        <f t="array" ref="J6293">_xlfn.IFS(I6293&lt;=3,"small",I6293&lt;=6,"Medium",I6293&lt;=9,"Large")</f>
        <v>Large</v>
      </c>
      <c r="K6293" s="36">
        <v>45381</v>
      </c>
      <c r="L6293" s="36">
        <v>45382</v>
      </c>
      <c r="M6293" t="s">
        <v>612</v>
      </c>
      <c r="N6293" t="s">
        <v>599</v>
      </c>
      <c r="O6293" s="37" t="str">
        <f t="shared" si="493"/>
        <v>Digital Payment</v>
      </c>
      <c r="P6293">
        <v>791.48</v>
      </c>
      <c r="Q6293" s="37" t="str">
        <f>IF(P6293&gt;500,"High","low")</f>
        <v>High</v>
      </c>
      <c r="R6293" s="37" t="str">
        <f t="shared" si="494"/>
        <v>Good</v>
      </c>
      <c r="S6293" t="s">
        <v>615</v>
      </c>
    </row>
    <row r="6294" spans="1:19" x14ac:dyDescent="0.2">
      <c r="A6294" t="s">
        <v>6905</v>
      </c>
      <c r="B6294" t="s">
        <v>83</v>
      </c>
      <c r="C6294" t="s">
        <v>617</v>
      </c>
      <c r="D6294">
        <v>4008.85</v>
      </c>
      <c r="E6294" s="37" t="str">
        <f t="shared" si="490"/>
        <v xml:space="preserve"> </v>
      </c>
      <c r="F6294">
        <v>0.39</v>
      </c>
      <c r="G6294" s="37" t="str">
        <f t="shared" si="491"/>
        <v>Heavy Discount</v>
      </c>
      <c r="H6294" s="37" t="str">
        <f t="shared" si="492"/>
        <v>Medium</v>
      </c>
      <c r="I6294">
        <v>3</v>
      </c>
      <c r="J6294" t="str" cm="1">
        <f t="array" ref="J6294">_xlfn.IFS(I6294&lt;=3,"small",I6294&lt;=6,"Medium",I6294&lt;=9,"Large")</f>
        <v>small</v>
      </c>
      <c r="K6294" s="36">
        <v>45372</v>
      </c>
      <c r="L6294" s="36">
        <v>45375</v>
      </c>
      <c r="M6294" t="s">
        <v>598</v>
      </c>
      <c r="N6294" t="s">
        <v>604</v>
      </c>
      <c r="O6294" s="37" t="str">
        <f t="shared" si="493"/>
        <v>Digital Payment</v>
      </c>
      <c r="P6294">
        <v>489.44</v>
      </c>
      <c r="Q6294" s="37" t="str">
        <f>IF(P6294&gt;500,"High","low")</f>
        <v>low</v>
      </c>
      <c r="R6294" s="37" t="str">
        <f t="shared" si="494"/>
        <v>AVERAGE</v>
      </c>
      <c r="S6294" t="s">
        <v>605</v>
      </c>
    </row>
    <row r="6295" spans="1:19" x14ac:dyDescent="0.2">
      <c r="A6295" t="s">
        <v>6906</v>
      </c>
      <c r="B6295" t="s">
        <v>75</v>
      </c>
      <c r="C6295" t="s">
        <v>617</v>
      </c>
      <c r="D6295">
        <v>1155.82</v>
      </c>
      <c r="E6295" s="37" t="str">
        <f t="shared" si="490"/>
        <v xml:space="preserve"> </v>
      </c>
      <c r="F6295">
        <v>0.42</v>
      </c>
      <c r="G6295" s="37" t="str">
        <f t="shared" si="491"/>
        <v>Heavy Discount</v>
      </c>
      <c r="H6295" s="37" t="str">
        <f t="shared" si="492"/>
        <v>High</v>
      </c>
      <c r="I6295">
        <v>1</v>
      </c>
      <c r="J6295" t="str" cm="1">
        <f t="array" ref="J6295">_xlfn.IFS(I6295&lt;=3,"small",I6295&lt;=6,"Medium",I6295&lt;=9,"Large")</f>
        <v>small</v>
      </c>
      <c r="K6295" s="36">
        <v>45179</v>
      </c>
      <c r="L6295" s="36">
        <v>45181</v>
      </c>
      <c r="M6295" t="s">
        <v>598</v>
      </c>
      <c r="N6295" t="s">
        <v>604</v>
      </c>
      <c r="O6295" s="37" t="str">
        <f t="shared" si="493"/>
        <v>Digital Payment</v>
      </c>
      <c r="P6295">
        <v>254.95</v>
      </c>
      <c r="Q6295" s="37" t="str">
        <f>IF(P6295&gt;500,"High","low")</f>
        <v>low</v>
      </c>
      <c r="R6295" s="37" t="str">
        <f t="shared" si="494"/>
        <v>AVERAGE</v>
      </c>
      <c r="S6295" t="s">
        <v>620</v>
      </c>
    </row>
    <row r="6296" spans="1:19" x14ac:dyDescent="0.2">
      <c r="A6296" t="s">
        <v>6907</v>
      </c>
      <c r="B6296" t="s">
        <v>75</v>
      </c>
      <c r="C6296" t="s">
        <v>607</v>
      </c>
      <c r="D6296">
        <v>3501.82</v>
      </c>
      <c r="E6296" s="37" t="str">
        <f t="shared" si="490"/>
        <v xml:space="preserve"> </v>
      </c>
      <c r="F6296">
        <v>0.1</v>
      </c>
      <c r="G6296" s="37" t="str">
        <f t="shared" si="491"/>
        <v>Normal Discount</v>
      </c>
      <c r="H6296" s="37" t="str">
        <f t="shared" si="492"/>
        <v>Low</v>
      </c>
      <c r="I6296">
        <v>1</v>
      </c>
      <c r="J6296" t="str" cm="1">
        <f t="array" ref="J6296">_xlfn.IFS(I6296&lt;=3,"small",I6296&lt;=6,"Medium",I6296&lt;=9,"Large")</f>
        <v>small</v>
      </c>
      <c r="K6296" s="36">
        <v>45643</v>
      </c>
      <c r="L6296" s="36">
        <v>45646</v>
      </c>
      <c r="M6296" t="s">
        <v>612</v>
      </c>
      <c r="N6296" t="s">
        <v>599</v>
      </c>
      <c r="O6296" s="37" t="str">
        <f t="shared" si="493"/>
        <v>Digital Payment</v>
      </c>
      <c r="P6296">
        <v>975.71</v>
      </c>
      <c r="Q6296" s="37" t="str">
        <f>IF(P6296&gt;500,"High","low")</f>
        <v>High</v>
      </c>
      <c r="R6296" s="37" t="str">
        <f t="shared" si="494"/>
        <v>Good</v>
      </c>
      <c r="S6296" t="s">
        <v>615</v>
      </c>
    </row>
    <row r="6297" spans="1:19" x14ac:dyDescent="0.2">
      <c r="A6297" t="s">
        <v>6908</v>
      </c>
      <c r="B6297" t="s">
        <v>83</v>
      </c>
      <c r="C6297" t="s">
        <v>614</v>
      </c>
      <c r="D6297">
        <v>2738.85</v>
      </c>
      <c r="E6297" s="37" t="str">
        <f t="shared" si="490"/>
        <v xml:space="preserve"> </v>
      </c>
      <c r="F6297">
        <v>0.4</v>
      </c>
      <c r="G6297" s="37" t="str">
        <f t="shared" si="491"/>
        <v>Heavy Discount</v>
      </c>
      <c r="H6297" s="37" t="str">
        <f t="shared" si="492"/>
        <v>Medium</v>
      </c>
      <c r="I6297">
        <v>9</v>
      </c>
      <c r="J6297" t="str" cm="1">
        <f t="array" ref="J6297">_xlfn.IFS(I6297&lt;=3,"small",I6297&lt;=6,"Medium",I6297&lt;=9,"Large")</f>
        <v>Large</v>
      </c>
      <c r="K6297" s="36">
        <v>45085</v>
      </c>
      <c r="L6297" s="36">
        <v>45091</v>
      </c>
      <c r="M6297" t="s">
        <v>598</v>
      </c>
      <c r="N6297" t="s">
        <v>608</v>
      </c>
      <c r="O6297" s="37" t="str">
        <f t="shared" si="493"/>
        <v>Cash Payment</v>
      </c>
      <c r="P6297">
        <v>491.22</v>
      </c>
      <c r="Q6297" s="37" t="str">
        <f>IF(P6297&gt;500,"High","low")</f>
        <v>low</v>
      </c>
      <c r="R6297" s="37" t="str">
        <f t="shared" si="494"/>
        <v>AVERAGE</v>
      </c>
      <c r="S6297" t="s">
        <v>605</v>
      </c>
    </row>
    <row r="6298" spans="1:19" x14ac:dyDescent="0.2">
      <c r="A6298" t="s">
        <v>6909</v>
      </c>
      <c r="B6298" t="s">
        <v>67</v>
      </c>
      <c r="C6298" t="s">
        <v>617</v>
      </c>
      <c r="D6298">
        <v>4931.58</v>
      </c>
      <c r="E6298" s="37" t="str">
        <f t="shared" si="490"/>
        <v>Excellent Order</v>
      </c>
      <c r="F6298">
        <v>0.36</v>
      </c>
      <c r="G6298" s="37" t="str">
        <f t="shared" si="491"/>
        <v>Heavy Discount</v>
      </c>
      <c r="H6298" s="37" t="str">
        <f t="shared" si="492"/>
        <v>Medium</v>
      </c>
      <c r="I6298">
        <v>6</v>
      </c>
      <c r="J6298" t="str" cm="1">
        <f t="array" ref="J6298">_xlfn.IFS(I6298&lt;=3,"small",I6298&lt;=6,"Medium",I6298&lt;=9,"Large")</f>
        <v>Medium</v>
      </c>
      <c r="K6298" s="36">
        <v>45061</v>
      </c>
      <c r="L6298" s="36">
        <v>45068</v>
      </c>
      <c r="M6298" t="s">
        <v>598</v>
      </c>
      <c r="N6298" t="s">
        <v>604</v>
      </c>
      <c r="O6298" s="37" t="str">
        <f t="shared" si="493"/>
        <v>Digital Payment</v>
      </c>
      <c r="P6298">
        <v>1309.44</v>
      </c>
      <c r="Q6298" s="37" t="str">
        <f>IF(P6298&gt;500,"High","low")</f>
        <v>High</v>
      </c>
      <c r="R6298" s="37" t="str">
        <f t="shared" si="494"/>
        <v>Excellent</v>
      </c>
      <c r="S6298" t="s">
        <v>600</v>
      </c>
    </row>
    <row r="6299" spans="1:19" x14ac:dyDescent="0.2">
      <c r="A6299" t="s">
        <v>6910</v>
      </c>
      <c r="B6299" t="s">
        <v>90</v>
      </c>
      <c r="C6299" t="s">
        <v>607</v>
      </c>
      <c r="D6299">
        <v>1871.73</v>
      </c>
      <c r="E6299" s="37" t="str">
        <f t="shared" si="490"/>
        <v xml:space="preserve"> </v>
      </c>
      <c r="F6299">
        <v>0.44</v>
      </c>
      <c r="G6299" s="37" t="str">
        <f t="shared" si="491"/>
        <v>Heavy Discount</v>
      </c>
      <c r="H6299" s="37" t="str">
        <f t="shared" si="492"/>
        <v>High</v>
      </c>
      <c r="I6299">
        <v>7</v>
      </c>
      <c r="J6299" t="str" cm="1">
        <f t="array" ref="J6299">_xlfn.IFS(I6299&lt;=3,"small",I6299&lt;=6,"Medium",I6299&lt;=9,"Large")</f>
        <v>Large</v>
      </c>
      <c r="K6299" s="36">
        <v>45053</v>
      </c>
      <c r="L6299" s="36">
        <v>45058</v>
      </c>
      <c r="M6299" t="s">
        <v>603</v>
      </c>
      <c r="N6299" t="s">
        <v>599</v>
      </c>
      <c r="O6299" s="37" t="str">
        <f t="shared" si="493"/>
        <v>Digital Payment</v>
      </c>
      <c r="P6299">
        <v>531.53</v>
      </c>
      <c r="Q6299" s="37" t="str">
        <f>IF(P6299&gt;500,"High","low")</f>
        <v>High</v>
      </c>
      <c r="R6299" s="37" t="str">
        <f t="shared" si="494"/>
        <v>Good</v>
      </c>
      <c r="S6299" t="s">
        <v>600</v>
      </c>
    </row>
    <row r="6300" spans="1:19" x14ac:dyDescent="0.2">
      <c r="A6300" t="s">
        <v>6911</v>
      </c>
      <c r="B6300" t="s">
        <v>75</v>
      </c>
      <c r="C6300" t="s">
        <v>602</v>
      </c>
      <c r="D6300">
        <v>3879.13</v>
      </c>
      <c r="E6300" s="37" t="str">
        <f t="shared" si="490"/>
        <v xml:space="preserve"> </v>
      </c>
      <c r="F6300">
        <v>0.25</v>
      </c>
      <c r="G6300" s="37" t="str">
        <f t="shared" si="491"/>
        <v>Normal Discount</v>
      </c>
      <c r="H6300" s="37" t="str">
        <f t="shared" si="492"/>
        <v>Medium</v>
      </c>
      <c r="I6300">
        <v>2</v>
      </c>
      <c r="J6300" t="str" cm="1">
        <f t="array" ref="J6300">_xlfn.IFS(I6300&lt;=3,"small",I6300&lt;=6,"Medium",I6300&lt;=9,"Large")</f>
        <v>small</v>
      </c>
      <c r="K6300" s="36">
        <v>45211</v>
      </c>
      <c r="L6300" s="36">
        <v>45216</v>
      </c>
      <c r="M6300" t="s">
        <v>603</v>
      </c>
      <c r="N6300" t="s">
        <v>599</v>
      </c>
      <c r="O6300" s="37" t="str">
        <f t="shared" si="493"/>
        <v>Digital Payment</v>
      </c>
      <c r="P6300">
        <v>558.05999999999995</v>
      </c>
      <c r="Q6300" s="37" t="str">
        <f>IF(P6300&gt;500,"High","low")</f>
        <v>High</v>
      </c>
      <c r="R6300" s="37" t="str">
        <f t="shared" si="494"/>
        <v>Good</v>
      </c>
      <c r="S6300" t="s">
        <v>609</v>
      </c>
    </row>
    <row r="6301" spans="1:19" x14ac:dyDescent="0.2">
      <c r="A6301" t="s">
        <v>6912</v>
      </c>
      <c r="B6301" t="s">
        <v>83</v>
      </c>
      <c r="C6301" t="s">
        <v>617</v>
      </c>
      <c r="D6301">
        <v>1913.38</v>
      </c>
      <c r="E6301" s="37" t="str">
        <f t="shared" si="490"/>
        <v xml:space="preserve"> </v>
      </c>
      <c r="F6301">
        <v>0.12</v>
      </c>
      <c r="G6301" s="37" t="str">
        <f t="shared" si="491"/>
        <v>Normal Discount</v>
      </c>
      <c r="H6301" s="37" t="str">
        <f t="shared" si="492"/>
        <v>Low</v>
      </c>
      <c r="I6301">
        <v>1</v>
      </c>
      <c r="J6301" t="str" cm="1">
        <f t="array" ref="J6301">_xlfn.IFS(I6301&lt;=3,"small",I6301&lt;=6,"Medium",I6301&lt;=9,"Large")</f>
        <v>small</v>
      </c>
      <c r="K6301" s="36">
        <v>44977</v>
      </c>
      <c r="L6301" s="36">
        <v>44980</v>
      </c>
      <c r="M6301" t="s">
        <v>598</v>
      </c>
      <c r="N6301" t="s">
        <v>604</v>
      </c>
      <c r="O6301" s="37" t="str">
        <f t="shared" si="493"/>
        <v>Digital Payment</v>
      </c>
      <c r="P6301">
        <v>492.39</v>
      </c>
      <c r="Q6301" s="37" t="str">
        <f>IF(P6301&gt;500,"High","low")</f>
        <v>low</v>
      </c>
      <c r="R6301" s="37" t="str">
        <f t="shared" si="494"/>
        <v>AVERAGE</v>
      </c>
      <c r="S6301" t="s">
        <v>620</v>
      </c>
    </row>
    <row r="6302" spans="1:19" x14ac:dyDescent="0.2">
      <c r="A6302" t="s">
        <v>6913</v>
      </c>
      <c r="B6302" t="s">
        <v>75</v>
      </c>
      <c r="C6302" t="s">
        <v>602</v>
      </c>
      <c r="D6302">
        <v>2044.6</v>
      </c>
      <c r="E6302" s="37" t="str">
        <f t="shared" si="490"/>
        <v xml:space="preserve"> </v>
      </c>
      <c r="F6302">
        <v>0.46</v>
      </c>
      <c r="G6302" s="37" t="str">
        <f t="shared" si="491"/>
        <v>Heavy Discount</v>
      </c>
      <c r="H6302" s="37" t="str">
        <f t="shared" si="492"/>
        <v>High</v>
      </c>
      <c r="I6302">
        <v>2</v>
      </c>
      <c r="J6302" t="str" cm="1">
        <f t="array" ref="J6302">_xlfn.IFS(I6302&lt;=3,"small",I6302&lt;=6,"Medium",I6302&lt;=9,"Large")</f>
        <v>small</v>
      </c>
      <c r="K6302" s="36">
        <v>45643</v>
      </c>
      <c r="L6302" s="36">
        <v>45644</v>
      </c>
      <c r="M6302" t="s">
        <v>598</v>
      </c>
      <c r="N6302" t="s">
        <v>608</v>
      </c>
      <c r="O6302" s="37" t="str">
        <f t="shared" si="493"/>
        <v>Cash Payment</v>
      </c>
      <c r="P6302">
        <v>499.76</v>
      </c>
      <c r="Q6302" s="37" t="str">
        <f>IF(P6302&gt;500,"High","low")</f>
        <v>low</v>
      </c>
      <c r="R6302" s="37" t="str">
        <f t="shared" si="494"/>
        <v>AVERAGE</v>
      </c>
      <c r="S6302" t="s">
        <v>628</v>
      </c>
    </row>
    <row r="6303" spans="1:19" x14ac:dyDescent="0.2">
      <c r="A6303" t="s">
        <v>6914</v>
      </c>
      <c r="B6303" t="s">
        <v>83</v>
      </c>
      <c r="C6303" t="s">
        <v>614</v>
      </c>
      <c r="D6303">
        <v>643.86</v>
      </c>
      <c r="E6303" s="37" t="str">
        <f t="shared" si="490"/>
        <v xml:space="preserve"> </v>
      </c>
      <c r="F6303">
        <v>0.4</v>
      </c>
      <c r="G6303" s="37" t="str">
        <f t="shared" si="491"/>
        <v>Heavy Discount</v>
      </c>
      <c r="H6303" s="37" t="str">
        <f t="shared" si="492"/>
        <v>Medium</v>
      </c>
      <c r="I6303">
        <v>3</v>
      </c>
      <c r="J6303" t="str" cm="1">
        <f t="array" ref="J6303">_xlfn.IFS(I6303&lt;=3,"small",I6303&lt;=6,"Medium",I6303&lt;=9,"Large")</f>
        <v>small</v>
      </c>
      <c r="K6303" s="36">
        <v>45166</v>
      </c>
      <c r="L6303" s="36">
        <v>45173</v>
      </c>
      <c r="M6303" t="s">
        <v>598</v>
      </c>
      <c r="N6303" t="s">
        <v>599</v>
      </c>
      <c r="O6303" s="37" t="str">
        <f t="shared" si="493"/>
        <v>Digital Payment</v>
      </c>
      <c r="P6303">
        <v>121.75</v>
      </c>
      <c r="Q6303" s="37" t="str">
        <f>IF(P6303&gt;500,"High","low")</f>
        <v>low</v>
      </c>
      <c r="R6303" s="37" t="str">
        <f t="shared" si="494"/>
        <v>AVERAGE</v>
      </c>
      <c r="S6303" t="s">
        <v>605</v>
      </c>
    </row>
    <row r="6304" spans="1:19" x14ac:dyDescent="0.2">
      <c r="A6304" t="s">
        <v>6915</v>
      </c>
      <c r="B6304" t="s">
        <v>90</v>
      </c>
      <c r="C6304" t="s">
        <v>617</v>
      </c>
      <c r="D6304">
        <v>1274.3399999999999</v>
      </c>
      <c r="E6304" s="37" t="str">
        <f t="shared" si="490"/>
        <v xml:space="preserve"> </v>
      </c>
      <c r="F6304">
        <v>0.01</v>
      </c>
      <c r="G6304" s="37" t="str">
        <f t="shared" si="491"/>
        <v>Normal Discount</v>
      </c>
      <c r="H6304" s="37" t="str">
        <f t="shared" si="492"/>
        <v>Low</v>
      </c>
      <c r="I6304">
        <v>3</v>
      </c>
      <c r="J6304" t="str" cm="1">
        <f t="array" ref="J6304">_xlfn.IFS(I6304&lt;=3,"small",I6304&lt;=6,"Medium",I6304&lt;=9,"Large")</f>
        <v>small</v>
      </c>
      <c r="K6304" s="36">
        <v>45005</v>
      </c>
      <c r="L6304" s="36">
        <v>45011</v>
      </c>
      <c r="M6304" t="s">
        <v>612</v>
      </c>
      <c r="N6304" t="s">
        <v>608</v>
      </c>
      <c r="O6304" s="37" t="str">
        <f t="shared" si="493"/>
        <v>Cash Payment</v>
      </c>
      <c r="P6304">
        <v>81.260000000000005</v>
      </c>
      <c r="Q6304" s="37" t="str">
        <f>IF(P6304&gt;500,"High","low")</f>
        <v>low</v>
      </c>
      <c r="R6304" s="37" t="str">
        <f t="shared" si="494"/>
        <v>AVERAGE</v>
      </c>
      <c r="S6304" t="s">
        <v>620</v>
      </c>
    </row>
    <row r="6305" spans="1:19" x14ac:dyDescent="0.2">
      <c r="A6305" t="s">
        <v>6916</v>
      </c>
      <c r="B6305" t="s">
        <v>90</v>
      </c>
      <c r="C6305" t="s">
        <v>607</v>
      </c>
      <c r="D6305">
        <v>905.97</v>
      </c>
      <c r="E6305" s="37" t="str">
        <f t="shared" si="490"/>
        <v xml:space="preserve"> </v>
      </c>
      <c r="F6305">
        <v>0.47</v>
      </c>
      <c r="G6305" s="37" t="str">
        <f t="shared" si="491"/>
        <v>Heavy Discount</v>
      </c>
      <c r="H6305" s="37" t="str">
        <f t="shared" si="492"/>
        <v>High</v>
      </c>
      <c r="I6305">
        <v>8</v>
      </c>
      <c r="J6305" t="str" cm="1">
        <f t="array" ref="J6305">_xlfn.IFS(I6305&lt;=3,"small",I6305&lt;=6,"Medium",I6305&lt;=9,"Large")</f>
        <v>Large</v>
      </c>
      <c r="K6305" s="36">
        <v>45105</v>
      </c>
      <c r="L6305" s="36">
        <v>45109</v>
      </c>
      <c r="M6305" t="s">
        <v>598</v>
      </c>
      <c r="N6305" t="s">
        <v>599</v>
      </c>
      <c r="O6305" s="37" t="str">
        <f t="shared" si="493"/>
        <v>Digital Payment</v>
      </c>
      <c r="P6305">
        <v>227.23</v>
      </c>
      <c r="Q6305" s="37" t="str">
        <f>IF(P6305&gt;500,"High","low")</f>
        <v>low</v>
      </c>
      <c r="R6305" s="37" t="str">
        <f t="shared" si="494"/>
        <v>AVERAGE</v>
      </c>
      <c r="S6305" t="s">
        <v>605</v>
      </c>
    </row>
    <row r="6306" spans="1:19" x14ac:dyDescent="0.2">
      <c r="A6306" t="s">
        <v>6917</v>
      </c>
      <c r="B6306" t="s">
        <v>67</v>
      </c>
      <c r="C6306" t="s">
        <v>597</v>
      </c>
      <c r="D6306">
        <v>880.08</v>
      </c>
      <c r="E6306" s="37" t="str">
        <f t="shared" si="490"/>
        <v xml:space="preserve"> </v>
      </c>
      <c r="F6306">
        <v>0.47</v>
      </c>
      <c r="G6306" s="37" t="str">
        <f t="shared" si="491"/>
        <v>Heavy Discount</v>
      </c>
      <c r="H6306" s="37" t="str">
        <f t="shared" si="492"/>
        <v>High</v>
      </c>
      <c r="I6306">
        <v>4</v>
      </c>
      <c r="J6306" t="str" cm="1">
        <f t="array" ref="J6306">_xlfn.IFS(I6306&lt;=3,"small",I6306&lt;=6,"Medium",I6306&lt;=9,"Large")</f>
        <v>Medium</v>
      </c>
      <c r="K6306" s="36">
        <v>44940</v>
      </c>
      <c r="L6306" s="36">
        <v>44944</v>
      </c>
      <c r="M6306" t="s">
        <v>598</v>
      </c>
      <c r="N6306" t="s">
        <v>599</v>
      </c>
      <c r="O6306" s="37" t="str">
        <f t="shared" si="493"/>
        <v>Digital Payment</v>
      </c>
      <c r="P6306">
        <v>55.6</v>
      </c>
      <c r="Q6306" s="37" t="str">
        <f>IF(P6306&gt;500,"High","low")</f>
        <v>low</v>
      </c>
      <c r="R6306" s="37" t="str">
        <f t="shared" si="494"/>
        <v>AVERAGE</v>
      </c>
      <c r="S6306" t="s">
        <v>609</v>
      </c>
    </row>
    <row r="6307" spans="1:19" x14ac:dyDescent="0.2">
      <c r="A6307" t="s">
        <v>6918</v>
      </c>
      <c r="B6307" t="s">
        <v>83</v>
      </c>
      <c r="C6307" t="s">
        <v>617</v>
      </c>
      <c r="D6307">
        <v>144.18</v>
      </c>
      <c r="E6307" s="37" t="str">
        <f t="shared" si="490"/>
        <v xml:space="preserve"> </v>
      </c>
      <c r="F6307">
        <v>0.18</v>
      </c>
      <c r="G6307" s="37" t="str">
        <f t="shared" si="491"/>
        <v>Normal Discount</v>
      </c>
      <c r="H6307" s="37" t="str">
        <f t="shared" si="492"/>
        <v>Low</v>
      </c>
      <c r="I6307">
        <v>1</v>
      </c>
      <c r="J6307" t="str" cm="1">
        <f t="array" ref="J6307">_xlfn.IFS(I6307&lt;=3,"small",I6307&lt;=6,"Medium",I6307&lt;=9,"Large")</f>
        <v>small</v>
      </c>
      <c r="K6307" s="36">
        <v>45020</v>
      </c>
      <c r="L6307" s="36">
        <v>45025</v>
      </c>
      <c r="M6307" t="s">
        <v>603</v>
      </c>
      <c r="N6307" t="s">
        <v>608</v>
      </c>
      <c r="O6307" s="37" t="str">
        <f t="shared" si="493"/>
        <v>Cash Payment</v>
      </c>
      <c r="P6307">
        <v>42.07</v>
      </c>
      <c r="Q6307" s="37" t="str">
        <f>IF(P6307&gt;500,"High","low")</f>
        <v>low</v>
      </c>
      <c r="R6307" s="37" t="str">
        <f t="shared" si="494"/>
        <v>AVERAGE</v>
      </c>
      <c r="S6307" t="s">
        <v>605</v>
      </c>
    </row>
    <row r="6308" spans="1:19" x14ac:dyDescent="0.2">
      <c r="A6308" t="s">
        <v>6919</v>
      </c>
      <c r="B6308" t="s">
        <v>83</v>
      </c>
      <c r="C6308" t="s">
        <v>617</v>
      </c>
      <c r="D6308">
        <v>3989.53</v>
      </c>
      <c r="E6308" s="37" t="str">
        <f t="shared" si="490"/>
        <v xml:space="preserve"> </v>
      </c>
      <c r="F6308">
        <v>0.01</v>
      </c>
      <c r="G6308" s="37" t="str">
        <f t="shared" si="491"/>
        <v>Normal Discount</v>
      </c>
      <c r="H6308" s="37" t="str">
        <f t="shared" si="492"/>
        <v>Low</v>
      </c>
      <c r="I6308">
        <v>2</v>
      </c>
      <c r="J6308" t="str" cm="1">
        <f t="array" ref="J6308">_xlfn.IFS(I6308&lt;=3,"small",I6308&lt;=6,"Medium",I6308&lt;=9,"Large")</f>
        <v>small</v>
      </c>
      <c r="K6308" s="36">
        <v>44949</v>
      </c>
      <c r="L6308" s="36">
        <v>44954</v>
      </c>
      <c r="M6308" t="s">
        <v>598</v>
      </c>
      <c r="N6308" t="s">
        <v>604</v>
      </c>
      <c r="O6308" s="37" t="str">
        <f t="shared" si="493"/>
        <v>Digital Payment</v>
      </c>
      <c r="P6308">
        <v>654.94000000000005</v>
      </c>
      <c r="Q6308" s="37" t="str">
        <f>IF(P6308&gt;500,"High","low")</f>
        <v>High</v>
      </c>
      <c r="R6308" s="37" t="str">
        <f t="shared" si="494"/>
        <v>Good</v>
      </c>
      <c r="S6308" t="s">
        <v>605</v>
      </c>
    </row>
    <row r="6309" spans="1:19" x14ac:dyDescent="0.2">
      <c r="A6309" t="s">
        <v>6920</v>
      </c>
      <c r="B6309" t="s">
        <v>67</v>
      </c>
      <c r="C6309" t="s">
        <v>617</v>
      </c>
      <c r="D6309">
        <v>2392.86</v>
      </c>
      <c r="E6309" s="37" t="str">
        <f t="shared" si="490"/>
        <v xml:space="preserve"> </v>
      </c>
      <c r="F6309">
        <v>0.28000000000000003</v>
      </c>
      <c r="G6309" s="37" t="str">
        <f t="shared" si="491"/>
        <v>Normal Discount</v>
      </c>
      <c r="H6309" s="37" t="str">
        <f t="shared" si="492"/>
        <v>Medium</v>
      </c>
      <c r="I6309">
        <v>9</v>
      </c>
      <c r="J6309" t="str" cm="1">
        <f t="array" ref="J6309">_xlfn.IFS(I6309&lt;=3,"small",I6309&lt;=6,"Medium",I6309&lt;=9,"Large")</f>
        <v>Large</v>
      </c>
      <c r="K6309" s="36">
        <v>45006</v>
      </c>
      <c r="L6309" s="36">
        <v>45007</v>
      </c>
      <c r="M6309" t="s">
        <v>603</v>
      </c>
      <c r="N6309" t="s">
        <v>608</v>
      </c>
      <c r="O6309" s="37" t="str">
        <f t="shared" si="493"/>
        <v>Cash Payment</v>
      </c>
      <c r="P6309">
        <v>135.66</v>
      </c>
      <c r="Q6309" s="37" t="str">
        <f>IF(P6309&gt;500,"High","low")</f>
        <v>low</v>
      </c>
      <c r="R6309" s="37" t="str">
        <f t="shared" si="494"/>
        <v>AVERAGE</v>
      </c>
      <c r="S6309" t="s">
        <v>600</v>
      </c>
    </row>
    <row r="6310" spans="1:19" x14ac:dyDescent="0.2">
      <c r="A6310" t="s">
        <v>6921</v>
      </c>
      <c r="B6310" t="s">
        <v>67</v>
      </c>
      <c r="C6310" t="s">
        <v>617</v>
      </c>
      <c r="D6310">
        <v>4040.42</v>
      </c>
      <c r="E6310" s="37" t="str">
        <f t="shared" si="490"/>
        <v xml:space="preserve"> </v>
      </c>
      <c r="F6310">
        <v>0.46</v>
      </c>
      <c r="G6310" s="37" t="str">
        <f t="shared" si="491"/>
        <v>Heavy Discount</v>
      </c>
      <c r="H6310" s="37" t="str">
        <f t="shared" si="492"/>
        <v>High</v>
      </c>
      <c r="I6310">
        <v>2</v>
      </c>
      <c r="J6310" t="str" cm="1">
        <f t="array" ref="J6310">_xlfn.IFS(I6310&lt;=3,"small",I6310&lt;=6,"Medium",I6310&lt;=9,"Large")</f>
        <v>small</v>
      </c>
      <c r="K6310" s="36">
        <v>45270</v>
      </c>
      <c r="L6310" s="36">
        <v>45272</v>
      </c>
      <c r="M6310" t="s">
        <v>598</v>
      </c>
      <c r="N6310" t="s">
        <v>608</v>
      </c>
      <c r="O6310" s="37" t="str">
        <f t="shared" si="493"/>
        <v>Cash Payment</v>
      </c>
      <c r="P6310">
        <v>434.89</v>
      </c>
      <c r="Q6310" s="37" t="str">
        <f>IF(P6310&gt;500,"High","low")</f>
        <v>low</v>
      </c>
      <c r="R6310" s="37" t="str">
        <f t="shared" si="494"/>
        <v>AVERAGE</v>
      </c>
      <c r="S6310" t="s">
        <v>620</v>
      </c>
    </row>
    <row r="6311" spans="1:19" x14ac:dyDescent="0.2">
      <c r="A6311" t="s">
        <v>6922</v>
      </c>
      <c r="B6311" t="s">
        <v>83</v>
      </c>
      <c r="C6311" t="s">
        <v>607</v>
      </c>
      <c r="D6311">
        <v>3101.5</v>
      </c>
      <c r="E6311" s="37" t="str">
        <f t="shared" si="490"/>
        <v xml:space="preserve"> </v>
      </c>
      <c r="F6311">
        <v>0.06</v>
      </c>
      <c r="G6311" s="37" t="str">
        <f t="shared" si="491"/>
        <v>Normal Discount</v>
      </c>
      <c r="H6311" s="37" t="str">
        <f t="shared" si="492"/>
        <v>Low</v>
      </c>
      <c r="I6311">
        <v>9</v>
      </c>
      <c r="J6311" t="str" cm="1">
        <f t="array" ref="J6311">_xlfn.IFS(I6311&lt;=3,"small",I6311&lt;=6,"Medium",I6311&lt;=9,"Large")</f>
        <v>Large</v>
      </c>
      <c r="K6311" s="36">
        <v>45481</v>
      </c>
      <c r="L6311" s="36">
        <v>45486</v>
      </c>
      <c r="M6311" t="s">
        <v>612</v>
      </c>
      <c r="N6311" t="s">
        <v>599</v>
      </c>
      <c r="O6311" s="37" t="str">
        <f t="shared" si="493"/>
        <v>Digital Payment</v>
      </c>
      <c r="P6311">
        <v>333.05</v>
      </c>
      <c r="Q6311" s="37" t="str">
        <f>IF(P6311&gt;500,"High","low")</f>
        <v>low</v>
      </c>
      <c r="R6311" s="37" t="str">
        <f t="shared" si="494"/>
        <v>AVERAGE</v>
      </c>
      <c r="S6311" t="s">
        <v>600</v>
      </c>
    </row>
    <row r="6312" spans="1:19" x14ac:dyDescent="0.2">
      <c r="A6312" t="s">
        <v>6923</v>
      </c>
      <c r="B6312" t="s">
        <v>67</v>
      </c>
      <c r="C6312" t="s">
        <v>607</v>
      </c>
      <c r="D6312">
        <v>4173.55</v>
      </c>
      <c r="E6312" s="37" t="str">
        <f t="shared" si="490"/>
        <v>Excellent Order</v>
      </c>
      <c r="F6312">
        <v>0.3</v>
      </c>
      <c r="G6312" s="37" t="str">
        <f t="shared" si="491"/>
        <v>Normal Discount</v>
      </c>
      <c r="H6312" s="37" t="str">
        <f t="shared" si="492"/>
        <v>Medium</v>
      </c>
      <c r="I6312">
        <v>5</v>
      </c>
      <c r="J6312" t="str" cm="1">
        <f t="array" ref="J6312">_xlfn.IFS(I6312&lt;=3,"small",I6312&lt;=6,"Medium",I6312&lt;=9,"Large")</f>
        <v>Medium</v>
      </c>
      <c r="K6312" s="36">
        <v>45494</v>
      </c>
      <c r="L6312" s="36">
        <v>45499</v>
      </c>
      <c r="M6312" t="s">
        <v>598</v>
      </c>
      <c r="N6312" t="s">
        <v>604</v>
      </c>
      <c r="O6312" s="37" t="str">
        <f t="shared" si="493"/>
        <v>Digital Payment</v>
      </c>
      <c r="P6312">
        <v>1109.72</v>
      </c>
      <c r="Q6312" s="37" t="str">
        <f>IF(P6312&gt;500,"High","low")</f>
        <v>High</v>
      </c>
      <c r="R6312" s="37" t="str">
        <f t="shared" si="494"/>
        <v>Excellent</v>
      </c>
      <c r="S6312" t="s">
        <v>609</v>
      </c>
    </row>
    <row r="6313" spans="1:19" x14ac:dyDescent="0.2">
      <c r="A6313" t="s">
        <v>6924</v>
      </c>
      <c r="B6313" t="s">
        <v>90</v>
      </c>
      <c r="C6313" t="s">
        <v>597</v>
      </c>
      <c r="D6313">
        <v>2568.4499999999998</v>
      </c>
      <c r="E6313" s="37" t="str">
        <f t="shared" si="490"/>
        <v xml:space="preserve"> </v>
      </c>
      <c r="F6313">
        <v>0.37</v>
      </c>
      <c r="G6313" s="37" t="str">
        <f t="shared" si="491"/>
        <v>Heavy Discount</v>
      </c>
      <c r="H6313" s="37" t="str">
        <f t="shared" si="492"/>
        <v>Medium</v>
      </c>
      <c r="I6313">
        <v>4</v>
      </c>
      <c r="J6313" t="str" cm="1">
        <f t="array" ref="J6313">_xlfn.IFS(I6313&lt;=3,"small",I6313&lt;=6,"Medium",I6313&lt;=9,"Large")</f>
        <v>Medium</v>
      </c>
      <c r="K6313" s="36">
        <v>45331</v>
      </c>
      <c r="L6313" s="36">
        <v>45338</v>
      </c>
      <c r="M6313" t="s">
        <v>598</v>
      </c>
      <c r="N6313" t="s">
        <v>608</v>
      </c>
      <c r="O6313" s="37" t="str">
        <f t="shared" si="493"/>
        <v>Cash Payment</v>
      </c>
      <c r="P6313">
        <v>175.93</v>
      </c>
      <c r="Q6313" s="37" t="str">
        <f>IF(P6313&gt;500,"High","low")</f>
        <v>low</v>
      </c>
      <c r="R6313" s="37" t="str">
        <f t="shared" si="494"/>
        <v>AVERAGE</v>
      </c>
      <c r="S6313" t="s">
        <v>605</v>
      </c>
    </row>
    <row r="6314" spans="1:19" x14ac:dyDescent="0.2">
      <c r="A6314" t="s">
        <v>6925</v>
      </c>
      <c r="B6314" t="s">
        <v>75</v>
      </c>
      <c r="C6314" t="s">
        <v>607</v>
      </c>
      <c r="D6314">
        <v>560.79999999999995</v>
      </c>
      <c r="E6314" s="37" t="str">
        <f t="shared" si="490"/>
        <v xml:space="preserve"> </v>
      </c>
      <c r="F6314">
        <v>7.0000000000000007E-2</v>
      </c>
      <c r="G6314" s="37" t="str">
        <f t="shared" si="491"/>
        <v>Normal Discount</v>
      </c>
      <c r="H6314" s="37" t="str">
        <f t="shared" si="492"/>
        <v>Low</v>
      </c>
      <c r="I6314">
        <v>4</v>
      </c>
      <c r="J6314" t="str" cm="1">
        <f t="array" ref="J6314">_xlfn.IFS(I6314&lt;=3,"small",I6314&lt;=6,"Medium",I6314&lt;=9,"Large")</f>
        <v>Medium</v>
      </c>
      <c r="K6314" s="36">
        <v>45033</v>
      </c>
      <c r="L6314" s="36">
        <v>45036</v>
      </c>
      <c r="M6314" t="s">
        <v>603</v>
      </c>
      <c r="N6314" t="s">
        <v>604</v>
      </c>
      <c r="O6314" s="37" t="str">
        <f t="shared" si="493"/>
        <v>Digital Payment</v>
      </c>
      <c r="P6314">
        <v>52.22</v>
      </c>
      <c r="Q6314" s="37" t="str">
        <f>IF(P6314&gt;500,"High","low")</f>
        <v>low</v>
      </c>
      <c r="R6314" s="37" t="str">
        <f t="shared" si="494"/>
        <v>AVERAGE</v>
      </c>
      <c r="S6314" t="s">
        <v>620</v>
      </c>
    </row>
    <row r="6315" spans="1:19" x14ac:dyDescent="0.2">
      <c r="A6315" t="s">
        <v>6926</v>
      </c>
      <c r="B6315" t="s">
        <v>90</v>
      </c>
      <c r="C6315" t="s">
        <v>607</v>
      </c>
      <c r="D6315">
        <v>3122.14</v>
      </c>
      <c r="E6315" s="37" t="str">
        <f t="shared" si="490"/>
        <v xml:space="preserve"> </v>
      </c>
      <c r="F6315">
        <v>0.26</v>
      </c>
      <c r="G6315" s="37" t="str">
        <f t="shared" si="491"/>
        <v>Normal Discount</v>
      </c>
      <c r="H6315" s="37" t="str">
        <f t="shared" si="492"/>
        <v>Medium</v>
      </c>
      <c r="I6315">
        <v>3</v>
      </c>
      <c r="J6315" t="str" cm="1">
        <f t="array" ref="J6315">_xlfn.IFS(I6315&lt;=3,"small",I6315&lt;=6,"Medium",I6315&lt;=9,"Large")</f>
        <v>small</v>
      </c>
      <c r="K6315" s="36">
        <v>45386</v>
      </c>
      <c r="L6315" s="36">
        <v>45388</v>
      </c>
      <c r="M6315" t="s">
        <v>603</v>
      </c>
      <c r="N6315" t="s">
        <v>604</v>
      </c>
      <c r="O6315" s="37" t="str">
        <f t="shared" si="493"/>
        <v>Digital Payment</v>
      </c>
      <c r="P6315">
        <v>442.6</v>
      </c>
      <c r="Q6315" s="37" t="str">
        <f>IF(P6315&gt;500,"High","low")</f>
        <v>low</v>
      </c>
      <c r="R6315" s="37" t="str">
        <f t="shared" si="494"/>
        <v>AVERAGE</v>
      </c>
      <c r="S6315" t="s">
        <v>609</v>
      </c>
    </row>
    <row r="6316" spans="1:19" x14ac:dyDescent="0.2">
      <c r="A6316" t="s">
        <v>6927</v>
      </c>
      <c r="B6316" t="s">
        <v>67</v>
      </c>
      <c r="C6316" t="s">
        <v>614</v>
      </c>
      <c r="D6316">
        <v>3421.05</v>
      </c>
      <c r="E6316" s="37" t="str">
        <f t="shared" si="490"/>
        <v xml:space="preserve"> </v>
      </c>
      <c r="F6316">
        <v>0.04</v>
      </c>
      <c r="G6316" s="37" t="str">
        <f t="shared" si="491"/>
        <v>Normal Discount</v>
      </c>
      <c r="H6316" s="37" t="str">
        <f t="shared" si="492"/>
        <v>Low</v>
      </c>
      <c r="I6316">
        <v>2</v>
      </c>
      <c r="J6316" t="str" cm="1">
        <f t="array" ref="J6316">_xlfn.IFS(I6316&lt;=3,"small",I6316&lt;=6,"Medium",I6316&lt;=9,"Large")</f>
        <v>small</v>
      </c>
      <c r="K6316" s="36">
        <v>45291</v>
      </c>
      <c r="L6316" s="36">
        <v>45293</v>
      </c>
      <c r="M6316" t="s">
        <v>603</v>
      </c>
      <c r="N6316" t="s">
        <v>604</v>
      </c>
      <c r="O6316" s="37" t="str">
        <f t="shared" si="493"/>
        <v>Digital Payment</v>
      </c>
      <c r="P6316">
        <v>322.68</v>
      </c>
      <c r="Q6316" s="37" t="str">
        <f>IF(P6316&gt;500,"High","low")</f>
        <v>low</v>
      </c>
      <c r="R6316" s="37" t="str">
        <f t="shared" si="494"/>
        <v>AVERAGE</v>
      </c>
      <c r="S6316" t="s">
        <v>620</v>
      </c>
    </row>
    <row r="6317" spans="1:19" x14ac:dyDescent="0.2">
      <c r="A6317" t="s">
        <v>6928</v>
      </c>
      <c r="B6317" t="s">
        <v>83</v>
      </c>
      <c r="C6317" t="s">
        <v>614</v>
      </c>
      <c r="D6317">
        <v>3169.87</v>
      </c>
      <c r="E6317" s="37" t="str">
        <f t="shared" si="490"/>
        <v xml:space="preserve"> </v>
      </c>
      <c r="F6317">
        <v>0.28000000000000003</v>
      </c>
      <c r="G6317" s="37" t="str">
        <f t="shared" si="491"/>
        <v>Normal Discount</v>
      </c>
      <c r="H6317" s="37" t="str">
        <f t="shared" si="492"/>
        <v>Medium</v>
      </c>
      <c r="I6317">
        <v>8</v>
      </c>
      <c r="J6317" t="str" cm="1">
        <f t="array" ref="J6317">_xlfn.IFS(I6317&lt;=3,"small",I6317&lt;=6,"Medium",I6317&lt;=9,"Large")</f>
        <v>Large</v>
      </c>
      <c r="K6317" s="36">
        <v>45350</v>
      </c>
      <c r="L6317" s="36">
        <v>45357</v>
      </c>
      <c r="M6317" t="s">
        <v>598</v>
      </c>
      <c r="N6317" t="s">
        <v>608</v>
      </c>
      <c r="O6317" s="37" t="str">
        <f t="shared" si="493"/>
        <v>Cash Payment</v>
      </c>
      <c r="P6317">
        <v>310.61</v>
      </c>
      <c r="Q6317" s="37" t="str">
        <f>IF(P6317&gt;500,"High","low")</f>
        <v>low</v>
      </c>
      <c r="R6317" s="37" t="str">
        <f t="shared" si="494"/>
        <v>AVERAGE</v>
      </c>
      <c r="S6317" t="s">
        <v>615</v>
      </c>
    </row>
    <row r="6318" spans="1:19" x14ac:dyDescent="0.2">
      <c r="A6318" t="s">
        <v>6929</v>
      </c>
      <c r="B6318" t="s">
        <v>83</v>
      </c>
      <c r="C6318" t="s">
        <v>602</v>
      </c>
      <c r="D6318">
        <v>4026.55</v>
      </c>
      <c r="E6318" s="37" t="str">
        <f t="shared" si="490"/>
        <v xml:space="preserve"> </v>
      </c>
      <c r="F6318">
        <v>0.22</v>
      </c>
      <c r="G6318" s="37" t="str">
        <f t="shared" si="491"/>
        <v>Normal Discount</v>
      </c>
      <c r="H6318" s="37" t="str">
        <f t="shared" si="492"/>
        <v>Medium</v>
      </c>
      <c r="I6318">
        <v>6</v>
      </c>
      <c r="J6318" t="str" cm="1">
        <f t="array" ref="J6318">_xlfn.IFS(I6318&lt;=3,"small",I6318&lt;=6,"Medium",I6318&lt;=9,"Large")</f>
        <v>Medium</v>
      </c>
      <c r="K6318" s="36">
        <v>45020</v>
      </c>
      <c r="L6318" s="36">
        <v>45025</v>
      </c>
      <c r="M6318" t="s">
        <v>612</v>
      </c>
      <c r="N6318" t="s">
        <v>599</v>
      </c>
      <c r="O6318" s="37" t="str">
        <f t="shared" si="493"/>
        <v>Digital Payment</v>
      </c>
      <c r="P6318">
        <v>415.78</v>
      </c>
      <c r="Q6318" s="37" t="str">
        <f>IF(P6318&gt;500,"High","low")</f>
        <v>low</v>
      </c>
      <c r="R6318" s="37" t="str">
        <f t="shared" si="494"/>
        <v>AVERAGE</v>
      </c>
      <c r="S6318" t="s">
        <v>600</v>
      </c>
    </row>
    <row r="6319" spans="1:19" x14ac:dyDescent="0.2">
      <c r="A6319" t="s">
        <v>6930</v>
      </c>
      <c r="B6319" t="s">
        <v>90</v>
      </c>
      <c r="C6319" t="s">
        <v>597</v>
      </c>
      <c r="D6319">
        <v>3684.35</v>
      </c>
      <c r="E6319" s="37" t="str">
        <f t="shared" si="490"/>
        <v xml:space="preserve"> </v>
      </c>
      <c r="F6319">
        <v>0.13</v>
      </c>
      <c r="G6319" s="37" t="str">
        <f t="shared" si="491"/>
        <v>Normal Discount</v>
      </c>
      <c r="H6319" s="37" t="str">
        <f t="shared" si="492"/>
        <v>Low</v>
      </c>
      <c r="I6319">
        <v>9</v>
      </c>
      <c r="J6319" t="str" cm="1">
        <f t="array" ref="J6319">_xlfn.IFS(I6319&lt;=3,"small",I6319&lt;=6,"Medium",I6319&lt;=9,"Large")</f>
        <v>Large</v>
      </c>
      <c r="K6319" s="36">
        <v>45028</v>
      </c>
      <c r="L6319" s="36">
        <v>45031</v>
      </c>
      <c r="M6319" t="s">
        <v>603</v>
      </c>
      <c r="N6319" t="s">
        <v>604</v>
      </c>
      <c r="O6319" s="37" t="str">
        <f t="shared" si="493"/>
        <v>Digital Payment</v>
      </c>
      <c r="P6319">
        <v>315.45</v>
      </c>
      <c r="Q6319" s="37" t="str">
        <f>IF(P6319&gt;500,"High","low")</f>
        <v>low</v>
      </c>
      <c r="R6319" s="37" t="str">
        <f t="shared" si="494"/>
        <v>AVERAGE</v>
      </c>
      <c r="S6319" t="s">
        <v>609</v>
      </c>
    </row>
    <row r="6320" spans="1:19" x14ac:dyDescent="0.2">
      <c r="A6320" t="s">
        <v>6931</v>
      </c>
      <c r="B6320" t="s">
        <v>83</v>
      </c>
      <c r="C6320" t="s">
        <v>614</v>
      </c>
      <c r="D6320">
        <v>2219.9</v>
      </c>
      <c r="E6320" s="37" t="str">
        <f t="shared" si="490"/>
        <v xml:space="preserve"> </v>
      </c>
      <c r="F6320">
        <v>0.43</v>
      </c>
      <c r="G6320" s="37" t="str">
        <f t="shared" si="491"/>
        <v>Heavy Discount</v>
      </c>
      <c r="H6320" s="37" t="str">
        <f t="shared" si="492"/>
        <v>High</v>
      </c>
      <c r="I6320">
        <v>2</v>
      </c>
      <c r="J6320" t="str" cm="1">
        <f t="array" ref="J6320">_xlfn.IFS(I6320&lt;=3,"small",I6320&lt;=6,"Medium",I6320&lt;=9,"Large")</f>
        <v>small</v>
      </c>
      <c r="K6320" s="36">
        <v>45460</v>
      </c>
      <c r="L6320" s="36">
        <v>45467</v>
      </c>
      <c r="M6320" t="s">
        <v>598</v>
      </c>
      <c r="N6320" t="s">
        <v>599</v>
      </c>
      <c r="O6320" s="37" t="str">
        <f t="shared" si="493"/>
        <v>Digital Payment</v>
      </c>
      <c r="P6320">
        <v>454.28</v>
      </c>
      <c r="Q6320" s="37" t="str">
        <f>IF(P6320&gt;500,"High","low")</f>
        <v>low</v>
      </c>
      <c r="R6320" s="37" t="str">
        <f t="shared" si="494"/>
        <v>AVERAGE</v>
      </c>
      <c r="S6320" t="s">
        <v>628</v>
      </c>
    </row>
    <row r="6321" spans="1:19" x14ac:dyDescent="0.2">
      <c r="A6321" t="s">
        <v>6932</v>
      </c>
      <c r="B6321" t="s">
        <v>67</v>
      </c>
      <c r="C6321" t="s">
        <v>597</v>
      </c>
      <c r="D6321">
        <v>4113.6099999999997</v>
      </c>
      <c r="E6321" s="37" t="str">
        <f t="shared" si="490"/>
        <v xml:space="preserve"> </v>
      </c>
      <c r="F6321">
        <v>0.19</v>
      </c>
      <c r="G6321" s="37" t="str">
        <f t="shared" si="491"/>
        <v>Normal Discount</v>
      </c>
      <c r="H6321" s="37" t="str">
        <f t="shared" si="492"/>
        <v>Low</v>
      </c>
      <c r="I6321">
        <v>1</v>
      </c>
      <c r="J6321" t="str" cm="1">
        <f t="array" ref="J6321">_xlfn.IFS(I6321&lt;=3,"small",I6321&lt;=6,"Medium",I6321&lt;=9,"Large")</f>
        <v>small</v>
      </c>
      <c r="K6321" s="36">
        <v>45312</v>
      </c>
      <c r="L6321" s="36">
        <v>45318</v>
      </c>
      <c r="M6321" t="s">
        <v>598</v>
      </c>
      <c r="N6321" t="s">
        <v>599</v>
      </c>
      <c r="O6321" s="37" t="str">
        <f t="shared" si="493"/>
        <v>Digital Payment</v>
      </c>
      <c r="P6321">
        <v>278.52</v>
      </c>
      <c r="Q6321" s="37" t="str">
        <f>IF(P6321&gt;500,"High","low")</f>
        <v>low</v>
      </c>
      <c r="R6321" s="37" t="str">
        <f t="shared" si="494"/>
        <v>AVERAGE</v>
      </c>
      <c r="S6321" t="s">
        <v>600</v>
      </c>
    </row>
    <row r="6322" spans="1:19" x14ac:dyDescent="0.2">
      <c r="A6322" t="s">
        <v>6933</v>
      </c>
      <c r="B6322" t="s">
        <v>90</v>
      </c>
      <c r="C6322" t="s">
        <v>597</v>
      </c>
      <c r="D6322">
        <v>3489.75</v>
      </c>
      <c r="E6322" s="37" t="str">
        <f t="shared" si="490"/>
        <v xml:space="preserve"> </v>
      </c>
      <c r="F6322">
        <v>0.35</v>
      </c>
      <c r="G6322" s="37" t="str">
        <f t="shared" si="491"/>
        <v>Heavy Discount</v>
      </c>
      <c r="H6322" s="37" t="str">
        <f t="shared" si="492"/>
        <v>Medium</v>
      </c>
      <c r="I6322">
        <v>8</v>
      </c>
      <c r="J6322" t="str" cm="1">
        <f t="array" ref="J6322">_xlfn.IFS(I6322&lt;=3,"small",I6322&lt;=6,"Medium",I6322&lt;=9,"Large")</f>
        <v>Large</v>
      </c>
      <c r="K6322" s="36">
        <v>45544</v>
      </c>
      <c r="L6322" s="36">
        <v>45550</v>
      </c>
      <c r="M6322" t="s">
        <v>598</v>
      </c>
      <c r="N6322" t="s">
        <v>608</v>
      </c>
      <c r="O6322" s="37" t="str">
        <f t="shared" si="493"/>
        <v>Cash Payment</v>
      </c>
      <c r="P6322">
        <v>485.63</v>
      </c>
      <c r="Q6322" s="37" t="str">
        <f>IF(P6322&gt;500,"High","low")</f>
        <v>low</v>
      </c>
      <c r="R6322" s="37" t="str">
        <f t="shared" si="494"/>
        <v>AVERAGE</v>
      </c>
      <c r="S6322" t="s">
        <v>600</v>
      </c>
    </row>
    <row r="6323" spans="1:19" x14ac:dyDescent="0.2">
      <c r="A6323" t="s">
        <v>6934</v>
      </c>
      <c r="B6323" t="s">
        <v>83</v>
      </c>
      <c r="C6323" t="s">
        <v>617</v>
      </c>
      <c r="D6323">
        <v>689.8</v>
      </c>
      <c r="E6323" s="37" t="str">
        <f t="shared" si="490"/>
        <v xml:space="preserve"> </v>
      </c>
      <c r="F6323">
        <v>0.4</v>
      </c>
      <c r="G6323" s="37" t="str">
        <f t="shared" si="491"/>
        <v>Heavy Discount</v>
      </c>
      <c r="H6323" s="37" t="str">
        <f t="shared" si="492"/>
        <v>Medium</v>
      </c>
      <c r="I6323">
        <v>8</v>
      </c>
      <c r="J6323" t="str" cm="1">
        <f t="array" ref="J6323">_xlfn.IFS(I6323&lt;=3,"small",I6323&lt;=6,"Medium",I6323&lt;=9,"Large")</f>
        <v>Large</v>
      </c>
      <c r="K6323" s="36">
        <v>45141</v>
      </c>
      <c r="L6323" s="36">
        <v>45142</v>
      </c>
      <c r="M6323" t="s">
        <v>603</v>
      </c>
      <c r="N6323" t="s">
        <v>608</v>
      </c>
      <c r="O6323" s="37" t="str">
        <f t="shared" si="493"/>
        <v>Cash Payment</v>
      </c>
      <c r="P6323">
        <v>150.34</v>
      </c>
      <c r="Q6323" s="37" t="str">
        <f>IF(P6323&gt;500,"High","low")</f>
        <v>low</v>
      </c>
      <c r="R6323" s="37" t="str">
        <f t="shared" si="494"/>
        <v>AVERAGE</v>
      </c>
      <c r="S6323" t="s">
        <v>605</v>
      </c>
    </row>
    <row r="6324" spans="1:19" x14ac:dyDescent="0.2">
      <c r="A6324" t="s">
        <v>6935</v>
      </c>
      <c r="B6324" t="s">
        <v>75</v>
      </c>
      <c r="C6324" t="s">
        <v>597</v>
      </c>
      <c r="D6324">
        <v>2745.38</v>
      </c>
      <c r="E6324" s="37" t="str">
        <f t="shared" si="490"/>
        <v xml:space="preserve"> </v>
      </c>
      <c r="F6324">
        <v>0.09</v>
      </c>
      <c r="G6324" s="37" t="str">
        <f t="shared" si="491"/>
        <v>Normal Discount</v>
      </c>
      <c r="H6324" s="37" t="str">
        <f t="shared" si="492"/>
        <v>Low</v>
      </c>
      <c r="I6324">
        <v>5</v>
      </c>
      <c r="J6324" t="str" cm="1">
        <f t="array" ref="J6324">_xlfn.IFS(I6324&lt;=3,"small",I6324&lt;=6,"Medium",I6324&lt;=9,"Large")</f>
        <v>Medium</v>
      </c>
      <c r="K6324" s="36">
        <v>45396</v>
      </c>
      <c r="L6324" s="36">
        <v>45400</v>
      </c>
      <c r="M6324" t="s">
        <v>598</v>
      </c>
      <c r="N6324" t="s">
        <v>608</v>
      </c>
      <c r="O6324" s="37" t="str">
        <f t="shared" si="493"/>
        <v>Cash Payment</v>
      </c>
      <c r="P6324">
        <v>350.27</v>
      </c>
      <c r="Q6324" s="37" t="str">
        <f>IF(P6324&gt;500,"High","low")</f>
        <v>low</v>
      </c>
      <c r="R6324" s="37" t="str">
        <f t="shared" si="494"/>
        <v>AVERAGE</v>
      </c>
      <c r="S6324" t="s">
        <v>609</v>
      </c>
    </row>
    <row r="6325" spans="1:19" x14ac:dyDescent="0.2">
      <c r="A6325" t="s">
        <v>6936</v>
      </c>
      <c r="B6325" t="s">
        <v>75</v>
      </c>
      <c r="C6325" t="s">
        <v>617</v>
      </c>
      <c r="D6325">
        <v>3669.92</v>
      </c>
      <c r="E6325" s="37" t="str">
        <f t="shared" si="490"/>
        <v xml:space="preserve"> </v>
      </c>
      <c r="F6325">
        <v>0.06</v>
      </c>
      <c r="G6325" s="37" t="str">
        <f t="shared" si="491"/>
        <v>Normal Discount</v>
      </c>
      <c r="H6325" s="37" t="str">
        <f t="shared" si="492"/>
        <v>Low</v>
      </c>
      <c r="I6325">
        <v>2</v>
      </c>
      <c r="J6325" t="str" cm="1">
        <f t="array" ref="J6325">_xlfn.IFS(I6325&lt;=3,"small",I6325&lt;=6,"Medium",I6325&lt;=9,"Large")</f>
        <v>small</v>
      </c>
      <c r="K6325" s="36">
        <v>45116</v>
      </c>
      <c r="L6325" s="36">
        <v>45123</v>
      </c>
      <c r="M6325" t="s">
        <v>598</v>
      </c>
      <c r="N6325" t="s">
        <v>608</v>
      </c>
      <c r="O6325" s="37" t="str">
        <f t="shared" si="493"/>
        <v>Cash Payment</v>
      </c>
      <c r="P6325">
        <v>498.91</v>
      </c>
      <c r="Q6325" s="37" t="str">
        <f>IF(P6325&gt;500,"High","low")</f>
        <v>low</v>
      </c>
      <c r="R6325" s="37" t="str">
        <f t="shared" si="494"/>
        <v>AVERAGE</v>
      </c>
      <c r="S6325" t="s">
        <v>600</v>
      </c>
    </row>
    <row r="6326" spans="1:19" x14ac:dyDescent="0.2">
      <c r="A6326" t="s">
        <v>6937</v>
      </c>
      <c r="B6326" t="s">
        <v>67</v>
      </c>
      <c r="C6326" t="s">
        <v>602</v>
      </c>
      <c r="D6326">
        <v>2811.11</v>
      </c>
      <c r="E6326" s="37" t="str">
        <f t="shared" si="490"/>
        <v xml:space="preserve"> </v>
      </c>
      <c r="F6326">
        <v>0</v>
      </c>
      <c r="G6326" s="37" t="str">
        <f t="shared" si="491"/>
        <v>Normal Discount</v>
      </c>
      <c r="H6326" s="37" t="str">
        <f t="shared" si="492"/>
        <v>Low</v>
      </c>
      <c r="I6326">
        <v>5</v>
      </c>
      <c r="J6326" t="str" cm="1">
        <f t="array" ref="J6326">_xlfn.IFS(I6326&lt;=3,"small",I6326&lt;=6,"Medium",I6326&lt;=9,"Large")</f>
        <v>Medium</v>
      </c>
      <c r="K6326" s="36">
        <v>45468</v>
      </c>
      <c r="L6326" s="36">
        <v>45473</v>
      </c>
      <c r="M6326" t="s">
        <v>603</v>
      </c>
      <c r="N6326" t="s">
        <v>599</v>
      </c>
      <c r="O6326" s="37" t="str">
        <f t="shared" si="493"/>
        <v>Digital Payment</v>
      </c>
      <c r="P6326">
        <v>680.27</v>
      </c>
      <c r="Q6326" s="37" t="str">
        <f>IF(P6326&gt;500,"High","low")</f>
        <v>High</v>
      </c>
      <c r="R6326" s="37" t="str">
        <f t="shared" si="494"/>
        <v>Good</v>
      </c>
      <c r="S6326" t="s">
        <v>609</v>
      </c>
    </row>
    <row r="6327" spans="1:19" x14ac:dyDescent="0.2">
      <c r="A6327" t="s">
        <v>6938</v>
      </c>
      <c r="B6327" t="s">
        <v>83</v>
      </c>
      <c r="C6327" t="s">
        <v>602</v>
      </c>
      <c r="D6327">
        <v>4750.24</v>
      </c>
      <c r="E6327" s="37" t="str">
        <f t="shared" si="490"/>
        <v>Excellent Order</v>
      </c>
      <c r="F6327">
        <v>0.15</v>
      </c>
      <c r="G6327" s="37" t="str">
        <f t="shared" si="491"/>
        <v>Normal Discount</v>
      </c>
      <c r="H6327" s="37" t="str">
        <f t="shared" si="492"/>
        <v>Low</v>
      </c>
      <c r="I6327">
        <v>8</v>
      </c>
      <c r="J6327" t="str" cm="1">
        <f t="array" ref="J6327">_xlfn.IFS(I6327&lt;=3,"small",I6327&lt;=6,"Medium",I6327&lt;=9,"Large")</f>
        <v>Large</v>
      </c>
      <c r="K6327" s="36">
        <v>45081</v>
      </c>
      <c r="L6327" s="36">
        <v>45085</v>
      </c>
      <c r="M6327" t="s">
        <v>598</v>
      </c>
      <c r="N6327" t="s">
        <v>599</v>
      </c>
      <c r="O6327" s="37" t="str">
        <f t="shared" si="493"/>
        <v>Digital Payment</v>
      </c>
      <c r="P6327">
        <v>1170.43</v>
      </c>
      <c r="Q6327" s="37" t="str">
        <f>IF(P6327&gt;500,"High","low")</f>
        <v>High</v>
      </c>
      <c r="R6327" s="37" t="str">
        <f t="shared" si="494"/>
        <v>Excellent</v>
      </c>
      <c r="S6327" t="s">
        <v>615</v>
      </c>
    </row>
    <row r="6328" spans="1:19" x14ac:dyDescent="0.2">
      <c r="A6328" t="s">
        <v>6939</v>
      </c>
      <c r="B6328" t="s">
        <v>67</v>
      </c>
      <c r="C6328" t="s">
        <v>602</v>
      </c>
      <c r="D6328">
        <v>597.30999999999995</v>
      </c>
      <c r="E6328" s="37" t="str">
        <f t="shared" si="490"/>
        <v xml:space="preserve"> </v>
      </c>
      <c r="F6328">
        <v>0.41</v>
      </c>
      <c r="G6328" s="37" t="str">
        <f t="shared" si="491"/>
        <v>Heavy Discount</v>
      </c>
      <c r="H6328" s="37" t="str">
        <f t="shared" si="492"/>
        <v>High</v>
      </c>
      <c r="I6328">
        <v>4</v>
      </c>
      <c r="J6328" t="str" cm="1">
        <f t="array" ref="J6328">_xlfn.IFS(I6328&lt;=3,"small",I6328&lt;=6,"Medium",I6328&lt;=9,"Large")</f>
        <v>Medium</v>
      </c>
      <c r="K6328" s="36">
        <v>45385</v>
      </c>
      <c r="L6328" s="36">
        <v>45389</v>
      </c>
      <c r="M6328" t="s">
        <v>598</v>
      </c>
      <c r="N6328" t="s">
        <v>608</v>
      </c>
      <c r="O6328" s="37" t="str">
        <f t="shared" si="493"/>
        <v>Cash Payment</v>
      </c>
      <c r="P6328">
        <v>140.43</v>
      </c>
      <c r="Q6328" s="37" t="str">
        <f>IF(P6328&gt;500,"High","low")</f>
        <v>low</v>
      </c>
      <c r="R6328" s="37" t="str">
        <f t="shared" si="494"/>
        <v>AVERAGE</v>
      </c>
      <c r="S6328" t="s">
        <v>600</v>
      </c>
    </row>
    <row r="6329" spans="1:19" x14ac:dyDescent="0.2">
      <c r="A6329" t="s">
        <v>6940</v>
      </c>
      <c r="B6329" t="s">
        <v>90</v>
      </c>
      <c r="C6329" t="s">
        <v>617</v>
      </c>
      <c r="D6329">
        <v>3639.38</v>
      </c>
      <c r="E6329" s="37" t="str">
        <f t="shared" si="490"/>
        <v xml:space="preserve"> </v>
      </c>
      <c r="F6329">
        <v>0.39</v>
      </c>
      <c r="G6329" s="37" t="str">
        <f t="shared" si="491"/>
        <v>Heavy Discount</v>
      </c>
      <c r="H6329" s="37" t="str">
        <f t="shared" si="492"/>
        <v>Medium</v>
      </c>
      <c r="I6329">
        <v>2</v>
      </c>
      <c r="J6329" t="str" cm="1">
        <f t="array" ref="J6329">_xlfn.IFS(I6329&lt;=3,"small",I6329&lt;=6,"Medium",I6329&lt;=9,"Large")</f>
        <v>small</v>
      </c>
      <c r="K6329" s="36">
        <v>44963</v>
      </c>
      <c r="L6329" s="36">
        <v>44969</v>
      </c>
      <c r="M6329" t="s">
        <v>612</v>
      </c>
      <c r="N6329" t="s">
        <v>599</v>
      </c>
      <c r="O6329" s="37" t="str">
        <f t="shared" si="493"/>
        <v>Digital Payment</v>
      </c>
      <c r="P6329">
        <v>484.89</v>
      </c>
      <c r="Q6329" s="37" t="str">
        <f>IF(P6329&gt;500,"High","low")</f>
        <v>low</v>
      </c>
      <c r="R6329" s="37" t="str">
        <f t="shared" si="494"/>
        <v>AVERAGE</v>
      </c>
      <c r="S6329" t="s">
        <v>628</v>
      </c>
    </row>
    <row r="6330" spans="1:19" x14ac:dyDescent="0.2">
      <c r="A6330" t="s">
        <v>6941</v>
      </c>
      <c r="B6330" t="s">
        <v>75</v>
      </c>
      <c r="C6330" t="s">
        <v>617</v>
      </c>
      <c r="D6330">
        <v>4139.8100000000004</v>
      </c>
      <c r="E6330" s="37" t="str">
        <f t="shared" si="490"/>
        <v xml:space="preserve"> </v>
      </c>
      <c r="F6330">
        <v>0.44</v>
      </c>
      <c r="G6330" s="37" t="str">
        <f t="shared" si="491"/>
        <v>Heavy Discount</v>
      </c>
      <c r="H6330" s="37" t="str">
        <f t="shared" si="492"/>
        <v>High</v>
      </c>
      <c r="I6330">
        <v>3</v>
      </c>
      <c r="J6330" t="str" cm="1">
        <f t="array" ref="J6330">_xlfn.IFS(I6330&lt;=3,"small",I6330&lt;=6,"Medium",I6330&lt;=9,"Large")</f>
        <v>small</v>
      </c>
      <c r="K6330" s="36">
        <v>45252</v>
      </c>
      <c r="L6330" s="36">
        <v>45256</v>
      </c>
      <c r="M6330" t="s">
        <v>598</v>
      </c>
      <c r="N6330" t="s">
        <v>608</v>
      </c>
      <c r="O6330" s="37" t="str">
        <f t="shared" si="493"/>
        <v>Cash Payment</v>
      </c>
      <c r="P6330">
        <v>756.13</v>
      </c>
      <c r="Q6330" s="37" t="str">
        <f>IF(P6330&gt;500,"High","low")</f>
        <v>High</v>
      </c>
      <c r="R6330" s="37" t="str">
        <f t="shared" si="494"/>
        <v>Good</v>
      </c>
      <c r="S6330" t="s">
        <v>609</v>
      </c>
    </row>
    <row r="6331" spans="1:19" x14ac:dyDescent="0.2">
      <c r="A6331" t="s">
        <v>6942</v>
      </c>
      <c r="B6331" t="s">
        <v>90</v>
      </c>
      <c r="C6331" t="s">
        <v>602</v>
      </c>
      <c r="D6331">
        <v>3543</v>
      </c>
      <c r="E6331" s="37" t="str">
        <f t="shared" si="490"/>
        <v xml:space="preserve"> </v>
      </c>
      <c r="F6331">
        <v>0.38</v>
      </c>
      <c r="G6331" s="37" t="str">
        <f t="shared" si="491"/>
        <v>Heavy Discount</v>
      </c>
      <c r="H6331" s="37" t="str">
        <f t="shared" si="492"/>
        <v>Medium</v>
      </c>
      <c r="I6331">
        <v>3</v>
      </c>
      <c r="J6331" t="str" cm="1">
        <f t="array" ref="J6331">_xlfn.IFS(I6331&lt;=3,"small",I6331&lt;=6,"Medium",I6331&lt;=9,"Large")</f>
        <v>small</v>
      </c>
      <c r="K6331" s="36">
        <v>45454</v>
      </c>
      <c r="L6331" s="36">
        <v>45460</v>
      </c>
      <c r="M6331" t="s">
        <v>612</v>
      </c>
      <c r="N6331" t="s">
        <v>599</v>
      </c>
      <c r="O6331" s="37" t="str">
        <f t="shared" si="493"/>
        <v>Digital Payment</v>
      </c>
      <c r="P6331">
        <v>950.92</v>
      </c>
      <c r="Q6331" s="37" t="str">
        <f>IF(P6331&gt;500,"High","low")</f>
        <v>High</v>
      </c>
      <c r="R6331" s="37" t="str">
        <f t="shared" si="494"/>
        <v>Good</v>
      </c>
      <c r="S6331" t="s">
        <v>615</v>
      </c>
    </row>
    <row r="6332" spans="1:19" x14ac:dyDescent="0.2">
      <c r="A6332" t="s">
        <v>6943</v>
      </c>
      <c r="B6332" t="s">
        <v>83</v>
      </c>
      <c r="C6332" t="s">
        <v>617</v>
      </c>
      <c r="D6332">
        <v>1989.37</v>
      </c>
      <c r="E6332" s="37" t="str">
        <f t="shared" si="490"/>
        <v xml:space="preserve"> </v>
      </c>
      <c r="F6332">
        <v>0.01</v>
      </c>
      <c r="G6332" s="37" t="str">
        <f t="shared" si="491"/>
        <v>Normal Discount</v>
      </c>
      <c r="H6332" s="37" t="str">
        <f t="shared" si="492"/>
        <v>Low</v>
      </c>
      <c r="I6332">
        <v>9</v>
      </c>
      <c r="J6332" t="str" cm="1">
        <f t="array" ref="J6332">_xlfn.IFS(I6332&lt;=3,"small",I6332&lt;=6,"Medium",I6332&lt;=9,"Large")</f>
        <v>Large</v>
      </c>
      <c r="K6332" s="36">
        <v>45050</v>
      </c>
      <c r="L6332" s="36">
        <v>45056</v>
      </c>
      <c r="M6332" t="s">
        <v>603</v>
      </c>
      <c r="N6332" t="s">
        <v>599</v>
      </c>
      <c r="O6332" s="37" t="str">
        <f t="shared" si="493"/>
        <v>Digital Payment</v>
      </c>
      <c r="P6332">
        <v>311.79000000000002</v>
      </c>
      <c r="Q6332" s="37" t="str">
        <f>IF(P6332&gt;500,"High","low")</f>
        <v>low</v>
      </c>
      <c r="R6332" s="37" t="str">
        <f t="shared" si="494"/>
        <v>AVERAGE</v>
      </c>
      <c r="S6332" t="s">
        <v>615</v>
      </c>
    </row>
    <row r="6333" spans="1:19" x14ac:dyDescent="0.2">
      <c r="A6333" t="s">
        <v>6944</v>
      </c>
      <c r="B6333" t="s">
        <v>67</v>
      </c>
      <c r="C6333" t="s">
        <v>607</v>
      </c>
      <c r="D6333">
        <v>1988.85</v>
      </c>
      <c r="E6333" s="37" t="str">
        <f t="shared" si="490"/>
        <v xml:space="preserve"> </v>
      </c>
      <c r="F6333">
        <v>0.19</v>
      </c>
      <c r="G6333" s="37" t="str">
        <f t="shared" si="491"/>
        <v>Normal Discount</v>
      </c>
      <c r="H6333" s="37" t="str">
        <f t="shared" si="492"/>
        <v>Low</v>
      </c>
      <c r="I6333">
        <v>3</v>
      </c>
      <c r="J6333" t="str" cm="1">
        <f t="array" ref="J6333">_xlfn.IFS(I6333&lt;=3,"small",I6333&lt;=6,"Medium",I6333&lt;=9,"Large")</f>
        <v>small</v>
      </c>
      <c r="K6333" s="36">
        <v>44946</v>
      </c>
      <c r="L6333" s="36">
        <v>44951</v>
      </c>
      <c r="M6333" t="s">
        <v>603</v>
      </c>
      <c r="N6333" t="s">
        <v>608</v>
      </c>
      <c r="O6333" s="37" t="str">
        <f t="shared" si="493"/>
        <v>Cash Payment</v>
      </c>
      <c r="P6333">
        <v>235.12</v>
      </c>
      <c r="Q6333" s="37" t="str">
        <f>IF(P6333&gt;500,"High","low")</f>
        <v>low</v>
      </c>
      <c r="R6333" s="37" t="str">
        <f t="shared" si="494"/>
        <v>AVERAGE</v>
      </c>
      <c r="S6333" t="s">
        <v>620</v>
      </c>
    </row>
    <row r="6334" spans="1:19" x14ac:dyDescent="0.2">
      <c r="A6334" t="s">
        <v>6945</v>
      </c>
      <c r="B6334" t="s">
        <v>67</v>
      </c>
      <c r="C6334" t="s">
        <v>607</v>
      </c>
      <c r="D6334">
        <v>2974.18</v>
      </c>
      <c r="E6334" s="37" t="str">
        <f t="shared" si="490"/>
        <v xml:space="preserve"> </v>
      </c>
      <c r="F6334">
        <v>0</v>
      </c>
      <c r="G6334" s="37" t="str">
        <f t="shared" si="491"/>
        <v>Normal Discount</v>
      </c>
      <c r="H6334" s="37" t="str">
        <f t="shared" si="492"/>
        <v>Low</v>
      </c>
      <c r="I6334">
        <v>1</v>
      </c>
      <c r="J6334" t="str" cm="1">
        <f t="array" ref="J6334">_xlfn.IFS(I6334&lt;=3,"small",I6334&lt;=6,"Medium",I6334&lt;=9,"Large")</f>
        <v>small</v>
      </c>
      <c r="K6334" s="36">
        <v>45155</v>
      </c>
      <c r="L6334" s="36">
        <v>45156</v>
      </c>
      <c r="M6334" t="s">
        <v>612</v>
      </c>
      <c r="N6334" t="s">
        <v>608</v>
      </c>
      <c r="O6334" s="37" t="str">
        <f t="shared" si="493"/>
        <v>Cash Payment</v>
      </c>
      <c r="P6334">
        <v>170.11</v>
      </c>
      <c r="Q6334" s="37" t="str">
        <f>IF(P6334&gt;500,"High","low")</f>
        <v>low</v>
      </c>
      <c r="R6334" s="37" t="str">
        <f t="shared" si="494"/>
        <v>AVERAGE</v>
      </c>
      <c r="S6334" t="s">
        <v>609</v>
      </c>
    </row>
    <row r="6335" spans="1:19" x14ac:dyDescent="0.2">
      <c r="A6335" t="s">
        <v>6946</v>
      </c>
      <c r="B6335" t="s">
        <v>67</v>
      </c>
      <c r="C6335" t="s">
        <v>617</v>
      </c>
      <c r="D6335">
        <v>2045.78</v>
      </c>
      <c r="E6335" s="37" t="str">
        <f t="shared" si="490"/>
        <v xml:space="preserve"> </v>
      </c>
      <c r="F6335">
        <v>0.02</v>
      </c>
      <c r="G6335" s="37" t="str">
        <f t="shared" si="491"/>
        <v>Normal Discount</v>
      </c>
      <c r="H6335" s="37" t="str">
        <f t="shared" si="492"/>
        <v>Low</v>
      </c>
      <c r="I6335">
        <v>7</v>
      </c>
      <c r="J6335" t="str" cm="1">
        <f t="array" ref="J6335">_xlfn.IFS(I6335&lt;=3,"small",I6335&lt;=6,"Medium",I6335&lt;=9,"Large")</f>
        <v>Large</v>
      </c>
      <c r="K6335" s="36">
        <v>45305</v>
      </c>
      <c r="L6335" s="36">
        <v>45312</v>
      </c>
      <c r="M6335" t="s">
        <v>612</v>
      </c>
      <c r="N6335" t="s">
        <v>599</v>
      </c>
      <c r="O6335" s="37" t="str">
        <f t="shared" si="493"/>
        <v>Digital Payment</v>
      </c>
      <c r="P6335">
        <v>394.18</v>
      </c>
      <c r="Q6335" s="37" t="str">
        <f>IF(P6335&gt;500,"High","low")</f>
        <v>low</v>
      </c>
      <c r="R6335" s="37" t="str">
        <f t="shared" si="494"/>
        <v>AVERAGE</v>
      </c>
      <c r="S6335" t="s">
        <v>609</v>
      </c>
    </row>
    <row r="6336" spans="1:19" x14ac:dyDescent="0.2">
      <c r="A6336" t="s">
        <v>6947</v>
      </c>
      <c r="B6336" t="s">
        <v>90</v>
      </c>
      <c r="C6336" t="s">
        <v>617</v>
      </c>
      <c r="D6336">
        <v>4427.6000000000004</v>
      </c>
      <c r="E6336" s="37" t="str">
        <f t="shared" si="490"/>
        <v xml:space="preserve"> </v>
      </c>
      <c r="F6336">
        <v>0.24</v>
      </c>
      <c r="G6336" s="37" t="str">
        <f t="shared" si="491"/>
        <v>Normal Discount</v>
      </c>
      <c r="H6336" s="37" t="str">
        <f t="shared" si="492"/>
        <v>Medium</v>
      </c>
      <c r="I6336">
        <v>1</v>
      </c>
      <c r="J6336" t="str" cm="1">
        <f t="array" ref="J6336">_xlfn.IFS(I6336&lt;=3,"small",I6336&lt;=6,"Medium",I6336&lt;=9,"Large")</f>
        <v>small</v>
      </c>
      <c r="K6336" s="36">
        <v>45256</v>
      </c>
      <c r="L6336" s="36">
        <v>45258</v>
      </c>
      <c r="M6336" t="s">
        <v>612</v>
      </c>
      <c r="N6336" t="s">
        <v>599</v>
      </c>
      <c r="O6336" s="37" t="str">
        <f t="shared" si="493"/>
        <v>Digital Payment</v>
      </c>
      <c r="P6336">
        <v>459.4</v>
      </c>
      <c r="Q6336" s="37" t="str">
        <f>IF(P6336&gt;500,"High","low")</f>
        <v>low</v>
      </c>
      <c r="R6336" s="37" t="str">
        <f t="shared" si="494"/>
        <v>AVERAGE</v>
      </c>
      <c r="S6336" t="s">
        <v>609</v>
      </c>
    </row>
    <row r="6337" spans="1:19" x14ac:dyDescent="0.2">
      <c r="A6337" t="s">
        <v>6948</v>
      </c>
      <c r="B6337" t="s">
        <v>75</v>
      </c>
      <c r="C6337" t="s">
        <v>614</v>
      </c>
      <c r="D6337">
        <v>638.66</v>
      </c>
      <c r="E6337" s="37" t="str">
        <f t="shared" si="490"/>
        <v xml:space="preserve"> </v>
      </c>
      <c r="F6337">
        <v>0.18</v>
      </c>
      <c r="G6337" s="37" t="str">
        <f t="shared" si="491"/>
        <v>Normal Discount</v>
      </c>
      <c r="H6337" s="37" t="str">
        <f t="shared" si="492"/>
        <v>Low</v>
      </c>
      <c r="I6337">
        <v>6</v>
      </c>
      <c r="J6337" t="str" cm="1">
        <f t="array" ref="J6337">_xlfn.IFS(I6337&lt;=3,"small",I6337&lt;=6,"Medium",I6337&lt;=9,"Large")</f>
        <v>Medium</v>
      </c>
      <c r="K6337" s="36">
        <v>45335</v>
      </c>
      <c r="L6337" s="36">
        <v>45338</v>
      </c>
      <c r="M6337" t="s">
        <v>598</v>
      </c>
      <c r="N6337" t="s">
        <v>608</v>
      </c>
      <c r="O6337" s="37" t="str">
        <f t="shared" si="493"/>
        <v>Cash Payment</v>
      </c>
      <c r="P6337">
        <v>148.38999999999999</v>
      </c>
      <c r="Q6337" s="37" t="str">
        <f>IF(P6337&gt;500,"High","low")</f>
        <v>low</v>
      </c>
      <c r="R6337" s="37" t="str">
        <f t="shared" si="494"/>
        <v>AVERAGE</v>
      </c>
      <c r="S6337" t="s">
        <v>620</v>
      </c>
    </row>
    <row r="6338" spans="1:19" x14ac:dyDescent="0.2">
      <c r="A6338" t="s">
        <v>6949</v>
      </c>
      <c r="B6338" t="s">
        <v>90</v>
      </c>
      <c r="C6338" t="s">
        <v>614</v>
      </c>
      <c r="D6338">
        <v>3231.87</v>
      </c>
      <c r="E6338" s="37" t="str">
        <f t="shared" si="490"/>
        <v xml:space="preserve"> </v>
      </c>
      <c r="F6338">
        <v>0.28000000000000003</v>
      </c>
      <c r="G6338" s="37" t="str">
        <f t="shared" si="491"/>
        <v>Normal Discount</v>
      </c>
      <c r="H6338" s="37" t="str">
        <f t="shared" si="492"/>
        <v>Medium</v>
      </c>
      <c r="I6338">
        <v>4</v>
      </c>
      <c r="J6338" t="str" cm="1">
        <f t="array" ref="J6338">_xlfn.IFS(I6338&lt;=3,"small",I6338&lt;=6,"Medium",I6338&lt;=9,"Large")</f>
        <v>Medium</v>
      </c>
      <c r="K6338" s="36">
        <v>45241</v>
      </c>
      <c r="L6338" s="36">
        <v>45243</v>
      </c>
      <c r="M6338" t="s">
        <v>598</v>
      </c>
      <c r="N6338" t="s">
        <v>599</v>
      </c>
      <c r="O6338" s="37" t="str">
        <f t="shared" si="493"/>
        <v>Digital Payment</v>
      </c>
      <c r="P6338">
        <v>229.61</v>
      </c>
      <c r="Q6338" s="37" t="str">
        <f>IF(P6338&gt;500,"High","low")</f>
        <v>low</v>
      </c>
      <c r="R6338" s="37" t="str">
        <f t="shared" si="494"/>
        <v>AVERAGE</v>
      </c>
      <c r="S6338" t="s">
        <v>615</v>
      </c>
    </row>
    <row r="6339" spans="1:19" x14ac:dyDescent="0.2">
      <c r="A6339" t="s">
        <v>6950</v>
      </c>
      <c r="B6339" t="s">
        <v>90</v>
      </c>
      <c r="C6339" t="s">
        <v>597</v>
      </c>
      <c r="D6339">
        <v>757.16</v>
      </c>
      <c r="E6339" s="37" t="str">
        <f t="shared" ref="E6339:E6402" si="495">IF(AND(D6339&gt;4000,P6339&gt;800),"Excellent Order"," ")</f>
        <v xml:space="preserve"> </v>
      </c>
      <c r="F6339">
        <v>0.03</v>
      </c>
      <c r="G6339" s="37" t="str">
        <f t="shared" ref="G6339:G6402" si="496">IF(F6339&gt;30%,"Heavy Discount","Normal Discount")</f>
        <v>Normal Discount</v>
      </c>
      <c r="H6339" s="37" t="str">
        <f t="shared" ref="H6339:H6402" si="497">IF(F6339&gt;0.4,"High",IF(F6339&gt;=0.2,"Medium","Low"))</f>
        <v>Low</v>
      </c>
      <c r="I6339">
        <v>7</v>
      </c>
      <c r="J6339" t="str" cm="1">
        <f t="array" ref="J6339">_xlfn.IFS(I6339&lt;=3,"small",I6339&lt;=6,"Medium",I6339&lt;=9,"Large")</f>
        <v>Large</v>
      </c>
      <c r="K6339" s="36">
        <v>45652</v>
      </c>
      <c r="L6339" s="36">
        <v>45655</v>
      </c>
      <c r="M6339" t="s">
        <v>612</v>
      </c>
      <c r="N6339" t="s">
        <v>604</v>
      </c>
      <c r="O6339" s="37" t="str">
        <f t="shared" ref="O6339:O6402" si="498">IF(OR(N6339="Card",N6339="UPI"),"Digital Payment","Cash Payment")</f>
        <v>Digital Payment</v>
      </c>
      <c r="P6339">
        <v>116.2</v>
      </c>
      <c r="Q6339" s="37" t="str">
        <f>IF(P6339&gt;500,"High","low")</f>
        <v>low</v>
      </c>
      <c r="R6339" s="37" t="str">
        <f t="shared" ref="R6339:R6402" si="499">IF(P6339&gt;1000,"Excellent",IF(P6339&gt;=500,"Good","AVERAGE"))</f>
        <v>AVERAGE</v>
      </c>
      <c r="S6339" t="s">
        <v>628</v>
      </c>
    </row>
    <row r="6340" spans="1:19" x14ac:dyDescent="0.2">
      <c r="A6340" t="s">
        <v>6951</v>
      </c>
      <c r="B6340" t="s">
        <v>83</v>
      </c>
      <c r="C6340" t="s">
        <v>597</v>
      </c>
      <c r="D6340">
        <v>2746.78</v>
      </c>
      <c r="E6340" s="37" t="str">
        <f t="shared" si="495"/>
        <v xml:space="preserve"> </v>
      </c>
      <c r="F6340">
        <v>0.28999999999999998</v>
      </c>
      <c r="G6340" s="37" t="str">
        <f t="shared" si="496"/>
        <v>Normal Discount</v>
      </c>
      <c r="H6340" s="37" t="str">
        <f t="shared" si="497"/>
        <v>Medium</v>
      </c>
      <c r="I6340">
        <v>7</v>
      </c>
      <c r="J6340" t="str" cm="1">
        <f t="array" ref="J6340">_xlfn.IFS(I6340&lt;=3,"small",I6340&lt;=6,"Medium",I6340&lt;=9,"Large")</f>
        <v>Large</v>
      </c>
      <c r="K6340" s="36">
        <v>45598</v>
      </c>
      <c r="L6340" s="36">
        <v>45600</v>
      </c>
      <c r="M6340" t="s">
        <v>612</v>
      </c>
      <c r="N6340" t="s">
        <v>604</v>
      </c>
      <c r="O6340" s="37" t="str">
        <f t="shared" si="498"/>
        <v>Digital Payment</v>
      </c>
      <c r="P6340">
        <v>366.88</v>
      </c>
      <c r="Q6340" s="37" t="str">
        <f>IF(P6340&gt;500,"High","low")</f>
        <v>low</v>
      </c>
      <c r="R6340" s="37" t="str">
        <f t="shared" si="499"/>
        <v>AVERAGE</v>
      </c>
      <c r="S6340" t="s">
        <v>620</v>
      </c>
    </row>
    <row r="6341" spans="1:19" x14ac:dyDescent="0.2">
      <c r="A6341" t="s">
        <v>6952</v>
      </c>
      <c r="B6341" t="s">
        <v>83</v>
      </c>
      <c r="C6341" t="s">
        <v>597</v>
      </c>
      <c r="D6341">
        <v>3606.35</v>
      </c>
      <c r="E6341" s="37" t="str">
        <f t="shared" si="495"/>
        <v xml:space="preserve"> </v>
      </c>
      <c r="F6341">
        <v>0.03</v>
      </c>
      <c r="G6341" s="37" t="str">
        <f t="shared" si="496"/>
        <v>Normal Discount</v>
      </c>
      <c r="H6341" s="37" t="str">
        <f t="shared" si="497"/>
        <v>Low</v>
      </c>
      <c r="I6341">
        <v>7</v>
      </c>
      <c r="J6341" t="str" cm="1">
        <f t="array" ref="J6341">_xlfn.IFS(I6341&lt;=3,"small",I6341&lt;=6,"Medium",I6341&lt;=9,"Large")</f>
        <v>Large</v>
      </c>
      <c r="K6341" s="36">
        <v>45583</v>
      </c>
      <c r="L6341" s="36">
        <v>45590</v>
      </c>
      <c r="M6341" t="s">
        <v>612</v>
      </c>
      <c r="N6341" t="s">
        <v>604</v>
      </c>
      <c r="O6341" s="37" t="str">
        <f t="shared" si="498"/>
        <v>Digital Payment</v>
      </c>
      <c r="P6341">
        <v>432.43</v>
      </c>
      <c r="Q6341" s="37" t="str">
        <f>IF(P6341&gt;500,"High","low")</f>
        <v>low</v>
      </c>
      <c r="R6341" s="37" t="str">
        <f t="shared" si="499"/>
        <v>AVERAGE</v>
      </c>
      <c r="S6341" t="s">
        <v>609</v>
      </c>
    </row>
    <row r="6342" spans="1:19" x14ac:dyDescent="0.2">
      <c r="A6342" t="s">
        <v>6953</v>
      </c>
      <c r="B6342" t="s">
        <v>83</v>
      </c>
      <c r="C6342" t="s">
        <v>602</v>
      </c>
      <c r="D6342">
        <v>911</v>
      </c>
      <c r="E6342" s="37" t="str">
        <f t="shared" si="495"/>
        <v xml:space="preserve"> </v>
      </c>
      <c r="F6342">
        <v>0.21</v>
      </c>
      <c r="G6342" s="37" t="str">
        <f t="shared" si="496"/>
        <v>Normal Discount</v>
      </c>
      <c r="H6342" s="37" t="str">
        <f t="shared" si="497"/>
        <v>Medium</v>
      </c>
      <c r="I6342">
        <v>6</v>
      </c>
      <c r="J6342" t="str" cm="1">
        <f t="array" ref="J6342">_xlfn.IFS(I6342&lt;=3,"small",I6342&lt;=6,"Medium",I6342&lt;=9,"Large")</f>
        <v>Medium</v>
      </c>
      <c r="K6342" s="36">
        <v>45144</v>
      </c>
      <c r="L6342" s="36">
        <v>45149</v>
      </c>
      <c r="M6342" t="s">
        <v>603</v>
      </c>
      <c r="N6342" t="s">
        <v>608</v>
      </c>
      <c r="O6342" s="37" t="str">
        <f t="shared" si="498"/>
        <v>Cash Payment</v>
      </c>
      <c r="P6342">
        <v>270.73</v>
      </c>
      <c r="Q6342" s="37" t="str">
        <f>IF(P6342&gt;500,"High","low")</f>
        <v>low</v>
      </c>
      <c r="R6342" s="37" t="str">
        <f t="shared" si="499"/>
        <v>AVERAGE</v>
      </c>
      <c r="S6342" t="s">
        <v>605</v>
      </c>
    </row>
    <row r="6343" spans="1:19" x14ac:dyDescent="0.2">
      <c r="A6343" t="s">
        <v>6954</v>
      </c>
      <c r="B6343" t="s">
        <v>75</v>
      </c>
      <c r="C6343" t="s">
        <v>607</v>
      </c>
      <c r="D6343">
        <v>3549.76</v>
      </c>
      <c r="E6343" s="37" t="str">
        <f t="shared" si="495"/>
        <v xml:space="preserve"> </v>
      </c>
      <c r="F6343">
        <v>0.18</v>
      </c>
      <c r="G6343" s="37" t="str">
        <f t="shared" si="496"/>
        <v>Normal Discount</v>
      </c>
      <c r="H6343" s="37" t="str">
        <f t="shared" si="497"/>
        <v>Low</v>
      </c>
      <c r="I6343">
        <v>7</v>
      </c>
      <c r="J6343" t="str" cm="1">
        <f t="array" ref="J6343">_xlfn.IFS(I6343&lt;=3,"small",I6343&lt;=6,"Medium",I6343&lt;=9,"Large")</f>
        <v>Large</v>
      </c>
      <c r="K6343" s="36">
        <v>45390</v>
      </c>
      <c r="L6343" s="36">
        <v>45395</v>
      </c>
      <c r="M6343" t="s">
        <v>598</v>
      </c>
      <c r="N6343" t="s">
        <v>608</v>
      </c>
      <c r="O6343" s="37" t="str">
        <f t="shared" si="498"/>
        <v>Cash Payment</v>
      </c>
      <c r="P6343">
        <v>265.32</v>
      </c>
      <c r="Q6343" s="37" t="str">
        <f>IF(P6343&gt;500,"High","low")</f>
        <v>low</v>
      </c>
      <c r="R6343" s="37" t="str">
        <f t="shared" si="499"/>
        <v>AVERAGE</v>
      </c>
      <c r="S6343" t="s">
        <v>609</v>
      </c>
    </row>
    <row r="6344" spans="1:19" x14ac:dyDescent="0.2">
      <c r="A6344" t="s">
        <v>6955</v>
      </c>
      <c r="B6344" t="s">
        <v>75</v>
      </c>
      <c r="C6344" t="s">
        <v>602</v>
      </c>
      <c r="D6344">
        <v>785.9</v>
      </c>
      <c r="E6344" s="37" t="str">
        <f t="shared" si="495"/>
        <v xml:space="preserve"> </v>
      </c>
      <c r="F6344">
        <v>0.11</v>
      </c>
      <c r="G6344" s="37" t="str">
        <f t="shared" si="496"/>
        <v>Normal Discount</v>
      </c>
      <c r="H6344" s="37" t="str">
        <f t="shared" si="497"/>
        <v>Low</v>
      </c>
      <c r="I6344">
        <v>8</v>
      </c>
      <c r="J6344" t="str" cm="1">
        <f t="array" ref="J6344">_xlfn.IFS(I6344&lt;=3,"small",I6344&lt;=6,"Medium",I6344&lt;=9,"Large")</f>
        <v>Large</v>
      </c>
      <c r="K6344" s="36">
        <v>45320</v>
      </c>
      <c r="L6344" s="36">
        <v>45324</v>
      </c>
      <c r="M6344" t="s">
        <v>598</v>
      </c>
      <c r="N6344" t="s">
        <v>604</v>
      </c>
      <c r="O6344" s="37" t="str">
        <f t="shared" si="498"/>
        <v>Digital Payment</v>
      </c>
      <c r="P6344">
        <v>39.78</v>
      </c>
      <c r="Q6344" s="37" t="str">
        <f>IF(P6344&gt;500,"High","low")</f>
        <v>low</v>
      </c>
      <c r="R6344" s="37" t="str">
        <f t="shared" si="499"/>
        <v>AVERAGE</v>
      </c>
      <c r="S6344" t="s">
        <v>609</v>
      </c>
    </row>
    <row r="6345" spans="1:19" x14ac:dyDescent="0.2">
      <c r="A6345" t="s">
        <v>6956</v>
      </c>
      <c r="B6345" t="s">
        <v>83</v>
      </c>
      <c r="C6345" t="s">
        <v>617</v>
      </c>
      <c r="D6345">
        <v>3140.71</v>
      </c>
      <c r="E6345" s="37" t="str">
        <f t="shared" si="495"/>
        <v xml:space="preserve"> </v>
      </c>
      <c r="F6345">
        <v>0.16</v>
      </c>
      <c r="G6345" s="37" t="str">
        <f t="shared" si="496"/>
        <v>Normal Discount</v>
      </c>
      <c r="H6345" s="37" t="str">
        <f t="shared" si="497"/>
        <v>Low</v>
      </c>
      <c r="I6345">
        <v>3</v>
      </c>
      <c r="J6345" t="str" cm="1">
        <f t="array" ref="J6345">_xlfn.IFS(I6345&lt;=3,"small",I6345&lt;=6,"Medium",I6345&lt;=9,"Large")</f>
        <v>small</v>
      </c>
      <c r="K6345" s="36">
        <v>45071</v>
      </c>
      <c r="L6345" s="36">
        <v>45074</v>
      </c>
      <c r="M6345" t="s">
        <v>603</v>
      </c>
      <c r="N6345" t="s">
        <v>599</v>
      </c>
      <c r="O6345" s="37" t="str">
        <f t="shared" si="498"/>
        <v>Digital Payment</v>
      </c>
      <c r="P6345">
        <v>168.73</v>
      </c>
      <c r="Q6345" s="37" t="str">
        <f>IF(P6345&gt;500,"High","low")</f>
        <v>low</v>
      </c>
      <c r="R6345" s="37" t="str">
        <f t="shared" si="499"/>
        <v>AVERAGE</v>
      </c>
      <c r="S6345" t="s">
        <v>628</v>
      </c>
    </row>
    <row r="6346" spans="1:19" x14ac:dyDescent="0.2">
      <c r="A6346" t="s">
        <v>6957</v>
      </c>
      <c r="B6346" t="s">
        <v>83</v>
      </c>
      <c r="C6346" t="s">
        <v>614</v>
      </c>
      <c r="D6346">
        <v>2577.21</v>
      </c>
      <c r="E6346" s="37" t="str">
        <f t="shared" si="495"/>
        <v xml:space="preserve"> </v>
      </c>
      <c r="F6346">
        <v>0</v>
      </c>
      <c r="G6346" s="37" t="str">
        <f t="shared" si="496"/>
        <v>Normal Discount</v>
      </c>
      <c r="H6346" s="37" t="str">
        <f t="shared" si="497"/>
        <v>Low</v>
      </c>
      <c r="I6346">
        <v>5</v>
      </c>
      <c r="J6346" t="str" cm="1">
        <f t="array" ref="J6346">_xlfn.IFS(I6346&lt;=3,"small",I6346&lt;=6,"Medium",I6346&lt;=9,"Large")</f>
        <v>Medium</v>
      </c>
      <c r="K6346" s="36">
        <v>45504</v>
      </c>
      <c r="L6346" s="36">
        <v>45510</v>
      </c>
      <c r="M6346" t="s">
        <v>598</v>
      </c>
      <c r="N6346" t="s">
        <v>599</v>
      </c>
      <c r="O6346" s="37" t="str">
        <f t="shared" si="498"/>
        <v>Digital Payment</v>
      </c>
      <c r="P6346">
        <v>195.33</v>
      </c>
      <c r="Q6346" s="37" t="str">
        <f>IF(P6346&gt;500,"High","low")</f>
        <v>low</v>
      </c>
      <c r="R6346" s="37" t="str">
        <f t="shared" si="499"/>
        <v>AVERAGE</v>
      </c>
      <c r="S6346" t="s">
        <v>605</v>
      </c>
    </row>
    <row r="6347" spans="1:19" x14ac:dyDescent="0.2">
      <c r="A6347" t="s">
        <v>6958</v>
      </c>
      <c r="B6347" t="s">
        <v>75</v>
      </c>
      <c r="C6347" t="s">
        <v>617</v>
      </c>
      <c r="D6347">
        <v>1560.57</v>
      </c>
      <c r="E6347" s="37" t="str">
        <f t="shared" si="495"/>
        <v xml:space="preserve"> </v>
      </c>
      <c r="F6347">
        <v>0.16</v>
      </c>
      <c r="G6347" s="37" t="str">
        <f t="shared" si="496"/>
        <v>Normal Discount</v>
      </c>
      <c r="H6347" s="37" t="str">
        <f t="shared" si="497"/>
        <v>Low</v>
      </c>
      <c r="I6347">
        <v>9</v>
      </c>
      <c r="J6347" t="str" cm="1">
        <f t="array" ref="J6347">_xlfn.IFS(I6347&lt;=3,"small",I6347&lt;=6,"Medium",I6347&lt;=9,"Large")</f>
        <v>Large</v>
      </c>
      <c r="K6347" s="36">
        <v>44955</v>
      </c>
      <c r="L6347" s="36">
        <v>44956</v>
      </c>
      <c r="M6347" t="s">
        <v>612</v>
      </c>
      <c r="N6347" t="s">
        <v>608</v>
      </c>
      <c r="O6347" s="37" t="str">
        <f t="shared" si="498"/>
        <v>Cash Payment</v>
      </c>
      <c r="P6347">
        <v>409.07</v>
      </c>
      <c r="Q6347" s="37" t="str">
        <f>IF(P6347&gt;500,"High","low")</f>
        <v>low</v>
      </c>
      <c r="R6347" s="37" t="str">
        <f t="shared" si="499"/>
        <v>AVERAGE</v>
      </c>
      <c r="S6347" t="s">
        <v>609</v>
      </c>
    </row>
    <row r="6348" spans="1:19" x14ac:dyDescent="0.2">
      <c r="A6348" t="s">
        <v>6959</v>
      </c>
      <c r="B6348" t="s">
        <v>67</v>
      </c>
      <c r="C6348" t="s">
        <v>617</v>
      </c>
      <c r="D6348">
        <v>646.59</v>
      </c>
      <c r="E6348" s="37" t="str">
        <f t="shared" si="495"/>
        <v xml:space="preserve"> </v>
      </c>
      <c r="F6348">
        <v>0.04</v>
      </c>
      <c r="G6348" s="37" t="str">
        <f t="shared" si="496"/>
        <v>Normal Discount</v>
      </c>
      <c r="H6348" s="37" t="str">
        <f t="shared" si="497"/>
        <v>Low</v>
      </c>
      <c r="I6348">
        <v>8</v>
      </c>
      <c r="J6348" t="str" cm="1">
        <f t="array" ref="J6348">_xlfn.IFS(I6348&lt;=3,"small",I6348&lt;=6,"Medium",I6348&lt;=9,"Large")</f>
        <v>Large</v>
      </c>
      <c r="K6348" s="36">
        <v>45164</v>
      </c>
      <c r="L6348" s="36">
        <v>45171</v>
      </c>
      <c r="M6348" t="s">
        <v>598</v>
      </c>
      <c r="N6348" t="s">
        <v>608</v>
      </c>
      <c r="O6348" s="37" t="str">
        <f t="shared" si="498"/>
        <v>Cash Payment</v>
      </c>
      <c r="P6348">
        <v>58.71</v>
      </c>
      <c r="Q6348" s="37" t="str">
        <f>IF(P6348&gt;500,"High","low")</f>
        <v>low</v>
      </c>
      <c r="R6348" s="37" t="str">
        <f t="shared" si="499"/>
        <v>AVERAGE</v>
      </c>
      <c r="S6348" t="s">
        <v>620</v>
      </c>
    </row>
    <row r="6349" spans="1:19" x14ac:dyDescent="0.2">
      <c r="A6349" t="s">
        <v>6960</v>
      </c>
      <c r="B6349" t="s">
        <v>75</v>
      </c>
      <c r="C6349" t="s">
        <v>614</v>
      </c>
      <c r="D6349">
        <v>3705.69</v>
      </c>
      <c r="E6349" s="37" t="str">
        <f t="shared" si="495"/>
        <v xml:space="preserve"> </v>
      </c>
      <c r="F6349">
        <v>0.46</v>
      </c>
      <c r="G6349" s="37" t="str">
        <f t="shared" si="496"/>
        <v>Heavy Discount</v>
      </c>
      <c r="H6349" s="37" t="str">
        <f t="shared" si="497"/>
        <v>High</v>
      </c>
      <c r="I6349">
        <v>6</v>
      </c>
      <c r="J6349" t="str" cm="1">
        <f t="array" ref="J6349">_xlfn.IFS(I6349&lt;=3,"small",I6349&lt;=6,"Medium",I6349&lt;=9,"Large")</f>
        <v>Medium</v>
      </c>
      <c r="K6349" s="36">
        <v>45570</v>
      </c>
      <c r="L6349" s="36">
        <v>45575</v>
      </c>
      <c r="M6349" t="s">
        <v>612</v>
      </c>
      <c r="N6349" t="s">
        <v>608</v>
      </c>
      <c r="O6349" s="37" t="str">
        <f t="shared" si="498"/>
        <v>Cash Payment</v>
      </c>
      <c r="P6349">
        <v>716.19</v>
      </c>
      <c r="Q6349" s="37" t="str">
        <f>IF(P6349&gt;500,"High","low")</f>
        <v>High</v>
      </c>
      <c r="R6349" s="37" t="str">
        <f t="shared" si="499"/>
        <v>Good</v>
      </c>
      <c r="S6349" t="s">
        <v>609</v>
      </c>
    </row>
    <row r="6350" spans="1:19" x14ac:dyDescent="0.2">
      <c r="A6350" t="s">
        <v>6961</v>
      </c>
      <c r="B6350" t="s">
        <v>75</v>
      </c>
      <c r="C6350" t="s">
        <v>617</v>
      </c>
      <c r="D6350">
        <v>1970.85</v>
      </c>
      <c r="E6350" s="37" t="str">
        <f t="shared" si="495"/>
        <v xml:space="preserve"> </v>
      </c>
      <c r="F6350">
        <v>0.04</v>
      </c>
      <c r="G6350" s="37" t="str">
        <f t="shared" si="496"/>
        <v>Normal Discount</v>
      </c>
      <c r="H6350" s="37" t="str">
        <f t="shared" si="497"/>
        <v>Low</v>
      </c>
      <c r="I6350">
        <v>9</v>
      </c>
      <c r="J6350" t="str" cm="1">
        <f t="array" ref="J6350">_xlfn.IFS(I6350&lt;=3,"small",I6350&lt;=6,"Medium",I6350&lt;=9,"Large")</f>
        <v>Large</v>
      </c>
      <c r="K6350" s="36">
        <v>45212</v>
      </c>
      <c r="L6350" s="36">
        <v>45219</v>
      </c>
      <c r="M6350" t="s">
        <v>603</v>
      </c>
      <c r="N6350" t="s">
        <v>604</v>
      </c>
      <c r="O6350" s="37" t="str">
        <f t="shared" si="498"/>
        <v>Digital Payment</v>
      </c>
      <c r="P6350">
        <v>412.08</v>
      </c>
      <c r="Q6350" s="37" t="str">
        <f>IF(P6350&gt;500,"High","low")</f>
        <v>low</v>
      </c>
      <c r="R6350" s="37" t="str">
        <f t="shared" si="499"/>
        <v>AVERAGE</v>
      </c>
      <c r="S6350" t="s">
        <v>615</v>
      </c>
    </row>
    <row r="6351" spans="1:19" x14ac:dyDescent="0.2">
      <c r="A6351" t="s">
        <v>6962</v>
      </c>
      <c r="B6351" t="s">
        <v>75</v>
      </c>
      <c r="C6351" t="s">
        <v>597</v>
      </c>
      <c r="D6351">
        <v>524</v>
      </c>
      <c r="E6351" s="37" t="str">
        <f t="shared" si="495"/>
        <v xml:space="preserve"> </v>
      </c>
      <c r="F6351">
        <v>0.48</v>
      </c>
      <c r="G6351" s="37" t="str">
        <f t="shared" si="496"/>
        <v>Heavy Discount</v>
      </c>
      <c r="H6351" s="37" t="str">
        <f t="shared" si="497"/>
        <v>High</v>
      </c>
      <c r="I6351">
        <v>5</v>
      </c>
      <c r="J6351" t="str" cm="1">
        <f t="array" ref="J6351">_xlfn.IFS(I6351&lt;=3,"small",I6351&lt;=6,"Medium",I6351&lt;=9,"Large")</f>
        <v>Medium</v>
      </c>
      <c r="K6351" s="36">
        <v>45115</v>
      </c>
      <c r="L6351" s="36">
        <v>45118</v>
      </c>
      <c r="M6351" t="s">
        <v>603</v>
      </c>
      <c r="N6351" t="s">
        <v>604</v>
      </c>
      <c r="O6351" s="37" t="str">
        <f t="shared" si="498"/>
        <v>Digital Payment</v>
      </c>
      <c r="P6351">
        <v>126.67</v>
      </c>
      <c r="Q6351" s="37" t="str">
        <f>IF(P6351&gt;500,"High","low")</f>
        <v>low</v>
      </c>
      <c r="R6351" s="37" t="str">
        <f t="shared" si="499"/>
        <v>AVERAGE</v>
      </c>
      <c r="S6351" t="s">
        <v>605</v>
      </c>
    </row>
    <row r="6352" spans="1:19" x14ac:dyDescent="0.2">
      <c r="A6352" t="s">
        <v>6963</v>
      </c>
      <c r="B6352" t="s">
        <v>83</v>
      </c>
      <c r="C6352" t="s">
        <v>614</v>
      </c>
      <c r="D6352">
        <v>3886.67</v>
      </c>
      <c r="E6352" s="37" t="str">
        <f t="shared" si="495"/>
        <v xml:space="preserve"> </v>
      </c>
      <c r="F6352">
        <v>0.25</v>
      </c>
      <c r="G6352" s="37" t="str">
        <f t="shared" si="496"/>
        <v>Normal Discount</v>
      </c>
      <c r="H6352" s="37" t="str">
        <f t="shared" si="497"/>
        <v>Medium</v>
      </c>
      <c r="I6352">
        <v>2</v>
      </c>
      <c r="J6352" t="str" cm="1">
        <f t="array" ref="J6352">_xlfn.IFS(I6352&lt;=3,"small",I6352&lt;=6,"Medium",I6352&lt;=9,"Large")</f>
        <v>small</v>
      </c>
      <c r="K6352" s="36">
        <v>45130</v>
      </c>
      <c r="L6352" s="36">
        <v>45135</v>
      </c>
      <c r="M6352" t="s">
        <v>598</v>
      </c>
      <c r="N6352" t="s">
        <v>604</v>
      </c>
      <c r="O6352" s="37" t="str">
        <f t="shared" si="498"/>
        <v>Digital Payment</v>
      </c>
      <c r="P6352">
        <v>321.20999999999998</v>
      </c>
      <c r="Q6352" s="37" t="str">
        <f>IF(P6352&gt;500,"High","low")</f>
        <v>low</v>
      </c>
      <c r="R6352" s="37" t="str">
        <f t="shared" si="499"/>
        <v>AVERAGE</v>
      </c>
      <c r="S6352" t="s">
        <v>615</v>
      </c>
    </row>
    <row r="6353" spans="1:19" x14ac:dyDescent="0.2">
      <c r="A6353" t="s">
        <v>6964</v>
      </c>
      <c r="B6353" t="s">
        <v>67</v>
      </c>
      <c r="C6353" t="s">
        <v>617</v>
      </c>
      <c r="D6353">
        <v>1241.18</v>
      </c>
      <c r="E6353" s="37" t="str">
        <f t="shared" si="495"/>
        <v xml:space="preserve"> </v>
      </c>
      <c r="F6353">
        <v>0.26</v>
      </c>
      <c r="G6353" s="37" t="str">
        <f t="shared" si="496"/>
        <v>Normal Discount</v>
      </c>
      <c r="H6353" s="37" t="str">
        <f t="shared" si="497"/>
        <v>Medium</v>
      </c>
      <c r="I6353">
        <v>9</v>
      </c>
      <c r="J6353" t="str" cm="1">
        <f t="array" ref="J6353">_xlfn.IFS(I6353&lt;=3,"small",I6353&lt;=6,"Medium",I6353&lt;=9,"Large")</f>
        <v>Large</v>
      </c>
      <c r="K6353" s="36">
        <v>45088</v>
      </c>
      <c r="L6353" s="36">
        <v>45089</v>
      </c>
      <c r="M6353" t="s">
        <v>612</v>
      </c>
      <c r="N6353" t="s">
        <v>608</v>
      </c>
      <c r="O6353" s="37" t="str">
        <f t="shared" si="498"/>
        <v>Cash Payment</v>
      </c>
      <c r="P6353">
        <v>102.02</v>
      </c>
      <c r="Q6353" s="37" t="str">
        <f>IF(P6353&gt;500,"High","low")</f>
        <v>low</v>
      </c>
      <c r="R6353" s="37" t="str">
        <f t="shared" si="499"/>
        <v>AVERAGE</v>
      </c>
      <c r="S6353" t="s">
        <v>615</v>
      </c>
    </row>
    <row r="6354" spans="1:19" x14ac:dyDescent="0.2">
      <c r="A6354" t="s">
        <v>6965</v>
      </c>
      <c r="B6354" t="s">
        <v>75</v>
      </c>
      <c r="C6354" t="s">
        <v>597</v>
      </c>
      <c r="D6354">
        <v>3708.62</v>
      </c>
      <c r="E6354" s="37" t="str">
        <f t="shared" si="495"/>
        <v xml:space="preserve"> </v>
      </c>
      <c r="F6354">
        <v>0.39</v>
      </c>
      <c r="G6354" s="37" t="str">
        <f t="shared" si="496"/>
        <v>Heavy Discount</v>
      </c>
      <c r="H6354" s="37" t="str">
        <f t="shared" si="497"/>
        <v>Medium</v>
      </c>
      <c r="I6354">
        <v>5</v>
      </c>
      <c r="J6354" t="str" cm="1">
        <f t="array" ref="J6354">_xlfn.IFS(I6354&lt;=3,"small",I6354&lt;=6,"Medium",I6354&lt;=9,"Large")</f>
        <v>Medium</v>
      </c>
      <c r="K6354" s="36">
        <v>45260</v>
      </c>
      <c r="L6354" s="36">
        <v>45263</v>
      </c>
      <c r="M6354" t="s">
        <v>612</v>
      </c>
      <c r="N6354" t="s">
        <v>604</v>
      </c>
      <c r="O6354" s="37" t="str">
        <f t="shared" si="498"/>
        <v>Digital Payment</v>
      </c>
      <c r="P6354">
        <v>473.4</v>
      </c>
      <c r="Q6354" s="37" t="str">
        <f>IF(P6354&gt;500,"High","low")</f>
        <v>low</v>
      </c>
      <c r="R6354" s="37" t="str">
        <f t="shared" si="499"/>
        <v>AVERAGE</v>
      </c>
      <c r="S6354" t="s">
        <v>605</v>
      </c>
    </row>
    <row r="6355" spans="1:19" x14ac:dyDescent="0.2">
      <c r="A6355" t="s">
        <v>6966</v>
      </c>
      <c r="B6355" t="s">
        <v>83</v>
      </c>
      <c r="C6355" t="s">
        <v>597</v>
      </c>
      <c r="D6355">
        <v>2868</v>
      </c>
      <c r="E6355" s="37" t="str">
        <f t="shared" si="495"/>
        <v xml:space="preserve"> </v>
      </c>
      <c r="F6355">
        <v>0.35</v>
      </c>
      <c r="G6355" s="37" t="str">
        <f t="shared" si="496"/>
        <v>Heavy Discount</v>
      </c>
      <c r="H6355" s="37" t="str">
        <f t="shared" si="497"/>
        <v>Medium</v>
      </c>
      <c r="I6355">
        <v>8</v>
      </c>
      <c r="J6355" t="str" cm="1">
        <f t="array" ref="J6355">_xlfn.IFS(I6355&lt;=3,"small",I6355&lt;=6,"Medium",I6355&lt;=9,"Large")</f>
        <v>Large</v>
      </c>
      <c r="K6355" s="36">
        <v>45078</v>
      </c>
      <c r="L6355" s="36">
        <v>45085</v>
      </c>
      <c r="M6355" t="s">
        <v>598</v>
      </c>
      <c r="N6355" t="s">
        <v>599</v>
      </c>
      <c r="O6355" s="37" t="str">
        <f t="shared" si="498"/>
        <v>Digital Payment</v>
      </c>
      <c r="P6355">
        <v>217.32</v>
      </c>
      <c r="Q6355" s="37" t="str">
        <f>IF(P6355&gt;500,"High","low")</f>
        <v>low</v>
      </c>
      <c r="R6355" s="37" t="str">
        <f t="shared" si="499"/>
        <v>AVERAGE</v>
      </c>
      <c r="S6355" t="s">
        <v>609</v>
      </c>
    </row>
    <row r="6356" spans="1:19" x14ac:dyDescent="0.2">
      <c r="A6356" t="s">
        <v>6967</v>
      </c>
      <c r="B6356" t="s">
        <v>90</v>
      </c>
      <c r="C6356" t="s">
        <v>607</v>
      </c>
      <c r="D6356">
        <v>1053.19</v>
      </c>
      <c r="E6356" s="37" t="str">
        <f t="shared" si="495"/>
        <v xml:space="preserve"> </v>
      </c>
      <c r="F6356">
        <v>0.12</v>
      </c>
      <c r="G6356" s="37" t="str">
        <f t="shared" si="496"/>
        <v>Normal Discount</v>
      </c>
      <c r="H6356" s="37" t="str">
        <f t="shared" si="497"/>
        <v>Low</v>
      </c>
      <c r="I6356">
        <v>8</v>
      </c>
      <c r="J6356" t="str" cm="1">
        <f t="array" ref="J6356">_xlfn.IFS(I6356&lt;=3,"small",I6356&lt;=6,"Medium",I6356&lt;=9,"Large")</f>
        <v>Large</v>
      </c>
      <c r="K6356" s="36">
        <v>45177</v>
      </c>
      <c r="L6356" s="36">
        <v>45184</v>
      </c>
      <c r="M6356" t="s">
        <v>603</v>
      </c>
      <c r="N6356" t="s">
        <v>604</v>
      </c>
      <c r="O6356" s="37" t="str">
        <f t="shared" si="498"/>
        <v>Digital Payment</v>
      </c>
      <c r="P6356">
        <v>125.66</v>
      </c>
      <c r="Q6356" s="37" t="str">
        <f>IF(P6356&gt;500,"High","low")</f>
        <v>low</v>
      </c>
      <c r="R6356" s="37" t="str">
        <f t="shared" si="499"/>
        <v>AVERAGE</v>
      </c>
      <c r="S6356" t="s">
        <v>605</v>
      </c>
    </row>
    <row r="6357" spans="1:19" x14ac:dyDescent="0.2">
      <c r="A6357" t="s">
        <v>6968</v>
      </c>
      <c r="B6357" t="s">
        <v>90</v>
      </c>
      <c r="C6357" t="s">
        <v>597</v>
      </c>
      <c r="D6357">
        <v>474.39</v>
      </c>
      <c r="E6357" s="37" t="str">
        <f t="shared" si="495"/>
        <v xml:space="preserve"> </v>
      </c>
      <c r="F6357">
        <v>0.01</v>
      </c>
      <c r="G6357" s="37" t="str">
        <f t="shared" si="496"/>
        <v>Normal Discount</v>
      </c>
      <c r="H6357" s="37" t="str">
        <f t="shared" si="497"/>
        <v>Low</v>
      </c>
      <c r="I6357">
        <v>4</v>
      </c>
      <c r="J6357" t="str" cm="1">
        <f t="array" ref="J6357">_xlfn.IFS(I6357&lt;=3,"small",I6357&lt;=6,"Medium",I6357&lt;=9,"Large")</f>
        <v>Medium</v>
      </c>
      <c r="K6357" s="36">
        <v>45520</v>
      </c>
      <c r="L6357" s="36">
        <v>45527</v>
      </c>
      <c r="M6357" t="s">
        <v>612</v>
      </c>
      <c r="N6357" t="s">
        <v>608</v>
      </c>
      <c r="O6357" s="37" t="str">
        <f t="shared" si="498"/>
        <v>Cash Payment</v>
      </c>
      <c r="P6357">
        <v>94.21</v>
      </c>
      <c r="Q6357" s="37" t="str">
        <f>IF(P6357&gt;500,"High","low")</f>
        <v>low</v>
      </c>
      <c r="R6357" s="37" t="str">
        <f t="shared" si="499"/>
        <v>AVERAGE</v>
      </c>
      <c r="S6357" t="s">
        <v>620</v>
      </c>
    </row>
    <row r="6358" spans="1:19" x14ac:dyDescent="0.2">
      <c r="A6358" t="s">
        <v>6969</v>
      </c>
      <c r="B6358" t="s">
        <v>75</v>
      </c>
      <c r="C6358" t="s">
        <v>602</v>
      </c>
      <c r="D6358">
        <v>3006.92</v>
      </c>
      <c r="E6358" s="37" t="str">
        <f t="shared" si="495"/>
        <v xml:space="preserve"> </v>
      </c>
      <c r="F6358">
        <v>0.39</v>
      </c>
      <c r="G6358" s="37" t="str">
        <f t="shared" si="496"/>
        <v>Heavy Discount</v>
      </c>
      <c r="H6358" s="37" t="str">
        <f t="shared" si="497"/>
        <v>Medium</v>
      </c>
      <c r="I6358">
        <v>4</v>
      </c>
      <c r="J6358" t="str" cm="1">
        <f t="array" ref="J6358">_xlfn.IFS(I6358&lt;=3,"small",I6358&lt;=6,"Medium",I6358&lt;=9,"Large")</f>
        <v>Medium</v>
      </c>
      <c r="K6358" s="36">
        <v>45463</v>
      </c>
      <c r="L6358" s="36">
        <v>45467</v>
      </c>
      <c r="M6358" t="s">
        <v>598</v>
      </c>
      <c r="N6358" t="s">
        <v>604</v>
      </c>
      <c r="O6358" s="37" t="str">
        <f t="shared" si="498"/>
        <v>Digital Payment</v>
      </c>
      <c r="P6358">
        <v>472.65</v>
      </c>
      <c r="Q6358" s="37" t="str">
        <f>IF(P6358&gt;500,"High","low")</f>
        <v>low</v>
      </c>
      <c r="R6358" s="37" t="str">
        <f t="shared" si="499"/>
        <v>AVERAGE</v>
      </c>
      <c r="S6358" t="s">
        <v>615</v>
      </c>
    </row>
    <row r="6359" spans="1:19" x14ac:dyDescent="0.2">
      <c r="A6359" t="s">
        <v>6970</v>
      </c>
      <c r="B6359" t="s">
        <v>90</v>
      </c>
      <c r="C6359" t="s">
        <v>614</v>
      </c>
      <c r="D6359">
        <v>223.54</v>
      </c>
      <c r="E6359" s="37" t="str">
        <f t="shared" si="495"/>
        <v xml:space="preserve"> </v>
      </c>
      <c r="F6359">
        <v>0.06</v>
      </c>
      <c r="G6359" s="37" t="str">
        <f t="shared" si="496"/>
        <v>Normal Discount</v>
      </c>
      <c r="H6359" s="37" t="str">
        <f t="shared" si="497"/>
        <v>Low</v>
      </c>
      <c r="I6359">
        <v>1</v>
      </c>
      <c r="J6359" t="str" cm="1">
        <f t="array" ref="J6359">_xlfn.IFS(I6359&lt;=3,"small",I6359&lt;=6,"Medium",I6359&lt;=9,"Large")</f>
        <v>small</v>
      </c>
      <c r="K6359" s="36">
        <v>45271</v>
      </c>
      <c r="L6359" s="36">
        <v>45274</v>
      </c>
      <c r="M6359" t="s">
        <v>612</v>
      </c>
      <c r="N6359" t="s">
        <v>604</v>
      </c>
      <c r="O6359" s="37" t="str">
        <f t="shared" si="498"/>
        <v>Digital Payment</v>
      </c>
      <c r="P6359">
        <v>27.77</v>
      </c>
      <c r="Q6359" s="37" t="str">
        <f>IF(P6359&gt;500,"High","low")</f>
        <v>low</v>
      </c>
      <c r="R6359" s="37" t="str">
        <f t="shared" si="499"/>
        <v>AVERAGE</v>
      </c>
      <c r="S6359" t="s">
        <v>615</v>
      </c>
    </row>
    <row r="6360" spans="1:19" x14ac:dyDescent="0.2">
      <c r="A6360" t="s">
        <v>6971</v>
      </c>
      <c r="B6360" t="s">
        <v>67</v>
      </c>
      <c r="C6360" t="s">
        <v>614</v>
      </c>
      <c r="D6360">
        <v>420.78</v>
      </c>
      <c r="E6360" s="37" t="str">
        <f t="shared" si="495"/>
        <v xml:space="preserve"> </v>
      </c>
      <c r="F6360">
        <v>0.3</v>
      </c>
      <c r="G6360" s="37" t="str">
        <f t="shared" si="496"/>
        <v>Normal Discount</v>
      </c>
      <c r="H6360" s="37" t="str">
        <f t="shared" si="497"/>
        <v>Medium</v>
      </c>
      <c r="I6360">
        <v>5</v>
      </c>
      <c r="J6360" t="str" cm="1">
        <f t="array" ref="J6360">_xlfn.IFS(I6360&lt;=3,"small",I6360&lt;=6,"Medium",I6360&lt;=9,"Large")</f>
        <v>Medium</v>
      </c>
      <c r="K6360" s="36">
        <v>45031</v>
      </c>
      <c r="L6360" s="36">
        <v>45032</v>
      </c>
      <c r="M6360" t="s">
        <v>612</v>
      </c>
      <c r="N6360" t="s">
        <v>599</v>
      </c>
      <c r="O6360" s="37" t="str">
        <f t="shared" si="498"/>
        <v>Digital Payment</v>
      </c>
      <c r="P6360">
        <v>56.38</v>
      </c>
      <c r="Q6360" s="37" t="str">
        <f>IF(P6360&gt;500,"High","low")</f>
        <v>low</v>
      </c>
      <c r="R6360" s="37" t="str">
        <f t="shared" si="499"/>
        <v>AVERAGE</v>
      </c>
      <c r="S6360" t="s">
        <v>605</v>
      </c>
    </row>
    <row r="6361" spans="1:19" x14ac:dyDescent="0.2">
      <c r="A6361" t="s">
        <v>6972</v>
      </c>
      <c r="B6361" t="s">
        <v>90</v>
      </c>
      <c r="C6361" t="s">
        <v>614</v>
      </c>
      <c r="D6361">
        <v>3540.87</v>
      </c>
      <c r="E6361" s="37" t="str">
        <f t="shared" si="495"/>
        <v xml:space="preserve"> </v>
      </c>
      <c r="F6361">
        <v>0.47</v>
      </c>
      <c r="G6361" s="37" t="str">
        <f t="shared" si="496"/>
        <v>Heavy Discount</v>
      </c>
      <c r="H6361" s="37" t="str">
        <f t="shared" si="497"/>
        <v>High</v>
      </c>
      <c r="I6361">
        <v>9</v>
      </c>
      <c r="J6361" t="str" cm="1">
        <f t="array" ref="J6361">_xlfn.IFS(I6361&lt;=3,"small",I6361&lt;=6,"Medium",I6361&lt;=9,"Large")</f>
        <v>Large</v>
      </c>
      <c r="K6361" s="36">
        <v>45207</v>
      </c>
      <c r="L6361" s="36">
        <v>45213</v>
      </c>
      <c r="M6361" t="s">
        <v>612</v>
      </c>
      <c r="N6361" t="s">
        <v>604</v>
      </c>
      <c r="O6361" s="37" t="str">
        <f t="shared" si="498"/>
        <v>Digital Payment</v>
      </c>
      <c r="P6361">
        <v>383.95</v>
      </c>
      <c r="Q6361" s="37" t="str">
        <f>IF(P6361&gt;500,"High","low")</f>
        <v>low</v>
      </c>
      <c r="R6361" s="37" t="str">
        <f t="shared" si="499"/>
        <v>AVERAGE</v>
      </c>
      <c r="S6361" t="s">
        <v>600</v>
      </c>
    </row>
    <row r="6362" spans="1:19" x14ac:dyDescent="0.2">
      <c r="A6362" t="s">
        <v>6973</v>
      </c>
      <c r="B6362" t="s">
        <v>90</v>
      </c>
      <c r="C6362" t="s">
        <v>617</v>
      </c>
      <c r="D6362">
        <v>2740.48</v>
      </c>
      <c r="E6362" s="37" t="str">
        <f t="shared" si="495"/>
        <v xml:space="preserve"> </v>
      </c>
      <c r="F6362">
        <v>0.27</v>
      </c>
      <c r="G6362" s="37" t="str">
        <f t="shared" si="496"/>
        <v>Normal Discount</v>
      </c>
      <c r="H6362" s="37" t="str">
        <f t="shared" si="497"/>
        <v>Medium</v>
      </c>
      <c r="I6362">
        <v>5</v>
      </c>
      <c r="J6362" t="str" cm="1">
        <f t="array" ref="J6362">_xlfn.IFS(I6362&lt;=3,"small",I6362&lt;=6,"Medium",I6362&lt;=9,"Large")</f>
        <v>Medium</v>
      </c>
      <c r="K6362" s="36">
        <v>45084</v>
      </c>
      <c r="L6362" s="36">
        <v>45088</v>
      </c>
      <c r="M6362" t="s">
        <v>598</v>
      </c>
      <c r="N6362" t="s">
        <v>604</v>
      </c>
      <c r="O6362" s="37" t="str">
        <f t="shared" si="498"/>
        <v>Digital Payment</v>
      </c>
      <c r="P6362">
        <v>443.85</v>
      </c>
      <c r="Q6362" s="37" t="str">
        <f>IF(P6362&gt;500,"High","low")</f>
        <v>low</v>
      </c>
      <c r="R6362" s="37" t="str">
        <f t="shared" si="499"/>
        <v>AVERAGE</v>
      </c>
      <c r="S6362" t="s">
        <v>605</v>
      </c>
    </row>
    <row r="6363" spans="1:19" x14ac:dyDescent="0.2">
      <c r="A6363" t="s">
        <v>6974</v>
      </c>
      <c r="B6363" t="s">
        <v>67</v>
      </c>
      <c r="C6363" t="s">
        <v>617</v>
      </c>
      <c r="D6363">
        <v>1698.85</v>
      </c>
      <c r="E6363" s="37" t="str">
        <f t="shared" si="495"/>
        <v xml:space="preserve"> </v>
      </c>
      <c r="F6363">
        <v>0.14000000000000001</v>
      </c>
      <c r="G6363" s="37" t="str">
        <f t="shared" si="496"/>
        <v>Normal Discount</v>
      </c>
      <c r="H6363" s="37" t="str">
        <f t="shared" si="497"/>
        <v>Low</v>
      </c>
      <c r="I6363">
        <v>5</v>
      </c>
      <c r="J6363" t="str" cm="1">
        <f t="array" ref="J6363">_xlfn.IFS(I6363&lt;=3,"small",I6363&lt;=6,"Medium",I6363&lt;=9,"Large")</f>
        <v>Medium</v>
      </c>
      <c r="K6363" s="36">
        <v>45527</v>
      </c>
      <c r="L6363" s="36">
        <v>45534</v>
      </c>
      <c r="M6363" t="s">
        <v>603</v>
      </c>
      <c r="N6363" t="s">
        <v>608</v>
      </c>
      <c r="O6363" s="37" t="str">
        <f t="shared" si="498"/>
        <v>Cash Payment</v>
      </c>
      <c r="P6363">
        <v>279.92</v>
      </c>
      <c r="Q6363" s="37" t="str">
        <f>IF(P6363&gt;500,"High","low")</f>
        <v>low</v>
      </c>
      <c r="R6363" s="37" t="str">
        <f t="shared" si="499"/>
        <v>AVERAGE</v>
      </c>
      <c r="S6363" t="s">
        <v>628</v>
      </c>
    </row>
    <row r="6364" spans="1:19" x14ac:dyDescent="0.2">
      <c r="A6364" t="s">
        <v>6975</v>
      </c>
      <c r="B6364" t="s">
        <v>75</v>
      </c>
      <c r="C6364" t="s">
        <v>602</v>
      </c>
      <c r="D6364">
        <v>2742.22</v>
      </c>
      <c r="E6364" s="37" t="str">
        <f t="shared" si="495"/>
        <v xml:space="preserve"> </v>
      </c>
      <c r="F6364">
        <v>0.09</v>
      </c>
      <c r="G6364" s="37" t="str">
        <f t="shared" si="496"/>
        <v>Normal Discount</v>
      </c>
      <c r="H6364" s="37" t="str">
        <f t="shared" si="497"/>
        <v>Low</v>
      </c>
      <c r="I6364">
        <v>6</v>
      </c>
      <c r="J6364" t="str" cm="1">
        <f t="array" ref="J6364">_xlfn.IFS(I6364&lt;=3,"small",I6364&lt;=6,"Medium",I6364&lt;=9,"Large")</f>
        <v>Medium</v>
      </c>
      <c r="K6364" s="36">
        <v>45158</v>
      </c>
      <c r="L6364" s="36">
        <v>45164</v>
      </c>
      <c r="M6364" t="s">
        <v>603</v>
      </c>
      <c r="N6364" t="s">
        <v>599</v>
      </c>
      <c r="O6364" s="37" t="str">
        <f t="shared" si="498"/>
        <v>Digital Payment</v>
      </c>
      <c r="P6364">
        <v>751.4</v>
      </c>
      <c r="Q6364" s="37" t="str">
        <f>IF(P6364&gt;500,"High","low")</f>
        <v>High</v>
      </c>
      <c r="R6364" s="37" t="str">
        <f t="shared" si="499"/>
        <v>Good</v>
      </c>
      <c r="S6364" t="s">
        <v>609</v>
      </c>
    </row>
    <row r="6365" spans="1:19" x14ac:dyDescent="0.2">
      <c r="A6365" t="s">
        <v>6976</v>
      </c>
      <c r="B6365" t="s">
        <v>75</v>
      </c>
      <c r="C6365" t="s">
        <v>597</v>
      </c>
      <c r="D6365">
        <v>2999.08</v>
      </c>
      <c r="E6365" s="37" t="str">
        <f t="shared" si="495"/>
        <v xml:space="preserve"> </v>
      </c>
      <c r="F6365">
        <v>0.01</v>
      </c>
      <c r="G6365" s="37" t="str">
        <f t="shared" si="496"/>
        <v>Normal Discount</v>
      </c>
      <c r="H6365" s="37" t="str">
        <f t="shared" si="497"/>
        <v>Low</v>
      </c>
      <c r="I6365">
        <v>6</v>
      </c>
      <c r="J6365" t="str" cm="1">
        <f t="array" ref="J6365">_xlfn.IFS(I6365&lt;=3,"small",I6365&lt;=6,"Medium",I6365&lt;=9,"Large")</f>
        <v>Medium</v>
      </c>
      <c r="K6365" s="36">
        <v>45349</v>
      </c>
      <c r="L6365" s="36">
        <v>45355</v>
      </c>
      <c r="M6365" t="s">
        <v>603</v>
      </c>
      <c r="N6365" t="s">
        <v>599</v>
      </c>
      <c r="O6365" s="37" t="str">
        <f t="shared" si="498"/>
        <v>Digital Payment</v>
      </c>
      <c r="P6365">
        <v>650.80999999999995</v>
      </c>
      <c r="Q6365" s="37" t="str">
        <f>IF(P6365&gt;500,"High","low")</f>
        <v>High</v>
      </c>
      <c r="R6365" s="37" t="str">
        <f t="shared" si="499"/>
        <v>Good</v>
      </c>
      <c r="S6365" t="s">
        <v>609</v>
      </c>
    </row>
    <row r="6366" spans="1:19" x14ac:dyDescent="0.2">
      <c r="A6366" t="s">
        <v>6977</v>
      </c>
      <c r="B6366" t="s">
        <v>67</v>
      </c>
      <c r="C6366" t="s">
        <v>617</v>
      </c>
      <c r="D6366">
        <v>2869.9</v>
      </c>
      <c r="E6366" s="37" t="str">
        <f t="shared" si="495"/>
        <v xml:space="preserve"> </v>
      </c>
      <c r="F6366">
        <v>0.31</v>
      </c>
      <c r="G6366" s="37" t="str">
        <f t="shared" si="496"/>
        <v>Heavy Discount</v>
      </c>
      <c r="H6366" s="37" t="str">
        <f t="shared" si="497"/>
        <v>Medium</v>
      </c>
      <c r="I6366">
        <v>8</v>
      </c>
      <c r="J6366" t="str" cm="1">
        <f t="array" ref="J6366">_xlfn.IFS(I6366&lt;=3,"small",I6366&lt;=6,"Medium",I6366&lt;=9,"Large")</f>
        <v>Large</v>
      </c>
      <c r="K6366" s="36">
        <v>45131</v>
      </c>
      <c r="L6366" s="36">
        <v>45137</v>
      </c>
      <c r="M6366" t="s">
        <v>598</v>
      </c>
      <c r="N6366" t="s">
        <v>604</v>
      </c>
      <c r="O6366" s="37" t="str">
        <f t="shared" si="498"/>
        <v>Digital Payment</v>
      </c>
      <c r="P6366">
        <v>595.91999999999996</v>
      </c>
      <c r="Q6366" s="37" t="str">
        <f>IF(P6366&gt;500,"High","low")</f>
        <v>High</v>
      </c>
      <c r="R6366" s="37" t="str">
        <f t="shared" si="499"/>
        <v>Good</v>
      </c>
      <c r="S6366" t="s">
        <v>605</v>
      </c>
    </row>
    <row r="6367" spans="1:19" x14ac:dyDescent="0.2">
      <c r="A6367" t="s">
        <v>6978</v>
      </c>
      <c r="B6367" t="s">
        <v>67</v>
      </c>
      <c r="C6367" t="s">
        <v>597</v>
      </c>
      <c r="D6367">
        <v>3248.51</v>
      </c>
      <c r="E6367" s="37" t="str">
        <f t="shared" si="495"/>
        <v xml:space="preserve"> </v>
      </c>
      <c r="F6367">
        <v>0.28000000000000003</v>
      </c>
      <c r="G6367" s="37" t="str">
        <f t="shared" si="496"/>
        <v>Normal Discount</v>
      </c>
      <c r="H6367" s="37" t="str">
        <f t="shared" si="497"/>
        <v>Medium</v>
      </c>
      <c r="I6367">
        <v>1</v>
      </c>
      <c r="J6367" t="str" cm="1">
        <f t="array" ref="J6367">_xlfn.IFS(I6367&lt;=3,"small",I6367&lt;=6,"Medium",I6367&lt;=9,"Large")</f>
        <v>small</v>
      </c>
      <c r="K6367" s="36">
        <v>45600</v>
      </c>
      <c r="L6367" s="36">
        <v>45607</v>
      </c>
      <c r="M6367" t="s">
        <v>598</v>
      </c>
      <c r="N6367" t="s">
        <v>599</v>
      </c>
      <c r="O6367" s="37" t="str">
        <f t="shared" si="498"/>
        <v>Digital Payment</v>
      </c>
      <c r="P6367">
        <v>375.08</v>
      </c>
      <c r="Q6367" s="37" t="str">
        <f>IF(P6367&gt;500,"High","low")</f>
        <v>low</v>
      </c>
      <c r="R6367" s="37" t="str">
        <f t="shared" si="499"/>
        <v>AVERAGE</v>
      </c>
      <c r="S6367" t="s">
        <v>605</v>
      </c>
    </row>
    <row r="6368" spans="1:19" x14ac:dyDescent="0.2">
      <c r="A6368" t="s">
        <v>6979</v>
      </c>
      <c r="B6368" t="s">
        <v>67</v>
      </c>
      <c r="C6368" t="s">
        <v>597</v>
      </c>
      <c r="D6368">
        <v>4707.41</v>
      </c>
      <c r="E6368" s="37" t="str">
        <f t="shared" si="495"/>
        <v xml:space="preserve"> </v>
      </c>
      <c r="F6368">
        <v>0.23</v>
      </c>
      <c r="G6368" s="37" t="str">
        <f t="shared" si="496"/>
        <v>Normal Discount</v>
      </c>
      <c r="H6368" s="37" t="str">
        <f t="shared" si="497"/>
        <v>Medium</v>
      </c>
      <c r="I6368">
        <v>5</v>
      </c>
      <c r="J6368" t="str" cm="1">
        <f t="array" ref="J6368">_xlfn.IFS(I6368&lt;=3,"small",I6368&lt;=6,"Medium",I6368&lt;=9,"Large")</f>
        <v>Medium</v>
      </c>
      <c r="K6368" s="36">
        <v>45454</v>
      </c>
      <c r="L6368" s="36">
        <v>45459</v>
      </c>
      <c r="M6368" t="s">
        <v>603</v>
      </c>
      <c r="N6368" t="s">
        <v>608</v>
      </c>
      <c r="O6368" s="37" t="str">
        <f t="shared" si="498"/>
        <v>Cash Payment</v>
      </c>
      <c r="P6368">
        <v>636.70000000000005</v>
      </c>
      <c r="Q6368" s="37" t="str">
        <f>IF(P6368&gt;500,"High","low")</f>
        <v>High</v>
      </c>
      <c r="R6368" s="37" t="str">
        <f t="shared" si="499"/>
        <v>Good</v>
      </c>
      <c r="S6368" t="s">
        <v>609</v>
      </c>
    </row>
    <row r="6369" spans="1:19" x14ac:dyDescent="0.2">
      <c r="A6369" t="s">
        <v>6980</v>
      </c>
      <c r="B6369" t="s">
        <v>90</v>
      </c>
      <c r="C6369" t="s">
        <v>617</v>
      </c>
      <c r="D6369">
        <v>2005.01</v>
      </c>
      <c r="E6369" s="37" t="str">
        <f t="shared" si="495"/>
        <v xml:space="preserve"> </v>
      </c>
      <c r="F6369">
        <v>0.1</v>
      </c>
      <c r="G6369" s="37" t="str">
        <f t="shared" si="496"/>
        <v>Normal Discount</v>
      </c>
      <c r="H6369" s="37" t="str">
        <f t="shared" si="497"/>
        <v>Low</v>
      </c>
      <c r="I6369">
        <v>9</v>
      </c>
      <c r="J6369" t="str" cm="1">
        <f t="array" ref="J6369">_xlfn.IFS(I6369&lt;=3,"small",I6369&lt;=6,"Medium",I6369&lt;=9,"Large")</f>
        <v>Large</v>
      </c>
      <c r="K6369" s="36">
        <v>45102</v>
      </c>
      <c r="L6369" s="36">
        <v>45108</v>
      </c>
      <c r="M6369" t="s">
        <v>598</v>
      </c>
      <c r="N6369" t="s">
        <v>599</v>
      </c>
      <c r="O6369" s="37" t="str">
        <f t="shared" si="498"/>
        <v>Digital Payment</v>
      </c>
      <c r="P6369">
        <v>537.52</v>
      </c>
      <c r="Q6369" s="37" t="str">
        <f>IF(P6369&gt;500,"High","low")</f>
        <v>High</v>
      </c>
      <c r="R6369" s="37" t="str">
        <f t="shared" si="499"/>
        <v>Good</v>
      </c>
      <c r="S6369" t="s">
        <v>615</v>
      </c>
    </row>
    <row r="6370" spans="1:19" x14ac:dyDescent="0.2">
      <c r="A6370" t="s">
        <v>6981</v>
      </c>
      <c r="B6370" t="s">
        <v>67</v>
      </c>
      <c r="C6370" t="s">
        <v>617</v>
      </c>
      <c r="D6370">
        <v>1575.64</v>
      </c>
      <c r="E6370" s="37" t="str">
        <f t="shared" si="495"/>
        <v xml:space="preserve"> </v>
      </c>
      <c r="F6370">
        <v>0.12</v>
      </c>
      <c r="G6370" s="37" t="str">
        <f t="shared" si="496"/>
        <v>Normal Discount</v>
      </c>
      <c r="H6370" s="37" t="str">
        <f t="shared" si="497"/>
        <v>Low</v>
      </c>
      <c r="I6370">
        <v>3</v>
      </c>
      <c r="J6370" t="str" cm="1">
        <f t="array" ref="J6370">_xlfn.IFS(I6370&lt;=3,"small",I6370&lt;=6,"Medium",I6370&lt;=9,"Large")</f>
        <v>small</v>
      </c>
      <c r="K6370" s="36">
        <v>45078</v>
      </c>
      <c r="L6370" s="36">
        <v>45082</v>
      </c>
      <c r="M6370" t="s">
        <v>603</v>
      </c>
      <c r="N6370" t="s">
        <v>604</v>
      </c>
      <c r="O6370" s="37" t="str">
        <f t="shared" si="498"/>
        <v>Digital Payment</v>
      </c>
      <c r="P6370">
        <v>301.77999999999997</v>
      </c>
      <c r="Q6370" s="37" t="str">
        <f>IF(P6370&gt;500,"High","low")</f>
        <v>low</v>
      </c>
      <c r="R6370" s="37" t="str">
        <f t="shared" si="499"/>
        <v>AVERAGE</v>
      </c>
      <c r="S6370" t="s">
        <v>620</v>
      </c>
    </row>
    <row r="6371" spans="1:19" x14ac:dyDescent="0.2">
      <c r="A6371" t="s">
        <v>6982</v>
      </c>
      <c r="B6371" t="s">
        <v>83</v>
      </c>
      <c r="C6371" t="s">
        <v>602</v>
      </c>
      <c r="D6371">
        <v>288.33</v>
      </c>
      <c r="E6371" s="37" t="str">
        <f t="shared" si="495"/>
        <v xml:space="preserve"> </v>
      </c>
      <c r="F6371">
        <v>0.48</v>
      </c>
      <c r="G6371" s="37" t="str">
        <f t="shared" si="496"/>
        <v>Heavy Discount</v>
      </c>
      <c r="H6371" s="37" t="str">
        <f t="shared" si="497"/>
        <v>High</v>
      </c>
      <c r="I6371">
        <v>7</v>
      </c>
      <c r="J6371" t="str" cm="1">
        <f t="array" ref="J6371">_xlfn.IFS(I6371&lt;=3,"small",I6371&lt;=6,"Medium",I6371&lt;=9,"Large")</f>
        <v>Large</v>
      </c>
      <c r="K6371" s="36">
        <v>45056</v>
      </c>
      <c r="L6371" s="36">
        <v>45063</v>
      </c>
      <c r="M6371" t="s">
        <v>603</v>
      </c>
      <c r="N6371" t="s">
        <v>604</v>
      </c>
      <c r="O6371" s="37" t="str">
        <f t="shared" si="498"/>
        <v>Digital Payment</v>
      </c>
      <c r="P6371">
        <v>27.4</v>
      </c>
      <c r="Q6371" s="37" t="str">
        <f>IF(P6371&gt;500,"High","low")</f>
        <v>low</v>
      </c>
      <c r="R6371" s="37" t="str">
        <f t="shared" si="499"/>
        <v>AVERAGE</v>
      </c>
      <c r="S6371" t="s">
        <v>615</v>
      </c>
    </row>
    <row r="6372" spans="1:19" x14ac:dyDescent="0.2">
      <c r="A6372" t="s">
        <v>6983</v>
      </c>
      <c r="B6372" t="s">
        <v>90</v>
      </c>
      <c r="C6372" t="s">
        <v>607</v>
      </c>
      <c r="D6372">
        <v>820.66</v>
      </c>
      <c r="E6372" s="37" t="str">
        <f t="shared" si="495"/>
        <v xml:space="preserve"> </v>
      </c>
      <c r="F6372">
        <v>0.01</v>
      </c>
      <c r="G6372" s="37" t="str">
        <f t="shared" si="496"/>
        <v>Normal Discount</v>
      </c>
      <c r="H6372" s="37" t="str">
        <f t="shared" si="497"/>
        <v>Low</v>
      </c>
      <c r="I6372">
        <v>7</v>
      </c>
      <c r="J6372" t="str" cm="1">
        <f t="array" ref="J6372">_xlfn.IFS(I6372&lt;=3,"small",I6372&lt;=6,"Medium",I6372&lt;=9,"Large")</f>
        <v>Large</v>
      </c>
      <c r="K6372" s="36">
        <v>45403</v>
      </c>
      <c r="L6372" s="36">
        <v>45408</v>
      </c>
      <c r="M6372" t="s">
        <v>598</v>
      </c>
      <c r="N6372" t="s">
        <v>604</v>
      </c>
      <c r="O6372" s="37" t="str">
        <f t="shared" si="498"/>
        <v>Digital Payment</v>
      </c>
      <c r="P6372">
        <v>190.06</v>
      </c>
      <c r="Q6372" s="37" t="str">
        <f>IF(P6372&gt;500,"High","low")</f>
        <v>low</v>
      </c>
      <c r="R6372" s="37" t="str">
        <f t="shared" si="499"/>
        <v>AVERAGE</v>
      </c>
      <c r="S6372" t="s">
        <v>620</v>
      </c>
    </row>
    <row r="6373" spans="1:19" x14ac:dyDescent="0.2">
      <c r="A6373" t="s">
        <v>6984</v>
      </c>
      <c r="B6373" t="s">
        <v>75</v>
      </c>
      <c r="C6373" t="s">
        <v>614</v>
      </c>
      <c r="D6373">
        <v>620.62</v>
      </c>
      <c r="E6373" s="37" t="str">
        <f t="shared" si="495"/>
        <v xml:space="preserve"> </v>
      </c>
      <c r="F6373">
        <v>0.18</v>
      </c>
      <c r="G6373" s="37" t="str">
        <f t="shared" si="496"/>
        <v>Normal Discount</v>
      </c>
      <c r="H6373" s="37" t="str">
        <f t="shared" si="497"/>
        <v>Low</v>
      </c>
      <c r="I6373">
        <v>3</v>
      </c>
      <c r="J6373" t="str" cm="1">
        <f t="array" ref="J6373">_xlfn.IFS(I6373&lt;=3,"small",I6373&lt;=6,"Medium",I6373&lt;=9,"Large")</f>
        <v>small</v>
      </c>
      <c r="K6373" s="36">
        <v>44965</v>
      </c>
      <c r="L6373" s="36">
        <v>44966</v>
      </c>
      <c r="M6373" t="s">
        <v>612</v>
      </c>
      <c r="N6373" t="s">
        <v>608</v>
      </c>
      <c r="O6373" s="37" t="str">
        <f t="shared" si="498"/>
        <v>Cash Payment</v>
      </c>
      <c r="P6373">
        <v>41</v>
      </c>
      <c r="Q6373" s="37" t="str">
        <f>IF(P6373&gt;500,"High","low")</f>
        <v>low</v>
      </c>
      <c r="R6373" s="37" t="str">
        <f t="shared" si="499"/>
        <v>AVERAGE</v>
      </c>
      <c r="S6373" t="s">
        <v>609</v>
      </c>
    </row>
    <row r="6374" spans="1:19" x14ac:dyDescent="0.2">
      <c r="A6374" t="s">
        <v>6985</v>
      </c>
      <c r="B6374" t="s">
        <v>75</v>
      </c>
      <c r="C6374" t="s">
        <v>617</v>
      </c>
      <c r="D6374">
        <v>1743.68</v>
      </c>
      <c r="E6374" s="37" t="str">
        <f t="shared" si="495"/>
        <v xml:space="preserve"> </v>
      </c>
      <c r="F6374">
        <v>0.02</v>
      </c>
      <c r="G6374" s="37" t="str">
        <f t="shared" si="496"/>
        <v>Normal Discount</v>
      </c>
      <c r="H6374" s="37" t="str">
        <f t="shared" si="497"/>
        <v>Low</v>
      </c>
      <c r="I6374">
        <v>7</v>
      </c>
      <c r="J6374" t="str" cm="1">
        <f t="array" ref="J6374">_xlfn.IFS(I6374&lt;=3,"small",I6374&lt;=6,"Medium",I6374&lt;=9,"Large")</f>
        <v>Large</v>
      </c>
      <c r="K6374" s="36">
        <v>45285</v>
      </c>
      <c r="L6374" s="36">
        <v>45291</v>
      </c>
      <c r="M6374" t="s">
        <v>612</v>
      </c>
      <c r="N6374" t="s">
        <v>608</v>
      </c>
      <c r="O6374" s="37" t="str">
        <f t="shared" si="498"/>
        <v>Cash Payment</v>
      </c>
      <c r="P6374">
        <v>476.68</v>
      </c>
      <c r="Q6374" s="37" t="str">
        <f>IF(P6374&gt;500,"High","low")</f>
        <v>low</v>
      </c>
      <c r="R6374" s="37" t="str">
        <f t="shared" si="499"/>
        <v>AVERAGE</v>
      </c>
      <c r="S6374" t="s">
        <v>600</v>
      </c>
    </row>
    <row r="6375" spans="1:19" x14ac:dyDescent="0.2">
      <c r="A6375" t="s">
        <v>6986</v>
      </c>
      <c r="B6375" t="s">
        <v>75</v>
      </c>
      <c r="C6375" t="s">
        <v>617</v>
      </c>
      <c r="D6375">
        <v>3088.95</v>
      </c>
      <c r="E6375" s="37" t="str">
        <f t="shared" si="495"/>
        <v xml:space="preserve"> </v>
      </c>
      <c r="F6375">
        <v>0.1</v>
      </c>
      <c r="G6375" s="37" t="str">
        <f t="shared" si="496"/>
        <v>Normal Discount</v>
      </c>
      <c r="H6375" s="37" t="str">
        <f t="shared" si="497"/>
        <v>Low</v>
      </c>
      <c r="I6375">
        <v>3</v>
      </c>
      <c r="J6375" t="str" cm="1">
        <f t="array" ref="J6375">_xlfn.IFS(I6375&lt;=3,"small",I6375&lt;=6,"Medium",I6375&lt;=9,"Large")</f>
        <v>small</v>
      </c>
      <c r="K6375" s="36">
        <v>45135</v>
      </c>
      <c r="L6375" s="36">
        <v>45137</v>
      </c>
      <c r="M6375" t="s">
        <v>598</v>
      </c>
      <c r="N6375" t="s">
        <v>599</v>
      </c>
      <c r="O6375" s="37" t="str">
        <f t="shared" si="498"/>
        <v>Digital Payment</v>
      </c>
      <c r="P6375">
        <v>576.19000000000005</v>
      </c>
      <c r="Q6375" s="37" t="str">
        <f>IF(P6375&gt;500,"High","low")</f>
        <v>High</v>
      </c>
      <c r="R6375" s="37" t="str">
        <f t="shared" si="499"/>
        <v>Good</v>
      </c>
      <c r="S6375" t="s">
        <v>620</v>
      </c>
    </row>
    <row r="6376" spans="1:19" x14ac:dyDescent="0.2">
      <c r="A6376" t="s">
        <v>6987</v>
      </c>
      <c r="B6376" t="s">
        <v>90</v>
      </c>
      <c r="C6376" t="s">
        <v>597</v>
      </c>
      <c r="D6376">
        <v>327.04000000000002</v>
      </c>
      <c r="E6376" s="37" t="str">
        <f t="shared" si="495"/>
        <v xml:space="preserve"> </v>
      </c>
      <c r="F6376">
        <v>0.47</v>
      </c>
      <c r="G6376" s="37" t="str">
        <f t="shared" si="496"/>
        <v>Heavy Discount</v>
      </c>
      <c r="H6376" s="37" t="str">
        <f t="shared" si="497"/>
        <v>High</v>
      </c>
      <c r="I6376">
        <v>6</v>
      </c>
      <c r="J6376" t="str" cm="1">
        <f t="array" ref="J6376">_xlfn.IFS(I6376&lt;=3,"small",I6376&lt;=6,"Medium",I6376&lt;=9,"Large")</f>
        <v>Medium</v>
      </c>
      <c r="K6376" s="36">
        <v>45369</v>
      </c>
      <c r="L6376" s="36">
        <v>45371</v>
      </c>
      <c r="M6376" t="s">
        <v>598</v>
      </c>
      <c r="N6376" t="s">
        <v>604</v>
      </c>
      <c r="O6376" s="37" t="str">
        <f t="shared" si="498"/>
        <v>Digital Payment</v>
      </c>
      <c r="P6376">
        <v>96.52</v>
      </c>
      <c r="Q6376" s="37" t="str">
        <f>IF(P6376&gt;500,"High","low")</f>
        <v>low</v>
      </c>
      <c r="R6376" s="37" t="str">
        <f t="shared" si="499"/>
        <v>AVERAGE</v>
      </c>
      <c r="S6376" t="s">
        <v>628</v>
      </c>
    </row>
    <row r="6377" spans="1:19" x14ac:dyDescent="0.2">
      <c r="A6377" t="s">
        <v>6988</v>
      </c>
      <c r="B6377" t="s">
        <v>83</v>
      </c>
      <c r="C6377" t="s">
        <v>607</v>
      </c>
      <c r="D6377">
        <v>3665.56</v>
      </c>
      <c r="E6377" s="37" t="str">
        <f t="shared" si="495"/>
        <v xml:space="preserve"> </v>
      </c>
      <c r="F6377">
        <v>7.0000000000000007E-2</v>
      </c>
      <c r="G6377" s="37" t="str">
        <f t="shared" si="496"/>
        <v>Normal Discount</v>
      </c>
      <c r="H6377" s="37" t="str">
        <f t="shared" si="497"/>
        <v>Low</v>
      </c>
      <c r="I6377">
        <v>8</v>
      </c>
      <c r="J6377" t="str" cm="1">
        <f t="array" ref="J6377">_xlfn.IFS(I6377&lt;=3,"small",I6377&lt;=6,"Medium",I6377&lt;=9,"Large")</f>
        <v>Large</v>
      </c>
      <c r="K6377" s="36">
        <v>45589</v>
      </c>
      <c r="L6377" s="36">
        <v>45590</v>
      </c>
      <c r="M6377" t="s">
        <v>603</v>
      </c>
      <c r="N6377" t="s">
        <v>608</v>
      </c>
      <c r="O6377" s="37" t="str">
        <f t="shared" si="498"/>
        <v>Cash Payment</v>
      </c>
      <c r="P6377">
        <v>436.58</v>
      </c>
      <c r="Q6377" s="37" t="str">
        <f>IF(P6377&gt;500,"High","low")</f>
        <v>low</v>
      </c>
      <c r="R6377" s="37" t="str">
        <f t="shared" si="499"/>
        <v>AVERAGE</v>
      </c>
      <c r="S6377" t="s">
        <v>605</v>
      </c>
    </row>
    <row r="6378" spans="1:19" x14ac:dyDescent="0.2">
      <c r="A6378" t="s">
        <v>6989</v>
      </c>
      <c r="B6378" t="s">
        <v>67</v>
      </c>
      <c r="C6378" t="s">
        <v>617</v>
      </c>
      <c r="D6378">
        <v>2047.42</v>
      </c>
      <c r="E6378" s="37" t="str">
        <f t="shared" si="495"/>
        <v xml:space="preserve"> </v>
      </c>
      <c r="F6378">
        <v>0.3</v>
      </c>
      <c r="G6378" s="37" t="str">
        <f t="shared" si="496"/>
        <v>Normal Discount</v>
      </c>
      <c r="H6378" s="37" t="str">
        <f t="shared" si="497"/>
        <v>Medium</v>
      </c>
      <c r="I6378">
        <v>8</v>
      </c>
      <c r="J6378" t="str" cm="1">
        <f t="array" ref="J6378">_xlfn.IFS(I6378&lt;=3,"small",I6378&lt;=6,"Medium",I6378&lt;=9,"Large")</f>
        <v>Large</v>
      </c>
      <c r="K6378" s="36">
        <v>45450</v>
      </c>
      <c r="L6378" s="36">
        <v>45455</v>
      </c>
      <c r="M6378" t="s">
        <v>612</v>
      </c>
      <c r="N6378" t="s">
        <v>608</v>
      </c>
      <c r="O6378" s="37" t="str">
        <f t="shared" si="498"/>
        <v>Cash Payment</v>
      </c>
      <c r="P6378">
        <v>158.88</v>
      </c>
      <c r="Q6378" s="37" t="str">
        <f>IF(P6378&gt;500,"High","low")</f>
        <v>low</v>
      </c>
      <c r="R6378" s="37" t="str">
        <f t="shared" si="499"/>
        <v>AVERAGE</v>
      </c>
      <c r="S6378" t="s">
        <v>605</v>
      </c>
    </row>
    <row r="6379" spans="1:19" x14ac:dyDescent="0.2">
      <c r="A6379" t="s">
        <v>6990</v>
      </c>
      <c r="B6379" t="s">
        <v>67</v>
      </c>
      <c r="C6379" t="s">
        <v>607</v>
      </c>
      <c r="D6379">
        <v>4821.17</v>
      </c>
      <c r="E6379" s="37" t="str">
        <f t="shared" si="495"/>
        <v>Excellent Order</v>
      </c>
      <c r="F6379">
        <v>0.17</v>
      </c>
      <c r="G6379" s="37" t="str">
        <f t="shared" si="496"/>
        <v>Normal Discount</v>
      </c>
      <c r="H6379" s="37" t="str">
        <f t="shared" si="497"/>
        <v>Low</v>
      </c>
      <c r="I6379">
        <v>6</v>
      </c>
      <c r="J6379" t="str" cm="1">
        <f t="array" ref="J6379">_xlfn.IFS(I6379&lt;=3,"small",I6379&lt;=6,"Medium",I6379&lt;=9,"Large")</f>
        <v>Medium</v>
      </c>
      <c r="K6379" s="36">
        <v>45003</v>
      </c>
      <c r="L6379" s="36">
        <v>45007</v>
      </c>
      <c r="M6379" t="s">
        <v>612</v>
      </c>
      <c r="N6379" t="s">
        <v>599</v>
      </c>
      <c r="O6379" s="37" t="str">
        <f t="shared" si="498"/>
        <v>Digital Payment</v>
      </c>
      <c r="P6379">
        <v>831.53</v>
      </c>
      <c r="Q6379" s="37" t="str">
        <f>IF(P6379&gt;500,"High","low")</f>
        <v>High</v>
      </c>
      <c r="R6379" s="37" t="str">
        <f t="shared" si="499"/>
        <v>Good</v>
      </c>
      <c r="S6379" t="s">
        <v>600</v>
      </c>
    </row>
    <row r="6380" spans="1:19" x14ac:dyDescent="0.2">
      <c r="A6380" t="s">
        <v>6991</v>
      </c>
      <c r="B6380" t="s">
        <v>75</v>
      </c>
      <c r="C6380" t="s">
        <v>614</v>
      </c>
      <c r="D6380">
        <v>2885.09</v>
      </c>
      <c r="E6380" s="37" t="str">
        <f t="shared" si="495"/>
        <v xml:space="preserve"> </v>
      </c>
      <c r="F6380">
        <v>0.32</v>
      </c>
      <c r="G6380" s="37" t="str">
        <f t="shared" si="496"/>
        <v>Heavy Discount</v>
      </c>
      <c r="H6380" s="37" t="str">
        <f t="shared" si="497"/>
        <v>Medium</v>
      </c>
      <c r="I6380">
        <v>2</v>
      </c>
      <c r="J6380" t="str" cm="1">
        <f t="array" ref="J6380">_xlfn.IFS(I6380&lt;=3,"small",I6380&lt;=6,"Medium",I6380&lt;=9,"Large")</f>
        <v>small</v>
      </c>
      <c r="K6380" s="36">
        <v>45507</v>
      </c>
      <c r="L6380" s="36">
        <v>45512</v>
      </c>
      <c r="M6380" t="s">
        <v>603</v>
      </c>
      <c r="N6380" t="s">
        <v>604</v>
      </c>
      <c r="O6380" s="37" t="str">
        <f t="shared" si="498"/>
        <v>Digital Payment</v>
      </c>
      <c r="P6380">
        <v>539.26</v>
      </c>
      <c r="Q6380" s="37" t="str">
        <f>IF(P6380&gt;500,"High","low")</f>
        <v>High</v>
      </c>
      <c r="R6380" s="37" t="str">
        <f t="shared" si="499"/>
        <v>Good</v>
      </c>
      <c r="S6380" t="s">
        <v>620</v>
      </c>
    </row>
    <row r="6381" spans="1:19" x14ac:dyDescent="0.2">
      <c r="A6381" t="s">
        <v>6992</v>
      </c>
      <c r="B6381" t="s">
        <v>75</v>
      </c>
      <c r="C6381" t="s">
        <v>597</v>
      </c>
      <c r="D6381">
        <v>3879.68</v>
      </c>
      <c r="E6381" s="37" t="str">
        <f t="shared" si="495"/>
        <v xml:space="preserve"> </v>
      </c>
      <c r="F6381">
        <v>0.43</v>
      </c>
      <c r="G6381" s="37" t="str">
        <f t="shared" si="496"/>
        <v>Heavy Discount</v>
      </c>
      <c r="H6381" s="37" t="str">
        <f t="shared" si="497"/>
        <v>High</v>
      </c>
      <c r="I6381">
        <v>1</v>
      </c>
      <c r="J6381" t="str" cm="1">
        <f t="array" ref="J6381">_xlfn.IFS(I6381&lt;=3,"small",I6381&lt;=6,"Medium",I6381&lt;=9,"Large")</f>
        <v>small</v>
      </c>
      <c r="K6381" s="36">
        <v>45069</v>
      </c>
      <c r="L6381" s="36">
        <v>45071</v>
      </c>
      <c r="M6381" t="s">
        <v>603</v>
      </c>
      <c r="N6381" t="s">
        <v>599</v>
      </c>
      <c r="O6381" s="37" t="str">
        <f t="shared" si="498"/>
        <v>Digital Payment</v>
      </c>
      <c r="P6381">
        <v>924.41</v>
      </c>
      <c r="Q6381" s="37" t="str">
        <f>IF(P6381&gt;500,"High","low")</f>
        <v>High</v>
      </c>
      <c r="R6381" s="37" t="str">
        <f t="shared" si="499"/>
        <v>Good</v>
      </c>
      <c r="S6381" t="s">
        <v>615</v>
      </c>
    </row>
    <row r="6382" spans="1:19" x14ac:dyDescent="0.2">
      <c r="A6382" t="s">
        <v>6993</v>
      </c>
      <c r="B6382" t="s">
        <v>90</v>
      </c>
      <c r="C6382" t="s">
        <v>602</v>
      </c>
      <c r="D6382">
        <v>4319.79</v>
      </c>
      <c r="E6382" s="37" t="str">
        <f t="shared" si="495"/>
        <v>Excellent Order</v>
      </c>
      <c r="F6382">
        <v>0.14000000000000001</v>
      </c>
      <c r="G6382" s="37" t="str">
        <f t="shared" si="496"/>
        <v>Normal Discount</v>
      </c>
      <c r="H6382" s="37" t="str">
        <f t="shared" si="497"/>
        <v>Low</v>
      </c>
      <c r="I6382">
        <v>3</v>
      </c>
      <c r="J6382" t="str" cm="1">
        <f t="array" ref="J6382">_xlfn.IFS(I6382&lt;=3,"small",I6382&lt;=6,"Medium",I6382&lt;=9,"Large")</f>
        <v>small</v>
      </c>
      <c r="K6382" s="36">
        <v>45427</v>
      </c>
      <c r="L6382" s="36">
        <v>45433</v>
      </c>
      <c r="M6382" t="s">
        <v>612</v>
      </c>
      <c r="N6382" t="s">
        <v>604</v>
      </c>
      <c r="O6382" s="37" t="str">
        <f t="shared" si="498"/>
        <v>Digital Payment</v>
      </c>
      <c r="P6382">
        <v>865.02</v>
      </c>
      <c r="Q6382" s="37" t="str">
        <f>IF(P6382&gt;500,"High","low")</f>
        <v>High</v>
      </c>
      <c r="R6382" s="37" t="str">
        <f t="shared" si="499"/>
        <v>Good</v>
      </c>
      <c r="S6382" t="s">
        <v>628</v>
      </c>
    </row>
    <row r="6383" spans="1:19" x14ac:dyDescent="0.2">
      <c r="A6383" t="s">
        <v>6994</v>
      </c>
      <c r="B6383" t="s">
        <v>83</v>
      </c>
      <c r="C6383" t="s">
        <v>614</v>
      </c>
      <c r="D6383">
        <v>4455.3500000000004</v>
      </c>
      <c r="E6383" s="37" t="str">
        <f t="shared" si="495"/>
        <v xml:space="preserve"> </v>
      </c>
      <c r="F6383">
        <v>0.04</v>
      </c>
      <c r="G6383" s="37" t="str">
        <f t="shared" si="496"/>
        <v>Normal Discount</v>
      </c>
      <c r="H6383" s="37" t="str">
        <f t="shared" si="497"/>
        <v>Low</v>
      </c>
      <c r="I6383">
        <v>3</v>
      </c>
      <c r="J6383" t="str" cm="1">
        <f t="array" ref="J6383">_xlfn.IFS(I6383&lt;=3,"small",I6383&lt;=6,"Medium",I6383&lt;=9,"Large")</f>
        <v>small</v>
      </c>
      <c r="K6383" s="36">
        <v>44986</v>
      </c>
      <c r="L6383" s="36">
        <v>44990</v>
      </c>
      <c r="M6383" t="s">
        <v>603</v>
      </c>
      <c r="N6383" t="s">
        <v>604</v>
      </c>
      <c r="O6383" s="37" t="str">
        <f t="shared" si="498"/>
        <v>Digital Payment</v>
      </c>
      <c r="P6383">
        <v>670.67</v>
      </c>
      <c r="Q6383" s="37" t="str">
        <f>IF(P6383&gt;500,"High","low")</f>
        <v>High</v>
      </c>
      <c r="R6383" s="37" t="str">
        <f t="shared" si="499"/>
        <v>Good</v>
      </c>
      <c r="S6383" t="s">
        <v>600</v>
      </c>
    </row>
    <row r="6384" spans="1:19" x14ac:dyDescent="0.2">
      <c r="A6384" t="s">
        <v>6995</v>
      </c>
      <c r="B6384" t="s">
        <v>67</v>
      </c>
      <c r="C6384" t="s">
        <v>607</v>
      </c>
      <c r="D6384">
        <v>2640.46</v>
      </c>
      <c r="E6384" s="37" t="str">
        <f t="shared" si="495"/>
        <v xml:space="preserve"> </v>
      </c>
      <c r="F6384">
        <v>0.1</v>
      </c>
      <c r="G6384" s="37" t="str">
        <f t="shared" si="496"/>
        <v>Normal Discount</v>
      </c>
      <c r="H6384" s="37" t="str">
        <f t="shared" si="497"/>
        <v>Low</v>
      </c>
      <c r="I6384">
        <v>7</v>
      </c>
      <c r="J6384" t="str" cm="1">
        <f t="array" ref="J6384">_xlfn.IFS(I6384&lt;=3,"small",I6384&lt;=6,"Medium",I6384&lt;=9,"Large")</f>
        <v>Large</v>
      </c>
      <c r="K6384" s="36">
        <v>45246</v>
      </c>
      <c r="L6384" s="36">
        <v>45253</v>
      </c>
      <c r="M6384" t="s">
        <v>612</v>
      </c>
      <c r="N6384" t="s">
        <v>599</v>
      </c>
      <c r="O6384" s="37" t="str">
        <f t="shared" si="498"/>
        <v>Digital Payment</v>
      </c>
      <c r="P6384">
        <v>254.95</v>
      </c>
      <c r="Q6384" s="37" t="str">
        <f>IF(P6384&gt;500,"High","low")</f>
        <v>low</v>
      </c>
      <c r="R6384" s="37" t="str">
        <f t="shared" si="499"/>
        <v>AVERAGE</v>
      </c>
      <c r="S6384" t="s">
        <v>620</v>
      </c>
    </row>
    <row r="6385" spans="1:19" x14ac:dyDescent="0.2">
      <c r="A6385" t="s">
        <v>6996</v>
      </c>
      <c r="B6385" t="s">
        <v>90</v>
      </c>
      <c r="C6385" t="s">
        <v>607</v>
      </c>
      <c r="D6385">
        <v>2044.04</v>
      </c>
      <c r="E6385" s="37" t="str">
        <f t="shared" si="495"/>
        <v xml:space="preserve"> </v>
      </c>
      <c r="F6385">
        <v>0.22</v>
      </c>
      <c r="G6385" s="37" t="str">
        <f t="shared" si="496"/>
        <v>Normal Discount</v>
      </c>
      <c r="H6385" s="37" t="str">
        <f t="shared" si="497"/>
        <v>Medium</v>
      </c>
      <c r="I6385">
        <v>4</v>
      </c>
      <c r="J6385" t="str" cm="1">
        <f t="array" ref="J6385">_xlfn.IFS(I6385&lt;=3,"small",I6385&lt;=6,"Medium",I6385&lt;=9,"Large")</f>
        <v>Medium</v>
      </c>
      <c r="K6385" s="36">
        <v>45090</v>
      </c>
      <c r="L6385" s="36">
        <v>45093</v>
      </c>
      <c r="M6385" t="s">
        <v>598</v>
      </c>
      <c r="N6385" t="s">
        <v>608</v>
      </c>
      <c r="O6385" s="37" t="str">
        <f t="shared" si="498"/>
        <v>Cash Payment</v>
      </c>
      <c r="P6385">
        <v>556.02</v>
      </c>
      <c r="Q6385" s="37" t="str">
        <f>IF(P6385&gt;500,"High","low")</f>
        <v>High</v>
      </c>
      <c r="R6385" s="37" t="str">
        <f t="shared" si="499"/>
        <v>Good</v>
      </c>
      <c r="S6385" t="s">
        <v>609</v>
      </c>
    </row>
    <row r="6386" spans="1:19" x14ac:dyDescent="0.2">
      <c r="A6386" t="s">
        <v>6997</v>
      </c>
      <c r="B6386" t="s">
        <v>67</v>
      </c>
      <c r="C6386" t="s">
        <v>614</v>
      </c>
      <c r="D6386">
        <v>2846.52</v>
      </c>
      <c r="E6386" s="37" t="str">
        <f t="shared" si="495"/>
        <v xml:space="preserve"> </v>
      </c>
      <c r="F6386">
        <v>0.26</v>
      </c>
      <c r="G6386" s="37" t="str">
        <f t="shared" si="496"/>
        <v>Normal Discount</v>
      </c>
      <c r="H6386" s="37" t="str">
        <f t="shared" si="497"/>
        <v>Medium</v>
      </c>
      <c r="I6386">
        <v>2</v>
      </c>
      <c r="J6386" t="str" cm="1">
        <f t="array" ref="J6386">_xlfn.IFS(I6386&lt;=3,"small",I6386&lt;=6,"Medium",I6386&lt;=9,"Large")</f>
        <v>small</v>
      </c>
      <c r="K6386" s="36">
        <v>45141</v>
      </c>
      <c r="L6386" s="36">
        <v>45143</v>
      </c>
      <c r="M6386" t="s">
        <v>598</v>
      </c>
      <c r="N6386" t="s">
        <v>604</v>
      </c>
      <c r="O6386" s="37" t="str">
        <f t="shared" si="498"/>
        <v>Digital Payment</v>
      </c>
      <c r="P6386">
        <v>364.82</v>
      </c>
      <c r="Q6386" s="37" t="str">
        <f>IF(P6386&gt;500,"High","low")</f>
        <v>low</v>
      </c>
      <c r="R6386" s="37" t="str">
        <f t="shared" si="499"/>
        <v>AVERAGE</v>
      </c>
      <c r="S6386" t="s">
        <v>628</v>
      </c>
    </row>
    <row r="6387" spans="1:19" x14ac:dyDescent="0.2">
      <c r="A6387" t="s">
        <v>6998</v>
      </c>
      <c r="B6387" t="s">
        <v>75</v>
      </c>
      <c r="C6387" t="s">
        <v>607</v>
      </c>
      <c r="D6387">
        <v>2070.14</v>
      </c>
      <c r="E6387" s="37" t="str">
        <f t="shared" si="495"/>
        <v xml:space="preserve"> </v>
      </c>
      <c r="F6387">
        <v>0.47</v>
      </c>
      <c r="G6387" s="37" t="str">
        <f t="shared" si="496"/>
        <v>Heavy Discount</v>
      </c>
      <c r="H6387" s="37" t="str">
        <f t="shared" si="497"/>
        <v>High</v>
      </c>
      <c r="I6387">
        <v>2</v>
      </c>
      <c r="J6387" t="str" cm="1">
        <f t="array" ref="J6387">_xlfn.IFS(I6387&lt;=3,"small",I6387&lt;=6,"Medium",I6387&lt;=9,"Large")</f>
        <v>small</v>
      </c>
      <c r="K6387" s="36">
        <v>45195</v>
      </c>
      <c r="L6387" s="36">
        <v>45196</v>
      </c>
      <c r="M6387" t="s">
        <v>612</v>
      </c>
      <c r="N6387" t="s">
        <v>604</v>
      </c>
      <c r="O6387" s="37" t="str">
        <f t="shared" si="498"/>
        <v>Digital Payment</v>
      </c>
      <c r="P6387">
        <v>213.97</v>
      </c>
      <c r="Q6387" s="37" t="str">
        <f>IF(P6387&gt;500,"High","low")</f>
        <v>low</v>
      </c>
      <c r="R6387" s="37" t="str">
        <f t="shared" si="499"/>
        <v>AVERAGE</v>
      </c>
      <c r="S6387" t="s">
        <v>600</v>
      </c>
    </row>
    <row r="6388" spans="1:19" x14ac:dyDescent="0.2">
      <c r="A6388" t="s">
        <v>6999</v>
      </c>
      <c r="B6388" t="s">
        <v>67</v>
      </c>
      <c r="C6388" t="s">
        <v>602</v>
      </c>
      <c r="D6388">
        <v>1279.5</v>
      </c>
      <c r="E6388" s="37" t="str">
        <f t="shared" si="495"/>
        <v xml:space="preserve"> </v>
      </c>
      <c r="F6388">
        <v>0.01</v>
      </c>
      <c r="G6388" s="37" t="str">
        <f t="shared" si="496"/>
        <v>Normal Discount</v>
      </c>
      <c r="H6388" s="37" t="str">
        <f t="shared" si="497"/>
        <v>Low</v>
      </c>
      <c r="I6388">
        <v>7</v>
      </c>
      <c r="J6388" t="str" cm="1">
        <f t="array" ref="J6388">_xlfn.IFS(I6388&lt;=3,"small",I6388&lt;=6,"Medium",I6388&lt;=9,"Large")</f>
        <v>Large</v>
      </c>
      <c r="K6388" s="36">
        <v>44966</v>
      </c>
      <c r="L6388" s="36">
        <v>44970</v>
      </c>
      <c r="M6388" t="s">
        <v>612</v>
      </c>
      <c r="N6388" t="s">
        <v>608</v>
      </c>
      <c r="O6388" s="37" t="str">
        <f t="shared" si="498"/>
        <v>Cash Payment</v>
      </c>
      <c r="P6388">
        <v>148.5</v>
      </c>
      <c r="Q6388" s="37" t="str">
        <f>IF(P6388&gt;500,"High","low")</f>
        <v>low</v>
      </c>
      <c r="R6388" s="37" t="str">
        <f t="shared" si="499"/>
        <v>AVERAGE</v>
      </c>
      <c r="S6388" t="s">
        <v>620</v>
      </c>
    </row>
    <row r="6389" spans="1:19" x14ac:dyDescent="0.2">
      <c r="A6389" t="s">
        <v>7000</v>
      </c>
      <c r="B6389" t="s">
        <v>83</v>
      </c>
      <c r="C6389" t="s">
        <v>602</v>
      </c>
      <c r="D6389">
        <v>1687.21</v>
      </c>
      <c r="E6389" s="37" t="str">
        <f t="shared" si="495"/>
        <v xml:space="preserve"> </v>
      </c>
      <c r="F6389">
        <v>0.38</v>
      </c>
      <c r="G6389" s="37" t="str">
        <f t="shared" si="496"/>
        <v>Heavy Discount</v>
      </c>
      <c r="H6389" s="37" t="str">
        <f t="shared" si="497"/>
        <v>Medium</v>
      </c>
      <c r="I6389">
        <v>8</v>
      </c>
      <c r="J6389" t="str" cm="1">
        <f t="array" ref="J6389">_xlfn.IFS(I6389&lt;=3,"small",I6389&lt;=6,"Medium",I6389&lt;=9,"Large")</f>
        <v>Large</v>
      </c>
      <c r="K6389" s="36">
        <v>45374</v>
      </c>
      <c r="L6389" s="36">
        <v>45379</v>
      </c>
      <c r="M6389" t="s">
        <v>603</v>
      </c>
      <c r="N6389" t="s">
        <v>608</v>
      </c>
      <c r="O6389" s="37" t="str">
        <f t="shared" si="498"/>
        <v>Cash Payment</v>
      </c>
      <c r="P6389">
        <v>314.75</v>
      </c>
      <c r="Q6389" s="37" t="str">
        <f>IF(P6389&gt;500,"High","low")</f>
        <v>low</v>
      </c>
      <c r="R6389" s="37" t="str">
        <f t="shared" si="499"/>
        <v>AVERAGE</v>
      </c>
      <c r="S6389" t="s">
        <v>620</v>
      </c>
    </row>
    <row r="6390" spans="1:19" x14ac:dyDescent="0.2">
      <c r="A6390" t="s">
        <v>7001</v>
      </c>
      <c r="B6390" t="s">
        <v>83</v>
      </c>
      <c r="C6390" t="s">
        <v>607</v>
      </c>
      <c r="D6390">
        <v>1240.57</v>
      </c>
      <c r="E6390" s="37" t="str">
        <f t="shared" si="495"/>
        <v xml:space="preserve"> </v>
      </c>
      <c r="F6390">
        <v>0.04</v>
      </c>
      <c r="G6390" s="37" t="str">
        <f t="shared" si="496"/>
        <v>Normal Discount</v>
      </c>
      <c r="H6390" s="37" t="str">
        <f t="shared" si="497"/>
        <v>Low</v>
      </c>
      <c r="I6390">
        <v>5</v>
      </c>
      <c r="J6390" t="str" cm="1">
        <f t="array" ref="J6390">_xlfn.IFS(I6390&lt;=3,"small",I6390&lt;=6,"Medium",I6390&lt;=9,"Large")</f>
        <v>Medium</v>
      </c>
      <c r="K6390" s="36">
        <v>44965</v>
      </c>
      <c r="L6390" s="36">
        <v>44971</v>
      </c>
      <c r="M6390" t="s">
        <v>598</v>
      </c>
      <c r="N6390" t="s">
        <v>599</v>
      </c>
      <c r="O6390" s="37" t="str">
        <f t="shared" si="498"/>
        <v>Digital Payment</v>
      </c>
      <c r="P6390">
        <v>66.28</v>
      </c>
      <c r="Q6390" s="37" t="str">
        <f>IF(P6390&gt;500,"High","low")</f>
        <v>low</v>
      </c>
      <c r="R6390" s="37" t="str">
        <f t="shared" si="499"/>
        <v>AVERAGE</v>
      </c>
      <c r="S6390" t="s">
        <v>600</v>
      </c>
    </row>
    <row r="6391" spans="1:19" x14ac:dyDescent="0.2">
      <c r="A6391" t="s">
        <v>7002</v>
      </c>
      <c r="B6391" t="s">
        <v>75</v>
      </c>
      <c r="C6391" t="s">
        <v>607</v>
      </c>
      <c r="D6391">
        <v>1420.24</v>
      </c>
      <c r="E6391" s="37" t="str">
        <f t="shared" si="495"/>
        <v xml:space="preserve"> </v>
      </c>
      <c r="F6391">
        <v>0.04</v>
      </c>
      <c r="G6391" s="37" t="str">
        <f t="shared" si="496"/>
        <v>Normal Discount</v>
      </c>
      <c r="H6391" s="37" t="str">
        <f t="shared" si="497"/>
        <v>Low</v>
      </c>
      <c r="I6391">
        <v>2</v>
      </c>
      <c r="J6391" t="str" cm="1">
        <f t="array" ref="J6391">_xlfn.IFS(I6391&lt;=3,"small",I6391&lt;=6,"Medium",I6391&lt;=9,"Large")</f>
        <v>small</v>
      </c>
      <c r="K6391" s="36">
        <v>45601</v>
      </c>
      <c r="L6391" s="36">
        <v>45604</v>
      </c>
      <c r="M6391" t="s">
        <v>612</v>
      </c>
      <c r="N6391" t="s">
        <v>608</v>
      </c>
      <c r="O6391" s="37" t="str">
        <f t="shared" si="498"/>
        <v>Cash Payment</v>
      </c>
      <c r="P6391">
        <v>346.37</v>
      </c>
      <c r="Q6391" s="37" t="str">
        <f>IF(P6391&gt;500,"High","low")</f>
        <v>low</v>
      </c>
      <c r="R6391" s="37" t="str">
        <f t="shared" si="499"/>
        <v>AVERAGE</v>
      </c>
      <c r="S6391" t="s">
        <v>628</v>
      </c>
    </row>
    <row r="6392" spans="1:19" x14ac:dyDescent="0.2">
      <c r="A6392" t="s">
        <v>7003</v>
      </c>
      <c r="B6392" t="s">
        <v>83</v>
      </c>
      <c r="C6392" t="s">
        <v>602</v>
      </c>
      <c r="D6392">
        <v>558.67999999999995</v>
      </c>
      <c r="E6392" s="37" t="str">
        <f t="shared" si="495"/>
        <v xml:space="preserve"> </v>
      </c>
      <c r="F6392">
        <v>0.33</v>
      </c>
      <c r="G6392" s="37" t="str">
        <f t="shared" si="496"/>
        <v>Heavy Discount</v>
      </c>
      <c r="H6392" s="37" t="str">
        <f t="shared" si="497"/>
        <v>Medium</v>
      </c>
      <c r="I6392">
        <v>3</v>
      </c>
      <c r="J6392" t="str" cm="1">
        <f t="array" ref="J6392">_xlfn.IFS(I6392&lt;=3,"small",I6392&lt;=6,"Medium",I6392&lt;=9,"Large")</f>
        <v>small</v>
      </c>
      <c r="K6392" s="36">
        <v>45479</v>
      </c>
      <c r="L6392" s="36">
        <v>45481</v>
      </c>
      <c r="M6392" t="s">
        <v>603</v>
      </c>
      <c r="N6392" t="s">
        <v>608</v>
      </c>
      <c r="O6392" s="37" t="str">
        <f t="shared" si="498"/>
        <v>Cash Payment</v>
      </c>
      <c r="P6392">
        <v>138.58000000000001</v>
      </c>
      <c r="Q6392" s="37" t="str">
        <f>IF(P6392&gt;500,"High","low")</f>
        <v>low</v>
      </c>
      <c r="R6392" s="37" t="str">
        <f t="shared" si="499"/>
        <v>AVERAGE</v>
      </c>
      <c r="S6392" t="s">
        <v>605</v>
      </c>
    </row>
    <row r="6393" spans="1:19" x14ac:dyDescent="0.2">
      <c r="A6393" t="s">
        <v>7004</v>
      </c>
      <c r="B6393" t="s">
        <v>83</v>
      </c>
      <c r="C6393" t="s">
        <v>607</v>
      </c>
      <c r="D6393">
        <v>2189.67</v>
      </c>
      <c r="E6393" s="37" t="str">
        <f t="shared" si="495"/>
        <v xml:space="preserve"> </v>
      </c>
      <c r="F6393">
        <v>0.45</v>
      </c>
      <c r="G6393" s="37" t="str">
        <f t="shared" si="496"/>
        <v>Heavy Discount</v>
      </c>
      <c r="H6393" s="37" t="str">
        <f t="shared" si="497"/>
        <v>High</v>
      </c>
      <c r="I6393">
        <v>1</v>
      </c>
      <c r="J6393" t="str" cm="1">
        <f t="array" ref="J6393">_xlfn.IFS(I6393&lt;=3,"small",I6393&lt;=6,"Medium",I6393&lt;=9,"Large")</f>
        <v>small</v>
      </c>
      <c r="K6393" s="36">
        <v>45099</v>
      </c>
      <c r="L6393" s="36">
        <v>45103</v>
      </c>
      <c r="M6393" t="s">
        <v>612</v>
      </c>
      <c r="N6393" t="s">
        <v>599</v>
      </c>
      <c r="O6393" s="37" t="str">
        <f t="shared" si="498"/>
        <v>Digital Payment</v>
      </c>
      <c r="P6393">
        <v>588.85</v>
      </c>
      <c r="Q6393" s="37" t="str">
        <f>IF(P6393&gt;500,"High","low")</f>
        <v>High</v>
      </c>
      <c r="R6393" s="37" t="str">
        <f t="shared" si="499"/>
        <v>Good</v>
      </c>
      <c r="S6393" t="s">
        <v>615</v>
      </c>
    </row>
    <row r="6394" spans="1:19" x14ac:dyDescent="0.2">
      <c r="A6394" t="s">
        <v>7005</v>
      </c>
      <c r="B6394" t="s">
        <v>90</v>
      </c>
      <c r="C6394" t="s">
        <v>617</v>
      </c>
      <c r="D6394">
        <v>1252.8900000000001</v>
      </c>
      <c r="E6394" s="37" t="str">
        <f t="shared" si="495"/>
        <v xml:space="preserve"> </v>
      </c>
      <c r="F6394">
        <v>0.14000000000000001</v>
      </c>
      <c r="G6394" s="37" t="str">
        <f t="shared" si="496"/>
        <v>Normal Discount</v>
      </c>
      <c r="H6394" s="37" t="str">
        <f t="shared" si="497"/>
        <v>Low</v>
      </c>
      <c r="I6394">
        <v>4</v>
      </c>
      <c r="J6394" t="str" cm="1">
        <f t="array" ref="J6394">_xlfn.IFS(I6394&lt;=3,"small",I6394&lt;=6,"Medium",I6394&lt;=9,"Large")</f>
        <v>Medium</v>
      </c>
      <c r="K6394" s="36">
        <v>45088</v>
      </c>
      <c r="L6394" s="36">
        <v>45090</v>
      </c>
      <c r="M6394" t="s">
        <v>598</v>
      </c>
      <c r="N6394" t="s">
        <v>599</v>
      </c>
      <c r="O6394" s="37" t="str">
        <f t="shared" si="498"/>
        <v>Digital Payment</v>
      </c>
      <c r="P6394">
        <v>318.56</v>
      </c>
      <c r="Q6394" s="37" t="str">
        <f>IF(P6394&gt;500,"High","low")</f>
        <v>low</v>
      </c>
      <c r="R6394" s="37" t="str">
        <f t="shared" si="499"/>
        <v>AVERAGE</v>
      </c>
      <c r="S6394" t="s">
        <v>600</v>
      </c>
    </row>
    <row r="6395" spans="1:19" x14ac:dyDescent="0.2">
      <c r="A6395" t="s">
        <v>7006</v>
      </c>
      <c r="B6395" t="s">
        <v>67</v>
      </c>
      <c r="C6395" t="s">
        <v>597</v>
      </c>
      <c r="D6395">
        <v>2297</v>
      </c>
      <c r="E6395" s="37" t="str">
        <f t="shared" si="495"/>
        <v xml:space="preserve"> </v>
      </c>
      <c r="F6395">
        <v>0.13</v>
      </c>
      <c r="G6395" s="37" t="str">
        <f t="shared" si="496"/>
        <v>Normal Discount</v>
      </c>
      <c r="H6395" s="37" t="str">
        <f t="shared" si="497"/>
        <v>Low</v>
      </c>
      <c r="I6395">
        <v>7</v>
      </c>
      <c r="J6395" t="str" cm="1">
        <f t="array" ref="J6395">_xlfn.IFS(I6395&lt;=3,"small",I6395&lt;=6,"Medium",I6395&lt;=9,"Large")</f>
        <v>Large</v>
      </c>
      <c r="K6395" s="36">
        <v>45161</v>
      </c>
      <c r="L6395" s="36">
        <v>45162</v>
      </c>
      <c r="M6395" t="s">
        <v>612</v>
      </c>
      <c r="N6395" t="s">
        <v>599</v>
      </c>
      <c r="O6395" s="37" t="str">
        <f t="shared" si="498"/>
        <v>Digital Payment</v>
      </c>
      <c r="P6395">
        <v>165.46</v>
      </c>
      <c r="Q6395" s="37" t="str">
        <f>IF(P6395&gt;500,"High","low")</f>
        <v>low</v>
      </c>
      <c r="R6395" s="37" t="str">
        <f t="shared" si="499"/>
        <v>AVERAGE</v>
      </c>
      <c r="S6395" t="s">
        <v>615</v>
      </c>
    </row>
    <row r="6396" spans="1:19" x14ac:dyDescent="0.2">
      <c r="A6396" t="s">
        <v>7007</v>
      </c>
      <c r="B6396" t="s">
        <v>75</v>
      </c>
      <c r="C6396" t="s">
        <v>617</v>
      </c>
      <c r="D6396">
        <v>3981.77</v>
      </c>
      <c r="E6396" s="37" t="str">
        <f t="shared" si="495"/>
        <v xml:space="preserve"> </v>
      </c>
      <c r="F6396">
        <v>0.31</v>
      </c>
      <c r="G6396" s="37" t="str">
        <f t="shared" si="496"/>
        <v>Heavy Discount</v>
      </c>
      <c r="H6396" s="37" t="str">
        <f t="shared" si="497"/>
        <v>Medium</v>
      </c>
      <c r="I6396">
        <v>9</v>
      </c>
      <c r="J6396" t="str" cm="1">
        <f t="array" ref="J6396">_xlfn.IFS(I6396&lt;=3,"small",I6396&lt;=6,"Medium",I6396&lt;=9,"Large")</f>
        <v>Large</v>
      </c>
      <c r="K6396" s="36">
        <v>45308</v>
      </c>
      <c r="L6396" s="36">
        <v>45310</v>
      </c>
      <c r="M6396" t="s">
        <v>612</v>
      </c>
      <c r="N6396" t="s">
        <v>604</v>
      </c>
      <c r="O6396" s="37" t="str">
        <f t="shared" si="498"/>
        <v>Digital Payment</v>
      </c>
      <c r="P6396">
        <v>726.42</v>
      </c>
      <c r="Q6396" s="37" t="str">
        <f>IF(P6396&gt;500,"High","low")</f>
        <v>High</v>
      </c>
      <c r="R6396" s="37" t="str">
        <f t="shared" si="499"/>
        <v>Good</v>
      </c>
      <c r="S6396" t="s">
        <v>620</v>
      </c>
    </row>
    <row r="6397" spans="1:19" x14ac:dyDescent="0.2">
      <c r="A6397" t="s">
        <v>7008</v>
      </c>
      <c r="B6397" t="s">
        <v>75</v>
      </c>
      <c r="C6397" t="s">
        <v>607</v>
      </c>
      <c r="D6397">
        <v>2296.73</v>
      </c>
      <c r="E6397" s="37" t="str">
        <f t="shared" si="495"/>
        <v xml:space="preserve"> </v>
      </c>
      <c r="F6397">
        <v>0.39</v>
      </c>
      <c r="G6397" s="37" t="str">
        <f t="shared" si="496"/>
        <v>Heavy Discount</v>
      </c>
      <c r="H6397" s="37" t="str">
        <f t="shared" si="497"/>
        <v>Medium</v>
      </c>
      <c r="I6397">
        <v>3</v>
      </c>
      <c r="J6397" t="str" cm="1">
        <f t="array" ref="J6397">_xlfn.IFS(I6397&lt;=3,"small",I6397&lt;=6,"Medium",I6397&lt;=9,"Large")</f>
        <v>small</v>
      </c>
      <c r="K6397" s="36">
        <v>45656</v>
      </c>
      <c r="L6397" s="36">
        <v>45662</v>
      </c>
      <c r="M6397" t="s">
        <v>612</v>
      </c>
      <c r="N6397" t="s">
        <v>604</v>
      </c>
      <c r="O6397" s="37" t="str">
        <f t="shared" si="498"/>
        <v>Digital Payment</v>
      </c>
      <c r="P6397">
        <v>211.29</v>
      </c>
      <c r="Q6397" s="37" t="str">
        <f>IF(P6397&gt;500,"High","low")</f>
        <v>low</v>
      </c>
      <c r="R6397" s="37" t="str">
        <f t="shared" si="499"/>
        <v>AVERAGE</v>
      </c>
      <c r="S6397" t="s">
        <v>620</v>
      </c>
    </row>
    <row r="6398" spans="1:19" x14ac:dyDescent="0.2">
      <c r="A6398" t="s">
        <v>7009</v>
      </c>
      <c r="B6398" t="s">
        <v>75</v>
      </c>
      <c r="C6398" t="s">
        <v>607</v>
      </c>
      <c r="D6398">
        <v>4777.6000000000004</v>
      </c>
      <c r="E6398" s="37" t="str">
        <f t="shared" si="495"/>
        <v xml:space="preserve"> </v>
      </c>
      <c r="F6398">
        <v>0.43</v>
      </c>
      <c r="G6398" s="37" t="str">
        <f t="shared" si="496"/>
        <v>Heavy Discount</v>
      </c>
      <c r="H6398" s="37" t="str">
        <f t="shared" si="497"/>
        <v>High</v>
      </c>
      <c r="I6398">
        <v>4</v>
      </c>
      <c r="J6398" t="str" cm="1">
        <f t="array" ref="J6398">_xlfn.IFS(I6398&lt;=3,"small",I6398&lt;=6,"Medium",I6398&lt;=9,"Large")</f>
        <v>Medium</v>
      </c>
      <c r="K6398" s="36">
        <v>44943</v>
      </c>
      <c r="L6398" s="36">
        <v>44948</v>
      </c>
      <c r="M6398" t="s">
        <v>612</v>
      </c>
      <c r="N6398" t="s">
        <v>604</v>
      </c>
      <c r="O6398" s="37" t="str">
        <f t="shared" si="498"/>
        <v>Digital Payment</v>
      </c>
      <c r="P6398">
        <v>363.49</v>
      </c>
      <c r="Q6398" s="37" t="str">
        <f>IF(P6398&gt;500,"High","low")</f>
        <v>low</v>
      </c>
      <c r="R6398" s="37" t="str">
        <f t="shared" si="499"/>
        <v>AVERAGE</v>
      </c>
      <c r="S6398" t="s">
        <v>605</v>
      </c>
    </row>
    <row r="6399" spans="1:19" x14ac:dyDescent="0.2">
      <c r="A6399" t="s">
        <v>7010</v>
      </c>
      <c r="B6399" t="s">
        <v>75</v>
      </c>
      <c r="C6399" t="s">
        <v>597</v>
      </c>
      <c r="D6399">
        <v>824.4</v>
      </c>
      <c r="E6399" s="37" t="str">
        <f t="shared" si="495"/>
        <v xml:space="preserve"> </v>
      </c>
      <c r="F6399">
        <v>0.12</v>
      </c>
      <c r="G6399" s="37" t="str">
        <f t="shared" si="496"/>
        <v>Normal Discount</v>
      </c>
      <c r="H6399" s="37" t="str">
        <f t="shared" si="497"/>
        <v>Low</v>
      </c>
      <c r="I6399">
        <v>6</v>
      </c>
      <c r="J6399" t="str" cm="1">
        <f t="array" ref="J6399">_xlfn.IFS(I6399&lt;=3,"small",I6399&lt;=6,"Medium",I6399&lt;=9,"Large")</f>
        <v>Medium</v>
      </c>
      <c r="K6399" s="36">
        <v>45039</v>
      </c>
      <c r="L6399" s="36">
        <v>45044</v>
      </c>
      <c r="M6399" t="s">
        <v>612</v>
      </c>
      <c r="N6399" t="s">
        <v>608</v>
      </c>
      <c r="O6399" s="37" t="str">
        <f t="shared" si="498"/>
        <v>Cash Payment</v>
      </c>
      <c r="P6399">
        <v>41.98</v>
      </c>
      <c r="Q6399" s="37" t="str">
        <f>IF(P6399&gt;500,"High","low")</f>
        <v>low</v>
      </c>
      <c r="R6399" s="37" t="str">
        <f t="shared" si="499"/>
        <v>AVERAGE</v>
      </c>
      <c r="S6399" t="s">
        <v>628</v>
      </c>
    </row>
    <row r="6400" spans="1:19" x14ac:dyDescent="0.2">
      <c r="A6400" t="s">
        <v>7011</v>
      </c>
      <c r="B6400" t="s">
        <v>75</v>
      </c>
      <c r="C6400" t="s">
        <v>607</v>
      </c>
      <c r="D6400">
        <v>4266.3</v>
      </c>
      <c r="E6400" s="37" t="str">
        <f t="shared" si="495"/>
        <v xml:space="preserve"> </v>
      </c>
      <c r="F6400">
        <v>0.37</v>
      </c>
      <c r="G6400" s="37" t="str">
        <f t="shared" si="496"/>
        <v>Heavy Discount</v>
      </c>
      <c r="H6400" s="37" t="str">
        <f t="shared" si="497"/>
        <v>Medium</v>
      </c>
      <c r="I6400">
        <v>1</v>
      </c>
      <c r="J6400" t="str" cm="1">
        <f t="array" ref="J6400">_xlfn.IFS(I6400&lt;=3,"small",I6400&lt;=6,"Medium",I6400&lt;=9,"Large")</f>
        <v>small</v>
      </c>
      <c r="K6400" s="36">
        <v>44961</v>
      </c>
      <c r="L6400" s="36">
        <v>44962</v>
      </c>
      <c r="M6400" t="s">
        <v>598</v>
      </c>
      <c r="N6400" t="s">
        <v>608</v>
      </c>
      <c r="O6400" s="37" t="str">
        <f t="shared" si="498"/>
        <v>Cash Payment</v>
      </c>
      <c r="P6400">
        <v>245.93</v>
      </c>
      <c r="Q6400" s="37" t="str">
        <f>IF(P6400&gt;500,"High","low")</f>
        <v>low</v>
      </c>
      <c r="R6400" s="37" t="str">
        <f t="shared" si="499"/>
        <v>AVERAGE</v>
      </c>
      <c r="S6400" t="s">
        <v>615</v>
      </c>
    </row>
    <row r="6401" spans="1:19" x14ac:dyDescent="0.2">
      <c r="A6401" t="s">
        <v>7012</v>
      </c>
      <c r="B6401" t="s">
        <v>83</v>
      </c>
      <c r="C6401" t="s">
        <v>597</v>
      </c>
      <c r="D6401">
        <v>1316.46</v>
      </c>
      <c r="E6401" s="37" t="str">
        <f t="shared" si="495"/>
        <v xml:space="preserve"> </v>
      </c>
      <c r="F6401">
        <v>0.15</v>
      </c>
      <c r="G6401" s="37" t="str">
        <f t="shared" si="496"/>
        <v>Normal Discount</v>
      </c>
      <c r="H6401" s="37" t="str">
        <f t="shared" si="497"/>
        <v>Low</v>
      </c>
      <c r="I6401">
        <v>5</v>
      </c>
      <c r="J6401" t="str" cm="1">
        <f t="array" ref="J6401">_xlfn.IFS(I6401&lt;=3,"small",I6401&lt;=6,"Medium",I6401&lt;=9,"Large")</f>
        <v>Medium</v>
      </c>
      <c r="K6401" s="36">
        <v>45130</v>
      </c>
      <c r="L6401" s="36">
        <v>45131</v>
      </c>
      <c r="M6401" t="s">
        <v>603</v>
      </c>
      <c r="N6401" t="s">
        <v>599</v>
      </c>
      <c r="O6401" s="37" t="str">
        <f t="shared" si="498"/>
        <v>Digital Payment</v>
      </c>
      <c r="P6401">
        <v>181.73</v>
      </c>
      <c r="Q6401" s="37" t="str">
        <f>IF(P6401&gt;500,"High","low")</f>
        <v>low</v>
      </c>
      <c r="R6401" s="37" t="str">
        <f t="shared" si="499"/>
        <v>AVERAGE</v>
      </c>
      <c r="S6401" t="s">
        <v>600</v>
      </c>
    </row>
    <row r="6402" spans="1:19" x14ac:dyDescent="0.2">
      <c r="A6402" t="s">
        <v>7013</v>
      </c>
      <c r="B6402" t="s">
        <v>90</v>
      </c>
      <c r="C6402" t="s">
        <v>602</v>
      </c>
      <c r="D6402">
        <v>4676.2700000000004</v>
      </c>
      <c r="E6402" s="37" t="str">
        <f t="shared" si="495"/>
        <v xml:space="preserve"> </v>
      </c>
      <c r="F6402">
        <v>0.27</v>
      </c>
      <c r="G6402" s="37" t="str">
        <f t="shared" si="496"/>
        <v>Normal Discount</v>
      </c>
      <c r="H6402" s="37" t="str">
        <f t="shared" si="497"/>
        <v>Medium</v>
      </c>
      <c r="I6402">
        <v>5</v>
      </c>
      <c r="J6402" t="str" cm="1">
        <f t="array" ref="J6402">_xlfn.IFS(I6402&lt;=3,"small",I6402&lt;=6,"Medium",I6402&lt;=9,"Large")</f>
        <v>Medium</v>
      </c>
      <c r="K6402" s="36">
        <v>45089</v>
      </c>
      <c r="L6402" s="36">
        <v>45092</v>
      </c>
      <c r="M6402" t="s">
        <v>598</v>
      </c>
      <c r="N6402" t="s">
        <v>599</v>
      </c>
      <c r="O6402" s="37" t="str">
        <f t="shared" si="498"/>
        <v>Digital Payment</v>
      </c>
      <c r="P6402">
        <v>255.16</v>
      </c>
      <c r="Q6402" s="37" t="str">
        <f>IF(P6402&gt;500,"High","low")</f>
        <v>low</v>
      </c>
      <c r="R6402" s="37" t="str">
        <f t="shared" si="499"/>
        <v>AVERAGE</v>
      </c>
      <c r="S6402" t="s">
        <v>620</v>
      </c>
    </row>
    <row r="6403" spans="1:19" x14ac:dyDescent="0.2">
      <c r="A6403" t="s">
        <v>7014</v>
      </c>
      <c r="B6403" t="s">
        <v>75</v>
      </c>
      <c r="C6403" t="s">
        <v>597</v>
      </c>
      <c r="D6403">
        <v>1213.02</v>
      </c>
      <c r="E6403" s="37" t="str">
        <f t="shared" ref="E6403:E6466" si="500">IF(AND(D6403&gt;4000,P6403&gt;800),"Excellent Order"," ")</f>
        <v xml:space="preserve"> </v>
      </c>
      <c r="F6403">
        <v>0.1</v>
      </c>
      <c r="G6403" s="37" t="str">
        <f t="shared" ref="G6403:G6466" si="501">IF(F6403&gt;30%,"Heavy Discount","Normal Discount")</f>
        <v>Normal Discount</v>
      </c>
      <c r="H6403" s="37" t="str">
        <f t="shared" ref="H6403:H6466" si="502">IF(F6403&gt;0.4,"High",IF(F6403&gt;=0.2,"Medium","Low"))</f>
        <v>Low</v>
      </c>
      <c r="I6403">
        <v>9</v>
      </c>
      <c r="J6403" t="str" cm="1">
        <f t="array" ref="J6403">_xlfn.IFS(I6403&lt;=3,"small",I6403&lt;=6,"Medium",I6403&lt;=9,"Large")</f>
        <v>Large</v>
      </c>
      <c r="K6403" s="36">
        <v>45283</v>
      </c>
      <c r="L6403" s="36">
        <v>45287</v>
      </c>
      <c r="M6403" t="s">
        <v>603</v>
      </c>
      <c r="N6403" t="s">
        <v>604</v>
      </c>
      <c r="O6403" s="37" t="str">
        <f t="shared" ref="O6403:O6466" si="503">IF(OR(N6403="Card",N6403="UPI"),"Digital Payment","Cash Payment")</f>
        <v>Digital Payment</v>
      </c>
      <c r="P6403">
        <v>190.55</v>
      </c>
      <c r="Q6403" s="37" t="str">
        <f>IF(P6403&gt;500,"High","low")</f>
        <v>low</v>
      </c>
      <c r="R6403" s="37" t="str">
        <f t="shared" ref="R6403:R6466" si="504">IF(P6403&gt;1000,"Excellent",IF(P6403&gt;=500,"Good","AVERAGE"))</f>
        <v>AVERAGE</v>
      </c>
      <c r="S6403" t="s">
        <v>609</v>
      </c>
    </row>
    <row r="6404" spans="1:19" x14ac:dyDescent="0.2">
      <c r="A6404" t="s">
        <v>7015</v>
      </c>
      <c r="B6404" t="s">
        <v>90</v>
      </c>
      <c r="C6404" t="s">
        <v>597</v>
      </c>
      <c r="D6404">
        <v>3760.11</v>
      </c>
      <c r="E6404" s="37" t="str">
        <f t="shared" si="500"/>
        <v xml:space="preserve"> </v>
      </c>
      <c r="F6404">
        <v>7.0000000000000007E-2</v>
      </c>
      <c r="G6404" s="37" t="str">
        <f t="shared" si="501"/>
        <v>Normal Discount</v>
      </c>
      <c r="H6404" s="37" t="str">
        <f t="shared" si="502"/>
        <v>Low</v>
      </c>
      <c r="I6404">
        <v>9</v>
      </c>
      <c r="J6404" t="str" cm="1">
        <f t="array" ref="J6404">_xlfn.IFS(I6404&lt;=3,"small",I6404&lt;=6,"Medium",I6404&lt;=9,"Large")</f>
        <v>Large</v>
      </c>
      <c r="K6404" s="36">
        <v>45188</v>
      </c>
      <c r="L6404" s="36">
        <v>45195</v>
      </c>
      <c r="M6404" t="s">
        <v>603</v>
      </c>
      <c r="N6404" t="s">
        <v>604</v>
      </c>
      <c r="O6404" s="37" t="str">
        <f t="shared" si="503"/>
        <v>Digital Payment</v>
      </c>
      <c r="P6404">
        <v>312.63</v>
      </c>
      <c r="Q6404" s="37" t="str">
        <f>IF(P6404&gt;500,"High","low")</f>
        <v>low</v>
      </c>
      <c r="R6404" s="37" t="str">
        <f t="shared" si="504"/>
        <v>AVERAGE</v>
      </c>
      <c r="S6404" t="s">
        <v>600</v>
      </c>
    </row>
    <row r="6405" spans="1:19" x14ac:dyDescent="0.2">
      <c r="A6405" t="s">
        <v>7016</v>
      </c>
      <c r="B6405" t="s">
        <v>90</v>
      </c>
      <c r="C6405" t="s">
        <v>617</v>
      </c>
      <c r="D6405">
        <v>404.38</v>
      </c>
      <c r="E6405" s="37" t="str">
        <f t="shared" si="500"/>
        <v xml:space="preserve"> </v>
      </c>
      <c r="F6405">
        <v>0.47</v>
      </c>
      <c r="G6405" s="37" t="str">
        <f t="shared" si="501"/>
        <v>Heavy Discount</v>
      </c>
      <c r="H6405" s="37" t="str">
        <f t="shared" si="502"/>
        <v>High</v>
      </c>
      <c r="I6405">
        <v>1</v>
      </c>
      <c r="J6405" t="str" cm="1">
        <f t="array" ref="J6405">_xlfn.IFS(I6405&lt;=3,"small",I6405&lt;=6,"Medium",I6405&lt;=9,"Large")</f>
        <v>small</v>
      </c>
      <c r="K6405" s="36">
        <v>45362</v>
      </c>
      <c r="L6405" s="36">
        <v>45364</v>
      </c>
      <c r="M6405" t="s">
        <v>598</v>
      </c>
      <c r="N6405" t="s">
        <v>608</v>
      </c>
      <c r="O6405" s="37" t="str">
        <f t="shared" si="503"/>
        <v>Cash Payment</v>
      </c>
      <c r="P6405">
        <v>103.55</v>
      </c>
      <c r="Q6405" s="37" t="str">
        <f>IF(P6405&gt;500,"High","low")</f>
        <v>low</v>
      </c>
      <c r="R6405" s="37" t="str">
        <f t="shared" si="504"/>
        <v>AVERAGE</v>
      </c>
      <c r="S6405" t="s">
        <v>628</v>
      </c>
    </row>
    <row r="6406" spans="1:19" x14ac:dyDescent="0.2">
      <c r="A6406" t="s">
        <v>7017</v>
      </c>
      <c r="B6406" t="s">
        <v>83</v>
      </c>
      <c r="C6406" t="s">
        <v>607</v>
      </c>
      <c r="D6406">
        <v>3186.09</v>
      </c>
      <c r="E6406" s="37" t="str">
        <f t="shared" si="500"/>
        <v xml:space="preserve"> </v>
      </c>
      <c r="F6406">
        <v>0.27</v>
      </c>
      <c r="G6406" s="37" t="str">
        <f t="shared" si="501"/>
        <v>Normal Discount</v>
      </c>
      <c r="H6406" s="37" t="str">
        <f t="shared" si="502"/>
        <v>Medium</v>
      </c>
      <c r="I6406">
        <v>3</v>
      </c>
      <c r="J6406" t="str" cm="1">
        <f t="array" ref="J6406">_xlfn.IFS(I6406&lt;=3,"small",I6406&lt;=6,"Medium",I6406&lt;=9,"Large")</f>
        <v>small</v>
      </c>
      <c r="K6406" s="36">
        <v>45000</v>
      </c>
      <c r="L6406" s="36">
        <v>45001</v>
      </c>
      <c r="M6406" t="s">
        <v>612</v>
      </c>
      <c r="N6406" t="s">
        <v>604</v>
      </c>
      <c r="O6406" s="37" t="str">
        <f t="shared" si="503"/>
        <v>Digital Payment</v>
      </c>
      <c r="P6406">
        <v>463.62</v>
      </c>
      <c r="Q6406" s="37" t="str">
        <f>IF(P6406&gt;500,"High","low")</f>
        <v>low</v>
      </c>
      <c r="R6406" s="37" t="str">
        <f t="shared" si="504"/>
        <v>AVERAGE</v>
      </c>
      <c r="S6406" t="s">
        <v>609</v>
      </c>
    </row>
    <row r="6407" spans="1:19" x14ac:dyDescent="0.2">
      <c r="A6407" t="s">
        <v>7018</v>
      </c>
      <c r="B6407" t="s">
        <v>75</v>
      </c>
      <c r="C6407" t="s">
        <v>602</v>
      </c>
      <c r="D6407">
        <v>1171.5</v>
      </c>
      <c r="E6407" s="37" t="str">
        <f t="shared" si="500"/>
        <v xml:space="preserve"> </v>
      </c>
      <c r="F6407">
        <v>0</v>
      </c>
      <c r="G6407" s="37" t="str">
        <f t="shared" si="501"/>
        <v>Normal Discount</v>
      </c>
      <c r="H6407" s="37" t="str">
        <f t="shared" si="502"/>
        <v>Low</v>
      </c>
      <c r="I6407">
        <v>4</v>
      </c>
      <c r="J6407" t="str" cm="1">
        <f t="array" ref="J6407">_xlfn.IFS(I6407&lt;=3,"small",I6407&lt;=6,"Medium",I6407&lt;=9,"Large")</f>
        <v>Medium</v>
      </c>
      <c r="K6407" s="36">
        <v>45333</v>
      </c>
      <c r="L6407" s="36">
        <v>45337</v>
      </c>
      <c r="M6407" t="s">
        <v>603</v>
      </c>
      <c r="N6407" t="s">
        <v>599</v>
      </c>
      <c r="O6407" s="37" t="str">
        <f t="shared" si="503"/>
        <v>Digital Payment</v>
      </c>
      <c r="P6407">
        <v>245.88</v>
      </c>
      <c r="Q6407" s="37" t="str">
        <f>IF(P6407&gt;500,"High","low")</f>
        <v>low</v>
      </c>
      <c r="R6407" s="37" t="str">
        <f t="shared" si="504"/>
        <v>AVERAGE</v>
      </c>
      <c r="S6407" t="s">
        <v>620</v>
      </c>
    </row>
    <row r="6408" spans="1:19" x14ac:dyDescent="0.2">
      <c r="A6408" t="s">
        <v>7019</v>
      </c>
      <c r="B6408" t="s">
        <v>83</v>
      </c>
      <c r="C6408" t="s">
        <v>614</v>
      </c>
      <c r="D6408">
        <v>3383.85</v>
      </c>
      <c r="E6408" s="37" t="str">
        <f t="shared" si="500"/>
        <v xml:space="preserve"> </v>
      </c>
      <c r="F6408">
        <v>0.4</v>
      </c>
      <c r="G6408" s="37" t="str">
        <f t="shared" si="501"/>
        <v>Heavy Discount</v>
      </c>
      <c r="H6408" s="37" t="str">
        <f t="shared" si="502"/>
        <v>Medium</v>
      </c>
      <c r="I6408">
        <v>1</v>
      </c>
      <c r="J6408" t="str" cm="1">
        <f t="array" ref="J6408">_xlfn.IFS(I6408&lt;=3,"small",I6408&lt;=6,"Medium",I6408&lt;=9,"Large")</f>
        <v>small</v>
      </c>
      <c r="K6408" s="36">
        <v>45649</v>
      </c>
      <c r="L6408" s="36">
        <v>45650</v>
      </c>
      <c r="M6408" t="s">
        <v>612</v>
      </c>
      <c r="N6408" t="s">
        <v>604</v>
      </c>
      <c r="O6408" s="37" t="str">
        <f t="shared" si="503"/>
        <v>Digital Payment</v>
      </c>
      <c r="P6408">
        <v>568.96</v>
      </c>
      <c r="Q6408" s="37" t="str">
        <f>IF(P6408&gt;500,"High","low")</f>
        <v>High</v>
      </c>
      <c r="R6408" s="37" t="str">
        <f t="shared" si="504"/>
        <v>Good</v>
      </c>
      <c r="S6408" t="s">
        <v>620</v>
      </c>
    </row>
    <row r="6409" spans="1:19" x14ac:dyDescent="0.2">
      <c r="A6409" t="s">
        <v>7020</v>
      </c>
      <c r="B6409" t="s">
        <v>75</v>
      </c>
      <c r="C6409" t="s">
        <v>597</v>
      </c>
      <c r="D6409">
        <v>3215.56</v>
      </c>
      <c r="E6409" s="37" t="str">
        <f t="shared" si="500"/>
        <v xml:space="preserve"> </v>
      </c>
      <c r="F6409">
        <v>0.35</v>
      </c>
      <c r="G6409" s="37" t="str">
        <f t="shared" si="501"/>
        <v>Heavy Discount</v>
      </c>
      <c r="H6409" s="37" t="str">
        <f t="shared" si="502"/>
        <v>Medium</v>
      </c>
      <c r="I6409">
        <v>9</v>
      </c>
      <c r="J6409" t="str" cm="1">
        <f t="array" ref="J6409">_xlfn.IFS(I6409&lt;=3,"small",I6409&lt;=6,"Medium",I6409&lt;=9,"Large")</f>
        <v>Large</v>
      </c>
      <c r="K6409" s="36">
        <v>45042</v>
      </c>
      <c r="L6409" s="36">
        <v>45043</v>
      </c>
      <c r="M6409" t="s">
        <v>598</v>
      </c>
      <c r="N6409" t="s">
        <v>599</v>
      </c>
      <c r="O6409" s="37" t="str">
        <f t="shared" si="503"/>
        <v>Digital Payment</v>
      </c>
      <c r="P6409">
        <v>528.53</v>
      </c>
      <c r="Q6409" s="37" t="str">
        <f>IF(P6409&gt;500,"High","low")</f>
        <v>High</v>
      </c>
      <c r="R6409" s="37" t="str">
        <f t="shared" si="504"/>
        <v>Good</v>
      </c>
      <c r="S6409" t="s">
        <v>600</v>
      </c>
    </row>
    <row r="6410" spans="1:19" x14ac:dyDescent="0.2">
      <c r="A6410" t="s">
        <v>7021</v>
      </c>
      <c r="B6410" t="s">
        <v>83</v>
      </c>
      <c r="C6410" t="s">
        <v>614</v>
      </c>
      <c r="D6410">
        <v>4626.1099999999997</v>
      </c>
      <c r="E6410" s="37" t="str">
        <f t="shared" si="500"/>
        <v xml:space="preserve"> </v>
      </c>
      <c r="F6410">
        <v>0.16</v>
      </c>
      <c r="G6410" s="37" t="str">
        <f t="shared" si="501"/>
        <v>Normal Discount</v>
      </c>
      <c r="H6410" s="37" t="str">
        <f t="shared" si="502"/>
        <v>Low</v>
      </c>
      <c r="I6410">
        <v>2</v>
      </c>
      <c r="J6410" t="str" cm="1">
        <f t="array" ref="J6410">_xlfn.IFS(I6410&lt;=3,"small",I6410&lt;=6,"Medium",I6410&lt;=9,"Large")</f>
        <v>small</v>
      </c>
      <c r="K6410" s="36">
        <v>45097</v>
      </c>
      <c r="L6410" s="36">
        <v>45100</v>
      </c>
      <c r="M6410" t="s">
        <v>603</v>
      </c>
      <c r="N6410" t="s">
        <v>604</v>
      </c>
      <c r="O6410" s="37" t="str">
        <f t="shared" si="503"/>
        <v>Digital Payment</v>
      </c>
      <c r="P6410">
        <v>779.34</v>
      </c>
      <c r="Q6410" s="37" t="str">
        <f>IF(P6410&gt;500,"High","low")</f>
        <v>High</v>
      </c>
      <c r="R6410" s="37" t="str">
        <f t="shared" si="504"/>
        <v>Good</v>
      </c>
      <c r="S6410" t="s">
        <v>628</v>
      </c>
    </row>
    <row r="6411" spans="1:19" x14ac:dyDescent="0.2">
      <c r="A6411" t="s">
        <v>7022</v>
      </c>
      <c r="B6411" t="s">
        <v>90</v>
      </c>
      <c r="C6411" t="s">
        <v>607</v>
      </c>
      <c r="D6411">
        <v>3170.71</v>
      </c>
      <c r="E6411" s="37" t="str">
        <f t="shared" si="500"/>
        <v xml:space="preserve"> </v>
      </c>
      <c r="F6411">
        <v>0.23</v>
      </c>
      <c r="G6411" s="37" t="str">
        <f t="shared" si="501"/>
        <v>Normal Discount</v>
      </c>
      <c r="H6411" s="37" t="str">
        <f t="shared" si="502"/>
        <v>Medium</v>
      </c>
      <c r="I6411">
        <v>5</v>
      </c>
      <c r="J6411" t="str" cm="1">
        <f t="array" ref="J6411">_xlfn.IFS(I6411&lt;=3,"small",I6411&lt;=6,"Medium",I6411&lt;=9,"Large")</f>
        <v>Medium</v>
      </c>
      <c r="K6411" s="36">
        <v>45363</v>
      </c>
      <c r="L6411" s="36">
        <v>45369</v>
      </c>
      <c r="M6411" t="s">
        <v>603</v>
      </c>
      <c r="N6411" t="s">
        <v>599</v>
      </c>
      <c r="O6411" s="37" t="str">
        <f t="shared" si="503"/>
        <v>Digital Payment</v>
      </c>
      <c r="P6411">
        <v>379.94</v>
      </c>
      <c r="Q6411" s="37" t="str">
        <f>IF(P6411&gt;500,"High","low")</f>
        <v>low</v>
      </c>
      <c r="R6411" s="37" t="str">
        <f t="shared" si="504"/>
        <v>AVERAGE</v>
      </c>
      <c r="S6411" t="s">
        <v>620</v>
      </c>
    </row>
    <row r="6412" spans="1:19" x14ac:dyDescent="0.2">
      <c r="A6412" t="s">
        <v>7023</v>
      </c>
      <c r="B6412" t="s">
        <v>75</v>
      </c>
      <c r="C6412" t="s">
        <v>597</v>
      </c>
      <c r="D6412">
        <v>2100.42</v>
      </c>
      <c r="E6412" s="37" t="str">
        <f t="shared" si="500"/>
        <v xml:space="preserve"> </v>
      </c>
      <c r="F6412">
        <v>0.22</v>
      </c>
      <c r="G6412" s="37" t="str">
        <f t="shared" si="501"/>
        <v>Normal Discount</v>
      </c>
      <c r="H6412" s="37" t="str">
        <f t="shared" si="502"/>
        <v>Medium</v>
      </c>
      <c r="I6412">
        <v>3</v>
      </c>
      <c r="J6412" t="str" cm="1">
        <f t="array" ref="J6412">_xlfn.IFS(I6412&lt;=3,"small",I6412&lt;=6,"Medium",I6412&lt;=9,"Large")</f>
        <v>small</v>
      </c>
      <c r="K6412" s="36">
        <v>45510</v>
      </c>
      <c r="L6412" s="36">
        <v>45516</v>
      </c>
      <c r="M6412" t="s">
        <v>598</v>
      </c>
      <c r="N6412" t="s">
        <v>599</v>
      </c>
      <c r="O6412" s="37" t="str">
        <f t="shared" si="503"/>
        <v>Digital Payment</v>
      </c>
      <c r="P6412">
        <v>169.97</v>
      </c>
      <c r="Q6412" s="37" t="str">
        <f>IF(P6412&gt;500,"High","low")</f>
        <v>low</v>
      </c>
      <c r="R6412" s="37" t="str">
        <f t="shared" si="504"/>
        <v>AVERAGE</v>
      </c>
      <c r="S6412" t="s">
        <v>620</v>
      </c>
    </row>
    <row r="6413" spans="1:19" x14ac:dyDescent="0.2">
      <c r="A6413" t="s">
        <v>7024</v>
      </c>
      <c r="B6413" t="s">
        <v>67</v>
      </c>
      <c r="C6413" t="s">
        <v>614</v>
      </c>
      <c r="D6413">
        <v>1048.48</v>
      </c>
      <c r="E6413" s="37" t="str">
        <f t="shared" si="500"/>
        <v xml:space="preserve"> </v>
      </c>
      <c r="F6413">
        <v>0.14000000000000001</v>
      </c>
      <c r="G6413" s="37" t="str">
        <f t="shared" si="501"/>
        <v>Normal Discount</v>
      </c>
      <c r="H6413" s="37" t="str">
        <f t="shared" si="502"/>
        <v>Low</v>
      </c>
      <c r="I6413">
        <v>4</v>
      </c>
      <c r="J6413" t="str" cm="1">
        <f t="array" ref="J6413">_xlfn.IFS(I6413&lt;=3,"small",I6413&lt;=6,"Medium",I6413&lt;=9,"Large")</f>
        <v>Medium</v>
      </c>
      <c r="K6413" s="36">
        <v>45511</v>
      </c>
      <c r="L6413" s="36">
        <v>45517</v>
      </c>
      <c r="M6413" t="s">
        <v>598</v>
      </c>
      <c r="N6413" t="s">
        <v>599</v>
      </c>
      <c r="O6413" s="37" t="str">
        <f t="shared" si="503"/>
        <v>Digital Payment</v>
      </c>
      <c r="P6413">
        <v>284.2</v>
      </c>
      <c r="Q6413" s="37" t="str">
        <f>IF(P6413&gt;500,"High","low")</f>
        <v>low</v>
      </c>
      <c r="R6413" s="37" t="str">
        <f t="shared" si="504"/>
        <v>AVERAGE</v>
      </c>
      <c r="S6413" t="s">
        <v>609</v>
      </c>
    </row>
    <row r="6414" spans="1:19" x14ac:dyDescent="0.2">
      <c r="A6414" t="s">
        <v>7025</v>
      </c>
      <c r="B6414" t="s">
        <v>90</v>
      </c>
      <c r="C6414" t="s">
        <v>617</v>
      </c>
      <c r="D6414">
        <v>3321.51</v>
      </c>
      <c r="E6414" s="37" t="str">
        <f t="shared" si="500"/>
        <v xml:space="preserve"> </v>
      </c>
      <c r="F6414">
        <v>0.49</v>
      </c>
      <c r="G6414" s="37" t="str">
        <f t="shared" si="501"/>
        <v>Heavy Discount</v>
      </c>
      <c r="H6414" s="37" t="str">
        <f t="shared" si="502"/>
        <v>High</v>
      </c>
      <c r="I6414">
        <v>4</v>
      </c>
      <c r="J6414" t="str" cm="1">
        <f t="array" ref="J6414">_xlfn.IFS(I6414&lt;=3,"small",I6414&lt;=6,"Medium",I6414&lt;=9,"Large")</f>
        <v>Medium</v>
      </c>
      <c r="K6414" s="36">
        <v>45377</v>
      </c>
      <c r="L6414" s="36">
        <v>45382</v>
      </c>
      <c r="M6414" t="s">
        <v>612</v>
      </c>
      <c r="N6414" t="s">
        <v>608</v>
      </c>
      <c r="O6414" s="37" t="str">
        <f t="shared" si="503"/>
        <v>Cash Payment</v>
      </c>
      <c r="P6414">
        <v>792.3</v>
      </c>
      <c r="Q6414" s="37" t="str">
        <f>IF(P6414&gt;500,"High","low")</f>
        <v>High</v>
      </c>
      <c r="R6414" s="37" t="str">
        <f t="shared" si="504"/>
        <v>Good</v>
      </c>
      <c r="S6414" t="s">
        <v>620</v>
      </c>
    </row>
    <row r="6415" spans="1:19" x14ac:dyDescent="0.2">
      <c r="A6415" t="s">
        <v>7026</v>
      </c>
      <c r="B6415" t="s">
        <v>67</v>
      </c>
      <c r="C6415" t="s">
        <v>614</v>
      </c>
      <c r="D6415">
        <v>670.2</v>
      </c>
      <c r="E6415" s="37" t="str">
        <f t="shared" si="500"/>
        <v xml:space="preserve"> </v>
      </c>
      <c r="F6415">
        <v>0.27</v>
      </c>
      <c r="G6415" s="37" t="str">
        <f t="shared" si="501"/>
        <v>Normal Discount</v>
      </c>
      <c r="H6415" s="37" t="str">
        <f t="shared" si="502"/>
        <v>Medium</v>
      </c>
      <c r="I6415">
        <v>2</v>
      </c>
      <c r="J6415" t="str" cm="1">
        <f t="array" ref="J6415">_xlfn.IFS(I6415&lt;=3,"small",I6415&lt;=6,"Medium",I6415&lt;=9,"Large")</f>
        <v>small</v>
      </c>
      <c r="K6415" s="36">
        <v>45120</v>
      </c>
      <c r="L6415" s="36">
        <v>45124</v>
      </c>
      <c r="M6415" t="s">
        <v>598</v>
      </c>
      <c r="N6415" t="s">
        <v>608</v>
      </c>
      <c r="O6415" s="37" t="str">
        <f t="shared" si="503"/>
        <v>Cash Payment</v>
      </c>
      <c r="P6415">
        <v>75.53</v>
      </c>
      <c r="Q6415" s="37" t="str">
        <f>IF(P6415&gt;500,"High","low")</f>
        <v>low</v>
      </c>
      <c r="R6415" s="37" t="str">
        <f t="shared" si="504"/>
        <v>AVERAGE</v>
      </c>
      <c r="S6415" t="s">
        <v>620</v>
      </c>
    </row>
    <row r="6416" spans="1:19" x14ac:dyDescent="0.2">
      <c r="A6416" t="s">
        <v>7027</v>
      </c>
      <c r="B6416" t="s">
        <v>90</v>
      </c>
      <c r="C6416" t="s">
        <v>617</v>
      </c>
      <c r="D6416">
        <v>4159.7299999999996</v>
      </c>
      <c r="E6416" s="37" t="str">
        <f t="shared" si="500"/>
        <v xml:space="preserve"> </v>
      </c>
      <c r="F6416">
        <v>0.45</v>
      </c>
      <c r="G6416" s="37" t="str">
        <f t="shared" si="501"/>
        <v>Heavy Discount</v>
      </c>
      <c r="H6416" s="37" t="str">
        <f t="shared" si="502"/>
        <v>High</v>
      </c>
      <c r="I6416">
        <v>2</v>
      </c>
      <c r="J6416" t="str" cm="1">
        <f t="array" ref="J6416">_xlfn.IFS(I6416&lt;=3,"small",I6416&lt;=6,"Medium",I6416&lt;=9,"Large")</f>
        <v>small</v>
      </c>
      <c r="K6416" s="36">
        <v>45344</v>
      </c>
      <c r="L6416" s="36">
        <v>45347</v>
      </c>
      <c r="M6416" t="s">
        <v>612</v>
      </c>
      <c r="N6416" t="s">
        <v>608</v>
      </c>
      <c r="O6416" s="37" t="str">
        <f t="shared" si="503"/>
        <v>Cash Payment</v>
      </c>
      <c r="P6416">
        <v>225.32</v>
      </c>
      <c r="Q6416" s="37" t="str">
        <f>IF(P6416&gt;500,"High","low")</f>
        <v>low</v>
      </c>
      <c r="R6416" s="37" t="str">
        <f t="shared" si="504"/>
        <v>AVERAGE</v>
      </c>
      <c r="S6416" t="s">
        <v>628</v>
      </c>
    </row>
    <row r="6417" spans="1:19" x14ac:dyDescent="0.2">
      <c r="A6417" t="s">
        <v>7028</v>
      </c>
      <c r="B6417" t="s">
        <v>83</v>
      </c>
      <c r="C6417" t="s">
        <v>602</v>
      </c>
      <c r="D6417">
        <v>1311.94</v>
      </c>
      <c r="E6417" s="37" t="str">
        <f t="shared" si="500"/>
        <v xml:space="preserve"> </v>
      </c>
      <c r="F6417">
        <v>0.28999999999999998</v>
      </c>
      <c r="G6417" s="37" t="str">
        <f t="shared" si="501"/>
        <v>Normal Discount</v>
      </c>
      <c r="H6417" s="37" t="str">
        <f t="shared" si="502"/>
        <v>Medium</v>
      </c>
      <c r="I6417">
        <v>8</v>
      </c>
      <c r="J6417" t="str" cm="1">
        <f t="array" ref="J6417">_xlfn.IFS(I6417&lt;=3,"small",I6417&lt;=6,"Medium",I6417&lt;=9,"Large")</f>
        <v>Large</v>
      </c>
      <c r="K6417" s="36">
        <v>45392</v>
      </c>
      <c r="L6417" s="36">
        <v>45397</v>
      </c>
      <c r="M6417" t="s">
        <v>603</v>
      </c>
      <c r="N6417" t="s">
        <v>599</v>
      </c>
      <c r="O6417" s="37" t="str">
        <f t="shared" si="503"/>
        <v>Digital Payment</v>
      </c>
      <c r="P6417">
        <v>239.03</v>
      </c>
      <c r="Q6417" s="37" t="str">
        <f>IF(P6417&gt;500,"High","low")</f>
        <v>low</v>
      </c>
      <c r="R6417" s="37" t="str">
        <f t="shared" si="504"/>
        <v>AVERAGE</v>
      </c>
      <c r="S6417" t="s">
        <v>628</v>
      </c>
    </row>
    <row r="6418" spans="1:19" x14ac:dyDescent="0.2">
      <c r="A6418" t="s">
        <v>7029</v>
      </c>
      <c r="B6418" t="s">
        <v>75</v>
      </c>
      <c r="C6418" t="s">
        <v>607</v>
      </c>
      <c r="D6418">
        <v>2668.38</v>
      </c>
      <c r="E6418" s="37" t="str">
        <f t="shared" si="500"/>
        <v xml:space="preserve"> </v>
      </c>
      <c r="F6418">
        <v>0.35</v>
      </c>
      <c r="G6418" s="37" t="str">
        <f t="shared" si="501"/>
        <v>Heavy Discount</v>
      </c>
      <c r="H6418" s="37" t="str">
        <f t="shared" si="502"/>
        <v>Medium</v>
      </c>
      <c r="I6418">
        <v>2</v>
      </c>
      <c r="J6418" t="str" cm="1">
        <f t="array" ref="J6418">_xlfn.IFS(I6418&lt;=3,"small",I6418&lt;=6,"Medium",I6418&lt;=9,"Large")</f>
        <v>small</v>
      </c>
      <c r="K6418" s="36">
        <v>45593</v>
      </c>
      <c r="L6418" s="36">
        <v>45594</v>
      </c>
      <c r="M6418" t="s">
        <v>612</v>
      </c>
      <c r="N6418" t="s">
        <v>604</v>
      </c>
      <c r="O6418" s="37" t="str">
        <f t="shared" si="503"/>
        <v>Digital Payment</v>
      </c>
      <c r="P6418">
        <v>193.19</v>
      </c>
      <c r="Q6418" s="37" t="str">
        <f>IF(P6418&gt;500,"High","low")</f>
        <v>low</v>
      </c>
      <c r="R6418" s="37" t="str">
        <f t="shared" si="504"/>
        <v>AVERAGE</v>
      </c>
      <c r="S6418" t="s">
        <v>615</v>
      </c>
    </row>
    <row r="6419" spans="1:19" x14ac:dyDescent="0.2">
      <c r="A6419" t="s">
        <v>7030</v>
      </c>
      <c r="B6419" t="s">
        <v>90</v>
      </c>
      <c r="C6419" t="s">
        <v>614</v>
      </c>
      <c r="D6419">
        <v>3020.14</v>
      </c>
      <c r="E6419" s="37" t="str">
        <f t="shared" si="500"/>
        <v xml:space="preserve"> </v>
      </c>
      <c r="F6419">
        <v>0.01</v>
      </c>
      <c r="G6419" s="37" t="str">
        <f t="shared" si="501"/>
        <v>Normal Discount</v>
      </c>
      <c r="H6419" s="37" t="str">
        <f t="shared" si="502"/>
        <v>Low</v>
      </c>
      <c r="I6419">
        <v>7</v>
      </c>
      <c r="J6419" t="str" cm="1">
        <f t="array" ref="J6419">_xlfn.IFS(I6419&lt;=3,"small",I6419&lt;=6,"Medium",I6419&lt;=9,"Large")</f>
        <v>Large</v>
      </c>
      <c r="K6419" s="36">
        <v>45423</v>
      </c>
      <c r="L6419" s="36">
        <v>45430</v>
      </c>
      <c r="M6419" t="s">
        <v>603</v>
      </c>
      <c r="N6419" t="s">
        <v>608</v>
      </c>
      <c r="O6419" s="37" t="str">
        <f t="shared" si="503"/>
        <v>Cash Payment</v>
      </c>
      <c r="P6419">
        <v>687.88</v>
      </c>
      <c r="Q6419" s="37" t="str">
        <f>IF(P6419&gt;500,"High","low")</f>
        <v>High</v>
      </c>
      <c r="R6419" s="37" t="str">
        <f t="shared" si="504"/>
        <v>Good</v>
      </c>
      <c r="S6419" t="s">
        <v>609</v>
      </c>
    </row>
    <row r="6420" spans="1:19" x14ac:dyDescent="0.2">
      <c r="A6420" t="s">
        <v>7031</v>
      </c>
      <c r="B6420" t="s">
        <v>83</v>
      </c>
      <c r="C6420" t="s">
        <v>597</v>
      </c>
      <c r="D6420">
        <v>1876.2</v>
      </c>
      <c r="E6420" s="37" t="str">
        <f t="shared" si="500"/>
        <v xml:space="preserve"> </v>
      </c>
      <c r="F6420">
        <v>0.26</v>
      </c>
      <c r="G6420" s="37" t="str">
        <f t="shared" si="501"/>
        <v>Normal Discount</v>
      </c>
      <c r="H6420" s="37" t="str">
        <f t="shared" si="502"/>
        <v>Medium</v>
      </c>
      <c r="I6420">
        <v>1</v>
      </c>
      <c r="J6420" t="str" cm="1">
        <f t="array" ref="J6420">_xlfn.IFS(I6420&lt;=3,"small",I6420&lt;=6,"Medium",I6420&lt;=9,"Large")</f>
        <v>small</v>
      </c>
      <c r="K6420" s="36">
        <v>45593</v>
      </c>
      <c r="L6420" s="36">
        <v>45599</v>
      </c>
      <c r="M6420" t="s">
        <v>603</v>
      </c>
      <c r="N6420" t="s">
        <v>604</v>
      </c>
      <c r="O6420" s="37" t="str">
        <f t="shared" si="503"/>
        <v>Digital Payment</v>
      </c>
      <c r="P6420">
        <v>237.47</v>
      </c>
      <c r="Q6420" s="37" t="str">
        <f>IF(P6420&gt;500,"High","low")</f>
        <v>low</v>
      </c>
      <c r="R6420" s="37" t="str">
        <f t="shared" si="504"/>
        <v>AVERAGE</v>
      </c>
      <c r="S6420" t="s">
        <v>609</v>
      </c>
    </row>
    <row r="6421" spans="1:19" x14ac:dyDescent="0.2">
      <c r="A6421" t="s">
        <v>7032</v>
      </c>
      <c r="B6421" t="s">
        <v>75</v>
      </c>
      <c r="C6421" t="s">
        <v>607</v>
      </c>
      <c r="D6421">
        <v>3352.98</v>
      </c>
      <c r="E6421" s="37" t="str">
        <f t="shared" si="500"/>
        <v xml:space="preserve"> </v>
      </c>
      <c r="F6421">
        <v>0.36</v>
      </c>
      <c r="G6421" s="37" t="str">
        <f t="shared" si="501"/>
        <v>Heavy Discount</v>
      </c>
      <c r="H6421" s="37" t="str">
        <f t="shared" si="502"/>
        <v>Medium</v>
      </c>
      <c r="I6421">
        <v>1</v>
      </c>
      <c r="J6421" t="str" cm="1">
        <f t="array" ref="J6421">_xlfn.IFS(I6421&lt;=3,"small",I6421&lt;=6,"Medium",I6421&lt;=9,"Large")</f>
        <v>small</v>
      </c>
      <c r="K6421" s="36">
        <v>45374</v>
      </c>
      <c r="L6421" s="36">
        <v>45377</v>
      </c>
      <c r="M6421" t="s">
        <v>603</v>
      </c>
      <c r="N6421" t="s">
        <v>608</v>
      </c>
      <c r="O6421" s="37" t="str">
        <f t="shared" si="503"/>
        <v>Cash Payment</v>
      </c>
      <c r="P6421">
        <v>660.42</v>
      </c>
      <c r="Q6421" s="37" t="str">
        <f>IF(P6421&gt;500,"High","low")</f>
        <v>High</v>
      </c>
      <c r="R6421" s="37" t="str">
        <f t="shared" si="504"/>
        <v>Good</v>
      </c>
      <c r="S6421" t="s">
        <v>628</v>
      </c>
    </row>
    <row r="6422" spans="1:19" x14ac:dyDescent="0.2">
      <c r="A6422" t="s">
        <v>7033</v>
      </c>
      <c r="B6422" t="s">
        <v>75</v>
      </c>
      <c r="C6422" t="s">
        <v>614</v>
      </c>
      <c r="D6422">
        <v>1326.06</v>
      </c>
      <c r="E6422" s="37" t="str">
        <f t="shared" si="500"/>
        <v xml:space="preserve"> </v>
      </c>
      <c r="F6422">
        <v>0.06</v>
      </c>
      <c r="G6422" s="37" t="str">
        <f t="shared" si="501"/>
        <v>Normal Discount</v>
      </c>
      <c r="H6422" s="37" t="str">
        <f t="shared" si="502"/>
        <v>Low</v>
      </c>
      <c r="I6422">
        <v>3</v>
      </c>
      <c r="J6422" t="str" cm="1">
        <f t="array" ref="J6422">_xlfn.IFS(I6422&lt;=3,"small",I6422&lt;=6,"Medium",I6422&lt;=9,"Large")</f>
        <v>small</v>
      </c>
      <c r="K6422" s="36">
        <v>45114</v>
      </c>
      <c r="L6422" s="36">
        <v>45119</v>
      </c>
      <c r="M6422" t="s">
        <v>598</v>
      </c>
      <c r="N6422" t="s">
        <v>604</v>
      </c>
      <c r="O6422" s="37" t="str">
        <f t="shared" si="503"/>
        <v>Digital Payment</v>
      </c>
      <c r="P6422">
        <v>212.04</v>
      </c>
      <c r="Q6422" s="37" t="str">
        <f>IF(P6422&gt;500,"High","low")</f>
        <v>low</v>
      </c>
      <c r="R6422" s="37" t="str">
        <f t="shared" si="504"/>
        <v>AVERAGE</v>
      </c>
      <c r="S6422" t="s">
        <v>628</v>
      </c>
    </row>
    <row r="6423" spans="1:19" x14ac:dyDescent="0.2">
      <c r="A6423" t="s">
        <v>7034</v>
      </c>
      <c r="B6423" t="s">
        <v>90</v>
      </c>
      <c r="C6423" t="s">
        <v>597</v>
      </c>
      <c r="D6423">
        <v>269.66000000000003</v>
      </c>
      <c r="E6423" s="37" t="str">
        <f t="shared" si="500"/>
        <v xml:space="preserve"> </v>
      </c>
      <c r="F6423">
        <v>0.34</v>
      </c>
      <c r="G6423" s="37" t="str">
        <f t="shared" si="501"/>
        <v>Heavy Discount</v>
      </c>
      <c r="H6423" s="37" t="str">
        <f t="shared" si="502"/>
        <v>Medium</v>
      </c>
      <c r="I6423">
        <v>3</v>
      </c>
      <c r="J6423" t="str" cm="1">
        <f t="array" ref="J6423">_xlfn.IFS(I6423&lt;=3,"small",I6423&lt;=6,"Medium",I6423&lt;=9,"Large")</f>
        <v>small</v>
      </c>
      <c r="K6423" s="36">
        <v>45135</v>
      </c>
      <c r="L6423" s="36">
        <v>45140</v>
      </c>
      <c r="M6423" t="s">
        <v>612</v>
      </c>
      <c r="N6423" t="s">
        <v>604</v>
      </c>
      <c r="O6423" s="37" t="str">
        <f t="shared" si="503"/>
        <v>Digital Payment</v>
      </c>
      <c r="P6423">
        <v>19.5</v>
      </c>
      <c r="Q6423" s="37" t="str">
        <f>IF(P6423&gt;500,"High","low")</f>
        <v>low</v>
      </c>
      <c r="R6423" s="37" t="str">
        <f t="shared" si="504"/>
        <v>AVERAGE</v>
      </c>
      <c r="S6423" t="s">
        <v>620</v>
      </c>
    </row>
    <row r="6424" spans="1:19" x14ac:dyDescent="0.2">
      <c r="A6424" t="s">
        <v>7035</v>
      </c>
      <c r="B6424" t="s">
        <v>75</v>
      </c>
      <c r="C6424" t="s">
        <v>597</v>
      </c>
      <c r="D6424">
        <v>4800.41</v>
      </c>
      <c r="E6424" s="37" t="str">
        <f t="shared" si="500"/>
        <v>Excellent Order</v>
      </c>
      <c r="F6424">
        <v>0.04</v>
      </c>
      <c r="G6424" s="37" t="str">
        <f t="shared" si="501"/>
        <v>Normal Discount</v>
      </c>
      <c r="H6424" s="37" t="str">
        <f t="shared" si="502"/>
        <v>Low</v>
      </c>
      <c r="I6424">
        <v>9</v>
      </c>
      <c r="J6424" t="str" cm="1">
        <f t="array" ref="J6424">_xlfn.IFS(I6424&lt;=3,"small",I6424&lt;=6,"Medium",I6424&lt;=9,"Large")</f>
        <v>Large</v>
      </c>
      <c r="K6424" s="36">
        <v>44999</v>
      </c>
      <c r="L6424" s="36">
        <v>45006</v>
      </c>
      <c r="M6424" t="s">
        <v>612</v>
      </c>
      <c r="N6424" t="s">
        <v>599</v>
      </c>
      <c r="O6424" s="37" t="str">
        <f t="shared" si="503"/>
        <v>Digital Payment</v>
      </c>
      <c r="P6424">
        <v>1414.02</v>
      </c>
      <c r="Q6424" s="37" t="str">
        <f>IF(P6424&gt;500,"High","low")</f>
        <v>High</v>
      </c>
      <c r="R6424" s="37" t="str">
        <f t="shared" si="504"/>
        <v>Excellent</v>
      </c>
      <c r="S6424" t="s">
        <v>609</v>
      </c>
    </row>
    <row r="6425" spans="1:19" x14ac:dyDescent="0.2">
      <c r="A6425" t="s">
        <v>7036</v>
      </c>
      <c r="B6425" t="s">
        <v>90</v>
      </c>
      <c r="C6425" t="s">
        <v>597</v>
      </c>
      <c r="D6425">
        <v>1668.22</v>
      </c>
      <c r="E6425" s="37" t="str">
        <f t="shared" si="500"/>
        <v xml:space="preserve"> </v>
      </c>
      <c r="F6425">
        <v>0.4</v>
      </c>
      <c r="G6425" s="37" t="str">
        <f t="shared" si="501"/>
        <v>Heavy Discount</v>
      </c>
      <c r="H6425" s="37" t="str">
        <f t="shared" si="502"/>
        <v>Medium</v>
      </c>
      <c r="I6425">
        <v>2</v>
      </c>
      <c r="J6425" t="str" cm="1">
        <f t="array" ref="J6425">_xlfn.IFS(I6425&lt;=3,"small",I6425&lt;=6,"Medium",I6425&lt;=9,"Large")</f>
        <v>small</v>
      </c>
      <c r="K6425" s="36">
        <v>45022</v>
      </c>
      <c r="L6425" s="36">
        <v>45029</v>
      </c>
      <c r="M6425" t="s">
        <v>612</v>
      </c>
      <c r="N6425" t="s">
        <v>608</v>
      </c>
      <c r="O6425" s="37" t="str">
        <f t="shared" si="503"/>
        <v>Cash Payment</v>
      </c>
      <c r="P6425">
        <v>83.93</v>
      </c>
      <c r="Q6425" s="37" t="str">
        <f>IF(P6425&gt;500,"High","low")</f>
        <v>low</v>
      </c>
      <c r="R6425" s="37" t="str">
        <f t="shared" si="504"/>
        <v>AVERAGE</v>
      </c>
      <c r="S6425" t="s">
        <v>600</v>
      </c>
    </row>
    <row r="6426" spans="1:19" x14ac:dyDescent="0.2">
      <c r="A6426" t="s">
        <v>7037</v>
      </c>
      <c r="B6426" t="s">
        <v>75</v>
      </c>
      <c r="C6426" t="s">
        <v>597</v>
      </c>
      <c r="D6426">
        <v>3595.96</v>
      </c>
      <c r="E6426" s="37" t="str">
        <f t="shared" si="500"/>
        <v xml:space="preserve"> </v>
      </c>
      <c r="F6426">
        <v>0.49</v>
      </c>
      <c r="G6426" s="37" t="str">
        <f t="shared" si="501"/>
        <v>Heavy Discount</v>
      </c>
      <c r="H6426" s="37" t="str">
        <f t="shared" si="502"/>
        <v>High</v>
      </c>
      <c r="I6426">
        <v>4</v>
      </c>
      <c r="J6426" t="str" cm="1">
        <f t="array" ref="J6426">_xlfn.IFS(I6426&lt;=3,"small",I6426&lt;=6,"Medium",I6426&lt;=9,"Large")</f>
        <v>Medium</v>
      </c>
      <c r="K6426" s="36">
        <v>45449</v>
      </c>
      <c r="L6426" s="36">
        <v>45452</v>
      </c>
      <c r="M6426" t="s">
        <v>612</v>
      </c>
      <c r="N6426" t="s">
        <v>599</v>
      </c>
      <c r="O6426" s="37" t="str">
        <f t="shared" si="503"/>
        <v>Digital Payment</v>
      </c>
      <c r="P6426">
        <v>1018.47</v>
      </c>
      <c r="Q6426" s="37" t="str">
        <f>IF(P6426&gt;500,"High","low")</f>
        <v>High</v>
      </c>
      <c r="R6426" s="37" t="str">
        <f t="shared" si="504"/>
        <v>Excellent</v>
      </c>
      <c r="S6426" t="s">
        <v>600</v>
      </c>
    </row>
    <row r="6427" spans="1:19" x14ac:dyDescent="0.2">
      <c r="A6427" t="s">
        <v>7038</v>
      </c>
      <c r="B6427" t="s">
        <v>67</v>
      </c>
      <c r="C6427" t="s">
        <v>614</v>
      </c>
      <c r="D6427">
        <v>2586.91</v>
      </c>
      <c r="E6427" s="37" t="str">
        <f t="shared" si="500"/>
        <v xml:space="preserve"> </v>
      </c>
      <c r="F6427">
        <v>0.31</v>
      </c>
      <c r="G6427" s="37" t="str">
        <f t="shared" si="501"/>
        <v>Heavy Discount</v>
      </c>
      <c r="H6427" s="37" t="str">
        <f t="shared" si="502"/>
        <v>Medium</v>
      </c>
      <c r="I6427">
        <v>3</v>
      </c>
      <c r="J6427" t="str" cm="1">
        <f t="array" ref="J6427">_xlfn.IFS(I6427&lt;=3,"small",I6427&lt;=6,"Medium",I6427&lt;=9,"Large")</f>
        <v>small</v>
      </c>
      <c r="K6427" s="36">
        <v>44930</v>
      </c>
      <c r="L6427" s="36">
        <v>44932</v>
      </c>
      <c r="M6427" t="s">
        <v>603</v>
      </c>
      <c r="N6427" t="s">
        <v>599</v>
      </c>
      <c r="O6427" s="37" t="str">
        <f t="shared" si="503"/>
        <v>Digital Payment</v>
      </c>
      <c r="P6427">
        <v>580.91</v>
      </c>
      <c r="Q6427" s="37" t="str">
        <f>IF(P6427&gt;500,"High","low")</f>
        <v>High</v>
      </c>
      <c r="R6427" s="37" t="str">
        <f t="shared" si="504"/>
        <v>Good</v>
      </c>
      <c r="S6427" t="s">
        <v>609</v>
      </c>
    </row>
    <row r="6428" spans="1:19" x14ac:dyDescent="0.2">
      <c r="A6428" t="s">
        <v>7039</v>
      </c>
      <c r="B6428" t="s">
        <v>83</v>
      </c>
      <c r="C6428" t="s">
        <v>602</v>
      </c>
      <c r="D6428">
        <v>3378.09</v>
      </c>
      <c r="E6428" s="37" t="str">
        <f t="shared" si="500"/>
        <v xml:space="preserve"> </v>
      </c>
      <c r="F6428">
        <v>0.04</v>
      </c>
      <c r="G6428" s="37" t="str">
        <f t="shared" si="501"/>
        <v>Normal Discount</v>
      </c>
      <c r="H6428" s="37" t="str">
        <f t="shared" si="502"/>
        <v>Low</v>
      </c>
      <c r="I6428">
        <v>7</v>
      </c>
      <c r="J6428" t="str" cm="1">
        <f t="array" ref="J6428">_xlfn.IFS(I6428&lt;=3,"small",I6428&lt;=6,"Medium",I6428&lt;=9,"Large")</f>
        <v>Large</v>
      </c>
      <c r="K6428" s="36">
        <v>44977</v>
      </c>
      <c r="L6428" s="36">
        <v>44983</v>
      </c>
      <c r="M6428" t="s">
        <v>603</v>
      </c>
      <c r="N6428" t="s">
        <v>604</v>
      </c>
      <c r="O6428" s="37" t="str">
        <f t="shared" si="503"/>
        <v>Digital Payment</v>
      </c>
      <c r="P6428">
        <v>631.84</v>
      </c>
      <c r="Q6428" s="37" t="str">
        <f>IF(P6428&gt;500,"High","low")</f>
        <v>High</v>
      </c>
      <c r="R6428" s="37" t="str">
        <f t="shared" si="504"/>
        <v>Good</v>
      </c>
      <c r="S6428" t="s">
        <v>605</v>
      </c>
    </row>
    <row r="6429" spans="1:19" x14ac:dyDescent="0.2">
      <c r="A6429" t="s">
        <v>7040</v>
      </c>
      <c r="B6429" t="s">
        <v>67</v>
      </c>
      <c r="C6429" t="s">
        <v>617</v>
      </c>
      <c r="D6429">
        <v>643.59</v>
      </c>
      <c r="E6429" s="37" t="str">
        <f t="shared" si="500"/>
        <v xml:space="preserve"> </v>
      </c>
      <c r="F6429">
        <v>0.28999999999999998</v>
      </c>
      <c r="G6429" s="37" t="str">
        <f t="shared" si="501"/>
        <v>Normal Discount</v>
      </c>
      <c r="H6429" s="37" t="str">
        <f t="shared" si="502"/>
        <v>Medium</v>
      </c>
      <c r="I6429">
        <v>6</v>
      </c>
      <c r="J6429" t="str" cm="1">
        <f t="array" ref="J6429">_xlfn.IFS(I6429&lt;=3,"small",I6429&lt;=6,"Medium",I6429&lt;=9,"Large")</f>
        <v>Medium</v>
      </c>
      <c r="K6429" s="36">
        <v>45220</v>
      </c>
      <c r="L6429" s="36">
        <v>45227</v>
      </c>
      <c r="M6429" t="s">
        <v>612</v>
      </c>
      <c r="N6429" t="s">
        <v>604</v>
      </c>
      <c r="O6429" s="37" t="str">
        <f t="shared" si="503"/>
        <v>Digital Payment</v>
      </c>
      <c r="P6429">
        <v>165.47</v>
      </c>
      <c r="Q6429" s="37" t="str">
        <f>IF(P6429&gt;500,"High","low")</f>
        <v>low</v>
      </c>
      <c r="R6429" s="37" t="str">
        <f t="shared" si="504"/>
        <v>AVERAGE</v>
      </c>
      <c r="S6429" t="s">
        <v>615</v>
      </c>
    </row>
    <row r="6430" spans="1:19" x14ac:dyDescent="0.2">
      <c r="A6430" t="s">
        <v>7041</v>
      </c>
      <c r="B6430" t="s">
        <v>90</v>
      </c>
      <c r="C6430" t="s">
        <v>617</v>
      </c>
      <c r="D6430">
        <v>2642.35</v>
      </c>
      <c r="E6430" s="37" t="str">
        <f t="shared" si="500"/>
        <v xml:space="preserve"> </v>
      </c>
      <c r="F6430">
        <v>0.37</v>
      </c>
      <c r="G6430" s="37" t="str">
        <f t="shared" si="501"/>
        <v>Heavy Discount</v>
      </c>
      <c r="H6430" s="37" t="str">
        <f t="shared" si="502"/>
        <v>Medium</v>
      </c>
      <c r="I6430">
        <v>9</v>
      </c>
      <c r="J6430" t="str" cm="1">
        <f t="array" ref="J6430">_xlfn.IFS(I6430&lt;=3,"small",I6430&lt;=6,"Medium",I6430&lt;=9,"Large")</f>
        <v>Large</v>
      </c>
      <c r="K6430" s="36">
        <v>45489</v>
      </c>
      <c r="L6430" s="36">
        <v>45492</v>
      </c>
      <c r="M6430" t="s">
        <v>598</v>
      </c>
      <c r="N6430" t="s">
        <v>604</v>
      </c>
      <c r="O6430" s="37" t="str">
        <f t="shared" si="503"/>
        <v>Digital Payment</v>
      </c>
      <c r="P6430">
        <v>151.01</v>
      </c>
      <c r="Q6430" s="37" t="str">
        <f>IF(P6430&gt;500,"High","low")</f>
        <v>low</v>
      </c>
      <c r="R6430" s="37" t="str">
        <f t="shared" si="504"/>
        <v>AVERAGE</v>
      </c>
      <c r="S6430" t="s">
        <v>605</v>
      </c>
    </row>
    <row r="6431" spans="1:19" x14ac:dyDescent="0.2">
      <c r="A6431" t="s">
        <v>7042</v>
      </c>
      <c r="B6431" t="s">
        <v>67</v>
      </c>
      <c r="C6431" t="s">
        <v>617</v>
      </c>
      <c r="D6431">
        <v>2021.88</v>
      </c>
      <c r="E6431" s="37" t="str">
        <f t="shared" si="500"/>
        <v xml:space="preserve"> </v>
      </c>
      <c r="F6431">
        <v>0.47</v>
      </c>
      <c r="G6431" s="37" t="str">
        <f t="shared" si="501"/>
        <v>Heavy Discount</v>
      </c>
      <c r="H6431" s="37" t="str">
        <f t="shared" si="502"/>
        <v>High</v>
      </c>
      <c r="I6431">
        <v>8</v>
      </c>
      <c r="J6431" t="str" cm="1">
        <f t="array" ref="J6431">_xlfn.IFS(I6431&lt;=3,"small",I6431&lt;=6,"Medium",I6431&lt;=9,"Large")</f>
        <v>Large</v>
      </c>
      <c r="K6431" s="36">
        <v>45486</v>
      </c>
      <c r="L6431" s="36">
        <v>45487</v>
      </c>
      <c r="M6431" t="s">
        <v>598</v>
      </c>
      <c r="N6431" t="s">
        <v>599</v>
      </c>
      <c r="O6431" s="37" t="str">
        <f t="shared" si="503"/>
        <v>Digital Payment</v>
      </c>
      <c r="P6431">
        <v>170.4</v>
      </c>
      <c r="Q6431" s="37" t="str">
        <f>IF(P6431&gt;500,"High","low")</f>
        <v>low</v>
      </c>
      <c r="R6431" s="37" t="str">
        <f t="shared" si="504"/>
        <v>AVERAGE</v>
      </c>
      <c r="S6431" t="s">
        <v>609</v>
      </c>
    </row>
    <row r="6432" spans="1:19" x14ac:dyDescent="0.2">
      <c r="A6432" t="s">
        <v>7043</v>
      </c>
      <c r="B6432" t="s">
        <v>90</v>
      </c>
      <c r="C6432" t="s">
        <v>602</v>
      </c>
      <c r="D6432">
        <v>2314.06</v>
      </c>
      <c r="E6432" s="37" t="str">
        <f t="shared" si="500"/>
        <v xml:space="preserve"> </v>
      </c>
      <c r="F6432">
        <v>0.02</v>
      </c>
      <c r="G6432" s="37" t="str">
        <f t="shared" si="501"/>
        <v>Normal Discount</v>
      </c>
      <c r="H6432" s="37" t="str">
        <f t="shared" si="502"/>
        <v>Low</v>
      </c>
      <c r="I6432">
        <v>2</v>
      </c>
      <c r="J6432" t="str" cm="1">
        <f t="array" ref="J6432">_xlfn.IFS(I6432&lt;=3,"small",I6432&lt;=6,"Medium",I6432&lt;=9,"Large")</f>
        <v>small</v>
      </c>
      <c r="K6432" s="36">
        <v>45207</v>
      </c>
      <c r="L6432" s="36">
        <v>45214</v>
      </c>
      <c r="M6432" t="s">
        <v>598</v>
      </c>
      <c r="N6432" t="s">
        <v>608</v>
      </c>
      <c r="O6432" s="37" t="str">
        <f t="shared" si="503"/>
        <v>Cash Payment</v>
      </c>
      <c r="P6432">
        <v>462.53</v>
      </c>
      <c r="Q6432" s="37" t="str">
        <f>IF(P6432&gt;500,"High","low")</f>
        <v>low</v>
      </c>
      <c r="R6432" s="37" t="str">
        <f t="shared" si="504"/>
        <v>AVERAGE</v>
      </c>
      <c r="S6432" t="s">
        <v>609</v>
      </c>
    </row>
    <row r="6433" spans="1:19" x14ac:dyDescent="0.2">
      <c r="A6433" t="s">
        <v>7044</v>
      </c>
      <c r="B6433" t="s">
        <v>75</v>
      </c>
      <c r="C6433" t="s">
        <v>597</v>
      </c>
      <c r="D6433">
        <v>4834.42</v>
      </c>
      <c r="E6433" s="37" t="str">
        <f t="shared" si="500"/>
        <v>Excellent Order</v>
      </c>
      <c r="F6433">
        <v>0.39</v>
      </c>
      <c r="G6433" s="37" t="str">
        <f t="shared" si="501"/>
        <v>Heavy Discount</v>
      </c>
      <c r="H6433" s="37" t="str">
        <f t="shared" si="502"/>
        <v>Medium</v>
      </c>
      <c r="I6433">
        <v>3</v>
      </c>
      <c r="J6433" t="str" cm="1">
        <f t="array" ref="J6433">_xlfn.IFS(I6433&lt;=3,"small",I6433&lt;=6,"Medium",I6433&lt;=9,"Large")</f>
        <v>small</v>
      </c>
      <c r="K6433" s="36">
        <v>45059</v>
      </c>
      <c r="L6433" s="36">
        <v>45061</v>
      </c>
      <c r="M6433" t="s">
        <v>612</v>
      </c>
      <c r="N6433" t="s">
        <v>599</v>
      </c>
      <c r="O6433" s="37" t="str">
        <f t="shared" si="503"/>
        <v>Digital Payment</v>
      </c>
      <c r="P6433">
        <v>885.38</v>
      </c>
      <c r="Q6433" s="37" t="str">
        <f>IF(P6433&gt;500,"High","low")</f>
        <v>High</v>
      </c>
      <c r="R6433" s="37" t="str">
        <f t="shared" si="504"/>
        <v>Good</v>
      </c>
      <c r="S6433" t="s">
        <v>600</v>
      </c>
    </row>
    <row r="6434" spans="1:19" x14ac:dyDescent="0.2">
      <c r="A6434" t="s">
        <v>7045</v>
      </c>
      <c r="B6434" t="s">
        <v>75</v>
      </c>
      <c r="C6434" t="s">
        <v>597</v>
      </c>
      <c r="D6434">
        <v>767.82</v>
      </c>
      <c r="E6434" s="37" t="str">
        <f t="shared" si="500"/>
        <v xml:space="preserve"> </v>
      </c>
      <c r="F6434">
        <v>7.0000000000000007E-2</v>
      </c>
      <c r="G6434" s="37" t="str">
        <f t="shared" si="501"/>
        <v>Normal Discount</v>
      </c>
      <c r="H6434" s="37" t="str">
        <f t="shared" si="502"/>
        <v>Low</v>
      </c>
      <c r="I6434">
        <v>1</v>
      </c>
      <c r="J6434" t="str" cm="1">
        <f t="array" ref="J6434">_xlfn.IFS(I6434&lt;=3,"small",I6434&lt;=6,"Medium",I6434&lt;=9,"Large")</f>
        <v>small</v>
      </c>
      <c r="K6434" s="36">
        <v>45507</v>
      </c>
      <c r="L6434" s="36">
        <v>45514</v>
      </c>
      <c r="M6434" t="s">
        <v>603</v>
      </c>
      <c r="N6434" t="s">
        <v>608</v>
      </c>
      <c r="O6434" s="37" t="str">
        <f t="shared" si="503"/>
        <v>Cash Payment</v>
      </c>
      <c r="P6434">
        <v>143.88999999999999</v>
      </c>
      <c r="Q6434" s="37" t="str">
        <f>IF(P6434&gt;500,"High","low")</f>
        <v>low</v>
      </c>
      <c r="R6434" s="37" t="str">
        <f t="shared" si="504"/>
        <v>AVERAGE</v>
      </c>
      <c r="S6434" t="s">
        <v>605</v>
      </c>
    </row>
    <row r="6435" spans="1:19" x14ac:dyDescent="0.2">
      <c r="A6435" t="s">
        <v>7046</v>
      </c>
      <c r="B6435" t="s">
        <v>90</v>
      </c>
      <c r="C6435" t="s">
        <v>607</v>
      </c>
      <c r="D6435">
        <v>3798.03</v>
      </c>
      <c r="E6435" s="37" t="str">
        <f t="shared" si="500"/>
        <v xml:space="preserve"> </v>
      </c>
      <c r="F6435">
        <v>0.4</v>
      </c>
      <c r="G6435" s="37" t="str">
        <f t="shared" si="501"/>
        <v>Heavy Discount</v>
      </c>
      <c r="H6435" s="37" t="str">
        <f t="shared" si="502"/>
        <v>Medium</v>
      </c>
      <c r="I6435">
        <v>8</v>
      </c>
      <c r="J6435" t="str" cm="1">
        <f t="array" ref="J6435">_xlfn.IFS(I6435&lt;=3,"small",I6435&lt;=6,"Medium",I6435&lt;=9,"Large")</f>
        <v>Large</v>
      </c>
      <c r="K6435" s="36">
        <v>45264</v>
      </c>
      <c r="L6435" s="36">
        <v>45271</v>
      </c>
      <c r="M6435" t="s">
        <v>598</v>
      </c>
      <c r="N6435" t="s">
        <v>599</v>
      </c>
      <c r="O6435" s="37" t="str">
        <f t="shared" si="503"/>
        <v>Digital Payment</v>
      </c>
      <c r="P6435">
        <v>1000.5</v>
      </c>
      <c r="Q6435" s="37" t="str">
        <f>IF(P6435&gt;500,"High","low")</f>
        <v>High</v>
      </c>
      <c r="R6435" s="37" t="str">
        <f t="shared" si="504"/>
        <v>Excellent</v>
      </c>
      <c r="S6435" t="s">
        <v>600</v>
      </c>
    </row>
    <row r="6436" spans="1:19" x14ac:dyDescent="0.2">
      <c r="A6436" t="s">
        <v>7047</v>
      </c>
      <c r="B6436" t="s">
        <v>67</v>
      </c>
      <c r="C6436" t="s">
        <v>617</v>
      </c>
      <c r="D6436">
        <v>1718.68</v>
      </c>
      <c r="E6436" s="37" t="str">
        <f t="shared" si="500"/>
        <v xml:space="preserve"> </v>
      </c>
      <c r="F6436">
        <v>0.44</v>
      </c>
      <c r="G6436" s="37" t="str">
        <f t="shared" si="501"/>
        <v>Heavy Discount</v>
      </c>
      <c r="H6436" s="37" t="str">
        <f t="shared" si="502"/>
        <v>High</v>
      </c>
      <c r="I6436">
        <v>2</v>
      </c>
      <c r="J6436" t="str" cm="1">
        <f t="array" ref="J6436">_xlfn.IFS(I6436&lt;=3,"small",I6436&lt;=6,"Medium",I6436&lt;=9,"Large")</f>
        <v>small</v>
      </c>
      <c r="K6436" s="36">
        <v>44949</v>
      </c>
      <c r="L6436" s="36">
        <v>44952</v>
      </c>
      <c r="M6436" t="s">
        <v>598</v>
      </c>
      <c r="N6436" t="s">
        <v>599</v>
      </c>
      <c r="O6436" s="37" t="str">
        <f t="shared" si="503"/>
        <v>Digital Payment</v>
      </c>
      <c r="P6436">
        <v>372.17</v>
      </c>
      <c r="Q6436" s="37" t="str">
        <f>IF(P6436&gt;500,"High","low")</f>
        <v>low</v>
      </c>
      <c r="R6436" s="37" t="str">
        <f t="shared" si="504"/>
        <v>AVERAGE</v>
      </c>
      <c r="S6436" t="s">
        <v>615</v>
      </c>
    </row>
    <row r="6437" spans="1:19" x14ac:dyDescent="0.2">
      <c r="A6437" t="s">
        <v>7048</v>
      </c>
      <c r="B6437" t="s">
        <v>75</v>
      </c>
      <c r="C6437" t="s">
        <v>617</v>
      </c>
      <c r="D6437">
        <v>1522.75</v>
      </c>
      <c r="E6437" s="37" t="str">
        <f t="shared" si="500"/>
        <v xml:space="preserve"> </v>
      </c>
      <c r="F6437">
        <v>0.43</v>
      </c>
      <c r="G6437" s="37" t="str">
        <f t="shared" si="501"/>
        <v>Heavy Discount</v>
      </c>
      <c r="H6437" s="37" t="str">
        <f t="shared" si="502"/>
        <v>High</v>
      </c>
      <c r="I6437">
        <v>4</v>
      </c>
      <c r="J6437" t="str" cm="1">
        <f t="array" ref="J6437">_xlfn.IFS(I6437&lt;=3,"small",I6437&lt;=6,"Medium",I6437&lt;=9,"Large")</f>
        <v>Medium</v>
      </c>
      <c r="K6437" s="36">
        <v>45412</v>
      </c>
      <c r="L6437" s="36">
        <v>45417</v>
      </c>
      <c r="M6437" t="s">
        <v>598</v>
      </c>
      <c r="N6437" t="s">
        <v>599</v>
      </c>
      <c r="O6437" s="37" t="str">
        <f t="shared" si="503"/>
        <v>Digital Payment</v>
      </c>
      <c r="P6437">
        <v>210.85</v>
      </c>
      <c r="Q6437" s="37" t="str">
        <f>IF(P6437&gt;500,"High","low")</f>
        <v>low</v>
      </c>
      <c r="R6437" s="37" t="str">
        <f t="shared" si="504"/>
        <v>AVERAGE</v>
      </c>
      <c r="S6437" t="s">
        <v>615</v>
      </c>
    </row>
    <row r="6438" spans="1:19" x14ac:dyDescent="0.2">
      <c r="A6438" t="s">
        <v>7049</v>
      </c>
      <c r="B6438" t="s">
        <v>83</v>
      </c>
      <c r="C6438" t="s">
        <v>597</v>
      </c>
      <c r="D6438">
        <v>1426.81</v>
      </c>
      <c r="E6438" s="37" t="str">
        <f t="shared" si="500"/>
        <v xml:space="preserve"> </v>
      </c>
      <c r="F6438">
        <v>0.33</v>
      </c>
      <c r="G6438" s="37" t="str">
        <f t="shared" si="501"/>
        <v>Heavy Discount</v>
      </c>
      <c r="H6438" s="37" t="str">
        <f t="shared" si="502"/>
        <v>Medium</v>
      </c>
      <c r="I6438">
        <v>2</v>
      </c>
      <c r="J6438" t="str" cm="1">
        <f t="array" ref="J6438">_xlfn.IFS(I6438&lt;=3,"small",I6438&lt;=6,"Medium",I6438&lt;=9,"Large")</f>
        <v>small</v>
      </c>
      <c r="K6438" s="36">
        <v>45452</v>
      </c>
      <c r="L6438" s="36">
        <v>45458</v>
      </c>
      <c r="M6438" t="s">
        <v>612</v>
      </c>
      <c r="N6438" t="s">
        <v>599</v>
      </c>
      <c r="O6438" s="37" t="str">
        <f t="shared" si="503"/>
        <v>Digital Payment</v>
      </c>
      <c r="P6438">
        <v>288.02999999999997</v>
      </c>
      <c r="Q6438" s="37" t="str">
        <f>IF(P6438&gt;500,"High","low")</f>
        <v>low</v>
      </c>
      <c r="R6438" s="37" t="str">
        <f t="shared" si="504"/>
        <v>AVERAGE</v>
      </c>
      <c r="S6438" t="s">
        <v>609</v>
      </c>
    </row>
    <row r="6439" spans="1:19" x14ac:dyDescent="0.2">
      <c r="A6439" t="s">
        <v>7050</v>
      </c>
      <c r="B6439" t="s">
        <v>75</v>
      </c>
      <c r="C6439" t="s">
        <v>617</v>
      </c>
      <c r="D6439">
        <v>1809.03</v>
      </c>
      <c r="E6439" s="37" t="str">
        <f t="shared" si="500"/>
        <v xml:space="preserve"> </v>
      </c>
      <c r="F6439">
        <v>0.25</v>
      </c>
      <c r="G6439" s="37" t="str">
        <f t="shared" si="501"/>
        <v>Normal Discount</v>
      </c>
      <c r="H6439" s="37" t="str">
        <f t="shared" si="502"/>
        <v>Medium</v>
      </c>
      <c r="I6439">
        <v>2</v>
      </c>
      <c r="J6439" t="str" cm="1">
        <f t="array" ref="J6439">_xlfn.IFS(I6439&lt;=3,"small",I6439&lt;=6,"Medium",I6439&lt;=9,"Large")</f>
        <v>small</v>
      </c>
      <c r="K6439" s="36">
        <v>45618</v>
      </c>
      <c r="L6439" s="36">
        <v>45622</v>
      </c>
      <c r="M6439" t="s">
        <v>603</v>
      </c>
      <c r="N6439" t="s">
        <v>608</v>
      </c>
      <c r="O6439" s="37" t="str">
        <f t="shared" si="503"/>
        <v>Cash Payment</v>
      </c>
      <c r="P6439">
        <v>405.46</v>
      </c>
      <c r="Q6439" s="37" t="str">
        <f>IF(P6439&gt;500,"High","low")</f>
        <v>low</v>
      </c>
      <c r="R6439" s="37" t="str">
        <f t="shared" si="504"/>
        <v>AVERAGE</v>
      </c>
      <c r="S6439" t="s">
        <v>600</v>
      </c>
    </row>
    <row r="6440" spans="1:19" x14ac:dyDescent="0.2">
      <c r="A6440" t="s">
        <v>7051</v>
      </c>
      <c r="B6440" t="s">
        <v>83</v>
      </c>
      <c r="C6440" t="s">
        <v>597</v>
      </c>
      <c r="D6440">
        <v>1849.87</v>
      </c>
      <c r="E6440" s="37" t="str">
        <f t="shared" si="500"/>
        <v xml:space="preserve"> </v>
      </c>
      <c r="F6440">
        <v>0.44</v>
      </c>
      <c r="G6440" s="37" t="str">
        <f t="shared" si="501"/>
        <v>Heavy Discount</v>
      </c>
      <c r="H6440" s="37" t="str">
        <f t="shared" si="502"/>
        <v>High</v>
      </c>
      <c r="I6440">
        <v>3</v>
      </c>
      <c r="J6440" t="str" cm="1">
        <f t="array" ref="J6440">_xlfn.IFS(I6440&lt;=3,"small",I6440&lt;=6,"Medium",I6440&lt;=9,"Large")</f>
        <v>small</v>
      </c>
      <c r="K6440" s="36">
        <v>45013</v>
      </c>
      <c r="L6440" s="36">
        <v>45016</v>
      </c>
      <c r="M6440" t="s">
        <v>603</v>
      </c>
      <c r="N6440" t="s">
        <v>604</v>
      </c>
      <c r="O6440" s="37" t="str">
        <f t="shared" si="503"/>
        <v>Digital Payment</v>
      </c>
      <c r="P6440">
        <v>181.84</v>
      </c>
      <c r="Q6440" s="37" t="str">
        <f>IF(P6440&gt;500,"High","low")</f>
        <v>low</v>
      </c>
      <c r="R6440" s="37" t="str">
        <f t="shared" si="504"/>
        <v>AVERAGE</v>
      </c>
      <c r="S6440" t="s">
        <v>628</v>
      </c>
    </row>
    <row r="6441" spans="1:19" x14ac:dyDescent="0.2">
      <c r="A6441" t="s">
        <v>7052</v>
      </c>
      <c r="B6441" t="s">
        <v>67</v>
      </c>
      <c r="C6441" t="s">
        <v>597</v>
      </c>
      <c r="D6441">
        <v>1426.66</v>
      </c>
      <c r="E6441" s="37" t="str">
        <f t="shared" si="500"/>
        <v xml:space="preserve"> </v>
      </c>
      <c r="F6441">
        <v>0.26</v>
      </c>
      <c r="G6441" s="37" t="str">
        <f t="shared" si="501"/>
        <v>Normal Discount</v>
      </c>
      <c r="H6441" s="37" t="str">
        <f t="shared" si="502"/>
        <v>Medium</v>
      </c>
      <c r="I6441">
        <v>5</v>
      </c>
      <c r="J6441" t="str" cm="1">
        <f t="array" ref="J6441">_xlfn.IFS(I6441&lt;=3,"small",I6441&lt;=6,"Medium",I6441&lt;=9,"Large")</f>
        <v>Medium</v>
      </c>
      <c r="K6441" s="36">
        <v>44974</v>
      </c>
      <c r="L6441" s="36">
        <v>44979</v>
      </c>
      <c r="M6441" t="s">
        <v>612</v>
      </c>
      <c r="N6441" t="s">
        <v>599</v>
      </c>
      <c r="O6441" s="37" t="str">
        <f t="shared" si="503"/>
        <v>Digital Payment</v>
      </c>
      <c r="P6441">
        <v>80.77</v>
      </c>
      <c r="Q6441" s="37" t="str">
        <f>IF(P6441&gt;500,"High","low")</f>
        <v>low</v>
      </c>
      <c r="R6441" s="37" t="str">
        <f t="shared" si="504"/>
        <v>AVERAGE</v>
      </c>
      <c r="S6441" t="s">
        <v>620</v>
      </c>
    </row>
    <row r="6442" spans="1:19" x14ac:dyDescent="0.2">
      <c r="A6442" t="s">
        <v>7053</v>
      </c>
      <c r="B6442" t="s">
        <v>83</v>
      </c>
      <c r="C6442" t="s">
        <v>597</v>
      </c>
      <c r="D6442">
        <v>3370.72</v>
      </c>
      <c r="E6442" s="37" t="str">
        <f t="shared" si="500"/>
        <v xml:space="preserve"> </v>
      </c>
      <c r="F6442">
        <v>0.1</v>
      </c>
      <c r="G6442" s="37" t="str">
        <f t="shared" si="501"/>
        <v>Normal Discount</v>
      </c>
      <c r="H6442" s="37" t="str">
        <f t="shared" si="502"/>
        <v>Low</v>
      </c>
      <c r="I6442">
        <v>8</v>
      </c>
      <c r="J6442" t="str" cm="1">
        <f t="array" ref="J6442">_xlfn.IFS(I6442&lt;=3,"small",I6442&lt;=6,"Medium",I6442&lt;=9,"Large")</f>
        <v>Large</v>
      </c>
      <c r="K6442" s="36">
        <v>45599</v>
      </c>
      <c r="L6442" s="36">
        <v>45602</v>
      </c>
      <c r="M6442" t="s">
        <v>603</v>
      </c>
      <c r="N6442" t="s">
        <v>604</v>
      </c>
      <c r="O6442" s="37" t="str">
        <f t="shared" si="503"/>
        <v>Digital Payment</v>
      </c>
      <c r="P6442">
        <v>593.08000000000004</v>
      </c>
      <c r="Q6442" s="37" t="str">
        <f>IF(P6442&gt;500,"High","low")</f>
        <v>High</v>
      </c>
      <c r="R6442" s="37" t="str">
        <f t="shared" si="504"/>
        <v>Good</v>
      </c>
      <c r="S6442" t="s">
        <v>615</v>
      </c>
    </row>
    <row r="6443" spans="1:19" x14ac:dyDescent="0.2">
      <c r="A6443" t="s">
        <v>7054</v>
      </c>
      <c r="B6443" t="s">
        <v>83</v>
      </c>
      <c r="C6443" t="s">
        <v>614</v>
      </c>
      <c r="D6443">
        <v>333.84</v>
      </c>
      <c r="E6443" s="37" t="str">
        <f t="shared" si="500"/>
        <v xml:space="preserve"> </v>
      </c>
      <c r="F6443">
        <v>0.47</v>
      </c>
      <c r="G6443" s="37" t="str">
        <f t="shared" si="501"/>
        <v>Heavy Discount</v>
      </c>
      <c r="H6443" s="37" t="str">
        <f t="shared" si="502"/>
        <v>High</v>
      </c>
      <c r="I6443">
        <v>2</v>
      </c>
      <c r="J6443" t="str" cm="1">
        <f t="array" ref="J6443">_xlfn.IFS(I6443&lt;=3,"small",I6443&lt;=6,"Medium",I6443&lt;=9,"Large")</f>
        <v>small</v>
      </c>
      <c r="K6443" s="36">
        <v>45375</v>
      </c>
      <c r="L6443" s="36">
        <v>45381</v>
      </c>
      <c r="M6443" t="s">
        <v>603</v>
      </c>
      <c r="N6443" t="s">
        <v>608</v>
      </c>
      <c r="O6443" s="37" t="str">
        <f t="shared" si="503"/>
        <v>Cash Payment</v>
      </c>
      <c r="P6443">
        <v>73.03</v>
      </c>
      <c r="Q6443" s="37" t="str">
        <f>IF(P6443&gt;500,"High","low")</f>
        <v>low</v>
      </c>
      <c r="R6443" s="37" t="str">
        <f t="shared" si="504"/>
        <v>AVERAGE</v>
      </c>
      <c r="S6443" t="s">
        <v>628</v>
      </c>
    </row>
    <row r="6444" spans="1:19" x14ac:dyDescent="0.2">
      <c r="A6444" t="s">
        <v>7055</v>
      </c>
      <c r="B6444" t="s">
        <v>83</v>
      </c>
      <c r="C6444" t="s">
        <v>614</v>
      </c>
      <c r="D6444">
        <v>1728.24</v>
      </c>
      <c r="E6444" s="37" t="str">
        <f t="shared" si="500"/>
        <v xml:space="preserve"> </v>
      </c>
      <c r="F6444">
        <v>0.19</v>
      </c>
      <c r="G6444" s="37" t="str">
        <f t="shared" si="501"/>
        <v>Normal Discount</v>
      </c>
      <c r="H6444" s="37" t="str">
        <f t="shared" si="502"/>
        <v>Low</v>
      </c>
      <c r="I6444">
        <v>5</v>
      </c>
      <c r="J6444" t="str" cm="1">
        <f t="array" ref="J6444">_xlfn.IFS(I6444&lt;=3,"small",I6444&lt;=6,"Medium",I6444&lt;=9,"Large")</f>
        <v>Medium</v>
      </c>
      <c r="K6444" s="36">
        <v>45444</v>
      </c>
      <c r="L6444" s="36">
        <v>45445</v>
      </c>
      <c r="M6444" t="s">
        <v>598</v>
      </c>
      <c r="N6444" t="s">
        <v>604</v>
      </c>
      <c r="O6444" s="37" t="str">
        <f t="shared" si="503"/>
        <v>Digital Payment</v>
      </c>
      <c r="P6444">
        <v>461.74</v>
      </c>
      <c r="Q6444" s="37" t="str">
        <f>IF(P6444&gt;500,"High","low")</f>
        <v>low</v>
      </c>
      <c r="R6444" s="37" t="str">
        <f t="shared" si="504"/>
        <v>AVERAGE</v>
      </c>
      <c r="S6444" t="s">
        <v>615</v>
      </c>
    </row>
    <row r="6445" spans="1:19" x14ac:dyDescent="0.2">
      <c r="A6445" t="s">
        <v>7056</v>
      </c>
      <c r="B6445" t="s">
        <v>83</v>
      </c>
      <c r="C6445" t="s">
        <v>614</v>
      </c>
      <c r="D6445">
        <v>1473.01</v>
      </c>
      <c r="E6445" s="37" t="str">
        <f t="shared" si="500"/>
        <v xml:space="preserve"> </v>
      </c>
      <c r="F6445">
        <v>0.31</v>
      </c>
      <c r="G6445" s="37" t="str">
        <f t="shared" si="501"/>
        <v>Heavy Discount</v>
      </c>
      <c r="H6445" s="37" t="str">
        <f t="shared" si="502"/>
        <v>Medium</v>
      </c>
      <c r="I6445">
        <v>4</v>
      </c>
      <c r="J6445" t="str" cm="1">
        <f t="array" ref="J6445">_xlfn.IFS(I6445&lt;=3,"small",I6445&lt;=6,"Medium",I6445&lt;=9,"Large")</f>
        <v>Medium</v>
      </c>
      <c r="K6445" s="36">
        <v>45587</v>
      </c>
      <c r="L6445" s="36">
        <v>45588</v>
      </c>
      <c r="M6445" t="s">
        <v>603</v>
      </c>
      <c r="N6445" t="s">
        <v>604</v>
      </c>
      <c r="O6445" s="37" t="str">
        <f t="shared" si="503"/>
        <v>Digital Payment</v>
      </c>
      <c r="P6445">
        <v>288</v>
      </c>
      <c r="Q6445" s="37" t="str">
        <f>IF(P6445&gt;500,"High","low")</f>
        <v>low</v>
      </c>
      <c r="R6445" s="37" t="str">
        <f t="shared" si="504"/>
        <v>AVERAGE</v>
      </c>
      <c r="S6445" t="s">
        <v>628</v>
      </c>
    </row>
    <row r="6446" spans="1:19" x14ac:dyDescent="0.2">
      <c r="A6446" t="s">
        <v>7057</v>
      </c>
      <c r="B6446" t="s">
        <v>75</v>
      </c>
      <c r="C6446" t="s">
        <v>614</v>
      </c>
      <c r="D6446">
        <v>3781.95</v>
      </c>
      <c r="E6446" s="37" t="str">
        <f t="shared" si="500"/>
        <v xml:space="preserve"> </v>
      </c>
      <c r="F6446">
        <v>0.1</v>
      </c>
      <c r="G6446" s="37" t="str">
        <f t="shared" si="501"/>
        <v>Normal Discount</v>
      </c>
      <c r="H6446" s="37" t="str">
        <f t="shared" si="502"/>
        <v>Low</v>
      </c>
      <c r="I6446">
        <v>3</v>
      </c>
      <c r="J6446" t="str" cm="1">
        <f t="array" ref="J6446">_xlfn.IFS(I6446&lt;=3,"small",I6446&lt;=6,"Medium",I6446&lt;=9,"Large")</f>
        <v>small</v>
      </c>
      <c r="K6446" s="36">
        <v>44953</v>
      </c>
      <c r="L6446" s="36">
        <v>44958</v>
      </c>
      <c r="M6446" t="s">
        <v>612</v>
      </c>
      <c r="N6446" t="s">
        <v>599</v>
      </c>
      <c r="O6446" s="37" t="str">
        <f t="shared" si="503"/>
        <v>Digital Payment</v>
      </c>
      <c r="P6446">
        <v>744.24</v>
      </c>
      <c r="Q6446" s="37" t="str">
        <f>IF(P6446&gt;500,"High","low")</f>
        <v>High</v>
      </c>
      <c r="R6446" s="37" t="str">
        <f t="shared" si="504"/>
        <v>Good</v>
      </c>
      <c r="S6446" t="s">
        <v>628</v>
      </c>
    </row>
    <row r="6447" spans="1:19" x14ac:dyDescent="0.2">
      <c r="A6447" t="s">
        <v>7058</v>
      </c>
      <c r="B6447" t="s">
        <v>83</v>
      </c>
      <c r="C6447" t="s">
        <v>602</v>
      </c>
      <c r="D6447">
        <v>817.84</v>
      </c>
      <c r="E6447" s="37" t="str">
        <f t="shared" si="500"/>
        <v xml:space="preserve"> </v>
      </c>
      <c r="F6447">
        <v>0.06</v>
      </c>
      <c r="G6447" s="37" t="str">
        <f t="shared" si="501"/>
        <v>Normal Discount</v>
      </c>
      <c r="H6447" s="37" t="str">
        <f t="shared" si="502"/>
        <v>Low</v>
      </c>
      <c r="I6447">
        <v>6</v>
      </c>
      <c r="J6447" t="str" cm="1">
        <f t="array" ref="J6447">_xlfn.IFS(I6447&lt;=3,"small",I6447&lt;=6,"Medium",I6447&lt;=9,"Large")</f>
        <v>Medium</v>
      </c>
      <c r="K6447" s="36">
        <v>45251</v>
      </c>
      <c r="L6447" s="36">
        <v>45257</v>
      </c>
      <c r="M6447" t="s">
        <v>603</v>
      </c>
      <c r="N6447" t="s">
        <v>599</v>
      </c>
      <c r="O6447" s="37" t="str">
        <f t="shared" si="503"/>
        <v>Digital Payment</v>
      </c>
      <c r="P6447">
        <v>144.44999999999999</v>
      </c>
      <c r="Q6447" s="37" t="str">
        <f>IF(P6447&gt;500,"High","low")</f>
        <v>low</v>
      </c>
      <c r="R6447" s="37" t="str">
        <f t="shared" si="504"/>
        <v>AVERAGE</v>
      </c>
      <c r="S6447" t="s">
        <v>609</v>
      </c>
    </row>
    <row r="6448" spans="1:19" x14ac:dyDescent="0.2">
      <c r="A6448" t="s">
        <v>7059</v>
      </c>
      <c r="B6448" t="s">
        <v>75</v>
      </c>
      <c r="C6448" t="s">
        <v>607</v>
      </c>
      <c r="D6448">
        <v>4709.37</v>
      </c>
      <c r="E6448" s="37" t="str">
        <f t="shared" si="500"/>
        <v>Excellent Order</v>
      </c>
      <c r="F6448">
        <v>0.28000000000000003</v>
      </c>
      <c r="G6448" s="37" t="str">
        <f t="shared" si="501"/>
        <v>Normal Discount</v>
      </c>
      <c r="H6448" s="37" t="str">
        <f t="shared" si="502"/>
        <v>Medium</v>
      </c>
      <c r="I6448">
        <v>9</v>
      </c>
      <c r="J6448" t="str" cm="1">
        <f t="array" ref="J6448">_xlfn.IFS(I6448&lt;=3,"small",I6448&lt;=6,"Medium",I6448&lt;=9,"Large")</f>
        <v>Large</v>
      </c>
      <c r="K6448" s="36">
        <v>45401</v>
      </c>
      <c r="L6448" s="36">
        <v>45408</v>
      </c>
      <c r="M6448" t="s">
        <v>598</v>
      </c>
      <c r="N6448" t="s">
        <v>599</v>
      </c>
      <c r="O6448" s="37" t="str">
        <f t="shared" si="503"/>
        <v>Digital Payment</v>
      </c>
      <c r="P6448">
        <v>1324.09</v>
      </c>
      <c r="Q6448" s="37" t="str">
        <f>IF(P6448&gt;500,"High","low")</f>
        <v>High</v>
      </c>
      <c r="R6448" s="37" t="str">
        <f t="shared" si="504"/>
        <v>Excellent</v>
      </c>
      <c r="S6448" t="s">
        <v>628</v>
      </c>
    </row>
    <row r="6449" spans="1:19" x14ac:dyDescent="0.2">
      <c r="A6449" t="s">
        <v>7060</v>
      </c>
      <c r="B6449" t="s">
        <v>83</v>
      </c>
      <c r="C6449" t="s">
        <v>607</v>
      </c>
      <c r="D6449">
        <v>935.54</v>
      </c>
      <c r="E6449" s="37" t="str">
        <f t="shared" si="500"/>
        <v xml:space="preserve"> </v>
      </c>
      <c r="F6449">
        <v>0.28000000000000003</v>
      </c>
      <c r="G6449" s="37" t="str">
        <f t="shared" si="501"/>
        <v>Normal Discount</v>
      </c>
      <c r="H6449" s="37" t="str">
        <f t="shared" si="502"/>
        <v>Medium</v>
      </c>
      <c r="I6449">
        <v>8</v>
      </c>
      <c r="J6449" t="str" cm="1">
        <f t="array" ref="J6449">_xlfn.IFS(I6449&lt;=3,"small",I6449&lt;=6,"Medium",I6449&lt;=9,"Large")</f>
        <v>Large</v>
      </c>
      <c r="K6449" s="36">
        <v>45432</v>
      </c>
      <c r="L6449" s="36">
        <v>45437</v>
      </c>
      <c r="M6449" t="s">
        <v>598</v>
      </c>
      <c r="N6449" t="s">
        <v>604</v>
      </c>
      <c r="O6449" s="37" t="str">
        <f t="shared" si="503"/>
        <v>Digital Payment</v>
      </c>
      <c r="P6449">
        <v>247.74</v>
      </c>
      <c r="Q6449" s="37" t="str">
        <f>IF(P6449&gt;500,"High","low")</f>
        <v>low</v>
      </c>
      <c r="R6449" s="37" t="str">
        <f t="shared" si="504"/>
        <v>AVERAGE</v>
      </c>
      <c r="S6449" t="s">
        <v>605</v>
      </c>
    </row>
    <row r="6450" spans="1:19" x14ac:dyDescent="0.2">
      <c r="A6450" t="s">
        <v>7061</v>
      </c>
      <c r="B6450" t="s">
        <v>90</v>
      </c>
      <c r="C6450" t="s">
        <v>597</v>
      </c>
      <c r="D6450">
        <v>1913.13</v>
      </c>
      <c r="E6450" s="37" t="str">
        <f t="shared" si="500"/>
        <v xml:space="preserve"> </v>
      </c>
      <c r="F6450">
        <v>0.18</v>
      </c>
      <c r="G6450" s="37" t="str">
        <f t="shared" si="501"/>
        <v>Normal Discount</v>
      </c>
      <c r="H6450" s="37" t="str">
        <f t="shared" si="502"/>
        <v>Low</v>
      </c>
      <c r="I6450">
        <v>2</v>
      </c>
      <c r="J6450" t="str" cm="1">
        <f t="array" ref="J6450">_xlfn.IFS(I6450&lt;=3,"small",I6450&lt;=6,"Medium",I6450&lt;=9,"Large")</f>
        <v>small</v>
      </c>
      <c r="K6450" s="36">
        <v>45418</v>
      </c>
      <c r="L6450" s="36">
        <v>45420</v>
      </c>
      <c r="M6450" t="s">
        <v>612</v>
      </c>
      <c r="N6450" t="s">
        <v>604</v>
      </c>
      <c r="O6450" s="37" t="str">
        <f t="shared" si="503"/>
        <v>Digital Payment</v>
      </c>
      <c r="P6450">
        <v>338.69</v>
      </c>
      <c r="Q6450" s="37" t="str">
        <f>IF(P6450&gt;500,"High","low")</f>
        <v>low</v>
      </c>
      <c r="R6450" s="37" t="str">
        <f t="shared" si="504"/>
        <v>AVERAGE</v>
      </c>
      <c r="S6450" t="s">
        <v>628</v>
      </c>
    </row>
    <row r="6451" spans="1:19" x14ac:dyDescent="0.2">
      <c r="A6451" t="s">
        <v>7062</v>
      </c>
      <c r="B6451" t="s">
        <v>67</v>
      </c>
      <c r="C6451" t="s">
        <v>617</v>
      </c>
      <c r="D6451">
        <v>1078.53</v>
      </c>
      <c r="E6451" s="37" t="str">
        <f t="shared" si="500"/>
        <v xml:space="preserve"> </v>
      </c>
      <c r="F6451">
        <v>0.16</v>
      </c>
      <c r="G6451" s="37" t="str">
        <f t="shared" si="501"/>
        <v>Normal Discount</v>
      </c>
      <c r="H6451" s="37" t="str">
        <f t="shared" si="502"/>
        <v>Low</v>
      </c>
      <c r="I6451">
        <v>1</v>
      </c>
      <c r="J6451" t="str" cm="1">
        <f t="array" ref="J6451">_xlfn.IFS(I6451&lt;=3,"small",I6451&lt;=6,"Medium",I6451&lt;=9,"Large")</f>
        <v>small</v>
      </c>
      <c r="K6451" s="36">
        <v>45572</v>
      </c>
      <c r="L6451" s="36">
        <v>45573</v>
      </c>
      <c r="M6451" t="s">
        <v>603</v>
      </c>
      <c r="N6451" t="s">
        <v>599</v>
      </c>
      <c r="O6451" s="37" t="str">
        <f t="shared" si="503"/>
        <v>Digital Payment</v>
      </c>
      <c r="P6451">
        <v>236.39</v>
      </c>
      <c r="Q6451" s="37" t="str">
        <f>IF(P6451&gt;500,"High","low")</f>
        <v>low</v>
      </c>
      <c r="R6451" s="37" t="str">
        <f t="shared" si="504"/>
        <v>AVERAGE</v>
      </c>
      <c r="S6451" t="s">
        <v>600</v>
      </c>
    </row>
    <row r="6452" spans="1:19" x14ac:dyDescent="0.2">
      <c r="A6452" t="s">
        <v>7063</v>
      </c>
      <c r="B6452" t="s">
        <v>83</v>
      </c>
      <c r="C6452" t="s">
        <v>614</v>
      </c>
      <c r="D6452">
        <v>1504.82</v>
      </c>
      <c r="E6452" s="37" t="str">
        <f t="shared" si="500"/>
        <v xml:space="preserve"> </v>
      </c>
      <c r="F6452">
        <v>0.19</v>
      </c>
      <c r="G6452" s="37" t="str">
        <f t="shared" si="501"/>
        <v>Normal Discount</v>
      </c>
      <c r="H6452" s="37" t="str">
        <f t="shared" si="502"/>
        <v>Low</v>
      </c>
      <c r="I6452">
        <v>8</v>
      </c>
      <c r="J6452" t="str" cm="1">
        <f t="array" ref="J6452">_xlfn.IFS(I6452&lt;=3,"small",I6452&lt;=6,"Medium",I6452&lt;=9,"Large")</f>
        <v>Large</v>
      </c>
      <c r="K6452" s="36">
        <v>45079</v>
      </c>
      <c r="L6452" s="36">
        <v>45083</v>
      </c>
      <c r="M6452" t="s">
        <v>603</v>
      </c>
      <c r="N6452" t="s">
        <v>604</v>
      </c>
      <c r="O6452" s="37" t="str">
        <f t="shared" si="503"/>
        <v>Digital Payment</v>
      </c>
      <c r="P6452">
        <v>320.66000000000003</v>
      </c>
      <c r="Q6452" s="37" t="str">
        <f>IF(P6452&gt;500,"High","low")</f>
        <v>low</v>
      </c>
      <c r="R6452" s="37" t="str">
        <f t="shared" si="504"/>
        <v>AVERAGE</v>
      </c>
      <c r="S6452" t="s">
        <v>628</v>
      </c>
    </row>
    <row r="6453" spans="1:19" x14ac:dyDescent="0.2">
      <c r="A6453" t="s">
        <v>7064</v>
      </c>
      <c r="B6453" t="s">
        <v>90</v>
      </c>
      <c r="C6453" t="s">
        <v>607</v>
      </c>
      <c r="D6453">
        <v>3829.02</v>
      </c>
      <c r="E6453" s="37" t="str">
        <f t="shared" si="500"/>
        <v xml:space="preserve"> </v>
      </c>
      <c r="F6453">
        <v>0.4</v>
      </c>
      <c r="G6453" s="37" t="str">
        <f t="shared" si="501"/>
        <v>Heavy Discount</v>
      </c>
      <c r="H6453" s="37" t="str">
        <f t="shared" si="502"/>
        <v>Medium</v>
      </c>
      <c r="I6453">
        <v>5</v>
      </c>
      <c r="J6453" t="str" cm="1">
        <f t="array" ref="J6453">_xlfn.IFS(I6453&lt;=3,"small",I6453&lt;=6,"Medium",I6453&lt;=9,"Large")</f>
        <v>Medium</v>
      </c>
      <c r="K6453" s="36">
        <v>45425</v>
      </c>
      <c r="L6453" s="36">
        <v>45426</v>
      </c>
      <c r="M6453" t="s">
        <v>598</v>
      </c>
      <c r="N6453" t="s">
        <v>608</v>
      </c>
      <c r="O6453" s="37" t="str">
        <f t="shared" si="503"/>
        <v>Cash Payment</v>
      </c>
      <c r="P6453">
        <v>428.7</v>
      </c>
      <c r="Q6453" s="37" t="str">
        <f>IF(P6453&gt;500,"High","low")</f>
        <v>low</v>
      </c>
      <c r="R6453" s="37" t="str">
        <f t="shared" si="504"/>
        <v>AVERAGE</v>
      </c>
      <c r="S6453" t="s">
        <v>600</v>
      </c>
    </row>
    <row r="6454" spans="1:19" x14ac:dyDescent="0.2">
      <c r="A6454" t="s">
        <v>7065</v>
      </c>
      <c r="B6454" t="s">
        <v>83</v>
      </c>
      <c r="C6454" t="s">
        <v>607</v>
      </c>
      <c r="D6454">
        <v>2434.38</v>
      </c>
      <c r="E6454" s="37" t="str">
        <f t="shared" si="500"/>
        <v xml:space="preserve"> </v>
      </c>
      <c r="F6454">
        <v>0.18</v>
      </c>
      <c r="G6454" s="37" t="str">
        <f t="shared" si="501"/>
        <v>Normal Discount</v>
      </c>
      <c r="H6454" s="37" t="str">
        <f t="shared" si="502"/>
        <v>Low</v>
      </c>
      <c r="I6454">
        <v>2</v>
      </c>
      <c r="J6454" t="str" cm="1">
        <f t="array" ref="J6454">_xlfn.IFS(I6454&lt;=3,"small",I6454&lt;=6,"Medium",I6454&lt;=9,"Large")</f>
        <v>small</v>
      </c>
      <c r="K6454" s="36">
        <v>45628</v>
      </c>
      <c r="L6454" s="36">
        <v>45629</v>
      </c>
      <c r="M6454" t="s">
        <v>603</v>
      </c>
      <c r="N6454" t="s">
        <v>599</v>
      </c>
      <c r="O6454" s="37" t="str">
        <f t="shared" si="503"/>
        <v>Digital Payment</v>
      </c>
      <c r="P6454">
        <v>266.24</v>
      </c>
      <c r="Q6454" s="37" t="str">
        <f>IF(P6454&gt;500,"High","low")</f>
        <v>low</v>
      </c>
      <c r="R6454" s="37" t="str">
        <f t="shared" si="504"/>
        <v>AVERAGE</v>
      </c>
      <c r="S6454" t="s">
        <v>605</v>
      </c>
    </row>
    <row r="6455" spans="1:19" x14ac:dyDescent="0.2">
      <c r="A6455" t="s">
        <v>7066</v>
      </c>
      <c r="B6455" t="s">
        <v>83</v>
      </c>
      <c r="C6455" t="s">
        <v>614</v>
      </c>
      <c r="D6455">
        <v>896.62</v>
      </c>
      <c r="E6455" s="37" t="str">
        <f t="shared" si="500"/>
        <v xml:space="preserve"> </v>
      </c>
      <c r="F6455">
        <v>0.46</v>
      </c>
      <c r="G6455" s="37" t="str">
        <f t="shared" si="501"/>
        <v>Heavy Discount</v>
      </c>
      <c r="H6455" s="37" t="str">
        <f t="shared" si="502"/>
        <v>High</v>
      </c>
      <c r="I6455">
        <v>1</v>
      </c>
      <c r="J6455" t="str" cm="1">
        <f t="array" ref="J6455">_xlfn.IFS(I6455&lt;=3,"small",I6455&lt;=6,"Medium",I6455&lt;=9,"Large")</f>
        <v>small</v>
      </c>
      <c r="K6455" s="36">
        <v>45005</v>
      </c>
      <c r="L6455" s="36">
        <v>45009</v>
      </c>
      <c r="M6455" t="s">
        <v>598</v>
      </c>
      <c r="N6455" t="s">
        <v>604</v>
      </c>
      <c r="O6455" s="37" t="str">
        <f t="shared" si="503"/>
        <v>Digital Payment</v>
      </c>
      <c r="P6455">
        <v>268.77999999999997</v>
      </c>
      <c r="Q6455" s="37" t="str">
        <f>IF(P6455&gt;500,"High","low")</f>
        <v>low</v>
      </c>
      <c r="R6455" s="37" t="str">
        <f t="shared" si="504"/>
        <v>AVERAGE</v>
      </c>
      <c r="S6455" t="s">
        <v>615</v>
      </c>
    </row>
    <row r="6456" spans="1:19" x14ac:dyDescent="0.2">
      <c r="A6456" t="s">
        <v>7067</v>
      </c>
      <c r="B6456" t="s">
        <v>83</v>
      </c>
      <c r="C6456" t="s">
        <v>602</v>
      </c>
      <c r="D6456">
        <v>328.51</v>
      </c>
      <c r="E6456" s="37" t="str">
        <f t="shared" si="500"/>
        <v xml:space="preserve"> </v>
      </c>
      <c r="F6456">
        <v>0.06</v>
      </c>
      <c r="G6456" s="37" t="str">
        <f t="shared" si="501"/>
        <v>Normal Discount</v>
      </c>
      <c r="H6456" s="37" t="str">
        <f t="shared" si="502"/>
        <v>Low</v>
      </c>
      <c r="I6456">
        <v>8</v>
      </c>
      <c r="J6456" t="str" cm="1">
        <f t="array" ref="J6456">_xlfn.IFS(I6456&lt;=3,"small",I6456&lt;=6,"Medium",I6456&lt;=9,"Large")</f>
        <v>Large</v>
      </c>
      <c r="K6456" s="36">
        <v>44972</v>
      </c>
      <c r="L6456" s="36">
        <v>44978</v>
      </c>
      <c r="M6456" t="s">
        <v>612</v>
      </c>
      <c r="N6456" t="s">
        <v>608</v>
      </c>
      <c r="O6456" s="37" t="str">
        <f t="shared" si="503"/>
        <v>Cash Payment</v>
      </c>
      <c r="P6456">
        <v>83.99</v>
      </c>
      <c r="Q6456" s="37" t="str">
        <f>IF(P6456&gt;500,"High","low")</f>
        <v>low</v>
      </c>
      <c r="R6456" s="37" t="str">
        <f t="shared" si="504"/>
        <v>AVERAGE</v>
      </c>
      <c r="S6456" t="s">
        <v>600</v>
      </c>
    </row>
    <row r="6457" spans="1:19" x14ac:dyDescent="0.2">
      <c r="A6457" t="s">
        <v>7068</v>
      </c>
      <c r="B6457" t="s">
        <v>90</v>
      </c>
      <c r="C6457" t="s">
        <v>602</v>
      </c>
      <c r="D6457">
        <v>1226.5899999999999</v>
      </c>
      <c r="E6457" s="37" t="str">
        <f t="shared" si="500"/>
        <v xml:space="preserve"> </v>
      </c>
      <c r="F6457">
        <v>0.47</v>
      </c>
      <c r="G6457" s="37" t="str">
        <f t="shared" si="501"/>
        <v>Heavy Discount</v>
      </c>
      <c r="H6457" s="37" t="str">
        <f t="shared" si="502"/>
        <v>High</v>
      </c>
      <c r="I6457">
        <v>8</v>
      </c>
      <c r="J6457" t="str" cm="1">
        <f t="array" ref="J6457">_xlfn.IFS(I6457&lt;=3,"small",I6457&lt;=6,"Medium",I6457&lt;=9,"Large")</f>
        <v>Large</v>
      </c>
      <c r="K6457" s="36">
        <v>45358</v>
      </c>
      <c r="L6457" s="36">
        <v>45364</v>
      </c>
      <c r="M6457" t="s">
        <v>603</v>
      </c>
      <c r="N6457" t="s">
        <v>608</v>
      </c>
      <c r="O6457" s="37" t="str">
        <f t="shared" si="503"/>
        <v>Cash Payment</v>
      </c>
      <c r="P6457">
        <v>290.14999999999998</v>
      </c>
      <c r="Q6457" s="37" t="str">
        <f>IF(P6457&gt;500,"High","low")</f>
        <v>low</v>
      </c>
      <c r="R6457" s="37" t="str">
        <f t="shared" si="504"/>
        <v>AVERAGE</v>
      </c>
      <c r="S6457" t="s">
        <v>600</v>
      </c>
    </row>
    <row r="6458" spans="1:19" x14ac:dyDescent="0.2">
      <c r="A6458" t="s">
        <v>7069</v>
      </c>
      <c r="B6458" t="s">
        <v>67</v>
      </c>
      <c r="C6458" t="s">
        <v>607</v>
      </c>
      <c r="D6458">
        <v>4733.45</v>
      </c>
      <c r="E6458" s="37" t="str">
        <f t="shared" si="500"/>
        <v>Excellent Order</v>
      </c>
      <c r="F6458">
        <v>0.34</v>
      </c>
      <c r="G6458" s="37" t="str">
        <f t="shared" si="501"/>
        <v>Heavy Discount</v>
      </c>
      <c r="H6458" s="37" t="str">
        <f t="shared" si="502"/>
        <v>Medium</v>
      </c>
      <c r="I6458">
        <v>6</v>
      </c>
      <c r="J6458" t="str" cm="1">
        <f t="array" ref="J6458">_xlfn.IFS(I6458&lt;=3,"small",I6458&lt;=6,"Medium",I6458&lt;=9,"Large")</f>
        <v>Medium</v>
      </c>
      <c r="K6458" s="36">
        <v>45348</v>
      </c>
      <c r="L6458" s="36">
        <v>45355</v>
      </c>
      <c r="M6458" t="s">
        <v>598</v>
      </c>
      <c r="N6458" t="s">
        <v>608</v>
      </c>
      <c r="O6458" s="37" t="str">
        <f t="shared" si="503"/>
        <v>Cash Payment</v>
      </c>
      <c r="P6458">
        <v>1330.84</v>
      </c>
      <c r="Q6458" s="37" t="str">
        <f>IF(P6458&gt;500,"High","low")</f>
        <v>High</v>
      </c>
      <c r="R6458" s="37" t="str">
        <f t="shared" si="504"/>
        <v>Excellent</v>
      </c>
      <c r="S6458" t="s">
        <v>615</v>
      </c>
    </row>
    <row r="6459" spans="1:19" x14ac:dyDescent="0.2">
      <c r="A6459" t="s">
        <v>7070</v>
      </c>
      <c r="B6459" t="s">
        <v>90</v>
      </c>
      <c r="C6459" t="s">
        <v>602</v>
      </c>
      <c r="D6459">
        <v>4242.05</v>
      </c>
      <c r="E6459" s="37" t="str">
        <f t="shared" si="500"/>
        <v>Excellent Order</v>
      </c>
      <c r="F6459">
        <v>0.17</v>
      </c>
      <c r="G6459" s="37" t="str">
        <f t="shared" si="501"/>
        <v>Normal Discount</v>
      </c>
      <c r="H6459" s="37" t="str">
        <f t="shared" si="502"/>
        <v>Low</v>
      </c>
      <c r="I6459">
        <v>5</v>
      </c>
      <c r="J6459" t="str" cm="1">
        <f t="array" ref="J6459">_xlfn.IFS(I6459&lt;=3,"small",I6459&lt;=6,"Medium",I6459&lt;=9,"Large")</f>
        <v>Medium</v>
      </c>
      <c r="K6459" s="36">
        <v>45499</v>
      </c>
      <c r="L6459" s="36">
        <v>45500</v>
      </c>
      <c r="M6459" t="s">
        <v>612</v>
      </c>
      <c r="N6459" t="s">
        <v>608</v>
      </c>
      <c r="O6459" s="37" t="str">
        <f t="shared" si="503"/>
        <v>Cash Payment</v>
      </c>
      <c r="P6459">
        <v>985.25</v>
      </c>
      <c r="Q6459" s="37" t="str">
        <f>IF(P6459&gt;500,"High","low")</f>
        <v>High</v>
      </c>
      <c r="R6459" s="37" t="str">
        <f t="shared" si="504"/>
        <v>Good</v>
      </c>
      <c r="S6459" t="s">
        <v>600</v>
      </c>
    </row>
    <row r="6460" spans="1:19" x14ac:dyDescent="0.2">
      <c r="A6460" t="s">
        <v>7071</v>
      </c>
      <c r="B6460" t="s">
        <v>67</v>
      </c>
      <c r="C6460" t="s">
        <v>614</v>
      </c>
      <c r="D6460">
        <v>2256.85</v>
      </c>
      <c r="E6460" s="37" t="str">
        <f t="shared" si="500"/>
        <v xml:space="preserve"> </v>
      </c>
      <c r="F6460">
        <v>0</v>
      </c>
      <c r="G6460" s="37" t="str">
        <f t="shared" si="501"/>
        <v>Normal Discount</v>
      </c>
      <c r="H6460" s="37" t="str">
        <f t="shared" si="502"/>
        <v>Low</v>
      </c>
      <c r="I6460">
        <v>5</v>
      </c>
      <c r="J6460" t="str" cm="1">
        <f t="array" ref="J6460">_xlfn.IFS(I6460&lt;=3,"small",I6460&lt;=6,"Medium",I6460&lt;=9,"Large")</f>
        <v>Medium</v>
      </c>
      <c r="K6460" s="36">
        <v>45519</v>
      </c>
      <c r="L6460" s="36">
        <v>45522</v>
      </c>
      <c r="M6460" t="s">
        <v>603</v>
      </c>
      <c r="N6460" t="s">
        <v>608</v>
      </c>
      <c r="O6460" s="37" t="str">
        <f t="shared" si="503"/>
        <v>Cash Payment</v>
      </c>
      <c r="P6460">
        <v>566.16</v>
      </c>
      <c r="Q6460" s="37" t="str">
        <f>IF(P6460&gt;500,"High","low")</f>
        <v>High</v>
      </c>
      <c r="R6460" s="37" t="str">
        <f t="shared" si="504"/>
        <v>Good</v>
      </c>
      <c r="S6460" t="s">
        <v>605</v>
      </c>
    </row>
    <row r="6461" spans="1:19" x14ac:dyDescent="0.2">
      <c r="A6461" t="s">
        <v>7072</v>
      </c>
      <c r="B6461" t="s">
        <v>83</v>
      </c>
      <c r="C6461" t="s">
        <v>607</v>
      </c>
      <c r="D6461">
        <v>2461.7800000000002</v>
      </c>
      <c r="E6461" s="37" t="str">
        <f t="shared" si="500"/>
        <v xml:space="preserve"> </v>
      </c>
      <c r="F6461">
        <v>0.4</v>
      </c>
      <c r="G6461" s="37" t="str">
        <f t="shared" si="501"/>
        <v>Heavy Discount</v>
      </c>
      <c r="H6461" s="37" t="str">
        <f t="shared" si="502"/>
        <v>Medium</v>
      </c>
      <c r="I6461">
        <v>6</v>
      </c>
      <c r="J6461" t="str" cm="1">
        <f t="array" ref="J6461">_xlfn.IFS(I6461&lt;=3,"small",I6461&lt;=6,"Medium",I6461&lt;=9,"Large")</f>
        <v>Medium</v>
      </c>
      <c r="K6461" s="36">
        <v>45199</v>
      </c>
      <c r="L6461" s="36">
        <v>45202</v>
      </c>
      <c r="M6461" t="s">
        <v>598</v>
      </c>
      <c r="N6461" t="s">
        <v>599</v>
      </c>
      <c r="O6461" s="37" t="str">
        <f t="shared" si="503"/>
        <v>Digital Payment</v>
      </c>
      <c r="P6461">
        <v>300.49</v>
      </c>
      <c r="Q6461" s="37" t="str">
        <f>IF(P6461&gt;500,"High","low")</f>
        <v>low</v>
      </c>
      <c r="R6461" s="37" t="str">
        <f t="shared" si="504"/>
        <v>AVERAGE</v>
      </c>
      <c r="S6461" t="s">
        <v>600</v>
      </c>
    </row>
    <row r="6462" spans="1:19" x14ac:dyDescent="0.2">
      <c r="A6462" t="s">
        <v>7073</v>
      </c>
      <c r="B6462" t="s">
        <v>75</v>
      </c>
      <c r="C6462" t="s">
        <v>614</v>
      </c>
      <c r="D6462">
        <v>4506.8900000000003</v>
      </c>
      <c r="E6462" s="37" t="str">
        <f t="shared" si="500"/>
        <v xml:space="preserve"> </v>
      </c>
      <c r="F6462">
        <v>0.48</v>
      </c>
      <c r="G6462" s="37" t="str">
        <f t="shared" si="501"/>
        <v>Heavy Discount</v>
      </c>
      <c r="H6462" s="37" t="str">
        <f t="shared" si="502"/>
        <v>High</v>
      </c>
      <c r="I6462">
        <v>5</v>
      </c>
      <c r="J6462" t="str" cm="1">
        <f t="array" ref="J6462">_xlfn.IFS(I6462&lt;=3,"small",I6462&lt;=6,"Medium",I6462&lt;=9,"Large")</f>
        <v>Medium</v>
      </c>
      <c r="K6462" s="36">
        <v>45486</v>
      </c>
      <c r="L6462" s="36">
        <v>45487</v>
      </c>
      <c r="M6462" t="s">
        <v>598</v>
      </c>
      <c r="N6462" t="s">
        <v>608</v>
      </c>
      <c r="O6462" s="37" t="str">
        <f t="shared" si="503"/>
        <v>Cash Payment</v>
      </c>
      <c r="P6462">
        <v>797.6</v>
      </c>
      <c r="Q6462" s="37" t="str">
        <f>IF(P6462&gt;500,"High","low")</f>
        <v>High</v>
      </c>
      <c r="R6462" s="37" t="str">
        <f t="shared" si="504"/>
        <v>Good</v>
      </c>
      <c r="S6462" t="s">
        <v>628</v>
      </c>
    </row>
    <row r="6463" spans="1:19" x14ac:dyDescent="0.2">
      <c r="A6463" t="s">
        <v>7074</v>
      </c>
      <c r="B6463" t="s">
        <v>83</v>
      </c>
      <c r="C6463" t="s">
        <v>602</v>
      </c>
      <c r="D6463">
        <v>2997.59</v>
      </c>
      <c r="E6463" s="37" t="str">
        <f t="shared" si="500"/>
        <v xml:space="preserve"> </v>
      </c>
      <c r="F6463">
        <v>0.49</v>
      </c>
      <c r="G6463" s="37" t="str">
        <f t="shared" si="501"/>
        <v>Heavy Discount</v>
      </c>
      <c r="H6463" s="37" t="str">
        <f t="shared" si="502"/>
        <v>High</v>
      </c>
      <c r="I6463">
        <v>2</v>
      </c>
      <c r="J6463" t="str" cm="1">
        <f t="array" ref="J6463">_xlfn.IFS(I6463&lt;=3,"small",I6463&lt;=6,"Medium",I6463&lt;=9,"Large")</f>
        <v>small</v>
      </c>
      <c r="K6463" s="36">
        <v>44959</v>
      </c>
      <c r="L6463" s="36">
        <v>44960</v>
      </c>
      <c r="M6463" t="s">
        <v>603</v>
      </c>
      <c r="N6463" t="s">
        <v>604</v>
      </c>
      <c r="O6463" s="37" t="str">
        <f t="shared" si="503"/>
        <v>Digital Payment</v>
      </c>
      <c r="P6463">
        <v>470.15</v>
      </c>
      <c r="Q6463" s="37" t="str">
        <f>IF(P6463&gt;500,"High","low")</f>
        <v>low</v>
      </c>
      <c r="R6463" s="37" t="str">
        <f t="shared" si="504"/>
        <v>AVERAGE</v>
      </c>
      <c r="S6463" t="s">
        <v>600</v>
      </c>
    </row>
    <row r="6464" spans="1:19" x14ac:dyDescent="0.2">
      <c r="A6464" t="s">
        <v>7075</v>
      </c>
      <c r="B6464" t="s">
        <v>67</v>
      </c>
      <c r="C6464" t="s">
        <v>614</v>
      </c>
      <c r="D6464">
        <v>4415.76</v>
      </c>
      <c r="E6464" s="37" t="str">
        <f t="shared" si="500"/>
        <v xml:space="preserve"> </v>
      </c>
      <c r="F6464">
        <v>0.21</v>
      </c>
      <c r="G6464" s="37" t="str">
        <f t="shared" si="501"/>
        <v>Normal Discount</v>
      </c>
      <c r="H6464" s="37" t="str">
        <f t="shared" si="502"/>
        <v>Medium</v>
      </c>
      <c r="I6464">
        <v>7</v>
      </c>
      <c r="J6464" t="str" cm="1">
        <f t="array" ref="J6464">_xlfn.IFS(I6464&lt;=3,"small",I6464&lt;=6,"Medium",I6464&lt;=9,"Large")</f>
        <v>Large</v>
      </c>
      <c r="K6464" s="36">
        <v>45456</v>
      </c>
      <c r="L6464" s="36">
        <v>45460</v>
      </c>
      <c r="M6464" t="s">
        <v>612</v>
      </c>
      <c r="N6464" t="s">
        <v>604</v>
      </c>
      <c r="O6464" s="37" t="str">
        <f t="shared" si="503"/>
        <v>Digital Payment</v>
      </c>
      <c r="P6464">
        <v>580.61</v>
      </c>
      <c r="Q6464" s="37" t="str">
        <f>IF(P6464&gt;500,"High","low")</f>
        <v>High</v>
      </c>
      <c r="R6464" s="37" t="str">
        <f t="shared" si="504"/>
        <v>Good</v>
      </c>
      <c r="S6464" t="s">
        <v>628</v>
      </c>
    </row>
    <row r="6465" spans="1:19" x14ac:dyDescent="0.2">
      <c r="A6465" t="s">
        <v>7076</v>
      </c>
      <c r="B6465" t="s">
        <v>90</v>
      </c>
      <c r="C6465" t="s">
        <v>602</v>
      </c>
      <c r="D6465">
        <v>2510.0100000000002</v>
      </c>
      <c r="E6465" s="37" t="str">
        <f t="shared" si="500"/>
        <v xml:space="preserve"> </v>
      </c>
      <c r="F6465">
        <v>0.04</v>
      </c>
      <c r="G6465" s="37" t="str">
        <f t="shared" si="501"/>
        <v>Normal Discount</v>
      </c>
      <c r="H6465" s="37" t="str">
        <f t="shared" si="502"/>
        <v>Low</v>
      </c>
      <c r="I6465">
        <v>4</v>
      </c>
      <c r="J6465" t="str" cm="1">
        <f t="array" ref="J6465">_xlfn.IFS(I6465&lt;=3,"small",I6465&lt;=6,"Medium",I6465&lt;=9,"Large")</f>
        <v>Medium</v>
      </c>
      <c r="K6465" s="36">
        <v>44962</v>
      </c>
      <c r="L6465" s="36">
        <v>44969</v>
      </c>
      <c r="M6465" t="s">
        <v>603</v>
      </c>
      <c r="N6465" t="s">
        <v>608</v>
      </c>
      <c r="O6465" s="37" t="str">
        <f t="shared" si="503"/>
        <v>Cash Payment</v>
      </c>
      <c r="P6465">
        <v>591.03</v>
      </c>
      <c r="Q6465" s="37" t="str">
        <f>IF(P6465&gt;500,"High","low")</f>
        <v>High</v>
      </c>
      <c r="R6465" s="37" t="str">
        <f t="shared" si="504"/>
        <v>Good</v>
      </c>
      <c r="S6465" t="s">
        <v>609</v>
      </c>
    </row>
    <row r="6466" spans="1:19" x14ac:dyDescent="0.2">
      <c r="A6466" t="s">
        <v>7077</v>
      </c>
      <c r="B6466" t="s">
        <v>83</v>
      </c>
      <c r="C6466" t="s">
        <v>602</v>
      </c>
      <c r="D6466">
        <v>1080.48</v>
      </c>
      <c r="E6466" s="37" t="str">
        <f t="shared" si="500"/>
        <v xml:space="preserve"> </v>
      </c>
      <c r="F6466">
        <v>0.16</v>
      </c>
      <c r="G6466" s="37" t="str">
        <f t="shared" si="501"/>
        <v>Normal Discount</v>
      </c>
      <c r="H6466" s="37" t="str">
        <f t="shared" si="502"/>
        <v>Low</v>
      </c>
      <c r="I6466">
        <v>7</v>
      </c>
      <c r="J6466" t="str" cm="1">
        <f t="array" ref="J6466">_xlfn.IFS(I6466&lt;=3,"small",I6466&lt;=6,"Medium",I6466&lt;=9,"Large")</f>
        <v>Large</v>
      </c>
      <c r="K6466" s="36">
        <v>45015</v>
      </c>
      <c r="L6466" s="36">
        <v>45016</v>
      </c>
      <c r="M6466" t="s">
        <v>598</v>
      </c>
      <c r="N6466" t="s">
        <v>608</v>
      </c>
      <c r="O6466" s="37" t="str">
        <f t="shared" si="503"/>
        <v>Cash Payment</v>
      </c>
      <c r="P6466">
        <v>177.68</v>
      </c>
      <c r="Q6466" s="37" t="str">
        <f>IF(P6466&gt;500,"High","low")</f>
        <v>low</v>
      </c>
      <c r="R6466" s="37" t="str">
        <f t="shared" si="504"/>
        <v>AVERAGE</v>
      </c>
      <c r="S6466" t="s">
        <v>609</v>
      </c>
    </row>
    <row r="6467" spans="1:19" x14ac:dyDescent="0.2">
      <c r="A6467" t="s">
        <v>7078</v>
      </c>
      <c r="B6467" t="s">
        <v>90</v>
      </c>
      <c r="C6467" t="s">
        <v>614</v>
      </c>
      <c r="D6467">
        <v>3657.04</v>
      </c>
      <c r="E6467" s="37" t="str">
        <f t="shared" ref="E6467:E6530" si="505">IF(AND(D6467&gt;4000,P6467&gt;800),"Excellent Order"," ")</f>
        <v xml:space="preserve"> </v>
      </c>
      <c r="F6467">
        <v>0.15</v>
      </c>
      <c r="G6467" s="37" t="str">
        <f t="shared" ref="G6467:G6530" si="506">IF(F6467&gt;30%,"Heavy Discount","Normal Discount")</f>
        <v>Normal Discount</v>
      </c>
      <c r="H6467" s="37" t="str">
        <f t="shared" ref="H6467:H6530" si="507">IF(F6467&gt;0.4,"High",IF(F6467&gt;=0.2,"Medium","Low"))</f>
        <v>Low</v>
      </c>
      <c r="I6467">
        <v>1</v>
      </c>
      <c r="J6467" t="str" cm="1">
        <f t="array" ref="J6467">_xlfn.IFS(I6467&lt;=3,"small",I6467&lt;=6,"Medium",I6467&lt;=9,"Large")</f>
        <v>small</v>
      </c>
      <c r="K6467" s="36">
        <v>45586</v>
      </c>
      <c r="L6467" s="36">
        <v>45591</v>
      </c>
      <c r="M6467" t="s">
        <v>598</v>
      </c>
      <c r="N6467" t="s">
        <v>599</v>
      </c>
      <c r="O6467" s="37" t="str">
        <f t="shared" ref="O6467:O6530" si="508">IF(OR(N6467="Card",N6467="UPI"),"Digital Payment","Cash Payment")</f>
        <v>Digital Payment</v>
      </c>
      <c r="P6467">
        <v>1019.54</v>
      </c>
      <c r="Q6467" s="37" t="str">
        <f>IF(P6467&gt;500,"High","low")</f>
        <v>High</v>
      </c>
      <c r="R6467" s="37" t="str">
        <f t="shared" ref="R6467:R6530" si="509">IF(P6467&gt;1000,"Excellent",IF(P6467&gt;=500,"Good","AVERAGE"))</f>
        <v>Excellent</v>
      </c>
      <c r="S6467" t="s">
        <v>600</v>
      </c>
    </row>
    <row r="6468" spans="1:19" x14ac:dyDescent="0.2">
      <c r="A6468" t="s">
        <v>7079</v>
      </c>
      <c r="B6468" t="s">
        <v>90</v>
      </c>
      <c r="C6468" t="s">
        <v>602</v>
      </c>
      <c r="D6468">
        <v>2679.33</v>
      </c>
      <c r="E6468" s="37" t="str">
        <f t="shared" si="505"/>
        <v xml:space="preserve"> </v>
      </c>
      <c r="F6468">
        <v>0.05</v>
      </c>
      <c r="G6468" s="37" t="str">
        <f t="shared" si="506"/>
        <v>Normal Discount</v>
      </c>
      <c r="H6468" s="37" t="str">
        <f t="shared" si="507"/>
        <v>Low</v>
      </c>
      <c r="I6468">
        <v>6</v>
      </c>
      <c r="J6468" t="str" cm="1">
        <f t="array" ref="J6468">_xlfn.IFS(I6468&lt;=3,"small",I6468&lt;=6,"Medium",I6468&lt;=9,"Large")</f>
        <v>Medium</v>
      </c>
      <c r="K6468" s="36">
        <v>45538</v>
      </c>
      <c r="L6468" s="36">
        <v>45541</v>
      </c>
      <c r="M6468" t="s">
        <v>612</v>
      </c>
      <c r="N6468" t="s">
        <v>608</v>
      </c>
      <c r="O6468" s="37" t="str">
        <f t="shared" si="508"/>
        <v>Cash Payment</v>
      </c>
      <c r="P6468">
        <v>401.57</v>
      </c>
      <c r="Q6468" s="37" t="str">
        <f>IF(P6468&gt;500,"High","low")</f>
        <v>low</v>
      </c>
      <c r="R6468" s="37" t="str">
        <f t="shared" si="509"/>
        <v>AVERAGE</v>
      </c>
      <c r="S6468" t="s">
        <v>615</v>
      </c>
    </row>
    <row r="6469" spans="1:19" x14ac:dyDescent="0.2">
      <c r="A6469" t="s">
        <v>7080</v>
      </c>
      <c r="B6469" t="s">
        <v>90</v>
      </c>
      <c r="C6469" t="s">
        <v>597</v>
      </c>
      <c r="D6469">
        <v>3375.35</v>
      </c>
      <c r="E6469" s="37" t="str">
        <f t="shared" si="505"/>
        <v xml:space="preserve"> </v>
      </c>
      <c r="F6469">
        <v>0.26</v>
      </c>
      <c r="G6469" s="37" t="str">
        <f t="shared" si="506"/>
        <v>Normal Discount</v>
      </c>
      <c r="H6469" s="37" t="str">
        <f t="shared" si="507"/>
        <v>Medium</v>
      </c>
      <c r="I6469">
        <v>2</v>
      </c>
      <c r="J6469" t="str" cm="1">
        <f t="array" ref="J6469">_xlfn.IFS(I6469&lt;=3,"small",I6469&lt;=6,"Medium",I6469&lt;=9,"Large")</f>
        <v>small</v>
      </c>
      <c r="K6469" s="36">
        <v>44957</v>
      </c>
      <c r="L6469" s="36">
        <v>44958</v>
      </c>
      <c r="M6469" t="s">
        <v>612</v>
      </c>
      <c r="N6469" t="s">
        <v>604</v>
      </c>
      <c r="O6469" s="37" t="str">
        <f t="shared" si="508"/>
        <v>Digital Payment</v>
      </c>
      <c r="P6469">
        <v>538.76</v>
      </c>
      <c r="Q6469" s="37" t="str">
        <f>IF(P6469&gt;500,"High","low")</f>
        <v>High</v>
      </c>
      <c r="R6469" s="37" t="str">
        <f t="shared" si="509"/>
        <v>Good</v>
      </c>
      <c r="S6469" t="s">
        <v>615</v>
      </c>
    </row>
    <row r="6470" spans="1:19" x14ac:dyDescent="0.2">
      <c r="A6470" t="s">
        <v>7081</v>
      </c>
      <c r="B6470" t="s">
        <v>83</v>
      </c>
      <c r="C6470" t="s">
        <v>614</v>
      </c>
      <c r="D6470">
        <v>870.43</v>
      </c>
      <c r="E6470" s="37" t="str">
        <f t="shared" si="505"/>
        <v xml:space="preserve"> </v>
      </c>
      <c r="F6470">
        <v>0.3</v>
      </c>
      <c r="G6470" s="37" t="str">
        <f t="shared" si="506"/>
        <v>Normal Discount</v>
      </c>
      <c r="H6470" s="37" t="str">
        <f t="shared" si="507"/>
        <v>Medium</v>
      </c>
      <c r="I6470">
        <v>3</v>
      </c>
      <c r="J6470" t="str" cm="1">
        <f t="array" ref="J6470">_xlfn.IFS(I6470&lt;=3,"small",I6470&lt;=6,"Medium",I6470&lt;=9,"Large")</f>
        <v>small</v>
      </c>
      <c r="K6470" s="36">
        <v>44947</v>
      </c>
      <c r="L6470" s="36">
        <v>44952</v>
      </c>
      <c r="M6470" t="s">
        <v>612</v>
      </c>
      <c r="N6470" t="s">
        <v>599</v>
      </c>
      <c r="O6470" s="37" t="str">
        <f t="shared" si="508"/>
        <v>Digital Payment</v>
      </c>
      <c r="P6470">
        <v>237.29</v>
      </c>
      <c r="Q6470" s="37" t="str">
        <f>IF(P6470&gt;500,"High","low")</f>
        <v>low</v>
      </c>
      <c r="R6470" s="37" t="str">
        <f t="shared" si="509"/>
        <v>AVERAGE</v>
      </c>
      <c r="S6470" t="s">
        <v>620</v>
      </c>
    </row>
    <row r="6471" spans="1:19" x14ac:dyDescent="0.2">
      <c r="A6471" t="s">
        <v>7082</v>
      </c>
      <c r="B6471" t="s">
        <v>90</v>
      </c>
      <c r="C6471" t="s">
        <v>597</v>
      </c>
      <c r="D6471">
        <v>3273.25</v>
      </c>
      <c r="E6471" s="37" t="str">
        <f t="shared" si="505"/>
        <v xml:space="preserve"> </v>
      </c>
      <c r="F6471">
        <v>0.36</v>
      </c>
      <c r="G6471" s="37" t="str">
        <f t="shared" si="506"/>
        <v>Heavy Discount</v>
      </c>
      <c r="H6471" s="37" t="str">
        <f t="shared" si="507"/>
        <v>Medium</v>
      </c>
      <c r="I6471">
        <v>3</v>
      </c>
      <c r="J6471" t="str" cm="1">
        <f t="array" ref="J6471">_xlfn.IFS(I6471&lt;=3,"small",I6471&lt;=6,"Medium",I6471&lt;=9,"Large")</f>
        <v>small</v>
      </c>
      <c r="K6471" s="36">
        <v>45566</v>
      </c>
      <c r="L6471" s="36">
        <v>45572</v>
      </c>
      <c r="M6471" t="s">
        <v>612</v>
      </c>
      <c r="N6471" t="s">
        <v>604</v>
      </c>
      <c r="O6471" s="37" t="str">
        <f t="shared" si="508"/>
        <v>Digital Payment</v>
      </c>
      <c r="P6471">
        <v>187.85</v>
      </c>
      <c r="Q6471" s="37" t="str">
        <f>IF(P6471&gt;500,"High","low")</f>
        <v>low</v>
      </c>
      <c r="R6471" s="37" t="str">
        <f t="shared" si="509"/>
        <v>AVERAGE</v>
      </c>
      <c r="S6471" t="s">
        <v>605</v>
      </c>
    </row>
    <row r="6472" spans="1:19" x14ac:dyDescent="0.2">
      <c r="A6472" t="s">
        <v>7083</v>
      </c>
      <c r="B6472" t="s">
        <v>90</v>
      </c>
      <c r="C6472" t="s">
        <v>614</v>
      </c>
      <c r="D6472">
        <v>1973.06</v>
      </c>
      <c r="E6472" s="37" t="str">
        <f t="shared" si="505"/>
        <v xml:space="preserve"> </v>
      </c>
      <c r="F6472">
        <v>0.03</v>
      </c>
      <c r="G6472" s="37" t="str">
        <f t="shared" si="506"/>
        <v>Normal Discount</v>
      </c>
      <c r="H6472" s="37" t="str">
        <f t="shared" si="507"/>
        <v>Low</v>
      </c>
      <c r="I6472">
        <v>1</v>
      </c>
      <c r="J6472" t="str" cm="1">
        <f t="array" ref="J6472">_xlfn.IFS(I6472&lt;=3,"small",I6472&lt;=6,"Medium",I6472&lt;=9,"Large")</f>
        <v>small</v>
      </c>
      <c r="K6472" s="36">
        <v>45283</v>
      </c>
      <c r="L6472" s="36">
        <v>45284</v>
      </c>
      <c r="M6472" t="s">
        <v>612</v>
      </c>
      <c r="N6472" t="s">
        <v>608</v>
      </c>
      <c r="O6472" s="37" t="str">
        <f t="shared" si="508"/>
        <v>Cash Payment</v>
      </c>
      <c r="P6472">
        <v>353.82</v>
      </c>
      <c r="Q6472" s="37" t="str">
        <f>IF(P6472&gt;500,"High","low")</f>
        <v>low</v>
      </c>
      <c r="R6472" s="37" t="str">
        <f t="shared" si="509"/>
        <v>AVERAGE</v>
      </c>
      <c r="S6472" t="s">
        <v>620</v>
      </c>
    </row>
    <row r="6473" spans="1:19" x14ac:dyDescent="0.2">
      <c r="A6473" t="s">
        <v>7084</v>
      </c>
      <c r="B6473" t="s">
        <v>83</v>
      </c>
      <c r="C6473" t="s">
        <v>602</v>
      </c>
      <c r="D6473">
        <v>1726.79</v>
      </c>
      <c r="E6473" s="37" t="str">
        <f t="shared" si="505"/>
        <v xml:space="preserve"> </v>
      </c>
      <c r="F6473">
        <v>0.14000000000000001</v>
      </c>
      <c r="G6473" s="37" t="str">
        <f t="shared" si="506"/>
        <v>Normal Discount</v>
      </c>
      <c r="H6473" s="37" t="str">
        <f t="shared" si="507"/>
        <v>Low</v>
      </c>
      <c r="I6473">
        <v>5</v>
      </c>
      <c r="J6473" t="str" cm="1">
        <f t="array" ref="J6473">_xlfn.IFS(I6473&lt;=3,"small",I6473&lt;=6,"Medium",I6473&lt;=9,"Large")</f>
        <v>Medium</v>
      </c>
      <c r="K6473" s="36">
        <v>45216</v>
      </c>
      <c r="L6473" s="36">
        <v>45218</v>
      </c>
      <c r="M6473" t="s">
        <v>598</v>
      </c>
      <c r="N6473" t="s">
        <v>608</v>
      </c>
      <c r="O6473" s="37" t="str">
        <f t="shared" si="508"/>
        <v>Cash Payment</v>
      </c>
      <c r="P6473">
        <v>193.89</v>
      </c>
      <c r="Q6473" s="37" t="str">
        <f>IF(P6473&gt;500,"High","low")</f>
        <v>low</v>
      </c>
      <c r="R6473" s="37" t="str">
        <f t="shared" si="509"/>
        <v>AVERAGE</v>
      </c>
      <c r="S6473" t="s">
        <v>615</v>
      </c>
    </row>
    <row r="6474" spans="1:19" x14ac:dyDescent="0.2">
      <c r="A6474" t="s">
        <v>7085</v>
      </c>
      <c r="B6474" t="s">
        <v>90</v>
      </c>
      <c r="C6474" t="s">
        <v>602</v>
      </c>
      <c r="D6474">
        <v>3390.23</v>
      </c>
      <c r="E6474" s="37" t="str">
        <f t="shared" si="505"/>
        <v xml:space="preserve"> </v>
      </c>
      <c r="F6474">
        <v>0.18</v>
      </c>
      <c r="G6474" s="37" t="str">
        <f t="shared" si="506"/>
        <v>Normal Discount</v>
      </c>
      <c r="H6474" s="37" t="str">
        <f t="shared" si="507"/>
        <v>Low</v>
      </c>
      <c r="I6474">
        <v>8</v>
      </c>
      <c r="J6474" t="str" cm="1">
        <f t="array" ref="J6474">_xlfn.IFS(I6474&lt;=3,"small",I6474&lt;=6,"Medium",I6474&lt;=9,"Large")</f>
        <v>Large</v>
      </c>
      <c r="K6474" s="36">
        <v>45111</v>
      </c>
      <c r="L6474" s="36">
        <v>45116</v>
      </c>
      <c r="M6474" t="s">
        <v>598</v>
      </c>
      <c r="N6474" t="s">
        <v>604</v>
      </c>
      <c r="O6474" s="37" t="str">
        <f t="shared" si="508"/>
        <v>Digital Payment</v>
      </c>
      <c r="P6474">
        <v>533.39</v>
      </c>
      <c r="Q6474" s="37" t="str">
        <f>IF(P6474&gt;500,"High","low")</f>
        <v>High</v>
      </c>
      <c r="R6474" s="37" t="str">
        <f t="shared" si="509"/>
        <v>Good</v>
      </c>
      <c r="S6474" t="s">
        <v>628</v>
      </c>
    </row>
    <row r="6475" spans="1:19" x14ac:dyDescent="0.2">
      <c r="A6475" t="s">
        <v>7086</v>
      </c>
      <c r="B6475" t="s">
        <v>83</v>
      </c>
      <c r="C6475" t="s">
        <v>607</v>
      </c>
      <c r="D6475">
        <v>3001.97</v>
      </c>
      <c r="E6475" s="37" t="str">
        <f t="shared" si="505"/>
        <v xml:space="preserve"> </v>
      </c>
      <c r="F6475">
        <v>0.45</v>
      </c>
      <c r="G6475" s="37" t="str">
        <f t="shared" si="506"/>
        <v>Heavy Discount</v>
      </c>
      <c r="H6475" s="37" t="str">
        <f t="shared" si="507"/>
        <v>High</v>
      </c>
      <c r="I6475">
        <v>8</v>
      </c>
      <c r="J6475" t="str" cm="1">
        <f t="array" ref="J6475">_xlfn.IFS(I6475&lt;=3,"small",I6475&lt;=6,"Medium",I6475&lt;=9,"Large")</f>
        <v>Large</v>
      </c>
      <c r="K6475" s="36">
        <v>45603</v>
      </c>
      <c r="L6475" s="36">
        <v>45606</v>
      </c>
      <c r="M6475" t="s">
        <v>612</v>
      </c>
      <c r="N6475" t="s">
        <v>599</v>
      </c>
      <c r="O6475" s="37" t="str">
        <f t="shared" si="508"/>
        <v>Digital Payment</v>
      </c>
      <c r="P6475">
        <v>651.69000000000005</v>
      </c>
      <c r="Q6475" s="37" t="str">
        <f>IF(P6475&gt;500,"High","low")</f>
        <v>High</v>
      </c>
      <c r="R6475" s="37" t="str">
        <f t="shared" si="509"/>
        <v>Good</v>
      </c>
      <c r="S6475" t="s">
        <v>600</v>
      </c>
    </row>
    <row r="6476" spans="1:19" x14ac:dyDescent="0.2">
      <c r="A6476" t="s">
        <v>7087</v>
      </c>
      <c r="B6476" t="s">
        <v>67</v>
      </c>
      <c r="C6476" t="s">
        <v>607</v>
      </c>
      <c r="D6476">
        <v>3280.63</v>
      </c>
      <c r="E6476" s="37" t="str">
        <f t="shared" si="505"/>
        <v xml:space="preserve"> </v>
      </c>
      <c r="F6476">
        <v>0.45</v>
      </c>
      <c r="G6476" s="37" t="str">
        <f t="shared" si="506"/>
        <v>Heavy Discount</v>
      </c>
      <c r="H6476" s="37" t="str">
        <f t="shared" si="507"/>
        <v>High</v>
      </c>
      <c r="I6476">
        <v>7</v>
      </c>
      <c r="J6476" t="str" cm="1">
        <f t="array" ref="J6476">_xlfn.IFS(I6476&lt;=3,"small",I6476&lt;=6,"Medium",I6476&lt;=9,"Large")</f>
        <v>Large</v>
      </c>
      <c r="K6476" s="36">
        <v>45495</v>
      </c>
      <c r="L6476" s="36">
        <v>45498</v>
      </c>
      <c r="M6476" t="s">
        <v>598</v>
      </c>
      <c r="N6476" t="s">
        <v>599</v>
      </c>
      <c r="O6476" s="37" t="str">
        <f t="shared" si="508"/>
        <v>Digital Payment</v>
      </c>
      <c r="P6476">
        <v>672.16</v>
      </c>
      <c r="Q6476" s="37" t="str">
        <f>IF(P6476&gt;500,"High","low")</f>
        <v>High</v>
      </c>
      <c r="R6476" s="37" t="str">
        <f t="shared" si="509"/>
        <v>Good</v>
      </c>
      <c r="S6476" t="s">
        <v>620</v>
      </c>
    </row>
    <row r="6477" spans="1:19" x14ac:dyDescent="0.2">
      <c r="A6477" t="s">
        <v>7088</v>
      </c>
      <c r="B6477" t="s">
        <v>67</v>
      </c>
      <c r="C6477" t="s">
        <v>597</v>
      </c>
      <c r="D6477">
        <v>4830.13</v>
      </c>
      <c r="E6477" s="37" t="str">
        <f t="shared" si="505"/>
        <v xml:space="preserve"> </v>
      </c>
      <c r="F6477">
        <v>0.13</v>
      </c>
      <c r="G6477" s="37" t="str">
        <f t="shared" si="506"/>
        <v>Normal Discount</v>
      </c>
      <c r="H6477" s="37" t="str">
        <f t="shared" si="507"/>
        <v>Low</v>
      </c>
      <c r="I6477">
        <v>7</v>
      </c>
      <c r="J6477" t="str" cm="1">
        <f t="array" ref="J6477">_xlfn.IFS(I6477&lt;=3,"small",I6477&lt;=6,"Medium",I6477&lt;=9,"Large")</f>
        <v>Large</v>
      </c>
      <c r="K6477" s="36">
        <v>45237</v>
      </c>
      <c r="L6477" s="36">
        <v>45239</v>
      </c>
      <c r="M6477" t="s">
        <v>603</v>
      </c>
      <c r="N6477" t="s">
        <v>599</v>
      </c>
      <c r="O6477" s="37" t="str">
        <f t="shared" si="508"/>
        <v>Digital Payment</v>
      </c>
      <c r="P6477">
        <v>652.99</v>
      </c>
      <c r="Q6477" s="37" t="str">
        <f>IF(P6477&gt;500,"High","low")</f>
        <v>High</v>
      </c>
      <c r="R6477" s="37" t="str">
        <f t="shared" si="509"/>
        <v>Good</v>
      </c>
      <c r="S6477" t="s">
        <v>600</v>
      </c>
    </row>
    <row r="6478" spans="1:19" x14ac:dyDescent="0.2">
      <c r="A6478" t="s">
        <v>7089</v>
      </c>
      <c r="B6478" t="s">
        <v>67</v>
      </c>
      <c r="C6478" t="s">
        <v>602</v>
      </c>
      <c r="D6478">
        <v>3535.86</v>
      </c>
      <c r="E6478" s="37" t="str">
        <f t="shared" si="505"/>
        <v xml:space="preserve"> </v>
      </c>
      <c r="F6478">
        <v>0.24</v>
      </c>
      <c r="G6478" s="37" t="str">
        <f t="shared" si="506"/>
        <v>Normal Discount</v>
      </c>
      <c r="H6478" s="37" t="str">
        <f t="shared" si="507"/>
        <v>Medium</v>
      </c>
      <c r="I6478">
        <v>8</v>
      </c>
      <c r="J6478" t="str" cm="1">
        <f t="array" ref="J6478">_xlfn.IFS(I6478&lt;=3,"small",I6478&lt;=6,"Medium",I6478&lt;=9,"Large")</f>
        <v>Large</v>
      </c>
      <c r="K6478" s="36">
        <v>45597</v>
      </c>
      <c r="L6478" s="36">
        <v>45602</v>
      </c>
      <c r="M6478" t="s">
        <v>612</v>
      </c>
      <c r="N6478" t="s">
        <v>599</v>
      </c>
      <c r="O6478" s="37" t="str">
        <f t="shared" si="508"/>
        <v>Digital Payment</v>
      </c>
      <c r="P6478">
        <v>458.19</v>
      </c>
      <c r="Q6478" s="37" t="str">
        <f>IF(P6478&gt;500,"High","low")</f>
        <v>low</v>
      </c>
      <c r="R6478" s="37" t="str">
        <f t="shared" si="509"/>
        <v>AVERAGE</v>
      </c>
      <c r="S6478" t="s">
        <v>600</v>
      </c>
    </row>
    <row r="6479" spans="1:19" x14ac:dyDescent="0.2">
      <c r="A6479" t="s">
        <v>7090</v>
      </c>
      <c r="B6479" t="s">
        <v>90</v>
      </c>
      <c r="C6479" t="s">
        <v>607</v>
      </c>
      <c r="D6479">
        <v>3240.4</v>
      </c>
      <c r="E6479" s="37" t="str">
        <f t="shared" si="505"/>
        <v xml:space="preserve"> </v>
      </c>
      <c r="F6479">
        <v>0.21</v>
      </c>
      <c r="G6479" s="37" t="str">
        <f t="shared" si="506"/>
        <v>Normal Discount</v>
      </c>
      <c r="H6479" s="37" t="str">
        <f t="shared" si="507"/>
        <v>Medium</v>
      </c>
      <c r="I6479">
        <v>8</v>
      </c>
      <c r="J6479" t="str" cm="1">
        <f t="array" ref="J6479">_xlfn.IFS(I6479&lt;=3,"small",I6479&lt;=6,"Medium",I6479&lt;=9,"Large")</f>
        <v>Large</v>
      </c>
      <c r="K6479" s="36">
        <v>45461</v>
      </c>
      <c r="L6479" s="36">
        <v>45467</v>
      </c>
      <c r="M6479" t="s">
        <v>603</v>
      </c>
      <c r="N6479" t="s">
        <v>599</v>
      </c>
      <c r="O6479" s="37" t="str">
        <f t="shared" si="508"/>
        <v>Digital Payment</v>
      </c>
      <c r="P6479">
        <v>459.02</v>
      </c>
      <c r="Q6479" s="37" t="str">
        <f>IF(P6479&gt;500,"High","low")</f>
        <v>low</v>
      </c>
      <c r="R6479" s="37" t="str">
        <f t="shared" si="509"/>
        <v>AVERAGE</v>
      </c>
      <c r="S6479" t="s">
        <v>628</v>
      </c>
    </row>
    <row r="6480" spans="1:19" x14ac:dyDescent="0.2">
      <c r="A6480" t="s">
        <v>7091</v>
      </c>
      <c r="B6480" t="s">
        <v>75</v>
      </c>
      <c r="C6480" t="s">
        <v>602</v>
      </c>
      <c r="D6480">
        <v>3106.41</v>
      </c>
      <c r="E6480" s="37" t="str">
        <f t="shared" si="505"/>
        <v xml:space="preserve"> </v>
      </c>
      <c r="F6480">
        <v>0.26</v>
      </c>
      <c r="G6480" s="37" t="str">
        <f t="shared" si="506"/>
        <v>Normal Discount</v>
      </c>
      <c r="H6480" s="37" t="str">
        <f t="shared" si="507"/>
        <v>Medium</v>
      </c>
      <c r="I6480">
        <v>5</v>
      </c>
      <c r="J6480" t="str" cm="1">
        <f t="array" ref="J6480">_xlfn.IFS(I6480&lt;=3,"small",I6480&lt;=6,"Medium",I6480&lt;=9,"Large")</f>
        <v>Medium</v>
      </c>
      <c r="K6480" s="36">
        <v>45545</v>
      </c>
      <c r="L6480" s="36">
        <v>45550</v>
      </c>
      <c r="M6480" t="s">
        <v>612</v>
      </c>
      <c r="N6480" t="s">
        <v>599</v>
      </c>
      <c r="O6480" s="37" t="str">
        <f t="shared" si="508"/>
        <v>Digital Payment</v>
      </c>
      <c r="P6480">
        <v>729.46</v>
      </c>
      <c r="Q6480" s="37" t="str">
        <f>IF(P6480&gt;500,"High","low")</f>
        <v>High</v>
      </c>
      <c r="R6480" s="37" t="str">
        <f t="shared" si="509"/>
        <v>Good</v>
      </c>
      <c r="S6480" t="s">
        <v>609</v>
      </c>
    </row>
    <row r="6481" spans="1:19" x14ac:dyDescent="0.2">
      <c r="A6481" t="s">
        <v>7092</v>
      </c>
      <c r="B6481" t="s">
        <v>75</v>
      </c>
      <c r="C6481" t="s">
        <v>614</v>
      </c>
      <c r="D6481">
        <v>2053.6999999999998</v>
      </c>
      <c r="E6481" s="37" t="str">
        <f t="shared" si="505"/>
        <v xml:space="preserve"> </v>
      </c>
      <c r="F6481">
        <v>0.14000000000000001</v>
      </c>
      <c r="G6481" s="37" t="str">
        <f t="shared" si="506"/>
        <v>Normal Discount</v>
      </c>
      <c r="H6481" s="37" t="str">
        <f t="shared" si="507"/>
        <v>Low</v>
      </c>
      <c r="I6481">
        <v>7</v>
      </c>
      <c r="J6481" t="str" cm="1">
        <f t="array" ref="J6481">_xlfn.IFS(I6481&lt;=3,"small",I6481&lt;=6,"Medium",I6481&lt;=9,"Large")</f>
        <v>Large</v>
      </c>
      <c r="K6481" s="36">
        <v>45540</v>
      </c>
      <c r="L6481" s="36">
        <v>45544</v>
      </c>
      <c r="M6481" t="s">
        <v>598</v>
      </c>
      <c r="N6481" t="s">
        <v>608</v>
      </c>
      <c r="O6481" s="37" t="str">
        <f t="shared" si="508"/>
        <v>Cash Payment</v>
      </c>
      <c r="P6481">
        <v>331.91</v>
      </c>
      <c r="Q6481" s="37" t="str">
        <f>IF(P6481&gt;500,"High","low")</f>
        <v>low</v>
      </c>
      <c r="R6481" s="37" t="str">
        <f t="shared" si="509"/>
        <v>AVERAGE</v>
      </c>
      <c r="S6481" t="s">
        <v>615</v>
      </c>
    </row>
    <row r="6482" spans="1:19" x14ac:dyDescent="0.2">
      <c r="A6482" t="s">
        <v>7093</v>
      </c>
      <c r="B6482" t="s">
        <v>90</v>
      </c>
      <c r="C6482" t="s">
        <v>607</v>
      </c>
      <c r="D6482">
        <v>4212.04</v>
      </c>
      <c r="E6482" s="37" t="str">
        <f t="shared" si="505"/>
        <v xml:space="preserve"> </v>
      </c>
      <c r="F6482">
        <v>0.23</v>
      </c>
      <c r="G6482" s="37" t="str">
        <f t="shared" si="506"/>
        <v>Normal Discount</v>
      </c>
      <c r="H6482" s="37" t="str">
        <f t="shared" si="507"/>
        <v>Medium</v>
      </c>
      <c r="I6482">
        <v>2</v>
      </c>
      <c r="J6482" t="str" cm="1">
        <f t="array" ref="J6482">_xlfn.IFS(I6482&lt;=3,"small",I6482&lt;=6,"Medium",I6482&lt;=9,"Large")</f>
        <v>small</v>
      </c>
      <c r="K6482" s="36">
        <v>45295</v>
      </c>
      <c r="L6482" s="36">
        <v>45296</v>
      </c>
      <c r="M6482" t="s">
        <v>612</v>
      </c>
      <c r="N6482" t="s">
        <v>599</v>
      </c>
      <c r="O6482" s="37" t="str">
        <f t="shared" si="508"/>
        <v>Digital Payment</v>
      </c>
      <c r="P6482">
        <v>364.08</v>
      </c>
      <c r="Q6482" s="37" t="str">
        <f>IF(P6482&gt;500,"High","low")</f>
        <v>low</v>
      </c>
      <c r="R6482" s="37" t="str">
        <f t="shared" si="509"/>
        <v>AVERAGE</v>
      </c>
      <c r="S6482" t="s">
        <v>605</v>
      </c>
    </row>
    <row r="6483" spans="1:19" x14ac:dyDescent="0.2">
      <c r="A6483" t="s">
        <v>7094</v>
      </c>
      <c r="B6483" t="s">
        <v>75</v>
      </c>
      <c r="C6483" t="s">
        <v>597</v>
      </c>
      <c r="D6483">
        <v>1966.6</v>
      </c>
      <c r="E6483" s="37" t="str">
        <f t="shared" si="505"/>
        <v xml:space="preserve"> </v>
      </c>
      <c r="F6483">
        <v>7.0000000000000007E-2</v>
      </c>
      <c r="G6483" s="37" t="str">
        <f t="shared" si="506"/>
        <v>Normal Discount</v>
      </c>
      <c r="H6483" s="37" t="str">
        <f t="shared" si="507"/>
        <v>Low</v>
      </c>
      <c r="I6483">
        <v>4</v>
      </c>
      <c r="J6483" t="str" cm="1">
        <f t="array" ref="J6483">_xlfn.IFS(I6483&lt;=3,"small",I6483&lt;=6,"Medium",I6483&lt;=9,"Large")</f>
        <v>Medium</v>
      </c>
      <c r="K6483" s="36">
        <v>45257</v>
      </c>
      <c r="L6483" s="36">
        <v>45262</v>
      </c>
      <c r="M6483" t="s">
        <v>598</v>
      </c>
      <c r="N6483" t="s">
        <v>604</v>
      </c>
      <c r="O6483" s="37" t="str">
        <f t="shared" si="508"/>
        <v>Digital Payment</v>
      </c>
      <c r="P6483">
        <v>549.65</v>
      </c>
      <c r="Q6483" s="37" t="str">
        <f>IF(P6483&gt;500,"High","low")</f>
        <v>High</v>
      </c>
      <c r="R6483" s="37" t="str">
        <f t="shared" si="509"/>
        <v>Good</v>
      </c>
      <c r="S6483" t="s">
        <v>620</v>
      </c>
    </row>
    <row r="6484" spans="1:19" x14ac:dyDescent="0.2">
      <c r="A6484" t="s">
        <v>7095</v>
      </c>
      <c r="B6484" t="s">
        <v>83</v>
      </c>
      <c r="C6484" t="s">
        <v>607</v>
      </c>
      <c r="D6484">
        <v>3531.19</v>
      </c>
      <c r="E6484" s="37" t="str">
        <f t="shared" si="505"/>
        <v xml:space="preserve"> </v>
      </c>
      <c r="F6484">
        <v>0.35</v>
      </c>
      <c r="G6484" s="37" t="str">
        <f t="shared" si="506"/>
        <v>Heavy Discount</v>
      </c>
      <c r="H6484" s="37" t="str">
        <f t="shared" si="507"/>
        <v>Medium</v>
      </c>
      <c r="I6484">
        <v>6</v>
      </c>
      <c r="J6484" t="str" cm="1">
        <f t="array" ref="J6484">_xlfn.IFS(I6484&lt;=3,"small",I6484&lt;=6,"Medium",I6484&lt;=9,"Large")</f>
        <v>Medium</v>
      </c>
      <c r="K6484" s="36">
        <v>45330</v>
      </c>
      <c r="L6484" s="36">
        <v>45334</v>
      </c>
      <c r="M6484" t="s">
        <v>598</v>
      </c>
      <c r="N6484" t="s">
        <v>608</v>
      </c>
      <c r="O6484" s="37" t="str">
        <f t="shared" si="508"/>
        <v>Cash Payment</v>
      </c>
      <c r="P6484">
        <v>479.17</v>
      </c>
      <c r="Q6484" s="37" t="str">
        <f>IF(P6484&gt;500,"High","low")</f>
        <v>low</v>
      </c>
      <c r="R6484" s="37" t="str">
        <f t="shared" si="509"/>
        <v>AVERAGE</v>
      </c>
      <c r="S6484" t="s">
        <v>620</v>
      </c>
    </row>
    <row r="6485" spans="1:19" x14ac:dyDescent="0.2">
      <c r="A6485" t="s">
        <v>7096</v>
      </c>
      <c r="B6485" t="s">
        <v>75</v>
      </c>
      <c r="C6485" t="s">
        <v>602</v>
      </c>
      <c r="D6485">
        <v>1536.4</v>
      </c>
      <c r="E6485" s="37" t="str">
        <f t="shared" si="505"/>
        <v xml:space="preserve"> </v>
      </c>
      <c r="F6485">
        <v>0.18</v>
      </c>
      <c r="G6485" s="37" t="str">
        <f t="shared" si="506"/>
        <v>Normal Discount</v>
      </c>
      <c r="H6485" s="37" t="str">
        <f t="shared" si="507"/>
        <v>Low</v>
      </c>
      <c r="I6485">
        <v>3</v>
      </c>
      <c r="J6485" t="str" cm="1">
        <f t="array" ref="J6485">_xlfn.IFS(I6485&lt;=3,"small",I6485&lt;=6,"Medium",I6485&lt;=9,"Large")</f>
        <v>small</v>
      </c>
      <c r="K6485" s="36">
        <v>45283</v>
      </c>
      <c r="L6485" s="36">
        <v>45285</v>
      </c>
      <c r="M6485" t="s">
        <v>598</v>
      </c>
      <c r="N6485" t="s">
        <v>604</v>
      </c>
      <c r="O6485" s="37" t="str">
        <f t="shared" si="508"/>
        <v>Digital Payment</v>
      </c>
      <c r="P6485">
        <v>252.27</v>
      </c>
      <c r="Q6485" s="37" t="str">
        <f>IF(P6485&gt;500,"High","low")</f>
        <v>low</v>
      </c>
      <c r="R6485" s="37" t="str">
        <f t="shared" si="509"/>
        <v>AVERAGE</v>
      </c>
      <c r="S6485" t="s">
        <v>609</v>
      </c>
    </row>
    <row r="6486" spans="1:19" x14ac:dyDescent="0.2">
      <c r="A6486" t="s">
        <v>7097</v>
      </c>
      <c r="B6486" t="s">
        <v>90</v>
      </c>
      <c r="C6486" t="s">
        <v>617</v>
      </c>
      <c r="D6486">
        <v>824.01</v>
      </c>
      <c r="E6486" s="37" t="str">
        <f t="shared" si="505"/>
        <v xml:space="preserve"> </v>
      </c>
      <c r="F6486">
        <v>0.27</v>
      </c>
      <c r="G6486" s="37" t="str">
        <f t="shared" si="506"/>
        <v>Normal Discount</v>
      </c>
      <c r="H6486" s="37" t="str">
        <f t="shared" si="507"/>
        <v>Medium</v>
      </c>
      <c r="I6486">
        <v>2</v>
      </c>
      <c r="J6486" t="str" cm="1">
        <f t="array" ref="J6486">_xlfn.IFS(I6486&lt;=3,"small",I6486&lt;=6,"Medium",I6486&lt;=9,"Large")</f>
        <v>small</v>
      </c>
      <c r="K6486" s="36">
        <v>45025</v>
      </c>
      <c r="L6486" s="36">
        <v>45027</v>
      </c>
      <c r="M6486" t="s">
        <v>598</v>
      </c>
      <c r="N6486" t="s">
        <v>599</v>
      </c>
      <c r="O6486" s="37" t="str">
        <f t="shared" si="508"/>
        <v>Digital Payment</v>
      </c>
      <c r="P6486">
        <v>145.83000000000001</v>
      </c>
      <c r="Q6486" s="37" t="str">
        <f>IF(P6486&gt;500,"High","low")</f>
        <v>low</v>
      </c>
      <c r="R6486" s="37" t="str">
        <f t="shared" si="509"/>
        <v>AVERAGE</v>
      </c>
      <c r="S6486" t="s">
        <v>605</v>
      </c>
    </row>
    <row r="6487" spans="1:19" x14ac:dyDescent="0.2">
      <c r="A6487" t="s">
        <v>7098</v>
      </c>
      <c r="B6487" t="s">
        <v>90</v>
      </c>
      <c r="C6487" t="s">
        <v>617</v>
      </c>
      <c r="D6487">
        <v>735.84</v>
      </c>
      <c r="E6487" s="37" t="str">
        <f t="shared" si="505"/>
        <v xml:space="preserve"> </v>
      </c>
      <c r="F6487">
        <v>0.3</v>
      </c>
      <c r="G6487" s="37" t="str">
        <f t="shared" si="506"/>
        <v>Normal Discount</v>
      </c>
      <c r="H6487" s="37" t="str">
        <f t="shared" si="507"/>
        <v>Medium</v>
      </c>
      <c r="I6487">
        <v>1</v>
      </c>
      <c r="J6487" t="str" cm="1">
        <f t="array" ref="J6487">_xlfn.IFS(I6487&lt;=3,"small",I6487&lt;=6,"Medium",I6487&lt;=9,"Large")</f>
        <v>small</v>
      </c>
      <c r="K6487" s="36">
        <v>45568</v>
      </c>
      <c r="L6487" s="36">
        <v>45570</v>
      </c>
      <c r="M6487" t="s">
        <v>612</v>
      </c>
      <c r="N6487" t="s">
        <v>599</v>
      </c>
      <c r="O6487" s="37" t="str">
        <f t="shared" si="508"/>
        <v>Digital Payment</v>
      </c>
      <c r="P6487">
        <v>168.45</v>
      </c>
      <c r="Q6487" s="37" t="str">
        <f>IF(P6487&gt;500,"High","low")</f>
        <v>low</v>
      </c>
      <c r="R6487" s="37" t="str">
        <f t="shared" si="509"/>
        <v>AVERAGE</v>
      </c>
      <c r="S6487" t="s">
        <v>609</v>
      </c>
    </row>
    <row r="6488" spans="1:19" x14ac:dyDescent="0.2">
      <c r="A6488" t="s">
        <v>7099</v>
      </c>
      <c r="B6488" t="s">
        <v>83</v>
      </c>
      <c r="C6488" t="s">
        <v>602</v>
      </c>
      <c r="D6488">
        <v>3209.34</v>
      </c>
      <c r="E6488" s="37" t="str">
        <f t="shared" si="505"/>
        <v xml:space="preserve"> </v>
      </c>
      <c r="F6488">
        <v>0.42</v>
      </c>
      <c r="G6488" s="37" t="str">
        <f t="shared" si="506"/>
        <v>Heavy Discount</v>
      </c>
      <c r="H6488" s="37" t="str">
        <f t="shared" si="507"/>
        <v>High</v>
      </c>
      <c r="I6488">
        <v>4</v>
      </c>
      <c r="J6488" t="str" cm="1">
        <f t="array" ref="J6488">_xlfn.IFS(I6488&lt;=3,"small",I6488&lt;=6,"Medium",I6488&lt;=9,"Large")</f>
        <v>Medium</v>
      </c>
      <c r="K6488" s="36">
        <v>45177</v>
      </c>
      <c r="L6488" s="36">
        <v>45181</v>
      </c>
      <c r="M6488" t="s">
        <v>603</v>
      </c>
      <c r="N6488" t="s">
        <v>608</v>
      </c>
      <c r="O6488" s="37" t="str">
        <f t="shared" si="508"/>
        <v>Cash Payment</v>
      </c>
      <c r="P6488">
        <v>389.54</v>
      </c>
      <c r="Q6488" s="37" t="str">
        <f>IF(P6488&gt;500,"High","low")</f>
        <v>low</v>
      </c>
      <c r="R6488" s="37" t="str">
        <f t="shared" si="509"/>
        <v>AVERAGE</v>
      </c>
      <c r="S6488" t="s">
        <v>605</v>
      </c>
    </row>
    <row r="6489" spans="1:19" x14ac:dyDescent="0.2">
      <c r="A6489" t="s">
        <v>7100</v>
      </c>
      <c r="B6489" t="s">
        <v>67</v>
      </c>
      <c r="C6489" t="s">
        <v>614</v>
      </c>
      <c r="D6489">
        <v>1706.98</v>
      </c>
      <c r="E6489" s="37" t="str">
        <f t="shared" si="505"/>
        <v xml:space="preserve"> </v>
      </c>
      <c r="F6489">
        <v>0.04</v>
      </c>
      <c r="G6489" s="37" t="str">
        <f t="shared" si="506"/>
        <v>Normal Discount</v>
      </c>
      <c r="H6489" s="37" t="str">
        <f t="shared" si="507"/>
        <v>Low</v>
      </c>
      <c r="I6489">
        <v>2</v>
      </c>
      <c r="J6489" t="str" cm="1">
        <f t="array" ref="J6489">_xlfn.IFS(I6489&lt;=3,"small",I6489&lt;=6,"Medium",I6489&lt;=9,"Large")</f>
        <v>small</v>
      </c>
      <c r="K6489" s="36">
        <v>45222</v>
      </c>
      <c r="L6489" s="36">
        <v>45225</v>
      </c>
      <c r="M6489" t="s">
        <v>612</v>
      </c>
      <c r="N6489" t="s">
        <v>599</v>
      </c>
      <c r="O6489" s="37" t="str">
        <f t="shared" si="508"/>
        <v>Digital Payment</v>
      </c>
      <c r="P6489">
        <v>414.36</v>
      </c>
      <c r="Q6489" s="37" t="str">
        <f>IF(P6489&gt;500,"High","low")</f>
        <v>low</v>
      </c>
      <c r="R6489" s="37" t="str">
        <f t="shared" si="509"/>
        <v>AVERAGE</v>
      </c>
      <c r="S6489" t="s">
        <v>620</v>
      </c>
    </row>
    <row r="6490" spans="1:19" x14ac:dyDescent="0.2">
      <c r="A6490" t="s">
        <v>7101</v>
      </c>
      <c r="B6490" t="s">
        <v>90</v>
      </c>
      <c r="C6490" t="s">
        <v>607</v>
      </c>
      <c r="D6490">
        <v>1447.74</v>
      </c>
      <c r="E6490" s="37" t="str">
        <f t="shared" si="505"/>
        <v xml:space="preserve"> </v>
      </c>
      <c r="F6490">
        <v>0.24</v>
      </c>
      <c r="G6490" s="37" t="str">
        <f t="shared" si="506"/>
        <v>Normal Discount</v>
      </c>
      <c r="H6490" s="37" t="str">
        <f t="shared" si="507"/>
        <v>Medium</v>
      </c>
      <c r="I6490">
        <v>3</v>
      </c>
      <c r="J6490" t="str" cm="1">
        <f t="array" ref="J6490">_xlfn.IFS(I6490&lt;=3,"small",I6490&lt;=6,"Medium",I6490&lt;=9,"Large")</f>
        <v>small</v>
      </c>
      <c r="K6490" s="36">
        <v>45334</v>
      </c>
      <c r="L6490" s="36">
        <v>45336</v>
      </c>
      <c r="M6490" t="s">
        <v>598</v>
      </c>
      <c r="N6490" t="s">
        <v>608</v>
      </c>
      <c r="O6490" s="37" t="str">
        <f t="shared" si="508"/>
        <v>Cash Payment</v>
      </c>
      <c r="P6490">
        <v>73.44</v>
      </c>
      <c r="Q6490" s="37" t="str">
        <f>IF(P6490&gt;500,"High","low")</f>
        <v>low</v>
      </c>
      <c r="R6490" s="37" t="str">
        <f t="shared" si="509"/>
        <v>AVERAGE</v>
      </c>
      <c r="S6490" t="s">
        <v>615</v>
      </c>
    </row>
    <row r="6491" spans="1:19" x14ac:dyDescent="0.2">
      <c r="A6491" t="s">
        <v>7102</v>
      </c>
      <c r="B6491" t="s">
        <v>83</v>
      </c>
      <c r="C6491" t="s">
        <v>617</v>
      </c>
      <c r="D6491">
        <v>3001.09</v>
      </c>
      <c r="E6491" s="37" t="str">
        <f t="shared" si="505"/>
        <v xml:space="preserve"> </v>
      </c>
      <c r="F6491">
        <v>0.45</v>
      </c>
      <c r="G6491" s="37" t="str">
        <f t="shared" si="506"/>
        <v>Heavy Discount</v>
      </c>
      <c r="H6491" s="37" t="str">
        <f t="shared" si="507"/>
        <v>High</v>
      </c>
      <c r="I6491">
        <v>6</v>
      </c>
      <c r="J6491" t="str" cm="1">
        <f t="array" ref="J6491">_xlfn.IFS(I6491&lt;=3,"small",I6491&lt;=6,"Medium",I6491&lt;=9,"Large")</f>
        <v>Medium</v>
      </c>
      <c r="K6491" s="36">
        <v>45285</v>
      </c>
      <c r="L6491" s="36">
        <v>45289</v>
      </c>
      <c r="M6491" t="s">
        <v>612</v>
      </c>
      <c r="N6491" t="s">
        <v>608</v>
      </c>
      <c r="O6491" s="37" t="str">
        <f t="shared" si="508"/>
        <v>Cash Payment</v>
      </c>
      <c r="P6491">
        <v>706.13</v>
      </c>
      <c r="Q6491" s="37" t="str">
        <f>IF(P6491&gt;500,"High","low")</f>
        <v>High</v>
      </c>
      <c r="R6491" s="37" t="str">
        <f t="shared" si="509"/>
        <v>Good</v>
      </c>
      <c r="S6491" t="s">
        <v>620</v>
      </c>
    </row>
    <row r="6492" spans="1:19" x14ac:dyDescent="0.2">
      <c r="A6492" t="s">
        <v>7103</v>
      </c>
      <c r="B6492" t="s">
        <v>75</v>
      </c>
      <c r="C6492" t="s">
        <v>614</v>
      </c>
      <c r="D6492">
        <v>225.78</v>
      </c>
      <c r="E6492" s="37" t="str">
        <f t="shared" si="505"/>
        <v xml:space="preserve"> </v>
      </c>
      <c r="F6492">
        <v>0.16</v>
      </c>
      <c r="G6492" s="37" t="str">
        <f t="shared" si="506"/>
        <v>Normal Discount</v>
      </c>
      <c r="H6492" s="37" t="str">
        <f t="shared" si="507"/>
        <v>Low</v>
      </c>
      <c r="I6492">
        <v>3</v>
      </c>
      <c r="J6492" t="str" cm="1">
        <f t="array" ref="J6492">_xlfn.IFS(I6492&lt;=3,"small",I6492&lt;=6,"Medium",I6492&lt;=9,"Large")</f>
        <v>small</v>
      </c>
      <c r="K6492" s="36">
        <v>45548</v>
      </c>
      <c r="L6492" s="36">
        <v>45552</v>
      </c>
      <c r="M6492" t="s">
        <v>603</v>
      </c>
      <c r="N6492" t="s">
        <v>599</v>
      </c>
      <c r="O6492" s="37" t="str">
        <f t="shared" si="508"/>
        <v>Digital Payment</v>
      </c>
      <c r="P6492">
        <v>20.77</v>
      </c>
      <c r="Q6492" s="37" t="str">
        <f>IF(P6492&gt;500,"High","low")</f>
        <v>low</v>
      </c>
      <c r="R6492" s="37" t="str">
        <f t="shared" si="509"/>
        <v>AVERAGE</v>
      </c>
      <c r="S6492" t="s">
        <v>615</v>
      </c>
    </row>
    <row r="6493" spans="1:19" x14ac:dyDescent="0.2">
      <c r="A6493" t="s">
        <v>7104</v>
      </c>
      <c r="B6493" t="s">
        <v>75</v>
      </c>
      <c r="C6493" t="s">
        <v>602</v>
      </c>
      <c r="D6493">
        <v>1306.51</v>
      </c>
      <c r="E6493" s="37" t="str">
        <f t="shared" si="505"/>
        <v xml:space="preserve"> </v>
      </c>
      <c r="F6493">
        <v>0.22</v>
      </c>
      <c r="G6493" s="37" t="str">
        <f t="shared" si="506"/>
        <v>Normal Discount</v>
      </c>
      <c r="H6493" s="37" t="str">
        <f t="shared" si="507"/>
        <v>Medium</v>
      </c>
      <c r="I6493">
        <v>3</v>
      </c>
      <c r="J6493" t="str" cm="1">
        <f t="array" ref="J6493">_xlfn.IFS(I6493&lt;=3,"small",I6493&lt;=6,"Medium",I6493&lt;=9,"Large")</f>
        <v>small</v>
      </c>
      <c r="K6493" s="36">
        <v>44935</v>
      </c>
      <c r="L6493" s="36">
        <v>44936</v>
      </c>
      <c r="M6493" t="s">
        <v>612</v>
      </c>
      <c r="N6493" t="s">
        <v>608</v>
      </c>
      <c r="O6493" s="37" t="str">
        <f t="shared" si="508"/>
        <v>Cash Payment</v>
      </c>
      <c r="P6493">
        <v>125.92</v>
      </c>
      <c r="Q6493" s="37" t="str">
        <f>IF(P6493&gt;500,"High","low")</f>
        <v>low</v>
      </c>
      <c r="R6493" s="37" t="str">
        <f t="shared" si="509"/>
        <v>AVERAGE</v>
      </c>
      <c r="S6493" t="s">
        <v>605</v>
      </c>
    </row>
    <row r="6494" spans="1:19" x14ac:dyDescent="0.2">
      <c r="A6494" t="s">
        <v>7105</v>
      </c>
      <c r="B6494" t="s">
        <v>83</v>
      </c>
      <c r="C6494" t="s">
        <v>614</v>
      </c>
      <c r="D6494">
        <v>1768.68</v>
      </c>
      <c r="E6494" s="37" t="str">
        <f t="shared" si="505"/>
        <v xml:space="preserve"> </v>
      </c>
      <c r="F6494">
        <v>0.04</v>
      </c>
      <c r="G6494" s="37" t="str">
        <f t="shared" si="506"/>
        <v>Normal Discount</v>
      </c>
      <c r="H6494" s="37" t="str">
        <f t="shared" si="507"/>
        <v>Low</v>
      </c>
      <c r="I6494">
        <v>4</v>
      </c>
      <c r="J6494" t="str" cm="1">
        <f t="array" ref="J6494">_xlfn.IFS(I6494&lt;=3,"small",I6494&lt;=6,"Medium",I6494&lt;=9,"Large")</f>
        <v>Medium</v>
      </c>
      <c r="K6494" s="36">
        <v>45560</v>
      </c>
      <c r="L6494" s="36">
        <v>45562</v>
      </c>
      <c r="M6494" t="s">
        <v>598</v>
      </c>
      <c r="N6494" t="s">
        <v>608</v>
      </c>
      <c r="O6494" s="37" t="str">
        <f t="shared" si="508"/>
        <v>Cash Payment</v>
      </c>
      <c r="P6494">
        <v>327.87</v>
      </c>
      <c r="Q6494" s="37" t="str">
        <f>IF(P6494&gt;500,"High","low")</f>
        <v>low</v>
      </c>
      <c r="R6494" s="37" t="str">
        <f t="shared" si="509"/>
        <v>AVERAGE</v>
      </c>
      <c r="S6494" t="s">
        <v>600</v>
      </c>
    </row>
    <row r="6495" spans="1:19" x14ac:dyDescent="0.2">
      <c r="A6495" t="s">
        <v>7106</v>
      </c>
      <c r="B6495" t="s">
        <v>83</v>
      </c>
      <c r="C6495" t="s">
        <v>602</v>
      </c>
      <c r="D6495">
        <v>3571.03</v>
      </c>
      <c r="E6495" s="37" t="str">
        <f t="shared" si="505"/>
        <v xml:space="preserve"> </v>
      </c>
      <c r="F6495">
        <v>0.38</v>
      </c>
      <c r="G6495" s="37" t="str">
        <f t="shared" si="506"/>
        <v>Heavy Discount</v>
      </c>
      <c r="H6495" s="37" t="str">
        <f t="shared" si="507"/>
        <v>Medium</v>
      </c>
      <c r="I6495">
        <v>3</v>
      </c>
      <c r="J6495" t="str" cm="1">
        <f t="array" ref="J6495">_xlfn.IFS(I6495&lt;=3,"small",I6495&lt;=6,"Medium",I6495&lt;=9,"Large")</f>
        <v>small</v>
      </c>
      <c r="K6495" s="36">
        <v>45225</v>
      </c>
      <c r="L6495" s="36">
        <v>45232</v>
      </c>
      <c r="M6495" t="s">
        <v>598</v>
      </c>
      <c r="N6495" t="s">
        <v>604</v>
      </c>
      <c r="O6495" s="37" t="str">
        <f t="shared" si="508"/>
        <v>Digital Payment</v>
      </c>
      <c r="P6495">
        <v>453.02</v>
      </c>
      <c r="Q6495" s="37" t="str">
        <f>IF(P6495&gt;500,"High","low")</f>
        <v>low</v>
      </c>
      <c r="R6495" s="37" t="str">
        <f t="shared" si="509"/>
        <v>AVERAGE</v>
      </c>
      <c r="S6495" t="s">
        <v>628</v>
      </c>
    </row>
    <row r="6496" spans="1:19" x14ac:dyDescent="0.2">
      <c r="A6496" t="s">
        <v>7107</v>
      </c>
      <c r="B6496" t="s">
        <v>90</v>
      </c>
      <c r="C6496" t="s">
        <v>607</v>
      </c>
      <c r="D6496">
        <v>2770.51</v>
      </c>
      <c r="E6496" s="37" t="str">
        <f t="shared" si="505"/>
        <v xml:space="preserve"> </v>
      </c>
      <c r="F6496">
        <v>0.04</v>
      </c>
      <c r="G6496" s="37" t="str">
        <f t="shared" si="506"/>
        <v>Normal Discount</v>
      </c>
      <c r="H6496" s="37" t="str">
        <f t="shared" si="507"/>
        <v>Low</v>
      </c>
      <c r="I6496">
        <v>6</v>
      </c>
      <c r="J6496" t="str" cm="1">
        <f t="array" ref="J6496">_xlfn.IFS(I6496&lt;=3,"small",I6496&lt;=6,"Medium",I6496&lt;=9,"Large")</f>
        <v>Medium</v>
      </c>
      <c r="K6496" s="36">
        <v>45489</v>
      </c>
      <c r="L6496" s="36">
        <v>45496</v>
      </c>
      <c r="M6496" t="s">
        <v>598</v>
      </c>
      <c r="N6496" t="s">
        <v>604</v>
      </c>
      <c r="O6496" s="37" t="str">
        <f t="shared" si="508"/>
        <v>Digital Payment</v>
      </c>
      <c r="P6496">
        <v>234.72</v>
      </c>
      <c r="Q6496" s="37" t="str">
        <f>IF(P6496&gt;500,"High","low")</f>
        <v>low</v>
      </c>
      <c r="R6496" s="37" t="str">
        <f t="shared" si="509"/>
        <v>AVERAGE</v>
      </c>
      <c r="S6496" t="s">
        <v>620</v>
      </c>
    </row>
    <row r="6497" spans="1:19" x14ac:dyDescent="0.2">
      <c r="A6497" t="s">
        <v>7108</v>
      </c>
      <c r="B6497" t="s">
        <v>75</v>
      </c>
      <c r="C6497" t="s">
        <v>614</v>
      </c>
      <c r="D6497">
        <v>4294.34</v>
      </c>
      <c r="E6497" s="37" t="str">
        <f t="shared" si="505"/>
        <v xml:space="preserve"> </v>
      </c>
      <c r="F6497">
        <v>0.32</v>
      </c>
      <c r="G6497" s="37" t="str">
        <f t="shared" si="506"/>
        <v>Heavy Discount</v>
      </c>
      <c r="H6497" s="37" t="str">
        <f t="shared" si="507"/>
        <v>Medium</v>
      </c>
      <c r="I6497">
        <v>9</v>
      </c>
      <c r="J6497" t="str" cm="1">
        <f t="array" ref="J6497">_xlfn.IFS(I6497&lt;=3,"small",I6497&lt;=6,"Medium",I6497&lt;=9,"Large")</f>
        <v>Large</v>
      </c>
      <c r="K6497" s="36">
        <v>45651</v>
      </c>
      <c r="L6497" s="36">
        <v>45658</v>
      </c>
      <c r="M6497" t="s">
        <v>612</v>
      </c>
      <c r="N6497" t="s">
        <v>599</v>
      </c>
      <c r="O6497" s="37" t="str">
        <f t="shared" si="508"/>
        <v>Digital Payment</v>
      </c>
      <c r="P6497">
        <v>409.7</v>
      </c>
      <c r="Q6497" s="37" t="str">
        <f>IF(P6497&gt;500,"High","low")</f>
        <v>low</v>
      </c>
      <c r="R6497" s="37" t="str">
        <f t="shared" si="509"/>
        <v>AVERAGE</v>
      </c>
      <c r="S6497" t="s">
        <v>600</v>
      </c>
    </row>
    <row r="6498" spans="1:19" x14ac:dyDescent="0.2">
      <c r="A6498" t="s">
        <v>7109</v>
      </c>
      <c r="B6498" t="s">
        <v>83</v>
      </c>
      <c r="C6498" t="s">
        <v>607</v>
      </c>
      <c r="D6498">
        <v>1739.08</v>
      </c>
      <c r="E6498" s="37" t="str">
        <f t="shared" si="505"/>
        <v xml:space="preserve"> </v>
      </c>
      <c r="F6498">
        <v>0.19</v>
      </c>
      <c r="G6498" s="37" t="str">
        <f t="shared" si="506"/>
        <v>Normal Discount</v>
      </c>
      <c r="H6498" s="37" t="str">
        <f t="shared" si="507"/>
        <v>Low</v>
      </c>
      <c r="I6498">
        <v>8</v>
      </c>
      <c r="J6498" t="str" cm="1">
        <f t="array" ref="J6498">_xlfn.IFS(I6498&lt;=3,"small",I6498&lt;=6,"Medium",I6498&lt;=9,"Large")</f>
        <v>Large</v>
      </c>
      <c r="K6498" s="36">
        <v>45488</v>
      </c>
      <c r="L6498" s="36">
        <v>45494</v>
      </c>
      <c r="M6498" t="s">
        <v>612</v>
      </c>
      <c r="N6498" t="s">
        <v>604</v>
      </c>
      <c r="O6498" s="37" t="str">
        <f t="shared" si="508"/>
        <v>Digital Payment</v>
      </c>
      <c r="P6498">
        <v>481.98</v>
      </c>
      <c r="Q6498" s="37" t="str">
        <f>IF(P6498&gt;500,"High","low")</f>
        <v>low</v>
      </c>
      <c r="R6498" s="37" t="str">
        <f t="shared" si="509"/>
        <v>AVERAGE</v>
      </c>
      <c r="S6498" t="s">
        <v>600</v>
      </c>
    </row>
    <row r="6499" spans="1:19" x14ac:dyDescent="0.2">
      <c r="A6499" t="s">
        <v>7110</v>
      </c>
      <c r="B6499" t="s">
        <v>75</v>
      </c>
      <c r="C6499" t="s">
        <v>614</v>
      </c>
      <c r="D6499">
        <v>1552.56</v>
      </c>
      <c r="E6499" s="37" t="str">
        <f t="shared" si="505"/>
        <v xml:space="preserve"> </v>
      </c>
      <c r="F6499">
        <v>0.17</v>
      </c>
      <c r="G6499" s="37" t="str">
        <f t="shared" si="506"/>
        <v>Normal Discount</v>
      </c>
      <c r="H6499" s="37" t="str">
        <f t="shared" si="507"/>
        <v>Low</v>
      </c>
      <c r="I6499">
        <v>2</v>
      </c>
      <c r="J6499" t="str" cm="1">
        <f t="array" ref="J6499">_xlfn.IFS(I6499&lt;=3,"small",I6499&lt;=6,"Medium",I6499&lt;=9,"Large")</f>
        <v>small</v>
      </c>
      <c r="K6499" s="36">
        <v>45269</v>
      </c>
      <c r="L6499" s="36">
        <v>45272</v>
      </c>
      <c r="M6499" t="s">
        <v>603</v>
      </c>
      <c r="N6499" t="s">
        <v>599</v>
      </c>
      <c r="O6499" s="37" t="str">
        <f t="shared" si="508"/>
        <v>Digital Payment</v>
      </c>
      <c r="P6499">
        <v>352.3</v>
      </c>
      <c r="Q6499" s="37" t="str">
        <f>IF(P6499&gt;500,"High","low")</f>
        <v>low</v>
      </c>
      <c r="R6499" s="37" t="str">
        <f t="shared" si="509"/>
        <v>AVERAGE</v>
      </c>
      <c r="S6499" t="s">
        <v>620</v>
      </c>
    </row>
    <row r="6500" spans="1:19" x14ac:dyDescent="0.2">
      <c r="A6500" t="s">
        <v>7111</v>
      </c>
      <c r="B6500" t="s">
        <v>83</v>
      </c>
      <c r="C6500" t="s">
        <v>602</v>
      </c>
      <c r="D6500">
        <v>262.67</v>
      </c>
      <c r="E6500" s="37" t="str">
        <f t="shared" si="505"/>
        <v xml:space="preserve"> </v>
      </c>
      <c r="F6500">
        <v>0.28999999999999998</v>
      </c>
      <c r="G6500" s="37" t="str">
        <f t="shared" si="506"/>
        <v>Normal Discount</v>
      </c>
      <c r="H6500" s="37" t="str">
        <f t="shared" si="507"/>
        <v>Medium</v>
      </c>
      <c r="I6500">
        <v>3</v>
      </c>
      <c r="J6500" t="str" cm="1">
        <f t="array" ref="J6500">_xlfn.IFS(I6500&lt;=3,"small",I6500&lt;=6,"Medium",I6500&lt;=9,"Large")</f>
        <v>small</v>
      </c>
      <c r="K6500" s="36">
        <v>45130</v>
      </c>
      <c r="L6500" s="36">
        <v>45134</v>
      </c>
      <c r="M6500" t="s">
        <v>603</v>
      </c>
      <c r="N6500" t="s">
        <v>599</v>
      </c>
      <c r="O6500" s="37" t="str">
        <f t="shared" si="508"/>
        <v>Digital Payment</v>
      </c>
      <c r="P6500">
        <v>23.3</v>
      </c>
      <c r="Q6500" s="37" t="str">
        <f>IF(P6500&gt;500,"High","low")</f>
        <v>low</v>
      </c>
      <c r="R6500" s="37" t="str">
        <f t="shared" si="509"/>
        <v>AVERAGE</v>
      </c>
      <c r="S6500" t="s">
        <v>615</v>
      </c>
    </row>
    <row r="6501" spans="1:19" x14ac:dyDescent="0.2">
      <c r="A6501" t="s">
        <v>7112</v>
      </c>
      <c r="B6501" t="s">
        <v>75</v>
      </c>
      <c r="C6501" t="s">
        <v>602</v>
      </c>
      <c r="D6501">
        <v>4763.41</v>
      </c>
      <c r="E6501" s="37" t="str">
        <f t="shared" si="505"/>
        <v>Excellent Order</v>
      </c>
      <c r="F6501">
        <v>0.28000000000000003</v>
      </c>
      <c r="G6501" s="37" t="str">
        <f t="shared" si="506"/>
        <v>Normal Discount</v>
      </c>
      <c r="H6501" s="37" t="str">
        <f t="shared" si="507"/>
        <v>Medium</v>
      </c>
      <c r="I6501">
        <v>8</v>
      </c>
      <c r="J6501" t="str" cm="1">
        <f t="array" ref="J6501">_xlfn.IFS(I6501&lt;=3,"small",I6501&lt;=6,"Medium",I6501&lt;=9,"Large")</f>
        <v>Large</v>
      </c>
      <c r="K6501" s="36">
        <v>45076</v>
      </c>
      <c r="L6501" s="36">
        <v>45079</v>
      </c>
      <c r="M6501" t="s">
        <v>603</v>
      </c>
      <c r="N6501" t="s">
        <v>608</v>
      </c>
      <c r="O6501" s="37" t="str">
        <f t="shared" si="508"/>
        <v>Cash Payment</v>
      </c>
      <c r="P6501">
        <v>1197.17</v>
      </c>
      <c r="Q6501" s="37" t="str">
        <f>IF(P6501&gt;500,"High","low")</f>
        <v>High</v>
      </c>
      <c r="R6501" s="37" t="str">
        <f t="shared" si="509"/>
        <v>Excellent</v>
      </c>
      <c r="S6501" t="s">
        <v>620</v>
      </c>
    </row>
    <row r="6502" spans="1:19" x14ac:dyDescent="0.2">
      <c r="A6502" t="s">
        <v>7113</v>
      </c>
      <c r="B6502" t="s">
        <v>67</v>
      </c>
      <c r="C6502" t="s">
        <v>614</v>
      </c>
      <c r="D6502">
        <v>2557.31</v>
      </c>
      <c r="E6502" s="37" t="str">
        <f t="shared" si="505"/>
        <v xml:space="preserve"> </v>
      </c>
      <c r="F6502">
        <v>0.2</v>
      </c>
      <c r="G6502" s="37" t="str">
        <f t="shared" si="506"/>
        <v>Normal Discount</v>
      </c>
      <c r="H6502" s="37" t="str">
        <f t="shared" si="507"/>
        <v>Medium</v>
      </c>
      <c r="I6502">
        <v>3</v>
      </c>
      <c r="J6502" t="str" cm="1">
        <f t="array" ref="J6502">_xlfn.IFS(I6502&lt;=3,"small",I6502&lt;=6,"Medium",I6502&lt;=9,"Large")</f>
        <v>small</v>
      </c>
      <c r="K6502" s="36">
        <v>45530</v>
      </c>
      <c r="L6502" s="36">
        <v>45537</v>
      </c>
      <c r="M6502" t="s">
        <v>598</v>
      </c>
      <c r="N6502" t="s">
        <v>608</v>
      </c>
      <c r="O6502" s="37" t="str">
        <f t="shared" si="508"/>
        <v>Cash Payment</v>
      </c>
      <c r="P6502">
        <v>739.69</v>
      </c>
      <c r="Q6502" s="37" t="str">
        <f>IF(P6502&gt;500,"High","low")</f>
        <v>High</v>
      </c>
      <c r="R6502" s="37" t="str">
        <f t="shared" si="509"/>
        <v>Good</v>
      </c>
      <c r="S6502" t="s">
        <v>628</v>
      </c>
    </row>
    <row r="6503" spans="1:19" x14ac:dyDescent="0.2">
      <c r="A6503" t="s">
        <v>7114</v>
      </c>
      <c r="B6503" t="s">
        <v>90</v>
      </c>
      <c r="C6503" t="s">
        <v>602</v>
      </c>
      <c r="D6503">
        <v>2562.37</v>
      </c>
      <c r="E6503" s="37" t="str">
        <f t="shared" si="505"/>
        <v xml:space="preserve"> </v>
      </c>
      <c r="F6503">
        <v>0.14000000000000001</v>
      </c>
      <c r="G6503" s="37" t="str">
        <f t="shared" si="506"/>
        <v>Normal Discount</v>
      </c>
      <c r="H6503" s="37" t="str">
        <f t="shared" si="507"/>
        <v>Low</v>
      </c>
      <c r="I6503">
        <v>5</v>
      </c>
      <c r="J6503" t="str" cm="1">
        <f t="array" ref="J6503">_xlfn.IFS(I6503&lt;=3,"small",I6503&lt;=6,"Medium",I6503&lt;=9,"Large")</f>
        <v>Medium</v>
      </c>
      <c r="K6503" s="36">
        <v>45529</v>
      </c>
      <c r="L6503" s="36">
        <v>45532</v>
      </c>
      <c r="M6503" t="s">
        <v>612</v>
      </c>
      <c r="N6503" t="s">
        <v>599</v>
      </c>
      <c r="O6503" s="37" t="str">
        <f t="shared" si="508"/>
        <v>Digital Payment</v>
      </c>
      <c r="P6503">
        <v>193.61</v>
      </c>
      <c r="Q6503" s="37" t="str">
        <f>IF(P6503&gt;500,"High","low")</f>
        <v>low</v>
      </c>
      <c r="R6503" s="37" t="str">
        <f t="shared" si="509"/>
        <v>AVERAGE</v>
      </c>
      <c r="S6503" t="s">
        <v>600</v>
      </c>
    </row>
    <row r="6504" spans="1:19" x14ac:dyDescent="0.2">
      <c r="A6504" t="s">
        <v>7115</v>
      </c>
      <c r="B6504" t="s">
        <v>75</v>
      </c>
      <c r="C6504" t="s">
        <v>597</v>
      </c>
      <c r="D6504">
        <v>4624.84</v>
      </c>
      <c r="E6504" s="37" t="str">
        <f t="shared" si="505"/>
        <v>Excellent Order</v>
      </c>
      <c r="F6504">
        <v>0.25</v>
      </c>
      <c r="G6504" s="37" t="str">
        <f t="shared" si="506"/>
        <v>Normal Discount</v>
      </c>
      <c r="H6504" s="37" t="str">
        <f t="shared" si="507"/>
        <v>Medium</v>
      </c>
      <c r="I6504">
        <v>9</v>
      </c>
      <c r="J6504" t="str" cm="1">
        <f t="array" ref="J6504">_xlfn.IFS(I6504&lt;=3,"small",I6504&lt;=6,"Medium",I6504&lt;=9,"Large")</f>
        <v>Large</v>
      </c>
      <c r="K6504" s="36">
        <v>44936</v>
      </c>
      <c r="L6504" s="36">
        <v>44943</v>
      </c>
      <c r="M6504" t="s">
        <v>612</v>
      </c>
      <c r="N6504" t="s">
        <v>604</v>
      </c>
      <c r="O6504" s="37" t="str">
        <f t="shared" si="508"/>
        <v>Digital Payment</v>
      </c>
      <c r="P6504">
        <v>1052.06</v>
      </c>
      <c r="Q6504" s="37" t="str">
        <f>IF(P6504&gt;500,"High","low")</f>
        <v>High</v>
      </c>
      <c r="R6504" s="37" t="str">
        <f t="shared" si="509"/>
        <v>Excellent</v>
      </c>
      <c r="S6504" t="s">
        <v>615</v>
      </c>
    </row>
    <row r="6505" spans="1:19" x14ac:dyDescent="0.2">
      <c r="A6505" t="s">
        <v>7116</v>
      </c>
      <c r="B6505" t="s">
        <v>67</v>
      </c>
      <c r="C6505" t="s">
        <v>597</v>
      </c>
      <c r="D6505">
        <v>1520.6</v>
      </c>
      <c r="E6505" s="37" t="str">
        <f t="shared" si="505"/>
        <v xml:space="preserve"> </v>
      </c>
      <c r="F6505">
        <v>0.13</v>
      </c>
      <c r="G6505" s="37" t="str">
        <f t="shared" si="506"/>
        <v>Normal Discount</v>
      </c>
      <c r="H6505" s="37" t="str">
        <f t="shared" si="507"/>
        <v>Low</v>
      </c>
      <c r="I6505">
        <v>2</v>
      </c>
      <c r="J6505" t="str" cm="1">
        <f t="array" ref="J6505">_xlfn.IFS(I6505&lt;=3,"small",I6505&lt;=6,"Medium",I6505&lt;=9,"Large")</f>
        <v>small</v>
      </c>
      <c r="K6505" s="36">
        <v>45136</v>
      </c>
      <c r="L6505" s="36">
        <v>45138</v>
      </c>
      <c r="M6505" t="s">
        <v>598</v>
      </c>
      <c r="N6505" t="s">
        <v>599</v>
      </c>
      <c r="O6505" s="37" t="str">
        <f t="shared" si="508"/>
        <v>Digital Payment</v>
      </c>
      <c r="P6505">
        <v>178.54</v>
      </c>
      <c r="Q6505" s="37" t="str">
        <f>IF(P6505&gt;500,"High","low")</f>
        <v>low</v>
      </c>
      <c r="R6505" s="37" t="str">
        <f t="shared" si="509"/>
        <v>AVERAGE</v>
      </c>
      <c r="S6505" t="s">
        <v>620</v>
      </c>
    </row>
    <row r="6506" spans="1:19" x14ac:dyDescent="0.2">
      <c r="A6506" t="s">
        <v>7117</v>
      </c>
      <c r="B6506" t="s">
        <v>75</v>
      </c>
      <c r="C6506" t="s">
        <v>607</v>
      </c>
      <c r="D6506">
        <v>1727.32</v>
      </c>
      <c r="E6506" s="37" t="str">
        <f t="shared" si="505"/>
        <v xml:space="preserve"> </v>
      </c>
      <c r="F6506">
        <v>0.05</v>
      </c>
      <c r="G6506" s="37" t="str">
        <f t="shared" si="506"/>
        <v>Normal Discount</v>
      </c>
      <c r="H6506" s="37" t="str">
        <f t="shared" si="507"/>
        <v>Low</v>
      </c>
      <c r="I6506">
        <v>9</v>
      </c>
      <c r="J6506" t="str" cm="1">
        <f t="array" ref="J6506">_xlfn.IFS(I6506&lt;=3,"small",I6506&lt;=6,"Medium",I6506&lt;=9,"Large")</f>
        <v>Large</v>
      </c>
      <c r="K6506" s="36">
        <v>45633</v>
      </c>
      <c r="L6506" s="36">
        <v>45640</v>
      </c>
      <c r="M6506" t="s">
        <v>598</v>
      </c>
      <c r="N6506" t="s">
        <v>599</v>
      </c>
      <c r="O6506" s="37" t="str">
        <f t="shared" si="508"/>
        <v>Digital Payment</v>
      </c>
      <c r="P6506">
        <v>318.23</v>
      </c>
      <c r="Q6506" s="37" t="str">
        <f>IF(P6506&gt;500,"High","low")</f>
        <v>low</v>
      </c>
      <c r="R6506" s="37" t="str">
        <f t="shared" si="509"/>
        <v>AVERAGE</v>
      </c>
      <c r="S6506" t="s">
        <v>605</v>
      </c>
    </row>
    <row r="6507" spans="1:19" x14ac:dyDescent="0.2">
      <c r="A6507" t="s">
        <v>7118</v>
      </c>
      <c r="B6507" t="s">
        <v>75</v>
      </c>
      <c r="C6507" t="s">
        <v>597</v>
      </c>
      <c r="D6507">
        <v>3316.1</v>
      </c>
      <c r="E6507" s="37" t="str">
        <f t="shared" si="505"/>
        <v xml:space="preserve"> </v>
      </c>
      <c r="F6507">
        <v>0.4</v>
      </c>
      <c r="G6507" s="37" t="str">
        <f t="shared" si="506"/>
        <v>Heavy Discount</v>
      </c>
      <c r="H6507" s="37" t="str">
        <f t="shared" si="507"/>
        <v>Medium</v>
      </c>
      <c r="I6507">
        <v>5</v>
      </c>
      <c r="J6507" t="str" cm="1">
        <f t="array" ref="J6507">_xlfn.IFS(I6507&lt;=3,"small",I6507&lt;=6,"Medium",I6507&lt;=9,"Large")</f>
        <v>Medium</v>
      </c>
      <c r="K6507" s="36">
        <v>45314</v>
      </c>
      <c r="L6507" s="36">
        <v>45316</v>
      </c>
      <c r="M6507" t="s">
        <v>603</v>
      </c>
      <c r="N6507" t="s">
        <v>608</v>
      </c>
      <c r="O6507" s="37" t="str">
        <f t="shared" si="508"/>
        <v>Cash Payment</v>
      </c>
      <c r="P6507">
        <v>355.66</v>
      </c>
      <c r="Q6507" s="37" t="str">
        <f>IF(P6507&gt;500,"High","low")</f>
        <v>low</v>
      </c>
      <c r="R6507" s="37" t="str">
        <f t="shared" si="509"/>
        <v>AVERAGE</v>
      </c>
      <c r="S6507" t="s">
        <v>615</v>
      </c>
    </row>
    <row r="6508" spans="1:19" x14ac:dyDescent="0.2">
      <c r="A6508" t="s">
        <v>7119</v>
      </c>
      <c r="B6508" t="s">
        <v>67</v>
      </c>
      <c r="C6508" t="s">
        <v>597</v>
      </c>
      <c r="D6508">
        <v>3947.36</v>
      </c>
      <c r="E6508" s="37" t="str">
        <f t="shared" si="505"/>
        <v xml:space="preserve"> </v>
      </c>
      <c r="F6508">
        <v>0.35</v>
      </c>
      <c r="G6508" s="37" t="str">
        <f t="shared" si="506"/>
        <v>Heavy Discount</v>
      </c>
      <c r="H6508" s="37" t="str">
        <f t="shared" si="507"/>
        <v>Medium</v>
      </c>
      <c r="I6508">
        <v>9</v>
      </c>
      <c r="J6508" t="str" cm="1">
        <f t="array" ref="J6508">_xlfn.IFS(I6508&lt;=3,"small",I6508&lt;=6,"Medium",I6508&lt;=9,"Large")</f>
        <v>Large</v>
      </c>
      <c r="K6508" s="36">
        <v>44956</v>
      </c>
      <c r="L6508" s="36">
        <v>44957</v>
      </c>
      <c r="M6508" t="s">
        <v>598</v>
      </c>
      <c r="N6508" t="s">
        <v>608</v>
      </c>
      <c r="O6508" s="37" t="str">
        <f t="shared" si="508"/>
        <v>Cash Payment</v>
      </c>
      <c r="P6508">
        <v>338.16</v>
      </c>
      <c r="Q6508" s="37" t="str">
        <f>IF(P6508&gt;500,"High","low")</f>
        <v>low</v>
      </c>
      <c r="R6508" s="37" t="str">
        <f t="shared" si="509"/>
        <v>AVERAGE</v>
      </c>
      <c r="S6508" t="s">
        <v>605</v>
      </c>
    </row>
    <row r="6509" spans="1:19" x14ac:dyDescent="0.2">
      <c r="A6509" t="s">
        <v>7120</v>
      </c>
      <c r="B6509" t="s">
        <v>75</v>
      </c>
      <c r="C6509" t="s">
        <v>617</v>
      </c>
      <c r="D6509">
        <v>3526.62</v>
      </c>
      <c r="E6509" s="37" t="str">
        <f t="shared" si="505"/>
        <v xml:space="preserve"> </v>
      </c>
      <c r="F6509">
        <v>0.04</v>
      </c>
      <c r="G6509" s="37" t="str">
        <f t="shared" si="506"/>
        <v>Normal Discount</v>
      </c>
      <c r="H6509" s="37" t="str">
        <f t="shared" si="507"/>
        <v>Low</v>
      </c>
      <c r="I6509">
        <v>4</v>
      </c>
      <c r="J6509" t="str" cm="1">
        <f t="array" ref="J6509">_xlfn.IFS(I6509&lt;=3,"small",I6509&lt;=6,"Medium",I6509&lt;=9,"Large")</f>
        <v>Medium</v>
      </c>
      <c r="K6509" s="36">
        <v>45395</v>
      </c>
      <c r="L6509" s="36">
        <v>45401</v>
      </c>
      <c r="M6509" t="s">
        <v>598</v>
      </c>
      <c r="N6509" t="s">
        <v>608</v>
      </c>
      <c r="O6509" s="37" t="str">
        <f t="shared" si="508"/>
        <v>Cash Payment</v>
      </c>
      <c r="P6509">
        <v>662.51</v>
      </c>
      <c r="Q6509" s="37" t="str">
        <f>IF(P6509&gt;500,"High","low")</f>
        <v>High</v>
      </c>
      <c r="R6509" s="37" t="str">
        <f t="shared" si="509"/>
        <v>Good</v>
      </c>
      <c r="S6509" t="s">
        <v>615</v>
      </c>
    </row>
    <row r="6510" spans="1:19" x14ac:dyDescent="0.2">
      <c r="A6510" t="s">
        <v>7121</v>
      </c>
      <c r="B6510" t="s">
        <v>75</v>
      </c>
      <c r="C6510" t="s">
        <v>617</v>
      </c>
      <c r="D6510">
        <v>3964.72</v>
      </c>
      <c r="E6510" s="37" t="str">
        <f t="shared" si="505"/>
        <v xml:space="preserve"> </v>
      </c>
      <c r="F6510">
        <v>0.08</v>
      </c>
      <c r="G6510" s="37" t="str">
        <f t="shared" si="506"/>
        <v>Normal Discount</v>
      </c>
      <c r="H6510" s="37" t="str">
        <f t="shared" si="507"/>
        <v>Low</v>
      </c>
      <c r="I6510">
        <v>8</v>
      </c>
      <c r="J6510" t="str" cm="1">
        <f t="array" ref="J6510">_xlfn.IFS(I6510&lt;=3,"small",I6510&lt;=6,"Medium",I6510&lt;=9,"Large")</f>
        <v>Large</v>
      </c>
      <c r="K6510" s="36">
        <v>45076</v>
      </c>
      <c r="L6510" s="36">
        <v>45082</v>
      </c>
      <c r="M6510" t="s">
        <v>598</v>
      </c>
      <c r="N6510" t="s">
        <v>604</v>
      </c>
      <c r="O6510" s="37" t="str">
        <f t="shared" si="508"/>
        <v>Digital Payment</v>
      </c>
      <c r="P6510">
        <v>1022.49</v>
      </c>
      <c r="Q6510" s="37" t="str">
        <f>IF(P6510&gt;500,"High","low")</f>
        <v>High</v>
      </c>
      <c r="R6510" s="37" t="str">
        <f t="shared" si="509"/>
        <v>Excellent</v>
      </c>
      <c r="S6510" t="s">
        <v>620</v>
      </c>
    </row>
    <row r="6511" spans="1:19" x14ac:dyDescent="0.2">
      <c r="A6511" t="s">
        <v>7122</v>
      </c>
      <c r="B6511" t="s">
        <v>90</v>
      </c>
      <c r="C6511" t="s">
        <v>617</v>
      </c>
      <c r="D6511">
        <v>2918.03</v>
      </c>
      <c r="E6511" s="37" t="str">
        <f t="shared" si="505"/>
        <v xml:space="preserve"> </v>
      </c>
      <c r="F6511">
        <v>0.05</v>
      </c>
      <c r="G6511" s="37" t="str">
        <f t="shared" si="506"/>
        <v>Normal Discount</v>
      </c>
      <c r="H6511" s="37" t="str">
        <f t="shared" si="507"/>
        <v>Low</v>
      </c>
      <c r="I6511">
        <v>8</v>
      </c>
      <c r="J6511" t="str" cm="1">
        <f t="array" ref="J6511">_xlfn.IFS(I6511&lt;=3,"small",I6511&lt;=6,"Medium",I6511&lt;=9,"Large")</f>
        <v>Large</v>
      </c>
      <c r="K6511" s="36">
        <v>45018</v>
      </c>
      <c r="L6511" s="36">
        <v>45021</v>
      </c>
      <c r="M6511" t="s">
        <v>603</v>
      </c>
      <c r="N6511" t="s">
        <v>599</v>
      </c>
      <c r="O6511" s="37" t="str">
        <f t="shared" si="508"/>
        <v>Digital Payment</v>
      </c>
      <c r="P6511">
        <v>850.36</v>
      </c>
      <c r="Q6511" s="37" t="str">
        <f>IF(P6511&gt;500,"High","low")</f>
        <v>High</v>
      </c>
      <c r="R6511" s="37" t="str">
        <f t="shared" si="509"/>
        <v>Good</v>
      </c>
      <c r="S6511" t="s">
        <v>615</v>
      </c>
    </row>
    <row r="6512" spans="1:19" x14ac:dyDescent="0.2">
      <c r="A6512" t="s">
        <v>7123</v>
      </c>
      <c r="B6512" t="s">
        <v>67</v>
      </c>
      <c r="C6512" t="s">
        <v>617</v>
      </c>
      <c r="D6512">
        <v>4327.84</v>
      </c>
      <c r="E6512" s="37" t="str">
        <f t="shared" si="505"/>
        <v>Excellent Order</v>
      </c>
      <c r="F6512">
        <v>0.4</v>
      </c>
      <c r="G6512" s="37" t="str">
        <f t="shared" si="506"/>
        <v>Heavy Discount</v>
      </c>
      <c r="H6512" s="37" t="str">
        <f t="shared" si="507"/>
        <v>Medium</v>
      </c>
      <c r="I6512">
        <v>3</v>
      </c>
      <c r="J6512" t="str" cm="1">
        <f t="array" ref="J6512">_xlfn.IFS(I6512&lt;=3,"small",I6512&lt;=6,"Medium",I6512&lt;=9,"Large")</f>
        <v>small</v>
      </c>
      <c r="K6512" s="36">
        <v>45639</v>
      </c>
      <c r="L6512" s="36">
        <v>45642</v>
      </c>
      <c r="M6512" t="s">
        <v>598</v>
      </c>
      <c r="N6512" t="s">
        <v>604</v>
      </c>
      <c r="O6512" s="37" t="str">
        <f t="shared" si="508"/>
        <v>Digital Payment</v>
      </c>
      <c r="P6512">
        <v>1091.9100000000001</v>
      </c>
      <c r="Q6512" s="37" t="str">
        <f>IF(P6512&gt;500,"High","low")</f>
        <v>High</v>
      </c>
      <c r="R6512" s="37" t="str">
        <f t="shared" si="509"/>
        <v>Excellent</v>
      </c>
      <c r="S6512" t="s">
        <v>600</v>
      </c>
    </row>
    <row r="6513" spans="1:19" x14ac:dyDescent="0.2">
      <c r="A6513" t="s">
        <v>7124</v>
      </c>
      <c r="B6513" t="s">
        <v>67</v>
      </c>
      <c r="C6513" t="s">
        <v>602</v>
      </c>
      <c r="D6513">
        <v>2795.52</v>
      </c>
      <c r="E6513" s="37" t="str">
        <f t="shared" si="505"/>
        <v xml:space="preserve"> </v>
      </c>
      <c r="F6513">
        <v>0.39</v>
      </c>
      <c r="G6513" s="37" t="str">
        <f t="shared" si="506"/>
        <v>Heavy Discount</v>
      </c>
      <c r="H6513" s="37" t="str">
        <f t="shared" si="507"/>
        <v>Medium</v>
      </c>
      <c r="I6513">
        <v>5</v>
      </c>
      <c r="J6513" t="str" cm="1">
        <f t="array" ref="J6513">_xlfn.IFS(I6513&lt;=3,"small",I6513&lt;=6,"Medium",I6513&lt;=9,"Large")</f>
        <v>Medium</v>
      </c>
      <c r="K6513" s="36">
        <v>45290</v>
      </c>
      <c r="L6513" s="36">
        <v>45294</v>
      </c>
      <c r="M6513" t="s">
        <v>603</v>
      </c>
      <c r="N6513" t="s">
        <v>608</v>
      </c>
      <c r="O6513" s="37" t="str">
        <f t="shared" si="508"/>
        <v>Cash Payment</v>
      </c>
      <c r="P6513">
        <v>321.66000000000003</v>
      </c>
      <c r="Q6513" s="37" t="str">
        <f>IF(P6513&gt;500,"High","low")</f>
        <v>low</v>
      </c>
      <c r="R6513" s="37" t="str">
        <f t="shared" si="509"/>
        <v>AVERAGE</v>
      </c>
      <c r="S6513" t="s">
        <v>615</v>
      </c>
    </row>
    <row r="6514" spans="1:19" x14ac:dyDescent="0.2">
      <c r="A6514" t="s">
        <v>7125</v>
      </c>
      <c r="B6514" t="s">
        <v>83</v>
      </c>
      <c r="C6514" t="s">
        <v>607</v>
      </c>
      <c r="D6514">
        <v>1223.77</v>
      </c>
      <c r="E6514" s="37" t="str">
        <f t="shared" si="505"/>
        <v xml:space="preserve"> </v>
      </c>
      <c r="F6514">
        <v>0.2</v>
      </c>
      <c r="G6514" s="37" t="str">
        <f t="shared" si="506"/>
        <v>Normal Discount</v>
      </c>
      <c r="H6514" s="37" t="str">
        <f t="shared" si="507"/>
        <v>Medium</v>
      </c>
      <c r="I6514">
        <v>1</v>
      </c>
      <c r="J6514" t="str" cm="1">
        <f t="array" ref="J6514">_xlfn.IFS(I6514&lt;=3,"small",I6514&lt;=6,"Medium",I6514&lt;=9,"Large")</f>
        <v>small</v>
      </c>
      <c r="K6514" s="36">
        <v>45223</v>
      </c>
      <c r="L6514" s="36">
        <v>45227</v>
      </c>
      <c r="M6514" t="s">
        <v>612</v>
      </c>
      <c r="N6514" t="s">
        <v>604</v>
      </c>
      <c r="O6514" s="37" t="str">
        <f t="shared" si="508"/>
        <v>Digital Payment</v>
      </c>
      <c r="P6514">
        <v>256.24</v>
      </c>
      <c r="Q6514" s="37" t="str">
        <f>IF(P6514&gt;500,"High","low")</f>
        <v>low</v>
      </c>
      <c r="R6514" s="37" t="str">
        <f t="shared" si="509"/>
        <v>AVERAGE</v>
      </c>
      <c r="S6514" t="s">
        <v>600</v>
      </c>
    </row>
    <row r="6515" spans="1:19" x14ac:dyDescent="0.2">
      <c r="A6515" t="s">
        <v>7126</v>
      </c>
      <c r="B6515" t="s">
        <v>75</v>
      </c>
      <c r="C6515" t="s">
        <v>607</v>
      </c>
      <c r="D6515">
        <v>2754.34</v>
      </c>
      <c r="E6515" s="37" t="str">
        <f t="shared" si="505"/>
        <v xml:space="preserve"> </v>
      </c>
      <c r="F6515">
        <v>0.41</v>
      </c>
      <c r="G6515" s="37" t="str">
        <f t="shared" si="506"/>
        <v>Heavy Discount</v>
      </c>
      <c r="H6515" s="37" t="str">
        <f t="shared" si="507"/>
        <v>High</v>
      </c>
      <c r="I6515">
        <v>6</v>
      </c>
      <c r="J6515" t="str" cm="1">
        <f t="array" ref="J6515">_xlfn.IFS(I6515&lt;=3,"small",I6515&lt;=6,"Medium",I6515&lt;=9,"Large")</f>
        <v>Medium</v>
      </c>
      <c r="K6515" s="36">
        <v>45415</v>
      </c>
      <c r="L6515" s="36">
        <v>45422</v>
      </c>
      <c r="M6515" t="s">
        <v>598</v>
      </c>
      <c r="N6515" t="s">
        <v>604</v>
      </c>
      <c r="O6515" s="37" t="str">
        <f t="shared" si="508"/>
        <v>Digital Payment</v>
      </c>
      <c r="P6515">
        <v>231.88</v>
      </c>
      <c r="Q6515" s="37" t="str">
        <f>IF(P6515&gt;500,"High","low")</f>
        <v>low</v>
      </c>
      <c r="R6515" s="37" t="str">
        <f t="shared" si="509"/>
        <v>AVERAGE</v>
      </c>
      <c r="S6515" t="s">
        <v>628</v>
      </c>
    </row>
    <row r="6516" spans="1:19" x14ac:dyDescent="0.2">
      <c r="A6516" t="s">
        <v>7127</v>
      </c>
      <c r="B6516" t="s">
        <v>90</v>
      </c>
      <c r="C6516" t="s">
        <v>597</v>
      </c>
      <c r="D6516">
        <v>3593.43</v>
      </c>
      <c r="E6516" s="37" t="str">
        <f t="shared" si="505"/>
        <v xml:space="preserve"> </v>
      </c>
      <c r="F6516">
        <v>0.49</v>
      </c>
      <c r="G6516" s="37" t="str">
        <f t="shared" si="506"/>
        <v>Heavy Discount</v>
      </c>
      <c r="H6516" s="37" t="str">
        <f t="shared" si="507"/>
        <v>High</v>
      </c>
      <c r="I6516">
        <v>9</v>
      </c>
      <c r="J6516" t="str" cm="1">
        <f t="array" ref="J6516">_xlfn.IFS(I6516&lt;=3,"small",I6516&lt;=6,"Medium",I6516&lt;=9,"Large")</f>
        <v>Large</v>
      </c>
      <c r="K6516" s="36">
        <v>45582</v>
      </c>
      <c r="L6516" s="36">
        <v>45588</v>
      </c>
      <c r="M6516" t="s">
        <v>598</v>
      </c>
      <c r="N6516" t="s">
        <v>608</v>
      </c>
      <c r="O6516" s="37" t="str">
        <f t="shared" si="508"/>
        <v>Cash Payment</v>
      </c>
      <c r="P6516">
        <v>550.35</v>
      </c>
      <c r="Q6516" s="37" t="str">
        <f>IF(P6516&gt;500,"High","low")</f>
        <v>High</v>
      </c>
      <c r="R6516" s="37" t="str">
        <f t="shared" si="509"/>
        <v>Good</v>
      </c>
      <c r="S6516" t="s">
        <v>600</v>
      </c>
    </row>
    <row r="6517" spans="1:19" x14ac:dyDescent="0.2">
      <c r="A6517" t="s">
        <v>7128</v>
      </c>
      <c r="B6517" t="s">
        <v>75</v>
      </c>
      <c r="C6517" t="s">
        <v>607</v>
      </c>
      <c r="D6517">
        <v>3302.52</v>
      </c>
      <c r="E6517" s="37" t="str">
        <f t="shared" si="505"/>
        <v xml:space="preserve"> </v>
      </c>
      <c r="F6517">
        <v>0.49</v>
      </c>
      <c r="G6517" s="37" t="str">
        <f t="shared" si="506"/>
        <v>Heavy Discount</v>
      </c>
      <c r="H6517" s="37" t="str">
        <f t="shared" si="507"/>
        <v>High</v>
      </c>
      <c r="I6517">
        <v>1</v>
      </c>
      <c r="J6517" t="str" cm="1">
        <f t="array" ref="J6517">_xlfn.IFS(I6517&lt;=3,"small",I6517&lt;=6,"Medium",I6517&lt;=9,"Large")</f>
        <v>small</v>
      </c>
      <c r="K6517" s="36">
        <v>45411</v>
      </c>
      <c r="L6517" s="36">
        <v>45417</v>
      </c>
      <c r="M6517" t="s">
        <v>603</v>
      </c>
      <c r="N6517" t="s">
        <v>599</v>
      </c>
      <c r="O6517" s="37" t="str">
        <f t="shared" si="508"/>
        <v>Digital Payment</v>
      </c>
      <c r="P6517">
        <v>287.95999999999998</v>
      </c>
      <c r="Q6517" s="37" t="str">
        <f>IF(P6517&gt;500,"High","low")</f>
        <v>low</v>
      </c>
      <c r="R6517" s="37" t="str">
        <f t="shared" si="509"/>
        <v>AVERAGE</v>
      </c>
      <c r="S6517" t="s">
        <v>605</v>
      </c>
    </row>
    <row r="6518" spans="1:19" x14ac:dyDescent="0.2">
      <c r="A6518" t="s">
        <v>7129</v>
      </c>
      <c r="B6518" t="s">
        <v>75</v>
      </c>
      <c r="C6518" t="s">
        <v>597</v>
      </c>
      <c r="D6518">
        <v>1290.78</v>
      </c>
      <c r="E6518" s="37" t="str">
        <f t="shared" si="505"/>
        <v xml:space="preserve"> </v>
      </c>
      <c r="F6518">
        <v>0.49</v>
      </c>
      <c r="G6518" s="37" t="str">
        <f t="shared" si="506"/>
        <v>Heavy Discount</v>
      </c>
      <c r="H6518" s="37" t="str">
        <f t="shared" si="507"/>
        <v>High</v>
      </c>
      <c r="I6518">
        <v>2</v>
      </c>
      <c r="J6518" t="str" cm="1">
        <f t="array" ref="J6518">_xlfn.IFS(I6518&lt;=3,"small",I6518&lt;=6,"Medium",I6518&lt;=9,"Large")</f>
        <v>small</v>
      </c>
      <c r="K6518" s="36">
        <v>45507</v>
      </c>
      <c r="L6518" s="36">
        <v>45511</v>
      </c>
      <c r="M6518" t="s">
        <v>612</v>
      </c>
      <c r="N6518" t="s">
        <v>604</v>
      </c>
      <c r="O6518" s="37" t="str">
        <f t="shared" si="508"/>
        <v>Digital Payment</v>
      </c>
      <c r="P6518">
        <v>313.43</v>
      </c>
      <c r="Q6518" s="37" t="str">
        <f>IF(P6518&gt;500,"High","low")</f>
        <v>low</v>
      </c>
      <c r="R6518" s="37" t="str">
        <f t="shared" si="509"/>
        <v>AVERAGE</v>
      </c>
      <c r="S6518" t="s">
        <v>620</v>
      </c>
    </row>
    <row r="6519" spans="1:19" x14ac:dyDescent="0.2">
      <c r="A6519" t="s">
        <v>7130</v>
      </c>
      <c r="B6519" t="s">
        <v>83</v>
      </c>
      <c r="C6519" t="s">
        <v>607</v>
      </c>
      <c r="D6519">
        <v>301.27999999999997</v>
      </c>
      <c r="E6519" s="37" t="str">
        <f t="shared" si="505"/>
        <v xml:space="preserve"> </v>
      </c>
      <c r="F6519">
        <v>0.42</v>
      </c>
      <c r="G6519" s="37" t="str">
        <f t="shared" si="506"/>
        <v>Heavy Discount</v>
      </c>
      <c r="H6519" s="37" t="str">
        <f t="shared" si="507"/>
        <v>High</v>
      </c>
      <c r="I6519">
        <v>7</v>
      </c>
      <c r="J6519" t="str" cm="1">
        <f t="array" ref="J6519">_xlfn.IFS(I6519&lt;=3,"small",I6519&lt;=6,"Medium",I6519&lt;=9,"Large")</f>
        <v>Large</v>
      </c>
      <c r="K6519" s="36">
        <v>45580</v>
      </c>
      <c r="L6519" s="36">
        <v>45583</v>
      </c>
      <c r="M6519" t="s">
        <v>612</v>
      </c>
      <c r="N6519" t="s">
        <v>604</v>
      </c>
      <c r="O6519" s="37" t="str">
        <f t="shared" si="508"/>
        <v>Digital Payment</v>
      </c>
      <c r="P6519">
        <v>26.34</v>
      </c>
      <c r="Q6519" s="37" t="str">
        <f>IF(P6519&gt;500,"High","low")</f>
        <v>low</v>
      </c>
      <c r="R6519" s="37" t="str">
        <f t="shared" si="509"/>
        <v>AVERAGE</v>
      </c>
      <c r="S6519" t="s">
        <v>605</v>
      </c>
    </row>
    <row r="6520" spans="1:19" x14ac:dyDescent="0.2">
      <c r="A6520" t="s">
        <v>7131</v>
      </c>
      <c r="B6520" t="s">
        <v>75</v>
      </c>
      <c r="C6520" t="s">
        <v>614</v>
      </c>
      <c r="D6520">
        <v>1337.16</v>
      </c>
      <c r="E6520" s="37" t="str">
        <f t="shared" si="505"/>
        <v xml:space="preserve"> </v>
      </c>
      <c r="F6520">
        <v>0.11</v>
      </c>
      <c r="G6520" s="37" t="str">
        <f t="shared" si="506"/>
        <v>Normal Discount</v>
      </c>
      <c r="H6520" s="37" t="str">
        <f t="shared" si="507"/>
        <v>Low</v>
      </c>
      <c r="I6520">
        <v>6</v>
      </c>
      <c r="J6520" t="str" cm="1">
        <f t="array" ref="J6520">_xlfn.IFS(I6520&lt;=3,"small",I6520&lt;=6,"Medium",I6520&lt;=9,"Large")</f>
        <v>Medium</v>
      </c>
      <c r="K6520" s="36">
        <v>45362</v>
      </c>
      <c r="L6520" s="36">
        <v>45363</v>
      </c>
      <c r="M6520" t="s">
        <v>598</v>
      </c>
      <c r="N6520" t="s">
        <v>599</v>
      </c>
      <c r="O6520" s="37" t="str">
        <f t="shared" si="508"/>
        <v>Digital Payment</v>
      </c>
      <c r="P6520">
        <v>314.86</v>
      </c>
      <c r="Q6520" s="37" t="str">
        <f>IF(P6520&gt;500,"High","low")</f>
        <v>low</v>
      </c>
      <c r="R6520" s="37" t="str">
        <f t="shared" si="509"/>
        <v>AVERAGE</v>
      </c>
      <c r="S6520" t="s">
        <v>615</v>
      </c>
    </row>
    <row r="6521" spans="1:19" x14ac:dyDescent="0.2">
      <c r="A6521" t="s">
        <v>7132</v>
      </c>
      <c r="B6521" t="s">
        <v>90</v>
      </c>
      <c r="C6521" t="s">
        <v>614</v>
      </c>
      <c r="D6521">
        <v>4921.8100000000004</v>
      </c>
      <c r="E6521" s="37" t="str">
        <f t="shared" si="505"/>
        <v xml:space="preserve"> </v>
      </c>
      <c r="F6521">
        <v>0.03</v>
      </c>
      <c r="G6521" s="37" t="str">
        <f t="shared" si="506"/>
        <v>Normal Discount</v>
      </c>
      <c r="H6521" s="37" t="str">
        <f t="shared" si="507"/>
        <v>Low</v>
      </c>
      <c r="I6521">
        <v>3</v>
      </c>
      <c r="J6521" t="str" cm="1">
        <f t="array" ref="J6521">_xlfn.IFS(I6521&lt;=3,"small",I6521&lt;=6,"Medium",I6521&lt;=9,"Large")</f>
        <v>small</v>
      </c>
      <c r="K6521" s="36">
        <v>44940</v>
      </c>
      <c r="L6521" s="36">
        <v>44945</v>
      </c>
      <c r="M6521" t="s">
        <v>612</v>
      </c>
      <c r="N6521" t="s">
        <v>604</v>
      </c>
      <c r="O6521" s="37" t="str">
        <f t="shared" si="508"/>
        <v>Digital Payment</v>
      </c>
      <c r="P6521">
        <v>371.21</v>
      </c>
      <c r="Q6521" s="37" t="str">
        <f>IF(P6521&gt;500,"High","low")</f>
        <v>low</v>
      </c>
      <c r="R6521" s="37" t="str">
        <f t="shared" si="509"/>
        <v>AVERAGE</v>
      </c>
      <c r="S6521" t="s">
        <v>605</v>
      </c>
    </row>
    <row r="6522" spans="1:19" x14ac:dyDescent="0.2">
      <c r="A6522" t="s">
        <v>7133</v>
      </c>
      <c r="B6522" t="s">
        <v>90</v>
      </c>
      <c r="C6522" t="s">
        <v>607</v>
      </c>
      <c r="D6522">
        <v>1003.88</v>
      </c>
      <c r="E6522" s="37" t="str">
        <f t="shared" si="505"/>
        <v xml:space="preserve"> </v>
      </c>
      <c r="F6522">
        <v>0.41</v>
      </c>
      <c r="G6522" s="37" t="str">
        <f t="shared" si="506"/>
        <v>Heavy Discount</v>
      </c>
      <c r="H6522" s="37" t="str">
        <f t="shared" si="507"/>
        <v>High</v>
      </c>
      <c r="I6522">
        <v>2</v>
      </c>
      <c r="J6522" t="str" cm="1">
        <f t="array" ref="J6522">_xlfn.IFS(I6522&lt;=3,"small",I6522&lt;=6,"Medium",I6522&lt;=9,"Large")</f>
        <v>small</v>
      </c>
      <c r="K6522" s="36">
        <v>45613</v>
      </c>
      <c r="L6522" s="36">
        <v>45617</v>
      </c>
      <c r="M6522" t="s">
        <v>603</v>
      </c>
      <c r="N6522" t="s">
        <v>604</v>
      </c>
      <c r="O6522" s="37" t="str">
        <f t="shared" si="508"/>
        <v>Digital Payment</v>
      </c>
      <c r="P6522">
        <v>186.78</v>
      </c>
      <c r="Q6522" s="37" t="str">
        <f>IF(P6522&gt;500,"High","low")</f>
        <v>low</v>
      </c>
      <c r="R6522" s="37" t="str">
        <f t="shared" si="509"/>
        <v>AVERAGE</v>
      </c>
      <c r="S6522" t="s">
        <v>620</v>
      </c>
    </row>
    <row r="6523" spans="1:19" x14ac:dyDescent="0.2">
      <c r="A6523" t="s">
        <v>7134</v>
      </c>
      <c r="B6523" t="s">
        <v>83</v>
      </c>
      <c r="C6523" t="s">
        <v>602</v>
      </c>
      <c r="D6523">
        <v>2375.42</v>
      </c>
      <c r="E6523" s="37" t="str">
        <f t="shared" si="505"/>
        <v xml:space="preserve"> </v>
      </c>
      <c r="F6523">
        <v>0.15</v>
      </c>
      <c r="G6523" s="37" t="str">
        <f t="shared" si="506"/>
        <v>Normal Discount</v>
      </c>
      <c r="H6523" s="37" t="str">
        <f t="shared" si="507"/>
        <v>Low</v>
      </c>
      <c r="I6523">
        <v>7</v>
      </c>
      <c r="J6523" t="str" cm="1">
        <f t="array" ref="J6523">_xlfn.IFS(I6523&lt;=3,"small",I6523&lt;=6,"Medium",I6523&lt;=9,"Large")</f>
        <v>Large</v>
      </c>
      <c r="K6523" s="36">
        <v>45285</v>
      </c>
      <c r="L6523" s="36">
        <v>45290</v>
      </c>
      <c r="M6523" t="s">
        <v>603</v>
      </c>
      <c r="N6523" t="s">
        <v>599</v>
      </c>
      <c r="O6523" s="37" t="str">
        <f t="shared" si="508"/>
        <v>Digital Payment</v>
      </c>
      <c r="P6523">
        <v>241.61</v>
      </c>
      <c r="Q6523" s="37" t="str">
        <f>IF(P6523&gt;500,"High","low")</f>
        <v>low</v>
      </c>
      <c r="R6523" s="37" t="str">
        <f t="shared" si="509"/>
        <v>AVERAGE</v>
      </c>
      <c r="S6523" t="s">
        <v>609</v>
      </c>
    </row>
    <row r="6524" spans="1:19" x14ac:dyDescent="0.2">
      <c r="A6524" t="s">
        <v>7135</v>
      </c>
      <c r="B6524" t="s">
        <v>75</v>
      </c>
      <c r="C6524" t="s">
        <v>597</v>
      </c>
      <c r="D6524">
        <v>3227.89</v>
      </c>
      <c r="E6524" s="37" t="str">
        <f t="shared" si="505"/>
        <v xml:space="preserve"> </v>
      </c>
      <c r="F6524">
        <v>0.17</v>
      </c>
      <c r="G6524" s="37" t="str">
        <f t="shared" si="506"/>
        <v>Normal Discount</v>
      </c>
      <c r="H6524" s="37" t="str">
        <f t="shared" si="507"/>
        <v>Low</v>
      </c>
      <c r="I6524">
        <v>5</v>
      </c>
      <c r="J6524" t="str" cm="1">
        <f t="array" ref="J6524">_xlfn.IFS(I6524&lt;=3,"small",I6524&lt;=6,"Medium",I6524&lt;=9,"Large")</f>
        <v>Medium</v>
      </c>
      <c r="K6524" s="36">
        <v>45481</v>
      </c>
      <c r="L6524" s="36">
        <v>45482</v>
      </c>
      <c r="M6524" t="s">
        <v>603</v>
      </c>
      <c r="N6524" t="s">
        <v>599</v>
      </c>
      <c r="O6524" s="37" t="str">
        <f t="shared" si="508"/>
        <v>Digital Payment</v>
      </c>
      <c r="P6524">
        <v>281.69</v>
      </c>
      <c r="Q6524" s="37" t="str">
        <f>IF(P6524&gt;500,"High","low")</f>
        <v>low</v>
      </c>
      <c r="R6524" s="37" t="str">
        <f t="shared" si="509"/>
        <v>AVERAGE</v>
      </c>
      <c r="S6524" t="s">
        <v>605</v>
      </c>
    </row>
    <row r="6525" spans="1:19" x14ac:dyDescent="0.2">
      <c r="A6525" t="s">
        <v>7136</v>
      </c>
      <c r="B6525" t="s">
        <v>90</v>
      </c>
      <c r="C6525" t="s">
        <v>607</v>
      </c>
      <c r="D6525">
        <v>4409.42</v>
      </c>
      <c r="E6525" s="37" t="str">
        <f t="shared" si="505"/>
        <v xml:space="preserve"> </v>
      </c>
      <c r="F6525">
        <v>0.04</v>
      </c>
      <c r="G6525" s="37" t="str">
        <f t="shared" si="506"/>
        <v>Normal Discount</v>
      </c>
      <c r="H6525" s="37" t="str">
        <f t="shared" si="507"/>
        <v>Low</v>
      </c>
      <c r="I6525">
        <v>6</v>
      </c>
      <c r="J6525" t="str" cm="1">
        <f t="array" ref="J6525">_xlfn.IFS(I6525&lt;=3,"small",I6525&lt;=6,"Medium",I6525&lt;=9,"Large")</f>
        <v>Medium</v>
      </c>
      <c r="K6525" s="36">
        <v>45506</v>
      </c>
      <c r="L6525" s="36">
        <v>45513</v>
      </c>
      <c r="M6525" t="s">
        <v>603</v>
      </c>
      <c r="N6525" t="s">
        <v>604</v>
      </c>
      <c r="O6525" s="37" t="str">
        <f t="shared" si="508"/>
        <v>Digital Payment</v>
      </c>
      <c r="P6525">
        <v>702.93</v>
      </c>
      <c r="Q6525" s="37" t="str">
        <f>IF(P6525&gt;500,"High","low")</f>
        <v>High</v>
      </c>
      <c r="R6525" s="37" t="str">
        <f t="shared" si="509"/>
        <v>Good</v>
      </c>
      <c r="S6525" t="s">
        <v>628</v>
      </c>
    </row>
    <row r="6526" spans="1:19" x14ac:dyDescent="0.2">
      <c r="A6526" t="s">
        <v>7137</v>
      </c>
      <c r="B6526" t="s">
        <v>75</v>
      </c>
      <c r="C6526" t="s">
        <v>597</v>
      </c>
      <c r="D6526">
        <v>3825.27</v>
      </c>
      <c r="E6526" s="37" t="str">
        <f t="shared" si="505"/>
        <v xml:space="preserve"> </v>
      </c>
      <c r="F6526">
        <v>0.36</v>
      </c>
      <c r="G6526" s="37" t="str">
        <f t="shared" si="506"/>
        <v>Heavy Discount</v>
      </c>
      <c r="H6526" s="37" t="str">
        <f t="shared" si="507"/>
        <v>Medium</v>
      </c>
      <c r="I6526">
        <v>9</v>
      </c>
      <c r="J6526" t="str" cm="1">
        <f t="array" ref="J6526">_xlfn.IFS(I6526&lt;=3,"small",I6526&lt;=6,"Medium",I6526&lt;=9,"Large")</f>
        <v>Large</v>
      </c>
      <c r="K6526" s="36">
        <v>45580</v>
      </c>
      <c r="L6526" s="36">
        <v>45583</v>
      </c>
      <c r="M6526" t="s">
        <v>603</v>
      </c>
      <c r="N6526" t="s">
        <v>599</v>
      </c>
      <c r="O6526" s="37" t="str">
        <f t="shared" si="508"/>
        <v>Digital Payment</v>
      </c>
      <c r="P6526">
        <v>1112.79</v>
      </c>
      <c r="Q6526" s="37" t="str">
        <f>IF(P6526&gt;500,"High","low")</f>
        <v>High</v>
      </c>
      <c r="R6526" s="37" t="str">
        <f t="shared" si="509"/>
        <v>Excellent</v>
      </c>
      <c r="S6526" t="s">
        <v>620</v>
      </c>
    </row>
    <row r="6527" spans="1:19" x14ac:dyDescent="0.2">
      <c r="A6527" t="s">
        <v>7138</v>
      </c>
      <c r="B6527" t="s">
        <v>75</v>
      </c>
      <c r="C6527" t="s">
        <v>617</v>
      </c>
      <c r="D6527">
        <v>4553.87</v>
      </c>
      <c r="E6527" s="37" t="str">
        <f t="shared" si="505"/>
        <v xml:space="preserve"> </v>
      </c>
      <c r="F6527">
        <v>0.22</v>
      </c>
      <c r="G6527" s="37" t="str">
        <f t="shared" si="506"/>
        <v>Normal Discount</v>
      </c>
      <c r="H6527" s="37" t="str">
        <f t="shared" si="507"/>
        <v>Medium</v>
      </c>
      <c r="I6527">
        <v>7</v>
      </c>
      <c r="J6527" t="str" cm="1">
        <f t="array" ref="J6527">_xlfn.IFS(I6527&lt;=3,"small",I6527&lt;=6,"Medium",I6527&lt;=9,"Large")</f>
        <v>Large</v>
      </c>
      <c r="K6527" s="36">
        <v>44967</v>
      </c>
      <c r="L6527" s="36">
        <v>44973</v>
      </c>
      <c r="M6527" t="s">
        <v>612</v>
      </c>
      <c r="N6527" t="s">
        <v>599</v>
      </c>
      <c r="O6527" s="37" t="str">
        <f t="shared" si="508"/>
        <v>Digital Payment</v>
      </c>
      <c r="P6527">
        <v>326.92</v>
      </c>
      <c r="Q6527" s="37" t="str">
        <f>IF(P6527&gt;500,"High","low")</f>
        <v>low</v>
      </c>
      <c r="R6527" s="37" t="str">
        <f t="shared" si="509"/>
        <v>AVERAGE</v>
      </c>
      <c r="S6527" t="s">
        <v>605</v>
      </c>
    </row>
    <row r="6528" spans="1:19" x14ac:dyDescent="0.2">
      <c r="A6528" t="s">
        <v>7139</v>
      </c>
      <c r="B6528" t="s">
        <v>75</v>
      </c>
      <c r="C6528" t="s">
        <v>607</v>
      </c>
      <c r="D6528">
        <v>3061.48</v>
      </c>
      <c r="E6528" s="37" t="str">
        <f t="shared" si="505"/>
        <v xml:space="preserve"> </v>
      </c>
      <c r="F6528">
        <v>0.1</v>
      </c>
      <c r="G6528" s="37" t="str">
        <f t="shared" si="506"/>
        <v>Normal Discount</v>
      </c>
      <c r="H6528" s="37" t="str">
        <f t="shared" si="507"/>
        <v>Low</v>
      </c>
      <c r="I6528">
        <v>4</v>
      </c>
      <c r="J6528" t="str" cm="1">
        <f t="array" ref="J6528">_xlfn.IFS(I6528&lt;=3,"small",I6528&lt;=6,"Medium",I6528&lt;=9,"Large")</f>
        <v>Medium</v>
      </c>
      <c r="K6528" s="36">
        <v>45013</v>
      </c>
      <c r="L6528" s="36">
        <v>45018</v>
      </c>
      <c r="M6528" t="s">
        <v>612</v>
      </c>
      <c r="N6528" t="s">
        <v>604</v>
      </c>
      <c r="O6528" s="37" t="str">
        <f t="shared" si="508"/>
        <v>Digital Payment</v>
      </c>
      <c r="P6528">
        <v>492.91</v>
      </c>
      <c r="Q6528" s="37" t="str">
        <f>IF(P6528&gt;500,"High","low")</f>
        <v>low</v>
      </c>
      <c r="R6528" s="37" t="str">
        <f t="shared" si="509"/>
        <v>AVERAGE</v>
      </c>
      <c r="S6528" t="s">
        <v>609</v>
      </c>
    </row>
    <row r="6529" spans="1:19" x14ac:dyDescent="0.2">
      <c r="A6529" t="s">
        <v>7140</v>
      </c>
      <c r="B6529" t="s">
        <v>83</v>
      </c>
      <c r="C6529" t="s">
        <v>602</v>
      </c>
      <c r="D6529">
        <v>4340.0600000000004</v>
      </c>
      <c r="E6529" s="37" t="str">
        <f t="shared" si="505"/>
        <v xml:space="preserve"> </v>
      </c>
      <c r="F6529">
        <v>0.33</v>
      </c>
      <c r="G6529" s="37" t="str">
        <f t="shared" si="506"/>
        <v>Heavy Discount</v>
      </c>
      <c r="H6529" s="37" t="str">
        <f t="shared" si="507"/>
        <v>Medium</v>
      </c>
      <c r="I6529">
        <v>9</v>
      </c>
      <c r="J6529" t="str" cm="1">
        <f t="array" ref="J6529">_xlfn.IFS(I6529&lt;=3,"small",I6529&lt;=6,"Medium",I6529&lt;=9,"Large")</f>
        <v>Large</v>
      </c>
      <c r="K6529" s="36">
        <v>45334</v>
      </c>
      <c r="L6529" s="36">
        <v>45336</v>
      </c>
      <c r="M6529" t="s">
        <v>598</v>
      </c>
      <c r="N6529" t="s">
        <v>608</v>
      </c>
      <c r="O6529" s="37" t="str">
        <f t="shared" si="508"/>
        <v>Cash Payment</v>
      </c>
      <c r="P6529">
        <v>317.47000000000003</v>
      </c>
      <c r="Q6529" s="37" t="str">
        <f>IF(P6529&gt;500,"High","low")</f>
        <v>low</v>
      </c>
      <c r="R6529" s="37" t="str">
        <f t="shared" si="509"/>
        <v>AVERAGE</v>
      </c>
      <c r="S6529" t="s">
        <v>600</v>
      </c>
    </row>
    <row r="6530" spans="1:19" x14ac:dyDescent="0.2">
      <c r="A6530" t="s">
        <v>7141</v>
      </c>
      <c r="B6530" t="s">
        <v>75</v>
      </c>
      <c r="C6530" t="s">
        <v>617</v>
      </c>
      <c r="D6530">
        <v>1392.83</v>
      </c>
      <c r="E6530" s="37" t="str">
        <f t="shared" si="505"/>
        <v xml:space="preserve"> </v>
      </c>
      <c r="F6530">
        <v>0.49</v>
      </c>
      <c r="G6530" s="37" t="str">
        <f t="shared" si="506"/>
        <v>Heavy Discount</v>
      </c>
      <c r="H6530" s="37" t="str">
        <f t="shared" si="507"/>
        <v>High</v>
      </c>
      <c r="I6530">
        <v>3</v>
      </c>
      <c r="J6530" t="str" cm="1">
        <f t="array" ref="J6530">_xlfn.IFS(I6530&lt;=3,"small",I6530&lt;=6,"Medium",I6530&lt;=9,"Large")</f>
        <v>small</v>
      </c>
      <c r="K6530" s="36">
        <v>45001</v>
      </c>
      <c r="L6530" s="36">
        <v>45004</v>
      </c>
      <c r="M6530" t="s">
        <v>598</v>
      </c>
      <c r="N6530" t="s">
        <v>604</v>
      </c>
      <c r="O6530" s="37" t="str">
        <f t="shared" si="508"/>
        <v>Digital Payment</v>
      </c>
      <c r="P6530">
        <v>154.47999999999999</v>
      </c>
      <c r="Q6530" s="37" t="str">
        <f>IF(P6530&gt;500,"High","low")</f>
        <v>low</v>
      </c>
      <c r="R6530" s="37" t="str">
        <f t="shared" si="509"/>
        <v>AVERAGE</v>
      </c>
      <c r="S6530" t="s">
        <v>600</v>
      </c>
    </row>
    <row r="6531" spans="1:19" x14ac:dyDescent="0.2">
      <c r="A6531" t="s">
        <v>7142</v>
      </c>
      <c r="B6531" t="s">
        <v>90</v>
      </c>
      <c r="C6531" t="s">
        <v>607</v>
      </c>
      <c r="D6531">
        <v>2209.77</v>
      </c>
      <c r="E6531" s="37" t="str">
        <f t="shared" ref="E6531:E6594" si="510">IF(AND(D6531&gt;4000,P6531&gt;800),"Excellent Order"," ")</f>
        <v xml:space="preserve"> </v>
      </c>
      <c r="F6531">
        <v>0.25</v>
      </c>
      <c r="G6531" s="37" t="str">
        <f t="shared" ref="G6531:G6594" si="511">IF(F6531&gt;30%,"Heavy Discount","Normal Discount")</f>
        <v>Normal Discount</v>
      </c>
      <c r="H6531" s="37" t="str">
        <f t="shared" ref="H6531:H6594" si="512">IF(F6531&gt;0.4,"High",IF(F6531&gt;=0.2,"Medium","Low"))</f>
        <v>Medium</v>
      </c>
      <c r="I6531">
        <v>4</v>
      </c>
      <c r="J6531" t="str" cm="1">
        <f t="array" ref="J6531">_xlfn.IFS(I6531&lt;=3,"small",I6531&lt;=6,"Medium",I6531&lt;=9,"Large")</f>
        <v>Medium</v>
      </c>
      <c r="K6531" s="36">
        <v>44945</v>
      </c>
      <c r="L6531" s="36">
        <v>44947</v>
      </c>
      <c r="M6531" t="s">
        <v>612</v>
      </c>
      <c r="N6531" t="s">
        <v>604</v>
      </c>
      <c r="O6531" s="37" t="str">
        <f t="shared" ref="O6531:O6594" si="513">IF(OR(N6531="Card",N6531="UPI"),"Digital Payment","Cash Payment")</f>
        <v>Digital Payment</v>
      </c>
      <c r="P6531">
        <v>260.83</v>
      </c>
      <c r="Q6531" s="37" t="str">
        <f>IF(P6531&gt;500,"High","low")</f>
        <v>low</v>
      </c>
      <c r="R6531" s="37" t="str">
        <f t="shared" ref="R6531:R6594" si="514">IF(P6531&gt;1000,"Excellent",IF(P6531&gt;=500,"Good","AVERAGE"))</f>
        <v>AVERAGE</v>
      </c>
      <c r="S6531" t="s">
        <v>615</v>
      </c>
    </row>
    <row r="6532" spans="1:19" x14ac:dyDescent="0.2">
      <c r="A6532" t="s">
        <v>7143</v>
      </c>
      <c r="B6532" t="s">
        <v>75</v>
      </c>
      <c r="C6532" t="s">
        <v>614</v>
      </c>
      <c r="D6532">
        <v>4234.49</v>
      </c>
      <c r="E6532" s="37" t="str">
        <f t="shared" si="510"/>
        <v xml:space="preserve"> </v>
      </c>
      <c r="F6532">
        <v>0.3</v>
      </c>
      <c r="G6532" s="37" t="str">
        <f t="shared" si="511"/>
        <v>Normal Discount</v>
      </c>
      <c r="H6532" s="37" t="str">
        <f t="shared" si="512"/>
        <v>Medium</v>
      </c>
      <c r="I6532">
        <v>3</v>
      </c>
      <c r="J6532" t="str" cm="1">
        <f t="array" ref="J6532">_xlfn.IFS(I6532&lt;=3,"small",I6532&lt;=6,"Medium",I6532&lt;=9,"Large")</f>
        <v>small</v>
      </c>
      <c r="K6532" s="36">
        <v>45536</v>
      </c>
      <c r="L6532" s="36">
        <v>45542</v>
      </c>
      <c r="M6532" t="s">
        <v>612</v>
      </c>
      <c r="N6532" t="s">
        <v>599</v>
      </c>
      <c r="O6532" s="37" t="str">
        <f t="shared" si="513"/>
        <v>Digital Payment</v>
      </c>
      <c r="P6532">
        <v>748.39</v>
      </c>
      <c r="Q6532" s="37" t="str">
        <f>IF(P6532&gt;500,"High","low")</f>
        <v>High</v>
      </c>
      <c r="R6532" s="37" t="str">
        <f t="shared" si="514"/>
        <v>Good</v>
      </c>
      <c r="S6532" t="s">
        <v>600</v>
      </c>
    </row>
    <row r="6533" spans="1:19" x14ac:dyDescent="0.2">
      <c r="A6533" t="s">
        <v>7144</v>
      </c>
      <c r="B6533" t="s">
        <v>90</v>
      </c>
      <c r="C6533" t="s">
        <v>607</v>
      </c>
      <c r="D6533">
        <v>1695.26</v>
      </c>
      <c r="E6533" s="37" t="str">
        <f t="shared" si="510"/>
        <v xml:space="preserve"> </v>
      </c>
      <c r="F6533">
        <v>0.08</v>
      </c>
      <c r="G6533" s="37" t="str">
        <f t="shared" si="511"/>
        <v>Normal Discount</v>
      </c>
      <c r="H6533" s="37" t="str">
        <f t="shared" si="512"/>
        <v>Low</v>
      </c>
      <c r="I6533">
        <v>3</v>
      </c>
      <c r="J6533" t="str" cm="1">
        <f t="array" ref="J6533">_xlfn.IFS(I6533&lt;=3,"small",I6533&lt;=6,"Medium",I6533&lt;=9,"Large")</f>
        <v>small</v>
      </c>
      <c r="K6533" s="36">
        <v>45066</v>
      </c>
      <c r="L6533" s="36">
        <v>45067</v>
      </c>
      <c r="M6533" t="s">
        <v>598</v>
      </c>
      <c r="N6533" t="s">
        <v>608</v>
      </c>
      <c r="O6533" s="37" t="str">
        <f t="shared" si="513"/>
        <v>Cash Payment</v>
      </c>
      <c r="P6533">
        <v>416.31</v>
      </c>
      <c r="Q6533" s="37" t="str">
        <f>IF(P6533&gt;500,"High","low")</f>
        <v>low</v>
      </c>
      <c r="R6533" s="37" t="str">
        <f t="shared" si="514"/>
        <v>AVERAGE</v>
      </c>
      <c r="S6533" t="s">
        <v>600</v>
      </c>
    </row>
    <row r="6534" spans="1:19" x14ac:dyDescent="0.2">
      <c r="A6534" t="s">
        <v>7145</v>
      </c>
      <c r="B6534" t="s">
        <v>75</v>
      </c>
      <c r="C6534" t="s">
        <v>614</v>
      </c>
      <c r="D6534">
        <v>4368.99</v>
      </c>
      <c r="E6534" s="37" t="str">
        <f t="shared" si="510"/>
        <v xml:space="preserve"> </v>
      </c>
      <c r="F6534">
        <v>0.08</v>
      </c>
      <c r="G6534" s="37" t="str">
        <f t="shared" si="511"/>
        <v>Normal Discount</v>
      </c>
      <c r="H6534" s="37" t="str">
        <f t="shared" si="512"/>
        <v>Low</v>
      </c>
      <c r="I6534">
        <v>1</v>
      </c>
      <c r="J6534" t="str" cm="1">
        <f t="array" ref="J6534">_xlfn.IFS(I6534&lt;=3,"small",I6534&lt;=6,"Medium",I6534&lt;=9,"Large")</f>
        <v>small</v>
      </c>
      <c r="K6534" s="36">
        <v>45057</v>
      </c>
      <c r="L6534" s="36">
        <v>45062</v>
      </c>
      <c r="M6534" t="s">
        <v>598</v>
      </c>
      <c r="N6534" t="s">
        <v>608</v>
      </c>
      <c r="O6534" s="37" t="str">
        <f t="shared" si="513"/>
        <v>Cash Payment</v>
      </c>
      <c r="P6534">
        <v>583.86</v>
      </c>
      <c r="Q6534" s="37" t="str">
        <f>IF(P6534&gt;500,"High","low")</f>
        <v>High</v>
      </c>
      <c r="R6534" s="37" t="str">
        <f t="shared" si="514"/>
        <v>Good</v>
      </c>
      <c r="S6534" t="s">
        <v>615</v>
      </c>
    </row>
    <row r="6535" spans="1:19" x14ac:dyDescent="0.2">
      <c r="A6535" t="s">
        <v>7146</v>
      </c>
      <c r="B6535" t="s">
        <v>90</v>
      </c>
      <c r="C6535" t="s">
        <v>614</v>
      </c>
      <c r="D6535">
        <v>1879.26</v>
      </c>
      <c r="E6535" s="37" t="str">
        <f t="shared" si="510"/>
        <v xml:space="preserve"> </v>
      </c>
      <c r="F6535">
        <v>0.23</v>
      </c>
      <c r="G6535" s="37" t="str">
        <f t="shared" si="511"/>
        <v>Normal Discount</v>
      </c>
      <c r="H6535" s="37" t="str">
        <f t="shared" si="512"/>
        <v>Medium</v>
      </c>
      <c r="I6535">
        <v>5</v>
      </c>
      <c r="J6535" t="str" cm="1">
        <f t="array" ref="J6535">_xlfn.IFS(I6535&lt;=3,"small",I6535&lt;=6,"Medium",I6535&lt;=9,"Large")</f>
        <v>Medium</v>
      </c>
      <c r="K6535" s="36">
        <v>45112</v>
      </c>
      <c r="L6535" s="36">
        <v>45117</v>
      </c>
      <c r="M6535" t="s">
        <v>603</v>
      </c>
      <c r="N6535" t="s">
        <v>608</v>
      </c>
      <c r="O6535" s="37" t="str">
        <f t="shared" si="513"/>
        <v>Cash Payment</v>
      </c>
      <c r="P6535">
        <v>460.53</v>
      </c>
      <c r="Q6535" s="37" t="str">
        <f>IF(P6535&gt;500,"High","low")</f>
        <v>low</v>
      </c>
      <c r="R6535" s="37" t="str">
        <f t="shared" si="514"/>
        <v>AVERAGE</v>
      </c>
      <c r="S6535" t="s">
        <v>609</v>
      </c>
    </row>
    <row r="6536" spans="1:19" x14ac:dyDescent="0.2">
      <c r="A6536" t="s">
        <v>7147</v>
      </c>
      <c r="B6536" t="s">
        <v>90</v>
      </c>
      <c r="C6536" t="s">
        <v>607</v>
      </c>
      <c r="D6536">
        <v>1880.63</v>
      </c>
      <c r="E6536" s="37" t="str">
        <f t="shared" si="510"/>
        <v xml:space="preserve"> </v>
      </c>
      <c r="F6536">
        <v>0.42</v>
      </c>
      <c r="G6536" s="37" t="str">
        <f t="shared" si="511"/>
        <v>Heavy Discount</v>
      </c>
      <c r="H6536" s="37" t="str">
        <f t="shared" si="512"/>
        <v>High</v>
      </c>
      <c r="I6536">
        <v>4</v>
      </c>
      <c r="J6536" t="str" cm="1">
        <f t="array" ref="J6536">_xlfn.IFS(I6536&lt;=3,"small",I6536&lt;=6,"Medium",I6536&lt;=9,"Large")</f>
        <v>Medium</v>
      </c>
      <c r="K6536" s="36">
        <v>45293</v>
      </c>
      <c r="L6536" s="36">
        <v>45294</v>
      </c>
      <c r="M6536" t="s">
        <v>612</v>
      </c>
      <c r="N6536" t="s">
        <v>599</v>
      </c>
      <c r="O6536" s="37" t="str">
        <f t="shared" si="513"/>
        <v>Digital Payment</v>
      </c>
      <c r="P6536">
        <v>101.63</v>
      </c>
      <c r="Q6536" s="37" t="str">
        <f>IF(P6536&gt;500,"High","low")</f>
        <v>low</v>
      </c>
      <c r="R6536" s="37" t="str">
        <f t="shared" si="514"/>
        <v>AVERAGE</v>
      </c>
      <c r="S6536" t="s">
        <v>620</v>
      </c>
    </row>
    <row r="6537" spans="1:19" x14ac:dyDescent="0.2">
      <c r="A6537" t="s">
        <v>7148</v>
      </c>
      <c r="B6537" t="s">
        <v>75</v>
      </c>
      <c r="C6537" t="s">
        <v>607</v>
      </c>
      <c r="D6537">
        <v>1614.26</v>
      </c>
      <c r="E6537" s="37" t="str">
        <f t="shared" si="510"/>
        <v xml:space="preserve"> </v>
      </c>
      <c r="F6537">
        <v>0.45</v>
      </c>
      <c r="G6537" s="37" t="str">
        <f t="shared" si="511"/>
        <v>Heavy Discount</v>
      </c>
      <c r="H6537" s="37" t="str">
        <f t="shared" si="512"/>
        <v>High</v>
      </c>
      <c r="I6537">
        <v>9</v>
      </c>
      <c r="J6537" t="str" cm="1">
        <f t="array" ref="J6537">_xlfn.IFS(I6537&lt;=3,"small",I6537&lt;=6,"Medium",I6537&lt;=9,"Large")</f>
        <v>Large</v>
      </c>
      <c r="K6537" s="36">
        <v>45100</v>
      </c>
      <c r="L6537" s="36">
        <v>45106</v>
      </c>
      <c r="M6537" t="s">
        <v>612</v>
      </c>
      <c r="N6537" t="s">
        <v>599</v>
      </c>
      <c r="O6537" s="37" t="str">
        <f t="shared" si="513"/>
        <v>Digital Payment</v>
      </c>
      <c r="P6537">
        <v>103.13</v>
      </c>
      <c r="Q6537" s="37" t="str">
        <f>IF(P6537&gt;500,"High","low")</f>
        <v>low</v>
      </c>
      <c r="R6537" s="37" t="str">
        <f t="shared" si="514"/>
        <v>AVERAGE</v>
      </c>
      <c r="S6537" t="s">
        <v>628</v>
      </c>
    </row>
    <row r="6538" spans="1:19" x14ac:dyDescent="0.2">
      <c r="A6538" t="s">
        <v>7149</v>
      </c>
      <c r="B6538" t="s">
        <v>75</v>
      </c>
      <c r="C6538" t="s">
        <v>614</v>
      </c>
      <c r="D6538">
        <v>2780.02</v>
      </c>
      <c r="E6538" s="37" t="str">
        <f t="shared" si="510"/>
        <v xml:space="preserve"> </v>
      </c>
      <c r="F6538">
        <v>0.32</v>
      </c>
      <c r="G6538" s="37" t="str">
        <f t="shared" si="511"/>
        <v>Heavy Discount</v>
      </c>
      <c r="H6538" s="37" t="str">
        <f t="shared" si="512"/>
        <v>Medium</v>
      </c>
      <c r="I6538">
        <v>4</v>
      </c>
      <c r="J6538" t="str" cm="1">
        <f t="array" ref="J6538">_xlfn.IFS(I6538&lt;=3,"small",I6538&lt;=6,"Medium",I6538&lt;=9,"Large")</f>
        <v>Medium</v>
      </c>
      <c r="K6538" s="36">
        <v>45105</v>
      </c>
      <c r="L6538" s="36">
        <v>45112</v>
      </c>
      <c r="M6538" t="s">
        <v>612</v>
      </c>
      <c r="N6538" t="s">
        <v>608</v>
      </c>
      <c r="O6538" s="37" t="str">
        <f t="shared" si="513"/>
        <v>Cash Payment</v>
      </c>
      <c r="P6538">
        <v>256.79000000000002</v>
      </c>
      <c r="Q6538" s="37" t="str">
        <f>IF(P6538&gt;500,"High","low")</f>
        <v>low</v>
      </c>
      <c r="R6538" s="37" t="str">
        <f t="shared" si="514"/>
        <v>AVERAGE</v>
      </c>
      <c r="S6538" t="s">
        <v>605</v>
      </c>
    </row>
    <row r="6539" spans="1:19" x14ac:dyDescent="0.2">
      <c r="A6539" t="s">
        <v>7150</v>
      </c>
      <c r="B6539" t="s">
        <v>90</v>
      </c>
      <c r="C6539" t="s">
        <v>597</v>
      </c>
      <c r="D6539">
        <v>732.44</v>
      </c>
      <c r="E6539" s="37" t="str">
        <f t="shared" si="510"/>
        <v xml:space="preserve"> </v>
      </c>
      <c r="F6539">
        <v>0.18</v>
      </c>
      <c r="G6539" s="37" t="str">
        <f t="shared" si="511"/>
        <v>Normal Discount</v>
      </c>
      <c r="H6539" s="37" t="str">
        <f t="shared" si="512"/>
        <v>Low</v>
      </c>
      <c r="I6539">
        <v>3</v>
      </c>
      <c r="J6539" t="str" cm="1">
        <f t="array" ref="J6539">_xlfn.IFS(I6539&lt;=3,"small",I6539&lt;=6,"Medium",I6539&lt;=9,"Large")</f>
        <v>small</v>
      </c>
      <c r="K6539" s="36">
        <v>45453</v>
      </c>
      <c r="L6539" s="36">
        <v>45454</v>
      </c>
      <c r="M6539" t="s">
        <v>612</v>
      </c>
      <c r="N6539" t="s">
        <v>608</v>
      </c>
      <c r="O6539" s="37" t="str">
        <f t="shared" si="513"/>
        <v>Cash Payment</v>
      </c>
      <c r="P6539">
        <v>118.62</v>
      </c>
      <c r="Q6539" s="37" t="str">
        <f>IF(P6539&gt;500,"High","low")</f>
        <v>low</v>
      </c>
      <c r="R6539" s="37" t="str">
        <f t="shared" si="514"/>
        <v>AVERAGE</v>
      </c>
      <c r="S6539" t="s">
        <v>628</v>
      </c>
    </row>
    <row r="6540" spans="1:19" x14ac:dyDescent="0.2">
      <c r="A6540" t="s">
        <v>7151</v>
      </c>
      <c r="B6540" t="s">
        <v>67</v>
      </c>
      <c r="C6540" t="s">
        <v>617</v>
      </c>
      <c r="D6540">
        <v>279.35000000000002</v>
      </c>
      <c r="E6540" s="37" t="str">
        <f t="shared" si="510"/>
        <v xml:space="preserve"> </v>
      </c>
      <c r="F6540">
        <v>0.38</v>
      </c>
      <c r="G6540" s="37" t="str">
        <f t="shared" si="511"/>
        <v>Heavy Discount</v>
      </c>
      <c r="H6540" s="37" t="str">
        <f t="shared" si="512"/>
        <v>Medium</v>
      </c>
      <c r="I6540">
        <v>6</v>
      </c>
      <c r="J6540" t="str" cm="1">
        <f t="array" ref="J6540">_xlfn.IFS(I6540&lt;=3,"small",I6540&lt;=6,"Medium",I6540&lt;=9,"Large")</f>
        <v>Medium</v>
      </c>
      <c r="K6540" s="36">
        <v>45332</v>
      </c>
      <c r="L6540" s="36">
        <v>45335</v>
      </c>
      <c r="M6540" t="s">
        <v>603</v>
      </c>
      <c r="N6540" t="s">
        <v>599</v>
      </c>
      <c r="O6540" s="37" t="str">
        <f t="shared" si="513"/>
        <v>Digital Payment</v>
      </c>
      <c r="P6540">
        <v>39.659999999999997</v>
      </c>
      <c r="Q6540" s="37" t="str">
        <f>IF(P6540&gt;500,"High","low")</f>
        <v>low</v>
      </c>
      <c r="R6540" s="37" t="str">
        <f t="shared" si="514"/>
        <v>AVERAGE</v>
      </c>
      <c r="S6540" t="s">
        <v>615</v>
      </c>
    </row>
    <row r="6541" spans="1:19" x14ac:dyDescent="0.2">
      <c r="A6541" t="s">
        <v>7152</v>
      </c>
      <c r="B6541" t="s">
        <v>83</v>
      </c>
      <c r="C6541" t="s">
        <v>602</v>
      </c>
      <c r="D6541">
        <v>4497.32</v>
      </c>
      <c r="E6541" s="37" t="str">
        <f t="shared" si="510"/>
        <v>Excellent Order</v>
      </c>
      <c r="F6541">
        <v>0.15</v>
      </c>
      <c r="G6541" s="37" t="str">
        <f t="shared" si="511"/>
        <v>Normal Discount</v>
      </c>
      <c r="H6541" s="37" t="str">
        <f t="shared" si="512"/>
        <v>Low</v>
      </c>
      <c r="I6541">
        <v>5</v>
      </c>
      <c r="J6541" t="str" cm="1">
        <f t="array" ref="J6541">_xlfn.IFS(I6541&lt;=3,"small",I6541&lt;=6,"Medium",I6541&lt;=9,"Large")</f>
        <v>Medium</v>
      </c>
      <c r="K6541" s="36">
        <v>45191</v>
      </c>
      <c r="L6541" s="36">
        <v>45197</v>
      </c>
      <c r="M6541" t="s">
        <v>612</v>
      </c>
      <c r="N6541" t="s">
        <v>599</v>
      </c>
      <c r="O6541" s="37" t="str">
        <f t="shared" si="513"/>
        <v>Digital Payment</v>
      </c>
      <c r="P6541">
        <v>1038.68</v>
      </c>
      <c r="Q6541" s="37" t="str">
        <f>IF(P6541&gt;500,"High","low")</f>
        <v>High</v>
      </c>
      <c r="R6541" s="37" t="str">
        <f t="shared" si="514"/>
        <v>Excellent</v>
      </c>
      <c r="S6541" t="s">
        <v>609</v>
      </c>
    </row>
    <row r="6542" spans="1:19" x14ac:dyDescent="0.2">
      <c r="A6542" t="s">
        <v>7153</v>
      </c>
      <c r="B6542" t="s">
        <v>67</v>
      </c>
      <c r="C6542" t="s">
        <v>607</v>
      </c>
      <c r="D6542">
        <v>4651.8</v>
      </c>
      <c r="E6542" s="37" t="str">
        <f t="shared" si="510"/>
        <v>Excellent Order</v>
      </c>
      <c r="F6542">
        <v>0.11</v>
      </c>
      <c r="G6542" s="37" t="str">
        <f t="shared" si="511"/>
        <v>Normal Discount</v>
      </c>
      <c r="H6542" s="37" t="str">
        <f t="shared" si="512"/>
        <v>Low</v>
      </c>
      <c r="I6542">
        <v>4</v>
      </c>
      <c r="J6542" t="str" cm="1">
        <f t="array" ref="J6542">_xlfn.IFS(I6542&lt;=3,"small",I6542&lt;=6,"Medium",I6542&lt;=9,"Large")</f>
        <v>Medium</v>
      </c>
      <c r="K6542" s="36">
        <v>45274</v>
      </c>
      <c r="L6542" s="36">
        <v>45280</v>
      </c>
      <c r="M6542" t="s">
        <v>603</v>
      </c>
      <c r="N6542" t="s">
        <v>604</v>
      </c>
      <c r="O6542" s="37" t="str">
        <f t="shared" si="513"/>
        <v>Digital Payment</v>
      </c>
      <c r="P6542">
        <v>1387.2</v>
      </c>
      <c r="Q6542" s="37" t="str">
        <f>IF(P6542&gt;500,"High","low")</f>
        <v>High</v>
      </c>
      <c r="R6542" s="37" t="str">
        <f t="shared" si="514"/>
        <v>Excellent</v>
      </c>
      <c r="S6542" t="s">
        <v>600</v>
      </c>
    </row>
    <row r="6543" spans="1:19" x14ac:dyDescent="0.2">
      <c r="A6543" t="s">
        <v>7154</v>
      </c>
      <c r="B6543" t="s">
        <v>67</v>
      </c>
      <c r="C6543" t="s">
        <v>617</v>
      </c>
      <c r="D6543">
        <v>473.24</v>
      </c>
      <c r="E6543" s="37" t="str">
        <f t="shared" si="510"/>
        <v xml:space="preserve"> </v>
      </c>
      <c r="F6543">
        <v>0.4</v>
      </c>
      <c r="G6543" s="37" t="str">
        <f t="shared" si="511"/>
        <v>Heavy Discount</v>
      </c>
      <c r="H6543" s="37" t="str">
        <f t="shared" si="512"/>
        <v>Medium</v>
      </c>
      <c r="I6543">
        <v>1</v>
      </c>
      <c r="J6543" t="str" cm="1">
        <f t="array" ref="J6543">_xlfn.IFS(I6543&lt;=3,"small",I6543&lt;=6,"Medium",I6543&lt;=9,"Large")</f>
        <v>small</v>
      </c>
      <c r="K6543" s="36">
        <v>44965</v>
      </c>
      <c r="L6543" s="36">
        <v>44966</v>
      </c>
      <c r="M6543" t="s">
        <v>612</v>
      </c>
      <c r="N6543" t="s">
        <v>604</v>
      </c>
      <c r="O6543" s="37" t="str">
        <f t="shared" si="513"/>
        <v>Digital Payment</v>
      </c>
      <c r="P6543">
        <v>118.09</v>
      </c>
      <c r="Q6543" s="37" t="str">
        <f>IF(P6543&gt;500,"High","low")</f>
        <v>low</v>
      </c>
      <c r="R6543" s="37" t="str">
        <f t="shared" si="514"/>
        <v>AVERAGE</v>
      </c>
      <c r="S6543" t="s">
        <v>609</v>
      </c>
    </row>
    <row r="6544" spans="1:19" x14ac:dyDescent="0.2">
      <c r="A6544" t="s">
        <v>7155</v>
      </c>
      <c r="B6544" t="s">
        <v>75</v>
      </c>
      <c r="C6544" t="s">
        <v>617</v>
      </c>
      <c r="D6544">
        <v>2793.52</v>
      </c>
      <c r="E6544" s="37" t="str">
        <f t="shared" si="510"/>
        <v xml:space="preserve"> </v>
      </c>
      <c r="F6544">
        <v>0.38</v>
      </c>
      <c r="G6544" s="37" t="str">
        <f t="shared" si="511"/>
        <v>Heavy Discount</v>
      </c>
      <c r="H6544" s="37" t="str">
        <f t="shared" si="512"/>
        <v>Medium</v>
      </c>
      <c r="I6544">
        <v>3</v>
      </c>
      <c r="J6544" t="str" cm="1">
        <f t="array" ref="J6544">_xlfn.IFS(I6544&lt;=3,"small",I6544&lt;=6,"Medium",I6544&lt;=9,"Large")</f>
        <v>small</v>
      </c>
      <c r="K6544" s="36">
        <v>45157</v>
      </c>
      <c r="L6544" s="36">
        <v>45161</v>
      </c>
      <c r="M6544" t="s">
        <v>598</v>
      </c>
      <c r="N6544" t="s">
        <v>599</v>
      </c>
      <c r="O6544" s="37" t="str">
        <f t="shared" si="513"/>
        <v>Digital Payment</v>
      </c>
      <c r="P6544">
        <v>710.68</v>
      </c>
      <c r="Q6544" s="37" t="str">
        <f>IF(P6544&gt;500,"High","low")</f>
        <v>High</v>
      </c>
      <c r="R6544" s="37" t="str">
        <f t="shared" si="514"/>
        <v>Good</v>
      </c>
      <c r="S6544" t="s">
        <v>615</v>
      </c>
    </row>
    <row r="6545" spans="1:19" x14ac:dyDescent="0.2">
      <c r="A6545" t="s">
        <v>7156</v>
      </c>
      <c r="B6545" t="s">
        <v>83</v>
      </c>
      <c r="C6545" t="s">
        <v>597</v>
      </c>
      <c r="D6545">
        <v>2744.44</v>
      </c>
      <c r="E6545" s="37" t="str">
        <f t="shared" si="510"/>
        <v xml:space="preserve"> </v>
      </c>
      <c r="F6545">
        <v>0.44</v>
      </c>
      <c r="G6545" s="37" t="str">
        <f t="shared" si="511"/>
        <v>Heavy Discount</v>
      </c>
      <c r="H6545" s="37" t="str">
        <f t="shared" si="512"/>
        <v>High</v>
      </c>
      <c r="I6545">
        <v>4</v>
      </c>
      <c r="J6545" t="str" cm="1">
        <f t="array" ref="J6545">_xlfn.IFS(I6545&lt;=3,"small",I6545&lt;=6,"Medium",I6545&lt;=9,"Large")</f>
        <v>Medium</v>
      </c>
      <c r="K6545" s="36">
        <v>45413</v>
      </c>
      <c r="L6545" s="36">
        <v>45415</v>
      </c>
      <c r="M6545" t="s">
        <v>612</v>
      </c>
      <c r="N6545" t="s">
        <v>608</v>
      </c>
      <c r="O6545" s="37" t="str">
        <f t="shared" si="513"/>
        <v>Cash Payment</v>
      </c>
      <c r="P6545">
        <v>814.96</v>
      </c>
      <c r="Q6545" s="37" t="str">
        <f>IF(P6545&gt;500,"High","low")</f>
        <v>High</v>
      </c>
      <c r="R6545" s="37" t="str">
        <f t="shared" si="514"/>
        <v>Good</v>
      </c>
      <c r="S6545" t="s">
        <v>620</v>
      </c>
    </row>
    <row r="6546" spans="1:19" x14ac:dyDescent="0.2">
      <c r="A6546" t="s">
        <v>7157</v>
      </c>
      <c r="B6546" t="s">
        <v>67</v>
      </c>
      <c r="C6546" t="s">
        <v>617</v>
      </c>
      <c r="D6546">
        <v>1924.91</v>
      </c>
      <c r="E6546" s="37" t="str">
        <f t="shared" si="510"/>
        <v xml:space="preserve"> </v>
      </c>
      <c r="F6546">
        <v>0.28999999999999998</v>
      </c>
      <c r="G6546" s="37" t="str">
        <f t="shared" si="511"/>
        <v>Normal Discount</v>
      </c>
      <c r="H6546" s="37" t="str">
        <f t="shared" si="512"/>
        <v>Medium</v>
      </c>
      <c r="I6546">
        <v>8</v>
      </c>
      <c r="J6546" t="str" cm="1">
        <f t="array" ref="J6546">_xlfn.IFS(I6546&lt;=3,"small",I6546&lt;=6,"Medium",I6546&lt;=9,"Large")</f>
        <v>Large</v>
      </c>
      <c r="K6546" s="36">
        <v>45250</v>
      </c>
      <c r="L6546" s="36">
        <v>45257</v>
      </c>
      <c r="M6546" t="s">
        <v>598</v>
      </c>
      <c r="N6546" t="s">
        <v>599</v>
      </c>
      <c r="O6546" s="37" t="str">
        <f t="shared" si="513"/>
        <v>Digital Payment</v>
      </c>
      <c r="P6546">
        <v>318.93</v>
      </c>
      <c r="Q6546" s="37" t="str">
        <f>IF(P6546&gt;500,"High","low")</f>
        <v>low</v>
      </c>
      <c r="R6546" s="37" t="str">
        <f t="shared" si="514"/>
        <v>AVERAGE</v>
      </c>
      <c r="S6546" t="s">
        <v>600</v>
      </c>
    </row>
    <row r="6547" spans="1:19" x14ac:dyDescent="0.2">
      <c r="A6547" t="s">
        <v>7158</v>
      </c>
      <c r="B6547" t="s">
        <v>75</v>
      </c>
      <c r="C6547" t="s">
        <v>607</v>
      </c>
      <c r="D6547">
        <v>2887.63</v>
      </c>
      <c r="E6547" s="37" t="str">
        <f t="shared" si="510"/>
        <v xml:space="preserve"> </v>
      </c>
      <c r="F6547">
        <v>0.45</v>
      </c>
      <c r="G6547" s="37" t="str">
        <f t="shared" si="511"/>
        <v>Heavy Discount</v>
      </c>
      <c r="H6547" s="37" t="str">
        <f t="shared" si="512"/>
        <v>High</v>
      </c>
      <c r="I6547">
        <v>9</v>
      </c>
      <c r="J6547" t="str" cm="1">
        <f t="array" ref="J6547">_xlfn.IFS(I6547&lt;=3,"small",I6547&lt;=6,"Medium",I6547&lt;=9,"Large")</f>
        <v>Large</v>
      </c>
      <c r="K6547" s="36">
        <v>44983</v>
      </c>
      <c r="L6547" s="36">
        <v>44984</v>
      </c>
      <c r="M6547" t="s">
        <v>598</v>
      </c>
      <c r="N6547" t="s">
        <v>608</v>
      </c>
      <c r="O6547" s="37" t="str">
        <f t="shared" si="513"/>
        <v>Cash Payment</v>
      </c>
      <c r="P6547">
        <v>842.15</v>
      </c>
      <c r="Q6547" s="37" t="str">
        <f>IF(P6547&gt;500,"High","low")</f>
        <v>High</v>
      </c>
      <c r="R6547" s="37" t="str">
        <f t="shared" si="514"/>
        <v>Good</v>
      </c>
      <c r="S6547" t="s">
        <v>628</v>
      </c>
    </row>
    <row r="6548" spans="1:19" x14ac:dyDescent="0.2">
      <c r="A6548" t="s">
        <v>7159</v>
      </c>
      <c r="B6548" t="s">
        <v>67</v>
      </c>
      <c r="C6548" t="s">
        <v>617</v>
      </c>
      <c r="D6548">
        <v>2344.7800000000002</v>
      </c>
      <c r="E6548" s="37" t="str">
        <f t="shared" si="510"/>
        <v xml:space="preserve"> </v>
      </c>
      <c r="F6548">
        <v>0.01</v>
      </c>
      <c r="G6548" s="37" t="str">
        <f t="shared" si="511"/>
        <v>Normal Discount</v>
      </c>
      <c r="H6548" s="37" t="str">
        <f t="shared" si="512"/>
        <v>Low</v>
      </c>
      <c r="I6548">
        <v>8</v>
      </c>
      <c r="J6548" t="str" cm="1">
        <f t="array" ref="J6548">_xlfn.IFS(I6548&lt;=3,"small",I6548&lt;=6,"Medium",I6548&lt;=9,"Large")</f>
        <v>Large</v>
      </c>
      <c r="K6548" s="36">
        <v>45378</v>
      </c>
      <c r="L6548" s="36">
        <v>45382</v>
      </c>
      <c r="M6548" t="s">
        <v>612</v>
      </c>
      <c r="N6548" t="s">
        <v>599</v>
      </c>
      <c r="O6548" s="37" t="str">
        <f t="shared" si="513"/>
        <v>Digital Payment</v>
      </c>
      <c r="P6548">
        <v>459.62</v>
      </c>
      <c r="Q6548" s="37" t="str">
        <f>IF(P6548&gt;500,"High","low")</f>
        <v>low</v>
      </c>
      <c r="R6548" s="37" t="str">
        <f t="shared" si="514"/>
        <v>AVERAGE</v>
      </c>
      <c r="S6548" t="s">
        <v>620</v>
      </c>
    </row>
    <row r="6549" spans="1:19" x14ac:dyDescent="0.2">
      <c r="A6549" t="s">
        <v>7160</v>
      </c>
      <c r="B6549" t="s">
        <v>67</v>
      </c>
      <c r="C6549" t="s">
        <v>607</v>
      </c>
      <c r="D6549">
        <v>2499.21</v>
      </c>
      <c r="E6549" s="37" t="str">
        <f t="shared" si="510"/>
        <v xml:space="preserve"> </v>
      </c>
      <c r="F6549">
        <v>0.13</v>
      </c>
      <c r="G6549" s="37" t="str">
        <f t="shared" si="511"/>
        <v>Normal Discount</v>
      </c>
      <c r="H6549" s="37" t="str">
        <f t="shared" si="512"/>
        <v>Low</v>
      </c>
      <c r="I6549">
        <v>9</v>
      </c>
      <c r="J6549" t="str" cm="1">
        <f t="array" ref="J6549">_xlfn.IFS(I6549&lt;=3,"small",I6549&lt;=6,"Medium",I6549&lt;=9,"Large")</f>
        <v>Large</v>
      </c>
      <c r="K6549" s="36">
        <v>45189</v>
      </c>
      <c r="L6549" s="36">
        <v>45196</v>
      </c>
      <c r="M6549" t="s">
        <v>603</v>
      </c>
      <c r="N6549" t="s">
        <v>604</v>
      </c>
      <c r="O6549" s="37" t="str">
        <f t="shared" si="513"/>
        <v>Digital Payment</v>
      </c>
      <c r="P6549">
        <v>547.79999999999995</v>
      </c>
      <c r="Q6549" s="37" t="str">
        <f>IF(P6549&gt;500,"High","low")</f>
        <v>High</v>
      </c>
      <c r="R6549" s="37" t="str">
        <f t="shared" si="514"/>
        <v>Good</v>
      </c>
      <c r="S6549" t="s">
        <v>600</v>
      </c>
    </row>
    <row r="6550" spans="1:19" x14ac:dyDescent="0.2">
      <c r="A6550" t="s">
        <v>7161</v>
      </c>
      <c r="B6550" t="s">
        <v>75</v>
      </c>
      <c r="C6550" t="s">
        <v>607</v>
      </c>
      <c r="D6550">
        <v>3801.15</v>
      </c>
      <c r="E6550" s="37" t="str">
        <f t="shared" si="510"/>
        <v xml:space="preserve"> </v>
      </c>
      <c r="F6550">
        <v>0.4</v>
      </c>
      <c r="G6550" s="37" t="str">
        <f t="shared" si="511"/>
        <v>Heavy Discount</v>
      </c>
      <c r="H6550" s="37" t="str">
        <f t="shared" si="512"/>
        <v>Medium</v>
      </c>
      <c r="I6550">
        <v>1</v>
      </c>
      <c r="J6550" t="str" cm="1">
        <f t="array" ref="J6550">_xlfn.IFS(I6550&lt;=3,"small",I6550&lt;=6,"Medium",I6550&lt;=9,"Large")</f>
        <v>small</v>
      </c>
      <c r="K6550" s="36">
        <v>45440</v>
      </c>
      <c r="L6550" s="36">
        <v>45445</v>
      </c>
      <c r="M6550" t="s">
        <v>612</v>
      </c>
      <c r="N6550" t="s">
        <v>604</v>
      </c>
      <c r="O6550" s="37" t="str">
        <f t="shared" si="513"/>
        <v>Digital Payment</v>
      </c>
      <c r="P6550">
        <v>218.27</v>
      </c>
      <c r="Q6550" s="37" t="str">
        <f>IF(P6550&gt;500,"High","low")</f>
        <v>low</v>
      </c>
      <c r="R6550" s="37" t="str">
        <f t="shared" si="514"/>
        <v>AVERAGE</v>
      </c>
      <c r="S6550" t="s">
        <v>600</v>
      </c>
    </row>
    <row r="6551" spans="1:19" x14ac:dyDescent="0.2">
      <c r="A6551" t="s">
        <v>7162</v>
      </c>
      <c r="B6551" t="s">
        <v>75</v>
      </c>
      <c r="C6551" t="s">
        <v>614</v>
      </c>
      <c r="D6551">
        <v>2677.21</v>
      </c>
      <c r="E6551" s="37" t="str">
        <f t="shared" si="510"/>
        <v xml:space="preserve"> </v>
      </c>
      <c r="F6551">
        <v>0.21</v>
      </c>
      <c r="G6551" s="37" t="str">
        <f t="shared" si="511"/>
        <v>Normal Discount</v>
      </c>
      <c r="H6551" s="37" t="str">
        <f t="shared" si="512"/>
        <v>Medium</v>
      </c>
      <c r="I6551">
        <v>1</v>
      </c>
      <c r="J6551" t="str" cm="1">
        <f t="array" ref="J6551">_xlfn.IFS(I6551&lt;=3,"small",I6551&lt;=6,"Medium",I6551&lt;=9,"Large")</f>
        <v>small</v>
      </c>
      <c r="K6551" s="36">
        <v>44980</v>
      </c>
      <c r="L6551" s="36">
        <v>44981</v>
      </c>
      <c r="M6551" t="s">
        <v>612</v>
      </c>
      <c r="N6551" t="s">
        <v>604</v>
      </c>
      <c r="O6551" s="37" t="str">
        <f t="shared" si="513"/>
        <v>Digital Payment</v>
      </c>
      <c r="P6551">
        <v>447.28</v>
      </c>
      <c r="Q6551" s="37" t="str">
        <f>IF(P6551&gt;500,"High","low")</f>
        <v>low</v>
      </c>
      <c r="R6551" s="37" t="str">
        <f t="shared" si="514"/>
        <v>AVERAGE</v>
      </c>
      <c r="S6551" t="s">
        <v>620</v>
      </c>
    </row>
    <row r="6552" spans="1:19" x14ac:dyDescent="0.2">
      <c r="A6552" t="s">
        <v>7163</v>
      </c>
      <c r="B6552" t="s">
        <v>75</v>
      </c>
      <c r="C6552" t="s">
        <v>597</v>
      </c>
      <c r="D6552">
        <v>1685.92</v>
      </c>
      <c r="E6552" s="37" t="str">
        <f t="shared" si="510"/>
        <v xml:space="preserve"> </v>
      </c>
      <c r="F6552">
        <v>0.12</v>
      </c>
      <c r="G6552" s="37" t="str">
        <f t="shared" si="511"/>
        <v>Normal Discount</v>
      </c>
      <c r="H6552" s="37" t="str">
        <f t="shared" si="512"/>
        <v>Low</v>
      </c>
      <c r="I6552">
        <v>3</v>
      </c>
      <c r="J6552" t="str" cm="1">
        <f t="array" ref="J6552">_xlfn.IFS(I6552&lt;=3,"small",I6552&lt;=6,"Medium",I6552&lt;=9,"Large")</f>
        <v>small</v>
      </c>
      <c r="K6552" s="36">
        <v>45347</v>
      </c>
      <c r="L6552" s="36">
        <v>45349</v>
      </c>
      <c r="M6552" t="s">
        <v>612</v>
      </c>
      <c r="N6552" t="s">
        <v>599</v>
      </c>
      <c r="O6552" s="37" t="str">
        <f t="shared" si="513"/>
        <v>Digital Payment</v>
      </c>
      <c r="P6552">
        <v>495.19</v>
      </c>
      <c r="Q6552" s="37" t="str">
        <f>IF(P6552&gt;500,"High","low")</f>
        <v>low</v>
      </c>
      <c r="R6552" s="37" t="str">
        <f t="shared" si="514"/>
        <v>AVERAGE</v>
      </c>
      <c r="S6552" t="s">
        <v>628</v>
      </c>
    </row>
    <row r="6553" spans="1:19" x14ac:dyDescent="0.2">
      <c r="A6553" t="s">
        <v>7164</v>
      </c>
      <c r="B6553" t="s">
        <v>83</v>
      </c>
      <c r="C6553" t="s">
        <v>602</v>
      </c>
      <c r="D6553">
        <v>2949.13</v>
      </c>
      <c r="E6553" s="37" t="str">
        <f t="shared" si="510"/>
        <v xml:space="preserve"> </v>
      </c>
      <c r="F6553">
        <v>0.4</v>
      </c>
      <c r="G6553" s="37" t="str">
        <f t="shared" si="511"/>
        <v>Heavy Discount</v>
      </c>
      <c r="H6553" s="37" t="str">
        <f t="shared" si="512"/>
        <v>Medium</v>
      </c>
      <c r="I6553">
        <v>4</v>
      </c>
      <c r="J6553" t="str" cm="1">
        <f t="array" ref="J6553">_xlfn.IFS(I6553&lt;=3,"small",I6553&lt;=6,"Medium",I6553&lt;=9,"Large")</f>
        <v>Medium</v>
      </c>
      <c r="K6553" s="36">
        <v>45338</v>
      </c>
      <c r="L6553" s="36">
        <v>45340</v>
      </c>
      <c r="M6553" t="s">
        <v>612</v>
      </c>
      <c r="N6553" t="s">
        <v>599</v>
      </c>
      <c r="O6553" s="37" t="str">
        <f t="shared" si="513"/>
        <v>Digital Payment</v>
      </c>
      <c r="P6553">
        <v>834.58</v>
      </c>
      <c r="Q6553" s="37" t="str">
        <f>IF(P6553&gt;500,"High","low")</f>
        <v>High</v>
      </c>
      <c r="R6553" s="37" t="str">
        <f t="shared" si="514"/>
        <v>Good</v>
      </c>
      <c r="S6553" t="s">
        <v>605</v>
      </c>
    </row>
    <row r="6554" spans="1:19" x14ac:dyDescent="0.2">
      <c r="A6554" t="s">
        <v>7165</v>
      </c>
      <c r="B6554" t="s">
        <v>67</v>
      </c>
      <c r="C6554" t="s">
        <v>614</v>
      </c>
      <c r="D6554">
        <v>3239.69</v>
      </c>
      <c r="E6554" s="37" t="str">
        <f t="shared" si="510"/>
        <v xml:space="preserve"> </v>
      </c>
      <c r="F6554">
        <v>0.41</v>
      </c>
      <c r="G6554" s="37" t="str">
        <f t="shared" si="511"/>
        <v>Heavy Discount</v>
      </c>
      <c r="H6554" s="37" t="str">
        <f t="shared" si="512"/>
        <v>High</v>
      </c>
      <c r="I6554">
        <v>2</v>
      </c>
      <c r="J6554" t="str" cm="1">
        <f t="array" ref="J6554">_xlfn.IFS(I6554&lt;=3,"small",I6554&lt;=6,"Medium",I6554&lt;=9,"Large")</f>
        <v>small</v>
      </c>
      <c r="K6554" s="36">
        <v>44985</v>
      </c>
      <c r="L6554" s="36">
        <v>44988</v>
      </c>
      <c r="M6554" t="s">
        <v>612</v>
      </c>
      <c r="N6554" t="s">
        <v>608</v>
      </c>
      <c r="O6554" s="37" t="str">
        <f t="shared" si="513"/>
        <v>Cash Payment</v>
      </c>
      <c r="P6554">
        <v>475.13</v>
      </c>
      <c r="Q6554" s="37" t="str">
        <f>IF(P6554&gt;500,"High","low")</f>
        <v>low</v>
      </c>
      <c r="R6554" s="37" t="str">
        <f t="shared" si="514"/>
        <v>AVERAGE</v>
      </c>
      <c r="S6554" t="s">
        <v>605</v>
      </c>
    </row>
    <row r="6555" spans="1:19" x14ac:dyDescent="0.2">
      <c r="A6555" t="s">
        <v>7166</v>
      </c>
      <c r="B6555" t="s">
        <v>75</v>
      </c>
      <c r="C6555" t="s">
        <v>602</v>
      </c>
      <c r="D6555">
        <v>3345.33</v>
      </c>
      <c r="E6555" s="37" t="str">
        <f t="shared" si="510"/>
        <v xml:space="preserve"> </v>
      </c>
      <c r="F6555">
        <v>0.23</v>
      </c>
      <c r="G6555" s="37" t="str">
        <f t="shared" si="511"/>
        <v>Normal Discount</v>
      </c>
      <c r="H6555" s="37" t="str">
        <f t="shared" si="512"/>
        <v>Medium</v>
      </c>
      <c r="I6555">
        <v>7</v>
      </c>
      <c r="J6555" t="str" cm="1">
        <f t="array" ref="J6555">_xlfn.IFS(I6555&lt;=3,"small",I6555&lt;=6,"Medium",I6555&lt;=9,"Large")</f>
        <v>Large</v>
      </c>
      <c r="K6555" s="36">
        <v>45356</v>
      </c>
      <c r="L6555" s="36">
        <v>45361</v>
      </c>
      <c r="M6555" t="s">
        <v>598</v>
      </c>
      <c r="N6555" t="s">
        <v>599</v>
      </c>
      <c r="O6555" s="37" t="str">
        <f t="shared" si="513"/>
        <v>Digital Payment</v>
      </c>
      <c r="P6555">
        <v>645.19000000000005</v>
      </c>
      <c r="Q6555" s="37" t="str">
        <f>IF(P6555&gt;500,"High","low")</f>
        <v>High</v>
      </c>
      <c r="R6555" s="37" t="str">
        <f t="shared" si="514"/>
        <v>Good</v>
      </c>
      <c r="S6555" t="s">
        <v>609</v>
      </c>
    </row>
    <row r="6556" spans="1:19" x14ac:dyDescent="0.2">
      <c r="A6556" t="s">
        <v>7167</v>
      </c>
      <c r="B6556" t="s">
        <v>90</v>
      </c>
      <c r="C6556" t="s">
        <v>607</v>
      </c>
      <c r="D6556">
        <v>3129.7</v>
      </c>
      <c r="E6556" s="37" t="str">
        <f t="shared" si="510"/>
        <v xml:space="preserve"> </v>
      </c>
      <c r="F6556">
        <v>0.23</v>
      </c>
      <c r="G6556" s="37" t="str">
        <f t="shared" si="511"/>
        <v>Normal Discount</v>
      </c>
      <c r="H6556" s="37" t="str">
        <f t="shared" si="512"/>
        <v>Medium</v>
      </c>
      <c r="I6556">
        <v>9</v>
      </c>
      <c r="J6556" t="str" cm="1">
        <f t="array" ref="J6556">_xlfn.IFS(I6556&lt;=3,"small",I6556&lt;=6,"Medium",I6556&lt;=9,"Large")</f>
        <v>Large</v>
      </c>
      <c r="K6556" s="36">
        <v>45373</v>
      </c>
      <c r="L6556" s="36">
        <v>45380</v>
      </c>
      <c r="M6556" t="s">
        <v>612</v>
      </c>
      <c r="N6556" t="s">
        <v>599</v>
      </c>
      <c r="O6556" s="37" t="str">
        <f t="shared" si="513"/>
        <v>Digital Payment</v>
      </c>
      <c r="P6556">
        <v>820.44</v>
      </c>
      <c r="Q6556" s="37" t="str">
        <f>IF(P6556&gt;500,"High","low")</f>
        <v>High</v>
      </c>
      <c r="R6556" s="37" t="str">
        <f t="shared" si="514"/>
        <v>Good</v>
      </c>
      <c r="S6556" t="s">
        <v>609</v>
      </c>
    </row>
    <row r="6557" spans="1:19" x14ac:dyDescent="0.2">
      <c r="A6557" t="s">
        <v>7168</v>
      </c>
      <c r="B6557" t="s">
        <v>67</v>
      </c>
      <c r="C6557" t="s">
        <v>614</v>
      </c>
      <c r="D6557">
        <v>3356.55</v>
      </c>
      <c r="E6557" s="37" t="str">
        <f t="shared" si="510"/>
        <v xml:space="preserve"> </v>
      </c>
      <c r="F6557">
        <v>0.39</v>
      </c>
      <c r="G6557" s="37" t="str">
        <f t="shared" si="511"/>
        <v>Heavy Discount</v>
      </c>
      <c r="H6557" s="37" t="str">
        <f t="shared" si="512"/>
        <v>Medium</v>
      </c>
      <c r="I6557">
        <v>6</v>
      </c>
      <c r="J6557" t="str" cm="1">
        <f t="array" ref="J6557">_xlfn.IFS(I6557&lt;=3,"small",I6557&lt;=6,"Medium",I6557&lt;=9,"Large")</f>
        <v>Medium</v>
      </c>
      <c r="K6557" s="36">
        <v>45345</v>
      </c>
      <c r="L6557" s="36">
        <v>45350</v>
      </c>
      <c r="M6557" t="s">
        <v>612</v>
      </c>
      <c r="N6557" t="s">
        <v>604</v>
      </c>
      <c r="O6557" s="37" t="str">
        <f t="shared" si="513"/>
        <v>Digital Payment</v>
      </c>
      <c r="P6557">
        <v>431.29</v>
      </c>
      <c r="Q6557" s="37" t="str">
        <f>IF(P6557&gt;500,"High","low")</f>
        <v>low</v>
      </c>
      <c r="R6557" s="37" t="str">
        <f t="shared" si="514"/>
        <v>AVERAGE</v>
      </c>
      <c r="S6557" t="s">
        <v>609</v>
      </c>
    </row>
    <row r="6558" spans="1:19" x14ac:dyDescent="0.2">
      <c r="A6558" t="s">
        <v>7169</v>
      </c>
      <c r="B6558" t="s">
        <v>90</v>
      </c>
      <c r="C6558" t="s">
        <v>617</v>
      </c>
      <c r="D6558">
        <v>1619.45</v>
      </c>
      <c r="E6558" s="37" t="str">
        <f t="shared" si="510"/>
        <v xml:space="preserve"> </v>
      </c>
      <c r="F6558">
        <v>0.39</v>
      </c>
      <c r="G6558" s="37" t="str">
        <f t="shared" si="511"/>
        <v>Heavy Discount</v>
      </c>
      <c r="H6558" s="37" t="str">
        <f t="shared" si="512"/>
        <v>Medium</v>
      </c>
      <c r="I6558">
        <v>4</v>
      </c>
      <c r="J6558" t="str" cm="1">
        <f t="array" ref="J6558">_xlfn.IFS(I6558&lt;=3,"small",I6558&lt;=6,"Medium",I6558&lt;=9,"Large")</f>
        <v>Medium</v>
      </c>
      <c r="K6558" s="36">
        <v>45020</v>
      </c>
      <c r="L6558" s="36">
        <v>45022</v>
      </c>
      <c r="M6558" t="s">
        <v>612</v>
      </c>
      <c r="N6558" t="s">
        <v>608</v>
      </c>
      <c r="O6558" s="37" t="str">
        <f t="shared" si="513"/>
        <v>Cash Payment</v>
      </c>
      <c r="P6558">
        <v>169.13</v>
      </c>
      <c r="Q6558" s="37" t="str">
        <f>IF(P6558&gt;500,"High","low")</f>
        <v>low</v>
      </c>
      <c r="R6558" s="37" t="str">
        <f t="shared" si="514"/>
        <v>AVERAGE</v>
      </c>
      <c r="S6558" t="s">
        <v>609</v>
      </c>
    </row>
    <row r="6559" spans="1:19" x14ac:dyDescent="0.2">
      <c r="A6559" t="s">
        <v>7170</v>
      </c>
      <c r="B6559" t="s">
        <v>83</v>
      </c>
      <c r="C6559" t="s">
        <v>617</v>
      </c>
      <c r="D6559">
        <v>2286.06</v>
      </c>
      <c r="E6559" s="37" t="str">
        <f t="shared" si="510"/>
        <v xml:space="preserve"> </v>
      </c>
      <c r="F6559">
        <v>0.43</v>
      </c>
      <c r="G6559" s="37" t="str">
        <f t="shared" si="511"/>
        <v>Heavy Discount</v>
      </c>
      <c r="H6559" s="37" t="str">
        <f t="shared" si="512"/>
        <v>High</v>
      </c>
      <c r="I6559">
        <v>6</v>
      </c>
      <c r="J6559" t="str" cm="1">
        <f t="array" ref="J6559">_xlfn.IFS(I6559&lt;=3,"small",I6559&lt;=6,"Medium",I6559&lt;=9,"Large")</f>
        <v>Medium</v>
      </c>
      <c r="K6559" s="36">
        <v>45139</v>
      </c>
      <c r="L6559" s="36">
        <v>45143</v>
      </c>
      <c r="M6559" t="s">
        <v>603</v>
      </c>
      <c r="N6559" t="s">
        <v>604</v>
      </c>
      <c r="O6559" s="37" t="str">
        <f t="shared" si="513"/>
        <v>Digital Payment</v>
      </c>
      <c r="P6559">
        <v>198.99</v>
      </c>
      <c r="Q6559" s="37" t="str">
        <f>IF(P6559&gt;500,"High","low")</f>
        <v>low</v>
      </c>
      <c r="R6559" s="37" t="str">
        <f t="shared" si="514"/>
        <v>AVERAGE</v>
      </c>
      <c r="S6559" t="s">
        <v>620</v>
      </c>
    </row>
    <row r="6560" spans="1:19" x14ac:dyDescent="0.2">
      <c r="A6560" t="s">
        <v>7171</v>
      </c>
      <c r="B6560" t="s">
        <v>75</v>
      </c>
      <c r="C6560" t="s">
        <v>602</v>
      </c>
      <c r="D6560">
        <v>3376.66</v>
      </c>
      <c r="E6560" s="37" t="str">
        <f t="shared" si="510"/>
        <v xml:space="preserve"> </v>
      </c>
      <c r="F6560">
        <v>0.32</v>
      </c>
      <c r="G6560" s="37" t="str">
        <f t="shared" si="511"/>
        <v>Heavy Discount</v>
      </c>
      <c r="H6560" s="37" t="str">
        <f t="shared" si="512"/>
        <v>Medium</v>
      </c>
      <c r="I6560">
        <v>1</v>
      </c>
      <c r="J6560" t="str" cm="1">
        <f t="array" ref="J6560">_xlfn.IFS(I6560&lt;=3,"small",I6560&lt;=6,"Medium",I6560&lt;=9,"Large")</f>
        <v>small</v>
      </c>
      <c r="K6560" s="36">
        <v>45496</v>
      </c>
      <c r="L6560" s="36">
        <v>45498</v>
      </c>
      <c r="M6560" t="s">
        <v>598</v>
      </c>
      <c r="N6560" t="s">
        <v>599</v>
      </c>
      <c r="O6560" s="37" t="str">
        <f t="shared" si="513"/>
        <v>Digital Payment</v>
      </c>
      <c r="P6560">
        <v>275.64999999999998</v>
      </c>
      <c r="Q6560" s="37" t="str">
        <f>IF(P6560&gt;500,"High","low")</f>
        <v>low</v>
      </c>
      <c r="R6560" s="37" t="str">
        <f t="shared" si="514"/>
        <v>AVERAGE</v>
      </c>
      <c r="S6560" t="s">
        <v>609</v>
      </c>
    </row>
    <row r="6561" spans="1:19" x14ac:dyDescent="0.2">
      <c r="A6561" t="s">
        <v>7172</v>
      </c>
      <c r="B6561" t="s">
        <v>90</v>
      </c>
      <c r="C6561" t="s">
        <v>607</v>
      </c>
      <c r="D6561">
        <v>3796.41</v>
      </c>
      <c r="E6561" s="37" t="str">
        <f t="shared" si="510"/>
        <v xml:space="preserve"> </v>
      </c>
      <c r="F6561">
        <v>0.09</v>
      </c>
      <c r="G6561" s="37" t="str">
        <f t="shared" si="511"/>
        <v>Normal Discount</v>
      </c>
      <c r="H6561" s="37" t="str">
        <f t="shared" si="512"/>
        <v>Low</v>
      </c>
      <c r="I6561">
        <v>6</v>
      </c>
      <c r="J6561" t="str" cm="1">
        <f t="array" ref="J6561">_xlfn.IFS(I6561&lt;=3,"small",I6561&lt;=6,"Medium",I6561&lt;=9,"Large")</f>
        <v>Medium</v>
      </c>
      <c r="K6561" s="36">
        <v>45655</v>
      </c>
      <c r="L6561" s="36">
        <v>45656</v>
      </c>
      <c r="M6561" t="s">
        <v>603</v>
      </c>
      <c r="N6561" t="s">
        <v>604</v>
      </c>
      <c r="O6561" s="37" t="str">
        <f t="shared" si="513"/>
        <v>Digital Payment</v>
      </c>
      <c r="P6561">
        <v>1036.0999999999999</v>
      </c>
      <c r="Q6561" s="37" t="str">
        <f>IF(P6561&gt;500,"High","low")</f>
        <v>High</v>
      </c>
      <c r="R6561" s="37" t="str">
        <f t="shared" si="514"/>
        <v>Excellent</v>
      </c>
      <c r="S6561" t="s">
        <v>609</v>
      </c>
    </row>
    <row r="6562" spans="1:19" x14ac:dyDescent="0.2">
      <c r="A6562" t="s">
        <v>7173</v>
      </c>
      <c r="B6562" t="s">
        <v>83</v>
      </c>
      <c r="C6562" t="s">
        <v>602</v>
      </c>
      <c r="D6562">
        <v>2227.3200000000002</v>
      </c>
      <c r="E6562" s="37" t="str">
        <f t="shared" si="510"/>
        <v xml:space="preserve"> </v>
      </c>
      <c r="F6562">
        <v>0.27</v>
      </c>
      <c r="G6562" s="37" t="str">
        <f t="shared" si="511"/>
        <v>Normal Discount</v>
      </c>
      <c r="H6562" s="37" t="str">
        <f t="shared" si="512"/>
        <v>Medium</v>
      </c>
      <c r="I6562">
        <v>4</v>
      </c>
      <c r="J6562" t="str" cm="1">
        <f t="array" ref="J6562">_xlfn.IFS(I6562&lt;=3,"small",I6562&lt;=6,"Medium",I6562&lt;=9,"Large")</f>
        <v>Medium</v>
      </c>
      <c r="K6562" s="36">
        <v>45579</v>
      </c>
      <c r="L6562" s="36">
        <v>45582</v>
      </c>
      <c r="M6562" t="s">
        <v>603</v>
      </c>
      <c r="N6562" t="s">
        <v>604</v>
      </c>
      <c r="O6562" s="37" t="str">
        <f t="shared" si="513"/>
        <v>Digital Payment</v>
      </c>
      <c r="P6562">
        <v>434.07</v>
      </c>
      <c r="Q6562" s="37" t="str">
        <f>IF(P6562&gt;500,"High","low")</f>
        <v>low</v>
      </c>
      <c r="R6562" s="37" t="str">
        <f t="shared" si="514"/>
        <v>AVERAGE</v>
      </c>
      <c r="S6562" t="s">
        <v>600</v>
      </c>
    </row>
    <row r="6563" spans="1:19" x14ac:dyDescent="0.2">
      <c r="A6563" t="s">
        <v>7174</v>
      </c>
      <c r="B6563" t="s">
        <v>75</v>
      </c>
      <c r="C6563" t="s">
        <v>597</v>
      </c>
      <c r="D6563">
        <v>1890.13</v>
      </c>
      <c r="E6563" s="37" t="str">
        <f t="shared" si="510"/>
        <v xml:space="preserve"> </v>
      </c>
      <c r="F6563">
        <v>0.19</v>
      </c>
      <c r="G6563" s="37" t="str">
        <f t="shared" si="511"/>
        <v>Normal Discount</v>
      </c>
      <c r="H6563" s="37" t="str">
        <f t="shared" si="512"/>
        <v>Low</v>
      </c>
      <c r="I6563">
        <v>3</v>
      </c>
      <c r="J6563" t="str" cm="1">
        <f t="array" ref="J6563">_xlfn.IFS(I6563&lt;=3,"small",I6563&lt;=6,"Medium",I6563&lt;=9,"Large")</f>
        <v>small</v>
      </c>
      <c r="K6563" s="36">
        <v>45138</v>
      </c>
      <c r="L6563" s="36">
        <v>45144</v>
      </c>
      <c r="M6563" t="s">
        <v>598</v>
      </c>
      <c r="N6563" t="s">
        <v>608</v>
      </c>
      <c r="O6563" s="37" t="str">
        <f t="shared" si="513"/>
        <v>Cash Payment</v>
      </c>
      <c r="P6563">
        <v>347.84</v>
      </c>
      <c r="Q6563" s="37" t="str">
        <f>IF(P6563&gt;500,"High","low")</f>
        <v>low</v>
      </c>
      <c r="R6563" s="37" t="str">
        <f t="shared" si="514"/>
        <v>AVERAGE</v>
      </c>
      <c r="S6563" t="s">
        <v>609</v>
      </c>
    </row>
    <row r="6564" spans="1:19" x14ac:dyDescent="0.2">
      <c r="A6564" t="s">
        <v>7175</v>
      </c>
      <c r="B6564" t="s">
        <v>90</v>
      </c>
      <c r="C6564" t="s">
        <v>617</v>
      </c>
      <c r="D6564">
        <v>3607.83</v>
      </c>
      <c r="E6564" s="37" t="str">
        <f t="shared" si="510"/>
        <v xml:space="preserve"> </v>
      </c>
      <c r="F6564">
        <v>0.01</v>
      </c>
      <c r="G6564" s="37" t="str">
        <f t="shared" si="511"/>
        <v>Normal Discount</v>
      </c>
      <c r="H6564" s="37" t="str">
        <f t="shared" si="512"/>
        <v>Low</v>
      </c>
      <c r="I6564">
        <v>6</v>
      </c>
      <c r="J6564" t="str" cm="1">
        <f t="array" ref="J6564">_xlfn.IFS(I6564&lt;=3,"small",I6564&lt;=6,"Medium",I6564&lt;=9,"Large")</f>
        <v>Medium</v>
      </c>
      <c r="K6564" s="36">
        <v>45059</v>
      </c>
      <c r="L6564" s="36">
        <v>45060</v>
      </c>
      <c r="M6564" t="s">
        <v>612</v>
      </c>
      <c r="N6564" t="s">
        <v>599</v>
      </c>
      <c r="O6564" s="37" t="str">
        <f t="shared" si="513"/>
        <v>Digital Payment</v>
      </c>
      <c r="P6564">
        <v>336.3</v>
      </c>
      <c r="Q6564" s="37" t="str">
        <f>IF(P6564&gt;500,"High","low")</f>
        <v>low</v>
      </c>
      <c r="R6564" s="37" t="str">
        <f t="shared" si="514"/>
        <v>AVERAGE</v>
      </c>
      <c r="S6564" t="s">
        <v>615</v>
      </c>
    </row>
    <row r="6565" spans="1:19" x14ac:dyDescent="0.2">
      <c r="A6565" t="s">
        <v>7176</v>
      </c>
      <c r="B6565" t="s">
        <v>90</v>
      </c>
      <c r="C6565" t="s">
        <v>614</v>
      </c>
      <c r="D6565">
        <v>1188.6500000000001</v>
      </c>
      <c r="E6565" s="37" t="str">
        <f t="shared" si="510"/>
        <v xml:space="preserve"> </v>
      </c>
      <c r="F6565">
        <v>0.1</v>
      </c>
      <c r="G6565" s="37" t="str">
        <f t="shared" si="511"/>
        <v>Normal Discount</v>
      </c>
      <c r="H6565" s="37" t="str">
        <f t="shared" si="512"/>
        <v>Low</v>
      </c>
      <c r="I6565">
        <v>9</v>
      </c>
      <c r="J6565" t="str" cm="1">
        <f t="array" ref="J6565">_xlfn.IFS(I6565&lt;=3,"small",I6565&lt;=6,"Medium",I6565&lt;=9,"Large")</f>
        <v>Large</v>
      </c>
      <c r="K6565" s="36">
        <v>45092</v>
      </c>
      <c r="L6565" s="36">
        <v>45097</v>
      </c>
      <c r="M6565" t="s">
        <v>598</v>
      </c>
      <c r="N6565" t="s">
        <v>608</v>
      </c>
      <c r="O6565" s="37" t="str">
        <f t="shared" si="513"/>
        <v>Cash Payment</v>
      </c>
      <c r="P6565">
        <v>177.44</v>
      </c>
      <c r="Q6565" s="37" t="str">
        <f>IF(P6565&gt;500,"High","low")</f>
        <v>low</v>
      </c>
      <c r="R6565" s="37" t="str">
        <f t="shared" si="514"/>
        <v>AVERAGE</v>
      </c>
      <c r="S6565" t="s">
        <v>609</v>
      </c>
    </row>
    <row r="6566" spans="1:19" x14ac:dyDescent="0.2">
      <c r="A6566" t="s">
        <v>7177</v>
      </c>
      <c r="B6566" t="s">
        <v>83</v>
      </c>
      <c r="C6566" t="s">
        <v>614</v>
      </c>
      <c r="D6566">
        <v>146.51</v>
      </c>
      <c r="E6566" s="37" t="str">
        <f t="shared" si="510"/>
        <v xml:space="preserve"> </v>
      </c>
      <c r="F6566">
        <v>0.1</v>
      </c>
      <c r="G6566" s="37" t="str">
        <f t="shared" si="511"/>
        <v>Normal Discount</v>
      </c>
      <c r="H6566" s="37" t="str">
        <f t="shared" si="512"/>
        <v>Low</v>
      </c>
      <c r="I6566">
        <v>8</v>
      </c>
      <c r="J6566" t="str" cm="1">
        <f t="array" ref="J6566">_xlfn.IFS(I6566&lt;=3,"small",I6566&lt;=6,"Medium",I6566&lt;=9,"Large")</f>
        <v>Large</v>
      </c>
      <c r="K6566" s="36">
        <v>45158</v>
      </c>
      <c r="L6566" s="36">
        <v>45159</v>
      </c>
      <c r="M6566" t="s">
        <v>598</v>
      </c>
      <c r="N6566" t="s">
        <v>604</v>
      </c>
      <c r="O6566" s="37" t="str">
        <f t="shared" si="513"/>
        <v>Digital Payment</v>
      </c>
      <c r="P6566">
        <v>43.6</v>
      </c>
      <c r="Q6566" s="37" t="str">
        <f>IF(P6566&gt;500,"High","low")</f>
        <v>low</v>
      </c>
      <c r="R6566" s="37" t="str">
        <f t="shared" si="514"/>
        <v>AVERAGE</v>
      </c>
      <c r="S6566" t="s">
        <v>600</v>
      </c>
    </row>
    <row r="6567" spans="1:19" x14ac:dyDescent="0.2">
      <c r="A6567" t="s">
        <v>7178</v>
      </c>
      <c r="B6567" t="s">
        <v>75</v>
      </c>
      <c r="C6567" t="s">
        <v>614</v>
      </c>
      <c r="D6567">
        <v>2408.71</v>
      </c>
      <c r="E6567" s="37" t="str">
        <f t="shared" si="510"/>
        <v xml:space="preserve"> </v>
      </c>
      <c r="F6567">
        <v>0.04</v>
      </c>
      <c r="G6567" s="37" t="str">
        <f t="shared" si="511"/>
        <v>Normal Discount</v>
      </c>
      <c r="H6567" s="37" t="str">
        <f t="shared" si="512"/>
        <v>Low</v>
      </c>
      <c r="I6567">
        <v>8</v>
      </c>
      <c r="J6567" t="str" cm="1">
        <f t="array" ref="J6567">_xlfn.IFS(I6567&lt;=3,"small",I6567&lt;=6,"Medium",I6567&lt;=9,"Large")</f>
        <v>Large</v>
      </c>
      <c r="K6567" s="36">
        <v>44951</v>
      </c>
      <c r="L6567" s="36">
        <v>44956</v>
      </c>
      <c r="M6567" t="s">
        <v>612</v>
      </c>
      <c r="N6567" t="s">
        <v>608</v>
      </c>
      <c r="O6567" s="37" t="str">
        <f t="shared" si="513"/>
        <v>Cash Payment</v>
      </c>
      <c r="P6567">
        <v>410.83</v>
      </c>
      <c r="Q6567" s="37" t="str">
        <f>IF(P6567&gt;500,"High","low")</f>
        <v>low</v>
      </c>
      <c r="R6567" s="37" t="str">
        <f t="shared" si="514"/>
        <v>AVERAGE</v>
      </c>
      <c r="S6567" t="s">
        <v>620</v>
      </c>
    </row>
    <row r="6568" spans="1:19" x14ac:dyDescent="0.2">
      <c r="A6568" t="s">
        <v>7179</v>
      </c>
      <c r="B6568" t="s">
        <v>75</v>
      </c>
      <c r="C6568" t="s">
        <v>617</v>
      </c>
      <c r="D6568">
        <v>949.53</v>
      </c>
      <c r="E6568" s="37" t="str">
        <f t="shared" si="510"/>
        <v xml:space="preserve"> </v>
      </c>
      <c r="F6568">
        <v>0.23</v>
      </c>
      <c r="G6568" s="37" t="str">
        <f t="shared" si="511"/>
        <v>Normal Discount</v>
      </c>
      <c r="H6568" s="37" t="str">
        <f t="shared" si="512"/>
        <v>Medium</v>
      </c>
      <c r="I6568">
        <v>9</v>
      </c>
      <c r="J6568" t="str" cm="1">
        <f t="array" ref="J6568">_xlfn.IFS(I6568&lt;=3,"small",I6568&lt;=6,"Medium",I6568&lt;=9,"Large")</f>
        <v>Large</v>
      </c>
      <c r="K6568" s="36">
        <v>45325</v>
      </c>
      <c r="L6568" s="36">
        <v>45328</v>
      </c>
      <c r="M6568" t="s">
        <v>598</v>
      </c>
      <c r="N6568" t="s">
        <v>608</v>
      </c>
      <c r="O6568" s="37" t="str">
        <f t="shared" si="513"/>
        <v>Cash Payment</v>
      </c>
      <c r="P6568">
        <v>60.35</v>
      </c>
      <c r="Q6568" s="37" t="str">
        <f>IF(P6568&gt;500,"High","low")</f>
        <v>low</v>
      </c>
      <c r="R6568" s="37" t="str">
        <f t="shared" si="514"/>
        <v>AVERAGE</v>
      </c>
      <c r="S6568" t="s">
        <v>615</v>
      </c>
    </row>
    <row r="6569" spans="1:19" x14ac:dyDescent="0.2">
      <c r="A6569" t="s">
        <v>7180</v>
      </c>
      <c r="B6569" t="s">
        <v>90</v>
      </c>
      <c r="C6569" t="s">
        <v>607</v>
      </c>
      <c r="D6569">
        <v>1953.59</v>
      </c>
      <c r="E6569" s="37" t="str">
        <f t="shared" si="510"/>
        <v xml:space="preserve"> </v>
      </c>
      <c r="F6569">
        <v>0.25</v>
      </c>
      <c r="G6569" s="37" t="str">
        <f t="shared" si="511"/>
        <v>Normal Discount</v>
      </c>
      <c r="H6569" s="37" t="str">
        <f t="shared" si="512"/>
        <v>Medium</v>
      </c>
      <c r="I6569">
        <v>6</v>
      </c>
      <c r="J6569" t="str" cm="1">
        <f t="array" ref="J6569">_xlfn.IFS(I6569&lt;=3,"small",I6569&lt;=6,"Medium",I6569&lt;=9,"Large")</f>
        <v>Medium</v>
      </c>
      <c r="K6569" s="36">
        <v>45638</v>
      </c>
      <c r="L6569" s="36">
        <v>45643</v>
      </c>
      <c r="M6569" t="s">
        <v>612</v>
      </c>
      <c r="N6569" t="s">
        <v>599</v>
      </c>
      <c r="O6569" s="37" t="str">
        <f t="shared" si="513"/>
        <v>Digital Payment</v>
      </c>
      <c r="P6569">
        <v>292.13</v>
      </c>
      <c r="Q6569" s="37" t="str">
        <f>IF(P6569&gt;500,"High","low")</f>
        <v>low</v>
      </c>
      <c r="R6569" s="37" t="str">
        <f t="shared" si="514"/>
        <v>AVERAGE</v>
      </c>
      <c r="S6569" t="s">
        <v>600</v>
      </c>
    </row>
    <row r="6570" spans="1:19" x14ac:dyDescent="0.2">
      <c r="A6570" t="s">
        <v>7181</v>
      </c>
      <c r="B6570" t="s">
        <v>90</v>
      </c>
      <c r="C6570" t="s">
        <v>617</v>
      </c>
      <c r="D6570">
        <v>1527.05</v>
      </c>
      <c r="E6570" s="37" t="str">
        <f t="shared" si="510"/>
        <v xml:space="preserve"> </v>
      </c>
      <c r="F6570">
        <v>0.17</v>
      </c>
      <c r="G6570" s="37" t="str">
        <f t="shared" si="511"/>
        <v>Normal Discount</v>
      </c>
      <c r="H6570" s="37" t="str">
        <f t="shared" si="512"/>
        <v>Low</v>
      </c>
      <c r="I6570">
        <v>8</v>
      </c>
      <c r="J6570" t="str" cm="1">
        <f t="array" ref="J6570">_xlfn.IFS(I6570&lt;=3,"small",I6570&lt;=6,"Medium",I6570&lt;=9,"Large")</f>
        <v>Large</v>
      </c>
      <c r="K6570" s="36">
        <v>44974</v>
      </c>
      <c r="L6570" s="36">
        <v>44977</v>
      </c>
      <c r="M6570" t="s">
        <v>612</v>
      </c>
      <c r="N6570" t="s">
        <v>608</v>
      </c>
      <c r="O6570" s="37" t="str">
        <f t="shared" si="513"/>
        <v>Cash Payment</v>
      </c>
      <c r="P6570">
        <v>97.01</v>
      </c>
      <c r="Q6570" s="37" t="str">
        <f>IF(P6570&gt;500,"High","low")</f>
        <v>low</v>
      </c>
      <c r="R6570" s="37" t="str">
        <f t="shared" si="514"/>
        <v>AVERAGE</v>
      </c>
      <c r="S6570" t="s">
        <v>605</v>
      </c>
    </row>
    <row r="6571" spans="1:19" x14ac:dyDescent="0.2">
      <c r="A6571" t="s">
        <v>7182</v>
      </c>
      <c r="B6571" t="s">
        <v>90</v>
      </c>
      <c r="C6571" t="s">
        <v>617</v>
      </c>
      <c r="D6571">
        <v>3908.58</v>
      </c>
      <c r="E6571" s="37" t="str">
        <f t="shared" si="510"/>
        <v xml:space="preserve"> </v>
      </c>
      <c r="F6571">
        <v>0.21</v>
      </c>
      <c r="G6571" s="37" t="str">
        <f t="shared" si="511"/>
        <v>Normal Discount</v>
      </c>
      <c r="H6571" s="37" t="str">
        <f t="shared" si="512"/>
        <v>Medium</v>
      </c>
      <c r="I6571">
        <v>7</v>
      </c>
      <c r="J6571" t="str" cm="1">
        <f t="array" ref="J6571">_xlfn.IFS(I6571&lt;=3,"small",I6571&lt;=6,"Medium",I6571&lt;=9,"Large")</f>
        <v>Large</v>
      </c>
      <c r="K6571" s="36">
        <v>44978</v>
      </c>
      <c r="L6571" s="36">
        <v>44985</v>
      </c>
      <c r="M6571" t="s">
        <v>612</v>
      </c>
      <c r="N6571" t="s">
        <v>604</v>
      </c>
      <c r="O6571" s="37" t="str">
        <f t="shared" si="513"/>
        <v>Digital Payment</v>
      </c>
      <c r="P6571">
        <v>831.69</v>
      </c>
      <c r="Q6571" s="37" t="str">
        <f>IF(P6571&gt;500,"High","low")</f>
        <v>High</v>
      </c>
      <c r="R6571" s="37" t="str">
        <f t="shared" si="514"/>
        <v>Good</v>
      </c>
      <c r="S6571" t="s">
        <v>620</v>
      </c>
    </row>
    <row r="6572" spans="1:19" x14ac:dyDescent="0.2">
      <c r="A6572" t="s">
        <v>7183</v>
      </c>
      <c r="B6572" t="s">
        <v>75</v>
      </c>
      <c r="C6572" t="s">
        <v>614</v>
      </c>
      <c r="D6572">
        <v>1723.9</v>
      </c>
      <c r="E6572" s="37" t="str">
        <f t="shared" si="510"/>
        <v xml:space="preserve"> </v>
      </c>
      <c r="F6572">
        <v>0.27</v>
      </c>
      <c r="G6572" s="37" t="str">
        <f t="shared" si="511"/>
        <v>Normal Discount</v>
      </c>
      <c r="H6572" s="37" t="str">
        <f t="shared" si="512"/>
        <v>Medium</v>
      </c>
      <c r="I6572">
        <v>1</v>
      </c>
      <c r="J6572" t="str" cm="1">
        <f t="array" ref="J6572">_xlfn.IFS(I6572&lt;=3,"small",I6572&lt;=6,"Medium",I6572&lt;=9,"Large")</f>
        <v>small</v>
      </c>
      <c r="K6572" s="36">
        <v>44986</v>
      </c>
      <c r="L6572" s="36">
        <v>44990</v>
      </c>
      <c r="M6572" t="s">
        <v>598</v>
      </c>
      <c r="N6572" t="s">
        <v>608</v>
      </c>
      <c r="O6572" s="37" t="str">
        <f t="shared" si="513"/>
        <v>Cash Payment</v>
      </c>
      <c r="P6572">
        <v>266.92</v>
      </c>
      <c r="Q6572" s="37" t="str">
        <f>IF(P6572&gt;500,"High","low")</f>
        <v>low</v>
      </c>
      <c r="R6572" s="37" t="str">
        <f t="shared" si="514"/>
        <v>AVERAGE</v>
      </c>
      <c r="S6572" t="s">
        <v>605</v>
      </c>
    </row>
    <row r="6573" spans="1:19" x14ac:dyDescent="0.2">
      <c r="A6573" t="s">
        <v>7184</v>
      </c>
      <c r="B6573" t="s">
        <v>83</v>
      </c>
      <c r="C6573" t="s">
        <v>617</v>
      </c>
      <c r="D6573">
        <v>3239.31</v>
      </c>
      <c r="E6573" s="37" t="str">
        <f t="shared" si="510"/>
        <v xml:space="preserve"> </v>
      </c>
      <c r="F6573">
        <v>0.06</v>
      </c>
      <c r="G6573" s="37" t="str">
        <f t="shared" si="511"/>
        <v>Normal Discount</v>
      </c>
      <c r="H6573" s="37" t="str">
        <f t="shared" si="512"/>
        <v>Low</v>
      </c>
      <c r="I6573">
        <v>6</v>
      </c>
      <c r="J6573" t="str" cm="1">
        <f t="array" ref="J6573">_xlfn.IFS(I6573&lt;=3,"small",I6573&lt;=6,"Medium",I6573&lt;=9,"Large")</f>
        <v>Medium</v>
      </c>
      <c r="K6573" s="36">
        <v>45399</v>
      </c>
      <c r="L6573" s="36">
        <v>45406</v>
      </c>
      <c r="M6573" t="s">
        <v>612</v>
      </c>
      <c r="N6573" t="s">
        <v>604</v>
      </c>
      <c r="O6573" s="37" t="str">
        <f t="shared" si="513"/>
        <v>Digital Payment</v>
      </c>
      <c r="P6573">
        <v>285.20999999999998</v>
      </c>
      <c r="Q6573" s="37" t="str">
        <f>IF(P6573&gt;500,"High","low")</f>
        <v>low</v>
      </c>
      <c r="R6573" s="37" t="str">
        <f t="shared" si="514"/>
        <v>AVERAGE</v>
      </c>
      <c r="S6573" t="s">
        <v>615</v>
      </c>
    </row>
    <row r="6574" spans="1:19" x14ac:dyDescent="0.2">
      <c r="A6574" t="s">
        <v>7185</v>
      </c>
      <c r="B6574" t="s">
        <v>83</v>
      </c>
      <c r="C6574" t="s">
        <v>614</v>
      </c>
      <c r="D6574">
        <v>3402.17</v>
      </c>
      <c r="E6574" s="37" t="str">
        <f t="shared" si="510"/>
        <v xml:space="preserve"> </v>
      </c>
      <c r="F6574">
        <v>0.28000000000000003</v>
      </c>
      <c r="G6574" s="37" t="str">
        <f t="shared" si="511"/>
        <v>Normal Discount</v>
      </c>
      <c r="H6574" s="37" t="str">
        <f t="shared" si="512"/>
        <v>Medium</v>
      </c>
      <c r="I6574">
        <v>4</v>
      </c>
      <c r="J6574" t="str" cm="1">
        <f t="array" ref="J6574">_xlfn.IFS(I6574&lt;=3,"small",I6574&lt;=6,"Medium",I6574&lt;=9,"Large")</f>
        <v>Medium</v>
      </c>
      <c r="K6574" s="36">
        <v>45379</v>
      </c>
      <c r="L6574" s="36">
        <v>45383</v>
      </c>
      <c r="M6574" t="s">
        <v>603</v>
      </c>
      <c r="N6574" t="s">
        <v>608</v>
      </c>
      <c r="O6574" s="37" t="str">
        <f t="shared" si="513"/>
        <v>Cash Payment</v>
      </c>
      <c r="P6574">
        <v>890.58</v>
      </c>
      <c r="Q6574" s="37" t="str">
        <f>IF(P6574&gt;500,"High","low")</f>
        <v>High</v>
      </c>
      <c r="R6574" s="37" t="str">
        <f t="shared" si="514"/>
        <v>Good</v>
      </c>
      <c r="S6574" t="s">
        <v>600</v>
      </c>
    </row>
    <row r="6575" spans="1:19" x14ac:dyDescent="0.2">
      <c r="A6575" t="s">
        <v>7186</v>
      </c>
      <c r="B6575" t="s">
        <v>75</v>
      </c>
      <c r="C6575" t="s">
        <v>607</v>
      </c>
      <c r="D6575">
        <v>2336.63</v>
      </c>
      <c r="E6575" s="37" t="str">
        <f t="shared" si="510"/>
        <v xml:space="preserve"> </v>
      </c>
      <c r="F6575">
        <v>0.35</v>
      </c>
      <c r="G6575" s="37" t="str">
        <f t="shared" si="511"/>
        <v>Heavy Discount</v>
      </c>
      <c r="H6575" s="37" t="str">
        <f t="shared" si="512"/>
        <v>Medium</v>
      </c>
      <c r="I6575">
        <v>3</v>
      </c>
      <c r="J6575" t="str" cm="1">
        <f t="array" ref="J6575">_xlfn.IFS(I6575&lt;=3,"small",I6575&lt;=6,"Medium",I6575&lt;=9,"Large")</f>
        <v>small</v>
      </c>
      <c r="K6575" s="36">
        <v>45463</v>
      </c>
      <c r="L6575" s="36">
        <v>45466</v>
      </c>
      <c r="M6575" t="s">
        <v>598</v>
      </c>
      <c r="N6575" t="s">
        <v>608</v>
      </c>
      <c r="O6575" s="37" t="str">
        <f t="shared" si="513"/>
        <v>Cash Payment</v>
      </c>
      <c r="P6575">
        <v>461.34</v>
      </c>
      <c r="Q6575" s="37" t="str">
        <f>IF(P6575&gt;500,"High","low")</f>
        <v>low</v>
      </c>
      <c r="R6575" s="37" t="str">
        <f t="shared" si="514"/>
        <v>AVERAGE</v>
      </c>
      <c r="S6575" t="s">
        <v>615</v>
      </c>
    </row>
    <row r="6576" spans="1:19" x14ac:dyDescent="0.2">
      <c r="A6576" t="s">
        <v>7187</v>
      </c>
      <c r="B6576" t="s">
        <v>67</v>
      </c>
      <c r="C6576" t="s">
        <v>597</v>
      </c>
      <c r="D6576">
        <v>497.28</v>
      </c>
      <c r="E6576" s="37" t="str">
        <f t="shared" si="510"/>
        <v xml:space="preserve"> </v>
      </c>
      <c r="F6576">
        <v>0.44</v>
      </c>
      <c r="G6576" s="37" t="str">
        <f t="shared" si="511"/>
        <v>Heavy Discount</v>
      </c>
      <c r="H6576" s="37" t="str">
        <f t="shared" si="512"/>
        <v>High</v>
      </c>
      <c r="I6576">
        <v>3</v>
      </c>
      <c r="J6576" t="str" cm="1">
        <f t="array" ref="J6576">_xlfn.IFS(I6576&lt;=3,"small",I6576&lt;=6,"Medium",I6576&lt;=9,"Large")</f>
        <v>small</v>
      </c>
      <c r="K6576" s="36">
        <v>45109</v>
      </c>
      <c r="L6576" s="36">
        <v>45111</v>
      </c>
      <c r="M6576" t="s">
        <v>603</v>
      </c>
      <c r="N6576" t="s">
        <v>608</v>
      </c>
      <c r="O6576" s="37" t="str">
        <f t="shared" si="513"/>
        <v>Cash Payment</v>
      </c>
      <c r="P6576">
        <v>85.18</v>
      </c>
      <c r="Q6576" s="37" t="str">
        <f>IF(P6576&gt;500,"High","low")</f>
        <v>low</v>
      </c>
      <c r="R6576" s="37" t="str">
        <f t="shared" si="514"/>
        <v>AVERAGE</v>
      </c>
      <c r="S6576" t="s">
        <v>609</v>
      </c>
    </row>
    <row r="6577" spans="1:19" x14ac:dyDescent="0.2">
      <c r="A6577" t="s">
        <v>7188</v>
      </c>
      <c r="B6577" t="s">
        <v>83</v>
      </c>
      <c r="C6577" t="s">
        <v>614</v>
      </c>
      <c r="D6577">
        <v>3531.79</v>
      </c>
      <c r="E6577" s="37" t="str">
        <f t="shared" si="510"/>
        <v xml:space="preserve"> </v>
      </c>
      <c r="F6577">
        <v>0.15</v>
      </c>
      <c r="G6577" s="37" t="str">
        <f t="shared" si="511"/>
        <v>Normal Discount</v>
      </c>
      <c r="H6577" s="37" t="str">
        <f t="shared" si="512"/>
        <v>Low</v>
      </c>
      <c r="I6577">
        <v>8</v>
      </c>
      <c r="J6577" t="str" cm="1">
        <f t="array" ref="J6577">_xlfn.IFS(I6577&lt;=3,"small",I6577&lt;=6,"Medium",I6577&lt;=9,"Large")</f>
        <v>Large</v>
      </c>
      <c r="K6577" s="36">
        <v>45165</v>
      </c>
      <c r="L6577" s="36">
        <v>45172</v>
      </c>
      <c r="M6577" t="s">
        <v>603</v>
      </c>
      <c r="N6577" t="s">
        <v>599</v>
      </c>
      <c r="O6577" s="37" t="str">
        <f t="shared" si="513"/>
        <v>Digital Payment</v>
      </c>
      <c r="P6577">
        <v>875.9</v>
      </c>
      <c r="Q6577" s="37" t="str">
        <f>IF(P6577&gt;500,"High","low")</f>
        <v>High</v>
      </c>
      <c r="R6577" s="37" t="str">
        <f t="shared" si="514"/>
        <v>Good</v>
      </c>
      <c r="S6577" t="s">
        <v>605</v>
      </c>
    </row>
    <row r="6578" spans="1:19" x14ac:dyDescent="0.2">
      <c r="A6578" t="s">
        <v>7189</v>
      </c>
      <c r="B6578" t="s">
        <v>90</v>
      </c>
      <c r="C6578" t="s">
        <v>602</v>
      </c>
      <c r="D6578">
        <v>468.32</v>
      </c>
      <c r="E6578" s="37" t="str">
        <f t="shared" si="510"/>
        <v xml:space="preserve"> </v>
      </c>
      <c r="F6578">
        <v>0.37</v>
      </c>
      <c r="G6578" s="37" t="str">
        <f t="shared" si="511"/>
        <v>Heavy Discount</v>
      </c>
      <c r="H6578" s="37" t="str">
        <f t="shared" si="512"/>
        <v>Medium</v>
      </c>
      <c r="I6578">
        <v>1</v>
      </c>
      <c r="J6578" t="str" cm="1">
        <f t="array" ref="J6578">_xlfn.IFS(I6578&lt;=3,"small",I6578&lt;=6,"Medium",I6578&lt;=9,"Large")</f>
        <v>small</v>
      </c>
      <c r="K6578" s="36">
        <v>44990</v>
      </c>
      <c r="L6578" s="36">
        <v>44997</v>
      </c>
      <c r="M6578" t="s">
        <v>603</v>
      </c>
      <c r="N6578" t="s">
        <v>608</v>
      </c>
      <c r="O6578" s="37" t="str">
        <f t="shared" si="513"/>
        <v>Cash Payment</v>
      </c>
      <c r="P6578">
        <v>90.62</v>
      </c>
      <c r="Q6578" s="37" t="str">
        <f>IF(P6578&gt;500,"High","low")</f>
        <v>low</v>
      </c>
      <c r="R6578" s="37" t="str">
        <f t="shared" si="514"/>
        <v>AVERAGE</v>
      </c>
      <c r="S6578" t="s">
        <v>615</v>
      </c>
    </row>
    <row r="6579" spans="1:19" x14ac:dyDescent="0.2">
      <c r="A6579" t="s">
        <v>7190</v>
      </c>
      <c r="B6579" t="s">
        <v>67</v>
      </c>
      <c r="C6579" t="s">
        <v>597</v>
      </c>
      <c r="D6579">
        <v>586.14</v>
      </c>
      <c r="E6579" s="37" t="str">
        <f t="shared" si="510"/>
        <v xml:space="preserve"> </v>
      </c>
      <c r="F6579">
        <v>0.3</v>
      </c>
      <c r="G6579" s="37" t="str">
        <f t="shared" si="511"/>
        <v>Normal Discount</v>
      </c>
      <c r="H6579" s="37" t="str">
        <f t="shared" si="512"/>
        <v>Medium</v>
      </c>
      <c r="I6579">
        <v>7</v>
      </c>
      <c r="J6579" t="str" cm="1">
        <f t="array" ref="J6579">_xlfn.IFS(I6579&lt;=3,"small",I6579&lt;=6,"Medium",I6579&lt;=9,"Large")</f>
        <v>Large</v>
      </c>
      <c r="K6579" s="36">
        <v>45247</v>
      </c>
      <c r="L6579" s="36">
        <v>45250</v>
      </c>
      <c r="M6579" t="s">
        <v>598</v>
      </c>
      <c r="N6579" t="s">
        <v>604</v>
      </c>
      <c r="O6579" s="37" t="str">
        <f t="shared" si="513"/>
        <v>Digital Payment</v>
      </c>
      <c r="P6579">
        <v>38.869999999999997</v>
      </c>
      <c r="Q6579" s="37" t="str">
        <f>IF(P6579&gt;500,"High","low")</f>
        <v>low</v>
      </c>
      <c r="R6579" s="37" t="str">
        <f t="shared" si="514"/>
        <v>AVERAGE</v>
      </c>
      <c r="S6579" t="s">
        <v>605</v>
      </c>
    </row>
    <row r="6580" spans="1:19" x14ac:dyDescent="0.2">
      <c r="A6580" t="s">
        <v>7191</v>
      </c>
      <c r="B6580" t="s">
        <v>67</v>
      </c>
      <c r="C6580" t="s">
        <v>607</v>
      </c>
      <c r="D6580">
        <v>1060.3900000000001</v>
      </c>
      <c r="E6580" s="37" t="str">
        <f t="shared" si="510"/>
        <v xml:space="preserve"> </v>
      </c>
      <c r="F6580">
        <v>0.25</v>
      </c>
      <c r="G6580" s="37" t="str">
        <f t="shared" si="511"/>
        <v>Normal Discount</v>
      </c>
      <c r="H6580" s="37" t="str">
        <f t="shared" si="512"/>
        <v>Medium</v>
      </c>
      <c r="I6580">
        <v>4</v>
      </c>
      <c r="J6580" t="str" cm="1">
        <f t="array" ref="J6580">_xlfn.IFS(I6580&lt;=3,"small",I6580&lt;=6,"Medium",I6580&lt;=9,"Large")</f>
        <v>Medium</v>
      </c>
      <c r="K6580" s="36">
        <v>45442</v>
      </c>
      <c r="L6580" s="36">
        <v>45447</v>
      </c>
      <c r="M6580" t="s">
        <v>612</v>
      </c>
      <c r="N6580" t="s">
        <v>604</v>
      </c>
      <c r="O6580" s="37" t="str">
        <f t="shared" si="513"/>
        <v>Digital Payment</v>
      </c>
      <c r="P6580">
        <v>121.38</v>
      </c>
      <c r="Q6580" s="37" t="str">
        <f>IF(P6580&gt;500,"High","low")</f>
        <v>low</v>
      </c>
      <c r="R6580" s="37" t="str">
        <f t="shared" si="514"/>
        <v>AVERAGE</v>
      </c>
      <c r="S6580" t="s">
        <v>609</v>
      </c>
    </row>
    <row r="6581" spans="1:19" x14ac:dyDescent="0.2">
      <c r="A6581" t="s">
        <v>7192</v>
      </c>
      <c r="B6581" t="s">
        <v>83</v>
      </c>
      <c r="C6581" t="s">
        <v>597</v>
      </c>
      <c r="D6581">
        <v>1473.84</v>
      </c>
      <c r="E6581" s="37" t="str">
        <f t="shared" si="510"/>
        <v xml:space="preserve"> </v>
      </c>
      <c r="F6581">
        <v>0.46</v>
      </c>
      <c r="G6581" s="37" t="str">
        <f t="shared" si="511"/>
        <v>Heavy Discount</v>
      </c>
      <c r="H6581" s="37" t="str">
        <f t="shared" si="512"/>
        <v>High</v>
      </c>
      <c r="I6581">
        <v>1</v>
      </c>
      <c r="J6581" t="str" cm="1">
        <f t="array" ref="J6581">_xlfn.IFS(I6581&lt;=3,"small",I6581&lt;=6,"Medium",I6581&lt;=9,"Large")</f>
        <v>small</v>
      </c>
      <c r="K6581" s="36">
        <v>45555</v>
      </c>
      <c r="L6581" s="36">
        <v>45559</v>
      </c>
      <c r="M6581" t="s">
        <v>603</v>
      </c>
      <c r="N6581" t="s">
        <v>599</v>
      </c>
      <c r="O6581" s="37" t="str">
        <f t="shared" si="513"/>
        <v>Digital Payment</v>
      </c>
      <c r="P6581">
        <v>285.02</v>
      </c>
      <c r="Q6581" s="37" t="str">
        <f>IF(P6581&gt;500,"High","low")</f>
        <v>low</v>
      </c>
      <c r="R6581" s="37" t="str">
        <f t="shared" si="514"/>
        <v>AVERAGE</v>
      </c>
      <c r="S6581" t="s">
        <v>609</v>
      </c>
    </row>
    <row r="6582" spans="1:19" x14ac:dyDescent="0.2">
      <c r="A6582" t="s">
        <v>7193</v>
      </c>
      <c r="B6582" t="s">
        <v>67</v>
      </c>
      <c r="C6582" t="s">
        <v>614</v>
      </c>
      <c r="D6582">
        <v>4247.6099999999997</v>
      </c>
      <c r="E6582" s="37" t="str">
        <f t="shared" si="510"/>
        <v xml:space="preserve"> </v>
      </c>
      <c r="F6582">
        <v>0.31</v>
      </c>
      <c r="G6582" s="37" t="str">
        <f t="shared" si="511"/>
        <v>Heavy Discount</v>
      </c>
      <c r="H6582" s="37" t="str">
        <f t="shared" si="512"/>
        <v>Medium</v>
      </c>
      <c r="I6582">
        <v>2</v>
      </c>
      <c r="J6582" t="str" cm="1">
        <f t="array" ref="J6582">_xlfn.IFS(I6582&lt;=3,"small",I6582&lt;=6,"Medium",I6582&lt;=9,"Large")</f>
        <v>small</v>
      </c>
      <c r="K6582" s="36">
        <v>45491</v>
      </c>
      <c r="L6582" s="36">
        <v>45497</v>
      </c>
      <c r="M6582" t="s">
        <v>603</v>
      </c>
      <c r="N6582" t="s">
        <v>608</v>
      </c>
      <c r="O6582" s="37" t="str">
        <f t="shared" si="513"/>
        <v>Cash Payment</v>
      </c>
      <c r="P6582">
        <v>324.42</v>
      </c>
      <c r="Q6582" s="37" t="str">
        <f>IF(P6582&gt;500,"High","low")</f>
        <v>low</v>
      </c>
      <c r="R6582" s="37" t="str">
        <f t="shared" si="514"/>
        <v>AVERAGE</v>
      </c>
      <c r="S6582" t="s">
        <v>615</v>
      </c>
    </row>
    <row r="6583" spans="1:19" x14ac:dyDescent="0.2">
      <c r="A6583" t="s">
        <v>7194</v>
      </c>
      <c r="B6583" t="s">
        <v>67</v>
      </c>
      <c r="C6583" t="s">
        <v>607</v>
      </c>
      <c r="D6583">
        <v>3407.12</v>
      </c>
      <c r="E6583" s="37" t="str">
        <f t="shared" si="510"/>
        <v xml:space="preserve"> </v>
      </c>
      <c r="F6583">
        <v>0.18</v>
      </c>
      <c r="G6583" s="37" t="str">
        <f t="shared" si="511"/>
        <v>Normal Discount</v>
      </c>
      <c r="H6583" s="37" t="str">
        <f t="shared" si="512"/>
        <v>Low</v>
      </c>
      <c r="I6583">
        <v>7</v>
      </c>
      <c r="J6583" t="str" cm="1">
        <f t="array" ref="J6583">_xlfn.IFS(I6583&lt;=3,"small",I6583&lt;=6,"Medium",I6583&lt;=9,"Large")</f>
        <v>Large</v>
      </c>
      <c r="K6583" s="36">
        <v>45464</v>
      </c>
      <c r="L6583" s="36">
        <v>45468</v>
      </c>
      <c r="M6583" t="s">
        <v>612</v>
      </c>
      <c r="N6583" t="s">
        <v>604</v>
      </c>
      <c r="O6583" s="37" t="str">
        <f t="shared" si="513"/>
        <v>Digital Payment</v>
      </c>
      <c r="P6583">
        <v>383.35</v>
      </c>
      <c r="Q6583" s="37" t="str">
        <f>IF(P6583&gt;500,"High","low")</f>
        <v>low</v>
      </c>
      <c r="R6583" s="37" t="str">
        <f t="shared" si="514"/>
        <v>AVERAGE</v>
      </c>
      <c r="S6583" t="s">
        <v>609</v>
      </c>
    </row>
    <row r="6584" spans="1:19" x14ac:dyDescent="0.2">
      <c r="A6584" t="s">
        <v>7195</v>
      </c>
      <c r="B6584" t="s">
        <v>83</v>
      </c>
      <c r="C6584" t="s">
        <v>602</v>
      </c>
      <c r="D6584">
        <v>1997.34</v>
      </c>
      <c r="E6584" s="37" t="str">
        <f t="shared" si="510"/>
        <v xml:space="preserve"> </v>
      </c>
      <c r="F6584">
        <v>0.36</v>
      </c>
      <c r="G6584" s="37" t="str">
        <f t="shared" si="511"/>
        <v>Heavy Discount</v>
      </c>
      <c r="H6584" s="37" t="str">
        <f t="shared" si="512"/>
        <v>Medium</v>
      </c>
      <c r="I6584">
        <v>1</v>
      </c>
      <c r="J6584" t="str" cm="1">
        <f t="array" ref="J6584">_xlfn.IFS(I6584&lt;=3,"small",I6584&lt;=6,"Medium",I6584&lt;=9,"Large")</f>
        <v>small</v>
      </c>
      <c r="K6584" s="36">
        <v>45538</v>
      </c>
      <c r="L6584" s="36">
        <v>45545</v>
      </c>
      <c r="M6584" t="s">
        <v>612</v>
      </c>
      <c r="N6584" t="s">
        <v>608</v>
      </c>
      <c r="O6584" s="37" t="str">
        <f t="shared" si="513"/>
        <v>Cash Payment</v>
      </c>
      <c r="P6584">
        <v>402.68</v>
      </c>
      <c r="Q6584" s="37" t="str">
        <f>IF(P6584&gt;500,"High","low")</f>
        <v>low</v>
      </c>
      <c r="R6584" s="37" t="str">
        <f t="shared" si="514"/>
        <v>AVERAGE</v>
      </c>
      <c r="S6584" t="s">
        <v>609</v>
      </c>
    </row>
    <row r="6585" spans="1:19" x14ac:dyDescent="0.2">
      <c r="A6585" t="s">
        <v>7196</v>
      </c>
      <c r="B6585" t="s">
        <v>83</v>
      </c>
      <c r="C6585" t="s">
        <v>614</v>
      </c>
      <c r="D6585">
        <v>4895.2700000000004</v>
      </c>
      <c r="E6585" s="37" t="str">
        <f t="shared" si="510"/>
        <v>Excellent Order</v>
      </c>
      <c r="F6585">
        <v>0.48</v>
      </c>
      <c r="G6585" s="37" t="str">
        <f t="shared" si="511"/>
        <v>Heavy Discount</v>
      </c>
      <c r="H6585" s="37" t="str">
        <f t="shared" si="512"/>
        <v>High</v>
      </c>
      <c r="I6585">
        <v>6</v>
      </c>
      <c r="J6585" t="str" cm="1">
        <f t="array" ref="J6585">_xlfn.IFS(I6585&lt;=3,"small",I6585&lt;=6,"Medium",I6585&lt;=9,"Large")</f>
        <v>Medium</v>
      </c>
      <c r="K6585" s="36">
        <v>45645</v>
      </c>
      <c r="L6585" s="36">
        <v>45648</v>
      </c>
      <c r="M6585" t="s">
        <v>603</v>
      </c>
      <c r="N6585" t="s">
        <v>599</v>
      </c>
      <c r="O6585" s="37" t="str">
        <f t="shared" si="513"/>
        <v>Digital Payment</v>
      </c>
      <c r="P6585">
        <v>1377.53</v>
      </c>
      <c r="Q6585" s="37" t="str">
        <f>IF(P6585&gt;500,"High","low")</f>
        <v>High</v>
      </c>
      <c r="R6585" s="37" t="str">
        <f t="shared" si="514"/>
        <v>Excellent</v>
      </c>
      <c r="S6585" t="s">
        <v>628</v>
      </c>
    </row>
    <row r="6586" spans="1:19" x14ac:dyDescent="0.2">
      <c r="A6586" t="s">
        <v>7197</v>
      </c>
      <c r="B6586" t="s">
        <v>67</v>
      </c>
      <c r="C6586" t="s">
        <v>614</v>
      </c>
      <c r="D6586">
        <v>1293.6500000000001</v>
      </c>
      <c r="E6586" s="37" t="str">
        <f t="shared" si="510"/>
        <v xml:space="preserve"> </v>
      </c>
      <c r="F6586">
        <v>0.46</v>
      </c>
      <c r="G6586" s="37" t="str">
        <f t="shared" si="511"/>
        <v>Heavy Discount</v>
      </c>
      <c r="H6586" s="37" t="str">
        <f t="shared" si="512"/>
        <v>High</v>
      </c>
      <c r="I6586">
        <v>4</v>
      </c>
      <c r="J6586" t="str" cm="1">
        <f t="array" ref="J6586">_xlfn.IFS(I6586&lt;=3,"small",I6586&lt;=6,"Medium",I6586&lt;=9,"Large")</f>
        <v>Medium</v>
      </c>
      <c r="K6586" s="36">
        <v>45657</v>
      </c>
      <c r="L6586" s="36">
        <v>45659</v>
      </c>
      <c r="M6586" t="s">
        <v>603</v>
      </c>
      <c r="N6586" t="s">
        <v>608</v>
      </c>
      <c r="O6586" s="37" t="str">
        <f t="shared" si="513"/>
        <v>Cash Payment</v>
      </c>
      <c r="P6586">
        <v>301.51</v>
      </c>
      <c r="Q6586" s="37" t="str">
        <f>IF(P6586&gt;500,"High","low")</f>
        <v>low</v>
      </c>
      <c r="R6586" s="37" t="str">
        <f t="shared" si="514"/>
        <v>AVERAGE</v>
      </c>
      <c r="S6586" t="s">
        <v>609</v>
      </c>
    </row>
    <row r="6587" spans="1:19" x14ac:dyDescent="0.2">
      <c r="A6587" t="s">
        <v>7198</v>
      </c>
      <c r="B6587" t="s">
        <v>90</v>
      </c>
      <c r="C6587" t="s">
        <v>607</v>
      </c>
      <c r="D6587">
        <v>3088.09</v>
      </c>
      <c r="E6587" s="37" t="str">
        <f t="shared" si="510"/>
        <v xml:space="preserve"> </v>
      </c>
      <c r="F6587">
        <v>0.49</v>
      </c>
      <c r="G6587" s="37" t="str">
        <f t="shared" si="511"/>
        <v>Heavy Discount</v>
      </c>
      <c r="H6587" s="37" t="str">
        <f t="shared" si="512"/>
        <v>High</v>
      </c>
      <c r="I6587">
        <v>3</v>
      </c>
      <c r="J6587" t="str" cm="1">
        <f t="array" ref="J6587">_xlfn.IFS(I6587&lt;=3,"small",I6587&lt;=6,"Medium",I6587&lt;=9,"Large")</f>
        <v>small</v>
      </c>
      <c r="K6587" s="36">
        <v>45452</v>
      </c>
      <c r="L6587" s="36">
        <v>45455</v>
      </c>
      <c r="M6587" t="s">
        <v>598</v>
      </c>
      <c r="N6587" t="s">
        <v>608</v>
      </c>
      <c r="O6587" s="37" t="str">
        <f t="shared" si="513"/>
        <v>Cash Payment</v>
      </c>
      <c r="P6587">
        <v>546.26</v>
      </c>
      <c r="Q6587" s="37" t="str">
        <f>IF(P6587&gt;500,"High","low")</f>
        <v>High</v>
      </c>
      <c r="R6587" s="37" t="str">
        <f t="shared" si="514"/>
        <v>Good</v>
      </c>
      <c r="S6587" t="s">
        <v>615</v>
      </c>
    </row>
    <row r="6588" spans="1:19" x14ac:dyDescent="0.2">
      <c r="A6588" t="s">
        <v>7199</v>
      </c>
      <c r="B6588" t="s">
        <v>75</v>
      </c>
      <c r="C6588" t="s">
        <v>607</v>
      </c>
      <c r="D6588">
        <v>4251.3500000000004</v>
      </c>
      <c r="E6588" s="37" t="str">
        <f t="shared" si="510"/>
        <v xml:space="preserve"> </v>
      </c>
      <c r="F6588">
        <v>0.05</v>
      </c>
      <c r="G6588" s="37" t="str">
        <f t="shared" si="511"/>
        <v>Normal Discount</v>
      </c>
      <c r="H6588" s="37" t="str">
        <f t="shared" si="512"/>
        <v>Low</v>
      </c>
      <c r="I6588">
        <v>7</v>
      </c>
      <c r="J6588" t="str" cm="1">
        <f t="array" ref="J6588">_xlfn.IFS(I6588&lt;=3,"small",I6588&lt;=6,"Medium",I6588&lt;=9,"Large")</f>
        <v>Large</v>
      </c>
      <c r="K6588" s="36">
        <v>45344</v>
      </c>
      <c r="L6588" s="36">
        <v>45349</v>
      </c>
      <c r="M6588" t="s">
        <v>612</v>
      </c>
      <c r="N6588" t="s">
        <v>604</v>
      </c>
      <c r="O6588" s="37" t="str">
        <f t="shared" si="513"/>
        <v>Digital Payment</v>
      </c>
      <c r="P6588">
        <v>437.79</v>
      </c>
      <c r="Q6588" s="37" t="str">
        <f>IF(P6588&gt;500,"High","low")</f>
        <v>low</v>
      </c>
      <c r="R6588" s="37" t="str">
        <f t="shared" si="514"/>
        <v>AVERAGE</v>
      </c>
      <c r="S6588" t="s">
        <v>620</v>
      </c>
    </row>
    <row r="6589" spans="1:19" x14ac:dyDescent="0.2">
      <c r="A6589" t="s">
        <v>7200</v>
      </c>
      <c r="B6589" t="s">
        <v>67</v>
      </c>
      <c r="C6589" t="s">
        <v>597</v>
      </c>
      <c r="D6589">
        <v>4029.91</v>
      </c>
      <c r="E6589" s="37" t="str">
        <f t="shared" si="510"/>
        <v xml:space="preserve"> </v>
      </c>
      <c r="F6589">
        <v>0.22</v>
      </c>
      <c r="G6589" s="37" t="str">
        <f t="shared" si="511"/>
        <v>Normal Discount</v>
      </c>
      <c r="H6589" s="37" t="str">
        <f t="shared" si="512"/>
        <v>Medium</v>
      </c>
      <c r="I6589">
        <v>9</v>
      </c>
      <c r="J6589" t="str" cm="1">
        <f t="array" ref="J6589">_xlfn.IFS(I6589&lt;=3,"small",I6589&lt;=6,"Medium",I6589&lt;=9,"Large")</f>
        <v>Large</v>
      </c>
      <c r="K6589" s="36">
        <v>45498</v>
      </c>
      <c r="L6589" s="36">
        <v>45503</v>
      </c>
      <c r="M6589" t="s">
        <v>612</v>
      </c>
      <c r="N6589" t="s">
        <v>599</v>
      </c>
      <c r="O6589" s="37" t="str">
        <f t="shared" si="513"/>
        <v>Digital Payment</v>
      </c>
      <c r="P6589">
        <v>395.53</v>
      </c>
      <c r="Q6589" s="37" t="str">
        <f>IF(P6589&gt;500,"High","low")</f>
        <v>low</v>
      </c>
      <c r="R6589" s="37" t="str">
        <f t="shared" si="514"/>
        <v>AVERAGE</v>
      </c>
      <c r="S6589" t="s">
        <v>620</v>
      </c>
    </row>
    <row r="6590" spans="1:19" x14ac:dyDescent="0.2">
      <c r="A6590" t="s">
        <v>7201</v>
      </c>
      <c r="B6590" t="s">
        <v>67</v>
      </c>
      <c r="C6590" t="s">
        <v>602</v>
      </c>
      <c r="D6590">
        <v>542.51</v>
      </c>
      <c r="E6590" s="37" t="str">
        <f t="shared" si="510"/>
        <v xml:space="preserve"> </v>
      </c>
      <c r="F6590">
        <v>0.22</v>
      </c>
      <c r="G6590" s="37" t="str">
        <f t="shared" si="511"/>
        <v>Normal Discount</v>
      </c>
      <c r="H6590" s="37" t="str">
        <f t="shared" si="512"/>
        <v>Medium</v>
      </c>
      <c r="I6590">
        <v>5</v>
      </c>
      <c r="J6590" t="str" cm="1">
        <f t="array" ref="J6590">_xlfn.IFS(I6590&lt;=3,"small",I6590&lt;=6,"Medium",I6590&lt;=9,"Large")</f>
        <v>Medium</v>
      </c>
      <c r="K6590" s="36">
        <v>45591</v>
      </c>
      <c r="L6590" s="36">
        <v>45598</v>
      </c>
      <c r="M6590" t="s">
        <v>598</v>
      </c>
      <c r="N6590" t="s">
        <v>599</v>
      </c>
      <c r="O6590" s="37" t="str">
        <f t="shared" si="513"/>
        <v>Digital Payment</v>
      </c>
      <c r="P6590">
        <v>132.38999999999999</v>
      </c>
      <c r="Q6590" s="37" t="str">
        <f>IF(P6590&gt;500,"High","low")</f>
        <v>low</v>
      </c>
      <c r="R6590" s="37" t="str">
        <f t="shared" si="514"/>
        <v>AVERAGE</v>
      </c>
      <c r="S6590" t="s">
        <v>615</v>
      </c>
    </row>
    <row r="6591" spans="1:19" x14ac:dyDescent="0.2">
      <c r="A6591" t="s">
        <v>7202</v>
      </c>
      <c r="B6591" t="s">
        <v>90</v>
      </c>
      <c r="C6591" t="s">
        <v>597</v>
      </c>
      <c r="D6591">
        <v>3516.64</v>
      </c>
      <c r="E6591" s="37" t="str">
        <f t="shared" si="510"/>
        <v xml:space="preserve"> </v>
      </c>
      <c r="F6591">
        <v>0.19</v>
      </c>
      <c r="G6591" s="37" t="str">
        <f t="shared" si="511"/>
        <v>Normal Discount</v>
      </c>
      <c r="H6591" s="37" t="str">
        <f t="shared" si="512"/>
        <v>Low</v>
      </c>
      <c r="I6591">
        <v>6</v>
      </c>
      <c r="J6591" t="str" cm="1">
        <f t="array" ref="J6591">_xlfn.IFS(I6591&lt;=3,"small",I6591&lt;=6,"Medium",I6591&lt;=9,"Large")</f>
        <v>Medium</v>
      </c>
      <c r="K6591" s="36">
        <v>45492</v>
      </c>
      <c r="L6591" s="36">
        <v>45493</v>
      </c>
      <c r="M6591" t="s">
        <v>598</v>
      </c>
      <c r="N6591" t="s">
        <v>599</v>
      </c>
      <c r="O6591" s="37" t="str">
        <f t="shared" si="513"/>
        <v>Digital Payment</v>
      </c>
      <c r="P6591">
        <v>990.4</v>
      </c>
      <c r="Q6591" s="37" t="str">
        <f>IF(P6591&gt;500,"High","low")</f>
        <v>High</v>
      </c>
      <c r="R6591" s="37" t="str">
        <f t="shared" si="514"/>
        <v>Good</v>
      </c>
      <c r="S6591" t="s">
        <v>620</v>
      </c>
    </row>
    <row r="6592" spans="1:19" x14ac:dyDescent="0.2">
      <c r="A6592" t="s">
        <v>7203</v>
      </c>
      <c r="B6592" t="s">
        <v>67</v>
      </c>
      <c r="C6592" t="s">
        <v>597</v>
      </c>
      <c r="D6592">
        <v>1363.53</v>
      </c>
      <c r="E6592" s="37" t="str">
        <f t="shared" si="510"/>
        <v xml:space="preserve"> </v>
      </c>
      <c r="F6592">
        <v>0.09</v>
      </c>
      <c r="G6592" s="37" t="str">
        <f t="shared" si="511"/>
        <v>Normal Discount</v>
      </c>
      <c r="H6592" s="37" t="str">
        <f t="shared" si="512"/>
        <v>Low</v>
      </c>
      <c r="I6592">
        <v>7</v>
      </c>
      <c r="J6592" t="str" cm="1">
        <f t="array" ref="J6592">_xlfn.IFS(I6592&lt;=3,"small",I6592&lt;=6,"Medium",I6592&lt;=9,"Large")</f>
        <v>Large</v>
      </c>
      <c r="K6592" s="36">
        <v>45337</v>
      </c>
      <c r="L6592" s="36">
        <v>45339</v>
      </c>
      <c r="M6592" t="s">
        <v>598</v>
      </c>
      <c r="N6592" t="s">
        <v>608</v>
      </c>
      <c r="O6592" s="37" t="str">
        <f t="shared" si="513"/>
        <v>Cash Payment</v>
      </c>
      <c r="P6592">
        <v>109.25</v>
      </c>
      <c r="Q6592" s="37" t="str">
        <f>IF(P6592&gt;500,"High","low")</f>
        <v>low</v>
      </c>
      <c r="R6592" s="37" t="str">
        <f t="shared" si="514"/>
        <v>AVERAGE</v>
      </c>
      <c r="S6592" t="s">
        <v>609</v>
      </c>
    </row>
    <row r="6593" spans="1:19" x14ac:dyDescent="0.2">
      <c r="A6593" t="s">
        <v>7204</v>
      </c>
      <c r="B6593" t="s">
        <v>67</v>
      </c>
      <c r="C6593" t="s">
        <v>614</v>
      </c>
      <c r="D6593">
        <v>1843.09</v>
      </c>
      <c r="E6593" s="37" t="str">
        <f t="shared" si="510"/>
        <v xml:space="preserve"> </v>
      </c>
      <c r="F6593">
        <v>0.42</v>
      </c>
      <c r="G6593" s="37" t="str">
        <f t="shared" si="511"/>
        <v>Heavy Discount</v>
      </c>
      <c r="H6593" s="37" t="str">
        <f t="shared" si="512"/>
        <v>High</v>
      </c>
      <c r="I6593">
        <v>6</v>
      </c>
      <c r="J6593" t="str" cm="1">
        <f t="array" ref="J6593">_xlfn.IFS(I6593&lt;=3,"small",I6593&lt;=6,"Medium",I6593&lt;=9,"Large")</f>
        <v>Medium</v>
      </c>
      <c r="K6593" s="36">
        <v>44947</v>
      </c>
      <c r="L6593" s="36">
        <v>44951</v>
      </c>
      <c r="M6593" t="s">
        <v>603</v>
      </c>
      <c r="N6593" t="s">
        <v>599</v>
      </c>
      <c r="O6593" s="37" t="str">
        <f t="shared" si="513"/>
        <v>Digital Payment</v>
      </c>
      <c r="P6593">
        <v>403.31</v>
      </c>
      <c r="Q6593" s="37" t="str">
        <f>IF(P6593&gt;500,"High","low")</f>
        <v>low</v>
      </c>
      <c r="R6593" s="37" t="str">
        <f t="shared" si="514"/>
        <v>AVERAGE</v>
      </c>
      <c r="S6593" t="s">
        <v>620</v>
      </c>
    </row>
    <row r="6594" spans="1:19" x14ac:dyDescent="0.2">
      <c r="A6594" t="s">
        <v>7205</v>
      </c>
      <c r="B6594" t="s">
        <v>75</v>
      </c>
      <c r="C6594" t="s">
        <v>607</v>
      </c>
      <c r="D6594">
        <v>2496.06</v>
      </c>
      <c r="E6594" s="37" t="str">
        <f t="shared" si="510"/>
        <v xml:space="preserve"> </v>
      </c>
      <c r="F6594">
        <v>0.34</v>
      </c>
      <c r="G6594" s="37" t="str">
        <f t="shared" si="511"/>
        <v>Heavy Discount</v>
      </c>
      <c r="H6594" s="37" t="str">
        <f t="shared" si="512"/>
        <v>Medium</v>
      </c>
      <c r="I6594">
        <v>6</v>
      </c>
      <c r="J6594" t="str" cm="1">
        <f t="array" ref="J6594">_xlfn.IFS(I6594&lt;=3,"small",I6594&lt;=6,"Medium",I6594&lt;=9,"Large")</f>
        <v>Medium</v>
      </c>
      <c r="K6594" s="36">
        <v>45473</v>
      </c>
      <c r="L6594" s="36">
        <v>45479</v>
      </c>
      <c r="M6594" t="s">
        <v>598</v>
      </c>
      <c r="N6594" t="s">
        <v>604</v>
      </c>
      <c r="O6594" s="37" t="str">
        <f t="shared" si="513"/>
        <v>Digital Payment</v>
      </c>
      <c r="P6594">
        <v>579</v>
      </c>
      <c r="Q6594" s="37" t="str">
        <f>IF(P6594&gt;500,"High","low")</f>
        <v>High</v>
      </c>
      <c r="R6594" s="37" t="str">
        <f t="shared" si="514"/>
        <v>Good</v>
      </c>
      <c r="S6594" t="s">
        <v>605</v>
      </c>
    </row>
    <row r="6595" spans="1:19" x14ac:dyDescent="0.2">
      <c r="A6595" t="s">
        <v>7206</v>
      </c>
      <c r="B6595" t="s">
        <v>75</v>
      </c>
      <c r="C6595" t="s">
        <v>614</v>
      </c>
      <c r="D6595">
        <v>3974.68</v>
      </c>
      <c r="E6595" s="37" t="str">
        <f t="shared" ref="E6595:E6658" si="515">IF(AND(D6595&gt;4000,P6595&gt;800),"Excellent Order"," ")</f>
        <v xml:space="preserve"> </v>
      </c>
      <c r="F6595">
        <v>0.3</v>
      </c>
      <c r="G6595" s="37" t="str">
        <f t="shared" ref="G6595:G6658" si="516">IF(F6595&gt;30%,"Heavy Discount","Normal Discount")</f>
        <v>Normal Discount</v>
      </c>
      <c r="H6595" s="37" t="str">
        <f t="shared" ref="H6595:H6658" si="517">IF(F6595&gt;0.4,"High",IF(F6595&gt;=0.2,"Medium","Low"))</f>
        <v>Medium</v>
      </c>
      <c r="I6595">
        <v>3</v>
      </c>
      <c r="J6595" t="str" cm="1">
        <f t="array" ref="J6595">_xlfn.IFS(I6595&lt;=3,"small",I6595&lt;=6,"Medium",I6595&lt;=9,"Large")</f>
        <v>small</v>
      </c>
      <c r="K6595" s="36">
        <v>45618</v>
      </c>
      <c r="L6595" s="36">
        <v>45625</v>
      </c>
      <c r="M6595" t="s">
        <v>598</v>
      </c>
      <c r="N6595" t="s">
        <v>604</v>
      </c>
      <c r="O6595" s="37" t="str">
        <f t="shared" ref="O6595:O6658" si="518">IF(OR(N6595="Card",N6595="UPI"),"Digital Payment","Cash Payment")</f>
        <v>Digital Payment</v>
      </c>
      <c r="P6595">
        <v>705.77</v>
      </c>
      <c r="Q6595" s="37" t="str">
        <f>IF(P6595&gt;500,"High","low")</f>
        <v>High</v>
      </c>
      <c r="R6595" s="37" t="str">
        <f t="shared" ref="R6595:R6658" si="519">IF(P6595&gt;1000,"Excellent",IF(P6595&gt;=500,"Good","AVERAGE"))</f>
        <v>Good</v>
      </c>
      <c r="S6595" t="s">
        <v>628</v>
      </c>
    </row>
    <row r="6596" spans="1:19" x14ac:dyDescent="0.2">
      <c r="A6596" t="s">
        <v>7207</v>
      </c>
      <c r="B6596" t="s">
        <v>75</v>
      </c>
      <c r="C6596" t="s">
        <v>602</v>
      </c>
      <c r="D6596">
        <v>914.39</v>
      </c>
      <c r="E6596" s="37" t="str">
        <f t="shared" si="515"/>
        <v xml:space="preserve"> </v>
      </c>
      <c r="F6596">
        <v>0.22</v>
      </c>
      <c r="G6596" s="37" t="str">
        <f t="shared" si="516"/>
        <v>Normal Discount</v>
      </c>
      <c r="H6596" s="37" t="str">
        <f t="shared" si="517"/>
        <v>Medium</v>
      </c>
      <c r="I6596">
        <v>3</v>
      </c>
      <c r="J6596" t="str" cm="1">
        <f t="array" ref="J6596">_xlfn.IFS(I6596&lt;=3,"small",I6596&lt;=6,"Medium",I6596&lt;=9,"Large")</f>
        <v>small</v>
      </c>
      <c r="K6596" s="36">
        <v>45380</v>
      </c>
      <c r="L6596" s="36">
        <v>45385</v>
      </c>
      <c r="M6596" t="s">
        <v>603</v>
      </c>
      <c r="N6596" t="s">
        <v>608</v>
      </c>
      <c r="O6596" s="37" t="str">
        <f t="shared" si="518"/>
        <v>Cash Payment</v>
      </c>
      <c r="P6596">
        <v>121.42</v>
      </c>
      <c r="Q6596" s="37" t="str">
        <f>IF(P6596&gt;500,"High","low")</f>
        <v>low</v>
      </c>
      <c r="R6596" s="37" t="str">
        <f t="shared" si="519"/>
        <v>AVERAGE</v>
      </c>
      <c r="S6596" t="s">
        <v>615</v>
      </c>
    </row>
    <row r="6597" spans="1:19" x14ac:dyDescent="0.2">
      <c r="A6597" t="s">
        <v>7208</v>
      </c>
      <c r="B6597" t="s">
        <v>83</v>
      </c>
      <c r="C6597" t="s">
        <v>597</v>
      </c>
      <c r="D6597">
        <v>631.91999999999996</v>
      </c>
      <c r="E6597" s="37" t="str">
        <f t="shared" si="515"/>
        <v xml:space="preserve"> </v>
      </c>
      <c r="F6597">
        <v>0.19</v>
      </c>
      <c r="G6597" s="37" t="str">
        <f t="shared" si="516"/>
        <v>Normal Discount</v>
      </c>
      <c r="H6597" s="37" t="str">
        <f t="shared" si="517"/>
        <v>Low</v>
      </c>
      <c r="I6597">
        <v>5</v>
      </c>
      <c r="J6597" t="str" cm="1">
        <f t="array" ref="J6597">_xlfn.IFS(I6597&lt;=3,"small",I6597&lt;=6,"Medium",I6597&lt;=9,"Large")</f>
        <v>Medium</v>
      </c>
      <c r="K6597" s="36">
        <v>45409</v>
      </c>
      <c r="L6597" s="36">
        <v>45414</v>
      </c>
      <c r="M6597" t="s">
        <v>603</v>
      </c>
      <c r="N6597" t="s">
        <v>599</v>
      </c>
      <c r="O6597" s="37" t="str">
        <f t="shared" si="518"/>
        <v>Digital Payment</v>
      </c>
      <c r="P6597">
        <v>143.51</v>
      </c>
      <c r="Q6597" s="37" t="str">
        <f>IF(P6597&gt;500,"High","low")</f>
        <v>low</v>
      </c>
      <c r="R6597" s="37" t="str">
        <f t="shared" si="519"/>
        <v>AVERAGE</v>
      </c>
      <c r="S6597" t="s">
        <v>600</v>
      </c>
    </row>
    <row r="6598" spans="1:19" x14ac:dyDescent="0.2">
      <c r="A6598" t="s">
        <v>7209</v>
      </c>
      <c r="B6598" t="s">
        <v>83</v>
      </c>
      <c r="C6598" t="s">
        <v>602</v>
      </c>
      <c r="D6598">
        <v>851.86</v>
      </c>
      <c r="E6598" s="37" t="str">
        <f t="shared" si="515"/>
        <v xml:space="preserve"> </v>
      </c>
      <c r="F6598">
        <v>0.39</v>
      </c>
      <c r="G6598" s="37" t="str">
        <f t="shared" si="516"/>
        <v>Heavy Discount</v>
      </c>
      <c r="H6598" s="37" t="str">
        <f t="shared" si="517"/>
        <v>Medium</v>
      </c>
      <c r="I6598">
        <v>7</v>
      </c>
      <c r="J6598" t="str" cm="1">
        <f t="array" ref="J6598">_xlfn.IFS(I6598&lt;=3,"small",I6598&lt;=6,"Medium",I6598&lt;=9,"Large")</f>
        <v>Large</v>
      </c>
      <c r="K6598" s="36">
        <v>45080</v>
      </c>
      <c r="L6598" s="36">
        <v>45087</v>
      </c>
      <c r="M6598" t="s">
        <v>612</v>
      </c>
      <c r="N6598" t="s">
        <v>599</v>
      </c>
      <c r="O6598" s="37" t="str">
        <f t="shared" si="518"/>
        <v>Digital Payment</v>
      </c>
      <c r="P6598">
        <v>140</v>
      </c>
      <c r="Q6598" s="37" t="str">
        <f>IF(P6598&gt;500,"High","low")</f>
        <v>low</v>
      </c>
      <c r="R6598" s="37" t="str">
        <f t="shared" si="519"/>
        <v>AVERAGE</v>
      </c>
      <c r="S6598" t="s">
        <v>609</v>
      </c>
    </row>
    <row r="6599" spans="1:19" x14ac:dyDescent="0.2">
      <c r="A6599" t="s">
        <v>7210</v>
      </c>
      <c r="B6599" t="s">
        <v>75</v>
      </c>
      <c r="C6599" t="s">
        <v>607</v>
      </c>
      <c r="D6599">
        <v>1169.3</v>
      </c>
      <c r="E6599" s="37" t="str">
        <f t="shared" si="515"/>
        <v xml:space="preserve"> </v>
      </c>
      <c r="F6599">
        <v>0.26</v>
      </c>
      <c r="G6599" s="37" t="str">
        <f t="shared" si="516"/>
        <v>Normal Discount</v>
      </c>
      <c r="H6599" s="37" t="str">
        <f t="shared" si="517"/>
        <v>Medium</v>
      </c>
      <c r="I6599">
        <v>6</v>
      </c>
      <c r="J6599" t="str" cm="1">
        <f t="array" ref="J6599">_xlfn.IFS(I6599&lt;=3,"small",I6599&lt;=6,"Medium",I6599&lt;=9,"Large")</f>
        <v>Medium</v>
      </c>
      <c r="K6599" s="36">
        <v>45581</v>
      </c>
      <c r="L6599" s="36">
        <v>45583</v>
      </c>
      <c r="M6599" t="s">
        <v>603</v>
      </c>
      <c r="N6599" t="s">
        <v>604</v>
      </c>
      <c r="O6599" s="37" t="str">
        <f t="shared" si="518"/>
        <v>Digital Payment</v>
      </c>
      <c r="P6599">
        <v>192.49</v>
      </c>
      <c r="Q6599" s="37" t="str">
        <f>IF(P6599&gt;500,"High","low")</f>
        <v>low</v>
      </c>
      <c r="R6599" s="37" t="str">
        <f t="shared" si="519"/>
        <v>AVERAGE</v>
      </c>
      <c r="S6599" t="s">
        <v>620</v>
      </c>
    </row>
    <row r="6600" spans="1:19" x14ac:dyDescent="0.2">
      <c r="A6600" t="s">
        <v>7211</v>
      </c>
      <c r="B6600" t="s">
        <v>75</v>
      </c>
      <c r="C6600" t="s">
        <v>607</v>
      </c>
      <c r="D6600">
        <v>391.56</v>
      </c>
      <c r="E6600" s="37" t="str">
        <f t="shared" si="515"/>
        <v xml:space="preserve"> </v>
      </c>
      <c r="F6600">
        <v>0.3</v>
      </c>
      <c r="G6600" s="37" t="str">
        <f t="shared" si="516"/>
        <v>Normal Discount</v>
      </c>
      <c r="H6600" s="37" t="str">
        <f t="shared" si="517"/>
        <v>Medium</v>
      </c>
      <c r="I6600">
        <v>2</v>
      </c>
      <c r="J6600" t="str" cm="1">
        <f t="array" ref="J6600">_xlfn.IFS(I6600&lt;=3,"small",I6600&lt;=6,"Medium",I6600&lt;=9,"Large")</f>
        <v>small</v>
      </c>
      <c r="K6600" s="36">
        <v>44931</v>
      </c>
      <c r="L6600" s="36">
        <v>44938</v>
      </c>
      <c r="M6600" t="s">
        <v>612</v>
      </c>
      <c r="N6600" t="s">
        <v>604</v>
      </c>
      <c r="O6600" s="37" t="str">
        <f t="shared" si="518"/>
        <v>Digital Payment</v>
      </c>
      <c r="P6600">
        <v>29.54</v>
      </c>
      <c r="Q6600" s="37" t="str">
        <f>IF(P6600&gt;500,"High","low")</f>
        <v>low</v>
      </c>
      <c r="R6600" s="37" t="str">
        <f t="shared" si="519"/>
        <v>AVERAGE</v>
      </c>
      <c r="S6600" t="s">
        <v>600</v>
      </c>
    </row>
    <row r="6601" spans="1:19" x14ac:dyDescent="0.2">
      <c r="A6601" t="s">
        <v>7212</v>
      </c>
      <c r="B6601" t="s">
        <v>83</v>
      </c>
      <c r="C6601" t="s">
        <v>617</v>
      </c>
      <c r="D6601">
        <v>4639.1499999999996</v>
      </c>
      <c r="E6601" s="37" t="str">
        <f t="shared" si="515"/>
        <v>Excellent Order</v>
      </c>
      <c r="F6601">
        <v>0.05</v>
      </c>
      <c r="G6601" s="37" t="str">
        <f t="shared" si="516"/>
        <v>Normal Discount</v>
      </c>
      <c r="H6601" s="37" t="str">
        <f t="shared" si="517"/>
        <v>Low</v>
      </c>
      <c r="I6601">
        <v>3</v>
      </c>
      <c r="J6601" t="str" cm="1">
        <f t="array" ref="J6601">_xlfn.IFS(I6601&lt;=3,"small",I6601&lt;=6,"Medium",I6601&lt;=9,"Large")</f>
        <v>small</v>
      </c>
      <c r="K6601" s="36">
        <v>45599</v>
      </c>
      <c r="L6601" s="36">
        <v>45606</v>
      </c>
      <c r="M6601" t="s">
        <v>598</v>
      </c>
      <c r="N6601" t="s">
        <v>608</v>
      </c>
      <c r="O6601" s="37" t="str">
        <f t="shared" si="518"/>
        <v>Cash Payment</v>
      </c>
      <c r="P6601">
        <v>962.35</v>
      </c>
      <c r="Q6601" s="37" t="str">
        <f>IF(P6601&gt;500,"High","low")</f>
        <v>High</v>
      </c>
      <c r="R6601" s="37" t="str">
        <f t="shared" si="519"/>
        <v>Good</v>
      </c>
      <c r="S6601" t="s">
        <v>628</v>
      </c>
    </row>
    <row r="6602" spans="1:19" x14ac:dyDescent="0.2">
      <c r="A6602" t="s">
        <v>7213</v>
      </c>
      <c r="B6602" t="s">
        <v>90</v>
      </c>
      <c r="C6602" t="s">
        <v>602</v>
      </c>
      <c r="D6602">
        <v>1663.51</v>
      </c>
      <c r="E6602" s="37" t="str">
        <f t="shared" si="515"/>
        <v xml:space="preserve"> </v>
      </c>
      <c r="F6602">
        <v>0.24</v>
      </c>
      <c r="G6602" s="37" t="str">
        <f t="shared" si="516"/>
        <v>Normal Discount</v>
      </c>
      <c r="H6602" s="37" t="str">
        <f t="shared" si="517"/>
        <v>Medium</v>
      </c>
      <c r="I6602">
        <v>5</v>
      </c>
      <c r="J6602" t="str" cm="1">
        <f t="array" ref="J6602">_xlfn.IFS(I6602&lt;=3,"small",I6602&lt;=6,"Medium",I6602&lt;=9,"Large")</f>
        <v>Medium</v>
      </c>
      <c r="K6602" s="36">
        <v>45559</v>
      </c>
      <c r="L6602" s="36">
        <v>45562</v>
      </c>
      <c r="M6602" t="s">
        <v>612</v>
      </c>
      <c r="N6602" t="s">
        <v>608</v>
      </c>
      <c r="O6602" s="37" t="str">
        <f t="shared" si="518"/>
        <v>Cash Payment</v>
      </c>
      <c r="P6602">
        <v>121.09</v>
      </c>
      <c r="Q6602" s="37" t="str">
        <f>IF(P6602&gt;500,"High","low")</f>
        <v>low</v>
      </c>
      <c r="R6602" s="37" t="str">
        <f t="shared" si="519"/>
        <v>AVERAGE</v>
      </c>
      <c r="S6602" t="s">
        <v>605</v>
      </c>
    </row>
    <row r="6603" spans="1:19" x14ac:dyDescent="0.2">
      <c r="A6603" t="s">
        <v>7214</v>
      </c>
      <c r="B6603" t="s">
        <v>67</v>
      </c>
      <c r="C6603" t="s">
        <v>614</v>
      </c>
      <c r="D6603">
        <v>967.18</v>
      </c>
      <c r="E6603" s="37" t="str">
        <f t="shared" si="515"/>
        <v xml:space="preserve"> </v>
      </c>
      <c r="F6603">
        <v>7.0000000000000007E-2</v>
      </c>
      <c r="G6603" s="37" t="str">
        <f t="shared" si="516"/>
        <v>Normal Discount</v>
      </c>
      <c r="H6603" s="37" t="str">
        <f t="shared" si="517"/>
        <v>Low</v>
      </c>
      <c r="I6603">
        <v>7</v>
      </c>
      <c r="J6603" t="str" cm="1">
        <f t="array" ref="J6603">_xlfn.IFS(I6603&lt;=3,"small",I6603&lt;=6,"Medium",I6603&lt;=9,"Large")</f>
        <v>Large</v>
      </c>
      <c r="K6603" s="36">
        <v>45647</v>
      </c>
      <c r="L6603" s="36">
        <v>45648</v>
      </c>
      <c r="M6603" t="s">
        <v>603</v>
      </c>
      <c r="N6603" t="s">
        <v>604</v>
      </c>
      <c r="O6603" s="37" t="str">
        <f t="shared" si="518"/>
        <v>Digital Payment</v>
      </c>
      <c r="P6603">
        <v>115.85</v>
      </c>
      <c r="Q6603" s="37" t="str">
        <f>IF(P6603&gt;500,"High","low")</f>
        <v>low</v>
      </c>
      <c r="R6603" s="37" t="str">
        <f t="shared" si="519"/>
        <v>AVERAGE</v>
      </c>
      <c r="S6603" t="s">
        <v>620</v>
      </c>
    </row>
    <row r="6604" spans="1:19" x14ac:dyDescent="0.2">
      <c r="A6604" t="s">
        <v>7215</v>
      </c>
      <c r="B6604" t="s">
        <v>67</v>
      </c>
      <c r="C6604" t="s">
        <v>602</v>
      </c>
      <c r="D6604">
        <v>3225.39</v>
      </c>
      <c r="E6604" s="37" t="str">
        <f t="shared" si="515"/>
        <v xml:space="preserve"> </v>
      </c>
      <c r="F6604">
        <v>0.03</v>
      </c>
      <c r="G6604" s="37" t="str">
        <f t="shared" si="516"/>
        <v>Normal Discount</v>
      </c>
      <c r="H6604" s="37" t="str">
        <f t="shared" si="517"/>
        <v>Low</v>
      </c>
      <c r="I6604">
        <v>6</v>
      </c>
      <c r="J6604" t="str" cm="1">
        <f t="array" ref="J6604">_xlfn.IFS(I6604&lt;=3,"small",I6604&lt;=6,"Medium",I6604&lt;=9,"Large")</f>
        <v>Medium</v>
      </c>
      <c r="K6604" s="36">
        <v>45610</v>
      </c>
      <c r="L6604" s="36">
        <v>45616</v>
      </c>
      <c r="M6604" t="s">
        <v>612</v>
      </c>
      <c r="N6604" t="s">
        <v>599</v>
      </c>
      <c r="O6604" s="37" t="str">
        <f t="shared" si="518"/>
        <v>Digital Payment</v>
      </c>
      <c r="P6604">
        <v>306.48</v>
      </c>
      <c r="Q6604" s="37" t="str">
        <f>IF(P6604&gt;500,"High","low")</f>
        <v>low</v>
      </c>
      <c r="R6604" s="37" t="str">
        <f t="shared" si="519"/>
        <v>AVERAGE</v>
      </c>
      <c r="S6604" t="s">
        <v>628</v>
      </c>
    </row>
    <row r="6605" spans="1:19" x14ac:dyDescent="0.2">
      <c r="A6605" t="s">
        <v>7216</v>
      </c>
      <c r="B6605" t="s">
        <v>75</v>
      </c>
      <c r="C6605" t="s">
        <v>597</v>
      </c>
      <c r="D6605">
        <v>3956.28</v>
      </c>
      <c r="E6605" s="37" t="str">
        <f t="shared" si="515"/>
        <v xml:space="preserve"> </v>
      </c>
      <c r="F6605">
        <v>0.34</v>
      </c>
      <c r="G6605" s="37" t="str">
        <f t="shared" si="516"/>
        <v>Heavy Discount</v>
      </c>
      <c r="H6605" s="37" t="str">
        <f t="shared" si="517"/>
        <v>Medium</v>
      </c>
      <c r="I6605">
        <v>3</v>
      </c>
      <c r="J6605" t="str" cm="1">
        <f t="array" ref="J6605">_xlfn.IFS(I6605&lt;=3,"small",I6605&lt;=6,"Medium",I6605&lt;=9,"Large")</f>
        <v>small</v>
      </c>
      <c r="K6605" s="36">
        <v>45238</v>
      </c>
      <c r="L6605" s="36">
        <v>45243</v>
      </c>
      <c r="M6605" t="s">
        <v>612</v>
      </c>
      <c r="N6605" t="s">
        <v>599</v>
      </c>
      <c r="O6605" s="37" t="str">
        <f t="shared" si="518"/>
        <v>Digital Payment</v>
      </c>
      <c r="P6605">
        <v>1132.6099999999999</v>
      </c>
      <c r="Q6605" s="37" t="str">
        <f>IF(P6605&gt;500,"High","low")</f>
        <v>High</v>
      </c>
      <c r="R6605" s="37" t="str">
        <f t="shared" si="519"/>
        <v>Excellent</v>
      </c>
      <c r="S6605" t="s">
        <v>609</v>
      </c>
    </row>
    <row r="6606" spans="1:19" x14ac:dyDescent="0.2">
      <c r="A6606" t="s">
        <v>7217</v>
      </c>
      <c r="B6606" t="s">
        <v>90</v>
      </c>
      <c r="C6606" t="s">
        <v>607</v>
      </c>
      <c r="D6606">
        <v>3790.85</v>
      </c>
      <c r="E6606" s="37" t="str">
        <f t="shared" si="515"/>
        <v xml:space="preserve"> </v>
      </c>
      <c r="F6606">
        <v>0.14000000000000001</v>
      </c>
      <c r="G6606" s="37" t="str">
        <f t="shared" si="516"/>
        <v>Normal Discount</v>
      </c>
      <c r="H6606" s="37" t="str">
        <f t="shared" si="517"/>
        <v>Low</v>
      </c>
      <c r="I6606">
        <v>7</v>
      </c>
      <c r="J6606" t="str" cm="1">
        <f t="array" ref="J6606">_xlfn.IFS(I6606&lt;=3,"small",I6606&lt;=6,"Medium",I6606&lt;=9,"Large")</f>
        <v>Large</v>
      </c>
      <c r="K6606" s="36">
        <v>45248</v>
      </c>
      <c r="L6606" s="36">
        <v>45249</v>
      </c>
      <c r="M6606" t="s">
        <v>612</v>
      </c>
      <c r="N6606" t="s">
        <v>608</v>
      </c>
      <c r="O6606" s="37" t="str">
        <f t="shared" si="518"/>
        <v>Cash Payment</v>
      </c>
      <c r="P6606">
        <v>265.57</v>
      </c>
      <c r="Q6606" s="37" t="str">
        <f>IF(P6606&gt;500,"High","low")</f>
        <v>low</v>
      </c>
      <c r="R6606" s="37" t="str">
        <f t="shared" si="519"/>
        <v>AVERAGE</v>
      </c>
      <c r="S6606" t="s">
        <v>609</v>
      </c>
    </row>
    <row r="6607" spans="1:19" x14ac:dyDescent="0.2">
      <c r="A6607" t="s">
        <v>7218</v>
      </c>
      <c r="B6607" t="s">
        <v>83</v>
      </c>
      <c r="C6607" t="s">
        <v>607</v>
      </c>
      <c r="D6607">
        <v>3621.67</v>
      </c>
      <c r="E6607" s="37" t="str">
        <f t="shared" si="515"/>
        <v xml:space="preserve"> </v>
      </c>
      <c r="F6607">
        <v>0.48</v>
      </c>
      <c r="G6607" s="37" t="str">
        <f t="shared" si="516"/>
        <v>Heavy Discount</v>
      </c>
      <c r="H6607" s="37" t="str">
        <f t="shared" si="517"/>
        <v>High</v>
      </c>
      <c r="I6607">
        <v>5</v>
      </c>
      <c r="J6607" t="str" cm="1">
        <f t="array" ref="J6607">_xlfn.IFS(I6607&lt;=3,"small",I6607&lt;=6,"Medium",I6607&lt;=9,"Large")</f>
        <v>Medium</v>
      </c>
      <c r="K6607" s="36">
        <v>45557</v>
      </c>
      <c r="L6607" s="36">
        <v>45561</v>
      </c>
      <c r="M6607" t="s">
        <v>603</v>
      </c>
      <c r="N6607" t="s">
        <v>604</v>
      </c>
      <c r="O6607" s="37" t="str">
        <f t="shared" si="518"/>
        <v>Digital Payment</v>
      </c>
      <c r="P6607">
        <v>599.84</v>
      </c>
      <c r="Q6607" s="37" t="str">
        <f>IF(P6607&gt;500,"High","low")</f>
        <v>High</v>
      </c>
      <c r="R6607" s="37" t="str">
        <f t="shared" si="519"/>
        <v>Good</v>
      </c>
      <c r="S6607" t="s">
        <v>615</v>
      </c>
    </row>
    <row r="6608" spans="1:19" x14ac:dyDescent="0.2">
      <c r="A6608" t="s">
        <v>7219</v>
      </c>
      <c r="B6608" t="s">
        <v>75</v>
      </c>
      <c r="C6608" t="s">
        <v>602</v>
      </c>
      <c r="D6608">
        <v>347.6</v>
      </c>
      <c r="E6608" s="37" t="str">
        <f t="shared" si="515"/>
        <v xml:space="preserve"> </v>
      </c>
      <c r="F6608">
        <v>0.3</v>
      </c>
      <c r="G6608" s="37" t="str">
        <f t="shared" si="516"/>
        <v>Normal Discount</v>
      </c>
      <c r="H6608" s="37" t="str">
        <f t="shared" si="517"/>
        <v>Medium</v>
      </c>
      <c r="I6608">
        <v>4</v>
      </c>
      <c r="J6608" t="str" cm="1">
        <f t="array" ref="J6608">_xlfn.IFS(I6608&lt;=3,"small",I6608&lt;=6,"Medium",I6608&lt;=9,"Large")</f>
        <v>Medium</v>
      </c>
      <c r="K6608" s="36">
        <v>45446</v>
      </c>
      <c r="L6608" s="36">
        <v>45447</v>
      </c>
      <c r="M6608" t="s">
        <v>612</v>
      </c>
      <c r="N6608" t="s">
        <v>604</v>
      </c>
      <c r="O6608" s="37" t="str">
        <f t="shared" si="518"/>
        <v>Digital Payment</v>
      </c>
      <c r="P6608">
        <v>70.64</v>
      </c>
      <c r="Q6608" s="37" t="str">
        <f>IF(P6608&gt;500,"High","low")</f>
        <v>low</v>
      </c>
      <c r="R6608" s="37" t="str">
        <f t="shared" si="519"/>
        <v>AVERAGE</v>
      </c>
      <c r="S6608" t="s">
        <v>615</v>
      </c>
    </row>
    <row r="6609" spans="1:19" x14ac:dyDescent="0.2">
      <c r="A6609" t="s">
        <v>7220</v>
      </c>
      <c r="B6609" t="s">
        <v>90</v>
      </c>
      <c r="C6609" t="s">
        <v>602</v>
      </c>
      <c r="D6609">
        <v>3932.58</v>
      </c>
      <c r="E6609" s="37" t="str">
        <f t="shared" si="515"/>
        <v xml:space="preserve"> </v>
      </c>
      <c r="F6609">
        <v>0.32</v>
      </c>
      <c r="G6609" s="37" t="str">
        <f t="shared" si="516"/>
        <v>Heavy Discount</v>
      </c>
      <c r="H6609" s="37" t="str">
        <f t="shared" si="517"/>
        <v>Medium</v>
      </c>
      <c r="I6609">
        <v>6</v>
      </c>
      <c r="J6609" t="str" cm="1">
        <f t="array" ref="J6609">_xlfn.IFS(I6609&lt;=3,"small",I6609&lt;=6,"Medium",I6609&lt;=9,"Large")</f>
        <v>Medium</v>
      </c>
      <c r="K6609" s="36">
        <v>44990</v>
      </c>
      <c r="L6609" s="36">
        <v>44997</v>
      </c>
      <c r="M6609" t="s">
        <v>598</v>
      </c>
      <c r="N6609" t="s">
        <v>604</v>
      </c>
      <c r="O6609" s="37" t="str">
        <f t="shared" si="518"/>
        <v>Digital Payment</v>
      </c>
      <c r="P6609">
        <v>654.82000000000005</v>
      </c>
      <c r="Q6609" s="37" t="str">
        <f>IF(P6609&gt;500,"High","low")</f>
        <v>High</v>
      </c>
      <c r="R6609" s="37" t="str">
        <f t="shared" si="519"/>
        <v>Good</v>
      </c>
      <c r="S6609" t="s">
        <v>615</v>
      </c>
    </row>
    <row r="6610" spans="1:19" x14ac:dyDescent="0.2">
      <c r="A6610" t="s">
        <v>7221</v>
      </c>
      <c r="B6610" t="s">
        <v>90</v>
      </c>
      <c r="C6610" t="s">
        <v>602</v>
      </c>
      <c r="D6610">
        <v>2559.21</v>
      </c>
      <c r="E6610" s="37" t="str">
        <f t="shared" si="515"/>
        <v xml:space="preserve"> </v>
      </c>
      <c r="F6610">
        <v>0.1</v>
      </c>
      <c r="G6610" s="37" t="str">
        <f t="shared" si="516"/>
        <v>Normal Discount</v>
      </c>
      <c r="H6610" s="37" t="str">
        <f t="shared" si="517"/>
        <v>Low</v>
      </c>
      <c r="I6610">
        <v>2</v>
      </c>
      <c r="J6610" t="str" cm="1">
        <f t="array" ref="J6610">_xlfn.IFS(I6610&lt;=3,"small",I6610&lt;=6,"Medium",I6610&lt;=9,"Large")</f>
        <v>small</v>
      </c>
      <c r="K6610" s="36">
        <v>45595</v>
      </c>
      <c r="L6610" s="36">
        <v>45600</v>
      </c>
      <c r="M6610" t="s">
        <v>598</v>
      </c>
      <c r="N6610" t="s">
        <v>599</v>
      </c>
      <c r="O6610" s="37" t="str">
        <f t="shared" si="518"/>
        <v>Digital Payment</v>
      </c>
      <c r="P6610">
        <v>551.4</v>
      </c>
      <c r="Q6610" s="37" t="str">
        <f>IF(P6610&gt;500,"High","low")</f>
        <v>High</v>
      </c>
      <c r="R6610" s="37" t="str">
        <f t="shared" si="519"/>
        <v>Good</v>
      </c>
      <c r="S6610" t="s">
        <v>620</v>
      </c>
    </row>
    <row r="6611" spans="1:19" x14ac:dyDescent="0.2">
      <c r="A6611" t="s">
        <v>7222</v>
      </c>
      <c r="B6611" t="s">
        <v>90</v>
      </c>
      <c r="C6611" t="s">
        <v>597</v>
      </c>
      <c r="D6611">
        <v>3280.52</v>
      </c>
      <c r="E6611" s="37" t="str">
        <f t="shared" si="515"/>
        <v xml:space="preserve"> </v>
      </c>
      <c r="F6611">
        <v>0.06</v>
      </c>
      <c r="G6611" s="37" t="str">
        <f t="shared" si="516"/>
        <v>Normal Discount</v>
      </c>
      <c r="H6611" s="37" t="str">
        <f t="shared" si="517"/>
        <v>Low</v>
      </c>
      <c r="I6611">
        <v>7</v>
      </c>
      <c r="J6611" t="str" cm="1">
        <f t="array" ref="J6611">_xlfn.IFS(I6611&lt;=3,"small",I6611&lt;=6,"Medium",I6611&lt;=9,"Large")</f>
        <v>Large</v>
      </c>
      <c r="K6611" s="36">
        <v>45358</v>
      </c>
      <c r="L6611" s="36">
        <v>45364</v>
      </c>
      <c r="M6611" t="s">
        <v>598</v>
      </c>
      <c r="N6611" t="s">
        <v>599</v>
      </c>
      <c r="O6611" s="37" t="str">
        <f t="shared" si="518"/>
        <v>Digital Payment</v>
      </c>
      <c r="P6611">
        <v>189.89</v>
      </c>
      <c r="Q6611" s="37" t="str">
        <f>IF(P6611&gt;500,"High","low")</f>
        <v>low</v>
      </c>
      <c r="R6611" s="37" t="str">
        <f t="shared" si="519"/>
        <v>AVERAGE</v>
      </c>
      <c r="S6611" t="s">
        <v>609</v>
      </c>
    </row>
    <row r="6612" spans="1:19" x14ac:dyDescent="0.2">
      <c r="A6612" t="s">
        <v>7223</v>
      </c>
      <c r="B6612" t="s">
        <v>83</v>
      </c>
      <c r="C6612" t="s">
        <v>597</v>
      </c>
      <c r="D6612">
        <v>4786.4799999999996</v>
      </c>
      <c r="E6612" s="37" t="str">
        <f t="shared" si="515"/>
        <v>Excellent Order</v>
      </c>
      <c r="F6612">
        <v>0.26</v>
      </c>
      <c r="G6612" s="37" t="str">
        <f t="shared" si="516"/>
        <v>Normal Discount</v>
      </c>
      <c r="H6612" s="37" t="str">
        <f t="shared" si="517"/>
        <v>Medium</v>
      </c>
      <c r="I6612">
        <v>2</v>
      </c>
      <c r="J6612" t="str" cm="1">
        <f t="array" ref="J6612">_xlfn.IFS(I6612&lt;=3,"small",I6612&lt;=6,"Medium",I6612&lt;=9,"Large")</f>
        <v>small</v>
      </c>
      <c r="K6612" s="36">
        <v>45585</v>
      </c>
      <c r="L6612" s="36">
        <v>45588</v>
      </c>
      <c r="M6612" t="s">
        <v>598</v>
      </c>
      <c r="N6612" t="s">
        <v>608</v>
      </c>
      <c r="O6612" s="37" t="str">
        <f t="shared" si="518"/>
        <v>Cash Payment</v>
      </c>
      <c r="P6612">
        <v>1349.02</v>
      </c>
      <c r="Q6612" s="37" t="str">
        <f>IF(P6612&gt;500,"High","low")</f>
        <v>High</v>
      </c>
      <c r="R6612" s="37" t="str">
        <f t="shared" si="519"/>
        <v>Excellent</v>
      </c>
      <c r="S6612" t="s">
        <v>605</v>
      </c>
    </row>
    <row r="6613" spans="1:19" x14ac:dyDescent="0.2">
      <c r="A6613" t="s">
        <v>7224</v>
      </c>
      <c r="B6613" t="s">
        <v>83</v>
      </c>
      <c r="C6613" t="s">
        <v>614</v>
      </c>
      <c r="D6613">
        <v>4072.3</v>
      </c>
      <c r="E6613" s="37" t="str">
        <f t="shared" si="515"/>
        <v xml:space="preserve"> </v>
      </c>
      <c r="F6613">
        <v>0.46</v>
      </c>
      <c r="G6613" s="37" t="str">
        <f t="shared" si="516"/>
        <v>Heavy Discount</v>
      </c>
      <c r="H6613" s="37" t="str">
        <f t="shared" si="517"/>
        <v>High</v>
      </c>
      <c r="I6613">
        <v>7</v>
      </c>
      <c r="J6613" t="str" cm="1">
        <f t="array" ref="J6613">_xlfn.IFS(I6613&lt;=3,"small",I6613&lt;=6,"Medium",I6613&lt;=9,"Large")</f>
        <v>Large</v>
      </c>
      <c r="K6613" s="36">
        <v>45575</v>
      </c>
      <c r="L6613" s="36">
        <v>45581</v>
      </c>
      <c r="M6613" t="s">
        <v>612</v>
      </c>
      <c r="N6613" t="s">
        <v>604</v>
      </c>
      <c r="O6613" s="37" t="str">
        <f t="shared" si="518"/>
        <v>Digital Payment</v>
      </c>
      <c r="P6613">
        <v>564.79999999999995</v>
      </c>
      <c r="Q6613" s="37" t="str">
        <f>IF(P6613&gt;500,"High","low")</f>
        <v>High</v>
      </c>
      <c r="R6613" s="37" t="str">
        <f t="shared" si="519"/>
        <v>Good</v>
      </c>
      <c r="S6613" t="s">
        <v>620</v>
      </c>
    </row>
    <row r="6614" spans="1:19" x14ac:dyDescent="0.2">
      <c r="A6614" t="s">
        <v>7225</v>
      </c>
      <c r="B6614" t="s">
        <v>67</v>
      </c>
      <c r="C6614" t="s">
        <v>602</v>
      </c>
      <c r="D6614">
        <v>4144.32</v>
      </c>
      <c r="E6614" s="37" t="str">
        <f t="shared" si="515"/>
        <v xml:space="preserve"> </v>
      </c>
      <c r="F6614">
        <v>0.03</v>
      </c>
      <c r="G6614" s="37" t="str">
        <f t="shared" si="516"/>
        <v>Normal Discount</v>
      </c>
      <c r="H6614" s="37" t="str">
        <f t="shared" si="517"/>
        <v>Low</v>
      </c>
      <c r="I6614">
        <v>8</v>
      </c>
      <c r="J6614" t="str" cm="1">
        <f t="array" ref="J6614">_xlfn.IFS(I6614&lt;=3,"small",I6614&lt;=6,"Medium",I6614&lt;=9,"Large")</f>
        <v>Large</v>
      </c>
      <c r="K6614" s="36">
        <v>45510</v>
      </c>
      <c r="L6614" s="36">
        <v>45517</v>
      </c>
      <c r="M6614" t="s">
        <v>598</v>
      </c>
      <c r="N6614" t="s">
        <v>599</v>
      </c>
      <c r="O6614" s="37" t="str">
        <f t="shared" si="518"/>
        <v>Digital Payment</v>
      </c>
      <c r="P6614">
        <v>655.68</v>
      </c>
      <c r="Q6614" s="37" t="str">
        <f>IF(P6614&gt;500,"High","low")</f>
        <v>High</v>
      </c>
      <c r="R6614" s="37" t="str">
        <f t="shared" si="519"/>
        <v>Good</v>
      </c>
      <c r="S6614" t="s">
        <v>605</v>
      </c>
    </row>
    <row r="6615" spans="1:19" x14ac:dyDescent="0.2">
      <c r="A6615" t="s">
        <v>7226</v>
      </c>
      <c r="B6615" t="s">
        <v>67</v>
      </c>
      <c r="C6615" t="s">
        <v>614</v>
      </c>
      <c r="D6615">
        <v>989.19</v>
      </c>
      <c r="E6615" s="37" t="str">
        <f t="shared" si="515"/>
        <v xml:space="preserve"> </v>
      </c>
      <c r="F6615">
        <v>0.25</v>
      </c>
      <c r="G6615" s="37" t="str">
        <f t="shared" si="516"/>
        <v>Normal Discount</v>
      </c>
      <c r="H6615" s="37" t="str">
        <f t="shared" si="517"/>
        <v>Medium</v>
      </c>
      <c r="I6615">
        <v>2</v>
      </c>
      <c r="J6615" t="str" cm="1">
        <f t="array" ref="J6615">_xlfn.IFS(I6615&lt;=3,"small",I6615&lt;=6,"Medium",I6615&lt;=9,"Large")</f>
        <v>small</v>
      </c>
      <c r="K6615" s="36">
        <v>45295</v>
      </c>
      <c r="L6615" s="36">
        <v>45300</v>
      </c>
      <c r="M6615" t="s">
        <v>612</v>
      </c>
      <c r="N6615" t="s">
        <v>599</v>
      </c>
      <c r="O6615" s="37" t="str">
        <f t="shared" si="518"/>
        <v>Digital Payment</v>
      </c>
      <c r="P6615">
        <v>182.46</v>
      </c>
      <c r="Q6615" s="37" t="str">
        <f>IF(P6615&gt;500,"High","low")</f>
        <v>low</v>
      </c>
      <c r="R6615" s="37" t="str">
        <f t="shared" si="519"/>
        <v>AVERAGE</v>
      </c>
      <c r="S6615" t="s">
        <v>620</v>
      </c>
    </row>
    <row r="6616" spans="1:19" x14ac:dyDescent="0.2">
      <c r="A6616" t="s">
        <v>7227</v>
      </c>
      <c r="B6616" t="s">
        <v>90</v>
      </c>
      <c r="C6616" t="s">
        <v>617</v>
      </c>
      <c r="D6616">
        <v>2434.44</v>
      </c>
      <c r="E6616" s="37" t="str">
        <f t="shared" si="515"/>
        <v xml:space="preserve"> </v>
      </c>
      <c r="F6616">
        <v>0.1</v>
      </c>
      <c r="G6616" s="37" t="str">
        <f t="shared" si="516"/>
        <v>Normal Discount</v>
      </c>
      <c r="H6616" s="37" t="str">
        <f t="shared" si="517"/>
        <v>Low</v>
      </c>
      <c r="I6616">
        <v>8</v>
      </c>
      <c r="J6616" t="str" cm="1">
        <f t="array" ref="J6616">_xlfn.IFS(I6616&lt;=3,"small",I6616&lt;=6,"Medium",I6616&lt;=9,"Large")</f>
        <v>Large</v>
      </c>
      <c r="K6616" s="36">
        <v>44941</v>
      </c>
      <c r="L6616" s="36">
        <v>44945</v>
      </c>
      <c r="M6616" t="s">
        <v>603</v>
      </c>
      <c r="N6616" t="s">
        <v>608</v>
      </c>
      <c r="O6616" s="37" t="str">
        <f t="shared" si="518"/>
        <v>Cash Payment</v>
      </c>
      <c r="P6616">
        <v>513.86</v>
      </c>
      <c r="Q6616" s="37" t="str">
        <f>IF(P6616&gt;500,"High","low")</f>
        <v>High</v>
      </c>
      <c r="R6616" s="37" t="str">
        <f t="shared" si="519"/>
        <v>Good</v>
      </c>
      <c r="S6616" t="s">
        <v>600</v>
      </c>
    </row>
    <row r="6617" spans="1:19" x14ac:dyDescent="0.2">
      <c r="A6617" t="s">
        <v>7228</v>
      </c>
      <c r="B6617" t="s">
        <v>90</v>
      </c>
      <c r="C6617" t="s">
        <v>597</v>
      </c>
      <c r="D6617">
        <v>4751.6899999999996</v>
      </c>
      <c r="E6617" s="37" t="str">
        <f t="shared" si="515"/>
        <v xml:space="preserve"> </v>
      </c>
      <c r="F6617">
        <v>0.39</v>
      </c>
      <c r="G6617" s="37" t="str">
        <f t="shared" si="516"/>
        <v>Heavy Discount</v>
      </c>
      <c r="H6617" s="37" t="str">
        <f t="shared" si="517"/>
        <v>Medium</v>
      </c>
      <c r="I6617">
        <v>7</v>
      </c>
      <c r="J6617" t="str" cm="1">
        <f t="array" ref="J6617">_xlfn.IFS(I6617&lt;=3,"small",I6617&lt;=6,"Medium",I6617&lt;=9,"Large")</f>
        <v>Large</v>
      </c>
      <c r="K6617" s="36">
        <v>45408</v>
      </c>
      <c r="L6617" s="36">
        <v>45409</v>
      </c>
      <c r="M6617" t="s">
        <v>612</v>
      </c>
      <c r="N6617" t="s">
        <v>604</v>
      </c>
      <c r="O6617" s="37" t="str">
        <f t="shared" si="518"/>
        <v>Digital Payment</v>
      </c>
      <c r="P6617">
        <v>386.74</v>
      </c>
      <c r="Q6617" s="37" t="str">
        <f>IF(P6617&gt;500,"High","low")</f>
        <v>low</v>
      </c>
      <c r="R6617" s="37" t="str">
        <f t="shared" si="519"/>
        <v>AVERAGE</v>
      </c>
      <c r="S6617" t="s">
        <v>605</v>
      </c>
    </row>
    <row r="6618" spans="1:19" x14ac:dyDescent="0.2">
      <c r="A6618" t="s">
        <v>7229</v>
      </c>
      <c r="B6618" t="s">
        <v>83</v>
      </c>
      <c r="C6618" t="s">
        <v>607</v>
      </c>
      <c r="D6618">
        <v>2955.16</v>
      </c>
      <c r="E6618" s="37" t="str">
        <f t="shared" si="515"/>
        <v xml:space="preserve"> </v>
      </c>
      <c r="F6618">
        <v>0.34</v>
      </c>
      <c r="G6618" s="37" t="str">
        <f t="shared" si="516"/>
        <v>Heavy Discount</v>
      </c>
      <c r="H6618" s="37" t="str">
        <f t="shared" si="517"/>
        <v>Medium</v>
      </c>
      <c r="I6618">
        <v>3</v>
      </c>
      <c r="J6618" t="str" cm="1">
        <f t="array" ref="J6618">_xlfn.IFS(I6618&lt;=3,"small",I6618&lt;=6,"Medium",I6618&lt;=9,"Large")</f>
        <v>small</v>
      </c>
      <c r="K6618" s="36">
        <v>45250</v>
      </c>
      <c r="L6618" s="36">
        <v>45253</v>
      </c>
      <c r="M6618" t="s">
        <v>603</v>
      </c>
      <c r="N6618" t="s">
        <v>608</v>
      </c>
      <c r="O6618" s="37" t="str">
        <f t="shared" si="518"/>
        <v>Cash Payment</v>
      </c>
      <c r="P6618">
        <v>418.9</v>
      </c>
      <c r="Q6618" s="37" t="str">
        <f>IF(P6618&gt;500,"High","low")</f>
        <v>low</v>
      </c>
      <c r="R6618" s="37" t="str">
        <f t="shared" si="519"/>
        <v>AVERAGE</v>
      </c>
      <c r="S6618" t="s">
        <v>620</v>
      </c>
    </row>
    <row r="6619" spans="1:19" x14ac:dyDescent="0.2">
      <c r="A6619" t="s">
        <v>7230</v>
      </c>
      <c r="B6619" t="s">
        <v>67</v>
      </c>
      <c r="C6619" t="s">
        <v>617</v>
      </c>
      <c r="D6619">
        <v>602.66999999999996</v>
      </c>
      <c r="E6619" s="37" t="str">
        <f t="shared" si="515"/>
        <v xml:space="preserve"> </v>
      </c>
      <c r="F6619">
        <v>0.05</v>
      </c>
      <c r="G6619" s="37" t="str">
        <f t="shared" si="516"/>
        <v>Normal Discount</v>
      </c>
      <c r="H6619" s="37" t="str">
        <f t="shared" si="517"/>
        <v>Low</v>
      </c>
      <c r="I6619">
        <v>7</v>
      </c>
      <c r="J6619" t="str" cm="1">
        <f t="array" ref="J6619">_xlfn.IFS(I6619&lt;=3,"small",I6619&lt;=6,"Medium",I6619&lt;=9,"Large")</f>
        <v>Large</v>
      </c>
      <c r="K6619" s="36">
        <v>45245</v>
      </c>
      <c r="L6619" s="36">
        <v>45251</v>
      </c>
      <c r="M6619" t="s">
        <v>603</v>
      </c>
      <c r="N6619" t="s">
        <v>599</v>
      </c>
      <c r="O6619" s="37" t="str">
        <f t="shared" si="518"/>
        <v>Digital Payment</v>
      </c>
      <c r="P6619">
        <v>119.95</v>
      </c>
      <c r="Q6619" s="37" t="str">
        <f>IF(P6619&gt;500,"High","low")</f>
        <v>low</v>
      </c>
      <c r="R6619" s="37" t="str">
        <f t="shared" si="519"/>
        <v>AVERAGE</v>
      </c>
      <c r="S6619" t="s">
        <v>628</v>
      </c>
    </row>
    <row r="6620" spans="1:19" x14ac:dyDescent="0.2">
      <c r="A6620" t="s">
        <v>7231</v>
      </c>
      <c r="B6620" t="s">
        <v>90</v>
      </c>
      <c r="C6620" t="s">
        <v>607</v>
      </c>
      <c r="D6620">
        <v>3685.92</v>
      </c>
      <c r="E6620" s="37" t="str">
        <f t="shared" si="515"/>
        <v xml:space="preserve"> </v>
      </c>
      <c r="F6620">
        <v>0.31</v>
      </c>
      <c r="G6620" s="37" t="str">
        <f t="shared" si="516"/>
        <v>Heavy Discount</v>
      </c>
      <c r="H6620" s="37" t="str">
        <f t="shared" si="517"/>
        <v>Medium</v>
      </c>
      <c r="I6620">
        <v>1</v>
      </c>
      <c r="J6620" t="str" cm="1">
        <f t="array" ref="J6620">_xlfn.IFS(I6620&lt;=3,"small",I6620&lt;=6,"Medium",I6620&lt;=9,"Large")</f>
        <v>small</v>
      </c>
      <c r="K6620" s="36">
        <v>45017</v>
      </c>
      <c r="L6620" s="36">
        <v>45020</v>
      </c>
      <c r="M6620" t="s">
        <v>598</v>
      </c>
      <c r="N6620" t="s">
        <v>599</v>
      </c>
      <c r="O6620" s="37" t="str">
        <f t="shared" si="518"/>
        <v>Digital Payment</v>
      </c>
      <c r="P6620">
        <v>670.76</v>
      </c>
      <c r="Q6620" s="37" t="str">
        <f>IF(P6620&gt;500,"High","low")</f>
        <v>High</v>
      </c>
      <c r="R6620" s="37" t="str">
        <f t="shared" si="519"/>
        <v>Good</v>
      </c>
      <c r="S6620" t="s">
        <v>609</v>
      </c>
    </row>
    <row r="6621" spans="1:19" x14ac:dyDescent="0.2">
      <c r="A6621" t="s">
        <v>7232</v>
      </c>
      <c r="B6621" t="s">
        <v>67</v>
      </c>
      <c r="C6621" t="s">
        <v>617</v>
      </c>
      <c r="D6621">
        <v>310.33999999999997</v>
      </c>
      <c r="E6621" s="37" t="str">
        <f t="shared" si="515"/>
        <v xml:space="preserve"> </v>
      </c>
      <c r="F6621">
        <v>0.49</v>
      </c>
      <c r="G6621" s="37" t="str">
        <f t="shared" si="516"/>
        <v>Heavy Discount</v>
      </c>
      <c r="H6621" s="37" t="str">
        <f t="shared" si="517"/>
        <v>High</v>
      </c>
      <c r="I6621">
        <v>2</v>
      </c>
      <c r="J6621" t="str" cm="1">
        <f t="array" ref="J6621">_xlfn.IFS(I6621&lt;=3,"small",I6621&lt;=6,"Medium",I6621&lt;=9,"Large")</f>
        <v>small</v>
      </c>
      <c r="K6621" s="36">
        <v>45229</v>
      </c>
      <c r="L6621" s="36">
        <v>45235</v>
      </c>
      <c r="M6621" t="s">
        <v>598</v>
      </c>
      <c r="N6621" t="s">
        <v>608</v>
      </c>
      <c r="O6621" s="37" t="str">
        <f t="shared" si="518"/>
        <v>Cash Payment</v>
      </c>
      <c r="P6621">
        <v>19.52</v>
      </c>
      <c r="Q6621" s="37" t="str">
        <f>IF(P6621&gt;500,"High","low")</f>
        <v>low</v>
      </c>
      <c r="R6621" s="37" t="str">
        <f t="shared" si="519"/>
        <v>AVERAGE</v>
      </c>
      <c r="S6621" t="s">
        <v>620</v>
      </c>
    </row>
    <row r="6622" spans="1:19" x14ac:dyDescent="0.2">
      <c r="A6622" t="s">
        <v>7233</v>
      </c>
      <c r="B6622" t="s">
        <v>67</v>
      </c>
      <c r="C6622" t="s">
        <v>614</v>
      </c>
      <c r="D6622">
        <v>3737.26</v>
      </c>
      <c r="E6622" s="37" t="str">
        <f t="shared" si="515"/>
        <v xml:space="preserve"> </v>
      </c>
      <c r="F6622">
        <v>0.26</v>
      </c>
      <c r="G6622" s="37" t="str">
        <f t="shared" si="516"/>
        <v>Normal Discount</v>
      </c>
      <c r="H6622" s="37" t="str">
        <f t="shared" si="517"/>
        <v>Medium</v>
      </c>
      <c r="I6622">
        <v>5</v>
      </c>
      <c r="J6622" t="str" cm="1">
        <f t="array" ref="J6622">_xlfn.IFS(I6622&lt;=3,"small",I6622&lt;=6,"Medium",I6622&lt;=9,"Large")</f>
        <v>Medium</v>
      </c>
      <c r="K6622" s="36">
        <v>45195</v>
      </c>
      <c r="L6622" s="36">
        <v>45196</v>
      </c>
      <c r="M6622" t="s">
        <v>603</v>
      </c>
      <c r="N6622" t="s">
        <v>608</v>
      </c>
      <c r="O6622" s="37" t="str">
        <f t="shared" si="518"/>
        <v>Cash Payment</v>
      </c>
      <c r="P6622">
        <v>887.67</v>
      </c>
      <c r="Q6622" s="37" t="str">
        <f>IF(P6622&gt;500,"High","low")</f>
        <v>High</v>
      </c>
      <c r="R6622" s="37" t="str">
        <f t="shared" si="519"/>
        <v>Good</v>
      </c>
      <c r="S6622" t="s">
        <v>620</v>
      </c>
    </row>
    <row r="6623" spans="1:19" x14ac:dyDescent="0.2">
      <c r="A6623" t="s">
        <v>7234</v>
      </c>
      <c r="B6623" t="s">
        <v>90</v>
      </c>
      <c r="C6623" t="s">
        <v>614</v>
      </c>
      <c r="D6623">
        <v>4410.8900000000003</v>
      </c>
      <c r="E6623" s="37" t="str">
        <f t="shared" si="515"/>
        <v xml:space="preserve"> </v>
      </c>
      <c r="F6623">
        <v>0.14000000000000001</v>
      </c>
      <c r="G6623" s="37" t="str">
        <f t="shared" si="516"/>
        <v>Normal Discount</v>
      </c>
      <c r="H6623" s="37" t="str">
        <f t="shared" si="517"/>
        <v>Low</v>
      </c>
      <c r="I6623">
        <v>9</v>
      </c>
      <c r="J6623" t="str" cm="1">
        <f t="array" ref="J6623">_xlfn.IFS(I6623&lt;=3,"small",I6623&lt;=6,"Medium",I6623&lt;=9,"Large")</f>
        <v>Large</v>
      </c>
      <c r="K6623" s="36">
        <v>45406</v>
      </c>
      <c r="L6623" s="36">
        <v>45407</v>
      </c>
      <c r="M6623" t="s">
        <v>598</v>
      </c>
      <c r="N6623" t="s">
        <v>608</v>
      </c>
      <c r="O6623" s="37" t="str">
        <f t="shared" si="518"/>
        <v>Cash Payment</v>
      </c>
      <c r="P6623">
        <v>647.27</v>
      </c>
      <c r="Q6623" s="37" t="str">
        <f>IF(P6623&gt;500,"High","low")</f>
        <v>High</v>
      </c>
      <c r="R6623" s="37" t="str">
        <f t="shared" si="519"/>
        <v>Good</v>
      </c>
      <c r="S6623" t="s">
        <v>615</v>
      </c>
    </row>
    <row r="6624" spans="1:19" x14ac:dyDescent="0.2">
      <c r="A6624" t="s">
        <v>7235</v>
      </c>
      <c r="B6624" t="s">
        <v>83</v>
      </c>
      <c r="C6624" t="s">
        <v>597</v>
      </c>
      <c r="D6624">
        <v>2183.73</v>
      </c>
      <c r="E6624" s="37" t="str">
        <f t="shared" si="515"/>
        <v xml:space="preserve"> </v>
      </c>
      <c r="F6624">
        <v>0.08</v>
      </c>
      <c r="G6624" s="37" t="str">
        <f t="shared" si="516"/>
        <v>Normal Discount</v>
      </c>
      <c r="H6624" s="37" t="str">
        <f t="shared" si="517"/>
        <v>Low</v>
      </c>
      <c r="I6624">
        <v>1</v>
      </c>
      <c r="J6624" t="str" cm="1">
        <f t="array" ref="J6624">_xlfn.IFS(I6624&lt;=3,"small",I6624&lt;=6,"Medium",I6624&lt;=9,"Large")</f>
        <v>small</v>
      </c>
      <c r="K6624" s="36">
        <v>45025</v>
      </c>
      <c r="L6624" s="36">
        <v>45026</v>
      </c>
      <c r="M6624" t="s">
        <v>612</v>
      </c>
      <c r="N6624" t="s">
        <v>604</v>
      </c>
      <c r="O6624" s="37" t="str">
        <f t="shared" si="518"/>
        <v>Digital Payment</v>
      </c>
      <c r="P6624">
        <v>119.8</v>
      </c>
      <c r="Q6624" s="37" t="str">
        <f>IF(P6624&gt;500,"High","low")</f>
        <v>low</v>
      </c>
      <c r="R6624" s="37" t="str">
        <f t="shared" si="519"/>
        <v>AVERAGE</v>
      </c>
      <c r="S6624" t="s">
        <v>615</v>
      </c>
    </row>
    <row r="6625" spans="1:19" x14ac:dyDescent="0.2">
      <c r="A6625" t="s">
        <v>7236</v>
      </c>
      <c r="B6625" t="s">
        <v>90</v>
      </c>
      <c r="C6625" t="s">
        <v>607</v>
      </c>
      <c r="D6625">
        <v>2126.6999999999998</v>
      </c>
      <c r="E6625" s="37" t="str">
        <f t="shared" si="515"/>
        <v xml:space="preserve"> </v>
      </c>
      <c r="F6625">
        <v>0.49</v>
      </c>
      <c r="G6625" s="37" t="str">
        <f t="shared" si="516"/>
        <v>Heavy Discount</v>
      </c>
      <c r="H6625" s="37" t="str">
        <f t="shared" si="517"/>
        <v>High</v>
      </c>
      <c r="I6625">
        <v>5</v>
      </c>
      <c r="J6625" t="str" cm="1">
        <f t="array" ref="J6625">_xlfn.IFS(I6625&lt;=3,"small",I6625&lt;=6,"Medium",I6625&lt;=9,"Large")</f>
        <v>Medium</v>
      </c>
      <c r="K6625" s="36">
        <v>45294</v>
      </c>
      <c r="L6625" s="36">
        <v>45298</v>
      </c>
      <c r="M6625" t="s">
        <v>598</v>
      </c>
      <c r="N6625" t="s">
        <v>608</v>
      </c>
      <c r="O6625" s="37" t="str">
        <f t="shared" si="518"/>
        <v>Cash Payment</v>
      </c>
      <c r="P6625">
        <v>529.88</v>
      </c>
      <c r="Q6625" s="37" t="str">
        <f>IF(P6625&gt;500,"High","low")</f>
        <v>High</v>
      </c>
      <c r="R6625" s="37" t="str">
        <f t="shared" si="519"/>
        <v>Good</v>
      </c>
      <c r="S6625" t="s">
        <v>628</v>
      </c>
    </row>
    <row r="6626" spans="1:19" x14ac:dyDescent="0.2">
      <c r="A6626" t="s">
        <v>7237</v>
      </c>
      <c r="B6626" t="s">
        <v>90</v>
      </c>
      <c r="C6626" t="s">
        <v>617</v>
      </c>
      <c r="D6626">
        <v>1590.64</v>
      </c>
      <c r="E6626" s="37" t="str">
        <f t="shared" si="515"/>
        <v xml:space="preserve"> </v>
      </c>
      <c r="F6626">
        <v>0.28000000000000003</v>
      </c>
      <c r="G6626" s="37" t="str">
        <f t="shared" si="516"/>
        <v>Normal Discount</v>
      </c>
      <c r="H6626" s="37" t="str">
        <f t="shared" si="517"/>
        <v>Medium</v>
      </c>
      <c r="I6626">
        <v>6</v>
      </c>
      <c r="J6626" t="str" cm="1">
        <f t="array" ref="J6626">_xlfn.IFS(I6626&lt;=3,"small",I6626&lt;=6,"Medium",I6626&lt;=9,"Large")</f>
        <v>Medium</v>
      </c>
      <c r="K6626" s="36">
        <v>45228</v>
      </c>
      <c r="L6626" s="36">
        <v>45231</v>
      </c>
      <c r="M6626" t="s">
        <v>612</v>
      </c>
      <c r="N6626" t="s">
        <v>608</v>
      </c>
      <c r="O6626" s="37" t="str">
        <f t="shared" si="518"/>
        <v>Cash Payment</v>
      </c>
      <c r="P6626">
        <v>81.819999999999993</v>
      </c>
      <c r="Q6626" s="37" t="str">
        <f>IF(P6626&gt;500,"High","low")</f>
        <v>low</v>
      </c>
      <c r="R6626" s="37" t="str">
        <f t="shared" si="519"/>
        <v>AVERAGE</v>
      </c>
      <c r="S6626" t="s">
        <v>620</v>
      </c>
    </row>
    <row r="6627" spans="1:19" x14ac:dyDescent="0.2">
      <c r="A6627" t="s">
        <v>7238</v>
      </c>
      <c r="B6627" t="s">
        <v>67</v>
      </c>
      <c r="C6627" t="s">
        <v>602</v>
      </c>
      <c r="D6627">
        <v>4397</v>
      </c>
      <c r="E6627" s="37" t="str">
        <f t="shared" si="515"/>
        <v xml:space="preserve"> </v>
      </c>
      <c r="F6627">
        <v>0.19</v>
      </c>
      <c r="G6627" s="37" t="str">
        <f t="shared" si="516"/>
        <v>Normal Discount</v>
      </c>
      <c r="H6627" s="37" t="str">
        <f t="shared" si="517"/>
        <v>Low</v>
      </c>
      <c r="I6627">
        <v>3</v>
      </c>
      <c r="J6627" t="str" cm="1">
        <f t="array" ref="J6627">_xlfn.IFS(I6627&lt;=3,"small",I6627&lt;=6,"Medium",I6627&lt;=9,"Large")</f>
        <v>small</v>
      </c>
      <c r="K6627" s="36">
        <v>44936</v>
      </c>
      <c r="L6627" s="36">
        <v>44941</v>
      </c>
      <c r="M6627" t="s">
        <v>598</v>
      </c>
      <c r="N6627" t="s">
        <v>608</v>
      </c>
      <c r="O6627" s="37" t="str">
        <f t="shared" si="518"/>
        <v>Cash Payment</v>
      </c>
      <c r="P6627">
        <v>442.05</v>
      </c>
      <c r="Q6627" s="37" t="str">
        <f>IF(P6627&gt;500,"High","low")</f>
        <v>low</v>
      </c>
      <c r="R6627" s="37" t="str">
        <f t="shared" si="519"/>
        <v>AVERAGE</v>
      </c>
      <c r="S6627" t="s">
        <v>605</v>
      </c>
    </row>
    <row r="6628" spans="1:19" x14ac:dyDescent="0.2">
      <c r="A6628" t="s">
        <v>7239</v>
      </c>
      <c r="B6628" t="s">
        <v>90</v>
      </c>
      <c r="C6628" t="s">
        <v>602</v>
      </c>
      <c r="D6628">
        <v>2784.14</v>
      </c>
      <c r="E6628" s="37" t="str">
        <f t="shared" si="515"/>
        <v xml:space="preserve"> </v>
      </c>
      <c r="F6628">
        <v>0.11</v>
      </c>
      <c r="G6628" s="37" t="str">
        <f t="shared" si="516"/>
        <v>Normal Discount</v>
      </c>
      <c r="H6628" s="37" t="str">
        <f t="shared" si="517"/>
        <v>Low</v>
      </c>
      <c r="I6628">
        <v>5</v>
      </c>
      <c r="J6628" t="str" cm="1">
        <f t="array" ref="J6628">_xlfn.IFS(I6628&lt;=3,"small",I6628&lt;=6,"Medium",I6628&lt;=9,"Large")</f>
        <v>Medium</v>
      </c>
      <c r="K6628" s="36">
        <v>45365</v>
      </c>
      <c r="L6628" s="36">
        <v>45369</v>
      </c>
      <c r="M6628" t="s">
        <v>612</v>
      </c>
      <c r="N6628" t="s">
        <v>599</v>
      </c>
      <c r="O6628" s="37" t="str">
        <f t="shared" si="518"/>
        <v>Digital Payment</v>
      </c>
      <c r="P6628">
        <v>643.51</v>
      </c>
      <c r="Q6628" s="37" t="str">
        <f>IF(P6628&gt;500,"High","low")</f>
        <v>High</v>
      </c>
      <c r="R6628" s="37" t="str">
        <f t="shared" si="519"/>
        <v>Good</v>
      </c>
      <c r="S6628" t="s">
        <v>600</v>
      </c>
    </row>
    <row r="6629" spans="1:19" x14ac:dyDescent="0.2">
      <c r="A6629" t="s">
        <v>7240</v>
      </c>
      <c r="B6629" t="s">
        <v>83</v>
      </c>
      <c r="C6629" t="s">
        <v>597</v>
      </c>
      <c r="D6629">
        <v>2938.37</v>
      </c>
      <c r="E6629" s="37" t="str">
        <f t="shared" si="515"/>
        <v xml:space="preserve"> </v>
      </c>
      <c r="F6629">
        <v>0.48</v>
      </c>
      <c r="G6629" s="37" t="str">
        <f t="shared" si="516"/>
        <v>Heavy Discount</v>
      </c>
      <c r="H6629" s="37" t="str">
        <f t="shared" si="517"/>
        <v>High</v>
      </c>
      <c r="I6629">
        <v>2</v>
      </c>
      <c r="J6629" t="str" cm="1">
        <f t="array" ref="J6629">_xlfn.IFS(I6629&lt;=3,"small",I6629&lt;=6,"Medium",I6629&lt;=9,"Large")</f>
        <v>small</v>
      </c>
      <c r="K6629" s="36">
        <v>45461</v>
      </c>
      <c r="L6629" s="36">
        <v>45462</v>
      </c>
      <c r="M6629" t="s">
        <v>603</v>
      </c>
      <c r="N6629" t="s">
        <v>599</v>
      </c>
      <c r="O6629" s="37" t="str">
        <f t="shared" si="518"/>
        <v>Digital Payment</v>
      </c>
      <c r="P6629">
        <v>582.61</v>
      </c>
      <c r="Q6629" s="37" t="str">
        <f>IF(P6629&gt;500,"High","low")</f>
        <v>High</v>
      </c>
      <c r="R6629" s="37" t="str">
        <f t="shared" si="519"/>
        <v>Good</v>
      </c>
      <c r="S6629" t="s">
        <v>615</v>
      </c>
    </row>
    <row r="6630" spans="1:19" x14ac:dyDescent="0.2">
      <c r="A6630" t="s">
        <v>7241</v>
      </c>
      <c r="B6630" t="s">
        <v>90</v>
      </c>
      <c r="C6630" t="s">
        <v>607</v>
      </c>
      <c r="D6630">
        <v>3342.37</v>
      </c>
      <c r="E6630" s="37" t="str">
        <f t="shared" si="515"/>
        <v xml:space="preserve"> </v>
      </c>
      <c r="F6630">
        <v>0.31</v>
      </c>
      <c r="G6630" s="37" t="str">
        <f t="shared" si="516"/>
        <v>Heavy Discount</v>
      </c>
      <c r="H6630" s="37" t="str">
        <f t="shared" si="517"/>
        <v>Medium</v>
      </c>
      <c r="I6630">
        <v>8</v>
      </c>
      <c r="J6630" t="str" cm="1">
        <f t="array" ref="J6630">_xlfn.IFS(I6630&lt;=3,"small",I6630&lt;=6,"Medium",I6630&lt;=9,"Large")</f>
        <v>Large</v>
      </c>
      <c r="K6630" s="36">
        <v>45205</v>
      </c>
      <c r="L6630" s="36">
        <v>45206</v>
      </c>
      <c r="M6630" t="s">
        <v>598</v>
      </c>
      <c r="N6630" t="s">
        <v>608</v>
      </c>
      <c r="O6630" s="37" t="str">
        <f t="shared" si="518"/>
        <v>Cash Payment</v>
      </c>
      <c r="P6630">
        <v>633.4</v>
      </c>
      <c r="Q6630" s="37" t="str">
        <f>IF(P6630&gt;500,"High","low")</f>
        <v>High</v>
      </c>
      <c r="R6630" s="37" t="str">
        <f t="shared" si="519"/>
        <v>Good</v>
      </c>
      <c r="S6630" t="s">
        <v>615</v>
      </c>
    </row>
    <row r="6631" spans="1:19" x14ac:dyDescent="0.2">
      <c r="A6631" t="s">
        <v>7242</v>
      </c>
      <c r="B6631" t="s">
        <v>83</v>
      </c>
      <c r="C6631" t="s">
        <v>602</v>
      </c>
      <c r="D6631">
        <v>1571.13</v>
      </c>
      <c r="E6631" s="37" t="str">
        <f t="shared" si="515"/>
        <v xml:space="preserve"> </v>
      </c>
      <c r="F6631">
        <v>0.03</v>
      </c>
      <c r="G6631" s="37" t="str">
        <f t="shared" si="516"/>
        <v>Normal Discount</v>
      </c>
      <c r="H6631" s="37" t="str">
        <f t="shared" si="517"/>
        <v>Low</v>
      </c>
      <c r="I6631">
        <v>3</v>
      </c>
      <c r="J6631" t="str" cm="1">
        <f t="array" ref="J6631">_xlfn.IFS(I6631&lt;=3,"small",I6631&lt;=6,"Medium",I6631&lt;=9,"Large")</f>
        <v>small</v>
      </c>
      <c r="K6631" s="36">
        <v>44994</v>
      </c>
      <c r="L6631" s="36">
        <v>45000</v>
      </c>
      <c r="M6631" t="s">
        <v>612</v>
      </c>
      <c r="N6631" t="s">
        <v>599</v>
      </c>
      <c r="O6631" s="37" t="str">
        <f t="shared" si="518"/>
        <v>Digital Payment</v>
      </c>
      <c r="P6631">
        <v>277.60000000000002</v>
      </c>
      <c r="Q6631" s="37" t="str">
        <f>IF(P6631&gt;500,"High","low")</f>
        <v>low</v>
      </c>
      <c r="R6631" s="37" t="str">
        <f t="shared" si="519"/>
        <v>AVERAGE</v>
      </c>
      <c r="S6631" t="s">
        <v>609</v>
      </c>
    </row>
    <row r="6632" spans="1:19" x14ac:dyDescent="0.2">
      <c r="A6632" t="s">
        <v>7243</v>
      </c>
      <c r="B6632" t="s">
        <v>83</v>
      </c>
      <c r="C6632" t="s">
        <v>597</v>
      </c>
      <c r="D6632">
        <v>2220.65</v>
      </c>
      <c r="E6632" s="37" t="str">
        <f t="shared" si="515"/>
        <v xml:space="preserve"> </v>
      </c>
      <c r="F6632">
        <v>0.03</v>
      </c>
      <c r="G6632" s="37" t="str">
        <f t="shared" si="516"/>
        <v>Normal Discount</v>
      </c>
      <c r="H6632" s="37" t="str">
        <f t="shared" si="517"/>
        <v>Low</v>
      </c>
      <c r="I6632">
        <v>5</v>
      </c>
      <c r="J6632" t="str" cm="1">
        <f t="array" ref="J6632">_xlfn.IFS(I6632&lt;=3,"small",I6632&lt;=6,"Medium",I6632&lt;=9,"Large")</f>
        <v>Medium</v>
      </c>
      <c r="K6632" s="36">
        <v>45059</v>
      </c>
      <c r="L6632" s="36">
        <v>45064</v>
      </c>
      <c r="M6632" t="s">
        <v>612</v>
      </c>
      <c r="N6632" t="s">
        <v>608</v>
      </c>
      <c r="O6632" s="37" t="str">
        <f t="shared" si="518"/>
        <v>Cash Payment</v>
      </c>
      <c r="P6632">
        <v>642.96</v>
      </c>
      <c r="Q6632" s="37" t="str">
        <f>IF(P6632&gt;500,"High","low")</f>
        <v>High</v>
      </c>
      <c r="R6632" s="37" t="str">
        <f t="shared" si="519"/>
        <v>Good</v>
      </c>
      <c r="S6632" t="s">
        <v>605</v>
      </c>
    </row>
    <row r="6633" spans="1:19" x14ac:dyDescent="0.2">
      <c r="A6633" t="s">
        <v>7244</v>
      </c>
      <c r="B6633" t="s">
        <v>67</v>
      </c>
      <c r="C6633" t="s">
        <v>597</v>
      </c>
      <c r="D6633">
        <v>3733.87</v>
      </c>
      <c r="E6633" s="37" t="str">
        <f t="shared" si="515"/>
        <v xml:space="preserve"> </v>
      </c>
      <c r="F6633">
        <v>0.47</v>
      </c>
      <c r="G6633" s="37" t="str">
        <f t="shared" si="516"/>
        <v>Heavy Discount</v>
      </c>
      <c r="H6633" s="37" t="str">
        <f t="shared" si="517"/>
        <v>High</v>
      </c>
      <c r="I6633">
        <v>1</v>
      </c>
      <c r="J6633" t="str" cm="1">
        <f t="array" ref="J6633">_xlfn.IFS(I6633&lt;=3,"small",I6633&lt;=6,"Medium",I6633&lt;=9,"Large")</f>
        <v>small</v>
      </c>
      <c r="K6633" s="36">
        <v>45442</v>
      </c>
      <c r="L6633" s="36">
        <v>45448</v>
      </c>
      <c r="M6633" t="s">
        <v>612</v>
      </c>
      <c r="N6633" t="s">
        <v>608</v>
      </c>
      <c r="O6633" s="37" t="str">
        <f t="shared" si="518"/>
        <v>Cash Payment</v>
      </c>
      <c r="P6633">
        <v>242.36</v>
      </c>
      <c r="Q6633" s="37" t="str">
        <f>IF(P6633&gt;500,"High","low")</f>
        <v>low</v>
      </c>
      <c r="R6633" s="37" t="str">
        <f t="shared" si="519"/>
        <v>AVERAGE</v>
      </c>
      <c r="S6633" t="s">
        <v>620</v>
      </c>
    </row>
    <row r="6634" spans="1:19" x14ac:dyDescent="0.2">
      <c r="A6634" t="s">
        <v>7245</v>
      </c>
      <c r="B6634" t="s">
        <v>75</v>
      </c>
      <c r="C6634" t="s">
        <v>607</v>
      </c>
      <c r="D6634">
        <v>4928.8900000000003</v>
      </c>
      <c r="E6634" s="37" t="str">
        <f t="shared" si="515"/>
        <v>Excellent Order</v>
      </c>
      <c r="F6634">
        <v>0.36</v>
      </c>
      <c r="G6634" s="37" t="str">
        <f t="shared" si="516"/>
        <v>Heavy Discount</v>
      </c>
      <c r="H6634" s="37" t="str">
        <f t="shared" si="517"/>
        <v>Medium</v>
      </c>
      <c r="I6634">
        <v>5</v>
      </c>
      <c r="J6634" t="str" cm="1">
        <f t="array" ref="J6634">_xlfn.IFS(I6634&lt;=3,"small",I6634&lt;=6,"Medium",I6634&lt;=9,"Large")</f>
        <v>Medium</v>
      </c>
      <c r="K6634" s="36">
        <v>45340</v>
      </c>
      <c r="L6634" s="36">
        <v>45345</v>
      </c>
      <c r="M6634" t="s">
        <v>603</v>
      </c>
      <c r="N6634" t="s">
        <v>608</v>
      </c>
      <c r="O6634" s="37" t="str">
        <f t="shared" si="518"/>
        <v>Cash Payment</v>
      </c>
      <c r="P6634">
        <v>815.98</v>
      </c>
      <c r="Q6634" s="37" t="str">
        <f>IF(P6634&gt;500,"High","low")</f>
        <v>High</v>
      </c>
      <c r="R6634" s="37" t="str">
        <f t="shared" si="519"/>
        <v>Good</v>
      </c>
      <c r="S6634" t="s">
        <v>615</v>
      </c>
    </row>
    <row r="6635" spans="1:19" x14ac:dyDescent="0.2">
      <c r="A6635" t="s">
        <v>7246</v>
      </c>
      <c r="B6635" t="s">
        <v>75</v>
      </c>
      <c r="C6635" t="s">
        <v>602</v>
      </c>
      <c r="D6635">
        <v>268.10000000000002</v>
      </c>
      <c r="E6635" s="37" t="str">
        <f t="shared" si="515"/>
        <v xml:space="preserve"> </v>
      </c>
      <c r="F6635">
        <v>0.05</v>
      </c>
      <c r="G6635" s="37" t="str">
        <f t="shared" si="516"/>
        <v>Normal Discount</v>
      </c>
      <c r="H6635" s="37" t="str">
        <f t="shared" si="517"/>
        <v>Low</v>
      </c>
      <c r="I6635">
        <v>1</v>
      </c>
      <c r="J6635" t="str" cm="1">
        <f t="array" ref="J6635">_xlfn.IFS(I6635&lt;=3,"small",I6635&lt;=6,"Medium",I6635&lt;=9,"Large")</f>
        <v>small</v>
      </c>
      <c r="K6635" s="36">
        <v>45031</v>
      </c>
      <c r="L6635" s="36">
        <v>45036</v>
      </c>
      <c r="M6635" t="s">
        <v>603</v>
      </c>
      <c r="N6635" t="s">
        <v>599</v>
      </c>
      <c r="O6635" s="37" t="str">
        <f t="shared" si="518"/>
        <v>Digital Payment</v>
      </c>
      <c r="P6635">
        <v>78.33</v>
      </c>
      <c r="Q6635" s="37" t="str">
        <f>IF(P6635&gt;500,"High","low")</f>
        <v>low</v>
      </c>
      <c r="R6635" s="37" t="str">
        <f t="shared" si="519"/>
        <v>AVERAGE</v>
      </c>
      <c r="S6635" t="s">
        <v>620</v>
      </c>
    </row>
    <row r="6636" spans="1:19" x14ac:dyDescent="0.2">
      <c r="A6636" t="s">
        <v>7247</v>
      </c>
      <c r="B6636" t="s">
        <v>67</v>
      </c>
      <c r="C6636" t="s">
        <v>602</v>
      </c>
      <c r="D6636">
        <v>308.98</v>
      </c>
      <c r="E6636" s="37" t="str">
        <f t="shared" si="515"/>
        <v xml:space="preserve"> </v>
      </c>
      <c r="F6636">
        <v>0.31</v>
      </c>
      <c r="G6636" s="37" t="str">
        <f t="shared" si="516"/>
        <v>Heavy Discount</v>
      </c>
      <c r="H6636" s="37" t="str">
        <f t="shared" si="517"/>
        <v>Medium</v>
      </c>
      <c r="I6636">
        <v>9</v>
      </c>
      <c r="J6636" t="str" cm="1">
        <f t="array" ref="J6636">_xlfn.IFS(I6636&lt;=3,"small",I6636&lt;=6,"Medium",I6636&lt;=9,"Large")</f>
        <v>Large</v>
      </c>
      <c r="K6636" s="36">
        <v>45151</v>
      </c>
      <c r="L6636" s="36">
        <v>45153</v>
      </c>
      <c r="M6636" t="s">
        <v>612</v>
      </c>
      <c r="N6636" t="s">
        <v>604</v>
      </c>
      <c r="O6636" s="37" t="str">
        <f t="shared" si="518"/>
        <v>Digital Payment</v>
      </c>
      <c r="P6636">
        <v>35.72</v>
      </c>
      <c r="Q6636" s="37" t="str">
        <f>IF(P6636&gt;500,"High","low")</f>
        <v>low</v>
      </c>
      <c r="R6636" s="37" t="str">
        <f t="shared" si="519"/>
        <v>AVERAGE</v>
      </c>
      <c r="S6636" t="s">
        <v>600</v>
      </c>
    </row>
    <row r="6637" spans="1:19" x14ac:dyDescent="0.2">
      <c r="A6637" t="s">
        <v>7248</v>
      </c>
      <c r="B6637" t="s">
        <v>90</v>
      </c>
      <c r="C6637" t="s">
        <v>602</v>
      </c>
      <c r="D6637">
        <v>2197.6</v>
      </c>
      <c r="E6637" s="37" t="str">
        <f t="shared" si="515"/>
        <v xml:space="preserve"> </v>
      </c>
      <c r="F6637">
        <v>0.21</v>
      </c>
      <c r="G6637" s="37" t="str">
        <f t="shared" si="516"/>
        <v>Normal Discount</v>
      </c>
      <c r="H6637" s="37" t="str">
        <f t="shared" si="517"/>
        <v>Medium</v>
      </c>
      <c r="I6637">
        <v>2</v>
      </c>
      <c r="J6637" t="str" cm="1">
        <f t="array" ref="J6637">_xlfn.IFS(I6637&lt;=3,"small",I6637&lt;=6,"Medium",I6637&lt;=9,"Large")</f>
        <v>small</v>
      </c>
      <c r="K6637" s="36">
        <v>45166</v>
      </c>
      <c r="L6637" s="36">
        <v>45170</v>
      </c>
      <c r="M6637" t="s">
        <v>598</v>
      </c>
      <c r="N6637" t="s">
        <v>604</v>
      </c>
      <c r="O6637" s="37" t="str">
        <f t="shared" si="518"/>
        <v>Digital Payment</v>
      </c>
      <c r="P6637">
        <v>127.96</v>
      </c>
      <c r="Q6637" s="37" t="str">
        <f>IF(P6637&gt;500,"High","low")</f>
        <v>low</v>
      </c>
      <c r="R6637" s="37" t="str">
        <f t="shared" si="519"/>
        <v>AVERAGE</v>
      </c>
      <c r="S6637" t="s">
        <v>628</v>
      </c>
    </row>
    <row r="6638" spans="1:19" x14ac:dyDescent="0.2">
      <c r="A6638" t="s">
        <v>7249</v>
      </c>
      <c r="B6638" t="s">
        <v>67</v>
      </c>
      <c r="C6638" t="s">
        <v>614</v>
      </c>
      <c r="D6638">
        <v>3332.15</v>
      </c>
      <c r="E6638" s="37" t="str">
        <f t="shared" si="515"/>
        <v xml:space="preserve"> </v>
      </c>
      <c r="F6638">
        <v>0.39</v>
      </c>
      <c r="G6638" s="37" t="str">
        <f t="shared" si="516"/>
        <v>Heavy Discount</v>
      </c>
      <c r="H6638" s="37" t="str">
        <f t="shared" si="517"/>
        <v>Medium</v>
      </c>
      <c r="I6638">
        <v>6</v>
      </c>
      <c r="J6638" t="str" cm="1">
        <f t="array" ref="J6638">_xlfn.IFS(I6638&lt;=3,"small",I6638&lt;=6,"Medium",I6638&lt;=9,"Large")</f>
        <v>Medium</v>
      </c>
      <c r="K6638" s="36">
        <v>45044</v>
      </c>
      <c r="L6638" s="36">
        <v>45046</v>
      </c>
      <c r="M6638" t="s">
        <v>598</v>
      </c>
      <c r="N6638" t="s">
        <v>599</v>
      </c>
      <c r="O6638" s="37" t="str">
        <f t="shared" si="518"/>
        <v>Digital Payment</v>
      </c>
      <c r="P6638">
        <v>562.67999999999995</v>
      </c>
      <c r="Q6638" s="37" t="str">
        <f>IF(P6638&gt;500,"High","low")</f>
        <v>High</v>
      </c>
      <c r="R6638" s="37" t="str">
        <f t="shared" si="519"/>
        <v>Good</v>
      </c>
      <c r="S6638" t="s">
        <v>609</v>
      </c>
    </row>
    <row r="6639" spans="1:19" x14ac:dyDescent="0.2">
      <c r="A6639" t="s">
        <v>7250</v>
      </c>
      <c r="B6639" t="s">
        <v>83</v>
      </c>
      <c r="C6639" t="s">
        <v>602</v>
      </c>
      <c r="D6639">
        <v>1993.19</v>
      </c>
      <c r="E6639" s="37" t="str">
        <f t="shared" si="515"/>
        <v xml:space="preserve"> </v>
      </c>
      <c r="F6639">
        <v>0.14000000000000001</v>
      </c>
      <c r="G6639" s="37" t="str">
        <f t="shared" si="516"/>
        <v>Normal Discount</v>
      </c>
      <c r="H6639" s="37" t="str">
        <f t="shared" si="517"/>
        <v>Low</v>
      </c>
      <c r="I6639">
        <v>9</v>
      </c>
      <c r="J6639" t="str" cm="1">
        <f t="array" ref="J6639">_xlfn.IFS(I6639&lt;=3,"small",I6639&lt;=6,"Medium",I6639&lt;=9,"Large")</f>
        <v>Large</v>
      </c>
      <c r="K6639" s="36">
        <v>45456</v>
      </c>
      <c r="L6639" s="36">
        <v>45461</v>
      </c>
      <c r="M6639" t="s">
        <v>603</v>
      </c>
      <c r="N6639" t="s">
        <v>604</v>
      </c>
      <c r="O6639" s="37" t="str">
        <f t="shared" si="518"/>
        <v>Digital Payment</v>
      </c>
      <c r="P6639">
        <v>483.83</v>
      </c>
      <c r="Q6639" s="37" t="str">
        <f>IF(P6639&gt;500,"High","low")</f>
        <v>low</v>
      </c>
      <c r="R6639" s="37" t="str">
        <f t="shared" si="519"/>
        <v>AVERAGE</v>
      </c>
      <c r="S6639" t="s">
        <v>600</v>
      </c>
    </row>
    <row r="6640" spans="1:19" x14ac:dyDescent="0.2">
      <c r="A6640" t="s">
        <v>7251</v>
      </c>
      <c r="B6640" t="s">
        <v>75</v>
      </c>
      <c r="C6640" t="s">
        <v>617</v>
      </c>
      <c r="D6640">
        <v>4998.2299999999996</v>
      </c>
      <c r="E6640" s="37" t="str">
        <f t="shared" si="515"/>
        <v xml:space="preserve"> </v>
      </c>
      <c r="F6640">
        <v>0.19</v>
      </c>
      <c r="G6640" s="37" t="str">
        <f t="shared" si="516"/>
        <v>Normal Discount</v>
      </c>
      <c r="H6640" s="37" t="str">
        <f t="shared" si="517"/>
        <v>Low</v>
      </c>
      <c r="I6640">
        <v>3</v>
      </c>
      <c r="J6640" t="str" cm="1">
        <f t="array" ref="J6640">_xlfn.IFS(I6640&lt;=3,"small",I6640&lt;=6,"Medium",I6640&lt;=9,"Large")</f>
        <v>small</v>
      </c>
      <c r="K6640" s="36">
        <v>45342</v>
      </c>
      <c r="L6640" s="36">
        <v>45345</v>
      </c>
      <c r="M6640" t="s">
        <v>612</v>
      </c>
      <c r="N6640" t="s">
        <v>604</v>
      </c>
      <c r="O6640" s="37" t="str">
        <f t="shared" si="518"/>
        <v>Digital Payment</v>
      </c>
      <c r="P6640">
        <v>501.19</v>
      </c>
      <c r="Q6640" s="37" t="str">
        <f>IF(P6640&gt;500,"High","low")</f>
        <v>High</v>
      </c>
      <c r="R6640" s="37" t="str">
        <f t="shared" si="519"/>
        <v>Good</v>
      </c>
      <c r="S6640" t="s">
        <v>620</v>
      </c>
    </row>
    <row r="6641" spans="1:19" x14ac:dyDescent="0.2">
      <c r="A6641" t="s">
        <v>7252</v>
      </c>
      <c r="B6641" t="s">
        <v>67</v>
      </c>
      <c r="C6641" t="s">
        <v>614</v>
      </c>
      <c r="D6641">
        <v>1057.26</v>
      </c>
      <c r="E6641" s="37" t="str">
        <f t="shared" si="515"/>
        <v xml:space="preserve"> </v>
      </c>
      <c r="F6641">
        <v>0.08</v>
      </c>
      <c r="G6641" s="37" t="str">
        <f t="shared" si="516"/>
        <v>Normal Discount</v>
      </c>
      <c r="H6641" s="37" t="str">
        <f t="shared" si="517"/>
        <v>Low</v>
      </c>
      <c r="I6641">
        <v>6</v>
      </c>
      <c r="J6641" t="str" cm="1">
        <f t="array" ref="J6641">_xlfn.IFS(I6641&lt;=3,"small",I6641&lt;=6,"Medium",I6641&lt;=9,"Large")</f>
        <v>Medium</v>
      </c>
      <c r="K6641" s="36">
        <v>45343</v>
      </c>
      <c r="L6641" s="36">
        <v>45347</v>
      </c>
      <c r="M6641" t="s">
        <v>612</v>
      </c>
      <c r="N6641" t="s">
        <v>604</v>
      </c>
      <c r="O6641" s="37" t="str">
        <f t="shared" si="518"/>
        <v>Digital Payment</v>
      </c>
      <c r="P6641">
        <v>118.49</v>
      </c>
      <c r="Q6641" s="37" t="str">
        <f>IF(P6641&gt;500,"High","low")</f>
        <v>low</v>
      </c>
      <c r="R6641" s="37" t="str">
        <f t="shared" si="519"/>
        <v>AVERAGE</v>
      </c>
      <c r="S6641" t="s">
        <v>620</v>
      </c>
    </row>
    <row r="6642" spans="1:19" x14ac:dyDescent="0.2">
      <c r="A6642" t="s">
        <v>7253</v>
      </c>
      <c r="B6642" t="s">
        <v>90</v>
      </c>
      <c r="C6642" t="s">
        <v>614</v>
      </c>
      <c r="D6642">
        <v>138.83000000000001</v>
      </c>
      <c r="E6642" s="37" t="str">
        <f t="shared" si="515"/>
        <v xml:space="preserve"> </v>
      </c>
      <c r="F6642">
        <v>0.13</v>
      </c>
      <c r="G6642" s="37" t="str">
        <f t="shared" si="516"/>
        <v>Normal Discount</v>
      </c>
      <c r="H6642" s="37" t="str">
        <f t="shared" si="517"/>
        <v>Low</v>
      </c>
      <c r="I6642">
        <v>1</v>
      </c>
      <c r="J6642" t="str" cm="1">
        <f t="array" ref="J6642">_xlfn.IFS(I6642&lt;=3,"small",I6642&lt;=6,"Medium",I6642&lt;=9,"Large")</f>
        <v>small</v>
      </c>
      <c r="K6642" s="36">
        <v>45564</v>
      </c>
      <c r="L6642" s="36">
        <v>45566</v>
      </c>
      <c r="M6642" t="s">
        <v>598</v>
      </c>
      <c r="N6642" t="s">
        <v>608</v>
      </c>
      <c r="O6642" s="37" t="str">
        <f t="shared" si="518"/>
        <v>Cash Payment</v>
      </c>
      <c r="P6642">
        <v>12.54</v>
      </c>
      <c r="Q6642" s="37" t="str">
        <f>IF(P6642&gt;500,"High","low")</f>
        <v>low</v>
      </c>
      <c r="R6642" s="37" t="str">
        <f t="shared" si="519"/>
        <v>AVERAGE</v>
      </c>
      <c r="S6642" t="s">
        <v>620</v>
      </c>
    </row>
    <row r="6643" spans="1:19" x14ac:dyDescent="0.2">
      <c r="A6643" t="s">
        <v>7254</v>
      </c>
      <c r="B6643" t="s">
        <v>67</v>
      </c>
      <c r="C6643" t="s">
        <v>614</v>
      </c>
      <c r="D6643">
        <v>1031.6300000000001</v>
      </c>
      <c r="E6643" s="37" t="str">
        <f t="shared" si="515"/>
        <v xml:space="preserve"> </v>
      </c>
      <c r="F6643">
        <v>0.09</v>
      </c>
      <c r="G6643" s="37" t="str">
        <f t="shared" si="516"/>
        <v>Normal Discount</v>
      </c>
      <c r="H6643" s="37" t="str">
        <f t="shared" si="517"/>
        <v>Low</v>
      </c>
      <c r="I6643">
        <v>7</v>
      </c>
      <c r="J6643" t="str" cm="1">
        <f t="array" ref="J6643">_xlfn.IFS(I6643&lt;=3,"small",I6643&lt;=6,"Medium",I6643&lt;=9,"Large")</f>
        <v>Large</v>
      </c>
      <c r="K6643" s="36">
        <v>45637</v>
      </c>
      <c r="L6643" s="36">
        <v>45644</v>
      </c>
      <c r="M6643" t="s">
        <v>603</v>
      </c>
      <c r="N6643" t="s">
        <v>608</v>
      </c>
      <c r="O6643" s="37" t="str">
        <f t="shared" si="518"/>
        <v>Cash Payment</v>
      </c>
      <c r="P6643">
        <v>144.22999999999999</v>
      </c>
      <c r="Q6643" s="37" t="str">
        <f>IF(P6643&gt;500,"High","low")</f>
        <v>low</v>
      </c>
      <c r="R6643" s="37" t="str">
        <f t="shared" si="519"/>
        <v>AVERAGE</v>
      </c>
      <c r="S6643" t="s">
        <v>615</v>
      </c>
    </row>
    <row r="6644" spans="1:19" x14ac:dyDescent="0.2">
      <c r="A6644" t="s">
        <v>7255</v>
      </c>
      <c r="B6644" t="s">
        <v>75</v>
      </c>
      <c r="C6644" t="s">
        <v>614</v>
      </c>
      <c r="D6644">
        <v>4445.53</v>
      </c>
      <c r="E6644" s="37" t="str">
        <f t="shared" si="515"/>
        <v>Excellent Order</v>
      </c>
      <c r="F6644">
        <v>0.01</v>
      </c>
      <c r="G6644" s="37" t="str">
        <f t="shared" si="516"/>
        <v>Normal Discount</v>
      </c>
      <c r="H6644" s="37" t="str">
        <f t="shared" si="517"/>
        <v>Low</v>
      </c>
      <c r="I6644">
        <v>2</v>
      </c>
      <c r="J6644" t="str" cm="1">
        <f t="array" ref="J6644">_xlfn.IFS(I6644&lt;=3,"small",I6644&lt;=6,"Medium",I6644&lt;=9,"Large")</f>
        <v>small</v>
      </c>
      <c r="K6644" s="36">
        <v>45542</v>
      </c>
      <c r="L6644" s="36">
        <v>45548</v>
      </c>
      <c r="M6644" t="s">
        <v>612</v>
      </c>
      <c r="N6644" t="s">
        <v>604</v>
      </c>
      <c r="O6644" s="37" t="str">
        <f t="shared" si="518"/>
        <v>Digital Payment</v>
      </c>
      <c r="P6644">
        <v>1205.46</v>
      </c>
      <c r="Q6644" s="37" t="str">
        <f>IF(P6644&gt;500,"High","low")</f>
        <v>High</v>
      </c>
      <c r="R6644" s="37" t="str">
        <f t="shared" si="519"/>
        <v>Excellent</v>
      </c>
      <c r="S6644" t="s">
        <v>628</v>
      </c>
    </row>
    <row r="6645" spans="1:19" x14ac:dyDescent="0.2">
      <c r="A6645" t="s">
        <v>7256</v>
      </c>
      <c r="B6645" t="s">
        <v>67</v>
      </c>
      <c r="C6645" t="s">
        <v>597</v>
      </c>
      <c r="D6645">
        <v>811.23</v>
      </c>
      <c r="E6645" s="37" t="str">
        <f t="shared" si="515"/>
        <v xml:space="preserve"> </v>
      </c>
      <c r="F6645">
        <v>0.02</v>
      </c>
      <c r="G6645" s="37" t="str">
        <f t="shared" si="516"/>
        <v>Normal Discount</v>
      </c>
      <c r="H6645" s="37" t="str">
        <f t="shared" si="517"/>
        <v>Low</v>
      </c>
      <c r="I6645">
        <v>5</v>
      </c>
      <c r="J6645" t="str" cm="1">
        <f t="array" ref="J6645">_xlfn.IFS(I6645&lt;=3,"small",I6645&lt;=6,"Medium",I6645&lt;=9,"Large")</f>
        <v>Medium</v>
      </c>
      <c r="K6645" s="36">
        <v>45038</v>
      </c>
      <c r="L6645" s="36">
        <v>45044</v>
      </c>
      <c r="M6645" t="s">
        <v>603</v>
      </c>
      <c r="N6645" t="s">
        <v>608</v>
      </c>
      <c r="O6645" s="37" t="str">
        <f t="shared" si="518"/>
        <v>Cash Payment</v>
      </c>
      <c r="P6645">
        <v>81.739999999999995</v>
      </c>
      <c r="Q6645" s="37" t="str">
        <f>IF(P6645&gt;500,"High","low")</f>
        <v>low</v>
      </c>
      <c r="R6645" s="37" t="str">
        <f t="shared" si="519"/>
        <v>AVERAGE</v>
      </c>
      <c r="S6645" t="s">
        <v>609</v>
      </c>
    </row>
    <row r="6646" spans="1:19" x14ac:dyDescent="0.2">
      <c r="A6646" t="s">
        <v>7257</v>
      </c>
      <c r="B6646" t="s">
        <v>67</v>
      </c>
      <c r="C6646" t="s">
        <v>617</v>
      </c>
      <c r="D6646">
        <v>2446.98</v>
      </c>
      <c r="E6646" s="37" t="str">
        <f t="shared" si="515"/>
        <v xml:space="preserve"> </v>
      </c>
      <c r="F6646">
        <v>0.42</v>
      </c>
      <c r="G6646" s="37" t="str">
        <f t="shared" si="516"/>
        <v>Heavy Discount</v>
      </c>
      <c r="H6646" s="37" t="str">
        <f t="shared" si="517"/>
        <v>High</v>
      </c>
      <c r="I6646">
        <v>5</v>
      </c>
      <c r="J6646" t="str" cm="1">
        <f t="array" ref="J6646">_xlfn.IFS(I6646&lt;=3,"small",I6646&lt;=6,"Medium",I6646&lt;=9,"Large")</f>
        <v>Medium</v>
      </c>
      <c r="K6646" s="36">
        <v>44940</v>
      </c>
      <c r="L6646" s="36">
        <v>44941</v>
      </c>
      <c r="M6646" t="s">
        <v>603</v>
      </c>
      <c r="N6646" t="s">
        <v>599</v>
      </c>
      <c r="O6646" s="37" t="str">
        <f t="shared" si="518"/>
        <v>Digital Payment</v>
      </c>
      <c r="P6646">
        <v>282.89999999999998</v>
      </c>
      <c r="Q6646" s="37" t="str">
        <f>IF(P6646&gt;500,"High","low")</f>
        <v>low</v>
      </c>
      <c r="R6646" s="37" t="str">
        <f t="shared" si="519"/>
        <v>AVERAGE</v>
      </c>
      <c r="S6646" t="s">
        <v>628</v>
      </c>
    </row>
    <row r="6647" spans="1:19" x14ac:dyDescent="0.2">
      <c r="A6647" t="s">
        <v>7258</v>
      </c>
      <c r="B6647" t="s">
        <v>75</v>
      </c>
      <c r="C6647" t="s">
        <v>607</v>
      </c>
      <c r="D6647">
        <v>2154.4499999999998</v>
      </c>
      <c r="E6647" s="37" t="str">
        <f t="shared" si="515"/>
        <v xml:space="preserve"> </v>
      </c>
      <c r="F6647">
        <v>0.4</v>
      </c>
      <c r="G6647" s="37" t="str">
        <f t="shared" si="516"/>
        <v>Heavy Discount</v>
      </c>
      <c r="H6647" s="37" t="str">
        <f t="shared" si="517"/>
        <v>Medium</v>
      </c>
      <c r="I6647">
        <v>1</v>
      </c>
      <c r="J6647" t="str" cm="1">
        <f t="array" ref="J6647">_xlfn.IFS(I6647&lt;=3,"small",I6647&lt;=6,"Medium",I6647&lt;=9,"Large")</f>
        <v>small</v>
      </c>
      <c r="K6647" s="36">
        <v>45543</v>
      </c>
      <c r="L6647" s="36">
        <v>45547</v>
      </c>
      <c r="M6647" t="s">
        <v>612</v>
      </c>
      <c r="N6647" t="s">
        <v>608</v>
      </c>
      <c r="O6647" s="37" t="str">
        <f t="shared" si="518"/>
        <v>Cash Payment</v>
      </c>
      <c r="P6647">
        <v>584.29</v>
      </c>
      <c r="Q6647" s="37" t="str">
        <f>IF(P6647&gt;500,"High","low")</f>
        <v>High</v>
      </c>
      <c r="R6647" s="37" t="str">
        <f t="shared" si="519"/>
        <v>Good</v>
      </c>
      <c r="S6647" t="s">
        <v>620</v>
      </c>
    </row>
    <row r="6648" spans="1:19" x14ac:dyDescent="0.2">
      <c r="A6648" t="s">
        <v>7259</v>
      </c>
      <c r="B6648" t="s">
        <v>83</v>
      </c>
      <c r="C6648" t="s">
        <v>602</v>
      </c>
      <c r="D6648">
        <v>3362.05</v>
      </c>
      <c r="E6648" s="37" t="str">
        <f t="shared" si="515"/>
        <v xml:space="preserve"> </v>
      </c>
      <c r="F6648">
        <v>7.0000000000000007E-2</v>
      </c>
      <c r="G6648" s="37" t="str">
        <f t="shared" si="516"/>
        <v>Normal Discount</v>
      </c>
      <c r="H6648" s="37" t="str">
        <f t="shared" si="517"/>
        <v>Low</v>
      </c>
      <c r="I6648">
        <v>7</v>
      </c>
      <c r="J6648" t="str" cm="1">
        <f t="array" ref="J6648">_xlfn.IFS(I6648&lt;=3,"small",I6648&lt;=6,"Medium",I6648&lt;=9,"Large")</f>
        <v>Large</v>
      </c>
      <c r="K6648" s="36">
        <v>45426</v>
      </c>
      <c r="L6648" s="36">
        <v>45429</v>
      </c>
      <c r="M6648" t="s">
        <v>612</v>
      </c>
      <c r="N6648" t="s">
        <v>608</v>
      </c>
      <c r="O6648" s="37" t="str">
        <f t="shared" si="518"/>
        <v>Cash Payment</v>
      </c>
      <c r="P6648">
        <v>948.85</v>
      </c>
      <c r="Q6648" s="37" t="str">
        <f>IF(P6648&gt;500,"High","low")</f>
        <v>High</v>
      </c>
      <c r="R6648" s="37" t="str">
        <f t="shared" si="519"/>
        <v>Good</v>
      </c>
      <c r="S6648" t="s">
        <v>615</v>
      </c>
    </row>
    <row r="6649" spans="1:19" x14ac:dyDescent="0.2">
      <c r="A6649" t="s">
        <v>7260</v>
      </c>
      <c r="B6649" t="s">
        <v>83</v>
      </c>
      <c r="C6649" t="s">
        <v>614</v>
      </c>
      <c r="D6649">
        <v>367.52</v>
      </c>
      <c r="E6649" s="37" t="str">
        <f t="shared" si="515"/>
        <v xml:space="preserve"> </v>
      </c>
      <c r="F6649">
        <v>0.33</v>
      </c>
      <c r="G6649" s="37" t="str">
        <f t="shared" si="516"/>
        <v>Heavy Discount</v>
      </c>
      <c r="H6649" s="37" t="str">
        <f t="shared" si="517"/>
        <v>Medium</v>
      </c>
      <c r="I6649">
        <v>4</v>
      </c>
      <c r="J6649" t="str" cm="1">
        <f t="array" ref="J6649">_xlfn.IFS(I6649&lt;=3,"small",I6649&lt;=6,"Medium",I6649&lt;=9,"Large")</f>
        <v>Medium</v>
      </c>
      <c r="K6649" s="36">
        <v>45155</v>
      </c>
      <c r="L6649" s="36">
        <v>45158</v>
      </c>
      <c r="M6649" t="s">
        <v>603</v>
      </c>
      <c r="N6649" t="s">
        <v>608</v>
      </c>
      <c r="O6649" s="37" t="str">
        <f t="shared" si="518"/>
        <v>Cash Payment</v>
      </c>
      <c r="P6649">
        <v>23.29</v>
      </c>
      <c r="Q6649" s="37" t="str">
        <f>IF(P6649&gt;500,"High","low")</f>
        <v>low</v>
      </c>
      <c r="R6649" s="37" t="str">
        <f t="shared" si="519"/>
        <v>AVERAGE</v>
      </c>
      <c r="S6649" t="s">
        <v>628</v>
      </c>
    </row>
    <row r="6650" spans="1:19" x14ac:dyDescent="0.2">
      <c r="A6650" t="s">
        <v>7261</v>
      </c>
      <c r="B6650" t="s">
        <v>75</v>
      </c>
      <c r="C6650" t="s">
        <v>607</v>
      </c>
      <c r="D6650">
        <v>3327.88</v>
      </c>
      <c r="E6650" s="37" t="str">
        <f t="shared" si="515"/>
        <v xml:space="preserve"> </v>
      </c>
      <c r="F6650">
        <v>0.37</v>
      </c>
      <c r="G6650" s="37" t="str">
        <f t="shared" si="516"/>
        <v>Heavy Discount</v>
      </c>
      <c r="H6650" s="37" t="str">
        <f t="shared" si="517"/>
        <v>Medium</v>
      </c>
      <c r="I6650">
        <v>4</v>
      </c>
      <c r="J6650" t="str" cm="1">
        <f t="array" ref="J6650">_xlfn.IFS(I6650&lt;=3,"small",I6650&lt;=6,"Medium",I6650&lt;=9,"Large")</f>
        <v>Medium</v>
      </c>
      <c r="K6650" s="36">
        <v>45612</v>
      </c>
      <c r="L6650" s="36">
        <v>45617</v>
      </c>
      <c r="M6650" t="s">
        <v>603</v>
      </c>
      <c r="N6650" t="s">
        <v>608</v>
      </c>
      <c r="O6650" s="37" t="str">
        <f t="shared" si="518"/>
        <v>Cash Payment</v>
      </c>
      <c r="P6650">
        <v>616.32000000000005</v>
      </c>
      <c r="Q6650" s="37" t="str">
        <f>IF(P6650&gt;500,"High","low")</f>
        <v>High</v>
      </c>
      <c r="R6650" s="37" t="str">
        <f t="shared" si="519"/>
        <v>Good</v>
      </c>
      <c r="S6650" t="s">
        <v>615</v>
      </c>
    </row>
    <row r="6651" spans="1:19" x14ac:dyDescent="0.2">
      <c r="A6651" t="s">
        <v>7262</v>
      </c>
      <c r="B6651" t="s">
        <v>67</v>
      </c>
      <c r="C6651" t="s">
        <v>597</v>
      </c>
      <c r="D6651">
        <v>1838.28</v>
      </c>
      <c r="E6651" s="37" t="str">
        <f t="shared" si="515"/>
        <v xml:space="preserve"> </v>
      </c>
      <c r="F6651">
        <v>0.03</v>
      </c>
      <c r="G6651" s="37" t="str">
        <f t="shared" si="516"/>
        <v>Normal Discount</v>
      </c>
      <c r="H6651" s="37" t="str">
        <f t="shared" si="517"/>
        <v>Low</v>
      </c>
      <c r="I6651">
        <v>7</v>
      </c>
      <c r="J6651" t="str" cm="1">
        <f t="array" ref="J6651">_xlfn.IFS(I6651&lt;=3,"small",I6651&lt;=6,"Medium",I6651&lt;=9,"Large")</f>
        <v>Large</v>
      </c>
      <c r="K6651" s="36">
        <v>45329</v>
      </c>
      <c r="L6651" s="36">
        <v>45334</v>
      </c>
      <c r="M6651" t="s">
        <v>612</v>
      </c>
      <c r="N6651" t="s">
        <v>608</v>
      </c>
      <c r="O6651" s="37" t="str">
        <f t="shared" si="518"/>
        <v>Cash Payment</v>
      </c>
      <c r="P6651">
        <v>228.16</v>
      </c>
      <c r="Q6651" s="37" t="str">
        <f>IF(P6651&gt;500,"High","low")</f>
        <v>low</v>
      </c>
      <c r="R6651" s="37" t="str">
        <f t="shared" si="519"/>
        <v>AVERAGE</v>
      </c>
      <c r="S6651" t="s">
        <v>615</v>
      </c>
    </row>
    <row r="6652" spans="1:19" x14ac:dyDescent="0.2">
      <c r="A6652" t="s">
        <v>7263</v>
      </c>
      <c r="B6652" t="s">
        <v>75</v>
      </c>
      <c r="C6652" t="s">
        <v>607</v>
      </c>
      <c r="D6652">
        <v>4637.59</v>
      </c>
      <c r="E6652" s="37" t="str">
        <f t="shared" si="515"/>
        <v xml:space="preserve"> </v>
      </c>
      <c r="F6652">
        <v>0.04</v>
      </c>
      <c r="G6652" s="37" t="str">
        <f t="shared" si="516"/>
        <v>Normal Discount</v>
      </c>
      <c r="H6652" s="37" t="str">
        <f t="shared" si="517"/>
        <v>Low</v>
      </c>
      <c r="I6652">
        <v>1</v>
      </c>
      <c r="J6652" t="str" cm="1">
        <f t="array" ref="J6652">_xlfn.IFS(I6652&lt;=3,"small",I6652&lt;=6,"Medium",I6652&lt;=9,"Large")</f>
        <v>small</v>
      </c>
      <c r="K6652" s="36">
        <v>45033</v>
      </c>
      <c r="L6652" s="36">
        <v>45034</v>
      </c>
      <c r="M6652" t="s">
        <v>598</v>
      </c>
      <c r="N6652" t="s">
        <v>608</v>
      </c>
      <c r="O6652" s="37" t="str">
        <f t="shared" si="518"/>
        <v>Cash Payment</v>
      </c>
      <c r="P6652">
        <v>427.71</v>
      </c>
      <c r="Q6652" s="37" t="str">
        <f>IF(P6652&gt;500,"High","low")</f>
        <v>low</v>
      </c>
      <c r="R6652" s="37" t="str">
        <f t="shared" si="519"/>
        <v>AVERAGE</v>
      </c>
      <c r="S6652" t="s">
        <v>600</v>
      </c>
    </row>
    <row r="6653" spans="1:19" x14ac:dyDescent="0.2">
      <c r="A6653" t="s">
        <v>7264</v>
      </c>
      <c r="B6653" t="s">
        <v>83</v>
      </c>
      <c r="C6653" t="s">
        <v>614</v>
      </c>
      <c r="D6653">
        <v>4259.55</v>
      </c>
      <c r="E6653" s="37" t="str">
        <f t="shared" si="515"/>
        <v xml:space="preserve"> </v>
      </c>
      <c r="F6653">
        <v>0.28000000000000003</v>
      </c>
      <c r="G6653" s="37" t="str">
        <f t="shared" si="516"/>
        <v>Normal Discount</v>
      </c>
      <c r="H6653" s="37" t="str">
        <f t="shared" si="517"/>
        <v>Medium</v>
      </c>
      <c r="I6653">
        <v>6</v>
      </c>
      <c r="J6653" t="str" cm="1">
        <f t="array" ref="J6653">_xlfn.IFS(I6653&lt;=3,"small",I6653&lt;=6,"Medium",I6653&lt;=9,"Large")</f>
        <v>Medium</v>
      </c>
      <c r="K6653" s="36">
        <v>45165</v>
      </c>
      <c r="L6653" s="36">
        <v>45171</v>
      </c>
      <c r="M6653" t="s">
        <v>603</v>
      </c>
      <c r="N6653" t="s">
        <v>604</v>
      </c>
      <c r="O6653" s="37" t="str">
        <f t="shared" si="518"/>
        <v>Digital Payment</v>
      </c>
      <c r="P6653">
        <v>764.75</v>
      </c>
      <c r="Q6653" s="37" t="str">
        <f>IF(P6653&gt;500,"High","low")</f>
        <v>High</v>
      </c>
      <c r="R6653" s="37" t="str">
        <f t="shared" si="519"/>
        <v>Good</v>
      </c>
      <c r="S6653" t="s">
        <v>615</v>
      </c>
    </row>
    <row r="6654" spans="1:19" x14ac:dyDescent="0.2">
      <c r="A6654" t="s">
        <v>7265</v>
      </c>
      <c r="B6654" t="s">
        <v>90</v>
      </c>
      <c r="C6654" t="s">
        <v>617</v>
      </c>
      <c r="D6654">
        <v>2057.58</v>
      </c>
      <c r="E6654" s="37" t="str">
        <f t="shared" si="515"/>
        <v xml:space="preserve"> </v>
      </c>
      <c r="F6654">
        <v>0.19</v>
      </c>
      <c r="G6654" s="37" t="str">
        <f t="shared" si="516"/>
        <v>Normal Discount</v>
      </c>
      <c r="H6654" s="37" t="str">
        <f t="shared" si="517"/>
        <v>Low</v>
      </c>
      <c r="I6654">
        <v>1</v>
      </c>
      <c r="J6654" t="str" cm="1">
        <f t="array" ref="J6654">_xlfn.IFS(I6654&lt;=3,"small",I6654&lt;=6,"Medium",I6654&lt;=9,"Large")</f>
        <v>small</v>
      </c>
      <c r="K6654" s="36">
        <v>44929</v>
      </c>
      <c r="L6654" s="36">
        <v>44932</v>
      </c>
      <c r="M6654" t="s">
        <v>598</v>
      </c>
      <c r="N6654" t="s">
        <v>604</v>
      </c>
      <c r="O6654" s="37" t="str">
        <f t="shared" si="518"/>
        <v>Digital Payment</v>
      </c>
      <c r="P6654">
        <v>503.56</v>
      </c>
      <c r="Q6654" s="37" t="str">
        <f>IF(P6654&gt;500,"High","low")</f>
        <v>High</v>
      </c>
      <c r="R6654" s="37" t="str">
        <f t="shared" si="519"/>
        <v>Good</v>
      </c>
      <c r="S6654" t="s">
        <v>609</v>
      </c>
    </row>
    <row r="6655" spans="1:19" x14ac:dyDescent="0.2">
      <c r="A6655" t="s">
        <v>7266</v>
      </c>
      <c r="B6655" t="s">
        <v>67</v>
      </c>
      <c r="C6655" t="s">
        <v>607</v>
      </c>
      <c r="D6655">
        <v>4965.17</v>
      </c>
      <c r="E6655" s="37" t="str">
        <f t="shared" si="515"/>
        <v xml:space="preserve"> </v>
      </c>
      <c r="F6655">
        <v>0.35</v>
      </c>
      <c r="G6655" s="37" t="str">
        <f t="shared" si="516"/>
        <v>Heavy Discount</v>
      </c>
      <c r="H6655" s="37" t="str">
        <f t="shared" si="517"/>
        <v>Medium</v>
      </c>
      <c r="I6655">
        <v>6</v>
      </c>
      <c r="J6655" t="str" cm="1">
        <f t="array" ref="J6655">_xlfn.IFS(I6655&lt;=3,"small",I6655&lt;=6,"Medium",I6655&lt;=9,"Large")</f>
        <v>Medium</v>
      </c>
      <c r="K6655" s="36">
        <v>45573</v>
      </c>
      <c r="L6655" s="36">
        <v>45578</v>
      </c>
      <c r="M6655" t="s">
        <v>603</v>
      </c>
      <c r="N6655" t="s">
        <v>608</v>
      </c>
      <c r="O6655" s="37" t="str">
        <f t="shared" si="518"/>
        <v>Cash Payment</v>
      </c>
      <c r="P6655">
        <v>461.27</v>
      </c>
      <c r="Q6655" s="37" t="str">
        <f>IF(P6655&gt;500,"High","low")</f>
        <v>low</v>
      </c>
      <c r="R6655" s="37" t="str">
        <f t="shared" si="519"/>
        <v>AVERAGE</v>
      </c>
      <c r="S6655" t="s">
        <v>620</v>
      </c>
    </row>
    <row r="6656" spans="1:19" x14ac:dyDescent="0.2">
      <c r="A6656" t="s">
        <v>7267</v>
      </c>
      <c r="B6656" t="s">
        <v>83</v>
      </c>
      <c r="C6656" t="s">
        <v>614</v>
      </c>
      <c r="D6656">
        <v>354.52</v>
      </c>
      <c r="E6656" s="37" t="str">
        <f t="shared" si="515"/>
        <v xml:space="preserve"> </v>
      </c>
      <c r="F6656">
        <v>0.28000000000000003</v>
      </c>
      <c r="G6656" s="37" t="str">
        <f t="shared" si="516"/>
        <v>Normal Discount</v>
      </c>
      <c r="H6656" s="37" t="str">
        <f t="shared" si="517"/>
        <v>Medium</v>
      </c>
      <c r="I6656">
        <v>2</v>
      </c>
      <c r="J6656" t="str" cm="1">
        <f t="array" ref="J6656">_xlfn.IFS(I6656&lt;=3,"small",I6656&lt;=6,"Medium",I6656&lt;=9,"Large")</f>
        <v>small</v>
      </c>
      <c r="K6656" s="36">
        <v>45253</v>
      </c>
      <c r="L6656" s="36">
        <v>45255</v>
      </c>
      <c r="M6656" t="s">
        <v>603</v>
      </c>
      <c r="N6656" t="s">
        <v>608</v>
      </c>
      <c r="O6656" s="37" t="str">
        <f t="shared" si="518"/>
        <v>Cash Payment</v>
      </c>
      <c r="P6656">
        <v>46.35</v>
      </c>
      <c r="Q6656" s="37" t="str">
        <f>IF(P6656&gt;500,"High","low")</f>
        <v>low</v>
      </c>
      <c r="R6656" s="37" t="str">
        <f t="shared" si="519"/>
        <v>AVERAGE</v>
      </c>
      <c r="S6656" t="s">
        <v>620</v>
      </c>
    </row>
    <row r="6657" spans="1:19" x14ac:dyDescent="0.2">
      <c r="A6657" t="s">
        <v>7268</v>
      </c>
      <c r="B6657" t="s">
        <v>67</v>
      </c>
      <c r="C6657" t="s">
        <v>614</v>
      </c>
      <c r="D6657">
        <v>3964.3</v>
      </c>
      <c r="E6657" s="37" t="str">
        <f t="shared" si="515"/>
        <v xml:space="preserve"> </v>
      </c>
      <c r="F6657">
        <v>0.02</v>
      </c>
      <c r="G6657" s="37" t="str">
        <f t="shared" si="516"/>
        <v>Normal Discount</v>
      </c>
      <c r="H6657" s="37" t="str">
        <f t="shared" si="517"/>
        <v>Low</v>
      </c>
      <c r="I6657">
        <v>1</v>
      </c>
      <c r="J6657" t="str" cm="1">
        <f t="array" ref="J6657">_xlfn.IFS(I6657&lt;=3,"small",I6657&lt;=6,"Medium",I6657&lt;=9,"Large")</f>
        <v>small</v>
      </c>
      <c r="K6657" s="36">
        <v>45490</v>
      </c>
      <c r="L6657" s="36">
        <v>45496</v>
      </c>
      <c r="M6657" t="s">
        <v>603</v>
      </c>
      <c r="N6657" t="s">
        <v>608</v>
      </c>
      <c r="O6657" s="37" t="str">
        <f t="shared" si="518"/>
        <v>Cash Payment</v>
      </c>
      <c r="P6657">
        <v>761.98</v>
      </c>
      <c r="Q6657" s="37" t="str">
        <f>IF(P6657&gt;500,"High","low")</f>
        <v>High</v>
      </c>
      <c r="R6657" s="37" t="str">
        <f t="shared" si="519"/>
        <v>Good</v>
      </c>
      <c r="S6657" t="s">
        <v>628</v>
      </c>
    </row>
    <row r="6658" spans="1:19" x14ac:dyDescent="0.2">
      <c r="A6658" t="s">
        <v>7269</v>
      </c>
      <c r="B6658" t="s">
        <v>75</v>
      </c>
      <c r="C6658" t="s">
        <v>602</v>
      </c>
      <c r="D6658">
        <v>2225.8000000000002</v>
      </c>
      <c r="E6658" s="37" t="str">
        <f t="shared" si="515"/>
        <v xml:space="preserve"> </v>
      </c>
      <c r="F6658">
        <v>0.34</v>
      </c>
      <c r="G6658" s="37" t="str">
        <f t="shared" si="516"/>
        <v>Heavy Discount</v>
      </c>
      <c r="H6658" s="37" t="str">
        <f t="shared" si="517"/>
        <v>Medium</v>
      </c>
      <c r="I6658">
        <v>8</v>
      </c>
      <c r="J6658" t="str" cm="1">
        <f t="array" ref="J6658">_xlfn.IFS(I6658&lt;=3,"small",I6658&lt;=6,"Medium",I6658&lt;=9,"Large")</f>
        <v>Large</v>
      </c>
      <c r="K6658" s="36">
        <v>45364</v>
      </c>
      <c r="L6658" s="36">
        <v>45369</v>
      </c>
      <c r="M6658" t="s">
        <v>612</v>
      </c>
      <c r="N6658" t="s">
        <v>599</v>
      </c>
      <c r="O6658" s="37" t="str">
        <f t="shared" si="518"/>
        <v>Digital Payment</v>
      </c>
      <c r="P6658">
        <v>607.72</v>
      </c>
      <c r="Q6658" s="37" t="str">
        <f>IF(P6658&gt;500,"High","low")</f>
        <v>High</v>
      </c>
      <c r="R6658" s="37" t="str">
        <f t="shared" si="519"/>
        <v>Good</v>
      </c>
      <c r="S6658" t="s">
        <v>615</v>
      </c>
    </row>
    <row r="6659" spans="1:19" x14ac:dyDescent="0.2">
      <c r="A6659" t="s">
        <v>7270</v>
      </c>
      <c r="B6659" t="s">
        <v>90</v>
      </c>
      <c r="C6659" t="s">
        <v>602</v>
      </c>
      <c r="D6659">
        <v>2223.1999999999998</v>
      </c>
      <c r="E6659" s="37" t="str">
        <f t="shared" ref="E6659:E6722" si="520">IF(AND(D6659&gt;4000,P6659&gt;800),"Excellent Order"," ")</f>
        <v xml:space="preserve"> </v>
      </c>
      <c r="F6659">
        <v>0.1</v>
      </c>
      <c r="G6659" s="37" t="str">
        <f t="shared" ref="G6659:G6722" si="521">IF(F6659&gt;30%,"Heavy Discount","Normal Discount")</f>
        <v>Normal Discount</v>
      </c>
      <c r="H6659" s="37" t="str">
        <f t="shared" ref="H6659:H6722" si="522">IF(F6659&gt;0.4,"High",IF(F6659&gt;=0.2,"Medium","Low"))</f>
        <v>Low</v>
      </c>
      <c r="I6659">
        <v>7</v>
      </c>
      <c r="J6659" t="str" cm="1">
        <f t="array" ref="J6659">_xlfn.IFS(I6659&lt;=3,"small",I6659&lt;=6,"Medium",I6659&lt;=9,"Large")</f>
        <v>Large</v>
      </c>
      <c r="K6659" s="36">
        <v>44964</v>
      </c>
      <c r="L6659" s="36">
        <v>44971</v>
      </c>
      <c r="M6659" t="s">
        <v>612</v>
      </c>
      <c r="N6659" t="s">
        <v>608</v>
      </c>
      <c r="O6659" s="37" t="str">
        <f t="shared" ref="O6659:O6722" si="523">IF(OR(N6659="Card",N6659="UPI"),"Digital Payment","Cash Payment")</f>
        <v>Cash Payment</v>
      </c>
      <c r="P6659">
        <v>606.28</v>
      </c>
      <c r="Q6659" s="37" t="str">
        <f>IF(P6659&gt;500,"High","low")</f>
        <v>High</v>
      </c>
      <c r="R6659" s="37" t="str">
        <f t="shared" ref="R6659:R6722" si="524">IF(P6659&gt;1000,"Excellent",IF(P6659&gt;=500,"Good","AVERAGE"))</f>
        <v>Good</v>
      </c>
      <c r="S6659" t="s">
        <v>620</v>
      </c>
    </row>
    <row r="6660" spans="1:19" x14ac:dyDescent="0.2">
      <c r="A6660" t="s">
        <v>7271</v>
      </c>
      <c r="B6660" t="s">
        <v>75</v>
      </c>
      <c r="C6660" t="s">
        <v>617</v>
      </c>
      <c r="D6660">
        <v>933.66</v>
      </c>
      <c r="E6660" s="37" t="str">
        <f t="shared" si="520"/>
        <v xml:space="preserve"> </v>
      </c>
      <c r="F6660">
        <v>0.16</v>
      </c>
      <c r="G6660" s="37" t="str">
        <f t="shared" si="521"/>
        <v>Normal Discount</v>
      </c>
      <c r="H6660" s="37" t="str">
        <f t="shared" si="522"/>
        <v>Low</v>
      </c>
      <c r="I6660">
        <v>2</v>
      </c>
      <c r="J6660" t="str" cm="1">
        <f t="array" ref="J6660">_xlfn.IFS(I6660&lt;=3,"small",I6660&lt;=6,"Medium",I6660&lt;=9,"Large")</f>
        <v>small</v>
      </c>
      <c r="K6660" s="36">
        <v>45501</v>
      </c>
      <c r="L6660" s="36">
        <v>45502</v>
      </c>
      <c r="M6660" t="s">
        <v>612</v>
      </c>
      <c r="N6660" t="s">
        <v>599</v>
      </c>
      <c r="O6660" s="37" t="str">
        <f t="shared" si="523"/>
        <v>Digital Payment</v>
      </c>
      <c r="P6660">
        <v>200.61</v>
      </c>
      <c r="Q6660" s="37" t="str">
        <f>IF(P6660&gt;500,"High","low")</f>
        <v>low</v>
      </c>
      <c r="R6660" s="37" t="str">
        <f t="shared" si="524"/>
        <v>AVERAGE</v>
      </c>
      <c r="S6660" t="s">
        <v>628</v>
      </c>
    </row>
    <row r="6661" spans="1:19" x14ac:dyDescent="0.2">
      <c r="A6661" t="s">
        <v>7272</v>
      </c>
      <c r="B6661" t="s">
        <v>90</v>
      </c>
      <c r="C6661" t="s">
        <v>602</v>
      </c>
      <c r="D6661">
        <v>2622.91</v>
      </c>
      <c r="E6661" s="37" t="str">
        <f t="shared" si="520"/>
        <v xml:space="preserve"> </v>
      </c>
      <c r="F6661">
        <v>0.37</v>
      </c>
      <c r="G6661" s="37" t="str">
        <f t="shared" si="521"/>
        <v>Heavy Discount</v>
      </c>
      <c r="H6661" s="37" t="str">
        <f t="shared" si="522"/>
        <v>Medium</v>
      </c>
      <c r="I6661">
        <v>2</v>
      </c>
      <c r="J6661" t="str" cm="1">
        <f t="array" ref="J6661">_xlfn.IFS(I6661&lt;=3,"small",I6661&lt;=6,"Medium",I6661&lt;=9,"Large")</f>
        <v>small</v>
      </c>
      <c r="K6661" s="36">
        <v>45302</v>
      </c>
      <c r="L6661" s="36">
        <v>45303</v>
      </c>
      <c r="M6661" t="s">
        <v>598</v>
      </c>
      <c r="N6661" t="s">
        <v>608</v>
      </c>
      <c r="O6661" s="37" t="str">
        <f t="shared" si="523"/>
        <v>Cash Payment</v>
      </c>
      <c r="P6661">
        <v>613.96</v>
      </c>
      <c r="Q6661" s="37" t="str">
        <f>IF(P6661&gt;500,"High","low")</f>
        <v>High</v>
      </c>
      <c r="R6661" s="37" t="str">
        <f t="shared" si="524"/>
        <v>Good</v>
      </c>
      <c r="S6661" t="s">
        <v>620</v>
      </c>
    </row>
    <row r="6662" spans="1:19" x14ac:dyDescent="0.2">
      <c r="A6662" t="s">
        <v>7273</v>
      </c>
      <c r="B6662" t="s">
        <v>67</v>
      </c>
      <c r="C6662" t="s">
        <v>617</v>
      </c>
      <c r="D6662">
        <v>515.12</v>
      </c>
      <c r="E6662" s="37" t="str">
        <f t="shared" si="520"/>
        <v xml:space="preserve"> </v>
      </c>
      <c r="F6662">
        <v>0.39</v>
      </c>
      <c r="G6662" s="37" t="str">
        <f t="shared" si="521"/>
        <v>Heavy Discount</v>
      </c>
      <c r="H6662" s="37" t="str">
        <f t="shared" si="522"/>
        <v>Medium</v>
      </c>
      <c r="I6662">
        <v>5</v>
      </c>
      <c r="J6662" t="str" cm="1">
        <f t="array" ref="J6662">_xlfn.IFS(I6662&lt;=3,"small",I6662&lt;=6,"Medium",I6662&lt;=9,"Large")</f>
        <v>Medium</v>
      </c>
      <c r="K6662" s="36">
        <v>44932</v>
      </c>
      <c r="L6662" s="36">
        <v>44934</v>
      </c>
      <c r="M6662" t="s">
        <v>598</v>
      </c>
      <c r="N6662" t="s">
        <v>608</v>
      </c>
      <c r="O6662" s="37" t="str">
        <f t="shared" si="523"/>
        <v>Cash Payment</v>
      </c>
      <c r="P6662">
        <v>39.83</v>
      </c>
      <c r="Q6662" s="37" t="str">
        <f>IF(P6662&gt;500,"High","low")</f>
        <v>low</v>
      </c>
      <c r="R6662" s="37" t="str">
        <f t="shared" si="524"/>
        <v>AVERAGE</v>
      </c>
      <c r="S6662" t="s">
        <v>615</v>
      </c>
    </row>
    <row r="6663" spans="1:19" x14ac:dyDescent="0.2">
      <c r="A6663" t="s">
        <v>7274</v>
      </c>
      <c r="B6663" t="s">
        <v>67</v>
      </c>
      <c r="C6663" t="s">
        <v>597</v>
      </c>
      <c r="D6663">
        <v>3121.23</v>
      </c>
      <c r="E6663" s="37" t="str">
        <f t="shared" si="520"/>
        <v xml:space="preserve"> </v>
      </c>
      <c r="F6663">
        <v>0.17</v>
      </c>
      <c r="G6663" s="37" t="str">
        <f t="shared" si="521"/>
        <v>Normal Discount</v>
      </c>
      <c r="H6663" s="37" t="str">
        <f t="shared" si="522"/>
        <v>Low</v>
      </c>
      <c r="I6663">
        <v>4</v>
      </c>
      <c r="J6663" t="str" cm="1">
        <f t="array" ref="J6663">_xlfn.IFS(I6663&lt;=3,"small",I6663&lt;=6,"Medium",I6663&lt;=9,"Large")</f>
        <v>Medium</v>
      </c>
      <c r="K6663" s="36">
        <v>45640</v>
      </c>
      <c r="L6663" s="36">
        <v>45644</v>
      </c>
      <c r="M6663" t="s">
        <v>598</v>
      </c>
      <c r="N6663" t="s">
        <v>604</v>
      </c>
      <c r="O6663" s="37" t="str">
        <f t="shared" si="523"/>
        <v>Digital Payment</v>
      </c>
      <c r="P6663">
        <v>684.74</v>
      </c>
      <c r="Q6663" s="37" t="str">
        <f>IF(P6663&gt;500,"High","low")</f>
        <v>High</v>
      </c>
      <c r="R6663" s="37" t="str">
        <f t="shared" si="524"/>
        <v>Good</v>
      </c>
      <c r="S6663" t="s">
        <v>600</v>
      </c>
    </row>
    <row r="6664" spans="1:19" x14ac:dyDescent="0.2">
      <c r="A6664" t="s">
        <v>7275</v>
      </c>
      <c r="B6664" t="s">
        <v>75</v>
      </c>
      <c r="C6664" t="s">
        <v>597</v>
      </c>
      <c r="D6664">
        <v>1283.79</v>
      </c>
      <c r="E6664" s="37" t="str">
        <f t="shared" si="520"/>
        <v xml:space="preserve"> </v>
      </c>
      <c r="F6664">
        <v>0.04</v>
      </c>
      <c r="G6664" s="37" t="str">
        <f t="shared" si="521"/>
        <v>Normal Discount</v>
      </c>
      <c r="H6664" s="37" t="str">
        <f t="shared" si="522"/>
        <v>Low</v>
      </c>
      <c r="I6664">
        <v>4</v>
      </c>
      <c r="J6664" t="str" cm="1">
        <f t="array" ref="J6664">_xlfn.IFS(I6664&lt;=3,"small",I6664&lt;=6,"Medium",I6664&lt;=9,"Large")</f>
        <v>Medium</v>
      </c>
      <c r="K6664" s="36">
        <v>45566</v>
      </c>
      <c r="L6664" s="36">
        <v>45573</v>
      </c>
      <c r="M6664" t="s">
        <v>612</v>
      </c>
      <c r="N6664" t="s">
        <v>599</v>
      </c>
      <c r="O6664" s="37" t="str">
        <f t="shared" si="523"/>
        <v>Digital Payment</v>
      </c>
      <c r="P6664">
        <v>171.8</v>
      </c>
      <c r="Q6664" s="37" t="str">
        <f>IF(P6664&gt;500,"High","low")</f>
        <v>low</v>
      </c>
      <c r="R6664" s="37" t="str">
        <f t="shared" si="524"/>
        <v>AVERAGE</v>
      </c>
      <c r="S6664" t="s">
        <v>620</v>
      </c>
    </row>
    <row r="6665" spans="1:19" x14ac:dyDescent="0.2">
      <c r="A6665" t="s">
        <v>7276</v>
      </c>
      <c r="B6665" t="s">
        <v>90</v>
      </c>
      <c r="C6665" t="s">
        <v>602</v>
      </c>
      <c r="D6665">
        <v>3651.8</v>
      </c>
      <c r="E6665" s="37" t="str">
        <f t="shared" si="520"/>
        <v xml:space="preserve"> </v>
      </c>
      <c r="F6665">
        <v>0.38</v>
      </c>
      <c r="G6665" s="37" t="str">
        <f t="shared" si="521"/>
        <v>Heavy Discount</v>
      </c>
      <c r="H6665" s="37" t="str">
        <f t="shared" si="522"/>
        <v>Medium</v>
      </c>
      <c r="I6665">
        <v>9</v>
      </c>
      <c r="J6665" t="str" cm="1">
        <f t="array" ref="J6665">_xlfn.IFS(I6665&lt;=3,"small",I6665&lt;=6,"Medium",I6665&lt;=9,"Large")</f>
        <v>Large</v>
      </c>
      <c r="K6665" s="36">
        <v>45234</v>
      </c>
      <c r="L6665" s="36">
        <v>45237</v>
      </c>
      <c r="M6665" t="s">
        <v>603</v>
      </c>
      <c r="N6665" t="s">
        <v>608</v>
      </c>
      <c r="O6665" s="37" t="str">
        <f t="shared" si="523"/>
        <v>Cash Payment</v>
      </c>
      <c r="P6665">
        <v>833.88</v>
      </c>
      <c r="Q6665" s="37" t="str">
        <f>IF(P6665&gt;500,"High","low")</f>
        <v>High</v>
      </c>
      <c r="R6665" s="37" t="str">
        <f t="shared" si="524"/>
        <v>Good</v>
      </c>
      <c r="S6665" t="s">
        <v>600</v>
      </c>
    </row>
    <row r="6666" spans="1:19" x14ac:dyDescent="0.2">
      <c r="A6666" t="s">
        <v>7277</v>
      </c>
      <c r="B6666" t="s">
        <v>90</v>
      </c>
      <c r="C6666" t="s">
        <v>597</v>
      </c>
      <c r="D6666">
        <v>3076.07</v>
      </c>
      <c r="E6666" s="37" t="str">
        <f t="shared" si="520"/>
        <v xml:space="preserve"> </v>
      </c>
      <c r="F6666">
        <v>0.44</v>
      </c>
      <c r="G6666" s="37" t="str">
        <f t="shared" si="521"/>
        <v>Heavy Discount</v>
      </c>
      <c r="H6666" s="37" t="str">
        <f t="shared" si="522"/>
        <v>High</v>
      </c>
      <c r="I6666">
        <v>1</v>
      </c>
      <c r="J6666" t="str" cm="1">
        <f t="array" ref="J6666">_xlfn.IFS(I6666&lt;=3,"small",I6666&lt;=6,"Medium",I6666&lt;=9,"Large")</f>
        <v>small</v>
      </c>
      <c r="K6666" s="36">
        <v>45560</v>
      </c>
      <c r="L6666" s="36">
        <v>45561</v>
      </c>
      <c r="M6666" t="s">
        <v>603</v>
      </c>
      <c r="N6666" t="s">
        <v>608</v>
      </c>
      <c r="O6666" s="37" t="str">
        <f t="shared" si="523"/>
        <v>Cash Payment</v>
      </c>
      <c r="P6666">
        <v>252.25</v>
      </c>
      <c r="Q6666" s="37" t="str">
        <f>IF(P6666&gt;500,"High","low")</f>
        <v>low</v>
      </c>
      <c r="R6666" s="37" t="str">
        <f t="shared" si="524"/>
        <v>AVERAGE</v>
      </c>
      <c r="S6666" t="s">
        <v>609</v>
      </c>
    </row>
    <row r="6667" spans="1:19" x14ac:dyDescent="0.2">
      <c r="A6667" t="s">
        <v>7278</v>
      </c>
      <c r="B6667" t="s">
        <v>67</v>
      </c>
      <c r="C6667" t="s">
        <v>607</v>
      </c>
      <c r="D6667">
        <v>3757.38</v>
      </c>
      <c r="E6667" s="37" t="str">
        <f t="shared" si="520"/>
        <v xml:space="preserve"> </v>
      </c>
      <c r="F6667">
        <v>0.48</v>
      </c>
      <c r="G6667" s="37" t="str">
        <f t="shared" si="521"/>
        <v>Heavy Discount</v>
      </c>
      <c r="H6667" s="37" t="str">
        <f t="shared" si="522"/>
        <v>High</v>
      </c>
      <c r="I6667">
        <v>9</v>
      </c>
      <c r="J6667" t="str" cm="1">
        <f t="array" ref="J6667">_xlfn.IFS(I6667&lt;=3,"small",I6667&lt;=6,"Medium",I6667&lt;=9,"Large")</f>
        <v>Large</v>
      </c>
      <c r="K6667" s="36">
        <v>45048</v>
      </c>
      <c r="L6667" s="36">
        <v>45051</v>
      </c>
      <c r="M6667" t="s">
        <v>598</v>
      </c>
      <c r="N6667" t="s">
        <v>604</v>
      </c>
      <c r="O6667" s="37" t="str">
        <f t="shared" si="523"/>
        <v>Digital Payment</v>
      </c>
      <c r="P6667">
        <v>735.66</v>
      </c>
      <c r="Q6667" s="37" t="str">
        <f>IF(P6667&gt;500,"High","low")</f>
        <v>High</v>
      </c>
      <c r="R6667" s="37" t="str">
        <f t="shared" si="524"/>
        <v>Good</v>
      </c>
      <c r="S6667" t="s">
        <v>609</v>
      </c>
    </row>
    <row r="6668" spans="1:19" x14ac:dyDescent="0.2">
      <c r="A6668" t="s">
        <v>7279</v>
      </c>
      <c r="B6668" t="s">
        <v>75</v>
      </c>
      <c r="C6668" t="s">
        <v>607</v>
      </c>
      <c r="D6668">
        <v>3773.74</v>
      </c>
      <c r="E6668" s="37" t="str">
        <f t="shared" si="520"/>
        <v xml:space="preserve"> </v>
      </c>
      <c r="F6668">
        <v>0.16</v>
      </c>
      <c r="G6668" s="37" t="str">
        <f t="shared" si="521"/>
        <v>Normal Discount</v>
      </c>
      <c r="H6668" s="37" t="str">
        <f t="shared" si="522"/>
        <v>Low</v>
      </c>
      <c r="I6668">
        <v>3</v>
      </c>
      <c r="J6668" t="str" cm="1">
        <f t="array" ref="J6668">_xlfn.IFS(I6668&lt;=3,"small",I6668&lt;=6,"Medium",I6668&lt;=9,"Large")</f>
        <v>small</v>
      </c>
      <c r="K6668" s="36">
        <v>45098</v>
      </c>
      <c r="L6668" s="36">
        <v>45100</v>
      </c>
      <c r="M6668" t="s">
        <v>612</v>
      </c>
      <c r="N6668" t="s">
        <v>604</v>
      </c>
      <c r="O6668" s="37" t="str">
        <f t="shared" si="523"/>
        <v>Digital Payment</v>
      </c>
      <c r="P6668">
        <v>527.46</v>
      </c>
      <c r="Q6668" s="37" t="str">
        <f>IF(P6668&gt;500,"High","low")</f>
        <v>High</v>
      </c>
      <c r="R6668" s="37" t="str">
        <f t="shared" si="524"/>
        <v>Good</v>
      </c>
      <c r="S6668" t="s">
        <v>609</v>
      </c>
    </row>
    <row r="6669" spans="1:19" x14ac:dyDescent="0.2">
      <c r="A6669" t="s">
        <v>7280</v>
      </c>
      <c r="B6669" t="s">
        <v>90</v>
      </c>
      <c r="C6669" t="s">
        <v>607</v>
      </c>
      <c r="D6669">
        <v>1063.8699999999999</v>
      </c>
      <c r="E6669" s="37" t="str">
        <f t="shared" si="520"/>
        <v xml:space="preserve"> </v>
      </c>
      <c r="F6669">
        <v>0.06</v>
      </c>
      <c r="G6669" s="37" t="str">
        <f t="shared" si="521"/>
        <v>Normal Discount</v>
      </c>
      <c r="H6669" s="37" t="str">
        <f t="shared" si="522"/>
        <v>Low</v>
      </c>
      <c r="I6669">
        <v>8</v>
      </c>
      <c r="J6669" t="str" cm="1">
        <f t="array" ref="J6669">_xlfn.IFS(I6669&lt;=3,"small",I6669&lt;=6,"Medium",I6669&lt;=9,"Large")</f>
        <v>Large</v>
      </c>
      <c r="K6669" s="36">
        <v>45346</v>
      </c>
      <c r="L6669" s="36">
        <v>45348</v>
      </c>
      <c r="M6669" t="s">
        <v>612</v>
      </c>
      <c r="N6669" t="s">
        <v>608</v>
      </c>
      <c r="O6669" s="37" t="str">
        <f t="shared" si="523"/>
        <v>Cash Payment</v>
      </c>
      <c r="P6669">
        <v>166.93</v>
      </c>
      <c r="Q6669" s="37" t="str">
        <f>IF(P6669&gt;500,"High","low")</f>
        <v>low</v>
      </c>
      <c r="R6669" s="37" t="str">
        <f t="shared" si="524"/>
        <v>AVERAGE</v>
      </c>
      <c r="S6669" t="s">
        <v>628</v>
      </c>
    </row>
    <row r="6670" spans="1:19" x14ac:dyDescent="0.2">
      <c r="A6670" t="s">
        <v>7281</v>
      </c>
      <c r="B6670" t="s">
        <v>67</v>
      </c>
      <c r="C6670" t="s">
        <v>597</v>
      </c>
      <c r="D6670">
        <v>103.31</v>
      </c>
      <c r="E6670" s="37" t="str">
        <f t="shared" si="520"/>
        <v xml:space="preserve"> </v>
      </c>
      <c r="F6670">
        <v>0.47</v>
      </c>
      <c r="G6670" s="37" t="str">
        <f t="shared" si="521"/>
        <v>Heavy Discount</v>
      </c>
      <c r="H6670" s="37" t="str">
        <f t="shared" si="522"/>
        <v>High</v>
      </c>
      <c r="I6670">
        <v>5</v>
      </c>
      <c r="J6670" t="str" cm="1">
        <f t="array" ref="J6670">_xlfn.IFS(I6670&lt;=3,"small",I6670&lt;=6,"Medium",I6670&lt;=9,"Large")</f>
        <v>Medium</v>
      </c>
      <c r="K6670" s="36">
        <v>45246</v>
      </c>
      <c r="L6670" s="36">
        <v>45250</v>
      </c>
      <c r="M6670" t="s">
        <v>603</v>
      </c>
      <c r="N6670" t="s">
        <v>599</v>
      </c>
      <c r="O6670" s="37" t="str">
        <f t="shared" si="523"/>
        <v>Digital Payment</v>
      </c>
      <c r="P6670">
        <v>7.97</v>
      </c>
      <c r="Q6670" s="37" t="str">
        <f>IF(P6670&gt;500,"High","low")</f>
        <v>low</v>
      </c>
      <c r="R6670" s="37" t="str">
        <f t="shared" si="524"/>
        <v>AVERAGE</v>
      </c>
      <c r="S6670" t="s">
        <v>609</v>
      </c>
    </row>
    <row r="6671" spans="1:19" x14ac:dyDescent="0.2">
      <c r="A6671" t="s">
        <v>7282</v>
      </c>
      <c r="B6671" t="s">
        <v>83</v>
      </c>
      <c r="C6671" t="s">
        <v>607</v>
      </c>
      <c r="D6671">
        <v>1892.23</v>
      </c>
      <c r="E6671" s="37" t="str">
        <f t="shared" si="520"/>
        <v xml:space="preserve"> </v>
      </c>
      <c r="F6671">
        <v>0.2</v>
      </c>
      <c r="G6671" s="37" t="str">
        <f t="shared" si="521"/>
        <v>Normal Discount</v>
      </c>
      <c r="H6671" s="37" t="str">
        <f t="shared" si="522"/>
        <v>Medium</v>
      </c>
      <c r="I6671">
        <v>3</v>
      </c>
      <c r="J6671" t="str" cm="1">
        <f t="array" ref="J6671">_xlfn.IFS(I6671&lt;=3,"small",I6671&lt;=6,"Medium",I6671&lt;=9,"Large")</f>
        <v>small</v>
      </c>
      <c r="K6671" s="36">
        <v>45173</v>
      </c>
      <c r="L6671" s="36">
        <v>45179</v>
      </c>
      <c r="M6671" t="s">
        <v>612</v>
      </c>
      <c r="N6671" t="s">
        <v>604</v>
      </c>
      <c r="O6671" s="37" t="str">
        <f t="shared" si="523"/>
        <v>Digital Payment</v>
      </c>
      <c r="P6671">
        <v>420.98</v>
      </c>
      <c r="Q6671" s="37" t="str">
        <f>IF(P6671&gt;500,"High","low")</f>
        <v>low</v>
      </c>
      <c r="R6671" s="37" t="str">
        <f t="shared" si="524"/>
        <v>AVERAGE</v>
      </c>
      <c r="S6671" t="s">
        <v>615</v>
      </c>
    </row>
    <row r="6672" spans="1:19" x14ac:dyDescent="0.2">
      <c r="A6672" t="s">
        <v>7283</v>
      </c>
      <c r="B6672" t="s">
        <v>75</v>
      </c>
      <c r="C6672" t="s">
        <v>617</v>
      </c>
      <c r="D6672">
        <v>4603.4399999999996</v>
      </c>
      <c r="E6672" s="37" t="str">
        <f t="shared" si="520"/>
        <v>Excellent Order</v>
      </c>
      <c r="F6672">
        <v>0.05</v>
      </c>
      <c r="G6672" s="37" t="str">
        <f t="shared" si="521"/>
        <v>Normal Discount</v>
      </c>
      <c r="H6672" s="37" t="str">
        <f t="shared" si="522"/>
        <v>Low</v>
      </c>
      <c r="I6672">
        <v>9</v>
      </c>
      <c r="J6672" t="str" cm="1">
        <f t="array" ref="J6672">_xlfn.IFS(I6672&lt;=3,"small",I6672&lt;=6,"Medium",I6672&lt;=9,"Large")</f>
        <v>Large</v>
      </c>
      <c r="K6672" s="36">
        <v>45547</v>
      </c>
      <c r="L6672" s="36">
        <v>45548</v>
      </c>
      <c r="M6672" t="s">
        <v>598</v>
      </c>
      <c r="N6672" t="s">
        <v>608</v>
      </c>
      <c r="O6672" s="37" t="str">
        <f t="shared" si="523"/>
        <v>Cash Payment</v>
      </c>
      <c r="P6672">
        <v>1088.07</v>
      </c>
      <c r="Q6672" s="37" t="str">
        <f>IF(P6672&gt;500,"High","low")</f>
        <v>High</v>
      </c>
      <c r="R6672" s="37" t="str">
        <f t="shared" si="524"/>
        <v>Excellent</v>
      </c>
      <c r="S6672" t="s">
        <v>628</v>
      </c>
    </row>
    <row r="6673" spans="1:19" x14ac:dyDescent="0.2">
      <c r="A6673" t="s">
        <v>7284</v>
      </c>
      <c r="B6673" t="s">
        <v>83</v>
      </c>
      <c r="C6673" t="s">
        <v>614</v>
      </c>
      <c r="D6673">
        <v>2931.71</v>
      </c>
      <c r="E6673" s="37" t="str">
        <f t="shared" si="520"/>
        <v xml:space="preserve"> </v>
      </c>
      <c r="F6673">
        <v>0.25</v>
      </c>
      <c r="G6673" s="37" t="str">
        <f t="shared" si="521"/>
        <v>Normal Discount</v>
      </c>
      <c r="H6673" s="37" t="str">
        <f t="shared" si="522"/>
        <v>Medium</v>
      </c>
      <c r="I6673">
        <v>9</v>
      </c>
      <c r="J6673" t="str" cm="1">
        <f t="array" ref="J6673">_xlfn.IFS(I6673&lt;=3,"small",I6673&lt;=6,"Medium",I6673&lt;=9,"Large")</f>
        <v>Large</v>
      </c>
      <c r="K6673" s="36">
        <v>45119</v>
      </c>
      <c r="L6673" s="36">
        <v>45121</v>
      </c>
      <c r="M6673" t="s">
        <v>612</v>
      </c>
      <c r="N6673" t="s">
        <v>608</v>
      </c>
      <c r="O6673" s="37" t="str">
        <f t="shared" si="523"/>
        <v>Cash Payment</v>
      </c>
      <c r="P6673">
        <v>245.07</v>
      </c>
      <c r="Q6673" s="37" t="str">
        <f>IF(P6673&gt;500,"High","low")</f>
        <v>low</v>
      </c>
      <c r="R6673" s="37" t="str">
        <f t="shared" si="524"/>
        <v>AVERAGE</v>
      </c>
      <c r="S6673" t="s">
        <v>615</v>
      </c>
    </row>
    <row r="6674" spans="1:19" x14ac:dyDescent="0.2">
      <c r="A6674" t="s">
        <v>7285</v>
      </c>
      <c r="B6674" t="s">
        <v>75</v>
      </c>
      <c r="C6674" t="s">
        <v>602</v>
      </c>
      <c r="D6674">
        <v>3664.76</v>
      </c>
      <c r="E6674" s="37" t="str">
        <f t="shared" si="520"/>
        <v xml:space="preserve"> </v>
      </c>
      <c r="F6674">
        <v>0.1</v>
      </c>
      <c r="G6674" s="37" t="str">
        <f t="shared" si="521"/>
        <v>Normal Discount</v>
      </c>
      <c r="H6674" s="37" t="str">
        <f t="shared" si="522"/>
        <v>Low</v>
      </c>
      <c r="I6674">
        <v>8</v>
      </c>
      <c r="J6674" t="str" cm="1">
        <f t="array" ref="J6674">_xlfn.IFS(I6674&lt;=3,"small",I6674&lt;=6,"Medium",I6674&lt;=9,"Large")</f>
        <v>Large</v>
      </c>
      <c r="K6674" s="36">
        <v>45358</v>
      </c>
      <c r="L6674" s="36">
        <v>45363</v>
      </c>
      <c r="M6674" t="s">
        <v>598</v>
      </c>
      <c r="N6674" t="s">
        <v>599</v>
      </c>
      <c r="O6674" s="37" t="str">
        <f t="shared" si="523"/>
        <v>Digital Payment</v>
      </c>
      <c r="P6674">
        <v>644.66</v>
      </c>
      <c r="Q6674" s="37" t="str">
        <f>IF(P6674&gt;500,"High","low")</f>
        <v>High</v>
      </c>
      <c r="R6674" s="37" t="str">
        <f t="shared" si="524"/>
        <v>Good</v>
      </c>
      <c r="S6674" t="s">
        <v>615</v>
      </c>
    </row>
    <row r="6675" spans="1:19" x14ac:dyDescent="0.2">
      <c r="A6675" t="s">
        <v>7286</v>
      </c>
      <c r="B6675" t="s">
        <v>67</v>
      </c>
      <c r="C6675" t="s">
        <v>617</v>
      </c>
      <c r="D6675">
        <v>4409.8900000000003</v>
      </c>
      <c r="E6675" s="37" t="str">
        <f t="shared" si="520"/>
        <v>Excellent Order</v>
      </c>
      <c r="F6675">
        <v>0.18</v>
      </c>
      <c r="G6675" s="37" t="str">
        <f t="shared" si="521"/>
        <v>Normal Discount</v>
      </c>
      <c r="H6675" s="37" t="str">
        <f t="shared" si="522"/>
        <v>Low</v>
      </c>
      <c r="I6675">
        <v>3</v>
      </c>
      <c r="J6675" t="str" cm="1">
        <f t="array" ref="J6675">_xlfn.IFS(I6675&lt;=3,"small",I6675&lt;=6,"Medium",I6675&lt;=9,"Large")</f>
        <v>small</v>
      </c>
      <c r="K6675" s="36">
        <v>45091</v>
      </c>
      <c r="L6675" s="36">
        <v>45094</v>
      </c>
      <c r="M6675" t="s">
        <v>598</v>
      </c>
      <c r="N6675" t="s">
        <v>604</v>
      </c>
      <c r="O6675" s="37" t="str">
        <f t="shared" si="523"/>
        <v>Digital Payment</v>
      </c>
      <c r="P6675">
        <v>1088.2</v>
      </c>
      <c r="Q6675" s="37" t="str">
        <f>IF(P6675&gt;500,"High","low")</f>
        <v>High</v>
      </c>
      <c r="R6675" s="37" t="str">
        <f t="shared" si="524"/>
        <v>Excellent</v>
      </c>
      <c r="S6675" t="s">
        <v>615</v>
      </c>
    </row>
    <row r="6676" spans="1:19" x14ac:dyDescent="0.2">
      <c r="A6676" t="s">
        <v>7287</v>
      </c>
      <c r="B6676" t="s">
        <v>90</v>
      </c>
      <c r="C6676" t="s">
        <v>607</v>
      </c>
      <c r="D6676">
        <v>4539.6899999999996</v>
      </c>
      <c r="E6676" s="37" t="str">
        <f t="shared" si="520"/>
        <v xml:space="preserve"> </v>
      </c>
      <c r="F6676">
        <v>0.16</v>
      </c>
      <c r="G6676" s="37" t="str">
        <f t="shared" si="521"/>
        <v>Normal Discount</v>
      </c>
      <c r="H6676" s="37" t="str">
        <f t="shared" si="522"/>
        <v>Low</v>
      </c>
      <c r="I6676">
        <v>3</v>
      </c>
      <c r="J6676" t="str" cm="1">
        <f t="array" ref="J6676">_xlfn.IFS(I6676&lt;=3,"small",I6676&lt;=6,"Medium",I6676&lt;=9,"Large")</f>
        <v>small</v>
      </c>
      <c r="K6676" s="36">
        <v>45177</v>
      </c>
      <c r="L6676" s="36">
        <v>45180</v>
      </c>
      <c r="M6676" t="s">
        <v>598</v>
      </c>
      <c r="N6676" t="s">
        <v>599</v>
      </c>
      <c r="O6676" s="37" t="str">
        <f t="shared" si="523"/>
        <v>Digital Payment</v>
      </c>
      <c r="P6676">
        <v>480.36</v>
      </c>
      <c r="Q6676" s="37" t="str">
        <f>IF(P6676&gt;500,"High","low")</f>
        <v>low</v>
      </c>
      <c r="R6676" s="37" t="str">
        <f t="shared" si="524"/>
        <v>AVERAGE</v>
      </c>
      <c r="S6676" t="s">
        <v>628</v>
      </c>
    </row>
    <row r="6677" spans="1:19" x14ac:dyDescent="0.2">
      <c r="A6677" t="s">
        <v>7288</v>
      </c>
      <c r="B6677" t="s">
        <v>90</v>
      </c>
      <c r="C6677" t="s">
        <v>614</v>
      </c>
      <c r="D6677">
        <v>2692.22</v>
      </c>
      <c r="E6677" s="37" t="str">
        <f t="shared" si="520"/>
        <v xml:space="preserve"> </v>
      </c>
      <c r="F6677">
        <v>0.49</v>
      </c>
      <c r="G6677" s="37" t="str">
        <f t="shared" si="521"/>
        <v>Heavy Discount</v>
      </c>
      <c r="H6677" s="37" t="str">
        <f t="shared" si="522"/>
        <v>High</v>
      </c>
      <c r="I6677">
        <v>3</v>
      </c>
      <c r="J6677" t="str" cm="1">
        <f t="array" ref="J6677">_xlfn.IFS(I6677&lt;=3,"small",I6677&lt;=6,"Medium",I6677&lt;=9,"Large")</f>
        <v>small</v>
      </c>
      <c r="K6677" s="36">
        <v>45274</v>
      </c>
      <c r="L6677" s="36">
        <v>45280</v>
      </c>
      <c r="M6677" t="s">
        <v>598</v>
      </c>
      <c r="N6677" t="s">
        <v>608</v>
      </c>
      <c r="O6677" s="37" t="str">
        <f t="shared" si="523"/>
        <v>Cash Payment</v>
      </c>
      <c r="P6677">
        <v>196.45</v>
      </c>
      <c r="Q6677" s="37" t="str">
        <f>IF(P6677&gt;500,"High","low")</f>
        <v>low</v>
      </c>
      <c r="R6677" s="37" t="str">
        <f t="shared" si="524"/>
        <v>AVERAGE</v>
      </c>
      <c r="S6677" t="s">
        <v>600</v>
      </c>
    </row>
    <row r="6678" spans="1:19" x14ac:dyDescent="0.2">
      <c r="A6678" t="s">
        <v>7289</v>
      </c>
      <c r="B6678" t="s">
        <v>90</v>
      </c>
      <c r="C6678" t="s">
        <v>602</v>
      </c>
      <c r="D6678">
        <v>2750.62</v>
      </c>
      <c r="E6678" s="37" t="str">
        <f t="shared" si="520"/>
        <v xml:space="preserve"> </v>
      </c>
      <c r="F6678">
        <v>0.32</v>
      </c>
      <c r="G6678" s="37" t="str">
        <f t="shared" si="521"/>
        <v>Heavy Discount</v>
      </c>
      <c r="H6678" s="37" t="str">
        <f t="shared" si="522"/>
        <v>Medium</v>
      </c>
      <c r="I6678">
        <v>6</v>
      </c>
      <c r="J6678" t="str" cm="1">
        <f t="array" ref="J6678">_xlfn.IFS(I6678&lt;=3,"small",I6678&lt;=6,"Medium",I6678&lt;=9,"Large")</f>
        <v>Medium</v>
      </c>
      <c r="K6678" s="36">
        <v>44975</v>
      </c>
      <c r="L6678" s="36">
        <v>44980</v>
      </c>
      <c r="M6678" t="s">
        <v>603</v>
      </c>
      <c r="N6678" t="s">
        <v>604</v>
      </c>
      <c r="O6678" s="37" t="str">
        <f t="shared" si="523"/>
        <v>Digital Payment</v>
      </c>
      <c r="P6678">
        <v>764.29</v>
      </c>
      <c r="Q6678" s="37" t="str">
        <f>IF(P6678&gt;500,"High","low")</f>
        <v>High</v>
      </c>
      <c r="R6678" s="37" t="str">
        <f t="shared" si="524"/>
        <v>Good</v>
      </c>
      <c r="S6678" t="s">
        <v>615</v>
      </c>
    </row>
    <row r="6679" spans="1:19" x14ac:dyDescent="0.2">
      <c r="A6679" t="s">
        <v>7290</v>
      </c>
      <c r="B6679" t="s">
        <v>75</v>
      </c>
      <c r="C6679" t="s">
        <v>617</v>
      </c>
      <c r="D6679">
        <v>4269.6000000000004</v>
      </c>
      <c r="E6679" s="37" t="str">
        <f t="shared" si="520"/>
        <v>Excellent Order</v>
      </c>
      <c r="F6679">
        <v>0.25</v>
      </c>
      <c r="G6679" s="37" t="str">
        <f t="shared" si="521"/>
        <v>Normal Discount</v>
      </c>
      <c r="H6679" s="37" t="str">
        <f t="shared" si="522"/>
        <v>Medium</v>
      </c>
      <c r="I6679">
        <v>2</v>
      </c>
      <c r="J6679" t="str" cm="1">
        <f t="array" ref="J6679">_xlfn.IFS(I6679&lt;=3,"small",I6679&lt;=6,"Medium",I6679&lt;=9,"Large")</f>
        <v>small</v>
      </c>
      <c r="K6679" s="36">
        <v>45237</v>
      </c>
      <c r="L6679" s="36">
        <v>45240</v>
      </c>
      <c r="M6679" t="s">
        <v>612</v>
      </c>
      <c r="N6679" t="s">
        <v>608</v>
      </c>
      <c r="O6679" s="37" t="str">
        <f t="shared" si="523"/>
        <v>Cash Payment</v>
      </c>
      <c r="P6679">
        <v>1027.97</v>
      </c>
      <c r="Q6679" s="37" t="str">
        <f>IF(P6679&gt;500,"High","low")</f>
        <v>High</v>
      </c>
      <c r="R6679" s="37" t="str">
        <f t="shared" si="524"/>
        <v>Excellent</v>
      </c>
      <c r="S6679" t="s">
        <v>605</v>
      </c>
    </row>
    <row r="6680" spans="1:19" x14ac:dyDescent="0.2">
      <c r="A6680" t="s">
        <v>7291</v>
      </c>
      <c r="B6680" t="s">
        <v>67</v>
      </c>
      <c r="C6680" t="s">
        <v>602</v>
      </c>
      <c r="D6680">
        <v>4056.68</v>
      </c>
      <c r="E6680" s="37" t="str">
        <f t="shared" si="520"/>
        <v xml:space="preserve"> </v>
      </c>
      <c r="F6680">
        <v>0.26</v>
      </c>
      <c r="G6680" s="37" t="str">
        <f t="shared" si="521"/>
        <v>Normal Discount</v>
      </c>
      <c r="H6680" s="37" t="str">
        <f t="shared" si="522"/>
        <v>Medium</v>
      </c>
      <c r="I6680">
        <v>9</v>
      </c>
      <c r="J6680" t="str" cm="1">
        <f t="array" ref="J6680">_xlfn.IFS(I6680&lt;=3,"small",I6680&lt;=6,"Medium",I6680&lt;=9,"Large")</f>
        <v>Large</v>
      </c>
      <c r="K6680" s="36">
        <v>44965</v>
      </c>
      <c r="L6680" s="36">
        <v>44971</v>
      </c>
      <c r="M6680" t="s">
        <v>612</v>
      </c>
      <c r="N6680" t="s">
        <v>608</v>
      </c>
      <c r="O6680" s="37" t="str">
        <f t="shared" si="523"/>
        <v>Cash Payment</v>
      </c>
      <c r="P6680">
        <v>511.06</v>
      </c>
      <c r="Q6680" s="37" t="str">
        <f>IF(P6680&gt;500,"High","low")</f>
        <v>High</v>
      </c>
      <c r="R6680" s="37" t="str">
        <f t="shared" si="524"/>
        <v>Good</v>
      </c>
      <c r="S6680" t="s">
        <v>615</v>
      </c>
    </row>
    <row r="6681" spans="1:19" x14ac:dyDescent="0.2">
      <c r="A6681" t="s">
        <v>7292</v>
      </c>
      <c r="B6681" t="s">
        <v>83</v>
      </c>
      <c r="C6681" t="s">
        <v>597</v>
      </c>
      <c r="D6681">
        <v>3524.41</v>
      </c>
      <c r="E6681" s="37" t="str">
        <f t="shared" si="520"/>
        <v xml:space="preserve"> </v>
      </c>
      <c r="F6681">
        <v>0.3</v>
      </c>
      <c r="G6681" s="37" t="str">
        <f t="shared" si="521"/>
        <v>Normal Discount</v>
      </c>
      <c r="H6681" s="37" t="str">
        <f t="shared" si="522"/>
        <v>Medium</v>
      </c>
      <c r="I6681">
        <v>2</v>
      </c>
      <c r="J6681" t="str" cm="1">
        <f t="array" ref="J6681">_xlfn.IFS(I6681&lt;=3,"small",I6681&lt;=6,"Medium",I6681&lt;=9,"Large")</f>
        <v>small</v>
      </c>
      <c r="K6681" s="36">
        <v>45090</v>
      </c>
      <c r="L6681" s="36">
        <v>45096</v>
      </c>
      <c r="M6681" t="s">
        <v>603</v>
      </c>
      <c r="N6681" t="s">
        <v>608</v>
      </c>
      <c r="O6681" s="37" t="str">
        <f t="shared" si="523"/>
        <v>Cash Payment</v>
      </c>
      <c r="P6681">
        <v>822.32</v>
      </c>
      <c r="Q6681" s="37" t="str">
        <f>IF(P6681&gt;500,"High","low")</f>
        <v>High</v>
      </c>
      <c r="R6681" s="37" t="str">
        <f t="shared" si="524"/>
        <v>Good</v>
      </c>
      <c r="S6681" t="s">
        <v>615</v>
      </c>
    </row>
    <row r="6682" spans="1:19" x14ac:dyDescent="0.2">
      <c r="A6682" t="s">
        <v>7293</v>
      </c>
      <c r="B6682" t="s">
        <v>67</v>
      </c>
      <c r="C6682" t="s">
        <v>607</v>
      </c>
      <c r="D6682">
        <v>3061.88</v>
      </c>
      <c r="E6682" s="37" t="str">
        <f t="shared" si="520"/>
        <v xml:space="preserve"> </v>
      </c>
      <c r="F6682">
        <v>0.44</v>
      </c>
      <c r="G6682" s="37" t="str">
        <f t="shared" si="521"/>
        <v>Heavy Discount</v>
      </c>
      <c r="H6682" s="37" t="str">
        <f t="shared" si="522"/>
        <v>High</v>
      </c>
      <c r="I6682">
        <v>8</v>
      </c>
      <c r="J6682" t="str" cm="1">
        <f t="array" ref="J6682">_xlfn.IFS(I6682&lt;=3,"small",I6682&lt;=6,"Medium",I6682&lt;=9,"Large")</f>
        <v>Large</v>
      </c>
      <c r="K6682" s="36">
        <v>45120</v>
      </c>
      <c r="L6682" s="36">
        <v>45125</v>
      </c>
      <c r="M6682" t="s">
        <v>603</v>
      </c>
      <c r="N6682" t="s">
        <v>599</v>
      </c>
      <c r="O6682" s="37" t="str">
        <f t="shared" si="523"/>
        <v>Digital Payment</v>
      </c>
      <c r="P6682">
        <v>175.16</v>
      </c>
      <c r="Q6682" s="37" t="str">
        <f>IF(P6682&gt;500,"High","low")</f>
        <v>low</v>
      </c>
      <c r="R6682" s="37" t="str">
        <f t="shared" si="524"/>
        <v>AVERAGE</v>
      </c>
      <c r="S6682" t="s">
        <v>600</v>
      </c>
    </row>
    <row r="6683" spans="1:19" x14ac:dyDescent="0.2">
      <c r="A6683" t="s">
        <v>7294</v>
      </c>
      <c r="B6683" t="s">
        <v>83</v>
      </c>
      <c r="C6683" t="s">
        <v>617</v>
      </c>
      <c r="D6683">
        <v>3124.35</v>
      </c>
      <c r="E6683" s="37" t="str">
        <f t="shared" si="520"/>
        <v xml:space="preserve"> </v>
      </c>
      <c r="F6683">
        <v>7.0000000000000007E-2</v>
      </c>
      <c r="G6683" s="37" t="str">
        <f t="shared" si="521"/>
        <v>Normal Discount</v>
      </c>
      <c r="H6683" s="37" t="str">
        <f t="shared" si="522"/>
        <v>Low</v>
      </c>
      <c r="I6683">
        <v>4</v>
      </c>
      <c r="J6683" t="str" cm="1">
        <f t="array" ref="J6683">_xlfn.IFS(I6683&lt;=3,"small",I6683&lt;=6,"Medium",I6683&lt;=9,"Large")</f>
        <v>Medium</v>
      </c>
      <c r="K6683" s="36">
        <v>45376</v>
      </c>
      <c r="L6683" s="36">
        <v>45383</v>
      </c>
      <c r="M6683" t="s">
        <v>612</v>
      </c>
      <c r="N6683" t="s">
        <v>604</v>
      </c>
      <c r="O6683" s="37" t="str">
        <f t="shared" si="523"/>
        <v>Digital Payment</v>
      </c>
      <c r="P6683">
        <v>787.27</v>
      </c>
      <c r="Q6683" s="37" t="str">
        <f>IF(P6683&gt;500,"High","low")</f>
        <v>High</v>
      </c>
      <c r="R6683" s="37" t="str">
        <f t="shared" si="524"/>
        <v>Good</v>
      </c>
      <c r="S6683" t="s">
        <v>609</v>
      </c>
    </row>
    <row r="6684" spans="1:19" x14ac:dyDescent="0.2">
      <c r="A6684" t="s">
        <v>7295</v>
      </c>
      <c r="B6684" t="s">
        <v>75</v>
      </c>
      <c r="C6684" t="s">
        <v>617</v>
      </c>
      <c r="D6684">
        <v>1878.27</v>
      </c>
      <c r="E6684" s="37" t="str">
        <f t="shared" si="520"/>
        <v xml:space="preserve"> </v>
      </c>
      <c r="F6684">
        <v>0.3</v>
      </c>
      <c r="G6684" s="37" t="str">
        <f t="shared" si="521"/>
        <v>Normal Discount</v>
      </c>
      <c r="H6684" s="37" t="str">
        <f t="shared" si="522"/>
        <v>Medium</v>
      </c>
      <c r="I6684">
        <v>4</v>
      </c>
      <c r="J6684" t="str" cm="1">
        <f t="array" ref="J6684">_xlfn.IFS(I6684&lt;=3,"small",I6684&lt;=6,"Medium",I6684&lt;=9,"Large")</f>
        <v>Medium</v>
      </c>
      <c r="K6684" s="36">
        <v>44994</v>
      </c>
      <c r="L6684" s="36">
        <v>45000</v>
      </c>
      <c r="M6684" t="s">
        <v>603</v>
      </c>
      <c r="N6684" t="s">
        <v>604</v>
      </c>
      <c r="O6684" s="37" t="str">
        <f t="shared" si="523"/>
        <v>Digital Payment</v>
      </c>
      <c r="P6684">
        <v>276.52</v>
      </c>
      <c r="Q6684" s="37" t="str">
        <f>IF(P6684&gt;500,"High","low")</f>
        <v>low</v>
      </c>
      <c r="R6684" s="37" t="str">
        <f t="shared" si="524"/>
        <v>AVERAGE</v>
      </c>
      <c r="S6684" t="s">
        <v>609</v>
      </c>
    </row>
    <row r="6685" spans="1:19" x14ac:dyDescent="0.2">
      <c r="A6685" t="s">
        <v>7296</v>
      </c>
      <c r="B6685" t="s">
        <v>75</v>
      </c>
      <c r="C6685" t="s">
        <v>614</v>
      </c>
      <c r="D6685">
        <v>4220.5</v>
      </c>
      <c r="E6685" s="37" t="str">
        <f t="shared" si="520"/>
        <v xml:space="preserve"> </v>
      </c>
      <c r="F6685">
        <v>0.16</v>
      </c>
      <c r="G6685" s="37" t="str">
        <f t="shared" si="521"/>
        <v>Normal Discount</v>
      </c>
      <c r="H6685" s="37" t="str">
        <f t="shared" si="522"/>
        <v>Low</v>
      </c>
      <c r="I6685">
        <v>5</v>
      </c>
      <c r="J6685" t="str" cm="1">
        <f t="array" ref="J6685">_xlfn.IFS(I6685&lt;=3,"small",I6685&lt;=6,"Medium",I6685&lt;=9,"Large")</f>
        <v>Medium</v>
      </c>
      <c r="K6685" s="36">
        <v>45542</v>
      </c>
      <c r="L6685" s="36">
        <v>45545</v>
      </c>
      <c r="M6685" t="s">
        <v>612</v>
      </c>
      <c r="N6685" t="s">
        <v>599</v>
      </c>
      <c r="O6685" s="37" t="str">
        <f t="shared" si="523"/>
        <v>Digital Payment</v>
      </c>
      <c r="P6685">
        <v>490.44</v>
      </c>
      <c r="Q6685" s="37" t="str">
        <f>IF(P6685&gt;500,"High","low")</f>
        <v>low</v>
      </c>
      <c r="R6685" s="37" t="str">
        <f t="shared" si="524"/>
        <v>AVERAGE</v>
      </c>
      <c r="S6685" t="s">
        <v>620</v>
      </c>
    </row>
    <row r="6686" spans="1:19" x14ac:dyDescent="0.2">
      <c r="A6686" t="s">
        <v>7297</v>
      </c>
      <c r="B6686" t="s">
        <v>83</v>
      </c>
      <c r="C6686" t="s">
        <v>614</v>
      </c>
      <c r="D6686">
        <v>3127.12</v>
      </c>
      <c r="E6686" s="37" t="str">
        <f t="shared" si="520"/>
        <v xml:space="preserve"> </v>
      </c>
      <c r="F6686">
        <v>0.28999999999999998</v>
      </c>
      <c r="G6686" s="37" t="str">
        <f t="shared" si="521"/>
        <v>Normal Discount</v>
      </c>
      <c r="H6686" s="37" t="str">
        <f t="shared" si="522"/>
        <v>Medium</v>
      </c>
      <c r="I6686">
        <v>1</v>
      </c>
      <c r="J6686" t="str" cm="1">
        <f t="array" ref="J6686">_xlfn.IFS(I6686&lt;=3,"small",I6686&lt;=6,"Medium",I6686&lt;=9,"Large")</f>
        <v>small</v>
      </c>
      <c r="K6686" s="36">
        <v>45200</v>
      </c>
      <c r="L6686" s="36">
        <v>45202</v>
      </c>
      <c r="M6686" t="s">
        <v>603</v>
      </c>
      <c r="N6686" t="s">
        <v>608</v>
      </c>
      <c r="O6686" s="37" t="str">
        <f t="shared" si="523"/>
        <v>Cash Payment</v>
      </c>
      <c r="P6686">
        <v>320.76</v>
      </c>
      <c r="Q6686" s="37" t="str">
        <f>IF(P6686&gt;500,"High","low")</f>
        <v>low</v>
      </c>
      <c r="R6686" s="37" t="str">
        <f t="shared" si="524"/>
        <v>AVERAGE</v>
      </c>
      <c r="S6686" t="s">
        <v>605</v>
      </c>
    </row>
    <row r="6687" spans="1:19" x14ac:dyDescent="0.2">
      <c r="A6687" t="s">
        <v>7298</v>
      </c>
      <c r="B6687" t="s">
        <v>83</v>
      </c>
      <c r="C6687" t="s">
        <v>614</v>
      </c>
      <c r="D6687">
        <v>1195.29</v>
      </c>
      <c r="E6687" s="37" t="str">
        <f t="shared" si="520"/>
        <v xml:space="preserve"> </v>
      </c>
      <c r="F6687">
        <v>0.26</v>
      </c>
      <c r="G6687" s="37" t="str">
        <f t="shared" si="521"/>
        <v>Normal Discount</v>
      </c>
      <c r="H6687" s="37" t="str">
        <f t="shared" si="522"/>
        <v>Medium</v>
      </c>
      <c r="I6687">
        <v>4</v>
      </c>
      <c r="J6687" t="str" cm="1">
        <f t="array" ref="J6687">_xlfn.IFS(I6687&lt;=3,"small",I6687&lt;=6,"Medium",I6687&lt;=9,"Large")</f>
        <v>Medium</v>
      </c>
      <c r="K6687" s="36">
        <v>45607</v>
      </c>
      <c r="L6687" s="36">
        <v>45611</v>
      </c>
      <c r="M6687" t="s">
        <v>603</v>
      </c>
      <c r="N6687" t="s">
        <v>604</v>
      </c>
      <c r="O6687" s="37" t="str">
        <f t="shared" si="523"/>
        <v>Digital Payment</v>
      </c>
      <c r="P6687">
        <v>183.1</v>
      </c>
      <c r="Q6687" s="37" t="str">
        <f>IF(P6687&gt;500,"High","low")</f>
        <v>low</v>
      </c>
      <c r="R6687" s="37" t="str">
        <f t="shared" si="524"/>
        <v>AVERAGE</v>
      </c>
      <c r="S6687" t="s">
        <v>628</v>
      </c>
    </row>
    <row r="6688" spans="1:19" x14ac:dyDescent="0.2">
      <c r="A6688" t="s">
        <v>7299</v>
      </c>
      <c r="B6688" t="s">
        <v>83</v>
      </c>
      <c r="C6688" t="s">
        <v>602</v>
      </c>
      <c r="D6688">
        <v>1275.23</v>
      </c>
      <c r="E6688" s="37" t="str">
        <f t="shared" si="520"/>
        <v xml:space="preserve"> </v>
      </c>
      <c r="F6688">
        <v>0.01</v>
      </c>
      <c r="G6688" s="37" t="str">
        <f t="shared" si="521"/>
        <v>Normal Discount</v>
      </c>
      <c r="H6688" s="37" t="str">
        <f t="shared" si="522"/>
        <v>Low</v>
      </c>
      <c r="I6688">
        <v>6</v>
      </c>
      <c r="J6688" t="str" cm="1">
        <f t="array" ref="J6688">_xlfn.IFS(I6688&lt;=3,"small",I6688&lt;=6,"Medium",I6688&lt;=9,"Large")</f>
        <v>Medium</v>
      </c>
      <c r="K6688" s="36">
        <v>45657</v>
      </c>
      <c r="L6688" s="36">
        <v>45663</v>
      </c>
      <c r="M6688" t="s">
        <v>612</v>
      </c>
      <c r="N6688" t="s">
        <v>599</v>
      </c>
      <c r="O6688" s="37" t="str">
        <f t="shared" si="523"/>
        <v>Digital Payment</v>
      </c>
      <c r="P6688">
        <v>271.69</v>
      </c>
      <c r="Q6688" s="37" t="str">
        <f>IF(P6688&gt;500,"High","low")</f>
        <v>low</v>
      </c>
      <c r="R6688" s="37" t="str">
        <f t="shared" si="524"/>
        <v>AVERAGE</v>
      </c>
      <c r="S6688" t="s">
        <v>628</v>
      </c>
    </row>
    <row r="6689" spans="1:19" x14ac:dyDescent="0.2">
      <c r="A6689" t="s">
        <v>7300</v>
      </c>
      <c r="B6689" t="s">
        <v>67</v>
      </c>
      <c r="C6689" t="s">
        <v>607</v>
      </c>
      <c r="D6689">
        <v>4321.8500000000004</v>
      </c>
      <c r="E6689" s="37" t="str">
        <f t="shared" si="520"/>
        <v>Excellent Order</v>
      </c>
      <c r="F6689">
        <v>0.28999999999999998</v>
      </c>
      <c r="G6689" s="37" t="str">
        <f t="shared" si="521"/>
        <v>Normal Discount</v>
      </c>
      <c r="H6689" s="37" t="str">
        <f t="shared" si="522"/>
        <v>Medium</v>
      </c>
      <c r="I6689">
        <v>2</v>
      </c>
      <c r="J6689" t="str" cm="1">
        <f t="array" ref="J6689">_xlfn.IFS(I6689&lt;=3,"small",I6689&lt;=6,"Medium",I6689&lt;=9,"Large")</f>
        <v>small</v>
      </c>
      <c r="K6689" s="36">
        <v>45049</v>
      </c>
      <c r="L6689" s="36">
        <v>45056</v>
      </c>
      <c r="M6689" t="s">
        <v>598</v>
      </c>
      <c r="N6689" t="s">
        <v>599</v>
      </c>
      <c r="O6689" s="37" t="str">
        <f t="shared" si="523"/>
        <v>Digital Payment</v>
      </c>
      <c r="P6689">
        <v>1074.4000000000001</v>
      </c>
      <c r="Q6689" s="37" t="str">
        <f>IF(P6689&gt;500,"High","low")</f>
        <v>High</v>
      </c>
      <c r="R6689" s="37" t="str">
        <f t="shared" si="524"/>
        <v>Excellent</v>
      </c>
      <c r="S6689" t="s">
        <v>600</v>
      </c>
    </row>
    <row r="6690" spans="1:19" x14ac:dyDescent="0.2">
      <c r="A6690" t="s">
        <v>7301</v>
      </c>
      <c r="B6690" t="s">
        <v>83</v>
      </c>
      <c r="C6690" t="s">
        <v>602</v>
      </c>
      <c r="D6690">
        <v>3165.97</v>
      </c>
      <c r="E6690" s="37" t="str">
        <f t="shared" si="520"/>
        <v xml:space="preserve"> </v>
      </c>
      <c r="F6690">
        <v>0.35</v>
      </c>
      <c r="G6690" s="37" t="str">
        <f t="shared" si="521"/>
        <v>Heavy Discount</v>
      </c>
      <c r="H6690" s="37" t="str">
        <f t="shared" si="522"/>
        <v>Medium</v>
      </c>
      <c r="I6690">
        <v>3</v>
      </c>
      <c r="J6690" t="str" cm="1">
        <f t="array" ref="J6690">_xlfn.IFS(I6690&lt;=3,"small",I6690&lt;=6,"Medium",I6690&lt;=9,"Large")</f>
        <v>small</v>
      </c>
      <c r="K6690" s="36">
        <v>45429</v>
      </c>
      <c r="L6690" s="36">
        <v>45430</v>
      </c>
      <c r="M6690" t="s">
        <v>603</v>
      </c>
      <c r="N6690" t="s">
        <v>608</v>
      </c>
      <c r="O6690" s="37" t="str">
        <f t="shared" si="523"/>
        <v>Cash Payment</v>
      </c>
      <c r="P6690">
        <v>173.58</v>
      </c>
      <c r="Q6690" s="37" t="str">
        <f>IF(P6690&gt;500,"High","low")</f>
        <v>low</v>
      </c>
      <c r="R6690" s="37" t="str">
        <f t="shared" si="524"/>
        <v>AVERAGE</v>
      </c>
      <c r="S6690" t="s">
        <v>600</v>
      </c>
    </row>
    <row r="6691" spans="1:19" x14ac:dyDescent="0.2">
      <c r="A6691" t="s">
        <v>7302</v>
      </c>
      <c r="B6691" t="s">
        <v>75</v>
      </c>
      <c r="C6691" t="s">
        <v>607</v>
      </c>
      <c r="D6691">
        <v>2053.65</v>
      </c>
      <c r="E6691" s="37" t="str">
        <f t="shared" si="520"/>
        <v xml:space="preserve"> </v>
      </c>
      <c r="F6691">
        <v>0.12</v>
      </c>
      <c r="G6691" s="37" t="str">
        <f t="shared" si="521"/>
        <v>Normal Discount</v>
      </c>
      <c r="H6691" s="37" t="str">
        <f t="shared" si="522"/>
        <v>Low</v>
      </c>
      <c r="I6691">
        <v>4</v>
      </c>
      <c r="J6691" t="str" cm="1">
        <f t="array" ref="J6691">_xlfn.IFS(I6691&lt;=3,"small",I6691&lt;=6,"Medium",I6691&lt;=9,"Large")</f>
        <v>Medium</v>
      </c>
      <c r="K6691" s="36">
        <v>45093</v>
      </c>
      <c r="L6691" s="36">
        <v>45094</v>
      </c>
      <c r="M6691" t="s">
        <v>598</v>
      </c>
      <c r="N6691" t="s">
        <v>604</v>
      </c>
      <c r="O6691" s="37" t="str">
        <f t="shared" si="523"/>
        <v>Digital Payment</v>
      </c>
      <c r="P6691">
        <v>585.61</v>
      </c>
      <c r="Q6691" s="37" t="str">
        <f>IF(P6691&gt;500,"High","low")</f>
        <v>High</v>
      </c>
      <c r="R6691" s="37" t="str">
        <f t="shared" si="524"/>
        <v>Good</v>
      </c>
      <c r="S6691" t="s">
        <v>600</v>
      </c>
    </row>
    <row r="6692" spans="1:19" x14ac:dyDescent="0.2">
      <c r="A6692" t="s">
        <v>7303</v>
      </c>
      <c r="B6692" t="s">
        <v>75</v>
      </c>
      <c r="C6692" t="s">
        <v>617</v>
      </c>
      <c r="D6692">
        <v>1016.79</v>
      </c>
      <c r="E6692" s="37" t="str">
        <f t="shared" si="520"/>
        <v xml:space="preserve"> </v>
      </c>
      <c r="F6692">
        <v>0.05</v>
      </c>
      <c r="G6692" s="37" t="str">
        <f t="shared" si="521"/>
        <v>Normal Discount</v>
      </c>
      <c r="H6692" s="37" t="str">
        <f t="shared" si="522"/>
        <v>Low</v>
      </c>
      <c r="I6692">
        <v>3</v>
      </c>
      <c r="J6692" t="str" cm="1">
        <f t="array" ref="J6692">_xlfn.IFS(I6692&lt;=3,"small",I6692&lt;=6,"Medium",I6692&lt;=9,"Large")</f>
        <v>small</v>
      </c>
      <c r="K6692" s="36">
        <v>45592</v>
      </c>
      <c r="L6692" s="36">
        <v>45593</v>
      </c>
      <c r="M6692" t="s">
        <v>598</v>
      </c>
      <c r="N6692" t="s">
        <v>604</v>
      </c>
      <c r="O6692" s="37" t="str">
        <f t="shared" si="523"/>
        <v>Digital Payment</v>
      </c>
      <c r="P6692">
        <v>263.62</v>
      </c>
      <c r="Q6692" s="37" t="str">
        <f>IF(P6692&gt;500,"High","low")</f>
        <v>low</v>
      </c>
      <c r="R6692" s="37" t="str">
        <f t="shared" si="524"/>
        <v>AVERAGE</v>
      </c>
      <c r="S6692" t="s">
        <v>620</v>
      </c>
    </row>
    <row r="6693" spans="1:19" x14ac:dyDescent="0.2">
      <c r="A6693" t="s">
        <v>7304</v>
      </c>
      <c r="B6693" t="s">
        <v>90</v>
      </c>
      <c r="C6693" t="s">
        <v>602</v>
      </c>
      <c r="D6693">
        <v>3090.06</v>
      </c>
      <c r="E6693" s="37" t="str">
        <f t="shared" si="520"/>
        <v xml:space="preserve"> </v>
      </c>
      <c r="F6693">
        <v>0.11</v>
      </c>
      <c r="G6693" s="37" t="str">
        <f t="shared" si="521"/>
        <v>Normal Discount</v>
      </c>
      <c r="H6693" s="37" t="str">
        <f t="shared" si="522"/>
        <v>Low</v>
      </c>
      <c r="I6693">
        <v>9</v>
      </c>
      <c r="J6693" t="str" cm="1">
        <f t="array" ref="J6693">_xlfn.IFS(I6693&lt;=3,"small",I6693&lt;=6,"Medium",I6693&lt;=9,"Large")</f>
        <v>Large</v>
      </c>
      <c r="K6693" s="36">
        <v>45385</v>
      </c>
      <c r="L6693" s="36">
        <v>45386</v>
      </c>
      <c r="M6693" t="s">
        <v>603</v>
      </c>
      <c r="N6693" t="s">
        <v>599</v>
      </c>
      <c r="O6693" s="37" t="str">
        <f t="shared" si="523"/>
        <v>Digital Payment</v>
      </c>
      <c r="P6693">
        <v>895.6</v>
      </c>
      <c r="Q6693" s="37" t="str">
        <f>IF(P6693&gt;500,"High","low")</f>
        <v>High</v>
      </c>
      <c r="R6693" s="37" t="str">
        <f t="shared" si="524"/>
        <v>Good</v>
      </c>
      <c r="S6693" t="s">
        <v>609</v>
      </c>
    </row>
    <row r="6694" spans="1:19" x14ac:dyDescent="0.2">
      <c r="A6694" t="s">
        <v>7305</v>
      </c>
      <c r="B6694" t="s">
        <v>83</v>
      </c>
      <c r="C6694" t="s">
        <v>602</v>
      </c>
      <c r="D6694">
        <v>1003.12</v>
      </c>
      <c r="E6694" s="37" t="str">
        <f t="shared" si="520"/>
        <v xml:space="preserve"> </v>
      </c>
      <c r="F6694">
        <v>0.32</v>
      </c>
      <c r="G6694" s="37" t="str">
        <f t="shared" si="521"/>
        <v>Heavy Discount</v>
      </c>
      <c r="H6694" s="37" t="str">
        <f t="shared" si="522"/>
        <v>Medium</v>
      </c>
      <c r="I6694">
        <v>6</v>
      </c>
      <c r="J6694" t="str" cm="1">
        <f t="array" ref="J6694">_xlfn.IFS(I6694&lt;=3,"small",I6694&lt;=6,"Medium",I6694&lt;=9,"Large")</f>
        <v>Medium</v>
      </c>
      <c r="K6694" s="36">
        <v>45542</v>
      </c>
      <c r="L6694" s="36">
        <v>45543</v>
      </c>
      <c r="M6694" t="s">
        <v>598</v>
      </c>
      <c r="N6694" t="s">
        <v>604</v>
      </c>
      <c r="O6694" s="37" t="str">
        <f t="shared" si="523"/>
        <v>Digital Payment</v>
      </c>
      <c r="P6694">
        <v>114.62</v>
      </c>
      <c r="Q6694" s="37" t="str">
        <f>IF(P6694&gt;500,"High","low")</f>
        <v>low</v>
      </c>
      <c r="R6694" s="37" t="str">
        <f t="shared" si="524"/>
        <v>AVERAGE</v>
      </c>
      <c r="S6694" t="s">
        <v>628</v>
      </c>
    </row>
    <row r="6695" spans="1:19" x14ac:dyDescent="0.2">
      <c r="A6695" t="s">
        <v>7306</v>
      </c>
      <c r="B6695" t="s">
        <v>67</v>
      </c>
      <c r="C6695" t="s">
        <v>602</v>
      </c>
      <c r="D6695">
        <v>2403.8200000000002</v>
      </c>
      <c r="E6695" s="37" t="str">
        <f t="shared" si="520"/>
        <v xml:space="preserve"> </v>
      </c>
      <c r="F6695">
        <v>0.23</v>
      </c>
      <c r="G6695" s="37" t="str">
        <f t="shared" si="521"/>
        <v>Normal Discount</v>
      </c>
      <c r="H6695" s="37" t="str">
        <f t="shared" si="522"/>
        <v>Medium</v>
      </c>
      <c r="I6695">
        <v>5</v>
      </c>
      <c r="J6695" t="str" cm="1">
        <f t="array" ref="J6695">_xlfn.IFS(I6695&lt;=3,"small",I6695&lt;=6,"Medium",I6695&lt;=9,"Large")</f>
        <v>Medium</v>
      </c>
      <c r="K6695" s="36">
        <v>45441</v>
      </c>
      <c r="L6695" s="36">
        <v>45446</v>
      </c>
      <c r="M6695" t="s">
        <v>612</v>
      </c>
      <c r="N6695" t="s">
        <v>599</v>
      </c>
      <c r="O6695" s="37" t="str">
        <f t="shared" si="523"/>
        <v>Digital Payment</v>
      </c>
      <c r="P6695">
        <v>216.3</v>
      </c>
      <c r="Q6695" s="37" t="str">
        <f>IF(P6695&gt;500,"High","low")</f>
        <v>low</v>
      </c>
      <c r="R6695" s="37" t="str">
        <f t="shared" si="524"/>
        <v>AVERAGE</v>
      </c>
      <c r="S6695" t="s">
        <v>620</v>
      </c>
    </row>
    <row r="6696" spans="1:19" x14ac:dyDescent="0.2">
      <c r="A6696" t="s">
        <v>7307</v>
      </c>
      <c r="B6696" t="s">
        <v>67</v>
      </c>
      <c r="C6696" t="s">
        <v>597</v>
      </c>
      <c r="D6696">
        <v>3419.8</v>
      </c>
      <c r="E6696" s="37" t="str">
        <f t="shared" si="520"/>
        <v xml:space="preserve"> </v>
      </c>
      <c r="F6696">
        <v>0.43</v>
      </c>
      <c r="G6696" s="37" t="str">
        <f t="shared" si="521"/>
        <v>Heavy Discount</v>
      </c>
      <c r="H6696" s="37" t="str">
        <f t="shared" si="522"/>
        <v>High</v>
      </c>
      <c r="I6696">
        <v>5</v>
      </c>
      <c r="J6696" t="str" cm="1">
        <f t="array" ref="J6696">_xlfn.IFS(I6696&lt;=3,"small",I6696&lt;=6,"Medium",I6696&lt;=9,"Large")</f>
        <v>Medium</v>
      </c>
      <c r="K6696" s="36">
        <v>45615</v>
      </c>
      <c r="L6696" s="36">
        <v>45617</v>
      </c>
      <c r="M6696" t="s">
        <v>612</v>
      </c>
      <c r="N6696" t="s">
        <v>608</v>
      </c>
      <c r="O6696" s="37" t="str">
        <f t="shared" si="523"/>
        <v>Cash Payment</v>
      </c>
      <c r="P6696">
        <v>918.88</v>
      </c>
      <c r="Q6696" s="37" t="str">
        <f>IF(P6696&gt;500,"High","low")</f>
        <v>High</v>
      </c>
      <c r="R6696" s="37" t="str">
        <f t="shared" si="524"/>
        <v>Good</v>
      </c>
      <c r="S6696" t="s">
        <v>605</v>
      </c>
    </row>
    <row r="6697" spans="1:19" x14ac:dyDescent="0.2">
      <c r="A6697" t="s">
        <v>7308</v>
      </c>
      <c r="B6697" t="s">
        <v>67</v>
      </c>
      <c r="C6697" t="s">
        <v>607</v>
      </c>
      <c r="D6697">
        <v>2870.54</v>
      </c>
      <c r="E6697" s="37" t="str">
        <f t="shared" si="520"/>
        <v xml:space="preserve"> </v>
      </c>
      <c r="F6697">
        <v>0.14000000000000001</v>
      </c>
      <c r="G6697" s="37" t="str">
        <f t="shared" si="521"/>
        <v>Normal Discount</v>
      </c>
      <c r="H6697" s="37" t="str">
        <f t="shared" si="522"/>
        <v>Low</v>
      </c>
      <c r="I6697">
        <v>2</v>
      </c>
      <c r="J6697" t="str" cm="1">
        <f t="array" ref="J6697">_xlfn.IFS(I6697&lt;=3,"small",I6697&lt;=6,"Medium",I6697&lt;=9,"Large")</f>
        <v>small</v>
      </c>
      <c r="K6697" s="36">
        <v>44954</v>
      </c>
      <c r="L6697" s="36">
        <v>44958</v>
      </c>
      <c r="M6697" t="s">
        <v>598</v>
      </c>
      <c r="N6697" t="s">
        <v>608</v>
      </c>
      <c r="O6697" s="37" t="str">
        <f t="shared" si="523"/>
        <v>Cash Payment</v>
      </c>
      <c r="P6697">
        <v>156.83000000000001</v>
      </c>
      <c r="Q6697" s="37" t="str">
        <f>IF(P6697&gt;500,"High","low")</f>
        <v>low</v>
      </c>
      <c r="R6697" s="37" t="str">
        <f t="shared" si="524"/>
        <v>AVERAGE</v>
      </c>
      <c r="S6697" t="s">
        <v>615</v>
      </c>
    </row>
    <row r="6698" spans="1:19" x14ac:dyDescent="0.2">
      <c r="A6698" t="s">
        <v>7309</v>
      </c>
      <c r="B6698" t="s">
        <v>90</v>
      </c>
      <c r="C6698" t="s">
        <v>607</v>
      </c>
      <c r="D6698">
        <v>4618.29</v>
      </c>
      <c r="E6698" s="37" t="str">
        <f t="shared" si="520"/>
        <v xml:space="preserve"> </v>
      </c>
      <c r="F6698">
        <v>0.18</v>
      </c>
      <c r="G6698" s="37" t="str">
        <f t="shared" si="521"/>
        <v>Normal Discount</v>
      </c>
      <c r="H6698" s="37" t="str">
        <f t="shared" si="522"/>
        <v>Low</v>
      </c>
      <c r="I6698">
        <v>9</v>
      </c>
      <c r="J6698" t="str" cm="1">
        <f t="array" ref="J6698">_xlfn.IFS(I6698&lt;=3,"small",I6698&lt;=6,"Medium",I6698&lt;=9,"Large")</f>
        <v>Large</v>
      </c>
      <c r="K6698" s="36">
        <v>45070</v>
      </c>
      <c r="L6698" s="36">
        <v>45071</v>
      </c>
      <c r="M6698" t="s">
        <v>612</v>
      </c>
      <c r="N6698" t="s">
        <v>604</v>
      </c>
      <c r="O6698" s="37" t="str">
        <f t="shared" si="523"/>
        <v>Digital Payment</v>
      </c>
      <c r="P6698">
        <v>710.66</v>
      </c>
      <c r="Q6698" s="37" t="str">
        <f>IF(P6698&gt;500,"High","low")</f>
        <v>High</v>
      </c>
      <c r="R6698" s="37" t="str">
        <f t="shared" si="524"/>
        <v>Good</v>
      </c>
      <c r="S6698" t="s">
        <v>609</v>
      </c>
    </row>
    <row r="6699" spans="1:19" x14ac:dyDescent="0.2">
      <c r="A6699" t="s">
        <v>7310</v>
      </c>
      <c r="B6699" t="s">
        <v>75</v>
      </c>
      <c r="C6699" t="s">
        <v>602</v>
      </c>
      <c r="D6699">
        <v>294.63</v>
      </c>
      <c r="E6699" s="37" t="str">
        <f t="shared" si="520"/>
        <v xml:space="preserve"> </v>
      </c>
      <c r="F6699">
        <v>0.26</v>
      </c>
      <c r="G6699" s="37" t="str">
        <f t="shared" si="521"/>
        <v>Normal Discount</v>
      </c>
      <c r="H6699" s="37" t="str">
        <f t="shared" si="522"/>
        <v>Medium</v>
      </c>
      <c r="I6699">
        <v>2</v>
      </c>
      <c r="J6699" t="str" cm="1">
        <f t="array" ref="J6699">_xlfn.IFS(I6699&lt;=3,"small",I6699&lt;=6,"Medium",I6699&lt;=9,"Large")</f>
        <v>small</v>
      </c>
      <c r="K6699" s="36">
        <v>45409</v>
      </c>
      <c r="L6699" s="36">
        <v>45416</v>
      </c>
      <c r="M6699" t="s">
        <v>603</v>
      </c>
      <c r="N6699" t="s">
        <v>608</v>
      </c>
      <c r="O6699" s="37" t="str">
        <f t="shared" si="523"/>
        <v>Cash Payment</v>
      </c>
      <c r="P6699">
        <v>46.39</v>
      </c>
      <c r="Q6699" s="37" t="str">
        <f>IF(P6699&gt;500,"High","low")</f>
        <v>low</v>
      </c>
      <c r="R6699" s="37" t="str">
        <f t="shared" si="524"/>
        <v>AVERAGE</v>
      </c>
      <c r="S6699" t="s">
        <v>620</v>
      </c>
    </row>
    <row r="6700" spans="1:19" x14ac:dyDescent="0.2">
      <c r="A6700" t="s">
        <v>7311</v>
      </c>
      <c r="B6700" t="s">
        <v>67</v>
      </c>
      <c r="C6700" t="s">
        <v>597</v>
      </c>
      <c r="D6700">
        <v>1470.99</v>
      </c>
      <c r="E6700" s="37" t="str">
        <f t="shared" si="520"/>
        <v xml:space="preserve"> </v>
      </c>
      <c r="F6700">
        <v>0.23</v>
      </c>
      <c r="G6700" s="37" t="str">
        <f t="shared" si="521"/>
        <v>Normal Discount</v>
      </c>
      <c r="H6700" s="37" t="str">
        <f t="shared" si="522"/>
        <v>Medium</v>
      </c>
      <c r="I6700">
        <v>5</v>
      </c>
      <c r="J6700" t="str" cm="1">
        <f t="array" ref="J6700">_xlfn.IFS(I6700&lt;=3,"small",I6700&lt;=6,"Medium",I6700&lt;=9,"Large")</f>
        <v>Medium</v>
      </c>
      <c r="K6700" s="36">
        <v>45049</v>
      </c>
      <c r="L6700" s="36">
        <v>45052</v>
      </c>
      <c r="M6700" t="s">
        <v>598</v>
      </c>
      <c r="N6700" t="s">
        <v>604</v>
      </c>
      <c r="O6700" s="37" t="str">
        <f t="shared" si="523"/>
        <v>Digital Payment</v>
      </c>
      <c r="P6700">
        <v>156.72999999999999</v>
      </c>
      <c r="Q6700" s="37" t="str">
        <f>IF(P6700&gt;500,"High","low")</f>
        <v>low</v>
      </c>
      <c r="R6700" s="37" t="str">
        <f t="shared" si="524"/>
        <v>AVERAGE</v>
      </c>
      <c r="S6700" t="s">
        <v>609</v>
      </c>
    </row>
    <row r="6701" spans="1:19" x14ac:dyDescent="0.2">
      <c r="A6701" t="s">
        <v>7312</v>
      </c>
      <c r="B6701" t="s">
        <v>75</v>
      </c>
      <c r="C6701" t="s">
        <v>602</v>
      </c>
      <c r="D6701">
        <v>379.72</v>
      </c>
      <c r="E6701" s="37" t="str">
        <f t="shared" si="520"/>
        <v xml:space="preserve"> </v>
      </c>
      <c r="F6701">
        <v>0.27</v>
      </c>
      <c r="G6701" s="37" t="str">
        <f t="shared" si="521"/>
        <v>Normal Discount</v>
      </c>
      <c r="H6701" s="37" t="str">
        <f t="shared" si="522"/>
        <v>Medium</v>
      </c>
      <c r="I6701">
        <v>7</v>
      </c>
      <c r="J6701" t="str" cm="1">
        <f t="array" ref="J6701">_xlfn.IFS(I6701&lt;=3,"small",I6701&lt;=6,"Medium",I6701&lt;=9,"Large")</f>
        <v>Large</v>
      </c>
      <c r="K6701" s="36">
        <v>45042</v>
      </c>
      <c r="L6701" s="36">
        <v>45049</v>
      </c>
      <c r="M6701" t="s">
        <v>603</v>
      </c>
      <c r="N6701" t="s">
        <v>599</v>
      </c>
      <c r="O6701" s="37" t="str">
        <f t="shared" si="523"/>
        <v>Digital Payment</v>
      </c>
      <c r="P6701">
        <v>40.98</v>
      </c>
      <c r="Q6701" s="37" t="str">
        <f>IF(P6701&gt;500,"High","low")</f>
        <v>low</v>
      </c>
      <c r="R6701" s="37" t="str">
        <f t="shared" si="524"/>
        <v>AVERAGE</v>
      </c>
      <c r="S6701" t="s">
        <v>615</v>
      </c>
    </row>
    <row r="6702" spans="1:19" x14ac:dyDescent="0.2">
      <c r="A6702" t="s">
        <v>7313</v>
      </c>
      <c r="B6702" t="s">
        <v>90</v>
      </c>
      <c r="C6702" t="s">
        <v>607</v>
      </c>
      <c r="D6702">
        <v>1053.56</v>
      </c>
      <c r="E6702" s="37" t="str">
        <f t="shared" si="520"/>
        <v xml:space="preserve"> </v>
      </c>
      <c r="F6702">
        <v>0.16</v>
      </c>
      <c r="G6702" s="37" t="str">
        <f t="shared" si="521"/>
        <v>Normal Discount</v>
      </c>
      <c r="H6702" s="37" t="str">
        <f t="shared" si="522"/>
        <v>Low</v>
      </c>
      <c r="I6702">
        <v>3</v>
      </c>
      <c r="J6702" t="str" cm="1">
        <f t="array" ref="J6702">_xlfn.IFS(I6702&lt;=3,"small",I6702&lt;=6,"Medium",I6702&lt;=9,"Large")</f>
        <v>small</v>
      </c>
      <c r="K6702" s="36">
        <v>44948</v>
      </c>
      <c r="L6702" s="36">
        <v>44954</v>
      </c>
      <c r="M6702" t="s">
        <v>603</v>
      </c>
      <c r="N6702" t="s">
        <v>604</v>
      </c>
      <c r="O6702" s="37" t="str">
        <f t="shared" si="523"/>
        <v>Digital Payment</v>
      </c>
      <c r="P6702">
        <v>228.42</v>
      </c>
      <c r="Q6702" s="37" t="str">
        <f>IF(P6702&gt;500,"High","low")</f>
        <v>low</v>
      </c>
      <c r="R6702" s="37" t="str">
        <f t="shared" si="524"/>
        <v>AVERAGE</v>
      </c>
      <c r="S6702" t="s">
        <v>628</v>
      </c>
    </row>
    <row r="6703" spans="1:19" x14ac:dyDescent="0.2">
      <c r="A6703" t="s">
        <v>7314</v>
      </c>
      <c r="B6703" t="s">
        <v>83</v>
      </c>
      <c r="C6703" t="s">
        <v>617</v>
      </c>
      <c r="D6703">
        <v>707.52</v>
      </c>
      <c r="E6703" s="37" t="str">
        <f t="shared" si="520"/>
        <v xml:space="preserve"> </v>
      </c>
      <c r="F6703">
        <v>0.08</v>
      </c>
      <c r="G6703" s="37" t="str">
        <f t="shared" si="521"/>
        <v>Normal Discount</v>
      </c>
      <c r="H6703" s="37" t="str">
        <f t="shared" si="522"/>
        <v>Low</v>
      </c>
      <c r="I6703">
        <v>8</v>
      </c>
      <c r="J6703" t="str" cm="1">
        <f t="array" ref="J6703">_xlfn.IFS(I6703&lt;=3,"small",I6703&lt;=6,"Medium",I6703&lt;=9,"Large")</f>
        <v>Large</v>
      </c>
      <c r="K6703" s="36">
        <v>45262</v>
      </c>
      <c r="L6703" s="36">
        <v>45265</v>
      </c>
      <c r="M6703" t="s">
        <v>612</v>
      </c>
      <c r="N6703" t="s">
        <v>608</v>
      </c>
      <c r="O6703" s="37" t="str">
        <f t="shared" si="523"/>
        <v>Cash Payment</v>
      </c>
      <c r="P6703">
        <v>91.87</v>
      </c>
      <c r="Q6703" s="37" t="str">
        <f>IF(P6703&gt;500,"High","low")</f>
        <v>low</v>
      </c>
      <c r="R6703" s="37" t="str">
        <f t="shared" si="524"/>
        <v>AVERAGE</v>
      </c>
      <c r="S6703" t="s">
        <v>615</v>
      </c>
    </row>
    <row r="6704" spans="1:19" x14ac:dyDescent="0.2">
      <c r="A6704" t="s">
        <v>7315</v>
      </c>
      <c r="B6704" t="s">
        <v>83</v>
      </c>
      <c r="C6704" t="s">
        <v>597</v>
      </c>
      <c r="D6704">
        <v>3690.04</v>
      </c>
      <c r="E6704" s="37" t="str">
        <f t="shared" si="520"/>
        <v xml:space="preserve"> </v>
      </c>
      <c r="F6704">
        <v>0.4</v>
      </c>
      <c r="G6704" s="37" t="str">
        <f t="shared" si="521"/>
        <v>Heavy Discount</v>
      </c>
      <c r="H6704" s="37" t="str">
        <f t="shared" si="522"/>
        <v>Medium</v>
      </c>
      <c r="I6704">
        <v>5</v>
      </c>
      <c r="J6704" t="str" cm="1">
        <f t="array" ref="J6704">_xlfn.IFS(I6704&lt;=3,"small",I6704&lt;=6,"Medium",I6704&lt;=9,"Large")</f>
        <v>Medium</v>
      </c>
      <c r="K6704" s="36">
        <v>45535</v>
      </c>
      <c r="L6704" s="36">
        <v>45539</v>
      </c>
      <c r="M6704" t="s">
        <v>598</v>
      </c>
      <c r="N6704" t="s">
        <v>608</v>
      </c>
      <c r="O6704" s="37" t="str">
        <f t="shared" si="523"/>
        <v>Cash Payment</v>
      </c>
      <c r="P6704">
        <v>280.08</v>
      </c>
      <c r="Q6704" s="37" t="str">
        <f>IF(P6704&gt;500,"High","low")</f>
        <v>low</v>
      </c>
      <c r="R6704" s="37" t="str">
        <f t="shared" si="524"/>
        <v>AVERAGE</v>
      </c>
      <c r="S6704" t="s">
        <v>620</v>
      </c>
    </row>
    <row r="6705" spans="1:19" x14ac:dyDescent="0.2">
      <c r="A6705" t="s">
        <v>7316</v>
      </c>
      <c r="B6705" t="s">
        <v>83</v>
      </c>
      <c r="C6705" t="s">
        <v>597</v>
      </c>
      <c r="D6705">
        <v>1909.94</v>
      </c>
      <c r="E6705" s="37" t="str">
        <f t="shared" si="520"/>
        <v xml:space="preserve"> </v>
      </c>
      <c r="F6705">
        <v>0.02</v>
      </c>
      <c r="G6705" s="37" t="str">
        <f t="shared" si="521"/>
        <v>Normal Discount</v>
      </c>
      <c r="H6705" s="37" t="str">
        <f t="shared" si="522"/>
        <v>Low</v>
      </c>
      <c r="I6705">
        <v>3</v>
      </c>
      <c r="J6705" t="str" cm="1">
        <f t="array" ref="J6705">_xlfn.IFS(I6705&lt;=3,"small",I6705&lt;=6,"Medium",I6705&lt;=9,"Large")</f>
        <v>small</v>
      </c>
      <c r="K6705" s="36">
        <v>45259</v>
      </c>
      <c r="L6705" s="36">
        <v>45265</v>
      </c>
      <c r="M6705" t="s">
        <v>612</v>
      </c>
      <c r="N6705" t="s">
        <v>604</v>
      </c>
      <c r="O6705" s="37" t="str">
        <f t="shared" si="523"/>
        <v>Digital Payment</v>
      </c>
      <c r="P6705">
        <v>256.83999999999997</v>
      </c>
      <c r="Q6705" s="37" t="str">
        <f>IF(P6705&gt;500,"High","low")</f>
        <v>low</v>
      </c>
      <c r="R6705" s="37" t="str">
        <f t="shared" si="524"/>
        <v>AVERAGE</v>
      </c>
      <c r="S6705" t="s">
        <v>615</v>
      </c>
    </row>
    <row r="6706" spans="1:19" x14ac:dyDescent="0.2">
      <c r="A6706" t="s">
        <v>7317</v>
      </c>
      <c r="B6706" t="s">
        <v>67</v>
      </c>
      <c r="C6706" t="s">
        <v>602</v>
      </c>
      <c r="D6706">
        <v>4632.72</v>
      </c>
      <c r="E6706" s="37" t="str">
        <f t="shared" si="520"/>
        <v>Excellent Order</v>
      </c>
      <c r="F6706">
        <v>0.18</v>
      </c>
      <c r="G6706" s="37" t="str">
        <f t="shared" si="521"/>
        <v>Normal Discount</v>
      </c>
      <c r="H6706" s="37" t="str">
        <f t="shared" si="522"/>
        <v>Low</v>
      </c>
      <c r="I6706">
        <v>3</v>
      </c>
      <c r="J6706" t="str" cm="1">
        <f t="array" ref="J6706">_xlfn.IFS(I6706&lt;=3,"small",I6706&lt;=6,"Medium",I6706&lt;=9,"Large")</f>
        <v>small</v>
      </c>
      <c r="K6706" s="36">
        <v>44975</v>
      </c>
      <c r="L6706" s="36">
        <v>44976</v>
      </c>
      <c r="M6706" t="s">
        <v>612</v>
      </c>
      <c r="N6706" t="s">
        <v>608</v>
      </c>
      <c r="O6706" s="37" t="str">
        <f t="shared" si="523"/>
        <v>Cash Payment</v>
      </c>
      <c r="P6706">
        <v>811</v>
      </c>
      <c r="Q6706" s="37" t="str">
        <f>IF(P6706&gt;500,"High","low")</f>
        <v>High</v>
      </c>
      <c r="R6706" s="37" t="str">
        <f t="shared" si="524"/>
        <v>Good</v>
      </c>
      <c r="S6706" t="s">
        <v>605</v>
      </c>
    </row>
    <row r="6707" spans="1:19" x14ac:dyDescent="0.2">
      <c r="A6707" t="s">
        <v>7318</v>
      </c>
      <c r="B6707" t="s">
        <v>83</v>
      </c>
      <c r="C6707" t="s">
        <v>617</v>
      </c>
      <c r="D6707">
        <v>214.55</v>
      </c>
      <c r="E6707" s="37" t="str">
        <f t="shared" si="520"/>
        <v xml:space="preserve"> </v>
      </c>
      <c r="F6707">
        <v>0.04</v>
      </c>
      <c r="G6707" s="37" t="str">
        <f t="shared" si="521"/>
        <v>Normal Discount</v>
      </c>
      <c r="H6707" s="37" t="str">
        <f t="shared" si="522"/>
        <v>Low</v>
      </c>
      <c r="I6707">
        <v>3</v>
      </c>
      <c r="J6707" t="str" cm="1">
        <f t="array" ref="J6707">_xlfn.IFS(I6707&lt;=3,"small",I6707&lt;=6,"Medium",I6707&lt;=9,"Large")</f>
        <v>small</v>
      </c>
      <c r="K6707" s="36">
        <v>45435</v>
      </c>
      <c r="L6707" s="36">
        <v>45436</v>
      </c>
      <c r="M6707" t="s">
        <v>598</v>
      </c>
      <c r="N6707" t="s">
        <v>604</v>
      </c>
      <c r="O6707" s="37" t="str">
        <f t="shared" si="523"/>
        <v>Digital Payment</v>
      </c>
      <c r="P6707">
        <v>12.93</v>
      </c>
      <c r="Q6707" s="37" t="str">
        <f>IF(P6707&gt;500,"High","low")</f>
        <v>low</v>
      </c>
      <c r="R6707" s="37" t="str">
        <f t="shared" si="524"/>
        <v>AVERAGE</v>
      </c>
      <c r="S6707" t="s">
        <v>605</v>
      </c>
    </row>
    <row r="6708" spans="1:19" x14ac:dyDescent="0.2">
      <c r="A6708" t="s">
        <v>7319</v>
      </c>
      <c r="B6708" t="s">
        <v>67</v>
      </c>
      <c r="C6708" t="s">
        <v>607</v>
      </c>
      <c r="D6708">
        <v>3299.33</v>
      </c>
      <c r="E6708" s="37" t="str">
        <f t="shared" si="520"/>
        <v xml:space="preserve"> </v>
      </c>
      <c r="F6708">
        <v>0.37</v>
      </c>
      <c r="G6708" s="37" t="str">
        <f t="shared" si="521"/>
        <v>Heavy Discount</v>
      </c>
      <c r="H6708" s="37" t="str">
        <f t="shared" si="522"/>
        <v>Medium</v>
      </c>
      <c r="I6708">
        <v>3</v>
      </c>
      <c r="J6708" t="str" cm="1">
        <f t="array" ref="J6708">_xlfn.IFS(I6708&lt;=3,"small",I6708&lt;=6,"Medium",I6708&lt;=9,"Large")</f>
        <v>small</v>
      </c>
      <c r="K6708" s="36">
        <v>45210</v>
      </c>
      <c r="L6708" s="36">
        <v>45212</v>
      </c>
      <c r="M6708" t="s">
        <v>603</v>
      </c>
      <c r="N6708" t="s">
        <v>604</v>
      </c>
      <c r="O6708" s="37" t="str">
        <f t="shared" si="523"/>
        <v>Digital Payment</v>
      </c>
      <c r="P6708">
        <v>982.17</v>
      </c>
      <c r="Q6708" s="37" t="str">
        <f>IF(P6708&gt;500,"High","low")</f>
        <v>High</v>
      </c>
      <c r="R6708" s="37" t="str">
        <f t="shared" si="524"/>
        <v>Good</v>
      </c>
      <c r="S6708" t="s">
        <v>600</v>
      </c>
    </row>
    <row r="6709" spans="1:19" x14ac:dyDescent="0.2">
      <c r="A6709" t="s">
        <v>7320</v>
      </c>
      <c r="B6709" t="s">
        <v>90</v>
      </c>
      <c r="C6709" t="s">
        <v>614</v>
      </c>
      <c r="D6709">
        <v>4855.67</v>
      </c>
      <c r="E6709" s="37" t="str">
        <f t="shared" si="520"/>
        <v>Excellent Order</v>
      </c>
      <c r="F6709">
        <v>0.18</v>
      </c>
      <c r="G6709" s="37" t="str">
        <f t="shared" si="521"/>
        <v>Normal Discount</v>
      </c>
      <c r="H6709" s="37" t="str">
        <f t="shared" si="522"/>
        <v>Low</v>
      </c>
      <c r="I6709">
        <v>4</v>
      </c>
      <c r="J6709" t="str" cm="1">
        <f t="array" ref="J6709">_xlfn.IFS(I6709&lt;=3,"small",I6709&lt;=6,"Medium",I6709&lt;=9,"Large")</f>
        <v>Medium</v>
      </c>
      <c r="K6709" s="36">
        <v>45162</v>
      </c>
      <c r="L6709" s="36">
        <v>45169</v>
      </c>
      <c r="M6709" t="s">
        <v>598</v>
      </c>
      <c r="N6709" t="s">
        <v>599</v>
      </c>
      <c r="O6709" s="37" t="str">
        <f t="shared" si="523"/>
        <v>Digital Payment</v>
      </c>
      <c r="P6709">
        <v>1102.02</v>
      </c>
      <c r="Q6709" s="37" t="str">
        <f>IF(P6709&gt;500,"High","low")</f>
        <v>High</v>
      </c>
      <c r="R6709" s="37" t="str">
        <f t="shared" si="524"/>
        <v>Excellent</v>
      </c>
      <c r="S6709" t="s">
        <v>620</v>
      </c>
    </row>
    <row r="6710" spans="1:19" x14ac:dyDescent="0.2">
      <c r="A6710" t="s">
        <v>7321</v>
      </c>
      <c r="B6710" t="s">
        <v>90</v>
      </c>
      <c r="C6710" t="s">
        <v>607</v>
      </c>
      <c r="D6710">
        <v>961.61</v>
      </c>
      <c r="E6710" s="37" t="str">
        <f t="shared" si="520"/>
        <v xml:space="preserve"> </v>
      </c>
      <c r="F6710">
        <v>0.02</v>
      </c>
      <c r="G6710" s="37" t="str">
        <f t="shared" si="521"/>
        <v>Normal Discount</v>
      </c>
      <c r="H6710" s="37" t="str">
        <f t="shared" si="522"/>
        <v>Low</v>
      </c>
      <c r="I6710">
        <v>1</v>
      </c>
      <c r="J6710" t="str" cm="1">
        <f t="array" ref="J6710">_xlfn.IFS(I6710&lt;=3,"small",I6710&lt;=6,"Medium",I6710&lt;=9,"Large")</f>
        <v>small</v>
      </c>
      <c r="K6710" s="36">
        <v>45326</v>
      </c>
      <c r="L6710" s="36">
        <v>45329</v>
      </c>
      <c r="M6710" t="s">
        <v>603</v>
      </c>
      <c r="N6710" t="s">
        <v>608</v>
      </c>
      <c r="O6710" s="37" t="str">
        <f t="shared" si="523"/>
        <v>Cash Payment</v>
      </c>
      <c r="P6710">
        <v>75.33</v>
      </c>
      <c r="Q6710" s="37" t="str">
        <f>IF(P6710&gt;500,"High","low")</f>
        <v>low</v>
      </c>
      <c r="R6710" s="37" t="str">
        <f t="shared" si="524"/>
        <v>AVERAGE</v>
      </c>
      <c r="S6710" t="s">
        <v>605</v>
      </c>
    </row>
    <row r="6711" spans="1:19" x14ac:dyDescent="0.2">
      <c r="A6711" t="s">
        <v>7322</v>
      </c>
      <c r="B6711" t="s">
        <v>67</v>
      </c>
      <c r="C6711" t="s">
        <v>607</v>
      </c>
      <c r="D6711">
        <v>2267.92</v>
      </c>
      <c r="E6711" s="37" t="str">
        <f t="shared" si="520"/>
        <v xml:space="preserve"> </v>
      </c>
      <c r="F6711">
        <v>0.04</v>
      </c>
      <c r="G6711" s="37" t="str">
        <f t="shared" si="521"/>
        <v>Normal Discount</v>
      </c>
      <c r="H6711" s="37" t="str">
        <f t="shared" si="522"/>
        <v>Low</v>
      </c>
      <c r="I6711">
        <v>3</v>
      </c>
      <c r="J6711" t="str" cm="1">
        <f t="array" ref="J6711">_xlfn.IFS(I6711&lt;=3,"small",I6711&lt;=6,"Medium",I6711&lt;=9,"Large")</f>
        <v>small</v>
      </c>
      <c r="K6711" s="36">
        <v>44990</v>
      </c>
      <c r="L6711" s="36">
        <v>44997</v>
      </c>
      <c r="M6711" t="s">
        <v>598</v>
      </c>
      <c r="N6711" t="s">
        <v>608</v>
      </c>
      <c r="O6711" s="37" t="str">
        <f t="shared" si="523"/>
        <v>Cash Payment</v>
      </c>
      <c r="P6711">
        <v>137.94</v>
      </c>
      <c r="Q6711" s="37" t="str">
        <f>IF(P6711&gt;500,"High","low")</f>
        <v>low</v>
      </c>
      <c r="R6711" s="37" t="str">
        <f t="shared" si="524"/>
        <v>AVERAGE</v>
      </c>
      <c r="S6711" t="s">
        <v>600</v>
      </c>
    </row>
    <row r="6712" spans="1:19" x14ac:dyDescent="0.2">
      <c r="A6712" t="s">
        <v>7323</v>
      </c>
      <c r="B6712" t="s">
        <v>75</v>
      </c>
      <c r="C6712" t="s">
        <v>617</v>
      </c>
      <c r="D6712">
        <v>3539.26</v>
      </c>
      <c r="E6712" s="37" t="str">
        <f t="shared" si="520"/>
        <v xml:space="preserve"> </v>
      </c>
      <c r="F6712">
        <v>0.1</v>
      </c>
      <c r="G6712" s="37" t="str">
        <f t="shared" si="521"/>
        <v>Normal Discount</v>
      </c>
      <c r="H6712" s="37" t="str">
        <f t="shared" si="522"/>
        <v>Low</v>
      </c>
      <c r="I6712">
        <v>5</v>
      </c>
      <c r="J6712" t="str" cm="1">
        <f t="array" ref="J6712">_xlfn.IFS(I6712&lt;=3,"small",I6712&lt;=6,"Medium",I6712&lt;=9,"Large")</f>
        <v>Medium</v>
      </c>
      <c r="K6712" s="36">
        <v>45114</v>
      </c>
      <c r="L6712" s="36">
        <v>45117</v>
      </c>
      <c r="M6712" t="s">
        <v>612</v>
      </c>
      <c r="N6712" t="s">
        <v>608</v>
      </c>
      <c r="O6712" s="37" t="str">
        <f t="shared" si="523"/>
        <v>Cash Payment</v>
      </c>
      <c r="P6712">
        <v>1053.96</v>
      </c>
      <c r="Q6712" s="37" t="str">
        <f>IF(P6712&gt;500,"High","low")</f>
        <v>High</v>
      </c>
      <c r="R6712" s="37" t="str">
        <f t="shared" si="524"/>
        <v>Excellent</v>
      </c>
      <c r="S6712" t="s">
        <v>620</v>
      </c>
    </row>
    <row r="6713" spans="1:19" x14ac:dyDescent="0.2">
      <c r="A6713" t="s">
        <v>7324</v>
      </c>
      <c r="B6713" t="s">
        <v>83</v>
      </c>
      <c r="C6713" t="s">
        <v>597</v>
      </c>
      <c r="D6713">
        <v>3202.38</v>
      </c>
      <c r="E6713" s="37" t="str">
        <f t="shared" si="520"/>
        <v xml:space="preserve"> </v>
      </c>
      <c r="F6713">
        <v>0.39</v>
      </c>
      <c r="G6713" s="37" t="str">
        <f t="shared" si="521"/>
        <v>Heavy Discount</v>
      </c>
      <c r="H6713" s="37" t="str">
        <f t="shared" si="522"/>
        <v>Medium</v>
      </c>
      <c r="I6713">
        <v>8</v>
      </c>
      <c r="J6713" t="str" cm="1">
        <f t="array" ref="J6713">_xlfn.IFS(I6713&lt;=3,"small",I6713&lt;=6,"Medium",I6713&lt;=9,"Large")</f>
        <v>Large</v>
      </c>
      <c r="K6713" s="36">
        <v>45120</v>
      </c>
      <c r="L6713" s="36">
        <v>45125</v>
      </c>
      <c r="M6713" t="s">
        <v>598</v>
      </c>
      <c r="N6713" t="s">
        <v>604</v>
      </c>
      <c r="O6713" s="37" t="str">
        <f t="shared" si="523"/>
        <v>Digital Payment</v>
      </c>
      <c r="P6713">
        <v>661.2</v>
      </c>
      <c r="Q6713" s="37" t="str">
        <f>IF(P6713&gt;500,"High","low")</f>
        <v>High</v>
      </c>
      <c r="R6713" s="37" t="str">
        <f t="shared" si="524"/>
        <v>Good</v>
      </c>
      <c r="S6713" t="s">
        <v>615</v>
      </c>
    </row>
    <row r="6714" spans="1:19" x14ac:dyDescent="0.2">
      <c r="A6714" t="s">
        <v>7325</v>
      </c>
      <c r="B6714" t="s">
        <v>83</v>
      </c>
      <c r="C6714" t="s">
        <v>607</v>
      </c>
      <c r="D6714">
        <v>2873.53</v>
      </c>
      <c r="E6714" s="37" t="str">
        <f t="shared" si="520"/>
        <v xml:space="preserve"> </v>
      </c>
      <c r="F6714">
        <v>0.4</v>
      </c>
      <c r="G6714" s="37" t="str">
        <f t="shared" si="521"/>
        <v>Heavy Discount</v>
      </c>
      <c r="H6714" s="37" t="str">
        <f t="shared" si="522"/>
        <v>Medium</v>
      </c>
      <c r="I6714">
        <v>8</v>
      </c>
      <c r="J6714" t="str" cm="1">
        <f t="array" ref="J6714">_xlfn.IFS(I6714&lt;=3,"small",I6714&lt;=6,"Medium",I6714&lt;=9,"Large")</f>
        <v>Large</v>
      </c>
      <c r="K6714" s="36">
        <v>44952</v>
      </c>
      <c r="L6714" s="36">
        <v>44958</v>
      </c>
      <c r="M6714" t="s">
        <v>612</v>
      </c>
      <c r="N6714" t="s">
        <v>599</v>
      </c>
      <c r="O6714" s="37" t="str">
        <f t="shared" si="523"/>
        <v>Digital Payment</v>
      </c>
      <c r="P6714">
        <v>574.63</v>
      </c>
      <c r="Q6714" s="37" t="str">
        <f>IF(P6714&gt;500,"High","low")</f>
        <v>High</v>
      </c>
      <c r="R6714" s="37" t="str">
        <f t="shared" si="524"/>
        <v>Good</v>
      </c>
      <c r="S6714" t="s">
        <v>628</v>
      </c>
    </row>
    <row r="6715" spans="1:19" x14ac:dyDescent="0.2">
      <c r="A6715" t="s">
        <v>7326</v>
      </c>
      <c r="B6715" t="s">
        <v>83</v>
      </c>
      <c r="C6715" t="s">
        <v>597</v>
      </c>
      <c r="D6715">
        <v>1701.11</v>
      </c>
      <c r="E6715" s="37" t="str">
        <f t="shared" si="520"/>
        <v xml:space="preserve"> </v>
      </c>
      <c r="F6715">
        <v>0.5</v>
      </c>
      <c r="G6715" s="37" t="str">
        <f t="shared" si="521"/>
        <v>Heavy Discount</v>
      </c>
      <c r="H6715" s="37" t="str">
        <f t="shared" si="522"/>
        <v>High</v>
      </c>
      <c r="I6715">
        <v>9</v>
      </c>
      <c r="J6715" t="str" cm="1">
        <f t="array" ref="J6715">_xlfn.IFS(I6715&lt;=3,"small",I6715&lt;=6,"Medium",I6715&lt;=9,"Large")</f>
        <v>Large</v>
      </c>
      <c r="K6715" s="36">
        <v>45096</v>
      </c>
      <c r="L6715" s="36">
        <v>45099</v>
      </c>
      <c r="M6715" t="s">
        <v>603</v>
      </c>
      <c r="N6715" t="s">
        <v>604</v>
      </c>
      <c r="O6715" s="37" t="str">
        <f t="shared" si="523"/>
        <v>Digital Payment</v>
      </c>
      <c r="P6715">
        <v>179.41</v>
      </c>
      <c r="Q6715" s="37" t="str">
        <f>IF(P6715&gt;500,"High","low")</f>
        <v>low</v>
      </c>
      <c r="R6715" s="37" t="str">
        <f t="shared" si="524"/>
        <v>AVERAGE</v>
      </c>
      <c r="S6715" t="s">
        <v>600</v>
      </c>
    </row>
    <row r="6716" spans="1:19" x14ac:dyDescent="0.2">
      <c r="A6716" t="s">
        <v>7327</v>
      </c>
      <c r="B6716" t="s">
        <v>67</v>
      </c>
      <c r="C6716" t="s">
        <v>617</v>
      </c>
      <c r="D6716">
        <v>3668.18</v>
      </c>
      <c r="E6716" s="37" t="str">
        <f t="shared" si="520"/>
        <v xml:space="preserve"> </v>
      </c>
      <c r="F6716">
        <v>0.12</v>
      </c>
      <c r="G6716" s="37" t="str">
        <f t="shared" si="521"/>
        <v>Normal Discount</v>
      </c>
      <c r="H6716" s="37" t="str">
        <f t="shared" si="522"/>
        <v>Low</v>
      </c>
      <c r="I6716">
        <v>9</v>
      </c>
      <c r="J6716" t="str" cm="1">
        <f t="array" ref="J6716">_xlfn.IFS(I6716&lt;=3,"small",I6716&lt;=6,"Medium",I6716&lt;=9,"Large")</f>
        <v>Large</v>
      </c>
      <c r="K6716" s="36">
        <v>45313</v>
      </c>
      <c r="L6716" s="36">
        <v>45314</v>
      </c>
      <c r="M6716" t="s">
        <v>612</v>
      </c>
      <c r="N6716" t="s">
        <v>608</v>
      </c>
      <c r="O6716" s="37" t="str">
        <f t="shared" si="523"/>
        <v>Cash Payment</v>
      </c>
      <c r="P6716">
        <v>985.57</v>
      </c>
      <c r="Q6716" s="37" t="str">
        <f>IF(P6716&gt;500,"High","low")</f>
        <v>High</v>
      </c>
      <c r="R6716" s="37" t="str">
        <f t="shared" si="524"/>
        <v>Good</v>
      </c>
      <c r="S6716" t="s">
        <v>605</v>
      </c>
    </row>
    <row r="6717" spans="1:19" x14ac:dyDescent="0.2">
      <c r="A6717" t="s">
        <v>7328</v>
      </c>
      <c r="B6717" t="s">
        <v>90</v>
      </c>
      <c r="C6717" t="s">
        <v>617</v>
      </c>
      <c r="D6717">
        <v>3300.95</v>
      </c>
      <c r="E6717" s="37" t="str">
        <f t="shared" si="520"/>
        <v xml:space="preserve"> </v>
      </c>
      <c r="F6717">
        <v>0.03</v>
      </c>
      <c r="G6717" s="37" t="str">
        <f t="shared" si="521"/>
        <v>Normal Discount</v>
      </c>
      <c r="H6717" s="37" t="str">
        <f t="shared" si="522"/>
        <v>Low</v>
      </c>
      <c r="I6717">
        <v>6</v>
      </c>
      <c r="J6717" t="str" cm="1">
        <f t="array" ref="J6717">_xlfn.IFS(I6717&lt;=3,"small",I6717&lt;=6,"Medium",I6717&lt;=9,"Large")</f>
        <v>Medium</v>
      </c>
      <c r="K6717" s="36">
        <v>45546</v>
      </c>
      <c r="L6717" s="36">
        <v>45547</v>
      </c>
      <c r="M6717" t="s">
        <v>598</v>
      </c>
      <c r="N6717" t="s">
        <v>604</v>
      </c>
      <c r="O6717" s="37" t="str">
        <f t="shared" si="523"/>
        <v>Digital Payment</v>
      </c>
      <c r="P6717">
        <v>222.95</v>
      </c>
      <c r="Q6717" s="37" t="str">
        <f>IF(P6717&gt;500,"High","low")</f>
        <v>low</v>
      </c>
      <c r="R6717" s="37" t="str">
        <f t="shared" si="524"/>
        <v>AVERAGE</v>
      </c>
      <c r="S6717" t="s">
        <v>615</v>
      </c>
    </row>
    <row r="6718" spans="1:19" x14ac:dyDescent="0.2">
      <c r="A6718" t="s">
        <v>7329</v>
      </c>
      <c r="B6718" t="s">
        <v>83</v>
      </c>
      <c r="C6718" t="s">
        <v>602</v>
      </c>
      <c r="D6718">
        <v>897.72</v>
      </c>
      <c r="E6718" s="37" t="str">
        <f t="shared" si="520"/>
        <v xml:space="preserve"> </v>
      </c>
      <c r="F6718">
        <v>0.14000000000000001</v>
      </c>
      <c r="G6718" s="37" t="str">
        <f t="shared" si="521"/>
        <v>Normal Discount</v>
      </c>
      <c r="H6718" s="37" t="str">
        <f t="shared" si="522"/>
        <v>Low</v>
      </c>
      <c r="I6718">
        <v>7</v>
      </c>
      <c r="J6718" t="str" cm="1">
        <f t="array" ref="J6718">_xlfn.IFS(I6718&lt;=3,"small",I6718&lt;=6,"Medium",I6718&lt;=9,"Large")</f>
        <v>Large</v>
      </c>
      <c r="K6718" s="36">
        <v>45203</v>
      </c>
      <c r="L6718" s="36">
        <v>45206</v>
      </c>
      <c r="M6718" t="s">
        <v>598</v>
      </c>
      <c r="N6718" t="s">
        <v>608</v>
      </c>
      <c r="O6718" s="37" t="str">
        <f t="shared" si="523"/>
        <v>Cash Payment</v>
      </c>
      <c r="P6718">
        <v>216.81</v>
      </c>
      <c r="Q6718" s="37" t="str">
        <f>IF(P6718&gt;500,"High","low")</f>
        <v>low</v>
      </c>
      <c r="R6718" s="37" t="str">
        <f t="shared" si="524"/>
        <v>AVERAGE</v>
      </c>
      <c r="S6718" t="s">
        <v>600</v>
      </c>
    </row>
    <row r="6719" spans="1:19" x14ac:dyDescent="0.2">
      <c r="A6719" t="s">
        <v>7330</v>
      </c>
      <c r="B6719" t="s">
        <v>90</v>
      </c>
      <c r="C6719" t="s">
        <v>614</v>
      </c>
      <c r="D6719">
        <v>4824.04</v>
      </c>
      <c r="E6719" s="37" t="str">
        <f t="shared" si="520"/>
        <v xml:space="preserve"> </v>
      </c>
      <c r="F6719">
        <v>0.09</v>
      </c>
      <c r="G6719" s="37" t="str">
        <f t="shared" si="521"/>
        <v>Normal Discount</v>
      </c>
      <c r="H6719" s="37" t="str">
        <f t="shared" si="522"/>
        <v>Low</v>
      </c>
      <c r="I6719">
        <v>4</v>
      </c>
      <c r="J6719" t="str" cm="1">
        <f t="array" ref="J6719">_xlfn.IFS(I6719&lt;=3,"small",I6719&lt;=6,"Medium",I6719&lt;=9,"Large")</f>
        <v>Medium</v>
      </c>
      <c r="K6719" s="36">
        <v>45636</v>
      </c>
      <c r="L6719" s="36">
        <v>45641</v>
      </c>
      <c r="M6719" t="s">
        <v>598</v>
      </c>
      <c r="N6719" t="s">
        <v>604</v>
      </c>
      <c r="O6719" s="37" t="str">
        <f t="shared" si="523"/>
        <v>Digital Payment</v>
      </c>
      <c r="P6719">
        <v>402.1</v>
      </c>
      <c r="Q6719" s="37" t="str">
        <f>IF(P6719&gt;500,"High","low")</f>
        <v>low</v>
      </c>
      <c r="R6719" s="37" t="str">
        <f t="shared" si="524"/>
        <v>AVERAGE</v>
      </c>
      <c r="S6719" t="s">
        <v>620</v>
      </c>
    </row>
    <row r="6720" spans="1:19" x14ac:dyDescent="0.2">
      <c r="A6720" t="s">
        <v>7331</v>
      </c>
      <c r="B6720" t="s">
        <v>83</v>
      </c>
      <c r="C6720" t="s">
        <v>617</v>
      </c>
      <c r="D6720">
        <v>2822.8</v>
      </c>
      <c r="E6720" s="37" t="str">
        <f t="shared" si="520"/>
        <v xml:space="preserve"> </v>
      </c>
      <c r="F6720">
        <v>0.36</v>
      </c>
      <c r="G6720" s="37" t="str">
        <f t="shared" si="521"/>
        <v>Heavy Discount</v>
      </c>
      <c r="H6720" s="37" t="str">
        <f t="shared" si="522"/>
        <v>Medium</v>
      </c>
      <c r="I6720">
        <v>3</v>
      </c>
      <c r="J6720" t="str" cm="1">
        <f t="array" ref="J6720">_xlfn.IFS(I6720&lt;=3,"small",I6720&lt;=6,"Medium",I6720&lt;=9,"Large")</f>
        <v>small</v>
      </c>
      <c r="K6720" s="36">
        <v>45123</v>
      </c>
      <c r="L6720" s="36">
        <v>45130</v>
      </c>
      <c r="M6720" t="s">
        <v>612</v>
      </c>
      <c r="N6720" t="s">
        <v>604</v>
      </c>
      <c r="O6720" s="37" t="str">
        <f t="shared" si="523"/>
        <v>Digital Payment</v>
      </c>
      <c r="P6720">
        <v>707.76</v>
      </c>
      <c r="Q6720" s="37" t="str">
        <f>IF(P6720&gt;500,"High","low")</f>
        <v>High</v>
      </c>
      <c r="R6720" s="37" t="str">
        <f t="shared" si="524"/>
        <v>Good</v>
      </c>
      <c r="S6720" t="s">
        <v>620</v>
      </c>
    </row>
    <row r="6721" spans="1:19" x14ac:dyDescent="0.2">
      <c r="A6721" t="s">
        <v>7332</v>
      </c>
      <c r="B6721" t="s">
        <v>83</v>
      </c>
      <c r="C6721" t="s">
        <v>617</v>
      </c>
      <c r="D6721">
        <v>2674.76</v>
      </c>
      <c r="E6721" s="37" t="str">
        <f t="shared" si="520"/>
        <v xml:space="preserve"> </v>
      </c>
      <c r="F6721">
        <v>0.48</v>
      </c>
      <c r="G6721" s="37" t="str">
        <f t="shared" si="521"/>
        <v>Heavy Discount</v>
      </c>
      <c r="H6721" s="37" t="str">
        <f t="shared" si="522"/>
        <v>High</v>
      </c>
      <c r="I6721">
        <v>3</v>
      </c>
      <c r="J6721" t="str" cm="1">
        <f t="array" ref="J6721">_xlfn.IFS(I6721&lt;=3,"small",I6721&lt;=6,"Medium",I6721&lt;=9,"Large")</f>
        <v>small</v>
      </c>
      <c r="K6721" s="36">
        <v>44950</v>
      </c>
      <c r="L6721" s="36">
        <v>44956</v>
      </c>
      <c r="M6721" t="s">
        <v>612</v>
      </c>
      <c r="N6721" t="s">
        <v>608</v>
      </c>
      <c r="O6721" s="37" t="str">
        <f t="shared" si="523"/>
        <v>Cash Payment</v>
      </c>
      <c r="P6721">
        <v>277.24</v>
      </c>
      <c r="Q6721" s="37" t="str">
        <f>IF(P6721&gt;500,"High","low")</f>
        <v>low</v>
      </c>
      <c r="R6721" s="37" t="str">
        <f t="shared" si="524"/>
        <v>AVERAGE</v>
      </c>
      <c r="S6721" t="s">
        <v>628</v>
      </c>
    </row>
    <row r="6722" spans="1:19" x14ac:dyDescent="0.2">
      <c r="A6722" t="s">
        <v>7333</v>
      </c>
      <c r="B6722" t="s">
        <v>67</v>
      </c>
      <c r="C6722" t="s">
        <v>597</v>
      </c>
      <c r="D6722">
        <v>4256.3599999999997</v>
      </c>
      <c r="E6722" s="37" t="str">
        <f t="shared" si="520"/>
        <v>Excellent Order</v>
      </c>
      <c r="F6722">
        <v>0.14000000000000001</v>
      </c>
      <c r="G6722" s="37" t="str">
        <f t="shared" si="521"/>
        <v>Normal Discount</v>
      </c>
      <c r="H6722" s="37" t="str">
        <f t="shared" si="522"/>
        <v>Low</v>
      </c>
      <c r="I6722">
        <v>2</v>
      </c>
      <c r="J6722" t="str" cm="1">
        <f t="array" ref="J6722">_xlfn.IFS(I6722&lt;=3,"small",I6722&lt;=6,"Medium",I6722&lt;=9,"Large")</f>
        <v>small</v>
      </c>
      <c r="K6722" s="36">
        <v>45181</v>
      </c>
      <c r="L6722" s="36">
        <v>45185</v>
      </c>
      <c r="M6722" t="s">
        <v>603</v>
      </c>
      <c r="N6722" t="s">
        <v>604</v>
      </c>
      <c r="O6722" s="37" t="str">
        <f t="shared" si="523"/>
        <v>Digital Payment</v>
      </c>
      <c r="P6722">
        <v>1249.97</v>
      </c>
      <c r="Q6722" s="37" t="str">
        <f>IF(P6722&gt;500,"High","low")</f>
        <v>High</v>
      </c>
      <c r="R6722" s="37" t="str">
        <f t="shared" si="524"/>
        <v>Excellent</v>
      </c>
      <c r="S6722" t="s">
        <v>609</v>
      </c>
    </row>
    <row r="6723" spans="1:19" x14ac:dyDescent="0.2">
      <c r="A6723" t="s">
        <v>7334</v>
      </c>
      <c r="B6723" t="s">
        <v>75</v>
      </c>
      <c r="C6723" t="s">
        <v>617</v>
      </c>
      <c r="D6723">
        <v>3238.03</v>
      </c>
      <c r="E6723" s="37" t="str">
        <f t="shared" ref="E6723:E6786" si="525">IF(AND(D6723&gt;4000,P6723&gt;800),"Excellent Order"," ")</f>
        <v xml:space="preserve"> </v>
      </c>
      <c r="F6723">
        <v>0.16</v>
      </c>
      <c r="G6723" s="37" t="str">
        <f t="shared" ref="G6723:G6786" si="526">IF(F6723&gt;30%,"Heavy Discount","Normal Discount")</f>
        <v>Normal Discount</v>
      </c>
      <c r="H6723" s="37" t="str">
        <f t="shared" ref="H6723:H6786" si="527">IF(F6723&gt;0.4,"High",IF(F6723&gt;=0.2,"Medium","Low"))</f>
        <v>Low</v>
      </c>
      <c r="I6723">
        <v>8</v>
      </c>
      <c r="J6723" t="str" cm="1">
        <f t="array" ref="J6723">_xlfn.IFS(I6723&lt;=3,"small",I6723&lt;=6,"Medium",I6723&lt;=9,"Large")</f>
        <v>Large</v>
      </c>
      <c r="K6723" s="36">
        <v>45503</v>
      </c>
      <c r="L6723" s="36">
        <v>45509</v>
      </c>
      <c r="M6723" t="s">
        <v>598</v>
      </c>
      <c r="N6723" t="s">
        <v>608</v>
      </c>
      <c r="O6723" s="37" t="str">
        <f t="shared" ref="O6723:O6786" si="528">IF(OR(N6723="Card",N6723="UPI"),"Digital Payment","Cash Payment")</f>
        <v>Cash Payment</v>
      </c>
      <c r="P6723">
        <v>326.25</v>
      </c>
      <c r="Q6723" s="37" t="str">
        <f>IF(P6723&gt;500,"High","low")</f>
        <v>low</v>
      </c>
      <c r="R6723" s="37" t="str">
        <f t="shared" ref="R6723:R6786" si="529">IF(P6723&gt;1000,"Excellent",IF(P6723&gt;=500,"Good","AVERAGE"))</f>
        <v>AVERAGE</v>
      </c>
      <c r="S6723" t="s">
        <v>615</v>
      </c>
    </row>
    <row r="6724" spans="1:19" x14ac:dyDescent="0.2">
      <c r="A6724" t="s">
        <v>7335</v>
      </c>
      <c r="B6724" t="s">
        <v>67</v>
      </c>
      <c r="C6724" t="s">
        <v>607</v>
      </c>
      <c r="D6724">
        <v>464.95</v>
      </c>
      <c r="E6724" s="37" t="str">
        <f t="shared" si="525"/>
        <v xml:space="preserve"> </v>
      </c>
      <c r="F6724">
        <v>0.18</v>
      </c>
      <c r="G6724" s="37" t="str">
        <f t="shared" si="526"/>
        <v>Normal Discount</v>
      </c>
      <c r="H6724" s="37" t="str">
        <f t="shared" si="527"/>
        <v>Low</v>
      </c>
      <c r="I6724">
        <v>7</v>
      </c>
      <c r="J6724" t="str" cm="1">
        <f t="array" ref="J6724">_xlfn.IFS(I6724&lt;=3,"small",I6724&lt;=6,"Medium",I6724&lt;=9,"Large")</f>
        <v>Large</v>
      </c>
      <c r="K6724" s="36">
        <v>45518</v>
      </c>
      <c r="L6724" s="36">
        <v>45521</v>
      </c>
      <c r="M6724" t="s">
        <v>603</v>
      </c>
      <c r="N6724" t="s">
        <v>604</v>
      </c>
      <c r="O6724" s="37" t="str">
        <f t="shared" si="528"/>
        <v>Digital Payment</v>
      </c>
      <c r="P6724">
        <v>93.07</v>
      </c>
      <c r="Q6724" s="37" t="str">
        <f>IF(P6724&gt;500,"High","low")</f>
        <v>low</v>
      </c>
      <c r="R6724" s="37" t="str">
        <f t="shared" si="529"/>
        <v>AVERAGE</v>
      </c>
      <c r="S6724" t="s">
        <v>605</v>
      </c>
    </row>
    <row r="6725" spans="1:19" x14ac:dyDescent="0.2">
      <c r="A6725" t="s">
        <v>7336</v>
      </c>
      <c r="B6725" t="s">
        <v>83</v>
      </c>
      <c r="C6725" t="s">
        <v>602</v>
      </c>
      <c r="D6725">
        <v>2582.29</v>
      </c>
      <c r="E6725" s="37" t="str">
        <f t="shared" si="525"/>
        <v xml:space="preserve"> </v>
      </c>
      <c r="F6725">
        <v>0.43</v>
      </c>
      <c r="G6725" s="37" t="str">
        <f t="shared" si="526"/>
        <v>Heavy Discount</v>
      </c>
      <c r="H6725" s="37" t="str">
        <f t="shared" si="527"/>
        <v>High</v>
      </c>
      <c r="I6725">
        <v>8</v>
      </c>
      <c r="J6725" t="str" cm="1">
        <f t="array" ref="J6725">_xlfn.IFS(I6725&lt;=3,"small",I6725&lt;=6,"Medium",I6725&lt;=9,"Large")</f>
        <v>Large</v>
      </c>
      <c r="K6725" s="36">
        <v>44934</v>
      </c>
      <c r="L6725" s="36">
        <v>44938</v>
      </c>
      <c r="M6725" t="s">
        <v>598</v>
      </c>
      <c r="N6725" t="s">
        <v>604</v>
      </c>
      <c r="O6725" s="37" t="str">
        <f t="shared" si="528"/>
        <v>Digital Payment</v>
      </c>
      <c r="P6725">
        <v>689.35</v>
      </c>
      <c r="Q6725" s="37" t="str">
        <f>IF(P6725&gt;500,"High","low")</f>
        <v>High</v>
      </c>
      <c r="R6725" s="37" t="str">
        <f t="shared" si="529"/>
        <v>Good</v>
      </c>
      <c r="S6725" t="s">
        <v>605</v>
      </c>
    </row>
    <row r="6726" spans="1:19" x14ac:dyDescent="0.2">
      <c r="A6726" t="s">
        <v>7337</v>
      </c>
      <c r="B6726" t="s">
        <v>83</v>
      </c>
      <c r="C6726" t="s">
        <v>602</v>
      </c>
      <c r="D6726">
        <v>3924.92</v>
      </c>
      <c r="E6726" s="37" t="str">
        <f t="shared" si="525"/>
        <v xml:space="preserve"> </v>
      </c>
      <c r="F6726">
        <v>0.28999999999999998</v>
      </c>
      <c r="G6726" s="37" t="str">
        <f t="shared" si="526"/>
        <v>Normal Discount</v>
      </c>
      <c r="H6726" s="37" t="str">
        <f t="shared" si="527"/>
        <v>Medium</v>
      </c>
      <c r="I6726">
        <v>6</v>
      </c>
      <c r="J6726" t="str" cm="1">
        <f t="array" ref="J6726">_xlfn.IFS(I6726&lt;=3,"small",I6726&lt;=6,"Medium",I6726&lt;=9,"Large")</f>
        <v>Medium</v>
      </c>
      <c r="K6726" s="36">
        <v>45483</v>
      </c>
      <c r="L6726" s="36">
        <v>45486</v>
      </c>
      <c r="M6726" t="s">
        <v>612</v>
      </c>
      <c r="N6726" t="s">
        <v>608</v>
      </c>
      <c r="O6726" s="37" t="str">
        <f t="shared" si="528"/>
        <v>Cash Payment</v>
      </c>
      <c r="P6726">
        <v>621.21</v>
      </c>
      <c r="Q6726" s="37" t="str">
        <f>IF(P6726&gt;500,"High","low")</f>
        <v>High</v>
      </c>
      <c r="R6726" s="37" t="str">
        <f t="shared" si="529"/>
        <v>Good</v>
      </c>
      <c r="S6726" t="s">
        <v>609</v>
      </c>
    </row>
    <row r="6727" spans="1:19" x14ac:dyDescent="0.2">
      <c r="A6727" t="s">
        <v>7338</v>
      </c>
      <c r="B6727" t="s">
        <v>75</v>
      </c>
      <c r="C6727" t="s">
        <v>607</v>
      </c>
      <c r="D6727">
        <v>3529.9</v>
      </c>
      <c r="E6727" s="37" t="str">
        <f t="shared" si="525"/>
        <v xml:space="preserve"> </v>
      </c>
      <c r="F6727">
        <v>0.49</v>
      </c>
      <c r="G6727" s="37" t="str">
        <f t="shared" si="526"/>
        <v>Heavy Discount</v>
      </c>
      <c r="H6727" s="37" t="str">
        <f t="shared" si="527"/>
        <v>High</v>
      </c>
      <c r="I6727">
        <v>5</v>
      </c>
      <c r="J6727" t="str" cm="1">
        <f t="array" ref="J6727">_xlfn.IFS(I6727&lt;=3,"small",I6727&lt;=6,"Medium",I6727&lt;=9,"Large")</f>
        <v>Medium</v>
      </c>
      <c r="K6727" s="36">
        <v>45399</v>
      </c>
      <c r="L6727" s="36">
        <v>45403</v>
      </c>
      <c r="M6727" t="s">
        <v>612</v>
      </c>
      <c r="N6727" t="s">
        <v>608</v>
      </c>
      <c r="O6727" s="37" t="str">
        <f t="shared" si="528"/>
        <v>Cash Payment</v>
      </c>
      <c r="P6727">
        <v>592.69000000000005</v>
      </c>
      <c r="Q6727" s="37" t="str">
        <f>IF(P6727&gt;500,"High","low")</f>
        <v>High</v>
      </c>
      <c r="R6727" s="37" t="str">
        <f t="shared" si="529"/>
        <v>Good</v>
      </c>
      <c r="S6727" t="s">
        <v>620</v>
      </c>
    </row>
    <row r="6728" spans="1:19" x14ac:dyDescent="0.2">
      <c r="A6728" t="s">
        <v>7339</v>
      </c>
      <c r="B6728" t="s">
        <v>90</v>
      </c>
      <c r="C6728" t="s">
        <v>617</v>
      </c>
      <c r="D6728">
        <v>4856.7700000000004</v>
      </c>
      <c r="E6728" s="37" t="str">
        <f t="shared" si="525"/>
        <v>Excellent Order</v>
      </c>
      <c r="F6728">
        <v>0.31</v>
      </c>
      <c r="G6728" s="37" t="str">
        <f t="shared" si="526"/>
        <v>Heavy Discount</v>
      </c>
      <c r="H6728" s="37" t="str">
        <f t="shared" si="527"/>
        <v>Medium</v>
      </c>
      <c r="I6728">
        <v>1</v>
      </c>
      <c r="J6728" t="str" cm="1">
        <f t="array" ref="J6728">_xlfn.IFS(I6728&lt;=3,"small",I6728&lt;=6,"Medium",I6728&lt;=9,"Large")</f>
        <v>small</v>
      </c>
      <c r="K6728" s="36">
        <v>45292</v>
      </c>
      <c r="L6728" s="36">
        <v>45299</v>
      </c>
      <c r="M6728" t="s">
        <v>603</v>
      </c>
      <c r="N6728" t="s">
        <v>608</v>
      </c>
      <c r="O6728" s="37" t="str">
        <f t="shared" si="528"/>
        <v>Cash Payment</v>
      </c>
      <c r="P6728">
        <v>1392.13</v>
      </c>
      <c r="Q6728" s="37" t="str">
        <f>IF(P6728&gt;500,"High","low")</f>
        <v>High</v>
      </c>
      <c r="R6728" s="37" t="str">
        <f t="shared" si="529"/>
        <v>Excellent</v>
      </c>
      <c r="S6728" t="s">
        <v>600</v>
      </c>
    </row>
    <row r="6729" spans="1:19" x14ac:dyDescent="0.2">
      <c r="A6729" t="s">
        <v>7340</v>
      </c>
      <c r="B6729" t="s">
        <v>90</v>
      </c>
      <c r="C6729" t="s">
        <v>614</v>
      </c>
      <c r="D6729">
        <v>222.09</v>
      </c>
      <c r="E6729" s="37" t="str">
        <f t="shared" si="525"/>
        <v xml:space="preserve"> </v>
      </c>
      <c r="F6729">
        <v>0.35</v>
      </c>
      <c r="G6729" s="37" t="str">
        <f t="shared" si="526"/>
        <v>Heavy Discount</v>
      </c>
      <c r="H6729" s="37" t="str">
        <f t="shared" si="527"/>
        <v>Medium</v>
      </c>
      <c r="I6729">
        <v>8</v>
      </c>
      <c r="J6729" t="str" cm="1">
        <f t="array" ref="J6729">_xlfn.IFS(I6729&lt;=3,"small",I6729&lt;=6,"Medium",I6729&lt;=9,"Large")</f>
        <v>Large</v>
      </c>
      <c r="K6729" s="36">
        <v>45577</v>
      </c>
      <c r="L6729" s="36">
        <v>45578</v>
      </c>
      <c r="M6729" t="s">
        <v>598</v>
      </c>
      <c r="N6729" t="s">
        <v>608</v>
      </c>
      <c r="O6729" s="37" t="str">
        <f t="shared" si="528"/>
        <v>Cash Payment</v>
      </c>
      <c r="P6729">
        <v>15.12</v>
      </c>
      <c r="Q6729" s="37" t="str">
        <f>IF(P6729&gt;500,"High","low")</f>
        <v>low</v>
      </c>
      <c r="R6729" s="37" t="str">
        <f t="shared" si="529"/>
        <v>AVERAGE</v>
      </c>
      <c r="S6729" t="s">
        <v>605</v>
      </c>
    </row>
    <row r="6730" spans="1:19" x14ac:dyDescent="0.2">
      <c r="A6730" t="s">
        <v>7341</v>
      </c>
      <c r="B6730" t="s">
        <v>83</v>
      </c>
      <c r="C6730" t="s">
        <v>617</v>
      </c>
      <c r="D6730">
        <v>1379.97</v>
      </c>
      <c r="E6730" s="37" t="str">
        <f t="shared" si="525"/>
        <v xml:space="preserve"> </v>
      </c>
      <c r="F6730">
        <v>0.04</v>
      </c>
      <c r="G6730" s="37" t="str">
        <f t="shared" si="526"/>
        <v>Normal Discount</v>
      </c>
      <c r="H6730" s="37" t="str">
        <f t="shared" si="527"/>
        <v>Low</v>
      </c>
      <c r="I6730">
        <v>2</v>
      </c>
      <c r="J6730" t="str" cm="1">
        <f t="array" ref="J6730">_xlfn.IFS(I6730&lt;=3,"small",I6730&lt;=6,"Medium",I6730&lt;=9,"Large")</f>
        <v>small</v>
      </c>
      <c r="K6730" s="36">
        <v>45495</v>
      </c>
      <c r="L6730" s="36">
        <v>45502</v>
      </c>
      <c r="M6730" t="s">
        <v>603</v>
      </c>
      <c r="N6730" t="s">
        <v>608</v>
      </c>
      <c r="O6730" s="37" t="str">
        <f t="shared" si="528"/>
        <v>Cash Payment</v>
      </c>
      <c r="P6730">
        <v>245.71</v>
      </c>
      <c r="Q6730" s="37" t="str">
        <f>IF(P6730&gt;500,"High","low")</f>
        <v>low</v>
      </c>
      <c r="R6730" s="37" t="str">
        <f t="shared" si="529"/>
        <v>AVERAGE</v>
      </c>
      <c r="S6730" t="s">
        <v>609</v>
      </c>
    </row>
    <row r="6731" spans="1:19" x14ac:dyDescent="0.2">
      <c r="A6731" t="s">
        <v>7342</v>
      </c>
      <c r="B6731" t="s">
        <v>90</v>
      </c>
      <c r="C6731" t="s">
        <v>602</v>
      </c>
      <c r="D6731">
        <v>2790.87</v>
      </c>
      <c r="E6731" s="37" t="str">
        <f t="shared" si="525"/>
        <v xml:space="preserve"> </v>
      </c>
      <c r="F6731">
        <v>0.48</v>
      </c>
      <c r="G6731" s="37" t="str">
        <f t="shared" si="526"/>
        <v>Heavy Discount</v>
      </c>
      <c r="H6731" s="37" t="str">
        <f t="shared" si="527"/>
        <v>High</v>
      </c>
      <c r="I6731">
        <v>1</v>
      </c>
      <c r="J6731" t="str" cm="1">
        <f t="array" ref="J6731">_xlfn.IFS(I6731&lt;=3,"small",I6731&lt;=6,"Medium",I6731&lt;=9,"Large")</f>
        <v>small</v>
      </c>
      <c r="K6731" s="36">
        <v>44938</v>
      </c>
      <c r="L6731" s="36">
        <v>44939</v>
      </c>
      <c r="M6731" t="s">
        <v>598</v>
      </c>
      <c r="N6731" t="s">
        <v>604</v>
      </c>
      <c r="O6731" s="37" t="str">
        <f t="shared" si="528"/>
        <v>Digital Payment</v>
      </c>
      <c r="P6731">
        <v>419.2</v>
      </c>
      <c r="Q6731" s="37" t="str">
        <f>IF(P6731&gt;500,"High","low")</f>
        <v>low</v>
      </c>
      <c r="R6731" s="37" t="str">
        <f t="shared" si="529"/>
        <v>AVERAGE</v>
      </c>
      <c r="S6731" t="s">
        <v>605</v>
      </c>
    </row>
    <row r="6732" spans="1:19" x14ac:dyDescent="0.2">
      <c r="A6732" t="s">
        <v>7343</v>
      </c>
      <c r="B6732" t="s">
        <v>83</v>
      </c>
      <c r="C6732" t="s">
        <v>614</v>
      </c>
      <c r="D6732">
        <v>3135.5</v>
      </c>
      <c r="E6732" s="37" t="str">
        <f t="shared" si="525"/>
        <v xml:space="preserve"> </v>
      </c>
      <c r="F6732">
        <v>0.31</v>
      </c>
      <c r="G6732" s="37" t="str">
        <f t="shared" si="526"/>
        <v>Heavy Discount</v>
      </c>
      <c r="H6732" s="37" t="str">
        <f t="shared" si="527"/>
        <v>Medium</v>
      </c>
      <c r="I6732">
        <v>9</v>
      </c>
      <c r="J6732" t="str" cm="1">
        <f t="array" ref="J6732">_xlfn.IFS(I6732&lt;=3,"small",I6732&lt;=6,"Medium",I6732&lt;=9,"Large")</f>
        <v>Large</v>
      </c>
      <c r="K6732" s="36">
        <v>44998</v>
      </c>
      <c r="L6732" s="36">
        <v>45002</v>
      </c>
      <c r="M6732" t="s">
        <v>612</v>
      </c>
      <c r="N6732" t="s">
        <v>604</v>
      </c>
      <c r="O6732" s="37" t="str">
        <f t="shared" si="528"/>
        <v>Digital Payment</v>
      </c>
      <c r="P6732">
        <v>545.48</v>
      </c>
      <c r="Q6732" s="37" t="str">
        <f>IF(P6732&gt;500,"High","low")</f>
        <v>High</v>
      </c>
      <c r="R6732" s="37" t="str">
        <f t="shared" si="529"/>
        <v>Good</v>
      </c>
      <c r="S6732" t="s">
        <v>605</v>
      </c>
    </row>
    <row r="6733" spans="1:19" x14ac:dyDescent="0.2">
      <c r="A6733" t="s">
        <v>7344</v>
      </c>
      <c r="B6733" t="s">
        <v>75</v>
      </c>
      <c r="C6733" t="s">
        <v>597</v>
      </c>
      <c r="D6733">
        <v>1444.34</v>
      </c>
      <c r="E6733" s="37" t="str">
        <f t="shared" si="525"/>
        <v xml:space="preserve"> </v>
      </c>
      <c r="F6733">
        <v>0.26</v>
      </c>
      <c r="G6733" s="37" t="str">
        <f t="shared" si="526"/>
        <v>Normal Discount</v>
      </c>
      <c r="H6733" s="37" t="str">
        <f t="shared" si="527"/>
        <v>Medium</v>
      </c>
      <c r="I6733">
        <v>8</v>
      </c>
      <c r="J6733" t="str" cm="1">
        <f t="array" ref="J6733">_xlfn.IFS(I6733&lt;=3,"small",I6733&lt;=6,"Medium",I6733&lt;=9,"Large")</f>
        <v>Large</v>
      </c>
      <c r="K6733" s="36">
        <v>44989</v>
      </c>
      <c r="L6733" s="36">
        <v>44996</v>
      </c>
      <c r="M6733" t="s">
        <v>603</v>
      </c>
      <c r="N6733" t="s">
        <v>599</v>
      </c>
      <c r="O6733" s="37" t="str">
        <f t="shared" si="528"/>
        <v>Digital Payment</v>
      </c>
      <c r="P6733">
        <v>178.42</v>
      </c>
      <c r="Q6733" s="37" t="str">
        <f>IF(P6733&gt;500,"High","low")</f>
        <v>low</v>
      </c>
      <c r="R6733" s="37" t="str">
        <f t="shared" si="529"/>
        <v>AVERAGE</v>
      </c>
      <c r="S6733" t="s">
        <v>605</v>
      </c>
    </row>
    <row r="6734" spans="1:19" x14ac:dyDescent="0.2">
      <c r="A6734" t="s">
        <v>7345</v>
      </c>
      <c r="B6734" t="s">
        <v>75</v>
      </c>
      <c r="C6734" t="s">
        <v>597</v>
      </c>
      <c r="D6734">
        <v>4151.33</v>
      </c>
      <c r="E6734" s="37" t="str">
        <f t="shared" si="525"/>
        <v xml:space="preserve"> </v>
      </c>
      <c r="F6734">
        <v>0.19</v>
      </c>
      <c r="G6734" s="37" t="str">
        <f t="shared" si="526"/>
        <v>Normal Discount</v>
      </c>
      <c r="H6734" s="37" t="str">
        <f t="shared" si="527"/>
        <v>Low</v>
      </c>
      <c r="I6734">
        <v>9</v>
      </c>
      <c r="J6734" t="str" cm="1">
        <f t="array" ref="J6734">_xlfn.IFS(I6734&lt;=3,"small",I6734&lt;=6,"Medium",I6734&lt;=9,"Large")</f>
        <v>Large</v>
      </c>
      <c r="K6734" s="36">
        <v>45089</v>
      </c>
      <c r="L6734" s="36">
        <v>45091</v>
      </c>
      <c r="M6734" t="s">
        <v>612</v>
      </c>
      <c r="N6734" t="s">
        <v>599</v>
      </c>
      <c r="O6734" s="37" t="str">
        <f t="shared" si="528"/>
        <v>Digital Payment</v>
      </c>
      <c r="P6734">
        <v>281.86</v>
      </c>
      <c r="Q6734" s="37" t="str">
        <f>IF(P6734&gt;500,"High","low")</f>
        <v>low</v>
      </c>
      <c r="R6734" s="37" t="str">
        <f t="shared" si="529"/>
        <v>AVERAGE</v>
      </c>
      <c r="S6734" t="s">
        <v>628</v>
      </c>
    </row>
    <row r="6735" spans="1:19" x14ac:dyDescent="0.2">
      <c r="A6735" t="s">
        <v>7346</v>
      </c>
      <c r="B6735" t="s">
        <v>83</v>
      </c>
      <c r="C6735" t="s">
        <v>617</v>
      </c>
      <c r="D6735">
        <v>905.3</v>
      </c>
      <c r="E6735" s="37" t="str">
        <f t="shared" si="525"/>
        <v xml:space="preserve"> </v>
      </c>
      <c r="F6735">
        <v>0.04</v>
      </c>
      <c r="G6735" s="37" t="str">
        <f t="shared" si="526"/>
        <v>Normal Discount</v>
      </c>
      <c r="H6735" s="37" t="str">
        <f t="shared" si="527"/>
        <v>Low</v>
      </c>
      <c r="I6735">
        <v>5</v>
      </c>
      <c r="J6735" t="str" cm="1">
        <f t="array" ref="J6735">_xlfn.IFS(I6735&lt;=3,"small",I6735&lt;=6,"Medium",I6735&lt;=9,"Large")</f>
        <v>Medium</v>
      </c>
      <c r="K6735" s="36">
        <v>45476</v>
      </c>
      <c r="L6735" s="36">
        <v>45482</v>
      </c>
      <c r="M6735" t="s">
        <v>598</v>
      </c>
      <c r="N6735" t="s">
        <v>599</v>
      </c>
      <c r="O6735" s="37" t="str">
        <f t="shared" si="528"/>
        <v>Digital Payment</v>
      </c>
      <c r="P6735">
        <v>101.93</v>
      </c>
      <c r="Q6735" s="37" t="str">
        <f>IF(P6735&gt;500,"High","low")</f>
        <v>low</v>
      </c>
      <c r="R6735" s="37" t="str">
        <f t="shared" si="529"/>
        <v>AVERAGE</v>
      </c>
      <c r="S6735" t="s">
        <v>600</v>
      </c>
    </row>
    <row r="6736" spans="1:19" x14ac:dyDescent="0.2">
      <c r="A6736" t="s">
        <v>7347</v>
      </c>
      <c r="B6736" t="s">
        <v>75</v>
      </c>
      <c r="C6736" t="s">
        <v>617</v>
      </c>
      <c r="D6736">
        <v>104.16</v>
      </c>
      <c r="E6736" s="37" t="str">
        <f t="shared" si="525"/>
        <v xml:space="preserve"> </v>
      </c>
      <c r="F6736">
        <v>7.0000000000000007E-2</v>
      </c>
      <c r="G6736" s="37" t="str">
        <f t="shared" si="526"/>
        <v>Normal Discount</v>
      </c>
      <c r="H6736" s="37" t="str">
        <f t="shared" si="527"/>
        <v>Low</v>
      </c>
      <c r="I6736">
        <v>3</v>
      </c>
      <c r="J6736" t="str" cm="1">
        <f t="array" ref="J6736">_xlfn.IFS(I6736&lt;=3,"small",I6736&lt;=6,"Medium",I6736&lt;=9,"Large")</f>
        <v>small</v>
      </c>
      <c r="K6736" s="36">
        <v>45203</v>
      </c>
      <c r="L6736" s="36">
        <v>45210</v>
      </c>
      <c r="M6736" t="s">
        <v>612</v>
      </c>
      <c r="N6736" t="s">
        <v>608</v>
      </c>
      <c r="O6736" s="37" t="str">
        <f t="shared" si="528"/>
        <v>Cash Payment</v>
      </c>
      <c r="P6736">
        <v>5.76</v>
      </c>
      <c r="Q6736" s="37" t="str">
        <f>IF(P6736&gt;500,"High","low")</f>
        <v>low</v>
      </c>
      <c r="R6736" s="37" t="str">
        <f t="shared" si="529"/>
        <v>AVERAGE</v>
      </c>
      <c r="S6736" t="s">
        <v>615</v>
      </c>
    </row>
    <row r="6737" spans="1:19" x14ac:dyDescent="0.2">
      <c r="A6737" t="s">
        <v>7348</v>
      </c>
      <c r="B6737" t="s">
        <v>67</v>
      </c>
      <c r="C6737" t="s">
        <v>614</v>
      </c>
      <c r="D6737">
        <v>4766.72</v>
      </c>
      <c r="E6737" s="37" t="str">
        <f t="shared" si="525"/>
        <v xml:space="preserve"> </v>
      </c>
      <c r="F6737">
        <v>0.01</v>
      </c>
      <c r="G6737" s="37" t="str">
        <f t="shared" si="526"/>
        <v>Normal Discount</v>
      </c>
      <c r="H6737" s="37" t="str">
        <f t="shared" si="527"/>
        <v>Low</v>
      </c>
      <c r="I6737">
        <v>8</v>
      </c>
      <c r="J6737" t="str" cm="1">
        <f t="array" ref="J6737">_xlfn.IFS(I6737&lt;=3,"small",I6737&lt;=6,"Medium",I6737&lt;=9,"Large")</f>
        <v>Large</v>
      </c>
      <c r="K6737" s="36">
        <v>45489</v>
      </c>
      <c r="L6737" s="36">
        <v>45490</v>
      </c>
      <c r="M6737" t="s">
        <v>612</v>
      </c>
      <c r="N6737" t="s">
        <v>608</v>
      </c>
      <c r="O6737" s="37" t="str">
        <f t="shared" si="528"/>
        <v>Cash Payment</v>
      </c>
      <c r="P6737">
        <v>385.32</v>
      </c>
      <c r="Q6737" s="37" t="str">
        <f>IF(P6737&gt;500,"High","low")</f>
        <v>low</v>
      </c>
      <c r="R6737" s="37" t="str">
        <f t="shared" si="529"/>
        <v>AVERAGE</v>
      </c>
      <c r="S6737" t="s">
        <v>620</v>
      </c>
    </row>
    <row r="6738" spans="1:19" x14ac:dyDescent="0.2">
      <c r="A6738" t="s">
        <v>7349</v>
      </c>
      <c r="B6738" t="s">
        <v>67</v>
      </c>
      <c r="C6738" t="s">
        <v>614</v>
      </c>
      <c r="D6738">
        <v>2018.63</v>
      </c>
      <c r="E6738" s="37" t="str">
        <f t="shared" si="525"/>
        <v xml:space="preserve"> </v>
      </c>
      <c r="F6738">
        <v>0.5</v>
      </c>
      <c r="G6738" s="37" t="str">
        <f t="shared" si="526"/>
        <v>Heavy Discount</v>
      </c>
      <c r="H6738" s="37" t="str">
        <f t="shared" si="527"/>
        <v>High</v>
      </c>
      <c r="I6738">
        <v>4</v>
      </c>
      <c r="J6738" t="str" cm="1">
        <f t="array" ref="J6738">_xlfn.IFS(I6738&lt;=3,"small",I6738&lt;=6,"Medium",I6738&lt;=9,"Large")</f>
        <v>Medium</v>
      </c>
      <c r="K6738" s="36">
        <v>45328</v>
      </c>
      <c r="L6738" s="36">
        <v>45334</v>
      </c>
      <c r="M6738" t="s">
        <v>603</v>
      </c>
      <c r="N6738" t="s">
        <v>604</v>
      </c>
      <c r="O6738" s="37" t="str">
        <f t="shared" si="528"/>
        <v>Digital Payment</v>
      </c>
      <c r="P6738">
        <v>224.37</v>
      </c>
      <c r="Q6738" s="37" t="str">
        <f>IF(P6738&gt;500,"High","low")</f>
        <v>low</v>
      </c>
      <c r="R6738" s="37" t="str">
        <f t="shared" si="529"/>
        <v>AVERAGE</v>
      </c>
      <c r="S6738" t="s">
        <v>620</v>
      </c>
    </row>
    <row r="6739" spans="1:19" x14ac:dyDescent="0.2">
      <c r="A6739" t="s">
        <v>7350</v>
      </c>
      <c r="B6739" t="s">
        <v>75</v>
      </c>
      <c r="C6739" t="s">
        <v>617</v>
      </c>
      <c r="D6739">
        <v>4791.7</v>
      </c>
      <c r="E6739" s="37" t="str">
        <f t="shared" si="525"/>
        <v xml:space="preserve"> </v>
      </c>
      <c r="F6739">
        <v>0.39</v>
      </c>
      <c r="G6739" s="37" t="str">
        <f t="shared" si="526"/>
        <v>Heavy Discount</v>
      </c>
      <c r="H6739" s="37" t="str">
        <f t="shared" si="527"/>
        <v>Medium</v>
      </c>
      <c r="I6739">
        <v>1</v>
      </c>
      <c r="J6739" t="str" cm="1">
        <f t="array" ref="J6739">_xlfn.IFS(I6739&lt;=3,"small",I6739&lt;=6,"Medium",I6739&lt;=9,"Large")</f>
        <v>small</v>
      </c>
      <c r="K6739" s="36">
        <v>45432</v>
      </c>
      <c r="L6739" s="36">
        <v>45437</v>
      </c>
      <c r="M6739" t="s">
        <v>612</v>
      </c>
      <c r="N6739" t="s">
        <v>604</v>
      </c>
      <c r="O6739" s="37" t="str">
        <f t="shared" si="528"/>
        <v>Digital Payment</v>
      </c>
      <c r="P6739">
        <v>593.49</v>
      </c>
      <c r="Q6739" s="37" t="str">
        <f>IF(P6739&gt;500,"High","low")</f>
        <v>High</v>
      </c>
      <c r="R6739" s="37" t="str">
        <f t="shared" si="529"/>
        <v>Good</v>
      </c>
      <c r="S6739" t="s">
        <v>605</v>
      </c>
    </row>
    <row r="6740" spans="1:19" x14ac:dyDescent="0.2">
      <c r="A6740" t="s">
        <v>7351</v>
      </c>
      <c r="B6740" t="s">
        <v>83</v>
      </c>
      <c r="C6740" t="s">
        <v>602</v>
      </c>
      <c r="D6740">
        <v>1461.86</v>
      </c>
      <c r="E6740" s="37" t="str">
        <f t="shared" si="525"/>
        <v xml:space="preserve"> </v>
      </c>
      <c r="F6740">
        <v>0.4</v>
      </c>
      <c r="G6740" s="37" t="str">
        <f t="shared" si="526"/>
        <v>Heavy Discount</v>
      </c>
      <c r="H6740" s="37" t="str">
        <f t="shared" si="527"/>
        <v>Medium</v>
      </c>
      <c r="I6740">
        <v>9</v>
      </c>
      <c r="J6740" t="str" cm="1">
        <f t="array" ref="J6740">_xlfn.IFS(I6740&lt;=3,"small",I6740&lt;=6,"Medium",I6740&lt;=9,"Large")</f>
        <v>Large</v>
      </c>
      <c r="K6740" s="36">
        <v>45592</v>
      </c>
      <c r="L6740" s="36">
        <v>45599</v>
      </c>
      <c r="M6740" t="s">
        <v>598</v>
      </c>
      <c r="N6740" t="s">
        <v>604</v>
      </c>
      <c r="O6740" s="37" t="str">
        <f t="shared" si="528"/>
        <v>Digital Payment</v>
      </c>
      <c r="P6740">
        <v>210.52</v>
      </c>
      <c r="Q6740" s="37" t="str">
        <f>IF(P6740&gt;500,"High","low")</f>
        <v>low</v>
      </c>
      <c r="R6740" s="37" t="str">
        <f t="shared" si="529"/>
        <v>AVERAGE</v>
      </c>
      <c r="S6740" t="s">
        <v>600</v>
      </c>
    </row>
    <row r="6741" spans="1:19" x14ac:dyDescent="0.2">
      <c r="A6741" t="s">
        <v>7352</v>
      </c>
      <c r="B6741" t="s">
        <v>83</v>
      </c>
      <c r="C6741" t="s">
        <v>597</v>
      </c>
      <c r="D6741">
        <v>410.9</v>
      </c>
      <c r="E6741" s="37" t="str">
        <f t="shared" si="525"/>
        <v xml:space="preserve"> </v>
      </c>
      <c r="F6741">
        <v>0.37</v>
      </c>
      <c r="G6741" s="37" t="str">
        <f t="shared" si="526"/>
        <v>Heavy Discount</v>
      </c>
      <c r="H6741" s="37" t="str">
        <f t="shared" si="527"/>
        <v>Medium</v>
      </c>
      <c r="I6741">
        <v>4</v>
      </c>
      <c r="J6741" t="str" cm="1">
        <f t="array" ref="J6741">_xlfn.IFS(I6741&lt;=3,"small",I6741&lt;=6,"Medium",I6741&lt;=9,"Large")</f>
        <v>Medium</v>
      </c>
      <c r="K6741" s="36">
        <v>45458</v>
      </c>
      <c r="L6741" s="36">
        <v>45463</v>
      </c>
      <c r="M6741" t="s">
        <v>598</v>
      </c>
      <c r="N6741" t="s">
        <v>608</v>
      </c>
      <c r="O6741" s="37" t="str">
        <f t="shared" si="528"/>
        <v>Cash Payment</v>
      </c>
      <c r="P6741">
        <v>112.96</v>
      </c>
      <c r="Q6741" s="37" t="str">
        <f>IF(P6741&gt;500,"High","low")</f>
        <v>low</v>
      </c>
      <c r="R6741" s="37" t="str">
        <f t="shared" si="529"/>
        <v>AVERAGE</v>
      </c>
      <c r="S6741" t="s">
        <v>600</v>
      </c>
    </row>
    <row r="6742" spans="1:19" x14ac:dyDescent="0.2">
      <c r="A6742" t="s">
        <v>7353</v>
      </c>
      <c r="B6742" t="s">
        <v>75</v>
      </c>
      <c r="C6742" t="s">
        <v>614</v>
      </c>
      <c r="D6742">
        <v>3885.35</v>
      </c>
      <c r="E6742" s="37" t="str">
        <f t="shared" si="525"/>
        <v xml:space="preserve"> </v>
      </c>
      <c r="F6742">
        <v>0.24</v>
      </c>
      <c r="G6742" s="37" t="str">
        <f t="shared" si="526"/>
        <v>Normal Discount</v>
      </c>
      <c r="H6742" s="37" t="str">
        <f t="shared" si="527"/>
        <v>Medium</v>
      </c>
      <c r="I6742">
        <v>2</v>
      </c>
      <c r="J6742" t="str" cm="1">
        <f t="array" ref="J6742">_xlfn.IFS(I6742&lt;=3,"small",I6742&lt;=6,"Medium",I6742&lt;=9,"Large")</f>
        <v>small</v>
      </c>
      <c r="K6742" s="36">
        <v>45405</v>
      </c>
      <c r="L6742" s="36">
        <v>45409</v>
      </c>
      <c r="M6742" t="s">
        <v>612</v>
      </c>
      <c r="N6742" t="s">
        <v>599</v>
      </c>
      <c r="O6742" s="37" t="str">
        <f t="shared" si="528"/>
        <v>Digital Payment</v>
      </c>
      <c r="P6742">
        <v>743.57</v>
      </c>
      <c r="Q6742" s="37" t="str">
        <f>IF(P6742&gt;500,"High","low")</f>
        <v>High</v>
      </c>
      <c r="R6742" s="37" t="str">
        <f t="shared" si="529"/>
        <v>Good</v>
      </c>
      <c r="S6742" t="s">
        <v>600</v>
      </c>
    </row>
    <row r="6743" spans="1:19" x14ac:dyDescent="0.2">
      <c r="A6743" t="s">
        <v>7354</v>
      </c>
      <c r="B6743" t="s">
        <v>90</v>
      </c>
      <c r="C6743" t="s">
        <v>602</v>
      </c>
      <c r="D6743">
        <v>4195.5200000000004</v>
      </c>
      <c r="E6743" s="37" t="str">
        <f t="shared" si="525"/>
        <v>Excellent Order</v>
      </c>
      <c r="F6743">
        <v>0.04</v>
      </c>
      <c r="G6743" s="37" t="str">
        <f t="shared" si="526"/>
        <v>Normal Discount</v>
      </c>
      <c r="H6743" s="37" t="str">
        <f t="shared" si="527"/>
        <v>Low</v>
      </c>
      <c r="I6743">
        <v>3</v>
      </c>
      <c r="J6743" t="str" cm="1">
        <f t="array" ref="J6743">_xlfn.IFS(I6743&lt;=3,"small",I6743&lt;=6,"Medium",I6743&lt;=9,"Large")</f>
        <v>small</v>
      </c>
      <c r="K6743" s="36">
        <v>45136</v>
      </c>
      <c r="L6743" s="36">
        <v>45142</v>
      </c>
      <c r="M6743" t="s">
        <v>603</v>
      </c>
      <c r="N6743" t="s">
        <v>608</v>
      </c>
      <c r="O6743" s="37" t="str">
        <f t="shared" si="528"/>
        <v>Cash Payment</v>
      </c>
      <c r="P6743">
        <v>1147.83</v>
      </c>
      <c r="Q6743" s="37" t="str">
        <f>IF(P6743&gt;500,"High","low")</f>
        <v>High</v>
      </c>
      <c r="R6743" s="37" t="str">
        <f t="shared" si="529"/>
        <v>Excellent</v>
      </c>
      <c r="S6743" t="s">
        <v>615</v>
      </c>
    </row>
    <row r="6744" spans="1:19" x14ac:dyDescent="0.2">
      <c r="A6744" t="s">
        <v>7355</v>
      </c>
      <c r="B6744" t="s">
        <v>67</v>
      </c>
      <c r="C6744" t="s">
        <v>617</v>
      </c>
      <c r="D6744">
        <v>2511.23</v>
      </c>
      <c r="E6744" s="37" t="str">
        <f t="shared" si="525"/>
        <v xml:space="preserve"> </v>
      </c>
      <c r="F6744">
        <v>0.04</v>
      </c>
      <c r="G6744" s="37" t="str">
        <f t="shared" si="526"/>
        <v>Normal Discount</v>
      </c>
      <c r="H6744" s="37" t="str">
        <f t="shared" si="527"/>
        <v>Low</v>
      </c>
      <c r="I6744">
        <v>6</v>
      </c>
      <c r="J6744" t="str" cm="1">
        <f t="array" ref="J6744">_xlfn.IFS(I6744&lt;=3,"small",I6744&lt;=6,"Medium",I6744&lt;=9,"Large")</f>
        <v>Medium</v>
      </c>
      <c r="K6744" s="36">
        <v>45390</v>
      </c>
      <c r="L6744" s="36">
        <v>45392</v>
      </c>
      <c r="M6744" t="s">
        <v>598</v>
      </c>
      <c r="N6744" t="s">
        <v>599</v>
      </c>
      <c r="O6744" s="37" t="str">
        <f t="shared" si="528"/>
        <v>Digital Payment</v>
      </c>
      <c r="P6744">
        <v>165.68</v>
      </c>
      <c r="Q6744" s="37" t="str">
        <f>IF(P6744&gt;500,"High","low")</f>
        <v>low</v>
      </c>
      <c r="R6744" s="37" t="str">
        <f t="shared" si="529"/>
        <v>AVERAGE</v>
      </c>
      <c r="S6744" t="s">
        <v>628</v>
      </c>
    </row>
    <row r="6745" spans="1:19" x14ac:dyDescent="0.2">
      <c r="A6745" t="s">
        <v>7356</v>
      </c>
      <c r="B6745" t="s">
        <v>90</v>
      </c>
      <c r="C6745" t="s">
        <v>607</v>
      </c>
      <c r="D6745">
        <v>461.87</v>
      </c>
      <c r="E6745" s="37" t="str">
        <f t="shared" si="525"/>
        <v xml:space="preserve"> </v>
      </c>
      <c r="F6745">
        <v>0.46</v>
      </c>
      <c r="G6745" s="37" t="str">
        <f t="shared" si="526"/>
        <v>Heavy Discount</v>
      </c>
      <c r="H6745" s="37" t="str">
        <f t="shared" si="527"/>
        <v>High</v>
      </c>
      <c r="I6745">
        <v>9</v>
      </c>
      <c r="J6745" t="str" cm="1">
        <f t="array" ref="J6745">_xlfn.IFS(I6745&lt;=3,"small",I6745&lt;=6,"Medium",I6745&lt;=9,"Large")</f>
        <v>Large</v>
      </c>
      <c r="K6745" s="36">
        <v>45171</v>
      </c>
      <c r="L6745" s="36">
        <v>45176</v>
      </c>
      <c r="M6745" t="s">
        <v>603</v>
      </c>
      <c r="N6745" t="s">
        <v>604</v>
      </c>
      <c r="O6745" s="37" t="str">
        <f t="shared" si="528"/>
        <v>Digital Payment</v>
      </c>
      <c r="P6745">
        <v>61.51</v>
      </c>
      <c r="Q6745" s="37" t="str">
        <f>IF(P6745&gt;500,"High","low")</f>
        <v>low</v>
      </c>
      <c r="R6745" s="37" t="str">
        <f t="shared" si="529"/>
        <v>AVERAGE</v>
      </c>
      <c r="S6745" t="s">
        <v>615</v>
      </c>
    </row>
    <row r="6746" spans="1:19" x14ac:dyDescent="0.2">
      <c r="A6746" t="s">
        <v>7357</v>
      </c>
      <c r="B6746" t="s">
        <v>83</v>
      </c>
      <c r="C6746" t="s">
        <v>614</v>
      </c>
      <c r="D6746">
        <v>3305.26</v>
      </c>
      <c r="E6746" s="37" t="str">
        <f t="shared" si="525"/>
        <v xml:space="preserve"> </v>
      </c>
      <c r="F6746">
        <v>0</v>
      </c>
      <c r="G6746" s="37" t="str">
        <f t="shared" si="526"/>
        <v>Normal Discount</v>
      </c>
      <c r="H6746" s="37" t="str">
        <f t="shared" si="527"/>
        <v>Low</v>
      </c>
      <c r="I6746">
        <v>6</v>
      </c>
      <c r="J6746" t="str" cm="1">
        <f t="array" ref="J6746">_xlfn.IFS(I6746&lt;=3,"small",I6746&lt;=6,"Medium",I6746&lt;=9,"Large")</f>
        <v>Medium</v>
      </c>
      <c r="K6746" s="36">
        <v>45355</v>
      </c>
      <c r="L6746" s="36">
        <v>45356</v>
      </c>
      <c r="M6746" t="s">
        <v>598</v>
      </c>
      <c r="N6746" t="s">
        <v>604</v>
      </c>
      <c r="O6746" s="37" t="str">
        <f t="shared" si="528"/>
        <v>Digital Payment</v>
      </c>
      <c r="P6746">
        <v>484.38</v>
      </c>
      <c r="Q6746" s="37" t="str">
        <f>IF(P6746&gt;500,"High","low")</f>
        <v>low</v>
      </c>
      <c r="R6746" s="37" t="str">
        <f t="shared" si="529"/>
        <v>AVERAGE</v>
      </c>
      <c r="S6746" t="s">
        <v>609</v>
      </c>
    </row>
    <row r="6747" spans="1:19" x14ac:dyDescent="0.2">
      <c r="A6747" t="s">
        <v>7358</v>
      </c>
      <c r="B6747" t="s">
        <v>83</v>
      </c>
      <c r="C6747" t="s">
        <v>607</v>
      </c>
      <c r="D6747">
        <v>992.51</v>
      </c>
      <c r="E6747" s="37" t="str">
        <f t="shared" si="525"/>
        <v xml:space="preserve"> </v>
      </c>
      <c r="F6747">
        <v>0.35</v>
      </c>
      <c r="G6747" s="37" t="str">
        <f t="shared" si="526"/>
        <v>Heavy Discount</v>
      </c>
      <c r="H6747" s="37" t="str">
        <f t="shared" si="527"/>
        <v>Medium</v>
      </c>
      <c r="I6747">
        <v>4</v>
      </c>
      <c r="J6747" t="str" cm="1">
        <f t="array" ref="J6747">_xlfn.IFS(I6747&lt;=3,"small",I6747&lt;=6,"Medium",I6747&lt;=9,"Large")</f>
        <v>Medium</v>
      </c>
      <c r="K6747" s="36">
        <v>45174</v>
      </c>
      <c r="L6747" s="36">
        <v>45177</v>
      </c>
      <c r="M6747" t="s">
        <v>612</v>
      </c>
      <c r="N6747" t="s">
        <v>599</v>
      </c>
      <c r="O6747" s="37" t="str">
        <f t="shared" si="528"/>
        <v>Digital Payment</v>
      </c>
      <c r="P6747">
        <v>64.540000000000006</v>
      </c>
      <c r="Q6747" s="37" t="str">
        <f>IF(P6747&gt;500,"High","low")</f>
        <v>low</v>
      </c>
      <c r="R6747" s="37" t="str">
        <f t="shared" si="529"/>
        <v>AVERAGE</v>
      </c>
      <c r="S6747" t="s">
        <v>609</v>
      </c>
    </row>
    <row r="6748" spans="1:19" x14ac:dyDescent="0.2">
      <c r="A6748" t="s">
        <v>7359</v>
      </c>
      <c r="B6748" t="s">
        <v>90</v>
      </c>
      <c r="C6748" t="s">
        <v>602</v>
      </c>
      <c r="D6748">
        <v>4261.97</v>
      </c>
      <c r="E6748" s="37" t="str">
        <f t="shared" si="525"/>
        <v>Excellent Order</v>
      </c>
      <c r="F6748">
        <v>0.31</v>
      </c>
      <c r="G6748" s="37" t="str">
        <f t="shared" si="526"/>
        <v>Heavy Discount</v>
      </c>
      <c r="H6748" s="37" t="str">
        <f t="shared" si="527"/>
        <v>Medium</v>
      </c>
      <c r="I6748">
        <v>1</v>
      </c>
      <c r="J6748" t="str" cm="1">
        <f t="array" ref="J6748">_xlfn.IFS(I6748&lt;=3,"small",I6748&lt;=6,"Medium",I6748&lt;=9,"Large")</f>
        <v>small</v>
      </c>
      <c r="K6748" s="36">
        <v>44974</v>
      </c>
      <c r="L6748" s="36">
        <v>44980</v>
      </c>
      <c r="M6748" t="s">
        <v>598</v>
      </c>
      <c r="N6748" t="s">
        <v>608</v>
      </c>
      <c r="O6748" s="37" t="str">
        <f t="shared" si="528"/>
        <v>Cash Payment</v>
      </c>
      <c r="P6748">
        <v>1196.42</v>
      </c>
      <c r="Q6748" s="37" t="str">
        <f>IF(P6748&gt;500,"High","low")</f>
        <v>High</v>
      </c>
      <c r="R6748" s="37" t="str">
        <f t="shared" si="529"/>
        <v>Excellent</v>
      </c>
      <c r="S6748" t="s">
        <v>605</v>
      </c>
    </row>
    <row r="6749" spans="1:19" x14ac:dyDescent="0.2">
      <c r="A6749" t="s">
        <v>7360</v>
      </c>
      <c r="B6749" t="s">
        <v>75</v>
      </c>
      <c r="C6749" t="s">
        <v>597</v>
      </c>
      <c r="D6749">
        <v>1442.71</v>
      </c>
      <c r="E6749" s="37" t="str">
        <f t="shared" si="525"/>
        <v xml:space="preserve"> </v>
      </c>
      <c r="F6749">
        <v>0.25</v>
      </c>
      <c r="G6749" s="37" t="str">
        <f t="shared" si="526"/>
        <v>Normal Discount</v>
      </c>
      <c r="H6749" s="37" t="str">
        <f t="shared" si="527"/>
        <v>Medium</v>
      </c>
      <c r="I6749">
        <v>2</v>
      </c>
      <c r="J6749" t="str" cm="1">
        <f t="array" ref="J6749">_xlfn.IFS(I6749&lt;=3,"small",I6749&lt;=6,"Medium",I6749&lt;=9,"Large")</f>
        <v>small</v>
      </c>
      <c r="K6749" s="36">
        <v>44940</v>
      </c>
      <c r="L6749" s="36">
        <v>44943</v>
      </c>
      <c r="M6749" t="s">
        <v>603</v>
      </c>
      <c r="N6749" t="s">
        <v>604</v>
      </c>
      <c r="O6749" s="37" t="str">
        <f t="shared" si="528"/>
        <v>Digital Payment</v>
      </c>
      <c r="P6749">
        <v>175.91</v>
      </c>
      <c r="Q6749" s="37" t="str">
        <f>IF(P6749&gt;500,"High","low")</f>
        <v>low</v>
      </c>
      <c r="R6749" s="37" t="str">
        <f t="shared" si="529"/>
        <v>AVERAGE</v>
      </c>
      <c r="S6749" t="s">
        <v>609</v>
      </c>
    </row>
    <row r="6750" spans="1:19" x14ac:dyDescent="0.2">
      <c r="A6750" t="s">
        <v>7361</v>
      </c>
      <c r="B6750" t="s">
        <v>90</v>
      </c>
      <c r="C6750" t="s">
        <v>602</v>
      </c>
      <c r="D6750">
        <v>4253.76</v>
      </c>
      <c r="E6750" s="37" t="str">
        <f t="shared" si="525"/>
        <v>Excellent Order</v>
      </c>
      <c r="F6750">
        <v>0.49</v>
      </c>
      <c r="G6750" s="37" t="str">
        <f t="shared" si="526"/>
        <v>Heavy Discount</v>
      </c>
      <c r="H6750" s="37" t="str">
        <f t="shared" si="527"/>
        <v>High</v>
      </c>
      <c r="I6750">
        <v>7</v>
      </c>
      <c r="J6750" t="str" cm="1">
        <f t="array" ref="J6750">_xlfn.IFS(I6750&lt;=3,"small",I6750&lt;=6,"Medium",I6750&lt;=9,"Large")</f>
        <v>Large</v>
      </c>
      <c r="K6750" s="36">
        <v>45317</v>
      </c>
      <c r="L6750" s="36">
        <v>45324</v>
      </c>
      <c r="M6750" t="s">
        <v>612</v>
      </c>
      <c r="N6750" t="s">
        <v>599</v>
      </c>
      <c r="O6750" s="37" t="str">
        <f t="shared" si="528"/>
        <v>Digital Payment</v>
      </c>
      <c r="P6750">
        <v>1043.95</v>
      </c>
      <c r="Q6750" s="37" t="str">
        <f>IF(P6750&gt;500,"High","low")</f>
        <v>High</v>
      </c>
      <c r="R6750" s="37" t="str">
        <f t="shared" si="529"/>
        <v>Excellent</v>
      </c>
      <c r="S6750" t="s">
        <v>620</v>
      </c>
    </row>
    <row r="6751" spans="1:19" x14ac:dyDescent="0.2">
      <c r="A6751" t="s">
        <v>7362</v>
      </c>
      <c r="B6751" t="s">
        <v>90</v>
      </c>
      <c r="C6751" t="s">
        <v>597</v>
      </c>
      <c r="D6751">
        <v>2191.9299999999998</v>
      </c>
      <c r="E6751" s="37" t="str">
        <f t="shared" si="525"/>
        <v xml:space="preserve"> </v>
      </c>
      <c r="F6751">
        <v>0.1</v>
      </c>
      <c r="G6751" s="37" t="str">
        <f t="shared" si="526"/>
        <v>Normal Discount</v>
      </c>
      <c r="H6751" s="37" t="str">
        <f t="shared" si="527"/>
        <v>Low</v>
      </c>
      <c r="I6751">
        <v>3</v>
      </c>
      <c r="J6751" t="str" cm="1">
        <f t="array" ref="J6751">_xlfn.IFS(I6751&lt;=3,"small",I6751&lt;=6,"Medium",I6751&lt;=9,"Large")</f>
        <v>small</v>
      </c>
      <c r="K6751" s="36">
        <v>45604</v>
      </c>
      <c r="L6751" s="36">
        <v>45611</v>
      </c>
      <c r="M6751" t="s">
        <v>603</v>
      </c>
      <c r="N6751" t="s">
        <v>608</v>
      </c>
      <c r="O6751" s="37" t="str">
        <f t="shared" si="528"/>
        <v>Cash Payment</v>
      </c>
      <c r="P6751">
        <v>365.81</v>
      </c>
      <c r="Q6751" s="37" t="str">
        <f>IF(P6751&gt;500,"High","low")</f>
        <v>low</v>
      </c>
      <c r="R6751" s="37" t="str">
        <f t="shared" si="529"/>
        <v>AVERAGE</v>
      </c>
      <c r="S6751" t="s">
        <v>609</v>
      </c>
    </row>
    <row r="6752" spans="1:19" x14ac:dyDescent="0.2">
      <c r="A6752" t="s">
        <v>7363</v>
      </c>
      <c r="B6752" t="s">
        <v>67</v>
      </c>
      <c r="C6752" t="s">
        <v>602</v>
      </c>
      <c r="D6752">
        <v>3022.79</v>
      </c>
      <c r="E6752" s="37" t="str">
        <f t="shared" si="525"/>
        <v xml:space="preserve"> </v>
      </c>
      <c r="F6752">
        <v>0.39</v>
      </c>
      <c r="G6752" s="37" t="str">
        <f t="shared" si="526"/>
        <v>Heavy Discount</v>
      </c>
      <c r="H6752" s="37" t="str">
        <f t="shared" si="527"/>
        <v>Medium</v>
      </c>
      <c r="I6752">
        <v>2</v>
      </c>
      <c r="J6752" t="str" cm="1">
        <f t="array" ref="J6752">_xlfn.IFS(I6752&lt;=3,"small",I6752&lt;=6,"Medium",I6752&lt;=9,"Large")</f>
        <v>small</v>
      </c>
      <c r="K6752" s="36">
        <v>45039</v>
      </c>
      <c r="L6752" s="36">
        <v>45045</v>
      </c>
      <c r="M6752" t="s">
        <v>603</v>
      </c>
      <c r="N6752" t="s">
        <v>599</v>
      </c>
      <c r="O6752" s="37" t="str">
        <f t="shared" si="528"/>
        <v>Digital Payment</v>
      </c>
      <c r="P6752">
        <v>490.56</v>
      </c>
      <c r="Q6752" s="37" t="str">
        <f>IF(P6752&gt;500,"High","low")</f>
        <v>low</v>
      </c>
      <c r="R6752" s="37" t="str">
        <f t="shared" si="529"/>
        <v>AVERAGE</v>
      </c>
      <c r="S6752" t="s">
        <v>628</v>
      </c>
    </row>
    <row r="6753" spans="1:19" x14ac:dyDescent="0.2">
      <c r="A6753" t="s">
        <v>7364</v>
      </c>
      <c r="B6753" t="s">
        <v>67</v>
      </c>
      <c r="C6753" t="s">
        <v>614</v>
      </c>
      <c r="D6753">
        <v>3968.86</v>
      </c>
      <c r="E6753" s="37" t="str">
        <f t="shared" si="525"/>
        <v xml:space="preserve"> </v>
      </c>
      <c r="F6753">
        <v>0.34</v>
      </c>
      <c r="G6753" s="37" t="str">
        <f t="shared" si="526"/>
        <v>Heavy Discount</v>
      </c>
      <c r="H6753" s="37" t="str">
        <f t="shared" si="527"/>
        <v>Medium</v>
      </c>
      <c r="I6753">
        <v>6</v>
      </c>
      <c r="J6753" t="str" cm="1">
        <f t="array" ref="J6753">_xlfn.IFS(I6753&lt;=3,"small",I6753&lt;=6,"Medium",I6753&lt;=9,"Large")</f>
        <v>Medium</v>
      </c>
      <c r="K6753" s="36">
        <v>44990</v>
      </c>
      <c r="L6753" s="36">
        <v>44991</v>
      </c>
      <c r="M6753" t="s">
        <v>598</v>
      </c>
      <c r="N6753" t="s">
        <v>604</v>
      </c>
      <c r="O6753" s="37" t="str">
        <f t="shared" si="528"/>
        <v>Digital Payment</v>
      </c>
      <c r="P6753">
        <v>1039.81</v>
      </c>
      <c r="Q6753" s="37" t="str">
        <f>IF(P6753&gt;500,"High","low")</f>
        <v>High</v>
      </c>
      <c r="R6753" s="37" t="str">
        <f t="shared" si="529"/>
        <v>Excellent</v>
      </c>
      <c r="S6753" t="s">
        <v>628</v>
      </c>
    </row>
    <row r="6754" spans="1:19" x14ac:dyDescent="0.2">
      <c r="A6754" t="s">
        <v>7365</v>
      </c>
      <c r="B6754" t="s">
        <v>90</v>
      </c>
      <c r="C6754" t="s">
        <v>614</v>
      </c>
      <c r="D6754">
        <v>298.14999999999998</v>
      </c>
      <c r="E6754" s="37" t="str">
        <f t="shared" si="525"/>
        <v xml:space="preserve"> </v>
      </c>
      <c r="F6754">
        <v>0.49</v>
      </c>
      <c r="G6754" s="37" t="str">
        <f t="shared" si="526"/>
        <v>Heavy Discount</v>
      </c>
      <c r="H6754" s="37" t="str">
        <f t="shared" si="527"/>
        <v>High</v>
      </c>
      <c r="I6754">
        <v>4</v>
      </c>
      <c r="J6754" t="str" cm="1">
        <f t="array" ref="J6754">_xlfn.IFS(I6754&lt;=3,"small",I6754&lt;=6,"Medium",I6754&lt;=9,"Large")</f>
        <v>Medium</v>
      </c>
      <c r="K6754" s="36">
        <v>45211</v>
      </c>
      <c r="L6754" s="36">
        <v>45217</v>
      </c>
      <c r="M6754" t="s">
        <v>603</v>
      </c>
      <c r="N6754" t="s">
        <v>608</v>
      </c>
      <c r="O6754" s="37" t="str">
        <f t="shared" si="528"/>
        <v>Cash Payment</v>
      </c>
      <c r="P6754">
        <v>39.840000000000003</v>
      </c>
      <c r="Q6754" s="37" t="str">
        <f>IF(P6754&gt;500,"High","low")</f>
        <v>low</v>
      </c>
      <c r="R6754" s="37" t="str">
        <f t="shared" si="529"/>
        <v>AVERAGE</v>
      </c>
      <c r="S6754" t="s">
        <v>615</v>
      </c>
    </row>
    <row r="6755" spans="1:19" x14ac:dyDescent="0.2">
      <c r="A6755" t="s">
        <v>7366</v>
      </c>
      <c r="B6755" t="s">
        <v>90</v>
      </c>
      <c r="C6755" t="s">
        <v>607</v>
      </c>
      <c r="D6755">
        <v>4123.71</v>
      </c>
      <c r="E6755" s="37" t="str">
        <f t="shared" si="525"/>
        <v xml:space="preserve"> </v>
      </c>
      <c r="F6755">
        <v>0.47</v>
      </c>
      <c r="G6755" s="37" t="str">
        <f t="shared" si="526"/>
        <v>Heavy Discount</v>
      </c>
      <c r="H6755" s="37" t="str">
        <f t="shared" si="527"/>
        <v>High</v>
      </c>
      <c r="I6755">
        <v>1</v>
      </c>
      <c r="J6755" t="str" cm="1">
        <f t="array" ref="J6755">_xlfn.IFS(I6755&lt;=3,"small",I6755&lt;=6,"Medium",I6755&lt;=9,"Large")</f>
        <v>small</v>
      </c>
      <c r="K6755" s="36">
        <v>45013</v>
      </c>
      <c r="L6755" s="36">
        <v>45015</v>
      </c>
      <c r="M6755" t="s">
        <v>612</v>
      </c>
      <c r="N6755" t="s">
        <v>604</v>
      </c>
      <c r="O6755" s="37" t="str">
        <f t="shared" si="528"/>
        <v>Digital Payment</v>
      </c>
      <c r="P6755">
        <v>248.45</v>
      </c>
      <c r="Q6755" s="37" t="str">
        <f>IF(P6755&gt;500,"High","low")</f>
        <v>low</v>
      </c>
      <c r="R6755" s="37" t="str">
        <f t="shared" si="529"/>
        <v>AVERAGE</v>
      </c>
      <c r="S6755" t="s">
        <v>605</v>
      </c>
    </row>
    <row r="6756" spans="1:19" x14ac:dyDescent="0.2">
      <c r="A6756" t="s">
        <v>7367</v>
      </c>
      <c r="B6756" t="s">
        <v>83</v>
      </c>
      <c r="C6756" t="s">
        <v>602</v>
      </c>
      <c r="D6756">
        <v>779.38</v>
      </c>
      <c r="E6756" s="37" t="str">
        <f t="shared" si="525"/>
        <v xml:space="preserve"> </v>
      </c>
      <c r="F6756">
        <v>0.06</v>
      </c>
      <c r="G6756" s="37" t="str">
        <f t="shared" si="526"/>
        <v>Normal Discount</v>
      </c>
      <c r="H6756" s="37" t="str">
        <f t="shared" si="527"/>
        <v>Low</v>
      </c>
      <c r="I6756">
        <v>9</v>
      </c>
      <c r="J6756" t="str" cm="1">
        <f t="array" ref="J6756">_xlfn.IFS(I6756&lt;=3,"small",I6756&lt;=6,"Medium",I6756&lt;=9,"Large")</f>
        <v>Large</v>
      </c>
      <c r="K6756" s="36">
        <v>45421</v>
      </c>
      <c r="L6756" s="36">
        <v>45425</v>
      </c>
      <c r="M6756" t="s">
        <v>612</v>
      </c>
      <c r="N6756" t="s">
        <v>608</v>
      </c>
      <c r="O6756" s="37" t="str">
        <f t="shared" si="528"/>
        <v>Cash Payment</v>
      </c>
      <c r="P6756">
        <v>139.66999999999999</v>
      </c>
      <c r="Q6756" s="37" t="str">
        <f>IF(P6756&gt;500,"High","low")</f>
        <v>low</v>
      </c>
      <c r="R6756" s="37" t="str">
        <f t="shared" si="529"/>
        <v>AVERAGE</v>
      </c>
      <c r="S6756" t="s">
        <v>620</v>
      </c>
    </row>
    <row r="6757" spans="1:19" x14ac:dyDescent="0.2">
      <c r="A6757" t="s">
        <v>7368</v>
      </c>
      <c r="B6757" t="s">
        <v>67</v>
      </c>
      <c r="C6757" t="s">
        <v>602</v>
      </c>
      <c r="D6757">
        <v>1856.25</v>
      </c>
      <c r="E6757" s="37" t="str">
        <f t="shared" si="525"/>
        <v xml:space="preserve"> </v>
      </c>
      <c r="F6757">
        <v>0.15</v>
      </c>
      <c r="G6757" s="37" t="str">
        <f t="shared" si="526"/>
        <v>Normal Discount</v>
      </c>
      <c r="H6757" s="37" t="str">
        <f t="shared" si="527"/>
        <v>Low</v>
      </c>
      <c r="I6757">
        <v>9</v>
      </c>
      <c r="J6757" t="str" cm="1">
        <f t="array" ref="J6757">_xlfn.IFS(I6757&lt;=3,"small",I6757&lt;=6,"Medium",I6757&lt;=9,"Large")</f>
        <v>Large</v>
      </c>
      <c r="K6757" s="36">
        <v>45175</v>
      </c>
      <c r="L6757" s="36">
        <v>45176</v>
      </c>
      <c r="M6757" t="s">
        <v>603</v>
      </c>
      <c r="N6757" t="s">
        <v>604</v>
      </c>
      <c r="O6757" s="37" t="str">
        <f t="shared" si="528"/>
        <v>Digital Payment</v>
      </c>
      <c r="P6757">
        <v>203.35</v>
      </c>
      <c r="Q6757" s="37" t="str">
        <f>IF(P6757&gt;500,"High","low")</f>
        <v>low</v>
      </c>
      <c r="R6757" s="37" t="str">
        <f t="shared" si="529"/>
        <v>AVERAGE</v>
      </c>
      <c r="S6757" t="s">
        <v>605</v>
      </c>
    </row>
    <row r="6758" spans="1:19" x14ac:dyDescent="0.2">
      <c r="A6758" t="s">
        <v>7369</v>
      </c>
      <c r="B6758" t="s">
        <v>67</v>
      </c>
      <c r="C6758" t="s">
        <v>607</v>
      </c>
      <c r="D6758">
        <v>2416.63</v>
      </c>
      <c r="E6758" s="37" t="str">
        <f t="shared" si="525"/>
        <v xml:space="preserve"> </v>
      </c>
      <c r="F6758">
        <v>0.43</v>
      </c>
      <c r="G6758" s="37" t="str">
        <f t="shared" si="526"/>
        <v>Heavy Discount</v>
      </c>
      <c r="H6758" s="37" t="str">
        <f t="shared" si="527"/>
        <v>High</v>
      </c>
      <c r="I6758">
        <v>5</v>
      </c>
      <c r="J6758" t="str" cm="1">
        <f t="array" ref="J6758">_xlfn.IFS(I6758&lt;=3,"small",I6758&lt;=6,"Medium",I6758&lt;=9,"Large")</f>
        <v>Medium</v>
      </c>
      <c r="K6758" s="36">
        <v>45551</v>
      </c>
      <c r="L6758" s="36">
        <v>45554</v>
      </c>
      <c r="M6758" t="s">
        <v>612</v>
      </c>
      <c r="N6758" t="s">
        <v>608</v>
      </c>
      <c r="O6758" s="37" t="str">
        <f t="shared" si="528"/>
        <v>Cash Payment</v>
      </c>
      <c r="P6758">
        <v>329.06</v>
      </c>
      <c r="Q6758" s="37" t="str">
        <f>IF(P6758&gt;500,"High","low")</f>
        <v>low</v>
      </c>
      <c r="R6758" s="37" t="str">
        <f t="shared" si="529"/>
        <v>AVERAGE</v>
      </c>
      <c r="S6758" t="s">
        <v>628</v>
      </c>
    </row>
    <row r="6759" spans="1:19" x14ac:dyDescent="0.2">
      <c r="A6759" t="s">
        <v>7370</v>
      </c>
      <c r="B6759" t="s">
        <v>83</v>
      </c>
      <c r="C6759" t="s">
        <v>617</v>
      </c>
      <c r="D6759">
        <v>4487.59</v>
      </c>
      <c r="E6759" s="37" t="str">
        <f t="shared" si="525"/>
        <v xml:space="preserve"> </v>
      </c>
      <c r="F6759">
        <v>0.11</v>
      </c>
      <c r="G6759" s="37" t="str">
        <f t="shared" si="526"/>
        <v>Normal Discount</v>
      </c>
      <c r="H6759" s="37" t="str">
        <f t="shared" si="527"/>
        <v>Low</v>
      </c>
      <c r="I6759">
        <v>8</v>
      </c>
      <c r="J6759" t="str" cm="1">
        <f t="array" ref="J6759">_xlfn.IFS(I6759&lt;=3,"small",I6759&lt;=6,"Medium",I6759&lt;=9,"Large")</f>
        <v>Large</v>
      </c>
      <c r="K6759" s="36">
        <v>45152</v>
      </c>
      <c r="L6759" s="36">
        <v>45156</v>
      </c>
      <c r="M6759" t="s">
        <v>612</v>
      </c>
      <c r="N6759" t="s">
        <v>599</v>
      </c>
      <c r="O6759" s="37" t="str">
        <f t="shared" si="528"/>
        <v>Digital Payment</v>
      </c>
      <c r="P6759">
        <v>626.66</v>
      </c>
      <c r="Q6759" s="37" t="str">
        <f>IF(P6759&gt;500,"High","low")</f>
        <v>High</v>
      </c>
      <c r="R6759" s="37" t="str">
        <f t="shared" si="529"/>
        <v>Good</v>
      </c>
      <c r="S6759" t="s">
        <v>620</v>
      </c>
    </row>
    <row r="6760" spans="1:19" x14ac:dyDescent="0.2">
      <c r="A6760" t="s">
        <v>7371</v>
      </c>
      <c r="B6760" t="s">
        <v>75</v>
      </c>
      <c r="C6760" t="s">
        <v>602</v>
      </c>
      <c r="D6760">
        <v>209.96</v>
      </c>
      <c r="E6760" s="37" t="str">
        <f t="shared" si="525"/>
        <v xml:space="preserve"> </v>
      </c>
      <c r="F6760">
        <v>0.19</v>
      </c>
      <c r="G6760" s="37" t="str">
        <f t="shared" si="526"/>
        <v>Normal Discount</v>
      </c>
      <c r="H6760" s="37" t="str">
        <f t="shared" si="527"/>
        <v>Low</v>
      </c>
      <c r="I6760">
        <v>6</v>
      </c>
      <c r="J6760" t="str" cm="1">
        <f t="array" ref="J6760">_xlfn.IFS(I6760&lt;=3,"small",I6760&lt;=6,"Medium",I6760&lt;=9,"Large")</f>
        <v>Medium</v>
      </c>
      <c r="K6760" s="36">
        <v>45109</v>
      </c>
      <c r="L6760" s="36">
        <v>45111</v>
      </c>
      <c r="M6760" t="s">
        <v>612</v>
      </c>
      <c r="N6760" t="s">
        <v>604</v>
      </c>
      <c r="O6760" s="37" t="str">
        <f t="shared" si="528"/>
        <v>Digital Payment</v>
      </c>
      <c r="P6760">
        <v>57.19</v>
      </c>
      <c r="Q6760" s="37" t="str">
        <f>IF(P6760&gt;500,"High","low")</f>
        <v>low</v>
      </c>
      <c r="R6760" s="37" t="str">
        <f t="shared" si="529"/>
        <v>AVERAGE</v>
      </c>
      <c r="S6760" t="s">
        <v>620</v>
      </c>
    </row>
    <row r="6761" spans="1:19" x14ac:dyDescent="0.2">
      <c r="A6761" t="s">
        <v>7372</v>
      </c>
      <c r="B6761" t="s">
        <v>67</v>
      </c>
      <c r="C6761" t="s">
        <v>602</v>
      </c>
      <c r="D6761">
        <v>2840.09</v>
      </c>
      <c r="E6761" s="37" t="str">
        <f t="shared" si="525"/>
        <v xml:space="preserve"> </v>
      </c>
      <c r="F6761">
        <v>0.31</v>
      </c>
      <c r="G6761" s="37" t="str">
        <f t="shared" si="526"/>
        <v>Heavy Discount</v>
      </c>
      <c r="H6761" s="37" t="str">
        <f t="shared" si="527"/>
        <v>Medium</v>
      </c>
      <c r="I6761">
        <v>7</v>
      </c>
      <c r="J6761" t="str" cm="1">
        <f t="array" ref="J6761">_xlfn.IFS(I6761&lt;=3,"small",I6761&lt;=6,"Medium",I6761&lt;=9,"Large")</f>
        <v>Large</v>
      </c>
      <c r="K6761" s="36">
        <v>45007</v>
      </c>
      <c r="L6761" s="36">
        <v>45013</v>
      </c>
      <c r="M6761" t="s">
        <v>598</v>
      </c>
      <c r="N6761" t="s">
        <v>604</v>
      </c>
      <c r="O6761" s="37" t="str">
        <f t="shared" si="528"/>
        <v>Digital Payment</v>
      </c>
      <c r="P6761">
        <v>758.84</v>
      </c>
      <c r="Q6761" s="37" t="str">
        <f>IF(P6761&gt;500,"High","low")</f>
        <v>High</v>
      </c>
      <c r="R6761" s="37" t="str">
        <f t="shared" si="529"/>
        <v>Good</v>
      </c>
      <c r="S6761" t="s">
        <v>628</v>
      </c>
    </row>
    <row r="6762" spans="1:19" x14ac:dyDescent="0.2">
      <c r="A6762" t="s">
        <v>7373</v>
      </c>
      <c r="B6762" t="s">
        <v>67</v>
      </c>
      <c r="C6762" t="s">
        <v>602</v>
      </c>
      <c r="D6762">
        <v>3248.36</v>
      </c>
      <c r="E6762" s="37" t="str">
        <f t="shared" si="525"/>
        <v xml:space="preserve"> </v>
      </c>
      <c r="F6762">
        <v>0.28000000000000003</v>
      </c>
      <c r="G6762" s="37" t="str">
        <f t="shared" si="526"/>
        <v>Normal Discount</v>
      </c>
      <c r="H6762" s="37" t="str">
        <f t="shared" si="527"/>
        <v>Medium</v>
      </c>
      <c r="I6762">
        <v>6</v>
      </c>
      <c r="J6762" t="str" cm="1">
        <f t="array" ref="J6762">_xlfn.IFS(I6762&lt;=3,"small",I6762&lt;=6,"Medium",I6762&lt;=9,"Large")</f>
        <v>Medium</v>
      </c>
      <c r="K6762" s="36">
        <v>45312</v>
      </c>
      <c r="L6762" s="36">
        <v>45317</v>
      </c>
      <c r="M6762" t="s">
        <v>612</v>
      </c>
      <c r="N6762" t="s">
        <v>604</v>
      </c>
      <c r="O6762" s="37" t="str">
        <f t="shared" si="528"/>
        <v>Digital Payment</v>
      </c>
      <c r="P6762">
        <v>920.91</v>
      </c>
      <c r="Q6762" s="37" t="str">
        <f>IF(P6762&gt;500,"High","low")</f>
        <v>High</v>
      </c>
      <c r="R6762" s="37" t="str">
        <f t="shared" si="529"/>
        <v>Good</v>
      </c>
      <c r="S6762" t="s">
        <v>628</v>
      </c>
    </row>
    <row r="6763" spans="1:19" x14ac:dyDescent="0.2">
      <c r="A6763" t="s">
        <v>7374</v>
      </c>
      <c r="B6763" t="s">
        <v>75</v>
      </c>
      <c r="C6763" t="s">
        <v>617</v>
      </c>
      <c r="D6763">
        <v>1651.25</v>
      </c>
      <c r="E6763" s="37" t="str">
        <f t="shared" si="525"/>
        <v xml:space="preserve"> </v>
      </c>
      <c r="F6763">
        <v>0.32</v>
      </c>
      <c r="G6763" s="37" t="str">
        <f t="shared" si="526"/>
        <v>Heavy Discount</v>
      </c>
      <c r="H6763" s="37" t="str">
        <f t="shared" si="527"/>
        <v>Medium</v>
      </c>
      <c r="I6763">
        <v>7</v>
      </c>
      <c r="J6763" t="str" cm="1">
        <f t="array" ref="J6763">_xlfn.IFS(I6763&lt;=3,"small",I6763&lt;=6,"Medium",I6763&lt;=9,"Large")</f>
        <v>Large</v>
      </c>
      <c r="K6763" s="36">
        <v>45019</v>
      </c>
      <c r="L6763" s="36">
        <v>45026</v>
      </c>
      <c r="M6763" t="s">
        <v>612</v>
      </c>
      <c r="N6763" t="s">
        <v>604</v>
      </c>
      <c r="O6763" s="37" t="str">
        <f t="shared" si="528"/>
        <v>Digital Payment</v>
      </c>
      <c r="P6763">
        <v>320.27999999999997</v>
      </c>
      <c r="Q6763" s="37" t="str">
        <f>IF(P6763&gt;500,"High","low")</f>
        <v>low</v>
      </c>
      <c r="R6763" s="37" t="str">
        <f t="shared" si="529"/>
        <v>AVERAGE</v>
      </c>
      <c r="S6763" t="s">
        <v>628</v>
      </c>
    </row>
    <row r="6764" spans="1:19" x14ac:dyDescent="0.2">
      <c r="A6764" t="s">
        <v>7375</v>
      </c>
      <c r="B6764" t="s">
        <v>67</v>
      </c>
      <c r="C6764" t="s">
        <v>614</v>
      </c>
      <c r="D6764">
        <v>1523.39</v>
      </c>
      <c r="E6764" s="37" t="str">
        <f t="shared" si="525"/>
        <v xml:space="preserve"> </v>
      </c>
      <c r="F6764">
        <v>0.36</v>
      </c>
      <c r="G6764" s="37" t="str">
        <f t="shared" si="526"/>
        <v>Heavy Discount</v>
      </c>
      <c r="H6764" s="37" t="str">
        <f t="shared" si="527"/>
        <v>Medium</v>
      </c>
      <c r="I6764">
        <v>3</v>
      </c>
      <c r="J6764" t="str" cm="1">
        <f t="array" ref="J6764">_xlfn.IFS(I6764&lt;=3,"small",I6764&lt;=6,"Medium",I6764&lt;=9,"Large")</f>
        <v>small</v>
      </c>
      <c r="K6764" s="36">
        <v>45632</v>
      </c>
      <c r="L6764" s="36">
        <v>45638</v>
      </c>
      <c r="M6764" t="s">
        <v>612</v>
      </c>
      <c r="N6764" t="s">
        <v>599</v>
      </c>
      <c r="O6764" s="37" t="str">
        <f t="shared" si="528"/>
        <v>Digital Payment</v>
      </c>
      <c r="P6764">
        <v>302.45</v>
      </c>
      <c r="Q6764" s="37" t="str">
        <f>IF(P6764&gt;500,"High","low")</f>
        <v>low</v>
      </c>
      <c r="R6764" s="37" t="str">
        <f t="shared" si="529"/>
        <v>AVERAGE</v>
      </c>
      <c r="S6764" t="s">
        <v>628</v>
      </c>
    </row>
    <row r="6765" spans="1:19" x14ac:dyDescent="0.2">
      <c r="A6765" t="s">
        <v>7376</v>
      </c>
      <c r="B6765" t="s">
        <v>67</v>
      </c>
      <c r="C6765" t="s">
        <v>607</v>
      </c>
      <c r="D6765">
        <v>2503.3000000000002</v>
      </c>
      <c r="E6765" s="37" t="str">
        <f t="shared" si="525"/>
        <v xml:space="preserve"> </v>
      </c>
      <c r="F6765">
        <v>0.36</v>
      </c>
      <c r="G6765" s="37" t="str">
        <f t="shared" si="526"/>
        <v>Heavy Discount</v>
      </c>
      <c r="H6765" s="37" t="str">
        <f t="shared" si="527"/>
        <v>Medium</v>
      </c>
      <c r="I6765">
        <v>3</v>
      </c>
      <c r="J6765" t="str" cm="1">
        <f t="array" ref="J6765">_xlfn.IFS(I6765&lt;=3,"small",I6765&lt;=6,"Medium",I6765&lt;=9,"Large")</f>
        <v>small</v>
      </c>
      <c r="K6765" s="36">
        <v>45392</v>
      </c>
      <c r="L6765" s="36">
        <v>45395</v>
      </c>
      <c r="M6765" t="s">
        <v>612</v>
      </c>
      <c r="N6765" t="s">
        <v>599</v>
      </c>
      <c r="O6765" s="37" t="str">
        <f t="shared" si="528"/>
        <v>Digital Payment</v>
      </c>
      <c r="P6765">
        <v>432.46</v>
      </c>
      <c r="Q6765" s="37" t="str">
        <f>IF(P6765&gt;500,"High","low")</f>
        <v>low</v>
      </c>
      <c r="R6765" s="37" t="str">
        <f t="shared" si="529"/>
        <v>AVERAGE</v>
      </c>
      <c r="S6765" t="s">
        <v>605</v>
      </c>
    </row>
    <row r="6766" spans="1:19" x14ac:dyDescent="0.2">
      <c r="A6766" t="s">
        <v>7377</v>
      </c>
      <c r="B6766" t="s">
        <v>75</v>
      </c>
      <c r="C6766" t="s">
        <v>617</v>
      </c>
      <c r="D6766">
        <v>1016.79</v>
      </c>
      <c r="E6766" s="37" t="str">
        <f t="shared" si="525"/>
        <v xml:space="preserve"> </v>
      </c>
      <c r="F6766">
        <v>0.37</v>
      </c>
      <c r="G6766" s="37" t="str">
        <f t="shared" si="526"/>
        <v>Heavy Discount</v>
      </c>
      <c r="H6766" s="37" t="str">
        <f t="shared" si="527"/>
        <v>Medium</v>
      </c>
      <c r="I6766">
        <v>3</v>
      </c>
      <c r="J6766" t="str" cm="1">
        <f t="array" ref="J6766">_xlfn.IFS(I6766&lt;=3,"small",I6766&lt;=6,"Medium",I6766&lt;=9,"Large")</f>
        <v>small</v>
      </c>
      <c r="K6766" s="36">
        <v>45413</v>
      </c>
      <c r="L6766" s="36">
        <v>45415</v>
      </c>
      <c r="M6766" t="s">
        <v>603</v>
      </c>
      <c r="N6766" t="s">
        <v>608</v>
      </c>
      <c r="O6766" s="37" t="str">
        <f t="shared" si="528"/>
        <v>Cash Payment</v>
      </c>
      <c r="P6766">
        <v>237.56</v>
      </c>
      <c r="Q6766" s="37" t="str">
        <f>IF(P6766&gt;500,"High","low")</f>
        <v>low</v>
      </c>
      <c r="R6766" s="37" t="str">
        <f t="shared" si="529"/>
        <v>AVERAGE</v>
      </c>
      <c r="S6766" t="s">
        <v>605</v>
      </c>
    </row>
    <row r="6767" spans="1:19" x14ac:dyDescent="0.2">
      <c r="A6767" t="s">
        <v>7378</v>
      </c>
      <c r="B6767" t="s">
        <v>75</v>
      </c>
      <c r="C6767" t="s">
        <v>597</v>
      </c>
      <c r="D6767">
        <v>2393.7800000000002</v>
      </c>
      <c r="E6767" s="37" t="str">
        <f t="shared" si="525"/>
        <v xml:space="preserve"> </v>
      </c>
      <c r="F6767">
        <v>0.5</v>
      </c>
      <c r="G6767" s="37" t="str">
        <f t="shared" si="526"/>
        <v>Heavy Discount</v>
      </c>
      <c r="H6767" s="37" t="str">
        <f t="shared" si="527"/>
        <v>High</v>
      </c>
      <c r="I6767">
        <v>6</v>
      </c>
      <c r="J6767" t="str" cm="1">
        <f t="array" ref="J6767">_xlfn.IFS(I6767&lt;=3,"small",I6767&lt;=6,"Medium",I6767&lt;=9,"Large")</f>
        <v>Medium</v>
      </c>
      <c r="K6767" s="36">
        <v>45032</v>
      </c>
      <c r="L6767" s="36">
        <v>45033</v>
      </c>
      <c r="M6767" t="s">
        <v>612</v>
      </c>
      <c r="N6767" t="s">
        <v>608</v>
      </c>
      <c r="O6767" s="37" t="str">
        <f t="shared" si="528"/>
        <v>Cash Payment</v>
      </c>
      <c r="P6767">
        <v>671.82</v>
      </c>
      <c r="Q6767" s="37" t="str">
        <f>IF(P6767&gt;500,"High","low")</f>
        <v>High</v>
      </c>
      <c r="R6767" s="37" t="str">
        <f t="shared" si="529"/>
        <v>Good</v>
      </c>
      <c r="S6767" t="s">
        <v>600</v>
      </c>
    </row>
    <row r="6768" spans="1:19" x14ac:dyDescent="0.2">
      <c r="A6768" t="s">
        <v>7379</v>
      </c>
      <c r="B6768" t="s">
        <v>90</v>
      </c>
      <c r="C6768" t="s">
        <v>597</v>
      </c>
      <c r="D6768">
        <v>3848.62</v>
      </c>
      <c r="E6768" s="37" t="str">
        <f t="shared" si="525"/>
        <v xml:space="preserve"> </v>
      </c>
      <c r="F6768">
        <v>0.18</v>
      </c>
      <c r="G6768" s="37" t="str">
        <f t="shared" si="526"/>
        <v>Normal Discount</v>
      </c>
      <c r="H6768" s="37" t="str">
        <f t="shared" si="527"/>
        <v>Low</v>
      </c>
      <c r="I6768">
        <v>1</v>
      </c>
      <c r="J6768" t="str" cm="1">
        <f t="array" ref="J6768">_xlfn.IFS(I6768&lt;=3,"small",I6768&lt;=6,"Medium",I6768&lt;=9,"Large")</f>
        <v>small</v>
      </c>
      <c r="K6768" s="36">
        <v>45538</v>
      </c>
      <c r="L6768" s="36">
        <v>45540</v>
      </c>
      <c r="M6768" t="s">
        <v>612</v>
      </c>
      <c r="N6768" t="s">
        <v>599</v>
      </c>
      <c r="O6768" s="37" t="str">
        <f t="shared" si="528"/>
        <v>Digital Payment</v>
      </c>
      <c r="P6768">
        <v>216.92</v>
      </c>
      <c r="Q6768" s="37" t="str">
        <f>IF(P6768&gt;500,"High","low")</f>
        <v>low</v>
      </c>
      <c r="R6768" s="37" t="str">
        <f t="shared" si="529"/>
        <v>AVERAGE</v>
      </c>
      <c r="S6768" t="s">
        <v>609</v>
      </c>
    </row>
    <row r="6769" spans="1:19" x14ac:dyDescent="0.2">
      <c r="A6769" t="s">
        <v>7380</v>
      </c>
      <c r="B6769" t="s">
        <v>83</v>
      </c>
      <c r="C6769" t="s">
        <v>617</v>
      </c>
      <c r="D6769">
        <v>4242.4399999999996</v>
      </c>
      <c r="E6769" s="37" t="str">
        <f t="shared" si="525"/>
        <v xml:space="preserve"> </v>
      </c>
      <c r="F6769">
        <v>0.02</v>
      </c>
      <c r="G6769" s="37" t="str">
        <f t="shared" si="526"/>
        <v>Normal Discount</v>
      </c>
      <c r="H6769" s="37" t="str">
        <f t="shared" si="527"/>
        <v>Low</v>
      </c>
      <c r="I6769">
        <v>9</v>
      </c>
      <c r="J6769" t="str" cm="1">
        <f t="array" ref="J6769">_xlfn.IFS(I6769&lt;=3,"small",I6769&lt;=6,"Medium",I6769&lt;=9,"Large")</f>
        <v>Large</v>
      </c>
      <c r="K6769" s="36">
        <v>44962</v>
      </c>
      <c r="L6769" s="36">
        <v>44964</v>
      </c>
      <c r="M6769" t="s">
        <v>603</v>
      </c>
      <c r="N6769" t="s">
        <v>608</v>
      </c>
      <c r="O6769" s="37" t="str">
        <f t="shared" si="528"/>
        <v>Cash Payment</v>
      </c>
      <c r="P6769">
        <v>501.77</v>
      </c>
      <c r="Q6769" s="37" t="str">
        <f>IF(P6769&gt;500,"High","low")</f>
        <v>High</v>
      </c>
      <c r="R6769" s="37" t="str">
        <f t="shared" si="529"/>
        <v>Good</v>
      </c>
      <c r="S6769" t="s">
        <v>600</v>
      </c>
    </row>
    <row r="6770" spans="1:19" x14ac:dyDescent="0.2">
      <c r="A6770" t="s">
        <v>7381</v>
      </c>
      <c r="B6770" t="s">
        <v>83</v>
      </c>
      <c r="C6770" t="s">
        <v>617</v>
      </c>
      <c r="D6770">
        <v>1987.29</v>
      </c>
      <c r="E6770" s="37" t="str">
        <f t="shared" si="525"/>
        <v xml:space="preserve"> </v>
      </c>
      <c r="F6770">
        <v>0.17</v>
      </c>
      <c r="G6770" s="37" t="str">
        <f t="shared" si="526"/>
        <v>Normal Discount</v>
      </c>
      <c r="H6770" s="37" t="str">
        <f t="shared" si="527"/>
        <v>Low</v>
      </c>
      <c r="I6770">
        <v>9</v>
      </c>
      <c r="J6770" t="str" cm="1">
        <f t="array" ref="J6770">_xlfn.IFS(I6770&lt;=3,"small",I6770&lt;=6,"Medium",I6770&lt;=9,"Large")</f>
        <v>Large</v>
      </c>
      <c r="K6770" s="36">
        <v>45622</v>
      </c>
      <c r="L6770" s="36">
        <v>45626</v>
      </c>
      <c r="M6770" t="s">
        <v>603</v>
      </c>
      <c r="N6770" t="s">
        <v>604</v>
      </c>
      <c r="O6770" s="37" t="str">
        <f t="shared" si="528"/>
        <v>Digital Payment</v>
      </c>
      <c r="P6770">
        <v>124.97</v>
      </c>
      <c r="Q6770" s="37" t="str">
        <f>IF(P6770&gt;500,"High","low")</f>
        <v>low</v>
      </c>
      <c r="R6770" s="37" t="str">
        <f t="shared" si="529"/>
        <v>AVERAGE</v>
      </c>
      <c r="S6770" t="s">
        <v>605</v>
      </c>
    </row>
    <row r="6771" spans="1:19" x14ac:dyDescent="0.2">
      <c r="A6771" t="s">
        <v>7382</v>
      </c>
      <c r="B6771" t="s">
        <v>75</v>
      </c>
      <c r="C6771" t="s">
        <v>614</v>
      </c>
      <c r="D6771">
        <v>3124.78</v>
      </c>
      <c r="E6771" s="37" t="str">
        <f t="shared" si="525"/>
        <v xml:space="preserve"> </v>
      </c>
      <c r="F6771">
        <v>0.46</v>
      </c>
      <c r="G6771" s="37" t="str">
        <f t="shared" si="526"/>
        <v>Heavy Discount</v>
      </c>
      <c r="H6771" s="37" t="str">
        <f t="shared" si="527"/>
        <v>High</v>
      </c>
      <c r="I6771">
        <v>4</v>
      </c>
      <c r="J6771" t="str" cm="1">
        <f t="array" ref="J6771">_xlfn.IFS(I6771&lt;=3,"small",I6771&lt;=6,"Medium",I6771&lt;=9,"Large")</f>
        <v>Medium</v>
      </c>
      <c r="K6771" s="36">
        <v>45075</v>
      </c>
      <c r="L6771" s="36">
        <v>45078</v>
      </c>
      <c r="M6771" t="s">
        <v>612</v>
      </c>
      <c r="N6771" t="s">
        <v>608</v>
      </c>
      <c r="O6771" s="37" t="str">
        <f t="shared" si="528"/>
        <v>Cash Payment</v>
      </c>
      <c r="P6771">
        <v>422.17</v>
      </c>
      <c r="Q6771" s="37" t="str">
        <f>IF(P6771&gt;500,"High","low")</f>
        <v>low</v>
      </c>
      <c r="R6771" s="37" t="str">
        <f t="shared" si="529"/>
        <v>AVERAGE</v>
      </c>
      <c r="S6771" t="s">
        <v>615</v>
      </c>
    </row>
    <row r="6772" spans="1:19" x14ac:dyDescent="0.2">
      <c r="A6772" t="s">
        <v>7383</v>
      </c>
      <c r="B6772" t="s">
        <v>75</v>
      </c>
      <c r="C6772" t="s">
        <v>597</v>
      </c>
      <c r="D6772">
        <v>100.1</v>
      </c>
      <c r="E6772" s="37" t="str">
        <f t="shared" si="525"/>
        <v xml:space="preserve"> </v>
      </c>
      <c r="F6772">
        <v>0.04</v>
      </c>
      <c r="G6772" s="37" t="str">
        <f t="shared" si="526"/>
        <v>Normal Discount</v>
      </c>
      <c r="H6772" s="37" t="str">
        <f t="shared" si="527"/>
        <v>Low</v>
      </c>
      <c r="I6772">
        <v>2</v>
      </c>
      <c r="J6772" t="str" cm="1">
        <f t="array" ref="J6772">_xlfn.IFS(I6772&lt;=3,"small",I6772&lt;=6,"Medium",I6772&lt;=9,"Large")</f>
        <v>small</v>
      </c>
      <c r="K6772" s="36">
        <v>45501</v>
      </c>
      <c r="L6772" s="36">
        <v>45504</v>
      </c>
      <c r="M6772" t="s">
        <v>612</v>
      </c>
      <c r="N6772" t="s">
        <v>608</v>
      </c>
      <c r="O6772" s="37" t="str">
        <f t="shared" si="528"/>
        <v>Cash Payment</v>
      </c>
      <c r="P6772">
        <v>26.23</v>
      </c>
      <c r="Q6772" s="37" t="str">
        <f>IF(P6772&gt;500,"High","low")</f>
        <v>low</v>
      </c>
      <c r="R6772" s="37" t="str">
        <f t="shared" si="529"/>
        <v>AVERAGE</v>
      </c>
      <c r="S6772" t="s">
        <v>600</v>
      </c>
    </row>
    <row r="6773" spans="1:19" x14ac:dyDescent="0.2">
      <c r="A6773" t="s">
        <v>7384</v>
      </c>
      <c r="B6773" t="s">
        <v>67</v>
      </c>
      <c r="C6773" t="s">
        <v>607</v>
      </c>
      <c r="D6773">
        <v>2796.73</v>
      </c>
      <c r="E6773" s="37" t="str">
        <f t="shared" si="525"/>
        <v xml:space="preserve"> </v>
      </c>
      <c r="F6773">
        <v>0.32</v>
      </c>
      <c r="G6773" s="37" t="str">
        <f t="shared" si="526"/>
        <v>Heavy Discount</v>
      </c>
      <c r="H6773" s="37" t="str">
        <f t="shared" si="527"/>
        <v>Medium</v>
      </c>
      <c r="I6773">
        <v>7</v>
      </c>
      <c r="J6773" t="str" cm="1">
        <f t="array" ref="J6773">_xlfn.IFS(I6773&lt;=3,"small",I6773&lt;=6,"Medium",I6773&lt;=9,"Large")</f>
        <v>Large</v>
      </c>
      <c r="K6773" s="36">
        <v>45312</v>
      </c>
      <c r="L6773" s="36">
        <v>45314</v>
      </c>
      <c r="M6773" t="s">
        <v>598</v>
      </c>
      <c r="N6773" t="s">
        <v>608</v>
      </c>
      <c r="O6773" s="37" t="str">
        <f t="shared" si="528"/>
        <v>Cash Payment</v>
      </c>
      <c r="P6773">
        <v>477.38</v>
      </c>
      <c r="Q6773" s="37" t="str">
        <f>IF(P6773&gt;500,"High","low")</f>
        <v>low</v>
      </c>
      <c r="R6773" s="37" t="str">
        <f t="shared" si="529"/>
        <v>AVERAGE</v>
      </c>
      <c r="S6773" t="s">
        <v>615</v>
      </c>
    </row>
    <row r="6774" spans="1:19" x14ac:dyDescent="0.2">
      <c r="A6774" t="s">
        <v>7385</v>
      </c>
      <c r="B6774" t="s">
        <v>90</v>
      </c>
      <c r="C6774" t="s">
        <v>602</v>
      </c>
      <c r="D6774">
        <v>4878.66</v>
      </c>
      <c r="E6774" s="37" t="str">
        <f t="shared" si="525"/>
        <v>Excellent Order</v>
      </c>
      <c r="F6774">
        <v>0.21</v>
      </c>
      <c r="G6774" s="37" t="str">
        <f t="shared" si="526"/>
        <v>Normal Discount</v>
      </c>
      <c r="H6774" s="37" t="str">
        <f t="shared" si="527"/>
        <v>Medium</v>
      </c>
      <c r="I6774">
        <v>7</v>
      </c>
      <c r="J6774" t="str" cm="1">
        <f t="array" ref="J6774">_xlfn.IFS(I6774&lt;=3,"small",I6774&lt;=6,"Medium",I6774&lt;=9,"Large")</f>
        <v>Large</v>
      </c>
      <c r="K6774" s="36">
        <v>45309</v>
      </c>
      <c r="L6774" s="36">
        <v>45316</v>
      </c>
      <c r="M6774" t="s">
        <v>603</v>
      </c>
      <c r="N6774" t="s">
        <v>599</v>
      </c>
      <c r="O6774" s="37" t="str">
        <f t="shared" si="528"/>
        <v>Digital Payment</v>
      </c>
      <c r="P6774">
        <v>1330.12</v>
      </c>
      <c r="Q6774" s="37" t="str">
        <f>IF(P6774&gt;500,"High","low")</f>
        <v>High</v>
      </c>
      <c r="R6774" s="37" t="str">
        <f t="shared" si="529"/>
        <v>Excellent</v>
      </c>
      <c r="S6774" t="s">
        <v>600</v>
      </c>
    </row>
    <row r="6775" spans="1:19" x14ac:dyDescent="0.2">
      <c r="A6775" t="s">
        <v>7386</v>
      </c>
      <c r="B6775" t="s">
        <v>90</v>
      </c>
      <c r="C6775" t="s">
        <v>602</v>
      </c>
      <c r="D6775">
        <v>1630.1</v>
      </c>
      <c r="E6775" s="37" t="str">
        <f t="shared" si="525"/>
        <v xml:space="preserve"> </v>
      </c>
      <c r="F6775">
        <v>0.46</v>
      </c>
      <c r="G6775" s="37" t="str">
        <f t="shared" si="526"/>
        <v>Heavy Discount</v>
      </c>
      <c r="H6775" s="37" t="str">
        <f t="shared" si="527"/>
        <v>High</v>
      </c>
      <c r="I6775">
        <v>6</v>
      </c>
      <c r="J6775" t="str" cm="1">
        <f t="array" ref="J6775">_xlfn.IFS(I6775&lt;=3,"small",I6775&lt;=6,"Medium",I6775&lt;=9,"Large")</f>
        <v>Medium</v>
      </c>
      <c r="K6775" s="36">
        <v>45128</v>
      </c>
      <c r="L6775" s="36">
        <v>45129</v>
      </c>
      <c r="M6775" t="s">
        <v>598</v>
      </c>
      <c r="N6775" t="s">
        <v>608</v>
      </c>
      <c r="O6775" s="37" t="str">
        <f t="shared" si="528"/>
        <v>Cash Payment</v>
      </c>
      <c r="P6775">
        <v>432.01</v>
      </c>
      <c r="Q6775" s="37" t="str">
        <f>IF(P6775&gt;500,"High","low")</f>
        <v>low</v>
      </c>
      <c r="R6775" s="37" t="str">
        <f t="shared" si="529"/>
        <v>AVERAGE</v>
      </c>
      <c r="S6775" t="s">
        <v>615</v>
      </c>
    </row>
    <row r="6776" spans="1:19" x14ac:dyDescent="0.2">
      <c r="A6776" t="s">
        <v>7387</v>
      </c>
      <c r="B6776" t="s">
        <v>75</v>
      </c>
      <c r="C6776" t="s">
        <v>614</v>
      </c>
      <c r="D6776">
        <v>3014.4</v>
      </c>
      <c r="E6776" s="37" t="str">
        <f t="shared" si="525"/>
        <v xml:space="preserve"> </v>
      </c>
      <c r="F6776">
        <v>0.46</v>
      </c>
      <c r="G6776" s="37" t="str">
        <f t="shared" si="526"/>
        <v>Heavy Discount</v>
      </c>
      <c r="H6776" s="37" t="str">
        <f t="shared" si="527"/>
        <v>High</v>
      </c>
      <c r="I6776">
        <v>8</v>
      </c>
      <c r="J6776" t="str" cm="1">
        <f t="array" ref="J6776">_xlfn.IFS(I6776&lt;=3,"small",I6776&lt;=6,"Medium",I6776&lt;=9,"Large")</f>
        <v>Large</v>
      </c>
      <c r="K6776" s="36">
        <v>45581</v>
      </c>
      <c r="L6776" s="36">
        <v>45583</v>
      </c>
      <c r="M6776" t="s">
        <v>603</v>
      </c>
      <c r="N6776" t="s">
        <v>604</v>
      </c>
      <c r="O6776" s="37" t="str">
        <f t="shared" si="528"/>
        <v>Digital Payment</v>
      </c>
      <c r="P6776">
        <v>257.45</v>
      </c>
      <c r="Q6776" s="37" t="str">
        <f>IF(P6776&gt;500,"High","low")</f>
        <v>low</v>
      </c>
      <c r="R6776" s="37" t="str">
        <f t="shared" si="529"/>
        <v>AVERAGE</v>
      </c>
      <c r="S6776" t="s">
        <v>605</v>
      </c>
    </row>
    <row r="6777" spans="1:19" x14ac:dyDescent="0.2">
      <c r="A6777" t="s">
        <v>7388</v>
      </c>
      <c r="B6777" t="s">
        <v>67</v>
      </c>
      <c r="C6777" t="s">
        <v>614</v>
      </c>
      <c r="D6777">
        <v>3835.19</v>
      </c>
      <c r="E6777" s="37" t="str">
        <f t="shared" si="525"/>
        <v xml:space="preserve"> </v>
      </c>
      <c r="F6777">
        <v>0.39</v>
      </c>
      <c r="G6777" s="37" t="str">
        <f t="shared" si="526"/>
        <v>Heavy Discount</v>
      </c>
      <c r="H6777" s="37" t="str">
        <f t="shared" si="527"/>
        <v>Medium</v>
      </c>
      <c r="I6777">
        <v>3</v>
      </c>
      <c r="J6777" t="str" cm="1">
        <f t="array" ref="J6777">_xlfn.IFS(I6777&lt;=3,"small",I6777&lt;=6,"Medium",I6777&lt;=9,"Large")</f>
        <v>small</v>
      </c>
      <c r="K6777" s="36">
        <v>45372</v>
      </c>
      <c r="L6777" s="36">
        <v>45378</v>
      </c>
      <c r="M6777" t="s">
        <v>612</v>
      </c>
      <c r="N6777" t="s">
        <v>604</v>
      </c>
      <c r="O6777" s="37" t="str">
        <f t="shared" si="528"/>
        <v>Digital Payment</v>
      </c>
      <c r="P6777">
        <v>463.7</v>
      </c>
      <c r="Q6777" s="37" t="str">
        <f>IF(P6777&gt;500,"High","low")</f>
        <v>low</v>
      </c>
      <c r="R6777" s="37" t="str">
        <f t="shared" si="529"/>
        <v>AVERAGE</v>
      </c>
      <c r="S6777" t="s">
        <v>609</v>
      </c>
    </row>
    <row r="6778" spans="1:19" x14ac:dyDescent="0.2">
      <c r="A6778" t="s">
        <v>7389</v>
      </c>
      <c r="B6778" t="s">
        <v>67</v>
      </c>
      <c r="C6778" t="s">
        <v>597</v>
      </c>
      <c r="D6778">
        <v>3083.77</v>
      </c>
      <c r="E6778" s="37" t="str">
        <f t="shared" si="525"/>
        <v xml:space="preserve"> </v>
      </c>
      <c r="F6778">
        <v>0.05</v>
      </c>
      <c r="G6778" s="37" t="str">
        <f t="shared" si="526"/>
        <v>Normal Discount</v>
      </c>
      <c r="H6778" s="37" t="str">
        <f t="shared" si="527"/>
        <v>Low</v>
      </c>
      <c r="I6778">
        <v>2</v>
      </c>
      <c r="J6778" t="str" cm="1">
        <f t="array" ref="J6778">_xlfn.IFS(I6778&lt;=3,"small",I6778&lt;=6,"Medium",I6778&lt;=9,"Large")</f>
        <v>small</v>
      </c>
      <c r="K6778" s="36">
        <v>45194</v>
      </c>
      <c r="L6778" s="36">
        <v>45200</v>
      </c>
      <c r="M6778" t="s">
        <v>603</v>
      </c>
      <c r="N6778" t="s">
        <v>608</v>
      </c>
      <c r="O6778" s="37" t="str">
        <f t="shared" si="528"/>
        <v>Cash Payment</v>
      </c>
      <c r="P6778">
        <v>582.34</v>
      </c>
      <c r="Q6778" s="37" t="str">
        <f>IF(P6778&gt;500,"High","low")</f>
        <v>High</v>
      </c>
      <c r="R6778" s="37" t="str">
        <f t="shared" si="529"/>
        <v>Good</v>
      </c>
      <c r="S6778" t="s">
        <v>609</v>
      </c>
    </row>
    <row r="6779" spans="1:19" x14ac:dyDescent="0.2">
      <c r="A6779" t="s">
        <v>7390</v>
      </c>
      <c r="B6779" t="s">
        <v>83</v>
      </c>
      <c r="C6779" t="s">
        <v>607</v>
      </c>
      <c r="D6779">
        <v>2150.65</v>
      </c>
      <c r="E6779" s="37" t="str">
        <f t="shared" si="525"/>
        <v xml:space="preserve"> </v>
      </c>
      <c r="F6779">
        <v>0.01</v>
      </c>
      <c r="G6779" s="37" t="str">
        <f t="shared" si="526"/>
        <v>Normal Discount</v>
      </c>
      <c r="H6779" s="37" t="str">
        <f t="shared" si="527"/>
        <v>Low</v>
      </c>
      <c r="I6779">
        <v>1</v>
      </c>
      <c r="J6779" t="str" cm="1">
        <f t="array" ref="J6779">_xlfn.IFS(I6779&lt;=3,"small",I6779&lt;=6,"Medium",I6779&lt;=9,"Large")</f>
        <v>small</v>
      </c>
      <c r="K6779" s="36">
        <v>45185</v>
      </c>
      <c r="L6779" s="36">
        <v>45191</v>
      </c>
      <c r="M6779" t="s">
        <v>612</v>
      </c>
      <c r="N6779" t="s">
        <v>604</v>
      </c>
      <c r="O6779" s="37" t="str">
        <f t="shared" si="528"/>
        <v>Digital Payment</v>
      </c>
      <c r="P6779">
        <v>304.36</v>
      </c>
      <c r="Q6779" s="37" t="str">
        <f>IF(P6779&gt;500,"High","low")</f>
        <v>low</v>
      </c>
      <c r="R6779" s="37" t="str">
        <f t="shared" si="529"/>
        <v>AVERAGE</v>
      </c>
      <c r="S6779" t="s">
        <v>609</v>
      </c>
    </row>
    <row r="6780" spans="1:19" x14ac:dyDescent="0.2">
      <c r="A6780" t="s">
        <v>7391</v>
      </c>
      <c r="B6780" t="s">
        <v>83</v>
      </c>
      <c r="C6780" t="s">
        <v>607</v>
      </c>
      <c r="D6780">
        <v>847.62</v>
      </c>
      <c r="E6780" s="37" t="str">
        <f t="shared" si="525"/>
        <v xml:space="preserve"> </v>
      </c>
      <c r="F6780">
        <v>7.0000000000000007E-2</v>
      </c>
      <c r="G6780" s="37" t="str">
        <f t="shared" si="526"/>
        <v>Normal Discount</v>
      </c>
      <c r="H6780" s="37" t="str">
        <f t="shared" si="527"/>
        <v>Low</v>
      </c>
      <c r="I6780">
        <v>3</v>
      </c>
      <c r="J6780" t="str" cm="1">
        <f t="array" ref="J6780">_xlfn.IFS(I6780&lt;=3,"small",I6780&lt;=6,"Medium",I6780&lt;=9,"Large")</f>
        <v>small</v>
      </c>
      <c r="K6780" s="36">
        <v>45180</v>
      </c>
      <c r="L6780" s="36">
        <v>45187</v>
      </c>
      <c r="M6780" t="s">
        <v>598</v>
      </c>
      <c r="N6780" t="s">
        <v>608</v>
      </c>
      <c r="O6780" s="37" t="str">
        <f t="shared" si="528"/>
        <v>Cash Payment</v>
      </c>
      <c r="P6780">
        <v>173.6</v>
      </c>
      <c r="Q6780" s="37" t="str">
        <f>IF(P6780&gt;500,"High","low")</f>
        <v>low</v>
      </c>
      <c r="R6780" s="37" t="str">
        <f t="shared" si="529"/>
        <v>AVERAGE</v>
      </c>
      <c r="S6780" t="s">
        <v>628</v>
      </c>
    </row>
    <row r="6781" spans="1:19" x14ac:dyDescent="0.2">
      <c r="A6781" t="s">
        <v>7392</v>
      </c>
      <c r="B6781" t="s">
        <v>67</v>
      </c>
      <c r="C6781" t="s">
        <v>617</v>
      </c>
      <c r="D6781">
        <v>2372.14</v>
      </c>
      <c r="E6781" s="37" t="str">
        <f t="shared" si="525"/>
        <v xml:space="preserve"> </v>
      </c>
      <c r="F6781">
        <v>0.16</v>
      </c>
      <c r="G6781" s="37" t="str">
        <f t="shared" si="526"/>
        <v>Normal Discount</v>
      </c>
      <c r="H6781" s="37" t="str">
        <f t="shared" si="527"/>
        <v>Low</v>
      </c>
      <c r="I6781">
        <v>8</v>
      </c>
      <c r="J6781" t="str" cm="1">
        <f t="array" ref="J6781">_xlfn.IFS(I6781&lt;=3,"small",I6781&lt;=6,"Medium",I6781&lt;=9,"Large")</f>
        <v>Large</v>
      </c>
      <c r="K6781" s="36">
        <v>45191</v>
      </c>
      <c r="L6781" s="36">
        <v>45192</v>
      </c>
      <c r="M6781" t="s">
        <v>598</v>
      </c>
      <c r="N6781" t="s">
        <v>608</v>
      </c>
      <c r="O6781" s="37" t="str">
        <f t="shared" si="528"/>
        <v>Cash Payment</v>
      </c>
      <c r="P6781">
        <v>472.45</v>
      </c>
      <c r="Q6781" s="37" t="str">
        <f>IF(P6781&gt;500,"High","low")</f>
        <v>low</v>
      </c>
      <c r="R6781" s="37" t="str">
        <f t="shared" si="529"/>
        <v>AVERAGE</v>
      </c>
      <c r="S6781" t="s">
        <v>620</v>
      </c>
    </row>
    <row r="6782" spans="1:19" x14ac:dyDescent="0.2">
      <c r="A6782" t="s">
        <v>7393</v>
      </c>
      <c r="B6782" t="s">
        <v>83</v>
      </c>
      <c r="C6782" t="s">
        <v>614</v>
      </c>
      <c r="D6782">
        <v>1544.44</v>
      </c>
      <c r="E6782" s="37" t="str">
        <f t="shared" si="525"/>
        <v xml:space="preserve"> </v>
      </c>
      <c r="F6782">
        <v>0.12</v>
      </c>
      <c r="G6782" s="37" t="str">
        <f t="shared" si="526"/>
        <v>Normal Discount</v>
      </c>
      <c r="H6782" s="37" t="str">
        <f t="shared" si="527"/>
        <v>Low</v>
      </c>
      <c r="I6782">
        <v>8</v>
      </c>
      <c r="J6782" t="str" cm="1">
        <f t="array" ref="J6782">_xlfn.IFS(I6782&lt;=3,"small",I6782&lt;=6,"Medium",I6782&lt;=9,"Large")</f>
        <v>Large</v>
      </c>
      <c r="K6782" s="36">
        <v>45356</v>
      </c>
      <c r="L6782" s="36">
        <v>45362</v>
      </c>
      <c r="M6782" t="s">
        <v>598</v>
      </c>
      <c r="N6782" t="s">
        <v>604</v>
      </c>
      <c r="O6782" s="37" t="str">
        <f t="shared" si="528"/>
        <v>Digital Payment</v>
      </c>
      <c r="P6782">
        <v>89.54</v>
      </c>
      <c r="Q6782" s="37" t="str">
        <f>IF(P6782&gt;500,"High","low")</f>
        <v>low</v>
      </c>
      <c r="R6782" s="37" t="str">
        <f t="shared" si="529"/>
        <v>AVERAGE</v>
      </c>
      <c r="S6782" t="s">
        <v>615</v>
      </c>
    </row>
    <row r="6783" spans="1:19" x14ac:dyDescent="0.2">
      <c r="A6783" t="s">
        <v>7394</v>
      </c>
      <c r="B6783" t="s">
        <v>75</v>
      </c>
      <c r="C6783" t="s">
        <v>602</v>
      </c>
      <c r="D6783">
        <v>3510.01</v>
      </c>
      <c r="E6783" s="37" t="str">
        <f t="shared" si="525"/>
        <v xml:space="preserve"> </v>
      </c>
      <c r="F6783">
        <v>0.18</v>
      </c>
      <c r="G6783" s="37" t="str">
        <f t="shared" si="526"/>
        <v>Normal Discount</v>
      </c>
      <c r="H6783" s="37" t="str">
        <f t="shared" si="527"/>
        <v>Low</v>
      </c>
      <c r="I6783">
        <v>7</v>
      </c>
      <c r="J6783" t="str" cm="1">
        <f t="array" ref="J6783">_xlfn.IFS(I6783&lt;=3,"small",I6783&lt;=6,"Medium",I6783&lt;=9,"Large")</f>
        <v>Large</v>
      </c>
      <c r="K6783" s="36">
        <v>45480</v>
      </c>
      <c r="L6783" s="36">
        <v>45486</v>
      </c>
      <c r="M6783" t="s">
        <v>603</v>
      </c>
      <c r="N6783" t="s">
        <v>599</v>
      </c>
      <c r="O6783" s="37" t="str">
        <f t="shared" si="528"/>
        <v>Digital Payment</v>
      </c>
      <c r="P6783">
        <v>524.78</v>
      </c>
      <c r="Q6783" s="37" t="str">
        <f>IF(P6783&gt;500,"High","low")</f>
        <v>High</v>
      </c>
      <c r="R6783" s="37" t="str">
        <f t="shared" si="529"/>
        <v>Good</v>
      </c>
      <c r="S6783" t="s">
        <v>615</v>
      </c>
    </row>
    <row r="6784" spans="1:19" x14ac:dyDescent="0.2">
      <c r="A6784" t="s">
        <v>7395</v>
      </c>
      <c r="B6784" t="s">
        <v>67</v>
      </c>
      <c r="C6784" t="s">
        <v>602</v>
      </c>
      <c r="D6784">
        <v>2265.37</v>
      </c>
      <c r="E6784" s="37" t="str">
        <f t="shared" si="525"/>
        <v xml:space="preserve"> </v>
      </c>
      <c r="F6784">
        <v>7.0000000000000007E-2</v>
      </c>
      <c r="G6784" s="37" t="str">
        <f t="shared" si="526"/>
        <v>Normal Discount</v>
      </c>
      <c r="H6784" s="37" t="str">
        <f t="shared" si="527"/>
        <v>Low</v>
      </c>
      <c r="I6784">
        <v>2</v>
      </c>
      <c r="J6784" t="str" cm="1">
        <f t="array" ref="J6784">_xlfn.IFS(I6784&lt;=3,"small",I6784&lt;=6,"Medium",I6784&lt;=9,"Large")</f>
        <v>small</v>
      </c>
      <c r="K6784" s="36">
        <v>45640</v>
      </c>
      <c r="L6784" s="36">
        <v>45644</v>
      </c>
      <c r="M6784" t="s">
        <v>603</v>
      </c>
      <c r="N6784" t="s">
        <v>604</v>
      </c>
      <c r="O6784" s="37" t="str">
        <f t="shared" si="528"/>
        <v>Digital Payment</v>
      </c>
      <c r="P6784">
        <v>367.58</v>
      </c>
      <c r="Q6784" s="37" t="str">
        <f>IF(P6784&gt;500,"High","low")</f>
        <v>low</v>
      </c>
      <c r="R6784" s="37" t="str">
        <f t="shared" si="529"/>
        <v>AVERAGE</v>
      </c>
      <c r="S6784" t="s">
        <v>605</v>
      </c>
    </row>
    <row r="6785" spans="1:19" x14ac:dyDescent="0.2">
      <c r="A6785" t="s">
        <v>7396</v>
      </c>
      <c r="B6785" t="s">
        <v>83</v>
      </c>
      <c r="C6785" t="s">
        <v>597</v>
      </c>
      <c r="D6785">
        <v>4264.41</v>
      </c>
      <c r="E6785" s="37" t="str">
        <f t="shared" si="525"/>
        <v>Excellent Order</v>
      </c>
      <c r="F6785">
        <v>0.38</v>
      </c>
      <c r="G6785" s="37" t="str">
        <f t="shared" si="526"/>
        <v>Heavy Discount</v>
      </c>
      <c r="H6785" s="37" t="str">
        <f t="shared" si="527"/>
        <v>Medium</v>
      </c>
      <c r="I6785">
        <v>3</v>
      </c>
      <c r="J6785" t="str" cm="1">
        <f t="array" ref="J6785">_xlfn.IFS(I6785&lt;=3,"small",I6785&lt;=6,"Medium",I6785&lt;=9,"Large")</f>
        <v>small</v>
      </c>
      <c r="K6785" s="36">
        <v>44957</v>
      </c>
      <c r="L6785" s="36">
        <v>44960</v>
      </c>
      <c r="M6785" t="s">
        <v>612</v>
      </c>
      <c r="N6785" t="s">
        <v>608</v>
      </c>
      <c r="O6785" s="37" t="str">
        <f t="shared" si="528"/>
        <v>Cash Payment</v>
      </c>
      <c r="P6785">
        <v>1161.8800000000001</v>
      </c>
      <c r="Q6785" s="37" t="str">
        <f>IF(P6785&gt;500,"High","low")</f>
        <v>High</v>
      </c>
      <c r="R6785" s="37" t="str">
        <f t="shared" si="529"/>
        <v>Excellent</v>
      </c>
      <c r="S6785" t="s">
        <v>628</v>
      </c>
    </row>
    <row r="6786" spans="1:19" x14ac:dyDescent="0.2">
      <c r="A6786" t="s">
        <v>7397</v>
      </c>
      <c r="B6786" t="s">
        <v>90</v>
      </c>
      <c r="C6786" t="s">
        <v>602</v>
      </c>
      <c r="D6786">
        <v>1047.28</v>
      </c>
      <c r="E6786" s="37" t="str">
        <f t="shared" si="525"/>
        <v xml:space="preserve"> </v>
      </c>
      <c r="F6786">
        <v>0.42</v>
      </c>
      <c r="G6786" s="37" t="str">
        <f t="shared" si="526"/>
        <v>Heavy Discount</v>
      </c>
      <c r="H6786" s="37" t="str">
        <f t="shared" si="527"/>
        <v>High</v>
      </c>
      <c r="I6786">
        <v>7</v>
      </c>
      <c r="J6786" t="str" cm="1">
        <f t="array" ref="J6786">_xlfn.IFS(I6786&lt;=3,"small",I6786&lt;=6,"Medium",I6786&lt;=9,"Large")</f>
        <v>Large</v>
      </c>
      <c r="K6786" s="36">
        <v>45091</v>
      </c>
      <c r="L6786" s="36">
        <v>45094</v>
      </c>
      <c r="M6786" t="s">
        <v>612</v>
      </c>
      <c r="N6786" t="s">
        <v>608</v>
      </c>
      <c r="O6786" s="37" t="str">
        <f t="shared" si="528"/>
        <v>Cash Payment</v>
      </c>
      <c r="P6786">
        <v>238.63</v>
      </c>
      <c r="Q6786" s="37" t="str">
        <f>IF(P6786&gt;500,"High","low")</f>
        <v>low</v>
      </c>
      <c r="R6786" s="37" t="str">
        <f t="shared" si="529"/>
        <v>AVERAGE</v>
      </c>
      <c r="S6786" t="s">
        <v>609</v>
      </c>
    </row>
    <row r="6787" spans="1:19" x14ac:dyDescent="0.2">
      <c r="A6787" t="s">
        <v>7398</v>
      </c>
      <c r="B6787" t="s">
        <v>67</v>
      </c>
      <c r="C6787" t="s">
        <v>607</v>
      </c>
      <c r="D6787">
        <v>2146.83</v>
      </c>
      <c r="E6787" s="37" t="str">
        <f t="shared" ref="E6787:E6850" si="530">IF(AND(D6787&gt;4000,P6787&gt;800),"Excellent Order"," ")</f>
        <v xml:space="preserve"> </v>
      </c>
      <c r="F6787">
        <v>0.24</v>
      </c>
      <c r="G6787" s="37" t="str">
        <f t="shared" ref="G6787:G6850" si="531">IF(F6787&gt;30%,"Heavy Discount","Normal Discount")</f>
        <v>Normal Discount</v>
      </c>
      <c r="H6787" s="37" t="str">
        <f t="shared" ref="H6787:H6850" si="532">IF(F6787&gt;0.4,"High",IF(F6787&gt;=0.2,"Medium","Low"))</f>
        <v>Medium</v>
      </c>
      <c r="I6787">
        <v>8</v>
      </c>
      <c r="J6787" t="str" cm="1">
        <f t="array" ref="J6787">_xlfn.IFS(I6787&lt;=3,"small",I6787&lt;=6,"Medium",I6787&lt;=9,"Large")</f>
        <v>Large</v>
      </c>
      <c r="K6787" s="36">
        <v>45627</v>
      </c>
      <c r="L6787" s="36">
        <v>45630</v>
      </c>
      <c r="M6787" t="s">
        <v>612</v>
      </c>
      <c r="N6787" t="s">
        <v>604</v>
      </c>
      <c r="O6787" s="37" t="str">
        <f t="shared" ref="O6787:O6850" si="533">IF(OR(N6787="Card",N6787="UPI"),"Digital Payment","Cash Payment")</f>
        <v>Digital Payment</v>
      </c>
      <c r="P6787">
        <v>232.18</v>
      </c>
      <c r="Q6787" s="37" t="str">
        <f>IF(P6787&gt;500,"High","low")</f>
        <v>low</v>
      </c>
      <c r="R6787" s="37" t="str">
        <f t="shared" ref="R6787:R6850" si="534">IF(P6787&gt;1000,"Excellent",IF(P6787&gt;=500,"Good","AVERAGE"))</f>
        <v>AVERAGE</v>
      </c>
      <c r="S6787" t="s">
        <v>605</v>
      </c>
    </row>
    <row r="6788" spans="1:19" x14ac:dyDescent="0.2">
      <c r="A6788" t="s">
        <v>7399</v>
      </c>
      <c r="B6788" t="s">
        <v>67</v>
      </c>
      <c r="C6788" t="s">
        <v>607</v>
      </c>
      <c r="D6788">
        <v>2831.77</v>
      </c>
      <c r="E6788" s="37" t="str">
        <f t="shared" si="530"/>
        <v xml:space="preserve"> </v>
      </c>
      <c r="F6788">
        <v>0.48</v>
      </c>
      <c r="G6788" s="37" t="str">
        <f t="shared" si="531"/>
        <v>Heavy Discount</v>
      </c>
      <c r="H6788" s="37" t="str">
        <f t="shared" si="532"/>
        <v>High</v>
      </c>
      <c r="I6788">
        <v>9</v>
      </c>
      <c r="J6788" t="str" cm="1">
        <f t="array" ref="J6788">_xlfn.IFS(I6788&lt;=3,"small",I6788&lt;=6,"Medium",I6788&lt;=9,"Large")</f>
        <v>Large</v>
      </c>
      <c r="K6788" s="36">
        <v>45209</v>
      </c>
      <c r="L6788" s="36">
        <v>45215</v>
      </c>
      <c r="M6788" t="s">
        <v>612</v>
      </c>
      <c r="N6788" t="s">
        <v>604</v>
      </c>
      <c r="O6788" s="37" t="str">
        <f t="shared" si="533"/>
        <v>Digital Payment</v>
      </c>
      <c r="P6788">
        <v>555.85</v>
      </c>
      <c r="Q6788" s="37" t="str">
        <f>IF(P6788&gt;500,"High","low")</f>
        <v>High</v>
      </c>
      <c r="R6788" s="37" t="str">
        <f t="shared" si="534"/>
        <v>Good</v>
      </c>
      <c r="S6788" t="s">
        <v>605</v>
      </c>
    </row>
    <row r="6789" spans="1:19" x14ac:dyDescent="0.2">
      <c r="A6789" t="s">
        <v>7400</v>
      </c>
      <c r="B6789" t="s">
        <v>90</v>
      </c>
      <c r="C6789" t="s">
        <v>614</v>
      </c>
      <c r="D6789">
        <v>717.47</v>
      </c>
      <c r="E6789" s="37" t="str">
        <f t="shared" si="530"/>
        <v xml:space="preserve"> </v>
      </c>
      <c r="F6789">
        <v>0.06</v>
      </c>
      <c r="G6789" s="37" t="str">
        <f t="shared" si="531"/>
        <v>Normal Discount</v>
      </c>
      <c r="H6789" s="37" t="str">
        <f t="shared" si="532"/>
        <v>Low</v>
      </c>
      <c r="I6789">
        <v>6</v>
      </c>
      <c r="J6789" t="str" cm="1">
        <f t="array" ref="J6789">_xlfn.IFS(I6789&lt;=3,"small",I6789&lt;=6,"Medium",I6789&lt;=9,"Large")</f>
        <v>Medium</v>
      </c>
      <c r="K6789" s="36">
        <v>44996</v>
      </c>
      <c r="L6789" s="36">
        <v>44999</v>
      </c>
      <c r="M6789" t="s">
        <v>603</v>
      </c>
      <c r="N6789" t="s">
        <v>599</v>
      </c>
      <c r="O6789" s="37" t="str">
        <f t="shared" si="533"/>
        <v>Digital Payment</v>
      </c>
      <c r="P6789">
        <v>110.49</v>
      </c>
      <c r="Q6789" s="37" t="str">
        <f>IF(P6789&gt;500,"High","low")</f>
        <v>low</v>
      </c>
      <c r="R6789" s="37" t="str">
        <f t="shared" si="534"/>
        <v>AVERAGE</v>
      </c>
      <c r="S6789" t="s">
        <v>615</v>
      </c>
    </row>
    <row r="6790" spans="1:19" x14ac:dyDescent="0.2">
      <c r="A6790" t="s">
        <v>7401</v>
      </c>
      <c r="B6790" t="s">
        <v>75</v>
      </c>
      <c r="C6790" t="s">
        <v>597</v>
      </c>
      <c r="D6790">
        <v>2980.76</v>
      </c>
      <c r="E6790" s="37" t="str">
        <f t="shared" si="530"/>
        <v xml:space="preserve"> </v>
      </c>
      <c r="F6790">
        <v>0.05</v>
      </c>
      <c r="G6790" s="37" t="str">
        <f t="shared" si="531"/>
        <v>Normal Discount</v>
      </c>
      <c r="H6790" s="37" t="str">
        <f t="shared" si="532"/>
        <v>Low</v>
      </c>
      <c r="I6790">
        <v>3</v>
      </c>
      <c r="J6790" t="str" cm="1">
        <f t="array" ref="J6790">_xlfn.IFS(I6790&lt;=3,"small",I6790&lt;=6,"Medium",I6790&lt;=9,"Large")</f>
        <v>small</v>
      </c>
      <c r="K6790" s="36">
        <v>45161</v>
      </c>
      <c r="L6790" s="36">
        <v>45165</v>
      </c>
      <c r="M6790" t="s">
        <v>612</v>
      </c>
      <c r="N6790" t="s">
        <v>608</v>
      </c>
      <c r="O6790" s="37" t="str">
        <f t="shared" si="533"/>
        <v>Cash Payment</v>
      </c>
      <c r="P6790">
        <v>819.66</v>
      </c>
      <c r="Q6790" s="37" t="str">
        <f>IF(P6790&gt;500,"High","low")</f>
        <v>High</v>
      </c>
      <c r="R6790" s="37" t="str">
        <f t="shared" si="534"/>
        <v>Good</v>
      </c>
      <c r="S6790" t="s">
        <v>609</v>
      </c>
    </row>
    <row r="6791" spans="1:19" x14ac:dyDescent="0.2">
      <c r="A6791" t="s">
        <v>7402</v>
      </c>
      <c r="B6791" t="s">
        <v>90</v>
      </c>
      <c r="C6791" t="s">
        <v>602</v>
      </c>
      <c r="D6791">
        <v>1525.51</v>
      </c>
      <c r="E6791" s="37" t="str">
        <f t="shared" si="530"/>
        <v xml:space="preserve"> </v>
      </c>
      <c r="F6791">
        <v>0.1</v>
      </c>
      <c r="G6791" s="37" t="str">
        <f t="shared" si="531"/>
        <v>Normal Discount</v>
      </c>
      <c r="H6791" s="37" t="str">
        <f t="shared" si="532"/>
        <v>Low</v>
      </c>
      <c r="I6791">
        <v>9</v>
      </c>
      <c r="J6791" t="str" cm="1">
        <f t="array" ref="J6791">_xlfn.IFS(I6791&lt;=3,"small",I6791&lt;=6,"Medium",I6791&lt;=9,"Large")</f>
        <v>Large</v>
      </c>
      <c r="K6791" s="36">
        <v>45020</v>
      </c>
      <c r="L6791" s="36">
        <v>45022</v>
      </c>
      <c r="M6791" t="s">
        <v>598</v>
      </c>
      <c r="N6791" t="s">
        <v>604</v>
      </c>
      <c r="O6791" s="37" t="str">
        <f t="shared" si="533"/>
        <v>Digital Payment</v>
      </c>
      <c r="P6791">
        <v>89.8</v>
      </c>
      <c r="Q6791" s="37" t="str">
        <f>IF(P6791&gt;500,"High","low")</f>
        <v>low</v>
      </c>
      <c r="R6791" s="37" t="str">
        <f t="shared" si="534"/>
        <v>AVERAGE</v>
      </c>
      <c r="S6791" t="s">
        <v>609</v>
      </c>
    </row>
    <row r="6792" spans="1:19" x14ac:dyDescent="0.2">
      <c r="A6792" t="s">
        <v>7403</v>
      </c>
      <c r="B6792" t="s">
        <v>67</v>
      </c>
      <c r="C6792" t="s">
        <v>614</v>
      </c>
      <c r="D6792">
        <v>1224.73</v>
      </c>
      <c r="E6792" s="37" t="str">
        <f t="shared" si="530"/>
        <v xml:space="preserve"> </v>
      </c>
      <c r="F6792">
        <v>0.49</v>
      </c>
      <c r="G6792" s="37" t="str">
        <f t="shared" si="531"/>
        <v>Heavy Discount</v>
      </c>
      <c r="H6792" s="37" t="str">
        <f t="shared" si="532"/>
        <v>High</v>
      </c>
      <c r="I6792">
        <v>5</v>
      </c>
      <c r="J6792" t="str" cm="1">
        <f t="array" ref="J6792">_xlfn.IFS(I6792&lt;=3,"small",I6792&lt;=6,"Medium",I6792&lt;=9,"Large")</f>
        <v>Medium</v>
      </c>
      <c r="K6792" s="36">
        <v>45225</v>
      </c>
      <c r="L6792" s="36">
        <v>45228</v>
      </c>
      <c r="M6792" t="s">
        <v>612</v>
      </c>
      <c r="N6792" t="s">
        <v>604</v>
      </c>
      <c r="O6792" s="37" t="str">
        <f t="shared" si="533"/>
        <v>Digital Payment</v>
      </c>
      <c r="P6792">
        <v>366.37</v>
      </c>
      <c r="Q6792" s="37" t="str">
        <f>IF(P6792&gt;500,"High","low")</f>
        <v>low</v>
      </c>
      <c r="R6792" s="37" t="str">
        <f t="shared" si="534"/>
        <v>AVERAGE</v>
      </c>
      <c r="S6792" t="s">
        <v>600</v>
      </c>
    </row>
    <row r="6793" spans="1:19" x14ac:dyDescent="0.2">
      <c r="A6793" t="s">
        <v>7404</v>
      </c>
      <c r="B6793" t="s">
        <v>75</v>
      </c>
      <c r="C6793" t="s">
        <v>617</v>
      </c>
      <c r="D6793">
        <v>795.36</v>
      </c>
      <c r="E6793" s="37" t="str">
        <f t="shared" si="530"/>
        <v xml:space="preserve"> </v>
      </c>
      <c r="F6793">
        <v>0.21</v>
      </c>
      <c r="G6793" s="37" t="str">
        <f t="shared" si="531"/>
        <v>Normal Discount</v>
      </c>
      <c r="H6793" s="37" t="str">
        <f t="shared" si="532"/>
        <v>Medium</v>
      </c>
      <c r="I6793">
        <v>4</v>
      </c>
      <c r="J6793" t="str" cm="1">
        <f t="array" ref="J6793">_xlfn.IFS(I6793&lt;=3,"small",I6793&lt;=6,"Medium",I6793&lt;=9,"Large")</f>
        <v>Medium</v>
      </c>
      <c r="K6793" s="36">
        <v>45188</v>
      </c>
      <c r="L6793" s="36">
        <v>45195</v>
      </c>
      <c r="M6793" t="s">
        <v>598</v>
      </c>
      <c r="N6793" t="s">
        <v>599</v>
      </c>
      <c r="O6793" s="37" t="str">
        <f t="shared" si="533"/>
        <v>Digital Payment</v>
      </c>
      <c r="P6793">
        <v>66.510000000000005</v>
      </c>
      <c r="Q6793" s="37" t="str">
        <f>IF(P6793&gt;500,"High","low")</f>
        <v>low</v>
      </c>
      <c r="R6793" s="37" t="str">
        <f t="shared" si="534"/>
        <v>AVERAGE</v>
      </c>
      <c r="S6793" t="s">
        <v>609</v>
      </c>
    </row>
    <row r="6794" spans="1:19" x14ac:dyDescent="0.2">
      <c r="A6794" t="s">
        <v>7405</v>
      </c>
      <c r="B6794" t="s">
        <v>83</v>
      </c>
      <c r="C6794" t="s">
        <v>617</v>
      </c>
      <c r="D6794">
        <v>1814.42</v>
      </c>
      <c r="E6794" s="37" t="str">
        <f t="shared" si="530"/>
        <v xml:space="preserve"> </v>
      </c>
      <c r="F6794">
        <v>0.46</v>
      </c>
      <c r="G6794" s="37" t="str">
        <f t="shared" si="531"/>
        <v>Heavy Discount</v>
      </c>
      <c r="H6794" s="37" t="str">
        <f t="shared" si="532"/>
        <v>High</v>
      </c>
      <c r="I6794">
        <v>9</v>
      </c>
      <c r="J6794" t="str" cm="1">
        <f t="array" ref="J6794">_xlfn.IFS(I6794&lt;=3,"small",I6794&lt;=6,"Medium",I6794&lt;=9,"Large")</f>
        <v>Large</v>
      </c>
      <c r="K6794" s="36">
        <v>45067</v>
      </c>
      <c r="L6794" s="36">
        <v>45072</v>
      </c>
      <c r="M6794" t="s">
        <v>598</v>
      </c>
      <c r="N6794" t="s">
        <v>604</v>
      </c>
      <c r="O6794" s="37" t="str">
        <f t="shared" si="533"/>
        <v>Digital Payment</v>
      </c>
      <c r="P6794">
        <v>376.99</v>
      </c>
      <c r="Q6794" s="37" t="str">
        <f>IF(P6794&gt;500,"High","low")</f>
        <v>low</v>
      </c>
      <c r="R6794" s="37" t="str">
        <f t="shared" si="534"/>
        <v>AVERAGE</v>
      </c>
      <c r="S6794" t="s">
        <v>615</v>
      </c>
    </row>
    <row r="6795" spans="1:19" x14ac:dyDescent="0.2">
      <c r="A6795" t="s">
        <v>7406</v>
      </c>
      <c r="B6795" t="s">
        <v>83</v>
      </c>
      <c r="C6795" t="s">
        <v>602</v>
      </c>
      <c r="D6795">
        <v>4652.01</v>
      </c>
      <c r="E6795" s="37" t="str">
        <f t="shared" si="530"/>
        <v xml:space="preserve"> </v>
      </c>
      <c r="F6795">
        <v>0.1</v>
      </c>
      <c r="G6795" s="37" t="str">
        <f t="shared" si="531"/>
        <v>Normal Discount</v>
      </c>
      <c r="H6795" s="37" t="str">
        <f t="shared" si="532"/>
        <v>Low</v>
      </c>
      <c r="I6795">
        <v>2</v>
      </c>
      <c r="J6795" t="str" cm="1">
        <f t="array" ref="J6795">_xlfn.IFS(I6795&lt;=3,"small",I6795&lt;=6,"Medium",I6795&lt;=9,"Large")</f>
        <v>small</v>
      </c>
      <c r="K6795" s="36">
        <v>45156</v>
      </c>
      <c r="L6795" s="36">
        <v>45163</v>
      </c>
      <c r="M6795" t="s">
        <v>603</v>
      </c>
      <c r="N6795" t="s">
        <v>599</v>
      </c>
      <c r="O6795" s="37" t="str">
        <f t="shared" si="533"/>
        <v>Digital Payment</v>
      </c>
      <c r="P6795">
        <v>578.08000000000004</v>
      </c>
      <c r="Q6795" s="37" t="str">
        <f>IF(P6795&gt;500,"High","low")</f>
        <v>High</v>
      </c>
      <c r="R6795" s="37" t="str">
        <f t="shared" si="534"/>
        <v>Good</v>
      </c>
      <c r="S6795" t="s">
        <v>605</v>
      </c>
    </row>
    <row r="6796" spans="1:19" x14ac:dyDescent="0.2">
      <c r="A6796" t="s">
        <v>7407</v>
      </c>
      <c r="B6796" t="s">
        <v>83</v>
      </c>
      <c r="C6796" t="s">
        <v>602</v>
      </c>
      <c r="D6796">
        <v>251.93</v>
      </c>
      <c r="E6796" s="37" t="str">
        <f t="shared" si="530"/>
        <v xml:space="preserve"> </v>
      </c>
      <c r="F6796">
        <v>0.42</v>
      </c>
      <c r="G6796" s="37" t="str">
        <f t="shared" si="531"/>
        <v>Heavy Discount</v>
      </c>
      <c r="H6796" s="37" t="str">
        <f t="shared" si="532"/>
        <v>High</v>
      </c>
      <c r="I6796">
        <v>4</v>
      </c>
      <c r="J6796" t="str" cm="1">
        <f t="array" ref="J6796">_xlfn.IFS(I6796&lt;=3,"small",I6796&lt;=6,"Medium",I6796&lt;=9,"Large")</f>
        <v>Medium</v>
      </c>
      <c r="K6796" s="36">
        <v>45189</v>
      </c>
      <c r="L6796" s="36">
        <v>45195</v>
      </c>
      <c r="M6796" t="s">
        <v>612</v>
      </c>
      <c r="N6796" t="s">
        <v>604</v>
      </c>
      <c r="O6796" s="37" t="str">
        <f t="shared" si="533"/>
        <v>Digital Payment</v>
      </c>
      <c r="P6796">
        <v>44.66</v>
      </c>
      <c r="Q6796" s="37" t="str">
        <f>IF(P6796&gt;500,"High","low")</f>
        <v>low</v>
      </c>
      <c r="R6796" s="37" t="str">
        <f t="shared" si="534"/>
        <v>AVERAGE</v>
      </c>
      <c r="S6796" t="s">
        <v>609</v>
      </c>
    </row>
    <row r="6797" spans="1:19" x14ac:dyDescent="0.2">
      <c r="A6797" t="s">
        <v>7408</v>
      </c>
      <c r="B6797" t="s">
        <v>67</v>
      </c>
      <c r="C6797" t="s">
        <v>602</v>
      </c>
      <c r="D6797">
        <v>4275.57</v>
      </c>
      <c r="E6797" s="37" t="str">
        <f t="shared" si="530"/>
        <v xml:space="preserve"> </v>
      </c>
      <c r="F6797">
        <v>0.16</v>
      </c>
      <c r="G6797" s="37" t="str">
        <f t="shared" si="531"/>
        <v>Normal Discount</v>
      </c>
      <c r="H6797" s="37" t="str">
        <f t="shared" si="532"/>
        <v>Low</v>
      </c>
      <c r="I6797">
        <v>6</v>
      </c>
      <c r="J6797" t="str" cm="1">
        <f t="array" ref="J6797">_xlfn.IFS(I6797&lt;=3,"small",I6797&lt;=6,"Medium",I6797&lt;=9,"Large")</f>
        <v>Medium</v>
      </c>
      <c r="K6797" s="36">
        <v>45580</v>
      </c>
      <c r="L6797" s="36">
        <v>45581</v>
      </c>
      <c r="M6797" t="s">
        <v>612</v>
      </c>
      <c r="N6797" t="s">
        <v>599</v>
      </c>
      <c r="O6797" s="37" t="str">
        <f t="shared" si="533"/>
        <v>Digital Payment</v>
      </c>
      <c r="P6797">
        <v>538.44000000000005</v>
      </c>
      <c r="Q6797" s="37" t="str">
        <f>IF(P6797&gt;500,"High","low")</f>
        <v>High</v>
      </c>
      <c r="R6797" s="37" t="str">
        <f t="shared" si="534"/>
        <v>Good</v>
      </c>
      <c r="S6797" t="s">
        <v>609</v>
      </c>
    </row>
    <row r="6798" spans="1:19" x14ac:dyDescent="0.2">
      <c r="A6798" t="s">
        <v>7409</v>
      </c>
      <c r="B6798" t="s">
        <v>90</v>
      </c>
      <c r="C6798" t="s">
        <v>607</v>
      </c>
      <c r="D6798">
        <v>2047.07</v>
      </c>
      <c r="E6798" s="37" t="str">
        <f t="shared" si="530"/>
        <v xml:space="preserve"> </v>
      </c>
      <c r="F6798">
        <v>0.37</v>
      </c>
      <c r="G6798" s="37" t="str">
        <f t="shared" si="531"/>
        <v>Heavy Discount</v>
      </c>
      <c r="H6798" s="37" t="str">
        <f t="shared" si="532"/>
        <v>Medium</v>
      </c>
      <c r="I6798">
        <v>6</v>
      </c>
      <c r="J6798" t="str" cm="1">
        <f t="array" ref="J6798">_xlfn.IFS(I6798&lt;=3,"small",I6798&lt;=6,"Medium",I6798&lt;=9,"Large")</f>
        <v>Medium</v>
      </c>
      <c r="K6798" s="36">
        <v>45639</v>
      </c>
      <c r="L6798" s="36">
        <v>45640</v>
      </c>
      <c r="M6798" t="s">
        <v>603</v>
      </c>
      <c r="N6798" t="s">
        <v>608</v>
      </c>
      <c r="O6798" s="37" t="str">
        <f t="shared" si="533"/>
        <v>Cash Payment</v>
      </c>
      <c r="P6798">
        <v>325.31</v>
      </c>
      <c r="Q6798" s="37" t="str">
        <f>IF(P6798&gt;500,"High","low")</f>
        <v>low</v>
      </c>
      <c r="R6798" s="37" t="str">
        <f t="shared" si="534"/>
        <v>AVERAGE</v>
      </c>
      <c r="S6798" t="s">
        <v>620</v>
      </c>
    </row>
    <row r="6799" spans="1:19" x14ac:dyDescent="0.2">
      <c r="A6799" t="s">
        <v>7410</v>
      </c>
      <c r="B6799" t="s">
        <v>75</v>
      </c>
      <c r="C6799" t="s">
        <v>602</v>
      </c>
      <c r="D6799">
        <v>2851.85</v>
      </c>
      <c r="E6799" s="37" t="str">
        <f t="shared" si="530"/>
        <v xml:space="preserve"> </v>
      </c>
      <c r="F6799">
        <v>0.49</v>
      </c>
      <c r="G6799" s="37" t="str">
        <f t="shared" si="531"/>
        <v>Heavy Discount</v>
      </c>
      <c r="H6799" s="37" t="str">
        <f t="shared" si="532"/>
        <v>High</v>
      </c>
      <c r="I6799">
        <v>5</v>
      </c>
      <c r="J6799" t="str" cm="1">
        <f t="array" ref="J6799">_xlfn.IFS(I6799&lt;=3,"small",I6799&lt;=6,"Medium",I6799&lt;=9,"Large")</f>
        <v>Medium</v>
      </c>
      <c r="K6799" s="36">
        <v>45025</v>
      </c>
      <c r="L6799" s="36">
        <v>45028</v>
      </c>
      <c r="M6799" t="s">
        <v>612</v>
      </c>
      <c r="N6799" t="s">
        <v>608</v>
      </c>
      <c r="O6799" s="37" t="str">
        <f t="shared" si="533"/>
        <v>Cash Payment</v>
      </c>
      <c r="P6799">
        <v>307.60000000000002</v>
      </c>
      <c r="Q6799" s="37" t="str">
        <f>IF(P6799&gt;500,"High","low")</f>
        <v>low</v>
      </c>
      <c r="R6799" s="37" t="str">
        <f t="shared" si="534"/>
        <v>AVERAGE</v>
      </c>
      <c r="S6799" t="s">
        <v>609</v>
      </c>
    </row>
    <row r="6800" spans="1:19" x14ac:dyDescent="0.2">
      <c r="A6800" t="s">
        <v>7411</v>
      </c>
      <c r="B6800" t="s">
        <v>83</v>
      </c>
      <c r="C6800" t="s">
        <v>617</v>
      </c>
      <c r="D6800">
        <v>2612.7800000000002</v>
      </c>
      <c r="E6800" s="37" t="str">
        <f t="shared" si="530"/>
        <v xml:space="preserve"> </v>
      </c>
      <c r="F6800">
        <v>0.47</v>
      </c>
      <c r="G6800" s="37" t="str">
        <f t="shared" si="531"/>
        <v>Heavy Discount</v>
      </c>
      <c r="H6800" s="37" t="str">
        <f t="shared" si="532"/>
        <v>High</v>
      </c>
      <c r="I6800">
        <v>7</v>
      </c>
      <c r="J6800" t="str" cm="1">
        <f t="array" ref="J6800">_xlfn.IFS(I6800&lt;=3,"small",I6800&lt;=6,"Medium",I6800&lt;=9,"Large")</f>
        <v>Large</v>
      </c>
      <c r="K6800" s="36">
        <v>45229</v>
      </c>
      <c r="L6800" s="36">
        <v>45236</v>
      </c>
      <c r="M6800" t="s">
        <v>603</v>
      </c>
      <c r="N6800" t="s">
        <v>599</v>
      </c>
      <c r="O6800" s="37" t="str">
        <f t="shared" si="533"/>
        <v>Digital Payment</v>
      </c>
      <c r="P6800">
        <v>184.62</v>
      </c>
      <c r="Q6800" s="37" t="str">
        <f>IF(P6800&gt;500,"High","low")</f>
        <v>low</v>
      </c>
      <c r="R6800" s="37" t="str">
        <f t="shared" si="534"/>
        <v>AVERAGE</v>
      </c>
      <c r="S6800" t="s">
        <v>605</v>
      </c>
    </row>
    <row r="6801" spans="1:19" x14ac:dyDescent="0.2">
      <c r="A6801" t="s">
        <v>7412</v>
      </c>
      <c r="B6801" t="s">
        <v>75</v>
      </c>
      <c r="C6801" t="s">
        <v>602</v>
      </c>
      <c r="D6801">
        <v>4636.13</v>
      </c>
      <c r="E6801" s="37" t="str">
        <f t="shared" si="530"/>
        <v>Excellent Order</v>
      </c>
      <c r="F6801">
        <v>0.42</v>
      </c>
      <c r="G6801" s="37" t="str">
        <f t="shared" si="531"/>
        <v>Heavy Discount</v>
      </c>
      <c r="H6801" s="37" t="str">
        <f t="shared" si="532"/>
        <v>High</v>
      </c>
      <c r="I6801">
        <v>5</v>
      </c>
      <c r="J6801" t="str" cm="1">
        <f t="array" ref="J6801">_xlfn.IFS(I6801&lt;=3,"small",I6801&lt;=6,"Medium",I6801&lt;=9,"Large")</f>
        <v>Medium</v>
      </c>
      <c r="K6801" s="36">
        <v>45189</v>
      </c>
      <c r="L6801" s="36">
        <v>45190</v>
      </c>
      <c r="M6801" t="s">
        <v>598</v>
      </c>
      <c r="N6801" t="s">
        <v>608</v>
      </c>
      <c r="O6801" s="37" t="str">
        <f t="shared" si="533"/>
        <v>Cash Payment</v>
      </c>
      <c r="P6801">
        <v>953.81</v>
      </c>
      <c r="Q6801" s="37" t="str">
        <f>IF(P6801&gt;500,"High","low")</f>
        <v>High</v>
      </c>
      <c r="R6801" s="37" t="str">
        <f t="shared" si="534"/>
        <v>Good</v>
      </c>
      <c r="S6801" t="s">
        <v>628</v>
      </c>
    </row>
    <row r="6802" spans="1:19" x14ac:dyDescent="0.2">
      <c r="A6802" t="s">
        <v>7413</v>
      </c>
      <c r="B6802" t="s">
        <v>67</v>
      </c>
      <c r="C6802" t="s">
        <v>597</v>
      </c>
      <c r="D6802">
        <v>3873.63</v>
      </c>
      <c r="E6802" s="37" t="str">
        <f t="shared" si="530"/>
        <v xml:space="preserve"> </v>
      </c>
      <c r="F6802">
        <v>0.03</v>
      </c>
      <c r="G6802" s="37" t="str">
        <f t="shared" si="531"/>
        <v>Normal Discount</v>
      </c>
      <c r="H6802" s="37" t="str">
        <f t="shared" si="532"/>
        <v>Low</v>
      </c>
      <c r="I6802">
        <v>6</v>
      </c>
      <c r="J6802" t="str" cm="1">
        <f t="array" ref="J6802">_xlfn.IFS(I6802&lt;=3,"small",I6802&lt;=6,"Medium",I6802&lt;=9,"Large")</f>
        <v>Medium</v>
      </c>
      <c r="K6802" s="36">
        <v>45477</v>
      </c>
      <c r="L6802" s="36">
        <v>45478</v>
      </c>
      <c r="M6802" t="s">
        <v>603</v>
      </c>
      <c r="N6802" t="s">
        <v>608</v>
      </c>
      <c r="O6802" s="37" t="str">
        <f t="shared" si="533"/>
        <v>Cash Payment</v>
      </c>
      <c r="P6802">
        <v>1041.77</v>
      </c>
      <c r="Q6802" s="37" t="str">
        <f>IF(P6802&gt;500,"High","low")</f>
        <v>High</v>
      </c>
      <c r="R6802" s="37" t="str">
        <f t="shared" si="534"/>
        <v>Excellent</v>
      </c>
      <c r="S6802" t="s">
        <v>609</v>
      </c>
    </row>
    <row r="6803" spans="1:19" x14ac:dyDescent="0.2">
      <c r="A6803" t="s">
        <v>7414</v>
      </c>
      <c r="B6803" t="s">
        <v>83</v>
      </c>
      <c r="C6803" t="s">
        <v>617</v>
      </c>
      <c r="D6803">
        <v>4925.6400000000003</v>
      </c>
      <c r="E6803" s="37" t="str">
        <f t="shared" si="530"/>
        <v>Excellent Order</v>
      </c>
      <c r="F6803">
        <v>0.3</v>
      </c>
      <c r="G6803" s="37" t="str">
        <f t="shared" si="531"/>
        <v>Normal Discount</v>
      </c>
      <c r="H6803" s="37" t="str">
        <f t="shared" si="532"/>
        <v>Medium</v>
      </c>
      <c r="I6803">
        <v>1</v>
      </c>
      <c r="J6803" t="str" cm="1">
        <f t="array" ref="J6803">_xlfn.IFS(I6803&lt;=3,"small",I6803&lt;=6,"Medium",I6803&lt;=9,"Large")</f>
        <v>small</v>
      </c>
      <c r="K6803" s="36">
        <v>45622</v>
      </c>
      <c r="L6803" s="36">
        <v>45626</v>
      </c>
      <c r="M6803" t="s">
        <v>612</v>
      </c>
      <c r="N6803" t="s">
        <v>604</v>
      </c>
      <c r="O6803" s="37" t="str">
        <f t="shared" si="533"/>
        <v>Digital Payment</v>
      </c>
      <c r="P6803">
        <v>937.32</v>
      </c>
      <c r="Q6803" s="37" t="str">
        <f>IF(P6803&gt;500,"High","low")</f>
        <v>High</v>
      </c>
      <c r="R6803" s="37" t="str">
        <f t="shared" si="534"/>
        <v>Good</v>
      </c>
      <c r="S6803" t="s">
        <v>609</v>
      </c>
    </row>
    <row r="6804" spans="1:19" x14ac:dyDescent="0.2">
      <c r="A6804" t="s">
        <v>7415</v>
      </c>
      <c r="B6804" t="s">
        <v>67</v>
      </c>
      <c r="C6804" t="s">
        <v>597</v>
      </c>
      <c r="D6804">
        <v>3992.71</v>
      </c>
      <c r="E6804" s="37" t="str">
        <f t="shared" si="530"/>
        <v xml:space="preserve"> </v>
      </c>
      <c r="F6804">
        <v>0.42</v>
      </c>
      <c r="G6804" s="37" t="str">
        <f t="shared" si="531"/>
        <v>Heavy Discount</v>
      </c>
      <c r="H6804" s="37" t="str">
        <f t="shared" si="532"/>
        <v>High</v>
      </c>
      <c r="I6804">
        <v>8</v>
      </c>
      <c r="J6804" t="str" cm="1">
        <f t="array" ref="J6804">_xlfn.IFS(I6804&lt;=3,"small",I6804&lt;=6,"Medium",I6804&lt;=9,"Large")</f>
        <v>Large</v>
      </c>
      <c r="K6804" s="36">
        <v>45139</v>
      </c>
      <c r="L6804" s="36">
        <v>45146</v>
      </c>
      <c r="M6804" t="s">
        <v>603</v>
      </c>
      <c r="N6804" t="s">
        <v>608</v>
      </c>
      <c r="O6804" s="37" t="str">
        <f t="shared" si="533"/>
        <v>Cash Payment</v>
      </c>
      <c r="P6804">
        <v>663.48</v>
      </c>
      <c r="Q6804" s="37" t="str">
        <f>IF(P6804&gt;500,"High","low")</f>
        <v>High</v>
      </c>
      <c r="R6804" s="37" t="str">
        <f t="shared" si="534"/>
        <v>Good</v>
      </c>
      <c r="S6804" t="s">
        <v>605</v>
      </c>
    </row>
    <row r="6805" spans="1:19" x14ac:dyDescent="0.2">
      <c r="A6805" t="s">
        <v>7416</v>
      </c>
      <c r="B6805" t="s">
        <v>90</v>
      </c>
      <c r="C6805" t="s">
        <v>617</v>
      </c>
      <c r="D6805">
        <v>1549.85</v>
      </c>
      <c r="E6805" s="37" t="str">
        <f t="shared" si="530"/>
        <v xml:space="preserve"> </v>
      </c>
      <c r="F6805">
        <v>0.2</v>
      </c>
      <c r="G6805" s="37" t="str">
        <f t="shared" si="531"/>
        <v>Normal Discount</v>
      </c>
      <c r="H6805" s="37" t="str">
        <f t="shared" si="532"/>
        <v>Medium</v>
      </c>
      <c r="I6805">
        <v>5</v>
      </c>
      <c r="J6805" t="str" cm="1">
        <f t="array" ref="J6805">_xlfn.IFS(I6805&lt;=3,"small",I6805&lt;=6,"Medium",I6805&lt;=9,"Large")</f>
        <v>Medium</v>
      </c>
      <c r="K6805" s="36">
        <v>45329</v>
      </c>
      <c r="L6805" s="36">
        <v>45330</v>
      </c>
      <c r="M6805" t="s">
        <v>603</v>
      </c>
      <c r="N6805" t="s">
        <v>599</v>
      </c>
      <c r="O6805" s="37" t="str">
        <f t="shared" si="533"/>
        <v>Digital Payment</v>
      </c>
      <c r="P6805">
        <v>88.07</v>
      </c>
      <c r="Q6805" s="37" t="str">
        <f>IF(P6805&gt;500,"High","low")</f>
        <v>low</v>
      </c>
      <c r="R6805" s="37" t="str">
        <f t="shared" si="534"/>
        <v>AVERAGE</v>
      </c>
      <c r="S6805" t="s">
        <v>620</v>
      </c>
    </row>
    <row r="6806" spans="1:19" x14ac:dyDescent="0.2">
      <c r="A6806" t="s">
        <v>7417</v>
      </c>
      <c r="B6806" t="s">
        <v>67</v>
      </c>
      <c r="C6806" t="s">
        <v>614</v>
      </c>
      <c r="D6806">
        <v>4818.13</v>
      </c>
      <c r="E6806" s="37" t="str">
        <f t="shared" si="530"/>
        <v>Excellent Order</v>
      </c>
      <c r="F6806">
        <v>0.37</v>
      </c>
      <c r="G6806" s="37" t="str">
        <f t="shared" si="531"/>
        <v>Heavy Discount</v>
      </c>
      <c r="H6806" s="37" t="str">
        <f t="shared" si="532"/>
        <v>Medium</v>
      </c>
      <c r="I6806">
        <v>5</v>
      </c>
      <c r="J6806" t="str" cm="1">
        <f t="array" ref="J6806">_xlfn.IFS(I6806&lt;=3,"small",I6806&lt;=6,"Medium",I6806&lt;=9,"Large")</f>
        <v>Medium</v>
      </c>
      <c r="K6806" s="36">
        <v>45561</v>
      </c>
      <c r="L6806" s="36">
        <v>45565</v>
      </c>
      <c r="M6806" t="s">
        <v>598</v>
      </c>
      <c r="N6806" t="s">
        <v>599</v>
      </c>
      <c r="O6806" s="37" t="str">
        <f t="shared" si="533"/>
        <v>Digital Payment</v>
      </c>
      <c r="P6806">
        <v>832.86</v>
      </c>
      <c r="Q6806" s="37" t="str">
        <f>IF(P6806&gt;500,"High","low")</f>
        <v>High</v>
      </c>
      <c r="R6806" s="37" t="str">
        <f t="shared" si="534"/>
        <v>Good</v>
      </c>
      <c r="S6806" t="s">
        <v>628</v>
      </c>
    </row>
    <row r="6807" spans="1:19" x14ac:dyDescent="0.2">
      <c r="A6807" t="s">
        <v>7418</v>
      </c>
      <c r="B6807" t="s">
        <v>67</v>
      </c>
      <c r="C6807" t="s">
        <v>617</v>
      </c>
      <c r="D6807">
        <v>4919.47</v>
      </c>
      <c r="E6807" s="37" t="str">
        <f t="shared" si="530"/>
        <v>Excellent Order</v>
      </c>
      <c r="F6807">
        <v>7.0000000000000007E-2</v>
      </c>
      <c r="G6807" s="37" t="str">
        <f t="shared" si="531"/>
        <v>Normal Discount</v>
      </c>
      <c r="H6807" s="37" t="str">
        <f t="shared" si="532"/>
        <v>Low</v>
      </c>
      <c r="I6807">
        <v>6</v>
      </c>
      <c r="J6807" t="str" cm="1">
        <f t="array" ref="J6807">_xlfn.IFS(I6807&lt;=3,"small",I6807&lt;=6,"Medium",I6807&lt;=9,"Large")</f>
        <v>Medium</v>
      </c>
      <c r="K6807" s="36">
        <v>45209</v>
      </c>
      <c r="L6807" s="36">
        <v>45215</v>
      </c>
      <c r="M6807" t="s">
        <v>603</v>
      </c>
      <c r="N6807" t="s">
        <v>608</v>
      </c>
      <c r="O6807" s="37" t="str">
        <f t="shared" si="533"/>
        <v>Cash Payment</v>
      </c>
      <c r="P6807">
        <v>1151.48</v>
      </c>
      <c r="Q6807" s="37" t="str">
        <f>IF(P6807&gt;500,"High","low")</f>
        <v>High</v>
      </c>
      <c r="R6807" s="37" t="str">
        <f t="shared" si="534"/>
        <v>Excellent</v>
      </c>
      <c r="S6807" t="s">
        <v>628</v>
      </c>
    </row>
    <row r="6808" spans="1:19" x14ac:dyDescent="0.2">
      <c r="A6808" t="s">
        <v>7419</v>
      </c>
      <c r="B6808" t="s">
        <v>90</v>
      </c>
      <c r="C6808" t="s">
        <v>617</v>
      </c>
      <c r="D6808">
        <v>703.16</v>
      </c>
      <c r="E6808" s="37" t="str">
        <f t="shared" si="530"/>
        <v xml:space="preserve"> </v>
      </c>
      <c r="F6808">
        <v>0.09</v>
      </c>
      <c r="G6808" s="37" t="str">
        <f t="shared" si="531"/>
        <v>Normal Discount</v>
      </c>
      <c r="H6808" s="37" t="str">
        <f t="shared" si="532"/>
        <v>Low</v>
      </c>
      <c r="I6808">
        <v>6</v>
      </c>
      <c r="J6808" t="str" cm="1">
        <f t="array" ref="J6808">_xlfn.IFS(I6808&lt;=3,"small",I6808&lt;=6,"Medium",I6808&lt;=9,"Large")</f>
        <v>Medium</v>
      </c>
      <c r="K6808" s="36">
        <v>44987</v>
      </c>
      <c r="L6808" s="36">
        <v>44988</v>
      </c>
      <c r="M6808" t="s">
        <v>612</v>
      </c>
      <c r="N6808" t="s">
        <v>599</v>
      </c>
      <c r="O6808" s="37" t="str">
        <f t="shared" si="533"/>
        <v>Digital Payment</v>
      </c>
      <c r="P6808">
        <v>62.95</v>
      </c>
      <c r="Q6808" s="37" t="str">
        <f>IF(P6808&gt;500,"High","low")</f>
        <v>low</v>
      </c>
      <c r="R6808" s="37" t="str">
        <f t="shared" si="534"/>
        <v>AVERAGE</v>
      </c>
      <c r="S6808" t="s">
        <v>600</v>
      </c>
    </row>
    <row r="6809" spans="1:19" x14ac:dyDescent="0.2">
      <c r="A6809" t="s">
        <v>7420</v>
      </c>
      <c r="B6809" t="s">
        <v>75</v>
      </c>
      <c r="C6809" t="s">
        <v>597</v>
      </c>
      <c r="D6809">
        <v>4515.12</v>
      </c>
      <c r="E6809" s="37" t="str">
        <f t="shared" si="530"/>
        <v>Excellent Order</v>
      </c>
      <c r="F6809">
        <v>0.32</v>
      </c>
      <c r="G6809" s="37" t="str">
        <f t="shared" si="531"/>
        <v>Heavy Discount</v>
      </c>
      <c r="H6809" s="37" t="str">
        <f t="shared" si="532"/>
        <v>Medium</v>
      </c>
      <c r="I6809">
        <v>8</v>
      </c>
      <c r="J6809" t="str" cm="1">
        <f t="array" ref="J6809">_xlfn.IFS(I6809&lt;=3,"small",I6809&lt;=6,"Medium",I6809&lt;=9,"Large")</f>
        <v>Large</v>
      </c>
      <c r="K6809" s="36">
        <v>45504</v>
      </c>
      <c r="L6809" s="36">
        <v>45511</v>
      </c>
      <c r="M6809" t="s">
        <v>598</v>
      </c>
      <c r="N6809" t="s">
        <v>604</v>
      </c>
      <c r="O6809" s="37" t="str">
        <f t="shared" si="533"/>
        <v>Digital Payment</v>
      </c>
      <c r="P6809">
        <v>1088.6400000000001</v>
      </c>
      <c r="Q6809" s="37" t="str">
        <f>IF(P6809&gt;500,"High","low")</f>
        <v>High</v>
      </c>
      <c r="R6809" s="37" t="str">
        <f t="shared" si="534"/>
        <v>Excellent</v>
      </c>
      <c r="S6809" t="s">
        <v>605</v>
      </c>
    </row>
    <row r="6810" spans="1:19" x14ac:dyDescent="0.2">
      <c r="A6810" t="s">
        <v>7421</v>
      </c>
      <c r="B6810" t="s">
        <v>90</v>
      </c>
      <c r="C6810" t="s">
        <v>597</v>
      </c>
      <c r="D6810">
        <v>3354.59</v>
      </c>
      <c r="E6810" s="37" t="str">
        <f t="shared" si="530"/>
        <v xml:space="preserve"> </v>
      </c>
      <c r="F6810">
        <v>0.22</v>
      </c>
      <c r="G6810" s="37" t="str">
        <f t="shared" si="531"/>
        <v>Normal Discount</v>
      </c>
      <c r="H6810" s="37" t="str">
        <f t="shared" si="532"/>
        <v>Medium</v>
      </c>
      <c r="I6810">
        <v>4</v>
      </c>
      <c r="J6810" t="str" cm="1">
        <f t="array" ref="J6810">_xlfn.IFS(I6810&lt;=3,"small",I6810&lt;=6,"Medium",I6810&lt;=9,"Large")</f>
        <v>Medium</v>
      </c>
      <c r="K6810" s="36">
        <v>45366</v>
      </c>
      <c r="L6810" s="36">
        <v>45372</v>
      </c>
      <c r="M6810" t="s">
        <v>598</v>
      </c>
      <c r="N6810" t="s">
        <v>604</v>
      </c>
      <c r="O6810" s="37" t="str">
        <f t="shared" si="533"/>
        <v>Digital Payment</v>
      </c>
      <c r="P6810">
        <v>573.44000000000005</v>
      </c>
      <c r="Q6810" s="37" t="str">
        <f>IF(P6810&gt;500,"High","low")</f>
        <v>High</v>
      </c>
      <c r="R6810" s="37" t="str">
        <f t="shared" si="534"/>
        <v>Good</v>
      </c>
      <c r="S6810" t="s">
        <v>609</v>
      </c>
    </row>
    <row r="6811" spans="1:19" x14ac:dyDescent="0.2">
      <c r="A6811" t="s">
        <v>7422</v>
      </c>
      <c r="B6811" t="s">
        <v>90</v>
      </c>
      <c r="C6811" t="s">
        <v>617</v>
      </c>
      <c r="D6811">
        <v>4617.7700000000004</v>
      </c>
      <c r="E6811" s="37" t="str">
        <f t="shared" si="530"/>
        <v>Excellent Order</v>
      </c>
      <c r="F6811">
        <v>0.11</v>
      </c>
      <c r="G6811" s="37" t="str">
        <f t="shared" si="531"/>
        <v>Normal Discount</v>
      </c>
      <c r="H6811" s="37" t="str">
        <f t="shared" si="532"/>
        <v>Low</v>
      </c>
      <c r="I6811">
        <v>4</v>
      </c>
      <c r="J6811" t="str" cm="1">
        <f t="array" ref="J6811">_xlfn.IFS(I6811&lt;=3,"small",I6811&lt;=6,"Medium",I6811&lt;=9,"Large")</f>
        <v>Medium</v>
      </c>
      <c r="K6811" s="36">
        <v>45283</v>
      </c>
      <c r="L6811" s="36">
        <v>45289</v>
      </c>
      <c r="M6811" t="s">
        <v>603</v>
      </c>
      <c r="N6811" t="s">
        <v>599</v>
      </c>
      <c r="O6811" s="37" t="str">
        <f t="shared" si="533"/>
        <v>Digital Payment</v>
      </c>
      <c r="P6811">
        <v>1111.58</v>
      </c>
      <c r="Q6811" s="37" t="str">
        <f>IF(P6811&gt;500,"High","low")</f>
        <v>High</v>
      </c>
      <c r="R6811" s="37" t="str">
        <f t="shared" si="534"/>
        <v>Excellent</v>
      </c>
      <c r="S6811" t="s">
        <v>600</v>
      </c>
    </row>
    <row r="6812" spans="1:19" x14ac:dyDescent="0.2">
      <c r="A6812" t="s">
        <v>7423</v>
      </c>
      <c r="B6812" t="s">
        <v>67</v>
      </c>
      <c r="C6812" t="s">
        <v>617</v>
      </c>
      <c r="D6812">
        <v>4587.12</v>
      </c>
      <c r="E6812" s="37" t="str">
        <f t="shared" si="530"/>
        <v xml:space="preserve"> </v>
      </c>
      <c r="F6812">
        <v>0.14000000000000001</v>
      </c>
      <c r="G6812" s="37" t="str">
        <f t="shared" si="531"/>
        <v>Normal Discount</v>
      </c>
      <c r="H6812" s="37" t="str">
        <f t="shared" si="532"/>
        <v>Low</v>
      </c>
      <c r="I6812">
        <v>3</v>
      </c>
      <c r="J6812" t="str" cm="1">
        <f t="array" ref="J6812">_xlfn.IFS(I6812&lt;=3,"small",I6812&lt;=6,"Medium",I6812&lt;=9,"Large")</f>
        <v>small</v>
      </c>
      <c r="K6812" s="36">
        <v>45034</v>
      </c>
      <c r="L6812" s="36">
        <v>45041</v>
      </c>
      <c r="M6812" t="s">
        <v>612</v>
      </c>
      <c r="N6812" t="s">
        <v>608</v>
      </c>
      <c r="O6812" s="37" t="str">
        <f t="shared" si="533"/>
        <v>Cash Payment</v>
      </c>
      <c r="P6812">
        <v>399.88</v>
      </c>
      <c r="Q6812" s="37" t="str">
        <f>IF(P6812&gt;500,"High","low")</f>
        <v>low</v>
      </c>
      <c r="R6812" s="37" t="str">
        <f t="shared" si="534"/>
        <v>AVERAGE</v>
      </c>
      <c r="S6812" t="s">
        <v>605</v>
      </c>
    </row>
    <row r="6813" spans="1:19" x14ac:dyDescent="0.2">
      <c r="A6813" t="s">
        <v>7424</v>
      </c>
      <c r="B6813" t="s">
        <v>75</v>
      </c>
      <c r="C6813" t="s">
        <v>607</v>
      </c>
      <c r="D6813">
        <v>4467.7299999999996</v>
      </c>
      <c r="E6813" s="37" t="str">
        <f t="shared" si="530"/>
        <v xml:space="preserve"> </v>
      </c>
      <c r="F6813">
        <v>0.31</v>
      </c>
      <c r="G6813" s="37" t="str">
        <f t="shared" si="531"/>
        <v>Heavy Discount</v>
      </c>
      <c r="H6813" s="37" t="str">
        <f t="shared" si="532"/>
        <v>Medium</v>
      </c>
      <c r="I6813">
        <v>9</v>
      </c>
      <c r="J6813" t="str" cm="1">
        <f t="array" ref="J6813">_xlfn.IFS(I6813&lt;=3,"small",I6813&lt;=6,"Medium",I6813&lt;=9,"Large")</f>
        <v>Large</v>
      </c>
      <c r="K6813" s="36">
        <v>45066</v>
      </c>
      <c r="L6813" s="36">
        <v>45070</v>
      </c>
      <c r="M6813" t="s">
        <v>603</v>
      </c>
      <c r="N6813" t="s">
        <v>604</v>
      </c>
      <c r="O6813" s="37" t="str">
        <f t="shared" si="533"/>
        <v>Digital Payment</v>
      </c>
      <c r="P6813">
        <v>448.73</v>
      </c>
      <c r="Q6813" s="37" t="str">
        <f>IF(P6813&gt;500,"High","low")</f>
        <v>low</v>
      </c>
      <c r="R6813" s="37" t="str">
        <f t="shared" si="534"/>
        <v>AVERAGE</v>
      </c>
      <c r="S6813" t="s">
        <v>615</v>
      </c>
    </row>
    <row r="6814" spans="1:19" x14ac:dyDescent="0.2">
      <c r="A6814" t="s">
        <v>7425</v>
      </c>
      <c r="B6814" t="s">
        <v>83</v>
      </c>
      <c r="C6814" t="s">
        <v>614</v>
      </c>
      <c r="D6814">
        <v>4437.8500000000004</v>
      </c>
      <c r="E6814" s="37" t="str">
        <f t="shared" si="530"/>
        <v xml:space="preserve"> </v>
      </c>
      <c r="F6814">
        <v>0.36</v>
      </c>
      <c r="G6814" s="37" t="str">
        <f t="shared" si="531"/>
        <v>Heavy Discount</v>
      </c>
      <c r="H6814" s="37" t="str">
        <f t="shared" si="532"/>
        <v>Medium</v>
      </c>
      <c r="I6814">
        <v>8</v>
      </c>
      <c r="J6814" t="str" cm="1">
        <f t="array" ref="J6814">_xlfn.IFS(I6814&lt;=3,"small",I6814&lt;=6,"Medium",I6814&lt;=9,"Large")</f>
        <v>Large</v>
      </c>
      <c r="K6814" s="36">
        <v>45169</v>
      </c>
      <c r="L6814" s="36">
        <v>45170</v>
      </c>
      <c r="M6814" t="s">
        <v>603</v>
      </c>
      <c r="N6814" t="s">
        <v>604</v>
      </c>
      <c r="O6814" s="37" t="str">
        <f t="shared" si="533"/>
        <v>Digital Payment</v>
      </c>
      <c r="P6814">
        <v>716.92</v>
      </c>
      <c r="Q6814" s="37" t="str">
        <f>IF(P6814&gt;500,"High","low")</f>
        <v>High</v>
      </c>
      <c r="R6814" s="37" t="str">
        <f t="shared" si="534"/>
        <v>Good</v>
      </c>
      <c r="S6814" t="s">
        <v>615</v>
      </c>
    </row>
    <row r="6815" spans="1:19" x14ac:dyDescent="0.2">
      <c r="A6815" t="s">
        <v>7426</v>
      </c>
      <c r="B6815" t="s">
        <v>90</v>
      </c>
      <c r="C6815" t="s">
        <v>614</v>
      </c>
      <c r="D6815">
        <v>676.47</v>
      </c>
      <c r="E6815" s="37" t="str">
        <f t="shared" si="530"/>
        <v xml:space="preserve"> </v>
      </c>
      <c r="F6815">
        <v>0.1</v>
      </c>
      <c r="G6815" s="37" t="str">
        <f t="shared" si="531"/>
        <v>Normal Discount</v>
      </c>
      <c r="H6815" s="37" t="str">
        <f t="shared" si="532"/>
        <v>Low</v>
      </c>
      <c r="I6815">
        <v>5</v>
      </c>
      <c r="J6815" t="str" cm="1">
        <f t="array" ref="J6815">_xlfn.IFS(I6815&lt;=3,"small",I6815&lt;=6,"Medium",I6815&lt;=9,"Large")</f>
        <v>Medium</v>
      </c>
      <c r="K6815" s="36">
        <v>45267</v>
      </c>
      <c r="L6815" s="36">
        <v>45274</v>
      </c>
      <c r="M6815" t="s">
        <v>603</v>
      </c>
      <c r="N6815" t="s">
        <v>608</v>
      </c>
      <c r="O6815" s="37" t="str">
        <f t="shared" si="533"/>
        <v>Cash Payment</v>
      </c>
      <c r="P6815">
        <v>114.44</v>
      </c>
      <c r="Q6815" s="37" t="str">
        <f>IF(P6815&gt;500,"High","low")</f>
        <v>low</v>
      </c>
      <c r="R6815" s="37" t="str">
        <f t="shared" si="534"/>
        <v>AVERAGE</v>
      </c>
      <c r="S6815" t="s">
        <v>620</v>
      </c>
    </row>
    <row r="6816" spans="1:19" x14ac:dyDescent="0.2">
      <c r="A6816" t="s">
        <v>7427</v>
      </c>
      <c r="B6816" t="s">
        <v>75</v>
      </c>
      <c r="C6816" t="s">
        <v>602</v>
      </c>
      <c r="D6816">
        <v>803.23</v>
      </c>
      <c r="E6816" s="37" t="str">
        <f t="shared" si="530"/>
        <v xml:space="preserve"> </v>
      </c>
      <c r="F6816">
        <v>0.48</v>
      </c>
      <c r="G6816" s="37" t="str">
        <f t="shared" si="531"/>
        <v>Heavy Discount</v>
      </c>
      <c r="H6816" s="37" t="str">
        <f t="shared" si="532"/>
        <v>High</v>
      </c>
      <c r="I6816">
        <v>8</v>
      </c>
      <c r="J6816" t="str" cm="1">
        <f t="array" ref="J6816">_xlfn.IFS(I6816&lt;=3,"small",I6816&lt;=6,"Medium",I6816&lt;=9,"Large")</f>
        <v>Large</v>
      </c>
      <c r="K6816" s="36">
        <v>45532</v>
      </c>
      <c r="L6816" s="36">
        <v>45538</v>
      </c>
      <c r="M6816" t="s">
        <v>603</v>
      </c>
      <c r="N6816" t="s">
        <v>608</v>
      </c>
      <c r="O6816" s="37" t="str">
        <f t="shared" si="533"/>
        <v>Cash Payment</v>
      </c>
      <c r="P6816">
        <v>239.8</v>
      </c>
      <c r="Q6816" s="37" t="str">
        <f>IF(P6816&gt;500,"High","low")</f>
        <v>low</v>
      </c>
      <c r="R6816" s="37" t="str">
        <f t="shared" si="534"/>
        <v>AVERAGE</v>
      </c>
      <c r="S6816" t="s">
        <v>600</v>
      </c>
    </row>
    <row r="6817" spans="1:19" x14ac:dyDescent="0.2">
      <c r="A6817" t="s">
        <v>7428</v>
      </c>
      <c r="B6817" t="s">
        <v>90</v>
      </c>
      <c r="C6817" t="s">
        <v>617</v>
      </c>
      <c r="D6817">
        <v>677.12</v>
      </c>
      <c r="E6817" s="37" t="str">
        <f t="shared" si="530"/>
        <v xml:space="preserve"> </v>
      </c>
      <c r="F6817">
        <v>0</v>
      </c>
      <c r="G6817" s="37" t="str">
        <f t="shared" si="531"/>
        <v>Normal Discount</v>
      </c>
      <c r="H6817" s="37" t="str">
        <f t="shared" si="532"/>
        <v>Low</v>
      </c>
      <c r="I6817">
        <v>6</v>
      </c>
      <c r="J6817" t="str" cm="1">
        <f t="array" ref="J6817">_xlfn.IFS(I6817&lt;=3,"small",I6817&lt;=6,"Medium",I6817&lt;=9,"Large")</f>
        <v>Medium</v>
      </c>
      <c r="K6817" s="36">
        <v>45268</v>
      </c>
      <c r="L6817" s="36">
        <v>45273</v>
      </c>
      <c r="M6817" t="s">
        <v>612</v>
      </c>
      <c r="N6817" t="s">
        <v>604</v>
      </c>
      <c r="O6817" s="37" t="str">
        <f t="shared" si="533"/>
        <v>Digital Payment</v>
      </c>
      <c r="P6817">
        <v>200.79</v>
      </c>
      <c r="Q6817" s="37" t="str">
        <f>IF(P6817&gt;500,"High","low")</f>
        <v>low</v>
      </c>
      <c r="R6817" s="37" t="str">
        <f t="shared" si="534"/>
        <v>AVERAGE</v>
      </c>
      <c r="S6817" t="s">
        <v>615</v>
      </c>
    </row>
    <row r="6818" spans="1:19" x14ac:dyDescent="0.2">
      <c r="A6818" t="s">
        <v>7429</v>
      </c>
      <c r="B6818" t="s">
        <v>90</v>
      </c>
      <c r="C6818" t="s">
        <v>617</v>
      </c>
      <c r="D6818">
        <v>546.04</v>
      </c>
      <c r="E6818" s="37" t="str">
        <f t="shared" si="530"/>
        <v xml:space="preserve"> </v>
      </c>
      <c r="F6818">
        <v>0.35</v>
      </c>
      <c r="G6818" s="37" t="str">
        <f t="shared" si="531"/>
        <v>Heavy Discount</v>
      </c>
      <c r="H6818" s="37" t="str">
        <f t="shared" si="532"/>
        <v>Medium</v>
      </c>
      <c r="I6818">
        <v>5</v>
      </c>
      <c r="J6818" t="str" cm="1">
        <f t="array" ref="J6818">_xlfn.IFS(I6818&lt;=3,"small",I6818&lt;=6,"Medium",I6818&lt;=9,"Large")</f>
        <v>Medium</v>
      </c>
      <c r="K6818" s="36">
        <v>45590</v>
      </c>
      <c r="L6818" s="36">
        <v>45592</v>
      </c>
      <c r="M6818" t="s">
        <v>598</v>
      </c>
      <c r="N6818" t="s">
        <v>608</v>
      </c>
      <c r="O6818" s="37" t="str">
        <f t="shared" si="533"/>
        <v>Cash Payment</v>
      </c>
      <c r="P6818">
        <v>89.67</v>
      </c>
      <c r="Q6818" s="37" t="str">
        <f>IF(P6818&gt;500,"High","low")</f>
        <v>low</v>
      </c>
      <c r="R6818" s="37" t="str">
        <f t="shared" si="534"/>
        <v>AVERAGE</v>
      </c>
      <c r="S6818" t="s">
        <v>620</v>
      </c>
    </row>
    <row r="6819" spans="1:19" x14ac:dyDescent="0.2">
      <c r="A6819" t="s">
        <v>7430</v>
      </c>
      <c r="B6819" t="s">
        <v>90</v>
      </c>
      <c r="C6819" t="s">
        <v>617</v>
      </c>
      <c r="D6819">
        <v>1831.1</v>
      </c>
      <c r="E6819" s="37" t="str">
        <f t="shared" si="530"/>
        <v xml:space="preserve"> </v>
      </c>
      <c r="F6819">
        <v>0.15</v>
      </c>
      <c r="G6819" s="37" t="str">
        <f t="shared" si="531"/>
        <v>Normal Discount</v>
      </c>
      <c r="H6819" s="37" t="str">
        <f t="shared" si="532"/>
        <v>Low</v>
      </c>
      <c r="I6819">
        <v>9</v>
      </c>
      <c r="J6819" t="str" cm="1">
        <f t="array" ref="J6819">_xlfn.IFS(I6819&lt;=3,"small",I6819&lt;=6,"Medium",I6819&lt;=9,"Large")</f>
        <v>Large</v>
      </c>
      <c r="K6819" s="36">
        <v>45150</v>
      </c>
      <c r="L6819" s="36">
        <v>45154</v>
      </c>
      <c r="M6819" t="s">
        <v>603</v>
      </c>
      <c r="N6819" t="s">
        <v>599</v>
      </c>
      <c r="O6819" s="37" t="str">
        <f t="shared" si="533"/>
        <v>Digital Payment</v>
      </c>
      <c r="P6819">
        <v>201.33</v>
      </c>
      <c r="Q6819" s="37" t="str">
        <f>IF(P6819&gt;500,"High","low")</f>
        <v>low</v>
      </c>
      <c r="R6819" s="37" t="str">
        <f t="shared" si="534"/>
        <v>AVERAGE</v>
      </c>
      <c r="S6819" t="s">
        <v>615</v>
      </c>
    </row>
    <row r="6820" spans="1:19" x14ac:dyDescent="0.2">
      <c r="A6820" t="s">
        <v>7431</v>
      </c>
      <c r="B6820" t="s">
        <v>90</v>
      </c>
      <c r="C6820" t="s">
        <v>617</v>
      </c>
      <c r="D6820">
        <v>3451.4</v>
      </c>
      <c r="E6820" s="37" t="str">
        <f t="shared" si="530"/>
        <v xml:space="preserve"> </v>
      </c>
      <c r="F6820">
        <v>0.24</v>
      </c>
      <c r="G6820" s="37" t="str">
        <f t="shared" si="531"/>
        <v>Normal Discount</v>
      </c>
      <c r="H6820" s="37" t="str">
        <f t="shared" si="532"/>
        <v>Medium</v>
      </c>
      <c r="I6820">
        <v>9</v>
      </c>
      <c r="J6820" t="str" cm="1">
        <f t="array" ref="J6820">_xlfn.IFS(I6820&lt;=3,"small",I6820&lt;=6,"Medium",I6820&lt;=9,"Large")</f>
        <v>Large</v>
      </c>
      <c r="K6820" s="36">
        <v>45099</v>
      </c>
      <c r="L6820" s="36">
        <v>45104</v>
      </c>
      <c r="M6820" t="s">
        <v>598</v>
      </c>
      <c r="N6820" t="s">
        <v>604</v>
      </c>
      <c r="O6820" s="37" t="str">
        <f t="shared" si="533"/>
        <v>Digital Payment</v>
      </c>
      <c r="P6820">
        <v>770.21</v>
      </c>
      <c r="Q6820" s="37" t="str">
        <f>IF(P6820&gt;500,"High","low")</f>
        <v>High</v>
      </c>
      <c r="R6820" s="37" t="str">
        <f t="shared" si="534"/>
        <v>Good</v>
      </c>
      <c r="S6820" t="s">
        <v>600</v>
      </c>
    </row>
    <row r="6821" spans="1:19" x14ac:dyDescent="0.2">
      <c r="A6821" t="s">
        <v>7432</v>
      </c>
      <c r="B6821" t="s">
        <v>67</v>
      </c>
      <c r="C6821" t="s">
        <v>614</v>
      </c>
      <c r="D6821">
        <v>1837.99</v>
      </c>
      <c r="E6821" s="37" t="str">
        <f t="shared" si="530"/>
        <v xml:space="preserve"> </v>
      </c>
      <c r="F6821">
        <v>0.28000000000000003</v>
      </c>
      <c r="G6821" s="37" t="str">
        <f t="shared" si="531"/>
        <v>Normal Discount</v>
      </c>
      <c r="H6821" s="37" t="str">
        <f t="shared" si="532"/>
        <v>Medium</v>
      </c>
      <c r="I6821">
        <v>8</v>
      </c>
      <c r="J6821" t="str" cm="1">
        <f t="array" ref="J6821">_xlfn.IFS(I6821&lt;=3,"small",I6821&lt;=6,"Medium",I6821&lt;=9,"Large")</f>
        <v>Large</v>
      </c>
      <c r="K6821" s="36">
        <v>45642</v>
      </c>
      <c r="L6821" s="36">
        <v>45649</v>
      </c>
      <c r="M6821" t="s">
        <v>612</v>
      </c>
      <c r="N6821" t="s">
        <v>608</v>
      </c>
      <c r="O6821" s="37" t="str">
        <f t="shared" si="533"/>
        <v>Cash Payment</v>
      </c>
      <c r="P6821">
        <v>180.86</v>
      </c>
      <c r="Q6821" s="37" t="str">
        <f>IF(P6821&gt;500,"High","low")</f>
        <v>low</v>
      </c>
      <c r="R6821" s="37" t="str">
        <f t="shared" si="534"/>
        <v>AVERAGE</v>
      </c>
      <c r="S6821" t="s">
        <v>600</v>
      </c>
    </row>
    <row r="6822" spans="1:19" x14ac:dyDescent="0.2">
      <c r="A6822" t="s">
        <v>7433</v>
      </c>
      <c r="B6822" t="s">
        <v>75</v>
      </c>
      <c r="C6822" t="s">
        <v>597</v>
      </c>
      <c r="D6822">
        <v>3629.47</v>
      </c>
      <c r="E6822" s="37" t="str">
        <f t="shared" si="530"/>
        <v xml:space="preserve"> </v>
      </c>
      <c r="F6822">
        <v>0.28000000000000003</v>
      </c>
      <c r="G6822" s="37" t="str">
        <f t="shared" si="531"/>
        <v>Normal Discount</v>
      </c>
      <c r="H6822" s="37" t="str">
        <f t="shared" si="532"/>
        <v>Medium</v>
      </c>
      <c r="I6822">
        <v>3</v>
      </c>
      <c r="J6822" t="str" cm="1">
        <f t="array" ref="J6822">_xlfn.IFS(I6822&lt;=3,"small",I6822&lt;=6,"Medium",I6822&lt;=9,"Large")</f>
        <v>small</v>
      </c>
      <c r="K6822" s="36">
        <v>45109</v>
      </c>
      <c r="L6822" s="36">
        <v>45111</v>
      </c>
      <c r="M6822" t="s">
        <v>603</v>
      </c>
      <c r="N6822" t="s">
        <v>608</v>
      </c>
      <c r="O6822" s="37" t="str">
        <f t="shared" si="533"/>
        <v>Cash Payment</v>
      </c>
      <c r="P6822">
        <v>432.17</v>
      </c>
      <c r="Q6822" s="37" t="str">
        <f>IF(P6822&gt;500,"High","low")</f>
        <v>low</v>
      </c>
      <c r="R6822" s="37" t="str">
        <f t="shared" si="534"/>
        <v>AVERAGE</v>
      </c>
      <c r="S6822" t="s">
        <v>605</v>
      </c>
    </row>
    <row r="6823" spans="1:19" x14ac:dyDescent="0.2">
      <c r="A6823" t="s">
        <v>7434</v>
      </c>
      <c r="B6823" t="s">
        <v>75</v>
      </c>
      <c r="C6823" t="s">
        <v>607</v>
      </c>
      <c r="D6823">
        <v>4119.3900000000003</v>
      </c>
      <c r="E6823" s="37" t="str">
        <f t="shared" si="530"/>
        <v xml:space="preserve"> </v>
      </c>
      <c r="F6823">
        <v>0.39</v>
      </c>
      <c r="G6823" s="37" t="str">
        <f t="shared" si="531"/>
        <v>Heavy Discount</v>
      </c>
      <c r="H6823" s="37" t="str">
        <f t="shared" si="532"/>
        <v>Medium</v>
      </c>
      <c r="I6823">
        <v>9</v>
      </c>
      <c r="J6823" t="str" cm="1">
        <f t="array" ref="J6823">_xlfn.IFS(I6823&lt;=3,"small",I6823&lt;=6,"Medium",I6823&lt;=9,"Large")</f>
        <v>Large</v>
      </c>
      <c r="K6823" s="36">
        <v>45381</v>
      </c>
      <c r="L6823" s="36">
        <v>45388</v>
      </c>
      <c r="M6823" t="s">
        <v>598</v>
      </c>
      <c r="N6823" t="s">
        <v>604</v>
      </c>
      <c r="O6823" s="37" t="str">
        <f t="shared" si="533"/>
        <v>Digital Payment</v>
      </c>
      <c r="P6823">
        <v>760.95</v>
      </c>
      <c r="Q6823" s="37" t="str">
        <f>IF(P6823&gt;500,"High","low")</f>
        <v>High</v>
      </c>
      <c r="R6823" s="37" t="str">
        <f t="shared" si="534"/>
        <v>Good</v>
      </c>
      <c r="S6823" t="s">
        <v>620</v>
      </c>
    </row>
    <row r="6824" spans="1:19" x14ac:dyDescent="0.2">
      <c r="A6824" t="s">
        <v>7435</v>
      </c>
      <c r="B6824" t="s">
        <v>75</v>
      </c>
      <c r="C6824" t="s">
        <v>597</v>
      </c>
      <c r="D6824">
        <v>3364.45</v>
      </c>
      <c r="E6824" s="37" t="str">
        <f t="shared" si="530"/>
        <v xml:space="preserve"> </v>
      </c>
      <c r="F6824">
        <v>0.41</v>
      </c>
      <c r="G6824" s="37" t="str">
        <f t="shared" si="531"/>
        <v>Heavy Discount</v>
      </c>
      <c r="H6824" s="37" t="str">
        <f t="shared" si="532"/>
        <v>High</v>
      </c>
      <c r="I6824">
        <v>6</v>
      </c>
      <c r="J6824" t="str" cm="1">
        <f t="array" ref="J6824">_xlfn.IFS(I6824&lt;=3,"small",I6824&lt;=6,"Medium",I6824&lt;=9,"Large")</f>
        <v>Medium</v>
      </c>
      <c r="K6824" s="36">
        <v>45491</v>
      </c>
      <c r="L6824" s="36">
        <v>45493</v>
      </c>
      <c r="M6824" t="s">
        <v>612</v>
      </c>
      <c r="N6824" t="s">
        <v>608</v>
      </c>
      <c r="O6824" s="37" t="str">
        <f t="shared" si="533"/>
        <v>Cash Payment</v>
      </c>
      <c r="P6824">
        <v>963.48</v>
      </c>
      <c r="Q6824" s="37" t="str">
        <f>IF(P6824&gt;500,"High","low")</f>
        <v>High</v>
      </c>
      <c r="R6824" s="37" t="str">
        <f t="shared" si="534"/>
        <v>Good</v>
      </c>
      <c r="S6824" t="s">
        <v>600</v>
      </c>
    </row>
    <row r="6825" spans="1:19" x14ac:dyDescent="0.2">
      <c r="A6825" t="s">
        <v>7436</v>
      </c>
      <c r="B6825" t="s">
        <v>90</v>
      </c>
      <c r="C6825" t="s">
        <v>597</v>
      </c>
      <c r="D6825">
        <v>2379.0100000000002</v>
      </c>
      <c r="E6825" s="37" t="str">
        <f t="shared" si="530"/>
        <v xml:space="preserve"> </v>
      </c>
      <c r="F6825">
        <v>0.04</v>
      </c>
      <c r="G6825" s="37" t="str">
        <f t="shared" si="531"/>
        <v>Normal Discount</v>
      </c>
      <c r="H6825" s="37" t="str">
        <f t="shared" si="532"/>
        <v>Low</v>
      </c>
      <c r="I6825">
        <v>9</v>
      </c>
      <c r="J6825" t="str" cm="1">
        <f t="array" ref="J6825">_xlfn.IFS(I6825&lt;=3,"small",I6825&lt;=6,"Medium",I6825&lt;=9,"Large")</f>
        <v>Large</v>
      </c>
      <c r="K6825" s="36">
        <v>45617</v>
      </c>
      <c r="L6825" s="36">
        <v>45622</v>
      </c>
      <c r="M6825" t="s">
        <v>598</v>
      </c>
      <c r="N6825" t="s">
        <v>608</v>
      </c>
      <c r="O6825" s="37" t="str">
        <f t="shared" si="533"/>
        <v>Cash Payment</v>
      </c>
      <c r="P6825">
        <v>136.19</v>
      </c>
      <c r="Q6825" s="37" t="str">
        <f>IF(P6825&gt;500,"High","low")</f>
        <v>low</v>
      </c>
      <c r="R6825" s="37" t="str">
        <f t="shared" si="534"/>
        <v>AVERAGE</v>
      </c>
      <c r="S6825" t="s">
        <v>609</v>
      </c>
    </row>
    <row r="6826" spans="1:19" x14ac:dyDescent="0.2">
      <c r="A6826" t="s">
        <v>7437</v>
      </c>
      <c r="B6826" t="s">
        <v>67</v>
      </c>
      <c r="C6826" t="s">
        <v>614</v>
      </c>
      <c r="D6826">
        <v>1548.04</v>
      </c>
      <c r="E6826" s="37" t="str">
        <f t="shared" si="530"/>
        <v xml:space="preserve"> </v>
      </c>
      <c r="F6826">
        <v>0.35</v>
      </c>
      <c r="G6826" s="37" t="str">
        <f t="shared" si="531"/>
        <v>Heavy Discount</v>
      </c>
      <c r="H6826" s="37" t="str">
        <f t="shared" si="532"/>
        <v>Medium</v>
      </c>
      <c r="I6826">
        <v>1</v>
      </c>
      <c r="J6826" t="str" cm="1">
        <f t="array" ref="J6826">_xlfn.IFS(I6826&lt;=3,"small",I6826&lt;=6,"Medium",I6826&lt;=9,"Large")</f>
        <v>small</v>
      </c>
      <c r="K6826" s="36">
        <v>45024</v>
      </c>
      <c r="L6826" s="36">
        <v>45027</v>
      </c>
      <c r="M6826" t="s">
        <v>598</v>
      </c>
      <c r="N6826" t="s">
        <v>608</v>
      </c>
      <c r="O6826" s="37" t="str">
        <f t="shared" si="533"/>
        <v>Cash Payment</v>
      </c>
      <c r="P6826">
        <v>338.41</v>
      </c>
      <c r="Q6826" s="37" t="str">
        <f>IF(P6826&gt;500,"High","low")</f>
        <v>low</v>
      </c>
      <c r="R6826" s="37" t="str">
        <f t="shared" si="534"/>
        <v>AVERAGE</v>
      </c>
      <c r="S6826" t="s">
        <v>600</v>
      </c>
    </row>
    <row r="6827" spans="1:19" x14ac:dyDescent="0.2">
      <c r="A6827" t="s">
        <v>7438</v>
      </c>
      <c r="B6827" t="s">
        <v>90</v>
      </c>
      <c r="C6827" t="s">
        <v>607</v>
      </c>
      <c r="D6827">
        <v>709.58</v>
      </c>
      <c r="E6827" s="37" t="str">
        <f t="shared" si="530"/>
        <v xml:space="preserve"> </v>
      </c>
      <c r="F6827">
        <v>0.2</v>
      </c>
      <c r="G6827" s="37" t="str">
        <f t="shared" si="531"/>
        <v>Normal Discount</v>
      </c>
      <c r="H6827" s="37" t="str">
        <f t="shared" si="532"/>
        <v>Medium</v>
      </c>
      <c r="I6827">
        <v>1</v>
      </c>
      <c r="J6827" t="str" cm="1">
        <f t="array" ref="J6827">_xlfn.IFS(I6827&lt;=3,"small",I6827&lt;=6,"Medium",I6827&lt;=9,"Large")</f>
        <v>small</v>
      </c>
      <c r="K6827" s="36">
        <v>45564</v>
      </c>
      <c r="L6827" s="36">
        <v>45567</v>
      </c>
      <c r="M6827" t="s">
        <v>612</v>
      </c>
      <c r="N6827" t="s">
        <v>604</v>
      </c>
      <c r="O6827" s="37" t="str">
        <f t="shared" si="533"/>
        <v>Digital Payment</v>
      </c>
      <c r="P6827">
        <v>188.96</v>
      </c>
      <c r="Q6827" s="37" t="str">
        <f>IF(P6827&gt;500,"High","low")</f>
        <v>low</v>
      </c>
      <c r="R6827" s="37" t="str">
        <f t="shared" si="534"/>
        <v>AVERAGE</v>
      </c>
      <c r="S6827" t="s">
        <v>605</v>
      </c>
    </row>
    <row r="6828" spans="1:19" x14ac:dyDescent="0.2">
      <c r="A6828" t="s">
        <v>7439</v>
      </c>
      <c r="B6828" t="s">
        <v>90</v>
      </c>
      <c r="C6828" t="s">
        <v>617</v>
      </c>
      <c r="D6828">
        <v>2518.89</v>
      </c>
      <c r="E6828" s="37" t="str">
        <f t="shared" si="530"/>
        <v xml:space="preserve"> </v>
      </c>
      <c r="F6828">
        <v>0.41</v>
      </c>
      <c r="G6828" s="37" t="str">
        <f t="shared" si="531"/>
        <v>Heavy Discount</v>
      </c>
      <c r="H6828" s="37" t="str">
        <f t="shared" si="532"/>
        <v>High</v>
      </c>
      <c r="I6828">
        <v>6</v>
      </c>
      <c r="J6828" t="str" cm="1">
        <f t="array" ref="J6828">_xlfn.IFS(I6828&lt;=3,"small",I6828&lt;=6,"Medium",I6828&lt;=9,"Large")</f>
        <v>Medium</v>
      </c>
      <c r="K6828" s="36">
        <v>45120</v>
      </c>
      <c r="L6828" s="36">
        <v>45126</v>
      </c>
      <c r="M6828" t="s">
        <v>603</v>
      </c>
      <c r="N6828" t="s">
        <v>599</v>
      </c>
      <c r="O6828" s="37" t="str">
        <f t="shared" si="533"/>
        <v>Digital Payment</v>
      </c>
      <c r="P6828">
        <v>587.99</v>
      </c>
      <c r="Q6828" s="37" t="str">
        <f>IF(P6828&gt;500,"High","low")</f>
        <v>High</v>
      </c>
      <c r="R6828" s="37" t="str">
        <f t="shared" si="534"/>
        <v>Good</v>
      </c>
      <c r="S6828" t="s">
        <v>609</v>
      </c>
    </row>
    <row r="6829" spans="1:19" x14ac:dyDescent="0.2">
      <c r="A6829" t="s">
        <v>7440</v>
      </c>
      <c r="B6829" t="s">
        <v>75</v>
      </c>
      <c r="C6829" t="s">
        <v>614</v>
      </c>
      <c r="D6829">
        <v>3626.03</v>
      </c>
      <c r="E6829" s="37" t="str">
        <f t="shared" si="530"/>
        <v xml:space="preserve"> </v>
      </c>
      <c r="F6829">
        <v>0.3</v>
      </c>
      <c r="G6829" s="37" t="str">
        <f t="shared" si="531"/>
        <v>Normal Discount</v>
      </c>
      <c r="H6829" s="37" t="str">
        <f t="shared" si="532"/>
        <v>Medium</v>
      </c>
      <c r="I6829">
        <v>4</v>
      </c>
      <c r="J6829" t="str" cm="1">
        <f t="array" ref="J6829">_xlfn.IFS(I6829&lt;=3,"small",I6829&lt;=6,"Medium",I6829&lt;=9,"Large")</f>
        <v>Medium</v>
      </c>
      <c r="K6829" s="36">
        <v>45483</v>
      </c>
      <c r="L6829" s="36">
        <v>45487</v>
      </c>
      <c r="M6829" t="s">
        <v>598</v>
      </c>
      <c r="N6829" t="s">
        <v>608</v>
      </c>
      <c r="O6829" s="37" t="str">
        <f t="shared" si="533"/>
        <v>Cash Payment</v>
      </c>
      <c r="P6829">
        <v>618.19000000000005</v>
      </c>
      <c r="Q6829" s="37" t="str">
        <f>IF(P6829&gt;500,"High","low")</f>
        <v>High</v>
      </c>
      <c r="R6829" s="37" t="str">
        <f t="shared" si="534"/>
        <v>Good</v>
      </c>
      <c r="S6829" t="s">
        <v>628</v>
      </c>
    </row>
    <row r="6830" spans="1:19" x14ac:dyDescent="0.2">
      <c r="A6830" t="s">
        <v>7441</v>
      </c>
      <c r="B6830" t="s">
        <v>90</v>
      </c>
      <c r="C6830" t="s">
        <v>614</v>
      </c>
      <c r="D6830">
        <v>2786.39</v>
      </c>
      <c r="E6830" s="37" t="str">
        <f t="shared" si="530"/>
        <v xml:space="preserve"> </v>
      </c>
      <c r="F6830">
        <v>0.01</v>
      </c>
      <c r="G6830" s="37" t="str">
        <f t="shared" si="531"/>
        <v>Normal Discount</v>
      </c>
      <c r="H6830" s="37" t="str">
        <f t="shared" si="532"/>
        <v>Low</v>
      </c>
      <c r="I6830">
        <v>5</v>
      </c>
      <c r="J6830" t="str" cm="1">
        <f t="array" ref="J6830">_xlfn.IFS(I6830&lt;=3,"small",I6830&lt;=6,"Medium",I6830&lt;=9,"Large")</f>
        <v>Medium</v>
      </c>
      <c r="K6830" s="36">
        <v>45310</v>
      </c>
      <c r="L6830" s="36">
        <v>45313</v>
      </c>
      <c r="M6830" t="s">
        <v>598</v>
      </c>
      <c r="N6830" t="s">
        <v>604</v>
      </c>
      <c r="O6830" s="37" t="str">
        <f t="shared" si="533"/>
        <v>Digital Payment</v>
      </c>
      <c r="P6830">
        <v>736.58</v>
      </c>
      <c r="Q6830" s="37" t="str">
        <f>IF(P6830&gt;500,"High","low")</f>
        <v>High</v>
      </c>
      <c r="R6830" s="37" t="str">
        <f t="shared" si="534"/>
        <v>Good</v>
      </c>
      <c r="S6830" t="s">
        <v>620</v>
      </c>
    </row>
    <row r="6831" spans="1:19" x14ac:dyDescent="0.2">
      <c r="A6831" t="s">
        <v>7442</v>
      </c>
      <c r="B6831" t="s">
        <v>83</v>
      </c>
      <c r="C6831" t="s">
        <v>607</v>
      </c>
      <c r="D6831">
        <v>3635.26</v>
      </c>
      <c r="E6831" s="37" t="str">
        <f t="shared" si="530"/>
        <v xml:space="preserve"> </v>
      </c>
      <c r="F6831">
        <v>0.33</v>
      </c>
      <c r="G6831" s="37" t="str">
        <f t="shared" si="531"/>
        <v>Heavy Discount</v>
      </c>
      <c r="H6831" s="37" t="str">
        <f t="shared" si="532"/>
        <v>Medium</v>
      </c>
      <c r="I6831">
        <v>5</v>
      </c>
      <c r="J6831" t="str" cm="1">
        <f t="array" ref="J6831">_xlfn.IFS(I6831&lt;=3,"small",I6831&lt;=6,"Medium",I6831&lt;=9,"Large")</f>
        <v>Medium</v>
      </c>
      <c r="K6831" s="36">
        <v>45284</v>
      </c>
      <c r="L6831" s="36">
        <v>45288</v>
      </c>
      <c r="M6831" t="s">
        <v>612</v>
      </c>
      <c r="N6831" t="s">
        <v>604</v>
      </c>
      <c r="O6831" s="37" t="str">
        <f t="shared" si="533"/>
        <v>Digital Payment</v>
      </c>
      <c r="P6831">
        <v>892.73</v>
      </c>
      <c r="Q6831" s="37" t="str">
        <f>IF(P6831&gt;500,"High","low")</f>
        <v>High</v>
      </c>
      <c r="R6831" s="37" t="str">
        <f t="shared" si="534"/>
        <v>Good</v>
      </c>
      <c r="S6831" t="s">
        <v>620</v>
      </c>
    </row>
    <row r="6832" spans="1:19" x14ac:dyDescent="0.2">
      <c r="A6832" t="s">
        <v>7443</v>
      </c>
      <c r="B6832" t="s">
        <v>90</v>
      </c>
      <c r="C6832" t="s">
        <v>602</v>
      </c>
      <c r="D6832">
        <v>1742.58</v>
      </c>
      <c r="E6832" s="37" t="str">
        <f t="shared" si="530"/>
        <v xml:space="preserve"> </v>
      </c>
      <c r="F6832">
        <v>0.46</v>
      </c>
      <c r="G6832" s="37" t="str">
        <f t="shared" si="531"/>
        <v>Heavy Discount</v>
      </c>
      <c r="H6832" s="37" t="str">
        <f t="shared" si="532"/>
        <v>High</v>
      </c>
      <c r="I6832">
        <v>3</v>
      </c>
      <c r="J6832" t="str" cm="1">
        <f t="array" ref="J6832">_xlfn.IFS(I6832&lt;=3,"small",I6832&lt;=6,"Medium",I6832&lt;=9,"Large")</f>
        <v>small</v>
      </c>
      <c r="K6832" s="36">
        <v>45350</v>
      </c>
      <c r="L6832" s="36">
        <v>45357</v>
      </c>
      <c r="M6832" t="s">
        <v>603</v>
      </c>
      <c r="N6832" t="s">
        <v>599</v>
      </c>
      <c r="O6832" s="37" t="str">
        <f t="shared" si="533"/>
        <v>Digital Payment</v>
      </c>
      <c r="P6832">
        <v>406.77</v>
      </c>
      <c r="Q6832" s="37" t="str">
        <f>IF(P6832&gt;500,"High","low")</f>
        <v>low</v>
      </c>
      <c r="R6832" s="37" t="str">
        <f t="shared" si="534"/>
        <v>AVERAGE</v>
      </c>
      <c r="S6832" t="s">
        <v>605</v>
      </c>
    </row>
    <row r="6833" spans="1:19" x14ac:dyDescent="0.2">
      <c r="A6833" t="s">
        <v>7444</v>
      </c>
      <c r="B6833" t="s">
        <v>83</v>
      </c>
      <c r="C6833" t="s">
        <v>614</v>
      </c>
      <c r="D6833">
        <v>427.3</v>
      </c>
      <c r="E6833" s="37" t="str">
        <f t="shared" si="530"/>
        <v xml:space="preserve"> </v>
      </c>
      <c r="F6833">
        <v>0.04</v>
      </c>
      <c r="G6833" s="37" t="str">
        <f t="shared" si="531"/>
        <v>Normal Discount</v>
      </c>
      <c r="H6833" s="37" t="str">
        <f t="shared" si="532"/>
        <v>Low</v>
      </c>
      <c r="I6833">
        <v>9</v>
      </c>
      <c r="J6833" t="str" cm="1">
        <f t="array" ref="J6833">_xlfn.IFS(I6833&lt;=3,"small",I6833&lt;=6,"Medium",I6833&lt;=9,"Large")</f>
        <v>Large</v>
      </c>
      <c r="K6833" s="36">
        <v>45649</v>
      </c>
      <c r="L6833" s="36">
        <v>45654</v>
      </c>
      <c r="M6833" t="s">
        <v>603</v>
      </c>
      <c r="N6833" t="s">
        <v>608</v>
      </c>
      <c r="O6833" s="37" t="str">
        <f t="shared" si="533"/>
        <v>Cash Payment</v>
      </c>
      <c r="P6833">
        <v>32.700000000000003</v>
      </c>
      <c r="Q6833" s="37" t="str">
        <f>IF(P6833&gt;500,"High","low")</f>
        <v>low</v>
      </c>
      <c r="R6833" s="37" t="str">
        <f t="shared" si="534"/>
        <v>AVERAGE</v>
      </c>
      <c r="S6833" t="s">
        <v>605</v>
      </c>
    </row>
    <row r="6834" spans="1:19" x14ac:dyDescent="0.2">
      <c r="A6834" t="s">
        <v>7445</v>
      </c>
      <c r="B6834" t="s">
        <v>90</v>
      </c>
      <c r="C6834" t="s">
        <v>597</v>
      </c>
      <c r="D6834">
        <v>3878.38</v>
      </c>
      <c r="E6834" s="37" t="str">
        <f t="shared" si="530"/>
        <v xml:space="preserve"> </v>
      </c>
      <c r="F6834">
        <v>0.25</v>
      </c>
      <c r="G6834" s="37" t="str">
        <f t="shared" si="531"/>
        <v>Normal Discount</v>
      </c>
      <c r="H6834" s="37" t="str">
        <f t="shared" si="532"/>
        <v>Medium</v>
      </c>
      <c r="I6834">
        <v>1</v>
      </c>
      <c r="J6834" t="str" cm="1">
        <f t="array" ref="J6834">_xlfn.IFS(I6834&lt;=3,"small",I6834&lt;=6,"Medium",I6834&lt;=9,"Large")</f>
        <v>small</v>
      </c>
      <c r="K6834" s="36">
        <v>45316</v>
      </c>
      <c r="L6834" s="36">
        <v>45319</v>
      </c>
      <c r="M6834" t="s">
        <v>598</v>
      </c>
      <c r="N6834" t="s">
        <v>604</v>
      </c>
      <c r="O6834" s="37" t="str">
        <f t="shared" si="533"/>
        <v>Digital Payment</v>
      </c>
      <c r="P6834">
        <v>877.18</v>
      </c>
      <c r="Q6834" s="37" t="str">
        <f>IF(P6834&gt;500,"High","low")</f>
        <v>High</v>
      </c>
      <c r="R6834" s="37" t="str">
        <f t="shared" si="534"/>
        <v>Good</v>
      </c>
      <c r="S6834" t="s">
        <v>615</v>
      </c>
    </row>
    <row r="6835" spans="1:19" x14ac:dyDescent="0.2">
      <c r="A6835" t="s">
        <v>7446</v>
      </c>
      <c r="B6835" t="s">
        <v>67</v>
      </c>
      <c r="C6835" t="s">
        <v>597</v>
      </c>
      <c r="D6835">
        <v>1176.6500000000001</v>
      </c>
      <c r="E6835" s="37" t="str">
        <f t="shared" si="530"/>
        <v xml:space="preserve"> </v>
      </c>
      <c r="F6835">
        <v>0.31</v>
      </c>
      <c r="G6835" s="37" t="str">
        <f t="shared" si="531"/>
        <v>Heavy Discount</v>
      </c>
      <c r="H6835" s="37" t="str">
        <f t="shared" si="532"/>
        <v>Medium</v>
      </c>
      <c r="I6835">
        <v>6</v>
      </c>
      <c r="J6835" t="str" cm="1">
        <f t="array" ref="J6835">_xlfn.IFS(I6835&lt;=3,"small",I6835&lt;=6,"Medium",I6835&lt;=9,"Large")</f>
        <v>Medium</v>
      </c>
      <c r="K6835" s="36">
        <v>45607</v>
      </c>
      <c r="L6835" s="36">
        <v>45610</v>
      </c>
      <c r="M6835" t="s">
        <v>603</v>
      </c>
      <c r="N6835" t="s">
        <v>608</v>
      </c>
      <c r="O6835" s="37" t="str">
        <f t="shared" si="533"/>
        <v>Cash Payment</v>
      </c>
      <c r="P6835">
        <v>104.6</v>
      </c>
      <c r="Q6835" s="37" t="str">
        <f>IF(P6835&gt;500,"High","low")</f>
        <v>low</v>
      </c>
      <c r="R6835" s="37" t="str">
        <f t="shared" si="534"/>
        <v>AVERAGE</v>
      </c>
      <c r="S6835" t="s">
        <v>605</v>
      </c>
    </row>
    <row r="6836" spans="1:19" x14ac:dyDescent="0.2">
      <c r="A6836" t="s">
        <v>7447</v>
      </c>
      <c r="B6836" t="s">
        <v>67</v>
      </c>
      <c r="C6836" t="s">
        <v>617</v>
      </c>
      <c r="D6836">
        <v>3119.8</v>
      </c>
      <c r="E6836" s="37" t="str">
        <f t="shared" si="530"/>
        <v xml:space="preserve"> </v>
      </c>
      <c r="F6836">
        <v>0.1</v>
      </c>
      <c r="G6836" s="37" t="str">
        <f t="shared" si="531"/>
        <v>Normal Discount</v>
      </c>
      <c r="H6836" s="37" t="str">
        <f t="shared" si="532"/>
        <v>Low</v>
      </c>
      <c r="I6836">
        <v>2</v>
      </c>
      <c r="J6836" t="str" cm="1">
        <f t="array" ref="J6836">_xlfn.IFS(I6836&lt;=3,"small",I6836&lt;=6,"Medium",I6836&lt;=9,"Large")</f>
        <v>small</v>
      </c>
      <c r="K6836" s="36">
        <v>45071</v>
      </c>
      <c r="L6836" s="36">
        <v>45072</v>
      </c>
      <c r="M6836" t="s">
        <v>598</v>
      </c>
      <c r="N6836" t="s">
        <v>608</v>
      </c>
      <c r="O6836" s="37" t="str">
        <f t="shared" si="533"/>
        <v>Cash Payment</v>
      </c>
      <c r="P6836">
        <v>856.42</v>
      </c>
      <c r="Q6836" s="37" t="str">
        <f>IF(P6836&gt;500,"High","low")</f>
        <v>High</v>
      </c>
      <c r="R6836" s="37" t="str">
        <f t="shared" si="534"/>
        <v>Good</v>
      </c>
      <c r="S6836" t="s">
        <v>628</v>
      </c>
    </row>
    <row r="6837" spans="1:19" x14ac:dyDescent="0.2">
      <c r="A6837" t="s">
        <v>7448</v>
      </c>
      <c r="B6837" t="s">
        <v>75</v>
      </c>
      <c r="C6837" t="s">
        <v>614</v>
      </c>
      <c r="D6837">
        <v>4041.03</v>
      </c>
      <c r="E6837" s="37" t="str">
        <f t="shared" si="530"/>
        <v>Excellent Order</v>
      </c>
      <c r="F6837">
        <v>0.33</v>
      </c>
      <c r="G6837" s="37" t="str">
        <f t="shared" si="531"/>
        <v>Heavy Discount</v>
      </c>
      <c r="H6837" s="37" t="str">
        <f t="shared" si="532"/>
        <v>Medium</v>
      </c>
      <c r="I6837">
        <v>2</v>
      </c>
      <c r="J6837" t="str" cm="1">
        <f t="array" ref="J6837">_xlfn.IFS(I6837&lt;=3,"small",I6837&lt;=6,"Medium",I6837&lt;=9,"Large")</f>
        <v>small</v>
      </c>
      <c r="K6837" s="36">
        <v>45478</v>
      </c>
      <c r="L6837" s="36">
        <v>45484</v>
      </c>
      <c r="M6837" t="s">
        <v>603</v>
      </c>
      <c r="N6837" t="s">
        <v>604</v>
      </c>
      <c r="O6837" s="37" t="str">
        <f t="shared" si="533"/>
        <v>Digital Payment</v>
      </c>
      <c r="P6837">
        <v>856.84</v>
      </c>
      <c r="Q6837" s="37" t="str">
        <f>IF(P6837&gt;500,"High","low")</f>
        <v>High</v>
      </c>
      <c r="R6837" s="37" t="str">
        <f t="shared" si="534"/>
        <v>Good</v>
      </c>
      <c r="S6837" t="s">
        <v>615</v>
      </c>
    </row>
    <row r="6838" spans="1:19" x14ac:dyDescent="0.2">
      <c r="A6838" t="s">
        <v>7449</v>
      </c>
      <c r="B6838" t="s">
        <v>90</v>
      </c>
      <c r="C6838" t="s">
        <v>617</v>
      </c>
      <c r="D6838">
        <v>781.64</v>
      </c>
      <c r="E6838" s="37" t="str">
        <f t="shared" si="530"/>
        <v xml:space="preserve"> </v>
      </c>
      <c r="F6838">
        <v>0.02</v>
      </c>
      <c r="G6838" s="37" t="str">
        <f t="shared" si="531"/>
        <v>Normal Discount</v>
      </c>
      <c r="H6838" s="37" t="str">
        <f t="shared" si="532"/>
        <v>Low</v>
      </c>
      <c r="I6838">
        <v>9</v>
      </c>
      <c r="J6838" t="str" cm="1">
        <f t="array" ref="J6838">_xlfn.IFS(I6838&lt;=3,"small",I6838&lt;=6,"Medium",I6838&lt;=9,"Large")</f>
        <v>Large</v>
      </c>
      <c r="K6838" s="36">
        <v>45436</v>
      </c>
      <c r="L6838" s="36">
        <v>45437</v>
      </c>
      <c r="M6838" t="s">
        <v>598</v>
      </c>
      <c r="N6838" t="s">
        <v>599</v>
      </c>
      <c r="O6838" s="37" t="str">
        <f t="shared" si="533"/>
        <v>Digital Payment</v>
      </c>
      <c r="P6838">
        <v>210.62</v>
      </c>
      <c r="Q6838" s="37" t="str">
        <f>IF(P6838&gt;500,"High","low")</f>
        <v>low</v>
      </c>
      <c r="R6838" s="37" t="str">
        <f t="shared" si="534"/>
        <v>AVERAGE</v>
      </c>
      <c r="S6838" t="s">
        <v>615</v>
      </c>
    </row>
    <row r="6839" spans="1:19" x14ac:dyDescent="0.2">
      <c r="A6839" t="s">
        <v>7450</v>
      </c>
      <c r="B6839" t="s">
        <v>83</v>
      </c>
      <c r="C6839" t="s">
        <v>614</v>
      </c>
      <c r="D6839">
        <v>3032.62</v>
      </c>
      <c r="E6839" s="37" t="str">
        <f t="shared" si="530"/>
        <v xml:space="preserve"> </v>
      </c>
      <c r="F6839">
        <v>0.45</v>
      </c>
      <c r="G6839" s="37" t="str">
        <f t="shared" si="531"/>
        <v>Heavy Discount</v>
      </c>
      <c r="H6839" s="37" t="str">
        <f t="shared" si="532"/>
        <v>High</v>
      </c>
      <c r="I6839">
        <v>2</v>
      </c>
      <c r="J6839" t="str" cm="1">
        <f t="array" ref="J6839">_xlfn.IFS(I6839&lt;=3,"small",I6839&lt;=6,"Medium",I6839&lt;=9,"Large")</f>
        <v>small</v>
      </c>
      <c r="K6839" s="36">
        <v>45347</v>
      </c>
      <c r="L6839" s="36">
        <v>45349</v>
      </c>
      <c r="M6839" t="s">
        <v>612</v>
      </c>
      <c r="N6839" t="s">
        <v>604</v>
      </c>
      <c r="O6839" s="37" t="str">
        <f t="shared" si="533"/>
        <v>Digital Payment</v>
      </c>
      <c r="P6839">
        <v>281.31</v>
      </c>
      <c r="Q6839" s="37" t="str">
        <f>IF(P6839&gt;500,"High","low")</f>
        <v>low</v>
      </c>
      <c r="R6839" s="37" t="str">
        <f t="shared" si="534"/>
        <v>AVERAGE</v>
      </c>
      <c r="S6839" t="s">
        <v>620</v>
      </c>
    </row>
    <row r="6840" spans="1:19" x14ac:dyDescent="0.2">
      <c r="A6840" t="s">
        <v>7451</v>
      </c>
      <c r="B6840" t="s">
        <v>83</v>
      </c>
      <c r="C6840" t="s">
        <v>607</v>
      </c>
      <c r="D6840">
        <v>3477.93</v>
      </c>
      <c r="E6840" s="37" t="str">
        <f t="shared" si="530"/>
        <v xml:space="preserve"> </v>
      </c>
      <c r="F6840">
        <v>0.38</v>
      </c>
      <c r="G6840" s="37" t="str">
        <f t="shared" si="531"/>
        <v>Heavy Discount</v>
      </c>
      <c r="H6840" s="37" t="str">
        <f t="shared" si="532"/>
        <v>Medium</v>
      </c>
      <c r="I6840">
        <v>9</v>
      </c>
      <c r="J6840" t="str" cm="1">
        <f t="array" ref="J6840">_xlfn.IFS(I6840&lt;=3,"small",I6840&lt;=6,"Medium",I6840&lt;=9,"Large")</f>
        <v>Large</v>
      </c>
      <c r="K6840" s="36">
        <v>45011</v>
      </c>
      <c r="L6840" s="36">
        <v>45018</v>
      </c>
      <c r="M6840" t="s">
        <v>598</v>
      </c>
      <c r="N6840" t="s">
        <v>608</v>
      </c>
      <c r="O6840" s="37" t="str">
        <f t="shared" si="533"/>
        <v>Cash Payment</v>
      </c>
      <c r="P6840">
        <v>676.98</v>
      </c>
      <c r="Q6840" s="37" t="str">
        <f>IF(P6840&gt;500,"High","low")</f>
        <v>High</v>
      </c>
      <c r="R6840" s="37" t="str">
        <f t="shared" si="534"/>
        <v>Good</v>
      </c>
      <c r="S6840" t="s">
        <v>609</v>
      </c>
    </row>
    <row r="6841" spans="1:19" x14ac:dyDescent="0.2">
      <c r="A6841" t="s">
        <v>7452</v>
      </c>
      <c r="B6841" t="s">
        <v>90</v>
      </c>
      <c r="C6841" t="s">
        <v>614</v>
      </c>
      <c r="D6841">
        <v>3758</v>
      </c>
      <c r="E6841" s="37" t="str">
        <f t="shared" si="530"/>
        <v xml:space="preserve"> </v>
      </c>
      <c r="F6841">
        <v>0.47</v>
      </c>
      <c r="G6841" s="37" t="str">
        <f t="shared" si="531"/>
        <v>Heavy Discount</v>
      </c>
      <c r="H6841" s="37" t="str">
        <f t="shared" si="532"/>
        <v>High</v>
      </c>
      <c r="I6841">
        <v>8</v>
      </c>
      <c r="J6841" t="str" cm="1">
        <f t="array" ref="J6841">_xlfn.IFS(I6841&lt;=3,"small",I6841&lt;=6,"Medium",I6841&lt;=9,"Large")</f>
        <v>Large</v>
      </c>
      <c r="K6841" s="36">
        <v>45624</v>
      </c>
      <c r="L6841" s="36">
        <v>45625</v>
      </c>
      <c r="M6841" t="s">
        <v>612</v>
      </c>
      <c r="N6841" t="s">
        <v>599</v>
      </c>
      <c r="O6841" s="37" t="str">
        <f t="shared" si="533"/>
        <v>Digital Payment</v>
      </c>
      <c r="P6841">
        <v>201.06</v>
      </c>
      <c r="Q6841" s="37" t="str">
        <f>IF(P6841&gt;500,"High","low")</f>
        <v>low</v>
      </c>
      <c r="R6841" s="37" t="str">
        <f t="shared" si="534"/>
        <v>AVERAGE</v>
      </c>
      <c r="S6841" t="s">
        <v>605</v>
      </c>
    </row>
    <row r="6842" spans="1:19" x14ac:dyDescent="0.2">
      <c r="A6842" t="s">
        <v>7453</v>
      </c>
      <c r="B6842" t="s">
        <v>83</v>
      </c>
      <c r="C6842" t="s">
        <v>602</v>
      </c>
      <c r="D6842">
        <v>823.57</v>
      </c>
      <c r="E6842" s="37" t="str">
        <f t="shared" si="530"/>
        <v xml:space="preserve"> </v>
      </c>
      <c r="F6842">
        <v>0.21</v>
      </c>
      <c r="G6842" s="37" t="str">
        <f t="shared" si="531"/>
        <v>Normal Discount</v>
      </c>
      <c r="H6842" s="37" t="str">
        <f t="shared" si="532"/>
        <v>Medium</v>
      </c>
      <c r="I6842">
        <v>7</v>
      </c>
      <c r="J6842" t="str" cm="1">
        <f t="array" ref="J6842">_xlfn.IFS(I6842&lt;=3,"small",I6842&lt;=6,"Medium",I6842&lt;=9,"Large")</f>
        <v>Large</v>
      </c>
      <c r="K6842" s="36">
        <v>45477</v>
      </c>
      <c r="L6842" s="36">
        <v>45483</v>
      </c>
      <c r="M6842" t="s">
        <v>603</v>
      </c>
      <c r="N6842" t="s">
        <v>604</v>
      </c>
      <c r="O6842" s="37" t="str">
        <f t="shared" si="533"/>
        <v>Digital Payment</v>
      </c>
      <c r="P6842">
        <v>60.29</v>
      </c>
      <c r="Q6842" s="37" t="str">
        <f>IF(P6842&gt;500,"High","low")</f>
        <v>low</v>
      </c>
      <c r="R6842" s="37" t="str">
        <f t="shared" si="534"/>
        <v>AVERAGE</v>
      </c>
      <c r="S6842" t="s">
        <v>605</v>
      </c>
    </row>
    <row r="6843" spans="1:19" x14ac:dyDescent="0.2">
      <c r="A6843" t="s">
        <v>7454</v>
      </c>
      <c r="B6843" t="s">
        <v>67</v>
      </c>
      <c r="C6843" t="s">
        <v>597</v>
      </c>
      <c r="D6843">
        <v>4143.07</v>
      </c>
      <c r="E6843" s="37" t="str">
        <f t="shared" si="530"/>
        <v xml:space="preserve"> </v>
      </c>
      <c r="F6843">
        <v>0.02</v>
      </c>
      <c r="G6843" s="37" t="str">
        <f t="shared" si="531"/>
        <v>Normal Discount</v>
      </c>
      <c r="H6843" s="37" t="str">
        <f t="shared" si="532"/>
        <v>Low</v>
      </c>
      <c r="I6843">
        <v>8</v>
      </c>
      <c r="J6843" t="str" cm="1">
        <f t="array" ref="J6843">_xlfn.IFS(I6843&lt;=3,"small",I6843&lt;=6,"Medium",I6843&lt;=9,"Large")</f>
        <v>Large</v>
      </c>
      <c r="K6843" s="36">
        <v>45629</v>
      </c>
      <c r="L6843" s="36">
        <v>45634</v>
      </c>
      <c r="M6843" t="s">
        <v>603</v>
      </c>
      <c r="N6843" t="s">
        <v>608</v>
      </c>
      <c r="O6843" s="37" t="str">
        <f t="shared" si="533"/>
        <v>Cash Payment</v>
      </c>
      <c r="P6843">
        <v>566.92999999999995</v>
      </c>
      <c r="Q6843" s="37" t="str">
        <f>IF(P6843&gt;500,"High","low")</f>
        <v>High</v>
      </c>
      <c r="R6843" s="37" t="str">
        <f t="shared" si="534"/>
        <v>Good</v>
      </c>
      <c r="S6843" t="s">
        <v>615</v>
      </c>
    </row>
    <row r="6844" spans="1:19" x14ac:dyDescent="0.2">
      <c r="A6844" t="s">
        <v>7455</v>
      </c>
      <c r="B6844" t="s">
        <v>83</v>
      </c>
      <c r="C6844" t="s">
        <v>607</v>
      </c>
      <c r="D6844">
        <v>561.33000000000004</v>
      </c>
      <c r="E6844" s="37" t="str">
        <f t="shared" si="530"/>
        <v xml:space="preserve"> </v>
      </c>
      <c r="F6844">
        <v>0.17</v>
      </c>
      <c r="G6844" s="37" t="str">
        <f t="shared" si="531"/>
        <v>Normal Discount</v>
      </c>
      <c r="H6844" s="37" t="str">
        <f t="shared" si="532"/>
        <v>Low</v>
      </c>
      <c r="I6844">
        <v>9</v>
      </c>
      <c r="J6844" t="str" cm="1">
        <f t="array" ref="J6844">_xlfn.IFS(I6844&lt;=3,"small",I6844&lt;=6,"Medium",I6844&lt;=9,"Large")</f>
        <v>Large</v>
      </c>
      <c r="K6844" s="36">
        <v>44954</v>
      </c>
      <c r="L6844" s="36">
        <v>44958</v>
      </c>
      <c r="M6844" t="s">
        <v>612</v>
      </c>
      <c r="N6844" t="s">
        <v>608</v>
      </c>
      <c r="O6844" s="37" t="str">
        <f t="shared" si="533"/>
        <v>Cash Payment</v>
      </c>
      <c r="P6844">
        <v>67.78</v>
      </c>
      <c r="Q6844" s="37" t="str">
        <f>IF(P6844&gt;500,"High","low")</f>
        <v>low</v>
      </c>
      <c r="R6844" s="37" t="str">
        <f t="shared" si="534"/>
        <v>AVERAGE</v>
      </c>
      <c r="S6844" t="s">
        <v>600</v>
      </c>
    </row>
    <row r="6845" spans="1:19" x14ac:dyDescent="0.2">
      <c r="A6845" t="s">
        <v>7456</v>
      </c>
      <c r="B6845" t="s">
        <v>75</v>
      </c>
      <c r="C6845" t="s">
        <v>597</v>
      </c>
      <c r="D6845">
        <v>2645.96</v>
      </c>
      <c r="E6845" s="37" t="str">
        <f t="shared" si="530"/>
        <v xml:space="preserve"> </v>
      </c>
      <c r="F6845">
        <v>0.26</v>
      </c>
      <c r="G6845" s="37" t="str">
        <f t="shared" si="531"/>
        <v>Normal Discount</v>
      </c>
      <c r="H6845" s="37" t="str">
        <f t="shared" si="532"/>
        <v>Medium</v>
      </c>
      <c r="I6845">
        <v>9</v>
      </c>
      <c r="J6845" t="str" cm="1">
        <f t="array" ref="J6845">_xlfn.IFS(I6845&lt;=3,"small",I6845&lt;=6,"Medium",I6845&lt;=9,"Large")</f>
        <v>Large</v>
      </c>
      <c r="K6845" s="36">
        <v>45101</v>
      </c>
      <c r="L6845" s="36">
        <v>45105</v>
      </c>
      <c r="M6845" t="s">
        <v>603</v>
      </c>
      <c r="N6845" t="s">
        <v>604</v>
      </c>
      <c r="O6845" s="37" t="str">
        <f t="shared" si="533"/>
        <v>Digital Payment</v>
      </c>
      <c r="P6845">
        <v>661.88</v>
      </c>
      <c r="Q6845" s="37" t="str">
        <f>IF(P6845&gt;500,"High","low")</f>
        <v>High</v>
      </c>
      <c r="R6845" s="37" t="str">
        <f t="shared" si="534"/>
        <v>Good</v>
      </c>
      <c r="S6845" t="s">
        <v>628</v>
      </c>
    </row>
    <row r="6846" spans="1:19" x14ac:dyDescent="0.2">
      <c r="A6846" t="s">
        <v>7457</v>
      </c>
      <c r="B6846" t="s">
        <v>67</v>
      </c>
      <c r="C6846" t="s">
        <v>617</v>
      </c>
      <c r="D6846">
        <v>2272.7199999999998</v>
      </c>
      <c r="E6846" s="37" t="str">
        <f t="shared" si="530"/>
        <v xml:space="preserve"> </v>
      </c>
      <c r="F6846">
        <v>0.47</v>
      </c>
      <c r="G6846" s="37" t="str">
        <f t="shared" si="531"/>
        <v>Heavy Discount</v>
      </c>
      <c r="H6846" s="37" t="str">
        <f t="shared" si="532"/>
        <v>High</v>
      </c>
      <c r="I6846">
        <v>3</v>
      </c>
      <c r="J6846" t="str" cm="1">
        <f t="array" ref="J6846">_xlfn.IFS(I6846&lt;=3,"small",I6846&lt;=6,"Medium",I6846&lt;=9,"Large")</f>
        <v>small</v>
      </c>
      <c r="K6846" s="36">
        <v>45163</v>
      </c>
      <c r="L6846" s="36">
        <v>45170</v>
      </c>
      <c r="M6846" t="s">
        <v>612</v>
      </c>
      <c r="N6846" t="s">
        <v>599</v>
      </c>
      <c r="O6846" s="37" t="str">
        <f t="shared" si="533"/>
        <v>Digital Payment</v>
      </c>
      <c r="P6846">
        <v>422.59</v>
      </c>
      <c r="Q6846" s="37" t="str">
        <f>IF(P6846&gt;500,"High","low")</f>
        <v>low</v>
      </c>
      <c r="R6846" s="37" t="str">
        <f t="shared" si="534"/>
        <v>AVERAGE</v>
      </c>
      <c r="S6846" t="s">
        <v>620</v>
      </c>
    </row>
    <row r="6847" spans="1:19" x14ac:dyDescent="0.2">
      <c r="A6847" t="s">
        <v>7458</v>
      </c>
      <c r="B6847" t="s">
        <v>67</v>
      </c>
      <c r="C6847" t="s">
        <v>607</v>
      </c>
      <c r="D6847">
        <v>1186.6500000000001</v>
      </c>
      <c r="E6847" s="37" t="str">
        <f t="shared" si="530"/>
        <v xml:space="preserve"> </v>
      </c>
      <c r="F6847">
        <v>0.44</v>
      </c>
      <c r="G6847" s="37" t="str">
        <f t="shared" si="531"/>
        <v>Heavy Discount</v>
      </c>
      <c r="H6847" s="37" t="str">
        <f t="shared" si="532"/>
        <v>High</v>
      </c>
      <c r="I6847">
        <v>1</v>
      </c>
      <c r="J6847" t="str" cm="1">
        <f t="array" ref="J6847">_xlfn.IFS(I6847&lt;=3,"small",I6847&lt;=6,"Medium",I6847&lt;=9,"Large")</f>
        <v>small</v>
      </c>
      <c r="K6847" s="36">
        <v>45485</v>
      </c>
      <c r="L6847" s="36">
        <v>45491</v>
      </c>
      <c r="M6847" t="s">
        <v>612</v>
      </c>
      <c r="N6847" t="s">
        <v>604</v>
      </c>
      <c r="O6847" s="37" t="str">
        <f t="shared" si="533"/>
        <v>Digital Payment</v>
      </c>
      <c r="P6847">
        <v>327.77</v>
      </c>
      <c r="Q6847" s="37" t="str">
        <f>IF(P6847&gt;500,"High","low")</f>
        <v>low</v>
      </c>
      <c r="R6847" s="37" t="str">
        <f t="shared" si="534"/>
        <v>AVERAGE</v>
      </c>
      <c r="S6847" t="s">
        <v>620</v>
      </c>
    </row>
    <row r="6848" spans="1:19" x14ac:dyDescent="0.2">
      <c r="A6848" t="s">
        <v>7459</v>
      </c>
      <c r="B6848" t="s">
        <v>67</v>
      </c>
      <c r="C6848" t="s">
        <v>602</v>
      </c>
      <c r="D6848">
        <v>1579.46</v>
      </c>
      <c r="E6848" s="37" t="str">
        <f t="shared" si="530"/>
        <v xml:space="preserve"> </v>
      </c>
      <c r="F6848">
        <v>0.3</v>
      </c>
      <c r="G6848" s="37" t="str">
        <f t="shared" si="531"/>
        <v>Normal Discount</v>
      </c>
      <c r="H6848" s="37" t="str">
        <f t="shared" si="532"/>
        <v>Medium</v>
      </c>
      <c r="I6848">
        <v>8</v>
      </c>
      <c r="J6848" t="str" cm="1">
        <f t="array" ref="J6848">_xlfn.IFS(I6848&lt;=3,"small",I6848&lt;=6,"Medium",I6848&lt;=9,"Large")</f>
        <v>Large</v>
      </c>
      <c r="K6848" s="36">
        <v>45036</v>
      </c>
      <c r="L6848" s="36">
        <v>45037</v>
      </c>
      <c r="M6848" t="s">
        <v>598</v>
      </c>
      <c r="N6848" t="s">
        <v>608</v>
      </c>
      <c r="O6848" s="37" t="str">
        <f t="shared" si="533"/>
        <v>Cash Payment</v>
      </c>
      <c r="P6848">
        <v>455.05</v>
      </c>
      <c r="Q6848" s="37" t="str">
        <f>IF(P6848&gt;500,"High","low")</f>
        <v>low</v>
      </c>
      <c r="R6848" s="37" t="str">
        <f t="shared" si="534"/>
        <v>AVERAGE</v>
      </c>
      <c r="S6848" t="s">
        <v>609</v>
      </c>
    </row>
    <row r="6849" spans="1:19" x14ac:dyDescent="0.2">
      <c r="A6849" t="s">
        <v>7460</v>
      </c>
      <c r="B6849" t="s">
        <v>90</v>
      </c>
      <c r="C6849" t="s">
        <v>597</v>
      </c>
      <c r="D6849">
        <v>905.74</v>
      </c>
      <c r="E6849" s="37" t="str">
        <f t="shared" si="530"/>
        <v xml:space="preserve"> </v>
      </c>
      <c r="F6849">
        <v>0.36</v>
      </c>
      <c r="G6849" s="37" t="str">
        <f t="shared" si="531"/>
        <v>Heavy Discount</v>
      </c>
      <c r="H6849" s="37" t="str">
        <f t="shared" si="532"/>
        <v>Medium</v>
      </c>
      <c r="I6849">
        <v>4</v>
      </c>
      <c r="J6849" t="str" cm="1">
        <f t="array" ref="J6849">_xlfn.IFS(I6849&lt;=3,"small",I6849&lt;=6,"Medium",I6849&lt;=9,"Large")</f>
        <v>Medium</v>
      </c>
      <c r="K6849" s="36">
        <v>45412</v>
      </c>
      <c r="L6849" s="36">
        <v>45418</v>
      </c>
      <c r="M6849" t="s">
        <v>598</v>
      </c>
      <c r="N6849" t="s">
        <v>608</v>
      </c>
      <c r="O6849" s="37" t="str">
        <f t="shared" si="533"/>
        <v>Cash Payment</v>
      </c>
      <c r="P6849">
        <v>242.51</v>
      </c>
      <c r="Q6849" s="37" t="str">
        <f>IF(P6849&gt;500,"High","low")</f>
        <v>low</v>
      </c>
      <c r="R6849" s="37" t="str">
        <f t="shared" si="534"/>
        <v>AVERAGE</v>
      </c>
      <c r="S6849" t="s">
        <v>628</v>
      </c>
    </row>
    <row r="6850" spans="1:19" x14ac:dyDescent="0.2">
      <c r="A6850" t="s">
        <v>7461</v>
      </c>
      <c r="B6850" t="s">
        <v>90</v>
      </c>
      <c r="C6850" t="s">
        <v>614</v>
      </c>
      <c r="D6850">
        <v>2186.06</v>
      </c>
      <c r="E6850" s="37" t="str">
        <f t="shared" si="530"/>
        <v xml:space="preserve"> </v>
      </c>
      <c r="F6850">
        <v>0.48</v>
      </c>
      <c r="G6850" s="37" t="str">
        <f t="shared" si="531"/>
        <v>Heavy Discount</v>
      </c>
      <c r="H6850" s="37" t="str">
        <f t="shared" si="532"/>
        <v>High</v>
      </c>
      <c r="I6850">
        <v>5</v>
      </c>
      <c r="J6850" t="str" cm="1">
        <f t="array" ref="J6850">_xlfn.IFS(I6850&lt;=3,"small",I6850&lt;=6,"Medium",I6850&lt;=9,"Large")</f>
        <v>Medium</v>
      </c>
      <c r="K6850" s="36">
        <v>45314</v>
      </c>
      <c r="L6850" s="36">
        <v>45321</v>
      </c>
      <c r="M6850" t="s">
        <v>598</v>
      </c>
      <c r="N6850" t="s">
        <v>604</v>
      </c>
      <c r="O6850" s="37" t="str">
        <f t="shared" si="533"/>
        <v>Digital Payment</v>
      </c>
      <c r="P6850">
        <v>264.79000000000002</v>
      </c>
      <c r="Q6850" s="37" t="str">
        <f>IF(P6850&gt;500,"High","low")</f>
        <v>low</v>
      </c>
      <c r="R6850" s="37" t="str">
        <f t="shared" si="534"/>
        <v>AVERAGE</v>
      </c>
      <c r="S6850" t="s">
        <v>628</v>
      </c>
    </row>
    <row r="6851" spans="1:19" x14ac:dyDescent="0.2">
      <c r="A6851" t="s">
        <v>7462</v>
      </c>
      <c r="B6851" t="s">
        <v>67</v>
      </c>
      <c r="C6851" t="s">
        <v>614</v>
      </c>
      <c r="D6851">
        <v>274</v>
      </c>
      <c r="E6851" s="37" t="str">
        <f t="shared" ref="E6851:E6914" si="535">IF(AND(D6851&gt;4000,P6851&gt;800),"Excellent Order"," ")</f>
        <v xml:space="preserve"> </v>
      </c>
      <c r="F6851">
        <v>0.43</v>
      </c>
      <c r="G6851" s="37" t="str">
        <f t="shared" ref="G6851:G6914" si="536">IF(F6851&gt;30%,"Heavy Discount","Normal Discount")</f>
        <v>Heavy Discount</v>
      </c>
      <c r="H6851" s="37" t="str">
        <f t="shared" ref="H6851:H6914" si="537">IF(F6851&gt;0.4,"High",IF(F6851&gt;=0.2,"Medium","Low"))</f>
        <v>High</v>
      </c>
      <c r="I6851">
        <v>6</v>
      </c>
      <c r="J6851" t="str" cm="1">
        <f t="array" ref="J6851">_xlfn.IFS(I6851&lt;=3,"small",I6851&lt;=6,"Medium",I6851&lt;=9,"Large")</f>
        <v>Medium</v>
      </c>
      <c r="K6851" s="36">
        <v>45115</v>
      </c>
      <c r="L6851" s="36">
        <v>45116</v>
      </c>
      <c r="M6851" t="s">
        <v>612</v>
      </c>
      <c r="N6851" t="s">
        <v>604</v>
      </c>
      <c r="O6851" s="37" t="str">
        <f t="shared" ref="O6851:O6914" si="538">IF(OR(N6851="Card",N6851="UPI"),"Digital Payment","Cash Payment")</f>
        <v>Digital Payment</v>
      </c>
      <c r="P6851">
        <v>55.59</v>
      </c>
      <c r="Q6851" s="37" t="str">
        <f>IF(P6851&gt;500,"High","low")</f>
        <v>low</v>
      </c>
      <c r="R6851" s="37" t="str">
        <f t="shared" ref="R6851:R6914" si="539">IF(P6851&gt;1000,"Excellent",IF(P6851&gt;=500,"Good","AVERAGE"))</f>
        <v>AVERAGE</v>
      </c>
      <c r="S6851" t="s">
        <v>628</v>
      </c>
    </row>
    <row r="6852" spans="1:19" x14ac:dyDescent="0.2">
      <c r="A6852" t="s">
        <v>7463</v>
      </c>
      <c r="B6852" t="s">
        <v>90</v>
      </c>
      <c r="C6852" t="s">
        <v>614</v>
      </c>
      <c r="D6852">
        <v>4455.68</v>
      </c>
      <c r="E6852" s="37" t="str">
        <f t="shared" si="535"/>
        <v>Excellent Order</v>
      </c>
      <c r="F6852">
        <v>0.33</v>
      </c>
      <c r="G6852" s="37" t="str">
        <f t="shared" si="536"/>
        <v>Heavy Discount</v>
      </c>
      <c r="H6852" s="37" t="str">
        <f t="shared" si="537"/>
        <v>Medium</v>
      </c>
      <c r="I6852">
        <v>6</v>
      </c>
      <c r="J6852" t="str" cm="1">
        <f t="array" ref="J6852">_xlfn.IFS(I6852&lt;=3,"small",I6852&lt;=6,"Medium",I6852&lt;=9,"Large")</f>
        <v>Medium</v>
      </c>
      <c r="K6852" s="36">
        <v>45200</v>
      </c>
      <c r="L6852" s="36">
        <v>45204</v>
      </c>
      <c r="M6852" t="s">
        <v>598</v>
      </c>
      <c r="N6852" t="s">
        <v>599</v>
      </c>
      <c r="O6852" s="37" t="str">
        <f t="shared" si="538"/>
        <v>Digital Payment</v>
      </c>
      <c r="P6852">
        <v>1071.3699999999999</v>
      </c>
      <c r="Q6852" s="37" t="str">
        <f>IF(P6852&gt;500,"High","low")</f>
        <v>High</v>
      </c>
      <c r="R6852" s="37" t="str">
        <f t="shared" si="539"/>
        <v>Excellent</v>
      </c>
      <c r="S6852" t="s">
        <v>620</v>
      </c>
    </row>
    <row r="6853" spans="1:19" x14ac:dyDescent="0.2">
      <c r="A6853" t="s">
        <v>7464</v>
      </c>
      <c r="B6853" t="s">
        <v>83</v>
      </c>
      <c r="C6853" t="s">
        <v>607</v>
      </c>
      <c r="D6853">
        <v>901.09</v>
      </c>
      <c r="E6853" s="37" t="str">
        <f t="shared" si="535"/>
        <v xml:space="preserve"> </v>
      </c>
      <c r="F6853">
        <v>0.27</v>
      </c>
      <c r="G6853" s="37" t="str">
        <f t="shared" si="536"/>
        <v>Normal Discount</v>
      </c>
      <c r="H6853" s="37" t="str">
        <f t="shared" si="537"/>
        <v>Medium</v>
      </c>
      <c r="I6853">
        <v>7</v>
      </c>
      <c r="J6853" t="str" cm="1">
        <f t="array" ref="J6853">_xlfn.IFS(I6853&lt;=3,"small",I6853&lt;=6,"Medium",I6853&lt;=9,"Large")</f>
        <v>Large</v>
      </c>
      <c r="K6853" s="36">
        <v>45616</v>
      </c>
      <c r="L6853" s="36">
        <v>45618</v>
      </c>
      <c r="M6853" t="s">
        <v>612</v>
      </c>
      <c r="N6853" t="s">
        <v>608</v>
      </c>
      <c r="O6853" s="37" t="str">
        <f t="shared" si="538"/>
        <v>Cash Payment</v>
      </c>
      <c r="P6853">
        <v>164.73</v>
      </c>
      <c r="Q6853" s="37" t="str">
        <f>IF(P6853&gt;500,"High","low")</f>
        <v>low</v>
      </c>
      <c r="R6853" s="37" t="str">
        <f t="shared" si="539"/>
        <v>AVERAGE</v>
      </c>
      <c r="S6853" t="s">
        <v>600</v>
      </c>
    </row>
    <row r="6854" spans="1:19" x14ac:dyDescent="0.2">
      <c r="A6854" t="s">
        <v>7465</v>
      </c>
      <c r="B6854" t="s">
        <v>90</v>
      </c>
      <c r="C6854" t="s">
        <v>602</v>
      </c>
      <c r="D6854">
        <v>4441.49</v>
      </c>
      <c r="E6854" s="37" t="str">
        <f t="shared" si="535"/>
        <v xml:space="preserve"> </v>
      </c>
      <c r="F6854">
        <v>0.24</v>
      </c>
      <c r="G6854" s="37" t="str">
        <f t="shared" si="536"/>
        <v>Normal Discount</v>
      </c>
      <c r="H6854" s="37" t="str">
        <f t="shared" si="537"/>
        <v>Medium</v>
      </c>
      <c r="I6854">
        <v>3</v>
      </c>
      <c r="J6854" t="str" cm="1">
        <f t="array" ref="J6854">_xlfn.IFS(I6854&lt;=3,"small",I6854&lt;=6,"Medium",I6854&lt;=9,"Large")</f>
        <v>small</v>
      </c>
      <c r="K6854" s="36">
        <v>45434</v>
      </c>
      <c r="L6854" s="36">
        <v>45440</v>
      </c>
      <c r="M6854" t="s">
        <v>598</v>
      </c>
      <c r="N6854" t="s">
        <v>608</v>
      </c>
      <c r="O6854" s="37" t="str">
        <f t="shared" si="538"/>
        <v>Cash Payment</v>
      </c>
      <c r="P6854">
        <v>592.54</v>
      </c>
      <c r="Q6854" s="37" t="str">
        <f>IF(P6854&gt;500,"High","low")</f>
        <v>High</v>
      </c>
      <c r="R6854" s="37" t="str">
        <f t="shared" si="539"/>
        <v>Good</v>
      </c>
      <c r="S6854" t="s">
        <v>620</v>
      </c>
    </row>
    <row r="6855" spans="1:19" x14ac:dyDescent="0.2">
      <c r="A6855" t="s">
        <v>7466</v>
      </c>
      <c r="B6855" t="s">
        <v>90</v>
      </c>
      <c r="C6855" t="s">
        <v>602</v>
      </c>
      <c r="D6855">
        <v>4331.53</v>
      </c>
      <c r="E6855" s="37" t="str">
        <f t="shared" si="535"/>
        <v xml:space="preserve"> </v>
      </c>
      <c r="F6855">
        <v>0.38</v>
      </c>
      <c r="G6855" s="37" t="str">
        <f t="shared" si="536"/>
        <v>Heavy Discount</v>
      </c>
      <c r="H6855" s="37" t="str">
        <f t="shared" si="537"/>
        <v>Medium</v>
      </c>
      <c r="I6855">
        <v>2</v>
      </c>
      <c r="J6855" t="str" cm="1">
        <f t="array" ref="J6855">_xlfn.IFS(I6855&lt;=3,"small",I6855&lt;=6,"Medium",I6855&lt;=9,"Large")</f>
        <v>small</v>
      </c>
      <c r="K6855" s="36">
        <v>45531</v>
      </c>
      <c r="L6855" s="36">
        <v>45537</v>
      </c>
      <c r="M6855" t="s">
        <v>598</v>
      </c>
      <c r="N6855" t="s">
        <v>604</v>
      </c>
      <c r="O6855" s="37" t="str">
        <f t="shared" si="538"/>
        <v>Digital Payment</v>
      </c>
      <c r="P6855">
        <v>414.09</v>
      </c>
      <c r="Q6855" s="37" t="str">
        <f>IF(P6855&gt;500,"High","low")</f>
        <v>low</v>
      </c>
      <c r="R6855" s="37" t="str">
        <f t="shared" si="539"/>
        <v>AVERAGE</v>
      </c>
      <c r="S6855" t="s">
        <v>620</v>
      </c>
    </row>
    <row r="6856" spans="1:19" x14ac:dyDescent="0.2">
      <c r="A6856" t="s">
        <v>7467</v>
      </c>
      <c r="B6856" t="s">
        <v>67</v>
      </c>
      <c r="C6856" t="s">
        <v>602</v>
      </c>
      <c r="D6856">
        <v>2313.2199999999998</v>
      </c>
      <c r="E6856" s="37" t="str">
        <f t="shared" si="535"/>
        <v xml:space="preserve"> </v>
      </c>
      <c r="F6856">
        <v>0.4</v>
      </c>
      <c r="G6856" s="37" t="str">
        <f t="shared" si="536"/>
        <v>Heavy Discount</v>
      </c>
      <c r="H6856" s="37" t="str">
        <f t="shared" si="537"/>
        <v>Medium</v>
      </c>
      <c r="I6856">
        <v>9</v>
      </c>
      <c r="J6856" t="str" cm="1">
        <f t="array" ref="J6856">_xlfn.IFS(I6856&lt;=3,"small",I6856&lt;=6,"Medium",I6856&lt;=9,"Large")</f>
        <v>Large</v>
      </c>
      <c r="K6856" s="36">
        <v>45529</v>
      </c>
      <c r="L6856" s="36">
        <v>45532</v>
      </c>
      <c r="M6856" t="s">
        <v>612</v>
      </c>
      <c r="N6856" t="s">
        <v>608</v>
      </c>
      <c r="O6856" s="37" t="str">
        <f t="shared" si="538"/>
        <v>Cash Payment</v>
      </c>
      <c r="P6856">
        <v>672.87</v>
      </c>
      <c r="Q6856" s="37" t="str">
        <f>IF(P6856&gt;500,"High","low")</f>
        <v>High</v>
      </c>
      <c r="R6856" s="37" t="str">
        <f t="shared" si="539"/>
        <v>Good</v>
      </c>
      <c r="S6856" t="s">
        <v>620</v>
      </c>
    </row>
    <row r="6857" spans="1:19" x14ac:dyDescent="0.2">
      <c r="A6857" t="s">
        <v>7468</v>
      </c>
      <c r="B6857" t="s">
        <v>75</v>
      </c>
      <c r="C6857" t="s">
        <v>597</v>
      </c>
      <c r="D6857">
        <v>2538.86</v>
      </c>
      <c r="E6857" s="37" t="str">
        <f t="shared" si="535"/>
        <v xml:space="preserve"> </v>
      </c>
      <c r="F6857">
        <v>0.11</v>
      </c>
      <c r="G6857" s="37" t="str">
        <f t="shared" si="536"/>
        <v>Normal Discount</v>
      </c>
      <c r="H6857" s="37" t="str">
        <f t="shared" si="537"/>
        <v>Low</v>
      </c>
      <c r="I6857">
        <v>2</v>
      </c>
      <c r="J6857" t="str" cm="1">
        <f t="array" ref="J6857">_xlfn.IFS(I6857&lt;=3,"small",I6857&lt;=6,"Medium",I6857&lt;=9,"Large")</f>
        <v>small</v>
      </c>
      <c r="K6857" s="36">
        <v>45171</v>
      </c>
      <c r="L6857" s="36">
        <v>45173</v>
      </c>
      <c r="M6857" t="s">
        <v>598</v>
      </c>
      <c r="N6857" t="s">
        <v>608</v>
      </c>
      <c r="O6857" s="37" t="str">
        <f t="shared" si="538"/>
        <v>Cash Payment</v>
      </c>
      <c r="P6857">
        <v>257.83999999999997</v>
      </c>
      <c r="Q6857" s="37" t="str">
        <f>IF(P6857&gt;500,"High","low")</f>
        <v>low</v>
      </c>
      <c r="R6857" s="37" t="str">
        <f t="shared" si="539"/>
        <v>AVERAGE</v>
      </c>
      <c r="S6857" t="s">
        <v>600</v>
      </c>
    </row>
    <row r="6858" spans="1:19" x14ac:dyDescent="0.2">
      <c r="A6858" t="s">
        <v>7469</v>
      </c>
      <c r="B6858" t="s">
        <v>75</v>
      </c>
      <c r="C6858" t="s">
        <v>607</v>
      </c>
      <c r="D6858">
        <v>1579.38</v>
      </c>
      <c r="E6858" s="37" t="str">
        <f t="shared" si="535"/>
        <v xml:space="preserve"> </v>
      </c>
      <c r="F6858">
        <v>0.24</v>
      </c>
      <c r="G6858" s="37" t="str">
        <f t="shared" si="536"/>
        <v>Normal Discount</v>
      </c>
      <c r="H6858" s="37" t="str">
        <f t="shared" si="537"/>
        <v>Medium</v>
      </c>
      <c r="I6858">
        <v>9</v>
      </c>
      <c r="J6858" t="str" cm="1">
        <f t="array" ref="J6858">_xlfn.IFS(I6858&lt;=3,"small",I6858&lt;=6,"Medium",I6858&lt;=9,"Large")</f>
        <v>Large</v>
      </c>
      <c r="K6858" s="36">
        <v>45439</v>
      </c>
      <c r="L6858" s="36">
        <v>45444</v>
      </c>
      <c r="M6858" t="s">
        <v>612</v>
      </c>
      <c r="N6858" t="s">
        <v>604</v>
      </c>
      <c r="O6858" s="37" t="str">
        <f t="shared" si="538"/>
        <v>Digital Payment</v>
      </c>
      <c r="P6858">
        <v>399.42</v>
      </c>
      <c r="Q6858" s="37" t="str">
        <f>IF(P6858&gt;500,"High","low")</f>
        <v>low</v>
      </c>
      <c r="R6858" s="37" t="str">
        <f t="shared" si="539"/>
        <v>AVERAGE</v>
      </c>
      <c r="S6858" t="s">
        <v>620</v>
      </c>
    </row>
    <row r="6859" spans="1:19" x14ac:dyDescent="0.2">
      <c r="A6859" t="s">
        <v>7470</v>
      </c>
      <c r="B6859" t="s">
        <v>75</v>
      </c>
      <c r="C6859" t="s">
        <v>614</v>
      </c>
      <c r="D6859">
        <v>4984.6899999999996</v>
      </c>
      <c r="E6859" s="37" t="str">
        <f t="shared" si="535"/>
        <v xml:space="preserve"> </v>
      </c>
      <c r="F6859">
        <v>0.39</v>
      </c>
      <c r="G6859" s="37" t="str">
        <f t="shared" si="536"/>
        <v>Heavy Discount</v>
      </c>
      <c r="H6859" s="37" t="str">
        <f t="shared" si="537"/>
        <v>Medium</v>
      </c>
      <c r="I6859">
        <v>4</v>
      </c>
      <c r="J6859" t="str" cm="1">
        <f t="array" ref="J6859">_xlfn.IFS(I6859&lt;=3,"small",I6859&lt;=6,"Medium",I6859&lt;=9,"Large")</f>
        <v>Medium</v>
      </c>
      <c r="K6859" s="36">
        <v>44961</v>
      </c>
      <c r="L6859" s="36">
        <v>44966</v>
      </c>
      <c r="M6859" t="s">
        <v>603</v>
      </c>
      <c r="N6859" t="s">
        <v>604</v>
      </c>
      <c r="O6859" s="37" t="str">
        <f t="shared" si="538"/>
        <v>Digital Payment</v>
      </c>
      <c r="P6859">
        <v>415.19</v>
      </c>
      <c r="Q6859" s="37" t="str">
        <f>IF(P6859&gt;500,"High","low")</f>
        <v>low</v>
      </c>
      <c r="R6859" s="37" t="str">
        <f t="shared" si="539"/>
        <v>AVERAGE</v>
      </c>
      <c r="S6859" t="s">
        <v>620</v>
      </c>
    </row>
    <row r="6860" spans="1:19" x14ac:dyDescent="0.2">
      <c r="A6860" t="s">
        <v>7471</v>
      </c>
      <c r="B6860" t="s">
        <v>83</v>
      </c>
      <c r="C6860" t="s">
        <v>597</v>
      </c>
      <c r="D6860">
        <v>3386.78</v>
      </c>
      <c r="E6860" s="37" t="str">
        <f t="shared" si="535"/>
        <v xml:space="preserve"> </v>
      </c>
      <c r="F6860">
        <v>0.34</v>
      </c>
      <c r="G6860" s="37" t="str">
        <f t="shared" si="536"/>
        <v>Heavy Discount</v>
      </c>
      <c r="H6860" s="37" t="str">
        <f t="shared" si="537"/>
        <v>Medium</v>
      </c>
      <c r="I6860">
        <v>1</v>
      </c>
      <c r="J6860" t="str" cm="1">
        <f t="array" ref="J6860">_xlfn.IFS(I6860&lt;=3,"small",I6860&lt;=6,"Medium",I6860&lt;=9,"Large")</f>
        <v>small</v>
      </c>
      <c r="K6860" s="36">
        <v>45187</v>
      </c>
      <c r="L6860" s="36">
        <v>45190</v>
      </c>
      <c r="M6860" t="s">
        <v>612</v>
      </c>
      <c r="N6860" t="s">
        <v>608</v>
      </c>
      <c r="O6860" s="37" t="str">
        <f t="shared" si="538"/>
        <v>Cash Payment</v>
      </c>
      <c r="P6860">
        <v>1006.02</v>
      </c>
      <c r="Q6860" s="37" t="str">
        <f>IF(P6860&gt;500,"High","low")</f>
        <v>High</v>
      </c>
      <c r="R6860" s="37" t="str">
        <f t="shared" si="539"/>
        <v>Excellent</v>
      </c>
      <c r="S6860" t="s">
        <v>628</v>
      </c>
    </row>
    <row r="6861" spans="1:19" x14ac:dyDescent="0.2">
      <c r="A6861" t="s">
        <v>7472</v>
      </c>
      <c r="B6861" t="s">
        <v>90</v>
      </c>
      <c r="C6861" t="s">
        <v>602</v>
      </c>
      <c r="D6861">
        <v>4763.8599999999997</v>
      </c>
      <c r="E6861" s="37" t="str">
        <f t="shared" si="535"/>
        <v xml:space="preserve"> </v>
      </c>
      <c r="F6861">
        <v>0.3</v>
      </c>
      <c r="G6861" s="37" t="str">
        <f t="shared" si="536"/>
        <v>Normal Discount</v>
      </c>
      <c r="H6861" s="37" t="str">
        <f t="shared" si="537"/>
        <v>Medium</v>
      </c>
      <c r="I6861">
        <v>3</v>
      </c>
      <c r="J6861" t="str" cm="1">
        <f t="array" ref="J6861">_xlfn.IFS(I6861&lt;=3,"small",I6861&lt;=6,"Medium",I6861&lt;=9,"Large")</f>
        <v>small</v>
      </c>
      <c r="K6861" s="36">
        <v>45554</v>
      </c>
      <c r="L6861" s="36">
        <v>45557</v>
      </c>
      <c r="M6861" t="s">
        <v>612</v>
      </c>
      <c r="N6861" t="s">
        <v>599</v>
      </c>
      <c r="O6861" s="37" t="str">
        <f t="shared" si="538"/>
        <v>Digital Payment</v>
      </c>
      <c r="P6861">
        <v>640.07000000000005</v>
      </c>
      <c r="Q6861" s="37" t="str">
        <f>IF(P6861&gt;500,"High","low")</f>
        <v>High</v>
      </c>
      <c r="R6861" s="37" t="str">
        <f t="shared" si="539"/>
        <v>Good</v>
      </c>
      <c r="S6861" t="s">
        <v>628</v>
      </c>
    </row>
    <row r="6862" spans="1:19" x14ac:dyDescent="0.2">
      <c r="A6862" t="s">
        <v>7473</v>
      </c>
      <c r="B6862" t="s">
        <v>75</v>
      </c>
      <c r="C6862" t="s">
        <v>614</v>
      </c>
      <c r="D6862">
        <v>2132.5</v>
      </c>
      <c r="E6862" s="37" t="str">
        <f t="shared" si="535"/>
        <v xml:space="preserve"> </v>
      </c>
      <c r="F6862">
        <v>0.16</v>
      </c>
      <c r="G6862" s="37" t="str">
        <f t="shared" si="536"/>
        <v>Normal Discount</v>
      </c>
      <c r="H6862" s="37" t="str">
        <f t="shared" si="537"/>
        <v>Low</v>
      </c>
      <c r="I6862">
        <v>2</v>
      </c>
      <c r="J6862" t="str" cm="1">
        <f t="array" ref="J6862">_xlfn.IFS(I6862&lt;=3,"small",I6862&lt;=6,"Medium",I6862&lt;=9,"Large")</f>
        <v>small</v>
      </c>
      <c r="K6862" s="36">
        <v>45188</v>
      </c>
      <c r="L6862" s="36">
        <v>45190</v>
      </c>
      <c r="M6862" t="s">
        <v>598</v>
      </c>
      <c r="N6862" t="s">
        <v>604</v>
      </c>
      <c r="O6862" s="37" t="str">
        <f t="shared" si="538"/>
        <v>Digital Payment</v>
      </c>
      <c r="P6862">
        <v>521.70000000000005</v>
      </c>
      <c r="Q6862" s="37" t="str">
        <f>IF(P6862&gt;500,"High","low")</f>
        <v>High</v>
      </c>
      <c r="R6862" s="37" t="str">
        <f t="shared" si="539"/>
        <v>Good</v>
      </c>
      <c r="S6862" t="s">
        <v>605</v>
      </c>
    </row>
    <row r="6863" spans="1:19" x14ac:dyDescent="0.2">
      <c r="A6863" t="s">
        <v>7474</v>
      </c>
      <c r="B6863" t="s">
        <v>67</v>
      </c>
      <c r="C6863" t="s">
        <v>607</v>
      </c>
      <c r="D6863">
        <v>4426.78</v>
      </c>
      <c r="E6863" s="37" t="str">
        <f t="shared" si="535"/>
        <v xml:space="preserve"> </v>
      </c>
      <c r="F6863">
        <v>0.3</v>
      </c>
      <c r="G6863" s="37" t="str">
        <f t="shared" si="536"/>
        <v>Normal Discount</v>
      </c>
      <c r="H6863" s="37" t="str">
        <f t="shared" si="537"/>
        <v>Medium</v>
      </c>
      <c r="I6863">
        <v>4</v>
      </c>
      <c r="J6863" t="str" cm="1">
        <f t="array" ref="J6863">_xlfn.IFS(I6863&lt;=3,"small",I6863&lt;=6,"Medium",I6863&lt;=9,"Large")</f>
        <v>Medium</v>
      </c>
      <c r="K6863" s="36">
        <v>44986</v>
      </c>
      <c r="L6863" s="36">
        <v>44990</v>
      </c>
      <c r="M6863" t="s">
        <v>603</v>
      </c>
      <c r="N6863" t="s">
        <v>604</v>
      </c>
      <c r="O6863" s="37" t="str">
        <f t="shared" si="538"/>
        <v>Digital Payment</v>
      </c>
      <c r="P6863">
        <v>390.11</v>
      </c>
      <c r="Q6863" s="37" t="str">
        <f>IF(P6863&gt;500,"High","low")</f>
        <v>low</v>
      </c>
      <c r="R6863" s="37" t="str">
        <f t="shared" si="539"/>
        <v>AVERAGE</v>
      </c>
      <c r="S6863" t="s">
        <v>609</v>
      </c>
    </row>
    <row r="6864" spans="1:19" x14ac:dyDescent="0.2">
      <c r="A6864" t="s">
        <v>7475</v>
      </c>
      <c r="B6864" t="s">
        <v>75</v>
      </c>
      <c r="C6864" t="s">
        <v>617</v>
      </c>
      <c r="D6864">
        <v>2296.35</v>
      </c>
      <c r="E6864" s="37" t="str">
        <f t="shared" si="535"/>
        <v xml:space="preserve"> </v>
      </c>
      <c r="F6864">
        <v>0.31</v>
      </c>
      <c r="G6864" s="37" t="str">
        <f t="shared" si="536"/>
        <v>Heavy Discount</v>
      </c>
      <c r="H6864" s="37" t="str">
        <f t="shared" si="537"/>
        <v>Medium</v>
      </c>
      <c r="I6864">
        <v>2</v>
      </c>
      <c r="J6864" t="str" cm="1">
        <f t="array" ref="J6864">_xlfn.IFS(I6864&lt;=3,"small",I6864&lt;=6,"Medium",I6864&lt;=9,"Large")</f>
        <v>small</v>
      </c>
      <c r="K6864" s="36">
        <v>45026</v>
      </c>
      <c r="L6864" s="36">
        <v>45029</v>
      </c>
      <c r="M6864" t="s">
        <v>603</v>
      </c>
      <c r="N6864" t="s">
        <v>599</v>
      </c>
      <c r="O6864" s="37" t="str">
        <f t="shared" si="538"/>
        <v>Digital Payment</v>
      </c>
      <c r="P6864">
        <v>526.42999999999995</v>
      </c>
      <c r="Q6864" s="37" t="str">
        <f>IF(P6864&gt;500,"High","low")</f>
        <v>High</v>
      </c>
      <c r="R6864" s="37" t="str">
        <f t="shared" si="539"/>
        <v>Good</v>
      </c>
      <c r="S6864" t="s">
        <v>615</v>
      </c>
    </row>
    <row r="6865" spans="1:19" x14ac:dyDescent="0.2">
      <c r="A6865" t="s">
        <v>7476</v>
      </c>
      <c r="B6865" t="s">
        <v>75</v>
      </c>
      <c r="C6865" t="s">
        <v>602</v>
      </c>
      <c r="D6865">
        <v>4347.46</v>
      </c>
      <c r="E6865" s="37" t="str">
        <f t="shared" si="535"/>
        <v>Excellent Order</v>
      </c>
      <c r="F6865">
        <v>0.22</v>
      </c>
      <c r="G6865" s="37" t="str">
        <f t="shared" si="536"/>
        <v>Normal Discount</v>
      </c>
      <c r="H6865" s="37" t="str">
        <f t="shared" si="537"/>
        <v>Medium</v>
      </c>
      <c r="I6865">
        <v>6</v>
      </c>
      <c r="J6865" t="str" cm="1">
        <f t="array" ref="J6865">_xlfn.IFS(I6865&lt;=3,"small",I6865&lt;=6,"Medium",I6865&lt;=9,"Large")</f>
        <v>Medium</v>
      </c>
      <c r="K6865" s="36">
        <v>45571</v>
      </c>
      <c r="L6865" s="36">
        <v>45573</v>
      </c>
      <c r="M6865" t="s">
        <v>612</v>
      </c>
      <c r="N6865" t="s">
        <v>608</v>
      </c>
      <c r="O6865" s="37" t="str">
        <f t="shared" si="538"/>
        <v>Cash Payment</v>
      </c>
      <c r="P6865">
        <v>967.69</v>
      </c>
      <c r="Q6865" s="37" t="str">
        <f>IF(P6865&gt;500,"High","low")</f>
        <v>High</v>
      </c>
      <c r="R6865" s="37" t="str">
        <f t="shared" si="539"/>
        <v>Good</v>
      </c>
      <c r="S6865" t="s">
        <v>600</v>
      </c>
    </row>
    <row r="6866" spans="1:19" x14ac:dyDescent="0.2">
      <c r="A6866" t="s">
        <v>7477</v>
      </c>
      <c r="B6866" t="s">
        <v>90</v>
      </c>
      <c r="C6866" t="s">
        <v>602</v>
      </c>
      <c r="D6866">
        <v>741.54</v>
      </c>
      <c r="E6866" s="37" t="str">
        <f t="shared" si="535"/>
        <v xml:space="preserve"> </v>
      </c>
      <c r="F6866">
        <v>0.48</v>
      </c>
      <c r="G6866" s="37" t="str">
        <f t="shared" si="536"/>
        <v>Heavy Discount</v>
      </c>
      <c r="H6866" s="37" t="str">
        <f t="shared" si="537"/>
        <v>High</v>
      </c>
      <c r="I6866">
        <v>1</v>
      </c>
      <c r="J6866" t="str" cm="1">
        <f t="array" ref="J6866">_xlfn.IFS(I6866&lt;=3,"small",I6866&lt;=6,"Medium",I6866&lt;=9,"Large")</f>
        <v>small</v>
      </c>
      <c r="K6866" s="36">
        <v>45162</v>
      </c>
      <c r="L6866" s="36">
        <v>45168</v>
      </c>
      <c r="M6866" t="s">
        <v>598</v>
      </c>
      <c r="N6866" t="s">
        <v>608</v>
      </c>
      <c r="O6866" s="37" t="str">
        <f t="shared" si="538"/>
        <v>Cash Payment</v>
      </c>
      <c r="P6866">
        <v>107.47</v>
      </c>
      <c r="Q6866" s="37" t="str">
        <f>IF(P6866&gt;500,"High","low")</f>
        <v>low</v>
      </c>
      <c r="R6866" s="37" t="str">
        <f t="shared" si="539"/>
        <v>AVERAGE</v>
      </c>
      <c r="S6866" t="s">
        <v>609</v>
      </c>
    </row>
    <row r="6867" spans="1:19" x14ac:dyDescent="0.2">
      <c r="A6867" t="s">
        <v>7478</v>
      </c>
      <c r="B6867" t="s">
        <v>90</v>
      </c>
      <c r="C6867" t="s">
        <v>602</v>
      </c>
      <c r="D6867">
        <v>3220.59</v>
      </c>
      <c r="E6867" s="37" t="str">
        <f t="shared" si="535"/>
        <v xml:space="preserve"> </v>
      </c>
      <c r="F6867">
        <v>0.33</v>
      </c>
      <c r="G6867" s="37" t="str">
        <f t="shared" si="536"/>
        <v>Heavy Discount</v>
      </c>
      <c r="H6867" s="37" t="str">
        <f t="shared" si="537"/>
        <v>Medium</v>
      </c>
      <c r="I6867">
        <v>5</v>
      </c>
      <c r="J6867" t="str" cm="1">
        <f t="array" ref="J6867">_xlfn.IFS(I6867&lt;=3,"small",I6867&lt;=6,"Medium",I6867&lt;=9,"Large")</f>
        <v>Medium</v>
      </c>
      <c r="K6867" s="36">
        <v>45598</v>
      </c>
      <c r="L6867" s="36">
        <v>45605</v>
      </c>
      <c r="M6867" t="s">
        <v>603</v>
      </c>
      <c r="N6867" t="s">
        <v>599</v>
      </c>
      <c r="O6867" s="37" t="str">
        <f t="shared" si="538"/>
        <v>Digital Payment</v>
      </c>
      <c r="P6867">
        <v>193.48</v>
      </c>
      <c r="Q6867" s="37" t="str">
        <f>IF(P6867&gt;500,"High","low")</f>
        <v>low</v>
      </c>
      <c r="R6867" s="37" t="str">
        <f t="shared" si="539"/>
        <v>AVERAGE</v>
      </c>
      <c r="S6867" t="s">
        <v>620</v>
      </c>
    </row>
    <row r="6868" spans="1:19" x14ac:dyDescent="0.2">
      <c r="A6868" t="s">
        <v>7479</v>
      </c>
      <c r="B6868" t="s">
        <v>90</v>
      </c>
      <c r="C6868" t="s">
        <v>602</v>
      </c>
      <c r="D6868">
        <v>3425.65</v>
      </c>
      <c r="E6868" s="37" t="str">
        <f t="shared" si="535"/>
        <v xml:space="preserve"> </v>
      </c>
      <c r="F6868">
        <v>0.43</v>
      </c>
      <c r="G6868" s="37" t="str">
        <f t="shared" si="536"/>
        <v>Heavy Discount</v>
      </c>
      <c r="H6868" s="37" t="str">
        <f t="shared" si="537"/>
        <v>High</v>
      </c>
      <c r="I6868">
        <v>9</v>
      </c>
      <c r="J6868" t="str" cm="1">
        <f t="array" ref="J6868">_xlfn.IFS(I6868&lt;=3,"small",I6868&lt;=6,"Medium",I6868&lt;=9,"Large")</f>
        <v>Large</v>
      </c>
      <c r="K6868" s="36">
        <v>45181</v>
      </c>
      <c r="L6868" s="36">
        <v>45183</v>
      </c>
      <c r="M6868" t="s">
        <v>612</v>
      </c>
      <c r="N6868" t="s">
        <v>599</v>
      </c>
      <c r="O6868" s="37" t="str">
        <f t="shared" si="538"/>
        <v>Digital Payment</v>
      </c>
      <c r="P6868">
        <v>524.16</v>
      </c>
      <c r="Q6868" s="37" t="str">
        <f>IF(P6868&gt;500,"High","low")</f>
        <v>High</v>
      </c>
      <c r="R6868" s="37" t="str">
        <f t="shared" si="539"/>
        <v>Good</v>
      </c>
      <c r="S6868" t="s">
        <v>620</v>
      </c>
    </row>
    <row r="6869" spans="1:19" x14ac:dyDescent="0.2">
      <c r="A6869" t="s">
        <v>7480</v>
      </c>
      <c r="B6869" t="s">
        <v>83</v>
      </c>
      <c r="C6869" t="s">
        <v>614</v>
      </c>
      <c r="D6869">
        <v>3315.24</v>
      </c>
      <c r="E6869" s="37" t="str">
        <f t="shared" si="535"/>
        <v xml:space="preserve"> </v>
      </c>
      <c r="F6869">
        <v>0.06</v>
      </c>
      <c r="G6869" s="37" t="str">
        <f t="shared" si="536"/>
        <v>Normal Discount</v>
      </c>
      <c r="H6869" s="37" t="str">
        <f t="shared" si="537"/>
        <v>Low</v>
      </c>
      <c r="I6869">
        <v>1</v>
      </c>
      <c r="J6869" t="str" cm="1">
        <f t="array" ref="J6869">_xlfn.IFS(I6869&lt;=3,"small",I6869&lt;=6,"Medium",I6869&lt;=9,"Large")</f>
        <v>small</v>
      </c>
      <c r="K6869" s="36">
        <v>45533</v>
      </c>
      <c r="L6869" s="36">
        <v>45537</v>
      </c>
      <c r="M6869" t="s">
        <v>598</v>
      </c>
      <c r="N6869" t="s">
        <v>599</v>
      </c>
      <c r="O6869" s="37" t="str">
        <f t="shared" si="538"/>
        <v>Digital Payment</v>
      </c>
      <c r="P6869">
        <v>629.66999999999996</v>
      </c>
      <c r="Q6869" s="37" t="str">
        <f>IF(P6869&gt;500,"High","low")</f>
        <v>High</v>
      </c>
      <c r="R6869" s="37" t="str">
        <f t="shared" si="539"/>
        <v>Good</v>
      </c>
      <c r="S6869" t="s">
        <v>605</v>
      </c>
    </row>
    <row r="6870" spans="1:19" x14ac:dyDescent="0.2">
      <c r="A6870" t="s">
        <v>7481</v>
      </c>
      <c r="B6870" t="s">
        <v>83</v>
      </c>
      <c r="C6870" t="s">
        <v>607</v>
      </c>
      <c r="D6870">
        <v>2290.44</v>
      </c>
      <c r="E6870" s="37" t="str">
        <f t="shared" si="535"/>
        <v xml:space="preserve"> </v>
      </c>
      <c r="F6870">
        <v>0.38</v>
      </c>
      <c r="G6870" s="37" t="str">
        <f t="shared" si="536"/>
        <v>Heavy Discount</v>
      </c>
      <c r="H6870" s="37" t="str">
        <f t="shared" si="537"/>
        <v>Medium</v>
      </c>
      <c r="I6870">
        <v>4</v>
      </c>
      <c r="J6870" t="str" cm="1">
        <f t="array" ref="J6870">_xlfn.IFS(I6870&lt;=3,"small",I6870&lt;=6,"Medium",I6870&lt;=9,"Large")</f>
        <v>Medium</v>
      </c>
      <c r="K6870" s="36">
        <v>44966</v>
      </c>
      <c r="L6870" s="36">
        <v>44972</v>
      </c>
      <c r="M6870" t="s">
        <v>612</v>
      </c>
      <c r="N6870" t="s">
        <v>604</v>
      </c>
      <c r="O6870" s="37" t="str">
        <f t="shared" si="538"/>
        <v>Digital Payment</v>
      </c>
      <c r="P6870">
        <v>146.13</v>
      </c>
      <c r="Q6870" s="37" t="str">
        <f>IF(P6870&gt;500,"High","low")</f>
        <v>low</v>
      </c>
      <c r="R6870" s="37" t="str">
        <f t="shared" si="539"/>
        <v>AVERAGE</v>
      </c>
      <c r="S6870" t="s">
        <v>615</v>
      </c>
    </row>
    <row r="6871" spans="1:19" x14ac:dyDescent="0.2">
      <c r="A6871" t="s">
        <v>7482</v>
      </c>
      <c r="B6871" t="s">
        <v>75</v>
      </c>
      <c r="C6871" t="s">
        <v>597</v>
      </c>
      <c r="D6871">
        <v>3451.19</v>
      </c>
      <c r="E6871" s="37" t="str">
        <f t="shared" si="535"/>
        <v xml:space="preserve"> </v>
      </c>
      <c r="F6871">
        <v>0.3</v>
      </c>
      <c r="G6871" s="37" t="str">
        <f t="shared" si="536"/>
        <v>Normal Discount</v>
      </c>
      <c r="H6871" s="37" t="str">
        <f t="shared" si="537"/>
        <v>Medium</v>
      </c>
      <c r="I6871">
        <v>2</v>
      </c>
      <c r="J6871" t="str" cm="1">
        <f t="array" ref="J6871">_xlfn.IFS(I6871&lt;=3,"small",I6871&lt;=6,"Medium",I6871&lt;=9,"Large")</f>
        <v>small</v>
      </c>
      <c r="K6871" s="36">
        <v>45163</v>
      </c>
      <c r="L6871" s="36">
        <v>45169</v>
      </c>
      <c r="M6871" t="s">
        <v>603</v>
      </c>
      <c r="N6871" t="s">
        <v>604</v>
      </c>
      <c r="O6871" s="37" t="str">
        <f t="shared" si="538"/>
        <v>Digital Payment</v>
      </c>
      <c r="P6871">
        <v>404.73</v>
      </c>
      <c r="Q6871" s="37" t="str">
        <f>IF(P6871&gt;500,"High","low")</f>
        <v>low</v>
      </c>
      <c r="R6871" s="37" t="str">
        <f t="shared" si="539"/>
        <v>AVERAGE</v>
      </c>
      <c r="S6871" t="s">
        <v>628</v>
      </c>
    </row>
    <row r="6872" spans="1:19" x14ac:dyDescent="0.2">
      <c r="A6872" t="s">
        <v>7483</v>
      </c>
      <c r="B6872" t="s">
        <v>90</v>
      </c>
      <c r="C6872" t="s">
        <v>614</v>
      </c>
      <c r="D6872">
        <v>1273.3699999999999</v>
      </c>
      <c r="E6872" s="37" t="str">
        <f t="shared" si="535"/>
        <v xml:space="preserve"> </v>
      </c>
      <c r="F6872">
        <v>0.15</v>
      </c>
      <c r="G6872" s="37" t="str">
        <f t="shared" si="536"/>
        <v>Normal Discount</v>
      </c>
      <c r="H6872" s="37" t="str">
        <f t="shared" si="537"/>
        <v>Low</v>
      </c>
      <c r="I6872">
        <v>2</v>
      </c>
      <c r="J6872" t="str" cm="1">
        <f t="array" ref="J6872">_xlfn.IFS(I6872&lt;=3,"small",I6872&lt;=6,"Medium",I6872&lt;=9,"Large")</f>
        <v>small</v>
      </c>
      <c r="K6872" s="36">
        <v>45162</v>
      </c>
      <c r="L6872" s="36">
        <v>45164</v>
      </c>
      <c r="M6872" t="s">
        <v>598</v>
      </c>
      <c r="N6872" t="s">
        <v>604</v>
      </c>
      <c r="O6872" s="37" t="str">
        <f t="shared" si="538"/>
        <v>Digital Payment</v>
      </c>
      <c r="P6872">
        <v>375.37</v>
      </c>
      <c r="Q6872" s="37" t="str">
        <f>IF(P6872&gt;500,"High","low")</f>
        <v>low</v>
      </c>
      <c r="R6872" s="37" t="str">
        <f t="shared" si="539"/>
        <v>AVERAGE</v>
      </c>
      <c r="S6872" t="s">
        <v>600</v>
      </c>
    </row>
    <row r="6873" spans="1:19" x14ac:dyDescent="0.2">
      <c r="A6873" t="s">
        <v>7484</v>
      </c>
      <c r="B6873" t="s">
        <v>75</v>
      </c>
      <c r="C6873" t="s">
        <v>607</v>
      </c>
      <c r="D6873">
        <v>3019.66</v>
      </c>
      <c r="E6873" s="37" t="str">
        <f t="shared" si="535"/>
        <v xml:space="preserve"> </v>
      </c>
      <c r="F6873">
        <v>7.0000000000000007E-2</v>
      </c>
      <c r="G6873" s="37" t="str">
        <f t="shared" si="536"/>
        <v>Normal Discount</v>
      </c>
      <c r="H6873" s="37" t="str">
        <f t="shared" si="537"/>
        <v>Low</v>
      </c>
      <c r="I6873">
        <v>5</v>
      </c>
      <c r="J6873" t="str" cm="1">
        <f t="array" ref="J6873">_xlfn.IFS(I6873&lt;=3,"small",I6873&lt;=6,"Medium",I6873&lt;=9,"Large")</f>
        <v>Medium</v>
      </c>
      <c r="K6873" s="36">
        <v>45000</v>
      </c>
      <c r="L6873" s="36">
        <v>45005</v>
      </c>
      <c r="M6873" t="s">
        <v>603</v>
      </c>
      <c r="N6873" t="s">
        <v>599</v>
      </c>
      <c r="O6873" s="37" t="str">
        <f t="shared" si="538"/>
        <v>Digital Payment</v>
      </c>
      <c r="P6873">
        <v>845.43</v>
      </c>
      <c r="Q6873" s="37" t="str">
        <f>IF(P6873&gt;500,"High","low")</f>
        <v>High</v>
      </c>
      <c r="R6873" s="37" t="str">
        <f t="shared" si="539"/>
        <v>Good</v>
      </c>
      <c r="S6873" t="s">
        <v>609</v>
      </c>
    </row>
    <row r="6874" spans="1:19" x14ac:dyDescent="0.2">
      <c r="A6874" t="s">
        <v>7485</v>
      </c>
      <c r="B6874" t="s">
        <v>67</v>
      </c>
      <c r="C6874" t="s">
        <v>597</v>
      </c>
      <c r="D6874">
        <v>2815.75</v>
      </c>
      <c r="E6874" s="37" t="str">
        <f t="shared" si="535"/>
        <v xml:space="preserve"> </v>
      </c>
      <c r="F6874">
        <v>0.19</v>
      </c>
      <c r="G6874" s="37" t="str">
        <f t="shared" si="536"/>
        <v>Normal Discount</v>
      </c>
      <c r="H6874" s="37" t="str">
        <f t="shared" si="537"/>
        <v>Low</v>
      </c>
      <c r="I6874">
        <v>2</v>
      </c>
      <c r="J6874" t="str" cm="1">
        <f t="array" ref="J6874">_xlfn.IFS(I6874&lt;=3,"small",I6874&lt;=6,"Medium",I6874&lt;=9,"Large")</f>
        <v>small</v>
      </c>
      <c r="K6874" s="36">
        <v>44955</v>
      </c>
      <c r="L6874" s="36">
        <v>44962</v>
      </c>
      <c r="M6874" t="s">
        <v>612</v>
      </c>
      <c r="N6874" t="s">
        <v>599</v>
      </c>
      <c r="O6874" s="37" t="str">
        <f t="shared" si="538"/>
        <v>Digital Payment</v>
      </c>
      <c r="P6874">
        <v>716.38</v>
      </c>
      <c r="Q6874" s="37" t="str">
        <f>IF(P6874&gt;500,"High","low")</f>
        <v>High</v>
      </c>
      <c r="R6874" s="37" t="str">
        <f t="shared" si="539"/>
        <v>Good</v>
      </c>
      <c r="S6874" t="s">
        <v>628</v>
      </c>
    </row>
    <row r="6875" spans="1:19" x14ac:dyDescent="0.2">
      <c r="A6875" t="s">
        <v>7486</v>
      </c>
      <c r="B6875" t="s">
        <v>67</v>
      </c>
      <c r="C6875" t="s">
        <v>602</v>
      </c>
      <c r="D6875">
        <v>1659.86</v>
      </c>
      <c r="E6875" s="37" t="str">
        <f t="shared" si="535"/>
        <v xml:space="preserve"> </v>
      </c>
      <c r="F6875">
        <v>0.22</v>
      </c>
      <c r="G6875" s="37" t="str">
        <f t="shared" si="536"/>
        <v>Normal Discount</v>
      </c>
      <c r="H6875" s="37" t="str">
        <f t="shared" si="537"/>
        <v>Medium</v>
      </c>
      <c r="I6875">
        <v>5</v>
      </c>
      <c r="J6875" t="str" cm="1">
        <f t="array" ref="J6875">_xlfn.IFS(I6875&lt;=3,"small",I6875&lt;=6,"Medium",I6875&lt;=9,"Large")</f>
        <v>Medium</v>
      </c>
      <c r="K6875" s="36">
        <v>45370</v>
      </c>
      <c r="L6875" s="36">
        <v>45374</v>
      </c>
      <c r="M6875" t="s">
        <v>603</v>
      </c>
      <c r="N6875" t="s">
        <v>608</v>
      </c>
      <c r="O6875" s="37" t="str">
        <f t="shared" si="538"/>
        <v>Cash Payment</v>
      </c>
      <c r="P6875">
        <v>145.30000000000001</v>
      </c>
      <c r="Q6875" s="37" t="str">
        <f>IF(P6875&gt;500,"High","low")</f>
        <v>low</v>
      </c>
      <c r="R6875" s="37" t="str">
        <f t="shared" si="539"/>
        <v>AVERAGE</v>
      </c>
      <c r="S6875" t="s">
        <v>609</v>
      </c>
    </row>
    <row r="6876" spans="1:19" x14ac:dyDescent="0.2">
      <c r="A6876" t="s">
        <v>7487</v>
      </c>
      <c r="B6876" t="s">
        <v>90</v>
      </c>
      <c r="C6876" t="s">
        <v>607</v>
      </c>
      <c r="D6876">
        <v>3916.43</v>
      </c>
      <c r="E6876" s="37" t="str">
        <f t="shared" si="535"/>
        <v xml:space="preserve"> </v>
      </c>
      <c r="F6876">
        <v>7.0000000000000007E-2</v>
      </c>
      <c r="G6876" s="37" t="str">
        <f t="shared" si="536"/>
        <v>Normal Discount</v>
      </c>
      <c r="H6876" s="37" t="str">
        <f t="shared" si="537"/>
        <v>Low</v>
      </c>
      <c r="I6876">
        <v>1</v>
      </c>
      <c r="J6876" t="str" cm="1">
        <f t="array" ref="J6876">_xlfn.IFS(I6876&lt;=3,"small",I6876&lt;=6,"Medium",I6876&lt;=9,"Large")</f>
        <v>small</v>
      </c>
      <c r="K6876" s="36">
        <v>44949</v>
      </c>
      <c r="L6876" s="36">
        <v>44950</v>
      </c>
      <c r="M6876" t="s">
        <v>598</v>
      </c>
      <c r="N6876" t="s">
        <v>599</v>
      </c>
      <c r="O6876" s="37" t="str">
        <f t="shared" si="538"/>
        <v>Digital Payment</v>
      </c>
      <c r="P6876">
        <v>593.1</v>
      </c>
      <c r="Q6876" s="37" t="str">
        <f>IF(P6876&gt;500,"High","low")</f>
        <v>High</v>
      </c>
      <c r="R6876" s="37" t="str">
        <f t="shared" si="539"/>
        <v>Good</v>
      </c>
      <c r="S6876" t="s">
        <v>605</v>
      </c>
    </row>
    <row r="6877" spans="1:19" x14ac:dyDescent="0.2">
      <c r="A6877" t="s">
        <v>7488</v>
      </c>
      <c r="B6877" t="s">
        <v>90</v>
      </c>
      <c r="C6877" t="s">
        <v>602</v>
      </c>
      <c r="D6877">
        <v>496.27</v>
      </c>
      <c r="E6877" s="37" t="str">
        <f t="shared" si="535"/>
        <v xml:space="preserve"> </v>
      </c>
      <c r="F6877">
        <v>0.34</v>
      </c>
      <c r="G6877" s="37" t="str">
        <f t="shared" si="536"/>
        <v>Heavy Discount</v>
      </c>
      <c r="H6877" s="37" t="str">
        <f t="shared" si="537"/>
        <v>Medium</v>
      </c>
      <c r="I6877">
        <v>5</v>
      </c>
      <c r="J6877" t="str" cm="1">
        <f t="array" ref="J6877">_xlfn.IFS(I6877&lt;=3,"small",I6877&lt;=6,"Medium",I6877&lt;=9,"Large")</f>
        <v>Medium</v>
      </c>
      <c r="K6877" s="36">
        <v>45442</v>
      </c>
      <c r="L6877" s="36">
        <v>45444</v>
      </c>
      <c r="M6877" t="s">
        <v>603</v>
      </c>
      <c r="N6877" t="s">
        <v>608</v>
      </c>
      <c r="O6877" s="37" t="str">
        <f t="shared" si="538"/>
        <v>Cash Payment</v>
      </c>
      <c r="P6877">
        <v>50.55</v>
      </c>
      <c r="Q6877" s="37" t="str">
        <f>IF(P6877&gt;500,"High","low")</f>
        <v>low</v>
      </c>
      <c r="R6877" s="37" t="str">
        <f t="shared" si="539"/>
        <v>AVERAGE</v>
      </c>
      <c r="S6877" t="s">
        <v>615</v>
      </c>
    </row>
    <row r="6878" spans="1:19" x14ac:dyDescent="0.2">
      <c r="A6878" t="s">
        <v>7489</v>
      </c>
      <c r="B6878" t="s">
        <v>67</v>
      </c>
      <c r="C6878" t="s">
        <v>607</v>
      </c>
      <c r="D6878">
        <v>940.05</v>
      </c>
      <c r="E6878" s="37" t="str">
        <f t="shared" si="535"/>
        <v xml:space="preserve"> </v>
      </c>
      <c r="F6878">
        <v>0.15</v>
      </c>
      <c r="G6878" s="37" t="str">
        <f t="shared" si="536"/>
        <v>Normal Discount</v>
      </c>
      <c r="H6878" s="37" t="str">
        <f t="shared" si="537"/>
        <v>Low</v>
      </c>
      <c r="I6878">
        <v>3</v>
      </c>
      <c r="J6878" t="str" cm="1">
        <f t="array" ref="J6878">_xlfn.IFS(I6878&lt;=3,"small",I6878&lt;=6,"Medium",I6878&lt;=9,"Large")</f>
        <v>small</v>
      </c>
      <c r="K6878" s="36">
        <v>45170</v>
      </c>
      <c r="L6878" s="36">
        <v>45173</v>
      </c>
      <c r="M6878" t="s">
        <v>603</v>
      </c>
      <c r="N6878" t="s">
        <v>604</v>
      </c>
      <c r="O6878" s="37" t="str">
        <f t="shared" si="538"/>
        <v>Digital Payment</v>
      </c>
      <c r="P6878">
        <v>97.63</v>
      </c>
      <c r="Q6878" s="37" t="str">
        <f>IF(P6878&gt;500,"High","low")</f>
        <v>low</v>
      </c>
      <c r="R6878" s="37" t="str">
        <f t="shared" si="539"/>
        <v>AVERAGE</v>
      </c>
      <c r="S6878" t="s">
        <v>605</v>
      </c>
    </row>
    <row r="6879" spans="1:19" x14ac:dyDescent="0.2">
      <c r="A6879" t="s">
        <v>7490</v>
      </c>
      <c r="B6879" t="s">
        <v>90</v>
      </c>
      <c r="C6879" t="s">
        <v>617</v>
      </c>
      <c r="D6879">
        <v>2408.64</v>
      </c>
      <c r="E6879" s="37" t="str">
        <f t="shared" si="535"/>
        <v xml:space="preserve"> </v>
      </c>
      <c r="F6879">
        <v>0.4</v>
      </c>
      <c r="G6879" s="37" t="str">
        <f t="shared" si="536"/>
        <v>Heavy Discount</v>
      </c>
      <c r="H6879" s="37" t="str">
        <f t="shared" si="537"/>
        <v>Medium</v>
      </c>
      <c r="I6879">
        <v>2</v>
      </c>
      <c r="J6879" t="str" cm="1">
        <f t="array" ref="J6879">_xlfn.IFS(I6879&lt;=3,"small",I6879&lt;=6,"Medium",I6879&lt;=9,"Large")</f>
        <v>small</v>
      </c>
      <c r="K6879" s="36">
        <v>45472</v>
      </c>
      <c r="L6879" s="36">
        <v>45475</v>
      </c>
      <c r="M6879" t="s">
        <v>598</v>
      </c>
      <c r="N6879" t="s">
        <v>608</v>
      </c>
      <c r="O6879" s="37" t="str">
        <f t="shared" si="538"/>
        <v>Cash Payment</v>
      </c>
      <c r="P6879">
        <v>650.54</v>
      </c>
      <c r="Q6879" s="37" t="str">
        <f>IF(P6879&gt;500,"High","low")</f>
        <v>High</v>
      </c>
      <c r="R6879" s="37" t="str">
        <f t="shared" si="539"/>
        <v>Good</v>
      </c>
      <c r="S6879" t="s">
        <v>609</v>
      </c>
    </row>
    <row r="6880" spans="1:19" x14ac:dyDescent="0.2">
      <c r="A6880" t="s">
        <v>7491</v>
      </c>
      <c r="B6880" t="s">
        <v>83</v>
      </c>
      <c r="C6880" t="s">
        <v>602</v>
      </c>
      <c r="D6880">
        <v>4469.51</v>
      </c>
      <c r="E6880" s="37" t="str">
        <f t="shared" si="535"/>
        <v xml:space="preserve"> </v>
      </c>
      <c r="F6880">
        <v>0.32</v>
      </c>
      <c r="G6880" s="37" t="str">
        <f t="shared" si="536"/>
        <v>Heavy Discount</v>
      </c>
      <c r="H6880" s="37" t="str">
        <f t="shared" si="537"/>
        <v>Medium</v>
      </c>
      <c r="I6880">
        <v>4</v>
      </c>
      <c r="J6880" t="str" cm="1">
        <f t="array" ref="J6880">_xlfn.IFS(I6880&lt;=3,"small",I6880&lt;=6,"Medium",I6880&lt;=9,"Large")</f>
        <v>Medium</v>
      </c>
      <c r="K6880" s="36">
        <v>45543</v>
      </c>
      <c r="L6880" s="36">
        <v>45547</v>
      </c>
      <c r="M6880" t="s">
        <v>612</v>
      </c>
      <c r="N6880" t="s">
        <v>599</v>
      </c>
      <c r="O6880" s="37" t="str">
        <f t="shared" si="538"/>
        <v>Digital Payment</v>
      </c>
      <c r="P6880">
        <v>684.17</v>
      </c>
      <c r="Q6880" s="37" t="str">
        <f>IF(P6880&gt;500,"High","low")</f>
        <v>High</v>
      </c>
      <c r="R6880" s="37" t="str">
        <f t="shared" si="539"/>
        <v>Good</v>
      </c>
      <c r="S6880" t="s">
        <v>609</v>
      </c>
    </row>
    <row r="6881" spans="1:19" x14ac:dyDescent="0.2">
      <c r="A6881" t="s">
        <v>7492</v>
      </c>
      <c r="B6881" t="s">
        <v>83</v>
      </c>
      <c r="C6881" t="s">
        <v>602</v>
      </c>
      <c r="D6881">
        <v>2918.28</v>
      </c>
      <c r="E6881" s="37" t="str">
        <f t="shared" si="535"/>
        <v xml:space="preserve"> </v>
      </c>
      <c r="F6881">
        <v>0.16</v>
      </c>
      <c r="G6881" s="37" t="str">
        <f t="shared" si="536"/>
        <v>Normal Discount</v>
      </c>
      <c r="H6881" s="37" t="str">
        <f t="shared" si="537"/>
        <v>Low</v>
      </c>
      <c r="I6881">
        <v>1</v>
      </c>
      <c r="J6881" t="str" cm="1">
        <f t="array" ref="J6881">_xlfn.IFS(I6881&lt;=3,"small",I6881&lt;=6,"Medium",I6881&lt;=9,"Large")</f>
        <v>small</v>
      </c>
      <c r="K6881" s="36">
        <v>45604</v>
      </c>
      <c r="L6881" s="36">
        <v>45607</v>
      </c>
      <c r="M6881" t="s">
        <v>598</v>
      </c>
      <c r="N6881" t="s">
        <v>604</v>
      </c>
      <c r="O6881" s="37" t="str">
        <f t="shared" si="538"/>
        <v>Digital Payment</v>
      </c>
      <c r="P6881">
        <v>765.31</v>
      </c>
      <c r="Q6881" s="37" t="str">
        <f>IF(P6881&gt;500,"High","low")</f>
        <v>High</v>
      </c>
      <c r="R6881" s="37" t="str">
        <f t="shared" si="539"/>
        <v>Good</v>
      </c>
      <c r="S6881" t="s">
        <v>628</v>
      </c>
    </row>
    <row r="6882" spans="1:19" x14ac:dyDescent="0.2">
      <c r="A6882" t="s">
        <v>7493</v>
      </c>
      <c r="B6882" t="s">
        <v>90</v>
      </c>
      <c r="C6882" t="s">
        <v>602</v>
      </c>
      <c r="D6882">
        <v>4226.13</v>
      </c>
      <c r="E6882" s="37" t="str">
        <f t="shared" si="535"/>
        <v xml:space="preserve"> </v>
      </c>
      <c r="F6882">
        <v>0.18</v>
      </c>
      <c r="G6882" s="37" t="str">
        <f t="shared" si="536"/>
        <v>Normal Discount</v>
      </c>
      <c r="H6882" s="37" t="str">
        <f t="shared" si="537"/>
        <v>Low</v>
      </c>
      <c r="I6882">
        <v>3</v>
      </c>
      <c r="J6882" t="str" cm="1">
        <f t="array" ref="J6882">_xlfn.IFS(I6882&lt;=3,"small",I6882&lt;=6,"Medium",I6882&lt;=9,"Large")</f>
        <v>small</v>
      </c>
      <c r="K6882" s="36">
        <v>44953</v>
      </c>
      <c r="L6882" s="36">
        <v>44959</v>
      </c>
      <c r="M6882" t="s">
        <v>612</v>
      </c>
      <c r="N6882" t="s">
        <v>608</v>
      </c>
      <c r="O6882" s="37" t="str">
        <f t="shared" si="538"/>
        <v>Cash Payment</v>
      </c>
      <c r="P6882">
        <v>598.64</v>
      </c>
      <c r="Q6882" s="37" t="str">
        <f>IF(P6882&gt;500,"High","low")</f>
        <v>High</v>
      </c>
      <c r="R6882" s="37" t="str">
        <f t="shared" si="539"/>
        <v>Good</v>
      </c>
      <c r="S6882" t="s">
        <v>620</v>
      </c>
    </row>
    <row r="6883" spans="1:19" x14ac:dyDescent="0.2">
      <c r="A6883" t="s">
        <v>7494</v>
      </c>
      <c r="B6883" t="s">
        <v>67</v>
      </c>
      <c r="C6883" t="s">
        <v>614</v>
      </c>
      <c r="D6883">
        <v>2636.09</v>
      </c>
      <c r="E6883" s="37" t="str">
        <f t="shared" si="535"/>
        <v xml:space="preserve"> </v>
      </c>
      <c r="F6883">
        <v>0.47</v>
      </c>
      <c r="G6883" s="37" t="str">
        <f t="shared" si="536"/>
        <v>Heavy Discount</v>
      </c>
      <c r="H6883" s="37" t="str">
        <f t="shared" si="537"/>
        <v>High</v>
      </c>
      <c r="I6883">
        <v>1</v>
      </c>
      <c r="J6883" t="str" cm="1">
        <f t="array" ref="J6883">_xlfn.IFS(I6883&lt;=3,"small",I6883&lt;=6,"Medium",I6883&lt;=9,"Large")</f>
        <v>small</v>
      </c>
      <c r="K6883" s="36">
        <v>45009</v>
      </c>
      <c r="L6883" s="36">
        <v>45012</v>
      </c>
      <c r="M6883" t="s">
        <v>612</v>
      </c>
      <c r="N6883" t="s">
        <v>608</v>
      </c>
      <c r="O6883" s="37" t="str">
        <f t="shared" si="538"/>
        <v>Cash Payment</v>
      </c>
      <c r="P6883">
        <v>167.5</v>
      </c>
      <c r="Q6883" s="37" t="str">
        <f>IF(P6883&gt;500,"High","low")</f>
        <v>low</v>
      </c>
      <c r="R6883" s="37" t="str">
        <f t="shared" si="539"/>
        <v>AVERAGE</v>
      </c>
      <c r="S6883" t="s">
        <v>605</v>
      </c>
    </row>
    <row r="6884" spans="1:19" x14ac:dyDescent="0.2">
      <c r="A6884" t="s">
        <v>7495</v>
      </c>
      <c r="B6884" t="s">
        <v>75</v>
      </c>
      <c r="C6884" t="s">
        <v>597</v>
      </c>
      <c r="D6884">
        <v>3948.73</v>
      </c>
      <c r="E6884" s="37" t="str">
        <f t="shared" si="535"/>
        <v xml:space="preserve"> </v>
      </c>
      <c r="F6884">
        <v>0.47</v>
      </c>
      <c r="G6884" s="37" t="str">
        <f t="shared" si="536"/>
        <v>Heavy Discount</v>
      </c>
      <c r="H6884" s="37" t="str">
        <f t="shared" si="537"/>
        <v>High</v>
      </c>
      <c r="I6884">
        <v>8</v>
      </c>
      <c r="J6884" t="str" cm="1">
        <f t="array" ref="J6884">_xlfn.IFS(I6884&lt;=3,"small",I6884&lt;=6,"Medium",I6884&lt;=9,"Large")</f>
        <v>Large</v>
      </c>
      <c r="K6884" s="36">
        <v>45085</v>
      </c>
      <c r="L6884" s="36">
        <v>45092</v>
      </c>
      <c r="M6884" t="s">
        <v>603</v>
      </c>
      <c r="N6884" t="s">
        <v>608</v>
      </c>
      <c r="O6884" s="37" t="str">
        <f t="shared" si="538"/>
        <v>Cash Payment</v>
      </c>
      <c r="P6884">
        <v>330.12</v>
      </c>
      <c r="Q6884" s="37" t="str">
        <f>IF(P6884&gt;500,"High","low")</f>
        <v>low</v>
      </c>
      <c r="R6884" s="37" t="str">
        <f t="shared" si="539"/>
        <v>AVERAGE</v>
      </c>
      <c r="S6884" t="s">
        <v>620</v>
      </c>
    </row>
    <row r="6885" spans="1:19" x14ac:dyDescent="0.2">
      <c r="A6885" t="s">
        <v>7496</v>
      </c>
      <c r="B6885" t="s">
        <v>90</v>
      </c>
      <c r="C6885" t="s">
        <v>602</v>
      </c>
      <c r="D6885">
        <v>1696.41</v>
      </c>
      <c r="E6885" s="37" t="str">
        <f t="shared" si="535"/>
        <v xml:space="preserve"> </v>
      </c>
      <c r="F6885">
        <v>0.21</v>
      </c>
      <c r="G6885" s="37" t="str">
        <f t="shared" si="536"/>
        <v>Normal Discount</v>
      </c>
      <c r="H6885" s="37" t="str">
        <f t="shared" si="537"/>
        <v>Medium</v>
      </c>
      <c r="I6885">
        <v>5</v>
      </c>
      <c r="J6885" t="str" cm="1">
        <f t="array" ref="J6885">_xlfn.IFS(I6885&lt;=3,"small",I6885&lt;=6,"Medium",I6885&lt;=9,"Large")</f>
        <v>Medium</v>
      </c>
      <c r="K6885" s="36">
        <v>45403</v>
      </c>
      <c r="L6885" s="36">
        <v>45404</v>
      </c>
      <c r="M6885" t="s">
        <v>598</v>
      </c>
      <c r="N6885" t="s">
        <v>608</v>
      </c>
      <c r="O6885" s="37" t="str">
        <f t="shared" si="538"/>
        <v>Cash Payment</v>
      </c>
      <c r="P6885">
        <v>103.88</v>
      </c>
      <c r="Q6885" s="37" t="str">
        <f>IF(P6885&gt;500,"High","low")</f>
        <v>low</v>
      </c>
      <c r="R6885" s="37" t="str">
        <f t="shared" si="539"/>
        <v>AVERAGE</v>
      </c>
      <c r="S6885" t="s">
        <v>609</v>
      </c>
    </row>
    <row r="6886" spans="1:19" x14ac:dyDescent="0.2">
      <c r="A6886" t="s">
        <v>7497</v>
      </c>
      <c r="B6886" t="s">
        <v>90</v>
      </c>
      <c r="C6886" t="s">
        <v>602</v>
      </c>
      <c r="D6886">
        <v>4094.2</v>
      </c>
      <c r="E6886" s="37" t="str">
        <f t="shared" si="535"/>
        <v xml:space="preserve"> </v>
      </c>
      <c r="F6886">
        <v>0.34</v>
      </c>
      <c r="G6886" s="37" t="str">
        <f t="shared" si="536"/>
        <v>Heavy Discount</v>
      </c>
      <c r="H6886" s="37" t="str">
        <f t="shared" si="537"/>
        <v>Medium</v>
      </c>
      <c r="I6886">
        <v>1</v>
      </c>
      <c r="J6886" t="str" cm="1">
        <f t="array" ref="J6886">_xlfn.IFS(I6886&lt;=3,"small",I6886&lt;=6,"Medium",I6886&lt;=9,"Large")</f>
        <v>small</v>
      </c>
      <c r="K6886" s="36">
        <v>45593</v>
      </c>
      <c r="L6886" s="36">
        <v>45596</v>
      </c>
      <c r="M6886" t="s">
        <v>612</v>
      </c>
      <c r="N6886" t="s">
        <v>604</v>
      </c>
      <c r="O6886" s="37" t="str">
        <f t="shared" si="538"/>
        <v>Digital Payment</v>
      </c>
      <c r="P6886">
        <v>490.09</v>
      </c>
      <c r="Q6886" s="37" t="str">
        <f>IF(P6886&gt;500,"High","low")</f>
        <v>low</v>
      </c>
      <c r="R6886" s="37" t="str">
        <f t="shared" si="539"/>
        <v>AVERAGE</v>
      </c>
      <c r="S6886" t="s">
        <v>609</v>
      </c>
    </row>
    <row r="6887" spans="1:19" x14ac:dyDescent="0.2">
      <c r="A6887" t="s">
        <v>7498</v>
      </c>
      <c r="B6887" t="s">
        <v>75</v>
      </c>
      <c r="C6887" t="s">
        <v>614</v>
      </c>
      <c r="D6887">
        <v>2068.2600000000002</v>
      </c>
      <c r="E6887" s="37" t="str">
        <f t="shared" si="535"/>
        <v xml:space="preserve"> </v>
      </c>
      <c r="F6887">
        <v>0.49</v>
      </c>
      <c r="G6887" s="37" t="str">
        <f t="shared" si="536"/>
        <v>Heavy Discount</v>
      </c>
      <c r="H6887" s="37" t="str">
        <f t="shared" si="537"/>
        <v>High</v>
      </c>
      <c r="I6887">
        <v>2</v>
      </c>
      <c r="J6887" t="str" cm="1">
        <f t="array" ref="J6887">_xlfn.IFS(I6887&lt;=3,"small",I6887&lt;=6,"Medium",I6887&lt;=9,"Large")</f>
        <v>small</v>
      </c>
      <c r="K6887" s="36">
        <v>45097</v>
      </c>
      <c r="L6887" s="36">
        <v>45101</v>
      </c>
      <c r="M6887" t="s">
        <v>612</v>
      </c>
      <c r="N6887" t="s">
        <v>604</v>
      </c>
      <c r="O6887" s="37" t="str">
        <f t="shared" si="538"/>
        <v>Digital Payment</v>
      </c>
      <c r="P6887">
        <v>371.52</v>
      </c>
      <c r="Q6887" s="37" t="str">
        <f>IF(P6887&gt;500,"High","low")</f>
        <v>low</v>
      </c>
      <c r="R6887" s="37" t="str">
        <f t="shared" si="539"/>
        <v>AVERAGE</v>
      </c>
      <c r="S6887" t="s">
        <v>605</v>
      </c>
    </row>
    <row r="6888" spans="1:19" x14ac:dyDescent="0.2">
      <c r="A6888" t="s">
        <v>7499</v>
      </c>
      <c r="B6888" t="s">
        <v>90</v>
      </c>
      <c r="C6888" t="s">
        <v>614</v>
      </c>
      <c r="D6888">
        <v>2838.27</v>
      </c>
      <c r="E6888" s="37" t="str">
        <f t="shared" si="535"/>
        <v xml:space="preserve"> </v>
      </c>
      <c r="F6888">
        <v>0.5</v>
      </c>
      <c r="G6888" s="37" t="str">
        <f t="shared" si="536"/>
        <v>Heavy Discount</v>
      </c>
      <c r="H6888" s="37" t="str">
        <f t="shared" si="537"/>
        <v>High</v>
      </c>
      <c r="I6888">
        <v>9</v>
      </c>
      <c r="J6888" t="str" cm="1">
        <f t="array" ref="J6888">_xlfn.IFS(I6888&lt;=3,"small",I6888&lt;=6,"Medium",I6888&lt;=9,"Large")</f>
        <v>Large</v>
      </c>
      <c r="K6888" s="36">
        <v>45534</v>
      </c>
      <c r="L6888" s="36">
        <v>45538</v>
      </c>
      <c r="M6888" t="s">
        <v>612</v>
      </c>
      <c r="N6888" t="s">
        <v>599</v>
      </c>
      <c r="O6888" s="37" t="str">
        <f t="shared" si="538"/>
        <v>Digital Payment</v>
      </c>
      <c r="P6888">
        <v>298.02999999999997</v>
      </c>
      <c r="Q6888" s="37" t="str">
        <f>IF(P6888&gt;500,"High","low")</f>
        <v>low</v>
      </c>
      <c r="R6888" s="37" t="str">
        <f t="shared" si="539"/>
        <v>AVERAGE</v>
      </c>
      <c r="S6888" t="s">
        <v>615</v>
      </c>
    </row>
    <row r="6889" spans="1:19" x14ac:dyDescent="0.2">
      <c r="A6889" t="s">
        <v>7500</v>
      </c>
      <c r="B6889" t="s">
        <v>75</v>
      </c>
      <c r="C6889" t="s">
        <v>617</v>
      </c>
      <c r="D6889">
        <v>961.82</v>
      </c>
      <c r="E6889" s="37" t="str">
        <f t="shared" si="535"/>
        <v xml:space="preserve"> </v>
      </c>
      <c r="F6889">
        <v>0.04</v>
      </c>
      <c r="G6889" s="37" t="str">
        <f t="shared" si="536"/>
        <v>Normal Discount</v>
      </c>
      <c r="H6889" s="37" t="str">
        <f t="shared" si="537"/>
        <v>Low</v>
      </c>
      <c r="I6889">
        <v>7</v>
      </c>
      <c r="J6889" t="str" cm="1">
        <f t="array" ref="J6889">_xlfn.IFS(I6889&lt;=3,"small",I6889&lt;=6,"Medium",I6889&lt;=9,"Large")</f>
        <v>Large</v>
      </c>
      <c r="K6889" s="36">
        <v>45559</v>
      </c>
      <c r="L6889" s="36">
        <v>45564</v>
      </c>
      <c r="M6889" t="s">
        <v>603</v>
      </c>
      <c r="N6889" t="s">
        <v>604</v>
      </c>
      <c r="O6889" s="37" t="str">
        <f t="shared" si="538"/>
        <v>Digital Payment</v>
      </c>
      <c r="P6889">
        <v>187.1</v>
      </c>
      <c r="Q6889" s="37" t="str">
        <f>IF(P6889&gt;500,"High","low")</f>
        <v>low</v>
      </c>
      <c r="R6889" s="37" t="str">
        <f t="shared" si="539"/>
        <v>AVERAGE</v>
      </c>
      <c r="S6889" t="s">
        <v>605</v>
      </c>
    </row>
    <row r="6890" spans="1:19" x14ac:dyDescent="0.2">
      <c r="A6890" t="s">
        <v>7501</v>
      </c>
      <c r="B6890" t="s">
        <v>67</v>
      </c>
      <c r="C6890" t="s">
        <v>607</v>
      </c>
      <c r="D6890">
        <v>4610.12</v>
      </c>
      <c r="E6890" s="37" t="str">
        <f t="shared" si="535"/>
        <v xml:space="preserve"> </v>
      </c>
      <c r="F6890">
        <v>0.28000000000000003</v>
      </c>
      <c r="G6890" s="37" t="str">
        <f t="shared" si="536"/>
        <v>Normal Discount</v>
      </c>
      <c r="H6890" s="37" t="str">
        <f t="shared" si="537"/>
        <v>Medium</v>
      </c>
      <c r="I6890">
        <v>3</v>
      </c>
      <c r="J6890" t="str" cm="1">
        <f t="array" ref="J6890">_xlfn.IFS(I6890&lt;=3,"small",I6890&lt;=6,"Medium",I6890&lt;=9,"Large")</f>
        <v>small</v>
      </c>
      <c r="K6890" s="36">
        <v>45121</v>
      </c>
      <c r="L6890" s="36">
        <v>45123</v>
      </c>
      <c r="M6890" t="s">
        <v>598</v>
      </c>
      <c r="N6890" t="s">
        <v>599</v>
      </c>
      <c r="O6890" s="37" t="str">
        <f t="shared" si="538"/>
        <v>Digital Payment</v>
      </c>
      <c r="P6890">
        <v>569.72</v>
      </c>
      <c r="Q6890" s="37" t="str">
        <f>IF(P6890&gt;500,"High","low")</f>
        <v>High</v>
      </c>
      <c r="R6890" s="37" t="str">
        <f t="shared" si="539"/>
        <v>Good</v>
      </c>
      <c r="S6890" t="s">
        <v>600</v>
      </c>
    </row>
    <row r="6891" spans="1:19" x14ac:dyDescent="0.2">
      <c r="A6891" t="s">
        <v>7502</v>
      </c>
      <c r="B6891" t="s">
        <v>83</v>
      </c>
      <c r="C6891" t="s">
        <v>602</v>
      </c>
      <c r="D6891">
        <v>3537.15</v>
      </c>
      <c r="E6891" s="37" t="str">
        <f t="shared" si="535"/>
        <v xml:space="preserve"> </v>
      </c>
      <c r="F6891">
        <v>0.36</v>
      </c>
      <c r="G6891" s="37" t="str">
        <f t="shared" si="536"/>
        <v>Heavy Discount</v>
      </c>
      <c r="H6891" s="37" t="str">
        <f t="shared" si="537"/>
        <v>Medium</v>
      </c>
      <c r="I6891">
        <v>1</v>
      </c>
      <c r="J6891" t="str" cm="1">
        <f t="array" ref="J6891">_xlfn.IFS(I6891&lt;=3,"small",I6891&lt;=6,"Medium",I6891&lt;=9,"Large")</f>
        <v>small</v>
      </c>
      <c r="K6891" s="36">
        <v>45157</v>
      </c>
      <c r="L6891" s="36">
        <v>45164</v>
      </c>
      <c r="M6891" t="s">
        <v>603</v>
      </c>
      <c r="N6891" t="s">
        <v>599</v>
      </c>
      <c r="O6891" s="37" t="str">
        <f t="shared" si="538"/>
        <v>Digital Payment</v>
      </c>
      <c r="P6891">
        <v>607.14</v>
      </c>
      <c r="Q6891" s="37" t="str">
        <f>IF(P6891&gt;500,"High","low")</f>
        <v>High</v>
      </c>
      <c r="R6891" s="37" t="str">
        <f t="shared" si="539"/>
        <v>Good</v>
      </c>
      <c r="S6891" t="s">
        <v>609</v>
      </c>
    </row>
    <row r="6892" spans="1:19" x14ac:dyDescent="0.2">
      <c r="A6892" t="s">
        <v>7503</v>
      </c>
      <c r="B6892" t="s">
        <v>67</v>
      </c>
      <c r="C6892" t="s">
        <v>607</v>
      </c>
      <c r="D6892">
        <v>4308.3900000000003</v>
      </c>
      <c r="E6892" s="37" t="str">
        <f t="shared" si="535"/>
        <v xml:space="preserve"> </v>
      </c>
      <c r="F6892">
        <v>0.09</v>
      </c>
      <c r="G6892" s="37" t="str">
        <f t="shared" si="536"/>
        <v>Normal Discount</v>
      </c>
      <c r="H6892" s="37" t="str">
        <f t="shared" si="537"/>
        <v>Low</v>
      </c>
      <c r="I6892">
        <v>2</v>
      </c>
      <c r="J6892" t="str" cm="1">
        <f t="array" ref="J6892">_xlfn.IFS(I6892&lt;=3,"small",I6892&lt;=6,"Medium",I6892&lt;=9,"Large")</f>
        <v>small</v>
      </c>
      <c r="K6892" s="36">
        <v>45572</v>
      </c>
      <c r="L6892" s="36">
        <v>45574</v>
      </c>
      <c r="M6892" t="s">
        <v>612</v>
      </c>
      <c r="N6892" t="s">
        <v>604</v>
      </c>
      <c r="O6892" s="37" t="str">
        <f t="shared" si="538"/>
        <v>Digital Payment</v>
      </c>
      <c r="P6892">
        <v>553.19000000000005</v>
      </c>
      <c r="Q6892" s="37" t="str">
        <f>IF(P6892&gt;500,"High","low")</f>
        <v>High</v>
      </c>
      <c r="R6892" s="37" t="str">
        <f t="shared" si="539"/>
        <v>Good</v>
      </c>
      <c r="S6892" t="s">
        <v>609</v>
      </c>
    </row>
    <row r="6893" spans="1:19" x14ac:dyDescent="0.2">
      <c r="A6893" t="s">
        <v>7504</v>
      </c>
      <c r="B6893" t="s">
        <v>83</v>
      </c>
      <c r="C6893" t="s">
        <v>614</v>
      </c>
      <c r="D6893">
        <v>1118.53</v>
      </c>
      <c r="E6893" s="37" t="str">
        <f t="shared" si="535"/>
        <v xml:space="preserve"> </v>
      </c>
      <c r="F6893">
        <v>0.41</v>
      </c>
      <c r="G6893" s="37" t="str">
        <f t="shared" si="536"/>
        <v>Heavy Discount</v>
      </c>
      <c r="H6893" s="37" t="str">
        <f t="shared" si="537"/>
        <v>High</v>
      </c>
      <c r="I6893">
        <v>7</v>
      </c>
      <c r="J6893" t="str" cm="1">
        <f t="array" ref="J6893">_xlfn.IFS(I6893&lt;=3,"small",I6893&lt;=6,"Medium",I6893&lt;=9,"Large")</f>
        <v>Large</v>
      </c>
      <c r="K6893" s="36">
        <v>45497</v>
      </c>
      <c r="L6893" s="36">
        <v>45499</v>
      </c>
      <c r="M6893" t="s">
        <v>612</v>
      </c>
      <c r="N6893" t="s">
        <v>599</v>
      </c>
      <c r="O6893" s="37" t="str">
        <f t="shared" si="538"/>
        <v>Digital Payment</v>
      </c>
      <c r="P6893">
        <v>223.37</v>
      </c>
      <c r="Q6893" s="37" t="str">
        <f>IF(P6893&gt;500,"High","low")</f>
        <v>low</v>
      </c>
      <c r="R6893" s="37" t="str">
        <f t="shared" si="539"/>
        <v>AVERAGE</v>
      </c>
      <c r="S6893" t="s">
        <v>620</v>
      </c>
    </row>
    <row r="6894" spans="1:19" x14ac:dyDescent="0.2">
      <c r="A6894" t="s">
        <v>7505</v>
      </c>
      <c r="B6894" t="s">
        <v>75</v>
      </c>
      <c r="C6894" t="s">
        <v>614</v>
      </c>
      <c r="D6894">
        <v>431.65</v>
      </c>
      <c r="E6894" s="37" t="str">
        <f t="shared" si="535"/>
        <v xml:space="preserve"> </v>
      </c>
      <c r="F6894">
        <v>0.23</v>
      </c>
      <c r="G6894" s="37" t="str">
        <f t="shared" si="536"/>
        <v>Normal Discount</v>
      </c>
      <c r="H6894" s="37" t="str">
        <f t="shared" si="537"/>
        <v>Medium</v>
      </c>
      <c r="I6894">
        <v>8</v>
      </c>
      <c r="J6894" t="str" cm="1">
        <f t="array" ref="J6894">_xlfn.IFS(I6894&lt;=3,"small",I6894&lt;=6,"Medium",I6894&lt;=9,"Large")</f>
        <v>Large</v>
      </c>
      <c r="K6894" s="36">
        <v>45057</v>
      </c>
      <c r="L6894" s="36">
        <v>45061</v>
      </c>
      <c r="M6894" t="s">
        <v>598</v>
      </c>
      <c r="N6894" t="s">
        <v>604</v>
      </c>
      <c r="O6894" s="37" t="str">
        <f t="shared" si="538"/>
        <v>Digital Payment</v>
      </c>
      <c r="P6894">
        <v>90.2</v>
      </c>
      <c r="Q6894" s="37" t="str">
        <f>IF(P6894&gt;500,"High","low")</f>
        <v>low</v>
      </c>
      <c r="R6894" s="37" t="str">
        <f t="shared" si="539"/>
        <v>AVERAGE</v>
      </c>
      <c r="S6894" t="s">
        <v>600</v>
      </c>
    </row>
    <row r="6895" spans="1:19" x14ac:dyDescent="0.2">
      <c r="A6895" t="s">
        <v>7506</v>
      </c>
      <c r="B6895" t="s">
        <v>83</v>
      </c>
      <c r="C6895" t="s">
        <v>617</v>
      </c>
      <c r="D6895">
        <v>1752.33</v>
      </c>
      <c r="E6895" s="37" t="str">
        <f t="shared" si="535"/>
        <v xml:space="preserve"> </v>
      </c>
      <c r="F6895">
        <v>0.25</v>
      </c>
      <c r="G6895" s="37" t="str">
        <f t="shared" si="536"/>
        <v>Normal Discount</v>
      </c>
      <c r="H6895" s="37" t="str">
        <f t="shared" si="537"/>
        <v>Medium</v>
      </c>
      <c r="I6895">
        <v>5</v>
      </c>
      <c r="J6895" t="str" cm="1">
        <f t="array" ref="J6895">_xlfn.IFS(I6895&lt;=3,"small",I6895&lt;=6,"Medium",I6895&lt;=9,"Large")</f>
        <v>Medium</v>
      </c>
      <c r="K6895" s="36">
        <v>45426</v>
      </c>
      <c r="L6895" s="36">
        <v>45429</v>
      </c>
      <c r="M6895" t="s">
        <v>598</v>
      </c>
      <c r="N6895" t="s">
        <v>608</v>
      </c>
      <c r="O6895" s="37" t="str">
        <f t="shared" si="538"/>
        <v>Cash Payment</v>
      </c>
      <c r="P6895">
        <v>464.15</v>
      </c>
      <c r="Q6895" s="37" t="str">
        <f>IF(P6895&gt;500,"High","low")</f>
        <v>low</v>
      </c>
      <c r="R6895" s="37" t="str">
        <f t="shared" si="539"/>
        <v>AVERAGE</v>
      </c>
      <c r="S6895" t="s">
        <v>615</v>
      </c>
    </row>
    <row r="6896" spans="1:19" x14ac:dyDescent="0.2">
      <c r="A6896" t="s">
        <v>7507</v>
      </c>
      <c r="B6896" t="s">
        <v>67</v>
      </c>
      <c r="C6896" t="s">
        <v>597</v>
      </c>
      <c r="D6896">
        <v>2631.76</v>
      </c>
      <c r="E6896" s="37" t="str">
        <f t="shared" si="535"/>
        <v xml:space="preserve"> </v>
      </c>
      <c r="F6896">
        <v>0.14000000000000001</v>
      </c>
      <c r="G6896" s="37" t="str">
        <f t="shared" si="536"/>
        <v>Normal Discount</v>
      </c>
      <c r="H6896" s="37" t="str">
        <f t="shared" si="537"/>
        <v>Low</v>
      </c>
      <c r="I6896">
        <v>4</v>
      </c>
      <c r="J6896" t="str" cm="1">
        <f t="array" ref="J6896">_xlfn.IFS(I6896&lt;=3,"small",I6896&lt;=6,"Medium",I6896&lt;=9,"Large")</f>
        <v>Medium</v>
      </c>
      <c r="K6896" s="36">
        <v>45387</v>
      </c>
      <c r="L6896" s="36">
        <v>45393</v>
      </c>
      <c r="M6896" t="s">
        <v>598</v>
      </c>
      <c r="N6896" t="s">
        <v>599</v>
      </c>
      <c r="O6896" s="37" t="str">
        <f t="shared" si="538"/>
        <v>Digital Payment</v>
      </c>
      <c r="P6896">
        <v>674.5</v>
      </c>
      <c r="Q6896" s="37" t="str">
        <f>IF(P6896&gt;500,"High","low")</f>
        <v>High</v>
      </c>
      <c r="R6896" s="37" t="str">
        <f t="shared" si="539"/>
        <v>Good</v>
      </c>
      <c r="S6896" t="s">
        <v>609</v>
      </c>
    </row>
    <row r="6897" spans="1:19" x14ac:dyDescent="0.2">
      <c r="A6897" t="s">
        <v>7508</v>
      </c>
      <c r="B6897" t="s">
        <v>83</v>
      </c>
      <c r="C6897" t="s">
        <v>614</v>
      </c>
      <c r="D6897">
        <v>4031.61</v>
      </c>
      <c r="E6897" s="37" t="str">
        <f t="shared" si="535"/>
        <v xml:space="preserve"> </v>
      </c>
      <c r="F6897">
        <v>0.15</v>
      </c>
      <c r="G6897" s="37" t="str">
        <f t="shared" si="536"/>
        <v>Normal Discount</v>
      </c>
      <c r="H6897" s="37" t="str">
        <f t="shared" si="537"/>
        <v>Low</v>
      </c>
      <c r="I6897">
        <v>4</v>
      </c>
      <c r="J6897" t="str" cm="1">
        <f t="array" ref="J6897">_xlfn.IFS(I6897&lt;=3,"small",I6897&lt;=6,"Medium",I6897&lt;=9,"Large")</f>
        <v>Medium</v>
      </c>
      <c r="K6897" s="36">
        <v>44953</v>
      </c>
      <c r="L6897" s="36">
        <v>44955</v>
      </c>
      <c r="M6897" t="s">
        <v>612</v>
      </c>
      <c r="N6897" t="s">
        <v>604</v>
      </c>
      <c r="O6897" s="37" t="str">
        <f t="shared" si="538"/>
        <v>Digital Payment</v>
      </c>
      <c r="P6897">
        <v>756.26</v>
      </c>
      <c r="Q6897" s="37" t="str">
        <f>IF(P6897&gt;500,"High","low")</f>
        <v>High</v>
      </c>
      <c r="R6897" s="37" t="str">
        <f t="shared" si="539"/>
        <v>Good</v>
      </c>
      <c r="S6897" t="s">
        <v>620</v>
      </c>
    </row>
    <row r="6898" spans="1:19" x14ac:dyDescent="0.2">
      <c r="A6898" t="s">
        <v>7509</v>
      </c>
      <c r="B6898" t="s">
        <v>75</v>
      </c>
      <c r="C6898" t="s">
        <v>602</v>
      </c>
      <c r="D6898">
        <v>2048.86</v>
      </c>
      <c r="E6898" s="37" t="str">
        <f t="shared" si="535"/>
        <v xml:space="preserve"> </v>
      </c>
      <c r="F6898">
        <v>0.04</v>
      </c>
      <c r="G6898" s="37" t="str">
        <f t="shared" si="536"/>
        <v>Normal Discount</v>
      </c>
      <c r="H6898" s="37" t="str">
        <f t="shared" si="537"/>
        <v>Low</v>
      </c>
      <c r="I6898">
        <v>5</v>
      </c>
      <c r="J6898" t="str" cm="1">
        <f t="array" ref="J6898">_xlfn.IFS(I6898&lt;=3,"small",I6898&lt;=6,"Medium",I6898&lt;=9,"Large")</f>
        <v>Medium</v>
      </c>
      <c r="K6898" s="36">
        <v>45171</v>
      </c>
      <c r="L6898" s="36">
        <v>45174</v>
      </c>
      <c r="M6898" t="s">
        <v>612</v>
      </c>
      <c r="N6898" t="s">
        <v>608</v>
      </c>
      <c r="O6898" s="37" t="str">
        <f t="shared" si="538"/>
        <v>Cash Payment</v>
      </c>
      <c r="P6898">
        <v>306.19</v>
      </c>
      <c r="Q6898" s="37" t="str">
        <f>IF(P6898&gt;500,"High","low")</f>
        <v>low</v>
      </c>
      <c r="R6898" s="37" t="str">
        <f t="shared" si="539"/>
        <v>AVERAGE</v>
      </c>
      <c r="S6898" t="s">
        <v>628</v>
      </c>
    </row>
    <row r="6899" spans="1:19" x14ac:dyDescent="0.2">
      <c r="A6899" t="s">
        <v>7510</v>
      </c>
      <c r="B6899" t="s">
        <v>83</v>
      </c>
      <c r="C6899" t="s">
        <v>617</v>
      </c>
      <c r="D6899">
        <v>1422.8</v>
      </c>
      <c r="E6899" s="37" t="str">
        <f t="shared" si="535"/>
        <v xml:space="preserve"> </v>
      </c>
      <c r="F6899">
        <v>0.47</v>
      </c>
      <c r="G6899" s="37" t="str">
        <f t="shared" si="536"/>
        <v>Heavy Discount</v>
      </c>
      <c r="H6899" s="37" t="str">
        <f t="shared" si="537"/>
        <v>High</v>
      </c>
      <c r="I6899">
        <v>7</v>
      </c>
      <c r="J6899" t="str" cm="1">
        <f t="array" ref="J6899">_xlfn.IFS(I6899&lt;=3,"small",I6899&lt;=6,"Medium",I6899&lt;=9,"Large")</f>
        <v>Large</v>
      </c>
      <c r="K6899" s="36">
        <v>45056</v>
      </c>
      <c r="L6899" s="36">
        <v>45059</v>
      </c>
      <c r="M6899" t="s">
        <v>612</v>
      </c>
      <c r="N6899" t="s">
        <v>599</v>
      </c>
      <c r="O6899" s="37" t="str">
        <f t="shared" si="538"/>
        <v>Digital Payment</v>
      </c>
      <c r="P6899">
        <v>146.21</v>
      </c>
      <c r="Q6899" s="37" t="str">
        <f>IF(P6899&gt;500,"High","low")</f>
        <v>low</v>
      </c>
      <c r="R6899" s="37" t="str">
        <f t="shared" si="539"/>
        <v>AVERAGE</v>
      </c>
      <c r="S6899" t="s">
        <v>605</v>
      </c>
    </row>
    <row r="6900" spans="1:19" x14ac:dyDescent="0.2">
      <c r="A6900" t="s">
        <v>7511</v>
      </c>
      <c r="B6900" t="s">
        <v>90</v>
      </c>
      <c r="C6900" t="s">
        <v>597</v>
      </c>
      <c r="D6900">
        <v>1925.47</v>
      </c>
      <c r="E6900" s="37" t="str">
        <f t="shared" si="535"/>
        <v xml:space="preserve"> </v>
      </c>
      <c r="F6900">
        <v>0.19</v>
      </c>
      <c r="G6900" s="37" t="str">
        <f t="shared" si="536"/>
        <v>Normal Discount</v>
      </c>
      <c r="H6900" s="37" t="str">
        <f t="shared" si="537"/>
        <v>Low</v>
      </c>
      <c r="I6900">
        <v>7</v>
      </c>
      <c r="J6900" t="str" cm="1">
        <f t="array" ref="J6900">_xlfn.IFS(I6900&lt;=3,"small",I6900&lt;=6,"Medium",I6900&lt;=9,"Large")</f>
        <v>Large</v>
      </c>
      <c r="K6900" s="36">
        <v>45246</v>
      </c>
      <c r="L6900" s="36">
        <v>45253</v>
      </c>
      <c r="M6900" t="s">
        <v>598</v>
      </c>
      <c r="N6900" t="s">
        <v>608</v>
      </c>
      <c r="O6900" s="37" t="str">
        <f t="shared" si="538"/>
        <v>Cash Payment</v>
      </c>
      <c r="P6900">
        <v>393.63</v>
      </c>
      <c r="Q6900" s="37" t="str">
        <f>IF(P6900&gt;500,"High","low")</f>
        <v>low</v>
      </c>
      <c r="R6900" s="37" t="str">
        <f t="shared" si="539"/>
        <v>AVERAGE</v>
      </c>
      <c r="S6900" t="s">
        <v>628</v>
      </c>
    </row>
    <row r="6901" spans="1:19" x14ac:dyDescent="0.2">
      <c r="A6901" t="s">
        <v>7512</v>
      </c>
      <c r="B6901" t="s">
        <v>67</v>
      </c>
      <c r="C6901" t="s">
        <v>617</v>
      </c>
      <c r="D6901">
        <v>3547.68</v>
      </c>
      <c r="E6901" s="37" t="str">
        <f t="shared" si="535"/>
        <v xml:space="preserve"> </v>
      </c>
      <c r="F6901">
        <v>0.08</v>
      </c>
      <c r="G6901" s="37" t="str">
        <f t="shared" si="536"/>
        <v>Normal Discount</v>
      </c>
      <c r="H6901" s="37" t="str">
        <f t="shared" si="537"/>
        <v>Low</v>
      </c>
      <c r="I6901">
        <v>4</v>
      </c>
      <c r="J6901" t="str" cm="1">
        <f t="array" ref="J6901">_xlfn.IFS(I6901&lt;=3,"small",I6901&lt;=6,"Medium",I6901&lt;=9,"Large")</f>
        <v>Medium</v>
      </c>
      <c r="K6901" s="36">
        <v>45158</v>
      </c>
      <c r="L6901" s="36">
        <v>45163</v>
      </c>
      <c r="M6901" t="s">
        <v>603</v>
      </c>
      <c r="N6901" t="s">
        <v>608</v>
      </c>
      <c r="O6901" s="37" t="str">
        <f t="shared" si="538"/>
        <v>Cash Payment</v>
      </c>
      <c r="P6901">
        <v>661.4</v>
      </c>
      <c r="Q6901" s="37" t="str">
        <f>IF(P6901&gt;500,"High","low")</f>
        <v>High</v>
      </c>
      <c r="R6901" s="37" t="str">
        <f t="shared" si="539"/>
        <v>Good</v>
      </c>
      <c r="S6901" t="s">
        <v>600</v>
      </c>
    </row>
    <row r="6902" spans="1:19" x14ac:dyDescent="0.2">
      <c r="A6902" t="s">
        <v>7513</v>
      </c>
      <c r="B6902" t="s">
        <v>90</v>
      </c>
      <c r="C6902" t="s">
        <v>614</v>
      </c>
      <c r="D6902">
        <v>1747.47</v>
      </c>
      <c r="E6902" s="37" t="str">
        <f t="shared" si="535"/>
        <v xml:space="preserve"> </v>
      </c>
      <c r="F6902">
        <v>7.0000000000000007E-2</v>
      </c>
      <c r="G6902" s="37" t="str">
        <f t="shared" si="536"/>
        <v>Normal Discount</v>
      </c>
      <c r="H6902" s="37" t="str">
        <f t="shared" si="537"/>
        <v>Low</v>
      </c>
      <c r="I6902">
        <v>1</v>
      </c>
      <c r="J6902" t="str" cm="1">
        <f t="array" ref="J6902">_xlfn.IFS(I6902&lt;=3,"small",I6902&lt;=6,"Medium",I6902&lt;=9,"Large")</f>
        <v>small</v>
      </c>
      <c r="K6902" s="36">
        <v>45098</v>
      </c>
      <c r="L6902" s="36">
        <v>45100</v>
      </c>
      <c r="M6902" t="s">
        <v>603</v>
      </c>
      <c r="N6902" t="s">
        <v>608</v>
      </c>
      <c r="O6902" s="37" t="str">
        <f t="shared" si="538"/>
        <v>Cash Payment</v>
      </c>
      <c r="P6902">
        <v>103.78</v>
      </c>
      <c r="Q6902" s="37" t="str">
        <f>IF(P6902&gt;500,"High","low")</f>
        <v>low</v>
      </c>
      <c r="R6902" s="37" t="str">
        <f t="shared" si="539"/>
        <v>AVERAGE</v>
      </c>
      <c r="S6902" t="s">
        <v>615</v>
      </c>
    </row>
    <row r="6903" spans="1:19" x14ac:dyDescent="0.2">
      <c r="A6903" t="s">
        <v>7514</v>
      </c>
      <c r="B6903" t="s">
        <v>75</v>
      </c>
      <c r="C6903" t="s">
        <v>597</v>
      </c>
      <c r="D6903">
        <v>4897.91</v>
      </c>
      <c r="E6903" s="37" t="str">
        <f t="shared" si="535"/>
        <v xml:space="preserve"> </v>
      </c>
      <c r="F6903">
        <v>0.2</v>
      </c>
      <c r="G6903" s="37" t="str">
        <f t="shared" si="536"/>
        <v>Normal Discount</v>
      </c>
      <c r="H6903" s="37" t="str">
        <f t="shared" si="537"/>
        <v>Medium</v>
      </c>
      <c r="I6903">
        <v>5</v>
      </c>
      <c r="J6903" t="str" cm="1">
        <f t="array" ref="J6903">_xlfn.IFS(I6903&lt;=3,"small",I6903&lt;=6,"Medium",I6903&lt;=9,"Large")</f>
        <v>Medium</v>
      </c>
      <c r="K6903" s="36">
        <v>45514</v>
      </c>
      <c r="L6903" s="36">
        <v>45518</v>
      </c>
      <c r="M6903" t="s">
        <v>612</v>
      </c>
      <c r="N6903" t="s">
        <v>604</v>
      </c>
      <c r="O6903" s="37" t="str">
        <f t="shared" si="538"/>
        <v>Digital Payment</v>
      </c>
      <c r="P6903">
        <v>290.66000000000003</v>
      </c>
      <c r="Q6903" s="37" t="str">
        <f>IF(P6903&gt;500,"High","low")</f>
        <v>low</v>
      </c>
      <c r="R6903" s="37" t="str">
        <f t="shared" si="539"/>
        <v>AVERAGE</v>
      </c>
      <c r="S6903" t="s">
        <v>605</v>
      </c>
    </row>
    <row r="6904" spans="1:19" x14ac:dyDescent="0.2">
      <c r="A6904" t="s">
        <v>7515</v>
      </c>
      <c r="B6904" t="s">
        <v>83</v>
      </c>
      <c r="C6904" t="s">
        <v>607</v>
      </c>
      <c r="D6904">
        <v>957.4</v>
      </c>
      <c r="E6904" s="37" t="str">
        <f t="shared" si="535"/>
        <v xml:space="preserve"> </v>
      </c>
      <c r="F6904">
        <v>0.32</v>
      </c>
      <c r="G6904" s="37" t="str">
        <f t="shared" si="536"/>
        <v>Heavy Discount</v>
      </c>
      <c r="H6904" s="37" t="str">
        <f t="shared" si="537"/>
        <v>Medium</v>
      </c>
      <c r="I6904">
        <v>7</v>
      </c>
      <c r="J6904" t="str" cm="1">
        <f t="array" ref="J6904">_xlfn.IFS(I6904&lt;=3,"small",I6904&lt;=6,"Medium",I6904&lt;=9,"Large")</f>
        <v>Large</v>
      </c>
      <c r="K6904" s="36">
        <v>45493</v>
      </c>
      <c r="L6904" s="36">
        <v>45499</v>
      </c>
      <c r="M6904" t="s">
        <v>612</v>
      </c>
      <c r="N6904" t="s">
        <v>608</v>
      </c>
      <c r="O6904" s="37" t="str">
        <f t="shared" si="538"/>
        <v>Cash Payment</v>
      </c>
      <c r="P6904">
        <v>83.79</v>
      </c>
      <c r="Q6904" s="37" t="str">
        <f>IF(P6904&gt;500,"High","low")</f>
        <v>low</v>
      </c>
      <c r="R6904" s="37" t="str">
        <f t="shared" si="539"/>
        <v>AVERAGE</v>
      </c>
      <c r="S6904" t="s">
        <v>605</v>
      </c>
    </row>
    <row r="6905" spans="1:19" x14ac:dyDescent="0.2">
      <c r="A6905" t="s">
        <v>7516</v>
      </c>
      <c r="B6905" t="s">
        <v>90</v>
      </c>
      <c r="C6905" t="s">
        <v>597</v>
      </c>
      <c r="D6905">
        <v>3790.17</v>
      </c>
      <c r="E6905" s="37" t="str">
        <f t="shared" si="535"/>
        <v xml:space="preserve"> </v>
      </c>
      <c r="F6905">
        <v>0.39</v>
      </c>
      <c r="G6905" s="37" t="str">
        <f t="shared" si="536"/>
        <v>Heavy Discount</v>
      </c>
      <c r="H6905" s="37" t="str">
        <f t="shared" si="537"/>
        <v>Medium</v>
      </c>
      <c r="I6905">
        <v>4</v>
      </c>
      <c r="J6905" t="str" cm="1">
        <f t="array" ref="J6905">_xlfn.IFS(I6905&lt;=3,"small",I6905&lt;=6,"Medium",I6905&lt;=9,"Large")</f>
        <v>Medium</v>
      </c>
      <c r="K6905" s="36">
        <v>45165</v>
      </c>
      <c r="L6905" s="36">
        <v>45169</v>
      </c>
      <c r="M6905" t="s">
        <v>603</v>
      </c>
      <c r="N6905" t="s">
        <v>608</v>
      </c>
      <c r="O6905" s="37" t="str">
        <f t="shared" si="538"/>
        <v>Cash Payment</v>
      </c>
      <c r="P6905">
        <v>869.18</v>
      </c>
      <c r="Q6905" s="37" t="str">
        <f>IF(P6905&gt;500,"High","low")</f>
        <v>High</v>
      </c>
      <c r="R6905" s="37" t="str">
        <f t="shared" si="539"/>
        <v>Good</v>
      </c>
      <c r="S6905" t="s">
        <v>620</v>
      </c>
    </row>
    <row r="6906" spans="1:19" x14ac:dyDescent="0.2">
      <c r="A6906" t="s">
        <v>7517</v>
      </c>
      <c r="B6906" t="s">
        <v>90</v>
      </c>
      <c r="C6906" t="s">
        <v>602</v>
      </c>
      <c r="D6906">
        <v>2986.9</v>
      </c>
      <c r="E6906" s="37" t="str">
        <f t="shared" si="535"/>
        <v xml:space="preserve"> </v>
      </c>
      <c r="F6906">
        <v>0.46</v>
      </c>
      <c r="G6906" s="37" t="str">
        <f t="shared" si="536"/>
        <v>Heavy Discount</v>
      </c>
      <c r="H6906" s="37" t="str">
        <f t="shared" si="537"/>
        <v>High</v>
      </c>
      <c r="I6906">
        <v>7</v>
      </c>
      <c r="J6906" t="str" cm="1">
        <f t="array" ref="J6906">_xlfn.IFS(I6906&lt;=3,"small",I6906&lt;=6,"Medium",I6906&lt;=9,"Large")</f>
        <v>Large</v>
      </c>
      <c r="K6906" s="36">
        <v>45559</v>
      </c>
      <c r="L6906" s="36">
        <v>45564</v>
      </c>
      <c r="M6906" t="s">
        <v>603</v>
      </c>
      <c r="N6906" t="s">
        <v>608</v>
      </c>
      <c r="O6906" s="37" t="str">
        <f t="shared" si="538"/>
        <v>Cash Payment</v>
      </c>
      <c r="P6906">
        <v>790.97</v>
      </c>
      <c r="Q6906" s="37" t="str">
        <f>IF(P6906&gt;500,"High","low")</f>
        <v>High</v>
      </c>
      <c r="R6906" s="37" t="str">
        <f t="shared" si="539"/>
        <v>Good</v>
      </c>
      <c r="S6906" t="s">
        <v>628</v>
      </c>
    </row>
    <row r="6907" spans="1:19" x14ac:dyDescent="0.2">
      <c r="A6907" t="s">
        <v>7518</v>
      </c>
      <c r="B6907" t="s">
        <v>83</v>
      </c>
      <c r="C6907" t="s">
        <v>607</v>
      </c>
      <c r="D6907">
        <v>1242.17</v>
      </c>
      <c r="E6907" s="37" t="str">
        <f t="shared" si="535"/>
        <v xml:space="preserve"> </v>
      </c>
      <c r="F6907">
        <v>0.32</v>
      </c>
      <c r="G6907" s="37" t="str">
        <f t="shared" si="536"/>
        <v>Heavy Discount</v>
      </c>
      <c r="H6907" s="37" t="str">
        <f t="shared" si="537"/>
        <v>Medium</v>
      </c>
      <c r="I6907">
        <v>8</v>
      </c>
      <c r="J6907" t="str" cm="1">
        <f t="array" ref="J6907">_xlfn.IFS(I6907&lt;=3,"small",I6907&lt;=6,"Medium",I6907&lt;=9,"Large")</f>
        <v>Large</v>
      </c>
      <c r="K6907" s="36">
        <v>45258</v>
      </c>
      <c r="L6907" s="36">
        <v>45260</v>
      </c>
      <c r="M6907" t="s">
        <v>612</v>
      </c>
      <c r="N6907" t="s">
        <v>608</v>
      </c>
      <c r="O6907" s="37" t="str">
        <f t="shared" si="538"/>
        <v>Cash Payment</v>
      </c>
      <c r="P6907">
        <v>70.040000000000006</v>
      </c>
      <c r="Q6907" s="37" t="str">
        <f>IF(P6907&gt;500,"High","low")</f>
        <v>low</v>
      </c>
      <c r="R6907" s="37" t="str">
        <f t="shared" si="539"/>
        <v>AVERAGE</v>
      </c>
      <c r="S6907" t="s">
        <v>628</v>
      </c>
    </row>
    <row r="6908" spans="1:19" x14ac:dyDescent="0.2">
      <c r="A6908" t="s">
        <v>7519</v>
      </c>
      <c r="B6908" t="s">
        <v>83</v>
      </c>
      <c r="C6908" t="s">
        <v>607</v>
      </c>
      <c r="D6908">
        <v>3792.71</v>
      </c>
      <c r="E6908" s="37" t="str">
        <f t="shared" si="535"/>
        <v xml:space="preserve"> </v>
      </c>
      <c r="F6908">
        <v>0.21</v>
      </c>
      <c r="G6908" s="37" t="str">
        <f t="shared" si="536"/>
        <v>Normal Discount</v>
      </c>
      <c r="H6908" s="37" t="str">
        <f t="shared" si="537"/>
        <v>Medium</v>
      </c>
      <c r="I6908">
        <v>2</v>
      </c>
      <c r="J6908" t="str" cm="1">
        <f t="array" ref="J6908">_xlfn.IFS(I6908&lt;=3,"small",I6908&lt;=6,"Medium",I6908&lt;=9,"Large")</f>
        <v>small</v>
      </c>
      <c r="K6908" s="36">
        <v>45333</v>
      </c>
      <c r="L6908" s="36">
        <v>45336</v>
      </c>
      <c r="M6908" t="s">
        <v>598</v>
      </c>
      <c r="N6908" t="s">
        <v>608</v>
      </c>
      <c r="O6908" s="37" t="str">
        <f t="shared" si="538"/>
        <v>Cash Payment</v>
      </c>
      <c r="P6908">
        <v>965.44</v>
      </c>
      <c r="Q6908" s="37" t="str">
        <f>IF(P6908&gt;500,"High","low")</f>
        <v>High</v>
      </c>
      <c r="R6908" s="37" t="str">
        <f t="shared" si="539"/>
        <v>Good</v>
      </c>
      <c r="S6908" t="s">
        <v>609</v>
      </c>
    </row>
    <row r="6909" spans="1:19" x14ac:dyDescent="0.2">
      <c r="A6909" t="s">
        <v>7520</v>
      </c>
      <c r="B6909" t="s">
        <v>67</v>
      </c>
      <c r="C6909" t="s">
        <v>602</v>
      </c>
      <c r="D6909">
        <v>2292.9499999999998</v>
      </c>
      <c r="E6909" s="37" t="str">
        <f t="shared" si="535"/>
        <v xml:space="preserve"> </v>
      </c>
      <c r="F6909">
        <v>0.21</v>
      </c>
      <c r="G6909" s="37" t="str">
        <f t="shared" si="536"/>
        <v>Normal Discount</v>
      </c>
      <c r="H6909" s="37" t="str">
        <f t="shared" si="537"/>
        <v>Medium</v>
      </c>
      <c r="I6909">
        <v>2</v>
      </c>
      <c r="J6909" t="str" cm="1">
        <f t="array" ref="J6909">_xlfn.IFS(I6909&lt;=3,"small",I6909&lt;=6,"Medium",I6909&lt;=9,"Large")</f>
        <v>small</v>
      </c>
      <c r="K6909" s="36">
        <v>45630</v>
      </c>
      <c r="L6909" s="36">
        <v>45637</v>
      </c>
      <c r="M6909" t="s">
        <v>612</v>
      </c>
      <c r="N6909" t="s">
        <v>599</v>
      </c>
      <c r="O6909" s="37" t="str">
        <f t="shared" si="538"/>
        <v>Digital Payment</v>
      </c>
      <c r="P6909">
        <v>381.42</v>
      </c>
      <c r="Q6909" s="37" t="str">
        <f>IF(P6909&gt;500,"High","low")</f>
        <v>low</v>
      </c>
      <c r="R6909" s="37" t="str">
        <f t="shared" si="539"/>
        <v>AVERAGE</v>
      </c>
      <c r="S6909" t="s">
        <v>615</v>
      </c>
    </row>
    <row r="6910" spans="1:19" x14ac:dyDescent="0.2">
      <c r="A6910" t="s">
        <v>7521</v>
      </c>
      <c r="B6910" t="s">
        <v>90</v>
      </c>
      <c r="C6910" t="s">
        <v>607</v>
      </c>
      <c r="D6910">
        <v>3443.75</v>
      </c>
      <c r="E6910" s="37" t="str">
        <f t="shared" si="535"/>
        <v xml:space="preserve"> </v>
      </c>
      <c r="F6910">
        <v>0.28999999999999998</v>
      </c>
      <c r="G6910" s="37" t="str">
        <f t="shared" si="536"/>
        <v>Normal Discount</v>
      </c>
      <c r="H6910" s="37" t="str">
        <f t="shared" si="537"/>
        <v>Medium</v>
      </c>
      <c r="I6910">
        <v>5</v>
      </c>
      <c r="J6910" t="str" cm="1">
        <f t="array" ref="J6910">_xlfn.IFS(I6910&lt;=3,"small",I6910&lt;=6,"Medium",I6910&lt;=9,"Large")</f>
        <v>Medium</v>
      </c>
      <c r="K6910" s="36">
        <v>45448</v>
      </c>
      <c r="L6910" s="36">
        <v>45450</v>
      </c>
      <c r="M6910" t="s">
        <v>598</v>
      </c>
      <c r="N6910" t="s">
        <v>608</v>
      </c>
      <c r="O6910" s="37" t="str">
        <f t="shared" si="538"/>
        <v>Cash Payment</v>
      </c>
      <c r="P6910">
        <v>517.61</v>
      </c>
      <c r="Q6910" s="37" t="str">
        <f>IF(P6910&gt;500,"High","low")</f>
        <v>High</v>
      </c>
      <c r="R6910" s="37" t="str">
        <f t="shared" si="539"/>
        <v>Good</v>
      </c>
      <c r="S6910" t="s">
        <v>628</v>
      </c>
    </row>
    <row r="6911" spans="1:19" x14ac:dyDescent="0.2">
      <c r="A6911" t="s">
        <v>7522</v>
      </c>
      <c r="B6911" t="s">
        <v>90</v>
      </c>
      <c r="C6911" t="s">
        <v>614</v>
      </c>
      <c r="D6911">
        <v>3345.06</v>
      </c>
      <c r="E6911" s="37" t="str">
        <f t="shared" si="535"/>
        <v xml:space="preserve"> </v>
      </c>
      <c r="F6911">
        <v>0.27</v>
      </c>
      <c r="G6911" s="37" t="str">
        <f t="shared" si="536"/>
        <v>Normal Discount</v>
      </c>
      <c r="H6911" s="37" t="str">
        <f t="shared" si="537"/>
        <v>Medium</v>
      </c>
      <c r="I6911">
        <v>3</v>
      </c>
      <c r="J6911" t="str" cm="1">
        <f t="array" ref="J6911">_xlfn.IFS(I6911&lt;=3,"small",I6911&lt;=6,"Medium",I6911&lt;=9,"Large")</f>
        <v>small</v>
      </c>
      <c r="K6911" s="36">
        <v>45217</v>
      </c>
      <c r="L6911" s="36">
        <v>45221</v>
      </c>
      <c r="M6911" t="s">
        <v>603</v>
      </c>
      <c r="N6911" t="s">
        <v>599</v>
      </c>
      <c r="O6911" s="37" t="str">
        <f t="shared" si="538"/>
        <v>Digital Payment</v>
      </c>
      <c r="P6911">
        <v>622.75</v>
      </c>
      <c r="Q6911" s="37" t="str">
        <f>IF(P6911&gt;500,"High","low")</f>
        <v>High</v>
      </c>
      <c r="R6911" s="37" t="str">
        <f t="shared" si="539"/>
        <v>Good</v>
      </c>
      <c r="S6911" t="s">
        <v>615</v>
      </c>
    </row>
    <row r="6912" spans="1:19" x14ac:dyDescent="0.2">
      <c r="A6912" t="s">
        <v>7523</v>
      </c>
      <c r="B6912" t="s">
        <v>75</v>
      </c>
      <c r="C6912" t="s">
        <v>597</v>
      </c>
      <c r="D6912">
        <v>642.15</v>
      </c>
      <c r="E6912" s="37" t="str">
        <f t="shared" si="535"/>
        <v xml:space="preserve"> </v>
      </c>
      <c r="F6912">
        <v>0.32</v>
      </c>
      <c r="G6912" s="37" t="str">
        <f t="shared" si="536"/>
        <v>Heavy Discount</v>
      </c>
      <c r="H6912" s="37" t="str">
        <f t="shared" si="537"/>
        <v>Medium</v>
      </c>
      <c r="I6912">
        <v>4</v>
      </c>
      <c r="J6912" t="str" cm="1">
        <f t="array" ref="J6912">_xlfn.IFS(I6912&lt;=3,"small",I6912&lt;=6,"Medium",I6912&lt;=9,"Large")</f>
        <v>Medium</v>
      </c>
      <c r="K6912" s="36">
        <v>45572</v>
      </c>
      <c r="L6912" s="36">
        <v>45576</v>
      </c>
      <c r="M6912" t="s">
        <v>603</v>
      </c>
      <c r="N6912" t="s">
        <v>599</v>
      </c>
      <c r="O6912" s="37" t="str">
        <f t="shared" si="538"/>
        <v>Digital Payment</v>
      </c>
      <c r="P6912">
        <v>182.53</v>
      </c>
      <c r="Q6912" s="37" t="str">
        <f>IF(P6912&gt;500,"High","low")</f>
        <v>low</v>
      </c>
      <c r="R6912" s="37" t="str">
        <f t="shared" si="539"/>
        <v>AVERAGE</v>
      </c>
      <c r="S6912" t="s">
        <v>628</v>
      </c>
    </row>
    <row r="6913" spans="1:19" x14ac:dyDescent="0.2">
      <c r="A6913" t="s">
        <v>7524</v>
      </c>
      <c r="B6913" t="s">
        <v>67</v>
      </c>
      <c r="C6913" t="s">
        <v>597</v>
      </c>
      <c r="D6913">
        <v>4215.92</v>
      </c>
      <c r="E6913" s="37" t="str">
        <f t="shared" si="535"/>
        <v>Excellent Order</v>
      </c>
      <c r="F6913">
        <v>0.25</v>
      </c>
      <c r="G6913" s="37" t="str">
        <f t="shared" si="536"/>
        <v>Normal Discount</v>
      </c>
      <c r="H6913" s="37" t="str">
        <f t="shared" si="537"/>
        <v>Medium</v>
      </c>
      <c r="I6913">
        <v>1</v>
      </c>
      <c r="J6913" t="str" cm="1">
        <f t="array" ref="J6913">_xlfn.IFS(I6913&lt;=3,"small",I6913&lt;=6,"Medium",I6913&lt;=9,"Large")</f>
        <v>small</v>
      </c>
      <c r="K6913" s="36">
        <v>45527</v>
      </c>
      <c r="L6913" s="36">
        <v>45533</v>
      </c>
      <c r="M6913" t="s">
        <v>603</v>
      </c>
      <c r="N6913" t="s">
        <v>599</v>
      </c>
      <c r="O6913" s="37" t="str">
        <f t="shared" si="538"/>
        <v>Digital Payment</v>
      </c>
      <c r="P6913">
        <v>810.39</v>
      </c>
      <c r="Q6913" s="37" t="str">
        <f>IF(P6913&gt;500,"High","low")</f>
        <v>High</v>
      </c>
      <c r="R6913" s="37" t="str">
        <f t="shared" si="539"/>
        <v>Good</v>
      </c>
      <c r="S6913" t="s">
        <v>628</v>
      </c>
    </row>
    <row r="6914" spans="1:19" x14ac:dyDescent="0.2">
      <c r="A6914" t="s">
        <v>7525</v>
      </c>
      <c r="B6914" t="s">
        <v>75</v>
      </c>
      <c r="C6914" t="s">
        <v>602</v>
      </c>
      <c r="D6914">
        <v>3439.23</v>
      </c>
      <c r="E6914" s="37" t="str">
        <f t="shared" si="535"/>
        <v xml:space="preserve"> </v>
      </c>
      <c r="F6914">
        <v>0.03</v>
      </c>
      <c r="G6914" s="37" t="str">
        <f t="shared" si="536"/>
        <v>Normal Discount</v>
      </c>
      <c r="H6914" s="37" t="str">
        <f t="shared" si="537"/>
        <v>Low</v>
      </c>
      <c r="I6914">
        <v>4</v>
      </c>
      <c r="J6914" t="str" cm="1">
        <f t="array" ref="J6914">_xlfn.IFS(I6914&lt;=3,"small",I6914&lt;=6,"Medium",I6914&lt;=9,"Large")</f>
        <v>Medium</v>
      </c>
      <c r="K6914" s="36">
        <v>45108</v>
      </c>
      <c r="L6914" s="36">
        <v>45112</v>
      </c>
      <c r="M6914" t="s">
        <v>603</v>
      </c>
      <c r="N6914" t="s">
        <v>608</v>
      </c>
      <c r="O6914" s="37" t="str">
        <f t="shared" si="538"/>
        <v>Cash Payment</v>
      </c>
      <c r="P6914">
        <v>261.88</v>
      </c>
      <c r="Q6914" s="37" t="str">
        <f>IF(P6914&gt;500,"High","low")</f>
        <v>low</v>
      </c>
      <c r="R6914" s="37" t="str">
        <f t="shared" si="539"/>
        <v>AVERAGE</v>
      </c>
      <c r="S6914" t="s">
        <v>628</v>
      </c>
    </row>
    <row r="6915" spans="1:19" x14ac:dyDescent="0.2">
      <c r="A6915" t="s">
        <v>7526</v>
      </c>
      <c r="B6915" t="s">
        <v>90</v>
      </c>
      <c r="C6915" t="s">
        <v>614</v>
      </c>
      <c r="D6915">
        <v>3924.87</v>
      </c>
      <c r="E6915" s="37" t="str">
        <f t="shared" ref="E6915:E6978" si="540">IF(AND(D6915&gt;4000,P6915&gt;800),"Excellent Order"," ")</f>
        <v xml:space="preserve"> </v>
      </c>
      <c r="F6915">
        <v>0.25</v>
      </c>
      <c r="G6915" s="37" t="str">
        <f t="shared" ref="G6915:G6978" si="541">IF(F6915&gt;30%,"Heavy Discount","Normal Discount")</f>
        <v>Normal Discount</v>
      </c>
      <c r="H6915" s="37" t="str">
        <f t="shared" ref="H6915:H6978" si="542">IF(F6915&gt;0.4,"High",IF(F6915&gt;=0.2,"Medium","Low"))</f>
        <v>Medium</v>
      </c>
      <c r="I6915">
        <v>4</v>
      </c>
      <c r="J6915" t="str" cm="1">
        <f t="array" ref="J6915">_xlfn.IFS(I6915&lt;=3,"small",I6915&lt;=6,"Medium",I6915&lt;=9,"Large")</f>
        <v>Medium</v>
      </c>
      <c r="K6915" s="36">
        <v>45306</v>
      </c>
      <c r="L6915" s="36">
        <v>45312</v>
      </c>
      <c r="M6915" t="s">
        <v>612</v>
      </c>
      <c r="N6915" t="s">
        <v>608</v>
      </c>
      <c r="O6915" s="37" t="str">
        <f t="shared" ref="O6915:O6978" si="543">IF(OR(N6915="Card",N6915="UPI"),"Digital Payment","Cash Payment")</f>
        <v>Cash Payment</v>
      </c>
      <c r="P6915">
        <v>659.16</v>
      </c>
      <c r="Q6915" s="37" t="str">
        <f>IF(P6915&gt;500,"High","low")</f>
        <v>High</v>
      </c>
      <c r="R6915" s="37" t="str">
        <f t="shared" ref="R6915:R6978" si="544">IF(P6915&gt;1000,"Excellent",IF(P6915&gt;=500,"Good","AVERAGE"))</f>
        <v>Good</v>
      </c>
      <c r="S6915" t="s">
        <v>600</v>
      </c>
    </row>
    <row r="6916" spans="1:19" x14ac:dyDescent="0.2">
      <c r="A6916" t="s">
        <v>7527</v>
      </c>
      <c r="B6916" t="s">
        <v>75</v>
      </c>
      <c r="C6916" t="s">
        <v>607</v>
      </c>
      <c r="D6916">
        <v>2294.0500000000002</v>
      </c>
      <c r="E6916" s="37" t="str">
        <f t="shared" si="540"/>
        <v xml:space="preserve"> </v>
      </c>
      <c r="F6916">
        <v>0.01</v>
      </c>
      <c r="G6916" s="37" t="str">
        <f t="shared" si="541"/>
        <v>Normal Discount</v>
      </c>
      <c r="H6916" s="37" t="str">
        <f t="shared" si="542"/>
        <v>Low</v>
      </c>
      <c r="I6916">
        <v>4</v>
      </c>
      <c r="J6916" t="str" cm="1">
        <f t="array" ref="J6916">_xlfn.IFS(I6916&lt;=3,"small",I6916&lt;=6,"Medium",I6916&lt;=9,"Large")</f>
        <v>Medium</v>
      </c>
      <c r="K6916" s="36">
        <v>45645</v>
      </c>
      <c r="L6916" s="36">
        <v>45648</v>
      </c>
      <c r="M6916" t="s">
        <v>603</v>
      </c>
      <c r="N6916" t="s">
        <v>608</v>
      </c>
      <c r="O6916" s="37" t="str">
        <f t="shared" si="543"/>
        <v>Cash Payment</v>
      </c>
      <c r="P6916">
        <v>675.51</v>
      </c>
      <c r="Q6916" s="37" t="str">
        <f>IF(P6916&gt;500,"High","low")</f>
        <v>High</v>
      </c>
      <c r="R6916" s="37" t="str">
        <f t="shared" si="544"/>
        <v>Good</v>
      </c>
      <c r="S6916" t="s">
        <v>615</v>
      </c>
    </row>
    <row r="6917" spans="1:19" x14ac:dyDescent="0.2">
      <c r="A6917" t="s">
        <v>7528</v>
      </c>
      <c r="B6917" t="s">
        <v>90</v>
      </c>
      <c r="C6917" t="s">
        <v>597</v>
      </c>
      <c r="D6917">
        <v>1055.8</v>
      </c>
      <c r="E6917" s="37" t="str">
        <f t="shared" si="540"/>
        <v xml:space="preserve"> </v>
      </c>
      <c r="F6917">
        <v>0.09</v>
      </c>
      <c r="G6917" s="37" t="str">
        <f t="shared" si="541"/>
        <v>Normal Discount</v>
      </c>
      <c r="H6917" s="37" t="str">
        <f t="shared" si="542"/>
        <v>Low</v>
      </c>
      <c r="I6917">
        <v>3</v>
      </c>
      <c r="J6917" t="str" cm="1">
        <f t="array" ref="J6917">_xlfn.IFS(I6917&lt;=3,"small",I6917&lt;=6,"Medium",I6917&lt;=9,"Large")</f>
        <v>small</v>
      </c>
      <c r="K6917" s="36">
        <v>45008</v>
      </c>
      <c r="L6917" s="36">
        <v>45014</v>
      </c>
      <c r="M6917" t="s">
        <v>598</v>
      </c>
      <c r="N6917" t="s">
        <v>599</v>
      </c>
      <c r="O6917" s="37" t="str">
        <f t="shared" si="543"/>
        <v>Digital Payment</v>
      </c>
      <c r="P6917">
        <v>95.9</v>
      </c>
      <c r="Q6917" s="37" t="str">
        <f>IF(P6917&gt;500,"High","low")</f>
        <v>low</v>
      </c>
      <c r="R6917" s="37" t="str">
        <f t="shared" si="544"/>
        <v>AVERAGE</v>
      </c>
      <c r="S6917" t="s">
        <v>600</v>
      </c>
    </row>
    <row r="6918" spans="1:19" x14ac:dyDescent="0.2">
      <c r="A6918" t="s">
        <v>7529</v>
      </c>
      <c r="B6918" t="s">
        <v>90</v>
      </c>
      <c r="C6918" t="s">
        <v>597</v>
      </c>
      <c r="D6918">
        <v>1698.45</v>
      </c>
      <c r="E6918" s="37" t="str">
        <f t="shared" si="540"/>
        <v xml:space="preserve"> </v>
      </c>
      <c r="F6918">
        <v>0.19</v>
      </c>
      <c r="G6918" s="37" t="str">
        <f t="shared" si="541"/>
        <v>Normal Discount</v>
      </c>
      <c r="H6918" s="37" t="str">
        <f t="shared" si="542"/>
        <v>Low</v>
      </c>
      <c r="I6918">
        <v>2</v>
      </c>
      <c r="J6918" t="str" cm="1">
        <f t="array" ref="J6918">_xlfn.IFS(I6918&lt;=3,"small",I6918&lt;=6,"Medium",I6918&lt;=9,"Large")</f>
        <v>small</v>
      </c>
      <c r="K6918" s="36">
        <v>45558</v>
      </c>
      <c r="L6918" s="36">
        <v>45562</v>
      </c>
      <c r="M6918" t="s">
        <v>598</v>
      </c>
      <c r="N6918" t="s">
        <v>608</v>
      </c>
      <c r="O6918" s="37" t="str">
        <f t="shared" si="543"/>
        <v>Cash Payment</v>
      </c>
      <c r="P6918">
        <v>281.17</v>
      </c>
      <c r="Q6918" s="37" t="str">
        <f>IF(P6918&gt;500,"High","low")</f>
        <v>low</v>
      </c>
      <c r="R6918" s="37" t="str">
        <f t="shared" si="544"/>
        <v>AVERAGE</v>
      </c>
      <c r="S6918" t="s">
        <v>620</v>
      </c>
    </row>
    <row r="6919" spans="1:19" x14ac:dyDescent="0.2">
      <c r="A6919" t="s">
        <v>7530</v>
      </c>
      <c r="B6919" t="s">
        <v>75</v>
      </c>
      <c r="C6919" t="s">
        <v>597</v>
      </c>
      <c r="D6919">
        <v>4517.2</v>
      </c>
      <c r="E6919" s="37" t="str">
        <f t="shared" si="540"/>
        <v>Excellent Order</v>
      </c>
      <c r="F6919">
        <v>0.28000000000000003</v>
      </c>
      <c r="G6919" s="37" t="str">
        <f t="shared" si="541"/>
        <v>Normal Discount</v>
      </c>
      <c r="H6919" s="37" t="str">
        <f t="shared" si="542"/>
        <v>Medium</v>
      </c>
      <c r="I6919">
        <v>4</v>
      </c>
      <c r="J6919" t="str" cm="1">
        <f t="array" ref="J6919">_xlfn.IFS(I6919&lt;=3,"small",I6919&lt;=6,"Medium",I6919&lt;=9,"Large")</f>
        <v>Medium</v>
      </c>
      <c r="K6919" s="36">
        <v>45263</v>
      </c>
      <c r="L6919" s="36">
        <v>45265</v>
      </c>
      <c r="M6919" t="s">
        <v>612</v>
      </c>
      <c r="N6919" t="s">
        <v>604</v>
      </c>
      <c r="O6919" s="37" t="str">
        <f t="shared" si="543"/>
        <v>Digital Payment</v>
      </c>
      <c r="P6919">
        <v>1013.06</v>
      </c>
      <c r="Q6919" s="37" t="str">
        <f>IF(P6919&gt;500,"High","low")</f>
        <v>High</v>
      </c>
      <c r="R6919" s="37" t="str">
        <f t="shared" si="544"/>
        <v>Excellent</v>
      </c>
      <c r="S6919" t="s">
        <v>620</v>
      </c>
    </row>
    <row r="6920" spans="1:19" x14ac:dyDescent="0.2">
      <c r="A6920" t="s">
        <v>7531</v>
      </c>
      <c r="B6920" t="s">
        <v>75</v>
      </c>
      <c r="C6920" t="s">
        <v>597</v>
      </c>
      <c r="D6920">
        <v>4696.29</v>
      </c>
      <c r="E6920" s="37" t="str">
        <f t="shared" si="540"/>
        <v xml:space="preserve"> </v>
      </c>
      <c r="F6920">
        <v>0.09</v>
      </c>
      <c r="G6920" s="37" t="str">
        <f t="shared" si="541"/>
        <v>Normal Discount</v>
      </c>
      <c r="H6920" s="37" t="str">
        <f t="shared" si="542"/>
        <v>Low</v>
      </c>
      <c r="I6920">
        <v>8</v>
      </c>
      <c r="J6920" t="str" cm="1">
        <f t="array" ref="J6920">_xlfn.IFS(I6920&lt;=3,"small",I6920&lt;=6,"Medium",I6920&lt;=9,"Large")</f>
        <v>Large</v>
      </c>
      <c r="K6920" s="36">
        <v>44986</v>
      </c>
      <c r="L6920" s="36">
        <v>44989</v>
      </c>
      <c r="M6920" t="s">
        <v>603</v>
      </c>
      <c r="N6920" t="s">
        <v>604</v>
      </c>
      <c r="O6920" s="37" t="str">
        <f t="shared" si="543"/>
        <v>Digital Payment</v>
      </c>
      <c r="P6920">
        <v>663.32</v>
      </c>
      <c r="Q6920" s="37" t="str">
        <f>IF(P6920&gt;500,"High","low")</f>
        <v>High</v>
      </c>
      <c r="R6920" s="37" t="str">
        <f t="shared" si="544"/>
        <v>Good</v>
      </c>
      <c r="S6920" t="s">
        <v>609</v>
      </c>
    </row>
    <row r="6921" spans="1:19" x14ac:dyDescent="0.2">
      <c r="A6921" t="s">
        <v>7532</v>
      </c>
      <c r="B6921" t="s">
        <v>83</v>
      </c>
      <c r="C6921" t="s">
        <v>617</v>
      </c>
      <c r="D6921">
        <v>2461.15</v>
      </c>
      <c r="E6921" s="37" t="str">
        <f t="shared" si="540"/>
        <v xml:space="preserve"> </v>
      </c>
      <c r="F6921">
        <v>0.14000000000000001</v>
      </c>
      <c r="G6921" s="37" t="str">
        <f t="shared" si="541"/>
        <v>Normal Discount</v>
      </c>
      <c r="H6921" s="37" t="str">
        <f t="shared" si="542"/>
        <v>Low</v>
      </c>
      <c r="I6921">
        <v>3</v>
      </c>
      <c r="J6921" t="str" cm="1">
        <f t="array" ref="J6921">_xlfn.IFS(I6921&lt;=3,"small",I6921&lt;=6,"Medium",I6921&lt;=9,"Large")</f>
        <v>small</v>
      </c>
      <c r="K6921" s="36">
        <v>45612</v>
      </c>
      <c r="L6921" s="36">
        <v>45619</v>
      </c>
      <c r="M6921" t="s">
        <v>603</v>
      </c>
      <c r="N6921" t="s">
        <v>599</v>
      </c>
      <c r="O6921" s="37" t="str">
        <f t="shared" si="543"/>
        <v>Digital Payment</v>
      </c>
      <c r="P6921">
        <v>596.25</v>
      </c>
      <c r="Q6921" s="37" t="str">
        <f>IF(P6921&gt;500,"High","low")</f>
        <v>High</v>
      </c>
      <c r="R6921" s="37" t="str">
        <f t="shared" si="544"/>
        <v>Good</v>
      </c>
      <c r="S6921" t="s">
        <v>609</v>
      </c>
    </row>
    <row r="6922" spans="1:19" x14ac:dyDescent="0.2">
      <c r="A6922" t="s">
        <v>7533</v>
      </c>
      <c r="B6922" t="s">
        <v>83</v>
      </c>
      <c r="C6922" t="s">
        <v>602</v>
      </c>
      <c r="D6922">
        <v>1564.1</v>
      </c>
      <c r="E6922" s="37" t="str">
        <f t="shared" si="540"/>
        <v xml:space="preserve"> </v>
      </c>
      <c r="F6922">
        <v>0.19</v>
      </c>
      <c r="G6922" s="37" t="str">
        <f t="shared" si="541"/>
        <v>Normal Discount</v>
      </c>
      <c r="H6922" s="37" t="str">
        <f t="shared" si="542"/>
        <v>Low</v>
      </c>
      <c r="I6922">
        <v>6</v>
      </c>
      <c r="J6922" t="str" cm="1">
        <f t="array" ref="J6922">_xlfn.IFS(I6922&lt;=3,"small",I6922&lt;=6,"Medium",I6922&lt;=9,"Large")</f>
        <v>Medium</v>
      </c>
      <c r="K6922" s="36">
        <v>45297</v>
      </c>
      <c r="L6922" s="36">
        <v>45304</v>
      </c>
      <c r="M6922" t="s">
        <v>598</v>
      </c>
      <c r="N6922" t="s">
        <v>604</v>
      </c>
      <c r="O6922" s="37" t="str">
        <f t="shared" si="543"/>
        <v>Digital Payment</v>
      </c>
      <c r="P6922">
        <v>161.16999999999999</v>
      </c>
      <c r="Q6922" s="37" t="str">
        <f>IF(P6922&gt;500,"High","low")</f>
        <v>low</v>
      </c>
      <c r="R6922" s="37" t="str">
        <f t="shared" si="544"/>
        <v>AVERAGE</v>
      </c>
      <c r="S6922" t="s">
        <v>600</v>
      </c>
    </row>
    <row r="6923" spans="1:19" x14ac:dyDescent="0.2">
      <c r="A6923" t="s">
        <v>7534</v>
      </c>
      <c r="B6923" t="s">
        <v>83</v>
      </c>
      <c r="C6923" t="s">
        <v>607</v>
      </c>
      <c r="D6923">
        <v>3678.52</v>
      </c>
      <c r="E6923" s="37" t="str">
        <f t="shared" si="540"/>
        <v xml:space="preserve"> </v>
      </c>
      <c r="F6923">
        <v>0.1</v>
      </c>
      <c r="G6923" s="37" t="str">
        <f t="shared" si="541"/>
        <v>Normal Discount</v>
      </c>
      <c r="H6923" s="37" t="str">
        <f t="shared" si="542"/>
        <v>Low</v>
      </c>
      <c r="I6923">
        <v>2</v>
      </c>
      <c r="J6923" t="str" cm="1">
        <f t="array" ref="J6923">_xlfn.IFS(I6923&lt;=3,"small",I6923&lt;=6,"Medium",I6923&lt;=9,"Large")</f>
        <v>small</v>
      </c>
      <c r="K6923" s="36">
        <v>45209</v>
      </c>
      <c r="L6923" s="36">
        <v>45215</v>
      </c>
      <c r="M6923" t="s">
        <v>603</v>
      </c>
      <c r="N6923" t="s">
        <v>604</v>
      </c>
      <c r="O6923" s="37" t="str">
        <f t="shared" si="543"/>
        <v>Digital Payment</v>
      </c>
      <c r="P6923">
        <v>269.95999999999998</v>
      </c>
      <c r="Q6923" s="37" t="str">
        <f>IF(P6923&gt;500,"High","low")</f>
        <v>low</v>
      </c>
      <c r="R6923" s="37" t="str">
        <f t="shared" si="544"/>
        <v>AVERAGE</v>
      </c>
      <c r="S6923" t="s">
        <v>609</v>
      </c>
    </row>
    <row r="6924" spans="1:19" x14ac:dyDescent="0.2">
      <c r="A6924" t="s">
        <v>7535</v>
      </c>
      <c r="B6924" t="s">
        <v>90</v>
      </c>
      <c r="C6924" t="s">
        <v>607</v>
      </c>
      <c r="D6924">
        <v>3853.37</v>
      </c>
      <c r="E6924" s="37" t="str">
        <f t="shared" si="540"/>
        <v xml:space="preserve"> </v>
      </c>
      <c r="F6924">
        <v>0.5</v>
      </c>
      <c r="G6924" s="37" t="str">
        <f t="shared" si="541"/>
        <v>Heavy Discount</v>
      </c>
      <c r="H6924" s="37" t="str">
        <f t="shared" si="542"/>
        <v>High</v>
      </c>
      <c r="I6924">
        <v>1</v>
      </c>
      <c r="J6924" t="str" cm="1">
        <f t="array" ref="J6924">_xlfn.IFS(I6924&lt;=3,"small",I6924&lt;=6,"Medium",I6924&lt;=9,"Large")</f>
        <v>small</v>
      </c>
      <c r="K6924" s="36">
        <v>45347</v>
      </c>
      <c r="L6924" s="36">
        <v>45349</v>
      </c>
      <c r="M6924" t="s">
        <v>598</v>
      </c>
      <c r="N6924" t="s">
        <v>608</v>
      </c>
      <c r="O6924" s="37" t="str">
        <f t="shared" si="543"/>
        <v>Cash Payment</v>
      </c>
      <c r="P6924">
        <v>509.68</v>
      </c>
      <c r="Q6924" s="37" t="str">
        <f>IF(P6924&gt;500,"High","low")</f>
        <v>High</v>
      </c>
      <c r="R6924" s="37" t="str">
        <f t="shared" si="544"/>
        <v>Good</v>
      </c>
      <c r="S6924" t="s">
        <v>615</v>
      </c>
    </row>
    <row r="6925" spans="1:19" x14ac:dyDescent="0.2">
      <c r="A6925" t="s">
        <v>7536</v>
      </c>
      <c r="B6925" t="s">
        <v>75</v>
      </c>
      <c r="C6925" t="s">
        <v>602</v>
      </c>
      <c r="D6925">
        <v>4095.78</v>
      </c>
      <c r="E6925" s="37" t="str">
        <f t="shared" si="540"/>
        <v>Excellent Order</v>
      </c>
      <c r="F6925">
        <v>0.4</v>
      </c>
      <c r="G6925" s="37" t="str">
        <f t="shared" si="541"/>
        <v>Heavy Discount</v>
      </c>
      <c r="H6925" s="37" t="str">
        <f t="shared" si="542"/>
        <v>Medium</v>
      </c>
      <c r="I6925">
        <v>7</v>
      </c>
      <c r="J6925" t="str" cm="1">
        <f t="array" ref="J6925">_xlfn.IFS(I6925&lt;=3,"small",I6925&lt;=6,"Medium",I6925&lt;=9,"Large")</f>
        <v>Large</v>
      </c>
      <c r="K6925" s="36">
        <v>44987</v>
      </c>
      <c r="L6925" s="36">
        <v>44988</v>
      </c>
      <c r="M6925" t="s">
        <v>598</v>
      </c>
      <c r="N6925" t="s">
        <v>604</v>
      </c>
      <c r="O6925" s="37" t="str">
        <f t="shared" si="543"/>
        <v>Digital Payment</v>
      </c>
      <c r="P6925">
        <v>1094.2</v>
      </c>
      <c r="Q6925" s="37" t="str">
        <f>IF(P6925&gt;500,"High","low")</f>
        <v>High</v>
      </c>
      <c r="R6925" s="37" t="str">
        <f t="shared" si="544"/>
        <v>Excellent</v>
      </c>
      <c r="S6925" t="s">
        <v>600</v>
      </c>
    </row>
    <row r="6926" spans="1:19" x14ac:dyDescent="0.2">
      <c r="A6926" t="s">
        <v>7537</v>
      </c>
      <c r="B6926" t="s">
        <v>67</v>
      </c>
      <c r="C6926" t="s">
        <v>614</v>
      </c>
      <c r="D6926">
        <v>252.31</v>
      </c>
      <c r="E6926" s="37" t="str">
        <f t="shared" si="540"/>
        <v xml:space="preserve"> </v>
      </c>
      <c r="F6926">
        <v>0.41</v>
      </c>
      <c r="G6926" s="37" t="str">
        <f t="shared" si="541"/>
        <v>Heavy Discount</v>
      </c>
      <c r="H6926" s="37" t="str">
        <f t="shared" si="542"/>
        <v>High</v>
      </c>
      <c r="I6926">
        <v>6</v>
      </c>
      <c r="J6926" t="str" cm="1">
        <f t="array" ref="J6926">_xlfn.IFS(I6926&lt;=3,"small",I6926&lt;=6,"Medium",I6926&lt;=9,"Large")</f>
        <v>Medium</v>
      </c>
      <c r="K6926" s="36">
        <v>45330</v>
      </c>
      <c r="L6926" s="36">
        <v>45331</v>
      </c>
      <c r="M6926" t="s">
        <v>612</v>
      </c>
      <c r="N6926" t="s">
        <v>599</v>
      </c>
      <c r="O6926" s="37" t="str">
        <f t="shared" si="543"/>
        <v>Digital Payment</v>
      </c>
      <c r="P6926">
        <v>57.67</v>
      </c>
      <c r="Q6926" s="37" t="str">
        <f>IF(P6926&gt;500,"High","low")</f>
        <v>low</v>
      </c>
      <c r="R6926" s="37" t="str">
        <f t="shared" si="544"/>
        <v>AVERAGE</v>
      </c>
      <c r="S6926" t="s">
        <v>600</v>
      </c>
    </row>
    <row r="6927" spans="1:19" x14ac:dyDescent="0.2">
      <c r="A6927" t="s">
        <v>7538</v>
      </c>
      <c r="B6927" t="s">
        <v>90</v>
      </c>
      <c r="C6927" t="s">
        <v>602</v>
      </c>
      <c r="D6927">
        <v>147.69999999999999</v>
      </c>
      <c r="E6927" s="37" t="str">
        <f t="shared" si="540"/>
        <v xml:space="preserve"> </v>
      </c>
      <c r="F6927">
        <v>0.28000000000000003</v>
      </c>
      <c r="G6927" s="37" t="str">
        <f t="shared" si="541"/>
        <v>Normal Discount</v>
      </c>
      <c r="H6927" s="37" t="str">
        <f t="shared" si="542"/>
        <v>Medium</v>
      </c>
      <c r="I6927">
        <v>4</v>
      </c>
      <c r="J6927" t="str" cm="1">
        <f t="array" ref="J6927">_xlfn.IFS(I6927&lt;=3,"small",I6927&lt;=6,"Medium",I6927&lt;=9,"Large")</f>
        <v>Medium</v>
      </c>
      <c r="K6927" s="36">
        <v>45104</v>
      </c>
      <c r="L6927" s="36">
        <v>45107</v>
      </c>
      <c r="M6927" t="s">
        <v>612</v>
      </c>
      <c r="N6927" t="s">
        <v>608</v>
      </c>
      <c r="O6927" s="37" t="str">
        <f t="shared" si="543"/>
        <v>Cash Payment</v>
      </c>
      <c r="P6927">
        <v>43.68</v>
      </c>
      <c r="Q6927" s="37" t="str">
        <f>IF(P6927&gt;500,"High","low")</f>
        <v>low</v>
      </c>
      <c r="R6927" s="37" t="str">
        <f t="shared" si="544"/>
        <v>AVERAGE</v>
      </c>
      <c r="S6927" t="s">
        <v>600</v>
      </c>
    </row>
    <row r="6928" spans="1:19" x14ac:dyDescent="0.2">
      <c r="A6928" t="s">
        <v>7539</v>
      </c>
      <c r="B6928" t="s">
        <v>67</v>
      </c>
      <c r="C6928" t="s">
        <v>597</v>
      </c>
      <c r="D6928">
        <v>1850.06</v>
      </c>
      <c r="E6928" s="37" t="str">
        <f t="shared" si="540"/>
        <v xml:space="preserve"> </v>
      </c>
      <c r="F6928">
        <v>0.48</v>
      </c>
      <c r="G6928" s="37" t="str">
        <f t="shared" si="541"/>
        <v>Heavy Discount</v>
      </c>
      <c r="H6928" s="37" t="str">
        <f t="shared" si="542"/>
        <v>High</v>
      </c>
      <c r="I6928">
        <v>7</v>
      </c>
      <c r="J6928" t="str" cm="1">
        <f t="array" ref="J6928">_xlfn.IFS(I6928&lt;=3,"small",I6928&lt;=6,"Medium",I6928&lt;=9,"Large")</f>
        <v>Large</v>
      </c>
      <c r="K6928" s="36">
        <v>45496</v>
      </c>
      <c r="L6928" s="36">
        <v>45500</v>
      </c>
      <c r="M6928" t="s">
        <v>612</v>
      </c>
      <c r="N6928" t="s">
        <v>604</v>
      </c>
      <c r="O6928" s="37" t="str">
        <f t="shared" si="543"/>
        <v>Digital Payment</v>
      </c>
      <c r="P6928">
        <v>245.04</v>
      </c>
      <c r="Q6928" s="37" t="str">
        <f>IF(P6928&gt;500,"High","low")</f>
        <v>low</v>
      </c>
      <c r="R6928" s="37" t="str">
        <f t="shared" si="544"/>
        <v>AVERAGE</v>
      </c>
      <c r="S6928" t="s">
        <v>628</v>
      </c>
    </row>
    <row r="6929" spans="1:19" x14ac:dyDescent="0.2">
      <c r="A6929" t="s">
        <v>7540</v>
      </c>
      <c r="B6929" t="s">
        <v>75</v>
      </c>
      <c r="C6929" t="s">
        <v>597</v>
      </c>
      <c r="D6929">
        <v>847.23</v>
      </c>
      <c r="E6929" s="37" t="str">
        <f t="shared" si="540"/>
        <v xml:space="preserve"> </v>
      </c>
      <c r="F6929">
        <v>0.37</v>
      </c>
      <c r="G6929" s="37" t="str">
        <f t="shared" si="541"/>
        <v>Heavy Discount</v>
      </c>
      <c r="H6929" s="37" t="str">
        <f t="shared" si="542"/>
        <v>Medium</v>
      </c>
      <c r="I6929">
        <v>6</v>
      </c>
      <c r="J6929" t="str" cm="1">
        <f t="array" ref="J6929">_xlfn.IFS(I6929&lt;=3,"small",I6929&lt;=6,"Medium",I6929&lt;=9,"Large")</f>
        <v>Medium</v>
      </c>
      <c r="K6929" s="36">
        <v>45516</v>
      </c>
      <c r="L6929" s="36">
        <v>45520</v>
      </c>
      <c r="M6929" t="s">
        <v>603</v>
      </c>
      <c r="N6929" t="s">
        <v>608</v>
      </c>
      <c r="O6929" s="37" t="str">
        <f t="shared" si="543"/>
        <v>Cash Payment</v>
      </c>
      <c r="P6929">
        <v>148.78</v>
      </c>
      <c r="Q6929" s="37" t="str">
        <f>IF(P6929&gt;500,"High","low")</f>
        <v>low</v>
      </c>
      <c r="R6929" s="37" t="str">
        <f t="shared" si="544"/>
        <v>AVERAGE</v>
      </c>
      <c r="S6929" t="s">
        <v>600</v>
      </c>
    </row>
    <row r="6930" spans="1:19" x14ac:dyDescent="0.2">
      <c r="A6930" t="s">
        <v>7541</v>
      </c>
      <c r="B6930" t="s">
        <v>90</v>
      </c>
      <c r="C6930" t="s">
        <v>602</v>
      </c>
      <c r="D6930">
        <v>4044.41</v>
      </c>
      <c r="E6930" s="37" t="str">
        <f t="shared" si="540"/>
        <v xml:space="preserve"> </v>
      </c>
      <c r="F6930">
        <v>0.17</v>
      </c>
      <c r="G6930" s="37" t="str">
        <f t="shared" si="541"/>
        <v>Normal Discount</v>
      </c>
      <c r="H6930" s="37" t="str">
        <f t="shared" si="542"/>
        <v>Low</v>
      </c>
      <c r="I6930">
        <v>2</v>
      </c>
      <c r="J6930" t="str" cm="1">
        <f t="array" ref="J6930">_xlfn.IFS(I6930&lt;=3,"small",I6930&lt;=6,"Medium",I6930&lt;=9,"Large")</f>
        <v>small</v>
      </c>
      <c r="K6930" s="36">
        <v>45347</v>
      </c>
      <c r="L6930" s="36">
        <v>45354</v>
      </c>
      <c r="M6930" t="s">
        <v>603</v>
      </c>
      <c r="N6930" t="s">
        <v>604</v>
      </c>
      <c r="O6930" s="37" t="str">
        <f t="shared" si="543"/>
        <v>Digital Payment</v>
      </c>
      <c r="P6930">
        <v>630.29999999999995</v>
      </c>
      <c r="Q6930" s="37" t="str">
        <f>IF(P6930&gt;500,"High","low")</f>
        <v>High</v>
      </c>
      <c r="R6930" s="37" t="str">
        <f t="shared" si="544"/>
        <v>Good</v>
      </c>
      <c r="S6930" t="s">
        <v>609</v>
      </c>
    </row>
    <row r="6931" spans="1:19" x14ac:dyDescent="0.2">
      <c r="A6931" t="s">
        <v>7542</v>
      </c>
      <c r="B6931" t="s">
        <v>67</v>
      </c>
      <c r="C6931" t="s">
        <v>602</v>
      </c>
      <c r="D6931">
        <v>2710.93</v>
      </c>
      <c r="E6931" s="37" t="str">
        <f t="shared" si="540"/>
        <v xml:space="preserve"> </v>
      </c>
      <c r="F6931">
        <v>0.31</v>
      </c>
      <c r="G6931" s="37" t="str">
        <f t="shared" si="541"/>
        <v>Heavy Discount</v>
      </c>
      <c r="H6931" s="37" t="str">
        <f t="shared" si="542"/>
        <v>Medium</v>
      </c>
      <c r="I6931">
        <v>4</v>
      </c>
      <c r="J6931" t="str" cm="1">
        <f t="array" ref="J6931">_xlfn.IFS(I6931&lt;=3,"small",I6931&lt;=6,"Medium",I6931&lt;=9,"Large")</f>
        <v>Medium</v>
      </c>
      <c r="K6931" s="36">
        <v>45059</v>
      </c>
      <c r="L6931" s="36">
        <v>45062</v>
      </c>
      <c r="M6931" t="s">
        <v>603</v>
      </c>
      <c r="N6931" t="s">
        <v>608</v>
      </c>
      <c r="O6931" s="37" t="str">
        <f t="shared" si="543"/>
        <v>Cash Payment</v>
      </c>
      <c r="P6931">
        <v>465.8</v>
      </c>
      <c r="Q6931" s="37" t="str">
        <f>IF(P6931&gt;500,"High","low")</f>
        <v>low</v>
      </c>
      <c r="R6931" s="37" t="str">
        <f t="shared" si="544"/>
        <v>AVERAGE</v>
      </c>
      <c r="S6931" t="s">
        <v>628</v>
      </c>
    </row>
    <row r="6932" spans="1:19" x14ac:dyDescent="0.2">
      <c r="A6932" t="s">
        <v>7543</v>
      </c>
      <c r="B6932" t="s">
        <v>67</v>
      </c>
      <c r="C6932" t="s">
        <v>607</v>
      </c>
      <c r="D6932">
        <v>4144.21</v>
      </c>
      <c r="E6932" s="37" t="str">
        <f t="shared" si="540"/>
        <v xml:space="preserve"> </v>
      </c>
      <c r="F6932">
        <v>0.27</v>
      </c>
      <c r="G6932" s="37" t="str">
        <f t="shared" si="541"/>
        <v>Normal Discount</v>
      </c>
      <c r="H6932" s="37" t="str">
        <f t="shared" si="542"/>
        <v>Medium</v>
      </c>
      <c r="I6932">
        <v>9</v>
      </c>
      <c r="J6932" t="str" cm="1">
        <f t="array" ref="J6932">_xlfn.IFS(I6932&lt;=3,"small",I6932&lt;=6,"Medium",I6932&lt;=9,"Large")</f>
        <v>Large</v>
      </c>
      <c r="K6932" s="36">
        <v>45256</v>
      </c>
      <c r="L6932" s="36">
        <v>45258</v>
      </c>
      <c r="M6932" t="s">
        <v>603</v>
      </c>
      <c r="N6932" t="s">
        <v>604</v>
      </c>
      <c r="O6932" s="37" t="str">
        <f t="shared" si="543"/>
        <v>Digital Payment</v>
      </c>
      <c r="P6932">
        <v>353.99</v>
      </c>
      <c r="Q6932" s="37" t="str">
        <f>IF(P6932&gt;500,"High","low")</f>
        <v>low</v>
      </c>
      <c r="R6932" s="37" t="str">
        <f t="shared" si="544"/>
        <v>AVERAGE</v>
      </c>
      <c r="S6932" t="s">
        <v>620</v>
      </c>
    </row>
    <row r="6933" spans="1:19" x14ac:dyDescent="0.2">
      <c r="A6933" t="s">
        <v>7544</v>
      </c>
      <c r="B6933" t="s">
        <v>83</v>
      </c>
      <c r="C6933" t="s">
        <v>607</v>
      </c>
      <c r="D6933">
        <v>966.87</v>
      </c>
      <c r="E6933" s="37" t="str">
        <f t="shared" si="540"/>
        <v xml:space="preserve"> </v>
      </c>
      <c r="F6933">
        <v>0.28999999999999998</v>
      </c>
      <c r="G6933" s="37" t="str">
        <f t="shared" si="541"/>
        <v>Normal Discount</v>
      </c>
      <c r="H6933" s="37" t="str">
        <f t="shared" si="542"/>
        <v>Medium</v>
      </c>
      <c r="I6933">
        <v>8</v>
      </c>
      <c r="J6933" t="str" cm="1">
        <f t="array" ref="J6933">_xlfn.IFS(I6933&lt;=3,"small",I6933&lt;=6,"Medium",I6933&lt;=9,"Large")</f>
        <v>Large</v>
      </c>
      <c r="K6933" s="36">
        <v>44936</v>
      </c>
      <c r="L6933" s="36">
        <v>44937</v>
      </c>
      <c r="M6933" t="s">
        <v>612</v>
      </c>
      <c r="N6933" t="s">
        <v>608</v>
      </c>
      <c r="O6933" s="37" t="str">
        <f t="shared" si="543"/>
        <v>Cash Payment</v>
      </c>
      <c r="P6933">
        <v>96</v>
      </c>
      <c r="Q6933" s="37" t="str">
        <f>IF(P6933&gt;500,"High","low")</f>
        <v>low</v>
      </c>
      <c r="R6933" s="37" t="str">
        <f t="shared" si="544"/>
        <v>AVERAGE</v>
      </c>
      <c r="S6933" t="s">
        <v>628</v>
      </c>
    </row>
    <row r="6934" spans="1:19" x14ac:dyDescent="0.2">
      <c r="A6934" t="s">
        <v>7545</v>
      </c>
      <c r="B6934" t="s">
        <v>83</v>
      </c>
      <c r="C6934" t="s">
        <v>617</v>
      </c>
      <c r="D6934">
        <v>3173.39</v>
      </c>
      <c r="E6934" s="37" t="str">
        <f t="shared" si="540"/>
        <v xml:space="preserve"> </v>
      </c>
      <c r="F6934">
        <v>0.41</v>
      </c>
      <c r="G6934" s="37" t="str">
        <f t="shared" si="541"/>
        <v>Heavy Discount</v>
      </c>
      <c r="H6934" s="37" t="str">
        <f t="shared" si="542"/>
        <v>High</v>
      </c>
      <c r="I6934">
        <v>6</v>
      </c>
      <c r="J6934" t="str" cm="1">
        <f t="array" ref="J6934">_xlfn.IFS(I6934&lt;=3,"small",I6934&lt;=6,"Medium",I6934&lt;=9,"Large")</f>
        <v>Medium</v>
      </c>
      <c r="K6934" s="36">
        <v>45191</v>
      </c>
      <c r="L6934" s="36">
        <v>45198</v>
      </c>
      <c r="M6934" t="s">
        <v>598</v>
      </c>
      <c r="N6934" t="s">
        <v>599</v>
      </c>
      <c r="O6934" s="37" t="str">
        <f t="shared" si="543"/>
        <v>Digital Payment</v>
      </c>
      <c r="P6934">
        <v>555.80999999999995</v>
      </c>
      <c r="Q6934" s="37" t="str">
        <f>IF(P6934&gt;500,"High","low")</f>
        <v>High</v>
      </c>
      <c r="R6934" s="37" t="str">
        <f t="shared" si="544"/>
        <v>Good</v>
      </c>
      <c r="S6934" t="s">
        <v>628</v>
      </c>
    </row>
    <row r="6935" spans="1:19" x14ac:dyDescent="0.2">
      <c r="A6935" t="s">
        <v>7546</v>
      </c>
      <c r="B6935" t="s">
        <v>83</v>
      </c>
      <c r="C6935" t="s">
        <v>617</v>
      </c>
      <c r="D6935">
        <v>2942.84</v>
      </c>
      <c r="E6935" s="37" t="str">
        <f t="shared" si="540"/>
        <v xml:space="preserve"> </v>
      </c>
      <c r="F6935">
        <v>0.25</v>
      </c>
      <c r="G6935" s="37" t="str">
        <f t="shared" si="541"/>
        <v>Normal Discount</v>
      </c>
      <c r="H6935" s="37" t="str">
        <f t="shared" si="542"/>
        <v>Medium</v>
      </c>
      <c r="I6935">
        <v>1</v>
      </c>
      <c r="J6935" t="str" cm="1">
        <f t="array" ref="J6935">_xlfn.IFS(I6935&lt;=3,"small",I6935&lt;=6,"Medium",I6935&lt;=9,"Large")</f>
        <v>small</v>
      </c>
      <c r="K6935" s="36">
        <v>45215</v>
      </c>
      <c r="L6935" s="36">
        <v>45221</v>
      </c>
      <c r="M6935" t="s">
        <v>598</v>
      </c>
      <c r="N6935" t="s">
        <v>604</v>
      </c>
      <c r="O6935" s="37" t="str">
        <f t="shared" si="543"/>
        <v>Digital Payment</v>
      </c>
      <c r="P6935">
        <v>859.45</v>
      </c>
      <c r="Q6935" s="37" t="str">
        <f>IF(P6935&gt;500,"High","low")</f>
        <v>High</v>
      </c>
      <c r="R6935" s="37" t="str">
        <f t="shared" si="544"/>
        <v>Good</v>
      </c>
      <c r="S6935" t="s">
        <v>605</v>
      </c>
    </row>
    <row r="6936" spans="1:19" x14ac:dyDescent="0.2">
      <c r="A6936" t="s">
        <v>7547</v>
      </c>
      <c r="B6936" t="s">
        <v>90</v>
      </c>
      <c r="C6936" t="s">
        <v>597</v>
      </c>
      <c r="D6936">
        <v>1767.85</v>
      </c>
      <c r="E6936" s="37" t="str">
        <f t="shared" si="540"/>
        <v xml:space="preserve"> </v>
      </c>
      <c r="F6936">
        <v>0.36</v>
      </c>
      <c r="G6936" s="37" t="str">
        <f t="shared" si="541"/>
        <v>Heavy Discount</v>
      </c>
      <c r="H6936" s="37" t="str">
        <f t="shared" si="542"/>
        <v>Medium</v>
      </c>
      <c r="I6936">
        <v>7</v>
      </c>
      <c r="J6936" t="str" cm="1">
        <f t="array" ref="J6936">_xlfn.IFS(I6936&lt;=3,"small",I6936&lt;=6,"Medium",I6936&lt;=9,"Large")</f>
        <v>Large</v>
      </c>
      <c r="K6936" s="36">
        <v>45334</v>
      </c>
      <c r="L6936" s="36">
        <v>45340</v>
      </c>
      <c r="M6936" t="s">
        <v>612</v>
      </c>
      <c r="N6936" t="s">
        <v>599</v>
      </c>
      <c r="O6936" s="37" t="str">
        <f t="shared" si="543"/>
        <v>Digital Payment</v>
      </c>
      <c r="P6936">
        <v>505.9</v>
      </c>
      <c r="Q6936" s="37" t="str">
        <f>IF(P6936&gt;500,"High","low")</f>
        <v>High</v>
      </c>
      <c r="R6936" s="37" t="str">
        <f t="shared" si="544"/>
        <v>Good</v>
      </c>
      <c r="S6936" t="s">
        <v>609</v>
      </c>
    </row>
    <row r="6937" spans="1:19" x14ac:dyDescent="0.2">
      <c r="A6937" t="s">
        <v>7548</v>
      </c>
      <c r="B6937" t="s">
        <v>75</v>
      </c>
      <c r="C6937" t="s">
        <v>617</v>
      </c>
      <c r="D6937">
        <v>2633.7</v>
      </c>
      <c r="E6937" s="37" t="str">
        <f t="shared" si="540"/>
        <v xml:space="preserve"> </v>
      </c>
      <c r="F6937">
        <v>0.13</v>
      </c>
      <c r="G6937" s="37" t="str">
        <f t="shared" si="541"/>
        <v>Normal Discount</v>
      </c>
      <c r="H6937" s="37" t="str">
        <f t="shared" si="542"/>
        <v>Low</v>
      </c>
      <c r="I6937">
        <v>1</v>
      </c>
      <c r="J6937" t="str" cm="1">
        <f t="array" ref="J6937">_xlfn.IFS(I6937&lt;=3,"small",I6937&lt;=6,"Medium",I6937&lt;=9,"Large")</f>
        <v>small</v>
      </c>
      <c r="K6937" s="36">
        <v>44996</v>
      </c>
      <c r="L6937" s="36">
        <v>45002</v>
      </c>
      <c r="M6937" t="s">
        <v>598</v>
      </c>
      <c r="N6937" t="s">
        <v>604</v>
      </c>
      <c r="O6937" s="37" t="str">
        <f t="shared" si="543"/>
        <v>Digital Payment</v>
      </c>
      <c r="P6937">
        <v>193.57</v>
      </c>
      <c r="Q6937" s="37" t="str">
        <f>IF(P6937&gt;500,"High","low")</f>
        <v>low</v>
      </c>
      <c r="R6937" s="37" t="str">
        <f t="shared" si="544"/>
        <v>AVERAGE</v>
      </c>
      <c r="S6937" t="s">
        <v>609</v>
      </c>
    </row>
    <row r="6938" spans="1:19" x14ac:dyDescent="0.2">
      <c r="A6938" t="s">
        <v>7549</v>
      </c>
      <c r="B6938" t="s">
        <v>75</v>
      </c>
      <c r="C6938" t="s">
        <v>617</v>
      </c>
      <c r="D6938">
        <v>2986.23</v>
      </c>
      <c r="E6938" s="37" t="str">
        <f t="shared" si="540"/>
        <v xml:space="preserve"> </v>
      </c>
      <c r="F6938">
        <v>0.47</v>
      </c>
      <c r="G6938" s="37" t="str">
        <f t="shared" si="541"/>
        <v>Heavy Discount</v>
      </c>
      <c r="H6938" s="37" t="str">
        <f t="shared" si="542"/>
        <v>High</v>
      </c>
      <c r="I6938">
        <v>8</v>
      </c>
      <c r="J6938" t="str" cm="1">
        <f t="array" ref="J6938">_xlfn.IFS(I6938&lt;=3,"small",I6938&lt;=6,"Medium",I6938&lt;=9,"Large")</f>
        <v>Large</v>
      </c>
      <c r="K6938" s="36">
        <v>45433</v>
      </c>
      <c r="L6938" s="36">
        <v>45437</v>
      </c>
      <c r="M6938" t="s">
        <v>612</v>
      </c>
      <c r="N6938" t="s">
        <v>599</v>
      </c>
      <c r="O6938" s="37" t="str">
        <f t="shared" si="543"/>
        <v>Digital Payment</v>
      </c>
      <c r="P6938">
        <v>584.33000000000004</v>
      </c>
      <c r="Q6938" s="37" t="str">
        <f>IF(P6938&gt;500,"High","low")</f>
        <v>High</v>
      </c>
      <c r="R6938" s="37" t="str">
        <f t="shared" si="544"/>
        <v>Good</v>
      </c>
      <c r="S6938" t="s">
        <v>620</v>
      </c>
    </row>
    <row r="6939" spans="1:19" x14ac:dyDescent="0.2">
      <c r="A6939" t="s">
        <v>7550</v>
      </c>
      <c r="B6939" t="s">
        <v>83</v>
      </c>
      <c r="C6939" t="s">
        <v>614</v>
      </c>
      <c r="D6939">
        <v>4458.49</v>
      </c>
      <c r="E6939" s="37" t="str">
        <f t="shared" si="540"/>
        <v>Excellent Order</v>
      </c>
      <c r="F6939">
        <v>0.04</v>
      </c>
      <c r="G6939" s="37" t="str">
        <f t="shared" si="541"/>
        <v>Normal Discount</v>
      </c>
      <c r="H6939" s="37" t="str">
        <f t="shared" si="542"/>
        <v>Low</v>
      </c>
      <c r="I6939">
        <v>3</v>
      </c>
      <c r="J6939" t="str" cm="1">
        <f t="array" ref="J6939">_xlfn.IFS(I6939&lt;=3,"small",I6939&lt;=6,"Medium",I6939&lt;=9,"Large")</f>
        <v>small</v>
      </c>
      <c r="K6939" s="36">
        <v>44983</v>
      </c>
      <c r="L6939" s="36">
        <v>44989</v>
      </c>
      <c r="M6939" t="s">
        <v>603</v>
      </c>
      <c r="N6939" t="s">
        <v>608</v>
      </c>
      <c r="O6939" s="37" t="str">
        <f t="shared" si="543"/>
        <v>Cash Payment</v>
      </c>
      <c r="P6939">
        <v>914.3</v>
      </c>
      <c r="Q6939" s="37" t="str">
        <f>IF(P6939&gt;500,"High","low")</f>
        <v>High</v>
      </c>
      <c r="R6939" s="37" t="str">
        <f t="shared" si="544"/>
        <v>Good</v>
      </c>
      <c r="S6939" t="s">
        <v>600</v>
      </c>
    </row>
    <row r="6940" spans="1:19" x14ac:dyDescent="0.2">
      <c r="A6940" t="s">
        <v>7551</v>
      </c>
      <c r="B6940" t="s">
        <v>83</v>
      </c>
      <c r="C6940" t="s">
        <v>602</v>
      </c>
      <c r="D6940">
        <v>372.63</v>
      </c>
      <c r="E6940" s="37" t="str">
        <f t="shared" si="540"/>
        <v xml:space="preserve"> </v>
      </c>
      <c r="F6940">
        <v>0.5</v>
      </c>
      <c r="G6940" s="37" t="str">
        <f t="shared" si="541"/>
        <v>Heavy Discount</v>
      </c>
      <c r="H6940" s="37" t="str">
        <f t="shared" si="542"/>
        <v>High</v>
      </c>
      <c r="I6940">
        <v>9</v>
      </c>
      <c r="J6940" t="str" cm="1">
        <f t="array" ref="J6940">_xlfn.IFS(I6940&lt;=3,"small",I6940&lt;=6,"Medium",I6940&lt;=9,"Large")</f>
        <v>Large</v>
      </c>
      <c r="K6940" s="36">
        <v>45464</v>
      </c>
      <c r="L6940" s="36">
        <v>45468</v>
      </c>
      <c r="M6940" t="s">
        <v>612</v>
      </c>
      <c r="N6940" t="s">
        <v>604</v>
      </c>
      <c r="O6940" s="37" t="str">
        <f t="shared" si="543"/>
        <v>Digital Payment</v>
      </c>
      <c r="P6940">
        <v>77.87</v>
      </c>
      <c r="Q6940" s="37" t="str">
        <f>IF(P6940&gt;500,"High","low")</f>
        <v>low</v>
      </c>
      <c r="R6940" s="37" t="str">
        <f t="shared" si="544"/>
        <v>AVERAGE</v>
      </c>
      <c r="S6940" t="s">
        <v>609</v>
      </c>
    </row>
    <row r="6941" spans="1:19" x14ac:dyDescent="0.2">
      <c r="A6941" t="s">
        <v>7552</v>
      </c>
      <c r="B6941" t="s">
        <v>83</v>
      </c>
      <c r="C6941" t="s">
        <v>607</v>
      </c>
      <c r="D6941">
        <v>4134.53</v>
      </c>
      <c r="E6941" s="37" t="str">
        <f t="shared" si="540"/>
        <v>Excellent Order</v>
      </c>
      <c r="F6941">
        <v>0.32</v>
      </c>
      <c r="G6941" s="37" t="str">
        <f t="shared" si="541"/>
        <v>Heavy Discount</v>
      </c>
      <c r="H6941" s="37" t="str">
        <f t="shared" si="542"/>
        <v>Medium</v>
      </c>
      <c r="I6941">
        <v>5</v>
      </c>
      <c r="J6941" t="str" cm="1">
        <f t="array" ref="J6941">_xlfn.IFS(I6941&lt;=3,"small",I6941&lt;=6,"Medium",I6941&lt;=9,"Large")</f>
        <v>Medium</v>
      </c>
      <c r="K6941" s="36">
        <v>45605</v>
      </c>
      <c r="L6941" s="36">
        <v>45611</v>
      </c>
      <c r="M6941" t="s">
        <v>612</v>
      </c>
      <c r="N6941" t="s">
        <v>608</v>
      </c>
      <c r="O6941" s="37" t="str">
        <f t="shared" si="543"/>
        <v>Cash Payment</v>
      </c>
      <c r="P6941">
        <v>870.37</v>
      </c>
      <c r="Q6941" s="37" t="str">
        <f>IF(P6941&gt;500,"High","low")</f>
        <v>High</v>
      </c>
      <c r="R6941" s="37" t="str">
        <f t="shared" si="544"/>
        <v>Good</v>
      </c>
      <c r="S6941" t="s">
        <v>600</v>
      </c>
    </row>
    <row r="6942" spans="1:19" x14ac:dyDescent="0.2">
      <c r="A6942" t="s">
        <v>7553</v>
      </c>
      <c r="B6942" t="s">
        <v>67</v>
      </c>
      <c r="C6942" t="s">
        <v>617</v>
      </c>
      <c r="D6942">
        <v>4902.7700000000004</v>
      </c>
      <c r="E6942" s="37" t="str">
        <f t="shared" si="540"/>
        <v xml:space="preserve"> </v>
      </c>
      <c r="F6942">
        <v>0.23</v>
      </c>
      <c r="G6942" s="37" t="str">
        <f t="shared" si="541"/>
        <v>Normal Discount</v>
      </c>
      <c r="H6942" s="37" t="str">
        <f t="shared" si="542"/>
        <v>Medium</v>
      </c>
      <c r="I6942">
        <v>6</v>
      </c>
      <c r="J6942" t="str" cm="1">
        <f t="array" ref="J6942">_xlfn.IFS(I6942&lt;=3,"small",I6942&lt;=6,"Medium",I6942&lt;=9,"Large")</f>
        <v>Medium</v>
      </c>
      <c r="K6942" s="36">
        <v>45098</v>
      </c>
      <c r="L6942" s="36">
        <v>45099</v>
      </c>
      <c r="M6942" t="s">
        <v>603</v>
      </c>
      <c r="N6942" t="s">
        <v>604</v>
      </c>
      <c r="O6942" s="37" t="str">
        <f t="shared" si="543"/>
        <v>Digital Payment</v>
      </c>
      <c r="P6942">
        <v>320.47000000000003</v>
      </c>
      <c r="Q6942" s="37" t="str">
        <f>IF(P6942&gt;500,"High","low")</f>
        <v>low</v>
      </c>
      <c r="R6942" s="37" t="str">
        <f t="shared" si="544"/>
        <v>AVERAGE</v>
      </c>
      <c r="S6942" t="s">
        <v>609</v>
      </c>
    </row>
    <row r="6943" spans="1:19" x14ac:dyDescent="0.2">
      <c r="A6943" t="s">
        <v>7554</v>
      </c>
      <c r="B6943" t="s">
        <v>83</v>
      </c>
      <c r="C6943" t="s">
        <v>607</v>
      </c>
      <c r="D6943">
        <v>3685.7</v>
      </c>
      <c r="E6943" s="37" t="str">
        <f t="shared" si="540"/>
        <v xml:space="preserve"> </v>
      </c>
      <c r="F6943">
        <v>0.16</v>
      </c>
      <c r="G6943" s="37" t="str">
        <f t="shared" si="541"/>
        <v>Normal Discount</v>
      </c>
      <c r="H6943" s="37" t="str">
        <f t="shared" si="542"/>
        <v>Low</v>
      </c>
      <c r="I6943">
        <v>4</v>
      </c>
      <c r="J6943" t="str" cm="1">
        <f t="array" ref="J6943">_xlfn.IFS(I6943&lt;=3,"small",I6943&lt;=6,"Medium",I6943&lt;=9,"Large")</f>
        <v>Medium</v>
      </c>
      <c r="K6943" s="36">
        <v>45246</v>
      </c>
      <c r="L6943" s="36">
        <v>45252</v>
      </c>
      <c r="M6943" t="s">
        <v>603</v>
      </c>
      <c r="N6943" t="s">
        <v>604</v>
      </c>
      <c r="O6943" s="37" t="str">
        <f t="shared" si="543"/>
        <v>Digital Payment</v>
      </c>
      <c r="P6943">
        <v>651.71</v>
      </c>
      <c r="Q6943" s="37" t="str">
        <f>IF(P6943&gt;500,"High","low")</f>
        <v>High</v>
      </c>
      <c r="R6943" s="37" t="str">
        <f t="shared" si="544"/>
        <v>Good</v>
      </c>
      <c r="S6943" t="s">
        <v>609</v>
      </c>
    </row>
    <row r="6944" spans="1:19" x14ac:dyDescent="0.2">
      <c r="A6944" t="s">
        <v>7555</v>
      </c>
      <c r="B6944" t="s">
        <v>67</v>
      </c>
      <c r="C6944" t="s">
        <v>617</v>
      </c>
      <c r="D6944">
        <v>3713</v>
      </c>
      <c r="E6944" s="37" t="str">
        <f t="shared" si="540"/>
        <v xml:space="preserve"> </v>
      </c>
      <c r="F6944">
        <v>0.2</v>
      </c>
      <c r="G6944" s="37" t="str">
        <f t="shared" si="541"/>
        <v>Normal Discount</v>
      </c>
      <c r="H6944" s="37" t="str">
        <f t="shared" si="542"/>
        <v>Medium</v>
      </c>
      <c r="I6944">
        <v>6</v>
      </c>
      <c r="J6944" t="str" cm="1">
        <f t="array" ref="J6944">_xlfn.IFS(I6944&lt;=3,"small",I6944&lt;=6,"Medium",I6944&lt;=9,"Large")</f>
        <v>Medium</v>
      </c>
      <c r="K6944" s="36">
        <v>45421</v>
      </c>
      <c r="L6944" s="36">
        <v>45424</v>
      </c>
      <c r="M6944" t="s">
        <v>603</v>
      </c>
      <c r="N6944" t="s">
        <v>599</v>
      </c>
      <c r="O6944" s="37" t="str">
        <f t="shared" si="543"/>
        <v>Digital Payment</v>
      </c>
      <c r="P6944">
        <v>187.75</v>
      </c>
      <c r="Q6944" s="37" t="str">
        <f>IF(P6944&gt;500,"High","low")</f>
        <v>low</v>
      </c>
      <c r="R6944" s="37" t="str">
        <f t="shared" si="544"/>
        <v>AVERAGE</v>
      </c>
      <c r="S6944" t="s">
        <v>628</v>
      </c>
    </row>
    <row r="6945" spans="1:19" x14ac:dyDescent="0.2">
      <c r="A6945" t="s">
        <v>7556</v>
      </c>
      <c r="B6945" t="s">
        <v>75</v>
      </c>
      <c r="C6945" t="s">
        <v>617</v>
      </c>
      <c r="D6945">
        <v>1168.07</v>
      </c>
      <c r="E6945" s="37" t="str">
        <f t="shared" si="540"/>
        <v xml:space="preserve"> </v>
      </c>
      <c r="F6945">
        <v>0.39</v>
      </c>
      <c r="G6945" s="37" t="str">
        <f t="shared" si="541"/>
        <v>Heavy Discount</v>
      </c>
      <c r="H6945" s="37" t="str">
        <f t="shared" si="542"/>
        <v>Medium</v>
      </c>
      <c r="I6945">
        <v>9</v>
      </c>
      <c r="J6945" t="str" cm="1">
        <f t="array" ref="J6945">_xlfn.IFS(I6945&lt;=3,"small",I6945&lt;=6,"Medium",I6945&lt;=9,"Large")</f>
        <v>Large</v>
      </c>
      <c r="K6945" s="36">
        <v>45358</v>
      </c>
      <c r="L6945" s="36">
        <v>45361</v>
      </c>
      <c r="M6945" t="s">
        <v>598</v>
      </c>
      <c r="N6945" t="s">
        <v>604</v>
      </c>
      <c r="O6945" s="37" t="str">
        <f t="shared" si="543"/>
        <v>Digital Payment</v>
      </c>
      <c r="P6945">
        <v>326.49</v>
      </c>
      <c r="Q6945" s="37" t="str">
        <f>IF(P6945&gt;500,"High","low")</f>
        <v>low</v>
      </c>
      <c r="R6945" s="37" t="str">
        <f t="shared" si="544"/>
        <v>AVERAGE</v>
      </c>
      <c r="S6945" t="s">
        <v>628</v>
      </c>
    </row>
    <row r="6946" spans="1:19" x14ac:dyDescent="0.2">
      <c r="A6946" t="s">
        <v>7557</v>
      </c>
      <c r="B6946" t="s">
        <v>90</v>
      </c>
      <c r="C6946" t="s">
        <v>597</v>
      </c>
      <c r="D6946">
        <v>2663.06</v>
      </c>
      <c r="E6946" s="37" t="str">
        <f t="shared" si="540"/>
        <v xml:space="preserve"> </v>
      </c>
      <c r="F6946">
        <v>7.0000000000000007E-2</v>
      </c>
      <c r="G6946" s="37" t="str">
        <f t="shared" si="541"/>
        <v>Normal Discount</v>
      </c>
      <c r="H6946" s="37" t="str">
        <f t="shared" si="542"/>
        <v>Low</v>
      </c>
      <c r="I6946">
        <v>7</v>
      </c>
      <c r="J6946" t="str" cm="1">
        <f t="array" ref="J6946">_xlfn.IFS(I6946&lt;=3,"small",I6946&lt;=6,"Medium",I6946&lt;=9,"Large")</f>
        <v>Large</v>
      </c>
      <c r="K6946" s="36">
        <v>45121</v>
      </c>
      <c r="L6946" s="36">
        <v>45124</v>
      </c>
      <c r="M6946" t="s">
        <v>612</v>
      </c>
      <c r="N6946" t="s">
        <v>599</v>
      </c>
      <c r="O6946" s="37" t="str">
        <f t="shared" si="543"/>
        <v>Digital Payment</v>
      </c>
      <c r="P6946">
        <v>144.41</v>
      </c>
      <c r="Q6946" s="37" t="str">
        <f>IF(P6946&gt;500,"High","low")</f>
        <v>low</v>
      </c>
      <c r="R6946" s="37" t="str">
        <f t="shared" si="544"/>
        <v>AVERAGE</v>
      </c>
      <c r="S6946" t="s">
        <v>628</v>
      </c>
    </row>
    <row r="6947" spans="1:19" x14ac:dyDescent="0.2">
      <c r="A6947" t="s">
        <v>7558</v>
      </c>
      <c r="B6947" t="s">
        <v>90</v>
      </c>
      <c r="C6947" t="s">
        <v>614</v>
      </c>
      <c r="D6947">
        <v>3559.11</v>
      </c>
      <c r="E6947" s="37" t="str">
        <f t="shared" si="540"/>
        <v xml:space="preserve"> </v>
      </c>
      <c r="F6947">
        <v>0.13</v>
      </c>
      <c r="G6947" s="37" t="str">
        <f t="shared" si="541"/>
        <v>Normal Discount</v>
      </c>
      <c r="H6947" s="37" t="str">
        <f t="shared" si="542"/>
        <v>Low</v>
      </c>
      <c r="I6947">
        <v>2</v>
      </c>
      <c r="J6947" t="str" cm="1">
        <f t="array" ref="J6947">_xlfn.IFS(I6947&lt;=3,"small",I6947&lt;=6,"Medium",I6947&lt;=9,"Large")</f>
        <v>small</v>
      </c>
      <c r="K6947" s="36">
        <v>44974</v>
      </c>
      <c r="L6947" s="36">
        <v>44978</v>
      </c>
      <c r="M6947" t="s">
        <v>598</v>
      </c>
      <c r="N6947" t="s">
        <v>604</v>
      </c>
      <c r="O6947" s="37" t="str">
        <f t="shared" si="543"/>
        <v>Digital Payment</v>
      </c>
      <c r="P6947">
        <v>869.61</v>
      </c>
      <c r="Q6947" s="37" t="str">
        <f>IF(P6947&gt;500,"High","low")</f>
        <v>High</v>
      </c>
      <c r="R6947" s="37" t="str">
        <f t="shared" si="544"/>
        <v>Good</v>
      </c>
      <c r="S6947" t="s">
        <v>605</v>
      </c>
    </row>
    <row r="6948" spans="1:19" x14ac:dyDescent="0.2">
      <c r="A6948" t="s">
        <v>7559</v>
      </c>
      <c r="B6948" t="s">
        <v>90</v>
      </c>
      <c r="C6948" t="s">
        <v>602</v>
      </c>
      <c r="D6948">
        <v>3051.18</v>
      </c>
      <c r="E6948" s="37" t="str">
        <f t="shared" si="540"/>
        <v xml:space="preserve"> </v>
      </c>
      <c r="F6948">
        <v>0.06</v>
      </c>
      <c r="G6948" s="37" t="str">
        <f t="shared" si="541"/>
        <v>Normal Discount</v>
      </c>
      <c r="H6948" s="37" t="str">
        <f t="shared" si="542"/>
        <v>Low</v>
      </c>
      <c r="I6948">
        <v>6</v>
      </c>
      <c r="J6948" t="str" cm="1">
        <f t="array" ref="J6948">_xlfn.IFS(I6948&lt;=3,"small",I6948&lt;=6,"Medium",I6948&lt;=9,"Large")</f>
        <v>Medium</v>
      </c>
      <c r="K6948" s="36">
        <v>45478</v>
      </c>
      <c r="L6948" s="36">
        <v>45485</v>
      </c>
      <c r="M6948" t="s">
        <v>598</v>
      </c>
      <c r="N6948" t="s">
        <v>604</v>
      </c>
      <c r="O6948" s="37" t="str">
        <f t="shared" si="543"/>
        <v>Digital Payment</v>
      </c>
      <c r="P6948">
        <v>335.75</v>
      </c>
      <c r="Q6948" s="37" t="str">
        <f>IF(P6948&gt;500,"High","low")</f>
        <v>low</v>
      </c>
      <c r="R6948" s="37" t="str">
        <f t="shared" si="544"/>
        <v>AVERAGE</v>
      </c>
      <c r="S6948" t="s">
        <v>605</v>
      </c>
    </row>
    <row r="6949" spans="1:19" x14ac:dyDescent="0.2">
      <c r="A6949" t="s">
        <v>7560</v>
      </c>
      <c r="B6949" t="s">
        <v>90</v>
      </c>
      <c r="C6949" t="s">
        <v>602</v>
      </c>
      <c r="D6949">
        <v>1987.14</v>
      </c>
      <c r="E6949" s="37" t="str">
        <f t="shared" si="540"/>
        <v xml:space="preserve"> </v>
      </c>
      <c r="F6949">
        <v>0.21</v>
      </c>
      <c r="G6949" s="37" t="str">
        <f t="shared" si="541"/>
        <v>Normal Discount</v>
      </c>
      <c r="H6949" s="37" t="str">
        <f t="shared" si="542"/>
        <v>Medium</v>
      </c>
      <c r="I6949">
        <v>9</v>
      </c>
      <c r="J6949" t="str" cm="1">
        <f t="array" ref="J6949">_xlfn.IFS(I6949&lt;=3,"small",I6949&lt;=6,"Medium",I6949&lt;=9,"Large")</f>
        <v>Large</v>
      </c>
      <c r="K6949" s="36">
        <v>45100</v>
      </c>
      <c r="L6949" s="36">
        <v>45107</v>
      </c>
      <c r="M6949" t="s">
        <v>612</v>
      </c>
      <c r="N6949" t="s">
        <v>604</v>
      </c>
      <c r="O6949" s="37" t="str">
        <f t="shared" si="543"/>
        <v>Digital Payment</v>
      </c>
      <c r="P6949">
        <v>390.67</v>
      </c>
      <c r="Q6949" s="37" t="str">
        <f>IF(P6949&gt;500,"High","low")</f>
        <v>low</v>
      </c>
      <c r="R6949" s="37" t="str">
        <f t="shared" si="544"/>
        <v>AVERAGE</v>
      </c>
      <c r="S6949" t="s">
        <v>605</v>
      </c>
    </row>
    <row r="6950" spans="1:19" x14ac:dyDescent="0.2">
      <c r="A6950" t="s">
        <v>7561</v>
      </c>
      <c r="B6950" t="s">
        <v>67</v>
      </c>
      <c r="C6950" t="s">
        <v>597</v>
      </c>
      <c r="D6950">
        <v>4706.58</v>
      </c>
      <c r="E6950" s="37" t="str">
        <f t="shared" si="540"/>
        <v xml:space="preserve"> </v>
      </c>
      <c r="F6950">
        <v>0.19</v>
      </c>
      <c r="G6950" s="37" t="str">
        <f t="shared" si="541"/>
        <v>Normal Discount</v>
      </c>
      <c r="H6950" s="37" t="str">
        <f t="shared" si="542"/>
        <v>Low</v>
      </c>
      <c r="I6950">
        <v>8</v>
      </c>
      <c r="J6950" t="str" cm="1">
        <f t="array" ref="J6950">_xlfn.IFS(I6950&lt;=3,"small",I6950&lt;=6,"Medium",I6950&lt;=9,"Large")</f>
        <v>Large</v>
      </c>
      <c r="K6950" s="36">
        <v>45278</v>
      </c>
      <c r="L6950" s="36">
        <v>45280</v>
      </c>
      <c r="M6950" t="s">
        <v>598</v>
      </c>
      <c r="N6950" t="s">
        <v>599</v>
      </c>
      <c r="O6950" s="37" t="str">
        <f t="shared" si="543"/>
        <v>Digital Payment</v>
      </c>
      <c r="P6950">
        <v>766.58</v>
      </c>
      <c r="Q6950" s="37" t="str">
        <f>IF(P6950&gt;500,"High","low")</f>
        <v>High</v>
      </c>
      <c r="R6950" s="37" t="str">
        <f t="shared" si="544"/>
        <v>Good</v>
      </c>
      <c r="S6950" t="s">
        <v>609</v>
      </c>
    </row>
    <row r="6951" spans="1:19" x14ac:dyDescent="0.2">
      <c r="A6951" t="s">
        <v>7562</v>
      </c>
      <c r="B6951" t="s">
        <v>67</v>
      </c>
      <c r="C6951" t="s">
        <v>597</v>
      </c>
      <c r="D6951">
        <v>2618.54</v>
      </c>
      <c r="E6951" s="37" t="str">
        <f t="shared" si="540"/>
        <v xml:space="preserve"> </v>
      </c>
      <c r="F6951">
        <v>0.32</v>
      </c>
      <c r="G6951" s="37" t="str">
        <f t="shared" si="541"/>
        <v>Heavy Discount</v>
      </c>
      <c r="H6951" s="37" t="str">
        <f t="shared" si="542"/>
        <v>Medium</v>
      </c>
      <c r="I6951">
        <v>1</v>
      </c>
      <c r="J6951" t="str" cm="1">
        <f t="array" ref="J6951">_xlfn.IFS(I6951&lt;=3,"small",I6951&lt;=6,"Medium",I6951&lt;=9,"Large")</f>
        <v>small</v>
      </c>
      <c r="K6951" s="36">
        <v>45324</v>
      </c>
      <c r="L6951" s="36">
        <v>45329</v>
      </c>
      <c r="M6951" t="s">
        <v>598</v>
      </c>
      <c r="N6951" t="s">
        <v>599</v>
      </c>
      <c r="O6951" s="37" t="str">
        <f t="shared" si="543"/>
        <v>Digital Payment</v>
      </c>
      <c r="P6951">
        <v>486.93</v>
      </c>
      <c r="Q6951" s="37" t="str">
        <f>IF(P6951&gt;500,"High","low")</f>
        <v>low</v>
      </c>
      <c r="R6951" s="37" t="str">
        <f t="shared" si="544"/>
        <v>AVERAGE</v>
      </c>
      <c r="S6951" t="s">
        <v>600</v>
      </c>
    </row>
    <row r="6952" spans="1:19" x14ac:dyDescent="0.2">
      <c r="A6952" t="s">
        <v>7563</v>
      </c>
      <c r="B6952" t="s">
        <v>83</v>
      </c>
      <c r="C6952" t="s">
        <v>602</v>
      </c>
      <c r="D6952">
        <v>4852.3900000000003</v>
      </c>
      <c r="E6952" s="37" t="str">
        <f t="shared" si="540"/>
        <v>Excellent Order</v>
      </c>
      <c r="F6952">
        <v>0.5</v>
      </c>
      <c r="G6952" s="37" t="str">
        <f t="shared" si="541"/>
        <v>Heavy Discount</v>
      </c>
      <c r="H6952" s="37" t="str">
        <f t="shared" si="542"/>
        <v>High</v>
      </c>
      <c r="I6952">
        <v>5</v>
      </c>
      <c r="J6952" t="str" cm="1">
        <f t="array" ref="J6952">_xlfn.IFS(I6952&lt;=3,"small",I6952&lt;=6,"Medium",I6952&lt;=9,"Large")</f>
        <v>Medium</v>
      </c>
      <c r="K6952" s="36">
        <v>45649</v>
      </c>
      <c r="L6952" s="36">
        <v>45652</v>
      </c>
      <c r="M6952" t="s">
        <v>603</v>
      </c>
      <c r="N6952" t="s">
        <v>599</v>
      </c>
      <c r="O6952" s="37" t="str">
        <f t="shared" si="543"/>
        <v>Digital Payment</v>
      </c>
      <c r="P6952">
        <v>971.93</v>
      </c>
      <c r="Q6952" s="37" t="str">
        <f>IF(P6952&gt;500,"High","low")</f>
        <v>High</v>
      </c>
      <c r="R6952" s="37" t="str">
        <f t="shared" si="544"/>
        <v>Good</v>
      </c>
      <c r="S6952" t="s">
        <v>609</v>
      </c>
    </row>
    <row r="6953" spans="1:19" x14ac:dyDescent="0.2">
      <c r="A6953" t="s">
        <v>7564</v>
      </c>
      <c r="B6953" t="s">
        <v>67</v>
      </c>
      <c r="C6953" t="s">
        <v>602</v>
      </c>
      <c r="D6953">
        <v>2862.99</v>
      </c>
      <c r="E6953" s="37" t="str">
        <f t="shared" si="540"/>
        <v xml:space="preserve"> </v>
      </c>
      <c r="F6953">
        <v>0.45</v>
      </c>
      <c r="G6953" s="37" t="str">
        <f t="shared" si="541"/>
        <v>Heavy Discount</v>
      </c>
      <c r="H6953" s="37" t="str">
        <f t="shared" si="542"/>
        <v>High</v>
      </c>
      <c r="I6953">
        <v>6</v>
      </c>
      <c r="J6953" t="str" cm="1">
        <f t="array" ref="J6953">_xlfn.IFS(I6953&lt;=3,"small",I6953&lt;=6,"Medium",I6953&lt;=9,"Large")</f>
        <v>Medium</v>
      </c>
      <c r="K6953" s="36">
        <v>45186</v>
      </c>
      <c r="L6953" s="36">
        <v>45191</v>
      </c>
      <c r="M6953" t="s">
        <v>603</v>
      </c>
      <c r="N6953" t="s">
        <v>608</v>
      </c>
      <c r="O6953" s="37" t="str">
        <f t="shared" si="543"/>
        <v>Cash Payment</v>
      </c>
      <c r="P6953">
        <v>846.9</v>
      </c>
      <c r="Q6953" s="37" t="str">
        <f>IF(P6953&gt;500,"High","low")</f>
        <v>High</v>
      </c>
      <c r="R6953" s="37" t="str">
        <f t="shared" si="544"/>
        <v>Good</v>
      </c>
      <c r="S6953" t="s">
        <v>605</v>
      </c>
    </row>
    <row r="6954" spans="1:19" x14ac:dyDescent="0.2">
      <c r="A6954" t="s">
        <v>7565</v>
      </c>
      <c r="B6954" t="s">
        <v>83</v>
      </c>
      <c r="C6954" t="s">
        <v>614</v>
      </c>
      <c r="D6954">
        <v>3987.58</v>
      </c>
      <c r="E6954" s="37" t="str">
        <f t="shared" si="540"/>
        <v xml:space="preserve"> </v>
      </c>
      <c r="F6954">
        <v>0.44</v>
      </c>
      <c r="G6954" s="37" t="str">
        <f t="shared" si="541"/>
        <v>Heavy Discount</v>
      </c>
      <c r="H6954" s="37" t="str">
        <f t="shared" si="542"/>
        <v>High</v>
      </c>
      <c r="I6954">
        <v>9</v>
      </c>
      <c r="J6954" t="str" cm="1">
        <f t="array" ref="J6954">_xlfn.IFS(I6954&lt;=3,"small",I6954&lt;=6,"Medium",I6954&lt;=9,"Large")</f>
        <v>Large</v>
      </c>
      <c r="K6954" s="36">
        <v>45578</v>
      </c>
      <c r="L6954" s="36">
        <v>45580</v>
      </c>
      <c r="M6954" t="s">
        <v>603</v>
      </c>
      <c r="N6954" t="s">
        <v>604</v>
      </c>
      <c r="O6954" s="37" t="str">
        <f t="shared" si="543"/>
        <v>Digital Payment</v>
      </c>
      <c r="P6954">
        <v>978.47</v>
      </c>
      <c r="Q6954" s="37" t="str">
        <f>IF(P6954&gt;500,"High","low")</f>
        <v>High</v>
      </c>
      <c r="R6954" s="37" t="str">
        <f t="shared" si="544"/>
        <v>Good</v>
      </c>
      <c r="S6954" t="s">
        <v>609</v>
      </c>
    </row>
    <row r="6955" spans="1:19" x14ac:dyDescent="0.2">
      <c r="A6955" t="s">
        <v>7566</v>
      </c>
      <c r="B6955" t="s">
        <v>83</v>
      </c>
      <c r="C6955" t="s">
        <v>617</v>
      </c>
      <c r="D6955">
        <v>3735.91</v>
      </c>
      <c r="E6955" s="37" t="str">
        <f t="shared" si="540"/>
        <v xml:space="preserve"> </v>
      </c>
      <c r="F6955">
        <v>0.32</v>
      </c>
      <c r="G6955" s="37" t="str">
        <f t="shared" si="541"/>
        <v>Heavy Discount</v>
      </c>
      <c r="H6955" s="37" t="str">
        <f t="shared" si="542"/>
        <v>Medium</v>
      </c>
      <c r="I6955">
        <v>4</v>
      </c>
      <c r="J6955" t="str" cm="1">
        <f t="array" ref="J6955">_xlfn.IFS(I6955&lt;=3,"small",I6955&lt;=6,"Medium",I6955&lt;=9,"Large")</f>
        <v>Medium</v>
      </c>
      <c r="K6955" s="36">
        <v>45437</v>
      </c>
      <c r="L6955" s="36">
        <v>45441</v>
      </c>
      <c r="M6955" t="s">
        <v>598</v>
      </c>
      <c r="N6955" t="s">
        <v>608</v>
      </c>
      <c r="O6955" s="37" t="str">
        <f t="shared" si="543"/>
        <v>Cash Payment</v>
      </c>
      <c r="P6955">
        <v>935.45</v>
      </c>
      <c r="Q6955" s="37" t="str">
        <f>IF(P6955&gt;500,"High","low")</f>
        <v>High</v>
      </c>
      <c r="R6955" s="37" t="str">
        <f t="shared" si="544"/>
        <v>Good</v>
      </c>
      <c r="S6955" t="s">
        <v>628</v>
      </c>
    </row>
    <row r="6956" spans="1:19" x14ac:dyDescent="0.2">
      <c r="A6956" t="s">
        <v>7567</v>
      </c>
      <c r="B6956" t="s">
        <v>90</v>
      </c>
      <c r="C6956" t="s">
        <v>614</v>
      </c>
      <c r="D6956">
        <v>3338.04</v>
      </c>
      <c r="E6956" s="37" t="str">
        <f t="shared" si="540"/>
        <v xml:space="preserve"> </v>
      </c>
      <c r="F6956">
        <v>0.14000000000000001</v>
      </c>
      <c r="G6956" s="37" t="str">
        <f t="shared" si="541"/>
        <v>Normal Discount</v>
      </c>
      <c r="H6956" s="37" t="str">
        <f t="shared" si="542"/>
        <v>Low</v>
      </c>
      <c r="I6956">
        <v>1</v>
      </c>
      <c r="J6956" t="str" cm="1">
        <f t="array" ref="J6956">_xlfn.IFS(I6956&lt;=3,"small",I6956&lt;=6,"Medium",I6956&lt;=9,"Large")</f>
        <v>small</v>
      </c>
      <c r="K6956" s="36">
        <v>45300</v>
      </c>
      <c r="L6956" s="36">
        <v>45305</v>
      </c>
      <c r="M6956" t="s">
        <v>598</v>
      </c>
      <c r="N6956" t="s">
        <v>599</v>
      </c>
      <c r="O6956" s="37" t="str">
        <f t="shared" si="543"/>
        <v>Digital Payment</v>
      </c>
      <c r="P6956">
        <v>915.3</v>
      </c>
      <c r="Q6956" s="37" t="str">
        <f>IF(P6956&gt;500,"High","low")</f>
        <v>High</v>
      </c>
      <c r="R6956" s="37" t="str">
        <f t="shared" si="544"/>
        <v>Good</v>
      </c>
      <c r="S6956" t="s">
        <v>600</v>
      </c>
    </row>
    <row r="6957" spans="1:19" x14ac:dyDescent="0.2">
      <c r="A6957" t="s">
        <v>7568</v>
      </c>
      <c r="B6957" t="s">
        <v>67</v>
      </c>
      <c r="C6957" t="s">
        <v>602</v>
      </c>
      <c r="D6957">
        <v>170.86</v>
      </c>
      <c r="E6957" s="37" t="str">
        <f t="shared" si="540"/>
        <v xml:space="preserve"> </v>
      </c>
      <c r="F6957">
        <v>0.19</v>
      </c>
      <c r="G6957" s="37" t="str">
        <f t="shared" si="541"/>
        <v>Normal Discount</v>
      </c>
      <c r="H6957" s="37" t="str">
        <f t="shared" si="542"/>
        <v>Low</v>
      </c>
      <c r="I6957">
        <v>6</v>
      </c>
      <c r="J6957" t="str" cm="1">
        <f t="array" ref="J6957">_xlfn.IFS(I6957&lt;=3,"small",I6957&lt;=6,"Medium",I6957&lt;=9,"Large")</f>
        <v>Medium</v>
      </c>
      <c r="K6957" s="36">
        <v>45166</v>
      </c>
      <c r="L6957" s="36">
        <v>45172</v>
      </c>
      <c r="M6957" t="s">
        <v>603</v>
      </c>
      <c r="N6957" t="s">
        <v>608</v>
      </c>
      <c r="O6957" s="37" t="str">
        <f t="shared" si="543"/>
        <v>Cash Payment</v>
      </c>
      <c r="P6957">
        <v>47.45</v>
      </c>
      <c r="Q6957" s="37" t="str">
        <f>IF(P6957&gt;500,"High","low")</f>
        <v>low</v>
      </c>
      <c r="R6957" s="37" t="str">
        <f t="shared" si="544"/>
        <v>AVERAGE</v>
      </c>
      <c r="S6957" t="s">
        <v>609</v>
      </c>
    </row>
    <row r="6958" spans="1:19" x14ac:dyDescent="0.2">
      <c r="A6958" t="s">
        <v>7569</v>
      </c>
      <c r="B6958" t="s">
        <v>67</v>
      </c>
      <c r="C6958" t="s">
        <v>617</v>
      </c>
      <c r="D6958">
        <v>479.4</v>
      </c>
      <c r="E6958" s="37" t="str">
        <f t="shared" si="540"/>
        <v xml:space="preserve"> </v>
      </c>
      <c r="F6958">
        <v>0.13</v>
      </c>
      <c r="G6958" s="37" t="str">
        <f t="shared" si="541"/>
        <v>Normal Discount</v>
      </c>
      <c r="H6958" s="37" t="str">
        <f t="shared" si="542"/>
        <v>Low</v>
      </c>
      <c r="I6958">
        <v>9</v>
      </c>
      <c r="J6958" t="str" cm="1">
        <f t="array" ref="J6958">_xlfn.IFS(I6958&lt;=3,"small",I6958&lt;=6,"Medium",I6958&lt;=9,"Large")</f>
        <v>Large</v>
      </c>
      <c r="K6958" s="36">
        <v>45569</v>
      </c>
      <c r="L6958" s="36">
        <v>45575</v>
      </c>
      <c r="M6958" t="s">
        <v>612</v>
      </c>
      <c r="N6958" t="s">
        <v>604</v>
      </c>
      <c r="O6958" s="37" t="str">
        <f t="shared" si="543"/>
        <v>Digital Payment</v>
      </c>
      <c r="P6958">
        <v>126.23</v>
      </c>
      <c r="Q6958" s="37" t="str">
        <f>IF(P6958&gt;500,"High","low")</f>
        <v>low</v>
      </c>
      <c r="R6958" s="37" t="str">
        <f t="shared" si="544"/>
        <v>AVERAGE</v>
      </c>
      <c r="S6958" t="s">
        <v>600</v>
      </c>
    </row>
    <row r="6959" spans="1:19" x14ac:dyDescent="0.2">
      <c r="A6959" t="s">
        <v>7570</v>
      </c>
      <c r="B6959" t="s">
        <v>83</v>
      </c>
      <c r="C6959" t="s">
        <v>602</v>
      </c>
      <c r="D6959">
        <v>2949.27</v>
      </c>
      <c r="E6959" s="37" t="str">
        <f t="shared" si="540"/>
        <v xml:space="preserve"> </v>
      </c>
      <c r="F6959">
        <v>7.0000000000000007E-2</v>
      </c>
      <c r="G6959" s="37" t="str">
        <f t="shared" si="541"/>
        <v>Normal Discount</v>
      </c>
      <c r="H6959" s="37" t="str">
        <f t="shared" si="542"/>
        <v>Low</v>
      </c>
      <c r="I6959">
        <v>6</v>
      </c>
      <c r="J6959" t="str" cm="1">
        <f t="array" ref="J6959">_xlfn.IFS(I6959&lt;=3,"small",I6959&lt;=6,"Medium",I6959&lt;=9,"Large")</f>
        <v>Medium</v>
      </c>
      <c r="K6959" s="36">
        <v>44929</v>
      </c>
      <c r="L6959" s="36">
        <v>44936</v>
      </c>
      <c r="M6959" t="s">
        <v>603</v>
      </c>
      <c r="N6959" t="s">
        <v>599</v>
      </c>
      <c r="O6959" s="37" t="str">
        <f t="shared" si="543"/>
        <v>Digital Payment</v>
      </c>
      <c r="P6959">
        <v>700.11</v>
      </c>
      <c r="Q6959" s="37" t="str">
        <f>IF(P6959&gt;500,"High","low")</f>
        <v>High</v>
      </c>
      <c r="R6959" s="37" t="str">
        <f t="shared" si="544"/>
        <v>Good</v>
      </c>
      <c r="S6959" t="s">
        <v>609</v>
      </c>
    </row>
    <row r="6960" spans="1:19" x14ac:dyDescent="0.2">
      <c r="A6960" t="s">
        <v>7571</v>
      </c>
      <c r="B6960" t="s">
        <v>83</v>
      </c>
      <c r="C6960" t="s">
        <v>614</v>
      </c>
      <c r="D6960">
        <v>4567.7299999999996</v>
      </c>
      <c r="E6960" s="37" t="str">
        <f t="shared" si="540"/>
        <v xml:space="preserve"> </v>
      </c>
      <c r="F6960">
        <v>0.22</v>
      </c>
      <c r="G6960" s="37" t="str">
        <f t="shared" si="541"/>
        <v>Normal Discount</v>
      </c>
      <c r="H6960" s="37" t="str">
        <f t="shared" si="542"/>
        <v>Medium</v>
      </c>
      <c r="I6960">
        <v>7</v>
      </c>
      <c r="J6960" t="str" cm="1">
        <f t="array" ref="J6960">_xlfn.IFS(I6960&lt;=3,"small",I6960&lt;=6,"Medium",I6960&lt;=9,"Large")</f>
        <v>Large</v>
      </c>
      <c r="K6960" s="36">
        <v>45563</v>
      </c>
      <c r="L6960" s="36">
        <v>45570</v>
      </c>
      <c r="M6960" t="s">
        <v>612</v>
      </c>
      <c r="N6960" t="s">
        <v>604</v>
      </c>
      <c r="O6960" s="37" t="str">
        <f t="shared" si="543"/>
        <v>Digital Payment</v>
      </c>
      <c r="P6960">
        <v>229.22</v>
      </c>
      <c r="Q6960" s="37" t="str">
        <f>IF(P6960&gt;500,"High","low")</f>
        <v>low</v>
      </c>
      <c r="R6960" s="37" t="str">
        <f t="shared" si="544"/>
        <v>AVERAGE</v>
      </c>
      <c r="S6960" t="s">
        <v>615</v>
      </c>
    </row>
    <row r="6961" spans="1:19" x14ac:dyDescent="0.2">
      <c r="A6961" t="s">
        <v>7572</v>
      </c>
      <c r="B6961" t="s">
        <v>75</v>
      </c>
      <c r="C6961" t="s">
        <v>614</v>
      </c>
      <c r="D6961">
        <v>3045.59</v>
      </c>
      <c r="E6961" s="37" t="str">
        <f t="shared" si="540"/>
        <v xml:space="preserve"> </v>
      </c>
      <c r="F6961">
        <v>0.45</v>
      </c>
      <c r="G6961" s="37" t="str">
        <f t="shared" si="541"/>
        <v>Heavy Discount</v>
      </c>
      <c r="H6961" s="37" t="str">
        <f t="shared" si="542"/>
        <v>High</v>
      </c>
      <c r="I6961">
        <v>4</v>
      </c>
      <c r="J6961" t="str" cm="1">
        <f t="array" ref="J6961">_xlfn.IFS(I6961&lt;=3,"small",I6961&lt;=6,"Medium",I6961&lt;=9,"Large")</f>
        <v>Medium</v>
      </c>
      <c r="K6961" s="36">
        <v>45224</v>
      </c>
      <c r="L6961" s="36">
        <v>45231</v>
      </c>
      <c r="M6961" t="s">
        <v>612</v>
      </c>
      <c r="N6961" t="s">
        <v>599</v>
      </c>
      <c r="O6961" s="37" t="str">
        <f t="shared" si="543"/>
        <v>Digital Payment</v>
      </c>
      <c r="P6961">
        <v>610.34</v>
      </c>
      <c r="Q6961" s="37" t="str">
        <f>IF(P6961&gt;500,"High","low")</f>
        <v>High</v>
      </c>
      <c r="R6961" s="37" t="str">
        <f t="shared" si="544"/>
        <v>Good</v>
      </c>
      <c r="S6961" t="s">
        <v>605</v>
      </c>
    </row>
    <row r="6962" spans="1:19" x14ac:dyDescent="0.2">
      <c r="A6962" t="s">
        <v>7573</v>
      </c>
      <c r="B6962" t="s">
        <v>75</v>
      </c>
      <c r="C6962" t="s">
        <v>614</v>
      </c>
      <c r="D6962">
        <v>1256.3800000000001</v>
      </c>
      <c r="E6962" s="37" t="str">
        <f t="shared" si="540"/>
        <v xml:space="preserve"> </v>
      </c>
      <c r="F6962">
        <v>0.37</v>
      </c>
      <c r="G6962" s="37" t="str">
        <f t="shared" si="541"/>
        <v>Heavy Discount</v>
      </c>
      <c r="H6962" s="37" t="str">
        <f t="shared" si="542"/>
        <v>Medium</v>
      </c>
      <c r="I6962">
        <v>2</v>
      </c>
      <c r="J6962" t="str" cm="1">
        <f t="array" ref="J6962">_xlfn.IFS(I6962&lt;=3,"small",I6962&lt;=6,"Medium",I6962&lt;=9,"Large")</f>
        <v>small</v>
      </c>
      <c r="K6962" s="36">
        <v>45175</v>
      </c>
      <c r="L6962" s="36">
        <v>45178</v>
      </c>
      <c r="M6962" t="s">
        <v>598</v>
      </c>
      <c r="N6962" t="s">
        <v>608</v>
      </c>
      <c r="O6962" s="37" t="str">
        <f t="shared" si="543"/>
        <v>Cash Payment</v>
      </c>
      <c r="P6962">
        <v>83.6</v>
      </c>
      <c r="Q6962" s="37" t="str">
        <f>IF(P6962&gt;500,"High","low")</f>
        <v>low</v>
      </c>
      <c r="R6962" s="37" t="str">
        <f t="shared" si="544"/>
        <v>AVERAGE</v>
      </c>
      <c r="S6962" t="s">
        <v>620</v>
      </c>
    </row>
    <row r="6963" spans="1:19" x14ac:dyDescent="0.2">
      <c r="A6963" t="s">
        <v>7574</v>
      </c>
      <c r="B6963" t="s">
        <v>83</v>
      </c>
      <c r="C6963" t="s">
        <v>617</v>
      </c>
      <c r="D6963">
        <v>1669.07</v>
      </c>
      <c r="E6963" s="37" t="str">
        <f t="shared" si="540"/>
        <v xml:space="preserve"> </v>
      </c>
      <c r="F6963">
        <v>0.49</v>
      </c>
      <c r="G6963" s="37" t="str">
        <f t="shared" si="541"/>
        <v>Heavy Discount</v>
      </c>
      <c r="H6963" s="37" t="str">
        <f t="shared" si="542"/>
        <v>High</v>
      </c>
      <c r="I6963">
        <v>3</v>
      </c>
      <c r="J6963" t="str" cm="1">
        <f t="array" ref="J6963">_xlfn.IFS(I6963&lt;=3,"small",I6963&lt;=6,"Medium",I6963&lt;=9,"Large")</f>
        <v>small</v>
      </c>
      <c r="K6963" s="36">
        <v>45390</v>
      </c>
      <c r="L6963" s="36">
        <v>45395</v>
      </c>
      <c r="M6963" t="s">
        <v>603</v>
      </c>
      <c r="N6963" t="s">
        <v>599</v>
      </c>
      <c r="O6963" s="37" t="str">
        <f t="shared" si="543"/>
        <v>Digital Payment</v>
      </c>
      <c r="P6963">
        <v>88.6</v>
      </c>
      <c r="Q6963" s="37" t="str">
        <f>IF(P6963&gt;500,"High","low")</f>
        <v>low</v>
      </c>
      <c r="R6963" s="37" t="str">
        <f t="shared" si="544"/>
        <v>AVERAGE</v>
      </c>
      <c r="S6963" t="s">
        <v>609</v>
      </c>
    </row>
    <row r="6964" spans="1:19" x14ac:dyDescent="0.2">
      <c r="A6964" t="s">
        <v>7575</v>
      </c>
      <c r="B6964" t="s">
        <v>75</v>
      </c>
      <c r="C6964" t="s">
        <v>607</v>
      </c>
      <c r="D6964">
        <v>3153.48</v>
      </c>
      <c r="E6964" s="37" t="str">
        <f t="shared" si="540"/>
        <v xml:space="preserve"> </v>
      </c>
      <c r="F6964">
        <v>0.1</v>
      </c>
      <c r="G6964" s="37" t="str">
        <f t="shared" si="541"/>
        <v>Normal Discount</v>
      </c>
      <c r="H6964" s="37" t="str">
        <f t="shared" si="542"/>
        <v>Low</v>
      </c>
      <c r="I6964">
        <v>1</v>
      </c>
      <c r="J6964" t="str" cm="1">
        <f t="array" ref="J6964">_xlfn.IFS(I6964&lt;=3,"small",I6964&lt;=6,"Medium",I6964&lt;=9,"Large")</f>
        <v>small</v>
      </c>
      <c r="K6964" s="36">
        <v>45073</v>
      </c>
      <c r="L6964" s="36">
        <v>45074</v>
      </c>
      <c r="M6964" t="s">
        <v>612</v>
      </c>
      <c r="N6964" t="s">
        <v>599</v>
      </c>
      <c r="O6964" s="37" t="str">
        <f t="shared" si="543"/>
        <v>Digital Payment</v>
      </c>
      <c r="P6964">
        <v>173.62</v>
      </c>
      <c r="Q6964" s="37" t="str">
        <f>IF(P6964&gt;500,"High","low")</f>
        <v>low</v>
      </c>
      <c r="R6964" s="37" t="str">
        <f t="shared" si="544"/>
        <v>AVERAGE</v>
      </c>
      <c r="S6964" t="s">
        <v>600</v>
      </c>
    </row>
    <row r="6965" spans="1:19" x14ac:dyDescent="0.2">
      <c r="A6965" t="s">
        <v>7576</v>
      </c>
      <c r="B6965" t="s">
        <v>75</v>
      </c>
      <c r="C6965" t="s">
        <v>607</v>
      </c>
      <c r="D6965">
        <v>3025.57</v>
      </c>
      <c r="E6965" s="37" t="str">
        <f t="shared" si="540"/>
        <v xml:space="preserve"> </v>
      </c>
      <c r="F6965">
        <v>0.25</v>
      </c>
      <c r="G6965" s="37" t="str">
        <f t="shared" si="541"/>
        <v>Normal Discount</v>
      </c>
      <c r="H6965" s="37" t="str">
        <f t="shared" si="542"/>
        <v>Medium</v>
      </c>
      <c r="I6965">
        <v>2</v>
      </c>
      <c r="J6965" t="str" cm="1">
        <f t="array" ref="J6965">_xlfn.IFS(I6965&lt;=3,"small",I6965&lt;=6,"Medium",I6965&lt;=9,"Large")</f>
        <v>small</v>
      </c>
      <c r="K6965" s="36">
        <v>45082</v>
      </c>
      <c r="L6965" s="36">
        <v>45084</v>
      </c>
      <c r="M6965" t="s">
        <v>598</v>
      </c>
      <c r="N6965" t="s">
        <v>599</v>
      </c>
      <c r="O6965" s="37" t="str">
        <f t="shared" si="543"/>
        <v>Digital Payment</v>
      </c>
      <c r="P6965">
        <v>857.95</v>
      </c>
      <c r="Q6965" s="37" t="str">
        <f>IF(P6965&gt;500,"High","low")</f>
        <v>High</v>
      </c>
      <c r="R6965" s="37" t="str">
        <f t="shared" si="544"/>
        <v>Good</v>
      </c>
      <c r="S6965" t="s">
        <v>605</v>
      </c>
    </row>
    <row r="6966" spans="1:19" x14ac:dyDescent="0.2">
      <c r="A6966" t="s">
        <v>7577</v>
      </c>
      <c r="B6966" t="s">
        <v>83</v>
      </c>
      <c r="C6966" t="s">
        <v>602</v>
      </c>
      <c r="D6966">
        <v>4782.9399999999996</v>
      </c>
      <c r="E6966" s="37" t="str">
        <f t="shared" si="540"/>
        <v xml:space="preserve"> </v>
      </c>
      <c r="F6966">
        <v>0.4</v>
      </c>
      <c r="G6966" s="37" t="str">
        <f t="shared" si="541"/>
        <v>Heavy Discount</v>
      </c>
      <c r="H6966" s="37" t="str">
        <f t="shared" si="542"/>
        <v>Medium</v>
      </c>
      <c r="I6966">
        <v>7</v>
      </c>
      <c r="J6966" t="str" cm="1">
        <f t="array" ref="J6966">_xlfn.IFS(I6966&lt;=3,"small",I6966&lt;=6,"Medium",I6966&lt;=9,"Large")</f>
        <v>Large</v>
      </c>
      <c r="K6966" s="36">
        <v>45220</v>
      </c>
      <c r="L6966" s="36">
        <v>45221</v>
      </c>
      <c r="M6966" t="s">
        <v>598</v>
      </c>
      <c r="N6966" t="s">
        <v>599</v>
      </c>
      <c r="O6966" s="37" t="str">
        <f t="shared" si="543"/>
        <v>Digital Payment</v>
      </c>
      <c r="P6966">
        <v>582.09</v>
      </c>
      <c r="Q6966" s="37" t="str">
        <f>IF(P6966&gt;500,"High","low")</f>
        <v>High</v>
      </c>
      <c r="R6966" s="37" t="str">
        <f t="shared" si="544"/>
        <v>Good</v>
      </c>
      <c r="S6966" t="s">
        <v>628</v>
      </c>
    </row>
    <row r="6967" spans="1:19" x14ac:dyDescent="0.2">
      <c r="A6967" t="s">
        <v>7578</v>
      </c>
      <c r="B6967" t="s">
        <v>83</v>
      </c>
      <c r="C6967" t="s">
        <v>617</v>
      </c>
      <c r="D6967">
        <v>2692.51</v>
      </c>
      <c r="E6967" s="37" t="str">
        <f t="shared" si="540"/>
        <v xml:space="preserve"> </v>
      </c>
      <c r="F6967">
        <v>0.23</v>
      </c>
      <c r="G6967" s="37" t="str">
        <f t="shared" si="541"/>
        <v>Normal Discount</v>
      </c>
      <c r="H6967" s="37" t="str">
        <f t="shared" si="542"/>
        <v>Medium</v>
      </c>
      <c r="I6967">
        <v>9</v>
      </c>
      <c r="J6967" t="str" cm="1">
        <f t="array" ref="J6967">_xlfn.IFS(I6967&lt;=3,"small",I6967&lt;=6,"Medium",I6967&lt;=9,"Large")</f>
        <v>Large</v>
      </c>
      <c r="K6967" s="36">
        <v>45043</v>
      </c>
      <c r="L6967" s="36">
        <v>45049</v>
      </c>
      <c r="M6967" t="s">
        <v>598</v>
      </c>
      <c r="N6967" t="s">
        <v>604</v>
      </c>
      <c r="O6967" s="37" t="str">
        <f t="shared" si="543"/>
        <v>Digital Payment</v>
      </c>
      <c r="P6967">
        <v>517.87</v>
      </c>
      <c r="Q6967" s="37" t="str">
        <f>IF(P6967&gt;500,"High","low")</f>
        <v>High</v>
      </c>
      <c r="R6967" s="37" t="str">
        <f t="shared" si="544"/>
        <v>Good</v>
      </c>
      <c r="S6967" t="s">
        <v>620</v>
      </c>
    </row>
    <row r="6968" spans="1:19" x14ac:dyDescent="0.2">
      <c r="A6968" t="s">
        <v>7579</v>
      </c>
      <c r="B6968" t="s">
        <v>67</v>
      </c>
      <c r="C6968" t="s">
        <v>597</v>
      </c>
      <c r="D6968">
        <v>1839.57</v>
      </c>
      <c r="E6968" s="37" t="str">
        <f t="shared" si="540"/>
        <v xml:space="preserve"> </v>
      </c>
      <c r="F6968">
        <v>0.18</v>
      </c>
      <c r="G6968" s="37" t="str">
        <f t="shared" si="541"/>
        <v>Normal Discount</v>
      </c>
      <c r="H6968" s="37" t="str">
        <f t="shared" si="542"/>
        <v>Low</v>
      </c>
      <c r="I6968">
        <v>9</v>
      </c>
      <c r="J6968" t="str" cm="1">
        <f t="array" ref="J6968">_xlfn.IFS(I6968&lt;=3,"small",I6968&lt;=6,"Medium",I6968&lt;=9,"Large")</f>
        <v>Large</v>
      </c>
      <c r="K6968" s="36">
        <v>45430</v>
      </c>
      <c r="L6968" s="36">
        <v>45432</v>
      </c>
      <c r="M6968" t="s">
        <v>603</v>
      </c>
      <c r="N6968" t="s">
        <v>608</v>
      </c>
      <c r="O6968" s="37" t="str">
        <f t="shared" si="543"/>
        <v>Cash Payment</v>
      </c>
      <c r="P6968">
        <v>179.56</v>
      </c>
      <c r="Q6968" s="37" t="str">
        <f>IF(P6968&gt;500,"High","low")</f>
        <v>low</v>
      </c>
      <c r="R6968" s="37" t="str">
        <f t="shared" si="544"/>
        <v>AVERAGE</v>
      </c>
      <c r="S6968" t="s">
        <v>620</v>
      </c>
    </row>
    <row r="6969" spans="1:19" x14ac:dyDescent="0.2">
      <c r="A6969" t="s">
        <v>7580</v>
      </c>
      <c r="B6969" t="s">
        <v>83</v>
      </c>
      <c r="C6969" t="s">
        <v>607</v>
      </c>
      <c r="D6969">
        <v>2672.46</v>
      </c>
      <c r="E6969" s="37" t="str">
        <f t="shared" si="540"/>
        <v xml:space="preserve"> </v>
      </c>
      <c r="F6969">
        <v>0.41</v>
      </c>
      <c r="G6969" s="37" t="str">
        <f t="shared" si="541"/>
        <v>Heavy Discount</v>
      </c>
      <c r="H6969" s="37" t="str">
        <f t="shared" si="542"/>
        <v>High</v>
      </c>
      <c r="I6969">
        <v>9</v>
      </c>
      <c r="J6969" t="str" cm="1">
        <f t="array" ref="J6969">_xlfn.IFS(I6969&lt;=3,"small",I6969&lt;=6,"Medium",I6969&lt;=9,"Large")</f>
        <v>Large</v>
      </c>
      <c r="K6969" s="36">
        <v>45575</v>
      </c>
      <c r="L6969" s="36">
        <v>45581</v>
      </c>
      <c r="M6969" t="s">
        <v>598</v>
      </c>
      <c r="N6969" t="s">
        <v>604</v>
      </c>
      <c r="O6969" s="37" t="str">
        <f t="shared" si="543"/>
        <v>Digital Payment</v>
      </c>
      <c r="P6969">
        <v>639.42999999999995</v>
      </c>
      <c r="Q6969" s="37" t="str">
        <f>IF(P6969&gt;500,"High","low")</f>
        <v>High</v>
      </c>
      <c r="R6969" s="37" t="str">
        <f t="shared" si="544"/>
        <v>Good</v>
      </c>
      <c r="S6969" t="s">
        <v>615</v>
      </c>
    </row>
    <row r="6970" spans="1:19" x14ac:dyDescent="0.2">
      <c r="A6970" t="s">
        <v>7581</v>
      </c>
      <c r="B6970" t="s">
        <v>83</v>
      </c>
      <c r="C6970" t="s">
        <v>617</v>
      </c>
      <c r="D6970">
        <v>3952.55</v>
      </c>
      <c r="E6970" s="37" t="str">
        <f t="shared" si="540"/>
        <v xml:space="preserve"> </v>
      </c>
      <c r="F6970">
        <v>0.22</v>
      </c>
      <c r="G6970" s="37" t="str">
        <f t="shared" si="541"/>
        <v>Normal Discount</v>
      </c>
      <c r="H6970" s="37" t="str">
        <f t="shared" si="542"/>
        <v>Medium</v>
      </c>
      <c r="I6970">
        <v>1</v>
      </c>
      <c r="J6970" t="str" cm="1">
        <f t="array" ref="J6970">_xlfn.IFS(I6970&lt;=3,"small",I6970&lt;=6,"Medium",I6970&lt;=9,"Large")</f>
        <v>small</v>
      </c>
      <c r="K6970" s="36">
        <v>45622</v>
      </c>
      <c r="L6970" s="36">
        <v>45624</v>
      </c>
      <c r="M6970" t="s">
        <v>598</v>
      </c>
      <c r="N6970" t="s">
        <v>608</v>
      </c>
      <c r="O6970" s="37" t="str">
        <f t="shared" si="543"/>
        <v>Cash Payment</v>
      </c>
      <c r="P6970">
        <v>995.83</v>
      </c>
      <c r="Q6970" s="37" t="str">
        <f>IF(P6970&gt;500,"High","low")</f>
        <v>High</v>
      </c>
      <c r="R6970" s="37" t="str">
        <f t="shared" si="544"/>
        <v>Good</v>
      </c>
      <c r="S6970" t="s">
        <v>615</v>
      </c>
    </row>
    <row r="6971" spans="1:19" x14ac:dyDescent="0.2">
      <c r="A6971" t="s">
        <v>7582</v>
      </c>
      <c r="B6971" t="s">
        <v>90</v>
      </c>
      <c r="C6971" t="s">
        <v>617</v>
      </c>
      <c r="D6971">
        <v>2747.78</v>
      </c>
      <c r="E6971" s="37" t="str">
        <f t="shared" si="540"/>
        <v xml:space="preserve"> </v>
      </c>
      <c r="F6971">
        <v>0.46</v>
      </c>
      <c r="G6971" s="37" t="str">
        <f t="shared" si="541"/>
        <v>Heavy Discount</v>
      </c>
      <c r="H6971" s="37" t="str">
        <f t="shared" si="542"/>
        <v>High</v>
      </c>
      <c r="I6971">
        <v>7</v>
      </c>
      <c r="J6971" t="str" cm="1">
        <f t="array" ref="J6971">_xlfn.IFS(I6971&lt;=3,"small",I6971&lt;=6,"Medium",I6971&lt;=9,"Large")</f>
        <v>Large</v>
      </c>
      <c r="K6971" s="36">
        <v>45036</v>
      </c>
      <c r="L6971" s="36">
        <v>45043</v>
      </c>
      <c r="M6971" t="s">
        <v>612</v>
      </c>
      <c r="N6971" t="s">
        <v>608</v>
      </c>
      <c r="O6971" s="37" t="str">
        <f t="shared" si="543"/>
        <v>Cash Payment</v>
      </c>
      <c r="P6971">
        <v>380.47</v>
      </c>
      <c r="Q6971" s="37" t="str">
        <f>IF(P6971&gt;500,"High","low")</f>
        <v>low</v>
      </c>
      <c r="R6971" s="37" t="str">
        <f t="shared" si="544"/>
        <v>AVERAGE</v>
      </c>
      <c r="S6971" t="s">
        <v>609</v>
      </c>
    </row>
    <row r="6972" spans="1:19" x14ac:dyDescent="0.2">
      <c r="A6972" t="s">
        <v>7583</v>
      </c>
      <c r="B6972" t="s">
        <v>67</v>
      </c>
      <c r="C6972" t="s">
        <v>607</v>
      </c>
      <c r="D6972">
        <v>1697.66</v>
      </c>
      <c r="E6972" s="37" t="str">
        <f t="shared" si="540"/>
        <v xml:space="preserve"> </v>
      </c>
      <c r="F6972">
        <v>0.13</v>
      </c>
      <c r="G6972" s="37" t="str">
        <f t="shared" si="541"/>
        <v>Normal Discount</v>
      </c>
      <c r="H6972" s="37" t="str">
        <f t="shared" si="542"/>
        <v>Low</v>
      </c>
      <c r="I6972">
        <v>7</v>
      </c>
      <c r="J6972" t="str" cm="1">
        <f t="array" ref="J6972">_xlfn.IFS(I6972&lt;=3,"small",I6972&lt;=6,"Medium",I6972&lt;=9,"Large")</f>
        <v>Large</v>
      </c>
      <c r="K6972" s="36">
        <v>45573</v>
      </c>
      <c r="L6972" s="36">
        <v>45577</v>
      </c>
      <c r="M6972" t="s">
        <v>612</v>
      </c>
      <c r="N6972" t="s">
        <v>604</v>
      </c>
      <c r="O6972" s="37" t="str">
        <f t="shared" si="543"/>
        <v>Digital Payment</v>
      </c>
      <c r="P6972">
        <v>89.67</v>
      </c>
      <c r="Q6972" s="37" t="str">
        <f>IF(P6972&gt;500,"High","low")</f>
        <v>low</v>
      </c>
      <c r="R6972" s="37" t="str">
        <f t="shared" si="544"/>
        <v>AVERAGE</v>
      </c>
      <c r="S6972" t="s">
        <v>620</v>
      </c>
    </row>
    <row r="6973" spans="1:19" x14ac:dyDescent="0.2">
      <c r="A6973" t="s">
        <v>7584</v>
      </c>
      <c r="B6973" t="s">
        <v>67</v>
      </c>
      <c r="C6973" t="s">
        <v>617</v>
      </c>
      <c r="D6973">
        <v>1759.24</v>
      </c>
      <c r="E6973" s="37" t="str">
        <f t="shared" si="540"/>
        <v xml:space="preserve"> </v>
      </c>
      <c r="F6973">
        <v>0.45</v>
      </c>
      <c r="G6973" s="37" t="str">
        <f t="shared" si="541"/>
        <v>Heavy Discount</v>
      </c>
      <c r="H6973" s="37" t="str">
        <f t="shared" si="542"/>
        <v>High</v>
      </c>
      <c r="I6973">
        <v>9</v>
      </c>
      <c r="J6973" t="str" cm="1">
        <f t="array" ref="J6973">_xlfn.IFS(I6973&lt;=3,"small",I6973&lt;=6,"Medium",I6973&lt;=9,"Large")</f>
        <v>Large</v>
      </c>
      <c r="K6973" s="36">
        <v>45382</v>
      </c>
      <c r="L6973" s="36">
        <v>45384</v>
      </c>
      <c r="M6973" t="s">
        <v>612</v>
      </c>
      <c r="N6973" t="s">
        <v>604</v>
      </c>
      <c r="O6973" s="37" t="str">
        <f t="shared" si="543"/>
        <v>Digital Payment</v>
      </c>
      <c r="P6973">
        <v>367.62</v>
      </c>
      <c r="Q6973" s="37" t="str">
        <f>IF(P6973&gt;500,"High","low")</f>
        <v>low</v>
      </c>
      <c r="R6973" s="37" t="str">
        <f t="shared" si="544"/>
        <v>AVERAGE</v>
      </c>
      <c r="S6973" t="s">
        <v>600</v>
      </c>
    </row>
    <row r="6974" spans="1:19" x14ac:dyDescent="0.2">
      <c r="A6974" t="s">
        <v>7585</v>
      </c>
      <c r="B6974" t="s">
        <v>67</v>
      </c>
      <c r="C6974" t="s">
        <v>617</v>
      </c>
      <c r="D6974">
        <v>3808.38</v>
      </c>
      <c r="E6974" s="37" t="str">
        <f t="shared" si="540"/>
        <v xml:space="preserve"> </v>
      </c>
      <c r="F6974">
        <v>0.14000000000000001</v>
      </c>
      <c r="G6974" s="37" t="str">
        <f t="shared" si="541"/>
        <v>Normal Discount</v>
      </c>
      <c r="H6974" s="37" t="str">
        <f t="shared" si="542"/>
        <v>Low</v>
      </c>
      <c r="I6974">
        <v>9</v>
      </c>
      <c r="J6974" t="str" cm="1">
        <f t="array" ref="J6974">_xlfn.IFS(I6974&lt;=3,"small",I6974&lt;=6,"Medium",I6974&lt;=9,"Large")</f>
        <v>Large</v>
      </c>
      <c r="K6974" s="36">
        <v>45539</v>
      </c>
      <c r="L6974" s="36">
        <v>45546</v>
      </c>
      <c r="M6974" t="s">
        <v>612</v>
      </c>
      <c r="N6974" t="s">
        <v>604</v>
      </c>
      <c r="O6974" s="37" t="str">
        <f t="shared" si="543"/>
        <v>Digital Payment</v>
      </c>
      <c r="P6974">
        <v>1023.12</v>
      </c>
      <c r="Q6974" s="37" t="str">
        <f>IF(P6974&gt;500,"High","low")</f>
        <v>High</v>
      </c>
      <c r="R6974" s="37" t="str">
        <f t="shared" si="544"/>
        <v>Excellent</v>
      </c>
      <c r="S6974" t="s">
        <v>628</v>
      </c>
    </row>
    <row r="6975" spans="1:19" x14ac:dyDescent="0.2">
      <c r="A6975" t="s">
        <v>7586</v>
      </c>
      <c r="B6975" t="s">
        <v>90</v>
      </c>
      <c r="C6975" t="s">
        <v>607</v>
      </c>
      <c r="D6975">
        <v>425.6</v>
      </c>
      <c r="E6975" s="37" t="str">
        <f t="shared" si="540"/>
        <v xml:space="preserve"> </v>
      </c>
      <c r="F6975">
        <v>0.14000000000000001</v>
      </c>
      <c r="G6975" s="37" t="str">
        <f t="shared" si="541"/>
        <v>Normal Discount</v>
      </c>
      <c r="H6975" s="37" t="str">
        <f t="shared" si="542"/>
        <v>Low</v>
      </c>
      <c r="I6975">
        <v>1</v>
      </c>
      <c r="J6975" t="str" cm="1">
        <f t="array" ref="J6975">_xlfn.IFS(I6975&lt;=3,"small",I6975&lt;=6,"Medium",I6975&lt;=9,"Large")</f>
        <v>small</v>
      </c>
      <c r="K6975" s="36">
        <v>45554</v>
      </c>
      <c r="L6975" s="36">
        <v>45556</v>
      </c>
      <c r="M6975" t="s">
        <v>603</v>
      </c>
      <c r="N6975" t="s">
        <v>608</v>
      </c>
      <c r="O6975" s="37" t="str">
        <f t="shared" si="543"/>
        <v>Cash Payment</v>
      </c>
      <c r="P6975">
        <v>34.85</v>
      </c>
      <c r="Q6975" s="37" t="str">
        <f>IF(P6975&gt;500,"High","low")</f>
        <v>low</v>
      </c>
      <c r="R6975" s="37" t="str">
        <f t="shared" si="544"/>
        <v>AVERAGE</v>
      </c>
      <c r="S6975" t="s">
        <v>620</v>
      </c>
    </row>
    <row r="6976" spans="1:19" x14ac:dyDescent="0.2">
      <c r="A6976" t="s">
        <v>7587</v>
      </c>
      <c r="B6976" t="s">
        <v>83</v>
      </c>
      <c r="C6976" t="s">
        <v>614</v>
      </c>
      <c r="D6976">
        <v>1446.3</v>
      </c>
      <c r="E6976" s="37" t="str">
        <f t="shared" si="540"/>
        <v xml:space="preserve"> </v>
      </c>
      <c r="F6976">
        <v>0.21</v>
      </c>
      <c r="G6976" s="37" t="str">
        <f t="shared" si="541"/>
        <v>Normal Discount</v>
      </c>
      <c r="H6976" s="37" t="str">
        <f t="shared" si="542"/>
        <v>Medium</v>
      </c>
      <c r="I6976">
        <v>5</v>
      </c>
      <c r="J6976" t="str" cm="1">
        <f t="array" ref="J6976">_xlfn.IFS(I6976&lt;=3,"small",I6976&lt;=6,"Medium",I6976&lt;=9,"Large")</f>
        <v>Medium</v>
      </c>
      <c r="K6976" s="36">
        <v>45045</v>
      </c>
      <c r="L6976" s="36">
        <v>45048</v>
      </c>
      <c r="M6976" t="s">
        <v>598</v>
      </c>
      <c r="N6976" t="s">
        <v>608</v>
      </c>
      <c r="O6976" s="37" t="str">
        <f t="shared" si="543"/>
        <v>Cash Payment</v>
      </c>
      <c r="P6976">
        <v>326.04000000000002</v>
      </c>
      <c r="Q6976" s="37" t="str">
        <f>IF(P6976&gt;500,"High","low")</f>
        <v>low</v>
      </c>
      <c r="R6976" s="37" t="str">
        <f t="shared" si="544"/>
        <v>AVERAGE</v>
      </c>
      <c r="S6976" t="s">
        <v>605</v>
      </c>
    </row>
    <row r="6977" spans="1:19" x14ac:dyDescent="0.2">
      <c r="A6977" t="s">
        <v>7588</v>
      </c>
      <c r="B6977" t="s">
        <v>67</v>
      </c>
      <c r="C6977" t="s">
        <v>602</v>
      </c>
      <c r="D6977">
        <v>849.88</v>
      </c>
      <c r="E6977" s="37" t="str">
        <f t="shared" si="540"/>
        <v xml:space="preserve"> </v>
      </c>
      <c r="F6977">
        <v>0.26</v>
      </c>
      <c r="G6977" s="37" t="str">
        <f t="shared" si="541"/>
        <v>Normal Discount</v>
      </c>
      <c r="H6977" s="37" t="str">
        <f t="shared" si="542"/>
        <v>Medium</v>
      </c>
      <c r="I6977">
        <v>2</v>
      </c>
      <c r="J6977" t="str" cm="1">
        <f t="array" ref="J6977">_xlfn.IFS(I6977&lt;=3,"small",I6977&lt;=6,"Medium",I6977&lt;=9,"Large")</f>
        <v>small</v>
      </c>
      <c r="K6977" s="36">
        <v>45642</v>
      </c>
      <c r="L6977" s="36">
        <v>45649</v>
      </c>
      <c r="M6977" t="s">
        <v>612</v>
      </c>
      <c r="N6977" t="s">
        <v>604</v>
      </c>
      <c r="O6977" s="37" t="str">
        <f t="shared" si="543"/>
        <v>Digital Payment</v>
      </c>
      <c r="P6977">
        <v>99.14</v>
      </c>
      <c r="Q6977" s="37" t="str">
        <f>IF(P6977&gt;500,"High","low")</f>
        <v>low</v>
      </c>
      <c r="R6977" s="37" t="str">
        <f t="shared" si="544"/>
        <v>AVERAGE</v>
      </c>
      <c r="S6977" t="s">
        <v>628</v>
      </c>
    </row>
    <row r="6978" spans="1:19" x14ac:dyDescent="0.2">
      <c r="A6978" t="s">
        <v>7589</v>
      </c>
      <c r="B6978" t="s">
        <v>67</v>
      </c>
      <c r="C6978" t="s">
        <v>597</v>
      </c>
      <c r="D6978">
        <v>4728.91</v>
      </c>
      <c r="E6978" s="37" t="str">
        <f t="shared" si="540"/>
        <v xml:space="preserve"> </v>
      </c>
      <c r="F6978">
        <v>0.21</v>
      </c>
      <c r="G6978" s="37" t="str">
        <f t="shared" si="541"/>
        <v>Normal Discount</v>
      </c>
      <c r="H6978" s="37" t="str">
        <f t="shared" si="542"/>
        <v>Medium</v>
      </c>
      <c r="I6978">
        <v>6</v>
      </c>
      <c r="J6978" t="str" cm="1">
        <f t="array" ref="J6978">_xlfn.IFS(I6978&lt;=3,"small",I6978&lt;=6,"Medium",I6978&lt;=9,"Large")</f>
        <v>Medium</v>
      </c>
      <c r="K6978" s="36">
        <v>44980</v>
      </c>
      <c r="L6978" s="36">
        <v>44981</v>
      </c>
      <c r="M6978" t="s">
        <v>603</v>
      </c>
      <c r="N6978" t="s">
        <v>599</v>
      </c>
      <c r="O6978" s="37" t="str">
        <f t="shared" si="543"/>
        <v>Digital Payment</v>
      </c>
      <c r="P6978">
        <v>751.43</v>
      </c>
      <c r="Q6978" s="37" t="str">
        <f>IF(P6978&gt;500,"High","low")</f>
        <v>High</v>
      </c>
      <c r="R6978" s="37" t="str">
        <f t="shared" si="544"/>
        <v>Good</v>
      </c>
      <c r="S6978" t="s">
        <v>605</v>
      </c>
    </row>
    <row r="6979" spans="1:19" x14ac:dyDescent="0.2">
      <c r="A6979" t="s">
        <v>7590</v>
      </c>
      <c r="B6979" t="s">
        <v>75</v>
      </c>
      <c r="C6979" t="s">
        <v>602</v>
      </c>
      <c r="D6979">
        <v>541.46</v>
      </c>
      <c r="E6979" s="37" t="str">
        <f t="shared" ref="E6979:E7042" si="545">IF(AND(D6979&gt;4000,P6979&gt;800),"Excellent Order"," ")</f>
        <v xml:space="preserve"> </v>
      </c>
      <c r="F6979">
        <v>0.43</v>
      </c>
      <c r="G6979" s="37" t="str">
        <f t="shared" ref="G6979:G7042" si="546">IF(F6979&gt;30%,"Heavy Discount","Normal Discount")</f>
        <v>Heavy Discount</v>
      </c>
      <c r="H6979" s="37" t="str">
        <f t="shared" ref="H6979:H7042" si="547">IF(F6979&gt;0.4,"High",IF(F6979&gt;=0.2,"Medium","Low"))</f>
        <v>High</v>
      </c>
      <c r="I6979">
        <v>2</v>
      </c>
      <c r="J6979" t="str" cm="1">
        <f t="array" ref="J6979">_xlfn.IFS(I6979&lt;=3,"small",I6979&lt;=6,"Medium",I6979&lt;=9,"Large")</f>
        <v>small</v>
      </c>
      <c r="K6979" s="36">
        <v>45466</v>
      </c>
      <c r="L6979" s="36">
        <v>45471</v>
      </c>
      <c r="M6979" t="s">
        <v>612</v>
      </c>
      <c r="N6979" t="s">
        <v>599</v>
      </c>
      <c r="O6979" s="37" t="str">
        <f t="shared" ref="O6979:O7042" si="548">IF(OR(N6979="Card",N6979="UPI"),"Digital Payment","Cash Payment")</f>
        <v>Digital Payment</v>
      </c>
      <c r="P6979">
        <v>72.25</v>
      </c>
      <c r="Q6979" s="37" t="str">
        <f>IF(P6979&gt;500,"High","low")</f>
        <v>low</v>
      </c>
      <c r="R6979" s="37" t="str">
        <f t="shared" ref="R6979:R7042" si="549">IF(P6979&gt;1000,"Excellent",IF(P6979&gt;=500,"Good","AVERAGE"))</f>
        <v>AVERAGE</v>
      </c>
      <c r="S6979" t="s">
        <v>609</v>
      </c>
    </row>
    <row r="6980" spans="1:19" x14ac:dyDescent="0.2">
      <c r="A6980" t="s">
        <v>7591</v>
      </c>
      <c r="B6980" t="s">
        <v>67</v>
      </c>
      <c r="C6980" t="s">
        <v>614</v>
      </c>
      <c r="D6980">
        <v>3815.1</v>
      </c>
      <c r="E6980" s="37" t="str">
        <f t="shared" si="545"/>
        <v xml:space="preserve"> </v>
      </c>
      <c r="F6980">
        <v>0.4</v>
      </c>
      <c r="G6980" s="37" t="str">
        <f t="shared" si="546"/>
        <v>Heavy Discount</v>
      </c>
      <c r="H6980" s="37" t="str">
        <f t="shared" si="547"/>
        <v>Medium</v>
      </c>
      <c r="I6980">
        <v>6</v>
      </c>
      <c r="J6980" t="str" cm="1">
        <f t="array" ref="J6980">_xlfn.IFS(I6980&lt;=3,"small",I6980&lt;=6,"Medium",I6980&lt;=9,"Large")</f>
        <v>Medium</v>
      </c>
      <c r="K6980" s="36">
        <v>45310</v>
      </c>
      <c r="L6980" s="36">
        <v>45314</v>
      </c>
      <c r="M6980" t="s">
        <v>603</v>
      </c>
      <c r="N6980" t="s">
        <v>599</v>
      </c>
      <c r="O6980" s="37" t="str">
        <f t="shared" si="548"/>
        <v>Digital Payment</v>
      </c>
      <c r="P6980">
        <v>1055.3800000000001</v>
      </c>
      <c r="Q6980" s="37" t="str">
        <f>IF(P6980&gt;500,"High","low")</f>
        <v>High</v>
      </c>
      <c r="R6980" s="37" t="str">
        <f t="shared" si="549"/>
        <v>Excellent</v>
      </c>
      <c r="S6980" t="s">
        <v>615</v>
      </c>
    </row>
    <row r="6981" spans="1:19" x14ac:dyDescent="0.2">
      <c r="A6981" t="s">
        <v>7592</v>
      </c>
      <c r="B6981" t="s">
        <v>83</v>
      </c>
      <c r="C6981" t="s">
        <v>614</v>
      </c>
      <c r="D6981">
        <v>3189.09</v>
      </c>
      <c r="E6981" s="37" t="str">
        <f t="shared" si="545"/>
        <v xml:space="preserve"> </v>
      </c>
      <c r="F6981">
        <v>0.15</v>
      </c>
      <c r="G6981" s="37" t="str">
        <f t="shared" si="546"/>
        <v>Normal Discount</v>
      </c>
      <c r="H6981" s="37" t="str">
        <f t="shared" si="547"/>
        <v>Low</v>
      </c>
      <c r="I6981">
        <v>7</v>
      </c>
      <c r="J6981" t="str" cm="1">
        <f t="array" ref="J6981">_xlfn.IFS(I6981&lt;=3,"small",I6981&lt;=6,"Medium",I6981&lt;=9,"Large")</f>
        <v>Large</v>
      </c>
      <c r="K6981" s="36">
        <v>45376</v>
      </c>
      <c r="L6981" s="36">
        <v>45378</v>
      </c>
      <c r="M6981" t="s">
        <v>598</v>
      </c>
      <c r="N6981" t="s">
        <v>608</v>
      </c>
      <c r="O6981" s="37" t="str">
        <f t="shared" si="548"/>
        <v>Cash Payment</v>
      </c>
      <c r="P6981">
        <v>398.58</v>
      </c>
      <c r="Q6981" s="37" t="str">
        <f>IF(P6981&gt;500,"High","low")</f>
        <v>low</v>
      </c>
      <c r="R6981" s="37" t="str">
        <f t="shared" si="549"/>
        <v>AVERAGE</v>
      </c>
      <c r="S6981" t="s">
        <v>615</v>
      </c>
    </row>
    <row r="6982" spans="1:19" x14ac:dyDescent="0.2">
      <c r="A6982" t="s">
        <v>7593</v>
      </c>
      <c r="B6982" t="s">
        <v>83</v>
      </c>
      <c r="C6982" t="s">
        <v>617</v>
      </c>
      <c r="D6982">
        <v>3200.74</v>
      </c>
      <c r="E6982" s="37" t="str">
        <f t="shared" si="545"/>
        <v xml:space="preserve"> </v>
      </c>
      <c r="F6982">
        <v>0.26</v>
      </c>
      <c r="G6982" s="37" t="str">
        <f t="shared" si="546"/>
        <v>Normal Discount</v>
      </c>
      <c r="H6982" s="37" t="str">
        <f t="shared" si="547"/>
        <v>Medium</v>
      </c>
      <c r="I6982">
        <v>6</v>
      </c>
      <c r="J6982" t="str" cm="1">
        <f t="array" ref="J6982">_xlfn.IFS(I6982&lt;=3,"small",I6982&lt;=6,"Medium",I6982&lt;=9,"Large")</f>
        <v>Medium</v>
      </c>
      <c r="K6982" s="36">
        <v>45166</v>
      </c>
      <c r="L6982" s="36">
        <v>45169</v>
      </c>
      <c r="M6982" t="s">
        <v>598</v>
      </c>
      <c r="N6982" t="s">
        <v>608</v>
      </c>
      <c r="O6982" s="37" t="str">
        <f t="shared" si="548"/>
        <v>Cash Payment</v>
      </c>
      <c r="P6982">
        <v>927.92</v>
      </c>
      <c r="Q6982" s="37" t="str">
        <f>IF(P6982&gt;500,"High","low")</f>
        <v>High</v>
      </c>
      <c r="R6982" s="37" t="str">
        <f t="shared" si="549"/>
        <v>Good</v>
      </c>
      <c r="S6982" t="s">
        <v>628</v>
      </c>
    </row>
    <row r="6983" spans="1:19" x14ac:dyDescent="0.2">
      <c r="A6983" t="s">
        <v>7594</v>
      </c>
      <c r="B6983" t="s">
        <v>75</v>
      </c>
      <c r="C6983" t="s">
        <v>602</v>
      </c>
      <c r="D6983">
        <v>3840.82</v>
      </c>
      <c r="E6983" s="37" t="str">
        <f t="shared" si="545"/>
        <v xml:space="preserve"> </v>
      </c>
      <c r="F6983">
        <v>0.22</v>
      </c>
      <c r="G6983" s="37" t="str">
        <f t="shared" si="546"/>
        <v>Normal Discount</v>
      </c>
      <c r="H6983" s="37" t="str">
        <f t="shared" si="547"/>
        <v>Medium</v>
      </c>
      <c r="I6983">
        <v>1</v>
      </c>
      <c r="J6983" t="str" cm="1">
        <f t="array" ref="J6983">_xlfn.IFS(I6983&lt;=3,"small",I6983&lt;=6,"Medium",I6983&lt;=9,"Large")</f>
        <v>small</v>
      </c>
      <c r="K6983" s="36">
        <v>45182</v>
      </c>
      <c r="L6983" s="36">
        <v>45184</v>
      </c>
      <c r="M6983" t="s">
        <v>612</v>
      </c>
      <c r="N6983" t="s">
        <v>599</v>
      </c>
      <c r="O6983" s="37" t="str">
        <f t="shared" si="548"/>
        <v>Digital Payment</v>
      </c>
      <c r="P6983">
        <v>302.67</v>
      </c>
      <c r="Q6983" s="37" t="str">
        <f>IF(P6983&gt;500,"High","low")</f>
        <v>low</v>
      </c>
      <c r="R6983" s="37" t="str">
        <f t="shared" si="549"/>
        <v>AVERAGE</v>
      </c>
      <c r="S6983" t="s">
        <v>605</v>
      </c>
    </row>
    <row r="6984" spans="1:19" x14ac:dyDescent="0.2">
      <c r="A6984" t="s">
        <v>7595</v>
      </c>
      <c r="B6984" t="s">
        <v>67</v>
      </c>
      <c r="C6984" t="s">
        <v>614</v>
      </c>
      <c r="D6984">
        <v>2062.39</v>
      </c>
      <c r="E6984" s="37" t="str">
        <f t="shared" si="545"/>
        <v xml:space="preserve"> </v>
      </c>
      <c r="F6984">
        <v>0.03</v>
      </c>
      <c r="G6984" s="37" t="str">
        <f t="shared" si="546"/>
        <v>Normal Discount</v>
      </c>
      <c r="H6984" s="37" t="str">
        <f t="shared" si="547"/>
        <v>Low</v>
      </c>
      <c r="I6984">
        <v>4</v>
      </c>
      <c r="J6984" t="str" cm="1">
        <f t="array" ref="J6984">_xlfn.IFS(I6984&lt;=3,"small",I6984&lt;=6,"Medium",I6984&lt;=9,"Large")</f>
        <v>Medium</v>
      </c>
      <c r="K6984" s="36">
        <v>45082</v>
      </c>
      <c r="L6984" s="36">
        <v>45086</v>
      </c>
      <c r="M6984" t="s">
        <v>598</v>
      </c>
      <c r="N6984" t="s">
        <v>599</v>
      </c>
      <c r="O6984" s="37" t="str">
        <f t="shared" si="548"/>
        <v>Digital Payment</v>
      </c>
      <c r="P6984">
        <v>579.07000000000005</v>
      </c>
      <c r="Q6984" s="37" t="str">
        <f>IF(P6984&gt;500,"High","low")</f>
        <v>High</v>
      </c>
      <c r="R6984" s="37" t="str">
        <f t="shared" si="549"/>
        <v>Good</v>
      </c>
      <c r="S6984" t="s">
        <v>600</v>
      </c>
    </row>
    <row r="6985" spans="1:19" x14ac:dyDescent="0.2">
      <c r="A6985" t="s">
        <v>7596</v>
      </c>
      <c r="B6985" t="s">
        <v>67</v>
      </c>
      <c r="C6985" t="s">
        <v>602</v>
      </c>
      <c r="D6985">
        <v>2063.64</v>
      </c>
      <c r="E6985" s="37" t="str">
        <f t="shared" si="545"/>
        <v xml:space="preserve"> </v>
      </c>
      <c r="F6985">
        <v>0.37</v>
      </c>
      <c r="G6985" s="37" t="str">
        <f t="shared" si="546"/>
        <v>Heavy Discount</v>
      </c>
      <c r="H6985" s="37" t="str">
        <f t="shared" si="547"/>
        <v>Medium</v>
      </c>
      <c r="I6985">
        <v>3</v>
      </c>
      <c r="J6985" t="str" cm="1">
        <f t="array" ref="J6985">_xlfn.IFS(I6985&lt;=3,"small",I6985&lt;=6,"Medium",I6985&lt;=9,"Large")</f>
        <v>small</v>
      </c>
      <c r="K6985" s="36">
        <v>44951</v>
      </c>
      <c r="L6985" s="36">
        <v>44952</v>
      </c>
      <c r="M6985" t="s">
        <v>598</v>
      </c>
      <c r="N6985" t="s">
        <v>604</v>
      </c>
      <c r="O6985" s="37" t="str">
        <f t="shared" si="548"/>
        <v>Digital Payment</v>
      </c>
      <c r="P6985">
        <v>444.13</v>
      </c>
      <c r="Q6985" s="37" t="str">
        <f>IF(P6985&gt;500,"High","low")</f>
        <v>low</v>
      </c>
      <c r="R6985" s="37" t="str">
        <f t="shared" si="549"/>
        <v>AVERAGE</v>
      </c>
      <c r="S6985" t="s">
        <v>600</v>
      </c>
    </row>
    <row r="6986" spans="1:19" x14ac:dyDescent="0.2">
      <c r="A6986" t="s">
        <v>7597</v>
      </c>
      <c r="B6986" t="s">
        <v>67</v>
      </c>
      <c r="C6986" t="s">
        <v>614</v>
      </c>
      <c r="D6986">
        <v>1514.66</v>
      </c>
      <c r="E6986" s="37" t="str">
        <f t="shared" si="545"/>
        <v xml:space="preserve"> </v>
      </c>
      <c r="F6986">
        <v>0.09</v>
      </c>
      <c r="G6986" s="37" t="str">
        <f t="shared" si="546"/>
        <v>Normal Discount</v>
      </c>
      <c r="H6986" s="37" t="str">
        <f t="shared" si="547"/>
        <v>Low</v>
      </c>
      <c r="I6986">
        <v>5</v>
      </c>
      <c r="J6986" t="str" cm="1">
        <f t="array" ref="J6986">_xlfn.IFS(I6986&lt;=3,"small",I6986&lt;=6,"Medium",I6986&lt;=9,"Large")</f>
        <v>Medium</v>
      </c>
      <c r="K6986" s="36">
        <v>45180</v>
      </c>
      <c r="L6986" s="36">
        <v>45186</v>
      </c>
      <c r="M6986" t="s">
        <v>612</v>
      </c>
      <c r="N6986" t="s">
        <v>604</v>
      </c>
      <c r="O6986" s="37" t="str">
        <f t="shared" si="548"/>
        <v>Digital Payment</v>
      </c>
      <c r="P6986">
        <v>176.55</v>
      </c>
      <c r="Q6986" s="37" t="str">
        <f>IF(P6986&gt;500,"High","low")</f>
        <v>low</v>
      </c>
      <c r="R6986" s="37" t="str">
        <f t="shared" si="549"/>
        <v>AVERAGE</v>
      </c>
      <c r="S6986" t="s">
        <v>605</v>
      </c>
    </row>
    <row r="6987" spans="1:19" x14ac:dyDescent="0.2">
      <c r="A6987" t="s">
        <v>7598</v>
      </c>
      <c r="B6987" t="s">
        <v>90</v>
      </c>
      <c r="C6987" t="s">
        <v>597</v>
      </c>
      <c r="D6987">
        <v>3028.98</v>
      </c>
      <c r="E6987" s="37" t="str">
        <f t="shared" si="545"/>
        <v xml:space="preserve"> </v>
      </c>
      <c r="F6987">
        <v>0.47</v>
      </c>
      <c r="G6987" s="37" t="str">
        <f t="shared" si="546"/>
        <v>Heavy Discount</v>
      </c>
      <c r="H6987" s="37" t="str">
        <f t="shared" si="547"/>
        <v>High</v>
      </c>
      <c r="I6987">
        <v>7</v>
      </c>
      <c r="J6987" t="str" cm="1">
        <f t="array" ref="J6987">_xlfn.IFS(I6987&lt;=3,"small",I6987&lt;=6,"Medium",I6987&lt;=9,"Large")</f>
        <v>Large</v>
      </c>
      <c r="K6987" s="36">
        <v>45025</v>
      </c>
      <c r="L6987" s="36">
        <v>45030</v>
      </c>
      <c r="M6987" t="s">
        <v>612</v>
      </c>
      <c r="N6987" t="s">
        <v>599</v>
      </c>
      <c r="O6987" s="37" t="str">
        <f t="shared" si="548"/>
        <v>Digital Payment</v>
      </c>
      <c r="P6987">
        <v>171.07</v>
      </c>
      <c r="Q6987" s="37" t="str">
        <f>IF(P6987&gt;500,"High","low")</f>
        <v>low</v>
      </c>
      <c r="R6987" s="37" t="str">
        <f t="shared" si="549"/>
        <v>AVERAGE</v>
      </c>
      <c r="S6987" t="s">
        <v>609</v>
      </c>
    </row>
    <row r="6988" spans="1:19" x14ac:dyDescent="0.2">
      <c r="A6988" t="s">
        <v>7599</v>
      </c>
      <c r="B6988" t="s">
        <v>67</v>
      </c>
      <c r="C6988" t="s">
        <v>614</v>
      </c>
      <c r="D6988">
        <v>4656.05</v>
      </c>
      <c r="E6988" s="37" t="str">
        <f t="shared" si="545"/>
        <v xml:space="preserve"> </v>
      </c>
      <c r="F6988">
        <v>0.2</v>
      </c>
      <c r="G6988" s="37" t="str">
        <f t="shared" si="546"/>
        <v>Normal Discount</v>
      </c>
      <c r="H6988" s="37" t="str">
        <f t="shared" si="547"/>
        <v>Medium</v>
      </c>
      <c r="I6988">
        <v>3</v>
      </c>
      <c r="J6988" t="str" cm="1">
        <f t="array" ref="J6988">_xlfn.IFS(I6988&lt;=3,"small",I6988&lt;=6,"Medium",I6988&lt;=9,"Large")</f>
        <v>small</v>
      </c>
      <c r="K6988" s="36">
        <v>45645</v>
      </c>
      <c r="L6988" s="36">
        <v>45648</v>
      </c>
      <c r="M6988" t="s">
        <v>603</v>
      </c>
      <c r="N6988" t="s">
        <v>599</v>
      </c>
      <c r="O6988" s="37" t="str">
        <f t="shared" si="548"/>
        <v>Digital Payment</v>
      </c>
      <c r="P6988">
        <v>407.98</v>
      </c>
      <c r="Q6988" s="37" t="str">
        <f>IF(P6988&gt;500,"High","low")</f>
        <v>low</v>
      </c>
      <c r="R6988" s="37" t="str">
        <f t="shared" si="549"/>
        <v>AVERAGE</v>
      </c>
      <c r="S6988" t="s">
        <v>609</v>
      </c>
    </row>
    <row r="6989" spans="1:19" x14ac:dyDescent="0.2">
      <c r="A6989" t="s">
        <v>7600</v>
      </c>
      <c r="B6989" t="s">
        <v>83</v>
      </c>
      <c r="C6989" t="s">
        <v>602</v>
      </c>
      <c r="D6989">
        <v>4627.5200000000004</v>
      </c>
      <c r="E6989" s="37" t="str">
        <f t="shared" si="545"/>
        <v>Excellent Order</v>
      </c>
      <c r="F6989">
        <v>0.31</v>
      </c>
      <c r="G6989" s="37" t="str">
        <f t="shared" si="546"/>
        <v>Heavy Discount</v>
      </c>
      <c r="H6989" s="37" t="str">
        <f t="shared" si="547"/>
        <v>Medium</v>
      </c>
      <c r="I6989">
        <v>1</v>
      </c>
      <c r="J6989" t="str" cm="1">
        <f t="array" ref="J6989">_xlfn.IFS(I6989&lt;=3,"small",I6989&lt;=6,"Medium",I6989&lt;=9,"Large")</f>
        <v>small</v>
      </c>
      <c r="K6989" s="36">
        <v>45615</v>
      </c>
      <c r="L6989" s="36">
        <v>45619</v>
      </c>
      <c r="M6989" t="s">
        <v>603</v>
      </c>
      <c r="N6989" t="s">
        <v>599</v>
      </c>
      <c r="O6989" s="37" t="str">
        <f t="shared" si="548"/>
        <v>Digital Payment</v>
      </c>
      <c r="P6989">
        <v>1307.76</v>
      </c>
      <c r="Q6989" s="37" t="str">
        <f>IF(P6989&gt;500,"High","low")</f>
        <v>High</v>
      </c>
      <c r="R6989" s="37" t="str">
        <f t="shared" si="549"/>
        <v>Excellent</v>
      </c>
      <c r="S6989" t="s">
        <v>600</v>
      </c>
    </row>
    <row r="6990" spans="1:19" x14ac:dyDescent="0.2">
      <c r="A6990" t="s">
        <v>7601</v>
      </c>
      <c r="B6990" t="s">
        <v>83</v>
      </c>
      <c r="C6990" t="s">
        <v>617</v>
      </c>
      <c r="D6990">
        <v>3544.51</v>
      </c>
      <c r="E6990" s="37" t="str">
        <f t="shared" si="545"/>
        <v xml:space="preserve"> </v>
      </c>
      <c r="F6990">
        <v>0.41</v>
      </c>
      <c r="G6990" s="37" t="str">
        <f t="shared" si="546"/>
        <v>Heavy Discount</v>
      </c>
      <c r="H6990" s="37" t="str">
        <f t="shared" si="547"/>
        <v>High</v>
      </c>
      <c r="I6990">
        <v>9</v>
      </c>
      <c r="J6990" t="str" cm="1">
        <f t="array" ref="J6990">_xlfn.IFS(I6990&lt;=3,"small",I6990&lt;=6,"Medium",I6990&lt;=9,"Large")</f>
        <v>Large</v>
      </c>
      <c r="K6990" s="36">
        <v>45306</v>
      </c>
      <c r="L6990" s="36">
        <v>45310</v>
      </c>
      <c r="M6990" t="s">
        <v>603</v>
      </c>
      <c r="N6990" t="s">
        <v>608</v>
      </c>
      <c r="O6990" s="37" t="str">
        <f t="shared" si="548"/>
        <v>Cash Payment</v>
      </c>
      <c r="P6990">
        <v>619.26</v>
      </c>
      <c r="Q6990" s="37" t="str">
        <f>IF(P6990&gt;500,"High","low")</f>
        <v>High</v>
      </c>
      <c r="R6990" s="37" t="str">
        <f t="shared" si="549"/>
        <v>Good</v>
      </c>
      <c r="S6990" t="s">
        <v>605</v>
      </c>
    </row>
    <row r="6991" spans="1:19" x14ac:dyDescent="0.2">
      <c r="A6991" t="s">
        <v>7602</v>
      </c>
      <c r="B6991" t="s">
        <v>90</v>
      </c>
      <c r="C6991" t="s">
        <v>602</v>
      </c>
      <c r="D6991">
        <v>4540.3100000000004</v>
      </c>
      <c r="E6991" s="37" t="str">
        <f t="shared" si="545"/>
        <v>Excellent Order</v>
      </c>
      <c r="F6991">
        <v>0.09</v>
      </c>
      <c r="G6991" s="37" t="str">
        <f t="shared" si="546"/>
        <v>Normal Discount</v>
      </c>
      <c r="H6991" s="37" t="str">
        <f t="shared" si="547"/>
        <v>Low</v>
      </c>
      <c r="I6991">
        <v>6</v>
      </c>
      <c r="J6991" t="str" cm="1">
        <f t="array" ref="J6991">_xlfn.IFS(I6991&lt;=3,"small",I6991&lt;=6,"Medium",I6991&lt;=9,"Large")</f>
        <v>Medium</v>
      </c>
      <c r="K6991" s="36">
        <v>45153</v>
      </c>
      <c r="L6991" s="36">
        <v>45160</v>
      </c>
      <c r="M6991" t="s">
        <v>598</v>
      </c>
      <c r="N6991" t="s">
        <v>608</v>
      </c>
      <c r="O6991" s="37" t="str">
        <f t="shared" si="548"/>
        <v>Cash Payment</v>
      </c>
      <c r="P6991">
        <v>882.14</v>
      </c>
      <c r="Q6991" s="37" t="str">
        <f>IF(P6991&gt;500,"High","low")</f>
        <v>High</v>
      </c>
      <c r="R6991" s="37" t="str">
        <f t="shared" si="549"/>
        <v>Good</v>
      </c>
      <c r="S6991" t="s">
        <v>609</v>
      </c>
    </row>
    <row r="6992" spans="1:19" x14ac:dyDescent="0.2">
      <c r="A6992" t="s">
        <v>7603</v>
      </c>
      <c r="B6992" t="s">
        <v>90</v>
      </c>
      <c r="C6992" t="s">
        <v>607</v>
      </c>
      <c r="D6992">
        <v>4821.24</v>
      </c>
      <c r="E6992" s="37" t="str">
        <f t="shared" si="545"/>
        <v>Excellent Order</v>
      </c>
      <c r="F6992">
        <v>0.27</v>
      </c>
      <c r="G6992" s="37" t="str">
        <f t="shared" si="546"/>
        <v>Normal Discount</v>
      </c>
      <c r="H6992" s="37" t="str">
        <f t="shared" si="547"/>
        <v>Medium</v>
      </c>
      <c r="I6992">
        <v>6</v>
      </c>
      <c r="J6992" t="str" cm="1">
        <f t="array" ref="J6992">_xlfn.IFS(I6992&lt;=3,"small",I6992&lt;=6,"Medium",I6992&lt;=9,"Large")</f>
        <v>Medium</v>
      </c>
      <c r="K6992" s="36">
        <v>45500</v>
      </c>
      <c r="L6992" s="36">
        <v>45507</v>
      </c>
      <c r="M6992" t="s">
        <v>603</v>
      </c>
      <c r="N6992" t="s">
        <v>599</v>
      </c>
      <c r="O6992" s="37" t="str">
        <f t="shared" si="548"/>
        <v>Digital Payment</v>
      </c>
      <c r="P6992">
        <v>1240.4100000000001</v>
      </c>
      <c r="Q6992" s="37" t="str">
        <f>IF(P6992&gt;500,"High","low")</f>
        <v>High</v>
      </c>
      <c r="R6992" s="37" t="str">
        <f t="shared" si="549"/>
        <v>Excellent</v>
      </c>
      <c r="S6992" t="s">
        <v>628</v>
      </c>
    </row>
    <row r="6993" spans="1:19" x14ac:dyDescent="0.2">
      <c r="A6993" t="s">
        <v>7604</v>
      </c>
      <c r="B6993" t="s">
        <v>67</v>
      </c>
      <c r="C6993" t="s">
        <v>602</v>
      </c>
      <c r="D6993">
        <v>3996.01</v>
      </c>
      <c r="E6993" s="37" t="str">
        <f t="shared" si="545"/>
        <v xml:space="preserve"> </v>
      </c>
      <c r="F6993">
        <v>0.12</v>
      </c>
      <c r="G6993" s="37" t="str">
        <f t="shared" si="546"/>
        <v>Normal Discount</v>
      </c>
      <c r="H6993" s="37" t="str">
        <f t="shared" si="547"/>
        <v>Low</v>
      </c>
      <c r="I6993">
        <v>4</v>
      </c>
      <c r="J6993" t="str" cm="1">
        <f t="array" ref="J6993">_xlfn.IFS(I6993&lt;=3,"small",I6993&lt;=6,"Medium",I6993&lt;=9,"Large")</f>
        <v>Medium</v>
      </c>
      <c r="K6993" s="36">
        <v>45343</v>
      </c>
      <c r="L6993" s="36">
        <v>45350</v>
      </c>
      <c r="M6993" t="s">
        <v>598</v>
      </c>
      <c r="N6993" t="s">
        <v>608</v>
      </c>
      <c r="O6993" s="37" t="str">
        <f t="shared" si="548"/>
        <v>Cash Payment</v>
      </c>
      <c r="P6993">
        <v>823.26</v>
      </c>
      <c r="Q6993" s="37" t="str">
        <f>IF(P6993&gt;500,"High","low")</f>
        <v>High</v>
      </c>
      <c r="R6993" s="37" t="str">
        <f t="shared" si="549"/>
        <v>Good</v>
      </c>
      <c r="S6993" t="s">
        <v>628</v>
      </c>
    </row>
    <row r="6994" spans="1:19" x14ac:dyDescent="0.2">
      <c r="A6994" t="s">
        <v>7605</v>
      </c>
      <c r="B6994" t="s">
        <v>75</v>
      </c>
      <c r="C6994" t="s">
        <v>597</v>
      </c>
      <c r="D6994">
        <v>2098.38</v>
      </c>
      <c r="E6994" s="37" t="str">
        <f t="shared" si="545"/>
        <v xml:space="preserve"> </v>
      </c>
      <c r="F6994">
        <v>0.25</v>
      </c>
      <c r="G6994" s="37" t="str">
        <f t="shared" si="546"/>
        <v>Normal Discount</v>
      </c>
      <c r="H6994" s="37" t="str">
        <f t="shared" si="547"/>
        <v>Medium</v>
      </c>
      <c r="I6994">
        <v>1</v>
      </c>
      <c r="J6994" t="str" cm="1">
        <f t="array" ref="J6994">_xlfn.IFS(I6994&lt;=3,"small",I6994&lt;=6,"Medium",I6994&lt;=9,"Large")</f>
        <v>small</v>
      </c>
      <c r="K6994" s="36">
        <v>45418</v>
      </c>
      <c r="L6994" s="36">
        <v>45420</v>
      </c>
      <c r="M6994" t="s">
        <v>603</v>
      </c>
      <c r="N6994" t="s">
        <v>608</v>
      </c>
      <c r="O6994" s="37" t="str">
        <f t="shared" si="548"/>
        <v>Cash Payment</v>
      </c>
      <c r="P6994">
        <v>210.23</v>
      </c>
      <c r="Q6994" s="37" t="str">
        <f>IF(P6994&gt;500,"High","low")</f>
        <v>low</v>
      </c>
      <c r="R6994" s="37" t="str">
        <f t="shared" si="549"/>
        <v>AVERAGE</v>
      </c>
      <c r="S6994" t="s">
        <v>605</v>
      </c>
    </row>
    <row r="6995" spans="1:19" x14ac:dyDescent="0.2">
      <c r="A6995" t="s">
        <v>7606</v>
      </c>
      <c r="B6995" t="s">
        <v>90</v>
      </c>
      <c r="C6995" t="s">
        <v>597</v>
      </c>
      <c r="D6995">
        <v>2467.8000000000002</v>
      </c>
      <c r="E6995" s="37" t="str">
        <f t="shared" si="545"/>
        <v xml:space="preserve"> </v>
      </c>
      <c r="F6995">
        <v>0.28999999999999998</v>
      </c>
      <c r="G6995" s="37" t="str">
        <f t="shared" si="546"/>
        <v>Normal Discount</v>
      </c>
      <c r="H6995" s="37" t="str">
        <f t="shared" si="547"/>
        <v>Medium</v>
      </c>
      <c r="I6995">
        <v>9</v>
      </c>
      <c r="J6995" t="str" cm="1">
        <f t="array" ref="J6995">_xlfn.IFS(I6995&lt;=3,"small",I6995&lt;=6,"Medium",I6995&lt;=9,"Large")</f>
        <v>Large</v>
      </c>
      <c r="K6995" s="36">
        <v>45096</v>
      </c>
      <c r="L6995" s="36">
        <v>45099</v>
      </c>
      <c r="M6995" t="s">
        <v>598</v>
      </c>
      <c r="N6995" t="s">
        <v>608</v>
      </c>
      <c r="O6995" s="37" t="str">
        <f t="shared" si="548"/>
        <v>Cash Payment</v>
      </c>
      <c r="P6995">
        <v>476.92</v>
      </c>
      <c r="Q6995" s="37" t="str">
        <f>IF(P6995&gt;500,"High","low")</f>
        <v>low</v>
      </c>
      <c r="R6995" s="37" t="str">
        <f t="shared" si="549"/>
        <v>AVERAGE</v>
      </c>
      <c r="S6995" t="s">
        <v>605</v>
      </c>
    </row>
    <row r="6996" spans="1:19" x14ac:dyDescent="0.2">
      <c r="A6996" t="s">
        <v>7607</v>
      </c>
      <c r="B6996" t="s">
        <v>90</v>
      </c>
      <c r="C6996" t="s">
        <v>597</v>
      </c>
      <c r="D6996">
        <v>4663.16</v>
      </c>
      <c r="E6996" s="37" t="str">
        <f t="shared" si="545"/>
        <v>Excellent Order</v>
      </c>
      <c r="F6996">
        <v>0.08</v>
      </c>
      <c r="G6996" s="37" t="str">
        <f t="shared" si="546"/>
        <v>Normal Discount</v>
      </c>
      <c r="H6996" s="37" t="str">
        <f t="shared" si="547"/>
        <v>Low</v>
      </c>
      <c r="I6996">
        <v>7</v>
      </c>
      <c r="J6996" t="str" cm="1">
        <f t="array" ref="J6996">_xlfn.IFS(I6996&lt;=3,"small",I6996&lt;=6,"Medium",I6996&lt;=9,"Large")</f>
        <v>Large</v>
      </c>
      <c r="K6996" s="36">
        <v>45525</v>
      </c>
      <c r="L6996" s="36">
        <v>45530</v>
      </c>
      <c r="M6996" t="s">
        <v>603</v>
      </c>
      <c r="N6996" t="s">
        <v>599</v>
      </c>
      <c r="O6996" s="37" t="str">
        <f t="shared" si="548"/>
        <v>Digital Payment</v>
      </c>
      <c r="P6996">
        <v>997.26</v>
      </c>
      <c r="Q6996" s="37" t="str">
        <f>IF(P6996&gt;500,"High","low")</f>
        <v>High</v>
      </c>
      <c r="R6996" s="37" t="str">
        <f t="shared" si="549"/>
        <v>Good</v>
      </c>
      <c r="S6996" t="s">
        <v>620</v>
      </c>
    </row>
    <row r="6997" spans="1:19" x14ac:dyDescent="0.2">
      <c r="A6997" t="s">
        <v>7608</v>
      </c>
      <c r="B6997" t="s">
        <v>67</v>
      </c>
      <c r="C6997" t="s">
        <v>614</v>
      </c>
      <c r="D6997">
        <v>3383.04</v>
      </c>
      <c r="E6997" s="37" t="str">
        <f t="shared" si="545"/>
        <v xml:space="preserve"> </v>
      </c>
      <c r="F6997">
        <v>0.28999999999999998</v>
      </c>
      <c r="G6997" s="37" t="str">
        <f t="shared" si="546"/>
        <v>Normal Discount</v>
      </c>
      <c r="H6997" s="37" t="str">
        <f t="shared" si="547"/>
        <v>Medium</v>
      </c>
      <c r="I6997">
        <v>7</v>
      </c>
      <c r="J6997" t="str" cm="1">
        <f t="array" ref="J6997">_xlfn.IFS(I6997&lt;=3,"small",I6997&lt;=6,"Medium",I6997&lt;=9,"Large")</f>
        <v>Large</v>
      </c>
      <c r="K6997" s="36">
        <v>45465</v>
      </c>
      <c r="L6997" s="36">
        <v>45471</v>
      </c>
      <c r="M6997" t="s">
        <v>598</v>
      </c>
      <c r="N6997" t="s">
        <v>604</v>
      </c>
      <c r="O6997" s="37" t="str">
        <f t="shared" si="548"/>
        <v>Digital Payment</v>
      </c>
      <c r="P6997">
        <v>370.02</v>
      </c>
      <c r="Q6997" s="37" t="str">
        <f>IF(P6997&gt;500,"High","low")</f>
        <v>low</v>
      </c>
      <c r="R6997" s="37" t="str">
        <f t="shared" si="549"/>
        <v>AVERAGE</v>
      </c>
      <c r="S6997" t="s">
        <v>615</v>
      </c>
    </row>
    <row r="6998" spans="1:19" x14ac:dyDescent="0.2">
      <c r="A6998" t="s">
        <v>7609</v>
      </c>
      <c r="B6998" t="s">
        <v>67</v>
      </c>
      <c r="C6998" t="s">
        <v>597</v>
      </c>
      <c r="D6998">
        <v>4121.3999999999996</v>
      </c>
      <c r="E6998" s="37" t="str">
        <f t="shared" si="545"/>
        <v>Excellent Order</v>
      </c>
      <c r="F6998">
        <v>0.23</v>
      </c>
      <c r="G6998" s="37" t="str">
        <f t="shared" si="546"/>
        <v>Normal Discount</v>
      </c>
      <c r="H6998" s="37" t="str">
        <f t="shared" si="547"/>
        <v>Medium</v>
      </c>
      <c r="I6998">
        <v>7</v>
      </c>
      <c r="J6998" t="str" cm="1">
        <f t="array" ref="J6998">_xlfn.IFS(I6998&lt;=3,"small",I6998&lt;=6,"Medium",I6998&lt;=9,"Large")</f>
        <v>Large</v>
      </c>
      <c r="K6998" s="36">
        <v>45156</v>
      </c>
      <c r="L6998" s="36">
        <v>45160</v>
      </c>
      <c r="M6998" t="s">
        <v>612</v>
      </c>
      <c r="N6998" t="s">
        <v>608</v>
      </c>
      <c r="O6998" s="37" t="str">
        <f t="shared" si="548"/>
        <v>Cash Payment</v>
      </c>
      <c r="P6998">
        <v>1165.99</v>
      </c>
      <c r="Q6998" s="37" t="str">
        <f>IF(P6998&gt;500,"High","low")</f>
        <v>High</v>
      </c>
      <c r="R6998" s="37" t="str">
        <f t="shared" si="549"/>
        <v>Excellent</v>
      </c>
      <c r="S6998" t="s">
        <v>600</v>
      </c>
    </row>
    <row r="6999" spans="1:19" x14ac:dyDescent="0.2">
      <c r="A6999" t="s">
        <v>7610</v>
      </c>
      <c r="B6999" t="s">
        <v>90</v>
      </c>
      <c r="C6999" t="s">
        <v>602</v>
      </c>
      <c r="D6999">
        <v>668.96</v>
      </c>
      <c r="E6999" s="37" t="str">
        <f t="shared" si="545"/>
        <v xml:space="preserve"> </v>
      </c>
      <c r="F6999">
        <v>0.26</v>
      </c>
      <c r="G6999" s="37" t="str">
        <f t="shared" si="546"/>
        <v>Normal Discount</v>
      </c>
      <c r="H6999" s="37" t="str">
        <f t="shared" si="547"/>
        <v>Medium</v>
      </c>
      <c r="I6999">
        <v>7</v>
      </c>
      <c r="J6999" t="str" cm="1">
        <f t="array" ref="J6999">_xlfn.IFS(I6999&lt;=3,"small",I6999&lt;=6,"Medium",I6999&lt;=9,"Large")</f>
        <v>Large</v>
      </c>
      <c r="K6999" s="36">
        <v>44934</v>
      </c>
      <c r="L6999" s="36">
        <v>44939</v>
      </c>
      <c r="M6999" t="s">
        <v>598</v>
      </c>
      <c r="N6999" t="s">
        <v>599</v>
      </c>
      <c r="O6999" s="37" t="str">
        <f t="shared" si="548"/>
        <v>Digital Payment</v>
      </c>
      <c r="P6999">
        <v>63.03</v>
      </c>
      <c r="Q6999" s="37" t="str">
        <f>IF(P6999&gt;500,"High","low")</f>
        <v>low</v>
      </c>
      <c r="R6999" s="37" t="str">
        <f t="shared" si="549"/>
        <v>AVERAGE</v>
      </c>
      <c r="S6999" t="s">
        <v>605</v>
      </c>
    </row>
    <row r="7000" spans="1:19" x14ac:dyDescent="0.2">
      <c r="A7000" t="s">
        <v>7611</v>
      </c>
      <c r="B7000" t="s">
        <v>75</v>
      </c>
      <c r="C7000" t="s">
        <v>617</v>
      </c>
      <c r="D7000">
        <v>1050.1199999999999</v>
      </c>
      <c r="E7000" s="37" t="str">
        <f t="shared" si="545"/>
        <v xml:space="preserve"> </v>
      </c>
      <c r="F7000">
        <v>0.45</v>
      </c>
      <c r="G7000" s="37" t="str">
        <f t="shared" si="546"/>
        <v>Heavy Discount</v>
      </c>
      <c r="H7000" s="37" t="str">
        <f t="shared" si="547"/>
        <v>High</v>
      </c>
      <c r="I7000">
        <v>8</v>
      </c>
      <c r="J7000" t="str" cm="1">
        <f t="array" ref="J7000">_xlfn.IFS(I7000&lt;=3,"small",I7000&lt;=6,"Medium",I7000&lt;=9,"Large")</f>
        <v>Large</v>
      </c>
      <c r="K7000" s="36">
        <v>45116</v>
      </c>
      <c r="L7000" s="36">
        <v>45117</v>
      </c>
      <c r="M7000" t="s">
        <v>612</v>
      </c>
      <c r="N7000" t="s">
        <v>604</v>
      </c>
      <c r="O7000" s="37" t="str">
        <f t="shared" si="548"/>
        <v>Digital Payment</v>
      </c>
      <c r="P7000">
        <v>239.43</v>
      </c>
      <c r="Q7000" s="37" t="str">
        <f>IF(P7000&gt;500,"High","low")</f>
        <v>low</v>
      </c>
      <c r="R7000" s="37" t="str">
        <f t="shared" si="549"/>
        <v>AVERAGE</v>
      </c>
      <c r="S7000" t="s">
        <v>628</v>
      </c>
    </row>
    <row r="7001" spans="1:19" x14ac:dyDescent="0.2">
      <c r="A7001" t="s">
        <v>7612</v>
      </c>
      <c r="B7001" t="s">
        <v>90</v>
      </c>
      <c r="C7001" t="s">
        <v>597</v>
      </c>
      <c r="D7001">
        <v>1786.13</v>
      </c>
      <c r="E7001" s="37" t="str">
        <f t="shared" si="545"/>
        <v xml:space="preserve"> </v>
      </c>
      <c r="F7001">
        <v>0.24</v>
      </c>
      <c r="G7001" s="37" t="str">
        <f t="shared" si="546"/>
        <v>Normal Discount</v>
      </c>
      <c r="H7001" s="37" t="str">
        <f t="shared" si="547"/>
        <v>Medium</v>
      </c>
      <c r="I7001">
        <v>8</v>
      </c>
      <c r="J7001" t="str" cm="1">
        <f t="array" ref="J7001">_xlfn.IFS(I7001&lt;=3,"small",I7001&lt;=6,"Medium",I7001&lt;=9,"Large")</f>
        <v>Large</v>
      </c>
      <c r="K7001" s="36">
        <v>45298</v>
      </c>
      <c r="L7001" s="36">
        <v>45305</v>
      </c>
      <c r="M7001" t="s">
        <v>612</v>
      </c>
      <c r="N7001" t="s">
        <v>599</v>
      </c>
      <c r="O7001" s="37" t="str">
        <f t="shared" si="548"/>
        <v>Digital Payment</v>
      </c>
      <c r="P7001">
        <v>494.02</v>
      </c>
      <c r="Q7001" s="37" t="str">
        <f>IF(P7001&gt;500,"High","low")</f>
        <v>low</v>
      </c>
      <c r="R7001" s="37" t="str">
        <f t="shared" si="549"/>
        <v>AVERAGE</v>
      </c>
      <c r="S7001" t="s">
        <v>620</v>
      </c>
    </row>
    <row r="7002" spans="1:19" x14ac:dyDescent="0.2">
      <c r="A7002" t="s">
        <v>7613</v>
      </c>
      <c r="B7002" t="s">
        <v>67</v>
      </c>
      <c r="C7002" t="s">
        <v>602</v>
      </c>
      <c r="D7002">
        <v>1022.38</v>
      </c>
      <c r="E7002" s="37" t="str">
        <f t="shared" si="545"/>
        <v xml:space="preserve"> </v>
      </c>
      <c r="F7002">
        <v>0.24</v>
      </c>
      <c r="G7002" s="37" t="str">
        <f t="shared" si="546"/>
        <v>Normal Discount</v>
      </c>
      <c r="H7002" s="37" t="str">
        <f t="shared" si="547"/>
        <v>Medium</v>
      </c>
      <c r="I7002">
        <v>3</v>
      </c>
      <c r="J7002" t="str" cm="1">
        <f t="array" ref="J7002">_xlfn.IFS(I7002&lt;=3,"small",I7002&lt;=6,"Medium",I7002&lt;=9,"Large")</f>
        <v>small</v>
      </c>
      <c r="K7002" s="36">
        <v>44930</v>
      </c>
      <c r="L7002" s="36">
        <v>44932</v>
      </c>
      <c r="M7002" t="s">
        <v>598</v>
      </c>
      <c r="N7002" t="s">
        <v>599</v>
      </c>
      <c r="O7002" s="37" t="str">
        <f t="shared" si="548"/>
        <v>Digital Payment</v>
      </c>
      <c r="P7002">
        <v>135.5</v>
      </c>
      <c r="Q7002" s="37" t="str">
        <f>IF(P7002&gt;500,"High","low")</f>
        <v>low</v>
      </c>
      <c r="R7002" s="37" t="str">
        <f t="shared" si="549"/>
        <v>AVERAGE</v>
      </c>
      <c r="S7002" t="s">
        <v>605</v>
      </c>
    </row>
    <row r="7003" spans="1:19" x14ac:dyDescent="0.2">
      <c r="A7003" t="s">
        <v>7614</v>
      </c>
      <c r="B7003" t="s">
        <v>67</v>
      </c>
      <c r="C7003" t="s">
        <v>614</v>
      </c>
      <c r="D7003">
        <v>4541.68</v>
      </c>
      <c r="E7003" s="37" t="str">
        <f t="shared" si="545"/>
        <v>Excellent Order</v>
      </c>
      <c r="F7003">
        <v>0.24</v>
      </c>
      <c r="G7003" s="37" t="str">
        <f t="shared" si="546"/>
        <v>Normal Discount</v>
      </c>
      <c r="H7003" s="37" t="str">
        <f t="shared" si="547"/>
        <v>Medium</v>
      </c>
      <c r="I7003">
        <v>8</v>
      </c>
      <c r="J7003" t="str" cm="1">
        <f t="array" ref="J7003">_xlfn.IFS(I7003&lt;=3,"small",I7003&lt;=6,"Medium",I7003&lt;=9,"Large")</f>
        <v>Large</v>
      </c>
      <c r="K7003" s="36">
        <v>44980</v>
      </c>
      <c r="L7003" s="36">
        <v>44985</v>
      </c>
      <c r="M7003" t="s">
        <v>598</v>
      </c>
      <c r="N7003" t="s">
        <v>608</v>
      </c>
      <c r="O7003" s="37" t="str">
        <f t="shared" si="548"/>
        <v>Cash Payment</v>
      </c>
      <c r="P7003">
        <v>1193.74</v>
      </c>
      <c r="Q7003" s="37" t="str">
        <f>IF(P7003&gt;500,"High","low")</f>
        <v>High</v>
      </c>
      <c r="R7003" s="37" t="str">
        <f t="shared" si="549"/>
        <v>Excellent</v>
      </c>
      <c r="S7003" t="s">
        <v>600</v>
      </c>
    </row>
    <row r="7004" spans="1:19" x14ac:dyDescent="0.2">
      <c r="A7004" t="s">
        <v>7615</v>
      </c>
      <c r="B7004" t="s">
        <v>90</v>
      </c>
      <c r="C7004" t="s">
        <v>614</v>
      </c>
      <c r="D7004">
        <v>1162.76</v>
      </c>
      <c r="E7004" s="37" t="str">
        <f t="shared" si="545"/>
        <v xml:space="preserve"> </v>
      </c>
      <c r="F7004">
        <v>0.31</v>
      </c>
      <c r="G7004" s="37" t="str">
        <f t="shared" si="546"/>
        <v>Heavy Discount</v>
      </c>
      <c r="H7004" s="37" t="str">
        <f t="shared" si="547"/>
        <v>Medium</v>
      </c>
      <c r="I7004">
        <v>4</v>
      </c>
      <c r="J7004" t="str" cm="1">
        <f t="array" ref="J7004">_xlfn.IFS(I7004&lt;=3,"small",I7004&lt;=6,"Medium",I7004&lt;=9,"Large")</f>
        <v>Medium</v>
      </c>
      <c r="K7004" s="36">
        <v>45102</v>
      </c>
      <c r="L7004" s="36">
        <v>45106</v>
      </c>
      <c r="M7004" t="s">
        <v>612</v>
      </c>
      <c r="N7004" t="s">
        <v>599</v>
      </c>
      <c r="O7004" s="37" t="str">
        <f t="shared" si="548"/>
        <v>Digital Payment</v>
      </c>
      <c r="P7004">
        <v>229.8</v>
      </c>
      <c r="Q7004" s="37" t="str">
        <f>IF(P7004&gt;500,"High","low")</f>
        <v>low</v>
      </c>
      <c r="R7004" s="37" t="str">
        <f t="shared" si="549"/>
        <v>AVERAGE</v>
      </c>
      <c r="S7004" t="s">
        <v>605</v>
      </c>
    </row>
    <row r="7005" spans="1:19" x14ac:dyDescent="0.2">
      <c r="A7005" t="s">
        <v>7616</v>
      </c>
      <c r="B7005" t="s">
        <v>75</v>
      </c>
      <c r="C7005" t="s">
        <v>617</v>
      </c>
      <c r="D7005">
        <v>2830.2</v>
      </c>
      <c r="E7005" s="37" t="str">
        <f t="shared" si="545"/>
        <v xml:space="preserve"> </v>
      </c>
      <c r="F7005">
        <v>0.18</v>
      </c>
      <c r="G7005" s="37" t="str">
        <f t="shared" si="546"/>
        <v>Normal Discount</v>
      </c>
      <c r="H7005" s="37" t="str">
        <f t="shared" si="547"/>
        <v>Low</v>
      </c>
      <c r="I7005">
        <v>7</v>
      </c>
      <c r="J7005" t="str" cm="1">
        <f t="array" ref="J7005">_xlfn.IFS(I7005&lt;=3,"small",I7005&lt;=6,"Medium",I7005&lt;=9,"Large")</f>
        <v>Large</v>
      </c>
      <c r="K7005" s="36">
        <v>45379</v>
      </c>
      <c r="L7005" s="36">
        <v>45386</v>
      </c>
      <c r="M7005" t="s">
        <v>603</v>
      </c>
      <c r="N7005" t="s">
        <v>608</v>
      </c>
      <c r="O7005" s="37" t="str">
        <f t="shared" si="548"/>
        <v>Cash Payment</v>
      </c>
      <c r="P7005">
        <v>356.91</v>
      </c>
      <c r="Q7005" s="37" t="str">
        <f>IF(P7005&gt;500,"High","low")</f>
        <v>low</v>
      </c>
      <c r="R7005" s="37" t="str">
        <f t="shared" si="549"/>
        <v>AVERAGE</v>
      </c>
      <c r="S7005" t="s">
        <v>620</v>
      </c>
    </row>
    <row r="7006" spans="1:19" x14ac:dyDescent="0.2">
      <c r="A7006" t="s">
        <v>7617</v>
      </c>
      <c r="B7006" t="s">
        <v>90</v>
      </c>
      <c r="C7006" t="s">
        <v>617</v>
      </c>
      <c r="D7006">
        <v>518.72</v>
      </c>
      <c r="E7006" s="37" t="str">
        <f t="shared" si="545"/>
        <v xml:space="preserve"> </v>
      </c>
      <c r="F7006">
        <v>0.4</v>
      </c>
      <c r="G7006" s="37" t="str">
        <f t="shared" si="546"/>
        <v>Heavy Discount</v>
      </c>
      <c r="H7006" s="37" t="str">
        <f t="shared" si="547"/>
        <v>Medium</v>
      </c>
      <c r="I7006">
        <v>5</v>
      </c>
      <c r="J7006" t="str" cm="1">
        <f t="array" ref="J7006">_xlfn.IFS(I7006&lt;=3,"small",I7006&lt;=6,"Medium",I7006&lt;=9,"Large")</f>
        <v>Medium</v>
      </c>
      <c r="K7006" s="36">
        <v>45072</v>
      </c>
      <c r="L7006" s="36">
        <v>45076</v>
      </c>
      <c r="M7006" t="s">
        <v>612</v>
      </c>
      <c r="N7006" t="s">
        <v>604</v>
      </c>
      <c r="O7006" s="37" t="str">
        <f t="shared" si="548"/>
        <v>Digital Payment</v>
      </c>
      <c r="P7006">
        <v>120.81</v>
      </c>
      <c r="Q7006" s="37" t="str">
        <f>IF(P7006&gt;500,"High","low")</f>
        <v>low</v>
      </c>
      <c r="R7006" s="37" t="str">
        <f t="shared" si="549"/>
        <v>AVERAGE</v>
      </c>
      <c r="S7006" t="s">
        <v>600</v>
      </c>
    </row>
    <row r="7007" spans="1:19" x14ac:dyDescent="0.2">
      <c r="A7007" t="s">
        <v>7618</v>
      </c>
      <c r="B7007" t="s">
        <v>90</v>
      </c>
      <c r="C7007" t="s">
        <v>602</v>
      </c>
      <c r="D7007">
        <v>859.31</v>
      </c>
      <c r="E7007" s="37" t="str">
        <f t="shared" si="545"/>
        <v xml:space="preserve"> </v>
      </c>
      <c r="F7007">
        <v>0.14000000000000001</v>
      </c>
      <c r="G7007" s="37" t="str">
        <f t="shared" si="546"/>
        <v>Normal Discount</v>
      </c>
      <c r="H7007" s="37" t="str">
        <f t="shared" si="547"/>
        <v>Low</v>
      </c>
      <c r="I7007">
        <v>4</v>
      </c>
      <c r="J7007" t="str" cm="1">
        <f t="array" ref="J7007">_xlfn.IFS(I7007&lt;=3,"small",I7007&lt;=6,"Medium",I7007&lt;=9,"Large")</f>
        <v>Medium</v>
      </c>
      <c r="K7007" s="36">
        <v>45175</v>
      </c>
      <c r="L7007" s="36">
        <v>45179</v>
      </c>
      <c r="M7007" t="s">
        <v>603</v>
      </c>
      <c r="N7007" t="s">
        <v>604</v>
      </c>
      <c r="O7007" s="37" t="str">
        <f t="shared" si="548"/>
        <v>Digital Payment</v>
      </c>
      <c r="P7007">
        <v>131.69</v>
      </c>
      <c r="Q7007" s="37" t="str">
        <f>IF(P7007&gt;500,"High","low")</f>
        <v>low</v>
      </c>
      <c r="R7007" s="37" t="str">
        <f t="shared" si="549"/>
        <v>AVERAGE</v>
      </c>
      <c r="S7007" t="s">
        <v>609</v>
      </c>
    </row>
    <row r="7008" spans="1:19" x14ac:dyDescent="0.2">
      <c r="A7008" t="s">
        <v>7619</v>
      </c>
      <c r="B7008" t="s">
        <v>67</v>
      </c>
      <c r="C7008" t="s">
        <v>617</v>
      </c>
      <c r="D7008">
        <v>1312.33</v>
      </c>
      <c r="E7008" s="37" t="str">
        <f t="shared" si="545"/>
        <v xml:space="preserve"> </v>
      </c>
      <c r="F7008">
        <v>0.15</v>
      </c>
      <c r="G7008" s="37" t="str">
        <f t="shared" si="546"/>
        <v>Normal Discount</v>
      </c>
      <c r="H7008" s="37" t="str">
        <f t="shared" si="547"/>
        <v>Low</v>
      </c>
      <c r="I7008">
        <v>4</v>
      </c>
      <c r="J7008" t="str" cm="1">
        <f t="array" ref="J7008">_xlfn.IFS(I7008&lt;=3,"small",I7008&lt;=6,"Medium",I7008&lt;=9,"Large")</f>
        <v>Medium</v>
      </c>
      <c r="K7008" s="36">
        <v>45547</v>
      </c>
      <c r="L7008" s="36">
        <v>45551</v>
      </c>
      <c r="M7008" t="s">
        <v>612</v>
      </c>
      <c r="N7008" t="s">
        <v>608</v>
      </c>
      <c r="O7008" s="37" t="str">
        <f t="shared" si="548"/>
        <v>Cash Payment</v>
      </c>
      <c r="P7008">
        <v>131.86000000000001</v>
      </c>
      <c r="Q7008" s="37" t="str">
        <f>IF(P7008&gt;500,"High","low")</f>
        <v>low</v>
      </c>
      <c r="R7008" s="37" t="str">
        <f t="shared" si="549"/>
        <v>AVERAGE</v>
      </c>
      <c r="S7008" t="s">
        <v>615</v>
      </c>
    </row>
    <row r="7009" spans="1:19" x14ac:dyDescent="0.2">
      <c r="A7009" t="s">
        <v>7620</v>
      </c>
      <c r="B7009" t="s">
        <v>75</v>
      </c>
      <c r="C7009" t="s">
        <v>617</v>
      </c>
      <c r="D7009">
        <v>4916.18</v>
      </c>
      <c r="E7009" s="37" t="str">
        <f t="shared" si="545"/>
        <v>Excellent Order</v>
      </c>
      <c r="F7009">
        <v>0.28999999999999998</v>
      </c>
      <c r="G7009" s="37" t="str">
        <f t="shared" si="546"/>
        <v>Normal Discount</v>
      </c>
      <c r="H7009" s="37" t="str">
        <f t="shared" si="547"/>
        <v>Medium</v>
      </c>
      <c r="I7009">
        <v>6</v>
      </c>
      <c r="J7009" t="str" cm="1">
        <f t="array" ref="J7009">_xlfn.IFS(I7009&lt;=3,"small",I7009&lt;=6,"Medium",I7009&lt;=9,"Large")</f>
        <v>Medium</v>
      </c>
      <c r="K7009" s="36">
        <v>44955</v>
      </c>
      <c r="L7009" s="36">
        <v>44958</v>
      </c>
      <c r="M7009" t="s">
        <v>612</v>
      </c>
      <c r="N7009" t="s">
        <v>604</v>
      </c>
      <c r="O7009" s="37" t="str">
        <f t="shared" si="548"/>
        <v>Digital Payment</v>
      </c>
      <c r="P7009">
        <v>1372.84</v>
      </c>
      <c r="Q7009" s="37" t="str">
        <f>IF(P7009&gt;500,"High","low")</f>
        <v>High</v>
      </c>
      <c r="R7009" s="37" t="str">
        <f t="shared" si="549"/>
        <v>Excellent</v>
      </c>
      <c r="S7009" t="s">
        <v>605</v>
      </c>
    </row>
    <row r="7010" spans="1:19" x14ac:dyDescent="0.2">
      <c r="A7010" t="s">
        <v>7621</v>
      </c>
      <c r="B7010" t="s">
        <v>83</v>
      </c>
      <c r="C7010" t="s">
        <v>614</v>
      </c>
      <c r="D7010">
        <v>4005.61</v>
      </c>
      <c r="E7010" s="37" t="str">
        <f t="shared" si="545"/>
        <v xml:space="preserve"> </v>
      </c>
      <c r="F7010">
        <v>0.13</v>
      </c>
      <c r="G7010" s="37" t="str">
        <f t="shared" si="546"/>
        <v>Normal Discount</v>
      </c>
      <c r="H7010" s="37" t="str">
        <f t="shared" si="547"/>
        <v>Low</v>
      </c>
      <c r="I7010">
        <v>2</v>
      </c>
      <c r="J7010" t="str" cm="1">
        <f t="array" ref="J7010">_xlfn.IFS(I7010&lt;=3,"small",I7010&lt;=6,"Medium",I7010&lt;=9,"Large")</f>
        <v>small</v>
      </c>
      <c r="K7010" s="36">
        <v>45075</v>
      </c>
      <c r="L7010" s="36">
        <v>45081</v>
      </c>
      <c r="M7010" t="s">
        <v>612</v>
      </c>
      <c r="N7010" t="s">
        <v>608</v>
      </c>
      <c r="O7010" s="37" t="str">
        <f t="shared" si="548"/>
        <v>Cash Payment</v>
      </c>
      <c r="P7010">
        <v>705.38</v>
      </c>
      <c r="Q7010" s="37" t="str">
        <f>IF(P7010&gt;500,"High","low")</f>
        <v>High</v>
      </c>
      <c r="R7010" s="37" t="str">
        <f t="shared" si="549"/>
        <v>Good</v>
      </c>
      <c r="S7010" t="s">
        <v>600</v>
      </c>
    </row>
    <row r="7011" spans="1:19" x14ac:dyDescent="0.2">
      <c r="A7011" t="s">
        <v>7622</v>
      </c>
      <c r="B7011" t="s">
        <v>75</v>
      </c>
      <c r="C7011" t="s">
        <v>602</v>
      </c>
      <c r="D7011">
        <v>3400.42</v>
      </c>
      <c r="E7011" s="37" t="str">
        <f t="shared" si="545"/>
        <v xml:space="preserve"> </v>
      </c>
      <c r="F7011">
        <v>0.04</v>
      </c>
      <c r="G7011" s="37" t="str">
        <f t="shared" si="546"/>
        <v>Normal Discount</v>
      </c>
      <c r="H7011" s="37" t="str">
        <f t="shared" si="547"/>
        <v>Low</v>
      </c>
      <c r="I7011">
        <v>5</v>
      </c>
      <c r="J7011" t="str" cm="1">
        <f t="array" ref="J7011">_xlfn.IFS(I7011&lt;=3,"small",I7011&lt;=6,"Medium",I7011&lt;=9,"Large")</f>
        <v>Medium</v>
      </c>
      <c r="K7011" s="36">
        <v>45413</v>
      </c>
      <c r="L7011" s="36">
        <v>45415</v>
      </c>
      <c r="M7011" t="s">
        <v>598</v>
      </c>
      <c r="N7011" t="s">
        <v>608</v>
      </c>
      <c r="O7011" s="37" t="str">
        <f t="shared" si="548"/>
        <v>Cash Payment</v>
      </c>
      <c r="P7011">
        <v>844.33</v>
      </c>
      <c r="Q7011" s="37" t="str">
        <f>IF(P7011&gt;500,"High","low")</f>
        <v>High</v>
      </c>
      <c r="R7011" s="37" t="str">
        <f t="shared" si="549"/>
        <v>Good</v>
      </c>
      <c r="S7011" t="s">
        <v>628</v>
      </c>
    </row>
    <row r="7012" spans="1:19" x14ac:dyDescent="0.2">
      <c r="A7012" t="s">
        <v>7623</v>
      </c>
      <c r="B7012" t="s">
        <v>90</v>
      </c>
      <c r="C7012" t="s">
        <v>617</v>
      </c>
      <c r="D7012">
        <v>4589.68</v>
      </c>
      <c r="E7012" s="37" t="str">
        <f t="shared" si="545"/>
        <v>Excellent Order</v>
      </c>
      <c r="F7012">
        <v>0.1</v>
      </c>
      <c r="G7012" s="37" t="str">
        <f t="shared" si="546"/>
        <v>Normal Discount</v>
      </c>
      <c r="H7012" s="37" t="str">
        <f t="shared" si="547"/>
        <v>Low</v>
      </c>
      <c r="I7012">
        <v>8</v>
      </c>
      <c r="J7012" t="str" cm="1">
        <f t="array" ref="J7012">_xlfn.IFS(I7012&lt;=3,"small",I7012&lt;=6,"Medium",I7012&lt;=9,"Large")</f>
        <v>Large</v>
      </c>
      <c r="K7012" s="36">
        <v>45529</v>
      </c>
      <c r="L7012" s="36">
        <v>45532</v>
      </c>
      <c r="M7012" t="s">
        <v>598</v>
      </c>
      <c r="N7012" t="s">
        <v>604</v>
      </c>
      <c r="O7012" s="37" t="str">
        <f t="shared" si="548"/>
        <v>Digital Payment</v>
      </c>
      <c r="P7012">
        <v>1315.36</v>
      </c>
      <c r="Q7012" s="37" t="str">
        <f>IF(P7012&gt;500,"High","low")</f>
        <v>High</v>
      </c>
      <c r="R7012" s="37" t="str">
        <f t="shared" si="549"/>
        <v>Excellent</v>
      </c>
      <c r="S7012" t="s">
        <v>609</v>
      </c>
    </row>
    <row r="7013" spans="1:19" x14ac:dyDescent="0.2">
      <c r="A7013" t="s">
        <v>7624</v>
      </c>
      <c r="B7013" t="s">
        <v>90</v>
      </c>
      <c r="C7013" t="s">
        <v>602</v>
      </c>
      <c r="D7013">
        <v>4785.42</v>
      </c>
      <c r="E7013" s="37" t="str">
        <f t="shared" si="545"/>
        <v>Excellent Order</v>
      </c>
      <c r="F7013">
        <v>0.46</v>
      </c>
      <c r="G7013" s="37" t="str">
        <f t="shared" si="546"/>
        <v>Heavy Discount</v>
      </c>
      <c r="H7013" s="37" t="str">
        <f t="shared" si="547"/>
        <v>High</v>
      </c>
      <c r="I7013">
        <v>2</v>
      </c>
      <c r="J7013" t="str" cm="1">
        <f t="array" ref="J7013">_xlfn.IFS(I7013&lt;=3,"small",I7013&lt;=6,"Medium",I7013&lt;=9,"Large")</f>
        <v>small</v>
      </c>
      <c r="K7013" s="36">
        <v>45485</v>
      </c>
      <c r="L7013" s="36">
        <v>45491</v>
      </c>
      <c r="M7013" t="s">
        <v>598</v>
      </c>
      <c r="N7013" t="s">
        <v>604</v>
      </c>
      <c r="O7013" s="37" t="str">
        <f t="shared" si="548"/>
        <v>Digital Payment</v>
      </c>
      <c r="P7013">
        <v>1117.49</v>
      </c>
      <c r="Q7013" s="37" t="str">
        <f>IF(P7013&gt;500,"High","low")</f>
        <v>High</v>
      </c>
      <c r="R7013" s="37" t="str">
        <f t="shared" si="549"/>
        <v>Excellent</v>
      </c>
      <c r="S7013" t="s">
        <v>605</v>
      </c>
    </row>
    <row r="7014" spans="1:19" x14ac:dyDescent="0.2">
      <c r="A7014" t="s">
        <v>7625</v>
      </c>
      <c r="B7014" t="s">
        <v>90</v>
      </c>
      <c r="C7014" t="s">
        <v>597</v>
      </c>
      <c r="D7014">
        <v>2322.5100000000002</v>
      </c>
      <c r="E7014" s="37" t="str">
        <f t="shared" si="545"/>
        <v xml:space="preserve"> </v>
      </c>
      <c r="F7014">
        <v>0.01</v>
      </c>
      <c r="G7014" s="37" t="str">
        <f t="shared" si="546"/>
        <v>Normal Discount</v>
      </c>
      <c r="H7014" s="37" t="str">
        <f t="shared" si="547"/>
        <v>Low</v>
      </c>
      <c r="I7014">
        <v>5</v>
      </c>
      <c r="J7014" t="str" cm="1">
        <f t="array" ref="J7014">_xlfn.IFS(I7014&lt;=3,"small",I7014&lt;=6,"Medium",I7014&lt;=9,"Large")</f>
        <v>Medium</v>
      </c>
      <c r="K7014" s="36">
        <v>45120</v>
      </c>
      <c r="L7014" s="36">
        <v>45126</v>
      </c>
      <c r="M7014" t="s">
        <v>612</v>
      </c>
      <c r="N7014" t="s">
        <v>599</v>
      </c>
      <c r="O7014" s="37" t="str">
        <f t="shared" si="548"/>
        <v>Digital Payment</v>
      </c>
      <c r="P7014">
        <v>388.89</v>
      </c>
      <c r="Q7014" s="37" t="str">
        <f>IF(P7014&gt;500,"High","low")</f>
        <v>low</v>
      </c>
      <c r="R7014" s="37" t="str">
        <f t="shared" si="549"/>
        <v>AVERAGE</v>
      </c>
      <c r="S7014" t="s">
        <v>620</v>
      </c>
    </row>
    <row r="7015" spans="1:19" x14ac:dyDescent="0.2">
      <c r="A7015" t="s">
        <v>7626</v>
      </c>
      <c r="B7015" t="s">
        <v>75</v>
      </c>
      <c r="C7015" t="s">
        <v>614</v>
      </c>
      <c r="D7015">
        <v>1705.68</v>
      </c>
      <c r="E7015" s="37" t="str">
        <f t="shared" si="545"/>
        <v xml:space="preserve"> </v>
      </c>
      <c r="F7015">
        <v>7.0000000000000007E-2</v>
      </c>
      <c r="G7015" s="37" t="str">
        <f t="shared" si="546"/>
        <v>Normal Discount</v>
      </c>
      <c r="H7015" s="37" t="str">
        <f t="shared" si="547"/>
        <v>Low</v>
      </c>
      <c r="I7015">
        <v>7</v>
      </c>
      <c r="J7015" t="str" cm="1">
        <f t="array" ref="J7015">_xlfn.IFS(I7015&lt;=3,"small",I7015&lt;=6,"Medium",I7015&lt;=9,"Large")</f>
        <v>Large</v>
      </c>
      <c r="K7015" s="36">
        <v>45642</v>
      </c>
      <c r="L7015" s="36">
        <v>45645</v>
      </c>
      <c r="M7015" t="s">
        <v>612</v>
      </c>
      <c r="N7015" t="s">
        <v>608</v>
      </c>
      <c r="O7015" s="37" t="str">
        <f t="shared" si="548"/>
        <v>Cash Payment</v>
      </c>
      <c r="P7015">
        <v>450.84</v>
      </c>
      <c r="Q7015" s="37" t="str">
        <f>IF(P7015&gt;500,"High","low")</f>
        <v>low</v>
      </c>
      <c r="R7015" s="37" t="str">
        <f t="shared" si="549"/>
        <v>AVERAGE</v>
      </c>
      <c r="S7015" t="s">
        <v>600</v>
      </c>
    </row>
    <row r="7016" spans="1:19" x14ac:dyDescent="0.2">
      <c r="A7016" t="s">
        <v>7627</v>
      </c>
      <c r="B7016" t="s">
        <v>67</v>
      </c>
      <c r="C7016" t="s">
        <v>614</v>
      </c>
      <c r="D7016">
        <v>1645.05</v>
      </c>
      <c r="E7016" s="37" t="str">
        <f t="shared" si="545"/>
        <v xml:space="preserve"> </v>
      </c>
      <c r="F7016">
        <v>0.38</v>
      </c>
      <c r="G7016" s="37" t="str">
        <f t="shared" si="546"/>
        <v>Heavy Discount</v>
      </c>
      <c r="H7016" s="37" t="str">
        <f t="shared" si="547"/>
        <v>Medium</v>
      </c>
      <c r="I7016">
        <v>5</v>
      </c>
      <c r="J7016" t="str" cm="1">
        <f t="array" ref="J7016">_xlfn.IFS(I7016&lt;=3,"small",I7016&lt;=6,"Medium",I7016&lt;=9,"Large")</f>
        <v>Medium</v>
      </c>
      <c r="K7016" s="36">
        <v>45006</v>
      </c>
      <c r="L7016" s="36">
        <v>45008</v>
      </c>
      <c r="M7016" t="s">
        <v>598</v>
      </c>
      <c r="N7016" t="s">
        <v>604</v>
      </c>
      <c r="O7016" s="37" t="str">
        <f t="shared" si="548"/>
        <v>Digital Payment</v>
      </c>
      <c r="P7016">
        <v>324.33</v>
      </c>
      <c r="Q7016" s="37" t="str">
        <f>IF(P7016&gt;500,"High","low")</f>
        <v>low</v>
      </c>
      <c r="R7016" s="37" t="str">
        <f t="shared" si="549"/>
        <v>AVERAGE</v>
      </c>
      <c r="S7016" t="s">
        <v>609</v>
      </c>
    </row>
    <row r="7017" spans="1:19" x14ac:dyDescent="0.2">
      <c r="A7017" t="s">
        <v>7628</v>
      </c>
      <c r="B7017" t="s">
        <v>90</v>
      </c>
      <c r="C7017" t="s">
        <v>614</v>
      </c>
      <c r="D7017">
        <v>275.07</v>
      </c>
      <c r="E7017" s="37" t="str">
        <f t="shared" si="545"/>
        <v xml:space="preserve"> </v>
      </c>
      <c r="F7017">
        <v>0.49</v>
      </c>
      <c r="G7017" s="37" t="str">
        <f t="shared" si="546"/>
        <v>Heavy Discount</v>
      </c>
      <c r="H7017" s="37" t="str">
        <f t="shared" si="547"/>
        <v>High</v>
      </c>
      <c r="I7017">
        <v>9</v>
      </c>
      <c r="J7017" t="str" cm="1">
        <f t="array" ref="J7017">_xlfn.IFS(I7017&lt;=3,"small",I7017&lt;=6,"Medium",I7017&lt;=9,"Large")</f>
        <v>Large</v>
      </c>
      <c r="K7017" s="36">
        <v>45015</v>
      </c>
      <c r="L7017" s="36">
        <v>45021</v>
      </c>
      <c r="M7017" t="s">
        <v>598</v>
      </c>
      <c r="N7017" t="s">
        <v>604</v>
      </c>
      <c r="O7017" s="37" t="str">
        <f t="shared" si="548"/>
        <v>Digital Payment</v>
      </c>
      <c r="P7017">
        <v>20.67</v>
      </c>
      <c r="Q7017" s="37" t="str">
        <f>IF(P7017&gt;500,"High","low")</f>
        <v>low</v>
      </c>
      <c r="R7017" s="37" t="str">
        <f t="shared" si="549"/>
        <v>AVERAGE</v>
      </c>
      <c r="S7017" t="s">
        <v>605</v>
      </c>
    </row>
    <row r="7018" spans="1:19" x14ac:dyDescent="0.2">
      <c r="A7018" t="s">
        <v>7629</v>
      </c>
      <c r="B7018" t="s">
        <v>90</v>
      </c>
      <c r="C7018" t="s">
        <v>607</v>
      </c>
      <c r="D7018">
        <v>1470.23</v>
      </c>
      <c r="E7018" s="37" t="str">
        <f t="shared" si="545"/>
        <v xml:space="preserve"> </v>
      </c>
      <c r="F7018">
        <v>0.34</v>
      </c>
      <c r="G7018" s="37" t="str">
        <f t="shared" si="546"/>
        <v>Heavy Discount</v>
      </c>
      <c r="H7018" s="37" t="str">
        <f t="shared" si="547"/>
        <v>Medium</v>
      </c>
      <c r="I7018">
        <v>9</v>
      </c>
      <c r="J7018" t="str" cm="1">
        <f t="array" ref="J7018">_xlfn.IFS(I7018&lt;=3,"small",I7018&lt;=6,"Medium",I7018&lt;=9,"Large")</f>
        <v>Large</v>
      </c>
      <c r="K7018" s="36">
        <v>45077</v>
      </c>
      <c r="L7018" s="36">
        <v>45084</v>
      </c>
      <c r="M7018" t="s">
        <v>598</v>
      </c>
      <c r="N7018" t="s">
        <v>604</v>
      </c>
      <c r="O7018" s="37" t="str">
        <f t="shared" si="548"/>
        <v>Digital Payment</v>
      </c>
      <c r="P7018">
        <v>298.35000000000002</v>
      </c>
      <c r="Q7018" s="37" t="str">
        <f>IF(P7018&gt;500,"High","low")</f>
        <v>low</v>
      </c>
      <c r="R7018" s="37" t="str">
        <f t="shared" si="549"/>
        <v>AVERAGE</v>
      </c>
      <c r="S7018" t="s">
        <v>600</v>
      </c>
    </row>
    <row r="7019" spans="1:19" x14ac:dyDescent="0.2">
      <c r="A7019" t="s">
        <v>7630</v>
      </c>
      <c r="B7019" t="s">
        <v>75</v>
      </c>
      <c r="C7019" t="s">
        <v>602</v>
      </c>
      <c r="D7019">
        <v>1839.73</v>
      </c>
      <c r="E7019" s="37" t="str">
        <f t="shared" si="545"/>
        <v xml:space="preserve"> </v>
      </c>
      <c r="F7019">
        <v>0.46</v>
      </c>
      <c r="G7019" s="37" t="str">
        <f t="shared" si="546"/>
        <v>Heavy Discount</v>
      </c>
      <c r="H7019" s="37" t="str">
        <f t="shared" si="547"/>
        <v>High</v>
      </c>
      <c r="I7019">
        <v>8</v>
      </c>
      <c r="J7019" t="str" cm="1">
        <f t="array" ref="J7019">_xlfn.IFS(I7019&lt;=3,"small",I7019&lt;=6,"Medium",I7019&lt;=9,"Large")</f>
        <v>Large</v>
      </c>
      <c r="K7019" s="36">
        <v>45435</v>
      </c>
      <c r="L7019" s="36">
        <v>45442</v>
      </c>
      <c r="M7019" t="s">
        <v>598</v>
      </c>
      <c r="N7019" t="s">
        <v>599</v>
      </c>
      <c r="O7019" s="37" t="str">
        <f t="shared" si="548"/>
        <v>Digital Payment</v>
      </c>
      <c r="P7019">
        <v>94.46</v>
      </c>
      <c r="Q7019" s="37" t="str">
        <f>IF(P7019&gt;500,"High","low")</f>
        <v>low</v>
      </c>
      <c r="R7019" s="37" t="str">
        <f t="shared" si="549"/>
        <v>AVERAGE</v>
      </c>
      <c r="S7019" t="s">
        <v>609</v>
      </c>
    </row>
    <row r="7020" spans="1:19" x14ac:dyDescent="0.2">
      <c r="A7020" t="s">
        <v>7631</v>
      </c>
      <c r="B7020" t="s">
        <v>83</v>
      </c>
      <c r="C7020" t="s">
        <v>597</v>
      </c>
      <c r="D7020">
        <v>280.8</v>
      </c>
      <c r="E7020" s="37" t="str">
        <f t="shared" si="545"/>
        <v xml:space="preserve"> </v>
      </c>
      <c r="F7020">
        <v>0.43</v>
      </c>
      <c r="G7020" s="37" t="str">
        <f t="shared" si="546"/>
        <v>Heavy Discount</v>
      </c>
      <c r="H7020" s="37" t="str">
        <f t="shared" si="547"/>
        <v>High</v>
      </c>
      <c r="I7020">
        <v>9</v>
      </c>
      <c r="J7020" t="str" cm="1">
        <f t="array" ref="J7020">_xlfn.IFS(I7020&lt;=3,"small",I7020&lt;=6,"Medium",I7020&lt;=9,"Large")</f>
        <v>Large</v>
      </c>
      <c r="K7020" s="36">
        <v>45243</v>
      </c>
      <c r="L7020" s="36">
        <v>45247</v>
      </c>
      <c r="M7020" t="s">
        <v>612</v>
      </c>
      <c r="N7020" t="s">
        <v>604</v>
      </c>
      <c r="O7020" s="37" t="str">
        <f t="shared" si="548"/>
        <v>Digital Payment</v>
      </c>
      <c r="P7020">
        <v>82.54</v>
      </c>
      <c r="Q7020" s="37" t="str">
        <f>IF(P7020&gt;500,"High","low")</f>
        <v>low</v>
      </c>
      <c r="R7020" s="37" t="str">
        <f t="shared" si="549"/>
        <v>AVERAGE</v>
      </c>
      <c r="S7020" t="s">
        <v>620</v>
      </c>
    </row>
    <row r="7021" spans="1:19" x14ac:dyDescent="0.2">
      <c r="A7021" t="s">
        <v>7632</v>
      </c>
      <c r="B7021" t="s">
        <v>83</v>
      </c>
      <c r="C7021" t="s">
        <v>617</v>
      </c>
      <c r="D7021">
        <v>4424.76</v>
      </c>
      <c r="E7021" s="37" t="str">
        <f t="shared" si="545"/>
        <v xml:space="preserve"> </v>
      </c>
      <c r="F7021">
        <v>0.24</v>
      </c>
      <c r="G7021" s="37" t="str">
        <f t="shared" si="546"/>
        <v>Normal Discount</v>
      </c>
      <c r="H7021" s="37" t="str">
        <f t="shared" si="547"/>
        <v>Medium</v>
      </c>
      <c r="I7021">
        <v>2</v>
      </c>
      <c r="J7021" t="str" cm="1">
        <f t="array" ref="J7021">_xlfn.IFS(I7021&lt;=3,"small",I7021&lt;=6,"Medium",I7021&lt;=9,"Large")</f>
        <v>small</v>
      </c>
      <c r="K7021" s="36">
        <v>45106</v>
      </c>
      <c r="L7021" s="36">
        <v>45107</v>
      </c>
      <c r="M7021" t="s">
        <v>603</v>
      </c>
      <c r="N7021" t="s">
        <v>604</v>
      </c>
      <c r="O7021" s="37" t="str">
        <f t="shared" si="548"/>
        <v>Digital Payment</v>
      </c>
      <c r="P7021">
        <v>797.35</v>
      </c>
      <c r="Q7021" s="37" t="str">
        <f>IF(P7021&gt;500,"High","low")</f>
        <v>High</v>
      </c>
      <c r="R7021" s="37" t="str">
        <f t="shared" si="549"/>
        <v>Good</v>
      </c>
      <c r="S7021" t="s">
        <v>600</v>
      </c>
    </row>
    <row r="7022" spans="1:19" x14ac:dyDescent="0.2">
      <c r="A7022" t="s">
        <v>7633</v>
      </c>
      <c r="B7022" t="s">
        <v>67</v>
      </c>
      <c r="C7022" t="s">
        <v>597</v>
      </c>
      <c r="D7022">
        <v>4254.5</v>
      </c>
      <c r="E7022" s="37" t="str">
        <f t="shared" si="545"/>
        <v xml:space="preserve"> </v>
      </c>
      <c r="F7022">
        <v>0.17</v>
      </c>
      <c r="G7022" s="37" t="str">
        <f t="shared" si="546"/>
        <v>Normal Discount</v>
      </c>
      <c r="H7022" s="37" t="str">
        <f t="shared" si="547"/>
        <v>Low</v>
      </c>
      <c r="I7022">
        <v>3</v>
      </c>
      <c r="J7022" t="str" cm="1">
        <f t="array" ref="J7022">_xlfn.IFS(I7022&lt;=3,"small",I7022&lt;=6,"Medium",I7022&lt;=9,"Large")</f>
        <v>small</v>
      </c>
      <c r="K7022" s="36">
        <v>45480</v>
      </c>
      <c r="L7022" s="36">
        <v>45483</v>
      </c>
      <c r="M7022" t="s">
        <v>598</v>
      </c>
      <c r="N7022" t="s">
        <v>608</v>
      </c>
      <c r="O7022" s="37" t="str">
        <f t="shared" si="548"/>
        <v>Cash Payment</v>
      </c>
      <c r="P7022">
        <v>310.81</v>
      </c>
      <c r="Q7022" s="37" t="str">
        <f>IF(P7022&gt;500,"High","low")</f>
        <v>low</v>
      </c>
      <c r="R7022" s="37" t="str">
        <f t="shared" si="549"/>
        <v>AVERAGE</v>
      </c>
      <c r="S7022" t="s">
        <v>628</v>
      </c>
    </row>
    <row r="7023" spans="1:19" x14ac:dyDescent="0.2">
      <c r="A7023" t="s">
        <v>7634</v>
      </c>
      <c r="B7023" t="s">
        <v>67</v>
      </c>
      <c r="C7023" t="s">
        <v>602</v>
      </c>
      <c r="D7023">
        <v>1332.35</v>
      </c>
      <c r="E7023" s="37" t="str">
        <f t="shared" si="545"/>
        <v xml:space="preserve"> </v>
      </c>
      <c r="F7023">
        <v>0.32</v>
      </c>
      <c r="G7023" s="37" t="str">
        <f t="shared" si="546"/>
        <v>Heavy Discount</v>
      </c>
      <c r="H7023" s="37" t="str">
        <f t="shared" si="547"/>
        <v>Medium</v>
      </c>
      <c r="I7023">
        <v>4</v>
      </c>
      <c r="J7023" t="str" cm="1">
        <f t="array" ref="J7023">_xlfn.IFS(I7023&lt;=3,"small",I7023&lt;=6,"Medium",I7023&lt;=9,"Large")</f>
        <v>Medium</v>
      </c>
      <c r="K7023" s="36">
        <v>45489</v>
      </c>
      <c r="L7023" s="36">
        <v>45494</v>
      </c>
      <c r="M7023" t="s">
        <v>612</v>
      </c>
      <c r="N7023" t="s">
        <v>604</v>
      </c>
      <c r="O7023" s="37" t="str">
        <f t="shared" si="548"/>
        <v>Digital Payment</v>
      </c>
      <c r="P7023">
        <v>166.39</v>
      </c>
      <c r="Q7023" s="37" t="str">
        <f>IF(P7023&gt;500,"High","low")</f>
        <v>low</v>
      </c>
      <c r="R7023" s="37" t="str">
        <f t="shared" si="549"/>
        <v>AVERAGE</v>
      </c>
      <c r="S7023" t="s">
        <v>620</v>
      </c>
    </row>
    <row r="7024" spans="1:19" x14ac:dyDescent="0.2">
      <c r="A7024" t="s">
        <v>7635</v>
      </c>
      <c r="B7024" t="s">
        <v>90</v>
      </c>
      <c r="C7024" t="s">
        <v>614</v>
      </c>
      <c r="D7024">
        <v>4032.54</v>
      </c>
      <c r="E7024" s="37" t="str">
        <f t="shared" si="545"/>
        <v>Excellent Order</v>
      </c>
      <c r="F7024">
        <v>0.27</v>
      </c>
      <c r="G7024" s="37" t="str">
        <f t="shared" si="546"/>
        <v>Normal Discount</v>
      </c>
      <c r="H7024" s="37" t="str">
        <f t="shared" si="547"/>
        <v>Medium</v>
      </c>
      <c r="I7024">
        <v>5</v>
      </c>
      <c r="J7024" t="str" cm="1">
        <f t="array" ref="J7024">_xlfn.IFS(I7024&lt;=3,"small",I7024&lt;=6,"Medium",I7024&lt;=9,"Large")</f>
        <v>Medium</v>
      </c>
      <c r="K7024" s="36">
        <v>45331</v>
      </c>
      <c r="L7024" s="36">
        <v>45337</v>
      </c>
      <c r="M7024" t="s">
        <v>603</v>
      </c>
      <c r="N7024" t="s">
        <v>599</v>
      </c>
      <c r="O7024" s="37" t="str">
        <f t="shared" si="548"/>
        <v>Digital Payment</v>
      </c>
      <c r="P7024">
        <v>865.76</v>
      </c>
      <c r="Q7024" s="37" t="str">
        <f>IF(P7024&gt;500,"High","low")</f>
        <v>High</v>
      </c>
      <c r="R7024" s="37" t="str">
        <f t="shared" si="549"/>
        <v>Good</v>
      </c>
      <c r="S7024" t="s">
        <v>609</v>
      </c>
    </row>
    <row r="7025" spans="1:19" x14ac:dyDescent="0.2">
      <c r="A7025" t="s">
        <v>7636</v>
      </c>
      <c r="B7025" t="s">
        <v>75</v>
      </c>
      <c r="C7025" t="s">
        <v>607</v>
      </c>
      <c r="D7025">
        <v>4001.44</v>
      </c>
      <c r="E7025" s="37" t="str">
        <f t="shared" si="545"/>
        <v xml:space="preserve"> </v>
      </c>
      <c r="F7025">
        <v>0.01</v>
      </c>
      <c r="G7025" s="37" t="str">
        <f t="shared" si="546"/>
        <v>Normal Discount</v>
      </c>
      <c r="H7025" s="37" t="str">
        <f t="shared" si="547"/>
        <v>Low</v>
      </c>
      <c r="I7025">
        <v>2</v>
      </c>
      <c r="J7025" t="str" cm="1">
        <f t="array" ref="J7025">_xlfn.IFS(I7025&lt;=3,"small",I7025&lt;=6,"Medium",I7025&lt;=9,"Large")</f>
        <v>small</v>
      </c>
      <c r="K7025" s="36">
        <v>45111</v>
      </c>
      <c r="L7025" s="36">
        <v>45114</v>
      </c>
      <c r="M7025" t="s">
        <v>598</v>
      </c>
      <c r="N7025" t="s">
        <v>608</v>
      </c>
      <c r="O7025" s="37" t="str">
        <f t="shared" si="548"/>
        <v>Cash Payment</v>
      </c>
      <c r="P7025">
        <v>488.97</v>
      </c>
      <c r="Q7025" s="37" t="str">
        <f>IF(P7025&gt;500,"High","low")</f>
        <v>low</v>
      </c>
      <c r="R7025" s="37" t="str">
        <f t="shared" si="549"/>
        <v>AVERAGE</v>
      </c>
      <c r="S7025" t="s">
        <v>628</v>
      </c>
    </row>
    <row r="7026" spans="1:19" x14ac:dyDescent="0.2">
      <c r="A7026" t="s">
        <v>7637</v>
      </c>
      <c r="B7026" t="s">
        <v>90</v>
      </c>
      <c r="C7026" t="s">
        <v>602</v>
      </c>
      <c r="D7026">
        <v>1741.56</v>
      </c>
      <c r="E7026" s="37" t="str">
        <f t="shared" si="545"/>
        <v xml:space="preserve"> </v>
      </c>
      <c r="F7026">
        <v>0.48</v>
      </c>
      <c r="G7026" s="37" t="str">
        <f t="shared" si="546"/>
        <v>Heavy Discount</v>
      </c>
      <c r="H7026" s="37" t="str">
        <f t="shared" si="547"/>
        <v>High</v>
      </c>
      <c r="I7026">
        <v>4</v>
      </c>
      <c r="J7026" t="str" cm="1">
        <f t="array" ref="J7026">_xlfn.IFS(I7026&lt;=3,"small",I7026&lt;=6,"Medium",I7026&lt;=9,"Large")</f>
        <v>Medium</v>
      </c>
      <c r="K7026" s="36">
        <v>45218</v>
      </c>
      <c r="L7026" s="36">
        <v>45220</v>
      </c>
      <c r="M7026" t="s">
        <v>612</v>
      </c>
      <c r="N7026" t="s">
        <v>604</v>
      </c>
      <c r="O7026" s="37" t="str">
        <f t="shared" si="548"/>
        <v>Digital Payment</v>
      </c>
      <c r="P7026">
        <v>270.36</v>
      </c>
      <c r="Q7026" s="37" t="str">
        <f>IF(P7026&gt;500,"High","low")</f>
        <v>low</v>
      </c>
      <c r="R7026" s="37" t="str">
        <f t="shared" si="549"/>
        <v>AVERAGE</v>
      </c>
      <c r="S7026" t="s">
        <v>600</v>
      </c>
    </row>
    <row r="7027" spans="1:19" x14ac:dyDescent="0.2">
      <c r="A7027" t="s">
        <v>7638</v>
      </c>
      <c r="B7027" t="s">
        <v>67</v>
      </c>
      <c r="C7027" t="s">
        <v>602</v>
      </c>
      <c r="D7027">
        <v>3515.63</v>
      </c>
      <c r="E7027" s="37" t="str">
        <f t="shared" si="545"/>
        <v xml:space="preserve"> </v>
      </c>
      <c r="F7027">
        <v>0.28999999999999998</v>
      </c>
      <c r="G7027" s="37" t="str">
        <f t="shared" si="546"/>
        <v>Normal Discount</v>
      </c>
      <c r="H7027" s="37" t="str">
        <f t="shared" si="547"/>
        <v>Medium</v>
      </c>
      <c r="I7027">
        <v>4</v>
      </c>
      <c r="J7027" t="str" cm="1">
        <f t="array" ref="J7027">_xlfn.IFS(I7027&lt;=3,"small",I7027&lt;=6,"Medium",I7027&lt;=9,"Large")</f>
        <v>Medium</v>
      </c>
      <c r="K7027" s="36">
        <v>45626</v>
      </c>
      <c r="L7027" s="36">
        <v>45633</v>
      </c>
      <c r="M7027" t="s">
        <v>598</v>
      </c>
      <c r="N7027" t="s">
        <v>608</v>
      </c>
      <c r="O7027" s="37" t="str">
        <f t="shared" si="548"/>
        <v>Cash Payment</v>
      </c>
      <c r="P7027">
        <v>438.45</v>
      </c>
      <c r="Q7027" s="37" t="str">
        <f>IF(P7027&gt;500,"High","low")</f>
        <v>low</v>
      </c>
      <c r="R7027" s="37" t="str">
        <f t="shared" si="549"/>
        <v>AVERAGE</v>
      </c>
      <c r="S7027" t="s">
        <v>628</v>
      </c>
    </row>
    <row r="7028" spans="1:19" x14ac:dyDescent="0.2">
      <c r="A7028" t="s">
        <v>7639</v>
      </c>
      <c r="B7028" t="s">
        <v>75</v>
      </c>
      <c r="C7028" t="s">
        <v>617</v>
      </c>
      <c r="D7028">
        <v>1520.3</v>
      </c>
      <c r="E7028" s="37" t="str">
        <f t="shared" si="545"/>
        <v xml:space="preserve"> </v>
      </c>
      <c r="F7028">
        <v>0.44</v>
      </c>
      <c r="G7028" s="37" t="str">
        <f t="shared" si="546"/>
        <v>Heavy Discount</v>
      </c>
      <c r="H7028" s="37" t="str">
        <f t="shared" si="547"/>
        <v>High</v>
      </c>
      <c r="I7028">
        <v>5</v>
      </c>
      <c r="J7028" t="str" cm="1">
        <f t="array" ref="J7028">_xlfn.IFS(I7028&lt;=3,"small",I7028&lt;=6,"Medium",I7028&lt;=9,"Large")</f>
        <v>Medium</v>
      </c>
      <c r="K7028" s="36">
        <v>45414</v>
      </c>
      <c r="L7028" s="36">
        <v>45417</v>
      </c>
      <c r="M7028" t="s">
        <v>612</v>
      </c>
      <c r="N7028" t="s">
        <v>599</v>
      </c>
      <c r="O7028" s="37" t="str">
        <f t="shared" si="548"/>
        <v>Digital Payment</v>
      </c>
      <c r="P7028">
        <v>315.08</v>
      </c>
      <c r="Q7028" s="37" t="str">
        <f>IF(P7028&gt;500,"High","low")</f>
        <v>low</v>
      </c>
      <c r="R7028" s="37" t="str">
        <f t="shared" si="549"/>
        <v>AVERAGE</v>
      </c>
      <c r="S7028" t="s">
        <v>620</v>
      </c>
    </row>
    <row r="7029" spans="1:19" x14ac:dyDescent="0.2">
      <c r="A7029" t="s">
        <v>7640</v>
      </c>
      <c r="B7029" t="s">
        <v>75</v>
      </c>
      <c r="C7029" t="s">
        <v>597</v>
      </c>
      <c r="D7029">
        <v>444.35</v>
      </c>
      <c r="E7029" s="37" t="str">
        <f t="shared" si="545"/>
        <v xml:space="preserve"> </v>
      </c>
      <c r="F7029">
        <v>0.37</v>
      </c>
      <c r="G7029" s="37" t="str">
        <f t="shared" si="546"/>
        <v>Heavy Discount</v>
      </c>
      <c r="H7029" s="37" t="str">
        <f t="shared" si="547"/>
        <v>Medium</v>
      </c>
      <c r="I7029">
        <v>6</v>
      </c>
      <c r="J7029" t="str" cm="1">
        <f t="array" ref="J7029">_xlfn.IFS(I7029&lt;=3,"small",I7029&lt;=6,"Medium",I7029&lt;=9,"Large")</f>
        <v>Medium</v>
      </c>
      <c r="K7029" s="36">
        <v>45625</v>
      </c>
      <c r="L7029" s="36">
        <v>45632</v>
      </c>
      <c r="M7029" t="s">
        <v>612</v>
      </c>
      <c r="N7029" t="s">
        <v>599</v>
      </c>
      <c r="O7029" s="37" t="str">
        <f t="shared" si="548"/>
        <v>Digital Payment</v>
      </c>
      <c r="P7029">
        <v>53.78</v>
      </c>
      <c r="Q7029" s="37" t="str">
        <f>IF(P7029&gt;500,"High","low")</f>
        <v>low</v>
      </c>
      <c r="R7029" s="37" t="str">
        <f t="shared" si="549"/>
        <v>AVERAGE</v>
      </c>
      <c r="S7029" t="s">
        <v>600</v>
      </c>
    </row>
    <row r="7030" spans="1:19" x14ac:dyDescent="0.2">
      <c r="A7030" t="s">
        <v>7641</v>
      </c>
      <c r="B7030" t="s">
        <v>67</v>
      </c>
      <c r="C7030" t="s">
        <v>597</v>
      </c>
      <c r="D7030">
        <v>2573.5100000000002</v>
      </c>
      <c r="E7030" s="37" t="str">
        <f t="shared" si="545"/>
        <v xml:space="preserve"> </v>
      </c>
      <c r="F7030">
        <v>0.17</v>
      </c>
      <c r="G7030" s="37" t="str">
        <f t="shared" si="546"/>
        <v>Normal Discount</v>
      </c>
      <c r="H7030" s="37" t="str">
        <f t="shared" si="547"/>
        <v>Low</v>
      </c>
      <c r="I7030">
        <v>1</v>
      </c>
      <c r="J7030" t="str" cm="1">
        <f t="array" ref="J7030">_xlfn.IFS(I7030&lt;=3,"small",I7030&lt;=6,"Medium",I7030&lt;=9,"Large")</f>
        <v>small</v>
      </c>
      <c r="K7030" s="36">
        <v>45120</v>
      </c>
      <c r="L7030" s="36">
        <v>45125</v>
      </c>
      <c r="M7030" t="s">
        <v>612</v>
      </c>
      <c r="N7030" t="s">
        <v>599</v>
      </c>
      <c r="O7030" s="37" t="str">
        <f t="shared" si="548"/>
        <v>Digital Payment</v>
      </c>
      <c r="P7030">
        <v>651.77</v>
      </c>
      <c r="Q7030" s="37" t="str">
        <f>IF(P7030&gt;500,"High","low")</f>
        <v>High</v>
      </c>
      <c r="R7030" s="37" t="str">
        <f t="shared" si="549"/>
        <v>Good</v>
      </c>
      <c r="S7030" t="s">
        <v>600</v>
      </c>
    </row>
    <row r="7031" spans="1:19" x14ac:dyDescent="0.2">
      <c r="A7031" t="s">
        <v>7642</v>
      </c>
      <c r="B7031" t="s">
        <v>83</v>
      </c>
      <c r="C7031" t="s">
        <v>617</v>
      </c>
      <c r="D7031">
        <v>2247.8000000000002</v>
      </c>
      <c r="E7031" s="37" t="str">
        <f t="shared" si="545"/>
        <v xml:space="preserve"> </v>
      </c>
      <c r="F7031">
        <v>0.45</v>
      </c>
      <c r="G7031" s="37" t="str">
        <f t="shared" si="546"/>
        <v>Heavy Discount</v>
      </c>
      <c r="H7031" s="37" t="str">
        <f t="shared" si="547"/>
        <v>High</v>
      </c>
      <c r="I7031">
        <v>6</v>
      </c>
      <c r="J7031" t="str" cm="1">
        <f t="array" ref="J7031">_xlfn.IFS(I7031&lt;=3,"small",I7031&lt;=6,"Medium",I7031&lt;=9,"Large")</f>
        <v>Medium</v>
      </c>
      <c r="K7031" s="36">
        <v>44969</v>
      </c>
      <c r="L7031" s="36">
        <v>44972</v>
      </c>
      <c r="M7031" t="s">
        <v>603</v>
      </c>
      <c r="N7031" t="s">
        <v>604</v>
      </c>
      <c r="O7031" s="37" t="str">
        <f t="shared" si="548"/>
        <v>Digital Payment</v>
      </c>
      <c r="P7031">
        <v>519.58000000000004</v>
      </c>
      <c r="Q7031" s="37" t="str">
        <f>IF(P7031&gt;500,"High","low")</f>
        <v>High</v>
      </c>
      <c r="R7031" s="37" t="str">
        <f t="shared" si="549"/>
        <v>Good</v>
      </c>
      <c r="S7031" t="s">
        <v>605</v>
      </c>
    </row>
    <row r="7032" spans="1:19" x14ac:dyDescent="0.2">
      <c r="A7032" t="s">
        <v>7643</v>
      </c>
      <c r="B7032" t="s">
        <v>83</v>
      </c>
      <c r="C7032" t="s">
        <v>607</v>
      </c>
      <c r="D7032">
        <v>776.95</v>
      </c>
      <c r="E7032" s="37" t="str">
        <f t="shared" si="545"/>
        <v xml:space="preserve"> </v>
      </c>
      <c r="F7032">
        <v>0.4</v>
      </c>
      <c r="G7032" s="37" t="str">
        <f t="shared" si="546"/>
        <v>Heavy Discount</v>
      </c>
      <c r="H7032" s="37" t="str">
        <f t="shared" si="547"/>
        <v>Medium</v>
      </c>
      <c r="I7032">
        <v>9</v>
      </c>
      <c r="J7032" t="str" cm="1">
        <f t="array" ref="J7032">_xlfn.IFS(I7032&lt;=3,"small",I7032&lt;=6,"Medium",I7032&lt;=9,"Large")</f>
        <v>Large</v>
      </c>
      <c r="K7032" s="36">
        <v>45369</v>
      </c>
      <c r="L7032" s="36">
        <v>45376</v>
      </c>
      <c r="M7032" t="s">
        <v>603</v>
      </c>
      <c r="N7032" t="s">
        <v>604</v>
      </c>
      <c r="O7032" s="37" t="str">
        <f t="shared" si="548"/>
        <v>Digital Payment</v>
      </c>
      <c r="P7032">
        <v>102.03</v>
      </c>
      <c r="Q7032" s="37" t="str">
        <f>IF(P7032&gt;500,"High","low")</f>
        <v>low</v>
      </c>
      <c r="R7032" s="37" t="str">
        <f t="shared" si="549"/>
        <v>AVERAGE</v>
      </c>
      <c r="S7032" t="s">
        <v>628</v>
      </c>
    </row>
    <row r="7033" spans="1:19" x14ac:dyDescent="0.2">
      <c r="A7033" t="s">
        <v>7644</v>
      </c>
      <c r="B7033" t="s">
        <v>75</v>
      </c>
      <c r="C7033" t="s">
        <v>614</v>
      </c>
      <c r="D7033">
        <v>2503.71</v>
      </c>
      <c r="E7033" s="37" t="str">
        <f t="shared" si="545"/>
        <v xml:space="preserve"> </v>
      </c>
      <c r="F7033">
        <v>0.21</v>
      </c>
      <c r="G7033" s="37" t="str">
        <f t="shared" si="546"/>
        <v>Normal Discount</v>
      </c>
      <c r="H7033" s="37" t="str">
        <f t="shared" si="547"/>
        <v>Medium</v>
      </c>
      <c r="I7033">
        <v>3</v>
      </c>
      <c r="J7033" t="str" cm="1">
        <f t="array" ref="J7033">_xlfn.IFS(I7033&lt;=3,"small",I7033&lt;=6,"Medium",I7033&lt;=9,"Large")</f>
        <v>small</v>
      </c>
      <c r="K7033" s="36">
        <v>45128</v>
      </c>
      <c r="L7033" s="36">
        <v>45129</v>
      </c>
      <c r="M7033" t="s">
        <v>598</v>
      </c>
      <c r="N7033" t="s">
        <v>599</v>
      </c>
      <c r="O7033" s="37" t="str">
        <f t="shared" si="548"/>
        <v>Digital Payment</v>
      </c>
      <c r="P7033">
        <v>516.04999999999995</v>
      </c>
      <c r="Q7033" s="37" t="str">
        <f>IF(P7033&gt;500,"High","low")</f>
        <v>High</v>
      </c>
      <c r="R7033" s="37" t="str">
        <f t="shared" si="549"/>
        <v>Good</v>
      </c>
      <c r="S7033" t="s">
        <v>600</v>
      </c>
    </row>
    <row r="7034" spans="1:19" x14ac:dyDescent="0.2">
      <c r="A7034" t="s">
        <v>7645</v>
      </c>
      <c r="B7034" t="s">
        <v>90</v>
      </c>
      <c r="C7034" t="s">
        <v>614</v>
      </c>
      <c r="D7034">
        <v>4751.9399999999996</v>
      </c>
      <c r="E7034" s="37" t="str">
        <f t="shared" si="545"/>
        <v>Excellent Order</v>
      </c>
      <c r="F7034">
        <v>0.42</v>
      </c>
      <c r="G7034" s="37" t="str">
        <f t="shared" si="546"/>
        <v>Heavy Discount</v>
      </c>
      <c r="H7034" s="37" t="str">
        <f t="shared" si="547"/>
        <v>High</v>
      </c>
      <c r="I7034">
        <v>2</v>
      </c>
      <c r="J7034" t="str" cm="1">
        <f t="array" ref="J7034">_xlfn.IFS(I7034&lt;=3,"small",I7034&lt;=6,"Medium",I7034&lt;=9,"Large")</f>
        <v>small</v>
      </c>
      <c r="K7034" s="36">
        <v>45545</v>
      </c>
      <c r="L7034" s="36">
        <v>45548</v>
      </c>
      <c r="M7034" t="s">
        <v>598</v>
      </c>
      <c r="N7034" t="s">
        <v>599</v>
      </c>
      <c r="O7034" s="37" t="str">
        <f t="shared" si="548"/>
        <v>Digital Payment</v>
      </c>
      <c r="P7034">
        <v>814.04</v>
      </c>
      <c r="Q7034" s="37" t="str">
        <f>IF(P7034&gt;500,"High","low")</f>
        <v>High</v>
      </c>
      <c r="R7034" s="37" t="str">
        <f t="shared" si="549"/>
        <v>Good</v>
      </c>
      <c r="S7034" t="s">
        <v>620</v>
      </c>
    </row>
    <row r="7035" spans="1:19" x14ac:dyDescent="0.2">
      <c r="A7035" t="s">
        <v>7646</v>
      </c>
      <c r="B7035" t="s">
        <v>83</v>
      </c>
      <c r="C7035" t="s">
        <v>607</v>
      </c>
      <c r="D7035">
        <v>3683.83</v>
      </c>
      <c r="E7035" s="37" t="str">
        <f t="shared" si="545"/>
        <v xml:space="preserve"> </v>
      </c>
      <c r="F7035">
        <v>0.14000000000000001</v>
      </c>
      <c r="G7035" s="37" t="str">
        <f t="shared" si="546"/>
        <v>Normal Discount</v>
      </c>
      <c r="H7035" s="37" t="str">
        <f t="shared" si="547"/>
        <v>Low</v>
      </c>
      <c r="I7035">
        <v>8</v>
      </c>
      <c r="J7035" t="str" cm="1">
        <f t="array" ref="J7035">_xlfn.IFS(I7035&lt;=3,"small",I7035&lt;=6,"Medium",I7035&lt;=9,"Large")</f>
        <v>Large</v>
      </c>
      <c r="K7035" s="36">
        <v>44999</v>
      </c>
      <c r="L7035" s="36">
        <v>45004</v>
      </c>
      <c r="M7035" t="s">
        <v>598</v>
      </c>
      <c r="N7035" t="s">
        <v>604</v>
      </c>
      <c r="O7035" s="37" t="str">
        <f t="shared" si="548"/>
        <v>Digital Payment</v>
      </c>
      <c r="P7035">
        <v>233.97</v>
      </c>
      <c r="Q7035" s="37" t="str">
        <f>IF(P7035&gt;500,"High","low")</f>
        <v>low</v>
      </c>
      <c r="R7035" s="37" t="str">
        <f t="shared" si="549"/>
        <v>AVERAGE</v>
      </c>
      <c r="S7035" t="s">
        <v>628</v>
      </c>
    </row>
    <row r="7036" spans="1:19" x14ac:dyDescent="0.2">
      <c r="A7036" t="s">
        <v>7647</v>
      </c>
      <c r="B7036" t="s">
        <v>90</v>
      </c>
      <c r="C7036" t="s">
        <v>617</v>
      </c>
      <c r="D7036">
        <v>3720.47</v>
      </c>
      <c r="E7036" s="37" t="str">
        <f t="shared" si="545"/>
        <v xml:space="preserve"> </v>
      </c>
      <c r="F7036">
        <v>0.34</v>
      </c>
      <c r="G7036" s="37" t="str">
        <f t="shared" si="546"/>
        <v>Heavy Discount</v>
      </c>
      <c r="H7036" s="37" t="str">
        <f t="shared" si="547"/>
        <v>Medium</v>
      </c>
      <c r="I7036">
        <v>2</v>
      </c>
      <c r="J7036" t="str" cm="1">
        <f t="array" ref="J7036">_xlfn.IFS(I7036&lt;=3,"small",I7036&lt;=6,"Medium",I7036&lt;=9,"Large")</f>
        <v>small</v>
      </c>
      <c r="K7036" s="36">
        <v>45147</v>
      </c>
      <c r="L7036" s="36">
        <v>45153</v>
      </c>
      <c r="M7036" t="s">
        <v>598</v>
      </c>
      <c r="N7036" t="s">
        <v>604</v>
      </c>
      <c r="O7036" s="37" t="str">
        <f t="shared" si="548"/>
        <v>Digital Payment</v>
      </c>
      <c r="P7036">
        <v>571.98</v>
      </c>
      <c r="Q7036" s="37" t="str">
        <f>IF(P7036&gt;500,"High","low")</f>
        <v>High</v>
      </c>
      <c r="R7036" s="37" t="str">
        <f t="shared" si="549"/>
        <v>Good</v>
      </c>
      <c r="S7036" t="s">
        <v>615</v>
      </c>
    </row>
    <row r="7037" spans="1:19" x14ac:dyDescent="0.2">
      <c r="A7037" t="s">
        <v>7648</v>
      </c>
      <c r="B7037" t="s">
        <v>83</v>
      </c>
      <c r="C7037" t="s">
        <v>602</v>
      </c>
      <c r="D7037">
        <v>3812</v>
      </c>
      <c r="E7037" s="37" t="str">
        <f t="shared" si="545"/>
        <v xml:space="preserve"> </v>
      </c>
      <c r="F7037">
        <v>0.06</v>
      </c>
      <c r="G7037" s="37" t="str">
        <f t="shared" si="546"/>
        <v>Normal Discount</v>
      </c>
      <c r="H7037" s="37" t="str">
        <f t="shared" si="547"/>
        <v>Low</v>
      </c>
      <c r="I7037">
        <v>8</v>
      </c>
      <c r="J7037" t="str" cm="1">
        <f t="array" ref="J7037">_xlfn.IFS(I7037&lt;=3,"small",I7037&lt;=6,"Medium",I7037&lt;=9,"Large")</f>
        <v>Large</v>
      </c>
      <c r="K7037" s="36">
        <v>45528</v>
      </c>
      <c r="L7037" s="36">
        <v>45532</v>
      </c>
      <c r="M7037" t="s">
        <v>612</v>
      </c>
      <c r="N7037" t="s">
        <v>599</v>
      </c>
      <c r="O7037" s="37" t="str">
        <f t="shared" si="548"/>
        <v>Digital Payment</v>
      </c>
      <c r="P7037">
        <v>315.89999999999998</v>
      </c>
      <c r="Q7037" s="37" t="str">
        <f>IF(P7037&gt;500,"High","low")</f>
        <v>low</v>
      </c>
      <c r="R7037" s="37" t="str">
        <f t="shared" si="549"/>
        <v>AVERAGE</v>
      </c>
      <c r="S7037" t="s">
        <v>605</v>
      </c>
    </row>
    <row r="7038" spans="1:19" x14ac:dyDescent="0.2">
      <c r="A7038" t="s">
        <v>7649</v>
      </c>
      <c r="B7038" t="s">
        <v>83</v>
      </c>
      <c r="C7038" t="s">
        <v>597</v>
      </c>
      <c r="D7038">
        <v>3748.71</v>
      </c>
      <c r="E7038" s="37" t="str">
        <f t="shared" si="545"/>
        <v xml:space="preserve"> </v>
      </c>
      <c r="F7038">
        <v>0.43</v>
      </c>
      <c r="G7038" s="37" t="str">
        <f t="shared" si="546"/>
        <v>Heavy Discount</v>
      </c>
      <c r="H7038" s="37" t="str">
        <f t="shared" si="547"/>
        <v>High</v>
      </c>
      <c r="I7038">
        <v>4</v>
      </c>
      <c r="J7038" t="str" cm="1">
        <f t="array" ref="J7038">_xlfn.IFS(I7038&lt;=3,"small",I7038&lt;=6,"Medium",I7038&lt;=9,"Large")</f>
        <v>Medium</v>
      </c>
      <c r="K7038" s="36">
        <v>45558</v>
      </c>
      <c r="L7038" s="36">
        <v>45559</v>
      </c>
      <c r="M7038" t="s">
        <v>612</v>
      </c>
      <c r="N7038" t="s">
        <v>599</v>
      </c>
      <c r="O7038" s="37" t="str">
        <f t="shared" si="548"/>
        <v>Digital Payment</v>
      </c>
      <c r="P7038">
        <v>298.87</v>
      </c>
      <c r="Q7038" s="37" t="str">
        <f>IF(P7038&gt;500,"High","low")</f>
        <v>low</v>
      </c>
      <c r="R7038" s="37" t="str">
        <f t="shared" si="549"/>
        <v>AVERAGE</v>
      </c>
      <c r="S7038" t="s">
        <v>628</v>
      </c>
    </row>
    <row r="7039" spans="1:19" x14ac:dyDescent="0.2">
      <c r="A7039" t="s">
        <v>7650</v>
      </c>
      <c r="B7039" t="s">
        <v>90</v>
      </c>
      <c r="C7039" t="s">
        <v>602</v>
      </c>
      <c r="D7039">
        <v>197.52</v>
      </c>
      <c r="E7039" s="37" t="str">
        <f t="shared" si="545"/>
        <v xml:space="preserve"> </v>
      </c>
      <c r="F7039">
        <v>0.36</v>
      </c>
      <c r="G7039" s="37" t="str">
        <f t="shared" si="546"/>
        <v>Heavy Discount</v>
      </c>
      <c r="H7039" s="37" t="str">
        <f t="shared" si="547"/>
        <v>Medium</v>
      </c>
      <c r="I7039">
        <v>9</v>
      </c>
      <c r="J7039" t="str" cm="1">
        <f t="array" ref="J7039">_xlfn.IFS(I7039&lt;=3,"small",I7039&lt;=6,"Medium",I7039&lt;=9,"Large")</f>
        <v>Large</v>
      </c>
      <c r="K7039" s="36">
        <v>45602</v>
      </c>
      <c r="L7039" s="36">
        <v>45608</v>
      </c>
      <c r="M7039" t="s">
        <v>603</v>
      </c>
      <c r="N7039" t="s">
        <v>608</v>
      </c>
      <c r="O7039" s="37" t="str">
        <f t="shared" si="548"/>
        <v>Cash Payment</v>
      </c>
      <c r="P7039">
        <v>17.77</v>
      </c>
      <c r="Q7039" s="37" t="str">
        <f>IF(P7039&gt;500,"High","low")</f>
        <v>low</v>
      </c>
      <c r="R7039" s="37" t="str">
        <f t="shared" si="549"/>
        <v>AVERAGE</v>
      </c>
      <c r="S7039" t="s">
        <v>615</v>
      </c>
    </row>
    <row r="7040" spans="1:19" x14ac:dyDescent="0.2">
      <c r="A7040" t="s">
        <v>7651</v>
      </c>
      <c r="B7040" t="s">
        <v>67</v>
      </c>
      <c r="C7040" t="s">
        <v>597</v>
      </c>
      <c r="D7040">
        <v>4630.99</v>
      </c>
      <c r="E7040" s="37" t="str">
        <f t="shared" si="545"/>
        <v xml:space="preserve"> </v>
      </c>
      <c r="F7040">
        <v>0.08</v>
      </c>
      <c r="G7040" s="37" t="str">
        <f t="shared" si="546"/>
        <v>Normal Discount</v>
      </c>
      <c r="H7040" s="37" t="str">
        <f t="shared" si="547"/>
        <v>Low</v>
      </c>
      <c r="I7040">
        <v>4</v>
      </c>
      <c r="J7040" t="str" cm="1">
        <f t="array" ref="J7040">_xlfn.IFS(I7040&lt;=3,"small",I7040&lt;=6,"Medium",I7040&lt;=9,"Large")</f>
        <v>Medium</v>
      </c>
      <c r="K7040" s="36">
        <v>45314</v>
      </c>
      <c r="L7040" s="36">
        <v>45318</v>
      </c>
      <c r="M7040" t="s">
        <v>612</v>
      </c>
      <c r="N7040" t="s">
        <v>608</v>
      </c>
      <c r="O7040" s="37" t="str">
        <f t="shared" si="548"/>
        <v>Cash Payment</v>
      </c>
      <c r="P7040">
        <v>727.68</v>
      </c>
      <c r="Q7040" s="37" t="str">
        <f>IF(P7040&gt;500,"High","low")</f>
        <v>High</v>
      </c>
      <c r="R7040" s="37" t="str">
        <f t="shared" si="549"/>
        <v>Good</v>
      </c>
      <c r="S7040" t="s">
        <v>600</v>
      </c>
    </row>
    <row r="7041" spans="1:19" x14ac:dyDescent="0.2">
      <c r="A7041" t="s">
        <v>7652</v>
      </c>
      <c r="B7041" t="s">
        <v>83</v>
      </c>
      <c r="C7041" t="s">
        <v>602</v>
      </c>
      <c r="D7041">
        <v>4167.68</v>
      </c>
      <c r="E7041" s="37" t="str">
        <f t="shared" si="545"/>
        <v>Excellent Order</v>
      </c>
      <c r="F7041">
        <v>0.01</v>
      </c>
      <c r="G7041" s="37" t="str">
        <f t="shared" si="546"/>
        <v>Normal Discount</v>
      </c>
      <c r="H7041" s="37" t="str">
        <f t="shared" si="547"/>
        <v>Low</v>
      </c>
      <c r="I7041">
        <v>1</v>
      </c>
      <c r="J7041" t="str" cm="1">
        <f t="array" ref="J7041">_xlfn.IFS(I7041&lt;=3,"small",I7041&lt;=6,"Medium",I7041&lt;=9,"Large")</f>
        <v>small</v>
      </c>
      <c r="K7041" s="36">
        <v>45459</v>
      </c>
      <c r="L7041" s="36">
        <v>45462</v>
      </c>
      <c r="M7041" t="s">
        <v>598</v>
      </c>
      <c r="N7041" t="s">
        <v>604</v>
      </c>
      <c r="O7041" s="37" t="str">
        <f t="shared" si="548"/>
        <v>Digital Payment</v>
      </c>
      <c r="P7041">
        <v>1164.01</v>
      </c>
      <c r="Q7041" s="37" t="str">
        <f>IF(P7041&gt;500,"High","low")</f>
        <v>High</v>
      </c>
      <c r="R7041" s="37" t="str">
        <f t="shared" si="549"/>
        <v>Excellent</v>
      </c>
      <c r="S7041" t="s">
        <v>615</v>
      </c>
    </row>
    <row r="7042" spans="1:19" x14ac:dyDescent="0.2">
      <c r="A7042" t="s">
        <v>7653</v>
      </c>
      <c r="B7042" t="s">
        <v>83</v>
      </c>
      <c r="C7042" t="s">
        <v>617</v>
      </c>
      <c r="D7042">
        <v>1445.44</v>
      </c>
      <c r="E7042" s="37" t="str">
        <f t="shared" si="545"/>
        <v xml:space="preserve"> </v>
      </c>
      <c r="F7042">
        <v>0.19</v>
      </c>
      <c r="G7042" s="37" t="str">
        <f t="shared" si="546"/>
        <v>Normal Discount</v>
      </c>
      <c r="H7042" s="37" t="str">
        <f t="shared" si="547"/>
        <v>Low</v>
      </c>
      <c r="I7042">
        <v>8</v>
      </c>
      <c r="J7042" t="str" cm="1">
        <f t="array" ref="J7042">_xlfn.IFS(I7042&lt;=3,"small",I7042&lt;=6,"Medium",I7042&lt;=9,"Large")</f>
        <v>Large</v>
      </c>
      <c r="K7042" s="36">
        <v>45535</v>
      </c>
      <c r="L7042" s="36">
        <v>45540</v>
      </c>
      <c r="M7042" t="s">
        <v>612</v>
      </c>
      <c r="N7042" t="s">
        <v>599</v>
      </c>
      <c r="O7042" s="37" t="str">
        <f t="shared" si="548"/>
        <v>Digital Payment</v>
      </c>
      <c r="P7042">
        <v>351.09</v>
      </c>
      <c r="Q7042" s="37" t="str">
        <f>IF(P7042&gt;500,"High","low")</f>
        <v>low</v>
      </c>
      <c r="R7042" s="37" t="str">
        <f t="shared" si="549"/>
        <v>AVERAGE</v>
      </c>
      <c r="S7042" t="s">
        <v>609</v>
      </c>
    </row>
    <row r="7043" spans="1:19" x14ac:dyDescent="0.2">
      <c r="A7043" t="s">
        <v>7654</v>
      </c>
      <c r="B7043" t="s">
        <v>90</v>
      </c>
      <c r="C7043" t="s">
        <v>617</v>
      </c>
      <c r="D7043">
        <v>2808.44</v>
      </c>
      <c r="E7043" s="37" t="str">
        <f t="shared" ref="E7043:E7106" si="550">IF(AND(D7043&gt;4000,P7043&gt;800),"Excellent Order"," ")</f>
        <v xml:space="preserve"> </v>
      </c>
      <c r="F7043">
        <v>0.34</v>
      </c>
      <c r="G7043" s="37" t="str">
        <f t="shared" ref="G7043:G7106" si="551">IF(F7043&gt;30%,"Heavy Discount","Normal Discount")</f>
        <v>Heavy Discount</v>
      </c>
      <c r="H7043" s="37" t="str">
        <f t="shared" ref="H7043:H7106" si="552">IF(F7043&gt;0.4,"High",IF(F7043&gt;=0.2,"Medium","Low"))</f>
        <v>Medium</v>
      </c>
      <c r="I7043">
        <v>1</v>
      </c>
      <c r="J7043" t="str" cm="1">
        <f t="array" ref="J7043">_xlfn.IFS(I7043&lt;=3,"small",I7043&lt;=6,"Medium",I7043&lt;=9,"Large")</f>
        <v>small</v>
      </c>
      <c r="K7043" s="36">
        <v>44930</v>
      </c>
      <c r="L7043" s="36">
        <v>44936</v>
      </c>
      <c r="M7043" t="s">
        <v>603</v>
      </c>
      <c r="N7043" t="s">
        <v>604</v>
      </c>
      <c r="O7043" s="37" t="str">
        <f t="shared" ref="O7043:O7106" si="553">IF(OR(N7043="Card",N7043="UPI"),"Digital Payment","Cash Payment")</f>
        <v>Digital Payment</v>
      </c>
      <c r="P7043">
        <v>739.5</v>
      </c>
      <c r="Q7043" s="37" t="str">
        <f>IF(P7043&gt;500,"High","low")</f>
        <v>High</v>
      </c>
      <c r="R7043" s="37" t="str">
        <f t="shared" ref="R7043:R7106" si="554">IF(P7043&gt;1000,"Excellent",IF(P7043&gt;=500,"Good","AVERAGE"))</f>
        <v>Good</v>
      </c>
      <c r="S7043" t="s">
        <v>609</v>
      </c>
    </row>
    <row r="7044" spans="1:19" x14ac:dyDescent="0.2">
      <c r="A7044" t="s">
        <v>7655</v>
      </c>
      <c r="B7044" t="s">
        <v>67</v>
      </c>
      <c r="C7044" t="s">
        <v>607</v>
      </c>
      <c r="D7044">
        <v>3113.53</v>
      </c>
      <c r="E7044" s="37" t="str">
        <f t="shared" si="550"/>
        <v xml:space="preserve"> </v>
      </c>
      <c r="F7044">
        <v>0.14000000000000001</v>
      </c>
      <c r="G7044" s="37" t="str">
        <f t="shared" si="551"/>
        <v>Normal Discount</v>
      </c>
      <c r="H7044" s="37" t="str">
        <f t="shared" si="552"/>
        <v>Low</v>
      </c>
      <c r="I7044">
        <v>5</v>
      </c>
      <c r="J7044" t="str" cm="1">
        <f t="array" ref="J7044">_xlfn.IFS(I7044&lt;=3,"small",I7044&lt;=6,"Medium",I7044&lt;=9,"Large")</f>
        <v>Medium</v>
      </c>
      <c r="K7044" s="36">
        <v>45314</v>
      </c>
      <c r="L7044" s="36">
        <v>45316</v>
      </c>
      <c r="M7044" t="s">
        <v>612</v>
      </c>
      <c r="N7044" t="s">
        <v>608</v>
      </c>
      <c r="O7044" s="37" t="str">
        <f t="shared" si="553"/>
        <v>Cash Payment</v>
      </c>
      <c r="P7044">
        <v>728.42</v>
      </c>
      <c r="Q7044" s="37" t="str">
        <f>IF(P7044&gt;500,"High","low")</f>
        <v>High</v>
      </c>
      <c r="R7044" s="37" t="str">
        <f t="shared" si="554"/>
        <v>Good</v>
      </c>
      <c r="S7044" t="s">
        <v>628</v>
      </c>
    </row>
    <row r="7045" spans="1:19" x14ac:dyDescent="0.2">
      <c r="A7045" t="s">
        <v>7656</v>
      </c>
      <c r="B7045" t="s">
        <v>83</v>
      </c>
      <c r="C7045" t="s">
        <v>602</v>
      </c>
      <c r="D7045">
        <v>746.53</v>
      </c>
      <c r="E7045" s="37" t="str">
        <f t="shared" si="550"/>
        <v xml:space="preserve"> </v>
      </c>
      <c r="F7045">
        <v>0.49</v>
      </c>
      <c r="G7045" s="37" t="str">
        <f t="shared" si="551"/>
        <v>Heavy Discount</v>
      </c>
      <c r="H7045" s="37" t="str">
        <f t="shared" si="552"/>
        <v>High</v>
      </c>
      <c r="I7045">
        <v>7</v>
      </c>
      <c r="J7045" t="str" cm="1">
        <f t="array" ref="J7045">_xlfn.IFS(I7045&lt;=3,"small",I7045&lt;=6,"Medium",I7045&lt;=9,"Large")</f>
        <v>Large</v>
      </c>
      <c r="K7045" s="36">
        <v>45087</v>
      </c>
      <c r="L7045" s="36">
        <v>45088</v>
      </c>
      <c r="M7045" t="s">
        <v>603</v>
      </c>
      <c r="N7045" t="s">
        <v>604</v>
      </c>
      <c r="O7045" s="37" t="str">
        <f t="shared" si="553"/>
        <v>Digital Payment</v>
      </c>
      <c r="P7045">
        <v>218.29</v>
      </c>
      <c r="Q7045" s="37" t="str">
        <f>IF(P7045&gt;500,"High","low")</f>
        <v>low</v>
      </c>
      <c r="R7045" s="37" t="str">
        <f t="shared" si="554"/>
        <v>AVERAGE</v>
      </c>
      <c r="S7045" t="s">
        <v>609</v>
      </c>
    </row>
    <row r="7046" spans="1:19" x14ac:dyDescent="0.2">
      <c r="A7046" t="s">
        <v>7657</v>
      </c>
      <c r="B7046" t="s">
        <v>83</v>
      </c>
      <c r="C7046" t="s">
        <v>602</v>
      </c>
      <c r="D7046">
        <v>1344.42</v>
      </c>
      <c r="E7046" s="37" t="str">
        <f t="shared" si="550"/>
        <v xml:space="preserve"> </v>
      </c>
      <c r="F7046">
        <v>0.47</v>
      </c>
      <c r="G7046" s="37" t="str">
        <f t="shared" si="551"/>
        <v>Heavy Discount</v>
      </c>
      <c r="H7046" s="37" t="str">
        <f t="shared" si="552"/>
        <v>High</v>
      </c>
      <c r="I7046">
        <v>3</v>
      </c>
      <c r="J7046" t="str" cm="1">
        <f t="array" ref="J7046">_xlfn.IFS(I7046&lt;=3,"small",I7046&lt;=6,"Medium",I7046&lt;=9,"Large")</f>
        <v>small</v>
      </c>
      <c r="K7046" s="36">
        <v>45580</v>
      </c>
      <c r="L7046" s="36">
        <v>45587</v>
      </c>
      <c r="M7046" t="s">
        <v>603</v>
      </c>
      <c r="N7046" t="s">
        <v>604</v>
      </c>
      <c r="O7046" s="37" t="str">
        <f t="shared" si="553"/>
        <v>Digital Payment</v>
      </c>
      <c r="P7046">
        <v>316.19</v>
      </c>
      <c r="Q7046" s="37" t="str">
        <f>IF(P7046&gt;500,"High","low")</f>
        <v>low</v>
      </c>
      <c r="R7046" s="37" t="str">
        <f t="shared" si="554"/>
        <v>AVERAGE</v>
      </c>
      <c r="S7046" t="s">
        <v>609</v>
      </c>
    </row>
    <row r="7047" spans="1:19" x14ac:dyDescent="0.2">
      <c r="A7047" t="s">
        <v>7658</v>
      </c>
      <c r="B7047" t="s">
        <v>67</v>
      </c>
      <c r="C7047" t="s">
        <v>607</v>
      </c>
      <c r="D7047">
        <v>213.93</v>
      </c>
      <c r="E7047" s="37" t="str">
        <f t="shared" si="550"/>
        <v xml:space="preserve"> </v>
      </c>
      <c r="F7047">
        <v>0.3</v>
      </c>
      <c r="G7047" s="37" t="str">
        <f t="shared" si="551"/>
        <v>Normal Discount</v>
      </c>
      <c r="H7047" s="37" t="str">
        <f t="shared" si="552"/>
        <v>Medium</v>
      </c>
      <c r="I7047">
        <v>6</v>
      </c>
      <c r="J7047" t="str" cm="1">
        <f t="array" ref="J7047">_xlfn.IFS(I7047&lt;=3,"small",I7047&lt;=6,"Medium",I7047&lt;=9,"Large")</f>
        <v>Medium</v>
      </c>
      <c r="K7047" s="36">
        <v>45422</v>
      </c>
      <c r="L7047" s="36">
        <v>45428</v>
      </c>
      <c r="M7047" t="s">
        <v>612</v>
      </c>
      <c r="N7047" t="s">
        <v>604</v>
      </c>
      <c r="O7047" s="37" t="str">
        <f t="shared" si="553"/>
        <v>Digital Payment</v>
      </c>
      <c r="P7047">
        <v>53</v>
      </c>
      <c r="Q7047" s="37" t="str">
        <f>IF(P7047&gt;500,"High","low")</f>
        <v>low</v>
      </c>
      <c r="R7047" s="37" t="str">
        <f t="shared" si="554"/>
        <v>AVERAGE</v>
      </c>
      <c r="S7047" t="s">
        <v>605</v>
      </c>
    </row>
    <row r="7048" spans="1:19" x14ac:dyDescent="0.2">
      <c r="A7048" t="s">
        <v>7659</v>
      </c>
      <c r="B7048" t="s">
        <v>83</v>
      </c>
      <c r="C7048" t="s">
        <v>607</v>
      </c>
      <c r="D7048">
        <v>4333.3599999999997</v>
      </c>
      <c r="E7048" s="37" t="str">
        <f t="shared" si="550"/>
        <v>Excellent Order</v>
      </c>
      <c r="F7048">
        <v>0.16</v>
      </c>
      <c r="G7048" s="37" t="str">
        <f t="shared" si="551"/>
        <v>Normal Discount</v>
      </c>
      <c r="H7048" s="37" t="str">
        <f t="shared" si="552"/>
        <v>Low</v>
      </c>
      <c r="I7048">
        <v>1</v>
      </c>
      <c r="J7048" t="str" cm="1">
        <f t="array" ref="J7048">_xlfn.IFS(I7048&lt;=3,"small",I7048&lt;=6,"Medium",I7048&lt;=9,"Large")</f>
        <v>small</v>
      </c>
      <c r="K7048" s="36">
        <v>45014</v>
      </c>
      <c r="L7048" s="36">
        <v>45019</v>
      </c>
      <c r="M7048" t="s">
        <v>603</v>
      </c>
      <c r="N7048" t="s">
        <v>604</v>
      </c>
      <c r="O7048" s="37" t="str">
        <f t="shared" si="553"/>
        <v>Digital Payment</v>
      </c>
      <c r="P7048">
        <v>1097.6400000000001</v>
      </c>
      <c r="Q7048" s="37" t="str">
        <f>IF(P7048&gt;500,"High","low")</f>
        <v>High</v>
      </c>
      <c r="R7048" s="37" t="str">
        <f t="shared" si="554"/>
        <v>Excellent</v>
      </c>
      <c r="S7048" t="s">
        <v>615</v>
      </c>
    </row>
    <row r="7049" spans="1:19" x14ac:dyDescent="0.2">
      <c r="A7049" t="s">
        <v>7660</v>
      </c>
      <c r="B7049" t="s">
        <v>67</v>
      </c>
      <c r="C7049" t="s">
        <v>617</v>
      </c>
      <c r="D7049">
        <v>222.03</v>
      </c>
      <c r="E7049" s="37" t="str">
        <f t="shared" si="550"/>
        <v xml:space="preserve"> </v>
      </c>
      <c r="F7049">
        <v>0.45</v>
      </c>
      <c r="G7049" s="37" t="str">
        <f t="shared" si="551"/>
        <v>Heavy Discount</v>
      </c>
      <c r="H7049" s="37" t="str">
        <f t="shared" si="552"/>
        <v>High</v>
      </c>
      <c r="I7049">
        <v>6</v>
      </c>
      <c r="J7049" t="str" cm="1">
        <f t="array" ref="J7049">_xlfn.IFS(I7049&lt;=3,"small",I7049&lt;=6,"Medium",I7049&lt;=9,"Large")</f>
        <v>Medium</v>
      </c>
      <c r="K7049" s="36">
        <v>45116</v>
      </c>
      <c r="L7049" s="36">
        <v>45122</v>
      </c>
      <c r="M7049" t="s">
        <v>612</v>
      </c>
      <c r="N7049" t="s">
        <v>599</v>
      </c>
      <c r="O7049" s="37" t="str">
        <f t="shared" si="553"/>
        <v>Digital Payment</v>
      </c>
      <c r="P7049">
        <v>49.32</v>
      </c>
      <c r="Q7049" s="37" t="str">
        <f>IF(P7049&gt;500,"High","low")</f>
        <v>low</v>
      </c>
      <c r="R7049" s="37" t="str">
        <f t="shared" si="554"/>
        <v>AVERAGE</v>
      </c>
      <c r="S7049" t="s">
        <v>600</v>
      </c>
    </row>
    <row r="7050" spans="1:19" x14ac:dyDescent="0.2">
      <c r="A7050" t="s">
        <v>7661</v>
      </c>
      <c r="B7050" t="s">
        <v>67</v>
      </c>
      <c r="C7050" t="s">
        <v>617</v>
      </c>
      <c r="D7050">
        <v>1661.61</v>
      </c>
      <c r="E7050" s="37" t="str">
        <f t="shared" si="550"/>
        <v xml:space="preserve"> </v>
      </c>
      <c r="F7050">
        <v>0.4</v>
      </c>
      <c r="G7050" s="37" t="str">
        <f t="shared" si="551"/>
        <v>Heavy Discount</v>
      </c>
      <c r="H7050" s="37" t="str">
        <f t="shared" si="552"/>
        <v>Medium</v>
      </c>
      <c r="I7050">
        <v>5</v>
      </c>
      <c r="J7050" t="str" cm="1">
        <f t="array" ref="J7050">_xlfn.IFS(I7050&lt;=3,"small",I7050&lt;=6,"Medium",I7050&lt;=9,"Large")</f>
        <v>Medium</v>
      </c>
      <c r="K7050" s="36">
        <v>45015</v>
      </c>
      <c r="L7050" s="36">
        <v>45017</v>
      </c>
      <c r="M7050" t="s">
        <v>603</v>
      </c>
      <c r="N7050" t="s">
        <v>599</v>
      </c>
      <c r="O7050" s="37" t="str">
        <f t="shared" si="553"/>
        <v>Digital Payment</v>
      </c>
      <c r="P7050">
        <v>167.85</v>
      </c>
      <c r="Q7050" s="37" t="str">
        <f>IF(P7050&gt;500,"High","low")</f>
        <v>low</v>
      </c>
      <c r="R7050" s="37" t="str">
        <f t="shared" si="554"/>
        <v>AVERAGE</v>
      </c>
      <c r="S7050" t="s">
        <v>605</v>
      </c>
    </row>
    <row r="7051" spans="1:19" x14ac:dyDescent="0.2">
      <c r="A7051" t="s">
        <v>7662</v>
      </c>
      <c r="B7051" t="s">
        <v>90</v>
      </c>
      <c r="C7051" t="s">
        <v>602</v>
      </c>
      <c r="D7051">
        <v>483.41</v>
      </c>
      <c r="E7051" s="37" t="str">
        <f t="shared" si="550"/>
        <v xml:space="preserve"> </v>
      </c>
      <c r="F7051">
        <v>0.04</v>
      </c>
      <c r="G7051" s="37" t="str">
        <f t="shared" si="551"/>
        <v>Normal Discount</v>
      </c>
      <c r="H7051" s="37" t="str">
        <f t="shared" si="552"/>
        <v>Low</v>
      </c>
      <c r="I7051">
        <v>2</v>
      </c>
      <c r="J7051" t="str" cm="1">
        <f t="array" ref="J7051">_xlfn.IFS(I7051&lt;=3,"small",I7051&lt;=6,"Medium",I7051&lt;=9,"Large")</f>
        <v>small</v>
      </c>
      <c r="K7051" s="36">
        <v>45061</v>
      </c>
      <c r="L7051" s="36">
        <v>45062</v>
      </c>
      <c r="M7051" t="s">
        <v>612</v>
      </c>
      <c r="N7051" t="s">
        <v>604</v>
      </c>
      <c r="O7051" s="37" t="str">
        <f t="shared" si="553"/>
        <v>Digital Payment</v>
      </c>
      <c r="P7051">
        <v>141.52000000000001</v>
      </c>
      <c r="Q7051" s="37" t="str">
        <f>IF(P7051&gt;500,"High","low")</f>
        <v>low</v>
      </c>
      <c r="R7051" s="37" t="str">
        <f t="shared" si="554"/>
        <v>AVERAGE</v>
      </c>
      <c r="S7051" t="s">
        <v>615</v>
      </c>
    </row>
    <row r="7052" spans="1:19" x14ac:dyDescent="0.2">
      <c r="A7052" t="s">
        <v>7663</v>
      </c>
      <c r="B7052" t="s">
        <v>75</v>
      </c>
      <c r="C7052" t="s">
        <v>617</v>
      </c>
      <c r="D7052">
        <v>3928.89</v>
      </c>
      <c r="E7052" s="37" t="str">
        <f t="shared" si="550"/>
        <v xml:space="preserve"> </v>
      </c>
      <c r="F7052">
        <v>0.24</v>
      </c>
      <c r="G7052" s="37" t="str">
        <f t="shared" si="551"/>
        <v>Normal Discount</v>
      </c>
      <c r="H7052" s="37" t="str">
        <f t="shared" si="552"/>
        <v>Medium</v>
      </c>
      <c r="I7052">
        <v>4</v>
      </c>
      <c r="J7052" t="str" cm="1">
        <f t="array" ref="J7052">_xlfn.IFS(I7052&lt;=3,"small",I7052&lt;=6,"Medium",I7052&lt;=9,"Large")</f>
        <v>Medium</v>
      </c>
      <c r="K7052" s="36">
        <v>45420</v>
      </c>
      <c r="L7052" s="36">
        <v>45421</v>
      </c>
      <c r="M7052" t="s">
        <v>603</v>
      </c>
      <c r="N7052" t="s">
        <v>608</v>
      </c>
      <c r="O7052" s="37" t="str">
        <f t="shared" si="553"/>
        <v>Cash Payment</v>
      </c>
      <c r="P7052">
        <v>668.72</v>
      </c>
      <c r="Q7052" s="37" t="str">
        <f>IF(P7052&gt;500,"High","low")</f>
        <v>High</v>
      </c>
      <c r="R7052" s="37" t="str">
        <f t="shared" si="554"/>
        <v>Good</v>
      </c>
      <c r="S7052" t="s">
        <v>605</v>
      </c>
    </row>
    <row r="7053" spans="1:19" x14ac:dyDescent="0.2">
      <c r="A7053" t="s">
        <v>7664</v>
      </c>
      <c r="B7053" t="s">
        <v>67</v>
      </c>
      <c r="C7053" t="s">
        <v>617</v>
      </c>
      <c r="D7053">
        <v>4632.42</v>
      </c>
      <c r="E7053" s="37" t="str">
        <f t="shared" si="550"/>
        <v>Excellent Order</v>
      </c>
      <c r="F7053">
        <v>0.49</v>
      </c>
      <c r="G7053" s="37" t="str">
        <f t="shared" si="551"/>
        <v>Heavy Discount</v>
      </c>
      <c r="H7053" s="37" t="str">
        <f t="shared" si="552"/>
        <v>High</v>
      </c>
      <c r="I7053">
        <v>7</v>
      </c>
      <c r="J7053" t="str" cm="1">
        <f t="array" ref="J7053">_xlfn.IFS(I7053&lt;=3,"small",I7053&lt;=6,"Medium",I7053&lt;=9,"Large")</f>
        <v>Large</v>
      </c>
      <c r="K7053" s="36">
        <v>45187</v>
      </c>
      <c r="L7053" s="36">
        <v>45190</v>
      </c>
      <c r="M7053" t="s">
        <v>598</v>
      </c>
      <c r="N7053" t="s">
        <v>599</v>
      </c>
      <c r="O7053" s="37" t="str">
        <f t="shared" si="553"/>
        <v>Digital Payment</v>
      </c>
      <c r="P7053">
        <v>1192.0999999999999</v>
      </c>
      <c r="Q7053" s="37" t="str">
        <f>IF(P7053&gt;500,"High","low")</f>
        <v>High</v>
      </c>
      <c r="R7053" s="37" t="str">
        <f t="shared" si="554"/>
        <v>Excellent</v>
      </c>
      <c r="S7053" t="s">
        <v>628</v>
      </c>
    </row>
    <row r="7054" spans="1:19" x14ac:dyDescent="0.2">
      <c r="A7054" t="s">
        <v>7665</v>
      </c>
      <c r="B7054" t="s">
        <v>90</v>
      </c>
      <c r="C7054" t="s">
        <v>602</v>
      </c>
      <c r="D7054">
        <v>2857.8</v>
      </c>
      <c r="E7054" s="37" t="str">
        <f t="shared" si="550"/>
        <v xml:space="preserve"> </v>
      </c>
      <c r="F7054">
        <v>0.23</v>
      </c>
      <c r="G7054" s="37" t="str">
        <f t="shared" si="551"/>
        <v>Normal Discount</v>
      </c>
      <c r="H7054" s="37" t="str">
        <f t="shared" si="552"/>
        <v>Medium</v>
      </c>
      <c r="I7054">
        <v>6</v>
      </c>
      <c r="J7054" t="str" cm="1">
        <f t="array" ref="J7054">_xlfn.IFS(I7054&lt;=3,"small",I7054&lt;=6,"Medium",I7054&lt;=9,"Large")</f>
        <v>Medium</v>
      </c>
      <c r="K7054" s="36">
        <v>44939</v>
      </c>
      <c r="L7054" s="36">
        <v>44946</v>
      </c>
      <c r="M7054" t="s">
        <v>598</v>
      </c>
      <c r="N7054" t="s">
        <v>604</v>
      </c>
      <c r="O7054" s="37" t="str">
        <f t="shared" si="553"/>
        <v>Digital Payment</v>
      </c>
      <c r="P7054">
        <v>713.64</v>
      </c>
      <c r="Q7054" s="37" t="str">
        <f>IF(P7054&gt;500,"High","low")</f>
        <v>High</v>
      </c>
      <c r="R7054" s="37" t="str">
        <f t="shared" si="554"/>
        <v>Good</v>
      </c>
      <c r="S7054" t="s">
        <v>628</v>
      </c>
    </row>
    <row r="7055" spans="1:19" x14ac:dyDescent="0.2">
      <c r="A7055" t="s">
        <v>7666</v>
      </c>
      <c r="B7055" t="s">
        <v>75</v>
      </c>
      <c r="C7055" t="s">
        <v>607</v>
      </c>
      <c r="D7055">
        <v>783.88</v>
      </c>
      <c r="E7055" s="37" t="str">
        <f t="shared" si="550"/>
        <v xml:space="preserve"> </v>
      </c>
      <c r="F7055">
        <v>0.47</v>
      </c>
      <c r="G7055" s="37" t="str">
        <f t="shared" si="551"/>
        <v>Heavy Discount</v>
      </c>
      <c r="H7055" s="37" t="str">
        <f t="shared" si="552"/>
        <v>High</v>
      </c>
      <c r="I7055">
        <v>6</v>
      </c>
      <c r="J7055" t="str" cm="1">
        <f t="array" ref="J7055">_xlfn.IFS(I7055&lt;=3,"small",I7055&lt;=6,"Medium",I7055&lt;=9,"Large")</f>
        <v>Medium</v>
      </c>
      <c r="K7055" s="36">
        <v>45312</v>
      </c>
      <c r="L7055" s="36">
        <v>45314</v>
      </c>
      <c r="M7055" t="s">
        <v>612</v>
      </c>
      <c r="N7055" t="s">
        <v>599</v>
      </c>
      <c r="O7055" s="37" t="str">
        <f t="shared" si="553"/>
        <v>Digital Payment</v>
      </c>
      <c r="P7055">
        <v>122.98</v>
      </c>
      <c r="Q7055" s="37" t="str">
        <f>IF(P7055&gt;500,"High","low")</f>
        <v>low</v>
      </c>
      <c r="R7055" s="37" t="str">
        <f t="shared" si="554"/>
        <v>AVERAGE</v>
      </c>
      <c r="S7055" t="s">
        <v>600</v>
      </c>
    </row>
    <row r="7056" spans="1:19" x14ac:dyDescent="0.2">
      <c r="A7056" t="s">
        <v>7667</v>
      </c>
      <c r="B7056" t="s">
        <v>83</v>
      </c>
      <c r="C7056" t="s">
        <v>602</v>
      </c>
      <c r="D7056">
        <v>2834.99</v>
      </c>
      <c r="E7056" s="37" t="str">
        <f t="shared" si="550"/>
        <v xml:space="preserve"> </v>
      </c>
      <c r="F7056">
        <v>0.49</v>
      </c>
      <c r="G7056" s="37" t="str">
        <f t="shared" si="551"/>
        <v>Heavy Discount</v>
      </c>
      <c r="H7056" s="37" t="str">
        <f t="shared" si="552"/>
        <v>High</v>
      </c>
      <c r="I7056">
        <v>9</v>
      </c>
      <c r="J7056" t="str" cm="1">
        <f t="array" ref="J7056">_xlfn.IFS(I7056&lt;=3,"small",I7056&lt;=6,"Medium",I7056&lt;=9,"Large")</f>
        <v>Large</v>
      </c>
      <c r="K7056" s="36">
        <v>45176</v>
      </c>
      <c r="L7056" s="36">
        <v>45183</v>
      </c>
      <c r="M7056" t="s">
        <v>603</v>
      </c>
      <c r="N7056" t="s">
        <v>604</v>
      </c>
      <c r="O7056" s="37" t="str">
        <f t="shared" si="553"/>
        <v>Digital Payment</v>
      </c>
      <c r="P7056">
        <v>736.82</v>
      </c>
      <c r="Q7056" s="37" t="str">
        <f>IF(P7056&gt;500,"High","low")</f>
        <v>High</v>
      </c>
      <c r="R7056" s="37" t="str">
        <f t="shared" si="554"/>
        <v>Good</v>
      </c>
      <c r="S7056" t="s">
        <v>620</v>
      </c>
    </row>
    <row r="7057" spans="1:19" x14ac:dyDescent="0.2">
      <c r="A7057" t="s">
        <v>7668</v>
      </c>
      <c r="B7057" t="s">
        <v>75</v>
      </c>
      <c r="C7057" t="s">
        <v>614</v>
      </c>
      <c r="D7057">
        <v>3874.67</v>
      </c>
      <c r="E7057" s="37" t="str">
        <f t="shared" si="550"/>
        <v xml:space="preserve"> </v>
      </c>
      <c r="F7057">
        <v>0.19</v>
      </c>
      <c r="G7057" s="37" t="str">
        <f t="shared" si="551"/>
        <v>Normal Discount</v>
      </c>
      <c r="H7057" s="37" t="str">
        <f t="shared" si="552"/>
        <v>Low</v>
      </c>
      <c r="I7057">
        <v>2</v>
      </c>
      <c r="J7057" t="str" cm="1">
        <f t="array" ref="J7057">_xlfn.IFS(I7057&lt;=3,"small",I7057&lt;=6,"Medium",I7057&lt;=9,"Large")</f>
        <v>small</v>
      </c>
      <c r="K7057" s="36">
        <v>45429</v>
      </c>
      <c r="L7057" s="36">
        <v>45435</v>
      </c>
      <c r="M7057" t="s">
        <v>603</v>
      </c>
      <c r="N7057" t="s">
        <v>599</v>
      </c>
      <c r="O7057" s="37" t="str">
        <f t="shared" si="553"/>
        <v>Digital Payment</v>
      </c>
      <c r="P7057">
        <v>434.28</v>
      </c>
      <c r="Q7057" s="37" t="str">
        <f>IF(P7057&gt;500,"High","low")</f>
        <v>low</v>
      </c>
      <c r="R7057" s="37" t="str">
        <f t="shared" si="554"/>
        <v>AVERAGE</v>
      </c>
      <c r="S7057" t="s">
        <v>605</v>
      </c>
    </row>
    <row r="7058" spans="1:19" x14ac:dyDescent="0.2">
      <c r="A7058" t="s">
        <v>7669</v>
      </c>
      <c r="B7058" t="s">
        <v>67</v>
      </c>
      <c r="C7058" t="s">
        <v>602</v>
      </c>
      <c r="D7058">
        <v>3620.24</v>
      </c>
      <c r="E7058" s="37" t="str">
        <f t="shared" si="550"/>
        <v xml:space="preserve"> </v>
      </c>
      <c r="F7058">
        <v>0.48</v>
      </c>
      <c r="G7058" s="37" t="str">
        <f t="shared" si="551"/>
        <v>Heavy Discount</v>
      </c>
      <c r="H7058" s="37" t="str">
        <f t="shared" si="552"/>
        <v>High</v>
      </c>
      <c r="I7058">
        <v>1</v>
      </c>
      <c r="J7058" t="str" cm="1">
        <f t="array" ref="J7058">_xlfn.IFS(I7058&lt;=3,"small",I7058&lt;=6,"Medium",I7058&lt;=9,"Large")</f>
        <v>small</v>
      </c>
      <c r="K7058" s="36">
        <v>45522</v>
      </c>
      <c r="L7058" s="36">
        <v>45523</v>
      </c>
      <c r="M7058" t="s">
        <v>598</v>
      </c>
      <c r="N7058" t="s">
        <v>599</v>
      </c>
      <c r="O7058" s="37" t="str">
        <f t="shared" si="553"/>
        <v>Digital Payment</v>
      </c>
      <c r="P7058">
        <v>501.85</v>
      </c>
      <c r="Q7058" s="37" t="str">
        <f>IF(P7058&gt;500,"High","low")</f>
        <v>High</v>
      </c>
      <c r="R7058" s="37" t="str">
        <f t="shared" si="554"/>
        <v>Good</v>
      </c>
      <c r="S7058" t="s">
        <v>605</v>
      </c>
    </row>
    <row r="7059" spans="1:19" x14ac:dyDescent="0.2">
      <c r="A7059" t="s">
        <v>7670</v>
      </c>
      <c r="B7059" t="s">
        <v>67</v>
      </c>
      <c r="C7059" t="s">
        <v>614</v>
      </c>
      <c r="D7059">
        <v>3734.42</v>
      </c>
      <c r="E7059" s="37" t="str">
        <f t="shared" si="550"/>
        <v xml:space="preserve"> </v>
      </c>
      <c r="F7059">
        <v>7.0000000000000007E-2</v>
      </c>
      <c r="G7059" s="37" t="str">
        <f t="shared" si="551"/>
        <v>Normal Discount</v>
      </c>
      <c r="H7059" s="37" t="str">
        <f t="shared" si="552"/>
        <v>Low</v>
      </c>
      <c r="I7059">
        <v>2</v>
      </c>
      <c r="J7059" t="str" cm="1">
        <f t="array" ref="J7059">_xlfn.IFS(I7059&lt;=3,"small",I7059&lt;=6,"Medium",I7059&lt;=9,"Large")</f>
        <v>small</v>
      </c>
      <c r="K7059" s="36">
        <v>45555</v>
      </c>
      <c r="L7059" s="36">
        <v>45556</v>
      </c>
      <c r="M7059" t="s">
        <v>598</v>
      </c>
      <c r="N7059" t="s">
        <v>604</v>
      </c>
      <c r="O7059" s="37" t="str">
        <f t="shared" si="553"/>
        <v>Digital Payment</v>
      </c>
      <c r="P7059">
        <v>400.54</v>
      </c>
      <c r="Q7059" s="37" t="str">
        <f>IF(P7059&gt;500,"High","low")</f>
        <v>low</v>
      </c>
      <c r="R7059" s="37" t="str">
        <f t="shared" si="554"/>
        <v>AVERAGE</v>
      </c>
      <c r="S7059" t="s">
        <v>620</v>
      </c>
    </row>
    <row r="7060" spans="1:19" x14ac:dyDescent="0.2">
      <c r="A7060" t="s">
        <v>7671</v>
      </c>
      <c r="B7060" t="s">
        <v>67</v>
      </c>
      <c r="C7060" t="s">
        <v>602</v>
      </c>
      <c r="D7060">
        <v>1467.95</v>
      </c>
      <c r="E7060" s="37" t="str">
        <f t="shared" si="550"/>
        <v xml:space="preserve"> </v>
      </c>
      <c r="F7060">
        <v>0.08</v>
      </c>
      <c r="G7060" s="37" t="str">
        <f t="shared" si="551"/>
        <v>Normal Discount</v>
      </c>
      <c r="H7060" s="37" t="str">
        <f t="shared" si="552"/>
        <v>Low</v>
      </c>
      <c r="I7060">
        <v>3</v>
      </c>
      <c r="J7060" t="str" cm="1">
        <f t="array" ref="J7060">_xlfn.IFS(I7060&lt;=3,"small",I7060&lt;=6,"Medium",I7060&lt;=9,"Large")</f>
        <v>small</v>
      </c>
      <c r="K7060" s="36">
        <v>45017</v>
      </c>
      <c r="L7060" s="36">
        <v>45020</v>
      </c>
      <c r="M7060" t="s">
        <v>612</v>
      </c>
      <c r="N7060" t="s">
        <v>599</v>
      </c>
      <c r="O7060" s="37" t="str">
        <f t="shared" si="553"/>
        <v>Digital Payment</v>
      </c>
      <c r="P7060">
        <v>94.43</v>
      </c>
      <c r="Q7060" s="37" t="str">
        <f>IF(P7060&gt;500,"High","low")</f>
        <v>low</v>
      </c>
      <c r="R7060" s="37" t="str">
        <f t="shared" si="554"/>
        <v>AVERAGE</v>
      </c>
      <c r="S7060" t="s">
        <v>609</v>
      </c>
    </row>
    <row r="7061" spans="1:19" x14ac:dyDescent="0.2">
      <c r="A7061" t="s">
        <v>7672</v>
      </c>
      <c r="B7061" t="s">
        <v>67</v>
      </c>
      <c r="C7061" t="s">
        <v>614</v>
      </c>
      <c r="D7061">
        <v>461.31</v>
      </c>
      <c r="E7061" s="37" t="str">
        <f t="shared" si="550"/>
        <v xml:space="preserve"> </v>
      </c>
      <c r="F7061">
        <v>0.14000000000000001</v>
      </c>
      <c r="G7061" s="37" t="str">
        <f t="shared" si="551"/>
        <v>Normal Discount</v>
      </c>
      <c r="H7061" s="37" t="str">
        <f t="shared" si="552"/>
        <v>Low</v>
      </c>
      <c r="I7061">
        <v>9</v>
      </c>
      <c r="J7061" t="str" cm="1">
        <f t="array" ref="J7061">_xlfn.IFS(I7061&lt;=3,"small",I7061&lt;=6,"Medium",I7061&lt;=9,"Large")</f>
        <v>Large</v>
      </c>
      <c r="K7061" s="36">
        <v>45189</v>
      </c>
      <c r="L7061" s="36">
        <v>45195</v>
      </c>
      <c r="M7061" t="s">
        <v>603</v>
      </c>
      <c r="N7061" t="s">
        <v>599</v>
      </c>
      <c r="O7061" s="37" t="str">
        <f t="shared" si="553"/>
        <v>Digital Payment</v>
      </c>
      <c r="P7061">
        <v>50.15</v>
      </c>
      <c r="Q7061" s="37" t="str">
        <f>IF(P7061&gt;500,"High","low")</f>
        <v>low</v>
      </c>
      <c r="R7061" s="37" t="str">
        <f t="shared" si="554"/>
        <v>AVERAGE</v>
      </c>
      <c r="S7061" t="s">
        <v>605</v>
      </c>
    </row>
    <row r="7062" spans="1:19" x14ac:dyDescent="0.2">
      <c r="A7062" t="s">
        <v>7673</v>
      </c>
      <c r="B7062" t="s">
        <v>67</v>
      </c>
      <c r="C7062" t="s">
        <v>614</v>
      </c>
      <c r="D7062">
        <v>829.92</v>
      </c>
      <c r="E7062" s="37" t="str">
        <f t="shared" si="550"/>
        <v xml:space="preserve"> </v>
      </c>
      <c r="F7062">
        <v>0.23</v>
      </c>
      <c r="G7062" s="37" t="str">
        <f t="shared" si="551"/>
        <v>Normal Discount</v>
      </c>
      <c r="H7062" s="37" t="str">
        <f t="shared" si="552"/>
        <v>Medium</v>
      </c>
      <c r="I7062">
        <v>9</v>
      </c>
      <c r="J7062" t="str" cm="1">
        <f t="array" ref="J7062">_xlfn.IFS(I7062&lt;=3,"small",I7062&lt;=6,"Medium",I7062&lt;=9,"Large")</f>
        <v>Large</v>
      </c>
      <c r="K7062" s="36">
        <v>45600</v>
      </c>
      <c r="L7062" s="36">
        <v>45603</v>
      </c>
      <c r="M7062" t="s">
        <v>603</v>
      </c>
      <c r="N7062" t="s">
        <v>604</v>
      </c>
      <c r="O7062" s="37" t="str">
        <f t="shared" si="553"/>
        <v>Digital Payment</v>
      </c>
      <c r="P7062">
        <v>176.07</v>
      </c>
      <c r="Q7062" s="37" t="str">
        <f>IF(P7062&gt;500,"High","low")</f>
        <v>low</v>
      </c>
      <c r="R7062" s="37" t="str">
        <f t="shared" si="554"/>
        <v>AVERAGE</v>
      </c>
      <c r="S7062" t="s">
        <v>615</v>
      </c>
    </row>
    <row r="7063" spans="1:19" x14ac:dyDescent="0.2">
      <c r="A7063" t="s">
        <v>7674</v>
      </c>
      <c r="B7063" t="s">
        <v>90</v>
      </c>
      <c r="C7063" t="s">
        <v>602</v>
      </c>
      <c r="D7063">
        <v>4781.9799999999996</v>
      </c>
      <c r="E7063" s="37" t="str">
        <f t="shared" si="550"/>
        <v>Excellent Order</v>
      </c>
      <c r="F7063">
        <v>0.09</v>
      </c>
      <c r="G7063" s="37" t="str">
        <f t="shared" si="551"/>
        <v>Normal Discount</v>
      </c>
      <c r="H7063" s="37" t="str">
        <f t="shared" si="552"/>
        <v>Low</v>
      </c>
      <c r="I7063">
        <v>5</v>
      </c>
      <c r="J7063" t="str" cm="1">
        <f t="array" ref="J7063">_xlfn.IFS(I7063&lt;=3,"small",I7063&lt;=6,"Medium",I7063&lt;=9,"Large")</f>
        <v>Medium</v>
      </c>
      <c r="K7063" s="36">
        <v>45587</v>
      </c>
      <c r="L7063" s="36">
        <v>45591</v>
      </c>
      <c r="M7063" t="s">
        <v>612</v>
      </c>
      <c r="N7063" t="s">
        <v>604</v>
      </c>
      <c r="O7063" s="37" t="str">
        <f t="shared" si="553"/>
        <v>Digital Payment</v>
      </c>
      <c r="P7063">
        <v>1149.57</v>
      </c>
      <c r="Q7063" s="37" t="str">
        <f>IF(P7063&gt;500,"High","low")</f>
        <v>High</v>
      </c>
      <c r="R7063" s="37" t="str">
        <f t="shared" si="554"/>
        <v>Excellent</v>
      </c>
      <c r="S7063" t="s">
        <v>605</v>
      </c>
    </row>
    <row r="7064" spans="1:19" x14ac:dyDescent="0.2">
      <c r="A7064" t="s">
        <v>7675</v>
      </c>
      <c r="B7064" t="s">
        <v>67</v>
      </c>
      <c r="C7064" t="s">
        <v>617</v>
      </c>
      <c r="D7064">
        <v>3106.22</v>
      </c>
      <c r="E7064" s="37" t="str">
        <f t="shared" si="550"/>
        <v xml:space="preserve"> </v>
      </c>
      <c r="F7064">
        <v>0.17</v>
      </c>
      <c r="G7064" s="37" t="str">
        <f t="shared" si="551"/>
        <v>Normal Discount</v>
      </c>
      <c r="H7064" s="37" t="str">
        <f t="shared" si="552"/>
        <v>Low</v>
      </c>
      <c r="I7064">
        <v>7</v>
      </c>
      <c r="J7064" t="str" cm="1">
        <f t="array" ref="J7064">_xlfn.IFS(I7064&lt;=3,"small",I7064&lt;=6,"Medium",I7064&lt;=9,"Large")</f>
        <v>Large</v>
      </c>
      <c r="K7064" s="36">
        <v>45626</v>
      </c>
      <c r="L7064" s="36">
        <v>45630</v>
      </c>
      <c r="M7064" t="s">
        <v>603</v>
      </c>
      <c r="N7064" t="s">
        <v>604</v>
      </c>
      <c r="O7064" s="37" t="str">
        <f t="shared" si="553"/>
        <v>Digital Payment</v>
      </c>
      <c r="P7064">
        <v>428.2</v>
      </c>
      <c r="Q7064" s="37" t="str">
        <f>IF(P7064&gt;500,"High","low")</f>
        <v>low</v>
      </c>
      <c r="R7064" s="37" t="str">
        <f t="shared" si="554"/>
        <v>AVERAGE</v>
      </c>
      <c r="S7064" t="s">
        <v>600</v>
      </c>
    </row>
    <row r="7065" spans="1:19" x14ac:dyDescent="0.2">
      <c r="A7065" t="s">
        <v>7676</v>
      </c>
      <c r="B7065" t="s">
        <v>90</v>
      </c>
      <c r="C7065" t="s">
        <v>597</v>
      </c>
      <c r="D7065">
        <v>3666.71</v>
      </c>
      <c r="E7065" s="37" t="str">
        <f t="shared" si="550"/>
        <v xml:space="preserve"> </v>
      </c>
      <c r="F7065">
        <v>0.05</v>
      </c>
      <c r="G7065" s="37" t="str">
        <f t="shared" si="551"/>
        <v>Normal Discount</v>
      </c>
      <c r="H7065" s="37" t="str">
        <f t="shared" si="552"/>
        <v>Low</v>
      </c>
      <c r="I7065">
        <v>3</v>
      </c>
      <c r="J7065" t="str" cm="1">
        <f t="array" ref="J7065">_xlfn.IFS(I7065&lt;=3,"small",I7065&lt;=6,"Medium",I7065&lt;=9,"Large")</f>
        <v>small</v>
      </c>
      <c r="K7065" s="36">
        <v>45320</v>
      </c>
      <c r="L7065" s="36">
        <v>45324</v>
      </c>
      <c r="M7065" t="s">
        <v>598</v>
      </c>
      <c r="N7065" t="s">
        <v>604</v>
      </c>
      <c r="O7065" s="37" t="str">
        <f t="shared" si="553"/>
        <v>Digital Payment</v>
      </c>
      <c r="P7065">
        <v>859.33</v>
      </c>
      <c r="Q7065" s="37" t="str">
        <f>IF(P7065&gt;500,"High","low")</f>
        <v>High</v>
      </c>
      <c r="R7065" s="37" t="str">
        <f t="shared" si="554"/>
        <v>Good</v>
      </c>
      <c r="S7065" t="s">
        <v>609</v>
      </c>
    </row>
    <row r="7066" spans="1:19" x14ac:dyDescent="0.2">
      <c r="A7066" t="s">
        <v>7677</v>
      </c>
      <c r="B7066" t="s">
        <v>83</v>
      </c>
      <c r="C7066" t="s">
        <v>617</v>
      </c>
      <c r="D7066">
        <v>4505.42</v>
      </c>
      <c r="E7066" s="37" t="str">
        <f t="shared" si="550"/>
        <v xml:space="preserve"> </v>
      </c>
      <c r="F7066">
        <v>0.22</v>
      </c>
      <c r="G7066" s="37" t="str">
        <f t="shared" si="551"/>
        <v>Normal Discount</v>
      </c>
      <c r="H7066" s="37" t="str">
        <f t="shared" si="552"/>
        <v>Medium</v>
      </c>
      <c r="I7066">
        <v>2</v>
      </c>
      <c r="J7066" t="str" cm="1">
        <f t="array" ref="J7066">_xlfn.IFS(I7066&lt;=3,"small",I7066&lt;=6,"Medium",I7066&lt;=9,"Large")</f>
        <v>small</v>
      </c>
      <c r="K7066" s="36">
        <v>45348</v>
      </c>
      <c r="L7066" s="36">
        <v>45352</v>
      </c>
      <c r="M7066" t="s">
        <v>603</v>
      </c>
      <c r="N7066" t="s">
        <v>608</v>
      </c>
      <c r="O7066" s="37" t="str">
        <f t="shared" si="553"/>
        <v>Cash Payment</v>
      </c>
      <c r="P7066">
        <v>233.21</v>
      </c>
      <c r="Q7066" s="37" t="str">
        <f>IF(P7066&gt;500,"High","low")</f>
        <v>low</v>
      </c>
      <c r="R7066" s="37" t="str">
        <f t="shared" si="554"/>
        <v>AVERAGE</v>
      </c>
      <c r="S7066" t="s">
        <v>628</v>
      </c>
    </row>
    <row r="7067" spans="1:19" x14ac:dyDescent="0.2">
      <c r="A7067" t="s">
        <v>7678</v>
      </c>
      <c r="B7067" t="s">
        <v>67</v>
      </c>
      <c r="C7067" t="s">
        <v>614</v>
      </c>
      <c r="D7067">
        <v>4278.5</v>
      </c>
      <c r="E7067" s="37" t="str">
        <f t="shared" si="550"/>
        <v>Excellent Order</v>
      </c>
      <c r="F7067">
        <v>0.41</v>
      </c>
      <c r="G7067" s="37" t="str">
        <f t="shared" si="551"/>
        <v>Heavy Discount</v>
      </c>
      <c r="H7067" s="37" t="str">
        <f t="shared" si="552"/>
        <v>High</v>
      </c>
      <c r="I7067">
        <v>6</v>
      </c>
      <c r="J7067" t="str" cm="1">
        <f t="array" ref="J7067">_xlfn.IFS(I7067&lt;=3,"small",I7067&lt;=6,"Medium",I7067&lt;=9,"Large")</f>
        <v>Medium</v>
      </c>
      <c r="K7067" s="36">
        <v>45112</v>
      </c>
      <c r="L7067" s="36">
        <v>45114</v>
      </c>
      <c r="M7067" t="s">
        <v>603</v>
      </c>
      <c r="N7067" t="s">
        <v>599</v>
      </c>
      <c r="O7067" s="37" t="str">
        <f t="shared" si="553"/>
        <v>Digital Payment</v>
      </c>
      <c r="P7067">
        <v>1025.8800000000001</v>
      </c>
      <c r="Q7067" s="37" t="str">
        <f>IF(P7067&gt;500,"High","low")</f>
        <v>High</v>
      </c>
      <c r="R7067" s="37" t="str">
        <f t="shared" si="554"/>
        <v>Excellent</v>
      </c>
      <c r="S7067" t="s">
        <v>628</v>
      </c>
    </row>
    <row r="7068" spans="1:19" x14ac:dyDescent="0.2">
      <c r="A7068" t="s">
        <v>7679</v>
      </c>
      <c r="B7068" t="s">
        <v>67</v>
      </c>
      <c r="C7068" t="s">
        <v>602</v>
      </c>
      <c r="D7068">
        <v>1170.17</v>
      </c>
      <c r="E7068" s="37" t="str">
        <f t="shared" si="550"/>
        <v xml:space="preserve"> </v>
      </c>
      <c r="F7068">
        <v>0.3</v>
      </c>
      <c r="G7068" s="37" t="str">
        <f t="shared" si="551"/>
        <v>Normal Discount</v>
      </c>
      <c r="H7068" s="37" t="str">
        <f t="shared" si="552"/>
        <v>Medium</v>
      </c>
      <c r="I7068">
        <v>6</v>
      </c>
      <c r="J7068" t="str" cm="1">
        <f t="array" ref="J7068">_xlfn.IFS(I7068&lt;=3,"small",I7068&lt;=6,"Medium",I7068&lt;=9,"Large")</f>
        <v>Medium</v>
      </c>
      <c r="K7068" s="36">
        <v>45494</v>
      </c>
      <c r="L7068" s="36">
        <v>45496</v>
      </c>
      <c r="M7068" t="s">
        <v>603</v>
      </c>
      <c r="N7068" t="s">
        <v>604</v>
      </c>
      <c r="O7068" s="37" t="str">
        <f t="shared" si="553"/>
        <v>Digital Payment</v>
      </c>
      <c r="P7068">
        <v>304.17</v>
      </c>
      <c r="Q7068" s="37" t="str">
        <f>IF(P7068&gt;500,"High","low")</f>
        <v>low</v>
      </c>
      <c r="R7068" s="37" t="str">
        <f t="shared" si="554"/>
        <v>AVERAGE</v>
      </c>
      <c r="S7068" t="s">
        <v>600</v>
      </c>
    </row>
    <row r="7069" spans="1:19" x14ac:dyDescent="0.2">
      <c r="A7069" t="s">
        <v>7680</v>
      </c>
      <c r="B7069" t="s">
        <v>75</v>
      </c>
      <c r="C7069" t="s">
        <v>602</v>
      </c>
      <c r="D7069">
        <v>384.49</v>
      </c>
      <c r="E7069" s="37" t="str">
        <f t="shared" si="550"/>
        <v xml:space="preserve"> </v>
      </c>
      <c r="F7069">
        <v>0.41</v>
      </c>
      <c r="G7069" s="37" t="str">
        <f t="shared" si="551"/>
        <v>Heavy Discount</v>
      </c>
      <c r="H7069" s="37" t="str">
        <f t="shared" si="552"/>
        <v>High</v>
      </c>
      <c r="I7069">
        <v>5</v>
      </c>
      <c r="J7069" t="str" cm="1">
        <f t="array" ref="J7069">_xlfn.IFS(I7069&lt;=3,"small",I7069&lt;=6,"Medium",I7069&lt;=9,"Large")</f>
        <v>Medium</v>
      </c>
      <c r="K7069" s="36">
        <v>45413</v>
      </c>
      <c r="L7069" s="36">
        <v>45418</v>
      </c>
      <c r="M7069" t="s">
        <v>603</v>
      </c>
      <c r="N7069" t="s">
        <v>604</v>
      </c>
      <c r="O7069" s="37" t="str">
        <f t="shared" si="553"/>
        <v>Digital Payment</v>
      </c>
      <c r="P7069">
        <v>114.58</v>
      </c>
      <c r="Q7069" s="37" t="str">
        <f>IF(P7069&gt;500,"High","low")</f>
        <v>low</v>
      </c>
      <c r="R7069" s="37" t="str">
        <f t="shared" si="554"/>
        <v>AVERAGE</v>
      </c>
      <c r="S7069" t="s">
        <v>620</v>
      </c>
    </row>
    <row r="7070" spans="1:19" x14ac:dyDescent="0.2">
      <c r="A7070" t="s">
        <v>7681</v>
      </c>
      <c r="B7070" t="s">
        <v>83</v>
      </c>
      <c r="C7070" t="s">
        <v>602</v>
      </c>
      <c r="D7070">
        <v>4633.13</v>
      </c>
      <c r="E7070" s="37" t="str">
        <f t="shared" si="550"/>
        <v>Excellent Order</v>
      </c>
      <c r="F7070">
        <v>7.0000000000000007E-2</v>
      </c>
      <c r="G7070" s="37" t="str">
        <f t="shared" si="551"/>
        <v>Normal Discount</v>
      </c>
      <c r="H7070" s="37" t="str">
        <f t="shared" si="552"/>
        <v>Low</v>
      </c>
      <c r="I7070">
        <v>1</v>
      </c>
      <c r="J7070" t="str" cm="1">
        <f t="array" ref="J7070">_xlfn.IFS(I7070&lt;=3,"small",I7070&lt;=6,"Medium",I7070&lt;=9,"Large")</f>
        <v>small</v>
      </c>
      <c r="K7070" s="36">
        <v>45139</v>
      </c>
      <c r="L7070" s="36">
        <v>45144</v>
      </c>
      <c r="M7070" t="s">
        <v>598</v>
      </c>
      <c r="N7070" t="s">
        <v>608</v>
      </c>
      <c r="O7070" s="37" t="str">
        <f t="shared" si="553"/>
        <v>Cash Payment</v>
      </c>
      <c r="P7070">
        <v>1267.7</v>
      </c>
      <c r="Q7070" s="37" t="str">
        <f>IF(P7070&gt;500,"High","low")</f>
        <v>High</v>
      </c>
      <c r="R7070" s="37" t="str">
        <f t="shared" si="554"/>
        <v>Excellent</v>
      </c>
      <c r="S7070" t="s">
        <v>628</v>
      </c>
    </row>
    <row r="7071" spans="1:19" x14ac:dyDescent="0.2">
      <c r="A7071" t="s">
        <v>7682</v>
      </c>
      <c r="B7071" t="s">
        <v>67</v>
      </c>
      <c r="C7071" t="s">
        <v>602</v>
      </c>
      <c r="D7071">
        <v>4910.17</v>
      </c>
      <c r="E7071" s="37" t="str">
        <f t="shared" si="550"/>
        <v>Excellent Order</v>
      </c>
      <c r="F7071">
        <v>0.2</v>
      </c>
      <c r="G7071" s="37" t="str">
        <f t="shared" si="551"/>
        <v>Normal Discount</v>
      </c>
      <c r="H7071" s="37" t="str">
        <f t="shared" si="552"/>
        <v>Medium</v>
      </c>
      <c r="I7071">
        <v>2</v>
      </c>
      <c r="J7071" t="str" cm="1">
        <f t="array" ref="J7071">_xlfn.IFS(I7071&lt;=3,"small",I7071&lt;=6,"Medium",I7071&lt;=9,"Large")</f>
        <v>small</v>
      </c>
      <c r="K7071" s="36">
        <v>45297</v>
      </c>
      <c r="L7071" s="36">
        <v>45303</v>
      </c>
      <c r="M7071" t="s">
        <v>603</v>
      </c>
      <c r="N7071" t="s">
        <v>599</v>
      </c>
      <c r="O7071" s="37" t="str">
        <f t="shared" si="553"/>
        <v>Digital Payment</v>
      </c>
      <c r="P7071">
        <v>1094.04</v>
      </c>
      <c r="Q7071" s="37" t="str">
        <f>IF(P7071&gt;500,"High","low")</f>
        <v>High</v>
      </c>
      <c r="R7071" s="37" t="str">
        <f t="shared" si="554"/>
        <v>Excellent</v>
      </c>
      <c r="S7071" t="s">
        <v>609</v>
      </c>
    </row>
    <row r="7072" spans="1:19" x14ac:dyDescent="0.2">
      <c r="A7072" t="s">
        <v>7683</v>
      </c>
      <c r="B7072" t="s">
        <v>67</v>
      </c>
      <c r="C7072" t="s">
        <v>597</v>
      </c>
      <c r="D7072">
        <v>2879.99</v>
      </c>
      <c r="E7072" s="37" t="str">
        <f t="shared" si="550"/>
        <v xml:space="preserve"> </v>
      </c>
      <c r="F7072">
        <v>0.02</v>
      </c>
      <c r="G7072" s="37" t="str">
        <f t="shared" si="551"/>
        <v>Normal Discount</v>
      </c>
      <c r="H7072" s="37" t="str">
        <f t="shared" si="552"/>
        <v>Low</v>
      </c>
      <c r="I7072">
        <v>7</v>
      </c>
      <c r="J7072" t="str" cm="1">
        <f t="array" ref="J7072">_xlfn.IFS(I7072&lt;=3,"small",I7072&lt;=6,"Medium",I7072&lt;=9,"Large")</f>
        <v>Large</v>
      </c>
      <c r="K7072" s="36">
        <v>45374</v>
      </c>
      <c r="L7072" s="36">
        <v>45378</v>
      </c>
      <c r="M7072" t="s">
        <v>612</v>
      </c>
      <c r="N7072" t="s">
        <v>608</v>
      </c>
      <c r="O7072" s="37" t="str">
        <f t="shared" si="553"/>
        <v>Cash Payment</v>
      </c>
      <c r="P7072">
        <v>393.82</v>
      </c>
      <c r="Q7072" s="37" t="str">
        <f>IF(P7072&gt;500,"High","low")</f>
        <v>low</v>
      </c>
      <c r="R7072" s="37" t="str">
        <f t="shared" si="554"/>
        <v>AVERAGE</v>
      </c>
      <c r="S7072" t="s">
        <v>628</v>
      </c>
    </row>
    <row r="7073" spans="1:19" x14ac:dyDescent="0.2">
      <c r="A7073" t="s">
        <v>7684</v>
      </c>
      <c r="B7073" t="s">
        <v>83</v>
      </c>
      <c r="C7073" t="s">
        <v>607</v>
      </c>
      <c r="D7073">
        <v>4453.17</v>
      </c>
      <c r="E7073" s="37" t="str">
        <f t="shared" si="550"/>
        <v xml:space="preserve"> </v>
      </c>
      <c r="F7073">
        <v>0.18</v>
      </c>
      <c r="G7073" s="37" t="str">
        <f t="shared" si="551"/>
        <v>Normal Discount</v>
      </c>
      <c r="H7073" s="37" t="str">
        <f t="shared" si="552"/>
        <v>Low</v>
      </c>
      <c r="I7073">
        <v>2</v>
      </c>
      <c r="J7073" t="str" cm="1">
        <f t="array" ref="J7073">_xlfn.IFS(I7073&lt;=3,"small",I7073&lt;=6,"Medium",I7073&lt;=9,"Large")</f>
        <v>small</v>
      </c>
      <c r="K7073" s="36">
        <v>45586</v>
      </c>
      <c r="L7073" s="36">
        <v>45593</v>
      </c>
      <c r="M7073" t="s">
        <v>603</v>
      </c>
      <c r="N7073" t="s">
        <v>604</v>
      </c>
      <c r="O7073" s="37" t="str">
        <f t="shared" si="553"/>
        <v>Digital Payment</v>
      </c>
      <c r="P7073">
        <v>539.34</v>
      </c>
      <c r="Q7073" s="37" t="str">
        <f>IF(P7073&gt;500,"High","low")</f>
        <v>High</v>
      </c>
      <c r="R7073" s="37" t="str">
        <f t="shared" si="554"/>
        <v>Good</v>
      </c>
      <c r="S7073" t="s">
        <v>620</v>
      </c>
    </row>
    <row r="7074" spans="1:19" x14ac:dyDescent="0.2">
      <c r="A7074" t="s">
        <v>7685</v>
      </c>
      <c r="B7074" t="s">
        <v>90</v>
      </c>
      <c r="C7074" t="s">
        <v>614</v>
      </c>
      <c r="D7074">
        <v>1235.9000000000001</v>
      </c>
      <c r="E7074" s="37" t="str">
        <f t="shared" si="550"/>
        <v xml:space="preserve"> </v>
      </c>
      <c r="F7074">
        <v>0.31</v>
      </c>
      <c r="G7074" s="37" t="str">
        <f t="shared" si="551"/>
        <v>Heavy Discount</v>
      </c>
      <c r="H7074" s="37" t="str">
        <f t="shared" si="552"/>
        <v>Medium</v>
      </c>
      <c r="I7074">
        <v>5</v>
      </c>
      <c r="J7074" t="str" cm="1">
        <f t="array" ref="J7074">_xlfn.IFS(I7074&lt;=3,"small",I7074&lt;=6,"Medium",I7074&lt;=9,"Large")</f>
        <v>Medium</v>
      </c>
      <c r="K7074" s="36">
        <v>44966</v>
      </c>
      <c r="L7074" s="36">
        <v>44973</v>
      </c>
      <c r="M7074" t="s">
        <v>612</v>
      </c>
      <c r="N7074" t="s">
        <v>599</v>
      </c>
      <c r="O7074" s="37" t="str">
        <f t="shared" si="553"/>
        <v>Digital Payment</v>
      </c>
      <c r="P7074">
        <v>97.92</v>
      </c>
      <c r="Q7074" s="37" t="str">
        <f>IF(P7074&gt;500,"High","low")</f>
        <v>low</v>
      </c>
      <c r="R7074" s="37" t="str">
        <f t="shared" si="554"/>
        <v>AVERAGE</v>
      </c>
      <c r="S7074" t="s">
        <v>605</v>
      </c>
    </row>
    <row r="7075" spans="1:19" x14ac:dyDescent="0.2">
      <c r="A7075" t="s">
        <v>7686</v>
      </c>
      <c r="B7075" t="s">
        <v>67</v>
      </c>
      <c r="C7075" t="s">
        <v>597</v>
      </c>
      <c r="D7075">
        <v>644.09</v>
      </c>
      <c r="E7075" s="37" t="str">
        <f t="shared" si="550"/>
        <v xml:space="preserve"> </v>
      </c>
      <c r="F7075">
        <v>0.28000000000000003</v>
      </c>
      <c r="G7075" s="37" t="str">
        <f t="shared" si="551"/>
        <v>Normal Discount</v>
      </c>
      <c r="H7075" s="37" t="str">
        <f t="shared" si="552"/>
        <v>Medium</v>
      </c>
      <c r="I7075">
        <v>4</v>
      </c>
      <c r="J7075" t="str" cm="1">
        <f t="array" ref="J7075">_xlfn.IFS(I7075&lt;=3,"small",I7075&lt;=6,"Medium",I7075&lt;=9,"Large")</f>
        <v>Medium</v>
      </c>
      <c r="K7075" s="36">
        <v>45078</v>
      </c>
      <c r="L7075" s="36">
        <v>45085</v>
      </c>
      <c r="M7075" t="s">
        <v>612</v>
      </c>
      <c r="N7075" t="s">
        <v>599</v>
      </c>
      <c r="O7075" s="37" t="str">
        <f t="shared" si="553"/>
        <v>Digital Payment</v>
      </c>
      <c r="P7075">
        <v>78.400000000000006</v>
      </c>
      <c r="Q7075" s="37" t="str">
        <f>IF(P7075&gt;500,"High","low")</f>
        <v>low</v>
      </c>
      <c r="R7075" s="37" t="str">
        <f t="shared" si="554"/>
        <v>AVERAGE</v>
      </c>
      <c r="S7075" t="s">
        <v>600</v>
      </c>
    </row>
    <row r="7076" spans="1:19" x14ac:dyDescent="0.2">
      <c r="A7076" t="s">
        <v>7687</v>
      </c>
      <c r="B7076" t="s">
        <v>75</v>
      </c>
      <c r="C7076" t="s">
        <v>617</v>
      </c>
      <c r="D7076">
        <v>2549.1</v>
      </c>
      <c r="E7076" s="37" t="str">
        <f t="shared" si="550"/>
        <v xml:space="preserve"> </v>
      </c>
      <c r="F7076">
        <v>0.03</v>
      </c>
      <c r="G7076" s="37" t="str">
        <f t="shared" si="551"/>
        <v>Normal Discount</v>
      </c>
      <c r="H7076" s="37" t="str">
        <f t="shared" si="552"/>
        <v>Low</v>
      </c>
      <c r="I7076">
        <v>1</v>
      </c>
      <c r="J7076" t="str" cm="1">
        <f t="array" ref="J7076">_xlfn.IFS(I7076&lt;=3,"small",I7076&lt;=6,"Medium",I7076&lt;=9,"Large")</f>
        <v>small</v>
      </c>
      <c r="K7076" s="36">
        <v>45421</v>
      </c>
      <c r="L7076" s="36">
        <v>45425</v>
      </c>
      <c r="M7076" t="s">
        <v>612</v>
      </c>
      <c r="N7076" t="s">
        <v>599</v>
      </c>
      <c r="O7076" s="37" t="str">
        <f t="shared" si="553"/>
        <v>Digital Payment</v>
      </c>
      <c r="P7076">
        <v>321.95</v>
      </c>
      <c r="Q7076" s="37" t="str">
        <f>IF(P7076&gt;500,"High","low")</f>
        <v>low</v>
      </c>
      <c r="R7076" s="37" t="str">
        <f t="shared" si="554"/>
        <v>AVERAGE</v>
      </c>
      <c r="S7076" t="s">
        <v>609</v>
      </c>
    </row>
    <row r="7077" spans="1:19" x14ac:dyDescent="0.2">
      <c r="A7077" t="s">
        <v>7688</v>
      </c>
      <c r="B7077" t="s">
        <v>67</v>
      </c>
      <c r="C7077" t="s">
        <v>607</v>
      </c>
      <c r="D7077">
        <v>4074.8</v>
      </c>
      <c r="E7077" s="37" t="str">
        <f t="shared" si="550"/>
        <v>Excellent Order</v>
      </c>
      <c r="F7077">
        <v>0.03</v>
      </c>
      <c r="G7077" s="37" t="str">
        <f t="shared" si="551"/>
        <v>Normal Discount</v>
      </c>
      <c r="H7077" s="37" t="str">
        <f t="shared" si="552"/>
        <v>Low</v>
      </c>
      <c r="I7077">
        <v>5</v>
      </c>
      <c r="J7077" t="str" cm="1">
        <f t="array" ref="J7077">_xlfn.IFS(I7077&lt;=3,"small",I7077&lt;=6,"Medium",I7077&lt;=9,"Large")</f>
        <v>Medium</v>
      </c>
      <c r="K7077" s="36">
        <v>45523</v>
      </c>
      <c r="L7077" s="36">
        <v>45525</v>
      </c>
      <c r="M7077" t="s">
        <v>603</v>
      </c>
      <c r="N7077" t="s">
        <v>599</v>
      </c>
      <c r="O7077" s="37" t="str">
        <f t="shared" si="553"/>
        <v>Digital Payment</v>
      </c>
      <c r="P7077">
        <v>930.81</v>
      </c>
      <c r="Q7077" s="37" t="str">
        <f>IF(P7077&gt;500,"High","low")</f>
        <v>High</v>
      </c>
      <c r="R7077" s="37" t="str">
        <f t="shared" si="554"/>
        <v>Good</v>
      </c>
      <c r="S7077" t="s">
        <v>620</v>
      </c>
    </row>
    <row r="7078" spans="1:19" x14ac:dyDescent="0.2">
      <c r="A7078" t="s">
        <v>7689</v>
      </c>
      <c r="B7078" t="s">
        <v>75</v>
      </c>
      <c r="C7078" t="s">
        <v>607</v>
      </c>
      <c r="D7078">
        <v>3307.8</v>
      </c>
      <c r="E7078" s="37" t="str">
        <f t="shared" si="550"/>
        <v xml:space="preserve"> </v>
      </c>
      <c r="F7078">
        <v>0.15</v>
      </c>
      <c r="G7078" s="37" t="str">
        <f t="shared" si="551"/>
        <v>Normal Discount</v>
      </c>
      <c r="H7078" s="37" t="str">
        <f t="shared" si="552"/>
        <v>Low</v>
      </c>
      <c r="I7078">
        <v>1</v>
      </c>
      <c r="J7078" t="str" cm="1">
        <f t="array" ref="J7078">_xlfn.IFS(I7078&lt;=3,"small",I7078&lt;=6,"Medium",I7078&lt;=9,"Large")</f>
        <v>small</v>
      </c>
      <c r="K7078" s="36">
        <v>45546</v>
      </c>
      <c r="L7078" s="36">
        <v>45550</v>
      </c>
      <c r="M7078" t="s">
        <v>598</v>
      </c>
      <c r="N7078" t="s">
        <v>604</v>
      </c>
      <c r="O7078" s="37" t="str">
        <f t="shared" si="553"/>
        <v>Digital Payment</v>
      </c>
      <c r="P7078">
        <v>766.08</v>
      </c>
      <c r="Q7078" s="37" t="str">
        <f>IF(P7078&gt;500,"High","low")</f>
        <v>High</v>
      </c>
      <c r="R7078" s="37" t="str">
        <f t="shared" si="554"/>
        <v>Good</v>
      </c>
      <c r="S7078" t="s">
        <v>600</v>
      </c>
    </row>
    <row r="7079" spans="1:19" x14ac:dyDescent="0.2">
      <c r="A7079" t="s">
        <v>7690</v>
      </c>
      <c r="B7079" t="s">
        <v>75</v>
      </c>
      <c r="C7079" t="s">
        <v>602</v>
      </c>
      <c r="D7079">
        <v>3222.87</v>
      </c>
      <c r="E7079" s="37" t="str">
        <f t="shared" si="550"/>
        <v xml:space="preserve"> </v>
      </c>
      <c r="F7079">
        <v>0.39</v>
      </c>
      <c r="G7079" s="37" t="str">
        <f t="shared" si="551"/>
        <v>Heavy Discount</v>
      </c>
      <c r="H7079" s="37" t="str">
        <f t="shared" si="552"/>
        <v>Medium</v>
      </c>
      <c r="I7079">
        <v>3</v>
      </c>
      <c r="J7079" t="str" cm="1">
        <f t="array" ref="J7079">_xlfn.IFS(I7079&lt;=3,"small",I7079&lt;=6,"Medium",I7079&lt;=9,"Large")</f>
        <v>small</v>
      </c>
      <c r="K7079" s="36">
        <v>45240</v>
      </c>
      <c r="L7079" s="36">
        <v>45246</v>
      </c>
      <c r="M7079" t="s">
        <v>612</v>
      </c>
      <c r="N7079" t="s">
        <v>608</v>
      </c>
      <c r="O7079" s="37" t="str">
        <f t="shared" si="553"/>
        <v>Cash Payment</v>
      </c>
      <c r="P7079">
        <v>580.96</v>
      </c>
      <c r="Q7079" s="37" t="str">
        <f>IF(P7079&gt;500,"High","low")</f>
        <v>High</v>
      </c>
      <c r="R7079" s="37" t="str">
        <f t="shared" si="554"/>
        <v>Good</v>
      </c>
      <c r="S7079" t="s">
        <v>628</v>
      </c>
    </row>
    <row r="7080" spans="1:19" x14ac:dyDescent="0.2">
      <c r="A7080" t="s">
        <v>7691</v>
      </c>
      <c r="B7080" t="s">
        <v>67</v>
      </c>
      <c r="C7080" t="s">
        <v>597</v>
      </c>
      <c r="D7080">
        <v>185.55</v>
      </c>
      <c r="E7080" s="37" t="str">
        <f t="shared" si="550"/>
        <v xml:space="preserve"> </v>
      </c>
      <c r="F7080">
        <v>0.01</v>
      </c>
      <c r="G7080" s="37" t="str">
        <f t="shared" si="551"/>
        <v>Normal Discount</v>
      </c>
      <c r="H7080" s="37" t="str">
        <f t="shared" si="552"/>
        <v>Low</v>
      </c>
      <c r="I7080">
        <v>9</v>
      </c>
      <c r="J7080" t="str" cm="1">
        <f t="array" ref="J7080">_xlfn.IFS(I7080&lt;=3,"small",I7080&lt;=6,"Medium",I7080&lt;=9,"Large")</f>
        <v>Large</v>
      </c>
      <c r="K7080" s="36">
        <v>45433</v>
      </c>
      <c r="L7080" s="36">
        <v>45437</v>
      </c>
      <c r="M7080" t="s">
        <v>612</v>
      </c>
      <c r="N7080" t="s">
        <v>599</v>
      </c>
      <c r="O7080" s="37" t="str">
        <f t="shared" si="553"/>
        <v>Digital Payment</v>
      </c>
      <c r="P7080">
        <v>45.1</v>
      </c>
      <c r="Q7080" s="37" t="str">
        <f>IF(P7080&gt;500,"High","low")</f>
        <v>low</v>
      </c>
      <c r="R7080" s="37" t="str">
        <f t="shared" si="554"/>
        <v>AVERAGE</v>
      </c>
      <c r="S7080" t="s">
        <v>605</v>
      </c>
    </row>
    <row r="7081" spans="1:19" x14ac:dyDescent="0.2">
      <c r="A7081" t="s">
        <v>7692</v>
      </c>
      <c r="B7081" t="s">
        <v>67</v>
      </c>
      <c r="C7081" t="s">
        <v>617</v>
      </c>
      <c r="D7081">
        <v>1655.72</v>
      </c>
      <c r="E7081" s="37" t="str">
        <f t="shared" si="550"/>
        <v xml:space="preserve"> </v>
      </c>
      <c r="F7081">
        <v>0.31</v>
      </c>
      <c r="G7081" s="37" t="str">
        <f t="shared" si="551"/>
        <v>Heavy Discount</v>
      </c>
      <c r="H7081" s="37" t="str">
        <f t="shared" si="552"/>
        <v>Medium</v>
      </c>
      <c r="I7081">
        <v>7</v>
      </c>
      <c r="J7081" t="str" cm="1">
        <f t="array" ref="J7081">_xlfn.IFS(I7081&lt;=3,"small",I7081&lt;=6,"Medium",I7081&lt;=9,"Large")</f>
        <v>Large</v>
      </c>
      <c r="K7081" s="36">
        <v>45556</v>
      </c>
      <c r="L7081" s="36">
        <v>45558</v>
      </c>
      <c r="M7081" t="s">
        <v>603</v>
      </c>
      <c r="N7081" t="s">
        <v>608</v>
      </c>
      <c r="O7081" s="37" t="str">
        <f t="shared" si="553"/>
        <v>Cash Payment</v>
      </c>
      <c r="P7081">
        <v>224.41</v>
      </c>
      <c r="Q7081" s="37" t="str">
        <f>IF(P7081&gt;500,"High","low")</f>
        <v>low</v>
      </c>
      <c r="R7081" s="37" t="str">
        <f t="shared" si="554"/>
        <v>AVERAGE</v>
      </c>
      <c r="S7081" t="s">
        <v>628</v>
      </c>
    </row>
    <row r="7082" spans="1:19" x14ac:dyDescent="0.2">
      <c r="A7082" t="s">
        <v>7693</v>
      </c>
      <c r="B7082" t="s">
        <v>75</v>
      </c>
      <c r="C7082" t="s">
        <v>602</v>
      </c>
      <c r="D7082">
        <v>4703.53</v>
      </c>
      <c r="E7082" s="37" t="str">
        <f t="shared" si="550"/>
        <v xml:space="preserve"> </v>
      </c>
      <c r="F7082">
        <v>0.09</v>
      </c>
      <c r="G7082" s="37" t="str">
        <f t="shared" si="551"/>
        <v>Normal Discount</v>
      </c>
      <c r="H7082" s="37" t="str">
        <f t="shared" si="552"/>
        <v>Low</v>
      </c>
      <c r="I7082">
        <v>2</v>
      </c>
      <c r="J7082" t="str" cm="1">
        <f t="array" ref="J7082">_xlfn.IFS(I7082&lt;=3,"small",I7082&lt;=6,"Medium",I7082&lt;=9,"Large")</f>
        <v>small</v>
      </c>
      <c r="K7082" s="36">
        <v>45104</v>
      </c>
      <c r="L7082" s="36">
        <v>45105</v>
      </c>
      <c r="M7082" t="s">
        <v>598</v>
      </c>
      <c r="N7082" t="s">
        <v>608</v>
      </c>
      <c r="O7082" s="37" t="str">
        <f t="shared" si="553"/>
        <v>Cash Payment</v>
      </c>
      <c r="P7082">
        <v>788.71</v>
      </c>
      <c r="Q7082" s="37" t="str">
        <f>IF(P7082&gt;500,"High","low")</f>
        <v>High</v>
      </c>
      <c r="R7082" s="37" t="str">
        <f t="shared" si="554"/>
        <v>Good</v>
      </c>
      <c r="S7082" t="s">
        <v>605</v>
      </c>
    </row>
    <row r="7083" spans="1:19" x14ac:dyDescent="0.2">
      <c r="A7083" t="s">
        <v>7694</v>
      </c>
      <c r="B7083" t="s">
        <v>83</v>
      </c>
      <c r="C7083" t="s">
        <v>602</v>
      </c>
      <c r="D7083">
        <v>757.94</v>
      </c>
      <c r="E7083" s="37" t="str">
        <f t="shared" si="550"/>
        <v xml:space="preserve"> </v>
      </c>
      <c r="F7083">
        <v>0.47</v>
      </c>
      <c r="G7083" s="37" t="str">
        <f t="shared" si="551"/>
        <v>Heavy Discount</v>
      </c>
      <c r="H7083" s="37" t="str">
        <f t="shared" si="552"/>
        <v>High</v>
      </c>
      <c r="I7083">
        <v>5</v>
      </c>
      <c r="J7083" t="str" cm="1">
        <f t="array" ref="J7083">_xlfn.IFS(I7083&lt;=3,"small",I7083&lt;=6,"Medium",I7083&lt;=9,"Large")</f>
        <v>Medium</v>
      </c>
      <c r="K7083" s="36">
        <v>45064</v>
      </c>
      <c r="L7083" s="36">
        <v>45066</v>
      </c>
      <c r="M7083" t="s">
        <v>598</v>
      </c>
      <c r="N7083" t="s">
        <v>608</v>
      </c>
      <c r="O7083" s="37" t="str">
        <f t="shared" si="553"/>
        <v>Cash Payment</v>
      </c>
      <c r="P7083">
        <v>47.05</v>
      </c>
      <c r="Q7083" s="37" t="str">
        <f>IF(P7083&gt;500,"High","low")</f>
        <v>low</v>
      </c>
      <c r="R7083" s="37" t="str">
        <f t="shared" si="554"/>
        <v>AVERAGE</v>
      </c>
      <c r="S7083" t="s">
        <v>605</v>
      </c>
    </row>
    <row r="7084" spans="1:19" x14ac:dyDescent="0.2">
      <c r="A7084" t="s">
        <v>7695</v>
      </c>
      <c r="B7084" t="s">
        <v>83</v>
      </c>
      <c r="C7084" t="s">
        <v>614</v>
      </c>
      <c r="D7084">
        <v>3659.19</v>
      </c>
      <c r="E7084" s="37" t="str">
        <f t="shared" si="550"/>
        <v xml:space="preserve"> </v>
      </c>
      <c r="F7084">
        <v>0.22</v>
      </c>
      <c r="G7084" s="37" t="str">
        <f t="shared" si="551"/>
        <v>Normal Discount</v>
      </c>
      <c r="H7084" s="37" t="str">
        <f t="shared" si="552"/>
        <v>Medium</v>
      </c>
      <c r="I7084">
        <v>4</v>
      </c>
      <c r="J7084" t="str" cm="1">
        <f t="array" ref="J7084">_xlfn.IFS(I7084&lt;=3,"small",I7084&lt;=6,"Medium",I7084&lt;=9,"Large")</f>
        <v>Medium</v>
      </c>
      <c r="K7084" s="36">
        <v>45010</v>
      </c>
      <c r="L7084" s="36">
        <v>45017</v>
      </c>
      <c r="M7084" t="s">
        <v>612</v>
      </c>
      <c r="N7084" t="s">
        <v>599</v>
      </c>
      <c r="O7084" s="37" t="str">
        <f t="shared" si="553"/>
        <v>Digital Payment</v>
      </c>
      <c r="P7084">
        <v>673.84</v>
      </c>
      <c r="Q7084" s="37" t="str">
        <f>IF(P7084&gt;500,"High","low")</f>
        <v>High</v>
      </c>
      <c r="R7084" s="37" t="str">
        <f t="shared" si="554"/>
        <v>Good</v>
      </c>
      <c r="S7084" t="s">
        <v>605</v>
      </c>
    </row>
    <row r="7085" spans="1:19" x14ac:dyDescent="0.2">
      <c r="A7085" t="s">
        <v>7696</v>
      </c>
      <c r="B7085" t="s">
        <v>67</v>
      </c>
      <c r="C7085" t="s">
        <v>607</v>
      </c>
      <c r="D7085">
        <v>3820.62</v>
      </c>
      <c r="E7085" s="37" t="str">
        <f t="shared" si="550"/>
        <v xml:space="preserve"> </v>
      </c>
      <c r="F7085">
        <v>0.02</v>
      </c>
      <c r="G7085" s="37" t="str">
        <f t="shared" si="551"/>
        <v>Normal Discount</v>
      </c>
      <c r="H7085" s="37" t="str">
        <f t="shared" si="552"/>
        <v>Low</v>
      </c>
      <c r="I7085">
        <v>7</v>
      </c>
      <c r="J7085" t="str" cm="1">
        <f t="array" ref="J7085">_xlfn.IFS(I7085&lt;=3,"small",I7085&lt;=6,"Medium",I7085&lt;=9,"Large")</f>
        <v>Large</v>
      </c>
      <c r="K7085" s="36">
        <v>44945</v>
      </c>
      <c r="L7085" s="36">
        <v>44951</v>
      </c>
      <c r="M7085" t="s">
        <v>603</v>
      </c>
      <c r="N7085" t="s">
        <v>604</v>
      </c>
      <c r="O7085" s="37" t="str">
        <f t="shared" si="553"/>
        <v>Digital Payment</v>
      </c>
      <c r="P7085">
        <v>561.29999999999995</v>
      </c>
      <c r="Q7085" s="37" t="str">
        <f>IF(P7085&gt;500,"High","low")</f>
        <v>High</v>
      </c>
      <c r="R7085" s="37" t="str">
        <f t="shared" si="554"/>
        <v>Good</v>
      </c>
      <c r="S7085" t="s">
        <v>605</v>
      </c>
    </row>
    <row r="7086" spans="1:19" x14ac:dyDescent="0.2">
      <c r="A7086" t="s">
        <v>7697</v>
      </c>
      <c r="B7086" t="s">
        <v>90</v>
      </c>
      <c r="C7086" t="s">
        <v>617</v>
      </c>
      <c r="D7086">
        <v>3690.88</v>
      </c>
      <c r="E7086" s="37" t="str">
        <f t="shared" si="550"/>
        <v xml:space="preserve"> </v>
      </c>
      <c r="F7086">
        <v>0.36</v>
      </c>
      <c r="G7086" s="37" t="str">
        <f t="shared" si="551"/>
        <v>Heavy Discount</v>
      </c>
      <c r="H7086" s="37" t="str">
        <f t="shared" si="552"/>
        <v>Medium</v>
      </c>
      <c r="I7086">
        <v>4</v>
      </c>
      <c r="J7086" t="str" cm="1">
        <f t="array" ref="J7086">_xlfn.IFS(I7086&lt;=3,"small",I7086&lt;=6,"Medium",I7086&lt;=9,"Large")</f>
        <v>Medium</v>
      </c>
      <c r="K7086" s="36">
        <v>44956</v>
      </c>
      <c r="L7086" s="36">
        <v>44960</v>
      </c>
      <c r="M7086" t="s">
        <v>603</v>
      </c>
      <c r="N7086" t="s">
        <v>599</v>
      </c>
      <c r="O7086" s="37" t="str">
        <f t="shared" si="553"/>
        <v>Digital Payment</v>
      </c>
      <c r="P7086">
        <v>245.92</v>
      </c>
      <c r="Q7086" s="37" t="str">
        <f>IF(P7086&gt;500,"High","low")</f>
        <v>low</v>
      </c>
      <c r="R7086" s="37" t="str">
        <f t="shared" si="554"/>
        <v>AVERAGE</v>
      </c>
      <c r="S7086" t="s">
        <v>609</v>
      </c>
    </row>
    <row r="7087" spans="1:19" x14ac:dyDescent="0.2">
      <c r="A7087" t="s">
        <v>7698</v>
      </c>
      <c r="B7087" t="s">
        <v>83</v>
      </c>
      <c r="C7087" t="s">
        <v>607</v>
      </c>
      <c r="D7087">
        <v>4947.5</v>
      </c>
      <c r="E7087" s="37" t="str">
        <f t="shared" si="550"/>
        <v xml:space="preserve"> </v>
      </c>
      <c r="F7087">
        <v>0.24</v>
      </c>
      <c r="G7087" s="37" t="str">
        <f t="shared" si="551"/>
        <v>Normal Discount</v>
      </c>
      <c r="H7087" s="37" t="str">
        <f t="shared" si="552"/>
        <v>Medium</v>
      </c>
      <c r="I7087">
        <v>9</v>
      </c>
      <c r="J7087" t="str" cm="1">
        <f t="array" ref="J7087">_xlfn.IFS(I7087&lt;=3,"small",I7087&lt;=6,"Medium",I7087&lt;=9,"Large")</f>
        <v>Large</v>
      </c>
      <c r="K7087" s="36">
        <v>45239</v>
      </c>
      <c r="L7087" s="36">
        <v>45241</v>
      </c>
      <c r="M7087" t="s">
        <v>603</v>
      </c>
      <c r="N7087" t="s">
        <v>608</v>
      </c>
      <c r="O7087" s="37" t="str">
        <f t="shared" si="553"/>
        <v>Cash Payment</v>
      </c>
      <c r="P7087">
        <v>362.25</v>
      </c>
      <c r="Q7087" s="37" t="str">
        <f>IF(P7087&gt;500,"High","low")</f>
        <v>low</v>
      </c>
      <c r="R7087" s="37" t="str">
        <f t="shared" si="554"/>
        <v>AVERAGE</v>
      </c>
      <c r="S7087" t="s">
        <v>628</v>
      </c>
    </row>
    <row r="7088" spans="1:19" x14ac:dyDescent="0.2">
      <c r="A7088" t="s">
        <v>7699</v>
      </c>
      <c r="B7088" t="s">
        <v>67</v>
      </c>
      <c r="C7088" t="s">
        <v>597</v>
      </c>
      <c r="D7088">
        <v>2105.12</v>
      </c>
      <c r="E7088" s="37" t="str">
        <f t="shared" si="550"/>
        <v xml:space="preserve"> </v>
      </c>
      <c r="F7088">
        <v>0.44</v>
      </c>
      <c r="G7088" s="37" t="str">
        <f t="shared" si="551"/>
        <v>Heavy Discount</v>
      </c>
      <c r="H7088" s="37" t="str">
        <f t="shared" si="552"/>
        <v>High</v>
      </c>
      <c r="I7088">
        <v>3</v>
      </c>
      <c r="J7088" t="str" cm="1">
        <f t="array" ref="J7088">_xlfn.IFS(I7088&lt;=3,"small",I7088&lt;=6,"Medium",I7088&lt;=9,"Large")</f>
        <v>small</v>
      </c>
      <c r="K7088" s="36">
        <v>45198</v>
      </c>
      <c r="L7088" s="36">
        <v>45203</v>
      </c>
      <c r="M7088" t="s">
        <v>612</v>
      </c>
      <c r="N7088" t="s">
        <v>608</v>
      </c>
      <c r="O7088" s="37" t="str">
        <f t="shared" si="553"/>
        <v>Cash Payment</v>
      </c>
      <c r="P7088">
        <v>451.25</v>
      </c>
      <c r="Q7088" s="37" t="str">
        <f>IF(P7088&gt;500,"High","low")</f>
        <v>low</v>
      </c>
      <c r="R7088" s="37" t="str">
        <f t="shared" si="554"/>
        <v>AVERAGE</v>
      </c>
      <c r="S7088" t="s">
        <v>605</v>
      </c>
    </row>
    <row r="7089" spans="1:19" x14ac:dyDescent="0.2">
      <c r="A7089" t="s">
        <v>7700</v>
      </c>
      <c r="B7089" t="s">
        <v>83</v>
      </c>
      <c r="C7089" t="s">
        <v>614</v>
      </c>
      <c r="D7089">
        <v>3442.75</v>
      </c>
      <c r="E7089" s="37" t="str">
        <f t="shared" si="550"/>
        <v xml:space="preserve"> </v>
      </c>
      <c r="F7089">
        <v>0.33</v>
      </c>
      <c r="G7089" s="37" t="str">
        <f t="shared" si="551"/>
        <v>Heavy Discount</v>
      </c>
      <c r="H7089" s="37" t="str">
        <f t="shared" si="552"/>
        <v>Medium</v>
      </c>
      <c r="I7089">
        <v>6</v>
      </c>
      <c r="J7089" t="str" cm="1">
        <f t="array" ref="J7089">_xlfn.IFS(I7089&lt;=3,"small",I7089&lt;=6,"Medium",I7089&lt;=9,"Large")</f>
        <v>Medium</v>
      </c>
      <c r="K7089" s="36">
        <v>44948</v>
      </c>
      <c r="L7089" s="36">
        <v>44949</v>
      </c>
      <c r="M7089" t="s">
        <v>612</v>
      </c>
      <c r="N7089" t="s">
        <v>608</v>
      </c>
      <c r="O7089" s="37" t="str">
        <f t="shared" si="553"/>
        <v>Cash Payment</v>
      </c>
      <c r="P7089">
        <v>811.98</v>
      </c>
      <c r="Q7089" s="37" t="str">
        <f>IF(P7089&gt;500,"High","low")</f>
        <v>High</v>
      </c>
      <c r="R7089" s="37" t="str">
        <f t="shared" si="554"/>
        <v>Good</v>
      </c>
      <c r="S7089" t="s">
        <v>605</v>
      </c>
    </row>
    <row r="7090" spans="1:19" x14ac:dyDescent="0.2">
      <c r="A7090" t="s">
        <v>7701</v>
      </c>
      <c r="B7090" t="s">
        <v>90</v>
      </c>
      <c r="C7090" t="s">
        <v>602</v>
      </c>
      <c r="D7090">
        <v>1048.9100000000001</v>
      </c>
      <c r="E7090" s="37" t="str">
        <f t="shared" si="550"/>
        <v xml:space="preserve"> </v>
      </c>
      <c r="F7090">
        <v>0.35</v>
      </c>
      <c r="G7090" s="37" t="str">
        <f t="shared" si="551"/>
        <v>Heavy Discount</v>
      </c>
      <c r="H7090" s="37" t="str">
        <f t="shared" si="552"/>
        <v>Medium</v>
      </c>
      <c r="I7090">
        <v>5</v>
      </c>
      <c r="J7090" t="str" cm="1">
        <f t="array" ref="J7090">_xlfn.IFS(I7090&lt;=3,"small",I7090&lt;=6,"Medium",I7090&lt;=9,"Large")</f>
        <v>Medium</v>
      </c>
      <c r="K7090" s="36">
        <v>45236</v>
      </c>
      <c r="L7090" s="36">
        <v>45237</v>
      </c>
      <c r="M7090" t="s">
        <v>603</v>
      </c>
      <c r="N7090" t="s">
        <v>608</v>
      </c>
      <c r="O7090" s="37" t="str">
        <f t="shared" si="553"/>
        <v>Cash Payment</v>
      </c>
      <c r="P7090">
        <v>78.239999999999995</v>
      </c>
      <c r="Q7090" s="37" t="str">
        <f>IF(P7090&gt;500,"High","low")</f>
        <v>low</v>
      </c>
      <c r="R7090" s="37" t="str">
        <f t="shared" si="554"/>
        <v>AVERAGE</v>
      </c>
      <c r="S7090" t="s">
        <v>620</v>
      </c>
    </row>
    <row r="7091" spans="1:19" x14ac:dyDescent="0.2">
      <c r="A7091" t="s">
        <v>7702</v>
      </c>
      <c r="B7091" t="s">
        <v>67</v>
      </c>
      <c r="C7091" t="s">
        <v>614</v>
      </c>
      <c r="D7091">
        <v>2058.58</v>
      </c>
      <c r="E7091" s="37" t="str">
        <f t="shared" si="550"/>
        <v xml:space="preserve"> </v>
      </c>
      <c r="F7091">
        <v>0.38</v>
      </c>
      <c r="G7091" s="37" t="str">
        <f t="shared" si="551"/>
        <v>Heavy Discount</v>
      </c>
      <c r="H7091" s="37" t="str">
        <f t="shared" si="552"/>
        <v>Medium</v>
      </c>
      <c r="I7091">
        <v>8</v>
      </c>
      <c r="J7091" t="str" cm="1">
        <f t="array" ref="J7091">_xlfn.IFS(I7091&lt;=3,"small",I7091&lt;=6,"Medium",I7091&lt;=9,"Large")</f>
        <v>Large</v>
      </c>
      <c r="K7091" s="36">
        <v>45010</v>
      </c>
      <c r="L7091" s="36">
        <v>45011</v>
      </c>
      <c r="M7091" t="s">
        <v>612</v>
      </c>
      <c r="N7091" t="s">
        <v>604</v>
      </c>
      <c r="O7091" s="37" t="str">
        <f t="shared" si="553"/>
        <v>Digital Payment</v>
      </c>
      <c r="P7091">
        <v>501.71</v>
      </c>
      <c r="Q7091" s="37" t="str">
        <f>IF(P7091&gt;500,"High","low")</f>
        <v>High</v>
      </c>
      <c r="R7091" s="37" t="str">
        <f t="shared" si="554"/>
        <v>Good</v>
      </c>
      <c r="S7091" t="s">
        <v>605</v>
      </c>
    </row>
    <row r="7092" spans="1:19" x14ac:dyDescent="0.2">
      <c r="A7092" t="s">
        <v>7703</v>
      </c>
      <c r="B7092" t="s">
        <v>90</v>
      </c>
      <c r="C7092" t="s">
        <v>602</v>
      </c>
      <c r="D7092">
        <v>2508.65</v>
      </c>
      <c r="E7092" s="37" t="str">
        <f t="shared" si="550"/>
        <v xml:space="preserve"> </v>
      </c>
      <c r="F7092">
        <v>0.21</v>
      </c>
      <c r="G7092" s="37" t="str">
        <f t="shared" si="551"/>
        <v>Normal Discount</v>
      </c>
      <c r="H7092" s="37" t="str">
        <f t="shared" si="552"/>
        <v>Medium</v>
      </c>
      <c r="I7092">
        <v>1</v>
      </c>
      <c r="J7092" t="str" cm="1">
        <f t="array" ref="J7092">_xlfn.IFS(I7092&lt;=3,"small",I7092&lt;=6,"Medium",I7092&lt;=9,"Large")</f>
        <v>small</v>
      </c>
      <c r="K7092" s="36">
        <v>45547</v>
      </c>
      <c r="L7092" s="36">
        <v>45554</v>
      </c>
      <c r="M7092" t="s">
        <v>598</v>
      </c>
      <c r="N7092" t="s">
        <v>599</v>
      </c>
      <c r="O7092" s="37" t="str">
        <f t="shared" si="553"/>
        <v>Digital Payment</v>
      </c>
      <c r="P7092">
        <v>667.03</v>
      </c>
      <c r="Q7092" s="37" t="str">
        <f>IF(P7092&gt;500,"High","low")</f>
        <v>High</v>
      </c>
      <c r="R7092" s="37" t="str">
        <f t="shared" si="554"/>
        <v>Good</v>
      </c>
      <c r="S7092" t="s">
        <v>600</v>
      </c>
    </row>
    <row r="7093" spans="1:19" x14ac:dyDescent="0.2">
      <c r="A7093" t="s">
        <v>7704</v>
      </c>
      <c r="B7093" t="s">
        <v>67</v>
      </c>
      <c r="C7093" t="s">
        <v>614</v>
      </c>
      <c r="D7093">
        <v>1152.6500000000001</v>
      </c>
      <c r="E7093" s="37" t="str">
        <f t="shared" si="550"/>
        <v xml:space="preserve"> </v>
      </c>
      <c r="F7093">
        <v>0.4</v>
      </c>
      <c r="G7093" s="37" t="str">
        <f t="shared" si="551"/>
        <v>Heavy Discount</v>
      </c>
      <c r="H7093" s="37" t="str">
        <f t="shared" si="552"/>
        <v>Medium</v>
      </c>
      <c r="I7093">
        <v>2</v>
      </c>
      <c r="J7093" t="str" cm="1">
        <f t="array" ref="J7093">_xlfn.IFS(I7093&lt;=3,"small",I7093&lt;=6,"Medium",I7093&lt;=9,"Large")</f>
        <v>small</v>
      </c>
      <c r="K7093" s="36">
        <v>45415</v>
      </c>
      <c r="L7093" s="36">
        <v>45421</v>
      </c>
      <c r="M7093" t="s">
        <v>603</v>
      </c>
      <c r="N7093" t="s">
        <v>608</v>
      </c>
      <c r="O7093" s="37" t="str">
        <f t="shared" si="553"/>
        <v>Cash Payment</v>
      </c>
      <c r="P7093">
        <v>220.77</v>
      </c>
      <c r="Q7093" s="37" t="str">
        <f>IF(P7093&gt;500,"High","low")</f>
        <v>low</v>
      </c>
      <c r="R7093" s="37" t="str">
        <f t="shared" si="554"/>
        <v>AVERAGE</v>
      </c>
      <c r="S7093" t="s">
        <v>615</v>
      </c>
    </row>
    <row r="7094" spans="1:19" x14ac:dyDescent="0.2">
      <c r="A7094" t="s">
        <v>7705</v>
      </c>
      <c r="B7094" t="s">
        <v>90</v>
      </c>
      <c r="C7094" t="s">
        <v>602</v>
      </c>
      <c r="D7094">
        <v>4543.37</v>
      </c>
      <c r="E7094" s="37" t="str">
        <f t="shared" si="550"/>
        <v xml:space="preserve"> </v>
      </c>
      <c r="F7094">
        <v>0.03</v>
      </c>
      <c r="G7094" s="37" t="str">
        <f t="shared" si="551"/>
        <v>Normal Discount</v>
      </c>
      <c r="H7094" s="37" t="str">
        <f t="shared" si="552"/>
        <v>Low</v>
      </c>
      <c r="I7094">
        <v>7</v>
      </c>
      <c r="J7094" t="str" cm="1">
        <f t="array" ref="J7094">_xlfn.IFS(I7094&lt;=3,"small",I7094&lt;=6,"Medium",I7094&lt;=9,"Large")</f>
        <v>Large</v>
      </c>
      <c r="K7094" s="36">
        <v>45329</v>
      </c>
      <c r="L7094" s="36">
        <v>45331</v>
      </c>
      <c r="M7094" t="s">
        <v>603</v>
      </c>
      <c r="N7094" t="s">
        <v>604</v>
      </c>
      <c r="O7094" s="37" t="str">
        <f t="shared" si="553"/>
        <v>Digital Payment</v>
      </c>
      <c r="P7094">
        <v>782.29</v>
      </c>
      <c r="Q7094" s="37" t="str">
        <f>IF(P7094&gt;500,"High","low")</f>
        <v>High</v>
      </c>
      <c r="R7094" s="37" t="str">
        <f t="shared" si="554"/>
        <v>Good</v>
      </c>
      <c r="S7094" t="s">
        <v>615</v>
      </c>
    </row>
    <row r="7095" spans="1:19" x14ac:dyDescent="0.2">
      <c r="A7095" t="s">
        <v>7706</v>
      </c>
      <c r="B7095" t="s">
        <v>83</v>
      </c>
      <c r="C7095" t="s">
        <v>607</v>
      </c>
      <c r="D7095">
        <v>3609.37</v>
      </c>
      <c r="E7095" s="37" t="str">
        <f t="shared" si="550"/>
        <v xml:space="preserve"> </v>
      </c>
      <c r="F7095">
        <v>0.38</v>
      </c>
      <c r="G7095" s="37" t="str">
        <f t="shared" si="551"/>
        <v>Heavy Discount</v>
      </c>
      <c r="H7095" s="37" t="str">
        <f t="shared" si="552"/>
        <v>Medium</v>
      </c>
      <c r="I7095">
        <v>1</v>
      </c>
      <c r="J7095" t="str" cm="1">
        <f t="array" ref="J7095">_xlfn.IFS(I7095&lt;=3,"small",I7095&lt;=6,"Medium",I7095&lt;=9,"Large")</f>
        <v>small</v>
      </c>
      <c r="K7095" s="36">
        <v>45443</v>
      </c>
      <c r="L7095" s="36">
        <v>45448</v>
      </c>
      <c r="M7095" t="s">
        <v>603</v>
      </c>
      <c r="N7095" t="s">
        <v>604</v>
      </c>
      <c r="O7095" s="37" t="str">
        <f t="shared" si="553"/>
        <v>Digital Payment</v>
      </c>
      <c r="P7095">
        <v>595.6</v>
      </c>
      <c r="Q7095" s="37" t="str">
        <f>IF(P7095&gt;500,"High","low")</f>
        <v>High</v>
      </c>
      <c r="R7095" s="37" t="str">
        <f t="shared" si="554"/>
        <v>Good</v>
      </c>
      <c r="S7095" t="s">
        <v>605</v>
      </c>
    </row>
    <row r="7096" spans="1:19" x14ac:dyDescent="0.2">
      <c r="A7096" t="s">
        <v>7707</v>
      </c>
      <c r="B7096" t="s">
        <v>83</v>
      </c>
      <c r="C7096" t="s">
        <v>607</v>
      </c>
      <c r="D7096">
        <v>1490.41</v>
      </c>
      <c r="E7096" s="37" t="str">
        <f t="shared" si="550"/>
        <v xml:space="preserve"> </v>
      </c>
      <c r="F7096">
        <v>0.32</v>
      </c>
      <c r="G7096" s="37" t="str">
        <f t="shared" si="551"/>
        <v>Heavy Discount</v>
      </c>
      <c r="H7096" s="37" t="str">
        <f t="shared" si="552"/>
        <v>Medium</v>
      </c>
      <c r="I7096">
        <v>5</v>
      </c>
      <c r="J7096" t="str" cm="1">
        <f t="array" ref="J7096">_xlfn.IFS(I7096&lt;=3,"small",I7096&lt;=6,"Medium",I7096&lt;=9,"Large")</f>
        <v>Medium</v>
      </c>
      <c r="K7096" s="36">
        <v>45509</v>
      </c>
      <c r="L7096" s="36">
        <v>45516</v>
      </c>
      <c r="M7096" t="s">
        <v>598</v>
      </c>
      <c r="N7096" t="s">
        <v>599</v>
      </c>
      <c r="O7096" s="37" t="str">
        <f t="shared" si="553"/>
        <v>Digital Payment</v>
      </c>
      <c r="P7096">
        <v>185.06</v>
      </c>
      <c r="Q7096" s="37" t="str">
        <f>IF(P7096&gt;500,"High","low")</f>
        <v>low</v>
      </c>
      <c r="R7096" s="37" t="str">
        <f t="shared" si="554"/>
        <v>AVERAGE</v>
      </c>
      <c r="S7096" t="s">
        <v>600</v>
      </c>
    </row>
    <row r="7097" spans="1:19" x14ac:dyDescent="0.2">
      <c r="A7097" t="s">
        <v>7708</v>
      </c>
      <c r="B7097" t="s">
        <v>90</v>
      </c>
      <c r="C7097" t="s">
        <v>607</v>
      </c>
      <c r="D7097">
        <v>761.29</v>
      </c>
      <c r="E7097" s="37" t="str">
        <f t="shared" si="550"/>
        <v xml:space="preserve"> </v>
      </c>
      <c r="F7097">
        <v>0.28000000000000003</v>
      </c>
      <c r="G7097" s="37" t="str">
        <f t="shared" si="551"/>
        <v>Normal Discount</v>
      </c>
      <c r="H7097" s="37" t="str">
        <f t="shared" si="552"/>
        <v>Medium</v>
      </c>
      <c r="I7097">
        <v>8</v>
      </c>
      <c r="J7097" t="str" cm="1">
        <f t="array" ref="J7097">_xlfn.IFS(I7097&lt;=3,"small",I7097&lt;=6,"Medium",I7097&lt;=9,"Large")</f>
        <v>Large</v>
      </c>
      <c r="K7097" s="36">
        <v>45408</v>
      </c>
      <c r="L7097" s="36">
        <v>45411</v>
      </c>
      <c r="M7097" t="s">
        <v>603</v>
      </c>
      <c r="N7097" t="s">
        <v>608</v>
      </c>
      <c r="O7097" s="37" t="str">
        <f t="shared" si="553"/>
        <v>Cash Payment</v>
      </c>
      <c r="P7097">
        <v>208.81</v>
      </c>
      <c r="Q7097" s="37" t="str">
        <f>IF(P7097&gt;500,"High","low")</f>
        <v>low</v>
      </c>
      <c r="R7097" s="37" t="str">
        <f t="shared" si="554"/>
        <v>AVERAGE</v>
      </c>
      <c r="S7097" t="s">
        <v>600</v>
      </c>
    </row>
    <row r="7098" spans="1:19" x14ac:dyDescent="0.2">
      <c r="A7098" t="s">
        <v>7709</v>
      </c>
      <c r="B7098" t="s">
        <v>90</v>
      </c>
      <c r="C7098" t="s">
        <v>607</v>
      </c>
      <c r="D7098">
        <v>1510.55</v>
      </c>
      <c r="E7098" s="37" t="str">
        <f t="shared" si="550"/>
        <v xml:space="preserve"> </v>
      </c>
      <c r="F7098">
        <v>0.16</v>
      </c>
      <c r="G7098" s="37" t="str">
        <f t="shared" si="551"/>
        <v>Normal Discount</v>
      </c>
      <c r="H7098" s="37" t="str">
        <f t="shared" si="552"/>
        <v>Low</v>
      </c>
      <c r="I7098">
        <v>5</v>
      </c>
      <c r="J7098" t="str" cm="1">
        <f t="array" ref="J7098">_xlfn.IFS(I7098&lt;=3,"small",I7098&lt;=6,"Medium",I7098&lt;=9,"Large")</f>
        <v>Medium</v>
      </c>
      <c r="K7098" s="36">
        <v>45202</v>
      </c>
      <c r="L7098" s="36">
        <v>45207</v>
      </c>
      <c r="M7098" t="s">
        <v>598</v>
      </c>
      <c r="N7098" t="s">
        <v>604</v>
      </c>
      <c r="O7098" s="37" t="str">
        <f t="shared" si="553"/>
        <v>Digital Payment</v>
      </c>
      <c r="P7098">
        <v>403.6</v>
      </c>
      <c r="Q7098" s="37" t="str">
        <f>IF(P7098&gt;500,"High","low")</f>
        <v>low</v>
      </c>
      <c r="R7098" s="37" t="str">
        <f t="shared" si="554"/>
        <v>AVERAGE</v>
      </c>
      <c r="S7098" t="s">
        <v>609</v>
      </c>
    </row>
    <row r="7099" spans="1:19" x14ac:dyDescent="0.2">
      <c r="A7099" t="s">
        <v>7710</v>
      </c>
      <c r="B7099" t="s">
        <v>90</v>
      </c>
      <c r="C7099" t="s">
        <v>614</v>
      </c>
      <c r="D7099">
        <v>3152.63</v>
      </c>
      <c r="E7099" s="37" t="str">
        <f t="shared" si="550"/>
        <v xml:space="preserve"> </v>
      </c>
      <c r="F7099">
        <v>0.06</v>
      </c>
      <c r="G7099" s="37" t="str">
        <f t="shared" si="551"/>
        <v>Normal Discount</v>
      </c>
      <c r="H7099" s="37" t="str">
        <f t="shared" si="552"/>
        <v>Low</v>
      </c>
      <c r="I7099">
        <v>5</v>
      </c>
      <c r="J7099" t="str" cm="1">
        <f t="array" ref="J7099">_xlfn.IFS(I7099&lt;=3,"small",I7099&lt;=6,"Medium",I7099&lt;=9,"Large")</f>
        <v>Medium</v>
      </c>
      <c r="K7099" s="36">
        <v>45325</v>
      </c>
      <c r="L7099" s="36">
        <v>45330</v>
      </c>
      <c r="M7099" t="s">
        <v>603</v>
      </c>
      <c r="N7099" t="s">
        <v>599</v>
      </c>
      <c r="O7099" s="37" t="str">
        <f t="shared" si="553"/>
        <v>Digital Payment</v>
      </c>
      <c r="P7099">
        <v>560.80999999999995</v>
      </c>
      <c r="Q7099" s="37" t="str">
        <f>IF(P7099&gt;500,"High","low")</f>
        <v>High</v>
      </c>
      <c r="R7099" s="37" t="str">
        <f t="shared" si="554"/>
        <v>Good</v>
      </c>
      <c r="S7099" t="s">
        <v>615</v>
      </c>
    </row>
    <row r="7100" spans="1:19" x14ac:dyDescent="0.2">
      <c r="A7100" t="s">
        <v>7711</v>
      </c>
      <c r="B7100" t="s">
        <v>67</v>
      </c>
      <c r="C7100" t="s">
        <v>602</v>
      </c>
      <c r="D7100">
        <v>4149.3999999999996</v>
      </c>
      <c r="E7100" s="37" t="str">
        <f t="shared" si="550"/>
        <v xml:space="preserve"> </v>
      </c>
      <c r="F7100">
        <v>0.32</v>
      </c>
      <c r="G7100" s="37" t="str">
        <f t="shared" si="551"/>
        <v>Heavy Discount</v>
      </c>
      <c r="H7100" s="37" t="str">
        <f t="shared" si="552"/>
        <v>Medium</v>
      </c>
      <c r="I7100">
        <v>9</v>
      </c>
      <c r="J7100" t="str" cm="1">
        <f t="array" ref="J7100">_xlfn.IFS(I7100&lt;=3,"small",I7100&lt;=6,"Medium",I7100&lt;=9,"Large")</f>
        <v>Large</v>
      </c>
      <c r="K7100" s="36">
        <v>45476</v>
      </c>
      <c r="L7100" s="36">
        <v>45480</v>
      </c>
      <c r="M7100" t="s">
        <v>603</v>
      </c>
      <c r="N7100" t="s">
        <v>599</v>
      </c>
      <c r="O7100" s="37" t="str">
        <f t="shared" si="553"/>
        <v>Digital Payment</v>
      </c>
      <c r="P7100">
        <v>458.96</v>
      </c>
      <c r="Q7100" s="37" t="str">
        <f>IF(P7100&gt;500,"High","low")</f>
        <v>low</v>
      </c>
      <c r="R7100" s="37" t="str">
        <f t="shared" si="554"/>
        <v>AVERAGE</v>
      </c>
      <c r="S7100" t="s">
        <v>620</v>
      </c>
    </row>
    <row r="7101" spans="1:19" x14ac:dyDescent="0.2">
      <c r="A7101" t="s">
        <v>7712</v>
      </c>
      <c r="B7101" t="s">
        <v>83</v>
      </c>
      <c r="C7101" t="s">
        <v>607</v>
      </c>
      <c r="D7101">
        <v>2565.52</v>
      </c>
      <c r="E7101" s="37" t="str">
        <f t="shared" si="550"/>
        <v xml:space="preserve"> </v>
      </c>
      <c r="F7101">
        <v>0.24</v>
      </c>
      <c r="G7101" s="37" t="str">
        <f t="shared" si="551"/>
        <v>Normal Discount</v>
      </c>
      <c r="H7101" s="37" t="str">
        <f t="shared" si="552"/>
        <v>Medium</v>
      </c>
      <c r="I7101">
        <v>5</v>
      </c>
      <c r="J7101" t="str" cm="1">
        <f t="array" ref="J7101">_xlfn.IFS(I7101&lt;=3,"small",I7101&lt;=6,"Medium",I7101&lt;=9,"Large")</f>
        <v>Medium</v>
      </c>
      <c r="K7101" s="36">
        <v>45055</v>
      </c>
      <c r="L7101" s="36">
        <v>45060</v>
      </c>
      <c r="M7101" t="s">
        <v>612</v>
      </c>
      <c r="N7101" t="s">
        <v>604</v>
      </c>
      <c r="O7101" s="37" t="str">
        <f t="shared" si="553"/>
        <v>Digital Payment</v>
      </c>
      <c r="P7101">
        <v>712.1</v>
      </c>
      <c r="Q7101" s="37" t="str">
        <f>IF(P7101&gt;500,"High","low")</f>
        <v>High</v>
      </c>
      <c r="R7101" s="37" t="str">
        <f t="shared" si="554"/>
        <v>Good</v>
      </c>
      <c r="S7101" t="s">
        <v>620</v>
      </c>
    </row>
    <row r="7102" spans="1:19" x14ac:dyDescent="0.2">
      <c r="A7102" t="s">
        <v>7713</v>
      </c>
      <c r="B7102" t="s">
        <v>67</v>
      </c>
      <c r="C7102" t="s">
        <v>614</v>
      </c>
      <c r="D7102">
        <v>602.22</v>
      </c>
      <c r="E7102" s="37" t="str">
        <f t="shared" si="550"/>
        <v xml:space="preserve"> </v>
      </c>
      <c r="F7102">
        <v>0.11</v>
      </c>
      <c r="G7102" s="37" t="str">
        <f t="shared" si="551"/>
        <v>Normal Discount</v>
      </c>
      <c r="H7102" s="37" t="str">
        <f t="shared" si="552"/>
        <v>Low</v>
      </c>
      <c r="I7102">
        <v>1</v>
      </c>
      <c r="J7102" t="str" cm="1">
        <f t="array" ref="J7102">_xlfn.IFS(I7102&lt;=3,"small",I7102&lt;=6,"Medium",I7102&lt;=9,"Large")</f>
        <v>small</v>
      </c>
      <c r="K7102" s="36">
        <v>45556</v>
      </c>
      <c r="L7102" s="36">
        <v>45558</v>
      </c>
      <c r="M7102" t="s">
        <v>612</v>
      </c>
      <c r="N7102" t="s">
        <v>604</v>
      </c>
      <c r="O7102" s="37" t="str">
        <f t="shared" si="553"/>
        <v>Digital Payment</v>
      </c>
      <c r="P7102">
        <v>140.22</v>
      </c>
      <c r="Q7102" s="37" t="str">
        <f>IF(P7102&gt;500,"High","low")</f>
        <v>low</v>
      </c>
      <c r="R7102" s="37" t="str">
        <f t="shared" si="554"/>
        <v>AVERAGE</v>
      </c>
      <c r="S7102" t="s">
        <v>628</v>
      </c>
    </row>
    <row r="7103" spans="1:19" x14ac:dyDescent="0.2">
      <c r="A7103" t="s">
        <v>7714</v>
      </c>
      <c r="B7103" t="s">
        <v>83</v>
      </c>
      <c r="C7103" t="s">
        <v>602</v>
      </c>
      <c r="D7103">
        <v>1321.64</v>
      </c>
      <c r="E7103" s="37" t="str">
        <f t="shared" si="550"/>
        <v xml:space="preserve"> </v>
      </c>
      <c r="F7103">
        <v>0.02</v>
      </c>
      <c r="G7103" s="37" t="str">
        <f t="shared" si="551"/>
        <v>Normal Discount</v>
      </c>
      <c r="H7103" s="37" t="str">
        <f t="shared" si="552"/>
        <v>Low</v>
      </c>
      <c r="I7103">
        <v>3</v>
      </c>
      <c r="J7103" t="str" cm="1">
        <f t="array" ref="J7103">_xlfn.IFS(I7103&lt;=3,"small",I7103&lt;=6,"Medium",I7103&lt;=9,"Large")</f>
        <v>small</v>
      </c>
      <c r="K7103" s="36">
        <v>44931</v>
      </c>
      <c r="L7103" s="36">
        <v>44932</v>
      </c>
      <c r="M7103" t="s">
        <v>612</v>
      </c>
      <c r="N7103" t="s">
        <v>608</v>
      </c>
      <c r="O7103" s="37" t="str">
        <f t="shared" si="553"/>
        <v>Cash Payment</v>
      </c>
      <c r="P7103">
        <v>337.95</v>
      </c>
      <c r="Q7103" s="37" t="str">
        <f>IF(P7103&gt;500,"High","low")</f>
        <v>low</v>
      </c>
      <c r="R7103" s="37" t="str">
        <f t="shared" si="554"/>
        <v>AVERAGE</v>
      </c>
      <c r="S7103" t="s">
        <v>615</v>
      </c>
    </row>
    <row r="7104" spans="1:19" x14ac:dyDescent="0.2">
      <c r="A7104" t="s">
        <v>7715</v>
      </c>
      <c r="B7104" t="s">
        <v>75</v>
      </c>
      <c r="C7104" t="s">
        <v>614</v>
      </c>
      <c r="D7104">
        <v>1791.21</v>
      </c>
      <c r="E7104" s="37" t="str">
        <f t="shared" si="550"/>
        <v xml:space="preserve"> </v>
      </c>
      <c r="F7104">
        <v>0.27</v>
      </c>
      <c r="G7104" s="37" t="str">
        <f t="shared" si="551"/>
        <v>Normal Discount</v>
      </c>
      <c r="H7104" s="37" t="str">
        <f t="shared" si="552"/>
        <v>Medium</v>
      </c>
      <c r="I7104">
        <v>5</v>
      </c>
      <c r="J7104" t="str" cm="1">
        <f t="array" ref="J7104">_xlfn.IFS(I7104&lt;=3,"small",I7104&lt;=6,"Medium",I7104&lt;=9,"Large")</f>
        <v>Medium</v>
      </c>
      <c r="K7104" s="36">
        <v>45408</v>
      </c>
      <c r="L7104" s="36">
        <v>45414</v>
      </c>
      <c r="M7104" t="s">
        <v>598</v>
      </c>
      <c r="N7104" t="s">
        <v>599</v>
      </c>
      <c r="O7104" s="37" t="str">
        <f t="shared" si="553"/>
        <v>Digital Payment</v>
      </c>
      <c r="P7104">
        <v>460.21</v>
      </c>
      <c r="Q7104" s="37" t="str">
        <f>IF(P7104&gt;500,"High","low")</f>
        <v>low</v>
      </c>
      <c r="R7104" s="37" t="str">
        <f t="shared" si="554"/>
        <v>AVERAGE</v>
      </c>
      <c r="S7104" t="s">
        <v>609</v>
      </c>
    </row>
    <row r="7105" spans="1:19" x14ac:dyDescent="0.2">
      <c r="A7105" t="s">
        <v>7716</v>
      </c>
      <c r="B7105" t="s">
        <v>67</v>
      </c>
      <c r="C7105" t="s">
        <v>607</v>
      </c>
      <c r="D7105">
        <v>3217.07</v>
      </c>
      <c r="E7105" s="37" t="str">
        <f t="shared" si="550"/>
        <v xml:space="preserve"> </v>
      </c>
      <c r="F7105">
        <v>0.06</v>
      </c>
      <c r="G7105" s="37" t="str">
        <f t="shared" si="551"/>
        <v>Normal Discount</v>
      </c>
      <c r="H7105" s="37" t="str">
        <f t="shared" si="552"/>
        <v>Low</v>
      </c>
      <c r="I7105">
        <v>8</v>
      </c>
      <c r="J7105" t="str" cm="1">
        <f t="array" ref="J7105">_xlfn.IFS(I7105&lt;=3,"small",I7105&lt;=6,"Medium",I7105&lt;=9,"Large")</f>
        <v>Large</v>
      </c>
      <c r="K7105" s="36">
        <v>45364</v>
      </c>
      <c r="L7105" s="36">
        <v>45369</v>
      </c>
      <c r="M7105" t="s">
        <v>598</v>
      </c>
      <c r="N7105" t="s">
        <v>599</v>
      </c>
      <c r="O7105" s="37" t="str">
        <f t="shared" si="553"/>
        <v>Digital Payment</v>
      </c>
      <c r="P7105">
        <v>312.77999999999997</v>
      </c>
      <c r="Q7105" s="37" t="str">
        <f>IF(P7105&gt;500,"High","low")</f>
        <v>low</v>
      </c>
      <c r="R7105" s="37" t="str">
        <f t="shared" si="554"/>
        <v>AVERAGE</v>
      </c>
      <c r="S7105" t="s">
        <v>615</v>
      </c>
    </row>
    <row r="7106" spans="1:19" x14ac:dyDescent="0.2">
      <c r="A7106" t="s">
        <v>7717</v>
      </c>
      <c r="B7106" t="s">
        <v>83</v>
      </c>
      <c r="C7106" t="s">
        <v>597</v>
      </c>
      <c r="D7106">
        <v>1308.55</v>
      </c>
      <c r="E7106" s="37" t="str">
        <f t="shared" si="550"/>
        <v xml:space="preserve"> </v>
      </c>
      <c r="F7106">
        <v>0.46</v>
      </c>
      <c r="G7106" s="37" t="str">
        <f t="shared" si="551"/>
        <v>Heavy Discount</v>
      </c>
      <c r="H7106" s="37" t="str">
        <f t="shared" si="552"/>
        <v>High</v>
      </c>
      <c r="I7106">
        <v>2</v>
      </c>
      <c r="J7106" t="str" cm="1">
        <f t="array" ref="J7106">_xlfn.IFS(I7106&lt;=3,"small",I7106&lt;=6,"Medium",I7106&lt;=9,"Large")</f>
        <v>small</v>
      </c>
      <c r="K7106" s="36">
        <v>45523</v>
      </c>
      <c r="L7106" s="36">
        <v>45528</v>
      </c>
      <c r="M7106" t="s">
        <v>598</v>
      </c>
      <c r="N7106" t="s">
        <v>608</v>
      </c>
      <c r="O7106" s="37" t="str">
        <f t="shared" si="553"/>
        <v>Cash Payment</v>
      </c>
      <c r="P7106">
        <v>83.11</v>
      </c>
      <c r="Q7106" s="37" t="str">
        <f>IF(P7106&gt;500,"High","low")</f>
        <v>low</v>
      </c>
      <c r="R7106" s="37" t="str">
        <f t="shared" si="554"/>
        <v>AVERAGE</v>
      </c>
      <c r="S7106" t="s">
        <v>615</v>
      </c>
    </row>
    <row r="7107" spans="1:19" x14ac:dyDescent="0.2">
      <c r="A7107" t="s">
        <v>7718</v>
      </c>
      <c r="B7107" t="s">
        <v>83</v>
      </c>
      <c r="C7107" t="s">
        <v>614</v>
      </c>
      <c r="D7107">
        <v>1246.25</v>
      </c>
      <c r="E7107" s="37" t="str">
        <f t="shared" ref="E7107:E7170" si="555">IF(AND(D7107&gt;4000,P7107&gt;800),"Excellent Order"," ")</f>
        <v xml:space="preserve"> </v>
      </c>
      <c r="F7107">
        <v>0.08</v>
      </c>
      <c r="G7107" s="37" t="str">
        <f t="shared" ref="G7107:G7170" si="556">IF(F7107&gt;30%,"Heavy Discount","Normal Discount")</f>
        <v>Normal Discount</v>
      </c>
      <c r="H7107" s="37" t="str">
        <f t="shared" ref="H7107:H7170" si="557">IF(F7107&gt;0.4,"High",IF(F7107&gt;=0.2,"Medium","Low"))</f>
        <v>Low</v>
      </c>
      <c r="I7107">
        <v>4</v>
      </c>
      <c r="J7107" t="str" cm="1">
        <f t="array" ref="J7107">_xlfn.IFS(I7107&lt;=3,"small",I7107&lt;=6,"Medium",I7107&lt;=9,"Large")</f>
        <v>Medium</v>
      </c>
      <c r="K7107" s="36">
        <v>45243</v>
      </c>
      <c r="L7107" s="36">
        <v>45246</v>
      </c>
      <c r="M7107" t="s">
        <v>598</v>
      </c>
      <c r="N7107" t="s">
        <v>608</v>
      </c>
      <c r="O7107" s="37" t="str">
        <f t="shared" ref="O7107:O7170" si="558">IF(OR(N7107="Card",N7107="UPI"),"Digital Payment","Cash Payment")</f>
        <v>Cash Payment</v>
      </c>
      <c r="P7107">
        <v>219.72</v>
      </c>
      <c r="Q7107" s="37" t="str">
        <f>IF(P7107&gt;500,"High","low")</f>
        <v>low</v>
      </c>
      <c r="R7107" s="37" t="str">
        <f t="shared" ref="R7107:R7170" si="559">IF(P7107&gt;1000,"Excellent",IF(P7107&gt;=500,"Good","AVERAGE"))</f>
        <v>AVERAGE</v>
      </c>
      <c r="S7107" t="s">
        <v>628</v>
      </c>
    </row>
    <row r="7108" spans="1:19" x14ac:dyDescent="0.2">
      <c r="A7108" t="s">
        <v>7719</v>
      </c>
      <c r="B7108" t="s">
        <v>67</v>
      </c>
      <c r="C7108" t="s">
        <v>607</v>
      </c>
      <c r="D7108">
        <v>1502.39</v>
      </c>
      <c r="E7108" s="37" t="str">
        <f t="shared" si="555"/>
        <v xml:space="preserve"> </v>
      </c>
      <c r="F7108">
        <v>0.02</v>
      </c>
      <c r="G7108" s="37" t="str">
        <f t="shared" si="556"/>
        <v>Normal Discount</v>
      </c>
      <c r="H7108" s="37" t="str">
        <f t="shared" si="557"/>
        <v>Low</v>
      </c>
      <c r="I7108">
        <v>4</v>
      </c>
      <c r="J7108" t="str" cm="1">
        <f t="array" ref="J7108">_xlfn.IFS(I7108&lt;=3,"small",I7108&lt;=6,"Medium",I7108&lt;=9,"Large")</f>
        <v>Medium</v>
      </c>
      <c r="K7108" s="36">
        <v>45516</v>
      </c>
      <c r="L7108" s="36">
        <v>45519</v>
      </c>
      <c r="M7108" t="s">
        <v>603</v>
      </c>
      <c r="N7108" t="s">
        <v>599</v>
      </c>
      <c r="O7108" s="37" t="str">
        <f t="shared" si="558"/>
        <v>Digital Payment</v>
      </c>
      <c r="P7108">
        <v>250.18</v>
      </c>
      <c r="Q7108" s="37" t="str">
        <f>IF(P7108&gt;500,"High","low")</f>
        <v>low</v>
      </c>
      <c r="R7108" s="37" t="str">
        <f t="shared" si="559"/>
        <v>AVERAGE</v>
      </c>
      <c r="S7108" t="s">
        <v>609</v>
      </c>
    </row>
    <row r="7109" spans="1:19" x14ac:dyDescent="0.2">
      <c r="A7109" t="s">
        <v>7720</v>
      </c>
      <c r="B7109" t="s">
        <v>67</v>
      </c>
      <c r="C7109" t="s">
        <v>617</v>
      </c>
      <c r="D7109">
        <v>3003.39</v>
      </c>
      <c r="E7109" s="37" t="str">
        <f t="shared" si="555"/>
        <v xml:space="preserve"> </v>
      </c>
      <c r="F7109">
        <v>0.13</v>
      </c>
      <c r="G7109" s="37" t="str">
        <f t="shared" si="556"/>
        <v>Normal Discount</v>
      </c>
      <c r="H7109" s="37" t="str">
        <f t="shared" si="557"/>
        <v>Low</v>
      </c>
      <c r="I7109">
        <v>3</v>
      </c>
      <c r="J7109" t="str" cm="1">
        <f t="array" ref="J7109">_xlfn.IFS(I7109&lt;=3,"small",I7109&lt;=6,"Medium",I7109&lt;=9,"Large")</f>
        <v>small</v>
      </c>
      <c r="K7109" s="36">
        <v>45051</v>
      </c>
      <c r="L7109" s="36">
        <v>45057</v>
      </c>
      <c r="M7109" t="s">
        <v>598</v>
      </c>
      <c r="N7109" t="s">
        <v>599</v>
      </c>
      <c r="O7109" s="37" t="str">
        <f t="shared" si="558"/>
        <v>Digital Payment</v>
      </c>
      <c r="P7109">
        <v>391.49</v>
      </c>
      <c r="Q7109" s="37" t="str">
        <f>IF(P7109&gt;500,"High","low")</f>
        <v>low</v>
      </c>
      <c r="R7109" s="37" t="str">
        <f t="shared" si="559"/>
        <v>AVERAGE</v>
      </c>
      <c r="S7109" t="s">
        <v>605</v>
      </c>
    </row>
    <row r="7110" spans="1:19" x14ac:dyDescent="0.2">
      <c r="A7110" t="s">
        <v>7721</v>
      </c>
      <c r="B7110" t="s">
        <v>83</v>
      </c>
      <c r="C7110" t="s">
        <v>602</v>
      </c>
      <c r="D7110">
        <v>2513.89</v>
      </c>
      <c r="E7110" s="37" t="str">
        <f t="shared" si="555"/>
        <v xml:space="preserve"> </v>
      </c>
      <c r="F7110">
        <v>0.09</v>
      </c>
      <c r="G7110" s="37" t="str">
        <f t="shared" si="556"/>
        <v>Normal Discount</v>
      </c>
      <c r="H7110" s="37" t="str">
        <f t="shared" si="557"/>
        <v>Low</v>
      </c>
      <c r="I7110">
        <v>6</v>
      </c>
      <c r="J7110" t="str" cm="1">
        <f t="array" ref="J7110">_xlfn.IFS(I7110&lt;=3,"small",I7110&lt;=6,"Medium",I7110&lt;=9,"Large")</f>
        <v>Medium</v>
      </c>
      <c r="K7110" s="36">
        <v>45002</v>
      </c>
      <c r="L7110" s="36">
        <v>45006</v>
      </c>
      <c r="M7110" t="s">
        <v>598</v>
      </c>
      <c r="N7110" t="s">
        <v>608</v>
      </c>
      <c r="O7110" s="37" t="str">
        <f t="shared" si="558"/>
        <v>Cash Payment</v>
      </c>
      <c r="P7110">
        <v>580.30999999999995</v>
      </c>
      <c r="Q7110" s="37" t="str">
        <f>IF(P7110&gt;500,"High","low")</f>
        <v>High</v>
      </c>
      <c r="R7110" s="37" t="str">
        <f t="shared" si="559"/>
        <v>Good</v>
      </c>
      <c r="S7110" t="s">
        <v>609</v>
      </c>
    </row>
    <row r="7111" spans="1:19" x14ac:dyDescent="0.2">
      <c r="A7111" t="s">
        <v>7722</v>
      </c>
      <c r="B7111" t="s">
        <v>67</v>
      </c>
      <c r="C7111" t="s">
        <v>607</v>
      </c>
      <c r="D7111">
        <v>4224.0200000000004</v>
      </c>
      <c r="E7111" s="37" t="str">
        <f t="shared" si="555"/>
        <v>Excellent Order</v>
      </c>
      <c r="F7111">
        <v>0.4</v>
      </c>
      <c r="G7111" s="37" t="str">
        <f t="shared" si="556"/>
        <v>Heavy Discount</v>
      </c>
      <c r="H7111" s="37" t="str">
        <f t="shared" si="557"/>
        <v>Medium</v>
      </c>
      <c r="I7111">
        <v>2</v>
      </c>
      <c r="J7111" t="str" cm="1">
        <f t="array" ref="J7111">_xlfn.IFS(I7111&lt;=3,"small",I7111&lt;=6,"Medium",I7111&lt;=9,"Large")</f>
        <v>small</v>
      </c>
      <c r="K7111" s="36">
        <v>45209</v>
      </c>
      <c r="L7111" s="36">
        <v>45215</v>
      </c>
      <c r="M7111" t="s">
        <v>612</v>
      </c>
      <c r="N7111" t="s">
        <v>604</v>
      </c>
      <c r="O7111" s="37" t="str">
        <f t="shared" si="558"/>
        <v>Digital Payment</v>
      </c>
      <c r="P7111">
        <v>851.91</v>
      </c>
      <c r="Q7111" s="37" t="str">
        <f>IF(P7111&gt;500,"High","low")</f>
        <v>High</v>
      </c>
      <c r="R7111" s="37" t="str">
        <f t="shared" si="559"/>
        <v>Good</v>
      </c>
      <c r="S7111" t="s">
        <v>615</v>
      </c>
    </row>
    <row r="7112" spans="1:19" x14ac:dyDescent="0.2">
      <c r="A7112" t="s">
        <v>7723</v>
      </c>
      <c r="B7112" t="s">
        <v>90</v>
      </c>
      <c r="C7112" t="s">
        <v>617</v>
      </c>
      <c r="D7112">
        <v>3519.87</v>
      </c>
      <c r="E7112" s="37" t="str">
        <f t="shared" si="555"/>
        <v xml:space="preserve"> </v>
      </c>
      <c r="F7112">
        <v>0.14000000000000001</v>
      </c>
      <c r="G7112" s="37" t="str">
        <f t="shared" si="556"/>
        <v>Normal Discount</v>
      </c>
      <c r="H7112" s="37" t="str">
        <f t="shared" si="557"/>
        <v>Low</v>
      </c>
      <c r="I7112">
        <v>3</v>
      </c>
      <c r="J7112" t="str" cm="1">
        <f t="array" ref="J7112">_xlfn.IFS(I7112&lt;=3,"small",I7112&lt;=6,"Medium",I7112&lt;=9,"Large")</f>
        <v>small</v>
      </c>
      <c r="K7112" s="36">
        <v>45422</v>
      </c>
      <c r="L7112" s="36">
        <v>45425</v>
      </c>
      <c r="M7112" t="s">
        <v>612</v>
      </c>
      <c r="N7112" t="s">
        <v>599</v>
      </c>
      <c r="O7112" s="37" t="str">
        <f t="shared" si="558"/>
        <v>Digital Payment</v>
      </c>
      <c r="P7112">
        <v>514.99</v>
      </c>
      <c r="Q7112" s="37" t="str">
        <f>IF(P7112&gt;500,"High","low")</f>
        <v>High</v>
      </c>
      <c r="R7112" s="37" t="str">
        <f t="shared" si="559"/>
        <v>Good</v>
      </c>
      <c r="S7112" t="s">
        <v>605</v>
      </c>
    </row>
    <row r="7113" spans="1:19" x14ac:dyDescent="0.2">
      <c r="A7113" t="s">
        <v>7724</v>
      </c>
      <c r="B7113" t="s">
        <v>67</v>
      </c>
      <c r="C7113" t="s">
        <v>614</v>
      </c>
      <c r="D7113">
        <v>3367.43</v>
      </c>
      <c r="E7113" s="37" t="str">
        <f t="shared" si="555"/>
        <v xml:space="preserve"> </v>
      </c>
      <c r="F7113">
        <v>0.12</v>
      </c>
      <c r="G7113" s="37" t="str">
        <f t="shared" si="556"/>
        <v>Normal Discount</v>
      </c>
      <c r="H7113" s="37" t="str">
        <f t="shared" si="557"/>
        <v>Low</v>
      </c>
      <c r="I7113">
        <v>2</v>
      </c>
      <c r="J7113" t="str" cm="1">
        <f t="array" ref="J7113">_xlfn.IFS(I7113&lt;=3,"small",I7113&lt;=6,"Medium",I7113&lt;=9,"Large")</f>
        <v>small</v>
      </c>
      <c r="K7113" s="36">
        <v>45273</v>
      </c>
      <c r="L7113" s="36">
        <v>45280</v>
      </c>
      <c r="M7113" t="s">
        <v>612</v>
      </c>
      <c r="N7113" t="s">
        <v>604</v>
      </c>
      <c r="O7113" s="37" t="str">
        <f t="shared" si="558"/>
        <v>Digital Payment</v>
      </c>
      <c r="P7113">
        <v>579.36</v>
      </c>
      <c r="Q7113" s="37" t="str">
        <f>IF(P7113&gt;500,"High","low")</f>
        <v>High</v>
      </c>
      <c r="R7113" s="37" t="str">
        <f t="shared" si="559"/>
        <v>Good</v>
      </c>
      <c r="S7113" t="s">
        <v>628</v>
      </c>
    </row>
    <row r="7114" spans="1:19" x14ac:dyDescent="0.2">
      <c r="A7114" t="s">
        <v>7725</v>
      </c>
      <c r="B7114" t="s">
        <v>67</v>
      </c>
      <c r="C7114" t="s">
        <v>614</v>
      </c>
      <c r="D7114">
        <v>857.79</v>
      </c>
      <c r="E7114" s="37" t="str">
        <f t="shared" si="555"/>
        <v xml:space="preserve"> </v>
      </c>
      <c r="F7114">
        <v>0.5</v>
      </c>
      <c r="G7114" s="37" t="str">
        <f t="shared" si="556"/>
        <v>Heavy Discount</v>
      </c>
      <c r="H7114" s="37" t="str">
        <f t="shared" si="557"/>
        <v>High</v>
      </c>
      <c r="I7114">
        <v>8</v>
      </c>
      <c r="J7114" t="str" cm="1">
        <f t="array" ref="J7114">_xlfn.IFS(I7114&lt;=3,"small",I7114&lt;=6,"Medium",I7114&lt;=9,"Large")</f>
        <v>Large</v>
      </c>
      <c r="K7114" s="36">
        <v>45056</v>
      </c>
      <c r="L7114" s="36">
        <v>45062</v>
      </c>
      <c r="M7114" t="s">
        <v>612</v>
      </c>
      <c r="N7114" t="s">
        <v>599</v>
      </c>
      <c r="O7114" s="37" t="str">
        <f t="shared" si="558"/>
        <v>Digital Payment</v>
      </c>
      <c r="P7114">
        <v>158.55000000000001</v>
      </c>
      <c r="Q7114" s="37" t="str">
        <f>IF(P7114&gt;500,"High","low")</f>
        <v>low</v>
      </c>
      <c r="R7114" s="37" t="str">
        <f t="shared" si="559"/>
        <v>AVERAGE</v>
      </c>
      <c r="S7114" t="s">
        <v>615</v>
      </c>
    </row>
    <row r="7115" spans="1:19" x14ac:dyDescent="0.2">
      <c r="A7115" t="s">
        <v>7726</v>
      </c>
      <c r="B7115" t="s">
        <v>67</v>
      </c>
      <c r="C7115" t="s">
        <v>617</v>
      </c>
      <c r="D7115">
        <v>370.62</v>
      </c>
      <c r="E7115" s="37" t="str">
        <f t="shared" si="555"/>
        <v xml:space="preserve"> </v>
      </c>
      <c r="F7115">
        <v>0.08</v>
      </c>
      <c r="G7115" s="37" t="str">
        <f t="shared" si="556"/>
        <v>Normal Discount</v>
      </c>
      <c r="H7115" s="37" t="str">
        <f t="shared" si="557"/>
        <v>Low</v>
      </c>
      <c r="I7115">
        <v>2</v>
      </c>
      <c r="J7115" t="str" cm="1">
        <f t="array" ref="J7115">_xlfn.IFS(I7115&lt;=3,"small",I7115&lt;=6,"Medium",I7115&lt;=9,"Large")</f>
        <v>small</v>
      </c>
      <c r="K7115" s="36">
        <v>45588</v>
      </c>
      <c r="L7115" s="36">
        <v>45595</v>
      </c>
      <c r="M7115" t="s">
        <v>598</v>
      </c>
      <c r="N7115" t="s">
        <v>599</v>
      </c>
      <c r="O7115" s="37" t="str">
        <f t="shared" si="558"/>
        <v>Digital Payment</v>
      </c>
      <c r="P7115">
        <v>105.7</v>
      </c>
      <c r="Q7115" s="37" t="str">
        <f>IF(P7115&gt;500,"High","low")</f>
        <v>low</v>
      </c>
      <c r="R7115" s="37" t="str">
        <f t="shared" si="559"/>
        <v>AVERAGE</v>
      </c>
      <c r="S7115" t="s">
        <v>600</v>
      </c>
    </row>
    <row r="7116" spans="1:19" x14ac:dyDescent="0.2">
      <c r="A7116" t="s">
        <v>7727</v>
      </c>
      <c r="B7116" t="s">
        <v>83</v>
      </c>
      <c r="C7116" t="s">
        <v>617</v>
      </c>
      <c r="D7116">
        <v>2598.9899999999998</v>
      </c>
      <c r="E7116" s="37" t="str">
        <f t="shared" si="555"/>
        <v xml:space="preserve"> </v>
      </c>
      <c r="F7116">
        <v>0.04</v>
      </c>
      <c r="G7116" s="37" t="str">
        <f t="shared" si="556"/>
        <v>Normal Discount</v>
      </c>
      <c r="H7116" s="37" t="str">
        <f t="shared" si="557"/>
        <v>Low</v>
      </c>
      <c r="I7116">
        <v>5</v>
      </c>
      <c r="J7116" t="str" cm="1">
        <f t="array" ref="J7116">_xlfn.IFS(I7116&lt;=3,"small",I7116&lt;=6,"Medium",I7116&lt;=9,"Large")</f>
        <v>Medium</v>
      </c>
      <c r="K7116" s="36">
        <v>45278</v>
      </c>
      <c r="L7116" s="36">
        <v>45282</v>
      </c>
      <c r="M7116" t="s">
        <v>598</v>
      </c>
      <c r="N7116" t="s">
        <v>604</v>
      </c>
      <c r="O7116" s="37" t="str">
        <f t="shared" si="558"/>
        <v>Digital Payment</v>
      </c>
      <c r="P7116">
        <v>466.39</v>
      </c>
      <c r="Q7116" s="37" t="str">
        <f>IF(P7116&gt;500,"High","low")</f>
        <v>low</v>
      </c>
      <c r="R7116" s="37" t="str">
        <f t="shared" si="559"/>
        <v>AVERAGE</v>
      </c>
      <c r="S7116" t="s">
        <v>609</v>
      </c>
    </row>
    <row r="7117" spans="1:19" x14ac:dyDescent="0.2">
      <c r="A7117" t="s">
        <v>7728</v>
      </c>
      <c r="B7117" t="s">
        <v>90</v>
      </c>
      <c r="C7117" t="s">
        <v>602</v>
      </c>
      <c r="D7117">
        <v>451.04</v>
      </c>
      <c r="E7117" s="37" t="str">
        <f t="shared" si="555"/>
        <v xml:space="preserve"> </v>
      </c>
      <c r="F7117">
        <v>0.15</v>
      </c>
      <c r="G7117" s="37" t="str">
        <f t="shared" si="556"/>
        <v>Normal Discount</v>
      </c>
      <c r="H7117" s="37" t="str">
        <f t="shared" si="557"/>
        <v>Low</v>
      </c>
      <c r="I7117">
        <v>4</v>
      </c>
      <c r="J7117" t="str" cm="1">
        <f t="array" ref="J7117">_xlfn.IFS(I7117&lt;=3,"small",I7117&lt;=6,"Medium",I7117&lt;=9,"Large")</f>
        <v>Medium</v>
      </c>
      <c r="K7117" s="36">
        <v>45071</v>
      </c>
      <c r="L7117" s="36">
        <v>45073</v>
      </c>
      <c r="M7117" t="s">
        <v>598</v>
      </c>
      <c r="N7117" t="s">
        <v>608</v>
      </c>
      <c r="O7117" s="37" t="str">
        <f t="shared" si="558"/>
        <v>Cash Payment</v>
      </c>
      <c r="P7117">
        <v>96.35</v>
      </c>
      <c r="Q7117" s="37" t="str">
        <f>IF(P7117&gt;500,"High","low")</f>
        <v>low</v>
      </c>
      <c r="R7117" s="37" t="str">
        <f t="shared" si="559"/>
        <v>AVERAGE</v>
      </c>
      <c r="S7117" t="s">
        <v>620</v>
      </c>
    </row>
    <row r="7118" spans="1:19" x14ac:dyDescent="0.2">
      <c r="A7118" t="s">
        <v>7729</v>
      </c>
      <c r="B7118" t="s">
        <v>75</v>
      </c>
      <c r="C7118" t="s">
        <v>614</v>
      </c>
      <c r="D7118">
        <v>1883.69</v>
      </c>
      <c r="E7118" s="37" t="str">
        <f t="shared" si="555"/>
        <v xml:space="preserve"> </v>
      </c>
      <c r="F7118">
        <v>0.2</v>
      </c>
      <c r="G7118" s="37" t="str">
        <f t="shared" si="556"/>
        <v>Normal Discount</v>
      </c>
      <c r="H7118" s="37" t="str">
        <f t="shared" si="557"/>
        <v>Medium</v>
      </c>
      <c r="I7118">
        <v>1</v>
      </c>
      <c r="J7118" t="str" cm="1">
        <f t="array" ref="J7118">_xlfn.IFS(I7118&lt;=3,"small",I7118&lt;=6,"Medium",I7118&lt;=9,"Large")</f>
        <v>small</v>
      </c>
      <c r="K7118" s="36">
        <v>45627</v>
      </c>
      <c r="L7118" s="36">
        <v>45628</v>
      </c>
      <c r="M7118" t="s">
        <v>612</v>
      </c>
      <c r="N7118" t="s">
        <v>608</v>
      </c>
      <c r="O7118" s="37" t="str">
        <f t="shared" si="558"/>
        <v>Cash Payment</v>
      </c>
      <c r="P7118">
        <v>522.74</v>
      </c>
      <c r="Q7118" s="37" t="str">
        <f>IF(P7118&gt;500,"High","low")</f>
        <v>High</v>
      </c>
      <c r="R7118" s="37" t="str">
        <f t="shared" si="559"/>
        <v>Good</v>
      </c>
      <c r="S7118" t="s">
        <v>615</v>
      </c>
    </row>
    <row r="7119" spans="1:19" x14ac:dyDescent="0.2">
      <c r="A7119" t="s">
        <v>7730</v>
      </c>
      <c r="B7119" t="s">
        <v>75</v>
      </c>
      <c r="C7119" t="s">
        <v>617</v>
      </c>
      <c r="D7119">
        <v>227.95</v>
      </c>
      <c r="E7119" s="37" t="str">
        <f t="shared" si="555"/>
        <v xml:space="preserve"> </v>
      </c>
      <c r="F7119">
        <v>0.38</v>
      </c>
      <c r="G7119" s="37" t="str">
        <f t="shared" si="556"/>
        <v>Heavy Discount</v>
      </c>
      <c r="H7119" s="37" t="str">
        <f t="shared" si="557"/>
        <v>Medium</v>
      </c>
      <c r="I7119">
        <v>7</v>
      </c>
      <c r="J7119" t="str" cm="1">
        <f t="array" ref="J7119">_xlfn.IFS(I7119&lt;=3,"small",I7119&lt;=6,"Medium",I7119&lt;=9,"Large")</f>
        <v>Large</v>
      </c>
      <c r="K7119" s="36">
        <v>45411</v>
      </c>
      <c r="L7119" s="36">
        <v>45414</v>
      </c>
      <c r="M7119" t="s">
        <v>603</v>
      </c>
      <c r="N7119" t="s">
        <v>599</v>
      </c>
      <c r="O7119" s="37" t="str">
        <f t="shared" si="558"/>
        <v>Digital Payment</v>
      </c>
      <c r="P7119">
        <v>52.24</v>
      </c>
      <c r="Q7119" s="37" t="str">
        <f>IF(P7119&gt;500,"High","low")</f>
        <v>low</v>
      </c>
      <c r="R7119" s="37" t="str">
        <f t="shared" si="559"/>
        <v>AVERAGE</v>
      </c>
      <c r="S7119" t="s">
        <v>615</v>
      </c>
    </row>
    <row r="7120" spans="1:19" x14ac:dyDescent="0.2">
      <c r="A7120" t="s">
        <v>7731</v>
      </c>
      <c r="B7120" t="s">
        <v>90</v>
      </c>
      <c r="C7120" t="s">
        <v>597</v>
      </c>
      <c r="D7120">
        <v>966.36</v>
      </c>
      <c r="E7120" s="37" t="str">
        <f t="shared" si="555"/>
        <v xml:space="preserve"> </v>
      </c>
      <c r="F7120">
        <v>0.48</v>
      </c>
      <c r="G7120" s="37" t="str">
        <f t="shared" si="556"/>
        <v>Heavy Discount</v>
      </c>
      <c r="H7120" s="37" t="str">
        <f t="shared" si="557"/>
        <v>High</v>
      </c>
      <c r="I7120">
        <v>6</v>
      </c>
      <c r="J7120" t="str" cm="1">
        <f t="array" ref="J7120">_xlfn.IFS(I7120&lt;=3,"small",I7120&lt;=6,"Medium",I7120&lt;=9,"Large")</f>
        <v>Medium</v>
      </c>
      <c r="K7120" s="36">
        <v>45504</v>
      </c>
      <c r="L7120" s="36">
        <v>45506</v>
      </c>
      <c r="M7120" t="s">
        <v>603</v>
      </c>
      <c r="N7120" t="s">
        <v>604</v>
      </c>
      <c r="O7120" s="37" t="str">
        <f t="shared" si="558"/>
        <v>Digital Payment</v>
      </c>
      <c r="P7120">
        <v>179.84</v>
      </c>
      <c r="Q7120" s="37" t="str">
        <f>IF(P7120&gt;500,"High","low")</f>
        <v>low</v>
      </c>
      <c r="R7120" s="37" t="str">
        <f t="shared" si="559"/>
        <v>AVERAGE</v>
      </c>
      <c r="S7120" t="s">
        <v>609</v>
      </c>
    </row>
    <row r="7121" spans="1:19" x14ac:dyDescent="0.2">
      <c r="A7121" t="s">
        <v>7732</v>
      </c>
      <c r="B7121" t="s">
        <v>90</v>
      </c>
      <c r="C7121" t="s">
        <v>597</v>
      </c>
      <c r="D7121">
        <v>640.79999999999995</v>
      </c>
      <c r="E7121" s="37" t="str">
        <f t="shared" si="555"/>
        <v xml:space="preserve"> </v>
      </c>
      <c r="F7121">
        <v>0.38</v>
      </c>
      <c r="G7121" s="37" t="str">
        <f t="shared" si="556"/>
        <v>Heavy Discount</v>
      </c>
      <c r="H7121" s="37" t="str">
        <f t="shared" si="557"/>
        <v>Medium</v>
      </c>
      <c r="I7121">
        <v>1</v>
      </c>
      <c r="J7121" t="str" cm="1">
        <f t="array" ref="J7121">_xlfn.IFS(I7121&lt;=3,"small",I7121&lt;=6,"Medium",I7121&lt;=9,"Large")</f>
        <v>small</v>
      </c>
      <c r="K7121" s="36">
        <v>45171</v>
      </c>
      <c r="L7121" s="36">
        <v>45172</v>
      </c>
      <c r="M7121" t="s">
        <v>612</v>
      </c>
      <c r="N7121" t="s">
        <v>604</v>
      </c>
      <c r="O7121" s="37" t="str">
        <f t="shared" si="558"/>
        <v>Digital Payment</v>
      </c>
      <c r="P7121">
        <v>96.38</v>
      </c>
      <c r="Q7121" s="37" t="str">
        <f>IF(P7121&gt;500,"High","low")</f>
        <v>low</v>
      </c>
      <c r="R7121" s="37" t="str">
        <f t="shared" si="559"/>
        <v>AVERAGE</v>
      </c>
      <c r="S7121" t="s">
        <v>620</v>
      </c>
    </row>
    <row r="7122" spans="1:19" x14ac:dyDescent="0.2">
      <c r="A7122" t="s">
        <v>7733</v>
      </c>
      <c r="B7122" t="s">
        <v>90</v>
      </c>
      <c r="C7122" t="s">
        <v>617</v>
      </c>
      <c r="D7122">
        <v>4024.83</v>
      </c>
      <c r="E7122" s="37" t="str">
        <f t="shared" si="555"/>
        <v xml:space="preserve"> </v>
      </c>
      <c r="F7122">
        <v>0.36</v>
      </c>
      <c r="G7122" s="37" t="str">
        <f t="shared" si="556"/>
        <v>Heavy Discount</v>
      </c>
      <c r="H7122" s="37" t="str">
        <f t="shared" si="557"/>
        <v>Medium</v>
      </c>
      <c r="I7122">
        <v>9</v>
      </c>
      <c r="J7122" t="str" cm="1">
        <f t="array" ref="J7122">_xlfn.IFS(I7122&lt;=3,"small",I7122&lt;=6,"Medium",I7122&lt;=9,"Large")</f>
        <v>Large</v>
      </c>
      <c r="K7122" s="36">
        <v>45170</v>
      </c>
      <c r="L7122" s="36">
        <v>45177</v>
      </c>
      <c r="M7122" t="s">
        <v>603</v>
      </c>
      <c r="N7122" t="s">
        <v>604</v>
      </c>
      <c r="O7122" s="37" t="str">
        <f t="shared" si="558"/>
        <v>Digital Payment</v>
      </c>
      <c r="P7122">
        <v>314.17</v>
      </c>
      <c r="Q7122" s="37" t="str">
        <f>IF(P7122&gt;500,"High","low")</f>
        <v>low</v>
      </c>
      <c r="R7122" s="37" t="str">
        <f t="shared" si="559"/>
        <v>AVERAGE</v>
      </c>
      <c r="S7122" t="s">
        <v>605</v>
      </c>
    </row>
    <row r="7123" spans="1:19" x14ac:dyDescent="0.2">
      <c r="A7123" t="s">
        <v>7734</v>
      </c>
      <c r="B7123" t="s">
        <v>83</v>
      </c>
      <c r="C7123" t="s">
        <v>602</v>
      </c>
      <c r="D7123">
        <v>1796.02</v>
      </c>
      <c r="E7123" s="37" t="str">
        <f t="shared" si="555"/>
        <v xml:space="preserve"> </v>
      </c>
      <c r="F7123">
        <v>0.5</v>
      </c>
      <c r="G7123" s="37" t="str">
        <f t="shared" si="556"/>
        <v>Heavy Discount</v>
      </c>
      <c r="H7123" s="37" t="str">
        <f t="shared" si="557"/>
        <v>High</v>
      </c>
      <c r="I7123">
        <v>4</v>
      </c>
      <c r="J7123" t="str" cm="1">
        <f t="array" ref="J7123">_xlfn.IFS(I7123&lt;=3,"small",I7123&lt;=6,"Medium",I7123&lt;=9,"Large")</f>
        <v>Medium</v>
      </c>
      <c r="K7123" s="36">
        <v>45045</v>
      </c>
      <c r="L7123" s="36">
        <v>45047</v>
      </c>
      <c r="M7123" t="s">
        <v>612</v>
      </c>
      <c r="N7123" t="s">
        <v>599</v>
      </c>
      <c r="O7123" s="37" t="str">
        <f t="shared" si="558"/>
        <v>Digital Payment</v>
      </c>
      <c r="P7123">
        <v>442.72</v>
      </c>
      <c r="Q7123" s="37" t="str">
        <f>IF(P7123&gt;500,"High","low")</f>
        <v>low</v>
      </c>
      <c r="R7123" s="37" t="str">
        <f t="shared" si="559"/>
        <v>AVERAGE</v>
      </c>
      <c r="S7123" t="s">
        <v>605</v>
      </c>
    </row>
    <row r="7124" spans="1:19" x14ac:dyDescent="0.2">
      <c r="A7124" t="s">
        <v>7735</v>
      </c>
      <c r="B7124" t="s">
        <v>75</v>
      </c>
      <c r="C7124" t="s">
        <v>614</v>
      </c>
      <c r="D7124">
        <v>486.35</v>
      </c>
      <c r="E7124" s="37" t="str">
        <f t="shared" si="555"/>
        <v xml:space="preserve"> </v>
      </c>
      <c r="F7124">
        <v>0.38</v>
      </c>
      <c r="G7124" s="37" t="str">
        <f t="shared" si="556"/>
        <v>Heavy Discount</v>
      </c>
      <c r="H7124" s="37" t="str">
        <f t="shared" si="557"/>
        <v>Medium</v>
      </c>
      <c r="I7124">
        <v>1</v>
      </c>
      <c r="J7124" t="str" cm="1">
        <f t="array" ref="J7124">_xlfn.IFS(I7124&lt;=3,"small",I7124&lt;=6,"Medium",I7124&lt;=9,"Large")</f>
        <v>small</v>
      </c>
      <c r="K7124" s="36">
        <v>45592</v>
      </c>
      <c r="L7124" s="36">
        <v>45594</v>
      </c>
      <c r="M7124" t="s">
        <v>603</v>
      </c>
      <c r="N7124" t="s">
        <v>599</v>
      </c>
      <c r="O7124" s="37" t="str">
        <f t="shared" si="558"/>
        <v>Digital Payment</v>
      </c>
      <c r="P7124">
        <v>120.03</v>
      </c>
      <c r="Q7124" s="37" t="str">
        <f>IF(P7124&gt;500,"High","low")</f>
        <v>low</v>
      </c>
      <c r="R7124" s="37" t="str">
        <f t="shared" si="559"/>
        <v>AVERAGE</v>
      </c>
      <c r="S7124" t="s">
        <v>600</v>
      </c>
    </row>
    <row r="7125" spans="1:19" x14ac:dyDescent="0.2">
      <c r="A7125" t="s">
        <v>7736</v>
      </c>
      <c r="B7125" t="s">
        <v>90</v>
      </c>
      <c r="C7125" t="s">
        <v>597</v>
      </c>
      <c r="D7125">
        <v>1400.85</v>
      </c>
      <c r="E7125" s="37" t="str">
        <f t="shared" si="555"/>
        <v xml:space="preserve"> </v>
      </c>
      <c r="F7125">
        <v>7.0000000000000007E-2</v>
      </c>
      <c r="G7125" s="37" t="str">
        <f t="shared" si="556"/>
        <v>Normal Discount</v>
      </c>
      <c r="H7125" s="37" t="str">
        <f t="shared" si="557"/>
        <v>Low</v>
      </c>
      <c r="I7125">
        <v>8</v>
      </c>
      <c r="J7125" t="str" cm="1">
        <f t="array" ref="J7125">_xlfn.IFS(I7125&lt;=3,"small",I7125&lt;=6,"Medium",I7125&lt;=9,"Large")</f>
        <v>Large</v>
      </c>
      <c r="K7125" s="36">
        <v>45366</v>
      </c>
      <c r="L7125" s="36">
        <v>45368</v>
      </c>
      <c r="M7125" t="s">
        <v>612</v>
      </c>
      <c r="N7125" t="s">
        <v>604</v>
      </c>
      <c r="O7125" s="37" t="str">
        <f t="shared" si="558"/>
        <v>Digital Payment</v>
      </c>
      <c r="P7125">
        <v>410.43</v>
      </c>
      <c r="Q7125" s="37" t="str">
        <f>IF(P7125&gt;500,"High","low")</f>
        <v>low</v>
      </c>
      <c r="R7125" s="37" t="str">
        <f t="shared" si="559"/>
        <v>AVERAGE</v>
      </c>
      <c r="S7125" t="s">
        <v>600</v>
      </c>
    </row>
    <row r="7126" spans="1:19" x14ac:dyDescent="0.2">
      <c r="A7126" t="s">
        <v>7737</v>
      </c>
      <c r="B7126" t="s">
        <v>83</v>
      </c>
      <c r="C7126" t="s">
        <v>617</v>
      </c>
      <c r="D7126">
        <v>3445.76</v>
      </c>
      <c r="E7126" s="37" t="str">
        <f t="shared" si="555"/>
        <v xml:space="preserve"> </v>
      </c>
      <c r="F7126">
        <v>0.23</v>
      </c>
      <c r="G7126" s="37" t="str">
        <f t="shared" si="556"/>
        <v>Normal Discount</v>
      </c>
      <c r="H7126" s="37" t="str">
        <f t="shared" si="557"/>
        <v>Medium</v>
      </c>
      <c r="I7126">
        <v>1</v>
      </c>
      <c r="J7126" t="str" cm="1">
        <f t="array" ref="J7126">_xlfn.IFS(I7126&lt;=3,"small",I7126&lt;=6,"Medium",I7126&lt;=9,"Large")</f>
        <v>small</v>
      </c>
      <c r="K7126" s="36">
        <v>45599</v>
      </c>
      <c r="L7126" s="36">
        <v>45601</v>
      </c>
      <c r="M7126" t="s">
        <v>612</v>
      </c>
      <c r="N7126" t="s">
        <v>604</v>
      </c>
      <c r="O7126" s="37" t="str">
        <f t="shared" si="558"/>
        <v>Digital Payment</v>
      </c>
      <c r="P7126">
        <v>612.80999999999995</v>
      </c>
      <c r="Q7126" s="37" t="str">
        <f>IF(P7126&gt;500,"High","low")</f>
        <v>High</v>
      </c>
      <c r="R7126" s="37" t="str">
        <f t="shared" si="559"/>
        <v>Good</v>
      </c>
      <c r="S7126" t="s">
        <v>620</v>
      </c>
    </row>
    <row r="7127" spans="1:19" x14ac:dyDescent="0.2">
      <c r="A7127" t="s">
        <v>7738</v>
      </c>
      <c r="B7127" t="s">
        <v>75</v>
      </c>
      <c r="C7127" t="s">
        <v>617</v>
      </c>
      <c r="D7127">
        <v>3753.61</v>
      </c>
      <c r="E7127" s="37" t="str">
        <f t="shared" si="555"/>
        <v xml:space="preserve"> </v>
      </c>
      <c r="F7127">
        <v>0.25</v>
      </c>
      <c r="G7127" s="37" t="str">
        <f t="shared" si="556"/>
        <v>Normal Discount</v>
      </c>
      <c r="H7127" s="37" t="str">
        <f t="shared" si="557"/>
        <v>Medium</v>
      </c>
      <c r="I7127">
        <v>2</v>
      </c>
      <c r="J7127" t="str" cm="1">
        <f t="array" ref="J7127">_xlfn.IFS(I7127&lt;=3,"small",I7127&lt;=6,"Medium",I7127&lt;=9,"Large")</f>
        <v>small</v>
      </c>
      <c r="K7127" s="36">
        <v>45439</v>
      </c>
      <c r="L7127" s="36">
        <v>45442</v>
      </c>
      <c r="M7127" t="s">
        <v>603</v>
      </c>
      <c r="N7127" t="s">
        <v>604</v>
      </c>
      <c r="O7127" s="37" t="str">
        <f t="shared" si="558"/>
        <v>Digital Payment</v>
      </c>
      <c r="P7127">
        <v>846.33</v>
      </c>
      <c r="Q7127" s="37" t="str">
        <f>IF(P7127&gt;500,"High","low")</f>
        <v>High</v>
      </c>
      <c r="R7127" s="37" t="str">
        <f t="shared" si="559"/>
        <v>Good</v>
      </c>
      <c r="S7127" t="s">
        <v>600</v>
      </c>
    </row>
    <row r="7128" spans="1:19" x14ac:dyDescent="0.2">
      <c r="A7128" t="s">
        <v>7739</v>
      </c>
      <c r="B7128" t="s">
        <v>67</v>
      </c>
      <c r="C7128" t="s">
        <v>607</v>
      </c>
      <c r="D7128">
        <v>687.34</v>
      </c>
      <c r="E7128" s="37" t="str">
        <f t="shared" si="555"/>
        <v xml:space="preserve"> </v>
      </c>
      <c r="F7128">
        <v>0.15</v>
      </c>
      <c r="G7128" s="37" t="str">
        <f t="shared" si="556"/>
        <v>Normal Discount</v>
      </c>
      <c r="H7128" s="37" t="str">
        <f t="shared" si="557"/>
        <v>Low</v>
      </c>
      <c r="I7128">
        <v>5</v>
      </c>
      <c r="J7128" t="str" cm="1">
        <f t="array" ref="J7128">_xlfn.IFS(I7128&lt;=3,"small",I7128&lt;=6,"Medium",I7128&lt;=9,"Large")</f>
        <v>Medium</v>
      </c>
      <c r="K7128" s="36">
        <v>45478</v>
      </c>
      <c r="L7128" s="36">
        <v>45483</v>
      </c>
      <c r="M7128" t="s">
        <v>603</v>
      </c>
      <c r="N7128" t="s">
        <v>604</v>
      </c>
      <c r="O7128" s="37" t="str">
        <f t="shared" si="558"/>
        <v>Digital Payment</v>
      </c>
      <c r="P7128">
        <v>202.41</v>
      </c>
      <c r="Q7128" s="37" t="str">
        <f>IF(P7128&gt;500,"High","low")</f>
        <v>low</v>
      </c>
      <c r="R7128" s="37" t="str">
        <f t="shared" si="559"/>
        <v>AVERAGE</v>
      </c>
      <c r="S7128" t="s">
        <v>605</v>
      </c>
    </row>
    <row r="7129" spans="1:19" x14ac:dyDescent="0.2">
      <c r="A7129" t="s">
        <v>7740</v>
      </c>
      <c r="B7129" t="s">
        <v>83</v>
      </c>
      <c r="C7129" t="s">
        <v>617</v>
      </c>
      <c r="D7129">
        <v>3914.98</v>
      </c>
      <c r="E7129" s="37" t="str">
        <f t="shared" si="555"/>
        <v xml:space="preserve"> </v>
      </c>
      <c r="F7129">
        <v>0.08</v>
      </c>
      <c r="G7129" s="37" t="str">
        <f t="shared" si="556"/>
        <v>Normal Discount</v>
      </c>
      <c r="H7129" s="37" t="str">
        <f t="shared" si="557"/>
        <v>Low</v>
      </c>
      <c r="I7129">
        <v>1</v>
      </c>
      <c r="J7129" t="str" cm="1">
        <f t="array" ref="J7129">_xlfn.IFS(I7129&lt;=3,"small",I7129&lt;=6,"Medium",I7129&lt;=9,"Large")</f>
        <v>small</v>
      </c>
      <c r="K7129" s="36">
        <v>45097</v>
      </c>
      <c r="L7129" s="36">
        <v>45099</v>
      </c>
      <c r="M7129" t="s">
        <v>603</v>
      </c>
      <c r="N7129" t="s">
        <v>599</v>
      </c>
      <c r="O7129" s="37" t="str">
        <f t="shared" si="558"/>
        <v>Digital Payment</v>
      </c>
      <c r="P7129">
        <v>794.97</v>
      </c>
      <c r="Q7129" s="37" t="str">
        <f>IF(P7129&gt;500,"High","low")</f>
        <v>High</v>
      </c>
      <c r="R7129" s="37" t="str">
        <f t="shared" si="559"/>
        <v>Good</v>
      </c>
      <c r="S7129" t="s">
        <v>600</v>
      </c>
    </row>
    <row r="7130" spans="1:19" x14ac:dyDescent="0.2">
      <c r="A7130" t="s">
        <v>7741</v>
      </c>
      <c r="B7130" t="s">
        <v>75</v>
      </c>
      <c r="C7130" t="s">
        <v>602</v>
      </c>
      <c r="D7130">
        <v>1915.74</v>
      </c>
      <c r="E7130" s="37" t="str">
        <f t="shared" si="555"/>
        <v xml:space="preserve"> </v>
      </c>
      <c r="F7130">
        <v>0.36</v>
      </c>
      <c r="G7130" s="37" t="str">
        <f t="shared" si="556"/>
        <v>Heavy Discount</v>
      </c>
      <c r="H7130" s="37" t="str">
        <f t="shared" si="557"/>
        <v>Medium</v>
      </c>
      <c r="I7130">
        <v>1</v>
      </c>
      <c r="J7130" t="str" cm="1">
        <f t="array" ref="J7130">_xlfn.IFS(I7130&lt;=3,"small",I7130&lt;=6,"Medium",I7130&lt;=9,"Large")</f>
        <v>small</v>
      </c>
      <c r="K7130" s="36">
        <v>45226</v>
      </c>
      <c r="L7130" s="36">
        <v>45232</v>
      </c>
      <c r="M7130" t="s">
        <v>598</v>
      </c>
      <c r="N7130" t="s">
        <v>608</v>
      </c>
      <c r="O7130" s="37" t="str">
        <f t="shared" si="558"/>
        <v>Cash Payment</v>
      </c>
      <c r="P7130">
        <v>490.7</v>
      </c>
      <c r="Q7130" s="37" t="str">
        <f>IF(P7130&gt;500,"High","low")</f>
        <v>low</v>
      </c>
      <c r="R7130" s="37" t="str">
        <f t="shared" si="559"/>
        <v>AVERAGE</v>
      </c>
      <c r="S7130" t="s">
        <v>628</v>
      </c>
    </row>
    <row r="7131" spans="1:19" x14ac:dyDescent="0.2">
      <c r="A7131" t="s">
        <v>7742</v>
      </c>
      <c r="B7131" t="s">
        <v>83</v>
      </c>
      <c r="C7131" t="s">
        <v>597</v>
      </c>
      <c r="D7131">
        <v>3428.98</v>
      </c>
      <c r="E7131" s="37" t="str">
        <f t="shared" si="555"/>
        <v xml:space="preserve"> </v>
      </c>
      <c r="F7131">
        <v>0.14000000000000001</v>
      </c>
      <c r="G7131" s="37" t="str">
        <f t="shared" si="556"/>
        <v>Normal Discount</v>
      </c>
      <c r="H7131" s="37" t="str">
        <f t="shared" si="557"/>
        <v>Low</v>
      </c>
      <c r="I7131">
        <v>6</v>
      </c>
      <c r="J7131" t="str" cm="1">
        <f t="array" ref="J7131">_xlfn.IFS(I7131&lt;=3,"small",I7131&lt;=6,"Medium",I7131&lt;=9,"Large")</f>
        <v>Medium</v>
      </c>
      <c r="K7131" s="36">
        <v>45116</v>
      </c>
      <c r="L7131" s="36">
        <v>45123</v>
      </c>
      <c r="M7131" t="s">
        <v>598</v>
      </c>
      <c r="N7131" t="s">
        <v>608</v>
      </c>
      <c r="O7131" s="37" t="str">
        <f t="shared" si="558"/>
        <v>Cash Payment</v>
      </c>
      <c r="P7131">
        <v>523.54</v>
      </c>
      <c r="Q7131" s="37" t="str">
        <f>IF(P7131&gt;500,"High","low")</f>
        <v>High</v>
      </c>
      <c r="R7131" s="37" t="str">
        <f t="shared" si="559"/>
        <v>Good</v>
      </c>
      <c r="S7131" t="s">
        <v>609</v>
      </c>
    </row>
    <row r="7132" spans="1:19" x14ac:dyDescent="0.2">
      <c r="A7132" t="s">
        <v>7743</v>
      </c>
      <c r="B7132" t="s">
        <v>75</v>
      </c>
      <c r="C7132" t="s">
        <v>607</v>
      </c>
      <c r="D7132">
        <v>3390.39</v>
      </c>
      <c r="E7132" s="37" t="str">
        <f t="shared" si="555"/>
        <v xml:space="preserve"> </v>
      </c>
      <c r="F7132">
        <v>0.31</v>
      </c>
      <c r="G7132" s="37" t="str">
        <f t="shared" si="556"/>
        <v>Heavy Discount</v>
      </c>
      <c r="H7132" s="37" t="str">
        <f t="shared" si="557"/>
        <v>Medium</v>
      </c>
      <c r="I7132">
        <v>1</v>
      </c>
      <c r="J7132" t="str" cm="1">
        <f t="array" ref="J7132">_xlfn.IFS(I7132&lt;=3,"small",I7132&lt;=6,"Medium",I7132&lt;=9,"Large")</f>
        <v>small</v>
      </c>
      <c r="K7132" s="36">
        <v>45218</v>
      </c>
      <c r="L7132" s="36">
        <v>45219</v>
      </c>
      <c r="M7132" t="s">
        <v>612</v>
      </c>
      <c r="N7132" t="s">
        <v>608</v>
      </c>
      <c r="O7132" s="37" t="str">
        <f t="shared" si="558"/>
        <v>Cash Payment</v>
      </c>
      <c r="P7132">
        <v>327.52</v>
      </c>
      <c r="Q7132" s="37" t="str">
        <f>IF(P7132&gt;500,"High","low")</f>
        <v>low</v>
      </c>
      <c r="R7132" s="37" t="str">
        <f t="shared" si="559"/>
        <v>AVERAGE</v>
      </c>
      <c r="S7132" t="s">
        <v>600</v>
      </c>
    </row>
    <row r="7133" spans="1:19" x14ac:dyDescent="0.2">
      <c r="A7133" t="s">
        <v>7744</v>
      </c>
      <c r="B7133" t="s">
        <v>75</v>
      </c>
      <c r="C7133" t="s">
        <v>597</v>
      </c>
      <c r="D7133">
        <v>3988.6</v>
      </c>
      <c r="E7133" s="37" t="str">
        <f t="shared" si="555"/>
        <v xml:space="preserve"> </v>
      </c>
      <c r="F7133">
        <v>0.16</v>
      </c>
      <c r="G7133" s="37" t="str">
        <f t="shared" si="556"/>
        <v>Normal Discount</v>
      </c>
      <c r="H7133" s="37" t="str">
        <f t="shared" si="557"/>
        <v>Low</v>
      </c>
      <c r="I7133">
        <v>5</v>
      </c>
      <c r="J7133" t="str" cm="1">
        <f t="array" ref="J7133">_xlfn.IFS(I7133&lt;=3,"small",I7133&lt;=6,"Medium",I7133&lt;=9,"Large")</f>
        <v>Medium</v>
      </c>
      <c r="K7133" s="36">
        <v>45564</v>
      </c>
      <c r="L7133" s="36">
        <v>45567</v>
      </c>
      <c r="M7133" t="s">
        <v>598</v>
      </c>
      <c r="N7133" t="s">
        <v>608</v>
      </c>
      <c r="O7133" s="37" t="str">
        <f t="shared" si="558"/>
        <v>Cash Payment</v>
      </c>
      <c r="P7133">
        <v>1040.02</v>
      </c>
      <c r="Q7133" s="37" t="str">
        <f>IF(P7133&gt;500,"High","low")</f>
        <v>High</v>
      </c>
      <c r="R7133" s="37" t="str">
        <f t="shared" si="559"/>
        <v>Excellent</v>
      </c>
      <c r="S7133" t="s">
        <v>620</v>
      </c>
    </row>
    <row r="7134" spans="1:19" x14ac:dyDescent="0.2">
      <c r="A7134" t="s">
        <v>7745</v>
      </c>
      <c r="B7134" t="s">
        <v>67</v>
      </c>
      <c r="C7134" t="s">
        <v>597</v>
      </c>
      <c r="D7134">
        <v>3516.2</v>
      </c>
      <c r="E7134" s="37" t="str">
        <f t="shared" si="555"/>
        <v xml:space="preserve"> </v>
      </c>
      <c r="F7134">
        <v>0.25</v>
      </c>
      <c r="G7134" s="37" t="str">
        <f t="shared" si="556"/>
        <v>Normal Discount</v>
      </c>
      <c r="H7134" s="37" t="str">
        <f t="shared" si="557"/>
        <v>Medium</v>
      </c>
      <c r="I7134">
        <v>5</v>
      </c>
      <c r="J7134" t="str" cm="1">
        <f t="array" ref="J7134">_xlfn.IFS(I7134&lt;=3,"small",I7134&lt;=6,"Medium",I7134&lt;=9,"Large")</f>
        <v>Medium</v>
      </c>
      <c r="K7134" s="36">
        <v>45459</v>
      </c>
      <c r="L7134" s="36">
        <v>45466</v>
      </c>
      <c r="M7134" t="s">
        <v>598</v>
      </c>
      <c r="N7134" t="s">
        <v>608</v>
      </c>
      <c r="O7134" s="37" t="str">
        <f t="shared" si="558"/>
        <v>Cash Payment</v>
      </c>
      <c r="P7134">
        <v>554.15</v>
      </c>
      <c r="Q7134" s="37" t="str">
        <f>IF(P7134&gt;500,"High","low")</f>
        <v>High</v>
      </c>
      <c r="R7134" s="37" t="str">
        <f t="shared" si="559"/>
        <v>Good</v>
      </c>
      <c r="S7134" t="s">
        <v>628</v>
      </c>
    </row>
    <row r="7135" spans="1:19" x14ac:dyDescent="0.2">
      <c r="A7135" t="s">
        <v>7746</v>
      </c>
      <c r="B7135" t="s">
        <v>83</v>
      </c>
      <c r="C7135" t="s">
        <v>602</v>
      </c>
      <c r="D7135">
        <v>290.45</v>
      </c>
      <c r="E7135" s="37" t="str">
        <f t="shared" si="555"/>
        <v xml:space="preserve"> </v>
      </c>
      <c r="F7135">
        <v>0.17</v>
      </c>
      <c r="G7135" s="37" t="str">
        <f t="shared" si="556"/>
        <v>Normal Discount</v>
      </c>
      <c r="H7135" s="37" t="str">
        <f t="shared" si="557"/>
        <v>Low</v>
      </c>
      <c r="I7135">
        <v>2</v>
      </c>
      <c r="J7135" t="str" cm="1">
        <f t="array" ref="J7135">_xlfn.IFS(I7135&lt;=3,"small",I7135&lt;=6,"Medium",I7135&lt;=9,"Large")</f>
        <v>small</v>
      </c>
      <c r="K7135" s="36">
        <v>45013</v>
      </c>
      <c r="L7135" s="36">
        <v>45016</v>
      </c>
      <c r="M7135" t="s">
        <v>603</v>
      </c>
      <c r="N7135" t="s">
        <v>608</v>
      </c>
      <c r="O7135" s="37" t="str">
        <f t="shared" si="558"/>
        <v>Cash Payment</v>
      </c>
      <c r="P7135">
        <v>68.540000000000006</v>
      </c>
      <c r="Q7135" s="37" t="str">
        <f>IF(P7135&gt;500,"High","low")</f>
        <v>low</v>
      </c>
      <c r="R7135" s="37" t="str">
        <f t="shared" si="559"/>
        <v>AVERAGE</v>
      </c>
      <c r="S7135" t="s">
        <v>615</v>
      </c>
    </row>
    <row r="7136" spans="1:19" x14ac:dyDescent="0.2">
      <c r="A7136" t="s">
        <v>7747</v>
      </c>
      <c r="B7136" t="s">
        <v>90</v>
      </c>
      <c r="C7136" t="s">
        <v>617</v>
      </c>
      <c r="D7136">
        <v>2645.46</v>
      </c>
      <c r="E7136" s="37" t="str">
        <f t="shared" si="555"/>
        <v xml:space="preserve"> </v>
      </c>
      <c r="F7136">
        <v>0.21</v>
      </c>
      <c r="G7136" s="37" t="str">
        <f t="shared" si="556"/>
        <v>Normal Discount</v>
      </c>
      <c r="H7136" s="37" t="str">
        <f t="shared" si="557"/>
        <v>Medium</v>
      </c>
      <c r="I7136">
        <v>3</v>
      </c>
      <c r="J7136" t="str" cm="1">
        <f t="array" ref="J7136">_xlfn.IFS(I7136&lt;=3,"small",I7136&lt;=6,"Medium",I7136&lt;=9,"Large")</f>
        <v>small</v>
      </c>
      <c r="K7136" s="36">
        <v>45328</v>
      </c>
      <c r="L7136" s="36">
        <v>45335</v>
      </c>
      <c r="M7136" t="s">
        <v>603</v>
      </c>
      <c r="N7136" t="s">
        <v>604</v>
      </c>
      <c r="O7136" s="37" t="str">
        <f t="shared" si="558"/>
        <v>Digital Payment</v>
      </c>
      <c r="P7136">
        <v>480.1</v>
      </c>
      <c r="Q7136" s="37" t="str">
        <f>IF(P7136&gt;500,"High","low")</f>
        <v>low</v>
      </c>
      <c r="R7136" s="37" t="str">
        <f t="shared" si="559"/>
        <v>AVERAGE</v>
      </c>
      <c r="S7136" t="s">
        <v>609</v>
      </c>
    </row>
    <row r="7137" spans="1:19" x14ac:dyDescent="0.2">
      <c r="A7137" t="s">
        <v>7748</v>
      </c>
      <c r="B7137" t="s">
        <v>67</v>
      </c>
      <c r="C7137" t="s">
        <v>602</v>
      </c>
      <c r="D7137">
        <v>914.29</v>
      </c>
      <c r="E7137" s="37" t="str">
        <f t="shared" si="555"/>
        <v xml:space="preserve"> </v>
      </c>
      <c r="F7137">
        <v>0.37</v>
      </c>
      <c r="G7137" s="37" t="str">
        <f t="shared" si="556"/>
        <v>Heavy Discount</v>
      </c>
      <c r="H7137" s="37" t="str">
        <f t="shared" si="557"/>
        <v>Medium</v>
      </c>
      <c r="I7137">
        <v>3</v>
      </c>
      <c r="J7137" t="str" cm="1">
        <f t="array" ref="J7137">_xlfn.IFS(I7137&lt;=3,"small",I7137&lt;=6,"Medium",I7137&lt;=9,"Large")</f>
        <v>small</v>
      </c>
      <c r="K7137" s="36">
        <v>45484</v>
      </c>
      <c r="L7137" s="36">
        <v>45486</v>
      </c>
      <c r="M7137" t="s">
        <v>598</v>
      </c>
      <c r="N7137" t="s">
        <v>604</v>
      </c>
      <c r="O7137" s="37" t="str">
        <f t="shared" si="558"/>
        <v>Digital Payment</v>
      </c>
      <c r="P7137">
        <v>150.19</v>
      </c>
      <c r="Q7137" s="37" t="str">
        <f>IF(P7137&gt;500,"High","low")</f>
        <v>low</v>
      </c>
      <c r="R7137" s="37" t="str">
        <f t="shared" si="559"/>
        <v>AVERAGE</v>
      </c>
      <c r="S7137" t="s">
        <v>628</v>
      </c>
    </row>
    <row r="7138" spans="1:19" x14ac:dyDescent="0.2">
      <c r="A7138" t="s">
        <v>7749</v>
      </c>
      <c r="B7138" t="s">
        <v>67</v>
      </c>
      <c r="C7138" t="s">
        <v>617</v>
      </c>
      <c r="D7138">
        <v>4852.83</v>
      </c>
      <c r="E7138" s="37" t="str">
        <f t="shared" si="555"/>
        <v xml:space="preserve"> </v>
      </c>
      <c r="F7138">
        <v>0.44</v>
      </c>
      <c r="G7138" s="37" t="str">
        <f t="shared" si="556"/>
        <v>Heavy Discount</v>
      </c>
      <c r="H7138" s="37" t="str">
        <f t="shared" si="557"/>
        <v>High</v>
      </c>
      <c r="I7138">
        <v>3</v>
      </c>
      <c r="J7138" t="str" cm="1">
        <f t="array" ref="J7138">_xlfn.IFS(I7138&lt;=3,"small",I7138&lt;=6,"Medium",I7138&lt;=9,"Large")</f>
        <v>small</v>
      </c>
      <c r="K7138" s="36">
        <v>45550</v>
      </c>
      <c r="L7138" s="36">
        <v>45552</v>
      </c>
      <c r="M7138" t="s">
        <v>612</v>
      </c>
      <c r="N7138" t="s">
        <v>608</v>
      </c>
      <c r="O7138" s="37" t="str">
        <f t="shared" si="558"/>
        <v>Cash Payment</v>
      </c>
      <c r="P7138">
        <v>305.14</v>
      </c>
      <c r="Q7138" s="37" t="str">
        <f>IF(P7138&gt;500,"High","low")</f>
        <v>low</v>
      </c>
      <c r="R7138" s="37" t="str">
        <f t="shared" si="559"/>
        <v>AVERAGE</v>
      </c>
      <c r="S7138" t="s">
        <v>600</v>
      </c>
    </row>
    <row r="7139" spans="1:19" x14ac:dyDescent="0.2">
      <c r="A7139" t="s">
        <v>7750</v>
      </c>
      <c r="B7139" t="s">
        <v>75</v>
      </c>
      <c r="C7139" t="s">
        <v>607</v>
      </c>
      <c r="D7139">
        <v>1353.59</v>
      </c>
      <c r="E7139" s="37" t="str">
        <f t="shared" si="555"/>
        <v xml:space="preserve"> </v>
      </c>
      <c r="F7139">
        <v>0.25</v>
      </c>
      <c r="G7139" s="37" t="str">
        <f t="shared" si="556"/>
        <v>Normal Discount</v>
      </c>
      <c r="H7139" s="37" t="str">
        <f t="shared" si="557"/>
        <v>Medium</v>
      </c>
      <c r="I7139">
        <v>3</v>
      </c>
      <c r="J7139" t="str" cm="1">
        <f t="array" ref="J7139">_xlfn.IFS(I7139&lt;=3,"small",I7139&lt;=6,"Medium",I7139&lt;=9,"Large")</f>
        <v>small</v>
      </c>
      <c r="K7139" s="36">
        <v>45111</v>
      </c>
      <c r="L7139" s="36">
        <v>45118</v>
      </c>
      <c r="M7139" t="s">
        <v>598</v>
      </c>
      <c r="N7139" t="s">
        <v>608</v>
      </c>
      <c r="O7139" s="37" t="str">
        <f t="shared" si="558"/>
        <v>Cash Payment</v>
      </c>
      <c r="P7139">
        <v>327.91</v>
      </c>
      <c r="Q7139" s="37" t="str">
        <f>IF(P7139&gt;500,"High","low")</f>
        <v>low</v>
      </c>
      <c r="R7139" s="37" t="str">
        <f t="shared" si="559"/>
        <v>AVERAGE</v>
      </c>
      <c r="S7139" t="s">
        <v>600</v>
      </c>
    </row>
    <row r="7140" spans="1:19" x14ac:dyDescent="0.2">
      <c r="A7140" t="s">
        <v>7751</v>
      </c>
      <c r="B7140" t="s">
        <v>90</v>
      </c>
      <c r="C7140" t="s">
        <v>602</v>
      </c>
      <c r="D7140">
        <v>2158.5300000000002</v>
      </c>
      <c r="E7140" s="37" t="str">
        <f t="shared" si="555"/>
        <v xml:space="preserve"> </v>
      </c>
      <c r="F7140">
        <v>0.31</v>
      </c>
      <c r="G7140" s="37" t="str">
        <f t="shared" si="556"/>
        <v>Heavy Discount</v>
      </c>
      <c r="H7140" s="37" t="str">
        <f t="shared" si="557"/>
        <v>Medium</v>
      </c>
      <c r="I7140">
        <v>4</v>
      </c>
      <c r="J7140" t="str" cm="1">
        <f t="array" ref="J7140">_xlfn.IFS(I7140&lt;=3,"small",I7140&lt;=6,"Medium",I7140&lt;=9,"Large")</f>
        <v>Medium</v>
      </c>
      <c r="K7140" s="36">
        <v>45426</v>
      </c>
      <c r="L7140" s="36">
        <v>45427</v>
      </c>
      <c r="M7140" t="s">
        <v>603</v>
      </c>
      <c r="N7140" t="s">
        <v>599</v>
      </c>
      <c r="O7140" s="37" t="str">
        <f t="shared" si="558"/>
        <v>Digital Payment</v>
      </c>
      <c r="P7140">
        <v>281.29000000000002</v>
      </c>
      <c r="Q7140" s="37" t="str">
        <f>IF(P7140&gt;500,"High","low")</f>
        <v>low</v>
      </c>
      <c r="R7140" s="37" t="str">
        <f t="shared" si="559"/>
        <v>AVERAGE</v>
      </c>
      <c r="S7140" t="s">
        <v>605</v>
      </c>
    </row>
    <row r="7141" spans="1:19" x14ac:dyDescent="0.2">
      <c r="A7141" t="s">
        <v>7752</v>
      </c>
      <c r="B7141" t="s">
        <v>83</v>
      </c>
      <c r="C7141" t="s">
        <v>602</v>
      </c>
      <c r="D7141">
        <v>1063.8399999999999</v>
      </c>
      <c r="E7141" s="37" t="str">
        <f t="shared" si="555"/>
        <v xml:space="preserve"> </v>
      </c>
      <c r="F7141">
        <v>0.43</v>
      </c>
      <c r="G7141" s="37" t="str">
        <f t="shared" si="556"/>
        <v>Heavy Discount</v>
      </c>
      <c r="H7141" s="37" t="str">
        <f t="shared" si="557"/>
        <v>High</v>
      </c>
      <c r="I7141">
        <v>1</v>
      </c>
      <c r="J7141" t="str" cm="1">
        <f t="array" ref="J7141">_xlfn.IFS(I7141&lt;=3,"small",I7141&lt;=6,"Medium",I7141&lt;=9,"Large")</f>
        <v>small</v>
      </c>
      <c r="K7141" s="36">
        <v>45116</v>
      </c>
      <c r="L7141" s="36">
        <v>45121</v>
      </c>
      <c r="M7141" t="s">
        <v>612</v>
      </c>
      <c r="N7141" t="s">
        <v>599</v>
      </c>
      <c r="O7141" s="37" t="str">
        <f t="shared" si="558"/>
        <v>Digital Payment</v>
      </c>
      <c r="P7141">
        <v>157.16</v>
      </c>
      <c r="Q7141" s="37" t="str">
        <f>IF(P7141&gt;500,"High","low")</f>
        <v>low</v>
      </c>
      <c r="R7141" s="37" t="str">
        <f t="shared" si="559"/>
        <v>AVERAGE</v>
      </c>
      <c r="S7141" t="s">
        <v>620</v>
      </c>
    </row>
    <row r="7142" spans="1:19" x14ac:dyDescent="0.2">
      <c r="A7142" t="s">
        <v>7753</v>
      </c>
      <c r="B7142" t="s">
        <v>90</v>
      </c>
      <c r="C7142" t="s">
        <v>614</v>
      </c>
      <c r="D7142">
        <v>759.49</v>
      </c>
      <c r="E7142" s="37" t="str">
        <f t="shared" si="555"/>
        <v xml:space="preserve"> </v>
      </c>
      <c r="F7142">
        <v>7.0000000000000007E-2</v>
      </c>
      <c r="G7142" s="37" t="str">
        <f t="shared" si="556"/>
        <v>Normal Discount</v>
      </c>
      <c r="H7142" s="37" t="str">
        <f t="shared" si="557"/>
        <v>Low</v>
      </c>
      <c r="I7142">
        <v>4</v>
      </c>
      <c r="J7142" t="str" cm="1">
        <f t="array" ref="J7142">_xlfn.IFS(I7142&lt;=3,"small",I7142&lt;=6,"Medium",I7142&lt;=9,"Large")</f>
        <v>Medium</v>
      </c>
      <c r="K7142" s="36">
        <v>45494</v>
      </c>
      <c r="L7142" s="36">
        <v>45497</v>
      </c>
      <c r="M7142" t="s">
        <v>612</v>
      </c>
      <c r="N7142" t="s">
        <v>599</v>
      </c>
      <c r="O7142" s="37" t="str">
        <f t="shared" si="558"/>
        <v>Digital Payment</v>
      </c>
      <c r="P7142">
        <v>104.34</v>
      </c>
      <c r="Q7142" s="37" t="str">
        <f>IF(P7142&gt;500,"High","low")</f>
        <v>low</v>
      </c>
      <c r="R7142" s="37" t="str">
        <f t="shared" si="559"/>
        <v>AVERAGE</v>
      </c>
      <c r="S7142" t="s">
        <v>605</v>
      </c>
    </row>
    <row r="7143" spans="1:19" x14ac:dyDescent="0.2">
      <c r="A7143" t="s">
        <v>7754</v>
      </c>
      <c r="B7143" t="s">
        <v>90</v>
      </c>
      <c r="C7143" t="s">
        <v>602</v>
      </c>
      <c r="D7143">
        <v>3044.56</v>
      </c>
      <c r="E7143" s="37" t="str">
        <f t="shared" si="555"/>
        <v xml:space="preserve"> </v>
      </c>
      <c r="F7143">
        <v>0.08</v>
      </c>
      <c r="G7143" s="37" t="str">
        <f t="shared" si="556"/>
        <v>Normal Discount</v>
      </c>
      <c r="H7143" s="37" t="str">
        <f t="shared" si="557"/>
        <v>Low</v>
      </c>
      <c r="I7143">
        <v>4</v>
      </c>
      <c r="J7143" t="str" cm="1">
        <f t="array" ref="J7143">_xlfn.IFS(I7143&lt;=3,"small",I7143&lt;=6,"Medium",I7143&lt;=9,"Large")</f>
        <v>Medium</v>
      </c>
      <c r="K7143" s="36">
        <v>45055</v>
      </c>
      <c r="L7143" s="36">
        <v>45057</v>
      </c>
      <c r="M7143" t="s">
        <v>598</v>
      </c>
      <c r="N7143" t="s">
        <v>608</v>
      </c>
      <c r="O7143" s="37" t="str">
        <f t="shared" si="558"/>
        <v>Cash Payment</v>
      </c>
      <c r="P7143">
        <v>680.58</v>
      </c>
      <c r="Q7143" s="37" t="str">
        <f>IF(P7143&gt;500,"High","low")</f>
        <v>High</v>
      </c>
      <c r="R7143" s="37" t="str">
        <f t="shared" si="559"/>
        <v>Good</v>
      </c>
      <c r="S7143" t="s">
        <v>615</v>
      </c>
    </row>
    <row r="7144" spans="1:19" x14ac:dyDescent="0.2">
      <c r="A7144" t="s">
        <v>7755</v>
      </c>
      <c r="B7144" t="s">
        <v>90</v>
      </c>
      <c r="C7144" t="s">
        <v>614</v>
      </c>
      <c r="D7144">
        <v>2516.58</v>
      </c>
      <c r="E7144" s="37" t="str">
        <f t="shared" si="555"/>
        <v xml:space="preserve"> </v>
      </c>
      <c r="F7144">
        <v>0.18</v>
      </c>
      <c r="G7144" s="37" t="str">
        <f t="shared" si="556"/>
        <v>Normal Discount</v>
      </c>
      <c r="H7144" s="37" t="str">
        <f t="shared" si="557"/>
        <v>Low</v>
      </c>
      <c r="I7144">
        <v>8</v>
      </c>
      <c r="J7144" t="str" cm="1">
        <f t="array" ref="J7144">_xlfn.IFS(I7144&lt;=3,"small",I7144&lt;=6,"Medium",I7144&lt;=9,"Large")</f>
        <v>Large</v>
      </c>
      <c r="K7144" s="36">
        <v>45367</v>
      </c>
      <c r="L7144" s="36">
        <v>45371</v>
      </c>
      <c r="M7144" t="s">
        <v>598</v>
      </c>
      <c r="N7144" t="s">
        <v>599</v>
      </c>
      <c r="O7144" s="37" t="str">
        <f t="shared" si="558"/>
        <v>Digital Payment</v>
      </c>
      <c r="P7144">
        <v>574.55999999999995</v>
      </c>
      <c r="Q7144" s="37" t="str">
        <f>IF(P7144&gt;500,"High","low")</f>
        <v>High</v>
      </c>
      <c r="R7144" s="37" t="str">
        <f t="shared" si="559"/>
        <v>Good</v>
      </c>
      <c r="S7144" t="s">
        <v>605</v>
      </c>
    </row>
    <row r="7145" spans="1:19" x14ac:dyDescent="0.2">
      <c r="A7145" t="s">
        <v>7756</v>
      </c>
      <c r="B7145" t="s">
        <v>90</v>
      </c>
      <c r="C7145" t="s">
        <v>617</v>
      </c>
      <c r="D7145">
        <v>1935.83</v>
      </c>
      <c r="E7145" s="37" t="str">
        <f t="shared" si="555"/>
        <v xml:space="preserve"> </v>
      </c>
      <c r="F7145">
        <v>0.15</v>
      </c>
      <c r="G7145" s="37" t="str">
        <f t="shared" si="556"/>
        <v>Normal Discount</v>
      </c>
      <c r="H7145" s="37" t="str">
        <f t="shared" si="557"/>
        <v>Low</v>
      </c>
      <c r="I7145">
        <v>4</v>
      </c>
      <c r="J7145" t="str" cm="1">
        <f t="array" ref="J7145">_xlfn.IFS(I7145&lt;=3,"small",I7145&lt;=6,"Medium",I7145&lt;=9,"Large")</f>
        <v>Medium</v>
      </c>
      <c r="K7145" s="36">
        <v>45036</v>
      </c>
      <c r="L7145" s="36">
        <v>45040</v>
      </c>
      <c r="M7145" t="s">
        <v>598</v>
      </c>
      <c r="N7145" t="s">
        <v>599</v>
      </c>
      <c r="O7145" s="37" t="str">
        <f t="shared" si="558"/>
        <v>Digital Payment</v>
      </c>
      <c r="P7145">
        <v>491.38</v>
      </c>
      <c r="Q7145" s="37" t="str">
        <f>IF(P7145&gt;500,"High","low")</f>
        <v>low</v>
      </c>
      <c r="R7145" s="37" t="str">
        <f t="shared" si="559"/>
        <v>AVERAGE</v>
      </c>
      <c r="S7145" t="s">
        <v>620</v>
      </c>
    </row>
    <row r="7146" spans="1:19" x14ac:dyDescent="0.2">
      <c r="A7146" t="s">
        <v>7757</v>
      </c>
      <c r="B7146" t="s">
        <v>90</v>
      </c>
      <c r="C7146" t="s">
        <v>617</v>
      </c>
      <c r="D7146">
        <v>518.54999999999995</v>
      </c>
      <c r="E7146" s="37" t="str">
        <f t="shared" si="555"/>
        <v xml:space="preserve"> </v>
      </c>
      <c r="F7146">
        <v>0.49</v>
      </c>
      <c r="G7146" s="37" t="str">
        <f t="shared" si="556"/>
        <v>Heavy Discount</v>
      </c>
      <c r="H7146" s="37" t="str">
        <f t="shared" si="557"/>
        <v>High</v>
      </c>
      <c r="I7146">
        <v>5</v>
      </c>
      <c r="J7146" t="str" cm="1">
        <f t="array" ref="J7146">_xlfn.IFS(I7146&lt;=3,"small",I7146&lt;=6,"Medium",I7146&lt;=9,"Large")</f>
        <v>Medium</v>
      </c>
      <c r="K7146" s="36">
        <v>45594</v>
      </c>
      <c r="L7146" s="36">
        <v>45596</v>
      </c>
      <c r="M7146" t="s">
        <v>603</v>
      </c>
      <c r="N7146" t="s">
        <v>608</v>
      </c>
      <c r="O7146" s="37" t="str">
        <f t="shared" si="558"/>
        <v>Cash Payment</v>
      </c>
      <c r="P7146">
        <v>113.64</v>
      </c>
      <c r="Q7146" s="37" t="str">
        <f>IF(P7146&gt;500,"High","low")</f>
        <v>low</v>
      </c>
      <c r="R7146" s="37" t="str">
        <f t="shared" si="559"/>
        <v>AVERAGE</v>
      </c>
      <c r="S7146" t="s">
        <v>600</v>
      </c>
    </row>
    <row r="7147" spans="1:19" x14ac:dyDescent="0.2">
      <c r="A7147" t="s">
        <v>7758</v>
      </c>
      <c r="B7147" t="s">
        <v>75</v>
      </c>
      <c r="C7147" t="s">
        <v>617</v>
      </c>
      <c r="D7147">
        <v>3706.2</v>
      </c>
      <c r="E7147" s="37" t="str">
        <f t="shared" si="555"/>
        <v xml:space="preserve"> </v>
      </c>
      <c r="F7147">
        <v>0.28000000000000003</v>
      </c>
      <c r="G7147" s="37" t="str">
        <f t="shared" si="556"/>
        <v>Normal Discount</v>
      </c>
      <c r="H7147" s="37" t="str">
        <f t="shared" si="557"/>
        <v>Medium</v>
      </c>
      <c r="I7147">
        <v>4</v>
      </c>
      <c r="J7147" t="str" cm="1">
        <f t="array" ref="J7147">_xlfn.IFS(I7147&lt;=3,"small",I7147&lt;=6,"Medium",I7147&lt;=9,"Large")</f>
        <v>Medium</v>
      </c>
      <c r="K7147" s="36">
        <v>45058</v>
      </c>
      <c r="L7147" s="36">
        <v>45062</v>
      </c>
      <c r="M7147" t="s">
        <v>612</v>
      </c>
      <c r="N7147" t="s">
        <v>608</v>
      </c>
      <c r="O7147" s="37" t="str">
        <f t="shared" si="558"/>
        <v>Cash Payment</v>
      </c>
      <c r="P7147">
        <v>1026.2</v>
      </c>
      <c r="Q7147" s="37" t="str">
        <f>IF(P7147&gt;500,"High","low")</f>
        <v>High</v>
      </c>
      <c r="R7147" s="37" t="str">
        <f t="shared" si="559"/>
        <v>Excellent</v>
      </c>
      <c r="S7147" t="s">
        <v>615</v>
      </c>
    </row>
    <row r="7148" spans="1:19" x14ac:dyDescent="0.2">
      <c r="A7148" t="s">
        <v>7759</v>
      </c>
      <c r="B7148" t="s">
        <v>75</v>
      </c>
      <c r="C7148" t="s">
        <v>614</v>
      </c>
      <c r="D7148">
        <v>128.69999999999999</v>
      </c>
      <c r="E7148" s="37" t="str">
        <f t="shared" si="555"/>
        <v xml:space="preserve"> </v>
      </c>
      <c r="F7148">
        <v>0.26</v>
      </c>
      <c r="G7148" s="37" t="str">
        <f t="shared" si="556"/>
        <v>Normal Discount</v>
      </c>
      <c r="H7148" s="37" t="str">
        <f t="shared" si="557"/>
        <v>Medium</v>
      </c>
      <c r="I7148">
        <v>5</v>
      </c>
      <c r="J7148" t="str" cm="1">
        <f t="array" ref="J7148">_xlfn.IFS(I7148&lt;=3,"small",I7148&lt;=6,"Medium",I7148&lt;=9,"Large")</f>
        <v>Medium</v>
      </c>
      <c r="K7148" s="36">
        <v>45411</v>
      </c>
      <c r="L7148" s="36">
        <v>45412</v>
      </c>
      <c r="M7148" t="s">
        <v>612</v>
      </c>
      <c r="N7148" t="s">
        <v>608</v>
      </c>
      <c r="O7148" s="37" t="str">
        <f t="shared" si="558"/>
        <v>Cash Payment</v>
      </c>
      <c r="P7148">
        <v>14.2</v>
      </c>
      <c r="Q7148" s="37" t="str">
        <f>IF(P7148&gt;500,"High","low")</f>
        <v>low</v>
      </c>
      <c r="R7148" s="37" t="str">
        <f t="shared" si="559"/>
        <v>AVERAGE</v>
      </c>
      <c r="S7148" t="s">
        <v>605</v>
      </c>
    </row>
    <row r="7149" spans="1:19" x14ac:dyDescent="0.2">
      <c r="A7149" t="s">
        <v>7760</v>
      </c>
      <c r="B7149" t="s">
        <v>67</v>
      </c>
      <c r="C7149" t="s">
        <v>617</v>
      </c>
      <c r="D7149">
        <v>2342.54</v>
      </c>
      <c r="E7149" s="37" t="str">
        <f t="shared" si="555"/>
        <v xml:space="preserve"> </v>
      </c>
      <c r="F7149">
        <v>0.28999999999999998</v>
      </c>
      <c r="G7149" s="37" t="str">
        <f t="shared" si="556"/>
        <v>Normal Discount</v>
      </c>
      <c r="H7149" s="37" t="str">
        <f t="shared" si="557"/>
        <v>Medium</v>
      </c>
      <c r="I7149">
        <v>3</v>
      </c>
      <c r="J7149" t="str" cm="1">
        <f t="array" ref="J7149">_xlfn.IFS(I7149&lt;=3,"small",I7149&lt;=6,"Medium",I7149&lt;=9,"Large")</f>
        <v>small</v>
      </c>
      <c r="K7149" s="36">
        <v>45125</v>
      </c>
      <c r="L7149" s="36">
        <v>45130</v>
      </c>
      <c r="M7149" t="s">
        <v>612</v>
      </c>
      <c r="N7149" t="s">
        <v>604</v>
      </c>
      <c r="O7149" s="37" t="str">
        <f t="shared" si="558"/>
        <v>Digital Payment</v>
      </c>
      <c r="P7149">
        <v>407.05</v>
      </c>
      <c r="Q7149" s="37" t="str">
        <f>IF(P7149&gt;500,"High","low")</f>
        <v>low</v>
      </c>
      <c r="R7149" s="37" t="str">
        <f t="shared" si="559"/>
        <v>AVERAGE</v>
      </c>
      <c r="S7149" t="s">
        <v>600</v>
      </c>
    </row>
    <row r="7150" spans="1:19" x14ac:dyDescent="0.2">
      <c r="A7150" t="s">
        <v>7761</v>
      </c>
      <c r="B7150" t="s">
        <v>75</v>
      </c>
      <c r="C7150" t="s">
        <v>597</v>
      </c>
      <c r="D7150">
        <v>3199.6</v>
      </c>
      <c r="E7150" s="37" t="str">
        <f t="shared" si="555"/>
        <v xml:space="preserve"> </v>
      </c>
      <c r="F7150">
        <v>0.44</v>
      </c>
      <c r="G7150" s="37" t="str">
        <f t="shared" si="556"/>
        <v>Heavy Discount</v>
      </c>
      <c r="H7150" s="37" t="str">
        <f t="shared" si="557"/>
        <v>High</v>
      </c>
      <c r="I7150">
        <v>3</v>
      </c>
      <c r="J7150" t="str" cm="1">
        <f t="array" ref="J7150">_xlfn.IFS(I7150&lt;=3,"small",I7150&lt;=6,"Medium",I7150&lt;=9,"Large")</f>
        <v>small</v>
      </c>
      <c r="K7150" s="36">
        <v>45001</v>
      </c>
      <c r="L7150" s="36">
        <v>45008</v>
      </c>
      <c r="M7150" t="s">
        <v>598</v>
      </c>
      <c r="N7150" t="s">
        <v>608</v>
      </c>
      <c r="O7150" s="37" t="str">
        <f t="shared" si="558"/>
        <v>Cash Payment</v>
      </c>
      <c r="P7150">
        <v>935.08</v>
      </c>
      <c r="Q7150" s="37" t="str">
        <f>IF(P7150&gt;500,"High","low")</f>
        <v>High</v>
      </c>
      <c r="R7150" s="37" t="str">
        <f t="shared" si="559"/>
        <v>Good</v>
      </c>
      <c r="S7150" t="s">
        <v>620</v>
      </c>
    </row>
    <row r="7151" spans="1:19" x14ac:dyDescent="0.2">
      <c r="A7151" t="s">
        <v>7762</v>
      </c>
      <c r="B7151" t="s">
        <v>67</v>
      </c>
      <c r="C7151" t="s">
        <v>602</v>
      </c>
      <c r="D7151">
        <v>2210.48</v>
      </c>
      <c r="E7151" s="37" t="str">
        <f t="shared" si="555"/>
        <v xml:space="preserve"> </v>
      </c>
      <c r="F7151">
        <v>0.12</v>
      </c>
      <c r="G7151" s="37" t="str">
        <f t="shared" si="556"/>
        <v>Normal Discount</v>
      </c>
      <c r="H7151" s="37" t="str">
        <f t="shared" si="557"/>
        <v>Low</v>
      </c>
      <c r="I7151">
        <v>8</v>
      </c>
      <c r="J7151" t="str" cm="1">
        <f t="array" ref="J7151">_xlfn.IFS(I7151&lt;=3,"small",I7151&lt;=6,"Medium",I7151&lt;=9,"Large")</f>
        <v>Large</v>
      </c>
      <c r="K7151" s="36">
        <v>45130</v>
      </c>
      <c r="L7151" s="36">
        <v>45134</v>
      </c>
      <c r="M7151" t="s">
        <v>603</v>
      </c>
      <c r="N7151" t="s">
        <v>599</v>
      </c>
      <c r="O7151" s="37" t="str">
        <f t="shared" si="558"/>
        <v>Digital Payment</v>
      </c>
      <c r="P7151">
        <v>248.32</v>
      </c>
      <c r="Q7151" s="37" t="str">
        <f>IF(P7151&gt;500,"High","low")</f>
        <v>low</v>
      </c>
      <c r="R7151" s="37" t="str">
        <f t="shared" si="559"/>
        <v>AVERAGE</v>
      </c>
      <c r="S7151" t="s">
        <v>605</v>
      </c>
    </row>
    <row r="7152" spans="1:19" x14ac:dyDescent="0.2">
      <c r="A7152" t="s">
        <v>7763</v>
      </c>
      <c r="B7152" t="s">
        <v>67</v>
      </c>
      <c r="C7152" t="s">
        <v>614</v>
      </c>
      <c r="D7152">
        <v>718.42</v>
      </c>
      <c r="E7152" s="37" t="str">
        <f t="shared" si="555"/>
        <v xml:space="preserve"> </v>
      </c>
      <c r="F7152">
        <v>0.26</v>
      </c>
      <c r="G7152" s="37" t="str">
        <f t="shared" si="556"/>
        <v>Normal Discount</v>
      </c>
      <c r="H7152" s="37" t="str">
        <f t="shared" si="557"/>
        <v>Medium</v>
      </c>
      <c r="I7152">
        <v>1</v>
      </c>
      <c r="J7152" t="str" cm="1">
        <f t="array" ref="J7152">_xlfn.IFS(I7152&lt;=3,"small",I7152&lt;=6,"Medium",I7152&lt;=9,"Large")</f>
        <v>small</v>
      </c>
      <c r="K7152" s="36">
        <v>44979</v>
      </c>
      <c r="L7152" s="36">
        <v>44980</v>
      </c>
      <c r="M7152" t="s">
        <v>612</v>
      </c>
      <c r="N7152" t="s">
        <v>608</v>
      </c>
      <c r="O7152" s="37" t="str">
        <f t="shared" si="558"/>
        <v>Cash Payment</v>
      </c>
      <c r="P7152">
        <v>166.22</v>
      </c>
      <c r="Q7152" s="37" t="str">
        <f>IF(P7152&gt;500,"High","low")</f>
        <v>low</v>
      </c>
      <c r="R7152" s="37" t="str">
        <f t="shared" si="559"/>
        <v>AVERAGE</v>
      </c>
      <c r="S7152" t="s">
        <v>609</v>
      </c>
    </row>
    <row r="7153" spans="1:19" x14ac:dyDescent="0.2">
      <c r="A7153" t="s">
        <v>7764</v>
      </c>
      <c r="B7153" t="s">
        <v>83</v>
      </c>
      <c r="C7153" t="s">
        <v>617</v>
      </c>
      <c r="D7153">
        <v>3913.42</v>
      </c>
      <c r="E7153" s="37" t="str">
        <f t="shared" si="555"/>
        <v xml:space="preserve"> </v>
      </c>
      <c r="F7153">
        <v>0.14000000000000001</v>
      </c>
      <c r="G7153" s="37" t="str">
        <f t="shared" si="556"/>
        <v>Normal Discount</v>
      </c>
      <c r="H7153" s="37" t="str">
        <f t="shared" si="557"/>
        <v>Low</v>
      </c>
      <c r="I7153">
        <v>3</v>
      </c>
      <c r="J7153" t="str" cm="1">
        <f t="array" ref="J7153">_xlfn.IFS(I7153&lt;=3,"small",I7153&lt;=6,"Medium",I7153&lt;=9,"Large")</f>
        <v>small</v>
      </c>
      <c r="K7153" s="36">
        <v>44965</v>
      </c>
      <c r="L7153" s="36">
        <v>44969</v>
      </c>
      <c r="M7153" t="s">
        <v>598</v>
      </c>
      <c r="N7153" t="s">
        <v>604</v>
      </c>
      <c r="O7153" s="37" t="str">
        <f t="shared" si="558"/>
        <v>Digital Payment</v>
      </c>
      <c r="P7153">
        <v>502.93</v>
      </c>
      <c r="Q7153" s="37" t="str">
        <f>IF(P7153&gt;500,"High","low")</f>
        <v>High</v>
      </c>
      <c r="R7153" s="37" t="str">
        <f t="shared" si="559"/>
        <v>Good</v>
      </c>
      <c r="S7153" t="s">
        <v>620</v>
      </c>
    </row>
    <row r="7154" spans="1:19" x14ac:dyDescent="0.2">
      <c r="A7154" t="s">
        <v>7765</v>
      </c>
      <c r="B7154" t="s">
        <v>90</v>
      </c>
      <c r="C7154" t="s">
        <v>597</v>
      </c>
      <c r="D7154">
        <v>1687.33</v>
      </c>
      <c r="E7154" s="37" t="str">
        <f t="shared" si="555"/>
        <v xml:space="preserve"> </v>
      </c>
      <c r="F7154">
        <v>0.39</v>
      </c>
      <c r="G7154" s="37" t="str">
        <f t="shared" si="556"/>
        <v>Heavy Discount</v>
      </c>
      <c r="H7154" s="37" t="str">
        <f t="shared" si="557"/>
        <v>Medium</v>
      </c>
      <c r="I7154">
        <v>2</v>
      </c>
      <c r="J7154" t="str" cm="1">
        <f t="array" ref="J7154">_xlfn.IFS(I7154&lt;=3,"small",I7154&lt;=6,"Medium",I7154&lt;=9,"Large")</f>
        <v>small</v>
      </c>
      <c r="K7154" s="36">
        <v>45217</v>
      </c>
      <c r="L7154" s="36">
        <v>45223</v>
      </c>
      <c r="M7154" t="s">
        <v>612</v>
      </c>
      <c r="N7154" t="s">
        <v>604</v>
      </c>
      <c r="O7154" s="37" t="str">
        <f t="shared" si="558"/>
        <v>Digital Payment</v>
      </c>
      <c r="P7154">
        <v>276.92</v>
      </c>
      <c r="Q7154" s="37" t="str">
        <f>IF(P7154&gt;500,"High","low")</f>
        <v>low</v>
      </c>
      <c r="R7154" s="37" t="str">
        <f t="shared" si="559"/>
        <v>AVERAGE</v>
      </c>
      <c r="S7154" t="s">
        <v>628</v>
      </c>
    </row>
    <row r="7155" spans="1:19" x14ac:dyDescent="0.2">
      <c r="A7155" t="s">
        <v>7766</v>
      </c>
      <c r="B7155" t="s">
        <v>75</v>
      </c>
      <c r="C7155" t="s">
        <v>602</v>
      </c>
      <c r="D7155">
        <v>760.3</v>
      </c>
      <c r="E7155" s="37" t="str">
        <f t="shared" si="555"/>
        <v xml:space="preserve"> </v>
      </c>
      <c r="F7155">
        <v>0.39</v>
      </c>
      <c r="G7155" s="37" t="str">
        <f t="shared" si="556"/>
        <v>Heavy Discount</v>
      </c>
      <c r="H7155" s="37" t="str">
        <f t="shared" si="557"/>
        <v>Medium</v>
      </c>
      <c r="I7155">
        <v>6</v>
      </c>
      <c r="J7155" t="str" cm="1">
        <f t="array" ref="J7155">_xlfn.IFS(I7155&lt;=3,"small",I7155&lt;=6,"Medium",I7155&lt;=9,"Large")</f>
        <v>Medium</v>
      </c>
      <c r="K7155" s="36">
        <v>45408</v>
      </c>
      <c r="L7155" s="36">
        <v>45409</v>
      </c>
      <c r="M7155" t="s">
        <v>603</v>
      </c>
      <c r="N7155" t="s">
        <v>599</v>
      </c>
      <c r="O7155" s="37" t="str">
        <f t="shared" si="558"/>
        <v>Digital Payment</v>
      </c>
      <c r="P7155">
        <v>140.27000000000001</v>
      </c>
      <c r="Q7155" s="37" t="str">
        <f>IF(P7155&gt;500,"High","low")</f>
        <v>low</v>
      </c>
      <c r="R7155" s="37" t="str">
        <f t="shared" si="559"/>
        <v>AVERAGE</v>
      </c>
      <c r="S7155" t="s">
        <v>609</v>
      </c>
    </row>
    <row r="7156" spans="1:19" x14ac:dyDescent="0.2">
      <c r="A7156" t="s">
        <v>7767</v>
      </c>
      <c r="B7156" t="s">
        <v>83</v>
      </c>
      <c r="C7156" t="s">
        <v>602</v>
      </c>
      <c r="D7156">
        <v>2796.3</v>
      </c>
      <c r="E7156" s="37" t="str">
        <f t="shared" si="555"/>
        <v xml:space="preserve"> </v>
      </c>
      <c r="F7156">
        <v>0.48</v>
      </c>
      <c r="G7156" s="37" t="str">
        <f t="shared" si="556"/>
        <v>Heavy Discount</v>
      </c>
      <c r="H7156" s="37" t="str">
        <f t="shared" si="557"/>
        <v>High</v>
      </c>
      <c r="I7156">
        <v>8</v>
      </c>
      <c r="J7156" t="str" cm="1">
        <f t="array" ref="J7156">_xlfn.IFS(I7156&lt;=3,"small",I7156&lt;=6,"Medium",I7156&lt;=9,"Large")</f>
        <v>Large</v>
      </c>
      <c r="K7156" s="36">
        <v>45264</v>
      </c>
      <c r="L7156" s="36">
        <v>45265</v>
      </c>
      <c r="M7156" t="s">
        <v>598</v>
      </c>
      <c r="N7156" t="s">
        <v>604</v>
      </c>
      <c r="O7156" s="37" t="str">
        <f t="shared" si="558"/>
        <v>Digital Payment</v>
      </c>
      <c r="P7156">
        <v>698.75</v>
      </c>
      <c r="Q7156" s="37" t="str">
        <f>IF(P7156&gt;500,"High","low")</f>
        <v>High</v>
      </c>
      <c r="R7156" s="37" t="str">
        <f t="shared" si="559"/>
        <v>Good</v>
      </c>
      <c r="S7156" t="s">
        <v>609</v>
      </c>
    </row>
    <row r="7157" spans="1:19" x14ac:dyDescent="0.2">
      <c r="A7157" t="s">
        <v>7768</v>
      </c>
      <c r="B7157" t="s">
        <v>75</v>
      </c>
      <c r="C7157" t="s">
        <v>617</v>
      </c>
      <c r="D7157">
        <v>193.94</v>
      </c>
      <c r="E7157" s="37" t="str">
        <f t="shared" si="555"/>
        <v xml:space="preserve"> </v>
      </c>
      <c r="F7157">
        <v>0.22</v>
      </c>
      <c r="G7157" s="37" t="str">
        <f t="shared" si="556"/>
        <v>Normal Discount</v>
      </c>
      <c r="H7157" s="37" t="str">
        <f t="shared" si="557"/>
        <v>Medium</v>
      </c>
      <c r="I7157">
        <v>6</v>
      </c>
      <c r="J7157" t="str" cm="1">
        <f t="array" ref="J7157">_xlfn.IFS(I7157&lt;=3,"small",I7157&lt;=6,"Medium",I7157&lt;=9,"Large")</f>
        <v>Medium</v>
      </c>
      <c r="K7157" s="36">
        <v>45320</v>
      </c>
      <c r="L7157" s="36">
        <v>45322</v>
      </c>
      <c r="M7157" t="s">
        <v>612</v>
      </c>
      <c r="N7157" t="s">
        <v>599</v>
      </c>
      <c r="O7157" s="37" t="str">
        <f t="shared" si="558"/>
        <v>Digital Payment</v>
      </c>
      <c r="P7157">
        <v>39.75</v>
      </c>
      <c r="Q7157" s="37" t="str">
        <f>IF(P7157&gt;500,"High","low")</f>
        <v>low</v>
      </c>
      <c r="R7157" s="37" t="str">
        <f t="shared" si="559"/>
        <v>AVERAGE</v>
      </c>
      <c r="S7157" t="s">
        <v>609</v>
      </c>
    </row>
    <row r="7158" spans="1:19" x14ac:dyDescent="0.2">
      <c r="A7158" t="s">
        <v>7769</v>
      </c>
      <c r="B7158" t="s">
        <v>67</v>
      </c>
      <c r="C7158" t="s">
        <v>597</v>
      </c>
      <c r="D7158">
        <v>1687.91</v>
      </c>
      <c r="E7158" s="37" t="str">
        <f t="shared" si="555"/>
        <v xml:space="preserve"> </v>
      </c>
      <c r="F7158">
        <v>0.08</v>
      </c>
      <c r="G7158" s="37" t="str">
        <f t="shared" si="556"/>
        <v>Normal Discount</v>
      </c>
      <c r="H7158" s="37" t="str">
        <f t="shared" si="557"/>
        <v>Low</v>
      </c>
      <c r="I7158">
        <v>4</v>
      </c>
      <c r="J7158" t="str" cm="1">
        <f t="array" ref="J7158">_xlfn.IFS(I7158&lt;=3,"small",I7158&lt;=6,"Medium",I7158&lt;=9,"Large")</f>
        <v>Medium</v>
      </c>
      <c r="K7158" s="36">
        <v>44977</v>
      </c>
      <c r="L7158" s="36">
        <v>44980</v>
      </c>
      <c r="M7158" t="s">
        <v>612</v>
      </c>
      <c r="N7158" t="s">
        <v>604</v>
      </c>
      <c r="O7158" s="37" t="str">
        <f t="shared" si="558"/>
        <v>Digital Payment</v>
      </c>
      <c r="P7158">
        <v>84.82</v>
      </c>
      <c r="Q7158" s="37" t="str">
        <f>IF(P7158&gt;500,"High","low")</f>
        <v>low</v>
      </c>
      <c r="R7158" s="37" t="str">
        <f t="shared" si="559"/>
        <v>AVERAGE</v>
      </c>
      <c r="S7158" t="s">
        <v>620</v>
      </c>
    </row>
    <row r="7159" spans="1:19" x14ac:dyDescent="0.2">
      <c r="A7159" t="s">
        <v>7770</v>
      </c>
      <c r="B7159" t="s">
        <v>75</v>
      </c>
      <c r="C7159" t="s">
        <v>614</v>
      </c>
      <c r="D7159">
        <v>3778.15</v>
      </c>
      <c r="E7159" s="37" t="str">
        <f t="shared" si="555"/>
        <v xml:space="preserve"> </v>
      </c>
      <c r="F7159">
        <v>0.45</v>
      </c>
      <c r="G7159" s="37" t="str">
        <f t="shared" si="556"/>
        <v>Heavy Discount</v>
      </c>
      <c r="H7159" s="37" t="str">
        <f t="shared" si="557"/>
        <v>High</v>
      </c>
      <c r="I7159">
        <v>3</v>
      </c>
      <c r="J7159" t="str" cm="1">
        <f t="array" ref="J7159">_xlfn.IFS(I7159&lt;=3,"small",I7159&lt;=6,"Medium",I7159&lt;=9,"Large")</f>
        <v>small</v>
      </c>
      <c r="K7159" s="36">
        <v>45118</v>
      </c>
      <c r="L7159" s="36">
        <v>45119</v>
      </c>
      <c r="M7159" t="s">
        <v>603</v>
      </c>
      <c r="N7159" t="s">
        <v>604</v>
      </c>
      <c r="O7159" s="37" t="str">
        <f t="shared" si="558"/>
        <v>Digital Payment</v>
      </c>
      <c r="P7159">
        <v>506.77</v>
      </c>
      <c r="Q7159" s="37" t="str">
        <f>IF(P7159&gt;500,"High","low")</f>
        <v>High</v>
      </c>
      <c r="R7159" s="37" t="str">
        <f t="shared" si="559"/>
        <v>Good</v>
      </c>
      <c r="S7159" t="s">
        <v>609</v>
      </c>
    </row>
    <row r="7160" spans="1:19" x14ac:dyDescent="0.2">
      <c r="A7160" t="s">
        <v>7771</v>
      </c>
      <c r="B7160" t="s">
        <v>90</v>
      </c>
      <c r="C7160" t="s">
        <v>617</v>
      </c>
      <c r="D7160">
        <v>4572.29</v>
      </c>
      <c r="E7160" s="37" t="str">
        <f t="shared" si="555"/>
        <v xml:space="preserve"> </v>
      </c>
      <c r="F7160">
        <v>0.45</v>
      </c>
      <c r="G7160" s="37" t="str">
        <f t="shared" si="556"/>
        <v>Heavy Discount</v>
      </c>
      <c r="H7160" s="37" t="str">
        <f t="shared" si="557"/>
        <v>High</v>
      </c>
      <c r="I7160">
        <v>4</v>
      </c>
      <c r="J7160" t="str" cm="1">
        <f t="array" ref="J7160">_xlfn.IFS(I7160&lt;=3,"small",I7160&lt;=6,"Medium",I7160&lt;=9,"Large")</f>
        <v>Medium</v>
      </c>
      <c r="K7160" s="36">
        <v>45645</v>
      </c>
      <c r="L7160" s="36">
        <v>45649</v>
      </c>
      <c r="M7160" t="s">
        <v>603</v>
      </c>
      <c r="N7160" t="s">
        <v>608</v>
      </c>
      <c r="O7160" s="37" t="str">
        <f t="shared" si="558"/>
        <v>Cash Payment</v>
      </c>
      <c r="P7160">
        <v>623.96</v>
      </c>
      <c r="Q7160" s="37" t="str">
        <f>IF(P7160&gt;500,"High","low")</f>
        <v>High</v>
      </c>
      <c r="R7160" s="37" t="str">
        <f t="shared" si="559"/>
        <v>Good</v>
      </c>
      <c r="S7160" t="s">
        <v>615</v>
      </c>
    </row>
    <row r="7161" spans="1:19" x14ac:dyDescent="0.2">
      <c r="A7161" t="s">
        <v>7772</v>
      </c>
      <c r="B7161" t="s">
        <v>67</v>
      </c>
      <c r="C7161" t="s">
        <v>602</v>
      </c>
      <c r="D7161">
        <v>2999.46</v>
      </c>
      <c r="E7161" s="37" t="str">
        <f t="shared" si="555"/>
        <v xml:space="preserve"> </v>
      </c>
      <c r="F7161">
        <v>0.12</v>
      </c>
      <c r="G7161" s="37" t="str">
        <f t="shared" si="556"/>
        <v>Normal Discount</v>
      </c>
      <c r="H7161" s="37" t="str">
        <f t="shared" si="557"/>
        <v>Low</v>
      </c>
      <c r="I7161">
        <v>8</v>
      </c>
      <c r="J7161" t="str" cm="1">
        <f t="array" ref="J7161">_xlfn.IFS(I7161&lt;=3,"small",I7161&lt;=6,"Medium",I7161&lt;=9,"Large")</f>
        <v>Large</v>
      </c>
      <c r="K7161" s="36">
        <v>45241</v>
      </c>
      <c r="L7161" s="36">
        <v>45243</v>
      </c>
      <c r="M7161" t="s">
        <v>603</v>
      </c>
      <c r="N7161" t="s">
        <v>604</v>
      </c>
      <c r="O7161" s="37" t="str">
        <f t="shared" si="558"/>
        <v>Digital Payment</v>
      </c>
      <c r="P7161">
        <v>517.6</v>
      </c>
      <c r="Q7161" s="37" t="str">
        <f>IF(P7161&gt;500,"High","low")</f>
        <v>High</v>
      </c>
      <c r="R7161" s="37" t="str">
        <f t="shared" si="559"/>
        <v>Good</v>
      </c>
      <c r="S7161" t="s">
        <v>628</v>
      </c>
    </row>
    <row r="7162" spans="1:19" x14ac:dyDescent="0.2">
      <c r="A7162" t="s">
        <v>7773</v>
      </c>
      <c r="B7162" t="s">
        <v>67</v>
      </c>
      <c r="C7162" t="s">
        <v>602</v>
      </c>
      <c r="D7162">
        <v>1166.3</v>
      </c>
      <c r="E7162" s="37" t="str">
        <f t="shared" si="555"/>
        <v xml:space="preserve"> </v>
      </c>
      <c r="F7162">
        <v>0.14000000000000001</v>
      </c>
      <c r="G7162" s="37" t="str">
        <f t="shared" si="556"/>
        <v>Normal Discount</v>
      </c>
      <c r="H7162" s="37" t="str">
        <f t="shared" si="557"/>
        <v>Low</v>
      </c>
      <c r="I7162">
        <v>9</v>
      </c>
      <c r="J7162" t="str" cm="1">
        <f t="array" ref="J7162">_xlfn.IFS(I7162&lt;=3,"small",I7162&lt;=6,"Medium",I7162&lt;=9,"Large")</f>
        <v>Large</v>
      </c>
      <c r="K7162" s="36">
        <v>45039</v>
      </c>
      <c r="L7162" s="36">
        <v>45042</v>
      </c>
      <c r="M7162" t="s">
        <v>598</v>
      </c>
      <c r="N7162" t="s">
        <v>604</v>
      </c>
      <c r="O7162" s="37" t="str">
        <f t="shared" si="558"/>
        <v>Digital Payment</v>
      </c>
      <c r="P7162">
        <v>322.77999999999997</v>
      </c>
      <c r="Q7162" s="37" t="str">
        <f>IF(P7162&gt;500,"High","low")</f>
        <v>low</v>
      </c>
      <c r="R7162" s="37" t="str">
        <f t="shared" si="559"/>
        <v>AVERAGE</v>
      </c>
      <c r="S7162" t="s">
        <v>620</v>
      </c>
    </row>
    <row r="7163" spans="1:19" x14ac:dyDescent="0.2">
      <c r="A7163" t="s">
        <v>7774</v>
      </c>
      <c r="B7163" t="s">
        <v>83</v>
      </c>
      <c r="C7163" t="s">
        <v>602</v>
      </c>
      <c r="D7163">
        <v>1178</v>
      </c>
      <c r="E7163" s="37" t="str">
        <f t="shared" si="555"/>
        <v xml:space="preserve"> </v>
      </c>
      <c r="F7163">
        <v>0.16</v>
      </c>
      <c r="G7163" s="37" t="str">
        <f t="shared" si="556"/>
        <v>Normal Discount</v>
      </c>
      <c r="H7163" s="37" t="str">
        <f t="shared" si="557"/>
        <v>Low</v>
      </c>
      <c r="I7163">
        <v>8</v>
      </c>
      <c r="J7163" t="str" cm="1">
        <f t="array" ref="J7163">_xlfn.IFS(I7163&lt;=3,"small",I7163&lt;=6,"Medium",I7163&lt;=9,"Large")</f>
        <v>Large</v>
      </c>
      <c r="K7163" s="36">
        <v>45041</v>
      </c>
      <c r="L7163" s="36">
        <v>45046</v>
      </c>
      <c r="M7163" t="s">
        <v>603</v>
      </c>
      <c r="N7163" t="s">
        <v>608</v>
      </c>
      <c r="O7163" s="37" t="str">
        <f t="shared" si="558"/>
        <v>Cash Payment</v>
      </c>
      <c r="P7163">
        <v>327.81</v>
      </c>
      <c r="Q7163" s="37" t="str">
        <f>IF(P7163&gt;500,"High","low")</f>
        <v>low</v>
      </c>
      <c r="R7163" s="37" t="str">
        <f t="shared" si="559"/>
        <v>AVERAGE</v>
      </c>
      <c r="S7163" t="s">
        <v>620</v>
      </c>
    </row>
    <row r="7164" spans="1:19" x14ac:dyDescent="0.2">
      <c r="A7164" t="s">
        <v>7775</v>
      </c>
      <c r="B7164" t="s">
        <v>90</v>
      </c>
      <c r="C7164" t="s">
        <v>617</v>
      </c>
      <c r="D7164">
        <v>3058.97</v>
      </c>
      <c r="E7164" s="37" t="str">
        <f t="shared" si="555"/>
        <v xml:space="preserve"> </v>
      </c>
      <c r="F7164">
        <v>0.23</v>
      </c>
      <c r="G7164" s="37" t="str">
        <f t="shared" si="556"/>
        <v>Normal Discount</v>
      </c>
      <c r="H7164" s="37" t="str">
        <f t="shared" si="557"/>
        <v>Medium</v>
      </c>
      <c r="I7164">
        <v>9</v>
      </c>
      <c r="J7164" t="str" cm="1">
        <f t="array" ref="J7164">_xlfn.IFS(I7164&lt;=3,"small",I7164&lt;=6,"Medium",I7164&lt;=9,"Large")</f>
        <v>Large</v>
      </c>
      <c r="K7164" s="36">
        <v>44943</v>
      </c>
      <c r="L7164" s="36">
        <v>44944</v>
      </c>
      <c r="M7164" t="s">
        <v>603</v>
      </c>
      <c r="N7164" t="s">
        <v>608</v>
      </c>
      <c r="O7164" s="37" t="str">
        <f t="shared" si="558"/>
        <v>Cash Payment</v>
      </c>
      <c r="P7164">
        <v>504.61</v>
      </c>
      <c r="Q7164" s="37" t="str">
        <f>IF(P7164&gt;500,"High","low")</f>
        <v>High</v>
      </c>
      <c r="R7164" s="37" t="str">
        <f t="shared" si="559"/>
        <v>Good</v>
      </c>
      <c r="S7164" t="s">
        <v>620</v>
      </c>
    </row>
    <row r="7165" spans="1:19" x14ac:dyDescent="0.2">
      <c r="A7165" t="s">
        <v>7776</v>
      </c>
      <c r="B7165" t="s">
        <v>67</v>
      </c>
      <c r="C7165" t="s">
        <v>607</v>
      </c>
      <c r="D7165">
        <v>2093.13</v>
      </c>
      <c r="E7165" s="37" t="str">
        <f t="shared" si="555"/>
        <v xml:space="preserve"> </v>
      </c>
      <c r="F7165">
        <v>0.41</v>
      </c>
      <c r="G7165" s="37" t="str">
        <f t="shared" si="556"/>
        <v>Heavy Discount</v>
      </c>
      <c r="H7165" s="37" t="str">
        <f t="shared" si="557"/>
        <v>High</v>
      </c>
      <c r="I7165">
        <v>8</v>
      </c>
      <c r="J7165" t="str" cm="1">
        <f t="array" ref="J7165">_xlfn.IFS(I7165&lt;=3,"small",I7165&lt;=6,"Medium",I7165&lt;=9,"Large")</f>
        <v>Large</v>
      </c>
      <c r="K7165" s="36">
        <v>45132</v>
      </c>
      <c r="L7165" s="36">
        <v>45139</v>
      </c>
      <c r="M7165" t="s">
        <v>612</v>
      </c>
      <c r="N7165" t="s">
        <v>604</v>
      </c>
      <c r="O7165" s="37" t="str">
        <f t="shared" si="558"/>
        <v>Digital Payment</v>
      </c>
      <c r="P7165">
        <v>484.38</v>
      </c>
      <c r="Q7165" s="37" t="str">
        <f>IF(P7165&gt;500,"High","low")</f>
        <v>low</v>
      </c>
      <c r="R7165" s="37" t="str">
        <f t="shared" si="559"/>
        <v>AVERAGE</v>
      </c>
      <c r="S7165" t="s">
        <v>605</v>
      </c>
    </row>
    <row r="7166" spans="1:19" x14ac:dyDescent="0.2">
      <c r="A7166" t="s">
        <v>7777</v>
      </c>
      <c r="B7166" t="s">
        <v>90</v>
      </c>
      <c r="C7166" t="s">
        <v>607</v>
      </c>
      <c r="D7166">
        <v>968.6</v>
      </c>
      <c r="E7166" s="37" t="str">
        <f t="shared" si="555"/>
        <v xml:space="preserve"> </v>
      </c>
      <c r="F7166">
        <v>7.0000000000000007E-2</v>
      </c>
      <c r="G7166" s="37" t="str">
        <f t="shared" si="556"/>
        <v>Normal Discount</v>
      </c>
      <c r="H7166" s="37" t="str">
        <f t="shared" si="557"/>
        <v>Low</v>
      </c>
      <c r="I7166">
        <v>5</v>
      </c>
      <c r="J7166" t="str" cm="1">
        <f t="array" ref="J7166">_xlfn.IFS(I7166&lt;=3,"small",I7166&lt;=6,"Medium",I7166&lt;=9,"Large")</f>
        <v>Medium</v>
      </c>
      <c r="K7166" s="36">
        <v>45183</v>
      </c>
      <c r="L7166" s="36">
        <v>45184</v>
      </c>
      <c r="M7166" t="s">
        <v>603</v>
      </c>
      <c r="N7166" t="s">
        <v>608</v>
      </c>
      <c r="O7166" s="37" t="str">
        <f t="shared" si="558"/>
        <v>Cash Payment</v>
      </c>
      <c r="P7166">
        <v>134.09</v>
      </c>
      <c r="Q7166" s="37" t="str">
        <f>IF(P7166&gt;500,"High","low")</f>
        <v>low</v>
      </c>
      <c r="R7166" s="37" t="str">
        <f t="shared" si="559"/>
        <v>AVERAGE</v>
      </c>
      <c r="S7166" t="s">
        <v>605</v>
      </c>
    </row>
    <row r="7167" spans="1:19" x14ac:dyDescent="0.2">
      <c r="A7167" t="s">
        <v>7778</v>
      </c>
      <c r="B7167" t="s">
        <v>75</v>
      </c>
      <c r="C7167" t="s">
        <v>607</v>
      </c>
      <c r="D7167">
        <v>3958.25</v>
      </c>
      <c r="E7167" s="37" t="str">
        <f t="shared" si="555"/>
        <v xml:space="preserve"> </v>
      </c>
      <c r="F7167">
        <v>0.35</v>
      </c>
      <c r="G7167" s="37" t="str">
        <f t="shared" si="556"/>
        <v>Heavy Discount</v>
      </c>
      <c r="H7167" s="37" t="str">
        <f t="shared" si="557"/>
        <v>Medium</v>
      </c>
      <c r="I7167">
        <v>5</v>
      </c>
      <c r="J7167" t="str" cm="1">
        <f t="array" ref="J7167">_xlfn.IFS(I7167&lt;=3,"small",I7167&lt;=6,"Medium",I7167&lt;=9,"Large")</f>
        <v>Medium</v>
      </c>
      <c r="K7167" s="36">
        <v>45014</v>
      </c>
      <c r="L7167" s="36">
        <v>45017</v>
      </c>
      <c r="M7167" t="s">
        <v>612</v>
      </c>
      <c r="N7167" t="s">
        <v>604</v>
      </c>
      <c r="O7167" s="37" t="str">
        <f t="shared" si="558"/>
        <v>Digital Payment</v>
      </c>
      <c r="P7167">
        <v>482.41</v>
      </c>
      <c r="Q7167" s="37" t="str">
        <f>IF(P7167&gt;500,"High","low")</f>
        <v>low</v>
      </c>
      <c r="R7167" s="37" t="str">
        <f t="shared" si="559"/>
        <v>AVERAGE</v>
      </c>
      <c r="S7167" t="s">
        <v>615</v>
      </c>
    </row>
    <row r="7168" spans="1:19" x14ac:dyDescent="0.2">
      <c r="A7168" t="s">
        <v>7779</v>
      </c>
      <c r="B7168" t="s">
        <v>90</v>
      </c>
      <c r="C7168" t="s">
        <v>597</v>
      </c>
      <c r="D7168">
        <v>1081.19</v>
      </c>
      <c r="E7168" s="37" t="str">
        <f t="shared" si="555"/>
        <v xml:space="preserve"> </v>
      </c>
      <c r="F7168">
        <v>0.18</v>
      </c>
      <c r="G7168" s="37" t="str">
        <f t="shared" si="556"/>
        <v>Normal Discount</v>
      </c>
      <c r="H7168" s="37" t="str">
        <f t="shared" si="557"/>
        <v>Low</v>
      </c>
      <c r="I7168">
        <v>1</v>
      </c>
      <c r="J7168" t="str" cm="1">
        <f t="array" ref="J7168">_xlfn.IFS(I7168&lt;=3,"small",I7168&lt;=6,"Medium",I7168&lt;=9,"Large")</f>
        <v>small</v>
      </c>
      <c r="K7168" s="36">
        <v>45300</v>
      </c>
      <c r="L7168" s="36">
        <v>45302</v>
      </c>
      <c r="M7168" t="s">
        <v>603</v>
      </c>
      <c r="N7168" t="s">
        <v>604</v>
      </c>
      <c r="O7168" s="37" t="str">
        <f t="shared" si="558"/>
        <v>Digital Payment</v>
      </c>
      <c r="P7168">
        <v>179.11</v>
      </c>
      <c r="Q7168" s="37" t="str">
        <f>IF(P7168&gt;500,"High","low")</f>
        <v>low</v>
      </c>
      <c r="R7168" s="37" t="str">
        <f t="shared" si="559"/>
        <v>AVERAGE</v>
      </c>
      <c r="S7168" t="s">
        <v>600</v>
      </c>
    </row>
    <row r="7169" spans="1:19" x14ac:dyDescent="0.2">
      <c r="A7169" t="s">
        <v>7780</v>
      </c>
      <c r="B7169" t="s">
        <v>67</v>
      </c>
      <c r="C7169" t="s">
        <v>617</v>
      </c>
      <c r="D7169">
        <v>1676.04</v>
      </c>
      <c r="E7169" s="37" t="str">
        <f t="shared" si="555"/>
        <v xml:space="preserve"> </v>
      </c>
      <c r="F7169">
        <v>0.1</v>
      </c>
      <c r="G7169" s="37" t="str">
        <f t="shared" si="556"/>
        <v>Normal Discount</v>
      </c>
      <c r="H7169" s="37" t="str">
        <f t="shared" si="557"/>
        <v>Low</v>
      </c>
      <c r="I7169">
        <v>8</v>
      </c>
      <c r="J7169" t="str" cm="1">
        <f t="array" ref="J7169">_xlfn.IFS(I7169&lt;=3,"small",I7169&lt;=6,"Medium",I7169&lt;=9,"Large")</f>
        <v>Large</v>
      </c>
      <c r="K7169" s="36">
        <v>45239</v>
      </c>
      <c r="L7169" s="36">
        <v>45246</v>
      </c>
      <c r="M7169" t="s">
        <v>598</v>
      </c>
      <c r="N7169" t="s">
        <v>604</v>
      </c>
      <c r="O7169" s="37" t="str">
        <f t="shared" si="558"/>
        <v>Digital Payment</v>
      </c>
      <c r="P7169">
        <v>438.42</v>
      </c>
      <c r="Q7169" s="37" t="str">
        <f>IF(P7169&gt;500,"High","low")</f>
        <v>low</v>
      </c>
      <c r="R7169" s="37" t="str">
        <f t="shared" si="559"/>
        <v>AVERAGE</v>
      </c>
      <c r="S7169" t="s">
        <v>615</v>
      </c>
    </row>
    <row r="7170" spans="1:19" x14ac:dyDescent="0.2">
      <c r="A7170" t="s">
        <v>7781</v>
      </c>
      <c r="B7170" t="s">
        <v>83</v>
      </c>
      <c r="C7170" t="s">
        <v>602</v>
      </c>
      <c r="D7170">
        <v>401</v>
      </c>
      <c r="E7170" s="37" t="str">
        <f t="shared" si="555"/>
        <v xml:space="preserve"> </v>
      </c>
      <c r="F7170">
        <v>0.17</v>
      </c>
      <c r="G7170" s="37" t="str">
        <f t="shared" si="556"/>
        <v>Normal Discount</v>
      </c>
      <c r="H7170" s="37" t="str">
        <f t="shared" si="557"/>
        <v>Low</v>
      </c>
      <c r="I7170">
        <v>2</v>
      </c>
      <c r="J7170" t="str" cm="1">
        <f t="array" ref="J7170">_xlfn.IFS(I7170&lt;=3,"small",I7170&lt;=6,"Medium",I7170&lt;=9,"Large")</f>
        <v>small</v>
      </c>
      <c r="K7170" s="36">
        <v>45449</v>
      </c>
      <c r="L7170" s="36">
        <v>45456</v>
      </c>
      <c r="M7170" t="s">
        <v>612</v>
      </c>
      <c r="N7170" t="s">
        <v>608</v>
      </c>
      <c r="O7170" s="37" t="str">
        <f t="shared" si="558"/>
        <v>Cash Payment</v>
      </c>
      <c r="P7170">
        <v>72.290000000000006</v>
      </c>
      <c r="Q7170" s="37" t="str">
        <f>IF(P7170&gt;500,"High","low")</f>
        <v>low</v>
      </c>
      <c r="R7170" s="37" t="str">
        <f t="shared" si="559"/>
        <v>AVERAGE</v>
      </c>
      <c r="S7170" t="s">
        <v>600</v>
      </c>
    </row>
    <row r="7171" spans="1:19" x14ac:dyDescent="0.2">
      <c r="A7171" t="s">
        <v>7782</v>
      </c>
      <c r="B7171" t="s">
        <v>67</v>
      </c>
      <c r="C7171" t="s">
        <v>597</v>
      </c>
      <c r="D7171">
        <v>3536.72</v>
      </c>
      <c r="E7171" s="37" t="str">
        <f t="shared" ref="E7171:E7234" si="560">IF(AND(D7171&gt;4000,P7171&gt;800),"Excellent Order"," ")</f>
        <v xml:space="preserve"> </v>
      </c>
      <c r="F7171">
        <v>0.27</v>
      </c>
      <c r="G7171" s="37" t="str">
        <f t="shared" ref="G7171:G7234" si="561">IF(F7171&gt;30%,"Heavy Discount","Normal Discount")</f>
        <v>Normal Discount</v>
      </c>
      <c r="H7171" s="37" t="str">
        <f t="shared" ref="H7171:H7234" si="562">IF(F7171&gt;0.4,"High",IF(F7171&gt;=0.2,"Medium","Low"))</f>
        <v>Medium</v>
      </c>
      <c r="I7171">
        <v>6</v>
      </c>
      <c r="J7171" t="str" cm="1">
        <f t="array" ref="J7171">_xlfn.IFS(I7171&lt;=3,"small",I7171&lt;=6,"Medium",I7171&lt;=9,"Large")</f>
        <v>Medium</v>
      </c>
      <c r="K7171" s="36">
        <v>45505</v>
      </c>
      <c r="L7171" s="36">
        <v>45510</v>
      </c>
      <c r="M7171" t="s">
        <v>603</v>
      </c>
      <c r="N7171" t="s">
        <v>608</v>
      </c>
      <c r="O7171" s="37" t="str">
        <f t="shared" ref="O7171:O7234" si="563">IF(OR(N7171="Card",N7171="UPI"),"Digital Payment","Cash Payment")</f>
        <v>Cash Payment</v>
      </c>
      <c r="P7171">
        <v>594.5</v>
      </c>
      <c r="Q7171" s="37" t="str">
        <f>IF(P7171&gt;500,"High","low")</f>
        <v>High</v>
      </c>
      <c r="R7171" s="37" t="str">
        <f t="shared" ref="R7171:R7234" si="564">IF(P7171&gt;1000,"Excellent",IF(P7171&gt;=500,"Good","AVERAGE"))</f>
        <v>Good</v>
      </c>
      <c r="S7171" t="s">
        <v>609</v>
      </c>
    </row>
    <row r="7172" spans="1:19" x14ac:dyDescent="0.2">
      <c r="A7172" t="s">
        <v>7783</v>
      </c>
      <c r="B7172" t="s">
        <v>90</v>
      </c>
      <c r="C7172" t="s">
        <v>607</v>
      </c>
      <c r="D7172">
        <v>1448.86</v>
      </c>
      <c r="E7172" s="37" t="str">
        <f t="shared" si="560"/>
        <v xml:space="preserve"> </v>
      </c>
      <c r="F7172">
        <v>0.46</v>
      </c>
      <c r="G7172" s="37" t="str">
        <f t="shared" si="561"/>
        <v>Heavy Discount</v>
      </c>
      <c r="H7172" s="37" t="str">
        <f t="shared" si="562"/>
        <v>High</v>
      </c>
      <c r="I7172">
        <v>6</v>
      </c>
      <c r="J7172" t="str" cm="1">
        <f t="array" ref="J7172">_xlfn.IFS(I7172&lt;=3,"small",I7172&lt;=6,"Medium",I7172&lt;=9,"Large")</f>
        <v>Medium</v>
      </c>
      <c r="K7172" s="36">
        <v>45131</v>
      </c>
      <c r="L7172" s="36">
        <v>45134</v>
      </c>
      <c r="M7172" t="s">
        <v>612</v>
      </c>
      <c r="N7172" t="s">
        <v>604</v>
      </c>
      <c r="O7172" s="37" t="str">
        <f t="shared" si="563"/>
        <v>Digital Payment</v>
      </c>
      <c r="P7172">
        <v>129.56</v>
      </c>
      <c r="Q7172" s="37" t="str">
        <f>IF(P7172&gt;500,"High","low")</f>
        <v>low</v>
      </c>
      <c r="R7172" s="37" t="str">
        <f t="shared" si="564"/>
        <v>AVERAGE</v>
      </c>
      <c r="S7172" t="s">
        <v>605</v>
      </c>
    </row>
    <row r="7173" spans="1:19" x14ac:dyDescent="0.2">
      <c r="A7173" t="s">
        <v>7784</v>
      </c>
      <c r="B7173" t="s">
        <v>90</v>
      </c>
      <c r="C7173" t="s">
        <v>614</v>
      </c>
      <c r="D7173">
        <v>1241.05</v>
      </c>
      <c r="E7173" s="37" t="str">
        <f t="shared" si="560"/>
        <v xml:space="preserve"> </v>
      </c>
      <c r="F7173">
        <v>0.31</v>
      </c>
      <c r="G7173" s="37" t="str">
        <f t="shared" si="561"/>
        <v>Heavy Discount</v>
      </c>
      <c r="H7173" s="37" t="str">
        <f t="shared" si="562"/>
        <v>Medium</v>
      </c>
      <c r="I7173">
        <v>4</v>
      </c>
      <c r="J7173" t="str" cm="1">
        <f t="array" ref="J7173">_xlfn.IFS(I7173&lt;=3,"small",I7173&lt;=6,"Medium",I7173&lt;=9,"Large")</f>
        <v>Medium</v>
      </c>
      <c r="K7173" s="36">
        <v>45012</v>
      </c>
      <c r="L7173" s="36">
        <v>45017</v>
      </c>
      <c r="M7173" t="s">
        <v>612</v>
      </c>
      <c r="N7173" t="s">
        <v>608</v>
      </c>
      <c r="O7173" s="37" t="str">
        <f t="shared" si="563"/>
        <v>Cash Payment</v>
      </c>
      <c r="P7173">
        <v>292.49</v>
      </c>
      <c r="Q7173" s="37" t="str">
        <f>IF(P7173&gt;500,"High","low")</f>
        <v>low</v>
      </c>
      <c r="R7173" s="37" t="str">
        <f t="shared" si="564"/>
        <v>AVERAGE</v>
      </c>
      <c r="S7173" t="s">
        <v>615</v>
      </c>
    </row>
    <row r="7174" spans="1:19" x14ac:dyDescent="0.2">
      <c r="A7174" t="s">
        <v>7785</v>
      </c>
      <c r="B7174" t="s">
        <v>67</v>
      </c>
      <c r="C7174" t="s">
        <v>597</v>
      </c>
      <c r="D7174">
        <v>1586.46</v>
      </c>
      <c r="E7174" s="37" t="str">
        <f t="shared" si="560"/>
        <v xml:space="preserve"> </v>
      </c>
      <c r="F7174">
        <v>0.3</v>
      </c>
      <c r="G7174" s="37" t="str">
        <f t="shared" si="561"/>
        <v>Normal Discount</v>
      </c>
      <c r="H7174" s="37" t="str">
        <f t="shared" si="562"/>
        <v>Medium</v>
      </c>
      <c r="I7174">
        <v>9</v>
      </c>
      <c r="J7174" t="str" cm="1">
        <f t="array" ref="J7174">_xlfn.IFS(I7174&lt;=3,"small",I7174&lt;=6,"Medium",I7174&lt;=9,"Large")</f>
        <v>Large</v>
      </c>
      <c r="K7174" s="36">
        <v>44967</v>
      </c>
      <c r="L7174" s="36">
        <v>44970</v>
      </c>
      <c r="M7174" t="s">
        <v>598</v>
      </c>
      <c r="N7174" t="s">
        <v>599</v>
      </c>
      <c r="O7174" s="37" t="str">
        <f t="shared" si="563"/>
        <v>Digital Payment</v>
      </c>
      <c r="P7174">
        <v>222.98</v>
      </c>
      <c r="Q7174" s="37" t="str">
        <f>IF(P7174&gt;500,"High","low")</f>
        <v>low</v>
      </c>
      <c r="R7174" s="37" t="str">
        <f t="shared" si="564"/>
        <v>AVERAGE</v>
      </c>
      <c r="S7174" t="s">
        <v>609</v>
      </c>
    </row>
    <row r="7175" spans="1:19" x14ac:dyDescent="0.2">
      <c r="A7175" t="s">
        <v>7786</v>
      </c>
      <c r="B7175" t="s">
        <v>90</v>
      </c>
      <c r="C7175" t="s">
        <v>597</v>
      </c>
      <c r="D7175">
        <v>4383.24</v>
      </c>
      <c r="E7175" s="37" t="str">
        <f t="shared" si="560"/>
        <v>Excellent Order</v>
      </c>
      <c r="F7175">
        <v>0.05</v>
      </c>
      <c r="G7175" s="37" t="str">
        <f t="shared" si="561"/>
        <v>Normal Discount</v>
      </c>
      <c r="H7175" s="37" t="str">
        <f t="shared" si="562"/>
        <v>Low</v>
      </c>
      <c r="I7175">
        <v>3</v>
      </c>
      <c r="J7175" t="str" cm="1">
        <f t="array" ref="J7175">_xlfn.IFS(I7175&lt;=3,"small",I7175&lt;=6,"Medium",I7175&lt;=9,"Large")</f>
        <v>small</v>
      </c>
      <c r="K7175" s="36">
        <v>45543</v>
      </c>
      <c r="L7175" s="36">
        <v>45549</v>
      </c>
      <c r="M7175" t="s">
        <v>612</v>
      </c>
      <c r="N7175" t="s">
        <v>608</v>
      </c>
      <c r="O7175" s="37" t="str">
        <f t="shared" si="563"/>
        <v>Cash Payment</v>
      </c>
      <c r="P7175">
        <v>1046.8599999999999</v>
      </c>
      <c r="Q7175" s="37" t="str">
        <f>IF(P7175&gt;500,"High","low")</f>
        <v>High</v>
      </c>
      <c r="R7175" s="37" t="str">
        <f t="shared" si="564"/>
        <v>Excellent</v>
      </c>
      <c r="S7175" t="s">
        <v>609</v>
      </c>
    </row>
    <row r="7176" spans="1:19" x14ac:dyDescent="0.2">
      <c r="A7176" t="s">
        <v>7787</v>
      </c>
      <c r="B7176" t="s">
        <v>75</v>
      </c>
      <c r="C7176" t="s">
        <v>617</v>
      </c>
      <c r="D7176">
        <v>2638.29</v>
      </c>
      <c r="E7176" s="37" t="str">
        <f t="shared" si="560"/>
        <v xml:space="preserve"> </v>
      </c>
      <c r="F7176">
        <v>0.04</v>
      </c>
      <c r="G7176" s="37" t="str">
        <f t="shared" si="561"/>
        <v>Normal Discount</v>
      </c>
      <c r="H7176" s="37" t="str">
        <f t="shared" si="562"/>
        <v>Low</v>
      </c>
      <c r="I7176">
        <v>8</v>
      </c>
      <c r="J7176" t="str" cm="1">
        <f t="array" ref="J7176">_xlfn.IFS(I7176&lt;=3,"small",I7176&lt;=6,"Medium",I7176&lt;=9,"Large")</f>
        <v>Large</v>
      </c>
      <c r="K7176" s="36">
        <v>45468</v>
      </c>
      <c r="L7176" s="36">
        <v>45470</v>
      </c>
      <c r="M7176" t="s">
        <v>612</v>
      </c>
      <c r="N7176" t="s">
        <v>608</v>
      </c>
      <c r="O7176" s="37" t="str">
        <f t="shared" si="563"/>
        <v>Cash Payment</v>
      </c>
      <c r="P7176">
        <v>772.03</v>
      </c>
      <c r="Q7176" s="37" t="str">
        <f>IF(P7176&gt;500,"High","low")</f>
        <v>High</v>
      </c>
      <c r="R7176" s="37" t="str">
        <f t="shared" si="564"/>
        <v>Good</v>
      </c>
      <c r="S7176" t="s">
        <v>620</v>
      </c>
    </row>
    <row r="7177" spans="1:19" x14ac:dyDescent="0.2">
      <c r="A7177" t="s">
        <v>7788</v>
      </c>
      <c r="B7177" t="s">
        <v>67</v>
      </c>
      <c r="C7177" t="s">
        <v>597</v>
      </c>
      <c r="D7177">
        <v>873.64</v>
      </c>
      <c r="E7177" s="37" t="str">
        <f t="shared" si="560"/>
        <v xml:space="preserve"> </v>
      </c>
      <c r="F7177">
        <v>0.06</v>
      </c>
      <c r="G7177" s="37" t="str">
        <f t="shared" si="561"/>
        <v>Normal Discount</v>
      </c>
      <c r="H7177" s="37" t="str">
        <f t="shared" si="562"/>
        <v>Low</v>
      </c>
      <c r="I7177">
        <v>2</v>
      </c>
      <c r="J7177" t="str" cm="1">
        <f t="array" ref="J7177">_xlfn.IFS(I7177&lt;=3,"small",I7177&lt;=6,"Medium",I7177&lt;=9,"Large")</f>
        <v>small</v>
      </c>
      <c r="K7177" s="36">
        <v>45207</v>
      </c>
      <c r="L7177" s="36">
        <v>45211</v>
      </c>
      <c r="M7177" t="s">
        <v>603</v>
      </c>
      <c r="N7177" t="s">
        <v>608</v>
      </c>
      <c r="O7177" s="37" t="str">
        <f t="shared" si="563"/>
        <v>Cash Payment</v>
      </c>
      <c r="P7177">
        <v>63.53</v>
      </c>
      <c r="Q7177" s="37" t="str">
        <f>IF(P7177&gt;500,"High","low")</f>
        <v>low</v>
      </c>
      <c r="R7177" s="37" t="str">
        <f t="shared" si="564"/>
        <v>AVERAGE</v>
      </c>
      <c r="S7177" t="s">
        <v>605</v>
      </c>
    </row>
    <row r="7178" spans="1:19" x14ac:dyDescent="0.2">
      <c r="A7178" t="s">
        <v>7789</v>
      </c>
      <c r="B7178" t="s">
        <v>83</v>
      </c>
      <c r="C7178" t="s">
        <v>617</v>
      </c>
      <c r="D7178">
        <v>3894.96</v>
      </c>
      <c r="E7178" s="37" t="str">
        <f t="shared" si="560"/>
        <v xml:space="preserve"> </v>
      </c>
      <c r="F7178">
        <v>0.05</v>
      </c>
      <c r="G7178" s="37" t="str">
        <f t="shared" si="561"/>
        <v>Normal Discount</v>
      </c>
      <c r="H7178" s="37" t="str">
        <f t="shared" si="562"/>
        <v>Low</v>
      </c>
      <c r="I7178">
        <v>5</v>
      </c>
      <c r="J7178" t="str" cm="1">
        <f t="array" ref="J7178">_xlfn.IFS(I7178&lt;=3,"small",I7178&lt;=6,"Medium",I7178&lt;=9,"Large")</f>
        <v>Medium</v>
      </c>
      <c r="K7178" s="36">
        <v>45182</v>
      </c>
      <c r="L7178" s="36">
        <v>45185</v>
      </c>
      <c r="M7178" t="s">
        <v>603</v>
      </c>
      <c r="N7178" t="s">
        <v>599</v>
      </c>
      <c r="O7178" s="37" t="str">
        <f t="shared" si="563"/>
        <v>Digital Payment</v>
      </c>
      <c r="P7178">
        <v>1034.31</v>
      </c>
      <c r="Q7178" s="37" t="str">
        <f>IF(P7178&gt;500,"High","low")</f>
        <v>High</v>
      </c>
      <c r="R7178" s="37" t="str">
        <f t="shared" si="564"/>
        <v>Excellent</v>
      </c>
      <c r="S7178" t="s">
        <v>609</v>
      </c>
    </row>
    <row r="7179" spans="1:19" x14ac:dyDescent="0.2">
      <c r="A7179" t="s">
        <v>7790</v>
      </c>
      <c r="B7179" t="s">
        <v>67</v>
      </c>
      <c r="C7179" t="s">
        <v>614</v>
      </c>
      <c r="D7179">
        <v>1121.42</v>
      </c>
      <c r="E7179" s="37" t="str">
        <f t="shared" si="560"/>
        <v xml:space="preserve"> </v>
      </c>
      <c r="F7179">
        <v>0.28999999999999998</v>
      </c>
      <c r="G7179" s="37" t="str">
        <f t="shared" si="561"/>
        <v>Normal Discount</v>
      </c>
      <c r="H7179" s="37" t="str">
        <f t="shared" si="562"/>
        <v>Medium</v>
      </c>
      <c r="I7179">
        <v>6</v>
      </c>
      <c r="J7179" t="str" cm="1">
        <f t="array" ref="J7179">_xlfn.IFS(I7179&lt;=3,"small",I7179&lt;=6,"Medium",I7179&lt;=9,"Large")</f>
        <v>Medium</v>
      </c>
      <c r="K7179" s="36">
        <v>45246</v>
      </c>
      <c r="L7179" s="36">
        <v>45250</v>
      </c>
      <c r="M7179" t="s">
        <v>598</v>
      </c>
      <c r="N7179" t="s">
        <v>604</v>
      </c>
      <c r="O7179" s="37" t="str">
        <f t="shared" si="563"/>
        <v>Digital Payment</v>
      </c>
      <c r="P7179">
        <v>102.89</v>
      </c>
      <c r="Q7179" s="37" t="str">
        <f>IF(P7179&gt;500,"High","low")</f>
        <v>low</v>
      </c>
      <c r="R7179" s="37" t="str">
        <f t="shared" si="564"/>
        <v>AVERAGE</v>
      </c>
      <c r="S7179" t="s">
        <v>609</v>
      </c>
    </row>
    <row r="7180" spans="1:19" x14ac:dyDescent="0.2">
      <c r="A7180" t="s">
        <v>7791</v>
      </c>
      <c r="B7180" t="s">
        <v>75</v>
      </c>
      <c r="C7180" t="s">
        <v>602</v>
      </c>
      <c r="D7180">
        <v>2121.13</v>
      </c>
      <c r="E7180" s="37" t="str">
        <f t="shared" si="560"/>
        <v xml:space="preserve"> </v>
      </c>
      <c r="F7180">
        <v>0.23</v>
      </c>
      <c r="G7180" s="37" t="str">
        <f t="shared" si="561"/>
        <v>Normal Discount</v>
      </c>
      <c r="H7180" s="37" t="str">
        <f t="shared" si="562"/>
        <v>Medium</v>
      </c>
      <c r="I7180">
        <v>2</v>
      </c>
      <c r="J7180" t="str" cm="1">
        <f t="array" ref="J7180">_xlfn.IFS(I7180&lt;=3,"small",I7180&lt;=6,"Medium",I7180&lt;=9,"Large")</f>
        <v>small</v>
      </c>
      <c r="K7180" s="36">
        <v>45143</v>
      </c>
      <c r="L7180" s="36">
        <v>45146</v>
      </c>
      <c r="M7180" t="s">
        <v>598</v>
      </c>
      <c r="N7180" t="s">
        <v>604</v>
      </c>
      <c r="O7180" s="37" t="str">
        <f t="shared" si="563"/>
        <v>Digital Payment</v>
      </c>
      <c r="P7180">
        <v>566.82000000000005</v>
      </c>
      <c r="Q7180" s="37" t="str">
        <f>IF(P7180&gt;500,"High","low")</f>
        <v>High</v>
      </c>
      <c r="R7180" s="37" t="str">
        <f t="shared" si="564"/>
        <v>Good</v>
      </c>
      <c r="S7180" t="s">
        <v>609</v>
      </c>
    </row>
    <row r="7181" spans="1:19" x14ac:dyDescent="0.2">
      <c r="A7181" t="s">
        <v>7792</v>
      </c>
      <c r="B7181" t="s">
        <v>75</v>
      </c>
      <c r="C7181" t="s">
        <v>602</v>
      </c>
      <c r="D7181">
        <v>2883.57</v>
      </c>
      <c r="E7181" s="37" t="str">
        <f t="shared" si="560"/>
        <v xml:space="preserve"> </v>
      </c>
      <c r="F7181">
        <v>0</v>
      </c>
      <c r="G7181" s="37" t="str">
        <f t="shared" si="561"/>
        <v>Normal Discount</v>
      </c>
      <c r="H7181" s="37" t="str">
        <f t="shared" si="562"/>
        <v>Low</v>
      </c>
      <c r="I7181">
        <v>7</v>
      </c>
      <c r="J7181" t="str" cm="1">
        <f t="array" ref="J7181">_xlfn.IFS(I7181&lt;=3,"small",I7181&lt;=6,"Medium",I7181&lt;=9,"Large")</f>
        <v>Large</v>
      </c>
      <c r="K7181" s="36">
        <v>45029</v>
      </c>
      <c r="L7181" s="36">
        <v>45030</v>
      </c>
      <c r="M7181" t="s">
        <v>598</v>
      </c>
      <c r="N7181" t="s">
        <v>599</v>
      </c>
      <c r="O7181" s="37" t="str">
        <f t="shared" si="563"/>
        <v>Digital Payment</v>
      </c>
      <c r="P7181">
        <v>668.46</v>
      </c>
      <c r="Q7181" s="37" t="str">
        <f>IF(P7181&gt;500,"High","low")</f>
        <v>High</v>
      </c>
      <c r="R7181" s="37" t="str">
        <f t="shared" si="564"/>
        <v>Good</v>
      </c>
      <c r="S7181" t="s">
        <v>615</v>
      </c>
    </row>
    <row r="7182" spans="1:19" x14ac:dyDescent="0.2">
      <c r="A7182" t="s">
        <v>7793</v>
      </c>
      <c r="B7182" t="s">
        <v>75</v>
      </c>
      <c r="C7182" t="s">
        <v>607</v>
      </c>
      <c r="D7182">
        <v>2963.77</v>
      </c>
      <c r="E7182" s="37" t="str">
        <f t="shared" si="560"/>
        <v xml:space="preserve"> </v>
      </c>
      <c r="F7182">
        <v>0.18</v>
      </c>
      <c r="G7182" s="37" t="str">
        <f t="shared" si="561"/>
        <v>Normal Discount</v>
      </c>
      <c r="H7182" s="37" t="str">
        <f t="shared" si="562"/>
        <v>Low</v>
      </c>
      <c r="I7182">
        <v>5</v>
      </c>
      <c r="J7182" t="str" cm="1">
        <f t="array" ref="J7182">_xlfn.IFS(I7182&lt;=3,"small",I7182&lt;=6,"Medium",I7182&lt;=9,"Large")</f>
        <v>Medium</v>
      </c>
      <c r="K7182" s="36">
        <v>45335</v>
      </c>
      <c r="L7182" s="36">
        <v>45337</v>
      </c>
      <c r="M7182" t="s">
        <v>603</v>
      </c>
      <c r="N7182" t="s">
        <v>608</v>
      </c>
      <c r="O7182" s="37" t="str">
        <f t="shared" si="563"/>
        <v>Cash Payment</v>
      </c>
      <c r="P7182">
        <v>460.79</v>
      </c>
      <c r="Q7182" s="37" t="str">
        <f>IF(P7182&gt;500,"High","low")</f>
        <v>low</v>
      </c>
      <c r="R7182" s="37" t="str">
        <f t="shared" si="564"/>
        <v>AVERAGE</v>
      </c>
      <c r="S7182" t="s">
        <v>628</v>
      </c>
    </row>
    <row r="7183" spans="1:19" x14ac:dyDescent="0.2">
      <c r="A7183" t="s">
        <v>7794</v>
      </c>
      <c r="B7183" t="s">
        <v>75</v>
      </c>
      <c r="C7183" t="s">
        <v>607</v>
      </c>
      <c r="D7183">
        <v>438.26</v>
      </c>
      <c r="E7183" s="37" t="str">
        <f t="shared" si="560"/>
        <v xml:space="preserve"> </v>
      </c>
      <c r="F7183">
        <v>0.06</v>
      </c>
      <c r="G7183" s="37" t="str">
        <f t="shared" si="561"/>
        <v>Normal Discount</v>
      </c>
      <c r="H7183" s="37" t="str">
        <f t="shared" si="562"/>
        <v>Low</v>
      </c>
      <c r="I7183">
        <v>4</v>
      </c>
      <c r="J7183" t="str" cm="1">
        <f t="array" ref="J7183">_xlfn.IFS(I7183&lt;=3,"small",I7183&lt;=6,"Medium",I7183&lt;=9,"Large")</f>
        <v>Medium</v>
      </c>
      <c r="K7183" s="36">
        <v>45376</v>
      </c>
      <c r="L7183" s="36">
        <v>45377</v>
      </c>
      <c r="M7183" t="s">
        <v>612</v>
      </c>
      <c r="N7183" t="s">
        <v>608</v>
      </c>
      <c r="O7183" s="37" t="str">
        <f t="shared" si="563"/>
        <v>Cash Payment</v>
      </c>
      <c r="P7183">
        <v>71.89</v>
      </c>
      <c r="Q7183" s="37" t="str">
        <f>IF(P7183&gt;500,"High","low")</f>
        <v>low</v>
      </c>
      <c r="R7183" s="37" t="str">
        <f t="shared" si="564"/>
        <v>AVERAGE</v>
      </c>
      <c r="S7183" t="s">
        <v>605</v>
      </c>
    </row>
    <row r="7184" spans="1:19" x14ac:dyDescent="0.2">
      <c r="A7184" t="s">
        <v>7795</v>
      </c>
      <c r="B7184" t="s">
        <v>75</v>
      </c>
      <c r="C7184" t="s">
        <v>614</v>
      </c>
      <c r="D7184">
        <v>4200.34</v>
      </c>
      <c r="E7184" s="37" t="str">
        <f t="shared" si="560"/>
        <v xml:space="preserve"> </v>
      </c>
      <c r="F7184">
        <v>0.49</v>
      </c>
      <c r="G7184" s="37" t="str">
        <f t="shared" si="561"/>
        <v>Heavy Discount</v>
      </c>
      <c r="H7184" s="37" t="str">
        <f t="shared" si="562"/>
        <v>High</v>
      </c>
      <c r="I7184">
        <v>4</v>
      </c>
      <c r="J7184" t="str" cm="1">
        <f t="array" ref="J7184">_xlfn.IFS(I7184&lt;=3,"small",I7184&lt;=6,"Medium",I7184&lt;=9,"Large")</f>
        <v>Medium</v>
      </c>
      <c r="K7184" s="36">
        <v>45600</v>
      </c>
      <c r="L7184" s="36">
        <v>45605</v>
      </c>
      <c r="M7184" t="s">
        <v>603</v>
      </c>
      <c r="N7184" t="s">
        <v>608</v>
      </c>
      <c r="O7184" s="37" t="str">
        <f t="shared" si="563"/>
        <v>Cash Payment</v>
      </c>
      <c r="P7184">
        <v>515.6</v>
      </c>
      <c r="Q7184" s="37" t="str">
        <f>IF(P7184&gt;500,"High","low")</f>
        <v>High</v>
      </c>
      <c r="R7184" s="37" t="str">
        <f t="shared" si="564"/>
        <v>Good</v>
      </c>
      <c r="S7184" t="s">
        <v>609</v>
      </c>
    </row>
    <row r="7185" spans="1:19" x14ac:dyDescent="0.2">
      <c r="A7185" t="s">
        <v>7796</v>
      </c>
      <c r="B7185" t="s">
        <v>83</v>
      </c>
      <c r="C7185" t="s">
        <v>602</v>
      </c>
      <c r="D7185">
        <v>2449.21</v>
      </c>
      <c r="E7185" s="37" t="str">
        <f t="shared" si="560"/>
        <v xml:space="preserve"> </v>
      </c>
      <c r="F7185">
        <v>0.23</v>
      </c>
      <c r="G7185" s="37" t="str">
        <f t="shared" si="561"/>
        <v>Normal Discount</v>
      </c>
      <c r="H7185" s="37" t="str">
        <f t="shared" si="562"/>
        <v>Medium</v>
      </c>
      <c r="I7185">
        <v>2</v>
      </c>
      <c r="J7185" t="str" cm="1">
        <f t="array" ref="J7185">_xlfn.IFS(I7185&lt;=3,"small",I7185&lt;=6,"Medium",I7185&lt;=9,"Large")</f>
        <v>small</v>
      </c>
      <c r="K7185" s="36">
        <v>45624</v>
      </c>
      <c r="L7185" s="36">
        <v>45628</v>
      </c>
      <c r="M7185" t="s">
        <v>612</v>
      </c>
      <c r="N7185" t="s">
        <v>599</v>
      </c>
      <c r="O7185" s="37" t="str">
        <f t="shared" si="563"/>
        <v>Digital Payment</v>
      </c>
      <c r="P7185">
        <v>550.55999999999995</v>
      </c>
      <c r="Q7185" s="37" t="str">
        <f>IF(P7185&gt;500,"High","low")</f>
        <v>High</v>
      </c>
      <c r="R7185" s="37" t="str">
        <f t="shared" si="564"/>
        <v>Good</v>
      </c>
      <c r="S7185" t="s">
        <v>628</v>
      </c>
    </row>
    <row r="7186" spans="1:19" x14ac:dyDescent="0.2">
      <c r="A7186" t="s">
        <v>7797</v>
      </c>
      <c r="B7186" t="s">
        <v>90</v>
      </c>
      <c r="C7186" t="s">
        <v>607</v>
      </c>
      <c r="D7186">
        <v>4947.38</v>
      </c>
      <c r="E7186" s="37" t="str">
        <f t="shared" si="560"/>
        <v>Excellent Order</v>
      </c>
      <c r="F7186">
        <v>0.21</v>
      </c>
      <c r="G7186" s="37" t="str">
        <f t="shared" si="561"/>
        <v>Normal Discount</v>
      </c>
      <c r="H7186" s="37" t="str">
        <f t="shared" si="562"/>
        <v>Medium</v>
      </c>
      <c r="I7186">
        <v>9</v>
      </c>
      <c r="J7186" t="str" cm="1">
        <f t="array" ref="J7186">_xlfn.IFS(I7186&lt;=3,"small",I7186&lt;=6,"Medium",I7186&lt;=9,"Large")</f>
        <v>Large</v>
      </c>
      <c r="K7186" s="36">
        <v>45182</v>
      </c>
      <c r="L7186" s="36">
        <v>45187</v>
      </c>
      <c r="M7186" t="s">
        <v>598</v>
      </c>
      <c r="N7186" t="s">
        <v>608</v>
      </c>
      <c r="O7186" s="37" t="str">
        <f t="shared" si="563"/>
        <v>Cash Payment</v>
      </c>
      <c r="P7186">
        <v>1356.67</v>
      </c>
      <c r="Q7186" s="37" t="str">
        <f>IF(P7186&gt;500,"High","low")</f>
        <v>High</v>
      </c>
      <c r="R7186" s="37" t="str">
        <f t="shared" si="564"/>
        <v>Excellent</v>
      </c>
      <c r="S7186" t="s">
        <v>609</v>
      </c>
    </row>
    <row r="7187" spans="1:19" x14ac:dyDescent="0.2">
      <c r="A7187" t="s">
        <v>7798</v>
      </c>
      <c r="B7187" t="s">
        <v>75</v>
      </c>
      <c r="C7187" t="s">
        <v>597</v>
      </c>
      <c r="D7187">
        <v>3615.47</v>
      </c>
      <c r="E7187" s="37" t="str">
        <f t="shared" si="560"/>
        <v xml:space="preserve"> </v>
      </c>
      <c r="F7187">
        <v>0.32</v>
      </c>
      <c r="G7187" s="37" t="str">
        <f t="shared" si="561"/>
        <v>Heavy Discount</v>
      </c>
      <c r="H7187" s="37" t="str">
        <f t="shared" si="562"/>
        <v>Medium</v>
      </c>
      <c r="I7187">
        <v>1</v>
      </c>
      <c r="J7187" t="str" cm="1">
        <f t="array" ref="J7187">_xlfn.IFS(I7187&lt;=3,"small",I7187&lt;=6,"Medium",I7187&lt;=9,"Large")</f>
        <v>small</v>
      </c>
      <c r="K7187" s="36">
        <v>45012</v>
      </c>
      <c r="L7187" s="36">
        <v>45018</v>
      </c>
      <c r="M7187" t="s">
        <v>612</v>
      </c>
      <c r="N7187" t="s">
        <v>599</v>
      </c>
      <c r="O7187" s="37" t="str">
        <f t="shared" si="563"/>
        <v>Digital Payment</v>
      </c>
      <c r="P7187">
        <v>707.58</v>
      </c>
      <c r="Q7187" s="37" t="str">
        <f>IF(P7187&gt;500,"High","low")</f>
        <v>High</v>
      </c>
      <c r="R7187" s="37" t="str">
        <f t="shared" si="564"/>
        <v>Good</v>
      </c>
      <c r="S7187" t="s">
        <v>628</v>
      </c>
    </row>
    <row r="7188" spans="1:19" x14ac:dyDescent="0.2">
      <c r="A7188" t="s">
        <v>7799</v>
      </c>
      <c r="B7188" t="s">
        <v>75</v>
      </c>
      <c r="C7188" t="s">
        <v>617</v>
      </c>
      <c r="D7188">
        <v>4963.59</v>
      </c>
      <c r="E7188" s="37" t="str">
        <f t="shared" si="560"/>
        <v xml:space="preserve"> </v>
      </c>
      <c r="F7188">
        <v>0.18</v>
      </c>
      <c r="G7188" s="37" t="str">
        <f t="shared" si="561"/>
        <v>Normal Discount</v>
      </c>
      <c r="H7188" s="37" t="str">
        <f t="shared" si="562"/>
        <v>Low</v>
      </c>
      <c r="I7188">
        <v>1</v>
      </c>
      <c r="J7188" t="str" cm="1">
        <f t="array" ref="J7188">_xlfn.IFS(I7188&lt;=3,"small",I7188&lt;=6,"Medium",I7188&lt;=9,"Large")</f>
        <v>small</v>
      </c>
      <c r="K7188" s="36">
        <v>45620</v>
      </c>
      <c r="L7188" s="36">
        <v>45627</v>
      </c>
      <c r="M7188" t="s">
        <v>603</v>
      </c>
      <c r="N7188" t="s">
        <v>608</v>
      </c>
      <c r="O7188" s="37" t="str">
        <f t="shared" si="563"/>
        <v>Cash Payment</v>
      </c>
      <c r="P7188">
        <v>612.84</v>
      </c>
      <c r="Q7188" s="37" t="str">
        <f>IF(P7188&gt;500,"High","low")</f>
        <v>High</v>
      </c>
      <c r="R7188" s="37" t="str">
        <f t="shared" si="564"/>
        <v>Good</v>
      </c>
      <c r="S7188" t="s">
        <v>615</v>
      </c>
    </row>
    <row r="7189" spans="1:19" x14ac:dyDescent="0.2">
      <c r="A7189" t="s">
        <v>7800</v>
      </c>
      <c r="B7189" t="s">
        <v>67</v>
      </c>
      <c r="C7189" t="s">
        <v>607</v>
      </c>
      <c r="D7189">
        <v>2322.0300000000002</v>
      </c>
      <c r="E7189" s="37" t="str">
        <f t="shared" si="560"/>
        <v xml:space="preserve"> </v>
      </c>
      <c r="F7189">
        <v>0.36</v>
      </c>
      <c r="G7189" s="37" t="str">
        <f t="shared" si="561"/>
        <v>Heavy Discount</v>
      </c>
      <c r="H7189" s="37" t="str">
        <f t="shared" si="562"/>
        <v>Medium</v>
      </c>
      <c r="I7189">
        <v>4</v>
      </c>
      <c r="J7189" t="str" cm="1">
        <f t="array" ref="J7189">_xlfn.IFS(I7189&lt;=3,"small",I7189&lt;=6,"Medium",I7189&lt;=9,"Large")</f>
        <v>Medium</v>
      </c>
      <c r="K7189" s="36">
        <v>45555</v>
      </c>
      <c r="L7189" s="36">
        <v>45559</v>
      </c>
      <c r="M7189" t="s">
        <v>598</v>
      </c>
      <c r="N7189" t="s">
        <v>604</v>
      </c>
      <c r="O7189" s="37" t="str">
        <f t="shared" si="563"/>
        <v>Digital Payment</v>
      </c>
      <c r="P7189">
        <v>532.42999999999995</v>
      </c>
      <c r="Q7189" s="37" t="str">
        <f>IF(P7189&gt;500,"High","low")</f>
        <v>High</v>
      </c>
      <c r="R7189" s="37" t="str">
        <f t="shared" si="564"/>
        <v>Good</v>
      </c>
      <c r="S7189" t="s">
        <v>620</v>
      </c>
    </row>
    <row r="7190" spans="1:19" x14ac:dyDescent="0.2">
      <c r="A7190" t="s">
        <v>7801</v>
      </c>
      <c r="B7190" t="s">
        <v>83</v>
      </c>
      <c r="C7190" t="s">
        <v>614</v>
      </c>
      <c r="D7190">
        <v>789.83</v>
      </c>
      <c r="E7190" s="37" t="str">
        <f t="shared" si="560"/>
        <v xml:space="preserve"> </v>
      </c>
      <c r="F7190">
        <v>0.45</v>
      </c>
      <c r="G7190" s="37" t="str">
        <f t="shared" si="561"/>
        <v>Heavy Discount</v>
      </c>
      <c r="H7190" s="37" t="str">
        <f t="shared" si="562"/>
        <v>High</v>
      </c>
      <c r="I7190">
        <v>3</v>
      </c>
      <c r="J7190" t="str" cm="1">
        <f t="array" ref="J7190">_xlfn.IFS(I7190&lt;=3,"small",I7190&lt;=6,"Medium",I7190&lt;=9,"Large")</f>
        <v>small</v>
      </c>
      <c r="K7190" s="36">
        <v>45173</v>
      </c>
      <c r="L7190" s="36">
        <v>45177</v>
      </c>
      <c r="M7190" t="s">
        <v>603</v>
      </c>
      <c r="N7190" t="s">
        <v>608</v>
      </c>
      <c r="O7190" s="37" t="str">
        <f t="shared" si="563"/>
        <v>Cash Payment</v>
      </c>
      <c r="P7190">
        <v>89.6</v>
      </c>
      <c r="Q7190" s="37" t="str">
        <f>IF(P7190&gt;500,"High","low")</f>
        <v>low</v>
      </c>
      <c r="R7190" s="37" t="str">
        <f t="shared" si="564"/>
        <v>AVERAGE</v>
      </c>
      <c r="S7190" t="s">
        <v>600</v>
      </c>
    </row>
    <row r="7191" spans="1:19" x14ac:dyDescent="0.2">
      <c r="A7191" t="s">
        <v>7802</v>
      </c>
      <c r="B7191" t="s">
        <v>83</v>
      </c>
      <c r="C7191" t="s">
        <v>602</v>
      </c>
      <c r="D7191">
        <v>3663.82</v>
      </c>
      <c r="E7191" s="37" t="str">
        <f t="shared" si="560"/>
        <v xml:space="preserve"> </v>
      </c>
      <c r="F7191">
        <v>0.25</v>
      </c>
      <c r="G7191" s="37" t="str">
        <f t="shared" si="561"/>
        <v>Normal Discount</v>
      </c>
      <c r="H7191" s="37" t="str">
        <f t="shared" si="562"/>
        <v>Medium</v>
      </c>
      <c r="I7191">
        <v>9</v>
      </c>
      <c r="J7191" t="str" cm="1">
        <f t="array" ref="J7191">_xlfn.IFS(I7191&lt;=3,"small",I7191&lt;=6,"Medium",I7191&lt;=9,"Large")</f>
        <v>Large</v>
      </c>
      <c r="K7191" s="36">
        <v>45584</v>
      </c>
      <c r="L7191" s="36">
        <v>45586</v>
      </c>
      <c r="M7191" t="s">
        <v>612</v>
      </c>
      <c r="N7191" t="s">
        <v>599</v>
      </c>
      <c r="O7191" s="37" t="str">
        <f t="shared" si="563"/>
        <v>Digital Payment</v>
      </c>
      <c r="P7191">
        <v>426.62</v>
      </c>
      <c r="Q7191" s="37" t="str">
        <f>IF(P7191&gt;500,"High","low")</f>
        <v>low</v>
      </c>
      <c r="R7191" s="37" t="str">
        <f t="shared" si="564"/>
        <v>AVERAGE</v>
      </c>
      <c r="S7191" t="s">
        <v>628</v>
      </c>
    </row>
    <row r="7192" spans="1:19" x14ac:dyDescent="0.2">
      <c r="A7192" t="s">
        <v>7803</v>
      </c>
      <c r="B7192" t="s">
        <v>90</v>
      </c>
      <c r="C7192" t="s">
        <v>614</v>
      </c>
      <c r="D7192">
        <v>3911.03</v>
      </c>
      <c r="E7192" s="37" t="str">
        <f t="shared" si="560"/>
        <v xml:space="preserve"> </v>
      </c>
      <c r="F7192">
        <v>0.19</v>
      </c>
      <c r="G7192" s="37" t="str">
        <f t="shared" si="561"/>
        <v>Normal Discount</v>
      </c>
      <c r="H7192" s="37" t="str">
        <f t="shared" si="562"/>
        <v>Low</v>
      </c>
      <c r="I7192">
        <v>7</v>
      </c>
      <c r="J7192" t="str" cm="1">
        <f t="array" ref="J7192">_xlfn.IFS(I7192&lt;=3,"small",I7192&lt;=6,"Medium",I7192&lt;=9,"Large")</f>
        <v>Large</v>
      </c>
      <c r="K7192" s="36">
        <v>45110</v>
      </c>
      <c r="L7192" s="36">
        <v>45115</v>
      </c>
      <c r="M7192" t="s">
        <v>612</v>
      </c>
      <c r="N7192" t="s">
        <v>604</v>
      </c>
      <c r="O7192" s="37" t="str">
        <f t="shared" si="563"/>
        <v>Digital Payment</v>
      </c>
      <c r="P7192">
        <v>819.25</v>
      </c>
      <c r="Q7192" s="37" t="str">
        <f>IF(P7192&gt;500,"High","low")</f>
        <v>High</v>
      </c>
      <c r="R7192" s="37" t="str">
        <f t="shared" si="564"/>
        <v>Good</v>
      </c>
      <c r="S7192" t="s">
        <v>628</v>
      </c>
    </row>
    <row r="7193" spans="1:19" x14ac:dyDescent="0.2">
      <c r="A7193" t="s">
        <v>7804</v>
      </c>
      <c r="B7193" t="s">
        <v>83</v>
      </c>
      <c r="C7193" t="s">
        <v>617</v>
      </c>
      <c r="D7193">
        <v>4278.8900000000003</v>
      </c>
      <c r="E7193" s="37" t="str">
        <f t="shared" si="560"/>
        <v xml:space="preserve"> </v>
      </c>
      <c r="F7193">
        <v>0.26</v>
      </c>
      <c r="G7193" s="37" t="str">
        <f t="shared" si="561"/>
        <v>Normal Discount</v>
      </c>
      <c r="H7193" s="37" t="str">
        <f t="shared" si="562"/>
        <v>Medium</v>
      </c>
      <c r="I7193">
        <v>2</v>
      </c>
      <c r="J7193" t="str" cm="1">
        <f t="array" ref="J7193">_xlfn.IFS(I7193&lt;=3,"small",I7193&lt;=6,"Medium",I7193&lt;=9,"Large")</f>
        <v>small</v>
      </c>
      <c r="K7193" s="36">
        <v>45640</v>
      </c>
      <c r="L7193" s="36">
        <v>45641</v>
      </c>
      <c r="M7193" t="s">
        <v>598</v>
      </c>
      <c r="N7193" t="s">
        <v>604</v>
      </c>
      <c r="O7193" s="37" t="str">
        <f t="shared" si="563"/>
        <v>Digital Payment</v>
      </c>
      <c r="P7193">
        <v>315.41000000000003</v>
      </c>
      <c r="Q7193" s="37" t="str">
        <f>IF(P7193&gt;500,"High","low")</f>
        <v>low</v>
      </c>
      <c r="R7193" s="37" t="str">
        <f t="shared" si="564"/>
        <v>AVERAGE</v>
      </c>
      <c r="S7193" t="s">
        <v>609</v>
      </c>
    </row>
    <row r="7194" spans="1:19" x14ac:dyDescent="0.2">
      <c r="A7194" t="s">
        <v>7805</v>
      </c>
      <c r="B7194" t="s">
        <v>67</v>
      </c>
      <c r="C7194" t="s">
        <v>617</v>
      </c>
      <c r="D7194">
        <v>1577.1</v>
      </c>
      <c r="E7194" s="37" t="str">
        <f t="shared" si="560"/>
        <v xml:space="preserve"> </v>
      </c>
      <c r="F7194">
        <v>0.3</v>
      </c>
      <c r="G7194" s="37" t="str">
        <f t="shared" si="561"/>
        <v>Normal Discount</v>
      </c>
      <c r="H7194" s="37" t="str">
        <f t="shared" si="562"/>
        <v>Medium</v>
      </c>
      <c r="I7194">
        <v>4</v>
      </c>
      <c r="J7194" t="str" cm="1">
        <f t="array" ref="J7194">_xlfn.IFS(I7194&lt;=3,"small",I7194&lt;=6,"Medium",I7194&lt;=9,"Large")</f>
        <v>Medium</v>
      </c>
      <c r="K7194" s="36">
        <v>45085</v>
      </c>
      <c r="L7194" s="36">
        <v>45086</v>
      </c>
      <c r="M7194" t="s">
        <v>603</v>
      </c>
      <c r="N7194" t="s">
        <v>604</v>
      </c>
      <c r="O7194" s="37" t="str">
        <f t="shared" si="563"/>
        <v>Digital Payment</v>
      </c>
      <c r="P7194">
        <v>234.97</v>
      </c>
      <c r="Q7194" s="37" t="str">
        <f>IF(P7194&gt;500,"High","low")</f>
        <v>low</v>
      </c>
      <c r="R7194" s="37" t="str">
        <f t="shared" si="564"/>
        <v>AVERAGE</v>
      </c>
      <c r="S7194" t="s">
        <v>609</v>
      </c>
    </row>
    <row r="7195" spans="1:19" x14ac:dyDescent="0.2">
      <c r="A7195" t="s">
        <v>7806</v>
      </c>
      <c r="B7195" t="s">
        <v>67</v>
      </c>
      <c r="C7195" t="s">
        <v>614</v>
      </c>
      <c r="D7195">
        <v>2602.35</v>
      </c>
      <c r="E7195" s="37" t="str">
        <f t="shared" si="560"/>
        <v xml:space="preserve"> </v>
      </c>
      <c r="F7195">
        <v>0.42</v>
      </c>
      <c r="G7195" s="37" t="str">
        <f t="shared" si="561"/>
        <v>Heavy Discount</v>
      </c>
      <c r="H7195" s="37" t="str">
        <f t="shared" si="562"/>
        <v>High</v>
      </c>
      <c r="I7195">
        <v>5</v>
      </c>
      <c r="J7195" t="str" cm="1">
        <f t="array" ref="J7195">_xlfn.IFS(I7195&lt;=3,"small",I7195&lt;=6,"Medium",I7195&lt;=9,"Large")</f>
        <v>Medium</v>
      </c>
      <c r="K7195" s="36">
        <v>45429</v>
      </c>
      <c r="L7195" s="36">
        <v>45433</v>
      </c>
      <c r="M7195" t="s">
        <v>603</v>
      </c>
      <c r="N7195" t="s">
        <v>599</v>
      </c>
      <c r="O7195" s="37" t="str">
        <f t="shared" si="563"/>
        <v>Digital Payment</v>
      </c>
      <c r="P7195">
        <v>369.75</v>
      </c>
      <c r="Q7195" s="37" t="str">
        <f>IF(P7195&gt;500,"High","low")</f>
        <v>low</v>
      </c>
      <c r="R7195" s="37" t="str">
        <f t="shared" si="564"/>
        <v>AVERAGE</v>
      </c>
      <c r="S7195" t="s">
        <v>600</v>
      </c>
    </row>
    <row r="7196" spans="1:19" x14ac:dyDescent="0.2">
      <c r="A7196" t="s">
        <v>7807</v>
      </c>
      <c r="B7196" t="s">
        <v>90</v>
      </c>
      <c r="C7196" t="s">
        <v>607</v>
      </c>
      <c r="D7196">
        <v>4301.78</v>
      </c>
      <c r="E7196" s="37" t="str">
        <f t="shared" si="560"/>
        <v xml:space="preserve"> </v>
      </c>
      <c r="F7196">
        <v>0.2</v>
      </c>
      <c r="G7196" s="37" t="str">
        <f t="shared" si="561"/>
        <v>Normal Discount</v>
      </c>
      <c r="H7196" s="37" t="str">
        <f t="shared" si="562"/>
        <v>Medium</v>
      </c>
      <c r="I7196">
        <v>4</v>
      </c>
      <c r="J7196" t="str" cm="1">
        <f t="array" ref="J7196">_xlfn.IFS(I7196&lt;=3,"small",I7196&lt;=6,"Medium",I7196&lt;=9,"Large")</f>
        <v>Medium</v>
      </c>
      <c r="K7196" s="36">
        <v>45486</v>
      </c>
      <c r="L7196" s="36">
        <v>45490</v>
      </c>
      <c r="M7196" t="s">
        <v>598</v>
      </c>
      <c r="N7196" t="s">
        <v>608</v>
      </c>
      <c r="O7196" s="37" t="str">
        <f t="shared" si="563"/>
        <v>Cash Payment</v>
      </c>
      <c r="P7196">
        <v>271.99</v>
      </c>
      <c r="Q7196" s="37" t="str">
        <f>IF(P7196&gt;500,"High","low")</f>
        <v>low</v>
      </c>
      <c r="R7196" s="37" t="str">
        <f t="shared" si="564"/>
        <v>AVERAGE</v>
      </c>
      <c r="S7196" t="s">
        <v>605</v>
      </c>
    </row>
    <row r="7197" spans="1:19" x14ac:dyDescent="0.2">
      <c r="A7197" t="s">
        <v>7808</v>
      </c>
      <c r="B7197" t="s">
        <v>67</v>
      </c>
      <c r="C7197" t="s">
        <v>607</v>
      </c>
      <c r="D7197">
        <v>4337.21</v>
      </c>
      <c r="E7197" s="37" t="str">
        <f t="shared" si="560"/>
        <v>Excellent Order</v>
      </c>
      <c r="F7197">
        <v>0.03</v>
      </c>
      <c r="G7197" s="37" t="str">
        <f t="shared" si="561"/>
        <v>Normal Discount</v>
      </c>
      <c r="H7197" s="37" t="str">
        <f t="shared" si="562"/>
        <v>Low</v>
      </c>
      <c r="I7197">
        <v>4</v>
      </c>
      <c r="J7197" t="str" cm="1">
        <f t="array" ref="J7197">_xlfn.IFS(I7197&lt;=3,"small",I7197&lt;=6,"Medium",I7197&lt;=9,"Large")</f>
        <v>Medium</v>
      </c>
      <c r="K7197" s="36">
        <v>45562</v>
      </c>
      <c r="L7197" s="36">
        <v>45566</v>
      </c>
      <c r="M7197" t="s">
        <v>612</v>
      </c>
      <c r="N7197" t="s">
        <v>608</v>
      </c>
      <c r="O7197" s="37" t="str">
        <f t="shared" si="563"/>
        <v>Cash Payment</v>
      </c>
      <c r="P7197">
        <v>1212.28</v>
      </c>
      <c r="Q7197" s="37" t="str">
        <f>IF(P7197&gt;500,"High","low")</f>
        <v>High</v>
      </c>
      <c r="R7197" s="37" t="str">
        <f t="shared" si="564"/>
        <v>Excellent</v>
      </c>
      <c r="S7197" t="s">
        <v>628</v>
      </c>
    </row>
    <row r="7198" spans="1:19" x14ac:dyDescent="0.2">
      <c r="A7198" t="s">
        <v>7809</v>
      </c>
      <c r="B7198" t="s">
        <v>75</v>
      </c>
      <c r="C7198" t="s">
        <v>602</v>
      </c>
      <c r="D7198">
        <v>225.85</v>
      </c>
      <c r="E7198" s="37" t="str">
        <f t="shared" si="560"/>
        <v xml:space="preserve"> </v>
      </c>
      <c r="F7198">
        <v>0.32</v>
      </c>
      <c r="G7198" s="37" t="str">
        <f t="shared" si="561"/>
        <v>Heavy Discount</v>
      </c>
      <c r="H7198" s="37" t="str">
        <f t="shared" si="562"/>
        <v>Medium</v>
      </c>
      <c r="I7198">
        <v>4</v>
      </c>
      <c r="J7198" t="str" cm="1">
        <f t="array" ref="J7198">_xlfn.IFS(I7198&lt;=3,"small",I7198&lt;=6,"Medium",I7198&lt;=9,"Large")</f>
        <v>Medium</v>
      </c>
      <c r="K7198" s="36">
        <v>45600</v>
      </c>
      <c r="L7198" s="36">
        <v>45605</v>
      </c>
      <c r="M7198" t="s">
        <v>612</v>
      </c>
      <c r="N7198" t="s">
        <v>599</v>
      </c>
      <c r="O7198" s="37" t="str">
        <f t="shared" si="563"/>
        <v>Digital Payment</v>
      </c>
      <c r="P7198">
        <v>64.239999999999995</v>
      </c>
      <c r="Q7198" s="37" t="str">
        <f>IF(P7198&gt;500,"High","low")</f>
        <v>low</v>
      </c>
      <c r="R7198" s="37" t="str">
        <f t="shared" si="564"/>
        <v>AVERAGE</v>
      </c>
      <c r="S7198" t="s">
        <v>609</v>
      </c>
    </row>
    <row r="7199" spans="1:19" x14ac:dyDescent="0.2">
      <c r="A7199" t="s">
        <v>7810</v>
      </c>
      <c r="B7199" t="s">
        <v>75</v>
      </c>
      <c r="C7199" t="s">
        <v>602</v>
      </c>
      <c r="D7199">
        <v>3387.49</v>
      </c>
      <c r="E7199" s="37" t="str">
        <f t="shared" si="560"/>
        <v xml:space="preserve"> </v>
      </c>
      <c r="F7199">
        <v>0.49</v>
      </c>
      <c r="G7199" s="37" t="str">
        <f t="shared" si="561"/>
        <v>Heavy Discount</v>
      </c>
      <c r="H7199" s="37" t="str">
        <f t="shared" si="562"/>
        <v>High</v>
      </c>
      <c r="I7199">
        <v>8</v>
      </c>
      <c r="J7199" t="str" cm="1">
        <f t="array" ref="J7199">_xlfn.IFS(I7199&lt;=3,"small",I7199&lt;=6,"Medium",I7199&lt;=9,"Large")</f>
        <v>Large</v>
      </c>
      <c r="K7199" s="36">
        <v>45600</v>
      </c>
      <c r="L7199" s="36">
        <v>45607</v>
      </c>
      <c r="M7199" t="s">
        <v>598</v>
      </c>
      <c r="N7199" t="s">
        <v>608</v>
      </c>
      <c r="O7199" s="37" t="str">
        <f t="shared" si="563"/>
        <v>Cash Payment</v>
      </c>
      <c r="P7199">
        <v>505.84</v>
      </c>
      <c r="Q7199" s="37" t="str">
        <f>IF(P7199&gt;500,"High","low")</f>
        <v>High</v>
      </c>
      <c r="R7199" s="37" t="str">
        <f t="shared" si="564"/>
        <v>Good</v>
      </c>
      <c r="S7199" t="s">
        <v>620</v>
      </c>
    </row>
    <row r="7200" spans="1:19" x14ac:dyDescent="0.2">
      <c r="A7200" t="s">
        <v>7811</v>
      </c>
      <c r="B7200" t="s">
        <v>67</v>
      </c>
      <c r="C7200" t="s">
        <v>597</v>
      </c>
      <c r="D7200">
        <v>3048.27</v>
      </c>
      <c r="E7200" s="37" t="str">
        <f t="shared" si="560"/>
        <v xml:space="preserve"> </v>
      </c>
      <c r="F7200">
        <v>0.43</v>
      </c>
      <c r="G7200" s="37" t="str">
        <f t="shared" si="561"/>
        <v>Heavy Discount</v>
      </c>
      <c r="H7200" s="37" t="str">
        <f t="shared" si="562"/>
        <v>High</v>
      </c>
      <c r="I7200">
        <v>7</v>
      </c>
      <c r="J7200" t="str" cm="1">
        <f t="array" ref="J7200">_xlfn.IFS(I7200&lt;=3,"small",I7200&lt;=6,"Medium",I7200&lt;=9,"Large")</f>
        <v>Large</v>
      </c>
      <c r="K7200" s="36">
        <v>45160</v>
      </c>
      <c r="L7200" s="36">
        <v>45165</v>
      </c>
      <c r="M7200" t="s">
        <v>612</v>
      </c>
      <c r="N7200" t="s">
        <v>599</v>
      </c>
      <c r="O7200" s="37" t="str">
        <f t="shared" si="563"/>
        <v>Digital Payment</v>
      </c>
      <c r="P7200">
        <v>433.95</v>
      </c>
      <c r="Q7200" s="37" t="str">
        <f>IF(P7200&gt;500,"High","low")</f>
        <v>low</v>
      </c>
      <c r="R7200" s="37" t="str">
        <f t="shared" si="564"/>
        <v>AVERAGE</v>
      </c>
      <c r="S7200" t="s">
        <v>609</v>
      </c>
    </row>
    <row r="7201" spans="1:19" x14ac:dyDescent="0.2">
      <c r="A7201" t="s">
        <v>7812</v>
      </c>
      <c r="B7201" t="s">
        <v>90</v>
      </c>
      <c r="C7201" t="s">
        <v>597</v>
      </c>
      <c r="D7201">
        <v>508.36</v>
      </c>
      <c r="E7201" s="37" t="str">
        <f t="shared" si="560"/>
        <v xml:space="preserve"> </v>
      </c>
      <c r="F7201">
        <v>0.38</v>
      </c>
      <c r="G7201" s="37" t="str">
        <f t="shared" si="561"/>
        <v>Heavy Discount</v>
      </c>
      <c r="H7201" s="37" t="str">
        <f t="shared" si="562"/>
        <v>Medium</v>
      </c>
      <c r="I7201">
        <v>4</v>
      </c>
      <c r="J7201" t="str" cm="1">
        <f t="array" ref="J7201">_xlfn.IFS(I7201&lt;=3,"small",I7201&lt;=6,"Medium",I7201&lt;=9,"Large")</f>
        <v>Medium</v>
      </c>
      <c r="K7201" s="36">
        <v>45302</v>
      </c>
      <c r="L7201" s="36">
        <v>45305</v>
      </c>
      <c r="M7201" t="s">
        <v>598</v>
      </c>
      <c r="N7201" t="s">
        <v>608</v>
      </c>
      <c r="O7201" s="37" t="str">
        <f t="shared" si="563"/>
        <v>Cash Payment</v>
      </c>
      <c r="P7201">
        <v>40.869999999999997</v>
      </c>
      <c r="Q7201" s="37" t="str">
        <f>IF(P7201&gt;500,"High","low")</f>
        <v>low</v>
      </c>
      <c r="R7201" s="37" t="str">
        <f t="shared" si="564"/>
        <v>AVERAGE</v>
      </c>
      <c r="S7201" t="s">
        <v>609</v>
      </c>
    </row>
    <row r="7202" spans="1:19" x14ac:dyDescent="0.2">
      <c r="A7202" t="s">
        <v>7813</v>
      </c>
      <c r="B7202" t="s">
        <v>83</v>
      </c>
      <c r="C7202" t="s">
        <v>602</v>
      </c>
      <c r="D7202">
        <v>4657.67</v>
      </c>
      <c r="E7202" s="37" t="str">
        <f t="shared" si="560"/>
        <v>Excellent Order</v>
      </c>
      <c r="F7202">
        <v>0.09</v>
      </c>
      <c r="G7202" s="37" t="str">
        <f t="shared" si="561"/>
        <v>Normal Discount</v>
      </c>
      <c r="H7202" s="37" t="str">
        <f t="shared" si="562"/>
        <v>Low</v>
      </c>
      <c r="I7202">
        <v>1</v>
      </c>
      <c r="J7202" t="str" cm="1">
        <f t="array" ref="J7202">_xlfn.IFS(I7202&lt;=3,"small",I7202&lt;=6,"Medium",I7202&lt;=9,"Large")</f>
        <v>small</v>
      </c>
      <c r="K7202" s="36">
        <v>44986</v>
      </c>
      <c r="L7202" s="36">
        <v>44993</v>
      </c>
      <c r="M7202" t="s">
        <v>603</v>
      </c>
      <c r="N7202" t="s">
        <v>604</v>
      </c>
      <c r="O7202" s="37" t="str">
        <f t="shared" si="563"/>
        <v>Digital Payment</v>
      </c>
      <c r="P7202">
        <v>887.91</v>
      </c>
      <c r="Q7202" s="37" t="str">
        <f>IF(P7202&gt;500,"High","low")</f>
        <v>High</v>
      </c>
      <c r="R7202" s="37" t="str">
        <f t="shared" si="564"/>
        <v>Good</v>
      </c>
      <c r="S7202" t="s">
        <v>609</v>
      </c>
    </row>
    <row r="7203" spans="1:19" x14ac:dyDescent="0.2">
      <c r="A7203" t="s">
        <v>7814</v>
      </c>
      <c r="B7203" t="s">
        <v>90</v>
      </c>
      <c r="C7203" t="s">
        <v>597</v>
      </c>
      <c r="D7203">
        <v>2282.3200000000002</v>
      </c>
      <c r="E7203" s="37" t="str">
        <f t="shared" si="560"/>
        <v xml:space="preserve"> </v>
      </c>
      <c r="F7203">
        <v>0.37</v>
      </c>
      <c r="G7203" s="37" t="str">
        <f t="shared" si="561"/>
        <v>Heavy Discount</v>
      </c>
      <c r="H7203" s="37" t="str">
        <f t="shared" si="562"/>
        <v>Medium</v>
      </c>
      <c r="I7203">
        <v>6</v>
      </c>
      <c r="J7203" t="str" cm="1">
        <f t="array" ref="J7203">_xlfn.IFS(I7203&lt;=3,"small",I7203&lt;=6,"Medium",I7203&lt;=9,"Large")</f>
        <v>Medium</v>
      </c>
      <c r="K7203" s="36">
        <v>45514</v>
      </c>
      <c r="L7203" s="36">
        <v>45515</v>
      </c>
      <c r="M7203" t="s">
        <v>612</v>
      </c>
      <c r="N7203" t="s">
        <v>604</v>
      </c>
      <c r="O7203" s="37" t="str">
        <f t="shared" si="563"/>
        <v>Digital Payment</v>
      </c>
      <c r="P7203">
        <v>312.47000000000003</v>
      </c>
      <c r="Q7203" s="37" t="str">
        <f>IF(P7203&gt;500,"High","low")</f>
        <v>low</v>
      </c>
      <c r="R7203" s="37" t="str">
        <f t="shared" si="564"/>
        <v>AVERAGE</v>
      </c>
      <c r="S7203" t="s">
        <v>615</v>
      </c>
    </row>
    <row r="7204" spans="1:19" x14ac:dyDescent="0.2">
      <c r="A7204" t="s">
        <v>7815</v>
      </c>
      <c r="B7204" t="s">
        <v>83</v>
      </c>
      <c r="C7204" t="s">
        <v>614</v>
      </c>
      <c r="D7204">
        <v>3403.86</v>
      </c>
      <c r="E7204" s="37" t="str">
        <f t="shared" si="560"/>
        <v xml:space="preserve"> </v>
      </c>
      <c r="F7204">
        <v>0.04</v>
      </c>
      <c r="G7204" s="37" t="str">
        <f t="shared" si="561"/>
        <v>Normal Discount</v>
      </c>
      <c r="H7204" s="37" t="str">
        <f t="shared" si="562"/>
        <v>Low</v>
      </c>
      <c r="I7204">
        <v>5</v>
      </c>
      <c r="J7204" t="str" cm="1">
        <f t="array" ref="J7204">_xlfn.IFS(I7204&lt;=3,"small",I7204&lt;=6,"Medium",I7204&lt;=9,"Large")</f>
        <v>Medium</v>
      </c>
      <c r="K7204" s="36">
        <v>45347</v>
      </c>
      <c r="L7204" s="36">
        <v>45351</v>
      </c>
      <c r="M7204" t="s">
        <v>598</v>
      </c>
      <c r="N7204" t="s">
        <v>599</v>
      </c>
      <c r="O7204" s="37" t="str">
        <f t="shared" si="563"/>
        <v>Digital Payment</v>
      </c>
      <c r="P7204">
        <v>887.44</v>
      </c>
      <c r="Q7204" s="37" t="str">
        <f>IF(P7204&gt;500,"High","low")</f>
        <v>High</v>
      </c>
      <c r="R7204" s="37" t="str">
        <f t="shared" si="564"/>
        <v>Good</v>
      </c>
      <c r="S7204" t="s">
        <v>628</v>
      </c>
    </row>
    <row r="7205" spans="1:19" x14ac:dyDescent="0.2">
      <c r="A7205" t="s">
        <v>7816</v>
      </c>
      <c r="B7205" t="s">
        <v>67</v>
      </c>
      <c r="C7205" t="s">
        <v>607</v>
      </c>
      <c r="D7205">
        <v>4425.71</v>
      </c>
      <c r="E7205" s="37" t="str">
        <f t="shared" si="560"/>
        <v>Excellent Order</v>
      </c>
      <c r="F7205">
        <v>0.25</v>
      </c>
      <c r="G7205" s="37" t="str">
        <f t="shared" si="561"/>
        <v>Normal Discount</v>
      </c>
      <c r="H7205" s="37" t="str">
        <f t="shared" si="562"/>
        <v>Medium</v>
      </c>
      <c r="I7205">
        <v>5</v>
      </c>
      <c r="J7205" t="str" cm="1">
        <f t="array" ref="J7205">_xlfn.IFS(I7205&lt;=3,"small",I7205&lt;=6,"Medium",I7205&lt;=9,"Large")</f>
        <v>Medium</v>
      </c>
      <c r="K7205" s="36">
        <v>45478</v>
      </c>
      <c r="L7205" s="36">
        <v>45483</v>
      </c>
      <c r="M7205" t="s">
        <v>598</v>
      </c>
      <c r="N7205" t="s">
        <v>599</v>
      </c>
      <c r="O7205" s="37" t="str">
        <f t="shared" si="563"/>
        <v>Digital Payment</v>
      </c>
      <c r="P7205">
        <v>1032.42</v>
      </c>
      <c r="Q7205" s="37" t="str">
        <f>IF(P7205&gt;500,"High","low")</f>
        <v>High</v>
      </c>
      <c r="R7205" s="37" t="str">
        <f t="shared" si="564"/>
        <v>Excellent</v>
      </c>
      <c r="S7205" t="s">
        <v>628</v>
      </c>
    </row>
    <row r="7206" spans="1:19" x14ac:dyDescent="0.2">
      <c r="A7206" t="s">
        <v>7817</v>
      </c>
      <c r="B7206" t="s">
        <v>67</v>
      </c>
      <c r="C7206" t="s">
        <v>597</v>
      </c>
      <c r="D7206">
        <v>737.59</v>
      </c>
      <c r="E7206" s="37" t="str">
        <f t="shared" si="560"/>
        <v xml:space="preserve"> </v>
      </c>
      <c r="F7206">
        <v>0.19</v>
      </c>
      <c r="G7206" s="37" t="str">
        <f t="shared" si="561"/>
        <v>Normal Discount</v>
      </c>
      <c r="H7206" s="37" t="str">
        <f t="shared" si="562"/>
        <v>Low</v>
      </c>
      <c r="I7206">
        <v>6</v>
      </c>
      <c r="J7206" t="str" cm="1">
        <f t="array" ref="J7206">_xlfn.IFS(I7206&lt;=3,"small",I7206&lt;=6,"Medium",I7206&lt;=9,"Large")</f>
        <v>Medium</v>
      </c>
      <c r="K7206" s="36">
        <v>45583</v>
      </c>
      <c r="L7206" s="36">
        <v>45590</v>
      </c>
      <c r="M7206" t="s">
        <v>612</v>
      </c>
      <c r="N7206" t="s">
        <v>599</v>
      </c>
      <c r="O7206" s="37" t="str">
        <f t="shared" si="563"/>
        <v>Digital Payment</v>
      </c>
      <c r="P7206">
        <v>59.6</v>
      </c>
      <c r="Q7206" s="37" t="str">
        <f>IF(P7206&gt;500,"High","low")</f>
        <v>low</v>
      </c>
      <c r="R7206" s="37" t="str">
        <f t="shared" si="564"/>
        <v>AVERAGE</v>
      </c>
      <c r="S7206" t="s">
        <v>620</v>
      </c>
    </row>
    <row r="7207" spans="1:19" x14ac:dyDescent="0.2">
      <c r="A7207" t="s">
        <v>7818</v>
      </c>
      <c r="B7207" t="s">
        <v>75</v>
      </c>
      <c r="C7207" t="s">
        <v>597</v>
      </c>
      <c r="D7207">
        <v>4293.63</v>
      </c>
      <c r="E7207" s="37" t="str">
        <f t="shared" si="560"/>
        <v xml:space="preserve"> </v>
      </c>
      <c r="F7207">
        <v>0.45</v>
      </c>
      <c r="G7207" s="37" t="str">
        <f t="shared" si="561"/>
        <v>Heavy Discount</v>
      </c>
      <c r="H7207" s="37" t="str">
        <f t="shared" si="562"/>
        <v>High</v>
      </c>
      <c r="I7207">
        <v>8</v>
      </c>
      <c r="J7207" t="str" cm="1">
        <f t="array" ref="J7207">_xlfn.IFS(I7207&lt;=3,"small",I7207&lt;=6,"Medium",I7207&lt;=9,"Large")</f>
        <v>Large</v>
      </c>
      <c r="K7207" s="36">
        <v>45095</v>
      </c>
      <c r="L7207" s="36">
        <v>45098</v>
      </c>
      <c r="M7207" t="s">
        <v>598</v>
      </c>
      <c r="N7207" t="s">
        <v>604</v>
      </c>
      <c r="O7207" s="37" t="str">
        <f t="shared" si="563"/>
        <v>Digital Payment</v>
      </c>
      <c r="P7207">
        <v>445</v>
      </c>
      <c r="Q7207" s="37" t="str">
        <f>IF(P7207&gt;500,"High","low")</f>
        <v>low</v>
      </c>
      <c r="R7207" s="37" t="str">
        <f t="shared" si="564"/>
        <v>AVERAGE</v>
      </c>
      <c r="S7207" t="s">
        <v>605</v>
      </c>
    </row>
    <row r="7208" spans="1:19" x14ac:dyDescent="0.2">
      <c r="A7208" t="s">
        <v>7819</v>
      </c>
      <c r="B7208" t="s">
        <v>83</v>
      </c>
      <c r="C7208" t="s">
        <v>614</v>
      </c>
      <c r="D7208">
        <v>3649.1</v>
      </c>
      <c r="E7208" s="37" t="str">
        <f t="shared" si="560"/>
        <v xml:space="preserve"> </v>
      </c>
      <c r="F7208">
        <v>0.08</v>
      </c>
      <c r="G7208" s="37" t="str">
        <f t="shared" si="561"/>
        <v>Normal Discount</v>
      </c>
      <c r="H7208" s="37" t="str">
        <f t="shared" si="562"/>
        <v>Low</v>
      </c>
      <c r="I7208">
        <v>6</v>
      </c>
      <c r="J7208" t="str" cm="1">
        <f t="array" ref="J7208">_xlfn.IFS(I7208&lt;=3,"small",I7208&lt;=6,"Medium",I7208&lt;=9,"Large")</f>
        <v>Medium</v>
      </c>
      <c r="K7208" s="36">
        <v>45100</v>
      </c>
      <c r="L7208" s="36">
        <v>45104</v>
      </c>
      <c r="M7208" t="s">
        <v>598</v>
      </c>
      <c r="N7208" t="s">
        <v>608</v>
      </c>
      <c r="O7208" s="37" t="str">
        <f t="shared" si="563"/>
        <v>Cash Payment</v>
      </c>
      <c r="P7208">
        <v>290.2</v>
      </c>
      <c r="Q7208" s="37" t="str">
        <f>IF(P7208&gt;500,"High","low")</f>
        <v>low</v>
      </c>
      <c r="R7208" s="37" t="str">
        <f t="shared" si="564"/>
        <v>AVERAGE</v>
      </c>
      <c r="S7208" t="s">
        <v>620</v>
      </c>
    </row>
    <row r="7209" spans="1:19" x14ac:dyDescent="0.2">
      <c r="A7209" t="s">
        <v>7820</v>
      </c>
      <c r="B7209" t="s">
        <v>90</v>
      </c>
      <c r="C7209" t="s">
        <v>617</v>
      </c>
      <c r="D7209">
        <v>4214</v>
      </c>
      <c r="E7209" s="37" t="str">
        <f t="shared" si="560"/>
        <v xml:space="preserve"> </v>
      </c>
      <c r="F7209">
        <v>0.39</v>
      </c>
      <c r="G7209" s="37" t="str">
        <f t="shared" si="561"/>
        <v>Heavy Discount</v>
      </c>
      <c r="H7209" s="37" t="str">
        <f t="shared" si="562"/>
        <v>Medium</v>
      </c>
      <c r="I7209">
        <v>6</v>
      </c>
      <c r="J7209" t="str" cm="1">
        <f t="array" ref="J7209">_xlfn.IFS(I7209&lt;=3,"small",I7209&lt;=6,"Medium",I7209&lt;=9,"Large")</f>
        <v>Medium</v>
      </c>
      <c r="K7209" s="36">
        <v>44998</v>
      </c>
      <c r="L7209" s="36">
        <v>44999</v>
      </c>
      <c r="M7209" t="s">
        <v>598</v>
      </c>
      <c r="N7209" t="s">
        <v>599</v>
      </c>
      <c r="O7209" s="37" t="str">
        <f t="shared" si="563"/>
        <v>Digital Payment</v>
      </c>
      <c r="P7209">
        <v>353.64</v>
      </c>
      <c r="Q7209" s="37" t="str">
        <f>IF(P7209&gt;500,"High","low")</f>
        <v>low</v>
      </c>
      <c r="R7209" s="37" t="str">
        <f t="shared" si="564"/>
        <v>AVERAGE</v>
      </c>
      <c r="S7209" t="s">
        <v>620</v>
      </c>
    </row>
    <row r="7210" spans="1:19" x14ac:dyDescent="0.2">
      <c r="A7210" t="s">
        <v>7821</v>
      </c>
      <c r="B7210" t="s">
        <v>67</v>
      </c>
      <c r="C7210" t="s">
        <v>602</v>
      </c>
      <c r="D7210">
        <v>2524.69</v>
      </c>
      <c r="E7210" s="37" t="str">
        <f t="shared" si="560"/>
        <v xml:space="preserve"> </v>
      </c>
      <c r="F7210">
        <v>0.02</v>
      </c>
      <c r="G7210" s="37" t="str">
        <f t="shared" si="561"/>
        <v>Normal Discount</v>
      </c>
      <c r="H7210" s="37" t="str">
        <f t="shared" si="562"/>
        <v>Low</v>
      </c>
      <c r="I7210">
        <v>7</v>
      </c>
      <c r="J7210" t="str" cm="1">
        <f t="array" ref="J7210">_xlfn.IFS(I7210&lt;=3,"small",I7210&lt;=6,"Medium",I7210&lt;=9,"Large")</f>
        <v>Large</v>
      </c>
      <c r="K7210" s="36">
        <v>45065</v>
      </c>
      <c r="L7210" s="36">
        <v>45071</v>
      </c>
      <c r="M7210" t="s">
        <v>603</v>
      </c>
      <c r="N7210" t="s">
        <v>599</v>
      </c>
      <c r="O7210" s="37" t="str">
        <f t="shared" si="563"/>
        <v>Digital Payment</v>
      </c>
      <c r="P7210">
        <v>168.47</v>
      </c>
      <c r="Q7210" s="37" t="str">
        <f>IF(P7210&gt;500,"High","low")</f>
        <v>low</v>
      </c>
      <c r="R7210" s="37" t="str">
        <f t="shared" si="564"/>
        <v>AVERAGE</v>
      </c>
      <c r="S7210" t="s">
        <v>609</v>
      </c>
    </row>
    <row r="7211" spans="1:19" x14ac:dyDescent="0.2">
      <c r="A7211" t="s">
        <v>7822</v>
      </c>
      <c r="B7211" t="s">
        <v>90</v>
      </c>
      <c r="C7211" t="s">
        <v>614</v>
      </c>
      <c r="D7211">
        <v>264.08</v>
      </c>
      <c r="E7211" s="37" t="str">
        <f t="shared" si="560"/>
        <v xml:space="preserve"> </v>
      </c>
      <c r="F7211">
        <v>0.35</v>
      </c>
      <c r="G7211" s="37" t="str">
        <f t="shared" si="561"/>
        <v>Heavy Discount</v>
      </c>
      <c r="H7211" s="37" t="str">
        <f t="shared" si="562"/>
        <v>Medium</v>
      </c>
      <c r="I7211">
        <v>8</v>
      </c>
      <c r="J7211" t="str" cm="1">
        <f t="array" ref="J7211">_xlfn.IFS(I7211&lt;=3,"small",I7211&lt;=6,"Medium",I7211&lt;=9,"Large")</f>
        <v>Large</v>
      </c>
      <c r="K7211" s="36">
        <v>45478</v>
      </c>
      <c r="L7211" s="36">
        <v>45483</v>
      </c>
      <c r="M7211" t="s">
        <v>598</v>
      </c>
      <c r="N7211" t="s">
        <v>604</v>
      </c>
      <c r="O7211" s="37" t="str">
        <f t="shared" si="563"/>
        <v>Digital Payment</v>
      </c>
      <c r="P7211">
        <v>37.369999999999997</v>
      </c>
      <c r="Q7211" s="37" t="str">
        <f>IF(P7211&gt;500,"High","low")</f>
        <v>low</v>
      </c>
      <c r="R7211" s="37" t="str">
        <f t="shared" si="564"/>
        <v>AVERAGE</v>
      </c>
      <c r="S7211" t="s">
        <v>609</v>
      </c>
    </row>
    <row r="7212" spans="1:19" x14ac:dyDescent="0.2">
      <c r="A7212" t="s">
        <v>7823</v>
      </c>
      <c r="B7212" t="s">
        <v>75</v>
      </c>
      <c r="C7212" t="s">
        <v>617</v>
      </c>
      <c r="D7212">
        <v>3385.53</v>
      </c>
      <c r="E7212" s="37" t="str">
        <f t="shared" si="560"/>
        <v xml:space="preserve"> </v>
      </c>
      <c r="F7212">
        <v>0.15</v>
      </c>
      <c r="G7212" s="37" t="str">
        <f t="shared" si="561"/>
        <v>Normal Discount</v>
      </c>
      <c r="H7212" s="37" t="str">
        <f t="shared" si="562"/>
        <v>Low</v>
      </c>
      <c r="I7212">
        <v>4</v>
      </c>
      <c r="J7212" t="str" cm="1">
        <f t="array" ref="J7212">_xlfn.IFS(I7212&lt;=3,"small",I7212&lt;=6,"Medium",I7212&lt;=9,"Large")</f>
        <v>Medium</v>
      </c>
      <c r="K7212" s="36">
        <v>45100</v>
      </c>
      <c r="L7212" s="36">
        <v>45104</v>
      </c>
      <c r="M7212" t="s">
        <v>598</v>
      </c>
      <c r="N7212" t="s">
        <v>604</v>
      </c>
      <c r="O7212" s="37" t="str">
        <f t="shared" si="563"/>
        <v>Digital Payment</v>
      </c>
      <c r="P7212">
        <v>682.07</v>
      </c>
      <c r="Q7212" s="37" t="str">
        <f>IF(P7212&gt;500,"High","low")</f>
        <v>High</v>
      </c>
      <c r="R7212" s="37" t="str">
        <f t="shared" si="564"/>
        <v>Good</v>
      </c>
      <c r="S7212" t="s">
        <v>620</v>
      </c>
    </row>
    <row r="7213" spans="1:19" x14ac:dyDescent="0.2">
      <c r="A7213" t="s">
        <v>7824</v>
      </c>
      <c r="B7213" t="s">
        <v>83</v>
      </c>
      <c r="C7213" t="s">
        <v>614</v>
      </c>
      <c r="D7213">
        <v>1935.21</v>
      </c>
      <c r="E7213" s="37" t="str">
        <f t="shared" si="560"/>
        <v xml:space="preserve"> </v>
      </c>
      <c r="F7213">
        <v>0.49</v>
      </c>
      <c r="G7213" s="37" t="str">
        <f t="shared" si="561"/>
        <v>Heavy Discount</v>
      </c>
      <c r="H7213" s="37" t="str">
        <f t="shared" si="562"/>
        <v>High</v>
      </c>
      <c r="I7213">
        <v>7</v>
      </c>
      <c r="J7213" t="str" cm="1">
        <f t="array" ref="J7213">_xlfn.IFS(I7213&lt;=3,"small",I7213&lt;=6,"Medium",I7213&lt;=9,"Large")</f>
        <v>Large</v>
      </c>
      <c r="K7213" s="36">
        <v>44991</v>
      </c>
      <c r="L7213" s="36">
        <v>44993</v>
      </c>
      <c r="M7213" t="s">
        <v>603</v>
      </c>
      <c r="N7213" t="s">
        <v>599</v>
      </c>
      <c r="O7213" s="37" t="str">
        <f t="shared" si="563"/>
        <v>Digital Payment</v>
      </c>
      <c r="P7213">
        <v>562.71</v>
      </c>
      <c r="Q7213" s="37" t="str">
        <f>IF(P7213&gt;500,"High","low")</f>
        <v>High</v>
      </c>
      <c r="R7213" s="37" t="str">
        <f t="shared" si="564"/>
        <v>Good</v>
      </c>
      <c r="S7213" t="s">
        <v>628</v>
      </c>
    </row>
    <row r="7214" spans="1:19" x14ac:dyDescent="0.2">
      <c r="A7214" t="s">
        <v>7825</v>
      </c>
      <c r="B7214" t="s">
        <v>83</v>
      </c>
      <c r="C7214" t="s">
        <v>607</v>
      </c>
      <c r="D7214">
        <v>2071.84</v>
      </c>
      <c r="E7214" s="37" t="str">
        <f t="shared" si="560"/>
        <v xml:space="preserve"> </v>
      </c>
      <c r="F7214">
        <v>0.34</v>
      </c>
      <c r="G7214" s="37" t="str">
        <f t="shared" si="561"/>
        <v>Heavy Discount</v>
      </c>
      <c r="H7214" s="37" t="str">
        <f t="shared" si="562"/>
        <v>Medium</v>
      </c>
      <c r="I7214">
        <v>8</v>
      </c>
      <c r="J7214" t="str" cm="1">
        <f t="array" ref="J7214">_xlfn.IFS(I7214&lt;=3,"small",I7214&lt;=6,"Medium",I7214&lt;=9,"Large")</f>
        <v>Large</v>
      </c>
      <c r="K7214" s="36">
        <v>44958</v>
      </c>
      <c r="L7214" s="36">
        <v>44965</v>
      </c>
      <c r="M7214" t="s">
        <v>612</v>
      </c>
      <c r="N7214" t="s">
        <v>604</v>
      </c>
      <c r="O7214" s="37" t="str">
        <f t="shared" si="563"/>
        <v>Digital Payment</v>
      </c>
      <c r="P7214">
        <v>323.37</v>
      </c>
      <c r="Q7214" s="37" t="str">
        <f>IF(P7214&gt;500,"High","low")</f>
        <v>low</v>
      </c>
      <c r="R7214" s="37" t="str">
        <f t="shared" si="564"/>
        <v>AVERAGE</v>
      </c>
      <c r="S7214" t="s">
        <v>600</v>
      </c>
    </row>
    <row r="7215" spans="1:19" x14ac:dyDescent="0.2">
      <c r="A7215" t="s">
        <v>7826</v>
      </c>
      <c r="B7215" t="s">
        <v>67</v>
      </c>
      <c r="C7215" t="s">
        <v>614</v>
      </c>
      <c r="D7215">
        <v>2262.1799999999998</v>
      </c>
      <c r="E7215" s="37" t="str">
        <f t="shared" si="560"/>
        <v xml:space="preserve"> </v>
      </c>
      <c r="F7215">
        <v>0.15</v>
      </c>
      <c r="G7215" s="37" t="str">
        <f t="shared" si="561"/>
        <v>Normal Discount</v>
      </c>
      <c r="H7215" s="37" t="str">
        <f t="shared" si="562"/>
        <v>Low</v>
      </c>
      <c r="I7215">
        <v>6</v>
      </c>
      <c r="J7215" t="str" cm="1">
        <f t="array" ref="J7215">_xlfn.IFS(I7215&lt;=3,"small",I7215&lt;=6,"Medium",I7215&lt;=9,"Large")</f>
        <v>Medium</v>
      </c>
      <c r="K7215" s="36">
        <v>45546</v>
      </c>
      <c r="L7215" s="36">
        <v>45548</v>
      </c>
      <c r="M7215" t="s">
        <v>598</v>
      </c>
      <c r="N7215" t="s">
        <v>604</v>
      </c>
      <c r="O7215" s="37" t="str">
        <f t="shared" si="563"/>
        <v>Digital Payment</v>
      </c>
      <c r="P7215">
        <v>651.41999999999996</v>
      </c>
      <c r="Q7215" s="37" t="str">
        <f>IF(P7215&gt;500,"High","low")</f>
        <v>High</v>
      </c>
      <c r="R7215" s="37" t="str">
        <f t="shared" si="564"/>
        <v>Good</v>
      </c>
      <c r="S7215" t="s">
        <v>605</v>
      </c>
    </row>
    <row r="7216" spans="1:19" x14ac:dyDescent="0.2">
      <c r="A7216" t="s">
        <v>7827</v>
      </c>
      <c r="B7216" t="s">
        <v>83</v>
      </c>
      <c r="C7216" t="s">
        <v>614</v>
      </c>
      <c r="D7216">
        <v>2515.2600000000002</v>
      </c>
      <c r="E7216" s="37" t="str">
        <f t="shared" si="560"/>
        <v xml:space="preserve"> </v>
      </c>
      <c r="F7216">
        <v>0.12</v>
      </c>
      <c r="G7216" s="37" t="str">
        <f t="shared" si="561"/>
        <v>Normal Discount</v>
      </c>
      <c r="H7216" s="37" t="str">
        <f t="shared" si="562"/>
        <v>Low</v>
      </c>
      <c r="I7216">
        <v>9</v>
      </c>
      <c r="J7216" t="str" cm="1">
        <f t="array" ref="J7216">_xlfn.IFS(I7216&lt;=3,"small",I7216&lt;=6,"Medium",I7216&lt;=9,"Large")</f>
        <v>Large</v>
      </c>
      <c r="K7216" s="36">
        <v>45618</v>
      </c>
      <c r="L7216" s="36">
        <v>45619</v>
      </c>
      <c r="M7216" t="s">
        <v>598</v>
      </c>
      <c r="N7216" t="s">
        <v>608</v>
      </c>
      <c r="O7216" s="37" t="str">
        <f t="shared" si="563"/>
        <v>Cash Payment</v>
      </c>
      <c r="P7216">
        <v>185.52</v>
      </c>
      <c r="Q7216" s="37" t="str">
        <f>IF(P7216&gt;500,"High","low")</f>
        <v>low</v>
      </c>
      <c r="R7216" s="37" t="str">
        <f t="shared" si="564"/>
        <v>AVERAGE</v>
      </c>
      <c r="S7216" t="s">
        <v>605</v>
      </c>
    </row>
    <row r="7217" spans="1:19" x14ac:dyDescent="0.2">
      <c r="A7217" t="s">
        <v>7828</v>
      </c>
      <c r="B7217" t="s">
        <v>67</v>
      </c>
      <c r="C7217" t="s">
        <v>607</v>
      </c>
      <c r="D7217">
        <v>3343.48</v>
      </c>
      <c r="E7217" s="37" t="str">
        <f t="shared" si="560"/>
        <v xml:space="preserve"> </v>
      </c>
      <c r="F7217">
        <v>0.32</v>
      </c>
      <c r="G7217" s="37" t="str">
        <f t="shared" si="561"/>
        <v>Heavy Discount</v>
      </c>
      <c r="H7217" s="37" t="str">
        <f t="shared" si="562"/>
        <v>Medium</v>
      </c>
      <c r="I7217">
        <v>6</v>
      </c>
      <c r="J7217" t="str" cm="1">
        <f t="array" ref="J7217">_xlfn.IFS(I7217&lt;=3,"small",I7217&lt;=6,"Medium",I7217&lt;=9,"Large")</f>
        <v>Medium</v>
      </c>
      <c r="K7217" s="36">
        <v>45290</v>
      </c>
      <c r="L7217" s="36">
        <v>45293</v>
      </c>
      <c r="M7217" t="s">
        <v>603</v>
      </c>
      <c r="N7217" t="s">
        <v>608</v>
      </c>
      <c r="O7217" s="37" t="str">
        <f t="shared" si="563"/>
        <v>Cash Payment</v>
      </c>
      <c r="P7217">
        <v>303.62</v>
      </c>
      <c r="Q7217" s="37" t="str">
        <f>IF(P7217&gt;500,"High","low")</f>
        <v>low</v>
      </c>
      <c r="R7217" s="37" t="str">
        <f t="shared" si="564"/>
        <v>AVERAGE</v>
      </c>
      <c r="S7217" t="s">
        <v>628</v>
      </c>
    </row>
    <row r="7218" spans="1:19" x14ac:dyDescent="0.2">
      <c r="A7218" t="s">
        <v>7829</v>
      </c>
      <c r="B7218" t="s">
        <v>75</v>
      </c>
      <c r="C7218" t="s">
        <v>602</v>
      </c>
      <c r="D7218">
        <v>3661.2</v>
      </c>
      <c r="E7218" s="37" t="str">
        <f t="shared" si="560"/>
        <v xml:space="preserve"> </v>
      </c>
      <c r="F7218">
        <v>0.14000000000000001</v>
      </c>
      <c r="G7218" s="37" t="str">
        <f t="shared" si="561"/>
        <v>Normal Discount</v>
      </c>
      <c r="H7218" s="37" t="str">
        <f t="shared" si="562"/>
        <v>Low</v>
      </c>
      <c r="I7218">
        <v>4</v>
      </c>
      <c r="J7218" t="str" cm="1">
        <f t="array" ref="J7218">_xlfn.IFS(I7218&lt;=3,"small",I7218&lt;=6,"Medium",I7218&lt;=9,"Large")</f>
        <v>Medium</v>
      </c>
      <c r="K7218" s="36">
        <v>45553</v>
      </c>
      <c r="L7218" s="36">
        <v>45556</v>
      </c>
      <c r="M7218" t="s">
        <v>598</v>
      </c>
      <c r="N7218" t="s">
        <v>599</v>
      </c>
      <c r="O7218" s="37" t="str">
        <f t="shared" si="563"/>
        <v>Digital Payment</v>
      </c>
      <c r="P7218">
        <v>550.98</v>
      </c>
      <c r="Q7218" s="37" t="str">
        <f>IF(P7218&gt;500,"High","low")</f>
        <v>High</v>
      </c>
      <c r="R7218" s="37" t="str">
        <f t="shared" si="564"/>
        <v>Good</v>
      </c>
      <c r="S7218" t="s">
        <v>609</v>
      </c>
    </row>
    <row r="7219" spans="1:19" x14ac:dyDescent="0.2">
      <c r="A7219" t="s">
        <v>7830</v>
      </c>
      <c r="B7219" t="s">
        <v>83</v>
      </c>
      <c r="C7219" t="s">
        <v>617</v>
      </c>
      <c r="D7219">
        <v>3906.53</v>
      </c>
      <c r="E7219" s="37" t="str">
        <f t="shared" si="560"/>
        <v xml:space="preserve"> </v>
      </c>
      <c r="F7219">
        <v>0.09</v>
      </c>
      <c r="G7219" s="37" t="str">
        <f t="shared" si="561"/>
        <v>Normal Discount</v>
      </c>
      <c r="H7219" s="37" t="str">
        <f t="shared" si="562"/>
        <v>Low</v>
      </c>
      <c r="I7219">
        <v>6</v>
      </c>
      <c r="J7219" t="str" cm="1">
        <f t="array" ref="J7219">_xlfn.IFS(I7219&lt;=3,"small",I7219&lt;=6,"Medium",I7219&lt;=9,"Large")</f>
        <v>Medium</v>
      </c>
      <c r="K7219" s="36">
        <v>45369</v>
      </c>
      <c r="L7219" s="36">
        <v>45376</v>
      </c>
      <c r="M7219" t="s">
        <v>603</v>
      </c>
      <c r="N7219" t="s">
        <v>604</v>
      </c>
      <c r="O7219" s="37" t="str">
        <f t="shared" si="563"/>
        <v>Digital Payment</v>
      </c>
      <c r="P7219">
        <v>579.78</v>
      </c>
      <c r="Q7219" s="37" t="str">
        <f>IF(P7219&gt;500,"High","low")</f>
        <v>High</v>
      </c>
      <c r="R7219" s="37" t="str">
        <f t="shared" si="564"/>
        <v>Good</v>
      </c>
      <c r="S7219" t="s">
        <v>605</v>
      </c>
    </row>
    <row r="7220" spans="1:19" x14ac:dyDescent="0.2">
      <c r="A7220" t="s">
        <v>7831</v>
      </c>
      <c r="B7220" t="s">
        <v>67</v>
      </c>
      <c r="C7220" t="s">
        <v>597</v>
      </c>
      <c r="D7220">
        <v>3390.87</v>
      </c>
      <c r="E7220" s="37" t="str">
        <f t="shared" si="560"/>
        <v xml:space="preserve"> </v>
      </c>
      <c r="F7220">
        <v>0.32</v>
      </c>
      <c r="G7220" s="37" t="str">
        <f t="shared" si="561"/>
        <v>Heavy Discount</v>
      </c>
      <c r="H7220" s="37" t="str">
        <f t="shared" si="562"/>
        <v>Medium</v>
      </c>
      <c r="I7220">
        <v>2</v>
      </c>
      <c r="J7220" t="str" cm="1">
        <f t="array" ref="J7220">_xlfn.IFS(I7220&lt;=3,"small",I7220&lt;=6,"Medium",I7220&lt;=9,"Large")</f>
        <v>small</v>
      </c>
      <c r="K7220" s="36">
        <v>45057</v>
      </c>
      <c r="L7220" s="36">
        <v>45063</v>
      </c>
      <c r="M7220" t="s">
        <v>603</v>
      </c>
      <c r="N7220" t="s">
        <v>608</v>
      </c>
      <c r="O7220" s="37" t="str">
        <f t="shared" si="563"/>
        <v>Cash Payment</v>
      </c>
      <c r="P7220">
        <v>184.19</v>
      </c>
      <c r="Q7220" s="37" t="str">
        <f>IF(P7220&gt;500,"High","low")</f>
        <v>low</v>
      </c>
      <c r="R7220" s="37" t="str">
        <f t="shared" si="564"/>
        <v>AVERAGE</v>
      </c>
      <c r="S7220" t="s">
        <v>620</v>
      </c>
    </row>
    <row r="7221" spans="1:19" x14ac:dyDescent="0.2">
      <c r="A7221" t="s">
        <v>7832</v>
      </c>
      <c r="B7221" t="s">
        <v>90</v>
      </c>
      <c r="C7221" t="s">
        <v>602</v>
      </c>
      <c r="D7221">
        <v>4037.05</v>
      </c>
      <c r="E7221" s="37" t="str">
        <f t="shared" si="560"/>
        <v xml:space="preserve"> </v>
      </c>
      <c r="F7221">
        <v>0.36</v>
      </c>
      <c r="G7221" s="37" t="str">
        <f t="shared" si="561"/>
        <v>Heavy Discount</v>
      </c>
      <c r="H7221" s="37" t="str">
        <f t="shared" si="562"/>
        <v>Medium</v>
      </c>
      <c r="I7221">
        <v>8</v>
      </c>
      <c r="J7221" t="str" cm="1">
        <f t="array" ref="J7221">_xlfn.IFS(I7221&lt;=3,"small",I7221&lt;=6,"Medium",I7221&lt;=9,"Large")</f>
        <v>Large</v>
      </c>
      <c r="K7221" s="36">
        <v>45176</v>
      </c>
      <c r="L7221" s="36">
        <v>45178</v>
      </c>
      <c r="M7221" t="s">
        <v>603</v>
      </c>
      <c r="N7221" t="s">
        <v>608</v>
      </c>
      <c r="O7221" s="37" t="str">
        <f t="shared" si="563"/>
        <v>Cash Payment</v>
      </c>
      <c r="P7221">
        <v>261.63</v>
      </c>
      <c r="Q7221" s="37" t="str">
        <f>IF(P7221&gt;500,"High","low")</f>
        <v>low</v>
      </c>
      <c r="R7221" s="37" t="str">
        <f t="shared" si="564"/>
        <v>AVERAGE</v>
      </c>
      <c r="S7221" t="s">
        <v>615</v>
      </c>
    </row>
    <row r="7222" spans="1:19" x14ac:dyDescent="0.2">
      <c r="A7222" t="s">
        <v>7833</v>
      </c>
      <c r="B7222" t="s">
        <v>67</v>
      </c>
      <c r="C7222" t="s">
        <v>614</v>
      </c>
      <c r="D7222">
        <v>698.53</v>
      </c>
      <c r="E7222" s="37" t="str">
        <f t="shared" si="560"/>
        <v xml:space="preserve"> </v>
      </c>
      <c r="F7222">
        <v>0.12</v>
      </c>
      <c r="G7222" s="37" t="str">
        <f t="shared" si="561"/>
        <v>Normal Discount</v>
      </c>
      <c r="H7222" s="37" t="str">
        <f t="shared" si="562"/>
        <v>Low</v>
      </c>
      <c r="I7222">
        <v>6</v>
      </c>
      <c r="J7222" t="str" cm="1">
        <f t="array" ref="J7222">_xlfn.IFS(I7222&lt;=3,"small",I7222&lt;=6,"Medium",I7222&lt;=9,"Large")</f>
        <v>Medium</v>
      </c>
      <c r="K7222" s="36">
        <v>45063</v>
      </c>
      <c r="L7222" s="36">
        <v>45070</v>
      </c>
      <c r="M7222" t="s">
        <v>612</v>
      </c>
      <c r="N7222" t="s">
        <v>599</v>
      </c>
      <c r="O7222" s="37" t="str">
        <f t="shared" si="563"/>
        <v>Digital Payment</v>
      </c>
      <c r="P7222">
        <v>91.81</v>
      </c>
      <c r="Q7222" s="37" t="str">
        <f>IF(P7222&gt;500,"High","low")</f>
        <v>low</v>
      </c>
      <c r="R7222" s="37" t="str">
        <f t="shared" si="564"/>
        <v>AVERAGE</v>
      </c>
      <c r="S7222" t="s">
        <v>620</v>
      </c>
    </row>
    <row r="7223" spans="1:19" x14ac:dyDescent="0.2">
      <c r="A7223" t="s">
        <v>7834</v>
      </c>
      <c r="B7223" t="s">
        <v>83</v>
      </c>
      <c r="C7223" t="s">
        <v>597</v>
      </c>
      <c r="D7223">
        <v>4200.41</v>
      </c>
      <c r="E7223" s="37" t="str">
        <f t="shared" si="560"/>
        <v xml:space="preserve"> </v>
      </c>
      <c r="F7223">
        <v>0.27</v>
      </c>
      <c r="G7223" s="37" t="str">
        <f t="shared" si="561"/>
        <v>Normal Discount</v>
      </c>
      <c r="H7223" s="37" t="str">
        <f t="shared" si="562"/>
        <v>Medium</v>
      </c>
      <c r="I7223">
        <v>4</v>
      </c>
      <c r="J7223" t="str" cm="1">
        <f t="array" ref="J7223">_xlfn.IFS(I7223&lt;=3,"small",I7223&lt;=6,"Medium",I7223&lt;=9,"Large")</f>
        <v>Medium</v>
      </c>
      <c r="K7223" s="36">
        <v>45062</v>
      </c>
      <c r="L7223" s="36">
        <v>45068</v>
      </c>
      <c r="M7223" t="s">
        <v>612</v>
      </c>
      <c r="N7223" t="s">
        <v>604</v>
      </c>
      <c r="O7223" s="37" t="str">
        <f t="shared" si="563"/>
        <v>Digital Payment</v>
      </c>
      <c r="P7223">
        <v>539.22</v>
      </c>
      <c r="Q7223" s="37" t="str">
        <f>IF(P7223&gt;500,"High","low")</f>
        <v>High</v>
      </c>
      <c r="R7223" s="37" t="str">
        <f t="shared" si="564"/>
        <v>Good</v>
      </c>
      <c r="S7223" t="s">
        <v>605</v>
      </c>
    </row>
    <row r="7224" spans="1:19" x14ac:dyDescent="0.2">
      <c r="A7224" t="s">
        <v>7835</v>
      </c>
      <c r="B7224" t="s">
        <v>75</v>
      </c>
      <c r="C7224" t="s">
        <v>607</v>
      </c>
      <c r="D7224">
        <v>1997.67</v>
      </c>
      <c r="E7224" s="37" t="str">
        <f t="shared" si="560"/>
        <v xml:space="preserve"> </v>
      </c>
      <c r="F7224">
        <v>0.33</v>
      </c>
      <c r="G7224" s="37" t="str">
        <f t="shared" si="561"/>
        <v>Heavy Discount</v>
      </c>
      <c r="H7224" s="37" t="str">
        <f t="shared" si="562"/>
        <v>Medium</v>
      </c>
      <c r="I7224">
        <v>7</v>
      </c>
      <c r="J7224" t="str" cm="1">
        <f t="array" ref="J7224">_xlfn.IFS(I7224&lt;=3,"small",I7224&lt;=6,"Medium",I7224&lt;=9,"Large")</f>
        <v>Large</v>
      </c>
      <c r="K7224" s="36">
        <v>45437</v>
      </c>
      <c r="L7224" s="36">
        <v>45438</v>
      </c>
      <c r="M7224" t="s">
        <v>603</v>
      </c>
      <c r="N7224" t="s">
        <v>604</v>
      </c>
      <c r="O7224" s="37" t="str">
        <f t="shared" si="563"/>
        <v>Digital Payment</v>
      </c>
      <c r="P7224">
        <v>242.69</v>
      </c>
      <c r="Q7224" s="37" t="str">
        <f>IF(P7224&gt;500,"High","low")</f>
        <v>low</v>
      </c>
      <c r="R7224" s="37" t="str">
        <f t="shared" si="564"/>
        <v>AVERAGE</v>
      </c>
      <c r="S7224" t="s">
        <v>609</v>
      </c>
    </row>
    <row r="7225" spans="1:19" x14ac:dyDescent="0.2">
      <c r="A7225" t="s">
        <v>7836</v>
      </c>
      <c r="B7225" t="s">
        <v>83</v>
      </c>
      <c r="C7225" t="s">
        <v>602</v>
      </c>
      <c r="D7225">
        <v>2691.01</v>
      </c>
      <c r="E7225" s="37" t="str">
        <f t="shared" si="560"/>
        <v xml:space="preserve"> </v>
      </c>
      <c r="F7225">
        <v>0.47</v>
      </c>
      <c r="G7225" s="37" t="str">
        <f t="shared" si="561"/>
        <v>Heavy Discount</v>
      </c>
      <c r="H7225" s="37" t="str">
        <f t="shared" si="562"/>
        <v>High</v>
      </c>
      <c r="I7225">
        <v>8</v>
      </c>
      <c r="J7225" t="str" cm="1">
        <f t="array" ref="J7225">_xlfn.IFS(I7225&lt;=3,"small",I7225&lt;=6,"Medium",I7225&lt;=9,"Large")</f>
        <v>Large</v>
      </c>
      <c r="K7225" s="36">
        <v>45000</v>
      </c>
      <c r="L7225" s="36">
        <v>45002</v>
      </c>
      <c r="M7225" t="s">
        <v>603</v>
      </c>
      <c r="N7225" t="s">
        <v>599</v>
      </c>
      <c r="O7225" s="37" t="str">
        <f t="shared" si="563"/>
        <v>Digital Payment</v>
      </c>
      <c r="P7225">
        <v>486.51</v>
      </c>
      <c r="Q7225" s="37" t="str">
        <f>IF(P7225&gt;500,"High","low")</f>
        <v>low</v>
      </c>
      <c r="R7225" s="37" t="str">
        <f t="shared" si="564"/>
        <v>AVERAGE</v>
      </c>
      <c r="S7225" t="s">
        <v>605</v>
      </c>
    </row>
    <row r="7226" spans="1:19" x14ac:dyDescent="0.2">
      <c r="A7226" t="s">
        <v>7837</v>
      </c>
      <c r="B7226" t="s">
        <v>83</v>
      </c>
      <c r="C7226" t="s">
        <v>617</v>
      </c>
      <c r="D7226">
        <v>2225.52</v>
      </c>
      <c r="E7226" s="37" t="str">
        <f t="shared" si="560"/>
        <v xml:space="preserve"> </v>
      </c>
      <c r="F7226">
        <v>0.4</v>
      </c>
      <c r="G7226" s="37" t="str">
        <f t="shared" si="561"/>
        <v>Heavy Discount</v>
      </c>
      <c r="H7226" s="37" t="str">
        <f t="shared" si="562"/>
        <v>Medium</v>
      </c>
      <c r="I7226">
        <v>3</v>
      </c>
      <c r="J7226" t="str" cm="1">
        <f t="array" ref="J7226">_xlfn.IFS(I7226&lt;=3,"small",I7226&lt;=6,"Medium",I7226&lt;=9,"Large")</f>
        <v>small</v>
      </c>
      <c r="K7226" s="36">
        <v>45306</v>
      </c>
      <c r="L7226" s="36">
        <v>45313</v>
      </c>
      <c r="M7226" t="s">
        <v>612</v>
      </c>
      <c r="N7226" t="s">
        <v>599</v>
      </c>
      <c r="O7226" s="37" t="str">
        <f t="shared" si="563"/>
        <v>Digital Payment</v>
      </c>
      <c r="P7226">
        <v>221.81</v>
      </c>
      <c r="Q7226" s="37" t="str">
        <f>IF(P7226&gt;500,"High","low")</f>
        <v>low</v>
      </c>
      <c r="R7226" s="37" t="str">
        <f t="shared" si="564"/>
        <v>AVERAGE</v>
      </c>
      <c r="S7226" t="s">
        <v>605</v>
      </c>
    </row>
    <row r="7227" spans="1:19" x14ac:dyDescent="0.2">
      <c r="A7227" t="s">
        <v>7838</v>
      </c>
      <c r="B7227" t="s">
        <v>67</v>
      </c>
      <c r="C7227" t="s">
        <v>602</v>
      </c>
      <c r="D7227">
        <v>2431.0100000000002</v>
      </c>
      <c r="E7227" s="37" t="str">
        <f t="shared" si="560"/>
        <v xml:space="preserve"> </v>
      </c>
      <c r="F7227">
        <v>0.21</v>
      </c>
      <c r="G7227" s="37" t="str">
        <f t="shared" si="561"/>
        <v>Normal Discount</v>
      </c>
      <c r="H7227" s="37" t="str">
        <f t="shared" si="562"/>
        <v>Medium</v>
      </c>
      <c r="I7227">
        <v>3</v>
      </c>
      <c r="J7227" t="str" cm="1">
        <f t="array" ref="J7227">_xlfn.IFS(I7227&lt;=3,"small",I7227&lt;=6,"Medium",I7227&lt;=9,"Large")</f>
        <v>small</v>
      </c>
      <c r="K7227" s="36">
        <v>45446</v>
      </c>
      <c r="L7227" s="36">
        <v>45450</v>
      </c>
      <c r="M7227" t="s">
        <v>612</v>
      </c>
      <c r="N7227" t="s">
        <v>608</v>
      </c>
      <c r="O7227" s="37" t="str">
        <f t="shared" si="563"/>
        <v>Cash Payment</v>
      </c>
      <c r="P7227">
        <v>429.17</v>
      </c>
      <c r="Q7227" s="37" t="str">
        <f>IF(P7227&gt;500,"High","low")</f>
        <v>low</v>
      </c>
      <c r="R7227" s="37" t="str">
        <f t="shared" si="564"/>
        <v>AVERAGE</v>
      </c>
      <c r="S7227" t="s">
        <v>600</v>
      </c>
    </row>
    <row r="7228" spans="1:19" x14ac:dyDescent="0.2">
      <c r="A7228" t="s">
        <v>7839</v>
      </c>
      <c r="B7228" t="s">
        <v>90</v>
      </c>
      <c r="C7228" t="s">
        <v>602</v>
      </c>
      <c r="D7228">
        <v>1498.6</v>
      </c>
      <c r="E7228" s="37" t="str">
        <f t="shared" si="560"/>
        <v xml:space="preserve"> </v>
      </c>
      <c r="F7228">
        <v>0.42</v>
      </c>
      <c r="G7228" s="37" t="str">
        <f t="shared" si="561"/>
        <v>Heavy Discount</v>
      </c>
      <c r="H7228" s="37" t="str">
        <f t="shared" si="562"/>
        <v>High</v>
      </c>
      <c r="I7228">
        <v>3</v>
      </c>
      <c r="J7228" t="str" cm="1">
        <f t="array" ref="J7228">_xlfn.IFS(I7228&lt;=3,"small",I7228&lt;=6,"Medium",I7228&lt;=9,"Large")</f>
        <v>small</v>
      </c>
      <c r="K7228" s="36">
        <v>45205</v>
      </c>
      <c r="L7228" s="36">
        <v>45210</v>
      </c>
      <c r="M7228" t="s">
        <v>598</v>
      </c>
      <c r="N7228" t="s">
        <v>608</v>
      </c>
      <c r="O7228" s="37" t="str">
        <f t="shared" si="563"/>
        <v>Cash Payment</v>
      </c>
      <c r="P7228">
        <v>93.94</v>
      </c>
      <c r="Q7228" s="37" t="str">
        <f>IF(P7228&gt;500,"High","low")</f>
        <v>low</v>
      </c>
      <c r="R7228" s="37" t="str">
        <f t="shared" si="564"/>
        <v>AVERAGE</v>
      </c>
      <c r="S7228" t="s">
        <v>620</v>
      </c>
    </row>
    <row r="7229" spans="1:19" x14ac:dyDescent="0.2">
      <c r="A7229" t="s">
        <v>7840</v>
      </c>
      <c r="B7229" t="s">
        <v>83</v>
      </c>
      <c r="C7229" t="s">
        <v>597</v>
      </c>
      <c r="D7229">
        <v>932.76</v>
      </c>
      <c r="E7229" s="37" t="str">
        <f t="shared" si="560"/>
        <v xml:space="preserve"> </v>
      </c>
      <c r="F7229">
        <v>0.22</v>
      </c>
      <c r="G7229" s="37" t="str">
        <f t="shared" si="561"/>
        <v>Normal Discount</v>
      </c>
      <c r="H7229" s="37" t="str">
        <f t="shared" si="562"/>
        <v>Medium</v>
      </c>
      <c r="I7229">
        <v>3</v>
      </c>
      <c r="J7229" t="str" cm="1">
        <f t="array" ref="J7229">_xlfn.IFS(I7229&lt;=3,"small",I7229&lt;=6,"Medium",I7229&lt;=9,"Large")</f>
        <v>small</v>
      </c>
      <c r="K7229" s="36">
        <v>45588</v>
      </c>
      <c r="L7229" s="36">
        <v>45595</v>
      </c>
      <c r="M7229" t="s">
        <v>598</v>
      </c>
      <c r="N7229" t="s">
        <v>599</v>
      </c>
      <c r="O7229" s="37" t="str">
        <f t="shared" si="563"/>
        <v>Digital Payment</v>
      </c>
      <c r="P7229">
        <v>162.74</v>
      </c>
      <c r="Q7229" s="37" t="str">
        <f>IF(P7229&gt;500,"High","low")</f>
        <v>low</v>
      </c>
      <c r="R7229" s="37" t="str">
        <f t="shared" si="564"/>
        <v>AVERAGE</v>
      </c>
      <c r="S7229" t="s">
        <v>628</v>
      </c>
    </row>
    <row r="7230" spans="1:19" x14ac:dyDescent="0.2">
      <c r="A7230" t="s">
        <v>7841</v>
      </c>
      <c r="B7230" t="s">
        <v>90</v>
      </c>
      <c r="C7230" t="s">
        <v>607</v>
      </c>
      <c r="D7230">
        <v>613.98</v>
      </c>
      <c r="E7230" s="37" t="str">
        <f t="shared" si="560"/>
        <v xml:space="preserve"> </v>
      </c>
      <c r="F7230">
        <v>7.0000000000000007E-2</v>
      </c>
      <c r="G7230" s="37" t="str">
        <f t="shared" si="561"/>
        <v>Normal Discount</v>
      </c>
      <c r="H7230" s="37" t="str">
        <f t="shared" si="562"/>
        <v>Low</v>
      </c>
      <c r="I7230">
        <v>2</v>
      </c>
      <c r="J7230" t="str" cm="1">
        <f t="array" ref="J7230">_xlfn.IFS(I7230&lt;=3,"small",I7230&lt;=6,"Medium",I7230&lt;=9,"Large")</f>
        <v>small</v>
      </c>
      <c r="K7230" s="36">
        <v>45328</v>
      </c>
      <c r="L7230" s="36">
        <v>45331</v>
      </c>
      <c r="M7230" t="s">
        <v>603</v>
      </c>
      <c r="N7230" t="s">
        <v>599</v>
      </c>
      <c r="O7230" s="37" t="str">
        <f t="shared" si="563"/>
        <v>Digital Payment</v>
      </c>
      <c r="P7230">
        <v>145.53</v>
      </c>
      <c r="Q7230" s="37" t="str">
        <f>IF(P7230&gt;500,"High","low")</f>
        <v>low</v>
      </c>
      <c r="R7230" s="37" t="str">
        <f t="shared" si="564"/>
        <v>AVERAGE</v>
      </c>
      <c r="S7230" t="s">
        <v>605</v>
      </c>
    </row>
    <row r="7231" spans="1:19" x14ac:dyDescent="0.2">
      <c r="A7231" t="s">
        <v>7842</v>
      </c>
      <c r="B7231" t="s">
        <v>67</v>
      </c>
      <c r="C7231" t="s">
        <v>607</v>
      </c>
      <c r="D7231">
        <v>2311.85</v>
      </c>
      <c r="E7231" s="37" t="str">
        <f t="shared" si="560"/>
        <v xml:space="preserve"> </v>
      </c>
      <c r="F7231">
        <v>0.17</v>
      </c>
      <c r="G7231" s="37" t="str">
        <f t="shared" si="561"/>
        <v>Normal Discount</v>
      </c>
      <c r="H7231" s="37" t="str">
        <f t="shared" si="562"/>
        <v>Low</v>
      </c>
      <c r="I7231">
        <v>5</v>
      </c>
      <c r="J7231" t="str" cm="1">
        <f t="array" ref="J7231">_xlfn.IFS(I7231&lt;=3,"small",I7231&lt;=6,"Medium",I7231&lt;=9,"Large")</f>
        <v>Medium</v>
      </c>
      <c r="K7231" s="36">
        <v>45574</v>
      </c>
      <c r="L7231" s="36">
        <v>45579</v>
      </c>
      <c r="M7231" t="s">
        <v>612</v>
      </c>
      <c r="N7231" t="s">
        <v>599</v>
      </c>
      <c r="O7231" s="37" t="str">
        <f t="shared" si="563"/>
        <v>Digital Payment</v>
      </c>
      <c r="P7231">
        <v>648.91</v>
      </c>
      <c r="Q7231" s="37" t="str">
        <f>IF(P7231&gt;500,"High","low")</f>
        <v>High</v>
      </c>
      <c r="R7231" s="37" t="str">
        <f t="shared" si="564"/>
        <v>Good</v>
      </c>
      <c r="S7231" t="s">
        <v>609</v>
      </c>
    </row>
    <row r="7232" spans="1:19" x14ac:dyDescent="0.2">
      <c r="A7232" t="s">
        <v>7843</v>
      </c>
      <c r="B7232" t="s">
        <v>90</v>
      </c>
      <c r="C7232" t="s">
        <v>602</v>
      </c>
      <c r="D7232">
        <v>713.78</v>
      </c>
      <c r="E7232" s="37" t="str">
        <f t="shared" si="560"/>
        <v xml:space="preserve"> </v>
      </c>
      <c r="F7232">
        <v>0.4</v>
      </c>
      <c r="G7232" s="37" t="str">
        <f t="shared" si="561"/>
        <v>Heavy Discount</v>
      </c>
      <c r="H7232" s="37" t="str">
        <f t="shared" si="562"/>
        <v>Medium</v>
      </c>
      <c r="I7232">
        <v>6</v>
      </c>
      <c r="J7232" t="str" cm="1">
        <f t="array" ref="J7232">_xlfn.IFS(I7232&lt;=3,"small",I7232&lt;=6,"Medium",I7232&lt;=9,"Large")</f>
        <v>Medium</v>
      </c>
      <c r="K7232" s="36">
        <v>45571</v>
      </c>
      <c r="L7232" s="36">
        <v>45578</v>
      </c>
      <c r="M7232" t="s">
        <v>612</v>
      </c>
      <c r="N7232" t="s">
        <v>604</v>
      </c>
      <c r="O7232" s="37" t="str">
        <f t="shared" si="563"/>
        <v>Digital Payment</v>
      </c>
      <c r="P7232">
        <v>195.44</v>
      </c>
      <c r="Q7232" s="37" t="str">
        <f>IF(P7232&gt;500,"High","low")</f>
        <v>low</v>
      </c>
      <c r="R7232" s="37" t="str">
        <f t="shared" si="564"/>
        <v>AVERAGE</v>
      </c>
      <c r="S7232" t="s">
        <v>615</v>
      </c>
    </row>
    <row r="7233" spans="1:19" x14ac:dyDescent="0.2">
      <c r="A7233" t="s">
        <v>7844</v>
      </c>
      <c r="B7233" t="s">
        <v>67</v>
      </c>
      <c r="C7233" t="s">
        <v>607</v>
      </c>
      <c r="D7233">
        <v>1300.44</v>
      </c>
      <c r="E7233" s="37" t="str">
        <f t="shared" si="560"/>
        <v xml:space="preserve"> </v>
      </c>
      <c r="F7233">
        <v>0.48</v>
      </c>
      <c r="G7233" s="37" t="str">
        <f t="shared" si="561"/>
        <v>Heavy Discount</v>
      </c>
      <c r="H7233" s="37" t="str">
        <f t="shared" si="562"/>
        <v>High</v>
      </c>
      <c r="I7233">
        <v>1</v>
      </c>
      <c r="J7233" t="str" cm="1">
        <f t="array" ref="J7233">_xlfn.IFS(I7233&lt;=3,"small",I7233&lt;=6,"Medium",I7233&lt;=9,"Large")</f>
        <v>small</v>
      </c>
      <c r="K7233" s="36">
        <v>45273</v>
      </c>
      <c r="L7233" s="36">
        <v>45274</v>
      </c>
      <c r="M7233" t="s">
        <v>598</v>
      </c>
      <c r="N7233" t="s">
        <v>604</v>
      </c>
      <c r="O7233" s="37" t="str">
        <f t="shared" si="563"/>
        <v>Digital Payment</v>
      </c>
      <c r="P7233">
        <v>275.38</v>
      </c>
      <c r="Q7233" s="37" t="str">
        <f>IF(P7233&gt;500,"High","low")</f>
        <v>low</v>
      </c>
      <c r="R7233" s="37" t="str">
        <f t="shared" si="564"/>
        <v>AVERAGE</v>
      </c>
      <c r="S7233" t="s">
        <v>609</v>
      </c>
    </row>
    <row r="7234" spans="1:19" x14ac:dyDescent="0.2">
      <c r="A7234" t="s">
        <v>7845</v>
      </c>
      <c r="B7234" t="s">
        <v>75</v>
      </c>
      <c r="C7234" t="s">
        <v>597</v>
      </c>
      <c r="D7234">
        <v>754.72</v>
      </c>
      <c r="E7234" s="37" t="str">
        <f t="shared" si="560"/>
        <v xml:space="preserve"> </v>
      </c>
      <c r="F7234">
        <v>0.49</v>
      </c>
      <c r="G7234" s="37" t="str">
        <f t="shared" si="561"/>
        <v>Heavy Discount</v>
      </c>
      <c r="H7234" s="37" t="str">
        <f t="shared" si="562"/>
        <v>High</v>
      </c>
      <c r="I7234">
        <v>6</v>
      </c>
      <c r="J7234" t="str" cm="1">
        <f t="array" ref="J7234">_xlfn.IFS(I7234&lt;=3,"small",I7234&lt;=6,"Medium",I7234&lt;=9,"Large")</f>
        <v>Medium</v>
      </c>
      <c r="K7234" s="36">
        <v>45457</v>
      </c>
      <c r="L7234" s="36">
        <v>45463</v>
      </c>
      <c r="M7234" t="s">
        <v>603</v>
      </c>
      <c r="N7234" t="s">
        <v>608</v>
      </c>
      <c r="O7234" s="37" t="str">
        <f t="shared" si="563"/>
        <v>Cash Payment</v>
      </c>
      <c r="P7234">
        <v>223.09</v>
      </c>
      <c r="Q7234" s="37" t="str">
        <f>IF(P7234&gt;500,"High","low")</f>
        <v>low</v>
      </c>
      <c r="R7234" s="37" t="str">
        <f t="shared" si="564"/>
        <v>AVERAGE</v>
      </c>
      <c r="S7234" t="s">
        <v>620</v>
      </c>
    </row>
    <row r="7235" spans="1:19" x14ac:dyDescent="0.2">
      <c r="A7235" t="s">
        <v>7846</v>
      </c>
      <c r="B7235" t="s">
        <v>90</v>
      </c>
      <c r="C7235" t="s">
        <v>597</v>
      </c>
      <c r="D7235">
        <v>634.69000000000005</v>
      </c>
      <c r="E7235" s="37" t="str">
        <f t="shared" ref="E7235:E7298" si="565">IF(AND(D7235&gt;4000,P7235&gt;800),"Excellent Order"," ")</f>
        <v xml:space="preserve"> </v>
      </c>
      <c r="F7235">
        <v>0.32</v>
      </c>
      <c r="G7235" s="37" t="str">
        <f t="shared" ref="G7235:G7298" si="566">IF(F7235&gt;30%,"Heavy Discount","Normal Discount")</f>
        <v>Heavy Discount</v>
      </c>
      <c r="H7235" s="37" t="str">
        <f t="shared" ref="H7235:H7298" si="567">IF(F7235&gt;0.4,"High",IF(F7235&gt;=0.2,"Medium","Low"))</f>
        <v>Medium</v>
      </c>
      <c r="I7235">
        <v>7</v>
      </c>
      <c r="J7235" t="str" cm="1">
        <f t="array" ref="J7235">_xlfn.IFS(I7235&lt;=3,"small",I7235&lt;=6,"Medium",I7235&lt;=9,"Large")</f>
        <v>Large</v>
      </c>
      <c r="K7235" s="36">
        <v>45307</v>
      </c>
      <c r="L7235" s="36">
        <v>45308</v>
      </c>
      <c r="M7235" t="s">
        <v>612</v>
      </c>
      <c r="N7235" t="s">
        <v>608</v>
      </c>
      <c r="O7235" s="37" t="str">
        <f t="shared" ref="O7235:O7298" si="568">IF(OR(N7235="Card",N7235="UPI"),"Digital Payment","Cash Payment")</f>
        <v>Cash Payment</v>
      </c>
      <c r="P7235">
        <v>89.89</v>
      </c>
      <c r="Q7235" s="37" t="str">
        <f>IF(P7235&gt;500,"High","low")</f>
        <v>low</v>
      </c>
      <c r="R7235" s="37" t="str">
        <f t="shared" ref="R7235:R7298" si="569">IF(P7235&gt;1000,"Excellent",IF(P7235&gt;=500,"Good","AVERAGE"))</f>
        <v>AVERAGE</v>
      </c>
      <c r="S7235" t="s">
        <v>605</v>
      </c>
    </row>
    <row r="7236" spans="1:19" x14ac:dyDescent="0.2">
      <c r="A7236" t="s">
        <v>7847</v>
      </c>
      <c r="B7236" t="s">
        <v>90</v>
      </c>
      <c r="C7236" t="s">
        <v>617</v>
      </c>
      <c r="D7236">
        <v>4424.0600000000004</v>
      </c>
      <c r="E7236" s="37" t="str">
        <f t="shared" si="565"/>
        <v>Excellent Order</v>
      </c>
      <c r="F7236">
        <v>0.24</v>
      </c>
      <c r="G7236" s="37" t="str">
        <f t="shared" si="566"/>
        <v>Normal Discount</v>
      </c>
      <c r="H7236" s="37" t="str">
        <f t="shared" si="567"/>
        <v>Medium</v>
      </c>
      <c r="I7236">
        <v>2</v>
      </c>
      <c r="J7236" t="str" cm="1">
        <f t="array" ref="J7236">_xlfn.IFS(I7236&lt;=3,"small",I7236&lt;=6,"Medium",I7236&lt;=9,"Large")</f>
        <v>small</v>
      </c>
      <c r="K7236" s="36">
        <v>44987</v>
      </c>
      <c r="L7236" s="36">
        <v>44989</v>
      </c>
      <c r="M7236" t="s">
        <v>612</v>
      </c>
      <c r="N7236" t="s">
        <v>599</v>
      </c>
      <c r="O7236" s="37" t="str">
        <f t="shared" si="568"/>
        <v>Digital Payment</v>
      </c>
      <c r="P7236">
        <v>987.83</v>
      </c>
      <c r="Q7236" s="37" t="str">
        <f>IF(P7236&gt;500,"High","low")</f>
        <v>High</v>
      </c>
      <c r="R7236" s="37" t="str">
        <f t="shared" si="569"/>
        <v>Good</v>
      </c>
      <c r="S7236" t="s">
        <v>615</v>
      </c>
    </row>
    <row r="7237" spans="1:19" x14ac:dyDescent="0.2">
      <c r="A7237" t="s">
        <v>7848</v>
      </c>
      <c r="B7237" t="s">
        <v>75</v>
      </c>
      <c r="C7237" t="s">
        <v>607</v>
      </c>
      <c r="D7237">
        <v>3402.73</v>
      </c>
      <c r="E7237" s="37" t="str">
        <f t="shared" si="565"/>
        <v xml:space="preserve"> </v>
      </c>
      <c r="F7237">
        <v>0.08</v>
      </c>
      <c r="G7237" s="37" t="str">
        <f t="shared" si="566"/>
        <v>Normal Discount</v>
      </c>
      <c r="H7237" s="37" t="str">
        <f t="shared" si="567"/>
        <v>Low</v>
      </c>
      <c r="I7237">
        <v>1</v>
      </c>
      <c r="J7237" t="str" cm="1">
        <f t="array" ref="J7237">_xlfn.IFS(I7237&lt;=3,"small",I7237&lt;=6,"Medium",I7237&lt;=9,"Large")</f>
        <v>small</v>
      </c>
      <c r="K7237" s="36">
        <v>45584</v>
      </c>
      <c r="L7237" s="36">
        <v>45585</v>
      </c>
      <c r="M7237" t="s">
        <v>612</v>
      </c>
      <c r="N7237" t="s">
        <v>599</v>
      </c>
      <c r="O7237" s="37" t="str">
        <f t="shared" si="568"/>
        <v>Digital Payment</v>
      </c>
      <c r="P7237">
        <v>1011.65</v>
      </c>
      <c r="Q7237" s="37" t="str">
        <f>IF(P7237&gt;500,"High","low")</f>
        <v>High</v>
      </c>
      <c r="R7237" s="37" t="str">
        <f t="shared" si="569"/>
        <v>Excellent</v>
      </c>
      <c r="S7237" t="s">
        <v>628</v>
      </c>
    </row>
    <row r="7238" spans="1:19" x14ac:dyDescent="0.2">
      <c r="A7238" t="s">
        <v>7849</v>
      </c>
      <c r="B7238" t="s">
        <v>90</v>
      </c>
      <c r="C7238" t="s">
        <v>617</v>
      </c>
      <c r="D7238">
        <v>4626.42</v>
      </c>
      <c r="E7238" s="37" t="str">
        <f t="shared" si="565"/>
        <v>Excellent Order</v>
      </c>
      <c r="F7238">
        <v>0.05</v>
      </c>
      <c r="G7238" s="37" t="str">
        <f t="shared" si="566"/>
        <v>Normal Discount</v>
      </c>
      <c r="H7238" s="37" t="str">
        <f t="shared" si="567"/>
        <v>Low</v>
      </c>
      <c r="I7238">
        <v>7</v>
      </c>
      <c r="J7238" t="str" cm="1">
        <f t="array" ref="J7238">_xlfn.IFS(I7238&lt;=3,"small",I7238&lt;=6,"Medium",I7238&lt;=9,"Large")</f>
        <v>Large</v>
      </c>
      <c r="K7238" s="36">
        <v>45114</v>
      </c>
      <c r="L7238" s="36">
        <v>45119</v>
      </c>
      <c r="M7238" t="s">
        <v>603</v>
      </c>
      <c r="N7238" t="s">
        <v>599</v>
      </c>
      <c r="O7238" s="37" t="str">
        <f t="shared" si="568"/>
        <v>Digital Payment</v>
      </c>
      <c r="P7238">
        <v>1034.8800000000001</v>
      </c>
      <c r="Q7238" s="37" t="str">
        <f>IF(P7238&gt;500,"High","low")</f>
        <v>High</v>
      </c>
      <c r="R7238" s="37" t="str">
        <f t="shared" si="569"/>
        <v>Excellent</v>
      </c>
      <c r="S7238" t="s">
        <v>620</v>
      </c>
    </row>
    <row r="7239" spans="1:19" x14ac:dyDescent="0.2">
      <c r="A7239" t="s">
        <v>7850</v>
      </c>
      <c r="B7239" t="s">
        <v>75</v>
      </c>
      <c r="C7239" t="s">
        <v>614</v>
      </c>
      <c r="D7239">
        <v>3255.66</v>
      </c>
      <c r="E7239" s="37" t="str">
        <f t="shared" si="565"/>
        <v xml:space="preserve"> </v>
      </c>
      <c r="F7239">
        <v>0.26</v>
      </c>
      <c r="G7239" s="37" t="str">
        <f t="shared" si="566"/>
        <v>Normal Discount</v>
      </c>
      <c r="H7239" s="37" t="str">
        <f t="shared" si="567"/>
        <v>Medium</v>
      </c>
      <c r="I7239">
        <v>6</v>
      </c>
      <c r="J7239" t="str" cm="1">
        <f t="array" ref="J7239">_xlfn.IFS(I7239&lt;=3,"small",I7239&lt;=6,"Medium",I7239&lt;=9,"Large")</f>
        <v>Medium</v>
      </c>
      <c r="K7239" s="36">
        <v>45312</v>
      </c>
      <c r="L7239" s="36">
        <v>45315</v>
      </c>
      <c r="M7239" t="s">
        <v>603</v>
      </c>
      <c r="N7239" t="s">
        <v>608</v>
      </c>
      <c r="O7239" s="37" t="str">
        <f t="shared" si="568"/>
        <v>Cash Payment</v>
      </c>
      <c r="P7239">
        <v>373.66</v>
      </c>
      <c r="Q7239" s="37" t="str">
        <f>IF(P7239&gt;500,"High","low")</f>
        <v>low</v>
      </c>
      <c r="R7239" s="37" t="str">
        <f t="shared" si="569"/>
        <v>AVERAGE</v>
      </c>
      <c r="S7239" t="s">
        <v>609</v>
      </c>
    </row>
    <row r="7240" spans="1:19" x14ac:dyDescent="0.2">
      <c r="A7240" t="s">
        <v>7851</v>
      </c>
      <c r="B7240" t="s">
        <v>83</v>
      </c>
      <c r="C7240" t="s">
        <v>597</v>
      </c>
      <c r="D7240">
        <v>4235.3599999999997</v>
      </c>
      <c r="E7240" s="37" t="str">
        <f t="shared" si="565"/>
        <v>Excellent Order</v>
      </c>
      <c r="F7240">
        <v>0.36</v>
      </c>
      <c r="G7240" s="37" t="str">
        <f t="shared" si="566"/>
        <v>Heavy Discount</v>
      </c>
      <c r="H7240" s="37" t="str">
        <f t="shared" si="567"/>
        <v>Medium</v>
      </c>
      <c r="I7240">
        <v>3</v>
      </c>
      <c r="J7240" t="str" cm="1">
        <f t="array" ref="J7240">_xlfn.IFS(I7240&lt;=3,"small",I7240&lt;=6,"Medium",I7240&lt;=9,"Large")</f>
        <v>small</v>
      </c>
      <c r="K7240" s="36">
        <v>45429</v>
      </c>
      <c r="L7240" s="36">
        <v>45431</v>
      </c>
      <c r="M7240" t="s">
        <v>612</v>
      </c>
      <c r="N7240" t="s">
        <v>608</v>
      </c>
      <c r="O7240" s="37" t="str">
        <f t="shared" si="568"/>
        <v>Cash Payment</v>
      </c>
      <c r="P7240">
        <v>1072.3</v>
      </c>
      <c r="Q7240" s="37" t="str">
        <f>IF(P7240&gt;500,"High","low")</f>
        <v>High</v>
      </c>
      <c r="R7240" s="37" t="str">
        <f t="shared" si="569"/>
        <v>Excellent</v>
      </c>
      <c r="S7240" t="s">
        <v>628</v>
      </c>
    </row>
    <row r="7241" spans="1:19" x14ac:dyDescent="0.2">
      <c r="A7241" t="s">
        <v>7852</v>
      </c>
      <c r="B7241" t="s">
        <v>67</v>
      </c>
      <c r="C7241" t="s">
        <v>602</v>
      </c>
      <c r="D7241">
        <v>2820.96</v>
      </c>
      <c r="E7241" s="37" t="str">
        <f t="shared" si="565"/>
        <v xml:space="preserve"> </v>
      </c>
      <c r="F7241">
        <v>0.16</v>
      </c>
      <c r="G7241" s="37" t="str">
        <f t="shared" si="566"/>
        <v>Normal Discount</v>
      </c>
      <c r="H7241" s="37" t="str">
        <f t="shared" si="567"/>
        <v>Low</v>
      </c>
      <c r="I7241">
        <v>2</v>
      </c>
      <c r="J7241" t="str" cm="1">
        <f t="array" ref="J7241">_xlfn.IFS(I7241&lt;=3,"small",I7241&lt;=6,"Medium",I7241&lt;=9,"Large")</f>
        <v>small</v>
      </c>
      <c r="K7241" s="36">
        <v>45104</v>
      </c>
      <c r="L7241" s="36">
        <v>45105</v>
      </c>
      <c r="M7241" t="s">
        <v>603</v>
      </c>
      <c r="N7241" t="s">
        <v>608</v>
      </c>
      <c r="O7241" s="37" t="str">
        <f t="shared" si="568"/>
        <v>Cash Payment</v>
      </c>
      <c r="P7241">
        <v>388.09</v>
      </c>
      <c r="Q7241" s="37" t="str">
        <f>IF(P7241&gt;500,"High","low")</f>
        <v>low</v>
      </c>
      <c r="R7241" s="37" t="str">
        <f t="shared" si="569"/>
        <v>AVERAGE</v>
      </c>
      <c r="S7241" t="s">
        <v>605</v>
      </c>
    </row>
    <row r="7242" spans="1:19" x14ac:dyDescent="0.2">
      <c r="A7242" t="s">
        <v>7853</v>
      </c>
      <c r="B7242" t="s">
        <v>75</v>
      </c>
      <c r="C7242" t="s">
        <v>597</v>
      </c>
      <c r="D7242">
        <v>2366.89</v>
      </c>
      <c r="E7242" s="37" t="str">
        <f t="shared" si="565"/>
        <v xml:space="preserve"> </v>
      </c>
      <c r="F7242">
        <v>0.34</v>
      </c>
      <c r="G7242" s="37" t="str">
        <f t="shared" si="566"/>
        <v>Heavy Discount</v>
      </c>
      <c r="H7242" s="37" t="str">
        <f t="shared" si="567"/>
        <v>Medium</v>
      </c>
      <c r="I7242">
        <v>2</v>
      </c>
      <c r="J7242" t="str" cm="1">
        <f t="array" ref="J7242">_xlfn.IFS(I7242&lt;=3,"small",I7242&lt;=6,"Medium",I7242&lt;=9,"Large")</f>
        <v>small</v>
      </c>
      <c r="K7242" s="36">
        <v>45253</v>
      </c>
      <c r="L7242" s="36">
        <v>45257</v>
      </c>
      <c r="M7242" t="s">
        <v>598</v>
      </c>
      <c r="N7242" t="s">
        <v>599</v>
      </c>
      <c r="O7242" s="37" t="str">
        <f t="shared" si="568"/>
        <v>Digital Payment</v>
      </c>
      <c r="P7242">
        <v>285.23</v>
      </c>
      <c r="Q7242" s="37" t="str">
        <f>IF(P7242&gt;500,"High","low")</f>
        <v>low</v>
      </c>
      <c r="R7242" s="37" t="str">
        <f t="shared" si="569"/>
        <v>AVERAGE</v>
      </c>
      <c r="S7242" t="s">
        <v>605</v>
      </c>
    </row>
    <row r="7243" spans="1:19" x14ac:dyDescent="0.2">
      <c r="A7243" t="s">
        <v>7854</v>
      </c>
      <c r="B7243" t="s">
        <v>90</v>
      </c>
      <c r="C7243" t="s">
        <v>614</v>
      </c>
      <c r="D7243">
        <v>2689.54</v>
      </c>
      <c r="E7243" s="37" t="str">
        <f t="shared" si="565"/>
        <v xml:space="preserve"> </v>
      </c>
      <c r="F7243">
        <v>0.28999999999999998</v>
      </c>
      <c r="G7243" s="37" t="str">
        <f t="shared" si="566"/>
        <v>Normal Discount</v>
      </c>
      <c r="H7243" s="37" t="str">
        <f t="shared" si="567"/>
        <v>Medium</v>
      </c>
      <c r="I7243">
        <v>2</v>
      </c>
      <c r="J7243" t="str" cm="1">
        <f t="array" ref="J7243">_xlfn.IFS(I7243&lt;=3,"small",I7243&lt;=6,"Medium",I7243&lt;=9,"Large")</f>
        <v>small</v>
      </c>
      <c r="K7243" s="36">
        <v>45103</v>
      </c>
      <c r="L7243" s="36">
        <v>45104</v>
      </c>
      <c r="M7243" t="s">
        <v>598</v>
      </c>
      <c r="N7243" t="s">
        <v>608</v>
      </c>
      <c r="O7243" s="37" t="str">
        <f t="shared" si="568"/>
        <v>Cash Payment</v>
      </c>
      <c r="P7243">
        <v>690.83</v>
      </c>
      <c r="Q7243" s="37" t="str">
        <f>IF(P7243&gt;500,"High","low")</f>
        <v>High</v>
      </c>
      <c r="R7243" s="37" t="str">
        <f t="shared" si="569"/>
        <v>Good</v>
      </c>
      <c r="S7243" t="s">
        <v>600</v>
      </c>
    </row>
    <row r="7244" spans="1:19" x14ac:dyDescent="0.2">
      <c r="A7244" t="s">
        <v>7855</v>
      </c>
      <c r="B7244" t="s">
        <v>75</v>
      </c>
      <c r="C7244" t="s">
        <v>602</v>
      </c>
      <c r="D7244">
        <v>1669.1</v>
      </c>
      <c r="E7244" s="37" t="str">
        <f t="shared" si="565"/>
        <v xml:space="preserve"> </v>
      </c>
      <c r="F7244">
        <v>0.47</v>
      </c>
      <c r="G7244" s="37" t="str">
        <f t="shared" si="566"/>
        <v>Heavy Discount</v>
      </c>
      <c r="H7244" s="37" t="str">
        <f t="shared" si="567"/>
        <v>High</v>
      </c>
      <c r="I7244">
        <v>8</v>
      </c>
      <c r="J7244" t="str" cm="1">
        <f t="array" ref="J7244">_xlfn.IFS(I7244&lt;=3,"small",I7244&lt;=6,"Medium",I7244&lt;=9,"Large")</f>
        <v>Large</v>
      </c>
      <c r="K7244" s="36">
        <v>45040</v>
      </c>
      <c r="L7244" s="36">
        <v>45047</v>
      </c>
      <c r="M7244" t="s">
        <v>598</v>
      </c>
      <c r="N7244" t="s">
        <v>608</v>
      </c>
      <c r="O7244" s="37" t="str">
        <f t="shared" si="568"/>
        <v>Cash Payment</v>
      </c>
      <c r="P7244">
        <v>250.83</v>
      </c>
      <c r="Q7244" s="37" t="str">
        <f>IF(P7244&gt;500,"High","low")</f>
        <v>low</v>
      </c>
      <c r="R7244" s="37" t="str">
        <f t="shared" si="569"/>
        <v>AVERAGE</v>
      </c>
      <c r="S7244" t="s">
        <v>600</v>
      </c>
    </row>
    <row r="7245" spans="1:19" x14ac:dyDescent="0.2">
      <c r="A7245" t="s">
        <v>7856</v>
      </c>
      <c r="B7245" t="s">
        <v>90</v>
      </c>
      <c r="C7245" t="s">
        <v>607</v>
      </c>
      <c r="D7245">
        <v>3324.06</v>
      </c>
      <c r="E7245" s="37" t="str">
        <f t="shared" si="565"/>
        <v xml:space="preserve"> </v>
      </c>
      <c r="F7245">
        <v>0.1</v>
      </c>
      <c r="G7245" s="37" t="str">
        <f t="shared" si="566"/>
        <v>Normal Discount</v>
      </c>
      <c r="H7245" s="37" t="str">
        <f t="shared" si="567"/>
        <v>Low</v>
      </c>
      <c r="I7245">
        <v>1</v>
      </c>
      <c r="J7245" t="str" cm="1">
        <f t="array" ref="J7245">_xlfn.IFS(I7245&lt;=3,"small",I7245&lt;=6,"Medium",I7245&lt;=9,"Large")</f>
        <v>small</v>
      </c>
      <c r="K7245" s="36">
        <v>45134</v>
      </c>
      <c r="L7245" s="36">
        <v>45137</v>
      </c>
      <c r="M7245" t="s">
        <v>603</v>
      </c>
      <c r="N7245" t="s">
        <v>604</v>
      </c>
      <c r="O7245" s="37" t="str">
        <f t="shared" si="568"/>
        <v>Digital Payment</v>
      </c>
      <c r="P7245">
        <v>702.67</v>
      </c>
      <c r="Q7245" s="37" t="str">
        <f>IF(P7245&gt;500,"High","low")</f>
        <v>High</v>
      </c>
      <c r="R7245" s="37" t="str">
        <f t="shared" si="569"/>
        <v>Good</v>
      </c>
      <c r="S7245" t="s">
        <v>600</v>
      </c>
    </row>
    <row r="7246" spans="1:19" x14ac:dyDescent="0.2">
      <c r="A7246" t="s">
        <v>7857</v>
      </c>
      <c r="B7246" t="s">
        <v>83</v>
      </c>
      <c r="C7246" t="s">
        <v>607</v>
      </c>
      <c r="D7246">
        <v>4496.16</v>
      </c>
      <c r="E7246" s="37" t="str">
        <f t="shared" si="565"/>
        <v>Excellent Order</v>
      </c>
      <c r="F7246">
        <v>0.3</v>
      </c>
      <c r="G7246" s="37" t="str">
        <f t="shared" si="566"/>
        <v>Normal Discount</v>
      </c>
      <c r="H7246" s="37" t="str">
        <f t="shared" si="567"/>
        <v>Medium</v>
      </c>
      <c r="I7246">
        <v>3</v>
      </c>
      <c r="J7246" t="str" cm="1">
        <f t="array" ref="J7246">_xlfn.IFS(I7246&lt;=3,"small",I7246&lt;=6,"Medium",I7246&lt;=9,"Large")</f>
        <v>small</v>
      </c>
      <c r="K7246" s="36">
        <v>45381</v>
      </c>
      <c r="L7246" s="36">
        <v>45383</v>
      </c>
      <c r="M7246" t="s">
        <v>598</v>
      </c>
      <c r="N7246" t="s">
        <v>604</v>
      </c>
      <c r="O7246" s="37" t="str">
        <f t="shared" si="568"/>
        <v>Digital Payment</v>
      </c>
      <c r="P7246">
        <v>1200.3499999999999</v>
      </c>
      <c r="Q7246" s="37" t="str">
        <f>IF(P7246&gt;500,"High","low")</f>
        <v>High</v>
      </c>
      <c r="R7246" s="37" t="str">
        <f t="shared" si="569"/>
        <v>Excellent</v>
      </c>
      <c r="S7246" t="s">
        <v>605</v>
      </c>
    </row>
    <row r="7247" spans="1:19" x14ac:dyDescent="0.2">
      <c r="A7247" t="s">
        <v>7858</v>
      </c>
      <c r="B7247" t="s">
        <v>75</v>
      </c>
      <c r="C7247" t="s">
        <v>597</v>
      </c>
      <c r="D7247">
        <v>3933.53</v>
      </c>
      <c r="E7247" s="37" t="str">
        <f t="shared" si="565"/>
        <v xml:space="preserve"> </v>
      </c>
      <c r="F7247">
        <v>0.21</v>
      </c>
      <c r="G7247" s="37" t="str">
        <f t="shared" si="566"/>
        <v>Normal Discount</v>
      </c>
      <c r="H7247" s="37" t="str">
        <f t="shared" si="567"/>
        <v>Medium</v>
      </c>
      <c r="I7247">
        <v>8</v>
      </c>
      <c r="J7247" t="str" cm="1">
        <f t="array" ref="J7247">_xlfn.IFS(I7247&lt;=3,"small",I7247&lt;=6,"Medium",I7247&lt;=9,"Large")</f>
        <v>Large</v>
      </c>
      <c r="K7247" s="36">
        <v>45456</v>
      </c>
      <c r="L7247" s="36">
        <v>45459</v>
      </c>
      <c r="M7247" t="s">
        <v>612</v>
      </c>
      <c r="N7247" t="s">
        <v>599</v>
      </c>
      <c r="O7247" s="37" t="str">
        <f t="shared" si="568"/>
        <v>Digital Payment</v>
      </c>
      <c r="P7247">
        <v>346.82</v>
      </c>
      <c r="Q7247" s="37" t="str">
        <f>IF(P7247&gt;500,"High","low")</f>
        <v>low</v>
      </c>
      <c r="R7247" s="37" t="str">
        <f t="shared" si="569"/>
        <v>AVERAGE</v>
      </c>
      <c r="S7247" t="s">
        <v>628</v>
      </c>
    </row>
    <row r="7248" spans="1:19" x14ac:dyDescent="0.2">
      <c r="A7248" t="s">
        <v>7859</v>
      </c>
      <c r="B7248" t="s">
        <v>83</v>
      </c>
      <c r="C7248" t="s">
        <v>602</v>
      </c>
      <c r="D7248">
        <v>2363.8000000000002</v>
      </c>
      <c r="E7248" s="37" t="str">
        <f t="shared" si="565"/>
        <v xml:space="preserve"> </v>
      </c>
      <c r="F7248">
        <v>0.13</v>
      </c>
      <c r="G7248" s="37" t="str">
        <f t="shared" si="566"/>
        <v>Normal Discount</v>
      </c>
      <c r="H7248" s="37" t="str">
        <f t="shared" si="567"/>
        <v>Low</v>
      </c>
      <c r="I7248">
        <v>6</v>
      </c>
      <c r="J7248" t="str" cm="1">
        <f t="array" ref="J7248">_xlfn.IFS(I7248&lt;=3,"small",I7248&lt;=6,"Medium",I7248&lt;=9,"Large")</f>
        <v>Medium</v>
      </c>
      <c r="K7248" s="36">
        <v>45528</v>
      </c>
      <c r="L7248" s="36">
        <v>45533</v>
      </c>
      <c r="M7248" t="s">
        <v>612</v>
      </c>
      <c r="N7248" t="s">
        <v>604</v>
      </c>
      <c r="O7248" s="37" t="str">
        <f t="shared" si="568"/>
        <v>Digital Payment</v>
      </c>
      <c r="P7248">
        <v>481.59</v>
      </c>
      <c r="Q7248" s="37" t="str">
        <f>IF(P7248&gt;500,"High","low")</f>
        <v>low</v>
      </c>
      <c r="R7248" s="37" t="str">
        <f t="shared" si="569"/>
        <v>AVERAGE</v>
      </c>
      <c r="S7248" t="s">
        <v>600</v>
      </c>
    </row>
    <row r="7249" spans="1:19" x14ac:dyDescent="0.2">
      <c r="A7249" t="s">
        <v>7860</v>
      </c>
      <c r="B7249" t="s">
        <v>67</v>
      </c>
      <c r="C7249" t="s">
        <v>602</v>
      </c>
      <c r="D7249">
        <v>4774.2</v>
      </c>
      <c r="E7249" s="37" t="str">
        <f t="shared" si="565"/>
        <v xml:space="preserve"> </v>
      </c>
      <c r="F7249">
        <v>0.18</v>
      </c>
      <c r="G7249" s="37" t="str">
        <f t="shared" si="566"/>
        <v>Normal Discount</v>
      </c>
      <c r="H7249" s="37" t="str">
        <f t="shared" si="567"/>
        <v>Low</v>
      </c>
      <c r="I7249">
        <v>7</v>
      </c>
      <c r="J7249" t="str" cm="1">
        <f t="array" ref="J7249">_xlfn.IFS(I7249&lt;=3,"small",I7249&lt;=6,"Medium",I7249&lt;=9,"Large")</f>
        <v>Large</v>
      </c>
      <c r="K7249" s="36">
        <v>45070</v>
      </c>
      <c r="L7249" s="36">
        <v>45075</v>
      </c>
      <c r="M7249" t="s">
        <v>603</v>
      </c>
      <c r="N7249" t="s">
        <v>608</v>
      </c>
      <c r="O7249" s="37" t="str">
        <f t="shared" si="568"/>
        <v>Cash Payment</v>
      </c>
      <c r="P7249">
        <v>453.28</v>
      </c>
      <c r="Q7249" s="37" t="str">
        <f>IF(P7249&gt;500,"High","low")</f>
        <v>low</v>
      </c>
      <c r="R7249" s="37" t="str">
        <f t="shared" si="569"/>
        <v>AVERAGE</v>
      </c>
      <c r="S7249" t="s">
        <v>605</v>
      </c>
    </row>
    <row r="7250" spans="1:19" x14ac:dyDescent="0.2">
      <c r="A7250" t="s">
        <v>7861</v>
      </c>
      <c r="B7250" t="s">
        <v>90</v>
      </c>
      <c r="C7250" t="s">
        <v>617</v>
      </c>
      <c r="D7250">
        <v>4928.57</v>
      </c>
      <c r="E7250" s="37" t="str">
        <f t="shared" si="565"/>
        <v>Excellent Order</v>
      </c>
      <c r="F7250">
        <v>0.15</v>
      </c>
      <c r="G7250" s="37" t="str">
        <f t="shared" si="566"/>
        <v>Normal Discount</v>
      </c>
      <c r="H7250" s="37" t="str">
        <f t="shared" si="567"/>
        <v>Low</v>
      </c>
      <c r="I7250">
        <v>2</v>
      </c>
      <c r="J7250" t="str" cm="1">
        <f t="array" ref="J7250">_xlfn.IFS(I7250&lt;=3,"small",I7250&lt;=6,"Medium",I7250&lt;=9,"Large")</f>
        <v>small</v>
      </c>
      <c r="K7250" s="36">
        <v>45484</v>
      </c>
      <c r="L7250" s="36">
        <v>45485</v>
      </c>
      <c r="M7250" t="s">
        <v>598</v>
      </c>
      <c r="N7250" t="s">
        <v>608</v>
      </c>
      <c r="O7250" s="37" t="str">
        <f t="shared" si="568"/>
        <v>Cash Payment</v>
      </c>
      <c r="P7250">
        <v>990.43</v>
      </c>
      <c r="Q7250" s="37" t="str">
        <f>IF(P7250&gt;500,"High","low")</f>
        <v>High</v>
      </c>
      <c r="R7250" s="37" t="str">
        <f t="shared" si="569"/>
        <v>Good</v>
      </c>
      <c r="S7250" t="s">
        <v>615</v>
      </c>
    </row>
    <row r="7251" spans="1:19" x14ac:dyDescent="0.2">
      <c r="A7251" t="s">
        <v>7862</v>
      </c>
      <c r="B7251" t="s">
        <v>90</v>
      </c>
      <c r="C7251" t="s">
        <v>614</v>
      </c>
      <c r="D7251">
        <v>2516.19</v>
      </c>
      <c r="E7251" s="37" t="str">
        <f t="shared" si="565"/>
        <v xml:space="preserve"> </v>
      </c>
      <c r="F7251">
        <v>0.26</v>
      </c>
      <c r="G7251" s="37" t="str">
        <f t="shared" si="566"/>
        <v>Normal Discount</v>
      </c>
      <c r="H7251" s="37" t="str">
        <f t="shared" si="567"/>
        <v>Medium</v>
      </c>
      <c r="I7251">
        <v>9</v>
      </c>
      <c r="J7251" t="str" cm="1">
        <f t="array" ref="J7251">_xlfn.IFS(I7251&lt;=3,"small",I7251&lt;=6,"Medium",I7251&lt;=9,"Large")</f>
        <v>Large</v>
      </c>
      <c r="K7251" s="36">
        <v>45029</v>
      </c>
      <c r="L7251" s="36">
        <v>45033</v>
      </c>
      <c r="M7251" t="s">
        <v>603</v>
      </c>
      <c r="N7251" t="s">
        <v>604</v>
      </c>
      <c r="O7251" s="37" t="str">
        <f t="shared" si="568"/>
        <v>Digital Payment</v>
      </c>
      <c r="P7251">
        <v>434.46</v>
      </c>
      <c r="Q7251" s="37" t="str">
        <f>IF(P7251&gt;500,"High","low")</f>
        <v>low</v>
      </c>
      <c r="R7251" s="37" t="str">
        <f t="shared" si="569"/>
        <v>AVERAGE</v>
      </c>
      <c r="S7251" t="s">
        <v>628</v>
      </c>
    </row>
    <row r="7252" spans="1:19" x14ac:dyDescent="0.2">
      <c r="A7252" t="s">
        <v>7863</v>
      </c>
      <c r="B7252" t="s">
        <v>83</v>
      </c>
      <c r="C7252" t="s">
        <v>607</v>
      </c>
      <c r="D7252">
        <v>4336.74</v>
      </c>
      <c r="E7252" s="37" t="str">
        <f t="shared" si="565"/>
        <v>Excellent Order</v>
      </c>
      <c r="F7252">
        <v>0.28000000000000003</v>
      </c>
      <c r="G7252" s="37" t="str">
        <f t="shared" si="566"/>
        <v>Normal Discount</v>
      </c>
      <c r="H7252" s="37" t="str">
        <f t="shared" si="567"/>
        <v>Medium</v>
      </c>
      <c r="I7252">
        <v>7</v>
      </c>
      <c r="J7252" t="str" cm="1">
        <f t="array" ref="J7252">_xlfn.IFS(I7252&lt;=3,"small",I7252&lt;=6,"Medium",I7252&lt;=9,"Large")</f>
        <v>Large</v>
      </c>
      <c r="K7252" s="36">
        <v>45532</v>
      </c>
      <c r="L7252" s="36">
        <v>45536</v>
      </c>
      <c r="M7252" t="s">
        <v>603</v>
      </c>
      <c r="N7252" t="s">
        <v>604</v>
      </c>
      <c r="O7252" s="37" t="str">
        <f t="shared" si="568"/>
        <v>Digital Payment</v>
      </c>
      <c r="P7252">
        <v>1163.51</v>
      </c>
      <c r="Q7252" s="37" t="str">
        <f>IF(P7252&gt;500,"High","low")</f>
        <v>High</v>
      </c>
      <c r="R7252" s="37" t="str">
        <f t="shared" si="569"/>
        <v>Excellent</v>
      </c>
      <c r="S7252" t="s">
        <v>615</v>
      </c>
    </row>
    <row r="7253" spans="1:19" x14ac:dyDescent="0.2">
      <c r="A7253" t="s">
        <v>7864</v>
      </c>
      <c r="B7253" t="s">
        <v>67</v>
      </c>
      <c r="C7253" t="s">
        <v>597</v>
      </c>
      <c r="D7253">
        <v>123.37</v>
      </c>
      <c r="E7253" s="37" t="str">
        <f t="shared" si="565"/>
        <v xml:space="preserve"> </v>
      </c>
      <c r="F7253">
        <v>0.43</v>
      </c>
      <c r="G7253" s="37" t="str">
        <f t="shared" si="566"/>
        <v>Heavy Discount</v>
      </c>
      <c r="H7253" s="37" t="str">
        <f t="shared" si="567"/>
        <v>High</v>
      </c>
      <c r="I7253">
        <v>3</v>
      </c>
      <c r="J7253" t="str" cm="1">
        <f t="array" ref="J7253">_xlfn.IFS(I7253&lt;=3,"small",I7253&lt;=6,"Medium",I7253&lt;=9,"Large")</f>
        <v>small</v>
      </c>
      <c r="K7253" s="36">
        <v>44990</v>
      </c>
      <c r="L7253" s="36">
        <v>44997</v>
      </c>
      <c r="M7253" t="s">
        <v>603</v>
      </c>
      <c r="N7253" t="s">
        <v>604</v>
      </c>
      <c r="O7253" s="37" t="str">
        <f t="shared" si="568"/>
        <v>Digital Payment</v>
      </c>
      <c r="P7253">
        <v>33.950000000000003</v>
      </c>
      <c r="Q7253" s="37" t="str">
        <f>IF(P7253&gt;500,"High","low")</f>
        <v>low</v>
      </c>
      <c r="R7253" s="37" t="str">
        <f t="shared" si="569"/>
        <v>AVERAGE</v>
      </c>
      <c r="S7253" t="s">
        <v>620</v>
      </c>
    </row>
    <row r="7254" spans="1:19" x14ac:dyDescent="0.2">
      <c r="A7254" t="s">
        <v>7865</v>
      </c>
      <c r="B7254" t="s">
        <v>75</v>
      </c>
      <c r="C7254" t="s">
        <v>602</v>
      </c>
      <c r="D7254">
        <v>426.61</v>
      </c>
      <c r="E7254" s="37" t="str">
        <f t="shared" si="565"/>
        <v xml:space="preserve"> </v>
      </c>
      <c r="F7254">
        <v>0.39</v>
      </c>
      <c r="G7254" s="37" t="str">
        <f t="shared" si="566"/>
        <v>Heavy Discount</v>
      </c>
      <c r="H7254" s="37" t="str">
        <f t="shared" si="567"/>
        <v>Medium</v>
      </c>
      <c r="I7254">
        <v>9</v>
      </c>
      <c r="J7254" t="str" cm="1">
        <f t="array" ref="J7254">_xlfn.IFS(I7254&lt;=3,"small",I7254&lt;=6,"Medium",I7254&lt;=9,"Large")</f>
        <v>Large</v>
      </c>
      <c r="K7254" s="36">
        <v>45580</v>
      </c>
      <c r="L7254" s="36">
        <v>45582</v>
      </c>
      <c r="M7254" t="s">
        <v>612</v>
      </c>
      <c r="N7254" t="s">
        <v>608</v>
      </c>
      <c r="O7254" s="37" t="str">
        <f t="shared" si="568"/>
        <v>Cash Payment</v>
      </c>
      <c r="P7254">
        <v>103.5</v>
      </c>
      <c r="Q7254" s="37" t="str">
        <f>IF(P7254&gt;500,"High","low")</f>
        <v>low</v>
      </c>
      <c r="R7254" s="37" t="str">
        <f t="shared" si="569"/>
        <v>AVERAGE</v>
      </c>
      <c r="S7254" t="s">
        <v>600</v>
      </c>
    </row>
    <row r="7255" spans="1:19" x14ac:dyDescent="0.2">
      <c r="A7255" t="s">
        <v>7866</v>
      </c>
      <c r="B7255" t="s">
        <v>75</v>
      </c>
      <c r="C7255" t="s">
        <v>607</v>
      </c>
      <c r="D7255">
        <v>209.71</v>
      </c>
      <c r="E7255" s="37" t="str">
        <f t="shared" si="565"/>
        <v xml:space="preserve"> </v>
      </c>
      <c r="F7255">
        <v>0.15</v>
      </c>
      <c r="G7255" s="37" t="str">
        <f t="shared" si="566"/>
        <v>Normal Discount</v>
      </c>
      <c r="H7255" s="37" t="str">
        <f t="shared" si="567"/>
        <v>Low</v>
      </c>
      <c r="I7255">
        <v>3</v>
      </c>
      <c r="J7255" t="str" cm="1">
        <f t="array" ref="J7255">_xlfn.IFS(I7255&lt;=3,"small",I7255&lt;=6,"Medium",I7255&lt;=9,"Large")</f>
        <v>small</v>
      </c>
      <c r="K7255" s="36">
        <v>45204</v>
      </c>
      <c r="L7255" s="36">
        <v>45205</v>
      </c>
      <c r="M7255" t="s">
        <v>603</v>
      </c>
      <c r="N7255" t="s">
        <v>608</v>
      </c>
      <c r="O7255" s="37" t="str">
        <f t="shared" si="568"/>
        <v>Cash Payment</v>
      </c>
      <c r="P7255">
        <v>43.44</v>
      </c>
      <c r="Q7255" s="37" t="str">
        <f>IF(P7255&gt;500,"High","low")</f>
        <v>low</v>
      </c>
      <c r="R7255" s="37" t="str">
        <f t="shared" si="569"/>
        <v>AVERAGE</v>
      </c>
      <c r="S7255" t="s">
        <v>609</v>
      </c>
    </row>
    <row r="7256" spans="1:19" x14ac:dyDescent="0.2">
      <c r="A7256" t="s">
        <v>7867</v>
      </c>
      <c r="B7256" t="s">
        <v>90</v>
      </c>
      <c r="C7256" t="s">
        <v>597</v>
      </c>
      <c r="D7256">
        <v>3888.5</v>
      </c>
      <c r="E7256" s="37" t="str">
        <f t="shared" si="565"/>
        <v xml:space="preserve"> </v>
      </c>
      <c r="F7256">
        <v>0.47</v>
      </c>
      <c r="G7256" s="37" t="str">
        <f t="shared" si="566"/>
        <v>Heavy Discount</v>
      </c>
      <c r="H7256" s="37" t="str">
        <f t="shared" si="567"/>
        <v>High</v>
      </c>
      <c r="I7256">
        <v>8</v>
      </c>
      <c r="J7256" t="str" cm="1">
        <f t="array" ref="J7256">_xlfn.IFS(I7256&lt;=3,"small",I7256&lt;=6,"Medium",I7256&lt;=9,"Large")</f>
        <v>Large</v>
      </c>
      <c r="K7256" s="36">
        <v>45004</v>
      </c>
      <c r="L7256" s="36">
        <v>45007</v>
      </c>
      <c r="M7256" t="s">
        <v>612</v>
      </c>
      <c r="N7256" t="s">
        <v>599</v>
      </c>
      <c r="O7256" s="37" t="str">
        <f t="shared" si="568"/>
        <v>Digital Payment</v>
      </c>
      <c r="P7256">
        <v>469.52</v>
      </c>
      <c r="Q7256" s="37" t="str">
        <f>IF(P7256&gt;500,"High","low")</f>
        <v>low</v>
      </c>
      <c r="R7256" s="37" t="str">
        <f t="shared" si="569"/>
        <v>AVERAGE</v>
      </c>
      <c r="S7256" t="s">
        <v>615</v>
      </c>
    </row>
    <row r="7257" spans="1:19" x14ac:dyDescent="0.2">
      <c r="A7257" t="s">
        <v>7868</v>
      </c>
      <c r="B7257" t="s">
        <v>83</v>
      </c>
      <c r="C7257" t="s">
        <v>607</v>
      </c>
      <c r="D7257">
        <v>490.92</v>
      </c>
      <c r="E7257" s="37" t="str">
        <f t="shared" si="565"/>
        <v xml:space="preserve"> </v>
      </c>
      <c r="F7257">
        <v>0.43</v>
      </c>
      <c r="G7257" s="37" t="str">
        <f t="shared" si="566"/>
        <v>Heavy Discount</v>
      </c>
      <c r="H7257" s="37" t="str">
        <f t="shared" si="567"/>
        <v>High</v>
      </c>
      <c r="I7257">
        <v>7</v>
      </c>
      <c r="J7257" t="str" cm="1">
        <f t="array" ref="J7257">_xlfn.IFS(I7257&lt;=3,"small",I7257&lt;=6,"Medium",I7257&lt;=9,"Large")</f>
        <v>Large</v>
      </c>
      <c r="K7257" s="36">
        <v>45529</v>
      </c>
      <c r="L7257" s="36">
        <v>45530</v>
      </c>
      <c r="M7257" t="s">
        <v>603</v>
      </c>
      <c r="N7257" t="s">
        <v>604</v>
      </c>
      <c r="O7257" s="37" t="str">
        <f t="shared" si="568"/>
        <v>Digital Payment</v>
      </c>
      <c r="P7257">
        <v>84.42</v>
      </c>
      <c r="Q7257" s="37" t="str">
        <f>IF(P7257&gt;500,"High","low")</f>
        <v>low</v>
      </c>
      <c r="R7257" s="37" t="str">
        <f t="shared" si="569"/>
        <v>AVERAGE</v>
      </c>
      <c r="S7257" t="s">
        <v>600</v>
      </c>
    </row>
    <row r="7258" spans="1:19" x14ac:dyDescent="0.2">
      <c r="A7258" t="s">
        <v>7869</v>
      </c>
      <c r="B7258" t="s">
        <v>83</v>
      </c>
      <c r="C7258" t="s">
        <v>597</v>
      </c>
      <c r="D7258">
        <v>183.55</v>
      </c>
      <c r="E7258" s="37" t="str">
        <f t="shared" si="565"/>
        <v xml:space="preserve"> </v>
      </c>
      <c r="F7258">
        <v>0.31</v>
      </c>
      <c r="G7258" s="37" t="str">
        <f t="shared" si="566"/>
        <v>Heavy Discount</v>
      </c>
      <c r="H7258" s="37" t="str">
        <f t="shared" si="567"/>
        <v>Medium</v>
      </c>
      <c r="I7258">
        <v>3</v>
      </c>
      <c r="J7258" t="str" cm="1">
        <f t="array" ref="J7258">_xlfn.IFS(I7258&lt;=3,"small",I7258&lt;=6,"Medium",I7258&lt;=9,"Large")</f>
        <v>small</v>
      </c>
      <c r="K7258" s="36">
        <v>44961</v>
      </c>
      <c r="L7258" s="36">
        <v>44965</v>
      </c>
      <c r="M7258" t="s">
        <v>598</v>
      </c>
      <c r="N7258" t="s">
        <v>599</v>
      </c>
      <c r="O7258" s="37" t="str">
        <f t="shared" si="568"/>
        <v>Digital Payment</v>
      </c>
      <c r="P7258">
        <v>16.27</v>
      </c>
      <c r="Q7258" s="37" t="str">
        <f>IF(P7258&gt;500,"High","low")</f>
        <v>low</v>
      </c>
      <c r="R7258" s="37" t="str">
        <f t="shared" si="569"/>
        <v>AVERAGE</v>
      </c>
      <c r="S7258" t="s">
        <v>600</v>
      </c>
    </row>
    <row r="7259" spans="1:19" x14ac:dyDescent="0.2">
      <c r="A7259" t="s">
        <v>7870</v>
      </c>
      <c r="B7259" t="s">
        <v>75</v>
      </c>
      <c r="C7259" t="s">
        <v>607</v>
      </c>
      <c r="D7259">
        <v>822.35</v>
      </c>
      <c r="E7259" s="37" t="str">
        <f t="shared" si="565"/>
        <v xml:space="preserve"> </v>
      </c>
      <c r="F7259">
        <v>0.01</v>
      </c>
      <c r="G7259" s="37" t="str">
        <f t="shared" si="566"/>
        <v>Normal Discount</v>
      </c>
      <c r="H7259" s="37" t="str">
        <f t="shared" si="567"/>
        <v>Low</v>
      </c>
      <c r="I7259">
        <v>5</v>
      </c>
      <c r="J7259" t="str" cm="1">
        <f t="array" ref="J7259">_xlfn.IFS(I7259&lt;=3,"small",I7259&lt;=6,"Medium",I7259&lt;=9,"Large")</f>
        <v>Medium</v>
      </c>
      <c r="K7259" s="36">
        <v>45542</v>
      </c>
      <c r="L7259" s="36">
        <v>45545</v>
      </c>
      <c r="M7259" t="s">
        <v>612</v>
      </c>
      <c r="N7259" t="s">
        <v>599</v>
      </c>
      <c r="O7259" s="37" t="str">
        <f t="shared" si="568"/>
        <v>Digital Payment</v>
      </c>
      <c r="P7259">
        <v>42.76</v>
      </c>
      <c r="Q7259" s="37" t="str">
        <f>IF(P7259&gt;500,"High","low")</f>
        <v>low</v>
      </c>
      <c r="R7259" s="37" t="str">
        <f t="shared" si="569"/>
        <v>AVERAGE</v>
      </c>
      <c r="S7259" t="s">
        <v>620</v>
      </c>
    </row>
    <row r="7260" spans="1:19" x14ac:dyDescent="0.2">
      <c r="A7260" t="s">
        <v>7871</v>
      </c>
      <c r="B7260" t="s">
        <v>67</v>
      </c>
      <c r="C7260" t="s">
        <v>617</v>
      </c>
      <c r="D7260">
        <v>1600.84</v>
      </c>
      <c r="E7260" s="37" t="str">
        <f t="shared" si="565"/>
        <v xml:space="preserve"> </v>
      </c>
      <c r="F7260">
        <v>0.1</v>
      </c>
      <c r="G7260" s="37" t="str">
        <f t="shared" si="566"/>
        <v>Normal Discount</v>
      </c>
      <c r="H7260" s="37" t="str">
        <f t="shared" si="567"/>
        <v>Low</v>
      </c>
      <c r="I7260">
        <v>7</v>
      </c>
      <c r="J7260" t="str" cm="1">
        <f t="array" ref="J7260">_xlfn.IFS(I7260&lt;=3,"small",I7260&lt;=6,"Medium",I7260&lt;=9,"Large")</f>
        <v>Large</v>
      </c>
      <c r="K7260" s="36">
        <v>45514</v>
      </c>
      <c r="L7260" s="36">
        <v>45520</v>
      </c>
      <c r="M7260" t="s">
        <v>603</v>
      </c>
      <c r="N7260" t="s">
        <v>608</v>
      </c>
      <c r="O7260" s="37" t="str">
        <f t="shared" si="568"/>
        <v>Cash Payment</v>
      </c>
      <c r="P7260">
        <v>306.98</v>
      </c>
      <c r="Q7260" s="37" t="str">
        <f>IF(P7260&gt;500,"High","low")</f>
        <v>low</v>
      </c>
      <c r="R7260" s="37" t="str">
        <f t="shared" si="569"/>
        <v>AVERAGE</v>
      </c>
      <c r="S7260" t="s">
        <v>615</v>
      </c>
    </row>
    <row r="7261" spans="1:19" x14ac:dyDescent="0.2">
      <c r="A7261" t="s">
        <v>7872</v>
      </c>
      <c r="B7261" t="s">
        <v>67</v>
      </c>
      <c r="C7261" t="s">
        <v>614</v>
      </c>
      <c r="D7261">
        <v>2377.0300000000002</v>
      </c>
      <c r="E7261" s="37" t="str">
        <f t="shared" si="565"/>
        <v xml:space="preserve"> </v>
      </c>
      <c r="F7261">
        <v>0.39</v>
      </c>
      <c r="G7261" s="37" t="str">
        <f t="shared" si="566"/>
        <v>Heavy Discount</v>
      </c>
      <c r="H7261" s="37" t="str">
        <f t="shared" si="567"/>
        <v>Medium</v>
      </c>
      <c r="I7261">
        <v>3</v>
      </c>
      <c r="J7261" t="str" cm="1">
        <f t="array" ref="J7261">_xlfn.IFS(I7261&lt;=3,"small",I7261&lt;=6,"Medium",I7261&lt;=9,"Large")</f>
        <v>small</v>
      </c>
      <c r="K7261" s="36">
        <v>45353</v>
      </c>
      <c r="L7261" s="36">
        <v>45356</v>
      </c>
      <c r="M7261" t="s">
        <v>598</v>
      </c>
      <c r="N7261" t="s">
        <v>604</v>
      </c>
      <c r="O7261" s="37" t="str">
        <f t="shared" si="568"/>
        <v>Digital Payment</v>
      </c>
      <c r="P7261">
        <v>274.64</v>
      </c>
      <c r="Q7261" s="37" t="str">
        <f>IF(P7261&gt;500,"High","low")</f>
        <v>low</v>
      </c>
      <c r="R7261" s="37" t="str">
        <f t="shared" si="569"/>
        <v>AVERAGE</v>
      </c>
      <c r="S7261" t="s">
        <v>605</v>
      </c>
    </row>
    <row r="7262" spans="1:19" x14ac:dyDescent="0.2">
      <c r="A7262" t="s">
        <v>7873</v>
      </c>
      <c r="B7262" t="s">
        <v>75</v>
      </c>
      <c r="C7262" t="s">
        <v>607</v>
      </c>
      <c r="D7262">
        <v>420.48</v>
      </c>
      <c r="E7262" s="37" t="str">
        <f t="shared" si="565"/>
        <v xml:space="preserve"> </v>
      </c>
      <c r="F7262">
        <v>0.23</v>
      </c>
      <c r="G7262" s="37" t="str">
        <f t="shared" si="566"/>
        <v>Normal Discount</v>
      </c>
      <c r="H7262" s="37" t="str">
        <f t="shared" si="567"/>
        <v>Medium</v>
      </c>
      <c r="I7262">
        <v>2</v>
      </c>
      <c r="J7262" t="str" cm="1">
        <f t="array" ref="J7262">_xlfn.IFS(I7262&lt;=3,"small",I7262&lt;=6,"Medium",I7262&lt;=9,"Large")</f>
        <v>small</v>
      </c>
      <c r="K7262" s="36">
        <v>45257</v>
      </c>
      <c r="L7262" s="36">
        <v>45263</v>
      </c>
      <c r="M7262" t="s">
        <v>603</v>
      </c>
      <c r="N7262" t="s">
        <v>599</v>
      </c>
      <c r="O7262" s="37" t="str">
        <f t="shared" si="568"/>
        <v>Digital Payment</v>
      </c>
      <c r="P7262">
        <v>50.4</v>
      </c>
      <c r="Q7262" s="37" t="str">
        <f>IF(P7262&gt;500,"High","low")</f>
        <v>low</v>
      </c>
      <c r="R7262" s="37" t="str">
        <f t="shared" si="569"/>
        <v>AVERAGE</v>
      </c>
      <c r="S7262" t="s">
        <v>609</v>
      </c>
    </row>
    <row r="7263" spans="1:19" x14ac:dyDescent="0.2">
      <c r="A7263" t="s">
        <v>7874</v>
      </c>
      <c r="B7263" t="s">
        <v>75</v>
      </c>
      <c r="C7263" t="s">
        <v>614</v>
      </c>
      <c r="D7263">
        <v>2545.0100000000002</v>
      </c>
      <c r="E7263" s="37" t="str">
        <f t="shared" si="565"/>
        <v xml:space="preserve"> </v>
      </c>
      <c r="F7263">
        <v>0.06</v>
      </c>
      <c r="G7263" s="37" t="str">
        <f t="shared" si="566"/>
        <v>Normal Discount</v>
      </c>
      <c r="H7263" s="37" t="str">
        <f t="shared" si="567"/>
        <v>Low</v>
      </c>
      <c r="I7263">
        <v>9</v>
      </c>
      <c r="J7263" t="str" cm="1">
        <f t="array" ref="J7263">_xlfn.IFS(I7263&lt;=3,"small",I7263&lt;=6,"Medium",I7263&lt;=9,"Large")</f>
        <v>Large</v>
      </c>
      <c r="K7263" s="36">
        <v>45057</v>
      </c>
      <c r="L7263" s="36">
        <v>45061</v>
      </c>
      <c r="M7263" t="s">
        <v>598</v>
      </c>
      <c r="N7263" t="s">
        <v>599</v>
      </c>
      <c r="O7263" s="37" t="str">
        <f t="shared" si="568"/>
        <v>Digital Payment</v>
      </c>
      <c r="P7263">
        <v>240.7</v>
      </c>
      <c r="Q7263" s="37" t="str">
        <f>IF(P7263&gt;500,"High","low")</f>
        <v>low</v>
      </c>
      <c r="R7263" s="37" t="str">
        <f t="shared" si="569"/>
        <v>AVERAGE</v>
      </c>
      <c r="S7263" t="s">
        <v>615</v>
      </c>
    </row>
    <row r="7264" spans="1:19" x14ac:dyDescent="0.2">
      <c r="A7264" t="s">
        <v>7875</v>
      </c>
      <c r="B7264" t="s">
        <v>83</v>
      </c>
      <c r="C7264" t="s">
        <v>607</v>
      </c>
      <c r="D7264">
        <v>1315.5</v>
      </c>
      <c r="E7264" s="37" t="str">
        <f t="shared" si="565"/>
        <v xml:space="preserve"> </v>
      </c>
      <c r="F7264">
        <v>0.2</v>
      </c>
      <c r="G7264" s="37" t="str">
        <f t="shared" si="566"/>
        <v>Normal Discount</v>
      </c>
      <c r="H7264" s="37" t="str">
        <f t="shared" si="567"/>
        <v>Medium</v>
      </c>
      <c r="I7264">
        <v>2</v>
      </c>
      <c r="J7264" t="str" cm="1">
        <f t="array" ref="J7264">_xlfn.IFS(I7264&lt;=3,"small",I7264&lt;=6,"Medium",I7264&lt;=9,"Large")</f>
        <v>small</v>
      </c>
      <c r="K7264" s="36">
        <v>45383</v>
      </c>
      <c r="L7264" s="36">
        <v>45389</v>
      </c>
      <c r="M7264" t="s">
        <v>612</v>
      </c>
      <c r="N7264" t="s">
        <v>604</v>
      </c>
      <c r="O7264" s="37" t="str">
        <f t="shared" si="568"/>
        <v>Digital Payment</v>
      </c>
      <c r="P7264">
        <v>91.27</v>
      </c>
      <c r="Q7264" s="37" t="str">
        <f>IF(P7264&gt;500,"High","low")</f>
        <v>low</v>
      </c>
      <c r="R7264" s="37" t="str">
        <f t="shared" si="569"/>
        <v>AVERAGE</v>
      </c>
      <c r="S7264" t="s">
        <v>605</v>
      </c>
    </row>
    <row r="7265" spans="1:19" x14ac:dyDescent="0.2">
      <c r="A7265" t="s">
        <v>7876</v>
      </c>
      <c r="B7265" t="s">
        <v>67</v>
      </c>
      <c r="C7265" t="s">
        <v>602</v>
      </c>
      <c r="D7265">
        <v>1444.42</v>
      </c>
      <c r="E7265" s="37" t="str">
        <f t="shared" si="565"/>
        <v xml:space="preserve"> </v>
      </c>
      <c r="F7265">
        <v>0.11</v>
      </c>
      <c r="G7265" s="37" t="str">
        <f t="shared" si="566"/>
        <v>Normal Discount</v>
      </c>
      <c r="H7265" s="37" t="str">
        <f t="shared" si="567"/>
        <v>Low</v>
      </c>
      <c r="I7265">
        <v>3</v>
      </c>
      <c r="J7265" t="str" cm="1">
        <f t="array" ref="J7265">_xlfn.IFS(I7265&lt;=3,"small",I7265&lt;=6,"Medium",I7265&lt;=9,"Large")</f>
        <v>small</v>
      </c>
      <c r="K7265" s="36">
        <v>45033</v>
      </c>
      <c r="L7265" s="36">
        <v>45040</v>
      </c>
      <c r="M7265" t="s">
        <v>612</v>
      </c>
      <c r="N7265" t="s">
        <v>599</v>
      </c>
      <c r="O7265" s="37" t="str">
        <f t="shared" si="568"/>
        <v>Digital Payment</v>
      </c>
      <c r="P7265">
        <v>162.05000000000001</v>
      </c>
      <c r="Q7265" s="37" t="str">
        <f>IF(P7265&gt;500,"High","low")</f>
        <v>low</v>
      </c>
      <c r="R7265" s="37" t="str">
        <f t="shared" si="569"/>
        <v>AVERAGE</v>
      </c>
      <c r="S7265" t="s">
        <v>609</v>
      </c>
    </row>
    <row r="7266" spans="1:19" x14ac:dyDescent="0.2">
      <c r="A7266" t="s">
        <v>7877</v>
      </c>
      <c r="B7266" t="s">
        <v>75</v>
      </c>
      <c r="C7266" t="s">
        <v>617</v>
      </c>
      <c r="D7266">
        <v>4127.32</v>
      </c>
      <c r="E7266" s="37" t="str">
        <f t="shared" si="565"/>
        <v xml:space="preserve"> </v>
      </c>
      <c r="F7266">
        <v>0.45</v>
      </c>
      <c r="G7266" s="37" t="str">
        <f t="shared" si="566"/>
        <v>Heavy Discount</v>
      </c>
      <c r="H7266" s="37" t="str">
        <f t="shared" si="567"/>
        <v>High</v>
      </c>
      <c r="I7266">
        <v>1</v>
      </c>
      <c r="J7266" t="str" cm="1">
        <f t="array" ref="J7266">_xlfn.IFS(I7266&lt;=3,"small",I7266&lt;=6,"Medium",I7266&lt;=9,"Large")</f>
        <v>small</v>
      </c>
      <c r="K7266" s="36">
        <v>45365</v>
      </c>
      <c r="L7266" s="36">
        <v>45367</v>
      </c>
      <c r="M7266" t="s">
        <v>603</v>
      </c>
      <c r="N7266" t="s">
        <v>608</v>
      </c>
      <c r="O7266" s="37" t="str">
        <f t="shared" si="568"/>
        <v>Cash Payment</v>
      </c>
      <c r="P7266">
        <v>448.4</v>
      </c>
      <c r="Q7266" s="37" t="str">
        <f>IF(P7266&gt;500,"High","low")</f>
        <v>low</v>
      </c>
      <c r="R7266" s="37" t="str">
        <f t="shared" si="569"/>
        <v>AVERAGE</v>
      </c>
      <c r="S7266" t="s">
        <v>605</v>
      </c>
    </row>
    <row r="7267" spans="1:19" x14ac:dyDescent="0.2">
      <c r="A7267" t="s">
        <v>7878</v>
      </c>
      <c r="B7267" t="s">
        <v>75</v>
      </c>
      <c r="C7267" t="s">
        <v>617</v>
      </c>
      <c r="D7267">
        <v>4935.93</v>
      </c>
      <c r="E7267" s="37" t="str">
        <f t="shared" si="565"/>
        <v xml:space="preserve"> </v>
      </c>
      <c r="F7267">
        <v>0.44</v>
      </c>
      <c r="G7267" s="37" t="str">
        <f t="shared" si="566"/>
        <v>Heavy Discount</v>
      </c>
      <c r="H7267" s="37" t="str">
        <f t="shared" si="567"/>
        <v>High</v>
      </c>
      <c r="I7267">
        <v>1</v>
      </c>
      <c r="J7267" t="str" cm="1">
        <f t="array" ref="J7267">_xlfn.IFS(I7267&lt;=3,"small",I7267&lt;=6,"Medium",I7267&lt;=9,"Large")</f>
        <v>small</v>
      </c>
      <c r="K7267" s="36">
        <v>45201</v>
      </c>
      <c r="L7267" s="36">
        <v>45208</v>
      </c>
      <c r="M7267" t="s">
        <v>603</v>
      </c>
      <c r="N7267" t="s">
        <v>604</v>
      </c>
      <c r="O7267" s="37" t="str">
        <f t="shared" si="568"/>
        <v>Digital Payment</v>
      </c>
      <c r="P7267">
        <v>756.04</v>
      </c>
      <c r="Q7267" s="37" t="str">
        <f>IF(P7267&gt;500,"High","low")</f>
        <v>High</v>
      </c>
      <c r="R7267" s="37" t="str">
        <f t="shared" si="569"/>
        <v>Good</v>
      </c>
      <c r="S7267" t="s">
        <v>615</v>
      </c>
    </row>
    <row r="7268" spans="1:19" x14ac:dyDescent="0.2">
      <c r="A7268" t="s">
        <v>7879</v>
      </c>
      <c r="B7268" t="s">
        <v>90</v>
      </c>
      <c r="C7268" t="s">
        <v>614</v>
      </c>
      <c r="D7268">
        <v>2372.9299999999998</v>
      </c>
      <c r="E7268" s="37" t="str">
        <f t="shared" si="565"/>
        <v xml:space="preserve"> </v>
      </c>
      <c r="F7268">
        <v>0.19</v>
      </c>
      <c r="G7268" s="37" t="str">
        <f t="shared" si="566"/>
        <v>Normal Discount</v>
      </c>
      <c r="H7268" s="37" t="str">
        <f t="shared" si="567"/>
        <v>Low</v>
      </c>
      <c r="I7268">
        <v>1</v>
      </c>
      <c r="J7268" t="str" cm="1">
        <f t="array" ref="J7268">_xlfn.IFS(I7268&lt;=3,"small",I7268&lt;=6,"Medium",I7268&lt;=9,"Large")</f>
        <v>small</v>
      </c>
      <c r="K7268" s="36">
        <v>45205</v>
      </c>
      <c r="L7268" s="36">
        <v>45206</v>
      </c>
      <c r="M7268" t="s">
        <v>603</v>
      </c>
      <c r="N7268" t="s">
        <v>604</v>
      </c>
      <c r="O7268" s="37" t="str">
        <f t="shared" si="568"/>
        <v>Digital Payment</v>
      </c>
      <c r="P7268">
        <v>163.84</v>
      </c>
      <c r="Q7268" s="37" t="str">
        <f>IF(P7268&gt;500,"High","low")</f>
        <v>low</v>
      </c>
      <c r="R7268" s="37" t="str">
        <f t="shared" si="569"/>
        <v>AVERAGE</v>
      </c>
      <c r="S7268" t="s">
        <v>628</v>
      </c>
    </row>
    <row r="7269" spans="1:19" x14ac:dyDescent="0.2">
      <c r="A7269" t="s">
        <v>7880</v>
      </c>
      <c r="B7269" t="s">
        <v>75</v>
      </c>
      <c r="C7269" t="s">
        <v>602</v>
      </c>
      <c r="D7269">
        <v>1676.68</v>
      </c>
      <c r="E7269" s="37" t="str">
        <f t="shared" si="565"/>
        <v xml:space="preserve"> </v>
      </c>
      <c r="F7269">
        <v>7.0000000000000007E-2</v>
      </c>
      <c r="G7269" s="37" t="str">
        <f t="shared" si="566"/>
        <v>Normal Discount</v>
      </c>
      <c r="H7269" s="37" t="str">
        <f t="shared" si="567"/>
        <v>Low</v>
      </c>
      <c r="I7269">
        <v>3</v>
      </c>
      <c r="J7269" t="str" cm="1">
        <f t="array" ref="J7269">_xlfn.IFS(I7269&lt;=3,"small",I7269&lt;=6,"Medium",I7269&lt;=9,"Large")</f>
        <v>small</v>
      </c>
      <c r="K7269" s="36">
        <v>45646</v>
      </c>
      <c r="L7269" s="36">
        <v>45652</v>
      </c>
      <c r="M7269" t="s">
        <v>598</v>
      </c>
      <c r="N7269" t="s">
        <v>604</v>
      </c>
      <c r="O7269" s="37" t="str">
        <f t="shared" si="568"/>
        <v>Digital Payment</v>
      </c>
      <c r="P7269">
        <v>278.36</v>
      </c>
      <c r="Q7269" s="37" t="str">
        <f>IF(P7269&gt;500,"High","low")</f>
        <v>low</v>
      </c>
      <c r="R7269" s="37" t="str">
        <f t="shared" si="569"/>
        <v>AVERAGE</v>
      </c>
      <c r="S7269" t="s">
        <v>600</v>
      </c>
    </row>
    <row r="7270" spans="1:19" x14ac:dyDescent="0.2">
      <c r="A7270" t="s">
        <v>7881</v>
      </c>
      <c r="B7270" t="s">
        <v>75</v>
      </c>
      <c r="C7270" t="s">
        <v>597</v>
      </c>
      <c r="D7270">
        <v>4664.1000000000004</v>
      </c>
      <c r="E7270" s="37" t="str">
        <f t="shared" si="565"/>
        <v xml:space="preserve"> </v>
      </c>
      <c r="F7270">
        <v>0.18</v>
      </c>
      <c r="G7270" s="37" t="str">
        <f t="shared" si="566"/>
        <v>Normal Discount</v>
      </c>
      <c r="H7270" s="37" t="str">
        <f t="shared" si="567"/>
        <v>Low</v>
      </c>
      <c r="I7270">
        <v>6</v>
      </c>
      <c r="J7270" t="str" cm="1">
        <f t="array" ref="J7270">_xlfn.IFS(I7270&lt;=3,"small",I7270&lt;=6,"Medium",I7270&lt;=9,"Large")</f>
        <v>Medium</v>
      </c>
      <c r="K7270" s="36">
        <v>45186</v>
      </c>
      <c r="L7270" s="36">
        <v>45190</v>
      </c>
      <c r="M7270" t="s">
        <v>612</v>
      </c>
      <c r="N7270" t="s">
        <v>604</v>
      </c>
      <c r="O7270" s="37" t="str">
        <f t="shared" si="568"/>
        <v>Digital Payment</v>
      </c>
      <c r="P7270">
        <v>297.52</v>
      </c>
      <c r="Q7270" s="37" t="str">
        <f>IF(P7270&gt;500,"High","low")</f>
        <v>low</v>
      </c>
      <c r="R7270" s="37" t="str">
        <f t="shared" si="569"/>
        <v>AVERAGE</v>
      </c>
      <c r="S7270" t="s">
        <v>605</v>
      </c>
    </row>
    <row r="7271" spans="1:19" x14ac:dyDescent="0.2">
      <c r="A7271" t="s">
        <v>7882</v>
      </c>
      <c r="B7271" t="s">
        <v>67</v>
      </c>
      <c r="C7271" t="s">
        <v>617</v>
      </c>
      <c r="D7271">
        <v>2552.1999999999998</v>
      </c>
      <c r="E7271" s="37" t="str">
        <f t="shared" si="565"/>
        <v xml:space="preserve"> </v>
      </c>
      <c r="F7271">
        <v>0.06</v>
      </c>
      <c r="G7271" s="37" t="str">
        <f t="shared" si="566"/>
        <v>Normal Discount</v>
      </c>
      <c r="H7271" s="37" t="str">
        <f t="shared" si="567"/>
        <v>Low</v>
      </c>
      <c r="I7271">
        <v>3</v>
      </c>
      <c r="J7271" t="str" cm="1">
        <f t="array" ref="J7271">_xlfn.IFS(I7271&lt;=3,"small",I7271&lt;=6,"Medium",I7271&lt;=9,"Large")</f>
        <v>small</v>
      </c>
      <c r="K7271" s="36">
        <v>45534</v>
      </c>
      <c r="L7271" s="36">
        <v>45535</v>
      </c>
      <c r="M7271" t="s">
        <v>603</v>
      </c>
      <c r="N7271" t="s">
        <v>599</v>
      </c>
      <c r="O7271" s="37" t="str">
        <f t="shared" si="568"/>
        <v>Digital Payment</v>
      </c>
      <c r="P7271">
        <v>252.53</v>
      </c>
      <c r="Q7271" s="37" t="str">
        <f>IF(P7271&gt;500,"High","low")</f>
        <v>low</v>
      </c>
      <c r="R7271" s="37" t="str">
        <f t="shared" si="569"/>
        <v>AVERAGE</v>
      </c>
      <c r="S7271" t="s">
        <v>620</v>
      </c>
    </row>
    <row r="7272" spans="1:19" x14ac:dyDescent="0.2">
      <c r="A7272" t="s">
        <v>7883</v>
      </c>
      <c r="B7272" t="s">
        <v>83</v>
      </c>
      <c r="C7272" t="s">
        <v>602</v>
      </c>
      <c r="D7272">
        <v>3678.73</v>
      </c>
      <c r="E7272" s="37" t="str">
        <f t="shared" si="565"/>
        <v xml:space="preserve"> </v>
      </c>
      <c r="F7272">
        <v>0.15</v>
      </c>
      <c r="G7272" s="37" t="str">
        <f t="shared" si="566"/>
        <v>Normal Discount</v>
      </c>
      <c r="H7272" s="37" t="str">
        <f t="shared" si="567"/>
        <v>Low</v>
      </c>
      <c r="I7272">
        <v>4</v>
      </c>
      <c r="J7272" t="str" cm="1">
        <f t="array" ref="J7272">_xlfn.IFS(I7272&lt;=3,"small",I7272&lt;=6,"Medium",I7272&lt;=9,"Large")</f>
        <v>Medium</v>
      </c>
      <c r="K7272" s="36">
        <v>44930</v>
      </c>
      <c r="L7272" s="36">
        <v>44931</v>
      </c>
      <c r="M7272" t="s">
        <v>598</v>
      </c>
      <c r="N7272" t="s">
        <v>608</v>
      </c>
      <c r="O7272" s="37" t="str">
        <f t="shared" si="568"/>
        <v>Cash Payment</v>
      </c>
      <c r="P7272">
        <v>959.47</v>
      </c>
      <c r="Q7272" s="37" t="str">
        <f>IF(P7272&gt;500,"High","low")</f>
        <v>High</v>
      </c>
      <c r="R7272" s="37" t="str">
        <f t="shared" si="569"/>
        <v>Good</v>
      </c>
      <c r="S7272" t="s">
        <v>605</v>
      </c>
    </row>
    <row r="7273" spans="1:19" x14ac:dyDescent="0.2">
      <c r="A7273" t="s">
        <v>7884</v>
      </c>
      <c r="B7273" t="s">
        <v>67</v>
      </c>
      <c r="C7273" t="s">
        <v>602</v>
      </c>
      <c r="D7273">
        <v>2127.33</v>
      </c>
      <c r="E7273" s="37" t="str">
        <f t="shared" si="565"/>
        <v xml:space="preserve"> </v>
      </c>
      <c r="F7273">
        <v>0.39</v>
      </c>
      <c r="G7273" s="37" t="str">
        <f t="shared" si="566"/>
        <v>Heavy Discount</v>
      </c>
      <c r="H7273" s="37" t="str">
        <f t="shared" si="567"/>
        <v>Medium</v>
      </c>
      <c r="I7273">
        <v>2</v>
      </c>
      <c r="J7273" t="str" cm="1">
        <f t="array" ref="J7273">_xlfn.IFS(I7273&lt;=3,"small",I7273&lt;=6,"Medium",I7273&lt;=9,"Large")</f>
        <v>small</v>
      </c>
      <c r="K7273" s="36">
        <v>45113</v>
      </c>
      <c r="L7273" s="36">
        <v>45115</v>
      </c>
      <c r="M7273" t="s">
        <v>598</v>
      </c>
      <c r="N7273" t="s">
        <v>599</v>
      </c>
      <c r="O7273" s="37" t="str">
        <f t="shared" si="568"/>
        <v>Digital Payment</v>
      </c>
      <c r="P7273">
        <v>140.29</v>
      </c>
      <c r="Q7273" s="37" t="str">
        <f>IF(P7273&gt;500,"High","low")</f>
        <v>low</v>
      </c>
      <c r="R7273" s="37" t="str">
        <f t="shared" si="569"/>
        <v>AVERAGE</v>
      </c>
      <c r="S7273" t="s">
        <v>628</v>
      </c>
    </row>
    <row r="7274" spans="1:19" x14ac:dyDescent="0.2">
      <c r="A7274" t="s">
        <v>7885</v>
      </c>
      <c r="B7274" t="s">
        <v>83</v>
      </c>
      <c r="C7274" t="s">
        <v>614</v>
      </c>
      <c r="D7274">
        <v>1092.49</v>
      </c>
      <c r="E7274" s="37" t="str">
        <f t="shared" si="565"/>
        <v xml:space="preserve"> </v>
      </c>
      <c r="F7274">
        <v>0.15</v>
      </c>
      <c r="G7274" s="37" t="str">
        <f t="shared" si="566"/>
        <v>Normal Discount</v>
      </c>
      <c r="H7274" s="37" t="str">
        <f t="shared" si="567"/>
        <v>Low</v>
      </c>
      <c r="I7274">
        <v>7</v>
      </c>
      <c r="J7274" t="str" cm="1">
        <f t="array" ref="J7274">_xlfn.IFS(I7274&lt;=3,"small",I7274&lt;=6,"Medium",I7274&lt;=9,"Large")</f>
        <v>Large</v>
      </c>
      <c r="K7274" s="36">
        <v>45144</v>
      </c>
      <c r="L7274" s="36">
        <v>45147</v>
      </c>
      <c r="M7274" t="s">
        <v>612</v>
      </c>
      <c r="N7274" t="s">
        <v>608</v>
      </c>
      <c r="O7274" s="37" t="str">
        <f t="shared" si="568"/>
        <v>Cash Payment</v>
      </c>
      <c r="P7274">
        <v>83.23</v>
      </c>
      <c r="Q7274" s="37" t="str">
        <f>IF(P7274&gt;500,"High","low")</f>
        <v>low</v>
      </c>
      <c r="R7274" s="37" t="str">
        <f t="shared" si="569"/>
        <v>AVERAGE</v>
      </c>
      <c r="S7274" t="s">
        <v>605</v>
      </c>
    </row>
    <row r="7275" spans="1:19" x14ac:dyDescent="0.2">
      <c r="A7275" t="s">
        <v>7886</v>
      </c>
      <c r="B7275" t="s">
        <v>90</v>
      </c>
      <c r="C7275" t="s">
        <v>602</v>
      </c>
      <c r="D7275">
        <v>3308.94</v>
      </c>
      <c r="E7275" s="37" t="str">
        <f t="shared" si="565"/>
        <v xml:space="preserve"> </v>
      </c>
      <c r="F7275">
        <v>0.27</v>
      </c>
      <c r="G7275" s="37" t="str">
        <f t="shared" si="566"/>
        <v>Normal Discount</v>
      </c>
      <c r="H7275" s="37" t="str">
        <f t="shared" si="567"/>
        <v>Medium</v>
      </c>
      <c r="I7275">
        <v>4</v>
      </c>
      <c r="J7275" t="str" cm="1">
        <f t="array" ref="J7275">_xlfn.IFS(I7275&lt;=3,"small",I7275&lt;=6,"Medium",I7275&lt;=9,"Large")</f>
        <v>Medium</v>
      </c>
      <c r="K7275" s="36">
        <v>45561</v>
      </c>
      <c r="L7275" s="36">
        <v>45568</v>
      </c>
      <c r="M7275" t="s">
        <v>612</v>
      </c>
      <c r="N7275" t="s">
        <v>608</v>
      </c>
      <c r="O7275" s="37" t="str">
        <f t="shared" si="568"/>
        <v>Cash Payment</v>
      </c>
      <c r="P7275">
        <v>648.84</v>
      </c>
      <c r="Q7275" s="37" t="str">
        <f>IF(P7275&gt;500,"High","low")</f>
        <v>High</v>
      </c>
      <c r="R7275" s="37" t="str">
        <f t="shared" si="569"/>
        <v>Good</v>
      </c>
      <c r="S7275" t="s">
        <v>615</v>
      </c>
    </row>
    <row r="7276" spans="1:19" x14ac:dyDescent="0.2">
      <c r="A7276" t="s">
        <v>7887</v>
      </c>
      <c r="B7276" t="s">
        <v>75</v>
      </c>
      <c r="C7276" t="s">
        <v>602</v>
      </c>
      <c r="D7276">
        <v>3357.73</v>
      </c>
      <c r="E7276" s="37" t="str">
        <f t="shared" si="565"/>
        <v xml:space="preserve"> </v>
      </c>
      <c r="F7276">
        <v>0.06</v>
      </c>
      <c r="G7276" s="37" t="str">
        <f t="shared" si="566"/>
        <v>Normal Discount</v>
      </c>
      <c r="H7276" s="37" t="str">
        <f t="shared" si="567"/>
        <v>Low</v>
      </c>
      <c r="I7276">
        <v>1</v>
      </c>
      <c r="J7276" t="str" cm="1">
        <f t="array" ref="J7276">_xlfn.IFS(I7276&lt;=3,"small",I7276&lt;=6,"Medium",I7276&lt;=9,"Large")</f>
        <v>small</v>
      </c>
      <c r="K7276" s="36">
        <v>45212</v>
      </c>
      <c r="L7276" s="36">
        <v>45216</v>
      </c>
      <c r="M7276" t="s">
        <v>603</v>
      </c>
      <c r="N7276" t="s">
        <v>604</v>
      </c>
      <c r="O7276" s="37" t="str">
        <f t="shared" si="568"/>
        <v>Digital Payment</v>
      </c>
      <c r="P7276">
        <v>388.55</v>
      </c>
      <c r="Q7276" s="37" t="str">
        <f>IF(P7276&gt;500,"High","low")</f>
        <v>low</v>
      </c>
      <c r="R7276" s="37" t="str">
        <f t="shared" si="569"/>
        <v>AVERAGE</v>
      </c>
      <c r="S7276" t="s">
        <v>605</v>
      </c>
    </row>
    <row r="7277" spans="1:19" x14ac:dyDescent="0.2">
      <c r="A7277" t="s">
        <v>7888</v>
      </c>
      <c r="B7277" t="s">
        <v>90</v>
      </c>
      <c r="C7277" t="s">
        <v>597</v>
      </c>
      <c r="D7277">
        <v>2354.9</v>
      </c>
      <c r="E7277" s="37" t="str">
        <f t="shared" si="565"/>
        <v xml:space="preserve"> </v>
      </c>
      <c r="F7277">
        <v>0.17</v>
      </c>
      <c r="G7277" s="37" t="str">
        <f t="shared" si="566"/>
        <v>Normal Discount</v>
      </c>
      <c r="H7277" s="37" t="str">
        <f t="shared" si="567"/>
        <v>Low</v>
      </c>
      <c r="I7277">
        <v>4</v>
      </c>
      <c r="J7277" t="str" cm="1">
        <f t="array" ref="J7277">_xlfn.IFS(I7277&lt;=3,"small",I7277&lt;=6,"Medium",I7277&lt;=9,"Large")</f>
        <v>Medium</v>
      </c>
      <c r="K7277" s="36">
        <v>45284</v>
      </c>
      <c r="L7277" s="36">
        <v>45287</v>
      </c>
      <c r="M7277" t="s">
        <v>612</v>
      </c>
      <c r="N7277" t="s">
        <v>608</v>
      </c>
      <c r="O7277" s="37" t="str">
        <f t="shared" si="568"/>
        <v>Cash Payment</v>
      </c>
      <c r="P7277">
        <v>573.05999999999995</v>
      </c>
      <c r="Q7277" s="37" t="str">
        <f>IF(P7277&gt;500,"High","low")</f>
        <v>High</v>
      </c>
      <c r="R7277" s="37" t="str">
        <f t="shared" si="569"/>
        <v>Good</v>
      </c>
      <c r="S7277" t="s">
        <v>628</v>
      </c>
    </row>
    <row r="7278" spans="1:19" x14ac:dyDescent="0.2">
      <c r="A7278" t="s">
        <v>7889</v>
      </c>
      <c r="B7278" t="s">
        <v>83</v>
      </c>
      <c r="C7278" t="s">
        <v>614</v>
      </c>
      <c r="D7278">
        <v>1422.75</v>
      </c>
      <c r="E7278" s="37" t="str">
        <f t="shared" si="565"/>
        <v xml:space="preserve"> </v>
      </c>
      <c r="F7278">
        <v>0.02</v>
      </c>
      <c r="G7278" s="37" t="str">
        <f t="shared" si="566"/>
        <v>Normal Discount</v>
      </c>
      <c r="H7278" s="37" t="str">
        <f t="shared" si="567"/>
        <v>Low</v>
      </c>
      <c r="I7278">
        <v>4</v>
      </c>
      <c r="J7278" t="str" cm="1">
        <f t="array" ref="J7278">_xlfn.IFS(I7278&lt;=3,"small",I7278&lt;=6,"Medium",I7278&lt;=9,"Large")</f>
        <v>Medium</v>
      </c>
      <c r="K7278" s="36">
        <v>45087</v>
      </c>
      <c r="L7278" s="36">
        <v>45094</v>
      </c>
      <c r="M7278" t="s">
        <v>603</v>
      </c>
      <c r="N7278" t="s">
        <v>604</v>
      </c>
      <c r="O7278" s="37" t="str">
        <f t="shared" si="568"/>
        <v>Digital Payment</v>
      </c>
      <c r="P7278">
        <v>223.11</v>
      </c>
      <c r="Q7278" s="37" t="str">
        <f>IF(P7278&gt;500,"High","low")</f>
        <v>low</v>
      </c>
      <c r="R7278" s="37" t="str">
        <f t="shared" si="569"/>
        <v>AVERAGE</v>
      </c>
      <c r="S7278" t="s">
        <v>620</v>
      </c>
    </row>
    <row r="7279" spans="1:19" x14ac:dyDescent="0.2">
      <c r="A7279" t="s">
        <v>7890</v>
      </c>
      <c r="B7279" t="s">
        <v>67</v>
      </c>
      <c r="C7279" t="s">
        <v>614</v>
      </c>
      <c r="D7279">
        <v>4175.8900000000003</v>
      </c>
      <c r="E7279" s="37" t="str">
        <f t="shared" si="565"/>
        <v>Excellent Order</v>
      </c>
      <c r="F7279">
        <v>0.27</v>
      </c>
      <c r="G7279" s="37" t="str">
        <f t="shared" si="566"/>
        <v>Normal Discount</v>
      </c>
      <c r="H7279" s="37" t="str">
        <f t="shared" si="567"/>
        <v>Medium</v>
      </c>
      <c r="I7279">
        <v>3</v>
      </c>
      <c r="J7279" t="str" cm="1">
        <f t="array" ref="J7279">_xlfn.IFS(I7279&lt;=3,"small",I7279&lt;=6,"Medium",I7279&lt;=9,"Large")</f>
        <v>small</v>
      </c>
      <c r="K7279" s="36">
        <v>45134</v>
      </c>
      <c r="L7279" s="36">
        <v>45139</v>
      </c>
      <c r="M7279" t="s">
        <v>612</v>
      </c>
      <c r="N7279" t="s">
        <v>599</v>
      </c>
      <c r="O7279" s="37" t="str">
        <f t="shared" si="568"/>
        <v>Digital Payment</v>
      </c>
      <c r="P7279">
        <v>806.75</v>
      </c>
      <c r="Q7279" s="37" t="str">
        <f>IF(P7279&gt;500,"High","low")</f>
        <v>High</v>
      </c>
      <c r="R7279" s="37" t="str">
        <f t="shared" si="569"/>
        <v>Good</v>
      </c>
      <c r="S7279" t="s">
        <v>609</v>
      </c>
    </row>
    <row r="7280" spans="1:19" x14ac:dyDescent="0.2">
      <c r="A7280" t="s">
        <v>7891</v>
      </c>
      <c r="B7280" t="s">
        <v>67</v>
      </c>
      <c r="C7280" t="s">
        <v>602</v>
      </c>
      <c r="D7280">
        <v>1449.06</v>
      </c>
      <c r="E7280" s="37" t="str">
        <f t="shared" si="565"/>
        <v xml:space="preserve"> </v>
      </c>
      <c r="F7280">
        <v>0.17</v>
      </c>
      <c r="G7280" s="37" t="str">
        <f t="shared" si="566"/>
        <v>Normal Discount</v>
      </c>
      <c r="H7280" s="37" t="str">
        <f t="shared" si="567"/>
        <v>Low</v>
      </c>
      <c r="I7280">
        <v>8</v>
      </c>
      <c r="J7280" t="str" cm="1">
        <f t="array" ref="J7280">_xlfn.IFS(I7280&lt;=3,"small",I7280&lt;=6,"Medium",I7280&lt;=9,"Large")</f>
        <v>Large</v>
      </c>
      <c r="K7280" s="36">
        <v>45343</v>
      </c>
      <c r="L7280" s="36">
        <v>45350</v>
      </c>
      <c r="M7280" t="s">
        <v>598</v>
      </c>
      <c r="N7280" t="s">
        <v>604</v>
      </c>
      <c r="O7280" s="37" t="str">
        <f t="shared" si="568"/>
        <v>Digital Payment</v>
      </c>
      <c r="P7280">
        <v>112.51</v>
      </c>
      <c r="Q7280" s="37" t="str">
        <f>IF(P7280&gt;500,"High","low")</f>
        <v>low</v>
      </c>
      <c r="R7280" s="37" t="str">
        <f t="shared" si="569"/>
        <v>AVERAGE</v>
      </c>
      <c r="S7280" t="s">
        <v>628</v>
      </c>
    </row>
    <row r="7281" spans="1:19" x14ac:dyDescent="0.2">
      <c r="A7281" t="s">
        <v>7892</v>
      </c>
      <c r="B7281" t="s">
        <v>90</v>
      </c>
      <c r="C7281" t="s">
        <v>597</v>
      </c>
      <c r="D7281">
        <v>3329.22</v>
      </c>
      <c r="E7281" s="37" t="str">
        <f t="shared" si="565"/>
        <v xml:space="preserve"> </v>
      </c>
      <c r="F7281">
        <v>0.44</v>
      </c>
      <c r="G7281" s="37" t="str">
        <f t="shared" si="566"/>
        <v>Heavy Discount</v>
      </c>
      <c r="H7281" s="37" t="str">
        <f t="shared" si="567"/>
        <v>High</v>
      </c>
      <c r="I7281">
        <v>7</v>
      </c>
      <c r="J7281" t="str" cm="1">
        <f t="array" ref="J7281">_xlfn.IFS(I7281&lt;=3,"small",I7281&lt;=6,"Medium",I7281&lt;=9,"Large")</f>
        <v>Large</v>
      </c>
      <c r="K7281" s="36">
        <v>45458</v>
      </c>
      <c r="L7281" s="36">
        <v>45464</v>
      </c>
      <c r="M7281" t="s">
        <v>612</v>
      </c>
      <c r="N7281" t="s">
        <v>608</v>
      </c>
      <c r="O7281" s="37" t="str">
        <f t="shared" si="568"/>
        <v>Cash Payment</v>
      </c>
      <c r="P7281">
        <v>746.92</v>
      </c>
      <c r="Q7281" s="37" t="str">
        <f>IF(P7281&gt;500,"High","low")</f>
        <v>High</v>
      </c>
      <c r="R7281" s="37" t="str">
        <f t="shared" si="569"/>
        <v>Good</v>
      </c>
      <c r="S7281" t="s">
        <v>605</v>
      </c>
    </row>
    <row r="7282" spans="1:19" x14ac:dyDescent="0.2">
      <c r="A7282" t="s">
        <v>7893</v>
      </c>
      <c r="B7282" t="s">
        <v>83</v>
      </c>
      <c r="C7282" t="s">
        <v>607</v>
      </c>
      <c r="D7282">
        <v>1981.53</v>
      </c>
      <c r="E7282" s="37" t="str">
        <f t="shared" si="565"/>
        <v xml:space="preserve"> </v>
      </c>
      <c r="F7282">
        <v>0.2</v>
      </c>
      <c r="G7282" s="37" t="str">
        <f t="shared" si="566"/>
        <v>Normal Discount</v>
      </c>
      <c r="H7282" s="37" t="str">
        <f t="shared" si="567"/>
        <v>Medium</v>
      </c>
      <c r="I7282">
        <v>3</v>
      </c>
      <c r="J7282" t="str" cm="1">
        <f t="array" ref="J7282">_xlfn.IFS(I7282&lt;=3,"small",I7282&lt;=6,"Medium",I7282&lt;=9,"Large")</f>
        <v>small</v>
      </c>
      <c r="K7282" s="36">
        <v>44974</v>
      </c>
      <c r="L7282" s="36">
        <v>44978</v>
      </c>
      <c r="M7282" t="s">
        <v>598</v>
      </c>
      <c r="N7282" t="s">
        <v>608</v>
      </c>
      <c r="O7282" s="37" t="str">
        <f t="shared" si="568"/>
        <v>Cash Payment</v>
      </c>
      <c r="P7282">
        <v>568.05999999999995</v>
      </c>
      <c r="Q7282" s="37" t="str">
        <f>IF(P7282&gt;500,"High","low")</f>
        <v>High</v>
      </c>
      <c r="R7282" s="37" t="str">
        <f t="shared" si="569"/>
        <v>Good</v>
      </c>
      <c r="S7282" t="s">
        <v>605</v>
      </c>
    </row>
    <row r="7283" spans="1:19" x14ac:dyDescent="0.2">
      <c r="A7283" t="s">
        <v>7894</v>
      </c>
      <c r="B7283" t="s">
        <v>90</v>
      </c>
      <c r="C7283" t="s">
        <v>617</v>
      </c>
      <c r="D7283">
        <v>2415.16</v>
      </c>
      <c r="E7283" s="37" t="str">
        <f t="shared" si="565"/>
        <v xml:space="preserve"> </v>
      </c>
      <c r="F7283">
        <v>0.28000000000000003</v>
      </c>
      <c r="G7283" s="37" t="str">
        <f t="shared" si="566"/>
        <v>Normal Discount</v>
      </c>
      <c r="H7283" s="37" t="str">
        <f t="shared" si="567"/>
        <v>Medium</v>
      </c>
      <c r="I7283">
        <v>4</v>
      </c>
      <c r="J7283" t="str" cm="1">
        <f t="array" ref="J7283">_xlfn.IFS(I7283&lt;=3,"small",I7283&lt;=6,"Medium",I7283&lt;=9,"Large")</f>
        <v>Medium</v>
      </c>
      <c r="K7283" s="36">
        <v>45465</v>
      </c>
      <c r="L7283" s="36">
        <v>45466</v>
      </c>
      <c r="M7283" t="s">
        <v>598</v>
      </c>
      <c r="N7283" t="s">
        <v>604</v>
      </c>
      <c r="O7283" s="37" t="str">
        <f t="shared" si="568"/>
        <v>Digital Payment</v>
      </c>
      <c r="P7283">
        <v>700.79</v>
      </c>
      <c r="Q7283" s="37" t="str">
        <f>IF(P7283&gt;500,"High","low")</f>
        <v>High</v>
      </c>
      <c r="R7283" s="37" t="str">
        <f t="shared" si="569"/>
        <v>Good</v>
      </c>
      <c r="S7283" t="s">
        <v>615</v>
      </c>
    </row>
    <row r="7284" spans="1:19" x14ac:dyDescent="0.2">
      <c r="A7284" t="s">
        <v>7895</v>
      </c>
      <c r="B7284" t="s">
        <v>90</v>
      </c>
      <c r="C7284" t="s">
        <v>614</v>
      </c>
      <c r="D7284">
        <v>1135.8699999999999</v>
      </c>
      <c r="E7284" s="37" t="str">
        <f t="shared" si="565"/>
        <v xml:space="preserve"> </v>
      </c>
      <c r="F7284">
        <v>0.49</v>
      </c>
      <c r="G7284" s="37" t="str">
        <f t="shared" si="566"/>
        <v>Heavy Discount</v>
      </c>
      <c r="H7284" s="37" t="str">
        <f t="shared" si="567"/>
        <v>High</v>
      </c>
      <c r="I7284">
        <v>8</v>
      </c>
      <c r="J7284" t="str" cm="1">
        <f t="array" ref="J7284">_xlfn.IFS(I7284&lt;=3,"small",I7284&lt;=6,"Medium",I7284&lt;=9,"Large")</f>
        <v>Large</v>
      </c>
      <c r="K7284" s="36">
        <v>45598</v>
      </c>
      <c r="L7284" s="36">
        <v>45602</v>
      </c>
      <c r="M7284" t="s">
        <v>598</v>
      </c>
      <c r="N7284" t="s">
        <v>599</v>
      </c>
      <c r="O7284" s="37" t="str">
        <f t="shared" si="568"/>
        <v>Digital Payment</v>
      </c>
      <c r="P7284">
        <v>241.18</v>
      </c>
      <c r="Q7284" s="37" t="str">
        <f>IF(P7284&gt;500,"High","low")</f>
        <v>low</v>
      </c>
      <c r="R7284" s="37" t="str">
        <f t="shared" si="569"/>
        <v>AVERAGE</v>
      </c>
      <c r="S7284" t="s">
        <v>615</v>
      </c>
    </row>
    <row r="7285" spans="1:19" x14ac:dyDescent="0.2">
      <c r="A7285" t="s">
        <v>7896</v>
      </c>
      <c r="B7285" t="s">
        <v>75</v>
      </c>
      <c r="C7285" t="s">
        <v>597</v>
      </c>
      <c r="D7285">
        <v>3282.45</v>
      </c>
      <c r="E7285" s="37" t="str">
        <f t="shared" si="565"/>
        <v xml:space="preserve"> </v>
      </c>
      <c r="F7285">
        <v>0.32</v>
      </c>
      <c r="G7285" s="37" t="str">
        <f t="shared" si="566"/>
        <v>Heavy Discount</v>
      </c>
      <c r="H7285" s="37" t="str">
        <f t="shared" si="567"/>
        <v>Medium</v>
      </c>
      <c r="I7285">
        <v>3</v>
      </c>
      <c r="J7285" t="str" cm="1">
        <f t="array" ref="J7285">_xlfn.IFS(I7285&lt;=3,"small",I7285&lt;=6,"Medium",I7285&lt;=9,"Large")</f>
        <v>small</v>
      </c>
      <c r="K7285" s="36">
        <v>45396</v>
      </c>
      <c r="L7285" s="36">
        <v>45399</v>
      </c>
      <c r="M7285" t="s">
        <v>603</v>
      </c>
      <c r="N7285" t="s">
        <v>599</v>
      </c>
      <c r="O7285" s="37" t="str">
        <f t="shared" si="568"/>
        <v>Digital Payment</v>
      </c>
      <c r="P7285">
        <v>231.81</v>
      </c>
      <c r="Q7285" s="37" t="str">
        <f>IF(P7285&gt;500,"High","low")</f>
        <v>low</v>
      </c>
      <c r="R7285" s="37" t="str">
        <f t="shared" si="569"/>
        <v>AVERAGE</v>
      </c>
      <c r="S7285" t="s">
        <v>600</v>
      </c>
    </row>
    <row r="7286" spans="1:19" x14ac:dyDescent="0.2">
      <c r="A7286" t="s">
        <v>7897</v>
      </c>
      <c r="B7286" t="s">
        <v>90</v>
      </c>
      <c r="C7286" t="s">
        <v>597</v>
      </c>
      <c r="D7286">
        <v>1206.55</v>
      </c>
      <c r="E7286" s="37" t="str">
        <f t="shared" si="565"/>
        <v xml:space="preserve"> </v>
      </c>
      <c r="F7286">
        <v>0.25</v>
      </c>
      <c r="G7286" s="37" t="str">
        <f t="shared" si="566"/>
        <v>Normal Discount</v>
      </c>
      <c r="H7286" s="37" t="str">
        <f t="shared" si="567"/>
        <v>Medium</v>
      </c>
      <c r="I7286">
        <v>5</v>
      </c>
      <c r="J7286" t="str" cm="1">
        <f t="array" ref="J7286">_xlfn.IFS(I7286&lt;=3,"small",I7286&lt;=6,"Medium",I7286&lt;=9,"Large")</f>
        <v>Medium</v>
      </c>
      <c r="K7286" s="36">
        <v>45081</v>
      </c>
      <c r="L7286" s="36">
        <v>45086</v>
      </c>
      <c r="M7286" t="s">
        <v>598</v>
      </c>
      <c r="N7286" t="s">
        <v>604</v>
      </c>
      <c r="O7286" s="37" t="str">
        <f t="shared" si="568"/>
        <v>Digital Payment</v>
      </c>
      <c r="P7286">
        <v>319.35000000000002</v>
      </c>
      <c r="Q7286" s="37" t="str">
        <f>IF(P7286&gt;500,"High","low")</f>
        <v>low</v>
      </c>
      <c r="R7286" s="37" t="str">
        <f t="shared" si="569"/>
        <v>AVERAGE</v>
      </c>
      <c r="S7286" t="s">
        <v>628</v>
      </c>
    </row>
    <row r="7287" spans="1:19" x14ac:dyDescent="0.2">
      <c r="A7287" t="s">
        <v>7898</v>
      </c>
      <c r="B7287" t="s">
        <v>75</v>
      </c>
      <c r="C7287" t="s">
        <v>602</v>
      </c>
      <c r="D7287">
        <v>2480</v>
      </c>
      <c r="E7287" s="37" t="str">
        <f t="shared" si="565"/>
        <v xml:space="preserve"> </v>
      </c>
      <c r="F7287">
        <v>0.05</v>
      </c>
      <c r="G7287" s="37" t="str">
        <f t="shared" si="566"/>
        <v>Normal Discount</v>
      </c>
      <c r="H7287" s="37" t="str">
        <f t="shared" si="567"/>
        <v>Low</v>
      </c>
      <c r="I7287">
        <v>5</v>
      </c>
      <c r="J7287" t="str" cm="1">
        <f t="array" ref="J7287">_xlfn.IFS(I7287&lt;=3,"small",I7287&lt;=6,"Medium",I7287&lt;=9,"Large")</f>
        <v>Medium</v>
      </c>
      <c r="K7287" s="36">
        <v>44992</v>
      </c>
      <c r="L7287" s="36">
        <v>44994</v>
      </c>
      <c r="M7287" t="s">
        <v>603</v>
      </c>
      <c r="N7287" t="s">
        <v>599</v>
      </c>
      <c r="O7287" s="37" t="str">
        <f t="shared" si="568"/>
        <v>Digital Payment</v>
      </c>
      <c r="P7287">
        <v>739.87</v>
      </c>
      <c r="Q7287" s="37" t="str">
        <f>IF(P7287&gt;500,"High","low")</f>
        <v>High</v>
      </c>
      <c r="R7287" s="37" t="str">
        <f t="shared" si="569"/>
        <v>Good</v>
      </c>
      <c r="S7287" t="s">
        <v>609</v>
      </c>
    </row>
    <row r="7288" spans="1:19" x14ac:dyDescent="0.2">
      <c r="A7288" t="s">
        <v>7899</v>
      </c>
      <c r="B7288" t="s">
        <v>75</v>
      </c>
      <c r="C7288" t="s">
        <v>617</v>
      </c>
      <c r="D7288">
        <v>1709.45</v>
      </c>
      <c r="E7288" s="37" t="str">
        <f t="shared" si="565"/>
        <v xml:space="preserve"> </v>
      </c>
      <c r="F7288">
        <v>0.41</v>
      </c>
      <c r="G7288" s="37" t="str">
        <f t="shared" si="566"/>
        <v>Heavy Discount</v>
      </c>
      <c r="H7288" s="37" t="str">
        <f t="shared" si="567"/>
        <v>High</v>
      </c>
      <c r="I7288">
        <v>5</v>
      </c>
      <c r="J7288" t="str" cm="1">
        <f t="array" ref="J7288">_xlfn.IFS(I7288&lt;=3,"small",I7288&lt;=6,"Medium",I7288&lt;=9,"Large")</f>
        <v>Medium</v>
      </c>
      <c r="K7288" s="36">
        <v>45156</v>
      </c>
      <c r="L7288" s="36">
        <v>45160</v>
      </c>
      <c r="M7288" t="s">
        <v>598</v>
      </c>
      <c r="N7288" t="s">
        <v>599</v>
      </c>
      <c r="O7288" s="37" t="str">
        <f t="shared" si="568"/>
        <v>Digital Payment</v>
      </c>
      <c r="P7288">
        <v>143</v>
      </c>
      <c r="Q7288" s="37" t="str">
        <f>IF(P7288&gt;500,"High","low")</f>
        <v>low</v>
      </c>
      <c r="R7288" s="37" t="str">
        <f t="shared" si="569"/>
        <v>AVERAGE</v>
      </c>
      <c r="S7288" t="s">
        <v>615</v>
      </c>
    </row>
    <row r="7289" spans="1:19" x14ac:dyDescent="0.2">
      <c r="A7289" t="s">
        <v>7900</v>
      </c>
      <c r="B7289" t="s">
        <v>67</v>
      </c>
      <c r="C7289" t="s">
        <v>614</v>
      </c>
      <c r="D7289">
        <v>4821.67</v>
      </c>
      <c r="E7289" s="37" t="str">
        <f t="shared" si="565"/>
        <v>Excellent Order</v>
      </c>
      <c r="F7289">
        <v>0.32</v>
      </c>
      <c r="G7289" s="37" t="str">
        <f t="shared" si="566"/>
        <v>Heavy Discount</v>
      </c>
      <c r="H7289" s="37" t="str">
        <f t="shared" si="567"/>
        <v>Medium</v>
      </c>
      <c r="I7289">
        <v>5</v>
      </c>
      <c r="J7289" t="str" cm="1">
        <f t="array" ref="J7289">_xlfn.IFS(I7289&lt;=3,"small",I7289&lt;=6,"Medium",I7289&lt;=9,"Large")</f>
        <v>Medium</v>
      </c>
      <c r="K7289" s="36">
        <v>45141</v>
      </c>
      <c r="L7289" s="36">
        <v>45147</v>
      </c>
      <c r="M7289" t="s">
        <v>598</v>
      </c>
      <c r="N7289" t="s">
        <v>599</v>
      </c>
      <c r="O7289" s="37" t="str">
        <f t="shared" si="568"/>
        <v>Digital Payment</v>
      </c>
      <c r="P7289">
        <v>1240.47</v>
      </c>
      <c r="Q7289" s="37" t="str">
        <f>IF(P7289&gt;500,"High","low")</f>
        <v>High</v>
      </c>
      <c r="R7289" s="37" t="str">
        <f t="shared" si="569"/>
        <v>Excellent</v>
      </c>
      <c r="S7289" t="s">
        <v>600</v>
      </c>
    </row>
    <row r="7290" spans="1:19" x14ac:dyDescent="0.2">
      <c r="A7290" t="s">
        <v>7901</v>
      </c>
      <c r="B7290" t="s">
        <v>75</v>
      </c>
      <c r="C7290" t="s">
        <v>607</v>
      </c>
      <c r="D7290">
        <v>4912.88</v>
      </c>
      <c r="E7290" s="37" t="str">
        <f t="shared" si="565"/>
        <v xml:space="preserve"> </v>
      </c>
      <c r="F7290">
        <v>0.05</v>
      </c>
      <c r="G7290" s="37" t="str">
        <f t="shared" si="566"/>
        <v>Normal Discount</v>
      </c>
      <c r="H7290" s="37" t="str">
        <f t="shared" si="567"/>
        <v>Low</v>
      </c>
      <c r="I7290">
        <v>9</v>
      </c>
      <c r="J7290" t="str" cm="1">
        <f t="array" ref="J7290">_xlfn.IFS(I7290&lt;=3,"small",I7290&lt;=6,"Medium",I7290&lt;=9,"Large")</f>
        <v>Large</v>
      </c>
      <c r="K7290" s="36">
        <v>44938</v>
      </c>
      <c r="L7290" s="36">
        <v>44945</v>
      </c>
      <c r="M7290" t="s">
        <v>603</v>
      </c>
      <c r="N7290" t="s">
        <v>604</v>
      </c>
      <c r="O7290" s="37" t="str">
        <f t="shared" si="568"/>
        <v>Digital Payment</v>
      </c>
      <c r="P7290">
        <v>436.71</v>
      </c>
      <c r="Q7290" s="37" t="str">
        <f>IF(P7290&gt;500,"High","low")</f>
        <v>low</v>
      </c>
      <c r="R7290" s="37" t="str">
        <f t="shared" si="569"/>
        <v>AVERAGE</v>
      </c>
      <c r="S7290" t="s">
        <v>628</v>
      </c>
    </row>
    <row r="7291" spans="1:19" x14ac:dyDescent="0.2">
      <c r="A7291" t="s">
        <v>7902</v>
      </c>
      <c r="B7291" t="s">
        <v>75</v>
      </c>
      <c r="C7291" t="s">
        <v>602</v>
      </c>
      <c r="D7291">
        <v>3792.11</v>
      </c>
      <c r="E7291" s="37" t="str">
        <f t="shared" si="565"/>
        <v xml:space="preserve"> </v>
      </c>
      <c r="F7291">
        <v>0.12</v>
      </c>
      <c r="G7291" s="37" t="str">
        <f t="shared" si="566"/>
        <v>Normal Discount</v>
      </c>
      <c r="H7291" s="37" t="str">
        <f t="shared" si="567"/>
        <v>Low</v>
      </c>
      <c r="I7291">
        <v>5</v>
      </c>
      <c r="J7291" t="str" cm="1">
        <f t="array" ref="J7291">_xlfn.IFS(I7291&lt;=3,"small",I7291&lt;=6,"Medium",I7291&lt;=9,"Large")</f>
        <v>Medium</v>
      </c>
      <c r="K7291" s="36">
        <v>45539</v>
      </c>
      <c r="L7291" s="36">
        <v>45541</v>
      </c>
      <c r="M7291" t="s">
        <v>612</v>
      </c>
      <c r="N7291" t="s">
        <v>604</v>
      </c>
      <c r="O7291" s="37" t="str">
        <f t="shared" si="568"/>
        <v>Digital Payment</v>
      </c>
      <c r="P7291">
        <v>613.80999999999995</v>
      </c>
      <c r="Q7291" s="37" t="str">
        <f>IF(P7291&gt;500,"High","low")</f>
        <v>High</v>
      </c>
      <c r="R7291" s="37" t="str">
        <f t="shared" si="569"/>
        <v>Good</v>
      </c>
      <c r="S7291" t="s">
        <v>620</v>
      </c>
    </row>
    <row r="7292" spans="1:19" x14ac:dyDescent="0.2">
      <c r="A7292" t="s">
        <v>7903</v>
      </c>
      <c r="B7292" t="s">
        <v>67</v>
      </c>
      <c r="C7292" t="s">
        <v>614</v>
      </c>
      <c r="D7292">
        <v>4921.2</v>
      </c>
      <c r="E7292" s="37" t="str">
        <f t="shared" si="565"/>
        <v>Excellent Order</v>
      </c>
      <c r="F7292">
        <v>0.27</v>
      </c>
      <c r="G7292" s="37" t="str">
        <f t="shared" si="566"/>
        <v>Normal Discount</v>
      </c>
      <c r="H7292" s="37" t="str">
        <f t="shared" si="567"/>
        <v>Medium</v>
      </c>
      <c r="I7292">
        <v>9</v>
      </c>
      <c r="J7292" t="str" cm="1">
        <f t="array" ref="J7292">_xlfn.IFS(I7292&lt;=3,"small",I7292&lt;=6,"Medium",I7292&lt;=9,"Large")</f>
        <v>Large</v>
      </c>
      <c r="K7292" s="36">
        <v>45612</v>
      </c>
      <c r="L7292" s="36">
        <v>45617</v>
      </c>
      <c r="M7292" t="s">
        <v>603</v>
      </c>
      <c r="N7292" t="s">
        <v>608</v>
      </c>
      <c r="O7292" s="37" t="str">
        <f t="shared" si="568"/>
        <v>Cash Payment</v>
      </c>
      <c r="P7292">
        <v>1383.79</v>
      </c>
      <c r="Q7292" s="37" t="str">
        <f>IF(P7292&gt;500,"High","low")</f>
        <v>High</v>
      </c>
      <c r="R7292" s="37" t="str">
        <f t="shared" si="569"/>
        <v>Excellent</v>
      </c>
      <c r="S7292" t="s">
        <v>628</v>
      </c>
    </row>
    <row r="7293" spans="1:19" x14ac:dyDescent="0.2">
      <c r="A7293" t="s">
        <v>7904</v>
      </c>
      <c r="B7293" t="s">
        <v>90</v>
      </c>
      <c r="C7293" t="s">
        <v>614</v>
      </c>
      <c r="D7293">
        <v>656.4</v>
      </c>
      <c r="E7293" s="37" t="str">
        <f t="shared" si="565"/>
        <v xml:space="preserve"> </v>
      </c>
      <c r="F7293">
        <v>0.02</v>
      </c>
      <c r="G7293" s="37" t="str">
        <f t="shared" si="566"/>
        <v>Normal Discount</v>
      </c>
      <c r="H7293" s="37" t="str">
        <f t="shared" si="567"/>
        <v>Low</v>
      </c>
      <c r="I7293">
        <v>9</v>
      </c>
      <c r="J7293" t="str" cm="1">
        <f t="array" ref="J7293">_xlfn.IFS(I7293&lt;=3,"small",I7293&lt;=6,"Medium",I7293&lt;=9,"Large")</f>
        <v>Large</v>
      </c>
      <c r="K7293" s="36">
        <v>45155</v>
      </c>
      <c r="L7293" s="36">
        <v>45161</v>
      </c>
      <c r="M7293" t="s">
        <v>598</v>
      </c>
      <c r="N7293" t="s">
        <v>608</v>
      </c>
      <c r="O7293" s="37" t="str">
        <f t="shared" si="568"/>
        <v>Cash Payment</v>
      </c>
      <c r="P7293">
        <v>185.77</v>
      </c>
      <c r="Q7293" s="37" t="str">
        <f>IF(P7293&gt;500,"High","low")</f>
        <v>low</v>
      </c>
      <c r="R7293" s="37" t="str">
        <f t="shared" si="569"/>
        <v>AVERAGE</v>
      </c>
      <c r="S7293" t="s">
        <v>600</v>
      </c>
    </row>
    <row r="7294" spans="1:19" x14ac:dyDescent="0.2">
      <c r="A7294" t="s">
        <v>7905</v>
      </c>
      <c r="B7294" t="s">
        <v>83</v>
      </c>
      <c r="C7294" t="s">
        <v>597</v>
      </c>
      <c r="D7294">
        <v>4962.3900000000003</v>
      </c>
      <c r="E7294" s="37" t="str">
        <f t="shared" si="565"/>
        <v>Excellent Order</v>
      </c>
      <c r="F7294">
        <v>0.36</v>
      </c>
      <c r="G7294" s="37" t="str">
        <f t="shared" si="566"/>
        <v>Heavy Discount</v>
      </c>
      <c r="H7294" s="37" t="str">
        <f t="shared" si="567"/>
        <v>Medium</v>
      </c>
      <c r="I7294">
        <v>4</v>
      </c>
      <c r="J7294" t="str" cm="1">
        <f t="array" ref="J7294">_xlfn.IFS(I7294&lt;=3,"small",I7294&lt;=6,"Medium",I7294&lt;=9,"Large")</f>
        <v>Medium</v>
      </c>
      <c r="K7294" s="36">
        <v>45168</v>
      </c>
      <c r="L7294" s="36">
        <v>45171</v>
      </c>
      <c r="M7294" t="s">
        <v>603</v>
      </c>
      <c r="N7294" t="s">
        <v>608</v>
      </c>
      <c r="O7294" s="37" t="str">
        <f t="shared" si="568"/>
        <v>Cash Payment</v>
      </c>
      <c r="P7294">
        <v>933.7</v>
      </c>
      <c r="Q7294" s="37" t="str">
        <f>IF(P7294&gt;500,"High","low")</f>
        <v>High</v>
      </c>
      <c r="R7294" s="37" t="str">
        <f t="shared" si="569"/>
        <v>Good</v>
      </c>
      <c r="S7294" t="s">
        <v>615</v>
      </c>
    </row>
    <row r="7295" spans="1:19" x14ac:dyDescent="0.2">
      <c r="A7295" t="s">
        <v>7906</v>
      </c>
      <c r="B7295" t="s">
        <v>83</v>
      </c>
      <c r="C7295" t="s">
        <v>617</v>
      </c>
      <c r="D7295">
        <v>607.41999999999996</v>
      </c>
      <c r="E7295" s="37" t="str">
        <f t="shared" si="565"/>
        <v xml:space="preserve"> </v>
      </c>
      <c r="F7295">
        <v>0.11</v>
      </c>
      <c r="G7295" s="37" t="str">
        <f t="shared" si="566"/>
        <v>Normal Discount</v>
      </c>
      <c r="H7295" s="37" t="str">
        <f t="shared" si="567"/>
        <v>Low</v>
      </c>
      <c r="I7295">
        <v>9</v>
      </c>
      <c r="J7295" t="str" cm="1">
        <f t="array" ref="J7295">_xlfn.IFS(I7295&lt;=3,"small",I7295&lt;=6,"Medium",I7295&lt;=9,"Large")</f>
        <v>Large</v>
      </c>
      <c r="K7295" s="36">
        <v>45436</v>
      </c>
      <c r="L7295" s="36">
        <v>45441</v>
      </c>
      <c r="M7295" t="s">
        <v>603</v>
      </c>
      <c r="N7295" t="s">
        <v>604</v>
      </c>
      <c r="O7295" s="37" t="str">
        <f t="shared" si="568"/>
        <v>Digital Payment</v>
      </c>
      <c r="P7295">
        <v>172.57</v>
      </c>
      <c r="Q7295" s="37" t="str">
        <f>IF(P7295&gt;500,"High","low")</f>
        <v>low</v>
      </c>
      <c r="R7295" s="37" t="str">
        <f t="shared" si="569"/>
        <v>AVERAGE</v>
      </c>
      <c r="S7295" t="s">
        <v>620</v>
      </c>
    </row>
    <row r="7296" spans="1:19" x14ac:dyDescent="0.2">
      <c r="A7296" t="s">
        <v>7907</v>
      </c>
      <c r="B7296" t="s">
        <v>83</v>
      </c>
      <c r="C7296" t="s">
        <v>607</v>
      </c>
      <c r="D7296">
        <v>2135.71</v>
      </c>
      <c r="E7296" s="37" t="str">
        <f t="shared" si="565"/>
        <v xml:space="preserve"> </v>
      </c>
      <c r="F7296">
        <v>0.24</v>
      </c>
      <c r="G7296" s="37" t="str">
        <f t="shared" si="566"/>
        <v>Normal Discount</v>
      </c>
      <c r="H7296" s="37" t="str">
        <f t="shared" si="567"/>
        <v>Medium</v>
      </c>
      <c r="I7296">
        <v>2</v>
      </c>
      <c r="J7296" t="str" cm="1">
        <f t="array" ref="J7296">_xlfn.IFS(I7296&lt;=3,"small",I7296&lt;=6,"Medium",I7296&lt;=9,"Large")</f>
        <v>small</v>
      </c>
      <c r="K7296" s="36">
        <v>45139</v>
      </c>
      <c r="L7296" s="36">
        <v>45146</v>
      </c>
      <c r="M7296" t="s">
        <v>612</v>
      </c>
      <c r="N7296" t="s">
        <v>604</v>
      </c>
      <c r="O7296" s="37" t="str">
        <f t="shared" si="568"/>
        <v>Digital Payment</v>
      </c>
      <c r="P7296">
        <v>126.95</v>
      </c>
      <c r="Q7296" s="37" t="str">
        <f>IF(P7296&gt;500,"High","low")</f>
        <v>low</v>
      </c>
      <c r="R7296" s="37" t="str">
        <f t="shared" si="569"/>
        <v>AVERAGE</v>
      </c>
      <c r="S7296" t="s">
        <v>605</v>
      </c>
    </row>
    <row r="7297" spans="1:19" x14ac:dyDescent="0.2">
      <c r="A7297" t="s">
        <v>7908</v>
      </c>
      <c r="B7297" t="s">
        <v>90</v>
      </c>
      <c r="C7297" t="s">
        <v>617</v>
      </c>
      <c r="D7297">
        <v>1270.8399999999999</v>
      </c>
      <c r="E7297" s="37" t="str">
        <f t="shared" si="565"/>
        <v xml:space="preserve"> </v>
      </c>
      <c r="F7297">
        <v>0.12</v>
      </c>
      <c r="G7297" s="37" t="str">
        <f t="shared" si="566"/>
        <v>Normal Discount</v>
      </c>
      <c r="H7297" s="37" t="str">
        <f t="shared" si="567"/>
        <v>Low</v>
      </c>
      <c r="I7297">
        <v>3</v>
      </c>
      <c r="J7297" t="str" cm="1">
        <f t="array" ref="J7297">_xlfn.IFS(I7297&lt;=3,"small",I7297&lt;=6,"Medium",I7297&lt;=9,"Large")</f>
        <v>small</v>
      </c>
      <c r="K7297" s="36">
        <v>45038</v>
      </c>
      <c r="L7297" s="36">
        <v>45042</v>
      </c>
      <c r="M7297" t="s">
        <v>603</v>
      </c>
      <c r="N7297" t="s">
        <v>604</v>
      </c>
      <c r="O7297" s="37" t="str">
        <f t="shared" si="568"/>
        <v>Digital Payment</v>
      </c>
      <c r="P7297">
        <v>281.55</v>
      </c>
      <c r="Q7297" s="37" t="str">
        <f>IF(P7297&gt;500,"High","low")</f>
        <v>low</v>
      </c>
      <c r="R7297" s="37" t="str">
        <f t="shared" si="569"/>
        <v>AVERAGE</v>
      </c>
      <c r="S7297" t="s">
        <v>615</v>
      </c>
    </row>
    <row r="7298" spans="1:19" x14ac:dyDescent="0.2">
      <c r="A7298" t="s">
        <v>7909</v>
      </c>
      <c r="B7298" t="s">
        <v>75</v>
      </c>
      <c r="C7298" t="s">
        <v>597</v>
      </c>
      <c r="D7298">
        <v>4773.8500000000004</v>
      </c>
      <c r="E7298" s="37" t="str">
        <f t="shared" si="565"/>
        <v xml:space="preserve"> </v>
      </c>
      <c r="F7298">
        <v>0.24</v>
      </c>
      <c r="G7298" s="37" t="str">
        <f t="shared" si="566"/>
        <v>Normal Discount</v>
      </c>
      <c r="H7298" s="37" t="str">
        <f t="shared" si="567"/>
        <v>Medium</v>
      </c>
      <c r="I7298">
        <v>1</v>
      </c>
      <c r="J7298" t="str" cm="1">
        <f t="array" ref="J7298">_xlfn.IFS(I7298&lt;=3,"small",I7298&lt;=6,"Medium",I7298&lt;=9,"Large")</f>
        <v>small</v>
      </c>
      <c r="K7298" s="36">
        <v>45129</v>
      </c>
      <c r="L7298" s="36">
        <v>45130</v>
      </c>
      <c r="M7298" t="s">
        <v>612</v>
      </c>
      <c r="N7298" t="s">
        <v>604</v>
      </c>
      <c r="O7298" s="37" t="str">
        <f t="shared" si="568"/>
        <v>Digital Payment</v>
      </c>
      <c r="P7298">
        <v>749.8</v>
      </c>
      <c r="Q7298" s="37" t="str">
        <f>IF(P7298&gt;500,"High","low")</f>
        <v>High</v>
      </c>
      <c r="R7298" s="37" t="str">
        <f t="shared" si="569"/>
        <v>Good</v>
      </c>
      <c r="S7298" t="s">
        <v>609</v>
      </c>
    </row>
    <row r="7299" spans="1:19" x14ac:dyDescent="0.2">
      <c r="A7299" t="s">
        <v>7910</v>
      </c>
      <c r="B7299" t="s">
        <v>83</v>
      </c>
      <c r="C7299" t="s">
        <v>607</v>
      </c>
      <c r="D7299">
        <v>3215.37</v>
      </c>
      <c r="E7299" s="37" t="str">
        <f t="shared" ref="E7299:E7362" si="570">IF(AND(D7299&gt;4000,P7299&gt;800),"Excellent Order"," ")</f>
        <v xml:space="preserve"> </v>
      </c>
      <c r="F7299">
        <v>0.09</v>
      </c>
      <c r="G7299" s="37" t="str">
        <f t="shared" ref="G7299:G7362" si="571">IF(F7299&gt;30%,"Heavy Discount","Normal Discount")</f>
        <v>Normal Discount</v>
      </c>
      <c r="H7299" s="37" t="str">
        <f t="shared" ref="H7299:H7362" si="572">IF(F7299&gt;0.4,"High",IF(F7299&gt;=0.2,"Medium","Low"))</f>
        <v>Low</v>
      </c>
      <c r="I7299">
        <v>7</v>
      </c>
      <c r="J7299" t="str" cm="1">
        <f t="array" ref="J7299">_xlfn.IFS(I7299&lt;=3,"small",I7299&lt;=6,"Medium",I7299&lt;=9,"Large")</f>
        <v>Large</v>
      </c>
      <c r="K7299" s="36">
        <v>45267</v>
      </c>
      <c r="L7299" s="36">
        <v>45270</v>
      </c>
      <c r="M7299" t="s">
        <v>603</v>
      </c>
      <c r="N7299" t="s">
        <v>604</v>
      </c>
      <c r="O7299" s="37" t="str">
        <f t="shared" ref="O7299:O7362" si="573">IF(OR(N7299="Card",N7299="UPI"),"Digital Payment","Cash Payment")</f>
        <v>Digital Payment</v>
      </c>
      <c r="P7299">
        <v>605.96</v>
      </c>
      <c r="Q7299" s="37" t="str">
        <f>IF(P7299&gt;500,"High","low")</f>
        <v>High</v>
      </c>
      <c r="R7299" s="37" t="str">
        <f t="shared" ref="R7299:R7362" si="574">IF(P7299&gt;1000,"Excellent",IF(P7299&gt;=500,"Good","AVERAGE"))</f>
        <v>Good</v>
      </c>
      <c r="S7299" t="s">
        <v>600</v>
      </c>
    </row>
    <row r="7300" spans="1:19" x14ac:dyDescent="0.2">
      <c r="A7300" t="s">
        <v>7911</v>
      </c>
      <c r="B7300" t="s">
        <v>90</v>
      </c>
      <c r="C7300" t="s">
        <v>607</v>
      </c>
      <c r="D7300">
        <v>3025.92</v>
      </c>
      <c r="E7300" s="37" t="str">
        <f t="shared" si="570"/>
        <v xml:space="preserve"> </v>
      </c>
      <c r="F7300">
        <v>0.3</v>
      </c>
      <c r="G7300" s="37" t="str">
        <f t="shared" si="571"/>
        <v>Normal Discount</v>
      </c>
      <c r="H7300" s="37" t="str">
        <f t="shared" si="572"/>
        <v>Medium</v>
      </c>
      <c r="I7300">
        <v>9</v>
      </c>
      <c r="J7300" t="str" cm="1">
        <f t="array" ref="J7300">_xlfn.IFS(I7300&lt;=3,"small",I7300&lt;=6,"Medium",I7300&lt;=9,"Large")</f>
        <v>Large</v>
      </c>
      <c r="K7300" s="36">
        <v>44963</v>
      </c>
      <c r="L7300" s="36">
        <v>44969</v>
      </c>
      <c r="M7300" t="s">
        <v>603</v>
      </c>
      <c r="N7300" t="s">
        <v>599</v>
      </c>
      <c r="O7300" s="37" t="str">
        <f t="shared" si="573"/>
        <v>Digital Payment</v>
      </c>
      <c r="P7300">
        <v>297.7</v>
      </c>
      <c r="Q7300" s="37" t="str">
        <f>IF(P7300&gt;500,"High","low")</f>
        <v>low</v>
      </c>
      <c r="R7300" s="37" t="str">
        <f t="shared" si="574"/>
        <v>AVERAGE</v>
      </c>
      <c r="S7300" t="s">
        <v>628</v>
      </c>
    </row>
    <row r="7301" spans="1:19" x14ac:dyDescent="0.2">
      <c r="A7301" t="s">
        <v>7912</v>
      </c>
      <c r="B7301" t="s">
        <v>75</v>
      </c>
      <c r="C7301" t="s">
        <v>602</v>
      </c>
      <c r="D7301">
        <v>4987.45</v>
      </c>
      <c r="E7301" s="37" t="str">
        <f t="shared" si="570"/>
        <v xml:space="preserve"> </v>
      </c>
      <c r="F7301">
        <v>0.46</v>
      </c>
      <c r="G7301" s="37" t="str">
        <f t="shared" si="571"/>
        <v>Heavy Discount</v>
      </c>
      <c r="H7301" s="37" t="str">
        <f t="shared" si="572"/>
        <v>High</v>
      </c>
      <c r="I7301">
        <v>3</v>
      </c>
      <c r="J7301" t="str" cm="1">
        <f t="array" ref="J7301">_xlfn.IFS(I7301&lt;=3,"small",I7301&lt;=6,"Medium",I7301&lt;=9,"Large")</f>
        <v>small</v>
      </c>
      <c r="K7301" s="36">
        <v>45570</v>
      </c>
      <c r="L7301" s="36">
        <v>45576</v>
      </c>
      <c r="M7301" t="s">
        <v>612</v>
      </c>
      <c r="N7301" t="s">
        <v>608</v>
      </c>
      <c r="O7301" s="37" t="str">
        <f t="shared" si="573"/>
        <v>Cash Payment</v>
      </c>
      <c r="P7301">
        <v>500.96</v>
      </c>
      <c r="Q7301" s="37" t="str">
        <f>IF(P7301&gt;500,"High","low")</f>
        <v>High</v>
      </c>
      <c r="R7301" s="37" t="str">
        <f t="shared" si="574"/>
        <v>Good</v>
      </c>
      <c r="S7301" t="s">
        <v>609</v>
      </c>
    </row>
    <row r="7302" spans="1:19" x14ac:dyDescent="0.2">
      <c r="A7302" t="s">
        <v>7913</v>
      </c>
      <c r="B7302" t="s">
        <v>67</v>
      </c>
      <c r="C7302" t="s">
        <v>607</v>
      </c>
      <c r="D7302">
        <v>3100.89</v>
      </c>
      <c r="E7302" s="37" t="str">
        <f t="shared" si="570"/>
        <v xml:space="preserve"> </v>
      </c>
      <c r="F7302">
        <v>0.4</v>
      </c>
      <c r="G7302" s="37" t="str">
        <f t="shared" si="571"/>
        <v>Heavy Discount</v>
      </c>
      <c r="H7302" s="37" t="str">
        <f t="shared" si="572"/>
        <v>Medium</v>
      </c>
      <c r="I7302">
        <v>8</v>
      </c>
      <c r="J7302" t="str" cm="1">
        <f t="array" ref="J7302">_xlfn.IFS(I7302&lt;=3,"small",I7302&lt;=6,"Medium",I7302&lt;=9,"Large")</f>
        <v>Large</v>
      </c>
      <c r="K7302" s="36">
        <v>45016</v>
      </c>
      <c r="L7302" s="36">
        <v>45023</v>
      </c>
      <c r="M7302" t="s">
        <v>612</v>
      </c>
      <c r="N7302" t="s">
        <v>604</v>
      </c>
      <c r="O7302" s="37" t="str">
        <f t="shared" si="573"/>
        <v>Digital Payment</v>
      </c>
      <c r="P7302">
        <v>720.48</v>
      </c>
      <c r="Q7302" s="37" t="str">
        <f>IF(P7302&gt;500,"High","low")</f>
        <v>High</v>
      </c>
      <c r="R7302" s="37" t="str">
        <f t="shared" si="574"/>
        <v>Good</v>
      </c>
      <c r="S7302" t="s">
        <v>609</v>
      </c>
    </row>
    <row r="7303" spans="1:19" x14ac:dyDescent="0.2">
      <c r="A7303" t="s">
        <v>7914</v>
      </c>
      <c r="B7303" t="s">
        <v>83</v>
      </c>
      <c r="C7303" t="s">
        <v>614</v>
      </c>
      <c r="D7303">
        <v>3266.18</v>
      </c>
      <c r="E7303" s="37" t="str">
        <f t="shared" si="570"/>
        <v xml:space="preserve"> </v>
      </c>
      <c r="F7303">
        <v>0.12</v>
      </c>
      <c r="G7303" s="37" t="str">
        <f t="shared" si="571"/>
        <v>Normal Discount</v>
      </c>
      <c r="H7303" s="37" t="str">
        <f t="shared" si="572"/>
        <v>Low</v>
      </c>
      <c r="I7303">
        <v>1</v>
      </c>
      <c r="J7303" t="str" cm="1">
        <f t="array" ref="J7303">_xlfn.IFS(I7303&lt;=3,"small",I7303&lt;=6,"Medium",I7303&lt;=9,"Large")</f>
        <v>small</v>
      </c>
      <c r="K7303" s="36">
        <v>45650</v>
      </c>
      <c r="L7303" s="36">
        <v>45654</v>
      </c>
      <c r="M7303" t="s">
        <v>603</v>
      </c>
      <c r="N7303" t="s">
        <v>608</v>
      </c>
      <c r="O7303" s="37" t="str">
        <f t="shared" si="573"/>
        <v>Cash Payment</v>
      </c>
      <c r="P7303">
        <v>790.46</v>
      </c>
      <c r="Q7303" s="37" t="str">
        <f>IF(P7303&gt;500,"High","low")</f>
        <v>High</v>
      </c>
      <c r="R7303" s="37" t="str">
        <f t="shared" si="574"/>
        <v>Good</v>
      </c>
      <c r="S7303" t="s">
        <v>620</v>
      </c>
    </row>
    <row r="7304" spans="1:19" x14ac:dyDescent="0.2">
      <c r="A7304" t="s">
        <v>7915</v>
      </c>
      <c r="B7304" t="s">
        <v>75</v>
      </c>
      <c r="C7304" t="s">
        <v>617</v>
      </c>
      <c r="D7304">
        <v>319.39</v>
      </c>
      <c r="E7304" s="37" t="str">
        <f t="shared" si="570"/>
        <v xml:space="preserve"> </v>
      </c>
      <c r="F7304">
        <v>0.25</v>
      </c>
      <c r="G7304" s="37" t="str">
        <f t="shared" si="571"/>
        <v>Normal Discount</v>
      </c>
      <c r="H7304" s="37" t="str">
        <f t="shared" si="572"/>
        <v>Medium</v>
      </c>
      <c r="I7304">
        <v>6</v>
      </c>
      <c r="J7304" t="str" cm="1">
        <f t="array" ref="J7304">_xlfn.IFS(I7304&lt;=3,"small",I7304&lt;=6,"Medium",I7304&lt;=9,"Large")</f>
        <v>Medium</v>
      </c>
      <c r="K7304" s="36">
        <v>45371</v>
      </c>
      <c r="L7304" s="36">
        <v>45378</v>
      </c>
      <c r="M7304" t="s">
        <v>612</v>
      </c>
      <c r="N7304" t="s">
        <v>604</v>
      </c>
      <c r="O7304" s="37" t="str">
        <f t="shared" si="573"/>
        <v>Digital Payment</v>
      </c>
      <c r="P7304">
        <v>67.099999999999994</v>
      </c>
      <c r="Q7304" s="37" t="str">
        <f>IF(P7304&gt;500,"High","low")</f>
        <v>low</v>
      </c>
      <c r="R7304" s="37" t="str">
        <f t="shared" si="574"/>
        <v>AVERAGE</v>
      </c>
      <c r="S7304" t="s">
        <v>620</v>
      </c>
    </row>
    <row r="7305" spans="1:19" x14ac:dyDescent="0.2">
      <c r="A7305" t="s">
        <v>7916</v>
      </c>
      <c r="B7305" t="s">
        <v>83</v>
      </c>
      <c r="C7305" t="s">
        <v>617</v>
      </c>
      <c r="D7305">
        <v>4309.3500000000004</v>
      </c>
      <c r="E7305" s="37" t="str">
        <f t="shared" si="570"/>
        <v xml:space="preserve"> </v>
      </c>
      <c r="F7305">
        <v>0.21</v>
      </c>
      <c r="G7305" s="37" t="str">
        <f t="shared" si="571"/>
        <v>Normal Discount</v>
      </c>
      <c r="H7305" s="37" t="str">
        <f t="shared" si="572"/>
        <v>Medium</v>
      </c>
      <c r="I7305">
        <v>6</v>
      </c>
      <c r="J7305" t="str" cm="1">
        <f t="array" ref="J7305">_xlfn.IFS(I7305&lt;=3,"small",I7305&lt;=6,"Medium",I7305&lt;=9,"Large")</f>
        <v>Medium</v>
      </c>
      <c r="K7305" s="36">
        <v>45253</v>
      </c>
      <c r="L7305" s="36">
        <v>45256</v>
      </c>
      <c r="M7305" t="s">
        <v>603</v>
      </c>
      <c r="N7305" t="s">
        <v>608</v>
      </c>
      <c r="O7305" s="37" t="str">
        <f t="shared" si="573"/>
        <v>Cash Payment</v>
      </c>
      <c r="P7305">
        <v>587.86</v>
      </c>
      <c r="Q7305" s="37" t="str">
        <f>IF(P7305&gt;500,"High","low")</f>
        <v>High</v>
      </c>
      <c r="R7305" s="37" t="str">
        <f t="shared" si="574"/>
        <v>Good</v>
      </c>
      <c r="S7305" t="s">
        <v>605</v>
      </c>
    </row>
    <row r="7306" spans="1:19" x14ac:dyDescent="0.2">
      <c r="A7306" t="s">
        <v>7917</v>
      </c>
      <c r="B7306" t="s">
        <v>83</v>
      </c>
      <c r="C7306" t="s">
        <v>602</v>
      </c>
      <c r="D7306">
        <v>4853.4399999999996</v>
      </c>
      <c r="E7306" s="37" t="str">
        <f t="shared" si="570"/>
        <v>Excellent Order</v>
      </c>
      <c r="F7306">
        <v>0.48</v>
      </c>
      <c r="G7306" s="37" t="str">
        <f t="shared" si="571"/>
        <v>Heavy Discount</v>
      </c>
      <c r="H7306" s="37" t="str">
        <f t="shared" si="572"/>
        <v>High</v>
      </c>
      <c r="I7306">
        <v>5</v>
      </c>
      <c r="J7306" t="str" cm="1">
        <f t="array" ref="J7306">_xlfn.IFS(I7306&lt;=3,"small",I7306&lt;=6,"Medium",I7306&lt;=9,"Large")</f>
        <v>Medium</v>
      </c>
      <c r="K7306" s="36">
        <v>45028</v>
      </c>
      <c r="L7306" s="36">
        <v>45035</v>
      </c>
      <c r="M7306" t="s">
        <v>603</v>
      </c>
      <c r="N7306" t="s">
        <v>604</v>
      </c>
      <c r="O7306" s="37" t="str">
        <f t="shared" si="573"/>
        <v>Digital Payment</v>
      </c>
      <c r="P7306">
        <v>1099.3900000000001</v>
      </c>
      <c r="Q7306" s="37" t="str">
        <f>IF(P7306&gt;500,"High","low")</f>
        <v>High</v>
      </c>
      <c r="R7306" s="37" t="str">
        <f t="shared" si="574"/>
        <v>Excellent</v>
      </c>
      <c r="S7306" t="s">
        <v>609</v>
      </c>
    </row>
    <row r="7307" spans="1:19" x14ac:dyDescent="0.2">
      <c r="A7307" t="s">
        <v>7918</v>
      </c>
      <c r="B7307" t="s">
        <v>83</v>
      </c>
      <c r="C7307" t="s">
        <v>607</v>
      </c>
      <c r="D7307">
        <v>4805.5200000000004</v>
      </c>
      <c r="E7307" s="37" t="str">
        <f t="shared" si="570"/>
        <v>Excellent Order</v>
      </c>
      <c r="F7307">
        <v>0.4</v>
      </c>
      <c r="G7307" s="37" t="str">
        <f t="shared" si="571"/>
        <v>Heavy Discount</v>
      </c>
      <c r="H7307" s="37" t="str">
        <f t="shared" si="572"/>
        <v>Medium</v>
      </c>
      <c r="I7307">
        <v>4</v>
      </c>
      <c r="J7307" t="str" cm="1">
        <f t="array" ref="J7307">_xlfn.IFS(I7307&lt;=3,"small",I7307&lt;=6,"Medium",I7307&lt;=9,"Large")</f>
        <v>Medium</v>
      </c>
      <c r="K7307" s="36">
        <v>45401</v>
      </c>
      <c r="L7307" s="36">
        <v>45404</v>
      </c>
      <c r="M7307" t="s">
        <v>612</v>
      </c>
      <c r="N7307" t="s">
        <v>604</v>
      </c>
      <c r="O7307" s="37" t="str">
        <f t="shared" si="573"/>
        <v>Digital Payment</v>
      </c>
      <c r="P7307">
        <v>862.54</v>
      </c>
      <c r="Q7307" s="37" t="str">
        <f>IF(P7307&gt;500,"High","low")</f>
        <v>High</v>
      </c>
      <c r="R7307" s="37" t="str">
        <f t="shared" si="574"/>
        <v>Good</v>
      </c>
      <c r="S7307" t="s">
        <v>605</v>
      </c>
    </row>
    <row r="7308" spans="1:19" x14ac:dyDescent="0.2">
      <c r="A7308" t="s">
        <v>7919</v>
      </c>
      <c r="B7308" t="s">
        <v>75</v>
      </c>
      <c r="C7308" t="s">
        <v>597</v>
      </c>
      <c r="D7308">
        <v>1183.42</v>
      </c>
      <c r="E7308" s="37" t="str">
        <f t="shared" si="570"/>
        <v xml:space="preserve"> </v>
      </c>
      <c r="F7308">
        <v>0.05</v>
      </c>
      <c r="G7308" s="37" t="str">
        <f t="shared" si="571"/>
        <v>Normal Discount</v>
      </c>
      <c r="H7308" s="37" t="str">
        <f t="shared" si="572"/>
        <v>Low</v>
      </c>
      <c r="I7308">
        <v>3</v>
      </c>
      <c r="J7308" t="str" cm="1">
        <f t="array" ref="J7308">_xlfn.IFS(I7308&lt;=3,"small",I7308&lt;=6,"Medium",I7308&lt;=9,"Large")</f>
        <v>small</v>
      </c>
      <c r="K7308" s="36">
        <v>45485</v>
      </c>
      <c r="L7308" s="36">
        <v>45489</v>
      </c>
      <c r="M7308" t="s">
        <v>598</v>
      </c>
      <c r="N7308" t="s">
        <v>608</v>
      </c>
      <c r="O7308" s="37" t="str">
        <f t="shared" si="573"/>
        <v>Cash Payment</v>
      </c>
      <c r="P7308">
        <v>266.58999999999997</v>
      </c>
      <c r="Q7308" s="37" t="str">
        <f>IF(P7308&gt;500,"High","low")</f>
        <v>low</v>
      </c>
      <c r="R7308" s="37" t="str">
        <f t="shared" si="574"/>
        <v>AVERAGE</v>
      </c>
      <c r="S7308" t="s">
        <v>615</v>
      </c>
    </row>
    <row r="7309" spans="1:19" x14ac:dyDescent="0.2">
      <c r="A7309" t="s">
        <v>7920</v>
      </c>
      <c r="B7309" t="s">
        <v>90</v>
      </c>
      <c r="C7309" t="s">
        <v>614</v>
      </c>
      <c r="D7309">
        <v>1206.99</v>
      </c>
      <c r="E7309" s="37" t="str">
        <f t="shared" si="570"/>
        <v xml:space="preserve"> </v>
      </c>
      <c r="F7309">
        <v>0.08</v>
      </c>
      <c r="G7309" s="37" t="str">
        <f t="shared" si="571"/>
        <v>Normal Discount</v>
      </c>
      <c r="H7309" s="37" t="str">
        <f t="shared" si="572"/>
        <v>Low</v>
      </c>
      <c r="I7309">
        <v>4</v>
      </c>
      <c r="J7309" t="str" cm="1">
        <f t="array" ref="J7309">_xlfn.IFS(I7309&lt;=3,"small",I7309&lt;=6,"Medium",I7309&lt;=9,"Large")</f>
        <v>Medium</v>
      </c>
      <c r="K7309" s="36">
        <v>45558</v>
      </c>
      <c r="L7309" s="36">
        <v>45564</v>
      </c>
      <c r="M7309" t="s">
        <v>598</v>
      </c>
      <c r="N7309" t="s">
        <v>599</v>
      </c>
      <c r="O7309" s="37" t="str">
        <f t="shared" si="573"/>
        <v>Digital Payment</v>
      </c>
      <c r="P7309">
        <v>125.33</v>
      </c>
      <c r="Q7309" s="37" t="str">
        <f>IF(P7309&gt;500,"High","low")</f>
        <v>low</v>
      </c>
      <c r="R7309" s="37" t="str">
        <f t="shared" si="574"/>
        <v>AVERAGE</v>
      </c>
      <c r="S7309" t="s">
        <v>600</v>
      </c>
    </row>
    <row r="7310" spans="1:19" x14ac:dyDescent="0.2">
      <c r="A7310" t="s">
        <v>7921</v>
      </c>
      <c r="B7310" t="s">
        <v>75</v>
      </c>
      <c r="C7310" t="s">
        <v>602</v>
      </c>
      <c r="D7310">
        <v>1893.63</v>
      </c>
      <c r="E7310" s="37" t="str">
        <f t="shared" si="570"/>
        <v xml:space="preserve"> </v>
      </c>
      <c r="F7310">
        <v>0.35</v>
      </c>
      <c r="G7310" s="37" t="str">
        <f t="shared" si="571"/>
        <v>Heavy Discount</v>
      </c>
      <c r="H7310" s="37" t="str">
        <f t="shared" si="572"/>
        <v>Medium</v>
      </c>
      <c r="I7310">
        <v>7</v>
      </c>
      <c r="J7310" t="str" cm="1">
        <f t="array" ref="J7310">_xlfn.IFS(I7310&lt;=3,"small",I7310&lt;=6,"Medium",I7310&lt;=9,"Large")</f>
        <v>Large</v>
      </c>
      <c r="K7310" s="36">
        <v>45455</v>
      </c>
      <c r="L7310" s="36">
        <v>45462</v>
      </c>
      <c r="M7310" t="s">
        <v>598</v>
      </c>
      <c r="N7310" t="s">
        <v>604</v>
      </c>
      <c r="O7310" s="37" t="str">
        <f t="shared" si="573"/>
        <v>Digital Payment</v>
      </c>
      <c r="P7310">
        <v>327.55</v>
      </c>
      <c r="Q7310" s="37" t="str">
        <f>IF(P7310&gt;500,"High","low")</f>
        <v>low</v>
      </c>
      <c r="R7310" s="37" t="str">
        <f t="shared" si="574"/>
        <v>AVERAGE</v>
      </c>
      <c r="S7310" t="s">
        <v>609</v>
      </c>
    </row>
    <row r="7311" spans="1:19" x14ac:dyDescent="0.2">
      <c r="A7311" t="s">
        <v>7922</v>
      </c>
      <c r="B7311" t="s">
        <v>83</v>
      </c>
      <c r="C7311" t="s">
        <v>607</v>
      </c>
      <c r="D7311">
        <v>1620.03</v>
      </c>
      <c r="E7311" s="37" t="str">
        <f t="shared" si="570"/>
        <v xml:space="preserve"> </v>
      </c>
      <c r="F7311">
        <v>0.08</v>
      </c>
      <c r="G7311" s="37" t="str">
        <f t="shared" si="571"/>
        <v>Normal Discount</v>
      </c>
      <c r="H7311" s="37" t="str">
        <f t="shared" si="572"/>
        <v>Low</v>
      </c>
      <c r="I7311">
        <v>7</v>
      </c>
      <c r="J7311" t="str" cm="1">
        <f t="array" ref="J7311">_xlfn.IFS(I7311&lt;=3,"small",I7311&lt;=6,"Medium",I7311&lt;=9,"Large")</f>
        <v>Large</v>
      </c>
      <c r="K7311" s="36">
        <v>45104</v>
      </c>
      <c r="L7311" s="36">
        <v>45105</v>
      </c>
      <c r="M7311" t="s">
        <v>598</v>
      </c>
      <c r="N7311" t="s">
        <v>599</v>
      </c>
      <c r="O7311" s="37" t="str">
        <f t="shared" si="573"/>
        <v>Digital Payment</v>
      </c>
      <c r="P7311">
        <v>131.94999999999999</v>
      </c>
      <c r="Q7311" s="37" t="str">
        <f>IF(P7311&gt;500,"High","low")</f>
        <v>low</v>
      </c>
      <c r="R7311" s="37" t="str">
        <f t="shared" si="574"/>
        <v>AVERAGE</v>
      </c>
      <c r="S7311" t="s">
        <v>628</v>
      </c>
    </row>
    <row r="7312" spans="1:19" x14ac:dyDescent="0.2">
      <c r="A7312" t="s">
        <v>7923</v>
      </c>
      <c r="B7312" t="s">
        <v>75</v>
      </c>
      <c r="C7312" t="s">
        <v>597</v>
      </c>
      <c r="D7312">
        <v>1597.51</v>
      </c>
      <c r="E7312" s="37" t="str">
        <f t="shared" si="570"/>
        <v xml:space="preserve"> </v>
      </c>
      <c r="F7312">
        <v>0.48</v>
      </c>
      <c r="G7312" s="37" t="str">
        <f t="shared" si="571"/>
        <v>Heavy Discount</v>
      </c>
      <c r="H7312" s="37" t="str">
        <f t="shared" si="572"/>
        <v>High</v>
      </c>
      <c r="I7312">
        <v>3</v>
      </c>
      <c r="J7312" t="str" cm="1">
        <f t="array" ref="J7312">_xlfn.IFS(I7312&lt;=3,"small",I7312&lt;=6,"Medium",I7312&lt;=9,"Large")</f>
        <v>small</v>
      </c>
      <c r="K7312" s="36">
        <v>45632</v>
      </c>
      <c r="L7312" s="36">
        <v>45633</v>
      </c>
      <c r="M7312" t="s">
        <v>612</v>
      </c>
      <c r="N7312" t="s">
        <v>599</v>
      </c>
      <c r="O7312" s="37" t="str">
        <f t="shared" si="573"/>
        <v>Digital Payment</v>
      </c>
      <c r="P7312">
        <v>464.22</v>
      </c>
      <c r="Q7312" s="37" t="str">
        <f>IF(P7312&gt;500,"High","low")</f>
        <v>low</v>
      </c>
      <c r="R7312" s="37" t="str">
        <f t="shared" si="574"/>
        <v>AVERAGE</v>
      </c>
      <c r="S7312" t="s">
        <v>600</v>
      </c>
    </row>
    <row r="7313" spans="1:19" x14ac:dyDescent="0.2">
      <c r="A7313" t="s">
        <v>7924</v>
      </c>
      <c r="B7313" t="s">
        <v>67</v>
      </c>
      <c r="C7313" t="s">
        <v>607</v>
      </c>
      <c r="D7313">
        <v>3065.56</v>
      </c>
      <c r="E7313" s="37" t="str">
        <f t="shared" si="570"/>
        <v xml:space="preserve"> </v>
      </c>
      <c r="F7313">
        <v>0.5</v>
      </c>
      <c r="G7313" s="37" t="str">
        <f t="shared" si="571"/>
        <v>Heavy Discount</v>
      </c>
      <c r="H7313" s="37" t="str">
        <f t="shared" si="572"/>
        <v>High</v>
      </c>
      <c r="I7313">
        <v>3</v>
      </c>
      <c r="J7313" t="str" cm="1">
        <f t="array" ref="J7313">_xlfn.IFS(I7313&lt;=3,"small",I7313&lt;=6,"Medium",I7313&lt;=9,"Large")</f>
        <v>small</v>
      </c>
      <c r="K7313" s="36">
        <v>45345</v>
      </c>
      <c r="L7313" s="36">
        <v>45351</v>
      </c>
      <c r="M7313" t="s">
        <v>603</v>
      </c>
      <c r="N7313" t="s">
        <v>608</v>
      </c>
      <c r="O7313" s="37" t="str">
        <f t="shared" si="573"/>
        <v>Cash Payment</v>
      </c>
      <c r="P7313">
        <v>914.79</v>
      </c>
      <c r="Q7313" s="37" t="str">
        <f>IF(P7313&gt;500,"High","low")</f>
        <v>High</v>
      </c>
      <c r="R7313" s="37" t="str">
        <f t="shared" si="574"/>
        <v>Good</v>
      </c>
      <c r="S7313" t="s">
        <v>605</v>
      </c>
    </row>
    <row r="7314" spans="1:19" x14ac:dyDescent="0.2">
      <c r="A7314" t="s">
        <v>7925</v>
      </c>
      <c r="B7314" t="s">
        <v>90</v>
      </c>
      <c r="C7314" t="s">
        <v>602</v>
      </c>
      <c r="D7314">
        <v>4047.48</v>
      </c>
      <c r="E7314" s="37" t="str">
        <f t="shared" si="570"/>
        <v xml:space="preserve"> </v>
      </c>
      <c r="F7314">
        <v>0.39</v>
      </c>
      <c r="G7314" s="37" t="str">
        <f t="shared" si="571"/>
        <v>Heavy Discount</v>
      </c>
      <c r="H7314" s="37" t="str">
        <f t="shared" si="572"/>
        <v>Medium</v>
      </c>
      <c r="I7314">
        <v>3</v>
      </c>
      <c r="J7314" t="str" cm="1">
        <f t="array" ref="J7314">_xlfn.IFS(I7314&lt;=3,"small",I7314&lt;=6,"Medium",I7314&lt;=9,"Large")</f>
        <v>small</v>
      </c>
      <c r="K7314" s="36">
        <v>45444</v>
      </c>
      <c r="L7314" s="36">
        <v>45448</v>
      </c>
      <c r="M7314" t="s">
        <v>598</v>
      </c>
      <c r="N7314" t="s">
        <v>604</v>
      </c>
      <c r="O7314" s="37" t="str">
        <f t="shared" si="573"/>
        <v>Digital Payment</v>
      </c>
      <c r="P7314">
        <v>636.73</v>
      </c>
      <c r="Q7314" s="37" t="str">
        <f>IF(P7314&gt;500,"High","low")</f>
        <v>High</v>
      </c>
      <c r="R7314" s="37" t="str">
        <f t="shared" si="574"/>
        <v>Good</v>
      </c>
      <c r="S7314" t="s">
        <v>600</v>
      </c>
    </row>
    <row r="7315" spans="1:19" x14ac:dyDescent="0.2">
      <c r="A7315" t="s">
        <v>7926</v>
      </c>
      <c r="B7315" t="s">
        <v>75</v>
      </c>
      <c r="C7315" t="s">
        <v>597</v>
      </c>
      <c r="D7315">
        <v>4690.16</v>
      </c>
      <c r="E7315" s="37" t="str">
        <f t="shared" si="570"/>
        <v xml:space="preserve"> </v>
      </c>
      <c r="F7315">
        <v>0.01</v>
      </c>
      <c r="G7315" s="37" t="str">
        <f t="shared" si="571"/>
        <v>Normal Discount</v>
      </c>
      <c r="H7315" s="37" t="str">
        <f t="shared" si="572"/>
        <v>Low</v>
      </c>
      <c r="I7315">
        <v>5</v>
      </c>
      <c r="J7315" t="str" cm="1">
        <f t="array" ref="J7315">_xlfn.IFS(I7315&lt;=3,"small",I7315&lt;=6,"Medium",I7315&lt;=9,"Large")</f>
        <v>Medium</v>
      </c>
      <c r="K7315" s="36">
        <v>45441</v>
      </c>
      <c r="L7315" s="36">
        <v>45444</v>
      </c>
      <c r="M7315" t="s">
        <v>603</v>
      </c>
      <c r="N7315" t="s">
        <v>608</v>
      </c>
      <c r="O7315" s="37" t="str">
        <f t="shared" si="573"/>
        <v>Cash Payment</v>
      </c>
      <c r="P7315">
        <v>699.17</v>
      </c>
      <c r="Q7315" s="37" t="str">
        <f>IF(P7315&gt;500,"High","low")</f>
        <v>High</v>
      </c>
      <c r="R7315" s="37" t="str">
        <f t="shared" si="574"/>
        <v>Good</v>
      </c>
      <c r="S7315" t="s">
        <v>628</v>
      </c>
    </row>
    <row r="7316" spans="1:19" x14ac:dyDescent="0.2">
      <c r="A7316" t="s">
        <v>7927</v>
      </c>
      <c r="B7316" t="s">
        <v>67</v>
      </c>
      <c r="C7316" t="s">
        <v>597</v>
      </c>
      <c r="D7316">
        <v>432.52</v>
      </c>
      <c r="E7316" s="37" t="str">
        <f t="shared" si="570"/>
        <v xml:space="preserve"> </v>
      </c>
      <c r="F7316">
        <v>0.24</v>
      </c>
      <c r="G7316" s="37" t="str">
        <f t="shared" si="571"/>
        <v>Normal Discount</v>
      </c>
      <c r="H7316" s="37" t="str">
        <f t="shared" si="572"/>
        <v>Medium</v>
      </c>
      <c r="I7316">
        <v>1</v>
      </c>
      <c r="J7316" t="str" cm="1">
        <f t="array" ref="J7316">_xlfn.IFS(I7316&lt;=3,"small",I7316&lt;=6,"Medium",I7316&lt;=9,"Large")</f>
        <v>small</v>
      </c>
      <c r="K7316" s="36">
        <v>45637</v>
      </c>
      <c r="L7316" s="36">
        <v>45643</v>
      </c>
      <c r="M7316" t="s">
        <v>612</v>
      </c>
      <c r="N7316" t="s">
        <v>604</v>
      </c>
      <c r="O7316" s="37" t="str">
        <f t="shared" si="573"/>
        <v>Digital Payment</v>
      </c>
      <c r="P7316">
        <v>67.89</v>
      </c>
      <c r="Q7316" s="37" t="str">
        <f>IF(P7316&gt;500,"High","low")</f>
        <v>low</v>
      </c>
      <c r="R7316" s="37" t="str">
        <f t="shared" si="574"/>
        <v>AVERAGE</v>
      </c>
      <c r="S7316" t="s">
        <v>620</v>
      </c>
    </row>
    <row r="7317" spans="1:19" x14ac:dyDescent="0.2">
      <c r="A7317" t="s">
        <v>7928</v>
      </c>
      <c r="B7317" t="s">
        <v>90</v>
      </c>
      <c r="C7317" t="s">
        <v>597</v>
      </c>
      <c r="D7317">
        <v>1462.09</v>
      </c>
      <c r="E7317" s="37" t="str">
        <f t="shared" si="570"/>
        <v xml:space="preserve"> </v>
      </c>
      <c r="F7317">
        <v>0.2</v>
      </c>
      <c r="G7317" s="37" t="str">
        <f t="shared" si="571"/>
        <v>Normal Discount</v>
      </c>
      <c r="H7317" s="37" t="str">
        <f t="shared" si="572"/>
        <v>Medium</v>
      </c>
      <c r="I7317">
        <v>7</v>
      </c>
      <c r="J7317" t="str" cm="1">
        <f t="array" ref="J7317">_xlfn.IFS(I7317&lt;=3,"small",I7317&lt;=6,"Medium",I7317&lt;=9,"Large")</f>
        <v>Large</v>
      </c>
      <c r="K7317" s="36">
        <v>44961</v>
      </c>
      <c r="L7317" s="36">
        <v>44967</v>
      </c>
      <c r="M7317" t="s">
        <v>612</v>
      </c>
      <c r="N7317" t="s">
        <v>599</v>
      </c>
      <c r="O7317" s="37" t="str">
        <f t="shared" si="573"/>
        <v>Digital Payment</v>
      </c>
      <c r="P7317">
        <v>141.29</v>
      </c>
      <c r="Q7317" s="37" t="str">
        <f>IF(P7317&gt;500,"High","low")</f>
        <v>low</v>
      </c>
      <c r="R7317" s="37" t="str">
        <f t="shared" si="574"/>
        <v>AVERAGE</v>
      </c>
      <c r="S7317" t="s">
        <v>628</v>
      </c>
    </row>
    <row r="7318" spans="1:19" x14ac:dyDescent="0.2">
      <c r="A7318" t="s">
        <v>7929</v>
      </c>
      <c r="B7318" t="s">
        <v>67</v>
      </c>
      <c r="C7318" t="s">
        <v>597</v>
      </c>
      <c r="D7318">
        <v>1349.57</v>
      </c>
      <c r="E7318" s="37" t="str">
        <f t="shared" si="570"/>
        <v xml:space="preserve"> </v>
      </c>
      <c r="F7318">
        <v>0.4</v>
      </c>
      <c r="G7318" s="37" t="str">
        <f t="shared" si="571"/>
        <v>Heavy Discount</v>
      </c>
      <c r="H7318" s="37" t="str">
        <f t="shared" si="572"/>
        <v>Medium</v>
      </c>
      <c r="I7318">
        <v>8</v>
      </c>
      <c r="J7318" t="str" cm="1">
        <f t="array" ref="J7318">_xlfn.IFS(I7318&lt;=3,"small",I7318&lt;=6,"Medium",I7318&lt;=9,"Large")</f>
        <v>Large</v>
      </c>
      <c r="K7318" s="36">
        <v>45165</v>
      </c>
      <c r="L7318" s="36">
        <v>45168</v>
      </c>
      <c r="M7318" t="s">
        <v>598</v>
      </c>
      <c r="N7318" t="s">
        <v>599</v>
      </c>
      <c r="O7318" s="37" t="str">
        <f t="shared" si="573"/>
        <v>Digital Payment</v>
      </c>
      <c r="P7318">
        <v>137.68</v>
      </c>
      <c r="Q7318" s="37" t="str">
        <f>IF(P7318&gt;500,"High","low")</f>
        <v>low</v>
      </c>
      <c r="R7318" s="37" t="str">
        <f t="shared" si="574"/>
        <v>AVERAGE</v>
      </c>
      <c r="S7318" t="s">
        <v>620</v>
      </c>
    </row>
    <row r="7319" spans="1:19" x14ac:dyDescent="0.2">
      <c r="A7319" t="s">
        <v>7930</v>
      </c>
      <c r="B7319" t="s">
        <v>90</v>
      </c>
      <c r="C7319" t="s">
        <v>607</v>
      </c>
      <c r="D7319">
        <v>1851.45</v>
      </c>
      <c r="E7319" s="37" t="str">
        <f t="shared" si="570"/>
        <v xml:space="preserve"> </v>
      </c>
      <c r="F7319">
        <v>0.14000000000000001</v>
      </c>
      <c r="G7319" s="37" t="str">
        <f t="shared" si="571"/>
        <v>Normal Discount</v>
      </c>
      <c r="H7319" s="37" t="str">
        <f t="shared" si="572"/>
        <v>Low</v>
      </c>
      <c r="I7319">
        <v>7</v>
      </c>
      <c r="J7319" t="str" cm="1">
        <f t="array" ref="J7319">_xlfn.IFS(I7319&lt;=3,"small",I7319&lt;=6,"Medium",I7319&lt;=9,"Large")</f>
        <v>Large</v>
      </c>
      <c r="K7319" s="36">
        <v>45515</v>
      </c>
      <c r="L7319" s="36">
        <v>45519</v>
      </c>
      <c r="M7319" t="s">
        <v>603</v>
      </c>
      <c r="N7319" t="s">
        <v>599</v>
      </c>
      <c r="O7319" s="37" t="str">
        <f t="shared" si="573"/>
        <v>Digital Payment</v>
      </c>
      <c r="P7319">
        <v>543.85</v>
      </c>
      <c r="Q7319" s="37" t="str">
        <f>IF(P7319&gt;500,"High","low")</f>
        <v>High</v>
      </c>
      <c r="R7319" s="37" t="str">
        <f t="shared" si="574"/>
        <v>Good</v>
      </c>
      <c r="S7319" t="s">
        <v>620</v>
      </c>
    </row>
    <row r="7320" spans="1:19" x14ac:dyDescent="0.2">
      <c r="A7320" t="s">
        <v>7931</v>
      </c>
      <c r="B7320" t="s">
        <v>75</v>
      </c>
      <c r="C7320" t="s">
        <v>597</v>
      </c>
      <c r="D7320">
        <v>2179.2399999999998</v>
      </c>
      <c r="E7320" s="37" t="str">
        <f t="shared" si="570"/>
        <v xml:space="preserve"> </v>
      </c>
      <c r="F7320">
        <v>0.19</v>
      </c>
      <c r="G7320" s="37" t="str">
        <f t="shared" si="571"/>
        <v>Normal Discount</v>
      </c>
      <c r="H7320" s="37" t="str">
        <f t="shared" si="572"/>
        <v>Low</v>
      </c>
      <c r="I7320">
        <v>8</v>
      </c>
      <c r="J7320" t="str" cm="1">
        <f t="array" ref="J7320">_xlfn.IFS(I7320&lt;=3,"small",I7320&lt;=6,"Medium",I7320&lt;=9,"Large")</f>
        <v>Large</v>
      </c>
      <c r="K7320" s="36">
        <v>45540</v>
      </c>
      <c r="L7320" s="36">
        <v>45544</v>
      </c>
      <c r="M7320" t="s">
        <v>612</v>
      </c>
      <c r="N7320" t="s">
        <v>604</v>
      </c>
      <c r="O7320" s="37" t="str">
        <f t="shared" si="573"/>
        <v>Digital Payment</v>
      </c>
      <c r="P7320">
        <v>293.69</v>
      </c>
      <c r="Q7320" s="37" t="str">
        <f>IF(P7320&gt;500,"High","low")</f>
        <v>low</v>
      </c>
      <c r="R7320" s="37" t="str">
        <f t="shared" si="574"/>
        <v>AVERAGE</v>
      </c>
      <c r="S7320" t="s">
        <v>600</v>
      </c>
    </row>
    <row r="7321" spans="1:19" x14ac:dyDescent="0.2">
      <c r="A7321" t="s">
        <v>7932</v>
      </c>
      <c r="B7321" t="s">
        <v>67</v>
      </c>
      <c r="C7321" t="s">
        <v>607</v>
      </c>
      <c r="D7321">
        <v>2006.94</v>
      </c>
      <c r="E7321" s="37" t="str">
        <f t="shared" si="570"/>
        <v xml:space="preserve"> </v>
      </c>
      <c r="F7321">
        <v>0.05</v>
      </c>
      <c r="G7321" s="37" t="str">
        <f t="shared" si="571"/>
        <v>Normal Discount</v>
      </c>
      <c r="H7321" s="37" t="str">
        <f t="shared" si="572"/>
        <v>Low</v>
      </c>
      <c r="I7321">
        <v>9</v>
      </c>
      <c r="J7321" t="str" cm="1">
        <f t="array" ref="J7321">_xlfn.IFS(I7321&lt;=3,"small",I7321&lt;=6,"Medium",I7321&lt;=9,"Large")</f>
        <v>Large</v>
      </c>
      <c r="K7321" s="36">
        <v>45376</v>
      </c>
      <c r="L7321" s="36">
        <v>45381</v>
      </c>
      <c r="M7321" t="s">
        <v>598</v>
      </c>
      <c r="N7321" t="s">
        <v>604</v>
      </c>
      <c r="O7321" s="37" t="str">
        <f t="shared" si="573"/>
        <v>Digital Payment</v>
      </c>
      <c r="P7321">
        <v>537.01</v>
      </c>
      <c r="Q7321" s="37" t="str">
        <f>IF(P7321&gt;500,"High","low")</f>
        <v>High</v>
      </c>
      <c r="R7321" s="37" t="str">
        <f t="shared" si="574"/>
        <v>Good</v>
      </c>
      <c r="S7321" t="s">
        <v>620</v>
      </c>
    </row>
    <row r="7322" spans="1:19" x14ac:dyDescent="0.2">
      <c r="A7322" t="s">
        <v>7933</v>
      </c>
      <c r="B7322" t="s">
        <v>83</v>
      </c>
      <c r="C7322" t="s">
        <v>597</v>
      </c>
      <c r="D7322">
        <v>4765.5200000000004</v>
      </c>
      <c r="E7322" s="37" t="str">
        <f t="shared" si="570"/>
        <v xml:space="preserve"> </v>
      </c>
      <c r="F7322">
        <v>0.17</v>
      </c>
      <c r="G7322" s="37" t="str">
        <f t="shared" si="571"/>
        <v>Normal Discount</v>
      </c>
      <c r="H7322" s="37" t="str">
        <f t="shared" si="572"/>
        <v>Low</v>
      </c>
      <c r="I7322">
        <v>4</v>
      </c>
      <c r="J7322" t="str" cm="1">
        <f t="array" ref="J7322">_xlfn.IFS(I7322&lt;=3,"small",I7322&lt;=6,"Medium",I7322&lt;=9,"Large")</f>
        <v>Medium</v>
      </c>
      <c r="K7322" s="36">
        <v>45504</v>
      </c>
      <c r="L7322" s="36">
        <v>45505</v>
      </c>
      <c r="M7322" t="s">
        <v>603</v>
      </c>
      <c r="N7322" t="s">
        <v>599</v>
      </c>
      <c r="O7322" s="37" t="str">
        <f t="shared" si="573"/>
        <v>Digital Payment</v>
      </c>
      <c r="P7322">
        <v>247.39</v>
      </c>
      <c r="Q7322" s="37" t="str">
        <f>IF(P7322&gt;500,"High","low")</f>
        <v>low</v>
      </c>
      <c r="R7322" s="37" t="str">
        <f t="shared" si="574"/>
        <v>AVERAGE</v>
      </c>
      <c r="S7322" t="s">
        <v>600</v>
      </c>
    </row>
    <row r="7323" spans="1:19" x14ac:dyDescent="0.2">
      <c r="A7323" t="s">
        <v>7934</v>
      </c>
      <c r="B7323" t="s">
        <v>67</v>
      </c>
      <c r="C7323" t="s">
        <v>597</v>
      </c>
      <c r="D7323">
        <v>2241.9299999999998</v>
      </c>
      <c r="E7323" s="37" t="str">
        <f t="shared" si="570"/>
        <v xml:space="preserve"> </v>
      </c>
      <c r="F7323">
        <v>0.49</v>
      </c>
      <c r="G7323" s="37" t="str">
        <f t="shared" si="571"/>
        <v>Heavy Discount</v>
      </c>
      <c r="H7323" s="37" t="str">
        <f t="shared" si="572"/>
        <v>High</v>
      </c>
      <c r="I7323">
        <v>3</v>
      </c>
      <c r="J7323" t="str" cm="1">
        <f t="array" ref="J7323">_xlfn.IFS(I7323&lt;=3,"small",I7323&lt;=6,"Medium",I7323&lt;=9,"Large")</f>
        <v>small</v>
      </c>
      <c r="K7323" s="36">
        <v>44977</v>
      </c>
      <c r="L7323" s="36">
        <v>44980</v>
      </c>
      <c r="M7323" t="s">
        <v>598</v>
      </c>
      <c r="N7323" t="s">
        <v>599</v>
      </c>
      <c r="O7323" s="37" t="str">
        <f t="shared" si="573"/>
        <v>Digital Payment</v>
      </c>
      <c r="P7323">
        <v>446.31</v>
      </c>
      <c r="Q7323" s="37" t="str">
        <f>IF(P7323&gt;500,"High","low")</f>
        <v>low</v>
      </c>
      <c r="R7323" s="37" t="str">
        <f t="shared" si="574"/>
        <v>AVERAGE</v>
      </c>
      <c r="S7323" t="s">
        <v>615</v>
      </c>
    </row>
    <row r="7324" spans="1:19" x14ac:dyDescent="0.2">
      <c r="A7324" t="s">
        <v>7935</v>
      </c>
      <c r="B7324" t="s">
        <v>90</v>
      </c>
      <c r="C7324" t="s">
        <v>602</v>
      </c>
      <c r="D7324">
        <v>2802.8</v>
      </c>
      <c r="E7324" s="37" t="str">
        <f t="shared" si="570"/>
        <v xml:space="preserve"> </v>
      </c>
      <c r="F7324">
        <v>0.47</v>
      </c>
      <c r="G7324" s="37" t="str">
        <f t="shared" si="571"/>
        <v>Heavy Discount</v>
      </c>
      <c r="H7324" s="37" t="str">
        <f t="shared" si="572"/>
        <v>High</v>
      </c>
      <c r="I7324">
        <v>7</v>
      </c>
      <c r="J7324" t="str" cm="1">
        <f t="array" ref="J7324">_xlfn.IFS(I7324&lt;=3,"small",I7324&lt;=6,"Medium",I7324&lt;=9,"Large")</f>
        <v>Large</v>
      </c>
      <c r="K7324" s="36">
        <v>45562</v>
      </c>
      <c r="L7324" s="36">
        <v>45565</v>
      </c>
      <c r="M7324" t="s">
        <v>603</v>
      </c>
      <c r="N7324" t="s">
        <v>599</v>
      </c>
      <c r="O7324" s="37" t="str">
        <f t="shared" si="573"/>
        <v>Digital Payment</v>
      </c>
      <c r="P7324">
        <v>299.72000000000003</v>
      </c>
      <c r="Q7324" s="37" t="str">
        <f>IF(P7324&gt;500,"High","low")</f>
        <v>low</v>
      </c>
      <c r="R7324" s="37" t="str">
        <f t="shared" si="574"/>
        <v>AVERAGE</v>
      </c>
      <c r="S7324" t="s">
        <v>628</v>
      </c>
    </row>
    <row r="7325" spans="1:19" x14ac:dyDescent="0.2">
      <c r="A7325" t="s">
        <v>7936</v>
      </c>
      <c r="B7325" t="s">
        <v>75</v>
      </c>
      <c r="C7325" t="s">
        <v>607</v>
      </c>
      <c r="D7325">
        <v>3768.3</v>
      </c>
      <c r="E7325" s="37" t="str">
        <f t="shared" si="570"/>
        <v xml:space="preserve"> </v>
      </c>
      <c r="F7325">
        <v>0.38</v>
      </c>
      <c r="G7325" s="37" t="str">
        <f t="shared" si="571"/>
        <v>Heavy Discount</v>
      </c>
      <c r="H7325" s="37" t="str">
        <f t="shared" si="572"/>
        <v>Medium</v>
      </c>
      <c r="I7325">
        <v>9</v>
      </c>
      <c r="J7325" t="str" cm="1">
        <f t="array" ref="J7325">_xlfn.IFS(I7325&lt;=3,"small",I7325&lt;=6,"Medium",I7325&lt;=9,"Large")</f>
        <v>Large</v>
      </c>
      <c r="K7325" s="36">
        <v>45638</v>
      </c>
      <c r="L7325" s="36">
        <v>45641</v>
      </c>
      <c r="M7325" t="s">
        <v>603</v>
      </c>
      <c r="N7325" t="s">
        <v>599</v>
      </c>
      <c r="O7325" s="37" t="str">
        <f t="shared" si="573"/>
        <v>Digital Payment</v>
      </c>
      <c r="P7325">
        <v>725.43</v>
      </c>
      <c r="Q7325" s="37" t="str">
        <f>IF(P7325&gt;500,"High","low")</f>
        <v>High</v>
      </c>
      <c r="R7325" s="37" t="str">
        <f t="shared" si="574"/>
        <v>Good</v>
      </c>
      <c r="S7325" t="s">
        <v>628</v>
      </c>
    </row>
    <row r="7326" spans="1:19" x14ac:dyDescent="0.2">
      <c r="A7326" t="s">
        <v>7937</v>
      </c>
      <c r="B7326" t="s">
        <v>90</v>
      </c>
      <c r="C7326" t="s">
        <v>607</v>
      </c>
      <c r="D7326">
        <v>3652.92</v>
      </c>
      <c r="E7326" s="37" t="str">
        <f t="shared" si="570"/>
        <v xml:space="preserve"> </v>
      </c>
      <c r="F7326">
        <v>0.45</v>
      </c>
      <c r="G7326" s="37" t="str">
        <f t="shared" si="571"/>
        <v>Heavy Discount</v>
      </c>
      <c r="H7326" s="37" t="str">
        <f t="shared" si="572"/>
        <v>High</v>
      </c>
      <c r="I7326">
        <v>9</v>
      </c>
      <c r="J7326" t="str" cm="1">
        <f t="array" ref="J7326">_xlfn.IFS(I7326&lt;=3,"small",I7326&lt;=6,"Medium",I7326&lt;=9,"Large")</f>
        <v>Large</v>
      </c>
      <c r="K7326" s="36">
        <v>44999</v>
      </c>
      <c r="L7326" s="36">
        <v>45002</v>
      </c>
      <c r="M7326" t="s">
        <v>603</v>
      </c>
      <c r="N7326" t="s">
        <v>604</v>
      </c>
      <c r="O7326" s="37" t="str">
        <f t="shared" si="573"/>
        <v>Digital Payment</v>
      </c>
      <c r="P7326">
        <v>794.51</v>
      </c>
      <c r="Q7326" s="37" t="str">
        <f>IF(P7326&gt;500,"High","low")</f>
        <v>High</v>
      </c>
      <c r="R7326" s="37" t="str">
        <f t="shared" si="574"/>
        <v>Good</v>
      </c>
      <c r="S7326" t="s">
        <v>620</v>
      </c>
    </row>
    <row r="7327" spans="1:19" x14ac:dyDescent="0.2">
      <c r="A7327" t="s">
        <v>7938</v>
      </c>
      <c r="B7327" t="s">
        <v>67</v>
      </c>
      <c r="C7327" t="s">
        <v>617</v>
      </c>
      <c r="D7327">
        <v>2956.53</v>
      </c>
      <c r="E7327" s="37" t="str">
        <f t="shared" si="570"/>
        <v xml:space="preserve"> </v>
      </c>
      <c r="F7327">
        <v>0.11</v>
      </c>
      <c r="G7327" s="37" t="str">
        <f t="shared" si="571"/>
        <v>Normal Discount</v>
      </c>
      <c r="H7327" s="37" t="str">
        <f t="shared" si="572"/>
        <v>Low</v>
      </c>
      <c r="I7327">
        <v>8</v>
      </c>
      <c r="J7327" t="str" cm="1">
        <f t="array" ref="J7327">_xlfn.IFS(I7327&lt;=3,"small",I7327&lt;=6,"Medium",I7327&lt;=9,"Large")</f>
        <v>Large</v>
      </c>
      <c r="K7327" s="36">
        <v>45600</v>
      </c>
      <c r="L7327" s="36">
        <v>45604</v>
      </c>
      <c r="M7327" t="s">
        <v>612</v>
      </c>
      <c r="N7327" t="s">
        <v>604</v>
      </c>
      <c r="O7327" s="37" t="str">
        <f t="shared" si="573"/>
        <v>Digital Payment</v>
      </c>
      <c r="P7327">
        <v>748.86</v>
      </c>
      <c r="Q7327" s="37" t="str">
        <f>IF(P7327&gt;500,"High","low")</f>
        <v>High</v>
      </c>
      <c r="R7327" s="37" t="str">
        <f t="shared" si="574"/>
        <v>Good</v>
      </c>
      <c r="S7327" t="s">
        <v>620</v>
      </c>
    </row>
    <row r="7328" spans="1:19" x14ac:dyDescent="0.2">
      <c r="A7328" t="s">
        <v>7939</v>
      </c>
      <c r="B7328" t="s">
        <v>67</v>
      </c>
      <c r="C7328" t="s">
        <v>602</v>
      </c>
      <c r="D7328">
        <v>4318.08</v>
      </c>
      <c r="E7328" s="37" t="str">
        <f t="shared" si="570"/>
        <v xml:space="preserve"> </v>
      </c>
      <c r="F7328">
        <v>0.31</v>
      </c>
      <c r="G7328" s="37" t="str">
        <f t="shared" si="571"/>
        <v>Heavy Discount</v>
      </c>
      <c r="H7328" s="37" t="str">
        <f t="shared" si="572"/>
        <v>Medium</v>
      </c>
      <c r="I7328">
        <v>3</v>
      </c>
      <c r="J7328" t="str" cm="1">
        <f t="array" ref="J7328">_xlfn.IFS(I7328&lt;=3,"small",I7328&lt;=6,"Medium",I7328&lt;=9,"Large")</f>
        <v>small</v>
      </c>
      <c r="K7328" s="36">
        <v>45093</v>
      </c>
      <c r="L7328" s="36">
        <v>45100</v>
      </c>
      <c r="M7328" t="s">
        <v>598</v>
      </c>
      <c r="N7328" t="s">
        <v>604</v>
      </c>
      <c r="O7328" s="37" t="str">
        <f t="shared" si="573"/>
        <v>Digital Payment</v>
      </c>
      <c r="P7328">
        <v>480.67</v>
      </c>
      <c r="Q7328" s="37" t="str">
        <f>IF(P7328&gt;500,"High","low")</f>
        <v>low</v>
      </c>
      <c r="R7328" s="37" t="str">
        <f t="shared" si="574"/>
        <v>AVERAGE</v>
      </c>
      <c r="S7328" t="s">
        <v>615</v>
      </c>
    </row>
    <row r="7329" spans="1:19" x14ac:dyDescent="0.2">
      <c r="A7329" t="s">
        <v>7940</v>
      </c>
      <c r="B7329" t="s">
        <v>83</v>
      </c>
      <c r="C7329" t="s">
        <v>607</v>
      </c>
      <c r="D7329">
        <v>3158.49</v>
      </c>
      <c r="E7329" s="37" t="str">
        <f t="shared" si="570"/>
        <v xml:space="preserve"> </v>
      </c>
      <c r="F7329">
        <v>0.25</v>
      </c>
      <c r="G7329" s="37" t="str">
        <f t="shared" si="571"/>
        <v>Normal Discount</v>
      </c>
      <c r="H7329" s="37" t="str">
        <f t="shared" si="572"/>
        <v>Medium</v>
      </c>
      <c r="I7329">
        <v>6</v>
      </c>
      <c r="J7329" t="str" cm="1">
        <f t="array" ref="J7329">_xlfn.IFS(I7329&lt;=3,"small",I7329&lt;=6,"Medium",I7329&lt;=9,"Large")</f>
        <v>Medium</v>
      </c>
      <c r="K7329" s="36">
        <v>45101</v>
      </c>
      <c r="L7329" s="36">
        <v>45102</v>
      </c>
      <c r="M7329" t="s">
        <v>603</v>
      </c>
      <c r="N7329" t="s">
        <v>608</v>
      </c>
      <c r="O7329" s="37" t="str">
        <f t="shared" si="573"/>
        <v>Cash Payment</v>
      </c>
      <c r="P7329">
        <v>662.37</v>
      </c>
      <c r="Q7329" s="37" t="str">
        <f>IF(P7329&gt;500,"High","low")</f>
        <v>High</v>
      </c>
      <c r="R7329" s="37" t="str">
        <f t="shared" si="574"/>
        <v>Good</v>
      </c>
      <c r="S7329" t="s">
        <v>605</v>
      </c>
    </row>
    <row r="7330" spans="1:19" x14ac:dyDescent="0.2">
      <c r="A7330" t="s">
        <v>7941</v>
      </c>
      <c r="B7330" t="s">
        <v>75</v>
      </c>
      <c r="C7330" t="s">
        <v>602</v>
      </c>
      <c r="D7330">
        <v>4386.32</v>
      </c>
      <c r="E7330" s="37" t="str">
        <f t="shared" si="570"/>
        <v xml:space="preserve"> </v>
      </c>
      <c r="F7330">
        <v>0.21</v>
      </c>
      <c r="G7330" s="37" t="str">
        <f t="shared" si="571"/>
        <v>Normal Discount</v>
      </c>
      <c r="H7330" s="37" t="str">
        <f t="shared" si="572"/>
        <v>Medium</v>
      </c>
      <c r="I7330">
        <v>2</v>
      </c>
      <c r="J7330" t="str" cm="1">
        <f t="array" ref="J7330">_xlfn.IFS(I7330&lt;=3,"small",I7330&lt;=6,"Medium",I7330&lt;=9,"Large")</f>
        <v>small</v>
      </c>
      <c r="K7330" s="36">
        <v>45218</v>
      </c>
      <c r="L7330" s="36">
        <v>45224</v>
      </c>
      <c r="M7330" t="s">
        <v>603</v>
      </c>
      <c r="N7330" t="s">
        <v>599</v>
      </c>
      <c r="O7330" s="37" t="str">
        <f t="shared" si="573"/>
        <v>Digital Payment</v>
      </c>
      <c r="P7330">
        <v>223.82</v>
      </c>
      <c r="Q7330" s="37" t="str">
        <f>IF(P7330&gt;500,"High","low")</f>
        <v>low</v>
      </c>
      <c r="R7330" s="37" t="str">
        <f t="shared" si="574"/>
        <v>AVERAGE</v>
      </c>
      <c r="S7330" t="s">
        <v>615</v>
      </c>
    </row>
    <row r="7331" spans="1:19" x14ac:dyDescent="0.2">
      <c r="A7331" t="s">
        <v>7942</v>
      </c>
      <c r="B7331" t="s">
        <v>75</v>
      </c>
      <c r="C7331" t="s">
        <v>602</v>
      </c>
      <c r="D7331">
        <v>1583.55</v>
      </c>
      <c r="E7331" s="37" t="str">
        <f t="shared" si="570"/>
        <v xml:space="preserve"> </v>
      </c>
      <c r="F7331">
        <v>0.16</v>
      </c>
      <c r="G7331" s="37" t="str">
        <f t="shared" si="571"/>
        <v>Normal Discount</v>
      </c>
      <c r="H7331" s="37" t="str">
        <f t="shared" si="572"/>
        <v>Low</v>
      </c>
      <c r="I7331">
        <v>6</v>
      </c>
      <c r="J7331" t="str" cm="1">
        <f t="array" ref="J7331">_xlfn.IFS(I7331&lt;=3,"small",I7331&lt;=6,"Medium",I7331&lt;=9,"Large")</f>
        <v>Medium</v>
      </c>
      <c r="K7331" s="36">
        <v>44948</v>
      </c>
      <c r="L7331" s="36">
        <v>44954</v>
      </c>
      <c r="M7331" t="s">
        <v>598</v>
      </c>
      <c r="N7331" t="s">
        <v>608</v>
      </c>
      <c r="O7331" s="37" t="str">
        <f t="shared" si="573"/>
        <v>Cash Payment</v>
      </c>
      <c r="P7331">
        <v>474.77</v>
      </c>
      <c r="Q7331" s="37" t="str">
        <f>IF(P7331&gt;500,"High","low")</f>
        <v>low</v>
      </c>
      <c r="R7331" s="37" t="str">
        <f t="shared" si="574"/>
        <v>AVERAGE</v>
      </c>
      <c r="S7331" t="s">
        <v>605</v>
      </c>
    </row>
    <row r="7332" spans="1:19" x14ac:dyDescent="0.2">
      <c r="A7332" t="s">
        <v>7943</v>
      </c>
      <c r="B7332" t="s">
        <v>67</v>
      </c>
      <c r="C7332" t="s">
        <v>602</v>
      </c>
      <c r="D7332">
        <v>746.92</v>
      </c>
      <c r="E7332" s="37" t="str">
        <f t="shared" si="570"/>
        <v xml:space="preserve"> </v>
      </c>
      <c r="F7332">
        <v>0.43</v>
      </c>
      <c r="G7332" s="37" t="str">
        <f t="shared" si="571"/>
        <v>Heavy Discount</v>
      </c>
      <c r="H7332" s="37" t="str">
        <f t="shared" si="572"/>
        <v>High</v>
      </c>
      <c r="I7332">
        <v>5</v>
      </c>
      <c r="J7332" t="str" cm="1">
        <f t="array" ref="J7332">_xlfn.IFS(I7332&lt;=3,"small",I7332&lt;=6,"Medium",I7332&lt;=9,"Large")</f>
        <v>Medium</v>
      </c>
      <c r="K7332" s="36">
        <v>45098</v>
      </c>
      <c r="L7332" s="36">
        <v>45103</v>
      </c>
      <c r="M7332" t="s">
        <v>612</v>
      </c>
      <c r="N7332" t="s">
        <v>599</v>
      </c>
      <c r="O7332" s="37" t="str">
        <f t="shared" si="573"/>
        <v>Digital Payment</v>
      </c>
      <c r="P7332">
        <v>115.48</v>
      </c>
      <c r="Q7332" s="37" t="str">
        <f>IF(P7332&gt;500,"High","low")</f>
        <v>low</v>
      </c>
      <c r="R7332" s="37" t="str">
        <f t="shared" si="574"/>
        <v>AVERAGE</v>
      </c>
      <c r="S7332" t="s">
        <v>600</v>
      </c>
    </row>
    <row r="7333" spans="1:19" x14ac:dyDescent="0.2">
      <c r="A7333" t="s">
        <v>7944</v>
      </c>
      <c r="B7333" t="s">
        <v>75</v>
      </c>
      <c r="C7333" t="s">
        <v>614</v>
      </c>
      <c r="D7333">
        <v>4115.6499999999996</v>
      </c>
      <c r="E7333" s="37" t="str">
        <f t="shared" si="570"/>
        <v xml:space="preserve"> </v>
      </c>
      <c r="F7333">
        <v>0.24</v>
      </c>
      <c r="G7333" s="37" t="str">
        <f t="shared" si="571"/>
        <v>Normal Discount</v>
      </c>
      <c r="H7333" s="37" t="str">
        <f t="shared" si="572"/>
        <v>Medium</v>
      </c>
      <c r="I7333">
        <v>4</v>
      </c>
      <c r="J7333" t="str" cm="1">
        <f t="array" ref="J7333">_xlfn.IFS(I7333&lt;=3,"small",I7333&lt;=6,"Medium",I7333&lt;=9,"Large")</f>
        <v>Medium</v>
      </c>
      <c r="K7333" s="36">
        <v>45633</v>
      </c>
      <c r="L7333" s="36">
        <v>45640</v>
      </c>
      <c r="M7333" t="s">
        <v>598</v>
      </c>
      <c r="N7333" t="s">
        <v>608</v>
      </c>
      <c r="O7333" s="37" t="str">
        <f t="shared" si="573"/>
        <v>Cash Payment</v>
      </c>
      <c r="P7333">
        <v>409.99</v>
      </c>
      <c r="Q7333" s="37" t="str">
        <f>IF(P7333&gt;500,"High","low")</f>
        <v>low</v>
      </c>
      <c r="R7333" s="37" t="str">
        <f t="shared" si="574"/>
        <v>AVERAGE</v>
      </c>
      <c r="S7333" t="s">
        <v>605</v>
      </c>
    </row>
    <row r="7334" spans="1:19" x14ac:dyDescent="0.2">
      <c r="A7334" t="s">
        <v>7945</v>
      </c>
      <c r="B7334" t="s">
        <v>83</v>
      </c>
      <c r="C7334" t="s">
        <v>607</v>
      </c>
      <c r="D7334">
        <v>1974.34</v>
      </c>
      <c r="E7334" s="37" t="str">
        <f t="shared" si="570"/>
        <v xml:space="preserve"> </v>
      </c>
      <c r="F7334">
        <v>0.36</v>
      </c>
      <c r="G7334" s="37" t="str">
        <f t="shared" si="571"/>
        <v>Heavy Discount</v>
      </c>
      <c r="H7334" s="37" t="str">
        <f t="shared" si="572"/>
        <v>Medium</v>
      </c>
      <c r="I7334">
        <v>3</v>
      </c>
      <c r="J7334" t="str" cm="1">
        <f t="array" ref="J7334">_xlfn.IFS(I7334&lt;=3,"small",I7334&lt;=6,"Medium",I7334&lt;=9,"Large")</f>
        <v>small</v>
      </c>
      <c r="K7334" s="36">
        <v>45115</v>
      </c>
      <c r="L7334" s="36">
        <v>45119</v>
      </c>
      <c r="M7334" t="s">
        <v>603</v>
      </c>
      <c r="N7334" t="s">
        <v>604</v>
      </c>
      <c r="O7334" s="37" t="str">
        <f t="shared" si="573"/>
        <v>Digital Payment</v>
      </c>
      <c r="P7334">
        <v>416.84</v>
      </c>
      <c r="Q7334" s="37" t="str">
        <f>IF(P7334&gt;500,"High","low")</f>
        <v>low</v>
      </c>
      <c r="R7334" s="37" t="str">
        <f t="shared" si="574"/>
        <v>AVERAGE</v>
      </c>
      <c r="S7334" t="s">
        <v>609</v>
      </c>
    </row>
    <row r="7335" spans="1:19" x14ac:dyDescent="0.2">
      <c r="A7335" t="s">
        <v>7946</v>
      </c>
      <c r="B7335" t="s">
        <v>90</v>
      </c>
      <c r="C7335" t="s">
        <v>602</v>
      </c>
      <c r="D7335">
        <v>3290.31</v>
      </c>
      <c r="E7335" s="37" t="str">
        <f t="shared" si="570"/>
        <v xml:space="preserve"> </v>
      </c>
      <c r="F7335">
        <v>0.35</v>
      </c>
      <c r="G7335" s="37" t="str">
        <f t="shared" si="571"/>
        <v>Heavy Discount</v>
      </c>
      <c r="H7335" s="37" t="str">
        <f t="shared" si="572"/>
        <v>Medium</v>
      </c>
      <c r="I7335">
        <v>8</v>
      </c>
      <c r="J7335" t="str" cm="1">
        <f t="array" ref="J7335">_xlfn.IFS(I7335&lt;=3,"small",I7335&lt;=6,"Medium",I7335&lt;=9,"Large")</f>
        <v>Large</v>
      </c>
      <c r="K7335" s="36">
        <v>45171</v>
      </c>
      <c r="L7335" s="36">
        <v>45174</v>
      </c>
      <c r="M7335" t="s">
        <v>603</v>
      </c>
      <c r="N7335" t="s">
        <v>599</v>
      </c>
      <c r="O7335" s="37" t="str">
        <f t="shared" si="573"/>
        <v>Digital Payment</v>
      </c>
      <c r="P7335">
        <v>603.85</v>
      </c>
      <c r="Q7335" s="37" t="str">
        <f>IF(P7335&gt;500,"High","low")</f>
        <v>High</v>
      </c>
      <c r="R7335" s="37" t="str">
        <f t="shared" si="574"/>
        <v>Good</v>
      </c>
      <c r="S7335" t="s">
        <v>605</v>
      </c>
    </row>
    <row r="7336" spans="1:19" x14ac:dyDescent="0.2">
      <c r="A7336" t="s">
        <v>7947</v>
      </c>
      <c r="B7336" t="s">
        <v>75</v>
      </c>
      <c r="C7336" t="s">
        <v>614</v>
      </c>
      <c r="D7336">
        <v>3712.82</v>
      </c>
      <c r="E7336" s="37" t="str">
        <f t="shared" si="570"/>
        <v xml:space="preserve"> </v>
      </c>
      <c r="F7336">
        <v>7.0000000000000007E-2</v>
      </c>
      <c r="G7336" s="37" t="str">
        <f t="shared" si="571"/>
        <v>Normal Discount</v>
      </c>
      <c r="H7336" s="37" t="str">
        <f t="shared" si="572"/>
        <v>Low</v>
      </c>
      <c r="I7336">
        <v>6</v>
      </c>
      <c r="J7336" t="str" cm="1">
        <f t="array" ref="J7336">_xlfn.IFS(I7336&lt;=3,"small",I7336&lt;=6,"Medium",I7336&lt;=9,"Large")</f>
        <v>Medium</v>
      </c>
      <c r="K7336" s="36">
        <v>45425</v>
      </c>
      <c r="L7336" s="36">
        <v>45431</v>
      </c>
      <c r="M7336" t="s">
        <v>598</v>
      </c>
      <c r="N7336" t="s">
        <v>599</v>
      </c>
      <c r="O7336" s="37" t="str">
        <f t="shared" si="573"/>
        <v>Digital Payment</v>
      </c>
      <c r="P7336">
        <v>188.59</v>
      </c>
      <c r="Q7336" s="37" t="str">
        <f>IF(P7336&gt;500,"High","low")</f>
        <v>low</v>
      </c>
      <c r="R7336" s="37" t="str">
        <f t="shared" si="574"/>
        <v>AVERAGE</v>
      </c>
      <c r="S7336" t="s">
        <v>615</v>
      </c>
    </row>
    <row r="7337" spans="1:19" x14ac:dyDescent="0.2">
      <c r="A7337" t="s">
        <v>7948</v>
      </c>
      <c r="B7337" t="s">
        <v>67</v>
      </c>
      <c r="C7337" t="s">
        <v>614</v>
      </c>
      <c r="D7337">
        <v>1700.88</v>
      </c>
      <c r="E7337" s="37" t="str">
        <f t="shared" si="570"/>
        <v xml:space="preserve"> </v>
      </c>
      <c r="F7337">
        <v>0.02</v>
      </c>
      <c r="G7337" s="37" t="str">
        <f t="shared" si="571"/>
        <v>Normal Discount</v>
      </c>
      <c r="H7337" s="37" t="str">
        <f t="shared" si="572"/>
        <v>Low</v>
      </c>
      <c r="I7337">
        <v>9</v>
      </c>
      <c r="J7337" t="str" cm="1">
        <f t="array" ref="J7337">_xlfn.IFS(I7337&lt;=3,"small",I7337&lt;=6,"Medium",I7337&lt;=9,"Large")</f>
        <v>Large</v>
      </c>
      <c r="K7337" s="36">
        <v>45063</v>
      </c>
      <c r="L7337" s="36">
        <v>45070</v>
      </c>
      <c r="M7337" t="s">
        <v>598</v>
      </c>
      <c r="N7337" t="s">
        <v>599</v>
      </c>
      <c r="O7337" s="37" t="str">
        <f t="shared" si="573"/>
        <v>Digital Payment</v>
      </c>
      <c r="P7337">
        <v>255.92</v>
      </c>
      <c r="Q7337" s="37" t="str">
        <f>IF(P7337&gt;500,"High","low")</f>
        <v>low</v>
      </c>
      <c r="R7337" s="37" t="str">
        <f t="shared" si="574"/>
        <v>AVERAGE</v>
      </c>
      <c r="S7337" t="s">
        <v>615</v>
      </c>
    </row>
    <row r="7338" spans="1:19" x14ac:dyDescent="0.2">
      <c r="A7338" t="s">
        <v>7949</v>
      </c>
      <c r="B7338" t="s">
        <v>90</v>
      </c>
      <c r="C7338" t="s">
        <v>597</v>
      </c>
      <c r="D7338">
        <v>2575.3000000000002</v>
      </c>
      <c r="E7338" s="37" t="str">
        <f t="shared" si="570"/>
        <v xml:space="preserve"> </v>
      </c>
      <c r="F7338">
        <v>0.42</v>
      </c>
      <c r="G7338" s="37" t="str">
        <f t="shared" si="571"/>
        <v>Heavy Discount</v>
      </c>
      <c r="H7338" s="37" t="str">
        <f t="shared" si="572"/>
        <v>High</v>
      </c>
      <c r="I7338">
        <v>3</v>
      </c>
      <c r="J7338" t="str" cm="1">
        <f t="array" ref="J7338">_xlfn.IFS(I7338&lt;=3,"small",I7338&lt;=6,"Medium",I7338&lt;=9,"Large")</f>
        <v>small</v>
      </c>
      <c r="K7338" s="36">
        <v>45230</v>
      </c>
      <c r="L7338" s="36">
        <v>45236</v>
      </c>
      <c r="M7338" t="s">
        <v>612</v>
      </c>
      <c r="N7338" t="s">
        <v>604</v>
      </c>
      <c r="O7338" s="37" t="str">
        <f t="shared" si="573"/>
        <v>Digital Payment</v>
      </c>
      <c r="P7338">
        <v>661.85</v>
      </c>
      <c r="Q7338" s="37" t="str">
        <f>IF(P7338&gt;500,"High","low")</f>
        <v>High</v>
      </c>
      <c r="R7338" s="37" t="str">
        <f t="shared" si="574"/>
        <v>Good</v>
      </c>
      <c r="S7338" t="s">
        <v>628</v>
      </c>
    </row>
    <row r="7339" spans="1:19" x14ac:dyDescent="0.2">
      <c r="A7339" t="s">
        <v>7950</v>
      </c>
      <c r="B7339" t="s">
        <v>90</v>
      </c>
      <c r="C7339" t="s">
        <v>597</v>
      </c>
      <c r="D7339">
        <v>4485.1400000000003</v>
      </c>
      <c r="E7339" s="37" t="str">
        <f t="shared" si="570"/>
        <v xml:space="preserve"> </v>
      </c>
      <c r="F7339">
        <v>0.25</v>
      </c>
      <c r="G7339" s="37" t="str">
        <f t="shared" si="571"/>
        <v>Normal Discount</v>
      </c>
      <c r="H7339" s="37" t="str">
        <f t="shared" si="572"/>
        <v>Medium</v>
      </c>
      <c r="I7339">
        <v>5</v>
      </c>
      <c r="J7339" t="str" cm="1">
        <f t="array" ref="J7339">_xlfn.IFS(I7339&lt;=3,"small",I7339&lt;=6,"Medium",I7339&lt;=9,"Large")</f>
        <v>Medium</v>
      </c>
      <c r="K7339" s="36">
        <v>45200</v>
      </c>
      <c r="L7339" s="36">
        <v>45201</v>
      </c>
      <c r="M7339" t="s">
        <v>603</v>
      </c>
      <c r="N7339" t="s">
        <v>604</v>
      </c>
      <c r="O7339" s="37" t="str">
        <f t="shared" si="573"/>
        <v>Digital Payment</v>
      </c>
      <c r="P7339">
        <v>514.89</v>
      </c>
      <c r="Q7339" s="37" t="str">
        <f>IF(P7339&gt;500,"High","low")</f>
        <v>High</v>
      </c>
      <c r="R7339" s="37" t="str">
        <f t="shared" si="574"/>
        <v>Good</v>
      </c>
      <c r="S7339" t="s">
        <v>628</v>
      </c>
    </row>
    <row r="7340" spans="1:19" x14ac:dyDescent="0.2">
      <c r="A7340" t="s">
        <v>7951</v>
      </c>
      <c r="B7340" t="s">
        <v>83</v>
      </c>
      <c r="C7340" t="s">
        <v>607</v>
      </c>
      <c r="D7340">
        <v>4410.99</v>
      </c>
      <c r="E7340" s="37" t="str">
        <f t="shared" si="570"/>
        <v>Excellent Order</v>
      </c>
      <c r="F7340">
        <v>0.41</v>
      </c>
      <c r="G7340" s="37" t="str">
        <f t="shared" si="571"/>
        <v>Heavy Discount</v>
      </c>
      <c r="H7340" s="37" t="str">
        <f t="shared" si="572"/>
        <v>High</v>
      </c>
      <c r="I7340">
        <v>4</v>
      </c>
      <c r="J7340" t="str" cm="1">
        <f t="array" ref="J7340">_xlfn.IFS(I7340&lt;=3,"small",I7340&lt;=6,"Medium",I7340&lt;=9,"Large")</f>
        <v>Medium</v>
      </c>
      <c r="K7340" s="36">
        <v>45016</v>
      </c>
      <c r="L7340" s="36">
        <v>45017</v>
      </c>
      <c r="M7340" t="s">
        <v>603</v>
      </c>
      <c r="N7340" t="s">
        <v>599</v>
      </c>
      <c r="O7340" s="37" t="str">
        <f t="shared" si="573"/>
        <v>Digital Payment</v>
      </c>
      <c r="P7340">
        <v>1279.26</v>
      </c>
      <c r="Q7340" s="37" t="str">
        <f>IF(P7340&gt;500,"High","low")</f>
        <v>High</v>
      </c>
      <c r="R7340" s="37" t="str">
        <f t="shared" si="574"/>
        <v>Excellent</v>
      </c>
      <c r="S7340" t="s">
        <v>615</v>
      </c>
    </row>
    <row r="7341" spans="1:19" x14ac:dyDescent="0.2">
      <c r="A7341" t="s">
        <v>7952</v>
      </c>
      <c r="B7341" t="s">
        <v>67</v>
      </c>
      <c r="C7341" t="s">
        <v>597</v>
      </c>
      <c r="D7341">
        <v>3771.85</v>
      </c>
      <c r="E7341" s="37" t="str">
        <f t="shared" si="570"/>
        <v xml:space="preserve"> </v>
      </c>
      <c r="F7341">
        <v>0.15</v>
      </c>
      <c r="G7341" s="37" t="str">
        <f t="shared" si="571"/>
        <v>Normal Discount</v>
      </c>
      <c r="H7341" s="37" t="str">
        <f t="shared" si="572"/>
        <v>Low</v>
      </c>
      <c r="I7341">
        <v>6</v>
      </c>
      <c r="J7341" t="str" cm="1">
        <f t="array" ref="J7341">_xlfn.IFS(I7341&lt;=3,"small",I7341&lt;=6,"Medium",I7341&lt;=9,"Large")</f>
        <v>Medium</v>
      </c>
      <c r="K7341" s="36">
        <v>45308</v>
      </c>
      <c r="L7341" s="36">
        <v>45310</v>
      </c>
      <c r="M7341" t="s">
        <v>598</v>
      </c>
      <c r="N7341" t="s">
        <v>608</v>
      </c>
      <c r="O7341" s="37" t="str">
        <f t="shared" si="573"/>
        <v>Cash Payment</v>
      </c>
      <c r="P7341">
        <v>1003.85</v>
      </c>
      <c r="Q7341" s="37" t="str">
        <f>IF(P7341&gt;500,"High","low")</f>
        <v>High</v>
      </c>
      <c r="R7341" s="37" t="str">
        <f t="shared" si="574"/>
        <v>Excellent</v>
      </c>
      <c r="S7341" t="s">
        <v>615</v>
      </c>
    </row>
    <row r="7342" spans="1:19" x14ac:dyDescent="0.2">
      <c r="A7342" t="s">
        <v>7953</v>
      </c>
      <c r="B7342" t="s">
        <v>75</v>
      </c>
      <c r="C7342" t="s">
        <v>607</v>
      </c>
      <c r="D7342">
        <v>3837.42</v>
      </c>
      <c r="E7342" s="37" t="str">
        <f t="shared" si="570"/>
        <v xml:space="preserve"> </v>
      </c>
      <c r="F7342">
        <v>0.43</v>
      </c>
      <c r="G7342" s="37" t="str">
        <f t="shared" si="571"/>
        <v>Heavy Discount</v>
      </c>
      <c r="H7342" s="37" t="str">
        <f t="shared" si="572"/>
        <v>High</v>
      </c>
      <c r="I7342">
        <v>2</v>
      </c>
      <c r="J7342" t="str" cm="1">
        <f t="array" ref="J7342">_xlfn.IFS(I7342&lt;=3,"small",I7342&lt;=6,"Medium",I7342&lt;=9,"Large")</f>
        <v>small</v>
      </c>
      <c r="K7342" s="36">
        <v>45083</v>
      </c>
      <c r="L7342" s="36">
        <v>45087</v>
      </c>
      <c r="M7342" t="s">
        <v>598</v>
      </c>
      <c r="N7342" t="s">
        <v>604</v>
      </c>
      <c r="O7342" s="37" t="str">
        <f t="shared" si="573"/>
        <v>Digital Payment</v>
      </c>
      <c r="P7342">
        <v>547.65</v>
      </c>
      <c r="Q7342" s="37" t="str">
        <f>IF(P7342&gt;500,"High","low")</f>
        <v>High</v>
      </c>
      <c r="R7342" s="37" t="str">
        <f t="shared" si="574"/>
        <v>Good</v>
      </c>
      <c r="S7342" t="s">
        <v>628</v>
      </c>
    </row>
    <row r="7343" spans="1:19" x14ac:dyDescent="0.2">
      <c r="A7343" t="s">
        <v>7954</v>
      </c>
      <c r="B7343" t="s">
        <v>67</v>
      </c>
      <c r="C7343" t="s">
        <v>614</v>
      </c>
      <c r="D7343">
        <v>4498.6499999999996</v>
      </c>
      <c r="E7343" s="37" t="str">
        <f t="shared" si="570"/>
        <v xml:space="preserve"> </v>
      </c>
      <c r="F7343">
        <v>0.42</v>
      </c>
      <c r="G7343" s="37" t="str">
        <f t="shared" si="571"/>
        <v>Heavy Discount</v>
      </c>
      <c r="H7343" s="37" t="str">
        <f t="shared" si="572"/>
        <v>High</v>
      </c>
      <c r="I7343">
        <v>6</v>
      </c>
      <c r="J7343" t="str" cm="1">
        <f t="array" ref="J7343">_xlfn.IFS(I7343&lt;=3,"small",I7343&lt;=6,"Medium",I7343&lt;=9,"Large")</f>
        <v>Medium</v>
      </c>
      <c r="K7343" s="36">
        <v>45578</v>
      </c>
      <c r="L7343" s="36">
        <v>45585</v>
      </c>
      <c r="M7343" t="s">
        <v>603</v>
      </c>
      <c r="N7343" t="s">
        <v>608</v>
      </c>
      <c r="O7343" s="37" t="str">
        <f t="shared" si="573"/>
        <v>Cash Payment</v>
      </c>
      <c r="P7343">
        <v>676.04</v>
      </c>
      <c r="Q7343" s="37" t="str">
        <f>IF(P7343&gt;500,"High","low")</f>
        <v>High</v>
      </c>
      <c r="R7343" s="37" t="str">
        <f t="shared" si="574"/>
        <v>Good</v>
      </c>
      <c r="S7343" t="s">
        <v>615</v>
      </c>
    </row>
    <row r="7344" spans="1:19" x14ac:dyDescent="0.2">
      <c r="A7344" t="s">
        <v>7955</v>
      </c>
      <c r="B7344" t="s">
        <v>90</v>
      </c>
      <c r="C7344" t="s">
        <v>614</v>
      </c>
      <c r="D7344">
        <v>3708.03</v>
      </c>
      <c r="E7344" s="37" t="str">
        <f t="shared" si="570"/>
        <v xml:space="preserve"> </v>
      </c>
      <c r="F7344">
        <v>0.19</v>
      </c>
      <c r="G7344" s="37" t="str">
        <f t="shared" si="571"/>
        <v>Normal Discount</v>
      </c>
      <c r="H7344" s="37" t="str">
        <f t="shared" si="572"/>
        <v>Low</v>
      </c>
      <c r="I7344">
        <v>3</v>
      </c>
      <c r="J7344" t="str" cm="1">
        <f t="array" ref="J7344">_xlfn.IFS(I7344&lt;=3,"small",I7344&lt;=6,"Medium",I7344&lt;=9,"Large")</f>
        <v>small</v>
      </c>
      <c r="K7344" s="36">
        <v>45093</v>
      </c>
      <c r="L7344" s="36">
        <v>45099</v>
      </c>
      <c r="M7344" t="s">
        <v>603</v>
      </c>
      <c r="N7344" t="s">
        <v>608</v>
      </c>
      <c r="O7344" s="37" t="str">
        <f t="shared" si="573"/>
        <v>Cash Payment</v>
      </c>
      <c r="P7344">
        <v>604.80999999999995</v>
      </c>
      <c r="Q7344" s="37" t="str">
        <f>IF(P7344&gt;500,"High","low")</f>
        <v>High</v>
      </c>
      <c r="R7344" s="37" t="str">
        <f t="shared" si="574"/>
        <v>Good</v>
      </c>
      <c r="S7344" t="s">
        <v>615</v>
      </c>
    </row>
    <row r="7345" spans="1:19" x14ac:dyDescent="0.2">
      <c r="A7345" t="s">
        <v>7956</v>
      </c>
      <c r="B7345" t="s">
        <v>67</v>
      </c>
      <c r="C7345" t="s">
        <v>607</v>
      </c>
      <c r="D7345">
        <v>1763.97</v>
      </c>
      <c r="E7345" s="37" t="str">
        <f t="shared" si="570"/>
        <v xml:space="preserve"> </v>
      </c>
      <c r="F7345">
        <v>0.21</v>
      </c>
      <c r="G7345" s="37" t="str">
        <f t="shared" si="571"/>
        <v>Normal Discount</v>
      </c>
      <c r="H7345" s="37" t="str">
        <f t="shared" si="572"/>
        <v>Medium</v>
      </c>
      <c r="I7345">
        <v>8</v>
      </c>
      <c r="J7345" t="str" cm="1">
        <f t="array" ref="J7345">_xlfn.IFS(I7345&lt;=3,"small",I7345&lt;=6,"Medium",I7345&lt;=9,"Large")</f>
        <v>Large</v>
      </c>
      <c r="K7345" s="36">
        <v>45333</v>
      </c>
      <c r="L7345" s="36">
        <v>45339</v>
      </c>
      <c r="M7345" t="s">
        <v>612</v>
      </c>
      <c r="N7345" t="s">
        <v>604</v>
      </c>
      <c r="O7345" s="37" t="str">
        <f t="shared" si="573"/>
        <v>Digital Payment</v>
      </c>
      <c r="P7345">
        <v>369.18</v>
      </c>
      <c r="Q7345" s="37" t="str">
        <f>IF(P7345&gt;500,"High","low")</f>
        <v>low</v>
      </c>
      <c r="R7345" s="37" t="str">
        <f t="shared" si="574"/>
        <v>AVERAGE</v>
      </c>
      <c r="S7345" t="s">
        <v>609</v>
      </c>
    </row>
    <row r="7346" spans="1:19" x14ac:dyDescent="0.2">
      <c r="A7346" t="s">
        <v>7957</v>
      </c>
      <c r="B7346" t="s">
        <v>75</v>
      </c>
      <c r="C7346" t="s">
        <v>597</v>
      </c>
      <c r="D7346">
        <v>691.84</v>
      </c>
      <c r="E7346" s="37" t="str">
        <f t="shared" si="570"/>
        <v xml:space="preserve"> </v>
      </c>
      <c r="F7346">
        <v>0.18</v>
      </c>
      <c r="G7346" s="37" t="str">
        <f t="shared" si="571"/>
        <v>Normal Discount</v>
      </c>
      <c r="H7346" s="37" t="str">
        <f t="shared" si="572"/>
        <v>Low</v>
      </c>
      <c r="I7346">
        <v>6</v>
      </c>
      <c r="J7346" t="str" cm="1">
        <f t="array" ref="J7346">_xlfn.IFS(I7346&lt;=3,"small",I7346&lt;=6,"Medium",I7346&lt;=9,"Large")</f>
        <v>Medium</v>
      </c>
      <c r="K7346" s="36">
        <v>44950</v>
      </c>
      <c r="L7346" s="36">
        <v>44951</v>
      </c>
      <c r="M7346" t="s">
        <v>603</v>
      </c>
      <c r="N7346" t="s">
        <v>604</v>
      </c>
      <c r="O7346" s="37" t="str">
        <f t="shared" si="573"/>
        <v>Digital Payment</v>
      </c>
      <c r="P7346">
        <v>91.29</v>
      </c>
      <c r="Q7346" s="37" t="str">
        <f>IF(P7346&gt;500,"High","low")</f>
        <v>low</v>
      </c>
      <c r="R7346" s="37" t="str">
        <f t="shared" si="574"/>
        <v>AVERAGE</v>
      </c>
      <c r="S7346" t="s">
        <v>605</v>
      </c>
    </row>
    <row r="7347" spans="1:19" x14ac:dyDescent="0.2">
      <c r="A7347" t="s">
        <v>7958</v>
      </c>
      <c r="B7347" t="s">
        <v>75</v>
      </c>
      <c r="C7347" t="s">
        <v>597</v>
      </c>
      <c r="D7347">
        <v>2167.23</v>
      </c>
      <c r="E7347" s="37" t="str">
        <f t="shared" si="570"/>
        <v xml:space="preserve"> </v>
      </c>
      <c r="F7347">
        <v>0.02</v>
      </c>
      <c r="G7347" s="37" t="str">
        <f t="shared" si="571"/>
        <v>Normal Discount</v>
      </c>
      <c r="H7347" s="37" t="str">
        <f t="shared" si="572"/>
        <v>Low</v>
      </c>
      <c r="I7347">
        <v>8</v>
      </c>
      <c r="J7347" t="str" cm="1">
        <f t="array" ref="J7347">_xlfn.IFS(I7347&lt;=3,"small",I7347&lt;=6,"Medium",I7347&lt;=9,"Large")</f>
        <v>Large</v>
      </c>
      <c r="K7347" s="36">
        <v>45226</v>
      </c>
      <c r="L7347" s="36">
        <v>45232</v>
      </c>
      <c r="M7347" t="s">
        <v>603</v>
      </c>
      <c r="N7347" t="s">
        <v>604</v>
      </c>
      <c r="O7347" s="37" t="str">
        <f t="shared" si="573"/>
        <v>Digital Payment</v>
      </c>
      <c r="P7347">
        <v>108.94</v>
      </c>
      <c r="Q7347" s="37" t="str">
        <f>IF(P7347&gt;500,"High","low")</f>
        <v>low</v>
      </c>
      <c r="R7347" s="37" t="str">
        <f t="shared" si="574"/>
        <v>AVERAGE</v>
      </c>
      <c r="S7347" t="s">
        <v>615</v>
      </c>
    </row>
    <row r="7348" spans="1:19" x14ac:dyDescent="0.2">
      <c r="A7348" t="s">
        <v>7959</v>
      </c>
      <c r="B7348" t="s">
        <v>83</v>
      </c>
      <c r="C7348" t="s">
        <v>607</v>
      </c>
      <c r="D7348">
        <v>527.98</v>
      </c>
      <c r="E7348" s="37" t="str">
        <f t="shared" si="570"/>
        <v xml:space="preserve"> </v>
      </c>
      <c r="F7348">
        <v>0.34</v>
      </c>
      <c r="G7348" s="37" t="str">
        <f t="shared" si="571"/>
        <v>Heavy Discount</v>
      </c>
      <c r="H7348" s="37" t="str">
        <f t="shared" si="572"/>
        <v>Medium</v>
      </c>
      <c r="I7348">
        <v>7</v>
      </c>
      <c r="J7348" t="str" cm="1">
        <f t="array" ref="J7348">_xlfn.IFS(I7348&lt;=3,"small",I7348&lt;=6,"Medium",I7348&lt;=9,"Large")</f>
        <v>Large</v>
      </c>
      <c r="K7348" s="36">
        <v>45021</v>
      </c>
      <c r="L7348" s="36">
        <v>45025</v>
      </c>
      <c r="M7348" t="s">
        <v>598</v>
      </c>
      <c r="N7348" t="s">
        <v>604</v>
      </c>
      <c r="O7348" s="37" t="str">
        <f t="shared" si="573"/>
        <v>Digital Payment</v>
      </c>
      <c r="P7348">
        <v>84.03</v>
      </c>
      <c r="Q7348" s="37" t="str">
        <f>IF(P7348&gt;500,"High","low")</f>
        <v>low</v>
      </c>
      <c r="R7348" s="37" t="str">
        <f t="shared" si="574"/>
        <v>AVERAGE</v>
      </c>
      <c r="S7348" t="s">
        <v>620</v>
      </c>
    </row>
    <row r="7349" spans="1:19" x14ac:dyDescent="0.2">
      <c r="A7349" t="s">
        <v>7960</v>
      </c>
      <c r="B7349" t="s">
        <v>75</v>
      </c>
      <c r="C7349" t="s">
        <v>617</v>
      </c>
      <c r="D7349">
        <v>667.28</v>
      </c>
      <c r="E7349" s="37" t="str">
        <f t="shared" si="570"/>
        <v xml:space="preserve"> </v>
      </c>
      <c r="F7349">
        <v>0.14000000000000001</v>
      </c>
      <c r="G7349" s="37" t="str">
        <f t="shared" si="571"/>
        <v>Normal Discount</v>
      </c>
      <c r="H7349" s="37" t="str">
        <f t="shared" si="572"/>
        <v>Low</v>
      </c>
      <c r="I7349">
        <v>6</v>
      </c>
      <c r="J7349" t="str" cm="1">
        <f t="array" ref="J7349">_xlfn.IFS(I7349&lt;=3,"small",I7349&lt;=6,"Medium",I7349&lt;=9,"Large")</f>
        <v>Medium</v>
      </c>
      <c r="K7349" s="36">
        <v>45649</v>
      </c>
      <c r="L7349" s="36">
        <v>45650</v>
      </c>
      <c r="M7349" t="s">
        <v>612</v>
      </c>
      <c r="N7349" t="s">
        <v>608</v>
      </c>
      <c r="O7349" s="37" t="str">
        <f t="shared" si="573"/>
        <v>Cash Payment</v>
      </c>
      <c r="P7349">
        <v>115.9</v>
      </c>
      <c r="Q7349" s="37" t="str">
        <f>IF(P7349&gt;500,"High","low")</f>
        <v>low</v>
      </c>
      <c r="R7349" s="37" t="str">
        <f t="shared" si="574"/>
        <v>AVERAGE</v>
      </c>
      <c r="S7349" t="s">
        <v>620</v>
      </c>
    </row>
    <row r="7350" spans="1:19" x14ac:dyDescent="0.2">
      <c r="A7350" t="s">
        <v>7961</v>
      </c>
      <c r="B7350" t="s">
        <v>75</v>
      </c>
      <c r="C7350" t="s">
        <v>597</v>
      </c>
      <c r="D7350">
        <v>4755.84</v>
      </c>
      <c r="E7350" s="37" t="str">
        <f t="shared" si="570"/>
        <v>Excellent Order</v>
      </c>
      <c r="F7350">
        <v>0.44</v>
      </c>
      <c r="G7350" s="37" t="str">
        <f t="shared" si="571"/>
        <v>Heavy Discount</v>
      </c>
      <c r="H7350" s="37" t="str">
        <f t="shared" si="572"/>
        <v>High</v>
      </c>
      <c r="I7350">
        <v>9</v>
      </c>
      <c r="J7350" t="str" cm="1">
        <f t="array" ref="J7350">_xlfn.IFS(I7350&lt;=3,"small",I7350&lt;=6,"Medium",I7350&lt;=9,"Large")</f>
        <v>Large</v>
      </c>
      <c r="K7350" s="36">
        <v>45395</v>
      </c>
      <c r="L7350" s="36">
        <v>45396</v>
      </c>
      <c r="M7350" t="s">
        <v>603</v>
      </c>
      <c r="N7350" t="s">
        <v>599</v>
      </c>
      <c r="O7350" s="37" t="str">
        <f t="shared" si="573"/>
        <v>Digital Payment</v>
      </c>
      <c r="P7350">
        <v>1081.17</v>
      </c>
      <c r="Q7350" s="37" t="str">
        <f>IF(P7350&gt;500,"High","low")</f>
        <v>High</v>
      </c>
      <c r="R7350" s="37" t="str">
        <f t="shared" si="574"/>
        <v>Excellent</v>
      </c>
      <c r="S7350" t="s">
        <v>609</v>
      </c>
    </row>
    <row r="7351" spans="1:19" x14ac:dyDescent="0.2">
      <c r="A7351" t="s">
        <v>7962</v>
      </c>
      <c r="B7351" t="s">
        <v>67</v>
      </c>
      <c r="C7351" t="s">
        <v>602</v>
      </c>
      <c r="D7351">
        <v>3411.85</v>
      </c>
      <c r="E7351" s="37" t="str">
        <f t="shared" si="570"/>
        <v xml:space="preserve"> </v>
      </c>
      <c r="F7351">
        <v>0.45</v>
      </c>
      <c r="G7351" s="37" t="str">
        <f t="shared" si="571"/>
        <v>Heavy Discount</v>
      </c>
      <c r="H7351" s="37" t="str">
        <f t="shared" si="572"/>
        <v>High</v>
      </c>
      <c r="I7351">
        <v>9</v>
      </c>
      <c r="J7351" t="str" cm="1">
        <f t="array" ref="J7351">_xlfn.IFS(I7351&lt;=3,"small",I7351&lt;=6,"Medium",I7351&lt;=9,"Large")</f>
        <v>Large</v>
      </c>
      <c r="K7351" s="36">
        <v>45549</v>
      </c>
      <c r="L7351" s="36">
        <v>45554</v>
      </c>
      <c r="M7351" t="s">
        <v>598</v>
      </c>
      <c r="N7351" t="s">
        <v>599</v>
      </c>
      <c r="O7351" s="37" t="str">
        <f t="shared" si="573"/>
        <v>Digital Payment</v>
      </c>
      <c r="P7351">
        <v>186.08</v>
      </c>
      <c r="Q7351" s="37" t="str">
        <f>IF(P7351&gt;500,"High","low")</f>
        <v>low</v>
      </c>
      <c r="R7351" s="37" t="str">
        <f t="shared" si="574"/>
        <v>AVERAGE</v>
      </c>
      <c r="S7351" t="s">
        <v>615</v>
      </c>
    </row>
    <row r="7352" spans="1:19" x14ac:dyDescent="0.2">
      <c r="A7352" t="s">
        <v>7963</v>
      </c>
      <c r="B7352" t="s">
        <v>67</v>
      </c>
      <c r="C7352" t="s">
        <v>597</v>
      </c>
      <c r="D7352">
        <v>4272.88</v>
      </c>
      <c r="E7352" s="37" t="str">
        <f t="shared" si="570"/>
        <v>Excellent Order</v>
      </c>
      <c r="F7352">
        <v>0.36</v>
      </c>
      <c r="G7352" s="37" t="str">
        <f t="shared" si="571"/>
        <v>Heavy Discount</v>
      </c>
      <c r="H7352" s="37" t="str">
        <f t="shared" si="572"/>
        <v>Medium</v>
      </c>
      <c r="I7352">
        <v>4</v>
      </c>
      <c r="J7352" t="str" cm="1">
        <f t="array" ref="J7352">_xlfn.IFS(I7352&lt;=3,"small",I7352&lt;=6,"Medium",I7352&lt;=9,"Large")</f>
        <v>Medium</v>
      </c>
      <c r="K7352" s="36">
        <v>45384</v>
      </c>
      <c r="L7352" s="36">
        <v>45386</v>
      </c>
      <c r="M7352" t="s">
        <v>603</v>
      </c>
      <c r="N7352" t="s">
        <v>599</v>
      </c>
      <c r="O7352" s="37" t="str">
        <f t="shared" si="573"/>
        <v>Digital Payment</v>
      </c>
      <c r="P7352">
        <v>888.73</v>
      </c>
      <c r="Q7352" s="37" t="str">
        <f>IF(P7352&gt;500,"High","low")</f>
        <v>High</v>
      </c>
      <c r="R7352" s="37" t="str">
        <f t="shared" si="574"/>
        <v>Good</v>
      </c>
      <c r="S7352" t="s">
        <v>609</v>
      </c>
    </row>
    <row r="7353" spans="1:19" x14ac:dyDescent="0.2">
      <c r="A7353" t="s">
        <v>7964</v>
      </c>
      <c r="B7353" t="s">
        <v>90</v>
      </c>
      <c r="C7353" t="s">
        <v>617</v>
      </c>
      <c r="D7353">
        <v>3250.21</v>
      </c>
      <c r="E7353" s="37" t="str">
        <f t="shared" si="570"/>
        <v xml:space="preserve"> </v>
      </c>
      <c r="F7353">
        <v>0.09</v>
      </c>
      <c r="G7353" s="37" t="str">
        <f t="shared" si="571"/>
        <v>Normal Discount</v>
      </c>
      <c r="H7353" s="37" t="str">
        <f t="shared" si="572"/>
        <v>Low</v>
      </c>
      <c r="I7353">
        <v>8</v>
      </c>
      <c r="J7353" t="str" cm="1">
        <f t="array" ref="J7353">_xlfn.IFS(I7353&lt;=3,"small",I7353&lt;=6,"Medium",I7353&lt;=9,"Large")</f>
        <v>Large</v>
      </c>
      <c r="K7353" s="36">
        <v>45442</v>
      </c>
      <c r="L7353" s="36">
        <v>45448</v>
      </c>
      <c r="M7353" t="s">
        <v>603</v>
      </c>
      <c r="N7353" t="s">
        <v>608</v>
      </c>
      <c r="O7353" s="37" t="str">
        <f t="shared" si="573"/>
        <v>Cash Payment</v>
      </c>
      <c r="P7353">
        <v>224.44</v>
      </c>
      <c r="Q7353" s="37" t="str">
        <f>IF(P7353&gt;500,"High","low")</f>
        <v>low</v>
      </c>
      <c r="R7353" s="37" t="str">
        <f t="shared" si="574"/>
        <v>AVERAGE</v>
      </c>
      <c r="S7353" t="s">
        <v>615</v>
      </c>
    </row>
    <row r="7354" spans="1:19" x14ac:dyDescent="0.2">
      <c r="A7354" t="s">
        <v>7965</v>
      </c>
      <c r="B7354" t="s">
        <v>83</v>
      </c>
      <c r="C7354" t="s">
        <v>614</v>
      </c>
      <c r="D7354">
        <v>2150.85</v>
      </c>
      <c r="E7354" s="37" t="str">
        <f t="shared" si="570"/>
        <v xml:space="preserve"> </v>
      </c>
      <c r="F7354">
        <v>0.04</v>
      </c>
      <c r="G7354" s="37" t="str">
        <f t="shared" si="571"/>
        <v>Normal Discount</v>
      </c>
      <c r="H7354" s="37" t="str">
        <f t="shared" si="572"/>
        <v>Low</v>
      </c>
      <c r="I7354">
        <v>3</v>
      </c>
      <c r="J7354" t="str" cm="1">
        <f t="array" ref="J7354">_xlfn.IFS(I7354&lt;=3,"small",I7354&lt;=6,"Medium",I7354&lt;=9,"Large")</f>
        <v>small</v>
      </c>
      <c r="K7354" s="36">
        <v>45500</v>
      </c>
      <c r="L7354" s="36">
        <v>45504</v>
      </c>
      <c r="M7354" t="s">
        <v>612</v>
      </c>
      <c r="N7354" t="s">
        <v>604</v>
      </c>
      <c r="O7354" s="37" t="str">
        <f t="shared" si="573"/>
        <v>Digital Payment</v>
      </c>
      <c r="P7354">
        <v>390.04</v>
      </c>
      <c r="Q7354" s="37" t="str">
        <f>IF(P7354&gt;500,"High","low")</f>
        <v>low</v>
      </c>
      <c r="R7354" s="37" t="str">
        <f t="shared" si="574"/>
        <v>AVERAGE</v>
      </c>
      <c r="S7354" t="s">
        <v>615</v>
      </c>
    </row>
    <row r="7355" spans="1:19" x14ac:dyDescent="0.2">
      <c r="A7355" t="s">
        <v>7966</v>
      </c>
      <c r="B7355" t="s">
        <v>67</v>
      </c>
      <c r="C7355" t="s">
        <v>614</v>
      </c>
      <c r="D7355">
        <v>223.28</v>
      </c>
      <c r="E7355" s="37" t="str">
        <f t="shared" si="570"/>
        <v xml:space="preserve"> </v>
      </c>
      <c r="F7355">
        <v>0.41</v>
      </c>
      <c r="G7355" s="37" t="str">
        <f t="shared" si="571"/>
        <v>Heavy Discount</v>
      </c>
      <c r="H7355" s="37" t="str">
        <f t="shared" si="572"/>
        <v>High</v>
      </c>
      <c r="I7355">
        <v>5</v>
      </c>
      <c r="J7355" t="str" cm="1">
        <f t="array" ref="J7355">_xlfn.IFS(I7355&lt;=3,"small",I7355&lt;=6,"Medium",I7355&lt;=9,"Large")</f>
        <v>Medium</v>
      </c>
      <c r="K7355" s="36">
        <v>45456</v>
      </c>
      <c r="L7355" s="36">
        <v>45459</v>
      </c>
      <c r="M7355" t="s">
        <v>603</v>
      </c>
      <c r="N7355" t="s">
        <v>608</v>
      </c>
      <c r="O7355" s="37" t="str">
        <f t="shared" si="573"/>
        <v>Cash Payment</v>
      </c>
      <c r="P7355">
        <v>22.39</v>
      </c>
      <c r="Q7355" s="37" t="str">
        <f>IF(P7355&gt;500,"High","low")</f>
        <v>low</v>
      </c>
      <c r="R7355" s="37" t="str">
        <f t="shared" si="574"/>
        <v>AVERAGE</v>
      </c>
      <c r="S7355" t="s">
        <v>615</v>
      </c>
    </row>
    <row r="7356" spans="1:19" x14ac:dyDescent="0.2">
      <c r="A7356" t="s">
        <v>7967</v>
      </c>
      <c r="B7356" t="s">
        <v>75</v>
      </c>
      <c r="C7356" t="s">
        <v>614</v>
      </c>
      <c r="D7356">
        <v>4783.6000000000004</v>
      </c>
      <c r="E7356" s="37" t="str">
        <f t="shared" si="570"/>
        <v>Excellent Order</v>
      </c>
      <c r="F7356">
        <v>0.45</v>
      </c>
      <c r="G7356" s="37" t="str">
        <f t="shared" si="571"/>
        <v>Heavy Discount</v>
      </c>
      <c r="H7356" s="37" t="str">
        <f t="shared" si="572"/>
        <v>High</v>
      </c>
      <c r="I7356">
        <v>3</v>
      </c>
      <c r="J7356" t="str" cm="1">
        <f t="array" ref="J7356">_xlfn.IFS(I7356&lt;=3,"small",I7356&lt;=6,"Medium",I7356&lt;=9,"Large")</f>
        <v>small</v>
      </c>
      <c r="K7356" s="36">
        <v>45370</v>
      </c>
      <c r="L7356" s="36">
        <v>45377</v>
      </c>
      <c r="M7356" t="s">
        <v>598</v>
      </c>
      <c r="N7356" t="s">
        <v>599</v>
      </c>
      <c r="O7356" s="37" t="str">
        <f t="shared" si="573"/>
        <v>Digital Payment</v>
      </c>
      <c r="P7356">
        <v>1290.9100000000001</v>
      </c>
      <c r="Q7356" s="37" t="str">
        <f>IF(P7356&gt;500,"High","low")</f>
        <v>High</v>
      </c>
      <c r="R7356" s="37" t="str">
        <f t="shared" si="574"/>
        <v>Excellent</v>
      </c>
      <c r="S7356" t="s">
        <v>620</v>
      </c>
    </row>
    <row r="7357" spans="1:19" x14ac:dyDescent="0.2">
      <c r="A7357" t="s">
        <v>7968</v>
      </c>
      <c r="B7357" t="s">
        <v>90</v>
      </c>
      <c r="C7357" t="s">
        <v>597</v>
      </c>
      <c r="D7357">
        <v>447.57</v>
      </c>
      <c r="E7357" s="37" t="str">
        <f t="shared" si="570"/>
        <v xml:space="preserve"> </v>
      </c>
      <c r="F7357">
        <v>0.18</v>
      </c>
      <c r="G7357" s="37" t="str">
        <f t="shared" si="571"/>
        <v>Normal Discount</v>
      </c>
      <c r="H7357" s="37" t="str">
        <f t="shared" si="572"/>
        <v>Low</v>
      </c>
      <c r="I7357">
        <v>4</v>
      </c>
      <c r="J7357" t="str" cm="1">
        <f t="array" ref="J7357">_xlfn.IFS(I7357&lt;=3,"small",I7357&lt;=6,"Medium",I7357&lt;=9,"Large")</f>
        <v>Medium</v>
      </c>
      <c r="K7357" s="36">
        <v>45547</v>
      </c>
      <c r="L7357" s="36">
        <v>45552</v>
      </c>
      <c r="M7357" t="s">
        <v>603</v>
      </c>
      <c r="N7357" t="s">
        <v>599</v>
      </c>
      <c r="O7357" s="37" t="str">
        <f t="shared" si="573"/>
        <v>Digital Payment</v>
      </c>
      <c r="P7357">
        <v>70.16</v>
      </c>
      <c r="Q7357" s="37" t="str">
        <f>IF(P7357&gt;500,"High","low")</f>
        <v>low</v>
      </c>
      <c r="R7357" s="37" t="str">
        <f t="shared" si="574"/>
        <v>AVERAGE</v>
      </c>
      <c r="S7357" t="s">
        <v>620</v>
      </c>
    </row>
    <row r="7358" spans="1:19" x14ac:dyDescent="0.2">
      <c r="A7358" t="s">
        <v>7969</v>
      </c>
      <c r="B7358" t="s">
        <v>67</v>
      </c>
      <c r="C7358" t="s">
        <v>614</v>
      </c>
      <c r="D7358">
        <v>3089.8</v>
      </c>
      <c r="E7358" s="37" t="str">
        <f t="shared" si="570"/>
        <v xml:space="preserve"> </v>
      </c>
      <c r="F7358">
        <v>0.18</v>
      </c>
      <c r="G7358" s="37" t="str">
        <f t="shared" si="571"/>
        <v>Normal Discount</v>
      </c>
      <c r="H7358" s="37" t="str">
        <f t="shared" si="572"/>
        <v>Low</v>
      </c>
      <c r="I7358">
        <v>5</v>
      </c>
      <c r="J7358" t="str" cm="1">
        <f t="array" ref="J7358">_xlfn.IFS(I7358&lt;=3,"small",I7358&lt;=6,"Medium",I7358&lt;=9,"Large")</f>
        <v>Medium</v>
      </c>
      <c r="K7358" s="36">
        <v>45564</v>
      </c>
      <c r="L7358" s="36">
        <v>45567</v>
      </c>
      <c r="M7358" t="s">
        <v>598</v>
      </c>
      <c r="N7358" t="s">
        <v>604</v>
      </c>
      <c r="O7358" s="37" t="str">
        <f t="shared" si="573"/>
        <v>Digital Payment</v>
      </c>
      <c r="P7358">
        <v>250.7</v>
      </c>
      <c r="Q7358" s="37" t="str">
        <f>IF(P7358&gt;500,"High","low")</f>
        <v>low</v>
      </c>
      <c r="R7358" s="37" t="str">
        <f t="shared" si="574"/>
        <v>AVERAGE</v>
      </c>
      <c r="S7358" t="s">
        <v>600</v>
      </c>
    </row>
    <row r="7359" spans="1:19" x14ac:dyDescent="0.2">
      <c r="A7359" t="s">
        <v>7970</v>
      </c>
      <c r="B7359" t="s">
        <v>83</v>
      </c>
      <c r="C7359" t="s">
        <v>617</v>
      </c>
      <c r="D7359">
        <v>600.79999999999995</v>
      </c>
      <c r="E7359" s="37" t="str">
        <f t="shared" si="570"/>
        <v xml:space="preserve"> </v>
      </c>
      <c r="F7359">
        <v>0.2</v>
      </c>
      <c r="G7359" s="37" t="str">
        <f t="shared" si="571"/>
        <v>Normal Discount</v>
      </c>
      <c r="H7359" s="37" t="str">
        <f t="shared" si="572"/>
        <v>Medium</v>
      </c>
      <c r="I7359">
        <v>8</v>
      </c>
      <c r="J7359" t="str" cm="1">
        <f t="array" ref="J7359">_xlfn.IFS(I7359&lt;=3,"small",I7359&lt;=6,"Medium",I7359&lt;=9,"Large")</f>
        <v>Large</v>
      </c>
      <c r="K7359" s="36">
        <v>45246</v>
      </c>
      <c r="L7359" s="36">
        <v>45253</v>
      </c>
      <c r="M7359" t="s">
        <v>603</v>
      </c>
      <c r="N7359" t="s">
        <v>608</v>
      </c>
      <c r="O7359" s="37" t="str">
        <f t="shared" si="573"/>
        <v>Cash Payment</v>
      </c>
      <c r="P7359">
        <v>34.18</v>
      </c>
      <c r="Q7359" s="37" t="str">
        <f>IF(P7359&gt;500,"High","low")</f>
        <v>low</v>
      </c>
      <c r="R7359" s="37" t="str">
        <f t="shared" si="574"/>
        <v>AVERAGE</v>
      </c>
      <c r="S7359" t="s">
        <v>609</v>
      </c>
    </row>
    <row r="7360" spans="1:19" x14ac:dyDescent="0.2">
      <c r="A7360" t="s">
        <v>7971</v>
      </c>
      <c r="B7360" t="s">
        <v>83</v>
      </c>
      <c r="C7360" t="s">
        <v>617</v>
      </c>
      <c r="D7360">
        <v>1492.32</v>
      </c>
      <c r="E7360" s="37" t="str">
        <f t="shared" si="570"/>
        <v xml:space="preserve"> </v>
      </c>
      <c r="F7360">
        <v>0.41</v>
      </c>
      <c r="G7360" s="37" t="str">
        <f t="shared" si="571"/>
        <v>Heavy Discount</v>
      </c>
      <c r="H7360" s="37" t="str">
        <f t="shared" si="572"/>
        <v>High</v>
      </c>
      <c r="I7360">
        <v>8</v>
      </c>
      <c r="J7360" t="str" cm="1">
        <f t="array" ref="J7360">_xlfn.IFS(I7360&lt;=3,"small",I7360&lt;=6,"Medium",I7360&lt;=9,"Large")</f>
        <v>Large</v>
      </c>
      <c r="K7360" s="36">
        <v>45539</v>
      </c>
      <c r="L7360" s="36">
        <v>45544</v>
      </c>
      <c r="M7360" t="s">
        <v>598</v>
      </c>
      <c r="N7360" t="s">
        <v>599</v>
      </c>
      <c r="O7360" s="37" t="str">
        <f t="shared" si="573"/>
        <v>Digital Payment</v>
      </c>
      <c r="P7360">
        <v>392.49</v>
      </c>
      <c r="Q7360" s="37" t="str">
        <f>IF(P7360&gt;500,"High","low")</f>
        <v>low</v>
      </c>
      <c r="R7360" s="37" t="str">
        <f t="shared" si="574"/>
        <v>AVERAGE</v>
      </c>
      <c r="S7360" t="s">
        <v>605</v>
      </c>
    </row>
    <row r="7361" spans="1:19" x14ac:dyDescent="0.2">
      <c r="A7361" t="s">
        <v>7972</v>
      </c>
      <c r="B7361" t="s">
        <v>90</v>
      </c>
      <c r="C7361" t="s">
        <v>597</v>
      </c>
      <c r="D7361">
        <v>1010.51</v>
      </c>
      <c r="E7361" s="37" t="str">
        <f t="shared" si="570"/>
        <v xml:space="preserve"> </v>
      </c>
      <c r="F7361">
        <v>0.35</v>
      </c>
      <c r="G7361" s="37" t="str">
        <f t="shared" si="571"/>
        <v>Heavy Discount</v>
      </c>
      <c r="H7361" s="37" t="str">
        <f t="shared" si="572"/>
        <v>Medium</v>
      </c>
      <c r="I7361">
        <v>3</v>
      </c>
      <c r="J7361" t="str" cm="1">
        <f t="array" ref="J7361">_xlfn.IFS(I7361&lt;=3,"small",I7361&lt;=6,"Medium",I7361&lt;=9,"Large")</f>
        <v>small</v>
      </c>
      <c r="K7361" s="36">
        <v>45330</v>
      </c>
      <c r="L7361" s="36">
        <v>45331</v>
      </c>
      <c r="M7361" t="s">
        <v>598</v>
      </c>
      <c r="N7361" t="s">
        <v>604</v>
      </c>
      <c r="O7361" s="37" t="str">
        <f t="shared" si="573"/>
        <v>Digital Payment</v>
      </c>
      <c r="P7361">
        <v>287.39</v>
      </c>
      <c r="Q7361" s="37" t="str">
        <f>IF(P7361&gt;500,"High","low")</f>
        <v>low</v>
      </c>
      <c r="R7361" s="37" t="str">
        <f t="shared" si="574"/>
        <v>AVERAGE</v>
      </c>
      <c r="S7361" t="s">
        <v>628</v>
      </c>
    </row>
    <row r="7362" spans="1:19" x14ac:dyDescent="0.2">
      <c r="A7362" t="s">
        <v>7973</v>
      </c>
      <c r="B7362" t="s">
        <v>90</v>
      </c>
      <c r="C7362" t="s">
        <v>602</v>
      </c>
      <c r="D7362">
        <v>2813.21</v>
      </c>
      <c r="E7362" s="37" t="str">
        <f t="shared" si="570"/>
        <v xml:space="preserve"> </v>
      </c>
      <c r="F7362">
        <v>0.06</v>
      </c>
      <c r="G7362" s="37" t="str">
        <f t="shared" si="571"/>
        <v>Normal Discount</v>
      </c>
      <c r="H7362" s="37" t="str">
        <f t="shared" si="572"/>
        <v>Low</v>
      </c>
      <c r="I7362">
        <v>8</v>
      </c>
      <c r="J7362" t="str" cm="1">
        <f t="array" ref="J7362">_xlfn.IFS(I7362&lt;=3,"small",I7362&lt;=6,"Medium",I7362&lt;=9,"Large")</f>
        <v>Large</v>
      </c>
      <c r="K7362" s="36">
        <v>45618</v>
      </c>
      <c r="L7362" s="36">
        <v>45620</v>
      </c>
      <c r="M7362" t="s">
        <v>603</v>
      </c>
      <c r="N7362" t="s">
        <v>599</v>
      </c>
      <c r="O7362" s="37" t="str">
        <f t="shared" si="573"/>
        <v>Digital Payment</v>
      </c>
      <c r="P7362">
        <v>651.46</v>
      </c>
      <c r="Q7362" s="37" t="str">
        <f>IF(P7362&gt;500,"High","low")</f>
        <v>High</v>
      </c>
      <c r="R7362" s="37" t="str">
        <f t="shared" si="574"/>
        <v>Good</v>
      </c>
      <c r="S7362" t="s">
        <v>609</v>
      </c>
    </row>
    <row r="7363" spans="1:19" x14ac:dyDescent="0.2">
      <c r="A7363" t="s">
        <v>7974</v>
      </c>
      <c r="B7363" t="s">
        <v>90</v>
      </c>
      <c r="C7363" t="s">
        <v>597</v>
      </c>
      <c r="D7363">
        <v>4446.67</v>
      </c>
      <c r="E7363" s="37" t="str">
        <f t="shared" ref="E7363:E7426" si="575">IF(AND(D7363&gt;4000,P7363&gt;800),"Excellent Order"," ")</f>
        <v>Excellent Order</v>
      </c>
      <c r="F7363">
        <v>0.32</v>
      </c>
      <c r="G7363" s="37" t="str">
        <f t="shared" ref="G7363:G7426" si="576">IF(F7363&gt;30%,"Heavy Discount","Normal Discount")</f>
        <v>Heavy Discount</v>
      </c>
      <c r="H7363" s="37" t="str">
        <f t="shared" ref="H7363:H7426" si="577">IF(F7363&gt;0.4,"High",IF(F7363&gt;=0.2,"Medium","Low"))</f>
        <v>Medium</v>
      </c>
      <c r="I7363">
        <v>4</v>
      </c>
      <c r="J7363" t="str" cm="1">
        <f t="array" ref="J7363">_xlfn.IFS(I7363&lt;=3,"small",I7363&lt;=6,"Medium",I7363&lt;=9,"Large")</f>
        <v>Medium</v>
      </c>
      <c r="K7363" s="36">
        <v>45218</v>
      </c>
      <c r="L7363" s="36">
        <v>45222</v>
      </c>
      <c r="M7363" t="s">
        <v>598</v>
      </c>
      <c r="N7363" t="s">
        <v>604</v>
      </c>
      <c r="O7363" s="37" t="str">
        <f t="shared" ref="O7363:O7426" si="578">IF(OR(N7363="Card",N7363="UPI"),"Digital Payment","Cash Payment")</f>
        <v>Digital Payment</v>
      </c>
      <c r="P7363">
        <v>960.57</v>
      </c>
      <c r="Q7363" s="37" t="str">
        <f>IF(P7363&gt;500,"High","low")</f>
        <v>High</v>
      </c>
      <c r="R7363" s="37" t="str">
        <f t="shared" ref="R7363:R7426" si="579">IF(P7363&gt;1000,"Excellent",IF(P7363&gt;=500,"Good","AVERAGE"))</f>
        <v>Good</v>
      </c>
      <c r="S7363" t="s">
        <v>609</v>
      </c>
    </row>
    <row r="7364" spans="1:19" x14ac:dyDescent="0.2">
      <c r="A7364" t="s">
        <v>7975</v>
      </c>
      <c r="B7364" t="s">
        <v>90</v>
      </c>
      <c r="C7364" t="s">
        <v>614</v>
      </c>
      <c r="D7364">
        <v>3214.55</v>
      </c>
      <c r="E7364" s="37" t="str">
        <f t="shared" si="575"/>
        <v xml:space="preserve"> </v>
      </c>
      <c r="F7364">
        <v>0</v>
      </c>
      <c r="G7364" s="37" t="str">
        <f t="shared" si="576"/>
        <v>Normal Discount</v>
      </c>
      <c r="H7364" s="37" t="str">
        <f t="shared" si="577"/>
        <v>Low</v>
      </c>
      <c r="I7364">
        <v>2</v>
      </c>
      <c r="J7364" t="str" cm="1">
        <f t="array" ref="J7364">_xlfn.IFS(I7364&lt;=3,"small",I7364&lt;=6,"Medium",I7364&lt;=9,"Large")</f>
        <v>small</v>
      </c>
      <c r="K7364" s="36">
        <v>45628</v>
      </c>
      <c r="L7364" s="36">
        <v>45629</v>
      </c>
      <c r="M7364" t="s">
        <v>598</v>
      </c>
      <c r="N7364" t="s">
        <v>608</v>
      </c>
      <c r="O7364" s="37" t="str">
        <f t="shared" si="578"/>
        <v>Cash Payment</v>
      </c>
      <c r="P7364">
        <v>360.5</v>
      </c>
      <c r="Q7364" s="37" t="str">
        <f>IF(P7364&gt;500,"High","low")</f>
        <v>low</v>
      </c>
      <c r="R7364" s="37" t="str">
        <f t="shared" si="579"/>
        <v>AVERAGE</v>
      </c>
      <c r="S7364" t="s">
        <v>620</v>
      </c>
    </row>
    <row r="7365" spans="1:19" x14ac:dyDescent="0.2">
      <c r="A7365" t="s">
        <v>7976</v>
      </c>
      <c r="B7365" t="s">
        <v>90</v>
      </c>
      <c r="C7365" t="s">
        <v>597</v>
      </c>
      <c r="D7365">
        <v>3354.52</v>
      </c>
      <c r="E7365" s="37" t="str">
        <f t="shared" si="575"/>
        <v xml:space="preserve"> </v>
      </c>
      <c r="F7365">
        <v>0.36</v>
      </c>
      <c r="G7365" s="37" t="str">
        <f t="shared" si="576"/>
        <v>Heavy Discount</v>
      </c>
      <c r="H7365" s="37" t="str">
        <f t="shared" si="577"/>
        <v>Medium</v>
      </c>
      <c r="I7365">
        <v>3</v>
      </c>
      <c r="J7365" t="str" cm="1">
        <f t="array" ref="J7365">_xlfn.IFS(I7365&lt;=3,"small",I7365&lt;=6,"Medium",I7365&lt;=9,"Large")</f>
        <v>small</v>
      </c>
      <c r="K7365" s="36">
        <v>45230</v>
      </c>
      <c r="L7365" s="36">
        <v>45233</v>
      </c>
      <c r="M7365" t="s">
        <v>603</v>
      </c>
      <c r="N7365" t="s">
        <v>604</v>
      </c>
      <c r="O7365" s="37" t="str">
        <f t="shared" si="578"/>
        <v>Digital Payment</v>
      </c>
      <c r="P7365">
        <v>776.06</v>
      </c>
      <c r="Q7365" s="37" t="str">
        <f>IF(P7365&gt;500,"High","low")</f>
        <v>High</v>
      </c>
      <c r="R7365" s="37" t="str">
        <f t="shared" si="579"/>
        <v>Good</v>
      </c>
      <c r="S7365" t="s">
        <v>615</v>
      </c>
    </row>
    <row r="7366" spans="1:19" x14ac:dyDescent="0.2">
      <c r="A7366" t="s">
        <v>7977</v>
      </c>
      <c r="B7366" t="s">
        <v>75</v>
      </c>
      <c r="C7366" t="s">
        <v>617</v>
      </c>
      <c r="D7366">
        <v>4553.76</v>
      </c>
      <c r="E7366" s="37" t="str">
        <f t="shared" si="575"/>
        <v xml:space="preserve"> </v>
      </c>
      <c r="F7366">
        <v>0.38</v>
      </c>
      <c r="G7366" s="37" t="str">
        <f t="shared" si="576"/>
        <v>Heavy Discount</v>
      </c>
      <c r="H7366" s="37" t="str">
        <f t="shared" si="577"/>
        <v>Medium</v>
      </c>
      <c r="I7366">
        <v>8</v>
      </c>
      <c r="J7366" t="str" cm="1">
        <f t="array" ref="J7366">_xlfn.IFS(I7366&lt;=3,"small",I7366&lt;=6,"Medium",I7366&lt;=9,"Large")</f>
        <v>Large</v>
      </c>
      <c r="K7366" s="36">
        <v>45171</v>
      </c>
      <c r="L7366" s="36">
        <v>45178</v>
      </c>
      <c r="M7366" t="s">
        <v>603</v>
      </c>
      <c r="N7366" t="s">
        <v>599</v>
      </c>
      <c r="O7366" s="37" t="str">
        <f t="shared" si="578"/>
        <v>Digital Payment</v>
      </c>
      <c r="P7366">
        <v>402.44</v>
      </c>
      <c r="Q7366" s="37" t="str">
        <f>IF(P7366&gt;500,"High","low")</f>
        <v>low</v>
      </c>
      <c r="R7366" s="37" t="str">
        <f t="shared" si="579"/>
        <v>AVERAGE</v>
      </c>
      <c r="S7366" t="s">
        <v>605</v>
      </c>
    </row>
    <row r="7367" spans="1:19" x14ac:dyDescent="0.2">
      <c r="A7367" t="s">
        <v>7978</v>
      </c>
      <c r="B7367" t="s">
        <v>75</v>
      </c>
      <c r="C7367" t="s">
        <v>597</v>
      </c>
      <c r="D7367">
        <v>3772.18</v>
      </c>
      <c r="E7367" s="37" t="str">
        <f t="shared" si="575"/>
        <v xml:space="preserve"> </v>
      </c>
      <c r="F7367">
        <v>0.41</v>
      </c>
      <c r="G7367" s="37" t="str">
        <f t="shared" si="576"/>
        <v>Heavy Discount</v>
      </c>
      <c r="H7367" s="37" t="str">
        <f t="shared" si="577"/>
        <v>High</v>
      </c>
      <c r="I7367">
        <v>5</v>
      </c>
      <c r="J7367" t="str" cm="1">
        <f t="array" ref="J7367">_xlfn.IFS(I7367&lt;=3,"small",I7367&lt;=6,"Medium",I7367&lt;=9,"Large")</f>
        <v>Medium</v>
      </c>
      <c r="K7367" s="36">
        <v>45495</v>
      </c>
      <c r="L7367" s="36">
        <v>45502</v>
      </c>
      <c r="M7367" t="s">
        <v>603</v>
      </c>
      <c r="N7367" t="s">
        <v>599</v>
      </c>
      <c r="O7367" s="37" t="str">
        <f t="shared" si="578"/>
        <v>Digital Payment</v>
      </c>
      <c r="P7367">
        <v>957.5</v>
      </c>
      <c r="Q7367" s="37" t="str">
        <f>IF(P7367&gt;500,"High","low")</f>
        <v>High</v>
      </c>
      <c r="R7367" s="37" t="str">
        <f t="shared" si="579"/>
        <v>Good</v>
      </c>
      <c r="S7367" t="s">
        <v>609</v>
      </c>
    </row>
    <row r="7368" spans="1:19" x14ac:dyDescent="0.2">
      <c r="A7368" t="s">
        <v>7979</v>
      </c>
      <c r="B7368" t="s">
        <v>67</v>
      </c>
      <c r="C7368" t="s">
        <v>597</v>
      </c>
      <c r="D7368">
        <v>4343.18</v>
      </c>
      <c r="E7368" s="37" t="str">
        <f t="shared" si="575"/>
        <v xml:space="preserve"> </v>
      </c>
      <c r="F7368">
        <v>0.31</v>
      </c>
      <c r="G7368" s="37" t="str">
        <f t="shared" si="576"/>
        <v>Heavy Discount</v>
      </c>
      <c r="H7368" s="37" t="str">
        <f t="shared" si="577"/>
        <v>Medium</v>
      </c>
      <c r="I7368">
        <v>2</v>
      </c>
      <c r="J7368" t="str" cm="1">
        <f t="array" ref="J7368">_xlfn.IFS(I7368&lt;=3,"small",I7368&lt;=6,"Medium",I7368&lt;=9,"Large")</f>
        <v>small</v>
      </c>
      <c r="K7368" s="36">
        <v>45495</v>
      </c>
      <c r="L7368" s="36">
        <v>45497</v>
      </c>
      <c r="M7368" t="s">
        <v>612</v>
      </c>
      <c r="N7368" t="s">
        <v>604</v>
      </c>
      <c r="O7368" s="37" t="str">
        <f t="shared" si="578"/>
        <v>Digital Payment</v>
      </c>
      <c r="P7368">
        <v>691.77</v>
      </c>
      <c r="Q7368" s="37" t="str">
        <f>IF(P7368&gt;500,"High","low")</f>
        <v>High</v>
      </c>
      <c r="R7368" s="37" t="str">
        <f t="shared" si="579"/>
        <v>Good</v>
      </c>
      <c r="S7368" t="s">
        <v>609</v>
      </c>
    </row>
    <row r="7369" spans="1:19" x14ac:dyDescent="0.2">
      <c r="A7369" t="s">
        <v>7980</v>
      </c>
      <c r="B7369" t="s">
        <v>83</v>
      </c>
      <c r="C7369" t="s">
        <v>602</v>
      </c>
      <c r="D7369">
        <v>2140.3200000000002</v>
      </c>
      <c r="E7369" s="37" t="str">
        <f t="shared" si="575"/>
        <v xml:space="preserve"> </v>
      </c>
      <c r="F7369">
        <v>0.09</v>
      </c>
      <c r="G7369" s="37" t="str">
        <f t="shared" si="576"/>
        <v>Normal Discount</v>
      </c>
      <c r="H7369" s="37" t="str">
        <f t="shared" si="577"/>
        <v>Low</v>
      </c>
      <c r="I7369">
        <v>7</v>
      </c>
      <c r="J7369" t="str" cm="1">
        <f t="array" ref="J7369">_xlfn.IFS(I7369&lt;=3,"small",I7369&lt;=6,"Medium",I7369&lt;=9,"Large")</f>
        <v>Large</v>
      </c>
      <c r="K7369" s="36">
        <v>45170</v>
      </c>
      <c r="L7369" s="36">
        <v>45173</v>
      </c>
      <c r="M7369" t="s">
        <v>598</v>
      </c>
      <c r="N7369" t="s">
        <v>599</v>
      </c>
      <c r="O7369" s="37" t="str">
        <f t="shared" si="578"/>
        <v>Digital Payment</v>
      </c>
      <c r="P7369">
        <v>575.04999999999995</v>
      </c>
      <c r="Q7369" s="37" t="str">
        <f>IF(P7369&gt;500,"High","low")</f>
        <v>High</v>
      </c>
      <c r="R7369" s="37" t="str">
        <f t="shared" si="579"/>
        <v>Good</v>
      </c>
      <c r="S7369" t="s">
        <v>609</v>
      </c>
    </row>
    <row r="7370" spans="1:19" x14ac:dyDescent="0.2">
      <c r="A7370" t="s">
        <v>7981</v>
      </c>
      <c r="B7370" t="s">
        <v>75</v>
      </c>
      <c r="C7370" t="s">
        <v>617</v>
      </c>
      <c r="D7370">
        <v>4340.25</v>
      </c>
      <c r="E7370" s="37" t="str">
        <f t="shared" si="575"/>
        <v xml:space="preserve"> </v>
      </c>
      <c r="F7370">
        <v>0.4</v>
      </c>
      <c r="G7370" s="37" t="str">
        <f t="shared" si="576"/>
        <v>Heavy Discount</v>
      </c>
      <c r="H7370" s="37" t="str">
        <f t="shared" si="577"/>
        <v>Medium</v>
      </c>
      <c r="I7370">
        <v>5</v>
      </c>
      <c r="J7370" t="str" cm="1">
        <f t="array" ref="J7370">_xlfn.IFS(I7370&lt;=3,"small",I7370&lt;=6,"Medium",I7370&lt;=9,"Large")</f>
        <v>Medium</v>
      </c>
      <c r="K7370" s="36">
        <v>45351</v>
      </c>
      <c r="L7370" s="36">
        <v>45357</v>
      </c>
      <c r="M7370" t="s">
        <v>598</v>
      </c>
      <c r="N7370" t="s">
        <v>599</v>
      </c>
      <c r="O7370" s="37" t="str">
        <f t="shared" si="578"/>
        <v>Digital Payment</v>
      </c>
      <c r="P7370">
        <v>589.25</v>
      </c>
      <c r="Q7370" s="37" t="str">
        <f>IF(P7370&gt;500,"High","low")</f>
        <v>High</v>
      </c>
      <c r="R7370" s="37" t="str">
        <f t="shared" si="579"/>
        <v>Good</v>
      </c>
      <c r="S7370" t="s">
        <v>600</v>
      </c>
    </row>
    <row r="7371" spans="1:19" x14ac:dyDescent="0.2">
      <c r="A7371" t="s">
        <v>7982</v>
      </c>
      <c r="B7371" t="s">
        <v>75</v>
      </c>
      <c r="C7371" t="s">
        <v>607</v>
      </c>
      <c r="D7371">
        <v>3264.72</v>
      </c>
      <c r="E7371" s="37" t="str">
        <f t="shared" si="575"/>
        <v xml:space="preserve"> </v>
      </c>
      <c r="F7371">
        <v>0.45</v>
      </c>
      <c r="G7371" s="37" t="str">
        <f t="shared" si="576"/>
        <v>Heavy Discount</v>
      </c>
      <c r="H7371" s="37" t="str">
        <f t="shared" si="577"/>
        <v>High</v>
      </c>
      <c r="I7371">
        <v>6</v>
      </c>
      <c r="J7371" t="str" cm="1">
        <f t="array" ref="J7371">_xlfn.IFS(I7371&lt;=3,"small",I7371&lt;=6,"Medium",I7371&lt;=9,"Large")</f>
        <v>Medium</v>
      </c>
      <c r="K7371" s="36">
        <v>45014</v>
      </c>
      <c r="L7371" s="36">
        <v>45018</v>
      </c>
      <c r="M7371" t="s">
        <v>612</v>
      </c>
      <c r="N7371" t="s">
        <v>599</v>
      </c>
      <c r="O7371" s="37" t="str">
        <f t="shared" si="578"/>
        <v>Digital Payment</v>
      </c>
      <c r="P7371">
        <v>172.5</v>
      </c>
      <c r="Q7371" s="37" t="str">
        <f>IF(P7371&gt;500,"High","low")</f>
        <v>low</v>
      </c>
      <c r="R7371" s="37" t="str">
        <f t="shared" si="579"/>
        <v>AVERAGE</v>
      </c>
      <c r="S7371" t="s">
        <v>620</v>
      </c>
    </row>
    <row r="7372" spans="1:19" x14ac:dyDescent="0.2">
      <c r="A7372" t="s">
        <v>7983</v>
      </c>
      <c r="B7372" t="s">
        <v>75</v>
      </c>
      <c r="C7372" t="s">
        <v>607</v>
      </c>
      <c r="D7372">
        <v>764.48</v>
      </c>
      <c r="E7372" s="37" t="str">
        <f t="shared" si="575"/>
        <v xml:space="preserve"> </v>
      </c>
      <c r="F7372">
        <v>0.32</v>
      </c>
      <c r="G7372" s="37" t="str">
        <f t="shared" si="576"/>
        <v>Heavy Discount</v>
      </c>
      <c r="H7372" s="37" t="str">
        <f t="shared" si="577"/>
        <v>Medium</v>
      </c>
      <c r="I7372">
        <v>2</v>
      </c>
      <c r="J7372" t="str" cm="1">
        <f t="array" ref="J7372">_xlfn.IFS(I7372&lt;=3,"small",I7372&lt;=6,"Medium",I7372&lt;=9,"Large")</f>
        <v>small</v>
      </c>
      <c r="K7372" s="36">
        <v>44988</v>
      </c>
      <c r="L7372" s="36">
        <v>44995</v>
      </c>
      <c r="M7372" t="s">
        <v>612</v>
      </c>
      <c r="N7372" t="s">
        <v>599</v>
      </c>
      <c r="O7372" s="37" t="str">
        <f t="shared" si="578"/>
        <v>Digital Payment</v>
      </c>
      <c r="P7372">
        <v>193.42</v>
      </c>
      <c r="Q7372" s="37" t="str">
        <f>IF(P7372&gt;500,"High","low")</f>
        <v>low</v>
      </c>
      <c r="R7372" s="37" t="str">
        <f t="shared" si="579"/>
        <v>AVERAGE</v>
      </c>
      <c r="S7372" t="s">
        <v>620</v>
      </c>
    </row>
    <row r="7373" spans="1:19" x14ac:dyDescent="0.2">
      <c r="A7373" t="s">
        <v>7984</v>
      </c>
      <c r="B7373" t="s">
        <v>67</v>
      </c>
      <c r="C7373" t="s">
        <v>617</v>
      </c>
      <c r="D7373">
        <v>289.69</v>
      </c>
      <c r="E7373" s="37" t="str">
        <f t="shared" si="575"/>
        <v xml:space="preserve"> </v>
      </c>
      <c r="F7373">
        <v>0.14000000000000001</v>
      </c>
      <c r="G7373" s="37" t="str">
        <f t="shared" si="576"/>
        <v>Normal Discount</v>
      </c>
      <c r="H7373" s="37" t="str">
        <f t="shared" si="577"/>
        <v>Low</v>
      </c>
      <c r="I7373">
        <v>7</v>
      </c>
      <c r="J7373" t="str" cm="1">
        <f t="array" ref="J7373">_xlfn.IFS(I7373&lt;=3,"small",I7373&lt;=6,"Medium",I7373&lt;=9,"Large")</f>
        <v>Large</v>
      </c>
      <c r="K7373" s="36">
        <v>45339</v>
      </c>
      <c r="L7373" s="36">
        <v>45345</v>
      </c>
      <c r="M7373" t="s">
        <v>598</v>
      </c>
      <c r="N7373" t="s">
        <v>604</v>
      </c>
      <c r="O7373" s="37" t="str">
        <f t="shared" si="578"/>
        <v>Digital Payment</v>
      </c>
      <c r="P7373">
        <v>78.319999999999993</v>
      </c>
      <c r="Q7373" s="37" t="str">
        <f>IF(P7373&gt;500,"High","low")</f>
        <v>low</v>
      </c>
      <c r="R7373" s="37" t="str">
        <f t="shared" si="579"/>
        <v>AVERAGE</v>
      </c>
      <c r="S7373" t="s">
        <v>600</v>
      </c>
    </row>
    <row r="7374" spans="1:19" x14ac:dyDescent="0.2">
      <c r="A7374" t="s">
        <v>7985</v>
      </c>
      <c r="B7374" t="s">
        <v>90</v>
      </c>
      <c r="C7374" t="s">
        <v>607</v>
      </c>
      <c r="D7374">
        <v>1295.77</v>
      </c>
      <c r="E7374" s="37" t="str">
        <f t="shared" si="575"/>
        <v xml:space="preserve"> </v>
      </c>
      <c r="F7374">
        <v>0.09</v>
      </c>
      <c r="G7374" s="37" t="str">
        <f t="shared" si="576"/>
        <v>Normal Discount</v>
      </c>
      <c r="H7374" s="37" t="str">
        <f t="shared" si="577"/>
        <v>Low</v>
      </c>
      <c r="I7374">
        <v>1</v>
      </c>
      <c r="J7374" t="str" cm="1">
        <f t="array" ref="J7374">_xlfn.IFS(I7374&lt;=3,"small",I7374&lt;=6,"Medium",I7374&lt;=9,"Large")</f>
        <v>small</v>
      </c>
      <c r="K7374" s="36">
        <v>45477</v>
      </c>
      <c r="L7374" s="36">
        <v>45480</v>
      </c>
      <c r="M7374" t="s">
        <v>603</v>
      </c>
      <c r="N7374" t="s">
        <v>604</v>
      </c>
      <c r="O7374" s="37" t="str">
        <f t="shared" si="578"/>
        <v>Digital Payment</v>
      </c>
      <c r="P7374">
        <v>70.900000000000006</v>
      </c>
      <c r="Q7374" s="37" t="str">
        <f>IF(P7374&gt;500,"High","low")</f>
        <v>low</v>
      </c>
      <c r="R7374" s="37" t="str">
        <f t="shared" si="579"/>
        <v>AVERAGE</v>
      </c>
      <c r="S7374" t="s">
        <v>600</v>
      </c>
    </row>
    <row r="7375" spans="1:19" x14ac:dyDescent="0.2">
      <c r="A7375" t="s">
        <v>7986</v>
      </c>
      <c r="B7375" t="s">
        <v>67</v>
      </c>
      <c r="C7375" t="s">
        <v>614</v>
      </c>
      <c r="D7375">
        <v>1953.91</v>
      </c>
      <c r="E7375" s="37" t="str">
        <f t="shared" si="575"/>
        <v xml:space="preserve"> </v>
      </c>
      <c r="F7375">
        <v>0.12</v>
      </c>
      <c r="G7375" s="37" t="str">
        <f t="shared" si="576"/>
        <v>Normal Discount</v>
      </c>
      <c r="H7375" s="37" t="str">
        <f t="shared" si="577"/>
        <v>Low</v>
      </c>
      <c r="I7375">
        <v>5</v>
      </c>
      <c r="J7375" t="str" cm="1">
        <f t="array" ref="J7375">_xlfn.IFS(I7375&lt;=3,"small",I7375&lt;=6,"Medium",I7375&lt;=9,"Large")</f>
        <v>Medium</v>
      </c>
      <c r="K7375" s="36">
        <v>45520</v>
      </c>
      <c r="L7375" s="36">
        <v>45522</v>
      </c>
      <c r="M7375" t="s">
        <v>612</v>
      </c>
      <c r="N7375" t="s">
        <v>608</v>
      </c>
      <c r="O7375" s="37" t="str">
        <f t="shared" si="578"/>
        <v>Cash Payment</v>
      </c>
      <c r="P7375">
        <v>223.01</v>
      </c>
      <c r="Q7375" s="37" t="str">
        <f>IF(P7375&gt;500,"High","low")</f>
        <v>low</v>
      </c>
      <c r="R7375" s="37" t="str">
        <f t="shared" si="579"/>
        <v>AVERAGE</v>
      </c>
      <c r="S7375" t="s">
        <v>600</v>
      </c>
    </row>
    <row r="7376" spans="1:19" x14ac:dyDescent="0.2">
      <c r="A7376" t="s">
        <v>7987</v>
      </c>
      <c r="B7376" t="s">
        <v>83</v>
      </c>
      <c r="C7376" t="s">
        <v>607</v>
      </c>
      <c r="D7376">
        <v>4204.08</v>
      </c>
      <c r="E7376" s="37" t="str">
        <f t="shared" si="575"/>
        <v xml:space="preserve"> </v>
      </c>
      <c r="F7376">
        <v>0.01</v>
      </c>
      <c r="G7376" s="37" t="str">
        <f t="shared" si="576"/>
        <v>Normal Discount</v>
      </c>
      <c r="H7376" s="37" t="str">
        <f t="shared" si="577"/>
        <v>Low</v>
      </c>
      <c r="I7376">
        <v>9</v>
      </c>
      <c r="J7376" t="str" cm="1">
        <f t="array" ref="J7376">_xlfn.IFS(I7376&lt;=3,"small",I7376&lt;=6,"Medium",I7376&lt;=9,"Large")</f>
        <v>Large</v>
      </c>
      <c r="K7376" s="36">
        <v>44936</v>
      </c>
      <c r="L7376" s="36">
        <v>44943</v>
      </c>
      <c r="M7376" t="s">
        <v>612</v>
      </c>
      <c r="N7376" t="s">
        <v>599</v>
      </c>
      <c r="O7376" s="37" t="str">
        <f t="shared" si="578"/>
        <v>Digital Payment</v>
      </c>
      <c r="P7376">
        <v>543.9</v>
      </c>
      <c r="Q7376" s="37" t="str">
        <f>IF(P7376&gt;500,"High","low")</f>
        <v>High</v>
      </c>
      <c r="R7376" s="37" t="str">
        <f t="shared" si="579"/>
        <v>Good</v>
      </c>
      <c r="S7376" t="s">
        <v>605</v>
      </c>
    </row>
    <row r="7377" spans="1:19" x14ac:dyDescent="0.2">
      <c r="A7377" t="s">
        <v>7988</v>
      </c>
      <c r="B7377" t="s">
        <v>83</v>
      </c>
      <c r="C7377" t="s">
        <v>614</v>
      </c>
      <c r="D7377">
        <v>3732.1</v>
      </c>
      <c r="E7377" s="37" t="str">
        <f t="shared" si="575"/>
        <v xml:space="preserve"> </v>
      </c>
      <c r="F7377">
        <v>0.01</v>
      </c>
      <c r="G7377" s="37" t="str">
        <f t="shared" si="576"/>
        <v>Normal Discount</v>
      </c>
      <c r="H7377" s="37" t="str">
        <f t="shared" si="577"/>
        <v>Low</v>
      </c>
      <c r="I7377">
        <v>7</v>
      </c>
      <c r="J7377" t="str" cm="1">
        <f t="array" ref="J7377">_xlfn.IFS(I7377&lt;=3,"small",I7377&lt;=6,"Medium",I7377&lt;=9,"Large")</f>
        <v>Large</v>
      </c>
      <c r="K7377" s="36">
        <v>45371</v>
      </c>
      <c r="L7377" s="36">
        <v>45375</v>
      </c>
      <c r="M7377" t="s">
        <v>603</v>
      </c>
      <c r="N7377" t="s">
        <v>608</v>
      </c>
      <c r="O7377" s="37" t="str">
        <f t="shared" si="578"/>
        <v>Cash Payment</v>
      </c>
      <c r="P7377">
        <v>744.7</v>
      </c>
      <c r="Q7377" s="37" t="str">
        <f>IF(P7377&gt;500,"High","low")</f>
        <v>High</v>
      </c>
      <c r="R7377" s="37" t="str">
        <f t="shared" si="579"/>
        <v>Good</v>
      </c>
      <c r="S7377" t="s">
        <v>600</v>
      </c>
    </row>
    <row r="7378" spans="1:19" x14ac:dyDescent="0.2">
      <c r="A7378" t="s">
        <v>7989</v>
      </c>
      <c r="B7378" t="s">
        <v>83</v>
      </c>
      <c r="C7378" t="s">
        <v>617</v>
      </c>
      <c r="D7378">
        <v>4781.34</v>
      </c>
      <c r="E7378" s="37" t="str">
        <f t="shared" si="575"/>
        <v xml:space="preserve"> </v>
      </c>
      <c r="F7378">
        <v>0.15</v>
      </c>
      <c r="G7378" s="37" t="str">
        <f t="shared" si="576"/>
        <v>Normal Discount</v>
      </c>
      <c r="H7378" s="37" t="str">
        <f t="shared" si="577"/>
        <v>Low</v>
      </c>
      <c r="I7378">
        <v>9</v>
      </c>
      <c r="J7378" t="str" cm="1">
        <f t="array" ref="J7378">_xlfn.IFS(I7378&lt;=3,"small",I7378&lt;=6,"Medium",I7378&lt;=9,"Large")</f>
        <v>Large</v>
      </c>
      <c r="K7378" s="36">
        <v>44982</v>
      </c>
      <c r="L7378" s="36">
        <v>44983</v>
      </c>
      <c r="M7378" t="s">
        <v>603</v>
      </c>
      <c r="N7378" t="s">
        <v>604</v>
      </c>
      <c r="O7378" s="37" t="str">
        <f t="shared" si="578"/>
        <v>Digital Payment</v>
      </c>
      <c r="P7378">
        <v>521.30999999999995</v>
      </c>
      <c r="Q7378" s="37" t="str">
        <f>IF(P7378&gt;500,"High","low")</f>
        <v>High</v>
      </c>
      <c r="R7378" s="37" t="str">
        <f t="shared" si="579"/>
        <v>Good</v>
      </c>
      <c r="S7378" t="s">
        <v>605</v>
      </c>
    </row>
    <row r="7379" spans="1:19" x14ac:dyDescent="0.2">
      <c r="A7379" t="s">
        <v>7990</v>
      </c>
      <c r="B7379" t="s">
        <v>83</v>
      </c>
      <c r="C7379" t="s">
        <v>607</v>
      </c>
      <c r="D7379">
        <v>2839.96</v>
      </c>
      <c r="E7379" s="37" t="str">
        <f t="shared" si="575"/>
        <v xml:space="preserve"> </v>
      </c>
      <c r="F7379">
        <v>0.46</v>
      </c>
      <c r="G7379" s="37" t="str">
        <f t="shared" si="576"/>
        <v>Heavy Discount</v>
      </c>
      <c r="H7379" s="37" t="str">
        <f t="shared" si="577"/>
        <v>High</v>
      </c>
      <c r="I7379">
        <v>9</v>
      </c>
      <c r="J7379" t="str" cm="1">
        <f t="array" ref="J7379">_xlfn.IFS(I7379&lt;=3,"small",I7379&lt;=6,"Medium",I7379&lt;=9,"Large")</f>
        <v>Large</v>
      </c>
      <c r="K7379" s="36">
        <v>45191</v>
      </c>
      <c r="L7379" s="36">
        <v>45192</v>
      </c>
      <c r="M7379" t="s">
        <v>598</v>
      </c>
      <c r="N7379" t="s">
        <v>599</v>
      </c>
      <c r="O7379" s="37" t="str">
        <f t="shared" si="578"/>
        <v>Digital Payment</v>
      </c>
      <c r="P7379">
        <v>799.48</v>
      </c>
      <c r="Q7379" s="37" t="str">
        <f>IF(P7379&gt;500,"High","low")</f>
        <v>High</v>
      </c>
      <c r="R7379" s="37" t="str">
        <f t="shared" si="579"/>
        <v>Good</v>
      </c>
      <c r="S7379" t="s">
        <v>620</v>
      </c>
    </row>
    <row r="7380" spans="1:19" x14ac:dyDescent="0.2">
      <c r="A7380" t="s">
        <v>7991</v>
      </c>
      <c r="B7380" t="s">
        <v>75</v>
      </c>
      <c r="C7380" t="s">
        <v>607</v>
      </c>
      <c r="D7380">
        <v>3763.93</v>
      </c>
      <c r="E7380" s="37" t="str">
        <f t="shared" si="575"/>
        <v xml:space="preserve"> </v>
      </c>
      <c r="F7380">
        <v>0.31</v>
      </c>
      <c r="G7380" s="37" t="str">
        <f t="shared" si="576"/>
        <v>Heavy Discount</v>
      </c>
      <c r="H7380" s="37" t="str">
        <f t="shared" si="577"/>
        <v>Medium</v>
      </c>
      <c r="I7380">
        <v>1</v>
      </c>
      <c r="J7380" t="str" cm="1">
        <f t="array" ref="J7380">_xlfn.IFS(I7380&lt;=3,"small",I7380&lt;=6,"Medium",I7380&lt;=9,"Large")</f>
        <v>small</v>
      </c>
      <c r="K7380" s="36">
        <v>45616</v>
      </c>
      <c r="L7380" s="36">
        <v>45618</v>
      </c>
      <c r="M7380" t="s">
        <v>603</v>
      </c>
      <c r="N7380" t="s">
        <v>599</v>
      </c>
      <c r="O7380" s="37" t="str">
        <f t="shared" si="578"/>
        <v>Digital Payment</v>
      </c>
      <c r="P7380">
        <v>1094.6600000000001</v>
      </c>
      <c r="Q7380" s="37" t="str">
        <f>IF(P7380&gt;500,"High","low")</f>
        <v>High</v>
      </c>
      <c r="R7380" s="37" t="str">
        <f t="shared" si="579"/>
        <v>Excellent</v>
      </c>
      <c r="S7380" t="s">
        <v>600</v>
      </c>
    </row>
    <row r="7381" spans="1:19" x14ac:dyDescent="0.2">
      <c r="A7381" t="s">
        <v>7992</v>
      </c>
      <c r="B7381" t="s">
        <v>75</v>
      </c>
      <c r="C7381" t="s">
        <v>614</v>
      </c>
      <c r="D7381">
        <v>1448.89</v>
      </c>
      <c r="E7381" s="37" t="str">
        <f t="shared" si="575"/>
        <v xml:space="preserve"> </v>
      </c>
      <c r="F7381">
        <v>0.19</v>
      </c>
      <c r="G7381" s="37" t="str">
        <f t="shared" si="576"/>
        <v>Normal Discount</v>
      </c>
      <c r="H7381" s="37" t="str">
        <f t="shared" si="577"/>
        <v>Low</v>
      </c>
      <c r="I7381">
        <v>8</v>
      </c>
      <c r="J7381" t="str" cm="1">
        <f t="array" ref="J7381">_xlfn.IFS(I7381&lt;=3,"small",I7381&lt;=6,"Medium",I7381&lt;=9,"Large")</f>
        <v>Large</v>
      </c>
      <c r="K7381" s="36">
        <v>45194</v>
      </c>
      <c r="L7381" s="36">
        <v>45196</v>
      </c>
      <c r="M7381" t="s">
        <v>612</v>
      </c>
      <c r="N7381" t="s">
        <v>604</v>
      </c>
      <c r="O7381" s="37" t="str">
        <f t="shared" si="578"/>
        <v>Digital Payment</v>
      </c>
      <c r="P7381">
        <v>284.48</v>
      </c>
      <c r="Q7381" s="37" t="str">
        <f>IF(P7381&gt;500,"High","low")</f>
        <v>low</v>
      </c>
      <c r="R7381" s="37" t="str">
        <f t="shared" si="579"/>
        <v>AVERAGE</v>
      </c>
      <c r="S7381" t="s">
        <v>620</v>
      </c>
    </row>
    <row r="7382" spans="1:19" x14ac:dyDescent="0.2">
      <c r="A7382" t="s">
        <v>7993</v>
      </c>
      <c r="B7382" t="s">
        <v>67</v>
      </c>
      <c r="C7382" t="s">
        <v>614</v>
      </c>
      <c r="D7382">
        <v>3429.93</v>
      </c>
      <c r="E7382" s="37" t="str">
        <f t="shared" si="575"/>
        <v xml:space="preserve"> </v>
      </c>
      <c r="F7382">
        <v>0.01</v>
      </c>
      <c r="G7382" s="37" t="str">
        <f t="shared" si="576"/>
        <v>Normal Discount</v>
      </c>
      <c r="H7382" s="37" t="str">
        <f t="shared" si="577"/>
        <v>Low</v>
      </c>
      <c r="I7382">
        <v>7</v>
      </c>
      <c r="J7382" t="str" cm="1">
        <f t="array" ref="J7382">_xlfn.IFS(I7382&lt;=3,"small",I7382&lt;=6,"Medium",I7382&lt;=9,"Large")</f>
        <v>Large</v>
      </c>
      <c r="K7382" s="36">
        <v>45312</v>
      </c>
      <c r="L7382" s="36">
        <v>45319</v>
      </c>
      <c r="M7382" t="s">
        <v>598</v>
      </c>
      <c r="N7382" t="s">
        <v>604</v>
      </c>
      <c r="O7382" s="37" t="str">
        <f t="shared" si="578"/>
        <v>Digital Payment</v>
      </c>
      <c r="P7382">
        <v>1016.73</v>
      </c>
      <c r="Q7382" s="37" t="str">
        <f>IF(P7382&gt;500,"High","low")</f>
        <v>High</v>
      </c>
      <c r="R7382" s="37" t="str">
        <f t="shared" si="579"/>
        <v>Excellent</v>
      </c>
      <c r="S7382" t="s">
        <v>615</v>
      </c>
    </row>
    <row r="7383" spans="1:19" x14ac:dyDescent="0.2">
      <c r="A7383" t="s">
        <v>7994</v>
      </c>
      <c r="B7383" t="s">
        <v>90</v>
      </c>
      <c r="C7383" t="s">
        <v>597</v>
      </c>
      <c r="D7383">
        <v>3560.14</v>
      </c>
      <c r="E7383" s="37" t="str">
        <f t="shared" si="575"/>
        <v xml:space="preserve"> </v>
      </c>
      <c r="F7383">
        <v>0.49</v>
      </c>
      <c r="G7383" s="37" t="str">
        <f t="shared" si="576"/>
        <v>Heavy Discount</v>
      </c>
      <c r="H7383" s="37" t="str">
        <f t="shared" si="577"/>
        <v>High</v>
      </c>
      <c r="I7383">
        <v>2</v>
      </c>
      <c r="J7383" t="str" cm="1">
        <f t="array" ref="J7383">_xlfn.IFS(I7383&lt;=3,"small",I7383&lt;=6,"Medium",I7383&lt;=9,"Large")</f>
        <v>small</v>
      </c>
      <c r="K7383" s="36">
        <v>45400</v>
      </c>
      <c r="L7383" s="36">
        <v>45406</v>
      </c>
      <c r="M7383" t="s">
        <v>598</v>
      </c>
      <c r="N7383" t="s">
        <v>604</v>
      </c>
      <c r="O7383" s="37" t="str">
        <f t="shared" si="578"/>
        <v>Digital Payment</v>
      </c>
      <c r="P7383">
        <v>329.91</v>
      </c>
      <c r="Q7383" s="37" t="str">
        <f>IF(P7383&gt;500,"High","low")</f>
        <v>low</v>
      </c>
      <c r="R7383" s="37" t="str">
        <f t="shared" si="579"/>
        <v>AVERAGE</v>
      </c>
      <c r="S7383" t="s">
        <v>609</v>
      </c>
    </row>
    <row r="7384" spans="1:19" x14ac:dyDescent="0.2">
      <c r="A7384" t="s">
        <v>7995</v>
      </c>
      <c r="B7384" t="s">
        <v>83</v>
      </c>
      <c r="C7384" t="s">
        <v>602</v>
      </c>
      <c r="D7384">
        <v>4257.24</v>
      </c>
      <c r="E7384" s="37" t="str">
        <f t="shared" si="575"/>
        <v xml:space="preserve"> </v>
      </c>
      <c r="F7384">
        <v>0.23</v>
      </c>
      <c r="G7384" s="37" t="str">
        <f t="shared" si="576"/>
        <v>Normal Discount</v>
      </c>
      <c r="H7384" s="37" t="str">
        <f t="shared" si="577"/>
        <v>Medium</v>
      </c>
      <c r="I7384">
        <v>3</v>
      </c>
      <c r="J7384" t="str" cm="1">
        <f t="array" ref="J7384">_xlfn.IFS(I7384&lt;=3,"small",I7384&lt;=6,"Medium",I7384&lt;=9,"Large")</f>
        <v>small</v>
      </c>
      <c r="K7384" s="36">
        <v>45511</v>
      </c>
      <c r="L7384" s="36">
        <v>45513</v>
      </c>
      <c r="M7384" t="s">
        <v>598</v>
      </c>
      <c r="N7384" t="s">
        <v>608</v>
      </c>
      <c r="O7384" s="37" t="str">
        <f t="shared" si="578"/>
        <v>Cash Payment</v>
      </c>
      <c r="P7384">
        <v>335.62</v>
      </c>
      <c r="Q7384" s="37" t="str">
        <f>IF(P7384&gt;500,"High","low")</f>
        <v>low</v>
      </c>
      <c r="R7384" s="37" t="str">
        <f t="shared" si="579"/>
        <v>AVERAGE</v>
      </c>
      <c r="S7384" t="s">
        <v>628</v>
      </c>
    </row>
    <row r="7385" spans="1:19" x14ac:dyDescent="0.2">
      <c r="A7385" t="s">
        <v>7996</v>
      </c>
      <c r="B7385" t="s">
        <v>67</v>
      </c>
      <c r="C7385" t="s">
        <v>607</v>
      </c>
      <c r="D7385">
        <v>2728.38</v>
      </c>
      <c r="E7385" s="37" t="str">
        <f t="shared" si="575"/>
        <v xml:space="preserve"> </v>
      </c>
      <c r="F7385">
        <v>0.5</v>
      </c>
      <c r="G7385" s="37" t="str">
        <f t="shared" si="576"/>
        <v>Heavy Discount</v>
      </c>
      <c r="H7385" s="37" t="str">
        <f t="shared" si="577"/>
        <v>High</v>
      </c>
      <c r="I7385">
        <v>6</v>
      </c>
      <c r="J7385" t="str" cm="1">
        <f t="array" ref="J7385">_xlfn.IFS(I7385&lt;=3,"small",I7385&lt;=6,"Medium",I7385&lt;=9,"Large")</f>
        <v>Medium</v>
      </c>
      <c r="K7385" s="36">
        <v>44943</v>
      </c>
      <c r="L7385" s="36">
        <v>44949</v>
      </c>
      <c r="M7385" t="s">
        <v>603</v>
      </c>
      <c r="N7385" t="s">
        <v>604</v>
      </c>
      <c r="O7385" s="37" t="str">
        <f t="shared" si="578"/>
        <v>Digital Payment</v>
      </c>
      <c r="P7385">
        <v>413.18</v>
      </c>
      <c r="Q7385" s="37" t="str">
        <f>IF(P7385&gt;500,"High","low")</f>
        <v>low</v>
      </c>
      <c r="R7385" s="37" t="str">
        <f t="shared" si="579"/>
        <v>AVERAGE</v>
      </c>
      <c r="S7385" t="s">
        <v>620</v>
      </c>
    </row>
    <row r="7386" spans="1:19" x14ac:dyDescent="0.2">
      <c r="A7386" t="s">
        <v>7997</v>
      </c>
      <c r="B7386" t="s">
        <v>75</v>
      </c>
      <c r="C7386" t="s">
        <v>602</v>
      </c>
      <c r="D7386">
        <v>3280.13</v>
      </c>
      <c r="E7386" s="37" t="str">
        <f t="shared" si="575"/>
        <v xml:space="preserve"> </v>
      </c>
      <c r="F7386">
        <v>0.36</v>
      </c>
      <c r="G7386" s="37" t="str">
        <f t="shared" si="576"/>
        <v>Heavy Discount</v>
      </c>
      <c r="H7386" s="37" t="str">
        <f t="shared" si="577"/>
        <v>Medium</v>
      </c>
      <c r="I7386">
        <v>3</v>
      </c>
      <c r="J7386" t="str" cm="1">
        <f t="array" ref="J7386">_xlfn.IFS(I7386&lt;=3,"small",I7386&lt;=6,"Medium",I7386&lt;=9,"Large")</f>
        <v>small</v>
      </c>
      <c r="K7386" s="36">
        <v>44961</v>
      </c>
      <c r="L7386" s="36">
        <v>44964</v>
      </c>
      <c r="M7386" t="s">
        <v>603</v>
      </c>
      <c r="N7386" t="s">
        <v>608</v>
      </c>
      <c r="O7386" s="37" t="str">
        <f t="shared" si="578"/>
        <v>Cash Payment</v>
      </c>
      <c r="P7386">
        <v>816.5</v>
      </c>
      <c r="Q7386" s="37" t="str">
        <f>IF(P7386&gt;500,"High","low")</f>
        <v>High</v>
      </c>
      <c r="R7386" s="37" t="str">
        <f t="shared" si="579"/>
        <v>Good</v>
      </c>
      <c r="S7386" t="s">
        <v>620</v>
      </c>
    </row>
    <row r="7387" spans="1:19" x14ac:dyDescent="0.2">
      <c r="A7387" t="s">
        <v>7998</v>
      </c>
      <c r="B7387" t="s">
        <v>75</v>
      </c>
      <c r="C7387" t="s">
        <v>602</v>
      </c>
      <c r="D7387">
        <v>1094.94</v>
      </c>
      <c r="E7387" s="37" t="str">
        <f t="shared" si="575"/>
        <v xml:space="preserve"> </v>
      </c>
      <c r="F7387">
        <v>0.03</v>
      </c>
      <c r="G7387" s="37" t="str">
        <f t="shared" si="576"/>
        <v>Normal Discount</v>
      </c>
      <c r="H7387" s="37" t="str">
        <f t="shared" si="577"/>
        <v>Low</v>
      </c>
      <c r="I7387">
        <v>8</v>
      </c>
      <c r="J7387" t="str" cm="1">
        <f t="array" ref="J7387">_xlfn.IFS(I7387&lt;=3,"small",I7387&lt;=6,"Medium",I7387&lt;=9,"Large")</f>
        <v>Large</v>
      </c>
      <c r="K7387" s="36">
        <v>45633</v>
      </c>
      <c r="L7387" s="36">
        <v>45640</v>
      </c>
      <c r="M7387" t="s">
        <v>603</v>
      </c>
      <c r="N7387" t="s">
        <v>604</v>
      </c>
      <c r="O7387" s="37" t="str">
        <f t="shared" si="578"/>
        <v>Digital Payment</v>
      </c>
      <c r="P7387">
        <v>216.04</v>
      </c>
      <c r="Q7387" s="37" t="str">
        <f>IF(P7387&gt;500,"High","low")</f>
        <v>low</v>
      </c>
      <c r="R7387" s="37" t="str">
        <f t="shared" si="579"/>
        <v>AVERAGE</v>
      </c>
      <c r="S7387" t="s">
        <v>605</v>
      </c>
    </row>
    <row r="7388" spans="1:19" x14ac:dyDescent="0.2">
      <c r="A7388" t="s">
        <v>7999</v>
      </c>
      <c r="B7388" t="s">
        <v>90</v>
      </c>
      <c r="C7388" t="s">
        <v>607</v>
      </c>
      <c r="D7388">
        <v>3710.12</v>
      </c>
      <c r="E7388" s="37" t="str">
        <f t="shared" si="575"/>
        <v xml:space="preserve"> </v>
      </c>
      <c r="F7388">
        <v>0.43</v>
      </c>
      <c r="G7388" s="37" t="str">
        <f t="shared" si="576"/>
        <v>Heavy Discount</v>
      </c>
      <c r="H7388" s="37" t="str">
        <f t="shared" si="577"/>
        <v>High</v>
      </c>
      <c r="I7388">
        <v>4</v>
      </c>
      <c r="J7388" t="str" cm="1">
        <f t="array" ref="J7388">_xlfn.IFS(I7388&lt;=3,"small",I7388&lt;=6,"Medium",I7388&lt;=9,"Large")</f>
        <v>Medium</v>
      </c>
      <c r="K7388" s="36">
        <v>45636</v>
      </c>
      <c r="L7388" s="36">
        <v>45637</v>
      </c>
      <c r="M7388" t="s">
        <v>603</v>
      </c>
      <c r="N7388" t="s">
        <v>608</v>
      </c>
      <c r="O7388" s="37" t="str">
        <f t="shared" si="578"/>
        <v>Cash Payment</v>
      </c>
      <c r="P7388">
        <v>769.79</v>
      </c>
      <c r="Q7388" s="37" t="str">
        <f>IF(P7388&gt;500,"High","low")</f>
        <v>High</v>
      </c>
      <c r="R7388" s="37" t="str">
        <f t="shared" si="579"/>
        <v>Good</v>
      </c>
      <c r="S7388" t="s">
        <v>628</v>
      </c>
    </row>
    <row r="7389" spans="1:19" x14ac:dyDescent="0.2">
      <c r="A7389" t="s">
        <v>8000</v>
      </c>
      <c r="B7389" t="s">
        <v>90</v>
      </c>
      <c r="C7389" t="s">
        <v>614</v>
      </c>
      <c r="D7389">
        <v>4208.22</v>
      </c>
      <c r="E7389" s="37" t="str">
        <f t="shared" si="575"/>
        <v>Excellent Order</v>
      </c>
      <c r="F7389">
        <v>0.27</v>
      </c>
      <c r="G7389" s="37" t="str">
        <f t="shared" si="576"/>
        <v>Normal Discount</v>
      </c>
      <c r="H7389" s="37" t="str">
        <f t="shared" si="577"/>
        <v>Medium</v>
      </c>
      <c r="I7389">
        <v>7</v>
      </c>
      <c r="J7389" t="str" cm="1">
        <f t="array" ref="J7389">_xlfn.IFS(I7389&lt;=3,"small",I7389&lt;=6,"Medium",I7389&lt;=9,"Large")</f>
        <v>Large</v>
      </c>
      <c r="K7389" s="36">
        <v>45389</v>
      </c>
      <c r="L7389" s="36">
        <v>45390</v>
      </c>
      <c r="M7389" t="s">
        <v>612</v>
      </c>
      <c r="N7389" t="s">
        <v>599</v>
      </c>
      <c r="O7389" s="37" t="str">
        <f t="shared" si="578"/>
        <v>Digital Payment</v>
      </c>
      <c r="P7389">
        <v>1219.0899999999999</v>
      </c>
      <c r="Q7389" s="37" t="str">
        <f>IF(P7389&gt;500,"High","low")</f>
        <v>High</v>
      </c>
      <c r="R7389" s="37" t="str">
        <f t="shared" si="579"/>
        <v>Excellent</v>
      </c>
      <c r="S7389" t="s">
        <v>615</v>
      </c>
    </row>
    <row r="7390" spans="1:19" x14ac:dyDescent="0.2">
      <c r="A7390" t="s">
        <v>8001</v>
      </c>
      <c r="B7390" t="s">
        <v>90</v>
      </c>
      <c r="C7390" t="s">
        <v>597</v>
      </c>
      <c r="D7390">
        <v>3009.31</v>
      </c>
      <c r="E7390" s="37" t="str">
        <f t="shared" si="575"/>
        <v xml:space="preserve"> </v>
      </c>
      <c r="F7390">
        <v>0.23</v>
      </c>
      <c r="G7390" s="37" t="str">
        <f t="shared" si="576"/>
        <v>Normal Discount</v>
      </c>
      <c r="H7390" s="37" t="str">
        <f t="shared" si="577"/>
        <v>Medium</v>
      </c>
      <c r="I7390">
        <v>4</v>
      </c>
      <c r="J7390" t="str" cm="1">
        <f t="array" ref="J7390">_xlfn.IFS(I7390&lt;=3,"small",I7390&lt;=6,"Medium",I7390&lt;=9,"Large")</f>
        <v>Medium</v>
      </c>
      <c r="K7390" s="36">
        <v>45126</v>
      </c>
      <c r="L7390" s="36">
        <v>45133</v>
      </c>
      <c r="M7390" t="s">
        <v>612</v>
      </c>
      <c r="N7390" t="s">
        <v>604</v>
      </c>
      <c r="O7390" s="37" t="str">
        <f t="shared" si="578"/>
        <v>Digital Payment</v>
      </c>
      <c r="P7390">
        <v>600.37</v>
      </c>
      <c r="Q7390" s="37" t="str">
        <f>IF(P7390&gt;500,"High","low")</f>
        <v>High</v>
      </c>
      <c r="R7390" s="37" t="str">
        <f t="shared" si="579"/>
        <v>Good</v>
      </c>
      <c r="S7390" t="s">
        <v>615</v>
      </c>
    </row>
    <row r="7391" spans="1:19" x14ac:dyDescent="0.2">
      <c r="A7391" t="s">
        <v>8002</v>
      </c>
      <c r="B7391" t="s">
        <v>67</v>
      </c>
      <c r="C7391" t="s">
        <v>617</v>
      </c>
      <c r="D7391">
        <v>666.8</v>
      </c>
      <c r="E7391" s="37" t="str">
        <f t="shared" si="575"/>
        <v xml:space="preserve"> </v>
      </c>
      <c r="F7391">
        <v>0.38</v>
      </c>
      <c r="G7391" s="37" t="str">
        <f t="shared" si="576"/>
        <v>Heavy Discount</v>
      </c>
      <c r="H7391" s="37" t="str">
        <f t="shared" si="577"/>
        <v>Medium</v>
      </c>
      <c r="I7391">
        <v>2</v>
      </c>
      <c r="J7391" t="str" cm="1">
        <f t="array" ref="J7391">_xlfn.IFS(I7391&lt;=3,"small",I7391&lt;=6,"Medium",I7391&lt;=9,"Large")</f>
        <v>small</v>
      </c>
      <c r="K7391" s="36">
        <v>45216</v>
      </c>
      <c r="L7391" s="36">
        <v>45217</v>
      </c>
      <c r="M7391" t="s">
        <v>598</v>
      </c>
      <c r="N7391" t="s">
        <v>608</v>
      </c>
      <c r="O7391" s="37" t="str">
        <f t="shared" si="578"/>
        <v>Cash Payment</v>
      </c>
      <c r="P7391">
        <v>105.62</v>
      </c>
      <c r="Q7391" s="37" t="str">
        <f>IF(P7391&gt;500,"High","low")</f>
        <v>low</v>
      </c>
      <c r="R7391" s="37" t="str">
        <f t="shared" si="579"/>
        <v>AVERAGE</v>
      </c>
      <c r="S7391" t="s">
        <v>609</v>
      </c>
    </row>
    <row r="7392" spans="1:19" x14ac:dyDescent="0.2">
      <c r="A7392" t="s">
        <v>8003</v>
      </c>
      <c r="B7392" t="s">
        <v>75</v>
      </c>
      <c r="C7392" t="s">
        <v>607</v>
      </c>
      <c r="D7392">
        <v>1633</v>
      </c>
      <c r="E7392" s="37" t="str">
        <f t="shared" si="575"/>
        <v xml:space="preserve"> </v>
      </c>
      <c r="F7392">
        <v>0.39</v>
      </c>
      <c r="G7392" s="37" t="str">
        <f t="shared" si="576"/>
        <v>Heavy Discount</v>
      </c>
      <c r="H7392" s="37" t="str">
        <f t="shared" si="577"/>
        <v>Medium</v>
      </c>
      <c r="I7392">
        <v>7</v>
      </c>
      <c r="J7392" t="str" cm="1">
        <f t="array" ref="J7392">_xlfn.IFS(I7392&lt;=3,"small",I7392&lt;=6,"Medium",I7392&lt;=9,"Large")</f>
        <v>Large</v>
      </c>
      <c r="K7392" s="36">
        <v>44937</v>
      </c>
      <c r="L7392" s="36">
        <v>44941</v>
      </c>
      <c r="M7392" t="s">
        <v>612</v>
      </c>
      <c r="N7392" t="s">
        <v>599</v>
      </c>
      <c r="O7392" s="37" t="str">
        <f t="shared" si="578"/>
        <v>Digital Payment</v>
      </c>
      <c r="P7392">
        <v>402.05</v>
      </c>
      <c r="Q7392" s="37" t="str">
        <f>IF(P7392&gt;500,"High","low")</f>
        <v>low</v>
      </c>
      <c r="R7392" s="37" t="str">
        <f t="shared" si="579"/>
        <v>AVERAGE</v>
      </c>
      <c r="S7392" t="s">
        <v>600</v>
      </c>
    </row>
    <row r="7393" spans="1:19" x14ac:dyDescent="0.2">
      <c r="A7393" t="s">
        <v>8004</v>
      </c>
      <c r="B7393" t="s">
        <v>75</v>
      </c>
      <c r="C7393" t="s">
        <v>607</v>
      </c>
      <c r="D7393">
        <v>2430.02</v>
      </c>
      <c r="E7393" s="37" t="str">
        <f t="shared" si="575"/>
        <v xml:space="preserve"> </v>
      </c>
      <c r="F7393">
        <v>0.4</v>
      </c>
      <c r="G7393" s="37" t="str">
        <f t="shared" si="576"/>
        <v>Heavy Discount</v>
      </c>
      <c r="H7393" s="37" t="str">
        <f t="shared" si="577"/>
        <v>Medium</v>
      </c>
      <c r="I7393">
        <v>8</v>
      </c>
      <c r="J7393" t="str" cm="1">
        <f t="array" ref="J7393">_xlfn.IFS(I7393&lt;=3,"small",I7393&lt;=6,"Medium",I7393&lt;=9,"Large")</f>
        <v>Large</v>
      </c>
      <c r="K7393" s="36">
        <v>44936</v>
      </c>
      <c r="L7393" s="36">
        <v>44941</v>
      </c>
      <c r="M7393" t="s">
        <v>603</v>
      </c>
      <c r="N7393" t="s">
        <v>604</v>
      </c>
      <c r="O7393" s="37" t="str">
        <f t="shared" si="578"/>
        <v>Digital Payment</v>
      </c>
      <c r="P7393">
        <v>586.17999999999995</v>
      </c>
      <c r="Q7393" s="37" t="str">
        <f>IF(P7393&gt;500,"High","low")</f>
        <v>High</v>
      </c>
      <c r="R7393" s="37" t="str">
        <f t="shared" si="579"/>
        <v>Good</v>
      </c>
      <c r="S7393" t="s">
        <v>609</v>
      </c>
    </row>
    <row r="7394" spans="1:19" x14ac:dyDescent="0.2">
      <c r="A7394" t="s">
        <v>8005</v>
      </c>
      <c r="B7394" t="s">
        <v>90</v>
      </c>
      <c r="C7394" t="s">
        <v>617</v>
      </c>
      <c r="D7394">
        <v>3418.1</v>
      </c>
      <c r="E7394" s="37" t="str">
        <f t="shared" si="575"/>
        <v xml:space="preserve"> </v>
      </c>
      <c r="F7394">
        <v>0.38</v>
      </c>
      <c r="G7394" s="37" t="str">
        <f t="shared" si="576"/>
        <v>Heavy Discount</v>
      </c>
      <c r="H7394" s="37" t="str">
        <f t="shared" si="577"/>
        <v>Medium</v>
      </c>
      <c r="I7394">
        <v>1</v>
      </c>
      <c r="J7394" t="str" cm="1">
        <f t="array" ref="J7394">_xlfn.IFS(I7394&lt;=3,"small",I7394&lt;=6,"Medium",I7394&lt;=9,"Large")</f>
        <v>small</v>
      </c>
      <c r="K7394" s="36">
        <v>45008</v>
      </c>
      <c r="L7394" s="36">
        <v>45010</v>
      </c>
      <c r="M7394" t="s">
        <v>603</v>
      </c>
      <c r="N7394" t="s">
        <v>608</v>
      </c>
      <c r="O7394" s="37" t="str">
        <f t="shared" si="578"/>
        <v>Cash Payment</v>
      </c>
      <c r="P7394">
        <v>980.13</v>
      </c>
      <c r="Q7394" s="37" t="str">
        <f>IF(P7394&gt;500,"High","low")</f>
        <v>High</v>
      </c>
      <c r="R7394" s="37" t="str">
        <f t="shared" si="579"/>
        <v>Good</v>
      </c>
      <c r="S7394" t="s">
        <v>605</v>
      </c>
    </row>
    <row r="7395" spans="1:19" x14ac:dyDescent="0.2">
      <c r="A7395" t="s">
        <v>8006</v>
      </c>
      <c r="B7395" t="s">
        <v>83</v>
      </c>
      <c r="C7395" t="s">
        <v>602</v>
      </c>
      <c r="D7395">
        <v>1669.6</v>
      </c>
      <c r="E7395" s="37" t="str">
        <f t="shared" si="575"/>
        <v xml:space="preserve"> </v>
      </c>
      <c r="F7395">
        <v>0.32</v>
      </c>
      <c r="G7395" s="37" t="str">
        <f t="shared" si="576"/>
        <v>Heavy Discount</v>
      </c>
      <c r="H7395" s="37" t="str">
        <f t="shared" si="577"/>
        <v>Medium</v>
      </c>
      <c r="I7395">
        <v>5</v>
      </c>
      <c r="J7395" t="str" cm="1">
        <f t="array" ref="J7395">_xlfn.IFS(I7395&lt;=3,"small",I7395&lt;=6,"Medium",I7395&lt;=9,"Large")</f>
        <v>Medium</v>
      </c>
      <c r="K7395" s="36">
        <v>45264</v>
      </c>
      <c r="L7395" s="36">
        <v>45268</v>
      </c>
      <c r="M7395" t="s">
        <v>612</v>
      </c>
      <c r="N7395" t="s">
        <v>604</v>
      </c>
      <c r="O7395" s="37" t="str">
        <f t="shared" si="578"/>
        <v>Digital Payment</v>
      </c>
      <c r="P7395">
        <v>339.86</v>
      </c>
      <c r="Q7395" s="37" t="str">
        <f>IF(P7395&gt;500,"High","low")</f>
        <v>low</v>
      </c>
      <c r="R7395" s="37" t="str">
        <f t="shared" si="579"/>
        <v>AVERAGE</v>
      </c>
      <c r="S7395" t="s">
        <v>628</v>
      </c>
    </row>
    <row r="7396" spans="1:19" x14ac:dyDescent="0.2">
      <c r="A7396" t="s">
        <v>8007</v>
      </c>
      <c r="B7396" t="s">
        <v>90</v>
      </c>
      <c r="C7396" t="s">
        <v>597</v>
      </c>
      <c r="D7396">
        <v>4217.43</v>
      </c>
      <c r="E7396" s="37" t="str">
        <f t="shared" si="575"/>
        <v xml:space="preserve"> </v>
      </c>
      <c r="F7396">
        <v>0.34</v>
      </c>
      <c r="G7396" s="37" t="str">
        <f t="shared" si="576"/>
        <v>Heavy Discount</v>
      </c>
      <c r="H7396" s="37" t="str">
        <f t="shared" si="577"/>
        <v>Medium</v>
      </c>
      <c r="I7396">
        <v>8</v>
      </c>
      <c r="J7396" t="str" cm="1">
        <f t="array" ref="J7396">_xlfn.IFS(I7396&lt;=3,"small",I7396&lt;=6,"Medium",I7396&lt;=9,"Large")</f>
        <v>Large</v>
      </c>
      <c r="K7396" s="36">
        <v>45401</v>
      </c>
      <c r="L7396" s="36">
        <v>45406</v>
      </c>
      <c r="M7396" t="s">
        <v>612</v>
      </c>
      <c r="N7396" t="s">
        <v>599</v>
      </c>
      <c r="O7396" s="37" t="str">
        <f t="shared" si="578"/>
        <v>Digital Payment</v>
      </c>
      <c r="P7396">
        <v>226.49</v>
      </c>
      <c r="Q7396" s="37" t="str">
        <f>IF(P7396&gt;500,"High","low")</f>
        <v>low</v>
      </c>
      <c r="R7396" s="37" t="str">
        <f t="shared" si="579"/>
        <v>AVERAGE</v>
      </c>
      <c r="S7396" t="s">
        <v>605</v>
      </c>
    </row>
    <row r="7397" spans="1:19" x14ac:dyDescent="0.2">
      <c r="A7397" t="s">
        <v>8008</v>
      </c>
      <c r="B7397" t="s">
        <v>67</v>
      </c>
      <c r="C7397" t="s">
        <v>602</v>
      </c>
      <c r="D7397">
        <v>1921.77</v>
      </c>
      <c r="E7397" s="37" t="str">
        <f t="shared" si="575"/>
        <v xml:space="preserve"> </v>
      </c>
      <c r="F7397">
        <v>0.43</v>
      </c>
      <c r="G7397" s="37" t="str">
        <f t="shared" si="576"/>
        <v>Heavy Discount</v>
      </c>
      <c r="H7397" s="37" t="str">
        <f t="shared" si="577"/>
        <v>High</v>
      </c>
      <c r="I7397">
        <v>1</v>
      </c>
      <c r="J7397" t="str" cm="1">
        <f t="array" ref="J7397">_xlfn.IFS(I7397&lt;=3,"small",I7397&lt;=6,"Medium",I7397&lt;=9,"Large")</f>
        <v>small</v>
      </c>
      <c r="K7397" s="36">
        <v>45105</v>
      </c>
      <c r="L7397" s="36">
        <v>45112</v>
      </c>
      <c r="M7397" t="s">
        <v>612</v>
      </c>
      <c r="N7397" t="s">
        <v>599</v>
      </c>
      <c r="O7397" s="37" t="str">
        <f t="shared" si="578"/>
        <v>Digital Payment</v>
      </c>
      <c r="P7397">
        <v>256.45999999999998</v>
      </c>
      <c r="Q7397" s="37" t="str">
        <f>IF(P7397&gt;500,"High","low")</f>
        <v>low</v>
      </c>
      <c r="R7397" s="37" t="str">
        <f t="shared" si="579"/>
        <v>AVERAGE</v>
      </c>
      <c r="S7397" t="s">
        <v>605</v>
      </c>
    </row>
    <row r="7398" spans="1:19" x14ac:dyDescent="0.2">
      <c r="A7398" t="s">
        <v>8009</v>
      </c>
      <c r="B7398" t="s">
        <v>90</v>
      </c>
      <c r="C7398" t="s">
        <v>617</v>
      </c>
      <c r="D7398">
        <v>309.89999999999998</v>
      </c>
      <c r="E7398" s="37" t="str">
        <f t="shared" si="575"/>
        <v xml:space="preserve"> </v>
      </c>
      <c r="F7398">
        <v>0.35</v>
      </c>
      <c r="G7398" s="37" t="str">
        <f t="shared" si="576"/>
        <v>Heavy Discount</v>
      </c>
      <c r="H7398" s="37" t="str">
        <f t="shared" si="577"/>
        <v>Medium</v>
      </c>
      <c r="I7398">
        <v>3</v>
      </c>
      <c r="J7398" t="str" cm="1">
        <f t="array" ref="J7398">_xlfn.IFS(I7398&lt;=3,"small",I7398&lt;=6,"Medium",I7398&lt;=9,"Large")</f>
        <v>small</v>
      </c>
      <c r="K7398" s="36">
        <v>45521</v>
      </c>
      <c r="L7398" s="36">
        <v>45528</v>
      </c>
      <c r="M7398" t="s">
        <v>603</v>
      </c>
      <c r="N7398" t="s">
        <v>604</v>
      </c>
      <c r="O7398" s="37" t="str">
        <f t="shared" si="578"/>
        <v>Digital Payment</v>
      </c>
      <c r="P7398">
        <v>48.15</v>
      </c>
      <c r="Q7398" s="37" t="str">
        <f>IF(P7398&gt;500,"High","low")</f>
        <v>low</v>
      </c>
      <c r="R7398" s="37" t="str">
        <f t="shared" si="579"/>
        <v>AVERAGE</v>
      </c>
      <c r="S7398" t="s">
        <v>600</v>
      </c>
    </row>
    <row r="7399" spans="1:19" x14ac:dyDescent="0.2">
      <c r="A7399" t="s">
        <v>8010</v>
      </c>
      <c r="B7399" t="s">
        <v>90</v>
      </c>
      <c r="C7399" t="s">
        <v>617</v>
      </c>
      <c r="D7399">
        <v>3990.57</v>
      </c>
      <c r="E7399" s="37" t="str">
        <f t="shared" si="575"/>
        <v xml:space="preserve"> </v>
      </c>
      <c r="F7399">
        <v>0.05</v>
      </c>
      <c r="G7399" s="37" t="str">
        <f t="shared" si="576"/>
        <v>Normal Discount</v>
      </c>
      <c r="H7399" s="37" t="str">
        <f t="shared" si="577"/>
        <v>Low</v>
      </c>
      <c r="I7399">
        <v>2</v>
      </c>
      <c r="J7399" t="str" cm="1">
        <f t="array" ref="J7399">_xlfn.IFS(I7399&lt;=3,"small",I7399&lt;=6,"Medium",I7399&lt;=9,"Large")</f>
        <v>small</v>
      </c>
      <c r="K7399" s="36">
        <v>45279</v>
      </c>
      <c r="L7399" s="36">
        <v>45281</v>
      </c>
      <c r="M7399" t="s">
        <v>603</v>
      </c>
      <c r="N7399" t="s">
        <v>608</v>
      </c>
      <c r="O7399" s="37" t="str">
        <f t="shared" si="578"/>
        <v>Cash Payment</v>
      </c>
      <c r="P7399">
        <v>923.58</v>
      </c>
      <c r="Q7399" s="37" t="str">
        <f>IF(P7399&gt;500,"High","low")</f>
        <v>High</v>
      </c>
      <c r="R7399" s="37" t="str">
        <f t="shared" si="579"/>
        <v>Good</v>
      </c>
      <c r="S7399" t="s">
        <v>600</v>
      </c>
    </row>
    <row r="7400" spans="1:19" x14ac:dyDescent="0.2">
      <c r="A7400" t="s">
        <v>8011</v>
      </c>
      <c r="B7400" t="s">
        <v>67</v>
      </c>
      <c r="C7400" t="s">
        <v>597</v>
      </c>
      <c r="D7400">
        <v>3256.69</v>
      </c>
      <c r="E7400" s="37" t="str">
        <f t="shared" si="575"/>
        <v xml:space="preserve"> </v>
      </c>
      <c r="F7400">
        <v>0.32</v>
      </c>
      <c r="G7400" s="37" t="str">
        <f t="shared" si="576"/>
        <v>Heavy Discount</v>
      </c>
      <c r="H7400" s="37" t="str">
        <f t="shared" si="577"/>
        <v>Medium</v>
      </c>
      <c r="I7400">
        <v>3</v>
      </c>
      <c r="J7400" t="str" cm="1">
        <f t="array" ref="J7400">_xlfn.IFS(I7400&lt;=3,"small",I7400&lt;=6,"Medium",I7400&lt;=9,"Large")</f>
        <v>small</v>
      </c>
      <c r="K7400" s="36">
        <v>45015</v>
      </c>
      <c r="L7400" s="36">
        <v>45020</v>
      </c>
      <c r="M7400" t="s">
        <v>598</v>
      </c>
      <c r="N7400" t="s">
        <v>608</v>
      </c>
      <c r="O7400" s="37" t="str">
        <f t="shared" si="578"/>
        <v>Cash Payment</v>
      </c>
      <c r="P7400">
        <v>647.04999999999995</v>
      </c>
      <c r="Q7400" s="37" t="str">
        <f>IF(P7400&gt;500,"High","low")</f>
        <v>High</v>
      </c>
      <c r="R7400" s="37" t="str">
        <f t="shared" si="579"/>
        <v>Good</v>
      </c>
      <c r="S7400" t="s">
        <v>605</v>
      </c>
    </row>
    <row r="7401" spans="1:19" x14ac:dyDescent="0.2">
      <c r="A7401" t="s">
        <v>8012</v>
      </c>
      <c r="B7401" t="s">
        <v>90</v>
      </c>
      <c r="C7401" t="s">
        <v>617</v>
      </c>
      <c r="D7401">
        <v>4029.59</v>
      </c>
      <c r="E7401" s="37" t="str">
        <f t="shared" si="575"/>
        <v>Excellent Order</v>
      </c>
      <c r="F7401">
        <v>0.08</v>
      </c>
      <c r="G7401" s="37" t="str">
        <f t="shared" si="576"/>
        <v>Normal Discount</v>
      </c>
      <c r="H7401" s="37" t="str">
        <f t="shared" si="577"/>
        <v>Low</v>
      </c>
      <c r="I7401">
        <v>3</v>
      </c>
      <c r="J7401" t="str" cm="1">
        <f t="array" ref="J7401">_xlfn.IFS(I7401&lt;=3,"small",I7401&lt;=6,"Medium",I7401&lt;=9,"Large")</f>
        <v>small</v>
      </c>
      <c r="K7401" s="36">
        <v>45546</v>
      </c>
      <c r="L7401" s="36">
        <v>45547</v>
      </c>
      <c r="M7401" t="s">
        <v>598</v>
      </c>
      <c r="N7401" t="s">
        <v>604</v>
      </c>
      <c r="O7401" s="37" t="str">
        <f t="shared" si="578"/>
        <v>Digital Payment</v>
      </c>
      <c r="P7401">
        <v>841.58</v>
      </c>
      <c r="Q7401" s="37" t="str">
        <f>IF(P7401&gt;500,"High","low")</f>
        <v>High</v>
      </c>
      <c r="R7401" s="37" t="str">
        <f t="shared" si="579"/>
        <v>Good</v>
      </c>
      <c r="S7401" t="s">
        <v>628</v>
      </c>
    </row>
    <row r="7402" spans="1:19" x14ac:dyDescent="0.2">
      <c r="A7402" t="s">
        <v>8013</v>
      </c>
      <c r="B7402" t="s">
        <v>75</v>
      </c>
      <c r="C7402" t="s">
        <v>617</v>
      </c>
      <c r="D7402">
        <v>1809.56</v>
      </c>
      <c r="E7402" s="37" t="str">
        <f t="shared" si="575"/>
        <v xml:space="preserve"> </v>
      </c>
      <c r="F7402">
        <v>0.01</v>
      </c>
      <c r="G7402" s="37" t="str">
        <f t="shared" si="576"/>
        <v>Normal Discount</v>
      </c>
      <c r="H7402" s="37" t="str">
        <f t="shared" si="577"/>
        <v>Low</v>
      </c>
      <c r="I7402">
        <v>3</v>
      </c>
      <c r="J7402" t="str" cm="1">
        <f t="array" ref="J7402">_xlfn.IFS(I7402&lt;=3,"small",I7402&lt;=6,"Medium",I7402&lt;=9,"Large")</f>
        <v>small</v>
      </c>
      <c r="K7402" s="36">
        <v>45113</v>
      </c>
      <c r="L7402" s="36">
        <v>45120</v>
      </c>
      <c r="M7402" t="s">
        <v>598</v>
      </c>
      <c r="N7402" t="s">
        <v>608</v>
      </c>
      <c r="O7402" s="37" t="str">
        <f t="shared" si="578"/>
        <v>Cash Payment</v>
      </c>
      <c r="P7402">
        <v>210.35</v>
      </c>
      <c r="Q7402" s="37" t="str">
        <f>IF(P7402&gt;500,"High","low")</f>
        <v>low</v>
      </c>
      <c r="R7402" s="37" t="str">
        <f t="shared" si="579"/>
        <v>AVERAGE</v>
      </c>
      <c r="S7402" t="s">
        <v>620</v>
      </c>
    </row>
    <row r="7403" spans="1:19" x14ac:dyDescent="0.2">
      <c r="A7403" t="s">
        <v>8014</v>
      </c>
      <c r="B7403" t="s">
        <v>83</v>
      </c>
      <c r="C7403" t="s">
        <v>597</v>
      </c>
      <c r="D7403">
        <v>186.39</v>
      </c>
      <c r="E7403" s="37" t="str">
        <f t="shared" si="575"/>
        <v xml:space="preserve"> </v>
      </c>
      <c r="F7403">
        <v>0.11</v>
      </c>
      <c r="G7403" s="37" t="str">
        <f t="shared" si="576"/>
        <v>Normal Discount</v>
      </c>
      <c r="H7403" s="37" t="str">
        <f t="shared" si="577"/>
        <v>Low</v>
      </c>
      <c r="I7403">
        <v>1</v>
      </c>
      <c r="J7403" t="str" cm="1">
        <f t="array" ref="J7403">_xlfn.IFS(I7403&lt;=3,"small",I7403&lt;=6,"Medium",I7403&lt;=9,"Large")</f>
        <v>small</v>
      </c>
      <c r="K7403" s="36">
        <v>45440</v>
      </c>
      <c r="L7403" s="36">
        <v>45445</v>
      </c>
      <c r="M7403" t="s">
        <v>612</v>
      </c>
      <c r="N7403" t="s">
        <v>608</v>
      </c>
      <c r="O7403" s="37" t="str">
        <f t="shared" si="578"/>
        <v>Cash Payment</v>
      </c>
      <c r="P7403">
        <v>47.96</v>
      </c>
      <c r="Q7403" s="37" t="str">
        <f>IF(P7403&gt;500,"High","low")</f>
        <v>low</v>
      </c>
      <c r="R7403" s="37" t="str">
        <f t="shared" si="579"/>
        <v>AVERAGE</v>
      </c>
      <c r="S7403" t="s">
        <v>609</v>
      </c>
    </row>
    <row r="7404" spans="1:19" x14ac:dyDescent="0.2">
      <c r="A7404" t="s">
        <v>8015</v>
      </c>
      <c r="B7404" t="s">
        <v>90</v>
      </c>
      <c r="C7404" t="s">
        <v>607</v>
      </c>
      <c r="D7404">
        <v>461.39</v>
      </c>
      <c r="E7404" s="37" t="str">
        <f t="shared" si="575"/>
        <v xml:space="preserve"> </v>
      </c>
      <c r="F7404">
        <v>0.08</v>
      </c>
      <c r="G7404" s="37" t="str">
        <f t="shared" si="576"/>
        <v>Normal Discount</v>
      </c>
      <c r="H7404" s="37" t="str">
        <f t="shared" si="577"/>
        <v>Low</v>
      </c>
      <c r="I7404">
        <v>3</v>
      </c>
      <c r="J7404" t="str" cm="1">
        <f t="array" ref="J7404">_xlfn.IFS(I7404&lt;=3,"small",I7404&lt;=6,"Medium",I7404&lt;=9,"Large")</f>
        <v>small</v>
      </c>
      <c r="K7404" s="36">
        <v>45059</v>
      </c>
      <c r="L7404" s="36">
        <v>45061</v>
      </c>
      <c r="M7404" t="s">
        <v>612</v>
      </c>
      <c r="N7404" t="s">
        <v>599</v>
      </c>
      <c r="O7404" s="37" t="str">
        <f t="shared" si="578"/>
        <v>Digital Payment</v>
      </c>
      <c r="P7404">
        <v>59.98</v>
      </c>
      <c r="Q7404" s="37" t="str">
        <f>IF(P7404&gt;500,"High","low")</f>
        <v>low</v>
      </c>
      <c r="R7404" s="37" t="str">
        <f t="shared" si="579"/>
        <v>AVERAGE</v>
      </c>
      <c r="S7404" t="s">
        <v>628</v>
      </c>
    </row>
    <row r="7405" spans="1:19" x14ac:dyDescent="0.2">
      <c r="A7405" t="s">
        <v>8016</v>
      </c>
      <c r="B7405" t="s">
        <v>67</v>
      </c>
      <c r="C7405" t="s">
        <v>602</v>
      </c>
      <c r="D7405">
        <v>647.82000000000005</v>
      </c>
      <c r="E7405" s="37" t="str">
        <f t="shared" si="575"/>
        <v xml:space="preserve"> </v>
      </c>
      <c r="F7405">
        <v>0.05</v>
      </c>
      <c r="G7405" s="37" t="str">
        <f t="shared" si="576"/>
        <v>Normal Discount</v>
      </c>
      <c r="H7405" s="37" t="str">
        <f t="shared" si="577"/>
        <v>Low</v>
      </c>
      <c r="I7405">
        <v>2</v>
      </c>
      <c r="J7405" t="str" cm="1">
        <f t="array" ref="J7405">_xlfn.IFS(I7405&lt;=3,"small",I7405&lt;=6,"Medium",I7405&lt;=9,"Large")</f>
        <v>small</v>
      </c>
      <c r="K7405" s="36">
        <v>45588</v>
      </c>
      <c r="L7405" s="36">
        <v>45592</v>
      </c>
      <c r="M7405" t="s">
        <v>603</v>
      </c>
      <c r="N7405" t="s">
        <v>608</v>
      </c>
      <c r="O7405" s="37" t="str">
        <f t="shared" si="578"/>
        <v>Cash Payment</v>
      </c>
      <c r="P7405">
        <v>148.32</v>
      </c>
      <c r="Q7405" s="37" t="str">
        <f>IF(P7405&gt;500,"High","low")</f>
        <v>low</v>
      </c>
      <c r="R7405" s="37" t="str">
        <f t="shared" si="579"/>
        <v>AVERAGE</v>
      </c>
      <c r="S7405" t="s">
        <v>628</v>
      </c>
    </row>
    <row r="7406" spans="1:19" x14ac:dyDescent="0.2">
      <c r="A7406" t="s">
        <v>8017</v>
      </c>
      <c r="B7406" t="s">
        <v>83</v>
      </c>
      <c r="C7406" t="s">
        <v>607</v>
      </c>
      <c r="D7406">
        <v>4045.22</v>
      </c>
      <c r="E7406" s="37" t="str">
        <f t="shared" si="575"/>
        <v xml:space="preserve"> </v>
      </c>
      <c r="F7406">
        <v>0.11</v>
      </c>
      <c r="G7406" s="37" t="str">
        <f t="shared" si="576"/>
        <v>Normal Discount</v>
      </c>
      <c r="H7406" s="37" t="str">
        <f t="shared" si="577"/>
        <v>Low</v>
      </c>
      <c r="I7406">
        <v>9</v>
      </c>
      <c r="J7406" t="str" cm="1">
        <f t="array" ref="J7406">_xlfn.IFS(I7406&lt;=3,"small",I7406&lt;=6,"Medium",I7406&lt;=9,"Large")</f>
        <v>Large</v>
      </c>
      <c r="K7406" s="36">
        <v>45430</v>
      </c>
      <c r="L7406" s="36">
        <v>45432</v>
      </c>
      <c r="M7406" t="s">
        <v>612</v>
      </c>
      <c r="N7406" t="s">
        <v>604</v>
      </c>
      <c r="O7406" s="37" t="str">
        <f t="shared" si="578"/>
        <v>Digital Payment</v>
      </c>
      <c r="P7406">
        <v>467.46</v>
      </c>
      <c r="Q7406" s="37" t="str">
        <f>IF(P7406&gt;500,"High","low")</f>
        <v>low</v>
      </c>
      <c r="R7406" s="37" t="str">
        <f t="shared" si="579"/>
        <v>AVERAGE</v>
      </c>
      <c r="S7406" t="s">
        <v>609</v>
      </c>
    </row>
    <row r="7407" spans="1:19" x14ac:dyDescent="0.2">
      <c r="A7407" t="s">
        <v>8018</v>
      </c>
      <c r="B7407" t="s">
        <v>67</v>
      </c>
      <c r="C7407" t="s">
        <v>607</v>
      </c>
      <c r="D7407">
        <v>1577.03</v>
      </c>
      <c r="E7407" s="37" t="str">
        <f t="shared" si="575"/>
        <v xml:space="preserve"> </v>
      </c>
      <c r="F7407">
        <v>0.28000000000000003</v>
      </c>
      <c r="G7407" s="37" t="str">
        <f t="shared" si="576"/>
        <v>Normal Discount</v>
      </c>
      <c r="H7407" s="37" t="str">
        <f t="shared" si="577"/>
        <v>Medium</v>
      </c>
      <c r="I7407">
        <v>8</v>
      </c>
      <c r="J7407" t="str" cm="1">
        <f t="array" ref="J7407">_xlfn.IFS(I7407&lt;=3,"small",I7407&lt;=6,"Medium",I7407&lt;=9,"Large")</f>
        <v>Large</v>
      </c>
      <c r="K7407" s="36">
        <v>45418</v>
      </c>
      <c r="L7407" s="36">
        <v>45423</v>
      </c>
      <c r="M7407" t="s">
        <v>603</v>
      </c>
      <c r="N7407" t="s">
        <v>599</v>
      </c>
      <c r="O7407" s="37" t="str">
        <f t="shared" si="578"/>
        <v>Digital Payment</v>
      </c>
      <c r="P7407">
        <v>328.28</v>
      </c>
      <c r="Q7407" s="37" t="str">
        <f>IF(P7407&gt;500,"High","low")</f>
        <v>low</v>
      </c>
      <c r="R7407" s="37" t="str">
        <f t="shared" si="579"/>
        <v>AVERAGE</v>
      </c>
      <c r="S7407" t="s">
        <v>628</v>
      </c>
    </row>
    <row r="7408" spans="1:19" x14ac:dyDescent="0.2">
      <c r="A7408" t="s">
        <v>8019</v>
      </c>
      <c r="B7408" t="s">
        <v>83</v>
      </c>
      <c r="C7408" t="s">
        <v>602</v>
      </c>
      <c r="D7408">
        <v>4989.7</v>
      </c>
      <c r="E7408" s="37" t="str">
        <f t="shared" si="575"/>
        <v>Excellent Order</v>
      </c>
      <c r="F7408">
        <v>0.08</v>
      </c>
      <c r="G7408" s="37" t="str">
        <f t="shared" si="576"/>
        <v>Normal Discount</v>
      </c>
      <c r="H7408" s="37" t="str">
        <f t="shared" si="577"/>
        <v>Low</v>
      </c>
      <c r="I7408">
        <v>6</v>
      </c>
      <c r="J7408" t="str" cm="1">
        <f t="array" ref="J7408">_xlfn.IFS(I7408&lt;=3,"small",I7408&lt;=6,"Medium",I7408&lt;=9,"Large")</f>
        <v>Medium</v>
      </c>
      <c r="K7408" s="36">
        <v>45251</v>
      </c>
      <c r="L7408" s="36">
        <v>45257</v>
      </c>
      <c r="M7408" t="s">
        <v>603</v>
      </c>
      <c r="N7408" t="s">
        <v>604</v>
      </c>
      <c r="O7408" s="37" t="str">
        <f t="shared" si="578"/>
        <v>Digital Payment</v>
      </c>
      <c r="P7408">
        <v>883.57</v>
      </c>
      <c r="Q7408" s="37" t="str">
        <f>IF(P7408&gt;500,"High","low")</f>
        <v>High</v>
      </c>
      <c r="R7408" s="37" t="str">
        <f t="shared" si="579"/>
        <v>Good</v>
      </c>
      <c r="S7408" t="s">
        <v>620</v>
      </c>
    </row>
    <row r="7409" spans="1:19" x14ac:dyDescent="0.2">
      <c r="A7409" t="s">
        <v>8020</v>
      </c>
      <c r="B7409" t="s">
        <v>83</v>
      </c>
      <c r="C7409" t="s">
        <v>607</v>
      </c>
      <c r="D7409">
        <v>3816.1</v>
      </c>
      <c r="E7409" s="37" t="str">
        <f t="shared" si="575"/>
        <v xml:space="preserve"> </v>
      </c>
      <c r="F7409">
        <v>0.14000000000000001</v>
      </c>
      <c r="G7409" s="37" t="str">
        <f t="shared" si="576"/>
        <v>Normal Discount</v>
      </c>
      <c r="H7409" s="37" t="str">
        <f t="shared" si="577"/>
        <v>Low</v>
      </c>
      <c r="I7409">
        <v>7</v>
      </c>
      <c r="J7409" t="str" cm="1">
        <f t="array" ref="J7409">_xlfn.IFS(I7409&lt;=3,"small",I7409&lt;=6,"Medium",I7409&lt;=9,"Large")</f>
        <v>Large</v>
      </c>
      <c r="K7409" s="36">
        <v>45594</v>
      </c>
      <c r="L7409" s="36">
        <v>45599</v>
      </c>
      <c r="M7409" t="s">
        <v>612</v>
      </c>
      <c r="N7409" t="s">
        <v>599</v>
      </c>
      <c r="O7409" s="37" t="str">
        <f t="shared" si="578"/>
        <v>Digital Payment</v>
      </c>
      <c r="P7409">
        <v>313.85000000000002</v>
      </c>
      <c r="Q7409" s="37" t="str">
        <f>IF(P7409&gt;500,"High","low")</f>
        <v>low</v>
      </c>
      <c r="R7409" s="37" t="str">
        <f t="shared" si="579"/>
        <v>AVERAGE</v>
      </c>
      <c r="S7409" t="s">
        <v>609</v>
      </c>
    </row>
    <row r="7410" spans="1:19" x14ac:dyDescent="0.2">
      <c r="A7410" t="s">
        <v>8021</v>
      </c>
      <c r="B7410" t="s">
        <v>90</v>
      </c>
      <c r="C7410" t="s">
        <v>597</v>
      </c>
      <c r="D7410">
        <v>3045.66</v>
      </c>
      <c r="E7410" s="37" t="str">
        <f t="shared" si="575"/>
        <v xml:space="preserve"> </v>
      </c>
      <c r="F7410">
        <v>0.42</v>
      </c>
      <c r="G7410" s="37" t="str">
        <f t="shared" si="576"/>
        <v>Heavy Discount</v>
      </c>
      <c r="H7410" s="37" t="str">
        <f t="shared" si="577"/>
        <v>High</v>
      </c>
      <c r="I7410">
        <v>1</v>
      </c>
      <c r="J7410" t="str" cm="1">
        <f t="array" ref="J7410">_xlfn.IFS(I7410&lt;=3,"small",I7410&lt;=6,"Medium",I7410&lt;=9,"Large")</f>
        <v>small</v>
      </c>
      <c r="K7410" s="36">
        <v>45368</v>
      </c>
      <c r="L7410" s="36">
        <v>45370</v>
      </c>
      <c r="M7410" t="s">
        <v>612</v>
      </c>
      <c r="N7410" t="s">
        <v>608</v>
      </c>
      <c r="O7410" s="37" t="str">
        <f t="shared" si="578"/>
        <v>Cash Payment</v>
      </c>
      <c r="P7410">
        <v>383.93</v>
      </c>
      <c r="Q7410" s="37" t="str">
        <f>IF(P7410&gt;500,"High","low")</f>
        <v>low</v>
      </c>
      <c r="R7410" s="37" t="str">
        <f t="shared" si="579"/>
        <v>AVERAGE</v>
      </c>
      <c r="S7410" t="s">
        <v>628</v>
      </c>
    </row>
    <row r="7411" spans="1:19" x14ac:dyDescent="0.2">
      <c r="A7411" t="s">
        <v>8022</v>
      </c>
      <c r="B7411" t="s">
        <v>75</v>
      </c>
      <c r="C7411" t="s">
        <v>602</v>
      </c>
      <c r="D7411">
        <v>4919.74</v>
      </c>
      <c r="E7411" s="37" t="str">
        <f t="shared" si="575"/>
        <v>Excellent Order</v>
      </c>
      <c r="F7411">
        <v>0.44</v>
      </c>
      <c r="G7411" s="37" t="str">
        <f t="shared" si="576"/>
        <v>Heavy Discount</v>
      </c>
      <c r="H7411" s="37" t="str">
        <f t="shared" si="577"/>
        <v>High</v>
      </c>
      <c r="I7411">
        <v>7</v>
      </c>
      <c r="J7411" t="str" cm="1">
        <f t="array" ref="J7411">_xlfn.IFS(I7411&lt;=3,"small",I7411&lt;=6,"Medium",I7411&lt;=9,"Large")</f>
        <v>Large</v>
      </c>
      <c r="K7411" s="36">
        <v>45580</v>
      </c>
      <c r="L7411" s="36">
        <v>45581</v>
      </c>
      <c r="M7411" t="s">
        <v>603</v>
      </c>
      <c r="N7411" t="s">
        <v>604</v>
      </c>
      <c r="O7411" s="37" t="str">
        <f t="shared" si="578"/>
        <v>Digital Payment</v>
      </c>
      <c r="P7411">
        <v>911.8</v>
      </c>
      <c r="Q7411" s="37" t="str">
        <f>IF(P7411&gt;500,"High","low")</f>
        <v>High</v>
      </c>
      <c r="R7411" s="37" t="str">
        <f t="shared" si="579"/>
        <v>Good</v>
      </c>
      <c r="S7411" t="s">
        <v>600</v>
      </c>
    </row>
    <row r="7412" spans="1:19" x14ac:dyDescent="0.2">
      <c r="A7412" t="s">
        <v>8023</v>
      </c>
      <c r="B7412" t="s">
        <v>90</v>
      </c>
      <c r="C7412" t="s">
        <v>614</v>
      </c>
      <c r="D7412">
        <v>1649.92</v>
      </c>
      <c r="E7412" s="37" t="str">
        <f t="shared" si="575"/>
        <v xml:space="preserve"> </v>
      </c>
      <c r="F7412">
        <v>0.17</v>
      </c>
      <c r="G7412" s="37" t="str">
        <f t="shared" si="576"/>
        <v>Normal Discount</v>
      </c>
      <c r="H7412" s="37" t="str">
        <f t="shared" si="577"/>
        <v>Low</v>
      </c>
      <c r="I7412">
        <v>8</v>
      </c>
      <c r="J7412" t="str" cm="1">
        <f t="array" ref="J7412">_xlfn.IFS(I7412&lt;=3,"small",I7412&lt;=6,"Medium",I7412&lt;=9,"Large")</f>
        <v>Large</v>
      </c>
      <c r="K7412" s="36">
        <v>45542</v>
      </c>
      <c r="L7412" s="36">
        <v>45549</v>
      </c>
      <c r="M7412" t="s">
        <v>603</v>
      </c>
      <c r="N7412" t="s">
        <v>604</v>
      </c>
      <c r="O7412" s="37" t="str">
        <f t="shared" si="578"/>
        <v>Digital Payment</v>
      </c>
      <c r="P7412">
        <v>263.60000000000002</v>
      </c>
      <c r="Q7412" s="37" t="str">
        <f>IF(P7412&gt;500,"High","low")</f>
        <v>low</v>
      </c>
      <c r="R7412" s="37" t="str">
        <f t="shared" si="579"/>
        <v>AVERAGE</v>
      </c>
      <c r="S7412" t="s">
        <v>609</v>
      </c>
    </row>
    <row r="7413" spans="1:19" x14ac:dyDescent="0.2">
      <c r="A7413" t="s">
        <v>8024</v>
      </c>
      <c r="B7413" t="s">
        <v>67</v>
      </c>
      <c r="C7413" t="s">
        <v>607</v>
      </c>
      <c r="D7413">
        <v>911.52</v>
      </c>
      <c r="E7413" s="37" t="str">
        <f t="shared" si="575"/>
        <v xml:space="preserve"> </v>
      </c>
      <c r="F7413">
        <v>0.45</v>
      </c>
      <c r="G7413" s="37" t="str">
        <f t="shared" si="576"/>
        <v>Heavy Discount</v>
      </c>
      <c r="H7413" s="37" t="str">
        <f t="shared" si="577"/>
        <v>High</v>
      </c>
      <c r="I7413">
        <v>8</v>
      </c>
      <c r="J7413" t="str" cm="1">
        <f t="array" ref="J7413">_xlfn.IFS(I7413&lt;=3,"small",I7413&lt;=6,"Medium",I7413&lt;=9,"Large")</f>
        <v>Large</v>
      </c>
      <c r="K7413" s="36">
        <v>45033</v>
      </c>
      <c r="L7413" s="36">
        <v>45035</v>
      </c>
      <c r="M7413" t="s">
        <v>603</v>
      </c>
      <c r="N7413" t="s">
        <v>608</v>
      </c>
      <c r="O7413" s="37" t="str">
        <f t="shared" si="578"/>
        <v>Cash Payment</v>
      </c>
      <c r="P7413">
        <v>137.6</v>
      </c>
      <c r="Q7413" s="37" t="str">
        <f>IF(P7413&gt;500,"High","low")</f>
        <v>low</v>
      </c>
      <c r="R7413" s="37" t="str">
        <f t="shared" si="579"/>
        <v>AVERAGE</v>
      </c>
      <c r="S7413" t="s">
        <v>628</v>
      </c>
    </row>
    <row r="7414" spans="1:19" x14ac:dyDescent="0.2">
      <c r="A7414" t="s">
        <v>8025</v>
      </c>
      <c r="B7414" t="s">
        <v>67</v>
      </c>
      <c r="C7414" t="s">
        <v>617</v>
      </c>
      <c r="D7414">
        <v>3712.64</v>
      </c>
      <c r="E7414" s="37" t="str">
        <f t="shared" si="575"/>
        <v xml:space="preserve"> </v>
      </c>
      <c r="F7414">
        <v>0.28999999999999998</v>
      </c>
      <c r="G7414" s="37" t="str">
        <f t="shared" si="576"/>
        <v>Normal Discount</v>
      </c>
      <c r="H7414" s="37" t="str">
        <f t="shared" si="577"/>
        <v>Medium</v>
      </c>
      <c r="I7414">
        <v>6</v>
      </c>
      <c r="J7414" t="str" cm="1">
        <f t="array" ref="J7414">_xlfn.IFS(I7414&lt;=3,"small",I7414&lt;=6,"Medium",I7414&lt;=9,"Large")</f>
        <v>Medium</v>
      </c>
      <c r="K7414" s="36">
        <v>45488</v>
      </c>
      <c r="L7414" s="36">
        <v>45494</v>
      </c>
      <c r="M7414" t="s">
        <v>612</v>
      </c>
      <c r="N7414" t="s">
        <v>599</v>
      </c>
      <c r="O7414" s="37" t="str">
        <f t="shared" si="578"/>
        <v>Digital Payment</v>
      </c>
      <c r="P7414">
        <v>857.34</v>
      </c>
      <c r="Q7414" s="37" t="str">
        <f>IF(P7414&gt;500,"High","low")</f>
        <v>High</v>
      </c>
      <c r="R7414" s="37" t="str">
        <f t="shared" si="579"/>
        <v>Good</v>
      </c>
      <c r="S7414" t="s">
        <v>620</v>
      </c>
    </row>
    <row r="7415" spans="1:19" x14ac:dyDescent="0.2">
      <c r="A7415" t="s">
        <v>8026</v>
      </c>
      <c r="B7415" t="s">
        <v>83</v>
      </c>
      <c r="C7415" t="s">
        <v>602</v>
      </c>
      <c r="D7415">
        <v>1462.61</v>
      </c>
      <c r="E7415" s="37" t="str">
        <f t="shared" si="575"/>
        <v xml:space="preserve"> </v>
      </c>
      <c r="F7415">
        <v>0.11</v>
      </c>
      <c r="G7415" s="37" t="str">
        <f t="shared" si="576"/>
        <v>Normal Discount</v>
      </c>
      <c r="H7415" s="37" t="str">
        <f t="shared" si="577"/>
        <v>Low</v>
      </c>
      <c r="I7415">
        <v>7</v>
      </c>
      <c r="J7415" t="str" cm="1">
        <f t="array" ref="J7415">_xlfn.IFS(I7415&lt;=3,"small",I7415&lt;=6,"Medium",I7415&lt;=9,"Large")</f>
        <v>Large</v>
      </c>
      <c r="K7415" s="36">
        <v>45640</v>
      </c>
      <c r="L7415" s="36">
        <v>45642</v>
      </c>
      <c r="M7415" t="s">
        <v>603</v>
      </c>
      <c r="N7415" t="s">
        <v>604</v>
      </c>
      <c r="O7415" s="37" t="str">
        <f t="shared" si="578"/>
        <v>Digital Payment</v>
      </c>
      <c r="P7415">
        <v>335.14</v>
      </c>
      <c r="Q7415" s="37" t="str">
        <f>IF(P7415&gt;500,"High","low")</f>
        <v>low</v>
      </c>
      <c r="R7415" s="37" t="str">
        <f t="shared" si="579"/>
        <v>AVERAGE</v>
      </c>
      <c r="S7415" t="s">
        <v>600</v>
      </c>
    </row>
    <row r="7416" spans="1:19" x14ac:dyDescent="0.2">
      <c r="A7416" t="s">
        <v>8027</v>
      </c>
      <c r="B7416" t="s">
        <v>83</v>
      </c>
      <c r="C7416" t="s">
        <v>614</v>
      </c>
      <c r="D7416">
        <v>4809.08</v>
      </c>
      <c r="E7416" s="37" t="str">
        <f t="shared" si="575"/>
        <v>Excellent Order</v>
      </c>
      <c r="F7416">
        <v>0.38</v>
      </c>
      <c r="G7416" s="37" t="str">
        <f t="shared" si="576"/>
        <v>Heavy Discount</v>
      </c>
      <c r="H7416" s="37" t="str">
        <f t="shared" si="577"/>
        <v>Medium</v>
      </c>
      <c r="I7416">
        <v>2</v>
      </c>
      <c r="J7416" t="str" cm="1">
        <f t="array" ref="J7416">_xlfn.IFS(I7416&lt;=3,"small",I7416&lt;=6,"Medium",I7416&lt;=9,"Large")</f>
        <v>small</v>
      </c>
      <c r="K7416" s="36">
        <v>45095</v>
      </c>
      <c r="L7416" s="36">
        <v>45100</v>
      </c>
      <c r="M7416" t="s">
        <v>598</v>
      </c>
      <c r="N7416" t="s">
        <v>604</v>
      </c>
      <c r="O7416" s="37" t="str">
        <f t="shared" si="578"/>
        <v>Digital Payment</v>
      </c>
      <c r="P7416">
        <v>1434.36</v>
      </c>
      <c r="Q7416" s="37" t="str">
        <f>IF(P7416&gt;500,"High","low")</f>
        <v>High</v>
      </c>
      <c r="R7416" s="37" t="str">
        <f t="shared" si="579"/>
        <v>Excellent</v>
      </c>
      <c r="S7416" t="s">
        <v>620</v>
      </c>
    </row>
    <row r="7417" spans="1:19" x14ac:dyDescent="0.2">
      <c r="A7417" t="s">
        <v>8028</v>
      </c>
      <c r="B7417" t="s">
        <v>75</v>
      </c>
      <c r="C7417" t="s">
        <v>617</v>
      </c>
      <c r="D7417">
        <v>4941.54</v>
      </c>
      <c r="E7417" s="37" t="str">
        <f t="shared" si="575"/>
        <v xml:space="preserve"> </v>
      </c>
      <c r="F7417">
        <v>0.46</v>
      </c>
      <c r="G7417" s="37" t="str">
        <f t="shared" si="576"/>
        <v>Heavy Discount</v>
      </c>
      <c r="H7417" s="37" t="str">
        <f t="shared" si="577"/>
        <v>High</v>
      </c>
      <c r="I7417">
        <v>4</v>
      </c>
      <c r="J7417" t="str" cm="1">
        <f t="array" ref="J7417">_xlfn.IFS(I7417&lt;=3,"small",I7417&lt;=6,"Medium",I7417&lt;=9,"Large")</f>
        <v>Medium</v>
      </c>
      <c r="K7417" s="36">
        <v>45581</v>
      </c>
      <c r="L7417" s="36">
        <v>45584</v>
      </c>
      <c r="M7417" t="s">
        <v>603</v>
      </c>
      <c r="N7417" t="s">
        <v>608</v>
      </c>
      <c r="O7417" s="37" t="str">
        <f t="shared" si="578"/>
        <v>Cash Payment</v>
      </c>
      <c r="P7417">
        <v>398.3</v>
      </c>
      <c r="Q7417" s="37" t="str">
        <f>IF(P7417&gt;500,"High","low")</f>
        <v>low</v>
      </c>
      <c r="R7417" s="37" t="str">
        <f t="shared" si="579"/>
        <v>AVERAGE</v>
      </c>
      <c r="S7417" t="s">
        <v>628</v>
      </c>
    </row>
    <row r="7418" spans="1:19" x14ac:dyDescent="0.2">
      <c r="A7418" t="s">
        <v>8029</v>
      </c>
      <c r="B7418" t="s">
        <v>90</v>
      </c>
      <c r="C7418" t="s">
        <v>614</v>
      </c>
      <c r="D7418">
        <v>4639.38</v>
      </c>
      <c r="E7418" s="37" t="str">
        <f t="shared" si="575"/>
        <v xml:space="preserve"> </v>
      </c>
      <c r="F7418">
        <v>0.33</v>
      </c>
      <c r="G7418" s="37" t="str">
        <f t="shared" si="576"/>
        <v>Heavy Discount</v>
      </c>
      <c r="H7418" s="37" t="str">
        <f t="shared" si="577"/>
        <v>Medium</v>
      </c>
      <c r="I7418">
        <v>8</v>
      </c>
      <c r="J7418" t="str" cm="1">
        <f t="array" ref="J7418">_xlfn.IFS(I7418&lt;=3,"small",I7418&lt;=6,"Medium",I7418&lt;=9,"Large")</f>
        <v>Large</v>
      </c>
      <c r="K7418" s="36">
        <v>45250</v>
      </c>
      <c r="L7418" s="36">
        <v>45255</v>
      </c>
      <c r="M7418" t="s">
        <v>612</v>
      </c>
      <c r="N7418" t="s">
        <v>604</v>
      </c>
      <c r="O7418" s="37" t="str">
        <f t="shared" si="578"/>
        <v>Digital Payment</v>
      </c>
      <c r="P7418">
        <v>519.96</v>
      </c>
      <c r="Q7418" s="37" t="str">
        <f>IF(P7418&gt;500,"High","low")</f>
        <v>High</v>
      </c>
      <c r="R7418" s="37" t="str">
        <f t="shared" si="579"/>
        <v>Good</v>
      </c>
      <c r="S7418" t="s">
        <v>600</v>
      </c>
    </row>
    <row r="7419" spans="1:19" x14ac:dyDescent="0.2">
      <c r="A7419" t="s">
        <v>8030</v>
      </c>
      <c r="B7419" t="s">
        <v>67</v>
      </c>
      <c r="C7419" t="s">
        <v>607</v>
      </c>
      <c r="D7419">
        <v>4729.33</v>
      </c>
      <c r="E7419" s="37" t="str">
        <f t="shared" si="575"/>
        <v xml:space="preserve"> </v>
      </c>
      <c r="F7419">
        <v>0.1</v>
      </c>
      <c r="G7419" s="37" t="str">
        <f t="shared" si="576"/>
        <v>Normal Discount</v>
      </c>
      <c r="H7419" s="37" t="str">
        <f t="shared" si="577"/>
        <v>Low</v>
      </c>
      <c r="I7419">
        <v>4</v>
      </c>
      <c r="J7419" t="str" cm="1">
        <f t="array" ref="J7419">_xlfn.IFS(I7419&lt;=3,"small",I7419&lt;=6,"Medium",I7419&lt;=9,"Large")</f>
        <v>Medium</v>
      </c>
      <c r="K7419" s="36">
        <v>45435</v>
      </c>
      <c r="L7419" s="36">
        <v>45440</v>
      </c>
      <c r="M7419" t="s">
        <v>603</v>
      </c>
      <c r="N7419" t="s">
        <v>599</v>
      </c>
      <c r="O7419" s="37" t="str">
        <f t="shared" si="578"/>
        <v>Digital Payment</v>
      </c>
      <c r="P7419">
        <v>577.48</v>
      </c>
      <c r="Q7419" s="37" t="str">
        <f>IF(P7419&gt;500,"High","low")</f>
        <v>High</v>
      </c>
      <c r="R7419" s="37" t="str">
        <f t="shared" si="579"/>
        <v>Good</v>
      </c>
      <c r="S7419" t="s">
        <v>609</v>
      </c>
    </row>
    <row r="7420" spans="1:19" x14ac:dyDescent="0.2">
      <c r="A7420" t="s">
        <v>8031</v>
      </c>
      <c r="B7420" t="s">
        <v>83</v>
      </c>
      <c r="C7420" t="s">
        <v>617</v>
      </c>
      <c r="D7420">
        <v>3116.71</v>
      </c>
      <c r="E7420" s="37" t="str">
        <f t="shared" si="575"/>
        <v xml:space="preserve"> </v>
      </c>
      <c r="F7420">
        <v>0.04</v>
      </c>
      <c r="G7420" s="37" t="str">
        <f t="shared" si="576"/>
        <v>Normal Discount</v>
      </c>
      <c r="H7420" s="37" t="str">
        <f t="shared" si="577"/>
        <v>Low</v>
      </c>
      <c r="I7420">
        <v>8</v>
      </c>
      <c r="J7420" t="str" cm="1">
        <f t="array" ref="J7420">_xlfn.IFS(I7420&lt;=3,"small",I7420&lt;=6,"Medium",I7420&lt;=9,"Large")</f>
        <v>Large</v>
      </c>
      <c r="K7420" s="36">
        <v>45072</v>
      </c>
      <c r="L7420" s="36">
        <v>45077</v>
      </c>
      <c r="M7420" t="s">
        <v>598</v>
      </c>
      <c r="N7420" t="s">
        <v>599</v>
      </c>
      <c r="O7420" s="37" t="str">
        <f t="shared" si="578"/>
        <v>Digital Payment</v>
      </c>
      <c r="P7420">
        <v>396.69</v>
      </c>
      <c r="Q7420" s="37" t="str">
        <f>IF(P7420&gt;500,"High","low")</f>
        <v>low</v>
      </c>
      <c r="R7420" s="37" t="str">
        <f t="shared" si="579"/>
        <v>AVERAGE</v>
      </c>
      <c r="S7420" t="s">
        <v>600</v>
      </c>
    </row>
    <row r="7421" spans="1:19" x14ac:dyDescent="0.2">
      <c r="A7421" t="s">
        <v>8032</v>
      </c>
      <c r="B7421" t="s">
        <v>75</v>
      </c>
      <c r="C7421" t="s">
        <v>607</v>
      </c>
      <c r="D7421">
        <v>3491.38</v>
      </c>
      <c r="E7421" s="37" t="str">
        <f t="shared" si="575"/>
        <v xml:space="preserve"> </v>
      </c>
      <c r="F7421">
        <v>0.11</v>
      </c>
      <c r="G7421" s="37" t="str">
        <f t="shared" si="576"/>
        <v>Normal Discount</v>
      </c>
      <c r="H7421" s="37" t="str">
        <f t="shared" si="577"/>
        <v>Low</v>
      </c>
      <c r="I7421">
        <v>4</v>
      </c>
      <c r="J7421" t="str" cm="1">
        <f t="array" ref="J7421">_xlfn.IFS(I7421&lt;=3,"small",I7421&lt;=6,"Medium",I7421&lt;=9,"Large")</f>
        <v>Medium</v>
      </c>
      <c r="K7421" s="36">
        <v>45021</v>
      </c>
      <c r="L7421" s="36">
        <v>45027</v>
      </c>
      <c r="M7421" t="s">
        <v>612</v>
      </c>
      <c r="N7421" t="s">
        <v>604</v>
      </c>
      <c r="O7421" s="37" t="str">
        <f t="shared" si="578"/>
        <v>Digital Payment</v>
      </c>
      <c r="P7421">
        <v>463.68</v>
      </c>
      <c r="Q7421" s="37" t="str">
        <f>IF(P7421&gt;500,"High","low")</f>
        <v>low</v>
      </c>
      <c r="R7421" s="37" t="str">
        <f t="shared" si="579"/>
        <v>AVERAGE</v>
      </c>
      <c r="S7421" t="s">
        <v>605</v>
      </c>
    </row>
    <row r="7422" spans="1:19" x14ac:dyDescent="0.2">
      <c r="A7422" t="s">
        <v>8033</v>
      </c>
      <c r="B7422" t="s">
        <v>67</v>
      </c>
      <c r="C7422" t="s">
        <v>617</v>
      </c>
      <c r="D7422">
        <v>561.80999999999995</v>
      </c>
      <c r="E7422" s="37" t="str">
        <f t="shared" si="575"/>
        <v xml:space="preserve"> </v>
      </c>
      <c r="F7422">
        <v>0.17</v>
      </c>
      <c r="G7422" s="37" t="str">
        <f t="shared" si="576"/>
        <v>Normal Discount</v>
      </c>
      <c r="H7422" s="37" t="str">
        <f t="shared" si="577"/>
        <v>Low</v>
      </c>
      <c r="I7422">
        <v>9</v>
      </c>
      <c r="J7422" t="str" cm="1">
        <f t="array" ref="J7422">_xlfn.IFS(I7422&lt;=3,"small",I7422&lt;=6,"Medium",I7422&lt;=9,"Large")</f>
        <v>Large</v>
      </c>
      <c r="K7422" s="36">
        <v>45335</v>
      </c>
      <c r="L7422" s="36">
        <v>45340</v>
      </c>
      <c r="M7422" t="s">
        <v>603</v>
      </c>
      <c r="N7422" t="s">
        <v>608</v>
      </c>
      <c r="O7422" s="37" t="str">
        <f t="shared" si="578"/>
        <v>Cash Payment</v>
      </c>
      <c r="P7422">
        <v>107.65</v>
      </c>
      <c r="Q7422" s="37" t="str">
        <f>IF(P7422&gt;500,"High","low")</f>
        <v>low</v>
      </c>
      <c r="R7422" s="37" t="str">
        <f t="shared" si="579"/>
        <v>AVERAGE</v>
      </c>
      <c r="S7422" t="s">
        <v>605</v>
      </c>
    </row>
    <row r="7423" spans="1:19" x14ac:dyDescent="0.2">
      <c r="A7423" t="s">
        <v>8034</v>
      </c>
      <c r="B7423" t="s">
        <v>83</v>
      </c>
      <c r="C7423" t="s">
        <v>602</v>
      </c>
      <c r="D7423">
        <v>3838.95</v>
      </c>
      <c r="E7423" s="37" t="str">
        <f t="shared" si="575"/>
        <v xml:space="preserve"> </v>
      </c>
      <c r="F7423">
        <v>0.17</v>
      </c>
      <c r="G7423" s="37" t="str">
        <f t="shared" si="576"/>
        <v>Normal Discount</v>
      </c>
      <c r="H7423" s="37" t="str">
        <f t="shared" si="577"/>
        <v>Low</v>
      </c>
      <c r="I7423">
        <v>1</v>
      </c>
      <c r="J7423" t="str" cm="1">
        <f t="array" ref="J7423">_xlfn.IFS(I7423&lt;=3,"small",I7423&lt;=6,"Medium",I7423&lt;=9,"Large")</f>
        <v>small</v>
      </c>
      <c r="K7423" s="36">
        <v>45322</v>
      </c>
      <c r="L7423" s="36">
        <v>45328</v>
      </c>
      <c r="M7423" t="s">
        <v>603</v>
      </c>
      <c r="N7423" t="s">
        <v>608</v>
      </c>
      <c r="O7423" s="37" t="str">
        <f t="shared" si="578"/>
        <v>Cash Payment</v>
      </c>
      <c r="P7423">
        <v>237.54</v>
      </c>
      <c r="Q7423" s="37" t="str">
        <f>IF(P7423&gt;500,"High","low")</f>
        <v>low</v>
      </c>
      <c r="R7423" s="37" t="str">
        <f t="shared" si="579"/>
        <v>AVERAGE</v>
      </c>
      <c r="S7423" t="s">
        <v>620</v>
      </c>
    </row>
    <row r="7424" spans="1:19" x14ac:dyDescent="0.2">
      <c r="A7424" t="s">
        <v>8035</v>
      </c>
      <c r="B7424" t="s">
        <v>67</v>
      </c>
      <c r="C7424" t="s">
        <v>597</v>
      </c>
      <c r="D7424">
        <v>1090.1099999999999</v>
      </c>
      <c r="E7424" s="37" t="str">
        <f t="shared" si="575"/>
        <v xml:space="preserve"> </v>
      </c>
      <c r="F7424">
        <v>0.25</v>
      </c>
      <c r="G7424" s="37" t="str">
        <f t="shared" si="576"/>
        <v>Normal Discount</v>
      </c>
      <c r="H7424" s="37" t="str">
        <f t="shared" si="577"/>
        <v>Medium</v>
      </c>
      <c r="I7424">
        <v>6</v>
      </c>
      <c r="J7424" t="str" cm="1">
        <f t="array" ref="J7424">_xlfn.IFS(I7424&lt;=3,"small",I7424&lt;=6,"Medium",I7424&lt;=9,"Large")</f>
        <v>Medium</v>
      </c>
      <c r="K7424" s="36">
        <v>45522</v>
      </c>
      <c r="L7424" s="36">
        <v>45523</v>
      </c>
      <c r="M7424" t="s">
        <v>612</v>
      </c>
      <c r="N7424" t="s">
        <v>608</v>
      </c>
      <c r="O7424" s="37" t="str">
        <f t="shared" si="578"/>
        <v>Cash Payment</v>
      </c>
      <c r="P7424">
        <v>181.42</v>
      </c>
      <c r="Q7424" s="37" t="str">
        <f>IF(P7424&gt;500,"High","low")</f>
        <v>low</v>
      </c>
      <c r="R7424" s="37" t="str">
        <f t="shared" si="579"/>
        <v>AVERAGE</v>
      </c>
      <c r="S7424" t="s">
        <v>605</v>
      </c>
    </row>
    <row r="7425" spans="1:19" x14ac:dyDescent="0.2">
      <c r="A7425" t="s">
        <v>8036</v>
      </c>
      <c r="B7425" t="s">
        <v>75</v>
      </c>
      <c r="C7425" t="s">
        <v>597</v>
      </c>
      <c r="D7425">
        <v>4217.6000000000004</v>
      </c>
      <c r="E7425" s="37" t="str">
        <f t="shared" si="575"/>
        <v>Excellent Order</v>
      </c>
      <c r="F7425">
        <v>0.25</v>
      </c>
      <c r="G7425" s="37" t="str">
        <f t="shared" si="576"/>
        <v>Normal Discount</v>
      </c>
      <c r="H7425" s="37" t="str">
        <f t="shared" si="577"/>
        <v>Medium</v>
      </c>
      <c r="I7425">
        <v>1</v>
      </c>
      <c r="J7425" t="str" cm="1">
        <f t="array" ref="J7425">_xlfn.IFS(I7425&lt;=3,"small",I7425&lt;=6,"Medium",I7425&lt;=9,"Large")</f>
        <v>small</v>
      </c>
      <c r="K7425" s="36">
        <v>45531</v>
      </c>
      <c r="L7425" s="36">
        <v>45537</v>
      </c>
      <c r="M7425" t="s">
        <v>612</v>
      </c>
      <c r="N7425" t="s">
        <v>599</v>
      </c>
      <c r="O7425" s="37" t="str">
        <f t="shared" si="578"/>
        <v>Digital Payment</v>
      </c>
      <c r="P7425">
        <v>957.8</v>
      </c>
      <c r="Q7425" s="37" t="str">
        <f>IF(P7425&gt;500,"High","low")</f>
        <v>High</v>
      </c>
      <c r="R7425" s="37" t="str">
        <f t="shared" si="579"/>
        <v>Good</v>
      </c>
      <c r="S7425" t="s">
        <v>615</v>
      </c>
    </row>
    <row r="7426" spans="1:19" x14ac:dyDescent="0.2">
      <c r="A7426" t="s">
        <v>8037</v>
      </c>
      <c r="B7426" t="s">
        <v>75</v>
      </c>
      <c r="C7426" t="s">
        <v>614</v>
      </c>
      <c r="D7426">
        <v>4811.51</v>
      </c>
      <c r="E7426" s="37" t="str">
        <f t="shared" si="575"/>
        <v>Excellent Order</v>
      </c>
      <c r="F7426">
        <v>0.24</v>
      </c>
      <c r="G7426" s="37" t="str">
        <f t="shared" si="576"/>
        <v>Normal Discount</v>
      </c>
      <c r="H7426" s="37" t="str">
        <f t="shared" si="577"/>
        <v>Medium</v>
      </c>
      <c r="I7426">
        <v>6</v>
      </c>
      <c r="J7426" t="str" cm="1">
        <f t="array" ref="J7426">_xlfn.IFS(I7426&lt;=3,"small",I7426&lt;=6,"Medium",I7426&lt;=9,"Large")</f>
        <v>Medium</v>
      </c>
      <c r="K7426" s="36">
        <v>44993</v>
      </c>
      <c r="L7426" s="36">
        <v>44997</v>
      </c>
      <c r="M7426" t="s">
        <v>603</v>
      </c>
      <c r="N7426" t="s">
        <v>599</v>
      </c>
      <c r="O7426" s="37" t="str">
        <f t="shared" si="578"/>
        <v>Digital Payment</v>
      </c>
      <c r="P7426">
        <v>1112.83</v>
      </c>
      <c r="Q7426" s="37" t="str">
        <f>IF(P7426&gt;500,"High","low")</f>
        <v>High</v>
      </c>
      <c r="R7426" s="37" t="str">
        <f t="shared" si="579"/>
        <v>Excellent</v>
      </c>
      <c r="S7426" t="s">
        <v>628</v>
      </c>
    </row>
    <row r="7427" spans="1:19" x14ac:dyDescent="0.2">
      <c r="A7427" t="s">
        <v>8038</v>
      </c>
      <c r="B7427" t="s">
        <v>67</v>
      </c>
      <c r="C7427" t="s">
        <v>617</v>
      </c>
      <c r="D7427">
        <v>1140.6500000000001</v>
      </c>
      <c r="E7427" s="37" t="str">
        <f t="shared" ref="E7427:E7490" si="580">IF(AND(D7427&gt;4000,P7427&gt;800),"Excellent Order"," ")</f>
        <v xml:space="preserve"> </v>
      </c>
      <c r="F7427">
        <v>0.17</v>
      </c>
      <c r="G7427" s="37" t="str">
        <f t="shared" ref="G7427:G7490" si="581">IF(F7427&gt;30%,"Heavy Discount","Normal Discount")</f>
        <v>Normal Discount</v>
      </c>
      <c r="H7427" s="37" t="str">
        <f t="shared" ref="H7427:H7490" si="582">IF(F7427&gt;0.4,"High",IF(F7427&gt;=0.2,"Medium","Low"))</f>
        <v>Low</v>
      </c>
      <c r="I7427">
        <v>4</v>
      </c>
      <c r="J7427" t="str" cm="1">
        <f t="array" ref="J7427">_xlfn.IFS(I7427&lt;=3,"small",I7427&lt;=6,"Medium",I7427&lt;=9,"Large")</f>
        <v>Medium</v>
      </c>
      <c r="K7427" s="36">
        <v>45637</v>
      </c>
      <c r="L7427" s="36">
        <v>45644</v>
      </c>
      <c r="M7427" t="s">
        <v>603</v>
      </c>
      <c r="N7427" t="s">
        <v>608</v>
      </c>
      <c r="O7427" s="37" t="str">
        <f t="shared" ref="O7427:O7490" si="583">IF(OR(N7427="Card",N7427="UPI"),"Digital Payment","Cash Payment")</f>
        <v>Cash Payment</v>
      </c>
      <c r="P7427">
        <v>214.67</v>
      </c>
      <c r="Q7427" s="37" t="str">
        <f>IF(P7427&gt;500,"High","low")</f>
        <v>low</v>
      </c>
      <c r="R7427" s="37" t="str">
        <f t="shared" ref="R7427:R7490" si="584">IF(P7427&gt;1000,"Excellent",IF(P7427&gt;=500,"Good","AVERAGE"))</f>
        <v>AVERAGE</v>
      </c>
      <c r="S7427" t="s">
        <v>605</v>
      </c>
    </row>
    <row r="7428" spans="1:19" x14ac:dyDescent="0.2">
      <c r="A7428" t="s">
        <v>8039</v>
      </c>
      <c r="B7428" t="s">
        <v>90</v>
      </c>
      <c r="C7428" t="s">
        <v>607</v>
      </c>
      <c r="D7428">
        <v>482.35</v>
      </c>
      <c r="E7428" s="37" t="str">
        <f t="shared" si="580"/>
        <v xml:space="preserve"> </v>
      </c>
      <c r="F7428">
        <v>0.05</v>
      </c>
      <c r="G7428" s="37" t="str">
        <f t="shared" si="581"/>
        <v>Normal Discount</v>
      </c>
      <c r="H7428" s="37" t="str">
        <f t="shared" si="582"/>
        <v>Low</v>
      </c>
      <c r="I7428">
        <v>8</v>
      </c>
      <c r="J7428" t="str" cm="1">
        <f t="array" ref="J7428">_xlfn.IFS(I7428&lt;=3,"small",I7428&lt;=6,"Medium",I7428&lt;=9,"Large")</f>
        <v>Large</v>
      </c>
      <c r="K7428" s="36">
        <v>45498</v>
      </c>
      <c r="L7428" s="36">
        <v>45500</v>
      </c>
      <c r="M7428" t="s">
        <v>612</v>
      </c>
      <c r="N7428" t="s">
        <v>608</v>
      </c>
      <c r="O7428" s="37" t="str">
        <f t="shared" si="583"/>
        <v>Cash Payment</v>
      </c>
      <c r="P7428">
        <v>135.18</v>
      </c>
      <c r="Q7428" s="37" t="str">
        <f>IF(P7428&gt;500,"High","low")</f>
        <v>low</v>
      </c>
      <c r="R7428" s="37" t="str">
        <f t="shared" si="584"/>
        <v>AVERAGE</v>
      </c>
      <c r="S7428" t="s">
        <v>615</v>
      </c>
    </row>
    <row r="7429" spans="1:19" x14ac:dyDescent="0.2">
      <c r="A7429" t="s">
        <v>8040</v>
      </c>
      <c r="B7429" t="s">
        <v>67</v>
      </c>
      <c r="C7429" t="s">
        <v>602</v>
      </c>
      <c r="D7429">
        <v>2471.06</v>
      </c>
      <c r="E7429" s="37" t="str">
        <f t="shared" si="580"/>
        <v xml:space="preserve"> </v>
      </c>
      <c r="F7429">
        <v>0.21</v>
      </c>
      <c r="G7429" s="37" t="str">
        <f t="shared" si="581"/>
        <v>Normal Discount</v>
      </c>
      <c r="H7429" s="37" t="str">
        <f t="shared" si="582"/>
        <v>Medium</v>
      </c>
      <c r="I7429">
        <v>8</v>
      </c>
      <c r="J7429" t="str" cm="1">
        <f t="array" ref="J7429">_xlfn.IFS(I7429&lt;=3,"small",I7429&lt;=6,"Medium",I7429&lt;=9,"Large")</f>
        <v>Large</v>
      </c>
      <c r="K7429" s="36">
        <v>45144</v>
      </c>
      <c r="L7429" s="36">
        <v>45146</v>
      </c>
      <c r="M7429" t="s">
        <v>612</v>
      </c>
      <c r="N7429" t="s">
        <v>608</v>
      </c>
      <c r="O7429" s="37" t="str">
        <f t="shared" si="583"/>
        <v>Cash Payment</v>
      </c>
      <c r="P7429">
        <v>241.75</v>
      </c>
      <c r="Q7429" s="37" t="str">
        <f>IF(P7429&gt;500,"High","low")</f>
        <v>low</v>
      </c>
      <c r="R7429" s="37" t="str">
        <f t="shared" si="584"/>
        <v>AVERAGE</v>
      </c>
      <c r="S7429" t="s">
        <v>628</v>
      </c>
    </row>
    <row r="7430" spans="1:19" x14ac:dyDescent="0.2">
      <c r="A7430" t="s">
        <v>8041</v>
      </c>
      <c r="B7430" t="s">
        <v>83</v>
      </c>
      <c r="C7430" t="s">
        <v>602</v>
      </c>
      <c r="D7430">
        <v>3978.59</v>
      </c>
      <c r="E7430" s="37" t="str">
        <f t="shared" si="580"/>
        <v xml:space="preserve"> </v>
      </c>
      <c r="F7430">
        <v>0.49</v>
      </c>
      <c r="G7430" s="37" t="str">
        <f t="shared" si="581"/>
        <v>Heavy Discount</v>
      </c>
      <c r="H7430" s="37" t="str">
        <f t="shared" si="582"/>
        <v>High</v>
      </c>
      <c r="I7430">
        <v>9</v>
      </c>
      <c r="J7430" t="str" cm="1">
        <f t="array" ref="J7430">_xlfn.IFS(I7430&lt;=3,"small",I7430&lt;=6,"Medium",I7430&lt;=9,"Large")</f>
        <v>Large</v>
      </c>
      <c r="K7430" s="36">
        <v>45138</v>
      </c>
      <c r="L7430" s="36">
        <v>45141</v>
      </c>
      <c r="M7430" t="s">
        <v>603</v>
      </c>
      <c r="N7430" t="s">
        <v>604</v>
      </c>
      <c r="O7430" s="37" t="str">
        <f t="shared" si="583"/>
        <v>Digital Payment</v>
      </c>
      <c r="P7430">
        <v>1179.5899999999999</v>
      </c>
      <c r="Q7430" s="37" t="str">
        <f>IF(P7430&gt;500,"High","low")</f>
        <v>High</v>
      </c>
      <c r="R7430" s="37" t="str">
        <f t="shared" si="584"/>
        <v>Excellent</v>
      </c>
      <c r="S7430" t="s">
        <v>615</v>
      </c>
    </row>
    <row r="7431" spans="1:19" x14ac:dyDescent="0.2">
      <c r="A7431" t="s">
        <v>8042</v>
      </c>
      <c r="B7431" t="s">
        <v>90</v>
      </c>
      <c r="C7431" t="s">
        <v>602</v>
      </c>
      <c r="D7431">
        <v>3876.14</v>
      </c>
      <c r="E7431" s="37" t="str">
        <f t="shared" si="580"/>
        <v xml:space="preserve"> </v>
      </c>
      <c r="F7431">
        <v>0.33</v>
      </c>
      <c r="G7431" s="37" t="str">
        <f t="shared" si="581"/>
        <v>Heavy Discount</v>
      </c>
      <c r="H7431" s="37" t="str">
        <f t="shared" si="582"/>
        <v>Medium</v>
      </c>
      <c r="I7431">
        <v>7</v>
      </c>
      <c r="J7431" t="str" cm="1">
        <f t="array" ref="J7431">_xlfn.IFS(I7431&lt;=3,"small",I7431&lt;=6,"Medium",I7431&lt;=9,"Large")</f>
        <v>Large</v>
      </c>
      <c r="K7431" s="36">
        <v>45347</v>
      </c>
      <c r="L7431" s="36">
        <v>45348</v>
      </c>
      <c r="M7431" t="s">
        <v>612</v>
      </c>
      <c r="N7431" t="s">
        <v>604</v>
      </c>
      <c r="O7431" s="37" t="str">
        <f t="shared" si="583"/>
        <v>Digital Payment</v>
      </c>
      <c r="P7431">
        <v>356.69</v>
      </c>
      <c r="Q7431" s="37" t="str">
        <f>IF(P7431&gt;500,"High","low")</f>
        <v>low</v>
      </c>
      <c r="R7431" s="37" t="str">
        <f t="shared" si="584"/>
        <v>AVERAGE</v>
      </c>
      <c r="S7431" t="s">
        <v>600</v>
      </c>
    </row>
    <row r="7432" spans="1:19" x14ac:dyDescent="0.2">
      <c r="A7432" t="s">
        <v>8043</v>
      </c>
      <c r="B7432" t="s">
        <v>83</v>
      </c>
      <c r="C7432" t="s">
        <v>597</v>
      </c>
      <c r="D7432">
        <v>3514.41</v>
      </c>
      <c r="E7432" s="37" t="str">
        <f t="shared" si="580"/>
        <v xml:space="preserve"> </v>
      </c>
      <c r="F7432">
        <v>0.22</v>
      </c>
      <c r="G7432" s="37" t="str">
        <f t="shared" si="581"/>
        <v>Normal Discount</v>
      </c>
      <c r="H7432" s="37" t="str">
        <f t="shared" si="582"/>
        <v>Medium</v>
      </c>
      <c r="I7432">
        <v>8</v>
      </c>
      <c r="J7432" t="str" cm="1">
        <f t="array" ref="J7432">_xlfn.IFS(I7432&lt;=3,"small",I7432&lt;=6,"Medium",I7432&lt;=9,"Large")</f>
        <v>Large</v>
      </c>
      <c r="K7432" s="36">
        <v>45086</v>
      </c>
      <c r="L7432" s="36">
        <v>45092</v>
      </c>
      <c r="M7432" t="s">
        <v>612</v>
      </c>
      <c r="N7432" t="s">
        <v>599</v>
      </c>
      <c r="O7432" s="37" t="str">
        <f t="shared" si="583"/>
        <v>Digital Payment</v>
      </c>
      <c r="P7432">
        <v>477.62</v>
      </c>
      <c r="Q7432" s="37" t="str">
        <f>IF(P7432&gt;500,"High","low")</f>
        <v>low</v>
      </c>
      <c r="R7432" s="37" t="str">
        <f t="shared" si="584"/>
        <v>AVERAGE</v>
      </c>
      <c r="S7432" t="s">
        <v>600</v>
      </c>
    </row>
    <row r="7433" spans="1:19" x14ac:dyDescent="0.2">
      <c r="A7433" t="s">
        <v>8044</v>
      </c>
      <c r="B7433" t="s">
        <v>67</v>
      </c>
      <c r="C7433" t="s">
        <v>607</v>
      </c>
      <c r="D7433">
        <v>4121.41</v>
      </c>
      <c r="E7433" s="37" t="str">
        <f t="shared" si="580"/>
        <v xml:space="preserve"> </v>
      </c>
      <c r="F7433">
        <v>0.04</v>
      </c>
      <c r="G7433" s="37" t="str">
        <f t="shared" si="581"/>
        <v>Normal Discount</v>
      </c>
      <c r="H7433" s="37" t="str">
        <f t="shared" si="582"/>
        <v>Low</v>
      </c>
      <c r="I7433">
        <v>3</v>
      </c>
      <c r="J7433" t="str" cm="1">
        <f t="array" ref="J7433">_xlfn.IFS(I7433&lt;=3,"small",I7433&lt;=6,"Medium",I7433&lt;=9,"Large")</f>
        <v>small</v>
      </c>
      <c r="K7433" s="36">
        <v>45409</v>
      </c>
      <c r="L7433" s="36">
        <v>45415</v>
      </c>
      <c r="M7433" t="s">
        <v>603</v>
      </c>
      <c r="N7433" t="s">
        <v>608</v>
      </c>
      <c r="O7433" s="37" t="str">
        <f t="shared" si="583"/>
        <v>Cash Payment</v>
      </c>
      <c r="P7433">
        <v>259.27999999999997</v>
      </c>
      <c r="Q7433" s="37" t="str">
        <f>IF(P7433&gt;500,"High","low")</f>
        <v>low</v>
      </c>
      <c r="R7433" s="37" t="str">
        <f t="shared" si="584"/>
        <v>AVERAGE</v>
      </c>
      <c r="S7433" t="s">
        <v>609</v>
      </c>
    </row>
    <row r="7434" spans="1:19" x14ac:dyDescent="0.2">
      <c r="A7434" t="s">
        <v>8045</v>
      </c>
      <c r="B7434" t="s">
        <v>90</v>
      </c>
      <c r="C7434" t="s">
        <v>602</v>
      </c>
      <c r="D7434">
        <v>957.44</v>
      </c>
      <c r="E7434" s="37" t="str">
        <f t="shared" si="580"/>
        <v xml:space="preserve"> </v>
      </c>
      <c r="F7434">
        <v>0.11</v>
      </c>
      <c r="G7434" s="37" t="str">
        <f t="shared" si="581"/>
        <v>Normal Discount</v>
      </c>
      <c r="H7434" s="37" t="str">
        <f t="shared" si="582"/>
        <v>Low</v>
      </c>
      <c r="I7434">
        <v>4</v>
      </c>
      <c r="J7434" t="str" cm="1">
        <f t="array" ref="J7434">_xlfn.IFS(I7434&lt;=3,"small",I7434&lt;=6,"Medium",I7434&lt;=9,"Large")</f>
        <v>Medium</v>
      </c>
      <c r="K7434" s="36">
        <v>45267</v>
      </c>
      <c r="L7434" s="36">
        <v>45273</v>
      </c>
      <c r="M7434" t="s">
        <v>603</v>
      </c>
      <c r="N7434" t="s">
        <v>608</v>
      </c>
      <c r="O7434" s="37" t="str">
        <f t="shared" si="583"/>
        <v>Cash Payment</v>
      </c>
      <c r="P7434">
        <v>278.16000000000003</v>
      </c>
      <c r="Q7434" s="37" t="str">
        <f>IF(P7434&gt;500,"High","low")</f>
        <v>low</v>
      </c>
      <c r="R7434" s="37" t="str">
        <f t="shared" si="584"/>
        <v>AVERAGE</v>
      </c>
      <c r="S7434" t="s">
        <v>600</v>
      </c>
    </row>
    <row r="7435" spans="1:19" x14ac:dyDescent="0.2">
      <c r="A7435" t="s">
        <v>8046</v>
      </c>
      <c r="B7435" t="s">
        <v>83</v>
      </c>
      <c r="C7435" t="s">
        <v>602</v>
      </c>
      <c r="D7435">
        <v>3294.5</v>
      </c>
      <c r="E7435" s="37" t="str">
        <f t="shared" si="580"/>
        <v xml:space="preserve"> </v>
      </c>
      <c r="F7435">
        <v>0.28999999999999998</v>
      </c>
      <c r="G7435" s="37" t="str">
        <f t="shared" si="581"/>
        <v>Normal Discount</v>
      </c>
      <c r="H7435" s="37" t="str">
        <f t="shared" si="582"/>
        <v>Medium</v>
      </c>
      <c r="I7435">
        <v>4</v>
      </c>
      <c r="J7435" t="str" cm="1">
        <f t="array" ref="J7435">_xlfn.IFS(I7435&lt;=3,"small",I7435&lt;=6,"Medium",I7435&lt;=9,"Large")</f>
        <v>Medium</v>
      </c>
      <c r="K7435" s="36">
        <v>45106</v>
      </c>
      <c r="L7435" s="36">
        <v>45109</v>
      </c>
      <c r="M7435" t="s">
        <v>612</v>
      </c>
      <c r="N7435" t="s">
        <v>599</v>
      </c>
      <c r="O7435" s="37" t="str">
        <f t="shared" si="583"/>
        <v>Digital Payment</v>
      </c>
      <c r="P7435">
        <v>643.24</v>
      </c>
      <c r="Q7435" s="37" t="str">
        <f>IF(P7435&gt;500,"High","low")</f>
        <v>High</v>
      </c>
      <c r="R7435" s="37" t="str">
        <f t="shared" si="584"/>
        <v>Good</v>
      </c>
      <c r="S7435" t="s">
        <v>605</v>
      </c>
    </row>
    <row r="7436" spans="1:19" x14ac:dyDescent="0.2">
      <c r="A7436" t="s">
        <v>8047</v>
      </c>
      <c r="B7436" t="s">
        <v>67</v>
      </c>
      <c r="C7436" t="s">
        <v>614</v>
      </c>
      <c r="D7436">
        <v>3067.83</v>
      </c>
      <c r="E7436" s="37" t="str">
        <f t="shared" si="580"/>
        <v xml:space="preserve"> </v>
      </c>
      <c r="F7436">
        <v>0.25</v>
      </c>
      <c r="G7436" s="37" t="str">
        <f t="shared" si="581"/>
        <v>Normal Discount</v>
      </c>
      <c r="H7436" s="37" t="str">
        <f t="shared" si="582"/>
        <v>Medium</v>
      </c>
      <c r="I7436">
        <v>6</v>
      </c>
      <c r="J7436" t="str" cm="1">
        <f t="array" ref="J7436">_xlfn.IFS(I7436&lt;=3,"small",I7436&lt;=6,"Medium",I7436&lt;=9,"Large")</f>
        <v>Medium</v>
      </c>
      <c r="K7436" s="36">
        <v>45491</v>
      </c>
      <c r="L7436" s="36">
        <v>45493</v>
      </c>
      <c r="M7436" t="s">
        <v>598</v>
      </c>
      <c r="N7436" t="s">
        <v>608</v>
      </c>
      <c r="O7436" s="37" t="str">
        <f t="shared" si="583"/>
        <v>Cash Payment</v>
      </c>
      <c r="P7436">
        <v>671.24</v>
      </c>
      <c r="Q7436" s="37" t="str">
        <f>IF(P7436&gt;500,"High","low")</f>
        <v>High</v>
      </c>
      <c r="R7436" s="37" t="str">
        <f t="shared" si="584"/>
        <v>Good</v>
      </c>
      <c r="S7436" t="s">
        <v>600</v>
      </c>
    </row>
    <row r="7437" spans="1:19" x14ac:dyDescent="0.2">
      <c r="A7437" t="s">
        <v>8048</v>
      </c>
      <c r="B7437" t="s">
        <v>67</v>
      </c>
      <c r="C7437" t="s">
        <v>617</v>
      </c>
      <c r="D7437">
        <v>851.82</v>
      </c>
      <c r="E7437" s="37" t="str">
        <f t="shared" si="580"/>
        <v xml:space="preserve"> </v>
      </c>
      <c r="F7437">
        <v>0.01</v>
      </c>
      <c r="G7437" s="37" t="str">
        <f t="shared" si="581"/>
        <v>Normal Discount</v>
      </c>
      <c r="H7437" s="37" t="str">
        <f t="shared" si="582"/>
        <v>Low</v>
      </c>
      <c r="I7437">
        <v>7</v>
      </c>
      <c r="J7437" t="str" cm="1">
        <f t="array" ref="J7437">_xlfn.IFS(I7437&lt;=3,"small",I7437&lt;=6,"Medium",I7437&lt;=9,"Large")</f>
        <v>Large</v>
      </c>
      <c r="K7437" s="36">
        <v>45180</v>
      </c>
      <c r="L7437" s="36">
        <v>45186</v>
      </c>
      <c r="M7437" t="s">
        <v>612</v>
      </c>
      <c r="N7437" t="s">
        <v>599</v>
      </c>
      <c r="O7437" s="37" t="str">
        <f t="shared" si="583"/>
        <v>Digital Payment</v>
      </c>
      <c r="P7437">
        <v>247.09</v>
      </c>
      <c r="Q7437" s="37" t="str">
        <f>IF(P7437&gt;500,"High","low")</f>
        <v>low</v>
      </c>
      <c r="R7437" s="37" t="str">
        <f t="shared" si="584"/>
        <v>AVERAGE</v>
      </c>
      <c r="S7437" t="s">
        <v>605</v>
      </c>
    </row>
    <row r="7438" spans="1:19" x14ac:dyDescent="0.2">
      <c r="A7438" t="s">
        <v>8049</v>
      </c>
      <c r="B7438" t="s">
        <v>90</v>
      </c>
      <c r="C7438" t="s">
        <v>617</v>
      </c>
      <c r="D7438">
        <v>2130.69</v>
      </c>
      <c r="E7438" s="37" t="str">
        <f t="shared" si="580"/>
        <v xml:space="preserve"> </v>
      </c>
      <c r="F7438">
        <v>0.04</v>
      </c>
      <c r="G7438" s="37" t="str">
        <f t="shared" si="581"/>
        <v>Normal Discount</v>
      </c>
      <c r="H7438" s="37" t="str">
        <f t="shared" si="582"/>
        <v>Low</v>
      </c>
      <c r="I7438">
        <v>9</v>
      </c>
      <c r="J7438" t="str" cm="1">
        <f t="array" ref="J7438">_xlfn.IFS(I7438&lt;=3,"small",I7438&lt;=6,"Medium",I7438&lt;=9,"Large")</f>
        <v>Large</v>
      </c>
      <c r="K7438" s="36">
        <v>45110</v>
      </c>
      <c r="L7438" s="36">
        <v>45113</v>
      </c>
      <c r="M7438" t="s">
        <v>612</v>
      </c>
      <c r="N7438" t="s">
        <v>599</v>
      </c>
      <c r="O7438" s="37" t="str">
        <f t="shared" si="583"/>
        <v>Digital Payment</v>
      </c>
      <c r="P7438">
        <v>509.39</v>
      </c>
      <c r="Q7438" s="37" t="str">
        <f>IF(P7438&gt;500,"High","low")</f>
        <v>High</v>
      </c>
      <c r="R7438" s="37" t="str">
        <f t="shared" si="584"/>
        <v>Good</v>
      </c>
      <c r="S7438" t="s">
        <v>615</v>
      </c>
    </row>
    <row r="7439" spans="1:19" x14ac:dyDescent="0.2">
      <c r="A7439" t="s">
        <v>8050</v>
      </c>
      <c r="B7439" t="s">
        <v>67</v>
      </c>
      <c r="C7439" t="s">
        <v>617</v>
      </c>
      <c r="D7439">
        <v>4277.3999999999996</v>
      </c>
      <c r="E7439" s="37" t="str">
        <f t="shared" si="580"/>
        <v>Excellent Order</v>
      </c>
      <c r="F7439">
        <v>0.18</v>
      </c>
      <c r="G7439" s="37" t="str">
        <f t="shared" si="581"/>
        <v>Normal Discount</v>
      </c>
      <c r="H7439" s="37" t="str">
        <f t="shared" si="582"/>
        <v>Low</v>
      </c>
      <c r="I7439">
        <v>6</v>
      </c>
      <c r="J7439" t="str" cm="1">
        <f t="array" ref="J7439">_xlfn.IFS(I7439&lt;=3,"small",I7439&lt;=6,"Medium",I7439&lt;=9,"Large")</f>
        <v>Medium</v>
      </c>
      <c r="K7439" s="36">
        <v>45312</v>
      </c>
      <c r="L7439" s="36">
        <v>45317</v>
      </c>
      <c r="M7439" t="s">
        <v>598</v>
      </c>
      <c r="N7439" t="s">
        <v>599</v>
      </c>
      <c r="O7439" s="37" t="str">
        <f t="shared" si="583"/>
        <v>Digital Payment</v>
      </c>
      <c r="P7439">
        <v>1261.03</v>
      </c>
      <c r="Q7439" s="37" t="str">
        <f>IF(P7439&gt;500,"High","low")</f>
        <v>High</v>
      </c>
      <c r="R7439" s="37" t="str">
        <f t="shared" si="584"/>
        <v>Excellent</v>
      </c>
      <c r="S7439" t="s">
        <v>628</v>
      </c>
    </row>
    <row r="7440" spans="1:19" x14ac:dyDescent="0.2">
      <c r="A7440" t="s">
        <v>8051</v>
      </c>
      <c r="B7440" t="s">
        <v>75</v>
      </c>
      <c r="C7440" t="s">
        <v>614</v>
      </c>
      <c r="D7440">
        <v>4861.83</v>
      </c>
      <c r="E7440" s="37" t="str">
        <f t="shared" si="580"/>
        <v>Excellent Order</v>
      </c>
      <c r="F7440">
        <v>7.0000000000000007E-2</v>
      </c>
      <c r="G7440" s="37" t="str">
        <f t="shared" si="581"/>
        <v>Normal Discount</v>
      </c>
      <c r="H7440" s="37" t="str">
        <f t="shared" si="582"/>
        <v>Low</v>
      </c>
      <c r="I7440">
        <v>2</v>
      </c>
      <c r="J7440" t="str" cm="1">
        <f t="array" ref="J7440">_xlfn.IFS(I7440&lt;=3,"small",I7440&lt;=6,"Medium",I7440&lt;=9,"Large")</f>
        <v>small</v>
      </c>
      <c r="K7440" s="36">
        <v>45169</v>
      </c>
      <c r="L7440" s="36">
        <v>45176</v>
      </c>
      <c r="M7440" t="s">
        <v>598</v>
      </c>
      <c r="N7440" t="s">
        <v>608</v>
      </c>
      <c r="O7440" s="37" t="str">
        <f t="shared" si="583"/>
        <v>Cash Payment</v>
      </c>
      <c r="P7440">
        <v>891.85</v>
      </c>
      <c r="Q7440" s="37" t="str">
        <f>IF(P7440&gt;500,"High","low")</f>
        <v>High</v>
      </c>
      <c r="R7440" s="37" t="str">
        <f t="shared" si="584"/>
        <v>Good</v>
      </c>
      <c r="S7440" t="s">
        <v>600</v>
      </c>
    </row>
    <row r="7441" spans="1:19" x14ac:dyDescent="0.2">
      <c r="A7441" t="s">
        <v>8052</v>
      </c>
      <c r="B7441" t="s">
        <v>83</v>
      </c>
      <c r="C7441" t="s">
        <v>597</v>
      </c>
      <c r="D7441">
        <v>3360.61</v>
      </c>
      <c r="E7441" s="37" t="str">
        <f t="shared" si="580"/>
        <v xml:space="preserve"> </v>
      </c>
      <c r="F7441">
        <v>0.48</v>
      </c>
      <c r="G7441" s="37" t="str">
        <f t="shared" si="581"/>
        <v>Heavy Discount</v>
      </c>
      <c r="H7441" s="37" t="str">
        <f t="shared" si="582"/>
        <v>High</v>
      </c>
      <c r="I7441">
        <v>7</v>
      </c>
      <c r="J7441" t="str" cm="1">
        <f t="array" ref="J7441">_xlfn.IFS(I7441&lt;=3,"small",I7441&lt;=6,"Medium",I7441&lt;=9,"Large")</f>
        <v>Large</v>
      </c>
      <c r="K7441" s="36">
        <v>45454</v>
      </c>
      <c r="L7441" s="36">
        <v>45459</v>
      </c>
      <c r="M7441" t="s">
        <v>598</v>
      </c>
      <c r="N7441" t="s">
        <v>604</v>
      </c>
      <c r="O7441" s="37" t="str">
        <f t="shared" si="583"/>
        <v>Digital Payment</v>
      </c>
      <c r="P7441">
        <v>773.34</v>
      </c>
      <c r="Q7441" s="37" t="str">
        <f>IF(P7441&gt;500,"High","low")</f>
        <v>High</v>
      </c>
      <c r="R7441" s="37" t="str">
        <f t="shared" si="584"/>
        <v>Good</v>
      </c>
      <c r="S7441" t="s">
        <v>600</v>
      </c>
    </row>
    <row r="7442" spans="1:19" x14ac:dyDescent="0.2">
      <c r="A7442" t="s">
        <v>8053</v>
      </c>
      <c r="B7442" t="s">
        <v>83</v>
      </c>
      <c r="C7442" t="s">
        <v>614</v>
      </c>
      <c r="D7442">
        <v>4617.51</v>
      </c>
      <c r="E7442" s="37" t="str">
        <f t="shared" si="580"/>
        <v xml:space="preserve"> </v>
      </c>
      <c r="F7442">
        <v>0.02</v>
      </c>
      <c r="G7442" s="37" t="str">
        <f t="shared" si="581"/>
        <v>Normal Discount</v>
      </c>
      <c r="H7442" s="37" t="str">
        <f t="shared" si="582"/>
        <v>Low</v>
      </c>
      <c r="I7442">
        <v>9</v>
      </c>
      <c r="J7442" t="str" cm="1">
        <f t="array" ref="J7442">_xlfn.IFS(I7442&lt;=3,"small",I7442&lt;=6,"Medium",I7442&lt;=9,"Large")</f>
        <v>Large</v>
      </c>
      <c r="K7442" s="36">
        <v>45064</v>
      </c>
      <c r="L7442" s="36">
        <v>45071</v>
      </c>
      <c r="M7442" t="s">
        <v>598</v>
      </c>
      <c r="N7442" t="s">
        <v>608</v>
      </c>
      <c r="O7442" s="37" t="str">
        <f t="shared" si="583"/>
        <v>Cash Payment</v>
      </c>
      <c r="P7442">
        <v>411.92</v>
      </c>
      <c r="Q7442" s="37" t="str">
        <f>IF(P7442&gt;500,"High","low")</f>
        <v>low</v>
      </c>
      <c r="R7442" s="37" t="str">
        <f t="shared" si="584"/>
        <v>AVERAGE</v>
      </c>
      <c r="S7442" t="s">
        <v>620</v>
      </c>
    </row>
    <row r="7443" spans="1:19" x14ac:dyDescent="0.2">
      <c r="A7443" t="s">
        <v>8054</v>
      </c>
      <c r="B7443" t="s">
        <v>67</v>
      </c>
      <c r="C7443" t="s">
        <v>602</v>
      </c>
      <c r="D7443">
        <v>747.04</v>
      </c>
      <c r="E7443" s="37" t="str">
        <f t="shared" si="580"/>
        <v xml:space="preserve"> </v>
      </c>
      <c r="F7443">
        <v>0.49</v>
      </c>
      <c r="G7443" s="37" t="str">
        <f t="shared" si="581"/>
        <v>Heavy Discount</v>
      </c>
      <c r="H7443" s="37" t="str">
        <f t="shared" si="582"/>
        <v>High</v>
      </c>
      <c r="I7443">
        <v>8</v>
      </c>
      <c r="J7443" t="str" cm="1">
        <f t="array" ref="J7443">_xlfn.IFS(I7443&lt;=3,"small",I7443&lt;=6,"Medium",I7443&lt;=9,"Large")</f>
        <v>Large</v>
      </c>
      <c r="K7443" s="36">
        <v>45274</v>
      </c>
      <c r="L7443" s="36">
        <v>45276</v>
      </c>
      <c r="M7443" t="s">
        <v>612</v>
      </c>
      <c r="N7443" t="s">
        <v>608</v>
      </c>
      <c r="O7443" s="37" t="str">
        <f t="shared" si="583"/>
        <v>Cash Payment</v>
      </c>
      <c r="P7443">
        <v>45.24</v>
      </c>
      <c r="Q7443" s="37" t="str">
        <f>IF(P7443&gt;500,"High","low")</f>
        <v>low</v>
      </c>
      <c r="R7443" s="37" t="str">
        <f t="shared" si="584"/>
        <v>AVERAGE</v>
      </c>
      <c r="S7443" t="s">
        <v>615</v>
      </c>
    </row>
    <row r="7444" spans="1:19" x14ac:dyDescent="0.2">
      <c r="A7444" t="s">
        <v>8055</v>
      </c>
      <c r="B7444" t="s">
        <v>67</v>
      </c>
      <c r="C7444" t="s">
        <v>607</v>
      </c>
      <c r="D7444">
        <v>4877.8</v>
      </c>
      <c r="E7444" s="37" t="str">
        <f t="shared" si="580"/>
        <v xml:space="preserve"> </v>
      </c>
      <c r="F7444">
        <v>0.33</v>
      </c>
      <c r="G7444" s="37" t="str">
        <f t="shared" si="581"/>
        <v>Heavy Discount</v>
      </c>
      <c r="H7444" s="37" t="str">
        <f t="shared" si="582"/>
        <v>Medium</v>
      </c>
      <c r="I7444">
        <v>4</v>
      </c>
      <c r="J7444" t="str" cm="1">
        <f t="array" ref="J7444">_xlfn.IFS(I7444&lt;=3,"small",I7444&lt;=6,"Medium",I7444&lt;=9,"Large")</f>
        <v>Medium</v>
      </c>
      <c r="K7444" s="36">
        <v>45519</v>
      </c>
      <c r="L7444" s="36">
        <v>45522</v>
      </c>
      <c r="M7444" t="s">
        <v>598</v>
      </c>
      <c r="N7444" t="s">
        <v>599</v>
      </c>
      <c r="O7444" s="37" t="str">
        <f t="shared" si="583"/>
        <v>Digital Payment</v>
      </c>
      <c r="P7444">
        <v>786.58</v>
      </c>
      <c r="Q7444" s="37" t="str">
        <f>IF(P7444&gt;500,"High","low")</f>
        <v>High</v>
      </c>
      <c r="R7444" s="37" t="str">
        <f t="shared" si="584"/>
        <v>Good</v>
      </c>
      <c r="S7444" t="s">
        <v>600</v>
      </c>
    </row>
    <row r="7445" spans="1:19" x14ac:dyDescent="0.2">
      <c r="A7445" t="s">
        <v>8056</v>
      </c>
      <c r="B7445" t="s">
        <v>75</v>
      </c>
      <c r="C7445" t="s">
        <v>602</v>
      </c>
      <c r="D7445">
        <v>264.18</v>
      </c>
      <c r="E7445" s="37" t="str">
        <f t="shared" si="580"/>
        <v xml:space="preserve"> </v>
      </c>
      <c r="F7445">
        <v>0.2</v>
      </c>
      <c r="G7445" s="37" t="str">
        <f t="shared" si="581"/>
        <v>Normal Discount</v>
      </c>
      <c r="H7445" s="37" t="str">
        <f t="shared" si="582"/>
        <v>Medium</v>
      </c>
      <c r="I7445">
        <v>2</v>
      </c>
      <c r="J7445" t="str" cm="1">
        <f t="array" ref="J7445">_xlfn.IFS(I7445&lt;=3,"small",I7445&lt;=6,"Medium",I7445&lt;=9,"Large")</f>
        <v>small</v>
      </c>
      <c r="K7445" s="36">
        <v>45052</v>
      </c>
      <c r="L7445" s="36">
        <v>45057</v>
      </c>
      <c r="M7445" t="s">
        <v>603</v>
      </c>
      <c r="N7445" t="s">
        <v>608</v>
      </c>
      <c r="O7445" s="37" t="str">
        <f t="shared" si="583"/>
        <v>Cash Payment</v>
      </c>
      <c r="P7445">
        <v>19.149999999999999</v>
      </c>
      <c r="Q7445" s="37" t="str">
        <f>IF(P7445&gt;500,"High","low")</f>
        <v>low</v>
      </c>
      <c r="R7445" s="37" t="str">
        <f t="shared" si="584"/>
        <v>AVERAGE</v>
      </c>
      <c r="S7445" t="s">
        <v>605</v>
      </c>
    </row>
    <row r="7446" spans="1:19" x14ac:dyDescent="0.2">
      <c r="A7446" t="s">
        <v>8057</v>
      </c>
      <c r="B7446" t="s">
        <v>90</v>
      </c>
      <c r="C7446" t="s">
        <v>602</v>
      </c>
      <c r="D7446">
        <v>2683.57</v>
      </c>
      <c r="E7446" s="37" t="str">
        <f t="shared" si="580"/>
        <v xml:space="preserve"> </v>
      </c>
      <c r="F7446">
        <v>0.27</v>
      </c>
      <c r="G7446" s="37" t="str">
        <f t="shared" si="581"/>
        <v>Normal Discount</v>
      </c>
      <c r="H7446" s="37" t="str">
        <f t="shared" si="582"/>
        <v>Medium</v>
      </c>
      <c r="I7446">
        <v>8</v>
      </c>
      <c r="J7446" t="str" cm="1">
        <f t="array" ref="J7446">_xlfn.IFS(I7446&lt;=3,"small",I7446&lt;=6,"Medium",I7446&lt;=9,"Large")</f>
        <v>Large</v>
      </c>
      <c r="K7446" s="36">
        <v>45271</v>
      </c>
      <c r="L7446" s="36">
        <v>45272</v>
      </c>
      <c r="M7446" t="s">
        <v>612</v>
      </c>
      <c r="N7446" t="s">
        <v>599</v>
      </c>
      <c r="O7446" s="37" t="str">
        <f t="shared" si="583"/>
        <v>Digital Payment</v>
      </c>
      <c r="P7446">
        <v>470.74</v>
      </c>
      <c r="Q7446" s="37" t="str">
        <f>IF(P7446&gt;500,"High","low")</f>
        <v>low</v>
      </c>
      <c r="R7446" s="37" t="str">
        <f t="shared" si="584"/>
        <v>AVERAGE</v>
      </c>
      <c r="S7446" t="s">
        <v>605</v>
      </c>
    </row>
    <row r="7447" spans="1:19" x14ac:dyDescent="0.2">
      <c r="A7447" t="s">
        <v>8058</v>
      </c>
      <c r="B7447" t="s">
        <v>67</v>
      </c>
      <c r="C7447" t="s">
        <v>607</v>
      </c>
      <c r="D7447">
        <v>1525.94</v>
      </c>
      <c r="E7447" s="37" t="str">
        <f t="shared" si="580"/>
        <v xml:space="preserve"> </v>
      </c>
      <c r="F7447">
        <v>0.21</v>
      </c>
      <c r="G7447" s="37" t="str">
        <f t="shared" si="581"/>
        <v>Normal Discount</v>
      </c>
      <c r="H7447" s="37" t="str">
        <f t="shared" si="582"/>
        <v>Medium</v>
      </c>
      <c r="I7447">
        <v>6</v>
      </c>
      <c r="J7447" t="str" cm="1">
        <f t="array" ref="J7447">_xlfn.IFS(I7447&lt;=3,"small",I7447&lt;=6,"Medium",I7447&lt;=9,"Large")</f>
        <v>Medium</v>
      </c>
      <c r="K7447" s="36">
        <v>45133</v>
      </c>
      <c r="L7447" s="36">
        <v>45134</v>
      </c>
      <c r="M7447" t="s">
        <v>603</v>
      </c>
      <c r="N7447" t="s">
        <v>604</v>
      </c>
      <c r="O7447" s="37" t="str">
        <f t="shared" si="583"/>
        <v>Digital Payment</v>
      </c>
      <c r="P7447">
        <v>211.05</v>
      </c>
      <c r="Q7447" s="37" t="str">
        <f>IF(P7447&gt;500,"High","low")</f>
        <v>low</v>
      </c>
      <c r="R7447" s="37" t="str">
        <f t="shared" si="584"/>
        <v>AVERAGE</v>
      </c>
      <c r="S7447" t="s">
        <v>605</v>
      </c>
    </row>
    <row r="7448" spans="1:19" x14ac:dyDescent="0.2">
      <c r="A7448" t="s">
        <v>8059</v>
      </c>
      <c r="B7448" t="s">
        <v>67</v>
      </c>
      <c r="C7448" t="s">
        <v>617</v>
      </c>
      <c r="D7448">
        <v>4088.15</v>
      </c>
      <c r="E7448" s="37" t="str">
        <f t="shared" si="580"/>
        <v xml:space="preserve"> </v>
      </c>
      <c r="F7448">
        <v>0.28999999999999998</v>
      </c>
      <c r="G7448" s="37" t="str">
        <f t="shared" si="581"/>
        <v>Normal Discount</v>
      </c>
      <c r="H7448" s="37" t="str">
        <f t="shared" si="582"/>
        <v>Medium</v>
      </c>
      <c r="I7448">
        <v>8</v>
      </c>
      <c r="J7448" t="str" cm="1">
        <f t="array" ref="J7448">_xlfn.IFS(I7448&lt;=3,"small",I7448&lt;=6,"Medium",I7448&lt;=9,"Large")</f>
        <v>Large</v>
      </c>
      <c r="K7448" s="36">
        <v>45328</v>
      </c>
      <c r="L7448" s="36">
        <v>45330</v>
      </c>
      <c r="M7448" t="s">
        <v>603</v>
      </c>
      <c r="N7448" t="s">
        <v>599</v>
      </c>
      <c r="O7448" s="37" t="str">
        <f t="shared" si="583"/>
        <v>Digital Payment</v>
      </c>
      <c r="P7448">
        <v>394.2</v>
      </c>
      <c r="Q7448" s="37" t="str">
        <f>IF(P7448&gt;500,"High","low")</f>
        <v>low</v>
      </c>
      <c r="R7448" s="37" t="str">
        <f t="shared" si="584"/>
        <v>AVERAGE</v>
      </c>
      <c r="S7448" t="s">
        <v>600</v>
      </c>
    </row>
    <row r="7449" spans="1:19" x14ac:dyDescent="0.2">
      <c r="A7449" t="s">
        <v>8060</v>
      </c>
      <c r="B7449" t="s">
        <v>67</v>
      </c>
      <c r="C7449" t="s">
        <v>614</v>
      </c>
      <c r="D7449">
        <v>1165.96</v>
      </c>
      <c r="E7449" s="37" t="str">
        <f t="shared" si="580"/>
        <v xml:space="preserve"> </v>
      </c>
      <c r="F7449">
        <v>0.08</v>
      </c>
      <c r="G7449" s="37" t="str">
        <f t="shared" si="581"/>
        <v>Normal Discount</v>
      </c>
      <c r="H7449" s="37" t="str">
        <f t="shared" si="582"/>
        <v>Low</v>
      </c>
      <c r="I7449">
        <v>9</v>
      </c>
      <c r="J7449" t="str" cm="1">
        <f t="array" ref="J7449">_xlfn.IFS(I7449&lt;=3,"small",I7449&lt;=6,"Medium",I7449&lt;=9,"Large")</f>
        <v>Large</v>
      </c>
      <c r="K7449" s="36">
        <v>45184</v>
      </c>
      <c r="L7449" s="36">
        <v>45188</v>
      </c>
      <c r="M7449" t="s">
        <v>612</v>
      </c>
      <c r="N7449" t="s">
        <v>608</v>
      </c>
      <c r="O7449" s="37" t="str">
        <f t="shared" si="583"/>
        <v>Cash Payment</v>
      </c>
      <c r="P7449">
        <v>345.38</v>
      </c>
      <c r="Q7449" s="37" t="str">
        <f>IF(P7449&gt;500,"High","low")</f>
        <v>low</v>
      </c>
      <c r="R7449" s="37" t="str">
        <f t="shared" si="584"/>
        <v>AVERAGE</v>
      </c>
      <c r="S7449" t="s">
        <v>609</v>
      </c>
    </row>
    <row r="7450" spans="1:19" x14ac:dyDescent="0.2">
      <c r="A7450" t="s">
        <v>8061</v>
      </c>
      <c r="B7450" t="s">
        <v>67</v>
      </c>
      <c r="C7450" t="s">
        <v>597</v>
      </c>
      <c r="D7450">
        <v>156.5</v>
      </c>
      <c r="E7450" s="37" t="str">
        <f t="shared" si="580"/>
        <v xml:space="preserve"> </v>
      </c>
      <c r="F7450">
        <v>0.06</v>
      </c>
      <c r="G7450" s="37" t="str">
        <f t="shared" si="581"/>
        <v>Normal Discount</v>
      </c>
      <c r="H7450" s="37" t="str">
        <f t="shared" si="582"/>
        <v>Low</v>
      </c>
      <c r="I7450">
        <v>3</v>
      </c>
      <c r="J7450" t="str" cm="1">
        <f t="array" ref="J7450">_xlfn.IFS(I7450&lt;=3,"small",I7450&lt;=6,"Medium",I7450&lt;=9,"Large")</f>
        <v>small</v>
      </c>
      <c r="K7450" s="36">
        <v>45054</v>
      </c>
      <c r="L7450" s="36">
        <v>45058</v>
      </c>
      <c r="M7450" t="s">
        <v>612</v>
      </c>
      <c r="N7450" t="s">
        <v>604</v>
      </c>
      <c r="O7450" s="37" t="str">
        <f t="shared" si="583"/>
        <v>Digital Payment</v>
      </c>
      <c r="P7450">
        <v>44.61</v>
      </c>
      <c r="Q7450" s="37" t="str">
        <f>IF(P7450&gt;500,"High","low")</f>
        <v>low</v>
      </c>
      <c r="R7450" s="37" t="str">
        <f t="shared" si="584"/>
        <v>AVERAGE</v>
      </c>
      <c r="S7450" t="s">
        <v>620</v>
      </c>
    </row>
    <row r="7451" spans="1:19" x14ac:dyDescent="0.2">
      <c r="A7451" t="s">
        <v>8062</v>
      </c>
      <c r="B7451" t="s">
        <v>83</v>
      </c>
      <c r="C7451" t="s">
        <v>602</v>
      </c>
      <c r="D7451">
        <v>2131.59</v>
      </c>
      <c r="E7451" s="37" t="str">
        <f t="shared" si="580"/>
        <v xml:space="preserve"> </v>
      </c>
      <c r="F7451">
        <v>0.26</v>
      </c>
      <c r="G7451" s="37" t="str">
        <f t="shared" si="581"/>
        <v>Normal Discount</v>
      </c>
      <c r="H7451" s="37" t="str">
        <f t="shared" si="582"/>
        <v>Medium</v>
      </c>
      <c r="I7451">
        <v>8</v>
      </c>
      <c r="J7451" t="str" cm="1">
        <f t="array" ref="J7451">_xlfn.IFS(I7451&lt;=3,"small",I7451&lt;=6,"Medium",I7451&lt;=9,"Large")</f>
        <v>Large</v>
      </c>
      <c r="K7451" s="36">
        <v>45222</v>
      </c>
      <c r="L7451" s="36">
        <v>45225</v>
      </c>
      <c r="M7451" t="s">
        <v>612</v>
      </c>
      <c r="N7451" t="s">
        <v>599</v>
      </c>
      <c r="O7451" s="37" t="str">
        <f t="shared" si="583"/>
        <v>Digital Payment</v>
      </c>
      <c r="P7451">
        <v>255.13</v>
      </c>
      <c r="Q7451" s="37" t="str">
        <f>IF(P7451&gt;500,"High","low")</f>
        <v>low</v>
      </c>
      <c r="R7451" s="37" t="str">
        <f t="shared" si="584"/>
        <v>AVERAGE</v>
      </c>
      <c r="S7451" t="s">
        <v>628</v>
      </c>
    </row>
    <row r="7452" spans="1:19" x14ac:dyDescent="0.2">
      <c r="A7452" t="s">
        <v>8063</v>
      </c>
      <c r="B7452" t="s">
        <v>67</v>
      </c>
      <c r="C7452" t="s">
        <v>602</v>
      </c>
      <c r="D7452">
        <v>414.13</v>
      </c>
      <c r="E7452" s="37" t="str">
        <f t="shared" si="580"/>
        <v xml:space="preserve"> </v>
      </c>
      <c r="F7452">
        <v>0.04</v>
      </c>
      <c r="G7452" s="37" t="str">
        <f t="shared" si="581"/>
        <v>Normal Discount</v>
      </c>
      <c r="H7452" s="37" t="str">
        <f t="shared" si="582"/>
        <v>Low</v>
      </c>
      <c r="I7452">
        <v>8</v>
      </c>
      <c r="J7452" t="str" cm="1">
        <f t="array" ref="J7452">_xlfn.IFS(I7452&lt;=3,"small",I7452&lt;=6,"Medium",I7452&lt;=9,"Large")</f>
        <v>Large</v>
      </c>
      <c r="K7452" s="36">
        <v>45480</v>
      </c>
      <c r="L7452" s="36">
        <v>45482</v>
      </c>
      <c r="M7452" t="s">
        <v>598</v>
      </c>
      <c r="N7452" t="s">
        <v>608</v>
      </c>
      <c r="O7452" s="37" t="str">
        <f t="shared" si="583"/>
        <v>Cash Payment</v>
      </c>
      <c r="P7452">
        <v>65</v>
      </c>
      <c r="Q7452" s="37" t="str">
        <f>IF(P7452&gt;500,"High","low")</f>
        <v>low</v>
      </c>
      <c r="R7452" s="37" t="str">
        <f t="shared" si="584"/>
        <v>AVERAGE</v>
      </c>
      <c r="S7452" t="s">
        <v>615</v>
      </c>
    </row>
    <row r="7453" spans="1:19" x14ac:dyDescent="0.2">
      <c r="A7453" t="s">
        <v>8064</v>
      </c>
      <c r="B7453" t="s">
        <v>83</v>
      </c>
      <c r="C7453" t="s">
        <v>597</v>
      </c>
      <c r="D7453">
        <v>1521.45</v>
      </c>
      <c r="E7453" s="37" t="str">
        <f t="shared" si="580"/>
        <v xml:space="preserve"> </v>
      </c>
      <c r="F7453">
        <v>0.15</v>
      </c>
      <c r="G7453" s="37" t="str">
        <f t="shared" si="581"/>
        <v>Normal Discount</v>
      </c>
      <c r="H7453" s="37" t="str">
        <f t="shared" si="582"/>
        <v>Low</v>
      </c>
      <c r="I7453">
        <v>5</v>
      </c>
      <c r="J7453" t="str" cm="1">
        <f t="array" ref="J7453">_xlfn.IFS(I7453&lt;=3,"small",I7453&lt;=6,"Medium",I7453&lt;=9,"Large")</f>
        <v>Medium</v>
      </c>
      <c r="K7453" s="36">
        <v>45149</v>
      </c>
      <c r="L7453" s="36">
        <v>45151</v>
      </c>
      <c r="M7453" t="s">
        <v>598</v>
      </c>
      <c r="N7453" t="s">
        <v>608</v>
      </c>
      <c r="O7453" s="37" t="str">
        <f t="shared" si="583"/>
        <v>Cash Payment</v>
      </c>
      <c r="P7453">
        <v>330.35</v>
      </c>
      <c r="Q7453" s="37" t="str">
        <f>IF(P7453&gt;500,"High","low")</f>
        <v>low</v>
      </c>
      <c r="R7453" s="37" t="str">
        <f t="shared" si="584"/>
        <v>AVERAGE</v>
      </c>
      <c r="S7453" t="s">
        <v>628</v>
      </c>
    </row>
    <row r="7454" spans="1:19" x14ac:dyDescent="0.2">
      <c r="A7454" t="s">
        <v>8065</v>
      </c>
      <c r="B7454" t="s">
        <v>67</v>
      </c>
      <c r="C7454" t="s">
        <v>614</v>
      </c>
      <c r="D7454">
        <v>3254.36</v>
      </c>
      <c r="E7454" s="37" t="str">
        <f t="shared" si="580"/>
        <v xml:space="preserve"> </v>
      </c>
      <c r="F7454">
        <v>0.46</v>
      </c>
      <c r="G7454" s="37" t="str">
        <f t="shared" si="581"/>
        <v>Heavy Discount</v>
      </c>
      <c r="H7454" s="37" t="str">
        <f t="shared" si="582"/>
        <v>High</v>
      </c>
      <c r="I7454">
        <v>6</v>
      </c>
      <c r="J7454" t="str" cm="1">
        <f t="array" ref="J7454">_xlfn.IFS(I7454&lt;=3,"small",I7454&lt;=6,"Medium",I7454&lt;=9,"Large")</f>
        <v>Medium</v>
      </c>
      <c r="K7454" s="36">
        <v>45533</v>
      </c>
      <c r="L7454" s="36">
        <v>45538</v>
      </c>
      <c r="M7454" t="s">
        <v>603</v>
      </c>
      <c r="N7454" t="s">
        <v>599</v>
      </c>
      <c r="O7454" s="37" t="str">
        <f t="shared" si="583"/>
        <v>Digital Payment</v>
      </c>
      <c r="P7454">
        <v>591.70000000000005</v>
      </c>
      <c r="Q7454" s="37" t="str">
        <f>IF(P7454&gt;500,"High","low")</f>
        <v>High</v>
      </c>
      <c r="R7454" s="37" t="str">
        <f t="shared" si="584"/>
        <v>Good</v>
      </c>
      <c r="S7454" t="s">
        <v>600</v>
      </c>
    </row>
    <row r="7455" spans="1:19" x14ac:dyDescent="0.2">
      <c r="A7455" t="s">
        <v>8066</v>
      </c>
      <c r="B7455" t="s">
        <v>90</v>
      </c>
      <c r="C7455" t="s">
        <v>602</v>
      </c>
      <c r="D7455">
        <v>1544.05</v>
      </c>
      <c r="E7455" s="37" t="str">
        <f t="shared" si="580"/>
        <v xml:space="preserve"> </v>
      </c>
      <c r="F7455">
        <v>0.44</v>
      </c>
      <c r="G7455" s="37" t="str">
        <f t="shared" si="581"/>
        <v>Heavy Discount</v>
      </c>
      <c r="H7455" s="37" t="str">
        <f t="shared" si="582"/>
        <v>High</v>
      </c>
      <c r="I7455">
        <v>5</v>
      </c>
      <c r="J7455" t="str" cm="1">
        <f t="array" ref="J7455">_xlfn.IFS(I7455&lt;=3,"small",I7455&lt;=6,"Medium",I7455&lt;=9,"Large")</f>
        <v>Medium</v>
      </c>
      <c r="K7455" s="36">
        <v>45591</v>
      </c>
      <c r="L7455" s="36">
        <v>45596</v>
      </c>
      <c r="M7455" t="s">
        <v>612</v>
      </c>
      <c r="N7455" t="s">
        <v>604</v>
      </c>
      <c r="O7455" s="37" t="str">
        <f t="shared" si="583"/>
        <v>Digital Payment</v>
      </c>
      <c r="P7455">
        <v>429.29</v>
      </c>
      <c r="Q7455" s="37" t="str">
        <f>IF(P7455&gt;500,"High","low")</f>
        <v>low</v>
      </c>
      <c r="R7455" s="37" t="str">
        <f t="shared" si="584"/>
        <v>AVERAGE</v>
      </c>
      <c r="S7455" t="s">
        <v>609</v>
      </c>
    </row>
    <row r="7456" spans="1:19" x14ac:dyDescent="0.2">
      <c r="A7456" t="s">
        <v>8067</v>
      </c>
      <c r="B7456" t="s">
        <v>75</v>
      </c>
      <c r="C7456" t="s">
        <v>597</v>
      </c>
      <c r="D7456">
        <v>1304.3900000000001</v>
      </c>
      <c r="E7456" s="37" t="str">
        <f t="shared" si="580"/>
        <v xml:space="preserve"> </v>
      </c>
      <c r="F7456">
        <v>0.42</v>
      </c>
      <c r="G7456" s="37" t="str">
        <f t="shared" si="581"/>
        <v>Heavy Discount</v>
      </c>
      <c r="H7456" s="37" t="str">
        <f t="shared" si="582"/>
        <v>High</v>
      </c>
      <c r="I7456">
        <v>6</v>
      </c>
      <c r="J7456" t="str" cm="1">
        <f t="array" ref="J7456">_xlfn.IFS(I7456&lt;=3,"small",I7456&lt;=6,"Medium",I7456&lt;=9,"Large")</f>
        <v>Medium</v>
      </c>
      <c r="K7456" s="36">
        <v>45567</v>
      </c>
      <c r="L7456" s="36">
        <v>45574</v>
      </c>
      <c r="M7456" t="s">
        <v>603</v>
      </c>
      <c r="N7456" t="s">
        <v>608</v>
      </c>
      <c r="O7456" s="37" t="str">
        <f t="shared" si="583"/>
        <v>Cash Payment</v>
      </c>
      <c r="P7456">
        <v>387.28</v>
      </c>
      <c r="Q7456" s="37" t="str">
        <f>IF(P7456&gt;500,"High","low")</f>
        <v>low</v>
      </c>
      <c r="R7456" s="37" t="str">
        <f t="shared" si="584"/>
        <v>AVERAGE</v>
      </c>
      <c r="S7456" t="s">
        <v>620</v>
      </c>
    </row>
    <row r="7457" spans="1:19" x14ac:dyDescent="0.2">
      <c r="A7457" t="s">
        <v>8068</v>
      </c>
      <c r="B7457" t="s">
        <v>90</v>
      </c>
      <c r="C7457" t="s">
        <v>602</v>
      </c>
      <c r="D7457">
        <v>861.93</v>
      </c>
      <c r="E7457" s="37" t="str">
        <f t="shared" si="580"/>
        <v xml:space="preserve"> </v>
      </c>
      <c r="F7457">
        <v>0.25</v>
      </c>
      <c r="G7457" s="37" t="str">
        <f t="shared" si="581"/>
        <v>Normal Discount</v>
      </c>
      <c r="H7457" s="37" t="str">
        <f t="shared" si="582"/>
        <v>Medium</v>
      </c>
      <c r="I7457">
        <v>1</v>
      </c>
      <c r="J7457" t="str" cm="1">
        <f t="array" ref="J7457">_xlfn.IFS(I7457&lt;=3,"small",I7457&lt;=6,"Medium",I7457&lt;=9,"Large")</f>
        <v>small</v>
      </c>
      <c r="K7457" s="36">
        <v>45648</v>
      </c>
      <c r="L7457" s="36">
        <v>45649</v>
      </c>
      <c r="M7457" t="s">
        <v>603</v>
      </c>
      <c r="N7457" t="s">
        <v>599</v>
      </c>
      <c r="O7457" s="37" t="str">
        <f t="shared" si="583"/>
        <v>Digital Payment</v>
      </c>
      <c r="P7457">
        <v>56.51</v>
      </c>
      <c r="Q7457" s="37" t="str">
        <f>IF(P7457&gt;500,"High","low")</f>
        <v>low</v>
      </c>
      <c r="R7457" s="37" t="str">
        <f t="shared" si="584"/>
        <v>AVERAGE</v>
      </c>
      <c r="S7457" t="s">
        <v>615</v>
      </c>
    </row>
    <row r="7458" spans="1:19" x14ac:dyDescent="0.2">
      <c r="A7458" t="s">
        <v>8069</v>
      </c>
      <c r="B7458" t="s">
        <v>67</v>
      </c>
      <c r="C7458" t="s">
        <v>617</v>
      </c>
      <c r="D7458">
        <v>762.34</v>
      </c>
      <c r="E7458" s="37" t="str">
        <f t="shared" si="580"/>
        <v xml:space="preserve"> </v>
      </c>
      <c r="F7458">
        <v>0.01</v>
      </c>
      <c r="G7458" s="37" t="str">
        <f t="shared" si="581"/>
        <v>Normal Discount</v>
      </c>
      <c r="H7458" s="37" t="str">
        <f t="shared" si="582"/>
        <v>Low</v>
      </c>
      <c r="I7458">
        <v>2</v>
      </c>
      <c r="J7458" t="str" cm="1">
        <f t="array" ref="J7458">_xlfn.IFS(I7458&lt;=3,"small",I7458&lt;=6,"Medium",I7458&lt;=9,"Large")</f>
        <v>small</v>
      </c>
      <c r="K7458" s="36">
        <v>45454</v>
      </c>
      <c r="L7458" s="36">
        <v>45455</v>
      </c>
      <c r="M7458" t="s">
        <v>598</v>
      </c>
      <c r="N7458" t="s">
        <v>604</v>
      </c>
      <c r="O7458" s="37" t="str">
        <f t="shared" si="583"/>
        <v>Digital Payment</v>
      </c>
      <c r="P7458">
        <v>123.78</v>
      </c>
      <c r="Q7458" s="37" t="str">
        <f>IF(P7458&gt;500,"High","low")</f>
        <v>low</v>
      </c>
      <c r="R7458" s="37" t="str">
        <f t="shared" si="584"/>
        <v>AVERAGE</v>
      </c>
      <c r="S7458" t="s">
        <v>620</v>
      </c>
    </row>
    <row r="7459" spans="1:19" x14ac:dyDescent="0.2">
      <c r="A7459" t="s">
        <v>8070</v>
      </c>
      <c r="B7459" t="s">
        <v>67</v>
      </c>
      <c r="C7459" t="s">
        <v>617</v>
      </c>
      <c r="D7459">
        <v>2676.7</v>
      </c>
      <c r="E7459" s="37" t="str">
        <f t="shared" si="580"/>
        <v xml:space="preserve"> </v>
      </c>
      <c r="F7459">
        <v>0.06</v>
      </c>
      <c r="G7459" s="37" t="str">
        <f t="shared" si="581"/>
        <v>Normal Discount</v>
      </c>
      <c r="H7459" s="37" t="str">
        <f t="shared" si="582"/>
        <v>Low</v>
      </c>
      <c r="I7459">
        <v>8</v>
      </c>
      <c r="J7459" t="str" cm="1">
        <f t="array" ref="J7459">_xlfn.IFS(I7459&lt;=3,"small",I7459&lt;=6,"Medium",I7459&lt;=9,"Large")</f>
        <v>Large</v>
      </c>
      <c r="K7459" s="36">
        <v>45096</v>
      </c>
      <c r="L7459" s="36">
        <v>45098</v>
      </c>
      <c r="M7459" t="s">
        <v>612</v>
      </c>
      <c r="N7459" t="s">
        <v>608</v>
      </c>
      <c r="O7459" s="37" t="str">
        <f t="shared" si="583"/>
        <v>Cash Payment</v>
      </c>
      <c r="P7459">
        <v>386.4</v>
      </c>
      <c r="Q7459" s="37" t="str">
        <f>IF(P7459&gt;500,"High","low")</f>
        <v>low</v>
      </c>
      <c r="R7459" s="37" t="str">
        <f t="shared" si="584"/>
        <v>AVERAGE</v>
      </c>
      <c r="S7459" t="s">
        <v>620</v>
      </c>
    </row>
    <row r="7460" spans="1:19" x14ac:dyDescent="0.2">
      <c r="A7460" t="s">
        <v>8071</v>
      </c>
      <c r="B7460" t="s">
        <v>67</v>
      </c>
      <c r="C7460" t="s">
        <v>602</v>
      </c>
      <c r="D7460">
        <v>3439.38</v>
      </c>
      <c r="E7460" s="37" t="str">
        <f t="shared" si="580"/>
        <v xml:space="preserve"> </v>
      </c>
      <c r="F7460">
        <v>0.46</v>
      </c>
      <c r="G7460" s="37" t="str">
        <f t="shared" si="581"/>
        <v>Heavy Discount</v>
      </c>
      <c r="H7460" s="37" t="str">
        <f t="shared" si="582"/>
        <v>High</v>
      </c>
      <c r="I7460">
        <v>1</v>
      </c>
      <c r="J7460" t="str" cm="1">
        <f t="array" ref="J7460">_xlfn.IFS(I7460&lt;=3,"small",I7460&lt;=6,"Medium",I7460&lt;=9,"Large")</f>
        <v>small</v>
      </c>
      <c r="K7460" s="36">
        <v>45603</v>
      </c>
      <c r="L7460" s="36">
        <v>45610</v>
      </c>
      <c r="M7460" t="s">
        <v>598</v>
      </c>
      <c r="N7460" t="s">
        <v>608</v>
      </c>
      <c r="O7460" s="37" t="str">
        <f t="shared" si="583"/>
        <v>Cash Payment</v>
      </c>
      <c r="P7460">
        <v>217.04</v>
      </c>
      <c r="Q7460" s="37" t="str">
        <f>IF(P7460&gt;500,"High","low")</f>
        <v>low</v>
      </c>
      <c r="R7460" s="37" t="str">
        <f t="shared" si="584"/>
        <v>AVERAGE</v>
      </c>
      <c r="S7460" t="s">
        <v>620</v>
      </c>
    </row>
    <row r="7461" spans="1:19" x14ac:dyDescent="0.2">
      <c r="A7461" t="s">
        <v>8072</v>
      </c>
      <c r="B7461" t="s">
        <v>90</v>
      </c>
      <c r="C7461" t="s">
        <v>602</v>
      </c>
      <c r="D7461">
        <v>2318.39</v>
      </c>
      <c r="E7461" s="37" t="str">
        <f t="shared" si="580"/>
        <v xml:space="preserve"> </v>
      </c>
      <c r="F7461">
        <v>0.42</v>
      </c>
      <c r="G7461" s="37" t="str">
        <f t="shared" si="581"/>
        <v>Heavy Discount</v>
      </c>
      <c r="H7461" s="37" t="str">
        <f t="shared" si="582"/>
        <v>High</v>
      </c>
      <c r="I7461">
        <v>9</v>
      </c>
      <c r="J7461" t="str" cm="1">
        <f t="array" ref="J7461">_xlfn.IFS(I7461&lt;=3,"small",I7461&lt;=6,"Medium",I7461&lt;=9,"Large")</f>
        <v>Large</v>
      </c>
      <c r="K7461" s="36">
        <v>45287</v>
      </c>
      <c r="L7461" s="36">
        <v>45292</v>
      </c>
      <c r="M7461" t="s">
        <v>598</v>
      </c>
      <c r="N7461" t="s">
        <v>604</v>
      </c>
      <c r="O7461" s="37" t="str">
        <f t="shared" si="583"/>
        <v>Digital Payment</v>
      </c>
      <c r="P7461">
        <v>644.30999999999995</v>
      </c>
      <c r="Q7461" s="37" t="str">
        <f>IF(P7461&gt;500,"High","low")</f>
        <v>High</v>
      </c>
      <c r="R7461" s="37" t="str">
        <f t="shared" si="584"/>
        <v>Good</v>
      </c>
      <c r="S7461" t="s">
        <v>628</v>
      </c>
    </row>
    <row r="7462" spans="1:19" x14ac:dyDescent="0.2">
      <c r="A7462" t="s">
        <v>8073</v>
      </c>
      <c r="B7462" t="s">
        <v>67</v>
      </c>
      <c r="C7462" t="s">
        <v>617</v>
      </c>
      <c r="D7462">
        <v>705.66</v>
      </c>
      <c r="E7462" s="37" t="str">
        <f t="shared" si="580"/>
        <v xml:space="preserve"> </v>
      </c>
      <c r="F7462">
        <v>0.19</v>
      </c>
      <c r="G7462" s="37" t="str">
        <f t="shared" si="581"/>
        <v>Normal Discount</v>
      </c>
      <c r="H7462" s="37" t="str">
        <f t="shared" si="582"/>
        <v>Low</v>
      </c>
      <c r="I7462">
        <v>7</v>
      </c>
      <c r="J7462" t="str" cm="1">
        <f t="array" ref="J7462">_xlfn.IFS(I7462&lt;=3,"small",I7462&lt;=6,"Medium",I7462&lt;=9,"Large")</f>
        <v>Large</v>
      </c>
      <c r="K7462" s="36">
        <v>45475</v>
      </c>
      <c r="L7462" s="36">
        <v>45480</v>
      </c>
      <c r="M7462" t="s">
        <v>598</v>
      </c>
      <c r="N7462" t="s">
        <v>599</v>
      </c>
      <c r="O7462" s="37" t="str">
        <f t="shared" si="583"/>
        <v>Digital Payment</v>
      </c>
      <c r="P7462">
        <v>62.81</v>
      </c>
      <c r="Q7462" s="37" t="str">
        <f>IF(P7462&gt;500,"High","low")</f>
        <v>low</v>
      </c>
      <c r="R7462" s="37" t="str">
        <f t="shared" si="584"/>
        <v>AVERAGE</v>
      </c>
      <c r="S7462" t="s">
        <v>620</v>
      </c>
    </row>
    <row r="7463" spans="1:19" x14ac:dyDescent="0.2">
      <c r="A7463" t="s">
        <v>8074</v>
      </c>
      <c r="B7463" t="s">
        <v>90</v>
      </c>
      <c r="C7463" t="s">
        <v>602</v>
      </c>
      <c r="D7463">
        <v>3274.01</v>
      </c>
      <c r="E7463" s="37" t="str">
        <f t="shared" si="580"/>
        <v xml:space="preserve"> </v>
      </c>
      <c r="F7463">
        <v>0.36</v>
      </c>
      <c r="G7463" s="37" t="str">
        <f t="shared" si="581"/>
        <v>Heavy Discount</v>
      </c>
      <c r="H7463" s="37" t="str">
        <f t="shared" si="582"/>
        <v>Medium</v>
      </c>
      <c r="I7463">
        <v>1</v>
      </c>
      <c r="J7463" t="str" cm="1">
        <f t="array" ref="J7463">_xlfn.IFS(I7463&lt;=3,"small",I7463&lt;=6,"Medium",I7463&lt;=9,"Large")</f>
        <v>small</v>
      </c>
      <c r="K7463" s="36">
        <v>45637</v>
      </c>
      <c r="L7463" s="36">
        <v>45639</v>
      </c>
      <c r="M7463" t="s">
        <v>598</v>
      </c>
      <c r="N7463" t="s">
        <v>604</v>
      </c>
      <c r="O7463" s="37" t="str">
        <f t="shared" si="583"/>
        <v>Digital Payment</v>
      </c>
      <c r="P7463">
        <v>194.13</v>
      </c>
      <c r="Q7463" s="37" t="str">
        <f>IF(P7463&gt;500,"High","low")</f>
        <v>low</v>
      </c>
      <c r="R7463" s="37" t="str">
        <f t="shared" si="584"/>
        <v>AVERAGE</v>
      </c>
      <c r="S7463" t="s">
        <v>605</v>
      </c>
    </row>
    <row r="7464" spans="1:19" x14ac:dyDescent="0.2">
      <c r="A7464" t="s">
        <v>8075</v>
      </c>
      <c r="B7464" t="s">
        <v>83</v>
      </c>
      <c r="C7464" t="s">
        <v>614</v>
      </c>
      <c r="D7464">
        <v>2829.9</v>
      </c>
      <c r="E7464" s="37" t="str">
        <f t="shared" si="580"/>
        <v xml:space="preserve"> </v>
      </c>
      <c r="F7464">
        <v>0.43</v>
      </c>
      <c r="G7464" s="37" t="str">
        <f t="shared" si="581"/>
        <v>Heavy Discount</v>
      </c>
      <c r="H7464" s="37" t="str">
        <f t="shared" si="582"/>
        <v>High</v>
      </c>
      <c r="I7464">
        <v>5</v>
      </c>
      <c r="J7464" t="str" cm="1">
        <f t="array" ref="J7464">_xlfn.IFS(I7464&lt;=3,"small",I7464&lt;=6,"Medium",I7464&lt;=9,"Large")</f>
        <v>Medium</v>
      </c>
      <c r="K7464" s="36">
        <v>45060</v>
      </c>
      <c r="L7464" s="36">
        <v>45061</v>
      </c>
      <c r="M7464" t="s">
        <v>612</v>
      </c>
      <c r="N7464" t="s">
        <v>604</v>
      </c>
      <c r="O7464" s="37" t="str">
        <f t="shared" si="583"/>
        <v>Digital Payment</v>
      </c>
      <c r="P7464">
        <v>209.39</v>
      </c>
      <c r="Q7464" s="37" t="str">
        <f>IF(P7464&gt;500,"High","low")</f>
        <v>low</v>
      </c>
      <c r="R7464" s="37" t="str">
        <f t="shared" si="584"/>
        <v>AVERAGE</v>
      </c>
      <c r="S7464" t="s">
        <v>600</v>
      </c>
    </row>
    <row r="7465" spans="1:19" x14ac:dyDescent="0.2">
      <c r="A7465" t="s">
        <v>8076</v>
      </c>
      <c r="B7465" t="s">
        <v>75</v>
      </c>
      <c r="C7465" t="s">
        <v>614</v>
      </c>
      <c r="D7465">
        <v>1968.25</v>
      </c>
      <c r="E7465" s="37" t="str">
        <f t="shared" si="580"/>
        <v xml:space="preserve"> </v>
      </c>
      <c r="F7465">
        <v>0.31</v>
      </c>
      <c r="G7465" s="37" t="str">
        <f t="shared" si="581"/>
        <v>Heavy Discount</v>
      </c>
      <c r="H7465" s="37" t="str">
        <f t="shared" si="582"/>
        <v>Medium</v>
      </c>
      <c r="I7465">
        <v>2</v>
      </c>
      <c r="J7465" t="str" cm="1">
        <f t="array" ref="J7465">_xlfn.IFS(I7465&lt;=3,"small",I7465&lt;=6,"Medium",I7465&lt;=9,"Large")</f>
        <v>small</v>
      </c>
      <c r="K7465" s="36">
        <v>45388</v>
      </c>
      <c r="L7465" s="36">
        <v>45393</v>
      </c>
      <c r="M7465" t="s">
        <v>598</v>
      </c>
      <c r="N7465" t="s">
        <v>604</v>
      </c>
      <c r="O7465" s="37" t="str">
        <f t="shared" si="583"/>
        <v>Digital Payment</v>
      </c>
      <c r="P7465">
        <v>313.82</v>
      </c>
      <c r="Q7465" s="37" t="str">
        <f>IF(P7465&gt;500,"High","low")</f>
        <v>low</v>
      </c>
      <c r="R7465" s="37" t="str">
        <f t="shared" si="584"/>
        <v>AVERAGE</v>
      </c>
      <c r="S7465" t="s">
        <v>605</v>
      </c>
    </row>
    <row r="7466" spans="1:19" x14ac:dyDescent="0.2">
      <c r="A7466" t="s">
        <v>8077</v>
      </c>
      <c r="B7466" t="s">
        <v>75</v>
      </c>
      <c r="C7466" t="s">
        <v>607</v>
      </c>
      <c r="D7466">
        <v>1717.23</v>
      </c>
      <c r="E7466" s="37" t="str">
        <f t="shared" si="580"/>
        <v xml:space="preserve"> </v>
      </c>
      <c r="F7466">
        <v>0.43</v>
      </c>
      <c r="G7466" s="37" t="str">
        <f t="shared" si="581"/>
        <v>Heavy Discount</v>
      </c>
      <c r="H7466" s="37" t="str">
        <f t="shared" si="582"/>
        <v>High</v>
      </c>
      <c r="I7466">
        <v>1</v>
      </c>
      <c r="J7466" t="str" cm="1">
        <f t="array" ref="J7466">_xlfn.IFS(I7466&lt;=3,"small",I7466&lt;=6,"Medium",I7466&lt;=9,"Large")</f>
        <v>small</v>
      </c>
      <c r="K7466" s="36">
        <v>45332</v>
      </c>
      <c r="L7466" s="36">
        <v>45336</v>
      </c>
      <c r="M7466" t="s">
        <v>603</v>
      </c>
      <c r="N7466" t="s">
        <v>604</v>
      </c>
      <c r="O7466" s="37" t="str">
        <f t="shared" si="583"/>
        <v>Digital Payment</v>
      </c>
      <c r="P7466">
        <v>262.19</v>
      </c>
      <c r="Q7466" s="37" t="str">
        <f>IF(P7466&gt;500,"High","low")</f>
        <v>low</v>
      </c>
      <c r="R7466" s="37" t="str">
        <f t="shared" si="584"/>
        <v>AVERAGE</v>
      </c>
      <c r="S7466" t="s">
        <v>600</v>
      </c>
    </row>
    <row r="7467" spans="1:19" x14ac:dyDescent="0.2">
      <c r="A7467" t="s">
        <v>8078</v>
      </c>
      <c r="B7467" t="s">
        <v>90</v>
      </c>
      <c r="C7467" t="s">
        <v>614</v>
      </c>
      <c r="D7467">
        <v>997.45</v>
      </c>
      <c r="E7467" s="37" t="str">
        <f t="shared" si="580"/>
        <v xml:space="preserve"> </v>
      </c>
      <c r="F7467">
        <v>0.12</v>
      </c>
      <c r="G7467" s="37" t="str">
        <f t="shared" si="581"/>
        <v>Normal Discount</v>
      </c>
      <c r="H7467" s="37" t="str">
        <f t="shared" si="582"/>
        <v>Low</v>
      </c>
      <c r="I7467">
        <v>1</v>
      </c>
      <c r="J7467" t="str" cm="1">
        <f t="array" ref="J7467">_xlfn.IFS(I7467&lt;=3,"small",I7467&lt;=6,"Medium",I7467&lt;=9,"Large")</f>
        <v>small</v>
      </c>
      <c r="K7467" s="36">
        <v>45296</v>
      </c>
      <c r="L7467" s="36">
        <v>45299</v>
      </c>
      <c r="M7467" t="s">
        <v>598</v>
      </c>
      <c r="N7467" t="s">
        <v>604</v>
      </c>
      <c r="O7467" s="37" t="str">
        <f t="shared" si="583"/>
        <v>Digital Payment</v>
      </c>
      <c r="P7467">
        <v>275.54000000000002</v>
      </c>
      <c r="Q7467" s="37" t="str">
        <f>IF(P7467&gt;500,"High","low")</f>
        <v>low</v>
      </c>
      <c r="R7467" s="37" t="str">
        <f t="shared" si="584"/>
        <v>AVERAGE</v>
      </c>
      <c r="S7467" t="s">
        <v>605</v>
      </c>
    </row>
    <row r="7468" spans="1:19" x14ac:dyDescent="0.2">
      <c r="A7468" t="s">
        <v>8079</v>
      </c>
      <c r="B7468" t="s">
        <v>83</v>
      </c>
      <c r="C7468" t="s">
        <v>602</v>
      </c>
      <c r="D7468">
        <v>816.87</v>
      </c>
      <c r="E7468" s="37" t="str">
        <f t="shared" si="580"/>
        <v xml:space="preserve"> </v>
      </c>
      <c r="F7468">
        <v>0.23</v>
      </c>
      <c r="G7468" s="37" t="str">
        <f t="shared" si="581"/>
        <v>Normal Discount</v>
      </c>
      <c r="H7468" s="37" t="str">
        <f t="shared" si="582"/>
        <v>Medium</v>
      </c>
      <c r="I7468">
        <v>5</v>
      </c>
      <c r="J7468" t="str" cm="1">
        <f t="array" ref="J7468">_xlfn.IFS(I7468&lt;=3,"small",I7468&lt;=6,"Medium",I7468&lt;=9,"Large")</f>
        <v>Medium</v>
      </c>
      <c r="K7468" s="36">
        <v>45640</v>
      </c>
      <c r="L7468" s="36">
        <v>45646</v>
      </c>
      <c r="M7468" t="s">
        <v>598</v>
      </c>
      <c r="N7468" t="s">
        <v>599</v>
      </c>
      <c r="O7468" s="37" t="str">
        <f t="shared" si="583"/>
        <v>Digital Payment</v>
      </c>
      <c r="P7468">
        <v>44.79</v>
      </c>
      <c r="Q7468" s="37" t="str">
        <f>IF(P7468&gt;500,"High","low")</f>
        <v>low</v>
      </c>
      <c r="R7468" s="37" t="str">
        <f t="shared" si="584"/>
        <v>AVERAGE</v>
      </c>
      <c r="S7468" t="s">
        <v>600</v>
      </c>
    </row>
    <row r="7469" spans="1:19" x14ac:dyDescent="0.2">
      <c r="A7469" t="s">
        <v>8080</v>
      </c>
      <c r="B7469" t="s">
        <v>90</v>
      </c>
      <c r="C7469" t="s">
        <v>602</v>
      </c>
      <c r="D7469">
        <v>1759.98</v>
      </c>
      <c r="E7469" s="37" t="str">
        <f t="shared" si="580"/>
        <v xml:space="preserve"> </v>
      </c>
      <c r="F7469">
        <v>0.28999999999999998</v>
      </c>
      <c r="G7469" s="37" t="str">
        <f t="shared" si="581"/>
        <v>Normal Discount</v>
      </c>
      <c r="H7469" s="37" t="str">
        <f t="shared" si="582"/>
        <v>Medium</v>
      </c>
      <c r="I7469">
        <v>4</v>
      </c>
      <c r="J7469" t="str" cm="1">
        <f t="array" ref="J7469">_xlfn.IFS(I7469&lt;=3,"small",I7469&lt;=6,"Medium",I7469&lt;=9,"Large")</f>
        <v>Medium</v>
      </c>
      <c r="K7469" s="36">
        <v>45100</v>
      </c>
      <c r="L7469" s="36">
        <v>45106</v>
      </c>
      <c r="M7469" t="s">
        <v>598</v>
      </c>
      <c r="N7469" t="s">
        <v>599</v>
      </c>
      <c r="O7469" s="37" t="str">
        <f t="shared" si="583"/>
        <v>Digital Payment</v>
      </c>
      <c r="P7469">
        <v>494.84</v>
      </c>
      <c r="Q7469" s="37" t="str">
        <f>IF(P7469&gt;500,"High","low")</f>
        <v>low</v>
      </c>
      <c r="R7469" s="37" t="str">
        <f t="shared" si="584"/>
        <v>AVERAGE</v>
      </c>
      <c r="S7469" t="s">
        <v>605</v>
      </c>
    </row>
    <row r="7470" spans="1:19" x14ac:dyDescent="0.2">
      <c r="A7470" t="s">
        <v>8081</v>
      </c>
      <c r="B7470" t="s">
        <v>83</v>
      </c>
      <c r="C7470" t="s">
        <v>597</v>
      </c>
      <c r="D7470">
        <v>303.99</v>
      </c>
      <c r="E7470" s="37" t="str">
        <f t="shared" si="580"/>
        <v xml:space="preserve"> </v>
      </c>
      <c r="F7470">
        <v>0.32</v>
      </c>
      <c r="G7470" s="37" t="str">
        <f t="shared" si="581"/>
        <v>Heavy Discount</v>
      </c>
      <c r="H7470" s="37" t="str">
        <f t="shared" si="582"/>
        <v>Medium</v>
      </c>
      <c r="I7470">
        <v>5</v>
      </c>
      <c r="J7470" t="str" cm="1">
        <f t="array" ref="J7470">_xlfn.IFS(I7470&lt;=3,"small",I7470&lt;=6,"Medium",I7470&lt;=9,"Large")</f>
        <v>Medium</v>
      </c>
      <c r="K7470" s="36">
        <v>45222</v>
      </c>
      <c r="L7470" s="36">
        <v>45223</v>
      </c>
      <c r="M7470" t="s">
        <v>612</v>
      </c>
      <c r="N7470" t="s">
        <v>608</v>
      </c>
      <c r="O7470" s="37" t="str">
        <f t="shared" si="583"/>
        <v>Cash Payment</v>
      </c>
      <c r="P7470">
        <v>45.93</v>
      </c>
      <c r="Q7470" s="37" t="str">
        <f>IF(P7470&gt;500,"High","low")</f>
        <v>low</v>
      </c>
      <c r="R7470" s="37" t="str">
        <f t="shared" si="584"/>
        <v>AVERAGE</v>
      </c>
      <c r="S7470" t="s">
        <v>609</v>
      </c>
    </row>
    <row r="7471" spans="1:19" x14ac:dyDescent="0.2">
      <c r="A7471" t="s">
        <v>8082</v>
      </c>
      <c r="B7471" t="s">
        <v>67</v>
      </c>
      <c r="C7471" t="s">
        <v>614</v>
      </c>
      <c r="D7471">
        <v>2239.4699999999998</v>
      </c>
      <c r="E7471" s="37" t="str">
        <f t="shared" si="580"/>
        <v xml:space="preserve"> </v>
      </c>
      <c r="F7471">
        <v>0.49</v>
      </c>
      <c r="G7471" s="37" t="str">
        <f t="shared" si="581"/>
        <v>Heavy Discount</v>
      </c>
      <c r="H7471" s="37" t="str">
        <f t="shared" si="582"/>
        <v>High</v>
      </c>
      <c r="I7471">
        <v>6</v>
      </c>
      <c r="J7471" t="str" cm="1">
        <f t="array" ref="J7471">_xlfn.IFS(I7471&lt;=3,"small",I7471&lt;=6,"Medium",I7471&lt;=9,"Large")</f>
        <v>Medium</v>
      </c>
      <c r="K7471" s="36">
        <v>45236</v>
      </c>
      <c r="L7471" s="36">
        <v>45242</v>
      </c>
      <c r="M7471" t="s">
        <v>598</v>
      </c>
      <c r="N7471" t="s">
        <v>599</v>
      </c>
      <c r="O7471" s="37" t="str">
        <f t="shared" si="583"/>
        <v>Digital Payment</v>
      </c>
      <c r="P7471">
        <v>235.01</v>
      </c>
      <c r="Q7471" s="37" t="str">
        <f>IF(P7471&gt;500,"High","low")</f>
        <v>low</v>
      </c>
      <c r="R7471" s="37" t="str">
        <f t="shared" si="584"/>
        <v>AVERAGE</v>
      </c>
      <c r="S7471" t="s">
        <v>609</v>
      </c>
    </row>
    <row r="7472" spans="1:19" x14ac:dyDescent="0.2">
      <c r="A7472" t="s">
        <v>8083</v>
      </c>
      <c r="B7472" t="s">
        <v>83</v>
      </c>
      <c r="C7472" t="s">
        <v>617</v>
      </c>
      <c r="D7472">
        <v>3047.71</v>
      </c>
      <c r="E7472" s="37" t="str">
        <f t="shared" si="580"/>
        <v xml:space="preserve"> </v>
      </c>
      <c r="F7472">
        <v>0.42</v>
      </c>
      <c r="G7472" s="37" t="str">
        <f t="shared" si="581"/>
        <v>Heavy Discount</v>
      </c>
      <c r="H7472" s="37" t="str">
        <f t="shared" si="582"/>
        <v>High</v>
      </c>
      <c r="I7472">
        <v>1</v>
      </c>
      <c r="J7472" t="str" cm="1">
        <f t="array" ref="J7472">_xlfn.IFS(I7472&lt;=3,"small",I7472&lt;=6,"Medium",I7472&lt;=9,"Large")</f>
        <v>small</v>
      </c>
      <c r="K7472" s="36">
        <v>44972</v>
      </c>
      <c r="L7472" s="36">
        <v>44976</v>
      </c>
      <c r="M7472" t="s">
        <v>598</v>
      </c>
      <c r="N7472" t="s">
        <v>604</v>
      </c>
      <c r="O7472" s="37" t="str">
        <f t="shared" si="583"/>
        <v>Digital Payment</v>
      </c>
      <c r="P7472">
        <v>897.07</v>
      </c>
      <c r="Q7472" s="37" t="str">
        <f>IF(P7472&gt;500,"High","low")</f>
        <v>High</v>
      </c>
      <c r="R7472" s="37" t="str">
        <f t="shared" si="584"/>
        <v>Good</v>
      </c>
      <c r="S7472" t="s">
        <v>620</v>
      </c>
    </row>
    <row r="7473" spans="1:19" x14ac:dyDescent="0.2">
      <c r="A7473" t="s">
        <v>8084</v>
      </c>
      <c r="B7473" t="s">
        <v>83</v>
      </c>
      <c r="C7473" t="s">
        <v>617</v>
      </c>
      <c r="D7473">
        <v>4714.1099999999997</v>
      </c>
      <c r="E7473" s="37" t="str">
        <f t="shared" si="580"/>
        <v>Excellent Order</v>
      </c>
      <c r="F7473">
        <v>0.03</v>
      </c>
      <c r="G7473" s="37" t="str">
        <f t="shared" si="581"/>
        <v>Normal Discount</v>
      </c>
      <c r="H7473" s="37" t="str">
        <f t="shared" si="582"/>
        <v>Low</v>
      </c>
      <c r="I7473">
        <v>2</v>
      </c>
      <c r="J7473" t="str" cm="1">
        <f t="array" ref="J7473">_xlfn.IFS(I7473&lt;=3,"small",I7473&lt;=6,"Medium",I7473&lt;=9,"Large")</f>
        <v>small</v>
      </c>
      <c r="K7473" s="36">
        <v>45346</v>
      </c>
      <c r="L7473" s="36">
        <v>45348</v>
      </c>
      <c r="M7473" t="s">
        <v>603</v>
      </c>
      <c r="N7473" t="s">
        <v>604</v>
      </c>
      <c r="O7473" s="37" t="str">
        <f t="shared" si="583"/>
        <v>Digital Payment</v>
      </c>
      <c r="P7473">
        <v>1313.11</v>
      </c>
      <c r="Q7473" s="37" t="str">
        <f>IF(P7473&gt;500,"High","low")</f>
        <v>High</v>
      </c>
      <c r="R7473" s="37" t="str">
        <f t="shared" si="584"/>
        <v>Excellent</v>
      </c>
      <c r="S7473" t="s">
        <v>605</v>
      </c>
    </row>
    <row r="7474" spans="1:19" x14ac:dyDescent="0.2">
      <c r="A7474" t="s">
        <v>8085</v>
      </c>
      <c r="B7474" t="s">
        <v>83</v>
      </c>
      <c r="C7474" t="s">
        <v>607</v>
      </c>
      <c r="D7474">
        <v>3166.56</v>
      </c>
      <c r="E7474" s="37" t="str">
        <f t="shared" si="580"/>
        <v xml:space="preserve"> </v>
      </c>
      <c r="F7474">
        <v>0.08</v>
      </c>
      <c r="G7474" s="37" t="str">
        <f t="shared" si="581"/>
        <v>Normal Discount</v>
      </c>
      <c r="H7474" s="37" t="str">
        <f t="shared" si="582"/>
        <v>Low</v>
      </c>
      <c r="I7474">
        <v>2</v>
      </c>
      <c r="J7474" t="str" cm="1">
        <f t="array" ref="J7474">_xlfn.IFS(I7474&lt;=3,"small",I7474&lt;=6,"Medium",I7474&lt;=9,"Large")</f>
        <v>small</v>
      </c>
      <c r="K7474" s="36">
        <v>45557</v>
      </c>
      <c r="L7474" s="36">
        <v>45564</v>
      </c>
      <c r="M7474" t="s">
        <v>598</v>
      </c>
      <c r="N7474" t="s">
        <v>604</v>
      </c>
      <c r="O7474" s="37" t="str">
        <f t="shared" si="583"/>
        <v>Digital Payment</v>
      </c>
      <c r="P7474">
        <v>656.39</v>
      </c>
      <c r="Q7474" s="37" t="str">
        <f>IF(P7474&gt;500,"High","low")</f>
        <v>High</v>
      </c>
      <c r="R7474" s="37" t="str">
        <f t="shared" si="584"/>
        <v>Good</v>
      </c>
      <c r="S7474" t="s">
        <v>615</v>
      </c>
    </row>
    <row r="7475" spans="1:19" x14ac:dyDescent="0.2">
      <c r="A7475" t="s">
        <v>8086</v>
      </c>
      <c r="B7475" t="s">
        <v>75</v>
      </c>
      <c r="C7475" t="s">
        <v>597</v>
      </c>
      <c r="D7475">
        <v>3157.97</v>
      </c>
      <c r="E7475" s="37" t="str">
        <f t="shared" si="580"/>
        <v xml:space="preserve"> </v>
      </c>
      <c r="F7475">
        <v>0.33</v>
      </c>
      <c r="G7475" s="37" t="str">
        <f t="shared" si="581"/>
        <v>Heavy Discount</v>
      </c>
      <c r="H7475" s="37" t="str">
        <f t="shared" si="582"/>
        <v>Medium</v>
      </c>
      <c r="I7475">
        <v>5</v>
      </c>
      <c r="J7475" t="str" cm="1">
        <f t="array" ref="J7475">_xlfn.IFS(I7475&lt;=3,"small",I7475&lt;=6,"Medium",I7475&lt;=9,"Large")</f>
        <v>Medium</v>
      </c>
      <c r="K7475" s="36">
        <v>45223</v>
      </c>
      <c r="L7475" s="36">
        <v>45225</v>
      </c>
      <c r="M7475" t="s">
        <v>598</v>
      </c>
      <c r="N7475" t="s">
        <v>608</v>
      </c>
      <c r="O7475" s="37" t="str">
        <f t="shared" si="583"/>
        <v>Cash Payment</v>
      </c>
      <c r="P7475">
        <v>228.79</v>
      </c>
      <c r="Q7475" s="37" t="str">
        <f>IF(P7475&gt;500,"High","low")</f>
        <v>low</v>
      </c>
      <c r="R7475" s="37" t="str">
        <f t="shared" si="584"/>
        <v>AVERAGE</v>
      </c>
      <c r="S7475" t="s">
        <v>609</v>
      </c>
    </row>
    <row r="7476" spans="1:19" x14ac:dyDescent="0.2">
      <c r="A7476" t="s">
        <v>8087</v>
      </c>
      <c r="B7476" t="s">
        <v>83</v>
      </c>
      <c r="C7476" t="s">
        <v>617</v>
      </c>
      <c r="D7476">
        <v>1934.63</v>
      </c>
      <c r="E7476" s="37" t="str">
        <f t="shared" si="580"/>
        <v xml:space="preserve"> </v>
      </c>
      <c r="F7476">
        <v>0.12</v>
      </c>
      <c r="G7476" s="37" t="str">
        <f t="shared" si="581"/>
        <v>Normal Discount</v>
      </c>
      <c r="H7476" s="37" t="str">
        <f t="shared" si="582"/>
        <v>Low</v>
      </c>
      <c r="I7476">
        <v>9</v>
      </c>
      <c r="J7476" t="str" cm="1">
        <f t="array" ref="J7476">_xlfn.IFS(I7476&lt;=3,"small",I7476&lt;=6,"Medium",I7476&lt;=9,"Large")</f>
        <v>Large</v>
      </c>
      <c r="K7476" s="36">
        <v>45097</v>
      </c>
      <c r="L7476" s="36">
        <v>45100</v>
      </c>
      <c r="M7476" t="s">
        <v>612</v>
      </c>
      <c r="N7476" t="s">
        <v>599</v>
      </c>
      <c r="O7476" s="37" t="str">
        <f t="shared" si="583"/>
        <v>Digital Payment</v>
      </c>
      <c r="P7476">
        <v>470.09</v>
      </c>
      <c r="Q7476" s="37" t="str">
        <f>IF(P7476&gt;500,"High","low")</f>
        <v>low</v>
      </c>
      <c r="R7476" s="37" t="str">
        <f t="shared" si="584"/>
        <v>AVERAGE</v>
      </c>
      <c r="S7476" t="s">
        <v>628</v>
      </c>
    </row>
    <row r="7477" spans="1:19" x14ac:dyDescent="0.2">
      <c r="A7477" t="s">
        <v>8088</v>
      </c>
      <c r="B7477" t="s">
        <v>67</v>
      </c>
      <c r="C7477" t="s">
        <v>607</v>
      </c>
      <c r="D7477">
        <v>753.25</v>
      </c>
      <c r="E7477" s="37" t="str">
        <f t="shared" si="580"/>
        <v xml:space="preserve"> </v>
      </c>
      <c r="F7477">
        <v>0.08</v>
      </c>
      <c r="G7477" s="37" t="str">
        <f t="shared" si="581"/>
        <v>Normal Discount</v>
      </c>
      <c r="H7477" s="37" t="str">
        <f t="shared" si="582"/>
        <v>Low</v>
      </c>
      <c r="I7477">
        <v>7</v>
      </c>
      <c r="J7477" t="str" cm="1">
        <f t="array" ref="J7477">_xlfn.IFS(I7477&lt;=3,"small",I7477&lt;=6,"Medium",I7477&lt;=9,"Large")</f>
        <v>Large</v>
      </c>
      <c r="K7477" s="36">
        <v>45243</v>
      </c>
      <c r="L7477" s="36">
        <v>45250</v>
      </c>
      <c r="M7477" t="s">
        <v>598</v>
      </c>
      <c r="N7477" t="s">
        <v>604</v>
      </c>
      <c r="O7477" s="37" t="str">
        <f t="shared" si="583"/>
        <v>Digital Payment</v>
      </c>
      <c r="P7477">
        <v>52.21</v>
      </c>
      <c r="Q7477" s="37" t="str">
        <f>IF(P7477&gt;500,"High","low")</f>
        <v>low</v>
      </c>
      <c r="R7477" s="37" t="str">
        <f t="shared" si="584"/>
        <v>AVERAGE</v>
      </c>
      <c r="S7477" t="s">
        <v>600</v>
      </c>
    </row>
    <row r="7478" spans="1:19" x14ac:dyDescent="0.2">
      <c r="A7478" t="s">
        <v>8089</v>
      </c>
      <c r="B7478" t="s">
        <v>67</v>
      </c>
      <c r="C7478" t="s">
        <v>614</v>
      </c>
      <c r="D7478">
        <v>2289.9899999999998</v>
      </c>
      <c r="E7478" s="37" t="str">
        <f t="shared" si="580"/>
        <v xml:space="preserve"> </v>
      </c>
      <c r="F7478">
        <v>0.33</v>
      </c>
      <c r="G7478" s="37" t="str">
        <f t="shared" si="581"/>
        <v>Heavy Discount</v>
      </c>
      <c r="H7478" s="37" t="str">
        <f t="shared" si="582"/>
        <v>Medium</v>
      </c>
      <c r="I7478">
        <v>4</v>
      </c>
      <c r="J7478" t="str" cm="1">
        <f t="array" ref="J7478">_xlfn.IFS(I7478&lt;=3,"small",I7478&lt;=6,"Medium",I7478&lt;=9,"Large")</f>
        <v>Medium</v>
      </c>
      <c r="K7478" s="36">
        <v>45199</v>
      </c>
      <c r="L7478" s="36">
        <v>45204</v>
      </c>
      <c r="M7478" t="s">
        <v>598</v>
      </c>
      <c r="N7478" t="s">
        <v>608</v>
      </c>
      <c r="O7478" s="37" t="str">
        <f t="shared" si="583"/>
        <v>Cash Payment</v>
      </c>
      <c r="P7478">
        <v>263.45</v>
      </c>
      <c r="Q7478" s="37" t="str">
        <f>IF(P7478&gt;500,"High","low")</f>
        <v>low</v>
      </c>
      <c r="R7478" s="37" t="str">
        <f t="shared" si="584"/>
        <v>AVERAGE</v>
      </c>
      <c r="S7478" t="s">
        <v>620</v>
      </c>
    </row>
    <row r="7479" spans="1:19" x14ac:dyDescent="0.2">
      <c r="A7479" t="s">
        <v>8090</v>
      </c>
      <c r="B7479" t="s">
        <v>67</v>
      </c>
      <c r="C7479" t="s">
        <v>597</v>
      </c>
      <c r="D7479">
        <v>3033.51</v>
      </c>
      <c r="E7479" s="37" t="str">
        <f t="shared" si="580"/>
        <v xml:space="preserve"> </v>
      </c>
      <c r="F7479">
        <v>0.27</v>
      </c>
      <c r="G7479" s="37" t="str">
        <f t="shared" si="581"/>
        <v>Normal Discount</v>
      </c>
      <c r="H7479" s="37" t="str">
        <f t="shared" si="582"/>
        <v>Medium</v>
      </c>
      <c r="I7479">
        <v>5</v>
      </c>
      <c r="J7479" t="str" cm="1">
        <f t="array" ref="J7479">_xlfn.IFS(I7479&lt;=3,"small",I7479&lt;=6,"Medium",I7479&lt;=9,"Large")</f>
        <v>Medium</v>
      </c>
      <c r="K7479" s="36">
        <v>45631</v>
      </c>
      <c r="L7479" s="36">
        <v>45635</v>
      </c>
      <c r="M7479" t="s">
        <v>598</v>
      </c>
      <c r="N7479" t="s">
        <v>599</v>
      </c>
      <c r="O7479" s="37" t="str">
        <f t="shared" si="583"/>
        <v>Digital Payment</v>
      </c>
      <c r="P7479">
        <v>610.08000000000004</v>
      </c>
      <c r="Q7479" s="37" t="str">
        <f>IF(P7479&gt;500,"High","low")</f>
        <v>High</v>
      </c>
      <c r="R7479" s="37" t="str">
        <f t="shared" si="584"/>
        <v>Good</v>
      </c>
      <c r="S7479" t="s">
        <v>628</v>
      </c>
    </row>
    <row r="7480" spans="1:19" x14ac:dyDescent="0.2">
      <c r="A7480" t="s">
        <v>8091</v>
      </c>
      <c r="B7480" t="s">
        <v>83</v>
      </c>
      <c r="C7480" t="s">
        <v>597</v>
      </c>
      <c r="D7480">
        <v>3647.76</v>
      </c>
      <c r="E7480" s="37" t="str">
        <f t="shared" si="580"/>
        <v xml:space="preserve"> </v>
      </c>
      <c r="F7480">
        <v>0.4</v>
      </c>
      <c r="G7480" s="37" t="str">
        <f t="shared" si="581"/>
        <v>Heavy Discount</v>
      </c>
      <c r="H7480" s="37" t="str">
        <f t="shared" si="582"/>
        <v>Medium</v>
      </c>
      <c r="I7480">
        <v>7</v>
      </c>
      <c r="J7480" t="str" cm="1">
        <f t="array" ref="J7480">_xlfn.IFS(I7480&lt;=3,"small",I7480&lt;=6,"Medium",I7480&lt;=9,"Large")</f>
        <v>Large</v>
      </c>
      <c r="K7480" s="36">
        <v>45441</v>
      </c>
      <c r="L7480" s="36">
        <v>45447</v>
      </c>
      <c r="M7480" t="s">
        <v>603</v>
      </c>
      <c r="N7480" t="s">
        <v>608</v>
      </c>
      <c r="O7480" s="37" t="str">
        <f t="shared" si="583"/>
        <v>Cash Payment</v>
      </c>
      <c r="P7480">
        <v>214.29</v>
      </c>
      <c r="Q7480" s="37" t="str">
        <f>IF(P7480&gt;500,"High","low")</f>
        <v>low</v>
      </c>
      <c r="R7480" s="37" t="str">
        <f t="shared" si="584"/>
        <v>AVERAGE</v>
      </c>
      <c r="S7480" t="s">
        <v>628</v>
      </c>
    </row>
    <row r="7481" spans="1:19" x14ac:dyDescent="0.2">
      <c r="A7481" t="s">
        <v>8092</v>
      </c>
      <c r="B7481" t="s">
        <v>90</v>
      </c>
      <c r="C7481" t="s">
        <v>602</v>
      </c>
      <c r="D7481">
        <v>4147.83</v>
      </c>
      <c r="E7481" s="37" t="str">
        <f t="shared" si="580"/>
        <v xml:space="preserve"> </v>
      </c>
      <c r="F7481">
        <v>0.16</v>
      </c>
      <c r="G7481" s="37" t="str">
        <f t="shared" si="581"/>
        <v>Normal Discount</v>
      </c>
      <c r="H7481" s="37" t="str">
        <f t="shared" si="582"/>
        <v>Low</v>
      </c>
      <c r="I7481">
        <v>9</v>
      </c>
      <c r="J7481" t="str" cm="1">
        <f t="array" ref="J7481">_xlfn.IFS(I7481&lt;=3,"small",I7481&lt;=6,"Medium",I7481&lt;=9,"Large")</f>
        <v>Large</v>
      </c>
      <c r="K7481" s="36">
        <v>45004</v>
      </c>
      <c r="L7481" s="36">
        <v>45009</v>
      </c>
      <c r="M7481" t="s">
        <v>598</v>
      </c>
      <c r="N7481" t="s">
        <v>599</v>
      </c>
      <c r="O7481" s="37" t="str">
        <f t="shared" si="583"/>
        <v>Digital Payment</v>
      </c>
      <c r="P7481">
        <v>515.91999999999996</v>
      </c>
      <c r="Q7481" s="37" t="str">
        <f>IF(P7481&gt;500,"High","low")</f>
        <v>High</v>
      </c>
      <c r="R7481" s="37" t="str">
        <f t="shared" si="584"/>
        <v>Good</v>
      </c>
      <c r="S7481" t="s">
        <v>615</v>
      </c>
    </row>
    <row r="7482" spans="1:19" x14ac:dyDescent="0.2">
      <c r="A7482" t="s">
        <v>8093</v>
      </c>
      <c r="B7482" t="s">
        <v>90</v>
      </c>
      <c r="C7482" t="s">
        <v>614</v>
      </c>
      <c r="D7482">
        <v>1354.05</v>
      </c>
      <c r="E7482" s="37" t="str">
        <f t="shared" si="580"/>
        <v xml:space="preserve"> </v>
      </c>
      <c r="F7482">
        <v>0.16</v>
      </c>
      <c r="G7482" s="37" t="str">
        <f t="shared" si="581"/>
        <v>Normal Discount</v>
      </c>
      <c r="H7482" s="37" t="str">
        <f t="shared" si="582"/>
        <v>Low</v>
      </c>
      <c r="I7482">
        <v>7</v>
      </c>
      <c r="J7482" t="str" cm="1">
        <f t="array" ref="J7482">_xlfn.IFS(I7482&lt;=3,"small",I7482&lt;=6,"Medium",I7482&lt;=9,"Large")</f>
        <v>Large</v>
      </c>
      <c r="K7482" s="36">
        <v>45129</v>
      </c>
      <c r="L7482" s="36">
        <v>45135</v>
      </c>
      <c r="M7482" t="s">
        <v>612</v>
      </c>
      <c r="N7482" t="s">
        <v>608</v>
      </c>
      <c r="O7482" s="37" t="str">
        <f t="shared" si="583"/>
        <v>Cash Payment</v>
      </c>
      <c r="P7482">
        <v>188.95</v>
      </c>
      <c r="Q7482" s="37" t="str">
        <f>IF(P7482&gt;500,"High","low")</f>
        <v>low</v>
      </c>
      <c r="R7482" s="37" t="str">
        <f t="shared" si="584"/>
        <v>AVERAGE</v>
      </c>
      <c r="S7482" t="s">
        <v>605</v>
      </c>
    </row>
    <row r="7483" spans="1:19" x14ac:dyDescent="0.2">
      <c r="A7483" t="s">
        <v>8094</v>
      </c>
      <c r="B7483" t="s">
        <v>67</v>
      </c>
      <c r="C7483" t="s">
        <v>597</v>
      </c>
      <c r="D7483">
        <v>1281.98</v>
      </c>
      <c r="E7483" s="37" t="str">
        <f t="shared" si="580"/>
        <v xml:space="preserve"> </v>
      </c>
      <c r="F7483">
        <v>0.08</v>
      </c>
      <c r="G7483" s="37" t="str">
        <f t="shared" si="581"/>
        <v>Normal Discount</v>
      </c>
      <c r="H7483" s="37" t="str">
        <f t="shared" si="582"/>
        <v>Low</v>
      </c>
      <c r="I7483">
        <v>2</v>
      </c>
      <c r="J7483" t="str" cm="1">
        <f t="array" ref="J7483">_xlfn.IFS(I7483&lt;=3,"small",I7483&lt;=6,"Medium",I7483&lt;=9,"Large")</f>
        <v>small</v>
      </c>
      <c r="K7483" s="36">
        <v>44956</v>
      </c>
      <c r="L7483" s="36">
        <v>44962</v>
      </c>
      <c r="M7483" t="s">
        <v>612</v>
      </c>
      <c r="N7483" t="s">
        <v>608</v>
      </c>
      <c r="O7483" s="37" t="str">
        <f t="shared" si="583"/>
        <v>Cash Payment</v>
      </c>
      <c r="P7483">
        <v>80.58</v>
      </c>
      <c r="Q7483" s="37" t="str">
        <f>IF(P7483&gt;500,"High","low")</f>
        <v>low</v>
      </c>
      <c r="R7483" s="37" t="str">
        <f t="shared" si="584"/>
        <v>AVERAGE</v>
      </c>
      <c r="S7483" t="s">
        <v>605</v>
      </c>
    </row>
    <row r="7484" spans="1:19" x14ac:dyDescent="0.2">
      <c r="A7484" t="s">
        <v>8095</v>
      </c>
      <c r="B7484" t="s">
        <v>75</v>
      </c>
      <c r="C7484" t="s">
        <v>607</v>
      </c>
      <c r="D7484">
        <v>2869.97</v>
      </c>
      <c r="E7484" s="37" t="str">
        <f t="shared" si="580"/>
        <v xml:space="preserve"> </v>
      </c>
      <c r="F7484">
        <v>0.33</v>
      </c>
      <c r="G7484" s="37" t="str">
        <f t="shared" si="581"/>
        <v>Heavy Discount</v>
      </c>
      <c r="H7484" s="37" t="str">
        <f t="shared" si="582"/>
        <v>Medium</v>
      </c>
      <c r="I7484">
        <v>4</v>
      </c>
      <c r="J7484" t="str" cm="1">
        <f t="array" ref="J7484">_xlfn.IFS(I7484&lt;=3,"small",I7484&lt;=6,"Medium",I7484&lt;=9,"Large")</f>
        <v>Medium</v>
      </c>
      <c r="K7484" s="36">
        <v>44947</v>
      </c>
      <c r="L7484" s="36">
        <v>44953</v>
      </c>
      <c r="M7484" t="s">
        <v>603</v>
      </c>
      <c r="N7484" t="s">
        <v>599</v>
      </c>
      <c r="O7484" s="37" t="str">
        <f t="shared" si="583"/>
        <v>Digital Payment</v>
      </c>
      <c r="P7484">
        <v>549.4</v>
      </c>
      <c r="Q7484" s="37" t="str">
        <f>IF(P7484&gt;500,"High","low")</f>
        <v>High</v>
      </c>
      <c r="R7484" s="37" t="str">
        <f t="shared" si="584"/>
        <v>Good</v>
      </c>
      <c r="S7484" t="s">
        <v>600</v>
      </c>
    </row>
    <row r="7485" spans="1:19" x14ac:dyDescent="0.2">
      <c r="A7485" t="s">
        <v>8096</v>
      </c>
      <c r="B7485" t="s">
        <v>90</v>
      </c>
      <c r="C7485" t="s">
        <v>617</v>
      </c>
      <c r="D7485">
        <v>2873.47</v>
      </c>
      <c r="E7485" s="37" t="str">
        <f t="shared" si="580"/>
        <v xml:space="preserve"> </v>
      </c>
      <c r="F7485">
        <v>0.35</v>
      </c>
      <c r="G7485" s="37" t="str">
        <f t="shared" si="581"/>
        <v>Heavy Discount</v>
      </c>
      <c r="H7485" s="37" t="str">
        <f t="shared" si="582"/>
        <v>Medium</v>
      </c>
      <c r="I7485">
        <v>4</v>
      </c>
      <c r="J7485" t="str" cm="1">
        <f t="array" ref="J7485">_xlfn.IFS(I7485&lt;=3,"small",I7485&lt;=6,"Medium",I7485&lt;=9,"Large")</f>
        <v>Medium</v>
      </c>
      <c r="K7485" s="36">
        <v>45070</v>
      </c>
      <c r="L7485" s="36">
        <v>45074</v>
      </c>
      <c r="M7485" t="s">
        <v>598</v>
      </c>
      <c r="N7485" t="s">
        <v>608</v>
      </c>
      <c r="O7485" s="37" t="str">
        <f t="shared" si="583"/>
        <v>Cash Payment</v>
      </c>
      <c r="P7485">
        <v>628.79999999999995</v>
      </c>
      <c r="Q7485" s="37" t="str">
        <f>IF(P7485&gt;500,"High","low")</f>
        <v>High</v>
      </c>
      <c r="R7485" s="37" t="str">
        <f t="shared" si="584"/>
        <v>Good</v>
      </c>
      <c r="S7485" t="s">
        <v>600</v>
      </c>
    </row>
    <row r="7486" spans="1:19" x14ac:dyDescent="0.2">
      <c r="A7486" t="s">
        <v>8097</v>
      </c>
      <c r="B7486" t="s">
        <v>83</v>
      </c>
      <c r="C7486" t="s">
        <v>614</v>
      </c>
      <c r="D7486">
        <v>1167.94</v>
      </c>
      <c r="E7486" s="37" t="str">
        <f t="shared" si="580"/>
        <v xml:space="preserve"> </v>
      </c>
      <c r="F7486">
        <v>7.0000000000000007E-2</v>
      </c>
      <c r="G7486" s="37" t="str">
        <f t="shared" si="581"/>
        <v>Normal Discount</v>
      </c>
      <c r="H7486" s="37" t="str">
        <f t="shared" si="582"/>
        <v>Low</v>
      </c>
      <c r="I7486">
        <v>9</v>
      </c>
      <c r="J7486" t="str" cm="1">
        <f t="array" ref="J7486">_xlfn.IFS(I7486&lt;=3,"small",I7486&lt;=6,"Medium",I7486&lt;=9,"Large")</f>
        <v>Large</v>
      </c>
      <c r="K7486" s="36">
        <v>45498</v>
      </c>
      <c r="L7486" s="36">
        <v>45505</v>
      </c>
      <c r="M7486" t="s">
        <v>603</v>
      </c>
      <c r="N7486" t="s">
        <v>608</v>
      </c>
      <c r="O7486" s="37" t="str">
        <f t="shared" si="583"/>
        <v>Cash Payment</v>
      </c>
      <c r="P7486">
        <v>85.96</v>
      </c>
      <c r="Q7486" s="37" t="str">
        <f>IF(P7486&gt;500,"High","low")</f>
        <v>low</v>
      </c>
      <c r="R7486" s="37" t="str">
        <f t="shared" si="584"/>
        <v>AVERAGE</v>
      </c>
      <c r="S7486" t="s">
        <v>609</v>
      </c>
    </row>
    <row r="7487" spans="1:19" x14ac:dyDescent="0.2">
      <c r="A7487" t="s">
        <v>8098</v>
      </c>
      <c r="B7487" t="s">
        <v>90</v>
      </c>
      <c r="C7487" t="s">
        <v>614</v>
      </c>
      <c r="D7487">
        <v>2978.63</v>
      </c>
      <c r="E7487" s="37" t="str">
        <f t="shared" si="580"/>
        <v xml:space="preserve"> </v>
      </c>
      <c r="F7487">
        <v>0.13</v>
      </c>
      <c r="G7487" s="37" t="str">
        <f t="shared" si="581"/>
        <v>Normal Discount</v>
      </c>
      <c r="H7487" s="37" t="str">
        <f t="shared" si="582"/>
        <v>Low</v>
      </c>
      <c r="I7487">
        <v>8</v>
      </c>
      <c r="J7487" t="str" cm="1">
        <f t="array" ref="J7487">_xlfn.IFS(I7487&lt;=3,"small",I7487&lt;=6,"Medium",I7487&lt;=9,"Large")</f>
        <v>Large</v>
      </c>
      <c r="K7487" s="36">
        <v>45553</v>
      </c>
      <c r="L7487" s="36">
        <v>45555</v>
      </c>
      <c r="M7487" t="s">
        <v>598</v>
      </c>
      <c r="N7487" t="s">
        <v>604</v>
      </c>
      <c r="O7487" s="37" t="str">
        <f t="shared" si="583"/>
        <v>Digital Payment</v>
      </c>
      <c r="P7487">
        <v>428.47</v>
      </c>
      <c r="Q7487" s="37" t="str">
        <f>IF(P7487&gt;500,"High","low")</f>
        <v>low</v>
      </c>
      <c r="R7487" s="37" t="str">
        <f t="shared" si="584"/>
        <v>AVERAGE</v>
      </c>
      <c r="S7487" t="s">
        <v>609</v>
      </c>
    </row>
    <row r="7488" spans="1:19" x14ac:dyDescent="0.2">
      <c r="A7488" t="s">
        <v>8099</v>
      </c>
      <c r="B7488" t="s">
        <v>67</v>
      </c>
      <c r="C7488" t="s">
        <v>597</v>
      </c>
      <c r="D7488">
        <v>1794.81</v>
      </c>
      <c r="E7488" s="37" t="str">
        <f t="shared" si="580"/>
        <v xml:space="preserve"> </v>
      </c>
      <c r="F7488">
        <v>0.08</v>
      </c>
      <c r="G7488" s="37" t="str">
        <f t="shared" si="581"/>
        <v>Normal Discount</v>
      </c>
      <c r="H7488" s="37" t="str">
        <f t="shared" si="582"/>
        <v>Low</v>
      </c>
      <c r="I7488">
        <v>6</v>
      </c>
      <c r="J7488" t="str" cm="1">
        <f t="array" ref="J7488">_xlfn.IFS(I7488&lt;=3,"small",I7488&lt;=6,"Medium",I7488&lt;=9,"Large")</f>
        <v>Medium</v>
      </c>
      <c r="K7488" s="36">
        <v>45319</v>
      </c>
      <c r="L7488" s="36">
        <v>45321</v>
      </c>
      <c r="M7488" t="s">
        <v>612</v>
      </c>
      <c r="N7488" t="s">
        <v>604</v>
      </c>
      <c r="O7488" s="37" t="str">
        <f t="shared" si="583"/>
        <v>Digital Payment</v>
      </c>
      <c r="P7488">
        <v>232.85</v>
      </c>
      <c r="Q7488" s="37" t="str">
        <f>IF(P7488&gt;500,"High","low")</f>
        <v>low</v>
      </c>
      <c r="R7488" s="37" t="str">
        <f t="shared" si="584"/>
        <v>AVERAGE</v>
      </c>
      <c r="S7488" t="s">
        <v>628</v>
      </c>
    </row>
    <row r="7489" spans="1:19" x14ac:dyDescent="0.2">
      <c r="A7489" t="s">
        <v>8100</v>
      </c>
      <c r="B7489" t="s">
        <v>75</v>
      </c>
      <c r="C7489" t="s">
        <v>597</v>
      </c>
      <c r="D7489">
        <v>3232.64</v>
      </c>
      <c r="E7489" s="37" t="str">
        <f t="shared" si="580"/>
        <v xml:space="preserve"> </v>
      </c>
      <c r="F7489">
        <v>0.37</v>
      </c>
      <c r="G7489" s="37" t="str">
        <f t="shared" si="581"/>
        <v>Heavy Discount</v>
      </c>
      <c r="H7489" s="37" t="str">
        <f t="shared" si="582"/>
        <v>Medium</v>
      </c>
      <c r="I7489">
        <v>8</v>
      </c>
      <c r="J7489" t="str" cm="1">
        <f t="array" ref="J7489">_xlfn.IFS(I7489&lt;=3,"small",I7489&lt;=6,"Medium",I7489&lt;=9,"Large")</f>
        <v>Large</v>
      </c>
      <c r="K7489" s="36">
        <v>45504</v>
      </c>
      <c r="L7489" s="36">
        <v>45511</v>
      </c>
      <c r="M7489" t="s">
        <v>598</v>
      </c>
      <c r="N7489" t="s">
        <v>604</v>
      </c>
      <c r="O7489" s="37" t="str">
        <f t="shared" si="583"/>
        <v>Digital Payment</v>
      </c>
      <c r="P7489">
        <v>558.65</v>
      </c>
      <c r="Q7489" s="37" t="str">
        <f>IF(P7489&gt;500,"High","low")</f>
        <v>High</v>
      </c>
      <c r="R7489" s="37" t="str">
        <f t="shared" si="584"/>
        <v>Good</v>
      </c>
      <c r="S7489" t="s">
        <v>628</v>
      </c>
    </row>
    <row r="7490" spans="1:19" x14ac:dyDescent="0.2">
      <c r="A7490" t="s">
        <v>8101</v>
      </c>
      <c r="B7490" t="s">
        <v>90</v>
      </c>
      <c r="C7490" t="s">
        <v>597</v>
      </c>
      <c r="D7490">
        <v>1526.12</v>
      </c>
      <c r="E7490" s="37" t="str">
        <f t="shared" si="580"/>
        <v xml:space="preserve"> </v>
      </c>
      <c r="F7490">
        <v>0.1</v>
      </c>
      <c r="G7490" s="37" t="str">
        <f t="shared" si="581"/>
        <v>Normal Discount</v>
      </c>
      <c r="H7490" s="37" t="str">
        <f t="shared" si="582"/>
        <v>Low</v>
      </c>
      <c r="I7490">
        <v>7</v>
      </c>
      <c r="J7490" t="str" cm="1">
        <f t="array" ref="J7490">_xlfn.IFS(I7490&lt;=3,"small",I7490&lt;=6,"Medium",I7490&lt;=9,"Large")</f>
        <v>Large</v>
      </c>
      <c r="K7490" s="36">
        <v>45288</v>
      </c>
      <c r="L7490" s="36">
        <v>45293</v>
      </c>
      <c r="M7490" t="s">
        <v>603</v>
      </c>
      <c r="N7490" t="s">
        <v>604</v>
      </c>
      <c r="O7490" s="37" t="str">
        <f t="shared" si="583"/>
        <v>Digital Payment</v>
      </c>
      <c r="P7490">
        <v>432.18</v>
      </c>
      <c r="Q7490" s="37" t="str">
        <f>IF(P7490&gt;500,"High","low")</f>
        <v>low</v>
      </c>
      <c r="R7490" s="37" t="str">
        <f t="shared" si="584"/>
        <v>AVERAGE</v>
      </c>
      <c r="S7490" t="s">
        <v>628</v>
      </c>
    </row>
    <row r="7491" spans="1:19" x14ac:dyDescent="0.2">
      <c r="A7491" t="s">
        <v>8102</v>
      </c>
      <c r="B7491" t="s">
        <v>90</v>
      </c>
      <c r="C7491" t="s">
        <v>607</v>
      </c>
      <c r="D7491">
        <v>3002.23</v>
      </c>
      <c r="E7491" s="37" t="str">
        <f t="shared" ref="E7491:E7554" si="585">IF(AND(D7491&gt;4000,P7491&gt;800),"Excellent Order"," ")</f>
        <v xml:space="preserve"> </v>
      </c>
      <c r="F7491">
        <v>0.08</v>
      </c>
      <c r="G7491" s="37" t="str">
        <f t="shared" ref="G7491:G7554" si="586">IF(F7491&gt;30%,"Heavy Discount","Normal Discount")</f>
        <v>Normal Discount</v>
      </c>
      <c r="H7491" s="37" t="str">
        <f t="shared" ref="H7491:H7554" si="587">IF(F7491&gt;0.4,"High",IF(F7491&gt;=0.2,"Medium","Low"))</f>
        <v>Low</v>
      </c>
      <c r="I7491">
        <v>8</v>
      </c>
      <c r="J7491" t="str" cm="1">
        <f t="array" ref="J7491">_xlfn.IFS(I7491&lt;=3,"small",I7491&lt;=6,"Medium",I7491&lt;=9,"Large")</f>
        <v>Large</v>
      </c>
      <c r="K7491" s="36">
        <v>45249</v>
      </c>
      <c r="L7491" s="36">
        <v>45254</v>
      </c>
      <c r="M7491" t="s">
        <v>603</v>
      </c>
      <c r="N7491" t="s">
        <v>599</v>
      </c>
      <c r="O7491" s="37" t="str">
        <f t="shared" ref="O7491:O7554" si="588">IF(OR(N7491="Card",N7491="UPI"),"Digital Payment","Cash Payment")</f>
        <v>Digital Payment</v>
      </c>
      <c r="P7491">
        <v>517.16</v>
      </c>
      <c r="Q7491" s="37" t="str">
        <f>IF(P7491&gt;500,"High","low")</f>
        <v>High</v>
      </c>
      <c r="R7491" s="37" t="str">
        <f t="shared" ref="R7491:R7554" si="589">IF(P7491&gt;1000,"Excellent",IF(P7491&gt;=500,"Good","AVERAGE"))</f>
        <v>Good</v>
      </c>
      <c r="S7491" t="s">
        <v>600</v>
      </c>
    </row>
    <row r="7492" spans="1:19" x14ac:dyDescent="0.2">
      <c r="A7492" t="s">
        <v>8103</v>
      </c>
      <c r="B7492" t="s">
        <v>67</v>
      </c>
      <c r="C7492" t="s">
        <v>602</v>
      </c>
      <c r="D7492">
        <v>3864.72</v>
      </c>
      <c r="E7492" s="37" t="str">
        <f t="shared" si="585"/>
        <v xml:space="preserve"> </v>
      </c>
      <c r="F7492">
        <v>0.03</v>
      </c>
      <c r="G7492" s="37" t="str">
        <f t="shared" si="586"/>
        <v>Normal Discount</v>
      </c>
      <c r="H7492" s="37" t="str">
        <f t="shared" si="587"/>
        <v>Low</v>
      </c>
      <c r="I7492">
        <v>7</v>
      </c>
      <c r="J7492" t="str" cm="1">
        <f t="array" ref="J7492">_xlfn.IFS(I7492&lt;=3,"small",I7492&lt;=6,"Medium",I7492&lt;=9,"Large")</f>
        <v>Large</v>
      </c>
      <c r="K7492" s="36">
        <v>45197</v>
      </c>
      <c r="L7492" s="36">
        <v>45201</v>
      </c>
      <c r="M7492" t="s">
        <v>612</v>
      </c>
      <c r="N7492" t="s">
        <v>604</v>
      </c>
      <c r="O7492" s="37" t="str">
        <f t="shared" si="588"/>
        <v>Digital Payment</v>
      </c>
      <c r="P7492">
        <v>195.88</v>
      </c>
      <c r="Q7492" s="37" t="str">
        <f>IF(P7492&gt;500,"High","low")</f>
        <v>low</v>
      </c>
      <c r="R7492" s="37" t="str">
        <f t="shared" si="589"/>
        <v>AVERAGE</v>
      </c>
      <c r="S7492" t="s">
        <v>628</v>
      </c>
    </row>
    <row r="7493" spans="1:19" x14ac:dyDescent="0.2">
      <c r="A7493" t="s">
        <v>8104</v>
      </c>
      <c r="B7493" t="s">
        <v>75</v>
      </c>
      <c r="C7493" t="s">
        <v>597</v>
      </c>
      <c r="D7493">
        <v>4902.78</v>
      </c>
      <c r="E7493" s="37" t="str">
        <f t="shared" si="585"/>
        <v xml:space="preserve"> </v>
      </c>
      <c r="F7493">
        <v>0.42</v>
      </c>
      <c r="G7493" s="37" t="str">
        <f t="shared" si="586"/>
        <v>Heavy Discount</v>
      </c>
      <c r="H7493" s="37" t="str">
        <f t="shared" si="587"/>
        <v>High</v>
      </c>
      <c r="I7493">
        <v>2</v>
      </c>
      <c r="J7493" t="str" cm="1">
        <f t="array" ref="J7493">_xlfn.IFS(I7493&lt;=3,"small",I7493&lt;=6,"Medium",I7493&lt;=9,"Large")</f>
        <v>small</v>
      </c>
      <c r="K7493" s="36">
        <v>45457</v>
      </c>
      <c r="L7493" s="36">
        <v>45460</v>
      </c>
      <c r="M7493" t="s">
        <v>603</v>
      </c>
      <c r="N7493" t="s">
        <v>604</v>
      </c>
      <c r="O7493" s="37" t="str">
        <f t="shared" si="588"/>
        <v>Digital Payment</v>
      </c>
      <c r="P7493">
        <v>289.49</v>
      </c>
      <c r="Q7493" s="37" t="str">
        <f>IF(P7493&gt;500,"High","low")</f>
        <v>low</v>
      </c>
      <c r="R7493" s="37" t="str">
        <f t="shared" si="589"/>
        <v>AVERAGE</v>
      </c>
      <c r="S7493" t="s">
        <v>605</v>
      </c>
    </row>
    <row r="7494" spans="1:19" x14ac:dyDescent="0.2">
      <c r="A7494" t="s">
        <v>8105</v>
      </c>
      <c r="B7494" t="s">
        <v>75</v>
      </c>
      <c r="C7494" t="s">
        <v>602</v>
      </c>
      <c r="D7494">
        <v>4564.2299999999996</v>
      </c>
      <c r="E7494" s="37" t="str">
        <f t="shared" si="585"/>
        <v xml:space="preserve"> </v>
      </c>
      <c r="F7494">
        <v>0.06</v>
      </c>
      <c r="G7494" s="37" t="str">
        <f t="shared" si="586"/>
        <v>Normal Discount</v>
      </c>
      <c r="H7494" s="37" t="str">
        <f t="shared" si="587"/>
        <v>Low</v>
      </c>
      <c r="I7494">
        <v>6</v>
      </c>
      <c r="J7494" t="str" cm="1">
        <f t="array" ref="J7494">_xlfn.IFS(I7494&lt;=3,"small",I7494&lt;=6,"Medium",I7494&lt;=9,"Large")</f>
        <v>Medium</v>
      </c>
      <c r="K7494" s="36">
        <v>45452</v>
      </c>
      <c r="L7494" s="36">
        <v>45454</v>
      </c>
      <c r="M7494" t="s">
        <v>612</v>
      </c>
      <c r="N7494" t="s">
        <v>604</v>
      </c>
      <c r="O7494" s="37" t="str">
        <f t="shared" si="588"/>
        <v>Digital Payment</v>
      </c>
      <c r="P7494">
        <v>617.55999999999995</v>
      </c>
      <c r="Q7494" s="37" t="str">
        <f>IF(P7494&gt;500,"High","low")</f>
        <v>High</v>
      </c>
      <c r="R7494" s="37" t="str">
        <f t="shared" si="589"/>
        <v>Good</v>
      </c>
      <c r="S7494" t="s">
        <v>600</v>
      </c>
    </row>
    <row r="7495" spans="1:19" x14ac:dyDescent="0.2">
      <c r="A7495" t="s">
        <v>8106</v>
      </c>
      <c r="B7495" t="s">
        <v>67</v>
      </c>
      <c r="C7495" t="s">
        <v>602</v>
      </c>
      <c r="D7495">
        <v>2567.34</v>
      </c>
      <c r="E7495" s="37" t="str">
        <f t="shared" si="585"/>
        <v xml:space="preserve"> </v>
      </c>
      <c r="F7495">
        <v>0.01</v>
      </c>
      <c r="G7495" s="37" t="str">
        <f t="shared" si="586"/>
        <v>Normal Discount</v>
      </c>
      <c r="H7495" s="37" t="str">
        <f t="shared" si="587"/>
        <v>Low</v>
      </c>
      <c r="I7495">
        <v>4</v>
      </c>
      <c r="J7495" t="str" cm="1">
        <f t="array" ref="J7495">_xlfn.IFS(I7495&lt;=3,"small",I7495&lt;=6,"Medium",I7495&lt;=9,"Large")</f>
        <v>Medium</v>
      </c>
      <c r="K7495" s="36">
        <v>45069</v>
      </c>
      <c r="L7495" s="36">
        <v>45073</v>
      </c>
      <c r="M7495" t="s">
        <v>612</v>
      </c>
      <c r="N7495" t="s">
        <v>604</v>
      </c>
      <c r="O7495" s="37" t="str">
        <f t="shared" si="588"/>
        <v>Digital Payment</v>
      </c>
      <c r="P7495">
        <v>195.52</v>
      </c>
      <c r="Q7495" s="37" t="str">
        <f>IF(P7495&gt;500,"High","low")</f>
        <v>low</v>
      </c>
      <c r="R7495" s="37" t="str">
        <f t="shared" si="589"/>
        <v>AVERAGE</v>
      </c>
      <c r="S7495" t="s">
        <v>609</v>
      </c>
    </row>
    <row r="7496" spans="1:19" x14ac:dyDescent="0.2">
      <c r="A7496" t="s">
        <v>8107</v>
      </c>
      <c r="B7496" t="s">
        <v>83</v>
      </c>
      <c r="C7496" t="s">
        <v>614</v>
      </c>
      <c r="D7496">
        <v>2492.91</v>
      </c>
      <c r="E7496" s="37" t="str">
        <f t="shared" si="585"/>
        <v xml:space="preserve"> </v>
      </c>
      <c r="F7496">
        <v>0.03</v>
      </c>
      <c r="G7496" s="37" t="str">
        <f t="shared" si="586"/>
        <v>Normal Discount</v>
      </c>
      <c r="H7496" s="37" t="str">
        <f t="shared" si="587"/>
        <v>Low</v>
      </c>
      <c r="I7496">
        <v>4</v>
      </c>
      <c r="J7496" t="str" cm="1">
        <f t="array" ref="J7496">_xlfn.IFS(I7496&lt;=3,"small",I7496&lt;=6,"Medium",I7496&lt;=9,"Large")</f>
        <v>Medium</v>
      </c>
      <c r="K7496" s="36">
        <v>45525</v>
      </c>
      <c r="L7496" s="36">
        <v>45526</v>
      </c>
      <c r="M7496" t="s">
        <v>603</v>
      </c>
      <c r="N7496" t="s">
        <v>599</v>
      </c>
      <c r="O7496" s="37" t="str">
        <f t="shared" si="588"/>
        <v>Digital Payment</v>
      </c>
      <c r="P7496">
        <v>310.32</v>
      </c>
      <c r="Q7496" s="37" t="str">
        <f>IF(P7496&gt;500,"High","low")</f>
        <v>low</v>
      </c>
      <c r="R7496" s="37" t="str">
        <f t="shared" si="589"/>
        <v>AVERAGE</v>
      </c>
      <c r="S7496" t="s">
        <v>615</v>
      </c>
    </row>
    <row r="7497" spans="1:19" x14ac:dyDescent="0.2">
      <c r="A7497" t="s">
        <v>8108</v>
      </c>
      <c r="B7497" t="s">
        <v>90</v>
      </c>
      <c r="C7497" t="s">
        <v>617</v>
      </c>
      <c r="D7497">
        <v>2244.73</v>
      </c>
      <c r="E7497" s="37" t="str">
        <f t="shared" si="585"/>
        <v xml:space="preserve"> </v>
      </c>
      <c r="F7497">
        <v>0.18</v>
      </c>
      <c r="G7497" s="37" t="str">
        <f t="shared" si="586"/>
        <v>Normal Discount</v>
      </c>
      <c r="H7497" s="37" t="str">
        <f t="shared" si="587"/>
        <v>Low</v>
      </c>
      <c r="I7497">
        <v>6</v>
      </c>
      <c r="J7497" t="str" cm="1">
        <f t="array" ref="J7497">_xlfn.IFS(I7497&lt;=3,"small",I7497&lt;=6,"Medium",I7497&lt;=9,"Large")</f>
        <v>Medium</v>
      </c>
      <c r="K7497" s="36">
        <v>45193</v>
      </c>
      <c r="L7497" s="36">
        <v>45200</v>
      </c>
      <c r="M7497" t="s">
        <v>612</v>
      </c>
      <c r="N7497" t="s">
        <v>608</v>
      </c>
      <c r="O7497" s="37" t="str">
        <f t="shared" si="588"/>
        <v>Cash Payment</v>
      </c>
      <c r="P7497">
        <v>471.52</v>
      </c>
      <c r="Q7497" s="37" t="str">
        <f>IF(P7497&gt;500,"High","low")</f>
        <v>low</v>
      </c>
      <c r="R7497" s="37" t="str">
        <f t="shared" si="589"/>
        <v>AVERAGE</v>
      </c>
      <c r="S7497" t="s">
        <v>609</v>
      </c>
    </row>
    <row r="7498" spans="1:19" x14ac:dyDescent="0.2">
      <c r="A7498" t="s">
        <v>8109</v>
      </c>
      <c r="B7498" t="s">
        <v>83</v>
      </c>
      <c r="C7498" t="s">
        <v>617</v>
      </c>
      <c r="D7498">
        <v>235.98</v>
      </c>
      <c r="E7498" s="37" t="str">
        <f t="shared" si="585"/>
        <v xml:space="preserve"> </v>
      </c>
      <c r="F7498">
        <v>0.3</v>
      </c>
      <c r="G7498" s="37" t="str">
        <f t="shared" si="586"/>
        <v>Normal Discount</v>
      </c>
      <c r="H7498" s="37" t="str">
        <f t="shared" si="587"/>
        <v>Medium</v>
      </c>
      <c r="I7498">
        <v>8</v>
      </c>
      <c r="J7498" t="str" cm="1">
        <f t="array" ref="J7498">_xlfn.IFS(I7498&lt;=3,"small",I7498&lt;=6,"Medium",I7498&lt;=9,"Large")</f>
        <v>Large</v>
      </c>
      <c r="K7498" s="36">
        <v>44989</v>
      </c>
      <c r="L7498" s="36">
        <v>44996</v>
      </c>
      <c r="M7498" t="s">
        <v>603</v>
      </c>
      <c r="N7498" t="s">
        <v>608</v>
      </c>
      <c r="O7498" s="37" t="str">
        <f t="shared" si="588"/>
        <v>Cash Payment</v>
      </c>
      <c r="P7498">
        <v>27.05</v>
      </c>
      <c r="Q7498" s="37" t="str">
        <f>IF(P7498&gt;500,"High","low")</f>
        <v>low</v>
      </c>
      <c r="R7498" s="37" t="str">
        <f t="shared" si="589"/>
        <v>AVERAGE</v>
      </c>
      <c r="S7498" t="s">
        <v>600</v>
      </c>
    </row>
    <row r="7499" spans="1:19" x14ac:dyDescent="0.2">
      <c r="A7499" t="s">
        <v>8110</v>
      </c>
      <c r="B7499" t="s">
        <v>90</v>
      </c>
      <c r="C7499" t="s">
        <v>607</v>
      </c>
      <c r="D7499">
        <v>913.18</v>
      </c>
      <c r="E7499" s="37" t="str">
        <f t="shared" si="585"/>
        <v xml:space="preserve"> </v>
      </c>
      <c r="F7499">
        <v>0.2</v>
      </c>
      <c r="G7499" s="37" t="str">
        <f t="shared" si="586"/>
        <v>Normal Discount</v>
      </c>
      <c r="H7499" s="37" t="str">
        <f t="shared" si="587"/>
        <v>Medium</v>
      </c>
      <c r="I7499">
        <v>5</v>
      </c>
      <c r="J7499" t="str" cm="1">
        <f t="array" ref="J7499">_xlfn.IFS(I7499&lt;=3,"small",I7499&lt;=6,"Medium",I7499&lt;=9,"Large")</f>
        <v>Medium</v>
      </c>
      <c r="K7499" s="36">
        <v>45121</v>
      </c>
      <c r="L7499" s="36">
        <v>45127</v>
      </c>
      <c r="M7499" t="s">
        <v>598</v>
      </c>
      <c r="N7499" t="s">
        <v>599</v>
      </c>
      <c r="O7499" s="37" t="str">
        <f t="shared" si="588"/>
        <v>Digital Payment</v>
      </c>
      <c r="P7499">
        <v>71.86</v>
      </c>
      <c r="Q7499" s="37" t="str">
        <f>IF(P7499&gt;500,"High","low")</f>
        <v>low</v>
      </c>
      <c r="R7499" s="37" t="str">
        <f t="shared" si="589"/>
        <v>AVERAGE</v>
      </c>
      <c r="S7499" t="s">
        <v>600</v>
      </c>
    </row>
    <row r="7500" spans="1:19" x14ac:dyDescent="0.2">
      <c r="A7500" t="s">
        <v>8111</v>
      </c>
      <c r="B7500" t="s">
        <v>90</v>
      </c>
      <c r="C7500" t="s">
        <v>607</v>
      </c>
      <c r="D7500">
        <v>390.03</v>
      </c>
      <c r="E7500" s="37" t="str">
        <f t="shared" si="585"/>
        <v xml:space="preserve"> </v>
      </c>
      <c r="F7500">
        <v>0.23</v>
      </c>
      <c r="G7500" s="37" t="str">
        <f t="shared" si="586"/>
        <v>Normal Discount</v>
      </c>
      <c r="H7500" s="37" t="str">
        <f t="shared" si="587"/>
        <v>Medium</v>
      </c>
      <c r="I7500">
        <v>3</v>
      </c>
      <c r="J7500" t="str" cm="1">
        <f t="array" ref="J7500">_xlfn.IFS(I7500&lt;=3,"small",I7500&lt;=6,"Medium",I7500&lt;=9,"Large")</f>
        <v>small</v>
      </c>
      <c r="K7500" s="36">
        <v>45609</v>
      </c>
      <c r="L7500" s="36">
        <v>45614</v>
      </c>
      <c r="M7500" t="s">
        <v>612</v>
      </c>
      <c r="N7500" t="s">
        <v>599</v>
      </c>
      <c r="O7500" s="37" t="str">
        <f t="shared" si="588"/>
        <v>Digital Payment</v>
      </c>
      <c r="P7500">
        <v>87.88</v>
      </c>
      <c r="Q7500" s="37" t="str">
        <f>IF(P7500&gt;500,"High","low")</f>
        <v>low</v>
      </c>
      <c r="R7500" s="37" t="str">
        <f t="shared" si="589"/>
        <v>AVERAGE</v>
      </c>
      <c r="S7500" t="s">
        <v>609</v>
      </c>
    </row>
    <row r="7501" spans="1:19" x14ac:dyDescent="0.2">
      <c r="A7501" t="s">
        <v>8112</v>
      </c>
      <c r="B7501" t="s">
        <v>83</v>
      </c>
      <c r="C7501" t="s">
        <v>617</v>
      </c>
      <c r="D7501">
        <v>3512.14</v>
      </c>
      <c r="E7501" s="37" t="str">
        <f t="shared" si="585"/>
        <v xml:space="preserve"> </v>
      </c>
      <c r="F7501">
        <v>0.46</v>
      </c>
      <c r="G7501" s="37" t="str">
        <f t="shared" si="586"/>
        <v>Heavy Discount</v>
      </c>
      <c r="H7501" s="37" t="str">
        <f t="shared" si="587"/>
        <v>High</v>
      </c>
      <c r="I7501">
        <v>1</v>
      </c>
      <c r="J7501" t="str" cm="1">
        <f t="array" ref="J7501">_xlfn.IFS(I7501&lt;=3,"small",I7501&lt;=6,"Medium",I7501&lt;=9,"Large")</f>
        <v>small</v>
      </c>
      <c r="K7501" s="36">
        <v>45567</v>
      </c>
      <c r="L7501" s="36">
        <v>45574</v>
      </c>
      <c r="M7501" t="s">
        <v>598</v>
      </c>
      <c r="N7501" t="s">
        <v>608</v>
      </c>
      <c r="O7501" s="37" t="str">
        <f t="shared" si="588"/>
        <v>Cash Payment</v>
      </c>
      <c r="P7501">
        <v>980.96</v>
      </c>
      <c r="Q7501" s="37" t="str">
        <f>IF(P7501&gt;500,"High","low")</f>
        <v>High</v>
      </c>
      <c r="R7501" s="37" t="str">
        <f t="shared" si="589"/>
        <v>Good</v>
      </c>
      <c r="S7501" t="s">
        <v>609</v>
      </c>
    </row>
    <row r="7502" spans="1:19" x14ac:dyDescent="0.2">
      <c r="A7502" t="s">
        <v>8113</v>
      </c>
      <c r="B7502" t="s">
        <v>67</v>
      </c>
      <c r="C7502" t="s">
        <v>617</v>
      </c>
      <c r="D7502">
        <v>2124.85</v>
      </c>
      <c r="E7502" s="37" t="str">
        <f t="shared" si="585"/>
        <v xml:space="preserve"> </v>
      </c>
      <c r="F7502">
        <v>0.38</v>
      </c>
      <c r="G7502" s="37" t="str">
        <f t="shared" si="586"/>
        <v>Heavy Discount</v>
      </c>
      <c r="H7502" s="37" t="str">
        <f t="shared" si="587"/>
        <v>Medium</v>
      </c>
      <c r="I7502">
        <v>5</v>
      </c>
      <c r="J7502" t="str" cm="1">
        <f t="array" ref="J7502">_xlfn.IFS(I7502&lt;=3,"small",I7502&lt;=6,"Medium",I7502&lt;=9,"Large")</f>
        <v>Medium</v>
      </c>
      <c r="K7502" s="36">
        <v>45058</v>
      </c>
      <c r="L7502" s="36">
        <v>45060</v>
      </c>
      <c r="M7502" t="s">
        <v>598</v>
      </c>
      <c r="N7502" t="s">
        <v>604</v>
      </c>
      <c r="O7502" s="37" t="str">
        <f t="shared" si="588"/>
        <v>Digital Payment</v>
      </c>
      <c r="P7502">
        <v>589.94000000000005</v>
      </c>
      <c r="Q7502" s="37" t="str">
        <f>IF(P7502&gt;500,"High","low")</f>
        <v>High</v>
      </c>
      <c r="R7502" s="37" t="str">
        <f t="shared" si="589"/>
        <v>Good</v>
      </c>
      <c r="S7502" t="s">
        <v>600</v>
      </c>
    </row>
    <row r="7503" spans="1:19" x14ac:dyDescent="0.2">
      <c r="A7503" t="s">
        <v>8114</v>
      </c>
      <c r="B7503" t="s">
        <v>67</v>
      </c>
      <c r="C7503" t="s">
        <v>614</v>
      </c>
      <c r="D7503">
        <v>412.47</v>
      </c>
      <c r="E7503" s="37" t="str">
        <f t="shared" si="585"/>
        <v xml:space="preserve"> </v>
      </c>
      <c r="F7503">
        <v>0.17</v>
      </c>
      <c r="G7503" s="37" t="str">
        <f t="shared" si="586"/>
        <v>Normal Discount</v>
      </c>
      <c r="H7503" s="37" t="str">
        <f t="shared" si="587"/>
        <v>Low</v>
      </c>
      <c r="I7503">
        <v>3</v>
      </c>
      <c r="J7503" t="str" cm="1">
        <f t="array" ref="J7503">_xlfn.IFS(I7503&lt;=3,"small",I7503&lt;=6,"Medium",I7503&lt;=9,"Large")</f>
        <v>small</v>
      </c>
      <c r="K7503" s="36">
        <v>44951</v>
      </c>
      <c r="L7503" s="36">
        <v>44954</v>
      </c>
      <c r="M7503" t="s">
        <v>612</v>
      </c>
      <c r="N7503" t="s">
        <v>604</v>
      </c>
      <c r="O7503" s="37" t="str">
        <f t="shared" si="588"/>
        <v>Digital Payment</v>
      </c>
      <c r="P7503">
        <v>87.94</v>
      </c>
      <c r="Q7503" s="37" t="str">
        <f>IF(P7503&gt;500,"High","low")</f>
        <v>low</v>
      </c>
      <c r="R7503" s="37" t="str">
        <f t="shared" si="589"/>
        <v>AVERAGE</v>
      </c>
      <c r="S7503" t="s">
        <v>620</v>
      </c>
    </row>
    <row r="7504" spans="1:19" x14ac:dyDescent="0.2">
      <c r="A7504" t="s">
        <v>8115</v>
      </c>
      <c r="B7504" t="s">
        <v>90</v>
      </c>
      <c r="C7504" t="s">
        <v>614</v>
      </c>
      <c r="D7504">
        <v>3483.82</v>
      </c>
      <c r="E7504" s="37" t="str">
        <f t="shared" si="585"/>
        <v xml:space="preserve"> </v>
      </c>
      <c r="F7504">
        <v>0.08</v>
      </c>
      <c r="G7504" s="37" t="str">
        <f t="shared" si="586"/>
        <v>Normal Discount</v>
      </c>
      <c r="H7504" s="37" t="str">
        <f t="shared" si="587"/>
        <v>Low</v>
      </c>
      <c r="I7504">
        <v>3</v>
      </c>
      <c r="J7504" t="str" cm="1">
        <f t="array" ref="J7504">_xlfn.IFS(I7504&lt;=3,"small",I7504&lt;=6,"Medium",I7504&lt;=9,"Large")</f>
        <v>small</v>
      </c>
      <c r="K7504" s="36">
        <v>45000</v>
      </c>
      <c r="L7504" s="36">
        <v>45007</v>
      </c>
      <c r="M7504" t="s">
        <v>603</v>
      </c>
      <c r="N7504" t="s">
        <v>599</v>
      </c>
      <c r="O7504" s="37" t="str">
        <f t="shared" si="588"/>
        <v>Digital Payment</v>
      </c>
      <c r="P7504">
        <v>335.37</v>
      </c>
      <c r="Q7504" s="37" t="str">
        <f>IF(P7504&gt;500,"High","low")</f>
        <v>low</v>
      </c>
      <c r="R7504" s="37" t="str">
        <f t="shared" si="589"/>
        <v>AVERAGE</v>
      </c>
      <c r="S7504" t="s">
        <v>609</v>
      </c>
    </row>
    <row r="7505" spans="1:19" x14ac:dyDescent="0.2">
      <c r="A7505" t="s">
        <v>8116</v>
      </c>
      <c r="B7505" t="s">
        <v>67</v>
      </c>
      <c r="C7505" t="s">
        <v>617</v>
      </c>
      <c r="D7505">
        <v>3257.74</v>
      </c>
      <c r="E7505" s="37" t="str">
        <f t="shared" si="585"/>
        <v xml:space="preserve"> </v>
      </c>
      <c r="F7505">
        <v>0.37</v>
      </c>
      <c r="G7505" s="37" t="str">
        <f t="shared" si="586"/>
        <v>Heavy Discount</v>
      </c>
      <c r="H7505" s="37" t="str">
        <f t="shared" si="587"/>
        <v>Medium</v>
      </c>
      <c r="I7505">
        <v>4</v>
      </c>
      <c r="J7505" t="str" cm="1">
        <f t="array" ref="J7505">_xlfn.IFS(I7505&lt;=3,"small",I7505&lt;=6,"Medium",I7505&lt;=9,"Large")</f>
        <v>Medium</v>
      </c>
      <c r="K7505" s="36">
        <v>45136</v>
      </c>
      <c r="L7505" s="36">
        <v>45139</v>
      </c>
      <c r="M7505" t="s">
        <v>603</v>
      </c>
      <c r="N7505" t="s">
        <v>599</v>
      </c>
      <c r="O7505" s="37" t="str">
        <f t="shared" si="588"/>
        <v>Digital Payment</v>
      </c>
      <c r="P7505">
        <v>874.05</v>
      </c>
      <c r="Q7505" s="37" t="str">
        <f>IF(P7505&gt;500,"High","low")</f>
        <v>High</v>
      </c>
      <c r="R7505" s="37" t="str">
        <f t="shared" si="589"/>
        <v>Good</v>
      </c>
      <c r="S7505" t="s">
        <v>628</v>
      </c>
    </row>
    <row r="7506" spans="1:19" x14ac:dyDescent="0.2">
      <c r="A7506" t="s">
        <v>8117</v>
      </c>
      <c r="B7506" t="s">
        <v>90</v>
      </c>
      <c r="C7506" t="s">
        <v>597</v>
      </c>
      <c r="D7506">
        <v>3627.82</v>
      </c>
      <c r="E7506" s="37" t="str">
        <f t="shared" si="585"/>
        <v xml:space="preserve"> </v>
      </c>
      <c r="F7506">
        <v>0.28999999999999998</v>
      </c>
      <c r="G7506" s="37" t="str">
        <f t="shared" si="586"/>
        <v>Normal Discount</v>
      </c>
      <c r="H7506" s="37" t="str">
        <f t="shared" si="587"/>
        <v>Medium</v>
      </c>
      <c r="I7506">
        <v>9</v>
      </c>
      <c r="J7506" t="str" cm="1">
        <f t="array" ref="J7506">_xlfn.IFS(I7506&lt;=3,"small",I7506&lt;=6,"Medium",I7506&lt;=9,"Large")</f>
        <v>Large</v>
      </c>
      <c r="K7506" s="36">
        <v>45151</v>
      </c>
      <c r="L7506" s="36">
        <v>45152</v>
      </c>
      <c r="M7506" t="s">
        <v>598</v>
      </c>
      <c r="N7506" t="s">
        <v>599</v>
      </c>
      <c r="O7506" s="37" t="str">
        <f t="shared" si="588"/>
        <v>Digital Payment</v>
      </c>
      <c r="P7506">
        <v>872.28</v>
      </c>
      <c r="Q7506" s="37" t="str">
        <f>IF(P7506&gt;500,"High","low")</f>
        <v>High</v>
      </c>
      <c r="R7506" s="37" t="str">
        <f t="shared" si="589"/>
        <v>Good</v>
      </c>
      <c r="S7506" t="s">
        <v>605</v>
      </c>
    </row>
    <row r="7507" spans="1:19" x14ac:dyDescent="0.2">
      <c r="A7507" t="s">
        <v>8118</v>
      </c>
      <c r="B7507" t="s">
        <v>67</v>
      </c>
      <c r="C7507" t="s">
        <v>597</v>
      </c>
      <c r="D7507">
        <v>3039.19</v>
      </c>
      <c r="E7507" s="37" t="str">
        <f t="shared" si="585"/>
        <v xml:space="preserve"> </v>
      </c>
      <c r="F7507">
        <v>0.48</v>
      </c>
      <c r="G7507" s="37" t="str">
        <f t="shared" si="586"/>
        <v>Heavy Discount</v>
      </c>
      <c r="H7507" s="37" t="str">
        <f t="shared" si="587"/>
        <v>High</v>
      </c>
      <c r="I7507">
        <v>4</v>
      </c>
      <c r="J7507" t="str" cm="1">
        <f t="array" ref="J7507">_xlfn.IFS(I7507&lt;=3,"small",I7507&lt;=6,"Medium",I7507&lt;=9,"Large")</f>
        <v>Medium</v>
      </c>
      <c r="K7507" s="36">
        <v>45491</v>
      </c>
      <c r="L7507" s="36">
        <v>45496</v>
      </c>
      <c r="M7507" t="s">
        <v>603</v>
      </c>
      <c r="N7507" t="s">
        <v>604</v>
      </c>
      <c r="O7507" s="37" t="str">
        <f t="shared" si="588"/>
        <v>Digital Payment</v>
      </c>
      <c r="P7507">
        <v>789.35</v>
      </c>
      <c r="Q7507" s="37" t="str">
        <f>IF(P7507&gt;500,"High","low")</f>
        <v>High</v>
      </c>
      <c r="R7507" s="37" t="str">
        <f t="shared" si="589"/>
        <v>Good</v>
      </c>
      <c r="S7507" t="s">
        <v>609</v>
      </c>
    </row>
    <row r="7508" spans="1:19" x14ac:dyDescent="0.2">
      <c r="A7508" t="s">
        <v>8119</v>
      </c>
      <c r="B7508" t="s">
        <v>90</v>
      </c>
      <c r="C7508" t="s">
        <v>614</v>
      </c>
      <c r="D7508">
        <v>891.54</v>
      </c>
      <c r="E7508" s="37" t="str">
        <f t="shared" si="585"/>
        <v xml:space="preserve"> </v>
      </c>
      <c r="F7508">
        <v>0.45</v>
      </c>
      <c r="G7508" s="37" t="str">
        <f t="shared" si="586"/>
        <v>Heavy Discount</v>
      </c>
      <c r="H7508" s="37" t="str">
        <f t="shared" si="587"/>
        <v>High</v>
      </c>
      <c r="I7508">
        <v>5</v>
      </c>
      <c r="J7508" t="str" cm="1">
        <f t="array" ref="J7508">_xlfn.IFS(I7508&lt;=3,"small",I7508&lt;=6,"Medium",I7508&lt;=9,"Large")</f>
        <v>Medium</v>
      </c>
      <c r="K7508" s="36">
        <v>45345</v>
      </c>
      <c r="L7508" s="36">
        <v>45350</v>
      </c>
      <c r="M7508" t="s">
        <v>612</v>
      </c>
      <c r="N7508" t="s">
        <v>608</v>
      </c>
      <c r="O7508" s="37" t="str">
        <f t="shared" si="588"/>
        <v>Cash Payment</v>
      </c>
      <c r="P7508">
        <v>77.7</v>
      </c>
      <c r="Q7508" s="37" t="str">
        <f>IF(P7508&gt;500,"High","low")</f>
        <v>low</v>
      </c>
      <c r="R7508" s="37" t="str">
        <f t="shared" si="589"/>
        <v>AVERAGE</v>
      </c>
      <c r="S7508" t="s">
        <v>615</v>
      </c>
    </row>
    <row r="7509" spans="1:19" x14ac:dyDescent="0.2">
      <c r="A7509" t="s">
        <v>8120</v>
      </c>
      <c r="B7509" t="s">
        <v>67</v>
      </c>
      <c r="C7509" t="s">
        <v>602</v>
      </c>
      <c r="D7509">
        <v>400.82</v>
      </c>
      <c r="E7509" s="37" t="str">
        <f t="shared" si="585"/>
        <v xml:space="preserve"> </v>
      </c>
      <c r="F7509">
        <v>0.28000000000000003</v>
      </c>
      <c r="G7509" s="37" t="str">
        <f t="shared" si="586"/>
        <v>Normal Discount</v>
      </c>
      <c r="H7509" s="37" t="str">
        <f t="shared" si="587"/>
        <v>Medium</v>
      </c>
      <c r="I7509">
        <v>5</v>
      </c>
      <c r="J7509" t="str" cm="1">
        <f t="array" ref="J7509">_xlfn.IFS(I7509&lt;=3,"small",I7509&lt;=6,"Medium",I7509&lt;=9,"Large")</f>
        <v>Medium</v>
      </c>
      <c r="K7509" s="36">
        <v>45335</v>
      </c>
      <c r="L7509" s="36">
        <v>45339</v>
      </c>
      <c r="M7509" t="s">
        <v>598</v>
      </c>
      <c r="N7509" t="s">
        <v>604</v>
      </c>
      <c r="O7509" s="37" t="str">
        <f t="shared" si="588"/>
        <v>Digital Payment</v>
      </c>
      <c r="P7509">
        <v>68.55</v>
      </c>
      <c r="Q7509" s="37" t="str">
        <f>IF(P7509&gt;500,"High","low")</f>
        <v>low</v>
      </c>
      <c r="R7509" s="37" t="str">
        <f t="shared" si="589"/>
        <v>AVERAGE</v>
      </c>
      <c r="S7509" t="s">
        <v>600</v>
      </c>
    </row>
    <row r="7510" spans="1:19" x14ac:dyDescent="0.2">
      <c r="A7510" t="s">
        <v>8121</v>
      </c>
      <c r="B7510" t="s">
        <v>75</v>
      </c>
      <c r="C7510" t="s">
        <v>617</v>
      </c>
      <c r="D7510">
        <v>4103.99</v>
      </c>
      <c r="E7510" s="37" t="str">
        <f t="shared" si="585"/>
        <v xml:space="preserve"> </v>
      </c>
      <c r="F7510">
        <v>0.03</v>
      </c>
      <c r="G7510" s="37" t="str">
        <f t="shared" si="586"/>
        <v>Normal Discount</v>
      </c>
      <c r="H7510" s="37" t="str">
        <f t="shared" si="587"/>
        <v>Low</v>
      </c>
      <c r="I7510">
        <v>1</v>
      </c>
      <c r="J7510" t="str" cm="1">
        <f t="array" ref="J7510">_xlfn.IFS(I7510&lt;=3,"small",I7510&lt;=6,"Medium",I7510&lt;=9,"Large")</f>
        <v>small</v>
      </c>
      <c r="K7510" s="36">
        <v>45057</v>
      </c>
      <c r="L7510" s="36">
        <v>45058</v>
      </c>
      <c r="M7510" t="s">
        <v>603</v>
      </c>
      <c r="N7510" t="s">
        <v>608</v>
      </c>
      <c r="O7510" s="37" t="str">
        <f t="shared" si="588"/>
        <v>Cash Payment</v>
      </c>
      <c r="P7510">
        <v>752.08</v>
      </c>
      <c r="Q7510" s="37" t="str">
        <f>IF(P7510&gt;500,"High","low")</f>
        <v>High</v>
      </c>
      <c r="R7510" s="37" t="str">
        <f t="shared" si="589"/>
        <v>Good</v>
      </c>
      <c r="S7510" t="s">
        <v>615</v>
      </c>
    </row>
    <row r="7511" spans="1:19" x14ac:dyDescent="0.2">
      <c r="A7511" t="s">
        <v>8122</v>
      </c>
      <c r="B7511" t="s">
        <v>83</v>
      </c>
      <c r="C7511" t="s">
        <v>607</v>
      </c>
      <c r="D7511">
        <v>1157.46</v>
      </c>
      <c r="E7511" s="37" t="str">
        <f t="shared" si="585"/>
        <v xml:space="preserve"> </v>
      </c>
      <c r="F7511">
        <v>0.02</v>
      </c>
      <c r="G7511" s="37" t="str">
        <f t="shared" si="586"/>
        <v>Normal Discount</v>
      </c>
      <c r="H7511" s="37" t="str">
        <f t="shared" si="587"/>
        <v>Low</v>
      </c>
      <c r="I7511">
        <v>7</v>
      </c>
      <c r="J7511" t="str" cm="1">
        <f t="array" ref="J7511">_xlfn.IFS(I7511&lt;=3,"small",I7511&lt;=6,"Medium",I7511&lt;=9,"Large")</f>
        <v>Large</v>
      </c>
      <c r="K7511" s="36">
        <v>45104</v>
      </c>
      <c r="L7511" s="36">
        <v>45110</v>
      </c>
      <c r="M7511" t="s">
        <v>603</v>
      </c>
      <c r="N7511" t="s">
        <v>599</v>
      </c>
      <c r="O7511" s="37" t="str">
        <f t="shared" si="588"/>
        <v>Digital Payment</v>
      </c>
      <c r="P7511">
        <v>282.16000000000003</v>
      </c>
      <c r="Q7511" s="37" t="str">
        <f>IF(P7511&gt;500,"High","low")</f>
        <v>low</v>
      </c>
      <c r="R7511" s="37" t="str">
        <f t="shared" si="589"/>
        <v>AVERAGE</v>
      </c>
      <c r="S7511" t="s">
        <v>615</v>
      </c>
    </row>
    <row r="7512" spans="1:19" x14ac:dyDescent="0.2">
      <c r="A7512" t="s">
        <v>8123</v>
      </c>
      <c r="B7512" t="s">
        <v>75</v>
      </c>
      <c r="C7512" t="s">
        <v>597</v>
      </c>
      <c r="D7512">
        <v>2758.39</v>
      </c>
      <c r="E7512" s="37" t="str">
        <f t="shared" si="585"/>
        <v xml:space="preserve"> </v>
      </c>
      <c r="F7512">
        <v>0.42</v>
      </c>
      <c r="G7512" s="37" t="str">
        <f t="shared" si="586"/>
        <v>Heavy Discount</v>
      </c>
      <c r="H7512" s="37" t="str">
        <f t="shared" si="587"/>
        <v>High</v>
      </c>
      <c r="I7512">
        <v>2</v>
      </c>
      <c r="J7512" t="str" cm="1">
        <f t="array" ref="J7512">_xlfn.IFS(I7512&lt;=3,"small",I7512&lt;=6,"Medium",I7512&lt;=9,"Large")</f>
        <v>small</v>
      </c>
      <c r="K7512" s="36">
        <v>45451</v>
      </c>
      <c r="L7512" s="36">
        <v>45458</v>
      </c>
      <c r="M7512" t="s">
        <v>598</v>
      </c>
      <c r="N7512" t="s">
        <v>608</v>
      </c>
      <c r="O7512" s="37" t="str">
        <f t="shared" si="588"/>
        <v>Cash Payment</v>
      </c>
      <c r="P7512">
        <v>362.47</v>
      </c>
      <c r="Q7512" s="37" t="str">
        <f>IF(P7512&gt;500,"High","low")</f>
        <v>low</v>
      </c>
      <c r="R7512" s="37" t="str">
        <f t="shared" si="589"/>
        <v>AVERAGE</v>
      </c>
      <c r="S7512" t="s">
        <v>620</v>
      </c>
    </row>
    <row r="7513" spans="1:19" x14ac:dyDescent="0.2">
      <c r="A7513" t="s">
        <v>8124</v>
      </c>
      <c r="B7513" t="s">
        <v>83</v>
      </c>
      <c r="C7513" t="s">
        <v>602</v>
      </c>
      <c r="D7513">
        <v>2477.56</v>
      </c>
      <c r="E7513" s="37" t="str">
        <f t="shared" si="585"/>
        <v xml:space="preserve"> </v>
      </c>
      <c r="F7513">
        <v>0.35</v>
      </c>
      <c r="G7513" s="37" t="str">
        <f t="shared" si="586"/>
        <v>Heavy Discount</v>
      </c>
      <c r="H7513" s="37" t="str">
        <f t="shared" si="587"/>
        <v>Medium</v>
      </c>
      <c r="I7513">
        <v>6</v>
      </c>
      <c r="J7513" t="str" cm="1">
        <f t="array" ref="J7513">_xlfn.IFS(I7513&lt;=3,"small",I7513&lt;=6,"Medium",I7513&lt;=9,"Large")</f>
        <v>Medium</v>
      </c>
      <c r="K7513" s="36">
        <v>45217</v>
      </c>
      <c r="L7513" s="36">
        <v>45220</v>
      </c>
      <c r="M7513" t="s">
        <v>603</v>
      </c>
      <c r="N7513" t="s">
        <v>608</v>
      </c>
      <c r="O7513" s="37" t="str">
        <f t="shared" si="588"/>
        <v>Cash Payment</v>
      </c>
      <c r="P7513">
        <v>338.55</v>
      </c>
      <c r="Q7513" s="37" t="str">
        <f>IF(P7513&gt;500,"High","low")</f>
        <v>low</v>
      </c>
      <c r="R7513" s="37" t="str">
        <f t="shared" si="589"/>
        <v>AVERAGE</v>
      </c>
      <c r="S7513" t="s">
        <v>609</v>
      </c>
    </row>
    <row r="7514" spans="1:19" x14ac:dyDescent="0.2">
      <c r="A7514" t="s">
        <v>8125</v>
      </c>
      <c r="B7514" t="s">
        <v>83</v>
      </c>
      <c r="C7514" t="s">
        <v>597</v>
      </c>
      <c r="D7514">
        <v>4613.16</v>
      </c>
      <c r="E7514" s="37" t="str">
        <f t="shared" si="585"/>
        <v>Excellent Order</v>
      </c>
      <c r="F7514">
        <v>0.28000000000000003</v>
      </c>
      <c r="G7514" s="37" t="str">
        <f t="shared" si="586"/>
        <v>Normal Discount</v>
      </c>
      <c r="H7514" s="37" t="str">
        <f t="shared" si="587"/>
        <v>Medium</v>
      </c>
      <c r="I7514">
        <v>4</v>
      </c>
      <c r="J7514" t="str" cm="1">
        <f t="array" ref="J7514">_xlfn.IFS(I7514&lt;=3,"small",I7514&lt;=6,"Medium",I7514&lt;=9,"Large")</f>
        <v>Medium</v>
      </c>
      <c r="K7514" s="36">
        <v>45399</v>
      </c>
      <c r="L7514" s="36">
        <v>45402</v>
      </c>
      <c r="M7514" t="s">
        <v>603</v>
      </c>
      <c r="N7514" t="s">
        <v>604</v>
      </c>
      <c r="O7514" s="37" t="str">
        <f t="shared" si="588"/>
        <v>Digital Payment</v>
      </c>
      <c r="P7514">
        <v>1252.33</v>
      </c>
      <c r="Q7514" s="37" t="str">
        <f>IF(P7514&gt;500,"High","low")</f>
        <v>High</v>
      </c>
      <c r="R7514" s="37" t="str">
        <f t="shared" si="589"/>
        <v>Excellent</v>
      </c>
      <c r="S7514" t="s">
        <v>628</v>
      </c>
    </row>
    <row r="7515" spans="1:19" x14ac:dyDescent="0.2">
      <c r="A7515" t="s">
        <v>8126</v>
      </c>
      <c r="B7515" t="s">
        <v>90</v>
      </c>
      <c r="C7515" t="s">
        <v>602</v>
      </c>
      <c r="D7515">
        <v>2806.95</v>
      </c>
      <c r="E7515" s="37" t="str">
        <f t="shared" si="585"/>
        <v xml:space="preserve"> </v>
      </c>
      <c r="F7515">
        <v>0.34</v>
      </c>
      <c r="G7515" s="37" t="str">
        <f t="shared" si="586"/>
        <v>Heavy Discount</v>
      </c>
      <c r="H7515" s="37" t="str">
        <f t="shared" si="587"/>
        <v>Medium</v>
      </c>
      <c r="I7515">
        <v>5</v>
      </c>
      <c r="J7515" t="str" cm="1">
        <f t="array" ref="J7515">_xlfn.IFS(I7515&lt;=3,"small",I7515&lt;=6,"Medium",I7515&lt;=9,"Large")</f>
        <v>Medium</v>
      </c>
      <c r="K7515" s="36">
        <v>45072</v>
      </c>
      <c r="L7515" s="36">
        <v>45079</v>
      </c>
      <c r="M7515" t="s">
        <v>598</v>
      </c>
      <c r="N7515" t="s">
        <v>604</v>
      </c>
      <c r="O7515" s="37" t="str">
        <f t="shared" si="588"/>
        <v>Digital Payment</v>
      </c>
      <c r="P7515">
        <v>659.88</v>
      </c>
      <c r="Q7515" s="37" t="str">
        <f>IF(P7515&gt;500,"High","low")</f>
        <v>High</v>
      </c>
      <c r="R7515" s="37" t="str">
        <f t="shared" si="589"/>
        <v>Good</v>
      </c>
      <c r="S7515" t="s">
        <v>605</v>
      </c>
    </row>
    <row r="7516" spans="1:19" x14ac:dyDescent="0.2">
      <c r="A7516" t="s">
        <v>8127</v>
      </c>
      <c r="B7516" t="s">
        <v>83</v>
      </c>
      <c r="C7516" t="s">
        <v>617</v>
      </c>
      <c r="D7516">
        <v>2942.08</v>
      </c>
      <c r="E7516" s="37" t="str">
        <f t="shared" si="585"/>
        <v xml:space="preserve"> </v>
      </c>
      <c r="F7516">
        <v>0.27</v>
      </c>
      <c r="G7516" s="37" t="str">
        <f t="shared" si="586"/>
        <v>Normal Discount</v>
      </c>
      <c r="H7516" s="37" t="str">
        <f t="shared" si="587"/>
        <v>Medium</v>
      </c>
      <c r="I7516">
        <v>5</v>
      </c>
      <c r="J7516" t="str" cm="1">
        <f t="array" ref="J7516">_xlfn.IFS(I7516&lt;=3,"small",I7516&lt;=6,"Medium",I7516&lt;=9,"Large")</f>
        <v>Medium</v>
      </c>
      <c r="K7516" s="36">
        <v>44956</v>
      </c>
      <c r="L7516" s="36">
        <v>44957</v>
      </c>
      <c r="M7516" t="s">
        <v>598</v>
      </c>
      <c r="N7516" t="s">
        <v>608</v>
      </c>
      <c r="O7516" s="37" t="str">
        <f t="shared" si="588"/>
        <v>Cash Payment</v>
      </c>
      <c r="P7516">
        <v>617.20000000000005</v>
      </c>
      <c r="Q7516" s="37" t="str">
        <f>IF(P7516&gt;500,"High","low")</f>
        <v>High</v>
      </c>
      <c r="R7516" s="37" t="str">
        <f t="shared" si="589"/>
        <v>Good</v>
      </c>
      <c r="S7516" t="s">
        <v>609</v>
      </c>
    </row>
    <row r="7517" spans="1:19" x14ac:dyDescent="0.2">
      <c r="A7517" t="s">
        <v>8128</v>
      </c>
      <c r="B7517" t="s">
        <v>75</v>
      </c>
      <c r="C7517" t="s">
        <v>617</v>
      </c>
      <c r="D7517">
        <v>1665.57</v>
      </c>
      <c r="E7517" s="37" t="str">
        <f t="shared" si="585"/>
        <v xml:space="preserve"> </v>
      </c>
      <c r="F7517">
        <v>0.28999999999999998</v>
      </c>
      <c r="G7517" s="37" t="str">
        <f t="shared" si="586"/>
        <v>Normal Discount</v>
      </c>
      <c r="H7517" s="37" t="str">
        <f t="shared" si="587"/>
        <v>Medium</v>
      </c>
      <c r="I7517">
        <v>4</v>
      </c>
      <c r="J7517" t="str" cm="1">
        <f t="array" ref="J7517">_xlfn.IFS(I7517&lt;=3,"small",I7517&lt;=6,"Medium",I7517&lt;=9,"Large")</f>
        <v>Medium</v>
      </c>
      <c r="K7517" s="36">
        <v>44966</v>
      </c>
      <c r="L7517" s="36">
        <v>44967</v>
      </c>
      <c r="M7517" t="s">
        <v>612</v>
      </c>
      <c r="N7517" t="s">
        <v>599</v>
      </c>
      <c r="O7517" s="37" t="str">
        <f t="shared" si="588"/>
        <v>Digital Payment</v>
      </c>
      <c r="P7517">
        <v>133.62</v>
      </c>
      <c r="Q7517" s="37" t="str">
        <f>IF(P7517&gt;500,"High","low")</f>
        <v>low</v>
      </c>
      <c r="R7517" s="37" t="str">
        <f t="shared" si="589"/>
        <v>AVERAGE</v>
      </c>
      <c r="S7517" t="s">
        <v>600</v>
      </c>
    </row>
    <row r="7518" spans="1:19" x14ac:dyDescent="0.2">
      <c r="A7518" t="s">
        <v>8129</v>
      </c>
      <c r="B7518" t="s">
        <v>75</v>
      </c>
      <c r="C7518" t="s">
        <v>617</v>
      </c>
      <c r="D7518">
        <v>4797.6000000000004</v>
      </c>
      <c r="E7518" s="37" t="str">
        <f t="shared" si="585"/>
        <v xml:space="preserve"> </v>
      </c>
      <c r="F7518">
        <v>0.11</v>
      </c>
      <c r="G7518" s="37" t="str">
        <f t="shared" si="586"/>
        <v>Normal Discount</v>
      </c>
      <c r="H7518" s="37" t="str">
        <f t="shared" si="587"/>
        <v>Low</v>
      </c>
      <c r="I7518">
        <v>2</v>
      </c>
      <c r="J7518" t="str" cm="1">
        <f t="array" ref="J7518">_xlfn.IFS(I7518&lt;=3,"small",I7518&lt;=6,"Medium",I7518&lt;=9,"Large")</f>
        <v>small</v>
      </c>
      <c r="K7518" s="36">
        <v>45548</v>
      </c>
      <c r="L7518" s="36">
        <v>45551</v>
      </c>
      <c r="M7518" t="s">
        <v>598</v>
      </c>
      <c r="N7518" t="s">
        <v>604</v>
      </c>
      <c r="O7518" s="37" t="str">
        <f t="shared" si="588"/>
        <v>Digital Payment</v>
      </c>
      <c r="P7518">
        <v>322.52999999999997</v>
      </c>
      <c r="Q7518" s="37" t="str">
        <f>IF(P7518&gt;500,"High","low")</f>
        <v>low</v>
      </c>
      <c r="R7518" s="37" t="str">
        <f t="shared" si="589"/>
        <v>AVERAGE</v>
      </c>
      <c r="S7518" t="s">
        <v>609</v>
      </c>
    </row>
    <row r="7519" spans="1:19" x14ac:dyDescent="0.2">
      <c r="A7519" t="s">
        <v>8130</v>
      </c>
      <c r="B7519" t="s">
        <v>67</v>
      </c>
      <c r="C7519" t="s">
        <v>614</v>
      </c>
      <c r="D7519">
        <v>3100.63</v>
      </c>
      <c r="E7519" s="37" t="str">
        <f t="shared" si="585"/>
        <v xml:space="preserve"> </v>
      </c>
      <c r="F7519">
        <v>0.23</v>
      </c>
      <c r="G7519" s="37" t="str">
        <f t="shared" si="586"/>
        <v>Normal Discount</v>
      </c>
      <c r="H7519" s="37" t="str">
        <f t="shared" si="587"/>
        <v>Medium</v>
      </c>
      <c r="I7519">
        <v>8</v>
      </c>
      <c r="J7519" t="str" cm="1">
        <f t="array" ref="J7519">_xlfn.IFS(I7519&lt;=3,"small",I7519&lt;=6,"Medium",I7519&lt;=9,"Large")</f>
        <v>Large</v>
      </c>
      <c r="K7519" s="36">
        <v>44956</v>
      </c>
      <c r="L7519" s="36">
        <v>44957</v>
      </c>
      <c r="M7519" t="s">
        <v>598</v>
      </c>
      <c r="N7519" t="s">
        <v>604</v>
      </c>
      <c r="O7519" s="37" t="str">
        <f t="shared" si="588"/>
        <v>Digital Payment</v>
      </c>
      <c r="P7519">
        <v>655.49</v>
      </c>
      <c r="Q7519" s="37" t="str">
        <f>IF(P7519&gt;500,"High","low")</f>
        <v>High</v>
      </c>
      <c r="R7519" s="37" t="str">
        <f t="shared" si="589"/>
        <v>Good</v>
      </c>
      <c r="S7519" t="s">
        <v>620</v>
      </c>
    </row>
    <row r="7520" spans="1:19" x14ac:dyDescent="0.2">
      <c r="A7520" t="s">
        <v>8131</v>
      </c>
      <c r="B7520" t="s">
        <v>75</v>
      </c>
      <c r="C7520" t="s">
        <v>602</v>
      </c>
      <c r="D7520">
        <v>124.4</v>
      </c>
      <c r="E7520" s="37" t="str">
        <f t="shared" si="585"/>
        <v xml:space="preserve"> </v>
      </c>
      <c r="F7520">
        <v>0.01</v>
      </c>
      <c r="G7520" s="37" t="str">
        <f t="shared" si="586"/>
        <v>Normal Discount</v>
      </c>
      <c r="H7520" s="37" t="str">
        <f t="shared" si="587"/>
        <v>Low</v>
      </c>
      <c r="I7520">
        <v>1</v>
      </c>
      <c r="J7520" t="str" cm="1">
        <f t="array" ref="J7520">_xlfn.IFS(I7520&lt;=3,"small",I7520&lt;=6,"Medium",I7520&lt;=9,"Large")</f>
        <v>small</v>
      </c>
      <c r="K7520" s="36">
        <v>45112</v>
      </c>
      <c r="L7520" s="36">
        <v>45113</v>
      </c>
      <c r="M7520" t="s">
        <v>598</v>
      </c>
      <c r="N7520" t="s">
        <v>604</v>
      </c>
      <c r="O7520" s="37" t="str">
        <f t="shared" si="588"/>
        <v>Digital Payment</v>
      </c>
      <c r="P7520">
        <v>22.17</v>
      </c>
      <c r="Q7520" s="37" t="str">
        <f>IF(P7520&gt;500,"High","low")</f>
        <v>low</v>
      </c>
      <c r="R7520" s="37" t="str">
        <f t="shared" si="589"/>
        <v>AVERAGE</v>
      </c>
      <c r="S7520" t="s">
        <v>628</v>
      </c>
    </row>
    <row r="7521" spans="1:19" x14ac:dyDescent="0.2">
      <c r="A7521" t="s">
        <v>8132</v>
      </c>
      <c r="B7521" t="s">
        <v>67</v>
      </c>
      <c r="C7521" t="s">
        <v>607</v>
      </c>
      <c r="D7521">
        <v>2824.8</v>
      </c>
      <c r="E7521" s="37" t="str">
        <f t="shared" si="585"/>
        <v xml:space="preserve"> </v>
      </c>
      <c r="F7521">
        <v>0.33</v>
      </c>
      <c r="G7521" s="37" t="str">
        <f t="shared" si="586"/>
        <v>Heavy Discount</v>
      </c>
      <c r="H7521" s="37" t="str">
        <f t="shared" si="587"/>
        <v>Medium</v>
      </c>
      <c r="I7521">
        <v>9</v>
      </c>
      <c r="J7521" t="str" cm="1">
        <f t="array" ref="J7521">_xlfn.IFS(I7521&lt;=3,"small",I7521&lt;=6,"Medium",I7521&lt;=9,"Large")</f>
        <v>Large</v>
      </c>
      <c r="K7521" s="36">
        <v>45270</v>
      </c>
      <c r="L7521" s="36">
        <v>45275</v>
      </c>
      <c r="M7521" t="s">
        <v>612</v>
      </c>
      <c r="N7521" t="s">
        <v>604</v>
      </c>
      <c r="O7521" s="37" t="str">
        <f t="shared" si="588"/>
        <v>Digital Payment</v>
      </c>
      <c r="P7521">
        <v>836.53</v>
      </c>
      <c r="Q7521" s="37" t="str">
        <f>IF(P7521&gt;500,"High","low")</f>
        <v>High</v>
      </c>
      <c r="R7521" s="37" t="str">
        <f t="shared" si="589"/>
        <v>Good</v>
      </c>
      <c r="S7521" t="s">
        <v>600</v>
      </c>
    </row>
    <row r="7522" spans="1:19" x14ac:dyDescent="0.2">
      <c r="A7522" t="s">
        <v>8133</v>
      </c>
      <c r="B7522" t="s">
        <v>83</v>
      </c>
      <c r="C7522" t="s">
        <v>607</v>
      </c>
      <c r="D7522">
        <v>1882.94</v>
      </c>
      <c r="E7522" s="37" t="str">
        <f t="shared" si="585"/>
        <v xml:space="preserve"> </v>
      </c>
      <c r="F7522">
        <v>0.17</v>
      </c>
      <c r="G7522" s="37" t="str">
        <f t="shared" si="586"/>
        <v>Normal Discount</v>
      </c>
      <c r="H7522" s="37" t="str">
        <f t="shared" si="587"/>
        <v>Low</v>
      </c>
      <c r="I7522">
        <v>6</v>
      </c>
      <c r="J7522" t="str" cm="1">
        <f t="array" ref="J7522">_xlfn.IFS(I7522&lt;=3,"small",I7522&lt;=6,"Medium",I7522&lt;=9,"Large")</f>
        <v>Medium</v>
      </c>
      <c r="K7522" s="36">
        <v>45528</v>
      </c>
      <c r="L7522" s="36">
        <v>45529</v>
      </c>
      <c r="M7522" t="s">
        <v>598</v>
      </c>
      <c r="N7522" t="s">
        <v>604</v>
      </c>
      <c r="O7522" s="37" t="str">
        <f t="shared" si="588"/>
        <v>Digital Payment</v>
      </c>
      <c r="P7522">
        <v>495.28</v>
      </c>
      <c r="Q7522" s="37" t="str">
        <f>IF(P7522&gt;500,"High","low")</f>
        <v>low</v>
      </c>
      <c r="R7522" s="37" t="str">
        <f t="shared" si="589"/>
        <v>AVERAGE</v>
      </c>
      <c r="S7522" t="s">
        <v>600</v>
      </c>
    </row>
    <row r="7523" spans="1:19" x14ac:dyDescent="0.2">
      <c r="A7523" t="s">
        <v>8134</v>
      </c>
      <c r="B7523" t="s">
        <v>75</v>
      </c>
      <c r="C7523" t="s">
        <v>617</v>
      </c>
      <c r="D7523">
        <v>257.35000000000002</v>
      </c>
      <c r="E7523" s="37" t="str">
        <f t="shared" si="585"/>
        <v xml:space="preserve"> </v>
      </c>
      <c r="F7523">
        <v>0.33</v>
      </c>
      <c r="G7523" s="37" t="str">
        <f t="shared" si="586"/>
        <v>Heavy Discount</v>
      </c>
      <c r="H7523" s="37" t="str">
        <f t="shared" si="587"/>
        <v>Medium</v>
      </c>
      <c r="I7523">
        <v>4</v>
      </c>
      <c r="J7523" t="str" cm="1">
        <f t="array" ref="J7523">_xlfn.IFS(I7523&lt;=3,"small",I7523&lt;=6,"Medium",I7523&lt;=9,"Large")</f>
        <v>Medium</v>
      </c>
      <c r="K7523" s="36">
        <v>45279</v>
      </c>
      <c r="L7523" s="36">
        <v>45282</v>
      </c>
      <c r="M7523" t="s">
        <v>598</v>
      </c>
      <c r="N7523" t="s">
        <v>608</v>
      </c>
      <c r="O7523" s="37" t="str">
        <f t="shared" si="588"/>
        <v>Cash Payment</v>
      </c>
      <c r="P7523">
        <v>49.55</v>
      </c>
      <c r="Q7523" s="37" t="str">
        <f>IF(P7523&gt;500,"High","low")</f>
        <v>low</v>
      </c>
      <c r="R7523" s="37" t="str">
        <f t="shared" si="589"/>
        <v>AVERAGE</v>
      </c>
      <c r="S7523" t="s">
        <v>615</v>
      </c>
    </row>
    <row r="7524" spans="1:19" x14ac:dyDescent="0.2">
      <c r="A7524" t="s">
        <v>8135</v>
      </c>
      <c r="B7524" t="s">
        <v>83</v>
      </c>
      <c r="C7524" t="s">
        <v>607</v>
      </c>
      <c r="D7524">
        <v>2214.59</v>
      </c>
      <c r="E7524" s="37" t="str">
        <f t="shared" si="585"/>
        <v xml:space="preserve"> </v>
      </c>
      <c r="F7524">
        <v>0.46</v>
      </c>
      <c r="G7524" s="37" t="str">
        <f t="shared" si="586"/>
        <v>Heavy Discount</v>
      </c>
      <c r="H7524" s="37" t="str">
        <f t="shared" si="587"/>
        <v>High</v>
      </c>
      <c r="I7524">
        <v>6</v>
      </c>
      <c r="J7524" t="str" cm="1">
        <f t="array" ref="J7524">_xlfn.IFS(I7524&lt;=3,"small",I7524&lt;=6,"Medium",I7524&lt;=9,"Large")</f>
        <v>Medium</v>
      </c>
      <c r="K7524" s="36">
        <v>44998</v>
      </c>
      <c r="L7524" s="36">
        <v>45000</v>
      </c>
      <c r="M7524" t="s">
        <v>598</v>
      </c>
      <c r="N7524" t="s">
        <v>608</v>
      </c>
      <c r="O7524" s="37" t="str">
        <f t="shared" si="588"/>
        <v>Cash Payment</v>
      </c>
      <c r="P7524">
        <v>176.77</v>
      </c>
      <c r="Q7524" s="37" t="str">
        <f>IF(P7524&gt;500,"High","low")</f>
        <v>low</v>
      </c>
      <c r="R7524" s="37" t="str">
        <f t="shared" si="589"/>
        <v>AVERAGE</v>
      </c>
      <c r="S7524" t="s">
        <v>600</v>
      </c>
    </row>
    <row r="7525" spans="1:19" x14ac:dyDescent="0.2">
      <c r="A7525" t="s">
        <v>8136</v>
      </c>
      <c r="B7525" t="s">
        <v>75</v>
      </c>
      <c r="C7525" t="s">
        <v>597</v>
      </c>
      <c r="D7525">
        <v>3890.48</v>
      </c>
      <c r="E7525" s="37" t="str">
        <f t="shared" si="585"/>
        <v xml:space="preserve"> </v>
      </c>
      <c r="F7525">
        <v>0.3</v>
      </c>
      <c r="G7525" s="37" t="str">
        <f t="shared" si="586"/>
        <v>Normal Discount</v>
      </c>
      <c r="H7525" s="37" t="str">
        <f t="shared" si="587"/>
        <v>Medium</v>
      </c>
      <c r="I7525">
        <v>9</v>
      </c>
      <c r="J7525" t="str" cm="1">
        <f t="array" ref="J7525">_xlfn.IFS(I7525&lt;=3,"small",I7525&lt;=6,"Medium",I7525&lt;=9,"Large")</f>
        <v>Large</v>
      </c>
      <c r="K7525" s="36">
        <v>44938</v>
      </c>
      <c r="L7525" s="36">
        <v>44941</v>
      </c>
      <c r="M7525" t="s">
        <v>598</v>
      </c>
      <c r="N7525" t="s">
        <v>608</v>
      </c>
      <c r="O7525" s="37" t="str">
        <f t="shared" si="588"/>
        <v>Cash Payment</v>
      </c>
      <c r="P7525">
        <v>290.08</v>
      </c>
      <c r="Q7525" s="37" t="str">
        <f>IF(P7525&gt;500,"High","low")</f>
        <v>low</v>
      </c>
      <c r="R7525" s="37" t="str">
        <f t="shared" si="589"/>
        <v>AVERAGE</v>
      </c>
      <c r="S7525" t="s">
        <v>620</v>
      </c>
    </row>
    <row r="7526" spans="1:19" x14ac:dyDescent="0.2">
      <c r="A7526" t="s">
        <v>8137</v>
      </c>
      <c r="B7526" t="s">
        <v>75</v>
      </c>
      <c r="C7526" t="s">
        <v>602</v>
      </c>
      <c r="D7526">
        <v>2568.5700000000002</v>
      </c>
      <c r="E7526" s="37" t="str">
        <f t="shared" si="585"/>
        <v xml:space="preserve"> </v>
      </c>
      <c r="F7526">
        <v>0.16</v>
      </c>
      <c r="G7526" s="37" t="str">
        <f t="shared" si="586"/>
        <v>Normal Discount</v>
      </c>
      <c r="H7526" s="37" t="str">
        <f t="shared" si="587"/>
        <v>Low</v>
      </c>
      <c r="I7526">
        <v>9</v>
      </c>
      <c r="J7526" t="str" cm="1">
        <f t="array" ref="J7526">_xlfn.IFS(I7526&lt;=3,"small",I7526&lt;=6,"Medium",I7526&lt;=9,"Large")</f>
        <v>Large</v>
      </c>
      <c r="K7526" s="36">
        <v>45318</v>
      </c>
      <c r="L7526" s="36">
        <v>45324</v>
      </c>
      <c r="M7526" t="s">
        <v>612</v>
      </c>
      <c r="N7526" t="s">
        <v>599</v>
      </c>
      <c r="O7526" s="37" t="str">
        <f t="shared" si="588"/>
        <v>Digital Payment</v>
      </c>
      <c r="P7526">
        <v>424.91</v>
      </c>
      <c r="Q7526" s="37" t="str">
        <f>IF(P7526&gt;500,"High","low")</f>
        <v>low</v>
      </c>
      <c r="R7526" s="37" t="str">
        <f t="shared" si="589"/>
        <v>AVERAGE</v>
      </c>
      <c r="S7526" t="s">
        <v>615</v>
      </c>
    </row>
    <row r="7527" spans="1:19" x14ac:dyDescent="0.2">
      <c r="A7527" t="s">
        <v>8138</v>
      </c>
      <c r="B7527" t="s">
        <v>67</v>
      </c>
      <c r="C7527" t="s">
        <v>602</v>
      </c>
      <c r="D7527">
        <v>3233.35</v>
      </c>
      <c r="E7527" s="37" t="str">
        <f t="shared" si="585"/>
        <v xml:space="preserve"> </v>
      </c>
      <c r="F7527">
        <v>0.1</v>
      </c>
      <c r="G7527" s="37" t="str">
        <f t="shared" si="586"/>
        <v>Normal Discount</v>
      </c>
      <c r="H7527" s="37" t="str">
        <f t="shared" si="587"/>
        <v>Low</v>
      </c>
      <c r="I7527">
        <v>3</v>
      </c>
      <c r="J7527" t="str" cm="1">
        <f t="array" ref="J7527">_xlfn.IFS(I7527&lt;=3,"small",I7527&lt;=6,"Medium",I7527&lt;=9,"Large")</f>
        <v>small</v>
      </c>
      <c r="K7527" s="36">
        <v>45004</v>
      </c>
      <c r="L7527" s="36">
        <v>45011</v>
      </c>
      <c r="M7527" t="s">
        <v>603</v>
      </c>
      <c r="N7527" t="s">
        <v>604</v>
      </c>
      <c r="O7527" s="37" t="str">
        <f t="shared" si="588"/>
        <v>Digital Payment</v>
      </c>
      <c r="P7527">
        <v>282.39</v>
      </c>
      <c r="Q7527" s="37" t="str">
        <f>IF(P7527&gt;500,"High","low")</f>
        <v>low</v>
      </c>
      <c r="R7527" s="37" t="str">
        <f t="shared" si="589"/>
        <v>AVERAGE</v>
      </c>
      <c r="S7527" t="s">
        <v>609</v>
      </c>
    </row>
    <row r="7528" spans="1:19" x14ac:dyDescent="0.2">
      <c r="A7528" t="s">
        <v>8139</v>
      </c>
      <c r="B7528" t="s">
        <v>83</v>
      </c>
      <c r="C7528" t="s">
        <v>602</v>
      </c>
      <c r="D7528">
        <v>3234.73</v>
      </c>
      <c r="E7528" s="37" t="str">
        <f t="shared" si="585"/>
        <v xml:space="preserve"> </v>
      </c>
      <c r="F7528">
        <v>0.13</v>
      </c>
      <c r="G7528" s="37" t="str">
        <f t="shared" si="586"/>
        <v>Normal Discount</v>
      </c>
      <c r="H7528" s="37" t="str">
        <f t="shared" si="587"/>
        <v>Low</v>
      </c>
      <c r="I7528">
        <v>8</v>
      </c>
      <c r="J7528" t="str" cm="1">
        <f t="array" ref="J7528">_xlfn.IFS(I7528&lt;=3,"small",I7528&lt;=6,"Medium",I7528&lt;=9,"Large")</f>
        <v>Large</v>
      </c>
      <c r="K7528" s="36">
        <v>45200</v>
      </c>
      <c r="L7528" s="36">
        <v>45206</v>
      </c>
      <c r="M7528" t="s">
        <v>612</v>
      </c>
      <c r="N7528" t="s">
        <v>604</v>
      </c>
      <c r="O7528" s="37" t="str">
        <f t="shared" si="588"/>
        <v>Digital Payment</v>
      </c>
      <c r="P7528">
        <v>715.84</v>
      </c>
      <c r="Q7528" s="37" t="str">
        <f>IF(P7528&gt;500,"High","low")</f>
        <v>High</v>
      </c>
      <c r="R7528" s="37" t="str">
        <f t="shared" si="589"/>
        <v>Good</v>
      </c>
      <c r="S7528" t="s">
        <v>628</v>
      </c>
    </row>
    <row r="7529" spans="1:19" x14ac:dyDescent="0.2">
      <c r="A7529" t="s">
        <v>8140</v>
      </c>
      <c r="B7529" t="s">
        <v>75</v>
      </c>
      <c r="C7529" t="s">
        <v>597</v>
      </c>
      <c r="D7529">
        <v>3387.99</v>
      </c>
      <c r="E7529" s="37" t="str">
        <f t="shared" si="585"/>
        <v xml:space="preserve"> </v>
      </c>
      <c r="F7529">
        <v>0.49</v>
      </c>
      <c r="G7529" s="37" t="str">
        <f t="shared" si="586"/>
        <v>Heavy Discount</v>
      </c>
      <c r="H7529" s="37" t="str">
        <f t="shared" si="587"/>
        <v>High</v>
      </c>
      <c r="I7529">
        <v>1</v>
      </c>
      <c r="J7529" t="str" cm="1">
        <f t="array" ref="J7529">_xlfn.IFS(I7529&lt;=3,"small",I7529&lt;=6,"Medium",I7529&lt;=9,"Large")</f>
        <v>small</v>
      </c>
      <c r="K7529" s="36">
        <v>45162</v>
      </c>
      <c r="L7529" s="36">
        <v>45167</v>
      </c>
      <c r="M7529" t="s">
        <v>603</v>
      </c>
      <c r="N7529" t="s">
        <v>599</v>
      </c>
      <c r="O7529" s="37" t="str">
        <f t="shared" si="588"/>
        <v>Digital Payment</v>
      </c>
      <c r="P7529">
        <v>209.34</v>
      </c>
      <c r="Q7529" s="37" t="str">
        <f>IF(P7529&gt;500,"High","low")</f>
        <v>low</v>
      </c>
      <c r="R7529" s="37" t="str">
        <f t="shared" si="589"/>
        <v>AVERAGE</v>
      </c>
      <c r="S7529" t="s">
        <v>628</v>
      </c>
    </row>
    <row r="7530" spans="1:19" x14ac:dyDescent="0.2">
      <c r="A7530" t="s">
        <v>8141</v>
      </c>
      <c r="B7530" t="s">
        <v>90</v>
      </c>
      <c r="C7530" t="s">
        <v>614</v>
      </c>
      <c r="D7530">
        <v>1999.22</v>
      </c>
      <c r="E7530" s="37" t="str">
        <f t="shared" si="585"/>
        <v xml:space="preserve"> </v>
      </c>
      <c r="F7530">
        <v>0.31</v>
      </c>
      <c r="G7530" s="37" t="str">
        <f t="shared" si="586"/>
        <v>Heavy Discount</v>
      </c>
      <c r="H7530" s="37" t="str">
        <f t="shared" si="587"/>
        <v>Medium</v>
      </c>
      <c r="I7530">
        <v>9</v>
      </c>
      <c r="J7530" t="str" cm="1">
        <f t="array" ref="J7530">_xlfn.IFS(I7530&lt;=3,"small",I7530&lt;=6,"Medium",I7530&lt;=9,"Large")</f>
        <v>Large</v>
      </c>
      <c r="K7530" s="36">
        <v>45030</v>
      </c>
      <c r="L7530" s="36">
        <v>45031</v>
      </c>
      <c r="M7530" t="s">
        <v>603</v>
      </c>
      <c r="N7530" t="s">
        <v>599</v>
      </c>
      <c r="O7530" s="37" t="str">
        <f t="shared" si="588"/>
        <v>Digital Payment</v>
      </c>
      <c r="P7530">
        <v>596.69000000000005</v>
      </c>
      <c r="Q7530" s="37" t="str">
        <f>IF(P7530&gt;500,"High","low")</f>
        <v>High</v>
      </c>
      <c r="R7530" s="37" t="str">
        <f t="shared" si="589"/>
        <v>Good</v>
      </c>
      <c r="S7530" t="s">
        <v>600</v>
      </c>
    </row>
    <row r="7531" spans="1:19" x14ac:dyDescent="0.2">
      <c r="A7531" t="s">
        <v>8142</v>
      </c>
      <c r="B7531" t="s">
        <v>83</v>
      </c>
      <c r="C7531" t="s">
        <v>597</v>
      </c>
      <c r="D7531">
        <v>1913.02</v>
      </c>
      <c r="E7531" s="37" t="str">
        <f t="shared" si="585"/>
        <v xml:space="preserve"> </v>
      </c>
      <c r="F7531">
        <v>0.22</v>
      </c>
      <c r="G7531" s="37" t="str">
        <f t="shared" si="586"/>
        <v>Normal Discount</v>
      </c>
      <c r="H7531" s="37" t="str">
        <f t="shared" si="587"/>
        <v>Medium</v>
      </c>
      <c r="I7531">
        <v>7</v>
      </c>
      <c r="J7531" t="str" cm="1">
        <f t="array" ref="J7531">_xlfn.IFS(I7531&lt;=3,"small",I7531&lt;=6,"Medium",I7531&lt;=9,"Large")</f>
        <v>Large</v>
      </c>
      <c r="K7531" s="36">
        <v>45503</v>
      </c>
      <c r="L7531" s="36">
        <v>45506</v>
      </c>
      <c r="M7531" t="s">
        <v>612</v>
      </c>
      <c r="N7531" t="s">
        <v>604</v>
      </c>
      <c r="O7531" s="37" t="str">
        <f t="shared" si="588"/>
        <v>Digital Payment</v>
      </c>
      <c r="P7531">
        <v>548.01</v>
      </c>
      <c r="Q7531" s="37" t="str">
        <f>IF(P7531&gt;500,"High","low")</f>
        <v>High</v>
      </c>
      <c r="R7531" s="37" t="str">
        <f t="shared" si="589"/>
        <v>Good</v>
      </c>
      <c r="S7531" t="s">
        <v>628</v>
      </c>
    </row>
    <row r="7532" spans="1:19" x14ac:dyDescent="0.2">
      <c r="A7532" t="s">
        <v>8143</v>
      </c>
      <c r="B7532" t="s">
        <v>83</v>
      </c>
      <c r="C7532" t="s">
        <v>602</v>
      </c>
      <c r="D7532">
        <v>122.46</v>
      </c>
      <c r="E7532" s="37" t="str">
        <f t="shared" si="585"/>
        <v xml:space="preserve"> </v>
      </c>
      <c r="F7532">
        <v>0.12</v>
      </c>
      <c r="G7532" s="37" t="str">
        <f t="shared" si="586"/>
        <v>Normal Discount</v>
      </c>
      <c r="H7532" s="37" t="str">
        <f t="shared" si="587"/>
        <v>Low</v>
      </c>
      <c r="I7532">
        <v>7</v>
      </c>
      <c r="J7532" t="str" cm="1">
        <f t="array" ref="J7532">_xlfn.IFS(I7532&lt;=3,"small",I7532&lt;=6,"Medium",I7532&lt;=9,"Large")</f>
        <v>Large</v>
      </c>
      <c r="K7532" s="36">
        <v>45651</v>
      </c>
      <c r="L7532" s="36">
        <v>45657</v>
      </c>
      <c r="M7532" t="s">
        <v>603</v>
      </c>
      <c r="N7532" t="s">
        <v>604</v>
      </c>
      <c r="O7532" s="37" t="str">
        <f t="shared" si="588"/>
        <v>Digital Payment</v>
      </c>
      <c r="P7532">
        <v>24.62</v>
      </c>
      <c r="Q7532" s="37" t="str">
        <f>IF(P7532&gt;500,"High","low")</f>
        <v>low</v>
      </c>
      <c r="R7532" s="37" t="str">
        <f t="shared" si="589"/>
        <v>AVERAGE</v>
      </c>
      <c r="S7532" t="s">
        <v>609</v>
      </c>
    </row>
    <row r="7533" spans="1:19" x14ac:dyDescent="0.2">
      <c r="A7533" t="s">
        <v>8144</v>
      </c>
      <c r="B7533" t="s">
        <v>83</v>
      </c>
      <c r="C7533" t="s">
        <v>602</v>
      </c>
      <c r="D7533">
        <v>855.69</v>
      </c>
      <c r="E7533" s="37" t="str">
        <f t="shared" si="585"/>
        <v xml:space="preserve"> </v>
      </c>
      <c r="F7533">
        <v>0.39</v>
      </c>
      <c r="G7533" s="37" t="str">
        <f t="shared" si="586"/>
        <v>Heavy Discount</v>
      </c>
      <c r="H7533" s="37" t="str">
        <f t="shared" si="587"/>
        <v>Medium</v>
      </c>
      <c r="I7533">
        <v>6</v>
      </c>
      <c r="J7533" t="str" cm="1">
        <f t="array" ref="J7533">_xlfn.IFS(I7533&lt;=3,"small",I7533&lt;=6,"Medium",I7533&lt;=9,"Large")</f>
        <v>Medium</v>
      </c>
      <c r="K7533" s="36">
        <v>45320</v>
      </c>
      <c r="L7533" s="36">
        <v>45324</v>
      </c>
      <c r="M7533" t="s">
        <v>598</v>
      </c>
      <c r="N7533" t="s">
        <v>608</v>
      </c>
      <c r="O7533" s="37" t="str">
        <f t="shared" si="588"/>
        <v>Cash Payment</v>
      </c>
      <c r="P7533">
        <v>85.15</v>
      </c>
      <c r="Q7533" s="37" t="str">
        <f>IF(P7533&gt;500,"High","low")</f>
        <v>low</v>
      </c>
      <c r="R7533" s="37" t="str">
        <f t="shared" si="589"/>
        <v>AVERAGE</v>
      </c>
      <c r="S7533" t="s">
        <v>605</v>
      </c>
    </row>
    <row r="7534" spans="1:19" x14ac:dyDescent="0.2">
      <c r="A7534" t="s">
        <v>8145</v>
      </c>
      <c r="B7534" t="s">
        <v>67</v>
      </c>
      <c r="C7534" t="s">
        <v>602</v>
      </c>
      <c r="D7534">
        <v>4758.97</v>
      </c>
      <c r="E7534" s="37" t="str">
        <f t="shared" si="585"/>
        <v xml:space="preserve"> </v>
      </c>
      <c r="F7534">
        <v>0.19</v>
      </c>
      <c r="G7534" s="37" t="str">
        <f t="shared" si="586"/>
        <v>Normal Discount</v>
      </c>
      <c r="H7534" s="37" t="str">
        <f t="shared" si="587"/>
        <v>Low</v>
      </c>
      <c r="I7534">
        <v>1</v>
      </c>
      <c r="J7534" t="str" cm="1">
        <f t="array" ref="J7534">_xlfn.IFS(I7534&lt;=3,"small",I7534&lt;=6,"Medium",I7534&lt;=9,"Large")</f>
        <v>small</v>
      </c>
      <c r="K7534" s="36">
        <v>44963</v>
      </c>
      <c r="L7534" s="36">
        <v>44965</v>
      </c>
      <c r="M7534" t="s">
        <v>598</v>
      </c>
      <c r="N7534" t="s">
        <v>608</v>
      </c>
      <c r="O7534" s="37" t="str">
        <f t="shared" si="588"/>
        <v>Cash Payment</v>
      </c>
      <c r="P7534">
        <v>573.79</v>
      </c>
      <c r="Q7534" s="37" t="str">
        <f>IF(P7534&gt;500,"High","low")</f>
        <v>High</v>
      </c>
      <c r="R7534" s="37" t="str">
        <f t="shared" si="589"/>
        <v>Good</v>
      </c>
      <c r="S7534" t="s">
        <v>628</v>
      </c>
    </row>
    <row r="7535" spans="1:19" x14ac:dyDescent="0.2">
      <c r="A7535" t="s">
        <v>8146</v>
      </c>
      <c r="B7535" t="s">
        <v>90</v>
      </c>
      <c r="C7535" t="s">
        <v>607</v>
      </c>
      <c r="D7535">
        <v>4227.84</v>
      </c>
      <c r="E7535" s="37" t="str">
        <f t="shared" si="585"/>
        <v xml:space="preserve"> </v>
      </c>
      <c r="F7535">
        <v>0.15</v>
      </c>
      <c r="G7535" s="37" t="str">
        <f t="shared" si="586"/>
        <v>Normal Discount</v>
      </c>
      <c r="H7535" s="37" t="str">
        <f t="shared" si="587"/>
        <v>Low</v>
      </c>
      <c r="I7535">
        <v>2</v>
      </c>
      <c r="J7535" t="str" cm="1">
        <f t="array" ref="J7535">_xlfn.IFS(I7535&lt;=3,"small",I7535&lt;=6,"Medium",I7535&lt;=9,"Large")</f>
        <v>small</v>
      </c>
      <c r="K7535" s="36">
        <v>45211</v>
      </c>
      <c r="L7535" s="36">
        <v>45214</v>
      </c>
      <c r="M7535" t="s">
        <v>612</v>
      </c>
      <c r="N7535" t="s">
        <v>604</v>
      </c>
      <c r="O7535" s="37" t="str">
        <f t="shared" si="588"/>
        <v>Digital Payment</v>
      </c>
      <c r="P7535">
        <v>522.59</v>
      </c>
      <c r="Q7535" s="37" t="str">
        <f>IF(P7535&gt;500,"High","low")</f>
        <v>High</v>
      </c>
      <c r="R7535" s="37" t="str">
        <f t="shared" si="589"/>
        <v>Good</v>
      </c>
      <c r="S7535" t="s">
        <v>615</v>
      </c>
    </row>
    <row r="7536" spans="1:19" x14ac:dyDescent="0.2">
      <c r="A7536" t="s">
        <v>8147</v>
      </c>
      <c r="B7536" t="s">
        <v>83</v>
      </c>
      <c r="C7536" t="s">
        <v>614</v>
      </c>
      <c r="D7536">
        <v>1448.03</v>
      </c>
      <c r="E7536" s="37" t="str">
        <f t="shared" si="585"/>
        <v xml:space="preserve"> </v>
      </c>
      <c r="F7536">
        <v>0.11</v>
      </c>
      <c r="G7536" s="37" t="str">
        <f t="shared" si="586"/>
        <v>Normal Discount</v>
      </c>
      <c r="H7536" s="37" t="str">
        <f t="shared" si="587"/>
        <v>Low</v>
      </c>
      <c r="I7536">
        <v>3</v>
      </c>
      <c r="J7536" t="str" cm="1">
        <f t="array" ref="J7536">_xlfn.IFS(I7536&lt;=3,"small",I7536&lt;=6,"Medium",I7536&lt;=9,"Large")</f>
        <v>small</v>
      </c>
      <c r="K7536" s="36">
        <v>45612</v>
      </c>
      <c r="L7536" s="36">
        <v>45613</v>
      </c>
      <c r="M7536" t="s">
        <v>603</v>
      </c>
      <c r="N7536" t="s">
        <v>604</v>
      </c>
      <c r="O7536" s="37" t="str">
        <f t="shared" si="588"/>
        <v>Digital Payment</v>
      </c>
      <c r="P7536">
        <v>139.85</v>
      </c>
      <c r="Q7536" s="37" t="str">
        <f>IF(P7536&gt;500,"High","low")</f>
        <v>low</v>
      </c>
      <c r="R7536" s="37" t="str">
        <f t="shared" si="589"/>
        <v>AVERAGE</v>
      </c>
      <c r="S7536" t="s">
        <v>600</v>
      </c>
    </row>
    <row r="7537" spans="1:19" x14ac:dyDescent="0.2">
      <c r="A7537" t="s">
        <v>8148</v>
      </c>
      <c r="B7537" t="s">
        <v>75</v>
      </c>
      <c r="C7537" t="s">
        <v>597</v>
      </c>
      <c r="D7537">
        <v>2065.84</v>
      </c>
      <c r="E7537" s="37" t="str">
        <f t="shared" si="585"/>
        <v xml:space="preserve"> </v>
      </c>
      <c r="F7537">
        <v>0.09</v>
      </c>
      <c r="G7537" s="37" t="str">
        <f t="shared" si="586"/>
        <v>Normal Discount</v>
      </c>
      <c r="H7537" s="37" t="str">
        <f t="shared" si="587"/>
        <v>Low</v>
      </c>
      <c r="I7537">
        <v>1</v>
      </c>
      <c r="J7537" t="str" cm="1">
        <f t="array" ref="J7537">_xlfn.IFS(I7537&lt;=3,"small",I7537&lt;=6,"Medium",I7537&lt;=9,"Large")</f>
        <v>small</v>
      </c>
      <c r="K7537" s="36">
        <v>45030</v>
      </c>
      <c r="L7537" s="36">
        <v>45035</v>
      </c>
      <c r="M7537" t="s">
        <v>598</v>
      </c>
      <c r="N7537" t="s">
        <v>604</v>
      </c>
      <c r="O7537" s="37" t="str">
        <f t="shared" si="588"/>
        <v>Digital Payment</v>
      </c>
      <c r="P7537">
        <v>160.08000000000001</v>
      </c>
      <c r="Q7537" s="37" t="str">
        <f>IF(P7537&gt;500,"High","low")</f>
        <v>low</v>
      </c>
      <c r="R7537" s="37" t="str">
        <f t="shared" si="589"/>
        <v>AVERAGE</v>
      </c>
      <c r="S7537" t="s">
        <v>620</v>
      </c>
    </row>
    <row r="7538" spans="1:19" x14ac:dyDescent="0.2">
      <c r="A7538" t="s">
        <v>8149</v>
      </c>
      <c r="B7538" t="s">
        <v>75</v>
      </c>
      <c r="C7538" t="s">
        <v>602</v>
      </c>
      <c r="D7538">
        <v>4705.6099999999997</v>
      </c>
      <c r="E7538" s="37" t="str">
        <f t="shared" si="585"/>
        <v>Excellent Order</v>
      </c>
      <c r="F7538">
        <v>0.14000000000000001</v>
      </c>
      <c r="G7538" s="37" t="str">
        <f t="shared" si="586"/>
        <v>Normal Discount</v>
      </c>
      <c r="H7538" s="37" t="str">
        <f t="shared" si="587"/>
        <v>Low</v>
      </c>
      <c r="I7538">
        <v>5</v>
      </c>
      <c r="J7538" t="str" cm="1">
        <f t="array" ref="J7538">_xlfn.IFS(I7538&lt;=3,"small",I7538&lt;=6,"Medium",I7538&lt;=9,"Large")</f>
        <v>Medium</v>
      </c>
      <c r="K7538" s="36">
        <v>45654</v>
      </c>
      <c r="L7538" s="36">
        <v>45656</v>
      </c>
      <c r="M7538" t="s">
        <v>612</v>
      </c>
      <c r="N7538" t="s">
        <v>599</v>
      </c>
      <c r="O7538" s="37" t="str">
        <f t="shared" si="588"/>
        <v>Digital Payment</v>
      </c>
      <c r="P7538">
        <v>1015.32</v>
      </c>
      <c r="Q7538" s="37" t="str">
        <f>IF(P7538&gt;500,"High","low")</f>
        <v>High</v>
      </c>
      <c r="R7538" s="37" t="str">
        <f t="shared" si="589"/>
        <v>Excellent</v>
      </c>
      <c r="S7538" t="s">
        <v>628</v>
      </c>
    </row>
    <row r="7539" spans="1:19" x14ac:dyDescent="0.2">
      <c r="A7539" t="s">
        <v>8150</v>
      </c>
      <c r="B7539" t="s">
        <v>67</v>
      </c>
      <c r="C7539" t="s">
        <v>617</v>
      </c>
      <c r="D7539">
        <v>1327.18</v>
      </c>
      <c r="E7539" s="37" t="str">
        <f t="shared" si="585"/>
        <v xml:space="preserve"> </v>
      </c>
      <c r="F7539">
        <v>0.31</v>
      </c>
      <c r="G7539" s="37" t="str">
        <f t="shared" si="586"/>
        <v>Heavy Discount</v>
      </c>
      <c r="H7539" s="37" t="str">
        <f t="shared" si="587"/>
        <v>Medium</v>
      </c>
      <c r="I7539">
        <v>5</v>
      </c>
      <c r="J7539" t="str" cm="1">
        <f t="array" ref="J7539">_xlfn.IFS(I7539&lt;=3,"small",I7539&lt;=6,"Medium",I7539&lt;=9,"Large")</f>
        <v>Medium</v>
      </c>
      <c r="K7539" s="36">
        <v>45226</v>
      </c>
      <c r="L7539" s="36">
        <v>45232</v>
      </c>
      <c r="M7539" t="s">
        <v>612</v>
      </c>
      <c r="N7539" t="s">
        <v>608</v>
      </c>
      <c r="O7539" s="37" t="str">
        <f t="shared" si="588"/>
        <v>Cash Payment</v>
      </c>
      <c r="P7539">
        <v>314.49</v>
      </c>
      <c r="Q7539" s="37" t="str">
        <f>IF(P7539&gt;500,"High","low")</f>
        <v>low</v>
      </c>
      <c r="R7539" s="37" t="str">
        <f t="shared" si="589"/>
        <v>AVERAGE</v>
      </c>
      <c r="S7539" t="s">
        <v>628</v>
      </c>
    </row>
    <row r="7540" spans="1:19" x14ac:dyDescent="0.2">
      <c r="A7540" t="s">
        <v>8151</v>
      </c>
      <c r="B7540" t="s">
        <v>75</v>
      </c>
      <c r="C7540" t="s">
        <v>614</v>
      </c>
      <c r="D7540">
        <v>2709.41</v>
      </c>
      <c r="E7540" s="37" t="str">
        <f t="shared" si="585"/>
        <v xml:space="preserve"> </v>
      </c>
      <c r="F7540">
        <v>0.12</v>
      </c>
      <c r="G7540" s="37" t="str">
        <f t="shared" si="586"/>
        <v>Normal Discount</v>
      </c>
      <c r="H7540" s="37" t="str">
        <f t="shared" si="587"/>
        <v>Low</v>
      </c>
      <c r="I7540">
        <v>6</v>
      </c>
      <c r="J7540" t="str" cm="1">
        <f t="array" ref="J7540">_xlfn.IFS(I7540&lt;=3,"small",I7540&lt;=6,"Medium",I7540&lt;=9,"Large")</f>
        <v>Medium</v>
      </c>
      <c r="K7540" s="36">
        <v>45456</v>
      </c>
      <c r="L7540" s="36">
        <v>45462</v>
      </c>
      <c r="M7540" t="s">
        <v>603</v>
      </c>
      <c r="N7540" t="s">
        <v>604</v>
      </c>
      <c r="O7540" s="37" t="str">
        <f t="shared" si="588"/>
        <v>Digital Payment</v>
      </c>
      <c r="P7540">
        <v>301</v>
      </c>
      <c r="Q7540" s="37" t="str">
        <f>IF(P7540&gt;500,"High","low")</f>
        <v>low</v>
      </c>
      <c r="R7540" s="37" t="str">
        <f t="shared" si="589"/>
        <v>AVERAGE</v>
      </c>
      <c r="S7540" t="s">
        <v>600</v>
      </c>
    </row>
    <row r="7541" spans="1:19" x14ac:dyDescent="0.2">
      <c r="A7541" t="s">
        <v>8152</v>
      </c>
      <c r="B7541" t="s">
        <v>83</v>
      </c>
      <c r="C7541" t="s">
        <v>617</v>
      </c>
      <c r="D7541">
        <v>208.19</v>
      </c>
      <c r="E7541" s="37" t="str">
        <f t="shared" si="585"/>
        <v xml:space="preserve"> </v>
      </c>
      <c r="F7541">
        <v>0.03</v>
      </c>
      <c r="G7541" s="37" t="str">
        <f t="shared" si="586"/>
        <v>Normal Discount</v>
      </c>
      <c r="H7541" s="37" t="str">
        <f t="shared" si="587"/>
        <v>Low</v>
      </c>
      <c r="I7541">
        <v>7</v>
      </c>
      <c r="J7541" t="str" cm="1">
        <f t="array" ref="J7541">_xlfn.IFS(I7541&lt;=3,"small",I7541&lt;=6,"Medium",I7541&lt;=9,"Large")</f>
        <v>Large</v>
      </c>
      <c r="K7541" s="36">
        <v>45517</v>
      </c>
      <c r="L7541" s="36">
        <v>45521</v>
      </c>
      <c r="M7541" t="s">
        <v>603</v>
      </c>
      <c r="N7541" t="s">
        <v>604</v>
      </c>
      <c r="O7541" s="37" t="str">
        <f t="shared" si="588"/>
        <v>Digital Payment</v>
      </c>
      <c r="P7541">
        <v>49.89</v>
      </c>
      <c r="Q7541" s="37" t="str">
        <f>IF(P7541&gt;500,"High","low")</f>
        <v>low</v>
      </c>
      <c r="R7541" s="37" t="str">
        <f t="shared" si="589"/>
        <v>AVERAGE</v>
      </c>
      <c r="S7541" t="s">
        <v>605</v>
      </c>
    </row>
    <row r="7542" spans="1:19" x14ac:dyDescent="0.2">
      <c r="A7542" t="s">
        <v>8153</v>
      </c>
      <c r="B7542" t="s">
        <v>75</v>
      </c>
      <c r="C7542" t="s">
        <v>614</v>
      </c>
      <c r="D7542">
        <v>3136.7</v>
      </c>
      <c r="E7542" s="37" t="str">
        <f t="shared" si="585"/>
        <v xml:space="preserve"> </v>
      </c>
      <c r="F7542">
        <v>0.18</v>
      </c>
      <c r="G7542" s="37" t="str">
        <f t="shared" si="586"/>
        <v>Normal Discount</v>
      </c>
      <c r="H7542" s="37" t="str">
        <f t="shared" si="587"/>
        <v>Low</v>
      </c>
      <c r="I7542">
        <v>9</v>
      </c>
      <c r="J7542" t="str" cm="1">
        <f t="array" ref="J7542">_xlfn.IFS(I7542&lt;=3,"small",I7542&lt;=6,"Medium",I7542&lt;=9,"Large")</f>
        <v>Large</v>
      </c>
      <c r="K7542" s="36">
        <v>45161</v>
      </c>
      <c r="L7542" s="36">
        <v>45165</v>
      </c>
      <c r="M7542" t="s">
        <v>612</v>
      </c>
      <c r="N7542" t="s">
        <v>599</v>
      </c>
      <c r="O7542" s="37" t="str">
        <f t="shared" si="588"/>
        <v>Digital Payment</v>
      </c>
      <c r="P7542">
        <v>286.2</v>
      </c>
      <c r="Q7542" s="37" t="str">
        <f>IF(P7542&gt;500,"High","low")</f>
        <v>low</v>
      </c>
      <c r="R7542" s="37" t="str">
        <f t="shared" si="589"/>
        <v>AVERAGE</v>
      </c>
      <c r="S7542" t="s">
        <v>615</v>
      </c>
    </row>
    <row r="7543" spans="1:19" x14ac:dyDescent="0.2">
      <c r="A7543" t="s">
        <v>8154</v>
      </c>
      <c r="B7543" t="s">
        <v>83</v>
      </c>
      <c r="C7543" t="s">
        <v>602</v>
      </c>
      <c r="D7543">
        <v>4657.3599999999997</v>
      </c>
      <c r="E7543" s="37" t="str">
        <f t="shared" si="585"/>
        <v xml:space="preserve"> </v>
      </c>
      <c r="F7543">
        <v>0.28999999999999998</v>
      </c>
      <c r="G7543" s="37" t="str">
        <f t="shared" si="586"/>
        <v>Normal Discount</v>
      </c>
      <c r="H7543" s="37" t="str">
        <f t="shared" si="587"/>
        <v>Medium</v>
      </c>
      <c r="I7543">
        <v>7</v>
      </c>
      <c r="J7543" t="str" cm="1">
        <f t="array" ref="J7543">_xlfn.IFS(I7543&lt;=3,"small",I7543&lt;=6,"Medium",I7543&lt;=9,"Large")</f>
        <v>Large</v>
      </c>
      <c r="K7543" s="36">
        <v>45291</v>
      </c>
      <c r="L7543" s="36">
        <v>45292</v>
      </c>
      <c r="M7543" t="s">
        <v>603</v>
      </c>
      <c r="N7543" t="s">
        <v>604</v>
      </c>
      <c r="O7543" s="37" t="str">
        <f t="shared" si="588"/>
        <v>Digital Payment</v>
      </c>
      <c r="P7543">
        <v>504.13</v>
      </c>
      <c r="Q7543" s="37" t="str">
        <f>IF(P7543&gt;500,"High","low")</f>
        <v>High</v>
      </c>
      <c r="R7543" s="37" t="str">
        <f t="shared" si="589"/>
        <v>Good</v>
      </c>
      <c r="S7543" t="s">
        <v>605</v>
      </c>
    </row>
    <row r="7544" spans="1:19" x14ac:dyDescent="0.2">
      <c r="A7544" t="s">
        <v>8155</v>
      </c>
      <c r="B7544" t="s">
        <v>75</v>
      </c>
      <c r="C7544" t="s">
        <v>614</v>
      </c>
      <c r="D7544">
        <v>4435.24</v>
      </c>
      <c r="E7544" s="37" t="str">
        <f t="shared" si="585"/>
        <v>Excellent Order</v>
      </c>
      <c r="F7544">
        <v>0.03</v>
      </c>
      <c r="G7544" s="37" t="str">
        <f t="shared" si="586"/>
        <v>Normal Discount</v>
      </c>
      <c r="H7544" s="37" t="str">
        <f t="shared" si="587"/>
        <v>Low</v>
      </c>
      <c r="I7544">
        <v>6</v>
      </c>
      <c r="J7544" t="str" cm="1">
        <f t="array" ref="J7544">_xlfn.IFS(I7544&lt;=3,"small",I7544&lt;=6,"Medium",I7544&lt;=9,"Large")</f>
        <v>Medium</v>
      </c>
      <c r="K7544" s="36">
        <v>45458</v>
      </c>
      <c r="L7544" s="36">
        <v>45462</v>
      </c>
      <c r="M7544" t="s">
        <v>598</v>
      </c>
      <c r="N7544" t="s">
        <v>608</v>
      </c>
      <c r="O7544" s="37" t="str">
        <f t="shared" si="588"/>
        <v>Cash Payment</v>
      </c>
      <c r="P7544">
        <v>1091.46</v>
      </c>
      <c r="Q7544" s="37" t="str">
        <f>IF(P7544&gt;500,"High","low")</f>
        <v>High</v>
      </c>
      <c r="R7544" s="37" t="str">
        <f t="shared" si="589"/>
        <v>Excellent</v>
      </c>
      <c r="S7544" t="s">
        <v>600</v>
      </c>
    </row>
    <row r="7545" spans="1:19" x14ac:dyDescent="0.2">
      <c r="A7545" t="s">
        <v>8156</v>
      </c>
      <c r="B7545" t="s">
        <v>90</v>
      </c>
      <c r="C7545" t="s">
        <v>614</v>
      </c>
      <c r="D7545">
        <v>2559.65</v>
      </c>
      <c r="E7545" s="37" t="str">
        <f t="shared" si="585"/>
        <v xml:space="preserve"> </v>
      </c>
      <c r="F7545">
        <v>0.23</v>
      </c>
      <c r="G7545" s="37" t="str">
        <f t="shared" si="586"/>
        <v>Normal Discount</v>
      </c>
      <c r="H7545" s="37" t="str">
        <f t="shared" si="587"/>
        <v>Medium</v>
      </c>
      <c r="I7545">
        <v>9</v>
      </c>
      <c r="J7545" t="str" cm="1">
        <f t="array" ref="J7545">_xlfn.IFS(I7545&lt;=3,"small",I7545&lt;=6,"Medium",I7545&lt;=9,"Large")</f>
        <v>Large</v>
      </c>
      <c r="K7545" s="36">
        <v>45511</v>
      </c>
      <c r="L7545" s="36">
        <v>45518</v>
      </c>
      <c r="M7545" t="s">
        <v>612</v>
      </c>
      <c r="N7545" t="s">
        <v>608</v>
      </c>
      <c r="O7545" s="37" t="str">
        <f t="shared" si="588"/>
        <v>Cash Payment</v>
      </c>
      <c r="P7545">
        <v>753.63</v>
      </c>
      <c r="Q7545" s="37" t="str">
        <f>IF(P7545&gt;500,"High","low")</f>
        <v>High</v>
      </c>
      <c r="R7545" s="37" t="str">
        <f t="shared" si="589"/>
        <v>Good</v>
      </c>
      <c r="S7545" t="s">
        <v>620</v>
      </c>
    </row>
    <row r="7546" spans="1:19" x14ac:dyDescent="0.2">
      <c r="A7546" t="s">
        <v>8157</v>
      </c>
      <c r="B7546" t="s">
        <v>67</v>
      </c>
      <c r="C7546" t="s">
        <v>602</v>
      </c>
      <c r="D7546">
        <v>3283.25</v>
      </c>
      <c r="E7546" s="37" t="str">
        <f t="shared" si="585"/>
        <v xml:space="preserve"> </v>
      </c>
      <c r="F7546">
        <v>0.03</v>
      </c>
      <c r="G7546" s="37" t="str">
        <f t="shared" si="586"/>
        <v>Normal Discount</v>
      </c>
      <c r="H7546" s="37" t="str">
        <f t="shared" si="587"/>
        <v>Low</v>
      </c>
      <c r="I7546">
        <v>2</v>
      </c>
      <c r="J7546" t="str" cm="1">
        <f t="array" ref="J7546">_xlfn.IFS(I7546&lt;=3,"small",I7546&lt;=6,"Medium",I7546&lt;=9,"Large")</f>
        <v>small</v>
      </c>
      <c r="K7546" s="36">
        <v>45351</v>
      </c>
      <c r="L7546" s="36">
        <v>45353</v>
      </c>
      <c r="M7546" t="s">
        <v>612</v>
      </c>
      <c r="N7546" t="s">
        <v>604</v>
      </c>
      <c r="O7546" s="37" t="str">
        <f t="shared" si="588"/>
        <v>Digital Payment</v>
      </c>
      <c r="P7546">
        <v>802.64</v>
      </c>
      <c r="Q7546" s="37" t="str">
        <f>IF(P7546&gt;500,"High","low")</f>
        <v>High</v>
      </c>
      <c r="R7546" s="37" t="str">
        <f t="shared" si="589"/>
        <v>Good</v>
      </c>
      <c r="S7546" t="s">
        <v>605</v>
      </c>
    </row>
    <row r="7547" spans="1:19" x14ac:dyDescent="0.2">
      <c r="A7547" t="s">
        <v>8158</v>
      </c>
      <c r="B7547" t="s">
        <v>67</v>
      </c>
      <c r="C7547" t="s">
        <v>617</v>
      </c>
      <c r="D7547">
        <v>2892.01</v>
      </c>
      <c r="E7547" s="37" t="str">
        <f t="shared" si="585"/>
        <v xml:space="preserve"> </v>
      </c>
      <c r="F7547">
        <v>0.38</v>
      </c>
      <c r="G7547" s="37" t="str">
        <f t="shared" si="586"/>
        <v>Heavy Discount</v>
      </c>
      <c r="H7547" s="37" t="str">
        <f t="shared" si="587"/>
        <v>Medium</v>
      </c>
      <c r="I7547">
        <v>6</v>
      </c>
      <c r="J7547" t="str" cm="1">
        <f t="array" ref="J7547">_xlfn.IFS(I7547&lt;=3,"small",I7547&lt;=6,"Medium",I7547&lt;=9,"Large")</f>
        <v>Medium</v>
      </c>
      <c r="K7547" s="36">
        <v>45429</v>
      </c>
      <c r="L7547" s="36">
        <v>45435</v>
      </c>
      <c r="M7547" t="s">
        <v>612</v>
      </c>
      <c r="N7547" t="s">
        <v>604</v>
      </c>
      <c r="O7547" s="37" t="str">
        <f t="shared" si="588"/>
        <v>Digital Payment</v>
      </c>
      <c r="P7547">
        <v>287.32</v>
      </c>
      <c r="Q7547" s="37" t="str">
        <f>IF(P7547&gt;500,"High","low")</f>
        <v>low</v>
      </c>
      <c r="R7547" s="37" t="str">
        <f t="shared" si="589"/>
        <v>AVERAGE</v>
      </c>
      <c r="S7547" t="s">
        <v>605</v>
      </c>
    </row>
    <row r="7548" spans="1:19" x14ac:dyDescent="0.2">
      <c r="A7548" t="s">
        <v>8159</v>
      </c>
      <c r="B7548" t="s">
        <v>90</v>
      </c>
      <c r="C7548" t="s">
        <v>617</v>
      </c>
      <c r="D7548">
        <v>428.17</v>
      </c>
      <c r="E7548" s="37" t="str">
        <f t="shared" si="585"/>
        <v xml:space="preserve"> </v>
      </c>
      <c r="F7548">
        <v>0.44</v>
      </c>
      <c r="G7548" s="37" t="str">
        <f t="shared" si="586"/>
        <v>Heavy Discount</v>
      </c>
      <c r="H7548" s="37" t="str">
        <f t="shared" si="587"/>
        <v>High</v>
      </c>
      <c r="I7548">
        <v>5</v>
      </c>
      <c r="J7548" t="str" cm="1">
        <f t="array" ref="J7548">_xlfn.IFS(I7548&lt;=3,"small",I7548&lt;=6,"Medium",I7548&lt;=9,"Large")</f>
        <v>Medium</v>
      </c>
      <c r="K7548" s="36">
        <v>45280</v>
      </c>
      <c r="L7548" s="36">
        <v>45284</v>
      </c>
      <c r="M7548" t="s">
        <v>612</v>
      </c>
      <c r="N7548" t="s">
        <v>608</v>
      </c>
      <c r="O7548" s="37" t="str">
        <f t="shared" si="588"/>
        <v>Cash Payment</v>
      </c>
      <c r="P7548">
        <v>53.3</v>
      </c>
      <c r="Q7548" s="37" t="str">
        <f>IF(P7548&gt;500,"High","low")</f>
        <v>low</v>
      </c>
      <c r="R7548" s="37" t="str">
        <f t="shared" si="589"/>
        <v>AVERAGE</v>
      </c>
      <c r="S7548" t="s">
        <v>600</v>
      </c>
    </row>
    <row r="7549" spans="1:19" x14ac:dyDescent="0.2">
      <c r="A7549" t="s">
        <v>8160</v>
      </c>
      <c r="B7549" t="s">
        <v>90</v>
      </c>
      <c r="C7549" t="s">
        <v>607</v>
      </c>
      <c r="D7549">
        <v>877.75</v>
      </c>
      <c r="E7549" s="37" t="str">
        <f t="shared" si="585"/>
        <v xml:space="preserve"> </v>
      </c>
      <c r="F7549">
        <v>0.48</v>
      </c>
      <c r="G7549" s="37" t="str">
        <f t="shared" si="586"/>
        <v>Heavy Discount</v>
      </c>
      <c r="H7549" s="37" t="str">
        <f t="shared" si="587"/>
        <v>High</v>
      </c>
      <c r="I7549">
        <v>6</v>
      </c>
      <c r="J7549" t="str" cm="1">
        <f t="array" ref="J7549">_xlfn.IFS(I7549&lt;=3,"small",I7549&lt;=6,"Medium",I7549&lt;=9,"Large")</f>
        <v>Medium</v>
      </c>
      <c r="K7549" s="36">
        <v>45089</v>
      </c>
      <c r="L7549" s="36">
        <v>45096</v>
      </c>
      <c r="M7549" t="s">
        <v>598</v>
      </c>
      <c r="N7549" t="s">
        <v>599</v>
      </c>
      <c r="O7549" s="37" t="str">
        <f t="shared" si="588"/>
        <v>Digital Payment</v>
      </c>
      <c r="P7549">
        <v>184.26</v>
      </c>
      <c r="Q7549" s="37" t="str">
        <f>IF(P7549&gt;500,"High","low")</f>
        <v>low</v>
      </c>
      <c r="R7549" s="37" t="str">
        <f t="shared" si="589"/>
        <v>AVERAGE</v>
      </c>
      <c r="S7549" t="s">
        <v>605</v>
      </c>
    </row>
    <row r="7550" spans="1:19" x14ac:dyDescent="0.2">
      <c r="A7550" t="s">
        <v>8161</v>
      </c>
      <c r="B7550" t="s">
        <v>67</v>
      </c>
      <c r="C7550" t="s">
        <v>617</v>
      </c>
      <c r="D7550">
        <v>4822.7</v>
      </c>
      <c r="E7550" s="37" t="str">
        <f t="shared" si="585"/>
        <v>Excellent Order</v>
      </c>
      <c r="F7550">
        <v>0.35</v>
      </c>
      <c r="G7550" s="37" t="str">
        <f t="shared" si="586"/>
        <v>Heavy Discount</v>
      </c>
      <c r="H7550" s="37" t="str">
        <f t="shared" si="587"/>
        <v>Medium</v>
      </c>
      <c r="I7550">
        <v>1</v>
      </c>
      <c r="J7550" t="str" cm="1">
        <f t="array" ref="J7550">_xlfn.IFS(I7550&lt;=3,"small",I7550&lt;=6,"Medium",I7550&lt;=9,"Large")</f>
        <v>small</v>
      </c>
      <c r="K7550" s="36">
        <v>45111</v>
      </c>
      <c r="L7550" s="36">
        <v>45112</v>
      </c>
      <c r="M7550" t="s">
        <v>603</v>
      </c>
      <c r="N7550" t="s">
        <v>604</v>
      </c>
      <c r="O7550" s="37" t="str">
        <f t="shared" si="588"/>
        <v>Digital Payment</v>
      </c>
      <c r="P7550">
        <v>1392.23</v>
      </c>
      <c r="Q7550" s="37" t="str">
        <f>IF(P7550&gt;500,"High","low")</f>
        <v>High</v>
      </c>
      <c r="R7550" s="37" t="str">
        <f t="shared" si="589"/>
        <v>Excellent</v>
      </c>
      <c r="S7550" t="s">
        <v>600</v>
      </c>
    </row>
    <row r="7551" spans="1:19" x14ac:dyDescent="0.2">
      <c r="A7551" t="s">
        <v>8162</v>
      </c>
      <c r="B7551" t="s">
        <v>90</v>
      </c>
      <c r="C7551" t="s">
        <v>617</v>
      </c>
      <c r="D7551">
        <v>1354.25</v>
      </c>
      <c r="E7551" s="37" t="str">
        <f t="shared" si="585"/>
        <v xml:space="preserve"> </v>
      </c>
      <c r="F7551">
        <v>0.32</v>
      </c>
      <c r="G7551" s="37" t="str">
        <f t="shared" si="586"/>
        <v>Heavy Discount</v>
      </c>
      <c r="H7551" s="37" t="str">
        <f t="shared" si="587"/>
        <v>Medium</v>
      </c>
      <c r="I7551">
        <v>5</v>
      </c>
      <c r="J7551" t="str" cm="1">
        <f t="array" ref="J7551">_xlfn.IFS(I7551&lt;=3,"small",I7551&lt;=6,"Medium",I7551&lt;=9,"Large")</f>
        <v>Medium</v>
      </c>
      <c r="K7551" s="36">
        <v>45302</v>
      </c>
      <c r="L7551" s="36">
        <v>45308</v>
      </c>
      <c r="M7551" t="s">
        <v>603</v>
      </c>
      <c r="N7551" t="s">
        <v>604</v>
      </c>
      <c r="O7551" s="37" t="str">
        <f t="shared" si="588"/>
        <v>Digital Payment</v>
      </c>
      <c r="P7551">
        <v>404.47</v>
      </c>
      <c r="Q7551" s="37" t="str">
        <f>IF(P7551&gt;500,"High","low")</f>
        <v>low</v>
      </c>
      <c r="R7551" s="37" t="str">
        <f t="shared" si="589"/>
        <v>AVERAGE</v>
      </c>
      <c r="S7551" t="s">
        <v>628</v>
      </c>
    </row>
    <row r="7552" spans="1:19" x14ac:dyDescent="0.2">
      <c r="A7552" t="s">
        <v>8163</v>
      </c>
      <c r="B7552" t="s">
        <v>83</v>
      </c>
      <c r="C7552" t="s">
        <v>614</v>
      </c>
      <c r="D7552">
        <v>1983.8</v>
      </c>
      <c r="E7552" s="37" t="str">
        <f t="shared" si="585"/>
        <v xml:space="preserve"> </v>
      </c>
      <c r="F7552">
        <v>0.35</v>
      </c>
      <c r="G7552" s="37" t="str">
        <f t="shared" si="586"/>
        <v>Heavy Discount</v>
      </c>
      <c r="H7552" s="37" t="str">
        <f t="shared" si="587"/>
        <v>Medium</v>
      </c>
      <c r="I7552">
        <v>8</v>
      </c>
      <c r="J7552" t="str" cm="1">
        <f t="array" ref="J7552">_xlfn.IFS(I7552&lt;=3,"small",I7552&lt;=6,"Medium",I7552&lt;=9,"Large")</f>
        <v>Large</v>
      </c>
      <c r="K7552" s="36">
        <v>45200</v>
      </c>
      <c r="L7552" s="36">
        <v>45204</v>
      </c>
      <c r="M7552" t="s">
        <v>603</v>
      </c>
      <c r="N7552" t="s">
        <v>599</v>
      </c>
      <c r="O7552" s="37" t="str">
        <f t="shared" si="588"/>
        <v>Digital Payment</v>
      </c>
      <c r="P7552">
        <v>390.61</v>
      </c>
      <c r="Q7552" s="37" t="str">
        <f>IF(P7552&gt;500,"High","low")</f>
        <v>low</v>
      </c>
      <c r="R7552" s="37" t="str">
        <f t="shared" si="589"/>
        <v>AVERAGE</v>
      </c>
      <c r="S7552" t="s">
        <v>620</v>
      </c>
    </row>
    <row r="7553" spans="1:19" x14ac:dyDescent="0.2">
      <c r="A7553" t="s">
        <v>8164</v>
      </c>
      <c r="B7553" t="s">
        <v>75</v>
      </c>
      <c r="C7553" t="s">
        <v>607</v>
      </c>
      <c r="D7553">
        <v>2593.83</v>
      </c>
      <c r="E7553" s="37" t="str">
        <f t="shared" si="585"/>
        <v xml:space="preserve"> </v>
      </c>
      <c r="F7553">
        <v>0.43</v>
      </c>
      <c r="G7553" s="37" t="str">
        <f t="shared" si="586"/>
        <v>Heavy Discount</v>
      </c>
      <c r="H7553" s="37" t="str">
        <f t="shared" si="587"/>
        <v>High</v>
      </c>
      <c r="I7553">
        <v>3</v>
      </c>
      <c r="J7553" t="str" cm="1">
        <f t="array" ref="J7553">_xlfn.IFS(I7553&lt;=3,"small",I7553&lt;=6,"Medium",I7553&lt;=9,"Large")</f>
        <v>small</v>
      </c>
      <c r="K7553" s="36">
        <v>45584</v>
      </c>
      <c r="L7553" s="36">
        <v>45589</v>
      </c>
      <c r="M7553" t="s">
        <v>603</v>
      </c>
      <c r="N7553" t="s">
        <v>604</v>
      </c>
      <c r="O7553" s="37" t="str">
        <f t="shared" si="588"/>
        <v>Digital Payment</v>
      </c>
      <c r="P7553">
        <v>412.7</v>
      </c>
      <c r="Q7553" s="37" t="str">
        <f>IF(P7553&gt;500,"High","low")</f>
        <v>low</v>
      </c>
      <c r="R7553" s="37" t="str">
        <f t="shared" si="589"/>
        <v>AVERAGE</v>
      </c>
      <c r="S7553" t="s">
        <v>609</v>
      </c>
    </row>
    <row r="7554" spans="1:19" x14ac:dyDescent="0.2">
      <c r="A7554" t="s">
        <v>8165</v>
      </c>
      <c r="B7554" t="s">
        <v>67</v>
      </c>
      <c r="C7554" t="s">
        <v>602</v>
      </c>
      <c r="D7554">
        <v>4897.75</v>
      </c>
      <c r="E7554" s="37" t="str">
        <f t="shared" si="585"/>
        <v xml:space="preserve"> </v>
      </c>
      <c r="F7554">
        <v>0.4</v>
      </c>
      <c r="G7554" s="37" t="str">
        <f t="shared" si="586"/>
        <v>Heavy Discount</v>
      </c>
      <c r="H7554" s="37" t="str">
        <f t="shared" si="587"/>
        <v>Medium</v>
      </c>
      <c r="I7554">
        <v>3</v>
      </c>
      <c r="J7554" t="str" cm="1">
        <f t="array" ref="J7554">_xlfn.IFS(I7554&lt;=3,"small",I7554&lt;=6,"Medium",I7554&lt;=9,"Large")</f>
        <v>small</v>
      </c>
      <c r="K7554" s="36">
        <v>45593</v>
      </c>
      <c r="L7554" s="36">
        <v>45599</v>
      </c>
      <c r="M7554" t="s">
        <v>603</v>
      </c>
      <c r="N7554" t="s">
        <v>599</v>
      </c>
      <c r="O7554" s="37" t="str">
        <f t="shared" si="588"/>
        <v>Digital Payment</v>
      </c>
      <c r="P7554">
        <v>540.96</v>
      </c>
      <c r="Q7554" s="37" t="str">
        <f>IF(P7554&gt;500,"High","low")</f>
        <v>High</v>
      </c>
      <c r="R7554" s="37" t="str">
        <f t="shared" si="589"/>
        <v>Good</v>
      </c>
      <c r="S7554" t="s">
        <v>615</v>
      </c>
    </row>
    <row r="7555" spans="1:19" x14ac:dyDescent="0.2">
      <c r="A7555" t="s">
        <v>8166</v>
      </c>
      <c r="B7555" t="s">
        <v>90</v>
      </c>
      <c r="C7555" t="s">
        <v>602</v>
      </c>
      <c r="D7555">
        <v>3480.97</v>
      </c>
      <c r="E7555" s="37" t="str">
        <f t="shared" ref="E7555:E7618" si="590">IF(AND(D7555&gt;4000,P7555&gt;800),"Excellent Order"," ")</f>
        <v xml:space="preserve"> </v>
      </c>
      <c r="F7555">
        <v>0.22</v>
      </c>
      <c r="G7555" s="37" t="str">
        <f t="shared" ref="G7555:G7618" si="591">IF(F7555&gt;30%,"Heavy Discount","Normal Discount")</f>
        <v>Normal Discount</v>
      </c>
      <c r="H7555" s="37" t="str">
        <f t="shared" ref="H7555:H7618" si="592">IF(F7555&gt;0.4,"High",IF(F7555&gt;=0.2,"Medium","Low"))</f>
        <v>Medium</v>
      </c>
      <c r="I7555">
        <v>7</v>
      </c>
      <c r="J7555" t="str" cm="1">
        <f t="array" ref="J7555">_xlfn.IFS(I7555&lt;=3,"small",I7555&lt;=6,"Medium",I7555&lt;=9,"Large")</f>
        <v>Large</v>
      </c>
      <c r="K7555" s="36">
        <v>45023</v>
      </c>
      <c r="L7555" s="36">
        <v>45030</v>
      </c>
      <c r="M7555" t="s">
        <v>612</v>
      </c>
      <c r="N7555" t="s">
        <v>608</v>
      </c>
      <c r="O7555" s="37" t="str">
        <f t="shared" ref="O7555:O7618" si="593">IF(OR(N7555="Card",N7555="UPI"),"Digital Payment","Cash Payment")</f>
        <v>Cash Payment</v>
      </c>
      <c r="P7555">
        <v>240.36</v>
      </c>
      <c r="Q7555" s="37" t="str">
        <f>IF(P7555&gt;500,"High","low")</f>
        <v>low</v>
      </c>
      <c r="R7555" s="37" t="str">
        <f t="shared" ref="R7555:R7618" si="594">IF(P7555&gt;1000,"Excellent",IF(P7555&gt;=500,"Good","AVERAGE"))</f>
        <v>AVERAGE</v>
      </c>
      <c r="S7555" t="s">
        <v>600</v>
      </c>
    </row>
    <row r="7556" spans="1:19" x14ac:dyDescent="0.2">
      <c r="A7556" t="s">
        <v>8167</v>
      </c>
      <c r="B7556" t="s">
        <v>83</v>
      </c>
      <c r="C7556" t="s">
        <v>597</v>
      </c>
      <c r="D7556">
        <v>3185.03</v>
      </c>
      <c r="E7556" s="37" t="str">
        <f t="shared" si="590"/>
        <v xml:space="preserve"> </v>
      </c>
      <c r="F7556">
        <v>0.33</v>
      </c>
      <c r="G7556" s="37" t="str">
        <f t="shared" si="591"/>
        <v>Heavy Discount</v>
      </c>
      <c r="H7556" s="37" t="str">
        <f t="shared" si="592"/>
        <v>Medium</v>
      </c>
      <c r="I7556">
        <v>7</v>
      </c>
      <c r="J7556" t="str" cm="1">
        <f t="array" ref="J7556">_xlfn.IFS(I7556&lt;=3,"small",I7556&lt;=6,"Medium",I7556&lt;=9,"Large")</f>
        <v>Large</v>
      </c>
      <c r="K7556" s="36">
        <v>45431</v>
      </c>
      <c r="L7556" s="36">
        <v>45438</v>
      </c>
      <c r="M7556" t="s">
        <v>603</v>
      </c>
      <c r="N7556" t="s">
        <v>599</v>
      </c>
      <c r="O7556" s="37" t="str">
        <f t="shared" si="593"/>
        <v>Digital Payment</v>
      </c>
      <c r="P7556">
        <v>403.84</v>
      </c>
      <c r="Q7556" s="37" t="str">
        <f>IF(P7556&gt;500,"High","low")</f>
        <v>low</v>
      </c>
      <c r="R7556" s="37" t="str">
        <f t="shared" si="594"/>
        <v>AVERAGE</v>
      </c>
      <c r="S7556" t="s">
        <v>605</v>
      </c>
    </row>
    <row r="7557" spans="1:19" x14ac:dyDescent="0.2">
      <c r="A7557" t="s">
        <v>8168</v>
      </c>
      <c r="B7557" t="s">
        <v>67</v>
      </c>
      <c r="C7557" t="s">
        <v>607</v>
      </c>
      <c r="D7557">
        <v>2669.56</v>
      </c>
      <c r="E7557" s="37" t="str">
        <f t="shared" si="590"/>
        <v xml:space="preserve"> </v>
      </c>
      <c r="F7557">
        <v>0.08</v>
      </c>
      <c r="G7557" s="37" t="str">
        <f t="shared" si="591"/>
        <v>Normal Discount</v>
      </c>
      <c r="H7557" s="37" t="str">
        <f t="shared" si="592"/>
        <v>Low</v>
      </c>
      <c r="I7557">
        <v>2</v>
      </c>
      <c r="J7557" t="str" cm="1">
        <f t="array" ref="J7557">_xlfn.IFS(I7557&lt;=3,"small",I7557&lt;=6,"Medium",I7557&lt;=9,"Large")</f>
        <v>small</v>
      </c>
      <c r="K7557" s="36">
        <v>45069</v>
      </c>
      <c r="L7557" s="36">
        <v>45071</v>
      </c>
      <c r="M7557" t="s">
        <v>612</v>
      </c>
      <c r="N7557" t="s">
        <v>604</v>
      </c>
      <c r="O7557" s="37" t="str">
        <f t="shared" si="593"/>
        <v>Digital Payment</v>
      </c>
      <c r="P7557">
        <v>507.13</v>
      </c>
      <c r="Q7557" s="37" t="str">
        <f>IF(P7557&gt;500,"High","low")</f>
        <v>High</v>
      </c>
      <c r="R7557" s="37" t="str">
        <f t="shared" si="594"/>
        <v>Good</v>
      </c>
      <c r="S7557" t="s">
        <v>609</v>
      </c>
    </row>
    <row r="7558" spans="1:19" x14ac:dyDescent="0.2">
      <c r="A7558" t="s">
        <v>8169</v>
      </c>
      <c r="B7558" t="s">
        <v>90</v>
      </c>
      <c r="C7558" t="s">
        <v>614</v>
      </c>
      <c r="D7558">
        <v>3533.3</v>
      </c>
      <c r="E7558" s="37" t="str">
        <f t="shared" si="590"/>
        <v xml:space="preserve"> </v>
      </c>
      <c r="F7558">
        <v>0.35</v>
      </c>
      <c r="G7558" s="37" t="str">
        <f t="shared" si="591"/>
        <v>Heavy Discount</v>
      </c>
      <c r="H7558" s="37" t="str">
        <f t="shared" si="592"/>
        <v>Medium</v>
      </c>
      <c r="I7558">
        <v>8</v>
      </c>
      <c r="J7558" t="str" cm="1">
        <f t="array" ref="J7558">_xlfn.IFS(I7558&lt;=3,"small",I7558&lt;=6,"Medium",I7558&lt;=9,"Large")</f>
        <v>Large</v>
      </c>
      <c r="K7558" s="36">
        <v>45355</v>
      </c>
      <c r="L7558" s="36">
        <v>45362</v>
      </c>
      <c r="M7558" t="s">
        <v>603</v>
      </c>
      <c r="N7558" t="s">
        <v>604</v>
      </c>
      <c r="O7558" s="37" t="str">
        <f t="shared" si="593"/>
        <v>Digital Payment</v>
      </c>
      <c r="P7558">
        <v>740.98</v>
      </c>
      <c r="Q7558" s="37" t="str">
        <f>IF(P7558&gt;500,"High","low")</f>
        <v>High</v>
      </c>
      <c r="R7558" s="37" t="str">
        <f t="shared" si="594"/>
        <v>Good</v>
      </c>
      <c r="S7558" t="s">
        <v>628</v>
      </c>
    </row>
    <row r="7559" spans="1:19" x14ac:dyDescent="0.2">
      <c r="A7559" t="s">
        <v>8170</v>
      </c>
      <c r="B7559" t="s">
        <v>67</v>
      </c>
      <c r="C7559" t="s">
        <v>597</v>
      </c>
      <c r="D7559">
        <v>3353.68</v>
      </c>
      <c r="E7559" s="37" t="str">
        <f t="shared" si="590"/>
        <v xml:space="preserve"> </v>
      </c>
      <c r="F7559">
        <v>0.37</v>
      </c>
      <c r="G7559" s="37" t="str">
        <f t="shared" si="591"/>
        <v>Heavy Discount</v>
      </c>
      <c r="H7559" s="37" t="str">
        <f t="shared" si="592"/>
        <v>Medium</v>
      </c>
      <c r="I7559">
        <v>5</v>
      </c>
      <c r="J7559" t="str" cm="1">
        <f t="array" ref="J7559">_xlfn.IFS(I7559&lt;=3,"small",I7559&lt;=6,"Medium",I7559&lt;=9,"Large")</f>
        <v>Medium</v>
      </c>
      <c r="K7559" s="36">
        <v>45485</v>
      </c>
      <c r="L7559" s="36">
        <v>45492</v>
      </c>
      <c r="M7559" t="s">
        <v>598</v>
      </c>
      <c r="N7559" t="s">
        <v>604</v>
      </c>
      <c r="O7559" s="37" t="str">
        <f t="shared" si="593"/>
        <v>Digital Payment</v>
      </c>
      <c r="P7559">
        <v>445.07</v>
      </c>
      <c r="Q7559" s="37" t="str">
        <f>IF(P7559&gt;500,"High","low")</f>
        <v>low</v>
      </c>
      <c r="R7559" s="37" t="str">
        <f t="shared" si="594"/>
        <v>AVERAGE</v>
      </c>
      <c r="S7559" t="s">
        <v>620</v>
      </c>
    </row>
    <row r="7560" spans="1:19" x14ac:dyDescent="0.2">
      <c r="A7560" t="s">
        <v>8171</v>
      </c>
      <c r="B7560" t="s">
        <v>90</v>
      </c>
      <c r="C7560" t="s">
        <v>597</v>
      </c>
      <c r="D7560">
        <v>4523.92</v>
      </c>
      <c r="E7560" s="37" t="str">
        <f t="shared" si="590"/>
        <v>Excellent Order</v>
      </c>
      <c r="F7560">
        <v>0.4</v>
      </c>
      <c r="G7560" s="37" t="str">
        <f t="shared" si="591"/>
        <v>Heavy Discount</v>
      </c>
      <c r="H7560" s="37" t="str">
        <f t="shared" si="592"/>
        <v>Medium</v>
      </c>
      <c r="I7560">
        <v>9</v>
      </c>
      <c r="J7560" t="str" cm="1">
        <f t="array" ref="J7560">_xlfn.IFS(I7560&lt;=3,"small",I7560&lt;=6,"Medium",I7560&lt;=9,"Large")</f>
        <v>Large</v>
      </c>
      <c r="K7560" s="36">
        <v>45301</v>
      </c>
      <c r="L7560" s="36">
        <v>45307</v>
      </c>
      <c r="M7560" t="s">
        <v>598</v>
      </c>
      <c r="N7560" t="s">
        <v>599</v>
      </c>
      <c r="O7560" s="37" t="str">
        <f t="shared" si="593"/>
        <v>Digital Payment</v>
      </c>
      <c r="P7560">
        <v>1311.42</v>
      </c>
      <c r="Q7560" s="37" t="str">
        <f>IF(P7560&gt;500,"High","low")</f>
        <v>High</v>
      </c>
      <c r="R7560" s="37" t="str">
        <f t="shared" si="594"/>
        <v>Excellent</v>
      </c>
      <c r="S7560" t="s">
        <v>620</v>
      </c>
    </row>
    <row r="7561" spans="1:19" x14ac:dyDescent="0.2">
      <c r="A7561" t="s">
        <v>8172</v>
      </c>
      <c r="B7561" t="s">
        <v>67</v>
      </c>
      <c r="C7561" t="s">
        <v>602</v>
      </c>
      <c r="D7561">
        <v>2754.99</v>
      </c>
      <c r="E7561" s="37" t="str">
        <f t="shared" si="590"/>
        <v xml:space="preserve"> </v>
      </c>
      <c r="F7561">
        <v>0.41</v>
      </c>
      <c r="G7561" s="37" t="str">
        <f t="shared" si="591"/>
        <v>Heavy Discount</v>
      </c>
      <c r="H7561" s="37" t="str">
        <f t="shared" si="592"/>
        <v>High</v>
      </c>
      <c r="I7561">
        <v>1</v>
      </c>
      <c r="J7561" t="str" cm="1">
        <f t="array" ref="J7561">_xlfn.IFS(I7561&lt;=3,"small",I7561&lt;=6,"Medium",I7561&lt;=9,"Large")</f>
        <v>small</v>
      </c>
      <c r="K7561" s="36">
        <v>45457</v>
      </c>
      <c r="L7561" s="36">
        <v>45463</v>
      </c>
      <c r="M7561" t="s">
        <v>598</v>
      </c>
      <c r="N7561" t="s">
        <v>604</v>
      </c>
      <c r="O7561" s="37" t="str">
        <f t="shared" si="593"/>
        <v>Digital Payment</v>
      </c>
      <c r="P7561">
        <v>202.73</v>
      </c>
      <c r="Q7561" s="37" t="str">
        <f>IF(P7561&gt;500,"High","low")</f>
        <v>low</v>
      </c>
      <c r="R7561" s="37" t="str">
        <f t="shared" si="594"/>
        <v>AVERAGE</v>
      </c>
      <c r="S7561" t="s">
        <v>628</v>
      </c>
    </row>
    <row r="7562" spans="1:19" x14ac:dyDescent="0.2">
      <c r="A7562" t="s">
        <v>8173</v>
      </c>
      <c r="B7562" t="s">
        <v>83</v>
      </c>
      <c r="C7562" t="s">
        <v>617</v>
      </c>
      <c r="D7562">
        <v>2165.36</v>
      </c>
      <c r="E7562" s="37" t="str">
        <f t="shared" si="590"/>
        <v xml:space="preserve"> </v>
      </c>
      <c r="F7562">
        <v>0.22</v>
      </c>
      <c r="G7562" s="37" t="str">
        <f t="shared" si="591"/>
        <v>Normal Discount</v>
      </c>
      <c r="H7562" s="37" t="str">
        <f t="shared" si="592"/>
        <v>Medium</v>
      </c>
      <c r="I7562">
        <v>4</v>
      </c>
      <c r="J7562" t="str" cm="1">
        <f t="array" ref="J7562">_xlfn.IFS(I7562&lt;=3,"small",I7562&lt;=6,"Medium",I7562&lt;=9,"Large")</f>
        <v>Medium</v>
      </c>
      <c r="K7562" s="36">
        <v>44971</v>
      </c>
      <c r="L7562" s="36">
        <v>44972</v>
      </c>
      <c r="M7562" t="s">
        <v>603</v>
      </c>
      <c r="N7562" t="s">
        <v>604</v>
      </c>
      <c r="O7562" s="37" t="str">
        <f t="shared" si="593"/>
        <v>Digital Payment</v>
      </c>
      <c r="P7562">
        <v>492.34</v>
      </c>
      <c r="Q7562" s="37" t="str">
        <f>IF(P7562&gt;500,"High","low")</f>
        <v>low</v>
      </c>
      <c r="R7562" s="37" t="str">
        <f t="shared" si="594"/>
        <v>AVERAGE</v>
      </c>
      <c r="S7562" t="s">
        <v>628</v>
      </c>
    </row>
    <row r="7563" spans="1:19" x14ac:dyDescent="0.2">
      <c r="A7563" t="s">
        <v>8174</v>
      </c>
      <c r="B7563" t="s">
        <v>83</v>
      </c>
      <c r="C7563" t="s">
        <v>614</v>
      </c>
      <c r="D7563">
        <v>4055.09</v>
      </c>
      <c r="E7563" s="37" t="str">
        <f t="shared" si="590"/>
        <v xml:space="preserve"> </v>
      </c>
      <c r="F7563">
        <v>0.45</v>
      </c>
      <c r="G7563" s="37" t="str">
        <f t="shared" si="591"/>
        <v>Heavy Discount</v>
      </c>
      <c r="H7563" s="37" t="str">
        <f t="shared" si="592"/>
        <v>High</v>
      </c>
      <c r="I7563">
        <v>8</v>
      </c>
      <c r="J7563" t="str" cm="1">
        <f t="array" ref="J7563">_xlfn.IFS(I7563&lt;=3,"small",I7563&lt;=6,"Medium",I7563&lt;=9,"Large")</f>
        <v>Large</v>
      </c>
      <c r="K7563" s="36">
        <v>45029</v>
      </c>
      <c r="L7563" s="36">
        <v>45030</v>
      </c>
      <c r="M7563" t="s">
        <v>603</v>
      </c>
      <c r="N7563" t="s">
        <v>604</v>
      </c>
      <c r="O7563" s="37" t="str">
        <f t="shared" si="593"/>
        <v>Digital Payment</v>
      </c>
      <c r="P7563">
        <v>584.92999999999995</v>
      </c>
      <c r="Q7563" s="37" t="str">
        <f>IF(P7563&gt;500,"High","low")</f>
        <v>High</v>
      </c>
      <c r="R7563" s="37" t="str">
        <f t="shared" si="594"/>
        <v>Good</v>
      </c>
      <c r="S7563" t="s">
        <v>615</v>
      </c>
    </row>
    <row r="7564" spans="1:19" x14ac:dyDescent="0.2">
      <c r="A7564" t="s">
        <v>8175</v>
      </c>
      <c r="B7564" t="s">
        <v>75</v>
      </c>
      <c r="C7564" t="s">
        <v>607</v>
      </c>
      <c r="D7564">
        <v>4018.94</v>
      </c>
      <c r="E7564" s="37" t="str">
        <f t="shared" si="590"/>
        <v>Excellent Order</v>
      </c>
      <c r="F7564">
        <v>0.49</v>
      </c>
      <c r="G7564" s="37" t="str">
        <f t="shared" si="591"/>
        <v>Heavy Discount</v>
      </c>
      <c r="H7564" s="37" t="str">
        <f t="shared" si="592"/>
        <v>High</v>
      </c>
      <c r="I7564">
        <v>9</v>
      </c>
      <c r="J7564" t="str" cm="1">
        <f t="array" ref="J7564">_xlfn.IFS(I7564&lt;=3,"small",I7564&lt;=6,"Medium",I7564&lt;=9,"Large")</f>
        <v>Large</v>
      </c>
      <c r="K7564" s="36">
        <v>45178</v>
      </c>
      <c r="L7564" s="36">
        <v>45183</v>
      </c>
      <c r="M7564" t="s">
        <v>603</v>
      </c>
      <c r="N7564" t="s">
        <v>599</v>
      </c>
      <c r="O7564" s="37" t="str">
        <f t="shared" si="593"/>
        <v>Digital Payment</v>
      </c>
      <c r="P7564">
        <v>984.17</v>
      </c>
      <c r="Q7564" s="37" t="str">
        <f>IF(P7564&gt;500,"High","low")</f>
        <v>High</v>
      </c>
      <c r="R7564" s="37" t="str">
        <f t="shared" si="594"/>
        <v>Good</v>
      </c>
      <c r="S7564" t="s">
        <v>609</v>
      </c>
    </row>
    <row r="7565" spans="1:19" x14ac:dyDescent="0.2">
      <c r="A7565" t="s">
        <v>8176</v>
      </c>
      <c r="B7565" t="s">
        <v>67</v>
      </c>
      <c r="C7565" t="s">
        <v>597</v>
      </c>
      <c r="D7565">
        <v>932.2</v>
      </c>
      <c r="E7565" s="37" t="str">
        <f t="shared" si="590"/>
        <v xml:space="preserve"> </v>
      </c>
      <c r="F7565">
        <v>0.49</v>
      </c>
      <c r="G7565" s="37" t="str">
        <f t="shared" si="591"/>
        <v>Heavy Discount</v>
      </c>
      <c r="H7565" s="37" t="str">
        <f t="shared" si="592"/>
        <v>High</v>
      </c>
      <c r="I7565">
        <v>9</v>
      </c>
      <c r="J7565" t="str" cm="1">
        <f t="array" ref="J7565">_xlfn.IFS(I7565&lt;=3,"small",I7565&lt;=6,"Medium",I7565&lt;=9,"Large")</f>
        <v>Large</v>
      </c>
      <c r="K7565" s="36">
        <v>45495</v>
      </c>
      <c r="L7565" s="36">
        <v>45496</v>
      </c>
      <c r="M7565" t="s">
        <v>603</v>
      </c>
      <c r="N7565" t="s">
        <v>608</v>
      </c>
      <c r="O7565" s="37" t="str">
        <f t="shared" si="593"/>
        <v>Cash Payment</v>
      </c>
      <c r="P7565">
        <v>241.15</v>
      </c>
      <c r="Q7565" s="37" t="str">
        <f>IF(P7565&gt;500,"High","low")</f>
        <v>low</v>
      </c>
      <c r="R7565" s="37" t="str">
        <f t="shared" si="594"/>
        <v>AVERAGE</v>
      </c>
      <c r="S7565" t="s">
        <v>600</v>
      </c>
    </row>
    <row r="7566" spans="1:19" x14ac:dyDescent="0.2">
      <c r="A7566" t="s">
        <v>8177</v>
      </c>
      <c r="B7566" t="s">
        <v>75</v>
      </c>
      <c r="C7566" t="s">
        <v>614</v>
      </c>
      <c r="D7566">
        <v>1260.28</v>
      </c>
      <c r="E7566" s="37" t="str">
        <f t="shared" si="590"/>
        <v xml:space="preserve"> </v>
      </c>
      <c r="F7566">
        <v>0.28999999999999998</v>
      </c>
      <c r="G7566" s="37" t="str">
        <f t="shared" si="591"/>
        <v>Normal Discount</v>
      </c>
      <c r="H7566" s="37" t="str">
        <f t="shared" si="592"/>
        <v>Medium</v>
      </c>
      <c r="I7566">
        <v>1</v>
      </c>
      <c r="J7566" t="str" cm="1">
        <f t="array" ref="J7566">_xlfn.IFS(I7566&lt;=3,"small",I7566&lt;=6,"Medium",I7566&lt;=9,"Large")</f>
        <v>small</v>
      </c>
      <c r="K7566" s="36">
        <v>45557</v>
      </c>
      <c r="L7566" s="36">
        <v>45560</v>
      </c>
      <c r="M7566" t="s">
        <v>603</v>
      </c>
      <c r="N7566" t="s">
        <v>599</v>
      </c>
      <c r="O7566" s="37" t="str">
        <f t="shared" si="593"/>
        <v>Digital Payment</v>
      </c>
      <c r="P7566">
        <v>291.48</v>
      </c>
      <c r="Q7566" s="37" t="str">
        <f>IF(P7566&gt;500,"High","low")</f>
        <v>low</v>
      </c>
      <c r="R7566" s="37" t="str">
        <f t="shared" si="594"/>
        <v>AVERAGE</v>
      </c>
      <c r="S7566" t="s">
        <v>628</v>
      </c>
    </row>
    <row r="7567" spans="1:19" x14ac:dyDescent="0.2">
      <c r="A7567" t="s">
        <v>8178</v>
      </c>
      <c r="B7567" t="s">
        <v>67</v>
      </c>
      <c r="C7567" t="s">
        <v>602</v>
      </c>
      <c r="D7567">
        <v>4797.33</v>
      </c>
      <c r="E7567" s="37" t="str">
        <f t="shared" si="590"/>
        <v>Excellent Order</v>
      </c>
      <c r="F7567">
        <v>0.28000000000000003</v>
      </c>
      <c r="G7567" s="37" t="str">
        <f t="shared" si="591"/>
        <v>Normal Discount</v>
      </c>
      <c r="H7567" s="37" t="str">
        <f t="shared" si="592"/>
        <v>Medium</v>
      </c>
      <c r="I7567">
        <v>1</v>
      </c>
      <c r="J7567" t="str" cm="1">
        <f t="array" ref="J7567">_xlfn.IFS(I7567&lt;=3,"small",I7567&lt;=6,"Medium",I7567&lt;=9,"Large")</f>
        <v>small</v>
      </c>
      <c r="K7567" s="36">
        <v>45083</v>
      </c>
      <c r="L7567" s="36">
        <v>45084</v>
      </c>
      <c r="M7567" t="s">
        <v>598</v>
      </c>
      <c r="N7567" t="s">
        <v>599</v>
      </c>
      <c r="O7567" s="37" t="str">
        <f t="shared" si="593"/>
        <v>Digital Payment</v>
      </c>
      <c r="P7567">
        <v>924.57</v>
      </c>
      <c r="Q7567" s="37" t="str">
        <f>IF(P7567&gt;500,"High","low")</f>
        <v>High</v>
      </c>
      <c r="R7567" s="37" t="str">
        <f t="shared" si="594"/>
        <v>Good</v>
      </c>
      <c r="S7567" t="s">
        <v>620</v>
      </c>
    </row>
    <row r="7568" spans="1:19" x14ac:dyDescent="0.2">
      <c r="A7568" t="s">
        <v>8179</v>
      </c>
      <c r="B7568" t="s">
        <v>90</v>
      </c>
      <c r="C7568" t="s">
        <v>597</v>
      </c>
      <c r="D7568">
        <v>2276.14</v>
      </c>
      <c r="E7568" s="37" t="str">
        <f t="shared" si="590"/>
        <v xml:space="preserve"> </v>
      </c>
      <c r="F7568">
        <v>0.23</v>
      </c>
      <c r="G7568" s="37" t="str">
        <f t="shared" si="591"/>
        <v>Normal Discount</v>
      </c>
      <c r="H7568" s="37" t="str">
        <f t="shared" si="592"/>
        <v>Medium</v>
      </c>
      <c r="I7568">
        <v>7</v>
      </c>
      <c r="J7568" t="str" cm="1">
        <f t="array" ref="J7568">_xlfn.IFS(I7568&lt;=3,"small",I7568&lt;=6,"Medium",I7568&lt;=9,"Large")</f>
        <v>Large</v>
      </c>
      <c r="K7568" s="36">
        <v>45408</v>
      </c>
      <c r="L7568" s="36">
        <v>45414</v>
      </c>
      <c r="M7568" t="s">
        <v>603</v>
      </c>
      <c r="N7568" t="s">
        <v>608</v>
      </c>
      <c r="O7568" s="37" t="str">
        <f t="shared" si="593"/>
        <v>Cash Payment</v>
      </c>
      <c r="P7568">
        <v>157.86000000000001</v>
      </c>
      <c r="Q7568" s="37" t="str">
        <f>IF(P7568&gt;500,"High","low")</f>
        <v>low</v>
      </c>
      <c r="R7568" s="37" t="str">
        <f t="shared" si="594"/>
        <v>AVERAGE</v>
      </c>
      <c r="S7568" t="s">
        <v>628</v>
      </c>
    </row>
    <row r="7569" spans="1:19" x14ac:dyDescent="0.2">
      <c r="A7569" t="s">
        <v>8180</v>
      </c>
      <c r="B7569" t="s">
        <v>90</v>
      </c>
      <c r="C7569" t="s">
        <v>597</v>
      </c>
      <c r="D7569">
        <v>2646.34</v>
      </c>
      <c r="E7569" s="37" t="str">
        <f t="shared" si="590"/>
        <v xml:space="preserve"> </v>
      </c>
      <c r="F7569">
        <v>0.15</v>
      </c>
      <c r="G7569" s="37" t="str">
        <f t="shared" si="591"/>
        <v>Normal Discount</v>
      </c>
      <c r="H7569" s="37" t="str">
        <f t="shared" si="592"/>
        <v>Low</v>
      </c>
      <c r="I7569">
        <v>6</v>
      </c>
      <c r="J7569" t="str" cm="1">
        <f t="array" ref="J7569">_xlfn.IFS(I7569&lt;=3,"small",I7569&lt;=6,"Medium",I7569&lt;=9,"Large")</f>
        <v>Medium</v>
      </c>
      <c r="K7569" s="36">
        <v>44942</v>
      </c>
      <c r="L7569" s="36">
        <v>44948</v>
      </c>
      <c r="M7569" t="s">
        <v>612</v>
      </c>
      <c r="N7569" t="s">
        <v>604</v>
      </c>
      <c r="O7569" s="37" t="str">
        <f t="shared" si="593"/>
        <v>Digital Payment</v>
      </c>
      <c r="P7569">
        <v>225.43</v>
      </c>
      <c r="Q7569" s="37" t="str">
        <f>IF(P7569&gt;500,"High","low")</f>
        <v>low</v>
      </c>
      <c r="R7569" s="37" t="str">
        <f t="shared" si="594"/>
        <v>AVERAGE</v>
      </c>
      <c r="S7569" t="s">
        <v>628</v>
      </c>
    </row>
    <row r="7570" spans="1:19" x14ac:dyDescent="0.2">
      <c r="A7570" t="s">
        <v>8181</v>
      </c>
      <c r="B7570" t="s">
        <v>75</v>
      </c>
      <c r="C7570" t="s">
        <v>602</v>
      </c>
      <c r="D7570">
        <v>1619.78</v>
      </c>
      <c r="E7570" s="37" t="str">
        <f t="shared" si="590"/>
        <v xml:space="preserve"> </v>
      </c>
      <c r="F7570">
        <v>0.17</v>
      </c>
      <c r="G7570" s="37" t="str">
        <f t="shared" si="591"/>
        <v>Normal Discount</v>
      </c>
      <c r="H7570" s="37" t="str">
        <f t="shared" si="592"/>
        <v>Low</v>
      </c>
      <c r="I7570">
        <v>7</v>
      </c>
      <c r="J7570" t="str" cm="1">
        <f t="array" ref="J7570">_xlfn.IFS(I7570&lt;=3,"small",I7570&lt;=6,"Medium",I7570&lt;=9,"Large")</f>
        <v>Large</v>
      </c>
      <c r="K7570" s="36">
        <v>45076</v>
      </c>
      <c r="L7570" s="36">
        <v>45080</v>
      </c>
      <c r="M7570" t="s">
        <v>603</v>
      </c>
      <c r="N7570" t="s">
        <v>604</v>
      </c>
      <c r="O7570" s="37" t="str">
        <f t="shared" si="593"/>
        <v>Digital Payment</v>
      </c>
      <c r="P7570">
        <v>322.70999999999998</v>
      </c>
      <c r="Q7570" s="37" t="str">
        <f>IF(P7570&gt;500,"High","low")</f>
        <v>low</v>
      </c>
      <c r="R7570" s="37" t="str">
        <f t="shared" si="594"/>
        <v>AVERAGE</v>
      </c>
      <c r="S7570" t="s">
        <v>605</v>
      </c>
    </row>
    <row r="7571" spans="1:19" x14ac:dyDescent="0.2">
      <c r="A7571" t="s">
        <v>8182</v>
      </c>
      <c r="B7571" t="s">
        <v>67</v>
      </c>
      <c r="C7571" t="s">
        <v>602</v>
      </c>
      <c r="D7571">
        <v>2457.25</v>
      </c>
      <c r="E7571" s="37" t="str">
        <f t="shared" si="590"/>
        <v xml:space="preserve"> </v>
      </c>
      <c r="F7571">
        <v>0.11</v>
      </c>
      <c r="G7571" s="37" t="str">
        <f t="shared" si="591"/>
        <v>Normal Discount</v>
      </c>
      <c r="H7571" s="37" t="str">
        <f t="shared" si="592"/>
        <v>Low</v>
      </c>
      <c r="I7571">
        <v>8</v>
      </c>
      <c r="J7571" t="str" cm="1">
        <f t="array" ref="J7571">_xlfn.IFS(I7571&lt;=3,"small",I7571&lt;=6,"Medium",I7571&lt;=9,"Large")</f>
        <v>Large</v>
      </c>
      <c r="K7571" s="36">
        <v>45254</v>
      </c>
      <c r="L7571" s="36">
        <v>45255</v>
      </c>
      <c r="M7571" t="s">
        <v>598</v>
      </c>
      <c r="N7571" t="s">
        <v>599</v>
      </c>
      <c r="O7571" s="37" t="str">
        <f t="shared" si="593"/>
        <v>Digital Payment</v>
      </c>
      <c r="P7571">
        <v>715.32</v>
      </c>
      <c r="Q7571" s="37" t="str">
        <f>IF(P7571&gt;500,"High","low")</f>
        <v>High</v>
      </c>
      <c r="R7571" s="37" t="str">
        <f t="shared" si="594"/>
        <v>Good</v>
      </c>
      <c r="S7571" t="s">
        <v>620</v>
      </c>
    </row>
    <row r="7572" spans="1:19" x14ac:dyDescent="0.2">
      <c r="A7572" t="s">
        <v>8183</v>
      </c>
      <c r="B7572" t="s">
        <v>75</v>
      </c>
      <c r="C7572" t="s">
        <v>602</v>
      </c>
      <c r="D7572">
        <v>3742.45</v>
      </c>
      <c r="E7572" s="37" t="str">
        <f t="shared" si="590"/>
        <v xml:space="preserve"> </v>
      </c>
      <c r="F7572">
        <v>0.48</v>
      </c>
      <c r="G7572" s="37" t="str">
        <f t="shared" si="591"/>
        <v>Heavy Discount</v>
      </c>
      <c r="H7572" s="37" t="str">
        <f t="shared" si="592"/>
        <v>High</v>
      </c>
      <c r="I7572">
        <v>6</v>
      </c>
      <c r="J7572" t="str" cm="1">
        <f t="array" ref="J7572">_xlfn.IFS(I7572&lt;=3,"small",I7572&lt;=6,"Medium",I7572&lt;=9,"Large")</f>
        <v>Medium</v>
      </c>
      <c r="K7572" s="36">
        <v>45237</v>
      </c>
      <c r="L7572" s="36">
        <v>45239</v>
      </c>
      <c r="M7572" t="s">
        <v>598</v>
      </c>
      <c r="N7572" t="s">
        <v>604</v>
      </c>
      <c r="O7572" s="37" t="str">
        <f t="shared" si="593"/>
        <v>Digital Payment</v>
      </c>
      <c r="P7572">
        <v>682.6</v>
      </c>
      <c r="Q7572" s="37" t="str">
        <f>IF(P7572&gt;500,"High","low")</f>
        <v>High</v>
      </c>
      <c r="R7572" s="37" t="str">
        <f t="shared" si="594"/>
        <v>Good</v>
      </c>
      <c r="S7572" t="s">
        <v>620</v>
      </c>
    </row>
    <row r="7573" spans="1:19" x14ac:dyDescent="0.2">
      <c r="A7573" t="s">
        <v>8184</v>
      </c>
      <c r="B7573" t="s">
        <v>83</v>
      </c>
      <c r="C7573" t="s">
        <v>614</v>
      </c>
      <c r="D7573">
        <v>2463.4899999999998</v>
      </c>
      <c r="E7573" s="37" t="str">
        <f t="shared" si="590"/>
        <v xml:space="preserve"> </v>
      </c>
      <c r="F7573">
        <v>0.31</v>
      </c>
      <c r="G7573" s="37" t="str">
        <f t="shared" si="591"/>
        <v>Heavy Discount</v>
      </c>
      <c r="H7573" s="37" t="str">
        <f t="shared" si="592"/>
        <v>Medium</v>
      </c>
      <c r="I7573">
        <v>7</v>
      </c>
      <c r="J7573" t="str" cm="1">
        <f t="array" ref="J7573">_xlfn.IFS(I7573&lt;=3,"small",I7573&lt;=6,"Medium",I7573&lt;=9,"Large")</f>
        <v>Large</v>
      </c>
      <c r="K7573" s="36">
        <v>45408</v>
      </c>
      <c r="L7573" s="36">
        <v>45409</v>
      </c>
      <c r="M7573" t="s">
        <v>603</v>
      </c>
      <c r="N7573" t="s">
        <v>608</v>
      </c>
      <c r="O7573" s="37" t="str">
        <f t="shared" si="593"/>
        <v>Cash Payment</v>
      </c>
      <c r="P7573">
        <v>677.64</v>
      </c>
      <c r="Q7573" s="37" t="str">
        <f>IF(P7573&gt;500,"High","low")</f>
        <v>High</v>
      </c>
      <c r="R7573" s="37" t="str">
        <f t="shared" si="594"/>
        <v>Good</v>
      </c>
      <c r="S7573" t="s">
        <v>620</v>
      </c>
    </row>
    <row r="7574" spans="1:19" x14ac:dyDescent="0.2">
      <c r="A7574" t="s">
        <v>8185</v>
      </c>
      <c r="B7574" t="s">
        <v>75</v>
      </c>
      <c r="C7574" t="s">
        <v>614</v>
      </c>
      <c r="D7574">
        <v>1642.44</v>
      </c>
      <c r="E7574" s="37" t="str">
        <f t="shared" si="590"/>
        <v xml:space="preserve"> </v>
      </c>
      <c r="F7574">
        <v>0.47</v>
      </c>
      <c r="G7574" s="37" t="str">
        <f t="shared" si="591"/>
        <v>Heavy Discount</v>
      </c>
      <c r="H7574" s="37" t="str">
        <f t="shared" si="592"/>
        <v>High</v>
      </c>
      <c r="I7574">
        <v>7</v>
      </c>
      <c r="J7574" t="str" cm="1">
        <f t="array" ref="J7574">_xlfn.IFS(I7574&lt;=3,"small",I7574&lt;=6,"Medium",I7574&lt;=9,"Large")</f>
        <v>Large</v>
      </c>
      <c r="K7574" s="36">
        <v>45582</v>
      </c>
      <c r="L7574" s="36">
        <v>45584</v>
      </c>
      <c r="M7574" t="s">
        <v>603</v>
      </c>
      <c r="N7574" t="s">
        <v>604</v>
      </c>
      <c r="O7574" s="37" t="str">
        <f t="shared" si="593"/>
        <v>Digital Payment</v>
      </c>
      <c r="P7574">
        <v>462.22</v>
      </c>
      <c r="Q7574" s="37" t="str">
        <f>IF(P7574&gt;500,"High","low")</f>
        <v>low</v>
      </c>
      <c r="R7574" s="37" t="str">
        <f t="shared" si="594"/>
        <v>AVERAGE</v>
      </c>
      <c r="S7574" t="s">
        <v>628</v>
      </c>
    </row>
    <row r="7575" spans="1:19" x14ac:dyDescent="0.2">
      <c r="A7575" t="s">
        <v>8186</v>
      </c>
      <c r="B7575" t="s">
        <v>75</v>
      </c>
      <c r="C7575" t="s">
        <v>614</v>
      </c>
      <c r="D7575">
        <v>570.4</v>
      </c>
      <c r="E7575" s="37" t="str">
        <f t="shared" si="590"/>
        <v xml:space="preserve"> </v>
      </c>
      <c r="F7575">
        <v>0.19</v>
      </c>
      <c r="G7575" s="37" t="str">
        <f t="shared" si="591"/>
        <v>Normal Discount</v>
      </c>
      <c r="H7575" s="37" t="str">
        <f t="shared" si="592"/>
        <v>Low</v>
      </c>
      <c r="I7575">
        <v>7</v>
      </c>
      <c r="J7575" t="str" cm="1">
        <f t="array" ref="J7575">_xlfn.IFS(I7575&lt;=3,"small",I7575&lt;=6,"Medium",I7575&lt;=9,"Large")</f>
        <v>Large</v>
      </c>
      <c r="K7575" s="36">
        <v>45434</v>
      </c>
      <c r="L7575" s="36">
        <v>45440</v>
      </c>
      <c r="M7575" t="s">
        <v>603</v>
      </c>
      <c r="N7575" t="s">
        <v>608</v>
      </c>
      <c r="O7575" s="37" t="str">
        <f t="shared" si="593"/>
        <v>Cash Payment</v>
      </c>
      <c r="P7575">
        <v>45.65</v>
      </c>
      <c r="Q7575" s="37" t="str">
        <f>IF(P7575&gt;500,"High","low")</f>
        <v>low</v>
      </c>
      <c r="R7575" s="37" t="str">
        <f t="shared" si="594"/>
        <v>AVERAGE</v>
      </c>
      <c r="S7575" t="s">
        <v>600</v>
      </c>
    </row>
    <row r="7576" spans="1:19" x14ac:dyDescent="0.2">
      <c r="A7576" t="s">
        <v>8187</v>
      </c>
      <c r="B7576" t="s">
        <v>90</v>
      </c>
      <c r="C7576" t="s">
        <v>617</v>
      </c>
      <c r="D7576">
        <v>4648.4799999999996</v>
      </c>
      <c r="E7576" s="37" t="str">
        <f t="shared" si="590"/>
        <v xml:space="preserve"> </v>
      </c>
      <c r="F7576">
        <v>0.15</v>
      </c>
      <c r="G7576" s="37" t="str">
        <f t="shared" si="591"/>
        <v>Normal Discount</v>
      </c>
      <c r="H7576" s="37" t="str">
        <f t="shared" si="592"/>
        <v>Low</v>
      </c>
      <c r="I7576">
        <v>2</v>
      </c>
      <c r="J7576" t="str" cm="1">
        <f t="array" ref="J7576">_xlfn.IFS(I7576&lt;=3,"small",I7576&lt;=6,"Medium",I7576&lt;=9,"Large")</f>
        <v>small</v>
      </c>
      <c r="K7576" s="36">
        <v>44999</v>
      </c>
      <c r="L7576" s="36">
        <v>45006</v>
      </c>
      <c r="M7576" t="s">
        <v>598</v>
      </c>
      <c r="N7576" t="s">
        <v>608</v>
      </c>
      <c r="O7576" s="37" t="str">
        <f t="shared" si="593"/>
        <v>Cash Payment</v>
      </c>
      <c r="P7576">
        <v>762.6</v>
      </c>
      <c r="Q7576" s="37" t="str">
        <f>IF(P7576&gt;500,"High","low")</f>
        <v>High</v>
      </c>
      <c r="R7576" s="37" t="str">
        <f t="shared" si="594"/>
        <v>Good</v>
      </c>
      <c r="S7576" t="s">
        <v>605</v>
      </c>
    </row>
    <row r="7577" spans="1:19" x14ac:dyDescent="0.2">
      <c r="A7577" t="s">
        <v>8188</v>
      </c>
      <c r="B7577" t="s">
        <v>75</v>
      </c>
      <c r="C7577" t="s">
        <v>597</v>
      </c>
      <c r="D7577">
        <v>4371.12</v>
      </c>
      <c r="E7577" s="37" t="str">
        <f t="shared" si="590"/>
        <v>Excellent Order</v>
      </c>
      <c r="F7577">
        <v>7.0000000000000007E-2</v>
      </c>
      <c r="G7577" s="37" t="str">
        <f t="shared" si="591"/>
        <v>Normal Discount</v>
      </c>
      <c r="H7577" s="37" t="str">
        <f t="shared" si="592"/>
        <v>Low</v>
      </c>
      <c r="I7577">
        <v>3</v>
      </c>
      <c r="J7577" t="str" cm="1">
        <f t="array" ref="J7577">_xlfn.IFS(I7577&lt;=3,"small",I7577&lt;=6,"Medium",I7577&lt;=9,"Large")</f>
        <v>small</v>
      </c>
      <c r="K7577" s="36">
        <v>45549</v>
      </c>
      <c r="L7577" s="36">
        <v>45556</v>
      </c>
      <c r="M7577" t="s">
        <v>598</v>
      </c>
      <c r="N7577" t="s">
        <v>604</v>
      </c>
      <c r="O7577" s="37" t="str">
        <f t="shared" si="593"/>
        <v>Digital Payment</v>
      </c>
      <c r="P7577">
        <v>1041.22</v>
      </c>
      <c r="Q7577" s="37" t="str">
        <f>IF(P7577&gt;500,"High","low")</f>
        <v>High</v>
      </c>
      <c r="R7577" s="37" t="str">
        <f t="shared" si="594"/>
        <v>Excellent</v>
      </c>
      <c r="S7577" t="s">
        <v>605</v>
      </c>
    </row>
    <row r="7578" spans="1:19" x14ac:dyDescent="0.2">
      <c r="A7578" t="s">
        <v>8189</v>
      </c>
      <c r="B7578" t="s">
        <v>67</v>
      </c>
      <c r="C7578" t="s">
        <v>614</v>
      </c>
      <c r="D7578">
        <v>3977.69</v>
      </c>
      <c r="E7578" s="37" t="str">
        <f t="shared" si="590"/>
        <v xml:space="preserve"> </v>
      </c>
      <c r="F7578">
        <v>0.15</v>
      </c>
      <c r="G7578" s="37" t="str">
        <f t="shared" si="591"/>
        <v>Normal Discount</v>
      </c>
      <c r="H7578" s="37" t="str">
        <f t="shared" si="592"/>
        <v>Low</v>
      </c>
      <c r="I7578">
        <v>9</v>
      </c>
      <c r="J7578" t="str" cm="1">
        <f t="array" ref="J7578">_xlfn.IFS(I7578&lt;=3,"small",I7578&lt;=6,"Medium",I7578&lt;=9,"Large")</f>
        <v>Large</v>
      </c>
      <c r="K7578" s="36">
        <v>45025</v>
      </c>
      <c r="L7578" s="36">
        <v>45030</v>
      </c>
      <c r="M7578" t="s">
        <v>603</v>
      </c>
      <c r="N7578" t="s">
        <v>599</v>
      </c>
      <c r="O7578" s="37" t="str">
        <f t="shared" si="593"/>
        <v>Digital Payment</v>
      </c>
      <c r="P7578">
        <v>605.17999999999995</v>
      </c>
      <c r="Q7578" s="37" t="str">
        <f>IF(P7578&gt;500,"High","low")</f>
        <v>High</v>
      </c>
      <c r="R7578" s="37" t="str">
        <f t="shared" si="594"/>
        <v>Good</v>
      </c>
      <c r="S7578" t="s">
        <v>620</v>
      </c>
    </row>
    <row r="7579" spans="1:19" x14ac:dyDescent="0.2">
      <c r="A7579" t="s">
        <v>8190</v>
      </c>
      <c r="B7579" t="s">
        <v>90</v>
      </c>
      <c r="C7579" t="s">
        <v>617</v>
      </c>
      <c r="D7579">
        <v>3500.95</v>
      </c>
      <c r="E7579" s="37" t="str">
        <f t="shared" si="590"/>
        <v xml:space="preserve"> </v>
      </c>
      <c r="F7579">
        <v>0.45</v>
      </c>
      <c r="G7579" s="37" t="str">
        <f t="shared" si="591"/>
        <v>Heavy Discount</v>
      </c>
      <c r="H7579" s="37" t="str">
        <f t="shared" si="592"/>
        <v>High</v>
      </c>
      <c r="I7579">
        <v>1</v>
      </c>
      <c r="J7579" t="str" cm="1">
        <f t="array" ref="J7579">_xlfn.IFS(I7579&lt;=3,"small",I7579&lt;=6,"Medium",I7579&lt;=9,"Large")</f>
        <v>small</v>
      </c>
      <c r="K7579" s="36">
        <v>45321</v>
      </c>
      <c r="L7579" s="36">
        <v>45324</v>
      </c>
      <c r="M7579" t="s">
        <v>598</v>
      </c>
      <c r="N7579" t="s">
        <v>604</v>
      </c>
      <c r="O7579" s="37" t="str">
        <f t="shared" si="593"/>
        <v>Digital Payment</v>
      </c>
      <c r="P7579">
        <v>431.93</v>
      </c>
      <c r="Q7579" s="37" t="str">
        <f>IF(P7579&gt;500,"High","low")</f>
        <v>low</v>
      </c>
      <c r="R7579" s="37" t="str">
        <f t="shared" si="594"/>
        <v>AVERAGE</v>
      </c>
      <c r="S7579" t="s">
        <v>615</v>
      </c>
    </row>
    <row r="7580" spans="1:19" x14ac:dyDescent="0.2">
      <c r="A7580" t="s">
        <v>8191</v>
      </c>
      <c r="B7580" t="s">
        <v>75</v>
      </c>
      <c r="C7580" t="s">
        <v>597</v>
      </c>
      <c r="D7580">
        <v>2626</v>
      </c>
      <c r="E7580" s="37" t="str">
        <f t="shared" si="590"/>
        <v xml:space="preserve"> </v>
      </c>
      <c r="F7580">
        <v>0.28999999999999998</v>
      </c>
      <c r="G7580" s="37" t="str">
        <f t="shared" si="591"/>
        <v>Normal Discount</v>
      </c>
      <c r="H7580" s="37" t="str">
        <f t="shared" si="592"/>
        <v>Medium</v>
      </c>
      <c r="I7580">
        <v>8</v>
      </c>
      <c r="J7580" t="str" cm="1">
        <f t="array" ref="J7580">_xlfn.IFS(I7580&lt;=3,"small",I7580&lt;=6,"Medium",I7580&lt;=9,"Large")</f>
        <v>Large</v>
      </c>
      <c r="K7580" s="36">
        <v>45137</v>
      </c>
      <c r="L7580" s="36">
        <v>45141</v>
      </c>
      <c r="M7580" t="s">
        <v>598</v>
      </c>
      <c r="N7580" t="s">
        <v>599</v>
      </c>
      <c r="O7580" s="37" t="str">
        <f t="shared" si="593"/>
        <v>Digital Payment</v>
      </c>
      <c r="P7580">
        <v>731.39</v>
      </c>
      <c r="Q7580" s="37" t="str">
        <f>IF(P7580&gt;500,"High","low")</f>
        <v>High</v>
      </c>
      <c r="R7580" s="37" t="str">
        <f t="shared" si="594"/>
        <v>Good</v>
      </c>
      <c r="S7580" t="s">
        <v>605</v>
      </c>
    </row>
    <row r="7581" spans="1:19" x14ac:dyDescent="0.2">
      <c r="A7581" t="s">
        <v>8192</v>
      </c>
      <c r="B7581" t="s">
        <v>83</v>
      </c>
      <c r="C7581" t="s">
        <v>614</v>
      </c>
      <c r="D7581">
        <v>4497.24</v>
      </c>
      <c r="E7581" s="37" t="str">
        <f t="shared" si="590"/>
        <v>Excellent Order</v>
      </c>
      <c r="F7581">
        <v>0.23</v>
      </c>
      <c r="G7581" s="37" t="str">
        <f t="shared" si="591"/>
        <v>Normal Discount</v>
      </c>
      <c r="H7581" s="37" t="str">
        <f t="shared" si="592"/>
        <v>Medium</v>
      </c>
      <c r="I7581">
        <v>7</v>
      </c>
      <c r="J7581" t="str" cm="1">
        <f t="array" ref="J7581">_xlfn.IFS(I7581&lt;=3,"small",I7581&lt;=6,"Medium",I7581&lt;=9,"Large")</f>
        <v>Large</v>
      </c>
      <c r="K7581" s="36">
        <v>45581</v>
      </c>
      <c r="L7581" s="36">
        <v>45584</v>
      </c>
      <c r="M7581" t="s">
        <v>603</v>
      </c>
      <c r="N7581" t="s">
        <v>604</v>
      </c>
      <c r="O7581" s="37" t="str">
        <f t="shared" si="593"/>
        <v>Digital Payment</v>
      </c>
      <c r="P7581">
        <v>896.31</v>
      </c>
      <c r="Q7581" s="37" t="str">
        <f>IF(P7581&gt;500,"High","low")</f>
        <v>High</v>
      </c>
      <c r="R7581" s="37" t="str">
        <f t="shared" si="594"/>
        <v>Good</v>
      </c>
      <c r="S7581" t="s">
        <v>615</v>
      </c>
    </row>
    <row r="7582" spans="1:19" x14ac:dyDescent="0.2">
      <c r="A7582" t="s">
        <v>8193</v>
      </c>
      <c r="B7582" t="s">
        <v>75</v>
      </c>
      <c r="C7582" t="s">
        <v>602</v>
      </c>
      <c r="D7582">
        <v>3979.34</v>
      </c>
      <c r="E7582" s="37" t="str">
        <f t="shared" si="590"/>
        <v xml:space="preserve"> </v>
      </c>
      <c r="F7582">
        <v>0.28000000000000003</v>
      </c>
      <c r="G7582" s="37" t="str">
        <f t="shared" si="591"/>
        <v>Normal Discount</v>
      </c>
      <c r="H7582" s="37" t="str">
        <f t="shared" si="592"/>
        <v>Medium</v>
      </c>
      <c r="I7582">
        <v>6</v>
      </c>
      <c r="J7582" t="str" cm="1">
        <f t="array" ref="J7582">_xlfn.IFS(I7582&lt;=3,"small",I7582&lt;=6,"Medium",I7582&lt;=9,"Large")</f>
        <v>Medium</v>
      </c>
      <c r="K7582" s="36">
        <v>45363</v>
      </c>
      <c r="L7582" s="36">
        <v>45366</v>
      </c>
      <c r="M7582" t="s">
        <v>603</v>
      </c>
      <c r="N7582" t="s">
        <v>604</v>
      </c>
      <c r="O7582" s="37" t="str">
        <f t="shared" si="593"/>
        <v>Digital Payment</v>
      </c>
      <c r="P7582">
        <v>823.87</v>
      </c>
      <c r="Q7582" s="37" t="str">
        <f>IF(P7582&gt;500,"High","low")</f>
        <v>High</v>
      </c>
      <c r="R7582" s="37" t="str">
        <f t="shared" si="594"/>
        <v>Good</v>
      </c>
      <c r="S7582" t="s">
        <v>600</v>
      </c>
    </row>
    <row r="7583" spans="1:19" x14ac:dyDescent="0.2">
      <c r="A7583" t="s">
        <v>8194</v>
      </c>
      <c r="B7583" t="s">
        <v>75</v>
      </c>
      <c r="C7583" t="s">
        <v>607</v>
      </c>
      <c r="D7583">
        <v>4098.45</v>
      </c>
      <c r="E7583" s="37" t="str">
        <f t="shared" si="590"/>
        <v>Excellent Order</v>
      </c>
      <c r="F7583">
        <v>0.45</v>
      </c>
      <c r="G7583" s="37" t="str">
        <f t="shared" si="591"/>
        <v>Heavy Discount</v>
      </c>
      <c r="H7583" s="37" t="str">
        <f t="shared" si="592"/>
        <v>High</v>
      </c>
      <c r="I7583">
        <v>1</v>
      </c>
      <c r="J7583" t="str" cm="1">
        <f t="array" ref="J7583">_xlfn.IFS(I7583&lt;=3,"small",I7583&lt;=6,"Medium",I7583&lt;=9,"Large")</f>
        <v>small</v>
      </c>
      <c r="K7583" s="36">
        <v>45559</v>
      </c>
      <c r="L7583" s="36">
        <v>45564</v>
      </c>
      <c r="M7583" t="s">
        <v>598</v>
      </c>
      <c r="N7583" t="s">
        <v>599</v>
      </c>
      <c r="O7583" s="37" t="str">
        <f t="shared" si="593"/>
        <v>Digital Payment</v>
      </c>
      <c r="P7583">
        <v>920.95</v>
      </c>
      <c r="Q7583" s="37" t="str">
        <f>IF(P7583&gt;500,"High","low")</f>
        <v>High</v>
      </c>
      <c r="R7583" s="37" t="str">
        <f t="shared" si="594"/>
        <v>Good</v>
      </c>
      <c r="S7583" t="s">
        <v>600</v>
      </c>
    </row>
    <row r="7584" spans="1:19" x14ac:dyDescent="0.2">
      <c r="A7584" t="s">
        <v>8195</v>
      </c>
      <c r="B7584" t="s">
        <v>75</v>
      </c>
      <c r="C7584" t="s">
        <v>614</v>
      </c>
      <c r="D7584">
        <v>1616.8</v>
      </c>
      <c r="E7584" s="37" t="str">
        <f t="shared" si="590"/>
        <v xml:space="preserve"> </v>
      </c>
      <c r="F7584">
        <v>0.1</v>
      </c>
      <c r="G7584" s="37" t="str">
        <f t="shared" si="591"/>
        <v>Normal Discount</v>
      </c>
      <c r="H7584" s="37" t="str">
        <f t="shared" si="592"/>
        <v>Low</v>
      </c>
      <c r="I7584">
        <v>9</v>
      </c>
      <c r="J7584" t="str" cm="1">
        <f t="array" ref="J7584">_xlfn.IFS(I7584&lt;=3,"small",I7584&lt;=6,"Medium",I7584&lt;=9,"Large")</f>
        <v>Large</v>
      </c>
      <c r="K7584" s="36">
        <v>45471</v>
      </c>
      <c r="L7584" s="36">
        <v>45472</v>
      </c>
      <c r="M7584" t="s">
        <v>603</v>
      </c>
      <c r="N7584" t="s">
        <v>604</v>
      </c>
      <c r="O7584" s="37" t="str">
        <f t="shared" si="593"/>
        <v>Digital Payment</v>
      </c>
      <c r="P7584">
        <v>474.07</v>
      </c>
      <c r="Q7584" s="37" t="str">
        <f>IF(P7584&gt;500,"High","low")</f>
        <v>low</v>
      </c>
      <c r="R7584" s="37" t="str">
        <f t="shared" si="594"/>
        <v>AVERAGE</v>
      </c>
      <c r="S7584" t="s">
        <v>605</v>
      </c>
    </row>
    <row r="7585" spans="1:19" x14ac:dyDescent="0.2">
      <c r="A7585" t="s">
        <v>8196</v>
      </c>
      <c r="B7585" t="s">
        <v>90</v>
      </c>
      <c r="C7585" t="s">
        <v>607</v>
      </c>
      <c r="D7585">
        <v>2174.9499999999998</v>
      </c>
      <c r="E7585" s="37" t="str">
        <f t="shared" si="590"/>
        <v xml:space="preserve"> </v>
      </c>
      <c r="F7585">
        <v>0.48</v>
      </c>
      <c r="G7585" s="37" t="str">
        <f t="shared" si="591"/>
        <v>Heavy Discount</v>
      </c>
      <c r="H7585" s="37" t="str">
        <f t="shared" si="592"/>
        <v>High</v>
      </c>
      <c r="I7585">
        <v>2</v>
      </c>
      <c r="J7585" t="str" cm="1">
        <f t="array" ref="J7585">_xlfn.IFS(I7585&lt;=3,"small",I7585&lt;=6,"Medium",I7585&lt;=9,"Large")</f>
        <v>small</v>
      </c>
      <c r="K7585" s="36">
        <v>45125</v>
      </c>
      <c r="L7585" s="36">
        <v>45131</v>
      </c>
      <c r="M7585" t="s">
        <v>603</v>
      </c>
      <c r="N7585" t="s">
        <v>599</v>
      </c>
      <c r="O7585" s="37" t="str">
        <f t="shared" si="593"/>
        <v>Digital Payment</v>
      </c>
      <c r="P7585">
        <v>443.35</v>
      </c>
      <c r="Q7585" s="37" t="str">
        <f>IF(P7585&gt;500,"High","low")</f>
        <v>low</v>
      </c>
      <c r="R7585" s="37" t="str">
        <f t="shared" si="594"/>
        <v>AVERAGE</v>
      </c>
      <c r="S7585" t="s">
        <v>628</v>
      </c>
    </row>
    <row r="7586" spans="1:19" x14ac:dyDescent="0.2">
      <c r="A7586" t="s">
        <v>8197</v>
      </c>
      <c r="B7586" t="s">
        <v>67</v>
      </c>
      <c r="C7586" t="s">
        <v>614</v>
      </c>
      <c r="D7586">
        <v>3563.33</v>
      </c>
      <c r="E7586" s="37" t="str">
        <f t="shared" si="590"/>
        <v xml:space="preserve"> </v>
      </c>
      <c r="F7586">
        <v>0.33</v>
      </c>
      <c r="G7586" s="37" t="str">
        <f t="shared" si="591"/>
        <v>Heavy Discount</v>
      </c>
      <c r="H7586" s="37" t="str">
        <f t="shared" si="592"/>
        <v>Medium</v>
      </c>
      <c r="I7586">
        <v>5</v>
      </c>
      <c r="J7586" t="str" cm="1">
        <f t="array" ref="J7586">_xlfn.IFS(I7586&lt;=3,"small",I7586&lt;=6,"Medium",I7586&lt;=9,"Large")</f>
        <v>Medium</v>
      </c>
      <c r="K7586" s="36">
        <v>45653</v>
      </c>
      <c r="L7586" s="36">
        <v>45656</v>
      </c>
      <c r="M7586" t="s">
        <v>598</v>
      </c>
      <c r="N7586" t="s">
        <v>608</v>
      </c>
      <c r="O7586" s="37" t="str">
        <f t="shared" si="593"/>
        <v>Cash Payment</v>
      </c>
      <c r="P7586">
        <v>192.61</v>
      </c>
      <c r="Q7586" s="37" t="str">
        <f>IF(P7586&gt;500,"High","low")</f>
        <v>low</v>
      </c>
      <c r="R7586" s="37" t="str">
        <f t="shared" si="594"/>
        <v>AVERAGE</v>
      </c>
      <c r="S7586" t="s">
        <v>605</v>
      </c>
    </row>
    <row r="7587" spans="1:19" x14ac:dyDescent="0.2">
      <c r="A7587" t="s">
        <v>8198</v>
      </c>
      <c r="B7587" t="s">
        <v>83</v>
      </c>
      <c r="C7587" t="s">
        <v>602</v>
      </c>
      <c r="D7587">
        <v>1918.21</v>
      </c>
      <c r="E7587" s="37" t="str">
        <f t="shared" si="590"/>
        <v xml:space="preserve"> </v>
      </c>
      <c r="F7587">
        <v>0.43</v>
      </c>
      <c r="G7587" s="37" t="str">
        <f t="shared" si="591"/>
        <v>Heavy Discount</v>
      </c>
      <c r="H7587" s="37" t="str">
        <f t="shared" si="592"/>
        <v>High</v>
      </c>
      <c r="I7587">
        <v>9</v>
      </c>
      <c r="J7587" t="str" cm="1">
        <f t="array" ref="J7587">_xlfn.IFS(I7587&lt;=3,"small",I7587&lt;=6,"Medium",I7587&lt;=9,"Large")</f>
        <v>Large</v>
      </c>
      <c r="K7587" s="36">
        <v>45282</v>
      </c>
      <c r="L7587" s="36">
        <v>45286</v>
      </c>
      <c r="M7587" t="s">
        <v>612</v>
      </c>
      <c r="N7587" t="s">
        <v>608</v>
      </c>
      <c r="O7587" s="37" t="str">
        <f t="shared" si="593"/>
        <v>Cash Payment</v>
      </c>
      <c r="P7587">
        <v>559.32000000000005</v>
      </c>
      <c r="Q7587" s="37" t="str">
        <f>IF(P7587&gt;500,"High","low")</f>
        <v>High</v>
      </c>
      <c r="R7587" s="37" t="str">
        <f t="shared" si="594"/>
        <v>Good</v>
      </c>
      <c r="S7587" t="s">
        <v>615</v>
      </c>
    </row>
    <row r="7588" spans="1:19" x14ac:dyDescent="0.2">
      <c r="A7588" t="s">
        <v>8199</v>
      </c>
      <c r="B7588" t="s">
        <v>75</v>
      </c>
      <c r="C7588" t="s">
        <v>607</v>
      </c>
      <c r="D7588">
        <v>2520.48</v>
      </c>
      <c r="E7588" s="37" t="str">
        <f t="shared" si="590"/>
        <v xml:space="preserve"> </v>
      </c>
      <c r="F7588">
        <v>0.26</v>
      </c>
      <c r="G7588" s="37" t="str">
        <f t="shared" si="591"/>
        <v>Normal Discount</v>
      </c>
      <c r="H7588" s="37" t="str">
        <f t="shared" si="592"/>
        <v>Medium</v>
      </c>
      <c r="I7588">
        <v>8</v>
      </c>
      <c r="J7588" t="str" cm="1">
        <f t="array" ref="J7588">_xlfn.IFS(I7588&lt;=3,"small",I7588&lt;=6,"Medium",I7588&lt;=9,"Large")</f>
        <v>Large</v>
      </c>
      <c r="K7588" s="36">
        <v>44948</v>
      </c>
      <c r="L7588" s="36">
        <v>44950</v>
      </c>
      <c r="M7588" t="s">
        <v>612</v>
      </c>
      <c r="N7588" t="s">
        <v>604</v>
      </c>
      <c r="O7588" s="37" t="str">
        <f t="shared" si="593"/>
        <v>Digital Payment</v>
      </c>
      <c r="P7588">
        <v>269.20999999999998</v>
      </c>
      <c r="Q7588" s="37" t="str">
        <f>IF(P7588&gt;500,"High","low")</f>
        <v>low</v>
      </c>
      <c r="R7588" s="37" t="str">
        <f t="shared" si="594"/>
        <v>AVERAGE</v>
      </c>
      <c r="S7588" t="s">
        <v>600</v>
      </c>
    </row>
    <row r="7589" spans="1:19" x14ac:dyDescent="0.2">
      <c r="A7589" t="s">
        <v>8200</v>
      </c>
      <c r="B7589" t="s">
        <v>67</v>
      </c>
      <c r="C7589" t="s">
        <v>617</v>
      </c>
      <c r="D7589">
        <v>3267.91</v>
      </c>
      <c r="E7589" s="37" t="str">
        <f t="shared" si="590"/>
        <v xml:space="preserve"> </v>
      </c>
      <c r="F7589">
        <v>0.12</v>
      </c>
      <c r="G7589" s="37" t="str">
        <f t="shared" si="591"/>
        <v>Normal Discount</v>
      </c>
      <c r="H7589" s="37" t="str">
        <f t="shared" si="592"/>
        <v>Low</v>
      </c>
      <c r="I7589">
        <v>4</v>
      </c>
      <c r="J7589" t="str" cm="1">
        <f t="array" ref="J7589">_xlfn.IFS(I7589&lt;=3,"small",I7589&lt;=6,"Medium",I7589&lt;=9,"Large")</f>
        <v>Medium</v>
      </c>
      <c r="K7589" s="36">
        <v>45496</v>
      </c>
      <c r="L7589" s="36">
        <v>45502</v>
      </c>
      <c r="M7589" t="s">
        <v>612</v>
      </c>
      <c r="N7589" t="s">
        <v>599</v>
      </c>
      <c r="O7589" s="37" t="str">
        <f t="shared" si="593"/>
        <v>Digital Payment</v>
      </c>
      <c r="P7589">
        <v>948.83</v>
      </c>
      <c r="Q7589" s="37" t="str">
        <f>IF(P7589&gt;500,"High","low")</f>
        <v>High</v>
      </c>
      <c r="R7589" s="37" t="str">
        <f t="shared" si="594"/>
        <v>Good</v>
      </c>
      <c r="S7589" t="s">
        <v>605</v>
      </c>
    </row>
    <row r="7590" spans="1:19" x14ac:dyDescent="0.2">
      <c r="A7590" t="s">
        <v>8201</v>
      </c>
      <c r="B7590" t="s">
        <v>67</v>
      </c>
      <c r="C7590" t="s">
        <v>602</v>
      </c>
      <c r="D7590">
        <v>2245.02</v>
      </c>
      <c r="E7590" s="37" t="str">
        <f t="shared" si="590"/>
        <v xml:space="preserve"> </v>
      </c>
      <c r="F7590">
        <v>0.28000000000000003</v>
      </c>
      <c r="G7590" s="37" t="str">
        <f t="shared" si="591"/>
        <v>Normal Discount</v>
      </c>
      <c r="H7590" s="37" t="str">
        <f t="shared" si="592"/>
        <v>Medium</v>
      </c>
      <c r="I7590">
        <v>8</v>
      </c>
      <c r="J7590" t="str" cm="1">
        <f t="array" ref="J7590">_xlfn.IFS(I7590&lt;=3,"small",I7590&lt;=6,"Medium",I7590&lt;=9,"Large")</f>
        <v>Large</v>
      </c>
      <c r="K7590" s="36">
        <v>45385</v>
      </c>
      <c r="L7590" s="36">
        <v>45391</v>
      </c>
      <c r="M7590" t="s">
        <v>598</v>
      </c>
      <c r="N7590" t="s">
        <v>599</v>
      </c>
      <c r="O7590" s="37" t="str">
        <f t="shared" si="593"/>
        <v>Digital Payment</v>
      </c>
      <c r="P7590">
        <v>334.99</v>
      </c>
      <c r="Q7590" s="37" t="str">
        <f>IF(P7590&gt;500,"High","low")</f>
        <v>low</v>
      </c>
      <c r="R7590" s="37" t="str">
        <f t="shared" si="594"/>
        <v>AVERAGE</v>
      </c>
      <c r="S7590" t="s">
        <v>609</v>
      </c>
    </row>
    <row r="7591" spans="1:19" x14ac:dyDescent="0.2">
      <c r="A7591" t="s">
        <v>8202</v>
      </c>
      <c r="B7591" t="s">
        <v>90</v>
      </c>
      <c r="C7591" t="s">
        <v>607</v>
      </c>
      <c r="D7591">
        <v>3985.89</v>
      </c>
      <c r="E7591" s="37" t="str">
        <f t="shared" si="590"/>
        <v xml:space="preserve"> </v>
      </c>
      <c r="F7591">
        <v>0.03</v>
      </c>
      <c r="G7591" s="37" t="str">
        <f t="shared" si="591"/>
        <v>Normal Discount</v>
      </c>
      <c r="H7591" s="37" t="str">
        <f t="shared" si="592"/>
        <v>Low</v>
      </c>
      <c r="I7591">
        <v>9</v>
      </c>
      <c r="J7591" t="str" cm="1">
        <f t="array" ref="J7591">_xlfn.IFS(I7591&lt;=3,"small",I7591&lt;=6,"Medium",I7591&lt;=9,"Large")</f>
        <v>Large</v>
      </c>
      <c r="K7591" s="36">
        <v>45578</v>
      </c>
      <c r="L7591" s="36">
        <v>45583</v>
      </c>
      <c r="M7591" t="s">
        <v>612</v>
      </c>
      <c r="N7591" t="s">
        <v>608</v>
      </c>
      <c r="O7591" s="37" t="str">
        <f t="shared" si="593"/>
        <v>Cash Payment</v>
      </c>
      <c r="P7591">
        <v>1055.47</v>
      </c>
      <c r="Q7591" s="37" t="str">
        <f>IF(P7591&gt;500,"High","low")</f>
        <v>High</v>
      </c>
      <c r="R7591" s="37" t="str">
        <f t="shared" si="594"/>
        <v>Excellent</v>
      </c>
      <c r="S7591" t="s">
        <v>615</v>
      </c>
    </row>
    <row r="7592" spans="1:19" x14ac:dyDescent="0.2">
      <c r="A7592" t="s">
        <v>8203</v>
      </c>
      <c r="B7592" t="s">
        <v>83</v>
      </c>
      <c r="C7592" t="s">
        <v>607</v>
      </c>
      <c r="D7592">
        <v>669.77</v>
      </c>
      <c r="E7592" s="37" t="str">
        <f t="shared" si="590"/>
        <v xml:space="preserve"> </v>
      </c>
      <c r="F7592">
        <v>0.43</v>
      </c>
      <c r="G7592" s="37" t="str">
        <f t="shared" si="591"/>
        <v>Heavy Discount</v>
      </c>
      <c r="H7592" s="37" t="str">
        <f t="shared" si="592"/>
        <v>High</v>
      </c>
      <c r="I7592">
        <v>5</v>
      </c>
      <c r="J7592" t="str" cm="1">
        <f t="array" ref="J7592">_xlfn.IFS(I7592&lt;=3,"small",I7592&lt;=6,"Medium",I7592&lt;=9,"Large")</f>
        <v>Medium</v>
      </c>
      <c r="K7592" s="36">
        <v>45370</v>
      </c>
      <c r="L7592" s="36">
        <v>45375</v>
      </c>
      <c r="M7592" t="s">
        <v>612</v>
      </c>
      <c r="N7592" t="s">
        <v>608</v>
      </c>
      <c r="O7592" s="37" t="str">
        <f t="shared" si="593"/>
        <v>Cash Payment</v>
      </c>
      <c r="P7592">
        <v>100.64</v>
      </c>
      <c r="Q7592" s="37" t="str">
        <f>IF(P7592&gt;500,"High","low")</f>
        <v>low</v>
      </c>
      <c r="R7592" s="37" t="str">
        <f t="shared" si="594"/>
        <v>AVERAGE</v>
      </c>
      <c r="S7592" t="s">
        <v>628</v>
      </c>
    </row>
    <row r="7593" spans="1:19" x14ac:dyDescent="0.2">
      <c r="A7593" t="s">
        <v>8204</v>
      </c>
      <c r="B7593" t="s">
        <v>90</v>
      </c>
      <c r="C7593" t="s">
        <v>602</v>
      </c>
      <c r="D7593">
        <v>3618.48</v>
      </c>
      <c r="E7593" s="37" t="str">
        <f t="shared" si="590"/>
        <v xml:space="preserve"> </v>
      </c>
      <c r="F7593">
        <v>0.32</v>
      </c>
      <c r="G7593" s="37" t="str">
        <f t="shared" si="591"/>
        <v>Heavy Discount</v>
      </c>
      <c r="H7593" s="37" t="str">
        <f t="shared" si="592"/>
        <v>Medium</v>
      </c>
      <c r="I7593">
        <v>1</v>
      </c>
      <c r="J7593" t="str" cm="1">
        <f t="array" ref="J7593">_xlfn.IFS(I7593&lt;=3,"small",I7593&lt;=6,"Medium",I7593&lt;=9,"Large")</f>
        <v>small</v>
      </c>
      <c r="K7593" s="36">
        <v>45395</v>
      </c>
      <c r="L7593" s="36">
        <v>45398</v>
      </c>
      <c r="M7593" t="s">
        <v>598</v>
      </c>
      <c r="N7593" t="s">
        <v>608</v>
      </c>
      <c r="O7593" s="37" t="str">
        <f t="shared" si="593"/>
        <v>Cash Payment</v>
      </c>
      <c r="P7593">
        <v>750.89</v>
      </c>
      <c r="Q7593" s="37" t="str">
        <f>IF(P7593&gt;500,"High","low")</f>
        <v>High</v>
      </c>
      <c r="R7593" s="37" t="str">
        <f t="shared" si="594"/>
        <v>Good</v>
      </c>
      <c r="S7593" t="s">
        <v>605</v>
      </c>
    </row>
    <row r="7594" spans="1:19" x14ac:dyDescent="0.2">
      <c r="A7594" t="s">
        <v>8205</v>
      </c>
      <c r="B7594" t="s">
        <v>67</v>
      </c>
      <c r="C7594" t="s">
        <v>602</v>
      </c>
      <c r="D7594">
        <v>811.53</v>
      </c>
      <c r="E7594" s="37" t="str">
        <f t="shared" si="590"/>
        <v xml:space="preserve"> </v>
      </c>
      <c r="F7594">
        <v>0.14000000000000001</v>
      </c>
      <c r="G7594" s="37" t="str">
        <f t="shared" si="591"/>
        <v>Normal Discount</v>
      </c>
      <c r="H7594" s="37" t="str">
        <f t="shared" si="592"/>
        <v>Low</v>
      </c>
      <c r="I7594">
        <v>6</v>
      </c>
      <c r="J7594" t="str" cm="1">
        <f t="array" ref="J7594">_xlfn.IFS(I7594&lt;=3,"small",I7594&lt;=6,"Medium",I7594&lt;=9,"Large")</f>
        <v>Medium</v>
      </c>
      <c r="K7594" s="36">
        <v>45254</v>
      </c>
      <c r="L7594" s="36">
        <v>45260</v>
      </c>
      <c r="M7594" t="s">
        <v>603</v>
      </c>
      <c r="N7594" t="s">
        <v>608</v>
      </c>
      <c r="O7594" s="37" t="str">
        <f t="shared" si="593"/>
        <v>Cash Payment</v>
      </c>
      <c r="P7594">
        <v>122.09</v>
      </c>
      <c r="Q7594" s="37" t="str">
        <f>IF(P7594&gt;500,"High","low")</f>
        <v>low</v>
      </c>
      <c r="R7594" s="37" t="str">
        <f t="shared" si="594"/>
        <v>AVERAGE</v>
      </c>
      <c r="S7594" t="s">
        <v>600</v>
      </c>
    </row>
    <row r="7595" spans="1:19" x14ac:dyDescent="0.2">
      <c r="A7595" t="s">
        <v>8206</v>
      </c>
      <c r="B7595" t="s">
        <v>67</v>
      </c>
      <c r="C7595" t="s">
        <v>602</v>
      </c>
      <c r="D7595">
        <v>4695.41</v>
      </c>
      <c r="E7595" s="37" t="str">
        <f t="shared" si="590"/>
        <v>Excellent Order</v>
      </c>
      <c r="F7595">
        <v>0.14000000000000001</v>
      </c>
      <c r="G7595" s="37" t="str">
        <f t="shared" si="591"/>
        <v>Normal Discount</v>
      </c>
      <c r="H7595" s="37" t="str">
        <f t="shared" si="592"/>
        <v>Low</v>
      </c>
      <c r="I7595">
        <v>4</v>
      </c>
      <c r="J7595" t="str" cm="1">
        <f t="array" ref="J7595">_xlfn.IFS(I7595&lt;=3,"small",I7595&lt;=6,"Medium",I7595&lt;=9,"Large")</f>
        <v>Medium</v>
      </c>
      <c r="K7595" s="36">
        <v>45387</v>
      </c>
      <c r="L7595" s="36">
        <v>45393</v>
      </c>
      <c r="M7595" t="s">
        <v>598</v>
      </c>
      <c r="N7595" t="s">
        <v>608</v>
      </c>
      <c r="O7595" s="37" t="str">
        <f t="shared" si="593"/>
        <v>Cash Payment</v>
      </c>
      <c r="P7595">
        <v>1102.1099999999999</v>
      </c>
      <c r="Q7595" s="37" t="str">
        <f>IF(P7595&gt;500,"High","low")</f>
        <v>High</v>
      </c>
      <c r="R7595" s="37" t="str">
        <f t="shared" si="594"/>
        <v>Excellent</v>
      </c>
      <c r="S7595" t="s">
        <v>628</v>
      </c>
    </row>
    <row r="7596" spans="1:19" x14ac:dyDescent="0.2">
      <c r="A7596" t="s">
        <v>8207</v>
      </c>
      <c r="B7596" t="s">
        <v>67</v>
      </c>
      <c r="C7596" t="s">
        <v>597</v>
      </c>
      <c r="D7596">
        <v>1638.78</v>
      </c>
      <c r="E7596" s="37" t="str">
        <f t="shared" si="590"/>
        <v xml:space="preserve"> </v>
      </c>
      <c r="F7596">
        <v>0.45</v>
      </c>
      <c r="G7596" s="37" t="str">
        <f t="shared" si="591"/>
        <v>Heavy Discount</v>
      </c>
      <c r="H7596" s="37" t="str">
        <f t="shared" si="592"/>
        <v>High</v>
      </c>
      <c r="I7596">
        <v>6</v>
      </c>
      <c r="J7596" t="str" cm="1">
        <f t="array" ref="J7596">_xlfn.IFS(I7596&lt;=3,"small",I7596&lt;=6,"Medium",I7596&lt;=9,"Large")</f>
        <v>Medium</v>
      </c>
      <c r="K7596" s="36">
        <v>45155</v>
      </c>
      <c r="L7596" s="36">
        <v>45156</v>
      </c>
      <c r="M7596" t="s">
        <v>603</v>
      </c>
      <c r="N7596" t="s">
        <v>599</v>
      </c>
      <c r="O7596" s="37" t="str">
        <f t="shared" si="593"/>
        <v>Digital Payment</v>
      </c>
      <c r="P7596">
        <v>411.95</v>
      </c>
      <c r="Q7596" s="37" t="str">
        <f>IF(P7596&gt;500,"High","low")</f>
        <v>low</v>
      </c>
      <c r="R7596" s="37" t="str">
        <f t="shared" si="594"/>
        <v>AVERAGE</v>
      </c>
      <c r="S7596" t="s">
        <v>609</v>
      </c>
    </row>
    <row r="7597" spans="1:19" x14ac:dyDescent="0.2">
      <c r="A7597" t="s">
        <v>8208</v>
      </c>
      <c r="B7597" t="s">
        <v>90</v>
      </c>
      <c r="C7597" t="s">
        <v>617</v>
      </c>
      <c r="D7597">
        <v>3997.62</v>
      </c>
      <c r="E7597" s="37" t="str">
        <f t="shared" si="590"/>
        <v xml:space="preserve"> </v>
      </c>
      <c r="F7597">
        <v>0.42</v>
      </c>
      <c r="G7597" s="37" t="str">
        <f t="shared" si="591"/>
        <v>Heavy Discount</v>
      </c>
      <c r="H7597" s="37" t="str">
        <f t="shared" si="592"/>
        <v>High</v>
      </c>
      <c r="I7597">
        <v>1</v>
      </c>
      <c r="J7597" t="str" cm="1">
        <f t="array" ref="J7597">_xlfn.IFS(I7597&lt;=3,"small",I7597&lt;=6,"Medium",I7597&lt;=9,"Large")</f>
        <v>small</v>
      </c>
      <c r="K7597" s="36">
        <v>45471</v>
      </c>
      <c r="L7597" s="36">
        <v>45474</v>
      </c>
      <c r="M7597" t="s">
        <v>603</v>
      </c>
      <c r="N7597" t="s">
        <v>608</v>
      </c>
      <c r="O7597" s="37" t="str">
        <f t="shared" si="593"/>
        <v>Cash Payment</v>
      </c>
      <c r="P7597">
        <v>1048.06</v>
      </c>
      <c r="Q7597" s="37" t="str">
        <f>IF(P7597&gt;500,"High","low")</f>
        <v>High</v>
      </c>
      <c r="R7597" s="37" t="str">
        <f t="shared" si="594"/>
        <v>Excellent</v>
      </c>
      <c r="S7597" t="s">
        <v>620</v>
      </c>
    </row>
    <row r="7598" spans="1:19" x14ac:dyDescent="0.2">
      <c r="A7598" t="s">
        <v>8209</v>
      </c>
      <c r="B7598" t="s">
        <v>83</v>
      </c>
      <c r="C7598" t="s">
        <v>614</v>
      </c>
      <c r="D7598">
        <v>2654.94</v>
      </c>
      <c r="E7598" s="37" t="str">
        <f t="shared" si="590"/>
        <v xml:space="preserve"> </v>
      </c>
      <c r="F7598">
        <v>0.38</v>
      </c>
      <c r="G7598" s="37" t="str">
        <f t="shared" si="591"/>
        <v>Heavy Discount</v>
      </c>
      <c r="H7598" s="37" t="str">
        <f t="shared" si="592"/>
        <v>Medium</v>
      </c>
      <c r="I7598">
        <v>4</v>
      </c>
      <c r="J7598" t="str" cm="1">
        <f t="array" ref="J7598">_xlfn.IFS(I7598&lt;=3,"small",I7598&lt;=6,"Medium",I7598&lt;=9,"Large")</f>
        <v>Medium</v>
      </c>
      <c r="K7598" s="36">
        <v>45552</v>
      </c>
      <c r="L7598" s="36">
        <v>45554</v>
      </c>
      <c r="M7598" t="s">
        <v>603</v>
      </c>
      <c r="N7598" t="s">
        <v>608</v>
      </c>
      <c r="O7598" s="37" t="str">
        <f t="shared" si="593"/>
        <v>Cash Payment</v>
      </c>
      <c r="P7598">
        <v>280.69</v>
      </c>
      <c r="Q7598" s="37" t="str">
        <f>IF(P7598&gt;500,"High","low")</f>
        <v>low</v>
      </c>
      <c r="R7598" s="37" t="str">
        <f t="shared" si="594"/>
        <v>AVERAGE</v>
      </c>
      <c r="S7598" t="s">
        <v>609</v>
      </c>
    </row>
    <row r="7599" spans="1:19" x14ac:dyDescent="0.2">
      <c r="A7599" t="s">
        <v>8210</v>
      </c>
      <c r="B7599" t="s">
        <v>75</v>
      </c>
      <c r="C7599" t="s">
        <v>607</v>
      </c>
      <c r="D7599">
        <v>546.33000000000004</v>
      </c>
      <c r="E7599" s="37" t="str">
        <f t="shared" si="590"/>
        <v xml:space="preserve"> </v>
      </c>
      <c r="F7599">
        <v>0.21</v>
      </c>
      <c r="G7599" s="37" t="str">
        <f t="shared" si="591"/>
        <v>Normal Discount</v>
      </c>
      <c r="H7599" s="37" t="str">
        <f t="shared" si="592"/>
        <v>Medium</v>
      </c>
      <c r="I7599">
        <v>5</v>
      </c>
      <c r="J7599" t="str" cm="1">
        <f t="array" ref="J7599">_xlfn.IFS(I7599&lt;=3,"small",I7599&lt;=6,"Medium",I7599&lt;=9,"Large")</f>
        <v>Medium</v>
      </c>
      <c r="K7599" s="36">
        <v>45120</v>
      </c>
      <c r="L7599" s="36">
        <v>45127</v>
      </c>
      <c r="M7599" t="s">
        <v>612</v>
      </c>
      <c r="N7599" t="s">
        <v>608</v>
      </c>
      <c r="O7599" s="37" t="str">
        <f t="shared" si="593"/>
        <v>Cash Payment</v>
      </c>
      <c r="P7599">
        <v>140.76</v>
      </c>
      <c r="Q7599" s="37" t="str">
        <f>IF(P7599&gt;500,"High","low")</f>
        <v>low</v>
      </c>
      <c r="R7599" s="37" t="str">
        <f t="shared" si="594"/>
        <v>AVERAGE</v>
      </c>
      <c r="S7599" t="s">
        <v>615</v>
      </c>
    </row>
    <row r="7600" spans="1:19" x14ac:dyDescent="0.2">
      <c r="A7600" t="s">
        <v>8211</v>
      </c>
      <c r="B7600" t="s">
        <v>90</v>
      </c>
      <c r="C7600" t="s">
        <v>614</v>
      </c>
      <c r="D7600">
        <v>2954.68</v>
      </c>
      <c r="E7600" s="37" t="str">
        <f t="shared" si="590"/>
        <v xml:space="preserve"> </v>
      </c>
      <c r="F7600">
        <v>0.44</v>
      </c>
      <c r="G7600" s="37" t="str">
        <f t="shared" si="591"/>
        <v>Heavy Discount</v>
      </c>
      <c r="H7600" s="37" t="str">
        <f t="shared" si="592"/>
        <v>High</v>
      </c>
      <c r="I7600">
        <v>6</v>
      </c>
      <c r="J7600" t="str" cm="1">
        <f t="array" ref="J7600">_xlfn.IFS(I7600&lt;=3,"small",I7600&lt;=6,"Medium",I7600&lt;=9,"Large")</f>
        <v>Medium</v>
      </c>
      <c r="K7600" s="36">
        <v>45319</v>
      </c>
      <c r="L7600" s="36">
        <v>45322</v>
      </c>
      <c r="M7600" t="s">
        <v>598</v>
      </c>
      <c r="N7600" t="s">
        <v>604</v>
      </c>
      <c r="O7600" s="37" t="str">
        <f t="shared" si="593"/>
        <v>Digital Payment</v>
      </c>
      <c r="P7600">
        <v>446.14</v>
      </c>
      <c r="Q7600" s="37" t="str">
        <f>IF(P7600&gt;500,"High","low")</f>
        <v>low</v>
      </c>
      <c r="R7600" s="37" t="str">
        <f t="shared" si="594"/>
        <v>AVERAGE</v>
      </c>
      <c r="S7600" t="s">
        <v>620</v>
      </c>
    </row>
    <row r="7601" spans="1:19" x14ac:dyDescent="0.2">
      <c r="A7601" t="s">
        <v>8212</v>
      </c>
      <c r="B7601" t="s">
        <v>67</v>
      </c>
      <c r="C7601" t="s">
        <v>602</v>
      </c>
      <c r="D7601">
        <v>4569.67</v>
      </c>
      <c r="E7601" s="37" t="str">
        <f t="shared" si="590"/>
        <v>Excellent Order</v>
      </c>
      <c r="F7601">
        <v>0.12</v>
      </c>
      <c r="G7601" s="37" t="str">
        <f t="shared" si="591"/>
        <v>Normal Discount</v>
      </c>
      <c r="H7601" s="37" t="str">
        <f t="shared" si="592"/>
        <v>Low</v>
      </c>
      <c r="I7601">
        <v>5</v>
      </c>
      <c r="J7601" t="str" cm="1">
        <f t="array" ref="J7601">_xlfn.IFS(I7601&lt;=3,"small",I7601&lt;=6,"Medium",I7601&lt;=9,"Large")</f>
        <v>Medium</v>
      </c>
      <c r="K7601" s="36">
        <v>45387</v>
      </c>
      <c r="L7601" s="36">
        <v>45393</v>
      </c>
      <c r="M7601" t="s">
        <v>603</v>
      </c>
      <c r="N7601" t="s">
        <v>599</v>
      </c>
      <c r="O7601" s="37" t="str">
        <f t="shared" si="593"/>
        <v>Digital Payment</v>
      </c>
      <c r="P7601">
        <v>921.82</v>
      </c>
      <c r="Q7601" s="37" t="str">
        <f>IF(P7601&gt;500,"High","low")</f>
        <v>High</v>
      </c>
      <c r="R7601" s="37" t="str">
        <f t="shared" si="594"/>
        <v>Good</v>
      </c>
      <c r="S7601" t="s">
        <v>615</v>
      </c>
    </row>
    <row r="7602" spans="1:19" x14ac:dyDescent="0.2">
      <c r="A7602" t="s">
        <v>8213</v>
      </c>
      <c r="B7602" t="s">
        <v>90</v>
      </c>
      <c r="C7602" t="s">
        <v>617</v>
      </c>
      <c r="D7602">
        <v>870.45</v>
      </c>
      <c r="E7602" s="37" t="str">
        <f t="shared" si="590"/>
        <v xml:space="preserve"> </v>
      </c>
      <c r="F7602">
        <v>0.01</v>
      </c>
      <c r="G7602" s="37" t="str">
        <f t="shared" si="591"/>
        <v>Normal Discount</v>
      </c>
      <c r="H7602" s="37" t="str">
        <f t="shared" si="592"/>
        <v>Low</v>
      </c>
      <c r="I7602">
        <v>2</v>
      </c>
      <c r="J7602" t="str" cm="1">
        <f t="array" ref="J7602">_xlfn.IFS(I7602&lt;=3,"small",I7602&lt;=6,"Medium",I7602&lt;=9,"Large")</f>
        <v>small</v>
      </c>
      <c r="K7602" s="36">
        <v>45208</v>
      </c>
      <c r="L7602" s="36">
        <v>45209</v>
      </c>
      <c r="M7602" t="s">
        <v>598</v>
      </c>
      <c r="N7602" t="s">
        <v>599</v>
      </c>
      <c r="O7602" s="37" t="str">
        <f t="shared" si="593"/>
        <v>Digital Payment</v>
      </c>
      <c r="P7602">
        <v>57.1</v>
      </c>
      <c r="Q7602" s="37" t="str">
        <f>IF(P7602&gt;500,"High","low")</f>
        <v>low</v>
      </c>
      <c r="R7602" s="37" t="str">
        <f t="shared" si="594"/>
        <v>AVERAGE</v>
      </c>
      <c r="S7602" t="s">
        <v>600</v>
      </c>
    </row>
    <row r="7603" spans="1:19" x14ac:dyDescent="0.2">
      <c r="A7603" t="s">
        <v>8214</v>
      </c>
      <c r="B7603" t="s">
        <v>67</v>
      </c>
      <c r="C7603" t="s">
        <v>617</v>
      </c>
      <c r="D7603">
        <v>1674.4</v>
      </c>
      <c r="E7603" s="37" t="str">
        <f t="shared" si="590"/>
        <v xml:space="preserve"> </v>
      </c>
      <c r="F7603">
        <v>0.22</v>
      </c>
      <c r="G7603" s="37" t="str">
        <f t="shared" si="591"/>
        <v>Normal Discount</v>
      </c>
      <c r="H7603" s="37" t="str">
        <f t="shared" si="592"/>
        <v>Medium</v>
      </c>
      <c r="I7603">
        <v>3</v>
      </c>
      <c r="J7603" t="str" cm="1">
        <f t="array" ref="J7603">_xlfn.IFS(I7603&lt;=3,"small",I7603&lt;=6,"Medium",I7603&lt;=9,"Large")</f>
        <v>small</v>
      </c>
      <c r="K7603" s="36">
        <v>45611</v>
      </c>
      <c r="L7603" s="36">
        <v>45616</v>
      </c>
      <c r="M7603" t="s">
        <v>598</v>
      </c>
      <c r="N7603" t="s">
        <v>599</v>
      </c>
      <c r="O7603" s="37" t="str">
        <f t="shared" si="593"/>
        <v>Digital Payment</v>
      </c>
      <c r="P7603">
        <v>334.73</v>
      </c>
      <c r="Q7603" s="37" t="str">
        <f>IF(P7603&gt;500,"High","low")</f>
        <v>low</v>
      </c>
      <c r="R7603" s="37" t="str">
        <f t="shared" si="594"/>
        <v>AVERAGE</v>
      </c>
      <c r="S7603" t="s">
        <v>600</v>
      </c>
    </row>
    <row r="7604" spans="1:19" x14ac:dyDescent="0.2">
      <c r="A7604" t="s">
        <v>8215</v>
      </c>
      <c r="B7604" t="s">
        <v>75</v>
      </c>
      <c r="C7604" t="s">
        <v>597</v>
      </c>
      <c r="D7604">
        <v>2251.88</v>
      </c>
      <c r="E7604" s="37" t="str">
        <f t="shared" si="590"/>
        <v xml:space="preserve"> </v>
      </c>
      <c r="F7604">
        <v>0.46</v>
      </c>
      <c r="G7604" s="37" t="str">
        <f t="shared" si="591"/>
        <v>Heavy Discount</v>
      </c>
      <c r="H7604" s="37" t="str">
        <f t="shared" si="592"/>
        <v>High</v>
      </c>
      <c r="I7604">
        <v>5</v>
      </c>
      <c r="J7604" t="str" cm="1">
        <f t="array" ref="J7604">_xlfn.IFS(I7604&lt;=3,"small",I7604&lt;=6,"Medium",I7604&lt;=9,"Large")</f>
        <v>Medium</v>
      </c>
      <c r="K7604" s="36">
        <v>45493</v>
      </c>
      <c r="L7604" s="36">
        <v>45497</v>
      </c>
      <c r="M7604" t="s">
        <v>598</v>
      </c>
      <c r="N7604" t="s">
        <v>604</v>
      </c>
      <c r="O7604" s="37" t="str">
        <f t="shared" si="593"/>
        <v>Digital Payment</v>
      </c>
      <c r="P7604">
        <v>576.82000000000005</v>
      </c>
      <c r="Q7604" s="37" t="str">
        <f>IF(P7604&gt;500,"High","low")</f>
        <v>High</v>
      </c>
      <c r="R7604" s="37" t="str">
        <f t="shared" si="594"/>
        <v>Good</v>
      </c>
      <c r="S7604" t="s">
        <v>628</v>
      </c>
    </row>
    <row r="7605" spans="1:19" x14ac:dyDescent="0.2">
      <c r="A7605" t="s">
        <v>8216</v>
      </c>
      <c r="B7605" t="s">
        <v>75</v>
      </c>
      <c r="C7605" t="s">
        <v>602</v>
      </c>
      <c r="D7605">
        <v>1447.76</v>
      </c>
      <c r="E7605" s="37" t="str">
        <f t="shared" si="590"/>
        <v xml:space="preserve"> </v>
      </c>
      <c r="F7605">
        <v>0.28999999999999998</v>
      </c>
      <c r="G7605" s="37" t="str">
        <f t="shared" si="591"/>
        <v>Normal Discount</v>
      </c>
      <c r="H7605" s="37" t="str">
        <f t="shared" si="592"/>
        <v>Medium</v>
      </c>
      <c r="I7605">
        <v>7</v>
      </c>
      <c r="J7605" t="str" cm="1">
        <f t="array" ref="J7605">_xlfn.IFS(I7605&lt;=3,"small",I7605&lt;=6,"Medium",I7605&lt;=9,"Large")</f>
        <v>Large</v>
      </c>
      <c r="K7605" s="36">
        <v>45293</v>
      </c>
      <c r="L7605" s="36">
        <v>45298</v>
      </c>
      <c r="M7605" t="s">
        <v>603</v>
      </c>
      <c r="N7605" t="s">
        <v>608</v>
      </c>
      <c r="O7605" s="37" t="str">
        <f t="shared" si="593"/>
        <v>Cash Payment</v>
      </c>
      <c r="P7605">
        <v>174.8</v>
      </c>
      <c r="Q7605" s="37" t="str">
        <f>IF(P7605&gt;500,"High","low")</f>
        <v>low</v>
      </c>
      <c r="R7605" s="37" t="str">
        <f t="shared" si="594"/>
        <v>AVERAGE</v>
      </c>
      <c r="S7605" t="s">
        <v>615</v>
      </c>
    </row>
    <row r="7606" spans="1:19" x14ac:dyDescent="0.2">
      <c r="A7606" t="s">
        <v>8217</v>
      </c>
      <c r="B7606" t="s">
        <v>83</v>
      </c>
      <c r="C7606" t="s">
        <v>607</v>
      </c>
      <c r="D7606">
        <v>4724.5200000000004</v>
      </c>
      <c r="E7606" s="37" t="str">
        <f t="shared" si="590"/>
        <v xml:space="preserve"> </v>
      </c>
      <c r="F7606">
        <v>0.11</v>
      </c>
      <c r="G7606" s="37" t="str">
        <f t="shared" si="591"/>
        <v>Normal Discount</v>
      </c>
      <c r="H7606" s="37" t="str">
        <f t="shared" si="592"/>
        <v>Low</v>
      </c>
      <c r="I7606">
        <v>4</v>
      </c>
      <c r="J7606" t="str" cm="1">
        <f t="array" ref="J7606">_xlfn.IFS(I7606&lt;=3,"small",I7606&lt;=6,"Medium",I7606&lt;=9,"Large")</f>
        <v>Medium</v>
      </c>
      <c r="K7606" s="36">
        <v>45106</v>
      </c>
      <c r="L7606" s="36">
        <v>45113</v>
      </c>
      <c r="M7606" t="s">
        <v>612</v>
      </c>
      <c r="N7606" t="s">
        <v>608</v>
      </c>
      <c r="O7606" s="37" t="str">
        <f t="shared" si="593"/>
        <v>Cash Payment</v>
      </c>
      <c r="P7606">
        <v>781.4</v>
      </c>
      <c r="Q7606" s="37" t="str">
        <f>IF(P7606&gt;500,"High","low")</f>
        <v>High</v>
      </c>
      <c r="R7606" s="37" t="str">
        <f t="shared" si="594"/>
        <v>Good</v>
      </c>
      <c r="S7606" t="s">
        <v>620</v>
      </c>
    </row>
    <row r="7607" spans="1:19" x14ac:dyDescent="0.2">
      <c r="A7607" t="s">
        <v>8218</v>
      </c>
      <c r="B7607" t="s">
        <v>67</v>
      </c>
      <c r="C7607" t="s">
        <v>597</v>
      </c>
      <c r="D7607">
        <v>1949.75</v>
      </c>
      <c r="E7607" s="37" t="str">
        <f t="shared" si="590"/>
        <v xml:space="preserve"> </v>
      </c>
      <c r="F7607">
        <v>0.33</v>
      </c>
      <c r="G7607" s="37" t="str">
        <f t="shared" si="591"/>
        <v>Heavy Discount</v>
      </c>
      <c r="H7607" s="37" t="str">
        <f t="shared" si="592"/>
        <v>Medium</v>
      </c>
      <c r="I7607">
        <v>6</v>
      </c>
      <c r="J7607" t="str" cm="1">
        <f t="array" ref="J7607">_xlfn.IFS(I7607&lt;=3,"small",I7607&lt;=6,"Medium",I7607&lt;=9,"Large")</f>
        <v>Medium</v>
      </c>
      <c r="K7607" s="36">
        <v>45319</v>
      </c>
      <c r="L7607" s="36">
        <v>45320</v>
      </c>
      <c r="M7607" t="s">
        <v>603</v>
      </c>
      <c r="N7607" t="s">
        <v>599</v>
      </c>
      <c r="O7607" s="37" t="str">
        <f t="shared" si="593"/>
        <v>Digital Payment</v>
      </c>
      <c r="P7607">
        <v>497.92</v>
      </c>
      <c r="Q7607" s="37" t="str">
        <f>IF(P7607&gt;500,"High","low")</f>
        <v>low</v>
      </c>
      <c r="R7607" s="37" t="str">
        <f t="shared" si="594"/>
        <v>AVERAGE</v>
      </c>
      <c r="S7607" t="s">
        <v>605</v>
      </c>
    </row>
    <row r="7608" spans="1:19" x14ac:dyDescent="0.2">
      <c r="A7608" t="s">
        <v>8219</v>
      </c>
      <c r="B7608" t="s">
        <v>83</v>
      </c>
      <c r="C7608" t="s">
        <v>602</v>
      </c>
      <c r="D7608">
        <v>3324.5</v>
      </c>
      <c r="E7608" s="37" t="str">
        <f t="shared" si="590"/>
        <v xml:space="preserve"> </v>
      </c>
      <c r="F7608">
        <v>0.37</v>
      </c>
      <c r="G7608" s="37" t="str">
        <f t="shared" si="591"/>
        <v>Heavy Discount</v>
      </c>
      <c r="H7608" s="37" t="str">
        <f t="shared" si="592"/>
        <v>Medium</v>
      </c>
      <c r="I7608">
        <v>9</v>
      </c>
      <c r="J7608" t="str" cm="1">
        <f t="array" ref="J7608">_xlfn.IFS(I7608&lt;=3,"small",I7608&lt;=6,"Medium",I7608&lt;=9,"Large")</f>
        <v>Large</v>
      </c>
      <c r="K7608" s="36">
        <v>45179</v>
      </c>
      <c r="L7608" s="36">
        <v>45184</v>
      </c>
      <c r="M7608" t="s">
        <v>598</v>
      </c>
      <c r="N7608" t="s">
        <v>608</v>
      </c>
      <c r="O7608" s="37" t="str">
        <f t="shared" si="593"/>
        <v>Cash Payment</v>
      </c>
      <c r="P7608">
        <v>415.8</v>
      </c>
      <c r="Q7608" s="37" t="str">
        <f>IF(P7608&gt;500,"High","low")</f>
        <v>low</v>
      </c>
      <c r="R7608" s="37" t="str">
        <f t="shared" si="594"/>
        <v>AVERAGE</v>
      </c>
      <c r="S7608" t="s">
        <v>620</v>
      </c>
    </row>
    <row r="7609" spans="1:19" x14ac:dyDescent="0.2">
      <c r="A7609" t="s">
        <v>8220</v>
      </c>
      <c r="B7609" t="s">
        <v>83</v>
      </c>
      <c r="C7609" t="s">
        <v>597</v>
      </c>
      <c r="D7609">
        <v>1197.19</v>
      </c>
      <c r="E7609" s="37" t="str">
        <f t="shared" si="590"/>
        <v xml:space="preserve"> </v>
      </c>
      <c r="F7609">
        <v>0.28000000000000003</v>
      </c>
      <c r="G7609" s="37" t="str">
        <f t="shared" si="591"/>
        <v>Normal Discount</v>
      </c>
      <c r="H7609" s="37" t="str">
        <f t="shared" si="592"/>
        <v>Medium</v>
      </c>
      <c r="I7609">
        <v>7</v>
      </c>
      <c r="J7609" t="str" cm="1">
        <f t="array" ref="J7609">_xlfn.IFS(I7609&lt;=3,"small",I7609&lt;=6,"Medium",I7609&lt;=9,"Large")</f>
        <v>Large</v>
      </c>
      <c r="K7609" s="36">
        <v>45175</v>
      </c>
      <c r="L7609" s="36">
        <v>45181</v>
      </c>
      <c r="M7609" t="s">
        <v>612</v>
      </c>
      <c r="N7609" t="s">
        <v>608</v>
      </c>
      <c r="O7609" s="37" t="str">
        <f t="shared" si="593"/>
        <v>Cash Payment</v>
      </c>
      <c r="P7609">
        <v>334.99</v>
      </c>
      <c r="Q7609" s="37" t="str">
        <f>IF(P7609&gt;500,"High","low")</f>
        <v>low</v>
      </c>
      <c r="R7609" s="37" t="str">
        <f t="shared" si="594"/>
        <v>AVERAGE</v>
      </c>
      <c r="S7609" t="s">
        <v>620</v>
      </c>
    </row>
    <row r="7610" spans="1:19" x14ac:dyDescent="0.2">
      <c r="A7610" t="s">
        <v>8221</v>
      </c>
      <c r="B7610" t="s">
        <v>75</v>
      </c>
      <c r="C7610" t="s">
        <v>614</v>
      </c>
      <c r="D7610">
        <v>1176.56</v>
      </c>
      <c r="E7610" s="37" t="str">
        <f t="shared" si="590"/>
        <v xml:space="preserve"> </v>
      </c>
      <c r="F7610">
        <v>0.42</v>
      </c>
      <c r="G7610" s="37" t="str">
        <f t="shared" si="591"/>
        <v>Heavy Discount</v>
      </c>
      <c r="H7610" s="37" t="str">
        <f t="shared" si="592"/>
        <v>High</v>
      </c>
      <c r="I7610">
        <v>3</v>
      </c>
      <c r="J7610" t="str" cm="1">
        <f t="array" ref="J7610">_xlfn.IFS(I7610&lt;=3,"small",I7610&lt;=6,"Medium",I7610&lt;=9,"Large")</f>
        <v>small</v>
      </c>
      <c r="K7610" s="36">
        <v>45061</v>
      </c>
      <c r="L7610" s="36">
        <v>45064</v>
      </c>
      <c r="M7610" t="s">
        <v>612</v>
      </c>
      <c r="N7610" t="s">
        <v>604</v>
      </c>
      <c r="O7610" s="37" t="str">
        <f t="shared" si="593"/>
        <v>Digital Payment</v>
      </c>
      <c r="P7610">
        <v>104.26</v>
      </c>
      <c r="Q7610" s="37" t="str">
        <f>IF(P7610&gt;500,"High","low")</f>
        <v>low</v>
      </c>
      <c r="R7610" s="37" t="str">
        <f t="shared" si="594"/>
        <v>AVERAGE</v>
      </c>
      <c r="S7610" t="s">
        <v>600</v>
      </c>
    </row>
    <row r="7611" spans="1:19" x14ac:dyDescent="0.2">
      <c r="A7611" t="s">
        <v>8222</v>
      </c>
      <c r="B7611" t="s">
        <v>90</v>
      </c>
      <c r="C7611" t="s">
        <v>602</v>
      </c>
      <c r="D7611">
        <v>961.66</v>
      </c>
      <c r="E7611" s="37" t="str">
        <f t="shared" si="590"/>
        <v xml:space="preserve"> </v>
      </c>
      <c r="F7611">
        <v>0.3</v>
      </c>
      <c r="G7611" s="37" t="str">
        <f t="shared" si="591"/>
        <v>Normal Discount</v>
      </c>
      <c r="H7611" s="37" t="str">
        <f t="shared" si="592"/>
        <v>Medium</v>
      </c>
      <c r="I7611">
        <v>5</v>
      </c>
      <c r="J7611" t="str" cm="1">
        <f t="array" ref="J7611">_xlfn.IFS(I7611&lt;=3,"small",I7611&lt;=6,"Medium",I7611&lt;=9,"Large")</f>
        <v>Medium</v>
      </c>
      <c r="K7611" s="36">
        <v>45239</v>
      </c>
      <c r="L7611" s="36">
        <v>45242</v>
      </c>
      <c r="M7611" t="s">
        <v>612</v>
      </c>
      <c r="N7611" t="s">
        <v>599</v>
      </c>
      <c r="O7611" s="37" t="str">
        <f t="shared" si="593"/>
        <v>Digital Payment</v>
      </c>
      <c r="P7611">
        <v>162.41999999999999</v>
      </c>
      <c r="Q7611" s="37" t="str">
        <f>IF(P7611&gt;500,"High","low")</f>
        <v>low</v>
      </c>
      <c r="R7611" s="37" t="str">
        <f t="shared" si="594"/>
        <v>AVERAGE</v>
      </c>
      <c r="S7611" t="s">
        <v>609</v>
      </c>
    </row>
    <row r="7612" spans="1:19" x14ac:dyDescent="0.2">
      <c r="A7612" t="s">
        <v>8223</v>
      </c>
      <c r="B7612" t="s">
        <v>90</v>
      </c>
      <c r="C7612" t="s">
        <v>607</v>
      </c>
      <c r="D7612">
        <v>2230.58</v>
      </c>
      <c r="E7612" s="37" t="str">
        <f t="shared" si="590"/>
        <v xml:space="preserve"> </v>
      </c>
      <c r="F7612">
        <v>0.05</v>
      </c>
      <c r="G7612" s="37" t="str">
        <f t="shared" si="591"/>
        <v>Normal Discount</v>
      </c>
      <c r="H7612" s="37" t="str">
        <f t="shared" si="592"/>
        <v>Low</v>
      </c>
      <c r="I7612">
        <v>9</v>
      </c>
      <c r="J7612" t="str" cm="1">
        <f t="array" ref="J7612">_xlfn.IFS(I7612&lt;=3,"small",I7612&lt;=6,"Medium",I7612&lt;=9,"Large")</f>
        <v>Large</v>
      </c>
      <c r="K7612" s="36">
        <v>45111</v>
      </c>
      <c r="L7612" s="36">
        <v>45114</v>
      </c>
      <c r="M7612" t="s">
        <v>598</v>
      </c>
      <c r="N7612" t="s">
        <v>599</v>
      </c>
      <c r="O7612" s="37" t="str">
        <f t="shared" si="593"/>
        <v>Digital Payment</v>
      </c>
      <c r="P7612">
        <v>465.03</v>
      </c>
      <c r="Q7612" s="37" t="str">
        <f>IF(P7612&gt;500,"High","low")</f>
        <v>low</v>
      </c>
      <c r="R7612" s="37" t="str">
        <f t="shared" si="594"/>
        <v>AVERAGE</v>
      </c>
      <c r="S7612" t="s">
        <v>600</v>
      </c>
    </row>
    <row r="7613" spans="1:19" x14ac:dyDescent="0.2">
      <c r="A7613" t="s">
        <v>8224</v>
      </c>
      <c r="B7613" t="s">
        <v>83</v>
      </c>
      <c r="C7613" t="s">
        <v>607</v>
      </c>
      <c r="D7613">
        <v>2711.01</v>
      </c>
      <c r="E7613" s="37" t="str">
        <f t="shared" si="590"/>
        <v xml:space="preserve"> </v>
      </c>
      <c r="F7613">
        <v>0.4</v>
      </c>
      <c r="G7613" s="37" t="str">
        <f t="shared" si="591"/>
        <v>Heavy Discount</v>
      </c>
      <c r="H7613" s="37" t="str">
        <f t="shared" si="592"/>
        <v>Medium</v>
      </c>
      <c r="I7613">
        <v>5</v>
      </c>
      <c r="J7613" t="str" cm="1">
        <f t="array" ref="J7613">_xlfn.IFS(I7613&lt;=3,"small",I7613&lt;=6,"Medium",I7613&lt;=9,"Large")</f>
        <v>Medium</v>
      </c>
      <c r="K7613" s="36">
        <v>45045</v>
      </c>
      <c r="L7613" s="36">
        <v>45052</v>
      </c>
      <c r="M7613" t="s">
        <v>603</v>
      </c>
      <c r="N7613" t="s">
        <v>608</v>
      </c>
      <c r="O7613" s="37" t="str">
        <f t="shared" si="593"/>
        <v>Cash Payment</v>
      </c>
      <c r="P7613">
        <v>455.03</v>
      </c>
      <c r="Q7613" s="37" t="str">
        <f>IF(P7613&gt;500,"High","low")</f>
        <v>low</v>
      </c>
      <c r="R7613" s="37" t="str">
        <f t="shared" si="594"/>
        <v>AVERAGE</v>
      </c>
      <c r="S7613" t="s">
        <v>605</v>
      </c>
    </row>
    <row r="7614" spans="1:19" x14ac:dyDescent="0.2">
      <c r="A7614" t="s">
        <v>8225</v>
      </c>
      <c r="B7614" t="s">
        <v>75</v>
      </c>
      <c r="C7614" t="s">
        <v>602</v>
      </c>
      <c r="D7614">
        <v>152.66999999999999</v>
      </c>
      <c r="E7614" s="37" t="str">
        <f t="shared" si="590"/>
        <v xml:space="preserve"> </v>
      </c>
      <c r="F7614">
        <v>7.0000000000000007E-2</v>
      </c>
      <c r="G7614" s="37" t="str">
        <f t="shared" si="591"/>
        <v>Normal Discount</v>
      </c>
      <c r="H7614" s="37" t="str">
        <f t="shared" si="592"/>
        <v>Low</v>
      </c>
      <c r="I7614">
        <v>3</v>
      </c>
      <c r="J7614" t="str" cm="1">
        <f t="array" ref="J7614">_xlfn.IFS(I7614&lt;=3,"small",I7614&lt;=6,"Medium",I7614&lt;=9,"Large")</f>
        <v>small</v>
      </c>
      <c r="K7614" s="36">
        <v>45255</v>
      </c>
      <c r="L7614" s="36">
        <v>45258</v>
      </c>
      <c r="M7614" t="s">
        <v>598</v>
      </c>
      <c r="N7614" t="s">
        <v>608</v>
      </c>
      <c r="O7614" s="37" t="str">
        <f t="shared" si="593"/>
        <v>Cash Payment</v>
      </c>
      <c r="P7614">
        <v>23.38</v>
      </c>
      <c r="Q7614" s="37" t="str">
        <f>IF(P7614&gt;500,"High","low")</f>
        <v>low</v>
      </c>
      <c r="R7614" s="37" t="str">
        <f t="shared" si="594"/>
        <v>AVERAGE</v>
      </c>
      <c r="S7614" t="s">
        <v>620</v>
      </c>
    </row>
    <row r="7615" spans="1:19" x14ac:dyDescent="0.2">
      <c r="A7615" t="s">
        <v>8226</v>
      </c>
      <c r="B7615" t="s">
        <v>67</v>
      </c>
      <c r="C7615" t="s">
        <v>597</v>
      </c>
      <c r="D7615">
        <v>4181.32</v>
      </c>
      <c r="E7615" s="37" t="str">
        <f t="shared" si="590"/>
        <v>Excellent Order</v>
      </c>
      <c r="F7615">
        <v>0.44</v>
      </c>
      <c r="G7615" s="37" t="str">
        <f t="shared" si="591"/>
        <v>Heavy Discount</v>
      </c>
      <c r="H7615" s="37" t="str">
        <f t="shared" si="592"/>
        <v>High</v>
      </c>
      <c r="I7615">
        <v>8</v>
      </c>
      <c r="J7615" t="str" cm="1">
        <f t="array" ref="J7615">_xlfn.IFS(I7615&lt;=3,"small",I7615&lt;=6,"Medium",I7615&lt;=9,"Large")</f>
        <v>Large</v>
      </c>
      <c r="K7615" s="36">
        <v>45489</v>
      </c>
      <c r="L7615" s="36">
        <v>45490</v>
      </c>
      <c r="M7615" t="s">
        <v>598</v>
      </c>
      <c r="N7615" t="s">
        <v>608</v>
      </c>
      <c r="O7615" s="37" t="str">
        <f t="shared" si="593"/>
        <v>Cash Payment</v>
      </c>
      <c r="P7615">
        <v>874.67</v>
      </c>
      <c r="Q7615" s="37" t="str">
        <f>IF(P7615&gt;500,"High","low")</f>
        <v>High</v>
      </c>
      <c r="R7615" s="37" t="str">
        <f t="shared" si="594"/>
        <v>Good</v>
      </c>
      <c r="S7615" t="s">
        <v>628</v>
      </c>
    </row>
    <row r="7616" spans="1:19" x14ac:dyDescent="0.2">
      <c r="A7616" t="s">
        <v>8227</v>
      </c>
      <c r="B7616" t="s">
        <v>90</v>
      </c>
      <c r="C7616" t="s">
        <v>617</v>
      </c>
      <c r="D7616">
        <v>2612.4899999999998</v>
      </c>
      <c r="E7616" s="37" t="str">
        <f t="shared" si="590"/>
        <v xml:space="preserve"> </v>
      </c>
      <c r="F7616">
        <v>0.26</v>
      </c>
      <c r="G7616" s="37" t="str">
        <f t="shared" si="591"/>
        <v>Normal Discount</v>
      </c>
      <c r="H7616" s="37" t="str">
        <f t="shared" si="592"/>
        <v>Medium</v>
      </c>
      <c r="I7616">
        <v>7</v>
      </c>
      <c r="J7616" t="str" cm="1">
        <f t="array" ref="J7616">_xlfn.IFS(I7616&lt;=3,"small",I7616&lt;=6,"Medium",I7616&lt;=9,"Large")</f>
        <v>Large</v>
      </c>
      <c r="K7616" s="36">
        <v>45229</v>
      </c>
      <c r="L7616" s="36">
        <v>45231</v>
      </c>
      <c r="M7616" t="s">
        <v>603</v>
      </c>
      <c r="N7616" t="s">
        <v>599</v>
      </c>
      <c r="O7616" s="37" t="str">
        <f t="shared" si="593"/>
        <v>Digital Payment</v>
      </c>
      <c r="P7616">
        <v>710.69</v>
      </c>
      <c r="Q7616" s="37" t="str">
        <f>IF(P7616&gt;500,"High","low")</f>
        <v>High</v>
      </c>
      <c r="R7616" s="37" t="str">
        <f t="shared" si="594"/>
        <v>Good</v>
      </c>
      <c r="S7616" t="s">
        <v>620</v>
      </c>
    </row>
    <row r="7617" spans="1:19" x14ac:dyDescent="0.2">
      <c r="A7617" t="s">
        <v>8228</v>
      </c>
      <c r="B7617" t="s">
        <v>83</v>
      </c>
      <c r="C7617" t="s">
        <v>602</v>
      </c>
      <c r="D7617">
        <v>870.33</v>
      </c>
      <c r="E7617" s="37" t="str">
        <f t="shared" si="590"/>
        <v xml:space="preserve"> </v>
      </c>
      <c r="F7617">
        <v>0.37</v>
      </c>
      <c r="G7617" s="37" t="str">
        <f t="shared" si="591"/>
        <v>Heavy Discount</v>
      </c>
      <c r="H7617" s="37" t="str">
        <f t="shared" si="592"/>
        <v>Medium</v>
      </c>
      <c r="I7617">
        <v>5</v>
      </c>
      <c r="J7617" t="str" cm="1">
        <f t="array" ref="J7617">_xlfn.IFS(I7617&lt;=3,"small",I7617&lt;=6,"Medium",I7617&lt;=9,"Large")</f>
        <v>Medium</v>
      </c>
      <c r="K7617" s="36">
        <v>45010</v>
      </c>
      <c r="L7617" s="36">
        <v>45013</v>
      </c>
      <c r="M7617" t="s">
        <v>598</v>
      </c>
      <c r="N7617" t="s">
        <v>604</v>
      </c>
      <c r="O7617" s="37" t="str">
        <f t="shared" si="593"/>
        <v>Digital Payment</v>
      </c>
      <c r="P7617">
        <v>187.7</v>
      </c>
      <c r="Q7617" s="37" t="str">
        <f>IF(P7617&gt;500,"High","low")</f>
        <v>low</v>
      </c>
      <c r="R7617" s="37" t="str">
        <f t="shared" si="594"/>
        <v>AVERAGE</v>
      </c>
      <c r="S7617" t="s">
        <v>620</v>
      </c>
    </row>
    <row r="7618" spans="1:19" x14ac:dyDescent="0.2">
      <c r="A7618" t="s">
        <v>8229</v>
      </c>
      <c r="B7618" t="s">
        <v>90</v>
      </c>
      <c r="C7618" t="s">
        <v>607</v>
      </c>
      <c r="D7618">
        <v>429.74</v>
      </c>
      <c r="E7618" s="37" t="str">
        <f t="shared" si="590"/>
        <v xml:space="preserve"> </v>
      </c>
      <c r="F7618">
        <v>0.49</v>
      </c>
      <c r="G7618" s="37" t="str">
        <f t="shared" si="591"/>
        <v>Heavy Discount</v>
      </c>
      <c r="H7618" s="37" t="str">
        <f t="shared" si="592"/>
        <v>High</v>
      </c>
      <c r="I7618">
        <v>5</v>
      </c>
      <c r="J7618" t="str" cm="1">
        <f t="array" ref="J7618">_xlfn.IFS(I7618&lt;=3,"small",I7618&lt;=6,"Medium",I7618&lt;=9,"Large")</f>
        <v>Medium</v>
      </c>
      <c r="K7618" s="36">
        <v>45364</v>
      </c>
      <c r="L7618" s="36">
        <v>45369</v>
      </c>
      <c r="M7618" t="s">
        <v>598</v>
      </c>
      <c r="N7618" t="s">
        <v>608</v>
      </c>
      <c r="O7618" s="37" t="str">
        <f t="shared" si="593"/>
        <v>Cash Payment</v>
      </c>
      <c r="P7618">
        <v>88.54</v>
      </c>
      <c r="Q7618" s="37" t="str">
        <f>IF(P7618&gt;500,"High","low")</f>
        <v>low</v>
      </c>
      <c r="R7618" s="37" t="str">
        <f t="shared" si="594"/>
        <v>AVERAGE</v>
      </c>
      <c r="S7618" t="s">
        <v>609</v>
      </c>
    </row>
    <row r="7619" spans="1:19" x14ac:dyDescent="0.2">
      <c r="A7619" t="s">
        <v>8230</v>
      </c>
      <c r="B7619" t="s">
        <v>90</v>
      </c>
      <c r="C7619" t="s">
        <v>614</v>
      </c>
      <c r="D7619">
        <v>409.68</v>
      </c>
      <c r="E7619" s="37" t="str">
        <f t="shared" ref="E7619:E7682" si="595">IF(AND(D7619&gt;4000,P7619&gt;800),"Excellent Order"," ")</f>
        <v xml:space="preserve"> </v>
      </c>
      <c r="F7619">
        <v>0.22</v>
      </c>
      <c r="G7619" s="37" t="str">
        <f t="shared" ref="G7619:G7682" si="596">IF(F7619&gt;30%,"Heavy Discount","Normal Discount")</f>
        <v>Normal Discount</v>
      </c>
      <c r="H7619" s="37" t="str">
        <f t="shared" ref="H7619:H7682" si="597">IF(F7619&gt;0.4,"High",IF(F7619&gt;=0.2,"Medium","Low"))</f>
        <v>Medium</v>
      </c>
      <c r="I7619">
        <v>1</v>
      </c>
      <c r="J7619" t="str" cm="1">
        <f t="array" ref="J7619">_xlfn.IFS(I7619&lt;=3,"small",I7619&lt;=6,"Medium",I7619&lt;=9,"Large")</f>
        <v>small</v>
      </c>
      <c r="K7619" s="36">
        <v>45589</v>
      </c>
      <c r="L7619" s="36">
        <v>45590</v>
      </c>
      <c r="M7619" t="s">
        <v>598</v>
      </c>
      <c r="N7619" t="s">
        <v>608</v>
      </c>
      <c r="O7619" s="37" t="str">
        <f t="shared" ref="O7619:O7682" si="598">IF(OR(N7619="Card",N7619="UPI"),"Digital Payment","Cash Payment")</f>
        <v>Cash Payment</v>
      </c>
      <c r="P7619">
        <v>96.8</v>
      </c>
      <c r="Q7619" s="37" t="str">
        <f>IF(P7619&gt;500,"High","low")</f>
        <v>low</v>
      </c>
      <c r="R7619" s="37" t="str">
        <f t="shared" ref="R7619:R7682" si="599">IF(P7619&gt;1000,"Excellent",IF(P7619&gt;=500,"Good","AVERAGE"))</f>
        <v>AVERAGE</v>
      </c>
      <c r="S7619" t="s">
        <v>628</v>
      </c>
    </row>
    <row r="7620" spans="1:19" x14ac:dyDescent="0.2">
      <c r="A7620" t="s">
        <v>8231</v>
      </c>
      <c r="B7620" t="s">
        <v>67</v>
      </c>
      <c r="C7620" t="s">
        <v>607</v>
      </c>
      <c r="D7620">
        <v>1362.45</v>
      </c>
      <c r="E7620" s="37" t="str">
        <f t="shared" si="595"/>
        <v xml:space="preserve"> </v>
      </c>
      <c r="F7620">
        <v>0.23</v>
      </c>
      <c r="G7620" s="37" t="str">
        <f t="shared" si="596"/>
        <v>Normal Discount</v>
      </c>
      <c r="H7620" s="37" t="str">
        <f t="shared" si="597"/>
        <v>Medium</v>
      </c>
      <c r="I7620">
        <v>8</v>
      </c>
      <c r="J7620" t="str" cm="1">
        <f t="array" ref="J7620">_xlfn.IFS(I7620&lt;=3,"small",I7620&lt;=6,"Medium",I7620&lt;=9,"Large")</f>
        <v>Large</v>
      </c>
      <c r="K7620" s="36">
        <v>45389</v>
      </c>
      <c r="L7620" s="36">
        <v>45395</v>
      </c>
      <c r="M7620" t="s">
        <v>603</v>
      </c>
      <c r="N7620" t="s">
        <v>608</v>
      </c>
      <c r="O7620" s="37" t="str">
        <f t="shared" si="598"/>
        <v>Cash Payment</v>
      </c>
      <c r="P7620">
        <v>205.73</v>
      </c>
      <c r="Q7620" s="37" t="str">
        <f>IF(P7620&gt;500,"High","low")</f>
        <v>low</v>
      </c>
      <c r="R7620" s="37" t="str">
        <f t="shared" si="599"/>
        <v>AVERAGE</v>
      </c>
      <c r="S7620" t="s">
        <v>628</v>
      </c>
    </row>
    <row r="7621" spans="1:19" x14ac:dyDescent="0.2">
      <c r="A7621" t="s">
        <v>8232</v>
      </c>
      <c r="B7621" t="s">
        <v>75</v>
      </c>
      <c r="C7621" t="s">
        <v>617</v>
      </c>
      <c r="D7621">
        <v>2546.5300000000002</v>
      </c>
      <c r="E7621" s="37" t="str">
        <f t="shared" si="595"/>
        <v xml:space="preserve"> </v>
      </c>
      <c r="F7621">
        <v>0.41</v>
      </c>
      <c r="G7621" s="37" t="str">
        <f t="shared" si="596"/>
        <v>Heavy Discount</v>
      </c>
      <c r="H7621" s="37" t="str">
        <f t="shared" si="597"/>
        <v>High</v>
      </c>
      <c r="I7621">
        <v>6</v>
      </c>
      <c r="J7621" t="str" cm="1">
        <f t="array" ref="J7621">_xlfn.IFS(I7621&lt;=3,"small",I7621&lt;=6,"Medium",I7621&lt;=9,"Large")</f>
        <v>Medium</v>
      </c>
      <c r="K7621" s="36">
        <v>45624</v>
      </c>
      <c r="L7621" s="36">
        <v>45625</v>
      </c>
      <c r="M7621" t="s">
        <v>603</v>
      </c>
      <c r="N7621" t="s">
        <v>599</v>
      </c>
      <c r="O7621" s="37" t="str">
        <f t="shared" si="598"/>
        <v>Digital Payment</v>
      </c>
      <c r="P7621">
        <v>138.38</v>
      </c>
      <c r="Q7621" s="37" t="str">
        <f>IF(P7621&gt;500,"High","low")</f>
        <v>low</v>
      </c>
      <c r="R7621" s="37" t="str">
        <f t="shared" si="599"/>
        <v>AVERAGE</v>
      </c>
      <c r="S7621" t="s">
        <v>609</v>
      </c>
    </row>
    <row r="7622" spans="1:19" x14ac:dyDescent="0.2">
      <c r="A7622" t="s">
        <v>8233</v>
      </c>
      <c r="B7622" t="s">
        <v>67</v>
      </c>
      <c r="C7622" t="s">
        <v>607</v>
      </c>
      <c r="D7622">
        <v>4315.17</v>
      </c>
      <c r="E7622" s="37" t="str">
        <f t="shared" si="595"/>
        <v>Excellent Order</v>
      </c>
      <c r="F7622">
        <v>0.06</v>
      </c>
      <c r="G7622" s="37" t="str">
        <f t="shared" si="596"/>
        <v>Normal Discount</v>
      </c>
      <c r="H7622" s="37" t="str">
        <f t="shared" si="597"/>
        <v>Low</v>
      </c>
      <c r="I7622">
        <v>5</v>
      </c>
      <c r="J7622" t="str" cm="1">
        <f t="array" ref="J7622">_xlfn.IFS(I7622&lt;=3,"small",I7622&lt;=6,"Medium",I7622&lt;=9,"Large")</f>
        <v>Medium</v>
      </c>
      <c r="K7622" s="36">
        <v>45238</v>
      </c>
      <c r="L7622" s="36">
        <v>45242</v>
      </c>
      <c r="M7622" t="s">
        <v>612</v>
      </c>
      <c r="N7622" t="s">
        <v>604</v>
      </c>
      <c r="O7622" s="37" t="str">
        <f t="shared" si="598"/>
        <v>Digital Payment</v>
      </c>
      <c r="P7622">
        <v>1228.6600000000001</v>
      </c>
      <c r="Q7622" s="37" t="str">
        <f>IF(P7622&gt;500,"High","low")</f>
        <v>High</v>
      </c>
      <c r="R7622" s="37" t="str">
        <f t="shared" si="599"/>
        <v>Excellent</v>
      </c>
      <c r="S7622" t="s">
        <v>615</v>
      </c>
    </row>
    <row r="7623" spans="1:19" x14ac:dyDescent="0.2">
      <c r="A7623" t="s">
        <v>8234</v>
      </c>
      <c r="B7623" t="s">
        <v>75</v>
      </c>
      <c r="C7623" t="s">
        <v>617</v>
      </c>
      <c r="D7623">
        <v>4524.53</v>
      </c>
      <c r="E7623" s="37" t="str">
        <f t="shared" si="595"/>
        <v xml:space="preserve"> </v>
      </c>
      <c r="F7623">
        <v>0.01</v>
      </c>
      <c r="G7623" s="37" t="str">
        <f t="shared" si="596"/>
        <v>Normal Discount</v>
      </c>
      <c r="H7623" s="37" t="str">
        <f t="shared" si="597"/>
        <v>Low</v>
      </c>
      <c r="I7623">
        <v>7</v>
      </c>
      <c r="J7623" t="str" cm="1">
        <f t="array" ref="J7623">_xlfn.IFS(I7623&lt;=3,"small",I7623&lt;=6,"Medium",I7623&lt;=9,"Large")</f>
        <v>Large</v>
      </c>
      <c r="K7623" s="36">
        <v>45469</v>
      </c>
      <c r="L7623" s="36">
        <v>45472</v>
      </c>
      <c r="M7623" t="s">
        <v>603</v>
      </c>
      <c r="N7623" t="s">
        <v>608</v>
      </c>
      <c r="O7623" s="37" t="str">
        <f t="shared" si="598"/>
        <v>Cash Payment</v>
      </c>
      <c r="P7623">
        <v>572.66</v>
      </c>
      <c r="Q7623" s="37" t="str">
        <f>IF(P7623&gt;500,"High","low")</f>
        <v>High</v>
      </c>
      <c r="R7623" s="37" t="str">
        <f t="shared" si="599"/>
        <v>Good</v>
      </c>
      <c r="S7623" t="s">
        <v>609</v>
      </c>
    </row>
    <row r="7624" spans="1:19" x14ac:dyDescent="0.2">
      <c r="A7624" t="s">
        <v>8235</v>
      </c>
      <c r="B7624" t="s">
        <v>90</v>
      </c>
      <c r="C7624" t="s">
        <v>602</v>
      </c>
      <c r="D7624">
        <v>4178.41</v>
      </c>
      <c r="E7624" s="37" t="str">
        <f t="shared" si="595"/>
        <v>Excellent Order</v>
      </c>
      <c r="F7624">
        <v>0.3</v>
      </c>
      <c r="G7624" s="37" t="str">
        <f t="shared" si="596"/>
        <v>Normal Discount</v>
      </c>
      <c r="H7624" s="37" t="str">
        <f t="shared" si="597"/>
        <v>Medium</v>
      </c>
      <c r="I7624">
        <v>2</v>
      </c>
      <c r="J7624" t="str" cm="1">
        <f t="array" ref="J7624">_xlfn.IFS(I7624&lt;=3,"small",I7624&lt;=6,"Medium",I7624&lt;=9,"Large")</f>
        <v>small</v>
      </c>
      <c r="K7624" s="36">
        <v>45250</v>
      </c>
      <c r="L7624" s="36">
        <v>45255</v>
      </c>
      <c r="M7624" t="s">
        <v>603</v>
      </c>
      <c r="N7624" t="s">
        <v>608</v>
      </c>
      <c r="O7624" s="37" t="str">
        <f t="shared" si="598"/>
        <v>Cash Payment</v>
      </c>
      <c r="P7624">
        <v>1011.36</v>
      </c>
      <c r="Q7624" s="37" t="str">
        <f>IF(P7624&gt;500,"High","low")</f>
        <v>High</v>
      </c>
      <c r="R7624" s="37" t="str">
        <f t="shared" si="599"/>
        <v>Excellent</v>
      </c>
      <c r="S7624" t="s">
        <v>620</v>
      </c>
    </row>
    <row r="7625" spans="1:19" x14ac:dyDescent="0.2">
      <c r="A7625" t="s">
        <v>8236</v>
      </c>
      <c r="B7625" t="s">
        <v>83</v>
      </c>
      <c r="C7625" t="s">
        <v>607</v>
      </c>
      <c r="D7625">
        <v>1709.96</v>
      </c>
      <c r="E7625" s="37" t="str">
        <f t="shared" si="595"/>
        <v xml:space="preserve"> </v>
      </c>
      <c r="F7625">
        <v>0.08</v>
      </c>
      <c r="G7625" s="37" t="str">
        <f t="shared" si="596"/>
        <v>Normal Discount</v>
      </c>
      <c r="H7625" s="37" t="str">
        <f t="shared" si="597"/>
        <v>Low</v>
      </c>
      <c r="I7625">
        <v>3</v>
      </c>
      <c r="J7625" t="str" cm="1">
        <f t="array" ref="J7625">_xlfn.IFS(I7625&lt;=3,"small",I7625&lt;=6,"Medium",I7625&lt;=9,"Large")</f>
        <v>small</v>
      </c>
      <c r="K7625" s="36">
        <v>45116</v>
      </c>
      <c r="L7625" s="36">
        <v>45123</v>
      </c>
      <c r="M7625" t="s">
        <v>612</v>
      </c>
      <c r="N7625" t="s">
        <v>608</v>
      </c>
      <c r="O7625" s="37" t="str">
        <f t="shared" si="598"/>
        <v>Cash Payment</v>
      </c>
      <c r="P7625">
        <v>337.43</v>
      </c>
      <c r="Q7625" s="37" t="str">
        <f>IF(P7625&gt;500,"High","low")</f>
        <v>low</v>
      </c>
      <c r="R7625" s="37" t="str">
        <f t="shared" si="599"/>
        <v>AVERAGE</v>
      </c>
      <c r="S7625" t="s">
        <v>600</v>
      </c>
    </row>
    <row r="7626" spans="1:19" x14ac:dyDescent="0.2">
      <c r="A7626" t="s">
        <v>8237</v>
      </c>
      <c r="B7626" t="s">
        <v>67</v>
      </c>
      <c r="C7626" t="s">
        <v>597</v>
      </c>
      <c r="D7626">
        <v>1602.13</v>
      </c>
      <c r="E7626" s="37" t="str">
        <f t="shared" si="595"/>
        <v xml:space="preserve"> </v>
      </c>
      <c r="F7626">
        <v>0.13</v>
      </c>
      <c r="G7626" s="37" t="str">
        <f t="shared" si="596"/>
        <v>Normal Discount</v>
      </c>
      <c r="H7626" s="37" t="str">
        <f t="shared" si="597"/>
        <v>Low</v>
      </c>
      <c r="I7626">
        <v>9</v>
      </c>
      <c r="J7626" t="str" cm="1">
        <f t="array" ref="J7626">_xlfn.IFS(I7626&lt;=3,"small",I7626&lt;=6,"Medium",I7626&lt;=9,"Large")</f>
        <v>Large</v>
      </c>
      <c r="K7626" s="36">
        <v>45553</v>
      </c>
      <c r="L7626" s="36">
        <v>45555</v>
      </c>
      <c r="M7626" t="s">
        <v>612</v>
      </c>
      <c r="N7626" t="s">
        <v>599</v>
      </c>
      <c r="O7626" s="37" t="str">
        <f t="shared" si="598"/>
        <v>Digital Payment</v>
      </c>
      <c r="P7626">
        <v>358.16</v>
      </c>
      <c r="Q7626" s="37" t="str">
        <f>IF(P7626&gt;500,"High","low")</f>
        <v>low</v>
      </c>
      <c r="R7626" s="37" t="str">
        <f t="shared" si="599"/>
        <v>AVERAGE</v>
      </c>
      <c r="S7626" t="s">
        <v>620</v>
      </c>
    </row>
    <row r="7627" spans="1:19" x14ac:dyDescent="0.2">
      <c r="A7627" t="s">
        <v>8238</v>
      </c>
      <c r="B7627" t="s">
        <v>75</v>
      </c>
      <c r="C7627" t="s">
        <v>597</v>
      </c>
      <c r="D7627">
        <v>4938.55</v>
      </c>
      <c r="E7627" s="37" t="str">
        <f t="shared" si="595"/>
        <v>Excellent Order</v>
      </c>
      <c r="F7627">
        <v>0.49</v>
      </c>
      <c r="G7627" s="37" t="str">
        <f t="shared" si="596"/>
        <v>Heavy Discount</v>
      </c>
      <c r="H7627" s="37" t="str">
        <f t="shared" si="597"/>
        <v>High</v>
      </c>
      <c r="I7627">
        <v>5</v>
      </c>
      <c r="J7627" t="str" cm="1">
        <f t="array" ref="J7627">_xlfn.IFS(I7627&lt;=3,"small",I7627&lt;=6,"Medium",I7627&lt;=9,"Large")</f>
        <v>Medium</v>
      </c>
      <c r="K7627" s="36">
        <v>45498</v>
      </c>
      <c r="L7627" s="36">
        <v>45500</v>
      </c>
      <c r="M7627" t="s">
        <v>598</v>
      </c>
      <c r="N7627" t="s">
        <v>604</v>
      </c>
      <c r="O7627" s="37" t="str">
        <f t="shared" si="598"/>
        <v>Digital Payment</v>
      </c>
      <c r="P7627">
        <v>1256.6099999999999</v>
      </c>
      <c r="Q7627" s="37" t="str">
        <f>IF(P7627&gt;500,"High","low")</f>
        <v>High</v>
      </c>
      <c r="R7627" s="37" t="str">
        <f t="shared" si="599"/>
        <v>Excellent</v>
      </c>
      <c r="S7627" t="s">
        <v>628</v>
      </c>
    </row>
    <row r="7628" spans="1:19" x14ac:dyDescent="0.2">
      <c r="A7628" t="s">
        <v>8239</v>
      </c>
      <c r="B7628" t="s">
        <v>90</v>
      </c>
      <c r="C7628" t="s">
        <v>607</v>
      </c>
      <c r="D7628">
        <v>3438.28</v>
      </c>
      <c r="E7628" s="37" t="str">
        <f t="shared" si="595"/>
        <v xml:space="preserve"> </v>
      </c>
      <c r="F7628">
        <v>0.33</v>
      </c>
      <c r="G7628" s="37" t="str">
        <f t="shared" si="596"/>
        <v>Heavy Discount</v>
      </c>
      <c r="H7628" s="37" t="str">
        <f t="shared" si="597"/>
        <v>Medium</v>
      </c>
      <c r="I7628">
        <v>6</v>
      </c>
      <c r="J7628" t="str" cm="1">
        <f t="array" ref="J7628">_xlfn.IFS(I7628&lt;=3,"small",I7628&lt;=6,"Medium",I7628&lt;=9,"Large")</f>
        <v>Medium</v>
      </c>
      <c r="K7628" s="36">
        <v>45347</v>
      </c>
      <c r="L7628" s="36">
        <v>45353</v>
      </c>
      <c r="M7628" t="s">
        <v>612</v>
      </c>
      <c r="N7628" t="s">
        <v>608</v>
      </c>
      <c r="O7628" s="37" t="str">
        <f t="shared" si="598"/>
        <v>Cash Payment</v>
      </c>
      <c r="P7628">
        <v>595.32000000000005</v>
      </c>
      <c r="Q7628" s="37" t="str">
        <f>IF(P7628&gt;500,"High","low")</f>
        <v>High</v>
      </c>
      <c r="R7628" s="37" t="str">
        <f t="shared" si="599"/>
        <v>Good</v>
      </c>
      <c r="S7628" t="s">
        <v>609</v>
      </c>
    </row>
    <row r="7629" spans="1:19" x14ac:dyDescent="0.2">
      <c r="A7629" t="s">
        <v>8240</v>
      </c>
      <c r="B7629" t="s">
        <v>75</v>
      </c>
      <c r="C7629" t="s">
        <v>607</v>
      </c>
      <c r="D7629">
        <v>1594.26</v>
      </c>
      <c r="E7629" s="37" t="str">
        <f t="shared" si="595"/>
        <v xml:space="preserve"> </v>
      </c>
      <c r="F7629">
        <v>0.43</v>
      </c>
      <c r="G7629" s="37" t="str">
        <f t="shared" si="596"/>
        <v>Heavy Discount</v>
      </c>
      <c r="H7629" s="37" t="str">
        <f t="shared" si="597"/>
        <v>High</v>
      </c>
      <c r="I7629">
        <v>8</v>
      </c>
      <c r="J7629" t="str" cm="1">
        <f t="array" ref="J7629">_xlfn.IFS(I7629&lt;=3,"small",I7629&lt;=6,"Medium",I7629&lt;=9,"Large")</f>
        <v>Large</v>
      </c>
      <c r="K7629" s="36">
        <v>45183</v>
      </c>
      <c r="L7629" s="36">
        <v>45188</v>
      </c>
      <c r="M7629" t="s">
        <v>603</v>
      </c>
      <c r="N7629" t="s">
        <v>608</v>
      </c>
      <c r="O7629" s="37" t="str">
        <f t="shared" si="598"/>
        <v>Cash Payment</v>
      </c>
      <c r="P7629">
        <v>93.29</v>
      </c>
      <c r="Q7629" s="37" t="str">
        <f>IF(P7629&gt;500,"High","low")</f>
        <v>low</v>
      </c>
      <c r="R7629" s="37" t="str">
        <f t="shared" si="599"/>
        <v>AVERAGE</v>
      </c>
      <c r="S7629" t="s">
        <v>628</v>
      </c>
    </row>
    <row r="7630" spans="1:19" x14ac:dyDescent="0.2">
      <c r="A7630" t="s">
        <v>8241</v>
      </c>
      <c r="B7630" t="s">
        <v>75</v>
      </c>
      <c r="C7630" t="s">
        <v>614</v>
      </c>
      <c r="D7630">
        <v>1712.49</v>
      </c>
      <c r="E7630" s="37" t="str">
        <f t="shared" si="595"/>
        <v xml:space="preserve"> </v>
      </c>
      <c r="F7630">
        <v>0.45</v>
      </c>
      <c r="G7630" s="37" t="str">
        <f t="shared" si="596"/>
        <v>Heavy Discount</v>
      </c>
      <c r="H7630" s="37" t="str">
        <f t="shared" si="597"/>
        <v>High</v>
      </c>
      <c r="I7630">
        <v>3</v>
      </c>
      <c r="J7630" t="str" cm="1">
        <f t="array" ref="J7630">_xlfn.IFS(I7630&lt;=3,"small",I7630&lt;=6,"Medium",I7630&lt;=9,"Large")</f>
        <v>small</v>
      </c>
      <c r="K7630" s="36">
        <v>45223</v>
      </c>
      <c r="L7630" s="36">
        <v>45224</v>
      </c>
      <c r="M7630" t="s">
        <v>612</v>
      </c>
      <c r="N7630" t="s">
        <v>599</v>
      </c>
      <c r="O7630" s="37" t="str">
        <f t="shared" si="598"/>
        <v>Digital Payment</v>
      </c>
      <c r="P7630">
        <v>498.02</v>
      </c>
      <c r="Q7630" s="37" t="str">
        <f>IF(P7630&gt;500,"High","low")</f>
        <v>low</v>
      </c>
      <c r="R7630" s="37" t="str">
        <f t="shared" si="599"/>
        <v>AVERAGE</v>
      </c>
      <c r="S7630" t="s">
        <v>628</v>
      </c>
    </row>
    <row r="7631" spans="1:19" x14ac:dyDescent="0.2">
      <c r="A7631" t="s">
        <v>8242</v>
      </c>
      <c r="B7631" t="s">
        <v>75</v>
      </c>
      <c r="C7631" t="s">
        <v>607</v>
      </c>
      <c r="D7631">
        <v>2229.7600000000002</v>
      </c>
      <c r="E7631" s="37" t="str">
        <f t="shared" si="595"/>
        <v xml:space="preserve"> </v>
      </c>
      <c r="F7631">
        <v>0.06</v>
      </c>
      <c r="G7631" s="37" t="str">
        <f t="shared" si="596"/>
        <v>Normal Discount</v>
      </c>
      <c r="H7631" s="37" t="str">
        <f t="shared" si="597"/>
        <v>Low</v>
      </c>
      <c r="I7631">
        <v>1</v>
      </c>
      <c r="J7631" t="str" cm="1">
        <f t="array" ref="J7631">_xlfn.IFS(I7631&lt;=3,"small",I7631&lt;=6,"Medium",I7631&lt;=9,"Large")</f>
        <v>small</v>
      </c>
      <c r="K7631" s="36">
        <v>45542</v>
      </c>
      <c r="L7631" s="36">
        <v>45547</v>
      </c>
      <c r="M7631" t="s">
        <v>603</v>
      </c>
      <c r="N7631" t="s">
        <v>608</v>
      </c>
      <c r="O7631" s="37" t="str">
        <f t="shared" si="598"/>
        <v>Cash Payment</v>
      </c>
      <c r="P7631">
        <v>559.04999999999995</v>
      </c>
      <c r="Q7631" s="37" t="str">
        <f>IF(P7631&gt;500,"High","low")</f>
        <v>High</v>
      </c>
      <c r="R7631" s="37" t="str">
        <f t="shared" si="599"/>
        <v>Good</v>
      </c>
      <c r="S7631" t="s">
        <v>620</v>
      </c>
    </row>
    <row r="7632" spans="1:19" x14ac:dyDescent="0.2">
      <c r="A7632" t="s">
        <v>8243</v>
      </c>
      <c r="B7632" t="s">
        <v>90</v>
      </c>
      <c r="C7632" t="s">
        <v>614</v>
      </c>
      <c r="D7632">
        <v>3146.85</v>
      </c>
      <c r="E7632" s="37" t="str">
        <f t="shared" si="595"/>
        <v xml:space="preserve"> </v>
      </c>
      <c r="F7632">
        <v>0.46</v>
      </c>
      <c r="G7632" s="37" t="str">
        <f t="shared" si="596"/>
        <v>Heavy Discount</v>
      </c>
      <c r="H7632" s="37" t="str">
        <f t="shared" si="597"/>
        <v>High</v>
      </c>
      <c r="I7632">
        <v>4</v>
      </c>
      <c r="J7632" t="str" cm="1">
        <f t="array" ref="J7632">_xlfn.IFS(I7632&lt;=3,"small",I7632&lt;=6,"Medium",I7632&lt;=9,"Large")</f>
        <v>Medium</v>
      </c>
      <c r="K7632" s="36">
        <v>45354</v>
      </c>
      <c r="L7632" s="36">
        <v>45358</v>
      </c>
      <c r="M7632" t="s">
        <v>598</v>
      </c>
      <c r="N7632" t="s">
        <v>599</v>
      </c>
      <c r="O7632" s="37" t="str">
        <f t="shared" si="598"/>
        <v>Digital Payment</v>
      </c>
      <c r="P7632">
        <v>662.69</v>
      </c>
      <c r="Q7632" s="37" t="str">
        <f>IF(P7632&gt;500,"High","low")</f>
        <v>High</v>
      </c>
      <c r="R7632" s="37" t="str">
        <f t="shared" si="599"/>
        <v>Good</v>
      </c>
      <c r="S7632" t="s">
        <v>628</v>
      </c>
    </row>
    <row r="7633" spans="1:19" x14ac:dyDescent="0.2">
      <c r="A7633" t="s">
        <v>8244</v>
      </c>
      <c r="B7633" t="s">
        <v>83</v>
      </c>
      <c r="C7633" t="s">
        <v>614</v>
      </c>
      <c r="D7633">
        <v>4500.1000000000004</v>
      </c>
      <c r="E7633" s="37" t="str">
        <f t="shared" si="595"/>
        <v>Excellent Order</v>
      </c>
      <c r="F7633">
        <v>0.43</v>
      </c>
      <c r="G7633" s="37" t="str">
        <f t="shared" si="596"/>
        <v>Heavy Discount</v>
      </c>
      <c r="H7633" s="37" t="str">
        <f t="shared" si="597"/>
        <v>High</v>
      </c>
      <c r="I7633">
        <v>2</v>
      </c>
      <c r="J7633" t="str" cm="1">
        <f t="array" ref="J7633">_xlfn.IFS(I7633&lt;=3,"small",I7633&lt;=6,"Medium",I7633&lt;=9,"Large")</f>
        <v>small</v>
      </c>
      <c r="K7633" s="36">
        <v>45081</v>
      </c>
      <c r="L7633" s="36">
        <v>45082</v>
      </c>
      <c r="M7633" t="s">
        <v>598</v>
      </c>
      <c r="N7633" t="s">
        <v>604</v>
      </c>
      <c r="O7633" s="37" t="str">
        <f t="shared" si="598"/>
        <v>Digital Payment</v>
      </c>
      <c r="P7633">
        <v>1224.82</v>
      </c>
      <c r="Q7633" s="37" t="str">
        <f>IF(P7633&gt;500,"High","low")</f>
        <v>High</v>
      </c>
      <c r="R7633" s="37" t="str">
        <f t="shared" si="599"/>
        <v>Excellent</v>
      </c>
      <c r="S7633" t="s">
        <v>615</v>
      </c>
    </row>
    <row r="7634" spans="1:19" x14ac:dyDescent="0.2">
      <c r="A7634" t="s">
        <v>8245</v>
      </c>
      <c r="B7634" t="s">
        <v>83</v>
      </c>
      <c r="C7634" t="s">
        <v>614</v>
      </c>
      <c r="D7634">
        <v>1071.7</v>
      </c>
      <c r="E7634" s="37" t="str">
        <f t="shared" si="595"/>
        <v xml:space="preserve"> </v>
      </c>
      <c r="F7634">
        <v>0.02</v>
      </c>
      <c r="G7634" s="37" t="str">
        <f t="shared" si="596"/>
        <v>Normal Discount</v>
      </c>
      <c r="H7634" s="37" t="str">
        <f t="shared" si="597"/>
        <v>Low</v>
      </c>
      <c r="I7634">
        <v>9</v>
      </c>
      <c r="J7634" t="str" cm="1">
        <f t="array" ref="J7634">_xlfn.IFS(I7634&lt;=3,"small",I7634&lt;=6,"Medium",I7634&lt;=9,"Large")</f>
        <v>Large</v>
      </c>
      <c r="K7634" s="36">
        <v>45587</v>
      </c>
      <c r="L7634" s="36">
        <v>45593</v>
      </c>
      <c r="M7634" t="s">
        <v>612</v>
      </c>
      <c r="N7634" t="s">
        <v>599</v>
      </c>
      <c r="O7634" s="37" t="str">
        <f t="shared" si="598"/>
        <v>Digital Payment</v>
      </c>
      <c r="P7634">
        <v>301.10000000000002</v>
      </c>
      <c r="Q7634" s="37" t="str">
        <f>IF(P7634&gt;500,"High","low")</f>
        <v>low</v>
      </c>
      <c r="R7634" s="37" t="str">
        <f t="shared" si="599"/>
        <v>AVERAGE</v>
      </c>
      <c r="S7634" t="s">
        <v>620</v>
      </c>
    </row>
    <row r="7635" spans="1:19" x14ac:dyDescent="0.2">
      <c r="A7635" t="s">
        <v>8246</v>
      </c>
      <c r="B7635" t="s">
        <v>83</v>
      </c>
      <c r="C7635" t="s">
        <v>614</v>
      </c>
      <c r="D7635">
        <v>513.58000000000004</v>
      </c>
      <c r="E7635" s="37" t="str">
        <f t="shared" si="595"/>
        <v xml:space="preserve"> </v>
      </c>
      <c r="F7635">
        <v>0.49</v>
      </c>
      <c r="G7635" s="37" t="str">
        <f t="shared" si="596"/>
        <v>Heavy Discount</v>
      </c>
      <c r="H7635" s="37" t="str">
        <f t="shared" si="597"/>
        <v>High</v>
      </c>
      <c r="I7635">
        <v>4</v>
      </c>
      <c r="J7635" t="str" cm="1">
        <f t="array" ref="J7635">_xlfn.IFS(I7635&lt;=3,"small",I7635&lt;=6,"Medium",I7635&lt;=9,"Large")</f>
        <v>Medium</v>
      </c>
      <c r="K7635" s="36">
        <v>45126</v>
      </c>
      <c r="L7635" s="36">
        <v>45130</v>
      </c>
      <c r="M7635" t="s">
        <v>598</v>
      </c>
      <c r="N7635" t="s">
        <v>604</v>
      </c>
      <c r="O7635" s="37" t="str">
        <f t="shared" si="598"/>
        <v>Digital Payment</v>
      </c>
      <c r="P7635">
        <v>138.32</v>
      </c>
      <c r="Q7635" s="37" t="str">
        <f>IF(P7635&gt;500,"High","low")</f>
        <v>low</v>
      </c>
      <c r="R7635" s="37" t="str">
        <f t="shared" si="599"/>
        <v>AVERAGE</v>
      </c>
      <c r="S7635" t="s">
        <v>605</v>
      </c>
    </row>
    <row r="7636" spans="1:19" x14ac:dyDescent="0.2">
      <c r="A7636" t="s">
        <v>8247</v>
      </c>
      <c r="B7636" t="s">
        <v>75</v>
      </c>
      <c r="C7636" t="s">
        <v>602</v>
      </c>
      <c r="D7636">
        <v>2088.19</v>
      </c>
      <c r="E7636" s="37" t="str">
        <f t="shared" si="595"/>
        <v xml:space="preserve"> </v>
      </c>
      <c r="F7636">
        <v>0.23</v>
      </c>
      <c r="G7636" s="37" t="str">
        <f t="shared" si="596"/>
        <v>Normal Discount</v>
      </c>
      <c r="H7636" s="37" t="str">
        <f t="shared" si="597"/>
        <v>Medium</v>
      </c>
      <c r="I7636">
        <v>9</v>
      </c>
      <c r="J7636" t="str" cm="1">
        <f t="array" ref="J7636">_xlfn.IFS(I7636&lt;=3,"small",I7636&lt;=6,"Medium",I7636&lt;=9,"Large")</f>
        <v>Large</v>
      </c>
      <c r="K7636" s="36">
        <v>45264</v>
      </c>
      <c r="L7636" s="36">
        <v>45266</v>
      </c>
      <c r="M7636" t="s">
        <v>612</v>
      </c>
      <c r="N7636" t="s">
        <v>608</v>
      </c>
      <c r="O7636" s="37" t="str">
        <f t="shared" si="598"/>
        <v>Cash Payment</v>
      </c>
      <c r="P7636">
        <v>178.76</v>
      </c>
      <c r="Q7636" s="37" t="str">
        <f>IF(P7636&gt;500,"High","low")</f>
        <v>low</v>
      </c>
      <c r="R7636" s="37" t="str">
        <f t="shared" si="599"/>
        <v>AVERAGE</v>
      </c>
      <c r="S7636" t="s">
        <v>600</v>
      </c>
    </row>
    <row r="7637" spans="1:19" x14ac:dyDescent="0.2">
      <c r="A7637" t="s">
        <v>8248</v>
      </c>
      <c r="B7637" t="s">
        <v>90</v>
      </c>
      <c r="C7637" t="s">
        <v>597</v>
      </c>
      <c r="D7637">
        <v>1302.73</v>
      </c>
      <c r="E7637" s="37" t="str">
        <f t="shared" si="595"/>
        <v xml:space="preserve"> </v>
      </c>
      <c r="F7637">
        <v>0.49</v>
      </c>
      <c r="G7637" s="37" t="str">
        <f t="shared" si="596"/>
        <v>Heavy Discount</v>
      </c>
      <c r="H7637" s="37" t="str">
        <f t="shared" si="597"/>
        <v>High</v>
      </c>
      <c r="I7637">
        <v>7</v>
      </c>
      <c r="J7637" t="str" cm="1">
        <f t="array" ref="J7637">_xlfn.IFS(I7637&lt;=3,"small",I7637&lt;=6,"Medium",I7637&lt;=9,"Large")</f>
        <v>Large</v>
      </c>
      <c r="K7637" s="36">
        <v>45205</v>
      </c>
      <c r="L7637" s="36">
        <v>45211</v>
      </c>
      <c r="M7637" t="s">
        <v>612</v>
      </c>
      <c r="N7637" t="s">
        <v>604</v>
      </c>
      <c r="O7637" s="37" t="str">
        <f t="shared" si="598"/>
        <v>Digital Payment</v>
      </c>
      <c r="P7637">
        <v>302.5</v>
      </c>
      <c r="Q7637" s="37" t="str">
        <f>IF(P7637&gt;500,"High","low")</f>
        <v>low</v>
      </c>
      <c r="R7637" s="37" t="str">
        <f t="shared" si="599"/>
        <v>AVERAGE</v>
      </c>
      <c r="S7637" t="s">
        <v>620</v>
      </c>
    </row>
    <row r="7638" spans="1:19" x14ac:dyDescent="0.2">
      <c r="A7638" t="s">
        <v>8249</v>
      </c>
      <c r="B7638" t="s">
        <v>75</v>
      </c>
      <c r="C7638" t="s">
        <v>614</v>
      </c>
      <c r="D7638">
        <v>2922.56</v>
      </c>
      <c r="E7638" s="37" t="str">
        <f t="shared" si="595"/>
        <v xml:space="preserve"> </v>
      </c>
      <c r="F7638">
        <v>0.41</v>
      </c>
      <c r="G7638" s="37" t="str">
        <f t="shared" si="596"/>
        <v>Heavy Discount</v>
      </c>
      <c r="H7638" s="37" t="str">
        <f t="shared" si="597"/>
        <v>High</v>
      </c>
      <c r="I7638">
        <v>7</v>
      </c>
      <c r="J7638" t="str" cm="1">
        <f t="array" ref="J7638">_xlfn.IFS(I7638&lt;=3,"small",I7638&lt;=6,"Medium",I7638&lt;=9,"Large")</f>
        <v>Large</v>
      </c>
      <c r="K7638" s="36">
        <v>45479</v>
      </c>
      <c r="L7638" s="36">
        <v>45486</v>
      </c>
      <c r="M7638" t="s">
        <v>598</v>
      </c>
      <c r="N7638" t="s">
        <v>608</v>
      </c>
      <c r="O7638" s="37" t="str">
        <f t="shared" si="598"/>
        <v>Cash Payment</v>
      </c>
      <c r="P7638">
        <v>379.17</v>
      </c>
      <c r="Q7638" s="37" t="str">
        <f>IF(P7638&gt;500,"High","low")</f>
        <v>low</v>
      </c>
      <c r="R7638" s="37" t="str">
        <f t="shared" si="599"/>
        <v>AVERAGE</v>
      </c>
      <c r="S7638" t="s">
        <v>628</v>
      </c>
    </row>
    <row r="7639" spans="1:19" x14ac:dyDescent="0.2">
      <c r="A7639" t="s">
        <v>8250</v>
      </c>
      <c r="B7639" t="s">
        <v>83</v>
      </c>
      <c r="C7639" t="s">
        <v>597</v>
      </c>
      <c r="D7639">
        <v>3526.15</v>
      </c>
      <c r="E7639" s="37" t="str">
        <f t="shared" si="595"/>
        <v xml:space="preserve"> </v>
      </c>
      <c r="F7639">
        <v>0.22</v>
      </c>
      <c r="G7639" s="37" t="str">
        <f t="shared" si="596"/>
        <v>Normal Discount</v>
      </c>
      <c r="H7639" s="37" t="str">
        <f t="shared" si="597"/>
        <v>Medium</v>
      </c>
      <c r="I7639">
        <v>1</v>
      </c>
      <c r="J7639" t="str" cm="1">
        <f t="array" ref="J7639">_xlfn.IFS(I7639&lt;=3,"small",I7639&lt;=6,"Medium",I7639&lt;=9,"Large")</f>
        <v>small</v>
      </c>
      <c r="K7639" s="36">
        <v>45181</v>
      </c>
      <c r="L7639" s="36">
        <v>45188</v>
      </c>
      <c r="M7639" t="s">
        <v>598</v>
      </c>
      <c r="N7639" t="s">
        <v>599</v>
      </c>
      <c r="O7639" s="37" t="str">
        <f t="shared" si="598"/>
        <v>Digital Payment</v>
      </c>
      <c r="P7639">
        <v>213.65</v>
      </c>
      <c r="Q7639" s="37" t="str">
        <f>IF(P7639&gt;500,"High","low")</f>
        <v>low</v>
      </c>
      <c r="R7639" s="37" t="str">
        <f t="shared" si="599"/>
        <v>AVERAGE</v>
      </c>
      <c r="S7639" t="s">
        <v>600</v>
      </c>
    </row>
    <row r="7640" spans="1:19" x14ac:dyDescent="0.2">
      <c r="A7640" t="s">
        <v>8251</v>
      </c>
      <c r="B7640" t="s">
        <v>83</v>
      </c>
      <c r="C7640" t="s">
        <v>614</v>
      </c>
      <c r="D7640">
        <v>1622.61</v>
      </c>
      <c r="E7640" s="37" t="str">
        <f t="shared" si="595"/>
        <v xml:space="preserve"> </v>
      </c>
      <c r="F7640">
        <v>0.26</v>
      </c>
      <c r="G7640" s="37" t="str">
        <f t="shared" si="596"/>
        <v>Normal Discount</v>
      </c>
      <c r="H7640" s="37" t="str">
        <f t="shared" si="597"/>
        <v>Medium</v>
      </c>
      <c r="I7640">
        <v>2</v>
      </c>
      <c r="J7640" t="str" cm="1">
        <f t="array" ref="J7640">_xlfn.IFS(I7640&lt;=3,"small",I7640&lt;=6,"Medium",I7640&lt;=9,"Large")</f>
        <v>small</v>
      </c>
      <c r="K7640" s="36">
        <v>45403</v>
      </c>
      <c r="L7640" s="36">
        <v>45406</v>
      </c>
      <c r="M7640" t="s">
        <v>603</v>
      </c>
      <c r="N7640" t="s">
        <v>604</v>
      </c>
      <c r="O7640" s="37" t="str">
        <f t="shared" si="598"/>
        <v>Digital Payment</v>
      </c>
      <c r="P7640">
        <v>194.26</v>
      </c>
      <c r="Q7640" s="37" t="str">
        <f>IF(P7640&gt;500,"High","low")</f>
        <v>low</v>
      </c>
      <c r="R7640" s="37" t="str">
        <f t="shared" si="599"/>
        <v>AVERAGE</v>
      </c>
      <c r="S7640" t="s">
        <v>620</v>
      </c>
    </row>
    <row r="7641" spans="1:19" x14ac:dyDescent="0.2">
      <c r="A7641" t="s">
        <v>8252</v>
      </c>
      <c r="B7641" t="s">
        <v>90</v>
      </c>
      <c r="C7641" t="s">
        <v>597</v>
      </c>
      <c r="D7641">
        <v>3458.71</v>
      </c>
      <c r="E7641" s="37" t="str">
        <f t="shared" si="595"/>
        <v xml:space="preserve"> </v>
      </c>
      <c r="F7641">
        <v>0.14000000000000001</v>
      </c>
      <c r="G7641" s="37" t="str">
        <f t="shared" si="596"/>
        <v>Normal Discount</v>
      </c>
      <c r="H7641" s="37" t="str">
        <f t="shared" si="597"/>
        <v>Low</v>
      </c>
      <c r="I7641">
        <v>7</v>
      </c>
      <c r="J7641" t="str" cm="1">
        <f t="array" ref="J7641">_xlfn.IFS(I7641&lt;=3,"small",I7641&lt;=6,"Medium",I7641&lt;=9,"Large")</f>
        <v>Large</v>
      </c>
      <c r="K7641" s="36">
        <v>45390</v>
      </c>
      <c r="L7641" s="36">
        <v>45394</v>
      </c>
      <c r="M7641" t="s">
        <v>612</v>
      </c>
      <c r="N7641" t="s">
        <v>608</v>
      </c>
      <c r="O7641" s="37" t="str">
        <f t="shared" si="598"/>
        <v>Cash Payment</v>
      </c>
      <c r="P7641">
        <v>738.98</v>
      </c>
      <c r="Q7641" s="37" t="str">
        <f>IF(P7641&gt;500,"High","low")</f>
        <v>High</v>
      </c>
      <c r="R7641" s="37" t="str">
        <f t="shared" si="599"/>
        <v>Good</v>
      </c>
      <c r="S7641" t="s">
        <v>628</v>
      </c>
    </row>
    <row r="7642" spans="1:19" x14ac:dyDescent="0.2">
      <c r="A7642" t="s">
        <v>8253</v>
      </c>
      <c r="B7642" t="s">
        <v>75</v>
      </c>
      <c r="C7642" t="s">
        <v>607</v>
      </c>
      <c r="D7642">
        <v>1781.42</v>
      </c>
      <c r="E7642" s="37" t="str">
        <f t="shared" si="595"/>
        <v xml:space="preserve"> </v>
      </c>
      <c r="F7642">
        <v>0.24</v>
      </c>
      <c r="G7642" s="37" t="str">
        <f t="shared" si="596"/>
        <v>Normal Discount</v>
      </c>
      <c r="H7642" s="37" t="str">
        <f t="shared" si="597"/>
        <v>Medium</v>
      </c>
      <c r="I7642">
        <v>5</v>
      </c>
      <c r="J7642" t="str" cm="1">
        <f t="array" ref="J7642">_xlfn.IFS(I7642&lt;=3,"small",I7642&lt;=6,"Medium",I7642&lt;=9,"Large")</f>
        <v>Medium</v>
      </c>
      <c r="K7642" s="36">
        <v>45360</v>
      </c>
      <c r="L7642" s="36">
        <v>45365</v>
      </c>
      <c r="M7642" t="s">
        <v>598</v>
      </c>
      <c r="N7642" t="s">
        <v>599</v>
      </c>
      <c r="O7642" s="37" t="str">
        <f t="shared" si="598"/>
        <v>Digital Payment</v>
      </c>
      <c r="P7642">
        <v>495.59</v>
      </c>
      <c r="Q7642" s="37" t="str">
        <f>IF(P7642&gt;500,"High","low")</f>
        <v>low</v>
      </c>
      <c r="R7642" s="37" t="str">
        <f t="shared" si="599"/>
        <v>AVERAGE</v>
      </c>
      <c r="S7642" t="s">
        <v>615</v>
      </c>
    </row>
    <row r="7643" spans="1:19" x14ac:dyDescent="0.2">
      <c r="A7643" t="s">
        <v>8254</v>
      </c>
      <c r="B7643" t="s">
        <v>67</v>
      </c>
      <c r="C7643" t="s">
        <v>607</v>
      </c>
      <c r="D7643">
        <v>3211.34</v>
      </c>
      <c r="E7643" s="37" t="str">
        <f t="shared" si="595"/>
        <v xml:space="preserve"> </v>
      </c>
      <c r="F7643">
        <v>0.05</v>
      </c>
      <c r="G7643" s="37" t="str">
        <f t="shared" si="596"/>
        <v>Normal Discount</v>
      </c>
      <c r="H7643" s="37" t="str">
        <f t="shared" si="597"/>
        <v>Low</v>
      </c>
      <c r="I7643">
        <v>7</v>
      </c>
      <c r="J7643" t="str" cm="1">
        <f t="array" ref="J7643">_xlfn.IFS(I7643&lt;=3,"small",I7643&lt;=6,"Medium",I7643&lt;=9,"Large")</f>
        <v>Large</v>
      </c>
      <c r="K7643" s="36">
        <v>45431</v>
      </c>
      <c r="L7643" s="36">
        <v>45434</v>
      </c>
      <c r="M7643" t="s">
        <v>598</v>
      </c>
      <c r="N7643" t="s">
        <v>599</v>
      </c>
      <c r="O7643" s="37" t="str">
        <f t="shared" si="598"/>
        <v>Digital Payment</v>
      </c>
      <c r="P7643">
        <v>715.14</v>
      </c>
      <c r="Q7643" s="37" t="str">
        <f>IF(P7643&gt;500,"High","low")</f>
        <v>High</v>
      </c>
      <c r="R7643" s="37" t="str">
        <f t="shared" si="599"/>
        <v>Good</v>
      </c>
      <c r="S7643" t="s">
        <v>628</v>
      </c>
    </row>
    <row r="7644" spans="1:19" x14ac:dyDescent="0.2">
      <c r="A7644" t="s">
        <v>8255</v>
      </c>
      <c r="B7644" t="s">
        <v>67</v>
      </c>
      <c r="C7644" t="s">
        <v>597</v>
      </c>
      <c r="D7644">
        <v>3202</v>
      </c>
      <c r="E7644" s="37" t="str">
        <f t="shared" si="595"/>
        <v xml:space="preserve"> </v>
      </c>
      <c r="F7644">
        <v>0.45</v>
      </c>
      <c r="G7644" s="37" t="str">
        <f t="shared" si="596"/>
        <v>Heavy Discount</v>
      </c>
      <c r="H7644" s="37" t="str">
        <f t="shared" si="597"/>
        <v>High</v>
      </c>
      <c r="I7644">
        <v>3</v>
      </c>
      <c r="J7644" t="str" cm="1">
        <f t="array" ref="J7644">_xlfn.IFS(I7644&lt;=3,"small",I7644&lt;=6,"Medium",I7644&lt;=9,"Large")</f>
        <v>small</v>
      </c>
      <c r="K7644" s="36">
        <v>45128</v>
      </c>
      <c r="L7644" s="36">
        <v>45130</v>
      </c>
      <c r="M7644" t="s">
        <v>598</v>
      </c>
      <c r="N7644" t="s">
        <v>608</v>
      </c>
      <c r="O7644" s="37" t="str">
        <f t="shared" si="598"/>
        <v>Cash Payment</v>
      </c>
      <c r="P7644">
        <v>625.74</v>
      </c>
      <c r="Q7644" s="37" t="str">
        <f>IF(P7644&gt;500,"High","low")</f>
        <v>High</v>
      </c>
      <c r="R7644" s="37" t="str">
        <f t="shared" si="599"/>
        <v>Good</v>
      </c>
      <c r="S7644" t="s">
        <v>615</v>
      </c>
    </row>
    <row r="7645" spans="1:19" x14ac:dyDescent="0.2">
      <c r="A7645" t="s">
        <v>8256</v>
      </c>
      <c r="B7645" t="s">
        <v>83</v>
      </c>
      <c r="C7645" t="s">
        <v>614</v>
      </c>
      <c r="D7645">
        <v>1462.98</v>
      </c>
      <c r="E7645" s="37" t="str">
        <f t="shared" si="595"/>
        <v xml:space="preserve"> </v>
      </c>
      <c r="F7645">
        <v>0.36</v>
      </c>
      <c r="G7645" s="37" t="str">
        <f t="shared" si="596"/>
        <v>Heavy Discount</v>
      </c>
      <c r="H7645" s="37" t="str">
        <f t="shared" si="597"/>
        <v>Medium</v>
      </c>
      <c r="I7645">
        <v>8</v>
      </c>
      <c r="J7645" t="str" cm="1">
        <f t="array" ref="J7645">_xlfn.IFS(I7645&lt;=3,"small",I7645&lt;=6,"Medium",I7645&lt;=9,"Large")</f>
        <v>Large</v>
      </c>
      <c r="K7645" s="36">
        <v>45391</v>
      </c>
      <c r="L7645" s="36">
        <v>45396</v>
      </c>
      <c r="M7645" t="s">
        <v>603</v>
      </c>
      <c r="N7645" t="s">
        <v>599</v>
      </c>
      <c r="O7645" s="37" t="str">
        <f t="shared" si="598"/>
        <v>Digital Payment</v>
      </c>
      <c r="P7645">
        <v>195.2</v>
      </c>
      <c r="Q7645" s="37" t="str">
        <f>IF(P7645&gt;500,"High","low")</f>
        <v>low</v>
      </c>
      <c r="R7645" s="37" t="str">
        <f t="shared" si="599"/>
        <v>AVERAGE</v>
      </c>
      <c r="S7645" t="s">
        <v>605</v>
      </c>
    </row>
    <row r="7646" spans="1:19" x14ac:dyDescent="0.2">
      <c r="A7646" t="s">
        <v>8257</v>
      </c>
      <c r="B7646" t="s">
        <v>90</v>
      </c>
      <c r="C7646" t="s">
        <v>602</v>
      </c>
      <c r="D7646">
        <v>3215.04</v>
      </c>
      <c r="E7646" s="37" t="str">
        <f t="shared" si="595"/>
        <v xml:space="preserve"> </v>
      </c>
      <c r="F7646">
        <v>0.4</v>
      </c>
      <c r="G7646" s="37" t="str">
        <f t="shared" si="596"/>
        <v>Heavy Discount</v>
      </c>
      <c r="H7646" s="37" t="str">
        <f t="shared" si="597"/>
        <v>Medium</v>
      </c>
      <c r="I7646">
        <v>4</v>
      </c>
      <c r="J7646" t="str" cm="1">
        <f t="array" ref="J7646">_xlfn.IFS(I7646&lt;=3,"small",I7646&lt;=6,"Medium",I7646&lt;=9,"Large")</f>
        <v>Medium</v>
      </c>
      <c r="K7646" s="36">
        <v>45460</v>
      </c>
      <c r="L7646" s="36">
        <v>45464</v>
      </c>
      <c r="M7646" t="s">
        <v>603</v>
      </c>
      <c r="N7646" t="s">
        <v>608</v>
      </c>
      <c r="O7646" s="37" t="str">
        <f t="shared" si="598"/>
        <v>Cash Payment</v>
      </c>
      <c r="P7646">
        <v>338.79</v>
      </c>
      <c r="Q7646" s="37" t="str">
        <f>IF(P7646&gt;500,"High","low")</f>
        <v>low</v>
      </c>
      <c r="R7646" s="37" t="str">
        <f t="shared" si="599"/>
        <v>AVERAGE</v>
      </c>
      <c r="S7646" t="s">
        <v>609</v>
      </c>
    </row>
    <row r="7647" spans="1:19" x14ac:dyDescent="0.2">
      <c r="A7647" t="s">
        <v>8258</v>
      </c>
      <c r="B7647" t="s">
        <v>75</v>
      </c>
      <c r="C7647" t="s">
        <v>597</v>
      </c>
      <c r="D7647">
        <v>1966.68</v>
      </c>
      <c r="E7647" s="37" t="str">
        <f t="shared" si="595"/>
        <v xml:space="preserve"> </v>
      </c>
      <c r="F7647">
        <v>0.27</v>
      </c>
      <c r="G7647" s="37" t="str">
        <f t="shared" si="596"/>
        <v>Normal Discount</v>
      </c>
      <c r="H7647" s="37" t="str">
        <f t="shared" si="597"/>
        <v>Medium</v>
      </c>
      <c r="I7647">
        <v>8</v>
      </c>
      <c r="J7647" t="str" cm="1">
        <f t="array" ref="J7647">_xlfn.IFS(I7647&lt;=3,"small",I7647&lt;=6,"Medium",I7647&lt;=9,"Large")</f>
        <v>Large</v>
      </c>
      <c r="K7647" s="36">
        <v>44966</v>
      </c>
      <c r="L7647" s="36">
        <v>44971</v>
      </c>
      <c r="M7647" t="s">
        <v>598</v>
      </c>
      <c r="N7647" t="s">
        <v>599</v>
      </c>
      <c r="O7647" s="37" t="str">
        <f t="shared" si="598"/>
        <v>Digital Payment</v>
      </c>
      <c r="P7647">
        <v>369.52</v>
      </c>
      <c r="Q7647" s="37" t="str">
        <f>IF(P7647&gt;500,"High","low")</f>
        <v>low</v>
      </c>
      <c r="R7647" s="37" t="str">
        <f t="shared" si="599"/>
        <v>AVERAGE</v>
      </c>
      <c r="S7647" t="s">
        <v>628</v>
      </c>
    </row>
    <row r="7648" spans="1:19" x14ac:dyDescent="0.2">
      <c r="A7648" t="s">
        <v>8259</v>
      </c>
      <c r="B7648" t="s">
        <v>75</v>
      </c>
      <c r="C7648" t="s">
        <v>617</v>
      </c>
      <c r="D7648">
        <v>1748.63</v>
      </c>
      <c r="E7648" s="37" t="str">
        <f t="shared" si="595"/>
        <v xml:space="preserve"> </v>
      </c>
      <c r="F7648">
        <v>0.06</v>
      </c>
      <c r="G7648" s="37" t="str">
        <f t="shared" si="596"/>
        <v>Normal Discount</v>
      </c>
      <c r="H7648" s="37" t="str">
        <f t="shared" si="597"/>
        <v>Low</v>
      </c>
      <c r="I7648">
        <v>6</v>
      </c>
      <c r="J7648" t="str" cm="1">
        <f t="array" ref="J7648">_xlfn.IFS(I7648&lt;=3,"small",I7648&lt;=6,"Medium",I7648&lt;=9,"Large")</f>
        <v>Medium</v>
      </c>
      <c r="K7648" s="36">
        <v>45056</v>
      </c>
      <c r="L7648" s="36">
        <v>45059</v>
      </c>
      <c r="M7648" t="s">
        <v>598</v>
      </c>
      <c r="N7648" t="s">
        <v>599</v>
      </c>
      <c r="O7648" s="37" t="str">
        <f t="shared" si="598"/>
        <v>Digital Payment</v>
      </c>
      <c r="P7648">
        <v>298.93</v>
      </c>
      <c r="Q7648" s="37" t="str">
        <f>IF(P7648&gt;500,"High","low")</f>
        <v>low</v>
      </c>
      <c r="R7648" s="37" t="str">
        <f t="shared" si="599"/>
        <v>AVERAGE</v>
      </c>
      <c r="S7648" t="s">
        <v>628</v>
      </c>
    </row>
    <row r="7649" spans="1:19" x14ac:dyDescent="0.2">
      <c r="A7649" t="s">
        <v>8260</v>
      </c>
      <c r="B7649" t="s">
        <v>83</v>
      </c>
      <c r="C7649" t="s">
        <v>602</v>
      </c>
      <c r="D7649">
        <v>1517.51</v>
      </c>
      <c r="E7649" s="37" t="str">
        <f t="shared" si="595"/>
        <v xml:space="preserve"> </v>
      </c>
      <c r="F7649">
        <v>0.27</v>
      </c>
      <c r="G7649" s="37" t="str">
        <f t="shared" si="596"/>
        <v>Normal Discount</v>
      </c>
      <c r="H7649" s="37" t="str">
        <f t="shared" si="597"/>
        <v>Medium</v>
      </c>
      <c r="I7649">
        <v>9</v>
      </c>
      <c r="J7649" t="str" cm="1">
        <f t="array" ref="J7649">_xlfn.IFS(I7649&lt;=3,"small",I7649&lt;=6,"Medium",I7649&lt;=9,"Large")</f>
        <v>Large</v>
      </c>
      <c r="K7649" s="36">
        <v>45340</v>
      </c>
      <c r="L7649" s="36">
        <v>45345</v>
      </c>
      <c r="M7649" t="s">
        <v>598</v>
      </c>
      <c r="N7649" t="s">
        <v>604</v>
      </c>
      <c r="O7649" s="37" t="str">
        <f t="shared" si="598"/>
        <v>Digital Payment</v>
      </c>
      <c r="P7649">
        <v>335.81</v>
      </c>
      <c r="Q7649" s="37" t="str">
        <f>IF(P7649&gt;500,"High","low")</f>
        <v>low</v>
      </c>
      <c r="R7649" s="37" t="str">
        <f t="shared" si="599"/>
        <v>AVERAGE</v>
      </c>
      <c r="S7649" t="s">
        <v>605</v>
      </c>
    </row>
    <row r="7650" spans="1:19" x14ac:dyDescent="0.2">
      <c r="A7650" t="s">
        <v>8261</v>
      </c>
      <c r="B7650" t="s">
        <v>83</v>
      </c>
      <c r="C7650" t="s">
        <v>617</v>
      </c>
      <c r="D7650">
        <v>1793.66</v>
      </c>
      <c r="E7650" s="37" t="str">
        <f t="shared" si="595"/>
        <v xml:space="preserve"> </v>
      </c>
      <c r="F7650">
        <v>0.16</v>
      </c>
      <c r="G7650" s="37" t="str">
        <f t="shared" si="596"/>
        <v>Normal Discount</v>
      </c>
      <c r="H7650" s="37" t="str">
        <f t="shared" si="597"/>
        <v>Low</v>
      </c>
      <c r="I7650">
        <v>6</v>
      </c>
      <c r="J7650" t="str" cm="1">
        <f t="array" ref="J7650">_xlfn.IFS(I7650&lt;=3,"small",I7650&lt;=6,"Medium",I7650&lt;=9,"Large")</f>
        <v>Medium</v>
      </c>
      <c r="K7650" s="36">
        <v>45098</v>
      </c>
      <c r="L7650" s="36">
        <v>45102</v>
      </c>
      <c r="M7650" t="s">
        <v>598</v>
      </c>
      <c r="N7650" t="s">
        <v>599</v>
      </c>
      <c r="O7650" s="37" t="str">
        <f t="shared" si="598"/>
        <v>Digital Payment</v>
      </c>
      <c r="P7650">
        <v>330.78</v>
      </c>
      <c r="Q7650" s="37" t="str">
        <f>IF(P7650&gt;500,"High","low")</f>
        <v>low</v>
      </c>
      <c r="R7650" s="37" t="str">
        <f t="shared" si="599"/>
        <v>AVERAGE</v>
      </c>
      <c r="S7650" t="s">
        <v>615</v>
      </c>
    </row>
    <row r="7651" spans="1:19" x14ac:dyDescent="0.2">
      <c r="A7651" t="s">
        <v>8262</v>
      </c>
      <c r="B7651" t="s">
        <v>75</v>
      </c>
      <c r="C7651" t="s">
        <v>597</v>
      </c>
      <c r="D7651">
        <v>3955.05</v>
      </c>
      <c r="E7651" s="37" t="str">
        <f t="shared" si="595"/>
        <v xml:space="preserve"> </v>
      </c>
      <c r="F7651">
        <v>0.01</v>
      </c>
      <c r="G7651" s="37" t="str">
        <f t="shared" si="596"/>
        <v>Normal Discount</v>
      </c>
      <c r="H7651" s="37" t="str">
        <f t="shared" si="597"/>
        <v>Low</v>
      </c>
      <c r="I7651">
        <v>4</v>
      </c>
      <c r="J7651" t="str" cm="1">
        <f t="array" ref="J7651">_xlfn.IFS(I7651&lt;=3,"small",I7651&lt;=6,"Medium",I7651&lt;=9,"Large")</f>
        <v>Medium</v>
      </c>
      <c r="K7651" s="36">
        <v>45157</v>
      </c>
      <c r="L7651" s="36">
        <v>45158</v>
      </c>
      <c r="M7651" t="s">
        <v>612</v>
      </c>
      <c r="N7651" t="s">
        <v>604</v>
      </c>
      <c r="O7651" s="37" t="str">
        <f t="shared" si="598"/>
        <v>Digital Payment</v>
      </c>
      <c r="P7651">
        <v>608.95000000000005</v>
      </c>
      <c r="Q7651" s="37" t="str">
        <f>IF(P7651&gt;500,"High","low")</f>
        <v>High</v>
      </c>
      <c r="R7651" s="37" t="str">
        <f t="shared" si="599"/>
        <v>Good</v>
      </c>
      <c r="S7651" t="s">
        <v>615</v>
      </c>
    </row>
    <row r="7652" spans="1:19" x14ac:dyDescent="0.2">
      <c r="A7652" t="s">
        <v>8263</v>
      </c>
      <c r="B7652" t="s">
        <v>75</v>
      </c>
      <c r="C7652" t="s">
        <v>614</v>
      </c>
      <c r="D7652">
        <v>1301.3800000000001</v>
      </c>
      <c r="E7652" s="37" t="str">
        <f t="shared" si="595"/>
        <v xml:space="preserve"> </v>
      </c>
      <c r="F7652">
        <v>0.31</v>
      </c>
      <c r="G7652" s="37" t="str">
        <f t="shared" si="596"/>
        <v>Heavy Discount</v>
      </c>
      <c r="H7652" s="37" t="str">
        <f t="shared" si="597"/>
        <v>Medium</v>
      </c>
      <c r="I7652">
        <v>3</v>
      </c>
      <c r="J7652" t="str" cm="1">
        <f t="array" ref="J7652">_xlfn.IFS(I7652&lt;=3,"small",I7652&lt;=6,"Medium",I7652&lt;=9,"Large")</f>
        <v>small</v>
      </c>
      <c r="K7652" s="36">
        <v>45163</v>
      </c>
      <c r="L7652" s="36">
        <v>45170</v>
      </c>
      <c r="M7652" t="s">
        <v>603</v>
      </c>
      <c r="N7652" t="s">
        <v>608</v>
      </c>
      <c r="O7652" s="37" t="str">
        <f t="shared" si="598"/>
        <v>Cash Payment</v>
      </c>
      <c r="P7652">
        <v>340.75</v>
      </c>
      <c r="Q7652" s="37" t="str">
        <f>IF(P7652&gt;500,"High","low")</f>
        <v>low</v>
      </c>
      <c r="R7652" s="37" t="str">
        <f t="shared" si="599"/>
        <v>AVERAGE</v>
      </c>
      <c r="S7652" t="s">
        <v>620</v>
      </c>
    </row>
    <row r="7653" spans="1:19" x14ac:dyDescent="0.2">
      <c r="A7653" t="s">
        <v>8264</v>
      </c>
      <c r="B7653" t="s">
        <v>83</v>
      </c>
      <c r="C7653" t="s">
        <v>617</v>
      </c>
      <c r="D7653">
        <v>3441.74</v>
      </c>
      <c r="E7653" s="37" t="str">
        <f t="shared" si="595"/>
        <v xml:space="preserve"> </v>
      </c>
      <c r="F7653">
        <v>0.43</v>
      </c>
      <c r="G7653" s="37" t="str">
        <f t="shared" si="596"/>
        <v>Heavy Discount</v>
      </c>
      <c r="H7653" s="37" t="str">
        <f t="shared" si="597"/>
        <v>High</v>
      </c>
      <c r="I7653">
        <v>4</v>
      </c>
      <c r="J7653" t="str" cm="1">
        <f t="array" ref="J7653">_xlfn.IFS(I7653&lt;=3,"small",I7653&lt;=6,"Medium",I7653&lt;=9,"Large")</f>
        <v>Medium</v>
      </c>
      <c r="K7653" s="36">
        <v>45521</v>
      </c>
      <c r="L7653" s="36">
        <v>45527</v>
      </c>
      <c r="M7653" t="s">
        <v>603</v>
      </c>
      <c r="N7653" t="s">
        <v>608</v>
      </c>
      <c r="O7653" s="37" t="str">
        <f t="shared" si="598"/>
        <v>Cash Payment</v>
      </c>
      <c r="P7653">
        <v>856.23</v>
      </c>
      <c r="Q7653" s="37" t="str">
        <f>IF(P7653&gt;500,"High","low")</f>
        <v>High</v>
      </c>
      <c r="R7653" s="37" t="str">
        <f t="shared" si="599"/>
        <v>Good</v>
      </c>
      <c r="S7653" t="s">
        <v>615</v>
      </c>
    </row>
    <row r="7654" spans="1:19" x14ac:dyDescent="0.2">
      <c r="A7654" t="s">
        <v>8265</v>
      </c>
      <c r="B7654" t="s">
        <v>75</v>
      </c>
      <c r="C7654" t="s">
        <v>597</v>
      </c>
      <c r="D7654">
        <v>4513.04</v>
      </c>
      <c r="E7654" s="37" t="str">
        <f t="shared" si="595"/>
        <v>Excellent Order</v>
      </c>
      <c r="F7654">
        <v>0.36</v>
      </c>
      <c r="G7654" s="37" t="str">
        <f t="shared" si="596"/>
        <v>Heavy Discount</v>
      </c>
      <c r="H7654" s="37" t="str">
        <f t="shared" si="597"/>
        <v>Medium</v>
      </c>
      <c r="I7654">
        <v>7</v>
      </c>
      <c r="J7654" t="str" cm="1">
        <f t="array" ref="J7654">_xlfn.IFS(I7654&lt;=3,"small",I7654&lt;=6,"Medium",I7654&lt;=9,"Large")</f>
        <v>Large</v>
      </c>
      <c r="K7654" s="36">
        <v>44936</v>
      </c>
      <c r="L7654" s="36">
        <v>44938</v>
      </c>
      <c r="M7654" t="s">
        <v>603</v>
      </c>
      <c r="N7654" t="s">
        <v>608</v>
      </c>
      <c r="O7654" s="37" t="str">
        <f t="shared" si="598"/>
        <v>Cash Payment</v>
      </c>
      <c r="P7654">
        <v>1143.47</v>
      </c>
      <c r="Q7654" s="37" t="str">
        <f>IF(P7654&gt;500,"High","low")</f>
        <v>High</v>
      </c>
      <c r="R7654" s="37" t="str">
        <f t="shared" si="599"/>
        <v>Excellent</v>
      </c>
      <c r="S7654" t="s">
        <v>600</v>
      </c>
    </row>
    <row r="7655" spans="1:19" x14ac:dyDescent="0.2">
      <c r="A7655" t="s">
        <v>8266</v>
      </c>
      <c r="B7655" t="s">
        <v>67</v>
      </c>
      <c r="C7655" t="s">
        <v>602</v>
      </c>
      <c r="D7655">
        <v>1817.1</v>
      </c>
      <c r="E7655" s="37" t="str">
        <f t="shared" si="595"/>
        <v xml:space="preserve"> </v>
      </c>
      <c r="F7655">
        <v>0.11</v>
      </c>
      <c r="G7655" s="37" t="str">
        <f t="shared" si="596"/>
        <v>Normal Discount</v>
      </c>
      <c r="H7655" s="37" t="str">
        <f t="shared" si="597"/>
        <v>Low</v>
      </c>
      <c r="I7655">
        <v>8</v>
      </c>
      <c r="J7655" t="str" cm="1">
        <f t="array" ref="J7655">_xlfn.IFS(I7655&lt;=3,"small",I7655&lt;=6,"Medium",I7655&lt;=9,"Large")</f>
        <v>Large</v>
      </c>
      <c r="K7655" s="36">
        <v>45010</v>
      </c>
      <c r="L7655" s="36">
        <v>45012</v>
      </c>
      <c r="M7655" t="s">
        <v>612</v>
      </c>
      <c r="N7655" t="s">
        <v>608</v>
      </c>
      <c r="O7655" s="37" t="str">
        <f t="shared" si="598"/>
        <v>Cash Payment</v>
      </c>
      <c r="P7655">
        <v>132.24</v>
      </c>
      <c r="Q7655" s="37" t="str">
        <f>IF(P7655&gt;500,"High","low")</f>
        <v>low</v>
      </c>
      <c r="R7655" s="37" t="str">
        <f t="shared" si="599"/>
        <v>AVERAGE</v>
      </c>
      <c r="S7655" t="s">
        <v>628</v>
      </c>
    </row>
    <row r="7656" spans="1:19" x14ac:dyDescent="0.2">
      <c r="A7656" t="s">
        <v>8267</v>
      </c>
      <c r="B7656" t="s">
        <v>83</v>
      </c>
      <c r="C7656" t="s">
        <v>614</v>
      </c>
      <c r="D7656">
        <v>244.61</v>
      </c>
      <c r="E7656" s="37" t="str">
        <f t="shared" si="595"/>
        <v xml:space="preserve"> </v>
      </c>
      <c r="F7656">
        <v>0.41</v>
      </c>
      <c r="G7656" s="37" t="str">
        <f t="shared" si="596"/>
        <v>Heavy Discount</v>
      </c>
      <c r="H7656" s="37" t="str">
        <f t="shared" si="597"/>
        <v>High</v>
      </c>
      <c r="I7656">
        <v>2</v>
      </c>
      <c r="J7656" t="str" cm="1">
        <f t="array" ref="J7656">_xlfn.IFS(I7656&lt;=3,"small",I7656&lt;=6,"Medium",I7656&lt;=9,"Large")</f>
        <v>small</v>
      </c>
      <c r="K7656" s="36">
        <v>45373</v>
      </c>
      <c r="L7656" s="36">
        <v>45376</v>
      </c>
      <c r="M7656" t="s">
        <v>603</v>
      </c>
      <c r="N7656" t="s">
        <v>599</v>
      </c>
      <c r="O7656" s="37" t="str">
        <f t="shared" si="598"/>
        <v>Digital Payment</v>
      </c>
      <c r="P7656">
        <v>21.35</v>
      </c>
      <c r="Q7656" s="37" t="str">
        <f>IF(P7656&gt;500,"High","low")</f>
        <v>low</v>
      </c>
      <c r="R7656" s="37" t="str">
        <f t="shared" si="599"/>
        <v>AVERAGE</v>
      </c>
      <c r="S7656" t="s">
        <v>600</v>
      </c>
    </row>
    <row r="7657" spans="1:19" x14ac:dyDescent="0.2">
      <c r="A7657" t="s">
        <v>8268</v>
      </c>
      <c r="B7657" t="s">
        <v>75</v>
      </c>
      <c r="C7657" t="s">
        <v>617</v>
      </c>
      <c r="D7657">
        <v>220.57</v>
      </c>
      <c r="E7657" s="37" t="str">
        <f t="shared" si="595"/>
        <v xml:space="preserve"> </v>
      </c>
      <c r="F7657">
        <v>0.15</v>
      </c>
      <c r="G7657" s="37" t="str">
        <f t="shared" si="596"/>
        <v>Normal Discount</v>
      </c>
      <c r="H7657" s="37" t="str">
        <f t="shared" si="597"/>
        <v>Low</v>
      </c>
      <c r="I7657">
        <v>9</v>
      </c>
      <c r="J7657" t="str" cm="1">
        <f t="array" ref="J7657">_xlfn.IFS(I7657&lt;=3,"small",I7657&lt;=6,"Medium",I7657&lt;=9,"Large")</f>
        <v>Large</v>
      </c>
      <c r="K7657" s="36">
        <v>45305</v>
      </c>
      <c r="L7657" s="36">
        <v>45310</v>
      </c>
      <c r="M7657" t="s">
        <v>603</v>
      </c>
      <c r="N7657" t="s">
        <v>608</v>
      </c>
      <c r="O7657" s="37" t="str">
        <f t="shared" si="598"/>
        <v>Cash Payment</v>
      </c>
      <c r="P7657">
        <v>22.08</v>
      </c>
      <c r="Q7657" s="37" t="str">
        <f>IF(P7657&gt;500,"High","low")</f>
        <v>low</v>
      </c>
      <c r="R7657" s="37" t="str">
        <f t="shared" si="599"/>
        <v>AVERAGE</v>
      </c>
      <c r="S7657" t="s">
        <v>609</v>
      </c>
    </row>
    <row r="7658" spans="1:19" x14ac:dyDescent="0.2">
      <c r="A7658" t="s">
        <v>8269</v>
      </c>
      <c r="B7658" t="s">
        <v>83</v>
      </c>
      <c r="C7658" t="s">
        <v>597</v>
      </c>
      <c r="D7658">
        <v>783.56</v>
      </c>
      <c r="E7658" s="37" t="str">
        <f t="shared" si="595"/>
        <v xml:space="preserve"> </v>
      </c>
      <c r="F7658">
        <v>0.11</v>
      </c>
      <c r="G7658" s="37" t="str">
        <f t="shared" si="596"/>
        <v>Normal Discount</v>
      </c>
      <c r="H7658" s="37" t="str">
        <f t="shared" si="597"/>
        <v>Low</v>
      </c>
      <c r="I7658">
        <v>7</v>
      </c>
      <c r="J7658" t="str" cm="1">
        <f t="array" ref="J7658">_xlfn.IFS(I7658&lt;=3,"small",I7658&lt;=6,"Medium",I7658&lt;=9,"Large")</f>
        <v>Large</v>
      </c>
      <c r="K7658" s="36">
        <v>44971</v>
      </c>
      <c r="L7658" s="36">
        <v>44978</v>
      </c>
      <c r="M7658" t="s">
        <v>612</v>
      </c>
      <c r="N7658" t="s">
        <v>599</v>
      </c>
      <c r="O7658" s="37" t="str">
        <f t="shared" si="598"/>
        <v>Digital Payment</v>
      </c>
      <c r="P7658">
        <v>217.42</v>
      </c>
      <c r="Q7658" s="37" t="str">
        <f>IF(P7658&gt;500,"High","low")</f>
        <v>low</v>
      </c>
      <c r="R7658" s="37" t="str">
        <f t="shared" si="599"/>
        <v>AVERAGE</v>
      </c>
      <c r="S7658" t="s">
        <v>609</v>
      </c>
    </row>
    <row r="7659" spans="1:19" x14ac:dyDescent="0.2">
      <c r="A7659" t="s">
        <v>8270</v>
      </c>
      <c r="B7659" t="s">
        <v>90</v>
      </c>
      <c r="C7659" t="s">
        <v>614</v>
      </c>
      <c r="D7659">
        <v>639.22</v>
      </c>
      <c r="E7659" s="37" t="str">
        <f t="shared" si="595"/>
        <v xml:space="preserve"> </v>
      </c>
      <c r="F7659">
        <v>0.48</v>
      </c>
      <c r="G7659" s="37" t="str">
        <f t="shared" si="596"/>
        <v>Heavy Discount</v>
      </c>
      <c r="H7659" s="37" t="str">
        <f t="shared" si="597"/>
        <v>High</v>
      </c>
      <c r="I7659">
        <v>7</v>
      </c>
      <c r="J7659" t="str" cm="1">
        <f t="array" ref="J7659">_xlfn.IFS(I7659&lt;=3,"small",I7659&lt;=6,"Medium",I7659&lt;=9,"Large")</f>
        <v>Large</v>
      </c>
      <c r="K7659" s="36">
        <v>45563</v>
      </c>
      <c r="L7659" s="36">
        <v>45568</v>
      </c>
      <c r="M7659" t="s">
        <v>603</v>
      </c>
      <c r="N7659" t="s">
        <v>599</v>
      </c>
      <c r="O7659" s="37" t="str">
        <f t="shared" si="598"/>
        <v>Digital Payment</v>
      </c>
      <c r="P7659">
        <v>89.77</v>
      </c>
      <c r="Q7659" s="37" t="str">
        <f>IF(P7659&gt;500,"High","low")</f>
        <v>low</v>
      </c>
      <c r="R7659" s="37" t="str">
        <f t="shared" si="599"/>
        <v>AVERAGE</v>
      </c>
      <c r="S7659" t="s">
        <v>600</v>
      </c>
    </row>
    <row r="7660" spans="1:19" x14ac:dyDescent="0.2">
      <c r="A7660" t="s">
        <v>8271</v>
      </c>
      <c r="B7660" t="s">
        <v>83</v>
      </c>
      <c r="C7660" t="s">
        <v>614</v>
      </c>
      <c r="D7660">
        <v>3765.62</v>
      </c>
      <c r="E7660" s="37" t="str">
        <f t="shared" si="595"/>
        <v xml:space="preserve"> </v>
      </c>
      <c r="F7660">
        <v>0.01</v>
      </c>
      <c r="G7660" s="37" t="str">
        <f t="shared" si="596"/>
        <v>Normal Discount</v>
      </c>
      <c r="H7660" s="37" t="str">
        <f t="shared" si="597"/>
        <v>Low</v>
      </c>
      <c r="I7660">
        <v>4</v>
      </c>
      <c r="J7660" t="str" cm="1">
        <f t="array" ref="J7660">_xlfn.IFS(I7660&lt;=3,"small",I7660&lt;=6,"Medium",I7660&lt;=9,"Large")</f>
        <v>Medium</v>
      </c>
      <c r="K7660" s="36">
        <v>45584</v>
      </c>
      <c r="L7660" s="36">
        <v>45588</v>
      </c>
      <c r="M7660" t="s">
        <v>598</v>
      </c>
      <c r="N7660" t="s">
        <v>608</v>
      </c>
      <c r="O7660" s="37" t="str">
        <f t="shared" si="598"/>
        <v>Cash Payment</v>
      </c>
      <c r="P7660">
        <v>804.96</v>
      </c>
      <c r="Q7660" s="37" t="str">
        <f>IF(P7660&gt;500,"High","low")</f>
        <v>High</v>
      </c>
      <c r="R7660" s="37" t="str">
        <f t="shared" si="599"/>
        <v>Good</v>
      </c>
      <c r="S7660" t="s">
        <v>609</v>
      </c>
    </row>
    <row r="7661" spans="1:19" x14ac:dyDescent="0.2">
      <c r="A7661" t="s">
        <v>8272</v>
      </c>
      <c r="B7661" t="s">
        <v>83</v>
      </c>
      <c r="C7661" t="s">
        <v>607</v>
      </c>
      <c r="D7661">
        <v>1544.77</v>
      </c>
      <c r="E7661" s="37" t="str">
        <f t="shared" si="595"/>
        <v xml:space="preserve"> </v>
      </c>
      <c r="F7661">
        <v>0.08</v>
      </c>
      <c r="G7661" s="37" t="str">
        <f t="shared" si="596"/>
        <v>Normal Discount</v>
      </c>
      <c r="H7661" s="37" t="str">
        <f t="shared" si="597"/>
        <v>Low</v>
      </c>
      <c r="I7661">
        <v>7</v>
      </c>
      <c r="J7661" t="str" cm="1">
        <f t="array" ref="J7661">_xlfn.IFS(I7661&lt;=3,"small",I7661&lt;=6,"Medium",I7661&lt;=9,"Large")</f>
        <v>Large</v>
      </c>
      <c r="K7661" s="36">
        <v>45582</v>
      </c>
      <c r="L7661" s="36">
        <v>45584</v>
      </c>
      <c r="M7661" t="s">
        <v>598</v>
      </c>
      <c r="N7661" t="s">
        <v>608</v>
      </c>
      <c r="O7661" s="37" t="str">
        <f t="shared" si="598"/>
        <v>Cash Payment</v>
      </c>
      <c r="P7661">
        <v>93.6</v>
      </c>
      <c r="Q7661" s="37" t="str">
        <f>IF(P7661&gt;500,"High","low")</f>
        <v>low</v>
      </c>
      <c r="R7661" s="37" t="str">
        <f t="shared" si="599"/>
        <v>AVERAGE</v>
      </c>
      <c r="S7661" t="s">
        <v>605</v>
      </c>
    </row>
    <row r="7662" spans="1:19" x14ac:dyDescent="0.2">
      <c r="A7662" t="s">
        <v>8273</v>
      </c>
      <c r="B7662" t="s">
        <v>90</v>
      </c>
      <c r="C7662" t="s">
        <v>614</v>
      </c>
      <c r="D7662">
        <v>3297.3</v>
      </c>
      <c r="E7662" s="37" t="str">
        <f t="shared" si="595"/>
        <v xml:space="preserve"> </v>
      </c>
      <c r="F7662">
        <v>0.23</v>
      </c>
      <c r="G7662" s="37" t="str">
        <f t="shared" si="596"/>
        <v>Normal Discount</v>
      </c>
      <c r="H7662" s="37" t="str">
        <f t="shared" si="597"/>
        <v>Medium</v>
      </c>
      <c r="I7662">
        <v>2</v>
      </c>
      <c r="J7662" t="str" cm="1">
        <f t="array" ref="J7662">_xlfn.IFS(I7662&lt;=3,"small",I7662&lt;=6,"Medium",I7662&lt;=9,"Large")</f>
        <v>small</v>
      </c>
      <c r="K7662" s="36">
        <v>45428</v>
      </c>
      <c r="L7662" s="36">
        <v>45430</v>
      </c>
      <c r="M7662" t="s">
        <v>598</v>
      </c>
      <c r="N7662" t="s">
        <v>608</v>
      </c>
      <c r="O7662" s="37" t="str">
        <f t="shared" si="598"/>
        <v>Cash Payment</v>
      </c>
      <c r="P7662">
        <v>769.25</v>
      </c>
      <c r="Q7662" s="37" t="str">
        <f>IF(P7662&gt;500,"High","low")</f>
        <v>High</v>
      </c>
      <c r="R7662" s="37" t="str">
        <f t="shared" si="599"/>
        <v>Good</v>
      </c>
      <c r="S7662" t="s">
        <v>628</v>
      </c>
    </row>
    <row r="7663" spans="1:19" x14ac:dyDescent="0.2">
      <c r="A7663" t="s">
        <v>8274</v>
      </c>
      <c r="B7663" t="s">
        <v>67</v>
      </c>
      <c r="C7663" t="s">
        <v>597</v>
      </c>
      <c r="D7663">
        <v>308.02999999999997</v>
      </c>
      <c r="E7663" s="37" t="str">
        <f t="shared" si="595"/>
        <v xml:space="preserve"> </v>
      </c>
      <c r="F7663">
        <v>0.08</v>
      </c>
      <c r="G7663" s="37" t="str">
        <f t="shared" si="596"/>
        <v>Normal Discount</v>
      </c>
      <c r="H7663" s="37" t="str">
        <f t="shared" si="597"/>
        <v>Low</v>
      </c>
      <c r="I7663">
        <v>3</v>
      </c>
      <c r="J7663" t="str" cm="1">
        <f t="array" ref="J7663">_xlfn.IFS(I7663&lt;=3,"small",I7663&lt;=6,"Medium",I7663&lt;=9,"Large")</f>
        <v>small</v>
      </c>
      <c r="K7663" s="36">
        <v>45542</v>
      </c>
      <c r="L7663" s="36">
        <v>45545</v>
      </c>
      <c r="M7663" t="s">
        <v>612</v>
      </c>
      <c r="N7663" t="s">
        <v>599</v>
      </c>
      <c r="O7663" s="37" t="str">
        <f t="shared" si="598"/>
        <v>Digital Payment</v>
      </c>
      <c r="P7663">
        <v>74.16</v>
      </c>
      <c r="Q7663" s="37" t="str">
        <f>IF(P7663&gt;500,"High","low")</f>
        <v>low</v>
      </c>
      <c r="R7663" s="37" t="str">
        <f t="shared" si="599"/>
        <v>AVERAGE</v>
      </c>
      <c r="S7663" t="s">
        <v>628</v>
      </c>
    </row>
    <row r="7664" spans="1:19" x14ac:dyDescent="0.2">
      <c r="A7664" t="s">
        <v>8275</v>
      </c>
      <c r="B7664" t="s">
        <v>75</v>
      </c>
      <c r="C7664" t="s">
        <v>602</v>
      </c>
      <c r="D7664">
        <v>1549.13</v>
      </c>
      <c r="E7664" s="37" t="str">
        <f t="shared" si="595"/>
        <v xml:space="preserve"> </v>
      </c>
      <c r="F7664">
        <v>0.08</v>
      </c>
      <c r="G7664" s="37" t="str">
        <f t="shared" si="596"/>
        <v>Normal Discount</v>
      </c>
      <c r="H7664" s="37" t="str">
        <f t="shared" si="597"/>
        <v>Low</v>
      </c>
      <c r="I7664">
        <v>2</v>
      </c>
      <c r="J7664" t="str" cm="1">
        <f t="array" ref="J7664">_xlfn.IFS(I7664&lt;=3,"small",I7664&lt;=6,"Medium",I7664&lt;=9,"Large")</f>
        <v>small</v>
      </c>
      <c r="K7664" s="36">
        <v>44966</v>
      </c>
      <c r="L7664" s="36">
        <v>44968</v>
      </c>
      <c r="M7664" t="s">
        <v>612</v>
      </c>
      <c r="N7664" t="s">
        <v>599</v>
      </c>
      <c r="O7664" s="37" t="str">
        <f t="shared" si="598"/>
        <v>Digital Payment</v>
      </c>
      <c r="P7664">
        <v>366.21</v>
      </c>
      <c r="Q7664" s="37" t="str">
        <f>IF(P7664&gt;500,"High","low")</f>
        <v>low</v>
      </c>
      <c r="R7664" s="37" t="str">
        <f t="shared" si="599"/>
        <v>AVERAGE</v>
      </c>
      <c r="S7664" t="s">
        <v>605</v>
      </c>
    </row>
    <row r="7665" spans="1:19" x14ac:dyDescent="0.2">
      <c r="A7665" t="s">
        <v>8276</v>
      </c>
      <c r="B7665" t="s">
        <v>90</v>
      </c>
      <c r="C7665" t="s">
        <v>607</v>
      </c>
      <c r="D7665">
        <v>1247.32</v>
      </c>
      <c r="E7665" s="37" t="str">
        <f t="shared" si="595"/>
        <v xml:space="preserve"> </v>
      </c>
      <c r="F7665">
        <v>0.32</v>
      </c>
      <c r="G7665" s="37" t="str">
        <f t="shared" si="596"/>
        <v>Heavy Discount</v>
      </c>
      <c r="H7665" s="37" t="str">
        <f t="shared" si="597"/>
        <v>Medium</v>
      </c>
      <c r="I7665">
        <v>5</v>
      </c>
      <c r="J7665" t="str" cm="1">
        <f t="array" ref="J7665">_xlfn.IFS(I7665&lt;=3,"small",I7665&lt;=6,"Medium",I7665&lt;=9,"Large")</f>
        <v>Medium</v>
      </c>
      <c r="K7665" s="36">
        <v>45326</v>
      </c>
      <c r="L7665" s="36">
        <v>45330</v>
      </c>
      <c r="M7665" t="s">
        <v>603</v>
      </c>
      <c r="N7665" t="s">
        <v>608</v>
      </c>
      <c r="O7665" s="37" t="str">
        <f t="shared" si="598"/>
        <v>Cash Payment</v>
      </c>
      <c r="P7665">
        <v>75.92</v>
      </c>
      <c r="Q7665" s="37" t="str">
        <f>IF(P7665&gt;500,"High","low")</f>
        <v>low</v>
      </c>
      <c r="R7665" s="37" t="str">
        <f t="shared" si="599"/>
        <v>AVERAGE</v>
      </c>
      <c r="S7665" t="s">
        <v>620</v>
      </c>
    </row>
    <row r="7666" spans="1:19" x14ac:dyDescent="0.2">
      <c r="A7666" t="s">
        <v>8277</v>
      </c>
      <c r="B7666" t="s">
        <v>83</v>
      </c>
      <c r="C7666" t="s">
        <v>597</v>
      </c>
      <c r="D7666">
        <v>1456.71</v>
      </c>
      <c r="E7666" s="37" t="str">
        <f t="shared" si="595"/>
        <v xml:space="preserve"> </v>
      </c>
      <c r="F7666">
        <v>0.41</v>
      </c>
      <c r="G7666" s="37" t="str">
        <f t="shared" si="596"/>
        <v>Heavy Discount</v>
      </c>
      <c r="H7666" s="37" t="str">
        <f t="shared" si="597"/>
        <v>High</v>
      </c>
      <c r="I7666">
        <v>1</v>
      </c>
      <c r="J7666" t="str" cm="1">
        <f t="array" ref="J7666">_xlfn.IFS(I7666&lt;=3,"small",I7666&lt;=6,"Medium",I7666&lt;=9,"Large")</f>
        <v>small</v>
      </c>
      <c r="K7666" s="36">
        <v>45542</v>
      </c>
      <c r="L7666" s="36">
        <v>45546</v>
      </c>
      <c r="M7666" t="s">
        <v>603</v>
      </c>
      <c r="N7666" t="s">
        <v>604</v>
      </c>
      <c r="O7666" s="37" t="str">
        <f t="shared" si="598"/>
        <v>Digital Payment</v>
      </c>
      <c r="P7666">
        <v>108.63</v>
      </c>
      <c r="Q7666" s="37" t="str">
        <f>IF(P7666&gt;500,"High","low")</f>
        <v>low</v>
      </c>
      <c r="R7666" s="37" t="str">
        <f t="shared" si="599"/>
        <v>AVERAGE</v>
      </c>
      <c r="S7666" t="s">
        <v>620</v>
      </c>
    </row>
    <row r="7667" spans="1:19" x14ac:dyDescent="0.2">
      <c r="A7667" t="s">
        <v>8278</v>
      </c>
      <c r="B7667" t="s">
        <v>75</v>
      </c>
      <c r="C7667" t="s">
        <v>597</v>
      </c>
      <c r="D7667">
        <v>1034.52</v>
      </c>
      <c r="E7667" s="37" t="str">
        <f t="shared" si="595"/>
        <v xml:space="preserve"> </v>
      </c>
      <c r="F7667">
        <v>0.33</v>
      </c>
      <c r="G7667" s="37" t="str">
        <f t="shared" si="596"/>
        <v>Heavy Discount</v>
      </c>
      <c r="H7667" s="37" t="str">
        <f t="shared" si="597"/>
        <v>Medium</v>
      </c>
      <c r="I7667">
        <v>2</v>
      </c>
      <c r="J7667" t="str" cm="1">
        <f t="array" ref="J7667">_xlfn.IFS(I7667&lt;=3,"small",I7667&lt;=6,"Medium",I7667&lt;=9,"Large")</f>
        <v>small</v>
      </c>
      <c r="K7667" s="36">
        <v>45286</v>
      </c>
      <c r="L7667" s="36">
        <v>45293</v>
      </c>
      <c r="M7667" t="s">
        <v>598</v>
      </c>
      <c r="N7667" t="s">
        <v>604</v>
      </c>
      <c r="O7667" s="37" t="str">
        <f t="shared" si="598"/>
        <v>Digital Payment</v>
      </c>
      <c r="P7667">
        <v>243.78</v>
      </c>
      <c r="Q7667" s="37" t="str">
        <f>IF(P7667&gt;500,"High","low")</f>
        <v>low</v>
      </c>
      <c r="R7667" s="37" t="str">
        <f t="shared" si="599"/>
        <v>AVERAGE</v>
      </c>
      <c r="S7667" t="s">
        <v>615</v>
      </c>
    </row>
    <row r="7668" spans="1:19" x14ac:dyDescent="0.2">
      <c r="A7668" t="s">
        <v>8279</v>
      </c>
      <c r="B7668" t="s">
        <v>90</v>
      </c>
      <c r="C7668" t="s">
        <v>597</v>
      </c>
      <c r="D7668">
        <v>3127.79</v>
      </c>
      <c r="E7668" s="37" t="str">
        <f t="shared" si="595"/>
        <v xml:space="preserve"> </v>
      </c>
      <c r="F7668">
        <v>0.05</v>
      </c>
      <c r="G7668" s="37" t="str">
        <f t="shared" si="596"/>
        <v>Normal Discount</v>
      </c>
      <c r="H7668" s="37" t="str">
        <f t="shared" si="597"/>
        <v>Low</v>
      </c>
      <c r="I7668">
        <v>6</v>
      </c>
      <c r="J7668" t="str" cm="1">
        <f t="array" ref="J7668">_xlfn.IFS(I7668&lt;=3,"small",I7668&lt;=6,"Medium",I7668&lt;=9,"Large")</f>
        <v>Medium</v>
      </c>
      <c r="K7668" s="36">
        <v>45636</v>
      </c>
      <c r="L7668" s="36">
        <v>45642</v>
      </c>
      <c r="M7668" t="s">
        <v>612</v>
      </c>
      <c r="N7668" t="s">
        <v>608</v>
      </c>
      <c r="O7668" s="37" t="str">
        <f t="shared" si="598"/>
        <v>Cash Payment</v>
      </c>
      <c r="P7668">
        <v>646.54999999999995</v>
      </c>
      <c r="Q7668" s="37" t="str">
        <f>IF(P7668&gt;500,"High","low")</f>
        <v>High</v>
      </c>
      <c r="R7668" s="37" t="str">
        <f t="shared" si="599"/>
        <v>Good</v>
      </c>
      <c r="S7668" t="s">
        <v>615</v>
      </c>
    </row>
    <row r="7669" spans="1:19" x14ac:dyDescent="0.2">
      <c r="A7669" t="s">
        <v>8280</v>
      </c>
      <c r="B7669" t="s">
        <v>75</v>
      </c>
      <c r="C7669" t="s">
        <v>617</v>
      </c>
      <c r="D7669">
        <v>3347.1</v>
      </c>
      <c r="E7669" s="37" t="str">
        <f t="shared" si="595"/>
        <v xml:space="preserve"> </v>
      </c>
      <c r="F7669">
        <v>0.45</v>
      </c>
      <c r="G7669" s="37" t="str">
        <f t="shared" si="596"/>
        <v>Heavy Discount</v>
      </c>
      <c r="H7669" s="37" t="str">
        <f t="shared" si="597"/>
        <v>High</v>
      </c>
      <c r="I7669">
        <v>6</v>
      </c>
      <c r="J7669" t="str" cm="1">
        <f t="array" ref="J7669">_xlfn.IFS(I7669&lt;=3,"small",I7669&lt;=6,"Medium",I7669&lt;=9,"Large")</f>
        <v>Medium</v>
      </c>
      <c r="K7669" s="36">
        <v>45166</v>
      </c>
      <c r="L7669" s="36">
        <v>45172</v>
      </c>
      <c r="M7669" t="s">
        <v>603</v>
      </c>
      <c r="N7669" t="s">
        <v>608</v>
      </c>
      <c r="O7669" s="37" t="str">
        <f t="shared" si="598"/>
        <v>Cash Payment</v>
      </c>
      <c r="P7669">
        <v>471.98</v>
      </c>
      <c r="Q7669" s="37" t="str">
        <f>IF(P7669&gt;500,"High","low")</f>
        <v>low</v>
      </c>
      <c r="R7669" s="37" t="str">
        <f t="shared" si="599"/>
        <v>AVERAGE</v>
      </c>
      <c r="S7669" t="s">
        <v>609</v>
      </c>
    </row>
    <row r="7670" spans="1:19" x14ac:dyDescent="0.2">
      <c r="A7670" t="s">
        <v>8281</v>
      </c>
      <c r="B7670" t="s">
        <v>75</v>
      </c>
      <c r="C7670" t="s">
        <v>617</v>
      </c>
      <c r="D7670">
        <v>827.48</v>
      </c>
      <c r="E7670" s="37" t="str">
        <f t="shared" si="595"/>
        <v xml:space="preserve"> </v>
      </c>
      <c r="F7670">
        <v>0.46</v>
      </c>
      <c r="G7670" s="37" t="str">
        <f t="shared" si="596"/>
        <v>Heavy Discount</v>
      </c>
      <c r="H7670" s="37" t="str">
        <f t="shared" si="597"/>
        <v>High</v>
      </c>
      <c r="I7670">
        <v>8</v>
      </c>
      <c r="J7670" t="str" cm="1">
        <f t="array" ref="J7670">_xlfn.IFS(I7670&lt;=3,"small",I7670&lt;=6,"Medium",I7670&lt;=9,"Large")</f>
        <v>Large</v>
      </c>
      <c r="K7670" s="36">
        <v>45323</v>
      </c>
      <c r="L7670" s="36">
        <v>45325</v>
      </c>
      <c r="M7670" t="s">
        <v>598</v>
      </c>
      <c r="N7670" t="s">
        <v>599</v>
      </c>
      <c r="O7670" s="37" t="str">
        <f t="shared" si="598"/>
        <v>Digital Payment</v>
      </c>
      <c r="P7670">
        <v>156.05000000000001</v>
      </c>
      <c r="Q7670" s="37" t="str">
        <f>IF(P7670&gt;500,"High","low")</f>
        <v>low</v>
      </c>
      <c r="R7670" s="37" t="str">
        <f t="shared" si="599"/>
        <v>AVERAGE</v>
      </c>
      <c r="S7670" t="s">
        <v>620</v>
      </c>
    </row>
    <row r="7671" spans="1:19" x14ac:dyDescent="0.2">
      <c r="A7671" t="s">
        <v>8282</v>
      </c>
      <c r="B7671" t="s">
        <v>90</v>
      </c>
      <c r="C7671" t="s">
        <v>602</v>
      </c>
      <c r="D7671">
        <v>3731.62</v>
      </c>
      <c r="E7671" s="37" t="str">
        <f t="shared" si="595"/>
        <v xml:space="preserve"> </v>
      </c>
      <c r="F7671">
        <v>0.14000000000000001</v>
      </c>
      <c r="G7671" s="37" t="str">
        <f t="shared" si="596"/>
        <v>Normal Discount</v>
      </c>
      <c r="H7671" s="37" t="str">
        <f t="shared" si="597"/>
        <v>Low</v>
      </c>
      <c r="I7671">
        <v>9</v>
      </c>
      <c r="J7671" t="str" cm="1">
        <f t="array" ref="J7671">_xlfn.IFS(I7671&lt;=3,"small",I7671&lt;=6,"Medium",I7671&lt;=9,"Large")</f>
        <v>Large</v>
      </c>
      <c r="K7671" s="36">
        <v>45406</v>
      </c>
      <c r="L7671" s="36">
        <v>45409</v>
      </c>
      <c r="M7671" t="s">
        <v>603</v>
      </c>
      <c r="N7671" t="s">
        <v>604</v>
      </c>
      <c r="O7671" s="37" t="str">
        <f t="shared" si="598"/>
        <v>Digital Payment</v>
      </c>
      <c r="P7671">
        <v>189.97</v>
      </c>
      <c r="Q7671" s="37" t="str">
        <f>IF(P7671&gt;500,"High","low")</f>
        <v>low</v>
      </c>
      <c r="R7671" s="37" t="str">
        <f t="shared" si="599"/>
        <v>AVERAGE</v>
      </c>
      <c r="S7671" t="s">
        <v>615</v>
      </c>
    </row>
    <row r="7672" spans="1:19" x14ac:dyDescent="0.2">
      <c r="A7672" t="s">
        <v>8283</v>
      </c>
      <c r="B7672" t="s">
        <v>75</v>
      </c>
      <c r="C7672" t="s">
        <v>597</v>
      </c>
      <c r="D7672">
        <v>1325.22</v>
      </c>
      <c r="E7672" s="37" t="str">
        <f t="shared" si="595"/>
        <v xml:space="preserve"> </v>
      </c>
      <c r="F7672">
        <v>0.28000000000000003</v>
      </c>
      <c r="G7672" s="37" t="str">
        <f t="shared" si="596"/>
        <v>Normal Discount</v>
      </c>
      <c r="H7672" s="37" t="str">
        <f t="shared" si="597"/>
        <v>Medium</v>
      </c>
      <c r="I7672">
        <v>9</v>
      </c>
      <c r="J7672" t="str" cm="1">
        <f t="array" ref="J7672">_xlfn.IFS(I7672&lt;=3,"small",I7672&lt;=6,"Medium",I7672&lt;=9,"Large")</f>
        <v>Large</v>
      </c>
      <c r="K7672" s="36">
        <v>45488</v>
      </c>
      <c r="L7672" s="36">
        <v>45492</v>
      </c>
      <c r="M7672" t="s">
        <v>598</v>
      </c>
      <c r="N7672" t="s">
        <v>599</v>
      </c>
      <c r="O7672" s="37" t="str">
        <f t="shared" si="598"/>
        <v>Digital Payment</v>
      </c>
      <c r="P7672">
        <v>209.11</v>
      </c>
      <c r="Q7672" s="37" t="str">
        <f>IF(P7672&gt;500,"High","low")</f>
        <v>low</v>
      </c>
      <c r="R7672" s="37" t="str">
        <f t="shared" si="599"/>
        <v>AVERAGE</v>
      </c>
      <c r="S7672" t="s">
        <v>620</v>
      </c>
    </row>
    <row r="7673" spans="1:19" x14ac:dyDescent="0.2">
      <c r="A7673" t="s">
        <v>8284</v>
      </c>
      <c r="B7673" t="s">
        <v>67</v>
      </c>
      <c r="C7673" t="s">
        <v>617</v>
      </c>
      <c r="D7673">
        <v>1486.32</v>
      </c>
      <c r="E7673" s="37" t="str">
        <f t="shared" si="595"/>
        <v xml:space="preserve"> </v>
      </c>
      <c r="F7673">
        <v>0.24</v>
      </c>
      <c r="G7673" s="37" t="str">
        <f t="shared" si="596"/>
        <v>Normal Discount</v>
      </c>
      <c r="H7673" s="37" t="str">
        <f t="shared" si="597"/>
        <v>Medium</v>
      </c>
      <c r="I7673">
        <v>7</v>
      </c>
      <c r="J7673" t="str" cm="1">
        <f t="array" ref="J7673">_xlfn.IFS(I7673&lt;=3,"small",I7673&lt;=6,"Medium",I7673&lt;=9,"Large")</f>
        <v>Large</v>
      </c>
      <c r="K7673" s="36">
        <v>45083</v>
      </c>
      <c r="L7673" s="36">
        <v>45089</v>
      </c>
      <c r="M7673" t="s">
        <v>598</v>
      </c>
      <c r="N7673" t="s">
        <v>608</v>
      </c>
      <c r="O7673" s="37" t="str">
        <f t="shared" si="598"/>
        <v>Cash Payment</v>
      </c>
      <c r="P7673">
        <v>136.38</v>
      </c>
      <c r="Q7673" s="37" t="str">
        <f>IF(P7673&gt;500,"High","low")</f>
        <v>low</v>
      </c>
      <c r="R7673" s="37" t="str">
        <f t="shared" si="599"/>
        <v>AVERAGE</v>
      </c>
      <c r="S7673" t="s">
        <v>609</v>
      </c>
    </row>
    <row r="7674" spans="1:19" x14ac:dyDescent="0.2">
      <c r="A7674" t="s">
        <v>8285</v>
      </c>
      <c r="B7674" t="s">
        <v>90</v>
      </c>
      <c r="C7674" t="s">
        <v>617</v>
      </c>
      <c r="D7674">
        <v>4161.16</v>
      </c>
      <c r="E7674" s="37" t="str">
        <f t="shared" si="595"/>
        <v>Excellent Order</v>
      </c>
      <c r="F7674">
        <v>0.33</v>
      </c>
      <c r="G7674" s="37" t="str">
        <f t="shared" si="596"/>
        <v>Heavy Discount</v>
      </c>
      <c r="H7674" s="37" t="str">
        <f t="shared" si="597"/>
        <v>Medium</v>
      </c>
      <c r="I7674">
        <v>1</v>
      </c>
      <c r="J7674" t="str" cm="1">
        <f t="array" ref="J7674">_xlfn.IFS(I7674&lt;=3,"small",I7674&lt;=6,"Medium",I7674&lt;=9,"Large")</f>
        <v>small</v>
      </c>
      <c r="K7674" s="36">
        <v>45573</v>
      </c>
      <c r="L7674" s="36">
        <v>45580</v>
      </c>
      <c r="M7674" t="s">
        <v>603</v>
      </c>
      <c r="N7674" t="s">
        <v>599</v>
      </c>
      <c r="O7674" s="37" t="str">
        <f t="shared" si="598"/>
        <v>Digital Payment</v>
      </c>
      <c r="P7674">
        <v>1212.96</v>
      </c>
      <c r="Q7674" s="37" t="str">
        <f>IF(P7674&gt;500,"High","low")</f>
        <v>High</v>
      </c>
      <c r="R7674" s="37" t="str">
        <f t="shared" si="599"/>
        <v>Excellent</v>
      </c>
      <c r="S7674" t="s">
        <v>609</v>
      </c>
    </row>
    <row r="7675" spans="1:19" x14ac:dyDescent="0.2">
      <c r="A7675" t="s">
        <v>8286</v>
      </c>
      <c r="B7675" t="s">
        <v>67</v>
      </c>
      <c r="C7675" t="s">
        <v>617</v>
      </c>
      <c r="D7675">
        <v>4515.71</v>
      </c>
      <c r="E7675" s="37" t="str">
        <f t="shared" si="595"/>
        <v xml:space="preserve"> </v>
      </c>
      <c r="F7675">
        <v>0.49</v>
      </c>
      <c r="G7675" s="37" t="str">
        <f t="shared" si="596"/>
        <v>Heavy Discount</v>
      </c>
      <c r="H7675" s="37" t="str">
        <f t="shared" si="597"/>
        <v>High</v>
      </c>
      <c r="I7675">
        <v>4</v>
      </c>
      <c r="J7675" t="str" cm="1">
        <f t="array" ref="J7675">_xlfn.IFS(I7675&lt;=3,"small",I7675&lt;=6,"Medium",I7675&lt;=9,"Large")</f>
        <v>Medium</v>
      </c>
      <c r="K7675" s="36">
        <v>45151</v>
      </c>
      <c r="L7675" s="36">
        <v>45154</v>
      </c>
      <c r="M7675" t="s">
        <v>598</v>
      </c>
      <c r="N7675" t="s">
        <v>608</v>
      </c>
      <c r="O7675" s="37" t="str">
        <f t="shared" si="598"/>
        <v>Cash Payment</v>
      </c>
      <c r="P7675">
        <v>583.58000000000004</v>
      </c>
      <c r="Q7675" s="37" t="str">
        <f>IF(P7675&gt;500,"High","low")</f>
        <v>High</v>
      </c>
      <c r="R7675" s="37" t="str">
        <f t="shared" si="599"/>
        <v>Good</v>
      </c>
      <c r="S7675" t="s">
        <v>605</v>
      </c>
    </row>
    <row r="7676" spans="1:19" x14ac:dyDescent="0.2">
      <c r="A7676" t="s">
        <v>8287</v>
      </c>
      <c r="B7676" t="s">
        <v>83</v>
      </c>
      <c r="C7676" t="s">
        <v>602</v>
      </c>
      <c r="D7676">
        <v>4141.3100000000004</v>
      </c>
      <c r="E7676" s="37" t="str">
        <f t="shared" si="595"/>
        <v>Excellent Order</v>
      </c>
      <c r="F7676">
        <v>0.49</v>
      </c>
      <c r="G7676" s="37" t="str">
        <f t="shared" si="596"/>
        <v>Heavy Discount</v>
      </c>
      <c r="H7676" s="37" t="str">
        <f t="shared" si="597"/>
        <v>High</v>
      </c>
      <c r="I7676">
        <v>7</v>
      </c>
      <c r="J7676" t="str" cm="1">
        <f t="array" ref="J7676">_xlfn.IFS(I7676&lt;=3,"small",I7676&lt;=6,"Medium",I7676&lt;=9,"Large")</f>
        <v>Large</v>
      </c>
      <c r="K7676" s="36">
        <v>45094</v>
      </c>
      <c r="L7676" s="36">
        <v>45099</v>
      </c>
      <c r="M7676" t="s">
        <v>603</v>
      </c>
      <c r="N7676" t="s">
        <v>608</v>
      </c>
      <c r="O7676" s="37" t="str">
        <f t="shared" si="598"/>
        <v>Cash Payment</v>
      </c>
      <c r="P7676">
        <v>1032.27</v>
      </c>
      <c r="Q7676" s="37" t="str">
        <f>IF(P7676&gt;500,"High","low")</f>
        <v>High</v>
      </c>
      <c r="R7676" s="37" t="str">
        <f t="shared" si="599"/>
        <v>Excellent</v>
      </c>
      <c r="S7676" t="s">
        <v>609</v>
      </c>
    </row>
    <row r="7677" spans="1:19" x14ac:dyDescent="0.2">
      <c r="A7677" t="s">
        <v>8288</v>
      </c>
      <c r="B7677" t="s">
        <v>75</v>
      </c>
      <c r="C7677" t="s">
        <v>602</v>
      </c>
      <c r="D7677">
        <v>824.04</v>
      </c>
      <c r="E7677" s="37" t="str">
        <f t="shared" si="595"/>
        <v xml:space="preserve"> </v>
      </c>
      <c r="F7677">
        <v>0.25</v>
      </c>
      <c r="G7677" s="37" t="str">
        <f t="shared" si="596"/>
        <v>Normal Discount</v>
      </c>
      <c r="H7677" s="37" t="str">
        <f t="shared" si="597"/>
        <v>Medium</v>
      </c>
      <c r="I7677">
        <v>2</v>
      </c>
      <c r="J7677" t="str" cm="1">
        <f t="array" ref="J7677">_xlfn.IFS(I7677&lt;=3,"small",I7677&lt;=6,"Medium",I7677&lt;=9,"Large")</f>
        <v>small</v>
      </c>
      <c r="K7677" s="36">
        <v>45442</v>
      </c>
      <c r="L7677" s="36">
        <v>45444</v>
      </c>
      <c r="M7677" t="s">
        <v>603</v>
      </c>
      <c r="N7677" t="s">
        <v>608</v>
      </c>
      <c r="O7677" s="37" t="str">
        <f t="shared" si="598"/>
        <v>Cash Payment</v>
      </c>
      <c r="P7677">
        <v>67.400000000000006</v>
      </c>
      <c r="Q7677" s="37" t="str">
        <f>IF(P7677&gt;500,"High","low")</f>
        <v>low</v>
      </c>
      <c r="R7677" s="37" t="str">
        <f t="shared" si="599"/>
        <v>AVERAGE</v>
      </c>
      <c r="S7677" t="s">
        <v>605</v>
      </c>
    </row>
    <row r="7678" spans="1:19" x14ac:dyDescent="0.2">
      <c r="A7678" t="s">
        <v>8289</v>
      </c>
      <c r="B7678" t="s">
        <v>83</v>
      </c>
      <c r="C7678" t="s">
        <v>597</v>
      </c>
      <c r="D7678">
        <v>4996.41</v>
      </c>
      <c r="E7678" s="37" t="str">
        <f t="shared" si="595"/>
        <v xml:space="preserve"> </v>
      </c>
      <c r="F7678">
        <v>0.05</v>
      </c>
      <c r="G7678" s="37" t="str">
        <f t="shared" si="596"/>
        <v>Normal Discount</v>
      </c>
      <c r="H7678" s="37" t="str">
        <f t="shared" si="597"/>
        <v>Low</v>
      </c>
      <c r="I7678">
        <v>9</v>
      </c>
      <c r="J7678" t="str" cm="1">
        <f t="array" ref="J7678">_xlfn.IFS(I7678&lt;=3,"small",I7678&lt;=6,"Medium",I7678&lt;=9,"Large")</f>
        <v>Large</v>
      </c>
      <c r="K7678" s="36">
        <v>45445</v>
      </c>
      <c r="L7678" s="36">
        <v>45450</v>
      </c>
      <c r="M7678" t="s">
        <v>603</v>
      </c>
      <c r="N7678" t="s">
        <v>608</v>
      </c>
      <c r="O7678" s="37" t="str">
        <f t="shared" si="598"/>
        <v>Cash Payment</v>
      </c>
      <c r="P7678">
        <v>474.78</v>
      </c>
      <c r="Q7678" s="37" t="str">
        <f>IF(P7678&gt;500,"High","low")</f>
        <v>low</v>
      </c>
      <c r="R7678" s="37" t="str">
        <f t="shared" si="599"/>
        <v>AVERAGE</v>
      </c>
      <c r="S7678" t="s">
        <v>620</v>
      </c>
    </row>
    <row r="7679" spans="1:19" x14ac:dyDescent="0.2">
      <c r="A7679" t="s">
        <v>8290</v>
      </c>
      <c r="B7679" t="s">
        <v>83</v>
      </c>
      <c r="C7679" t="s">
        <v>607</v>
      </c>
      <c r="D7679">
        <v>3393.56</v>
      </c>
      <c r="E7679" s="37" t="str">
        <f t="shared" si="595"/>
        <v xml:space="preserve"> </v>
      </c>
      <c r="F7679">
        <v>0.17</v>
      </c>
      <c r="G7679" s="37" t="str">
        <f t="shared" si="596"/>
        <v>Normal Discount</v>
      </c>
      <c r="H7679" s="37" t="str">
        <f t="shared" si="597"/>
        <v>Low</v>
      </c>
      <c r="I7679">
        <v>1</v>
      </c>
      <c r="J7679" t="str" cm="1">
        <f t="array" ref="J7679">_xlfn.IFS(I7679&lt;=3,"small",I7679&lt;=6,"Medium",I7679&lt;=9,"Large")</f>
        <v>small</v>
      </c>
      <c r="K7679" s="36">
        <v>45475</v>
      </c>
      <c r="L7679" s="36">
        <v>45480</v>
      </c>
      <c r="M7679" t="s">
        <v>598</v>
      </c>
      <c r="N7679" t="s">
        <v>599</v>
      </c>
      <c r="O7679" s="37" t="str">
        <f t="shared" si="598"/>
        <v>Digital Payment</v>
      </c>
      <c r="P7679">
        <v>761.9</v>
      </c>
      <c r="Q7679" s="37" t="str">
        <f>IF(P7679&gt;500,"High","low")</f>
        <v>High</v>
      </c>
      <c r="R7679" s="37" t="str">
        <f t="shared" si="599"/>
        <v>Good</v>
      </c>
      <c r="S7679" t="s">
        <v>615</v>
      </c>
    </row>
    <row r="7680" spans="1:19" x14ac:dyDescent="0.2">
      <c r="A7680" t="s">
        <v>8291</v>
      </c>
      <c r="B7680" t="s">
        <v>75</v>
      </c>
      <c r="C7680" t="s">
        <v>597</v>
      </c>
      <c r="D7680">
        <v>2602.2800000000002</v>
      </c>
      <c r="E7680" s="37" t="str">
        <f t="shared" si="595"/>
        <v xml:space="preserve"> </v>
      </c>
      <c r="F7680">
        <v>0.21</v>
      </c>
      <c r="G7680" s="37" t="str">
        <f t="shared" si="596"/>
        <v>Normal Discount</v>
      </c>
      <c r="H7680" s="37" t="str">
        <f t="shared" si="597"/>
        <v>Medium</v>
      </c>
      <c r="I7680">
        <v>9</v>
      </c>
      <c r="J7680" t="str" cm="1">
        <f t="array" ref="J7680">_xlfn.IFS(I7680&lt;=3,"small",I7680&lt;=6,"Medium",I7680&lt;=9,"Large")</f>
        <v>Large</v>
      </c>
      <c r="K7680" s="36">
        <v>45551</v>
      </c>
      <c r="L7680" s="36">
        <v>45558</v>
      </c>
      <c r="M7680" t="s">
        <v>612</v>
      </c>
      <c r="N7680" t="s">
        <v>599</v>
      </c>
      <c r="O7680" s="37" t="str">
        <f t="shared" si="598"/>
        <v>Digital Payment</v>
      </c>
      <c r="P7680">
        <v>632.99</v>
      </c>
      <c r="Q7680" s="37" t="str">
        <f>IF(P7680&gt;500,"High","low")</f>
        <v>High</v>
      </c>
      <c r="R7680" s="37" t="str">
        <f t="shared" si="599"/>
        <v>Good</v>
      </c>
      <c r="S7680" t="s">
        <v>609</v>
      </c>
    </row>
    <row r="7681" spans="1:19" x14ac:dyDescent="0.2">
      <c r="A7681" t="s">
        <v>8292</v>
      </c>
      <c r="B7681" t="s">
        <v>90</v>
      </c>
      <c r="C7681" t="s">
        <v>617</v>
      </c>
      <c r="D7681">
        <v>4778.72</v>
      </c>
      <c r="E7681" s="37" t="str">
        <f t="shared" si="595"/>
        <v>Excellent Order</v>
      </c>
      <c r="F7681">
        <v>0.27</v>
      </c>
      <c r="G7681" s="37" t="str">
        <f t="shared" si="596"/>
        <v>Normal Discount</v>
      </c>
      <c r="H7681" s="37" t="str">
        <f t="shared" si="597"/>
        <v>Medium</v>
      </c>
      <c r="I7681">
        <v>7</v>
      </c>
      <c r="J7681" t="str" cm="1">
        <f t="array" ref="J7681">_xlfn.IFS(I7681&lt;=3,"small",I7681&lt;=6,"Medium",I7681&lt;=9,"Large")</f>
        <v>Large</v>
      </c>
      <c r="K7681" s="36">
        <v>45513</v>
      </c>
      <c r="L7681" s="36">
        <v>45515</v>
      </c>
      <c r="M7681" t="s">
        <v>612</v>
      </c>
      <c r="N7681" t="s">
        <v>599</v>
      </c>
      <c r="O7681" s="37" t="str">
        <f t="shared" si="598"/>
        <v>Digital Payment</v>
      </c>
      <c r="P7681">
        <v>1312.65</v>
      </c>
      <c r="Q7681" s="37" t="str">
        <f>IF(P7681&gt;500,"High","low")</f>
        <v>High</v>
      </c>
      <c r="R7681" s="37" t="str">
        <f t="shared" si="599"/>
        <v>Excellent</v>
      </c>
      <c r="S7681" t="s">
        <v>615</v>
      </c>
    </row>
    <row r="7682" spans="1:19" x14ac:dyDescent="0.2">
      <c r="A7682" t="s">
        <v>8293</v>
      </c>
      <c r="B7682" t="s">
        <v>75</v>
      </c>
      <c r="C7682" t="s">
        <v>617</v>
      </c>
      <c r="D7682">
        <v>4105.16</v>
      </c>
      <c r="E7682" s="37" t="str">
        <f t="shared" si="595"/>
        <v>Excellent Order</v>
      </c>
      <c r="F7682">
        <v>0.48</v>
      </c>
      <c r="G7682" s="37" t="str">
        <f t="shared" si="596"/>
        <v>Heavy Discount</v>
      </c>
      <c r="H7682" s="37" t="str">
        <f t="shared" si="597"/>
        <v>High</v>
      </c>
      <c r="I7682">
        <v>6</v>
      </c>
      <c r="J7682" t="str" cm="1">
        <f t="array" ref="J7682">_xlfn.IFS(I7682&lt;=3,"small",I7682&lt;=6,"Medium",I7682&lt;=9,"Large")</f>
        <v>Medium</v>
      </c>
      <c r="K7682" s="36">
        <v>45113</v>
      </c>
      <c r="L7682" s="36">
        <v>45118</v>
      </c>
      <c r="M7682" t="s">
        <v>603</v>
      </c>
      <c r="N7682" t="s">
        <v>599</v>
      </c>
      <c r="O7682" s="37" t="str">
        <f t="shared" si="598"/>
        <v>Digital Payment</v>
      </c>
      <c r="P7682">
        <v>917.92</v>
      </c>
      <c r="Q7682" s="37" t="str">
        <f>IF(P7682&gt;500,"High","low")</f>
        <v>High</v>
      </c>
      <c r="R7682" s="37" t="str">
        <f t="shared" si="599"/>
        <v>Good</v>
      </c>
      <c r="S7682" t="s">
        <v>605</v>
      </c>
    </row>
    <row r="7683" spans="1:19" x14ac:dyDescent="0.2">
      <c r="A7683" t="s">
        <v>8294</v>
      </c>
      <c r="B7683" t="s">
        <v>83</v>
      </c>
      <c r="C7683" t="s">
        <v>614</v>
      </c>
      <c r="D7683">
        <v>3489.54</v>
      </c>
      <c r="E7683" s="37" t="str">
        <f t="shared" ref="E7683:E7746" si="600">IF(AND(D7683&gt;4000,P7683&gt;800),"Excellent Order"," ")</f>
        <v xml:space="preserve"> </v>
      </c>
      <c r="F7683">
        <v>0.13</v>
      </c>
      <c r="G7683" s="37" t="str">
        <f t="shared" ref="G7683:G7746" si="601">IF(F7683&gt;30%,"Heavy Discount","Normal Discount")</f>
        <v>Normal Discount</v>
      </c>
      <c r="H7683" s="37" t="str">
        <f t="shared" ref="H7683:H7746" si="602">IF(F7683&gt;0.4,"High",IF(F7683&gt;=0.2,"Medium","Low"))</f>
        <v>Low</v>
      </c>
      <c r="I7683">
        <v>7</v>
      </c>
      <c r="J7683" t="str" cm="1">
        <f t="array" ref="J7683">_xlfn.IFS(I7683&lt;=3,"small",I7683&lt;=6,"Medium",I7683&lt;=9,"Large")</f>
        <v>Large</v>
      </c>
      <c r="K7683" s="36">
        <v>45488</v>
      </c>
      <c r="L7683" s="36">
        <v>45490</v>
      </c>
      <c r="M7683" t="s">
        <v>598</v>
      </c>
      <c r="N7683" t="s">
        <v>604</v>
      </c>
      <c r="O7683" s="37" t="str">
        <f t="shared" ref="O7683:O7746" si="603">IF(OR(N7683="Card",N7683="UPI"),"Digital Payment","Cash Payment")</f>
        <v>Digital Payment</v>
      </c>
      <c r="P7683">
        <v>791.76</v>
      </c>
      <c r="Q7683" s="37" t="str">
        <f>IF(P7683&gt;500,"High","low")</f>
        <v>High</v>
      </c>
      <c r="R7683" s="37" t="str">
        <f t="shared" ref="R7683:R7746" si="604">IF(P7683&gt;1000,"Excellent",IF(P7683&gt;=500,"Good","AVERAGE"))</f>
        <v>Good</v>
      </c>
      <c r="S7683" t="s">
        <v>605</v>
      </c>
    </row>
    <row r="7684" spans="1:19" x14ac:dyDescent="0.2">
      <c r="A7684" t="s">
        <v>8295</v>
      </c>
      <c r="B7684" t="s">
        <v>83</v>
      </c>
      <c r="C7684" t="s">
        <v>597</v>
      </c>
      <c r="D7684">
        <v>4208.1499999999996</v>
      </c>
      <c r="E7684" s="37" t="str">
        <f t="shared" si="600"/>
        <v xml:space="preserve"> </v>
      </c>
      <c r="F7684">
        <v>0.27</v>
      </c>
      <c r="G7684" s="37" t="str">
        <f t="shared" si="601"/>
        <v>Normal Discount</v>
      </c>
      <c r="H7684" s="37" t="str">
        <f t="shared" si="602"/>
        <v>Medium</v>
      </c>
      <c r="I7684">
        <v>2</v>
      </c>
      <c r="J7684" t="str" cm="1">
        <f t="array" ref="J7684">_xlfn.IFS(I7684&lt;=3,"small",I7684&lt;=6,"Medium",I7684&lt;=9,"Large")</f>
        <v>small</v>
      </c>
      <c r="K7684" s="36">
        <v>45083</v>
      </c>
      <c r="L7684" s="36">
        <v>45089</v>
      </c>
      <c r="M7684" t="s">
        <v>612</v>
      </c>
      <c r="N7684" t="s">
        <v>604</v>
      </c>
      <c r="O7684" s="37" t="str">
        <f t="shared" si="603"/>
        <v>Digital Payment</v>
      </c>
      <c r="P7684">
        <v>455.11</v>
      </c>
      <c r="Q7684" s="37" t="str">
        <f>IF(P7684&gt;500,"High","low")</f>
        <v>low</v>
      </c>
      <c r="R7684" s="37" t="str">
        <f t="shared" si="604"/>
        <v>AVERAGE</v>
      </c>
      <c r="S7684" t="s">
        <v>605</v>
      </c>
    </row>
    <row r="7685" spans="1:19" x14ac:dyDescent="0.2">
      <c r="A7685" t="s">
        <v>8296</v>
      </c>
      <c r="B7685" t="s">
        <v>90</v>
      </c>
      <c r="C7685" t="s">
        <v>617</v>
      </c>
      <c r="D7685">
        <v>1988.79</v>
      </c>
      <c r="E7685" s="37" t="str">
        <f t="shared" si="600"/>
        <v xml:space="preserve"> </v>
      </c>
      <c r="F7685">
        <v>0.15</v>
      </c>
      <c r="G7685" s="37" t="str">
        <f t="shared" si="601"/>
        <v>Normal Discount</v>
      </c>
      <c r="H7685" s="37" t="str">
        <f t="shared" si="602"/>
        <v>Low</v>
      </c>
      <c r="I7685">
        <v>2</v>
      </c>
      <c r="J7685" t="str" cm="1">
        <f t="array" ref="J7685">_xlfn.IFS(I7685&lt;=3,"small",I7685&lt;=6,"Medium",I7685&lt;=9,"Large")</f>
        <v>small</v>
      </c>
      <c r="K7685" s="36">
        <v>45365</v>
      </c>
      <c r="L7685" s="36">
        <v>45372</v>
      </c>
      <c r="M7685" t="s">
        <v>612</v>
      </c>
      <c r="N7685" t="s">
        <v>599</v>
      </c>
      <c r="O7685" s="37" t="str">
        <f t="shared" si="603"/>
        <v>Digital Payment</v>
      </c>
      <c r="P7685">
        <v>569.75</v>
      </c>
      <c r="Q7685" s="37" t="str">
        <f>IF(P7685&gt;500,"High","low")</f>
        <v>High</v>
      </c>
      <c r="R7685" s="37" t="str">
        <f t="shared" si="604"/>
        <v>Good</v>
      </c>
      <c r="S7685" t="s">
        <v>620</v>
      </c>
    </row>
    <row r="7686" spans="1:19" x14ac:dyDescent="0.2">
      <c r="A7686" t="s">
        <v>8297</v>
      </c>
      <c r="B7686" t="s">
        <v>75</v>
      </c>
      <c r="C7686" t="s">
        <v>617</v>
      </c>
      <c r="D7686">
        <v>3453.75</v>
      </c>
      <c r="E7686" s="37" t="str">
        <f t="shared" si="600"/>
        <v xml:space="preserve"> </v>
      </c>
      <c r="F7686">
        <v>0.46</v>
      </c>
      <c r="G7686" s="37" t="str">
        <f t="shared" si="601"/>
        <v>Heavy Discount</v>
      </c>
      <c r="H7686" s="37" t="str">
        <f t="shared" si="602"/>
        <v>High</v>
      </c>
      <c r="I7686">
        <v>3</v>
      </c>
      <c r="J7686" t="str" cm="1">
        <f t="array" ref="J7686">_xlfn.IFS(I7686&lt;=3,"small",I7686&lt;=6,"Medium",I7686&lt;=9,"Large")</f>
        <v>small</v>
      </c>
      <c r="K7686" s="36">
        <v>45527</v>
      </c>
      <c r="L7686" s="36">
        <v>45530</v>
      </c>
      <c r="M7686" t="s">
        <v>612</v>
      </c>
      <c r="N7686" t="s">
        <v>599</v>
      </c>
      <c r="O7686" s="37" t="str">
        <f t="shared" si="603"/>
        <v>Digital Payment</v>
      </c>
      <c r="P7686">
        <v>788.11</v>
      </c>
      <c r="Q7686" s="37" t="str">
        <f>IF(P7686&gt;500,"High","low")</f>
        <v>High</v>
      </c>
      <c r="R7686" s="37" t="str">
        <f t="shared" si="604"/>
        <v>Good</v>
      </c>
      <c r="S7686" t="s">
        <v>600</v>
      </c>
    </row>
    <row r="7687" spans="1:19" x14ac:dyDescent="0.2">
      <c r="A7687" t="s">
        <v>8298</v>
      </c>
      <c r="B7687" t="s">
        <v>83</v>
      </c>
      <c r="C7687" t="s">
        <v>607</v>
      </c>
      <c r="D7687">
        <v>1033.8399999999999</v>
      </c>
      <c r="E7687" s="37" t="str">
        <f t="shared" si="600"/>
        <v xml:space="preserve"> </v>
      </c>
      <c r="F7687">
        <v>0.49</v>
      </c>
      <c r="G7687" s="37" t="str">
        <f t="shared" si="601"/>
        <v>Heavy Discount</v>
      </c>
      <c r="H7687" s="37" t="str">
        <f t="shared" si="602"/>
        <v>High</v>
      </c>
      <c r="I7687">
        <v>6</v>
      </c>
      <c r="J7687" t="str" cm="1">
        <f t="array" ref="J7687">_xlfn.IFS(I7687&lt;=3,"small",I7687&lt;=6,"Medium",I7687&lt;=9,"Large")</f>
        <v>Medium</v>
      </c>
      <c r="K7687" s="36">
        <v>45121</v>
      </c>
      <c r="L7687" s="36">
        <v>45126</v>
      </c>
      <c r="M7687" t="s">
        <v>598</v>
      </c>
      <c r="N7687" t="s">
        <v>608</v>
      </c>
      <c r="O7687" s="37" t="str">
        <f t="shared" si="603"/>
        <v>Cash Payment</v>
      </c>
      <c r="P7687">
        <v>97.55</v>
      </c>
      <c r="Q7687" s="37" t="str">
        <f>IF(P7687&gt;500,"High","low")</f>
        <v>low</v>
      </c>
      <c r="R7687" s="37" t="str">
        <f t="shared" si="604"/>
        <v>AVERAGE</v>
      </c>
      <c r="S7687" t="s">
        <v>615</v>
      </c>
    </row>
    <row r="7688" spans="1:19" x14ac:dyDescent="0.2">
      <c r="A7688" t="s">
        <v>8299</v>
      </c>
      <c r="B7688" t="s">
        <v>67</v>
      </c>
      <c r="C7688" t="s">
        <v>614</v>
      </c>
      <c r="D7688">
        <v>4941.2</v>
      </c>
      <c r="E7688" s="37" t="str">
        <f t="shared" si="600"/>
        <v>Excellent Order</v>
      </c>
      <c r="F7688">
        <v>0.44</v>
      </c>
      <c r="G7688" s="37" t="str">
        <f t="shared" si="601"/>
        <v>Heavy Discount</v>
      </c>
      <c r="H7688" s="37" t="str">
        <f t="shared" si="602"/>
        <v>High</v>
      </c>
      <c r="I7688">
        <v>1</v>
      </c>
      <c r="J7688" t="str" cm="1">
        <f t="array" ref="J7688">_xlfn.IFS(I7688&lt;=3,"small",I7688&lt;=6,"Medium",I7688&lt;=9,"Large")</f>
        <v>small</v>
      </c>
      <c r="K7688" s="36">
        <v>45406</v>
      </c>
      <c r="L7688" s="36">
        <v>45411</v>
      </c>
      <c r="M7688" t="s">
        <v>603</v>
      </c>
      <c r="N7688" t="s">
        <v>604</v>
      </c>
      <c r="O7688" s="37" t="str">
        <f t="shared" si="603"/>
        <v>Digital Payment</v>
      </c>
      <c r="P7688">
        <v>1048.72</v>
      </c>
      <c r="Q7688" s="37" t="str">
        <f>IF(P7688&gt;500,"High","low")</f>
        <v>High</v>
      </c>
      <c r="R7688" s="37" t="str">
        <f t="shared" si="604"/>
        <v>Excellent</v>
      </c>
      <c r="S7688" t="s">
        <v>600</v>
      </c>
    </row>
    <row r="7689" spans="1:19" x14ac:dyDescent="0.2">
      <c r="A7689" t="s">
        <v>8300</v>
      </c>
      <c r="B7689" t="s">
        <v>83</v>
      </c>
      <c r="C7689" t="s">
        <v>597</v>
      </c>
      <c r="D7689">
        <v>2986.01</v>
      </c>
      <c r="E7689" s="37" t="str">
        <f t="shared" si="600"/>
        <v xml:space="preserve"> </v>
      </c>
      <c r="F7689">
        <v>0.17</v>
      </c>
      <c r="G7689" s="37" t="str">
        <f t="shared" si="601"/>
        <v>Normal Discount</v>
      </c>
      <c r="H7689" s="37" t="str">
        <f t="shared" si="602"/>
        <v>Low</v>
      </c>
      <c r="I7689">
        <v>4</v>
      </c>
      <c r="J7689" t="str" cm="1">
        <f t="array" ref="J7689">_xlfn.IFS(I7689&lt;=3,"small",I7689&lt;=6,"Medium",I7689&lt;=9,"Large")</f>
        <v>Medium</v>
      </c>
      <c r="K7689" s="36">
        <v>44956</v>
      </c>
      <c r="L7689" s="36">
        <v>44963</v>
      </c>
      <c r="M7689" t="s">
        <v>598</v>
      </c>
      <c r="N7689" t="s">
        <v>604</v>
      </c>
      <c r="O7689" s="37" t="str">
        <f t="shared" si="603"/>
        <v>Digital Payment</v>
      </c>
      <c r="P7689">
        <v>753.68</v>
      </c>
      <c r="Q7689" s="37" t="str">
        <f>IF(P7689&gt;500,"High","low")</f>
        <v>High</v>
      </c>
      <c r="R7689" s="37" t="str">
        <f t="shared" si="604"/>
        <v>Good</v>
      </c>
      <c r="S7689" t="s">
        <v>600</v>
      </c>
    </row>
    <row r="7690" spans="1:19" x14ac:dyDescent="0.2">
      <c r="A7690" t="s">
        <v>8301</v>
      </c>
      <c r="B7690" t="s">
        <v>83</v>
      </c>
      <c r="C7690" t="s">
        <v>602</v>
      </c>
      <c r="D7690">
        <v>4089.76</v>
      </c>
      <c r="E7690" s="37" t="str">
        <f t="shared" si="600"/>
        <v xml:space="preserve"> </v>
      </c>
      <c r="F7690">
        <v>0.14000000000000001</v>
      </c>
      <c r="G7690" s="37" t="str">
        <f t="shared" si="601"/>
        <v>Normal Discount</v>
      </c>
      <c r="H7690" s="37" t="str">
        <f t="shared" si="602"/>
        <v>Low</v>
      </c>
      <c r="I7690">
        <v>8</v>
      </c>
      <c r="J7690" t="str" cm="1">
        <f t="array" ref="J7690">_xlfn.IFS(I7690&lt;=3,"small",I7690&lt;=6,"Medium",I7690&lt;=9,"Large")</f>
        <v>Large</v>
      </c>
      <c r="K7690" s="36">
        <v>45330</v>
      </c>
      <c r="L7690" s="36">
        <v>45334</v>
      </c>
      <c r="M7690" t="s">
        <v>598</v>
      </c>
      <c r="N7690" t="s">
        <v>599</v>
      </c>
      <c r="O7690" s="37" t="str">
        <f t="shared" si="603"/>
        <v>Digital Payment</v>
      </c>
      <c r="P7690">
        <v>678.18</v>
      </c>
      <c r="Q7690" s="37" t="str">
        <f>IF(P7690&gt;500,"High","low")</f>
        <v>High</v>
      </c>
      <c r="R7690" s="37" t="str">
        <f t="shared" si="604"/>
        <v>Good</v>
      </c>
      <c r="S7690" t="s">
        <v>609</v>
      </c>
    </row>
    <row r="7691" spans="1:19" x14ac:dyDescent="0.2">
      <c r="A7691" t="s">
        <v>8302</v>
      </c>
      <c r="B7691" t="s">
        <v>90</v>
      </c>
      <c r="C7691" t="s">
        <v>597</v>
      </c>
      <c r="D7691">
        <v>2095.9699999999998</v>
      </c>
      <c r="E7691" s="37" t="str">
        <f t="shared" si="600"/>
        <v xml:space="preserve"> </v>
      </c>
      <c r="F7691">
        <v>0.22</v>
      </c>
      <c r="G7691" s="37" t="str">
        <f t="shared" si="601"/>
        <v>Normal Discount</v>
      </c>
      <c r="H7691" s="37" t="str">
        <f t="shared" si="602"/>
        <v>Medium</v>
      </c>
      <c r="I7691">
        <v>8</v>
      </c>
      <c r="J7691" t="str" cm="1">
        <f t="array" ref="J7691">_xlfn.IFS(I7691&lt;=3,"small",I7691&lt;=6,"Medium",I7691&lt;=9,"Large")</f>
        <v>Large</v>
      </c>
      <c r="K7691" s="36">
        <v>44993</v>
      </c>
      <c r="L7691" s="36">
        <v>44998</v>
      </c>
      <c r="M7691" t="s">
        <v>598</v>
      </c>
      <c r="N7691" t="s">
        <v>599</v>
      </c>
      <c r="O7691" s="37" t="str">
        <f t="shared" si="603"/>
        <v>Digital Payment</v>
      </c>
      <c r="P7691">
        <v>281.7</v>
      </c>
      <c r="Q7691" s="37" t="str">
        <f>IF(P7691&gt;500,"High","low")</f>
        <v>low</v>
      </c>
      <c r="R7691" s="37" t="str">
        <f t="shared" si="604"/>
        <v>AVERAGE</v>
      </c>
      <c r="S7691" t="s">
        <v>615</v>
      </c>
    </row>
    <row r="7692" spans="1:19" x14ac:dyDescent="0.2">
      <c r="A7692" t="s">
        <v>8303</v>
      </c>
      <c r="B7692" t="s">
        <v>67</v>
      </c>
      <c r="C7692" t="s">
        <v>597</v>
      </c>
      <c r="D7692">
        <v>3817.09</v>
      </c>
      <c r="E7692" s="37" t="str">
        <f t="shared" si="600"/>
        <v xml:space="preserve"> </v>
      </c>
      <c r="F7692">
        <v>0.37</v>
      </c>
      <c r="G7692" s="37" t="str">
        <f t="shared" si="601"/>
        <v>Heavy Discount</v>
      </c>
      <c r="H7692" s="37" t="str">
        <f t="shared" si="602"/>
        <v>Medium</v>
      </c>
      <c r="I7692">
        <v>5</v>
      </c>
      <c r="J7692" t="str" cm="1">
        <f t="array" ref="J7692">_xlfn.IFS(I7692&lt;=3,"small",I7692&lt;=6,"Medium",I7692&lt;=9,"Large")</f>
        <v>Medium</v>
      </c>
      <c r="K7692" s="36">
        <v>45499</v>
      </c>
      <c r="L7692" s="36">
        <v>45500</v>
      </c>
      <c r="M7692" t="s">
        <v>598</v>
      </c>
      <c r="N7692" t="s">
        <v>599</v>
      </c>
      <c r="O7692" s="37" t="str">
        <f t="shared" si="603"/>
        <v>Digital Payment</v>
      </c>
      <c r="P7692">
        <v>1011.24</v>
      </c>
      <c r="Q7692" s="37" t="str">
        <f>IF(P7692&gt;500,"High","low")</f>
        <v>High</v>
      </c>
      <c r="R7692" s="37" t="str">
        <f t="shared" si="604"/>
        <v>Excellent</v>
      </c>
      <c r="S7692" t="s">
        <v>615</v>
      </c>
    </row>
    <row r="7693" spans="1:19" x14ac:dyDescent="0.2">
      <c r="A7693" t="s">
        <v>8304</v>
      </c>
      <c r="B7693" t="s">
        <v>83</v>
      </c>
      <c r="C7693" t="s">
        <v>607</v>
      </c>
      <c r="D7693">
        <v>1998.19</v>
      </c>
      <c r="E7693" s="37" t="str">
        <f t="shared" si="600"/>
        <v xml:space="preserve"> </v>
      </c>
      <c r="F7693">
        <v>0</v>
      </c>
      <c r="G7693" s="37" t="str">
        <f t="shared" si="601"/>
        <v>Normal Discount</v>
      </c>
      <c r="H7693" s="37" t="str">
        <f t="shared" si="602"/>
        <v>Low</v>
      </c>
      <c r="I7693">
        <v>7</v>
      </c>
      <c r="J7693" t="str" cm="1">
        <f t="array" ref="J7693">_xlfn.IFS(I7693&lt;=3,"small",I7693&lt;=6,"Medium",I7693&lt;=9,"Large")</f>
        <v>Large</v>
      </c>
      <c r="K7693" s="36">
        <v>45226</v>
      </c>
      <c r="L7693" s="36">
        <v>45232</v>
      </c>
      <c r="M7693" t="s">
        <v>598</v>
      </c>
      <c r="N7693" t="s">
        <v>608</v>
      </c>
      <c r="O7693" s="37" t="str">
        <f t="shared" si="603"/>
        <v>Cash Payment</v>
      </c>
      <c r="P7693">
        <v>526.91</v>
      </c>
      <c r="Q7693" s="37" t="str">
        <f>IF(P7693&gt;500,"High","low")</f>
        <v>High</v>
      </c>
      <c r="R7693" s="37" t="str">
        <f t="shared" si="604"/>
        <v>Good</v>
      </c>
      <c r="S7693" t="s">
        <v>609</v>
      </c>
    </row>
    <row r="7694" spans="1:19" x14ac:dyDescent="0.2">
      <c r="A7694" t="s">
        <v>8305</v>
      </c>
      <c r="B7694" t="s">
        <v>83</v>
      </c>
      <c r="C7694" t="s">
        <v>597</v>
      </c>
      <c r="D7694">
        <v>2991.02</v>
      </c>
      <c r="E7694" s="37" t="str">
        <f t="shared" si="600"/>
        <v xml:space="preserve"> </v>
      </c>
      <c r="F7694">
        <v>0.5</v>
      </c>
      <c r="G7694" s="37" t="str">
        <f t="shared" si="601"/>
        <v>Heavy Discount</v>
      </c>
      <c r="H7694" s="37" t="str">
        <f t="shared" si="602"/>
        <v>High</v>
      </c>
      <c r="I7694">
        <v>5</v>
      </c>
      <c r="J7694" t="str" cm="1">
        <f t="array" ref="J7694">_xlfn.IFS(I7694&lt;=3,"small",I7694&lt;=6,"Medium",I7694&lt;=9,"Large")</f>
        <v>Medium</v>
      </c>
      <c r="K7694" s="36">
        <v>45494</v>
      </c>
      <c r="L7694" s="36">
        <v>45499</v>
      </c>
      <c r="M7694" t="s">
        <v>598</v>
      </c>
      <c r="N7694" t="s">
        <v>608</v>
      </c>
      <c r="O7694" s="37" t="str">
        <f t="shared" si="603"/>
        <v>Cash Payment</v>
      </c>
      <c r="P7694">
        <v>736.74</v>
      </c>
      <c r="Q7694" s="37" t="str">
        <f>IF(P7694&gt;500,"High","low")</f>
        <v>High</v>
      </c>
      <c r="R7694" s="37" t="str">
        <f t="shared" si="604"/>
        <v>Good</v>
      </c>
      <c r="S7694" t="s">
        <v>620</v>
      </c>
    </row>
    <row r="7695" spans="1:19" x14ac:dyDescent="0.2">
      <c r="A7695" t="s">
        <v>8306</v>
      </c>
      <c r="B7695" t="s">
        <v>67</v>
      </c>
      <c r="C7695" t="s">
        <v>607</v>
      </c>
      <c r="D7695">
        <v>3912.86</v>
      </c>
      <c r="E7695" s="37" t="str">
        <f t="shared" si="600"/>
        <v xml:space="preserve"> </v>
      </c>
      <c r="F7695">
        <v>0.44</v>
      </c>
      <c r="G7695" s="37" t="str">
        <f t="shared" si="601"/>
        <v>Heavy Discount</v>
      </c>
      <c r="H7695" s="37" t="str">
        <f t="shared" si="602"/>
        <v>High</v>
      </c>
      <c r="I7695">
        <v>4</v>
      </c>
      <c r="J7695" t="str" cm="1">
        <f t="array" ref="J7695">_xlfn.IFS(I7695&lt;=3,"small",I7695&lt;=6,"Medium",I7695&lt;=9,"Large")</f>
        <v>Medium</v>
      </c>
      <c r="K7695" s="36">
        <v>45005</v>
      </c>
      <c r="L7695" s="36">
        <v>45010</v>
      </c>
      <c r="M7695" t="s">
        <v>612</v>
      </c>
      <c r="N7695" t="s">
        <v>604</v>
      </c>
      <c r="O7695" s="37" t="str">
        <f t="shared" si="603"/>
        <v>Digital Payment</v>
      </c>
      <c r="P7695">
        <v>396.08</v>
      </c>
      <c r="Q7695" s="37" t="str">
        <f>IF(P7695&gt;500,"High","low")</f>
        <v>low</v>
      </c>
      <c r="R7695" s="37" t="str">
        <f t="shared" si="604"/>
        <v>AVERAGE</v>
      </c>
      <c r="S7695" t="s">
        <v>605</v>
      </c>
    </row>
    <row r="7696" spans="1:19" x14ac:dyDescent="0.2">
      <c r="A7696" t="s">
        <v>8307</v>
      </c>
      <c r="B7696" t="s">
        <v>75</v>
      </c>
      <c r="C7696" t="s">
        <v>607</v>
      </c>
      <c r="D7696">
        <v>670.72</v>
      </c>
      <c r="E7696" s="37" t="str">
        <f t="shared" si="600"/>
        <v xml:space="preserve"> </v>
      </c>
      <c r="F7696">
        <v>0.01</v>
      </c>
      <c r="G7696" s="37" t="str">
        <f t="shared" si="601"/>
        <v>Normal Discount</v>
      </c>
      <c r="H7696" s="37" t="str">
        <f t="shared" si="602"/>
        <v>Low</v>
      </c>
      <c r="I7696">
        <v>6</v>
      </c>
      <c r="J7696" t="str" cm="1">
        <f t="array" ref="J7696">_xlfn.IFS(I7696&lt;=3,"small",I7696&lt;=6,"Medium",I7696&lt;=9,"Large")</f>
        <v>Medium</v>
      </c>
      <c r="K7696" s="36">
        <v>45095</v>
      </c>
      <c r="L7696" s="36">
        <v>45099</v>
      </c>
      <c r="M7696" t="s">
        <v>598</v>
      </c>
      <c r="N7696" t="s">
        <v>604</v>
      </c>
      <c r="O7696" s="37" t="str">
        <f t="shared" si="603"/>
        <v>Digital Payment</v>
      </c>
      <c r="P7696">
        <v>127.43</v>
      </c>
      <c r="Q7696" s="37" t="str">
        <f>IF(P7696&gt;500,"High","low")</f>
        <v>low</v>
      </c>
      <c r="R7696" s="37" t="str">
        <f t="shared" si="604"/>
        <v>AVERAGE</v>
      </c>
      <c r="S7696" t="s">
        <v>615</v>
      </c>
    </row>
    <row r="7697" spans="1:19" x14ac:dyDescent="0.2">
      <c r="A7697" t="s">
        <v>8308</v>
      </c>
      <c r="B7697" t="s">
        <v>75</v>
      </c>
      <c r="C7697" t="s">
        <v>617</v>
      </c>
      <c r="D7697">
        <v>1848.25</v>
      </c>
      <c r="E7697" s="37" t="str">
        <f t="shared" si="600"/>
        <v xml:space="preserve"> </v>
      </c>
      <c r="F7697">
        <v>0.19</v>
      </c>
      <c r="G7697" s="37" t="str">
        <f t="shared" si="601"/>
        <v>Normal Discount</v>
      </c>
      <c r="H7697" s="37" t="str">
        <f t="shared" si="602"/>
        <v>Low</v>
      </c>
      <c r="I7697">
        <v>8</v>
      </c>
      <c r="J7697" t="str" cm="1">
        <f t="array" ref="J7697">_xlfn.IFS(I7697&lt;=3,"small",I7697&lt;=6,"Medium",I7697&lt;=9,"Large")</f>
        <v>Large</v>
      </c>
      <c r="K7697" s="36">
        <v>45064</v>
      </c>
      <c r="L7697" s="36">
        <v>45065</v>
      </c>
      <c r="M7697" t="s">
        <v>603</v>
      </c>
      <c r="N7697" t="s">
        <v>608</v>
      </c>
      <c r="O7697" s="37" t="str">
        <f t="shared" si="603"/>
        <v>Cash Payment</v>
      </c>
      <c r="P7697">
        <v>295.76</v>
      </c>
      <c r="Q7697" s="37" t="str">
        <f>IF(P7697&gt;500,"High","low")</f>
        <v>low</v>
      </c>
      <c r="R7697" s="37" t="str">
        <f t="shared" si="604"/>
        <v>AVERAGE</v>
      </c>
      <c r="S7697" t="s">
        <v>600</v>
      </c>
    </row>
    <row r="7698" spans="1:19" x14ac:dyDescent="0.2">
      <c r="A7698" t="s">
        <v>8309</v>
      </c>
      <c r="B7698" t="s">
        <v>83</v>
      </c>
      <c r="C7698" t="s">
        <v>602</v>
      </c>
      <c r="D7698">
        <v>2770.19</v>
      </c>
      <c r="E7698" s="37" t="str">
        <f t="shared" si="600"/>
        <v xml:space="preserve"> </v>
      </c>
      <c r="F7698">
        <v>0.34</v>
      </c>
      <c r="G7698" s="37" t="str">
        <f t="shared" si="601"/>
        <v>Heavy Discount</v>
      </c>
      <c r="H7698" s="37" t="str">
        <f t="shared" si="602"/>
        <v>Medium</v>
      </c>
      <c r="I7698">
        <v>1</v>
      </c>
      <c r="J7698" t="str" cm="1">
        <f t="array" ref="J7698">_xlfn.IFS(I7698&lt;=3,"small",I7698&lt;=6,"Medium",I7698&lt;=9,"Large")</f>
        <v>small</v>
      </c>
      <c r="K7698" s="36">
        <v>44941</v>
      </c>
      <c r="L7698" s="36">
        <v>44944</v>
      </c>
      <c r="M7698" t="s">
        <v>603</v>
      </c>
      <c r="N7698" t="s">
        <v>608</v>
      </c>
      <c r="O7698" s="37" t="str">
        <f t="shared" si="603"/>
        <v>Cash Payment</v>
      </c>
      <c r="P7698">
        <v>621.62</v>
      </c>
      <c r="Q7698" s="37" t="str">
        <f>IF(P7698&gt;500,"High","low")</f>
        <v>High</v>
      </c>
      <c r="R7698" s="37" t="str">
        <f t="shared" si="604"/>
        <v>Good</v>
      </c>
      <c r="S7698" t="s">
        <v>628</v>
      </c>
    </row>
    <row r="7699" spans="1:19" x14ac:dyDescent="0.2">
      <c r="A7699" t="s">
        <v>8310</v>
      </c>
      <c r="B7699" t="s">
        <v>83</v>
      </c>
      <c r="C7699" t="s">
        <v>607</v>
      </c>
      <c r="D7699">
        <v>1736.59</v>
      </c>
      <c r="E7699" s="37" t="str">
        <f t="shared" si="600"/>
        <v xml:space="preserve"> </v>
      </c>
      <c r="F7699">
        <v>0.12</v>
      </c>
      <c r="G7699" s="37" t="str">
        <f t="shared" si="601"/>
        <v>Normal Discount</v>
      </c>
      <c r="H7699" s="37" t="str">
        <f t="shared" si="602"/>
        <v>Low</v>
      </c>
      <c r="I7699">
        <v>3</v>
      </c>
      <c r="J7699" t="str" cm="1">
        <f t="array" ref="J7699">_xlfn.IFS(I7699&lt;=3,"small",I7699&lt;=6,"Medium",I7699&lt;=9,"Large")</f>
        <v>small</v>
      </c>
      <c r="K7699" s="36">
        <v>45531</v>
      </c>
      <c r="L7699" s="36">
        <v>45533</v>
      </c>
      <c r="M7699" t="s">
        <v>612</v>
      </c>
      <c r="N7699" t="s">
        <v>599</v>
      </c>
      <c r="O7699" s="37" t="str">
        <f t="shared" si="603"/>
        <v>Digital Payment</v>
      </c>
      <c r="P7699">
        <v>475.46</v>
      </c>
      <c r="Q7699" s="37" t="str">
        <f>IF(P7699&gt;500,"High","low")</f>
        <v>low</v>
      </c>
      <c r="R7699" s="37" t="str">
        <f t="shared" si="604"/>
        <v>AVERAGE</v>
      </c>
      <c r="S7699" t="s">
        <v>628</v>
      </c>
    </row>
    <row r="7700" spans="1:19" x14ac:dyDescent="0.2">
      <c r="A7700" t="s">
        <v>8311</v>
      </c>
      <c r="B7700" t="s">
        <v>75</v>
      </c>
      <c r="C7700" t="s">
        <v>614</v>
      </c>
      <c r="D7700">
        <v>1614.92</v>
      </c>
      <c r="E7700" s="37" t="str">
        <f t="shared" si="600"/>
        <v xml:space="preserve"> </v>
      </c>
      <c r="F7700">
        <v>7.0000000000000007E-2</v>
      </c>
      <c r="G7700" s="37" t="str">
        <f t="shared" si="601"/>
        <v>Normal Discount</v>
      </c>
      <c r="H7700" s="37" t="str">
        <f t="shared" si="602"/>
        <v>Low</v>
      </c>
      <c r="I7700">
        <v>4</v>
      </c>
      <c r="J7700" t="str" cm="1">
        <f t="array" ref="J7700">_xlfn.IFS(I7700&lt;=3,"small",I7700&lt;=6,"Medium",I7700&lt;=9,"Large")</f>
        <v>Medium</v>
      </c>
      <c r="K7700" s="36">
        <v>45619</v>
      </c>
      <c r="L7700" s="36">
        <v>45624</v>
      </c>
      <c r="M7700" t="s">
        <v>603</v>
      </c>
      <c r="N7700" t="s">
        <v>608</v>
      </c>
      <c r="O7700" s="37" t="str">
        <f t="shared" si="603"/>
        <v>Cash Payment</v>
      </c>
      <c r="P7700">
        <v>180.42</v>
      </c>
      <c r="Q7700" s="37" t="str">
        <f>IF(P7700&gt;500,"High","low")</f>
        <v>low</v>
      </c>
      <c r="R7700" s="37" t="str">
        <f t="shared" si="604"/>
        <v>AVERAGE</v>
      </c>
      <c r="S7700" t="s">
        <v>600</v>
      </c>
    </row>
    <row r="7701" spans="1:19" x14ac:dyDescent="0.2">
      <c r="A7701" t="s">
        <v>8312</v>
      </c>
      <c r="B7701" t="s">
        <v>90</v>
      </c>
      <c r="C7701" t="s">
        <v>614</v>
      </c>
      <c r="D7701">
        <v>1480.15</v>
      </c>
      <c r="E7701" s="37" t="str">
        <f t="shared" si="600"/>
        <v xml:space="preserve"> </v>
      </c>
      <c r="F7701">
        <v>0.31</v>
      </c>
      <c r="G7701" s="37" t="str">
        <f t="shared" si="601"/>
        <v>Heavy Discount</v>
      </c>
      <c r="H7701" s="37" t="str">
        <f t="shared" si="602"/>
        <v>Medium</v>
      </c>
      <c r="I7701">
        <v>5</v>
      </c>
      <c r="J7701" t="str" cm="1">
        <f t="array" ref="J7701">_xlfn.IFS(I7701&lt;=3,"small",I7701&lt;=6,"Medium",I7701&lt;=9,"Large")</f>
        <v>Medium</v>
      </c>
      <c r="K7701" s="36">
        <v>45408</v>
      </c>
      <c r="L7701" s="36">
        <v>45411</v>
      </c>
      <c r="M7701" t="s">
        <v>598</v>
      </c>
      <c r="N7701" t="s">
        <v>608</v>
      </c>
      <c r="O7701" s="37" t="str">
        <f t="shared" si="603"/>
        <v>Cash Payment</v>
      </c>
      <c r="P7701">
        <v>188.73</v>
      </c>
      <c r="Q7701" s="37" t="str">
        <f>IF(P7701&gt;500,"High","low")</f>
        <v>low</v>
      </c>
      <c r="R7701" s="37" t="str">
        <f t="shared" si="604"/>
        <v>AVERAGE</v>
      </c>
      <c r="S7701" t="s">
        <v>600</v>
      </c>
    </row>
    <row r="7702" spans="1:19" x14ac:dyDescent="0.2">
      <c r="A7702" t="s">
        <v>8313</v>
      </c>
      <c r="B7702" t="s">
        <v>67</v>
      </c>
      <c r="C7702" t="s">
        <v>602</v>
      </c>
      <c r="D7702">
        <v>1216.18</v>
      </c>
      <c r="E7702" s="37" t="str">
        <f t="shared" si="600"/>
        <v xml:space="preserve"> </v>
      </c>
      <c r="F7702">
        <v>0.45</v>
      </c>
      <c r="G7702" s="37" t="str">
        <f t="shared" si="601"/>
        <v>Heavy Discount</v>
      </c>
      <c r="H7702" s="37" t="str">
        <f t="shared" si="602"/>
        <v>High</v>
      </c>
      <c r="I7702">
        <v>1</v>
      </c>
      <c r="J7702" t="str" cm="1">
        <f t="array" ref="J7702">_xlfn.IFS(I7702&lt;=3,"small",I7702&lt;=6,"Medium",I7702&lt;=9,"Large")</f>
        <v>small</v>
      </c>
      <c r="K7702" s="36">
        <v>44977</v>
      </c>
      <c r="L7702" s="36">
        <v>44983</v>
      </c>
      <c r="M7702" t="s">
        <v>603</v>
      </c>
      <c r="N7702" t="s">
        <v>599</v>
      </c>
      <c r="O7702" s="37" t="str">
        <f t="shared" si="603"/>
        <v>Digital Payment</v>
      </c>
      <c r="P7702">
        <v>132.72</v>
      </c>
      <c r="Q7702" s="37" t="str">
        <f>IF(P7702&gt;500,"High","low")</f>
        <v>low</v>
      </c>
      <c r="R7702" s="37" t="str">
        <f t="shared" si="604"/>
        <v>AVERAGE</v>
      </c>
      <c r="S7702" t="s">
        <v>615</v>
      </c>
    </row>
    <row r="7703" spans="1:19" x14ac:dyDescent="0.2">
      <c r="A7703" t="s">
        <v>8314</v>
      </c>
      <c r="B7703" t="s">
        <v>67</v>
      </c>
      <c r="C7703" t="s">
        <v>607</v>
      </c>
      <c r="D7703">
        <v>4259.63</v>
      </c>
      <c r="E7703" s="37" t="str">
        <f t="shared" si="600"/>
        <v>Excellent Order</v>
      </c>
      <c r="F7703">
        <v>0.48</v>
      </c>
      <c r="G7703" s="37" t="str">
        <f t="shared" si="601"/>
        <v>Heavy Discount</v>
      </c>
      <c r="H7703" s="37" t="str">
        <f t="shared" si="602"/>
        <v>High</v>
      </c>
      <c r="I7703">
        <v>9</v>
      </c>
      <c r="J7703" t="str" cm="1">
        <f t="array" ref="J7703">_xlfn.IFS(I7703&lt;=3,"small",I7703&lt;=6,"Medium",I7703&lt;=9,"Large")</f>
        <v>Large</v>
      </c>
      <c r="K7703" s="36">
        <v>45647</v>
      </c>
      <c r="L7703" s="36">
        <v>45654</v>
      </c>
      <c r="M7703" t="s">
        <v>612</v>
      </c>
      <c r="N7703" t="s">
        <v>608</v>
      </c>
      <c r="O7703" s="37" t="str">
        <f t="shared" si="603"/>
        <v>Cash Payment</v>
      </c>
      <c r="P7703">
        <v>1018.81</v>
      </c>
      <c r="Q7703" s="37" t="str">
        <f>IF(P7703&gt;500,"High","low")</f>
        <v>High</v>
      </c>
      <c r="R7703" s="37" t="str">
        <f t="shared" si="604"/>
        <v>Excellent</v>
      </c>
      <c r="S7703" t="s">
        <v>620</v>
      </c>
    </row>
    <row r="7704" spans="1:19" x14ac:dyDescent="0.2">
      <c r="A7704" t="s">
        <v>8315</v>
      </c>
      <c r="B7704" t="s">
        <v>90</v>
      </c>
      <c r="C7704" t="s">
        <v>602</v>
      </c>
      <c r="D7704">
        <v>4626.08</v>
      </c>
      <c r="E7704" s="37" t="str">
        <f t="shared" si="600"/>
        <v>Excellent Order</v>
      </c>
      <c r="F7704">
        <v>0.01</v>
      </c>
      <c r="G7704" s="37" t="str">
        <f t="shared" si="601"/>
        <v>Normal Discount</v>
      </c>
      <c r="H7704" s="37" t="str">
        <f t="shared" si="602"/>
        <v>Low</v>
      </c>
      <c r="I7704">
        <v>8</v>
      </c>
      <c r="J7704" t="str" cm="1">
        <f t="array" ref="J7704">_xlfn.IFS(I7704&lt;=3,"small",I7704&lt;=6,"Medium",I7704&lt;=9,"Large")</f>
        <v>Large</v>
      </c>
      <c r="K7704" s="36">
        <v>45047</v>
      </c>
      <c r="L7704" s="36">
        <v>45050</v>
      </c>
      <c r="M7704" t="s">
        <v>612</v>
      </c>
      <c r="N7704" t="s">
        <v>599</v>
      </c>
      <c r="O7704" s="37" t="str">
        <f t="shared" si="603"/>
        <v>Digital Payment</v>
      </c>
      <c r="P7704">
        <v>806.06</v>
      </c>
      <c r="Q7704" s="37" t="str">
        <f>IF(P7704&gt;500,"High","low")</f>
        <v>High</v>
      </c>
      <c r="R7704" s="37" t="str">
        <f t="shared" si="604"/>
        <v>Good</v>
      </c>
      <c r="S7704" t="s">
        <v>620</v>
      </c>
    </row>
    <row r="7705" spans="1:19" x14ac:dyDescent="0.2">
      <c r="A7705" t="s">
        <v>8316</v>
      </c>
      <c r="B7705" t="s">
        <v>90</v>
      </c>
      <c r="C7705" t="s">
        <v>617</v>
      </c>
      <c r="D7705">
        <v>3530.83</v>
      </c>
      <c r="E7705" s="37" t="str">
        <f t="shared" si="600"/>
        <v xml:space="preserve"> </v>
      </c>
      <c r="F7705">
        <v>0.44</v>
      </c>
      <c r="G7705" s="37" t="str">
        <f t="shared" si="601"/>
        <v>Heavy Discount</v>
      </c>
      <c r="H7705" s="37" t="str">
        <f t="shared" si="602"/>
        <v>High</v>
      </c>
      <c r="I7705">
        <v>2</v>
      </c>
      <c r="J7705" t="str" cm="1">
        <f t="array" ref="J7705">_xlfn.IFS(I7705&lt;=3,"small",I7705&lt;=6,"Medium",I7705&lt;=9,"Large")</f>
        <v>small</v>
      </c>
      <c r="K7705" s="36">
        <v>44992</v>
      </c>
      <c r="L7705" s="36">
        <v>44994</v>
      </c>
      <c r="M7705" t="s">
        <v>603</v>
      </c>
      <c r="N7705" t="s">
        <v>608</v>
      </c>
      <c r="O7705" s="37" t="str">
        <f t="shared" si="603"/>
        <v>Cash Payment</v>
      </c>
      <c r="P7705">
        <v>596.99</v>
      </c>
      <c r="Q7705" s="37" t="str">
        <f>IF(P7705&gt;500,"High","low")</f>
        <v>High</v>
      </c>
      <c r="R7705" s="37" t="str">
        <f t="shared" si="604"/>
        <v>Good</v>
      </c>
      <c r="S7705" t="s">
        <v>615</v>
      </c>
    </row>
    <row r="7706" spans="1:19" x14ac:dyDescent="0.2">
      <c r="A7706" t="s">
        <v>8317</v>
      </c>
      <c r="B7706" t="s">
        <v>90</v>
      </c>
      <c r="C7706" t="s">
        <v>614</v>
      </c>
      <c r="D7706">
        <v>247</v>
      </c>
      <c r="E7706" s="37" t="str">
        <f t="shared" si="600"/>
        <v xml:space="preserve"> </v>
      </c>
      <c r="F7706">
        <v>0.28000000000000003</v>
      </c>
      <c r="G7706" s="37" t="str">
        <f t="shared" si="601"/>
        <v>Normal Discount</v>
      </c>
      <c r="H7706" s="37" t="str">
        <f t="shared" si="602"/>
        <v>Medium</v>
      </c>
      <c r="I7706">
        <v>5</v>
      </c>
      <c r="J7706" t="str" cm="1">
        <f t="array" ref="J7706">_xlfn.IFS(I7706&lt;=3,"small",I7706&lt;=6,"Medium",I7706&lt;=9,"Large")</f>
        <v>Medium</v>
      </c>
      <c r="K7706" s="36">
        <v>44952</v>
      </c>
      <c r="L7706" s="36">
        <v>44954</v>
      </c>
      <c r="M7706" t="s">
        <v>598</v>
      </c>
      <c r="N7706" t="s">
        <v>599</v>
      </c>
      <c r="O7706" s="37" t="str">
        <f t="shared" si="603"/>
        <v>Digital Payment</v>
      </c>
      <c r="P7706">
        <v>42.95</v>
      </c>
      <c r="Q7706" s="37" t="str">
        <f>IF(P7706&gt;500,"High","low")</f>
        <v>low</v>
      </c>
      <c r="R7706" s="37" t="str">
        <f t="shared" si="604"/>
        <v>AVERAGE</v>
      </c>
      <c r="S7706" t="s">
        <v>609</v>
      </c>
    </row>
    <row r="7707" spans="1:19" x14ac:dyDescent="0.2">
      <c r="A7707" t="s">
        <v>8318</v>
      </c>
      <c r="B7707" t="s">
        <v>90</v>
      </c>
      <c r="C7707" t="s">
        <v>597</v>
      </c>
      <c r="D7707">
        <v>3952.54</v>
      </c>
      <c r="E7707" s="37" t="str">
        <f t="shared" si="600"/>
        <v xml:space="preserve"> </v>
      </c>
      <c r="F7707">
        <v>0.12</v>
      </c>
      <c r="G7707" s="37" t="str">
        <f t="shared" si="601"/>
        <v>Normal Discount</v>
      </c>
      <c r="H7707" s="37" t="str">
        <f t="shared" si="602"/>
        <v>Low</v>
      </c>
      <c r="I7707">
        <v>9</v>
      </c>
      <c r="J7707" t="str" cm="1">
        <f t="array" ref="J7707">_xlfn.IFS(I7707&lt;=3,"small",I7707&lt;=6,"Medium",I7707&lt;=9,"Large")</f>
        <v>Large</v>
      </c>
      <c r="K7707" s="36">
        <v>45212</v>
      </c>
      <c r="L7707" s="36">
        <v>45215</v>
      </c>
      <c r="M7707" t="s">
        <v>603</v>
      </c>
      <c r="N7707" t="s">
        <v>604</v>
      </c>
      <c r="O7707" s="37" t="str">
        <f t="shared" si="603"/>
        <v>Digital Payment</v>
      </c>
      <c r="P7707">
        <v>502.02</v>
      </c>
      <c r="Q7707" s="37" t="str">
        <f>IF(P7707&gt;500,"High","low")</f>
        <v>High</v>
      </c>
      <c r="R7707" s="37" t="str">
        <f t="shared" si="604"/>
        <v>Good</v>
      </c>
      <c r="S7707" t="s">
        <v>605</v>
      </c>
    </row>
    <row r="7708" spans="1:19" x14ac:dyDescent="0.2">
      <c r="A7708" t="s">
        <v>8319</v>
      </c>
      <c r="B7708" t="s">
        <v>90</v>
      </c>
      <c r="C7708" t="s">
        <v>614</v>
      </c>
      <c r="D7708">
        <v>2706.51</v>
      </c>
      <c r="E7708" s="37" t="str">
        <f t="shared" si="600"/>
        <v xml:space="preserve"> </v>
      </c>
      <c r="F7708">
        <v>0.31</v>
      </c>
      <c r="G7708" s="37" t="str">
        <f t="shared" si="601"/>
        <v>Heavy Discount</v>
      </c>
      <c r="H7708" s="37" t="str">
        <f t="shared" si="602"/>
        <v>Medium</v>
      </c>
      <c r="I7708">
        <v>3</v>
      </c>
      <c r="J7708" t="str" cm="1">
        <f t="array" ref="J7708">_xlfn.IFS(I7708&lt;=3,"small",I7708&lt;=6,"Medium",I7708&lt;=9,"Large")</f>
        <v>small</v>
      </c>
      <c r="K7708" s="36">
        <v>44981</v>
      </c>
      <c r="L7708" s="36">
        <v>44988</v>
      </c>
      <c r="M7708" t="s">
        <v>612</v>
      </c>
      <c r="N7708" t="s">
        <v>599</v>
      </c>
      <c r="O7708" s="37" t="str">
        <f t="shared" si="603"/>
        <v>Digital Payment</v>
      </c>
      <c r="P7708">
        <v>290.16000000000003</v>
      </c>
      <c r="Q7708" s="37" t="str">
        <f>IF(P7708&gt;500,"High","low")</f>
        <v>low</v>
      </c>
      <c r="R7708" s="37" t="str">
        <f t="shared" si="604"/>
        <v>AVERAGE</v>
      </c>
      <c r="S7708" t="s">
        <v>628</v>
      </c>
    </row>
    <row r="7709" spans="1:19" x14ac:dyDescent="0.2">
      <c r="A7709" t="s">
        <v>8320</v>
      </c>
      <c r="B7709" t="s">
        <v>90</v>
      </c>
      <c r="C7709" t="s">
        <v>607</v>
      </c>
      <c r="D7709">
        <v>3814.74</v>
      </c>
      <c r="E7709" s="37" t="str">
        <f t="shared" si="600"/>
        <v xml:space="preserve"> </v>
      </c>
      <c r="F7709">
        <v>0.5</v>
      </c>
      <c r="G7709" s="37" t="str">
        <f t="shared" si="601"/>
        <v>Heavy Discount</v>
      </c>
      <c r="H7709" s="37" t="str">
        <f t="shared" si="602"/>
        <v>High</v>
      </c>
      <c r="I7709">
        <v>5</v>
      </c>
      <c r="J7709" t="str" cm="1">
        <f t="array" ref="J7709">_xlfn.IFS(I7709&lt;=3,"small",I7709&lt;=6,"Medium",I7709&lt;=9,"Large")</f>
        <v>Medium</v>
      </c>
      <c r="K7709" s="36">
        <v>45575</v>
      </c>
      <c r="L7709" s="36">
        <v>45576</v>
      </c>
      <c r="M7709" t="s">
        <v>598</v>
      </c>
      <c r="N7709" t="s">
        <v>599</v>
      </c>
      <c r="O7709" s="37" t="str">
        <f t="shared" si="603"/>
        <v>Digital Payment</v>
      </c>
      <c r="P7709">
        <v>957.03</v>
      </c>
      <c r="Q7709" s="37" t="str">
        <f>IF(P7709&gt;500,"High","low")</f>
        <v>High</v>
      </c>
      <c r="R7709" s="37" t="str">
        <f t="shared" si="604"/>
        <v>Good</v>
      </c>
      <c r="S7709" t="s">
        <v>600</v>
      </c>
    </row>
    <row r="7710" spans="1:19" x14ac:dyDescent="0.2">
      <c r="A7710" t="s">
        <v>8321</v>
      </c>
      <c r="B7710" t="s">
        <v>67</v>
      </c>
      <c r="C7710" t="s">
        <v>602</v>
      </c>
      <c r="D7710">
        <v>2242.96</v>
      </c>
      <c r="E7710" s="37" t="str">
        <f t="shared" si="600"/>
        <v xml:space="preserve"> </v>
      </c>
      <c r="F7710">
        <v>0.14000000000000001</v>
      </c>
      <c r="G7710" s="37" t="str">
        <f t="shared" si="601"/>
        <v>Normal Discount</v>
      </c>
      <c r="H7710" s="37" t="str">
        <f t="shared" si="602"/>
        <v>Low</v>
      </c>
      <c r="I7710">
        <v>9</v>
      </c>
      <c r="J7710" t="str" cm="1">
        <f t="array" ref="J7710">_xlfn.IFS(I7710&lt;=3,"small",I7710&lt;=6,"Medium",I7710&lt;=9,"Large")</f>
        <v>Large</v>
      </c>
      <c r="K7710" s="36">
        <v>44950</v>
      </c>
      <c r="L7710" s="36">
        <v>44954</v>
      </c>
      <c r="M7710" t="s">
        <v>612</v>
      </c>
      <c r="N7710" t="s">
        <v>599</v>
      </c>
      <c r="O7710" s="37" t="str">
        <f t="shared" si="603"/>
        <v>Digital Payment</v>
      </c>
      <c r="P7710">
        <v>465.23</v>
      </c>
      <c r="Q7710" s="37" t="str">
        <f>IF(P7710&gt;500,"High","low")</f>
        <v>low</v>
      </c>
      <c r="R7710" s="37" t="str">
        <f t="shared" si="604"/>
        <v>AVERAGE</v>
      </c>
      <c r="S7710" t="s">
        <v>620</v>
      </c>
    </row>
    <row r="7711" spans="1:19" x14ac:dyDescent="0.2">
      <c r="A7711" t="s">
        <v>8322</v>
      </c>
      <c r="B7711" t="s">
        <v>90</v>
      </c>
      <c r="C7711" t="s">
        <v>614</v>
      </c>
      <c r="D7711">
        <v>302.27999999999997</v>
      </c>
      <c r="E7711" s="37" t="str">
        <f t="shared" si="600"/>
        <v xml:space="preserve"> </v>
      </c>
      <c r="F7711">
        <v>0.14000000000000001</v>
      </c>
      <c r="G7711" s="37" t="str">
        <f t="shared" si="601"/>
        <v>Normal Discount</v>
      </c>
      <c r="H7711" s="37" t="str">
        <f t="shared" si="602"/>
        <v>Low</v>
      </c>
      <c r="I7711">
        <v>6</v>
      </c>
      <c r="J7711" t="str" cm="1">
        <f t="array" ref="J7711">_xlfn.IFS(I7711&lt;=3,"small",I7711&lt;=6,"Medium",I7711&lt;=9,"Large")</f>
        <v>Medium</v>
      </c>
      <c r="K7711" s="36">
        <v>45140</v>
      </c>
      <c r="L7711" s="36">
        <v>45143</v>
      </c>
      <c r="M7711" t="s">
        <v>598</v>
      </c>
      <c r="N7711" t="s">
        <v>599</v>
      </c>
      <c r="O7711" s="37" t="str">
        <f t="shared" si="603"/>
        <v>Digital Payment</v>
      </c>
      <c r="P7711">
        <v>69.569999999999993</v>
      </c>
      <c r="Q7711" s="37" t="str">
        <f>IF(P7711&gt;500,"High","low")</f>
        <v>low</v>
      </c>
      <c r="R7711" s="37" t="str">
        <f t="shared" si="604"/>
        <v>AVERAGE</v>
      </c>
      <c r="S7711" t="s">
        <v>609</v>
      </c>
    </row>
    <row r="7712" spans="1:19" x14ac:dyDescent="0.2">
      <c r="A7712" t="s">
        <v>8323</v>
      </c>
      <c r="B7712" t="s">
        <v>75</v>
      </c>
      <c r="C7712" t="s">
        <v>597</v>
      </c>
      <c r="D7712">
        <v>3440.55</v>
      </c>
      <c r="E7712" s="37" t="str">
        <f t="shared" si="600"/>
        <v xml:space="preserve"> </v>
      </c>
      <c r="F7712">
        <v>0.35</v>
      </c>
      <c r="G7712" s="37" t="str">
        <f t="shared" si="601"/>
        <v>Heavy Discount</v>
      </c>
      <c r="H7712" s="37" t="str">
        <f t="shared" si="602"/>
        <v>Medium</v>
      </c>
      <c r="I7712">
        <v>5</v>
      </c>
      <c r="J7712" t="str" cm="1">
        <f t="array" ref="J7712">_xlfn.IFS(I7712&lt;=3,"small",I7712&lt;=6,"Medium",I7712&lt;=9,"Large")</f>
        <v>Medium</v>
      </c>
      <c r="K7712" s="36">
        <v>44988</v>
      </c>
      <c r="L7712" s="36">
        <v>44994</v>
      </c>
      <c r="M7712" t="s">
        <v>612</v>
      </c>
      <c r="N7712" t="s">
        <v>604</v>
      </c>
      <c r="O7712" s="37" t="str">
        <f t="shared" si="603"/>
        <v>Digital Payment</v>
      </c>
      <c r="P7712">
        <v>429.33</v>
      </c>
      <c r="Q7712" s="37" t="str">
        <f>IF(P7712&gt;500,"High","low")</f>
        <v>low</v>
      </c>
      <c r="R7712" s="37" t="str">
        <f t="shared" si="604"/>
        <v>AVERAGE</v>
      </c>
      <c r="S7712" t="s">
        <v>628</v>
      </c>
    </row>
    <row r="7713" spans="1:19" x14ac:dyDescent="0.2">
      <c r="A7713" t="s">
        <v>8324</v>
      </c>
      <c r="B7713" t="s">
        <v>90</v>
      </c>
      <c r="C7713" t="s">
        <v>597</v>
      </c>
      <c r="D7713">
        <v>2276.23</v>
      </c>
      <c r="E7713" s="37" t="str">
        <f t="shared" si="600"/>
        <v xml:space="preserve"> </v>
      </c>
      <c r="F7713">
        <v>0.02</v>
      </c>
      <c r="G7713" s="37" t="str">
        <f t="shared" si="601"/>
        <v>Normal Discount</v>
      </c>
      <c r="H7713" s="37" t="str">
        <f t="shared" si="602"/>
        <v>Low</v>
      </c>
      <c r="I7713">
        <v>8</v>
      </c>
      <c r="J7713" t="str" cm="1">
        <f t="array" ref="J7713">_xlfn.IFS(I7713&lt;=3,"small",I7713&lt;=6,"Medium",I7713&lt;=9,"Large")</f>
        <v>Large</v>
      </c>
      <c r="K7713" s="36">
        <v>44978</v>
      </c>
      <c r="L7713" s="36">
        <v>44984</v>
      </c>
      <c r="M7713" t="s">
        <v>603</v>
      </c>
      <c r="N7713" t="s">
        <v>608</v>
      </c>
      <c r="O7713" s="37" t="str">
        <f t="shared" si="603"/>
        <v>Cash Payment</v>
      </c>
      <c r="P7713">
        <v>211.96</v>
      </c>
      <c r="Q7713" s="37" t="str">
        <f>IF(P7713&gt;500,"High","low")</f>
        <v>low</v>
      </c>
      <c r="R7713" s="37" t="str">
        <f t="shared" si="604"/>
        <v>AVERAGE</v>
      </c>
      <c r="S7713" t="s">
        <v>600</v>
      </c>
    </row>
    <row r="7714" spans="1:19" x14ac:dyDescent="0.2">
      <c r="A7714" t="s">
        <v>8325</v>
      </c>
      <c r="B7714" t="s">
        <v>90</v>
      </c>
      <c r="C7714" t="s">
        <v>602</v>
      </c>
      <c r="D7714">
        <v>4382.8100000000004</v>
      </c>
      <c r="E7714" s="37" t="str">
        <f t="shared" si="600"/>
        <v xml:space="preserve"> </v>
      </c>
      <c r="F7714">
        <v>0.41</v>
      </c>
      <c r="G7714" s="37" t="str">
        <f t="shared" si="601"/>
        <v>Heavy Discount</v>
      </c>
      <c r="H7714" s="37" t="str">
        <f t="shared" si="602"/>
        <v>High</v>
      </c>
      <c r="I7714">
        <v>5</v>
      </c>
      <c r="J7714" t="str" cm="1">
        <f t="array" ref="J7714">_xlfn.IFS(I7714&lt;=3,"small",I7714&lt;=6,"Medium",I7714&lt;=9,"Large")</f>
        <v>Medium</v>
      </c>
      <c r="K7714" s="36">
        <v>45564</v>
      </c>
      <c r="L7714" s="36">
        <v>45566</v>
      </c>
      <c r="M7714" t="s">
        <v>598</v>
      </c>
      <c r="N7714" t="s">
        <v>608</v>
      </c>
      <c r="O7714" s="37" t="str">
        <f t="shared" si="603"/>
        <v>Cash Payment</v>
      </c>
      <c r="P7714">
        <v>515.95000000000005</v>
      </c>
      <c r="Q7714" s="37" t="str">
        <f>IF(P7714&gt;500,"High","low")</f>
        <v>High</v>
      </c>
      <c r="R7714" s="37" t="str">
        <f t="shared" si="604"/>
        <v>Good</v>
      </c>
      <c r="S7714" t="s">
        <v>615</v>
      </c>
    </row>
    <row r="7715" spans="1:19" x14ac:dyDescent="0.2">
      <c r="A7715" t="s">
        <v>8326</v>
      </c>
      <c r="B7715" t="s">
        <v>67</v>
      </c>
      <c r="C7715" t="s">
        <v>602</v>
      </c>
      <c r="D7715">
        <v>3716.88</v>
      </c>
      <c r="E7715" s="37" t="str">
        <f t="shared" si="600"/>
        <v xml:space="preserve"> </v>
      </c>
      <c r="F7715">
        <v>0.33</v>
      </c>
      <c r="G7715" s="37" t="str">
        <f t="shared" si="601"/>
        <v>Heavy Discount</v>
      </c>
      <c r="H7715" s="37" t="str">
        <f t="shared" si="602"/>
        <v>Medium</v>
      </c>
      <c r="I7715">
        <v>9</v>
      </c>
      <c r="J7715" t="str" cm="1">
        <f t="array" ref="J7715">_xlfn.IFS(I7715&lt;=3,"small",I7715&lt;=6,"Medium",I7715&lt;=9,"Large")</f>
        <v>Large</v>
      </c>
      <c r="K7715" s="36">
        <v>45260</v>
      </c>
      <c r="L7715" s="36">
        <v>45264</v>
      </c>
      <c r="M7715" t="s">
        <v>612</v>
      </c>
      <c r="N7715" t="s">
        <v>599</v>
      </c>
      <c r="O7715" s="37" t="str">
        <f t="shared" si="603"/>
        <v>Digital Payment</v>
      </c>
      <c r="P7715">
        <v>1015.45</v>
      </c>
      <c r="Q7715" s="37" t="str">
        <f>IF(P7715&gt;500,"High","low")</f>
        <v>High</v>
      </c>
      <c r="R7715" s="37" t="str">
        <f t="shared" si="604"/>
        <v>Excellent</v>
      </c>
      <c r="S7715" t="s">
        <v>609</v>
      </c>
    </row>
    <row r="7716" spans="1:19" x14ac:dyDescent="0.2">
      <c r="A7716" t="s">
        <v>8327</v>
      </c>
      <c r="B7716" t="s">
        <v>67</v>
      </c>
      <c r="C7716" t="s">
        <v>614</v>
      </c>
      <c r="D7716">
        <v>1861.85</v>
      </c>
      <c r="E7716" s="37" t="str">
        <f t="shared" si="600"/>
        <v xml:space="preserve"> </v>
      </c>
      <c r="F7716">
        <v>0.42</v>
      </c>
      <c r="G7716" s="37" t="str">
        <f t="shared" si="601"/>
        <v>Heavy Discount</v>
      </c>
      <c r="H7716" s="37" t="str">
        <f t="shared" si="602"/>
        <v>High</v>
      </c>
      <c r="I7716">
        <v>3</v>
      </c>
      <c r="J7716" t="str" cm="1">
        <f t="array" ref="J7716">_xlfn.IFS(I7716&lt;=3,"small",I7716&lt;=6,"Medium",I7716&lt;=9,"Large")</f>
        <v>small</v>
      </c>
      <c r="K7716" s="36">
        <v>44978</v>
      </c>
      <c r="L7716" s="36">
        <v>44980</v>
      </c>
      <c r="M7716" t="s">
        <v>612</v>
      </c>
      <c r="N7716" t="s">
        <v>599</v>
      </c>
      <c r="O7716" s="37" t="str">
        <f t="shared" si="603"/>
        <v>Digital Payment</v>
      </c>
      <c r="P7716">
        <v>249.87</v>
      </c>
      <c r="Q7716" s="37" t="str">
        <f>IF(P7716&gt;500,"High","low")</f>
        <v>low</v>
      </c>
      <c r="R7716" s="37" t="str">
        <f t="shared" si="604"/>
        <v>AVERAGE</v>
      </c>
      <c r="S7716" t="s">
        <v>600</v>
      </c>
    </row>
    <row r="7717" spans="1:19" x14ac:dyDescent="0.2">
      <c r="A7717" t="s">
        <v>8328</v>
      </c>
      <c r="B7717" t="s">
        <v>90</v>
      </c>
      <c r="C7717" t="s">
        <v>607</v>
      </c>
      <c r="D7717">
        <v>3648</v>
      </c>
      <c r="E7717" s="37" t="str">
        <f t="shared" si="600"/>
        <v xml:space="preserve"> </v>
      </c>
      <c r="F7717">
        <v>0.12</v>
      </c>
      <c r="G7717" s="37" t="str">
        <f t="shared" si="601"/>
        <v>Normal Discount</v>
      </c>
      <c r="H7717" s="37" t="str">
        <f t="shared" si="602"/>
        <v>Low</v>
      </c>
      <c r="I7717">
        <v>1</v>
      </c>
      <c r="J7717" t="str" cm="1">
        <f t="array" ref="J7717">_xlfn.IFS(I7717&lt;=3,"small",I7717&lt;=6,"Medium",I7717&lt;=9,"Large")</f>
        <v>small</v>
      </c>
      <c r="K7717" s="36">
        <v>45225</v>
      </c>
      <c r="L7717" s="36">
        <v>45232</v>
      </c>
      <c r="M7717" t="s">
        <v>612</v>
      </c>
      <c r="N7717" t="s">
        <v>608</v>
      </c>
      <c r="O7717" s="37" t="str">
        <f t="shared" si="603"/>
        <v>Cash Payment</v>
      </c>
      <c r="P7717">
        <v>240.74</v>
      </c>
      <c r="Q7717" s="37" t="str">
        <f>IF(P7717&gt;500,"High","low")</f>
        <v>low</v>
      </c>
      <c r="R7717" s="37" t="str">
        <f t="shared" si="604"/>
        <v>AVERAGE</v>
      </c>
      <c r="S7717" t="s">
        <v>615</v>
      </c>
    </row>
    <row r="7718" spans="1:19" x14ac:dyDescent="0.2">
      <c r="A7718" t="s">
        <v>8329</v>
      </c>
      <c r="B7718" t="s">
        <v>67</v>
      </c>
      <c r="C7718" t="s">
        <v>617</v>
      </c>
      <c r="D7718">
        <v>2526.52</v>
      </c>
      <c r="E7718" s="37" t="str">
        <f t="shared" si="600"/>
        <v xml:space="preserve"> </v>
      </c>
      <c r="F7718">
        <v>0.42</v>
      </c>
      <c r="G7718" s="37" t="str">
        <f t="shared" si="601"/>
        <v>Heavy Discount</v>
      </c>
      <c r="H7718" s="37" t="str">
        <f t="shared" si="602"/>
        <v>High</v>
      </c>
      <c r="I7718">
        <v>4</v>
      </c>
      <c r="J7718" t="str" cm="1">
        <f t="array" ref="J7718">_xlfn.IFS(I7718&lt;=3,"small",I7718&lt;=6,"Medium",I7718&lt;=9,"Large")</f>
        <v>Medium</v>
      </c>
      <c r="K7718" s="36">
        <v>45534</v>
      </c>
      <c r="L7718" s="36">
        <v>45537</v>
      </c>
      <c r="M7718" t="s">
        <v>603</v>
      </c>
      <c r="N7718" t="s">
        <v>604</v>
      </c>
      <c r="O7718" s="37" t="str">
        <f t="shared" si="603"/>
        <v>Digital Payment</v>
      </c>
      <c r="P7718">
        <v>435.74</v>
      </c>
      <c r="Q7718" s="37" t="str">
        <f>IF(P7718&gt;500,"High","low")</f>
        <v>low</v>
      </c>
      <c r="R7718" s="37" t="str">
        <f t="shared" si="604"/>
        <v>AVERAGE</v>
      </c>
      <c r="S7718" t="s">
        <v>600</v>
      </c>
    </row>
    <row r="7719" spans="1:19" x14ac:dyDescent="0.2">
      <c r="A7719" t="s">
        <v>8330</v>
      </c>
      <c r="B7719" t="s">
        <v>83</v>
      </c>
      <c r="C7719" t="s">
        <v>597</v>
      </c>
      <c r="D7719">
        <v>1077.28</v>
      </c>
      <c r="E7719" s="37" t="str">
        <f t="shared" si="600"/>
        <v xml:space="preserve"> </v>
      </c>
      <c r="F7719">
        <v>0.22</v>
      </c>
      <c r="G7719" s="37" t="str">
        <f t="shared" si="601"/>
        <v>Normal Discount</v>
      </c>
      <c r="H7719" s="37" t="str">
        <f t="shared" si="602"/>
        <v>Medium</v>
      </c>
      <c r="I7719">
        <v>7</v>
      </c>
      <c r="J7719" t="str" cm="1">
        <f t="array" ref="J7719">_xlfn.IFS(I7719&lt;=3,"small",I7719&lt;=6,"Medium",I7719&lt;=9,"Large")</f>
        <v>Large</v>
      </c>
      <c r="K7719" s="36">
        <v>45576</v>
      </c>
      <c r="L7719" s="36">
        <v>45580</v>
      </c>
      <c r="M7719" t="s">
        <v>603</v>
      </c>
      <c r="N7719" t="s">
        <v>599</v>
      </c>
      <c r="O7719" s="37" t="str">
        <f t="shared" si="603"/>
        <v>Digital Payment</v>
      </c>
      <c r="P7719">
        <v>142.49</v>
      </c>
      <c r="Q7719" s="37" t="str">
        <f>IF(P7719&gt;500,"High","low")</f>
        <v>low</v>
      </c>
      <c r="R7719" s="37" t="str">
        <f t="shared" si="604"/>
        <v>AVERAGE</v>
      </c>
      <c r="S7719" t="s">
        <v>615</v>
      </c>
    </row>
    <row r="7720" spans="1:19" x14ac:dyDescent="0.2">
      <c r="A7720" t="s">
        <v>8331</v>
      </c>
      <c r="B7720" t="s">
        <v>67</v>
      </c>
      <c r="C7720" t="s">
        <v>602</v>
      </c>
      <c r="D7720">
        <v>2157.44</v>
      </c>
      <c r="E7720" s="37" t="str">
        <f t="shared" si="600"/>
        <v xml:space="preserve"> </v>
      </c>
      <c r="F7720">
        <v>7.0000000000000007E-2</v>
      </c>
      <c r="G7720" s="37" t="str">
        <f t="shared" si="601"/>
        <v>Normal Discount</v>
      </c>
      <c r="H7720" s="37" t="str">
        <f t="shared" si="602"/>
        <v>Low</v>
      </c>
      <c r="I7720">
        <v>3</v>
      </c>
      <c r="J7720" t="str" cm="1">
        <f t="array" ref="J7720">_xlfn.IFS(I7720&lt;=3,"small",I7720&lt;=6,"Medium",I7720&lt;=9,"Large")</f>
        <v>small</v>
      </c>
      <c r="K7720" s="36">
        <v>45248</v>
      </c>
      <c r="L7720" s="36">
        <v>45250</v>
      </c>
      <c r="M7720" t="s">
        <v>612</v>
      </c>
      <c r="N7720" t="s">
        <v>599</v>
      </c>
      <c r="O7720" s="37" t="str">
        <f t="shared" si="603"/>
        <v>Digital Payment</v>
      </c>
      <c r="P7720">
        <v>366.43</v>
      </c>
      <c r="Q7720" s="37" t="str">
        <f>IF(P7720&gt;500,"High","low")</f>
        <v>low</v>
      </c>
      <c r="R7720" s="37" t="str">
        <f t="shared" si="604"/>
        <v>AVERAGE</v>
      </c>
      <c r="S7720" t="s">
        <v>605</v>
      </c>
    </row>
    <row r="7721" spans="1:19" x14ac:dyDescent="0.2">
      <c r="A7721" t="s">
        <v>8332</v>
      </c>
      <c r="B7721" t="s">
        <v>67</v>
      </c>
      <c r="C7721" t="s">
        <v>617</v>
      </c>
      <c r="D7721">
        <v>1190.56</v>
      </c>
      <c r="E7721" s="37" t="str">
        <f t="shared" si="600"/>
        <v xml:space="preserve"> </v>
      </c>
      <c r="F7721">
        <v>0.45</v>
      </c>
      <c r="G7721" s="37" t="str">
        <f t="shared" si="601"/>
        <v>Heavy Discount</v>
      </c>
      <c r="H7721" s="37" t="str">
        <f t="shared" si="602"/>
        <v>High</v>
      </c>
      <c r="I7721">
        <v>8</v>
      </c>
      <c r="J7721" t="str" cm="1">
        <f t="array" ref="J7721">_xlfn.IFS(I7721&lt;=3,"small",I7721&lt;=6,"Medium",I7721&lt;=9,"Large")</f>
        <v>Large</v>
      </c>
      <c r="K7721" s="36">
        <v>45253</v>
      </c>
      <c r="L7721" s="36">
        <v>45255</v>
      </c>
      <c r="M7721" t="s">
        <v>612</v>
      </c>
      <c r="N7721" t="s">
        <v>604</v>
      </c>
      <c r="O7721" s="37" t="str">
        <f t="shared" si="603"/>
        <v>Digital Payment</v>
      </c>
      <c r="P7721">
        <v>264.7</v>
      </c>
      <c r="Q7721" s="37" t="str">
        <f>IF(P7721&gt;500,"High","low")</f>
        <v>low</v>
      </c>
      <c r="R7721" s="37" t="str">
        <f t="shared" si="604"/>
        <v>AVERAGE</v>
      </c>
      <c r="S7721" t="s">
        <v>615</v>
      </c>
    </row>
    <row r="7722" spans="1:19" x14ac:dyDescent="0.2">
      <c r="A7722" t="s">
        <v>8333</v>
      </c>
      <c r="B7722" t="s">
        <v>67</v>
      </c>
      <c r="C7722" t="s">
        <v>617</v>
      </c>
      <c r="D7722">
        <v>124.38</v>
      </c>
      <c r="E7722" s="37" t="str">
        <f t="shared" si="600"/>
        <v xml:space="preserve"> </v>
      </c>
      <c r="F7722">
        <v>0.35</v>
      </c>
      <c r="G7722" s="37" t="str">
        <f t="shared" si="601"/>
        <v>Heavy Discount</v>
      </c>
      <c r="H7722" s="37" t="str">
        <f t="shared" si="602"/>
        <v>Medium</v>
      </c>
      <c r="I7722">
        <v>2</v>
      </c>
      <c r="J7722" t="str" cm="1">
        <f t="array" ref="J7722">_xlfn.IFS(I7722&lt;=3,"small",I7722&lt;=6,"Medium",I7722&lt;=9,"Large")</f>
        <v>small</v>
      </c>
      <c r="K7722" s="36">
        <v>45539</v>
      </c>
      <c r="L7722" s="36">
        <v>45545</v>
      </c>
      <c r="M7722" t="s">
        <v>603</v>
      </c>
      <c r="N7722" t="s">
        <v>599</v>
      </c>
      <c r="O7722" s="37" t="str">
        <f t="shared" si="603"/>
        <v>Digital Payment</v>
      </c>
      <c r="P7722">
        <v>35.92</v>
      </c>
      <c r="Q7722" s="37" t="str">
        <f>IF(P7722&gt;500,"High","low")</f>
        <v>low</v>
      </c>
      <c r="R7722" s="37" t="str">
        <f t="shared" si="604"/>
        <v>AVERAGE</v>
      </c>
      <c r="S7722" t="s">
        <v>628</v>
      </c>
    </row>
    <row r="7723" spans="1:19" x14ac:dyDescent="0.2">
      <c r="A7723" t="s">
        <v>8334</v>
      </c>
      <c r="B7723" t="s">
        <v>67</v>
      </c>
      <c r="C7723" t="s">
        <v>617</v>
      </c>
      <c r="D7723">
        <v>1309.3</v>
      </c>
      <c r="E7723" s="37" t="str">
        <f t="shared" si="600"/>
        <v xml:space="preserve"> </v>
      </c>
      <c r="F7723">
        <v>0.08</v>
      </c>
      <c r="G7723" s="37" t="str">
        <f t="shared" si="601"/>
        <v>Normal Discount</v>
      </c>
      <c r="H7723" s="37" t="str">
        <f t="shared" si="602"/>
        <v>Low</v>
      </c>
      <c r="I7723">
        <v>9</v>
      </c>
      <c r="J7723" t="str" cm="1">
        <f t="array" ref="J7723">_xlfn.IFS(I7723&lt;=3,"small",I7723&lt;=6,"Medium",I7723&lt;=9,"Large")</f>
        <v>Large</v>
      </c>
      <c r="K7723" s="36">
        <v>44941</v>
      </c>
      <c r="L7723" s="36">
        <v>44942</v>
      </c>
      <c r="M7723" t="s">
        <v>603</v>
      </c>
      <c r="N7723" t="s">
        <v>604</v>
      </c>
      <c r="O7723" s="37" t="str">
        <f t="shared" si="603"/>
        <v>Digital Payment</v>
      </c>
      <c r="P7723">
        <v>320.45</v>
      </c>
      <c r="Q7723" s="37" t="str">
        <f>IF(P7723&gt;500,"High","low")</f>
        <v>low</v>
      </c>
      <c r="R7723" s="37" t="str">
        <f t="shared" si="604"/>
        <v>AVERAGE</v>
      </c>
      <c r="S7723" t="s">
        <v>605</v>
      </c>
    </row>
    <row r="7724" spans="1:19" x14ac:dyDescent="0.2">
      <c r="A7724" t="s">
        <v>8335</v>
      </c>
      <c r="B7724" t="s">
        <v>75</v>
      </c>
      <c r="C7724" t="s">
        <v>607</v>
      </c>
      <c r="D7724">
        <v>1126.6500000000001</v>
      </c>
      <c r="E7724" s="37" t="str">
        <f t="shared" si="600"/>
        <v xml:space="preserve"> </v>
      </c>
      <c r="F7724">
        <v>0.12</v>
      </c>
      <c r="G7724" s="37" t="str">
        <f t="shared" si="601"/>
        <v>Normal Discount</v>
      </c>
      <c r="H7724" s="37" t="str">
        <f t="shared" si="602"/>
        <v>Low</v>
      </c>
      <c r="I7724">
        <v>3</v>
      </c>
      <c r="J7724" t="str" cm="1">
        <f t="array" ref="J7724">_xlfn.IFS(I7724&lt;=3,"small",I7724&lt;=6,"Medium",I7724&lt;=9,"Large")</f>
        <v>small</v>
      </c>
      <c r="K7724" s="36">
        <v>45257</v>
      </c>
      <c r="L7724" s="36">
        <v>45264</v>
      </c>
      <c r="M7724" t="s">
        <v>598</v>
      </c>
      <c r="N7724" t="s">
        <v>604</v>
      </c>
      <c r="O7724" s="37" t="str">
        <f t="shared" si="603"/>
        <v>Digital Payment</v>
      </c>
      <c r="P7724">
        <v>195.66</v>
      </c>
      <c r="Q7724" s="37" t="str">
        <f>IF(P7724&gt;500,"High","low")</f>
        <v>low</v>
      </c>
      <c r="R7724" s="37" t="str">
        <f t="shared" si="604"/>
        <v>AVERAGE</v>
      </c>
      <c r="S7724" t="s">
        <v>609</v>
      </c>
    </row>
    <row r="7725" spans="1:19" x14ac:dyDescent="0.2">
      <c r="A7725" t="s">
        <v>8336</v>
      </c>
      <c r="B7725" t="s">
        <v>75</v>
      </c>
      <c r="C7725" t="s">
        <v>602</v>
      </c>
      <c r="D7725">
        <v>121.25</v>
      </c>
      <c r="E7725" s="37" t="str">
        <f t="shared" si="600"/>
        <v xml:space="preserve"> </v>
      </c>
      <c r="F7725">
        <v>0.13</v>
      </c>
      <c r="G7725" s="37" t="str">
        <f t="shared" si="601"/>
        <v>Normal Discount</v>
      </c>
      <c r="H7725" s="37" t="str">
        <f t="shared" si="602"/>
        <v>Low</v>
      </c>
      <c r="I7725">
        <v>6</v>
      </c>
      <c r="J7725" t="str" cm="1">
        <f t="array" ref="J7725">_xlfn.IFS(I7725&lt;=3,"small",I7725&lt;=6,"Medium",I7725&lt;=9,"Large")</f>
        <v>Medium</v>
      </c>
      <c r="K7725" s="36">
        <v>45522</v>
      </c>
      <c r="L7725" s="36">
        <v>45524</v>
      </c>
      <c r="M7725" t="s">
        <v>612</v>
      </c>
      <c r="N7725" t="s">
        <v>608</v>
      </c>
      <c r="O7725" s="37" t="str">
        <f t="shared" si="603"/>
        <v>Cash Payment</v>
      </c>
      <c r="P7725">
        <v>29.5</v>
      </c>
      <c r="Q7725" s="37" t="str">
        <f>IF(P7725&gt;500,"High","low")</f>
        <v>low</v>
      </c>
      <c r="R7725" s="37" t="str">
        <f t="shared" si="604"/>
        <v>AVERAGE</v>
      </c>
      <c r="S7725" t="s">
        <v>620</v>
      </c>
    </row>
    <row r="7726" spans="1:19" x14ac:dyDescent="0.2">
      <c r="A7726" t="s">
        <v>8337</v>
      </c>
      <c r="B7726" t="s">
        <v>75</v>
      </c>
      <c r="C7726" t="s">
        <v>597</v>
      </c>
      <c r="D7726">
        <v>3941.23</v>
      </c>
      <c r="E7726" s="37" t="str">
        <f t="shared" si="600"/>
        <v xml:space="preserve"> </v>
      </c>
      <c r="F7726">
        <v>0.48</v>
      </c>
      <c r="G7726" s="37" t="str">
        <f t="shared" si="601"/>
        <v>Heavy Discount</v>
      </c>
      <c r="H7726" s="37" t="str">
        <f t="shared" si="602"/>
        <v>High</v>
      </c>
      <c r="I7726">
        <v>7</v>
      </c>
      <c r="J7726" t="str" cm="1">
        <f t="array" ref="J7726">_xlfn.IFS(I7726&lt;=3,"small",I7726&lt;=6,"Medium",I7726&lt;=9,"Large")</f>
        <v>Large</v>
      </c>
      <c r="K7726" s="36">
        <v>45232</v>
      </c>
      <c r="L7726" s="36">
        <v>45239</v>
      </c>
      <c r="M7726" t="s">
        <v>603</v>
      </c>
      <c r="N7726" t="s">
        <v>604</v>
      </c>
      <c r="O7726" s="37" t="str">
        <f t="shared" si="603"/>
        <v>Digital Payment</v>
      </c>
      <c r="P7726">
        <v>433.01</v>
      </c>
      <c r="Q7726" s="37" t="str">
        <f>IF(P7726&gt;500,"High","low")</f>
        <v>low</v>
      </c>
      <c r="R7726" s="37" t="str">
        <f t="shared" si="604"/>
        <v>AVERAGE</v>
      </c>
      <c r="S7726" t="s">
        <v>628</v>
      </c>
    </row>
    <row r="7727" spans="1:19" x14ac:dyDescent="0.2">
      <c r="A7727" t="s">
        <v>8338</v>
      </c>
      <c r="B7727" t="s">
        <v>90</v>
      </c>
      <c r="C7727" t="s">
        <v>602</v>
      </c>
      <c r="D7727">
        <v>477.23</v>
      </c>
      <c r="E7727" s="37" t="str">
        <f t="shared" si="600"/>
        <v xml:space="preserve"> </v>
      </c>
      <c r="F7727">
        <v>0.44</v>
      </c>
      <c r="G7727" s="37" t="str">
        <f t="shared" si="601"/>
        <v>Heavy Discount</v>
      </c>
      <c r="H7727" s="37" t="str">
        <f t="shared" si="602"/>
        <v>High</v>
      </c>
      <c r="I7727">
        <v>5</v>
      </c>
      <c r="J7727" t="str" cm="1">
        <f t="array" ref="J7727">_xlfn.IFS(I7727&lt;=3,"small",I7727&lt;=6,"Medium",I7727&lt;=9,"Large")</f>
        <v>Medium</v>
      </c>
      <c r="K7727" s="36">
        <v>44967</v>
      </c>
      <c r="L7727" s="36">
        <v>44972</v>
      </c>
      <c r="M7727" t="s">
        <v>612</v>
      </c>
      <c r="N7727" t="s">
        <v>604</v>
      </c>
      <c r="O7727" s="37" t="str">
        <f t="shared" si="603"/>
        <v>Digital Payment</v>
      </c>
      <c r="P7727">
        <v>122.55</v>
      </c>
      <c r="Q7727" s="37" t="str">
        <f>IF(P7727&gt;500,"High","low")</f>
        <v>low</v>
      </c>
      <c r="R7727" s="37" t="str">
        <f t="shared" si="604"/>
        <v>AVERAGE</v>
      </c>
      <c r="S7727" t="s">
        <v>620</v>
      </c>
    </row>
    <row r="7728" spans="1:19" x14ac:dyDescent="0.2">
      <c r="A7728" t="s">
        <v>8339</v>
      </c>
      <c r="B7728" t="s">
        <v>90</v>
      </c>
      <c r="C7728" t="s">
        <v>614</v>
      </c>
      <c r="D7728">
        <v>2300.39</v>
      </c>
      <c r="E7728" s="37" t="str">
        <f t="shared" si="600"/>
        <v xml:space="preserve"> </v>
      </c>
      <c r="F7728">
        <v>0.17</v>
      </c>
      <c r="G7728" s="37" t="str">
        <f t="shared" si="601"/>
        <v>Normal Discount</v>
      </c>
      <c r="H7728" s="37" t="str">
        <f t="shared" si="602"/>
        <v>Low</v>
      </c>
      <c r="I7728">
        <v>5</v>
      </c>
      <c r="J7728" t="str" cm="1">
        <f t="array" ref="J7728">_xlfn.IFS(I7728&lt;=3,"small",I7728&lt;=6,"Medium",I7728&lt;=9,"Large")</f>
        <v>Medium</v>
      </c>
      <c r="K7728" s="36">
        <v>44986</v>
      </c>
      <c r="L7728" s="36">
        <v>44989</v>
      </c>
      <c r="M7728" t="s">
        <v>598</v>
      </c>
      <c r="N7728" t="s">
        <v>604</v>
      </c>
      <c r="O7728" s="37" t="str">
        <f t="shared" si="603"/>
        <v>Digital Payment</v>
      </c>
      <c r="P7728">
        <v>432.29</v>
      </c>
      <c r="Q7728" s="37" t="str">
        <f>IF(P7728&gt;500,"High","low")</f>
        <v>low</v>
      </c>
      <c r="R7728" s="37" t="str">
        <f t="shared" si="604"/>
        <v>AVERAGE</v>
      </c>
      <c r="S7728" t="s">
        <v>628</v>
      </c>
    </row>
    <row r="7729" spans="1:19" x14ac:dyDescent="0.2">
      <c r="A7729" t="s">
        <v>8340</v>
      </c>
      <c r="B7729" t="s">
        <v>83</v>
      </c>
      <c r="C7729" t="s">
        <v>597</v>
      </c>
      <c r="D7729">
        <v>2147.63</v>
      </c>
      <c r="E7729" s="37" t="str">
        <f t="shared" si="600"/>
        <v xml:space="preserve"> </v>
      </c>
      <c r="F7729">
        <v>0.23</v>
      </c>
      <c r="G7729" s="37" t="str">
        <f t="shared" si="601"/>
        <v>Normal Discount</v>
      </c>
      <c r="H7729" s="37" t="str">
        <f t="shared" si="602"/>
        <v>Medium</v>
      </c>
      <c r="I7729">
        <v>1</v>
      </c>
      <c r="J7729" t="str" cm="1">
        <f t="array" ref="J7729">_xlfn.IFS(I7729&lt;=3,"small",I7729&lt;=6,"Medium",I7729&lt;=9,"Large")</f>
        <v>small</v>
      </c>
      <c r="K7729" s="36">
        <v>45215</v>
      </c>
      <c r="L7729" s="36">
        <v>45220</v>
      </c>
      <c r="M7729" t="s">
        <v>598</v>
      </c>
      <c r="N7729" t="s">
        <v>599</v>
      </c>
      <c r="O7729" s="37" t="str">
        <f t="shared" si="603"/>
        <v>Digital Payment</v>
      </c>
      <c r="P7729">
        <v>543.51</v>
      </c>
      <c r="Q7729" s="37" t="str">
        <f>IF(P7729&gt;500,"High","low")</f>
        <v>High</v>
      </c>
      <c r="R7729" s="37" t="str">
        <f t="shared" si="604"/>
        <v>Good</v>
      </c>
      <c r="S7729" t="s">
        <v>615</v>
      </c>
    </row>
    <row r="7730" spans="1:19" x14ac:dyDescent="0.2">
      <c r="A7730" t="s">
        <v>8341</v>
      </c>
      <c r="B7730" t="s">
        <v>75</v>
      </c>
      <c r="C7730" t="s">
        <v>602</v>
      </c>
      <c r="D7730">
        <v>988.9</v>
      </c>
      <c r="E7730" s="37" t="str">
        <f t="shared" si="600"/>
        <v xml:space="preserve"> </v>
      </c>
      <c r="F7730">
        <v>0.14000000000000001</v>
      </c>
      <c r="G7730" s="37" t="str">
        <f t="shared" si="601"/>
        <v>Normal Discount</v>
      </c>
      <c r="H7730" s="37" t="str">
        <f t="shared" si="602"/>
        <v>Low</v>
      </c>
      <c r="I7730">
        <v>4</v>
      </c>
      <c r="J7730" t="str" cm="1">
        <f t="array" ref="J7730">_xlfn.IFS(I7730&lt;=3,"small",I7730&lt;=6,"Medium",I7730&lt;=9,"Large")</f>
        <v>Medium</v>
      </c>
      <c r="K7730" s="36">
        <v>45604</v>
      </c>
      <c r="L7730" s="36">
        <v>45607</v>
      </c>
      <c r="M7730" t="s">
        <v>612</v>
      </c>
      <c r="N7730" t="s">
        <v>608</v>
      </c>
      <c r="O7730" s="37" t="str">
        <f t="shared" si="603"/>
        <v>Cash Payment</v>
      </c>
      <c r="P7730">
        <v>191.14</v>
      </c>
      <c r="Q7730" s="37" t="str">
        <f>IF(P7730&gt;500,"High","low")</f>
        <v>low</v>
      </c>
      <c r="R7730" s="37" t="str">
        <f t="shared" si="604"/>
        <v>AVERAGE</v>
      </c>
      <c r="S7730" t="s">
        <v>628</v>
      </c>
    </row>
    <row r="7731" spans="1:19" x14ac:dyDescent="0.2">
      <c r="A7731" t="s">
        <v>8342</v>
      </c>
      <c r="B7731" t="s">
        <v>90</v>
      </c>
      <c r="C7731" t="s">
        <v>597</v>
      </c>
      <c r="D7731">
        <v>4837.66</v>
      </c>
      <c r="E7731" s="37" t="str">
        <f t="shared" si="600"/>
        <v xml:space="preserve"> </v>
      </c>
      <c r="F7731">
        <v>0.37</v>
      </c>
      <c r="G7731" s="37" t="str">
        <f t="shared" si="601"/>
        <v>Heavy Discount</v>
      </c>
      <c r="H7731" s="37" t="str">
        <f t="shared" si="602"/>
        <v>Medium</v>
      </c>
      <c r="I7731">
        <v>1</v>
      </c>
      <c r="J7731" t="str" cm="1">
        <f t="array" ref="J7731">_xlfn.IFS(I7731&lt;=3,"small",I7731&lt;=6,"Medium",I7731&lt;=9,"Large")</f>
        <v>small</v>
      </c>
      <c r="K7731" s="36">
        <v>45394</v>
      </c>
      <c r="L7731" s="36">
        <v>45395</v>
      </c>
      <c r="M7731" t="s">
        <v>603</v>
      </c>
      <c r="N7731" t="s">
        <v>599</v>
      </c>
      <c r="O7731" s="37" t="str">
        <f t="shared" si="603"/>
        <v>Digital Payment</v>
      </c>
      <c r="P7731">
        <v>642.91</v>
      </c>
      <c r="Q7731" s="37" t="str">
        <f>IF(P7731&gt;500,"High","low")</f>
        <v>High</v>
      </c>
      <c r="R7731" s="37" t="str">
        <f t="shared" si="604"/>
        <v>Good</v>
      </c>
      <c r="S7731" t="s">
        <v>615</v>
      </c>
    </row>
    <row r="7732" spans="1:19" x14ac:dyDescent="0.2">
      <c r="A7732" t="s">
        <v>8343</v>
      </c>
      <c r="B7732" t="s">
        <v>67</v>
      </c>
      <c r="C7732" t="s">
        <v>614</v>
      </c>
      <c r="D7732">
        <v>3058.29</v>
      </c>
      <c r="E7732" s="37" t="str">
        <f t="shared" si="600"/>
        <v xml:space="preserve"> </v>
      </c>
      <c r="F7732">
        <v>0.08</v>
      </c>
      <c r="G7732" s="37" t="str">
        <f t="shared" si="601"/>
        <v>Normal Discount</v>
      </c>
      <c r="H7732" s="37" t="str">
        <f t="shared" si="602"/>
        <v>Low</v>
      </c>
      <c r="I7732">
        <v>9</v>
      </c>
      <c r="J7732" t="str" cm="1">
        <f t="array" ref="J7732">_xlfn.IFS(I7732&lt;=3,"small",I7732&lt;=6,"Medium",I7732&lt;=9,"Large")</f>
        <v>Large</v>
      </c>
      <c r="K7732" s="36">
        <v>45304</v>
      </c>
      <c r="L7732" s="36">
        <v>45307</v>
      </c>
      <c r="M7732" t="s">
        <v>598</v>
      </c>
      <c r="N7732" t="s">
        <v>599</v>
      </c>
      <c r="O7732" s="37" t="str">
        <f t="shared" si="603"/>
        <v>Digital Payment</v>
      </c>
      <c r="P7732">
        <v>236.28</v>
      </c>
      <c r="Q7732" s="37" t="str">
        <f>IF(P7732&gt;500,"High","low")</f>
        <v>low</v>
      </c>
      <c r="R7732" s="37" t="str">
        <f t="shared" si="604"/>
        <v>AVERAGE</v>
      </c>
      <c r="S7732" t="s">
        <v>609</v>
      </c>
    </row>
    <row r="7733" spans="1:19" x14ac:dyDescent="0.2">
      <c r="A7733" t="s">
        <v>8344</v>
      </c>
      <c r="B7733" t="s">
        <v>67</v>
      </c>
      <c r="C7733" t="s">
        <v>597</v>
      </c>
      <c r="D7733">
        <v>4086.21</v>
      </c>
      <c r="E7733" s="37" t="str">
        <f t="shared" si="600"/>
        <v xml:space="preserve"> </v>
      </c>
      <c r="F7733">
        <v>0.17</v>
      </c>
      <c r="G7733" s="37" t="str">
        <f t="shared" si="601"/>
        <v>Normal Discount</v>
      </c>
      <c r="H7733" s="37" t="str">
        <f t="shared" si="602"/>
        <v>Low</v>
      </c>
      <c r="I7733">
        <v>9</v>
      </c>
      <c r="J7733" t="str" cm="1">
        <f t="array" ref="J7733">_xlfn.IFS(I7733&lt;=3,"small",I7733&lt;=6,"Medium",I7733&lt;=9,"Large")</f>
        <v>Large</v>
      </c>
      <c r="K7733" s="36">
        <v>45118</v>
      </c>
      <c r="L7733" s="36">
        <v>45119</v>
      </c>
      <c r="M7733" t="s">
        <v>612</v>
      </c>
      <c r="N7733" t="s">
        <v>608</v>
      </c>
      <c r="O7733" s="37" t="str">
        <f t="shared" si="603"/>
        <v>Cash Payment</v>
      </c>
      <c r="P7733">
        <v>679.64</v>
      </c>
      <c r="Q7733" s="37" t="str">
        <f>IF(P7733&gt;500,"High","low")</f>
        <v>High</v>
      </c>
      <c r="R7733" s="37" t="str">
        <f t="shared" si="604"/>
        <v>Good</v>
      </c>
      <c r="S7733" t="s">
        <v>600</v>
      </c>
    </row>
    <row r="7734" spans="1:19" x14ac:dyDescent="0.2">
      <c r="A7734" t="s">
        <v>8345</v>
      </c>
      <c r="B7734" t="s">
        <v>75</v>
      </c>
      <c r="C7734" t="s">
        <v>617</v>
      </c>
      <c r="D7734">
        <v>2531.09</v>
      </c>
      <c r="E7734" s="37" t="str">
        <f t="shared" si="600"/>
        <v xml:space="preserve"> </v>
      </c>
      <c r="F7734">
        <v>0.3</v>
      </c>
      <c r="G7734" s="37" t="str">
        <f t="shared" si="601"/>
        <v>Normal Discount</v>
      </c>
      <c r="H7734" s="37" t="str">
        <f t="shared" si="602"/>
        <v>Medium</v>
      </c>
      <c r="I7734">
        <v>5</v>
      </c>
      <c r="J7734" t="str" cm="1">
        <f t="array" ref="J7734">_xlfn.IFS(I7734&lt;=3,"small",I7734&lt;=6,"Medium",I7734&lt;=9,"Large")</f>
        <v>Medium</v>
      </c>
      <c r="K7734" s="36">
        <v>45320</v>
      </c>
      <c r="L7734" s="36">
        <v>45326</v>
      </c>
      <c r="M7734" t="s">
        <v>603</v>
      </c>
      <c r="N7734" t="s">
        <v>608</v>
      </c>
      <c r="O7734" s="37" t="str">
        <f t="shared" si="603"/>
        <v>Cash Payment</v>
      </c>
      <c r="P7734">
        <v>592.97</v>
      </c>
      <c r="Q7734" s="37" t="str">
        <f>IF(P7734&gt;500,"High","low")</f>
        <v>High</v>
      </c>
      <c r="R7734" s="37" t="str">
        <f t="shared" si="604"/>
        <v>Good</v>
      </c>
      <c r="S7734" t="s">
        <v>615</v>
      </c>
    </row>
    <row r="7735" spans="1:19" x14ac:dyDescent="0.2">
      <c r="A7735" t="s">
        <v>8346</v>
      </c>
      <c r="B7735" t="s">
        <v>83</v>
      </c>
      <c r="C7735" t="s">
        <v>607</v>
      </c>
      <c r="D7735">
        <v>3641.78</v>
      </c>
      <c r="E7735" s="37" t="str">
        <f t="shared" si="600"/>
        <v xml:space="preserve"> </v>
      </c>
      <c r="F7735">
        <v>0.44</v>
      </c>
      <c r="G7735" s="37" t="str">
        <f t="shared" si="601"/>
        <v>Heavy Discount</v>
      </c>
      <c r="H7735" s="37" t="str">
        <f t="shared" si="602"/>
        <v>High</v>
      </c>
      <c r="I7735">
        <v>5</v>
      </c>
      <c r="J7735" t="str" cm="1">
        <f t="array" ref="J7735">_xlfn.IFS(I7735&lt;=3,"small",I7735&lt;=6,"Medium",I7735&lt;=9,"Large")</f>
        <v>Medium</v>
      </c>
      <c r="K7735" s="36">
        <v>45278</v>
      </c>
      <c r="L7735" s="36">
        <v>45284</v>
      </c>
      <c r="M7735" t="s">
        <v>612</v>
      </c>
      <c r="N7735" t="s">
        <v>604</v>
      </c>
      <c r="O7735" s="37" t="str">
        <f t="shared" si="603"/>
        <v>Digital Payment</v>
      </c>
      <c r="P7735">
        <v>452.03</v>
      </c>
      <c r="Q7735" s="37" t="str">
        <f>IF(P7735&gt;500,"High","low")</f>
        <v>low</v>
      </c>
      <c r="R7735" s="37" t="str">
        <f t="shared" si="604"/>
        <v>AVERAGE</v>
      </c>
      <c r="S7735" t="s">
        <v>620</v>
      </c>
    </row>
    <row r="7736" spans="1:19" x14ac:dyDescent="0.2">
      <c r="A7736" t="s">
        <v>8347</v>
      </c>
      <c r="B7736" t="s">
        <v>83</v>
      </c>
      <c r="C7736" t="s">
        <v>614</v>
      </c>
      <c r="D7736">
        <v>4851.92</v>
      </c>
      <c r="E7736" s="37" t="str">
        <f t="shared" si="600"/>
        <v xml:space="preserve"> </v>
      </c>
      <c r="F7736">
        <v>0.32</v>
      </c>
      <c r="G7736" s="37" t="str">
        <f t="shared" si="601"/>
        <v>Heavy Discount</v>
      </c>
      <c r="H7736" s="37" t="str">
        <f t="shared" si="602"/>
        <v>Medium</v>
      </c>
      <c r="I7736">
        <v>5</v>
      </c>
      <c r="J7736" t="str" cm="1">
        <f t="array" ref="J7736">_xlfn.IFS(I7736&lt;=3,"small",I7736&lt;=6,"Medium",I7736&lt;=9,"Large")</f>
        <v>Medium</v>
      </c>
      <c r="K7736" s="36">
        <v>45538</v>
      </c>
      <c r="L7736" s="36">
        <v>45542</v>
      </c>
      <c r="M7736" t="s">
        <v>612</v>
      </c>
      <c r="N7736" t="s">
        <v>608</v>
      </c>
      <c r="O7736" s="37" t="str">
        <f t="shared" si="603"/>
        <v>Cash Payment</v>
      </c>
      <c r="P7736">
        <v>601.85</v>
      </c>
      <c r="Q7736" s="37" t="str">
        <f>IF(P7736&gt;500,"High","low")</f>
        <v>High</v>
      </c>
      <c r="R7736" s="37" t="str">
        <f t="shared" si="604"/>
        <v>Good</v>
      </c>
      <c r="S7736" t="s">
        <v>615</v>
      </c>
    </row>
    <row r="7737" spans="1:19" x14ac:dyDescent="0.2">
      <c r="A7737" t="s">
        <v>8348</v>
      </c>
      <c r="B7737" t="s">
        <v>67</v>
      </c>
      <c r="C7737" t="s">
        <v>597</v>
      </c>
      <c r="D7737">
        <v>1807.19</v>
      </c>
      <c r="E7737" s="37" t="str">
        <f t="shared" si="600"/>
        <v xml:space="preserve"> </v>
      </c>
      <c r="F7737">
        <v>0.47</v>
      </c>
      <c r="G7737" s="37" t="str">
        <f t="shared" si="601"/>
        <v>Heavy Discount</v>
      </c>
      <c r="H7737" s="37" t="str">
        <f t="shared" si="602"/>
        <v>High</v>
      </c>
      <c r="I7737">
        <v>7</v>
      </c>
      <c r="J7737" t="str" cm="1">
        <f t="array" ref="J7737">_xlfn.IFS(I7737&lt;=3,"small",I7737&lt;=6,"Medium",I7737&lt;=9,"Large")</f>
        <v>Large</v>
      </c>
      <c r="K7737" s="36">
        <v>45241</v>
      </c>
      <c r="L7737" s="36">
        <v>45248</v>
      </c>
      <c r="M7737" t="s">
        <v>603</v>
      </c>
      <c r="N7737" t="s">
        <v>599</v>
      </c>
      <c r="O7737" s="37" t="str">
        <f t="shared" si="603"/>
        <v>Digital Payment</v>
      </c>
      <c r="P7737">
        <v>437.65</v>
      </c>
      <c r="Q7737" s="37" t="str">
        <f>IF(P7737&gt;500,"High","low")</f>
        <v>low</v>
      </c>
      <c r="R7737" s="37" t="str">
        <f t="shared" si="604"/>
        <v>AVERAGE</v>
      </c>
      <c r="S7737" t="s">
        <v>615</v>
      </c>
    </row>
    <row r="7738" spans="1:19" x14ac:dyDescent="0.2">
      <c r="A7738" t="s">
        <v>8349</v>
      </c>
      <c r="B7738" t="s">
        <v>83</v>
      </c>
      <c r="C7738" t="s">
        <v>614</v>
      </c>
      <c r="D7738">
        <v>2570.89</v>
      </c>
      <c r="E7738" s="37" t="str">
        <f t="shared" si="600"/>
        <v xml:space="preserve"> </v>
      </c>
      <c r="F7738">
        <v>0.47</v>
      </c>
      <c r="G7738" s="37" t="str">
        <f t="shared" si="601"/>
        <v>Heavy Discount</v>
      </c>
      <c r="H7738" s="37" t="str">
        <f t="shared" si="602"/>
        <v>High</v>
      </c>
      <c r="I7738">
        <v>6</v>
      </c>
      <c r="J7738" t="str" cm="1">
        <f t="array" ref="J7738">_xlfn.IFS(I7738&lt;=3,"small",I7738&lt;=6,"Medium",I7738&lt;=9,"Large")</f>
        <v>Medium</v>
      </c>
      <c r="K7738" s="36">
        <v>45066</v>
      </c>
      <c r="L7738" s="36">
        <v>45071</v>
      </c>
      <c r="M7738" t="s">
        <v>612</v>
      </c>
      <c r="N7738" t="s">
        <v>604</v>
      </c>
      <c r="O7738" s="37" t="str">
        <f t="shared" si="603"/>
        <v>Digital Payment</v>
      </c>
      <c r="P7738">
        <v>248.55</v>
      </c>
      <c r="Q7738" s="37" t="str">
        <f>IF(P7738&gt;500,"High","low")</f>
        <v>low</v>
      </c>
      <c r="R7738" s="37" t="str">
        <f t="shared" si="604"/>
        <v>AVERAGE</v>
      </c>
      <c r="S7738" t="s">
        <v>620</v>
      </c>
    </row>
    <row r="7739" spans="1:19" x14ac:dyDescent="0.2">
      <c r="A7739" t="s">
        <v>8350</v>
      </c>
      <c r="B7739" t="s">
        <v>75</v>
      </c>
      <c r="C7739" t="s">
        <v>617</v>
      </c>
      <c r="D7739">
        <v>2621.23</v>
      </c>
      <c r="E7739" s="37" t="str">
        <f t="shared" si="600"/>
        <v xml:space="preserve"> </v>
      </c>
      <c r="F7739">
        <v>0.36</v>
      </c>
      <c r="G7739" s="37" t="str">
        <f t="shared" si="601"/>
        <v>Heavy Discount</v>
      </c>
      <c r="H7739" s="37" t="str">
        <f t="shared" si="602"/>
        <v>Medium</v>
      </c>
      <c r="I7739">
        <v>2</v>
      </c>
      <c r="J7739" t="str" cm="1">
        <f t="array" ref="J7739">_xlfn.IFS(I7739&lt;=3,"small",I7739&lt;=6,"Medium",I7739&lt;=9,"Large")</f>
        <v>small</v>
      </c>
      <c r="K7739" s="36">
        <v>45496</v>
      </c>
      <c r="L7739" s="36">
        <v>45502</v>
      </c>
      <c r="M7739" t="s">
        <v>612</v>
      </c>
      <c r="N7739" t="s">
        <v>604</v>
      </c>
      <c r="O7739" s="37" t="str">
        <f t="shared" si="603"/>
        <v>Digital Payment</v>
      </c>
      <c r="P7739">
        <v>397.71</v>
      </c>
      <c r="Q7739" s="37" t="str">
        <f>IF(P7739&gt;500,"High","low")</f>
        <v>low</v>
      </c>
      <c r="R7739" s="37" t="str">
        <f t="shared" si="604"/>
        <v>AVERAGE</v>
      </c>
      <c r="S7739" t="s">
        <v>615</v>
      </c>
    </row>
    <row r="7740" spans="1:19" x14ac:dyDescent="0.2">
      <c r="A7740" t="s">
        <v>8351</v>
      </c>
      <c r="B7740" t="s">
        <v>67</v>
      </c>
      <c r="C7740" t="s">
        <v>607</v>
      </c>
      <c r="D7740">
        <v>4960.7700000000004</v>
      </c>
      <c r="E7740" s="37" t="str">
        <f t="shared" si="600"/>
        <v>Excellent Order</v>
      </c>
      <c r="F7740">
        <v>0.14000000000000001</v>
      </c>
      <c r="G7740" s="37" t="str">
        <f t="shared" si="601"/>
        <v>Normal Discount</v>
      </c>
      <c r="H7740" s="37" t="str">
        <f t="shared" si="602"/>
        <v>Low</v>
      </c>
      <c r="I7740">
        <v>3</v>
      </c>
      <c r="J7740" t="str" cm="1">
        <f t="array" ref="J7740">_xlfn.IFS(I7740&lt;=3,"small",I7740&lt;=6,"Medium",I7740&lt;=9,"Large")</f>
        <v>small</v>
      </c>
      <c r="K7740" s="36">
        <v>45143</v>
      </c>
      <c r="L7740" s="36">
        <v>45150</v>
      </c>
      <c r="M7740" t="s">
        <v>603</v>
      </c>
      <c r="N7740" t="s">
        <v>608</v>
      </c>
      <c r="O7740" s="37" t="str">
        <f t="shared" si="603"/>
        <v>Cash Payment</v>
      </c>
      <c r="P7740">
        <v>1014.89</v>
      </c>
      <c r="Q7740" s="37" t="str">
        <f>IF(P7740&gt;500,"High","low")</f>
        <v>High</v>
      </c>
      <c r="R7740" s="37" t="str">
        <f t="shared" si="604"/>
        <v>Excellent</v>
      </c>
      <c r="S7740" t="s">
        <v>615</v>
      </c>
    </row>
    <row r="7741" spans="1:19" x14ac:dyDescent="0.2">
      <c r="A7741" t="s">
        <v>8352</v>
      </c>
      <c r="B7741" t="s">
        <v>90</v>
      </c>
      <c r="C7741" t="s">
        <v>614</v>
      </c>
      <c r="D7741">
        <v>1242.19</v>
      </c>
      <c r="E7741" s="37" t="str">
        <f t="shared" si="600"/>
        <v xml:space="preserve"> </v>
      </c>
      <c r="F7741">
        <v>0.34</v>
      </c>
      <c r="G7741" s="37" t="str">
        <f t="shared" si="601"/>
        <v>Heavy Discount</v>
      </c>
      <c r="H7741" s="37" t="str">
        <f t="shared" si="602"/>
        <v>Medium</v>
      </c>
      <c r="I7741">
        <v>5</v>
      </c>
      <c r="J7741" t="str" cm="1">
        <f t="array" ref="J7741">_xlfn.IFS(I7741&lt;=3,"small",I7741&lt;=6,"Medium",I7741&lt;=9,"Large")</f>
        <v>Medium</v>
      </c>
      <c r="K7741" s="36">
        <v>44935</v>
      </c>
      <c r="L7741" s="36">
        <v>44940</v>
      </c>
      <c r="M7741" t="s">
        <v>612</v>
      </c>
      <c r="N7741" t="s">
        <v>599</v>
      </c>
      <c r="O7741" s="37" t="str">
        <f t="shared" si="603"/>
        <v>Digital Payment</v>
      </c>
      <c r="P7741">
        <v>176.94</v>
      </c>
      <c r="Q7741" s="37" t="str">
        <f>IF(P7741&gt;500,"High","low")</f>
        <v>low</v>
      </c>
      <c r="R7741" s="37" t="str">
        <f t="shared" si="604"/>
        <v>AVERAGE</v>
      </c>
      <c r="S7741" t="s">
        <v>620</v>
      </c>
    </row>
    <row r="7742" spans="1:19" x14ac:dyDescent="0.2">
      <c r="A7742" t="s">
        <v>8353</v>
      </c>
      <c r="B7742" t="s">
        <v>90</v>
      </c>
      <c r="C7742" t="s">
        <v>617</v>
      </c>
      <c r="D7742">
        <v>3409.01</v>
      </c>
      <c r="E7742" s="37" t="str">
        <f t="shared" si="600"/>
        <v xml:space="preserve"> </v>
      </c>
      <c r="F7742">
        <v>0.1</v>
      </c>
      <c r="G7742" s="37" t="str">
        <f t="shared" si="601"/>
        <v>Normal Discount</v>
      </c>
      <c r="H7742" s="37" t="str">
        <f t="shared" si="602"/>
        <v>Low</v>
      </c>
      <c r="I7742">
        <v>7</v>
      </c>
      <c r="J7742" t="str" cm="1">
        <f t="array" ref="J7742">_xlfn.IFS(I7742&lt;=3,"small",I7742&lt;=6,"Medium",I7742&lt;=9,"Large")</f>
        <v>Large</v>
      </c>
      <c r="K7742" s="36">
        <v>45371</v>
      </c>
      <c r="L7742" s="36">
        <v>45372</v>
      </c>
      <c r="M7742" t="s">
        <v>603</v>
      </c>
      <c r="N7742" t="s">
        <v>604</v>
      </c>
      <c r="O7742" s="37" t="str">
        <f t="shared" si="603"/>
        <v>Digital Payment</v>
      </c>
      <c r="P7742">
        <v>992.33</v>
      </c>
      <c r="Q7742" s="37" t="str">
        <f>IF(P7742&gt;500,"High","low")</f>
        <v>High</v>
      </c>
      <c r="R7742" s="37" t="str">
        <f t="shared" si="604"/>
        <v>Good</v>
      </c>
      <c r="S7742" t="s">
        <v>600</v>
      </c>
    </row>
    <row r="7743" spans="1:19" x14ac:dyDescent="0.2">
      <c r="A7743" t="s">
        <v>8354</v>
      </c>
      <c r="B7743" t="s">
        <v>83</v>
      </c>
      <c r="C7743" t="s">
        <v>617</v>
      </c>
      <c r="D7743">
        <v>777.33</v>
      </c>
      <c r="E7743" s="37" t="str">
        <f t="shared" si="600"/>
        <v xml:space="preserve"> </v>
      </c>
      <c r="F7743">
        <v>0.17</v>
      </c>
      <c r="G7743" s="37" t="str">
        <f t="shared" si="601"/>
        <v>Normal Discount</v>
      </c>
      <c r="H7743" s="37" t="str">
        <f t="shared" si="602"/>
        <v>Low</v>
      </c>
      <c r="I7743">
        <v>2</v>
      </c>
      <c r="J7743" t="str" cm="1">
        <f t="array" ref="J7743">_xlfn.IFS(I7743&lt;=3,"small",I7743&lt;=6,"Medium",I7743&lt;=9,"Large")</f>
        <v>small</v>
      </c>
      <c r="K7743" s="36">
        <v>45007</v>
      </c>
      <c r="L7743" s="36">
        <v>45012</v>
      </c>
      <c r="M7743" t="s">
        <v>603</v>
      </c>
      <c r="N7743" t="s">
        <v>608</v>
      </c>
      <c r="O7743" s="37" t="str">
        <f t="shared" si="603"/>
        <v>Cash Payment</v>
      </c>
      <c r="P7743">
        <v>217.56</v>
      </c>
      <c r="Q7743" s="37" t="str">
        <f>IF(P7743&gt;500,"High","low")</f>
        <v>low</v>
      </c>
      <c r="R7743" s="37" t="str">
        <f t="shared" si="604"/>
        <v>AVERAGE</v>
      </c>
      <c r="S7743" t="s">
        <v>609</v>
      </c>
    </row>
    <row r="7744" spans="1:19" x14ac:dyDescent="0.2">
      <c r="A7744" t="s">
        <v>8355</v>
      </c>
      <c r="B7744" t="s">
        <v>67</v>
      </c>
      <c r="C7744" t="s">
        <v>617</v>
      </c>
      <c r="D7744">
        <v>4642.66</v>
      </c>
      <c r="E7744" s="37" t="str">
        <f t="shared" si="600"/>
        <v>Excellent Order</v>
      </c>
      <c r="F7744">
        <v>0.38</v>
      </c>
      <c r="G7744" s="37" t="str">
        <f t="shared" si="601"/>
        <v>Heavy Discount</v>
      </c>
      <c r="H7744" s="37" t="str">
        <f t="shared" si="602"/>
        <v>Medium</v>
      </c>
      <c r="I7744">
        <v>4</v>
      </c>
      <c r="J7744" t="str" cm="1">
        <f t="array" ref="J7744">_xlfn.IFS(I7744&lt;=3,"small",I7744&lt;=6,"Medium",I7744&lt;=9,"Large")</f>
        <v>Medium</v>
      </c>
      <c r="K7744" s="36">
        <v>45644</v>
      </c>
      <c r="L7744" s="36">
        <v>45649</v>
      </c>
      <c r="M7744" t="s">
        <v>598</v>
      </c>
      <c r="N7744" t="s">
        <v>604</v>
      </c>
      <c r="O7744" s="37" t="str">
        <f t="shared" si="603"/>
        <v>Digital Payment</v>
      </c>
      <c r="P7744">
        <v>1333.58</v>
      </c>
      <c r="Q7744" s="37" t="str">
        <f>IF(P7744&gt;500,"High","low")</f>
        <v>High</v>
      </c>
      <c r="R7744" s="37" t="str">
        <f t="shared" si="604"/>
        <v>Excellent</v>
      </c>
      <c r="S7744" t="s">
        <v>615</v>
      </c>
    </row>
    <row r="7745" spans="1:19" x14ac:dyDescent="0.2">
      <c r="A7745" t="s">
        <v>8356</v>
      </c>
      <c r="B7745" t="s">
        <v>67</v>
      </c>
      <c r="C7745" t="s">
        <v>597</v>
      </c>
      <c r="D7745">
        <v>2992.87</v>
      </c>
      <c r="E7745" s="37" t="str">
        <f t="shared" si="600"/>
        <v xml:space="preserve"> </v>
      </c>
      <c r="F7745">
        <v>0.43</v>
      </c>
      <c r="G7745" s="37" t="str">
        <f t="shared" si="601"/>
        <v>Heavy Discount</v>
      </c>
      <c r="H7745" s="37" t="str">
        <f t="shared" si="602"/>
        <v>High</v>
      </c>
      <c r="I7745">
        <v>1</v>
      </c>
      <c r="J7745" t="str" cm="1">
        <f t="array" ref="J7745">_xlfn.IFS(I7745&lt;=3,"small",I7745&lt;=6,"Medium",I7745&lt;=9,"Large")</f>
        <v>small</v>
      </c>
      <c r="K7745" s="36">
        <v>45398</v>
      </c>
      <c r="L7745" s="36">
        <v>45405</v>
      </c>
      <c r="M7745" t="s">
        <v>598</v>
      </c>
      <c r="N7745" t="s">
        <v>608</v>
      </c>
      <c r="O7745" s="37" t="str">
        <f t="shared" si="603"/>
        <v>Cash Payment</v>
      </c>
      <c r="P7745">
        <v>884.6</v>
      </c>
      <c r="Q7745" s="37" t="str">
        <f>IF(P7745&gt;500,"High","low")</f>
        <v>High</v>
      </c>
      <c r="R7745" s="37" t="str">
        <f t="shared" si="604"/>
        <v>Good</v>
      </c>
      <c r="S7745" t="s">
        <v>615</v>
      </c>
    </row>
    <row r="7746" spans="1:19" x14ac:dyDescent="0.2">
      <c r="A7746" t="s">
        <v>8357</v>
      </c>
      <c r="B7746" t="s">
        <v>90</v>
      </c>
      <c r="C7746" t="s">
        <v>602</v>
      </c>
      <c r="D7746">
        <v>4311.12</v>
      </c>
      <c r="E7746" s="37" t="str">
        <f t="shared" si="600"/>
        <v>Excellent Order</v>
      </c>
      <c r="F7746">
        <v>0.21</v>
      </c>
      <c r="G7746" s="37" t="str">
        <f t="shared" si="601"/>
        <v>Normal Discount</v>
      </c>
      <c r="H7746" s="37" t="str">
        <f t="shared" si="602"/>
        <v>Medium</v>
      </c>
      <c r="I7746">
        <v>7</v>
      </c>
      <c r="J7746" t="str" cm="1">
        <f t="array" ref="J7746">_xlfn.IFS(I7746&lt;=3,"small",I7746&lt;=6,"Medium",I7746&lt;=9,"Large")</f>
        <v>Large</v>
      </c>
      <c r="K7746" s="36">
        <v>45543</v>
      </c>
      <c r="L7746" s="36">
        <v>45544</v>
      </c>
      <c r="M7746" t="s">
        <v>612</v>
      </c>
      <c r="N7746" t="s">
        <v>599</v>
      </c>
      <c r="O7746" s="37" t="str">
        <f t="shared" si="603"/>
        <v>Digital Payment</v>
      </c>
      <c r="P7746">
        <v>1264.73</v>
      </c>
      <c r="Q7746" s="37" t="str">
        <f>IF(P7746&gt;500,"High","low")</f>
        <v>High</v>
      </c>
      <c r="R7746" s="37" t="str">
        <f t="shared" si="604"/>
        <v>Excellent</v>
      </c>
      <c r="S7746" t="s">
        <v>600</v>
      </c>
    </row>
    <row r="7747" spans="1:19" x14ac:dyDescent="0.2">
      <c r="A7747" t="s">
        <v>8358</v>
      </c>
      <c r="B7747" t="s">
        <v>67</v>
      </c>
      <c r="C7747" t="s">
        <v>614</v>
      </c>
      <c r="D7747">
        <v>4486.68</v>
      </c>
      <c r="E7747" s="37" t="str">
        <f t="shared" ref="E7747:E7810" si="605">IF(AND(D7747&gt;4000,P7747&gt;800),"Excellent Order"," ")</f>
        <v xml:space="preserve"> </v>
      </c>
      <c r="F7747">
        <v>0.26</v>
      </c>
      <c r="G7747" s="37" t="str">
        <f t="shared" ref="G7747:G7810" si="606">IF(F7747&gt;30%,"Heavy Discount","Normal Discount")</f>
        <v>Normal Discount</v>
      </c>
      <c r="H7747" s="37" t="str">
        <f t="shared" ref="H7747:H7810" si="607">IF(F7747&gt;0.4,"High",IF(F7747&gt;=0.2,"Medium","Low"))</f>
        <v>Medium</v>
      </c>
      <c r="I7747">
        <v>2</v>
      </c>
      <c r="J7747" t="str" cm="1">
        <f t="array" ref="J7747">_xlfn.IFS(I7747&lt;=3,"small",I7747&lt;=6,"Medium",I7747&lt;=9,"Large")</f>
        <v>small</v>
      </c>
      <c r="K7747" s="36">
        <v>45489</v>
      </c>
      <c r="L7747" s="36">
        <v>45490</v>
      </c>
      <c r="M7747" t="s">
        <v>612</v>
      </c>
      <c r="N7747" t="s">
        <v>608</v>
      </c>
      <c r="O7747" s="37" t="str">
        <f t="shared" ref="O7747:O7810" si="608">IF(OR(N7747="Card",N7747="UPI"),"Digital Payment","Cash Payment")</f>
        <v>Cash Payment</v>
      </c>
      <c r="P7747">
        <v>578.94000000000005</v>
      </c>
      <c r="Q7747" s="37" t="str">
        <f>IF(P7747&gt;500,"High","low")</f>
        <v>High</v>
      </c>
      <c r="R7747" s="37" t="str">
        <f t="shared" ref="R7747:R7810" si="609">IF(P7747&gt;1000,"Excellent",IF(P7747&gt;=500,"Good","AVERAGE"))</f>
        <v>Good</v>
      </c>
      <c r="S7747" t="s">
        <v>600</v>
      </c>
    </row>
    <row r="7748" spans="1:19" x14ac:dyDescent="0.2">
      <c r="A7748" t="s">
        <v>8359</v>
      </c>
      <c r="B7748" t="s">
        <v>67</v>
      </c>
      <c r="C7748" t="s">
        <v>602</v>
      </c>
      <c r="D7748">
        <v>2829.84</v>
      </c>
      <c r="E7748" s="37" t="str">
        <f t="shared" si="605"/>
        <v xml:space="preserve"> </v>
      </c>
      <c r="F7748">
        <v>0.19</v>
      </c>
      <c r="G7748" s="37" t="str">
        <f t="shared" si="606"/>
        <v>Normal Discount</v>
      </c>
      <c r="H7748" s="37" t="str">
        <f t="shared" si="607"/>
        <v>Low</v>
      </c>
      <c r="I7748">
        <v>8</v>
      </c>
      <c r="J7748" t="str" cm="1">
        <f t="array" ref="J7748">_xlfn.IFS(I7748&lt;=3,"small",I7748&lt;=6,"Medium",I7748&lt;=9,"Large")</f>
        <v>Large</v>
      </c>
      <c r="K7748" s="36">
        <v>45355</v>
      </c>
      <c r="L7748" s="36">
        <v>45357</v>
      </c>
      <c r="M7748" t="s">
        <v>612</v>
      </c>
      <c r="N7748" t="s">
        <v>608</v>
      </c>
      <c r="O7748" s="37" t="str">
        <f t="shared" si="608"/>
        <v>Cash Payment</v>
      </c>
      <c r="P7748">
        <v>514.74</v>
      </c>
      <c r="Q7748" s="37" t="str">
        <f>IF(P7748&gt;500,"High","low")</f>
        <v>High</v>
      </c>
      <c r="R7748" s="37" t="str">
        <f t="shared" si="609"/>
        <v>Good</v>
      </c>
      <c r="S7748" t="s">
        <v>609</v>
      </c>
    </row>
    <row r="7749" spans="1:19" x14ac:dyDescent="0.2">
      <c r="A7749" t="s">
        <v>8360</v>
      </c>
      <c r="B7749" t="s">
        <v>67</v>
      </c>
      <c r="C7749" t="s">
        <v>617</v>
      </c>
      <c r="D7749">
        <v>3441.84</v>
      </c>
      <c r="E7749" s="37" t="str">
        <f t="shared" si="605"/>
        <v xml:space="preserve"> </v>
      </c>
      <c r="F7749">
        <v>0.24</v>
      </c>
      <c r="G7749" s="37" t="str">
        <f t="shared" si="606"/>
        <v>Normal Discount</v>
      </c>
      <c r="H7749" s="37" t="str">
        <f t="shared" si="607"/>
        <v>Medium</v>
      </c>
      <c r="I7749">
        <v>1</v>
      </c>
      <c r="J7749" t="str" cm="1">
        <f t="array" ref="J7749">_xlfn.IFS(I7749&lt;=3,"small",I7749&lt;=6,"Medium",I7749&lt;=9,"Large")</f>
        <v>small</v>
      </c>
      <c r="K7749" s="36">
        <v>44993</v>
      </c>
      <c r="L7749" s="36">
        <v>44998</v>
      </c>
      <c r="M7749" t="s">
        <v>603</v>
      </c>
      <c r="N7749" t="s">
        <v>599</v>
      </c>
      <c r="O7749" s="37" t="str">
        <f t="shared" si="608"/>
        <v>Digital Payment</v>
      </c>
      <c r="P7749">
        <v>846.49</v>
      </c>
      <c r="Q7749" s="37" t="str">
        <f>IF(P7749&gt;500,"High","low")</f>
        <v>High</v>
      </c>
      <c r="R7749" s="37" t="str">
        <f t="shared" si="609"/>
        <v>Good</v>
      </c>
      <c r="S7749" t="s">
        <v>615</v>
      </c>
    </row>
    <row r="7750" spans="1:19" x14ac:dyDescent="0.2">
      <c r="A7750" t="s">
        <v>8361</v>
      </c>
      <c r="B7750" t="s">
        <v>83</v>
      </c>
      <c r="C7750" t="s">
        <v>602</v>
      </c>
      <c r="D7750">
        <v>3523.73</v>
      </c>
      <c r="E7750" s="37" t="str">
        <f t="shared" si="605"/>
        <v xml:space="preserve"> </v>
      </c>
      <c r="F7750">
        <v>0.26</v>
      </c>
      <c r="G7750" s="37" t="str">
        <f t="shared" si="606"/>
        <v>Normal Discount</v>
      </c>
      <c r="H7750" s="37" t="str">
        <f t="shared" si="607"/>
        <v>Medium</v>
      </c>
      <c r="I7750">
        <v>2</v>
      </c>
      <c r="J7750" t="str" cm="1">
        <f t="array" ref="J7750">_xlfn.IFS(I7750&lt;=3,"small",I7750&lt;=6,"Medium",I7750&lt;=9,"Large")</f>
        <v>small</v>
      </c>
      <c r="K7750" s="36">
        <v>45296</v>
      </c>
      <c r="L7750" s="36">
        <v>45301</v>
      </c>
      <c r="M7750" t="s">
        <v>603</v>
      </c>
      <c r="N7750" t="s">
        <v>599</v>
      </c>
      <c r="O7750" s="37" t="str">
        <f t="shared" si="608"/>
        <v>Digital Payment</v>
      </c>
      <c r="P7750">
        <v>810.12</v>
      </c>
      <c r="Q7750" s="37" t="str">
        <f>IF(P7750&gt;500,"High","low")</f>
        <v>High</v>
      </c>
      <c r="R7750" s="37" t="str">
        <f t="shared" si="609"/>
        <v>Good</v>
      </c>
      <c r="S7750" t="s">
        <v>609</v>
      </c>
    </row>
    <row r="7751" spans="1:19" x14ac:dyDescent="0.2">
      <c r="A7751" t="s">
        <v>8362</v>
      </c>
      <c r="B7751" t="s">
        <v>67</v>
      </c>
      <c r="C7751" t="s">
        <v>617</v>
      </c>
      <c r="D7751">
        <v>2356.36</v>
      </c>
      <c r="E7751" s="37" t="str">
        <f t="shared" si="605"/>
        <v xml:space="preserve"> </v>
      </c>
      <c r="F7751">
        <v>0.35</v>
      </c>
      <c r="G7751" s="37" t="str">
        <f t="shared" si="606"/>
        <v>Heavy Discount</v>
      </c>
      <c r="H7751" s="37" t="str">
        <f t="shared" si="607"/>
        <v>Medium</v>
      </c>
      <c r="I7751">
        <v>8</v>
      </c>
      <c r="J7751" t="str" cm="1">
        <f t="array" ref="J7751">_xlfn.IFS(I7751&lt;=3,"small",I7751&lt;=6,"Medium",I7751&lt;=9,"Large")</f>
        <v>Large</v>
      </c>
      <c r="K7751" s="36">
        <v>45287</v>
      </c>
      <c r="L7751" s="36">
        <v>45291</v>
      </c>
      <c r="M7751" t="s">
        <v>598</v>
      </c>
      <c r="N7751" t="s">
        <v>608</v>
      </c>
      <c r="O7751" s="37" t="str">
        <f t="shared" si="608"/>
        <v>Cash Payment</v>
      </c>
      <c r="P7751">
        <v>272.33999999999997</v>
      </c>
      <c r="Q7751" s="37" t="str">
        <f>IF(P7751&gt;500,"High","low")</f>
        <v>low</v>
      </c>
      <c r="R7751" s="37" t="str">
        <f t="shared" si="609"/>
        <v>AVERAGE</v>
      </c>
      <c r="S7751" t="s">
        <v>600</v>
      </c>
    </row>
    <row r="7752" spans="1:19" x14ac:dyDescent="0.2">
      <c r="A7752" t="s">
        <v>8363</v>
      </c>
      <c r="B7752" t="s">
        <v>75</v>
      </c>
      <c r="C7752" t="s">
        <v>617</v>
      </c>
      <c r="D7752">
        <v>2230.71</v>
      </c>
      <c r="E7752" s="37" t="str">
        <f t="shared" si="605"/>
        <v xml:space="preserve"> </v>
      </c>
      <c r="F7752">
        <v>0.38</v>
      </c>
      <c r="G7752" s="37" t="str">
        <f t="shared" si="606"/>
        <v>Heavy Discount</v>
      </c>
      <c r="H7752" s="37" t="str">
        <f t="shared" si="607"/>
        <v>Medium</v>
      </c>
      <c r="I7752">
        <v>5</v>
      </c>
      <c r="J7752" t="str" cm="1">
        <f t="array" ref="J7752">_xlfn.IFS(I7752&lt;=3,"small",I7752&lt;=6,"Medium",I7752&lt;=9,"Large")</f>
        <v>Medium</v>
      </c>
      <c r="K7752" s="36">
        <v>45006</v>
      </c>
      <c r="L7752" s="36">
        <v>45011</v>
      </c>
      <c r="M7752" t="s">
        <v>598</v>
      </c>
      <c r="N7752" t="s">
        <v>608</v>
      </c>
      <c r="O7752" s="37" t="str">
        <f t="shared" si="608"/>
        <v>Cash Payment</v>
      </c>
      <c r="P7752">
        <v>314.14999999999998</v>
      </c>
      <c r="Q7752" s="37" t="str">
        <f>IF(P7752&gt;500,"High","low")</f>
        <v>low</v>
      </c>
      <c r="R7752" s="37" t="str">
        <f t="shared" si="609"/>
        <v>AVERAGE</v>
      </c>
      <c r="S7752" t="s">
        <v>600</v>
      </c>
    </row>
    <row r="7753" spans="1:19" x14ac:dyDescent="0.2">
      <c r="A7753" t="s">
        <v>8364</v>
      </c>
      <c r="B7753" t="s">
        <v>83</v>
      </c>
      <c r="C7753" t="s">
        <v>607</v>
      </c>
      <c r="D7753">
        <v>1012.32</v>
      </c>
      <c r="E7753" s="37" t="str">
        <f t="shared" si="605"/>
        <v xml:space="preserve"> </v>
      </c>
      <c r="F7753">
        <v>0.49</v>
      </c>
      <c r="G7753" s="37" t="str">
        <f t="shared" si="606"/>
        <v>Heavy Discount</v>
      </c>
      <c r="H7753" s="37" t="str">
        <f t="shared" si="607"/>
        <v>High</v>
      </c>
      <c r="I7753">
        <v>5</v>
      </c>
      <c r="J7753" t="str" cm="1">
        <f t="array" ref="J7753">_xlfn.IFS(I7753&lt;=3,"small",I7753&lt;=6,"Medium",I7753&lt;=9,"Large")</f>
        <v>Medium</v>
      </c>
      <c r="K7753" s="36">
        <v>45456</v>
      </c>
      <c r="L7753" s="36">
        <v>45457</v>
      </c>
      <c r="M7753" t="s">
        <v>612</v>
      </c>
      <c r="N7753" t="s">
        <v>599</v>
      </c>
      <c r="O7753" s="37" t="str">
        <f t="shared" si="608"/>
        <v>Digital Payment</v>
      </c>
      <c r="P7753">
        <v>287.99</v>
      </c>
      <c r="Q7753" s="37" t="str">
        <f>IF(P7753&gt;500,"High","low")</f>
        <v>low</v>
      </c>
      <c r="R7753" s="37" t="str">
        <f t="shared" si="609"/>
        <v>AVERAGE</v>
      </c>
      <c r="S7753" t="s">
        <v>615</v>
      </c>
    </row>
    <row r="7754" spans="1:19" x14ac:dyDescent="0.2">
      <c r="A7754" t="s">
        <v>8365</v>
      </c>
      <c r="B7754" t="s">
        <v>67</v>
      </c>
      <c r="C7754" t="s">
        <v>607</v>
      </c>
      <c r="D7754">
        <v>1981.18</v>
      </c>
      <c r="E7754" s="37" t="str">
        <f t="shared" si="605"/>
        <v xml:space="preserve"> </v>
      </c>
      <c r="F7754">
        <v>0.22</v>
      </c>
      <c r="G7754" s="37" t="str">
        <f t="shared" si="606"/>
        <v>Normal Discount</v>
      </c>
      <c r="H7754" s="37" t="str">
        <f t="shared" si="607"/>
        <v>Medium</v>
      </c>
      <c r="I7754">
        <v>7</v>
      </c>
      <c r="J7754" t="str" cm="1">
        <f t="array" ref="J7754">_xlfn.IFS(I7754&lt;=3,"small",I7754&lt;=6,"Medium",I7754&lt;=9,"Large")</f>
        <v>Large</v>
      </c>
      <c r="K7754" s="36">
        <v>45104</v>
      </c>
      <c r="L7754" s="36">
        <v>45107</v>
      </c>
      <c r="M7754" t="s">
        <v>603</v>
      </c>
      <c r="N7754" t="s">
        <v>604</v>
      </c>
      <c r="O7754" s="37" t="str">
        <f t="shared" si="608"/>
        <v>Digital Payment</v>
      </c>
      <c r="P7754">
        <v>561.4</v>
      </c>
      <c r="Q7754" s="37" t="str">
        <f>IF(P7754&gt;500,"High","low")</f>
        <v>High</v>
      </c>
      <c r="R7754" s="37" t="str">
        <f t="shared" si="609"/>
        <v>Good</v>
      </c>
      <c r="S7754" t="s">
        <v>605</v>
      </c>
    </row>
    <row r="7755" spans="1:19" x14ac:dyDescent="0.2">
      <c r="A7755" t="s">
        <v>8366</v>
      </c>
      <c r="B7755" t="s">
        <v>67</v>
      </c>
      <c r="C7755" t="s">
        <v>602</v>
      </c>
      <c r="D7755">
        <v>4954.71</v>
      </c>
      <c r="E7755" s="37" t="str">
        <f t="shared" si="605"/>
        <v>Excellent Order</v>
      </c>
      <c r="F7755">
        <v>0.04</v>
      </c>
      <c r="G7755" s="37" t="str">
        <f t="shared" si="606"/>
        <v>Normal Discount</v>
      </c>
      <c r="H7755" s="37" t="str">
        <f t="shared" si="607"/>
        <v>Low</v>
      </c>
      <c r="I7755">
        <v>4</v>
      </c>
      <c r="J7755" t="str" cm="1">
        <f t="array" ref="J7755">_xlfn.IFS(I7755&lt;=3,"small",I7755&lt;=6,"Medium",I7755&lt;=9,"Large")</f>
        <v>Medium</v>
      </c>
      <c r="K7755" s="36">
        <v>45580</v>
      </c>
      <c r="L7755" s="36">
        <v>45587</v>
      </c>
      <c r="M7755" t="s">
        <v>603</v>
      </c>
      <c r="N7755" t="s">
        <v>604</v>
      </c>
      <c r="O7755" s="37" t="str">
        <f t="shared" si="608"/>
        <v>Digital Payment</v>
      </c>
      <c r="P7755">
        <v>1146.94</v>
      </c>
      <c r="Q7755" s="37" t="str">
        <f>IF(P7755&gt;500,"High","low")</f>
        <v>High</v>
      </c>
      <c r="R7755" s="37" t="str">
        <f t="shared" si="609"/>
        <v>Excellent</v>
      </c>
      <c r="S7755" t="s">
        <v>620</v>
      </c>
    </row>
    <row r="7756" spans="1:19" x14ac:dyDescent="0.2">
      <c r="A7756" t="s">
        <v>8367</v>
      </c>
      <c r="B7756" t="s">
        <v>75</v>
      </c>
      <c r="C7756" t="s">
        <v>614</v>
      </c>
      <c r="D7756">
        <v>1422.32</v>
      </c>
      <c r="E7756" s="37" t="str">
        <f t="shared" si="605"/>
        <v xml:space="preserve"> </v>
      </c>
      <c r="F7756">
        <v>0.34</v>
      </c>
      <c r="G7756" s="37" t="str">
        <f t="shared" si="606"/>
        <v>Heavy Discount</v>
      </c>
      <c r="H7756" s="37" t="str">
        <f t="shared" si="607"/>
        <v>Medium</v>
      </c>
      <c r="I7756">
        <v>9</v>
      </c>
      <c r="J7756" t="str" cm="1">
        <f t="array" ref="J7756">_xlfn.IFS(I7756&lt;=3,"small",I7756&lt;=6,"Medium",I7756&lt;=9,"Large")</f>
        <v>Large</v>
      </c>
      <c r="K7756" s="36">
        <v>45576</v>
      </c>
      <c r="L7756" s="36">
        <v>45583</v>
      </c>
      <c r="M7756" t="s">
        <v>603</v>
      </c>
      <c r="N7756" t="s">
        <v>608</v>
      </c>
      <c r="O7756" s="37" t="str">
        <f t="shared" si="608"/>
        <v>Cash Payment</v>
      </c>
      <c r="P7756">
        <v>73.430000000000007</v>
      </c>
      <c r="Q7756" s="37" t="str">
        <f>IF(P7756&gt;500,"High","low")</f>
        <v>low</v>
      </c>
      <c r="R7756" s="37" t="str">
        <f t="shared" si="609"/>
        <v>AVERAGE</v>
      </c>
      <c r="S7756" t="s">
        <v>628</v>
      </c>
    </row>
    <row r="7757" spans="1:19" x14ac:dyDescent="0.2">
      <c r="A7757" t="s">
        <v>8368</v>
      </c>
      <c r="B7757" t="s">
        <v>83</v>
      </c>
      <c r="C7757" t="s">
        <v>602</v>
      </c>
      <c r="D7757">
        <v>3835.96</v>
      </c>
      <c r="E7757" s="37" t="str">
        <f t="shared" si="605"/>
        <v xml:space="preserve"> </v>
      </c>
      <c r="F7757">
        <v>0.25</v>
      </c>
      <c r="G7757" s="37" t="str">
        <f t="shared" si="606"/>
        <v>Normal Discount</v>
      </c>
      <c r="H7757" s="37" t="str">
        <f t="shared" si="607"/>
        <v>Medium</v>
      </c>
      <c r="I7757">
        <v>3</v>
      </c>
      <c r="J7757" t="str" cm="1">
        <f t="array" ref="J7757">_xlfn.IFS(I7757&lt;=3,"small",I7757&lt;=6,"Medium",I7757&lt;=9,"Large")</f>
        <v>small</v>
      </c>
      <c r="K7757" s="36">
        <v>45316</v>
      </c>
      <c r="L7757" s="36">
        <v>45318</v>
      </c>
      <c r="M7757" t="s">
        <v>598</v>
      </c>
      <c r="N7757" t="s">
        <v>599</v>
      </c>
      <c r="O7757" s="37" t="str">
        <f t="shared" si="608"/>
        <v>Digital Payment</v>
      </c>
      <c r="P7757">
        <v>686.83</v>
      </c>
      <c r="Q7757" s="37" t="str">
        <f>IF(P7757&gt;500,"High","low")</f>
        <v>High</v>
      </c>
      <c r="R7757" s="37" t="str">
        <f t="shared" si="609"/>
        <v>Good</v>
      </c>
      <c r="S7757" t="s">
        <v>600</v>
      </c>
    </row>
    <row r="7758" spans="1:19" x14ac:dyDescent="0.2">
      <c r="A7758" t="s">
        <v>8369</v>
      </c>
      <c r="B7758" t="s">
        <v>90</v>
      </c>
      <c r="C7758" t="s">
        <v>614</v>
      </c>
      <c r="D7758">
        <v>390.8</v>
      </c>
      <c r="E7758" s="37" t="str">
        <f t="shared" si="605"/>
        <v xml:space="preserve"> </v>
      </c>
      <c r="F7758">
        <v>0.42</v>
      </c>
      <c r="G7758" s="37" t="str">
        <f t="shared" si="606"/>
        <v>Heavy Discount</v>
      </c>
      <c r="H7758" s="37" t="str">
        <f t="shared" si="607"/>
        <v>High</v>
      </c>
      <c r="I7758">
        <v>8</v>
      </c>
      <c r="J7758" t="str" cm="1">
        <f t="array" ref="J7758">_xlfn.IFS(I7758&lt;=3,"small",I7758&lt;=6,"Medium",I7758&lt;=9,"Large")</f>
        <v>Large</v>
      </c>
      <c r="K7758" s="36">
        <v>45551</v>
      </c>
      <c r="L7758" s="36">
        <v>45552</v>
      </c>
      <c r="M7758" t="s">
        <v>598</v>
      </c>
      <c r="N7758" t="s">
        <v>604</v>
      </c>
      <c r="O7758" s="37" t="str">
        <f t="shared" si="608"/>
        <v>Digital Payment</v>
      </c>
      <c r="P7758">
        <v>40.03</v>
      </c>
      <c r="Q7758" s="37" t="str">
        <f>IF(P7758&gt;500,"High","low")</f>
        <v>low</v>
      </c>
      <c r="R7758" s="37" t="str">
        <f t="shared" si="609"/>
        <v>AVERAGE</v>
      </c>
      <c r="S7758" t="s">
        <v>615</v>
      </c>
    </row>
    <row r="7759" spans="1:19" x14ac:dyDescent="0.2">
      <c r="A7759" t="s">
        <v>8370</v>
      </c>
      <c r="B7759" t="s">
        <v>90</v>
      </c>
      <c r="C7759" t="s">
        <v>602</v>
      </c>
      <c r="D7759">
        <v>2390.6</v>
      </c>
      <c r="E7759" s="37" t="str">
        <f t="shared" si="605"/>
        <v xml:space="preserve"> </v>
      </c>
      <c r="F7759">
        <v>7.0000000000000007E-2</v>
      </c>
      <c r="G7759" s="37" t="str">
        <f t="shared" si="606"/>
        <v>Normal Discount</v>
      </c>
      <c r="H7759" s="37" t="str">
        <f t="shared" si="607"/>
        <v>Low</v>
      </c>
      <c r="I7759">
        <v>3</v>
      </c>
      <c r="J7759" t="str" cm="1">
        <f t="array" ref="J7759">_xlfn.IFS(I7759&lt;=3,"small",I7759&lt;=6,"Medium",I7759&lt;=9,"Large")</f>
        <v>small</v>
      </c>
      <c r="K7759" s="36">
        <v>45524</v>
      </c>
      <c r="L7759" s="36">
        <v>45527</v>
      </c>
      <c r="M7759" t="s">
        <v>603</v>
      </c>
      <c r="N7759" t="s">
        <v>599</v>
      </c>
      <c r="O7759" s="37" t="str">
        <f t="shared" si="608"/>
        <v>Digital Payment</v>
      </c>
      <c r="P7759">
        <v>582.59</v>
      </c>
      <c r="Q7759" s="37" t="str">
        <f>IF(P7759&gt;500,"High","low")</f>
        <v>High</v>
      </c>
      <c r="R7759" s="37" t="str">
        <f t="shared" si="609"/>
        <v>Good</v>
      </c>
      <c r="S7759" t="s">
        <v>620</v>
      </c>
    </row>
    <row r="7760" spans="1:19" x14ac:dyDescent="0.2">
      <c r="A7760" t="s">
        <v>8371</v>
      </c>
      <c r="B7760" t="s">
        <v>83</v>
      </c>
      <c r="C7760" t="s">
        <v>597</v>
      </c>
      <c r="D7760">
        <v>386.21</v>
      </c>
      <c r="E7760" s="37" t="str">
        <f t="shared" si="605"/>
        <v xml:space="preserve"> </v>
      </c>
      <c r="F7760">
        <v>0.32</v>
      </c>
      <c r="G7760" s="37" t="str">
        <f t="shared" si="606"/>
        <v>Heavy Discount</v>
      </c>
      <c r="H7760" s="37" t="str">
        <f t="shared" si="607"/>
        <v>Medium</v>
      </c>
      <c r="I7760">
        <v>8</v>
      </c>
      <c r="J7760" t="str" cm="1">
        <f t="array" ref="J7760">_xlfn.IFS(I7760&lt;=3,"small",I7760&lt;=6,"Medium",I7760&lt;=9,"Large")</f>
        <v>Large</v>
      </c>
      <c r="K7760" s="36">
        <v>45312</v>
      </c>
      <c r="L7760" s="36">
        <v>45319</v>
      </c>
      <c r="M7760" t="s">
        <v>603</v>
      </c>
      <c r="N7760" t="s">
        <v>604</v>
      </c>
      <c r="O7760" s="37" t="str">
        <f t="shared" si="608"/>
        <v>Digital Payment</v>
      </c>
      <c r="P7760">
        <v>27.15</v>
      </c>
      <c r="Q7760" s="37" t="str">
        <f>IF(P7760&gt;500,"High","low")</f>
        <v>low</v>
      </c>
      <c r="R7760" s="37" t="str">
        <f t="shared" si="609"/>
        <v>AVERAGE</v>
      </c>
      <c r="S7760" t="s">
        <v>605</v>
      </c>
    </row>
    <row r="7761" spans="1:19" x14ac:dyDescent="0.2">
      <c r="A7761" t="s">
        <v>8372</v>
      </c>
      <c r="B7761" t="s">
        <v>67</v>
      </c>
      <c r="C7761" t="s">
        <v>597</v>
      </c>
      <c r="D7761">
        <v>2431.42</v>
      </c>
      <c r="E7761" s="37" t="str">
        <f t="shared" si="605"/>
        <v xml:space="preserve"> </v>
      </c>
      <c r="F7761">
        <v>0.23</v>
      </c>
      <c r="G7761" s="37" t="str">
        <f t="shared" si="606"/>
        <v>Normal Discount</v>
      </c>
      <c r="H7761" s="37" t="str">
        <f t="shared" si="607"/>
        <v>Medium</v>
      </c>
      <c r="I7761">
        <v>1</v>
      </c>
      <c r="J7761" t="str" cm="1">
        <f t="array" ref="J7761">_xlfn.IFS(I7761&lt;=3,"small",I7761&lt;=6,"Medium",I7761&lt;=9,"Large")</f>
        <v>small</v>
      </c>
      <c r="K7761" s="36">
        <v>45027</v>
      </c>
      <c r="L7761" s="36">
        <v>45033</v>
      </c>
      <c r="M7761" t="s">
        <v>603</v>
      </c>
      <c r="N7761" t="s">
        <v>608</v>
      </c>
      <c r="O7761" s="37" t="str">
        <f t="shared" si="608"/>
        <v>Cash Payment</v>
      </c>
      <c r="P7761">
        <v>612.6</v>
      </c>
      <c r="Q7761" s="37" t="str">
        <f>IF(P7761&gt;500,"High","low")</f>
        <v>High</v>
      </c>
      <c r="R7761" s="37" t="str">
        <f t="shared" si="609"/>
        <v>Good</v>
      </c>
      <c r="S7761" t="s">
        <v>609</v>
      </c>
    </row>
    <row r="7762" spans="1:19" x14ac:dyDescent="0.2">
      <c r="A7762" t="s">
        <v>8373</v>
      </c>
      <c r="B7762" t="s">
        <v>67</v>
      </c>
      <c r="C7762" t="s">
        <v>614</v>
      </c>
      <c r="D7762">
        <v>235.01</v>
      </c>
      <c r="E7762" s="37" t="str">
        <f t="shared" si="605"/>
        <v xml:space="preserve"> </v>
      </c>
      <c r="F7762">
        <v>0.21</v>
      </c>
      <c r="G7762" s="37" t="str">
        <f t="shared" si="606"/>
        <v>Normal Discount</v>
      </c>
      <c r="H7762" s="37" t="str">
        <f t="shared" si="607"/>
        <v>Medium</v>
      </c>
      <c r="I7762">
        <v>7</v>
      </c>
      <c r="J7762" t="str" cm="1">
        <f t="array" ref="J7762">_xlfn.IFS(I7762&lt;=3,"small",I7762&lt;=6,"Medium",I7762&lt;=9,"Large")</f>
        <v>Large</v>
      </c>
      <c r="K7762" s="36">
        <v>45067</v>
      </c>
      <c r="L7762" s="36">
        <v>45073</v>
      </c>
      <c r="M7762" t="s">
        <v>612</v>
      </c>
      <c r="N7762" t="s">
        <v>604</v>
      </c>
      <c r="O7762" s="37" t="str">
        <f t="shared" si="608"/>
        <v>Digital Payment</v>
      </c>
      <c r="P7762">
        <v>29.73</v>
      </c>
      <c r="Q7762" s="37" t="str">
        <f>IF(P7762&gt;500,"High","low")</f>
        <v>low</v>
      </c>
      <c r="R7762" s="37" t="str">
        <f t="shared" si="609"/>
        <v>AVERAGE</v>
      </c>
      <c r="S7762" t="s">
        <v>609</v>
      </c>
    </row>
    <row r="7763" spans="1:19" x14ac:dyDescent="0.2">
      <c r="A7763" t="s">
        <v>8374</v>
      </c>
      <c r="B7763" t="s">
        <v>90</v>
      </c>
      <c r="C7763" t="s">
        <v>607</v>
      </c>
      <c r="D7763">
        <v>3105.14</v>
      </c>
      <c r="E7763" s="37" t="str">
        <f t="shared" si="605"/>
        <v xml:space="preserve"> </v>
      </c>
      <c r="F7763">
        <v>0.28000000000000003</v>
      </c>
      <c r="G7763" s="37" t="str">
        <f t="shared" si="606"/>
        <v>Normal Discount</v>
      </c>
      <c r="H7763" s="37" t="str">
        <f t="shared" si="607"/>
        <v>Medium</v>
      </c>
      <c r="I7763">
        <v>1</v>
      </c>
      <c r="J7763" t="str" cm="1">
        <f t="array" ref="J7763">_xlfn.IFS(I7763&lt;=3,"small",I7763&lt;=6,"Medium",I7763&lt;=9,"Large")</f>
        <v>small</v>
      </c>
      <c r="K7763" s="36">
        <v>45470</v>
      </c>
      <c r="L7763" s="36">
        <v>45475</v>
      </c>
      <c r="M7763" t="s">
        <v>603</v>
      </c>
      <c r="N7763" t="s">
        <v>599</v>
      </c>
      <c r="O7763" s="37" t="str">
        <f t="shared" si="608"/>
        <v>Digital Payment</v>
      </c>
      <c r="P7763">
        <v>443.69</v>
      </c>
      <c r="Q7763" s="37" t="str">
        <f>IF(P7763&gt;500,"High","low")</f>
        <v>low</v>
      </c>
      <c r="R7763" s="37" t="str">
        <f t="shared" si="609"/>
        <v>AVERAGE</v>
      </c>
      <c r="S7763" t="s">
        <v>609</v>
      </c>
    </row>
    <row r="7764" spans="1:19" x14ac:dyDescent="0.2">
      <c r="A7764" t="s">
        <v>8375</v>
      </c>
      <c r="B7764" t="s">
        <v>90</v>
      </c>
      <c r="C7764" t="s">
        <v>614</v>
      </c>
      <c r="D7764">
        <v>2973.89</v>
      </c>
      <c r="E7764" s="37" t="str">
        <f t="shared" si="605"/>
        <v xml:space="preserve"> </v>
      </c>
      <c r="F7764">
        <v>0.34</v>
      </c>
      <c r="G7764" s="37" t="str">
        <f t="shared" si="606"/>
        <v>Heavy Discount</v>
      </c>
      <c r="H7764" s="37" t="str">
        <f t="shared" si="607"/>
        <v>Medium</v>
      </c>
      <c r="I7764">
        <v>2</v>
      </c>
      <c r="J7764" t="str" cm="1">
        <f t="array" ref="J7764">_xlfn.IFS(I7764&lt;=3,"small",I7764&lt;=6,"Medium",I7764&lt;=9,"Large")</f>
        <v>small</v>
      </c>
      <c r="K7764" s="36">
        <v>45425</v>
      </c>
      <c r="L7764" s="36">
        <v>45426</v>
      </c>
      <c r="M7764" t="s">
        <v>603</v>
      </c>
      <c r="N7764" t="s">
        <v>604</v>
      </c>
      <c r="O7764" s="37" t="str">
        <f t="shared" si="608"/>
        <v>Digital Payment</v>
      </c>
      <c r="P7764">
        <v>664.73</v>
      </c>
      <c r="Q7764" s="37" t="str">
        <f>IF(P7764&gt;500,"High","low")</f>
        <v>High</v>
      </c>
      <c r="R7764" s="37" t="str">
        <f t="shared" si="609"/>
        <v>Good</v>
      </c>
      <c r="S7764" t="s">
        <v>620</v>
      </c>
    </row>
    <row r="7765" spans="1:19" x14ac:dyDescent="0.2">
      <c r="A7765" t="s">
        <v>8376</v>
      </c>
      <c r="B7765" t="s">
        <v>90</v>
      </c>
      <c r="C7765" t="s">
        <v>602</v>
      </c>
      <c r="D7765">
        <v>4009.43</v>
      </c>
      <c r="E7765" s="37" t="str">
        <f t="shared" si="605"/>
        <v xml:space="preserve"> </v>
      </c>
      <c r="F7765">
        <v>0.43</v>
      </c>
      <c r="G7765" s="37" t="str">
        <f t="shared" si="606"/>
        <v>Heavy Discount</v>
      </c>
      <c r="H7765" s="37" t="str">
        <f t="shared" si="607"/>
        <v>High</v>
      </c>
      <c r="I7765">
        <v>1</v>
      </c>
      <c r="J7765" t="str" cm="1">
        <f t="array" ref="J7765">_xlfn.IFS(I7765&lt;=3,"small",I7765&lt;=6,"Medium",I7765&lt;=9,"Large")</f>
        <v>small</v>
      </c>
      <c r="K7765" s="36">
        <v>45348</v>
      </c>
      <c r="L7765" s="36">
        <v>45353</v>
      </c>
      <c r="M7765" t="s">
        <v>598</v>
      </c>
      <c r="N7765" t="s">
        <v>599</v>
      </c>
      <c r="O7765" s="37" t="str">
        <f t="shared" si="608"/>
        <v>Digital Payment</v>
      </c>
      <c r="P7765">
        <v>430.28</v>
      </c>
      <c r="Q7765" s="37" t="str">
        <f>IF(P7765&gt;500,"High","low")</f>
        <v>low</v>
      </c>
      <c r="R7765" s="37" t="str">
        <f t="shared" si="609"/>
        <v>AVERAGE</v>
      </c>
      <c r="S7765" t="s">
        <v>628</v>
      </c>
    </row>
    <row r="7766" spans="1:19" x14ac:dyDescent="0.2">
      <c r="A7766" t="s">
        <v>8377</v>
      </c>
      <c r="B7766" t="s">
        <v>75</v>
      </c>
      <c r="C7766" t="s">
        <v>617</v>
      </c>
      <c r="D7766">
        <v>2958.1</v>
      </c>
      <c r="E7766" s="37" t="str">
        <f t="shared" si="605"/>
        <v xml:space="preserve"> </v>
      </c>
      <c r="F7766">
        <v>0.12</v>
      </c>
      <c r="G7766" s="37" t="str">
        <f t="shared" si="606"/>
        <v>Normal Discount</v>
      </c>
      <c r="H7766" s="37" t="str">
        <f t="shared" si="607"/>
        <v>Low</v>
      </c>
      <c r="I7766">
        <v>3</v>
      </c>
      <c r="J7766" t="str" cm="1">
        <f t="array" ref="J7766">_xlfn.IFS(I7766&lt;=3,"small",I7766&lt;=6,"Medium",I7766&lt;=9,"Large")</f>
        <v>small</v>
      </c>
      <c r="K7766" s="36">
        <v>45315</v>
      </c>
      <c r="L7766" s="36">
        <v>45322</v>
      </c>
      <c r="M7766" t="s">
        <v>603</v>
      </c>
      <c r="N7766" t="s">
        <v>608</v>
      </c>
      <c r="O7766" s="37" t="str">
        <f t="shared" si="608"/>
        <v>Cash Payment</v>
      </c>
      <c r="P7766">
        <v>770.75</v>
      </c>
      <c r="Q7766" s="37" t="str">
        <f>IF(P7766&gt;500,"High","low")</f>
        <v>High</v>
      </c>
      <c r="R7766" s="37" t="str">
        <f t="shared" si="609"/>
        <v>Good</v>
      </c>
      <c r="S7766" t="s">
        <v>620</v>
      </c>
    </row>
    <row r="7767" spans="1:19" x14ac:dyDescent="0.2">
      <c r="A7767" t="s">
        <v>8378</v>
      </c>
      <c r="B7767" t="s">
        <v>90</v>
      </c>
      <c r="C7767" t="s">
        <v>597</v>
      </c>
      <c r="D7767">
        <v>4637.3999999999996</v>
      </c>
      <c r="E7767" s="37" t="str">
        <f t="shared" si="605"/>
        <v>Excellent Order</v>
      </c>
      <c r="F7767">
        <v>0.15</v>
      </c>
      <c r="G7767" s="37" t="str">
        <f t="shared" si="606"/>
        <v>Normal Discount</v>
      </c>
      <c r="H7767" s="37" t="str">
        <f t="shared" si="607"/>
        <v>Low</v>
      </c>
      <c r="I7767">
        <v>9</v>
      </c>
      <c r="J7767" t="str" cm="1">
        <f t="array" ref="J7767">_xlfn.IFS(I7767&lt;=3,"small",I7767&lt;=6,"Medium",I7767&lt;=9,"Large")</f>
        <v>Large</v>
      </c>
      <c r="K7767" s="36">
        <v>45064</v>
      </c>
      <c r="L7767" s="36">
        <v>45068</v>
      </c>
      <c r="M7767" t="s">
        <v>598</v>
      </c>
      <c r="N7767" t="s">
        <v>608</v>
      </c>
      <c r="O7767" s="37" t="str">
        <f t="shared" si="608"/>
        <v>Cash Payment</v>
      </c>
      <c r="P7767">
        <v>1310.1600000000001</v>
      </c>
      <c r="Q7767" s="37" t="str">
        <f>IF(P7767&gt;500,"High","low")</f>
        <v>High</v>
      </c>
      <c r="R7767" s="37" t="str">
        <f t="shared" si="609"/>
        <v>Excellent</v>
      </c>
      <c r="S7767" t="s">
        <v>620</v>
      </c>
    </row>
    <row r="7768" spans="1:19" x14ac:dyDescent="0.2">
      <c r="A7768" t="s">
        <v>8379</v>
      </c>
      <c r="B7768" t="s">
        <v>75</v>
      </c>
      <c r="C7768" t="s">
        <v>617</v>
      </c>
      <c r="D7768">
        <v>3937.21</v>
      </c>
      <c r="E7768" s="37" t="str">
        <f t="shared" si="605"/>
        <v xml:space="preserve"> </v>
      </c>
      <c r="F7768">
        <v>0.27</v>
      </c>
      <c r="G7768" s="37" t="str">
        <f t="shared" si="606"/>
        <v>Normal Discount</v>
      </c>
      <c r="H7768" s="37" t="str">
        <f t="shared" si="607"/>
        <v>Medium</v>
      </c>
      <c r="I7768">
        <v>1</v>
      </c>
      <c r="J7768" t="str" cm="1">
        <f t="array" ref="J7768">_xlfn.IFS(I7768&lt;=3,"small",I7768&lt;=6,"Medium",I7768&lt;=9,"Large")</f>
        <v>small</v>
      </c>
      <c r="K7768" s="36">
        <v>45107</v>
      </c>
      <c r="L7768" s="36">
        <v>45111</v>
      </c>
      <c r="M7768" t="s">
        <v>598</v>
      </c>
      <c r="N7768" t="s">
        <v>608</v>
      </c>
      <c r="O7768" s="37" t="str">
        <f t="shared" si="608"/>
        <v>Cash Payment</v>
      </c>
      <c r="P7768">
        <v>1169.52</v>
      </c>
      <c r="Q7768" s="37" t="str">
        <f>IF(P7768&gt;500,"High","low")</f>
        <v>High</v>
      </c>
      <c r="R7768" s="37" t="str">
        <f t="shared" si="609"/>
        <v>Excellent</v>
      </c>
      <c r="S7768" t="s">
        <v>600</v>
      </c>
    </row>
    <row r="7769" spans="1:19" x14ac:dyDescent="0.2">
      <c r="A7769" t="s">
        <v>8380</v>
      </c>
      <c r="B7769" t="s">
        <v>83</v>
      </c>
      <c r="C7769" t="s">
        <v>597</v>
      </c>
      <c r="D7769">
        <v>750.02</v>
      </c>
      <c r="E7769" s="37" t="str">
        <f t="shared" si="605"/>
        <v xml:space="preserve"> </v>
      </c>
      <c r="F7769">
        <v>0.17</v>
      </c>
      <c r="G7769" s="37" t="str">
        <f t="shared" si="606"/>
        <v>Normal Discount</v>
      </c>
      <c r="H7769" s="37" t="str">
        <f t="shared" si="607"/>
        <v>Low</v>
      </c>
      <c r="I7769">
        <v>3</v>
      </c>
      <c r="J7769" t="str" cm="1">
        <f t="array" ref="J7769">_xlfn.IFS(I7769&lt;=3,"small",I7769&lt;=6,"Medium",I7769&lt;=9,"Large")</f>
        <v>small</v>
      </c>
      <c r="K7769" s="36">
        <v>45649</v>
      </c>
      <c r="L7769" s="36">
        <v>45651</v>
      </c>
      <c r="M7769" t="s">
        <v>598</v>
      </c>
      <c r="N7769" t="s">
        <v>599</v>
      </c>
      <c r="O7769" s="37" t="str">
        <f t="shared" si="608"/>
        <v>Digital Payment</v>
      </c>
      <c r="P7769">
        <v>167.4</v>
      </c>
      <c r="Q7769" s="37" t="str">
        <f>IF(P7769&gt;500,"High","low")</f>
        <v>low</v>
      </c>
      <c r="R7769" s="37" t="str">
        <f t="shared" si="609"/>
        <v>AVERAGE</v>
      </c>
      <c r="S7769" t="s">
        <v>605</v>
      </c>
    </row>
    <row r="7770" spans="1:19" x14ac:dyDescent="0.2">
      <c r="A7770" t="s">
        <v>8381</v>
      </c>
      <c r="B7770" t="s">
        <v>67</v>
      </c>
      <c r="C7770" t="s">
        <v>602</v>
      </c>
      <c r="D7770">
        <v>1400.82</v>
      </c>
      <c r="E7770" s="37" t="str">
        <f t="shared" si="605"/>
        <v xml:space="preserve"> </v>
      </c>
      <c r="F7770">
        <v>0.28000000000000003</v>
      </c>
      <c r="G7770" s="37" t="str">
        <f t="shared" si="606"/>
        <v>Normal Discount</v>
      </c>
      <c r="H7770" s="37" t="str">
        <f t="shared" si="607"/>
        <v>Medium</v>
      </c>
      <c r="I7770">
        <v>2</v>
      </c>
      <c r="J7770" t="str" cm="1">
        <f t="array" ref="J7770">_xlfn.IFS(I7770&lt;=3,"small",I7770&lt;=6,"Medium",I7770&lt;=9,"Large")</f>
        <v>small</v>
      </c>
      <c r="K7770" s="36">
        <v>45344</v>
      </c>
      <c r="L7770" s="36">
        <v>45347</v>
      </c>
      <c r="M7770" t="s">
        <v>603</v>
      </c>
      <c r="N7770" t="s">
        <v>599</v>
      </c>
      <c r="O7770" s="37" t="str">
        <f t="shared" si="608"/>
        <v>Digital Payment</v>
      </c>
      <c r="P7770">
        <v>266.47000000000003</v>
      </c>
      <c r="Q7770" s="37" t="str">
        <f>IF(P7770&gt;500,"High","low")</f>
        <v>low</v>
      </c>
      <c r="R7770" s="37" t="str">
        <f t="shared" si="609"/>
        <v>AVERAGE</v>
      </c>
      <c r="S7770" t="s">
        <v>615</v>
      </c>
    </row>
    <row r="7771" spans="1:19" x14ac:dyDescent="0.2">
      <c r="A7771" t="s">
        <v>8382</v>
      </c>
      <c r="B7771" t="s">
        <v>90</v>
      </c>
      <c r="C7771" t="s">
        <v>597</v>
      </c>
      <c r="D7771">
        <v>228.53</v>
      </c>
      <c r="E7771" s="37" t="str">
        <f t="shared" si="605"/>
        <v xml:space="preserve"> </v>
      </c>
      <c r="F7771">
        <v>0.1</v>
      </c>
      <c r="G7771" s="37" t="str">
        <f t="shared" si="606"/>
        <v>Normal Discount</v>
      </c>
      <c r="H7771" s="37" t="str">
        <f t="shared" si="607"/>
        <v>Low</v>
      </c>
      <c r="I7771">
        <v>5</v>
      </c>
      <c r="J7771" t="str" cm="1">
        <f t="array" ref="J7771">_xlfn.IFS(I7771&lt;=3,"small",I7771&lt;=6,"Medium",I7771&lt;=9,"Large")</f>
        <v>Medium</v>
      </c>
      <c r="K7771" s="36">
        <v>45468</v>
      </c>
      <c r="L7771" s="36">
        <v>45469</v>
      </c>
      <c r="M7771" t="s">
        <v>612</v>
      </c>
      <c r="N7771" t="s">
        <v>604</v>
      </c>
      <c r="O7771" s="37" t="str">
        <f t="shared" si="608"/>
        <v>Digital Payment</v>
      </c>
      <c r="P7771">
        <v>62.34</v>
      </c>
      <c r="Q7771" s="37" t="str">
        <f>IF(P7771&gt;500,"High","low")</f>
        <v>low</v>
      </c>
      <c r="R7771" s="37" t="str">
        <f t="shared" si="609"/>
        <v>AVERAGE</v>
      </c>
      <c r="S7771" t="s">
        <v>620</v>
      </c>
    </row>
    <row r="7772" spans="1:19" x14ac:dyDescent="0.2">
      <c r="A7772" t="s">
        <v>8383</v>
      </c>
      <c r="B7772" t="s">
        <v>67</v>
      </c>
      <c r="C7772" t="s">
        <v>614</v>
      </c>
      <c r="D7772">
        <v>1992.06</v>
      </c>
      <c r="E7772" s="37" t="str">
        <f t="shared" si="605"/>
        <v xml:space="preserve"> </v>
      </c>
      <c r="F7772">
        <v>0.15</v>
      </c>
      <c r="G7772" s="37" t="str">
        <f t="shared" si="606"/>
        <v>Normal Discount</v>
      </c>
      <c r="H7772" s="37" t="str">
        <f t="shared" si="607"/>
        <v>Low</v>
      </c>
      <c r="I7772">
        <v>7</v>
      </c>
      <c r="J7772" t="str" cm="1">
        <f t="array" ref="J7772">_xlfn.IFS(I7772&lt;=3,"small",I7772&lt;=6,"Medium",I7772&lt;=9,"Large")</f>
        <v>Large</v>
      </c>
      <c r="K7772" s="36">
        <v>45577</v>
      </c>
      <c r="L7772" s="36">
        <v>45584</v>
      </c>
      <c r="M7772" t="s">
        <v>612</v>
      </c>
      <c r="N7772" t="s">
        <v>599</v>
      </c>
      <c r="O7772" s="37" t="str">
        <f t="shared" si="608"/>
        <v>Digital Payment</v>
      </c>
      <c r="P7772">
        <v>240.79</v>
      </c>
      <c r="Q7772" s="37" t="str">
        <f>IF(P7772&gt;500,"High","low")</f>
        <v>low</v>
      </c>
      <c r="R7772" s="37" t="str">
        <f t="shared" si="609"/>
        <v>AVERAGE</v>
      </c>
      <c r="S7772" t="s">
        <v>609</v>
      </c>
    </row>
    <row r="7773" spans="1:19" x14ac:dyDescent="0.2">
      <c r="A7773" t="s">
        <v>8384</v>
      </c>
      <c r="B7773" t="s">
        <v>67</v>
      </c>
      <c r="C7773" t="s">
        <v>617</v>
      </c>
      <c r="D7773">
        <v>2596.73</v>
      </c>
      <c r="E7773" s="37" t="str">
        <f t="shared" si="605"/>
        <v xml:space="preserve"> </v>
      </c>
      <c r="F7773">
        <v>0.16</v>
      </c>
      <c r="G7773" s="37" t="str">
        <f t="shared" si="606"/>
        <v>Normal Discount</v>
      </c>
      <c r="H7773" s="37" t="str">
        <f t="shared" si="607"/>
        <v>Low</v>
      </c>
      <c r="I7773">
        <v>6</v>
      </c>
      <c r="J7773" t="str" cm="1">
        <f t="array" ref="J7773">_xlfn.IFS(I7773&lt;=3,"small",I7773&lt;=6,"Medium",I7773&lt;=9,"Large")</f>
        <v>Medium</v>
      </c>
      <c r="K7773" s="36">
        <v>45524</v>
      </c>
      <c r="L7773" s="36">
        <v>45526</v>
      </c>
      <c r="M7773" t="s">
        <v>603</v>
      </c>
      <c r="N7773" t="s">
        <v>604</v>
      </c>
      <c r="O7773" s="37" t="str">
        <f t="shared" si="608"/>
        <v>Digital Payment</v>
      </c>
      <c r="P7773">
        <v>475.73</v>
      </c>
      <c r="Q7773" s="37" t="str">
        <f>IF(P7773&gt;500,"High","low")</f>
        <v>low</v>
      </c>
      <c r="R7773" s="37" t="str">
        <f t="shared" si="609"/>
        <v>AVERAGE</v>
      </c>
      <c r="S7773" t="s">
        <v>600</v>
      </c>
    </row>
    <row r="7774" spans="1:19" x14ac:dyDescent="0.2">
      <c r="A7774" t="s">
        <v>8385</v>
      </c>
      <c r="B7774" t="s">
        <v>90</v>
      </c>
      <c r="C7774" t="s">
        <v>617</v>
      </c>
      <c r="D7774">
        <v>4735.1400000000003</v>
      </c>
      <c r="E7774" s="37" t="str">
        <f t="shared" si="605"/>
        <v xml:space="preserve"> </v>
      </c>
      <c r="F7774">
        <v>0.5</v>
      </c>
      <c r="G7774" s="37" t="str">
        <f t="shared" si="606"/>
        <v>Heavy Discount</v>
      </c>
      <c r="H7774" s="37" t="str">
        <f t="shared" si="607"/>
        <v>High</v>
      </c>
      <c r="I7774">
        <v>5</v>
      </c>
      <c r="J7774" t="str" cm="1">
        <f t="array" ref="J7774">_xlfn.IFS(I7774&lt;=3,"small",I7774&lt;=6,"Medium",I7774&lt;=9,"Large")</f>
        <v>Medium</v>
      </c>
      <c r="K7774" s="36">
        <v>45084</v>
      </c>
      <c r="L7774" s="36">
        <v>45091</v>
      </c>
      <c r="M7774" t="s">
        <v>598</v>
      </c>
      <c r="N7774" t="s">
        <v>604</v>
      </c>
      <c r="O7774" s="37" t="str">
        <f t="shared" si="608"/>
        <v>Digital Payment</v>
      </c>
      <c r="P7774">
        <v>493.82</v>
      </c>
      <c r="Q7774" s="37" t="str">
        <f>IF(P7774&gt;500,"High","low")</f>
        <v>low</v>
      </c>
      <c r="R7774" s="37" t="str">
        <f t="shared" si="609"/>
        <v>AVERAGE</v>
      </c>
      <c r="S7774" t="s">
        <v>609</v>
      </c>
    </row>
    <row r="7775" spans="1:19" x14ac:dyDescent="0.2">
      <c r="A7775" t="s">
        <v>8386</v>
      </c>
      <c r="B7775" t="s">
        <v>90</v>
      </c>
      <c r="C7775" t="s">
        <v>602</v>
      </c>
      <c r="D7775">
        <v>2659.11</v>
      </c>
      <c r="E7775" s="37" t="str">
        <f t="shared" si="605"/>
        <v xml:space="preserve"> </v>
      </c>
      <c r="F7775">
        <v>0.43</v>
      </c>
      <c r="G7775" s="37" t="str">
        <f t="shared" si="606"/>
        <v>Heavy Discount</v>
      </c>
      <c r="H7775" s="37" t="str">
        <f t="shared" si="607"/>
        <v>High</v>
      </c>
      <c r="I7775">
        <v>3</v>
      </c>
      <c r="J7775" t="str" cm="1">
        <f t="array" ref="J7775">_xlfn.IFS(I7775&lt;=3,"small",I7775&lt;=6,"Medium",I7775&lt;=9,"Large")</f>
        <v>small</v>
      </c>
      <c r="K7775" s="36">
        <v>45439</v>
      </c>
      <c r="L7775" s="36">
        <v>45444</v>
      </c>
      <c r="M7775" t="s">
        <v>598</v>
      </c>
      <c r="N7775" t="s">
        <v>604</v>
      </c>
      <c r="O7775" s="37" t="str">
        <f t="shared" si="608"/>
        <v>Digital Payment</v>
      </c>
      <c r="P7775">
        <v>349.58</v>
      </c>
      <c r="Q7775" s="37" t="str">
        <f>IF(P7775&gt;500,"High","low")</f>
        <v>low</v>
      </c>
      <c r="R7775" s="37" t="str">
        <f t="shared" si="609"/>
        <v>AVERAGE</v>
      </c>
      <c r="S7775" t="s">
        <v>615</v>
      </c>
    </row>
    <row r="7776" spans="1:19" x14ac:dyDescent="0.2">
      <c r="A7776" t="s">
        <v>8387</v>
      </c>
      <c r="B7776" t="s">
        <v>83</v>
      </c>
      <c r="C7776" t="s">
        <v>617</v>
      </c>
      <c r="D7776">
        <v>3927.04</v>
      </c>
      <c r="E7776" s="37" t="str">
        <f t="shared" si="605"/>
        <v xml:space="preserve"> </v>
      </c>
      <c r="F7776">
        <v>0.42</v>
      </c>
      <c r="G7776" s="37" t="str">
        <f t="shared" si="606"/>
        <v>Heavy Discount</v>
      </c>
      <c r="H7776" s="37" t="str">
        <f t="shared" si="607"/>
        <v>High</v>
      </c>
      <c r="I7776">
        <v>7</v>
      </c>
      <c r="J7776" t="str" cm="1">
        <f t="array" ref="J7776">_xlfn.IFS(I7776&lt;=3,"small",I7776&lt;=6,"Medium",I7776&lt;=9,"Large")</f>
        <v>Large</v>
      </c>
      <c r="K7776" s="36">
        <v>44932</v>
      </c>
      <c r="L7776" s="36">
        <v>44933</v>
      </c>
      <c r="M7776" t="s">
        <v>612</v>
      </c>
      <c r="N7776" t="s">
        <v>608</v>
      </c>
      <c r="O7776" s="37" t="str">
        <f t="shared" si="608"/>
        <v>Cash Payment</v>
      </c>
      <c r="P7776">
        <v>885.88</v>
      </c>
      <c r="Q7776" s="37" t="str">
        <f>IF(P7776&gt;500,"High","low")</f>
        <v>High</v>
      </c>
      <c r="R7776" s="37" t="str">
        <f t="shared" si="609"/>
        <v>Good</v>
      </c>
      <c r="S7776" t="s">
        <v>600</v>
      </c>
    </row>
    <row r="7777" spans="1:19" x14ac:dyDescent="0.2">
      <c r="A7777" t="s">
        <v>8388</v>
      </c>
      <c r="B7777" t="s">
        <v>75</v>
      </c>
      <c r="C7777" t="s">
        <v>602</v>
      </c>
      <c r="D7777">
        <v>1413.32</v>
      </c>
      <c r="E7777" s="37" t="str">
        <f t="shared" si="605"/>
        <v xml:space="preserve"> </v>
      </c>
      <c r="F7777">
        <v>0.26</v>
      </c>
      <c r="G7777" s="37" t="str">
        <f t="shared" si="606"/>
        <v>Normal Discount</v>
      </c>
      <c r="H7777" s="37" t="str">
        <f t="shared" si="607"/>
        <v>Medium</v>
      </c>
      <c r="I7777">
        <v>9</v>
      </c>
      <c r="J7777" t="str" cm="1">
        <f t="array" ref="J7777">_xlfn.IFS(I7777&lt;=3,"small",I7777&lt;=6,"Medium",I7777&lt;=9,"Large")</f>
        <v>Large</v>
      </c>
      <c r="K7777" s="36">
        <v>45516</v>
      </c>
      <c r="L7777" s="36">
        <v>45517</v>
      </c>
      <c r="M7777" t="s">
        <v>603</v>
      </c>
      <c r="N7777" t="s">
        <v>608</v>
      </c>
      <c r="O7777" s="37" t="str">
        <f t="shared" si="608"/>
        <v>Cash Payment</v>
      </c>
      <c r="P7777">
        <v>105.08</v>
      </c>
      <c r="Q7777" s="37" t="str">
        <f>IF(P7777&gt;500,"High","low")</f>
        <v>low</v>
      </c>
      <c r="R7777" s="37" t="str">
        <f t="shared" si="609"/>
        <v>AVERAGE</v>
      </c>
      <c r="S7777" t="s">
        <v>615</v>
      </c>
    </row>
    <row r="7778" spans="1:19" x14ac:dyDescent="0.2">
      <c r="A7778" t="s">
        <v>8389</v>
      </c>
      <c r="B7778" t="s">
        <v>75</v>
      </c>
      <c r="C7778" t="s">
        <v>607</v>
      </c>
      <c r="D7778">
        <v>850.48</v>
      </c>
      <c r="E7778" s="37" t="str">
        <f t="shared" si="605"/>
        <v xml:space="preserve"> </v>
      </c>
      <c r="F7778">
        <v>0.23</v>
      </c>
      <c r="G7778" s="37" t="str">
        <f t="shared" si="606"/>
        <v>Normal Discount</v>
      </c>
      <c r="H7778" s="37" t="str">
        <f t="shared" si="607"/>
        <v>Medium</v>
      </c>
      <c r="I7778">
        <v>2</v>
      </c>
      <c r="J7778" t="str" cm="1">
        <f t="array" ref="J7778">_xlfn.IFS(I7778&lt;=3,"small",I7778&lt;=6,"Medium",I7778&lt;=9,"Large")</f>
        <v>small</v>
      </c>
      <c r="K7778" s="36">
        <v>45622</v>
      </c>
      <c r="L7778" s="36">
        <v>45627</v>
      </c>
      <c r="M7778" t="s">
        <v>598</v>
      </c>
      <c r="N7778" t="s">
        <v>604</v>
      </c>
      <c r="O7778" s="37" t="str">
        <f t="shared" si="608"/>
        <v>Digital Payment</v>
      </c>
      <c r="P7778">
        <v>145.84</v>
      </c>
      <c r="Q7778" s="37" t="str">
        <f>IF(P7778&gt;500,"High","low")</f>
        <v>low</v>
      </c>
      <c r="R7778" s="37" t="str">
        <f t="shared" si="609"/>
        <v>AVERAGE</v>
      </c>
      <c r="S7778" t="s">
        <v>620</v>
      </c>
    </row>
    <row r="7779" spans="1:19" x14ac:dyDescent="0.2">
      <c r="A7779" t="s">
        <v>8390</v>
      </c>
      <c r="B7779" t="s">
        <v>67</v>
      </c>
      <c r="C7779" t="s">
        <v>614</v>
      </c>
      <c r="D7779">
        <v>4073.1</v>
      </c>
      <c r="E7779" s="37" t="str">
        <f t="shared" si="605"/>
        <v>Excellent Order</v>
      </c>
      <c r="F7779">
        <v>0.04</v>
      </c>
      <c r="G7779" s="37" t="str">
        <f t="shared" si="606"/>
        <v>Normal Discount</v>
      </c>
      <c r="H7779" s="37" t="str">
        <f t="shared" si="607"/>
        <v>Low</v>
      </c>
      <c r="I7779">
        <v>6</v>
      </c>
      <c r="J7779" t="str" cm="1">
        <f t="array" ref="J7779">_xlfn.IFS(I7779&lt;=3,"small",I7779&lt;=6,"Medium",I7779&lt;=9,"Large")</f>
        <v>Medium</v>
      </c>
      <c r="K7779" s="36">
        <v>45121</v>
      </c>
      <c r="L7779" s="36">
        <v>45123</v>
      </c>
      <c r="M7779" t="s">
        <v>603</v>
      </c>
      <c r="N7779" t="s">
        <v>599</v>
      </c>
      <c r="O7779" s="37" t="str">
        <f t="shared" si="608"/>
        <v>Digital Payment</v>
      </c>
      <c r="P7779">
        <v>1060.44</v>
      </c>
      <c r="Q7779" s="37" t="str">
        <f>IF(P7779&gt;500,"High","low")</f>
        <v>High</v>
      </c>
      <c r="R7779" s="37" t="str">
        <f t="shared" si="609"/>
        <v>Excellent</v>
      </c>
      <c r="S7779" t="s">
        <v>600</v>
      </c>
    </row>
    <row r="7780" spans="1:19" x14ac:dyDescent="0.2">
      <c r="A7780" t="s">
        <v>8391</v>
      </c>
      <c r="B7780" t="s">
        <v>90</v>
      </c>
      <c r="C7780" t="s">
        <v>597</v>
      </c>
      <c r="D7780">
        <v>1312.38</v>
      </c>
      <c r="E7780" s="37" t="str">
        <f t="shared" si="605"/>
        <v xml:space="preserve"> </v>
      </c>
      <c r="F7780">
        <v>0.1</v>
      </c>
      <c r="G7780" s="37" t="str">
        <f t="shared" si="606"/>
        <v>Normal Discount</v>
      </c>
      <c r="H7780" s="37" t="str">
        <f t="shared" si="607"/>
        <v>Low</v>
      </c>
      <c r="I7780">
        <v>5</v>
      </c>
      <c r="J7780" t="str" cm="1">
        <f t="array" ref="J7780">_xlfn.IFS(I7780&lt;=3,"small",I7780&lt;=6,"Medium",I7780&lt;=9,"Large")</f>
        <v>Medium</v>
      </c>
      <c r="K7780" s="36">
        <v>44984</v>
      </c>
      <c r="L7780" s="36">
        <v>44986</v>
      </c>
      <c r="M7780" t="s">
        <v>603</v>
      </c>
      <c r="N7780" t="s">
        <v>599</v>
      </c>
      <c r="O7780" s="37" t="str">
        <f t="shared" si="608"/>
        <v>Digital Payment</v>
      </c>
      <c r="P7780">
        <v>228.32</v>
      </c>
      <c r="Q7780" s="37" t="str">
        <f>IF(P7780&gt;500,"High","low")</f>
        <v>low</v>
      </c>
      <c r="R7780" s="37" t="str">
        <f t="shared" si="609"/>
        <v>AVERAGE</v>
      </c>
      <c r="S7780" t="s">
        <v>615</v>
      </c>
    </row>
    <row r="7781" spans="1:19" x14ac:dyDescent="0.2">
      <c r="A7781" t="s">
        <v>8392</v>
      </c>
      <c r="B7781" t="s">
        <v>83</v>
      </c>
      <c r="C7781" t="s">
        <v>597</v>
      </c>
      <c r="D7781">
        <v>4369.54</v>
      </c>
      <c r="E7781" s="37" t="str">
        <f t="shared" si="605"/>
        <v xml:space="preserve"> </v>
      </c>
      <c r="F7781">
        <v>0.45</v>
      </c>
      <c r="G7781" s="37" t="str">
        <f t="shared" si="606"/>
        <v>Heavy Discount</v>
      </c>
      <c r="H7781" s="37" t="str">
        <f t="shared" si="607"/>
        <v>High</v>
      </c>
      <c r="I7781">
        <v>9</v>
      </c>
      <c r="J7781" t="str" cm="1">
        <f t="array" ref="J7781">_xlfn.IFS(I7781&lt;=3,"small",I7781&lt;=6,"Medium",I7781&lt;=9,"Large")</f>
        <v>Large</v>
      </c>
      <c r="K7781" s="36">
        <v>45133</v>
      </c>
      <c r="L7781" s="36">
        <v>45137</v>
      </c>
      <c r="M7781" t="s">
        <v>612</v>
      </c>
      <c r="N7781" t="s">
        <v>599</v>
      </c>
      <c r="O7781" s="37" t="str">
        <f t="shared" si="608"/>
        <v>Digital Payment</v>
      </c>
      <c r="P7781">
        <v>481.68</v>
      </c>
      <c r="Q7781" s="37" t="str">
        <f>IF(P7781&gt;500,"High","low")</f>
        <v>low</v>
      </c>
      <c r="R7781" s="37" t="str">
        <f t="shared" si="609"/>
        <v>AVERAGE</v>
      </c>
      <c r="S7781" t="s">
        <v>605</v>
      </c>
    </row>
    <row r="7782" spans="1:19" x14ac:dyDescent="0.2">
      <c r="A7782" t="s">
        <v>8393</v>
      </c>
      <c r="B7782" t="s">
        <v>83</v>
      </c>
      <c r="C7782" t="s">
        <v>597</v>
      </c>
      <c r="D7782">
        <v>932.26</v>
      </c>
      <c r="E7782" s="37" t="str">
        <f t="shared" si="605"/>
        <v xml:space="preserve"> </v>
      </c>
      <c r="F7782">
        <v>0.26</v>
      </c>
      <c r="G7782" s="37" t="str">
        <f t="shared" si="606"/>
        <v>Normal Discount</v>
      </c>
      <c r="H7782" s="37" t="str">
        <f t="shared" si="607"/>
        <v>Medium</v>
      </c>
      <c r="I7782">
        <v>8</v>
      </c>
      <c r="J7782" t="str" cm="1">
        <f t="array" ref="J7782">_xlfn.IFS(I7782&lt;=3,"small",I7782&lt;=6,"Medium",I7782&lt;=9,"Large")</f>
        <v>Large</v>
      </c>
      <c r="K7782" s="36">
        <v>45533</v>
      </c>
      <c r="L7782" s="36">
        <v>45534</v>
      </c>
      <c r="M7782" t="s">
        <v>598</v>
      </c>
      <c r="N7782" t="s">
        <v>604</v>
      </c>
      <c r="O7782" s="37" t="str">
        <f t="shared" si="608"/>
        <v>Digital Payment</v>
      </c>
      <c r="P7782">
        <v>129.46</v>
      </c>
      <c r="Q7782" s="37" t="str">
        <f>IF(P7782&gt;500,"High","low")</f>
        <v>low</v>
      </c>
      <c r="R7782" s="37" t="str">
        <f t="shared" si="609"/>
        <v>AVERAGE</v>
      </c>
      <c r="S7782" t="s">
        <v>609</v>
      </c>
    </row>
    <row r="7783" spans="1:19" x14ac:dyDescent="0.2">
      <c r="A7783" t="s">
        <v>8394</v>
      </c>
      <c r="B7783" t="s">
        <v>83</v>
      </c>
      <c r="C7783" t="s">
        <v>607</v>
      </c>
      <c r="D7783">
        <v>4272.7700000000004</v>
      </c>
      <c r="E7783" s="37" t="str">
        <f t="shared" si="605"/>
        <v>Excellent Order</v>
      </c>
      <c r="F7783">
        <v>0.49</v>
      </c>
      <c r="G7783" s="37" t="str">
        <f t="shared" si="606"/>
        <v>Heavy Discount</v>
      </c>
      <c r="H7783" s="37" t="str">
        <f t="shared" si="607"/>
        <v>High</v>
      </c>
      <c r="I7783">
        <v>9</v>
      </c>
      <c r="J7783" t="str" cm="1">
        <f t="array" ref="J7783">_xlfn.IFS(I7783&lt;=3,"small",I7783&lt;=6,"Medium",I7783&lt;=9,"Large")</f>
        <v>Large</v>
      </c>
      <c r="K7783" s="36">
        <v>45182</v>
      </c>
      <c r="L7783" s="36">
        <v>45184</v>
      </c>
      <c r="M7783" t="s">
        <v>603</v>
      </c>
      <c r="N7783" t="s">
        <v>604</v>
      </c>
      <c r="O7783" s="37" t="str">
        <f t="shared" si="608"/>
        <v>Digital Payment</v>
      </c>
      <c r="P7783">
        <v>832.14</v>
      </c>
      <c r="Q7783" s="37" t="str">
        <f>IF(P7783&gt;500,"High","low")</f>
        <v>High</v>
      </c>
      <c r="R7783" s="37" t="str">
        <f t="shared" si="609"/>
        <v>Good</v>
      </c>
      <c r="S7783" t="s">
        <v>620</v>
      </c>
    </row>
    <row r="7784" spans="1:19" x14ac:dyDescent="0.2">
      <c r="A7784" t="s">
        <v>8395</v>
      </c>
      <c r="B7784" t="s">
        <v>83</v>
      </c>
      <c r="C7784" t="s">
        <v>614</v>
      </c>
      <c r="D7784">
        <v>3886.95</v>
      </c>
      <c r="E7784" s="37" t="str">
        <f t="shared" si="605"/>
        <v xml:space="preserve"> </v>
      </c>
      <c r="F7784">
        <v>0.3</v>
      </c>
      <c r="G7784" s="37" t="str">
        <f t="shared" si="606"/>
        <v>Normal Discount</v>
      </c>
      <c r="H7784" s="37" t="str">
        <f t="shared" si="607"/>
        <v>Medium</v>
      </c>
      <c r="I7784">
        <v>7</v>
      </c>
      <c r="J7784" t="str" cm="1">
        <f t="array" ref="J7784">_xlfn.IFS(I7784&lt;=3,"small",I7784&lt;=6,"Medium",I7784&lt;=9,"Large")</f>
        <v>Large</v>
      </c>
      <c r="K7784" s="36">
        <v>45436</v>
      </c>
      <c r="L7784" s="36">
        <v>45437</v>
      </c>
      <c r="M7784" t="s">
        <v>612</v>
      </c>
      <c r="N7784" t="s">
        <v>604</v>
      </c>
      <c r="O7784" s="37" t="str">
        <f t="shared" si="608"/>
        <v>Digital Payment</v>
      </c>
      <c r="P7784">
        <v>799.33</v>
      </c>
      <c r="Q7784" s="37" t="str">
        <f>IF(P7784&gt;500,"High","low")</f>
        <v>High</v>
      </c>
      <c r="R7784" s="37" t="str">
        <f t="shared" si="609"/>
        <v>Good</v>
      </c>
      <c r="S7784" t="s">
        <v>605</v>
      </c>
    </row>
    <row r="7785" spans="1:19" x14ac:dyDescent="0.2">
      <c r="A7785" t="s">
        <v>8396</v>
      </c>
      <c r="B7785" t="s">
        <v>83</v>
      </c>
      <c r="C7785" t="s">
        <v>617</v>
      </c>
      <c r="D7785">
        <v>3094.98</v>
      </c>
      <c r="E7785" s="37" t="str">
        <f t="shared" si="605"/>
        <v xml:space="preserve"> </v>
      </c>
      <c r="F7785">
        <v>0.19</v>
      </c>
      <c r="G7785" s="37" t="str">
        <f t="shared" si="606"/>
        <v>Normal Discount</v>
      </c>
      <c r="H7785" s="37" t="str">
        <f t="shared" si="607"/>
        <v>Low</v>
      </c>
      <c r="I7785">
        <v>5</v>
      </c>
      <c r="J7785" t="str" cm="1">
        <f t="array" ref="J7785">_xlfn.IFS(I7785&lt;=3,"small",I7785&lt;=6,"Medium",I7785&lt;=9,"Large")</f>
        <v>Medium</v>
      </c>
      <c r="K7785" s="36">
        <v>45073</v>
      </c>
      <c r="L7785" s="36">
        <v>45077</v>
      </c>
      <c r="M7785" t="s">
        <v>598</v>
      </c>
      <c r="N7785" t="s">
        <v>599</v>
      </c>
      <c r="O7785" s="37" t="str">
        <f t="shared" si="608"/>
        <v>Digital Payment</v>
      </c>
      <c r="P7785">
        <v>161.04</v>
      </c>
      <c r="Q7785" s="37" t="str">
        <f>IF(P7785&gt;500,"High","low")</f>
        <v>low</v>
      </c>
      <c r="R7785" s="37" t="str">
        <f t="shared" si="609"/>
        <v>AVERAGE</v>
      </c>
      <c r="S7785" t="s">
        <v>600</v>
      </c>
    </row>
    <row r="7786" spans="1:19" x14ac:dyDescent="0.2">
      <c r="A7786" t="s">
        <v>8397</v>
      </c>
      <c r="B7786" t="s">
        <v>75</v>
      </c>
      <c r="C7786" t="s">
        <v>617</v>
      </c>
      <c r="D7786">
        <v>4266.08</v>
      </c>
      <c r="E7786" s="37" t="str">
        <f t="shared" si="605"/>
        <v xml:space="preserve"> </v>
      </c>
      <c r="F7786">
        <v>0.14000000000000001</v>
      </c>
      <c r="G7786" s="37" t="str">
        <f t="shared" si="606"/>
        <v>Normal Discount</v>
      </c>
      <c r="H7786" s="37" t="str">
        <f t="shared" si="607"/>
        <v>Low</v>
      </c>
      <c r="I7786">
        <v>4</v>
      </c>
      <c r="J7786" t="str" cm="1">
        <f t="array" ref="J7786">_xlfn.IFS(I7786&lt;=3,"small",I7786&lt;=6,"Medium",I7786&lt;=9,"Large")</f>
        <v>Medium</v>
      </c>
      <c r="K7786" s="36">
        <v>45145</v>
      </c>
      <c r="L7786" s="36">
        <v>45148</v>
      </c>
      <c r="M7786" t="s">
        <v>598</v>
      </c>
      <c r="N7786" t="s">
        <v>608</v>
      </c>
      <c r="O7786" s="37" t="str">
        <f t="shared" si="608"/>
        <v>Cash Payment</v>
      </c>
      <c r="P7786">
        <v>404.27</v>
      </c>
      <c r="Q7786" s="37" t="str">
        <f>IF(P7786&gt;500,"High","low")</f>
        <v>low</v>
      </c>
      <c r="R7786" s="37" t="str">
        <f t="shared" si="609"/>
        <v>AVERAGE</v>
      </c>
      <c r="S7786" t="s">
        <v>605</v>
      </c>
    </row>
    <row r="7787" spans="1:19" x14ac:dyDescent="0.2">
      <c r="A7787" t="s">
        <v>8398</v>
      </c>
      <c r="B7787" t="s">
        <v>75</v>
      </c>
      <c r="C7787" t="s">
        <v>614</v>
      </c>
      <c r="D7787">
        <v>1720.48</v>
      </c>
      <c r="E7787" s="37" t="str">
        <f t="shared" si="605"/>
        <v xml:space="preserve"> </v>
      </c>
      <c r="F7787">
        <v>0.46</v>
      </c>
      <c r="G7787" s="37" t="str">
        <f t="shared" si="606"/>
        <v>Heavy Discount</v>
      </c>
      <c r="H7787" s="37" t="str">
        <f t="shared" si="607"/>
        <v>High</v>
      </c>
      <c r="I7787">
        <v>8</v>
      </c>
      <c r="J7787" t="str" cm="1">
        <f t="array" ref="J7787">_xlfn.IFS(I7787&lt;=3,"small",I7787&lt;=6,"Medium",I7787&lt;=9,"Large")</f>
        <v>Large</v>
      </c>
      <c r="K7787" s="36">
        <v>45097</v>
      </c>
      <c r="L7787" s="36">
        <v>45100</v>
      </c>
      <c r="M7787" t="s">
        <v>612</v>
      </c>
      <c r="N7787" t="s">
        <v>599</v>
      </c>
      <c r="O7787" s="37" t="str">
        <f t="shared" si="608"/>
        <v>Digital Payment</v>
      </c>
      <c r="P7787">
        <v>383.56</v>
      </c>
      <c r="Q7787" s="37" t="str">
        <f>IF(P7787&gt;500,"High","low")</f>
        <v>low</v>
      </c>
      <c r="R7787" s="37" t="str">
        <f t="shared" si="609"/>
        <v>AVERAGE</v>
      </c>
      <c r="S7787" t="s">
        <v>620</v>
      </c>
    </row>
    <row r="7788" spans="1:19" x14ac:dyDescent="0.2">
      <c r="A7788" t="s">
        <v>8399</v>
      </c>
      <c r="B7788" t="s">
        <v>75</v>
      </c>
      <c r="C7788" t="s">
        <v>614</v>
      </c>
      <c r="D7788">
        <v>913.57</v>
      </c>
      <c r="E7788" s="37" t="str">
        <f t="shared" si="605"/>
        <v xml:space="preserve"> </v>
      </c>
      <c r="F7788">
        <v>0.19</v>
      </c>
      <c r="G7788" s="37" t="str">
        <f t="shared" si="606"/>
        <v>Normal Discount</v>
      </c>
      <c r="H7788" s="37" t="str">
        <f t="shared" si="607"/>
        <v>Low</v>
      </c>
      <c r="I7788">
        <v>2</v>
      </c>
      <c r="J7788" t="str" cm="1">
        <f t="array" ref="J7788">_xlfn.IFS(I7788&lt;=3,"small",I7788&lt;=6,"Medium",I7788&lt;=9,"Large")</f>
        <v>small</v>
      </c>
      <c r="K7788" s="36">
        <v>45443</v>
      </c>
      <c r="L7788" s="36">
        <v>45450</v>
      </c>
      <c r="M7788" t="s">
        <v>612</v>
      </c>
      <c r="N7788" t="s">
        <v>604</v>
      </c>
      <c r="O7788" s="37" t="str">
        <f t="shared" si="608"/>
        <v>Digital Payment</v>
      </c>
      <c r="P7788">
        <v>64.67</v>
      </c>
      <c r="Q7788" s="37" t="str">
        <f>IF(P7788&gt;500,"High","low")</f>
        <v>low</v>
      </c>
      <c r="R7788" s="37" t="str">
        <f t="shared" si="609"/>
        <v>AVERAGE</v>
      </c>
      <c r="S7788" t="s">
        <v>605</v>
      </c>
    </row>
    <row r="7789" spans="1:19" x14ac:dyDescent="0.2">
      <c r="A7789" t="s">
        <v>8400</v>
      </c>
      <c r="B7789" t="s">
        <v>90</v>
      </c>
      <c r="C7789" t="s">
        <v>597</v>
      </c>
      <c r="D7789">
        <v>869.5</v>
      </c>
      <c r="E7789" s="37" t="str">
        <f t="shared" si="605"/>
        <v xml:space="preserve"> </v>
      </c>
      <c r="F7789">
        <v>7.0000000000000007E-2</v>
      </c>
      <c r="G7789" s="37" t="str">
        <f t="shared" si="606"/>
        <v>Normal Discount</v>
      </c>
      <c r="H7789" s="37" t="str">
        <f t="shared" si="607"/>
        <v>Low</v>
      </c>
      <c r="I7789">
        <v>1</v>
      </c>
      <c r="J7789" t="str" cm="1">
        <f t="array" ref="J7789">_xlfn.IFS(I7789&lt;=3,"small",I7789&lt;=6,"Medium",I7789&lt;=9,"Large")</f>
        <v>small</v>
      </c>
      <c r="K7789" s="36">
        <v>45054</v>
      </c>
      <c r="L7789" s="36">
        <v>45058</v>
      </c>
      <c r="M7789" t="s">
        <v>598</v>
      </c>
      <c r="N7789" t="s">
        <v>608</v>
      </c>
      <c r="O7789" s="37" t="str">
        <f t="shared" si="608"/>
        <v>Cash Payment</v>
      </c>
      <c r="P7789">
        <v>228.46</v>
      </c>
      <c r="Q7789" s="37" t="str">
        <f>IF(P7789&gt;500,"High","low")</f>
        <v>low</v>
      </c>
      <c r="R7789" s="37" t="str">
        <f t="shared" si="609"/>
        <v>AVERAGE</v>
      </c>
      <c r="S7789" t="s">
        <v>600</v>
      </c>
    </row>
    <row r="7790" spans="1:19" x14ac:dyDescent="0.2">
      <c r="A7790" t="s">
        <v>8401</v>
      </c>
      <c r="B7790" t="s">
        <v>67</v>
      </c>
      <c r="C7790" t="s">
        <v>617</v>
      </c>
      <c r="D7790">
        <v>1424.76</v>
      </c>
      <c r="E7790" s="37" t="str">
        <f t="shared" si="605"/>
        <v xml:space="preserve"> </v>
      </c>
      <c r="F7790">
        <v>0.14000000000000001</v>
      </c>
      <c r="G7790" s="37" t="str">
        <f t="shared" si="606"/>
        <v>Normal Discount</v>
      </c>
      <c r="H7790" s="37" t="str">
        <f t="shared" si="607"/>
        <v>Low</v>
      </c>
      <c r="I7790">
        <v>3</v>
      </c>
      <c r="J7790" t="str" cm="1">
        <f t="array" ref="J7790">_xlfn.IFS(I7790&lt;=3,"small",I7790&lt;=6,"Medium",I7790&lt;=9,"Large")</f>
        <v>small</v>
      </c>
      <c r="K7790" s="36">
        <v>44972</v>
      </c>
      <c r="L7790" s="36">
        <v>44978</v>
      </c>
      <c r="M7790" t="s">
        <v>612</v>
      </c>
      <c r="N7790" t="s">
        <v>599</v>
      </c>
      <c r="O7790" s="37" t="str">
        <f t="shared" si="608"/>
        <v>Digital Payment</v>
      </c>
      <c r="P7790">
        <v>180.03</v>
      </c>
      <c r="Q7790" s="37" t="str">
        <f>IF(P7790&gt;500,"High","low")</f>
        <v>low</v>
      </c>
      <c r="R7790" s="37" t="str">
        <f t="shared" si="609"/>
        <v>AVERAGE</v>
      </c>
      <c r="S7790" t="s">
        <v>600</v>
      </c>
    </row>
    <row r="7791" spans="1:19" x14ac:dyDescent="0.2">
      <c r="A7791" t="s">
        <v>8402</v>
      </c>
      <c r="B7791" t="s">
        <v>83</v>
      </c>
      <c r="C7791" t="s">
        <v>614</v>
      </c>
      <c r="D7791">
        <v>2286.5100000000002</v>
      </c>
      <c r="E7791" s="37" t="str">
        <f t="shared" si="605"/>
        <v xml:space="preserve"> </v>
      </c>
      <c r="F7791">
        <v>0.32</v>
      </c>
      <c r="G7791" s="37" t="str">
        <f t="shared" si="606"/>
        <v>Heavy Discount</v>
      </c>
      <c r="H7791" s="37" t="str">
        <f t="shared" si="607"/>
        <v>Medium</v>
      </c>
      <c r="I7791">
        <v>7</v>
      </c>
      <c r="J7791" t="str" cm="1">
        <f t="array" ref="J7791">_xlfn.IFS(I7791&lt;=3,"small",I7791&lt;=6,"Medium",I7791&lt;=9,"Large")</f>
        <v>Large</v>
      </c>
      <c r="K7791" s="36">
        <v>45282</v>
      </c>
      <c r="L7791" s="36">
        <v>45283</v>
      </c>
      <c r="M7791" t="s">
        <v>603</v>
      </c>
      <c r="N7791" t="s">
        <v>599</v>
      </c>
      <c r="O7791" s="37" t="str">
        <f t="shared" si="608"/>
        <v>Digital Payment</v>
      </c>
      <c r="P7791">
        <v>564.61</v>
      </c>
      <c r="Q7791" s="37" t="str">
        <f>IF(P7791&gt;500,"High","low")</f>
        <v>High</v>
      </c>
      <c r="R7791" s="37" t="str">
        <f t="shared" si="609"/>
        <v>Good</v>
      </c>
      <c r="S7791" t="s">
        <v>628</v>
      </c>
    </row>
    <row r="7792" spans="1:19" x14ac:dyDescent="0.2">
      <c r="A7792" t="s">
        <v>8403</v>
      </c>
      <c r="B7792" t="s">
        <v>90</v>
      </c>
      <c r="C7792" t="s">
        <v>617</v>
      </c>
      <c r="D7792">
        <v>4392.51</v>
      </c>
      <c r="E7792" s="37" t="str">
        <f t="shared" si="605"/>
        <v>Excellent Order</v>
      </c>
      <c r="F7792">
        <v>7.0000000000000007E-2</v>
      </c>
      <c r="G7792" s="37" t="str">
        <f t="shared" si="606"/>
        <v>Normal Discount</v>
      </c>
      <c r="H7792" s="37" t="str">
        <f t="shared" si="607"/>
        <v>Low</v>
      </c>
      <c r="I7792">
        <v>1</v>
      </c>
      <c r="J7792" t="str" cm="1">
        <f t="array" ref="J7792">_xlfn.IFS(I7792&lt;=3,"small",I7792&lt;=6,"Medium",I7792&lt;=9,"Large")</f>
        <v>small</v>
      </c>
      <c r="K7792" s="36">
        <v>45027</v>
      </c>
      <c r="L7792" s="36">
        <v>45034</v>
      </c>
      <c r="M7792" t="s">
        <v>612</v>
      </c>
      <c r="N7792" t="s">
        <v>599</v>
      </c>
      <c r="O7792" s="37" t="str">
        <f t="shared" si="608"/>
        <v>Digital Payment</v>
      </c>
      <c r="P7792">
        <v>1143.8699999999999</v>
      </c>
      <c r="Q7792" s="37" t="str">
        <f>IF(P7792&gt;500,"High","low")</f>
        <v>High</v>
      </c>
      <c r="R7792" s="37" t="str">
        <f t="shared" si="609"/>
        <v>Excellent</v>
      </c>
      <c r="S7792" t="s">
        <v>600</v>
      </c>
    </row>
    <row r="7793" spans="1:19" x14ac:dyDescent="0.2">
      <c r="A7793" t="s">
        <v>8404</v>
      </c>
      <c r="B7793" t="s">
        <v>83</v>
      </c>
      <c r="C7793" t="s">
        <v>614</v>
      </c>
      <c r="D7793">
        <v>538.72</v>
      </c>
      <c r="E7793" s="37" t="str">
        <f t="shared" si="605"/>
        <v xml:space="preserve"> </v>
      </c>
      <c r="F7793">
        <v>0.05</v>
      </c>
      <c r="G7793" s="37" t="str">
        <f t="shared" si="606"/>
        <v>Normal Discount</v>
      </c>
      <c r="H7793" s="37" t="str">
        <f t="shared" si="607"/>
        <v>Low</v>
      </c>
      <c r="I7793">
        <v>5</v>
      </c>
      <c r="J7793" t="str" cm="1">
        <f t="array" ref="J7793">_xlfn.IFS(I7793&lt;=3,"small",I7793&lt;=6,"Medium",I7793&lt;=9,"Large")</f>
        <v>Medium</v>
      </c>
      <c r="K7793" s="36">
        <v>45562</v>
      </c>
      <c r="L7793" s="36">
        <v>45564</v>
      </c>
      <c r="M7793" t="s">
        <v>603</v>
      </c>
      <c r="N7793" t="s">
        <v>604</v>
      </c>
      <c r="O7793" s="37" t="str">
        <f t="shared" si="608"/>
        <v>Digital Payment</v>
      </c>
      <c r="P7793">
        <v>153.32</v>
      </c>
      <c r="Q7793" s="37" t="str">
        <f>IF(P7793&gt;500,"High","low")</f>
        <v>low</v>
      </c>
      <c r="R7793" s="37" t="str">
        <f t="shared" si="609"/>
        <v>AVERAGE</v>
      </c>
      <c r="S7793" t="s">
        <v>615</v>
      </c>
    </row>
    <row r="7794" spans="1:19" x14ac:dyDescent="0.2">
      <c r="A7794" t="s">
        <v>8405</v>
      </c>
      <c r="B7794" t="s">
        <v>75</v>
      </c>
      <c r="C7794" t="s">
        <v>602</v>
      </c>
      <c r="D7794">
        <v>4584.6899999999996</v>
      </c>
      <c r="E7794" s="37" t="str">
        <f t="shared" si="605"/>
        <v>Excellent Order</v>
      </c>
      <c r="F7794">
        <v>0.23</v>
      </c>
      <c r="G7794" s="37" t="str">
        <f t="shared" si="606"/>
        <v>Normal Discount</v>
      </c>
      <c r="H7794" s="37" t="str">
        <f t="shared" si="607"/>
        <v>Medium</v>
      </c>
      <c r="I7794">
        <v>5</v>
      </c>
      <c r="J7794" t="str" cm="1">
        <f t="array" ref="J7794">_xlfn.IFS(I7794&lt;=3,"small",I7794&lt;=6,"Medium",I7794&lt;=9,"Large")</f>
        <v>Medium</v>
      </c>
      <c r="K7794" s="36">
        <v>45653</v>
      </c>
      <c r="L7794" s="36">
        <v>45655</v>
      </c>
      <c r="M7794" t="s">
        <v>603</v>
      </c>
      <c r="N7794" t="s">
        <v>604</v>
      </c>
      <c r="O7794" s="37" t="str">
        <f t="shared" si="608"/>
        <v>Digital Payment</v>
      </c>
      <c r="P7794">
        <v>1041.6300000000001</v>
      </c>
      <c r="Q7794" s="37" t="str">
        <f>IF(P7794&gt;500,"High","low")</f>
        <v>High</v>
      </c>
      <c r="R7794" s="37" t="str">
        <f t="shared" si="609"/>
        <v>Excellent</v>
      </c>
      <c r="S7794" t="s">
        <v>615</v>
      </c>
    </row>
    <row r="7795" spans="1:19" x14ac:dyDescent="0.2">
      <c r="A7795" t="s">
        <v>8406</v>
      </c>
      <c r="B7795" t="s">
        <v>90</v>
      </c>
      <c r="C7795" t="s">
        <v>597</v>
      </c>
      <c r="D7795">
        <v>4634.92</v>
      </c>
      <c r="E7795" s="37" t="str">
        <f t="shared" si="605"/>
        <v>Excellent Order</v>
      </c>
      <c r="F7795">
        <v>0.04</v>
      </c>
      <c r="G7795" s="37" t="str">
        <f t="shared" si="606"/>
        <v>Normal Discount</v>
      </c>
      <c r="H7795" s="37" t="str">
        <f t="shared" si="607"/>
        <v>Low</v>
      </c>
      <c r="I7795">
        <v>3</v>
      </c>
      <c r="J7795" t="str" cm="1">
        <f t="array" ref="J7795">_xlfn.IFS(I7795&lt;=3,"small",I7795&lt;=6,"Medium",I7795&lt;=9,"Large")</f>
        <v>small</v>
      </c>
      <c r="K7795" s="36">
        <v>45371</v>
      </c>
      <c r="L7795" s="36">
        <v>45377</v>
      </c>
      <c r="M7795" t="s">
        <v>612</v>
      </c>
      <c r="N7795" t="s">
        <v>604</v>
      </c>
      <c r="O7795" s="37" t="str">
        <f t="shared" si="608"/>
        <v>Digital Payment</v>
      </c>
      <c r="P7795">
        <v>1230.32</v>
      </c>
      <c r="Q7795" s="37" t="str">
        <f>IF(P7795&gt;500,"High","low")</f>
        <v>High</v>
      </c>
      <c r="R7795" s="37" t="str">
        <f t="shared" si="609"/>
        <v>Excellent</v>
      </c>
      <c r="S7795" t="s">
        <v>615</v>
      </c>
    </row>
    <row r="7796" spans="1:19" x14ac:dyDescent="0.2">
      <c r="A7796" t="s">
        <v>8407</v>
      </c>
      <c r="B7796" t="s">
        <v>75</v>
      </c>
      <c r="C7796" t="s">
        <v>614</v>
      </c>
      <c r="D7796">
        <v>3663.46</v>
      </c>
      <c r="E7796" s="37" t="str">
        <f t="shared" si="605"/>
        <v xml:space="preserve"> </v>
      </c>
      <c r="F7796">
        <v>0.2</v>
      </c>
      <c r="G7796" s="37" t="str">
        <f t="shared" si="606"/>
        <v>Normal Discount</v>
      </c>
      <c r="H7796" s="37" t="str">
        <f t="shared" si="607"/>
        <v>Medium</v>
      </c>
      <c r="I7796">
        <v>1</v>
      </c>
      <c r="J7796" t="str" cm="1">
        <f t="array" ref="J7796">_xlfn.IFS(I7796&lt;=3,"small",I7796&lt;=6,"Medium",I7796&lt;=9,"Large")</f>
        <v>small</v>
      </c>
      <c r="K7796" s="36">
        <v>45184</v>
      </c>
      <c r="L7796" s="36">
        <v>45190</v>
      </c>
      <c r="M7796" t="s">
        <v>603</v>
      </c>
      <c r="N7796" t="s">
        <v>608</v>
      </c>
      <c r="O7796" s="37" t="str">
        <f t="shared" si="608"/>
        <v>Cash Payment</v>
      </c>
      <c r="P7796">
        <v>432.98</v>
      </c>
      <c r="Q7796" s="37" t="str">
        <f>IF(P7796&gt;500,"High","low")</f>
        <v>low</v>
      </c>
      <c r="R7796" s="37" t="str">
        <f t="shared" si="609"/>
        <v>AVERAGE</v>
      </c>
      <c r="S7796" t="s">
        <v>620</v>
      </c>
    </row>
    <row r="7797" spans="1:19" x14ac:dyDescent="0.2">
      <c r="A7797" t="s">
        <v>8408</v>
      </c>
      <c r="B7797" t="s">
        <v>83</v>
      </c>
      <c r="C7797" t="s">
        <v>607</v>
      </c>
      <c r="D7797">
        <v>4511.3900000000003</v>
      </c>
      <c r="E7797" s="37" t="str">
        <f t="shared" si="605"/>
        <v xml:space="preserve"> </v>
      </c>
      <c r="F7797">
        <v>0.16</v>
      </c>
      <c r="G7797" s="37" t="str">
        <f t="shared" si="606"/>
        <v>Normal Discount</v>
      </c>
      <c r="H7797" s="37" t="str">
        <f t="shared" si="607"/>
        <v>Low</v>
      </c>
      <c r="I7797">
        <v>5</v>
      </c>
      <c r="J7797" t="str" cm="1">
        <f t="array" ref="J7797">_xlfn.IFS(I7797&lt;=3,"small",I7797&lt;=6,"Medium",I7797&lt;=9,"Large")</f>
        <v>Medium</v>
      </c>
      <c r="K7797" s="36">
        <v>45027</v>
      </c>
      <c r="L7797" s="36">
        <v>45032</v>
      </c>
      <c r="M7797" t="s">
        <v>612</v>
      </c>
      <c r="N7797" t="s">
        <v>599</v>
      </c>
      <c r="O7797" s="37" t="str">
        <f t="shared" si="608"/>
        <v>Digital Payment</v>
      </c>
      <c r="P7797">
        <v>243.21</v>
      </c>
      <c r="Q7797" s="37" t="str">
        <f>IF(P7797&gt;500,"High","low")</f>
        <v>low</v>
      </c>
      <c r="R7797" s="37" t="str">
        <f t="shared" si="609"/>
        <v>AVERAGE</v>
      </c>
      <c r="S7797" t="s">
        <v>628</v>
      </c>
    </row>
    <row r="7798" spans="1:19" x14ac:dyDescent="0.2">
      <c r="A7798" t="s">
        <v>8409</v>
      </c>
      <c r="B7798" t="s">
        <v>83</v>
      </c>
      <c r="C7798" t="s">
        <v>614</v>
      </c>
      <c r="D7798">
        <v>3872.93</v>
      </c>
      <c r="E7798" s="37" t="str">
        <f t="shared" si="605"/>
        <v xml:space="preserve"> </v>
      </c>
      <c r="F7798">
        <v>0.2</v>
      </c>
      <c r="G7798" s="37" t="str">
        <f t="shared" si="606"/>
        <v>Normal Discount</v>
      </c>
      <c r="H7798" s="37" t="str">
        <f t="shared" si="607"/>
        <v>Medium</v>
      </c>
      <c r="I7798">
        <v>8</v>
      </c>
      <c r="J7798" t="str" cm="1">
        <f t="array" ref="J7798">_xlfn.IFS(I7798&lt;=3,"small",I7798&lt;=6,"Medium",I7798&lt;=9,"Large")</f>
        <v>Large</v>
      </c>
      <c r="K7798" s="36">
        <v>45089</v>
      </c>
      <c r="L7798" s="36">
        <v>45095</v>
      </c>
      <c r="M7798" t="s">
        <v>603</v>
      </c>
      <c r="N7798" t="s">
        <v>599</v>
      </c>
      <c r="O7798" s="37" t="str">
        <f t="shared" si="608"/>
        <v>Digital Payment</v>
      </c>
      <c r="P7798">
        <v>851.54</v>
      </c>
      <c r="Q7798" s="37" t="str">
        <f>IF(P7798&gt;500,"High","low")</f>
        <v>High</v>
      </c>
      <c r="R7798" s="37" t="str">
        <f t="shared" si="609"/>
        <v>Good</v>
      </c>
      <c r="S7798" t="s">
        <v>615</v>
      </c>
    </row>
    <row r="7799" spans="1:19" x14ac:dyDescent="0.2">
      <c r="A7799" t="s">
        <v>8410</v>
      </c>
      <c r="B7799" t="s">
        <v>67</v>
      </c>
      <c r="C7799" t="s">
        <v>602</v>
      </c>
      <c r="D7799">
        <v>2688.67</v>
      </c>
      <c r="E7799" s="37" t="str">
        <f t="shared" si="605"/>
        <v xml:space="preserve"> </v>
      </c>
      <c r="F7799">
        <v>0.24</v>
      </c>
      <c r="G7799" s="37" t="str">
        <f t="shared" si="606"/>
        <v>Normal Discount</v>
      </c>
      <c r="H7799" s="37" t="str">
        <f t="shared" si="607"/>
        <v>Medium</v>
      </c>
      <c r="I7799">
        <v>9</v>
      </c>
      <c r="J7799" t="str" cm="1">
        <f t="array" ref="J7799">_xlfn.IFS(I7799&lt;=3,"small",I7799&lt;=6,"Medium",I7799&lt;=9,"Large")</f>
        <v>Large</v>
      </c>
      <c r="K7799" s="36">
        <v>45484</v>
      </c>
      <c r="L7799" s="36">
        <v>45486</v>
      </c>
      <c r="M7799" t="s">
        <v>598</v>
      </c>
      <c r="N7799" t="s">
        <v>599</v>
      </c>
      <c r="O7799" s="37" t="str">
        <f t="shared" si="608"/>
        <v>Digital Payment</v>
      </c>
      <c r="P7799">
        <v>306.55</v>
      </c>
      <c r="Q7799" s="37" t="str">
        <f>IF(P7799&gt;500,"High","low")</f>
        <v>low</v>
      </c>
      <c r="R7799" s="37" t="str">
        <f t="shared" si="609"/>
        <v>AVERAGE</v>
      </c>
      <c r="S7799" t="s">
        <v>609</v>
      </c>
    </row>
    <row r="7800" spans="1:19" x14ac:dyDescent="0.2">
      <c r="A7800" t="s">
        <v>8411</v>
      </c>
      <c r="B7800" t="s">
        <v>83</v>
      </c>
      <c r="C7800" t="s">
        <v>607</v>
      </c>
      <c r="D7800">
        <v>3043.68</v>
      </c>
      <c r="E7800" s="37" t="str">
        <f t="shared" si="605"/>
        <v xml:space="preserve"> </v>
      </c>
      <c r="F7800">
        <v>0.09</v>
      </c>
      <c r="G7800" s="37" t="str">
        <f t="shared" si="606"/>
        <v>Normal Discount</v>
      </c>
      <c r="H7800" s="37" t="str">
        <f t="shared" si="607"/>
        <v>Low</v>
      </c>
      <c r="I7800">
        <v>6</v>
      </c>
      <c r="J7800" t="str" cm="1">
        <f t="array" ref="J7800">_xlfn.IFS(I7800&lt;=3,"small",I7800&lt;=6,"Medium",I7800&lt;=9,"Large")</f>
        <v>Medium</v>
      </c>
      <c r="K7800" s="36">
        <v>44930</v>
      </c>
      <c r="L7800" s="36">
        <v>44931</v>
      </c>
      <c r="M7800" t="s">
        <v>612</v>
      </c>
      <c r="N7800" t="s">
        <v>604</v>
      </c>
      <c r="O7800" s="37" t="str">
        <f t="shared" si="608"/>
        <v>Digital Payment</v>
      </c>
      <c r="P7800">
        <v>722.68</v>
      </c>
      <c r="Q7800" s="37" t="str">
        <f>IF(P7800&gt;500,"High","low")</f>
        <v>High</v>
      </c>
      <c r="R7800" s="37" t="str">
        <f t="shared" si="609"/>
        <v>Good</v>
      </c>
      <c r="S7800" t="s">
        <v>620</v>
      </c>
    </row>
    <row r="7801" spans="1:19" x14ac:dyDescent="0.2">
      <c r="A7801" t="s">
        <v>8412</v>
      </c>
      <c r="B7801" t="s">
        <v>75</v>
      </c>
      <c r="C7801" t="s">
        <v>607</v>
      </c>
      <c r="D7801">
        <v>3178.3</v>
      </c>
      <c r="E7801" s="37" t="str">
        <f t="shared" si="605"/>
        <v xml:space="preserve"> </v>
      </c>
      <c r="F7801">
        <v>0.22</v>
      </c>
      <c r="G7801" s="37" t="str">
        <f t="shared" si="606"/>
        <v>Normal Discount</v>
      </c>
      <c r="H7801" s="37" t="str">
        <f t="shared" si="607"/>
        <v>Medium</v>
      </c>
      <c r="I7801">
        <v>1</v>
      </c>
      <c r="J7801" t="str" cm="1">
        <f t="array" ref="J7801">_xlfn.IFS(I7801&lt;=3,"small",I7801&lt;=6,"Medium",I7801&lt;=9,"Large")</f>
        <v>small</v>
      </c>
      <c r="K7801" s="36">
        <v>45310</v>
      </c>
      <c r="L7801" s="36">
        <v>45311</v>
      </c>
      <c r="M7801" t="s">
        <v>612</v>
      </c>
      <c r="N7801" t="s">
        <v>599</v>
      </c>
      <c r="O7801" s="37" t="str">
        <f t="shared" si="608"/>
        <v>Digital Payment</v>
      </c>
      <c r="P7801">
        <v>457.07</v>
      </c>
      <c r="Q7801" s="37" t="str">
        <f>IF(P7801&gt;500,"High","low")</f>
        <v>low</v>
      </c>
      <c r="R7801" s="37" t="str">
        <f t="shared" si="609"/>
        <v>AVERAGE</v>
      </c>
      <c r="S7801" t="s">
        <v>628</v>
      </c>
    </row>
    <row r="7802" spans="1:19" x14ac:dyDescent="0.2">
      <c r="A7802" t="s">
        <v>8413</v>
      </c>
      <c r="B7802" t="s">
        <v>83</v>
      </c>
      <c r="C7802" t="s">
        <v>614</v>
      </c>
      <c r="D7802">
        <v>721.78</v>
      </c>
      <c r="E7802" s="37" t="str">
        <f t="shared" si="605"/>
        <v xml:space="preserve"> </v>
      </c>
      <c r="F7802">
        <v>0.18</v>
      </c>
      <c r="G7802" s="37" t="str">
        <f t="shared" si="606"/>
        <v>Normal Discount</v>
      </c>
      <c r="H7802" s="37" t="str">
        <f t="shared" si="607"/>
        <v>Low</v>
      </c>
      <c r="I7802">
        <v>5</v>
      </c>
      <c r="J7802" t="str" cm="1">
        <f t="array" ref="J7802">_xlfn.IFS(I7802&lt;=3,"small",I7802&lt;=6,"Medium",I7802&lt;=9,"Large")</f>
        <v>Medium</v>
      </c>
      <c r="K7802" s="36">
        <v>45370</v>
      </c>
      <c r="L7802" s="36">
        <v>45377</v>
      </c>
      <c r="M7802" t="s">
        <v>598</v>
      </c>
      <c r="N7802" t="s">
        <v>608</v>
      </c>
      <c r="O7802" s="37" t="str">
        <f t="shared" si="608"/>
        <v>Cash Payment</v>
      </c>
      <c r="P7802">
        <v>174.69</v>
      </c>
      <c r="Q7802" s="37" t="str">
        <f>IF(P7802&gt;500,"High","low")</f>
        <v>low</v>
      </c>
      <c r="R7802" s="37" t="str">
        <f t="shared" si="609"/>
        <v>AVERAGE</v>
      </c>
      <c r="S7802" t="s">
        <v>620</v>
      </c>
    </row>
    <row r="7803" spans="1:19" x14ac:dyDescent="0.2">
      <c r="A7803" t="s">
        <v>8414</v>
      </c>
      <c r="B7803" t="s">
        <v>67</v>
      </c>
      <c r="C7803" t="s">
        <v>602</v>
      </c>
      <c r="D7803">
        <v>1045.97</v>
      </c>
      <c r="E7803" s="37" t="str">
        <f t="shared" si="605"/>
        <v xml:space="preserve"> </v>
      </c>
      <c r="F7803">
        <v>0.4</v>
      </c>
      <c r="G7803" s="37" t="str">
        <f t="shared" si="606"/>
        <v>Heavy Discount</v>
      </c>
      <c r="H7803" s="37" t="str">
        <f t="shared" si="607"/>
        <v>Medium</v>
      </c>
      <c r="I7803">
        <v>2</v>
      </c>
      <c r="J7803" t="str" cm="1">
        <f t="array" ref="J7803">_xlfn.IFS(I7803&lt;=3,"small",I7803&lt;=6,"Medium",I7803&lt;=9,"Large")</f>
        <v>small</v>
      </c>
      <c r="K7803" s="36">
        <v>45486</v>
      </c>
      <c r="L7803" s="36">
        <v>45490</v>
      </c>
      <c r="M7803" t="s">
        <v>598</v>
      </c>
      <c r="N7803" t="s">
        <v>608</v>
      </c>
      <c r="O7803" s="37" t="str">
        <f t="shared" si="608"/>
        <v>Cash Payment</v>
      </c>
      <c r="P7803">
        <v>251.5</v>
      </c>
      <c r="Q7803" s="37" t="str">
        <f>IF(P7803&gt;500,"High","low")</f>
        <v>low</v>
      </c>
      <c r="R7803" s="37" t="str">
        <f t="shared" si="609"/>
        <v>AVERAGE</v>
      </c>
      <c r="S7803" t="s">
        <v>628</v>
      </c>
    </row>
    <row r="7804" spans="1:19" x14ac:dyDescent="0.2">
      <c r="A7804" t="s">
        <v>8415</v>
      </c>
      <c r="B7804" t="s">
        <v>67</v>
      </c>
      <c r="C7804" t="s">
        <v>607</v>
      </c>
      <c r="D7804">
        <v>2664.51</v>
      </c>
      <c r="E7804" s="37" t="str">
        <f t="shared" si="605"/>
        <v xml:space="preserve"> </v>
      </c>
      <c r="F7804">
        <v>0.35</v>
      </c>
      <c r="G7804" s="37" t="str">
        <f t="shared" si="606"/>
        <v>Heavy Discount</v>
      </c>
      <c r="H7804" s="37" t="str">
        <f t="shared" si="607"/>
        <v>Medium</v>
      </c>
      <c r="I7804">
        <v>1</v>
      </c>
      <c r="J7804" t="str" cm="1">
        <f t="array" ref="J7804">_xlfn.IFS(I7804&lt;=3,"small",I7804&lt;=6,"Medium",I7804&lt;=9,"Large")</f>
        <v>small</v>
      </c>
      <c r="K7804" s="36">
        <v>45302</v>
      </c>
      <c r="L7804" s="36">
        <v>45307</v>
      </c>
      <c r="M7804" t="s">
        <v>598</v>
      </c>
      <c r="N7804" t="s">
        <v>608</v>
      </c>
      <c r="O7804" s="37" t="str">
        <f t="shared" si="608"/>
        <v>Cash Payment</v>
      </c>
      <c r="P7804">
        <v>427.39</v>
      </c>
      <c r="Q7804" s="37" t="str">
        <f>IF(P7804&gt;500,"High","low")</f>
        <v>low</v>
      </c>
      <c r="R7804" s="37" t="str">
        <f t="shared" si="609"/>
        <v>AVERAGE</v>
      </c>
      <c r="S7804" t="s">
        <v>620</v>
      </c>
    </row>
    <row r="7805" spans="1:19" x14ac:dyDescent="0.2">
      <c r="A7805" t="s">
        <v>8416</v>
      </c>
      <c r="B7805" t="s">
        <v>75</v>
      </c>
      <c r="C7805" t="s">
        <v>597</v>
      </c>
      <c r="D7805">
        <v>664.62</v>
      </c>
      <c r="E7805" s="37" t="str">
        <f t="shared" si="605"/>
        <v xml:space="preserve"> </v>
      </c>
      <c r="F7805">
        <v>0.44</v>
      </c>
      <c r="G7805" s="37" t="str">
        <f t="shared" si="606"/>
        <v>Heavy Discount</v>
      </c>
      <c r="H7805" s="37" t="str">
        <f t="shared" si="607"/>
        <v>High</v>
      </c>
      <c r="I7805">
        <v>3</v>
      </c>
      <c r="J7805" t="str" cm="1">
        <f t="array" ref="J7805">_xlfn.IFS(I7805&lt;=3,"small",I7805&lt;=6,"Medium",I7805&lt;=9,"Large")</f>
        <v>small</v>
      </c>
      <c r="K7805" s="36">
        <v>45442</v>
      </c>
      <c r="L7805" s="36">
        <v>45444</v>
      </c>
      <c r="M7805" t="s">
        <v>598</v>
      </c>
      <c r="N7805" t="s">
        <v>599</v>
      </c>
      <c r="O7805" s="37" t="str">
        <f t="shared" si="608"/>
        <v>Digital Payment</v>
      </c>
      <c r="P7805">
        <v>176.04</v>
      </c>
      <c r="Q7805" s="37" t="str">
        <f>IF(P7805&gt;500,"High","low")</f>
        <v>low</v>
      </c>
      <c r="R7805" s="37" t="str">
        <f t="shared" si="609"/>
        <v>AVERAGE</v>
      </c>
      <c r="S7805" t="s">
        <v>605</v>
      </c>
    </row>
    <row r="7806" spans="1:19" x14ac:dyDescent="0.2">
      <c r="A7806" t="s">
        <v>8417</v>
      </c>
      <c r="B7806" t="s">
        <v>90</v>
      </c>
      <c r="C7806" t="s">
        <v>597</v>
      </c>
      <c r="D7806">
        <v>4828.3999999999996</v>
      </c>
      <c r="E7806" s="37" t="str">
        <f t="shared" si="605"/>
        <v>Excellent Order</v>
      </c>
      <c r="F7806">
        <v>0.33</v>
      </c>
      <c r="G7806" s="37" t="str">
        <f t="shared" si="606"/>
        <v>Heavy Discount</v>
      </c>
      <c r="H7806" s="37" t="str">
        <f t="shared" si="607"/>
        <v>Medium</v>
      </c>
      <c r="I7806">
        <v>5</v>
      </c>
      <c r="J7806" t="str" cm="1">
        <f t="array" ref="J7806">_xlfn.IFS(I7806&lt;=3,"small",I7806&lt;=6,"Medium",I7806&lt;=9,"Large")</f>
        <v>Medium</v>
      </c>
      <c r="K7806" s="36">
        <v>45636</v>
      </c>
      <c r="L7806" s="36">
        <v>45643</v>
      </c>
      <c r="M7806" t="s">
        <v>612</v>
      </c>
      <c r="N7806" t="s">
        <v>608</v>
      </c>
      <c r="O7806" s="37" t="str">
        <f t="shared" si="608"/>
        <v>Cash Payment</v>
      </c>
      <c r="P7806">
        <v>807.83</v>
      </c>
      <c r="Q7806" s="37" t="str">
        <f>IF(P7806&gt;500,"High","low")</f>
        <v>High</v>
      </c>
      <c r="R7806" s="37" t="str">
        <f t="shared" si="609"/>
        <v>Good</v>
      </c>
      <c r="S7806" t="s">
        <v>620</v>
      </c>
    </row>
    <row r="7807" spans="1:19" x14ac:dyDescent="0.2">
      <c r="A7807" t="s">
        <v>8418</v>
      </c>
      <c r="B7807" t="s">
        <v>83</v>
      </c>
      <c r="C7807" t="s">
        <v>617</v>
      </c>
      <c r="D7807">
        <v>2584.92</v>
      </c>
      <c r="E7807" s="37" t="str">
        <f t="shared" si="605"/>
        <v xml:space="preserve"> </v>
      </c>
      <c r="F7807">
        <v>0.06</v>
      </c>
      <c r="G7807" s="37" t="str">
        <f t="shared" si="606"/>
        <v>Normal Discount</v>
      </c>
      <c r="H7807" s="37" t="str">
        <f t="shared" si="607"/>
        <v>Low</v>
      </c>
      <c r="I7807">
        <v>9</v>
      </c>
      <c r="J7807" t="str" cm="1">
        <f t="array" ref="J7807">_xlfn.IFS(I7807&lt;=3,"small",I7807&lt;=6,"Medium",I7807&lt;=9,"Large")</f>
        <v>Large</v>
      </c>
      <c r="K7807" s="36">
        <v>45489</v>
      </c>
      <c r="L7807" s="36">
        <v>45490</v>
      </c>
      <c r="M7807" t="s">
        <v>603</v>
      </c>
      <c r="N7807" t="s">
        <v>599</v>
      </c>
      <c r="O7807" s="37" t="str">
        <f t="shared" si="608"/>
        <v>Digital Payment</v>
      </c>
      <c r="P7807">
        <v>748.95</v>
      </c>
      <c r="Q7807" s="37" t="str">
        <f>IF(P7807&gt;500,"High","low")</f>
        <v>High</v>
      </c>
      <c r="R7807" s="37" t="str">
        <f t="shared" si="609"/>
        <v>Good</v>
      </c>
      <c r="S7807" t="s">
        <v>615</v>
      </c>
    </row>
    <row r="7808" spans="1:19" x14ac:dyDescent="0.2">
      <c r="A7808" t="s">
        <v>8419</v>
      </c>
      <c r="B7808" t="s">
        <v>67</v>
      </c>
      <c r="C7808" t="s">
        <v>617</v>
      </c>
      <c r="D7808">
        <v>1962.42</v>
      </c>
      <c r="E7808" s="37" t="str">
        <f t="shared" si="605"/>
        <v xml:space="preserve"> </v>
      </c>
      <c r="F7808">
        <v>0.25</v>
      </c>
      <c r="G7808" s="37" t="str">
        <f t="shared" si="606"/>
        <v>Normal Discount</v>
      </c>
      <c r="H7808" s="37" t="str">
        <f t="shared" si="607"/>
        <v>Medium</v>
      </c>
      <c r="I7808">
        <v>7</v>
      </c>
      <c r="J7808" t="str" cm="1">
        <f t="array" ref="J7808">_xlfn.IFS(I7808&lt;=3,"small",I7808&lt;=6,"Medium",I7808&lt;=9,"Large")</f>
        <v>Large</v>
      </c>
      <c r="K7808" s="36">
        <v>44943</v>
      </c>
      <c r="L7808" s="36">
        <v>44944</v>
      </c>
      <c r="M7808" t="s">
        <v>598</v>
      </c>
      <c r="N7808" t="s">
        <v>608</v>
      </c>
      <c r="O7808" s="37" t="str">
        <f t="shared" si="608"/>
        <v>Cash Payment</v>
      </c>
      <c r="P7808">
        <v>117.69</v>
      </c>
      <c r="Q7808" s="37" t="str">
        <f>IF(P7808&gt;500,"High","low")</f>
        <v>low</v>
      </c>
      <c r="R7808" s="37" t="str">
        <f t="shared" si="609"/>
        <v>AVERAGE</v>
      </c>
      <c r="S7808" t="s">
        <v>615</v>
      </c>
    </row>
    <row r="7809" spans="1:19" x14ac:dyDescent="0.2">
      <c r="A7809" t="s">
        <v>8420</v>
      </c>
      <c r="B7809" t="s">
        <v>83</v>
      </c>
      <c r="C7809" t="s">
        <v>602</v>
      </c>
      <c r="D7809">
        <v>871.95</v>
      </c>
      <c r="E7809" s="37" t="str">
        <f t="shared" si="605"/>
        <v xml:space="preserve"> </v>
      </c>
      <c r="F7809">
        <v>0.37</v>
      </c>
      <c r="G7809" s="37" t="str">
        <f t="shared" si="606"/>
        <v>Heavy Discount</v>
      </c>
      <c r="H7809" s="37" t="str">
        <f t="shared" si="607"/>
        <v>Medium</v>
      </c>
      <c r="I7809">
        <v>6</v>
      </c>
      <c r="J7809" t="str" cm="1">
        <f t="array" ref="J7809">_xlfn.IFS(I7809&lt;=3,"small",I7809&lt;=6,"Medium",I7809&lt;=9,"Large")</f>
        <v>Medium</v>
      </c>
      <c r="K7809" s="36">
        <v>45186</v>
      </c>
      <c r="L7809" s="36">
        <v>45189</v>
      </c>
      <c r="M7809" t="s">
        <v>598</v>
      </c>
      <c r="N7809" t="s">
        <v>599</v>
      </c>
      <c r="O7809" s="37" t="str">
        <f t="shared" si="608"/>
        <v>Digital Payment</v>
      </c>
      <c r="P7809">
        <v>161.75</v>
      </c>
      <c r="Q7809" s="37" t="str">
        <f>IF(P7809&gt;500,"High","low")</f>
        <v>low</v>
      </c>
      <c r="R7809" s="37" t="str">
        <f t="shared" si="609"/>
        <v>AVERAGE</v>
      </c>
      <c r="S7809" t="s">
        <v>615</v>
      </c>
    </row>
    <row r="7810" spans="1:19" x14ac:dyDescent="0.2">
      <c r="A7810" t="s">
        <v>8421</v>
      </c>
      <c r="B7810" t="s">
        <v>83</v>
      </c>
      <c r="C7810" t="s">
        <v>607</v>
      </c>
      <c r="D7810">
        <v>2141.02</v>
      </c>
      <c r="E7810" s="37" t="str">
        <f t="shared" si="605"/>
        <v xml:space="preserve"> </v>
      </c>
      <c r="F7810">
        <v>0.42</v>
      </c>
      <c r="G7810" s="37" t="str">
        <f t="shared" si="606"/>
        <v>Heavy Discount</v>
      </c>
      <c r="H7810" s="37" t="str">
        <f t="shared" si="607"/>
        <v>High</v>
      </c>
      <c r="I7810">
        <v>9</v>
      </c>
      <c r="J7810" t="str" cm="1">
        <f t="array" ref="J7810">_xlfn.IFS(I7810&lt;=3,"small",I7810&lt;=6,"Medium",I7810&lt;=9,"Large")</f>
        <v>Large</v>
      </c>
      <c r="K7810" s="36">
        <v>45268</v>
      </c>
      <c r="L7810" s="36">
        <v>45269</v>
      </c>
      <c r="M7810" t="s">
        <v>612</v>
      </c>
      <c r="N7810" t="s">
        <v>608</v>
      </c>
      <c r="O7810" s="37" t="str">
        <f t="shared" si="608"/>
        <v>Cash Payment</v>
      </c>
      <c r="P7810">
        <v>117</v>
      </c>
      <c r="Q7810" s="37" t="str">
        <f>IF(P7810&gt;500,"High","low")</f>
        <v>low</v>
      </c>
      <c r="R7810" s="37" t="str">
        <f t="shared" si="609"/>
        <v>AVERAGE</v>
      </c>
      <c r="S7810" t="s">
        <v>609</v>
      </c>
    </row>
    <row r="7811" spans="1:19" x14ac:dyDescent="0.2">
      <c r="A7811" t="s">
        <v>8422</v>
      </c>
      <c r="B7811" t="s">
        <v>90</v>
      </c>
      <c r="C7811" t="s">
        <v>597</v>
      </c>
      <c r="D7811">
        <v>1581.89</v>
      </c>
      <c r="E7811" s="37" t="str">
        <f t="shared" ref="E7811:E7874" si="610">IF(AND(D7811&gt;4000,P7811&gt;800),"Excellent Order"," ")</f>
        <v xml:space="preserve"> </v>
      </c>
      <c r="F7811">
        <v>0.09</v>
      </c>
      <c r="G7811" s="37" t="str">
        <f t="shared" ref="G7811:G7874" si="611">IF(F7811&gt;30%,"Heavy Discount","Normal Discount")</f>
        <v>Normal Discount</v>
      </c>
      <c r="H7811" s="37" t="str">
        <f t="shared" ref="H7811:H7874" si="612">IF(F7811&gt;0.4,"High",IF(F7811&gt;=0.2,"Medium","Low"))</f>
        <v>Low</v>
      </c>
      <c r="I7811">
        <v>6</v>
      </c>
      <c r="J7811" t="str" cm="1">
        <f t="array" ref="J7811">_xlfn.IFS(I7811&lt;=3,"small",I7811&lt;=6,"Medium",I7811&lt;=9,"Large")</f>
        <v>Medium</v>
      </c>
      <c r="K7811" s="36">
        <v>45623</v>
      </c>
      <c r="L7811" s="36">
        <v>45630</v>
      </c>
      <c r="M7811" t="s">
        <v>603</v>
      </c>
      <c r="N7811" t="s">
        <v>608</v>
      </c>
      <c r="O7811" s="37" t="str">
        <f t="shared" ref="O7811:O7874" si="613">IF(OR(N7811="Card",N7811="UPI"),"Digital Payment","Cash Payment")</f>
        <v>Cash Payment</v>
      </c>
      <c r="P7811">
        <v>203.8</v>
      </c>
      <c r="Q7811" s="37" t="str">
        <f>IF(P7811&gt;500,"High","low")</f>
        <v>low</v>
      </c>
      <c r="R7811" s="37" t="str">
        <f t="shared" ref="R7811:R7874" si="614">IF(P7811&gt;1000,"Excellent",IF(P7811&gt;=500,"Good","AVERAGE"))</f>
        <v>AVERAGE</v>
      </c>
      <c r="S7811" t="s">
        <v>605</v>
      </c>
    </row>
    <row r="7812" spans="1:19" x14ac:dyDescent="0.2">
      <c r="A7812" t="s">
        <v>8423</v>
      </c>
      <c r="B7812" t="s">
        <v>67</v>
      </c>
      <c r="C7812" t="s">
        <v>597</v>
      </c>
      <c r="D7812">
        <v>530.84</v>
      </c>
      <c r="E7812" s="37" t="str">
        <f t="shared" si="610"/>
        <v xml:space="preserve"> </v>
      </c>
      <c r="F7812">
        <v>0.11</v>
      </c>
      <c r="G7812" s="37" t="str">
        <f t="shared" si="611"/>
        <v>Normal Discount</v>
      </c>
      <c r="H7812" s="37" t="str">
        <f t="shared" si="612"/>
        <v>Low</v>
      </c>
      <c r="I7812">
        <v>4</v>
      </c>
      <c r="J7812" t="str" cm="1">
        <f t="array" ref="J7812">_xlfn.IFS(I7812&lt;=3,"small",I7812&lt;=6,"Medium",I7812&lt;=9,"Large")</f>
        <v>Medium</v>
      </c>
      <c r="K7812" s="36">
        <v>45573</v>
      </c>
      <c r="L7812" s="36">
        <v>45579</v>
      </c>
      <c r="M7812" t="s">
        <v>603</v>
      </c>
      <c r="N7812" t="s">
        <v>608</v>
      </c>
      <c r="O7812" s="37" t="str">
        <f t="shared" si="613"/>
        <v>Cash Payment</v>
      </c>
      <c r="P7812">
        <v>87.85</v>
      </c>
      <c r="Q7812" s="37" t="str">
        <f>IF(P7812&gt;500,"High","low")</f>
        <v>low</v>
      </c>
      <c r="R7812" s="37" t="str">
        <f t="shared" si="614"/>
        <v>AVERAGE</v>
      </c>
      <c r="S7812" t="s">
        <v>600</v>
      </c>
    </row>
    <row r="7813" spans="1:19" x14ac:dyDescent="0.2">
      <c r="A7813" t="s">
        <v>8424</v>
      </c>
      <c r="B7813" t="s">
        <v>83</v>
      </c>
      <c r="C7813" t="s">
        <v>602</v>
      </c>
      <c r="D7813">
        <v>4838.33</v>
      </c>
      <c r="E7813" s="37" t="str">
        <f t="shared" si="610"/>
        <v xml:space="preserve"> </v>
      </c>
      <c r="F7813">
        <v>0.43</v>
      </c>
      <c r="G7813" s="37" t="str">
        <f t="shared" si="611"/>
        <v>Heavy Discount</v>
      </c>
      <c r="H7813" s="37" t="str">
        <f t="shared" si="612"/>
        <v>High</v>
      </c>
      <c r="I7813">
        <v>7</v>
      </c>
      <c r="J7813" t="str" cm="1">
        <f t="array" ref="J7813">_xlfn.IFS(I7813&lt;=3,"small",I7813&lt;=6,"Medium",I7813&lt;=9,"Large")</f>
        <v>Large</v>
      </c>
      <c r="K7813" s="36">
        <v>45164</v>
      </c>
      <c r="L7813" s="36">
        <v>45169</v>
      </c>
      <c r="M7813" t="s">
        <v>612</v>
      </c>
      <c r="N7813" t="s">
        <v>599</v>
      </c>
      <c r="O7813" s="37" t="str">
        <f t="shared" si="613"/>
        <v>Digital Payment</v>
      </c>
      <c r="P7813">
        <v>448.49</v>
      </c>
      <c r="Q7813" s="37" t="str">
        <f>IF(P7813&gt;500,"High","low")</f>
        <v>low</v>
      </c>
      <c r="R7813" s="37" t="str">
        <f t="shared" si="614"/>
        <v>AVERAGE</v>
      </c>
      <c r="S7813" t="s">
        <v>600</v>
      </c>
    </row>
    <row r="7814" spans="1:19" x14ac:dyDescent="0.2">
      <c r="A7814" t="s">
        <v>8425</v>
      </c>
      <c r="B7814" t="s">
        <v>67</v>
      </c>
      <c r="C7814" t="s">
        <v>607</v>
      </c>
      <c r="D7814">
        <v>1398.39</v>
      </c>
      <c r="E7814" s="37" t="str">
        <f t="shared" si="610"/>
        <v xml:space="preserve"> </v>
      </c>
      <c r="F7814">
        <v>0.24</v>
      </c>
      <c r="G7814" s="37" t="str">
        <f t="shared" si="611"/>
        <v>Normal Discount</v>
      </c>
      <c r="H7814" s="37" t="str">
        <f t="shared" si="612"/>
        <v>Medium</v>
      </c>
      <c r="I7814">
        <v>2</v>
      </c>
      <c r="J7814" t="str" cm="1">
        <f t="array" ref="J7814">_xlfn.IFS(I7814&lt;=3,"small",I7814&lt;=6,"Medium",I7814&lt;=9,"Large")</f>
        <v>small</v>
      </c>
      <c r="K7814" s="36">
        <v>45417</v>
      </c>
      <c r="L7814" s="36">
        <v>45419</v>
      </c>
      <c r="M7814" t="s">
        <v>612</v>
      </c>
      <c r="N7814" t="s">
        <v>608</v>
      </c>
      <c r="O7814" s="37" t="str">
        <f t="shared" si="613"/>
        <v>Cash Payment</v>
      </c>
      <c r="P7814">
        <v>354.53</v>
      </c>
      <c r="Q7814" s="37" t="str">
        <f>IF(P7814&gt;500,"High","low")</f>
        <v>low</v>
      </c>
      <c r="R7814" s="37" t="str">
        <f t="shared" si="614"/>
        <v>AVERAGE</v>
      </c>
      <c r="S7814" t="s">
        <v>628</v>
      </c>
    </row>
    <row r="7815" spans="1:19" x14ac:dyDescent="0.2">
      <c r="A7815" t="s">
        <v>8426</v>
      </c>
      <c r="B7815" t="s">
        <v>75</v>
      </c>
      <c r="C7815" t="s">
        <v>602</v>
      </c>
      <c r="D7815">
        <v>3483.3</v>
      </c>
      <c r="E7815" s="37" t="str">
        <f t="shared" si="610"/>
        <v xml:space="preserve"> </v>
      </c>
      <c r="F7815">
        <v>0.23</v>
      </c>
      <c r="G7815" s="37" t="str">
        <f t="shared" si="611"/>
        <v>Normal Discount</v>
      </c>
      <c r="H7815" s="37" t="str">
        <f t="shared" si="612"/>
        <v>Medium</v>
      </c>
      <c r="I7815">
        <v>2</v>
      </c>
      <c r="J7815" t="str" cm="1">
        <f t="array" ref="J7815">_xlfn.IFS(I7815&lt;=3,"small",I7815&lt;=6,"Medium",I7815&lt;=9,"Large")</f>
        <v>small</v>
      </c>
      <c r="K7815" s="36">
        <v>45087</v>
      </c>
      <c r="L7815" s="36">
        <v>45090</v>
      </c>
      <c r="M7815" t="s">
        <v>603</v>
      </c>
      <c r="N7815" t="s">
        <v>604</v>
      </c>
      <c r="O7815" s="37" t="str">
        <f t="shared" si="613"/>
        <v>Digital Payment</v>
      </c>
      <c r="P7815">
        <v>539.29</v>
      </c>
      <c r="Q7815" s="37" t="str">
        <f>IF(P7815&gt;500,"High","low")</f>
        <v>High</v>
      </c>
      <c r="R7815" s="37" t="str">
        <f t="shared" si="614"/>
        <v>Good</v>
      </c>
      <c r="S7815" t="s">
        <v>609</v>
      </c>
    </row>
    <row r="7816" spans="1:19" x14ac:dyDescent="0.2">
      <c r="A7816" t="s">
        <v>8427</v>
      </c>
      <c r="B7816" t="s">
        <v>75</v>
      </c>
      <c r="C7816" t="s">
        <v>614</v>
      </c>
      <c r="D7816">
        <v>547.48</v>
      </c>
      <c r="E7816" s="37" t="str">
        <f t="shared" si="610"/>
        <v xml:space="preserve"> </v>
      </c>
      <c r="F7816">
        <v>0.25</v>
      </c>
      <c r="G7816" s="37" t="str">
        <f t="shared" si="611"/>
        <v>Normal Discount</v>
      </c>
      <c r="H7816" s="37" t="str">
        <f t="shared" si="612"/>
        <v>Medium</v>
      </c>
      <c r="I7816">
        <v>6</v>
      </c>
      <c r="J7816" t="str" cm="1">
        <f t="array" ref="J7816">_xlfn.IFS(I7816&lt;=3,"small",I7816&lt;=6,"Medium",I7816&lt;=9,"Large")</f>
        <v>Medium</v>
      </c>
      <c r="K7816" s="36">
        <v>45414</v>
      </c>
      <c r="L7816" s="36">
        <v>45415</v>
      </c>
      <c r="M7816" t="s">
        <v>603</v>
      </c>
      <c r="N7816" t="s">
        <v>608</v>
      </c>
      <c r="O7816" s="37" t="str">
        <f t="shared" si="613"/>
        <v>Cash Payment</v>
      </c>
      <c r="P7816">
        <v>47.14</v>
      </c>
      <c r="Q7816" s="37" t="str">
        <f>IF(P7816&gt;500,"High","low")</f>
        <v>low</v>
      </c>
      <c r="R7816" s="37" t="str">
        <f t="shared" si="614"/>
        <v>AVERAGE</v>
      </c>
      <c r="S7816" t="s">
        <v>628</v>
      </c>
    </row>
    <row r="7817" spans="1:19" x14ac:dyDescent="0.2">
      <c r="A7817" t="s">
        <v>8428</v>
      </c>
      <c r="B7817" t="s">
        <v>83</v>
      </c>
      <c r="C7817" t="s">
        <v>597</v>
      </c>
      <c r="D7817">
        <v>4574.53</v>
      </c>
      <c r="E7817" s="37" t="str">
        <f t="shared" si="610"/>
        <v xml:space="preserve"> </v>
      </c>
      <c r="F7817">
        <v>0.09</v>
      </c>
      <c r="G7817" s="37" t="str">
        <f t="shared" si="611"/>
        <v>Normal Discount</v>
      </c>
      <c r="H7817" s="37" t="str">
        <f t="shared" si="612"/>
        <v>Low</v>
      </c>
      <c r="I7817">
        <v>5</v>
      </c>
      <c r="J7817" t="str" cm="1">
        <f t="array" ref="J7817">_xlfn.IFS(I7817&lt;=3,"small",I7817&lt;=6,"Medium",I7817&lt;=9,"Large")</f>
        <v>Medium</v>
      </c>
      <c r="K7817" s="36">
        <v>45122</v>
      </c>
      <c r="L7817" s="36">
        <v>45127</v>
      </c>
      <c r="M7817" t="s">
        <v>612</v>
      </c>
      <c r="N7817" t="s">
        <v>608</v>
      </c>
      <c r="O7817" s="37" t="str">
        <f t="shared" si="613"/>
        <v>Cash Payment</v>
      </c>
      <c r="P7817">
        <v>562.39</v>
      </c>
      <c r="Q7817" s="37" t="str">
        <f>IF(P7817&gt;500,"High","low")</f>
        <v>High</v>
      </c>
      <c r="R7817" s="37" t="str">
        <f t="shared" si="614"/>
        <v>Good</v>
      </c>
      <c r="S7817" t="s">
        <v>628</v>
      </c>
    </row>
    <row r="7818" spans="1:19" x14ac:dyDescent="0.2">
      <c r="A7818" t="s">
        <v>8429</v>
      </c>
      <c r="B7818" t="s">
        <v>67</v>
      </c>
      <c r="C7818" t="s">
        <v>602</v>
      </c>
      <c r="D7818">
        <v>2994.68</v>
      </c>
      <c r="E7818" s="37" t="str">
        <f t="shared" si="610"/>
        <v xml:space="preserve"> </v>
      </c>
      <c r="F7818">
        <v>0.31</v>
      </c>
      <c r="G7818" s="37" t="str">
        <f t="shared" si="611"/>
        <v>Heavy Discount</v>
      </c>
      <c r="H7818" s="37" t="str">
        <f t="shared" si="612"/>
        <v>Medium</v>
      </c>
      <c r="I7818">
        <v>6</v>
      </c>
      <c r="J7818" t="str" cm="1">
        <f t="array" ref="J7818">_xlfn.IFS(I7818&lt;=3,"small",I7818&lt;=6,"Medium",I7818&lt;=9,"Large")</f>
        <v>Medium</v>
      </c>
      <c r="K7818" s="36">
        <v>45054</v>
      </c>
      <c r="L7818" s="36">
        <v>45058</v>
      </c>
      <c r="M7818" t="s">
        <v>598</v>
      </c>
      <c r="N7818" t="s">
        <v>608</v>
      </c>
      <c r="O7818" s="37" t="str">
        <f t="shared" si="613"/>
        <v>Cash Payment</v>
      </c>
      <c r="P7818">
        <v>249.93</v>
      </c>
      <c r="Q7818" s="37" t="str">
        <f>IF(P7818&gt;500,"High","low")</f>
        <v>low</v>
      </c>
      <c r="R7818" s="37" t="str">
        <f t="shared" si="614"/>
        <v>AVERAGE</v>
      </c>
      <c r="S7818" t="s">
        <v>609</v>
      </c>
    </row>
    <row r="7819" spans="1:19" x14ac:dyDescent="0.2">
      <c r="A7819" t="s">
        <v>8430</v>
      </c>
      <c r="B7819" t="s">
        <v>83</v>
      </c>
      <c r="C7819" t="s">
        <v>602</v>
      </c>
      <c r="D7819">
        <v>3318.67</v>
      </c>
      <c r="E7819" s="37" t="str">
        <f t="shared" si="610"/>
        <v xml:space="preserve"> </v>
      </c>
      <c r="F7819">
        <v>0.4</v>
      </c>
      <c r="G7819" s="37" t="str">
        <f t="shared" si="611"/>
        <v>Heavy Discount</v>
      </c>
      <c r="H7819" s="37" t="str">
        <f t="shared" si="612"/>
        <v>Medium</v>
      </c>
      <c r="I7819">
        <v>2</v>
      </c>
      <c r="J7819" t="str" cm="1">
        <f t="array" ref="J7819">_xlfn.IFS(I7819&lt;=3,"small",I7819&lt;=6,"Medium",I7819&lt;=9,"Large")</f>
        <v>small</v>
      </c>
      <c r="K7819" s="36">
        <v>45366</v>
      </c>
      <c r="L7819" s="36">
        <v>45368</v>
      </c>
      <c r="M7819" t="s">
        <v>598</v>
      </c>
      <c r="N7819" t="s">
        <v>608</v>
      </c>
      <c r="O7819" s="37" t="str">
        <f t="shared" si="613"/>
        <v>Cash Payment</v>
      </c>
      <c r="P7819">
        <v>616.70000000000005</v>
      </c>
      <c r="Q7819" s="37" t="str">
        <f>IF(P7819&gt;500,"High","low")</f>
        <v>High</v>
      </c>
      <c r="R7819" s="37" t="str">
        <f t="shared" si="614"/>
        <v>Good</v>
      </c>
      <c r="S7819" t="s">
        <v>609</v>
      </c>
    </row>
    <row r="7820" spans="1:19" x14ac:dyDescent="0.2">
      <c r="A7820" t="s">
        <v>8431</v>
      </c>
      <c r="B7820" t="s">
        <v>67</v>
      </c>
      <c r="C7820" t="s">
        <v>614</v>
      </c>
      <c r="D7820">
        <v>3930.74</v>
      </c>
      <c r="E7820" s="37" t="str">
        <f t="shared" si="610"/>
        <v xml:space="preserve"> </v>
      </c>
      <c r="F7820">
        <v>0.42</v>
      </c>
      <c r="G7820" s="37" t="str">
        <f t="shared" si="611"/>
        <v>Heavy Discount</v>
      </c>
      <c r="H7820" s="37" t="str">
        <f t="shared" si="612"/>
        <v>High</v>
      </c>
      <c r="I7820">
        <v>2</v>
      </c>
      <c r="J7820" t="str" cm="1">
        <f t="array" ref="J7820">_xlfn.IFS(I7820&lt;=3,"small",I7820&lt;=6,"Medium",I7820&lt;=9,"Large")</f>
        <v>small</v>
      </c>
      <c r="K7820" s="36">
        <v>45207</v>
      </c>
      <c r="L7820" s="36">
        <v>45214</v>
      </c>
      <c r="M7820" t="s">
        <v>603</v>
      </c>
      <c r="N7820" t="s">
        <v>608</v>
      </c>
      <c r="O7820" s="37" t="str">
        <f t="shared" si="613"/>
        <v>Cash Payment</v>
      </c>
      <c r="P7820">
        <v>655.98</v>
      </c>
      <c r="Q7820" s="37" t="str">
        <f>IF(P7820&gt;500,"High","low")</f>
        <v>High</v>
      </c>
      <c r="R7820" s="37" t="str">
        <f t="shared" si="614"/>
        <v>Good</v>
      </c>
      <c r="S7820" t="s">
        <v>609</v>
      </c>
    </row>
    <row r="7821" spans="1:19" x14ac:dyDescent="0.2">
      <c r="A7821" t="s">
        <v>8432</v>
      </c>
      <c r="B7821" t="s">
        <v>67</v>
      </c>
      <c r="C7821" t="s">
        <v>617</v>
      </c>
      <c r="D7821">
        <v>3068.99</v>
      </c>
      <c r="E7821" s="37" t="str">
        <f t="shared" si="610"/>
        <v xml:space="preserve"> </v>
      </c>
      <c r="F7821">
        <v>0.02</v>
      </c>
      <c r="G7821" s="37" t="str">
        <f t="shared" si="611"/>
        <v>Normal Discount</v>
      </c>
      <c r="H7821" s="37" t="str">
        <f t="shared" si="612"/>
        <v>Low</v>
      </c>
      <c r="I7821">
        <v>1</v>
      </c>
      <c r="J7821" t="str" cm="1">
        <f t="array" ref="J7821">_xlfn.IFS(I7821&lt;=3,"small",I7821&lt;=6,"Medium",I7821&lt;=9,"Large")</f>
        <v>small</v>
      </c>
      <c r="K7821" s="36">
        <v>45010</v>
      </c>
      <c r="L7821" s="36">
        <v>45014</v>
      </c>
      <c r="M7821" t="s">
        <v>612</v>
      </c>
      <c r="N7821" t="s">
        <v>608</v>
      </c>
      <c r="O7821" s="37" t="str">
        <f t="shared" si="613"/>
        <v>Cash Payment</v>
      </c>
      <c r="P7821">
        <v>315.44</v>
      </c>
      <c r="Q7821" s="37" t="str">
        <f>IF(P7821&gt;500,"High","low")</f>
        <v>low</v>
      </c>
      <c r="R7821" s="37" t="str">
        <f t="shared" si="614"/>
        <v>AVERAGE</v>
      </c>
      <c r="S7821" t="s">
        <v>600</v>
      </c>
    </row>
    <row r="7822" spans="1:19" x14ac:dyDescent="0.2">
      <c r="A7822" t="s">
        <v>8433</v>
      </c>
      <c r="B7822" t="s">
        <v>90</v>
      </c>
      <c r="C7822" t="s">
        <v>597</v>
      </c>
      <c r="D7822">
        <v>447.45</v>
      </c>
      <c r="E7822" s="37" t="str">
        <f t="shared" si="610"/>
        <v xml:space="preserve"> </v>
      </c>
      <c r="F7822">
        <v>0.36</v>
      </c>
      <c r="G7822" s="37" t="str">
        <f t="shared" si="611"/>
        <v>Heavy Discount</v>
      </c>
      <c r="H7822" s="37" t="str">
        <f t="shared" si="612"/>
        <v>Medium</v>
      </c>
      <c r="I7822">
        <v>2</v>
      </c>
      <c r="J7822" t="str" cm="1">
        <f t="array" ref="J7822">_xlfn.IFS(I7822&lt;=3,"small",I7822&lt;=6,"Medium",I7822&lt;=9,"Large")</f>
        <v>small</v>
      </c>
      <c r="K7822" s="36">
        <v>45284</v>
      </c>
      <c r="L7822" s="36">
        <v>45289</v>
      </c>
      <c r="M7822" t="s">
        <v>598</v>
      </c>
      <c r="N7822" t="s">
        <v>599</v>
      </c>
      <c r="O7822" s="37" t="str">
        <f t="shared" si="613"/>
        <v>Digital Payment</v>
      </c>
      <c r="P7822">
        <v>131.05000000000001</v>
      </c>
      <c r="Q7822" s="37" t="str">
        <f>IF(P7822&gt;500,"High","low")</f>
        <v>low</v>
      </c>
      <c r="R7822" s="37" t="str">
        <f t="shared" si="614"/>
        <v>AVERAGE</v>
      </c>
      <c r="S7822" t="s">
        <v>605</v>
      </c>
    </row>
    <row r="7823" spans="1:19" x14ac:dyDescent="0.2">
      <c r="A7823" t="s">
        <v>8434</v>
      </c>
      <c r="B7823" t="s">
        <v>90</v>
      </c>
      <c r="C7823" t="s">
        <v>602</v>
      </c>
      <c r="D7823">
        <v>2204.9499999999998</v>
      </c>
      <c r="E7823" s="37" t="str">
        <f t="shared" si="610"/>
        <v xml:space="preserve"> </v>
      </c>
      <c r="F7823">
        <v>0.05</v>
      </c>
      <c r="G7823" s="37" t="str">
        <f t="shared" si="611"/>
        <v>Normal Discount</v>
      </c>
      <c r="H7823" s="37" t="str">
        <f t="shared" si="612"/>
        <v>Low</v>
      </c>
      <c r="I7823">
        <v>7</v>
      </c>
      <c r="J7823" t="str" cm="1">
        <f t="array" ref="J7823">_xlfn.IFS(I7823&lt;=3,"small",I7823&lt;=6,"Medium",I7823&lt;=9,"Large")</f>
        <v>Large</v>
      </c>
      <c r="K7823" s="36">
        <v>45089</v>
      </c>
      <c r="L7823" s="36">
        <v>45093</v>
      </c>
      <c r="M7823" t="s">
        <v>612</v>
      </c>
      <c r="N7823" t="s">
        <v>599</v>
      </c>
      <c r="O7823" s="37" t="str">
        <f t="shared" si="613"/>
        <v>Digital Payment</v>
      </c>
      <c r="P7823">
        <v>473.84</v>
      </c>
      <c r="Q7823" s="37" t="str">
        <f>IF(P7823&gt;500,"High","low")</f>
        <v>low</v>
      </c>
      <c r="R7823" s="37" t="str">
        <f t="shared" si="614"/>
        <v>AVERAGE</v>
      </c>
      <c r="S7823" t="s">
        <v>628</v>
      </c>
    </row>
    <row r="7824" spans="1:19" x14ac:dyDescent="0.2">
      <c r="A7824" t="s">
        <v>8435</v>
      </c>
      <c r="B7824" t="s">
        <v>90</v>
      </c>
      <c r="C7824" t="s">
        <v>597</v>
      </c>
      <c r="D7824">
        <v>1383.95</v>
      </c>
      <c r="E7824" s="37" t="str">
        <f t="shared" si="610"/>
        <v xml:space="preserve"> </v>
      </c>
      <c r="F7824">
        <v>0.48</v>
      </c>
      <c r="G7824" s="37" t="str">
        <f t="shared" si="611"/>
        <v>Heavy Discount</v>
      </c>
      <c r="H7824" s="37" t="str">
        <f t="shared" si="612"/>
        <v>High</v>
      </c>
      <c r="I7824">
        <v>2</v>
      </c>
      <c r="J7824" t="str" cm="1">
        <f t="array" ref="J7824">_xlfn.IFS(I7824&lt;=3,"small",I7824&lt;=6,"Medium",I7824&lt;=9,"Large")</f>
        <v>small</v>
      </c>
      <c r="K7824" s="36">
        <v>45255</v>
      </c>
      <c r="L7824" s="36">
        <v>45261</v>
      </c>
      <c r="M7824" t="s">
        <v>612</v>
      </c>
      <c r="N7824" t="s">
        <v>604</v>
      </c>
      <c r="O7824" s="37" t="str">
        <f t="shared" si="613"/>
        <v>Digital Payment</v>
      </c>
      <c r="P7824">
        <v>179.85</v>
      </c>
      <c r="Q7824" s="37" t="str">
        <f>IF(P7824&gt;500,"High","low")</f>
        <v>low</v>
      </c>
      <c r="R7824" s="37" t="str">
        <f t="shared" si="614"/>
        <v>AVERAGE</v>
      </c>
      <c r="S7824" t="s">
        <v>600</v>
      </c>
    </row>
    <row r="7825" spans="1:19" x14ac:dyDescent="0.2">
      <c r="A7825" t="s">
        <v>8436</v>
      </c>
      <c r="B7825" t="s">
        <v>83</v>
      </c>
      <c r="C7825" t="s">
        <v>617</v>
      </c>
      <c r="D7825">
        <v>2484.91</v>
      </c>
      <c r="E7825" s="37" t="str">
        <f t="shared" si="610"/>
        <v xml:space="preserve"> </v>
      </c>
      <c r="F7825">
        <v>0.24</v>
      </c>
      <c r="G7825" s="37" t="str">
        <f t="shared" si="611"/>
        <v>Normal Discount</v>
      </c>
      <c r="H7825" s="37" t="str">
        <f t="shared" si="612"/>
        <v>Medium</v>
      </c>
      <c r="I7825">
        <v>3</v>
      </c>
      <c r="J7825" t="str" cm="1">
        <f t="array" ref="J7825">_xlfn.IFS(I7825&lt;=3,"small",I7825&lt;=6,"Medium",I7825&lt;=9,"Large")</f>
        <v>small</v>
      </c>
      <c r="K7825" s="36">
        <v>45532</v>
      </c>
      <c r="L7825" s="36">
        <v>45534</v>
      </c>
      <c r="M7825" t="s">
        <v>603</v>
      </c>
      <c r="N7825" t="s">
        <v>604</v>
      </c>
      <c r="O7825" s="37" t="str">
        <f t="shared" si="613"/>
        <v>Digital Payment</v>
      </c>
      <c r="P7825">
        <v>352.99</v>
      </c>
      <c r="Q7825" s="37" t="str">
        <f>IF(P7825&gt;500,"High","low")</f>
        <v>low</v>
      </c>
      <c r="R7825" s="37" t="str">
        <f t="shared" si="614"/>
        <v>AVERAGE</v>
      </c>
      <c r="S7825" t="s">
        <v>609</v>
      </c>
    </row>
    <row r="7826" spans="1:19" x14ac:dyDescent="0.2">
      <c r="A7826" t="s">
        <v>8437</v>
      </c>
      <c r="B7826" t="s">
        <v>90</v>
      </c>
      <c r="C7826" t="s">
        <v>602</v>
      </c>
      <c r="D7826">
        <v>2081.19</v>
      </c>
      <c r="E7826" s="37" t="str">
        <f t="shared" si="610"/>
        <v xml:space="preserve"> </v>
      </c>
      <c r="F7826">
        <v>0.39</v>
      </c>
      <c r="G7826" s="37" t="str">
        <f t="shared" si="611"/>
        <v>Heavy Discount</v>
      </c>
      <c r="H7826" s="37" t="str">
        <f t="shared" si="612"/>
        <v>Medium</v>
      </c>
      <c r="I7826">
        <v>6</v>
      </c>
      <c r="J7826" t="str" cm="1">
        <f t="array" ref="J7826">_xlfn.IFS(I7826&lt;=3,"small",I7826&lt;=6,"Medium",I7826&lt;=9,"Large")</f>
        <v>Medium</v>
      </c>
      <c r="K7826" s="36">
        <v>45349</v>
      </c>
      <c r="L7826" s="36">
        <v>45354</v>
      </c>
      <c r="M7826" t="s">
        <v>612</v>
      </c>
      <c r="N7826" t="s">
        <v>599</v>
      </c>
      <c r="O7826" s="37" t="str">
        <f t="shared" si="613"/>
        <v>Digital Payment</v>
      </c>
      <c r="P7826">
        <v>594.41</v>
      </c>
      <c r="Q7826" s="37" t="str">
        <f>IF(P7826&gt;500,"High","low")</f>
        <v>High</v>
      </c>
      <c r="R7826" s="37" t="str">
        <f t="shared" si="614"/>
        <v>Good</v>
      </c>
      <c r="S7826" t="s">
        <v>605</v>
      </c>
    </row>
    <row r="7827" spans="1:19" x14ac:dyDescent="0.2">
      <c r="A7827" t="s">
        <v>8438</v>
      </c>
      <c r="B7827" t="s">
        <v>90</v>
      </c>
      <c r="C7827" t="s">
        <v>614</v>
      </c>
      <c r="D7827">
        <v>4150.01</v>
      </c>
      <c r="E7827" s="37" t="str">
        <f t="shared" si="610"/>
        <v>Excellent Order</v>
      </c>
      <c r="F7827">
        <v>0.31</v>
      </c>
      <c r="G7827" s="37" t="str">
        <f t="shared" si="611"/>
        <v>Heavy Discount</v>
      </c>
      <c r="H7827" s="37" t="str">
        <f t="shared" si="612"/>
        <v>Medium</v>
      </c>
      <c r="I7827">
        <v>6</v>
      </c>
      <c r="J7827" t="str" cm="1">
        <f t="array" ref="J7827">_xlfn.IFS(I7827&lt;=3,"small",I7827&lt;=6,"Medium",I7827&lt;=9,"Large")</f>
        <v>Medium</v>
      </c>
      <c r="K7827" s="36">
        <v>44949</v>
      </c>
      <c r="L7827" s="36">
        <v>44950</v>
      </c>
      <c r="M7827" t="s">
        <v>612</v>
      </c>
      <c r="N7827" t="s">
        <v>604</v>
      </c>
      <c r="O7827" s="37" t="str">
        <f t="shared" si="613"/>
        <v>Digital Payment</v>
      </c>
      <c r="P7827">
        <v>807.03</v>
      </c>
      <c r="Q7827" s="37" t="str">
        <f>IF(P7827&gt;500,"High","low")</f>
        <v>High</v>
      </c>
      <c r="R7827" s="37" t="str">
        <f t="shared" si="614"/>
        <v>Good</v>
      </c>
      <c r="S7827" t="s">
        <v>609</v>
      </c>
    </row>
    <row r="7828" spans="1:19" x14ac:dyDescent="0.2">
      <c r="A7828" t="s">
        <v>8439</v>
      </c>
      <c r="B7828" t="s">
        <v>75</v>
      </c>
      <c r="C7828" t="s">
        <v>597</v>
      </c>
      <c r="D7828">
        <v>1310.53</v>
      </c>
      <c r="E7828" s="37" t="str">
        <f t="shared" si="610"/>
        <v xml:space="preserve"> </v>
      </c>
      <c r="F7828">
        <v>0.48</v>
      </c>
      <c r="G7828" s="37" t="str">
        <f t="shared" si="611"/>
        <v>Heavy Discount</v>
      </c>
      <c r="H7828" s="37" t="str">
        <f t="shared" si="612"/>
        <v>High</v>
      </c>
      <c r="I7828">
        <v>9</v>
      </c>
      <c r="J7828" t="str" cm="1">
        <f t="array" ref="J7828">_xlfn.IFS(I7828&lt;=3,"small",I7828&lt;=6,"Medium",I7828&lt;=9,"Large")</f>
        <v>Large</v>
      </c>
      <c r="K7828" s="36">
        <v>45321</v>
      </c>
      <c r="L7828" s="36">
        <v>45325</v>
      </c>
      <c r="M7828" t="s">
        <v>612</v>
      </c>
      <c r="N7828" t="s">
        <v>608</v>
      </c>
      <c r="O7828" s="37" t="str">
        <f t="shared" si="613"/>
        <v>Cash Payment</v>
      </c>
      <c r="P7828">
        <v>102.2</v>
      </c>
      <c r="Q7828" s="37" t="str">
        <f>IF(P7828&gt;500,"High","low")</f>
        <v>low</v>
      </c>
      <c r="R7828" s="37" t="str">
        <f t="shared" si="614"/>
        <v>AVERAGE</v>
      </c>
      <c r="S7828" t="s">
        <v>620</v>
      </c>
    </row>
    <row r="7829" spans="1:19" x14ac:dyDescent="0.2">
      <c r="A7829" t="s">
        <v>8440</v>
      </c>
      <c r="B7829" t="s">
        <v>67</v>
      </c>
      <c r="C7829" t="s">
        <v>614</v>
      </c>
      <c r="D7829">
        <v>1086.3800000000001</v>
      </c>
      <c r="E7829" s="37" t="str">
        <f t="shared" si="610"/>
        <v xml:space="preserve"> </v>
      </c>
      <c r="F7829">
        <v>0.49</v>
      </c>
      <c r="G7829" s="37" t="str">
        <f t="shared" si="611"/>
        <v>Heavy Discount</v>
      </c>
      <c r="H7829" s="37" t="str">
        <f t="shared" si="612"/>
        <v>High</v>
      </c>
      <c r="I7829">
        <v>2</v>
      </c>
      <c r="J7829" t="str" cm="1">
        <f t="array" ref="J7829">_xlfn.IFS(I7829&lt;=3,"small",I7829&lt;=6,"Medium",I7829&lt;=9,"Large")</f>
        <v>small</v>
      </c>
      <c r="K7829" s="36">
        <v>45005</v>
      </c>
      <c r="L7829" s="36">
        <v>45008</v>
      </c>
      <c r="M7829" t="s">
        <v>603</v>
      </c>
      <c r="N7829" t="s">
        <v>599</v>
      </c>
      <c r="O7829" s="37" t="str">
        <f t="shared" si="613"/>
        <v>Digital Payment</v>
      </c>
      <c r="P7829">
        <v>273.36</v>
      </c>
      <c r="Q7829" s="37" t="str">
        <f>IF(P7829&gt;500,"High","low")</f>
        <v>low</v>
      </c>
      <c r="R7829" s="37" t="str">
        <f t="shared" si="614"/>
        <v>AVERAGE</v>
      </c>
      <c r="S7829" t="s">
        <v>620</v>
      </c>
    </row>
    <row r="7830" spans="1:19" x14ac:dyDescent="0.2">
      <c r="A7830" t="s">
        <v>8441</v>
      </c>
      <c r="B7830" t="s">
        <v>67</v>
      </c>
      <c r="C7830" t="s">
        <v>617</v>
      </c>
      <c r="D7830">
        <v>4794.62</v>
      </c>
      <c r="E7830" s="37" t="str">
        <f t="shared" si="610"/>
        <v>Excellent Order</v>
      </c>
      <c r="F7830">
        <v>0.14000000000000001</v>
      </c>
      <c r="G7830" s="37" t="str">
        <f t="shared" si="611"/>
        <v>Normal Discount</v>
      </c>
      <c r="H7830" s="37" t="str">
        <f t="shared" si="612"/>
        <v>Low</v>
      </c>
      <c r="I7830">
        <v>7</v>
      </c>
      <c r="J7830" t="str" cm="1">
        <f t="array" ref="J7830">_xlfn.IFS(I7830&lt;=3,"small",I7830&lt;=6,"Medium",I7830&lt;=9,"Large")</f>
        <v>Large</v>
      </c>
      <c r="K7830" s="36">
        <v>45043</v>
      </c>
      <c r="L7830" s="36">
        <v>45047</v>
      </c>
      <c r="M7830" t="s">
        <v>603</v>
      </c>
      <c r="N7830" t="s">
        <v>608</v>
      </c>
      <c r="O7830" s="37" t="str">
        <f t="shared" si="613"/>
        <v>Cash Payment</v>
      </c>
      <c r="P7830">
        <v>1292.8</v>
      </c>
      <c r="Q7830" s="37" t="str">
        <f>IF(P7830&gt;500,"High","low")</f>
        <v>High</v>
      </c>
      <c r="R7830" s="37" t="str">
        <f t="shared" si="614"/>
        <v>Excellent</v>
      </c>
      <c r="S7830" t="s">
        <v>600</v>
      </c>
    </row>
    <row r="7831" spans="1:19" x14ac:dyDescent="0.2">
      <c r="A7831" t="s">
        <v>8442</v>
      </c>
      <c r="B7831" t="s">
        <v>90</v>
      </c>
      <c r="C7831" t="s">
        <v>617</v>
      </c>
      <c r="D7831">
        <v>4752.63</v>
      </c>
      <c r="E7831" s="37" t="str">
        <f t="shared" si="610"/>
        <v>Excellent Order</v>
      </c>
      <c r="F7831">
        <v>0.24</v>
      </c>
      <c r="G7831" s="37" t="str">
        <f t="shared" si="611"/>
        <v>Normal Discount</v>
      </c>
      <c r="H7831" s="37" t="str">
        <f t="shared" si="612"/>
        <v>Medium</v>
      </c>
      <c r="I7831">
        <v>1</v>
      </c>
      <c r="J7831" t="str" cm="1">
        <f t="array" ref="J7831">_xlfn.IFS(I7831&lt;=3,"small",I7831&lt;=6,"Medium",I7831&lt;=9,"Large")</f>
        <v>small</v>
      </c>
      <c r="K7831" s="36">
        <v>45263</v>
      </c>
      <c r="L7831" s="36">
        <v>45268</v>
      </c>
      <c r="M7831" t="s">
        <v>603</v>
      </c>
      <c r="N7831" t="s">
        <v>604</v>
      </c>
      <c r="O7831" s="37" t="str">
        <f t="shared" si="613"/>
        <v>Digital Payment</v>
      </c>
      <c r="P7831">
        <v>1010.25</v>
      </c>
      <c r="Q7831" s="37" t="str">
        <f>IF(P7831&gt;500,"High","low")</f>
        <v>High</v>
      </c>
      <c r="R7831" s="37" t="str">
        <f t="shared" si="614"/>
        <v>Excellent</v>
      </c>
      <c r="S7831" t="s">
        <v>620</v>
      </c>
    </row>
    <row r="7832" spans="1:19" x14ac:dyDescent="0.2">
      <c r="A7832" t="s">
        <v>8443</v>
      </c>
      <c r="B7832" t="s">
        <v>67</v>
      </c>
      <c r="C7832" t="s">
        <v>597</v>
      </c>
      <c r="D7832">
        <v>4967.9799999999996</v>
      </c>
      <c r="E7832" s="37" t="str">
        <f t="shared" si="610"/>
        <v xml:space="preserve"> </v>
      </c>
      <c r="F7832">
        <v>0.25</v>
      </c>
      <c r="G7832" s="37" t="str">
        <f t="shared" si="611"/>
        <v>Normal Discount</v>
      </c>
      <c r="H7832" s="37" t="str">
        <f t="shared" si="612"/>
        <v>Medium</v>
      </c>
      <c r="I7832">
        <v>6</v>
      </c>
      <c r="J7832" t="str" cm="1">
        <f t="array" ref="J7832">_xlfn.IFS(I7832&lt;=3,"small",I7832&lt;=6,"Medium",I7832&lt;=9,"Large")</f>
        <v>Medium</v>
      </c>
      <c r="K7832" s="36">
        <v>45194</v>
      </c>
      <c r="L7832" s="36">
        <v>45197</v>
      </c>
      <c r="M7832" t="s">
        <v>603</v>
      </c>
      <c r="N7832" t="s">
        <v>608</v>
      </c>
      <c r="O7832" s="37" t="str">
        <f t="shared" si="613"/>
        <v>Cash Payment</v>
      </c>
      <c r="P7832">
        <v>307.18</v>
      </c>
      <c r="Q7832" s="37" t="str">
        <f>IF(P7832&gt;500,"High","low")</f>
        <v>low</v>
      </c>
      <c r="R7832" s="37" t="str">
        <f t="shared" si="614"/>
        <v>AVERAGE</v>
      </c>
      <c r="S7832" t="s">
        <v>620</v>
      </c>
    </row>
    <row r="7833" spans="1:19" x14ac:dyDescent="0.2">
      <c r="A7833" t="s">
        <v>8444</v>
      </c>
      <c r="B7833" t="s">
        <v>75</v>
      </c>
      <c r="C7833" t="s">
        <v>617</v>
      </c>
      <c r="D7833">
        <v>2885.06</v>
      </c>
      <c r="E7833" s="37" t="str">
        <f t="shared" si="610"/>
        <v xml:space="preserve"> </v>
      </c>
      <c r="F7833">
        <v>0.09</v>
      </c>
      <c r="G7833" s="37" t="str">
        <f t="shared" si="611"/>
        <v>Normal Discount</v>
      </c>
      <c r="H7833" s="37" t="str">
        <f t="shared" si="612"/>
        <v>Low</v>
      </c>
      <c r="I7833">
        <v>9</v>
      </c>
      <c r="J7833" t="str" cm="1">
        <f t="array" ref="J7833">_xlfn.IFS(I7833&lt;=3,"small",I7833&lt;=6,"Medium",I7833&lt;=9,"Large")</f>
        <v>Large</v>
      </c>
      <c r="K7833" s="36">
        <v>45169</v>
      </c>
      <c r="L7833" s="36">
        <v>45176</v>
      </c>
      <c r="M7833" t="s">
        <v>603</v>
      </c>
      <c r="N7833" t="s">
        <v>604</v>
      </c>
      <c r="O7833" s="37" t="str">
        <f t="shared" si="613"/>
        <v>Digital Payment</v>
      </c>
      <c r="P7833">
        <v>357.24</v>
      </c>
      <c r="Q7833" s="37" t="str">
        <f>IF(P7833&gt;500,"High","low")</f>
        <v>low</v>
      </c>
      <c r="R7833" s="37" t="str">
        <f t="shared" si="614"/>
        <v>AVERAGE</v>
      </c>
      <c r="S7833" t="s">
        <v>620</v>
      </c>
    </row>
    <row r="7834" spans="1:19" x14ac:dyDescent="0.2">
      <c r="A7834" t="s">
        <v>8445</v>
      </c>
      <c r="B7834" t="s">
        <v>75</v>
      </c>
      <c r="C7834" t="s">
        <v>607</v>
      </c>
      <c r="D7834">
        <v>654.41</v>
      </c>
      <c r="E7834" s="37" t="str">
        <f t="shared" si="610"/>
        <v xml:space="preserve"> </v>
      </c>
      <c r="F7834">
        <v>0.45</v>
      </c>
      <c r="G7834" s="37" t="str">
        <f t="shared" si="611"/>
        <v>Heavy Discount</v>
      </c>
      <c r="H7834" s="37" t="str">
        <f t="shared" si="612"/>
        <v>High</v>
      </c>
      <c r="I7834">
        <v>8</v>
      </c>
      <c r="J7834" t="str" cm="1">
        <f t="array" ref="J7834">_xlfn.IFS(I7834&lt;=3,"small",I7834&lt;=6,"Medium",I7834&lt;=9,"Large")</f>
        <v>Large</v>
      </c>
      <c r="K7834" s="36">
        <v>45345</v>
      </c>
      <c r="L7834" s="36">
        <v>45352</v>
      </c>
      <c r="M7834" t="s">
        <v>612</v>
      </c>
      <c r="N7834" t="s">
        <v>599</v>
      </c>
      <c r="O7834" s="37" t="str">
        <f t="shared" si="613"/>
        <v>Digital Payment</v>
      </c>
      <c r="P7834">
        <v>152.52000000000001</v>
      </c>
      <c r="Q7834" s="37" t="str">
        <f>IF(P7834&gt;500,"High","low")</f>
        <v>low</v>
      </c>
      <c r="R7834" s="37" t="str">
        <f t="shared" si="614"/>
        <v>AVERAGE</v>
      </c>
      <c r="S7834" t="s">
        <v>615</v>
      </c>
    </row>
    <row r="7835" spans="1:19" x14ac:dyDescent="0.2">
      <c r="A7835" t="s">
        <v>8446</v>
      </c>
      <c r="B7835" t="s">
        <v>90</v>
      </c>
      <c r="C7835" t="s">
        <v>597</v>
      </c>
      <c r="D7835">
        <v>4412.82</v>
      </c>
      <c r="E7835" s="37" t="str">
        <f t="shared" si="610"/>
        <v xml:space="preserve"> </v>
      </c>
      <c r="F7835">
        <v>0.17</v>
      </c>
      <c r="G7835" s="37" t="str">
        <f t="shared" si="611"/>
        <v>Normal Discount</v>
      </c>
      <c r="H7835" s="37" t="str">
        <f t="shared" si="612"/>
        <v>Low</v>
      </c>
      <c r="I7835">
        <v>6</v>
      </c>
      <c r="J7835" t="str" cm="1">
        <f t="array" ref="J7835">_xlfn.IFS(I7835&lt;=3,"small",I7835&lt;=6,"Medium",I7835&lt;=9,"Large")</f>
        <v>Medium</v>
      </c>
      <c r="K7835" s="36">
        <v>45216</v>
      </c>
      <c r="L7835" s="36">
        <v>45223</v>
      </c>
      <c r="M7835" t="s">
        <v>603</v>
      </c>
      <c r="N7835" t="s">
        <v>608</v>
      </c>
      <c r="O7835" s="37" t="str">
        <f t="shared" si="613"/>
        <v>Cash Payment</v>
      </c>
      <c r="P7835">
        <v>499.7</v>
      </c>
      <c r="Q7835" s="37" t="str">
        <f>IF(P7835&gt;500,"High","low")</f>
        <v>low</v>
      </c>
      <c r="R7835" s="37" t="str">
        <f t="shared" si="614"/>
        <v>AVERAGE</v>
      </c>
      <c r="S7835" t="s">
        <v>628</v>
      </c>
    </row>
    <row r="7836" spans="1:19" x14ac:dyDescent="0.2">
      <c r="A7836" t="s">
        <v>8447</v>
      </c>
      <c r="B7836" t="s">
        <v>75</v>
      </c>
      <c r="C7836" t="s">
        <v>607</v>
      </c>
      <c r="D7836">
        <v>811.06</v>
      </c>
      <c r="E7836" s="37" t="str">
        <f t="shared" si="610"/>
        <v xml:space="preserve"> </v>
      </c>
      <c r="F7836">
        <v>0.04</v>
      </c>
      <c r="G7836" s="37" t="str">
        <f t="shared" si="611"/>
        <v>Normal Discount</v>
      </c>
      <c r="H7836" s="37" t="str">
        <f t="shared" si="612"/>
        <v>Low</v>
      </c>
      <c r="I7836">
        <v>6</v>
      </c>
      <c r="J7836" t="str" cm="1">
        <f t="array" ref="J7836">_xlfn.IFS(I7836&lt;=3,"small",I7836&lt;=6,"Medium",I7836&lt;=9,"Large")</f>
        <v>Medium</v>
      </c>
      <c r="K7836" s="36">
        <v>45055</v>
      </c>
      <c r="L7836" s="36">
        <v>45060</v>
      </c>
      <c r="M7836" t="s">
        <v>598</v>
      </c>
      <c r="N7836" t="s">
        <v>599</v>
      </c>
      <c r="O7836" s="37" t="str">
        <f t="shared" si="613"/>
        <v>Digital Payment</v>
      </c>
      <c r="P7836">
        <v>129.56</v>
      </c>
      <c r="Q7836" s="37" t="str">
        <f>IF(P7836&gt;500,"High","low")</f>
        <v>low</v>
      </c>
      <c r="R7836" s="37" t="str">
        <f t="shared" si="614"/>
        <v>AVERAGE</v>
      </c>
      <c r="S7836" t="s">
        <v>628</v>
      </c>
    </row>
    <row r="7837" spans="1:19" x14ac:dyDescent="0.2">
      <c r="A7837" t="s">
        <v>8448</v>
      </c>
      <c r="B7837" t="s">
        <v>67</v>
      </c>
      <c r="C7837" t="s">
        <v>617</v>
      </c>
      <c r="D7837">
        <v>862.41</v>
      </c>
      <c r="E7837" s="37" t="str">
        <f t="shared" si="610"/>
        <v xml:space="preserve"> </v>
      </c>
      <c r="F7837">
        <v>0.08</v>
      </c>
      <c r="G7837" s="37" t="str">
        <f t="shared" si="611"/>
        <v>Normal Discount</v>
      </c>
      <c r="H7837" s="37" t="str">
        <f t="shared" si="612"/>
        <v>Low</v>
      </c>
      <c r="I7837">
        <v>6</v>
      </c>
      <c r="J7837" t="str" cm="1">
        <f t="array" ref="J7837">_xlfn.IFS(I7837&lt;=3,"small",I7837&lt;=6,"Medium",I7837&lt;=9,"Large")</f>
        <v>Medium</v>
      </c>
      <c r="K7837" s="36">
        <v>45175</v>
      </c>
      <c r="L7837" s="36">
        <v>45180</v>
      </c>
      <c r="M7837" t="s">
        <v>598</v>
      </c>
      <c r="N7837" t="s">
        <v>604</v>
      </c>
      <c r="O7837" s="37" t="str">
        <f t="shared" si="613"/>
        <v>Digital Payment</v>
      </c>
      <c r="P7837">
        <v>104.09</v>
      </c>
      <c r="Q7837" s="37" t="str">
        <f>IF(P7837&gt;500,"High","low")</f>
        <v>low</v>
      </c>
      <c r="R7837" s="37" t="str">
        <f t="shared" si="614"/>
        <v>AVERAGE</v>
      </c>
      <c r="S7837" t="s">
        <v>628</v>
      </c>
    </row>
    <row r="7838" spans="1:19" x14ac:dyDescent="0.2">
      <c r="A7838" t="s">
        <v>8449</v>
      </c>
      <c r="B7838" t="s">
        <v>83</v>
      </c>
      <c r="C7838" t="s">
        <v>597</v>
      </c>
      <c r="D7838">
        <v>1047.6500000000001</v>
      </c>
      <c r="E7838" s="37" t="str">
        <f t="shared" si="610"/>
        <v xml:space="preserve"> </v>
      </c>
      <c r="F7838">
        <v>0.26</v>
      </c>
      <c r="G7838" s="37" t="str">
        <f t="shared" si="611"/>
        <v>Normal Discount</v>
      </c>
      <c r="H7838" s="37" t="str">
        <f t="shared" si="612"/>
        <v>Medium</v>
      </c>
      <c r="I7838">
        <v>8</v>
      </c>
      <c r="J7838" t="str" cm="1">
        <f t="array" ref="J7838">_xlfn.IFS(I7838&lt;=3,"small",I7838&lt;=6,"Medium",I7838&lt;=9,"Large")</f>
        <v>Large</v>
      </c>
      <c r="K7838" s="36">
        <v>45086</v>
      </c>
      <c r="L7838" s="36">
        <v>45089</v>
      </c>
      <c r="M7838" t="s">
        <v>603</v>
      </c>
      <c r="N7838" t="s">
        <v>608</v>
      </c>
      <c r="O7838" s="37" t="str">
        <f t="shared" si="613"/>
        <v>Cash Payment</v>
      </c>
      <c r="P7838">
        <v>79.040000000000006</v>
      </c>
      <c r="Q7838" s="37" t="str">
        <f>IF(P7838&gt;500,"High","low")</f>
        <v>low</v>
      </c>
      <c r="R7838" s="37" t="str">
        <f t="shared" si="614"/>
        <v>AVERAGE</v>
      </c>
      <c r="S7838" t="s">
        <v>628</v>
      </c>
    </row>
    <row r="7839" spans="1:19" x14ac:dyDescent="0.2">
      <c r="A7839" t="s">
        <v>8450</v>
      </c>
      <c r="B7839" t="s">
        <v>67</v>
      </c>
      <c r="C7839" t="s">
        <v>607</v>
      </c>
      <c r="D7839">
        <v>3301.75</v>
      </c>
      <c r="E7839" s="37" t="str">
        <f t="shared" si="610"/>
        <v xml:space="preserve"> </v>
      </c>
      <c r="F7839">
        <v>0.44</v>
      </c>
      <c r="G7839" s="37" t="str">
        <f t="shared" si="611"/>
        <v>Heavy Discount</v>
      </c>
      <c r="H7839" s="37" t="str">
        <f t="shared" si="612"/>
        <v>High</v>
      </c>
      <c r="I7839">
        <v>2</v>
      </c>
      <c r="J7839" t="str" cm="1">
        <f t="array" ref="J7839">_xlfn.IFS(I7839&lt;=3,"small",I7839&lt;=6,"Medium",I7839&lt;=9,"Large")</f>
        <v>small</v>
      </c>
      <c r="K7839" s="36">
        <v>45334</v>
      </c>
      <c r="L7839" s="36">
        <v>45341</v>
      </c>
      <c r="M7839" t="s">
        <v>612</v>
      </c>
      <c r="N7839" t="s">
        <v>604</v>
      </c>
      <c r="O7839" s="37" t="str">
        <f t="shared" si="613"/>
        <v>Digital Payment</v>
      </c>
      <c r="P7839">
        <v>539.63</v>
      </c>
      <c r="Q7839" s="37" t="str">
        <f>IF(P7839&gt;500,"High","low")</f>
        <v>High</v>
      </c>
      <c r="R7839" s="37" t="str">
        <f t="shared" si="614"/>
        <v>Good</v>
      </c>
      <c r="S7839" t="s">
        <v>609</v>
      </c>
    </row>
    <row r="7840" spans="1:19" x14ac:dyDescent="0.2">
      <c r="A7840" t="s">
        <v>8451</v>
      </c>
      <c r="B7840" t="s">
        <v>83</v>
      </c>
      <c r="C7840" t="s">
        <v>617</v>
      </c>
      <c r="D7840">
        <v>625.28</v>
      </c>
      <c r="E7840" s="37" t="str">
        <f t="shared" si="610"/>
        <v xml:space="preserve"> </v>
      </c>
      <c r="F7840">
        <v>0.31</v>
      </c>
      <c r="G7840" s="37" t="str">
        <f t="shared" si="611"/>
        <v>Heavy Discount</v>
      </c>
      <c r="H7840" s="37" t="str">
        <f t="shared" si="612"/>
        <v>Medium</v>
      </c>
      <c r="I7840">
        <v>9</v>
      </c>
      <c r="J7840" t="str" cm="1">
        <f t="array" ref="J7840">_xlfn.IFS(I7840&lt;=3,"small",I7840&lt;=6,"Medium",I7840&lt;=9,"Large")</f>
        <v>Large</v>
      </c>
      <c r="K7840" s="36">
        <v>45381</v>
      </c>
      <c r="L7840" s="36">
        <v>45386</v>
      </c>
      <c r="M7840" t="s">
        <v>598</v>
      </c>
      <c r="N7840" t="s">
        <v>608</v>
      </c>
      <c r="O7840" s="37" t="str">
        <f t="shared" si="613"/>
        <v>Cash Payment</v>
      </c>
      <c r="P7840">
        <v>129.35</v>
      </c>
      <c r="Q7840" s="37" t="str">
        <f>IF(P7840&gt;500,"High","low")</f>
        <v>low</v>
      </c>
      <c r="R7840" s="37" t="str">
        <f t="shared" si="614"/>
        <v>AVERAGE</v>
      </c>
      <c r="S7840" t="s">
        <v>620</v>
      </c>
    </row>
    <row r="7841" spans="1:19" x14ac:dyDescent="0.2">
      <c r="A7841" t="s">
        <v>8452</v>
      </c>
      <c r="B7841" t="s">
        <v>90</v>
      </c>
      <c r="C7841" t="s">
        <v>602</v>
      </c>
      <c r="D7841">
        <v>3913.58</v>
      </c>
      <c r="E7841" s="37" t="str">
        <f t="shared" si="610"/>
        <v xml:space="preserve"> </v>
      </c>
      <c r="F7841">
        <v>0.11</v>
      </c>
      <c r="G7841" s="37" t="str">
        <f t="shared" si="611"/>
        <v>Normal Discount</v>
      </c>
      <c r="H7841" s="37" t="str">
        <f t="shared" si="612"/>
        <v>Low</v>
      </c>
      <c r="I7841">
        <v>8</v>
      </c>
      <c r="J7841" t="str" cm="1">
        <f t="array" ref="J7841">_xlfn.IFS(I7841&lt;=3,"small",I7841&lt;=6,"Medium",I7841&lt;=9,"Large")</f>
        <v>Large</v>
      </c>
      <c r="K7841" s="36">
        <v>45435</v>
      </c>
      <c r="L7841" s="36">
        <v>45438</v>
      </c>
      <c r="M7841" t="s">
        <v>603</v>
      </c>
      <c r="N7841" t="s">
        <v>608</v>
      </c>
      <c r="O7841" s="37" t="str">
        <f t="shared" si="613"/>
        <v>Cash Payment</v>
      </c>
      <c r="P7841">
        <v>478.75</v>
      </c>
      <c r="Q7841" s="37" t="str">
        <f>IF(P7841&gt;500,"High","low")</f>
        <v>low</v>
      </c>
      <c r="R7841" s="37" t="str">
        <f t="shared" si="614"/>
        <v>AVERAGE</v>
      </c>
      <c r="S7841" t="s">
        <v>609</v>
      </c>
    </row>
    <row r="7842" spans="1:19" x14ac:dyDescent="0.2">
      <c r="A7842" t="s">
        <v>8453</v>
      </c>
      <c r="B7842" t="s">
        <v>83</v>
      </c>
      <c r="C7842" t="s">
        <v>602</v>
      </c>
      <c r="D7842">
        <v>385.43</v>
      </c>
      <c r="E7842" s="37" t="str">
        <f t="shared" si="610"/>
        <v xml:space="preserve"> </v>
      </c>
      <c r="F7842">
        <v>0.15</v>
      </c>
      <c r="G7842" s="37" t="str">
        <f t="shared" si="611"/>
        <v>Normal Discount</v>
      </c>
      <c r="H7842" s="37" t="str">
        <f t="shared" si="612"/>
        <v>Low</v>
      </c>
      <c r="I7842">
        <v>2</v>
      </c>
      <c r="J7842" t="str" cm="1">
        <f t="array" ref="J7842">_xlfn.IFS(I7842&lt;=3,"small",I7842&lt;=6,"Medium",I7842&lt;=9,"Large")</f>
        <v>small</v>
      </c>
      <c r="K7842" s="36">
        <v>45258</v>
      </c>
      <c r="L7842" s="36">
        <v>45259</v>
      </c>
      <c r="M7842" t="s">
        <v>603</v>
      </c>
      <c r="N7842" t="s">
        <v>604</v>
      </c>
      <c r="O7842" s="37" t="str">
        <f t="shared" si="613"/>
        <v>Digital Payment</v>
      </c>
      <c r="P7842">
        <v>41.11</v>
      </c>
      <c r="Q7842" s="37" t="str">
        <f>IF(P7842&gt;500,"High","low")</f>
        <v>low</v>
      </c>
      <c r="R7842" s="37" t="str">
        <f t="shared" si="614"/>
        <v>AVERAGE</v>
      </c>
      <c r="S7842" t="s">
        <v>628</v>
      </c>
    </row>
    <row r="7843" spans="1:19" x14ac:dyDescent="0.2">
      <c r="A7843" t="s">
        <v>8454</v>
      </c>
      <c r="B7843" t="s">
        <v>75</v>
      </c>
      <c r="C7843" t="s">
        <v>614</v>
      </c>
      <c r="D7843">
        <v>641.19000000000005</v>
      </c>
      <c r="E7843" s="37" t="str">
        <f t="shared" si="610"/>
        <v xml:space="preserve"> </v>
      </c>
      <c r="F7843">
        <v>0.49</v>
      </c>
      <c r="G7843" s="37" t="str">
        <f t="shared" si="611"/>
        <v>Heavy Discount</v>
      </c>
      <c r="H7843" s="37" t="str">
        <f t="shared" si="612"/>
        <v>High</v>
      </c>
      <c r="I7843">
        <v>8</v>
      </c>
      <c r="J7843" t="str" cm="1">
        <f t="array" ref="J7843">_xlfn.IFS(I7843&lt;=3,"small",I7843&lt;=6,"Medium",I7843&lt;=9,"Large")</f>
        <v>Large</v>
      </c>
      <c r="K7843" s="36">
        <v>45167</v>
      </c>
      <c r="L7843" s="36">
        <v>45172</v>
      </c>
      <c r="M7843" t="s">
        <v>612</v>
      </c>
      <c r="N7843" t="s">
        <v>599</v>
      </c>
      <c r="O7843" s="37" t="str">
        <f t="shared" si="613"/>
        <v>Digital Payment</v>
      </c>
      <c r="P7843">
        <v>52.04</v>
      </c>
      <c r="Q7843" s="37" t="str">
        <f>IF(P7843&gt;500,"High","low")</f>
        <v>low</v>
      </c>
      <c r="R7843" s="37" t="str">
        <f t="shared" si="614"/>
        <v>AVERAGE</v>
      </c>
      <c r="S7843" t="s">
        <v>628</v>
      </c>
    </row>
    <row r="7844" spans="1:19" x14ac:dyDescent="0.2">
      <c r="A7844" t="s">
        <v>8455</v>
      </c>
      <c r="B7844" t="s">
        <v>67</v>
      </c>
      <c r="C7844" t="s">
        <v>602</v>
      </c>
      <c r="D7844">
        <v>2228.9899999999998</v>
      </c>
      <c r="E7844" s="37" t="str">
        <f t="shared" si="610"/>
        <v xml:space="preserve"> </v>
      </c>
      <c r="F7844">
        <v>0.03</v>
      </c>
      <c r="G7844" s="37" t="str">
        <f t="shared" si="611"/>
        <v>Normal Discount</v>
      </c>
      <c r="H7844" s="37" t="str">
        <f t="shared" si="612"/>
        <v>Low</v>
      </c>
      <c r="I7844">
        <v>1</v>
      </c>
      <c r="J7844" t="str" cm="1">
        <f t="array" ref="J7844">_xlfn.IFS(I7844&lt;=3,"small",I7844&lt;=6,"Medium",I7844&lt;=9,"Large")</f>
        <v>small</v>
      </c>
      <c r="K7844" s="36">
        <v>45395</v>
      </c>
      <c r="L7844" s="36">
        <v>45396</v>
      </c>
      <c r="M7844" t="s">
        <v>612</v>
      </c>
      <c r="N7844" t="s">
        <v>608</v>
      </c>
      <c r="O7844" s="37" t="str">
        <f t="shared" si="613"/>
        <v>Cash Payment</v>
      </c>
      <c r="P7844">
        <v>491.3</v>
      </c>
      <c r="Q7844" s="37" t="str">
        <f>IF(P7844&gt;500,"High","low")</f>
        <v>low</v>
      </c>
      <c r="R7844" s="37" t="str">
        <f t="shared" si="614"/>
        <v>AVERAGE</v>
      </c>
      <c r="S7844" t="s">
        <v>600</v>
      </c>
    </row>
    <row r="7845" spans="1:19" x14ac:dyDescent="0.2">
      <c r="A7845" t="s">
        <v>8456</v>
      </c>
      <c r="B7845" t="s">
        <v>83</v>
      </c>
      <c r="C7845" t="s">
        <v>607</v>
      </c>
      <c r="D7845">
        <v>1957.94</v>
      </c>
      <c r="E7845" s="37" t="str">
        <f t="shared" si="610"/>
        <v xml:space="preserve"> </v>
      </c>
      <c r="F7845">
        <v>0.5</v>
      </c>
      <c r="G7845" s="37" t="str">
        <f t="shared" si="611"/>
        <v>Heavy Discount</v>
      </c>
      <c r="H7845" s="37" t="str">
        <f t="shared" si="612"/>
        <v>High</v>
      </c>
      <c r="I7845">
        <v>6</v>
      </c>
      <c r="J7845" t="str" cm="1">
        <f t="array" ref="J7845">_xlfn.IFS(I7845&lt;=3,"small",I7845&lt;=6,"Medium",I7845&lt;=9,"Large")</f>
        <v>Medium</v>
      </c>
      <c r="K7845" s="36">
        <v>45339</v>
      </c>
      <c r="L7845" s="36">
        <v>45341</v>
      </c>
      <c r="M7845" t="s">
        <v>603</v>
      </c>
      <c r="N7845" t="s">
        <v>599</v>
      </c>
      <c r="O7845" s="37" t="str">
        <f t="shared" si="613"/>
        <v>Digital Payment</v>
      </c>
      <c r="P7845">
        <v>209.28</v>
      </c>
      <c r="Q7845" s="37" t="str">
        <f>IF(P7845&gt;500,"High","low")</f>
        <v>low</v>
      </c>
      <c r="R7845" s="37" t="str">
        <f t="shared" si="614"/>
        <v>AVERAGE</v>
      </c>
      <c r="S7845" t="s">
        <v>605</v>
      </c>
    </row>
    <row r="7846" spans="1:19" x14ac:dyDescent="0.2">
      <c r="A7846" t="s">
        <v>8457</v>
      </c>
      <c r="B7846" t="s">
        <v>67</v>
      </c>
      <c r="C7846" t="s">
        <v>602</v>
      </c>
      <c r="D7846">
        <v>4949.57</v>
      </c>
      <c r="E7846" s="37" t="str">
        <f t="shared" si="610"/>
        <v xml:space="preserve"> </v>
      </c>
      <c r="F7846">
        <v>0.45</v>
      </c>
      <c r="G7846" s="37" t="str">
        <f t="shared" si="611"/>
        <v>Heavy Discount</v>
      </c>
      <c r="H7846" s="37" t="str">
        <f t="shared" si="612"/>
        <v>High</v>
      </c>
      <c r="I7846">
        <v>6</v>
      </c>
      <c r="J7846" t="str" cm="1">
        <f t="array" ref="J7846">_xlfn.IFS(I7846&lt;=3,"small",I7846&lt;=6,"Medium",I7846&lt;=9,"Large")</f>
        <v>Medium</v>
      </c>
      <c r="K7846" s="36">
        <v>45039</v>
      </c>
      <c r="L7846" s="36">
        <v>45043</v>
      </c>
      <c r="M7846" t="s">
        <v>598</v>
      </c>
      <c r="N7846" t="s">
        <v>599</v>
      </c>
      <c r="O7846" s="37" t="str">
        <f t="shared" si="613"/>
        <v>Digital Payment</v>
      </c>
      <c r="P7846">
        <v>780.87</v>
      </c>
      <c r="Q7846" s="37" t="str">
        <f>IF(P7846&gt;500,"High","low")</f>
        <v>High</v>
      </c>
      <c r="R7846" s="37" t="str">
        <f t="shared" si="614"/>
        <v>Good</v>
      </c>
      <c r="S7846" t="s">
        <v>600</v>
      </c>
    </row>
    <row r="7847" spans="1:19" x14ac:dyDescent="0.2">
      <c r="A7847" t="s">
        <v>8458</v>
      </c>
      <c r="B7847" t="s">
        <v>90</v>
      </c>
      <c r="C7847" t="s">
        <v>597</v>
      </c>
      <c r="D7847">
        <v>4837.63</v>
      </c>
      <c r="E7847" s="37" t="str">
        <f t="shared" si="610"/>
        <v xml:space="preserve"> </v>
      </c>
      <c r="F7847">
        <v>0.34</v>
      </c>
      <c r="G7847" s="37" t="str">
        <f t="shared" si="611"/>
        <v>Heavy Discount</v>
      </c>
      <c r="H7847" s="37" t="str">
        <f t="shared" si="612"/>
        <v>Medium</v>
      </c>
      <c r="I7847">
        <v>9</v>
      </c>
      <c r="J7847" t="str" cm="1">
        <f t="array" ref="J7847">_xlfn.IFS(I7847&lt;=3,"small",I7847&lt;=6,"Medium",I7847&lt;=9,"Large")</f>
        <v>Large</v>
      </c>
      <c r="K7847" s="36">
        <v>45082</v>
      </c>
      <c r="L7847" s="36">
        <v>45083</v>
      </c>
      <c r="M7847" t="s">
        <v>612</v>
      </c>
      <c r="N7847" t="s">
        <v>599</v>
      </c>
      <c r="O7847" s="37" t="str">
        <f t="shared" si="613"/>
        <v>Digital Payment</v>
      </c>
      <c r="P7847">
        <v>445.49</v>
      </c>
      <c r="Q7847" s="37" t="str">
        <f>IF(P7847&gt;500,"High","low")</f>
        <v>low</v>
      </c>
      <c r="R7847" s="37" t="str">
        <f t="shared" si="614"/>
        <v>AVERAGE</v>
      </c>
      <c r="S7847" t="s">
        <v>600</v>
      </c>
    </row>
    <row r="7848" spans="1:19" x14ac:dyDescent="0.2">
      <c r="A7848" t="s">
        <v>8459</v>
      </c>
      <c r="B7848" t="s">
        <v>90</v>
      </c>
      <c r="C7848" t="s">
        <v>597</v>
      </c>
      <c r="D7848">
        <v>1029.44</v>
      </c>
      <c r="E7848" s="37" t="str">
        <f t="shared" si="610"/>
        <v xml:space="preserve"> </v>
      </c>
      <c r="F7848">
        <v>0.47</v>
      </c>
      <c r="G7848" s="37" t="str">
        <f t="shared" si="611"/>
        <v>Heavy Discount</v>
      </c>
      <c r="H7848" s="37" t="str">
        <f t="shared" si="612"/>
        <v>High</v>
      </c>
      <c r="I7848">
        <v>9</v>
      </c>
      <c r="J7848" t="str" cm="1">
        <f t="array" ref="J7848">_xlfn.IFS(I7848&lt;=3,"small",I7848&lt;=6,"Medium",I7848&lt;=9,"Large")</f>
        <v>Large</v>
      </c>
      <c r="K7848" s="36">
        <v>45229</v>
      </c>
      <c r="L7848" s="36">
        <v>45233</v>
      </c>
      <c r="M7848" t="s">
        <v>603</v>
      </c>
      <c r="N7848" t="s">
        <v>599</v>
      </c>
      <c r="O7848" s="37" t="str">
        <f t="shared" si="613"/>
        <v>Digital Payment</v>
      </c>
      <c r="P7848">
        <v>209.98</v>
      </c>
      <c r="Q7848" s="37" t="str">
        <f>IF(P7848&gt;500,"High","low")</f>
        <v>low</v>
      </c>
      <c r="R7848" s="37" t="str">
        <f t="shared" si="614"/>
        <v>AVERAGE</v>
      </c>
      <c r="S7848" t="s">
        <v>609</v>
      </c>
    </row>
    <row r="7849" spans="1:19" x14ac:dyDescent="0.2">
      <c r="A7849" t="s">
        <v>8460</v>
      </c>
      <c r="B7849" t="s">
        <v>75</v>
      </c>
      <c r="C7849" t="s">
        <v>597</v>
      </c>
      <c r="D7849">
        <v>4738.66</v>
      </c>
      <c r="E7849" s="37" t="str">
        <f t="shared" si="610"/>
        <v>Excellent Order</v>
      </c>
      <c r="F7849">
        <v>0.08</v>
      </c>
      <c r="G7849" s="37" t="str">
        <f t="shared" si="611"/>
        <v>Normal Discount</v>
      </c>
      <c r="H7849" s="37" t="str">
        <f t="shared" si="612"/>
        <v>Low</v>
      </c>
      <c r="I7849">
        <v>5</v>
      </c>
      <c r="J7849" t="str" cm="1">
        <f t="array" ref="J7849">_xlfn.IFS(I7849&lt;=3,"small",I7849&lt;=6,"Medium",I7849&lt;=9,"Large")</f>
        <v>Medium</v>
      </c>
      <c r="K7849" s="36">
        <v>45351</v>
      </c>
      <c r="L7849" s="36">
        <v>45354</v>
      </c>
      <c r="M7849" t="s">
        <v>603</v>
      </c>
      <c r="N7849" t="s">
        <v>608</v>
      </c>
      <c r="O7849" s="37" t="str">
        <f t="shared" si="613"/>
        <v>Cash Payment</v>
      </c>
      <c r="P7849">
        <v>976.58</v>
      </c>
      <c r="Q7849" s="37" t="str">
        <f>IF(P7849&gt;500,"High","low")</f>
        <v>High</v>
      </c>
      <c r="R7849" s="37" t="str">
        <f t="shared" si="614"/>
        <v>Good</v>
      </c>
      <c r="S7849" t="s">
        <v>620</v>
      </c>
    </row>
    <row r="7850" spans="1:19" x14ac:dyDescent="0.2">
      <c r="A7850" t="s">
        <v>8461</v>
      </c>
      <c r="B7850" t="s">
        <v>90</v>
      </c>
      <c r="C7850" t="s">
        <v>602</v>
      </c>
      <c r="D7850">
        <v>3492.08</v>
      </c>
      <c r="E7850" s="37" t="str">
        <f t="shared" si="610"/>
        <v xml:space="preserve"> </v>
      </c>
      <c r="F7850">
        <v>0.47</v>
      </c>
      <c r="G7850" s="37" t="str">
        <f t="shared" si="611"/>
        <v>Heavy Discount</v>
      </c>
      <c r="H7850" s="37" t="str">
        <f t="shared" si="612"/>
        <v>High</v>
      </c>
      <c r="I7850">
        <v>1</v>
      </c>
      <c r="J7850" t="str" cm="1">
        <f t="array" ref="J7850">_xlfn.IFS(I7850&lt;=3,"small",I7850&lt;=6,"Medium",I7850&lt;=9,"Large")</f>
        <v>small</v>
      </c>
      <c r="K7850" s="36">
        <v>44943</v>
      </c>
      <c r="L7850" s="36">
        <v>44945</v>
      </c>
      <c r="M7850" t="s">
        <v>603</v>
      </c>
      <c r="N7850" t="s">
        <v>599</v>
      </c>
      <c r="O7850" s="37" t="str">
        <f t="shared" si="613"/>
        <v>Digital Payment</v>
      </c>
      <c r="P7850">
        <v>922.32</v>
      </c>
      <c r="Q7850" s="37" t="str">
        <f>IF(P7850&gt;500,"High","low")</f>
        <v>High</v>
      </c>
      <c r="R7850" s="37" t="str">
        <f t="shared" si="614"/>
        <v>Good</v>
      </c>
      <c r="S7850" t="s">
        <v>620</v>
      </c>
    </row>
    <row r="7851" spans="1:19" x14ac:dyDescent="0.2">
      <c r="A7851" t="s">
        <v>8462</v>
      </c>
      <c r="B7851" t="s">
        <v>83</v>
      </c>
      <c r="C7851" t="s">
        <v>602</v>
      </c>
      <c r="D7851">
        <v>2103.33</v>
      </c>
      <c r="E7851" s="37" t="str">
        <f t="shared" si="610"/>
        <v xml:space="preserve"> </v>
      </c>
      <c r="F7851">
        <v>0.11</v>
      </c>
      <c r="G7851" s="37" t="str">
        <f t="shared" si="611"/>
        <v>Normal Discount</v>
      </c>
      <c r="H7851" s="37" t="str">
        <f t="shared" si="612"/>
        <v>Low</v>
      </c>
      <c r="I7851">
        <v>1</v>
      </c>
      <c r="J7851" t="str" cm="1">
        <f t="array" ref="J7851">_xlfn.IFS(I7851&lt;=3,"small",I7851&lt;=6,"Medium",I7851&lt;=9,"Large")</f>
        <v>small</v>
      </c>
      <c r="K7851" s="36">
        <v>45442</v>
      </c>
      <c r="L7851" s="36">
        <v>45445</v>
      </c>
      <c r="M7851" t="s">
        <v>603</v>
      </c>
      <c r="N7851" t="s">
        <v>608</v>
      </c>
      <c r="O7851" s="37" t="str">
        <f t="shared" si="613"/>
        <v>Cash Payment</v>
      </c>
      <c r="P7851">
        <v>623.28</v>
      </c>
      <c r="Q7851" s="37" t="str">
        <f>IF(P7851&gt;500,"High","low")</f>
        <v>High</v>
      </c>
      <c r="R7851" s="37" t="str">
        <f t="shared" si="614"/>
        <v>Good</v>
      </c>
      <c r="S7851" t="s">
        <v>600</v>
      </c>
    </row>
    <row r="7852" spans="1:19" x14ac:dyDescent="0.2">
      <c r="A7852" t="s">
        <v>8463</v>
      </c>
      <c r="B7852" t="s">
        <v>90</v>
      </c>
      <c r="C7852" t="s">
        <v>614</v>
      </c>
      <c r="D7852">
        <v>3724.19</v>
      </c>
      <c r="E7852" s="37" t="str">
        <f t="shared" si="610"/>
        <v xml:space="preserve"> </v>
      </c>
      <c r="F7852">
        <v>0.27</v>
      </c>
      <c r="G7852" s="37" t="str">
        <f t="shared" si="611"/>
        <v>Normal Discount</v>
      </c>
      <c r="H7852" s="37" t="str">
        <f t="shared" si="612"/>
        <v>Medium</v>
      </c>
      <c r="I7852">
        <v>7</v>
      </c>
      <c r="J7852" t="str" cm="1">
        <f t="array" ref="J7852">_xlfn.IFS(I7852&lt;=3,"small",I7852&lt;=6,"Medium",I7852&lt;=9,"Large")</f>
        <v>Large</v>
      </c>
      <c r="K7852" s="36">
        <v>45430</v>
      </c>
      <c r="L7852" s="36">
        <v>45435</v>
      </c>
      <c r="M7852" t="s">
        <v>603</v>
      </c>
      <c r="N7852" t="s">
        <v>599</v>
      </c>
      <c r="O7852" s="37" t="str">
        <f t="shared" si="613"/>
        <v>Digital Payment</v>
      </c>
      <c r="P7852">
        <v>1025.44</v>
      </c>
      <c r="Q7852" s="37" t="str">
        <f>IF(P7852&gt;500,"High","low")</f>
        <v>High</v>
      </c>
      <c r="R7852" s="37" t="str">
        <f t="shared" si="614"/>
        <v>Excellent</v>
      </c>
      <c r="S7852" t="s">
        <v>628</v>
      </c>
    </row>
    <row r="7853" spans="1:19" x14ac:dyDescent="0.2">
      <c r="A7853" t="s">
        <v>8464</v>
      </c>
      <c r="B7853" t="s">
        <v>75</v>
      </c>
      <c r="C7853" t="s">
        <v>617</v>
      </c>
      <c r="D7853">
        <v>4510.6899999999996</v>
      </c>
      <c r="E7853" s="37" t="str">
        <f t="shared" si="610"/>
        <v>Excellent Order</v>
      </c>
      <c r="F7853">
        <v>0.24</v>
      </c>
      <c r="G7853" s="37" t="str">
        <f t="shared" si="611"/>
        <v>Normal Discount</v>
      </c>
      <c r="H7853" s="37" t="str">
        <f t="shared" si="612"/>
        <v>Medium</v>
      </c>
      <c r="I7853">
        <v>4</v>
      </c>
      <c r="J7853" t="str" cm="1">
        <f t="array" ref="J7853">_xlfn.IFS(I7853&lt;=3,"small",I7853&lt;=6,"Medium",I7853&lt;=9,"Large")</f>
        <v>Medium</v>
      </c>
      <c r="K7853" s="36">
        <v>44967</v>
      </c>
      <c r="L7853" s="36">
        <v>44973</v>
      </c>
      <c r="M7853" t="s">
        <v>612</v>
      </c>
      <c r="N7853" t="s">
        <v>599</v>
      </c>
      <c r="O7853" s="37" t="str">
        <f t="shared" si="613"/>
        <v>Digital Payment</v>
      </c>
      <c r="P7853">
        <v>1153.4100000000001</v>
      </c>
      <c r="Q7853" s="37" t="str">
        <f>IF(P7853&gt;500,"High","low")</f>
        <v>High</v>
      </c>
      <c r="R7853" s="37" t="str">
        <f t="shared" si="614"/>
        <v>Excellent</v>
      </c>
      <c r="S7853" t="s">
        <v>628</v>
      </c>
    </row>
    <row r="7854" spans="1:19" x14ac:dyDescent="0.2">
      <c r="A7854" t="s">
        <v>8465</v>
      </c>
      <c r="B7854" t="s">
        <v>67</v>
      </c>
      <c r="C7854" t="s">
        <v>614</v>
      </c>
      <c r="D7854">
        <v>982.69</v>
      </c>
      <c r="E7854" s="37" t="str">
        <f t="shared" si="610"/>
        <v xml:space="preserve"> </v>
      </c>
      <c r="F7854">
        <v>0.26</v>
      </c>
      <c r="G7854" s="37" t="str">
        <f t="shared" si="611"/>
        <v>Normal Discount</v>
      </c>
      <c r="H7854" s="37" t="str">
        <f t="shared" si="612"/>
        <v>Medium</v>
      </c>
      <c r="I7854">
        <v>9</v>
      </c>
      <c r="J7854" t="str" cm="1">
        <f t="array" ref="J7854">_xlfn.IFS(I7854&lt;=3,"small",I7854&lt;=6,"Medium",I7854&lt;=9,"Large")</f>
        <v>Large</v>
      </c>
      <c r="K7854" s="36">
        <v>45572</v>
      </c>
      <c r="L7854" s="36">
        <v>45576</v>
      </c>
      <c r="M7854" t="s">
        <v>598</v>
      </c>
      <c r="N7854" t="s">
        <v>604</v>
      </c>
      <c r="O7854" s="37" t="str">
        <f t="shared" si="613"/>
        <v>Digital Payment</v>
      </c>
      <c r="P7854">
        <v>266.14999999999998</v>
      </c>
      <c r="Q7854" s="37" t="str">
        <f>IF(P7854&gt;500,"High","low")</f>
        <v>low</v>
      </c>
      <c r="R7854" s="37" t="str">
        <f t="shared" si="614"/>
        <v>AVERAGE</v>
      </c>
      <c r="S7854" t="s">
        <v>628</v>
      </c>
    </row>
    <row r="7855" spans="1:19" x14ac:dyDescent="0.2">
      <c r="A7855" t="s">
        <v>8466</v>
      </c>
      <c r="B7855" t="s">
        <v>67</v>
      </c>
      <c r="C7855" t="s">
        <v>607</v>
      </c>
      <c r="D7855">
        <v>1060.32</v>
      </c>
      <c r="E7855" s="37" t="str">
        <f t="shared" si="610"/>
        <v xml:space="preserve"> </v>
      </c>
      <c r="F7855">
        <v>0.13</v>
      </c>
      <c r="G7855" s="37" t="str">
        <f t="shared" si="611"/>
        <v>Normal Discount</v>
      </c>
      <c r="H7855" s="37" t="str">
        <f t="shared" si="612"/>
        <v>Low</v>
      </c>
      <c r="I7855">
        <v>3</v>
      </c>
      <c r="J7855" t="str" cm="1">
        <f t="array" ref="J7855">_xlfn.IFS(I7855&lt;=3,"small",I7855&lt;=6,"Medium",I7855&lt;=9,"Large")</f>
        <v>small</v>
      </c>
      <c r="K7855" s="36">
        <v>45078</v>
      </c>
      <c r="L7855" s="36">
        <v>45084</v>
      </c>
      <c r="M7855" t="s">
        <v>612</v>
      </c>
      <c r="N7855" t="s">
        <v>604</v>
      </c>
      <c r="O7855" s="37" t="str">
        <f t="shared" si="613"/>
        <v>Digital Payment</v>
      </c>
      <c r="P7855">
        <v>67.28</v>
      </c>
      <c r="Q7855" s="37" t="str">
        <f>IF(P7855&gt;500,"High","low")</f>
        <v>low</v>
      </c>
      <c r="R7855" s="37" t="str">
        <f t="shared" si="614"/>
        <v>AVERAGE</v>
      </c>
      <c r="S7855" t="s">
        <v>605</v>
      </c>
    </row>
    <row r="7856" spans="1:19" x14ac:dyDescent="0.2">
      <c r="A7856" t="s">
        <v>8467</v>
      </c>
      <c r="B7856" t="s">
        <v>90</v>
      </c>
      <c r="C7856" t="s">
        <v>597</v>
      </c>
      <c r="D7856">
        <v>2102.73</v>
      </c>
      <c r="E7856" s="37" t="str">
        <f t="shared" si="610"/>
        <v xml:space="preserve"> </v>
      </c>
      <c r="F7856">
        <v>0.39</v>
      </c>
      <c r="G7856" s="37" t="str">
        <f t="shared" si="611"/>
        <v>Heavy Discount</v>
      </c>
      <c r="H7856" s="37" t="str">
        <f t="shared" si="612"/>
        <v>Medium</v>
      </c>
      <c r="I7856">
        <v>6</v>
      </c>
      <c r="J7856" t="str" cm="1">
        <f t="array" ref="J7856">_xlfn.IFS(I7856&lt;=3,"small",I7856&lt;=6,"Medium",I7856&lt;=9,"Large")</f>
        <v>Medium</v>
      </c>
      <c r="K7856" s="36">
        <v>44980</v>
      </c>
      <c r="L7856" s="36">
        <v>44983</v>
      </c>
      <c r="M7856" t="s">
        <v>603</v>
      </c>
      <c r="N7856" t="s">
        <v>604</v>
      </c>
      <c r="O7856" s="37" t="str">
        <f t="shared" si="613"/>
        <v>Digital Payment</v>
      </c>
      <c r="P7856">
        <v>505.48</v>
      </c>
      <c r="Q7856" s="37" t="str">
        <f>IF(P7856&gt;500,"High","low")</f>
        <v>High</v>
      </c>
      <c r="R7856" s="37" t="str">
        <f t="shared" si="614"/>
        <v>Good</v>
      </c>
      <c r="S7856" t="s">
        <v>615</v>
      </c>
    </row>
    <row r="7857" spans="1:19" x14ac:dyDescent="0.2">
      <c r="A7857" t="s">
        <v>8468</v>
      </c>
      <c r="B7857" t="s">
        <v>83</v>
      </c>
      <c r="C7857" t="s">
        <v>602</v>
      </c>
      <c r="D7857">
        <v>929.14</v>
      </c>
      <c r="E7857" s="37" t="str">
        <f t="shared" si="610"/>
        <v xml:space="preserve"> </v>
      </c>
      <c r="F7857">
        <v>0.37</v>
      </c>
      <c r="G7857" s="37" t="str">
        <f t="shared" si="611"/>
        <v>Heavy Discount</v>
      </c>
      <c r="H7857" s="37" t="str">
        <f t="shared" si="612"/>
        <v>Medium</v>
      </c>
      <c r="I7857">
        <v>9</v>
      </c>
      <c r="J7857" t="str" cm="1">
        <f t="array" ref="J7857">_xlfn.IFS(I7857&lt;=3,"small",I7857&lt;=6,"Medium",I7857&lt;=9,"Large")</f>
        <v>Large</v>
      </c>
      <c r="K7857" s="36">
        <v>45638</v>
      </c>
      <c r="L7857" s="36">
        <v>45645</v>
      </c>
      <c r="M7857" t="s">
        <v>612</v>
      </c>
      <c r="N7857" t="s">
        <v>608</v>
      </c>
      <c r="O7857" s="37" t="str">
        <f t="shared" si="613"/>
        <v>Cash Payment</v>
      </c>
      <c r="P7857">
        <v>132.31</v>
      </c>
      <c r="Q7857" s="37" t="str">
        <f>IF(P7857&gt;500,"High","low")</f>
        <v>low</v>
      </c>
      <c r="R7857" s="37" t="str">
        <f t="shared" si="614"/>
        <v>AVERAGE</v>
      </c>
      <c r="S7857" t="s">
        <v>609</v>
      </c>
    </row>
    <row r="7858" spans="1:19" x14ac:dyDescent="0.2">
      <c r="A7858" t="s">
        <v>8469</v>
      </c>
      <c r="B7858" t="s">
        <v>75</v>
      </c>
      <c r="C7858" t="s">
        <v>617</v>
      </c>
      <c r="D7858">
        <v>1865.95</v>
      </c>
      <c r="E7858" s="37" t="str">
        <f t="shared" si="610"/>
        <v xml:space="preserve"> </v>
      </c>
      <c r="F7858">
        <v>0.48</v>
      </c>
      <c r="G7858" s="37" t="str">
        <f t="shared" si="611"/>
        <v>Heavy Discount</v>
      </c>
      <c r="H7858" s="37" t="str">
        <f t="shared" si="612"/>
        <v>High</v>
      </c>
      <c r="I7858">
        <v>4</v>
      </c>
      <c r="J7858" t="str" cm="1">
        <f t="array" ref="J7858">_xlfn.IFS(I7858&lt;=3,"small",I7858&lt;=6,"Medium",I7858&lt;=9,"Large")</f>
        <v>Medium</v>
      </c>
      <c r="K7858" s="36">
        <v>45273</v>
      </c>
      <c r="L7858" s="36">
        <v>45277</v>
      </c>
      <c r="M7858" t="s">
        <v>612</v>
      </c>
      <c r="N7858" t="s">
        <v>599</v>
      </c>
      <c r="O7858" s="37" t="str">
        <f t="shared" si="613"/>
        <v>Digital Payment</v>
      </c>
      <c r="P7858">
        <v>181.17</v>
      </c>
      <c r="Q7858" s="37" t="str">
        <f>IF(P7858&gt;500,"High","low")</f>
        <v>low</v>
      </c>
      <c r="R7858" s="37" t="str">
        <f t="shared" si="614"/>
        <v>AVERAGE</v>
      </c>
      <c r="S7858" t="s">
        <v>615</v>
      </c>
    </row>
    <row r="7859" spans="1:19" x14ac:dyDescent="0.2">
      <c r="A7859" t="s">
        <v>8470</v>
      </c>
      <c r="B7859" t="s">
        <v>83</v>
      </c>
      <c r="C7859" t="s">
        <v>617</v>
      </c>
      <c r="D7859">
        <v>3263.89</v>
      </c>
      <c r="E7859" s="37" t="str">
        <f t="shared" si="610"/>
        <v xml:space="preserve"> </v>
      </c>
      <c r="F7859">
        <v>0.25</v>
      </c>
      <c r="G7859" s="37" t="str">
        <f t="shared" si="611"/>
        <v>Normal Discount</v>
      </c>
      <c r="H7859" s="37" t="str">
        <f t="shared" si="612"/>
        <v>Medium</v>
      </c>
      <c r="I7859">
        <v>5</v>
      </c>
      <c r="J7859" t="str" cm="1">
        <f t="array" ref="J7859">_xlfn.IFS(I7859&lt;=3,"small",I7859&lt;=6,"Medium",I7859&lt;=9,"Large")</f>
        <v>Medium</v>
      </c>
      <c r="K7859" s="36">
        <v>45565</v>
      </c>
      <c r="L7859" s="36">
        <v>45570</v>
      </c>
      <c r="M7859" t="s">
        <v>612</v>
      </c>
      <c r="N7859" t="s">
        <v>604</v>
      </c>
      <c r="O7859" s="37" t="str">
        <f t="shared" si="613"/>
        <v>Digital Payment</v>
      </c>
      <c r="P7859">
        <v>516</v>
      </c>
      <c r="Q7859" s="37" t="str">
        <f>IF(P7859&gt;500,"High","low")</f>
        <v>High</v>
      </c>
      <c r="R7859" s="37" t="str">
        <f t="shared" si="614"/>
        <v>Good</v>
      </c>
      <c r="S7859" t="s">
        <v>609</v>
      </c>
    </row>
    <row r="7860" spans="1:19" x14ac:dyDescent="0.2">
      <c r="A7860" t="s">
        <v>8471</v>
      </c>
      <c r="B7860" t="s">
        <v>75</v>
      </c>
      <c r="C7860" t="s">
        <v>602</v>
      </c>
      <c r="D7860">
        <v>4082.81</v>
      </c>
      <c r="E7860" s="37" t="str">
        <f t="shared" si="610"/>
        <v xml:space="preserve"> </v>
      </c>
      <c r="F7860">
        <v>0.27</v>
      </c>
      <c r="G7860" s="37" t="str">
        <f t="shared" si="611"/>
        <v>Normal Discount</v>
      </c>
      <c r="H7860" s="37" t="str">
        <f t="shared" si="612"/>
        <v>Medium</v>
      </c>
      <c r="I7860">
        <v>5</v>
      </c>
      <c r="J7860" t="str" cm="1">
        <f t="array" ref="J7860">_xlfn.IFS(I7860&lt;=3,"small",I7860&lt;=6,"Medium",I7860&lt;=9,"Large")</f>
        <v>Medium</v>
      </c>
      <c r="K7860" s="36">
        <v>45191</v>
      </c>
      <c r="L7860" s="36">
        <v>45197</v>
      </c>
      <c r="M7860" t="s">
        <v>598</v>
      </c>
      <c r="N7860" t="s">
        <v>599</v>
      </c>
      <c r="O7860" s="37" t="str">
        <f t="shared" si="613"/>
        <v>Digital Payment</v>
      </c>
      <c r="P7860">
        <v>321.83</v>
      </c>
      <c r="Q7860" s="37" t="str">
        <f>IF(P7860&gt;500,"High","low")</f>
        <v>low</v>
      </c>
      <c r="R7860" s="37" t="str">
        <f t="shared" si="614"/>
        <v>AVERAGE</v>
      </c>
      <c r="S7860" t="s">
        <v>605</v>
      </c>
    </row>
    <row r="7861" spans="1:19" x14ac:dyDescent="0.2">
      <c r="A7861" t="s">
        <v>8472</v>
      </c>
      <c r="B7861" t="s">
        <v>90</v>
      </c>
      <c r="C7861" t="s">
        <v>614</v>
      </c>
      <c r="D7861">
        <v>1579.48</v>
      </c>
      <c r="E7861" s="37" t="str">
        <f t="shared" si="610"/>
        <v xml:space="preserve"> </v>
      </c>
      <c r="F7861">
        <v>0.45</v>
      </c>
      <c r="G7861" s="37" t="str">
        <f t="shared" si="611"/>
        <v>Heavy Discount</v>
      </c>
      <c r="H7861" s="37" t="str">
        <f t="shared" si="612"/>
        <v>High</v>
      </c>
      <c r="I7861">
        <v>5</v>
      </c>
      <c r="J7861" t="str" cm="1">
        <f t="array" ref="J7861">_xlfn.IFS(I7861&lt;=3,"small",I7861&lt;=6,"Medium",I7861&lt;=9,"Large")</f>
        <v>Medium</v>
      </c>
      <c r="K7861" s="36">
        <v>45648</v>
      </c>
      <c r="L7861" s="36">
        <v>45653</v>
      </c>
      <c r="M7861" t="s">
        <v>603</v>
      </c>
      <c r="N7861" t="s">
        <v>608</v>
      </c>
      <c r="O7861" s="37" t="str">
        <f t="shared" si="613"/>
        <v>Cash Payment</v>
      </c>
      <c r="P7861">
        <v>184.86</v>
      </c>
      <c r="Q7861" s="37" t="str">
        <f>IF(P7861&gt;500,"High","low")</f>
        <v>low</v>
      </c>
      <c r="R7861" s="37" t="str">
        <f t="shared" si="614"/>
        <v>AVERAGE</v>
      </c>
      <c r="S7861" t="s">
        <v>628</v>
      </c>
    </row>
    <row r="7862" spans="1:19" x14ac:dyDescent="0.2">
      <c r="A7862" t="s">
        <v>8473</v>
      </c>
      <c r="B7862" t="s">
        <v>75</v>
      </c>
      <c r="C7862" t="s">
        <v>617</v>
      </c>
      <c r="D7862">
        <v>1480.48</v>
      </c>
      <c r="E7862" s="37" t="str">
        <f t="shared" si="610"/>
        <v xml:space="preserve"> </v>
      </c>
      <c r="F7862">
        <v>0.46</v>
      </c>
      <c r="G7862" s="37" t="str">
        <f t="shared" si="611"/>
        <v>Heavy Discount</v>
      </c>
      <c r="H7862" s="37" t="str">
        <f t="shared" si="612"/>
        <v>High</v>
      </c>
      <c r="I7862">
        <v>2</v>
      </c>
      <c r="J7862" t="str" cm="1">
        <f t="array" ref="J7862">_xlfn.IFS(I7862&lt;=3,"small",I7862&lt;=6,"Medium",I7862&lt;=9,"Large")</f>
        <v>small</v>
      </c>
      <c r="K7862" s="36">
        <v>45562</v>
      </c>
      <c r="L7862" s="36">
        <v>45568</v>
      </c>
      <c r="M7862" t="s">
        <v>603</v>
      </c>
      <c r="N7862" t="s">
        <v>608</v>
      </c>
      <c r="O7862" s="37" t="str">
        <f t="shared" si="613"/>
        <v>Cash Payment</v>
      </c>
      <c r="P7862">
        <v>226.8</v>
      </c>
      <c r="Q7862" s="37" t="str">
        <f>IF(P7862&gt;500,"High","low")</f>
        <v>low</v>
      </c>
      <c r="R7862" s="37" t="str">
        <f t="shared" si="614"/>
        <v>AVERAGE</v>
      </c>
      <c r="S7862" t="s">
        <v>609</v>
      </c>
    </row>
    <row r="7863" spans="1:19" x14ac:dyDescent="0.2">
      <c r="A7863" t="s">
        <v>8474</v>
      </c>
      <c r="B7863" t="s">
        <v>75</v>
      </c>
      <c r="C7863" t="s">
        <v>614</v>
      </c>
      <c r="D7863">
        <v>3920.74</v>
      </c>
      <c r="E7863" s="37" t="str">
        <f t="shared" si="610"/>
        <v xml:space="preserve"> </v>
      </c>
      <c r="F7863">
        <v>0.32</v>
      </c>
      <c r="G7863" s="37" t="str">
        <f t="shared" si="611"/>
        <v>Heavy Discount</v>
      </c>
      <c r="H7863" s="37" t="str">
        <f t="shared" si="612"/>
        <v>Medium</v>
      </c>
      <c r="I7863">
        <v>2</v>
      </c>
      <c r="J7863" t="str" cm="1">
        <f t="array" ref="J7863">_xlfn.IFS(I7863&lt;=3,"small",I7863&lt;=6,"Medium",I7863&lt;=9,"Large")</f>
        <v>small</v>
      </c>
      <c r="K7863" s="36">
        <v>44928</v>
      </c>
      <c r="L7863" s="36">
        <v>44932</v>
      </c>
      <c r="M7863" t="s">
        <v>612</v>
      </c>
      <c r="N7863" t="s">
        <v>608</v>
      </c>
      <c r="O7863" s="37" t="str">
        <f t="shared" si="613"/>
        <v>Cash Payment</v>
      </c>
      <c r="P7863">
        <v>771.78</v>
      </c>
      <c r="Q7863" s="37" t="str">
        <f>IF(P7863&gt;500,"High","low")</f>
        <v>High</v>
      </c>
      <c r="R7863" s="37" t="str">
        <f t="shared" si="614"/>
        <v>Good</v>
      </c>
      <c r="S7863" t="s">
        <v>609</v>
      </c>
    </row>
    <row r="7864" spans="1:19" x14ac:dyDescent="0.2">
      <c r="A7864" t="s">
        <v>8475</v>
      </c>
      <c r="B7864" t="s">
        <v>90</v>
      </c>
      <c r="C7864" t="s">
        <v>602</v>
      </c>
      <c r="D7864">
        <v>1967.03</v>
      </c>
      <c r="E7864" s="37" t="str">
        <f t="shared" si="610"/>
        <v xml:space="preserve"> </v>
      </c>
      <c r="F7864">
        <v>0.41</v>
      </c>
      <c r="G7864" s="37" t="str">
        <f t="shared" si="611"/>
        <v>Heavy Discount</v>
      </c>
      <c r="H7864" s="37" t="str">
        <f t="shared" si="612"/>
        <v>High</v>
      </c>
      <c r="I7864">
        <v>1</v>
      </c>
      <c r="J7864" t="str" cm="1">
        <f t="array" ref="J7864">_xlfn.IFS(I7864&lt;=3,"small",I7864&lt;=6,"Medium",I7864&lt;=9,"Large")</f>
        <v>small</v>
      </c>
      <c r="K7864" s="36">
        <v>45140</v>
      </c>
      <c r="L7864" s="36">
        <v>45142</v>
      </c>
      <c r="M7864" t="s">
        <v>612</v>
      </c>
      <c r="N7864" t="s">
        <v>604</v>
      </c>
      <c r="O7864" s="37" t="str">
        <f t="shared" si="613"/>
        <v>Digital Payment</v>
      </c>
      <c r="P7864">
        <v>557.80999999999995</v>
      </c>
      <c r="Q7864" s="37" t="str">
        <f>IF(P7864&gt;500,"High","low")</f>
        <v>High</v>
      </c>
      <c r="R7864" s="37" t="str">
        <f t="shared" si="614"/>
        <v>Good</v>
      </c>
      <c r="S7864" t="s">
        <v>620</v>
      </c>
    </row>
    <row r="7865" spans="1:19" x14ac:dyDescent="0.2">
      <c r="A7865" t="s">
        <v>8476</v>
      </c>
      <c r="B7865" t="s">
        <v>83</v>
      </c>
      <c r="C7865" t="s">
        <v>614</v>
      </c>
      <c r="D7865">
        <v>4110.53</v>
      </c>
      <c r="E7865" s="37" t="str">
        <f t="shared" si="610"/>
        <v xml:space="preserve"> </v>
      </c>
      <c r="F7865">
        <v>0.25</v>
      </c>
      <c r="G7865" s="37" t="str">
        <f t="shared" si="611"/>
        <v>Normal Discount</v>
      </c>
      <c r="H7865" s="37" t="str">
        <f t="shared" si="612"/>
        <v>Medium</v>
      </c>
      <c r="I7865">
        <v>1</v>
      </c>
      <c r="J7865" t="str" cm="1">
        <f t="array" ref="J7865">_xlfn.IFS(I7865&lt;=3,"small",I7865&lt;=6,"Medium",I7865&lt;=9,"Large")</f>
        <v>small</v>
      </c>
      <c r="K7865" s="36">
        <v>45330</v>
      </c>
      <c r="L7865" s="36">
        <v>45334</v>
      </c>
      <c r="M7865" t="s">
        <v>612</v>
      </c>
      <c r="N7865" t="s">
        <v>608</v>
      </c>
      <c r="O7865" s="37" t="str">
        <f t="shared" si="613"/>
        <v>Cash Payment</v>
      </c>
      <c r="P7865">
        <v>281.33999999999997</v>
      </c>
      <c r="Q7865" s="37" t="str">
        <f>IF(P7865&gt;500,"High","low")</f>
        <v>low</v>
      </c>
      <c r="R7865" s="37" t="str">
        <f t="shared" si="614"/>
        <v>AVERAGE</v>
      </c>
      <c r="S7865" t="s">
        <v>609</v>
      </c>
    </row>
    <row r="7866" spans="1:19" x14ac:dyDescent="0.2">
      <c r="A7866" t="s">
        <v>8477</v>
      </c>
      <c r="B7866" t="s">
        <v>90</v>
      </c>
      <c r="C7866" t="s">
        <v>597</v>
      </c>
      <c r="D7866">
        <v>4967.5600000000004</v>
      </c>
      <c r="E7866" s="37" t="str">
        <f t="shared" si="610"/>
        <v>Excellent Order</v>
      </c>
      <c r="F7866">
        <v>0.19</v>
      </c>
      <c r="G7866" s="37" t="str">
        <f t="shared" si="611"/>
        <v>Normal Discount</v>
      </c>
      <c r="H7866" s="37" t="str">
        <f t="shared" si="612"/>
        <v>Low</v>
      </c>
      <c r="I7866">
        <v>4</v>
      </c>
      <c r="J7866" t="str" cm="1">
        <f t="array" ref="J7866">_xlfn.IFS(I7866&lt;=3,"small",I7866&lt;=6,"Medium",I7866&lt;=9,"Large")</f>
        <v>Medium</v>
      </c>
      <c r="K7866" s="36">
        <v>45156</v>
      </c>
      <c r="L7866" s="36">
        <v>45160</v>
      </c>
      <c r="M7866" t="s">
        <v>612</v>
      </c>
      <c r="N7866" t="s">
        <v>604</v>
      </c>
      <c r="O7866" s="37" t="str">
        <f t="shared" si="613"/>
        <v>Digital Payment</v>
      </c>
      <c r="P7866">
        <v>1019.5</v>
      </c>
      <c r="Q7866" s="37" t="str">
        <f>IF(P7866&gt;500,"High","low")</f>
        <v>High</v>
      </c>
      <c r="R7866" s="37" t="str">
        <f t="shared" si="614"/>
        <v>Excellent</v>
      </c>
      <c r="S7866" t="s">
        <v>620</v>
      </c>
    </row>
    <row r="7867" spans="1:19" x14ac:dyDescent="0.2">
      <c r="A7867" t="s">
        <v>8478</v>
      </c>
      <c r="B7867" t="s">
        <v>75</v>
      </c>
      <c r="C7867" t="s">
        <v>602</v>
      </c>
      <c r="D7867">
        <v>4900.38</v>
      </c>
      <c r="E7867" s="37" t="str">
        <f t="shared" si="610"/>
        <v xml:space="preserve"> </v>
      </c>
      <c r="F7867">
        <v>0.43</v>
      </c>
      <c r="G7867" s="37" t="str">
        <f t="shared" si="611"/>
        <v>Heavy Discount</v>
      </c>
      <c r="H7867" s="37" t="str">
        <f t="shared" si="612"/>
        <v>High</v>
      </c>
      <c r="I7867">
        <v>3</v>
      </c>
      <c r="J7867" t="str" cm="1">
        <f t="array" ref="J7867">_xlfn.IFS(I7867&lt;=3,"small",I7867&lt;=6,"Medium",I7867&lt;=9,"Large")</f>
        <v>small</v>
      </c>
      <c r="K7867" s="36">
        <v>45610</v>
      </c>
      <c r="L7867" s="36">
        <v>45613</v>
      </c>
      <c r="M7867" t="s">
        <v>612</v>
      </c>
      <c r="N7867" t="s">
        <v>599</v>
      </c>
      <c r="O7867" s="37" t="str">
        <f t="shared" si="613"/>
        <v>Digital Payment</v>
      </c>
      <c r="P7867">
        <v>338.93</v>
      </c>
      <c r="Q7867" s="37" t="str">
        <f>IF(P7867&gt;500,"High","low")</f>
        <v>low</v>
      </c>
      <c r="R7867" s="37" t="str">
        <f t="shared" si="614"/>
        <v>AVERAGE</v>
      </c>
      <c r="S7867" t="s">
        <v>628</v>
      </c>
    </row>
    <row r="7868" spans="1:19" x14ac:dyDescent="0.2">
      <c r="A7868" t="s">
        <v>8479</v>
      </c>
      <c r="B7868" t="s">
        <v>90</v>
      </c>
      <c r="C7868" t="s">
        <v>602</v>
      </c>
      <c r="D7868">
        <v>3347.17</v>
      </c>
      <c r="E7868" s="37" t="str">
        <f t="shared" si="610"/>
        <v xml:space="preserve"> </v>
      </c>
      <c r="F7868">
        <v>0.39</v>
      </c>
      <c r="G7868" s="37" t="str">
        <f t="shared" si="611"/>
        <v>Heavy Discount</v>
      </c>
      <c r="H7868" s="37" t="str">
        <f t="shared" si="612"/>
        <v>Medium</v>
      </c>
      <c r="I7868">
        <v>4</v>
      </c>
      <c r="J7868" t="str" cm="1">
        <f t="array" ref="J7868">_xlfn.IFS(I7868&lt;=3,"small",I7868&lt;=6,"Medium",I7868&lt;=9,"Large")</f>
        <v>Medium</v>
      </c>
      <c r="K7868" s="36">
        <v>45195</v>
      </c>
      <c r="L7868" s="36">
        <v>45199</v>
      </c>
      <c r="M7868" t="s">
        <v>603</v>
      </c>
      <c r="N7868" t="s">
        <v>608</v>
      </c>
      <c r="O7868" s="37" t="str">
        <f t="shared" si="613"/>
        <v>Cash Payment</v>
      </c>
      <c r="P7868">
        <v>663.82</v>
      </c>
      <c r="Q7868" s="37" t="str">
        <f>IF(P7868&gt;500,"High","low")</f>
        <v>High</v>
      </c>
      <c r="R7868" s="37" t="str">
        <f t="shared" si="614"/>
        <v>Good</v>
      </c>
      <c r="S7868" t="s">
        <v>615</v>
      </c>
    </row>
    <row r="7869" spans="1:19" x14ac:dyDescent="0.2">
      <c r="A7869" t="s">
        <v>8480</v>
      </c>
      <c r="B7869" t="s">
        <v>75</v>
      </c>
      <c r="C7869" t="s">
        <v>617</v>
      </c>
      <c r="D7869">
        <v>1938.54</v>
      </c>
      <c r="E7869" s="37" t="str">
        <f t="shared" si="610"/>
        <v xml:space="preserve"> </v>
      </c>
      <c r="F7869">
        <v>0.12</v>
      </c>
      <c r="G7869" s="37" t="str">
        <f t="shared" si="611"/>
        <v>Normal Discount</v>
      </c>
      <c r="H7869" s="37" t="str">
        <f t="shared" si="612"/>
        <v>Low</v>
      </c>
      <c r="I7869">
        <v>6</v>
      </c>
      <c r="J7869" t="str" cm="1">
        <f t="array" ref="J7869">_xlfn.IFS(I7869&lt;=3,"small",I7869&lt;=6,"Medium",I7869&lt;=9,"Large")</f>
        <v>Medium</v>
      </c>
      <c r="K7869" s="36">
        <v>45039</v>
      </c>
      <c r="L7869" s="36">
        <v>45046</v>
      </c>
      <c r="M7869" t="s">
        <v>598</v>
      </c>
      <c r="N7869" t="s">
        <v>604</v>
      </c>
      <c r="O7869" s="37" t="str">
        <f t="shared" si="613"/>
        <v>Digital Payment</v>
      </c>
      <c r="P7869">
        <v>389.49</v>
      </c>
      <c r="Q7869" s="37" t="str">
        <f>IF(P7869&gt;500,"High","low")</f>
        <v>low</v>
      </c>
      <c r="R7869" s="37" t="str">
        <f t="shared" si="614"/>
        <v>AVERAGE</v>
      </c>
      <c r="S7869" t="s">
        <v>620</v>
      </c>
    </row>
    <row r="7870" spans="1:19" x14ac:dyDescent="0.2">
      <c r="A7870" t="s">
        <v>8481</v>
      </c>
      <c r="B7870" t="s">
        <v>90</v>
      </c>
      <c r="C7870" t="s">
        <v>617</v>
      </c>
      <c r="D7870">
        <v>420.9</v>
      </c>
      <c r="E7870" s="37" t="str">
        <f t="shared" si="610"/>
        <v xml:space="preserve"> </v>
      </c>
      <c r="F7870">
        <v>0.02</v>
      </c>
      <c r="G7870" s="37" t="str">
        <f t="shared" si="611"/>
        <v>Normal Discount</v>
      </c>
      <c r="H7870" s="37" t="str">
        <f t="shared" si="612"/>
        <v>Low</v>
      </c>
      <c r="I7870">
        <v>1</v>
      </c>
      <c r="J7870" t="str" cm="1">
        <f t="array" ref="J7870">_xlfn.IFS(I7870&lt;=3,"small",I7870&lt;=6,"Medium",I7870&lt;=9,"Large")</f>
        <v>small</v>
      </c>
      <c r="K7870" s="36">
        <v>45074</v>
      </c>
      <c r="L7870" s="36">
        <v>45076</v>
      </c>
      <c r="M7870" t="s">
        <v>612</v>
      </c>
      <c r="N7870" t="s">
        <v>604</v>
      </c>
      <c r="O7870" s="37" t="str">
        <f t="shared" si="613"/>
        <v>Digital Payment</v>
      </c>
      <c r="P7870">
        <v>62.06</v>
      </c>
      <c r="Q7870" s="37" t="str">
        <f>IF(P7870&gt;500,"High","low")</f>
        <v>low</v>
      </c>
      <c r="R7870" s="37" t="str">
        <f t="shared" si="614"/>
        <v>AVERAGE</v>
      </c>
      <c r="S7870" t="s">
        <v>615</v>
      </c>
    </row>
    <row r="7871" spans="1:19" x14ac:dyDescent="0.2">
      <c r="A7871" t="s">
        <v>8482</v>
      </c>
      <c r="B7871" t="s">
        <v>67</v>
      </c>
      <c r="C7871" t="s">
        <v>617</v>
      </c>
      <c r="D7871">
        <v>3716.4</v>
      </c>
      <c r="E7871" s="37" t="str">
        <f t="shared" si="610"/>
        <v xml:space="preserve"> </v>
      </c>
      <c r="F7871">
        <v>0.28000000000000003</v>
      </c>
      <c r="G7871" s="37" t="str">
        <f t="shared" si="611"/>
        <v>Normal Discount</v>
      </c>
      <c r="H7871" s="37" t="str">
        <f t="shared" si="612"/>
        <v>Medium</v>
      </c>
      <c r="I7871">
        <v>8</v>
      </c>
      <c r="J7871" t="str" cm="1">
        <f t="array" ref="J7871">_xlfn.IFS(I7871&lt;=3,"small",I7871&lt;=6,"Medium",I7871&lt;=9,"Large")</f>
        <v>Large</v>
      </c>
      <c r="K7871" s="36">
        <v>45060</v>
      </c>
      <c r="L7871" s="36">
        <v>45062</v>
      </c>
      <c r="M7871" t="s">
        <v>598</v>
      </c>
      <c r="N7871" t="s">
        <v>604</v>
      </c>
      <c r="O7871" s="37" t="str">
        <f t="shared" si="613"/>
        <v>Digital Payment</v>
      </c>
      <c r="P7871">
        <v>234.17</v>
      </c>
      <c r="Q7871" s="37" t="str">
        <f>IF(P7871&gt;500,"High","low")</f>
        <v>low</v>
      </c>
      <c r="R7871" s="37" t="str">
        <f t="shared" si="614"/>
        <v>AVERAGE</v>
      </c>
      <c r="S7871" t="s">
        <v>620</v>
      </c>
    </row>
    <row r="7872" spans="1:19" x14ac:dyDescent="0.2">
      <c r="A7872" t="s">
        <v>8483</v>
      </c>
      <c r="B7872" t="s">
        <v>67</v>
      </c>
      <c r="C7872" t="s">
        <v>597</v>
      </c>
      <c r="D7872">
        <v>4892.04</v>
      </c>
      <c r="E7872" s="37" t="str">
        <f t="shared" si="610"/>
        <v>Excellent Order</v>
      </c>
      <c r="F7872">
        <v>0.42</v>
      </c>
      <c r="G7872" s="37" t="str">
        <f t="shared" si="611"/>
        <v>Heavy Discount</v>
      </c>
      <c r="H7872" s="37" t="str">
        <f t="shared" si="612"/>
        <v>High</v>
      </c>
      <c r="I7872">
        <v>8</v>
      </c>
      <c r="J7872" t="str" cm="1">
        <f t="array" ref="J7872">_xlfn.IFS(I7872&lt;=3,"small",I7872&lt;=6,"Medium",I7872&lt;=9,"Large")</f>
        <v>Large</v>
      </c>
      <c r="K7872" s="36">
        <v>45581</v>
      </c>
      <c r="L7872" s="36">
        <v>45587</v>
      </c>
      <c r="M7872" t="s">
        <v>612</v>
      </c>
      <c r="N7872" t="s">
        <v>604</v>
      </c>
      <c r="O7872" s="37" t="str">
        <f t="shared" si="613"/>
        <v>Digital Payment</v>
      </c>
      <c r="P7872">
        <v>1248.75</v>
      </c>
      <c r="Q7872" s="37" t="str">
        <f>IF(P7872&gt;500,"High","low")</f>
        <v>High</v>
      </c>
      <c r="R7872" s="37" t="str">
        <f t="shared" si="614"/>
        <v>Excellent</v>
      </c>
      <c r="S7872" t="s">
        <v>600</v>
      </c>
    </row>
    <row r="7873" spans="1:19" x14ac:dyDescent="0.2">
      <c r="A7873" t="s">
        <v>8484</v>
      </c>
      <c r="B7873" t="s">
        <v>90</v>
      </c>
      <c r="C7873" t="s">
        <v>597</v>
      </c>
      <c r="D7873">
        <v>433.12</v>
      </c>
      <c r="E7873" s="37" t="str">
        <f t="shared" si="610"/>
        <v xml:space="preserve"> </v>
      </c>
      <c r="F7873">
        <v>0.12</v>
      </c>
      <c r="G7873" s="37" t="str">
        <f t="shared" si="611"/>
        <v>Normal Discount</v>
      </c>
      <c r="H7873" s="37" t="str">
        <f t="shared" si="612"/>
        <v>Low</v>
      </c>
      <c r="I7873">
        <v>7</v>
      </c>
      <c r="J7873" t="str" cm="1">
        <f t="array" ref="J7873">_xlfn.IFS(I7873&lt;=3,"small",I7873&lt;=6,"Medium",I7873&lt;=9,"Large")</f>
        <v>Large</v>
      </c>
      <c r="K7873" s="36">
        <v>45126</v>
      </c>
      <c r="L7873" s="36">
        <v>45130</v>
      </c>
      <c r="M7873" t="s">
        <v>612</v>
      </c>
      <c r="N7873" t="s">
        <v>599</v>
      </c>
      <c r="O7873" s="37" t="str">
        <f t="shared" si="613"/>
        <v>Digital Payment</v>
      </c>
      <c r="P7873">
        <v>58.15</v>
      </c>
      <c r="Q7873" s="37" t="str">
        <f>IF(P7873&gt;500,"High","low")</f>
        <v>low</v>
      </c>
      <c r="R7873" s="37" t="str">
        <f t="shared" si="614"/>
        <v>AVERAGE</v>
      </c>
      <c r="S7873" t="s">
        <v>615</v>
      </c>
    </row>
    <row r="7874" spans="1:19" x14ac:dyDescent="0.2">
      <c r="A7874" t="s">
        <v>8485</v>
      </c>
      <c r="B7874" t="s">
        <v>83</v>
      </c>
      <c r="C7874" t="s">
        <v>607</v>
      </c>
      <c r="D7874">
        <v>130.22</v>
      </c>
      <c r="E7874" s="37" t="str">
        <f t="shared" si="610"/>
        <v xml:space="preserve"> </v>
      </c>
      <c r="F7874">
        <v>0.38</v>
      </c>
      <c r="G7874" s="37" t="str">
        <f t="shared" si="611"/>
        <v>Heavy Discount</v>
      </c>
      <c r="H7874" s="37" t="str">
        <f t="shared" si="612"/>
        <v>Medium</v>
      </c>
      <c r="I7874">
        <v>4</v>
      </c>
      <c r="J7874" t="str" cm="1">
        <f t="array" ref="J7874">_xlfn.IFS(I7874&lt;=3,"small",I7874&lt;=6,"Medium",I7874&lt;=9,"Large")</f>
        <v>Medium</v>
      </c>
      <c r="K7874" s="36">
        <v>45502</v>
      </c>
      <c r="L7874" s="36">
        <v>45503</v>
      </c>
      <c r="M7874" t="s">
        <v>598</v>
      </c>
      <c r="N7874" t="s">
        <v>608</v>
      </c>
      <c r="O7874" s="37" t="str">
        <f t="shared" si="613"/>
        <v>Cash Payment</v>
      </c>
      <c r="P7874">
        <v>8.4600000000000009</v>
      </c>
      <c r="Q7874" s="37" t="str">
        <f>IF(P7874&gt;500,"High","low")</f>
        <v>low</v>
      </c>
      <c r="R7874" s="37" t="str">
        <f t="shared" si="614"/>
        <v>AVERAGE</v>
      </c>
      <c r="S7874" t="s">
        <v>620</v>
      </c>
    </row>
    <row r="7875" spans="1:19" x14ac:dyDescent="0.2">
      <c r="A7875" t="s">
        <v>8486</v>
      </c>
      <c r="B7875" t="s">
        <v>75</v>
      </c>
      <c r="C7875" t="s">
        <v>602</v>
      </c>
      <c r="D7875">
        <v>4175.7</v>
      </c>
      <c r="E7875" s="37" t="str">
        <f t="shared" ref="E7875:E7938" si="615">IF(AND(D7875&gt;4000,P7875&gt;800),"Excellent Order"," ")</f>
        <v xml:space="preserve"> </v>
      </c>
      <c r="F7875">
        <v>0.21</v>
      </c>
      <c r="G7875" s="37" t="str">
        <f t="shared" ref="G7875:G7938" si="616">IF(F7875&gt;30%,"Heavy Discount","Normal Discount")</f>
        <v>Normal Discount</v>
      </c>
      <c r="H7875" s="37" t="str">
        <f t="shared" ref="H7875:H7938" si="617">IF(F7875&gt;0.4,"High",IF(F7875&gt;=0.2,"Medium","Low"))</f>
        <v>Medium</v>
      </c>
      <c r="I7875">
        <v>8</v>
      </c>
      <c r="J7875" t="str" cm="1">
        <f t="array" ref="J7875">_xlfn.IFS(I7875&lt;=3,"small",I7875&lt;=6,"Medium",I7875&lt;=9,"Large")</f>
        <v>Large</v>
      </c>
      <c r="K7875" s="36">
        <v>45436</v>
      </c>
      <c r="L7875" s="36">
        <v>45442</v>
      </c>
      <c r="M7875" t="s">
        <v>612</v>
      </c>
      <c r="N7875" t="s">
        <v>604</v>
      </c>
      <c r="O7875" s="37" t="str">
        <f t="shared" ref="O7875:O7938" si="618">IF(OR(N7875="Card",N7875="UPI"),"Digital Payment","Cash Payment")</f>
        <v>Digital Payment</v>
      </c>
      <c r="P7875">
        <v>264.12</v>
      </c>
      <c r="Q7875" s="37" t="str">
        <f>IF(P7875&gt;500,"High","low")</f>
        <v>low</v>
      </c>
      <c r="R7875" s="37" t="str">
        <f t="shared" ref="R7875:R7938" si="619">IF(P7875&gt;1000,"Excellent",IF(P7875&gt;=500,"Good","AVERAGE"))</f>
        <v>AVERAGE</v>
      </c>
      <c r="S7875" t="s">
        <v>620</v>
      </c>
    </row>
    <row r="7876" spans="1:19" x14ac:dyDescent="0.2">
      <c r="A7876" t="s">
        <v>8487</v>
      </c>
      <c r="B7876" t="s">
        <v>67</v>
      </c>
      <c r="C7876" t="s">
        <v>617</v>
      </c>
      <c r="D7876">
        <v>601.07000000000005</v>
      </c>
      <c r="E7876" s="37" t="str">
        <f t="shared" si="615"/>
        <v xml:space="preserve"> </v>
      </c>
      <c r="F7876">
        <v>0.17</v>
      </c>
      <c r="G7876" s="37" t="str">
        <f t="shared" si="616"/>
        <v>Normal Discount</v>
      </c>
      <c r="H7876" s="37" t="str">
        <f t="shared" si="617"/>
        <v>Low</v>
      </c>
      <c r="I7876">
        <v>9</v>
      </c>
      <c r="J7876" t="str" cm="1">
        <f t="array" ref="J7876">_xlfn.IFS(I7876&lt;=3,"small",I7876&lt;=6,"Medium",I7876&lt;=9,"Large")</f>
        <v>Large</v>
      </c>
      <c r="K7876" s="36">
        <v>45532</v>
      </c>
      <c r="L7876" s="36">
        <v>45539</v>
      </c>
      <c r="M7876" t="s">
        <v>598</v>
      </c>
      <c r="N7876" t="s">
        <v>608</v>
      </c>
      <c r="O7876" s="37" t="str">
        <f t="shared" si="618"/>
        <v>Cash Payment</v>
      </c>
      <c r="P7876">
        <v>43.21</v>
      </c>
      <c r="Q7876" s="37" t="str">
        <f>IF(P7876&gt;500,"High","low")</f>
        <v>low</v>
      </c>
      <c r="R7876" s="37" t="str">
        <f t="shared" si="619"/>
        <v>AVERAGE</v>
      </c>
      <c r="S7876" t="s">
        <v>600</v>
      </c>
    </row>
    <row r="7877" spans="1:19" x14ac:dyDescent="0.2">
      <c r="A7877" t="s">
        <v>8488</v>
      </c>
      <c r="B7877" t="s">
        <v>83</v>
      </c>
      <c r="C7877" t="s">
        <v>602</v>
      </c>
      <c r="D7877">
        <v>499.95</v>
      </c>
      <c r="E7877" s="37" t="str">
        <f t="shared" si="615"/>
        <v xml:space="preserve"> </v>
      </c>
      <c r="F7877">
        <v>0.09</v>
      </c>
      <c r="G7877" s="37" t="str">
        <f t="shared" si="616"/>
        <v>Normal Discount</v>
      </c>
      <c r="H7877" s="37" t="str">
        <f t="shared" si="617"/>
        <v>Low</v>
      </c>
      <c r="I7877">
        <v>5</v>
      </c>
      <c r="J7877" t="str" cm="1">
        <f t="array" ref="J7877">_xlfn.IFS(I7877&lt;=3,"small",I7877&lt;=6,"Medium",I7877&lt;=9,"Large")</f>
        <v>Medium</v>
      </c>
      <c r="K7877" s="36">
        <v>45090</v>
      </c>
      <c r="L7877" s="36">
        <v>45096</v>
      </c>
      <c r="M7877" t="s">
        <v>603</v>
      </c>
      <c r="N7877" t="s">
        <v>604</v>
      </c>
      <c r="O7877" s="37" t="str">
        <f t="shared" si="618"/>
        <v>Digital Payment</v>
      </c>
      <c r="P7877">
        <v>133.21</v>
      </c>
      <c r="Q7877" s="37" t="str">
        <f>IF(P7877&gt;500,"High","low")</f>
        <v>low</v>
      </c>
      <c r="R7877" s="37" t="str">
        <f t="shared" si="619"/>
        <v>AVERAGE</v>
      </c>
      <c r="S7877" t="s">
        <v>620</v>
      </c>
    </row>
    <row r="7878" spans="1:19" x14ac:dyDescent="0.2">
      <c r="A7878" t="s">
        <v>8489</v>
      </c>
      <c r="B7878" t="s">
        <v>75</v>
      </c>
      <c r="C7878" t="s">
        <v>614</v>
      </c>
      <c r="D7878">
        <v>4560.6499999999996</v>
      </c>
      <c r="E7878" s="37" t="str">
        <f t="shared" si="615"/>
        <v xml:space="preserve"> </v>
      </c>
      <c r="F7878">
        <v>0.47</v>
      </c>
      <c r="G7878" s="37" t="str">
        <f t="shared" si="616"/>
        <v>Heavy Discount</v>
      </c>
      <c r="H7878" s="37" t="str">
        <f t="shared" si="617"/>
        <v>High</v>
      </c>
      <c r="I7878">
        <v>6</v>
      </c>
      <c r="J7878" t="str" cm="1">
        <f t="array" ref="J7878">_xlfn.IFS(I7878&lt;=3,"small",I7878&lt;=6,"Medium",I7878&lt;=9,"Large")</f>
        <v>Medium</v>
      </c>
      <c r="K7878" s="36">
        <v>45057</v>
      </c>
      <c r="L7878" s="36">
        <v>45061</v>
      </c>
      <c r="M7878" t="s">
        <v>603</v>
      </c>
      <c r="N7878" t="s">
        <v>604</v>
      </c>
      <c r="O7878" s="37" t="str">
        <f t="shared" si="618"/>
        <v>Digital Payment</v>
      </c>
      <c r="P7878">
        <v>768.28</v>
      </c>
      <c r="Q7878" s="37" t="str">
        <f>IF(P7878&gt;500,"High","low")</f>
        <v>High</v>
      </c>
      <c r="R7878" s="37" t="str">
        <f t="shared" si="619"/>
        <v>Good</v>
      </c>
      <c r="S7878" t="s">
        <v>620</v>
      </c>
    </row>
    <row r="7879" spans="1:19" x14ac:dyDescent="0.2">
      <c r="A7879" t="s">
        <v>8490</v>
      </c>
      <c r="B7879" t="s">
        <v>67</v>
      </c>
      <c r="C7879" t="s">
        <v>597</v>
      </c>
      <c r="D7879">
        <v>489.85</v>
      </c>
      <c r="E7879" s="37" t="str">
        <f t="shared" si="615"/>
        <v xml:space="preserve"> </v>
      </c>
      <c r="F7879">
        <v>0.11</v>
      </c>
      <c r="G7879" s="37" t="str">
        <f t="shared" si="616"/>
        <v>Normal Discount</v>
      </c>
      <c r="H7879" s="37" t="str">
        <f t="shared" si="617"/>
        <v>Low</v>
      </c>
      <c r="I7879">
        <v>8</v>
      </c>
      <c r="J7879" t="str" cm="1">
        <f t="array" ref="J7879">_xlfn.IFS(I7879&lt;=3,"small",I7879&lt;=6,"Medium",I7879&lt;=9,"Large")</f>
        <v>Large</v>
      </c>
      <c r="K7879" s="36">
        <v>45273</v>
      </c>
      <c r="L7879" s="36">
        <v>45276</v>
      </c>
      <c r="M7879" t="s">
        <v>603</v>
      </c>
      <c r="N7879" t="s">
        <v>604</v>
      </c>
      <c r="O7879" s="37" t="str">
        <f t="shared" si="618"/>
        <v>Digital Payment</v>
      </c>
      <c r="P7879">
        <v>131.38</v>
      </c>
      <c r="Q7879" s="37" t="str">
        <f>IF(P7879&gt;500,"High","low")</f>
        <v>low</v>
      </c>
      <c r="R7879" s="37" t="str">
        <f t="shared" si="619"/>
        <v>AVERAGE</v>
      </c>
      <c r="S7879" t="s">
        <v>628</v>
      </c>
    </row>
    <row r="7880" spans="1:19" x14ac:dyDescent="0.2">
      <c r="A7880" t="s">
        <v>8491</v>
      </c>
      <c r="B7880" t="s">
        <v>67</v>
      </c>
      <c r="C7880" t="s">
        <v>607</v>
      </c>
      <c r="D7880">
        <v>658.69</v>
      </c>
      <c r="E7880" s="37" t="str">
        <f t="shared" si="615"/>
        <v xml:space="preserve"> </v>
      </c>
      <c r="F7880">
        <v>0.14000000000000001</v>
      </c>
      <c r="G7880" s="37" t="str">
        <f t="shared" si="616"/>
        <v>Normal Discount</v>
      </c>
      <c r="H7880" s="37" t="str">
        <f t="shared" si="617"/>
        <v>Low</v>
      </c>
      <c r="I7880">
        <v>5</v>
      </c>
      <c r="J7880" t="str" cm="1">
        <f t="array" ref="J7880">_xlfn.IFS(I7880&lt;=3,"small",I7880&lt;=6,"Medium",I7880&lt;=9,"Large")</f>
        <v>Medium</v>
      </c>
      <c r="K7880" s="36">
        <v>45148</v>
      </c>
      <c r="L7880" s="36">
        <v>45149</v>
      </c>
      <c r="M7880" t="s">
        <v>598</v>
      </c>
      <c r="N7880" t="s">
        <v>604</v>
      </c>
      <c r="O7880" s="37" t="str">
        <f t="shared" si="618"/>
        <v>Digital Payment</v>
      </c>
      <c r="P7880">
        <v>156.24</v>
      </c>
      <c r="Q7880" s="37" t="str">
        <f>IF(P7880&gt;500,"High","low")</f>
        <v>low</v>
      </c>
      <c r="R7880" s="37" t="str">
        <f t="shared" si="619"/>
        <v>AVERAGE</v>
      </c>
      <c r="S7880" t="s">
        <v>620</v>
      </c>
    </row>
    <row r="7881" spans="1:19" x14ac:dyDescent="0.2">
      <c r="A7881" t="s">
        <v>8492</v>
      </c>
      <c r="B7881" t="s">
        <v>90</v>
      </c>
      <c r="C7881" t="s">
        <v>614</v>
      </c>
      <c r="D7881">
        <v>2890.91</v>
      </c>
      <c r="E7881" s="37" t="str">
        <f t="shared" si="615"/>
        <v xml:space="preserve"> </v>
      </c>
      <c r="F7881">
        <v>0.17</v>
      </c>
      <c r="G7881" s="37" t="str">
        <f t="shared" si="616"/>
        <v>Normal Discount</v>
      </c>
      <c r="H7881" s="37" t="str">
        <f t="shared" si="617"/>
        <v>Low</v>
      </c>
      <c r="I7881">
        <v>4</v>
      </c>
      <c r="J7881" t="str" cm="1">
        <f t="array" ref="J7881">_xlfn.IFS(I7881&lt;=3,"small",I7881&lt;=6,"Medium",I7881&lt;=9,"Large")</f>
        <v>Medium</v>
      </c>
      <c r="K7881" s="36">
        <v>45049</v>
      </c>
      <c r="L7881" s="36">
        <v>45054</v>
      </c>
      <c r="M7881" t="s">
        <v>612</v>
      </c>
      <c r="N7881" t="s">
        <v>604</v>
      </c>
      <c r="O7881" s="37" t="str">
        <f t="shared" si="618"/>
        <v>Digital Payment</v>
      </c>
      <c r="P7881">
        <v>154.71</v>
      </c>
      <c r="Q7881" s="37" t="str">
        <f>IF(P7881&gt;500,"High","low")</f>
        <v>low</v>
      </c>
      <c r="R7881" s="37" t="str">
        <f t="shared" si="619"/>
        <v>AVERAGE</v>
      </c>
      <c r="S7881" t="s">
        <v>600</v>
      </c>
    </row>
    <row r="7882" spans="1:19" x14ac:dyDescent="0.2">
      <c r="A7882" t="s">
        <v>8493</v>
      </c>
      <c r="B7882" t="s">
        <v>75</v>
      </c>
      <c r="C7882" t="s">
        <v>602</v>
      </c>
      <c r="D7882">
        <v>3808.39</v>
      </c>
      <c r="E7882" s="37" t="str">
        <f t="shared" si="615"/>
        <v xml:space="preserve"> </v>
      </c>
      <c r="F7882">
        <v>0.14000000000000001</v>
      </c>
      <c r="G7882" s="37" t="str">
        <f t="shared" si="616"/>
        <v>Normal Discount</v>
      </c>
      <c r="H7882" s="37" t="str">
        <f t="shared" si="617"/>
        <v>Low</v>
      </c>
      <c r="I7882">
        <v>8</v>
      </c>
      <c r="J7882" t="str" cm="1">
        <f t="array" ref="J7882">_xlfn.IFS(I7882&lt;=3,"small",I7882&lt;=6,"Medium",I7882&lt;=9,"Large")</f>
        <v>Large</v>
      </c>
      <c r="K7882" s="36">
        <v>45390</v>
      </c>
      <c r="L7882" s="36">
        <v>45395</v>
      </c>
      <c r="M7882" t="s">
        <v>612</v>
      </c>
      <c r="N7882" t="s">
        <v>608</v>
      </c>
      <c r="O7882" s="37" t="str">
        <f t="shared" si="618"/>
        <v>Cash Payment</v>
      </c>
      <c r="P7882">
        <v>480.61</v>
      </c>
      <c r="Q7882" s="37" t="str">
        <f>IF(P7882&gt;500,"High","low")</f>
        <v>low</v>
      </c>
      <c r="R7882" s="37" t="str">
        <f t="shared" si="619"/>
        <v>AVERAGE</v>
      </c>
      <c r="S7882" t="s">
        <v>615</v>
      </c>
    </row>
    <row r="7883" spans="1:19" x14ac:dyDescent="0.2">
      <c r="A7883" t="s">
        <v>8494</v>
      </c>
      <c r="B7883" t="s">
        <v>83</v>
      </c>
      <c r="C7883" t="s">
        <v>597</v>
      </c>
      <c r="D7883">
        <v>2057.9</v>
      </c>
      <c r="E7883" s="37" t="str">
        <f t="shared" si="615"/>
        <v xml:space="preserve"> </v>
      </c>
      <c r="F7883">
        <v>0.08</v>
      </c>
      <c r="G7883" s="37" t="str">
        <f t="shared" si="616"/>
        <v>Normal Discount</v>
      </c>
      <c r="H7883" s="37" t="str">
        <f t="shared" si="617"/>
        <v>Low</v>
      </c>
      <c r="I7883">
        <v>3</v>
      </c>
      <c r="J7883" t="str" cm="1">
        <f t="array" ref="J7883">_xlfn.IFS(I7883&lt;=3,"small",I7883&lt;=6,"Medium",I7883&lt;=9,"Large")</f>
        <v>small</v>
      </c>
      <c r="K7883" s="36">
        <v>44966</v>
      </c>
      <c r="L7883" s="36">
        <v>44967</v>
      </c>
      <c r="M7883" t="s">
        <v>603</v>
      </c>
      <c r="N7883" t="s">
        <v>599</v>
      </c>
      <c r="O7883" s="37" t="str">
        <f t="shared" si="618"/>
        <v>Digital Payment</v>
      </c>
      <c r="P7883">
        <v>371.63</v>
      </c>
      <c r="Q7883" s="37" t="str">
        <f>IF(P7883&gt;500,"High","low")</f>
        <v>low</v>
      </c>
      <c r="R7883" s="37" t="str">
        <f t="shared" si="619"/>
        <v>AVERAGE</v>
      </c>
      <c r="S7883" t="s">
        <v>605</v>
      </c>
    </row>
    <row r="7884" spans="1:19" x14ac:dyDescent="0.2">
      <c r="A7884" t="s">
        <v>8495</v>
      </c>
      <c r="B7884" t="s">
        <v>83</v>
      </c>
      <c r="C7884" t="s">
        <v>617</v>
      </c>
      <c r="D7884">
        <v>2160.89</v>
      </c>
      <c r="E7884" s="37" t="str">
        <f t="shared" si="615"/>
        <v xml:space="preserve"> </v>
      </c>
      <c r="F7884">
        <v>0.18</v>
      </c>
      <c r="G7884" s="37" t="str">
        <f t="shared" si="616"/>
        <v>Normal Discount</v>
      </c>
      <c r="H7884" s="37" t="str">
        <f t="shared" si="617"/>
        <v>Low</v>
      </c>
      <c r="I7884">
        <v>6</v>
      </c>
      <c r="J7884" t="str" cm="1">
        <f t="array" ref="J7884">_xlfn.IFS(I7884&lt;=3,"small",I7884&lt;=6,"Medium",I7884&lt;=9,"Large")</f>
        <v>Medium</v>
      </c>
      <c r="K7884" s="36">
        <v>45348</v>
      </c>
      <c r="L7884" s="36">
        <v>45354</v>
      </c>
      <c r="M7884" t="s">
        <v>598</v>
      </c>
      <c r="N7884" t="s">
        <v>608</v>
      </c>
      <c r="O7884" s="37" t="str">
        <f t="shared" si="618"/>
        <v>Cash Payment</v>
      </c>
      <c r="P7884">
        <v>124.15</v>
      </c>
      <c r="Q7884" s="37" t="str">
        <f>IF(P7884&gt;500,"High","low")</f>
        <v>low</v>
      </c>
      <c r="R7884" s="37" t="str">
        <f t="shared" si="619"/>
        <v>AVERAGE</v>
      </c>
      <c r="S7884" t="s">
        <v>628</v>
      </c>
    </row>
    <row r="7885" spans="1:19" x14ac:dyDescent="0.2">
      <c r="A7885" t="s">
        <v>8496</v>
      </c>
      <c r="B7885" t="s">
        <v>83</v>
      </c>
      <c r="C7885" t="s">
        <v>614</v>
      </c>
      <c r="D7885">
        <v>3199.87</v>
      </c>
      <c r="E7885" s="37" t="str">
        <f t="shared" si="615"/>
        <v xml:space="preserve"> </v>
      </c>
      <c r="F7885">
        <v>0.24</v>
      </c>
      <c r="G7885" s="37" t="str">
        <f t="shared" si="616"/>
        <v>Normal Discount</v>
      </c>
      <c r="H7885" s="37" t="str">
        <f t="shared" si="617"/>
        <v>Medium</v>
      </c>
      <c r="I7885">
        <v>9</v>
      </c>
      <c r="J7885" t="str" cm="1">
        <f t="array" ref="J7885">_xlfn.IFS(I7885&lt;=3,"small",I7885&lt;=6,"Medium",I7885&lt;=9,"Large")</f>
        <v>Large</v>
      </c>
      <c r="K7885" s="36">
        <v>44971</v>
      </c>
      <c r="L7885" s="36">
        <v>44978</v>
      </c>
      <c r="M7885" t="s">
        <v>603</v>
      </c>
      <c r="N7885" t="s">
        <v>608</v>
      </c>
      <c r="O7885" s="37" t="str">
        <f t="shared" si="618"/>
        <v>Cash Payment</v>
      </c>
      <c r="P7885">
        <v>926.61</v>
      </c>
      <c r="Q7885" s="37" t="str">
        <f>IF(P7885&gt;500,"High","low")</f>
        <v>High</v>
      </c>
      <c r="R7885" s="37" t="str">
        <f t="shared" si="619"/>
        <v>Good</v>
      </c>
      <c r="S7885" t="s">
        <v>609</v>
      </c>
    </row>
    <row r="7886" spans="1:19" x14ac:dyDescent="0.2">
      <c r="A7886" t="s">
        <v>8497</v>
      </c>
      <c r="B7886" t="s">
        <v>75</v>
      </c>
      <c r="C7886" t="s">
        <v>597</v>
      </c>
      <c r="D7886">
        <v>2576.58</v>
      </c>
      <c r="E7886" s="37" t="str">
        <f t="shared" si="615"/>
        <v xml:space="preserve"> </v>
      </c>
      <c r="F7886">
        <v>0.28000000000000003</v>
      </c>
      <c r="G7886" s="37" t="str">
        <f t="shared" si="616"/>
        <v>Normal Discount</v>
      </c>
      <c r="H7886" s="37" t="str">
        <f t="shared" si="617"/>
        <v>Medium</v>
      </c>
      <c r="I7886">
        <v>6</v>
      </c>
      <c r="J7886" t="str" cm="1">
        <f t="array" ref="J7886">_xlfn.IFS(I7886&lt;=3,"small",I7886&lt;=6,"Medium",I7886&lt;=9,"Large")</f>
        <v>Medium</v>
      </c>
      <c r="K7886" s="36">
        <v>45116</v>
      </c>
      <c r="L7886" s="36">
        <v>45120</v>
      </c>
      <c r="M7886" t="s">
        <v>598</v>
      </c>
      <c r="N7886" t="s">
        <v>608</v>
      </c>
      <c r="O7886" s="37" t="str">
        <f t="shared" si="618"/>
        <v>Cash Payment</v>
      </c>
      <c r="P7886">
        <v>714.62</v>
      </c>
      <c r="Q7886" s="37" t="str">
        <f>IF(P7886&gt;500,"High","low")</f>
        <v>High</v>
      </c>
      <c r="R7886" s="37" t="str">
        <f t="shared" si="619"/>
        <v>Good</v>
      </c>
      <c r="S7886" t="s">
        <v>605</v>
      </c>
    </row>
    <row r="7887" spans="1:19" x14ac:dyDescent="0.2">
      <c r="A7887" t="s">
        <v>8498</v>
      </c>
      <c r="B7887" t="s">
        <v>83</v>
      </c>
      <c r="C7887" t="s">
        <v>602</v>
      </c>
      <c r="D7887">
        <v>191.28</v>
      </c>
      <c r="E7887" s="37" t="str">
        <f t="shared" si="615"/>
        <v xml:space="preserve"> </v>
      </c>
      <c r="F7887">
        <v>0.08</v>
      </c>
      <c r="G7887" s="37" t="str">
        <f t="shared" si="616"/>
        <v>Normal Discount</v>
      </c>
      <c r="H7887" s="37" t="str">
        <f t="shared" si="617"/>
        <v>Low</v>
      </c>
      <c r="I7887">
        <v>9</v>
      </c>
      <c r="J7887" t="str" cm="1">
        <f t="array" ref="J7887">_xlfn.IFS(I7887&lt;=3,"small",I7887&lt;=6,"Medium",I7887&lt;=9,"Large")</f>
        <v>Large</v>
      </c>
      <c r="K7887" s="36">
        <v>45651</v>
      </c>
      <c r="L7887" s="36">
        <v>45658</v>
      </c>
      <c r="M7887" t="s">
        <v>612</v>
      </c>
      <c r="N7887" t="s">
        <v>604</v>
      </c>
      <c r="O7887" s="37" t="str">
        <f t="shared" si="618"/>
        <v>Digital Payment</v>
      </c>
      <c r="P7887">
        <v>20.84</v>
      </c>
      <c r="Q7887" s="37" t="str">
        <f>IF(P7887&gt;500,"High","low")</f>
        <v>low</v>
      </c>
      <c r="R7887" s="37" t="str">
        <f t="shared" si="619"/>
        <v>AVERAGE</v>
      </c>
      <c r="S7887" t="s">
        <v>615</v>
      </c>
    </row>
    <row r="7888" spans="1:19" x14ac:dyDescent="0.2">
      <c r="A7888" t="s">
        <v>8499</v>
      </c>
      <c r="B7888" t="s">
        <v>83</v>
      </c>
      <c r="C7888" t="s">
        <v>602</v>
      </c>
      <c r="D7888">
        <v>656.56</v>
      </c>
      <c r="E7888" s="37" t="str">
        <f t="shared" si="615"/>
        <v xml:space="preserve"> </v>
      </c>
      <c r="F7888">
        <v>0.39</v>
      </c>
      <c r="G7888" s="37" t="str">
        <f t="shared" si="616"/>
        <v>Heavy Discount</v>
      </c>
      <c r="H7888" s="37" t="str">
        <f t="shared" si="617"/>
        <v>Medium</v>
      </c>
      <c r="I7888">
        <v>8</v>
      </c>
      <c r="J7888" t="str" cm="1">
        <f t="array" ref="J7888">_xlfn.IFS(I7888&lt;=3,"small",I7888&lt;=6,"Medium",I7888&lt;=9,"Large")</f>
        <v>Large</v>
      </c>
      <c r="K7888" s="36">
        <v>45136</v>
      </c>
      <c r="L7888" s="36">
        <v>45141</v>
      </c>
      <c r="M7888" t="s">
        <v>612</v>
      </c>
      <c r="N7888" t="s">
        <v>608</v>
      </c>
      <c r="O7888" s="37" t="str">
        <f t="shared" si="618"/>
        <v>Cash Payment</v>
      </c>
      <c r="P7888">
        <v>92.88</v>
      </c>
      <c r="Q7888" s="37" t="str">
        <f>IF(P7888&gt;500,"High","low")</f>
        <v>low</v>
      </c>
      <c r="R7888" s="37" t="str">
        <f t="shared" si="619"/>
        <v>AVERAGE</v>
      </c>
      <c r="S7888" t="s">
        <v>620</v>
      </c>
    </row>
    <row r="7889" spans="1:19" x14ac:dyDescent="0.2">
      <c r="A7889" t="s">
        <v>8500</v>
      </c>
      <c r="B7889" t="s">
        <v>83</v>
      </c>
      <c r="C7889" t="s">
        <v>614</v>
      </c>
      <c r="D7889">
        <v>2949.84</v>
      </c>
      <c r="E7889" s="37" t="str">
        <f t="shared" si="615"/>
        <v xml:space="preserve"> </v>
      </c>
      <c r="F7889">
        <v>0.16</v>
      </c>
      <c r="G7889" s="37" t="str">
        <f t="shared" si="616"/>
        <v>Normal Discount</v>
      </c>
      <c r="H7889" s="37" t="str">
        <f t="shared" si="617"/>
        <v>Low</v>
      </c>
      <c r="I7889">
        <v>9</v>
      </c>
      <c r="J7889" t="str" cm="1">
        <f t="array" ref="J7889">_xlfn.IFS(I7889&lt;=3,"small",I7889&lt;=6,"Medium",I7889&lt;=9,"Large")</f>
        <v>Large</v>
      </c>
      <c r="K7889" s="36">
        <v>45543</v>
      </c>
      <c r="L7889" s="36">
        <v>45546</v>
      </c>
      <c r="M7889" t="s">
        <v>612</v>
      </c>
      <c r="N7889" t="s">
        <v>599</v>
      </c>
      <c r="O7889" s="37" t="str">
        <f t="shared" si="618"/>
        <v>Digital Payment</v>
      </c>
      <c r="P7889">
        <v>683.47</v>
      </c>
      <c r="Q7889" s="37" t="str">
        <f>IF(P7889&gt;500,"High","low")</f>
        <v>High</v>
      </c>
      <c r="R7889" s="37" t="str">
        <f t="shared" si="619"/>
        <v>Good</v>
      </c>
      <c r="S7889" t="s">
        <v>609</v>
      </c>
    </row>
    <row r="7890" spans="1:19" x14ac:dyDescent="0.2">
      <c r="A7890" t="s">
        <v>8501</v>
      </c>
      <c r="B7890" t="s">
        <v>90</v>
      </c>
      <c r="C7890" t="s">
        <v>614</v>
      </c>
      <c r="D7890">
        <v>3988.95</v>
      </c>
      <c r="E7890" s="37" t="str">
        <f t="shared" si="615"/>
        <v xml:space="preserve"> </v>
      </c>
      <c r="F7890">
        <v>0.46</v>
      </c>
      <c r="G7890" s="37" t="str">
        <f t="shared" si="616"/>
        <v>Heavy Discount</v>
      </c>
      <c r="H7890" s="37" t="str">
        <f t="shared" si="617"/>
        <v>High</v>
      </c>
      <c r="I7890">
        <v>9</v>
      </c>
      <c r="J7890" t="str" cm="1">
        <f t="array" ref="J7890">_xlfn.IFS(I7890&lt;=3,"small",I7890&lt;=6,"Medium",I7890&lt;=9,"Large")</f>
        <v>Large</v>
      </c>
      <c r="K7890" s="36">
        <v>45533</v>
      </c>
      <c r="L7890" s="36">
        <v>45538</v>
      </c>
      <c r="M7890" t="s">
        <v>603</v>
      </c>
      <c r="N7890" t="s">
        <v>604</v>
      </c>
      <c r="O7890" s="37" t="str">
        <f t="shared" si="618"/>
        <v>Digital Payment</v>
      </c>
      <c r="P7890">
        <v>216.6</v>
      </c>
      <c r="Q7890" s="37" t="str">
        <f>IF(P7890&gt;500,"High","low")</f>
        <v>low</v>
      </c>
      <c r="R7890" s="37" t="str">
        <f t="shared" si="619"/>
        <v>AVERAGE</v>
      </c>
      <c r="S7890" t="s">
        <v>600</v>
      </c>
    </row>
    <row r="7891" spans="1:19" x14ac:dyDescent="0.2">
      <c r="A7891" t="s">
        <v>8502</v>
      </c>
      <c r="B7891" t="s">
        <v>90</v>
      </c>
      <c r="C7891" t="s">
        <v>614</v>
      </c>
      <c r="D7891">
        <v>3839.21</v>
      </c>
      <c r="E7891" s="37" t="str">
        <f t="shared" si="615"/>
        <v xml:space="preserve"> </v>
      </c>
      <c r="F7891">
        <v>0.16</v>
      </c>
      <c r="G7891" s="37" t="str">
        <f t="shared" si="616"/>
        <v>Normal Discount</v>
      </c>
      <c r="H7891" s="37" t="str">
        <f t="shared" si="617"/>
        <v>Low</v>
      </c>
      <c r="I7891">
        <v>8</v>
      </c>
      <c r="J7891" t="str" cm="1">
        <f t="array" ref="J7891">_xlfn.IFS(I7891&lt;=3,"small",I7891&lt;=6,"Medium",I7891&lt;=9,"Large")</f>
        <v>Large</v>
      </c>
      <c r="K7891" s="36">
        <v>45504</v>
      </c>
      <c r="L7891" s="36">
        <v>45507</v>
      </c>
      <c r="M7891" t="s">
        <v>612</v>
      </c>
      <c r="N7891" t="s">
        <v>608</v>
      </c>
      <c r="O7891" s="37" t="str">
        <f t="shared" si="618"/>
        <v>Cash Payment</v>
      </c>
      <c r="P7891">
        <v>407.83</v>
      </c>
      <c r="Q7891" s="37" t="str">
        <f>IF(P7891&gt;500,"High","low")</f>
        <v>low</v>
      </c>
      <c r="R7891" s="37" t="str">
        <f t="shared" si="619"/>
        <v>AVERAGE</v>
      </c>
      <c r="S7891" t="s">
        <v>609</v>
      </c>
    </row>
    <row r="7892" spans="1:19" x14ac:dyDescent="0.2">
      <c r="A7892" t="s">
        <v>8503</v>
      </c>
      <c r="B7892" t="s">
        <v>75</v>
      </c>
      <c r="C7892" t="s">
        <v>607</v>
      </c>
      <c r="D7892">
        <v>3726.28</v>
      </c>
      <c r="E7892" s="37" t="str">
        <f t="shared" si="615"/>
        <v xml:space="preserve"> </v>
      </c>
      <c r="F7892">
        <v>0.43</v>
      </c>
      <c r="G7892" s="37" t="str">
        <f t="shared" si="616"/>
        <v>Heavy Discount</v>
      </c>
      <c r="H7892" s="37" t="str">
        <f t="shared" si="617"/>
        <v>High</v>
      </c>
      <c r="I7892">
        <v>9</v>
      </c>
      <c r="J7892" t="str" cm="1">
        <f t="array" ref="J7892">_xlfn.IFS(I7892&lt;=3,"small",I7892&lt;=6,"Medium",I7892&lt;=9,"Large")</f>
        <v>Large</v>
      </c>
      <c r="K7892" s="36">
        <v>44950</v>
      </c>
      <c r="L7892" s="36">
        <v>44951</v>
      </c>
      <c r="M7892" t="s">
        <v>598</v>
      </c>
      <c r="N7892" t="s">
        <v>599</v>
      </c>
      <c r="O7892" s="37" t="str">
        <f t="shared" si="618"/>
        <v>Digital Payment</v>
      </c>
      <c r="P7892">
        <v>664.08</v>
      </c>
      <c r="Q7892" s="37" t="str">
        <f>IF(P7892&gt;500,"High","low")</f>
        <v>High</v>
      </c>
      <c r="R7892" s="37" t="str">
        <f t="shared" si="619"/>
        <v>Good</v>
      </c>
      <c r="S7892" t="s">
        <v>600</v>
      </c>
    </row>
    <row r="7893" spans="1:19" x14ac:dyDescent="0.2">
      <c r="A7893" t="s">
        <v>8504</v>
      </c>
      <c r="B7893" t="s">
        <v>75</v>
      </c>
      <c r="C7893" t="s">
        <v>617</v>
      </c>
      <c r="D7893">
        <v>3879.24</v>
      </c>
      <c r="E7893" s="37" t="str">
        <f t="shared" si="615"/>
        <v xml:space="preserve"> </v>
      </c>
      <c r="F7893">
        <v>0.18</v>
      </c>
      <c r="G7893" s="37" t="str">
        <f t="shared" si="616"/>
        <v>Normal Discount</v>
      </c>
      <c r="H7893" s="37" t="str">
        <f t="shared" si="617"/>
        <v>Low</v>
      </c>
      <c r="I7893">
        <v>7</v>
      </c>
      <c r="J7893" t="str" cm="1">
        <f t="array" ref="J7893">_xlfn.IFS(I7893&lt;=3,"small",I7893&lt;=6,"Medium",I7893&lt;=9,"Large")</f>
        <v>Large</v>
      </c>
      <c r="K7893" s="36">
        <v>45308</v>
      </c>
      <c r="L7893" s="36">
        <v>45311</v>
      </c>
      <c r="M7893" t="s">
        <v>598</v>
      </c>
      <c r="N7893" t="s">
        <v>599</v>
      </c>
      <c r="O7893" s="37" t="str">
        <f t="shared" si="618"/>
        <v>Digital Payment</v>
      </c>
      <c r="P7893">
        <v>545.98</v>
      </c>
      <c r="Q7893" s="37" t="str">
        <f>IF(P7893&gt;500,"High","low")</f>
        <v>High</v>
      </c>
      <c r="R7893" s="37" t="str">
        <f t="shared" si="619"/>
        <v>Good</v>
      </c>
      <c r="S7893" t="s">
        <v>615</v>
      </c>
    </row>
    <row r="7894" spans="1:19" x14ac:dyDescent="0.2">
      <c r="A7894" t="s">
        <v>8505</v>
      </c>
      <c r="B7894" t="s">
        <v>83</v>
      </c>
      <c r="C7894" t="s">
        <v>597</v>
      </c>
      <c r="D7894">
        <v>317.77</v>
      </c>
      <c r="E7894" s="37" t="str">
        <f t="shared" si="615"/>
        <v xml:space="preserve"> </v>
      </c>
      <c r="F7894">
        <v>0.25</v>
      </c>
      <c r="G7894" s="37" t="str">
        <f t="shared" si="616"/>
        <v>Normal Discount</v>
      </c>
      <c r="H7894" s="37" t="str">
        <f t="shared" si="617"/>
        <v>Medium</v>
      </c>
      <c r="I7894">
        <v>7</v>
      </c>
      <c r="J7894" t="str" cm="1">
        <f t="array" ref="J7894">_xlfn.IFS(I7894&lt;=3,"small",I7894&lt;=6,"Medium",I7894&lt;=9,"Large")</f>
        <v>Large</v>
      </c>
      <c r="K7894" s="36">
        <v>45420</v>
      </c>
      <c r="L7894" s="36">
        <v>45422</v>
      </c>
      <c r="M7894" t="s">
        <v>603</v>
      </c>
      <c r="N7894" t="s">
        <v>608</v>
      </c>
      <c r="O7894" s="37" t="str">
        <f t="shared" si="618"/>
        <v>Cash Payment</v>
      </c>
      <c r="P7894">
        <v>24.66</v>
      </c>
      <c r="Q7894" s="37" t="str">
        <f>IF(P7894&gt;500,"High","low")</f>
        <v>low</v>
      </c>
      <c r="R7894" s="37" t="str">
        <f t="shared" si="619"/>
        <v>AVERAGE</v>
      </c>
      <c r="S7894" t="s">
        <v>615</v>
      </c>
    </row>
    <row r="7895" spans="1:19" x14ac:dyDescent="0.2">
      <c r="A7895" t="s">
        <v>8506</v>
      </c>
      <c r="B7895" t="s">
        <v>90</v>
      </c>
      <c r="C7895" t="s">
        <v>602</v>
      </c>
      <c r="D7895">
        <v>4486</v>
      </c>
      <c r="E7895" s="37" t="str">
        <f t="shared" si="615"/>
        <v>Excellent Order</v>
      </c>
      <c r="F7895">
        <v>0.19</v>
      </c>
      <c r="G7895" s="37" t="str">
        <f t="shared" si="616"/>
        <v>Normal Discount</v>
      </c>
      <c r="H7895" s="37" t="str">
        <f t="shared" si="617"/>
        <v>Low</v>
      </c>
      <c r="I7895">
        <v>4</v>
      </c>
      <c r="J7895" t="str" cm="1">
        <f t="array" ref="J7895">_xlfn.IFS(I7895&lt;=3,"small",I7895&lt;=6,"Medium",I7895&lt;=9,"Large")</f>
        <v>Medium</v>
      </c>
      <c r="K7895" s="36">
        <v>45263</v>
      </c>
      <c r="L7895" s="36">
        <v>45265</v>
      </c>
      <c r="M7895" t="s">
        <v>603</v>
      </c>
      <c r="N7895" t="s">
        <v>608</v>
      </c>
      <c r="O7895" s="37" t="str">
        <f t="shared" si="618"/>
        <v>Cash Payment</v>
      </c>
      <c r="P7895">
        <v>846.62</v>
      </c>
      <c r="Q7895" s="37" t="str">
        <f>IF(P7895&gt;500,"High","low")</f>
        <v>High</v>
      </c>
      <c r="R7895" s="37" t="str">
        <f t="shared" si="619"/>
        <v>Good</v>
      </c>
      <c r="S7895" t="s">
        <v>628</v>
      </c>
    </row>
    <row r="7896" spans="1:19" x14ac:dyDescent="0.2">
      <c r="A7896" t="s">
        <v>8507</v>
      </c>
      <c r="B7896" t="s">
        <v>67</v>
      </c>
      <c r="C7896" t="s">
        <v>602</v>
      </c>
      <c r="D7896">
        <v>4457.49</v>
      </c>
      <c r="E7896" s="37" t="str">
        <f t="shared" si="615"/>
        <v>Excellent Order</v>
      </c>
      <c r="F7896">
        <v>0.19</v>
      </c>
      <c r="G7896" s="37" t="str">
        <f t="shared" si="616"/>
        <v>Normal Discount</v>
      </c>
      <c r="H7896" s="37" t="str">
        <f t="shared" si="617"/>
        <v>Low</v>
      </c>
      <c r="I7896">
        <v>1</v>
      </c>
      <c r="J7896" t="str" cm="1">
        <f t="array" ref="J7896">_xlfn.IFS(I7896&lt;=3,"small",I7896&lt;=6,"Medium",I7896&lt;=9,"Large")</f>
        <v>small</v>
      </c>
      <c r="K7896" s="36">
        <v>45426</v>
      </c>
      <c r="L7896" s="36">
        <v>45428</v>
      </c>
      <c r="M7896" t="s">
        <v>603</v>
      </c>
      <c r="N7896" t="s">
        <v>604</v>
      </c>
      <c r="O7896" s="37" t="str">
        <f t="shared" si="618"/>
        <v>Digital Payment</v>
      </c>
      <c r="P7896">
        <v>1139.22</v>
      </c>
      <c r="Q7896" s="37" t="str">
        <f>IF(P7896&gt;500,"High","low")</f>
        <v>High</v>
      </c>
      <c r="R7896" s="37" t="str">
        <f t="shared" si="619"/>
        <v>Excellent</v>
      </c>
      <c r="S7896" t="s">
        <v>628</v>
      </c>
    </row>
    <row r="7897" spans="1:19" x14ac:dyDescent="0.2">
      <c r="A7897" t="s">
        <v>8508</v>
      </c>
      <c r="B7897" t="s">
        <v>67</v>
      </c>
      <c r="C7897" t="s">
        <v>617</v>
      </c>
      <c r="D7897">
        <v>2706.43</v>
      </c>
      <c r="E7897" s="37" t="str">
        <f t="shared" si="615"/>
        <v xml:space="preserve"> </v>
      </c>
      <c r="F7897">
        <v>0.31</v>
      </c>
      <c r="G7897" s="37" t="str">
        <f t="shared" si="616"/>
        <v>Heavy Discount</v>
      </c>
      <c r="H7897" s="37" t="str">
        <f t="shared" si="617"/>
        <v>Medium</v>
      </c>
      <c r="I7897">
        <v>7</v>
      </c>
      <c r="J7897" t="str" cm="1">
        <f t="array" ref="J7897">_xlfn.IFS(I7897&lt;=3,"small",I7897&lt;=6,"Medium",I7897&lt;=9,"Large")</f>
        <v>Large</v>
      </c>
      <c r="K7897" s="36">
        <v>45411</v>
      </c>
      <c r="L7897" s="36">
        <v>45413</v>
      </c>
      <c r="M7897" t="s">
        <v>598</v>
      </c>
      <c r="N7897" t="s">
        <v>608</v>
      </c>
      <c r="O7897" s="37" t="str">
        <f t="shared" si="618"/>
        <v>Cash Payment</v>
      </c>
      <c r="P7897">
        <v>291.73</v>
      </c>
      <c r="Q7897" s="37" t="str">
        <f>IF(P7897&gt;500,"High","low")</f>
        <v>low</v>
      </c>
      <c r="R7897" s="37" t="str">
        <f t="shared" si="619"/>
        <v>AVERAGE</v>
      </c>
      <c r="S7897" t="s">
        <v>620</v>
      </c>
    </row>
    <row r="7898" spans="1:19" x14ac:dyDescent="0.2">
      <c r="A7898" t="s">
        <v>8509</v>
      </c>
      <c r="B7898" t="s">
        <v>83</v>
      </c>
      <c r="C7898" t="s">
        <v>614</v>
      </c>
      <c r="D7898">
        <v>1318.11</v>
      </c>
      <c r="E7898" s="37" t="str">
        <f t="shared" si="615"/>
        <v xml:space="preserve"> </v>
      </c>
      <c r="F7898">
        <v>0.35</v>
      </c>
      <c r="G7898" s="37" t="str">
        <f t="shared" si="616"/>
        <v>Heavy Discount</v>
      </c>
      <c r="H7898" s="37" t="str">
        <f t="shared" si="617"/>
        <v>Medium</v>
      </c>
      <c r="I7898">
        <v>8</v>
      </c>
      <c r="J7898" t="str" cm="1">
        <f t="array" ref="J7898">_xlfn.IFS(I7898&lt;=3,"small",I7898&lt;=6,"Medium",I7898&lt;=9,"Large")</f>
        <v>Large</v>
      </c>
      <c r="K7898" s="36">
        <v>45568</v>
      </c>
      <c r="L7898" s="36">
        <v>45569</v>
      </c>
      <c r="M7898" t="s">
        <v>612</v>
      </c>
      <c r="N7898" t="s">
        <v>604</v>
      </c>
      <c r="O7898" s="37" t="str">
        <f t="shared" si="618"/>
        <v>Digital Payment</v>
      </c>
      <c r="P7898">
        <v>139.26</v>
      </c>
      <c r="Q7898" s="37" t="str">
        <f>IF(P7898&gt;500,"High","low")</f>
        <v>low</v>
      </c>
      <c r="R7898" s="37" t="str">
        <f t="shared" si="619"/>
        <v>AVERAGE</v>
      </c>
      <c r="S7898" t="s">
        <v>620</v>
      </c>
    </row>
    <row r="7899" spans="1:19" x14ac:dyDescent="0.2">
      <c r="A7899" t="s">
        <v>8510</v>
      </c>
      <c r="B7899" t="s">
        <v>83</v>
      </c>
      <c r="C7899" t="s">
        <v>614</v>
      </c>
      <c r="D7899">
        <v>3001.67</v>
      </c>
      <c r="E7899" s="37" t="str">
        <f t="shared" si="615"/>
        <v xml:space="preserve"> </v>
      </c>
      <c r="F7899">
        <v>0.44</v>
      </c>
      <c r="G7899" s="37" t="str">
        <f t="shared" si="616"/>
        <v>Heavy Discount</v>
      </c>
      <c r="H7899" s="37" t="str">
        <f t="shared" si="617"/>
        <v>High</v>
      </c>
      <c r="I7899">
        <v>9</v>
      </c>
      <c r="J7899" t="str" cm="1">
        <f t="array" ref="J7899">_xlfn.IFS(I7899&lt;=3,"small",I7899&lt;=6,"Medium",I7899&lt;=9,"Large")</f>
        <v>Large</v>
      </c>
      <c r="K7899" s="36">
        <v>45464</v>
      </c>
      <c r="L7899" s="36">
        <v>45471</v>
      </c>
      <c r="M7899" t="s">
        <v>598</v>
      </c>
      <c r="N7899" t="s">
        <v>604</v>
      </c>
      <c r="O7899" s="37" t="str">
        <f t="shared" si="618"/>
        <v>Digital Payment</v>
      </c>
      <c r="P7899">
        <v>203.15</v>
      </c>
      <c r="Q7899" s="37" t="str">
        <f>IF(P7899&gt;500,"High","low")</f>
        <v>low</v>
      </c>
      <c r="R7899" s="37" t="str">
        <f t="shared" si="619"/>
        <v>AVERAGE</v>
      </c>
      <c r="S7899" t="s">
        <v>620</v>
      </c>
    </row>
    <row r="7900" spans="1:19" x14ac:dyDescent="0.2">
      <c r="A7900" t="s">
        <v>8511</v>
      </c>
      <c r="B7900" t="s">
        <v>90</v>
      </c>
      <c r="C7900" t="s">
        <v>602</v>
      </c>
      <c r="D7900">
        <v>2833.64</v>
      </c>
      <c r="E7900" s="37" t="str">
        <f t="shared" si="615"/>
        <v xml:space="preserve"> </v>
      </c>
      <c r="F7900">
        <v>0.28000000000000003</v>
      </c>
      <c r="G7900" s="37" t="str">
        <f t="shared" si="616"/>
        <v>Normal Discount</v>
      </c>
      <c r="H7900" s="37" t="str">
        <f t="shared" si="617"/>
        <v>Medium</v>
      </c>
      <c r="I7900">
        <v>1</v>
      </c>
      <c r="J7900" t="str" cm="1">
        <f t="array" ref="J7900">_xlfn.IFS(I7900&lt;=3,"small",I7900&lt;=6,"Medium",I7900&lt;=9,"Large")</f>
        <v>small</v>
      </c>
      <c r="K7900" s="36">
        <v>44970</v>
      </c>
      <c r="L7900" s="36">
        <v>44973</v>
      </c>
      <c r="M7900" t="s">
        <v>603</v>
      </c>
      <c r="N7900" t="s">
        <v>608</v>
      </c>
      <c r="O7900" s="37" t="str">
        <f t="shared" si="618"/>
        <v>Cash Payment</v>
      </c>
      <c r="P7900">
        <v>534.34</v>
      </c>
      <c r="Q7900" s="37" t="str">
        <f>IF(P7900&gt;500,"High","low")</f>
        <v>High</v>
      </c>
      <c r="R7900" s="37" t="str">
        <f t="shared" si="619"/>
        <v>Good</v>
      </c>
      <c r="S7900" t="s">
        <v>609</v>
      </c>
    </row>
    <row r="7901" spans="1:19" x14ac:dyDescent="0.2">
      <c r="A7901" t="s">
        <v>8512</v>
      </c>
      <c r="B7901" t="s">
        <v>90</v>
      </c>
      <c r="C7901" t="s">
        <v>617</v>
      </c>
      <c r="D7901">
        <v>1192.49</v>
      </c>
      <c r="E7901" s="37" t="str">
        <f t="shared" si="615"/>
        <v xml:space="preserve"> </v>
      </c>
      <c r="F7901">
        <v>0.11</v>
      </c>
      <c r="G7901" s="37" t="str">
        <f t="shared" si="616"/>
        <v>Normal Discount</v>
      </c>
      <c r="H7901" s="37" t="str">
        <f t="shared" si="617"/>
        <v>Low</v>
      </c>
      <c r="I7901">
        <v>9</v>
      </c>
      <c r="J7901" t="str" cm="1">
        <f t="array" ref="J7901">_xlfn.IFS(I7901&lt;=3,"small",I7901&lt;=6,"Medium",I7901&lt;=9,"Large")</f>
        <v>Large</v>
      </c>
      <c r="K7901" s="36">
        <v>45439</v>
      </c>
      <c r="L7901" s="36">
        <v>45445</v>
      </c>
      <c r="M7901" t="s">
        <v>598</v>
      </c>
      <c r="N7901" t="s">
        <v>599</v>
      </c>
      <c r="O7901" s="37" t="str">
        <f t="shared" si="618"/>
        <v>Digital Payment</v>
      </c>
      <c r="P7901">
        <v>180.27</v>
      </c>
      <c r="Q7901" s="37" t="str">
        <f>IF(P7901&gt;500,"High","low")</f>
        <v>low</v>
      </c>
      <c r="R7901" s="37" t="str">
        <f t="shared" si="619"/>
        <v>AVERAGE</v>
      </c>
      <c r="S7901" t="s">
        <v>628</v>
      </c>
    </row>
    <row r="7902" spans="1:19" x14ac:dyDescent="0.2">
      <c r="A7902" t="s">
        <v>8513</v>
      </c>
      <c r="B7902" t="s">
        <v>90</v>
      </c>
      <c r="C7902" t="s">
        <v>602</v>
      </c>
      <c r="D7902">
        <v>3055.34</v>
      </c>
      <c r="E7902" s="37" t="str">
        <f t="shared" si="615"/>
        <v xml:space="preserve"> </v>
      </c>
      <c r="F7902">
        <v>0.49</v>
      </c>
      <c r="G7902" s="37" t="str">
        <f t="shared" si="616"/>
        <v>Heavy Discount</v>
      </c>
      <c r="H7902" s="37" t="str">
        <f t="shared" si="617"/>
        <v>High</v>
      </c>
      <c r="I7902">
        <v>7</v>
      </c>
      <c r="J7902" t="str" cm="1">
        <f t="array" ref="J7902">_xlfn.IFS(I7902&lt;=3,"small",I7902&lt;=6,"Medium",I7902&lt;=9,"Large")</f>
        <v>Large</v>
      </c>
      <c r="K7902" s="36">
        <v>45568</v>
      </c>
      <c r="L7902" s="36">
        <v>45572</v>
      </c>
      <c r="M7902" t="s">
        <v>612</v>
      </c>
      <c r="N7902" t="s">
        <v>599</v>
      </c>
      <c r="O7902" s="37" t="str">
        <f t="shared" si="618"/>
        <v>Digital Payment</v>
      </c>
      <c r="P7902">
        <v>635.49</v>
      </c>
      <c r="Q7902" s="37" t="str">
        <f>IF(P7902&gt;500,"High","low")</f>
        <v>High</v>
      </c>
      <c r="R7902" s="37" t="str">
        <f t="shared" si="619"/>
        <v>Good</v>
      </c>
      <c r="S7902" t="s">
        <v>605</v>
      </c>
    </row>
    <row r="7903" spans="1:19" x14ac:dyDescent="0.2">
      <c r="A7903" t="s">
        <v>8514</v>
      </c>
      <c r="B7903" t="s">
        <v>75</v>
      </c>
      <c r="C7903" t="s">
        <v>614</v>
      </c>
      <c r="D7903">
        <v>4006.74</v>
      </c>
      <c r="E7903" s="37" t="str">
        <f t="shared" si="615"/>
        <v xml:space="preserve"> </v>
      </c>
      <c r="F7903">
        <v>0.34</v>
      </c>
      <c r="G7903" s="37" t="str">
        <f t="shared" si="616"/>
        <v>Heavy Discount</v>
      </c>
      <c r="H7903" s="37" t="str">
        <f t="shared" si="617"/>
        <v>Medium</v>
      </c>
      <c r="I7903">
        <v>7</v>
      </c>
      <c r="J7903" t="str" cm="1">
        <f t="array" ref="J7903">_xlfn.IFS(I7903&lt;=3,"small",I7903&lt;=6,"Medium",I7903&lt;=9,"Large")</f>
        <v>Large</v>
      </c>
      <c r="K7903" s="36">
        <v>45151</v>
      </c>
      <c r="L7903" s="36">
        <v>45153</v>
      </c>
      <c r="M7903" t="s">
        <v>612</v>
      </c>
      <c r="N7903" t="s">
        <v>599</v>
      </c>
      <c r="O7903" s="37" t="str">
        <f t="shared" si="618"/>
        <v>Digital Payment</v>
      </c>
      <c r="P7903">
        <v>235.11</v>
      </c>
      <c r="Q7903" s="37" t="str">
        <f>IF(P7903&gt;500,"High","low")</f>
        <v>low</v>
      </c>
      <c r="R7903" s="37" t="str">
        <f t="shared" si="619"/>
        <v>AVERAGE</v>
      </c>
      <c r="S7903" t="s">
        <v>615</v>
      </c>
    </row>
    <row r="7904" spans="1:19" x14ac:dyDescent="0.2">
      <c r="A7904" t="s">
        <v>8515</v>
      </c>
      <c r="B7904" t="s">
        <v>75</v>
      </c>
      <c r="C7904" t="s">
        <v>597</v>
      </c>
      <c r="D7904">
        <v>4049.92</v>
      </c>
      <c r="E7904" s="37" t="str">
        <f t="shared" si="615"/>
        <v>Excellent Order</v>
      </c>
      <c r="F7904">
        <v>0.19</v>
      </c>
      <c r="G7904" s="37" t="str">
        <f t="shared" si="616"/>
        <v>Normal Discount</v>
      </c>
      <c r="H7904" s="37" t="str">
        <f t="shared" si="617"/>
        <v>Low</v>
      </c>
      <c r="I7904">
        <v>3</v>
      </c>
      <c r="J7904" t="str" cm="1">
        <f t="array" ref="J7904">_xlfn.IFS(I7904&lt;=3,"small",I7904&lt;=6,"Medium",I7904&lt;=9,"Large")</f>
        <v>small</v>
      </c>
      <c r="K7904" s="36">
        <v>45340</v>
      </c>
      <c r="L7904" s="36">
        <v>45342</v>
      </c>
      <c r="M7904" t="s">
        <v>603</v>
      </c>
      <c r="N7904" t="s">
        <v>608</v>
      </c>
      <c r="O7904" s="37" t="str">
        <f t="shared" si="618"/>
        <v>Cash Payment</v>
      </c>
      <c r="P7904">
        <v>850.55</v>
      </c>
      <c r="Q7904" s="37" t="str">
        <f>IF(P7904&gt;500,"High","low")</f>
        <v>High</v>
      </c>
      <c r="R7904" s="37" t="str">
        <f t="shared" si="619"/>
        <v>Good</v>
      </c>
      <c r="S7904" t="s">
        <v>628</v>
      </c>
    </row>
    <row r="7905" spans="1:19" x14ac:dyDescent="0.2">
      <c r="A7905" t="s">
        <v>8516</v>
      </c>
      <c r="B7905" t="s">
        <v>83</v>
      </c>
      <c r="C7905" t="s">
        <v>614</v>
      </c>
      <c r="D7905">
        <v>392.52</v>
      </c>
      <c r="E7905" s="37" t="str">
        <f t="shared" si="615"/>
        <v xml:space="preserve"> </v>
      </c>
      <c r="F7905">
        <v>0.48</v>
      </c>
      <c r="G7905" s="37" t="str">
        <f t="shared" si="616"/>
        <v>Heavy Discount</v>
      </c>
      <c r="H7905" s="37" t="str">
        <f t="shared" si="617"/>
        <v>High</v>
      </c>
      <c r="I7905">
        <v>1</v>
      </c>
      <c r="J7905" t="str" cm="1">
        <f t="array" ref="J7905">_xlfn.IFS(I7905&lt;=3,"small",I7905&lt;=6,"Medium",I7905&lt;=9,"Large")</f>
        <v>small</v>
      </c>
      <c r="K7905" s="36">
        <v>45472</v>
      </c>
      <c r="L7905" s="36">
        <v>45479</v>
      </c>
      <c r="M7905" t="s">
        <v>598</v>
      </c>
      <c r="N7905" t="s">
        <v>604</v>
      </c>
      <c r="O7905" s="37" t="str">
        <f t="shared" si="618"/>
        <v>Digital Payment</v>
      </c>
      <c r="P7905">
        <v>111.06</v>
      </c>
      <c r="Q7905" s="37" t="str">
        <f>IF(P7905&gt;500,"High","low")</f>
        <v>low</v>
      </c>
      <c r="R7905" s="37" t="str">
        <f t="shared" si="619"/>
        <v>AVERAGE</v>
      </c>
      <c r="S7905" t="s">
        <v>628</v>
      </c>
    </row>
    <row r="7906" spans="1:19" x14ac:dyDescent="0.2">
      <c r="A7906" t="s">
        <v>8517</v>
      </c>
      <c r="B7906" t="s">
        <v>75</v>
      </c>
      <c r="C7906" t="s">
        <v>597</v>
      </c>
      <c r="D7906">
        <v>1066.0999999999999</v>
      </c>
      <c r="E7906" s="37" t="str">
        <f t="shared" si="615"/>
        <v xml:space="preserve"> </v>
      </c>
      <c r="F7906">
        <v>0.48</v>
      </c>
      <c r="G7906" s="37" t="str">
        <f t="shared" si="616"/>
        <v>Heavy Discount</v>
      </c>
      <c r="H7906" s="37" t="str">
        <f t="shared" si="617"/>
        <v>High</v>
      </c>
      <c r="I7906">
        <v>7</v>
      </c>
      <c r="J7906" t="str" cm="1">
        <f t="array" ref="J7906">_xlfn.IFS(I7906&lt;=3,"small",I7906&lt;=6,"Medium",I7906&lt;=9,"Large")</f>
        <v>Large</v>
      </c>
      <c r="K7906" s="36">
        <v>45273</v>
      </c>
      <c r="L7906" s="36">
        <v>45278</v>
      </c>
      <c r="M7906" t="s">
        <v>603</v>
      </c>
      <c r="N7906" t="s">
        <v>599</v>
      </c>
      <c r="O7906" s="37" t="str">
        <f t="shared" si="618"/>
        <v>Digital Payment</v>
      </c>
      <c r="P7906">
        <v>272.33999999999997</v>
      </c>
      <c r="Q7906" s="37" t="str">
        <f>IF(P7906&gt;500,"High","low")</f>
        <v>low</v>
      </c>
      <c r="R7906" s="37" t="str">
        <f t="shared" si="619"/>
        <v>AVERAGE</v>
      </c>
      <c r="S7906" t="s">
        <v>605</v>
      </c>
    </row>
    <row r="7907" spans="1:19" x14ac:dyDescent="0.2">
      <c r="A7907" t="s">
        <v>8518</v>
      </c>
      <c r="B7907" t="s">
        <v>90</v>
      </c>
      <c r="C7907" t="s">
        <v>607</v>
      </c>
      <c r="D7907">
        <v>3374.29</v>
      </c>
      <c r="E7907" s="37" t="str">
        <f t="shared" si="615"/>
        <v xml:space="preserve"> </v>
      </c>
      <c r="F7907">
        <v>0.04</v>
      </c>
      <c r="G7907" s="37" t="str">
        <f t="shared" si="616"/>
        <v>Normal Discount</v>
      </c>
      <c r="H7907" s="37" t="str">
        <f t="shared" si="617"/>
        <v>Low</v>
      </c>
      <c r="I7907">
        <v>8</v>
      </c>
      <c r="J7907" t="str" cm="1">
        <f t="array" ref="J7907">_xlfn.IFS(I7907&lt;=3,"small",I7907&lt;=6,"Medium",I7907&lt;=9,"Large")</f>
        <v>Large</v>
      </c>
      <c r="K7907" s="36">
        <v>45033</v>
      </c>
      <c r="L7907" s="36">
        <v>45035</v>
      </c>
      <c r="M7907" t="s">
        <v>603</v>
      </c>
      <c r="N7907" t="s">
        <v>608</v>
      </c>
      <c r="O7907" s="37" t="str">
        <f t="shared" si="618"/>
        <v>Cash Payment</v>
      </c>
      <c r="P7907">
        <v>460.01</v>
      </c>
      <c r="Q7907" s="37" t="str">
        <f>IF(P7907&gt;500,"High","low")</f>
        <v>low</v>
      </c>
      <c r="R7907" s="37" t="str">
        <f t="shared" si="619"/>
        <v>AVERAGE</v>
      </c>
      <c r="S7907" t="s">
        <v>628</v>
      </c>
    </row>
    <row r="7908" spans="1:19" x14ac:dyDescent="0.2">
      <c r="A7908" t="s">
        <v>8519</v>
      </c>
      <c r="B7908" t="s">
        <v>90</v>
      </c>
      <c r="C7908" t="s">
        <v>617</v>
      </c>
      <c r="D7908">
        <v>4313.18</v>
      </c>
      <c r="E7908" s="37" t="str">
        <f t="shared" si="615"/>
        <v xml:space="preserve"> </v>
      </c>
      <c r="F7908">
        <v>0.01</v>
      </c>
      <c r="G7908" s="37" t="str">
        <f t="shared" si="616"/>
        <v>Normal Discount</v>
      </c>
      <c r="H7908" s="37" t="str">
        <f t="shared" si="617"/>
        <v>Low</v>
      </c>
      <c r="I7908">
        <v>6</v>
      </c>
      <c r="J7908" t="str" cm="1">
        <f t="array" ref="J7908">_xlfn.IFS(I7908&lt;=3,"small",I7908&lt;=6,"Medium",I7908&lt;=9,"Large")</f>
        <v>Medium</v>
      </c>
      <c r="K7908" s="36">
        <v>45125</v>
      </c>
      <c r="L7908" s="36">
        <v>45129</v>
      </c>
      <c r="M7908" t="s">
        <v>603</v>
      </c>
      <c r="N7908" t="s">
        <v>599</v>
      </c>
      <c r="O7908" s="37" t="str">
        <f t="shared" si="618"/>
        <v>Digital Payment</v>
      </c>
      <c r="P7908">
        <v>334.87</v>
      </c>
      <c r="Q7908" s="37" t="str">
        <f>IF(P7908&gt;500,"High","low")</f>
        <v>low</v>
      </c>
      <c r="R7908" s="37" t="str">
        <f t="shared" si="619"/>
        <v>AVERAGE</v>
      </c>
      <c r="S7908" t="s">
        <v>615</v>
      </c>
    </row>
    <row r="7909" spans="1:19" x14ac:dyDescent="0.2">
      <c r="A7909" t="s">
        <v>8520</v>
      </c>
      <c r="B7909" t="s">
        <v>75</v>
      </c>
      <c r="C7909" t="s">
        <v>607</v>
      </c>
      <c r="D7909">
        <v>2653.96</v>
      </c>
      <c r="E7909" s="37" t="str">
        <f t="shared" si="615"/>
        <v xml:space="preserve"> </v>
      </c>
      <c r="F7909">
        <v>0.02</v>
      </c>
      <c r="G7909" s="37" t="str">
        <f t="shared" si="616"/>
        <v>Normal Discount</v>
      </c>
      <c r="H7909" s="37" t="str">
        <f t="shared" si="617"/>
        <v>Low</v>
      </c>
      <c r="I7909">
        <v>7</v>
      </c>
      <c r="J7909" t="str" cm="1">
        <f t="array" ref="J7909">_xlfn.IFS(I7909&lt;=3,"small",I7909&lt;=6,"Medium",I7909&lt;=9,"Large")</f>
        <v>Large</v>
      </c>
      <c r="K7909" s="36">
        <v>45285</v>
      </c>
      <c r="L7909" s="36">
        <v>45289</v>
      </c>
      <c r="M7909" t="s">
        <v>603</v>
      </c>
      <c r="N7909" t="s">
        <v>599</v>
      </c>
      <c r="O7909" s="37" t="str">
        <f t="shared" si="618"/>
        <v>Digital Payment</v>
      </c>
      <c r="P7909">
        <v>489.96</v>
      </c>
      <c r="Q7909" s="37" t="str">
        <f>IF(P7909&gt;500,"High","low")</f>
        <v>low</v>
      </c>
      <c r="R7909" s="37" t="str">
        <f t="shared" si="619"/>
        <v>AVERAGE</v>
      </c>
      <c r="S7909" t="s">
        <v>615</v>
      </c>
    </row>
    <row r="7910" spans="1:19" x14ac:dyDescent="0.2">
      <c r="A7910" t="s">
        <v>8521</v>
      </c>
      <c r="B7910" t="s">
        <v>67</v>
      </c>
      <c r="C7910" t="s">
        <v>614</v>
      </c>
      <c r="D7910">
        <v>3566.88</v>
      </c>
      <c r="E7910" s="37" t="str">
        <f t="shared" si="615"/>
        <v xml:space="preserve"> </v>
      </c>
      <c r="F7910">
        <v>0.34</v>
      </c>
      <c r="G7910" s="37" t="str">
        <f t="shared" si="616"/>
        <v>Heavy Discount</v>
      </c>
      <c r="H7910" s="37" t="str">
        <f t="shared" si="617"/>
        <v>Medium</v>
      </c>
      <c r="I7910">
        <v>9</v>
      </c>
      <c r="J7910" t="str" cm="1">
        <f t="array" ref="J7910">_xlfn.IFS(I7910&lt;=3,"small",I7910&lt;=6,"Medium",I7910&lt;=9,"Large")</f>
        <v>Large</v>
      </c>
      <c r="K7910" s="36">
        <v>45184</v>
      </c>
      <c r="L7910" s="36">
        <v>45190</v>
      </c>
      <c r="M7910" t="s">
        <v>598</v>
      </c>
      <c r="N7910" t="s">
        <v>599</v>
      </c>
      <c r="O7910" s="37" t="str">
        <f t="shared" si="618"/>
        <v>Digital Payment</v>
      </c>
      <c r="P7910">
        <v>431.41</v>
      </c>
      <c r="Q7910" s="37" t="str">
        <f>IF(P7910&gt;500,"High","low")</f>
        <v>low</v>
      </c>
      <c r="R7910" s="37" t="str">
        <f t="shared" si="619"/>
        <v>AVERAGE</v>
      </c>
      <c r="S7910" t="s">
        <v>615</v>
      </c>
    </row>
    <row r="7911" spans="1:19" x14ac:dyDescent="0.2">
      <c r="A7911" t="s">
        <v>8522</v>
      </c>
      <c r="B7911" t="s">
        <v>83</v>
      </c>
      <c r="C7911" t="s">
        <v>617</v>
      </c>
      <c r="D7911">
        <v>203.25</v>
      </c>
      <c r="E7911" s="37" t="str">
        <f t="shared" si="615"/>
        <v xml:space="preserve"> </v>
      </c>
      <c r="F7911">
        <v>0.36</v>
      </c>
      <c r="G7911" s="37" t="str">
        <f t="shared" si="616"/>
        <v>Heavy Discount</v>
      </c>
      <c r="H7911" s="37" t="str">
        <f t="shared" si="617"/>
        <v>Medium</v>
      </c>
      <c r="I7911">
        <v>8</v>
      </c>
      <c r="J7911" t="str" cm="1">
        <f t="array" ref="J7911">_xlfn.IFS(I7911&lt;=3,"small",I7911&lt;=6,"Medium",I7911&lt;=9,"Large")</f>
        <v>Large</v>
      </c>
      <c r="K7911" s="36">
        <v>44990</v>
      </c>
      <c r="L7911" s="36">
        <v>44997</v>
      </c>
      <c r="M7911" t="s">
        <v>603</v>
      </c>
      <c r="N7911" t="s">
        <v>608</v>
      </c>
      <c r="O7911" s="37" t="str">
        <f t="shared" si="618"/>
        <v>Cash Payment</v>
      </c>
      <c r="P7911">
        <v>10.71</v>
      </c>
      <c r="Q7911" s="37" t="str">
        <f>IF(P7911&gt;500,"High","low")</f>
        <v>low</v>
      </c>
      <c r="R7911" s="37" t="str">
        <f t="shared" si="619"/>
        <v>AVERAGE</v>
      </c>
      <c r="S7911" t="s">
        <v>615</v>
      </c>
    </row>
    <row r="7912" spans="1:19" x14ac:dyDescent="0.2">
      <c r="A7912" t="s">
        <v>8523</v>
      </c>
      <c r="B7912" t="s">
        <v>67</v>
      </c>
      <c r="C7912" t="s">
        <v>614</v>
      </c>
      <c r="D7912">
        <v>3081.26</v>
      </c>
      <c r="E7912" s="37" t="str">
        <f t="shared" si="615"/>
        <v xml:space="preserve"> </v>
      </c>
      <c r="F7912">
        <v>0.36</v>
      </c>
      <c r="G7912" s="37" t="str">
        <f t="shared" si="616"/>
        <v>Heavy Discount</v>
      </c>
      <c r="H7912" s="37" t="str">
        <f t="shared" si="617"/>
        <v>Medium</v>
      </c>
      <c r="I7912">
        <v>5</v>
      </c>
      <c r="J7912" t="str" cm="1">
        <f t="array" ref="J7912">_xlfn.IFS(I7912&lt;=3,"small",I7912&lt;=6,"Medium",I7912&lt;=9,"Large")</f>
        <v>Medium</v>
      </c>
      <c r="K7912" s="36">
        <v>45532</v>
      </c>
      <c r="L7912" s="36">
        <v>45537</v>
      </c>
      <c r="M7912" t="s">
        <v>612</v>
      </c>
      <c r="N7912" t="s">
        <v>604</v>
      </c>
      <c r="O7912" s="37" t="str">
        <f t="shared" si="618"/>
        <v>Digital Payment</v>
      </c>
      <c r="P7912">
        <v>468.86</v>
      </c>
      <c r="Q7912" s="37" t="str">
        <f>IF(P7912&gt;500,"High","low")</f>
        <v>low</v>
      </c>
      <c r="R7912" s="37" t="str">
        <f t="shared" si="619"/>
        <v>AVERAGE</v>
      </c>
      <c r="S7912" t="s">
        <v>620</v>
      </c>
    </row>
    <row r="7913" spans="1:19" x14ac:dyDescent="0.2">
      <c r="A7913" t="s">
        <v>8524</v>
      </c>
      <c r="B7913" t="s">
        <v>83</v>
      </c>
      <c r="C7913" t="s">
        <v>617</v>
      </c>
      <c r="D7913">
        <v>4813.3500000000004</v>
      </c>
      <c r="E7913" s="37" t="str">
        <f t="shared" si="615"/>
        <v>Excellent Order</v>
      </c>
      <c r="F7913">
        <v>0.32</v>
      </c>
      <c r="G7913" s="37" t="str">
        <f t="shared" si="616"/>
        <v>Heavy Discount</v>
      </c>
      <c r="H7913" s="37" t="str">
        <f t="shared" si="617"/>
        <v>Medium</v>
      </c>
      <c r="I7913">
        <v>4</v>
      </c>
      <c r="J7913" t="str" cm="1">
        <f t="array" ref="J7913">_xlfn.IFS(I7913&lt;=3,"small",I7913&lt;=6,"Medium",I7913&lt;=9,"Large")</f>
        <v>Medium</v>
      </c>
      <c r="K7913" s="36">
        <v>45313</v>
      </c>
      <c r="L7913" s="36">
        <v>45319</v>
      </c>
      <c r="M7913" t="s">
        <v>603</v>
      </c>
      <c r="N7913" t="s">
        <v>599</v>
      </c>
      <c r="O7913" s="37" t="str">
        <f t="shared" si="618"/>
        <v>Digital Payment</v>
      </c>
      <c r="P7913">
        <v>890.42</v>
      </c>
      <c r="Q7913" s="37" t="str">
        <f>IF(P7913&gt;500,"High","low")</f>
        <v>High</v>
      </c>
      <c r="R7913" s="37" t="str">
        <f t="shared" si="619"/>
        <v>Good</v>
      </c>
      <c r="S7913" t="s">
        <v>620</v>
      </c>
    </row>
    <row r="7914" spans="1:19" x14ac:dyDescent="0.2">
      <c r="A7914" t="s">
        <v>8525</v>
      </c>
      <c r="B7914" t="s">
        <v>67</v>
      </c>
      <c r="C7914" t="s">
        <v>617</v>
      </c>
      <c r="D7914">
        <v>3338.97</v>
      </c>
      <c r="E7914" s="37" t="str">
        <f t="shared" si="615"/>
        <v xml:space="preserve"> </v>
      </c>
      <c r="F7914">
        <v>0.14000000000000001</v>
      </c>
      <c r="G7914" s="37" t="str">
        <f t="shared" si="616"/>
        <v>Normal Discount</v>
      </c>
      <c r="H7914" s="37" t="str">
        <f t="shared" si="617"/>
        <v>Low</v>
      </c>
      <c r="I7914">
        <v>4</v>
      </c>
      <c r="J7914" t="str" cm="1">
        <f t="array" ref="J7914">_xlfn.IFS(I7914&lt;=3,"small",I7914&lt;=6,"Medium",I7914&lt;=9,"Large")</f>
        <v>Medium</v>
      </c>
      <c r="K7914" s="36">
        <v>45309</v>
      </c>
      <c r="L7914" s="36">
        <v>45310</v>
      </c>
      <c r="M7914" t="s">
        <v>612</v>
      </c>
      <c r="N7914" t="s">
        <v>608</v>
      </c>
      <c r="O7914" s="37" t="str">
        <f t="shared" si="618"/>
        <v>Cash Payment</v>
      </c>
      <c r="P7914">
        <v>814.27</v>
      </c>
      <c r="Q7914" s="37" t="str">
        <f>IF(P7914&gt;500,"High","low")</f>
        <v>High</v>
      </c>
      <c r="R7914" s="37" t="str">
        <f t="shared" si="619"/>
        <v>Good</v>
      </c>
      <c r="S7914" t="s">
        <v>600</v>
      </c>
    </row>
    <row r="7915" spans="1:19" x14ac:dyDescent="0.2">
      <c r="A7915" t="s">
        <v>8526</v>
      </c>
      <c r="B7915" t="s">
        <v>75</v>
      </c>
      <c r="C7915" t="s">
        <v>614</v>
      </c>
      <c r="D7915">
        <v>4619.1499999999996</v>
      </c>
      <c r="E7915" s="37" t="str">
        <f t="shared" si="615"/>
        <v>Excellent Order</v>
      </c>
      <c r="F7915">
        <v>0.08</v>
      </c>
      <c r="G7915" s="37" t="str">
        <f t="shared" si="616"/>
        <v>Normal Discount</v>
      </c>
      <c r="H7915" s="37" t="str">
        <f t="shared" si="617"/>
        <v>Low</v>
      </c>
      <c r="I7915">
        <v>4</v>
      </c>
      <c r="J7915" t="str" cm="1">
        <f t="array" ref="J7915">_xlfn.IFS(I7915&lt;=3,"small",I7915&lt;=6,"Medium",I7915&lt;=9,"Large")</f>
        <v>Medium</v>
      </c>
      <c r="K7915" s="36">
        <v>45376</v>
      </c>
      <c r="L7915" s="36">
        <v>45382</v>
      </c>
      <c r="M7915" t="s">
        <v>598</v>
      </c>
      <c r="N7915" t="s">
        <v>599</v>
      </c>
      <c r="O7915" s="37" t="str">
        <f t="shared" si="618"/>
        <v>Digital Payment</v>
      </c>
      <c r="P7915">
        <v>1362.34</v>
      </c>
      <c r="Q7915" s="37" t="str">
        <f>IF(P7915&gt;500,"High","low")</f>
        <v>High</v>
      </c>
      <c r="R7915" s="37" t="str">
        <f t="shared" si="619"/>
        <v>Excellent</v>
      </c>
      <c r="S7915" t="s">
        <v>620</v>
      </c>
    </row>
    <row r="7916" spans="1:19" x14ac:dyDescent="0.2">
      <c r="A7916" t="s">
        <v>8527</v>
      </c>
      <c r="B7916" t="s">
        <v>83</v>
      </c>
      <c r="C7916" t="s">
        <v>614</v>
      </c>
      <c r="D7916">
        <v>2873.45</v>
      </c>
      <c r="E7916" s="37" t="str">
        <f t="shared" si="615"/>
        <v xml:space="preserve"> </v>
      </c>
      <c r="F7916">
        <v>0.46</v>
      </c>
      <c r="G7916" s="37" t="str">
        <f t="shared" si="616"/>
        <v>Heavy Discount</v>
      </c>
      <c r="H7916" s="37" t="str">
        <f t="shared" si="617"/>
        <v>High</v>
      </c>
      <c r="I7916">
        <v>2</v>
      </c>
      <c r="J7916" t="str" cm="1">
        <f t="array" ref="J7916">_xlfn.IFS(I7916&lt;=3,"small",I7916&lt;=6,"Medium",I7916&lt;=9,"Large")</f>
        <v>small</v>
      </c>
      <c r="K7916" s="36">
        <v>45084</v>
      </c>
      <c r="L7916" s="36">
        <v>45091</v>
      </c>
      <c r="M7916" t="s">
        <v>603</v>
      </c>
      <c r="N7916" t="s">
        <v>604</v>
      </c>
      <c r="O7916" s="37" t="str">
        <f t="shared" si="618"/>
        <v>Digital Payment</v>
      </c>
      <c r="P7916">
        <v>766.22</v>
      </c>
      <c r="Q7916" s="37" t="str">
        <f>IF(P7916&gt;500,"High","low")</f>
        <v>High</v>
      </c>
      <c r="R7916" s="37" t="str">
        <f t="shared" si="619"/>
        <v>Good</v>
      </c>
      <c r="S7916" t="s">
        <v>605</v>
      </c>
    </row>
    <row r="7917" spans="1:19" x14ac:dyDescent="0.2">
      <c r="A7917" t="s">
        <v>8528</v>
      </c>
      <c r="B7917" t="s">
        <v>83</v>
      </c>
      <c r="C7917" t="s">
        <v>617</v>
      </c>
      <c r="D7917">
        <v>4232.5600000000004</v>
      </c>
      <c r="E7917" s="37" t="str">
        <f t="shared" si="615"/>
        <v xml:space="preserve"> </v>
      </c>
      <c r="F7917">
        <v>0.46</v>
      </c>
      <c r="G7917" s="37" t="str">
        <f t="shared" si="616"/>
        <v>Heavy Discount</v>
      </c>
      <c r="H7917" s="37" t="str">
        <f t="shared" si="617"/>
        <v>High</v>
      </c>
      <c r="I7917">
        <v>7</v>
      </c>
      <c r="J7917" t="str" cm="1">
        <f t="array" ref="J7917">_xlfn.IFS(I7917&lt;=3,"small",I7917&lt;=6,"Medium",I7917&lt;=9,"Large")</f>
        <v>Large</v>
      </c>
      <c r="K7917" s="36">
        <v>45027</v>
      </c>
      <c r="L7917" s="36">
        <v>45028</v>
      </c>
      <c r="M7917" t="s">
        <v>598</v>
      </c>
      <c r="N7917" t="s">
        <v>604</v>
      </c>
      <c r="O7917" s="37" t="str">
        <f t="shared" si="618"/>
        <v>Digital Payment</v>
      </c>
      <c r="P7917">
        <v>784.64</v>
      </c>
      <c r="Q7917" s="37" t="str">
        <f>IF(P7917&gt;500,"High","low")</f>
        <v>High</v>
      </c>
      <c r="R7917" s="37" t="str">
        <f t="shared" si="619"/>
        <v>Good</v>
      </c>
      <c r="S7917" t="s">
        <v>615</v>
      </c>
    </row>
    <row r="7918" spans="1:19" x14ac:dyDescent="0.2">
      <c r="A7918" t="s">
        <v>8529</v>
      </c>
      <c r="B7918" t="s">
        <v>83</v>
      </c>
      <c r="C7918" t="s">
        <v>617</v>
      </c>
      <c r="D7918">
        <v>708.4</v>
      </c>
      <c r="E7918" s="37" t="str">
        <f t="shared" si="615"/>
        <v xml:space="preserve"> </v>
      </c>
      <c r="F7918">
        <v>0.12</v>
      </c>
      <c r="G7918" s="37" t="str">
        <f t="shared" si="616"/>
        <v>Normal Discount</v>
      </c>
      <c r="H7918" s="37" t="str">
        <f t="shared" si="617"/>
        <v>Low</v>
      </c>
      <c r="I7918">
        <v>8</v>
      </c>
      <c r="J7918" t="str" cm="1">
        <f t="array" ref="J7918">_xlfn.IFS(I7918&lt;=3,"small",I7918&lt;=6,"Medium",I7918&lt;=9,"Large")</f>
        <v>Large</v>
      </c>
      <c r="K7918" s="36">
        <v>45403</v>
      </c>
      <c r="L7918" s="36">
        <v>45406</v>
      </c>
      <c r="M7918" t="s">
        <v>612</v>
      </c>
      <c r="N7918" t="s">
        <v>608</v>
      </c>
      <c r="O7918" s="37" t="str">
        <f t="shared" si="618"/>
        <v>Cash Payment</v>
      </c>
      <c r="P7918">
        <v>178.29</v>
      </c>
      <c r="Q7918" s="37" t="str">
        <f>IF(P7918&gt;500,"High","low")</f>
        <v>low</v>
      </c>
      <c r="R7918" s="37" t="str">
        <f t="shared" si="619"/>
        <v>AVERAGE</v>
      </c>
      <c r="S7918" t="s">
        <v>605</v>
      </c>
    </row>
    <row r="7919" spans="1:19" x14ac:dyDescent="0.2">
      <c r="A7919" t="s">
        <v>8530</v>
      </c>
      <c r="B7919" t="s">
        <v>90</v>
      </c>
      <c r="C7919" t="s">
        <v>614</v>
      </c>
      <c r="D7919">
        <v>705.21</v>
      </c>
      <c r="E7919" s="37" t="str">
        <f t="shared" si="615"/>
        <v xml:space="preserve"> </v>
      </c>
      <c r="F7919">
        <v>0.08</v>
      </c>
      <c r="G7919" s="37" t="str">
        <f t="shared" si="616"/>
        <v>Normal Discount</v>
      </c>
      <c r="H7919" s="37" t="str">
        <f t="shared" si="617"/>
        <v>Low</v>
      </c>
      <c r="I7919">
        <v>7</v>
      </c>
      <c r="J7919" t="str" cm="1">
        <f t="array" ref="J7919">_xlfn.IFS(I7919&lt;=3,"small",I7919&lt;=6,"Medium",I7919&lt;=9,"Large")</f>
        <v>Large</v>
      </c>
      <c r="K7919" s="36">
        <v>45601</v>
      </c>
      <c r="L7919" s="36">
        <v>45607</v>
      </c>
      <c r="M7919" t="s">
        <v>612</v>
      </c>
      <c r="N7919" t="s">
        <v>608</v>
      </c>
      <c r="O7919" s="37" t="str">
        <f t="shared" si="618"/>
        <v>Cash Payment</v>
      </c>
      <c r="P7919">
        <v>181.45</v>
      </c>
      <c r="Q7919" s="37" t="str">
        <f>IF(P7919&gt;500,"High","low")</f>
        <v>low</v>
      </c>
      <c r="R7919" s="37" t="str">
        <f t="shared" si="619"/>
        <v>AVERAGE</v>
      </c>
      <c r="S7919" t="s">
        <v>600</v>
      </c>
    </row>
    <row r="7920" spans="1:19" x14ac:dyDescent="0.2">
      <c r="A7920" t="s">
        <v>8531</v>
      </c>
      <c r="B7920" t="s">
        <v>90</v>
      </c>
      <c r="C7920" t="s">
        <v>614</v>
      </c>
      <c r="D7920">
        <v>688.88</v>
      </c>
      <c r="E7920" s="37" t="str">
        <f t="shared" si="615"/>
        <v xml:space="preserve"> </v>
      </c>
      <c r="F7920">
        <v>0.19</v>
      </c>
      <c r="G7920" s="37" t="str">
        <f t="shared" si="616"/>
        <v>Normal Discount</v>
      </c>
      <c r="H7920" s="37" t="str">
        <f t="shared" si="617"/>
        <v>Low</v>
      </c>
      <c r="I7920">
        <v>8</v>
      </c>
      <c r="J7920" t="str" cm="1">
        <f t="array" ref="J7920">_xlfn.IFS(I7920&lt;=3,"small",I7920&lt;=6,"Medium",I7920&lt;=9,"Large")</f>
        <v>Large</v>
      </c>
      <c r="K7920" s="36">
        <v>45560</v>
      </c>
      <c r="L7920" s="36">
        <v>45567</v>
      </c>
      <c r="M7920" t="s">
        <v>598</v>
      </c>
      <c r="N7920" t="s">
        <v>599</v>
      </c>
      <c r="O7920" s="37" t="str">
        <f t="shared" si="618"/>
        <v>Digital Payment</v>
      </c>
      <c r="P7920">
        <v>200.93</v>
      </c>
      <c r="Q7920" s="37" t="str">
        <f>IF(P7920&gt;500,"High","low")</f>
        <v>low</v>
      </c>
      <c r="R7920" s="37" t="str">
        <f t="shared" si="619"/>
        <v>AVERAGE</v>
      </c>
      <c r="S7920" t="s">
        <v>600</v>
      </c>
    </row>
    <row r="7921" spans="1:19" x14ac:dyDescent="0.2">
      <c r="A7921" t="s">
        <v>8532</v>
      </c>
      <c r="B7921" t="s">
        <v>67</v>
      </c>
      <c r="C7921" t="s">
        <v>602</v>
      </c>
      <c r="D7921">
        <v>2495.36</v>
      </c>
      <c r="E7921" s="37" t="str">
        <f t="shared" si="615"/>
        <v xml:space="preserve"> </v>
      </c>
      <c r="F7921">
        <v>0.02</v>
      </c>
      <c r="G7921" s="37" t="str">
        <f t="shared" si="616"/>
        <v>Normal Discount</v>
      </c>
      <c r="H7921" s="37" t="str">
        <f t="shared" si="617"/>
        <v>Low</v>
      </c>
      <c r="I7921">
        <v>9</v>
      </c>
      <c r="J7921" t="str" cm="1">
        <f t="array" ref="J7921">_xlfn.IFS(I7921&lt;=3,"small",I7921&lt;=6,"Medium",I7921&lt;=9,"Large")</f>
        <v>Large</v>
      </c>
      <c r="K7921" s="36">
        <v>45156</v>
      </c>
      <c r="L7921" s="36">
        <v>45162</v>
      </c>
      <c r="M7921" t="s">
        <v>603</v>
      </c>
      <c r="N7921" t="s">
        <v>599</v>
      </c>
      <c r="O7921" s="37" t="str">
        <f t="shared" si="618"/>
        <v>Digital Payment</v>
      </c>
      <c r="P7921">
        <v>278.83</v>
      </c>
      <c r="Q7921" s="37" t="str">
        <f>IF(P7921&gt;500,"High","low")</f>
        <v>low</v>
      </c>
      <c r="R7921" s="37" t="str">
        <f t="shared" si="619"/>
        <v>AVERAGE</v>
      </c>
      <c r="S7921" t="s">
        <v>628</v>
      </c>
    </row>
    <row r="7922" spans="1:19" x14ac:dyDescent="0.2">
      <c r="A7922" t="s">
        <v>8533</v>
      </c>
      <c r="B7922" t="s">
        <v>75</v>
      </c>
      <c r="C7922" t="s">
        <v>602</v>
      </c>
      <c r="D7922">
        <v>1718.29</v>
      </c>
      <c r="E7922" s="37" t="str">
        <f t="shared" si="615"/>
        <v xml:space="preserve"> </v>
      </c>
      <c r="F7922">
        <v>0.08</v>
      </c>
      <c r="G7922" s="37" t="str">
        <f t="shared" si="616"/>
        <v>Normal Discount</v>
      </c>
      <c r="H7922" s="37" t="str">
        <f t="shared" si="617"/>
        <v>Low</v>
      </c>
      <c r="I7922">
        <v>8</v>
      </c>
      <c r="J7922" t="str" cm="1">
        <f t="array" ref="J7922">_xlfn.IFS(I7922&lt;=3,"small",I7922&lt;=6,"Medium",I7922&lt;=9,"Large")</f>
        <v>Large</v>
      </c>
      <c r="K7922" s="36">
        <v>45588</v>
      </c>
      <c r="L7922" s="36">
        <v>45592</v>
      </c>
      <c r="M7922" t="s">
        <v>598</v>
      </c>
      <c r="N7922" t="s">
        <v>608</v>
      </c>
      <c r="O7922" s="37" t="str">
        <f t="shared" si="618"/>
        <v>Cash Payment</v>
      </c>
      <c r="P7922">
        <v>194.1</v>
      </c>
      <c r="Q7922" s="37" t="str">
        <f>IF(P7922&gt;500,"High","low")</f>
        <v>low</v>
      </c>
      <c r="R7922" s="37" t="str">
        <f t="shared" si="619"/>
        <v>AVERAGE</v>
      </c>
      <c r="S7922" t="s">
        <v>609</v>
      </c>
    </row>
    <row r="7923" spans="1:19" x14ac:dyDescent="0.2">
      <c r="A7923" t="s">
        <v>8534</v>
      </c>
      <c r="B7923" t="s">
        <v>90</v>
      </c>
      <c r="C7923" t="s">
        <v>602</v>
      </c>
      <c r="D7923">
        <v>3624.01</v>
      </c>
      <c r="E7923" s="37" t="str">
        <f t="shared" si="615"/>
        <v xml:space="preserve"> </v>
      </c>
      <c r="F7923">
        <v>0.19</v>
      </c>
      <c r="G7923" s="37" t="str">
        <f t="shared" si="616"/>
        <v>Normal Discount</v>
      </c>
      <c r="H7923" s="37" t="str">
        <f t="shared" si="617"/>
        <v>Low</v>
      </c>
      <c r="I7923">
        <v>5</v>
      </c>
      <c r="J7923" t="str" cm="1">
        <f t="array" ref="J7923">_xlfn.IFS(I7923&lt;=3,"small",I7923&lt;=6,"Medium",I7923&lt;=9,"Large")</f>
        <v>Medium</v>
      </c>
      <c r="K7923" s="36">
        <v>45177</v>
      </c>
      <c r="L7923" s="36">
        <v>45181</v>
      </c>
      <c r="M7923" t="s">
        <v>603</v>
      </c>
      <c r="N7923" t="s">
        <v>599</v>
      </c>
      <c r="O7923" s="37" t="str">
        <f t="shared" si="618"/>
        <v>Digital Payment</v>
      </c>
      <c r="P7923">
        <v>379.21</v>
      </c>
      <c r="Q7923" s="37" t="str">
        <f>IF(P7923&gt;500,"High","low")</f>
        <v>low</v>
      </c>
      <c r="R7923" s="37" t="str">
        <f t="shared" si="619"/>
        <v>AVERAGE</v>
      </c>
      <c r="S7923" t="s">
        <v>628</v>
      </c>
    </row>
    <row r="7924" spans="1:19" x14ac:dyDescent="0.2">
      <c r="A7924" t="s">
        <v>8535</v>
      </c>
      <c r="B7924" t="s">
        <v>83</v>
      </c>
      <c r="C7924" t="s">
        <v>607</v>
      </c>
      <c r="D7924">
        <v>4522.8500000000004</v>
      </c>
      <c r="E7924" s="37" t="str">
        <f t="shared" si="615"/>
        <v>Excellent Order</v>
      </c>
      <c r="F7924">
        <v>0.12</v>
      </c>
      <c r="G7924" s="37" t="str">
        <f t="shared" si="616"/>
        <v>Normal Discount</v>
      </c>
      <c r="H7924" s="37" t="str">
        <f t="shared" si="617"/>
        <v>Low</v>
      </c>
      <c r="I7924">
        <v>4</v>
      </c>
      <c r="J7924" t="str" cm="1">
        <f t="array" ref="J7924">_xlfn.IFS(I7924&lt;=3,"small",I7924&lt;=6,"Medium",I7924&lt;=9,"Large")</f>
        <v>Medium</v>
      </c>
      <c r="K7924" s="36">
        <v>45155</v>
      </c>
      <c r="L7924" s="36">
        <v>45161</v>
      </c>
      <c r="M7924" t="s">
        <v>612</v>
      </c>
      <c r="N7924" t="s">
        <v>608</v>
      </c>
      <c r="O7924" s="37" t="str">
        <f t="shared" si="618"/>
        <v>Cash Payment</v>
      </c>
      <c r="P7924">
        <v>1245.1300000000001</v>
      </c>
      <c r="Q7924" s="37" t="str">
        <f>IF(P7924&gt;500,"High","low")</f>
        <v>High</v>
      </c>
      <c r="R7924" s="37" t="str">
        <f t="shared" si="619"/>
        <v>Excellent</v>
      </c>
      <c r="S7924" t="s">
        <v>600</v>
      </c>
    </row>
    <row r="7925" spans="1:19" x14ac:dyDescent="0.2">
      <c r="A7925" t="s">
        <v>8536</v>
      </c>
      <c r="B7925" t="s">
        <v>90</v>
      </c>
      <c r="C7925" t="s">
        <v>617</v>
      </c>
      <c r="D7925">
        <v>3134.94</v>
      </c>
      <c r="E7925" s="37" t="str">
        <f t="shared" si="615"/>
        <v xml:space="preserve"> </v>
      </c>
      <c r="F7925">
        <v>0.37</v>
      </c>
      <c r="G7925" s="37" t="str">
        <f t="shared" si="616"/>
        <v>Heavy Discount</v>
      </c>
      <c r="H7925" s="37" t="str">
        <f t="shared" si="617"/>
        <v>Medium</v>
      </c>
      <c r="I7925">
        <v>5</v>
      </c>
      <c r="J7925" t="str" cm="1">
        <f t="array" ref="J7925">_xlfn.IFS(I7925&lt;=3,"small",I7925&lt;=6,"Medium",I7925&lt;=9,"Large")</f>
        <v>Medium</v>
      </c>
      <c r="K7925" s="36">
        <v>45520</v>
      </c>
      <c r="L7925" s="36">
        <v>45522</v>
      </c>
      <c r="M7925" t="s">
        <v>603</v>
      </c>
      <c r="N7925" t="s">
        <v>608</v>
      </c>
      <c r="O7925" s="37" t="str">
        <f t="shared" si="618"/>
        <v>Cash Payment</v>
      </c>
      <c r="P7925">
        <v>692.87</v>
      </c>
      <c r="Q7925" s="37" t="str">
        <f>IF(P7925&gt;500,"High","low")</f>
        <v>High</v>
      </c>
      <c r="R7925" s="37" t="str">
        <f t="shared" si="619"/>
        <v>Good</v>
      </c>
      <c r="S7925" t="s">
        <v>620</v>
      </c>
    </row>
    <row r="7926" spans="1:19" x14ac:dyDescent="0.2">
      <c r="A7926" t="s">
        <v>8537</v>
      </c>
      <c r="B7926" t="s">
        <v>75</v>
      </c>
      <c r="C7926" t="s">
        <v>597</v>
      </c>
      <c r="D7926">
        <v>1144.73</v>
      </c>
      <c r="E7926" s="37" t="str">
        <f t="shared" si="615"/>
        <v xml:space="preserve"> </v>
      </c>
      <c r="F7926">
        <v>0.45</v>
      </c>
      <c r="G7926" s="37" t="str">
        <f t="shared" si="616"/>
        <v>Heavy Discount</v>
      </c>
      <c r="H7926" s="37" t="str">
        <f t="shared" si="617"/>
        <v>High</v>
      </c>
      <c r="I7926">
        <v>1</v>
      </c>
      <c r="J7926" t="str" cm="1">
        <f t="array" ref="J7926">_xlfn.IFS(I7926&lt;=3,"small",I7926&lt;=6,"Medium",I7926&lt;=9,"Large")</f>
        <v>small</v>
      </c>
      <c r="K7926" s="36">
        <v>45414</v>
      </c>
      <c r="L7926" s="36">
        <v>45416</v>
      </c>
      <c r="M7926" t="s">
        <v>612</v>
      </c>
      <c r="N7926" t="s">
        <v>604</v>
      </c>
      <c r="O7926" s="37" t="str">
        <f t="shared" si="618"/>
        <v>Digital Payment</v>
      </c>
      <c r="P7926">
        <v>97.27</v>
      </c>
      <c r="Q7926" s="37" t="str">
        <f>IF(P7926&gt;500,"High","low")</f>
        <v>low</v>
      </c>
      <c r="R7926" s="37" t="str">
        <f t="shared" si="619"/>
        <v>AVERAGE</v>
      </c>
      <c r="S7926" t="s">
        <v>609</v>
      </c>
    </row>
    <row r="7927" spans="1:19" x14ac:dyDescent="0.2">
      <c r="A7927" t="s">
        <v>8538</v>
      </c>
      <c r="B7927" t="s">
        <v>90</v>
      </c>
      <c r="C7927" t="s">
        <v>607</v>
      </c>
      <c r="D7927">
        <v>4661.3</v>
      </c>
      <c r="E7927" s="37" t="str">
        <f t="shared" si="615"/>
        <v>Excellent Order</v>
      </c>
      <c r="F7927">
        <v>0.45</v>
      </c>
      <c r="G7927" s="37" t="str">
        <f t="shared" si="616"/>
        <v>Heavy Discount</v>
      </c>
      <c r="H7927" s="37" t="str">
        <f t="shared" si="617"/>
        <v>High</v>
      </c>
      <c r="I7927">
        <v>5</v>
      </c>
      <c r="J7927" t="str" cm="1">
        <f t="array" ref="J7927">_xlfn.IFS(I7927&lt;=3,"small",I7927&lt;=6,"Medium",I7927&lt;=9,"Large")</f>
        <v>Medium</v>
      </c>
      <c r="K7927" s="36">
        <v>45547</v>
      </c>
      <c r="L7927" s="36">
        <v>45554</v>
      </c>
      <c r="M7927" t="s">
        <v>612</v>
      </c>
      <c r="N7927" t="s">
        <v>608</v>
      </c>
      <c r="O7927" s="37" t="str">
        <f t="shared" si="618"/>
        <v>Cash Payment</v>
      </c>
      <c r="P7927">
        <v>1353.34</v>
      </c>
      <c r="Q7927" s="37" t="str">
        <f>IF(P7927&gt;500,"High","low")</f>
        <v>High</v>
      </c>
      <c r="R7927" s="37" t="str">
        <f t="shared" si="619"/>
        <v>Excellent</v>
      </c>
      <c r="S7927" t="s">
        <v>600</v>
      </c>
    </row>
    <row r="7928" spans="1:19" x14ac:dyDescent="0.2">
      <c r="A7928" t="s">
        <v>8539</v>
      </c>
      <c r="B7928" t="s">
        <v>83</v>
      </c>
      <c r="C7928" t="s">
        <v>617</v>
      </c>
      <c r="D7928">
        <v>2686.5</v>
      </c>
      <c r="E7928" s="37" t="str">
        <f t="shared" si="615"/>
        <v xml:space="preserve"> </v>
      </c>
      <c r="F7928">
        <v>0.3</v>
      </c>
      <c r="G7928" s="37" t="str">
        <f t="shared" si="616"/>
        <v>Normal Discount</v>
      </c>
      <c r="H7928" s="37" t="str">
        <f t="shared" si="617"/>
        <v>Medium</v>
      </c>
      <c r="I7928">
        <v>6</v>
      </c>
      <c r="J7928" t="str" cm="1">
        <f t="array" ref="J7928">_xlfn.IFS(I7928&lt;=3,"small",I7928&lt;=6,"Medium",I7928&lt;=9,"Large")</f>
        <v>Medium</v>
      </c>
      <c r="K7928" s="36">
        <v>45492</v>
      </c>
      <c r="L7928" s="36">
        <v>45494</v>
      </c>
      <c r="M7928" t="s">
        <v>598</v>
      </c>
      <c r="N7928" t="s">
        <v>604</v>
      </c>
      <c r="O7928" s="37" t="str">
        <f t="shared" si="618"/>
        <v>Digital Payment</v>
      </c>
      <c r="P7928">
        <v>540.96</v>
      </c>
      <c r="Q7928" s="37" t="str">
        <f>IF(P7928&gt;500,"High","low")</f>
        <v>High</v>
      </c>
      <c r="R7928" s="37" t="str">
        <f t="shared" si="619"/>
        <v>Good</v>
      </c>
      <c r="S7928" t="s">
        <v>609</v>
      </c>
    </row>
    <row r="7929" spans="1:19" x14ac:dyDescent="0.2">
      <c r="A7929" t="s">
        <v>8540</v>
      </c>
      <c r="B7929" t="s">
        <v>67</v>
      </c>
      <c r="C7929" t="s">
        <v>597</v>
      </c>
      <c r="D7929">
        <v>3627.73</v>
      </c>
      <c r="E7929" s="37" t="str">
        <f t="shared" si="615"/>
        <v xml:space="preserve"> </v>
      </c>
      <c r="F7929">
        <v>0.35</v>
      </c>
      <c r="G7929" s="37" t="str">
        <f t="shared" si="616"/>
        <v>Heavy Discount</v>
      </c>
      <c r="H7929" s="37" t="str">
        <f t="shared" si="617"/>
        <v>Medium</v>
      </c>
      <c r="I7929">
        <v>9</v>
      </c>
      <c r="J7929" t="str" cm="1">
        <f t="array" ref="J7929">_xlfn.IFS(I7929&lt;=3,"small",I7929&lt;=6,"Medium",I7929&lt;=9,"Large")</f>
        <v>Large</v>
      </c>
      <c r="K7929" s="36">
        <v>45408</v>
      </c>
      <c r="L7929" s="36">
        <v>45414</v>
      </c>
      <c r="M7929" t="s">
        <v>603</v>
      </c>
      <c r="N7929" t="s">
        <v>599</v>
      </c>
      <c r="O7929" s="37" t="str">
        <f t="shared" si="618"/>
        <v>Digital Payment</v>
      </c>
      <c r="P7929">
        <v>183.3</v>
      </c>
      <c r="Q7929" s="37" t="str">
        <f>IF(P7929&gt;500,"High","low")</f>
        <v>low</v>
      </c>
      <c r="R7929" s="37" t="str">
        <f t="shared" si="619"/>
        <v>AVERAGE</v>
      </c>
      <c r="S7929" t="s">
        <v>600</v>
      </c>
    </row>
    <row r="7930" spans="1:19" x14ac:dyDescent="0.2">
      <c r="A7930" t="s">
        <v>8541</v>
      </c>
      <c r="B7930" t="s">
        <v>83</v>
      </c>
      <c r="C7930" t="s">
        <v>602</v>
      </c>
      <c r="D7930">
        <v>4463.4799999999996</v>
      </c>
      <c r="E7930" s="37" t="str">
        <f t="shared" si="615"/>
        <v xml:space="preserve"> </v>
      </c>
      <c r="F7930">
        <v>0.25</v>
      </c>
      <c r="G7930" s="37" t="str">
        <f t="shared" si="616"/>
        <v>Normal Discount</v>
      </c>
      <c r="H7930" s="37" t="str">
        <f t="shared" si="617"/>
        <v>Medium</v>
      </c>
      <c r="I7930">
        <v>9</v>
      </c>
      <c r="J7930" t="str" cm="1">
        <f t="array" ref="J7930">_xlfn.IFS(I7930&lt;=3,"small",I7930&lt;=6,"Medium",I7930&lt;=9,"Large")</f>
        <v>Large</v>
      </c>
      <c r="K7930" s="36">
        <v>45626</v>
      </c>
      <c r="L7930" s="36">
        <v>45632</v>
      </c>
      <c r="M7930" t="s">
        <v>598</v>
      </c>
      <c r="N7930" t="s">
        <v>599</v>
      </c>
      <c r="O7930" s="37" t="str">
        <f t="shared" si="618"/>
        <v>Digital Payment</v>
      </c>
      <c r="P7930">
        <v>710.4</v>
      </c>
      <c r="Q7930" s="37" t="str">
        <f>IF(P7930&gt;500,"High","low")</f>
        <v>High</v>
      </c>
      <c r="R7930" s="37" t="str">
        <f t="shared" si="619"/>
        <v>Good</v>
      </c>
      <c r="S7930" t="s">
        <v>628</v>
      </c>
    </row>
    <row r="7931" spans="1:19" x14ac:dyDescent="0.2">
      <c r="A7931" t="s">
        <v>8542</v>
      </c>
      <c r="B7931" t="s">
        <v>75</v>
      </c>
      <c r="C7931" t="s">
        <v>597</v>
      </c>
      <c r="D7931">
        <v>4950.18</v>
      </c>
      <c r="E7931" s="37" t="str">
        <f t="shared" si="615"/>
        <v>Excellent Order</v>
      </c>
      <c r="F7931">
        <v>7.0000000000000007E-2</v>
      </c>
      <c r="G7931" s="37" t="str">
        <f t="shared" si="616"/>
        <v>Normal Discount</v>
      </c>
      <c r="H7931" s="37" t="str">
        <f t="shared" si="617"/>
        <v>Low</v>
      </c>
      <c r="I7931">
        <v>3</v>
      </c>
      <c r="J7931" t="str" cm="1">
        <f t="array" ref="J7931">_xlfn.IFS(I7931&lt;=3,"small",I7931&lt;=6,"Medium",I7931&lt;=9,"Large")</f>
        <v>small</v>
      </c>
      <c r="K7931" s="36">
        <v>45419</v>
      </c>
      <c r="L7931" s="36">
        <v>45426</v>
      </c>
      <c r="M7931" t="s">
        <v>598</v>
      </c>
      <c r="N7931" t="s">
        <v>599</v>
      </c>
      <c r="O7931" s="37" t="str">
        <f t="shared" si="618"/>
        <v>Digital Payment</v>
      </c>
      <c r="P7931">
        <v>1203.8900000000001</v>
      </c>
      <c r="Q7931" s="37" t="str">
        <f>IF(P7931&gt;500,"High","low")</f>
        <v>High</v>
      </c>
      <c r="R7931" s="37" t="str">
        <f t="shared" si="619"/>
        <v>Excellent</v>
      </c>
      <c r="S7931" t="s">
        <v>605</v>
      </c>
    </row>
    <row r="7932" spans="1:19" x14ac:dyDescent="0.2">
      <c r="A7932" t="s">
        <v>8543</v>
      </c>
      <c r="B7932" t="s">
        <v>67</v>
      </c>
      <c r="C7932" t="s">
        <v>614</v>
      </c>
      <c r="D7932">
        <v>2579.71</v>
      </c>
      <c r="E7932" s="37" t="str">
        <f t="shared" si="615"/>
        <v xml:space="preserve"> </v>
      </c>
      <c r="F7932">
        <v>0.32</v>
      </c>
      <c r="G7932" s="37" t="str">
        <f t="shared" si="616"/>
        <v>Heavy Discount</v>
      </c>
      <c r="H7932" s="37" t="str">
        <f t="shared" si="617"/>
        <v>Medium</v>
      </c>
      <c r="I7932">
        <v>8</v>
      </c>
      <c r="J7932" t="str" cm="1">
        <f t="array" ref="J7932">_xlfn.IFS(I7932&lt;=3,"small",I7932&lt;=6,"Medium",I7932&lt;=9,"Large")</f>
        <v>Large</v>
      </c>
      <c r="K7932" s="36">
        <v>45039</v>
      </c>
      <c r="L7932" s="36">
        <v>45042</v>
      </c>
      <c r="M7932" t="s">
        <v>603</v>
      </c>
      <c r="N7932" t="s">
        <v>604</v>
      </c>
      <c r="O7932" s="37" t="str">
        <f t="shared" si="618"/>
        <v>Digital Payment</v>
      </c>
      <c r="P7932">
        <v>329.1</v>
      </c>
      <c r="Q7932" s="37" t="str">
        <f>IF(P7932&gt;500,"High","low")</f>
        <v>low</v>
      </c>
      <c r="R7932" s="37" t="str">
        <f t="shared" si="619"/>
        <v>AVERAGE</v>
      </c>
      <c r="S7932" t="s">
        <v>609</v>
      </c>
    </row>
    <row r="7933" spans="1:19" x14ac:dyDescent="0.2">
      <c r="A7933" t="s">
        <v>8544</v>
      </c>
      <c r="B7933" t="s">
        <v>90</v>
      </c>
      <c r="C7933" t="s">
        <v>614</v>
      </c>
      <c r="D7933">
        <v>4059.51</v>
      </c>
      <c r="E7933" s="37" t="str">
        <f t="shared" si="615"/>
        <v>Excellent Order</v>
      </c>
      <c r="F7933">
        <v>0.17</v>
      </c>
      <c r="G7933" s="37" t="str">
        <f t="shared" si="616"/>
        <v>Normal Discount</v>
      </c>
      <c r="H7933" s="37" t="str">
        <f t="shared" si="617"/>
        <v>Low</v>
      </c>
      <c r="I7933">
        <v>8</v>
      </c>
      <c r="J7933" t="str" cm="1">
        <f t="array" ref="J7933">_xlfn.IFS(I7933&lt;=3,"small",I7933&lt;=6,"Medium",I7933&lt;=9,"Large")</f>
        <v>Large</v>
      </c>
      <c r="K7933" s="36">
        <v>45476</v>
      </c>
      <c r="L7933" s="36">
        <v>45480</v>
      </c>
      <c r="M7933" t="s">
        <v>612</v>
      </c>
      <c r="N7933" t="s">
        <v>608</v>
      </c>
      <c r="O7933" s="37" t="str">
        <f t="shared" si="618"/>
        <v>Cash Payment</v>
      </c>
      <c r="P7933">
        <v>884.07</v>
      </c>
      <c r="Q7933" s="37" t="str">
        <f>IF(P7933&gt;500,"High","low")</f>
        <v>High</v>
      </c>
      <c r="R7933" s="37" t="str">
        <f t="shared" si="619"/>
        <v>Good</v>
      </c>
      <c r="S7933" t="s">
        <v>600</v>
      </c>
    </row>
    <row r="7934" spans="1:19" x14ac:dyDescent="0.2">
      <c r="A7934" t="s">
        <v>8545</v>
      </c>
      <c r="B7934" t="s">
        <v>90</v>
      </c>
      <c r="C7934" t="s">
        <v>617</v>
      </c>
      <c r="D7934">
        <v>2877.65</v>
      </c>
      <c r="E7934" s="37" t="str">
        <f t="shared" si="615"/>
        <v xml:space="preserve"> </v>
      </c>
      <c r="F7934">
        <v>0</v>
      </c>
      <c r="G7934" s="37" t="str">
        <f t="shared" si="616"/>
        <v>Normal Discount</v>
      </c>
      <c r="H7934" s="37" t="str">
        <f t="shared" si="617"/>
        <v>Low</v>
      </c>
      <c r="I7934">
        <v>9</v>
      </c>
      <c r="J7934" t="str" cm="1">
        <f t="array" ref="J7934">_xlfn.IFS(I7934&lt;=3,"small",I7934&lt;=6,"Medium",I7934&lt;=9,"Large")</f>
        <v>Large</v>
      </c>
      <c r="K7934" s="36">
        <v>45212</v>
      </c>
      <c r="L7934" s="36">
        <v>45214</v>
      </c>
      <c r="M7934" t="s">
        <v>603</v>
      </c>
      <c r="N7934" t="s">
        <v>608</v>
      </c>
      <c r="O7934" s="37" t="str">
        <f t="shared" si="618"/>
        <v>Cash Payment</v>
      </c>
      <c r="P7934">
        <v>660.44</v>
      </c>
      <c r="Q7934" s="37" t="str">
        <f>IF(P7934&gt;500,"High","low")</f>
        <v>High</v>
      </c>
      <c r="R7934" s="37" t="str">
        <f t="shared" si="619"/>
        <v>Good</v>
      </c>
      <c r="S7934" t="s">
        <v>609</v>
      </c>
    </row>
    <row r="7935" spans="1:19" x14ac:dyDescent="0.2">
      <c r="A7935" t="s">
        <v>8546</v>
      </c>
      <c r="B7935" t="s">
        <v>90</v>
      </c>
      <c r="C7935" t="s">
        <v>607</v>
      </c>
      <c r="D7935">
        <v>2483.62</v>
      </c>
      <c r="E7935" s="37" t="str">
        <f t="shared" si="615"/>
        <v xml:space="preserve"> </v>
      </c>
      <c r="F7935">
        <v>0.28999999999999998</v>
      </c>
      <c r="G7935" s="37" t="str">
        <f t="shared" si="616"/>
        <v>Normal Discount</v>
      </c>
      <c r="H7935" s="37" t="str">
        <f t="shared" si="617"/>
        <v>Medium</v>
      </c>
      <c r="I7935">
        <v>1</v>
      </c>
      <c r="J7935" t="str" cm="1">
        <f t="array" ref="J7935">_xlfn.IFS(I7935&lt;=3,"small",I7935&lt;=6,"Medium",I7935&lt;=9,"Large")</f>
        <v>small</v>
      </c>
      <c r="K7935" s="36">
        <v>45312</v>
      </c>
      <c r="L7935" s="36">
        <v>45318</v>
      </c>
      <c r="M7935" t="s">
        <v>603</v>
      </c>
      <c r="N7935" t="s">
        <v>599</v>
      </c>
      <c r="O7935" s="37" t="str">
        <f t="shared" si="618"/>
        <v>Digital Payment</v>
      </c>
      <c r="P7935">
        <v>638.65</v>
      </c>
      <c r="Q7935" s="37" t="str">
        <f>IF(P7935&gt;500,"High","low")</f>
        <v>High</v>
      </c>
      <c r="R7935" s="37" t="str">
        <f t="shared" si="619"/>
        <v>Good</v>
      </c>
      <c r="S7935" t="s">
        <v>600</v>
      </c>
    </row>
    <row r="7936" spans="1:19" x14ac:dyDescent="0.2">
      <c r="A7936" t="s">
        <v>8547</v>
      </c>
      <c r="B7936" t="s">
        <v>67</v>
      </c>
      <c r="C7936" t="s">
        <v>602</v>
      </c>
      <c r="D7936">
        <v>2734.79</v>
      </c>
      <c r="E7936" s="37" t="str">
        <f t="shared" si="615"/>
        <v xml:space="preserve"> </v>
      </c>
      <c r="F7936">
        <v>0.1</v>
      </c>
      <c r="G7936" s="37" t="str">
        <f t="shared" si="616"/>
        <v>Normal Discount</v>
      </c>
      <c r="H7936" s="37" t="str">
        <f t="shared" si="617"/>
        <v>Low</v>
      </c>
      <c r="I7936">
        <v>5</v>
      </c>
      <c r="J7936" t="str" cm="1">
        <f t="array" ref="J7936">_xlfn.IFS(I7936&lt;=3,"small",I7936&lt;=6,"Medium",I7936&lt;=9,"Large")</f>
        <v>Medium</v>
      </c>
      <c r="K7936" s="36">
        <v>44946</v>
      </c>
      <c r="L7936" s="36">
        <v>44948</v>
      </c>
      <c r="M7936" t="s">
        <v>612</v>
      </c>
      <c r="N7936" t="s">
        <v>608</v>
      </c>
      <c r="O7936" s="37" t="str">
        <f t="shared" si="618"/>
        <v>Cash Payment</v>
      </c>
      <c r="P7936">
        <v>533.59</v>
      </c>
      <c r="Q7936" s="37" t="str">
        <f>IF(P7936&gt;500,"High","low")</f>
        <v>High</v>
      </c>
      <c r="R7936" s="37" t="str">
        <f t="shared" si="619"/>
        <v>Good</v>
      </c>
      <c r="S7936" t="s">
        <v>600</v>
      </c>
    </row>
    <row r="7937" spans="1:19" x14ac:dyDescent="0.2">
      <c r="A7937" t="s">
        <v>8548</v>
      </c>
      <c r="B7937" t="s">
        <v>83</v>
      </c>
      <c r="C7937" t="s">
        <v>617</v>
      </c>
      <c r="D7937">
        <v>2472.9499999999998</v>
      </c>
      <c r="E7937" s="37" t="str">
        <f t="shared" si="615"/>
        <v xml:space="preserve"> </v>
      </c>
      <c r="F7937">
        <v>0.44</v>
      </c>
      <c r="G7937" s="37" t="str">
        <f t="shared" si="616"/>
        <v>Heavy Discount</v>
      </c>
      <c r="H7937" s="37" t="str">
        <f t="shared" si="617"/>
        <v>High</v>
      </c>
      <c r="I7937">
        <v>5</v>
      </c>
      <c r="J7937" t="str" cm="1">
        <f t="array" ref="J7937">_xlfn.IFS(I7937&lt;=3,"small",I7937&lt;=6,"Medium",I7937&lt;=9,"Large")</f>
        <v>Medium</v>
      </c>
      <c r="K7937" s="36">
        <v>45390</v>
      </c>
      <c r="L7937" s="36">
        <v>45394</v>
      </c>
      <c r="M7937" t="s">
        <v>612</v>
      </c>
      <c r="N7937" t="s">
        <v>604</v>
      </c>
      <c r="O7937" s="37" t="str">
        <f t="shared" si="618"/>
        <v>Digital Payment</v>
      </c>
      <c r="P7937">
        <v>242.07</v>
      </c>
      <c r="Q7937" s="37" t="str">
        <f>IF(P7937&gt;500,"High","low")</f>
        <v>low</v>
      </c>
      <c r="R7937" s="37" t="str">
        <f t="shared" si="619"/>
        <v>AVERAGE</v>
      </c>
      <c r="S7937" t="s">
        <v>609</v>
      </c>
    </row>
    <row r="7938" spans="1:19" x14ac:dyDescent="0.2">
      <c r="A7938" t="s">
        <v>8549</v>
      </c>
      <c r="B7938" t="s">
        <v>67</v>
      </c>
      <c r="C7938" t="s">
        <v>602</v>
      </c>
      <c r="D7938">
        <v>2163.04</v>
      </c>
      <c r="E7938" s="37" t="str">
        <f t="shared" si="615"/>
        <v xml:space="preserve"> </v>
      </c>
      <c r="F7938">
        <v>0.47</v>
      </c>
      <c r="G7938" s="37" t="str">
        <f t="shared" si="616"/>
        <v>Heavy Discount</v>
      </c>
      <c r="H7938" s="37" t="str">
        <f t="shared" si="617"/>
        <v>High</v>
      </c>
      <c r="I7938">
        <v>7</v>
      </c>
      <c r="J7938" t="str" cm="1">
        <f t="array" ref="J7938">_xlfn.IFS(I7938&lt;=3,"small",I7938&lt;=6,"Medium",I7938&lt;=9,"Large")</f>
        <v>Large</v>
      </c>
      <c r="K7938" s="36">
        <v>45506</v>
      </c>
      <c r="L7938" s="36">
        <v>45508</v>
      </c>
      <c r="M7938" t="s">
        <v>612</v>
      </c>
      <c r="N7938" t="s">
        <v>599</v>
      </c>
      <c r="O7938" s="37" t="str">
        <f t="shared" si="618"/>
        <v>Digital Payment</v>
      </c>
      <c r="P7938">
        <v>563.6</v>
      </c>
      <c r="Q7938" s="37" t="str">
        <f>IF(P7938&gt;500,"High","low")</f>
        <v>High</v>
      </c>
      <c r="R7938" s="37" t="str">
        <f t="shared" si="619"/>
        <v>Good</v>
      </c>
      <c r="S7938" t="s">
        <v>620</v>
      </c>
    </row>
    <row r="7939" spans="1:19" x14ac:dyDescent="0.2">
      <c r="A7939" t="s">
        <v>8550</v>
      </c>
      <c r="B7939" t="s">
        <v>67</v>
      </c>
      <c r="C7939" t="s">
        <v>614</v>
      </c>
      <c r="D7939">
        <v>3646.23</v>
      </c>
      <c r="E7939" s="37" t="str">
        <f t="shared" ref="E7939:E8002" si="620">IF(AND(D7939&gt;4000,P7939&gt;800),"Excellent Order"," ")</f>
        <v xml:space="preserve"> </v>
      </c>
      <c r="F7939">
        <v>0.08</v>
      </c>
      <c r="G7939" s="37" t="str">
        <f t="shared" ref="G7939:G8002" si="621">IF(F7939&gt;30%,"Heavy Discount","Normal Discount")</f>
        <v>Normal Discount</v>
      </c>
      <c r="H7939" s="37" t="str">
        <f t="shared" ref="H7939:H8002" si="622">IF(F7939&gt;0.4,"High",IF(F7939&gt;=0.2,"Medium","Low"))</f>
        <v>Low</v>
      </c>
      <c r="I7939">
        <v>8</v>
      </c>
      <c r="J7939" t="str" cm="1">
        <f t="array" ref="J7939">_xlfn.IFS(I7939&lt;=3,"small",I7939&lt;=6,"Medium",I7939&lt;=9,"Large")</f>
        <v>Large</v>
      </c>
      <c r="K7939" s="36">
        <v>45643</v>
      </c>
      <c r="L7939" s="36">
        <v>45650</v>
      </c>
      <c r="M7939" t="s">
        <v>603</v>
      </c>
      <c r="N7939" t="s">
        <v>604</v>
      </c>
      <c r="O7939" s="37" t="str">
        <f t="shared" ref="O7939:O8002" si="623">IF(OR(N7939="Card",N7939="UPI"),"Digital Payment","Cash Payment")</f>
        <v>Digital Payment</v>
      </c>
      <c r="P7939">
        <v>349.4</v>
      </c>
      <c r="Q7939" s="37" t="str">
        <f>IF(P7939&gt;500,"High","low")</f>
        <v>low</v>
      </c>
      <c r="R7939" s="37" t="str">
        <f t="shared" ref="R7939:R8002" si="624">IF(P7939&gt;1000,"Excellent",IF(P7939&gt;=500,"Good","AVERAGE"))</f>
        <v>AVERAGE</v>
      </c>
      <c r="S7939" t="s">
        <v>600</v>
      </c>
    </row>
    <row r="7940" spans="1:19" x14ac:dyDescent="0.2">
      <c r="A7940" t="s">
        <v>8551</v>
      </c>
      <c r="B7940" t="s">
        <v>75</v>
      </c>
      <c r="C7940" t="s">
        <v>607</v>
      </c>
      <c r="D7940">
        <v>1323.41</v>
      </c>
      <c r="E7940" s="37" t="str">
        <f t="shared" si="620"/>
        <v xml:space="preserve"> </v>
      </c>
      <c r="F7940">
        <v>0.01</v>
      </c>
      <c r="G7940" s="37" t="str">
        <f t="shared" si="621"/>
        <v>Normal Discount</v>
      </c>
      <c r="H7940" s="37" t="str">
        <f t="shared" si="622"/>
        <v>Low</v>
      </c>
      <c r="I7940">
        <v>7</v>
      </c>
      <c r="J7940" t="str" cm="1">
        <f t="array" ref="J7940">_xlfn.IFS(I7940&lt;=3,"small",I7940&lt;=6,"Medium",I7940&lt;=9,"Large")</f>
        <v>Large</v>
      </c>
      <c r="K7940" s="36">
        <v>45132</v>
      </c>
      <c r="L7940" s="36">
        <v>45137</v>
      </c>
      <c r="M7940" t="s">
        <v>612</v>
      </c>
      <c r="N7940" t="s">
        <v>608</v>
      </c>
      <c r="O7940" s="37" t="str">
        <f t="shared" si="623"/>
        <v>Cash Payment</v>
      </c>
      <c r="P7940">
        <v>217.87</v>
      </c>
      <c r="Q7940" s="37" t="str">
        <f>IF(P7940&gt;500,"High","low")</f>
        <v>low</v>
      </c>
      <c r="R7940" s="37" t="str">
        <f t="shared" si="624"/>
        <v>AVERAGE</v>
      </c>
      <c r="S7940" t="s">
        <v>620</v>
      </c>
    </row>
    <row r="7941" spans="1:19" x14ac:dyDescent="0.2">
      <c r="A7941" t="s">
        <v>8552</v>
      </c>
      <c r="B7941" t="s">
        <v>67</v>
      </c>
      <c r="C7941" t="s">
        <v>607</v>
      </c>
      <c r="D7941">
        <v>3120.27</v>
      </c>
      <c r="E7941" s="37" t="str">
        <f t="shared" si="620"/>
        <v xml:space="preserve"> </v>
      </c>
      <c r="F7941">
        <v>0</v>
      </c>
      <c r="G7941" s="37" t="str">
        <f t="shared" si="621"/>
        <v>Normal Discount</v>
      </c>
      <c r="H7941" s="37" t="str">
        <f t="shared" si="622"/>
        <v>Low</v>
      </c>
      <c r="I7941">
        <v>6</v>
      </c>
      <c r="J7941" t="str" cm="1">
        <f t="array" ref="J7941">_xlfn.IFS(I7941&lt;=3,"small",I7941&lt;=6,"Medium",I7941&lt;=9,"Large")</f>
        <v>Medium</v>
      </c>
      <c r="K7941" s="36">
        <v>45447</v>
      </c>
      <c r="L7941" s="36">
        <v>45452</v>
      </c>
      <c r="M7941" t="s">
        <v>603</v>
      </c>
      <c r="N7941" t="s">
        <v>604</v>
      </c>
      <c r="O7941" s="37" t="str">
        <f t="shared" si="623"/>
        <v>Digital Payment</v>
      </c>
      <c r="P7941">
        <v>226.19</v>
      </c>
      <c r="Q7941" s="37" t="str">
        <f>IF(P7941&gt;500,"High","low")</f>
        <v>low</v>
      </c>
      <c r="R7941" s="37" t="str">
        <f t="shared" si="624"/>
        <v>AVERAGE</v>
      </c>
      <c r="S7941" t="s">
        <v>605</v>
      </c>
    </row>
    <row r="7942" spans="1:19" x14ac:dyDescent="0.2">
      <c r="A7942" t="s">
        <v>8553</v>
      </c>
      <c r="B7942" t="s">
        <v>90</v>
      </c>
      <c r="C7942" t="s">
        <v>614</v>
      </c>
      <c r="D7942">
        <v>3593.5</v>
      </c>
      <c r="E7942" s="37" t="str">
        <f t="shared" si="620"/>
        <v xml:space="preserve"> </v>
      </c>
      <c r="F7942">
        <v>0.46</v>
      </c>
      <c r="G7942" s="37" t="str">
        <f t="shared" si="621"/>
        <v>Heavy Discount</v>
      </c>
      <c r="H7942" s="37" t="str">
        <f t="shared" si="622"/>
        <v>High</v>
      </c>
      <c r="I7942">
        <v>4</v>
      </c>
      <c r="J7942" t="str" cm="1">
        <f t="array" ref="J7942">_xlfn.IFS(I7942&lt;=3,"small",I7942&lt;=6,"Medium",I7942&lt;=9,"Large")</f>
        <v>Medium</v>
      </c>
      <c r="K7942" s="36">
        <v>45324</v>
      </c>
      <c r="L7942" s="36">
        <v>45331</v>
      </c>
      <c r="M7942" t="s">
        <v>612</v>
      </c>
      <c r="N7942" t="s">
        <v>608</v>
      </c>
      <c r="O7942" s="37" t="str">
        <f t="shared" si="623"/>
        <v>Cash Payment</v>
      </c>
      <c r="P7942">
        <v>322.70999999999998</v>
      </c>
      <c r="Q7942" s="37" t="str">
        <f>IF(P7942&gt;500,"High","low")</f>
        <v>low</v>
      </c>
      <c r="R7942" s="37" t="str">
        <f t="shared" si="624"/>
        <v>AVERAGE</v>
      </c>
      <c r="S7942" t="s">
        <v>600</v>
      </c>
    </row>
    <row r="7943" spans="1:19" x14ac:dyDescent="0.2">
      <c r="A7943" t="s">
        <v>8554</v>
      </c>
      <c r="B7943" t="s">
        <v>83</v>
      </c>
      <c r="C7943" t="s">
        <v>597</v>
      </c>
      <c r="D7943">
        <v>4471.25</v>
      </c>
      <c r="E7943" s="37" t="str">
        <f t="shared" si="620"/>
        <v xml:space="preserve"> </v>
      </c>
      <c r="F7943">
        <v>0.08</v>
      </c>
      <c r="G7943" s="37" t="str">
        <f t="shared" si="621"/>
        <v>Normal Discount</v>
      </c>
      <c r="H7943" s="37" t="str">
        <f t="shared" si="622"/>
        <v>Low</v>
      </c>
      <c r="I7943">
        <v>9</v>
      </c>
      <c r="J7943" t="str" cm="1">
        <f t="array" ref="J7943">_xlfn.IFS(I7943&lt;=3,"small",I7943&lt;=6,"Medium",I7943&lt;=9,"Large")</f>
        <v>Large</v>
      </c>
      <c r="K7943" s="36">
        <v>45432</v>
      </c>
      <c r="L7943" s="36">
        <v>45433</v>
      </c>
      <c r="M7943" t="s">
        <v>612</v>
      </c>
      <c r="N7943" t="s">
        <v>604</v>
      </c>
      <c r="O7943" s="37" t="str">
        <f t="shared" si="623"/>
        <v>Digital Payment</v>
      </c>
      <c r="P7943">
        <v>437.99</v>
      </c>
      <c r="Q7943" s="37" t="str">
        <f>IF(P7943&gt;500,"High","low")</f>
        <v>low</v>
      </c>
      <c r="R7943" s="37" t="str">
        <f t="shared" si="624"/>
        <v>AVERAGE</v>
      </c>
      <c r="S7943" t="s">
        <v>605</v>
      </c>
    </row>
    <row r="7944" spans="1:19" x14ac:dyDescent="0.2">
      <c r="A7944" t="s">
        <v>8555</v>
      </c>
      <c r="B7944" t="s">
        <v>83</v>
      </c>
      <c r="C7944" t="s">
        <v>607</v>
      </c>
      <c r="D7944">
        <v>1726.2</v>
      </c>
      <c r="E7944" s="37" t="str">
        <f t="shared" si="620"/>
        <v xml:space="preserve"> </v>
      </c>
      <c r="F7944">
        <v>0.22</v>
      </c>
      <c r="G7944" s="37" t="str">
        <f t="shared" si="621"/>
        <v>Normal Discount</v>
      </c>
      <c r="H7944" s="37" t="str">
        <f t="shared" si="622"/>
        <v>Medium</v>
      </c>
      <c r="I7944">
        <v>2</v>
      </c>
      <c r="J7944" t="str" cm="1">
        <f t="array" ref="J7944">_xlfn.IFS(I7944&lt;=3,"small",I7944&lt;=6,"Medium",I7944&lt;=9,"Large")</f>
        <v>small</v>
      </c>
      <c r="K7944" s="36">
        <v>45192</v>
      </c>
      <c r="L7944" s="36">
        <v>45199</v>
      </c>
      <c r="M7944" t="s">
        <v>612</v>
      </c>
      <c r="N7944" t="s">
        <v>604</v>
      </c>
      <c r="O7944" s="37" t="str">
        <f t="shared" si="623"/>
        <v>Digital Payment</v>
      </c>
      <c r="P7944">
        <v>396.81</v>
      </c>
      <c r="Q7944" s="37" t="str">
        <f>IF(P7944&gt;500,"High","low")</f>
        <v>low</v>
      </c>
      <c r="R7944" s="37" t="str">
        <f t="shared" si="624"/>
        <v>AVERAGE</v>
      </c>
      <c r="S7944" t="s">
        <v>600</v>
      </c>
    </row>
    <row r="7945" spans="1:19" x14ac:dyDescent="0.2">
      <c r="A7945" t="s">
        <v>8556</v>
      </c>
      <c r="B7945" t="s">
        <v>83</v>
      </c>
      <c r="C7945" t="s">
        <v>597</v>
      </c>
      <c r="D7945">
        <v>4316.9399999999996</v>
      </c>
      <c r="E7945" s="37" t="str">
        <f t="shared" si="620"/>
        <v xml:space="preserve"> </v>
      </c>
      <c r="F7945">
        <v>0.03</v>
      </c>
      <c r="G7945" s="37" t="str">
        <f t="shared" si="621"/>
        <v>Normal Discount</v>
      </c>
      <c r="H7945" s="37" t="str">
        <f t="shared" si="622"/>
        <v>Low</v>
      </c>
      <c r="I7945">
        <v>6</v>
      </c>
      <c r="J7945" t="str" cm="1">
        <f t="array" ref="J7945">_xlfn.IFS(I7945&lt;=3,"small",I7945&lt;=6,"Medium",I7945&lt;=9,"Large")</f>
        <v>Medium</v>
      </c>
      <c r="K7945" s="36">
        <v>45125</v>
      </c>
      <c r="L7945" s="36">
        <v>45129</v>
      </c>
      <c r="M7945" t="s">
        <v>603</v>
      </c>
      <c r="N7945" t="s">
        <v>599</v>
      </c>
      <c r="O7945" s="37" t="str">
        <f t="shared" si="623"/>
        <v>Digital Payment</v>
      </c>
      <c r="P7945">
        <v>453.08</v>
      </c>
      <c r="Q7945" s="37" t="str">
        <f>IF(P7945&gt;500,"High","low")</f>
        <v>low</v>
      </c>
      <c r="R7945" s="37" t="str">
        <f t="shared" si="624"/>
        <v>AVERAGE</v>
      </c>
      <c r="S7945" t="s">
        <v>600</v>
      </c>
    </row>
    <row r="7946" spans="1:19" x14ac:dyDescent="0.2">
      <c r="A7946" t="s">
        <v>8557</v>
      </c>
      <c r="B7946" t="s">
        <v>90</v>
      </c>
      <c r="C7946" t="s">
        <v>602</v>
      </c>
      <c r="D7946">
        <v>4731.93</v>
      </c>
      <c r="E7946" s="37" t="str">
        <f t="shared" si="620"/>
        <v>Excellent Order</v>
      </c>
      <c r="F7946">
        <v>0.19</v>
      </c>
      <c r="G7946" s="37" t="str">
        <f t="shared" si="621"/>
        <v>Normal Discount</v>
      </c>
      <c r="H7946" s="37" t="str">
        <f t="shared" si="622"/>
        <v>Low</v>
      </c>
      <c r="I7946">
        <v>6</v>
      </c>
      <c r="J7946" t="str" cm="1">
        <f t="array" ref="J7946">_xlfn.IFS(I7946&lt;=3,"small",I7946&lt;=6,"Medium",I7946&lt;=9,"Large")</f>
        <v>Medium</v>
      </c>
      <c r="K7946" s="36">
        <v>45239</v>
      </c>
      <c r="L7946" s="36">
        <v>45244</v>
      </c>
      <c r="M7946" t="s">
        <v>598</v>
      </c>
      <c r="N7946" t="s">
        <v>608</v>
      </c>
      <c r="O7946" s="37" t="str">
        <f t="shared" si="623"/>
        <v>Cash Payment</v>
      </c>
      <c r="P7946">
        <v>842.47</v>
      </c>
      <c r="Q7946" s="37" t="str">
        <f>IF(P7946&gt;500,"High","low")</f>
        <v>High</v>
      </c>
      <c r="R7946" s="37" t="str">
        <f t="shared" si="624"/>
        <v>Good</v>
      </c>
      <c r="S7946" t="s">
        <v>620</v>
      </c>
    </row>
    <row r="7947" spans="1:19" x14ac:dyDescent="0.2">
      <c r="A7947" t="s">
        <v>8558</v>
      </c>
      <c r="B7947" t="s">
        <v>90</v>
      </c>
      <c r="C7947" t="s">
        <v>607</v>
      </c>
      <c r="D7947">
        <v>3278.53</v>
      </c>
      <c r="E7947" s="37" t="str">
        <f t="shared" si="620"/>
        <v xml:space="preserve"> </v>
      </c>
      <c r="F7947">
        <v>0.39</v>
      </c>
      <c r="G7947" s="37" t="str">
        <f t="shared" si="621"/>
        <v>Heavy Discount</v>
      </c>
      <c r="H7947" s="37" t="str">
        <f t="shared" si="622"/>
        <v>Medium</v>
      </c>
      <c r="I7947">
        <v>4</v>
      </c>
      <c r="J7947" t="str" cm="1">
        <f t="array" ref="J7947">_xlfn.IFS(I7947&lt;=3,"small",I7947&lt;=6,"Medium",I7947&lt;=9,"Large")</f>
        <v>Medium</v>
      </c>
      <c r="K7947" s="36">
        <v>44932</v>
      </c>
      <c r="L7947" s="36">
        <v>44936</v>
      </c>
      <c r="M7947" t="s">
        <v>603</v>
      </c>
      <c r="N7947" t="s">
        <v>599</v>
      </c>
      <c r="O7947" s="37" t="str">
        <f t="shared" si="623"/>
        <v>Digital Payment</v>
      </c>
      <c r="P7947">
        <v>719.2</v>
      </c>
      <c r="Q7947" s="37" t="str">
        <f>IF(P7947&gt;500,"High","low")</f>
        <v>High</v>
      </c>
      <c r="R7947" s="37" t="str">
        <f t="shared" si="624"/>
        <v>Good</v>
      </c>
      <c r="S7947" t="s">
        <v>600</v>
      </c>
    </row>
    <row r="7948" spans="1:19" x14ac:dyDescent="0.2">
      <c r="A7948" t="s">
        <v>8559</v>
      </c>
      <c r="B7948" t="s">
        <v>90</v>
      </c>
      <c r="C7948" t="s">
        <v>614</v>
      </c>
      <c r="D7948">
        <v>3880.02</v>
      </c>
      <c r="E7948" s="37" t="str">
        <f t="shared" si="620"/>
        <v xml:space="preserve"> </v>
      </c>
      <c r="F7948">
        <v>0.2</v>
      </c>
      <c r="G7948" s="37" t="str">
        <f t="shared" si="621"/>
        <v>Normal Discount</v>
      </c>
      <c r="H7948" s="37" t="str">
        <f t="shared" si="622"/>
        <v>Medium</v>
      </c>
      <c r="I7948">
        <v>3</v>
      </c>
      <c r="J7948" t="str" cm="1">
        <f t="array" ref="J7948">_xlfn.IFS(I7948&lt;=3,"small",I7948&lt;=6,"Medium",I7948&lt;=9,"Large")</f>
        <v>small</v>
      </c>
      <c r="K7948" s="36">
        <v>45195</v>
      </c>
      <c r="L7948" s="36">
        <v>45198</v>
      </c>
      <c r="M7948" t="s">
        <v>603</v>
      </c>
      <c r="N7948" t="s">
        <v>599</v>
      </c>
      <c r="O7948" s="37" t="str">
        <f t="shared" si="623"/>
        <v>Digital Payment</v>
      </c>
      <c r="P7948">
        <v>727.5</v>
      </c>
      <c r="Q7948" s="37" t="str">
        <f>IF(P7948&gt;500,"High","low")</f>
        <v>High</v>
      </c>
      <c r="R7948" s="37" t="str">
        <f t="shared" si="624"/>
        <v>Good</v>
      </c>
      <c r="S7948" t="s">
        <v>620</v>
      </c>
    </row>
    <row r="7949" spans="1:19" x14ac:dyDescent="0.2">
      <c r="A7949" t="s">
        <v>8560</v>
      </c>
      <c r="B7949" t="s">
        <v>90</v>
      </c>
      <c r="C7949" t="s">
        <v>597</v>
      </c>
      <c r="D7949">
        <v>2087.96</v>
      </c>
      <c r="E7949" s="37" t="str">
        <f t="shared" si="620"/>
        <v xml:space="preserve"> </v>
      </c>
      <c r="F7949">
        <v>0.39</v>
      </c>
      <c r="G7949" s="37" t="str">
        <f t="shared" si="621"/>
        <v>Heavy Discount</v>
      </c>
      <c r="H7949" s="37" t="str">
        <f t="shared" si="622"/>
        <v>Medium</v>
      </c>
      <c r="I7949">
        <v>3</v>
      </c>
      <c r="J7949" t="str" cm="1">
        <f t="array" ref="J7949">_xlfn.IFS(I7949&lt;=3,"small",I7949&lt;=6,"Medium",I7949&lt;=9,"Large")</f>
        <v>small</v>
      </c>
      <c r="K7949" s="36">
        <v>45497</v>
      </c>
      <c r="L7949" s="36">
        <v>45501</v>
      </c>
      <c r="M7949" t="s">
        <v>598</v>
      </c>
      <c r="N7949" t="s">
        <v>599</v>
      </c>
      <c r="O7949" s="37" t="str">
        <f t="shared" si="623"/>
        <v>Digital Payment</v>
      </c>
      <c r="P7949">
        <v>449.19</v>
      </c>
      <c r="Q7949" s="37" t="str">
        <f>IF(P7949&gt;500,"High","low")</f>
        <v>low</v>
      </c>
      <c r="R7949" s="37" t="str">
        <f t="shared" si="624"/>
        <v>AVERAGE</v>
      </c>
      <c r="S7949" t="s">
        <v>628</v>
      </c>
    </row>
    <row r="7950" spans="1:19" x14ac:dyDescent="0.2">
      <c r="A7950" t="s">
        <v>8561</v>
      </c>
      <c r="B7950" t="s">
        <v>90</v>
      </c>
      <c r="C7950" t="s">
        <v>602</v>
      </c>
      <c r="D7950">
        <v>4765.46</v>
      </c>
      <c r="E7950" s="37" t="str">
        <f t="shared" si="620"/>
        <v>Excellent Order</v>
      </c>
      <c r="F7950">
        <v>0.34</v>
      </c>
      <c r="G7950" s="37" t="str">
        <f t="shared" si="621"/>
        <v>Heavy Discount</v>
      </c>
      <c r="H7950" s="37" t="str">
        <f t="shared" si="622"/>
        <v>Medium</v>
      </c>
      <c r="I7950">
        <v>2</v>
      </c>
      <c r="J7950" t="str" cm="1">
        <f t="array" ref="J7950">_xlfn.IFS(I7950&lt;=3,"small",I7950&lt;=6,"Medium",I7950&lt;=9,"Large")</f>
        <v>small</v>
      </c>
      <c r="K7950" s="36">
        <v>45306</v>
      </c>
      <c r="L7950" s="36">
        <v>45307</v>
      </c>
      <c r="M7950" t="s">
        <v>598</v>
      </c>
      <c r="N7950" t="s">
        <v>599</v>
      </c>
      <c r="O7950" s="37" t="str">
        <f t="shared" si="623"/>
        <v>Digital Payment</v>
      </c>
      <c r="P7950">
        <v>1309.8699999999999</v>
      </c>
      <c r="Q7950" s="37" t="str">
        <f>IF(P7950&gt;500,"High","low")</f>
        <v>High</v>
      </c>
      <c r="R7950" s="37" t="str">
        <f t="shared" si="624"/>
        <v>Excellent</v>
      </c>
      <c r="S7950" t="s">
        <v>609</v>
      </c>
    </row>
    <row r="7951" spans="1:19" x14ac:dyDescent="0.2">
      <c r="A7951" t="s">
        <v>8562</v>
      </c>
      <c r="B7951" t="s">
        <v>67</v>
      </c>
      <c r="C7951" t="s">
        <v>602</v>
      </c>
      <c r="D7951">
        <v>3387.22</v>
      </c>
      <c r="E7951" s="37" t="str">
        <f t="shared" si="620"/>
        <v xml:space="preserve"> </v>
      </c>
      <c r="F7951">
        <v>0.26</v>
      </c>
      <c r="G7951" s="37" t="str">
        <f t="shared" si="621"/>
        <v>Normal Discount</v>
      </c>
      <c r="H7951" s="37" t="str">
        <f t="shared" si="622"/>
        <v>Medium</v>
      </c>
      <c r="I7951">
        <v>3</v>
      </c>
      <c r="J7951" t="str" cm="1">
        <f t="array" ref="J7951">_xlfn.IFS(I7951&lt;=3,"small",I7951&lt;=6,"Medium",I7951&lt;=9,"Large")</f>
        <v>small</v>
      </c>
      <c r="K7951" s="36">
        <v>45046</v>
      </c>
      <c r="L7951" s="36">
        <v>45047</v>
      </c>
      <c r="M7951" t="s">
        <v>598</v>
      </c>
      <c r="N7951" t="s">
        <v>604</v>
      </c>
      <c r="O7951" s="37" t="str">
        <f t="shared" si="623"/>
        <v>Digital Payment</v>
      </c>
      <c r="P7951">
        <v>987.3</v>
      </c>
      <c r="Q7951" s="37" t="str">
        <f>IF(P7951&gt;500,"High","low")</f>
        <v>High</v>
      </c>
      <c r="R7951" s="37" t="str">
        <f t="shared" si="624"/>
        <v>Good</v>
      </c>
      <c r="S7951" t="s">
        <v>620</v>
      </c>
    </row>
    <row r="7952" spans="1:19" x14ac:dyDescent="0.2">
      <c r="A7952" t="s">
        <v>8563</v>
      </c>
      <c r="B7952" t="s">
        <v>90</v>
      </c>
      <c r="C7952" t="s">
        <v>607</v>
      </c>
      <c r="D7952">
        <v>1619.77</v>
      </c>
      <c r="E7952" s="37" t="str">
        <f t="shared" si="620"/>
        <v xml:space="preserve"> </v>
      </c>
      <c r="F7952">
        <v>0.37</v>
      </c>
      <c r="G7952" s="37" t="str">
        <f t="shared" si="621"/>
        <v>Heavy Discount</v>
      </c>
      <c r="H7952" s="37" t="str">
        <f t="shared" si="622"/>
        <v>Medium</v>
      </c>
      <c r="I7952">
        <v>4</v>
      </c>
      <c r="J7952" t="str" cm="1">
        <f t="array" ref="J7952">_xlfn.IFS(I7952&lt;=3,"small",I7952&lt;=6,"Medium",I7952&lt;=9,"Large")</f>
        <v>Medium</v>
      </c>
      <c r="K7952" s="36">
        <v>45464</v>
      </c>
      <c r="L7952" s="36">
        <v>45467</v>
      </c>
      <c r="M7952" t="s">
        <v>603</v>
      </c>
      <c r="N7952" t="s">
        <v>608</v>
      </c>
      <c r="O7952" s="37" t="str">
        <f t="shared" si="623"/>
        <v>Cash Payment</v>
      </c>
      <c r="P7952">
        <v>357.99</v>
      </c>
      <c r="Q7952" s="37" t="str">
        <f>IF(P7952&gt;500,"High","low")</f>
        <v>low</v>
      </c>
      <c r="R7952" s="37" t="str">
        <f t="shared" si="624"/>
        <v>AVERAGE</v>
      </c>
      <c r="S7952" t="s">
        <v>615</v>
      </c>
    </row>
    <row r="7953" spans="1:19" x14ac:dyDescent="0.2">
      <c r="A7953" t="s">
        <v>8564</v>
      </c>
      <c r="B7953" t="s">
        <v>90</v>
      </c>
      <c r="C7953" t="s">
        <v>607</v>
      </c>
      <c r="D7953">
        <v>2080.88</v>
      </c>
      <c r="E7953" s="37" t="str">
        <f t="shared" si="620"/>
        <v xml:space="preserve"> </v>
      </c>
      <c r="F7953">
        <v>0.44</v>
      </c>
      <c r="G7953" s="37" t="str">
        <f t="shared" si="621"/>
        <v>Heavy Discount</v>
      </c>
      <c r="H7953" s="37" t="str">
        <f t="shared" si="622"/>
        <v>High</v>
      </c>
      <c r="I7953">
        <v>4</v>
      </c>
      <c r="J7953" t="str" cm="1">
        <f t="array" ref="J7953">_xlfn.IFS(I7953&lt;=3,"small",I7953&lt;=6,"Medium",I7953&lt;=9,"Large")</f>
        <v>Medium</v>
      </c>
      <c r="K7953" s="36">
        <v>45470</v>
      </c>
      <c r="L7953" s="36">
        <v>45474</v>
      </c>
      <c r="M7953" t="s">
        <v>612</v>
      </c>
      <c r="N7953" t="s">
        <v>599</v>
      </c>
      <c r="O7953" s="37" t="str">
        <f t="shared" si="623"/>
        <v>Digital Payment</v>
      </c>
      <c r="P7953">
        <v>201.2</v>
      </c>
      <c r="Q7953" s="37" t="str">
        <f>IF(P7953&gt;500,"High","low")</f>
        <v>low</v>
      </c>
      <c r="R7953" s="37" t="str">
        <f t="shared" si="624"/>
        <v>AVERAGE</v>
      </c>
      <c r="S7953" t="s">
        <v>600</v>
      </c>
    </row>
    <row r="7954" spans="1:19" x14ac:dyDescent="0.2">
      <c r="A7954" t="s">
        <v>8565</v>
      </c>
      <c r="B7954" t="s">
        <v>90</v>
      </c>
      <c r="C7954" t="s">
        <v>617</v>
      </c>
      <c r="D7954">
        <v>3127</v>
      </c>
      <c r="E7954" s="37" t="str">
        <f t="shared" si="620"/>
        <v xml:space="preserve"> </v>
      </c>
      <c r="F7954">
        <v>0.4</v>
      </c>
      <c r="G7954" s="37" t="str">
        <f t="shared" si="621"/>
        <v>Heavy Discount</v>
      </c>
      <c r="H7954" s="37" t="str">
        <f t="shared" si="622"/>
        <v>Medium</v>
      </c>
      <c r="I7954">
        <v>7</v>
      </c>
      <c r="J7954" t="str" cm="1">
        <f t="array" ref="J7954">_xlfn.IFS(I7954&lt;=3,"small",I7954&lt;=6,"Medium",I7954&lt;=9,"Large")</f>
        <v>Large</v>
      </c>
      <c r="K7954" s="36">
        <v>45377</v>
      </c>
      <c r="L7954" s="36">
        <v>45383</v>
      </c>
      <c r="M7954" t="s">
        <v>598</v>
      </c>
      <c r="N7954" t="s">
        <v>604</v>
      </c>
      <c r="O7954" s="37" t="str">
        <f t="shared" si="623"/>
        <v>Digital Payment</v>
      </c>
      <c r="P7954">
        <v>921.87</v>
      </c>
      <c r="Q7954" s="37" t="str">
        <f>IF(P7954&gt;500,"High","low")</f>
        <v>High</v>
      </c>
      <c r="R7954" s="37" t="str">
        <f t="shared" si="624"/>
        <v>Good</v>
      </c>
      <c r="S7954" t="s">
        <v>609</v>
      </c>
    </row>
    <row r="7955" spans="1:19" x14ac:dyDescent="0.2">
      <c r="A7955" t="s">
        <v>8566</v>
      </c>
      <c r="B7955" t="s">
        <v>90</v>
      </c>
      <c r="C7955" t="s">
        <v>617</v>
      </c>
      <c r="D7955">
        <v>1247.26</v>
      </c>
      <c r="E7955" s="37" t="str">
        <f t="shared" si="620"/>
        <v xml:space="preserve"> </v>
      </c>
      <c r="F7955">
        <v>0.35</v>
      </c>
      <c r="G7955" s="37" t="str">
        <f t="shared" si="621"/>
        <v>Heavy Discount</v>
      </c>
      <c r="H7955" s="37" t="str">
        <f t="shared" si="622"/>
        <v>Medium</v>
      </c>
      <c r="I7955">
        <v>4</v>
      </c>
      <c r="J7955" t="str" cm="1">
        <f t="array" ref="J7955">_xlfn.IFS(I7955&lt;=3,"small",I7955&lt;=6,"Medium",I7955&lt;=9,"Large")</f>
        <v>Medium</v>
      </c>
      <c r="K7955" s="36">
        <v>45321</v>
      </c>
      <c r="L7955" s="36">
        <v>45325</v>
      </c>
      <c r="M7955" t="s">
        <v>612</v>
      </c>
      <c r="N7955" t="s">
        <v>604</v>
      </c>
      <c r="O7955" s="37" t="str">
        <f t="shared" si="623"/>
        <v>Digital Payment</v>
      </c>
      <c r="P7955">
        <v>84.26</v>
      </c>
      <c r="Q7955" s="37" t="str">
        <f>IF(P7955&gt;500,"High","low")</f>
        <v>low</v>
      </c>
      <c r="R7955" s="37" t="str">
        <f t="shared" si="624"/>
        <v>AVERAGE</v>
      </c>
      <c r="S7955" t="s">
        <v>609</v>
      </c>
    </row>
    <row r="7956" spans="1:19" x14ac:dyDescent="0.2">
      <c r="A7956" t="s">
        <v>8567</v>
      </c>
      <c r="B7956" t="s">
        <v>83</v>
      </c>
      <c r="C7956" t="s">
        <v>607</v>
      </c>
      <c r="D7956">
        <v>3794.18</v>
      </c>
      <c r="E7956" s="37" t="str">
        <f t="shared" si="620"/>
        <v xml:space="preserve"> </v>
      </c>
      <c r="F7956">
        <v>0.35</v>
      </c>
      <c r="G7956" s="37" t="str">
        <f t="shared" si="621"/>
        <v>Heavy Discount</v>
      </c>
      <c r="H7956" s="37" t="str">
        <f t="shared" si="622"/>
        <v>Medium</v>
      </c>
      <c r="I7956">
        <v>9</v>
      </c>
      <c r="J7956" t="str" cm="1">
        <f t="array" ref="J7956">_xlfn.IFS(I7956&lt;=3,"small",I7956&lt;=6,"Medium",I7956&lt;=9,"Large")</f>
        <v>Large</v>
      </c>
      <c r="K7956" s="36">
        <v>45368</v>
      </c>
      <c r="L7956" s="36">
        <v>45373</v>
      </c>
      <c r="M7956" t="s">
        <v>603</v>
      </c>
      <c r="N7956" t="s">
        <v>604</v>
      </c>
      <c r="O7956" s="37" t="str">
        <f t="shared" si="623"/>
        <v>Digital Payment</v>
      </c>
      <c r="P7956">
        <v>1069.71</v>
      </c>
      <c r="Q7956" s="37" t="str">
        <f>IF(P7956&gt;500,"High","low")</f>
        <v>High</v>
      </c>
      <c r="R7956" s="37" t="str">
        <f t="shared" si="624"/>
        <v>Excellent</v>
      </c>
      <c r="S7956" t="s">
        <v>628</v>
      </c>
    </row>
    <row r="7957" spans="1:19" x14ac:dyDescent="0.2">
      <c r="A7957" t="s">
        <v>8568</v>
      </c>
      <c r="B7957" t="s">
        <v>90</v>
      </c>
      <c r="C7957" t="s">
        <v>617</v>
      </c>
      <c r="D7957">
        <v>1200.99</v>
      </c>
      <c r="E7957" s="37" t="str">
        <f t="shared" si="620"/>
        <v xml:space="preserve"> </v>
      </c>
      <c r="F7957">
        <v>0.08</v>
      </c>
      <c r="G7957" s="37" t="str">
        <f t="shared" si="621"/>
        <v>Normal Discount</v>
      </c>
      <c r="H7957" s="37" t="str">
        <f t="shared" si="622"/>
        <v>Low</v>
      </c>
      <c r="I7957">
        <v>8</v>
      </c>
      <c r="J7957" t="str" cm="1">
        <f t="array" ref="J7957">_xlfn.IFS(I7957&lt;=3,"small",I7957&lt;=6,"Medium",I7957&lt;=9,"Large")</f>
        <v>Large</v>
      </c>
      <c r="K7957" s="36">
        <v>45083</v>
      </c>
      <c r="L7957" s="36">
        <v>45088</v>
      </c>
      <c r="M7957" t="s">
        <v>598</v>
      </c>
      <c r="N7957" t="s">
        <v>599</v>
      </c>
      <c r="O7957" s="37" t="str">
        <f t="shared" si="623"/>
        <v>Digital Payment</v>
      </c>
      <c r="P7957">
        <v>195.68</v>
      </c>
      <c r="Q7957" s="37" t="str">
        <f>IF(P7957&gt;500,"High","low")</f>
        <v>low</v>
      </c>
      <c r="R7957" s="37" t="str">
        <f t="shared" si="624"/>
        <v>AVERAGE</v>
      </c>
      <c r="S7957" t="s">
        <v>609</v>
      </c>
    </row>
    <row r="7958" spans="1:19" x14ac:dyDescent="0.2">
      <c r="A7958" t="s">
        <v>8569</v>
      </c>
      <c r="B7958" t="s">
        <v>67</v>
      </c>
      <c r="C7958" t="s">
        <v>614</v>
      </c>
      <c r="D7958">
        <v>2999.77</v>
      </c>
      <c r="E7958" s="37" t="str">
        <f t="shared" si="620"/>
        <v xml:space="preserve"> </v>
      </c>
      <c r="F7958">
        <v>0.48</v>
      </c>
      <c r="G7958" s="37" t="str">
        <f t="shared" si="621"/>
        <v>Heavy Discount</v>
      </c>
      <c r="H7958" s="37" t="str">
        <f t="shared" si="622"/>
        <v>High</v>
      </c>
      <c r="I7958">
        <v>1</v>
      </c>
      <c r="J7958" t="str" cm="1">
        <f t="array" ref="J7958">_xlfn.IFS(I7958&lt;=3,"small",I7958&lt;=6,"Medium",I7958&lt;=9,"Large")</f>
        <v>small</v>
      </c>
      <c r="K7958" s="36">
        <v>45056</v>
      </c>
      <c r="L7958" s="36">
        <v>45057</v>
      </c>
      <c r="M7958" t="s">
        <v>612</v>
      </c>
      <c r="N7958" t="s">
        <v>608</v>
      </c>
      <c r="O7958" s="37" t="str">
        <f t="shared" si="623"/>
        <v>Cash Payment</v>
      </c>
      <c r="P7958">
        <v>781.8</v>
      </c>
      <c r="Q7958" s="37" t="str">
        <f>IF(P7958&gt;500,"High","low")</f>
        <v>High</v>
      </c>
      <c r="R7958" s="37" t="str">
        <f t="shared" si="624"/>
        <v>Good</v>
      </c>
      <c r="S7958" t="s">
        <v>609</v>
      </c>
    </row>
    <row r="7959" spans="1:19" x14ac:dyDescent="0.2">
      <c r="A7959" t="s">
        <v>8570</v>
      </c>
      <c r="B7959" t="s">
        <v>67</v>
      </c>
      <c r="C7959" t="s">
        <v>614</v>
      </c>
      <c r="D7959">
        <v>3515.33</v>
      </c>
      <c r="E7959" s="37" t="str">
        <f t="shared" si="620"/>
        <v xml:space="preserve"> </v>
      </c>
      <c r="F7959">
        <v>0.1</v>
      </c>
      <c r="G7959" s="37" t="str">
        <f t="shared" si="621"/>
        <v>Normal Discount</v>
      </c>
      <c r="H7959" s="37" t="str">
        <f t="shared" si="622"/>
        <v>Low</v>
      </c>
      <c r="I7959">
        <v>1</v>
      </c>
      <c r="J7959" t="str" cm="1">
        <f t="array" ref="J7959">_xlfn.IFS(I7959&lt;=3,"small",I7959&lt;=6,"Medium",I7959&lt;=9,"Large")</f>
        <v>small</v>
      </c>
      <c r="K7959" s="36">
        <v>45161</v>
      </c>
      <c r="L7959" s="36">
        <v>45165</v>
      </c>
      <c r="M7959" t="s">
        <v>612</v>
      </c>
      <c r="N7959" t="s">
        <v>604</v>
      </c>
      <c r="O7959" s="37" t="str">
        <f t="shared" si="623"/>
        <v>Digital Payment</v>
      </c>
      <c r="P7959">
        <v>474.72</v>
      </c>
      <c r="Q7959" s="37" t="str">
        <f>IF(P7959&gt;500,"High","low")</f>
        <v>low</v>
      </c>
      <c r="R7959" s="37" t="str">
        <f t="shared" si="624"/>
        <v>AVERAGE</v>
      </c>
      <c r="S7959" t="s">
        <v>615</v>
      </c>
    </row>
    <row r="7960" spans="1:19" x14ac:dyDescent="0.2">
      <c r="A7960" t="s">
        <v>8571</v>
      </c>
      <c r="B7960" t="s">
        <v>67</v>
      </c>
      <c r="C7960" t="s">
        <v>617</v>
      </c>
      <c r="D7960">
        <v>4312.76</v>
      </c>
      <c r="E7960" s="37" t="str">
        <f t="shared" si="620"/>
        <v>Excellent Order</v>
      </c>
      <c r="F7960">
        <v>0.17</v>
      </c>
      <c r="G7960" s="37" t="str">
        <f t="shared" si="621"/>
        <v>Normal Discount</v>
      </c>
      <c r="H7960" s="37" t="str">
        <f t="shared" si="622"/>
        <v>Low</v>
      </c>
      <c r="I7960">
        <v>6</v>
      </c>
      <c r="J7960" t="str" cm="1">
        <f t="array" ref="J7960">_xlfn.IFS(I7960&lt;=3,"small",I7960&lt;=6,"Medium",I7960&lt;=9,"Large")</f>
        <v>Medium</v>
      </c>
      <c r="K7960" s="36">
        <v>45378</v>
      </c>
      <c r="L7960" s="36">
        <v>45380</v>
      </c>
      <c r="M7960" t="s">
        <v>598</v>
      </c>
      <c r="N7960" t="s">
        <v>608</v>
      </c>
      <c r="O7960" s="37" t="str">
        <f t="shared" si="623"/>
        <v>Cash Payment</v>
      </c>
      <c r="P7960">
        <v>821.04</v>
      </c>
      <c r="Q7960" s="37" t="str">
        <f>IF(P7960&gt;500,"High","low")</f>
        <v>High</v>
      </c>
      <c r="R7960" s="37" t="str">
        <f t="shared" si="624"/>
        <v>Good</v>
      </c>
      <c r="S7960" t="s">
        <v>615</v>
      </c>
    </row>
    <row r="7961" spans="1:19" x14ac:dyDescent="0.2">
      <c r="A7961" t="s">
        <v>8572</v>
      </c>
      <c r="B7961" t="s">
        <v>75</v>
      </c>
      <c r="C7961" t="s">
        <v>607</v>
      </c>
      <c r="D7961">
        <v>3696.11</v>
      </c>
      <c r="E7961" s="37" t="str">
        <f t="shared" si="620"/>
        <v xml:space="preserve"> </v>
      </c>
      <c r="F7961">
        <v>0.26</v>
      </c>
      <c r="G7961" s="37" t="str">
        <f t="shared" si="621"/>
        <v>Normal Discount</v>
      </c>
      <c r="H7961" s="37" t="str">
        <f t="shared" si="622"/>
        <v>Medium</v>
      </c>
      <c r="I7961">
        <v>4</v>
      </c>
      <c r="J7961" t="str" cm="1">
        <f t="array" ref="J7961">_xlfn.IFS(I7961&lt;=3,"small",I7961&lt;=6,"Medium",I7961&lt;=9,"Large")</f>
        <v>Medium</v>
      </c>
      <c r="K7961" s="36">
        <v>44975</v>
      </c>
      <c r="L7961" s="36">
        <v>44980</v>
      </c>
      <c r="M7961" t="s">
        <v>603</v>
      </c>
      <c r="N7961" t="s">
        <v>608</v>
      </c>
      <c r="O7961" s="37" t="str">
        <f t="shared" si="623"/>
        <v>Cash Payment</v>
      </c>
      <c r="P7961">
        <v>315.70999999999998</v>
      </c>
      <c r="Q7961" s="37" t="str">
        <f>IF(P7961&gt;500,"High","low")</f>
        <v>low</v>
      </c>
      <c r="R7961" s="37" t="str">
        <f t="shared" si="624"/>
        <v>AVERAGE</v>
      </c>
      <c r="S7961" t="s">
        <v>615</v>
      </c>
    </row>
    <row r="7962" spans="1:19" x14ac:dyDescent="0.2">
      <c r="A7962" t="s">
        <v>8573</v>
      </c>
      <c r="B7962" t="s">
        <v>83</v>
      </c>
      <c r="C7962" t="s">
        <v>614</v>
      </c>
      <c r="D7962">
        <v>4014.24</v>
      </c>
      <c r="E7962" s="37" t="str">
        <f t="shared" si="620"/>
        <v>Excellent Order</v>
      </c>
      <c r="F7962">
        <v>0.06</v>
      </c>
      <c r="G7962" s="37" t="str">
        <f t="shared" si="621"/>
        <v>Normal Discount</v>
      </c>
      <c r="H7962" s="37" t="str">
        <f t="shared" si="622"/>
        <v>Low</v>
      </c>
      <c r="I7962">
        <v>6</v>
      </c>
      <c r="J7962" t="str" cm="1">
        <f t="array" ref="J7962">_xlfn.IFS(I7962&lt;=3,"small",I7962&lt;=6,"Medium",I7962&lt;=9,"Large")</f>
        <v>Medium</v>
      </c>
      <c r="K7962" s="36">
        <v>45295</v>
      </c>
      <c r="L7962" s="36">
        <v>45299</v>
      </c>
      <c r="M7962" t="s">
        <v>598</v>
      </c>
      <c r="N7962" t="s">
        <v>604</v>
      </c>
      <c r="O7962" s="37" t="str">
        <f t="shared" si="623"/>
        <v>Digital Payment</v>
      </c>
      <c r="P7962">
        <v>1109.04</v>
      </c>
      <c r="Q7962" s="37" t="str">
        <f>IF(P7962&gt;500,"High","low")</f>
        <v>High</v>
      </c>
      <c r="R7962" s="37" t="str">
        <f t="shared" si="624"/>
        <v>Excellent</v>
      </c>
      <c r="S7962" t="s">
        <v>605</v>
      </c>
    </row>
    <row r="7963" spans="1:19" x14ac:dyDescent="0.2">
      <c r="A7963" t="s">
        <v>8574</v>
      </c>
      <c r="B7963" t="s">
        <v>90</v>
      </c>
      <c r="C7963" t="s">
        <v>602</v>
      </c>
      <c r="D7963">
        <v>4573.37</v>
      </c>
      <c r="E7963" s="37" t="str">
        <f t="shared" si="620"/>
        <v xml:space="preserve"> </v>
      </c>
      <c r="F7963">
        <v>0.3</v>
      </c>
      <c r="G7963" s="37" t="str">
        <f t="shared" si="621"/>
        <v>Normal Discount</v>
      </c>
      <c r="H7963" s="37" t="str">
        <f t="shared" si="622"/>
        <v>Medium</v>
      </c>
      <c r="I7963">
        <v>9</v>
      </c>
      <c r="J7963" t="str" cm="1">
        <f t="array" ref="J7963">_xlfn.IFS(I7963&lt;=3,"small",I7963&lt;=6,"Medium",I7963&lt;=9,"Large")</f>
        <v>Large</v>
      </c>
      <c r="K7963" s="36">
        <v>45331</v>
      </c>
      <c r="L7963" s="36">
        <v>45334</v>
      </c>
      <c r="M7963" t="s">
        <v>612</v>
      </c>
      <c r="N7963" t="s">
        <v>599</v>
      </c>
      <c r="O7963" s="37" t="str">
        <f t="shared" si="623"/>
        <v>Digital Payment</v>
      </c>
      <c r="P7963">
        <v>571.45000000000005</v>
      </c>
      <c r="Q7963" s="37" t="str">
        <f>IF(P7963&gt;500,"High","low")</f>
        <v>High</v>
      </c>
      <c r="R7963" s="37" t="str">
        <f t="shared" si="624"/>
        <v>Good</v>
      </c>
      <c r="S7963" t="s">
        <v>615</v>
      </c>
    </row>
    <row r="7964" spans="1:19" x14ac:dyDescent="0.2">
      <c r="A7964" t="s">
        <v>8575</v>
      </c>
      <c r="B7964" t="s">
        <v>75</v>
      </c>
      <c r="C7964" t="s">
        <v>607</v>
      </c>
      <c r="D7964">
        <v>3029.08</v>
      </c>
      <c r="E7964" s="37" t="str">
        <f t="shared" si="620"/>
        <v xml:space="preserve"> </v>
      </c>
      <c r="F7964">
        <v>0.09</v>
      </c>
      <c r="G7964" s="37" t="str">
        <f t="shared" si="621"/>
        <v>Normal Discount</v>
      </c>
      <c r="H7964" s="37" t="str">
        <f t="shared" si="622"/>
        <v>Low</v>
      </c>
      <c r="I7964">
        <v>5</v>
      </c>
      <c r="J7964" t="str" cm="1">
        <f t="array" ref="J7964">_xlfn.IFS(I7964&lt;=3,"small",I7964&lt;=6,"Medium",I7964&lt;=9,"Large")</f>
        <v>Medium</v>
      </c>
      <c r="K7964" s="36">
        <v>45455</v>
      </c>
      <c r="L7964" s="36">
        <v>45460</v>
      </c>
      <c r="M7964" t="s">
        <v>612</v>
      </c>
      <c r="N7964" t="s">
        <v>599</v>
      </c>
      <c r="O7964" s="37" t="str">
        <f t="shared" si="623"/>
        <v>Digital Payment</v>
      </c>
      <c r="P7964">
        <v>350.09</v>
      </c>
      <c r="Q7964" s="37" t="str">
        <f>IF(P7964&gt;500,"High","low")</f>
        <v>low</v>
      </c>
      <c r="R7964" s="37" t="str">
        <f t="shared" si="624"/>
        <v>AVERAGE</v>
      </c>
      <c r="S7964" t="s">
        <v>620</v>
      </c>
    </row>
    <row r="7965" spans="1:19" x14ac:dyDescent="0.2">
      <c r="A7965" t="s">
        <v>8576</v>
      </c>
      <c r="B7965" t="s">
        <v>90</v>
      </c>
      <c r="C7965" t="s">
        <v>597</v>
      </c>
      <c r="D7965">
        <v>4246.7700000000004</v>
      </c>
      <c r="E7965" s="37" t="str">
        <f t="shared" si="620"/>
        <v xml:space="preserve"> </v>
      </c>
      <c r="F7965">
        <v>0.46</v>
      </c>
      <c r="G7965" s="37" t="str">
        <f t="shared" si="621"/>
        <v>Heavy Discount</v>
      </c>
      <c r="H7965" s="37" t="str">
        <f t="shared" si="622"/>
        <v>High</v>
      </c>
      <c r="I7965">
        <v>8</v>
      </c>
      <c r="J7965" t="str" cm="1">
        <f t="array" ref="J7965">_xlfn.IFS(I7965&lt;=3,"small",I7965&lt;=6,"Medium",I7965&lt;=9,"Large")</f>
        <v>Large</v>
      </c>
      <c r="K7965" s="36">
        <v>45035</v>
      </c>
      <c r="L7965" s="36">
        <v>45036</v>
      </c>
      <c r="M7965" t="s">
        <v>612</v>
      </c>
      <c r="N7965" t="s">
        <v>599</v>
      </c>
      <c r="O7965" s="37" t="str">
        <f t="shared" si="623"/>
        <v>Digital Payment</v>
      </c>
      <c r="P7965">
        <v>685.51</v>
      </c>
      <c r="Q7965" s="37" t="str">
        <f>IF(P7965&gt;500,"High","low")</f>
        <v>High</v>
      </c>
      <c r="R7965" s="37" t="str">
        <f t="shared" si="624"/>
        <v>Good</v>
      </c>
      <c r="S7965" t="s">
        <v>615</v>
      </c>
    </row>
    <row r="7966" spans="1:19" x14ac:dyDescent="0.2">
      <c r="A7966" t="s">
        <v>8577</v>
      </c>
      <c r="B7966" t="s">
        <v>75</v>
      </c>
      <c r="C7966" t="s">
        <v>597</v>
      </c>
      <c r="D7966">
        <v>1236.17</v>
      </c>
      <c r="E7966" s="37" t="str">
        <f t="shared" si="620"/>
        <v xml:space="preserve"> </v>
      </c>
      <c r="F7966">
        <v>0.44</v>
      </c>
      <c r="G7966" s="37" t="str">
        <f t="shared" si="621"/>
        <v>Heavy Discount</v>
      </c>
      <c r="H7966" s="37" t="str">
        <f t="shared" si="622"/>
        <v>High</v>
      </c>
      <c r="I7966">
        <v>2</v>
      </c>
      <c r="J7966" t="str" cm="1">
        <f t="array" ref="J7966">_xlfn.IFS(I7966&lt;=3,"small",I7966&lt;=6,"Medium",I7966&lt;=9,"Large")</f>
        <v>small</v>
      </c>
      <c r="K7966" s="36">
        <v>45643</v>
      </c>
      <c r="L7966" s="36">
        <v>45644</v>
      </c>
      <c r="M7966" t="s">
        <v>603</v>
      </c>
      <c r="N7966" t="s">
        <v>604</v>
      </c>
      <c r="O7966" s="37" t="str">
        <f t="shared" si="623"/>
        <v>Digital Payment</v>
      </c>
      <c r="P7966">
        <v>174.77</v>
      </c>
      <c r="Q7966" s="37" t="str">
        <f>IF(P7966&gt;500,"High","low")</f>
        <v>low</v>
      </c>
      <c r="R7966" s="37" t="str">
        <f t="shared" si="624"/>
        <v>AVERAGE</v>
      </c>
      <c r="S7966" t="s">
        <v>609</v>
      </c>
    </row>
    <row r="7967" spans="1:19" x14ac:dyDescent="0.2">
      <c r="A7967" t="s">
        <v>8578</v>
      </c>
      <c r="B7967" t="s">
        <v>75</v>
      </c>
      <c r="C7967" t="s">
        <v>607</v>
      </c>
      <c r="D7967">
        <v>4092.19</v>
      </c>
      <c r="E7967" s="37" t="str">
        <f t="shared" si="620"/>
        <v xml:space="preserve"> </v>
      </c>
      <c r="F7967">
        <v>0.27</v>
      </c>
      <c r="G7967" s="37" t="str">
        <f t="shared" si="621"/>
        <v>Normal Discount</v>
      </c>
      <c r="H7967" s="37" t="str">
        <f t="shared" si="622"/>
        <v>Medium</v>
      </c>
      <c r="I7967">
        <v>8</v>
      </c>
      <c r="J7967" t="str" cm="1">
        <f t="array" ref="J7967">_xlfn.IFS(I7967&lt;=3,"small",I7967&lt;=6,"Medium",I7967&lt;=9,"Large")</f>
        <v>Large</v>
      </c>
      <c r="K7967" s="36">
        <v>45022</v>
      </c>
      <c r="L7967" s="36">
        <v>45023</v>
      </c>
      <c r="M7967" t="s">
        <v>612</v>
      </c>
      <c r="N7967" t="s">
        <v>608</v>
      </c>
      <c r="O7967" s="37" t="str">
        <f t="shared" si="623"/>
        <v>Cash Payment</v>
      </c>
      <c r="P7967">
        <v>345.7</v>
      </c>
      <c r="Q7967" s="37" t="str">
        <f>IF(P7967&gt;500,"High","low")</f>
        <v>low</v>
      </c>
      <c r="R7967" s="37" t="str">
        <f t="shared" si="624"/>
        <v>AVERAGE</v>
      </c>
      <c r="S7967" t="s">
        <v>615</v>
      </c>
    </row>
    <row r="7968" spans="1:19" x14ac:dyDescent="0.2">
      <c r="A7968" t="s">
        <v>8579</v>
      </c>
      <c r="B7968" t="s">
        <v>67</v>
      </c>
      <c r="C7968" t="s">
        <v>617</v>
      </c>
      <c r="D7968">
        <v>1186.27</v>
      </c>
      <c r="E7968" s="37" t="str">
        <f t="shared" si="620"/>
        <v xml:space="preserve"> </v>
      </c>
      <c r="F7968">
        <v>0.22</v>
      </c>
      <c r="G7968" s="37" t="str">
        <f t="shared" si="621"/>
        <v>Normal Discount</v>
      </c>
      <c r="H7968" s="37" t="str">
        <f t="shared" si="622"/>
        <v>Medium</v>
      </c>
      <c r="I7968">
        <v>8</v>
      </c>
      <c r="J7968" t="str" cm="1">
        <f t="array" ref="J7968">_xlfn.IFS(I7968&lt;=3,"small",I7968&lt;=6,"Medium",I7968&lt;=9,"Large")</f>
        <v>Large</v>
      </c>
      <c r="K7968" s="36">
        <v>45425</v>
      </c>
      <c r="L7968" s="36">
        <v>45426</v>
      </c>
      <c r="M7968" t="s">
        <v>598</v>
      </c>
      <c r="N7968" t="s">
        <v>599</v>
      </c>
      <c r="O7968" s="37" t="str">
        <f t="shared" si="623"/>
        <v>Digital Payment</v>
      </c>
      <c r="P7968">
        <v>66.62</v>
      </c>
      <c r="Q7968" s="37" t="str">
        <f>IF(P7968&gt;500,"High","low")</f>
        <v>low</v>
      </c>
      <c r="R7968" s="37" t="str">
        <f t="shared" si="624"/>
        <v>AVERAGE</v>
      </c>
      <c r="S7968" t="s">
        <v>600</v>
      </c>
    </row>
    <row r="7969" spans="1:19" x14ac:dyDescent="0.2">
      <c r="A7969" t="s">
        <v>8580</v>
      </c>
      <c r="B7969" t="s">
        <v>67</v>
      </c>
      <c r="C7969" t="s">
        <v>614</v>
      </c>
      <c r="D7969">
        <v>4679.68</v>
      </c>
      <c r="E7969" s="37" t="str">
        <f t="shared" si="620"/>
        <v xml:space="preserve"> </v>
      </c>
      <c r="F7969">
        <v>0.05</v>
      </c>
      <c r="G7969" s="37" t="str">
        <f t="shared" si="621"/>
        <v>Normal Discount</v>
      </c>
      <c r="H7969" s="37" t="str">
        <f t="shared" si="622"/>
        <v>Low</v>
      </c>
      <c r="I7969">
        <v>2</v>
      </c>
      <c r="J7969" t="str" cm="1">
        <f t="array" ref="J7969">_xlfn.IFS(I7969&lt;=3,"small",I7969&lt;=6,"Medium",I7969&lt;=9,"Large")</f>
        <v>small</v>
      </c>
      <c r="K7969" s="36">
        <v>45480</v>
      </c>
      <c r="L7969" s="36">
        <v>45484</v>
      </c>
      <c r="M7969" t="s">
        <v>603</v>
      </c>
      <c r="N7969" t="s">
        <v>608</v>
      </c>
      <c r="O7969" s="37" t="str">
        <f t="shared" si="623"/>
        <v>Cash Payment</v>
      </c>
      <c r="P7969">
        <v>609.58000000000004</v>
      </c>
      <c r="Q7969" s="37" t="str">
        <f>IF(P7969&gt;500,"High","low")</f>
        <v>High</v>
      </c>
      <c r="R7969" s="37" t="str">
        <f t="shared" si="624"/>
        <v>Good</v>
      </c>
      <c r="S7969" t="s">
        <v>609</v>
      </c>
    </row>
    <row r="7970" spans="1:19" x14ac:dyDescent="0.2">
      <c r="A7970" t="s">
        <v>8581</v>
      </c>
      <c r="B7970" t="s">
        <v>75</v>
      </c>
      <c r="C7970" t="s">
        <v>614</v>
      </c>
      <c r="D7970">
        <v>1716.87</v>
      </c>
      <c r="E7970" s="37" t="str">
        <f t="shared" si="620"/>
        <v xml:space="preserve"> </v>
      </c>
      <c r="F7970">
        <v>0.41</v>
      </c>
      <c r="G7970" s="37" t="str">
        <f t="shared" si="621"/>
        <v>Heavy Discount</v>
      </c>
      <c r="H7970" s="37" t="str">
        <f t="shared" si="622"/>
        <v>High</v>
      </c>
      <c r="I7970">
        <v>7</v>
      </c>
      <c r="J7970" t="str" cm="1">
        <f t="array" ref="J7970">_xlfn.IFS(I7970&lt;=3,"small",I7970&lt;=6,"Medium",I7970&lt;=9,"Large")</f>
        <v>Large</v>
      </c>
      <c r="K7970" s="36">
        <v>45614</v>
      </c>
      <c r="L7970" s="36">
        <v>45620</v>
      </c>
      <c r="M7970" t="s">
        <v>612</v>
      </c>
      <c r="N7970" t="s">
        <v>604</v>
      </c>
      <c r="O7970" s="37" t="str">
        <f t="shared" si="623"/>
        <v>Digital Payment</v>
      </c>
      <c r="P7970">
        <v>394.81</v>
      </c>
      <c r="Q7970" s="37" t="str">
        <f>IF(P7970&gt;500,"High","low")</f>
        <v>low</v>
      </c>
      <c r="R7970" s="37" t="str">
        <f t="shared" si="624"/>
        <v>AVERAGE</v>
      </c>
      <c r="S7970" t="s">
        <v>620</v>
      </c>
    </row>
    <row r="7971" spans="1:19" x14ac:dyDescent="0.2">
      <c r="A7971" t="s">
        <v>8582</v>
      </c>
      <c r="B7971" t="s">
        <v>67</v>
      </c>
      <c r="C7971" t="s">
        <v>607</v>
      </c>
      <c r="D7971">
        <v>942.01</v>
      </c>
      <c r="E7971" s="37" t="str">
        <f t="shared" si="620"/>
        <v xml:space="preserve"> </v>
      </c>
      <c r="F7971">
        <v>0.19</v>
      </c>
      <c r="G7971" s="37" t="str">
        <f t="shared" si="621"/>
        <v>Normal Discount</v>
      </c>
      <c r="H7971" s="37" t="str">
        <f t="shared" si="622"/>
        <v>Low</v>
      </c>
      <c r="I7971">
        <v>8</v>
      </c>
      <c r="J7971" t="str" cm="1">
        <f t="array" ref="J7971">_xlfn.IFS(I7971&lt;=3,"small",I7971&lt;=6,"Medium",I7971&lt;=9,"Large")</f>
        <v>Large</v>
      </c>
      <c r="K7971" s="36">
        <v>45042</v>
      </c>
      <c r="L7971" s="36">
        <v>45046</v>
      </c>
      <c r="M7971" t="s">
        <v>603</v>
      </c>
      <c r="N7971" t="s">
        <v>608</v>
      </c>
      <c r="O7971" s="37" t="str">
        <f t="shared" si="623"/>
        <v>Cash Payment</v>
      </c>
      <c r="P7971">
        <v>91.62</v>
      </c>
      <c r="Q7971" s="37" t="str">
        <f>IF(P7971&gt;500,"High","low")</f>
        <v>low</v>
      </c>
      <c r="R7971" s="37" t="str">
        <f t="shared" si="624"/>
        <v>AVERAGE</v>
      </c>
      <c r="S7971" t="s">
        <v>615</v>
      </c>
    </row>
    <row r="7972" spans="1:19" x14ac:dyDescent="0.2">
      <c r="A7972" t="s">
        <v>8583</v>
      </c>
      <c r="B7972" t="s">
        <v>75</v>
      </c>
      <c r="C7972" t="s">
        <v>602</v>
      </c>
      <c r="D7972">
        <v>826.03</v>
      </c>
      <c r="E7972" s="37" t="str">
        <f t="shared" si="620"/>
        <v xml:space="preserve"> </v>
      </c>
      <c r="F7972">
        <v>0.12</v>
      </c>
      <c r="G7972" s="37" t="str">
        <f t="shared" si="621"/>
        <v>Normal Discount</v>
      </c>
      <c r="H7972" s="37" t="str">
        <f t="shared" si="622"/>
        <v>Low</v>
      </c>
      <c r="I7972">
        <v>7</v>
      </c>
      <c r="J7972" t="str" cm="1">
        <f t="array" ref="J7972">_xlfn.IFS(I7972&lt;=3,"small",I7972&lt;=6,"Medium",I7972&lt;=9,"Large")</f>
        <v>Large</v>
      </c>
      <c r="K7972" s="36">
        <v>45277</v>
      </c>
      <c r="L7972" s="36">
        <v>45282</v>
      </c>
      <c r="M7972" t="s">
        <v>603</v>
      </c>
      <c r="N7972" t="s">
        <v>604</v>
      </c>
      <c r="O7972" s="37" t="str">
        <f t="shared" si="623"/>
        <v>Digital Payment</v>
      </c>
      <c r="P7972">
        <v>76.92</v>
      </c>
      <c r="Q7972" s="37" t="str">
        <f>IF(P7972&gt;500,"High","low")</f>
        <v>low</v>
      </c>
      <c r="R7972" s="37" t="str">
        <f t="shared" si="624"/>
        <v>AVERAGE</v>
      </c>
      <c r="S7972" t="s">
        <v>609</v>
      </c>
    </row>
    <row r="7973" spans="1:19" x14ac:dyDescent="0.2">
      <c r="A7973" t="s">
        <v>8584</v>
      </c>
      <c r="B7973" t="s">
        <v>83</v>
      </c>
      <c r="C7973" t="s">
        <v>617</v>
      </c>
      <c r="D7973">
        <v>1017.63</v>
      </c>
      <c r="E7973" s="37" t="str">
        <f t="shared" si="620"/>
        <v xml:space="preserve"> </v>
      </c>
      <c r="F7973">
        <v>0.5</v>
      </c>
      <c r="G7973" s="37" t="str">
        <f t="shared" si="621"/>
        <v>Heavy Discount</v>
      </c>
      <c r="H7973" s="37" t="str">
        <f t="shared" si="622"/>
        <v>High</v>
      </c>
      <c r="I7973">
        <v>6</v>
      </c>
      <c r="J7973" t="str" cm="1">
        <f t="array" ref="J7973">_xlfn.IFS(I7973&lt;=3,"small",I7973&lt;=6,"Medium",I7973&lt;=9,"Large")</f>
        <v>Medium</v>
      </c>
      <c r="K7973" s="36">
        <v>45597</v>
      </c>
      <c r="L7973" s="36">
        <v>45599</v>
      </c>
      <c r="M7973" t="s">
        <v>598</v>
      </c>
      <c r="N7973" t="s">
        <v>608</v>
      </c>
      <c r="O7973" s="37" t="str">
        <f t="shared" si="623"/>
        <v>Cash Payment</v>
      </c>
      <c r="P7973">
        <v>186.3</v>
      </c>
      <c r="Q7973" s="37" t="str">
        <f>IF(P7973&gt;500,"High","low")</f>
        <v>low</v>
      </c>
      <c r="R7973" s="37" t="str">
        <f t="shared" si="624"/>
        <v>AVERAGE</v>
      </c>
      <c r="S7973" t="s">
        <v>605</v>
      </c>
    </row>
    <row r="7974" spans="1:19" x14ac:dyDescent="0.2">
      <c r="A7974" t="s">
        <v>8585</v>
      </c>
      <c r="B7974" t="s">
        <v>67</v>
      </c>
      <c r="C7974" t="s">
        <v>602</v>
      </c>
      <c r="D7974">
        <v>2292.9499999999998</v>
      </c>
      <c r="E7974" s="37" t="str">
        <f t="shared" si="620"/>
        <v xml:space="preserve"> </v>
      </c>
      <c r="F7974">
        <v>0.33</v>
      </c>
      <c r="G7974" s="37" t="str">
        <f t="shared" si="621"/>
        <v>Heavy Discount</v>
      </c>
      <c r="H7974" s="37" t="str">
        <f t="shared" si="622"/>
        <v>Medium</v>
      </c>
      <c r="I7974">
        <v>3</v>
      </c>
      <c r="J7974" t="str" cm="1">
        <f t="array" ref="J7974">_xlfn.IFS(I7974&lt;=3,"small",I7974&lt;=6,"Medium",I7974&lt;=9,"Large")</f>
        <v>small</v>
      </c>
      <c r="K7974" s="36">
        <v>45564</v>
      </c>
      <c r="L7974" s="36">
        <v>45565</v>
      </c>
      <c r="M7974" t="s">
        <v>598</v>
      </c>
      <c r="N7974" t="s">
        <v>604</v>
      </c>
      <c r="O7974" s="37" t="str">
        <f t="shared" si="623"/>
        <v>Digital Payment</v>
      </c>
      <c r="P7974">
        <v>499.67</v>
      </c>
      <c r="Q7974" s="37" t="str">
        <f>IF(P7974&gt;500,"High","low")</f>
        <v>low</v>
      </c>
      <c r="R7974" s="37" t="str">
        <f t="shared" si="624"/>
        <v>AVERAGE</v>
      </c>
      <c r="S7974" t="s">
        <v>615</v>
      </c>
    </row>
    <row r="7975" spans="1:19" x14ac:dyDescent="0.2">
      <c r="A7975" t="s">
        <v>8586</v>
      </c>
      <c r="B7975" t="s">
        <v>67</v>
      </c>
      <c r="C7975" t="s">
        <v>607</v>
      </c>
      <c r="D7975">
        <v>2658.53</v>
      </c>
      <c r="E7975" s="37" t="str">
        <f t="shared" si="620"/>
        <v xml:space="preserve"> </v>
      </c>
      <c r="F7975">
        <v>0.04</v>
      </c>
      <c r="G7975" s="37" t="str">
        <f t="shared" si="621"/>
        <v>Normal Discount</v>
      </c>
      <c r="H7975" s="37" t="str">
        <f t="shared" si="622"/>
        <v>Low</v>
      </c>
      <c r="I7975">
        <v>3</v>
      </c>
      <c r="J7975" t="str" cm="1">
        <f t="array" ref="J7975">_xlfn.IFS(I7975&lt;=3,"small",I7975&lt;=6,"Medium",I7975&lt;=9,"Large")</f>
        <v>small</v>
      </c>
      <c r="K7975" s="36">
        <v>45311</v>
      </c>
      <c r="L7975" s="36">
        <v>45313</v>
      </c>
      <c r="M7975" t="s">
        <v>598</v>
      </c>
      <c r="N7975" t="s">
        <v>608</v>
      </c>
      <c r="O7975" s="37" t="str">
        <f t="shared" si="623"/>
        <v>Cash Payment</v>
      </c>
      <c r="P7975">
        <v>788.81</v>
      </c>
      <c r="Q7975" s="37" t="str">
        <f>IF(P7975&gt;500,"High","low")</f>
        <v>High</v>
      </c>
      <c r="R7975" s="37" t="str">
        <f t="shared" si="624"/>
        <v>Good</v>
      </c>
      <c r="S7975" t="s">
        <v>605</v>
      </c>
    </row>
    <row r="7976" spans="1:19" x14ac:dyDescent="0.2">
      <c r="A7976" t="s">
        <v>8587</v>
      </c>
      <c r="B7976" t="s">
        <v>67</v>
      </c>
      <c r="C7976" t="s">
        <v>607</v>
      </c>
      <c r="D7976">
        <v>4577.55</v>
      </c>
      <c r="E7976" s="37" t="str">
        <f t="shared" si="620"/>
        <v xml:space="preserve"> </v>
      </c>
      <c r="F7976">
        <v>0.4</v>
      </c>
      <c r="G7976" s="37" t="str">
        <f t="shared" si="621"/>
        <v>Heavy Discount</v>
      </c>
      <c r="H7976" s="37" t="str">
        <f t="shared" si="622"/>
        <v>Medium</v>
      </c>
      <c r="I7976">
        <v>8</v>
      </c>
      <c r="J7976" t="str" cm="1">
        <f t="array" ref="J7976">_xlfn.IFS(I7976&lt;=3,"small",I7976&lt;=6,"Medium",I7976&lt;=9,"Large")</f>
        <v>Large</v>
      </c>
      <c r="K7976" s="36">
        <v>45274</v>
      </c>
      <c r="L7976" s="36">
        <v>45275</v>
      </c>
      <c r="M7976" t="s">
        <v>603</v>
      </c>
      <c r="N7976" t="s">
        <v>604</v>
      </c>
      <c r="O7976" s="37" t="str">
        <f t="shared" si="623"/>
        <v>Digital Payment</v>
      </c>
      <c r="P7976">
        <v>324.32</v>
      </c>
      <c r="Q7976" s="37" t="str">
        <f>IF(P7976&gt;500,"High","low")</f>
        <v>low</v>
      </c>
      <c r="R7976" s="37" t="str">
        <f t="shared" si="624"/>
        <v>AVERAGE</v>
      </c>
      <c r="S7976" t="s">
        <v>600</v>
      </c>
    </row>
    <row r="7977" spans="1:19" x14ac:dyDescent="0.2">
      <c r="A7977" t="s">
        <v>8588</v>
      </c>
      <c r="B7977" t="s">
        <v>83</v>
      </c>
      <c r="C7977" t="s">
        <v>602</v>
      </c>
      <c r="D7977">
        <v>1966.97</v>
      </c>
      <c r="E7977" s="37" t="str">
        <f t="shared" si="620"/>
        <v xml:space="preserve"> </v>
      </c>
      <c r="F7977">
        <v>0.38</v>
      </c>
      <c r="G7977" s="37" t="str">
        <f t="shared" si="621"/>
        <v>Heavy Discount</v>
      </c>
      <c r="H7977" s="37" t="str">
        <f t="shared" si="622"/>
        <v>Medium</v>
      </c>
      <c r="I7977">
        <v>4</v>
      </c>
      <c r="J7977" t="str" cm="1">
        <f t="array" ref="J7977">_xlfn.IFS(I7977&lt;=3,"small",I7977&lt;=6,"Medium",I7977&lt;=9,"Large")</f>
        <v>Medium</v>
      </c>
      <c r="K7977" s="36">
        <v>45525</v>
      </c>
      <c r="L7977" s="36">
        <v>45530</v>
      </c>
      <c r="M7977" t="s">
        <v>612</v>
      </c>
      <c r="N7977" t="s">
        <v>608</v>
      </c>
      <c r="O7977" s="37" t="str">
        <f t="shared" si="623"/>
        <v>Cash Payment</v>
      </c>
      <c r="P7977">
        <v>326.27</v>
      </c>
      <c r="Q7977" s="37" t="str">
        <f>IF(P7977&gt;500,"High","low")</f>
        <v>low</v>
      </c>
      <c r="R7977" s="37" t="str">
        <f t="shared" si="624"/>
        <v>AVERAGE</v>
      </c>
      <c r="S7977" t="s">
        <v>605</v>
      </c>
    </row>
    <row r="7978" spans="1:19" x14ac:dyDescent="0.2">
      <c r="A7978" t="s">
        <v>8589</v>
      </c>
      <c r="B7978" t="s">
        <v>75</v>
      </c>
      <c r="C7978" t="s">
        <v>597</v>
      </c>
      <c r="D7978">
        <v>1165.6600000000001</v>
      </c>
      <c r="E7978" s="37" t="str">
        <f t="shared" si="620"/>
        <v xml:space="preserve"> </v>
      </c>
      <c r="F7978">
        <v>0.2</v>
      </c>
      <c r="G7978" s="37" t="str">
        <f t="shared" si="621"/>
        <v>Normal Discount</v>
      </c>
      <c r="H7978" s="37" t="str">
        <f t="shared" si="622"/>
        <v>Medium</v>
      </c>
      <c r="I7978">
        <v>8</v>
      </c>
      <c r="J7978" t="str" cm="1">
        <f t="array" ref="J7978">_xlfn.IFS(I7978&lt;=3,"small",I7978&lt;=6,"Medium",I7978&lt;=9,"Large")</f>
        <v>Large</v>
      </c>
      <c r="K7978" s="36">
        <v>45554</v>
      </c>
      <c r="L7978" s="36">
        <v>45557</v>
      </c>
      <c r="M7978" t="s">
        <v>603</v>
      </c>
      <c r="N7978" t="s">
        <v>599</v>
      </c>
      <c r="O7978" s="37" t="str">
        <f t="shared" si="623"/>
        <v>Digital Payment</v>
      </c>
      <c r="P7978">
        <v>340.59</v>
      </c>
      <c r="Q7978" s="37" t="str">
        <f>IF(P7978&gt;500,"High","low")</f>
        <v>low</v>
      </c>
      <c r="R7978" s="37" t="str">
        <f t="shared" si="624"/>
        <v>AVERAGE</v>
      </c>
      <c r="S7978" t="s">
        <v>605</v>
      </c>
    </row>
    <row r="7979" spans="1:19" x14ac:dyDescent="0.2">
      <c r="A7979" t="s">
        <v>8590</v>
      </c>
      <c r="B7979" t="s">
        <v>90</v>
      </c>
      <c r="C7979" t="s">
        <v>607</v>
      </c>
      <c r="D7979">
        <v>3744.72</v>
      </c>
      <c r="E7979" s="37" t="str">
        <f t="shared" si="620"/>
        <v xml:space="preserve"> </v>
      </c>
      <c r="F7979">
        <v>0.06</v>
      </c>
      <c r="G7979" s="37" t="str">
        <f t="shared" si="621"/>
        <v>Normal Discount</v>
      </c>
      <c r="H7979" s="37" t="str">
        <f t="shared" si="622"/>
        <v>Low</v>
      </c>
      <c r="I7979">
        <v>6</v>
      </c>
      <c r="J7979" t="str" cm="1">
        <f t="array" ref="J7979">_xlfn.IFS(I7979&lt;=3,"small",I7979&lt;=6,"Medium",I7979&lt;=9,"Large")</f>
        <v>Medium</v>
      </c>
      <c r="K7979" s="36">
        <v>45429</v>
      </c>
      <c r="L7979" s="36">
        <v>45430</v>
      </c>
      <c r="M7979" t="s">
        <v>598</v>
      </c>
      <c r="N7979" t="s">
        <v>604</v>
      </c>
      <c r="O7979" s="37" t="str">
        <f t="shared" si="623"/>
        <v>Digital Payment</v>
      </c>
      <c r="P7979">
        <v>789.4</v>
      </c>
      <c r="Q7979" s="37" t="str">
        <f>IF(P7979&gt;500,"High","low")</f>
        <v>High</v>
      </c>
      <c r="R7979" s="37" t="str">
        <f t="shared" si="624"/>
        <v>Good</v>
      </c>
      <c r="S7979" t="s">
        <v>615</v>
      </c>
    </row>
    <row r="7980" spans="1:19" x14ac:dyDescent="0.2">
      <c r="A7980" t="s">
        <v>8591</v>
      </c>
      <c r="B7980" t="s">
        <v>67</v>
      </c>
      <c r="C7980" t="s">
        <v>617</v>
      </c>
      <c r="D7980">
        <v>759.81</v>
      </c>
      <c r="E7980" s="37" t="str">
        <f t="shared" si="620"/>
        <v xml:space="preserve"> </v>
      </c>
      <c r="F7980">
        <v>0.25</v>
      </c>
      <c r="G7980" s="37" t="str">
        <f t="shared" si="621"/>
        <v>Normal Discount</v>
      </c>
      <c r="H7980" s="37" t="str">
        <f t="shared" si="622"/>
        <v>Medium</v>
      </c>
      <c r="I7980">
        <v>3</v>
      </c>
      <c r="J7980" t="str" cm="1">
        <f t="array" ref="J7980">_xlfn.IFS(I7980&lt;=3,"small",I7980&lt;=6,"Medium",I7980&lt;=9,"Large")</f>
        <v>small</v>
      </c>
      <c r="K7980" s="36">
        <v>45507</v>
      </c>
      <c r="L7980" s="36">
        <v>45510</v>
      </c>
      <c r="M7980" t="s">
        <v>603</v>
      </c>
      <c r="N7980" t="s">
        <v>599</v>
      </c>
      <c r="O7980" s="37" t="str">
        <f t="shared" si="623"/>
        <v>Digital Payment</v>
      </c>
      <c r="P7980">
        <v>161.57</v>
      </c>
      <c r="Q7980" s="37" t="str">
        <f>IF(P7980&gt;500,"High","low")</f>
        <v>low</v>
      </c>
      <c r="R7980" s="37" t="str">
        <f t="shared" si="624"/>
        <v>AVERAGE</v>
      </c>
      <c r="S7980" t="s">
        <v>600</v>
      </c>
    </row>
    <row r="7981" spans="1:19" x14ac:dyDescent="0.2">
      <c r="A7981" t="s">
        <v>8592</v>
      </c>
      <c r="B7981" t="s">
        <v>75</v>
      </c>
      <c r="C7981" t="s">
        <v>602</v>
      </c>
      <c r="D7981">
        <v>4472.1899999999996</v>
      </c>
      <c r="E7981" s="37" t="str">
        <f t="shared" si="620"/>
        <v>Excellent Order</v>
      </c>
      <c r="F7981">
        <v>0.38</v>
      </c>
      <c r="G7981" s="37" t="str">
        <f t="shared" si="621"/>
        <v>Heavy Discount</v>
      </c>
      <c r="H7981" s="37" t="str">
        <f t="shared" si="622"/>
        <v>Medium</v>
      </c>
      <c r="I7981">
        <v>2</v>
      </c>
      <c r="J7981" t="str" cm="1">
        <f t="array" ref="J7981">_xlfn.IFS(I7981&lt;=3,"small",I7981&lt;=6,"Medium",I7981&lt;=9,"Large")</f>
        <v>small</v>
      </c>
      <c r="K7981" s="36">
        <v>45439</v>
      </c>
      <c r="L7981" s="36">
        <v>45445</v>
      </c>
      <c r="M7981" t="s">
        <v>612</v>
      </c>
      <c r="N7981" t="s">
        <v>604</v>
      </c>
      <c r="O7981" s="37" t="str">
        <f t="shared" si="623"/>
        <v>Digital Payment</v>
      </c>
      <c r="P7981">
        <v>1228.72</v>
      </c>
      <c r="Q7981" s="37" t="str">
        <f>IF(P7981&gt;500,"High","low")</f>
        <v>High</v>
      </c>
      <c r="R7981" s="37" t="str">
        <f t="shared" si="624"/>
        <v>Excellent</v>
      </c>
      <c r="S7981" t="s">
        <v>605</v>
      </c>
    </row>
    <row r="7982" spans="1:19" x14ac:dyDescent="0.2">
      <c r="A7982" t="s">
        <v>8593</v>
      </c>
      <c r="B7982" t="s">
        <v>83</v>
      </c>
      <c r="C7982" t="s">
        <v>597</v>
      </c>
      <c r="D7982">
        <v>2106.06</v>
      </c>
      <c r="E7982" s="37" t="str">
        <f t="shared" si="620"/>
        <v xml:space="preserve"> </v>
      </c>
      <c r="F7982">
        <v>0.04</v>
      </c>
      <c r="G7982" s="37" t="str">
        <f t="shared" si="621"/>
        <v>Normal Discount</v>
      </c>
      <c r="H7982" s="37" t="str">
        <f t="shared" si="622"/>
        <v>Low</v>
      </c>
      <c r="I7982">
        <v>1</v>
      </c>
      <c r="J7982" t="str" cm="1">
        <f t="array" ref="J7982">_xlfn.IFS(I7982&lt;=3,"small",I7982&lt;=6,"Medium",I7982&lt;=9,"Large")</f>
        <v>small</v>
      </c>
      <c r="K7982" s="36">
        <v>45129</v>
      </c>
      <c r="L7982" s="36">
        <v>45130</v>
      </c>
      <c r="M7982" t="s">
        <v>603</v>
      </c>
      <c r="N7982" t="s">
        <v>604</v>
      </c>
      <c r="O7982" s="37" t="str">
        <f t="shared" si="623"/>
        <v>Digital Payment</v>
      </c>
      <c r="P7982">
        <v>284.25</v>
      </c>
      <c r="Q7982" s="37" t="str">
        <f>IF(P7982&gt;500,"High","low")</f>
        <v>low</v>
      </c>
      <c r="R7982" s="37" t="str">
        <f t="shared" si="624"/>
        <v>AVERAGE</v>
      </c>
      <c r="S7982" t="s">
        <v>609</v>
      </c>
    </row>
    <row r="7983" spans="1:19" x14ac:dyDescent="0.2">
      <c r="A7983" t="s">
        <v>8594</v>
      </c>
      <c r="B7983" t="s">
        <v>90</v>
      </c>
      <c r="C7983" t="s">
        <v>602</v>
      </c>
      <c r="D7983">
        <v>3107.82</v>
      </c>
      <c r="E7983" s="37" t="str">
        <f t="shared" si="620"/>
        <v xml:space="preserve"> </v>
      </c>
      <c r="F7983">
        <v>0.08</v>
      </c>
      <c r="G7983" s="37" t="str">
        <f t="shared" si="621"/>
        <v>Normal Discount</v>
      </c>
      <c r="H7983" s="37" t="str">
        <f t="shared" si="622"/>
        <v>Low</v>
      </c>
      <c r="I7983">
        <v>4</v>
      </c>
      <c r="J7983" t="str" cm="1">
        <f t="array" ref="J7983">_xlfn.IFS(I7983&lt;=3,"small",I7983&lt;=6,"Medium",I7983&lt;=9,"Large")</f>
        <v>Medium</v>
      </c>
      <c r="K7983" s="36">
        <v>44962</v>
      </c>
      <c r="L7983" s="36">
        <v>44969</v>
      </c>
      <c r="M7983" t="s">
        <v>603</v>
      </c>
      <c r="N7983" t="s">
        <v>599</v>
      </c>
      <c r="O7983" s="37" t="str">
        <f t="shared" si="623"/>
        <v>Digital Payment</v>
      </c>
      <c r="P7983">
        <v>581.25</v>
      </c>
      <c r="Q7983" s="37" t="str">
        <f>IF(P7983&gt;500,"High","low")</f>
        <v>High</v>
      </c>
      <c r="R7983" s="37" t="str">
        <f t="shared" si="624"/>
        <v>Good</v>
      </c>
      <c r="S7983" t="s">
        <v>600</v>
      </c>
    </row>
    <row r="7984" spans="1:19" x14ac:dyDescent="0.2">
      <c r="A7984" t="s">
        <v>8595</v>
      </c>
      <c r="B7984" t="s">
        <v>67</v>
      </c>
      <c r="C7984" t="s">
        <v>597</v>
      </c>
      <c r="D7984">
        <v>1012.3</v>
      </c>
      <c r="E7984" s="37" t="str">
        <f t="shared" si="620"/>
        <v xml:space="preserve"> </v>
      </c>
      <c r="F7984">
        <v>0.31</v>
      </c>
      <c r="G7984" s="37" t="str">
        <f t="shared" si="621"/>
        <v>Heavy Discount</v>
      </c>
      <c r="H7984" s="37" t="str">
        <f t="shared" si="622"/>
        <v>Medium</v>
      </c>
      <c r="I7984">
        <v>8</v>
      </c>
      <c r="J7984" t="str" cm="1">
        <f t="array" ref="J7984">_xlfn.IFS(I7984&lt;=3,"small",I7984&lt;=6,"Medium",I7984&lt;=9,"Large")</f>
        <v>Large</v>
      </c>
      <c r="K7984" s="36">
        <v>45539</v>
      </c>
      <c r="L7984" s="36">
        <v>45541</v>
      </c>
      <c r="M7984" t="s">
        <v>612</v>
      </c>
      <c r="N7984" t="s">
        <v>608</v>
      </c>
      <c r="O7984" s="37" t="str">
        <f t="shared" si="623"/>
        <v>Cash Payment</v>
      </c>
      <c r="P7984">
        <v>169.12</v>
      </c>
      <c r="Q7984" s="37" t="str">
        <f>IF(P7984&gt;500,"High","low")</f>
        <v>low</v>
      </c>
      <c r="R7984" s="37" t="str">
        <f t="shared" si="624"/>
        <v>AVERAGE</v>
      </c>
      <c r="S7984" t="s">
        <v>605</v>
      </c>
    </row>
    <row r="7985" spans="1:19" x14ac:dyDescent="0.2">
      <c r="A7985" t="s">
        <v>8596</v>
      </c>
      <c r="B7985" t="s">
        <v>83</v>
      </c>
      <c r="C7985" t="s">
        <v>597</v>
      </c>
      <c r="D7985">
        <v>813.09</v>
      </c>
      <c r="E7985" s="37" t="str">
        <f t="shared" si="620"/>
        <v xml:space="preserve"> </v>
      </c>
      <c r="F7985">
        <v>0.28000000000000003</v>
      </c>
      <c r="G7985" s="37" t="str">
        <f t="shared" si="621"/>
        <v>Normal Discount</v>
      </c>
      <c r="H7985" s="37" t="str">
        <f t="shared" si="622"/>
        <v>Medium</v>
      </c>
      <c r="I7985">
        <v>4</v>
      </c>
      <c r="J7985" t="str" cm="1">
        <f t="array" ref="J7985">_xlfn.IFS(I7985&lt;=3,"small",I7985&lt;=6,"Medium",I7985&lt;=9,"Large")</f>
        <v>Medium</v>
      </c>
      <c r="K7985" s="36">
        <v>45625</v>
      </c>
      <c r="L7985" s="36">
        <v>45631</v>
      </c>
      <c r="M7985" t="s">
        <v>612</v>
      </c>
      <c r="N7985" t="s">
        <v>608</v>
      </c>
      <c r="O7985" s="37" t="str">
        <f t="shared" si="623"/>
        <v>Cash Payment</v>
      </c>
      <c r="P7985">
        <v>110.17</v>
      </c>
      <c r="Q7985" s="37" t="str">
        <f>IF(P7985&gt;500,"High","low")</f>
        <v>low</v>
      </c>
      <c r="R7985" s="37" t="str">
        <f t="shared" si="624"/>
        <v>AVERAGE</v>
      </c>
      <c r="S7985" t="s">
        <v>600</v>
      </c>
    </row>
    <row r="7986" spans="1:19" x14ac:dyDescent="0.2">
      <c r="A7986" t="s">
        <v>8597</v>
      </c>
      <c r="B7986" t="s">
        <v>83</v>
      </c>
      <c r="C7986" t="s">
        <v>617</v>
      </c>
      <c r="D7986">
        <v>4014.31</v>
      </c>
      <c r="E7986" s="37" t="str">
        <f t="shared" si="620"/>
        <v>Excellent Order</v>
      </c>
      <c r="F7986">
        <v>0.45</v>
      </c>
      <c r="G7986" s="37" t="str">
        <f t="shared" si="621"/>
        <v>Heavy Discount</v>
      </c>
      <c r="H7986" s="37" t="str">
        <f t="shared" si="622"/>
        <v>High</v>
      </c>
      <c r="I7986">
        <v>8</v>
      </c>
      <c r="J7986" t="str" cm="1">
        <f t="array" ref="J7986">_xlfn.IFS(I7986&lt;=3,"small",I7986&lt;=6,"Medium",I7986&lt;=9,"Large")</f>
        <v>Large</v>
      </c>
      <c r="K7986" s="36">
        <v>45499</v>
      </c>
      <c r="L7986" s="36">
        <v>45506</v>
      </c>
      <c r="M7986" t="s">
        <v>603</v>
      </c>
      <c r="N7986" t="s">
        <v>608</v>
      </c>
      <c r="O7986" s="37" t="str">
        <f t="shared" si="623"/>
        <v>Cash Payment</v>
      </c>
      <c r="P7986">
        <v>1086.83</v>
      </c>
      <c r="Q7986" s="37" t="str">
        <f>IF(P7986&gt;500,"High","low")</f>
        <v>High</v>
      </c>
      <c r="R7986" s="37" t="str">
        <f t="shared" si="624"/>
        <v>Excellent</v>
      </c>
      <c r="S7986" t="s">
        <v>628</v>
      </c>
    </row>
    <row r="7987" spans="1:19" x14ac:dyDescent="0.2">
      <c r="A7987" t="s">
        <v>8598</v>
      </c>
      <c r="B7987" t="s">
        <v>90</v>
      </c>
      <c r="C7987" t="s">
        <v>607</v>
      </c>
      <c r="D7987">
        <v>2205.54</v>
      </c>
      <c r="E7987" s="37" t="str">
        <f t="shared" si="620"/>
        <v xml:space="preserve"> </v>
      </c>
      <c r="F7987">
        <v>0.41</v>
      </c>
      <c r="G7987" s="37" t="str">
        <f t="shared" si="621"/>
        <v>Heavy Discount</v>
      </c>
      <c r="H7987" s="37" t="str">
        <f t="shared" si="622"/>
        <v>High</v>
      </c>
      <c r="I7987">
        <v>8</v>
      </c>
      <c r="J7987" t="str" cm="1">
        <f t="array" ref="J7987">_xlfn.IFS(I7987&lt;=3,"small",I7987&lt;=6,"Medium",I7987&lt;=9,"Large")</f>
        <v>Large</v>
      </c>
      <c r="K7987" s="36">
        <v>45258</v>
      </c>
      <c r="L7987" s="36">
        <v>45259</v>
      </c>
      <c r="M7987" t="s">
        <v>603</v>
      </c>
      <c r="N7987" t="s">
        <v>608</v>
      </c>
      <c r="O7987" s="37" t="str">
        <f t="shared" si="623"/>
        <v>Cash Payment</v>
      </c>
      <c r="P7987">
        <v>341.1</v>
      </c>
      <c r="Q7987" s="37" t="str">
        <f>IF(P7987&gt;500,"High","low")</f>
        <v>low</v>
      </c>
      <c r="R7987" s="37" t="str">
        <f t="shared" si="624"/>
        <v>AVERAGE</v>
      </c>
      <c r="S7987" t="s">
        <v>609</v>
      </c>
    </row>
    <row r="7988" spans="1:19" x14ac:dyDescent="0.2">
      <c r="A7988" t="s">
        <v>8599</v>
      </c>
      <c r="B7988" t="s">
        <v>75</v>
      </c>
      <c r="C7988" t="s">
        <v>597</v>
      </c>
      <c r="D7988">
        <v>4935.04</v>
      </c>
      <c r="E7988" s="37" t="str">
        <f t="shared" si="620"/>
        <v xml:space="preserve"> </v>
      </c>
      <c r="F7988">
        <v>0.46</v>
      </c>
      <c r="G7988" s="37" t="str">
        <f t="shared" si="621"/>
        <v>Heavy Discount</v>
      </c>
      <c r="H7988" s="37" t="str">
        <f t="shared" si="622"/>
        <v>High</v>
      </c>
      <c r="I7988">
        <v>1</v>
      </c>
      <c r="J7988" t="str" cm="1">
        <f t="array" ref="J7988">_xlfn.IFS(I7988&lt;=3,"small",I7988&lt;=6,"Medium",I7988&lt;=9,"Large")</f>
        <v>small</v>
      </c>
      <c r="K7988" s="36">
        <v>45186</v>
      </c>
      <c r="L7988" s="36">
        <v>45193</v>
      </c>
      <c r="M7988" t="s">
        <v>612</v>
      </c>
      <c r="N7988" t="s">
        <v>608</v>
      </c>
      <c r="O7988" s="37" t="str">
        <f t="shared" si="623"/>
        <v>Cash Payment</v>
      </c>
      <c r="P7988">
        <v>421</v>
      </c>
      <c r="Q7988" s="37" t="str">
        <f>IF(P7988&gt;500,"High","low")</f>
        <v>low</v>
      </c>
      <c r="R7988" s="37" t="str">
        <f t="shared" si="624"/>
        <v>AVERAGE</v>
      </c>
      <c r="S7988" t="s">
        <v>620</v>
      </c>
    </row>
    <row r="7989" spans="1:19" x14ac:dyDescent="0.2">
      <c r="A7989" t="s">
        <v>8600</v>
      </c>
      <c r="B7989" t="s">
        <v>67</v>
      </c>
      <c r="C7989" t="s">
        <v>607</v>
      </c>
      <c r="D7989">
        <v>2669.06</v>
      </c>
      <c r="E7989" s="37" t="str">
        <f t="shared" si="620"/>
        <v xml:space="preserve"> </v>
      </c>
      <c r="F7989">
        <v>0.23</v>
      </c>
      <c r="G7989" s="37" t="str">
        <f t="shared" si="621"/>
        <v>Normal Discount</v>
      </c>
      <c r="H7989" s="37" t="str">
        <f t="shared" si="622"/>
        <v>Medium</v>
      </c>
      <c r="I7989">
        <v>6</v>
      </c>
      <c r="J7989" t="str" cm="1">
        <f t="array" ref="J7989">_xlfn.IFS(I7989&lt;=3,"small",I7989&lt;=6,"Medium",I7989&lt;=9,"Large")</f>
        <v>Medium</v>
      </c>
      <c r="K7989" s="36">
        <v>45045</v>
      </c>
      <c r="L7989" s="36">
        <v>45052</v>
      </c>
      <c r="M7989" t="s">
        <v>603</v>
      </c>
      <c r="N7989" t="s">
        <v>608</v>
      </c>
      <c r="O7989" s="37" t="str">
        <f t="shared" si="623"/>
        <v>Cash Payment</v>
      </c>
      <c r="P7989">
        <v>237.01</v>
      </c>
      <c r="Q7989" s="37" t="str">
        <f>IF(P7989&gt;500,"High","low")</f>
        <v>low</v>
      </c>
      <c r="R7989" s="37" t="str">
        <f t="shared" si="624"/>
        <v>AVERAGE</v>
      </c>
      <c r="S7989" t="s">
        <v>600</v>
      </c>
    </row>
    <row r="7990" spans="1:19" x14ac:dyDescent="0.2">
      <c r="A7990" t="s">
        <v>8601</v>
      </c>
      <c r="B7990" t="s">
        <v>67</v>
      </c>
      <c r="C7990" t="s">
        <v>617</v>
      </c>
      <c r="D7990">
        <v>4243.7</v>
      </c>
      <c r="E7990" s="37" t="str">
        <f t="shared" si="620"/>
        <v xml:space="preserve"> </v>
      </c>
      <c r="F7990">
        <v>0.39</v>
      </c>
      <c r="G7990" s="37" t="str">
        <f t="shared" si="621"/>
        <v>Heavy Discount</v>
      </c>
      <c r="H7990" s="37" t="str">
        <f t="shared" si="622"/>
        <v>Medium</v>
      </c>
      <c r="I7990">
        <v>8</v>
      </c>
      <c r="J7990" t="str" cm="1">
        <f t="array" ref="J7990">_xlfn.IFS(I7990&lt;=3,"small",I7990&lt;=6,"Medium",I7990&lt;=9,"Large")</f>
        <v>Large</v>
      </c>
      <c r="K7990" s="36">
        <v>45231</v>
      </c>
      <c r="L7990" s="36">
        <v>45233</v>
      </c>
      <c r="M7990" t="s">
        <v>598</v>
      </c>
      <c r="N7990" t="s">
        <v>599</v>
      </c>
      <c r="O7990" s="37" t="str">
        <f t="shared" si="623"/>
        <v>Digital Payment</v>
      </c>
      <c r="P7990">
        <v>333.77</v>
      </c>
      <c r="Q7990" s="37" t="str">
        <f>IF(P7990&gt;500,"High","low")</f>
        <v>low</v>
      </c>
      <c r="R7990" s="37" t="str">
        <f t="shared" si="624"/>
        <v>AVERAGE</v>
      </c>
      <c r="S7990" t="s">
        <v>609</v>
      </c>
    </row>
    <row r="7991" spans="1:19" x14ac:dyDescent="0.2">
      <c r="A7991" t="s">
        <v>8602</v>
      </c>
      <c r="B7991" t="s">
        <v>75</v>
      </c>
      <c r="C7991" t="s">
        <v>607</v>
      </c>
      <c r="D7991">
        <v>4901.82</v>
      </c>
      <c r="E7991" s="37" t="str">
        <f t="shared" si="620"/>
        <v>Excellent Order</v>
      </c>
      <c r="F7991">
        <v>0.02</v>
      </c>
      <c r="G7991" s="37" t="str">
        <f t="shared" si="621"/>
        <v>Normal Discount</v>
      </c>
      <c r="H7991" s="37" t="str">
        <f t="shared" si="622"/>
        <v>Low</v>
      </c>
      <c r="I7991">
        <v>8</v>
      </c>
      <c r="J7991" t="str" cm="1">
        <f t="array" ref="J7991">_xlfn.IFS(I7991&lt;=3,"small",I7991&lt;=6,"Medium",I7991&lt;=9,"Large")</f>
        <v>Large</v>
      </c>
      <c r="K7991" s="36">
        <v>45114</v>
      </c>
      <c r="L7991" s="36">
        <v>45117</v>
      </c>
      <c r="M7991" t="s">
        <v>598</v>
      </c>
      <c r="N7991" t="s">
        <v>604</v>
      </c>
      <c r="O7991" s="37" t="str">
        <f t="shared" si="623"/>
        <v>Digital Payment</v>
      </c>
      <c r="P7991">
        <v>1158.3</v>
      </c>
      <c r="Q7991" s="37" t="str">
        <f>IF(P7991&gt;500,"High","low")</f>
        <v>High</v>
      </c>
      <c r="R7991" s="37" t="str">
        <f t="shared" si="624"/>
        <v>Excellent</v>
      </c>
      <c r="S7991" t="s">
        <v>600</v>
      </c>
    </row>
    <row r="7992" spans="1:19" x14ac:dyDescent="0.2">
      <c r="A7992" t="s">
        <v>8603</v>
      </c>
      <c r="B7992" t="s">
        <v>75</v>
      </c>
      <c r="C7992" t="s">
        <v>614</v>
      </c>
      <c r="D7992">
        <v>1477.64</v>
      </c>
      <c r="E7992" s="37" t="str">
        <f t="shared" si="620"/>
        <v xml:space="preserve"> </v>
      </c>
      <c r="F7992">
        <v>0.15</v>
      </c>
      <c r="G7992" s="37" t="str">
        <f t="shared" si="621"/>
        <v>Normal Discount</v>
      </c>
      <c r="H7992" s="37" t="str">
        <f t="shared" si="622"/>
        <v>Low</v>
      </c>
      <c r="I7992">
        <v>1</v>
      </c>
      <c r="J7992" t="str" cm="1">
        <f t="array" ref="J7992">_xlfn.IFS(I7992&lt;=3,"small",I7992&lt;=6,"Medium",I7992&lt;=9,"Large")</f>
        <v>small</v>
      </c>
      <c r="K7992" s="36">
        <v>45126</v>
      </c>
      <c r="L7992" s="36">
        <v>45130</v>
      </c>
      <c r="M7992" t="s">
        <v>598</v>
      </c>
      <c r="N7992" t="s">
        <v>604</v>
      </c>
      <c r="O7992" s="37" t="str">
        <f t="shared" si="623"/>
        <v>Digital Payment</v>
      </c>
      <c r="P7992">
        <v>428.89</v>
      </c>
      <c r="Q7992" s="37" t="str">
        <f>IF(P7992&gt;500,"High","low")</f>
        <v>low</v>
      </c>
      <c r="R7992" s="37" t="str">
        <f t="shared" si="624"/>
        <v>AVERAGE</v>
      </c>
      <c r="S7992" t="s">
        <v>605</v>
      </c>
    </row>
    <row r="7993" spans="1:19" x14ac:dyDescent="0.2">
      <c r="A7993" t="s">
        <v>8604</v>
      </c>
      <c r="B7993" t="s">
        <v>75</v>
      </c>
      <c r="C7993" t="s">
        <v>597</v>
      </c>
      <c r="D7993">
        <v>4024.32</v>
      </c>
      <c r="E7993" s="37" t="str">
        <f t="shared" si="620"/>
        <v xml:space="preserve"> </v>
      </c>
      <c r="F7993">
        <v>0.32</v>
      </c>
      <c r="G7993" s="37" t="str">
        <f t="shared" si="621"/>
        <v>Heavy Discount</v>
      </c>
      <c r="H7993" s="37" t="str">
        <f t="shared" si="622"/>
        <v>Medium</v>
      </c>
      <c r="I7993">
        <v>8</v>
      </c>
      <c r="J7993" t="str" cm="1">
        <f t="array" ref="J7993">_xlfn.IFS(I7993&lt;=3,"small",I7993&lt;=6,"Medium",I7993&lt;=9,"Large")</f>
        <v>Large</v>
      </c>
      <c r="K7993" s="36">
        <v>45126</v>
      </c>
      <c r="L7993" s="36">
        <v>45132</v>
      </c>
      <c r="M7993" t="s">
        <v>598</v>
      </c>
      <c r="N7993" t="s">
        <v>599</v>
      </c>
      <c r="O7993" s="37" t="str">
        <f t="shared" si="623"/>
        <v>Digital Payment</v>
      </c>
      <c r="P7993">
        <v>444.45</v>
      </c>
      <c r="Q7993" s="37" t="str">
        <f>IF(P7993&gt;500,"High","low")</f>
        <v>low</v>
      </c>
      <c r="R7993" s="37" t="str">
        <f t="shared" si="624"/>
        <v>AVERAGE</v>
      </c>
      <c r="S7993" t="s">
        <v>628</v>
      </c>
    </row>
    <row r="7994" spans="1:19" x14ac:dyDescent="0.2">
      <c r="A7994" t="s">
        <v>8605</v>
      </c>
      <c r="B7994" t="s">
        <v>90</v>
      </c>
      <c r="C7994" t="s">
        <v>617</v>
      </c>
      <c r="D7994">
        <v>207.83</v>
      </c>
      <c r="E7994" s="37" t="str">
        <f t="shared" si="620"/>
        <v xml:space="preserve"> </v>
      </c>
      <c r="F7994">
        <v>0.38</v>
      </c>
      <c r="G7994" s="37" t="str">
        <f t="shared" si="621"/>
        <v>Heavy Discount</v>
      </c>
      <c r="H7994" s="37" t="str">
        <f t="shared" si="622"/>
        <v>Medium</v>
      </c>
      <c r="I7994">
        <v>9</v>
      </c>
      <c r="J7994" t="str" cm="1">
        <f t="array" ref="J7994">_xlfn.IFS(I7994&lt;=3,"small",I7994&lt;=6,"Medium",I7994&lt;=9,"Large")</f>
        <v>Large</v>
      </c>
      <c r="K7994" s="36">
        <v>44966</v>
      </c>
      <c r="L7994" s="36">
        <v>44973</v>
      </c>
      <c r="M7994" t="s">
        <v>598</v>
      </c>
      <c r="N7994" t="s">
        <v>608</v>
      </c>
      <c r="O7994" s="37" t="str">
        <f t="shared" si="623"/>
        <v>Cash Payment</v>
      </c>
      <c r="P7994">
        <v>12.97</v>
      </c>
      <c r="Q7994" s="37" t="str">
        <f>IF(P7994&gt;500,"High","low")</f>
        <v>low</v>
      </c>
      <c r="R7994" s="37" t="str">
        <f t="shared" si="624"/>
        <v>AVERAGE</v>
      </c>
      <c r="S7994" t="s">
        <v>620</v>
      </c>
    </row>
    <row r="7995" spans="1:19" x14ac:dyDescent="0.2">
      <c r="A7995" t="s">
        <v>8606</v>
      </c>
      <c r="B7995" t="s">
        <v>90</v>
      </c>
      <c r="C7995" t="s">
        <v>602</v>
      </c>
      <c r="D7995">
        <v>3430.8</v>
      </c>
      <c r="E7995" s="37" t="str">
        <f t="shared" si="620"/>
        <v xml:space="preserve"> </v>
      </c>
      <c r="F7995">
        <v>0.28999999999999998</v>
      </c>
      <c r="G7995" s="37" t="str">
        <f t="shared" si="621"/>
        <v>Normal Discount</v>
      </c>
      <c r="H7995" s="37" t="str">
        <f t="shared" si="622"/>
        <v>Medium</v>
      </c>
      <c r="I7995">
        <v>6</v>
      </c>
      <c r="J7995" t="str" cm="1">
        <f t="array" ref="J7995">_xlfn.IFS(I7995&lt;=3,"small",I7995&lt;=6,"Medium",I7995&lt;=9,"Large")</f>
        <v>Medium</v>
      </c>
      <c r="K7995" s="36">
        <v>45516</v>
      </c>
      <c r="L7995" s="36">
        <v>45519</v>
      </c>
      <c r="M7995" t="s">
        <v>612</v>
      </c>
      <c r="N7995" t="s">
        <v>608</v>
      </c>
      <c r="O7995" s="37" t="str">
        <f t="shared" si="623"/>
        <v>Cash Payment</v>
      </c>
      <c r="P7995">
        <v>280.13</v>
      </c>
      <c r="Q7995" s="37" t="str">
        <f>IF(P7995&gt;500,"High","low")</f>
        <v>low</v>
      </c>
      <c r="R7995" s="37" t="str">
        <f t="shared" si="624"/>
        <v>AVERAGE</v>
      </c>
      <c r="S7995" t="s">
        <v>620</v>
      </c>
    </row>
    <row r="7996" spans="1:19" x14ac:dyDescent="0.2">
      <c r="A7996" t="s">
        <v>8607</v>
      </c>
      <c r="B7996" t="s">
        <v>67</v>
      </c>
      <c r="C7996" t="s">
        <v>617</v>
      </c>
      <c r="D7996">
        <v>3751.49</v>
      </c>
      <c r="E7996" s="37" t="str">
        <f t="shared" si="620"/>
        <v xml:space="preserve"> </v>
      </c>
      <c r="F7996">
        <v>0.24</v>
      </c>
      <c r="G7996" s="37" t="str">
        <f t="shared" si="621"/>
        <v>Normal Discount</v>
      </c>
      <c r="H7996" s="37" t="str">
        <f t="shared" si="622"/>
        <v>Medium</v>
      </c>
      <c r="I7996">
        <v>7</v>
      </c>
      <c r="J7996" t="str" cm="1">
        <f t="array" ref="J7996">_xlfn.IFS(I7996&lt;=3,"small",I7996&lt;=6,"Medium",I7996&lt;=9,"Large")</f>
        <v>Large</v>
      </c>
      <c r="K7996" s="36">
        <v>45540</v>
      </c>
      <c r="L7996" s="36">
        <v>45544</v>
      </c>
      <c r="M7996" t="s">
        <v>603</v>
      </c>
      <c r="N7996" t="s">
        <v>599</v>
      </c>
      <c r="O7996" s="37" t="str">
        <f t="shared" si="623"/>
        <v>Digital Payment</v>
      </c>
      <c r="P7996">
        <v>879.92</v>
      </c>
      <c r="Q7996" s="37" t="str">
        <f>IF(P7996&gt;500,"High","low")</f>
        <v>High</v>
      </c>
      <c r="R7996" s="37" t="str">
        <f t="shared" si="624"/>
        <v>Good</v>
      </c>
      <c r="S7996" t="s">
        <v>605</v>
      </c>
    </row>
    <row r="7997" spans="1:19" x14ac:dyDescent="0.2">
      <c r="A7997" t="s">
        <v>8608</v>
      </c>
      <c r="B7997" t="s">
        <v>90</v>
      </c>
      <c r="C7997" t="s">
        <v>597</v>
      </c>
      <c r="D7997">
        <v>2439.08</v>
      </c>
      <c r="E7997" s="37" t="str">
        <f t="shared" si="620"/>
        <v xml:space="preserve"> </v>
      </c>
      <c r="F7997">
        <v>0.12</v>
      </c>
      <c r="G7997" s="37" t="str">
        <f t="shared" si="621"/>
        <v>Normal Discount</v>
      </c>
      <c r="H7997" s="37" t="str">
        <f t="shared" si="622"/>
        <v>Low</v>
      </c>
      <c r="I7997">
        <v>6</v>
      </c>
      <c r="J7997" t="str" cm="1">
        <f t="array" ref="J7997">_xlfn.IFS(I7997&lt;=3,"small",I7997&lt;=6,"Medium",I7997&lt;=9,"Large")</f>
        <v>Medium</v>
      </c>
      <c r="K7997" s="36">
        <v>45384</v>
      </c>
      <c r="L7997" s="36">
        <v>45389</v>
      </c>
      <c r="M7997" t="s">
        <v>598</v>
      </c>
      <c r="N7997" t="s">
        <v>604</v>
      </c>
      <c r="O7997" s="37" t="str">
        <f t="shared" si="623"/>
        <v>Digital Payment</v>
      </c>
      <c r="P7997">
        <v>608.1</v>
      </c>
      <c r="Q7997" s="37" t="str">
        <f>IF(P7997&gt;500,"High","low")</f>
        <v>High</v>
      </c>
      <c r="R7997" s="37" t="str">
        <f t="shared" si="624"/>
        <v>Good</v>
      </c>
      <c r="S7997" t="s">
        <v>605</v>
      </c>
    </row>
    <row r="7998" spans="1:19" x14ac:dyDescent="0.2">
      <c r="A7998" t="s">
        <v>8609</v>
      </c>
      <c r="B7998" t="s">
        <v>83</v>
      </c>
      <c r="C7998" t="s">
        <v>617</v>
      </c>
      <c r="D7998">
        <v>894.32</v>
      </c>
      <c r="E7998" s="37" t="str">
        <f t="shared" si="620"/>
        <v xml:space="preserve"> </v>
      </c>
      <c r="F7998">
        <v>0.09</v>
      </c>
      <c r="G7998" s="37" t="str">
        <f t="shared" si="621"/>
        <v>Normal Discount</v>
      </c>
      <c r="H7998" s="37" t="str">
        <f t="shared" si="622"/>
        <v>Low</v>
      </c>
      <c r="I7998">
        <v>5</v>
      </c>
      <c r="J7998" t="str" cm="1">
        <f t="array" ref="J7998">_xlfn.IFS(I7998&lt;=3,"small",I7998&lt;=6,"Medium",I7998&lt;=9,"Large")</f>
        <v>Medium</v>
      </c>
      <c r="K7998" s="36">
        <v>45657</v>
      </c>
      <c r="L7998" s="36">
        <v>45662</v>
      </c>
      <c r="M7998" t="s">
        <v>603</v>
      </c>
      <c r="N7998" t="s">
        <v>599</v>
      </c>
      <c r="O7998" s="37" t="str">
        <f t="shared" si="623"/>
        <v>Digital Payment</v>
      </c>
      <c r="P7998">
        <v>122.62</v>
      </c>
      <c r="Q7998" s="37" t="str">
        <f>IF(P7998&gt;500,"High","low")</f>
        <v>low</v>
      </c>
      <c r="R7998" s="37" t="str">
        <f t="shared" si="624"/>
        <v>AVERAGE</v>
      </c>
      <c r="S7998" t="s">
        <v>600</v>
      </c>
    </row>
    <row r="7999" spans="1:19" x14ac:dyDescent="0.2">
      <c r="A7999" t="s">
        <v>8610</v>
      </c>
      <c r="B7999" t="s">
        <v>67</v>
      </c>
      <c r="C7999" t="s">
        <v>602</v>
      </c>
      <c r="D7999">
        <v>3121.93</v>
      </c>
      <c r="E7999" s="37" t="str">
        <f t="shared" si="620"/>
        <v xml:space="preserve"> </v>
      </c>
      <c r="F7999">
        <v>0.44</v>
      </c>
      <c r="G7999" s="37" t="str">
        <f t="shared" si="621"/>
        <v>Heavy Discount</v>
      </c>
      <c r="H7999" s="37" t="str">
        <f t="shared" si="622"/>
        <v>High</v>
      </c>
      <c r="I7999">
        <v>1</v>
      </c>
      <c r="J7999" t="str" cm="1">
        <f t="array" ref="J7999">_xlfn.IFS(I7999&lt;=3,"small",I7999&lt;=6,"Medium",I7999&lt;=9,"Large")</f>
        <v>small</v>
      </c>
      <c r="K7999" s="36">
        <v>45094</v>
      </c>
      <c r="L7999" s="36">
        <v>45099</v>
      </c>
      <c r="M7999" t="s">
        <v>612</v>
      </c>
      <c r="N7999" t="s">
        <v>608</v>
      </c>
      <c r="O7999" s="37" t="str">
        <f t="shared" si="623"/>
        <v>Cash Payment</v>
      </c>
      <c r="P7999">
        <v>162.68</v>
      </c>
      <c r="Q7999" s="37" t="str">
        <f>IF(P7999&gt;500,"High","low")</f>
        <v>low</v>
      </c>
      <c r="R7999" s="37" t="str">
        <f t="shared" si="624"/>
        <v>AVERAGE</v>
      </c>
      <c r="S7999" t="s">
        <v>605</v>
      </c>
    </row>
    <row r="8000" spans="1:19" x14ac:dyDescent="0.2">
      <c r="A8000" t="s">
        <v>8611</v>
      </c>
      <c r="B8000" t="s">
        <v>90</v>
      </c>
      <c r="C8000" t="s">
        <v>614</v>
      </c>
      <c r="D8000">
        <v>4497.8900000000003</v>
      </c>
      <c r="E8000" s="37" t="str">
        <f t="shared" si="620"/>
        <v>Excellent Order</v>
      </c>
      <c r="F8000">
        <v>7.0000000000000007E-2</v>
      </c>
      <c r="G8000" s="37" t="str">
        <f t="shared" si="621"/>
        <v>Normal Discount</v>
      </c>
      <c r="H8000" s="37" t="str">
        <f t="shared" si="622"/>
        <v>Low</v>
      </c>
      <c r="I8000">
        <v>2</v>
      </c>
      <c r="J8000" t="str" cm="1">
        <f t="array" ref="J8000">_xlfn.IFS(I8000&lt;=3,"small",I8000&lt;=6,"Medium",I8000&lt;=9,"Large")</f>
        <v>small</v>
      </c>
      <c r="K8000" s="36">
        <v>45171</v>
      </c>
      <c r="L8000" s="36">
        <v>45177</v>
      </c>
      <c r="M8000" t="s">
        <v>612</v>
      </c>
      <c r="N8000" t="s">
        <v>604</v>
      </c>
      <c r="O8000" s="37" t="str">
        <f t="shared" si="623"/>
        <v>Digital Payment</v>
      </c>
      <c r="P8000">
        <v>1200.1500000000001</v>
      </c>
      <c r="Q8000" s="37" t="str">
        <f>IF(P8000&gt;500,"High","low")</f>
        <v>High</v>
      </c>
      <c r="R8000" s="37" t="str">
        <f t="shared" si="624"/>
        <v>Excellent</v>
      </c>
      <c r="S8000" t="s">
        <v>609</v>
      </c>
    </row>
    <row r="8001" spans="1:19" x14ac:dyDescent="0.2">
      <c r="A8001" t="s">
        <v>8612</v>
      </c>
      <c r="B8001" t="s">
        <v>75</v>
      </c>
      <c r="C8001" t="s">
        <v>597</v>
      </c>
      <c r="D8001">
        <v>4663.46</v>
      </c>
      <c r="E8001" s="37" t="str">
        <f t="shared" si="620"/>
        <v xml:space="preserve"> </v>
      </c>
      <c r="F8001">
        <v>0.22</v>
      </c>
      <c r="G8001" s="37" t="str">
        <f t="shared" si="621"/>
        <v>Normal Discount</v>
      </c>
      <c r="H8001" s="37" t="str">
        <f t="shared" si="622"/>
        <v>Medium</v>
      </c>
      <c r="I8001">
        <v>2</v>
      </c>
      <c r="J8001" t="str" cm="1">
        <f t="array" ref="J8001">_xlfn.IFS(I8001&lt;=3,"small",I8001&lt;=6,"Medium",I8001&lt;=9,"Large")</f>
        <v>small</v>
      </c>
      <c r="K8001" s="36">
        <v>45096</v>
      </c>
      <c r="L8001" s="36">
        <v>45101</v>
      </c>
      <c r="M8001" t="s">
        <v>598</v>
      </c>
      <c r="N8001" t="s">
        <v>599</v>
      </c>
      <c r="O8001" s="37" t="str">
        <f t="shared" si="623"/>
        <v>Digital Payment</v>
      </c>
      <c r="P8001">
        <v>339.14</v>
      </c>
      <c r="Q8001" s="37" t="str">
        <f>IF(P8001&gt;500,"High","low")</f>
        <v>low</v>
      </c>
      <c r="R8001" s="37" t="str">
        <f t="shared" si="624"/>
        <v>AVERAGE</v>
      </c>
      <c r="S8001" t="s">
        <v>615</v>
      </c>
    </row>
    <row r="8002" spans="1:19" x14ac:dyDescent="0.2">
      <c r="A8002" t="s">
        <v>8613</v>
      </c>
      <c r="B8002" t="s">
        <v>83</v>
      </c>
      <c r="C8002" t="s">
        <v>597</v>
      </c>
      <c r="D8002">
        <v>3755.9</v>
      </c>
      <c r="E8002" s="37" t="str">
        <f t="shared" si="620"/>
        <v xml:space="preserve"> </v>
      </c>
      <c r="F8002">
        <v>0.44</v>
      </c>
      <c r="G8002" s="37" t="str">
        <f t="shared" si="621"/>
        <v>Heavy Discount</v>
      </c>
      <c r="H8002" s="37" t="str">
        <f t="shared" si="622"/>
        <v>High</v>
      </c>
      <c r="I8002">
        <v>9</v>
      </c>
      <c r="J8002" t="str" cm="1">
        <f t="array" ref="J8002">_xlfn.IFS(I8002&lt;=3,"small",I8002&lt;=6,"Medium",I8002&lt;=9,"Large")</f>
        <v>Large</v>
      </c>
      <c r="K8002" s="36">
        <v>45176</v>
      </c>
      <c r="L8002" s="36">
        <v>45177</v>
      </c>
      <c r="M8002" t="s">
        <v>603</v>
      </c>
      <c r="N8002" t="s">
        <v>608</v>
      </c>
      <c r="O8002" s="37" t="str">
        <f t="shared" si="623"/>
        <v>Cash Payment</v>
      </c>
      <c r="P8002">
        <v>331.63</v>
      </c>
      <c r="Q8002" s="37" t="str">
        <f>IF(P8002&gt;500,"High","low")</f>
        <v>low</v>
      </c>
      <c r="R8002" s="37" t="str">
        <f t="shared" si="624"/>
        <v>AVERAGE</v>
      </c>
      <c r="S8002" t="s">
        <v>615</v>
      </c>
    </row>
    <row r="8003" spans="1:19" x14ac:dyDescent="0.2">
      <c r="A8003" t="s">
        <v>8614</v>
      </c>
      <c r="B8003" t="s">
        <v>75</v>
      </c>
      <c r="C8003" t="s">
        <v>617</v>
      </c>
      <c r="D8003">
        <v>1392.19</v>
      </c>
      <c r="E8003" s="37" t="str">
        <f t="shared" ref="E8003:E8066" si="625">IF(AND(D8003&gt;4000,P8003&gt;800),"Excellent Order"," ")</f>
        <v xml:space="preserve"> </v>
      </c>
      <c r="F8003">
        <v>7.0000000000000007E-2</v>
      </c>
      <c r="G8003" s="37" t="str">
        <f t="shared" ref="G8003:G8066" si="626">IF(F8003&gt;30%,"Heavy Discount","Normal Discount")</f>
        <v>Normal Discount</v>
      </c>
      <c r="H8003" s="37" t="str">
        <f t="shared" ref="H8003:H8066" si="627">IF(F8003&gt;0.4,"High",IF(F8003&gt;=0.2,"Medium","Low"))</f>
        <v>Low</v>
      </c>
      <c r="I8003">
        <v>6</v>
      </c>
      <c r="J8003" t="str" cm="1">
        <f t="array" ref="J8003">_xlfn.IFS(I8003&lt;=3,"small",I8003&lt;=6,"Medium",I8003&lt;=9,"Large")</f>
        <v>Medium</v>
      </c>
      <c r="K8003" s="36">
        <v>45409</v>
      </c>
      <c r="L8003" s="36">
        <v>45415</v>
      </c>
      <c r="M8003" t="s">
        <v>612</v>
      </c>
      <c r="N8003" t="s">
        <v>599</v>
      </c>
      <c r="O8003" s="37" t="str">
        <f t="shared" ref="O8003:O8066" si="628">IF(OR(N8003="Card",N8003="UPI"),"Digital Payment","Cash Payment")</f>
        <v>Digital Payment</v>
      </c>
      <c r="P8003">
        <v>155.5</v>
      </c>
      <c r="Q8003" s="37" t="str">
        <f>IF(P8003&gt;500,"High","low")</f>
        <v>low</v>
      </c>
      <c r="R8003" s="37" t="str">
        <f t="shared" ref="R8003:R8066" si="629">IF(P8003&gt;1000,"Excellent",IF(P8003&gt;=500,"Good","AVERAGE"))</f>
        <v>AVERAGE</v>
      </c>
      <c r="S8003" t="s">
        <v>609</v>
      </c>
    </row>
    <row r="8004" spans="1:19" x14ac:dyDescent="0.2">
      <c r="A8004" t="s">
        <v>8615</v>
      </c>
      <c r="B8004" t="s">
        <v>67</v>
      </c>
      <c r="C8004" t="s">
        <v>607</v>
      </c>
      <c r="D8004">
        <v>4364.6000000000004</v>
      </c>
      <c r="E8004" s="37" t="str">
        <f t="shared" si="625"/>
        <v>Excellent Order</v>
      </c>
      <c r="F8004">
        <v>0.06</v>
      </c>
      <c r="G8004" s="37" t="str">
        <f t="shared" si="626"/>
        <v>Normal Discount</v>
      </c>
      <c r="H8004" s="37" t="str">
        <f t="shared" si="627"/>
        <v>Low</v>
      </c>
      <c r="I8004">
        <v>3</v>
      </c>
      <c r="J8004" t="str" cm="1">
        <f t="array" ref="J8004">_xlfn.IFS(I8004&lt;=3,"small",I8004&lt;=6,"Medium",I8004&lt;=9,"Large")</f>
        <v>small</v>
      </c>
      <c r="K8004" s="36">
        <v>45346</v>
      </c>
      <c r="L8004" s="36">
        <v>45349</v>
      </c>
      <c r="M8004" t="s">
        <v>612</v>
      </c>
      <c r="N8004" t="s">
        <v>599</v>
      </c>
      <c r="O8004" s="37" t="str">
        <f t="shared" si="628"/>
        <v>Digital Payment</v>
      </c>
      <c r="P8004">
        <v>911.8</v>
      </c>
      <c r="Q8004" s="37" t="str">
        <f>IF(P8004&gt;500,"High","low")</f>
        <v>High</v>
      </c>
      <c r="R8004" s="37" t="str">
        <f t="shared" si="629"/>
        <v>Good</v>
      </c>
      <c r="S8004" t="s">
        <v>609</v>
      </c>
    </row>
    <row r="8005" spans="1:19" x14ac:dyDescent="0.2">
      <c r="A8005" t="s">
        <v>8616</v>
      </c>
      <c r="B8005" t="s">
        <v>75</v>
      </c>
      <c r="C8005" t="s">
        <v>607</v>
      </c>
      <c r="D8005">
        <v>4455.2299999999996</v>
      </c>
      <c r="E8005" s="37" t="str">
        <f t="shared" si="625"/>
        <v xml:space="preserve"> </v>
      </c>
      <c r="F8005">
        <v>0.35</v>
      </c>
      <c r="G8005" s="37" t="str">
        <f t="shared" si="626"/>
        <v>Heavy Discount</v>
      </c>
      <c r="H8005" s="37" t="str">
        <f t="shared" si="627"/>
        <v>Medium</v>
      </c>
      <c r="I8005">
        <v>3</v>
      </c>
      <c r="J8005" t="str" cm="1">
        <f t="array" ref="J8005">_xlfn.IFS(I8005&lt;=3,"small",I8005&lt;=6,"Medium",I8005&lt;=9,"Large")</f>
        <v>small</v>
      </c>
      <c r="K8005" s="36">
        <v>45577</v>
      </c>
      <c r="L8005" s="36">
        <v>45579</v>
      </c>
      <c r="M8005" t="s">
        <v>612</v>
      </c>
      <c r="N8005" t="s">
        <v>599</v>
      </c>
      <c r="O8005" s="37" t="str">
        <f t="shared" si="628"/>
        <v>Digital Payment</v>
      </c>
      <c r="P8005">
        <v>612.02</v>
      </c>
      <c r="Q8005" s="37" t="str">
        <f>IF(P8005&gt;500,"High","low")</f>
        <v>High</v>
      </c>
      <c r="R8005" s="37" t="str">
        <f t="shared" si="629"/>
        <v>Good</v>
      </c>
      <c r="S8005" t="s">
        <v>609</v>
      </c>
    </row>
    <row r="8006" spans="1:19" x14ac:dyDescent="0.2">
      <c r="A8006" t="s">
        <v>8617</v>
      </c>
      <c r="B8006" t="s">
        <v>90</v>
      </c>
      <c r="C8006" t="s">
        <v>602</v>
      </c>
      <c r="D8006">
        <v>1899.49</v>
      </c>
      <c r="E8006" s="37" t="str">
        <f t="shared" si="625"/>
        <v xml:space="preserve"> </v>
      </c>
      <c r="F8006">
        <v>0.17</v>
      </c>
      <c r="G8006" s="37" t="str">
        <f t="shared" si="626"/>
        <v>Normal Discount</v>
      </c>
      <c r="H8006" s="37" t="str">
        <f t="shared" si="627"/>
        <v>Low</v>
      </c>
      <c r="I8006">
        <v>2</v>
      </c>
      <c r="J8006" t="str" cm="1">
        <f t="array" ref="J8006">_xlfn.IFS(I8006&lt;=3,"small",I8006&lt;=6,"Medium",I8006&lt;=9,"Large")</f>
        <v>small</v>
      </c>
      <c r="K8006" s="36">
        <v>45003</v>
      </c>
      <c r="L8006" s="36">
        <v>45004</v>
      </c>
      <c r="M8006" t="s">
        <v>598</v>
      </c>
      <c r="N8006" t="s">
        <v>599</v>
      </c>
      <c r="O8006" s="37" t="str">
        <f t="shared" si="628"/>
        <v>Digital Payment</v>
      </c>
      <c r="P8006">
        <v>116.58</v>
      </c>
      <c r="Q8006" s="37" t="str">
        <f>IF(P8006&gt;500,"High","low")</f>
        <v>low</v>
      </c>
      <c r="R8006" s="37" t="str">
        <f t="shared" si="629"/>
        <v>AVERAGE</v>
      </c>
      <c r="S8006" t="s">
        <v>600</v>
      </c>
    </row>
    <row r="8007" spans="1:19" x14ac:dyDescent="0.2">
      <c r="A8007" t="s">
        <v>8618</v>
      </c>
      <c r="B8007" t="s">
        <v>90</v>
      </c>
      <c r="C8007" t="s">
        <v>614</v>
      </c>
      <c r="D8007">
        <v>996.61</v>
      </c>
      <c r="E8007" s="37" t="str">
        <f t="shared" si="625"/>
        <v xml:space="preserve"> </v>
      </c>
      <c r="F8007">
        <v>0.22</v>
      </c>
      <c r="G8007" s="37" t="str">
        <f t="shared" si="626"/>
        <v>Normal Discount</v>
      </c>
      <c r="H8007" s="37" t="str">
        <f t="shared" si="627"/>
        <v>Medium</v>
      </c>
      <c r="I8007">
        <v>7</v>
      </c>
      <c r="J8007" t="str" cm="1">
        <f t="array" ref="J8007">_xlfn.IFS(I8007&lt;=3,"small",I8007&lt;=6,"Medium",I8007&lt;=9,"Large")</f>
        <v>Large</v>
      </c>
      <c r="K8007" s="36">
        <v>44961</v>
      </c>
      <c r="L8007" s="36">
        <v>44967</v>
      </c>
      <c r="M8007" t="s">
        <v>598</v>
      </c>
      <c r="N8007" t="s">
        <v>599</v>
      </c>
      <c r="O8007" s="37" t="str">
        <f t="shared" si="628"/>
        <v>Digital Payment</v>
      </c>
      <c r="P8007">
        <v>239.16</v>
      </c>
      <c r="Q8007" s="37" t="str">
        <f>IF(P8007&gt;500,"High","low")</f>
        <v>low</v>
      </c>
      <c r="R8007" s="37" t="str">
        <f t="shared" si="629"/>
        <v>AVERAGE</v>
      </c>
      <c r="S8007" t="s">
        <v>605</v>
      </c>
    </row>
    <row r="8008" spans="1:19" x14ac:dyDescent="0.2">
      <c r="A8008" t="s">
        <v>8619</v>
      </c>
      <c r="B8008" t="s">
        <v>67</v>
      </c>
      <c r="C8008" t="s">
        <v>614</v>
      </c>
      <c r="D8008">
        <v>4385.83</v>
      </c>
      <c r="E8008" s="37" t="str">
        <f t="shared" si="625"/>
        <v>Excellent Order</v>
      </c>
      <c r="F8008">
        <v>0.31</v>
      </c>
      <c r="G8008" s="37" t="str">
        <f t="shared" si="626"/>
        <v>Heavy Discount</v>
      </c>
      <c r="H8008" s="37" t="str">
        <f t="shared" si="627"/>
        <v>Medium</v>
      </c>
      <c r="I8008">
        <v>1</v>
      </c>
      <c r="J8008" t="str" cm="1">
        <f t="array" ref="J8008">_xlfn.IFS(I8008&lt;=3,"small",I8008&lt;=6,"Medium",I8008&lt;=9,"Large")</f>
        <v>small</v>
      </c>
      <c r="K8008" s="36">
        <v>45427</v>
      </c>
      <c r="L8008" s="36">
        <v>45433</v>
      </c>
      <c r="M8008" t="s">
        <v>612</v>
      </c>
      <c r="N8008" t="s">
        <v>604</v>
      </c>
      <c r="O8008" s="37" t="str">
        <f t="shared" si="628"/>
        <v>Digital Payment</v>
      </c>
      <c r="P8008">
        <v>826.4</v>
      </c>
      <c r="Q8008" s="37" t="str">
        <f>IF(P8008&gt;500,"High","low")</f>
        <v>High</v>
      </c>
      <c r="R8008" s="37" t="str">
        <f t="shared" si="629"/>
        <v>Good</v>
      </c>
      <c r="S8008" t="s">
        <v>609</v>
      </c>
    </row>
    <row r="8009" spans="1:19" x14ac:dyDescent="0.2">
      <c r="A8009" t="s">
        <v>8620</v>
      </c>
      <c r="B8009" t="s">
        <v>75</v>
      </c>
      <c r="C8009" t="s">
        <v>617</v>
      </c>
      <c r="D8009">
        <v>4436.9799999999996</v>
      </c>
      <c r="E8009" s="37" t="str">
        <f t="shared" si="625"/>
        <v>Excellent Order</v>
      </c>
      <c r="F8009">
        <v>0.19</v>
      </c>
      <c r="G8009" s="37" t="str">
        <f t="shared" si="626"/>
        <v>Normal Discount</v>
      </c>
      <c r="H8009" s="37" t="str">
        <f t="shared" si="627"/>
        <v>Low</v>
      </c>
      <c r="I8009">
        <v>1</v>
      </c>
      <c r="J8009" t="str" cm="1">
        <f t="array" ref="J8009">_xlfn.IFS(I8009&lt;=3,"small",I8009&lt;=6,"Medium",I8009&lt;=9,"Large")</f>
        <v>small</v>
      </c>
      <c r="K8009" s="36">
        <v>45219</v>
      </c>
      <c r="L8009" s="36">
        <v>45220</v>
      </c>
      <c r="M8009" t="s">
        <v>603</v>
      </c>
      <c r="N8009" t="s">
        <v>604</v>
      </c>
      <c r="O8009" s="37" t="str">
        <f t="shared" si="628"/>
        <v>Digital Payment</v>
      </c>
      <c r="P8009">
        <v>1142.76</v>
      </c>
      <c r="Q8009" s="37" t="str">
        <f>IF(P8009&gt;500,"High","low")</f>
        <v>High</v>
      </c>
      <c r="R8009" s="37" t="str">
        <f t="shared" si="629"/>
        <v>Excellent</v>
      </c>
      <c r="S8009" t="s">
        <v>615</v>
      </c>
    </row>
    <row r="8010" spans="1:19" x14ac:dyDescent="0.2">
      <c r="A8010" t="s">
        <v>8621</v>
      </c>
      <c r="B8010" t="s">
        <v>67</v>
      </c>
      <c r="C8010" t="s">
        <v>617</v>
      </c>
      <c r="D8010">
        <v>594.44000000000005</v>
      </c>
      <c r="E8010" s="37" t="str">
        <f t="shared" si="625"/>
        <v xml:space="preserve"> </v>
      </c>
      <c r="F8010">
        <v>0.4</v>
      </c>
      <c r="G8010" s="37" t="str">
        <f t="shared" si="626"/>
        <v>Heavy Discount</v>
      </c>
      <c r="H8010" s="37" t="str">
        <f t="shared" si="627"/>
        <v>Medium</v>
      </c>
      <c r="I8010">
        <v>3</v>
      </c>
      <c r="J8010" t="str" cm="1">
        <f t="array" ref="J8010">_xlfn.IFS(I8010&lt;=3,"small",I8010&lt;=6,"Medium",I8010&lt;=9,"Large")</f>
        <v>small</v>
      </c>
      <c r="K8010" s="36">
        <v>45418</v>
      </c>
      <c r="L8010" s="36">
        <v>45425</v>
      </c>
      <c r="M8010" t="s">
        <v>598</v>
      </c>
      <c r="N8010" t="s">
        <v>599</v>
      </c>
      <c r="O8010" s="37" t="str">
        <f t="shared" si="628"/>
        <v>Digital Payment</v>
      </c>
      <c r="P8010">
        <v>39.5</v>
      </c>
      <c r="Q8010" s="37" t="str">
        <f>IF(P8010&gt;500,"High","low")</f>
        <v>low</v>
      </c>
      <c r="R8010" s="37" t="str">
        <f t="shared" si="629"/>
        <v>AVERAGE</v>
      </c>
      <c r="S8010" t="s">
        <v>620</v>
      </c>
    </row>
    <row r="8011" spans="1:19" x14ac:dyDescent="0.2">
      <c r="A8011" t="s">
        <v>8622</v>
      </c>
      <c r="B8011" t="s">
        <v>75</v>
      </c>
      <c r="C8011" t="s">
        <v>607</v>
      </c>
      <c r="D8011">
        <v>4838.22</v>
      </c>
      <c r="E8011" s="37" t="str">
        <f t="shared" si="625"/>
        <v>Excellent Order</v>
      </c>
      <c r="F8011">
        <v>0.48</v>
      </c>
      <c r="G8011" s="37" t="str">
        <f t="shared" si="626"/>
        <v>Heavy Discount</v>
      </c>
      <c r="H8011" s="37" t="str">
        <f t="shared" si="627"/>
        <v>High</v>
      </c>
      <c r="I8011">
        <v>1</v>
      </c>
      <c r="J8011" t="str" cm="1">
        <f t="array" ref="J8011">_xlfn.IFS(I8011&lt;=3,"small",I8011&lt;=6,"Medium",I8011&lt;=9,"Large")</f>
        <v>small</v>
      </c>
      <c r="K8011" s="36">
        <v>45066</v>
      </c>
      <c r="L8011" s="36">
        <v>45071</v>
      </c>
      <c r="M8011" t="s">
        <v>598</v>
      </c>
      <c r="N8011" t="s">
        <v>604</v>
      </c>
      <c r="O8011" s="37" t="str">
        <f t="shared" si="628"/>
        <v>Digital Payment</v>
      </c>
      <c r="P8011">
        <v>1392.68</v>
      </c>
      <c r="Q8011" s="37" t="str">
        <f>IF(P8011&gt;500,"High","low")</f>
        <v>High</v>
      </c>
      <c r="R8011" s="37" t="str">
        <f t="shared" si="629"/>
        <v>Excellent</v>
      </c>
      <c r="S8011" t="s">
        <v>620</v>
      </c>
    </row>
    <row r="8012" spans="1:19" x14ac:dyDescent="0.2">
      <c r="A8012" t="s">
        <v>8623</v>
      </c>
      <c r="B8012" t="s">
        <v>83</v>
      </c>
      <c r="C8012" t="s">
        <v>614</v>
      </c>
      <c r="D8012">
        <v>2712.09</v>
      </c>
      <c r="E8012" s="37" t="str">
        <f t="shared" si="625"/>
        <v xml:space="preserve"> </v>
      </c>
      <c r="F8012">
        <v>0.47</v>
      </c>
      <c r="G8012" s="37" t="str">
        <f t="shared" si="626"/>
        <v>Heavy Discount</v>
      </c>
      <c r="H8012" s="37" t="str">
        <f t="shared" si="627"/>
        <v>High</v>
      </c>
      <c r="I8012">
        <v>3</v>
      </c>
      <c r="J8012" t="str" cm="1">
        <f t="array" ref="J8012">_xlfn.IFS(I8012&lt;=3,"small",I8012&lt;=6,"Medium",I8012&lt;=9,"Large")</f>
        <v>small</v>
      </c>
      <c r="K8012" s="36">
        <v>45360</v>
      </c>
      <c r="L8012" s="36">
        <v>45366</v>
      </c>
      <c r="M8012" t="s">
        <v>612</v>
      </c>
      <c r="N8012" t="s">
        <v>608</v>
      </c>
      <c r="O8012" s="37" t="str">
        <f t="shared" si="628"/>
        <v>Cash Payment</v>
      </c>
      <c r="P8012">
        <v>205.36</v>
      </c>
      <c r="Q8012" s="37" t="str">
        <f>IF(P8012&gt;500,"High","low")</f>
        <v>low</v>
      </c>
      <c r="R8012" s="37" t="str">
        <f t="shared" si="629"/>
        <v>AVERAGE</v>
      </c>
      <c r="S8012" t="s">
        <v>609</v>
      </c>
    </row>
    <row r="8013" spans="1:19" x14ac:dyDescent="0.2">
      <c r="A8013" t="s">
        <v>8624</v>
      </c>
      <c r="B8013" t="s">
        <v>90</v>
      </c>
      <c r="C8013" t="s">
        <v>614</v>
      </c>
      <c r="D8013">
        <v>4969.28</v>
      </c>
      <c r="E8013" s="37" t="str">
        <f t="shared" si="625"/>
        <v>Excellent Order</v>
      </c>
      <c r="F8013">
        <v>0.27</v>
      </c>
      <c r="G8013" s="37" t="str">
        <f t="shared" si="626"/>
        <v>Normal Discount</v>
      </c>
      <c r="H8013" s="37" t="str">
        <f t="shared" si="627"/>
        <v>Medium</v>
      </c>
      <c r="I8013">
        <v>9</v>
      </c>
      <c r="J8013" t="str" cm="1">
        <f t="array" ref="J8013">_xlfn.IFS(I8013&lt;=3,"small",I8013&lt;=6,"Medium",I8013&lt;=9,"Large")</f>
        <v>Large</v>
      </c>
      <c r="K8013" s="36">
        <v>45301</v>
      </c>
      <c r="L8013" s="36">
        <v>45302</v>
      </c>
      <c r="M8013" t="s">
        <v>612</v>
      </c>
      <c r="N8013" t="s">
        <v>599</v>
      </c>
      <c r="O8013" s="37" t="str">
        <f t="shared" si="628"/>
        <v>Digital Payment</v>
      </c>
      <c r="P8013">
        <v>941.63</v>
      </c>
      <c r="Q8013" s="37" t="str">
        <f>IF(P8013&gt;500,"High","low")</f>
        <v>High</v>
      </c>
      <c r="R8013" s="37" t="str">
        <f t="shared" si="629"/>
        <v>Good</v>
      </c>
      <c r="S8013" t="s">
        <v>615</v>
      </c>
    </row>
    <row r="8014" spans="1:19" x14ac:dyDescent="0.2">
      <c r="A8014" t="s">
        <v>8625</v>
      </c>
      <c r="B8014" t="s">
        <v>67</v>
      </c>
      <c r="C8014" t="s">
        <v>614</v>
      </c>
      <c r="D8014">
        <v>2280.54</v>
      </c>
      <c r="E8014" s="37" t="str">
        <f t="shared" si="625"/>
        <v xml:space="preserve"> </v>
      </c>
      <c r="F8014">
        <v>0.18</v>
      </c>
      <c r="G8014" s="37" t="str">
        <f t="shared" si="626"/>
        <v>Normal Discount</v>
      </c>
      <c r="H8014" s="37" t="str">
        <f t="shared" si="627"/>
        <v>Low</v>
      </c>
      <c r="I8014">
        <v>7</v>
      </c>
      <c r="J8014" t="str" cm="1">
        <f t="array" ref="J8014">_xlfn.IFS(I8014&lt;=3,"small",I8014&lt;=6,"Medium",I8014&lt;=9,"Large")</f>
        <v>Large</v>
      </c>
      <c r="K8014" s="36">
        <v>45546</v>
      </c>
      <c r="L8014" s="36">
        <v>45553</v>
      </c>
      <c r="M8014" t="s">
        <v>598</v>
      </c>
      <c r="N8014" t="s">
        <v>604</v>
      </c>
      <c r="O8014" s="37" t="str">
        <f t="shared" si="628"/>
        <v>Digital Payment</v>
      </c>
      <c r="P8014">
        <v>410.56</v>
      </c>
      <c r="Q8014" s="37" t="str">
        <f>IF(P8014&gt;500,"High","low")</f>
        <v>low</v>
      </c>
      <c r="R8014" s="37" t="str">
        <f t="shared" si="629"/>
        <v>AVERAGE</v>
      </c>
      <c r="S8014" t="s">
        <v>609</v>
      </c>
    </row>
    <row r="8015" spans="1:19" x14ac:dyDescent="0.2">
      <c r="A8015" t="s">
        <v>8626</v>
      </c>
      <c r="B8015" t="s">
        <v>83</v>
      </c>
      <c r="C8015" t="s">
        <v>602</v>
      </c>
      <c r="D8015">
        <v>2713.09</v>
      </c>
      <c r="E8015" s="37" t="str">
        <f t="shared" si="625"/>
        <v xml:space="preserve"> </v>
      </c>
      <c r="F8015">
        <v>0.22</v>
      </c>
      <c r="G8015" s="37" t="str">
        <f t="shared" si="626"/>
        <v>Normal Discount</v>
      </c>
      <c r="H8015" s="37" t="str">
        <f t="shared" si="627"/>
        <v>Medium</v>
      </c>
      <c r="I8015">
        <v>9</v>
      </c>
      <c r="J8015" t="str" cm="1">
        <f t="array" ref="J8015">_xlfn.IFS(I8015&lt;=3,"small",I8015&lt;=6,"Medium",I8015&lt;=9,"Large")</f>
        <v>Large</v>
      </c>
      <c r="K8015" s="36">
        <v>45430</v>
      </c>
      <c r="L8015" s="36">
        <v>45432</v>
      </c>
      <c r="M8015" t="s">
        <v>612</v>
      </c>
      <c r="N8015" t="s">
        <v>599</v>
      </c>
      <c r="O8015" s="37" t="str">
        <f t="shared" si="628"/>
        <v>Digital Payment</v>
      </c>
      <c r="P8015">
        <v>740.77</v>
      </c>
      <c r="Q8015" s="37" t="str">
        <f>IF(P8015&gt;500,"High","low")</f>
        <v>High</v>
      </c>
      <c r="R8015" s="37" t="str">
        <f t="shared" si="629"/>
        <v>Good</v>
      </c>
      <c r="S8015" t="s">
        <v>609</v>
      </c>
    </row>
    <row r="8016" spans="1:19" x14ac:dyDescent="0.2">
      <c r="A8016" t="s">
        <v>8627</v>
      </c>
      <c r="B8016" t="s">
        <v>83</v>
      </c>
      <c r="C8016" t="s">
        <v>602</v>
      </c>
      <c r="D8016">
        <v>1403.81</v>
      </c>
      <c r="E8016" s="37" t="str">
        <f t="shared" si="625"/>
        <v xml:space="preserve"> </v>
      </c>
      <c r="F8016">
        <v>0.17</v>
      </c>
      <c r="G8016" s="37" t="str">
        <f t="shared" si="626"/>
        <v>Normal Discount</v>
      </c>
      <c r="H8016" s="37" t="str">
        <f t="shared" si="627"/>
        <v>Low</v>
      </c>
      <c r="I8016">
        <v>7</v>
      </c>
      <c r="J8016" t="str" cm="1">
        <f t="array" ref="J8016">_xlfn.IFS(I8016&lt;=3,"small",I8016&lt;=6,"Medium",I8016&lt;=9,"Large")</f>
        <v>Large</v>
      </c>
      <c r="K8016" s="36">
        <v>45392</v>
      </c>
      <c r="L8016" s="36">
        <v>45395</v>
      </c>
      <c r="M8016" t="s">
        <v>603</v>
      </c>
      <c r="N8016" t="s">
        <v>599</v>
      </c>
      <c r="O8016" s="37" t="str">
        <f t="shared" si="628"/>
        <v>Digital Payment</v>
      </c>
      <c r="P8016">
        <v>267.39999999999998</v>
      </c>
      <c r="Q8016" s="37" t="str">
        <f>IF(P8016&gt;500,"High","low")</f>
        <v>low</v>
      </c>
      <c r="R8016" s="37" t="str">
        <f t="shared" si="629"/>
        <v>AVERAGE</v>
      </c>
      <c r="S8016" t="s">
        <v>609</v>
      </c>
    </row>
    <row r="8017" spans="1:19" x14ac:dyDescent="0.2">
      <c r="A8017" t="s">
        <v>8628</v>
      </c>
      <c r="B8017" t="s">
        <v>67</v>
      </c>
      <c r="C8017" t="s">
        <v>617</v>
      </c>
      <c r="D8017">
        <v>4504.84</v>
      </c>
      <c r="E8017" s="37" t="str">
        <f t="shared" si="625"/>
        <v xml:space="preserve"> </v>
      </c>
      <c r="F8017">
        <v>0.22</v>
      </c>
      <c r="G8017" s="37" t="str">
        <f t="shared" si="626"/>
        <v>Normal Discount</v>
      </c>
      <c r="H8017" s="37" t="str">
        <f t="shared" si="627"/>
        <v>Medium</v>
      </c>
      <c r="I8017">
        <v>9</v>
      </c>
      <c r="J8017" t="str" cm="1">
        <f t="array" ref="J8017">_xlfn.IFS(I8017&lt;=3,"small",I8017&lt;=6,"Medium",I8017&lt;=9,"Large")</f>
        <v>Large</v>
      </c>
      <c r="K8017" s="36">
        <v>45192</v>
      </c>
      <c r="L8017" s="36">
        <v>45197</v>
      </c>
      <c r="M8017" t="s">
        <v>603</v>
      </c>
      <c r="N8017" t="s">
        <v>608</v>
      </c>
      <c r="O8017" s="37" t="str">
        <f t="shared" si="628"/>
        <v>Cash Payment</v>
      </c>
      <c r="P8017">
        <v>539.07000000000005</v>
      </c>
      <c r="Q8017" s="37" t="str">
        <f>IF(P8017&gt;500,"High","low")</f>
        <v>High</v>
      </c>
      <c r="R8017" s="37" t="str">
        <f t="shared" si="629"/>
        <v>Good</v>
      </c>
      <c r="S8017" t="s">
        <v>609</v>
      </c>
    </row>
    <row r="8018" spans="1:19" x14ac:dyDescent="0.2">
      <c r="A8018" t="s">
        <v>8629</v>
      </c>
      <c r="B8018" t="s">
        <v>67</v>
      </c>
      <c r="C8018" t="s">
        <v>607</v>
      </c>
      <c r="D8018">
        <v>2274.19</v>
      </c>
      <c r="E8018" s="37" t="str">
        <f t="shared" si="625"/>
        <v xml:space="preserve"> </v>
      </c>
      <c r="F8018">
        <v>0.01</v>
      </c>
      <c r="G8018" s="37" t="str">
        <f t="shared" si="626"/>
        <v>Normal Discount</v>
      </c>
      <c r="H8018" s="37" t="str">
        <f t="shared" si="627"/>
        <v>Low</v>
      </c>
      <c r="I8018">
        <v>3</v>
      </c>
      <c r="J8018" t="str" cm="1">
        <f t="array" ref="J8018">_xlfn.IFS(I8018&lt;=3,"small",I8018&lt;=6,"Medium",I8018&lt;=9,"Large")</f>
        <v>small</v>
      </c>
      <c r="K8018" s="36">
        <v>45029</v>
      </c>
      <c r="L8018" s="36">
        <v>45034</v>
      </c>
      <c r="M8018" t="s">
        <v>612</v>
      </c>
      <c r="N8018" t="s">
        <v>604</v>
      </c>
      <c r="O8018" s="37" t="str">
        <f t="shared" si="628"/>
        <v>Digital Payment</v>
      </c>
      <c r="P8018">
        <v>211.43</v>
      </c>
      <c r="Q8018" s="37" t="str">
        <f>IF(P8018&gt;500,"High","low")</f>
        <v>low</v>
      </c>
      <c r="R8018" s="37" t="str">
        <f t="shared" si="629"/>
        <v>AVERAGE</v>
      </c>
      <c r="S8018" t="s">
        <v>605</v>
      </c>
    </row>
    <row r="8019" spans="1:19" x14ac:dyDescent="0.2">
      <c r="A8019" t="s">
        <v>8630</v>
      </c>
      <c r="B8019" t="s">
        <v>83</v>
      </c>
      <c r="C8019" t="s">
        <v>597</v>
      </c>
      <c r="D8019">
        <v>4091.61</v>
      </c>
      <c r="E8019" s="37" t="str">
        <f t="shared" si="625"/>
        <v xml:space="preserve"> </v>
      </c>
      <c r="F8019">
        <v>0.03</v>
      </c>
      <c r="G8019" s="37" t="str">
        <f t="shared" si="626"/>
        <v>Normal Discount</v>
      </c>
      <c r="H8019" s="37" t="str">
        <f t="shared" si="627"/>
        <v>Low</v>
      </c>
      <c r="I8019">
        <v>7</v>
      </c>
      <c r="J8019" t="str" cm="1">
        <f t="array" ref="J8019">_xlfn.IFS(I8019&lt;=3,"small",I8019&lt;=6,"Medium",I8019&lt;=9,"Large")</f>
        <v>Large</v>
      </c>
      <c r="K8019" s="36">
        <v>45441</v>
      </c>
      <c r="L8019" s="36">
        <v>45443</v>
      </c>
      <c r="M8019" t="s">
        <v>598</v>
      </c>
      <c r="N8019" t="s">
        <v>604</v>
      </c>
      <c r="O8019" s="37" t="str">
        <f t="shared" si="628"/>
        <v>Digital Payment</v>
      </c>
      <c r="P8019">
        <v>470.19</v>
      </c>
      <c r="Q8019" s="37" t="str">
        <f>IF(P8019&gt;500,"High","low")</f>
        <v>low</v>
      </c>
      <c r="R8019" s="37" t="str">
        <f t="shared" si="629"/>
        <v>AVERAGE</v>
      </c>
      <c r="S8019" t="s">
        <v>628</v>
      </c>
    </row>
    <row r="8020" spans="1:19" x14ac:dyDescent="0.2">
      <c r="A8020" t="s">
        <v>8631</v>
      </c>
      <c r="B8020" t="s">
        <v>75</v>
      </c>
      <c r="C8020" t="s">
        <v>607</v>
      </c>
      <c r="D8020">
        <v>490.7</v>
      </c>
      <c r="E8020" s="37" t="str">
        <f t="shared" si="625"/>
        <v xml:space="preserve"> </v>
      </c>
      <c r="F8020">
        <v>0.39</v>
      </c>
      <c r="G8020" s="37" t="str">
        <f t="shared" si="626"/>
        <v>Heavy Discount</v>
      </c>
      <c r="H8020" s="37" t="str">
        <f t="shared" si="627"/>
        <v>Medium</v>
      </c>
      <c r="I8020">
        <v>6</v>
      </c>
      <c r="J8020" t="str" cm="1">
        <f t="array" ref="J8020">_xlfn.IFS(I8020&lt;=3,"small",I8020&lt;=6,"Medium",I8020&lt;=9,"Large")</f>
        <v>Medium</v>
      </c>
      <c r="K8020" s="36">
        <v>45635</v>
      </c>
      <c r="L8020" s="36">
        <v>45636</v>
      </c>
      <c r="M8020" t="s">
        <v>603</v>
      </c>
      <c r="N8020" t="s">
        <v>599</v>
      </c>
      <c r="O8020" s="37" t="str">
        <f t="shared" si="628"/>
        <v>Digital Payment</v>
      </c>
      <c r="P8020">
        <v>57.7</v>
      </c>
      <c r="Q8020" s="37" t="str">
        <f>IF(P8020&gt;500,"High","low")</f>
        <v>low</v>
      </c>
      <c r="R8020" s="37" t="str">
        <f t="shared" si="629"/>
        <v>AVERAGE</v>
      </c>
      <c r="S8020" t="s">
        <v>600</v>
      </c>
    </row>
    <row r="8021" spans="1:19" x14ac:dyDescent="0.2">
      <c r="A8021" t="s">
        <v>8632</v>
      </c>
      <c r="B8021" t="s">
        <v>83</v>
      </c>
      <c r="C8021" t="s">
        <v>602</v>
      </c>
      <c r="D8021">
        <v>3962.41</v>
      </c>
      <c r="E8021" s="37" t="str">
        <f t="shared" si="625"/>
        <v xml:space="preserve"> </v>
      </c>
      <c r="F8021">
        <v>0.17</v>
      </c>
      <c r="G8021" s="37" t="str">
        <f t="shared" si="626"/>
        <v>Normal Discount</v>
      </c>
      <c r="H8021" s="37" t="str">
        <f t="shared" si="627"/>
        <v>Low</v>
      </c>
      <c r="I8021">
        <v>2</v>
      </c>
      <c r="J8021" t="str" cm="1">
        <f t="array" ref="J8021">_xlfn.IFS(I8021&lt;=3,"small",I8021&lt;=6,"Medium",I8021&lt;=9,"Large")</f>
        <v>small</v>
      </c>
      <c r="K8021" s="36">
        <v>45227</v>
      </c>
      <c r="L8021" s="36">
        <v>45234</v>
      </c>
      <c r="M8021" t="s">
        <v>598</v>
      </c>
      <c r="N8021" t="s">
        <v>608</v>
      </c>
      <c r="O8021" s="37" t="str">
        <f t="shared" si="628"/>
        <v>Cash Payment</v>
      </c>
      <c r="P8021">
        <v>407.71</v>
      </c>
      <c r="Q8021" s="37" t="str">
        <f>IF(P8021&gt;500,"High","low")</f>
        <v>low</v>
      </c>
      <c r="R8021" s="37" t="str">
        <f t="shared" si="629"/>
        <v>AVERAGE</v>
      </c>
      <c r="S8021" t="s">
        <v>615</v>
      </c>
    </row>
    <row r="8022" spans="1:19" x14ac:dyDescent="0.2">
      <c r="A8022" t="s">
        <v>8633</v>
      </c>
      <c r="B8022" t="s">
        <v>67</v>
      </c>
      <c r="C8022" t="s">
        <v>602</v>
      </c>
      <c r="D8022">
        <v>2502.19</v>
      </c>
      <c r="E8022" s="37" t="str">
        <f t="shared" si="625"/>
        <v xml:space="preserve"> </v>
      </c>
      <c r="F8022">
        <v>0.4</v>
      </c>
      <c r="G8022" s="37" t="str">
        <f t="shared" si="626"/>
        <v>Heavy Discount</v>
      </c>
      <c r="H8022" s="37" t="str">
        <f t="shared" si="627"/>
        <v>Medium</v>
      </c>
      <c r="I8022">
        <v>6</v>
      </c>
      <c r="J8022" t="str" cm="1">
        <f t="array" ref="J8022">_xlfn.IFS(I8022&lt;=3,"small",I8022&lt;=6,"Medium",I8022&lt;=9,"Large")</f>
        <v>Medium</v>
      </c>
      <c r="K8022" s="36">
        <v>45607</v>
      </c>
      <c r="L8022" s="36">
        <v>45609</v>
      </c>
      <c r="M8022" t="s">
        <v>603</v>
      </c>
      <c r="N8022" t="s">
        <v>608</v>
      </c>
      <c r="O8022" s="37" t="str">
        <f t="shared" si="628"/>
        <v>Cash Payment</v>
      </c>
      <c r="P8022">
        <v>271.45999999999998</v>
      </c>
      <c r="Q8022" s="37" t="str">
        <f>IF(P8022&gt;500,"High","low")</f>
        <v>low</v>
      </c>
      <c r="R8022" s="37" t="str">
        <f t="shared" si="629"/>
        <v>AVERAGE</v>
      </c>
      <c r="S8022" t="s">
        <v>609</v>
      </c>
    </row>
    <row r="8023" spans="1:19" x14ac:dyDescent="0.2">
      <c r="A8023" t="s">
        <v>8634</v>
      </c>
      <c r="B8023" t="s">
        <v>83</v>
      </c>
      <c r="C8023" t="s">
        <v>617</v>
      </c>
      <c r="D8023">
        <v>126.5</v>
      </c>
      <c r="E8023" s="37" t="str">
        <f t="shared" si="625"/>
        <v xml:space="preserve"> </v>
      </c>
      <c r="F8023">
        <v>0.24</v>
      </c>
      <c r="G8023" s="37" t="str">
        <f t="shared" si="626"/>
        <v>Normal Discount</v>
      </c>
      <c r="H8023" s="37" t="str">
        <f t="shared" si="627"/>
        <v>Medium</v>
      </c>
      <c r="I8023">
        <v>3</v>
      </c>
      <c r="J8023" t="str" cm="1">
        <f t="array" ref="J8023">_xlfn.IFS(I8023&lt;=3,"small",I8023&lt;=6,"Medium",I8023&lt;=9,"Large")</f>
        <v>small</v>
      </c>
      <c r="K8023" s="36">
        <v>45278</v>
      </c>
      <c r="L8023" s="36">
        <v>45282</v>
      </c>
      <c r="M8023" t="s">
        <v>598</v>
      </c>
      <c r="N8023" t="s">
        <v>608</v>
      </c>
      <c r="O8023" s="37" t="str">
        <f t="shared" si="628"/>
        <v>Cash Payment</v>
      </c>
      <c r="P8023">
        <v>33.43</v>
      </c>
      <c r="Q8023" s="37" t="str">
        <f>IF(P8023&gt;500,"High","low")</f>
        <v>low</v>
      </c>
      <c r="R8023" s="37" t="str">
        <f t="shared" si="629"/>
        <v>AVERAGE</v>
      </c>
      <c r="S8023" t="s">
        <v>600</v>
      </c>
    </row>
    <row r="8024" spans="1:19" x14ac:dyDescent="0.2">
      <c r="A8024" t="s">
        <v>8635</v>
      </c>
      <c r="B8024" t="s">
        <v>75</v>
      </c>
      <c r="C8024" t="s">
        <v>597</v>
      </c>
      <c r="D8024">
        <v>1208.69</v>
      </c>
      <c r="E8024" s="37" t="str">
        <f t="shared" si="625"/>
        <v xml:space="preserve"> </v>
      </c>
      <c r="F8024">
        <v>0.4</v>
      </c>
      <c r="G8024" s="37" t="str">
        <f t="shared" si="626"/>
        <v>Heavy Discount</v>
      </c>
      <c r="H8024" s="37" t="str">
        <f t="shared" si="627"/>
        <v>Medium</v>
      </c>
      <c r="I8024">
        <v>2</v>
      </c>
      <c r="J8024" t="str" cm="1">
        <f t="array" ref="J8024">_xlfn.IFS(I8024&lt;=3,"small",I8024&lt;=6,"Medium",I8024&lt;=9,"Large")</f>
        <v>small</v>
      </c>
      <c r="K8024" s="36">
        <v>45608</v>
      </c>
      <c r="L8024" s="36">
        <v>45611</v>
      </c>
      <c r="M8024" t="s">
        <v>603</v>
      </c>
      <c r="N8024" t="s">
        <v>599</v>
      </c>
      <c r="O8024" s="37" t="str">
        <f t="shared" si="628"/>
        <v>Digital Payment</v>
      </c>
      <c r="P8024">
        <v>323.51</v>
      </c>
      <c r="Q8024" s="37" t="str">
        <f>IF(P8024&gt;500,"High","low")</f>
        <v>low</v>
      </c>
      <c r="R8024" s="37" t="str">
        <f t="shared" si="629"/>
        <v>AVERAGE</v>
      </c>
      <c r="S8024" t="s">
        <v>605</v>
      </c>
    </row>
    <row r="8025" spans="1:19" x14ac:dyDescent="0.2">
      <c r="A8025" t="s">
        <v>8636</v>
      </c>
      <c r="B8025" t="s">
        <v>90</v>
      </c>
      <c r="C8025" t="s">
        <v>614</v>
      </c>
      <c r="D8025">
        <v>1049.28</v>
      </c>
      <c r="E8025" s="37" t="str">
        <f t="shared" si="625"/>
        <v xml:space="preserve"> </v>
      </c>
      <c r="F8025">
        <v>0.33</v>
      </c>
      <c r="G8025" s="37" t="str">
        <f t="shared" si="626"/>
        <v>Heavy Discount</v>
      </c>
      <c r="H8025" s="37" t="str">
        <f t="shared" si="627"/>
        <v>Medium</v>
      </c>
      <c r="I8025">
        <v>5</v>
      </c>
      <c r="J8025" t="str" cm="1">
        <f t="array" ref="J8025">_xlfn.IFS(I8025&lt;=3,"small",I8025&lt;=6,"Medium",I8025&lt;=9,"Large")</f>
        <v>Medium</v>
      </c>
      <c r="K8025" s="36">
        <v>45471</v>
      </c>
      <c r="L8025" s="36">
        <v>45474</v>
      </c>
      <c r="M8025" t="s">
        <v>612</v>
      </c>
      <c r="N8025" t="s">
        <v>608</v>
      </c>
      <c r="O8025" s="37" t="str">
        <f t="shared" si="628"/>
        <v>Cash Payment</v>
      </c>
      <c r="P8025">
        <v>191.75</v>
      </c>
      <c r="Q8025" s="37" t="str">
        <f>IF(P8025&gt;500,"High","low")</f>
        <v>low</v>
      </c>
      <c r="R8025" s="37" t="str">
        <f t="shared" si="629"/>
        <v>AVERAGE</v>
      </c>
      <c r="S8025" t="s">
        <v>628</v>
      </c>
    </row>
    <row r="8026" spans="1:19" x14ac:dyDescent="0.2">
      <c r="A8026" t="s">
        <v>8637</v>
      </c>
      <c r="B8026" t="s">
        <v>90</v>
      </c>
      <c r="C8026" t="s">
        <v>597</v>
      </c>
      <c r="D8026">
        <v>3783.65</v>
      </c>
      <c r="E8026" s="37" t="str">
        <f t="shared" si="625"/>
        <v xml:space="preserve"> </v>
      </c>
      <c r="F8026">
        <v>0.1</v>
      </c>
      <c r="G8026" s="37" t="str">
        <f t="shared" si="626"/>
        <v>Normal Discount</v>
      </c>
      <c r="H8026" s="37" t="str">
        <f t="shared" si="627"/>
        <v>Low</v>
      </c>
      <c r="I8026">
        <v>5</v>
      </c>
      <c r="J8026" t="str" cm="1">
        <f t="array" ref="J8026">_xlfn.IFS(I8026&lt;=3,"small",I8026&lt;=6,"Medium",I8026&lt;=9,"Large")</f>
        <v>Medium</v>
      </c>
      <c r="K8026" s="36">
        <v>45404</v>
      </c>
      <c r="L8026" s="36">
        <v>45406</v>
      </c>
      <c r="M8026" t="s">
        <v>598</v>
      </c>
      <c r="N8026" t="s">
        <v>604</v>
      </c>
      <c r="O8026" s="37" t="str">
        <f t="shared" si="628"/>
        <v>Digital Payment</v>
      </c>
      <c r="P8026">
        <v>1054.5999999999999</v>
      </c>
      <c r="Q8026" s="37" t="str">
        <f>IF(P8026&gt;500,"High","low")</f>
        <v>High</v>
      </c>
      <c r="R8026" s="37" t="str">
        <f t="shared" si="629"/>
        <v>Excellent</v>
      </c>
      <c r="S8026" t="s">
        <v>600</v>
      </c>
    </row>
    <row r="8027" spans="1:19" x14ac:dyDescent="0.2">
      <c r="A8027" t="s">
        <v>8638</v>
      </c>
      <c r="B8027" t="s">
        <v>83</v>
      </c>
      <c r="C8027" t="s">
        <v>597</v>
      </c>
      <c r="D8027">
        <v>2438.29</v>
      </c>
      <c r="E8027" s="37" t="str">
        <f t="shared" si="625"/>
        <v xml:space="preserve"> </v>
      </c>
      <c r="F8027">
        <v>0.22</v>
      </c>
      <c r="G8027" s="37" t="str">
        <f t="shared" si="626"/>
        <v>Normal Discount</v>
      </c>
      <c r="H8027" s="37" t="str">
        <f t="shared" si="627"/>
        <v>Medium</v>
      </c>
      <c r="I8027">
        <v>2</v>
      </c>
      <c r="J8027" t="str" cm="1">
        <f t="array" ref="J8027">_xlfn.IFS(I8027&lt;=3,"small",I8027&lt;=6,"Medium",I8027&lt;=9,"Large")</f>
        <v>small</v>
      </c>
      <c r="K8027" s="36">
        <v>45444</v>
      </c>
      <c r="L8027" s="36">
        <v>45451</v>
      </c>
      <c r="M8027" t="s">
        <v>612</v>
      </c>
      <c r="N8027" t="s">
        <v>608</v>
      </c>
      <c r="O8027" s="37" t="str">
        <f t="shared" si="628"/>
        <v>Cash Payment</v>
      </c>
      <c r="P8027">
        <v>429.61</v>
      </c>
      <c r="Q8027" s="37" t="str">
        <f>IF(P8027&gt;500,"High","low")</f>
        <v>low</v>
      </c>
      <c r="R8027" s="37" t="str">
        <f t="shared" si="629"/>
        <v>AVERAGE</v>
      </c>
      <c r="S8027" t="s">
        <v>628</v>
      </c>
    </row>
    <row r="8028" spans="1:19" x14ac:dyDescent="0.2">
      <c r="A8028" t="s">
        <v>8639</v>
      </c>
      <c r="B8028" t="s">
        <v>75</v>
      </c>
      <c r="C8028" t="s">
        <v>597</v>
      </c>
      <c r="D8028">
        <v>882.62</v>
      </c>
      <c r="E8028" s="37" t="str">
        <f t="shared" si="625"/>
        <v xml:space="preserve"> </v>
      </c>
      <c r="F8028">
        <v>0.35</v>
      </c>
      <c r="G8028" s="37" t="str">
        <f t="shared" si="626"/>
        <v>Heavy Discount</v>
      </c>
      <c r="H8028" s="37" t="str">
        <f t="shared" si="627"/>
        <v>Medium</v>
      </c>
      <c r="I8028">
        <v>3</v>
      </c>
      <c r="J8028" t="str" cm="1">
        <f t="array" ref="J8028">_xlfn.IFS(I8028&lt;=3,"small",I8028&lt;=6,"Medium",I8028&lt;=9,"Large")</f>
        <v>small</v>
      </c>
      <c r="K8028" s="36">
        <v>45405</v>
      </c>
      <c r="L8028" s="36">
        <v>45411</v>
      </c>
      <c r="M8028" t="s">
        <v>598</v>
      </c>
      <c r="N8028" t="s">
        <v>608</v>
      </c>
      <c r="O8028" s="37" t="str">
        <f t="shared" si="628"/>
        <v>Cash Payment</v>
      </c>
      <c r="P8028">
        <v>176.49</v>
      </c>
      <c r="Q8028" s="37" t="str">
        <f>IF(P8028&gt;500,"High","low")</f>
        <v>low</v>
      </c>
      <c r="R8028" s="37" t="str">
        <f t="shared" si="629"/>
        <v>AVERAGE</v>
      </c>
      <c r="S8028" t="s">
        <v>609</v>
      </c>
    </row>
    <row r="8029" spans="1:19" x14ac:dyDescent="0.2">
      <c r="A8029" t="s">
        <v>8640</v>
      </c>
      <c r="B8029" t="s">
        <v>90</v>
      </c>
      <c r="C8029" t="s">
        <v>617</v>
      </c>
      <c r="D8029">
        <v>1358.33</v>
      </c>
      <c r="E8029" s="37" t="str">
        <f t="shared" si="625"/>
        <v xml:space="preserve"> </v>
      </c>
      <c r="F8029">
        <v>0.17</v>
      </c>
      <c r="G8029" s="37" t="str">
        <f t="shared" si="626"/>
        <v>Normal Discount</v>
      </c>
      <c r="H8029" s="37" t="str">
        <f t="shared" si="627"/>
        <v>Low</v>
      </c>
      <c r="I8029">
        <v>8</v>
      </c>
      <c r="J8029" t="str" cm="1">
        <f t="array" ref="J8029">_xlfn.IFS(I8029&lt;=3,"small",I8029&lt;=6,"Medium",I8029&lt;=9,"Large")</f>
        <v>Large</v>
      </c>
      <c r="K8029" s="36">
        <v>45080</v>
      </c>
      <c r="L8029" s="36">
        <v>45086</v>
      </c>
      <c r="M8029" t="s">
        <v>603</v>
      </c>
      <c r="N8029" t="s">
        <v>604</v>
      </c>
      <c r="O8029" s="37" t="str">
        <f t="shared" si="628"/>
        <v>Digital Payment</v>
      </c>
      <c r="P8029">
        <v>405.46</v>
      </c>
      <c r="Q8029" s="37" t="str">
        <f>IF(P8029&gt;500,"High","low")</f>
        <v>low</v>
      </c>
      <c r="R8029" s="37" t="str">
        <f t="shared" si="629"/>
        <v>AVERAGE</v>
      </c>
      <c r="S8029" t="s">
        <v>628</v>
      </c>
    </row>
    <row r="8030" spans="1:19" x14ac:dyDescent="0.2">
      <c r="A8030" t="s">
        <v>8641</v>
      </c>
      <c r="B8030" t="s">
        <v>83</v>
      </c>
      <c r="C8030" t="s">
        <v>602</v>
      </c>
      <c r="D8030">
        <v>2569.98</v>
      </c>
      <c r="E8030" s="37" t="str">
        <f t="shared" si="625"/>
        <v xml:space="preserve"> </v>
      </c>
      <c r="F8030">
        <v>0.1</v>
      </c>
      <c r="G8030" s="37" t="str">
        <f t="shared" si="626"/>
        <v>Normal Discount</v>
      </c>
      <c r="H8030" s="37" t="str">
        <f t="shared" si="627"/>
        <v>Low</v>
      </c>
      <c r="I8030">
        <v>5</v>
      </c>
      <c r="J8030" t="str" cm="1">
        <f t="array" ref="J8030">_xlfn.IFS(I8030&lt;=3,"small",I8030&lt;=6,"Medium",I8030&lt;=9,"Large")</f>
        <v>Medium</v>
      </c>
      <c r="K8030" s="36">
        <v>44974</v>
      </c>
      <c r="L8030" s="36">
        <v>44977</v>
      </c>
      <c r="M8030" t="s">
        <v>598</v>
      </c>
      <c r="N8030" t="s">
        <v>604</v>
      </c>
      <c r="O8030" s="37" t="str">
        <f t="shared" si="628"/>
        <v>Digital Payment</v>
      </c>
      <c r="P8030">
        <v>368.3</v>
      </c>
      <c r="Q8030" s="37" t="str">
        <f>IF(P8030&gt;500,"High","low")</f>
        <v>low</v>
      </c>
      <c r="R8030" s="37" t="str">
        <f t="shared" si="629"/>
        <v>AVERAGE</v>
      </c>
      <c r="S8030" t="s">
        <v>620</v>
      </c>
    </row>
    <row r="8031" spans="1:19" x14ac:dyDescent="0.2">
      <c r="A8031" t="s">
        <v>8642</v>
      </c>
      <c r="B8031" t="s">
        <v>83</v>
      </c>
      <c r="C8031" t="s">
        <v>614</v>
      </c>
      <c r="D8031">
        <v>196.23</v>
      </c>
      <c r="E8031" s="37" t="str">
        <f t="shared" si="625"/>
        <v xml:space="preserve"> </v>
      </c>
      <c r="F8031">
        <v>0.27</v>
      </c>
      <c r="G8031" s="37" t="str">
        <f t="shared" si="626"/>
        <v>Normal Discount</v>
      </c>
      <c r="H8031" s="37" t="str">
        <f t="shared" si="627"/>
        <v>Medium</v>
      </c>
      <c r="I8031">
        <v>8</v>
      </c>
      <c r="J8031" t="str" cm="1">
        <f t="array" ref="J8031">_xlfn.IFS(I8031&lt;=3,"small",I8031&lt;=6,"Medium",I8031&lt;=9,"Large")</f>
        <v>Large</v>
      </c>
      <c r="K8031" s="36">
        <v>44995</v>
      </c>
      <c r="L8031" s="36">
        <v>44998</v>
      </c>
      <c r="M8031" t="s">
        <v>598</v>
      </c>
      <c r="N8031" t="s">
        <v>604</v>
      </c>
      <c r="O8031" s="37" t="str">
        <f t="shared" si="628"/>
        <v>Digital Payment</v>
      </c>
      <c r="P8031">
        <v>40.6</v>
      </c>
      <c r="Q8031" s="37" t="str">
        <f>IF(P8031&gt;500,"High","low")</f>
        <v>low</v>
      </c>
      <c r="R8031" s="37" t="str">
        <f t="shared" si="629"/>
        <v>AVERAGE</v>
      </c>
      <c r="S8031" t="s">
        <v>609</v>
      </c>
    </row>
    <row r="8032" spans="1:19" x14ac:dyDescent="0.2">
      <c r="A8032" t="s">
        <v>8643</v>
      </c>
      <c r="B8032" t="s">
        <v>75</v>
      </c>
      <c r="C8032" t="s">
        <v>597</v>
      </c>
      <c r="D8032">
        <v>2178.2199999999998</v>
      </c>
      <c r="E8032" s="37" t="str">
        <f t="shared" si="625"/>
        <v xml:space="preserve"> </v>
      </c>
      <c r="F8032">
        <v>0.14000000000000001</v>
      </c>
      <c r="G8032" s="37" t="str">
        <f t="shared" si="626"/>
        <v>Normal Discount</v>
      </c>
      <c r="H8032" s="37" t="str">
        <f t="shared" si="627"/>
        <v>Low</v>
      </c>
      <c r="I8032">
        <v>4</v>
      </c>
      <c r="J8032" t="str" cm="1">
        <f t="array" ref="J8032">_xlfn.IFS(I8032&lt;=3,"small",I8032&lt;=6,"Medium",I8032&lt;=9,"Large")</f>
        <v>Medium</v>
      </c>
      <c r="K8032" s="36">
        <v>45100</v>
      </c>
      <c r="L8032" s="36">
        <v>45106</v>
      </c>
      <c r="M8032" t="s">
        <v>598</v>
      </c>
      <c r="N8032" t="s">
        <v>604</v>
      </c>
      <c r="O8032" s="37" t="str">
        <f t="shared" si="628"/>
        <v>Digital Payment</v>
      </c>
      <c r="P8032">
        <v>481.41</v>
      </c>
      <c r="Q8032" s="37" t="str">
        <f>IF(P8032&gt;500,"High","low")</f>
        <v>low</v>
      </c>
      <c r="R8032" s="37" t="str">
        <f t="shared" si="629"/>
        <v>AVERAGE</v>
      </c>
      <c r="S8032" t="s">
        <v>628</v>
      </c>
    </row>
    <row r="8033" spans="1:19" x14ac:dyDescent="0.2">
      <c r="A8033" t="s">
        <v>8644</v>
      </c>
      <c r="B8033" t="s">
        <v>67</v>
      </c>
      <c r="C8033" t="s">
        <v>614</v>
      </c>
      <c r="D8033">
        <v>3422.5</v>
      </c>
      <c r="E8033" s="37" t="str">
        <f t="shared" si="625"/>
        <v xml:space="preserve"> </v>
      </c>
      <c r="F8033">
        <v>0.3</v>
      </c>
      <c r="G8033" s="37" t="str">
        <f t="shared" si="626"/>
        <v>Normal Discount</v>
      </c>
      <c r="H8033" s="37" t="str">
        <f t="shared" si="627"/>
        <v>Medium</v>
      </c>
      <c r="I8033">
        <v>4</v>
      </c>
      <c r="J8033" t="str" cm="1">
        <f t="array" ref="J8033">_xlfn.IFS(I8033&lt;=3,"small",I8033&lt;=6,"Medium",I8033&lt;=9,"Large")</f>
        <v>Medium</v>
      </c>
      <c r="K8033" s="36">
        <v>45358</v>
      </c>
      <c r="L8033" s="36">
        <v>45359</v>
      </c>
      <c r="M8033" t="s">
        <v>598</v>
      </c>
      <c r="N8033" t="s">
        <v>608</v>
      </c>
      <c r="O8033" s="37" t="str">
        <f t="shared" si="628"/>
        <v>Cash Payment</v>
      </c>
      <c r="P8033">
        <v>680.66</v>
      </c>
      <c r="Q8033" s="37" t="str">
        <f>IF(P8033&gt;500,"High","low")</f>
        <v>High</v>
      </c>
      <c r="R8033" s="37" t="str">
        <f t="shared" si="629"/>
        <v>Good</v>
      </c>
      <c r="S8033" t="s">
        <v>609</v>
      </c>
    </row>
    <row r="8034" spans="1:19" x14ac:dyDescent="0.2">
      <c r="A8034" t="s">
        <v>8645</v>
      </c>
      <c r="B8034" t="s">
        <v>83</v>
      </c>
      <c r="C8034" t="s">
        <v>597</v>
      </c>
      <c r="D8034">
        <v>2637</v>
      </c>
      <c r="E8034" s="37" t="str">
        <f t="shared" si="625"/>
        <v xml:space="preserve"> </v>
      </c>
      <c r="F8034">
        <v>0.14000000000000001</v>
      </c>
      <c r="G8034" s="37" t="str">
        <f t="shared" si="626"/>
        <v>Normal Discount</v>
      </c>
      <c r="H8034" s="37" t="str">
        <f t="shared" si="627"/>
        <v>Low</v>
      </c>
      <c r="I8034">
        <v>6</v>
      </c>
      <c r="J8034" t="str" cm="1">
        <f t="array" ref="J8034">_xlfn.IFS(I8034&lt;=3,"small",I8034&lt;=6,"Medium",I8034&lt;=9,"Large")</f>
        <v>Medium</v>
      </c>
      <c r="K8034" s="36">
        <v>45479</v>
      </c>
      <c r="L8034" s="36">
        <v>45484</v>
      </c>
      <c r="M8034" t="s">
        <v>598</v>
      </c>
      <c r="N8034" t="s">
        <v>608</v>
      </c>
      <c r="O8034" s="37" t="str">
        <f t="shared" si="628"/>
        <v>Cash Payment</v>
      </c>
      <c r="P8034">
        <v>339.67</v>
      </c>
      <c r="Q8034" s="37" t="str">
        <f>IF(P8034&gt;500,"High","low")</f>
        <v>low</v>
      </c>
      <c r="R8034" s="37" t="str">
        <f t="shared" si="629"/>
        <v>AVERAGE</v>
      </c>
      <c r="S8034" t="s">
        <v>628</v>
      </c>
    </row>
    <row r="8035" spans="1:19" x14ac:dyDescent="0.2">
      <c r="A8035" t="s">
        <v>8646</v>
      </c>
      <c r="B8035" t="s">
        <v>67</v>
      </c>
      <c r="C8035" t="s">
        <v>602</v>
      </c>
      <c r="D8035">
        <v>3030.69</v>
      </c>
      <c r="E8035" s="37" t="str">
        <f t="shared" si="625"/>
        <v xml:space="preserve"> </v>
      </c>
      <c r="F8035">
        <v>0.45</v>
      </c>
      <c r="G8035" s="37" t="str">
        <f t="shared" si="626"/>
        <v>Heavy Discount</v>
      </c>
      <c r="H8035" s="37" t="str">
        <f t="shared" si="627"/>
        <v>High</v>
      </c>
      <c r="I8035">
        <v>5</v>
      </c>
      <c r="J8035" t="str" cm="1">
        <f t="array" ref="J8035">_xlfn.IFS(I8035&lt;=3,"small",I8035&lt;=6,"Medium",I8035&lt;=9,"Large")</f>
        <v>Medium</v>
      </c>
      <c r="K8035" s="36">
        <v>45033</v>
      </c>
      <c r="L8035" s="36">
        <v>45040</v>
      </c>
      <c r="M8035" t="s">
        <v>603</v>
      </c>
      <c r="N8035" t="s">
        <v>604</v>
      </c>
      <c r="O8035" s="37" t="str">
        <f t="shared" si="628"/>
        <v>Digital Payment</v>
      </c>
      <c r="P8035">
        <v>849.82</v>
      </c>
      <c r="Q8035" s="37" t="str">
        <f>IF(P8035&gt;500,"High","low")</f>
        <v>High</v>
      </c>
      <c r="R8035" s="37" t="str">
        <f t="shared" si="629"/>
        <v>Good</v>
      </c>
      <c r="S8035" t="s">
        <v>600</v>
      </c>
    </row>
    <row r="8036" spans="1:19" x14ac:dyDescent="0.2">
      <c r="A8036" t="s">
        <v>8647</v>
      </c>
      <c r="B8036" t="s">
        <v>67</v>
      </c>
      <c r="C8036" t="s">
        <v>614</v>
      </c>
      <c r="D8036">
        <v>1700.43</v>
      </c>
      <c r="E8036" s="37" t="str">
        <f t="shared" si="625"/>
        <v xml:space="preserve"> </v>
      </c>
      <c r="F8036">
        <v>0.17</v>
      </c>
      <c r="G8036" s="37" t="str">
        <f t="shared" si="626"/>
        <v>Normal Discount</v>
      </c>
      <c r="H8036" s="37" t="str">
        <f t="shared" si="627"/>
        <v>Low</v>
      </c>
      <c r="I8036">
        <v>5</v>
      </c>
      <c r="J8036" t="str" cm="1">
        <f t="array" ref="J8036">_xlfn.IFS(I8036&lt;=3,"small",I8036&lt;=6,"Medium",I8036&lt;=9,"Large")</f>
        <v>Medium</v>
      </c>
      <c r="K8036" s="36">
        <v>45454</v>
      </c>
      <c r="L8036" s="36">
        <v>45459</v>
      </c>
      <c r="M8036" t="s">
        <v>612</v>
      </c>
      <c r="N8036" t="s">
        <v>604</v>
      </c>
      <c r="O8036" s="37" t="str">
        <f t="shared" si="628"/>
        <v>Digital Payment</v>
      </c>
      <c r="P8036">
        <v>465.96</v>
      </c>
      <c r="Q8036" s="37" t="str">
        <f>IF(P8036&gt;500,"High","low")</f>
        <v>low</v>
      </c>
      <c r="R8036" s="37" t="str">
        <f t="shared" si="629"/>
        <v>AVERAGE</v>
      </c>
      <c r="S8036" t="s">
        <v>605</v>
      </c>
    </row>
    <row r="8037" spans="1:19" x14ac:dyDescent="0.2">
      <c r="A8037" t="s">
        <v>8648</v>
      </c>
      <c r="B8037" t="s">
        <v>90</v>
      </c>
      <c r="C8037" t="s">
        <v>607</v>
      </c>
      <c r="D8037">
        <v>997.07</v>
      </c>
      <c r="E8037" s="37" t="str">
        <f t="shared" si="625"/>
        <v xml:space="preserve"> </v>
      </c>
      <c r="F8037">
        <v>0.45</v>
      </c>
      <c r="G8037" s="37" t="str">
        <f t="shared" si="626"/>
        <v>Heavy Discount</v>
      </c>
      <c r="H8037" s="37" t="str">
        <f t="shared" si="627"/>
        <v>High</v>
      </c>
      <c r="I8037">
        <v>9</v>
      </c>
      <c r="J8037" t="str" cm="1">
        <f t="array" ref="J8037">_xlfn.IFS(I8037&lt;=3,"small",I8037&lt;=6,"Medium",I8037&lt;=9,"Large")</f>
        <v>Large</v>
      </c>
      <c r="K8037" s="36">
        <v>45106</v>
      </c>
      <c r="L8037" s="36">
        <v>45111</v>
      </c>
      <c r="M8037" t="s">
        <v>598</v>
      </c>
      <c r="N8037" t="s">
        <v>608</v>
      </c>
      <c r="O8037" s="37" t="str">
        <f t="shared" si="628"/>
        <v>Cash Payment</v>
      </c>
      <c r="P8037">
        <v>287.05</v>
      </c>
      <c r="Q8037" s="37" t="str">
        <f>IF(P8037&gt;500,"High","low")</f>
        <v>low</v>
      </c>
      <c r="R8037" s="37" t="str">
        <f t="shared" si="629"/>
        <v>AVERAGE</v>
      </c>
      <c r="S8037" t="s">
        <v>605</v>
      </c>
    </row>
    <row r="8038" spans="1:19" x14ac:dyDescent="0.2">
      <c r="A8038" t="s">
        <v>8649</v>
      </c>
      <c r="B8038" t="s">
        <v>67</v>
      </c>
      <c r="C8038" t="s">
        <v>602</v>
      </c>
      <c r="D8038">
        <v>4067.73</v>
      </c>
      <c r="E8038" s="37" t="str">
        <f t="shared" si="625"/>
        <v xml:space="preserve"> </v>
      </c>
      <c r="F8038">
        <v>0.14000000000000001</v>
      </c>
      <c r="G8038" s="37" t="str">
        <f t="shared" si="626"/>
        <v>Normal Discount</v>
      </c>
      <c r="H8038" s="37" t="str">
        <f t="shared" si="627"/>
        <v>Low</v>
      </c>
      <c r="I8038">
        <v>6</v>
      </c>
      <c r="J8038" t="str" cm="1">
        <f t="array" ref="J8038">_xlfn.IFS(I8038&lt;=3,"small",I8038&lt;=6,"Medium",I8038&lt;=9,"Large")</f>
        <v>Medium</v>
      </c>
      <c r="K8038" s="36">
        <v>45197</v>
      </c>
      <c r="L8038" s="36">
        <v>45199</v>
      </c>
      <c r="M8038" t="s">
        <v>603</v>
      </c>
      <c r="N8038" t="s">
        <v>608</v>
      </c>
      <c r="O8038" s="37" t="str">
        <f t="shared" si="628"/>
        <v>Cash Payment</v>
      </c>
      <c r="P8038">
        <v>589.9</v>
      </c>
      <c r="Q8038" s="37" t="str">
        <f>IF(P8038&gt;500,"High","low")</f>
        <v>High</v>
      </c>
      <c r="R8038" s="37" t="str">
        <f t="shared" si="629"/>
        <v>Good</v>
      </c>
      <c r="S8038" t="s">
        <v>615</v>
      </c>
    </row>
    <row r="8039" spans="1:19" x14ac:dyDescent="0.2">
      <c r="A8039" t="s">
        <v>8650</v>
      </c>
      <c r="B8039" t="s">
        <v>75</v>
      </c>
      <c r="C8039" t="s">
        <v>614</v>
      </c>
      <c r="D8039">
        <v>4537.6099999999997</v>
      </c>
      <c r="E8039" s="37" t="str">
        <f t="shared" si="625"/>
        <v>Excellent Order</v>
      </c>
      <c r="F8039">
        <v>0.3</v>
      </c>
      <c r="G8039" s="37" t="str">
        <f t="shared" si="626"/>
        <v>Normal Discount</v>
      </c>
      <c r="H8039" s="37" t="str">
        <f t="shared" si="627"/>
        <v>Medium</v>
      </c>
      <c r="I8039">
        <v>3</v>
      </c>
      <c r="J8039" t="str" cm="1">
        <f t="array" ref="J8039">_xlfn.IFS(I8039&lt;=3,"small",I8039&lt;=6,"Medium",I8039&lt;=9,"Large")</f>
        <v>small</v>
      </c>
      <c r="K8039" s="36">
        <v>45139</v>
      </c>
      <c r="L8039" s="36">
        <v>45141</v>
      </c>
      <c r="M8039" t="s">
        <v>598</v>
      </c>
      <c r="N8039" t="s">
        <v>599</v>
      </c>
      <c r="O8039" s="37" t="str">
        <f t="shared" si="628"/>
        <v>Digital Payment</v>
      </c>
      <c r="P8039">
        <v>1234.43</v>
      </c>
      <c r="Q8039" s="37" t="str">
        <f>IF(P8039&gt;500,"High","low")</f>
        <v>High</v>
      </c>
      <c r="R8039" s="37" t="str">
        <f t="shared" si="629"/>
        <v>Excellent</v>
      </c>
      <c r="S8039" t="s">
        <v>620</v>
      </c>
    </row>
    <row r="8040" spans="1:19" x14ac:dyDescent="0.2">
      <c r="A8040" t="s">
        <v>8651</v>
      </c>
      <c r="B8040" t="s">
        <v>90</v>
      </c>
      <c r="C8040" t="s">
        <v>597</v>
      </c>
      <c r="D8040">
        <v>2602.63</v>
      </c>
      <c r="E8040" s="37" t="str">
        <f t="shared" si="625"/>
        <v xml:space="preserve"> </v>
      </c>
      <c r="F8040">
        <v>7.0000000000000007E-2</v>
      </c>
      <c r="G8040" s="37" t="str">
        <f t="shared" si="626"/>
        <v>Normal Discount</v>
      </c>
      <c r="H8040" s="37" t="str">
        <f t="shared" si="627"/>
        <v>Low</v>
      </c>
      <c r="I8040">
        <v>4</v>
      </c>
      <c r="J8040" t="str" cm="1">
        <f t="array" ref="J8040">_xlfn.IFS(I8040&lt;=3,"small",I8040&lt;=6,"Medium",I8040&lt;=9,"Large")</f>
        <v>Medium</v>
      </c>
      <c r="K8040" s="36">
        <v>45283</v>
      </c>
      <c r="L8040" s="36">
        <v>45288</v>
      </c>
      <c r="M8040" t="s">
        <v>612</v>
      </c>
      <c r="N8040" t="s">
        <v>604</v>
      </c>
      <c r="O8040" s="37" t="str">
        <f t="shared" si="628"/>
        <v>Digital Payment</v>
      </c>
      <c r="P8040">
        <v>541.29999999999995</v>
      </c>
      <c r="Q8040" s="37" t="str">
        <f>IF(P8040&gt;500,"High","low")</f>
        <v>High</v>
      </c>
      <c r="R8040" s="37" t="str">
        <f t="shared" si="629"/>
        <v>Good</v>
      </c>
      <c r="S8040" t="s">
        <v>609</v>
      </c>
    </row>
    <row r="8041" spans="1:19" x14ac:dyDescent="0.2">
      <c r="A8041" t="s">
        <v>8652</v>
      </c>
      <c r="B8041" t="s">
        <v>90</v>
      </c>
      <c r="C8041" t="s">
        <v>597</v>
      </c>
      <c r="D8041">
        <v>1594.7</v>
      </c>
      <c r="E8041" s="37" t="str">
        <f t="shared" si="625"/>
        <v xml:space="preserve"> </v>
      </c>
      <c r="F8041">
        <v>0.39</v>
      </c>
      <c r="G8041" s="37" t="str">
        <f t="shared" si="626"/>
        <v>Heavy Discount</v>
      </c>
      <c r="H8041" s="37" t="str">
        <f t="shared" si="627"/>
        <v>Medium</v>
      </c>
      <c r="I8041">
        <v>9</v>
      </c>
      <c r="J8041" t="str" cm="1">
        <f t="array" ref="J8041">_xlfn.IFS(I8041&lt;=3,"small",I8041&lt;=6,"Medium",I8041&lt;=9,"Large")</f>
        <v>Large</v>
      </c>
      <c r="K8041" s="36">
        <v>45459</v>
      </c>
      <c r="L8041" s="36">
        <v>45466</v>
      </c>
      <c r="M8041" t="s">
        <v>603</v>
      </c>
      <c r="N8041" t="s">
        <v>608</v>
      </c>
      <c r="O8041" s="37" t="str">
        <f t="shared" si="628"/>
        <v>Cash Payment</v>
      </c>
      <c r="P8041">
        <v>476.87</v>
      </c>
      <c r="Q8041" s="37" t="str">
        <f>IF(P8041&gt;500,"High","low")</f>
        <v>low</v>
      </c>
      <c r="R8041" s="37" t="str">
        <f t="shared" si="629"/>
        <v>AVERAGE</v>
      </c>
      <c r="S8041" t="s">
        <v>600</v>
      </c>
    </row>
    <row r="8042" spans="1:19" x14ac:dyDescent="0.2">
      <c r="A8042" t="s">
        <v>8653</v>
      </c>
      <c r="B8042" t="s">
        <v>90</v>
      </c>
      <c r="C8042" t="s">
        <v>602</v>
      </c>
      <c r="D8042">
        <v>2604.9</v>
      </c>
      <c r="E8042" s="37" t="str">
        <f t="shared" si="625"/>
        <v xml:space="preserve"> </v>
      </c>
      <c r="F8042">
        <v>0.1</v>
      </c>
      <c r="G8042" s="37" t="str">
        <f t="shared" si="626"/>
        <v>Normal Discount</v>
      </c>
      <c r="H8042" s="37" t="str">
        <f t="shared" si="627"/>
        <v>Low</v>
      </c>
      <c r="I8042">
        <v>6</v>
      </c>
      <c r="J8042" t="str" cm="1">
        <f t="array" ref="J8042">_xlfn.IFS(I8042&lt;=3,"small",I8042&lt;=6,"Medium",I8042&lt;=9,"Large")</f>
        <v>Medium</v>
      </c>
      <c r="K8042" s="36">
        <v>45647</v>
      </c>
      <c r="L8042" s="36">
        <v>45651</v>
      </c>
      <c r="M8042" t="s">
        <v>598</v>
      </c>
      <c r="N8042" t="s">
        <v>608</v>
      </c>
      <c r="O8042" s="37" t="str">
        <f t="shared" si="628"/>
        <v>Cash Payment</v>
      </c>
      <c r="P8042">
        <v>396.67</v>
      </c>
      <c r="Q8042" s="37" t="str">
        <f>IF(P8042&gt;500,"High","low")</f>
        <v>low</v>
      </c>
      <c r="R8042" s="37" t="str">
        <f t="shared" si="629"/>
        <v>AVERAGE</v>
      </c>
      <c r="S8042" t="s">
        <v>628</v>
      </c>
    </row>
    <row r="8043" spans="1:19" x14ac:dyDescent="0.2">
      <c r="A8043" t="s">
        <v>8654</v>
      </c>
      <c r="B8043" t="s">
        <v>83</v>
      </c>
      <c r="C8043" t="s">
        <v>602</v>
      </c>
      <c r="D8043">
        <v>4407.03</v>
      </c>
      <c r="E8043" s="37" t="str">
        <f t="shared" si="625"/>
        <v xml:space="preserve"> </v>
      </c>
      <c r="F8043">
        <v>0.43</v>
      </c>
      <c r="G8043" s="37" t="str">
        <f t="shared" si="626"/>
        <v>Heavy Discount</v>
      </c>
      <c r="H8043" s="37" t="str">
        <f t="shared" si="627"/>
        <v>High</v>
      </c>
      <c r="I8043">
        <v>8</v>
      </c>
      <c r="J8043" t="str" cm="1">
        <f t="array" ref="J8043">_xlfn.IFS(I8043&lt;=3,"small",I8043&lt;=6,"Medium",I8043&lt;=9,"Large")</f>
        <v>Large</v>
      </c>
      <c r="K8043" s="36">
        <v>45082</v>
      </c>
      <c r="L8043" s="36">
        <v>45086</v>
      </c>
      <c r="M8043" t="s">
        <v>598</v>
      </c>
      <c r="N8043" t="s">
        <v>604</v>
      </c>
      <c r="O8043" s="37" t="str">
        <f t="shared" si="628"/>
        <v>Digital Payment</v>
      </c>
      <c r="P8043">
        <v>226.02</v>
      </c>
      <c r="Q8043" s="37" t="str">
        <f>IF(P8043&gt;500,"High","low")</f>
        <v>low</v>
      </c>
      <c r="R8043" s="37" t="str">
        <f t="shared" si="629"/>
        <v>AVERAGE</v>
      </c>
      <c r="S8043" t="s">
        <v>620</v>
      </c>
    </row>
    <row r="8044" spans="1:19" x14ac:dyDescent="0.2">
      <c r="A8044" t="s">
        <v>8655</v>
      </c>
      <c r="B8044" t="s">
        <v>83</v>
      </c>
      <c r="C8044" t="s">
        <v>597</v>
      </c>
      <c r="D8044">
        <v>3487.89</v>
      </c>
      <c r="E8044" s="37" t="str">
        <f t="shared" si="625"/>
        <v xml:space="preserve"> </v>
      </c>
      <c r="F8044">
        <v>0.23</v>
      </c>
      <c r="G8044" s="37" t="str">
        <f t="shared" si="626"/>
        <v>Normal Discount</v>
      </c>
      <c r="H8044" s="37" t="str">
        <f t="shared" si="627"/>
        <v>Medium</v>
      </c>
      <c r="I8044">
        <v>7</v>
      </c>
      <c r="J8044" t="str" cm="1">
        <f t="array" ref="J8044">_xlfn.IFS(I8044&lt;=3,"small",I8044&lt;=6,"Medium",I8044&lt;=9,"Large")</f>
        <v>Large</v>
      </c>
      <c r="K8044" s="36">
        <v>45016</v>
      </c>
      <c r="L8044" s="36">
        <v>45017</v>
      </c>
      <c r="M8044" t="s">
        <v>612</v>
      </c>
      <c r="N8044" t="s">
        <v>604</v>
      </c>
      <c r="O8044" s="37" t="str">
        <f t="shared" si="628"/>
        <v>Digital Payment</v>
      </c>
      <c r="P8044">
        <v>614.28</v>
      </c>
      <c r="Q8044" s="37" t="str">
        <f>IF(P8044&gt;500,"High","low")</f>
        <v>High</v>
      </c>
      <c r="R8044" s="37" t="str">
        <f t="shared" si="629"/>
        <v>Good</v>
      </c>
      <c r="S8044" t="s">
        <v>615</v>
      </c>
    </row>
    <row r="8045" spans="1:19" x14ac:dyDescent="0.2">
      <c r="A8045" t="s">
        <v>8656</v>
      </c>
      <c r="B8045" t="s">
        <v>67</v>
      </c>
      <c r="C8045" t="s">
        <v>614</v>
      </c>
      <c r="D8045">
        <v>4307.22</v>
      </c>
      <c r="E8045" s="37" t="str">
        <f t="shared" si="625"/>
        <v xml:space="preserve"> </v>
      </c>
      <c r="F8045">
        <v>0.05</v>
      </c>
      <c r="G8045" s="37" t="str">
        <f t="shared" si="626"/>
        <v>Normal Discount</v>
      </c>
      <c r="H8045" s="37" t="str">
        <f t="shared" si="627"/>
        <v>Low</v>
      </c>
      <c r="I8045">
        <v>1</v>
      </c>
      <c r="J8045" t="str" cm="1">
        <f t="array" ref="J8045">_xlfn.IFS(I8045&lt;=3,"small",I8045&lt;=6,"Medium",I8045&lt;=9,"Large")</f>
        <v>small</v>
      </c>
      <c r="K8045" s="36">
        <v>44989</v>
      </c>
      <c r="L8045" s="36">
        <v>44991</v>
      </c>
      <c r="M8045" t="s">
        <v>598</v>
      </c>
      <c r="N8045" t="s">
        <v>604</v>
      </c>
      <c r="O8045" s="37" t="str">
        <f t="shared" si="628"/>
        <v>Digital Payment</v>
      </c>
      <c r="P8045">
        <v>795.58</v>
      </c>
      <c r="Q8045" s="37" t="str">
        <f>IF(P8045&gt;500,"High","low")</f>
        <v>High</v>
      </c>
      <c r="R8045" s="37" t="str">
        <f t="shared" si="629"/>
        <v>Good</v>
      </c>
      <c r="S8045" t="s">
        <v>609</v>
      </c>
    </row>
    <row r="8046" spans="1:19" x14ac:dyDescent="0.2">
      <c r="A8046" t="s">
        <v>8657</v>
      </c>
      <c r="B8046" t="s">
        <v>90</v>
      </c>
      <c r="C8046" t="s">
        <v>607</v>
      </c>
      <c r="D8046">
        <v>1709.06</v>
      </c>
      <c r="E8046" s="37" t="str">
        <f t="shared" si="625"/>
        <v xml:space="preserve"> </v>
      </c>
      <c r="F8046">
        <v>0.18</v>
      </c>
      <c r="G8046" s="37" t="str">
        <f t="shared" si="626"/>
        <v>Normal Discount</v>
      </c>
      <c r="H8046" s="37" t="str">
        <f t="shared" si="627"/>
        <v>Low</v>
      </c>
      <c r="I8046">
        <v>1</v>
      </c>
      <c r="J8046" t="str" cm="1">
        <f t="array" ref="J8046">_xlfn.IFS(I8046&lt;=3,"small",I8046&lt;=6,"Medium",I8046&lt;=9,"Large")</f>
        <v>small</v>
      </c>
      <c r="K8046" s="36">
        <v>45345</v>
      </c>
      <c r="L8046" s="36">
        <v>45350</v>
      </c>
      <c r="M8046" t="s">
        <v>603</v>
      </c>
      <c r="N8046" t="s">
        <v>599</v>
      </c>
      <c r="O8046" s="37" t="str">
        <f t="shared" si="628"/>
        <v>Digital Payment</v>
      </c>
      <c r="P8046">
        <v>283.54000000000002</v>
      </c>
      <c r="Q8046" s="37" t="str">
        <f>IF(P8046&gt;500,"High","low")</f>
        <v>low</v>
      </c>
      <c r="R8046" s="37" t="str">
        <f t="shared" si="629"/>
        <v>AVERAGE</v>
      </c>
      <c r="S8046" t="s">
        <v>628</v>
      </c>
    </row>
    <row r="8047" spans="1:19" x14ac:dyDescent="0.2">
      <c r="A8047" t="s">
        <v>8658</v>
      </c>
      <c r="B8047" t="s">
        <v>90</v>
      </c>
      <c r="C8047" t="s">
        <v>617</v>
      </c>
      <c r="D8047">
        <v>3588.7</v>
      </c>
      <c r="E8047" s="37" t="str">
        <f t="shared" si="625"/>
        <v xml:space="preserve"> </v>
      </c>
      <c r="F8047">
        <v>0.39</v>
      </c>
      <c r="G8047" s="37" t="str">
        <f t="shared" si="626"/>
        <v>Heavy Discount</v>
      </c>
      <c r="H8047" s="37" t="str">
        <f t="shared" si="627"/>
        <v>Medium</v>
      </c>
      <c r="I8047">
        <v>7</v>
      </c>
      <c r="J8047" t="str" cm="1">
        <f t="array" ref="J8047">_xlfn.IFS(I8047&lt;=3,"small",I8047&lt;=6,"Medium",I8047&lt;=9,"Large")</f>
        <v>Large</v>
      </c>
      <c r="K8047" s="36">
        <v>45358</v>
      </c>
      <c r="L8047" s="36">
        <v>45362</v>
      </c>
      <c r="M8047" t="s">
        <v>603</v>
      </c>
      <c r="N8047" t="s">
        <v>599</v>
      </c>
      <c r="O8047" s="37" t="str">
        <f t="shared" si="628"/>
        <v>Digital Payment</v>
      </c>
      <c r="P8047">
        <v>543.57000000000005</v>
      </c>
      <c r="Q8047" s="37" t="str">
        <f>IF(P8047&gt;500,"High","low")</f>
        <v>High</v>
      </c>
      <c r="R8047" s="37" t="str">
        <f t="shared" si="629"/>
        <v>Good</v>
      </c>
      <c r="S8047" t="s">
        <v>620</v>
      </c>
    </row>
    <row r="8048" spans="1:19" x14ac:dyDescent="0.2">
      <c r="A8048" t="s">
        <v>8659</v>
      </c>
      <c r="B8048" t="s">
        <v>75</v>
      </c>
      <c r="C8048" t="s">
        <v>602</v>
      </c>
      <c r="D8048">
        <v>3299.94</v>
      </c>
      <c r="E8048" s="37" t="str">
        <f t="shared" si="625"/>
        <v xml:space="preserve"> </v>
      </c>
      <c r="F8048">
        <v>0.04</v>
      </c>
      <c r="G8048" s="37" t="str">
        <f t="shared" si="626"/>
        <v>Normal Discount</v>
      </c>
      <c r="H8048" s="37" t="str">
        <f t="shared" si="627"/>
        <v>Low</v>
      </c>
      <c r="I8048">
        <v>2</v>
      </c>
      <c r="J8048" t="str" cm="1">
        <f t="array" ref="J8048">_xlfn.IFS(I8048&lt;=3,"small",I8048&lt;=6,"Medium",I8048&lt;=9,"Large")</f>
        <v>small</v>
      </c>
      <c r="K8048" s="36">
        <v>45417</v>
      </c>
      <c r="L8048" s="36">
        <v>45422</v>
      </c>
      <c r="M8048" t="s">
        <v>612</v>
      </c>
      <c r="N8048" t="s">
        <v>599</v>
      </c>
      <c r="O8048" s="37" t="str">
        <f t="shared" si="628"/>
        <v>Digital Payment</v>
      </c>
      <c r="P8048">
        <v>346.42</v>
      </c>
      <c r="Q8048" s="37" t="str">
        <f>IF(P8048&gt;500,"High","low")</f>
        <v>low</v>
      </c>
      <c r="R8048" s="37" t="str">
        <f t="shared" si="629"/>
        <v>AVERAGE</v>
      </c>
      <c r="S8048" t="s">
        <v>620</v>
      </c>
    </row>
    <row r="8049" spans="1:19" x14ac:dyDescent="0.2">
      <c r="A8049" t="s">
        <v>8660</v>
      </c>
      <c r="B8049" t="s">
        <v>67</v>
      </c>
      <c r="C8049" t="s">
        <v>597</v>
      </c>
      <c r="D8049">
        <v>2900.92</v>
      </c>
      <c r="E8049" s="37" t="str">
        <f t="shared" si="625"/>
        <v xml:space="preserve"> </v>
      </c>
      <c r="F8049">
        <v>0.31</v>
      </c>
      <c r="G8049" s="37" t="str">
        <f t="shared" si="626"/>
        <v>Heavy Discount</v>
      </c>
      <c r="H8049" s="37" t="str">
        <f t="shared" si="627"/>
        <v>Medium</v>
      </c>
      <c r="I8049">
        <v>9</v>
      </c>
      <c r="J8049" t="str" cm="1">
        <f t="array" ref="J8049">_xlfn.IFS(I8049&lt;=3,"small",I8049&lt;=6,"Medium",I8049&lt;=9,"Large")</f>
        <v>Large</v>
      </c>
      <c r="K8049" s="36">
        <v>44965</v>
      </c>
      <c r="L8049" s="36">
        <v>44968</v>
      </c>
      <c r="M8049" t="s">
        <v>603</v>
      </c>
      <c r="N8049" t="s">
        <v>599</v>
      </c>
      <c r="O8049" s="37" t="str">
        <f t="shared" si="628"/>
        <v>Digital Payment</v>
      </c>
      <c r="P8049">
        <v>674.92</v>
      </c>
      <c r="Q8049" s="37" t="str">
        <f>IF(P8049&gt;500,"High","low")</f>
        <v>High</v>
      </c>
      <c r="R8049" s="37" t="str">
        <f t="shared" si="629"/>
        <v>Good</v>
      </c>
      <c r="S8049" t="s">
        <v>615</v>
      </c>
    </row>
    <row r="8050" spans="1:19" x14ac:dyDescent="0.2">
      <c r="A8050" t="s">
        <v>8661</v>
      </c>
      <c r="B8050" t="s">
        <v>75</v>
      </c>
      <c r="C8050" t="s">
        <v>614</v>
      </c>
      <c r="D8050">
        <v>2688.3</v>
      </c>
      <c r="E8050" s="37" t="str">
        <f t="shared" si="625"/>
        <v xml:space="preserve"> </v>
      </c>
      <c r="F8050">
        <v>0.25</v>
      </c>
      <c r="G8050" s="37" t="str">
        <f t="shared" si="626"/>
        <v>Normal Discount</v>
      </c>
      <c r="H8050" s="37" t="str">
        <f t="shared" si="627"/>
        <v>Medium</v>
      </c>
      <c r="I8050">
        <v>9</v>
      </c>
      <c r="J8050" t="str" cm="1">
        <f t="array" ref="J8050">_xlfn.IFS(I8050&lt;=3,"small",I8050&lt;=6,"Medium",I8050&lt;=9,"Large")</f>
        <v>Large</v>
      </c>
      <c r="K8050" s="36">
        <v>45074</v>
      </c>
      <c r="L8050" s="36">
        <v>45078</v>
      </c>
      <c r="M8050" t="s">
        <v>612</v>
      </c>
      <c r="N8050" t="s">
        <v>604</v>
      </c>
      <c r="O8050" s="37" t="str">
        <f t="shared" si="628"/>
        <v>Digital Payment</v>
      </c>
      <c r="P8050">
        <v>492.02</v>
      </c>
      <c r="Q8050" s="37" t="str">
        <f>IF(P8050&gt;500,"High","low")</f>
        <v>low</v>
      </c>
      <c r="R8050" s="37" t="str">
        <f t="shared" si="629"/>
        <v>AVERAGE</v>
      </c>
      <c r="S8050" t="s">
        <v>628</v>
      </c>
    </row>
    <row r="8051" spans="1:19" x14ac:dyDescent="0.2">
      <c r="A8051" t="s">
        <v>8662</v>
      </c>
      <c r="B8051" t="s">
        <v>67</v>
      </c>
      <c r="C8051" t="s">
        <v>602</v>
      </c>
      <c r="D8051">
        <v>2799.79</v>
      </c>
      <c r="E8051" s="37" t="str">
        <f t="shared" si="625"/>
        <v xml:space="preserve"> </v>
      </c>
      <c r="F8051">
        <v>0.15</v>
      </c>
      <c r="G8051" s="37" t="str">
        <f t="shared" si="626"/>
        <v>Normal Discount</v>
      </c>
      <c r="H8051" s="37" t="str">
        <f t="shared" si="627"/>
        <v>Low</v>
      </c>
      <c r="I8051">
        <v>2</v>
      </c>
      <c r="J8051" t="str" cm="1">
        <f t="array" ref="J8051">_xlfn.IFS(I8051&lt;=3,"small",I8051&lt;=6,"Medium",I8051&lt;=9,"Large")</f>
        <v>small</v>
      </c>
      <c r="K8051" s="36">
        <v>45405</v>
      </c>
      <c r="L8051" s="36">
        <v>45410</v>
      </c>
      <c r="M8051" t="s">
        <v>603</v>
      </c>
      <c r="N8051" t="s">
        <v>599</v>
      </c>
      <c r="O8051" s="37" t="str">
        <f t="shared" si="628"/>
        <v>Digital Payment</v>
      </c>
      <c r="P8051">
        <v>213.02</v>
      </c>
      <c r="Q8051" s="37" t="str">
        <f>IF(P8051&gt;500,"High","low")</f>
        <v>low</v>
      </c>
      <c r="R8051" s="37" t="str">
        <f t="shared" si="629"/>
        <v>AVERAGE</v>
      </c>
      <c r="S8051" t="s">
        <v>628</v>
      </c>
    </row>
    <row r="8052" spans="1:19" x14ac:dyDescent="0.2">
      <c r="A8052" t="s">
        <v>8663</v>
      </c>
      <c r="B8052" t="s">
        <v>67</v>
      </c>
      <c r="C8052" t="s">
        <v>614</v>
      </c>
      <c r="D8052">
        <v>4263.3900000000003</v>
      </c>
      <c r="E8052" s="37" t="str">
        <f t="shared" si="625"/>
        <v xml:space="preserve"> </v>
      </c>
      <c r="F8052">
        <v>0.38</v>
      </c>
      <c r="G8052" s="37" t="str">
        <f t="shared" si="626"/>
        <v>Heavy Discount</v>
      </c>
      <c r="H8052" s="37" t="str">
        <f t="shared" si="627"/>
        <v>Medium</v>
      </c>
      <c r="I8052">
        <v>9</v>
      </c>
      <c r="J8052" t="str" cm="1">
        <f t="array" ref="J8052">_xlfn.IFS(I8052&lt;=3,"small",I8052&lt;=6,"Medium",I8052&lt;=9,"Large")</f>
        <v>Large</v>
      </c>
      <c r="K8052" s="36">
        <v>45092</v>
      </c>
      <c r="L8052" s="36">
        <v>45094</v>
      </c>
      <c r="M8052" t="s">
        <v>598</v>
      </c>
      <c r="N8052" t="s">
        <v>604</v>
      </c>
      <c r="O8052" s="37" t="str">
        <f t="shared" si="628"/>
        <v>Digital Payment</v>
      </c>
      <c r="P8052">
        <v>320.37</v>
      </c>
      <c r="Q8052" s="37" t="str">
        <f>IF(P8052&gt;500,"High","low")</f>
        <v>low</v>
      </c>
      <c r="R8052" s="37" t="str">
        <f t="shared" si="629"/>
        <v>AVERAGE</v>
      </c>
      <c r="S8052" t="s">
        <v>600</v>
      </c>
    </row>
    <row r="8053" spans="1:19" x14ac:dyDescent="0.2">
      <c r="A8053" t="s">
        <v>8664</v>
      </c>
      <c r="B8053" t="s">
        <v>83</v>
      </c>
      <c r="C8053" t="s">
        <v>602</v>
      </c>
      <c r="D8053">
        <v>4588.37</v>
      </c>
      <c r="E8053" s="37" t="str">
        <f t="shared" si="625"/>
        <v>Excellent Order</v>
      </c>
      <c r="F8053">
        <v>0.03</v>
      </c>
      <c r="G8053" s="37" t="str">
        <f t="shared" si="626"/>
        <v>Normal Discount</v>
      </c>
      <c r="H8053" s="37" t="str">
        <f t="shared" si="627"/>
        <v>Low</v>
      </c>
      <c r="I8053">
        <v>9</v>
      </c>
      <c r="J8053" t="str" cm="1">
        <f t="array" ref="J8053">_xlfn.IFS(I8053&lt;=3,"small",I8053&lt;=6,"Medium",I8053&lt;=9,"Large")</f>
        <v>Large</v>
      </c>
      <c r="K8053" s="36">
        <v>44949</v>
      </c>
      <c r="L8053" s="36">
        <v>44951</v>
      </c>
      <c r="M8053" t="s">
        <v>598</v>
      </c>
      <c r="N8053" t="s">
        <v>604</v>
      </c>
      <c r="O8053" s="37" t="str">
        <f t="shared" si="628"/>
        <v>Digital Payment</v>
      </c>
      <c r="P8053">
        <v>1120.97</v>
      </c>
      <c r="Q8053" s="37" t="str">
        <f>IF(P8053&gt;500,"High","low")</f>
        <v>High</v>
      </c>
      <c r="R8053" s="37" t="str">
        <f t="shared" si="629"/>
        <v>Excellent</v>
      </c>
      <c r="S8053" t="s">
        <v>628</v>
      </c>
    </row>
    <row r="8054" spans="1:19" x14ac:dyDescent="0.2">
      <c r="A8054" t="s">
        <v>8665</v>
      </c>
      <c r="B8054" t="s">
        <v>83</v>
      </c>
      <c r="C8054" t="s">
        <v>597</v>
      </c>
      <c r="D8054">
        <v>653.02</v>
      </c>
      <c r="E8054" s="37" t="str">
        <f t="shared" si="625"/>
        <v xml:space="preserve"> </v>
      </c>
      <c r="F8054">
        <v>0.25</v>
      </c>
      <c r="G8054" s="37" t="str">
        <f t="shared" si="626"/>
        <v>Normal Discount</v>
      </c>
      <c r="H8054" s="37" t="str">
        <f t="shared" si="627"/>
        <v>Medium</v>
      </c>
      <c r="I8054">
        <v>6</v>
      </c>
      <c r="J8054" t="str" cm="1">
        <f t="array" ref="J8054">_xlfn.IFS(I8054&lt;=3,"small",I8054&lt;=6,"Medium",I8054&lt;=9,"Large")</f>
        <v>Medium</v>
      </c>
      <c r="K8054" s="36">
        <v>45188</v>
      </c>
      <c r="L8054" s="36">
        <v>45191</v>
      </c>
      <c r="M8054" t="s">
        <v>598</v>
      </c>
      <c r="N8054" t="s">
        <v>608</v>
      </c>
      <c r="O8054" s="37" t="str">
        <f t="shared" si="628"/>
        <v>Cash Payment</v>
      </c>
      <c r="P8054">
        <v>128.28</v>
      </c>
      <c r="Q8054" s="37" t="str">
        <f>IF(P8054&gt;500,"High","low")</f>
        <v>low</v>
      </c>
      <c r="R8054" s="37" t="str">
        <f t="shared" si="629"/>
        <v>AVERAGE</v>
      </c>
      <c r="S8054" t="s">
        <v>615</v>
      </c>
    </row>
    <row r="8055" spans="1:19" x14ac:dyDescent="0.2">
      <c r="A8055" t="s">
        <v>8666</v>
      </c>
      <c r="B8055" t="s">
        <v>75</v>
      </c>
      <c r="C8055" t="s">
        <v>614</v>
      </c>
      <c r="D8055">
        <v>2886.98</v>
      </c>
      <c r="E8055" s="37" t="str">
        <f t="shared" si="625"/>
        <v xml:space="preserve"> </v>
      </c>
      <c r="F8055">
        <v>0.25</v>
      </c>
      <c r="G8055" s="37" t="str">
        <f t="shared" si="626"/>
        <v>Normal Discount</v>
      </c>
      <c r="H8055" s="37" t="str">
        <f t="shared" si="627"/>
        <v>Medium</v>
      </c>
      <c r="I8055">
        <v>5</v>
      </c>
      <c r="J8055" t="str" cm="1">
        <f t="array" ref="J8055">_xlfn.IFS(I8055&lt;=3,"small",I8055&lt;=6,"Medium",I8055&lt;=9,"Large")</f>
        <v>Medium</v>
      </c>
      <c r="K8055" s="36">
        <v>45654</v>
      </c>
      <c r="L8055" s="36">
        <v>45657</v>
      </c>
      <c r="M8055" t="s">
        <v>603</v>
      </c>
      <c r="N8055" t="s">
        <v>608</v>
      </c>
      <c r="O8055" s="37" t="str">
        <f t="shared" si="628"/>
        <v>Cash Payment</v>
      </c>
      <c r="P8055">
        <v>508.96</v>
      </c>
      <c r="Q8055" s="37" t="str">
        <f>IF(P8055&gt;500,"High","low")</f>
        <v>High</v>
      </c>
      <c r="R8055" s="37" t="str">
        <f t="shared" si="629"/>
        <v>Good</v>
      </c>
      <c r="S8055" t="s">
        <v>605</v>
      </c>
    </row>
    <row r="8056" spans="1:19" x14ac:dyDescent="0.2">
      <c r="A8056" t="s">
        <v>8667</v>
      </c>
      <c r="B8056" t="s">
        <v>67</v>
      </c>
      <c r="C8056" t="s">
        <v>597</v>
      </c>
      <c r="D8056">
        <v>4600.2</v>
      </c>
      <c r="E8056" s="37" t="str">
        <f t="shared" si="625"/>
        <v xml:space="preserve"> </v>
      </c>
      <c r="F8056">
        <v>0.04</v>
      </c>
      <c r="G8056" s="37" t="str">
        <f t="shared" si="626"/>
        <v>Normal Discount</v>
      </c>
      <c r="H8056" s="37" t="str">
        <f t="shared" si="627"/>
        <v>Low</v>
      </c>
      <c r="I8056">
        <v>2</v>
      </c>
      <c r="J8056" t="str" cm="1">
        <f t="array" ref="J8056">_xlfn.IFS(I8056&lt;=3,"small",I8056&lt;=6,"Medium",I8056&lt;=9,"Large")</f>
        <v>small</v>
      </c>
      <c r="K8056" s="36">
        <v>45024</v>
      </c>
      <c r="L8056" s="36">
        <v>45025</v>
      </c>
      <c r="M8056" t="s">
        <v>603</v>
      </c>
      <c r="N8056" t="s">
        <v>604</v>
      </c>
      <c r="O8056" s="37" t="str">
        <f t="shared" si="628"/>
        <v>Digital Payment</v>
      </c>
      <c r="P8056">
        <v>484.33</v>
      </c>
      <c r="Q8056" s="37" t="str">
        <f>IF(P8056&gt;500,"High","low")</f>
        <v>low</v>
      </c>
      <c r="R8056" s="37" t="str">
        <f t="shared" si="629"/>
        <v>AVERAGE</v>
      </c>
      <c r="S8056" t="s">
        <v>605</v>
      </c>
    </row>
    <row r="8057" spans="1:19" x14ac:dyDescent="0.2">
      <c r="A8057" t="s">
        <v>8668</v>
      </c>
      <c r="B8057" t="s">
        <v>90</v>
      </c>
      <c r="C8057" t="s">
        <v>614</v>
      </c>
      <c r="D8057">
        <v>760.23</v>
      </c>
      <c r="E8057" s="37" t="str">
        <f t="shared" si="625"/>
        <v xml:space="preserve"> </v>
      </c>
      <c r="F8057">
        <v>7.0000000000000007E-2</v>
      </c>
      <c r="G8057" s="37" t="str">
        <f t="shared" si="626"/>
        <v>Normal Discount</v>
      </c>
      <c r="H8057" s="37" t="str">
        <f t="shared" si="627"/>
        <v>Low</v>
      </c>
      <c r="I8057">
        <v>6</v>
      </c>
      <c r="J8057" t="str" cm="1">
        <f t="array" ref="J8057">_xlfn.IFS(I8057&lt;=3,"small",I8057&lt;=6,"Medium",I8057&lt;=9,"Large")</f>
        <v>Medium</v>
      </c>
      <c r="K8057" s="36">
        <v>45407</v>
      </c>
      <c r="L8057" s="36">
        <v>45412</v>
      </c>
      <c r="M8057" t="s">
        <v>603</v>
      </c>
      <c r="N8057" t="s">
        <v>599</v>
      </c>
      <c r="O8057" s="37" t="str">
        <f t="shared" si="628"/>
        <v>Digital Payment</v>
      </c>
      <c r="P8057">
        <v>97.55</v>
      </c>
      <c r="Q8057" s="37" t="str">
        <f>IF(P8057&gt;500,"High","low")</f>
        <v>low</v>
      </c>
      <c r="R8057" s="37" t="str">
        <f t="shared" si="629"/>
        <v>AVERAGE</v>
      </c>
      <c r="S8057" t="s">
        <v>600</v>
      </c>
    </row>
    <row r="8058" spans="1:19" x14ac:dyDescent="0.2">
      <c r="A8058" t="s">
        <v>8669</v>
      </c>
      <c r="B8058" t="s">
        <v>83</v>
      </c>
      <c r="C8058" t="s">
        <v>602</v>
      </c>
      <c r="D8058">
        <v>2123.0100000000002</v>
      </c>
      <c r="E8058" s="37" t="str">
        <f t="shared" si="625"/>
        <v xml:space="preserve"> </v>
      </c>
      <c r="F8058">
        <v>0.2</v>
      </c>
      <c r="G8058" s="37" t="str">
        <f t="shared" si="626"/>
        <v>Normal Discount</v>
      </c>
      <c r="H8058" s="37" t="str">
        <f t="shared" si="627"/>
        <v>Medium</v>
      </c>
      <c r="I8058">
        <v>9</v>
      </c>
      <c r="J8058" t="str" cm="1">
        <f t="array" ref="J8058">_xlfn.IFS(I8058&lt;=3,"small",I8058&lt;=6,"Medium",I8058&lt;=9,"Large")</f>
        <v>Large</v>
      </c>
      <c r="K8058" s="36">
        <v>45445</v>
      </c>
      <c r="L8058" s="36">
        <v>45452</v>
      </c>
      <c r="M8058" t="s">
        <v>612</v>
      </c>
      <c r="N8058" t="s">
        <v>599</v>
      </c>
      <c r="O8058" s="37" t="str">
        <f t="shared" si="628"/>
        <v>Digital Payment</v>
      </c>
      <c r="P8058">
        <v>538.91999999999996</v>
      </c>
      <c r="Q8058" s="37" t="str">
        <f>IF(P8058&gt;500,"High","low")</f>
        <v>High</v>
      </c>
      <c r="R8058" s="37" t="str">
        <f t="shared" si="629"/>
        <v>Good</v>
      </c>
      <c r="S8058" t="s">
        <v>605</v>
      </c>
    </row>
    <row r="8059" spans="1:19" x14ac:dyDescent="0.2">
      <c r="A8059" t="s">
        <v>8670</v>
      </c>
      <c r="B8059" t="s">
        <v>90</v>
      </c>
      <c r="C8059" t="s">
        <v>617</v>
      </c>
      <c r="D8059">
        <v>536.49</v>
      </c>
      <c r="E8059" s="37" t="str">
        <f t="shared" si="625"/>
        <v xml:space="preserve"> </v>
      </c>
      <c r="F8059">
        <v>0.27</v>
      </c>
      <c r="G8059" s="37" t="str">
        <f t="shared" si="626"/>
        <v>Normal Discount</v>
      </c>
      <c r="H8059" s="37" t="str">
        <f t="shared" si="627"/>
        <v>Medium</v>
      </c>
      <c r="I8059">
        <v>3</v>
      </c>
      <c r="J8059" t="str" cm="1">
        <f t="array" ref="J8059">_xlfn.IFS(I8059&lt;=3,"small",I8059&lt;=6,"Medium",I8059&lt;=9,"Large")</f>
        <v>small</v>
      </c>
      <c r="K8059" s="36">
        <v>45196</v>
      </c>
      <c r="L8059" s="36">
        <v>45200</v>
      </c>
      <c r="M8059" t="s">
        <v>598</v>
      </c>
      <c r="N8059" t="s">
        <v>604</v>
      </c>
      <c r="O8059" s="37" t="str">
        <f t="shared" si="628"/>
        <v>Digital Payment</v>
      </c>
      <c r="P8059">
        <v>64.25</v>
      </c>
      <c r="Q8059" s="37" t="str">
        <f>IF(P8059&gt;500,"High","low")</f>
        <v>low</v>
      </c>
      <c r="R8059" s="37" t="str">
        <f t="shared" si="629"/>
        <v>AVERAGE</v>
      </c>
      <c r="S8059" t="s">
        <v>605</v>
      </c>
    </row>
    <row r="8060" spans="1:19" x14ac:dyDescent="0.2">
      <c r="A8060" t="s">
        <v>8671</v>
      </c>
      <c r="B8060" t="s">
        <v>75</v>
      </c>
      <c r="C8060" t="s">
        <v>617</v>
      </c>
      <c r="D8060">
        <v>656.03</v>
      </c>
      <c r="E8060" s="37" t="str">
        <f t="shared" si="625"/>
        <v xml:space="preserve"> </v>
      </c>
      <c r="F8060">
        <v>0.03</v>
      </c>
      <c r="G8060" s="37" t="str">
        <f t="shared" si="626"/>
        <v>Normal Discount</v>
      </c>
      <c r="H8060" s="37" t="str">
        <f t="shared" si="627"/>
        <v>Low</v>
      </c>
      <c r="I8060">
        <v>3</v>
      </c>
      <c r="J8060" t="str" cm="1">
        <f t="array" ref="J8060">_xlfn.IFS(I8060&lt;=3,"small",I8060&lt;=6,"Medium",I8060&lt;=9,"Large")</f>
        <v>small</v>
      </c>
      <c r="K8060" s="36">
        <v>44942</v>
      </c>
      <c r="L8060" s="36">
        <v>44946</v>
      </c>
      <c r="M8060" t="s">
        <v>612</v>
      </c>
      <c r="N8060" t="s">
        <v>599</v>
      </c>
      <c r="O8060" s="37" t="str">
        <f t="shared" si="628"/>
        <v>Digital Payment</v>
      </c>
      <c r="P8060">
        <v>61.74</v>
      </c>
      <c r="Q8060" s="37" t="str">
        <f>IF(P8060&gt;500,"High","low")</f>
        <v>low</v>
      </c>
      <c r="R8060" s="37" t="str">
        <f t="shared" si="629"/>
        <v>AVERAGE</v>
      </c>
      <c r="S8060" t="s">
        <v>605</v>
      </c>
    </row>
    <row r="8061" spans="1:19" x14ac:dyDescent="0.2">
      <c r="A8061" t="s">
        <v>8672</v>
      </c>
      <c r="B8061" t="s">
        <v>83</v>
      </c>
      <c r="C8061" t="s">
        <v>607</v>
      </c>
      <c r="D8061">
        <v>4530.1400000000003</v>
      </c>
      <c r="E8061" s="37" t="str">
        <f t="shared" si="625"/>
        <v>Excellent Order</v>
      </c>
      <c r="F8061">
        <v>0.01</v>
      </c>
      <c r="G8061" s="37" t="str">
        <f t="shared" si="626"/>
        <v>Normal Discount</v>
      </c>
      <c r="H8061" s="37" t="str">
        <f t="shared" si="627"/>
        <v>Low</v>
      </c>
      <c r="I8061">
        <v>4</v>
      </c>
      <c r="J8061" t="str" cm="1">
        <f t="array" ref="J8061">_xlfn.IFS(I8061&lt;=3,"small",I8061&lt;=6,"Medium",I8061&lt;=9,"Large")</f>
        <v>Medium</v>
      </c>
      <c r="K8061" s="36">
        <v>45589</v>
      </c>
      <c r="L8061" s="36">
        <v>45596</v>
      </c>
      <c r="M8061" t="s">
        <v>612</v>
      </c>
      <c r="N8061" t="s">
        <v>599</v>
      </c>
      <c r="O8061" s="37" t="str">
        <f t="shared" si="628"/>
        <v>Digital Payment</v>
      </c>
      <c r="P8061">
        <v>972.9</v>
      </c>
      <c r="Q8061" s="37" t="str">
        <f>IF(P8061&gt;500,"High","low")</f>
        <v>High</v>
      </c>
      <c r="R8061" s="37" t="str">
        <f t="shared" si="629"/>
        <v>Good</v>
      </c>
      <c r="S8061" t="s">
        <v>628</v>
      </c>
    </row>
    <row r="8062" spans="1:19" x14ac:dyDescent="0.2">
      <c r="A8062" t="s">
        <v>8673</v>
      </c>
      <c r="B8062" t="s">
        <v>83</v>
      </c>
      <c r="C8062" t="s">
        <v>607</v>
      </c>
      <c r="D8062">
        <v>2286.2800000000002</v>
      </c>
      <c r="E8062" s="37" t="str">
        <f t="shared" si="625"/>
        <v xml:space="preserve"> </v>
      </c>
      <c r="F8062">
        <v>0.1</v>
      </c>
      <c r="G8062" s="37" t="str">
        <f t="shared" si="626"/>
        <v>Normal Discount</v>
      </c>
      <c r="H8062" s="37" t="str">
        <f t="shared" si="627"/>
        <v>Low</v>
      </c>
      <c r="I8062">
        <v>4</v>
      </c>
      <c r="J8062" t="str" cm="1">
        <f t="array" ref="J8062">_xlfn.IFS(I8062&lt;=3,"small",I8062&lt;=6,"Medium",I8062&lt;=9,"Large")</f>
        <v>Medium</v>
      </c>
      <c r="K8062" s="36">
        <v>45200</v>
      </c>
      <c r="L8062" s="36">
        <v>45206</v>
      </c>
      <c r="M8062" t="s">
        <v>603</v>
      </c>
      <c r="N8062" t="s">
        <v>599</v>
      </c>
      <c r="O8062" s="37" t="str">
        <f t="shared" si="628"/>
        <v>Digital Payment</v>
      </c>
      <c r="P8062">
        <v>554.38</v>
      </c>
      <c r="Q8062" s="37" t="str">
        <f>IF(P8062&gt;500,"High","low")</f>
        <v>High</v>
      </c>
      <c r="R8062" s="37" t="str">
        <f t="shared" si="629"/>
        <v>Good</v>
      </c>
      <c r="S8062" t="s">
        <v>620</v>
      </c>
    </row>
    <row r="8063" spans="1:19" x14ac:dyDescent="0.2">
      <c r="A8063" t="s">
        <v>8674</v>
      </c>
      <c r="B8063" t="s">
        <v>67</v>
      </c>
      <c r="C8063" t="s">
        <v>597</v>
      </c>
      <c r="D8063">
        <v>3474.82</v>
      </c>
      <c r="E8063" s="37" t="str">
        <f t="shared" si="625"/>
        <v xml:space="preserve"> </v>
      </c>
      <c r="F8063">
        <v>0.24</v>
      </c>
      <c r="G8063" s="37" t="str">
        <f t="shared" si="626"/>
        <v>Normal Discount</v>
      </c>
      <c r="H8063" s="37" t="str">
        <f t="shared" si="627"/>
        <v>Medium</v>
      </c>
      <c r="I8063">
        <v>1</v>
      </c>
      <c r="J8063" t="str" cm="1">
        <f t="array" ref="J8063">_xlfn.IFS(I8063&lt;=3,"small",I8063&lt;=6,"Medium",I8063&lt;=9,"Large")</f>
        <v>small</v>
      </c>
      <c r="K8063" s="36">
        <v>45147</v>
      </c>
      <c r="L8063" s="36">
        <v>45153</v>
      </c>
      <c r="M8063" t="s">
        <v>603</v>
      </c>
      <c r="N8063" t="s">
        <v>599</v>
      </c>
      <c r="O8063" s="37" t="str">
        <f t="shared" si="628"/>
        <v>Digital Payment</v>
      </c>
      <c r="P8063">
        <v>325.64999999999998</v>
      </c>
      <c r="Q8063" s="37" t="str">
        <f>IF(P8063&gt;500,"High","low")</f>
        <v>low</v>
      </c>
      <c r="R8063" s="37" t="str">
        <f t="shared" si="629"/>
        <v>AVERAGE</v>
      </c>
      <c r="S8063" t="s">
        <v>615</v>
      </c>
    </row>
    <row r="8064" spans="1:19" x14ac:dyDescent="0.2">
      <c r="A8064" t="s">
        <v>8675</v>
      </c>
      <c r="B8064" t="s">
        <v>75</v>
      </c>
      <c r="C8064" t="s">
        <v>614</v>
      </c>
      <c r="D8064">
        <v>780.68</v>
      </c>
      <c r="E8064" s="37" t="str">
        <f t="shared" si="625"/>
        <v xml:space="preserve"> </v>
      </c>
      <c r="F8064">
        <v>0.02</v>
      </c>
      <c r="G8064" s="37" t="str">
        <f t="shared" si="626"/>
        <v>Normal Discount</v>
      </c>
      <c r="H8064" s="37" t="str">
        <f t="shared" si="627"/>
        <v>Low</v>
      </c>
      <c r="I8064">
        <v>2</v>
      </c>
      <c r="J8064" t="str" cm="1">
        <f t="array" ref="J8064">_xlfn.IFS(I8064&lt;=3,"small",I8064&lt;=6,"Medium",I8064&lt;=9,"Large")</f>
        <v>small</v>
      </c>
      <c r="K8064" s="36">
        <v>45506</v>
      </c>
      <c r="L8064" s="36">
        <v>45510</v>
      </c>
      <c r="M8064" t="s">
        <v>603</v>
      </c>
      <c r="N8064" t="s">
        <v>599</v>
      </c>
      <c r="O8064" s="37" t="str">
        <f t="shared" si="628"/>
        <v>Digital Payment</v>
      </c>
      <c r="P8064">
        <v>88.3</v>
      </c>
      <c r="Q8064" s="37" t="str">
        <f>IF(P8064&gt;500,"High","low")</f>
        <v>low</v>
      </c>
      <c r="R8064" s="37" t="str">
        <f t="shared" si="629"/>
        <v>AVERAGE</v>
      </c>
      <c r="S8064" t="s">
        <v>609</v>
      </c>
    </row>
    <row r="8065" spans="1:19" x14ac:dyDescent="0.2">
      <c r="A8065" t="s">
        <v>8676</v>
      </c>
      <c r="B8065" t="s">
        <v>67</v>
      </c>
      <c r="C8065" t="s">
        <v>607</v>
      </c>
      <c r="D8065">
        <v>207.54</v>
      </c>
      <c r="E8065" s="37" t="str">
        <f t="shared" si="625"/>
        <v xml:space="preserve"> </v>
      </c>
      <c r="F8065">
        <v>0.37</v>
      </c>
      <c r="G8065" s="37" t="str">
        <f t="shared" si="626"/>
        <v>Heavy Discount</v>
      </c>
      <c r="H8065" s="37" t="str">
        <f t="shared" si="627"/>
        <v>Medium</v>
      </c>
      <c r="I8065">
        <v>6</v>
      </c>
      <c r="J8065" t="str" cm="1">
        <f t="array" ref="J8065">_xlfn.IFS(I8065&lt;=3,"small",I8065&lt;=6,"Medium",I8065&lt;=9,"Large")</f>
        <v>Medium</v>
      </c>
      <c r="K8065" s="36">
        <v>45207</v>
      </c>
      <c r="L8065" s="36">
        <v>45208</v>
      </c>
      <c r="M8065" t="s">
        <v>598</v>
      </c>
      <c r="N8065" t="s">
        <v>608</v>
      </c>
      <c r="O8065" s="37" t="str">
        <f t="shared" si="628"/>
        <v>Cash Payment</v>
      </c>
      <c r="P8065">
        <v>12.04</v>
      </c>
      <c r="Q8065" s="37" t="str">
        <f>IF(P8065&gt;500,"High","low")</f>
        <v>low</v>
      </c>
      <c r="R8065" s="37" t="str">
        <f t="shared" si="629"/>
        <v>AVERAGE</v>
      </c>
      <c r="S8065" t="s">
        <v>609</v>
      </c>
    </row>
    <row r="8066" spans="1:19" x14ac:dyDescent="0.2">
      <c r="A8066" t="s">
        <v>8677</v>
      </c>
      <c r="B8066" t="s">
        <v>83</v>
      </c>
      <c r="C8066" t="s">
        <v>602</v>
      </c>
      <c r="D8066">
        <v>4463.37</v>
      </c>
      <c r="E8066" s="37" t="str">
        <f t="shared" si="625"/>
        <v xml:space="preserve"> </v>
      </c>
      <c r="F8066">
        <v>0.08</v>
      </c>
      <c r="G8066" s="37" t="str">
        <f t="shared" si="626"/>
        <v>Normal Discount</v>
      </c>
      <c r="H8066" s="37" t="str">
        <f t="shared" si="627"/>
        <v>Low</v>
      </c>
      <c r="I8066">
        <v>5</v>
      </c>
      <c r="J8066" t="str" cm="1">
        <f t="array" ref="J8066">_xlfn.IFS(I8066&lt;=3,"small",I8066&lt;=6,"Medium",I8066&lt;=9,"Large")</f>
        <v>Medium</v>
      </c>
      <c r="K8066" s="36">
        <v>45471</v>
      </c>
      <c r="L8066" s="36">
        <v>45476</v>
      </c>
      <c r="M8066" t="s">
        <v>612</v>
      </c>
      <c r="N8066" t="s">
        <v>604</v>
      </c>
      <c r="O8066" s="37" t="str">
        <f t="shared" si="628"/>
        <v>Digital Payment</v>
      </c>
      <c r="P8066">
        <v>255.96</v>
      </c>
      <c r="Q8066" s="37" t="str">
        <f>IF(P8066&gt;500,"High","low")</f>
        <v>low</v>
      </c>
      <c r="R8066" s="37" t="str">
        <f t="shared" si="629"/>
        <v>AVERAGE</v>
      </c>
      <c r="S8066" t="s">
        <v>615</v>
      </c>
    </row>
    <row r="8067" spans="1:19" x14ac:dyDescent="0.2">
      <c r="A8067" t="s">
        <v>8678</v>
      </c>
      <c r="B8067" t="s">
        <v>75</v>
      </c>
      <c r="C8067" t="s">
        <v>617</v>
      </c>
      <c r="D8067">
        <v>2915.27</v>
      </c>
      <c r="E8067" s="37" t="str">
        <f t="shared" ref="E8067:E8130" si="630">IF(AND(D8067&gt;4000,P8067&gt;800),"Excellent Order"," ")</f>
        <v xml:space="preserve"> </v>
      </c>
      <c r="F8067">
        <v>0.39</v>
      </c>
      <c r="G8067" s="37" t="str">
        <f t="shared" ref="G8067:G8130" si="631">IF(F8067&gt;30%,"Heavy Discount","Normal Discount")</f>
        <v>Heavy Discount</v>
      </c>
      <c r="H8067" s="37" t="str">
        <f t="shared" ref="H8067:H8130" si="632">IF(F8067&gt;0.4,"High",IF(F8067&gt;=0.2,"Medium","Low"))</f>
        <v>Medium</v>
      </c>
      <c r="I8067">
        <v>4</v>
      </c>
      <c r="J8067" t="str" cm="1">
        <f t="array" ref="J8067">_xlfn.IFS(I8067&lt;=3,"small",I8067&lt;=6,"Medium",I8067&lt;=9,"Large")</f>
        <v>Medium</v>
      </c>
      <c r="K8067" s="36">
        <v>45489</v>
      </c>
      <c r="L8067" s="36">
        <v>45492</v>
      </c>
      <c r="M8067" t="s">
        <v>603</v>
      </c>
      <c r="N8067" t="s">
        <v>608</v>
      </c>
      <c r="O8067" s="37" t="str">
        <f t="shared" ref="O8067:O8130" si="633">IF(OR(N8067="Card",N8067="UPI"),"Digital Payment","Cash Payment")</f>
        <v>Cash Payment</v>
      </c>
      <c r="P8067">
        <v>185.72</v>
      </c>
      <c r="Q8067" s="37" t="str">
        <f>IF(P8067&gt;500,"High","low")</f>
        <v>low</v>
      </c>
      <c r="R8067" s="37" t="str">
        <f t="shared" ref="R8067:R8130" si="634">IF(P8067&gt;1000,"Excellent",IF(P8067&gt;=500,"Good","AVERAGE"))</f>
        <v>AVERAGE</v>
      </c>
      <c r="S8067" t="s">
        <v>615</v>
      </c>
    </row>
    <row r="8068" spans="1:19" x14ac:dyDescent="0.2">
      <c r="A8068" t="s">
        <v>8679</v>
      </c>
      <c r="B8068" t="s">
        <v>83</v>
      </c>
      <c r="C8068" t="s">
        <v>614</v>
      </c>
      <c r="D8068">
        <v>197.94</v>
      </c>
      <c r="E8068" s="37" t="str">
        <f t="shared" si="630"/>
        <v xml:space="preserve"> </v>
      </c>
      <c r="F8068">
        <v>0.1</v>
      </c>
      <c r="G8068" s="37" t="str">
        <f t="shared" si="631"/>
        <v>Normal Discount</v>
      </c>
      <c r="H8068" s="37" t="str">
        <f t="shared" si="632"/>
        <v>Low</v>
      </c>
      <c r="I8068">
        <v>9</v>
      </c>
      <c r="J8068" t="str" cm="1">
        <f t="array" ref="J8068">_xlfn.IFS(I8068&lt;=3,"small",I8068&lt;=6,"Medium",I8068&lt;=9,"Large")</f>
        <v>Large</v>
      </c>
      <c r="K8068" s="36">
        <v>45587</v>
      </c>
      <c r="L8068" s="36">
        <v>45588</v>
      </c>
      <c r="M8068" t="s">
        <v>598</v>
      </c>
      <c r="N8068" t="s">
        <v>599</v>
      </c>
      <c r="O8068" s="37" t="str">
        <f t="shared" si="633"/>
        <v>Digital Payment</v>
      </c>
      <c r="P8068">
        <v>12.74</v>
      </c>
      <c r="Q8068" s="37" t="str">
        <f>IF(P8068&gt;500,"High","low")</f>
        <v>low</v>
      </c>
      <c r="R8068" s="37" t="str">
        <f t="shared" si="634"/>
        <v>AVERAGE</v>
      </c>
      <c r="S8068" t="s">
        <v>609</v>
      </c>
    </row>
    <row r="8069" spans="1:19" x14ac:dyDescent="0.2">
      <c r="A8069" t="s">
        <v>8680</v>
      </c>
      <c r="B8069" t="s">
        <v>75</v>
      </c>
      <c r="C8069" t="s">
        <v>617</v>
      </c>
      <c r="D8069">
        <v>4962.46</v>
      </c>
      <c r="E8069" s="37" t="str">
        <f t="shared" si="630"/>
        <v>Excellent Order</v>
      </c>
      <c r="F8069">
        <v>0.17</v>
      </c>
      <c r="G8069" s="37" t="str">
        <f t="shared" si="631"/>
        <v>Normal Discount</v>
      </c>
      <c r="H8069" s="37" t="str">
        <f t="shared" si="632"/>
        <v>Low</v>
      </c>
      <c r="I8069">
        <v>2</v>
      </c>
      <c r="J8069" t="str" cm="1">
        <f t="array" ref="J8069">_xlfn.IFS(I8069&lt;=3,"small",I8069&lt;=6,"Medium",I8069&lt;=9,"Large")</f>
        <v>small</v>
      </c>
      <c r="K8069" s="36">
        <v>45501</v>
      </c>
      <c r="L8069" s="36">
        <v>45504</v>
      </c>
      <c r="M8069" t="s">
        <v>612</v>
      </c>
      <c r="N8069" t="s">
        <v>599</v>
      </c>
      <c r="O8069" s="37" t="str">
        <f t="shared" si="633"/>
        <v>Digital Payment</v>
      </c>
      <c r="P8069">
        <v>1213.42</v>
      </c>
      <c r="Q8069" s="37" t="str">
        <f>IF(P8069&gt;500,"High","low")</f>
        <v>High</v>
      </c>
      <c r="R8069" s="37" t="str">
        <f t="shared" si="634"/>
        <v>Excellent</v>
      </c>
      <c r="S8069" t="s">
        <v>609</v>
      </c>
    </row>
    <row r="8070" spans="1:19" x14ac:dyDescent="0.2">
      <c r="A8070" t="s">
        <v>8681</v>
      </c>
      <c r="B8070" t="s">
        <v>83</v>
      </c>
      <c r="C8070" t="s">
        <v>614</v>
      </c>
      <c r="D8070">
        <v>2511.7399999999998</v>
      </c>
      <c r="E8070" s="37" t="str">
        <f t="shared" si="630"/>
        <v xml:space="preserve"> </v>
      </c>
      <c r="F8070">
        <v>0.24</v>
      </c>
      <c r="G8070" s="37" t="str">
        <f t="shared" si="631"/>
        <v>Normal Discount</v>
      </c>
      <c r="H8070" s="37" t="str">
        <f t="shared" si="632"/>
        <v>Medium</v>
      </c>
      <c r="I8070">
        <v>8</v>
      </c>
      <c r="J8070" t="str" cm="1">
        <f t="array" ref="J8070">_xlfn.IFS(I8070&lt;=3,"small",I8070&lt;=6,"Medium",I8070&lt;=9,"Large")</f>
        <v>Large</v>
      </c>
      <c r="K8070" s="36">
        <v>45048</v>
      </c>
      <c r="L8070" s="36">
        <v>45055</v>
      </c>
      <c r="M8070" t="s">
        <v>598</v>
      </c>
      <c r="N8070" t="s">
        <v>604</v>
      </c>
      <c r="O8070" s="37" t="str">
        <f t="shared" si="633"/>
        <v>Digital Payment</v>
      </c>
      <c r="P8070">
        <v>494.74</v>
      </c>
      <c r="Q8070" s="37" t="str">
        <f>IF(P8070&gt;500,"High","low")</f>
        <v>low</v>
      </c>
      <c r="R8070" s="37" t="str">
        <f t="shared" si="634"/>
        <v>AVERAGE</v>
      </c>
      <c r="S8070" t="s">
        <v>609</v>
      </c>
    </row>
    <row r="8071" spans="1:19" x14ac:dyDescent="0.2">
      <c r="A8071" t="s">
        <v>8682</v>
      </c>
      <c r="B8071" t="s">
        <v>90</v>
      </c>
      <c r="C8071" t="s">
        <v>607</v>
      </c>
      <c r="D8071">
        <v>2431.79</v>
      </c>
      <c r="E8071" s="37" t="str">
        <f t="shared" si="630"/>
        <v xml:space="preserve"> </v>
      </c>
      <c r="F8071">
        <v>0.17</v>
      </c>
      <c r="G8071" s="37" t="str">
        <f t="shared" si="631"/>
        <v>Normal Discount</v>
      </c>
      <c r="H8071" s="37" t="str">
        <f t="shared" si="632"/>
        <v>Low</v>
      </c>
      <c r="I8071">
        <v>4</v>
      </c>
      <c r="J8071" t="str" cm="1">
        <f t="array" ref="J8071">_xlfn.IFS(I8071&lt;=3,"small",I8071&lt;=6,"Medium",I8071&lt;=9,"Large")</f>
        <v>Medium</v>
      </c>
      <c r="K8071" s="36">
        <v>45294</v>
      </c>
      <c r="L8071" s="36">
        <v>45295</v>
      </c>
      <c r="M8071" t="s">
        <v>598</v>
      </c>
      <c r="N8071" t="s">
        <v>608</v>
      </c>
      <c r="O8071" s="37" t="str">
        <f t="shared" si="633"/>
        <v>Cash Payment</v>
      </c>
      <c r="P8071">
        <v>285.76</v>
      </c>
      <c r="Q8071" s="37" t="str">
        <f>IF(P8071&gt;500,"High","low")</f>
        <v>low</v>
      </c>
      <c r="R8071" s="37" t="str">
        <f t="shared" si="634"/>
        <v>AVERAGE</v>
      </c>
      <c r="S8071" t="s">
        <v>600</v>
      </c>
    </row>
    <row r="8072" spans="1:19" x14ac:dyDescent="0.2">
      <c r="A8072" t="s">
        <v>8683</v>
      </c>
      <c r="B8072" t="s">
        <v>90</v>
      </c>
      <c r="C8072" t="s">
        <v>607</v>
      </c>
      <c r="D8072">
        <v>3142.48</v>
      </c>
      <c r="E8072" s="37" t="str">
        <f t="shared" si="630"/>
        <v xml:space="preserve"> </v>
      </c>
      <c r="F8072">
        <v>0.01</v>
      </c>
      <c r="G8072" s="37" t="str">
        <f t="shared" si="631"/>
        <v>Normal Discount</v>
      </c>
      <c r="H8072" s="37" t="str">
        <f t="shared" si="632"/>
        <v>Low</v>
      </c>
      <c r="I8072">
        <v>9</v>
      </c>
      <c r="J8072" t="str" cm="1">
        <f t="array" ref="J8072">_xlfn.IFS(I8072&lt;=3,"small",I8072&lt;=6,"Medium",I8072&lt;=9,"Large")</f>
        <v>Large</v>
      </c>
      <c r="K8072" s="36">
        <v>45465</v>
      </c>
      <c r="L8072" s="36">
        <v>45466</v>
      </c>
      <c r="M8072" t="s">
        <v>598</v>
      </c>
      <c r="N8072" t="s">
        <v>604</v>
      </c>
      <c r="O8072" s="37" t="str">
        <f t="shared" si="633"/>
        <v>Digital Payment</v>
      </c>
      <c r="P8072">
        <v>246.74</v>
      </c>
      <c r="Q8072" s="37" t="str">
        <f>IF(P8072&gt;500,"High","low")</f>
        <v>low</v>
      </c>
      <c r="R8072" s="37" t="str">
        <f t="shared" si="634"/>
        <v>AVERAGE</v>
      </c>
      <c r="S8072" t="s">
        <v>615</v>
      </c>
    </row>
    <row r="8073" spans="1:19" x14ac:dyDescent="0.2">
      <c r="A8073" t="s">
        <v>8684</v>
      </c>
      <c r="B8073" t="s">
        <v>67</v>
      </c>
      <c r="C8073" t="s">
        <v>597</v>
      </c>
      <c r="D8073">
        <v>138.72999999999999</v>
      </c>
      <c r="E8073" s="37" t="str">
        <f t="shared" si="630"/>
        <v xml:space="preserve"> </v>
      </c>
      <c r="F8073">
        <v>0.45</v>
      </c>
      <c r="G8073" s="37" t="str">
        <f t="shared" si="631"/>
        <v>Heavy Discount</v>
      </c>
      <c r="H8073" s="37" t="str">
        <f t="shared" si="632"/>
        <v>High</v>
      </c>
      <c r="I8073">
        <v>4</v>
      </c>
      <c r="J8073" t="str" cm="1">
        <f t="array" ref="J8073">_xlfn.IFS(I8073&lt;=3,"small",I8073&lt;=6,"Medium",I8073&lt;=9,"Large")</f>
        <v>Medium</v>
      </c>
      <c r="K8073" s="36">
        <v>45135</v>
      </c>
      <c r="L8073" s="36">
        <v>45139</v>
      </c>
      <c r="M8073" t="s">
        <v>612</v>
      </c>
      <c r="N8073" t="s">
        <v>608</v>
      </c>
      <c r="O8073" s="37" t="str">
        <f t="shared" si="633"/>
        <v>Cash Payment</v>
      </c>
      <c r="P8073">
        <v>39.96</v>
      </c>
      <c r="Q8073" s="37" t="str">
        <f>IF(P8073&gt;500,"High","low")</f>
        <v>low</v>
      </c>
      <c r="R8073" s="37" t="str">
        <f t="shared" si="634"/>
        <v>AVERAGE</v>
      </c>
      <c r="S8073" t="s">
        <v>605</v>
      </c>
    </row>
    <row r="8074" spans="1:19" x14ac:dyDescent="0.2">
      <c r="A8074" t="s">
        <v>8685</v>
      </c>
      <c r="B8074" t="s">
        <v>90</v>
      </c>
      <c r="C8074" t="s">
        <v>614</v>
      </c>
      <c r="D8074">
        <v>2888.78</v>
      </c>
      <c r="E8074" s="37" t="str">
        <f t="shared" si="630"/>
        <v xml:space="preserve"> </v>
      </c>
      <c r="F8074">
        <v>0.14000000000000001</v>
      </c>
      <c r="G8074" s="37" t="str">
        <f t="shared" si="631"/>
        <v>Normal Discount</v>
      </c>
      <c r="H8074" s="37" t="str">
        <f t="shared" si="632"/>
        <v>Low</v>
      </c>
      <c r="I8074">
        <v>2</v>
      </c>
      <c r="J8074" t="str" cm="1">
        <f t="array" ref="J8074">_xlfn.IFS(I8074&lt;=3,"small",I8074&lt;=6,"Medium",I8074&lt;=9,"Large")</f>
        <v>small</v>
      </c>
      <c r="K8074" s="36">
        <v>45080</v>
      </c>
      <c r="L8074" s="36">
        <v>45081</v>
      </c>
      <c r="M8074" t="s">
        <v>598</v>
      </c>
      <c r="N8074" t="s">
        <v>608</v>
      </c>
      <c r="O8074" s="37" t="str">
        <f t="shared" si="633"/>
        <v>Cash Payment</v>
      </c>
      <c r="P8074">
        <v>413.5</v>
      </c>
      <c r="Q8074" s="37" t="str">
        <f>IF(P8074&gt;500,"High","low")</f>
        <v>low</v>
      </c>
      <c r="R8074" s="37" t="str">
        <f t="shared" si="634"/>
        <v>AVERAGE</v>
      </c>
      <c r="S8074" t="s">
        <v>600</v>
      </c>
    </row>
    <row r="8075" spans="1:19" x14ac:dyDescent="0.2">
      <c r="A8075" t="s">
        <v>8686</v>
      </c>
      <c r="B8075" t="s">
        <v>83</v>
      </c>
      <c r="C8075" t="s">
        <v>602</v>
      </c>
      <c r="D8075">
        <v>3184.47</v>
      </c>
      <c r="E8075" s="37" t="str">
        <f t="shared" si="630"/>
        <v xml:space="preserve"> </v>
      </c>
      <c r="F8075">
        <v>7.0000000000000007E-2</v>
      </c>
      <c r="G8075" s="37" t="str">
        <f t="shared" si="631"/>
        <v>Normal Discount</v>
      </c>
      <c r="H8075" s="37" t="str">
        <f t="shared" si="632"/>
        <v>Low</v>
      </c>
      <c r="I8075">
        <v>6</v>
      </c>
      <c r="J8075" t="str" cm="1">
        <f t="array" ref="J8075">_xlfn.IFS(I8075&lt;=3,"small",I8075&lt;=6,"Medium",I8075&lt;=9,"Large")</f>
        <v>Medium</v>
      </c>
      <c r="K8075" s="36">
        <v>45201</v>
      </c>
      <c r="L8075" s="36">
        <v>45205</v>
      </c>
      <c r="M8075" t="s">
        <v>612</v>
      </c>
      <c r="N8075" t="s">
        <v>599</v>
      </c>
      <c r="O8075" s="37" t="str">
        <f t="shared" si="633"/>
        <v>Digital Payment</v>
      </c>
      <c r="P8075">
        <v>170.16</v>
      </c>
      <c r="Q8075" s="37" t="str">
        <f>IF(P8075&gt;500,"High","low")</f>
        <v>low</v>
      </c>
      <c r="R8075" s="37" t="str">
        <f t="shared" si="634"/>
        <v>AVERAGE</v>
      </c>
      <c r="S8075" t="s">
        <v>628</v>
      </c>
    </row>
    <row r="8076" spans="1:19" x14ac:dyDescent="0.2">
      <c r="A8076" t="s">
        <v>8687</v>
      </c>
      <c r="B8076" t="s">
        <v>83</v>
      </c>
      <c r="C8076" t="s">
        <v>607</v>
      </c>
      <c r="D8076">
        <v>1555.07</v>
      </c>
      <c r="E8076" s="37" t="str">
        <f t="shared" si="630"/>
        <v xml:space="preserve"> </v>
      </c>
      <c r="F8076">
        <v>7.0000000000000007E-2</v>
      </c>
      <c r="G8076" s="37" t="str">
        <f t="shared" si="631"/>
        <v>Normal Discount</v>
      </c>
      <c r="H8076" s="37" t="str">
        <f t="shared" si="632"/>
        <v>Low</v>
      </c>
      <c r="I8076">
        <v>9</v>
      </c>
      <c r="J8076" t="str" cm="1">
        <f t="array" ref="J8076">_xlfn.IFS(I8076&lt;=3,"small",I8076&lt;=6,"Medium",I8076&lt;=9,"Large")</f>
        <v>Large</v>
      </c>
      <c r="K8076" s="36">
        <v>45151</v>
      </c>
      <c r="L8076" s="36">
        <v>45157</v>
      </c>
      <c r="M8076" t="s">
        <v>598</v>
      </c>
      <c r="N8076" t="s">
        <v>599</v>
      </c>
      <c r="O8076" s="37" t="str">
        <f t="shared" si="633"/>
        <v>Digital Payment</v>
      </c>
      <c r="P8076">
        <v>83.98</v>
      </c>
      <c r="Q8076" s="37" t="str">
        <f>IF(P8076&gt;500,"High","low")</f>
        <v>low</v>
      </c>
      <c r="R8076" s="37" t="str">
        <f t="shared" si="634"/>
        <v>AVERAGE</v>
      </c>
      <c r="S8076" t="s">
        <v>600</v>
      </c>
    </row>
    <row r="8077" spans="1:19" x14ac:dyDescent="0.2">
      <c r="A8077" t="s">
        <v>8688</v>
      </c>
      <c r="B8077" t="s">
        <v>90</v>
      </c>
      <c r="C8077" t="s">
        <v>597</v>
      </c>
      <c r="D8077">
        <v>3661.58</v>
      </c>
      <c r="E8077" s="37" t="str">
        <f t="shared" si="630"/>
        <v xml:space="preserve"> </v>
      </c>
      <c r="F8077">
        <v>0.49</v>
      </c>
      <c r="G8077" s="37" t="str">
        <f t="shared" si="631"/>
        <v>Heavy Discount</v>
      </c>
      <c r="H8077" s="37" t="str">
        <f t="shared" si="632"/>
        <v>High</v>
      </c>
      <c r="I8077">
        <v>7</v>
      </c>
      <c r="J8077" t="str" cm="1">
        <f t="array" ref="J8077">_xlfn.IFS(I8077&lt;=3,"small",I8077&lt;=6,"Medium",I8077&lt;=9,"Large")</f>
        <v>Large</v>
      </c>
      <c r="K8077" s="36">
        <v>44984</v>
      </c>
      <c r="L8077" s="36">
        <v>44988</v>
      </c>
      <c r="M8077" t="s">
        <v>603</v>
      </c>
      <c r="N8077" t="s">
        <v>599</v>
      </c>
      <c r="O8077" s="37" t="str">
        <f t="shared" si="633"/>
        <v>Digital Payment</v>
      </c>
      <c r="P8077">
        <v>377.92</v>
      </c>
      <c r="Q8077" s="37" t="str">
        <f>IF(P8077&gt;500,"High","low")</f>
        <v>low</v>
      </c>
      <c r="R8077" s="37" t="str">
        <f t="shared" si="634"/>
        <v>AVERAGE</v>
      </c>
      <c r="S8077" t="s">
        <v>620</v>
      </c>
    </row>
    <row r="8078" spans="1:19" x14ac:dyDescent="0.2">
      <c r="A8078" t="s">
        <v>8689</v>
      </c>
      <c r="B8078" t="s">
        <v>67</v>
      </c>
      <c r="C8078" t="s">
        <v>607</v>
      </c>
      <c r="D8078">
        <v>1949.42</v>
      </c>
      <c r="E8078" s="37" t="str">
        <f t="shared" si="630"/>
        <v xml:space="preserve"> </v>
      </c>
      <c r="F8078">
        <v>0.06</v>
      </c>
      <c r="G8078" s="37" t="str">
        <f t="shared" si="631"/>
        <v>Normal Discount</v>
      </c>
      <c r="H8078" s="37" t="str">
        <f t="shared" si="632"/>
        <v>Low</v>
      </c>
      <c r="I8078">
        <v>1</v>
      </c>
      <c r="J8078" t="str" cm="1">
        <f t="array" ref="J8078">_xlfn.IFS(I8078&lt;=3,"small",I8078&lt;=6,"Medium",I8078&lt;=9,"Large")</f>
        <v>small</v>
      </c>
      <c r="K8078" s="36">
        <v>45166</v>
      </c>
      <c r="L8078" s="36">
        <v>45170</v>
      </c>
      <c r="M8078" t="s">
        <v>598</v>
      </c>
      <c r="N8078" t="s">
        <v>608</v>
      </c>
      <c r="O8078" s="37" t="str">
        <f t="shared" si="633"/>
        <v>Cash Payment</v>
      </c>
      <c r="P8078">
        <v>490.2</v>
      </c>
      <c r="Q8078" s="37" t="str">
        <f>IF(P8078&gt;500,"High","low")</f>
        <v>low</v>
      </c>
      <c r="R8078" s="37" t="str">
        <f t="shared" si="634"/>
        <v>AVERAGE</v>
      </c>
      <c r="S8078" t="s">
        <v>615</v>
      </c>
    </row>
    <row r="8079" spans="1:19" x14ac:dyDescent="0.2">
      <c r="A8079" t="s">
        <v>8690</v>
      </c>
      <c r="B8079" t="s">
        <v>90</v>
      </c>
      <c r="C8079" t="s">
        <v>617</v>
      </c>
      <c r="D8079">
        <v>3617.09</v>
      </c>
      <c r="E8079" s="37" t="str">
        <f t="shared" si="630"/>
        <v xml:space="preserve"> </v>
      </c>
      <c r="F8079">
        <v>0.17</v>
      </c>
      <c r="G8079" s="37" t="str">
        <f t="shared" si="631"/>
        <v>Normal Discount</v>
      </c>
      <c r="H8079" s="37" t="str">
        <f t="shared" si="632"/>
        <v>Low</v>
      </c>
      <c r="I8079">
        <v>9</v>
      </c>
      <c r="J8079" t="str" cm="1">
        <f t="array" ref="J8079">_xlfn.IFS(I8079&lt;=3,"small",I8079&lt;=6,"Medium",I8079&lt;=9,"Large")</f>
        <v>Large</v>
      </c>
      <c r="K8079" s="36">
        <v>45426</v>
      </c>
      <c r="L8079" s="36">
        <v>45428</v>
      </c>
      <c r="M8079" t="s">
        <v>603</v>
      </c>
      <c r="N8079" t="s">
        <v>604</v>
      </c>
      <c r="O8079" s="37" t="str">
        <f t="shared" si="633"/>
        <v>Digital Payment</v>
      </c>
      <c r="P8079">
        <v>896.3</v>
      </c>
      <c r="Q8079" s="37" t="str">
        <f>IF(P8079&gt;500,"High","low")</f>
        <v>High</v>
      </c>
      <c r="R8079" s="37" t="str">
        <f t="shared" si="634"/>
        <v>Good</v>
      </c>
      <c r="S8079" t="s">
        <v>628</v>
      </c>
    </row>
    <row r="8080" spans="1:19" x14ac:dyDescent="0.2">
      <c r="A8080" t="s">
        <v>8691</v>
      </c>
      <c r="B8080" t="s">
        <v>75</v>
      </c>
      <c r="C8080" t="s">
        <v>607</v>
      </c>
      <c r="D8080">
        <v>804.74</v>
      </c>
      <c r="E8080" s="37" t="str">
        <f t="shared" si="630"/>
        <v xml:space="preserve"> </v>
      </c>
      <c r="F8080">
        <v>0.03</v>
      </c>
      <c r="G8080" s="37" t="str">
        <f t="shared" si="631"/>
        <v>Normal Discount</v>
      </c>
      <c r="H8080" s="37" t="str">
        <f t="shared" si="632"/>
        <v>Low</v>
      </c>
      <c r="I8080">
        <v>6</v>
      </c>
      <c r="J8080" t="str" cm="1">
        <f t="array" ref="J8080">_xlfn.IFS(I8080&lt;=3,"small",I8080&lt;=6,"Medium",I8080&lt;=9,"Large")</f>
        <v>Medium</v>
      </c>
      <c r="K8080" s="36">
        <v>45189</v>
      </c>
      <c r="L8080" s="36">
        <v>45195</v>
      </c>
      <c r="M8080" t="s">
        <v>603</v>
      </c>
      <c r="N8080" t="s">
        <v>608</v>
      </c>
      <c r="O8080" s="37" t="str">
        <f t="shared" si="633"/>
        <v>Cash Payment</v>
      </c>
      <c r="P8080">
        <v>44.99</v>
      </c>
      <c r="Q8080" s="37" t="str">
        <f>IF(P8080&gt;500,"High","low")</f>
        <v>low</v>
      </c>
      <c r="R8080" s="37" t="str">
        <f t="shared" si="634"/>
        <v>AVERAGE</v>
      </c>
      <c r="S8080" t="s">
        <v>609</v>
      </c>
    </row>
    <row r="8081" spans="1:19" x14ac:dyDescent="0.2">
      <c r="A8081" t="s">
        <v>8692</v>
      </c>
      <c r="B8081" t="s">
        <v>75</v>
      </c>
      <c r="C8081" t="s">
        <v>614</v>
      </c>
      <c r="D8081">
        <v>4577.12</v>
      </c>
      <c r="E8081" s="37" t="str">
        <f t="shared" si="630"/>
        <v xml:space="preserve"> </v>
      </c>
      <c r="F8081">
        <v>0.37</v>
      </c>
      <c r="G8081" s="37" t="str">
        <f t="shared" si="631"/>
        <v>Heavy Discount</v>
      </c>
      <c r="H8081" s="37" t="str">
        <f t="shared" si="632"/>
        <v>Medium</v>
      </c>
      <c r="I8081">
        <v>9</v>
      </c>
      <c r="J8081" t="str" cm="1">
        <f t="array" ref="J8081">_xlfn.IFS(I8081&lt;=3,"small",I8081&lt;=6,"Medium",I8081&lt;=9,"Large")</f>
        <v>Large</v>
      </c>
      <c r="K8081" s="36">
        <v>45157</v>
      </c>
      <c r="L8081" s="36">
        <v>45164</v>
      </c>
      <c r="M8081" t="s">
        <v>603</v>
      </c>
      <c r="N8081" t="s">
        <v>608</v>
      </c>
      <c r="O8081" s="37" t="str">
        <f t="shared" si="633"/>
        <v>Cash Payment</v>
      </c>
      <c r="P8081">
        <v>458.84</v>
      </c>
      <c r="Q8081" s="37" t="str">
        <f>IF(P8081&gt;500,"High","low")</f>
        <v>low</v>
      </c>
      <c r="R8081" s="37" t="str">
        <f t="shared" si="634"/>
        <v>AVERAGE</v>
      </c>
      <c r="S8081" t="s">
        <v>620</v>
      </c>
    </row>
    <row r="8082" spans="1:19" x14ac:dyDescent="0.2">
      <c r="A8082" t="s">
        <v>8693</v>
      </c>
      <c r="B8082" t="s">
        <v>75</v>
      </c>
      <c r="C8082" t="s">
        <v>597</v>
      </c>
      <c r="D8082">
        <v>4409.34</v>
      </c>
      <c r="E8082" s="37" t="str">
        <f t="shared" si="630"/>
        <v>Excellent Order</v>
      </c>
      <c r="F8082">
        <v>0.3</v>
      </c>
      <c r="G8082" s="37" t="str">
        <f t="shared" si="631"/>
        <v>Normal Discount</v>
      </c>
      <c r="H8082" s="37" t="str">
        <f t="shared" si="632"/>
        <v>Medium</v>
      </c>
      <c r="I8082">
        <v>2</v>
      </c>
      <c r="J8082" t="str" cm="1">
        <f t="array" ref="J8082">_xlfn.IFS(I8082&lt;=3,"small",I8082&lt;=6,"Medium",I8082&lt;=9,"Large")</f>
        <v>small</v>
      </c>
      <c r="K8082" s="36">
        <v>45325</v>
      </c>
      <c r="L8082" s="36">
        <v>45332</v>
      </c>
      <c r="M8082" t="s">
        <v>603</v>
      </c>
      <c r="N8082" t="s">
        <v>604</v>
      </c>
      <c r="O8082" s="37" t="str">
        <f t="shared" si="633"/>
        <v>Digital Payment</v>
      </c>
      <c r="P8082">
        <v>1033.6500000000001</v>
      </c>
      <c r="Q8082" s="37" t="str">
        <f>IF(P8082&gt;500,"High","low")</f>
        <v>High</v>
      </c>
      <c r="R8082" s="37" t="str">
        <f t="shared" si="634"/>
        <v>Excellent</v>
      </c>
      <c r="S8082" t="s">
        <v>605</v>
      </c>
    </row>
    <row r="8083" spans="1:19" x14ac:dyDescent="0.2">
      <c r="A8083" t="s">
        <v>8694</v>
      </c>
      <c r="B8083" t="s">
        <v>90</v>
      </c>
      <c r="C8083" t="s">
        <v>614</v>
      </c>
      <c r="D8083">
        <v>838.07</v>
      </c>
      <c r="E8083" s="37" t="str">
        <f t="shared" si="630"/>
        <v xml:space="preserve"> </v>
      </c>
      <c r="F8083">
        <v>0.27</v>
      </c>
      <c r="G8083" s="37" t="str">
        <f t="shared" si="631"/>
        <v>Normal Discount</v>
      </c>
      <c r="H8083" s="37" t="str">
        <f t="shared" si="632"/>
        <v>Medium</v>
      </c>
      <c r="I8083">
        <v>7</v>
      </c>
      <c r="J8083" t="str" cm="1">
        <f t="array" ref="J8083">_xlfn.IFS(I8083&lt;=3,"small",I8083&lt;=6,"Medium",I8083&lt;=9,"Large")</f>
        <v>Large</v>
      </c>
      <c r="K8083" s="36">
        <v>44992</v>
      </c>
      <c r="L8083" s="36">
        <v>44996</v>
      </c>
      <c r="M8083" t="s">
        <v>612</v>
      </c>
      <c r="N8083" t="s">
        <v>608</v>
      </c>
      <c r="O8083" s="37" t="str">
        <f t="shared" si="633"/>
        <v>Cash Payment</v>
      </c>
      <c r="P8083">
        <v>57.23</v>
      </c>
      <c r="Q8083" s="37" t="str">
        <f>IF(P8083&gt;500,"High","low")</f>
        <v>low</v>
      </c>
      <c r="R8083" s="37" t="str">
        <f t="shared" si="634"/>
        <v>AVERAGE</v>
      </c>
      <c r="S8083" t="s">
        <v>605</v>
      </c>
    </row>
    <row r="8084" spans="1:19" x14ac:dyDescent="0.2">
      <c r="A8084" t="s">
        <v>8695</v>
      </c>
      <c r="B8084" t="s">
        <v>90</v>
      </c>
      <c r="C8084" t="s">
        <v>602</v>
      </c>
      <c r="D8084">
        <v>4698.42</v>
      </c>
      <c r="E8084" s="37" t="str">
        <f t="shared" si="630"/>
        <v xml:space="preserve"> </v>
      </c>
      <c r="F8084">
        <v>0.43</v>
      </c>
      <c r="G8084" s="37" t="str">
        <f t="shared" si="631"/>
        <v>Heavy Discount</v>
      </c>
      <c r="H8084" s="37" t="str">
        <f t="shared" si="632"/>
        <v>High</v>
      </c>
      <c r="I8084">
        <v>8</v>
      </c>
      <c r="J8084" t="str" cm="1">
        <f t="array" ref="J8084">_xlfn.IFS(I8084&lt;=3,"small",I8084&lt;=6,"Medium",I8084&lt;=9,"Large")</f>
        <v>Large</v>
      </c>
      <c r="K8084" s="36">
        <v>45376</v>
      </c>
      <c r="L8084" s="36">
        <v>45382</v>
      </c>
      <c r="M8084" t="s">
        <v>603</v>
      </c>
      <c r="N8084" t="s">
        <v>604</v>
      </c>
      <c r="O8084" s="37" t="str">
        <f t="shared" si="633"/>
        <v>Digital Payment</v>
      </c>
      <c r="P8084">
        <v>723.19</v>
      </c>
      <c r="Q8084" s="37" t="str">
        <f>IF(P8084&gt;500,"High","low")</f>
        <v>High</v>
      </c>
      <c r="R8084" s="37" t="str">
        <f t="shared" si="634"/>
        <v>Good</v>
      </c>
      <c r="S8084" t="s">
        <v>628</v>
      </c>
    </row>
    <row r="8085" spans="1:19" x14ac:dyDescent="0.2">
      <c r="A8085" t="s">
        <v>8696</v>
      </c>
      <c r="B8085" t="s">
        <v>90</v>
      </c>
      <c r="C8085" t="s">
        <v>602</v>
      </c>
      <c r="D8085">
        <v>2833.12</v>
      </c>
      <c r="E8085" s="37" t="str">
        <f t="shared" si="630"/>
        <v xml:space="preserve"> </v>
      </c>
      <c r="F8085">
        <v>0.28999999999999998</v>
      </c>
      <c r="G8085" s="37" t="str">
        <f t="shared" si="631"/>
        <v>Normal Discount</v>
      </c>
      <c r="H8085" s="37" t="str">
        <f t="shared" si="632"/>
        <v>Medium</v>
      </c>
      <c r="I8085">
        <v>8</v>
      </c>
      <c r="J8085" t="str" cm="1">
        <f t="array" ref="J8085">_xlfn.IFS(I8085&lt;=3,"small",I8085&lt;=6,"Medium",I8085&lt;=9,"Large")</f>
        <v>Large</v>
      </c>
      <c r="K8085" s="36">
        <v>45135</v>
      </c>
      <c r="L8085" s="36">
        <v>45140</v>
      </c>
      <c r="M8085" t="s">
        <v>603</v>
      </c>
      <c r="N8085" t="s">
        <v>599</v>
      </c>
      <c r="O8085" s="37" t="str">
        <f t="shared" si="633"/>
        <v>Digital Payment</v>
      </c>
      <c r="P8085">
        <v>821.99</v>
      </c>
      <c r="Q8085" s="37" t="str">
        <f>IF(P8085&gt;500,"High","low")</f>
        <v>High</v>
      </c>
      <c r="R8085" s="37" t="str">
        <f t="shared" si="634"/>
        <v>Good</v>
      </c>
      <c r="S8085" t="s">
        <v>628</v>
      </c>
    </row>
    <row r="8086" spans="1:19" x14ac:dyDescent="0.2">
      <c r="A8086" t="s">
        <v>8697</v>
      </c>
      <c r="B8086" t="s">
        <v>75</v>
      </c>
      <c r="C8086" t="s">
        <v>607</v>
      </c>
      <c r="D8086">
        <v>3538.08</v>
      </c>
      <c r="E8086" s="37" t="str">
        <f t="shared" si="630"/>
        <v xml:space="preserve"> </v>
      </c>
      <c r="F8086">
        <v>0.48</v>
      </c>
      <c r="G8086" s="37" t="str">
        <f t="shared" si="631"/>
        <v>Heavy Discount</v>
      </c>
      <c r="H8086" s="37" t="str">
        <f t="shared" si="632"/>
        <v>High</v>
      </c>
      <c r="I8086">
        <v>5</v>
      </c>
      <c r="J8086" t="str" cm="1">
        <f t="array" ref="J8086">_xlfn.IFS(I8086&lt;=3,"small",I8086&lt;=6,"Medium",I8086&lt;=9,"Large")</f>
        <v>Medium</v>
      </c>
      <c r="K8086" s="36">
        <v>45408</v>
      </c>
      <c r="L8086" s="36">
        <v>45415</v>
      </c>
      <c r="M8086" t="s">
        <v>612</v>
      </c>
      <c r="N8086" t="s">
        <v>604</v>
      </c>
      <c r="O8086" s="37" t="str">
        <f t="shared" si="633"/>
        <v>Digital Payment</v>
      </c>
      <c r="P8086">
        <v>688.74</v>
      </c>
      <c r="Q8086" s="37" t="str">
        <f>IF(P8086&gt;500,"High","low")</f>
        <v>High</v>
      </c>
      <c r="R8086" s="37" t="str">
        <f t="shared" si="634"/>
        <v>Good</v>
      </c>
      <c r="S8086" t="s">
        <v>620</v>
      </c>
    </row>
    <row r="8087" spans="1:19" x14ac:dyDescent="0.2">
      <c r="A8087" t="s">
        <v>8698</v>
      </c>
      <c r="B8087" t="s">
        <v>67</v>
      </c>
      <c r="C8087" t="s">
        <v>597</v>
      </c>
      <c r="D8087">
        <v>4217.4399999999996</v>
      </c>
      <c r="E8087" s="37" t="str">
        <f t="shared" si="630"/>
        <v xml:space="preserve"> </v>
      </c>
      <c r="F8087">
        <v>0.31</v>
      </c>
      <c r="G8087" s="37" t="str">
        <f t="shared" si="631"/>
        <v>Heavy Discount</v>
      </c>
      <c r="H8087" s="37" t="str">
        <f t="shared" si="632"/>
        <v>Medium</v>
      </c>
      <c r="I8087">
        <v>7</v>
      </c>
      <c r="J8087" t="str" cm="1">
        <f t="array" ref="J8087">_xlfn.IFS(I8087&lt;=3,"small",I8087&lt;=6,"Medium",I8087&lt;=9,"Large")</f>
        <v>Large</v>
      </c>
      <c r="K8087" s="36">
        <v>45357</v>
      </c>
      <c r="L8087" s="36">
        <v>45362</v>
      </c>
      <c r="M8087" t="s">
        <v>603</v>
      </c>
      <c r="N8087" t="s">
        <v>599</v>
      </c>
      <c r="O8087" s="37" t="str">
        <f t="shared" si="633"/>
        <v>Digital Payment</v>
      </c>
      <c r="P8087">
        <v>665.13</v>
      </c>
      <c r="Q8087" s="37" t="str">
        <f>IF(P8087&gt;500,"High","low")</f>
        <v>High</v>
      </c>
      <c r="R8087" s="37" t="str">
        <f t="shared" si="634"/>
        <v>Good</v>
      </c>
      <c r="S8087" t="s">
        <v>615</v>
      </c>
    </row>
    <row r="8088" spans="1:19" x14ac:dyDescent="0.2">
      <c r="A8088" t="s">
        <v>8699</v>
      </c>
      <c r="B8088" t="s">
        <v>83</v>
      </c>
      <c r="C8088" t="s">
        <v>597</v>
      </c>
      <c r="D8088">
        <v>509.49</v>
      </c>
      <c r="E8088" s="37" t="str">
        <f t="shared" si="630"/>
        <v xml:space="preserve"> </v>
      </c>
      <c r="F8088">
        <v>0.18</v>
      </c>
      <c r="G8088" s="37" t="str">
        <f t="shared" si="631"/>
        <v>Normal Discount</v>
      </c>
      <c r="H8088" s="37" t="str">
        <f t="shared" si="632"/>
        <v>Low</v>
      </c>
      <c r="I8088">
        <v>7</v>
      </c>
      <c r="J8088" t="str" cm="1">
        <f t="array" ref="J8088">_xlfn.IFS(I8088&lt;=3,"small",I8088&lt;=6,"Medium",I8088&lt;=9,"Large")</f>
        <v>Large</v>
      </c>
      <c r="K8088" s="36">
        <v>44972</v>
      </c>
      <c r="L8088" s="36">
        <v>44973</v>
      </c>
      <c r="M8088" t="s">
        <v>603</v>
      </c>
      <c r="N8088" t="s">
        <v>608</v>
      </c>
      <c r="O8088" s="37" t="str">
        <f t="shared" si="633"/>
        <v>Cash Payment</v>
      </c>
      <c r="P8088">
        <v>147.85</v>
      </c>
      <c r="Q8088" s="37" t="str">
        <f>IF(P8088&gt;500,"High","low")</f>
        <v>low</v>
      </c>
      <c r="R8088" s="37" t="str">
        <f t="shared" si="634"/>
        <v>AVERAGE</v>
      </c>
      <c r="S8088" t="s">
        <v>628</v>
      </c>
    </row>
    <row r="8089" spans="1:19" x14ac:dyDescent="0.2">
      <c r="A8089" t="s">
        <v>8700</v>
      </c>
      <c r="B8089" t="s">
        <v>90</v>
      </c>
      <c r="C8089" t="s">
        <v>597</v>
      </c>
      <c r="D8089">
        <v>929.49</v>
      </c>
      <c r="E8089" s="37" t="str">
        <f t="shared" si="630"/>
        <v xml:space="preserve"> </v>
      </c>
      <c r="F8089">
        <v>0.02</v>
      </c>
      <c r="G8089" s="37" t="str">
        <f t="shared" si="631"/>
        <v>Normal Discount</v>
      </c>
      <c r="H8089" s="37" t="str">
        <f t="shared" si="632"/>
        <v>Low</v>
      </c>
      <c r="I8089">
        <v>3</v>
      </c>
      <c r="J8089" t="str" cm="1">
        <f t="array" ref="J8089">_xlfn.IFS(I8089&lt;=3,"small",I8089&lt;=6,"Medium",I8089&lt;=9,"Large")</f>
        <v>small</v>
      </c>
      <c r="K8089" s="36">
        <v>45641</v>
      </c>
      <c r="L8089" s="36">
        <v>45644</v>
      </c>
      <c r="M8089" t="s">
        <v>612</v>
      </c>
      <c r="N8089" t="s">
        <v>608</v>
      </c>
      <c r="O8089" s="37" t="str">
        <f t="shared" si="633"/>
        <v>Cash Payment</v>
      </c>
      <c r="P8089">
        <v>164.16</v>
      </c>
      <c r="Q8089" s="37" t="str">
        <f>IF(P8089&gt;500,"High","low")</f>
        <v>low</v>
      </c>
      <c r="R8089" s="37" t="str">
        <f t="shared" si="634"/>
        <v>AVERAGE</v>
      </c>
      <c r="S8089" t="s">
        <v>600</v>
      </c>
    </row>
    <row r="8090" spans="1:19" x14ac:dyDescent="0.2">
      <c r="A8090" t="s">
        <v>8701</v>
      </c>
      <c r="B8090" t="s">
        <v>67</v>
      </c>
      <c r="C8090" t="s">
        <v>597</v>
      </c>
      <c r="D8090">
        <v>1522.92</v>
      </c>
      <c r="E8090" s="37" t="str">
        <f t="shared" si="630"/>
        <v xml:space="preserve"> </v>
      </c>
      <c r="F8090">
        <v>0.36</v>
      </c>
      <c r="G8090" s="37" t="str">
        <f t="shared" si="631"/>
        <v>Heavy Discount</v>
      </c>
      <c r="H8090" s="37" t="str">
        <f t="shared" si="632"/>
        <v>Medium</v>
      </c>
      <c r="I8090">
        <v>2</v>
      </c>
      <c r="J8090" t="str" cm="1">
        <f t="array" ref="J8090">_xlfn.IFS(I8090&lt;=3,"small",I8090&lt;=6,"Medium",I8090&lt;=9,"Large")</f>
        <v>small</v>
      </c>
      <c r="K8090" s="36">
        <v>45482</v>
      </c>
      <c r="L8090" s="36">
        <v>45489</v>
      </c>
      <c r="M8090" t="s">
        <v>603</v>
      </c>
      <c r="N8090" t="s">
        <v>599</v>
      </c>
      <c r="O8090" s="37" t="str">
        <f t="shared" si="633"/>
        <v>Digital Payment</v>
      </c>
      <c r="P8090">
        <v>305.27999999999997</v>
      </c>
      <c r="Q8090" s="37" t="str">
        <f>IF(P8090&gt;500,"High","low")</f>
        <v>low</v>
      </c>
      <c r="R8090" s="37" t="str">
        <f t="shared" si="634"/>
        <v>AVERAGE</v>
      </c>
      <c r="S8090" t="s">
        <v>600</v>
      </c>
    </row>
    <row r="8091" spans="1:19" x14ac:dyDescent="0.2">
      <c r="A8091" t="s">
        <v>8702</v>
      </c>
      <c r="B8091" t="s">
        <v>83</v>
      </c>
      <c r="C8091" t="s">
        <v>607</v>
      </c>
      <c r="D8091">
        <v>2438.3000000000002</v>
      </c>
      <c r="E8091" s="37" t="str">
        <f t="shared" si="630"/>
        <v xml:space="preserve"> </v>
      </c>
      <c r="F8091">
        <v>0.19</v>
      </c>
      <c r="G8091" s="37" t="str">
        <f t="shared" si="631"/>
        <v>Normal Discount</v>
      </c>
      <c r="H8091" s="37" t="str">
        <f t="shared" si="632"/>
        <v>Low</v>
      </c>
      <c r="I8091">
        <v>5</v>
      </c>
      <c r="J8091" t="str" cm="1">
        <f t="array" ref="J8091">_xlfn.IFS(I8091&lt;=3,"small",I8091&lt;=6,"Medium",I8091&lt;=9,"Large")</f>
        <v>Medium</v>
      </c>
      <c r="K8091" s="36">
        <v>45575</v>
      </c>
      <c r="L8091" s="36">
        <v>45580</v>
      </c>
      <c r="M8091" t="s">
        <v>612</v>
      </c>
      <c r="N8091" t="s">
        <v>599</v>
      </c>
      <c r="O8091" s="37" t="str">
        <f t="shared" si="633"/>
        <v>Digital Payment</v>
      </c>
      <c r="P8091">
        <v>434.25</v>
      </c>
      <c r="Q8091" s="37" t="str">
        <f>IF(P8091&gt;500,"High","low")</f>
        <v>low</v>
      </c>
      <c r="R8091" s="37" t="str">
        <f t="shared" si="634"/>
        <v>AVERAGE</v>
      </c>
      <c r="S8091" t="s">
        <v>600</v>
      </c>
    </row>
    <row r="8092" spans="1:19" x14ac:dyDescent="0.2">
      <c r="A8092" t="s">
        <v>8703</v>
      </c>
      <c r="B8092" t="s">
        <v>83</v>
      </c>
      <c r="C8092" t="s">
        <v>614</v>
      </c>
      <c r="D8092">
        <v>1795.67</v>
      </c>
      <c r="E8092" s="37" t="str">
        <f t="shared" si="630"/>
        <v xml:space="preserve"> </v>
      </c>
      <c r="F8092">
        <v>0.3</v>
      </c>
      <c r="G8092" s="37" t="str">
        <f t="shared" si="631"/>
        <v>Normal Discount</v>
      </c>
      <c r="H8092" s="37" t="str">
        <f t="shared" si="632"/>
        <v>Medium</v>
      </c>
      <c r="I8092">
        <v>4</v>
      </c>
      <c r="J8092" t="str" cm="1">
        <f t="array" ref="J8092">_xlfn.IFS(I8092&lt;=3,"small",I8092&lt;=6,"Medium",I8092&lt;=9,"Large")</f>
        <v>Medium</v>
      </c>
      <c r="K8092" s="36">
        <v>44997</v>
      </c>
      <c r="L8092" s="36">
        <v>45003</v>
      </c>
      <c r="M8092" t="s">
        <v>612</v>
      </c>
      <c r="N8092" t="s">
        <v>608</v>
      </c>
      <c r="O8092" s="37" t="str">
        <f t="shared" si="633"/>
        <v>Cash Payment</v>
      </c>
      <c r="P8092">
        <v>426.62</v>
      </c>
      <c r="Q8092" s="37" t="str">
        <f>IF(P8092&gt;500,"High","low")</f>
        <v>low</v>
      </c>
      <c r="R8092" s="37" t="str">
        <f t="shared" si="634"/>
        <v>AVERAGE</v>
      </c>
      <c r="S8092" t="s">
        <v>615</v>
      </c>
    </row>
    <row r="8093" spans="1:19" x14ac:dyDescent="0.2">
      <c r="A8093" t="s">
        <v>8704</v>
      </c>
      <c r="B8093" t="s">
        <v>83</v>
      </c>
      <c r="C8093" t="s">
        <v>607</v>
      </c>
      <c r="D8093">
        <v>2578.65</v>
      </c>
      <c r="E8093" s="37" t="str">
        <f t="shared" si="630"/>
        <v xml:space="preserve"> </v>
      </c>
      <c r="F8093">
        <v>0.44</v>
      </c>
      <c r="G8093" s="37" t="str">
        <f t="shared" si="631"/>
        <v>Heavy Discount</v>
      </c>
      <c r="H8093" s="37" t="str">
        <f t="shared" si="632"/>
        <v>High</v>
      </c>
      <c r="I8093">
        <v>8</v>
      </c>
      <c r="J8093" t="str" cm="1">
        <f t="array" ref="J8093">_xlfn.IFS(I8093&lt;=3,"small",I8093&lt;=6,"Medium",I8093&lt;=9,"Large")</f>
        <v>Large</v>
      </c>
      <c r="K8093" s="36">
        <v>45553</v>
      </c>
      <c r="L8093" s="36">
        <v>45560</v>
      </c>
      <c r="M8093" t="s">
        <v>598</v>
      </c>
      <c r="N8093" t="s">
        <v>599</v>
      </c>
      <c r="O8093" s="37" t="str">
        <f t="shared" si="633"/>
        <v>Digital Payment</v>
      </c>
      <c r="P8093">
        <v>343.17</v>
      </c>
      <c r="Q8093" s="37" t="str">
        <f>IF(P8093&gt;500,"High","low")</f>
        <v>low</v>
      </c>
      <c r="R8093" s="37" t="str">
        <f t="shared" si="634"/>
        <v>AVERAGE</v>
      </c>
      <c r="S8093" t="s">
        <v>609</v>
      </c>
    </row>
    <row r="8094" spans="1:19" x14ac:dyDescent="0.2">
      <c r="A8094" t="s">
        <v>8705</v>
      </c>
      <c r="B8094" t="s">
        <v>67</v>
      </c>
      <c r="C8094" t="s">
        <v>614</v>
      </c>
      <c r="D8094">
        <v>1010.99</v>
      </c>
      <c r="E8094" s="37" t="str">
        <f t="shared" si="630"/>
        <v xml:space="preserve"> </v>
      </c>
      <c r="F8094">
        <v>0</v>
      </c>
      <c r="G8094" s="37" t="str">
        <f t="shared" si="631"/>
        <v>Normal Discount</v>
      </c>
      <c r="H8094" s="37" t="str">
        <f t="shared" si="632"/>
        <v>Low</v>
      </c>
      <c r="I8094">
        <v>5</v>
      </c>
      <c r="J8094" t="str" cm="1">
        <f t="array" ref="J8094">_xlfn.IFS(I8094&lt;=3,"small",I8094&lt;=6,"Medium",I8094&lt;=9,"Large")</f>
        <v>Medium</v>
      </c>
      <c r="K8094" s="36">
        <v>45494</v>
      </c>
      <c r="L8094" s="36">
        <v>45497</v>
      </c>
      <c r="M8094" t="s">
        <v>612</v>
      </c>
      <c r="N8094" t="s">
        <v>604</v>
      </c>
      <c r="O8094" s="37" t="str">
        <f t="shared" si="633"/>
        <v>Digital Payment</v>
      </c>
      <c r="P8094">
        <v>88.99</v>
      </c>
      <c r="Q8094" s="37" t="str">
        <f>IF(P8094&gt;500,"High","low")</f>
        <v>low</v>
      </c>
      <c r="R8094" s="37" t="str">
        <f t="shared" si="634"/>
        <v>AVERAGE</v>
      </c>
      <c r="S8094" t="s">
        <v>628</v>
      </c>
    </row>
    <row r="8095" spans="1:19" x14ac:dyDescent="0.2">
      <c r="A8095" t="s">
        <v>8706</v>
      </c>
      <c r="B8095" t="s">
        <v>67</v>
      </c>
      <c r="C8095" t="s">
        <v>617</v>
      </c>
      <c r="D8095">
        <v>3442.56</v>
      </c>
      <c r="E8095" s="37" t="str">
        <f t="shared" si="630"/>
        <v xml:space="preserve"> </v>
      </c>
      <c r="F8095">
        <v>0.38</v>
      </c>
      <c r="G8095" s="37" t="str">
        <f t="shared" si="631"/>
        <v>Heavy Discount</v>
      </c>
      <c r="H8095" s="37" t="str">
        <f t="shared" si="632"/>
        <v>Medium</v>
      </c>
      <c r="I8095">
        <v>9</v>
      </c>
      <c r="J8095" t="str" cm="1">
        <f t="array" ref="J8095">_xlfn.IFS(I8095&lt;=3,"small",I8095&lt;=6,"Medium",I8095&lt;=9,"Large")</f>
        <v>Large</v>
      </c>
      <c r="K8095" s="36">
        <v>45058</v>
      </c>
      <c r="L8095" s="36">
        <v>45062</v>
      </c>
      <c r="M8095" t="s">
        <v>612</v>
      </c>
      <c r="N8095" t="s">
        <v>599</v>
      </c>
      <c r="O8095" s="37" t="str">
        <f t="shared" si="633"/>
        <v>Digital Payment</v>
      </c>
      <c r="P8095">
        <v>578.26</v>
      </c>
      <c r="Q8095" s="37" t="str">
        <f>IF(P8095&gt;500,"High","low")</f>
        <v>High</v>
      </c>
      <c r="R8095" s="37" t="str">
        <f t="shared" si="634"/>
        <v>Good</v>
      </c>
      <c r="S8095" t="s">
        <v>600</v>
      </c>
    </row>
    <row r="8096" spans="1:19" x14ac:dyDescent="0.2">
      <c r="A8096" t="s">
        <v>8707</v>
      </c>
      <c r="B8096" t="s">
        <v>75</v>
      </c>
      <c r="C8096" t="s">
        <v>617</v>
      </c>
      <c r="D8096">
        <v>373.1</v>
      </c>
      <c r="E8096" s="37" t="str">
        <f t="shared" si="630"/>
        <v xml:space="preserve"> </v>
      </c>
      <c r="F8096">
        <v>0.22</v>
      </c>
      <c r="G8096" s="37" t="str">
        <f t="shared" si="631"/>
        <v>Normal Discount</v>
      </c>
      <c r="H8096" s="37" t="str">
        <f t="shared" si="632"/>
        <v>Medium</v>
      </c>
      <c r="I8096">
        <v>7</v>
      </c>
      <c r="J8096" t="str" cm="1">
        <f t="array" ref="J8096">_xlfn.IFS(I8096&lt;=3,"small",I8096&lt;=6,"Medium",I8096&lt;=9,"Large")</f>
        <v>Large</v>
      </c>
      <c r="K8096" s="36">
        <v>45307</v>
      </c>
      <c r="L8096" s="36">
        <v>45310</v>
      </c>
      <c r="M8096" t="s">
        <v>603</v>
      </c>
      <c r="N8096" t="s">
        <v>604</v>
      </c>
      <c r="O8096" s="37" t="str">
        <f t="shared" si="633"/>
        <v>Digital Payment</v>
      </c>
      <c r="P8096">
        <v>87</v>
      </c>
      <c r="Q8096" s="37" t="str">
        <f>IF(P8096&gt;500,"High","low")</f>
        <v>low</v>
      </c>
      <c r="R8096" s="37" t="str">
        <f t="shared" si="634"/>
        <v>AVERAGE</v>
      </c>
      <c r="S8096" t="s">
        <v>605</v>
      </c>
    </row>
    <row r="8097" spans="1:19" x14ac:dyDescent="0.2">
      <c r="A8097" t="s">
        <v>8708</v>
      </c>
      <c r="B8097" t="s">
        <v>67</v>
      </c>
      <c r="C8097" t="s">
        <v>614</v>
      </c>
      <c r="D8097">
        <v>1871.1</v>
      </c>
      <c r="E8097" s="37" t="str">
        <f t="shared" si="630"/>
        <v xml:space="preserve"> </v>
      </c>
      <c r="F8097">
        <v>0.06</v>
      </c>
      <c r="G8097" s="37" t="str">
        <f t="shared" si="631"/>
        <v>Normal Discount</v>
      </c>
      <c r="H8097" s="37" t="str">
        <f t="shared" si="632"/>
        <v>Low</v>
      </c>
      <c r="I8097">
        <v>1</v>
      </c>
      <c r="J8097" t="str" cm="1">
        <f t="array" ref="J8097">_xlfn.IFS(I8097&lt;=3,"small",I8097&lt;=6,"Medium",I8097&lt;=9,"Large")</f>
        <v>small</v>
      </c>
      <c r="K8097" s="36">
        <v>45219</v>
      </c>
      <c r="L8097" s="36">
        <v>45223</v>
      </c>
      <c r="M8097" t="s">
        <v>612</v>
      </c>
      <c r="N8097" t="s">
        <v>604</v>
      </c>
      <c r="O8097" s="37" t="str">
        <f t="shared" si="633"/>
        <v>Digital Payment</v>
      </c>
      <c r="P8097">
        <v>311.83999999999997</v>
      </c>
      <c r="Q8097" s="37" t="str">
        <f>IF(P8097&gt;500,"High","low")</f>
        <v>low</v>
      </c>
      <c r="R8097" s="37" t="str">
        <f t="shared" si="634"/>
        <v>AVERAGE</v>
      </c>
      <c r="S8097" t="s">
        <v>615</v>
      </c>
    </row>
    <row r="8098" spans="1:19" x14ac:dyDescent="0.2">
      <c r="A8098" t="s">
        <v>8709</v>
      </c>
      <c r="B8098" t="s">
        <v>67</v>
      </c>
      <c r="C8098" t="s">
        <v>607</v>
      </c>
      <c r="D8098">
        <v>977.26</v>
      </c>
      <c r="E8098" s="37" t="str">
        <f t="shared" si="630"/>
        <v xml:space="preserve"> </v>
      </c>
      <c r="F8098">
        <v>0.28999999999999998</v>
      </c>
      <c r="G8098" s="37" t="str">
        <f t="shared" si="631"/>
        <v>Normal Discount</v>
      </c>
      <c r="H8098" s="37" t="str">
        <f t="shared" si="632"/>
        <v>Medium</v>
      </c>
      <c r="I8098">
        <v>2</v>
      </c>
      <c r="J8098" t="str" cm="1">
        <f t="array" ref="J8098">_xlfn.IFS(I8098&lt;=3,"small",I8098&lt;=6,"Medium",I8098&lt;=9,"Large")</f>
        <v>small</v>
      </c>
      <c r="K8098" s="36">
        <v>45216</v>
      </c>
      <c r="L8098" s="36">
        <v>45218</v>
      </c>
      <c r="M8098" t="s">
        <v>598</v>
      </c>
      <c r="N8098" t="s">
        <v>608</v>
      </c>
      <c r="O8098" s="37" t="str">
        <f t="shared" si="633"/>
        <v>Cash Payment</v>
      </c>
      <c r="P8098">
        <v>98.3</v>
      </c>
      <c r="Q8098" s="37" t="str">
        <f>IF(P8098&gt;500,"High","low")</f>
        <v>low</v>
      </c>
      <c r="R8098" s="37" t="str">
        <f t="shared" si="634"/>
        <v>AVERAGE</v>
      </c>
      <c r="S8098" t="s">
        <v>609</v>
      </c>
    </row>
    <row r="8099" spans="1:19" x14ac:dyDescent="0.2">
      <c r="A8099" t="s">
        <v>8710</v>
      </c>
      <c r="B8099" t="s">
        <v>67</v>
      </c>
      <c r="C8099" t="s">
        <v>602</v>
      </c>
      <c r="D8099">
        <v>3676.67</v>
      </c>
      <c r="E8099" s="37" t="str">
        <f t="shared" si="630"/>
        <v xml:space="preserve"> </v>
      </c>
      <c r="F8099">
        <v>0.27</v>
      </c>
      <c r="G8099" s="37" t="str">
        <f t="shared" si="631"/>
        <v>Normal Discount</v>
      </c>
      <c r="H8099" s="37" t="str">
        <f t="shared" si="632"/>
        <v>Medium</v>
      </c>
      <c r="I8099">
        <v>8</v>
      </c>
      <c r="J8099" t="str" cm="1">
        <f t="array" ref="J8099">_xlfn.IFS(I8099&lt;=3,"small",I8099&lt;=6,"Medium",I8099&lt;=9,"Large")</f>
        <v>Large</v>
      </c>
      <c r="K8099" s="36">
        <v>45262</v>
      </c>
      <c r="L8099" s="36">
        <v>45268</v>
      </c>
      <c r="M8099" t="s">
        <v>603</v>
      </c>
      <c r="N8099" t="s">
        <v>608</v>
      </c>
      <c r="O8099" s="37" t="str">
        <f t="shared" si="633"/>
        <v>Cash Payment</v>
      </c>
      <c r="P8099">
        <v>321.45</v>
      </c>
      <c r="Q8099" s="37" t="str">
        <f>IF(P8099&gt;500,"High","low")</f>
        <v>low</v>
      </c>
      <c r="R8099" s="37" t="str">
        <f t="shared" si="634"/>
        <v>AVERAGE</v>
      </c>
      <c r="S8099" t="s">
        <v>628</v>
      </c>
    </row>
    <row r="8100" spans="1:19" x14ac:dyDescent="0.2">
      <c r="A8100" t="s">
        <v>8711</v>
      </c>
      <c r="B8100" t="s">
        <v>83</v>
      </c>
      <c r="C8100" t="s">
        <v>607</v>
      </c>
      <c r="D8100">
        <v>4429.8999999999996</v>
      </c>
      <c r="E8100" s="37" t="str">
        <f t="shared" si="630"/>
        <v>Excellent Order</v>
      </c>
      <c r="F8100">
        <v>0.42</v>
      </c>
      <c r="G8100" s="37" t="str">
        <f t="shared" si="631"/>
        <v>Heavy Discount</v>
      </c>
      <c r="H8100" s="37" t="str">
        <f t="shared" si="632"/>
        <v>High</v>
      </c>
      <c r="I8100">
        <v>8</v>
      </c>
      <c r="J8100" t="str" cm="1">
        <f t="array" ref="J8100">_xlfn.IFS(I8100&lt;=3,"small",I8100&lt;=6,"Medium",I8100&lt;=9,"Large")</f>
        <v>Large</v>
      </c>
      <c r="K8100" s="36">
        <v>45543</v>
      </c>
      <c r="L8100" s="36">
        <v>45544</v>
      </c>
      <c r="M8100" t="s">
        <v>612</v>
      </c>
      <c r="N8100" t="s">
        <v>608</v>
      </c>
      <c r="O8100" s="37" t="str">
        <f t="shared" si="633"/>
        <v>Cash Payment</v>
      </c>
      <c r="P8100">
        <v>1296.8699999999999</v>
      </c>
      <c r="Q8100" s="37" t="str">
        <f>IF(P8100&gt;500,"High","low")</f>
        <v>High</v>
      </c>
      <c r="R8100" s="37" t="str">
        <f t="shared" si="634"/>
        <v>Excellent</v>
      </c>
      <c r="S8100" t="s">
        <v>609</v>
      </c>
    </row>
    <row r="8101" spans="1:19" x14ac:dyDescent="0.2">
      <c r="A8101" t="s">
        <v>8712</v>
      </c>
      <c r="B8101" t="s">
        <v>90</v>
      </c>
      <c r="C8101" t="s">
        <v>602</v>
      </c>
      <c r="D8101">
        <v>486.05</v>
      </c>
      <c r="E8101" s="37" t="str">
        <f t="shared" si="630"/>
        <v xml:space="preserve"> </v>
      </c>
      <c r="F8101">
        <v>0.26</v>
      </c>
      <c r="G8101" s="37" t="str">
        <f t="shared" si="631"/>
        <v>Normal Discount</v>
      </c>
      <c r="H8101" s="37" t="str">
        <f t="shared" si="632"/>
        <v>Medium</v>
      </c>
      <c r="I8101">
        <v>2</v>
      </c>
      <c r="J8101" t="str" cm="1">
        <f t="array" ref="J8101">_xlfn.IFS(I8101&lt;=3,"small",I8101&lt;=6,"Medium",I8101&lt;=9,"Large")</f>
        <v>small</v>
      </c>
      <c r="K8101" s="36">
        <v>44973</v>
      </c>
      <c r="L8101" s="36">
        <v>44980</v>
      </c>
      <c r="M8101" t="s">
        <v>612</v>
      </c>
      <c r="N8101" t="s">
        <v>599</v>
      </c>
      <c r="O8101" s="37" t="str">
        <f t="shared" si="633"/>
        <v>Digital Payment</v>
      </c>
      <c r="P8101">
        <v>136.29</v>
      </c>
      <c r="Q8101" s="37" t="str">
        <f>IF(P8101&gt;500,"High","low")</f>
        <v>low</v>
      </c>
      <c r="R8101" s="37" t="str">
        <f t="shared" si="634"/>
        <v>AVERAGE</v>
      </c>
      <c r="S8101" t="s">
        <v>600</v>
      </c>
    </row>
    <row r="8102" spans="1:19" x14ac:dyDescent="0.2">
      <c r="A8102" t="s">
        <v>8713</v>
      </c>
      <c r="B8102" t="s">
        <v>75</v>
      </c>
      <c r="C8102" t="s">
        <v>607</v>
      </c>
      <c r="D8102">
        <v>3946.69</v>
      </c>
      <c r="E8102" s="37" t="str">
        <f t="shared" si="630"/>
        <v xml:space="preserve"> </v>
      </c>
      <c r="F8102">
        <v>0.41</v>
      </c>
      <c r="G8102" s="37" t="str">
        <f t="shared" si="631"/>
        <v>Heavy Discount</v>
      </c>
      <c r="H8102" s="37" t="str">
        <f t="shared" si="632"/>
        <v>High</v>
      </c>
      <c r="I8102">
        <v>7</v>
      </c>
      <c r="J8102" t="str" cm="1">
        <f t="array" ref="J8102">_xlfn.IFS(I8102&lt;=3,"small",I8102&lt;=6,"Medium",I8102&lt;=9,"Large")</f>
        <v>Large</v>
      </c>
      <c r="K8102" s="36">
        <v>44956</v>
      </c>
      <c r="L8102" s="36">
        <v>44959</v>
      </c>
      <c r="M8102" t="s">
        <v>612</v>
      </c>
      <c r="N8102" t="s">
        <v>608</v>
      </c>
      <c r="O8102" s="37" t="str">
        <f t="shared" si="633"/>
        <v>Cash Payment</v>
      </c>
      <c r="P8102">
        <v>504.15</v>
      </c>
      <c r="Q8102" s="37" t="str">
        <f>IF(P8102&gt;500,"High","low")</f>
        <v>High</v>
      </c>
      <c r="R8102" s="37" t="str">
        <f t="shared" si="634"/>
        <v>Good</v>
      </c>
      <c r="S8102" t="s">
        <v>609</v>
      </c>
    </row>
    <row r="8103" spans="1:19" x14ac:dyDescent="0.2">
      <c r="A8103" t="s">
        <v>8714</v>
      </c>
      <c r="B8103" t="s">
        <v>90</v>
      </c>
      <c r="C8103" t="s">
        <v>597</v>
      </c>
      <c r="D8103">
        <v>4489.04</v>
      </c>
      <c r="E8103" s="37" t="str">
        <f t="shared" si="630"/>
        <v>Excellent Order</v>
      </c>
      <c r="F8103">
        <v>0.27</v>
      </c>
      <c r="G8103" s="37" t="str">
        <f t="shared" si="631"/>
        <v>Normal Discount</v>
      </c>
      <c r="H8103" s="37" t="str">
        <f t="shared" si="632"/>
        <v>Medium</v>
      </c>
      <c r="I8103">
        <v>8</v>
      </c>
      <c r="J8103" t="str" cm="1">
        <f t="array" ref="J8103">_xlfn.IFS(I8103&lt;=3,"small",I8103&lt;=6,"Medium",I8103&lt;=9,"Large")</f>
        <v>Large</v>
      </c>
      <c r="K8103" s="36">
        <v>45556</v>
      </c>
      <c r="L8103" s="36">
        <v>45559</v>
      </c>
      <c r="M8103" t="s">
        <v>598</v>
      </c>
      <c r="N8103" t="s">
        <v>599</v>
      </c>
      <c r="O8103" s="37" t="str">
        <f t="shared" si="633"/>
        <v>Digital Payment</v>
      </c>
      <c r="P8103">
        <v>1305.6500000000001</v>
      </c>
      <c r="Q8103" s="37" t="str">
        <f>IF(P8103&gt;500,"High","low")</f>
        <v>High</v>
      </c>
      <c r="R8103" s="37" t="str">
        <f t="shared" si="634"/>
        <v>Excellent</v>
      </c>
      <c r="S8103" t="s">
        <v>605</v>
      </c>
    </row>
    <row r="8104" spans="1:19" x14ac:dyDescent="0.2">
      <c r="A8104" t="s">
        <v>8715</v>
      </c>
      <c r="B8104" t="s">
        <v>90</v>
      </c>
      <c r="C8104" t="s">
        <v>597</v>
      </c>
      <c r="D8104">
        <v>4872.45</v>
      </c>
      <c r="E8104" s="37" t="str">
        <f t="shared" si="630"/>
        <v>Excellent Order</v>
      </c>
      <c r="F8104">
        <v>0.22</v>
      </c>
      <c r="G8104" s="37" t="str">
        <f t="shared" si="631"/>
        <v>Normal Discount</v>
      </c>
      <c r="H8104" s="37" t="str">
        <f t="shared" si="632"/>
        <v>Medium</v>
      </c>
      <c r="I8104">
        <v>4</v>
      </c>
      <c r="J8104" t="str" cm="1">
        <f t="array" ref="J8104">_xlfn.IFS(I8104&lt;=3,"small",I8104&lt;=6,"Medium",I8104&lt;=9,"Large")</f>
        <v>Medium</v>
      </c>
      <c r="K8104" s="36">
        <v>44972</v>
      </c>
      <c r="L8104" s="36">
        <v>44978</v>
      </c>
      <c r="M8104" t="s">
        <v>603</v>
      </c>
      <c r="N8104" t="s">
        <v>604</v>
      </c>
      <c r="O8104" s="37" t="str">
        <f t="shared" si="633"/>
        <v>Digital Payment</v>
      </c>
      <c r="P8104">
        <v>998.45</v>
      </c>
      <c r="Q8104" s="37" t="str">
        <f>IF(P8104&gt;500,"High","low")</f>
        <v>High</v>
      </c>
      <c r="R8104" s="37" t="str">
        <f t="shared" si="634"/>
        <v>Good</v>
      </c>
      <c r="S8104" t="s">
        <v>615</v>
      </c>
    </row>
    <row r="8105" spans="1:19" x14ac:dyDescent="0.2">
      <c r="A8105" t="s">
        <v>8716</v>
      </c>
      <c r="B8105" t="s">
        <v>67</v>
      </c>
      <c r="C8105" t="s">
        <v>617</v>
      </c>
      <c r="D8105">
        <v>2938.99</v>
      </c>
      <c r="E8105" s="37" t="str">
        <f t="shared" si="630"/>
        <v xml:space="preserve"> </v>
      </c>
      <c r="F8105">
        <v>0.19</v>
      </c>
      <c r="G8105" s="37" t="str">
        <f t="shared" si="631"/>
        <v>Normal Discount</v>
      </c>
      <c r="H8105" s="37" t="str">
        <f t="shared" si="632"/>
        <v>Low</v>
      </c>
      <c r="I8105">
        <v>3</v>
      </c>
      <c r="J8105" t="str" cm="1">
        <f t="array" ref="J8105">_xlfn.IFS(I8105&lt;=3,"small",I8105&lt;=6,"Medium",I8105&lt;=9,"Large")</f>
        <v>small</v>
      </c>
      <c r="K8105" s="36">
        <v>45508</v>
      </c>
      <c r="L8105" s="36">
        <v>45515</v>
      </c>
      <c r="M8105" t="s">
        <v>603</v>
      </c>
      <c r="N8105" t="s">
        <v>599</v>
      </c>
      <c r="O8105" s="37" t="str">
        <f t="shared" si="633"/>
        <v>Digital Payment</v>
      </c>
      <c r="P8105">
        <v>373.34</v>
      </c>
      <c r="Q8105" s="37" t="str">
        <f>IF(P8105&gt;500,"High","low")</f>
        <v>low</v>
      </c>
      <c r="R8105" s="37" t="str">
        <f t="shared" si="634"/>
        <v>AVERAGE</v>
      </c>
      <c r="S8105" t="s">
        <v>605</v>
      </c>
    </row>
    <row r="8106" spans="1:19" x14ac:dyDescent="0.2">
      <c r="A8106" t="s">
        <v>8717</v>
      </c>
      <c r="B8106" t="s">
        <v>75</v>
      </c>
      <c r="C8106" t="s">
        <v>617</v>
      </c>
      <c r="D8106">
        <v>1704.22</v>
      </c>
      <c r="E8106" s="37" t="str">
        <f t="shared" si="630"/>
        <v xml:space="preserve"> </v>
      </c>
      <c r="F8106">
        <v>0.09</v>
      </c>
      <c r="G8106" s="37" t="str">
        <f t="shared" si="631"/>
        <v>Normal Discount</v>
      </c>
      <c r="H8106" s="37" t="str">
        <f t="shared" si="632"/>
        <v>Low</v>
      </c>
      <c r="I8106">
        <v>9</v>
      </c>
      <c r="J8106" t="str" cm="1">
        <f t="array" ref="J8106">_xlfn.IFS(I8106&lt;=3,"small",I8106&lt;=6,"Medium",I8106&lt;=9,"Large")</f>
        <v>Large</v>
      </c>
      <c r="K8106" s="36">
        <v>45471</v>
      </c>
      <c r="L8106" s="36">
        <v>45474</v>
      </c>
      <c r="M8106" t="s">
        <v>603</v>
      </c>
      <c r="N8106" t="s">
        <v>604</v>
      </c>
      <c r="O8106" s="37" t="str">
        <f t="shared" si="633"/>
        <v>Digital Payment</v>
      </c>
      <c r="P8106">
        <v>215.11</v>
      </c>
      <c r="Q8106" s="37" t="str">
        <f>IF(P8106&gt;500,"High","low")</f>
        <v>low</v>
      </c>
      <c r="R8106" s="37" t="str">
        <f t="shared" si="634"/>
        <v>AVERAGE</v>
      </c>
      <c r="S8106" t="s">
        <v>600</v>
      </c>
    </row>
    <row r="8107" spans="1:19" x14ac:dyDescent="0.2">
      <c r="A8107" t="s">
        <v>8718</v>
      </c>
      <c r="B8107" t="s">
        <v>90</v>
      </c>
      <c r="C8107" t="s">
        <v>614</v>
      </c>
      <c r="D8107">
        <v>1677.67</v>
      </c>
      <c r="E8107" s="37" t="str">
        <f t="shared" si="630"/>
        <v xml:space="preserve"> </v>
      </c>
      <c r="F8107">
        <v>0.28999999999999998</v>
      </c>
      <c r="G8107" s="37" t="str">
        <f t="shared" si="631"/>
        <v>Normal Discount</v>
      </c>
      <c r="H8107" s="37" t="str">
        <f t="shared" si="632"/>
        <v>Medium</v>
      </c>
      <c r="I8107">
        <v>2</v>
      </c>
      <c r="J8107" t="str" cm="1">
        <f t="array" ref="J8107">_xlfn.IFS(I8107&lt;=3,"small",I8107&lt;=6,"Medium",I8107&lt;=9,"Large")</f>
        <v>small</v>
      </c>
      <c r="K8107" s="36">
        <v>44976</v>
      </c>
      <c r="L8107" s="36">
        <v>44977</v>
      </c>
      <c r="M8107" t="s">
        <v>612</v>
      </c>
      <c r="N8107" t="s">
        <v>604</v>
      </c>
      <c r="O8107" s="37" t="str">
        <f t="shared" si="633"/>
        <v>Digital Payment</v>
      </c>
      <c r="P8107">
        <v>461.37</v>
      </c>
      <c r="Q8107" s="37" t="str">
        <f>IF(P8107&gt;500,"High","low")</f>
        <v>low</v>
      </c>
      <c r="R8107" s="37" t="str">
        <f t="shared" si="634"/>
        <v>AVERAGE</v>
      </c>
      <c r="S8107" t="s">
        <v>628</v>
      </c>
    </row>
    <row r="8108" spans="1:19" x14ac:dyDescent="0.2">
      <c r="A8108" t="s">
        <v>8719</v>
      </c>
      <c r="B8108" t="s">
        <v>90</v>
      </c>
      <c r="C8108" t="s">
        <v>602</v>
      </c>
      <c r="D8108">
        <v>1956.95</v>
      </c>
      <c r="E8108" s="37" t="str">
        <f t="shared" si="630"/>
        <v xml:space="preserve"> </v>
      </c>
      <c r="F8108">
        <v>0.27</v>
      </c>
      <c r="G8108" s="37" t="str">
        <f t="shared" si="631"/>
        <v>Normal Discount</v>
      </c>
      <c r="H8108" s="37" t="str">
        <f t="shared" si="632"/>
        <v>Medium</v>
      </c>
      <c r="I8108">
        <v>3</v>
      </c>
      <c r="J8108" t="str" cm="1">
        <f t="array" ref="J8108">_xlfn.IFS(I8108&lt;=3,"small",I8108&lt;=6,"Medium",I8108&lt;=9,"Large")</f>
        <v>small</v>
      </c>
      <c r="K8108" s="36">
        <v>45386</v>
      </c>
      <c r="L8108" s="36">
        <v>45388</v>
      </c>
      <c r="M8108" t="s">
        <v>598</v>
      </c>
      <c r="N8108" t="s">
        <v>608</v>
      </c>
      <c r="O8108" s="37" t="str">
        <f t="shared" si="633"/>
        <v>Cash Payment</v>
      </c>
      <c r="P8108">
        <v>279.13</v>
      </c>
      <c r="Q8108" s="37" t="str">
        <f>IF(P8108&gt;500,"High","low")</f>
        <v>low</v>
      </c>
      <c r="R8108" s="37" t="str">
        <f t="shared" si="634"/>
        <v>AVERAGE</v>
      </c>
      <c r="S8108" t="s">
        <v>605</v>
      </c>
    </row>
    <row r="8109" spans="1:19" x14ac:dyDescent="0.2">
      <c r="A8109" t="s">
        <v>8720</v>
      </c>
      <c r="B8109" t="s">
        <v>75</v>
      </c>
      <c r="C8109" t="s">
        <v>597</v>
      </c>
      <c r="D8109">
        <v>3102.07</v>
      </c>
      <c r="E8109" s="37" t="str">
        <f t="shared" si="630"/>
        <v xml:space="preserve"> </v>
      </c>
      <c r="F8109">
        <v>0.49</v>
      </c>
      <c r="G8109" s="37" t="str">
        <f t="shared" si="631"/>
        <v>Heavy Discount</v>
      </c>
      <c r="H8109" s="37" t="str">
        <f t="shared" si="632"/>
        <v>High</v>
      </c>
      <c r="I8109">
        <v>8</v>
      </c>
      <c r="J8109" t="str" cm="1">
        <f t="array" ref="J8109">_xlfn.IFS(I8109&lt;=3,"small",I8109&lt;=6,"Medium",I8109&lt;=9,"Large")</f>
        <v>Large</v>
      </c>
      <c r="K8109" s="36">
        <v>45014</v>
      </c>
      <c r="L8109" s="36">
        <v>45015</v>
      </c>
      <c r="M8109" t="s">
        <v>612</v>
      </c>
      <c r="N8109" t="s">
        <v>608</v>
      </c>
      <c r="O8109" s="37" t="str">
        <f t="shared" si="633"/>
        <v>Cash Payment</v>
      </c>
      <c r="P8109">
        <v>215.51</v>
      </c>
      <c r="Q8109" s="37" t="str">
        <f>IF(P8109&gt;500,"High","low")</f>
        <v>low</v>
      </c>
      <c r="R8109" s="37" t="str">
        <f t="shared" si="634"/>
        <v>AVERAGE</v>
      </c>
      <c r="S8109" t="s">
        <v>605</v>
      </c>
    </row>
    <row r="8110" spans="1:19" x14ac:dyDescent="0.2">
      <c r="A8110" t="s">
        <v>8721</v>
      </c>
      <c r="B8110" t="s">
        <v>67</v>
      </c>
      <c r="C8110" t="s">
        <v>607</v>
      </c>
      <c r="D8110">
        <v>2502.13</v>
      </c>
      <c r="E8110" s="37" t="str">
        <f t="shared" si="630"/>
        <v xml:space="preserve"> </v>
      </c>
      <c r="F8110">
        <v>0.21</v>
      </c>
      <c r="G8110" s="37" t="str">
        <f t="shared" si="631"/>
        <v>Normal Discount</v>
      </c>
      <c r="H8110" s="37" t="str">
        <f t="shared" si="632"/>
        <v>Medium</v>
      </c>
      <c r="I8110">
        <v>2</v>
      </c>
      <c r="J8110" t="str" cm="1">
        <f t="array" ref="J8110">_xlfn.IFS(I8110&lt;=3,"small",I8110&lt;=6,"Medium",I8110&lt;=9,"Large")</f>
        <v>small</v>
      </c>
      <c r="K8110" s="36">
        <v>44966</v>
      </c>
      <c r="L8110" s="36">
        <v>44973</v>
      </c>
      <c r="M8110" t="s">
        <v>612</v>
      </c>
      <c r="N8110" t="s">
        <v>599</v>
      </c>
      <c r="O8110" s="37" t="str">
        <f t="shared" si="633"/>
        <v>Digital Payment</v>
      </c>
      <c r="P8110">
        <v>587.80999999999995</v>
      </c>
      <c r="Q8110" s="37" t="str">
        <f>IF(P8110&gt;500,"High","low")</f>
        <v>High</v>
      </c>
      <c r="R8110" s="37" t="str">
        <f t="shared" si="634"/>
        <v>Good</v>
      </c>
      <c r="S8110" t="s">
        <v>620</v>
      </c>
    </row>
    <row r="8111" spans="1:19" x14ac:dyDescent="0.2">
      <c r="A8111" t="s">
        <v>8722</v>
      </c>
      <c r="B8111" t="s">
        <v>90</v>
      </c>
      <c r="C8111" t="s">
        <v>614</v>
      </c>
      <c r="D8111">
        <v>3302.81</v>
      </c>
      <c r="E8111" s="37" t="str">
        <f t="shared" si="630"/>
        <v xml:space="preserve"> </v>
      </c>
      <c r="F8111">
        <v>0.21</v>
      </c>
      <c r="G8111" s="37" t="str">
        <f t="shared" si="631"/>
        <v>Normal Discount</v>
      </c>
      <c r="H8111" s="37" t="str">
        <f t="shared" si="632"/>
        <v>Medium</v>
      </c>
      <c r="I8111">
        <v>5</v>
      </c>
      <c r="J8111" t="str" cm="1">
        <f t="array" ref="J8111">_xlfn.IFS(I8111&lt;=3,"small",I8111&lt;=6,"Medium",I8111&lt;=9,"Large")</f>
        <v>Medium</v>
      </c>
      <c r="K8111" s="36">
        <v>45470</v>
      </c>
      <c r="L8111" s="36">
        <v>45475</v>
      </c>
      <c r="M8111" t="s">
        <v>603</v>
      </c>
      <c r="N8111" t="s">
        <v>608</v>
      </c>
      <c r="O8111" s="37" t="str">
        <f t="shared" si="633"/>
        <v>Cash Payment</v>
      </c>
      <c r="P8111">
        <v>286.68</v>
      </c>
      <c r="Q8111" s="37" t="str">
        <f>IF(P8111&gt;500,"High","low")</f>
        <v>low</v>
      </c>
      <c r="R8111" s="37" t="str">
        <f t="shared" si="634"/>
        <v>AVERAGE</v>
      </c>
      <c r="S8111" t="s">
        <v>628</v>
      </c>
    </row>
    <row r="8112" spans="1:19" x14ac:dyDescent="0.2">
      <c r="A8112" t="s">
        <v>8723</v>
      </c>
      <c r="B8112" t="s">
        <v>83</v>
      </c>
      <c r="C8112" t="s">
        <v>607</v>
      </c>
      <c r="D8112">
        <v>292.64</v>
      </c>
      <c r="E8112" s="37" t="str">
        <f t="shared" si="630"/>
        <v xml:space="preserve"> </v>
      </c>
      <c r="F8112">
        <v>0.08</v>
      </c>
      <c r="G8112" s="37" t="str">
        <f t="shared" si="631"/>
        <v>Normal Discount</v>
      </c>
      <c r="H8112" s="37" t="str">
        <f t="shared" si="632"/>
        <v>Low</v>
      </c>
      <c r="I8112">
        <v>8</v>
      </c>
      <c r="J8112" t="str" cm="1">
        <f t="array" ref="J8112">_xlfn.IFS(I8112&lt;=3,"small",I8112&lt;=6,"Medium",I8112&lt;=9,"Large")</f>
        <v>Large</v>
      </c>
      <c r="K8112" s="36">
        <v>45415</v>
      </c>
      <c r="L8112" s="36">
        <v>45422</v>
      </c>
      <c r="M8112" t="s">
        <v>598</v>
      </c>
      <c r="N8112" t="s">
        <v>604</v>
      </c>
      <c r="O8112" s="37" t="str">
        <f t="shared" si="633"/>
        <v>Digital Payment</v>
      </c>
      <c r="P8112">
        <v>65.19</v>
      </c>
      <c r="Q8112" s="37" t="str">
        <f>IF(P8112&gt;500,"High","low")</f>
        <v>low</v>
      </c>
      <c r="R8112" s="37" t="str">
        <f t="shared" si="634"/>
        <v>AVERAGE</v>
      </c>
      <c r="S8112" t="s">
        <v>605</v>
      </c>
    </row>
    <row r="8113" spans="1:19" x14ac:dyDescent="0.2">
      <c r="A8113" t="s">
        <v>8724</v>
      </c>
      <c r="B8113" t="s">
        <v>90</v>
      </c>
      <c r="C8113" t="s">
        <v>597</v>
      </c>
      <c r="D8113">
        <v>618.82000000000005</v>
      </c>
      <c r="E8113" s="37" t="str">
        <f t="shared" si="630"/>
        <v xml:space="preserve"> </v>
      </c>
      <c r="F8113">
        <v>0.3</v>
      </c>
      <c r="G8113" s="37" t="str">
        <f t="shared" si="631"/>
        <v>Normal Discount</v>
      </c>
      <c r="H8113" s="37" t="str">
        <f t="shared" si="632"/>
        <v>Medium</v>
      </c>
      <c r="I8113">
        <v>7</v>
      </c>
      <c r="J8113" t="str" cm="1">
        <f t="array" ref="J8113">_xlfn.IFS(I8113&lt;=3,"small",I8113&lt;=6,"Medium",I8113&lt;=9,"Large")</f>
        <v>Large</v>
      </c>
      <c r="K8113" s="36">
        <v>45023</v>
      </c>
      <c r="L8113" s="36">
        <v>45030</v>
      </c>
      <c r="M8113" t="s">
        <v>603</v>
      </c>
      <c r="N8113" t="s">
        <v>599</v>
      </c>
      <c r="O8113" s="37" t="str">
        <f t="shared" si="633"/>
        <v>Digital Payment</v>
      </c>
      <c r="P8113">
        <v>138.08000000000001</v>
      </c>
      <c r="Q8113" s="37" t="str">
        <f>IF(P8113&gt;500,"High","low")</f>
        <v>low</v>
      </c>
      <c r="R8113" s="37" t="str">
        <f t="shared" si="634"/>
        <v>AVERAGE</v>
      </c>
      <c r="S8113" t="s">
        <v>628</v>
      </c>
    </row>
    <row r="8114" spans="1:19" x14ac:dyDescent="0.2">
      <c r="A8114" t="s">
        <v>8725</v>
      </c>
      <c r="B8114" t="s">
        <v>83</v>
      </c>
      <c r="C8114" t="s">
        <v>597</v>
      </c>
      <c r="D8114">
        <v>4885.04</v>
      </c>
      <c r="E8114" s="37" t="str">
        <f t="shared" si="630"/>
        <v>Excellent Order</v>
      </c>
      <c r="F8114">
        <v>0.42</v>
      </c>
      <c r="G8114" s="37" t="str">
        <f t="shared" si="631"/>
        <v>Heavy Discount</v>
      </c>
      <c r="H8114" s="37" t="str">
        <f t="shared" si="632"/>
        <v>High</v>
      </c>
      <c r="I8114">
        <v>4</v>
      </c>
      <c r="J8114" t="str" cm="1">
        <f t="array" ref="J8114">_xlfn.IFS(I8114&lt;=3,"small",I8114&lt;=6,"Medium",I8114&lt;=9,"Large")</f>
        <v>Medium</v>
      </c>
      <c r="K8114" s="36">
        <v>45550</v>
      </c>
      <c r="L8114" s="36">
        <v>45551</v>
      </c>
      <c r="M8114" t="s">
        <v>598</v>
      </c>
      <c r="N8114" t="s">
        <v>599</v>
      </c>
      <c r="O8114" s="37" t="str">
        <f t="shared" si="633"/>
        <v>Digital Payment</v>
      </c>
      <c r="P8114">
        <v>940.89</v>
      </c>
      <c r="Q8114" s="37" t="str">
        <f>IF(P8114&gt;500,"High","low")</f>
        <v>High</v>
      </c>
      <c r="R8114" s="37" t="str">
        <f t="shared" si="634"/>
        <v>Good</v>
      </c>
      <c r="S8114" t="s">
        <v>628</v>
      </c>
    </row>
    <row r="8115" spans="1:19" x14ac:dyDescent="0.2">
      <c r="A8115" t="s">
        <v>8726</v>
      </c>
      <c r="B8115" t="s">
        <v>67</v>
      </c>
      <c r="C8115" t="s">
        <v>597</v>
      </c>
      <c r="D8115">
        <v>4977.3900000000003</v>
      </c>
      <c r="E8115" s="37" t="str">
        <f t="shared" si="630"/>
        <v>Excellent Order</v>
      </c>
      <c r="F8115">
        <v>0.12</v>
      </c>
      <c r="G8115" s="37" t="str">
        <f t="shared" si="631"/>
        <v>Normal Discount</v>
      </c>
      <c r="H8115" s="37" t="str">
        <f t="shared" si="632"/>
        <v>Low</v>
      </c>
      <c r="I8115">
        <v>9</v>
      </c>
      <c r="J8115" t="str" cm="1">
        <f t="array" ref="J8115">_xlfn.IFS(I8115&lt;=3,"small",I8115&lt;=6,"Medium",I8115&lt;=9,"Large")</f>
        <v>Large</v>
      </c>
      <c r="K8115" s="36">
        <v>45450</v>
      </c>
      <c r="L8115" s="36">
        <v>45455</v>
      </c>
      <c r="M8115" t="s">
        <v>612</v>
      </c>
      <c r="N8115" t="s">
        <v>604</v>
      </c>
      <c r="O8115" s="37" t="str">
        <f t="shared" si="633"/>
        <v>Digital Payment</v>
      </c>
      <c r="P8115">
        <v>962.07</v>
      </c>
      <c r="Q8115" s="37" t="str">
        <f>IF(P8115&gt;500,"High","low")</f>
        <v>High</v>
      </c>
      <c r="R8115" s="37" t="str">
        <f t="shared" si="634"/>
        <v>Good</v>
      </c>
      <c r="S8115" t="s">
        <v>615</v>
      </c>
    </row>
    <row r="8116" spans="1:19" x14ac:dyDescent="0.2">
      <c r="A8116" t="s">
        <v>8727</v>
      </c>
      <c r="B8116" t="s">
        <v>90</v>
      </c>
      <c r="C8116" t="s">
        <v>597</v>
      </c>
      <c r="D8116">
        <v>3758.63</v>
      </c>
      <c r="E8116" s="37" t="str">
        <f t="shared" si="630"/>
        <v xml:space="preserve"> </v>
      </c>
      <c r="F8116">
        <v>0</v>
      </c>
      <c r="G8116" s="37" t="str">
        <f t="shared" si="631"/>
        <v>Normal Discount</v>
      </c>
      <c r="H8116" s="37" t="str">
        <f t="shared" si="632"/>
        <v>Low</v>
      </c>
      <c r="I8116">
        <v>2</v>
      </c>
      <c r="J8116" t="str" cm="1">
        <f t="array" ref="J8116">_xlfn.IFS(I8116&lt;=3,"small",I8116&lt;=6,"Medium",I8116&lt;=9,"Large")</f>
        <v>small</v>
      </c>
      <c r="K8116" s="36">
        <v>45197</v>
      </c>
      <c r="L8116" s="36">
        <v>45200</v>
      </c>
      <c r="M8116" t="s">
        <v>612</v>
      </c>
      <c r="N8116" t="s">
        <v>608</v>
      </c>
      <c r="O8116" s="37" t="str">
        <f t="shared" si="633"/>
        <v>Cash Payment</v>
      </c>
      <c r="P8116">
        <v>517.04</v>
      </c>
      <c r="Q8116" s="37" t="str">
        <f>IF(P8116&gt;500,"High","low")</f>
        <v>High</v>
      </c>
      <c r="R8116" s="37" t="str">
        <f t="shared" si="634"/>
        <v>Good</v>
      </c>
      <c r="S8116" t="s">
        <v>605</v>
      </c>
    </row>
    <row r="8117" spans="1:19" x14ac:dyDescent="0.2">
      <c r="A8117" t="s">
        <v>8728</v>
      </c>
      <c r="B8117" t="s">
        <v>75</v>
      </c>
      <c r="C8117" t="s">
        <v>607</v>
      </c>
      <c r="D8117">
        <v>1356.35</v>
      </c>
      <c r="E8117" s="37" t="str">
        <f t="shared" si="630"/>
        <v xml:space="preserve"> </v>
      </c>
      <c r="F8117">
        <v>0.35</v>
      </c>
      <c r="G8117" s="37" t="str">
        <f t="shared" si="631"/>
        <v>Heavy Discount</v>
      </c>
      <c r="H8117" s="37" t="str">
        <f t="shared" si="632"/>
        <v>Medium</v>
      </c>
      <c r="I8117">
        <v>7</v>
      </c>
      <c r="J8117" t="str" cm="1">
        <f t="array" ref="J8117">_xlfn.IFS(I8117&lt;=3,"small",I8117&lt;=6,"Medium",I8117&lt;=9,"Large")</f>
        <v>Large</v>
      </c>
      <c r="K8117" s="36">
        <v>45113</v>
      </c>
      <c r="L8117" s="36">
        <v>45115</v>
      </c>
      <c r="M8117" t="s">
        <v>603</v>
      </c>
      <c r="N8117" t="s">
        <v>599</v>
      </c>
      <c r="O8117" s="37" t="str">
        <f t="shared" si="633"/>
        <v>Digital Payment</v>
      </c>
      <c r="P8117">
        <v>207.15</v>
      </c>
      <c r="Q8117" s="37" t="str">
        <f>IF(P8117&gt;500,"High","low")</f>
        <v>low</v>
      </c>
      <c r="R8117" s="37" t="str">
        <f t="shared" si="634"/>
        <v>AVERAGE</v>
      </c>
      <c r="S8117" t="s">
        <v>600</v>
      </c>
    </row>
    <row r="8118" spans="1:19" x14ac:dyDescent="0.2">
      <c r="A8118" t="s">
        <v>8729</v>
      </c>
      <c r="B8118" t="s">
        <v>75</v>
      </c>
      <c r="C8118" t="s">
        <v>614</v>
      </c>
      <c r="D8118">
        <v>4771.57</v>
      </c>
      <c r="E8118" s="37" t="str">
        <f t="shared" si="630"/>
        <v xml:space="preserve"> </v>
      </c>
      <c r="F8118">
        <v>0.02</v>
      </c>
      <c r="G8118" s="37" t="str">
        <f t="shared" si="631"/>
        <v>Normal Discount</v>
      </c>
      <c r="H8118" s="37" t="str">
        <f t="shared" si="632"/>
        <v>Low</v>
      </c>
      <c r="I8118">
        <v>7</v>
      </c>
      <c r="J8118" t="str" cm="1">
        <f t="array" ref="J8118">_xlfn.IFS(I8118&lt;=3,"small",I8118&lt;=6,"Medium",I8118&lt;=9,"Large")</f>
        <v>Large</v>
      </c>
      <c r="K8118" s="36">
        <v>45626</v>
      </c>
      <c r="L8118" s="36">
        <v>45630</v>
      </c>
      <c r="M8118" t="s">
        <v>598</v>
      </c>
      <c r="N8118" t="s">
        <v>599</v>
      </c>
      <c r="O8118" s="37" t="str">
        <f t="shared" si="633"/>
        <v>Digital Payment</v>
      </c>
      <c r="P8118">
        <v>382.93</v>
      </c>
      <c r="Q8118" s="37" t="str">
        <f>IF(P8118&gt;500,"High","low")</f>
        <v>low</v>
      </c>
      <c r="R8118" s="37" t="str">
        <f t="shared" si="634"/>
        <v>AVERAGE</v>
      </c>
      <c r="S8118" t="s">
        <v>628</v>
      </c>
    </row>
    <row r="8119" spans="1:19" x14ac:dyDescent="0.2">
      <c r="A8119" t="s">
        <v>8730</v>
      </c>
      <c r="B8119" t="s">
        <v>90</v>
      </c>
      <c r="C8119" t="s">
        <v>597</v>
      </c>
      <c r="D8119">
        <v>1147.1400000000001</v>
      </c>
      <c r="E8119" s="37" t="str">
        <f t="shared" si="630"/>
        <v xml:space="preserve"> </v>
      </c>
      <c r="F8119">
        <v>0.2</v>
      </c>
      <c r="G8119" s="37" t="str">
        <f t="shared" si="631"/>
        <v>Normal Discount</v>
      </c>
      <c r="H8119" s="37" t="str">
        <f t="shared" si="632"/>
        <v>Medium</v>
      </c>
      <c r="I8119">
        <v>7</v>
      </c>
      <c r="J8119" t="str" cm="1">
        <f t="array" ref="J8119">_xlfn.IFS(I8119&lt;=3,"small",I8119&lt;=6,"Medium",I8119&lt;=9,"Large")</f>
        <v>Large</v>
      </c>
      <c r="K8119" s="36">
        <v>45510</v>
      </c>
      <c r="L8119" s="36">
        <v>45512</v>
      </c>
      <c r="M8119" t="s">
        <v>598</v>
      </c>
      <c r="N8119" t="s">
        <v>599</v>
      </c>
      <c r="O8119" s="37" t="str">
        <f t="shared" si="633"/>
        <v>Digital Payment</v>
      </c>
      <c r="P8119">
        <v>216.41</v>
      </c>
      <c r="Q8119" s="37" t="str">
        <f>IF(P8119&gt;500,"High","low")</f>
        <v>low</v>
      </c>
      <c r="R8119" s="37" t="str">
        <f t="shared" si="634"/>
        <v>AVERAGE</v>
      </c>
      <c r="S8119" t="s">
        <v>615</v>
      </c>
    </row>
    <row r="8120" spans="1:19" x14ac:dyDescent="0.2">
      <c r="A8120" t="s">
        <v>8731</v>
      </c>
      <c r="B8120" t="s">
        <v>67</v>
      </c>
      <c r="C8120" t="s">
        <v>617</v>
      </c>
      <c r="D8120">
        <v>3684.01</v>
      </c>
      <c r="E8120" s="37" t="str">
        <f t="shared" si="630"/>
        <v xml:space="preserve"> </v>
      </c>
      <c r="F8120">
        <v>0.31</v>
      </c>
      <c r="G8120" s="37" t="str">
        <f t="shared" si="631"/>
        <v>Heavy Discount</v>
      </c>
      <c r="H8120" s="37" t="str">
        <f t="shared" si="632"/>
        <v>Medium</v>
      </c>
      <c r="I8120">
        <v>7</v>
      </c>
      <c r="J8120" t="str" cm="1">
        <f t="array" ref="J8120">_xlfn.IFS(I8120&lt;=3,"small",I8120&lt;=6,"Medium",I8120&lt;=9,"Large")</f>
        <v>Large</v>
      </c>
      <c r="K8120" s="36">
        <v>44953</v>
      </c>
      <c r="L8120" s="36">
        <v>44958</v>
      </c>
      <c r="M8120" t="s">
        <v>598</v>
      </c>
      <c r="N8120" t="s">
        <v>608</v>
      </c>
      <c r="O8120" s="37" t="str">
        <f t="shared" si="633"/>
        <v>Cash Payment</v>
      </c>
      <c r="P8120">
        <v>936.2</v>
      </c>
      <c r="Q8120" s="37" t="str">
        <f>IF(P8120&gt;500,"High","low")</f>
        <v>High</v>
      </c>
      <c r="R8120" s="37" t="str">
        <f t="shared" si="634"/>
        <v>Good</v>
      </c>
      <c r="S8120" t="s">
        <v>615</v>
      </c>
    </row>
    <row r="8121" spans="1:19" x14ac:dyDescent="0.2">
      <c r="A8121" t="s">
        <v>8732</v>
      </c>
      <c r="B8121" t="s">
        <v>67</v>
      </c>
      <c r="C8121" t="s">
        <v>614</v>
      </c>
      <c r="D8121">
        <v>664.77</v>
      </c>
      <c r="E8121" s="37" t="str">
        <f t="shared" si="630"/>
        <v xml:space="preserve"> </v>
      </c>
      <c r="F8121">
        <v>0.19</v>
      </c>
      <c r="G8121" s="37" t="str">
        <f t="shared" si="631"/>
        <v>Normal Discount</v>
      </c>
      <c r="H8121" s="37" t="str">
        <f t="shared" si="632"/>
        <v>Low</v>
      </c>
      <c r="I8121">
        <v>5</v>
      </c>
      <c r="J8121" t="str" cm="1">
        <f t="array" ref="J8121">_xlfn.IFS(I8121&lt;=3,"small",I8121&lt;=6,"Medium",I8121&lt;=9,"Large")</f>
        <v>Medium</v>
      </c>
      <c r="K8121" s="36">
        <v>45027</v>
      </c>
      <c r="L8121" s="36">
        <v>45029</v>
      </c>
      <c r="M8121" t="s">
        <v>612</v>
      </c>
      <c r="N8121" t="s">
        <v>599</v>
      </c>
      <c r="O8121" s="37" t="str">
        <f t="shared" si="633"/>
        <v>Digital Payment</v>
      </c>
      <c r="P8121">
        <v>38.26</v>
      </c>
      <c r="Q8121" s="37" t="str">
        <f>IF(P8121&gt;500,"High","low")</f>
        <v>low</v>
      </c>
      <c r="R8121" s="37" t="str">
        <f t="shared" si="634"/>
        <v>AVERAGE</v>
      </c>
      <c r="S8121" t="s">
        <v>600</v>
      </c>
    </row>
    <row r="8122" spans="1:19" x14ac:dyDescent="0.2">
      <c r="A8122" t="s">
        <v>8733</v>
      </c>
      <c r="B8122" t="s">
        <v>75</v>
      </c>
      <c r="C8122" t="s">
        <v>617</v>
      </c>
      <c r="D8122">
        <v>3279.63</v>
      </c>
      <c r="E8122" s="37" t="str">
        <f t="shared" si="630"/>
        <v xml:space="preserve"> </v>
      </c>
      <c r="F8122">
        <v>0.13</v>
      </c>
      <c r="G8122" s="37" t="str">
        <f t="shared" si="631"/>
        <v>Normal Discount</v>
      </c>
      <c r="H8122" s="37" t="str">
        <f t="shared" si="632"/>
        <v>Low</v>
      </c>
      <c r="I8122">
        <v>1</v>
      </c>
      <c r="J8122" t="str" cm="1">
        <f t="array" ref="J8122">_xlfn.IFS(I8122&lt;=3,"small",I8122&lt;=6,"Medium",I8122&lt;=9,"Large")</f>
        <v>small</v>
      </c>
      <c r="K8122" s="36">
        <v>45368</v>
      </c>
      <c r="L8122" s="36">
        <v>45374</v>
      </c>
      <c r="M8122" t="s">
        <v>603</v>
      </c>
      <c r="N8122" t="s">
        <v>604</v>
      </c>
      <c r="O8122" s="37" t="str">
        <f t="shared" si="633"/>
        <v>Digital Payment</v>
      </c>
      <c r="P8122">
        <v>745.18</v>
      </c>
      <c r="Q8122" s="37" t="str">
        <f>IF(P8122&gt;500,"High","low")</f>
        <v>High</v>
      </c>
      <c r="R8122" s="37" t="str">
        <f t="shared" si="634"/>
        <v>Good</v>
      </c>
      <c r="S8122" t="s">
        <v>615</v>
      </c>
    </row>
    <row r="8123" spans="1:19" x14ac:dyDescent="0.2">
      <c r="A8123" t="s">
        <v>8734</v>
      </c>
      <c r="B8123" t="s">
        <v>90</v>
      </c>
      <c r="C8123" t="s">
        <v>607</v>
      </c>
      <c r="D8123">
        <v>3821.62</v>
      </c>
      <c r="E8123" s="37" t="str">
        <f t="shared" si="630"/>
        <v xml:space="preserve"> </v>
      </c>
      <c r="F8123">
        <v>0.4</v>
      </c>
      <c r="G8123" s="37" t="str">
        <f t="shared" si="631"/>
        <v>Heavy Discount</v>
      </c>
      <c r="H8123" s="37" t="str">
        <f t="shared" si="632"/>
        <v>Medium</v>
      </c>
      <c r="I8123">
        <v>4</v>
      </c>
      <c r="J8123" t="str" cm="1">
        <f t="array" ref="J8123">_xlfn.IFS(I8123&lt;=3,"small",I8123&lt;=6,"Medium",I8123&lt;=9,"Large")</f>
        <v>Medium</v>
      </c>
      <c r="K8123" s="36">
        <v>45619</v>
      </c>
      <c r="L8123" s="36">
        <v>45622</v>
      </c>
      <c r="M8123" t="s">
        <v>603</v>
      </c>
      <c r="N8123" t="s">
        <v>608</v>
      </c>
      <c r="O8123" s="37" t="str">
        <f t="shared" si="633"/>
        <v>Cash Payment</v>
      </c>
      <c r="P8123">
        <v>319.35000000000002</v>
      </c>
      <c r="Q8123" s="37" t="str">
        <f>IF(P8123&gt;500,"High","low")</f>
        <v>low</v>
      </c>
      <c r="R8123" s="37" t="str">
        <f t="shared" si="634"/>
        <v>AVERAGE</v>
      </c>
      <c r="S8123" t="s">
        <v>605</v>
      </c>
    </row>
    <row r="8124" spans="1:19" x14ac:dyDescent="0.2">
      <c r="A8124" t="s">
        <v>8735</v>
      </c>
      <c r="B8124" t="s">
        <v>67</v>
      </c>
      <c r="C8124" t="s">
        <v>597</v>
      </c>
      <c r="D8124">
        <v>4312.24</v>
      </c>
      <c r="E8124" s="37" t="str">
        <f t="shared" si="630"/>
        <v>Excellent Order</v>
      </c>
      <c r="F8124">
        <v>0.15</v>
      </c>
      <c r="G8124" s="37" t="str">
        <f t="shared" si="631"/>
        <v>Normal Discount</v>
      </c>
      <c r="H8124" s="37" t="str">
        <f t="shared" si="632"/>
        <v>Low</v>
      </c>
      <c r="I8124">
        <v>5</v>
      </c>
      <c r="J8124" t="str" cm="1">
        <f t="array" ref="J8124">_xlfn.IFS(I8124&lt;=3,"small",I8124&lt;=6,"Medium",I8124&lt;=9,"Large")</f>
        <v>Medium</v>
      </c>
      <c r="K8124" s="36">
        <v>45477</v>
      </c>
      <c r="L8124" s="36">
        <v>45478</v>
      </c>
      <c r="M8124" t="s">
        <v>612</v>
      </c>
      <c r="N8124" t="s">
        <v>604</v>
      </c>
      <c r="O8124" s="37" t="str">
        <f t="shared" si="633"/>
        <v>Digital Payment</v>
      </c>
      <c r="P8124">
        <v>1076.67</v>
      </c>
      <c r="Q8124" s="37" t="str">
        <f>IF(P8124&gt;500,"High","low")</f>
        <v>High</v>
      </c>
      <c r="R8124" s="37" t="str">
        <f t="shared" si="634"/>
        <v>Excellent</v>
      </c>
      <c r="S8124" t="s">
        <v>600</v>
      </c>
    </row>
    <row r="8125" spans="1:19" x14ac:dyDescent="0.2">
      <c r="A8125" t="s">
        <v>8736</v>
      </c>
      <c r="B8125" t="s">
        <v>75</v>
      </c>
      <c r="C8125" t="s">
        <v>614</v>
      </c>
      <c r="D8125">
        <v>3698.1</v>
      </c>
      <c r="E8125" s="37" t="str">
        <f t="shared" si="630"/>
        <v xml:space="preserve"> </v>
      </c>
      <c r="F8125">
        <v>0.09</v>
      </c>
      <c r="G8125" s="37" t="str">
        <f t="shared" si="631"/>
        <v>Normal Discount</v>
      </c>
      <c r="H8125" s="37" t="str">
        <f t="shared" si="632"/>
        <v>Low</v>
      </c>
      <c r="I8125">
        <v>4</v>
      </c>
      <c r="J8125" t="str" cm="1">
        <f t="array" ref="J8125">_xlfn.IFS(I8125&lt;=3,"small",I8125&lt;=6,"Medium",I8125&lt;=9,"Large")</f>
        <v>Medium</v>
      </c>
      <c r="K8125" s="36">
        <v>45325</v>
      </c>
      <c r="L8125" s="36">
        <v>45330</v>
      </c>
      <c r="M8125" t="s">
        <v>603</v>
      </c>
      <c r="N8125" t="s">
        <v>599</v>
      </c>
      <c r="O8125" s="37" t="str">
        <f t="shared" si="633"/>
        <v>Digital Payment</v>
      </c>
      <c r="P8125">
        <v>185.81</v>
      </c>
      <c r="Q8125" s="37" t="str">
        <f>IF(P8125&gt;500,"High","low")</f>
        <v>low</v>
      </c>
      <c r="R8125" s="37" t="str">
        <f t="shared" si="634"/>
        <v>AVERAGE</v>
      </c>
      <c r="S8125" t="s">
        <v>605</v>
      </c>
    </row>
    <row r="8126" spans="1:19" x14ac:dyDescent="0.2">
      <c r="A8126" t="s">
        <v>8737</v>
      </c>
      <c r="B8126" t="s">
        <v>83</v>
      </c>
      <c r="C8126" t="s">
        <v>597</v>
      </c>
      <c r="D8126">
        <v>4625.08</v>
      </c>
      <c r="E8126" s="37" t="str">
        <f t="shared" si="630"/>
        <v xml:space="preserve"> </v>
      </c>
      <c r="F8126">
        <v>0.19</v>
      </c>
      <c r="G8126" s="37" t="str">
        <f t="shared" si="631"/>
        <v>Normal Discount</v>
      </c>
      <c r="H8126" s="37" t="str">
        <f t="shared" si="632"/>
        <v>Low</v>
      </c>
      <c r="I8126">
        <v>7</v>
      </c>
      <c r="J8126" t="str" cm="1">
        <f t="array" ref="J8126">_xlfn.IFS(I8126&lt;=3,"small",I8126&lt;=6,"Medium",I8126&lt;=9,"Large")</f>
        <v>Large</v>
      </c>
      <c r="K8126" s="36">
        <v>45201</v>
      </c>
      <c r="L8126" s="36">
        <v>45206</v>
      </c>
      <c r="M8126" t="s">
        <v>612</v>
      </c>
      <c r="N8126" t="s">
        <v>608</v>
      </c>
      <c r="O8126" s="37" t="str">
        <f t="shared" si="633"/>
        <v>Cash Payment</v>
      </c>
      <c r="P8126">
        <v>320.05</v>
      </c>
      <c r="Q8126" s="37" t="str">
        <f>IF(P8126&gt;500,"High","low")</f>
        <v>low</v>
      </c>
      <c r="R8126" s="37" t="str">
        <f t="shared" si="634"/>
        <v>AVERAGE</v>
      </c>
      <c r="S8126" t="s">
        <v>615</v>
      </c>
    </row>
    <row r="8127" spans="1:19" x14ac:dyDescent="0.2">
      <c r="A8127" t="s">
        <v>8738</v>
      </c>
      <c r="B8127" t="s">
        <v>90</v>
      </c>
      <c r="C8127" t="s">
        <v>597</v>
      </c>
      <c r="D8127">
        <v>2652.52</v>
      </c>
      <c r="E8127" s="37" t="str">
        <f t="shared" si="630"/>
        <v xml:space="preserve"> </v>
      </c>
      <c r="F8127">
        <v>7.0000000000000007E-2</v>
      </c>
      <c r="G8127" s="37" t="str">
        <f t="shared" si="631"/>
        <v>Normal Discount</v>
      </c>
      <c r="H8127" s="37" t="str">
        <f t="shared" si="632"/>
        <v>Low</v>
      </c>
      <c r="I8127">
        <v>2</v>
      </c>
      <c r="J8127" t="str" cm="1">
        <f t="array" ref="J8127">_xlfn.IFS(I8127&lt;=3,"small",I8127&lt;=6,"Medium",I8127&lt;=9,"Large")</f>
        <v>small</v>
      </c>
      <c r="K8127" s="36">
        <v>45555</v>
      </c>
      <c r="L8127" s="36">
        <v>45560</v>
      </c>
      <c r="M8127" t="s">
        <v>598</v>
      </c>
      <c r="N8127" t="s">
        <v>599</v>
      </c>
      <c r="O8127" s="37" t="str">
        <f t="shared" si="633"/>
        <v>Digital Payment</v>
      </c>
      <c r="P8127">
        <v>677.69</v>
      </c>
      <c r="Q8127" s="37" t="str">
        <f>IF(P8127&gt;500,"High","low")</f>
        <v>High</v>
      </c>
      <c r="R8127" s="37" t="str">
        <f t="shared" si="634"/>
        <v>Good</v>
      </c>
      <c r="S8127" t="s">
        <v>605</v>
      </c>
    </row>
    <row r="8128" spans="1:19" x14ac:dyDescent="0.2">
      <c r="A8128" t="s">
        <v>8739</v>
      </c>
      <c r="B8128" t="s">
        <v>83</v>
      </c>
      <c r="C8128" t="s">
        <v>614</v>
      </c>
      <c r="D8128">
        <v>3419.4</v>
      </c>
      <c r="E8128" s="37" t="str">
        <f t="shared" si="630"/>
        <v xml:space="preserve"> </v>
      </c>
      <c r="F8128">
        <v>0.35</v>
      </c>
      <c r="G8128" s="37" t="str">
        <f t="shared" si="631"/>
        <v>Heavy Discount</v>
      </c>
      <c r="H8128" s="37" t="str">
        <f t="shared" si="632"/>
        <v>Medium</v>
      </c>
      <c r="I8128">
        <v>2</v>
      </c>
      <c r="J8128" t="str" cm="1">
        <f t="array" ref="J8128">_xlfn.IFS(I8128&lt;=3,"small",I8128&lt;=6,"Medium",I8128&lt;=9,"Large")</f>
        <v>small</v>
      </c>
      <c r="K8128" s="36">
        <v>44940</v>
      </c>
      <c r="L8128" s="36">
        <v>44943</v>
      </c>
      <c r="M8128" t="s">
        <v>598</v>
      </c>
      <c r="N8128" t="s">
        <v>604</v>
      </c>
      <c r="O8128" s="37" t="str">
        <f t="shared" si="633"/>
        <v>Digital Payment</v>
      </c>
      <c r="P8128">
        <v>401.29</v>
      </c>
      <c r="Q8128" s="37" t="str">
        <f>IF(P8128&gt;500,"High","low")</f>
        <v>low</v>
      </c>
      <c r="R8128" s="37" t="str">
        <f t="shared" si="634"/>
        <v>AVERAGE</v>
      </c>
      <c r="S8128" t="s">
        <v>600</v>
      </c>
    </row>
    <row r="8129" spans="1:19" x14ac:dyDescent="0.2">
      <c r="A8129" t="s">
        <v>8740</v>
      </c>
      <c r="B8129" t="s">
        <v>83</v>
      </c>
      <c r="C8129" t="s">
        <v>597</v>
      </c>
      <c r="D8129">
        <v>1910.8</v>
      </c>
      <c r="E8129" s="37" t="str">
        <f t="shared" si="630"/>
        <v xml:space="preserve"> </v>
      </c>
      <c r="F8129">
        <v>0.36</v>
      </c>
      <c r="G8129" s="37" t="str">
        <f t="shared" si="631"/>
        <v>Heavy Discount</v>
      </c>
      <c r="H8129" s="37" t="str">
        <f t="shared" si="632"/>
        <v>Medium</v>
      </c>
      <c r="I8129">
        <v>2</v>
      </c>
      <c r="J8129" t="str" cm="1">
        <f t="array" ref="J8129">_xlfn.IFS(I8129&lt;=3,"small",I8129&lt;=6,"Medium",I8129&lt;=9,"Large")</f>
        <v>small</v>
      </c>
      <c r="K8129" s="36">
        <v>45253</v>
      </c>
      <c r="L8129" s="36">
        <v>45260</v>
      </c>
      <c r="M8129" t="s">
        <v>612</v>
      </c>
      <c r="N8129" t="s">
        <v>599</v>
      </c>
      <c r="O8129" s="37" t="str">
        <f t="shared" si="633"/>
        <v>Digital Payment</v>
      </c>
      <c r="P8129">
        <v>522.48</v>
      </c>
      <c r="Q8129" s="37" t="str">
        <f>IF(P8129&gt;500,"High","low")</f>
        <v>High</v>
      </c>
      <c r="R8129" s="37" t="str">
        <f t="shared" si="634"/>
        <v>Good</v>
      </c>
      <c r="S8129" t="s">
        <v>609</v>
      </c>
    </row>
    <row r="8130" spans="1:19" x14ac:dyDescent="0.2">
      <c r="A8130" t="s">
        <v>8741</v>
      </c>
      <c r="B8130" t="s">
        <v>67</v>
      </c>
      <c r="C8130" t="s">
        <v>597</v>
      </c>
      <c r="D8130">
        <v>150.91</v>
      </c>
      <c r="E8130" s="37" t="str">
        <f t="shared" si="630"/>
        <v xml:space="preserve"> </v>
      </c>
      <c r="F8130">
        <v>0.01</v>
      </c>
      <c r="G8130" s="37" t="str">
        <f t="shared" si="631"/>
        <v>Normal Discount</v>
      </c>
      <c r="H8130" s="37" t="str">
        <f t="shared" si="632"/>
        <v>Low</v>
      </c>
      <c r="I8130">
        <v>3</v>
      </c>
      <c r="J8130" t="str" cm="1">
        <f t="array" ref="J8130">_xlfn.IFS(I8130&lt;=3,"small",I8130&lt;=6,"Medium",I8130&lt;=9,"Large")</f>
        <v>small</v>
      </c>
      <c r="K8130" s="36">
        <v>45654</v>
      </c>
      <c r="L8130" s="36">
        <v>45656</v>
      </c>
      <c r="M8130" t="s">
        <v>598</v>
      </c>
      <c r="N8130" t="s">
        <v>608</v>
      </c>
      <c r="O8130" s="37" t="str">
        <f t="shared" si="633"/>
        <v>Cash Payment</v>
      </c>
      <c r="P8130">
        <v>37.020000000000003</v>
      </c>
      <c r="Q8130" s="37" t="str">
        <f>IF(P8130&gt;500,"High","low")</f>
        <v>low</v>
      </c>
      <c r="R8130" s="37" t="str">
        <f t="shared" si="634"/>
        <v>AVERAGE</v>
      </c>
      <c r="S8130" t="s">
        <v>628</v>
      </c>
    </row>
    <row r="8131" spans="1:19" x14ac:dyDescent="0.2">
      <c r="A8131" t="s">
        <v>8742</v>
      </c>
      <c r="B8131" t="s">
        <v>67</v>
      </c>
      <c r="C8131" t="s">
        <v>602</v>
      </c>
      <c r="D8131">
        <v>3807.8</v>
      </c>
      <c r="E8131" s="37" t="str">
        <f t="shared" ref="E8131:E8194" si="635">IF(AND(D8131&gt;4000,P8131&gt;800),"Excellent Order"," ")</f>
        <v xml:space="preserve"> </v>
      </c>
      <c r="F8131">
        <v>0.35</v>
      </c>
      <c r="G8131" s="37" t="str">
        <f t="shared" ref="G8131:G8194" si="636">IF(F8131&gt;30%,"Heavy Discount","Normal Discount")</f>
        <v>Heavy Discount</v>
      </c>
      <c r="H8131" s="37" t="str">
        <f t="shared" ref="H8131:H8194" si="637">IF(F8131&gt;0.4,"High",IF(F8131&gt;=0.2,"Medium","Low"))</f>
        <v>Medium</v>
      </c>
      <c r="I8131">
        <v>5</v>
      </c>
      <c r="J8131" t="str" cm="1">
        <f t="array" ref="J8131">_xlfn.IFS(I8131&lt;=3,"small",I8131&lt;=6,"Medium",I8131&lt;=9,"Large")</f>
        <v>Medium</v>
      </c>
      <c r="K8131" s="36">
        <v>45563</v>
      </c>
      <c r="L8131" s="36">
        <v>45568</v>
      </c>
      <c r="M8131" t="s">
        <v>612</v>
      </c>
      <c r="N8131" t="s">
        <v>599</v>
      </c>
      <c r="O8131" s="37" t="str">
        <f t="shared" ref="O8131:O8194" si="638">IF(OR(N8131="Card",N8131="UPI"),"Digital Payment","Cash Payment")</f>
        <v>Digital Payment</v>
      </c>
      <c r="P8131">
        <v>800.88</v>
      </c>
      <c r="Q8131" s="37" t="str">
        <f>IF(P8131&gt;500,"High","low")</f>
        <v>High</v>
      </c>
      <c r="R8131" s="37" t="str">
        <f t="shared" ref="R8131:R8194" si="639">IF(P8131&gt;1000,"Excellent",IF(P8131&gt;=500,"Good","AVERAGE"))</f>
        <v>Good</v>
      </c>
      <c r="S8131" t="s">
        <v>600</v>
      </c>
    </row>
    <row r="8132" spans="1:19" x14ac:dyDescent="0.2">
      <c r="A8132" t="s">
        <v>8743</v>
      </c>
      <c r="B8132" t="s">
        <v>67</v>
      </c>
      <c r="C8132" t="s">
        <v>602</v>
      </c>
      <c r="D8132">
        <v>4362.32</v>
      </c>
      <c r="E8132" s="37" t="str">
        <f t="shared" si="635"/>
        <v xml:space="preserve"> </v>
      </c>
      <c r="F8132">
        <v>0.15</v>
      </c>
      <c r="G8132" s="37" t="str">
        <f t="shared" si="636"/>
        <v>Normal Discount</v>
      </c>
      <c r="H8132" s="37" t="str">
        <f t="shared" si="637"/>
        <v>Low</v>
      </c>
      <c r="I8132">
        <v>9</v>
      </c>
      <c r="J8132" t="str" cm="1">
        <f t="array" ref="J8132">_xlfn.IFS(I8132&lt;=3,"small",I8132&lt;=6,"Medium",I8132&lt;=9,"Large")</f>
        <v>Large</v>
      </c>
      <c r="K8132" s="36">
        <v>45351</v>
      </c>
      <c r="L8132" s="36">
        <v>45358</v>
      </c>
      <c r="M8132" t="s">
        <v>598</v>
      </c>
      <c r="N8132" t="s">
        <v>604</v>
      </c>
      <c r="O8132" s="37" t="str">
        <f t="shared" si="638"/>
        <v>Digital Payment</v>
      </c>
      <c r="P8132">
        <v>545.04</v>
      </c>
      <c r="Q8132" s="37" t="str">
        <f>IF(P8132&gt;500,"High","low")</f>
        <v>High</v>
      </c>
      <c r="R8132" s="37" t="str">
        <f t="shared" si="639"/>
        <v>Good</v>
      </c>
      <c r="S8132" t="s">
        <v>600</v>
      </c>
    </row>
    <row r="8133" spans="1:19" x14ac:dyDescent="0.2">
      <c r="A8133" t="s">
        <v>8744</v>
      </c>
      <c r="B8133" t="s">
        <v>90</v>
      </c>
      <c r="C8133" t="s">
        <v>614</v>
      </c>
      <c r="D8133">
        <v>952.23</v>
      </c>
      <c r="E8133" s="37" t="str">
        <f t="shared" si="635"/>
        <v xml:space="preserve"> </v>
      </c>
      <c r="F8133">
        <v>0.33</v>
      </c>
      <c r="G8133" s="37" t="str">
        <f t="shared" si="636"/>
        <v>Heavy Discount</v>
      </c>
      <c r="H8133" s="37" t="str">
        <f t="shared" si="637"/>
        <v>Medium</v>
      </c>
      <c r="I8133">
        <v>3</v>
      </c>
      <c r="J8133" t="str" cm="1">
        <f t="array" ref="J8133">_xlfn.IFS(I8133&lt;=3,"small",I8133&lt;=6,"Medium",I8133&lt;=9,"Large")</f>
        <v>small</v>
      </c>
      <c r="K8133" s="36">
        <v>45527</v>
      </c>
      <c r="L8133" s="36">
        <v>45534</v>
      </c>
      <c r="M8133" t="s">
        <v>603</v>
      </c>
      <c r="N8133" t="s">
        <v>608</v>
      </c>
      <c r="O8133" s="37" t="str">
        <f t="shared" si="638"/>
        <v>Cash Payment</v>
      </c>
      <c r="P8133">
        <v>247.47</v>
      </c>
      <c r="Q8133" s="37" t="str">
        <f>IF(P8133&gt;500,"High","low")</f>
        <v>low</v>
      </c>
      <c r="R8133" s="37" t="str">
        <f t="shared" si="639"/>
        <v>AVERAGE</v>
      </c>
      <c r="S8133" t="s">
        <v>609</v>
      </c>
    </row>
    <row r="8134" spans="1:19" x14ac:dyDescent="0.2">
      <c r="A8134" t="s">
        <v>8745</v>
      </c>
      <c r="B8134" t="s">
        <v>83</v>
      </c>
      <c r="C8134" t="s">
        <v>614</v>
      </c>
      <c r="D8134">
        <v>240.34</v>
      </c>
      <c r="E8134" s="37" t="str">
        <f t="shared" si="635"/>
        <v xml:space="preserve"> </v>
      </c>
      <c r="F8134">
        <v>0.35</v>
      </c>
      <c r="G8134" s="37" t="str">
        <f t="shared" si="636"/>
        <v>Heavy Discount</v>
      </c>
      <c r="H8134" s="37" t="str">
        <f t="shared" si="637"/>
        <v>Medium</v>
      </c>
      <c r="I8134">
        <v>6</v>
      </c>
      <c r="J8134" t="str" cm="1">
        <f t="array" ref="J8134">_xlfn.IFS(I8134&lt;=3,"small",I8134&lt;=6,"Medium",I8134&lt;=9,"Large")</f>
        <v>Medium</v>
      </c>
      <c r="K8134" s="36">
        <v>45037</v>
      </c>
      <c r="L8134" s="36">
        <v>45041</v>
      </c>
      <c r="M8134" t="s">
        <v>612</v>
      </c>
      <c r="N8134" t="s">
        <v>608</v>
      </c>
      <c r="O8134" s="37" t="str">
        <f t="shared" si="638"/>
        <v>Cash Payment</v>
      </c>
      <c r="P8134">
        <v>23.66</v>
      </c>
      <c r="Q8134" s="37" t="str">
        <f>IF(P8134&gt;500,"High","low")</f>
        <v>low</v>
      </c>
      <c r="R8134" s="37" t="str">
        <f t="shared" si="639"/>
        <v>AVERAGE</v>
      </c>
      <c r="S8134" t="s">
        <v>605</v>
      </c>
    </row>
    <row r="8135" spans="1:19" x14ac:dyDescent="0.2">
      <c r="A8135" t="s">
        <v>8746</v>
      </c>
      <c r="B8135" t="s">
        <v>90</v>
      </c>
      <c r="C8135" t="s">
        <v>597</v>
      </c>
      <c r="D8135">
        <v>906.06</v>
      </c>
      <c r="E8135" s="37" t="str">
        <f t="shared" si="635"/>
        <v xml:space="preserve"> </v>
      </c>
      <c r="F8135">
        <v>0.14000000000000001</v>
      </c>
      <c r="G8135" s="37" t="str">
        <f t="shared" si="636"/>
        <v>Normal Discount</v>
      </c>
      <c r="H8135" s="37" t="str">
        <f t="shared" si="637"/>
        <v>Low</v>
      </c>
      <c r="I8135">
        <v>6</v>
      </c>
      <c r="J8135" t="str" cm="1">
        <f t="array" ref="J8135">_xlfn.IFS(I8135&lt;=3,"small",I8135&lt;=6,"Medium",I8135&lt;=9,"Large")</f>
        <v>Medium</v>
      </c>
      <c r="K8135" s="36">
        <v>45517</v>
      </c>
      <c r="L8135" s="36">
        <v>45522</v>
      </c>
      <c r="M8135" t="s">
        <v>603</v>
      </c>
      <c r="N8135" t="s">
        <v>608</v>
      </c>
      <c r="O8135" s="37" t="str">
        <f t="shared" si="638"/>
        <v>Cash Payment</v>
      </c>
      <c r="P8135">
        <v>247.32</v>
      </c>
      <c r="Q8135" s="37" t="str">
        <f>IF(P8135&gt;500,"High","low")</f>
        <v>low</v>
      </c>
      <c r="R8135" s="37" t="str">
        <f t="shared" si="639"/>
        <v>AVERAGE</v>
      </c>
      <c r="S8135" t="s">
        <v>605</v>
      </c>
    </row>
    <row r="8136" spans="1:19" x14ac:dyDescent="0.2">
      <c r="A8136" t="s">
        <v>8747</v>
      </c>
      <c r="B8136" t="s">
        <v>67</v>
      </c>
      <c r="C8136" t="s">
        <v>617</v>
      </c>
      <c r="D8136">
        <v>4486.92</v>
      </c>
      <c r="E8136" s="37" t="str">
        <f t="shared" si="635"/>
        <v>Excellent Order</v>
      </c>
      <c r="F8136">
        <v>0.09</v>
      </c>
      <c r="G8136" s="37" t="str">
        <f t="shared" si="636"/>
        <v>Normal Discount</v>
      </c>
      <c r="H8136" s="37" t="str">
        <f t="shared" si="637"/>
        <v>Low</v>
      </c>
      <c r="I8136">
        <v>6</v>
      </c>
      <c r="J8136" t="str" cm="1">
        <f t="array" ref="J8136">_xlfn.IFS(I8136&lt;=3,"small",I8136&lt;=6,"Medium",I8136&lt;=9,"Large")</f>
        <v>Medium</v>
      </c>
      <c r="K8136" s="36">
        <v>45608</v>
      </c>
      <c r="L8136" s="36">
        <v>45610</v>
      </c>
      <c r="M8136" t="s">
        <v>612</v>
      </c>
      <c r="N8136" t="s">
        <v>599</v>
      </c>
      <c r="O8136" s="37" t="str">
        <f t="shared" si="638"/>
        <v>Digital Payment</v>
      </c>
      <c r="P8136">
        <v>1072.8499999999999</v>
      </c>
      <c r="Q8136" s="37" t="str">
        <f>IF(P8136&gt;500,"High","low")</f>
        <v>High</v>
      </c>
      <c r="R8136" s="37" t="str">
        <f t="shared" si="639"/>
        <v>Excellent</v>
      </c>
      <c r="S8136" t="s">
        <v>628</v>
      </c>
    </row>
    <row r="8137" spans="1:19" x14ac:dyDescent="0.2">
      <c r="A8137" t="s">
        <v>8748</v>
      </c>
      <c r="B8137" t="s">
        <v>83</v>
      </c>
      <c r="C8137" t="s">
        <v>614</v>
      </c>
      <c r="D8137">
        <v>1548</v>
      </c>
      <c r="E8137" s="37" t="str">
        <f t="shared" si="635"/>
        <v xml:space="preserve"> </v>
      </c>
      <c r="F8137">
        <v>0.41</v>
      </c>
      <c r="G8137" s="37" t="str">
        <f t="shared" si="636"/>
        <v>Heavy Discount</v>
      </c>
      <c r="H8137" s="37" t="str">
        <f t="shared" si="637"/>
        <v>High</v>
      </c>
      <c r="I8137">
        <v>5</v>
      </c>
      <c r="J8137" t="str" cm="1">
        <f t="array" ref="J8137">_xlfn.IFS(I8137&lt;=3,"small",I8137&lt;=6,"Medium",I8137&lt;=9,"Large")</f>
        <v>Medium</v>
      </c>
      <c r="K8137" s="36">
        <v>45249</v>
      </c>
      <c r="L8137" s="36">
        <v>45251</v>
      </c>
      <c r="M8137" t="s">
        <v>603</v>
      </c>
      <c r="N8137" t="s">
        <v>604</v>
      </c>
      <c r="O8137" s="37" t="str">
        <f t="shared" si="638"/>
        <v>Digital Payment</v>
      </c>
      <c r="P8137">
        <v>212.24</v>
      </c>
      <c r="Q8137" s="37" t="str">
        <f>IF(P8137&gt;500,"High","low")</f>
        <v>low</v>
      </c>
      <c r="R8137" s="37" t="str">
        <f t="shared" si="639"/>
        <v>AVERAGE</v>
      </c>
      <c r="S8137" t="s">
        <v>620</v>
      </c>
    </row>
    <row r="8138" spans="1:19" x14ac:dyDescent="0.2">
      <c r="A8138" t="s">
        <v>8749</v>
      </c>
      <c r="B8138" t="s">
        <v>90</v>
      </c>
      <c r="C8138" t="s">
        <v>597</v>
      </c>
      <c r="D8138">
        <v>1245.1500000000001</v>
      </c>
      <c r="E8138" s="37" t="str">
        <f t="shared" si="635"/>
        <v xml:space="preserve"> </v>
      </c>
      <c r="F8138">
        <v>0.37</v>
      </c>
      <c r="G8138" s="37" t="str">
        <f t="shared" si="636"/>
        <v>Heavy Discount</v>
      </c>
      <c r="H8138" s="37" t="str">
        <f t="shared" si="637"/>
        <v>Medium</v>
      </c>
      <c r="I8138">
        <v>2</v>
      </c>
      <c r="J8138" t="str" cm="1">
        <f t="array" ref="J8138">_xlfn.IFS(I8138&lt;=3,"small",I8138&lt;=6,"Medium",I8138&lt;=9,"Large")</f>
        <v>small</v>
      </c>
      <c r="K8138" s="36">
        <v>45376</v>
      </c>
      <c r="L8138" s="36">
        <v>45383</v>
      </c>
      <c r="M8138" t="s">
        <v>612</v>
      </c>
      <c r="N8138" t="s">
        <v>599</v>
      </c>
      <c r="O8138" s="37" t="str">
        <f t="shared" si="638"/>
        <v>Digital Payment</v>
      </c>
      <c r="P8138">
        <v>116.52</v>
      </c>
      <c r="Q8138" s="37" t="str">
        <f>IF(P8138&gt;500,"High","low")</f>
        <v>low</v>
      </c>
      <c r="R8138" s="37" t="str">
        <f t="shared" si="639"/>
        <v>AVERAGE</v>
      </c>
      <c r="S8138" t="s">
        <v>605</v>
      </c>
    </row>
    <row r="8139" spans="1:19" x14ac:dyDescent="0.2">
      <c r="A8139" t="s">
        <v>8750</v>
      </c>
      <c r="B8139" t="s">
        <v>90</v>
      </c>
      <c r="C8139" t="s">
        <v>617</v>
      </c>
      <c r="D8139">
        <v>171.49</v>
      </c>
      <c r="E8139" s="37" t="str">
        <f t="shared" si="635"/>
        <v xml:space="preserve"> </v>
      </c>
      <c r="F8139">
        <v>0.42</v>
      </c>
      <c r="G8139" s="37" t="str">
        <f t="shared" si="636"/>
        <v>Heavy Discount</v>
      </c>
      <c r="H8139" s="37" t="str">
        <f t="shared" si="637"/>
        <v>High</v>
      </c>
      <c r="I8139">
        <v>1</v>
      </c>
      <c r="J8139" t="str" cm="1">
        <f t="array" ref="J8139">_xlfn.IFS(I8139&lt;=3,"small",I8139&lt;=6,"Medium",I8139&lt;=9,"Large")</f>
        <v>small</v>
      </c>
      <c r="K8139" s="36">
        <v>45460</v>
      </c>
      <c r="L8139" s="36">
        <v>45467</v>
      </c>
      <c r="M8139" t="s">
        <v>603</v>
      </c>
      <c r="N8139" t="s">
        <v>608</v>
      </c>
      <c r="O8139" s="37" t="str">
        <f t="shared" si="638"/>
        <v>Cash Payment</v>
      </c>
      <c r="P8139">
        <v>27.52</v>
      </c>
      <c r="Q8139" s="37" t="str">
        <f>IF(P8139&gt;500,"High","low")</f>
        <v>low</v>
      </c>
      <c r="R8139" s="37" t="str">
        <f t="shared" si="639"/>
        <v>AVERAGE</v>
      </c>
      <c r="S8139" t="s">
        <v>600</v>
      </c>
    </row>
    <row r="8140" spans="1:19" x14ac:dyDescent="0.2">
      <c r="A8140" t="s">
        <v>8751</v>
      </c>
      <c r="B8140" t="s">
        <v>75</v>
      </c>
      <c r="C8140" t="s">
        <v>602</v>
      </c>
      <c r="D8140">
        <v>1555.57</v>
      </c>
      <c r="E8140" s="37" t="str">
        <f t="shared" si="635"/>
        <v xml:space="preserve"> </v>
      </c>
      <c r="F8140">
        <v>0.22</v>
      </c>
      <c r="G8140" s="37" t="str">
        <f t="shared" si="636"/>
        <v>Normal Discount</v>
      </c>
      <c r="H8140" s="37" t="str">
        <f t="shared" si="637"/>
        <v>Medium</v>
      </c>
      <c r="I8140">
        <v>5</v>
      </c>
      <c r="J8140" t="str" cm="1">
        <f t="array" ref="J8140">_xlfn.IFS(I8140&lt;=3,"small",I8140&lt;=6,"Medium",I8140&lt;=9,"Large")</f>
        <v>Medium</v>
      </c>
      <c r="K8140" s="36">
        <v>45594</v>
      </c>
      <c r="L8140" s="36">
        <v>45598</v>
      </c>
      <c r="M8140" t="s">
        <v>612</v>
      </c>
      <c r="N8140" t="s">
        <v>608</v>
      </c>
      <c r="O8140" s="37" t="str">
        <f t="shared" si="638"/>
        <v>Cash Payment</v>
      </c>
      <c r="P8140">
        <v>128.75</v>
      </c>
      <c r="Q8140" s="37" t="str">
        <f>IF(P8140&gt;500,"High","low")</f>
        <v>low</v>
      </c>
      <c r="R8140" s="37" t="str">
        <f t="shared" si="639"/>
        <v>AVERAGE</v>
      </c>
      <c r="S8140" t="s">
        <v>628</v>
      </c>
    </row>
    <row r="8141" spans="1:19" x14ac:dyDescent="0.2">
      <c r="A8141" t="s">
        <v>8752</v>
      </c>
      <c r="B8141" t="s">
        <v>90</v>
      </c>
      <c r="C8141" t="s">
        <v>614</v>
      </c>
      <c r="D8141">
        <v>3606.63</v>
      </c>
      <c r="E8141" s="37" t="str">
        <f t="shared" si="635"/>
        <v xml:space="preserve"> </v>
      </c>
      <c r="F8141">
        <v>0.23</v>
      </c>
      <c r="G8141" s="37" t="str">
        <f t="shared" si="636"/>
        <v>Normal Discount</v>
      </c>
      <c r="H8141" s="37" t="str">
        <f t="shared" si="637"/>
        <v>Medium</v>
      </c>
      <c r="I8141">
        <v>8</v>
      </c>
      <c r="J8141" t="str" cm="1">
        <f t="array" ref="J8141">_xlfn.IFS(I8141&lt;=3,"small",I8141&lt;=6,"Medium",I8141&lt;=9,"Large")</f>
        <v>Large</v>
      </c>
      <c r="K8141" s="36">
        <v>45143</v>
      </c>
      <c r="L8141" s="36">
        <v>45144</v>
      </c>
      <c r="M8141" t="s">
        <v>598</v>
      </c>
      <c r="N8141" t="s">
        <v>599</v>
      </c>
      <c r="O8141" s="37" t="str">
        <f t="shared" si="638"/>
        <v>Digital Payment</v>
      </c>
      <c r="P8141">
        <v>617.87</v>
      </c>
      <c r="Q8141" s="37" t="str">
        <f>IF(P8141&gt;500,"High","low")</f>
        <v>High</v>
      </c>
      <c r="R8141" s="37" t="str">
        <f t="shared" si="639"/>
        <v>Good</v>
      </c>
      <c r="S8141" t="s">
        <v>615</v>
      </c>
    </row>
    <row r="8142" spans="1:19" x14ac:dyDescent="0.2">
      <c r="A8142" t="s">
        <v>8753</v>
      </c>
      <c r="B8142" t="s">
        <v>67</v>
      </c>
      <c r="C8142" t="s">
        <v>597</v>
      </c>
      <c r="D8142">
        <v>4799.54</v>
      </c>
      <c r="E8142" s="37" t="str">
        <f t="shared" si="635"/>
        <v xml:space="preserve"> </v>
      </c>
      <c r="F8142">
        <v>0.17</v>
      </c>
      <c r="G8142" s="37" t="str">
        <f t="shared" si="636"/>
        <v>Normal Discount</v>
      </c>
      <c r="H8142" s="37" t="str">
        <f t="shared" si="637"/>
        <v>Low</v>
      </c>
      <c r="I8142">
        <v>5</v>
      </c>
      <c r="J8142" t="str" cm="1">
        <f t="array" ref="J8142">_xlfn.IFS(I8142&lt;=3,"small",I8142&lt;=6,"Medium",I8142&lt;=9,"Large")</f>
        <v>Medium</v>
      </c>
      <c r="K8142" s="36">
        <v>45439</v>
      </c>
      <c r="L8142" s="36">
        <v>45444</v>
      </c>
      <c r="M8142" t="s">
        <v>612</v>
      </c>
      <c r="N8142" t="s">
        <v>604</v>
      </c>
      <c r="O8142" s="37" t="str">
        <f t="shared" si="638"/>
        <v>Digital Payment</v>
      </c>
      <c r="P8142">
        <v>512.22</v>
      </c>
      <c r="Q8142" s="37" t="str">
        <f>IF(P8142&gt;500,"High","low")</f>
        <v>High</v>
      </c>
      <c r="R8142" s="37" t="str">
        <f t="shared" si="639"/>
        <v>Good</v>
      </c>
      <c r="S8142" t="s">
        <v>628</v>
      </c>
    </row>
    <row r="8143" spans="1:19" x14ac:dyDescent="0.2">
      <c r="A8143" t="s">
        <v>8754</v>
      </c>
      <c r="B8143" t="s">
        <v>90</v>
      </c>
      <c r="C8143" t="s">
        <v>602</v>
      </c>
      <c r="D8143">
        <v>1632.43</v>
      </c>
      <c r="E8143" s="37" t="str">
        <f t="shared" si="635"/>
        <v xml:space="preserve"> </v>
      </c>
      <c r="F8143">
        <v>0.25</v>
      </c>
      <c r="G8143" s="37" t="str">
        <f t="shared" si="636"/>
        <v>Normal Discount</v>
      </c>
      <c r="H8143" s="37" t="str">
        <f t="shared" si="637"/>
        <v>Medium</v>
      </c>
      <c r="I8143">
        <v>3</v>
      </c>
      <c r="J8143" t="str" cm="1">
        <f t="array" ref="J8143">_xlfn.IFS(I8143&lt;=3,"small",I8143&lt;=6,"Medium",I8143&lt;=9,"Large")</f>
        <v>small</v>
      </c>
      <c r="K8143" s="36">
        <v>45333</v>
      </c>
      <c r="L8143" s="36">
        <v>45335</v>
      </c>
      <c r="M8143" t="s">
        <v>612</v>
      </c>
      <c r="N8143" t="s">
        <v>604</v>
      </c>
      <c r="O8143" s="37" t="str">
        <f t="shared" si="638"/>
        <v>Digital Payment</v>
      </c>
      <c r="P8143">
        <v>83.45</v>
      </c>
      <c r="Q8143" s="37" t="str">
        <f>IF(P8143&gt;500,"High","low")</f>
        <v>low</v>
      </c>
      <c r="R8143" s="37" t="str">
        <f t="shared" si="639"/>
        <v>AVERAGE</v>
      </c>
      <c r="S8143" t="s">
        <v>600</v>
      </c>
    </row>
    <row r="8144" spans="1:19" x14ac:dyDescent="0.2">
      <c r="A8144" t="s">
        <v>8755</v>
      </c>
      <c r="B8144" t="s">
        <v>83</v>
      </c>
      <c r="C8144" t="s">
        <v>607</v>
      </c>
      <c r="D8144">
        <v>1279.3599999999999</v>
      </c>
      <c r="E8144" s="37" t="str">
        <f t="shared" si="635"/>
        <v xml:space="preserve"> </v>
      </c>
      <c r="F8144">
        <v>0.32</v>
      </c>
      <c r="G8144" s="37" t="str">
        <f t="shared" si="636"/>
        <v>Heavy Discount</v>
      </c>
      <c r="H8144" s="37" t="str">
        <f t="shared" si="637"/>
        <v>Medium</v>
      </c>
      <c r="I8144">
        <v>3</v>
      </c>
      <c r="J8144" t="str" cm="1">
        <f t="array" ref="J8144">_xlfn.IFS(I8144&lt;=3,"small",I8144&lt;=6,"Medium",I8144&lt;=9,"Large")</f>
        <v>small</v>
      </c>
      <c r="K8144" s="36">
        <v>45550</v>
      </c>
      <c r="L8144" s="36">
        <v>45554</v>
      </c>
      <c r="M8144" t="s">
        <v>612</v>
      </c>
      <c r="N8144" t="s">
        <v>608</v>
      </c>
      <c r="O8144" s="37" t="str">
        <f t="shared" si="638"/>
        <v>Cash Payment</v>
      </c>
      <c r="P8144">
        <v>233.99</v>
      </c>
      <c r="Q8144" s="37" t="str">
        <f>IF(P8144&gt;500,"High","low")</f>
        <v>low</v>
      </c>
      <c r="R8144" s="37" t="str">
        <f t="shared" si="639"/>
        <v>AVERAGE</v>
      </c>
      <c r="S8144" t="s">
        <v>609</v>
      </c>
    </row>
    <row r="8145" spans="1:19" x14ac:dyDescent="0.2">
      <c r="A8145" t="s">
        <v>8756</v>
      </c>
      <c r="B8145" t="s">
        <v>90</v>
      </c>
      <c r="C8145" t="s">
        <v>602</v>
      </c>
      <c r="D8145">
        <v>4451.54</v>
      </c>
      <c r="E8145" s="37" t="str">
        <f t="shared" si="635"/>
        <v xml:space="preserve"> </v>
      </c>
      <c r="F8145">
        <v>0.41</v>
      </c>
      <c r="G8145" s="37" t="str">
        <f t="shared" si="636"/>
        <v>Heavy Discount</v>
      </c>
      <c r="H8145" s="37" t="str">
        <f t="shared" si="637"/>
        <v>High</v>
      </c>
      <c r="I8145">
        <v>2</v>
      </c>
      <c r="J8145" t="str" cm="1">
        <f t="array" ref="J8145">_xlfn.IFS(I8145&lt;=3,"small",I8145&lt;=6,"Medium",I8145&lt;=9,"Large")</f>
        <v>small</v>
      </c>
      <c r="K8145" s="36">
        <v>45537</v>
      </c>
      <c r="L8145" s="36">
        <v>45541</v>
      </c>
      <c r="M8145" t="s">
        <v>598</v>
      </c>
      <c r="N8145" t="s">
        <v>604</v>
      </c>
      <c r="O8145" s="37" t="str">
        <f t="shared" si="638"/>
        <v>Digital Payment</v>
      </c>
      <c r="P8145">
        <v>556.35</v>
      </c>
      <c r="Q8145" s="37" t="str">
        <f>IF(P8145&gt;500,"High","low")</f>
        <v>High</v>
      </c>
      <c r="R8145" s="37" t="str">
        <f t="shared" si="639"/>
        <v>Good</v>
      </c>
      <c r="S8145" t="s">
        <v>620</v>
      </c>
    </row>
    <row r="8146" spans="1:19" x14ac:dyDescent="0.2">
      <c r="A8146" t="s">
        <v>8757</v>
      </c>
      <c r="B8146" t="s">
        <v>75</v>
      </c>
      <c r="C8146" t="s">
        <v>597</v>
      </c>
      <c r="D8146">
        <v>4277.2700000000004</v>
      </c>
      <c r="E8146" s="37" t="str">
        <f t="shared" si="635"/>
        <v>Excellent Order</v>
      </c>
      <c r="F8146">
        <v>0.09</v>
      </c>
      <c r="G8146" s="37" t="str">
        <f t="shared" si="636"/>
        <v>Normal Discount</v>
      </c>
      <c r="H8146" s="37" t="str">
        <f t="shared" si="637"/>
        <v>Low</v>
      </c>
      <c r="I8146">
        <v>7</v>
      </c>
      <c r="J8146" t="str" cm="1">
        <f t="array" ref="J8146">_xlfn.IFS(I8146&lt;=3,"small",I8146&lt;=6,"Medium",I8146&lt;=9,"Large")</f>
        <v>Large</v>
      </c>
      <c r="K8146" s="36">
        <v>45001</v>
      </c>
      <c r="L8146" s="36">
        <v>45004</v>
      </c>
      <c r="M8146" t="s">
        <v>603</v>
      </c>
      <c r="N8146" t="s">
        <v>599</v>
      </c>
      <c r="O8146" s="37" t="str">
        <f t="shared" si="638"/>
        <v>Digital Payment</v>
      </c>
      <c r="P8146">
        <v>867.34</v>
      </c>
      <c r="Q8146" s="37" t="str">
        <f>IF(P8146&gt;500,"High","low")</f>
        <v>High</v>
      </c>
      <c r="R8146" s="37" t="str">
        <f t="shared" si="639"/>
        <v>Good</v>
      </c>
      <c r="S8146" t="s">
        <v>615</v>
      </c>
    </row>
    <row r="8147" spans="1:19" x14ac:dyDescent="0.2">
      <c r="A8147" t="s">
        <v>8758</v>
      </c>
      <c r="B8147" t="s">
        <v>83</v>
      </c>
      <c r="C8147" t="s">
        <v>617</v>
      </c>
      <c r="D8147">
        <v>1707.99</v>
      </c>
      <c r="E8147" s="37" t="str">
        <f t="shared" si="635"/>
        <v xml:space="preserve"> </v>
      </c>
      <c r="F8147">
        <v>0.2</v>
      </c>
      <c r="G8147" s="37" t="str">
        <f t="shared" si="636"/>
        <v>Normal Discount</v>
      </c>
      <c r="H8147" s="37" t="str">
        <f t="shared" si="637"/>
        <v>Medium</v>
      </c>
      <c r="I8147">
        <v>2</v>
      </c>
      <c r="J8147" t="str" cm="1">
        <f t="array" ref="J8147">_xlfn.IFS(I8147&lt;=3,"small",I8147&lt;=6,"Medium",I8147&lt;=9,"Large")</f>
        <v>small</v>
      </c>
      <c r="K8147" s="36">
        <v>45581</v>
      </c>
      <c r="L8147" s="36">
        <v>45583</v>
      </c>
      <c r="M8147" t="s">
        <v>598</v>
      </c>
      <c r="N8147" t="s">
        <v>608</v>
      </c>
      <c r="O8147" s="37" t="str">
        <f t="shared" si="638"/>
        <v>Cash Payment</v>
      </c>
      <c r="P8147">
        <v>218.95</v>
      </c>
      <c r="Q8147" s="37" t="str">
        <f>IF(P8147&gt;500,"High","low")</f>
        <v>low</v>
      </c>
      <c r="R8147" s="37" t="str">
        <f t="shared" si="639"/>
        <v>AVERAGE</v>
      </c>
      <c r="S8147" t="s">
        <v>609</v>
      </c>
    </row>
    <row r="8148" spans="1:19" x14ac:dyDescent="0.2">
      <c r="A8148" t="s">
        <v>8759</v>
      </c>
      <c r="B8148" t="s">
        <v>83</v>
      </c>
      <c r="C8148" t="s">
        <v>607</v>
      </c>
      <c r="D8148">
        <v>437.15</v>
      </c>
      <c r="E8148" s="37" t="str">
        <f t="shared" si="635"/>
        <v xml:space="preserve"> </v>
      </c>
      <c r="F8148">
        <v>0.23</v>
      </c>
      <c r="G8148" s="37" t="str">
        <f t="shared" si="636"/>
        <v>Normal Discount</v>
      </c>
      <c r="H8148" s="37" t="str">
        <f t="shared" si="637"/>
        <v>Medium</v>
      </c>
      <c r="I8148">
        <v>6</v>
      </c>
      <c r="J8148" t="str" cm="1">
        <f t="array" ref="J8148">_xlfn.IFS(I8148&lt;=3,"small",I8148&lt;=6,"Medium",I8148&lt;=9,"Large")</f>
        <v>Medium</v>
      </c>
      <c r="K8148" s="36">
        <v>45379</v>
      </c>
      <c r="L8148" s="36">
        <v>45385</v>
      </c>
      <c r="M8148" t="s">
        <v>598</v>
      </c>
      <c r="N8148" t="s">
        <v>599</v>
      </c>
      <c r="O8148" s="37" t="str">
        <f t="shared" si="638"/>
        <v>Digital Payment</v>
      </c>
      <c r="P8148">
        <v>96.66</v>
      </c>
      <c r="Q8148" s="37" t="str">
        <f>IF(P8148&gt;500,"High","low")</f>
        <v>low</v>
      </c>
      <c r="R8148" s="37" t="str">
        <f t="shared" si="639"/>
        <v>AVERAGE</v>
      </c>
      <c r="S8148" t="s">
        <v>600</v>
      </c>
    </row>
    <row r="8149" spans="1:19" x14ac:dyDescent="0.2">
      <c r="A8149" t="s">
        <v>8760</v>
      </c>
      <c r="B8149" t="s">
        <v>75</v>
      </c>
      <c r="C8149" t="s">
        <v>607</v>
      </c>
      <c r="D8149">
        <v>4960.75</v>
      </c>
      <c r="E8149" s="37" t="str">
        <f t="shared" si="635"/>
        <v>Excellent Order</v>
      </c>
      <c r="F8149">
        <v>0.24</v>
      </c>
      <c r="G8149" s="37" t="str">
        <f t="shared" si="636"/>
        <v>Normal Discount</v>
      </c>
      <c r="H8149" s="37" t="str">
        <f t="shared" si="637"/>
        <v>Medium</v>
      </c>
      <c r="I8149">
        <v>8</v>
      </c>
      <c r="J8149" t="str" cm="1">
        <f t="array" ref="J8149">_xlfn.IFS(I8149&lt;=3,"small",I8149&lt;=6,"Medium",I8149&lt;=9,"Large")</f>
        <v>Large</v>
      </c>
      <c r="K8149" s="36">
        <v>45512</v>
      </c>
      <c r="L8149" s="36">
        <v>45514</v>
      </c>
      <c r="M8149" t="s">
        <v>603</v>
      </c>
      <c r="N8149" t="s">
        <v>608</v>
      </c>
      <c r="O8149" s="37" t="str">
        <f t="shared" si="638"/>
        <v>Cash Payment</v>
      </c>
      <c r="P8149">
        <v>1074.97</v>
      </c>
      <c r="Q8149" s="37" t="str">
        <f>IF(P8149&gt;500,"High","low")</f>
        <v>High</v>
      </c>
      <c r="R8149" s="37" t="str">
        <f t="shared" si="639"/>
        <v>Excellent</v>
      </c>
      <c r="S8149" t="s">
        <v>609</v>
      </c>
    </row>
    <row r="8150" spans="1:19" x14ac:dyDescent="0.2">
      <c r="A8150" t="s">
        <v>8761</v>
      </c>
      <c r="B8150" t="s">
        <v>67</v>
      </c>
      <c r="C8150" t="s">
        <v>607</v>
      </c>
      <c r="D8150">
        <v>3435.45</v>
      </c>
      <c r="E8150" s="37" t="str">
        <f t="shared" si="635"/>
        <v xml:space="preserve"> </v>
      </c>
      <c r="F8150">
        <v>0.27</v>
      </c>
      <c r="G8150" s="37" t="str">
        <f t="shared" si="636"/>
        <v>Normal Discount</v>
      </c>
      <c r="H8150" s="37" t="str">
        <f t="shared" si="637"/>
        <v>Medium</v>
      </c>
      <c r="I8150">
        <v>8</v>
      </c>
      <c r="J8150" t="str" cm="1">
        <f t="array" ref="J8150">_xlfn.IFS(I8150&lt;=3,"small",I8150&lt;=6,"Medium",I8150&lt;=9,"Large")</f>
        <v>Large</v>
      </c>
      <c r="K8150" s="36">
        <v>44959</v>
      </c>
      <c r="L8150" s="36">
        <v>44961</v>
      </c>
      <c r="M8150" t="s">
        <v>612</v>
      </c>
      <c r="N8150" t="s">
        <v>608</v>
      </c>
      <c r="O8150" s="37" t="str">
        <f t="shared" si="638"/>
        <v>Cash Payment</v>
      </c>
      <c r="P8150">
        <v>193.25</v>
      </c>
      <c r="Q8150" s="37" t="str">
        <f>IF(P8150&gt;500,"High","low")</f>
        <v>low</v>
      </c>
      <c r="R8150" s="37" t="str">
        <f t="shared" si="639"/>
        <v>AVERAGE</v>
      </c>
      <c r="S8150" t="s">
        <v>605</v>
      </c>
    </row>
    <row r="8151" spans="1:19" x14ac:dyDescent="0.2">
      <c r="A8151" t="s">
        <v>8762</v>
      </c>
      <c r="B8151" t="s">
        <v>83</v>
      </c>
      <c r="C8151" t="s">
        <v>614</v>
      </c>
      <c r="D8151">
        <v>4640.24</v>
      </c>
      <c r="E8151" s="37" t="str">
        <f t="shared" si="635"/>
        <v>Excellent Order</v>
      </c>
      <c r="F8151">
        <v>0.4</v>
      </c>
      <c r="G8151" s="37" t="str">
        <f t="shared" si="636"/>
        <v>Heavy Discount</v>
      </c>
      <c r="H8151" s="37" t="str">
        <f t="shared" si="637"/>
        <v>Medium</v>
      </c>
      <c r="I8151">
        <v>2</v>
      </c>
      <c r="J8151" t="str" cm="1">
        <f t="array" ref="J8151">_xlfn.IFS(I8151&lt;=3,"small",I8151&lt;=6,"Medium",I8151&lt;=9,"Large")</f>
        <v>small</v>
      </c>
      <c r="K8151" s="36">
        <v>45114</v>
      </c>
      <c r="L8151" s="36">
        <v>45117</v>
      </c>
      <c r="M8151" t="s">
        <v>612</v>
      </c>
      <c r="N8151" t="s">
        <v>599</v>
      </c>
      <c r="O8151" s="37" t="str">
        <f t="shared" si="638"/>
        <v>Digital Payment</v>
      </c>
      <c r="P8151">
        <v>1030.72</v>
      </c>
      <c r="Q8151" s="37" t="str">
        <f>IF(P8151&gt;500,"High","low")</f>
        <v>High</v>
      </c>
      <c r="R8151" s="37" t="str">
        <f t="shared" si="639"/>
        <v>Excellent</v>
      </c>
      <c r="S8151" t="s">
        <v>615</v>
      </c>
    </row>
    <row r="8152" spans="1:19" x14ac:dyDescent="0.2">
      <c r="A8152" t="s">
        <v>8763</v>
      </c>
      <c r="B8152" t="s">
        <v>67</v>
      </c>
      <c r="C8152" t="s">
        <v>597</v>
      </c>
      <c r="D8152">
        <v>1775.18</v>
      </c>
      <c r="E8152" s="37" t="str">
        <f t="shared" si="635"/>
        <v xml:space="preserve"> </v>
      </c>
      <c r="F8152">
        <v>0.44</v>
      </c>
      <c r="G8152" s="37" t="str">
        <f t="shared" si="636"/>
        <v>Heavy Discount</v>
      </c>
      <c r="H8152" s="37" t="str">
        <f t="shared" si="637"/>
        <v>High</v>
      </c>
      <c r="I8152">
        <v>6</v>
      </c>
      <c r="J8152" t="str" cm="1">
        <f t="array" ref="J8152">_xlfn.IFS(I8152&lt;=3,"small",I8152&lt;=6,"Medium",I8152&lt;=9,"Large")</f>
        <v>Medium</v>
      </c>
      <c r="K8152" s="36">
        <v>45544</v>
      </c>
      <c r="L8152" s="36">
        <v>45550</v>
      </c>
      <c r="M8152" t="s">
        <v>603</v>
      </c>
      <c r="N8152" t="s">
        <v>608</v>
      </c>
      <c r="O8152" s="37" t="str">
        <f t="shared" si="638"/>
        <v>Cash Payment</v>
      </c>
      <c r="P8152">
        <v>169.95</v>
      </c>
      <c r="Q8152" s="37" t="str">
        <f>IF(P8152&gt;500,"High","low")</f>
        <v>low</v>
      </c>
      <c r="R8152" s="37" t="str">
        <f t="shared" si="639"/>
        <v>AVERAGE</v>
      </c>
      <c r="S8152" t="s">
        <v>605</v>
      </c>
    </row>
    <row r="8153" spans="1:19" x14ac:dyDescent="0.2">
      <c r="A8153" t="s">
        <v>8764</v>
      </c>
      <c r="B8153" t="s">
        <v>83</v>
      </c>
      <c r="C8153" t="s">
        <v>607</v>
      </c>
      <c r="D8153">
        <v>3273.66</v>
      </c>
      <c r="E8153" s="37" t="str">
        <f t="shared" si="635"/>
        <v xml:space="preserve"> </v>
      </c>
      <c r="F8153">
        <v>0.08</v>
      </c>
      <c r="G8153" s="37" t="str">
        <f t="shared" si="636"/>
        <v>Normal Discount</v>
      </c>
      <c r="H8153" s="37" t="str">
        <f t="shared" si="637"/>
        <v>Low</v>
      </c>
      <c r="I8153">
        <v>3</v>
      </c>
      <c r="J8153" t="str" cm="1">
        <f t="array" ref="J8153">_xlfn.IFS(I8153&lt;=3,"small",I8153&lt;=6,"Medium",I8153&lt;=9,"Large")</f>
        <v>small</v>
      </c>
      <c r="K8153" s="36">
        <v>45484</v>
      </c>
      <c r="L8153" s="36">
        <v>45488</v>
      </c>
      <c r="M8153" t="s">
        <v>598</v>
      </c>
      <c r="N8153" t="s">
        <v>604</v>
      </c>
      <c r="O8153" s="37" t="str">
        <f t="shared" si="638"/>
        <v>Digital Payment</v>
      </c>
      <c r="P8153">
        <v>835.39</v>
      </c>
      <c r="Q8153" s="37" t="str">
        <f>IF(P8153&gt;500,"High","low")</f>
        <v>High</v>
      </c>
      <c r="R8153" s="37" t="str">
        <f t="shared" si="639"/>
        <v>Good</v>
      </c>
      <c r="S8153" t="s">
        <v>605</v>
      </c>
    </row>
    <row r="8154" spans="1:19" x14ac:dyDescent="0.2">
      <c r="A8154" t="s">
        <v>8765</v>
      </c>
      <c r="B8154" t="s">
        <v>83</v>
      </c>
      <c r="C8154" t="s">
        <v>602</v>
      </c>
      <c r="D8154">
        <v>3405.04</v>
      </c>
      <c r="E8154" s="37" t="str">
        <f t="shared" si="635"/>
        <v xml:space="preserve"> </v>
      </c>
      <c r="F8154">
        <v>0.36</v>
      </c>
      <c r="G8154" s="37" t="str">
        <f t="shared" si="636"/>
        <v>Heavy Discount</v>
      </c>
      <c r="H8154" s="37" t="str">
        <f t="shared" si="637"/>
        <v>Medium</v>
      </c>
      <c r="I8154">
        <v>9</v>
      </c>
      <c r="J8154" t="str" cm="1">
        <f t="array" ref="J8154">_xlfn.IFS(I8154&lt;=3,"small",I8154&lt;=6,"Medium",I8154&lt;=9,"Large")</f>
        <v>Large</v>
      </c>
      <c r="K8154" s="36">
        <v>44954</v>
      </c>
      <c r="L8154" s="36">
        <v>44961</v>
      </c>
      <c r="M8154" t="s">
        <v>603</v>
      </c>
      <c r="N8154" t="s">
        <v>608</v>
      </c>
      <c r="O8154" s="37" t="str">
        <f t="shared" si="638"/>
        <v>Cash Payment</v>
      </c>
      <c r="P8154">
        <v>271.55</v>
      </c>
      <c r="Q8154" s="37" t="str">
        <f>IF(P8154&gt;500,"High","low")</f>
        <v>low</v>
      </c>
      <c r="R8154" s="37" t="str">
        <f t="shared" si="639"/>
        <v>AVERAGE</v>
      </c>
      <c r="S8154" t="s">
        <v>628</v>
      </c>
    </row>
    <row r="8155" spans="1:19" x14ac:dyDescent="0.2">
      <c r="A8155" t="s">
        <v>8766</v>
      </c>
      <c r="B8155" t="s">
        <v>67</v>
      </c>
      <c r="C8155" t="s">
        <v>617</v>
      </c>
      <c r="D8155">
        <v>4377.24</v>
      </c>
      <c r="E8155" s="37" t="str">
        <f t="shared" si="635"/>
        <v xml:space="preserve"> </v>
      </c>
      <c r="F8155">
        <v>0.24</v>
      </c>
      <c r="G8155" s="37" t="str">
        <f t="shared" si="636"/>
        <v>Normal Discount</v>
      </c>
      <c r="H8155" s="37" t="str">
        <f t="shared" si="637"/>
        <v>Medium</v>
      </c>
      <c r="I8155">
        <v>3</v>
      </c>
      <c r="J8155" t="str" cm="1">
        <f t="array" ref="J8155">_xlfn.IFS(I8155&lt;=3,"small",I8155&lt;=6,"Medium",I8155&lt;=9,"Large")</f>
        <v>small</v>
      </c>
      <c r="K8155" s="36">
        <v>45356</v>
      </c>
      <c r="L8155" s="36">
        <v>45360</v>
      </c>
      <c r="M8155" t="s">
        <v>612</v>
      </c>
      <c r="N8155" t="s">
        <v>604</v>
      </c>
      <c r="O8155" s="37" t="str">
        <f t="shared" si="638"/>
        <v>Digital Payment</v>
      </c>
      <c r="P8155">
        <v>489.67</v>
      </c>
      <c r="Q8155" s="37" t="str">
        <f>IF(P8155&gt;500,"High","low")</f>
        <v>low</v>
      </c>
      <c r="R8155" s="37" t="str">
        <f t="shared" si="639"/>
        <v>AVERAGE</v>
      </c>
      <c r="S8155" t="s">
        <v>609</v>
      </c>
    </row>
    <row r="8156" spans="1:19" x14ac:dyDescent="0.2">
      <c r="A8156" t="s">
        <v>8767</v>
      </c>
      <c r="B8156" t="s">
        <v>83</v>
      </c>
      <c r="C8156" t="s">
        <v>597</v>
      </c>
      <c r="D8156">
        <v>4965.9799999999996</v>
      </c>
      <c r="E8156" s="37" t="str">
        <f t="shared" si="635"/>
        <v>Excellent Order</v>
      </c>
      <c r="F8156">
        <v>0.21</v>
      </c>
      <c r="G8156" s="37" t="str">
        <f t="shared" si="636"/>
        <v>Normal Discount</v>
      </c>
      <c r="H8156" s="37" t="str">
        <f t="shared" si="637"/>
        <v>Medium</v>
      </c>
      <c r="I8156">
        <v>1</v>
      </c>
      <c r="J8156" t="str" cm="1">
        <f t="array" ref="J8156">_xlfn.IFS(I8156&lt;=3,"small",I8156&lt;=6,"Medium",I8156&lt;=9,"Large")</f>
        <v>small</v>
      </c>
      <c r="K8156" s="36">
        <v>45033</v>
      </c>
      <c r="L8156" s="36">
        <v>45040</v>
      </c>
      <c r="M8156" t="s">
        <v>603</v>
      </c>
      <c r="N8156" t="s">
        <v>608</v>
      </c>
      <c r="O8156" s="37" t="str">
        <f t="shared" si="638"/>
        <v>Cash Payment</v>
      </c>
      <c r="P8156">
        <v>960.48</v>
      </c>
      <c r="Q8156" s="37" t="str">
        <f>IF(P8156&gt;500,"High","low")</f>
        <v>High</v>
      </c>
      <c r="R8156" s="37" t="str">
        <f t="shared" si="639"/>
        <v>Good</v>
      </c>
      <c r="S8156" t="s">
        <v>615</v>
      </c>
    </row>
    <row r="8157" spans="1:19" x14ac:dyDescent="0.2">
      <c r="A8157" t="s">
        <v>8768</v>
      </c>
      <c r="B8157" t="s">
        <v>67</v>
      </c>
      <c r="C8157" t="s">
        <v>602</v>
      </c>
      <c r="D8157">
        <v>632.46</v>
      </c>
      <c r="E8157" s="37" t="str">
        <f t="shared" si="635"/>
        <v xml:space="preserve"> </v>
      </c>
      <c r="F8157">
        <v>0.06</v>
      </c>
      <c r="G8157" s="37" t="str">
        <f t="shared" si="636"/>
        <v>Normal Discount</v>
      </c>
      <c r="H8157" s="37" t="str">
        <f t="shared" si="637"/>
        <v>Low</v>
      </c>
      <c r="I8157">
        <v>9</v>
      </c>
      <c r="J8157" t="str" cm="1">
        <f t="array" ref="J8157">_xlfn.IFS(I8157&lt;=3,"small",I8157&lt;=6,"Medium",I8157&lt;=9,"Large")</f>
        <v>Large</v>
      </c>
      <c r="K8157" s="36">
        <v>44960</v>
      </c>
      <c r="L8157" s="36">
        <v>44961</v>
      </c>
      <c r="M8157" t="s">
        <v>603</v>
      </c>
      <c r="N8157" t="s">
        <v>604</v>
      </c>
      <c r="O8157" s="37" t="str">
        <f t="shared" si="638"/>
        <v>Digital Payment</v>
      </c>
      <c r="P8157">
        <v>97.97</v>
      </c>
      <c r="Q8157" s="37" t="str">
        <f>IF(P8157&gt;500,"High","low")</f>
        <v>low</v>
      </c>
      <c r="R8157" s="37" t="str">
        <f t="shared" si="639"/>
        <v>AVERAGE</v>
      </c>
      <c r="S8157" t="s">
        <v>605</v>
      </c>
    </row>
    <row r="8158" spans="1:19" x14ac:dyDescent="0.2">
      <c r="A8158" t="s">
        <v>8769</v>
      </c>
      <c r="B8158" t="s">
        <v>75</v>
      </c>
      <c r="C8158" t="s">
        <v>614</v>
      </c>
      <c r="D8158">
        <v>3192.47</v>
      </c>
      <c r="E8158" s="37" t="str">
        <f t="shared" si="635"/>
        <v xml:space="preserve"> </v>
      </c>
      <c r="F8158">
        <v>0.03</v>
      </c>
      <c r="G8158" s="37" t="str">
        <f t="shared" si="636"/>
        <v>Normal Discount</v>
      </c>
      <c r="H8158" s="37" t="str">
        <f t="shared" si="637"/>
        <v>Low</v>
      </c>
      <c r="I8158">
        <v>8</v>
      </c>
      <c r="J8158" t="str" cm="1">
        <f t="array" ref="J8158">_xlfn.IFS(I8158&lt;=3,"small",I8158&lt;=6,"Medium",I8158&lt;=9,"Large")</f>
        <v>Large</v>
      </c>
      <c r="K8158" s="36">
        <v>45339</v>
      </c>
      <c r="L8158" s="36">
        <v>45343</v>
      </c>
      <c r="M8158" t="s">
        <v>612</v>
      </c>
      <c r="N8158" t="s">
        <v>604</v>
      </c>
      <c r="O8158" s="37" t="str">
        <f t="shared" si="638"/>
        <v>Digital Payment</v>
      </c>
      <c r="P8158">
        <v>950.9</v>
      </c>
      <c r="Q8158" s="37" t="str">
        <f>IF(P8158&gt;500,"High","low")</f>
        <v>High</v>
      </c>
      <c r="R8158" s="37" t="str">
        <f t="shared" si="639"/>
        <v>Good</v>
      </c>
      <c r="S8158" t="s">
        <v>609</v>
      </c>
    </row>
    <row r="8159" spans="1:19" x14ac:dyDescent="0.2">
      <c r="A8159" t="s">
        <v>8770</v>
      </c>
      <c r="B8159" t="s">
        <v>67</v>
      </c>
      <c r="C8159" t="s">
        <v>607</v>
      </c>
      <c r="D8159">
        <v>1748.56</v>
      </c>
      <c r="E8159" s="37" t="str">
        <f t="shared" si="635"/>
        <v xml:space="preserve"> </v>
      </c>
      <c r="F8159">
        <v>0.49</v>
      </c>
      <c r="G8159" s="37" t="str">
        <f t="shared" si="636"/>
        <v>Heavy Discount</v>
      </c>
      <c r="H8159" s="37" t="str">
        <f t="shared" si="637"/>
        <v>High</v>
      </c>
      <c r="I8159">
        <v>2</v>
      </c>
      <c r="J8159" t="str" cm="1">
        <f t="array" ref="J8159">_xlfn.IFS(I8159&lt;=3,"small",I8159&lt;=6,"Medium",I8159&lt;=9,"Large")</f>
        <v>small</v>
      </c>
      <c r="K8159" s="36">
        <v>45534</v>
      </c>
      <c r="L8159" s="36">
        <v>45540</v>
      </c>
      <c r="M8159" t="s">
        <v>598</v>
      </c>
      <c r="N8159" t="s">
        <v>599</v>
      </c>
      <c r="O8159" s="37" t="str">
        <f t="shared" si="638"/>
        <v>Digital Payment</v>
      </c>
      <c r="P8159">
        <v>402</v>
      </c>
      <c r="Q8159" s="37" t="str">
        <f>IF(P8159&gt;500,"High","low")</f>
        <v>low</v>
      </c>
      <c r="R8159" s="37" t="str">
        <f t="shared" si="639"/>
        <v>AVERAGE</v>
      </c>
      <c r="S8159" t="s">
        <v>605</v>
      </c>
    </row>
    <row r="8160" spans="1:19" x14ac:dyDescent="0.2">
      <c r="A8160" t="s">
        <v>8771</v>
      </c>
      <c r="B8160" t="s">
        <v>75</v>
      </c>
      <c r="C8160" t="s">
        <v>602</v>
      </c>
      <c r="D8160">
        <v>4077.13</v>
      </c>
      <c r="E8160" s="37" t="str">
        <f t="shared" si="635"/>
        <v xml:space="preserve"> </v>
      </c>
      <c r="F8160">
        <v>0.32</v>
      </c>
      <c r="G8160" s="37" t="str">
        <f t="shared" si="636"/>
        <v>Heavy Discount</v>
      </c>
      <c r="H8160" s="37" t="str">
        <f t="shared" si="637"/>
        <v>Medium</v>
      </c>
      <c r="I8160">
        <v>3</v>
      </c>
      <c r="J8160" t="str" cm="1">
        <f t="array" ref="J8160">_xlfn.IFS(I8160&lt;=3,"small",I8160&lt;=6,"Medium",I8160&lt;=9,"Large")</f>
        <v>small</v>
      </c>
      <c r="K8160" s="36">
        <v>45053</v>
      </c>
      <c r="L8160" s="36">
        <v>45055</v>
      </c>
      <c r="M8160" t="s">
        <v>603</v>
      </c>
      <c r="N8160" t="s">
        <v>604</v>
      </c>
      <c r="O8160" s="37" t="str">
        <f t="shared" si="638"/>
        <v>Digital Payment</v>
      </c>
      <c r="P8160">
        <v>428.39</v>
      </c>
      <c r="Q8160" s="37" t="str">
        <f>IF(P8160&gt;500,"High","low")</f>
        <v>low</v>
      </c>
      <c r="R8160" s="37" t="str">
        <f t="shared" si="639"/>
        <v>AVERAGE</v>
      </c>
      <c r="S8160" t="s">
        <v>600</v>
      </c>
    </row>
    <row r="8161" spans="1:19" x14ac:dyDescent="0.2">
      <c r="A8161" t="s">
        <v>8772</v>
      </c>
      <c r="B8161" t="s">
        <v>83</v>
      </c>
      <c r="C8161" t="s">
        <v>597</v>
      </c>
      <c r="D8161">
        <v>3795.33</v>
      </c>
      <c r="E8161" s="37" t="str">
        <f t="shared" si="635"/>
        <v xml:space="preserve"> </v>
      </c>
      <c r="F8161">
        <v>0.23</v>
      </c>
      <c r="G8161" s="37" t="str">
        <f t="shared" si="636"/>
        <v>Normal Discount</v>
      </c>
      <c r="H8161" s="37" t="str">
        <f t="shared" si="637"/>
        <v>Medium</v>
      </c>
      <c r="I8161">
        <v>7</v>
      </c>
      <c r="J8161" t="str" cm="1">
        <f t="array" ref="J8161">_xlfn.IFS(I8161&lt;=3,"small",I8161&lt;=6,"Medium",I8161&lt;=9,"Large")</f>
        <v>Large</v>
      </c>
      <c r="K8161" s="36">
        <v>45495</v>
      </c>
      <c r="L8161" s="36">
        <v>45498</v>
      </c>
      <c r="M8161" t="s">
        <v>612</v>
      </c>
      <c r="N8161" t="s">
        <v>608</v>
      </c>
      <c r="O8161" s="37" t="str">
        <f t="shared" si="638"/>
        <v>Cash Payment</v>
      </c>
      <c r="P8161">
        <v>885.58</v>
      </c>
      <c r="Q8161" s="37" t="str">
        <f>IF(P8161&gt;500,"High","low")</f>
        <v>High</v>
      </c>
      <c r="R8161" s="37" t="str">
        <f t="shared" si="639"/>
        <v>Good</v>
      </c>
      <c r="S8161" t="s">
        <v>620</v>
      </c>
    </row>
    <row r="8162" spans="1:19" x14ac:dyDescent="0.2">
      <c r="A8162" t="s">
        <v>8773</v>
      </c>
      <c r="B8162" t="s">
        <v>67</v>
      </c>
      <c r="C8162" t="s">
        <v>602</v>
      </c>
      <c r="D8162">
        <v>4473.34</v>
      </c>
      <c r="E8162" s="37" t="str">
        <f t="shared" si="635"/>
        <v xml:space="preserve"> </v>
      </c>
      <c r="F8162">
        <v>0.38</v>
      </c>
      <c r="G8162" s="37" t="str">
        <f t="shared" si="636"/>
        <v>Heavy Discount</v>
      </c>
      <c r="H8162" s="37" t="str">
        <f t="shared" si="637"/>
        <v>Medium</v>
      </c>
      <c r="I8162">
        <v>6</v>
      </c>
      <c r="J8162" t="str" cm="1">
        <f t="array" ref="J8162">_xlfn.IFS(I8162&lt;=3,"small",I8162&lt;=6,"Medium",I8162&lt;=9,"Large")</f>
        <v>Medium</v>
      </c>
      <c r="K8162" s="36">
        <v>45562</v>
      </c>
      <c r="L8162" s="36">
        <v>45568</v>
      </c>
      <c r="M8162" t="s">
        <v>612</v>
      </c>
      <c r="N8162" t="s">
        <v>599</v>
      </c>
      <c r="O8162" s="37" t="str">
        <f t="shared" si="638"/>
        <v>Digital Payment</v>
      </c>
      <c r="P8162">
        <v>622.11</v>
      </c>
      <c r="Q8162" s="37" t="str">
        <f>IF(P8162&gt;500,"High","low")</f>
        <v>High</v>
      </c>
      <c r="R8162" s="37" t="str">
        <f t="shared" si="639"/>
        <v>Good</v>
      </c>
      <c r="S8162" t="s">
        <v>620</v>
      </c>
    </row>
    <row r="8163" spans="1:19" x14ac:dyDescent="0.2">
      <c r="A8163" t="s">
        <v>8774</v>
      </c>
      <c r="B8163" t="s">
        <v>83</v>
      </c>
      <c r="C8163" t="s">
        <v>614</v>
      </c>
      <c r="D8163">
        <v>1784.14</v>
      </c>
      <c r="E8163" s="37" t="str">
        <f t="shared" si="635"/>
        <v xml:space="preserve"> </v>
      </c>
      <c r="F8163">
        <v>0.05</v>
      </c>
      <c r="G8163" s="37" t="str">
        <f t="shared" si="636"/>
        <v>Normal Discount</v>
      </c>
      <c r="H8163" s="37" t="str">
        <f t="shared" si="637"/>
        <v>Low</v>
      </c>
      <c r="I8163">
        <v>8</v>
      </c>
      <c r="J8163" t="str" cm="1">
        <f t="array" ref="J8163">_xlfn.IFS(I8163&lt;=3,"small",I8163&lt;=6,"Medium",I8163&lt;=9,"Large")</f>
        <v>Large</v>
      </c>
      <c r="K8163" s="36">
        <v>45076</v>
      </c>
      <c r="L8163" s="36">
        <v>45082</v>
      </c>
      <c r="M8163" t="s">
        <v>598</v>
      </c>
      <c r="N8163" t="s">
        <v>608</v>
      </c>
      <c r="O8163" s="37" t="str">
        <f t="shared" si="638"/>
        <v>Cash Payment</v>
      </c>
      <c r="P8163">
        <v>99.3</v>
      </c>
      <c r="Q8163" s="37" t="str">
        <f>IF(P8163&gt;500,"High","low")</f>
        <v>low</v>
      </c>
      <c r="R8163" s="37" t="str">
        <f t="shared" si="639"/>
        <v>AVERAGE</v>
      </c>
      <c r="S8163" t="s">
        <v>620</v>
      </c>
    </row>
    <row r="8164" spans="1:19" x14ac:dyDescent="0.2">
      <c r="A8164" t="s">
        <v>8775</v>
      </c>
      <c r="B8164" t="s">
        <v>67</v>
      </c>
      <c r="C8164" t="s">
        <v>617</v>
      </c>
      <c r="D8164">
        <v>1004.2</v>
      </c>
      <c r="E8164" s="37" t="str">
        <f t="shared" si="635"/>
        <v xml:space="preserve"> </v>
      </c>
      <c r="F8164">
        <v>0.3</v>
      </c>
      <c r="G8164" s="37" t="str">
        <f t="shared" si="636"/>
        <v>Normal Discount</v>
      </c>
      <c r="H8164" s="37" t="str">
        <f t="shared" si="637"/>
        <v>Medium</v>
      </c>
      <c r="I8164">
        <v>5</v>
      </c>
      <c r="J8164" t="str" cm="1">
        <f t="array" ref="J8164">_xlfn.IFS(I8164&lt;=3,"small",I8164&lt;=6,"Medium",I8164&lt;=9,"Large")</f>
        <v>Medium</v>
      </c>
      <c r="K8164" s="36">
        <v>45465</v>
      </c>
      <c r="L8164" s="36">
        <v>45471</v>
      </c>
      <c r="M8164" t="s">
        <v>612</v>
      </c>
      <c r="N8164" t="s">
        <v>608</v>
      </c>
      <c r="O8164" s="37" t="str">
        <f t="shared" si="638"/>
        <v>Cash Payment</v>
      </c>
      <c r="P8164">
        <v>120.92</v>
      </c>
      <c r="Q8164" s="37" t="str">
        <f>IF(P8164&gt;500,"High","low")</f>
        <v>low</v>
      </c>
      <c r="R8164" s="37" t="str">
        <f t="shared" si="639"/>
        <v>AVERAGE</v>
      </c>
      <c r="S8164" t="s">
        <v>615</v>
      </c>
    </row>
    <row r="8165" spans="1:19" x14ac:dyDescent="0.2">
      <c r="A8165" t="s">
        <v>8776</v>
      </c>
      <c r="B8165" t="s">
        <v>75</v>
      </c>
      <c r="C8165" t="s">
        <v>607</v>
      </c>
      <c r="D8165">
        <v>206.83</v>
      </c>
      <c r="E8165" s="37" t="str">
        <f t="shared" si="635"/>
        <v xml:space="preserve"> </v>
      </c>
      <c r="F8165">
        <v>0.33</v>
      </c>
      <c r="G8165" s="37" t="str">
        <f t="shared" si="636"/>
        <v>Heavy Discount</v>
      </c>
      <c r="H8165" s="37" t="str">
        <f t="shared" si="637"/>
        <v>Medium</v>
      </c>
      <c r="I8165">
        <v>5</v>
      </c>
      <c r="J8165" t="str" cm="1">
        <f t="array" ref="J8165">_xlfn.IFS(I8165&lt;=3,"small",I8165&lt;=6,"Medium",I8165&lt;=9,"Large")</f>
        <v>Medium</v>
      </c>
      <c r="K8165" s="36">
        <v>45640</v>
      </c>
      <c r="L8165" s="36">
        <v>45641</v>
      </c>
      <c r="M8165" t="s">
        <v>598</v>
      </c>
      <c r="N8165" t="s">
        <v>599</v>
      </c>
      <c r="O8165" s="37" t="str">
        <f t="shared" si="638"/>
        <v>Digital Payment</v>
      </c>
      <c r="P8165">
        <v>59</v>
      </c>
      <c r="Q8165" s="37" t="str">
        <f>IF(P8165&gt;500,"High","low")</f>
        <v>low</v>
      </c>
      <c r="R8165" s="37" t="str">
        <f t="shared" si="639"/>
        <v>AVERAGE</v>
      </c>
      <c r="S8165" t="s">
        <v>620</v>
      </c>
    </row>
    <row r="8166" spans="1:19" x14ac:dyDescent="0.2">
      <c r="A8166" t="s">
        <v>8777</v>
      </c>
      <c r="B8166" t="s">
        <v>75</v>
      </c>
      <c r="C8166" t="s">
        <v>597</v>
      </c>
      <c r="D8166">
        <v>1351.98</v>
      </c>
      <c r="E8166" s="37" t="str">
        <f t="shared" si="635"/>
        <v xml:space="preserve"> </v>
      </c>
      <c r="F8166">
        <v>0.23</v>
      </c>
      <c r="G8166" s="37" t="str">
        <f t="shared" si="636"/>
        <v>Normal Discount</v>
      </c>
      <c r="H8166" s="37" t="str">
        <f t="shared" si="637"/>
        <v>Medium</v>
      </c>
      <c r="I8166">
        <v>2</v>
      </c>
      <c r="J8166" t="str" cm="1">
        <f t="array" ref="J8166">_xlfn.IFS(I8166&lt;=3,"small",I8166&lt;=6,"Medium",I8166&lt;=9,"Large")</f>
        <v>small</v>
      </c>
      <c r="K8166" s="36">
        <v>45049</v>
      </c>
      <c r="L8166" s="36">
        <v>45053</v>
      </c>
      <c r="M8166" t="s">
        <v>612</v>
      </c>
      <c r="N8166" t="s">
        <v>599</v>
      </c>
      <c r="O8166" s="37" t="str">
        <f t="shared" si="638"/>
        <v>Digital Payment</v>
      </c>
      <c r="P8166">
        <v>110.9</v>
      </c>
      <c r="Q8166" s="37" t="str">
        <f>IF(P8166&gt;500,"High","low")</f>
        <v>low</v>
      </c>
      <c r="R8166" s="37" t="str">
        <f t="shared" si="639"/>
        <v>AVERAGE</v>
      </c>
      <c r="S8166" t="s">
        <v>615</v>
      </c>
    </row>
    <row r="8167" spans="1:19" x14ac:dyDescent="0.2">
      <c r="A8167" t="s">
        <v>8778</v>
      </c>
      <c r="B8167" t="s">
        <v>67</v>
      </c>
      <c r="C8167" t="s">
        <v>607</v>
      </c>
      <c r="D8167">
        <v>1899.14</v>
      </c>
      <c r="E8167" s="37" t="str">
        <f t="shared" si="635"/>
        <v xml:space="preserve"> </v>
      </c>
      <c r="F8167">
        <v>0.13</v>
      </c>
      <c r="G8167" s="37" t="str">
        <f t="shared" si="636"/>
        <v>Normal Discount</v>
      </c>
      <c r="H8167" s="37" t="str">
        <f t="shared" si="637"/>
        <v>Low</v>
      </c>
      <c r="I8167">
        <v>6</v>
      </c>
      <c r="J8167" t="str" cm="1">
        <f t="array" ref="J8167">_xlfn.IFS(I8167&lt;=3,"small",I8167&lt;=6,"Medium",I8167&lt;=9,"Large")</f>
        <v>Medium</v>
      </c>
      <c r="K8167" s="36">
        <v>45015</v>
      </c>
      <c r="L8167" s="36">
        <v>45022</v>
      </c>
      <c r="M8167" t="s">
        <v>603</v>
      </c>
      <c r="N8167" t="s">
        <v>608</v>
      </c>
      <c r="O8167" s="37" t="str">
        <f t="shared" si="638"/>
        <v>Cash Payment</v>
      </c>
      <c r="P8167">
        <v>366.7</v>
      </c>
      <c r="Q8167" s="37" t="str">
        <f>IF(P8167&gt;500,"High","low")</f>
        <v>low</v>
      </c>
      <c r="R8167" s="37" t="str">
        <f t="shared" si="639"/>
        <v>AVERAGE</v>
      </c>
      <c r="S8167" t="s">
        <v>600</v>
      </c>
    </row>
    <row r="8168" spans="1:19" x14ac:dyDescent="0.2">
      <c r="A8168" t="s">
        <v>8779</v>
      </c>
      <c r="B8168" t="s">
        <v>75</v>
      </c>
      <c r="C8168" t="s">
        <v>607</v>
      </c>
      <c r="D8168">
        <v>4735.7299999999996</v>
      </c>
      <c r="E8168" s="37" t="str">
        <f t="shared" si="635"/>
        <v>Excellent Order</v>
      </c>
      <c r="F8168">
        <v>0.48</v>
      </c>
      <c r="G8168" s="37" t="str">
        <f t="shared" si="636"/>
        <v>Heavy Discount</v>
      </c>
      <c r="H8168" s="37" t="str">
        <f t="shared" si="637"/>
        <v>High</v>
      </c>
      <c r="I8168">
        <v>5</v>
      </c>
      <c r="J8168" t="str" cm="1">
        <f t="array" ref="J8168">_xlfn.IFS(I8168&lt;=3,"small",I8168&lt;=6,"Medium",I8168&lt;=9,"Large")</f>
        <v>Medium</v>
      </c>
      <c r="K8168" s="36">
        <v>45498</v>
      </c>
      <c r="L8168" s="36">
        <v>45501</v>
      </c>
      <c r="M8168" t="s">
        <v>603</v>
      </c>
      <c r="N8168" t="s">
        <v>608</v>
      </c>
      <c r="O8168" s="37" t="str">
        <f t="shared" si="638"/>
        <v>Cash Payment</v>
      </c>
      <c r="P8168">
        <v>1394.15</v>
      </c>
      <c r="Q8168" s="37" t="str">
        <f>IF(P8168&gt;500,"High","low")</f>
        <v>High</v>
      </c>
      <c r="R8168" s="37" t="str">
        <f t="shared" si="639"/>
        <v>Excellent</v>
      </c>
      <c r="S8168" t="s">
        <v>615</v>
      </c>
    </row>
    <row r="8169" spans="1:19" x14ac:dyDescent="0.2">
      <c r="A8169" t="s">
        <v>8780</v>
      </c>
      <c r="B8169" t="s">
        <v>83</v>
      </c>
      <c r="C8169" t="s">
        <v>607</v>
      </c>
      <c r="D8169">
        <v>2507.73</v>
      </c>
      <c r="E8169" s="37" t="str">
        <f t="shared" si="635"/>
        <v xml:space="preserve"> </v>
      </c>
      <c r="F8169">
        <v>0.15</v>
      </c>
      <c r="G8169" s="37" t="str">
        <f t="shared" si="636"/>
        <v>Normal Discount</v>
      </c>
      <c r="H8169" s="37" t="str">
        <f t="shared" si="637"/>
        <v>Low</v>
      </c>
      <c r="I8169">
        <v>9</v>
      </c>
      <c r="J8169" t="str" cm="1">
        <f t="array" ref="J8169">_xlfn.IFS(I8169&lt;=3,"small",I8169&lt;=6,"Medium",I8169&lt;=9,"Large")</f>
        <v>Large</v>
      </c>
      <c r="K8169" s="36">
        <v>45257</v>
      </c>
      <c r="L8169" s="36">
        <v>45262</v>
      </c>
      <c r="M8169" t="s">
        <v>603</v>
      </c>
      <c r="N8169" t="s">
        <v>604</v>
      </c>
      <c r="O8169" s="37" t="str">
        <f t="shared" si="638"/>
        <v>Digital Payment</v>
      </c>
      <c r="P8169">
        <v>451.9</v>
      </c>
      <c r="Q8169" s="37" t="str">
        <f>IF(P8169&gt;500,"High","low")</f>
        <v>low</v>
      </c>
      <c r="R8169" s="37" t="str">
        <f t="shared" si="639"/>
        <v>AVERAGE</v>
      </c>
      <c r="S8169" t="s">
        <v>620</v>
      </c>
    </row>
    <row r="8170" spans="1:19" x14ac:dyDescent="0.2">
      <c r="A8170" t="s">
        <v>8781</v>
      </c>
      <c r="B8170" t="s">
        <v>83</v>
      </c>
      <c r="C8170" t="s">
        <v>602</v>
      </c>
      <c r="D8170">
        <v>2826.55</v>
      </c>
      <c r="E8170" s="37" t="str">
        <f t="shared" si="635"/>
        <v xml:space="preserve"> </v>
      </c>
      <c r="F8170">
        <v>0.06</v>
      </c>
      <c r="G8170" s="37" t="str">
        <f t="shared" si="636"/>
        <v>Normal Discount</v>
      </c>
      <c r="H8170" s="37" t="str">
        <f t="shared" si="637"/>
        <v>Low</v>
      </c>
      <c r="I8170">
        <v>3</v>
      </c>
      <c r="J8170" t="str" cm="1">
        <f t="array" ref="J8170">_xlfn.IFS(I8170&lt;=3,"small",I8170&lt;=6,"Medium",I8170&lt;=9,"Large")</f>
        <v>small</v>
      </c>
      <c r="K8170" s="36">
        <v>44998</v>
      </c>
      <c r="L8170" s="36">
        <v>45002</v>
      </c>
      <c r="M8170" t="s">
        <v>612</v>
      </c>
      <c r="N8170" t="s">
        <v>604</v>
      </c>
      <c r="O8170" s="37" t="str">
        <f t="shared" si="638"/>
        <v>Digital Payment</v>
      </c>
      <c r="P8170">
        <v>374.63</v>
      </c>
      <c r="Q8170" s="37" t="str">
        <f>IF(P8170&gt;500,"High","low")</f>
        <v>low</v>
      </c>
      <c r="R8170" s="37" t="str">
        <f t="shared" si="639"/>
        <v>AVERAGE</v>
      </c>
      <c r="S8170" t="s">
        <v>605</v>
      </c>
    </row>
    <row r="8171" spans="1:19" x14ac:dyDescent="0.2">
      <c r="A8171" t="s">
        <v>8782</v>
      </c>
      <c r="B8171" t="s">
        <v>90</v>
      </c>
      <c r="C8171" t="s">
        <v>602</v>
      </c>
      <c r="D8171">
        <v>4412.63</v>
      </c>
      <c r="E8171" s="37" t="str">
        <f t="shared" si="635"/>
        <v>Excellent Order</v>
      </c>
      <c r="F8171">
        <v>0.32</v>
      </c>
      <c r="G8171" s="37" t="str">
        <f t="shared" si="636"/>
        <v>Heavy Discount</v>
      </c>
      <c r="H8171" s="37" t="str">
        <f t="shared" si="637"/>
        <v>Medium</v>
      </c>
      <c r="I8171">
        <v>5</v>
      </c>
      <c r="J8171" t="str" cm="1">
        <f t="array" ref="J8171">_xlfn.IFS(I8171&lt;=3,"small",I8171&lt;=6,"Medium",I8171&lt;=9,"Large")</f>
        <v>Medium</v>
      </c>
      <c r="K8171" s="36">
        <v>45382</v>
      </c>
      <c r="L8171" s="36">
        <v>45385</v>
      </c>
      <c r="M8171" t="s">
        <v>603</v>
      </c>
      <c r="N8171" t="s">
        <v>599</v>
      </c>
      <c r="O8171" s="37" t="str">
        <f t="shared" si="638"/>
        <v>Digital Payment</v>
      </c>
      <c r="P8171">
        <v>880.93</v>
      </c>
      <c r="Q8171" s="37" t="str">
        <f>IF(P8171&gt;500,"High","low")</f>
        <v>High</v>
      </c>
      <c r="R8171" s="37" t="str">
        <f t="shared" si="639"/>
        <v>Good</v>
      </c>
      <c r="S8171" t="s">
        <v>620</v>
      </c>
    </row>
    <row r="8172" spans="1:19" x14ac:dyDescent="0.2">
      <c r="A8172" t="s">
        <v>8783</v>
      </c>
      <c r="B8172" t="s">
        <v>75</v>
      </c>
      <c r="C8172" t="s">
        <v>617</v>
      </c>
      <c r="D8172">
        <v>4436.84</v>
      </c>
      <c r="E8172" s="37" t="str">
        <f t="shared" si="635"/>
        <v xml:space="preserve"> </v>
      </c>
      <c r="F8172">
        <v>0.28999999999999998</v>
      </c>
      <c r="G8172" s="37" t="str">
        <f t="shared" si="636"/>
        <v>Normal Discount</v>
      </c>
      <c r="H8172" s="37" t="str">
        <f t="shared" si="637"/>
        <v>Medium</v>
      </c>
      <c r="I8172">
        <v>3</v>
      </c>
      <c r="J8172" t="str" cm="1">
        <f t="array" ref="J8172">_xlfn.IFS(I8172&lt;=3,"small",I8172&lt;=6,"Medium",I8172&lt;=9,"Large")</f>
        <v>small</v>
      </c>
      <c r="K8172" s="36">
        <v>45219</v>
      </c>
      <c r="L8172" s="36">
        <v>45221</v>
      </c>
      <c r="M8172" t="s">
        <v>598</v>
      </c>
      <c r="N8172" t="s">
        <v>604</v>
      </c>
      <c r="O8172" s="37" t="str">
        <f t="shared" si="638"/>
        <v>Digital Payment</v>
      </c>
      <c r="P8172">
        <v>506.45</v>
      </c>
      <c r="Q8172" s="37" t="str">
        <f>IF(P8172&gt;500,"High","low")</f>
        <v>High</v>
      </c>
      <c r="R8172" s="37" t="str">
        <f t="shared" si="639"/>
        <v>Good</v>
      </c>
      <c r="S8172" t="s">
        <v>605</v>
      </c>
    </row>
    <row r="8173" spans="1:19" x14ac:dyDescent="0.2">
      <c r="A8173" t="s">
        <v>8784</v>
      </c>
      <c r="B8173" t="s">
        <v>83</v>
      </c>
      <c r="C8173" t="s">
        <v>614</v>
      </c>
      <c r="D8173">
        <v>2686.79</v>
      </c>
      <c r="E8173" s="37" t="str">
        <f t="shared" si="635"/>
        <v xml:space="preserve"> </v>
      </c>
      <c r="F8173">
        <v>0.38</v>
      </c>
      <c r="G8173" s="37" t="str">
        <f t="shared" si="636"/>
        <v>Heavy Discount</v>
      </c>
      <c r="H8173" s="37" t="str">
        <f t="shared" si="637"/>
        <v>Medium</v>
      </c>
      <c r="I8173">
        <v>9</v>
      </c>
      <c r="J8173" t="str" cm="1">
        <f t="array" ref="J8173">_xlfn.IFS(I8173&lt;=3,"small",I8173&lt;=6,"Medium",I8173&lt;=9,"Large")</f>
        <v>Large</v>
      </c>
      <c r="K8173" s="36">
        <v>45548</v>
      </c>
      <c r="L8173" s="36">
        <v>45554</v>
      </c>
      <c r="M8173" t="s">
        <v>603</v>
      </c>
      <c r="N8173" t="s">
        <v>608</v>
      </c>
      <c r="O8173" s="37" t="str">
        <f t="shared" si="638"/>
        <v>Cash Payment</v>
      </c>
      <c r="P8173">
        <v>655.30999999999995</v>
      </c>
      <c r="Q8173" s="37" t="str">
        <f>IF(P8173&gt;500,"High","low")</f>
        <v>High</v>
      </c>
      <c r="R8173" s="37" t="str">
        <f t="shared" si="639"/>
        <v>Good</v>
      </c>
      <c r="S8173" t="s">
        <v>620</v>
      </c>
    </row>
    <row r="8174" spans="1:19" x14ac:dyDescent="0.2">
      <c r="A8174" t="s">
        <v>8785</v>
      </c>
      <c r="B8174" t="s">
        <v>67</v>
      </c>
      <c r="C8174" t="s">
        <v>597</v>
      </c>
      <c r="D8174">
        <v>657.15</v>
      </c>
      <c r="E8174" s="37" t="str">
        <f t="shared" si="635"/>
        <v xml:space="preserve"> </v>
      </c>
      <c r="F8174">
        <v>0.38</v>
      </c>
      <c r="G8174" s="37" t="str">
        <f t="shared" si="636"/>
        <v>Heavy Discount</v>
      </c>
      <c r="H8174" s="37" t="str">
        <f t="shared" si="637"/>
        <v>Medium</v>
      </c>
      <c r="I8174">
        <v>9</v>
      </c>
      <c r="J8174" t="str" cm="1">
        <f t="array" ref="J8174">_xlfn.IFS(I8174&lt;=3,"small",I8174&lt;=6,"Medium",I8174&lt;=9,"Large")</f>
        <v>Large</v>
      </c>
      <c r="K8174" s="36">
        <v>45052</v>
      </c>
      <c r="L8174" s="36">
        <v>45058</v>
      </c>
      <c r="M8174" t="s">
        <v>603</v>
      </c>
      <c r="N8174" t="s">
        <v>604</v>
      </c>
      <c r="O8174" s="37" t="str">
        <f t="shared" si="638"/>
        <v>Digital Payment</v>
      </c>
      <c r="P8174">
        <v>174.58</v>
      </c>
      <c r="Q8174" s="37" t="str">
        <f>IF(P8174&gt;500,"High","low")</f>
        <v>low</v>
      </c>
      <c r="R8174" s="37" t="str">
        <f t="shared" si="639"/>
        <v>AVERAGE</v>
      </c>
      <c r="S8174" t="s">
        <v>609</v>
      </c>
    </row>
    <row r="8175" spans="1:19" x14ac:dyDescent="0.2">
      <c r="A8175" t="s">
        <v>8786</v>
      </c>
      <c r="B8175" t="s">
        <v>75</v>
      </c>
      <c r="C8175" t="s">
        <v>602</v>
      </c>
      <c r="D8175">
        <v>1425.53</v>
      </c>
      <c r="E8175" s="37" t="str">
        <f t="shared" si="635"/>
        <v xml:space="preserve"> </v>
      </c>
      <c r="F8175">
        <v>0.31</v>
      </c>
      <c r="G8175" s="37" t="str">
        <f t="shared" si="636"/>
        <v>Heavy Discount</v>
      </c>
      <c r="H8175" s="37" t="str">
        <f t="shared" si="637"/>
        <v>Medium</v>
      </c>
      <c r="I8175">
        <v>7</v>
      </c>
      <c r="J8175" t="str" cm="1">
        <f t="array" ref="J8175">_xlfn.IFS(I8175&lt;=3,"small",I8175&lt;=6,"Medium",I8175&lt;=9,"Large")</f>
        <v>Large</v>
      </c>
      <c r="K8175" s="36">
        <v>45486</v>
      </c>
      <c r="L8175" s="36">
        <v>45491</v>
      </c>
      <c r="M8175" t="s">
        <v>612</v>
      </c>
      <c r="N8175" t="s">
        <v>608</v>
      </c>
      <c r="O8175" s="37" t="str">
        <f t="shared" si="638"/>
        <v>Cash Payment</v>
      </c>
      <c r="P8175">
        <v>196.82</v>
      </c>
      <c r="Q8175" s="37" t="str">
        <f>IF(P8175&gt;500,"High","low")</f>
        <v>low</v>
      </c>
      <c r="R8175" s="37" t="str">
        <f t="shared" si="639"/>
        <v>AVERAGE</v>
      </c>
      <c r="S8175" t="s">
        <v>620</v>
      </c>
    </row>
    <row r="8176" spans="1:19" x14ac:dyDescent="0.2">
      <c r="A8176" t="s">
        <v>8787</v>
      </c>
      <c r="B8176" t="s">
        <v>83</v>
      </c>
      <c r="C8176" t="s">
        <v>607</v>
      </c>
      <c r="D8176">
        <v>2338.75</v>
      </c>
      <c r="E8176" s="37" t="str">
        <f t="shared" si="635"/>
        <v xml:space="preserve"> </v>
      </c>
      <c r="F8176">
        <v>0.1</v>
      </c>
      <c r="G8176" s="37" t="str">
        <f t="shared" si="636"/>
        <v>Normal Discount</v>
      </c>
      <c r="H8176" s="37" t="str">
        <f t="shared" si="637"/>
        <v>Low</v>
      </c>
      <c r="I8176">
        <v>1</v>
      </c>
      <c r="J8176" t="str" cm="1">
        <f t="array" ref="J8176">_xlfn.IFS(I8176&lt;=3,"small",I8176&lt;=6,"Medium",I8176&lt;=9,"Large")</f>
        <v>small</v>
      </c>
      <c r="K8176" s="36">
        <v>45178</v>
      </c>
      <c r="L8176" s="36">
        <v>45179</v>
      </c>
      <c r="M8176" t="s">
        <v>598</v>
      </c>
      <c r="N8176" t="s">
        <v>604</v>
      </c>
      <c r="O8176" s="37" t="str">
        <f t="shared" si="638"/>
        <v>Digital Payment</v>
      </c>
      <c r="P8176">
        <v>568.85</v>
      </c>
      <c r="Q8176" s="37" t="str">
        <f>IF(P8176&gt;500,"High","low")</f>
        <v>High</v>
      </c>
      <c r="R8176" s="37" t="str">
        <f t="shared" si="639"/>
        <v>Good</v>
      </c>
      <c r="S8176" t="s">
        <v>620</v>
      </c>
    </row>
    <row r="8177" spans="1:19" x14ac:dyDescent="0.2">
      <c r="A8177" t="s">
        <v>8788</v>
      </c>
      <c r="B8177" t="s">
        <v>75</v>
      </c>
      <c r="C8177" t="s">
        <v>614</v>
      </c>
      <c r="D8177">
        <v>3780.73</v>
      </c>
      <c r="E8177" s="37" t="str">
        <f t="shared" si="635"/>
        <v xml:space="preserve"> </v>
      </c>
      <c r="F8177">
        <v>0.44</v>
      </c>
      <c r="G8177" s="37" t="str">
        <f t="shared" si="636"/>
        <v>Heavy Discount</v>
      </c>
      <c r="H8177" s="37" t="str">
        <f t="shared" si="637"/>
        <v>High</v>
      </c>
      <c r="I8177">
        <v>9</v>
      </c>
      <c r="J8177" t="str" cm="1">
        <f t="array" ref="J8177">_xlfn.IFS(I8177&lt;=3,"small",I8177&lt;=6,"Medium",I8177&lt;=9,"Large")</f>
        <v>Large</v>
      </c>
      <c r="K8177" s="36">
        <v>45398</v>
      </c>
      <c r="L8177" s="36">
        <v>45399</v>
      </c>
      <c r="M8177" t="s">
        <v>598</v>
      </c>
      <c r="N8177" t="s">
        <v>608</v>
      </c>
      <c r="O8177" s="37" t="str">
        <f t="shared" si="638"/>
        <v>Cash Payment</v>
      </c>
      <c r="P8177">
        <v>978.53</v>
      </c>
      <c r="Q8177" s="37" t="str">
        <f>IF(P8177&gt;500,"High","low")</f>
        <v>High</v>
      </c>
      <c r="R8177" s="37" t="str">
        <f t="shared" si="639"/>
        <v>Good</v>
      </c>
      <c r="S8177" t="s">
        <v>615</v>
      </c>
    </row>
    <row r="8178" spans="1:19" x14ac:dyDescent="0.2">
      <c r="A8178" t="s">
        <v>8789</v>
      </c>
      <c r="B8178" t="s">
        <v>67</v>
      </c>
      <c r="C8178" t="s">
        <v>597</v>
      </c>
      <c r="D8178">
        <v>3587.24</v>
      </c>
      <c r="E8178" s="37" t="str">
        <f t="shared" si="635"/>
        <v xml:space="preserve"> </v>
      </c>
      <c r="F8178">
        <v>0.12</v>
      </c>
      <c r="G8178" s="37" t="str">
        <f t="shared" si="636"/>
        <v>Normal Discount</v>
      </c>
      <c r="H8178" s="37" t="str">
        <f t="shared" si="637"/>
        <v>Low</v>
      </c>
      <c r="I8178">
        <v>9</v>
      </c>
      <c r="J8178" t="str" cm="1">
        <f t="array" ref="J8178">_xlfn.IFS(I8178&lt;=3,"small",I8178&lt;=6,"Medium",I8178&lt;=9,"Large")</f>
        <v>Large</v>
      </c>
      <c r="K8178" s="36">
        <v>45195</v>
      </c>
      <c r="L8178" s="36">
        <v>45197</v>
      </c>
      <c r="M8178" t="s">
        <v>603</v>
      </c>
      <c r="N8178" t="s">
        <v>599</v>
      </c>
      <c r="O8178" s="37" t="str">
        <f t="shared" si="638"/>
        <v>Digital Payment</v>
      </c>
      <c r="P8178">
        <v>545.24</v>
      </c>
      <c r="Q8178" s="37" t="str">
        <f>IF(P8178&gt;500,"High","low")</f>
        <v>High</v>
      </c>
      <c r="R8178" s="37" t="str">
        <f t="shared" si="639"/>
        <v>Good</v>
      </c>
      <c r="S8178" t="s">
        <v>628</v>
      </c>
    </row>
    <row r="8179" spans="1:19" x14ac:dyDescent="0.2">
      <c r="A8179" t="s">
        <v>8790</v>
      </c>
      <c r="B8179" t="s">
        <v>83</v>
      </c>
      <c r="C8179" t="s">
        <v>597</v>
      </c>
      <c r="D8179">
        <v>3249.27</v>
      </c>
      <c r="E8179" s="37" t="str">
        <f t="shared" si="635"/>
        <v xml:space="preserve"> </v>
      </c>
      <c r="F8179">
        <v>0.05</v>
      </c>
      <c r="G8179" s="37" t="str">
        <f t="shared" si="636"/>
        <v>Normal Discount</v>
      </c>
      <c r="H8179" s="37" t="str">
        <f t="shared" si="637"/>
        <v>Low</v>
      </c>
      <c r="I8179">
        <v>5</v>
      </c>
      <c r="J8179" t="str" cm="1">
        <f t="array" ref="J8179">_xlfn.IFS(I8179&lt;=3,"small",I8179&lt;=6,"Medium",I8179&lt;=9,"Large")</f>
        <v>Medium</v>
      </c>
      <c r="K8179" s="36">
        <v>45157</v>
      </c>
      <c r="L8179" s="36">
        <v>45160</v>
      </c>
      <c r="M8179" t="s">
        <v>598</v>
      </c>
      <c r="N8179" t="s">
        <v>608</v>
      </c>
      <c r="O8179" s="37" t="str">
        <f t="shared" si="638"/>
        <v>Cash Payment</v>
      </c>
      <c r="P8179">
        <v>933.97</v>
      </c>
      <c r="Q8179" s="37" t="str">
        <f>IF(P8179&gt;500,"High","low")</f>
        <v>High</v>
      </c>
      <c r="R8179" s="37" t="str">
        <f t="shared" si="639"/>
        <v>Good</v>
      </c>
      <c r="S8179" t="s">
        <v>609</v>
      </c>
    </row>
    <row r="8180" spans="1:19" x14ac:dyDescent="0.2">
      <c r="A8180" t="s">
        <v>8791</v>
      </c>
      <c r="B8180" t="s">
        <v>90</v>
      </c>
      <c r="C8180" t="s">
        <v>597</v>
      </c>
      <c r="D8180">
        <v>4413.2</v>
      </c>
      <c r="E8180" s="37" t="str">
        <f t="shared" si="635"/>
        <v>Excellent Order</v>
      </c>
      <c r="F8180">
        <v>0.15</v>
      </c>
      <c r="G8180" s="37" t="str">
        <f t="shared" si="636"/>
        <v>Normal Discount</v>
      </c>
      <c r="H8180" s="37" t="str">
        <f t="shared" si="637"/>
        <v>Low</v>
      </c>
      <c r="I8180">
        <v>2</v>
      </c>
      <c r="J8180" t="str" cm="1">
        <f t="array" ref="J8180">_xlfn.IFS(I8180&lt;=3,"small",I8180&lt;=6,"Medium",I8180&lt;=9,"Large")</f>
        <v>small</v>
      </c>
      <c r="K8180" s="36">
        <v>45241</v>
      </c>
      <c r="L8180" s="36">
        <v>45246</v>
      </c>
      <c r="M8180" t="s">
        <v>603</v>
      </c>
      <c r="N8180" t="s">
        <v>608</v>
      </c>
      <c r="O8180" s="37" t="str">
        <f t="shared" si="638"/>
        <v>Cash Payment</v>
      </c>
      <c r="P8180">
        <v>981.73</v>
      </c>
      <c r="Q8180" s="37" t="str">
        <f>IF(P8180&gt;500,"High","low")</f>
        <v>High</v>
      </c>
      <c r="R8180" s="37" t="str">
        <f t="shared" si="639"/>
        <v>Good</v>
      </c>
      <c r="S8180" t="s">
        <v>628</v>
      </c>
    </row>
    <row r="8181" spans="1:19" x14ac:dyDescent="0.2">
      <c r="A8181" t="s">
        <v>8792</v>
      </c>
      <c r="B8181" t="s">
        <v>90</v>
      </c>
      <c r="C8181" t="s">
        <v>597</v>
      </c>
      <c r="D8181">
        <v>4032.97</v>
      </c>
      <c r="E8181" s="37" t="str">
        <f t="shared" si="635"/>
        <v xml:space="preserve"> </v>
      </c>
      <c r="F8181">
        <v>0.24</v>
      </c>
      <c r="G8181" s="37" t="str">
        <f t="shared" si="636"/>
        <v>Normal Discount</v>
      </c>
      <c r="H8181" s="37" t="str">
        <f t="shared" si="637"/>
        <v>Medium</v>
      </c>
      <c r="I8181">
        <v>1</v>
      </c>
      <c r="J8181" t="str" cm="1">
        <f t="array" ref="J8181">_xlfn.IFS(I8181&lt;=3,"small",I8181&lt;=6,"Medium",I8181&lt;=9,"Large")</f>
        <v>small</v>
      </c>
      <c r="K8181" s="36">
        <v>45453</v>
      </c>
      <c r="L8181" s="36">
        <v>45457</v>
      </c>
      <c r="M8181" t="s">
        <v>598</v>
      </c>
      <c r="N8181" t="s">
        <v>599</v>
      </c>
      <c r="O8181" s="37" t="str">
        <f t="shared" si="638"/>
        <v>Digital Payment</v>
      </c>
      <c r="P8181">
        <v>662.04</v>
      </c>
      <c r="Q8181" s="37" t="str">
        <f>IF(P8181&gt;500,"High","low")</f>
        <v>High</v>
      </c>
      <c r="R8181" s="37" t="str">
        <f t="shared" si="639"/>
        <v>Good</v>
      </c>
      <c r="S8181" t="s">
        <v>615</v>
      </c>
    </row>
    <row r="8182" spans="1:19" x14ac:dyDescent="0.2">
      <c r="A8182" t="s">
        <v>8793</v>
      </c>
      <c r="B8182" t="s">
        <v>75</v>
      </c>
      <c r="C8182" t="s">
        <v>617</v>
      </c>
      <c r="D8182">
        <v>4912.3599999999997</v>
      </c>
      <c r="E8182" s="37" t="str">
        <f t="shared" si="635"/>
        <v>Excellent Order</v>
      </c>
      <c r="F8182">
        <v>0.1</v>
      </c>
      <c r="G8182" s="37" t="str">
        <f t="shared" si="636"/>
        <v>Normal Discount</v>
      </c>
      <c r="H8182" s="37" t="str">
        <f t="shared" si="637"/>
        <v>Low</v>
      </c>
      <c r="I8182">
        <v>2</v>
      </c>
      <c r="J8182" t="str" cm="1">
        <f t="array" ref="J8182">_xlfn.IFS(I8182&lt;=3,"small",I8182&lt;=6,"Medium",I8182&lt;=9,"Large")</f>
        <v>small</v>
      </c>
      <c r="K8182" s="36">
        <v>45462</v>
      </c>
      <c r="L8182" s="36">
        <v>45464</v>
      </c>
      <c r="M8182" t="s">
        <v>612</v>
      </c>
      <c r="N8182" t="s">
        <v>608</v>
      </c>
      <c r="O8182" s="37" t="str">
        <f t="shared" si="638"/>
        <v>Cash Payment</v>
      </c>
      <c r="P8182">
        <v>995.37</v>
      </c>
      <c r="Q8182" s="37" t="str">
        <f>IF(P8182&gt;500,"High","low")</f>
        <v>High</v>
      </c>
      <c r="R8182" s="37" t="str">
        <f t="shared" si="639"/>
        <v>Good</v>
      </c>
      <c r="S8182" t="s">
        <v>620</v>
      </c>
    </row>
    <row r="8183" spans="1:19" x14ac:dyDescent="0.2">
      <c r="A8183" t="s">
        <v>8794</v>
      </c>
      <c r="B8183" t="s">
        <v>67</v>
      </c>
      <c r="C8183" t="s">
        <v>597</v>
      </c>
      <c r="D8183">
        <v>4456.88</v>
      </c>
      <c r="E8183" s="37" t="str">
        <f t="shared" si="635"/>
        <v xml:space="preserve"> </v>
      </c>
      <c r="F8183">
        <v>0.17</v>
      </c>
      <c r="G8183" s="37" t="str">
        <f t="shared" si="636"/>
        <v>Normal Discount</v>
      </c>
      <c r="H8183" s="37" t="str">
        <f t="shared" si="637"/>
        <v>Low</v>
      </c>
      <c r="I8183">
        <v>4</v>
      </c>
      <c r="J8183" t="str" cm="1">
        <f t="array" ref="J8183">_xlfn.IFS(I8183&lt;=3,"small",I8183&lt;=6,"Medium",I8183&lt;=9,"Large")</f>
        <v>Medium</v>
      </c>
      <c r="K8183" s="36">
        <v>45544</v>
      </c>
      <c r="L8183" s="36">
        <v>45550</v>
      </c>
      <c r="M8183" t="s">
        <v>603</v>
      </c>
      <c r="N8183" t="s">
        <v>599</v>
      </c>
      <c r="O8183" s="37" t="str">
        <f t="shared" si="638"/>
        <v>Digital Payment</v>
      </c>
      <c r="P8183">
        <v>776.55</v>
      </c>
      <c r="Q8183" s="37" t="str">
        <f>IF(P8183&gt;500,"High","low")</f>
        <v>High</v>
      </c>
      <c r="R8183" s="37" t="str">
        <f t="shared" si="639"/>
        <v>Good</v>
      </c>
      <c r="S8183" t="s">
        <v>620</v>
      </c>
    </row>
    <row r="8184" spans="1:19" x14ac:dyDescent="0.2">
      <c r="A8184" t="s">
        <v>8795</v>
      </c>
      <c r="B8184" t="s">
        <v>83</v>
      </c>
      <c r="C8184" t="s">
        <v>614</v>
      </c>
      <c r="D8184">
        <v>1058.72</v>
      </c>
      <c r="E8184" s="37" t="str">
        <f t="shared" si="635"/>
        <v xml:space="preserve"> </v>
      </c>
      <c r="F8184">
        <v>0.26</v>
      </c>
      <c r="G8184" s="37" t="str">
        <f t="shared" si="636"/>
        <v>Normal Discount</v>
      </c>
      <c r="H8184" s="37" t="str">
        <f t="shared" si="637"/>
        <v>Medium</v>
      </c>
      <c r="I8184">
        <v>4</v>
      </c>
      <c r="J8184" t="str" cm="1">
        <f t="array" ref="J8184">_xlfn.IFS(I8184&lt;=3,"small",I8184&lt;=6,"Medium",I8184&lt;=9,"Large")</f>
        <v>Medium</v>
      </c>
      <c r="K8184" s="36">
        <v>45398</v>
      </c>
      <c r="L8184" s="36">
        <v>45404</v>
      </c>
      <c r="M8184" t="s">
        <v>603</v>
      </c>
      <c r="N8184" t="s">
        <v>608</v>
      </c>
      <c r="O8184" s="37" t="str">
        <f t="shared" si="638"/>
        <v>Cash Payment</v>
      </c>
      <c r="P8184">
        <v>96.6</v>
      </c>
      <c r="Q8184" s="37" t="str">
        <f>IF(P8184&gt;500,"High","low")</f>
        <v>low</v>
      </c>
      <c r="R8184" s="37" t="str">
        <f t="shared" si="639"/>
        <v>AVERAGE</v>
      </c>
      <c r="S8184" t="s">
        <v>628</v>
      </c>
    </row>
    <row r="8185" spans="1:19" x14ac:dyDescent="0.2">
      <c r="A8185" t="s">
        <v>8796</v>
      </c>
      <c r="B8185" t="s">
        <v>67</v>
      </c>
      <c r="C8185" t="s">
        <v>602</v>
      </c>
      <c r="D8185">
        <v>382.32</v>
      </c>
      <c r="E8185" s="37" t="str">
        <f t="shared" si="635"/>
        <v xml:space="preserve"> </v>
      </c>
      <c r="F8185">
        <v>0.16</v>
      </c>
      <c r="G8185" s="37" t="str">
        <f t="shared" si="636"/>
        <v>Normal Discount</v>
      </c>
      <c r="H8185" s="37" t="str">
        <f t="shared" si="637"/>
        <v>Low</v>
      </c>
      <c r="I8185">
        <v>1</v>
      </c>
      <c r="J8185" t="str" cm="1">
        <f t="array" ref="J8185">_xlfn.IFS(I8185&lt;=3,"small",I8185&lt;=6,"Medium",I8185&lt;=9,"Large")</f>
        <v>small</v>
      </c>
      <c r="K8185" s="36">
        <v>45557</v>
      </c>
      <c r="L8185" s="36">
        <v>45559</v>
      </c>
      <c r="M8185" t="s">
        <v>598</v>
      </c>
      <c r="N8185" t="s">
        <v>608</v>
      </c>
      <c r="O8185" s="37" t="str">
        <f t="shared" si="638"/>
        <v>Cash Payment</v>
      </c>
      <c r="P8185">
        <v>63.3</v>
      </c>
      <c r="Q8185" s="37" t="str">
        <f>IF(P8185&gt;500,"High","low")</f>
        <v>low</v>
      </c>
      <c r="R8185" s="37" t="str">
        <f t="shared" si="639"/>
        <v>AVERAGE</v>
      </c>
      <c r="S8185" t="s">
        <v>620</v>
      </c>
    </row>
    <row r="8186" spans="1:19" x14ac:dyDescent="0.2">
      <c r="A8186" t="s">
        <v>8797</v>
      </c>
      <c r="B8186" t="s">
        <v>83</v>
      </c>
      <c r="C8186" t="s">
        <v>614</v>
      </c>
      <c r="D8186">
        <v>2131.1</v>
      </c>
      <c r="E8186" s="37" t="str">
        <f t="shared" si="635"/>
        <v xml:space="preserve"> </v>
      </c>
      <c r="F8186">
        <v>0.04</v>
      </c>
      <c r="G8186" s="37" t="str">
        <f t="shared" si="636"/>
        <v>Normal Discount</v>
      </c>
      <c r="H8186" s="37" t="str">
        <f t="shared" si="637"/>
        <v>Low</v>
      </c>
      <c r="I8186">
        <v>8</v>
      </c>
      <c r="J8186" t="str" cm="1">
        <f t="array" ref="J8186">_xlfn.IFS(I8186&lt;=3,"small",I8186&lt;=6,"Medium",I8186&lt;=9,"Large")</f>
        <v>Large</v>
      </c>
      <c r="K8186" s="36">
        <v>45096</v>
      </c>
      <c r="L8186" s="36">
        <v>45103</v>
      </c>
      <c r="M8186" t="s">
        <v>603</v>
      </c>
      <c r="N8186" t="s">
        <v>608</v>
      </c>
      <c r="O8186" s="37" t="str">
        <f t="shared" si="638"/>
        <v>Cash Payment</v>
      </c>
      <c r="P8186">
        <v>403.64</v>
      </c>
      <c r="Q8186" s="37" t="str">
        <f>IF(P8186&gt;500,"High","low")</f>
        <v>low</v>
      </c>
      <c r="R8186" s="37" t="str">
        <f t="shared" si="639"/>
        <v>AVERAGE</v>
      </c>
      <c r="S8186" t="s">
        <v>605</v>
      </c>
    </row>
    <row r="8187" spans="1:19" x14ac:dyDescent="0.2">
      <c r="A8187" t="s">
        <v>8798</v>
      </c>
      <c r="B8187" t="s">
        <v>75</v>
      </c>
      <c r="C8187" t="s">
        <v>607</v>
      </c>
      <c r="D8187">
        <v>3125.77</v>
      </c>
      <c r="E8187" s="37" t="str">
        <f t="shared" si="635"/>
        <v xml:space="preserve"> </v>
      </c>
      <c r="F8187">
        <v>0.1</v>
      </c>
      <c r="G8187" s="37" t="str">
        <f t="shared" si="636"/>
        <v>Normal Discount</v>
      </c>
      <c r="H8187" s="37" t="str">
        <f t="shared" si="637"/>
        <v>Low</v>
      </c>
      <c r="I8187">
        <v>8</v>
      </c>
      <c r="J8187" t="str" cm="1">
        <f t="array" ref="J8187">_xlfn.IFS(I8187&lt;=3,"small",I8187&lt;=6,"Medium",I8187&lt;=9,"Large")</f>
        <v>Large</v>
      </c>
      <c r="K8187" s="36">
        <v>45041</v>
      </c>
      <c r="L8187" s="36">
        <v>45043</v>
      </c>
      <c r="M8187" t="s">
        <v>612</v>
      </c>
      <c r="N8187" t="s">
        <v>599</v>
      </c>
      <c r="O8187" s="37" t="str">
        <f t="shared" si="638"/>
        <v>Digital Payment</v>
      </c>
      <c r="P8187">
        <v>281.79000000000002</v>
      </c>
      <c r="Q8187" s="37" t="str">
        <f>IF(P8187&gt;500,"High","low")</f>
        <v>low</v>
      </c>
      <c r="R8187" s="37" t="str">
        <f t="shared" si="639"/>
        <v>AVERAGE</v>
      </c>
      <c r="S8187" t="s">
        <v>620</v>
      </c>
    </row>
    <row r="8188" spans="1:19" x14ac:dyDescent="0.2">
      <c r="A8188" t="s">
        <v>8799</v>
      </c>
      <c r="B8188" t="s">
        <v>83</v>
      </c>
      <c r="C8188" t="s">
        <v>617</v>
      </c>
      <c r="D8188">
        <v>3251.21</v>
      </c>
      <c r="E8188" s="37" t="str">
        <f t="shared" si="635"/>
        <v xml:space="preserve"> </v>
      </c>
      <c r="F8188">
        <v>0.4</v>
      </c>
      <c r="G8188" s="37" t="str">
        <f t="shared" si="636"/>
        <v>Heavy Discount</v>
      </c>
      <c r="H8188" s="37" t="str">
        <f t="shared" si="637"/>
        <v>Medium</v>
      </c>
      <c r="I8188">
        <v>8</v>
      </c>
      <c r="J8188" t="str" cm="1">
        <f t="array" ref="J8188">_xlfn.IFS(I8188&lt;=3,"small",I8188&lt;=6,"Medium",I8188&lt;=9,"Large")</f>
        <v>Large</v>
      </c>
      <c r="K8188" s="36">
        <v>45573</v>
      </c>
      <c r="L8188" s="36">
        <v>45575</v>
      </c>
      <c r="M8188" t="s">
        <v>603</v>
      </c>
      <c r="N8188" t="s">
        <v>604</v>
      </c>
      <c r="O8188" s="37" t="str">
        <f t="shared" si="638"/>
        <v>Digital Payment</v>
      </c>
      <c r="P8188">
        <v>887.32</v>
      </c>
      <c r="Q8188" s="37" t="str">
        <f>IF(P8188&gt;500,"High","low")</f>
        <v>High</v>
      </c>
      <c r="R8188" s="37" t="str">
        <f t="shared" si="639"/>
        <v>Good</v>
      </c>
      <c r="S8188" t="s">
        <v>609</v>
      </c>
    </row>
    <row r="8189" spans="1:19" x14ac:dyDescent="0.2">
      <c r="A8189" t="s">
        <v>8800</v>
      </c>
      <c r="B8189" t="s">
        <v>67</v>
      </c>
      <c r="C8189" t="s">
        <v>617</v>
      </c>
      <c r="D8189">
        <v>1410.81</v>
      </c>
      <c r="E8189" s="37" t="str">
        <f t="shared" si="635"/>
        <v xml:space="preserve"> </v>
      </c>
      <c r="F8189">
        <v>0.48</v>
      </c>
      <c r="G8189" s="37" t="str">
        <f t="shared" si="636"/>
        <v>Heavy Discount</v>
      </c>
      <c r="H8189" s="37" t="str">
        <f t="shared" si="637"/>
        <v>High</v>
      </c>
      <c r="I8189">
        <v>5</v>
      </c>
      <c r="J8189" t="str" cm="1">
        <f t="array" ref="J8189">_xlfn.IFS(I8189&lt;=3,"small",I8189&lt;=6,"Medium",I8189&lt;=9,"Large")</f>
        <v>Medium</v>
      </c>
      <c r="K8189" s="36">
        <v>45298</v>
      </c>
      <c r="L8189" s="36">
        <v>45305</v>
      </c>
      <c r="M8189" t="s">
        <v>612</v>
      </c>
      <c r="N8189" t="s">
        <v>604</v>
      </c>
      <c r="O8189" s="37" t="str">
        <f t="shared" si="638"/>
        <v>Digital Payment</v>
      </c>
      <c r="P8189">
        <v>280.99</v>
      </c>
      <c r="Q8189" s="37" t="str">
        <f>IF(P8189&gt;500,"High","low")</f>
        <v>low</v>
      </c>
      <c r="R8189" s="37" t="str">
        <f t="shared" si="639"/>
        <v>AVERAGE</v>
      </c>
      <c r="S8189" t="s">
        <v>620</v>
      </c>
    </row>
    <row r="8190" spans="1:19" x14ac:dyDescent="0.2">
      <c r="A8190" t="s">
        <v>8801</v>
      </c>
      <c r="B8190" t="s">
        <v>67</v>
      </c>
      <c r="C8190" t="s">
        <v>607</v>
      </c>
      <c r="D8190">
        <v>4313.42</v>
      </c>
      <c r="E8190" s="37" t="str">
        <f t="shared" si="635"/>
        <v xml:space="preserve"> </v>
      </c>
      <c r="F8190">
        <v>7.0000000000000007E-2</v>
      </c>
      <c r="G8190" s="37" t="str">
        <f t="shared" si="636"/>
        <v>Normal Discount</v>
      </c>
      <c r="H8190" s="37" t="str">
        <f t="shared" si="637"/>
        <v>Low</v>
      </c>
      <c r="I8190">
        <v>2</v>
      </c>
      <c r="J8190" t="str" cm="1">
        <f t="array" ref="J8190">_xlfn.IFS(I8190&lt;=3,"small",I8190&lt;=6,"Medium",I8190&lt;=9,"Large")</f>
        <v>small</v>
      </c>
      <c r="K8190" s="36">
        <v>45078</v>
      </c>
      <c r="L8190" s="36">
        <v>45082</v>
      </c>
      <c r="M8190" t="s">
        <v>603</v>
      </c>
      <c r="N8190" t="s">
        <v>599</v>
      </c>
      <c r="O8190" s="37" t="str">
        <f t="shared" si="638"/>
        <v>Digital Payment</v>
      </c>
      <c r="P8190">
        <v>715.87</v>
      </c>
      <c r="Q8190" s="37" t="str">
        <f>IF(P8190&gt;500,"High","low")</f>
        <v>High</v>
      </c>
      <c r="R8190" s="37" t="str">
        <f t="shared" si="639"/>
        <v>Good</v>
      </c>
      <c r="S8190" t="s">
        <v>620</v>
      </c>
    </row>
    <row r="8191" spans="1:19" x14ac:dyDescent="0.2">
      <c r="A8191" t="s">
        <v>8802</v>
      </c>
      <c r="B8191" t="s">
        <v>75</v>
      </c>
      <c r="C8191" t="s">
        <v>614</v>
      </c>
      <c r="D8191">
        <v>1713.31</v>
      </c>
      <c r="E8191" s="37" t="str">
        <f t="shared" si="635"/>
        <v xml:space="preserve"> </v>
      </c>
      <c r="F8191">
        <v>0.34</v>
      </c>
      <c r="G8191" s="37" t="str">
        <f t="shared" si="636"/>
        <v>Heavy Discount</v>
      </c>
      <c r="H8191" s="37" t="str">
        <f t="shared" si="637"/>
        <v>Medium</v>
      </c>
      <c r="I8191">
        <v>4</v>
      </c>
      <c r="J8191" t="str" cm="1">
        <f t="array" ref="J8191">_xlfn.IFS(I8191&lt;=3,"small",I8191&lt;=6,"Medium",I8191&lt;=9,"Large")</f>
        <v>Medium</v>
      </c>
      <c r="K8191" s="36">
        <v>45209</v>
      </c>
      <c r="L8191" s="36">
        <v>45216</v>
      </c>
      <c r="M8191" t="s">
        <v>598</v>
      </c>
      <c r="N8191" t="s">
        <v>599</v>
      </c>
      <c r="O8191" s="37" t="str">
        <f t="shared" si="638"/>
        <v>Digital Payment</v>
      </c>
      <c r="P8191">
        <v>421.67</v>
      </c>
      <c r="Q8191" s="37" t="str">
        <f>IF(P8191&gt;500,"High","low")</f>
        <v>low</v>
      </c>
      <c r="R8191" s="37" t="str">
        <f t="shared" si="639"/>
        <v>AVERAGE</v>
      </c>
      <c r="S8191" t="s">
        <v>628</v>
      </c>
    </row>
    <row r="8192" spans="1:19" x14ac:dyDescent="0.2">
      <c r="A8192" t="s">
        <v>8803</v>
      </c>
      <c r="B8192" t="s">
        <v>67</v>
      </c>
      <c r="C8192" t="s">
        <v>614</v>
      </c>
      <c r="D8192">
        <v>4603.66</v>
      </c>
      <c r="E8192" s="37" t="str">
        <f t="shared" si="635"/>
        <v>Excellent Order</v>
      </c>
      <c r="F8192">
        <v>0.45</v>
      </c>
      <c r="G8192" s="37" t="str">
        <f t="shared" si="636"/>
        <v>Heavy Discount</v>
      </c>
      <c r="H8192" s="37" t="str">
        <f t="shared" si="637"/>
        <v>High</v>
      </c>
      <c r="I8192">
        <v>1</v>
      </c>
      <c r="J8192" t="str" cm="1">
        <f t="array" ref="J8192">_xlfn.IFS(I8192&lt;=3,"small",I8192&lt;=6,"Medium",I8192&lt;=9,"Large")</f>
        <v>small</v>
      </c>
      <c r="K8192" s="36">
        <v>45411</v>
      </c>
      <c r="L8192" s="36">
        <v>45413</v>
      </c>
      <c r="M8192" t="s">
        <v>612</v>
      </c>
      <c r="N8192" t="s">
        <v>608</v>
      </c>
      <c r="O8192" s="37" t="str">
        <f t="shared" si="638"/>
        <v>Cash Payment</v>
      </c>
      <c r="P8192">
        <v>1112.08</v>
      </c>
      <c r="Q8192" s="37" t="str">
        <f>IF(P8192&gt;500,"High","low")</f>
        <v>High</v>
      </c>
      <c r="R8192" s="37" t="str">
        <f t="shared" si="639"/>
        <v>Excellent</v>
      </c>
      <c r="S8192" t="s">
        <v>615</v>
      </c>
    </row>
    <row r="8193" spans="1:19" x14ac:dyDescent="0.2">
      <c r="A8193" t="s">
        <v>8804</v>
      </c>
      <c r="B8193" t="s">
        <v>83</v>
      </c>
      <c r="C8193" t="s">
        <v>607</v>
      </c>
      <c r="D8193">
        <v>2410.85</v>
      </c>
      <c r="E8193" s="37" t="str">
        <f t="shared" si="635"/>
        <v xml:space="preserve"> </v>
      </c>
      <c r="F8193">
        <v>0.15</v>
      </c>
      <c r="G8193" s="37" t="str">
        <f t="shared" si="636"/>
        <v>Normal Discount</v>
      </c>
      <c r="H8193" s="37" t="str">
        <f t="shared" si="637"/>
        <v>Low</v>
      </c>
      <c r="I8193">
        <v>1</v>
      </c>
      <c r="J8193" t="str" cm="1">
        <f t="array" ref="J8193">_xlfn.IFS(I8193&lt;=3,"small",I8193&lt;=6,"Medium",I8193&lt;=9,"Large")</f>
        <v>small</v>
      </c>
      <c r="K8193" s="36">
        <v>45565</v>
      </c>
      <c r="L8193" s="36">
        <v>45566</v>
      </c>
      <c r="M8193" t="s">
        <v>598</v>
      </c>
      <c r="N8193" t="s">
        <v>599</v>
      </c>
      <c r="O8193" s="37" t="str">
        <f t="shared" si="638"/>
        <v>Digital Payment</v>
      </c>
      <c r="P8193">
        <v>353.75</v>
      </c>
      <c r="Q8193" s="37" t="str">
        <f>IF(P8193&gt;500,"High","low")</f>
        <v>low</v>
      </c>
      <c r="R8193" s="37" t="str">
        <f t="shared" si="639"/>
        <v>AVERAGE</v>
      </c>
      <c r="S8193" t="s">
        <v>620</v>
      </c>
    </row>
    <row r="8194" spans="1:19" x14ac:dyDescent="0.2">
      <c r="A8194" t="s">
        <v>8805</v>
      </c>
      <c r="B8194" t="s">
        <v>75</v>
      </c>
      <c r="C8194" t="s">
        <v>597</v>
      </c>
      <c r="D8194">
        <v>150.91</v>
      </c>
      <c r="E8194" s="37" t="str">
        <f t="shared" si="635"/>
        <v xml:space="preserve"> </v>
      </c>
      <c r="F8194">
        <v>0.41</v>
      </c>
      <c r="G8194" s="37" t="str">
        <f t="shared" si="636"/>
        <v>Heavy Discount</v>
      </c>
      <c r="H8194" s="37" t="str">
        <f t="shared" si="637"/>
        <v>High</v>
      </c>
      <c r="I8194">
        <v>3</v>
      </c>
      <c r="J8194" t="str" cm="1">
        <f t="array" ref="J8194">_xlfn.IFS(I8194&lt;=3,"small",I8194&lt;=6,"Medium",I8194&lt;=9,"Large")</f>
        <v>small</v>
      </c>
      <c r="K8194" s="36">
        <v>45291</v>
      </c>
      <c r="L8194" s="36">
        <v>45292</v>
      </c>
      <c r="M8194" t="s">
        <v>603</v>
      </c>
      <c r="N8194" t="s">
        <v>599</v>
      </c>
      <c r="O8194" s="37" t="str">
        <f t="shared" si="638"/>
        <v>Digital Payment</v>
      </c>
      <c r="P8194">
        <v>24.4</v>
      </c>
      <c r="Q8194" s="37" t="str">
        <f>IF(P8194&gt;500,"High","low")</f>
        <v>low</v>
      </c>
      <c r="R8194" s="37" t="str">
        <f t="shared" si="639"/>
        <v>AVERAGE</v>
      </c>
      <c r="S8194" t="s">
        <v>609</v>
      </c>
    </row>
    <row r="8195" spans="1:19" x14ac:dyDescent="0.2">
      <c r="A8195" t="s">
        <v>8806</v>
      </c>
      <c r="B8195" t="s">
        <v>83</v>
      </c>
      <c r="C8195" t="s">
        <v>597</v>
      </c>
      <c r="D8195">
        <v>894</v>
      </c>
      <c r="E8195" s="37" t="str">
        <f t="shared" ref="E8195:E8258" si="640">IF(AND(D8195&gt;4000,P8195&gt;800),"Excellent Order"," ")</f>
        <v xml:space="preserve"> </v>
      </c>
      <c r="F8195">
        <v>0.45</v>
      </c>
      <c r="G8195" s="37" t="str">
        <f t="shared" ref="G8195:G8258" si="641">IF(F8195&gt;30%,"Heavy Discount","Normal Discount")</f>
        <v>Heavy Discount</v>
      </c>
      <c r="H8195" s="37" t="str">
        <f t="shared" ref="H8195:H8258" si="642">IF(F8195&gt;0.4,"High",IF(F8195&gt;=0.2,"Medium","Low"))</f>
        <v>High</v>
      </c>
      <c r="I8195">
        <v>4</v>
      </c>
      <c r="J8195" t="str" cm="1">
        <f t="array" ref="J8195">_xlfn.IFS(I8195&lt;=3,"small",I8195&lt;=6,"Medium",I8195&lt;=9,"Large")</f>
        <v>Medium</v>
      </c>
      <c r="K8195" s="36">
        <v>45441</v>
      </c>
      <c r="L8195" s="36">
        <v>45447</v>
      </c>
      <c r="M8195" t="s">
        <v>603</v>
      </c>
      <c r="N8195" t="s">
        <v>608</v>
      </c>
      <c r="O8195" s="37" t="str">
        <f t="shared" ref="O8195:O8258" si="643">IF(OR(N8195="Card",N8195="UPI"),"Digital Payment","Cash Payment")</f>
        <v>Cash Payment</v>
      </c>
      <c r="P8195">
        <v>149.63999999999999</v>
      </c>
      <c r="Q8195" s="37" t="str">
        <f>IF(P8195&gt;500,"High","low")</f>
        <v>low</v>
      </c>
      <c r="R8195" s="37" t="str">
        <f t="shared" ref="R8195:R8258" si="644">IF(P8195&gt;1000,"Excellent",IF(P8195&gt;=500,"Good","AVERAGE"))</f>
        <v>AVERAGE</v>
      </c>
      <c r="S8195" t="s">
        <v>615</v>
      </c>
    </row>
    <row r="8196" spans="1:19" x14ac:dyDescent="0.2">
      <c r="A8196" t="s">
        <v>8807</v>
      </c>
      <c r="B8196" t="s">
        <v>67</v>
      </c>
      <c r="C8196" t="s">
        <v>602</v>
      </c>
      <c r="D8196">
        <v>601.36</v>
      </c>
      <c r="E8196" s="37" t="str">
        <f t="shared" si="640"/>
        <v xml:space="preserve"> </v>
      </c>
      <c r="F8196">
        <v>0.15</v>
      </c>
      <c r="G8196" s="37" t="str">
        <f t="shared" si="641"/>
        <v>Normal Discount</v>
      </c>
      <c r="H8196" s="37" t="str">
        <f t="shared" si="642"/>
        <v>Low</v>
      </c>
      <c r="I8196">
        <v>3</v>
      </c>
      <c r="J8196" t="str" cm="1">
        <f t="array" ref="J8196">_xlfn.IFS(I8196&lt;=3,"small",I8196&lt;=6,"Medium",I8196&lt;=9,"Large")</f>
        <v>small</v>
      </c>
      <c r="K8196" s="36">
        <v>45486</v>
      </c>
      <c r="L8196" s="36">
        <v>45493</v>
      </c>
      <c r="M8196" t="s">
        <v>603</v>
      </c>
      <c r="N8196" t="s">
        <v>604</v>
      </c>
      <c r="O8196" s="37" t="str">
        <f t="shared" si="643"/>
        <v>Digital Payment</v>
      </c>
      <c r="P8196">
        <v>52.43</v>
      </c>
      <c r="Q8196" s="37" t="str">
        <f>IF(P8196&gt;500,"High","low")</f>
        <v>low</v>
      </c>
      <c r="R8196" s="37" t="str">
        <f t="shared" si="644"/>
        <v>AVERAGE</v>
      </c>
      <c r="S8196" t="s">
        <v>605</v>
      </c>
    </row>
    <row r="8197" spans="1:19" x14ac:dyDescent="0.2">
      <c r="A8197" t="s">
        <v>8808</v>
      </c>
      <c r="B8197" t="s">
        <v>75</v>
      </c>
      <c r="C8197" t="s">
        <v>614</v>
      </c>
      <c r="D8197">
        <v>315.73</v>
      </c>
      <c r="E8197" s="37" t="str">
        <f t="shared" si="640"/>
        <v xml:space="preserve"> </v>
      </c>
      <c r="F8197">
        <v>0.03</v>
      </c>
      <c r="G8197" s="37" t="str">
        <f t="shared" si="641"/>
        <v>Normal Discount</v>
      </c>
      <c r="H8197" s="37" t="str">
        <f t="shared" si="642"/>
        <v>Low</v>
      </c>
      <c r="I8197">
        <v>3</v>
      </c>
      <c r="J8197" t="str" cm="1">
        <f t="array" ref="J8197">_xlfn.IFS(I8197&lt;=3,"small",I8197&lt;=6,"Medium",I8197&lt;=9,"Large")</f>
        <v>small</v>
      </c>
      <c r="K8197" s="36">
        <v>45230</v>
      </c>
      <c r="L8197" s="36">
        <v>45232</v>
      </c>
      <c r="M8197" t="s">
        <v>598</v>
      </c>
      <c r="N8197" t="s">
        <v>608</v>
      </c>
      <c r="O8197" s="37" t="str">
        <f t="shared" si="643"/>
        <v>Cash Payment</v>
      </c>
      <c r="P8197">
        <v>73.010000000000005</v>
      </c>
      <c r="Q8197" s="37" t="str">
        <f>IF(P8197&gt;500,"High","low")</f>
        <v>low</v>
      </c>
      <c r="R8197" s="37" t="str">
        <f t="shared" si="644"/>
        <v>AVERAGE</v>
      </c>
      <c r="S8197" t="s">
        <v>609</v>
      </c>
    </row>
    <row r="8198" spans="1:19" x14ac:dyDescent="0.2">
      <c r="A8198" t="s">
        <v>8809</v>
      </c>
      <c r="B8198" t="s">
        <v>83</v>
      </c>
      <c r="C8198" t="s">
        <v>614</v>
      </c>
      <c r="D8198">
        <v>3598.68</v>
      </c>
      <c r="E8198" s="37" t="str">
        <f t="shared" si="640"/>
        <v xml:space="preserve"> </v>
      </c>
      <c r="F8198">
        <v>0.46</v>
      </c>
      <c r="G8198" s="37" t="str">
        <f t="shared" si="641"/>
        <v>Heavy Discount</v>
      </c>
      <c r="H8198" s="37" t="str">
        <f t="shared" si="642"/>
        <v>High</v>
      </c>
      <c r="I8198">
        <v>8</v>
      </c>
      <c r="J8198" t="str" cm="1">
        <f t="array" ref="J8198">_xlfn.IFS(I8198&lt;=3,"small",I8198&lt;=6,"Medium",I8198&lt;=9,"Large")</f>
        <v>Large</v>
      </c>
      <c r="K8198" s="36">
        <v>45103</v>
      </c>
      <c r="L8198" s="36">
        <v>45109</v>
      </c>
      <c r="M8198" t="s">
        <v>598</v>
      </c>
      <c r="N8198" t="s">
        <v>608</v>
      </c>
      <c r="O8198" s="37" t="str">
        <f t="shared" si="643"/>
        <v>Cash Payment</v>
      </c>
      <c r="P8198">
        <v>339.33</v>
      </c>
      <c r="Q8198" s="37" t="str">
        <f>IF(P8198&gt;500,"High","low")</f>
        <v>low</v>
      </c>
      <c r="R8198" s="37" t="str">
        <f t="shared" si="644"/>
        <v>AVERAGE</v>
      </c>
      <c r="S8198" t="s">
        <v>628</v>
      </c>
    </row>
    <row r="8199" spans="1:19" x14ac:dyDescent="0.2">
      <c r="A8199" t="s">
        <v>8810</v>
      </c>
      <c r="B8199" t="s">
        <v>67</v>
      </c>
      <c r="C8199" t="s">
        <v>607</v>
      </c>
      <c r="D8199">
        <v>1042.3499999999999</v>
      </c>
      <c r="E8199" s="37" t="str">
        <f t="shared" si="640"/>
        <v xml:space="preserve"> </v>
      </c>
      <c r="F8199">
        <v>0.17</v>
      </c>
      <c r="G8199" s="37" t="str">
        <f t="shared" si="641"/>
        <v>Normal Discount</v>
      </c>
      <c r="H8199" s="37" t="str">
        <f t="shared" si="642"/>
        <v>Low</v>
      </c>
      <c r="I8199">
        <v>4</v>
      </c>
      <c r="J8199" t="str" cm="1">
        <f t="array" ref="J8199">_xlfn.IFS(I8199&lt;=3,"small",I8199&lt;=6,"Medium",I8199&lt;=9,"Large")</f>
        <v>Medium</v>
      </c>
      <c r="K8199" s="36">
        <v>45211</v>
      </c>
      <c r="L8199" s="36">
        <v>45214</v>
      </c>
      <c r="M8199" t="s">
        <v>603</v>
      </c>
      <c r="N8199" t="s">
        <v>604</v>
      </c>
      <c r="O8199" s="37" t="str">
        <f t="shared" si="643"/>
        <v>Digital Payment</v>
      </c>
      <c r="P8199">
        <v>70.95</v>
      </c>
      <c r="Q8199" s="37" t="str">
        <f>IF(P8199&gt;500,"High","low")</f>
        <v>low</v>
      </c>
      <c r="R8199" s="37" t="str">
        <f t="shared" si="644"/>
        <v>AVERAGE</v>
      </c>
      <c r="S8199" t="s">
        <v>615</v>
      </c>
    </row>
    <row r="8200" spans="1:19" x14ac:dyDescent="0.2">
      <c r="A8200" t="s">
        <v>8811</v>
      </c>
      <c r="B8200" t="s">
        <v>67</v>
      </c>
      <c r="C8200" t="s">
        <v>607</v>
      </c>
      <c r="D8200">
        <v>4209.24</v>
      </c>
      <c r="E8200" s="37" t="str">
        <f t="shared" si="640"/>
        <v>Excellent Order</v>
      </c>
      <c r="F8200">
        <v>0.01</v>
      </c>
      <c r="G8200" s="37" t="str">
        <f t="shared" si="641"/>
        <v>Normal Discount</v>
      </c>
      <c r="H8200" s="37" t="str">
        <f t="shared" si="642"/>
        <v>Low</v>
      </c>
      <c r="I8200">
        <v>3</v>
      </c>
      <c r="J8200" t="str" cm="1">
        <f t="array" ref="J8200">_xlfn.IFS(I8200&lt;=3,"small",I8200&lt;=6,"Medium",I8200&lt;=9,"Large")</f>
        <v>small</v>
      </c>
      <c r="K8200" s="36">
        <v>45640</v>
      </c>
      <c r="L8200" s="36">
        <v>45647</v>
      </c>
      <c r="M8200" t="s">
        <v>603</v>
      </c>
      <c r="N8200" t="s">
        <v>604</v>
      </c>
      <c r="O8200" s="37" t="str">
        <f t="shared" si="643"/>
        <v>Digital Payment</v>
      </c>
      <c r="P8200">
        <v>917.14</v>
      </c>
      <c r="Q8200" s="37" t="str">
        <f>IF(P8200&gt;500,"High","low")</f>
        <v>High</v>
      </c>
      <c r="R8200" s="37" t="str">
        <f t="shared" si="644"/>
        <v>Good</v>
      </c>
      <c r="S8200" t="s">
        <v>600</v>
      </c>
    </row>
    <row r="8201" spans="1:19" x14ac:dyDescent="0.2">
      <c r="A8201" t="s">
        <v>8812</v>
      </c>
      <c r="B8201" t="s">
        <v>90</v>
      </c>
      <c r="C8201" t="s">
        <v>597</v>
      </c>
      <c r="D8201">
        <v>1395.9</v>
      </c>
      <c r="E8201" s="37" t="str">
        <f t="shared" si="640"/>
        <v xml:space="preserve"> </v>
      </c>
      <c r="F8201">
        <v>0.24</v>
      </c>
      <c r="G8201" s="37" t="str">
        <f t="shared" si="641"/>
        <v>Normal Discount</v>
      </c>
      <c r="H8201" s="37" t="str">
        <f t="shared" si="642"/>
        <v>Medium</v>
      </c>
      <c r="I8201">
        <v>9</v>
      </c>
      <c r="J8201" t="str" cm="1">
        <f t="array" ref="J8201">_xlfn.IFS(I8201&lt;=3,"small",I8201&lt;=6,"Medium",I8201&lt;=9,"Large")</f>
        <v>Large</v>
      </c>
      <c r="K8201" s="36">
        <v>44943</v>
      </c>
      <c r="L8201" s="36">
        <v>44944</v>
      </c>
      <c r="M8201" t="s">
        <v>612</v>
      </c>
      <c r="N8201" t="s">
        <v>608</v>
      </c>
      <c r="O8201" s="37" t="str">
        <f t="shared" si="643"/>
        <v>Cash Payment</v>
      </c>
      <c r="P8201">
        <v>98.52</v>
      </c>
      <c r="Q8201" s="37" t="str">
        <f>IF(P8201&gt;500,"High","low")</f>
        <v>low</v>
      </c>
      <c r="R8201" s="37" t="str">
        <f t="shared" si="644"/>
        <v>AVERAGE</v>
      </c>
      <c r="S8201" t="s">
        <v>609</v>
      </c>
    </row>
    <row r="8202" spans="1:19" x14ac:dyDescent="0.2">
      <c r="A8202" t="s">
        <v>8813</v>
      </c>
      <c r="B8202" t="s">
        <v>67</v>
      </c>
      <c r="C8202" t="s">
        <v>614</v>
      </c>
      <c r="D8202">
        <v>258.39999999999998</v>
      </c>
      <c r="E8202" s="37" t="str">
        <f t="shared" si="640"/>
        <v xml:space="preserve"> </v>
      </c>
      <c r="F8202">
        <v>0.06</v>
      </c>
      <c r="G8202" s="37" t="str">
        <f t="shared" si="641"/>
        <v>Normal Discount</v>
      </c>
      <c r="H8202" s="37" t="str">
        <f t="shared" si="642"/>
        <v>Low</v>
      </c>
      <c r="I8202">
        <v>1</v>
      </c>
      <c r="J8202" t="str" cm="1">
        <f t="array" ref="J8202">_xlfn.IFS(I8202&lt;=3,"small",I8202&lt;=6,"Medium",I8202&lt;=9,"Large")</f>
        <v>small</v>
      </c>
      <c r="K8202" s="36">
        <v>45445</v>
      </c>
      <c r="L8202" s="36">
        <v>45450</v>
      </c>
      <c r="M8202" t="s">
        <v>603</v>
      </c>
      <c r="N8202" t="s">
        <v>599</v>
      </c>
      <c r="O8202" s="37" t="str">
        <f t="shared" si="643"/>
        <v>Digital Payment</v>
      </c>
      <c r="P8202">
        <v>68.92</v>
      </c>
      <c r="Q8202" s="37" t="str">
        <f>IF(P8202&gt;500,"High","low")</f>
        <v>low</v>
      </c>
      <c r="R8202" s="37" t="str">
        <f t="shared" si="644"/>
        <v>AVERAGE</v>
      </c>
      <c r="S8202" t="s">
        <v>600</v>
      </c>
    </row>
    <row r="8203" spans="1:19" x14ac:dyDescent="0.2">
      <c r="A8203" t="s">
        <v>8814</v>
      </c>
      <c r="B8203" t="s">
        <v>83</v>
      </c>
      <c r="C8203" t="s">
        <v>614</v>
      </c>
      <c r="D8203">
        <v>4121.3100000000004</v>
      </c>
      <c r="E8203" s="37" t="str">
        <f t="shared" si="640"/>
        <v xml:space="preserve"> </v>
      </c>
      <c r="F8203">
        <v>0.45</v>
      </c>
      <c r="G8203" s="37" t="str">
        <f t="shared" si="641"/>
        <v>Heavy Discount</v>
      </c>
      <c r="H8203" s="37" t="str">
        <f t="shared" si="642"/>
        <v>High</v>
      </c>
      <c r="I8203">
        <v>8</v>
      </c>
      <c r="J8203" t="str" cm="1">
        <f t="array" ref="J8203">_xlfn.IFS(I8203&lt;=3,"small",I8203&lt;=6,"Medium",I8203&lt;=9,"Large")</f>
        <v>Large</v>
      </c>
      <c r="K8203" s="36">
        <v>45097</v>
      </c>
      <c r="L8203" s="36">
        <v>45103</v>
      </c>
      <c r="M8203" t="s">
        <v>612</v>
      </c>
      <c r="N8203" t="s">
        <v>599</v>
      </c>
      <c r="O8203" s="37" t="str">
        <f t="shared" si="643"/>
        <v>Digital Payment</v>
      </c>
      <c r="P8203">
        <v>547.29999999999995</v>
      </c>
      <c r="Q8203" s="37" t="str">
        <f>IF(P8203&gt;500,"High","low")</f>
        <v>High</v>
      </c>
      <c r="R8203" s="37" t="str">
        <f t="shared" si="644"/>
        <v>Good</v>
      </c>
      <c r="S8203" t="s">
        <v>609</v>
      </c>
    </row>
    <row r="8204" spans="1:19" x14ac:dyDescent="0.2">
      <c r="A8204" t="s">
        <v>8815</v>
      </c>
      <c r="B8204" t="s">
        <v>75</v>
      </c>
      <c r="C8204" t="s">
        <v>617</v>
      </c>
      <c r="D8204">
        <v>2384.11</v>
      </c>
      <c r="E8204" s="37" t="str">
        <f t="shared" si="640"/>
        <v xml:space="preserve"> </v>
      </c>
      <c r="F8204">
        <v>0.08</v>
      </c>
      <c r="G8204" s="37" t="str">
        <f t="shared" si="641"/>
        <v>Normal Discount</v>
      </c>
      <c r="H8204" s="37" t="str">
        <f t="shared" si="642"/>
        <v>Low</v>
      </c>
      <c r="I8204">
        <v>5</v>
      </c>
      <c r="J8204" t="str" cm="1">
        <f t="array" ref="J8204">_xlfn.IFS(I8204&lt;=3,"small",I8204&lt;=6,"Medium",I8204&lt;=9,"Large")</f>
        <v>Medium</v>
      </c>
      <c r="K8204" s="36">
        <v>45217</v>
      </c>
      <c r="L8204" s="36">
        <v>45220</v>
      </c>
      <c r="M8204" t="s">
        <v>598</v>
      </c>
      <c r="N8204" t="s">
        <v>604</v>
      </c>
      <c r="O8204" s="37" t="str">
        <f t="shared" si="643"/>
        <v>Digital Payment</v>
      </c>
      <c r="P8204">
        <v>257.92</v>
      </c>
      <c r="Q8204" s="37" t="str">
        <f>IF(P8204&gt;500,"High","low")</f>
        <v>low</v>
      </c>
      <c r="R8204" s="37" t="str">
        <f t="shared" si="644"/>
        <v>AVERAGE</v>
      </c>
      <c r="S8204" t="s">
        <v>615</v>
      </c>
    </row>
    <row r="8205" spans="1:19" x14ac:dyDescent="0.2">
      <c r="A8205" t="s">
        <v>8816</v>
      </c>
      <c r="B8205" t="s">
        <v>90</v>
      </c>
      <c r="C8205" t="s">
        <v>602</v>
      </c>
      <c r="D8205">
        <v>3037.58</v>
      </c>
      <c r="E8205" s="37" t="str">
        <f t="shared" si="640"/>
        <v xml:space="preserve"> </v>
      </c>
      <c r="F8205">
        <v>0.15</v>
      </c>
      <c r="G8205" s="37" t="str">
        <f t="shared" si="641"/>
        <v>Normal Discount</v>
      </c>
      <c r="H8205" s="37" t="str">
        <f t="shared" si="642"/>
        <v>Low</v>
      </c>
      <c r="I8205">
        <v>8</v>
      </c>
      <c r="J8205" t="str" cm="1">
        <f t="array" ref="J8205">_xlfn.IFS(I8205&lt;=3,"small",I8205&lt;=6,"Medium",I8205&lt;=9,"Large")</f>
        <v>Large</v>
      </c>
      <c r="K8205" s="36">
        <v>45606</v>
      </c>
      <c r="L8205" s="36">
        <v>45608</v>
      </c>
      <c r="M8205" t="s">
        <v>603</v>
      </c>
      <c r="N8205" t="s">
        <v>608</v>
      </c>
      <c r="O8205" s="37" t="str">
        <f t="shared" si="643"/>
        <v>Cash Payment</v>
      </c>
      <c r="P8205">
        <v>476.69</v>
      </c>
      <c r="Q8205" s="37" t="str">
        <f>IF(P8205&gt;500,"High","low")</f>
        <v>low</v>
      </c>
      <c r="R8205" s="37" t="str">
        <f t="shared" si="644"/>
        <v>AVERAGE</v>
      </c>
      <c r="S8205" t="s">
        <v>609</v>
      </c>
    </row>
    <row r="8206" spans="1:19" x14ac:dyDescent="0.2">
      <c r="A8206" t="s">
        <v>8817</v>
      </c>
      <c r="B8206" t="s">
        <v>67</v>
      </c>
      <c r="C8206" t="s">
        <v>602</v>
      </c>
      <c r="D8206">
        <v>1747.51</v>
      </c>
      <c r="E8206" s="37" t="str">
        <f t="shared" si="640"/>
        <v xml:space="preserve"> </v>
      </c>
      <c r="F8206">
        <v>0.4</v>
      </c>
      <c r="G8206" s="37" t="str">
        <f t="shared" si="641"/>
        <v>Heavy Discount</v>
      </c>
      <c r="H8206" s="37" t="str">
        <f t="shared" si="642"/>
        <v>Medium</v>
      </c>
      <c r="I8206">
        <v>3</v>
      </c>
      <c r="J8206" t="str" cm="1">
        <f t="array" ref="J8206">_xlfn.IFS(I8206&lt;=3,"small",I8206&lt;=6,"Medium",I8206&lt;=9,"Large")</f>
        <v>small</v>
      </c>
      <c r="K8206" s="36">
        <v>45633</v>
      </c>
      <c r="L8206" s="36">
        <v>45637</v>
      </c>
      <c r="M8206" t="s">
        <v>598</v>
      </c>
      <c r="N8206" t="s">
        <v>599</v>
      </c>
      <c r="O8206" s="37" t="str">
        <f t="shared" si="643"/>
        <v>Digital Payment</v>
      </c>
      <c r="P8206">
        <v>298.37</v>
      </c>
      <c r="Q8206" s="37" t="str">
        <f>IF(P8206&gt;500,"High","low")</f>
        <v>low</v>
      </c>
      <c r="R8206" s="37" t="str">
        <f t="shared" si="644"/>
        <v>AVERAGE</v>
      </c>
      <c r="S8206" t="s">
        <v>628</v>
      </c>
    </row>
    <row r="8207" spans="1:19" x14ac:dyDescent="0.2">
      <c r="A8207" t="s">
        <v>8818</v>
      </c>
      <c r="B8207" t="s">
        <v>67</v>
      </c>
      <c r="C8207" t="s">
        <v>597</v>
      </c>
      <c r="D8207">
        <v>325.60000000000002</v>
      </c>
      <c r="E8207" s="37" t="str">
        <f t="shared" si="640"/>
        <v xml:space="preserve"> </v>
      </c>
      <c r="F8207">
        <v>0.4</v>
      </c>
      <c r="G8207" s="37" t="str">
        <f t="shared" si="641"/>
        <v>Heavy Discount</v>
      </c>
      <c r="H8207" s="37" t="str">
        <f t="shared" si="642"/>
        <v>Medium</v>
      </c>
      <c r="I8207">
        <v>6</v>
      </c>
      <c r="J8207" t="str" cm="1">
        <f t="array" ref="J8207">_xlfn.IFS(I8207&lt;=3,"small",I8207&lt;=6,"Medium",I8207&lt;=9,"Large")</f>
        <v>Medium</v>
      </c>
      <c r="K8207" s="36">
        <v>45131</v>
      </c>
      <c r="L8207" s="36">
        <v>45137</v>
      </c>
      <c r="M8207" t="s">
        <v>603</v>
      </c>
      <c r="N8207" t="s">
        <v>608</v>
      </c>
      <c r="O8207" s="37" t="str">
        <f t="shared" si="643"/>
        <v>Cash Payment</v>
      </c>
      <c r="P8207">
        <v>27.85</v>
      </c>
      <c r="Q8207" s="37" t="str">
        <f>IF(P8207&gt;500,"High","low")</f>
        <v>low</v>
      </c>
      <c r="R8207" s="37" t="str">
        <f t="shared" si="644"/>
        <v>AVERAGE</v>
      </c>
      <c r="S8207" t="s">
        <v>605</v>
      </c>
    </row>
    <row r="8208" spans="1:19" x14ac:dyDescent="0.2">
      <c r="A8208" t="s">
        <v>8819</v>
      </c>
      <c r="B8208" t="s">
        <v>67</v>
      </c>
      <c r="C8208" t="s">
        <v>614</v>
      </c>
      <c r="D8208">
        <v>1913.87</v>
      </c>
      <c r="E8208" s="37" t="str">
        <f t="shared" si="640"/>
        <v xml:space="preserve"> </v>
      </c>
      <c r="F8208">
        <v>0.45</v>
      </c>
      <c r="G8208" s="37" t="str">
        <f t="shared" si="641"/>
        <v>Heavy Discount</v>
      </c>
      <c r="H8208" s="37" t="str">
        <f t="shared" si="642"/>
        <v>High</v>
      </c>
      <c r="I8208">
        <v>7</v>
      </c>
      <c r="J8208" t="str" cm="1">
        <f t="array" ref="J8208">_xlfn.IFS(I8208&lt;=3,"small",I8208&lt;=6,"Medium",I8208&lt;=9,"Large")</f>
        <v>Large</v>
      </c>
      <c r="K8208" s="36">
        <v>45060</v>
      </c>
      <c r="L8208" s="36">
        <v>45063</v>
      </c>
      <c r="M8208" t="s">
        <v>612</v>
      </c>
      <c r="N8208" t="s">
        <v>604</v>
      </c>
      <c r="O8208" s="37" t="str">
        <f t="shared" si="643"/>
        <v>Digital Payment</v>
      </c>
      <c r="P8208">
        <v>522.29999999999995</v>
      </c>
      <c r="Q8208" s="37" t="str">
        <f>IF(P8208&gt;500,"High","low")</f>
        <v>High</v>
      </c>
      <c r="R8208" s="37" t="str">
        <f t="shared" si="644"/>
        <v>Good</v>
      </c>
      <c r="S8208" t="s">
        <v>609</v>
      </c>
    </row>
    <row r="8209" spans="1:19" x14ac:dyDescent="0.2">
      <c r="A8209" t="s">
        <v>8820</v>
      </c>
      <c r="B8209" t="s">
        <v>83</v>
      </c>
      <c r="C8209" t="s">
        <v>617</v>
      </c>
      <c r="D8209">
        <v>2639.6</v>
      </c>
      <c r="E8209" s="37" t="str">
        <f t="shared" si="640"/>
        <v xml:space="preserve"> </v>
      </c>
      <c r="F8209">
        <v>0.25</v>
      </c>
      <c r="G8209" s="37" t="str">
        <f t="shared" si="641"/>
        <v>Normal Discount</v>
      </c>
      <c r="H8209" s="37" t="str">
        <f t="shared" si="642"/>
        <v>Medium</v>
      </c>
      <c r="I8209">
        <v>8</v>
      </c>
      <c r="J8209" t="str" cm="1">
        <f t="array" ref="J8209">_xlfn.IFS(I8209&lt;=3,"small",I8209&lt;=6,"Medium",I8209&lt;=9,"Large")</f>
        <v>Large</v>
      </c>
      <c r="K8209" s="36">
        <v>45391</v>
      </c>
      <c r="L8209" s="36">
        <v>45396</v>
      </c>
      <c r="M8209" t="s">
        <v>612</v>
      </c>
      <c r="N8209" t="s">
        <v>608</v>
      </c>
      <c r="O8209" s="37" t="str">
        <f t="shared" si="643"/>
        <v>Cash Payment</v>
      </c>
      <c r="P8209">
        <v>249.16</v>
      </c>
      <c r="Q8209" s="37" t="str">
        <f>IF(P8209&gt;500,"High","low")</f>
        <v>low</v>
      </c>
      <c r="R8209" s="37" t="str">
        <f t="shared" si="644"/>
        <v>AVERAGE</v>
      </c>
      <c r="S8209" t="s">
        <v>620</v>
      </c>
    </row>
    <row r="8210" spans="1:19" x14ac:dyDescent="0.2">
      <c r="A8210" t="s">
        <v>8821</v>
      </c>
      <c r="B8210" t="s">
        <v>90</v>
      </c>
      <c r="C8210" t="s">
        <v>614</v>
      </c>
      <c r="D8210">
        <v>157.26</v>
      </c>
      <c r="E8210" s="37" t="str">
        <f t="shared" si="640"/>
        <v xml:space="preserve"> </v>
      </c>
      <c r="F8210">
        <v>0.49</v>
      </c>
      <c r="G8210" s="37" t="str">
        <f t="shared" si="641"/>
        <v>Heavy Discount</v>
      </c>
      <c r="H8210" s="37" t="str">
        <f t="shared" si="642"/>
        <v>High</v>
      </c>
      <c r="I8210">
        <v>7</v>
      </c>
      <c r="J8210" t="str" cm="1">
        <f t="array" ref="J8210">_xlfn.IFS(I8210&lt;=3,"small",I8210&lt;=6,"Medium",I8210&lt;=9,"Large")</f>
        <v>Large</v>
      </c>
      <c r="K8210" s="36">
        <v>45477</v>
      </c>
      <c r="L8210" s="36">
        <v>45483</v>
      </c>
      <c r="M8210" t="s">
        <v>603</v>
      </c>
      <c r="N8210" t="s">
        <v>604</v>
      </c>
      <c r="O8210" s="37" t="str">
        <f t="shared" si="643"/>
        <v>Digital Payment</v>
      </c>
      <c r="P8210">
        <v>27.94</v>
      </c>
      <c r="Q8210" s="37" t="str">
        <f>IF(P8210&gt;500,"High","low")</f>
        <v>low</v>
      </c>
      <c r="R8210" s="37" t="str">
        <f t="shared" si="644"/>
        <v>AVERAGE</v>
      </c>
      <c r="S8210" t="s">
        <v>609</v>
      </c>
    </row>
    <row r="8211" spans="1:19" x14ac:dyDescent="0.2">
      <c r="A8211" t="s">
        <v>8822</v>
      </c>
      <c r="B8211" t="s">
        <v>83</v>
      </c>
      <c r="C8211" t="s">
        <v>607</v>
      </c>
      <c r="D8211">
        <v>2914.02</v>
      </c>
      <c r="E8211" s="37" t="str">
        <f t="shared" si="640"/>
        <v xml:space="preserve"> </v>
      </c>
      <c r="F8211">
        <v>0.26</v>
      </c>
      <c r="G8211" s="37" t="str">
        <f t="shared" si="641"/>
        <v>Normal Discount</v>
      </c>
      <c r="H8211" s="37" t="str">
        <f t="shared" si="642"/>
        <v>Medium</v>
      </c>
      <c r="I8211">
        <v>7</v>
      </c>
      <c r="J8211" t="str" cm="1">
        <f t="array" ref="J8211">_xlfn.IFS(I8211&lt;=3,"small",I8211&lt;=6,"Medium",I8211&lt;=9,"Large")</f>
        <v>Large</v>
      </c>
      <c r="K8211" s="36">
        <v>45540</v>
      </c>
      <c r="L8211" s="36">
        <v>45543</v>
      </c>
      <c r="M8211" t="s">
        <v>612</v>
      </c>
      <c r="N8211" t="s">
        <v>604</v>
      </c>
      <c r="O8211" s="37" t="str">
        <f t="shared" si="643"/>
        <v>Digital Payment</v>
      </c>
      <c r="P8211">
        <v>583.55999999999995</v>
      </c>
      <c r="Q8211" s="37" t="str">
        <f>IF(P8211&gt;500,"High","low")</f>
        <v>High</v>
      </c>
      <c r="R8211" s="37" t="str">
        <f t="shared" si="644"/>
        <v>Good</v>
      </c>
      <c r="S8211" t="s">
        <v>615</v>
      </c>
    </row>
    <row r="8212" spans="1:19" x14ac:dyDescent="0.2">
      <c r="A8212" t="s">
        <v>8823</v>
      </c>
      <c r="B8212" t="s">
        <v>90</v>
      </c>
      <c r="C8212" t="s">
        <v>597</v>
      </c>
      <c r="D8212">
        <v>4475.91</v>
      </c>
      <c r="E8212" s="37" t="str">
        <f t="shared" si="640"/>
        <v>Excellent Order</v>
      </c>
      <c r="F8212">
        <v>0.4</v>
      </c>
      <c r="G8212" s="37" t="str">
        <f t="shared" si="641"/>
        <v>Heavy Discount</v>
      </c>
      <c r="H8212" s="37" t="str">
        <f t="shared" si="642"/>
        <v>Medium</v>
      </c>
      <c r="I8212">
        <v>2</v>
      </c>
      <c r="J8212" t="str" cm="1">
        <f t="array" ref="J8212">_xlfn.IFS(I8212&lt;=3,"small",I8212&lt;=6,"Medium",I8212&lt;=9,"Large")</f>
        <v>small</v>
      </c>
      <c r="K8212" s="36">
        <v>45471</v>
      </c>
      <c r="L8212" s="36">
        <v>45472</v>
      </c>
      <c r="M8212" t="s">
        <v>603</v>
      </c>
      <c r="N8212" t="s">
        <v>599</v>
      </c>
      <c r="O8212" s="37" t="str">
        <f t="shared" si="643"/>
        <v>Digital Payment</v>
      </c>
      <c r="P8212">
        <v>952.05</v>
      </c>
      <c r="Q8212" s="37" t="str">
        <f>IF(P8212&gt;500,"High","low")</f>
        <v>High</v>
      </c>
      <c r="R8212" s="37" t="str">
        <f t="shared" si="644"/>
        <v>Good</v>
      </c>
      <c r="S8212" t="s">
        <v>605</v>
      </c>
    </row>
    <row r="8213" spans="1:19" x14ac:dyDescent="0.2">
      <c r="A8213" t="s">
        <v>8824</v>
      </c>
      <c r="B8213" t="s">
        <v>75</v>
      </c>
      <c r="C8213" t="s">
        <v>602</v>
      </c>
      <c r="D8213">
        <v>1167.42</v>
      </c>
      <c r="E8213" s="37" t="str">
        <f t="shared" si="640"/>
        <v xml:space="preserve"> </v>
      </c>
      <c r="F8213">
        <v>0.18</v>
      </c>
      <c r="G8213" s="37" t="str">
        <f t="shared" si="641"/>
        <v>Normal Discount</v>
      </c>
      <c r="H8213" s="37" t="str">
        <f t="shared" si="642"/>
        <v>Low</v>
      </c>
      <c r="I8213">
        <v>3</v>
      </c>
      <c r="J8213" t="str" cm="1">
        <f t="array" ref="J8213">_xlfn.IFS(I8213&lt;=3,"small",I8213&lt;=6,"Medium",I8213&lt;=9,"Large")</f>
        <v>small</v>
      </c>
      <c r="K8213" s="36">
        <v>45288</v>
      </c>
      <c r="L8213" s="36">
        <v>45289</v>
      </c>
      <c r="M8213" t="s">
        <v>598</v>
      </c>
      <c r="N8213" t="s">
        <v>604</v>
      </c>
      <c r="O8213" s="37" t="str">
        <f t="shared" si="643"/>
        <v>Digital Payment</v>
      </c>
      <c r="P8213">
        <v>207</v>
      </c>
      <c r="Q8213" s="37" t="str">
        <f>IF(P8213&gt;500,"High","low")</f>
        <v>low</v>
      </c>
      <c r="R8213" s="37" t="str">
        <f t="shared" si="644"/>
        <v>AVERAGE</v>
      </c>
      <c r="S8213" t="s">
        <v>615</v>
      </c>
    </row>
    <row r="8214" spans="1:19" x14ac:dyDescent="0.2">
      <c r="A8214" t="s">
        <v>8825</v>
      </c>
      <c r="B8214" t="s">
        <v>83</v>
      </c>
      <c r="C8214" t="s">
        <v>614</v>
      </c>
      <c r="D8214">
        <v>4641.17</v>
      </c>
      <c r="E8214" s="37" t="str">
        <f t="shared" si="640"/>
        <v xml:space="preserve"> </v>
      </c>
      <c r="F8214">
        <v>0.47</v>
      </c>
      <c r="G8214" s="37" t="str">
        <f t="shared" si="641"/>
        <v>Heavy Discount</v>
      </c>
      <c r="H8214" s="37" t="str">
        <f t="shared" si="642"/>
        <v>High</v>
      </c>
      <c r="I8214">
        <v>6</v>
      </c>
      <c r="J8214" t="str" cm="1">
        <f t="array" ref="J8214">_xlfn.IFS(I8214&lt;=3,"small",I8214&lt;=6,"Medium",I8214&lt;=9,"Large")</f>
        <v>Medium</v>
      </c>
      <c r="K8214" s="36">
        <v>45077</v>
      </c>
      <c r="L8214" s="36">
        <v>45084</v>
      </c>
      <c r="M8214" t="s">
        <v>598</v>
      </c>
      <c r="N8214" t="s">
        <v>604</v>
      </c>
      <c r="O8214" s="37" t="str">
        <f t="shared" si="643"/>
        <v>Digital Payment</v>
      </c>
      <c r="P8214">
        <v>533.95000000000005</v>
      </c>
      <c r="Q8214" s="37" t="str">
        <f>IF(P8214&gt;500,"High","low")</f>
        <v>High</v>
      </c>
      <c r="R8214" s="37" t="str">
        <f t="shared" si="644"/>
        <v>Good</v>
      </c>
      <c r="S8214" t="s">
        <v>628</v>
      </c>
    </row>
    <row r="8215" spans="1:19" x14ac:dyDescent="0.2">
      <c r="A8215" t="s">
        <v>8826</v>
      </c>
      <c r="B8215" t="s">
        <v>83</v>
      </c>
      <c r="C8215" t="s">
        <v>597</v>
      </c>
      <c r="D8215">
        <v>578.28</v>
      </c>
      <c r="E8215" s="37" t="str">
        <f t="shared" si="640"/>
        <v xml:space="preserve"> </v>
      </c>
      <c r="F8215">
        <v>0.34</v>
      </c>
      <c r="G8215" s="37" t="str">
        <f t="shared" si="641"/>
        <v>Heavy Discount</v>
      </c>
      <c r="H8215" s="37" t="str">
        <f t="shared" si="642"/>
        <v>Medium</v>
      </c>
      <c r="I8215">
        <v>3</v>
      </c>
      <c r="J8215" t="str" cm="1">
        <f t="array" ref="J8215">_xlfn.IFS(I8215&lt;=3,"small",I8215&lt;=6,"Medium",I8215&lt;=9,"Large")</f>
        <v>small</v>
      </c>
      <c r="K8215" s="36">
        <v>44959</v>
      </c>
      <c r="L8215" s="36">
        <v>44966</v>
      </c>
      <c r="M8215" t="s">
        <v>612</v>
      </c>
      <c r="N8215" t="s">
        <v>599</v>
      </c>
      <c r="O8215" s="37" t="str">
        <f t="shared" si="643"/>
        <v>Digital Payment</v>
      </c>
      <c r="P8215">
        <v>39.119999999999997</v>
      </c>
      <c r="Q8215" s="37" t="str">
        <f>IF(P8215&gt;500,"High","low")</f>
        <v>low</v>
      </c>
      <c r="R8215" s="37" t="str">
        <f t="shared" si="644"/>
        <v>AVERAGE</v>
      </c>
      <c r="S8215" t="s">
        <v>628</v>
      </c>
    </row>
    <row r="8216" spans="1:19" x14ac:dyDescent="0.2">
      <c r="A8216" t="s">
        <v>8827</v>
      </c>
      <c r="B8216" t="s">
        <v>75</v>
      </c>
      <c r="C8216" t="s">
        <v>602</v>
      </c>
      <c r="D8216">
        <v>4144.6400000000003</v>
      </c>
      <c r="E8216" s="37" t="str">
        <f t="shared" si="640"/>
        <v>Excellent Order</v>
      </c>
      <c r="F8216">
        <v>0.04</v>
      </c>
      <c r="G8216" s="37" t="str">
        <f t="shared" si="641"/>
        <v>Normal Discount</v>
      </c>
      <c r="H8216" s="37" t="str">
        <f t="shared" si="642"/>
        <v>Low</v>
      </c>
      <c r="I8216">
        <v>9</v>
      </c>
      <c r="J8216" t="str" cm="1">
        <f t="array" ref="J8216">_xlfn.IFS(I8216&lt;=3,"small",I8216&lt;=6,"Medium",I8216&lt;=9,"Large")</f>
        <v>Large</v>
      </c>
      <c r="K8216" s="36">
        <v>45015</v>
      </c>
      <c r="L8216" s="36">
        <v>45022</v>
      </c>
      <c r="M8216" t="s">
        <v>598</v>
      </c>
      <c r="N8216" t="s">
        <v>599</v>
      </c>
      <c r="O8216" s="37" t="str">
        <f t="shared" si="643"/>
        <v>Digital Payment</v>
      </c>
      <c r="P8216">
        <v>1184.82</v>
      </c>
      <c r="Q8216" s="37" t="str">
        <f>IF(P8216&gt;500,"High","low")</f>
        <v>High</v>
      </c>
      <c r="R8216" s="37" t="str">
        <f t="shared" si="644"/>
        <v>Excellent</v>
      </c>
      <c r="S8216" t="s">
        <v>620</v>
      </c>
    </row>
    <row r="8217" spans="1:19" x14ac:dyDescent="0.2">
      <c r="A8217" t="s">
        <v>8828</v>
      </c>
      <c r="B8217" t="s">
        <v>90</v>
      </c>
      <c r="C8217" t="s">
        <v>614</v>
      </c>
      <c r="D8217">
        <v>4217.59</v>
      </c>
      <c r="E8217" s="37" t="str">
        <f t="shared" si="640"/>
        <v>Excellent Order</v>
      </c>
      <c r="F8217">
        <v>0.05</v>
      </c>
      <c r="G8217" s="37" t="str">
        <f t="shared" si="641"/>
        <v>Normal Discount</v>
      </c>
      <c r="H8217" s="37" t="str">
        <f t="shared" si="642"/>
        <v>Low</v>
      </c>
      <c r="I8217">
        <v>9</v>
      </c>
      <c r="J8217" t="str" cm="1">
        <f t="array" ref="J8217">_xlfn.IFS(I8217&lt;=3,"small",I8217&lt;=6,"Medium",I8217&lt;=9,"Large")</f>
        <v>Large</v>
      </c>
      <c r="K8217" s="36">
        <v>45516</v>
      </c>
      <c r="L8217" s="36">
        <v>45520</v>
      </c>
      <c r="M8217" t="s">
        <v>612</v>
      </c>
      <c r="N8217" t="s">
        <v>604</v>
      </c>
      <c r="O8217" s="37" t="str">
        <f t="shared" si="643"/>
        <v>Digital Payment</v>
      </c>
      <c r="P8217">
        <v>1053.3699999999999</v>
      </c>
      <c r="Q8217" s="37" t="str">
        <f>IF(P8217&gt;500,"High","low")</f>
        <v>High</v>
      </c>
      <c r="R8217" s="37" t="str">
        <f t="shared" si="644"/>
        <v>Excellent</v>
      </c>
      <c r="S8217" t="s">
        <v>620</v>
      </c>
    </row>
    <row r="8218" spans="1:19" x14ac:dyDescent="0.2">
      <c r="A8218" t="s">
        <v>8829</v>
      </c>
      <c r="B8218" t="s">
        <v>67</v>
      </c>
      <c r="C8218" t="s">
        <v>617</v>
      </c>
      <c r="D8218">
        <v>1363.02</v>
      </c>
      <c r="E8218" s="37" t="str">
        <f t="shared" si="640"/>
        <v xml:space="preserve"> </v>
      </c>
      <c r="F8218">
        <v>0.45</v>
      </c>
      <c r="G8218" s="37" t="str">
        <f t="shared" si="641"/>
        <v>Heavy Discount</v>
      </c>
      <c r="H8218" s="37" t="str">
        <f t="shared" si="642"/>
        <v>High</v>
      </c>
      <c r="I8218">
        <v>6</v>
      </c>
      <c r="J8218" t="str" cm="1">
        <f t="array" ref="J8218">_xlfn.IFS(I8218&lt;=3,"small",I8218&lt;=6,"Medium",I8218&lt;=9,"Large")</f>
        <v>Medium</v>
      </c>
      <c r="K8218" s="36">
        <v>45409</v>
      </c>
      <c r="L8218" s="36">
        <v>45415</v>
      </c>
      <c r="M8218" t="s">
        <v>603</v>
      </c>
      <c r="N8218" t="s">
        <v>599</v>
      </c>
      <c r="O8218" s="37" t="str">
        <f t="shared" si="643"/>
        <v>Digital Payment</v>
      </c>
      <c r="P8218">
        <v>162.22</v>
      </c>
      <c r="Q8218" s="37" t="str">
        <f>IF(P8218&gt;500,"High","low")</f>
        <v>low</v>
      </c>
      <c r="R8218" s="37" t="str">
        <f t="shared" si="644"/>
        <v>AVERAGE</v>
      </c>
      <c r="S8218" t="s">
        <v>620</v>
      </c>
    </row>
    <row r="8219" spans="1:19" x14ac:dyDescent="0.2">
      <c r="A8219" t="s">
        <v>8830</v>
      </c>
      <c r="B8219" t="s">
        <v>75</v>
      </c>
      <c r="C8219" t="s">
        <v>597</v>
      </c>
      <c r="D8219">
        <v>4793.43</v>
      </c>
      <c r="E8219" s="37" t="str">
        <f t="shared" si="640"/>
        <v xml:space="preserve"> </v>
      </c>
      <c r="F8219">
        <v>0.4</v>
      </c>
      <c r="G8219" s="37" t="str">
        <f t="shared" si="641"/>
        <v>Heavy Discount</v>
      </c>
      <c r="H8219" s="37" t="str">
        <f t="shared" si="642"/>
        <v>Medium</v>
      </c>
      <c r="I8219">
        <v>1</v>
      </c>
      <c r="J8219" t="str" cm="1">
        <f t="array" ref="J8219">_xlfn.IFS(I8219&lt;=3,"small",I8219&lt;=6,"Medium",I8219&lt;=9,"Large")</f>
        <v>small</v>
      </c>
      <c r="K8219" s="36">
        <v>45468</v>
      </c>
      <c r="L8219" s="36">
        <v>45474</v>
      </c>
      <c r="M8219" t="s">
        <v>612</v>
      </c>
      <c r="N8219" t="s">
        <v>608</v>
      </c>
      <c r="O8219" s="37" t="str">
        <f t="shared" si="643"/>
        <v>Cash Payment</v>
      </c>
      <c r="P8219">
        <v>361.82</v>
      </c>
      <c r="Q8219" s="37" t="str">
        <f>IF(P8219&gt;500,"High","low")</f>
        <v>low</v>
      </c>
      <c r="R8219" s="37" t="str">
        <f t="shared" si="644"/>
        <v>AVERAGE</v>
      </c>
      <c r="S8219" t="s">
        <v>615</v>
      </c>
    </row>
    <row r="8220" spans="1:19" x14ac:dyDescent="0.2">
      <c r="A8220" t="s">
        <v>8831</v>
      </c>
      <c r="B8220" t="s">
        <v>67</v>
      </c>
      <c r="C8220" t="s">
        <v>614</v>
      </c>
      <c r="D8220">
        <v>2141.33</v>
      </c>
      <c r="E8220" s="37" t="str">
        <f t="shared" si="640"/>
        <v xml:space="preserve"> </v>
      </c>
      <c r="F8220">
        <v>0.17</v>
      </c>
      <c r="G8220" s="37" t="str">
        <f t="shared" si="641"/>
        <v>Normal Discount</v>
      </c>
      <c r="H8220" s="37" t="str">
        <f t="shared" si="642"/>
        <v>Low</v>
      </c>
      <c r="I8220">
        <v>1</v>
      </c>
      <c r="J8220" t="str" cm="1">
        <f t="array" ref="J8220">_xlfn.IFS(I8220&lt;=3,"small",I8220&lt;=6,"Medium",I8220&lt;=9,"Large")</f>
        <v>small</v>
      </c>
      <c r="K8220" s="36">
        <v>45052</v>
      </c>
      <c r="L8220" s="36">
        <v>45055</v>
      </c>
      <c r="M8220" t="s">
        <v>612</v>
      </c>
      <c r="N8220" t="s">
        <v>608</v>
      </c>
      <c r="O8220" s="37" t="str">
        <f t="shared" si="643"/>
        <v>Cash Payment</v>
      </c>
      <c r="P8220">
        <v>630.20000000000005</v>
      </c>
      <c r="Q8220" s="37" t="str">
        <f>IF(P8220&gt;500,"High","low")</f>
        <v>High</v>
      </c>
      <c r="R8220" s="37" t="str">
        <f t="shared" si="644"/>
        <v>Good</v>
      </c>
      <c r="S8220" t="s">
        <v>609</v>
      </c>
    </row>
    <row r="8221" spans="1:19" x14ac:dyDescent="0.2">
      <c r="A8221" t="s">
        <v>8832</v>
      </c>
      <c r="B8221" t="s">
        <v>67</v>
      </c>
      <c r="C8221" t="s">
        <v>602</v>
      </c>
      <c r="D8221">
        <v>792.15</v>
      </c>
      <c r="E8221" s="37" t="str">
        <f t="shared" si="640"/>
        <v xml:space="preserve"> </v>
      </c>
      <c r="F8221">
        <v>0.26</v>
      </c>
      <c r="G8221" s="37" t="str">
        <f t="shared" si="641"/>
        <v>Normal Discount</v>
      </c>
      <c r="H8221" s="37" t="str">
        <f t="shared" si="642"/>
        <v>Medium</v>
      </c>
      <c r="I8221">
        <v>4</v>
      </c>
      <c r="J8221" t="str" cm="1">
        <f t="array" ref="J8221">_xlfn.IFS(I8221&lt;=3,"small",I8221&lt;=6,"Medium",I8221&lt;=9,"Large")</f>
        <v>Medium</v>
      </c>
      <c r="K8221" s="36">
        <v>44997</v>
      </c>
      <c r="L8221" s="36">
        <v>45003</v>
      </c>
      <c r="M8221" t="s">
        <v>603</v>
      </c>
      <c r="N8221" t="s">
        <v>604</v>
      </c>
      <c r="O8221" s="37" t="str">
        <f t="shared" si="643"/>
        <v>Digital Payment</v>
      </c>
      <c r="P8221">
        <v>213.35</v>
      </c>
      <c r="Q8221" s="37" t="str">
        <f>IF(P8221&gt;500,"High","low")</f>
        <v>low</v>
      </c>
      <c r="R8221" s="37" t="str">
        <f t="shared" si="644"/>
        <v>AVERAGE</v>
      </c>
      <c r="S8221" t="s">
        <v>600</v>
      </c>
    </row>
    <row r="8222" spans="1:19" x14ac:dyDescent="0.2">
      <c r="A8222" t="s">
        <v>8833</v>
      </c>
      <c r="B8222" t="s">
        <v>75</v>
      </c>
      <c r="C8222" t="s">
        <v>602</v>
      </c>
      <c r="D8222">
        <v>2999.4</v>
      </c>
      <c r="E8222" s="37" t="str">
        <f t="shared" si="640"/>
        <v xml:space="preserve"> </v>
      </c>
      <c r="F8222">
        <v>0.43</v>
      </c>
      <c r="G8222" s="37" t="str">
        <f t="shared" si="641"/>
        <v>Heavy Discount</v>
      </c>
      <c r="H8222" s="37" t="str">
        <f t="shared" si="642"/>
        <v>High</v>
      </c>
      <c r="I8222">
        <v>8</v>
      </c>
      <c r="J8222" t="str" cm="1">
        <f t="array" ref="J8222">_xlfn.IFS(I8222&lt;=3,"small",I8222&lt;=6,"Medium",I8222&lt;=9,"Large")</f>
        <v>Large</v>
      </c>
      <c r="K8222" s="36">
        <v>44988</v>
      </c>
      <c r="L8222" s="36">
        <v>44994</v>
      </c>
      <c r="M8222" t="s">
        <v>598</v>
      </c>
      <c r="N8222" t="s">
        <v>599</v>
      </c>
      <c r="O8222" s="37" t="str">
        <f t="shared" si="643"/>
        <v>Digital Payment</v>
      </c>
      <c r="P8222">
        <v>607.63</v>
      </c>
      <c r="Q8222" s="37" t="str">
        <f>IF(P8222&gt;500,"High","low")</f>
        <v>High</v>
      </c>
      <c r="R8222" s="37" t="str">
        <f t="shared" si="644"/>
        <v>Good</v>
      </c>
      <c r="S8222" t="s">
        <v>620</v>
      </c>
    </row>
    <row r="8223" spans="1:19" x14ac:dyDescent="0.2">
      <c r="A8223" t="s">
        <v>8834</v>
      </c>
      <c r="B8223" t="s">
        <v>90</v>
      </c>
      <c r="C8223" t="s">
        <v>617</v>
      </c>
      <c r="D8223">
        <v>4983.41</v>
      </c>
      <c r="E8223" s="37" t="str">
        <f t="shared" si="640"/>
        <v>Excellent Order</v>
      </c>
      <c r="F8223">
        <v>0.05</v>
      </c>
      <c r="G8223" s="37" t="str">
        <f t="shared" si="641"/>
        <v>Normal Discount</v>
      </c>
      <c r="H8223" s="37" t="str">
        <f t="shared" si="642"/>
        <v>Low</v>
      </c>
      <c r="I8223">
        <v>3</v>
      </c>
      <c r="J8223" t="str" cm="1">
        <f t="array" ref="J8223">_xlfn.IFS(I8223&lt;=3,"small",I8223&lt;=6,"Medium",I8223&lt;=9,"Large")</f>
        <v>small</v>
      </c>
      <c r="K8223" s="36">
        <v>45638</v>
      </c>
      <c r="L8223" s="36">
        <v>45642</v>
      </c>
      <c r="M8223" t="s">
        <v>598</v>
      </c>
      <c r="N8223" t="s">
        <v>608</v>
      </c>
      <c r="O8223" s="37" t="str">
        <f t="shared" si="643"/>
        <v>Cash Payment</v>
      </c>
      <c r="P8223">
        <v>893.36</v>
      </c>
      <c r="Q8223" s="37" t="str">
        <f>IF(P8223&gt;500,"High","low")</f>
        <v>High</v>
      </c>
      <c r="R8223" s="37" t="str">
        <f t="shared" si="644"/>
        <v>Good</v>
      </c>
      <c r="S8223" t="s">
        <v>628</v>
      </c>
    </row>
    <row r="8224" spans="1:19" x14ac:dyDescent="0.2">
      <c r="A8224" t="s">
        <v>8835</v>
      </c>
      <c r="B8224" t="s">
        <v>67</v>
      </c>
      <c r="C8224" t="s">
        <v>597</v>
      </c>
      <c r="D8224">
        <v>4506.53</v>
      </c>
      <c r="E8224" s="37" t="str">
        <f t="shared" si="640"/>
        <v xml:space="preserve"> </v>
      </c>
      <c r="F8224">
        <v>7.0000000000000007E-2</v>
      </c>
      <c r="G8224" s="37" t="str">
        <f t="shared" si="641"/>
        <v>Normal Discount</v>
      </c>
      <c r="H8224" s="37" t="str">
        <f t="shared" si="642"/>
        <v>Low</v>
      </c>
      <c r="I8224">
        <v>4</v>
      </c>
      <c r="J8224" t="str" cm="1">
        <f t="array" ref="J8224">_xlfn.IFS(I8224&lt;=3,"small",I8224&lt;=6,"Medium",I8224&lt;=9,"Large")</f>
        <v>Medium</v>
      </c>
      <c r="K8224" s="36">
        <v>45253</v>
      </c>
      <c r="L8224" s="36">
        <v>45256</v>
      </c>
      <c r="M8224" t="s">
        <v>598</v>
      </c>
      <c r="N8224" t="s">
        <v>599</v>
      </c>
      <c r="O8224" s="37" t="str">
        <f t="shared" si="643"/>
        <v>Digital Payment</v>
      </c>
      <c r="P8224">
        <v>548.67999999999995</v>
      </c>
      <c r="Q8224" s="37" t="str">
        <f>IF(P8224&gt;500,"High","low")</f>
        <v>High</v>
      </c>
      <c r="R8224" s="37" t="str">
        <f t="shared" si="644"/>
        <v>Good</v>
      </c>
      <c r="S8224" t="s">
        <v>628</v>
      </c>
    </row>
    <row r="8225" spans="1:19" x14ac:dyDescent="0.2">
      <c r="A8225" t="s">
        <v>8836</v>
      </c>
      <c r="B8225" t="s">
        <v>75</v>
      </c>
      <c r="C8225" t="s">
        <v>597</v>
      </c>
      <c r="D8225">
        <v>1465.15</v>
      </c>
      <c r="E8225" s="37" t="str">
        <f t="shared" si="640"/>
        <v xml:space="preserve"> </v>
      </c>
      <c r="F8225">
        <v>0.36</v>
      </c>
      <c r="G8225" s="37" t="str">
        <f t="shared" si="641"/>
        <v>Heavy Discount</v>
      </c>
      <c r="H8225" s="37" t="str">
        <f t="shared" si="642"/>
        <v>Medium</v>
      </c>
      <c r="I8225">
        <v>6</v>
      </c>
      <c r="J8225" t="str" cm="1">
        <f t="array" ref="J8225">_xlfn.IFS(I8225&lt;=3,"small",I8225&lt;=6,"Medium",I8225&lt;=9,"Large")</f>
        <v>Medium</v>
      </c>
      <c r="K8225" s="36">
        <v>45657</v>
      </c>
      <c r="L8225" s="36">
        <v>45659</v>
      </c>
      <c r="M8225" t="s">
        <v>612</v>
      </c>
      <c r="N8225" t="s">
        <v>608</v>
      </c>
      <c r="O8225" s="37" t="str">
        <f t="shared" si="643"/>
        <v>Cash Payment</v>
      </c>
      <c r="P8225">
        <v>201.84</v>
      </c>
      <c r="Q8225" s="37" t="str">
        <f>IF(P8225&gt;500,"High","low")</f>
        <v>low</v>
      </c>
      <c r="R8225" s="37" t="str">
        <f t="shared" si="644"/>
        <v>AVERAGE</v>
      </c>
      <c r="S8225" t="s">
        <v>620</v>
      </c>
    </row>
    <row r="8226" spans="1:19" x14ac:dyDescent="0.2">
      <c r="A8226" t="s">
        <v>8837</v>
      </c>
      <c r="B8226" t="s">
        <v>83</v>
      </c>
      <c r="C8226" t="s">
        <v>614</v>
      </c>
      <c r="D8226">
        <v>2927.23</v>
      </c>
      <c r="E8226" s="37" t="str">
        <f t="shared" si="640"/>
        <v xml:space="preserve"> </v>
      </c>
      <c r="F8226">
        <v>0.04</v>
      </c>
      <c r="G8226" s="37" t="str">
        <f t="shared" si="641"/>
        <v>Normal Discount</v>
      </c>
      <c r="H8226" s="37" t="str">
        <f t="shared" si="642"/>
        <v>Low</v>
      </c>
      <c r="I8226">
        <v>9</v>
      </c>
      <c r="J8226" t="str" cm="1">
        <f t="array" ref="J8226">_xlfn.IFS(I8226&lt;=3,"small",I8226&lt;=6,"Medium",I8226&lt;=9,"Large")</f>
        <v>Large</v>
      </c>
      <c r="K8226" s="36">
        <v>45079</v>
      </c>
      <c r="L8226" s="36">
        <v>45082</v>
      </c>
      <c r="M8226" t="s">
        <v>603</v>
      </c>
      <c r="N8226" t="s">
        <v>608</v>
      </c>
      <c r="O8226" s="37" t="str">
        <f t="shared" si="643"/>
        <v>Cash Payment</v>
      </c>
      <c r="P8226">
        <v>780.52</v>
      </c>
      <c r="Q8226" s="37" t="str">
        <f>IF(P8226&gt;500,"High","low")</f>
        <v>High</v>
      </c>
      <c r="R8226" s="37" t="str">
        <f t="shared" si="644"/>
        <v>Good</v>
      </c>
      <c r="S8226" t="s">
        <v>605</v>
      </c>
    </row>
    <row r="8227" spans="1:19" x14ac:dyDescent="0.2">
      <c r="A8227" t="s">
        <v>8838</v>
      </c>
      <c r="B8227" t="s">
        <v>83</v>
      </c>
      <c r="C8227" t="s">
        <v>602</v>
      </c>
      <c r="D8227">
        <v>665.3</v>
      </c>
      <c r="E8227" s="37" t="str">
        <f t="shared" si="640"/>
        <v xml:space="preserve"> </v>
      </c>
      <c r="F8227">
        <v>0.18</v>
      </c>
      <c r="G8227" s="37" t="str">
        <f t="shared" si="641"/>
        <v>Normal Discount</v>
      </c>
      <c r="H8227" s="37" t="str">
        <f t="shared" si="642"/>
        <v>Low</v>
      </c>
      <c r="I8227">
        <v>4</v>
      </c>
      <c r="J8227" t="str" cm="1">
        <f t="array" ref="J8227">_xlfn.IFS(I8227&lt;=3,"small",I8227&lt;=6,"Medium",I8227&lt;=9,"Large")</f>
        <v>Medium</v>
      </c>
      <c r="K8227" s="36">
        <v>45101</v>
      </c>
      <c r="L8227" s="36">
        <v>45107</v>
      </c>
      <c r="M8227" t="s">
        <v>598</v>
      </c>
      <c r="N8227" t="s">
        <v>604</v>
      </c>
      <c r="O8227" s="37" t="str">
        <f t="shared" si="643"/>
        <v>Digital Payment</v>
      </c>
      <c r="P8227">
        <v>129.55000000000001</v>
      </c>
      <c r="Q8227" s="37" t="str">
        <f>IF(P8227&gt;500,"High","low")</f>
        <v>low</v>
      </c>
      <c r="R8227" s="37" t="str">
        <f t="shared" si="644"/>
        <v>AVERAGE</v>
      </c>
      <c r="S8227" t="s">
        <v>615</v>
      </c>
    </row>
    <row r="8228" spans="1:19" x14ac:dyDescent="0.2">
      <c r="A8228" t="s">
        <v>8839</v>
      </c>
      <c r="B8228" t="s">
        <v>83</v>
      </c>
      <c r="C8228" t="s">
        <v>602</v>
      </c>
      <c r="D8228">
        <v>2363.04</v>
      </c>
      <c r="E8228" s="37" t="str">
        <f t="shared" si="640"/>
        <v xml:space="preserve"> </v>
      </c>
      <c r="F8228">
        <v>0.13</v>
      </c>
      <c r="G8228" s="37" t="str">
        <f t="shared" si="641"/>
        <v>Normal Discount</v>
      </c>
      <c r="H8228" s="37" t="str">
        <f t="shared" si="642"/>
        <v>Low</v>
      </c>
      <c r="I8228">
        <v>3</v>
      </c>
      <c r="J8228" t="str" cm="1">
        <f t="array" ref="J8228">_xlfn.IFS(I8228&lt;=3,"small",I8228&lt;=6,"Medium",I8228&lt;=9,"Large")</f>
        <v>small</v>
      </c>
      <c r="K8228" s="36">
        <v>45233</v>
      </c>
      <c r="L8228" s="36">
        <v>45236</v>
      </c>
      <c r="M8228" t="s">
        <v>612</v>
      </c>
      <c r="N8228" t="s">
        <v>599</v>
      </c>
      <c r="O8228" s="37" t="str">
        <f t="shared" si="643"/>
        <v>Digital Payment</v>
      </c>
      <c r="P8228">
        <v>647.85</v>
      </c>
      <c r="Q8228" s="37" t="str">
        <f>IF(P8228&gt;500,"High","low")</f>
        <v>High</v>
      </c>
      <c r="R8228" s="37" t="str">
        <f t="shared" si="644"/>
        <v>Good</v>
      </c>
      <c r="S8228" t="s">
        <v>628</v>
      </c>
    </row>
    <row r="8229" spans="1:19" x14ac:dyDescent="0.2">
      <c r="A8229" t="s">
        <v>8840</v>
      </c>
      <c r="B8229" t="s">
        <v>75</v>
      </c>
      <c r="C8229" t="s">
        <v>617</v>
      </c>
      <c r="D8229">
        <v>2663.04</v>
      </c>
      <c r="E8229" s="37" t="str">
        <f t="shared" si="640"/>
        <v xml:space="preserve"> </v>
      </c>
      <c r="F8229">
        <v>0.38</v>
      </c>
      <c r="G8229" s="37" t="str">
        <f t="shared" si="641"/>
        <v>Heavy Discount</v>
      </c>
      <c r="H8229" s="37" t="str">
        <f t="shared" si="642"/>
        <v>Medium</v>
      </c>
      <c r="I8229">
        <v>9</v>
      </c>
      <c r="J8229" t="str" cm="1">
        <f t="array" ref="J8229">_xlfn.IFS(I8229&lt;=3,"small",I8229&lt;=6,"Medium",I8229&lt;=9,"Large")</f>
        <v>Large</v>
      </c>
      <c r="K8229" s="36">
        <v>45280</v>
      </c>
      <c r="L8229" s="36">
        <v>45282</v>
      </c>
      <c r="M8229" t="s">
        <v>612</v>
      </c>
      <c r="N8229" t="s">
        <v>599</v>
      </c>
      <c r="O8229" s="37" t="str">
        <f t="shared" si="643"/>
        <v>Digital Payment</v>
      </c>
      <c r="P8229">
        <v>710.37</v>
      </c>
      <c r="Q8229" s="37" t="str">
        <f>IF(P8229&gt;500,"High","low")</f>
        <v>High</v>
      </c>
      <c r="R8229" s="37" t="str">
        <f t="shared" si="644"/>
        <v>Good</v>
      </c>
      <c r="S8229" t="s">
        <v>600</v>
      </c>
    </row>
    <row r="8230" spans="1:19" x14ac:dyDescent="0.2">
      <c r="A8230" t="s">
        <v>8841</v>
      </c>
      <c r="B8230" t="s">
        <v>83</v>
      </c>
      <c r="C8230" t="s">
        <v>617</v>
      </c>
      <c r="D8230">
        <v>1644.86</v>
      </c>
      <c r="E8230" s="37" t="str">
        <f t="shared" si="640"/>
        <v xml:space="preserve"> </v>
      </c>
      <c r="F8230">
        <v>0</v>
      </c>
      <c r="G8230" s="37" t="str">
        <f t="shared" si="641"/>
        <v>Normal Discount</v>
      </c>
      <c r="H8230" s="37" t="str">
        <f t="shared" si="642"/>
        <v>Low</v>
      </c>
      <c r="I8230">
        <v>7</v>
      </c>
      <c r="J8230" t="str" cm="1">
        <f t="array" ref="J8230">_xlfn.IFS(I8230&lt;=3,"small",I8230&lt;=6,"Medium",I8230&lt;=9,"Large")</f>
        <v>Large</v>
      </c>
      <c r="K8230" s="36">
        <v>45298</v>
      </c>
      <c r="L8230" s="36">
        <v>45303</v>
      </c>
      <c r="M8230" t="s">
        <v>612</v>
      </c>
      <c r="N8230" t="s">
        <v>604</v>
      </c>
      <c r="O8230" s="37" t="str">
        <f t="shared" si="643"/>
        <v>Digital Payment</v>
      </c>
      <c r="P8230">
        <v>255.42</v>
      </c>
      <c r="Q8230" s="37" t="str">
        <f>IF(P8230&gt;500,"High","low")</f>
        <v>low</v>
      </c>
      <c r="R8230" s="37" t="str">
        <f t="shared" si="644"/>
        <v>AVERAGE</v>
      </c>
      <c r="S8230" t="s">
        <v>609</v>
      </c>
    </row>
    <row r="8231" spans="1:19" x14ac:dyDescent="0.2">
      <c r="A8231" t="s">
        <v>8842</v>
      </c>
      <c r="B8231" t="s">
        <v>67</v>
      </c>
      <c r="C8231" t="s">
        <v>597</v>
      </c>
      <c r="D8231">
        <v>2472.52</v>
      </c>
      <c r="E8231" s="37" t="str">
        <f t="shared" si="640"/>
        <v xml:space="preserve"> </v>
      </c>
      <c r="F8231">
        <v>0.06</v>
      </c>
      <c r="G8231" s="37" t="str">
        <f t="shared" si="641"/>
        <v>Normal Discount</v>
      </c>
      <c r="H8231" s="37" t="str">
        <f t="shared" si="642"/>
        <v>Low</v>
      </c>
      <c r="I8231">
        <v>9</v>
      </c>
      <c r="J8231" t="str" cm="1">
        <f t="array" ref="J8231">_xlfn.IFS(I8231&lt;=3,"small",I8231&lt;=6,"Medium",I8231&lt;=9,"Large")</f>
        <v>Large</v>
      </c>
      <c r="K8231" s="36">
        <v>45128</v>
      </c>
      <c r="L8231" s="36">
        <v>45129</v>
      </c>
      <c r="M8231" t="s">
        <v>603</v>
      </c>
      <c r="N8231" t="s">
        <v>599</v>
      </c>
      <c r="O8231" s="37" t="str">
        <f t="shared" si="643"/>
        <v>Digital Payment</v>
      </c>
      <c r="P8231">
        <v>213.14</v>
      </c>
      <c r="Q8231" s="37" t="str">
        <f>IF(P8231&gt;500,"High","low")</f>
        <v>low</v>
      </c>
      <c r="R8231" s="37" t="str">
        <f t="shared" si="644"/>
        <v>AVERAGE</v>
      </c>
      <c r="S8231" t="s">
        <v>605</v>
      </c>
    </row>
    <row r="8232" spans="1:19" x14ac:dyDescent="0.2">
      <c r="A8232" t="s">
        <v>8843</v>
      </c>
      <c r="B8232" t="s">
        <v>83</v>
      </c>
      <c r="C8232" t="s">
        <v>602</v>
      </c>
      <c r="D8232">
        <v>4607.7</v>
      </c>
      <c r="E8232" s="37" t="str">
        <f t="shared" si="640"/>
        <v>Excellent Order</v>
      </c>
      <c r="F8232">
        <v>0.05</v>
      </c>
      <c r="G8232" s="37" t="str">
        <f t="shared" si="641"/>
        <v>Normal Discount</v>
      </c>
      <c r="H8232" s="37" t="str">
        <f t="shared" si="642"/>
        <v>Low</v>
      </c>
      <c r="I8232">
        <v>6</v>
      </c>
      <c r="J8232" t="str" cm="1">
        <f t="array" ref="J8232">_xlfn.IFS(I8232&lt;=3,"small",I8232&lt;=6,"Medium",I8232&lt;=9,"Large")</f>
        <v>Medium</v>
      </c>
      <c r="K8232" s="36">
        <v>45563</v>
      </c>
      <c r="L8232" s="36">
        <v>45566</v>
      </c>
      <c r="M8232" t="s">
        <v>603</v>
      </c>
      <c r="N8232" t="s">
        <v>599</v>
      </c>
      <c r="O8232" s="37" t="str">
        <f t="shared" si="643"/>
        <v>Digital Payment</v>
      </c>
      <c r="P8232">
        <v>1316.99</v>
      </c>
      <c r="Q8232" s="37" t="str">
        <f>IF(P8232&gt;500,"High","low")</f>
        <v>High</v>
      </c>
      <c r="R8232" s="37" t="str">
        <f t="shared" si="644"/>
        <v>Excellent</v>
      </c>
      <c r="S8232" t="s">
        <v>628</v>
      </c>
    </row>
    <row r="8233" spans="1:19" x14ac:dyDescent="0.2">
      <c r="A8233" t="s">
        <v>8844</v>
      </c>
      <c r="B8233" t="s">
        <v>83</v>
      </c>
      <c r="C8233" t="s">
        <v>614</v>
      </c>
      <c r="D8233">
        <v>2550.67</v>
      </c>
      <c r="E8233" s="37" t="str">
        <f t="shared" si="640"/>
        <v xml:space="preserve"> </v>
      </c>
      <c r="F8233">
        <v>0.16</v>
      </c>
      <c r="G8233" s="37" t="str">
        <f t="shared" si="641"/>
        <v>Normal Discount</v>
      </c>
      <c r="H8233" s="37" t="str">
        <f t="shared" si="642"/>
        <v>Low</v>
      </c>
      <c r="I8233">
        <v>4</v>
      </c>
      <c r="J8233" t="str" cm="1">
        <f t="array" ref="J8233">_xlfn.IFS(I8233&lt;=3,"small",I8233&lt;=6,"Medium",I8233&lt;=9,"Large")</f>
        <v>Medium</v>
      </c>
      <c r="K8233" s="36">
        <v>45627</v>
      </c>
      <c r="L8233" s="36">
        <v>45631</v>
      </c>
      <c r="M8233" t="s">
        <v>612</v>
      </c>
      <c r="N8233" t="s">
        <v>608</v>
      </c>
      <c r="O8233" s="37" t="str">
        <f t="shared" si="643"/>
        <v>Cash Payment</v>
      </c>
      <c r="P8233">
        <v>640.26</v>
      </c>
      <c r="Q8233" s="37" t="str">
        <f>IF(P8233&gt;500,"High","low")</f>
        <v>High</v>
      </c>
      <c r="R8233" s="37" t="str">
        <f t="shared" si="644"/>
        <v>Good</v>
      </c>
      <c r="S8233" t="s">
        <v>600</v>
      </c>
    </row>
    <row r="8234" spans="1:19" x14ac:dyDescent="0.2">
      <c r="A8234" t="s">
        <v>8845</v>
      </c>
      <c r="B8234" t="s">
        <v>67</v>
      </c>
      <c r="C8234" t="s">
        <v>607</v>
      </c>
      <c r="D8234">
        <v>4171.8500000000004</v>
      </c>
      <c r="E8234" s="37" t="str">
        <f t="shared" si="640"/>
        <v xml:space="preserve"> </v>
      </c>
      <c r="F8234">
        <v>0.12</v>
      </c>
      <c r="G8234" s="37" t="str">
        <f t="shared" si="641"/>
        <v>Normal Discount</v>
      </c>
      <c r="H8234" s="37" t="str">
        <f t="shared" si="642"/>
        <v>Low</v>
      </c>
      <c r="I8234">
        <v>5</v>
      </c>
      <c r="J8234" t="str" cm="1">
        <f t="array" ref="J8234">_xlfn.IFS(I8234&lt;=3,"small",I8234&lt;=6,"Medium",I8234&lt;=9,"Large")</f>
        <v>Medium</v>
      </c>
      <c r="K8234" s="36">
        <v>45284</v>
      </c>
      <c r="L8234" s="36">
        <v>45286</v>
      </c>
      <c r="M8234" t="s">
        <v>598</v>
      </c>
      <c r="N8234" t="s">
        <v>608</v>
      </c>
      <c r="O8234" s="37" t="str">
        <f t="shared" si="643"/>
        <v>Cash Payment</v>
      </c>
      <c r="P8234">
        <v>590.03</v>
      </c>
      <c r="Q8234" s="37" t="str">
        <f>IF(P8234&gt;500,"High","low")</f>
        <v>High</v>
      </c>
      <c r="R8234" s="37" t="str">
        <f t="shared" si="644"/>
        <v>Good</v>
      </c>
      <c r="S8234" t="s">
        <v>609</v>
      </c>
    </row>
    <row r="8235" spans="1:19" x14ac:dyDescent="0.2">
      <c r="A8235" t="s">
        <v>8846</v>
      </c>
      <c r="B8235" t="s">
        <v>83</v>
      </c>
      <c r="C8235" t="s">
        <v>614</v>
      </c>
      <c r="D8235">
        <v>1655.21</v>
      </c>
      <c r="E8235" s="37" t="str">
        <f t="shared" si="640"/>
        <v xml:space="preserve"> </v>
      </c>
      <c r="F8235">
        <v>0.11</v>
      </c>
      <c r="G8235" s="37" t="str">
        <f t="shared" si="641"/>
        <v>Normal Discount</v>
      </c>
      <c r="H8235" s="37" t="str">
        <f t="shared" si="642"/>
        <v>Low</v>
      </c>
      <c r="I8235">
        <v>2</v>
      </c>
      <c r="J8235" t="str" cm="1">
        <f t="array" ref="J8235">_xlfn.IFS(I8235&lt;=3,"small",I8235&lt;=6,"Medium",I8235&lt;=9,"Large")</f>
        <v>small</v>
      </c>
      <c r="K8235" s="36">
        <v>45642</v>
      </c>
      <c r="L8235" s="36">
        <v>45649</v>
      </c>
      <c r="M8235" t="s">
        <v>612</v>
      </c>
      <c r="N8235" t="s">
        <v>599</v>
      </c>
      <c r="O8235" s="37" t="str">
        <f t="shared" si="643"/>
        <v>Digital Payment</v>
      </c>
      <c r="P8235">
        <v>449.25</v>
      </c>
      <c r="Q8235" s="37" t="str">
        <f>IF(P8235&gt;500,"High","low")</f>
        <v>low</v>
      </c>
      <c r="R8235" s="37" t="str">
        <f t="shared" si="644"/>
        <v>AVERAGE</v>
      </c>
      <c r="S8235" t="s">
        <v>615</v>
      </c>
    </row>
    <row r="8236" spans="1:19" x14ac:dyDescent="0.2">
      <c r="A8236" t="s">
        <v>8847</v>
      </c>
      <c r="B8236" t="s">
        <v>67</v>
      </c>
      <c r="C8236" t="s">
        <v>617</v>
      </c>
      <c r="D8236">
        <v>4859.88</v>
      </c>
      <c r="E8236" s="37" t="str">
        <f t="shared" si="640"/>
        <v xml:space="preserve"> </v>
      </c>
      <c r="F8236">
        <v>0.19</v>
      </c>
      <c r="G8236" s="37" t="str">
        <f t="shared" si="641"/>
        <v>Normal Discount</v>
      </c>
      <c r="H8236" s="37" t="str">
        <f t="shared" si="642"/>
        <v>Low</v>
      </c>
      <c r="I8236">
        <v>3</v>
      </c>
      <c r="J8236" t="str" cm="1">
        <f t="array" ref="J8236">_xlfn.IFS(I8236&lt;=3,"small",I8236&lt;=6,"Medium",I8236&lt;=9,"Large")</f>
        <v>small</v>
      </c>
      <c r="K8236" s="36">
        <v>45116</v>
      </c>
      <c r="L8236" s="36">
        <v>45121</v>
      </c>
      <c r="M8236" t="s">
        <v>598</v>
      </c>
      <c r="N8236" t="s">
        <v>599</v>
      </c>
      <c r="O8236" s="37" t="str">
        <f t="shared" si="643"/>
        <v>Digital Payment</v>
      </c>
      <c r="P8236">
        <v>684.66</v>
      </c>
      <c r="Q8236" s="37" t="str">
        <f>IF(P8236&gt;500,"High","low")</f>
        <v>High</v>
      </c>
      <c r="R8236" s="37" t="str">
        <f t="shared" si="644"/>
        <v>Good</v>
      </c>
      <c r="S8236" t="s">
        <v>600</v>
      </c>
    </row>
    <row r="8237" spans="1:19" x14ac:dyDescent="0.2">
      <c r="A8237" t="s">
        <v>8848</v>
      </c>
      <c r="B8237" t="s">
        <v>83</v>
      </c>
      <c r="C8237" t="s">
        <v>614</v>
      </c>
      <c r="D8237">
        <v>557.97</v>
      </c>
      <c r="E8237" s="37" t="str">
        <f t="shared" si="640"/>
        <v xml:space="preserve"> </v>
      </c>
      <c r="F8237">
        <v>0.11</v>
      </c>
      <c r="G8237" s="37" t="str">
        <f t="shared" si="641"/>
        <v>Normal Discount</v>
      </c>
      <c r="H8237" s="37" t="str">
        <f t="shared" si="642"/>
        <v>Low</v>
      </c>
      <c r="I8237">
        <v>5</v>
      </c>
      <c r="J8237" t="str" cm="1">
        <f t="array" ref="J8237">_xlfn.IFS(I8237&lt;=3,"small",I8237&lt;=6,"Medium",I8237&lt;=9,"Large")</f>
        <v>Medium</v>
      </c>
      <c r="K8237" s="36">
        <v>45592</v>
      </c>
      <c r="L8237" s="36">
        <v>45593</v>
      </c>
      <c r="M8237" t="s">
        <v>612</v>
      </c>
      <c r="N8237" t="s">
        <v>599</v>
      </c>
      <c r="O8237" s="37" t="str">
        <f t="shared" si="643"/>
        <v>Digital Payment</v>
      </c>
      <c r="P8237">
        <v>118.42</v>
      </c>
      <c r="Q8237" s="37" t="str">
        <f>IF(P8237&gt;500,"High","low")</f>
        <v>low</v>
      </c>
      <c r="R8237" s="37" t="str">
        <f t="shared" si="644"/>
        <v>AVERAGE</v>
      </c>
      <c r="S8237" t="s">
        <v>605</v>
      </c>
    </row>
    <row r="8238" spans="1:19" x14ac:dyDescent="0.2">
      <c r="A8238" t="s">
        <v>8849</v>
      </c>
      <c r="B8238" t="s">
        <v>67</v>
      </c>
      <c r="C8238" t="s">
        <v>602</v>
      </c>
      <c r="D8238">
        <v>2969.37</v>
      </c>
      <c r="E8238" s="37" t="str">
        <f t="shared" si="640"/>
        <v xml:space="preserve"> </v>
      </c>
      <c r="F8238">
        <v>0.05</v>
      </c>
      <c r="G8238" s="37" t="str">
        <f t="shared" si="641"/>
        <v>Normal Discount</v>
      </c>
      <c r="H8238" s="37" t="str">
        <f t="shared" si="642"/>
        <v>Low</v>
      </c>
      <c r="I8238">
        <v>3</v>
      </c>
      <c r="J8238" t="str" cm="1">
        <f t="array" ref="J8238">_xlfn.IFS(I8238&lt;=3,"small",I8238&lt;=6,"Medium",I8238&lt;=9,"Large")</f>
        <v>small</v>
      </c>
      <c r="K8238" s="36">
        <v>45430</v>
      </c>
      <c r="L8238" s="36">
        <v>45431</v>
      </c>
      <c r="M8238" t="s">
        <v>603</v>
      </c>
      <c r="N8238" t="s">
        <v>608</v>
      </c>
      <c r="O8238" s="37" t="str">
        <f t="shared" si="643"/>
        <v>Cash Payment</v>
      </c>
      <c r="P8238">
        <v>381.38</v>
      </c>
      <c r="Q8238" s="37" t="str">
        <f>IF(P8238&gt;500,"High","low")</f>
        <v>low</v>
      </c>
      <c r="R8238" s="37" t="str">
        <f t="shared" si="644"/>
        <v>AVERAGE</v>
      </c>
      <c r="S8238" t="s">
        <v>620</v>
      </c>
    </row>
    <row r="8239" spans="1:19" x14ac:dyDescent="0.2">
      <c r="A8239" t="s">
        <v>8850</v>
      </c>
      <c r="B8239" t="s">
        <v>83</v>
      </c>
      <c r="C8239" t="s">
        <v>597</v>
      </c>
      <c r="D8239">
        <v>3970.45</v>
      </c>
      <c r="E8239" s="37" t="str">
        <f t="shared" si="640"/>
        <v xml:space="preserve"> </v>
      </c>
      <c r="F8239">
        <v>0.28999999999999998</v>
      </c>
      <c r="G8239" s="37" t="str">
        <f t="shared" si="641"/>
        <v>Normal Discount</v>
      </c>
      <c r="H8239" s="37" t="str">
        <f t="shared" si="642"/>
        <v>Medium</v>
      </c>
      <c r="I8239">
        <v>3</v>
      </c>
      <c r="J8239" t="str" cm="1">
        <f t="array" ref="J8239">_xlfn.IFS(I8239&lt;=3,"small",I8239&lt;=6,"Medium",I8239&lt;=9,"Large")</f>
        <v>small</v>
      </c>
      <c r="K8239" s="36">
        <v>45159</v>
      </c>
      <c r="L8239" s="36">
        <v>45163</v>
      </c>
      <c r="M8239" t="s">
        <v>598</v>
      </c>
      <c r="N8239" t="s">
        <v>608</v>
      </c>
      <c r="O8239" s="37" t="str">
        <f t="shared" si="643"/>
        <v>Cash Payment</v>
      </c>
      <c r="P8239">
        <v>1099.56</v>
      </c>
      <c r="Q8239" s="37" t="str">
        <f>IF(P8239&gt;500,"High","low")</f>
        <v>High</v>
      </c>
      <c r="R8239" s="37" t="str">
        <f t="shared" si="644"/>
        <v>Excellent</v>
      </c>
      <c r="S8239" t="s">
        <v>605</v>
      </c>
    </row>
    <row r="8240" spans="1:19" x14ac:dyDescent="0.2">
      <c r="A8240" t="s">
        <v>8851</v>
      </c>
      <c r="B8240" t="s">
        <v>67</v>
      </c>
      <c r="C8240" t="s">
        <v>607</v>
      </c>
      <c r="D8240">
        <v>4088.8</v>
      </c>
      <c r="E8240" s="37" t="str">
        <f t="shared" si="640"/>
        <v xml:space="preserve"> </v>
      </c>
      <c r="F8240">
        <v>0.48</v>
      </c>
      <c r="G8240" s="37" t="str">
        <f t="shared" si="641"/>
        <v>Heavy Discount</v>
      </c>
      <c r="H8240" s="37" t="str">
        <f t="shared" si="642"/>
        <v>High</v>
      </c>
      <c r="I8240">
        <v>9</v>
      </c>
      <c r="J8240" t="str" cm="1">
        <f t="array" ref="J8240">_xlfn.IFS(I8240&lt;=3,"small",I8240&lt;=6,"Medium",I8240&lt;=9,"Large")</f>
        <v>Large</v>
      </c>
      <c r="K8240" s="36">
        <v>45188</v>
      </c>
      <c r="L8240" s="36">
        <v>45193</v>
      </c>
      <c r="M8240" t="s">
        <v>603</v>
      </c>
      <c r="N8240" t="s">
        <v>608</v>
      </c>
      <c r="O8240" s="37" t="str">
        <f t="shared" si="643"/>
        <v>Cash Payment</v>
      </c>
      <c r="P8240">
        <v>243.44</v>
      </c>
      <c r="Q8240" s="37" t="str">
        <f>IF(P8240&gt;500,"High","low")</f>
        <v>low</v>
      </c>
      <c r="R8240" s="37" t="str">
        <f t="shared" si="644"/>
        <v>AVERAGE</v>
      </c>
      <c r="S8240" t="s">
        <v>609</v>
      </c>
    </row>
    <row r="8241" spans="1:19" x14ac:dyDescent="0.2">
      <c r="A8241" t="s">
        <v>8852</v>
      </c>
      <c r="B8241" t="s">
        <v>75</v>
      </c>
      <c r="C8241" t="s">
        <v>597</v>
      </c>
      <c r="D8241">
        <v>1071.58</v>
      </c>
      <c r="E8241" s="37" t="str">
        <f t="shared" si="640"/>
        <v xml:space="preserve"> </v>
      </c>
      <c r="F8241">
        <v>0.3</v>
      </c>
      <c r="G8241" s="37" t="str">
        <f t="shared" si="641"/>
        <v>Normal Discount</v>
      </c>
      <c r="H8241" s="37" t="str">
        <f t="shared" si="642"/>
        <v>Medium</v>
      </c>
      <c r="I8241">
        <v>4</v>
      </c>
      <c r="J8241" t="str" cm="1">
        <f t="array" ref="J8241">_xlfn.IFS(I8241&lt;=3,"small",I8241&lt;=6,"Medium",I8241&lt;=9,"Large")</f>
        <v>Medium</v>
      </c>
      <c r="K8241" s="36">
        <v>44993</v>
      </c>
      <c r="L8241" s="36">
        <v>44997</v>
      </c>
      <c r="M8241" t="s">
        <v>603</v>
      </c>
      <c r="N8241" t="s">
        <v>604</v>
      </c>
      <c r="O8241" s="37" t="str">
        <f t="shared" si="643"/>
        <v>Digital Payment</v>
      </c>
      <c r="P8241">
        <v>235.65</v>
      </c>
      <c r="Q8241" s="37" t="str">
        <f>IF(P8241&gt;500,"High","low")</f>
        <v>low</v>
      </c>
      <c r="R8241" s="37" t="str">
        <f t="shared" si="644"/>
        <v>AVERAGE</v>
      </c>
      <c r="S8241" t="s">
        <v>615</v>
      </c>
    </row>
    <row r="8242" spans="1:19" x14ac:dyDescent="0.2">
      <c r="A8242" t="s">
        <v>8853</v>
      </c>
      <c r="B8242" t="s">
        <v>67</v>
      </c>
      <c r="C8242" t="s">
        <v>607</v>
      </c>
      <c r="D8242">
        <v>2068.06</v>
      </c>
      <c r="E8242" s="37" t="str">
        <f t="shared" si="640"/>
        <v xml:space="preserve"> </v>
      </c>
      <c r="F8242">
        <v>0.38</v>
      </c>
      <c r="G8242" s="37" t="str">
        <f t="shared" si="641"/>
        <v>Heavy Discount</v>
      </c>
      <c r="H8242" s="37" t="str">
        <f t="shared" si="642"/>
        <v>Medium</v>
      </c>
      <c r="I8242">
        <v>4</v>
      </c>
      <c r="J8242" t="str" cm="1">
        <f t="array" ref="J8242">_xlfn.IFS(I8242&lt;=3,"small",I8242&lt;=6,"Medium",I8242&lt;=9,"Large")</f>
        <v>Medium</v>
      </c>
      <c r="K8242" s="36">
        <v>45145</v>
      </c>
      <c r="L8242" s="36">
        <v>45146</v>
      </c>
      <c r="M8242" t="s">
        <v>603</v>
      </c>
      <c r="N8242" t="s">
        <v>604</v>
      </c>
      <c r="O8242" s="37" t="str">
        <f t="shared" si="643"/>
        <v>Digital Payment</v>
      </c>
      <c r="P8242">
        <v>202.57</v>
      </c>
      <c r="Q8242" s="37" t="str">
        <f>IF(P8242&gt;500,"High","low")</f>
        <v>low</v>
      </c>
      <c r="R8242" s="37" t="str">
        <f t="shared" si="644"/>
        <v>AVERAGE</v>
      </c>
      <c r="S8242" t="s">
        <v>628</v>
      </c>
    </row>
    <row r="8243" spans="1:19" x14ac:dyDescent="0.2">
      <c r="A8243" t="s">
        <v>8854</v>
      </c>
      <c r="B8243" t="s">
        <v>83</v>
      </c>
      <c r="C8243" t="s">
        <v>607</v>
      </c>
      <c r="D8243">
        <v>3158.56</v>
      </c>
      <c r="E8243" s="37" t="str">
        <f t="shared" si="640"/>
        <v xml:space="preserve"> </v>
      </c>
      <c r="F8243">
        <v>0.49</v>
      </c>
      <c r="G8243" s="37" t="str">
        <f t="shared" si="641"/>
        <v>Heavy Discount</v>
      </c>
      <c r="H8243" s="37" t="str">
        <f t="shared" si="642"/>
        <v>High</v>
      </c>
      <c r="I8243">
        <v>1</v>
      </c>
      <c r="J8243" t="str" cm="1">
        <f t="array" ref="J8243">_xlfn.IFS(I8243&lt;=3,"small",I8243&lt;=6,"Medium",I8243&lt;=9,"Large")</f>
        <v>small</v>
      </c>
      <c r="K8243" s="36">
        <v>45551</v>
      </c>
      <c r="L8243" s="36">
        <v>45557</v>
      </c>
      <c r="M8243" t="s">
        <v>603</v>
      </c>
      <c r="N8243" t="s">
        <v>599</v>
      </c>
      <c r="O8243" s="37" t="str">
        <f t="shared" si="643"/>
        <v>Digital Payment</v>
      </c>
      <c r="P8243">
        <v>233.14</v>
      </c>
      <c r="Q8243" s="37" t="str">
        <f>IF(P8243&gt;500,"High","low")</f>
        <v>low</v>
      </c>
      <c r="R8243" s="37" t="str">
        <f t="shared" si="644"/>
        <v>AVERAGE</v>
      </c>
      <c r="S8243" t="s">
        <v>615</v>
      </c>
    </row>
    <row r="8244" spans="1:19" x14ac:dyDescent="0.2">
      <c r="A8244" t="s">
        <v>8855</v>
      </c>
      <c r="B8244" t="s">
        <v>83</v>
      </c>
      <c r="C8244" t="s">
        <v>602</v>
      </c>
      <c r="D8244">
        <v>1647.83</v>
      </c>
      <c r="E8244" s="37" t="str">
        <f t="shared" si="640"/>
        <v xml:space="preserve"> </v>
      </c>
      <c r="F8244">
        <v>0.08</v>
      </c>
      <c r="G8244" s="37" t="str">
        <f t="shared" si="641"/>
        <v>Normal Discount</v>
      </c>
      <c r="H8244" s="37" t="str">
        <f t="shared" si="642"/>
        <v>Low</v>
      </c>
      <c r="I8244">
        <v>7</v>
      </c>
      <c r="J8244" t="str" cm="1">
        <f t="array" ref="J8244">_xlfn.IFS(I8244&lt;=3,"small",I8244&lt;=6,"Medium",I8244&lt;=9,"Large")</f>
        <v>Large</v>
      </c>
      <c r="K8244" s="36">
        <v>45001</v>
      </c>
      <c r="L8244" s="36">
        <v>45008</v>
      </c>
      <c r="M8244" t="s">
        <v>598</v>
      </c>
      <c r="N8244" t="s">
        <v>599</v>
      </c>
      <c r="O8244" s="37" t="str">
        <f t="shared" si="643"/>
        <v>Digital Payment</v>
      </c>
      <c r="P8244">
        <v>321.86</v>
      </c>
      <c r="Q8244" s="37" t="str">
        <f>IF(P8244&gt;500,"High","low")</f>
        <v>low</v>
      </c>
      <c r="R8244" s="37" t="str">
        <f t="shared" si="644"/>
        <v>AVERAGE</v>
      </c>
      <c r="S8244" t="s">
        <v>600</v>
      </c>
    </row>
    <row r="8245" spans="1:19" x14ac:dyDescent="0.2">
      <c r="A8245" t="s">
        <v>8856</v>
      </c>
      <c r="B8245" t="s">
        <v>90</v>
      </c>
      <c r="C8245" t="s">
        <v>602</v>
      </c>
      <c r="D8245">
        <v>3325.65</v>
      </c>
      <c r="E8245" s="37" t="str">
        <f t="shared" si="640"/>
        <v xml:space="preserve"> </v>
      </c>
      <c r="F8245">
        <v>0.23</v>
      </c>
      <c r="G8245" s="37" t="str">
        <f t="shared" si="641"/>
        <v>Normal Discount</v>
      </c>
      <c r="H8245" s="37" t="str">
        <f t="shared" si="642"/>
        <v>Medium</v>
      </c>
      <c r="I8245">
        <v>9</v>
      </c>
      <c r="J8245" t="str" cm="1">
        <f t="array" ref="J8245">_xlfn.IFS(I8245&lt;=3,"small",I8245&lt;=6,"Medium",I8245&lt;=9,"Large")</f>
        <v>Large</v>
      </c>
      <c r="K8245" s="36">
        <v>45169</v>
      </c>
      <c r="L8245" s="36">
        <v>45172</v>
      </c>
      <c r="M8245" t="s">
        <v>603</v>
      </c>
      <c r="N8245" t="s">
        <v>608</v>
      </c>
      <c r="O8245" s="37" t="str">
        <f t="shared" si="643"/>
        <v>Cash Payment</v>
      </c>
      <c r="P8245">
        <v>774.77</v>
      </c>
      <c r="Q8245" s="37" t="str">
        <f>IF(P8245&gt;500,"High","low")</f>
        <v>High</v>
      </c>
      <c r="R8245" s="37" t="str">
        <f t="shared" si="644"/>
        <v>Good</v>
      </c>
      <c r="S8245" t="s">
        <v>620</v>
      </c>
    </row>
    <row r="8246" spans="1:19" x14ac:dyDescent="0.2">
      <c r="A8246" t="s">
        <v>8857</v>
      </c>
      <c r="B8246" t="s">
        <v>67</v>
      </c>
      <c r="C8246" t="s">
        <v>617</v>
      </c>
      <c r="D8246">
        <v>1956.03</v>
      </c>
      <c r="E8246" s="37" t="str">
        <f t="shared" si="640"/>
        <v xml:space="preserve"> </v>
      </c>
      <c r="F8246">
        <v>0.28999999999999998</v>
      </c>
      <c r="G8246" s="37" t="str">
        <f t="shared" si="641"/>
        <v>Normal Discount</v>
      </c>
      <c r="H8246" s="37" t="str">
        <f t="shared" si="642"/>
        <v>Medium</v>
      </c>
      <c r="I8246">
        <v>8</v>
      </c>
      <c r="J8246" t="str" cm="1">
        <f t="array" ref="J8246">_xlfn.IFS(I8246&lt;=3,"small",I8246&lt;=6,"Medium",I8246&lt;=9,"Large")</f>
        <v>Large</v>
      </c>
      <c r="K8246" s="36">
        <v>45583</v>
      </c>
      <c r="L8246" s="36">
        <v>45585</v>
      </c>
      <c r="M8246" t="s">
        <v>598</v>
      </c>
      <c r="N8246" t="s">
        <v>599</v>
      </c>
      <c r="O8246" s="37" t="str">
        <f t="shared" si="643"/>
        <v>Digital Payment</v>
      </c>
      <c r="P8246">
        <v>582.55999999999995</v>
      </c>
      <c r="Q8246" s="37" t="str">
        <f>IF(P8246&gt;500,"High","low")</f>
        <v>High</v>
      </c>
      <c r="R8246" s="37" t="str">
        <f t="shared" si="644"/>
        <v>Good</v>
      </c>
      <c r="S8246" t="s">
        <v>620</v>
      </c>
    </row>
    <row r="8247" spans="1:19" x14ac:dyDescent="0.2">
      <c r="A8247" t="s">
        <v>8858</v>
      </c>
      <c r="B8247" t="s">
        <v>75</v>
      </c>
      <c r="C8247" t="s">
        <v>617</v>
      </c>
      <c r="D8247">
        <v>1819.24</v>
      </c>
      <c r="E8247" s="37" t="str">
        <f t="shared" si="640"/>
        <v xml:space="preserve"> </v>
      </c>
      <c r="F8247">
        <v>0.16</v>
      </c>
      <c r="G8247" s="37" t="str">
        <f t="shared" si="641"/>
        <v>Normal Discount</v>
      </c>
      <c r="H8247" s="37" t="str">
        <f t="shared" si="642"/>
        <v>Low</v>
      </c>
      <c r="I8247">
        <v>2</v>
      </c>
      <c r="J8247" t="str" cm="1">
        <f t="array" ref="J8247">_xlfn.IFS(I8247&lt;=3,"small",I8247&lt;=6,"Medium",I8247&lt;=9,"Large")</f>
        <v>small</v>
      </c>
      <c r="K8247" s="36">
        <v>45621</v>
      </c>
      <c r="L8247" s="36">
        <v>45623</v>
      </c>
      <c r="M8247" t="s">
        <v>612</v>
      </c>
      <c r="N8247" t="s">
        <v>604</v>
      </c>
      <c r="O8247" s="37" t="str">
        <f t="shared" si="643"/>
        <v>Digital Payment</v>
      </c>
      <c r="P8247">
        <v>147.22</v>
      </c>
      <c r="Q8247" s="37" t="str">
        <f>IF(P8247&gt;500,"High","low")</f>
        <v>low</v>
      </c>
      <c r="R8247" s="37" t="str">
        <f t="shared" si="644"/>
        <v>AVERAGE</v>
      </c>
      <c r="S8247" t="s">
        <v>628</v>
      </c>
    </row>
    <row r="8248" spans="1:19" x14ac:dyDescent="0.2">
      <c r="A8248" t="s">
        <v>8859</v>
      </c>
      <c r="B8248" t="s">
        <v>67</v>
      </c>
      <c r="C8248" t="s">
        <v>607</v>
      </c>
      <c r="D8248">
        <v>629.53</v>
      </c>
      <c r="E8248" s="37" t="str">
        <f t="shared" si="640"/>
        <v xml:space="preserve"> </v>
      </c>
      <c r="F8248">
        <v>0.31</v>
      </c>
      <c r="G8248" s="37" t="str">
        <f t="shared" si="641"/>
        <v>Heavy Discount</v>
      </c>
      <c r="H8248" s="37" t="str">
        <f t="shared" si="642"/>
        <v>Medium</v>
      </c>
      <c r="I8248">
        <v>6</v>
      </c>
      <c r="J8248" t="str" cm="1">
        <f t="array" ref="J8248">_xlfn.IFS(I8248&lt;=3,"small",I8248&lt;=6,"Medium",I8248&lt;=9,"Large")</f>
        <v>Medium</v>
      </c>
      <c r="K8248" s="36">
        <v>45114</v>
      </c>
      <c r="L8248" s="36">
        <v>45118</v>
      </c>
      <c r="M8248" t="s">
        <v>612</v>
      </c>
      <c r="N8248" t="s">
        <v>604</v>
      </c>
      <c r="O8248" s="37" t="str">
        <f t="shared" si="643"/>
        <v>Digital Payment</v>
      </c>
      <c r="P8248">
        <v>67.75</v>
      </c>
      <c r="Q8248" s="37" t="str">
        <f>IF(P8248&gt;500,"High","low")</f>
        <v>low</v>
      </c>
      <c r="R8248" s="37" t="str">
        <f t="shared" si="644"/>
        <v>AVERAGE</v>
      </c>
      <c r="S8248" t="s">
        <v>605</v>
      </c>
    </row>
    <row r="8249" spans="1:19" x14ac:dyDescent="0.2">
      <c r="A8249" t="s">
        <v>8860</v>
      </c>
      <c r="B8249" t="s">
        <v>67</v>
      </c>
      <c r="C8249" t="s">
        <v>617</v>
      </c>
      <c r="D8249">
        <v>292.33999999999997</v>
      </c>
      <c r="E8249" s="37" t="str">
        <f t="shared" si="640"/>
        <v xml:space="preserve"> </v>
      </c>
      <c r="F8249">
        <v>0.31</v>
      </c>
      <c r="G8249" s="37" t="str">
        <f t="shared" si="641"/>
        <v>Heavy Discount</v>
      </c>
      <c r="H8249" s="37" t="str">
        <f t="shared" si="642"/>
        <v>Medium</v>
      </c>
      <c r="I8249">
        <v>5</v>
      </c>
      <c r="J8249" t="str" cm="1">
        <f t="array" ref="J8249">_xlfn.IFS(I8249&lt;=3,"small",I8249&lt;=6,"Medium",I8249&lt;=9,"Large")</f>
        <v>Medium</v>
      </c>
      <c r="K8249" s="36">
        <v>45100</v>
      </c>
      <c r="L8249" s="36">
        <v>45103</v>
      </c>
      <c r="M8249" t="s">
        <v>612</v>
      </c>
      <c r="N8249" t="s">
        <v>599</v>
      </c>
      <c r="O8249" s="37" t="str">
        <f t="shared" si="643"/>
        <v>Digital Payment</v>
      </c>
      <c r="P8249">
        <v>86.22</v>
      </c>
      <c r="Q8249" s="37" t="str">
        <f>IF(P8249&gt;500,"High","low")</f>
        <v>low</v>
      </c>
      <c r="R8249" s="37" t="str">
        <f t="shared" si="644"/>
        <v>AVERAGE</v>
      </c>
      <c r="S8249" t="s">
        <v>600</v>
      </c>
    </row>
    <row r="8250" spans="1:19" x14ac:dyDescent="0.2">
      <c r="A8250" t="s">
        <v>8861</v>
      </c>
      <c r="B8250" t="s">
        <v>75</v>
      </c>
      <c r="C8250" t="s">
        <v>602</v>
      </c>
      <c r="D8250">
        <v>4192.84</v>
      </c>
      <c r="E8250" s="37" t="str">
        <f t="shared" si="640"/>
        <v xml:space="preserve"> </v>
      </c>
      <c r="F8250">
        <v>0.42</v>
      </c>
      <c r="G8250" s="37" t="str">
        <f t="shared" si="641"/>
        <v>Heavy Discount</v>
      </c>
      <c r="H8250" s="37" t="str">
        <f t="shared" si="642"/>
        <v>High</v>
      </c>
      <c r="I8250">
        <v>8</v>
      </c>
      <c r="J8250" t="str" cm="1">
        <f t="array" ref="J8250">_xlfn.IFS(I8250&lt;=3,"small",I8250&lt;=6,"Medium",I8250&lt;=9,"Large")</f>
        <v>Large</v>
      </c>
      <c r="K8250" s="36">
        <v>45358</v>
      </c>
      <c r="L8250" s="36">
        <v>45359</v>
      </c>
      <c r="M8250" t="s">
        <v>612</v>
      </c>
      <c r="N8250" t="s">
        <v>608</v>
      </c>
      <c r="O8250" s="37" t="str">
        <f t="shared" si="643"/>
        <v>Cash Payment</v>
      </c>
      <c r="P8250">
        <v>449.28</v>
      </c>
      <c r="Q8250" s="37" t="str">
        <f>IF(P8250&gt;500,"High","low")</f>
        <v>low</v>
      </c>
      <c r="R8250" s="37" t="str">
        <f t="shared" si="644"/>
        <v>AVERAGE</v>
      </c>
      <c r="S8250" t="s">
        <v>609</v>
      </c>
    </row>
    <row r="8251" spans="1:19" x14ac:dyDescent="0.2">
      <c r="A8251" t="s">
        <v>8862</v>
      </c>
      <c r="B8251" t="s">
        <v>67</v>
      </c>
      <c r="C8251" t="s">
        <v>617</v>
      </c>
      <c r="D8251">
        <v>2498.77</v>
      </c>
      <c r="E8251" s="37" t="str">
        <f t="shared" si="640"/>
        <v xml:space="preserve"> </v>
      </c>
      <c r="F8251">
        <v>0.42</v>
      </c>
      <c r="G8251" s="37" t="str">
        <f t="shared" si="641"/>
        <v>Heavy Discount</v>
      </c>
      <c r="H8251" s="37" t="str">
        <f t="shared" si="642"/>
        <v>High</v>
      </c>
      <c r="I8251">
        <v>1</v>
      </c>
      <c r="J8251" t="str" cm="1">
        <f t="array" ref="J8251">_xlfn.IFS(I8251&lt;=3,"small",I8251&lt;=6,"Medium",I8251&lt;=9,"Large")</f>
        <v>small</v>
      </c>
      <c r="K8251" s="36">
        <v>44988</v>
      </c>
      <c r="L8251" s="36">
        <v>44990</v>
      </c>
      <c r="M8251" t="s">
        <v>612</v>
      </c>
      <c r="N8251" t="s">
        <v>599</v>
      </c>
      <c r="O8251" s="37" t="str">
        <f t="shared" si="643"/>
        <v>Digital Payment</v>
      </c>
      <c r="P8251">
        <v>512.92999999999995</v>
      </c>
      <c r="Q8251" s="37" t="str">
        <f>IF(P8251&gt;500,"High","low")</f>
        <v>High</v>
      </c>
      <c r="R8251" s="37" t="str">
        <f t="shared" si="644"/>
        <v>Good</v>
      </c>
      <c r="S8251" t="s">
        <v>600</v>
      </c>
    </row>
    <row r="8252" spans="1:19" x14ac:dyDescent="0.2">
      <c r="A8252" t="s">
        <v>8863</v>
      </c>
      <c r="B8252" t="s">
        <v>75</v>
      </c>
      <c r="C8252" t="s">
        <v>607</v>
      </c>
      <c r="D8252">
        <v>2858.08</v>
      </c>
      <c r="E8252" s="37" t="str">
        <f t="shared" si="640"/>
        <v xml:space="preserve"> </v>
      </c>
      <c r="F8252">
        <v>7.0000000000000007E-2</v>
      </c>
      <c r="G8252" s="37" t="str">
        <f t="shared" si="641"/>
        <v>Normal Discount</v>
      </c>
      <c r="H8252" s="37" t="str">
        <f t="shared" si="642"/>
        <v>Low</v>
      </c>
      <c r="I8252">
        <v>9</v>
      </c>
      <c r="J8252" t="str" cm="1">
        <f t="array" ref="J8252">_xlfn.IFS(I8252&lt;=3,"small",I8252&lt;=6,"Medium",I8252&lt;=9,"Large")</f>
        <v>Large</v>
      </c>
      <c r="K8252" s="36">
        <v>45070</v>
      </c>
      <c r="L8252" s="36">
        <v>45072</v>
      </c>
      <c r="M8252" t="s">
        <v>603</v>
      </c>
      <c r="N8252" t="s">
        <v>604</v>
      </c>
      <c r="O8252" s="37" t="str">
        <f t="shared" si="643"/>
        <v>Digital Payment</v>
      </c>
      <c r="P8252">
        <v>620.02</v>
      </c>
      <c r="Q8252" s="37" t="str">
        <f>IF(P8252&gt;500,"High","low")</f>
        <v>High</v>
      </c>
      <c r="R8252" s="37" t="str">
        <f t="shared" si="644"/>
        <v>Good</v>
      </c>
      <c r="S8252" t="s">
        <v>628</v>
      </c>
    </row>
    <row r="8253" spans="1:19" x14ac:dyDescent="0.2">
      <c r="A8253" t="s">
        <v>8864</v>
      </c>
      <c r="B8253" t="s">
        <v>75</v>
      </c>
      <c r="C8253" t="s">
        <v>597</v>
      </c>
      <c r="D8253">
        <v>1923.88</v>
      </c>
      <c r="E8253" s="37" t="str">
        <f t="shared" si="640"/>
        <v xml:space="preserve"> </v>
      </c>
      <c r="F8253">
        <v>0.08</v>
      </c>
      <c r="G8253" s="37" t="str">
        <f t="shared" si="641"/>
        <v>Normal Discount</v>
      </c>
      <c r="H8253" s="37" t="str">
        <f t="shared" si="642"/>
        <v>Low</v>
      </c>
      <c r="I8253">
        <v>9</v>
      </c>
      <c r="J8253" t="str" cm="1">
        <f t="array" ref="J8253">_xlfn.IFS(I8253&lt;=3,"small",I8253&lt;=6,"Medium",I8253&lt;=9,"Large")</f>
        <v>Large</v>
      </c>
      <c r="K8253" s="36">
        <v>45306</v>
      </c>
      <c r="L8253" s="36">
        <v>45310</v>
      </c>
      <c r="M8253" t="s">
        <v>612</v>
      </c>
      <c r="N8253" t="s">
        <v>599</v>
      </c>
      <c r="O8253" s="37" t="str">
        <f t="shared" si="643"/>
        <v>Digital Payment</v>
      </c>
      <c r="P8253">
        <v>485.41</v>
      </c>
      <c r="Q8253" s="37" t="str">
        <f>IF(P8253&gt;500,"High","low")</f>
        <v>low</v>
      </c>
      <c r="R8253" s="37" t="str">
        <f t="shared" si="644"/>
        <v>AVERAGE</v>
      </c>
      <c r="S8253" t="s">
        <v>628</v>
      </c>
    </row>
    <row r="8254" spans="1:19" x14ac:dyDescent="0.2">
      <c r="A8254" t="s">
        <v>8865</v>
      </c>
      <c r="B8254" t="s">
        <v>67</v>
      </c>
      <c r="C8254" t="s">
        <v>614</v>
      </c>
      <c r="D8254">
        <v>770.04</v>
      </c>
      <c r="E8254" s="37" t="str">
        <f t="shared" si="640"/>
        <v xml:space="preserve"> </v>
      </c>
      <c r="F8254">
        <v>0.11</v>
      </c>
      <c r="G8254" s="37" t="str">
        <f t="shared" si="641"/>
        <v>Normal Discount</v>
      </c>
      <c r="H8254" s="37" t="str">
        <f t="shared" si="642"/>
        <v>Low</v>
      </c>
      <c r="I8254">
        <v>7</v>
      </c>
      <c r="J8254" t="str" cm="1">
        <f t="array" ref="J8254">_xlfn.IFS(I8254&lt;=3,"small",I8254&lt;=6,"Medium",I8254&lt;=9,"Large")</f>
        <v>Large</v>
      </c>
      <c r="K8254" s="36">
        <v>45161</v>
      </c>
      <c r="L8254" s="36">
        <v>45168</v>
      </c>
      <c r="M8254" t="s">
        <v>603</v>
      </c>
      <c r="N8254" t="s">
        <v>604</v>
      </c>
      <c r="O8254" s="37" t="str">
        <f t="shared" si="643"/>
        <v>Digital Payment</v>
      </c>
      <c r="P8254">
        <v>108.65</v>
      </c>
      <c r="Q8254" s="37" t="str">
        <f>IF(P8254&gt;500,"High","low")</f>
        <v>low</v>
      </c>
      <c r="R8254" s="37" t="str">
        <f t="shared" si="644"/>
        <v>AVERAGE</v>
      </c>
      <c r="S8254" t="s">
        <v>605</v>
      </c>
    </row>
    <row r="8255" spans="1:19" x14ac:dyDescent="0.2">
      <c r="A8255" t="s">
        <v>8866</v>
      </c>
      <c r="B8255" t="s">
        <v>67</v>
      </c>
      <c r="C8255" t="s">
        <v>617</v>
      </c>
      <c r="D8255">
        <v>2302.9</v>
      </c>
      <c r="E8255" s="37" t="str">
        <f t="shared" si="640"/>
        <v xml:space="preserve"> </v>
      </c>
      <c r="F8255">
        <v>0.13</v>
      </c>
      <c r="G8255" s="37" t="str">
        <f t="shared" si="641"/>
        <v>Normal Discount</v>
      </c>
      <c r="H8255" s="37" t="str">
        <f t="shared" si="642"/>
        <v>Low</v>
      </c>
      <c r="I8255">
        <v>8</v>
      </c>
      <c r="J8255" t="str" cm="1">
        <f t="array" ref="J8255">_xlfn.IFS(I8255&lt;=3,"small",I8255&lt;=6,"Medium",I8255&lt;=9,"Large")</f>
        <v>Large</v>
      </c>
      <c r="K8255" s="36">
        <v>45375</v>
      </c>
      <c r="L8255" s="36">
        <v>45380</v>
      </c>
      <c r="M8255" t="s">
        <v>603</v>
      </c>
      <c r="N8255" t="s">
        <v>608</v>
      </c>
      <c r="O8255" s="37" t="str">
        <f t="shared" si="643"/>
        <v>Cash Payment</v>
      </c>
      <c r="P8255">
        <v>190.22</v>
      </c>
      <c r="Q8255" s="37" t="str">
        <f>IF(P8255&gt;500,"High","low")</f>
        <v>low</v>
      </c>
      <c r="R8255" s="37" t="str">
        <f t="shared" si="644"/>
        <v>AVERAGE</v>
      </c>
      <c r="S8255" t="s">
        <v>620</v>
      </c>
    </row>
    <row r="8256" spans="1:19" x14ac:dyDescent="0.2">
      <c r="A8256" t="s">
        <v>8867</v>
      </c>
      <c r="B8256" t="s">
        <v>83</v>
      </c>
      <c r="C8256" t="s">
        <v>602</v>
      </c>
      <c r="D8256">
        <v>1221.8900000000001</v>
      </c>
      <c r="E8256" s="37" t="str">
        <f t="shared" si="640"/>
        <v xml:space="preserve"> </v>
      </c>
      <c r="F8256">
        <v>0.28000000000000003</v>
      </c>
      <c r="G8256" s="37" t="str">
        <f t="shared" si="641"/>
        <v>Normal Discount</v>
      </c>
      <c r="H8256" s="37" t="str">
        <f t="shared" si="642"/>
        <v>Medium</v>
      </c>
      <c r="I8256">
        <v>9</v>
      </c>
      <c r="J8256" t="str" cm="1">
        <f t="array" ref="J8256">_xlfn.IFS(I8256&lt;=3,"small",I8256&lt;=6,"Medium",I8256&lt;=9,"Large")</f>
        <v>Large</v>
      </c>
      <c r="K8256" s="36">
        <v>45492</v>
      </c>
      <c r="L8256" s="36">
        <v>45494</v>
      </c>
      <c r="M8256" t="s">
        <v>598</v>
      </c>
      <c r="N8256" t="s">
        <v>608</v>
      </c>
      <c r="O8256" s="37" t="str">
        <f t="shared" si="643"/>
        <v>Cash Payment</v>
      </c>
      <c r="P8256">
        <v>75.58</v>
      </c>
      <c r="Q8256" s="37" t="str">
        <f>IF(P8256&gt;500,"High","low")</f>
        <v>low</v>
      </c>
      <c r="R8256" s="37" t="str">
        <f t="shared" si="644"/>
        <v>AVERAGE</v>
      </c>
      <c r="S8256" t="s">
        <v>605</v>
      </c>
    </row>
    <row r="8257" spans="1:19" x14ac:dyDescent="0.2">
      <c r="A8257" t="s">
        <v>8868</v>
      </c>
      <c r="B8257" t="s">
        <v>83</v>
      </c>
      <c r="C8257" t="s">
        <v>597</v>
      </c>
      <c r="D8257">
        <v>4204.6499999999996</v>
      </c>
      <c r="E8257" s="37" t="str">
        <f t="shared" si="640"/>
        <v xml:space="preserve"> </v>
      </c>
      <c r="F8257">
        <v>0.16</v>
      </c>
      <c r="G8257" s="37" t="str">
        <f t="shared" si="641"/>
        <v>Normal Discount</v>
      </c>
      <c r="H8257" s="37" t="str">
        <f t="shared" si="642"/>
        <v>Low</v>
      </c>
      <c r="I8257">
        <v>5</v>
      </c>
      <c r="J8257" t="str" cm="1">
        <f t="array" ref="J8257">_xlfn.IFS(I8257&lt;=3,"small",I8257&lt;=6,"Medium",I8257&lt;=9,"Large")</f>
        <v>Medium</v>
      </c>
      <c r="K8257" s="36">
        <v>45372</v>
      </c>
      <c r="L8257" s="36">
        <v>45378</v>
      </c>
      <c r="M8257" t="s">
        <v>603</v>
      </c>
      <c r="N8257" t="s">
        <v>608</v>
      </c>
      <c r="O8257" s="37" t="str">
        <f t="shared" si="643"/>
        <v>Cash Payment</v>
      </c>
      <c r="P8257">
        <v>303.27</v>
      </c>
      <c r="Q8257" s="37" t="str">
        <f>IF(P8257&gt;500,"High","low")</f>
        <v>low</v>
      </c>
      <c r="R8257" s="37" t="str">
        <f t="shared" si="644"/>
        <v>AVERAGE</v>
      </c>
      <c r="S8257" t="s">
        <v>609</v>
      </c>
    </row>
    <row r="8258" spans="1:19" x14ac:dyDescent="0.2">
      <c r="A8258" t="s">
        <v>8869</v>
      </c>
      <c r="B8258" t="s">
        <v>90</v>
      </c>
      <c r="C8258" t="s">
        <v>602</v>
      </c>
      <c r="D8258">
        <v>4935.26</v>
      </c>
      <c r="E8258" s="37" t="str">
        <f t="shared" si="640"/>
        <v>Excellent Order</v>
      </c>
      <c r="F8258">
        <v>0.48</v>
      </c>
      <c r="G8258" s="37" t="str">
        <f t="shared" si="641"/>
        <v>Heavy Discount</v>
      </c>
      <c r="H8258" s="37" t="str">
        <f t="shared" si="642"/>
        <v>High</v>
      </c>
      <c r="I8258">
        <v>2</v>
      </c>
      <c r="J8258" t="str" cm="1">
        <f t="array" ref="J8258">_xlfn.IFS(I8258&lt;=3,"small",I8258&lt;=6,"Medium",I8258&lt;=9,"Large")</f>
        <v>small</v>
      </c>
      <c r="K8258" s="36">
        <v>45316</v>
      </c>
      <c r="L8258" s="36">
        <v>45320</v>
      </c>
      <c r="M8258" t="s">
        <v>598</v>
      </c>
      <c r="N8258" t="s">
        <v>608</v>
      </c>
      <c r="O8258" s="37" t="str">
        <f t="shared" si="643"/>
        <v>Cash Payment</v>
      </c>
      <c r="P8258">
        <v>937.21</v>
      </c>
      <c r="Q8258" s="37" t="str">
        <f>IF(P8258&gt;500,"High","low")</f>
        <v>High</v>
      </c>
      <c r="R8258" s="37" t="str">
        <f t="shared" si="644"/>
        <v>Good</v>
      </c>
      <c r="S8258" t="s">
        <v>600</v>
      </c>
    </row>
    <row r="8259" spans="1:19" x14ac:dyDescent="0.2">
      <c r="A8259" t="s">
        <v>8870</v>
      </c>
      <c r="B8259" t="s">
        <v>90</v>
      </c>
      <c r="C8259" t="s">
        <v>617</v>
      </c>
      <c r="D8259">
        <v>4456.57</v>
      </c>
      <c r="E8259" s="37" t="str">
        <f t="shared" ref="E8259:E8322" si="645">IF(AND(D8259&gt;4000,P8259&gt;800),"Excellent Order"," ")</f>
        <v xml:space="preserve"> </v>
      </c>
      <c r="F8259">
        <v>0.06</v>
      </c>
      <c r="G8259" s="37" t="str">
        <f t="shared" ref="G8259:G8322" si="646">IF(F8259&gt;30%,"Heavy Discount","Normal Discount")</f>
        <v>Normal Discount</v>
      </c>
      <c r="H8259" s="37" t="str">
        <f t="shared" ref="H8259:H8322" si="647">IF(F8259&gt;0.4,"High",IF(F8259&gt;=0.2,"Medium","Low"))</f>
        <v>Low</v>
      </c>
      <c r="I8259">
        <v>1</v>
      </c>
      <c r="J8259" t="str" cm="1">
        <f t="array" ref="J8259">_xlfn.IFS(I8259&lt;=3,"small",I8259&lt;=6,"Medium",I8259&lt;=9,"Large")</f>
        <v>small</v>
      </c>
      <c r="K8259" s="36">
        <v>45087</v>
      </c>
      <c r="L8259" s="36">
        <v>45088</v>
      </c>
      <c r="M8259" t="s">
        <v>603</v>
      </c>
      <c r="N8259" t="s">
        <v>608</v>
      </c>
      <c r="O8259" s="37" t="str">
        <f t="shared" ref="O8259:O8322" si="648">IF(OR(N8259="Card",N8259="UPI"),"Digital Payment","Cash Payment")</f>
        <v>Cash Payment</v>
      </c>
      <c r="P8259">
        <v>628.27</v>
      </c>
      <c r="Q8259" s="37" t="str">
        <f>IF(P8259&gt;500,"High","low")</f>
        <v>High</v>
      </c>
      <c r="R8259" s="37" t="str">
        <f t="shared" ref="R8259:R8322" si="649">IF(P8259&gt;1000,"Excellent",IF(P8259&gt;=500,"Good","AVERAGE"))</f>
        <v>Good</v>
      </c>
      <c r="S8259" t="s">
        <v>615</v>
      </c>
    </row>
    <row r="8260" spans="1:19" x14ac:dyDescent="0.2">
      <c r="A8260" t="s">
        <v>8871</v>
      </c>
      <c r="B8260" t="s">
        <v>67</v>
      </c>
      <c r="C8260" t="s">
        <v>607</v>
      </c>
      <c r="D8260">
        <v>2688.54</v>
      </c>
      <c r="E8260" s="37" t="str">
        <f t="shared" si="645"/>
        <v xml:space="preserve"> </v>
      </c>
      <c r="F8260">
        <v>0.12</v>
      </c>
      <c r="G8260" s="37" t="str">
        <f t="shared" si="646"/>
        <v>Normal Discount</v>
      </c>
      <c r="H8260" s="37" t="str">
        <f t="shared" si="647"/>
        <v>Low</v>
      </c>
      <c r="I8260">
        <v>5</v>
      </c>
      <c r="J8260" t="str" cm="1">
        <f t="array" ref="J8260">_xlfn.IFS(I8260&lt;=3,"small",I8260&lt;=6,"Medium",I8260&lt;=9,"Large")</f>
        <v>Medium</v>
      </c>
      <c r="K8260" s="36">
        <v>45125</v>
      </c>
      <c r="L8260" s="36">
        <v>45127</v>
      </c>
      <c r="M8260" t="s">
        <v>612</v>
      </c>
      <c r="N8260" t="s">
        <v>599</v>
      </c>
      <c r="O8260" s="37" t="str">
        <f t="shared" si="648"/>
        <v>Digital Payment</v>
      </c>
      <c r="P8260">
        <v>689.06</v>
      </c>
      <c r="Q8260" s="37" t="str">
        <f>IF(P8260&gt;500,"High","low")</f>
        <v>High</v>
      </c>
      <c r="R8260" s="37" t="str">
        <f t="shared" si="649"/>
        <v>Good</v>
      </c>
      <c r="S8260" t="s">
        <v>620</v>
      </c>
    </row>
    <row r="8261" spans="1:19" x14ac:dyDescent="0.2">
      <c r="A8261" t="s">
        <v>8872</v>
      </c>
      <c r="B8261" t="s">
        <v>75</v>
      </c>
      <c r="C8261" t="s">
        <v>614</v>
      </c>
      <c r="D8261">
        <v>3177.85</v>
      </c>
      <c r="E8261" s="37" t="str">
        <f t="shared" si="645"/>
        <v xml:space="preserve"> </v>
      </c>
      <c r="F8261">
        <v>0.43</v>
      </c>
      <c r="G8261" s="37" t="str">
        <f t="shared" si="646"/>
        <v>Heavy Discount</v>
      </c>
      <c r="H8261" s="37" t="str">
        <f t="shared" si="647"/>
        <v>High</v>
      </c>
      <c r="I8261">
        <v>8</v>
      </c>
      <c r="J8261" t="str" cm="1">
        <f t="array" ref="J8261">_xlfn.IFS(I8261&lt;=3,"small",I8261&lt;=6,"Medium",I8261&lt;=9,"Large")</f>
        <v>Large</v>
      </c>
      <c r="K8261" s="36">
        <v>45254</v>
      </c>
      <c r="L8261" s="36">
        <v>45261</v>
      </c>
      <c r="M8261" t="s">
        <v>603</v>
      </c>
      <c r="N8261" t="s">
        <v>604</v>
      </c>
      <c r="O8261" s="37" t="str">
        <f t="shared" si="648"/>
        <v>Digital Payment</v>
      </c>
      <c r="P8261">
        <v>481.46</v>
      </c>
      <c r="Q8261" s="37" t="str">
        <f>IF(P8261&gt;500,"High","low")</f>
        <v>low</v>
      </c>
      <c r="R8261" s="37" t="str">
        <f t="shared" si="649"/>
        <v>AVERAGE</v>
      </c>
      <c r="S8261" t="s">
        <v>615</v>
      </c>
    </row>
    <row r="8262" spans="1:19" x14ac:dyDescent="0.2">
      <c r="A8262" t="s">
        <v>8873</v>
      </c>
      <c r="B8262" t="s">
        <v>90</v>
      </c>
      <c r="C8262" t="s">
        <v>614</v>
      </c>
      <c r="D8262">
        <v>4745.8</v>
      </c>
      <c r="E8262" s="37" t="str">
        <f t="shared" si="645"/>
        <v>Excellent Order</v>
      </c>
      <c r="F8262">
        <v>0.28999999999999998</v>
      </c>
      <c r="G8262" s="37" t="str">
        <f t="shared" si="646"/>
        <v>Normal Discount</v>
      </c>
      <c r="H8262" s="37" t="str">
        <f t="shared" si="647"/>
        <v>Medium</v>
      </c>
      <c r="I8262">
        <v>4</v>
      </c>
      <c r="J8262" t="str" cm="1">
        <f t="array" ref="J8262">_xlfn.IFS(I8262&lt;=3,"small",I8262&lt;=6,"Medium",I8262&lt;=9,"Large")</f>
        <v>Medium</v>
      </c>
      <c r="K8262" s="36">
        <v>45555</v>
      </c>
      <c r="L8262" s="36">
        <v>45559</v>
      </c>
      <c r="M8262" t="s">
        <v>603</v>
      </c>
      <c r="N8262" t="s">
        <v>608</v>
      </c>
      <c r="O8262" s="37" t="str">
        <f t="shared" si="648"/>
        <v>Cash Payment</v>
      </c>
      <c r="P8262">
        <v>854.7</v>
      </c>
      <c r="Q8262" s="37" t="str">
        <f>IF(P8262&gt;500,"High","low")</f>
        <v>High</v>
      </c>
      <c r="R8262" s="37" t="str">
        <f t="shared" si="649"/>
        <v>Good</v>
      </c>
      <c r="S8262" t="s">
        <v>615</v>
      </c>
    </row>
    <row r="8263" spans="1:19" x14ac:dyDescent="0.2">
      <c r="A8263" t="s">
        <v>8874</v>
      </c>
      <c r="B8263" t="s">
        <v>67</v>
      </c>
      <c r="C8263" t="s">
        <v>597</v>
      </c>
      <c r="D8263">
        <v>2739.54</v>
      </c>
      <c r="E8263" s="37" t="str">
        <f t="shared" si="645"/>
        <v xml:space="preserve"> </v>
      </c>
      <c r="F8263">
        <v>0.27</v>
      </c>
      <c r="G8263" s="37" t="str">
        <f t="shared" si="646"/>
        <v>Normal Discount</v>
      </c>
      <c r="H8263" s="37" t="str">
        <f t="shared" si="647"/>
        <v>Medium</v>
      </c>
      <c r="I8263">
        <v>4</v>
      </c>
      <c r="J8263" t="str" cm="1">
        <f t="array" ref="J8263">_xlfn.IFS(I8263&lt;=3,"small",I8263&lt;=6,"Medium",I8263&lt;=9,"Large")</f>
        <v>Medium</v>
      </c>
      <c r="K8263" s="36">
        <v>45049</v>
      </c>
      <c r="L8263" s="36">
        <v>45056</v>
      </c>
      <c r="M8263" t="s">
        <v>603</v>
      </c>
      <c r="N8263" t="s">
        <v>608</v>
      </c>
      <c r="O8263" s="37" t="str">
        <f t="shared" si="648"/>
        <v>Cash Payment</v>
      </c>
      <c r="P8263">
        <v>787.84</v>
      </c>
      <c r="Q8263" s="37" t="str">
        <f>IF(P8263&gt;500,"High","low")</f>
        <v>High</v>
      </c>
      <c r="R8263" s="37" t="str">
        <f t="shared" si="649"/>
        <v>Good</v>
      </c>
      <c r="S8263" t="s">
        <v>605</v>
      </c>
    </row>
    <row r="8264" spans="1:19" x14ac:dyDescent="0.2">
      <c r="A8264" t="s">
        <v>8875</v>
      </c>
      <c r="B8264" t="s">
        <v>90</v>
      </c>
      <c r="C8264" t="s">
        <v>614</v>
      </c>
      <c r="D8264">
        <v>3229.09</v>
      </c>
      <c r="E8264" s="37" t="str">
        <f t="shared" si="645"/>
        <v xml:space="preserve"> </v>
      </c>
      <c r="F8264">
        <v>0.3</v>
      </c>
      <c r="G8264" s="37" t="str">
        <f t="shared" si="646"/>
        <v>Normal Discount</v>
      </c>
      <c r="H8264" s="37" t="str">
        <f t="shared" si="647"/>
        <v>Medium</v>
      </c>
      <c r="I8264">
        <v>4</v>
      </c>
      <c r="J8264" t="str" cm="1">
        <f t="array" ref="J8264">_xlfn.IFS(I8264&lt;=3,"small",I8264&lt;=6,"Medium",I8264&lt;=9,"Large")</f>
        <v>Medium</v>
      </c>
      <c r="K8264" s="36">
        <v>45468</v>
      </c>
      <c r="L8264" s="36">
        <v>45473</v>
      </c>
      <c r="M8264" t="s">
        <v>603</v>
      </c>
      <c r="N8264" t="s">
        <v>604</v>
      </c>
      <c r="O8264" s="37" t="str">
        <f t="shared" si="648"/>
        <v>Digital Payment</v>
      </c>
      <c r="P8264">
        <v>591.03</v>
      </c>
      <c r="Q8264" s="37" t="str">
        <f>IF(P8264&gt;500,"High","low")</f>
        <v>High</v>
      </c>
      <c r="R8264" s="37" t="str">
        <f t="shared" si="649"/>
        <v>Good</v>
      </c>
      <c r="S8264" t="s">
        <v>615</v>
      </c>
    </row>
    <row r="8265" spans="1:19" x14ac:dyDescent="0.2">
      <c r="A8265" t="s">
        <v>8876</v>
      </c>
      <c r="B8265" t="s">
        <v>75</v>
      </c>
      <c r="C8265" t="s">
        <v>607</v>
      </c>
      <c r="D8265">
        <v>3183.22</v>
      </c>
      <c r="E8265" s="37" t="str">
        <f t="shared" si="645"/>
        <v xml:space="preserve"> </v>
      </c>
      <c r="F8265">
        <v>0.13</v>
      </c>
      <c r="G8265" s="37" t="str">
        <f t="shared" si="646"/>
        <v>Normal Discount</v>
      </c>
      <c r="H8265" s="37" t="str">
        <f t="shared" si="647"/>
        <v>Low</v>
      </c>
      <c r="I8265">
        <v>8</v>
      </c>
      <c r="J8265" t="str" cm="1">
        <f t="array" ref="J8265">_xlfn.IFS(I8265&lt;=3,"small",I8265&lt;=6,"Medium",I8265&lt;=9,"Large")</f>
        <v>Large</v>
      </c>
      <c r="K8265" s="36">
        <v>45445</v>
      </c>
      <c r="L8265" s="36">
        <v>45448</v>
      </c>
      <c r="M8265" t="s">
        <v>612</v>
      </c>
      <c r="N8265" t="s">
        <v>599</v>
      </c>
      <c r="O8265" s="37" t="str">
        <f t="shared" si="648"/>
        <v>Digital Payment</v>
      </c>
      <c r="P8265">
        <v>793.05</v>
      </c>
      <c r="Q8265" s="37" t="str">
        <f>IF(P8265&gt;500,"High","low")</f>
        <v>High</v>
      </c>
      <c r="R8265" s="37" t="str">
        <f t="shared" si="649"/>
        <v>Good</v>
      </c>
      <c r="S8265" t="s">
        <v>600</v>
      </c>
    </row>
    <row r="8266" spans="1:19" x14ac:dyDescent="0.2">
      <c r="A8266" t="s">
        <v>8877</v>
      </c>
      <c r="B8266" t="s">
        <v>67</v>
      </c>
      <c r="C8266" t="s">
        <v>602</v>
      </c>
      <c r="D8266">
        <v>3569.79</v>
      </c>
      <c r="E8266" s="37" t="str">
        <f t="shared" si="645"/>
        <v xml:space="preserve"> </v>
      </c>
      <c r="F8266">
        <v>0.38</v>
      </c>
      <c r="G8266" s="37" t="str">
        <f t="shared" si="646"/>
        <v>Heavy Discount</v>
      </c>
      <c r="H8266" s="37" t="str">
        <f t="shared" si="647"/>
        <v>Medium</v>
      </c>
      <c r="I8266">
        <v>7</v>
      </c>
      <c r="J8266" t="str" cm="1">
        <f t="array" ref="J8266">_xlfn.IFS(I8266&lt;=3,"small",I8266&lt;=6,"Medium",I8266&lt;=9,"Large")</f>
        <v>Large</v>
      </c>
      <c r="K8266" s="36">
        <v>45243</v>
      </c>
      <c r="L8266" s="36">
        <v>45245</v>
      </c>
      <c r="M8266" t="s">
        <v>598</v>
      </c>
      <c r="N8266" t="s">
        <v>604</v>
      </c>
      <c r="O8266" s="37" t="str">
        <f t="shared" si="648"/>
        <v>Digital Payment</v>
      </c>
      <c r="P8266">
        <v>859.25</v>
      </c>
      <c r="Q8266" s="37" t="str">
        <f>IF(P8266&gt;500,"High","low")</f>
        <v>High</v>
      </c>
      <c r="R8266" s="37" t="str">
        <f t="shared" si="649"/>
        <v>Good</v>
      </c>
      <c r="S8266" t="s">
        <v>615</v>
      </c>
    </row>
    <row r="8267" spans="1:19" x14ac:dyDescent="0.2">
      <c r="A8267" t="s">
        <v>8878</v>
      </c>
      <c r="B8267" t="s">
        <v>75</v>
      </c>
      <c r="C8267" t="s">
        <v>607</v>
      </c>
      <c r="D8267">
        <v>3237.4</v>
      </c>
      <c r="E8267" s="37" t="str">
        <f t="shared" si="645"/>
        <v xml:space="preserve"> </v>
      </c>
      <c r="F8267">
        <v>0.25</v>
      </c>
      <c r="G8267" s="37" t="str">
        <f t="shared" si="646"/>
        <v>Normal Discount</v>
      </c>
      <c r="H8267" s="37" t="str">
        <f t="shared" si="647"/>
        <v>Medium</v>
      </c>
      <c r="I8267">
        <v>1</v>
      </c>
      <c r="J8267" t="str" cm="1">
        <f t="array" ref="J8267">_xlfn.IFS(I8267&lt;=3,"small",I8267&lt;=6,"Medium",I8267&lt;=9,"Large")</f>
        <v>small</v>
      </c>
      <c r="K8267" s="36">
        <v>45419</v>
      </c>
      <c r="L8267" s="36">
        <v>45423</v>
      </c>
      <c r="M8267" t="s">
        <v>598</v>
      </c>
      <c r="N8267" t="s">
        <v>599</v>
      </c>
      <c r="O8267" s="37" t="str">
        <f t="shared" si="648"/>
        <v>Digital Payment</v>
      </c>
      <c r="P8267">
        <v>368.63</v>
      </c>
      <c r="Q8267" s="37" t="str">
        <f>IF(P8267&gt;500,"High","low")</f>
        <v>low</v>
      </c>
      <c r="R8267" s="37" t="str">
        <f t="shared" si="649"/>
        <v>AVERAGE</v>
      </c>
      <c r="S8267" t="s">
        <v>615</v>
      </c>
    </row>
    <row r="8268" spans="1:19" x14ac:dyDescent="0.2">
      <c r="A8268" t="s">
        <v>8879</v>
      </c>
      <c r="B8268" t="s">
        <v>67</v>
      </c>
      <c r="C8268" t="s">
        <v>597</v>
      </c>
      <c r="D8268">
        <v>3386.46</v>
      </c>
      <c r="E8268" s="37" t="str">
        <f t="shared" si="645"/>
        <v xml:space="preserve"> </v>
      </c>
      <c r="F8268">
        <v>0.02</v>
      </c>
      <c r="G8268" s="37" t="str">
        <f t="shared" si="646"/>
        <v>Normal Discount</v>
      </c>
      <c r="H8268" s="37" t="str">
        <f t="shared" si="647"/>
        <v>Low</v>
      </c>
      <c r="I8268">
        <v>6</v>
      </c>
      <c r="J8268" t="str" cm="1">
        <f t="array" ref="J8268">_xlfn.IFS(I8268&lt;=3,"small",I8268&lt;=6,"Medium",I8268&lt;=9,"Large")</f>
        <v>Medium</v>
      </c>
      <c r="K8268" s="36">
        <v>45068</v>
      </c>
      <c r="L8268" s="36">
        <v>45071</v>
      </c>
      <c r="M8268" t="s">
        <v>612</v>
      </c>
      <c r="N8268" t="s">
        <v>604</v>
      </c>
      <c r="O8268" s="37" t="str">
        <f t="shared" si="648"/>
        <v>Digital Payment</v>
      </c>
      <c r="P8268">
        <v>625.46</v>
      </c>
      <c r="Q8268" s="37" t="str">
        <f>IF(P8268&gt;500,"High","low")</f>
        <v>High</v>
      </c>
      <c r="R8268" s="37" t="str">
        <f t="shared" si="649"/>
        <v>Good</v>
      </c>
      <c r="S8268" t="s">
        <v>615</v>
      </c>
    </row>
    <row r="8269" spans="1:19" x14ac:dyDescent="0.2">
      <c r="A8269" t="s">
        <v>8880</v>
      </c>
      <c r="B8269" t="s">
        <v>90</v>
      </c>
      <c r="C8269" t="s">
        <v>597</v>
      </c>
      <c r="D8269">
        <v>3656.88</v>
      </c>
      <c r="E8269" s="37" t="str">
        <f t="shared" si="645"/>
        <v xml:space="preserve"> </v>
      </c>
      <c r="F8269">
        <v>0.09</v>
      </c>
      <c r="G8269" s="37" t="str">
        <f t="shared" si="646"/>
        <v>Normal Discount</v>
      </c>
      <c r="H8269" s="37" t="str">
        <f t="shared" si="647"/>
        <v>Low</v>
      </c>
      <c r="I8269">
        <v>4</v>
      </c>
      <c r="J8269" t="str" cm="1">
        <f t="array" ref="J8269">_xlfn.IFS(I8269&lt;=3,"small",I8269&lt;=6,"Medium",I8269&lt;=9,"Large")</f>
        <v>Medium</v>
      </c>
      <c r="K8269" s="36">
        <v>45115</v>
      </c>
      <c r="L8269" s="36">
        <v>45120</v>
      </c>
      <c r="M8269" t="s">
        <v>598</v>
      </c>
      <c r="N8269" t="s">
        <v>599</v>
      </c>
      <c r="O8269" s="37" t="str">
        <f t="shared" si="648"/>
        <v>Digital Payment</v>
      </c>
      <c r="P8269">
        <v>318.83999999999997</v>
      </c>
      <c r="Q8269" s="37" t="str">
        <f>IF(P8269&gt;500,"High","low")</f>
        <v>low</v>
      </c>
      <c r="R8269" s="37" t="str">
        <f t="shared" si="649"/>
        <v>AVERAGE</v>
      </c>
      <c r="S8269" t="s">
        <v>628</v>
      </c>
    </row>
    <row r="8270" spans="1:19" x14ac:dyDescent="0.2">
      <c r="A8270" t="s">
        <v>8881</v>
      </c>
      <c r="B8270" t="s">
        <v>83</v>
      </c>
      <c r="C8270" t="s">
        <v>614</v>
      </c>
      <c r="D8270">
        <v>4064.59</v>
      </c>
      <c r="E8270" s="37" t="str">
        <f t="shared" si="645"/>
        <v xml:space="preserve"> </v>
      </c>
      <c r="F8270">
        <v>0.41</v>
      </c>
      <c r="G8270" s="37" t="str">
        <f t="shared" si="646"/>
        <v>Heavy Discount</v>
      </c>
      <c r="H8270" s="37" t="str">
        <f t="shared" si="647"/>
        <v>High</v>
      </c>
      <c r="I8270">
        <v>2</v>
      </c>
      <c r="J8270" t="str" cm="1">
        <f t="array" ref="J8270">_xlfn.IFS(I8270&lt;=3,"small",I8270&lt;=6,"Medium",I8270&lt;=9,"Large")</f>
        <v>small</v>
      </c>
      <c r="K8270" s="36">
        <v>45246</v>
      </c>
      <c r="L8270" s="36">
        <v>45253</v>
      </c>
      <c r="M8270" t="s">
        <v>612</v>
      </c>
      <c r="N8270" t="s">
        <v>608</v>
      </c>
      <c r="O8270" s="37" t="str">
        <f t="shared" si="648"/>
        <v>Cash Payment</v>
      </c>
      <c r="P8270">
        <v>438.63</v>
      </c>
      <c r="Q8270" s="37" t="str">
        <f>IF(P8270&gt;500,"High","low")</f>
        <v>low</v>
      </c>
      <c r="R8270" s="37" t="str">
        <f t="shared" si="649"/>
        <v>AVERAGE</v>
      </c>
      <c r="S8270" t="s">
        <v>615</v>
      </c>
    </row>
    <row r="8271" spans="1:19" x14ac:dyDescent="0.2">
      <c r="A8271" t="s">
        <v>8882</v>
      </c>
      <c r="B8271" t="s">
        <v>90</v>
      </c>
      <c r="C8271" t="s">
        <v>607</v>
      </c>
      <c r="D8271">
        <v>2074.9699999999998</v>
      </c>
      <c r="E8271" s="37" t="str">
        <f t="shared" si="645"/>
        <v xml:space="preserve"> </v>
      </c>
      <c r="F8271">
        <v>0.17</v>
      </c>
      <c r="G8271" s="37" t="str">
        <f t="shared" si="646"/>
        <v>Normal Discount</v>
      </c>
      <c r="H8271" s="37" t="str">
        <f t="shared" si="647"/>
        <v>Low</v>
      </c>
      <c r="I8271">
        <v>3</v>
      </c>
      <c r="J8271" t="str" cm="1">
        <f t="array" ref="J8271">_xlfn.IFS(I8271&lt;=3,"small",I8271&lt;=6,"Medium",I8271&lt;=9,"Large")</f>
        <v>small</v>
      </c>
      <c r="K8271" s="36">
        <v>45493</v>
      </c>
      <c r="L8271" s="36">
        <v>45499</v>
      </c>
      <c r="M8271" t="s">
        <v>598</v>
      </c>
      <c r="N8271" t="s">
        <v>599</v>
      </c>
      <c r="O8271" s="37" t="str">
        <f t="shared" si="648"/>
        <v>Digital Payment</v>
      </c>
      <c r="P8271">
        <v>603.42999999999995</v>
      </c>
      <c r="Q8271" s="37" t="str">
        <f>IF(P8271&gt;500,"High","low")</f>
        <v>High</v>
      </c>
      <c r="R8271" s="37" t="str">
        <f t="shared" si="649"/>
        <v>Good</v>
      </c>
      <c r="S8271" t="s">
        <v>620</v>
      </c>
    </row>
    <row r="8272" spans="1:19" x14ac:dyDescent="0.2">
      <c r="A8272" t="s">
        <v>8883</v>
      </c>
      <c r="B8272" t="s">
        <v>90</v>
      </c>
      <c r="C8272" t="s">
        <v>602</v>
      </c>
      <c r="D8272">
        <v>3754.59</v>
      </c>
      <c r="E8272" s="37" t="str">
        <f t="shared" si="645"/>
        <v xml:space="preserve"> </v>
      </c>
      <c r="F8272">
        <v>0.39</v>
      </c>
      <c r="G8272" s="37" t="str">
        <f t="shared" si="646"/>
        <v>Heavy Discount</v>
      </c>
      <c r="H8272" s="37" t="str">
        <f t="shared" si="647"/>
        <v>Medium</v>
      </c>
      <c r="I8272">
        <v>4</v>
      </c>
      <c r="J8272" t="str" cm="1">
        <f t="array" ref="J8272">_xlfn.IFS(I8272&lt;=3,"small",I8272&lt;=6,"Medium",I8272&lt;=9,"Large")</f>
        <v>Medium</v>
      </c>
      <c r="K8272" s="36">
        <v>45016</v>
      </c>
      <c r="L8272" s="36">
        <v>45018</v>
      </c>
      <c r="M8272" t="s">
        <v>603</v>
      </c>
      <c r="N8272" t="s">
        <v>599</v>
      </c>
      <c r="O8272" s="37" t="str">
        <f t="shared" si="648"/>
        <v>Digital Payment</v>
      </c>
      <c r="P8272">
        <v>345.02</v>
      </c>
      <c r="Q8272" s="37" t="str">
        <f>IF(P8272&gt;500,"High","low")</f>
        <v>low</v>
      </c>
      <c r="R8272" s="37" t="str">
        <f t="shared" si="649"/>
        <v>AVERAGE</v>
      </c>
      <c r="S8272" t="s">
        <v>615</v>
      </c>
    </row>
    <row r="8273" spans="1:19" x14ac:dyDescent="0.2">
      <c r="A8273" t="s">
        <v>8884</v>
      </c>
      <c r="B8273" t="s">
        <v>83</v>
      </c>
      <c r="C8273" t="s">
        <v>607</v>
      </c>
      <c r="D8273">
        <v>591</v>
      </c>
      <c r="E8273" s="37" t="str">
        <f t="shared" si="645"/>
        <v xml:space="preserve"> </v>
      </c>
      <c r="F8273">
        <v>0.33</v>
      </c>
      <c r="G8273" s="37" t="str">
        <f t="shared" si="646"/>
        <v>Heavy Discount</v>
      </c>
      <c r="H8273" s="37" t="str">
        <f t="shared" si="647"/>
        <v>Medium</v>
      </c>
      <c r="I8273">
        <v>7</v>
      </c>
      <c r="J8273" t="str" cm="1">
        <f t="array" ref="J8273">_xlfn.IFS(I8273&lt;=3,"small",I8273&lt;=6,"Medium",I8273&lt;=9,"Large")</f>
        <v>Large</v>
      </c>
      <c r="K8273" s="36">
        <v>45354</v>
      </c>
      <c r="L8273" s="36">
        <v>45358</v>
      </c>
      <c r="M8273" t="s">
        <v>603</v>
      </c>
      <c r="N8273" t="s">
        <v>604</v>
      </c>
      <c r="O8273" s="37" t="str">
        <f t="shared" si="648"/>
        <v>Digital Payment</v>
      </c>
      <c r="P8273">
        <v>171.54</v>
      </c>
      <c r="Q8273" s="37" t="str">
        <f>IF(P8273&gt;500,"High","low")</f>
        <v>low</v>
      </c>
      <c r="R8273" s="37" t="str">
        <f t="shared" si="649"/>
        <v>AVERAGE</v>
      </c>
      <c r="S8273" t="s">
        <v>609</v>
      </c>
    </row>
    <row r="8274" spans="1:19" x14ac:dyDescent="0.2">
      <c r="A8274" t="s">
        <v>8885</v>
      </c>
      <c r="B8274" t="s">
        <v>83</v>
      </c>
      <c r="C8274" t="s">
        <v>602</v>
      </c>
      <c r="D8274">
        <v>4393.32</v>
      </c>
      <c r="E8274" s="37" t="str">
        <f t="shared" si="645"/>
        <v>Excellent Order</v>
      </c>
      <c r="F8274">
        <v>0.15</v>
      </c>
      <c r="G8274" s="37" t="str">
        <f t="shared" si="646"/>
        <v>Normal Discount</v>
      </c>
      <c r="H8274" s="37" t="str">
        <f t="shared" si="647"/>
        <v>Low</v>
      </c>
      <c r="I8274">
        <v>1</v>
      </c>
      <c r="J8274" t="str" cm="1">
        <f t="array" ref="J8274">_xlfn.IFS(I8274&lt;=3,"small",I8274&lt;=6,"Medium",I8274&lt;=9,"Large")</f>
        <v>small</v>
      </c>
      <c r="K8274" s="36">
        <v>45088</v>
      </c>
      <c r="L8274" s="36">
        <v>45091</v>
      </c>
      <c r="M8274" t="s">
        <v>612</v>
      </c>
      <c r="N8274" t="s">
        <v>608</v>
      </c>
      <c r="O8274" s="37" t="str">
        <f t="shared" si="648"/>
        <v>Cash Payment</v>
      </c>
      <c r="P8274">
        <v>990.82</v>
      </c>
      <c r="Q8274" s="37" t="str">
        <f>IF(P8274&gt;500,"High","low")</f>
        <v>High</v>
      </c>
      <c r="R8274" s="37" t="str">
        <f t="shared" si="649"/>
        <v>Good</v>
      </c>
      <c r="S8274" t="s">
        <v>600</v>
      </c>
    </row>
    <row r="8275" spans="1:19" x14ac:dyDescent="0.2">
      <c r="A8275" t="s">
        <v>8886</v>
      </c>
      <c r="B8275" t="s">
        <v>67</v>
      </c>
      <c r="C8275" t="s">
        <v>602</v>
      </c>
      <c r="D8275">
        <v>1521.22</v>
      </c>
      <c r="E8275" s="37" t="str">
        <f t="shared" si="645"/>
        <v xml:space="preserve"> </v>
      </c>
      <c r="F8275">
        <v>0.06</v>
      </c>
      <c r="G8275" s="37" t="str">
        <f t="shared" si="646"/>
        <v>Normal Discount</v>
      </c>
      <c r="H8275" s="37" t="str">
        <f t="shared" si="647"/>
        <v>Low</v>
      </c>
      <c r="I8275">
        <v>1</v>
      </c>
      <c r="J8275" t="str" cm="1">
        <f t="array" ref="J8275">_xlfn.IFS(I8275&lt;=3,"small",I8275&lt;=6,"Medium",I8275&lt;=9,"Large")</f>
        <v>small</v>
      </c>
      <c r="K8275" s="36">
        <v>45438</v>
      </c>
      <c r="L8275" s="36">
        <v>45439</v>
      </c>
      <c r="M8275" t="s">
        <v>603</v>
      </c>
      <c r="N8275" t="s">
        <v>599</v>
      </c>
      <c r="O8275" s="37" t="str">
        <f t="shared" si="648"/>
        <v>Digital Payment</v>
      </c>
      <c r="P8275">
        <v>405.2</v>
      </c>
      <c r="Q8275" s="37" t="str">
        <f>IF(P8275&gt;500,"High","low")</f>
        <v>low</v>
      </c>
      <c r="R8275" s="37" t="str">
        <f t="shared" si="649"/>
        <v>AVERAGE</v>
      </c>
      <c r="S8275" t="s">
        <v>615</v>
      </c>
    </row>
    <row r="8276" spans="1:19" x14ac:dyDescent="0.2">
      <c r="A8276" t="s">
        <v>8887</v>
      </c>
      <c r="B8276" t="s">
        <v>67</v>
      </c>
      <c r="C8276" t="s">
        <v>607</v>
      </c>
      <c r="D8276">
        <v>2076.96</v>
      </c>
      <c r="E8276" s="37" t="str">
        <f t="shared" si="645"/>
        <v xml:space="preserve"> </v>
      </c>
      <c r="F8276">
        <v>0.4</v>
      </c>
      <c r="G8276" s="37" t="str">
        <f t="shared" si="646"/>
        <v>Heavy Discount</v>
      </c>
      <c r="H8276" s="37" t="str">
        <f t="shared" si="647"/>
        <v>Medium</v>
      </c>
      <c r="I8276">
        <v>3</v>
      </c>
      <c r="J8276" t="str" cm="1">
        <f t="array" ref="J8276">_xlfn.IFS(I8276&lt;=3,"small",I8276&lt;=6,"Medium",I8276&lt;=9,"Large")</f>
        <v>small</v>
      </c>
      <c r="K8276" s="36">
        <v>45532</v>
      </c>
      <c r="L8276" s="36">
        <v>45533</v>
      </c>
      <c r="M8276" t="s">
        <v>603</v>
      </c>
      <c r="N8276" t="s">
        <v>604</v>
      </c>
      <c r="O8276" s="37" t="str">
        <f t="shared" si="648"/>
        <v>Digital Payment</v>
      </c>
      <c r="P8276">
        <v>214.89</v>
      </c>
      <c r="Q8276" s="37" t="str">
        <f>IF(P8276&gt;500,"High","low")</f>
        <v>low</v>
      </c>
      <c r="R8276" s="37" t="str">
        <f t="shared" si="649"/>
        <v>AVERAGE</v>
      </c>
      <c r="S8276" t="s">
        <v>605</v>
      </c>
    </row>
    <row r="8277" spans="1:19" x14ac:dyDescent="0.2">
      <c r="A8277" t="s">
        <v>8888</v>
      </c>
      <c r="B8277" t="s">
        <v>75</v>
      </c>
      <c r="C8277" t="s">
        <v>617</v>
      </c>
      <c r="D8277">
        <v>4037.69</v>
      </c>
      <c r="E8277" s="37" t="str">
        <f t="shared" si="645"/>
        <v xml:space="preserve"> </v>
      </c>
      <c r="F8277">
        <v>0.32</v>
      </c>
      <c r="G8277" s="37" t="str">
        <f t="shared" si="646"/>
        <v>Heavy Discount</v>
      </c>
      <c r="H8277" s="37" t="str">
        <f t="shared" si="647"/>
        <v>Medium</v>
      </c>
      <c r="I8277">
        <v>2</v>
      </c>
      <c r="J8277" t="str" cm="1">
        <f t="array" ref="J8277">_xlfn.IFS(I8277&lt;=3,"small",I8277&lt;=6,"Medium",I8277&lt;=9,"Large")</f>
        <v>small</v>
      </c>
      <c r="K8277" s="36">
        <v>45181</v>
      </c>
      <c r="L8277" s="36">
        <v>45185</v>
      </c>
      <c r="M8277" t="s">
        <v>612</v>
      </c>
      <c r="N8277" t="s">
        <v>604</v>
      </c>
      <c r="O8277" s="37" t="str">
        <f t="shared" si="648"/>
        <v>Digital Payment</v>
      </c>
      <c r="P8277">
        <v>591.97</v>
      </c>
      <c r="Q8277" s="37" t="str">
        <f>IF(P8277&gt;500,"High","low")</f>
        <v>High</v>
      </c>
      <c r="R8277" s="37" t="str">
        <f t="shared" si="649"/>
        <v>Good</v>
      </c>
      <c r="S8277" t="s">
        <v>628</v>
      </c>
    </row>
    <row r="8278" spans="1:19" x14ac:dyDescent="0.2">
      <c r="A8278" t="s">
        <v>8889</v>
      </c>
      <c r="B8278" t="s">
        <v>75</v>
      </c>
      <c r="C8278" t="s">
        <v>607</v>
      </c>
      <c r="D8278">
        <v>3221.24</v>
      </c>
      <c r="E8278" s="37" t="str">
        <f t="shared" si="645"/>
        <v xml:space="preserve"> </v>
      </c>
      <c r="F8278">
        <v>0.15</v>
      </c>
      <c r="G8278" s="37" t="str">
        <f t="shared" si="646"/>
        <v>Normal Discount</v>
      </c>
      <c r="H8278" s="37" t="str">
        <f t="shared" si="647"/>
        <v>Low</v>
      </c>
      <c r="I8278">
        <v>3</v>
      </c>
      <c r="J8278" t="str" cm="1">
        <f t="array" ref="J8278">_xlfn.IFS(I8278&lt;=3,"small",I8278&lt;=6,"Medium",I8278&lt;=9,"Large")</f>
        <v>small</v>
      </c>
      <c r="K8278" s="36">
        <v>45404</v>
      </c>
      <c r="L8278" s="36">
        <v>45407</v>
      </c>
      <c r="M8278" t="s">
        <v>612</v>
      </c>
      <c r="N8278" t="s">
        <v>604</v>
      </c>
      <c r="O8278" s="37" t="str">
        <f t="shared" si="648"/>
        <v>Digital Payment</v>
      </c>
      <c r="P8278">
        <v>834.8</v>
      </c>
      <c r="Q8278" s="37" t="str">
        <f>IF(P8278&gt;500,"High","low")</f>
        <v>High</v>
      </c>
      <c r="R8278" s="37" t="str">
        <f t="shared" si="649"/>
        <v>Good</v>
      </c>
      <c r="S8278" t="s">
        <v>620</v>
      </c>
    </row>
    <row r="8279" spans="1:19" x14ac:dyDescent="0.2">
      <c r="A8279" t="s">
        <v>8890</v>
      </c>
      <c r="B8279" t="s">
        <v>90</v>
      </c>
      <c r="C8279" t="s">
        <v>602</v>
      </c>
      <c r="D8279">
        <v>1612.28</v>
      </c>
      <c r="E8279" s="37" t="str">
        <f t="shared" si="645"/>
        <v xml:space="preserve"> </v>
      </c>
      <c r="F8279">
        <v>0.26</v>
      </c>
      <c r="G8279" s="37" t="str">
        <f t="shared" si="646"/>
        <v>Normal Discount</v>
      </c>
      <c r="H8279" s="37" t="str">
        <f t="shared" si="647"/>
        <v>Medium</v>
      </c>
      <c r="I8279">
        <v>3</v>
      </c>
      <c r="J8279" t="str" cm="1">
        <f t="array" ref="J8279">_xlfn.IFS(I8279&lt;=3,"small",I8279&lt;=6,"Medium",I8279&lt;=9,"Large")</f>
        <v>small</v>
      </c>
      <c r="K8279" s="36">
        <v>45367</v>
      </c>
      <c r="L8279" s="36">
        <v>45368</v>
      </c>
      <c r="M8279" t="s">
        <v>612</v>
      </c>
      <c r="N8279" t="s">
        <v>604</v>
      </c>
      <c r="O8279" s="37" t="str">
        <f t="shared" si="648"/>
        <v>Digital Payment</v>
      </c>
      <c r="P8279">
        <v>397.31</v>
      </c>
      <c r="Q8279" s="37" t="str">
        <f>IF(P8279&gt;500,"High","low")</f>
        <v>low</v>
      </c>
      <c r="R8279" s="37" t="str">
        <f t="shared" si="649"/>
        <v>AVERAGE</v>
      </c>
      <c r="S8279" t="s">
        <v>620</v>
      </c>
    </row>
    <row r="8280" spans="1:19" x14ac:dyDescent="0.2">
      <c r="A8280" t="s">
        <v>8891</v>
      </c>
      <c r="B8280" t="s">
        <v>83</v>
      </c>
      <c r="C8280" t="s">
        <v>597</v>
      </c>
      <c r="D8280">
        <v>1204.46</v>
      </c>
      <c r="E8280" s="37" t="str">
        <f t="shared" si="645"/>
        <v xml:space="preserve"> </v>
      </c>
      <c r="F8280">
        <v>0.31</v>
      </c>
      <c r="G8280" s="37" t="str">
        <f t="shared" si="646"/>
        <v>Heavy Discount</v>
      </c>
      <c r="H8280" s="37" t="str">
        <f t="shared" si="647"/>
        <v>Medium</v>
      </c>
      <c r="I8280">
        <v>1</v>
      </c>
      <c r="J8280" t="str" cm="1">
        <f t="array" ref="J8280">_xlfn.IFS(I8280&lt;=3,"small",I8280&lt;=6,"Medium",I8280&lt;=9,"Large")</f>
        <v>small</v>
      </c>
      <c r="K8280" s="36">
        <v>45595</v>
      </c>
      <c r="L8280" s="36">
        <v>45597</v>
      </c>
      <c r="M8280" t="s">
        <v>603</v>
      </c>
      <c r="N8280" t="s">
        <v>608</v>
      </c>
      <c r="O8280" s="37" t="str">
        <f t="shared" si="648"/>
        <v>Cash Payment</v>
      </c>
      <c r="P8280">
        <v>275.95</v>
      </c>
      <c r="Q8280" s="37" t="str">
        <f>IF(P8280&gt;500,"High","low")</f>
        <v>low</v>
      </c>
      <c r="R8280" s="37" t="str">
        <f t="shared" si="649"/>
        <v>AVERAGE</v>
      </c>
      <c r="S8280" t="s">
        <v>628</v>
      </c>
    </row>
    <row r="8281" spans="1:19" x14ac:dyDescent="0.2">
      <c r="A8281" t="s">
        <v>8892</v>
      </c>
      <c r="B8281" t="s">
        <v>75</v>
      </c>
      <c r="C8281" t="s">
        <v>597</v>
      </c>
      <c r="D8281">
        <v>4792.8</v>
      </c>
      <c r="E8281" s="37" t="str">
        <f t="shared" si="645"/>
        <v xml:space="preserve"> </v>
      </c>
      <c r="F8281">
        <v>0</v>
      </c>
      <c r="G8281" s="37" t="str">
        <f t="shared" si="646"/>
        <v>Normal Discount</v>
      </c>
      <c r="H8281" s="37" t="str">
        <f t="shared" si="647"/>
        <v>Low</v>
      </c>
      <c r="I8281">
        <v>6</v>
      </c>
      <c r="J8281" t="str" cm="1">
        <f t="array" ref="J8281">_xlfn.IFS(I8281&lt;=3,"small",I8281&lt;=6,"Medium",I8281&lt;=9,"Large")</f>
        <v>Medium</v>
      </c>
      <c r="K8281" s="36">
        <v>45091</v>
      </c>
      <c r="L8281" s="36">
        <v>45095</v>
      </c>
      <c r="M8281" t="s">
        <v>612</v>
      </c>
      <c r="N8281" t="s">
        <v>604</v>
      </c>
      <c r="O8281" s="37" t="str">
        <f t="shared" si="648"/>
        <v>Digital Payment</v>
      </c>
      <c r="P8281">
        <v>596.28</v>
      </c>
      <c r="Q8281" s="37" t="str">
        <f>IF(P8281&gt;500,"High","low")</f>
        <v>High</v>
      </c>
      <c r="R8281" s="37" t="str">
        <f t="shared" si="649"/>
        <v>Good</v>
      </c>
      <c r="S8281" t="s">
        <v>628</v>
      </c>
    </row>
    <row r="8282" spans="1:19" x14ac:dyDescent="0.2">
      <c r="A8282" t="s">
        <v>8893</v>
      </c>
      <c r="B8282" t="s">
        <v>90</v>
      </c>
      <c r="C8282" t="s">
        <v>614</v>
      </c>
      <c r="D8282">
        <v>530.1</v>
      </c>
      <c r="E8282" s="37" t="str">
        <f t="shared" si="645"/>
        <v xml:space="preserve"> </v>
      </c>
      <c r="F8282">
        <v>0.34</v>
      </c>
      <c r="G8282" s="37" t="str">
        <f t="shared" si="646"/>
        <v>Heavy Discount</v>
      </c>
      <c r="H8282" s="37" t="str">
        <f t="shared" si="647"/>
        <v>Medium</v>
      </c>
      <c r="I8282">
        <v>8</v>
      </c>
      <c r="J8282" t="str" cm="1">
        <f t="array" ref="J8282">_xlfn.IFS(I8282&lt;=3,"small",I8282&lt;=6,"Medium",I8282&lt;=9,"Large")</f>
        <v>Large</v>
      </c>
      <c r="K8282" s="36">
        <v>45271</v>
      </c>
      <c r="L8282" s="36">
        <v>45276</v>
      </c>
      <c r="M8282" t="s">
        <v>612</v>
      </c>
      <c r="N8282" t="s">
        <v>599</v>
      </c>
      <c r="O8282" s="37" t="str">
        <f t="shared" si="648"/>
        <v>Digital Payment</v>
      </c>
      <c r="P8282">
        <v>89.16</v>
      </c>
      <c r="Q8282" s="37" t="str">
        <f>IF(P8282&gt;500,"High","low")</f>
        <v>low</v>
      </c>
      <c r="R8282" s="37" t="str">
        <f t="shared" si="649"/>
        <v>AVERAGE</v>
      </c>
      <c r="S8282" t="s">
        <v>605</v>
      </c>
    </row>
    <row r="8283" spans="1:19" x14ac:dyDescent="0.2">
      <c r="A8283" t="s">
        <v>8894</v>
      </c>
      <c r="B8283" t="s">
        <v>83</v>
      </c>
      <c r="C8283" t="s">
        <v>597</v>
      </c>
      <c r="D8283">
        <v>121.24</v>
      </c>
      <c r="E8283" s="37" t="str">
        <f t="shared" si="645"/>
        <v xml:space="preserve"> </v>
      </c>
      <c r="F8283">
        <v>0.33</v>
      </c>
      <c r="G8283" s="37" t="str">
        <f t="shared" si="646"/>
        <v>Heavy Discount</v>
      </c>
      <c r="H8283" s="37" t="str">
        <f t="shared" si="647"/>
        <v>Medium</v>
      </c>
      <c r="I8283">
        <v>5</v>
      </c>
      <c r="J8283" t="str" cm="1">
        <f t="array" ref="J8283">_xlfn.IFS(I8283&lt;=3,"small",I8283&lt;=6,"Medium",I8283&lt;=9,"Large")</f>
        <v>Medium</v>
      </c>
      <c r="K8283" s="36">
        <v>44994</v>
      </c>
      <c r="L8283" s="36">
        <v>45001</v>
      </c>
      <c r="M8283" t="s">
        <v>598</v>
      </c>
      <c r="N8283" t="s">
        <v>608</v>
      </c>
      <c r="O8283" s="37" t="str">
        <f t="shared" si="648"/>
        <v>Cash Payment</v>
      </c>
      <c r="P8283">
        <v>20.329999999999998</v>
      </c>
      <c r="Q8283" s="37" t="str">
        <f>IF(P8283&gt;500,"High","low")</f>
        <v>low</v>
      </c>
      <c r="R8283" s="37" t="str">
        <f t="shared" si="649"/>
        <v>AVERAGE</v>
      </c>
      <c r="S8283" t="s">
        <v>605</v>
      </c>
    </row>
    <row r="8284" spans="1:19" x14ac:dyDescent="0.2">
      <c r="A8284" t="s">
        <v>8895</v>
      </c>
      <c r="B8284" t="s">
        <v>67</v>
      </c>
      <c r="C8284" t="s">
        <v>617</v>
      </c>
      <c r="D8284">
        <v>3397.38</v>
      </c>
      <c r="E8284" s="37" t="str">
        <f t="shared" si="645"/>
        <v xml:space="preserve"> </v>
      </c>
      <c r="F8284">
        <v>0.04</v>
      </c>
      <c r="G8284" s="37" t="str">
        <f t="shared" si="646"/>
        <v>Normal Discount</v>
      </c>
      <c r="H8284" s="37" t="str">
        <f t="shared" si="647"/>
        <v>Low</v>
      </c>
      <c r="I8284">
        <v>1</v>
      </c>
      <c r="J8284" t="str" cm="1">
        <f t="array" ref="J8284">_xlfn.IFS(I8284&lt;=3,"small",I8284&lt;=6,"Medium",I8284&lt;=9,"Large")</f>
        <v>small</v>
      </c>
      <c r="K8284" s="36">
        <v>45177</v>
      </c>
      <c r="L8284" s="36">
        <v>45183</v>
      </c>
      <c r="M8284" t="s">
        <v>603</v>
      </c>
      <c r="N8284" t="s">
        <v>604</v>
      </c>
      <c r="O8284" s="37" t="str">
        <f t="shared" si="648"/>
        <v>Digital Payment</v>
      </c>
      <c r="P8284">
        <v>973.15</v>
      </c>
      <c r="Q8284" s="37" t="str">
        <f>IF(P8284&gt;500,"High","low")</f>
        <v>High</v>
      </c>
      <c r="R8284" s="37" t="str">
        <f t="shared" si="649"/>
        <v>Good</v>
      </c>
      <c r="S8284" t="s">
        <v>615</v>
      </c>
    </row>
    <row r="8285" spans="1:19" x14ac:dyDescent="0.2">
      <c r="A8285" t="s">
        <v>8896</v>
      </c>
      <c r="B8285" t="s">
        <v>90</v>
      </c>
      <c r="C8285" t="s">
        <v>602</v>
      </c>
      <c r="D8285">
        <v>3110.92</v>
      </c>
      <c r="E8285" s="37" t="str">
        <f t="shared" si="645"/>
        <v xml:space="preserve"> </v>
      </c>
      <c r="F8285">
        <v>0.39</v>
      </c>
      <c r="G8285" s="37" t="str">
        <f t="shared" si="646"/>
        <v>Heavy Discount</v>
      </c>
      <c r="H8285" s="37" t="str">
        <f t="shared" si="647"/>
        <v>Medium</v>
      </c>
      <c r="I8285">
        <v>7</v>
      </c>
      <c r="J8285" t="str" cm="1">
        <f t="array" ref="J8285">_xlfn.IFS(I8285&lt;=3,"small",I8285&lt;=6,"Medium",I8285&lt;=9,"Large")</f>
        <v>Large</v>
      </c>
      <c r="K8285" s="36">
        <v>44927</v>
      </c>
      <c r="L8285" s="36">
        <v>44929</v>
      </c>
      <c r="M8285" t="s">
        <v>612</v>
      </c>
      <c r="N8285" t="s">
        <v>608</v>
      </c>
      <c r="O8285" s="37" t="str">
        <f t="shared" si="648"/>
        <v>Cash Payment</v>
      </c>
      <c r="P8285">
        <v>658.78</v>
      </c>
      <c r="Q8285" s="37" t="str">
        <f>IF(P8285&gt;500,"High","low")</f>
        <v>High</v>
      </c>
      <c r="R8285" s="37" t="str">
        <f t="shared" si="649"/>
        <v>Good</v>
      </c>
      <c r="S8285" t="s">
        <v>600</v>
      </c>
    </row>
    <row r="8286" spans="1:19" x14ac:dyDescent="0.2">
      <c r="A8286" t="s">
        <v>8897</v>
      </c>
      <c r="B8286" t="s">
        <v>67</v>
      </c>
      <c r="C8286" t="s">
        <v>607</v>
      </c>
      <c r="D8286">
        <v>3714.31</v>
      </c>
      <c r="E8286" s="37" t="str">
        <f t="shared" si="645"/>
        <v xml:space="preserve"> </v>
      </c>
      <c r="F8286">
        <v>0.41</v>
      </c>
      <c r="G8286" s="37" t="str">
        <f t="shared" si="646"/>
        <v>Heavy Discount</v>
      </c>
      <c r="H8286" s="37" t="str">
        <f t="shared" si="647"/>
        <v>High</v>
      </c>
      <c r="I8286">
        <v>9</v>
      </c>
      <c r="J8286" t="str" cm="1">
        <f t="array" ref="J8286">_xlfn.IFS(I8286&lt;=3,"small",I8286&lt;=6,"Medium",I8286&lt;=9,"Large")</f>
        <v>Large</v>
      </c>
      <c r="K8286" s="36">
        <v>45638</v>
      </c>
      <c r="L8286" s="36">
        <v>45642</v>
      </c>
      <c r="M8286" t="s">
        <v>598</v>
      </c>
      <c r="N8286" t="s">
        <v>608</v>
      </c>
      <c r="O8286" s="37" t="str">
        <f t="shared" si="648"/>
        <v>Cash Payment</v>
      </c>
      <c r="P8286">
        <v>503.53</v>
      </c>
      <c r="Q8286" s="37" t="str">
        <f>IF(P8286&gt;500,"High","low")</f>
        <v>High</v>
      </c>
      <c r="R8286" s="37" t="str">
        <f t="shared" si="649"/>
        <v>Good</v>
      </c>
      <c r="S8286" t="s">
        <v>615</v>
      </c>
    </row>
    <row r="8287" spans="1:19" x14ac:dyDescent="0.2">
      <c r="A8287" t="s">
        <v>8898</v>
      </c>
      <c r="B8287" t="s">
        <v>75</v>
      </c>
      <c r="C8287" t="s">
        <v>607</v>
      </c>
      <c r="D8287">
        <v>3685.01</v>
      </c>
      <c r="E8287" s="37" t="str">
        <f t="shared" si="645"/>
        <v xml:space="preserve"> </v>
      </c>
      <c r="F8287">
        <v>0.15</v>
      </c>
      <c r="G8287" s="37" t="str">
        <f t="shared" si="646"/>
        <v>Normal Discount</v>
      </c>
      <c r="H8287" s="37" t="str">
        <f t="shared" si="647"/>
        <v>Low</v>
      </c>
      <c r="I8287">
        <v>7</v>
      </c>
      <c r="J8287" t="str" cm="1">
        <f t="array" ref="J8287">_xlfn.IFS(I8287&lt;=3,"small",I8287&lt;=6,"Medium",I8287&lt;=9,"Large")</f>
        <v>Large</v>
      </c>
      <c r="K8287" s="36">
        <v>45555</v>
      </c>
      <c r="L8287" s="36">
        <v>45562</v>
      </c>
      <c r="M8287" t="s">
        <v>603</v>
      </c>
      <c r="N8287" t="s">
        <v>604</v>
      </c>
      <c r="O8287" s="37" t="str">
        <f t="shared" si="648"/>
        <v>Digital Payment</v>
      </c>
      <c r="P8287">
        <v>656.19</v>
      </c>
      <c r="Q8287" s="37" t="str">
        <f>IF(P8287&gt;500,"High","low")</f>
        <v>High</v>
      </c>
      <c r="R8287" s="37" t="str">
        <f t="shared" si="649"/>
        <v>Good</v>
      </c>
      <c r="S8287" t="s">
        <v>628</v>
      </c>
    </row>
    <row r="8288" spans="1:19" x14ac:dyDescent="0.2">
      <c r="A8288" t="s">
        <v>8899</v>
      </c>
      <c r="B8288" t="s">
        <v>75</v>
      </c>
      <c r="C8288" t="s">
        <v>617</v>
      </c>
      <c r="D8288">
        <v>4329.97</v>
      </c>
      <c r="E8288" s="37" t="str">
        <f t="shared" si="645"/>
        <v>Excellent Order</v>
      </c>
      <c r="F8288">
        <v>0.08</v>
      </c>
      <c r="G8288" s="37" t="str">
        <f t="shared" si="646"/>
        <v>Normal Discount</v>
      </c>
      <c r="H8288" s="37" t="str">
        <f t="shared" si="647"/>
        <v>Low</v>
      </c>
      <c r="I8288">
        <v>9</v>
      </c>
      <c r="J8288" t="str" cm="1">
        <f t="array" ref="J8288">_xlfn.IFS(I8288&lt;=3,"small",I8288&lt;=6,"Medium",I8288&lt;=9,"Large")</f>
        <v>Large</v>
      </c>
      <c r="K8288" s="36">
        <v>45362</v>
      </c>
      <c r="L8288" s="36">
        <v>45363</v>
      </c>
      <c r="M8288" t="s">
        <v>603</v>
      </c>
      <c r="N8288" t="s">
        <v>608</v>
      </c>
      <c r="O8288" s="37" t="str">
        <f t="shared" si="648"/>
        <v>Cash Payment</v>
      </c>
      <c r="P8288">
        <v>1177.0999999999999</v>
      </c>
      <c r="Q8288" s="37" t="str">
        <f>IF(P8288&gt;500,"High","low")</f>
        <v>High</v>
      </c>
      <c r="R8288" s="37" t="str">
        <f t="shared" si="649"/>
        <v>Excellent</v>
      </c>
      <c r="S8288" t="s">
        <v>600</v>
      </c>
    </row>
    <row r="8289" spans="1:19" x14ac:dyDescent="0.2">
      <c r="A8289" t="s">
        <v>8900</v>
      </c>
      <c r="B8289" t="s">
        <v>83</v>
      </c>
      <c r="C8289" t="s">
        <v>597</v>
      </c>
      <c r="D8289">
        <v>4618.33</v>
      </c>
      <c r="E8289" s="37" t="str">
        <f t="shared" si="645"/>
        <v>Excellent Order</v>
      </c>
      <c r="F8289">
        <v>0.34</v>
      </c>
      <c r="G8289" s="37" t="str">
        <f t="shared" si="646"/>
        <v>Heavy Discount</v>
      </c>
      <c r="H8289" s="37" t="str">
        <f t="shared" si="647"/>
        <v>Medium</v>
      </c>
      <c r="I8289">
        <v>9</v>
      </c>
      <c r="J8289" t="str" cm="1">
        <f t="array" ref="J8289">_xlfn.IFS(I8289&lt;=3,"small",I8289&lt;=6,"Medium",I8289&lt;=9,"Large")</f>
        <v>Large</v>
      </c>
      <c r="K8289" s="36">
        <v>45495</v>
      </c>
      <c r="L8289" s="36">
        <v>45500</v>
      </c>
      <c r="M8289" t="s">
        <v>612</v>
      </c>
      <c r="N8289" t="s">
        <v>604</v>
      </c>
      <c r="O8289" s="37" t="str">
        <f t="shared" si="648"/>
        <v>Digital Payment</v>
      </c>
      <c r="P8289">
        <v>1064.29</v>
      </c>
      <c r="Q8289" s="37" t="str">
        <f>IF(P8289&gt;500,"High","low")</f>
        <v>High</v>
      </c>
      <c r="R8289" s="37" t="str">
        <f t="shared" si="649"/>
        <v>Excellent</v>
      </c>
      <c r="S8289" t="s">
        <v>615</v>
      </c>
    </row>
    <row r="8290" spans="1:19" x14ac:dyDescent="0.2">
      <c r="A8290" t="s">
        <v>8901</v>
      </c>
      <c r="B8290" t="s">
        <v>90</v>
      </c>
      <c r="C8290" t="s">
        <v>602</v>
      </c>
      <c r="D8290">
        <v>3897.62</v>
      </c>
      <c r="E8290" s="37" t="str">
        <f t="shared" si="645"/>
        <v xml:space="preserve"> </v>
      </c>
      <c r="F8290">
        <v>0.06</v>
      </c>
      <c r="G8290" s="37" t="str">
        <f t="shared" si="646"/>
        <v>Normal Discount</v>
      </c>
      <c r="H8290" s="37" t="str">
        <f t="shared" si="647"/>
        <v>Low</v>
      </c>
      <c r="I8290">
        <v>2</v>
      </c>
      <c r="J8290" t="str" cm="1">
        <f t="array" ref="J8290">_xlfn.IFS(I8290&lt;=3,"small",I8290&lt;=6,"Medium",I8290&lt;=9,"Large")</f>
        <v>small</v>
      </c>
      <c r="K8290" s="36">
        <v>45248</v>
      </c>
      <c r="L8290" s="36">
        <v>45250</v>
      </c>
      <c r="M8290" t="s">
        <v>598</v>
      </c>
      <c r="N8290" t="s">
        <v>604</v>
      </c>
      <c r="O8290" s="37" t="str">
        <f t="shared" si="648"/>
        <v>Digital Payment</v>
      </c>
      <c r="P8290">
        <v>788.62</v>
      </c>
      <c r="Q8290" s="37" t="str">
        <f>IF(P8290&gt;500,"High","low")</f>
        <v>High</v>
      </c>
      <c r="R8290" s="37" t="str">
        <f t="shared" si="649"/>
        <v>Good</v>
      </c>
      <c r="S8290" t="s">
        <v>620</v>
      </c>
    </row>
    <row r="8291" spans="1:19" x14ac:dyDescent="0.2">
      <c r="A8291" t="s">
        <v>8902</v>
      </c>
      <c r="B8291" t="s">
        <v>67</v>
      </c>
      <c r="C8291" t="s">
        <v>597</v>
      </c>
      <c r="D8291">
        <v>1238.23</v>
      </c>
      <c r="E8291" s="37" t="str">
        <f t="shared" si="645"/>
        <v xml:space="preserve"> </v>
      </c>
      <c r="F8291">
        <v>0.43</v>
      </c>
      <c r="G8291" s="37" t="str">
        <f t="shared" si="646"/>
        <v>Heavy Discount</v>
      </c>
      <c r="H8291" s="37" t="str">
        <f t="shared" si="647"/>
        <v>High</v>
      </c>
      <c r="I8291">
        <v>8</v>
      </c>
      <c r="J8291" t="str" cm="1">
        <f t="array" ref="J8291">_xlfn.IFS(I8291&lt;=3,"small",I8291&lt;=6,"Medium",I8291&lt;=9,"Large")</f>
        <v>Large</v>
      </c>
      <c r="K8291" s="36">
        <v>45243</v>
      </c>
      <c r="L8291" s="36">
        <v>45249</v>
      </c>
      <c r="M8291" t="s">
        <v>603</v>
      </c>
      <c r="N8291" t="s">
        <v>599</v>
      </c>
      <c r="O8291" s="37" t="str">
        <f t="shared" si="648"/>
        <v>Digital Payment</v>
      </c>
      <c r="P8291">
        <v>229.28</v>
      </c>
      <c r="Q8291" s="37" t="str">
        <f>IF(P8291&gt;500,"High","low")</f>
        <v>low</v>
      </c>
      <c r="R8291" s="37" t="str">
        <f t="shared" si="649"/>
        <v>AVERAGE</v>
      </c>
      <c r="S8291" t="s">
        <v>609</v>
      </c>
    </row>
    <row r="8292" spans="1:19" x14ac:dyDescent="0.2">
      <c r="A8292" t="s">
        <v>8903</v>
      </c>
      <c r="B8292" t="s">
        <v>83</v>
      </c>
      <c r="C8292" t="s">
        <v>614</v>
      </c>
      <c r="D8292">
        <v>2371.13</v>
      </c>
      <c r="E8292" s="37" t="str">
        <f t="shared" si="645"/>
        <v xml:space="preserve"> </v>
      </c>
      <c r="F8292">
        <v>0.24</v>
      </c>
      <c r="G8292" s="37" t="str">
        <f t="shared" si="646"/>
        <v>Normal Discount</v>
      </c>
      <c r="H8292" s="37" t="str">
        <f t="shared" si="647"/>
        <v>Medium</v>
      </c>
      <c r="I8292">
        <v>7</v>
      </c>
      <c r="J8292" t="str" cm="1">
        <f t="array" ref="J8292">_xlfn.IFS(I8292&lt;=3,"small",I8292&lt;=6,"Medium",I8292&lt;=9,"Large")</f>
        <v>Large</v>
      </c>
      <c r="K8292" s="36">
        <v>45289</v>
      </c>
      <c r="L8292" s="36">
        <v>45292</v>
      </c>
      <c r="M8292" t="s">
        <v>598</v>
      </c>
      <c r="N8292" t="s">
        <v>608</v>
      </c>
      <c r="O8292" s="37" t="str">
        <f t="shared" si="648"/>
        <v>Cash Payment</v>
      </c>
      <c r="P8292">
        <v>419.08</v>
      </c>
      <c r="Q8292" s="37" t="str">
        <f>IF(P8292&gt;500,"High","low")</f>
        <v>low</v>
      </c>
      <c r="R8292" s="37" t="str">
        <f t="shared" si="649"/>
        <v>AVERAGE</v>
      </c>
      <c r="S8292" t="s">
        <v>605</v>
      </c>
    </row>
    <row r="8293" spans="1:19" x14ac:dyDescent="0.2">
      <c r="A8293" t="s">
        <v>8904</v>
      </c>
      <c r="B8293" t="s">
        <v>75</v>
      </c>
      <c r="C8293" t="s">
        <v>597</v>
      </c>
      <c r="D8293">
        <v>3244.4</v>
      </c>
      <c r="E8293" s="37" t="str">
        <f t="shared" si="645"/>
        <v xml:space="preserve"> </v>
      </c>
      <c r="F8293">
        <v>0.45</v>
      </c>
      <c r="G8293" s="37" t="str">
        <f t="shared" si="646"/>
        <v>Heavy Discount</v>
      </c>
      <c r="H8293" s="37" t="str">
        <f t="shared" si="647"/>
        <v>High</v>
      </c>
      <c r="I8293">
        <v>7</v>
      </c>
      <c r="J8293" t="str" cm="1">
        <f t="array" ref="J8293">_xlfn.IFS(I8293&lt;=3,"small",I8293&lt;=6,"Medium",I8293&lt;=9,"Large")</f>
        <v>Large</v>
      </c>
      <c r="K8293" s="36">
        <v>45487</v>
      </c>
      <c r="L8293" s="36">
        <v>45492</v>
      </c>
      <c r="M8293" t="s">
        <v>598</v>
      </c>
      <c r="N8293" t="s">
        <v>608</v>
      </c>
      <c r="O8293" s="37" t="str">
        <f t="shared" si="648"/>
        <v>Cash Payment</v>
      </c>
      <c r="P8293">
        <v>529.85</v>
      </c>
      <c r="Q8293" s="37" t="str">
        <f>IF(P8293&gt;500,"High","low")</f>
        <v>High</v>
      </c>
      <c r="R8293" s="37" t="str">
        <f t="shared" si="649"/>
        <v>Good</v>
      </c>
      <c r="S8293" t="s">
        <v>605</v>
      </c>
    </row>
    <row r="8294" spans="1:19" x14ac:dyDescent="0.2">
      <c r="A8294" t="s">
        <v>8905</v>
      </c>
      <c r="B8294" t="s">
        <v>75</v>
      </c>
      <c r="C8294" t="s">
        <v>614</v>
      </c>
      <c r="D8294">
        <v>2742.89</v>
      </c>
      <c r="E8294" s="37" t="str">
        <f t="shared" si="645"/>
        <v xml:space="preserve"> </v>
      </c>
      <c r="F8294">
        <v>0.32</v>
      </c>
      <c r="G8294" s="37" t="str">
        <f t="shared" si="646"/>
        <v>Heavy Discount</v>
      </c>
      <c r="H8294" s="37" t="str">
        <f t="shared" si="647"/>
        <v>Medium</v>
      </c>
      <c r="I8294">
        <v>2</v>
      </c>
      <c r="J8294" t="str" cm="1">
        <f t="array" ref="J8294">_xlfn.IFS(I8294&lt;=3,"small",I8294&lt;=6,"Medium",I8294&lt;=9,"Large")</f>
        <v>small</v>
      </c>
      <c r="K8294" s="36">
        <v>45461</v>
      </c>
      <c r="L8294" s="36">
        <v>45467</v>
      </c>
      <c r="M8294" t="s">
        <v>612</v>
      </c>
      <c r="N8294" t="s">
        <v>608</v>
      </c>
      <c r="O8294" s="37" t="str">
        <f t="shared" si="648"/>
        <v>Cash Payment</v>
      </c>
      <c r="P8294">
        <v>748.07</v>
      </c>
      <c r="Q8294" s="37" t="str">
        <f>IF(P8294&gt;500,"High","low")</f>
        <v>High</v>
      </c>
      <c r="R8294" s="37" t="str">
        <f t="shared" si="649"/>
        <v>Good</v>
      </c>
      <c r="S8294" t="s">
        <v>620</v>
      </c>
    </row>
    <row r="8295" spans="1:19" x14ac:dyDescent="0.2">
      <c r="A8295" t="s">
        <v>8906</v>
      </c>
      <c r="B8295" t="s">
        <v>90</v>
      </c>
      <c r="C8295" t="s">
        <v>607</v>
      </c>
      <c r="D8295">
        <v>878.6</v>
      </c>
      <c r="E8295" s="37" t="str">
        <f t="shared" si="645"/>
        <v xml:space="preserve"> </v>
      </c>
      <c r="F8295">
        <v>0.14000000000000001</v>
      </c>
      <c r="G8295" s="37" t="str">
        <f t="shared" si="646"/>
        <v>Normal Discount</v>
      </c>
      <c r="H8295" s="37" t="str">
        <f t="shared" si="647"/>
        <v>Low</v>
      </c>
      <c r="I8295">
        <v>1</v>
      </c>
      <c r="J8295" t="str" cm="1">
        <f t="array" ref="J8295">_xlfn.IFS(I8295&lt;=3,"small",I8295&lt;=6,"Medium",I8295&lt;=9,"Large")</f>
        <v>small</v>
      </c>
      <c r="K8295" s="36">
        <v>45651</v>
      </c>
      <c r="L8295" s="36">
        <v>45652</v>
      </c>
      <c r="M8295" t="s">
        <v>612</v>
      </c>
      <c r="N8295" t="s">
        <v>608</v>
      </c>
      <c r="O8295" s="37" t="str">
        <f t="shared" si="648"/>
        <v>Cash Payment</v>
      </c>
      <c r="P8295">
        <v>52.42</v>
      </c>
      <c r="Q8295" s="37" t="str">
        <f>IF(P8295&gt;500,"High","low")</f>
        <v>low</v>
      </c>
      <c r="R8295" s="37" t="str">
        <f t="shared" si="649"/>
        <v>AVERAGE</v>
      </c>
      <c r="S8295" t="s">
        <v>609</v>
      </c>
    </row>
    <row r="8296" spans="1:19" x14ac:dyDescent="0.2">
      <c r="A8296" t="s">
        <v>8907</v>
      </c>
      <c r="B8296" t="s">
        <v>67</v>
      </c>
      <c r="C8296" t="s">
        <v>602</v>
      </c>
      <c r="D8296">
        <v>2987.44</v>
      </c>
      <c r="E8296" s="37" t="str">
        <f t="shared" si="645"/>
        <v xml:space="preserve"> </v>
      </c>
      <c r="F8296">
        <v>0.23</v>
      </c>
      <c r="G8296" s="37" t="str">
        <f t="shared" si="646"/>
        <v>Normal Discount</v>
      </c>
      <c r="H8296" s="37" t="str">
        <f t="shared" si="647"/>
        <v>Medium</v>
      </c>
      <c r="I8296">
        <v>4</v>
      </c>
      <c r="J8296" t="str" cm="1">
        <f t="array" ref="J8296">_xlfn.IFS(I8296&lt;=3,"small",I8296&lt;=6,"Medium",I8296&lt;=9,"Large")</f>
        <v>Medium</v>
      </c>
      <c r="K8296" s="36">
        <v>45251</v>
      </c>
      <c r="L8296" s="36">
        <v>45258</v>
      </c>
      <c r="M8296" t="s">
        <v>603</v>
      </c>
      <c r="N8296" t="s">
        <v>604</v>
      </c>
      <c r="O8296" s="37" t="str">
        <f t="shared" si="648"/>
        <v>Digital Payment</v>
      </c>
      <c r="P8296">
        <v>376.09</v>
      </c>
      <c r="Q8296" s="37" t="str">
        <f>IF(P8296&gt;500,"High","low")</f>
        <v>low</v>
      </c>
      <c r="R8296" s="37" t="str">
        <f t="shared" si="649"/>
        <v>AVERAGE</v>
      </c>
      <c r="S8296" t="s">
        <v>620</v>
      </c>
    </row>
    <row r="8297" spans="1:19" x14ac:dyDescent="0.2">
      <c r="A8297" t="s">
        <v>8908</v>
      </c>
      <c r="B8297" t="s">
        <v>90</v>
      </c>
      <c r="C8297" t="s">
        <v>614</v>
      </c>
      <c r="D8297">
        <v>4443.99</v>
      </c>
      <c r="E8297" s="37" t="str">
        <f t="shared" si="645"/>
        <v>Excellent Order</v>
      </c>
      <c r="F8297">
        <v>0.26</v>
      </c>
      <c r="G8297" s="37" t="str">
        <f t="shared" si="646"/>
        <v>Normal Discount</v>
      </c>
      <c r="H8297" s="37" t="str">
        <f t="shared" si="647"/>
        <v>Medium</v>
      </c>
      <c r="I8297">
        <v>7</v>
      </c>
      <c r="J8297" t="str" cm="1">
        <f t="array" ref="J8297">_xlfn.IFS(I8297&lt;=3,"small",I8297&lt;=6,"Medium",I8297&lt;=9,"Large")</f>
        <v>Large</v>
      </c>
      <c r="K8297" s="36">
        <v>45075</v>
      </c>
      <c r="L8297" s="36">
        <v>45081</v>
      </c>
      <c r="M8297" t="s">
        <v>598</v>
      </c>
      <c r="N8297" t="s">
        <v>604</v>
      </c>
      <c r="O8297" s="37" t="str">
        <f t="shared" si="648"/>
        <v>Digital Payment</v>
      </c>
      <c r="P8297">
        <v>1009.93</v>
      </c>
      <c r="Q8297" s="37" t="str">
        <f>IF(P8297&gt;500,"High","low")</f>
        <v>High</v>
      </c>
      <c r="R8297" s="37" t="str">
        <f t="shared" si="649"/>
        <v>Excellent</v>
      </c>
      <c r="S8297" t="s">
        <v>620</v>
      </c>
    </row>
    <row r="8298" spans="1:19" x14ac:dyDescent="0.2">
      <c r="A8298" t="s">
        <v>8909</v>
      </c>
      <c r="B8298" t="s">
        <v>67</v>
      </c>
      <c r="C8298" t="s">
        <v>597</v>
      </c>
      <c r="D8298">
        <v>2150.73</v>
      </c>
      <c r="E8298" s="37" t="str">
        <f t="shared" si="645"/>
        <v xml:space="preserve"> </v>
      </c>
      <c r="F8298">
        <v>0.41</v>
      </c>
      <c r="G8298" s="37" t="str">
        <f t="shared" si="646"/>
        <v>Heavy Discount</v>
      </c>
      <c r="H8298" s="37" t="str">
        <f t="shared" si="647"/>
        <v>High</v>
      </c>
      <c r="I8298">
        <v>6</v>
      </c>
      <c r="J8298" t="str" cm="1">
        <f t="array" ref="J8298">_xlfn.IFS(I8298&lt;=3,"small",I8298&lt;=6,"Medium",I8298&lt;=9,"Large")</f>
        <v>Medium</v>
      </c>
      <c r="K8298" s="36">
        <v>45624</v>
      </c>
      <c r="L8298" s="36">
        <v>45631</v>
      </c>
      <c r="M8298" t="s">
        <v>603</v>
      </c>
      <c r="N8298" t="s">
        <v>599</v>
      </c>
      <c r="O8298" s="37" t="str">
        <f t="shared" si="648"/>
        <v>Digital Payment</v>
      </c>
      <c r="P8298">
        <v>578.64</v>
      </c>
      <c r="Q8298" s="37" t="str">
        <f>IF(P8298&gt;500,"High","low")</f>
        <v>High</v>
      </c>
      <c r="R8298" s="37" t="str">
        <f t="shared" si="649"/>
        <v>Good</v>
      </c>
      <c r="S8298" t="s">
        <v>628</v>
      </c>
    </row>
    <row r="8299" spans="1:19" x14ac:dyDescent="0.2">
      <c r="A8299" t="s">
        <v>8910</v>
      </c>
      <c r="B8299" t="s">
        <v>67</v>
      </c>
      <c r="C8299" t="s">
        <v>597</v>
      </c>
      <c r="D8299">
        <v>3377.77</v>
      </c>
      <c r="E8299" s="37" t="str">
        <f t="shared" si="645"/>
        <v xml:space="preserve"> </v>
      </c>
      <c r="F8299">
        <v>0.43</v>
      </c>
      <c r="G8299" s="37" t="str">
        <f t="shared" si="646"/>
        <v>Heavy Discount</v>
      </c>
      <c r="H8299" s="37" t="str">
        <f t="shared" si="647"/>
        <v>High</v>
      </c>
      <c r="I8299">
        <v>2</v>
      </c>
      <c r="J8299" t="str" cm="1">
        <f t="array" ref="J8299">_xlfn.IFS(I8299&lt;=3,"small",I8299&lt;=6,"Medium",I8299&lt;=9,"Large")</f>
        <v>small</v>
      </c>
      <c r="K8299" s="36">
        <v>45191</v>
      </c>
      <c r="L8299" s="36">
        <v>45196</v>
      </c>
      <c r="M8299" t="s">
        <v>603</v>
      </c>
      <c r="N8299" t="s">
        <v>604</v>
      </c>
      <c r="O8299" s="37" t="str">
        <f t="shared" si="648"/>
        <v>Digital Payment</v>
      </c>
      <c r="P8299">
        <v>986.61</v>
      </c>
      <c r="Q8299" s="37" t="str">
        <f>IF(P8299&gt;500,"High","low")</f>
        <v>High</v>
      </c>
      <c r="R8299" s="37" t="str">
        <f t="shared" si="649"/>
        <v>Good</v>
      </c>
      <c r="S8299" t="s">
        <v>628</v>
      </c>
    </row>
    <row r="8300" spans="1:19" x14ac:dyDescent="0.2">
      <c r="A8300" t="s">
        <v>8911</v>
      </c>
      <c r="B8300" t="s">
        <v>90</v>
      </c>
      <c r="C8300" t="s">
        <v>607</v>
      </c>
      <c r="D8300">
        <v>3118.08</v>
      </c>
      <c r="E8300" s="37" t="str">
        <f t="shared" si="645"/>
        <v xml:space="preserve"> </v>
      </c>
      <c r="F8300">
        <v>0.34</v>
      </c>
      <c r="G8300" s="37" t="str">
        <f t="shared" si="646"/>
        <v>Heavy Discount</v>
      </c>
      <c r="H8300" s="37" t="str">
        <f t="shared" si="647"/>
        <v>Medium</v>
      </c>
      <c r="I8300">
        <v>7</v>
      </c>
      <c r="J8300" t="str" cm="1">
        <f t="array" ref="J8300">_xlfn.IFS(I8300&lt;=3,"small",I8300&lt;=6,"Medium",I8300&lt;=9,"Large")</f>
        <v>Large</v>
      </c>
      <c r="K8300" s="36">
        <v>45125</v>
      </c>
      <c r="L8300" s="36">
        <v>45126</v>
      </c>
      <c r="M8300" t="s">
        <v>603</v>
      </c>
      <c r="N8300" t="s">
        <v>604</v>
      </c>
      <c r="O8300" s="37" t="str">
        <f t="shared" si="648"/>
        <v>Digital Payment</v>
      </c>
      <c r="P8300">
        <v>897.54</v>
      </c>
      <c r="Q8300" s="37" t="str">
        <f>IF(P8300&gt;500,"High","low")</f>
        <v>High</v>
      </c>
      <c r="R8300" s="37" t="str">
        <f t="shared" si="649"/>
        <v>Good</v>
      </c>
      <c r="S8300" t="s">
        <v>605</v>
      </c>
    </row>
    <row r="8301" spans="1:19" x14ac:dyDescent="0.2">
      <c r="A8301" t="s">
        <v>8912</v>
      </c>
      <c r="B8301" t="s">
        <v>83</v>
      </c>
      <c r="C8301" t="s">
        <v>617</v>
      </c>
      <c r="D8301">
        <v>1947.51</v>
      </c>
      <c r="E8301" s="37" t="str">
        <f t="shared" si="645"/>
        <v xml:space="preserve"> </v>
      </c>
      <c r="F8301">
        <v>0.15</v>
      </c>
      <c r="G8301" s="37" t="str">
        <f t="shared" si="646"/>
        <v>Normal Discount</v>
      </c>
      <c r="H8301" s="37" t="str">
        <f t="shared" si="647"/>
        <v>Low</v>
      </c>
      <c r="I8301">
        <v>9</v>
      </c>
      <c r="J8301" t="str" cm="1">
        <f t="array" ref="J8301">_xlfn.IFS(I8301&lt;=3,"small",I8301&lt;=6,"Medium",I8301&lt;=9,"Large")</f>
        <v>Large</v>
      </c>
      <c r="K8301" s="36">
        <v>45008</v>
      </c>
      <c r="L8301" s="36">
        <v>45012</v>
      </c>
      <c r="M8301" t="s">
        <v>603</v>
      </c>
      <c r="N8301" t="s">
        <v>608</v>
      </c>
      <c r="O8301" s="37" t="str">
        <f t="shared" si="648"/>
        <v>Cash Payment</v>
      </c>
      <c r="P8301">
        <v>280.41000000000003</v>
      </c>
      <c r="Q8301" s="37" t="str">
        <f>IF(P8301&gt;500,"High","low")</f>
        <v>low</v>
      </c>
      <c r="R8301" s="37" t="str">
        <f t="shared" si="649"/>
        <v>AVERAGE</v>
      </c>
      <c r="S8301" t="s">
        <v>628</v>
      </c>
    </row>
    <row r="8302" spans="1:19" x14ac:dyDescent="0.2">
      <c r="A8302" t="s">
        <v>8913</v>
      </c>
      <c r="B8302" t="s">
        <v>90</v>
      </c>
      <c r="C8302" t="s">
        <v>617</v>
      </c>
      <c r="D8302">
        <v>2869.83</v>
      </c>
      <c r="E8302" s="37" t="str">
        <f t="shared" si="645"/>
        <v xml:space="preserve"> </v>
      </c>
      <c r="F8302">
        <v>0.26</v>
      </c>
      <c r="G8302" s="37" t="str">
        <f t="shared" si="646"/>
        <v>Normal Discount</v>
      </c>
      <c r="H8302" s="37" t="str">
        <f t="shared" si="647"/>
        <v>Medium</v>
      </c>
      <c r="I8302">
        <v>2</v>
      </c>
      <c r="J8302" t="str" cm="1">
        <f t="array" ref="J8302">_xlfn.IFS(I8302&lt;=3,"small",I8302&lt;=6,"Medium",I8302&lt;=9,"Large")</f>
        <v>small</v>
      </c>
      <c r="K8302" s="36">
        <v>45005</v>
      </c>
      <c r="L8302" s="36">
        <v>45011</v>
      </c>
      <c r="M8302" t="s">
        <v>612</v>
      </c>
      <c r="N8302" t="s">
        <v>608</v>
      </c>
      <c r="O8302" s="37" t="str">
        <f t="shared" si="648"/>
        <v>Cash Payment</v>
      </c>
      <c r="P8302">
        <v>771.8</v>
      </c>
      <c r="Q8302" s="37" t="str">
        <f>IF(P8302&gt;500,"High","low")</f>
        <v>High</v>
      </c>
      <c r="R8302" s="37" t="str">
        <f t="shared" si="649"/>
        <v>Good</v>
      </c>
      <c r="S8302" t="s">
        <v>609</v>
      </c>
    </row>
    <row r="8303" spans="1:19" x14ac:dyDescent="0.2">
      <c r="A8303" t="s">
        <v>8914</v>
      </c>
      <c r="B8303" t="s">
        <v>90</v>
      </c>
      <c r="C8303" t="s">
        <v>597</v>
      </c>
      <c r="D8303">
        <v>1130.04</v>
      </c>
      <c r="E8303" s="37" t="str">
        <f t="shared" si="645"/>
        <v xml:space="preserve"> </v>
      </c>
      <c r="F8303">
        <v>7.0000000000000007E-2</v>
      </c>
      <c r="G8303" s="37" t="str">
        <f t="shared" si="646"/>
        <v>Normal Discount</v>
      </c>
      <c r="H8303" s="37" t="str">
        <f t="shared" si="647"/>
        <v>Low</v>
      </c>
      <c r="I8303">
        <v>5</v>
      </c>
      <c r="J8303" t="str" cm="1">
        <f t="array" ref="J8303">_xlfn.IFS(I8303&lt;=3,"small",I8303&lt;=6,"Medium",I8303&lt;=9,"Large")</f>
        <v>Medium</v>
      </c>
      <c r="K8303" s="36">
        <v>45655</v>
      </c>
      <c r="L8303" s="36">
        <v>45657</v>
      </c>
      <c r="M8303" t="s">
        <v>603</v>
      </c>
      <c r="N8303" t="s">
        <v>604</v>
      </c>
      <c r="O8303" s="37" t="str">
        <f t="shared" si="648"/>
        <v>Digital Payment</v>
      </c>
      <c r="P8303">
        <v>211.43</v>
      </c>
      <c r="Q8303" s="37" t="str">
        <f>IF(P8303&gt;500,"High","low")</f>
        <v>low</v>
      </c>
      <c r="R8303" s="37" t="str">
        <f t="shared" si="649"/>
        <v>AVERAGE</v>
      </c>
      <c r="S8303" t="s">
        <v>600</v>
      </c>
    </row>
    <row r="8304" spans="1:19" x14ac:dyDescent="0.2">
      <c r="A8304" t="s">
        <v>8915</v>
      </c>
      <c r="B8304" t="s">
        <v>75</v>
      </c>
      <c r="C8304" t="s">
        <v>617</v>
      </c>
      <c r="D8304">
        <v>2775.93</v>
      </c>
      <c r="E8304" s="37" t="str">
        <f t="shared" si="645"/>
        <v xml:space="preserve"> </v>
      </c>
      <c r="F8304">
        <v>0.12</v>
      </c>
      <c r="G8304" s="37" t="str">
        <f t="shared" si="646"/>
        <v>Normal Discount</v>
      </c>
      <c r="H8304" s="37" t="str">
        <f t="shared" si="647"/>
        <v>Low</v>
      </c>
      <c r="I8304">
        <v>2</v>
      </c>
      <c r="J8304" t="str" cm="1">
        <f t="array" ref="J8304">_xlfn.IFS(I8304&lt;=3,"small",I8304&lt;=6,"Medium",I8304&lt;=9,"Large")</f>
        <v>small</v>
      </c>
      <c r="K8304" s="36">
        <v>45102</v>
      </c>
      <c r="L8304" s="36">
        <v>45109</v>
      </c>
      <c r="M8304" t="s">
        <v>598</v>
      </c>
      <c r="N8304" t="s">
        <v>599</v>
      </c>
      <c r="O8304" s="37" t="str">
        <f t="shared" si="648"/>
        <v>Digital Payment</v>
      </c>
      <c r="P8304">
        <v>396.54</v>
      </c>
      <c r="Q8304" s="37" t="str">
        <f>IF(P8304&gt;500,"High","low")</f>
        <v>low</v>
      </c>
      <c r="R8304" s="37" t="str">
        <f t="shared" si="649"/>
        <v>AVERAGE</v>
      </c>
      <c r="S8304" t="s">
        <v>600</v>
      </c>
    </row>
    <row r="8305" spans="1:19" x14ac:dyDescent="0.2">
      <c r="A8305" t="s">
        <v>8916</v>
      </c>
      <c r="B8305" t="s">
        <v>75</v>
      </c>
      <c r="C8305" t="s">
        <v>602</v>
      </c>
      <c r="D8305">
        <v>4014.26</v>
      </c>
      <c r="E8305" s="37" t="str">
        <f t="shared" si="645"/>
        <v>Excellent Order</v>
      </c>
      <c r="F8305">
        <v>0.15</v>
      </c>
      <c r="G8305" s="37" t="str">
        <f t="shared" si="646"/>
        <v>Normal Discount</v>
      </c>
      <c r="H8305" s="37" t="str">
        <f t="shared" si="647"/>
        <v>Low</v>
      </c>
      <c r="I8305">
        <v>1</v>
      </c>
      <c r="J8305" t="str" cm="1">
        <f t="array" ref="J8305">_xlfn.IFS(I8305&lt;=3,"small",I8305&lt;=6,"Medium",I8305&lt;=9,"Large")</f>
        <v>small</v>
      </c>
      <c r="K8305" s="36">
        <v>45262</v>
      </c>
      <c r="L8305" s="36">
        <v>45268</v>
      </c>
      <c r="M8305" t="s">
        <v>612</v>
      </c>
      <c r="N8305" t="s">
        <v>599</v>
      </c>
      <c r="O8305" s="37" t="str">
        <f t="shared" si="648"/>
        <v>Digital Payment</v>
      </c>
      <c r="P8305">
        <v>1110.5</v>
      </c>
      <c r="Q8305" s="37" t="str">
        <f>IF(P8305&gt;500,"High","low")</f>
        <v>High</v>
      </c>
      <c r="R8305" s="37" t="str">
        <f t="shared" si="649"/>
        <v>Excellent</v>
      </c>
      <c r="S8305" t="s">
        <v>628</v>
      </c>
    </row>
    <row r="8306" spans="1:19" x14ac:dyDescent="0.2">
      <c r="A8306" t="s">
        <v>8917</v>
      </c>
      <c r="B8306" t="s">
        <v>90</v>
      </c>
      <c r="C8306" t="s">
        <v>617</v>
      </c>
      <c r="D8306">
        <v>3818.84</v>
      </c>
      <c r="E8306" s="37" t="str">
        <f t="shared" si="645"/>
        <v xml:space="preserve"> </v>
      </c>
      <c r="F8306">
        <v>0.04</v>
      </c>
      <c r="G8306" s="37" t="str">
        <f t="shared" si="646"/>
        <v>Normal Discount</v>
      </c>
      <c r="H8306" s="37" t="str">
        <f t="shared" si="647"/>
        <v>Low</v>
      </c>
      <c r="I8306">
        <v>7</v>
      </c>
      <c r="J8306" t="str" cm="1">
        <f t="array" ref="J8306">_xlfn.IFS(I8306&lt;=3,"small",I8306&lt;=6,"Medium",I8306&lt;=9,"Large")</f>
        <v>Large</v>
      </c>
      <c r="K8306" s="36">
        <v>45650</v>
      </c>
      <c r="L8306" s="36">
        <v>45654</v>
      </c>
      <c r="M8306" t="s">
        <v>612</v>
      </c>
      <c r="N8306" t="s">
        <v>599</v>
      </c>
      <c r="O8306" s="37" t="str">
        <f t="shared" si="648"/>
        <v>Digital Payment</v>
      </c>
      <c r="P8306">
        <v>771.18</v>
      </c>
      <c r="Q8306" s="37" t="str">
        <f>IF(P8306&gt;500,"High","low")</f>
        <v>High</v>
      </c>
      <c r="R8306" s="37" t="str">
        <f t="shared" si="649"/>
        <v>Good</v>
      </c>
      <c r="S8306" t="s">
        <v>615</v>
      </c>
    </row>
    <row r="8307" spans="1:19" x14ac:dyDescent="0.2">
      <c r="A8307" t="s">
        <v>8918</v>
      </c>
      <c r="B8307" t="s">
        <v>90</v>
      </c>
      <c r="C8307" t="s">
        <v>602</v>
      </c>
      <c r="D8307">
        <v>1853.98</v>
      </c>
      <c r="E8307" s="37" t="str">
        <f t="shared" si="645"/>
        <v xml:space="preserve"> </v>
      </c>
      <c r="F8307">
        <v>0.44</v>
      </c>
      <c r="G8307" s="37" t="str">
        <f t="shared" si="646"/>
        <v>Heavy Discount</v>
      </c>
      <c r="H8307" s="37" t="str">
        <f t="shared" si="647"/>
        <v>High</v>
      </c>
      <c r="I8307">
        <v>2</v>
      </c>
      <c r="J8307" t="str" cm="1">
        <f t="array" ref="J8307">_xlfn.IFS(I8307&lt;=3,"small",I8307&lt;=6,"Medium",I8307&lt;=9,"Large")</f>
        <v>small</v>
      </c>
      <c r="K8307" s="36">
        <v>45419</v>
      </c>
      <c r="L8307" s="36">
        <v>45424</v>
      </c>
      <c r="M8307" t="s">
        <v>603</v>
      </c>
      <c r="N8307" t="s">
        <v>599</v>
      </c>
      <c r="O8307" s="37" t="str">
        <f t="shared" si="648"/>
        <v>Digital Payment</v>
      </c>
      <c r="P8307">
        <v>449.26</v>
      </c>
      <c r="Q8307" s="37" t="str">
        <f>IF(P8307&gt;500,"High","low")</f>
        <v>low</v>
      </c>
      <c r="R8307" s="37" t="str">
        <f t="shared" si="649"/>
        <v>AVERAGE</v>
      </c>
      <c r="S8307" t="s">
        <v>609</v>
      </c>
    </row>
    <row r="8308" spans="1:19" x14ac:dyDescent="0.2">
      <c r="A8308" t="s">
        <v>8919</v>
      </c>
      <c r="B8308" t="s">
        <v>75</v>
      </c>
      <c r="C8308" t="s">
        <v>597</v>
      </c>
      <c r="D8308">
        <v>649.22</v>
      </c>
      <c r="E8308" s="37" t="str">
        <f t="shared" si="645"/>
        <v xml:space="preserve"> </v>
      </c>
      <c r="F8308">
        <v>0.06</v>
      </c>
      <c r="G8308" s="37" t="str">
        <f t="shared" si="646"/>
        <v>Normal Discount</v>
      </c>
      <c r="H8308" s="37" t="str">
        <f t="shared" si="647"/>
        <v>Low</v>
      </c>
      <c r="I8308">
        <v>6</v>
      </c>
      <c r="J8308" t="str" cm="1">
        <f t="array" ref="J8308">_xlfn.IFS(I8308&lt;=3,"small",I8308&lt;=6,"Medium",I8308&lt;=9,"Large")</f>
        <v>Medium</v>
      </c>
      <c r="K8308" s="36">
        <v>44963</v>
      </c>
      <c r="L8308" s="36">
        <v>44967</v>
      </c>
      <c r="M8308" t="s">
        <v>612</v>
      </c>
      <c r="N8308" t="s">
        <v>608</v>
      </c>
      <c r="O8308" s="37" t="str">
        <f t="shared" si="648"/>
        <v>Cash Payment</v>
      </c>
      <c r="P8308">
        <v>73.31</v>
      </c>
      <c r="Q8308" s="37" t="str">
        <f>IF(P8308&gt;500,"High","low")</f>
        <v>low</v>
      </c>
      <c r="R8308" s="37" t="str">
        <f t="shared" si="649"/>
        <v>AVERAGE</v>
      </c>
      <c r="S8308" t="s">
        <v>609</v>
      </c>
    </row>
    <row r="8309" spans="1:19" x14ac:dyDescent="0.2">
      <c r="A8309" t="s">
        <v>8920</v>
      </c>
      <c r="B8309" t="s">
        <v>67</v>
      </c>
      <c r="C8309" t="s">
        <v>597</v>
      </c>
      <c r="D8309">
        <v>4019.72</v>
      </c>
      <c r="E8309" s="37" t="str">
        <f t="shared" si="645"/>
        <v xml:space="preserve"> </v>
      </c>
      <c r="F8309">
        <v>0.35</v>
      </c>
      <c r="G8309" s="37" t="str">
        <f t="shared" si="646"/>
        <v>Heavy Discount</v>
      </c>
      <c r="H8309" s="37" t="str">
        <f t="shared" si="647"/>
        <v>Medium</v>
      </c>
      <c r="I8309">
        <v>7</v>
      </c>
      <c r="J8309" t="str" cm="1">
        <f t="array" ref="J8309">_xlfn.IFS(I8309&lt;=3,"small",I8309&lt;=6,"Medium",I8309&lt;=9,"Large")</f>
        <v>Large</v>
      </c>
      <c r="K8309" s="36">
        <v>45041</v>
      </c>
      <c r="L8309" s="36">
        <v>45043</v>
      </c>
      <c r="M8309" t="s">
        <v>598</v>
      </c>
      <c r="N8309" t="s">
        <v>608</v>
      </c>
      <c r="O8309" s="37" t="str">
        <f t="shared" si="648"/>
        <v>Cash Payment</v>
      </c>
      <c r="P8309">
        <v>598.77</v>
      </c>
      <c r="Q8309" s="37" t="str">
        <f>IF(P8309&gt;500,"High","low")</f>
        <v>High</v>
      </c>
      <c r="R8309" s="37" t="str">
        <f t="shared" si="649"/>
        <v>Good</v>
      </c>
      <c r="S8309" t="s">
        <v>628</v>
      </c>
    </row>
    <row r="8310" spans="1:19" x14ac:dyDescent="0.2">
      <c r="A8310" t="s">
        <v>8921</v>
      </c>
      <c r="B8310" t="s">
        <v>90</v>
      </c>
      <c r="C8310" t="s">
        <v>597</v>
      </c>
      <c r="D8310">
        <v>1398.69</v>
      </c>
      <c r="E8310" s="37" t="str">
        <f t="shared" si="645"/>
        <v xml:space="preserve"> </v>
      </c>
      <c r="F8310">
        <v>0.25</v>
      </c>
      <c r="G8310" s="37" t="str">
        <f t="shared" si="646"/>
        <v>Normal Discount</v>
      </c>
      <c r="H8310" s="37" t="str">
        <f t="shared" si="647"/>
        <v>Medium</v>
      </c>
      <c r="I8310">
        <v>1</v>
      </c>
      <c r="J8310" t="str" cm="1">
        <f t="array" ref="J8310">_xlfn.IFS(I8310&lt;=3,"small",I8310&lt;=6,"Medium",I8310&lt;=9,"Large")</f>
        <v>small</v>
      </c>
      <c r="K8310" s="36">
        <v>44931</v>
      </c>
      <c r="L8310" s="36">
        <v>44936</v>
      </c>
      <c r="M8310" t="s">
        <v>603</v>
      </c>
      <c r="N8310" t="s">
        <v>599</v>
      </c>
      <c r="O8310" s="37" t="str">
        <f t="shared" si="648"/>
        <v>Digital Payment</v>
      </c>
      <c r="P8310">
        <v>86.96</v>
      </c>
      <c r="Q8310" s="37" t="str">
        <f>IF(P8310&gt;500,"High","low")</f>
        <v>low</v>
      </c>
      <c r="R8310" s="37" t="str">
        <f t="shared" si="649"/>
        <v>AVERAGE</v>
      </c>
      <c r="S8310" t="s">
        <v>628</v>
      </c>
    </row>
    <row r="8311" spans="1:19" x14ac:dyDescent="0.2">
      <c r="A8311" t="s">
        <v>8922</v>
      </c>
      <c r="B8311" t="s">
        <v>83</v>
      </c>
      <c r="C8311" t="s">
        <v>607</v>
      </c>
      <c r="D8311">
        <v>359.91</v>
      </c>
      <c r="E8311" s="37" t="str">
        <f t="shared" si="645"/>
        <v xml:space="preserve"> </v>
      </c>
      <c r="F8311">
        <v>0.42</v>
      </c>
      <c r="G8311" s="37" t="str">
        <f t="shared" si="646"/>
        <v>Heavy Discount</v>
      </c>
      <c r="H8311" s="37" t="str">
        <f t="shared" si="647"/>
        <v>High</v>
      </c>
      <c r="I8311">
        <v>9</v>
      </c>
      <c r="J8311" t="str" cm="1">
        <f t="array" ref="J8311">_xlfn.IFS(I8311&lt;=3,"small",I8311&lt;=6,"Medium",I8311&lt;=9,"Large")</f>
        <v>Large</v>
      </c>
      <c r="K8311" s="36">
        <v>45375</v>
      </c>
      <c r="L8311" s="36">
        <v>45379</v>
      </c>
      <c r="M8311" t="s">
        <v>598</v>
      </c>
      <c r="N8311" t="s">
        <v>599</v>
      </c>
      <c r="O8311" s="37" t="str">
        <f t="shared" si="648"/>
        <v>Digital Payment</v>
      </c>
      <c r="P8311">
        <v>29.44</v>
      </c>
      <c r="Q8311" s="37" t="str">
        <f>IF(P8311&gt;500,"High","low")</f>
        <v>low</v>
      </c>
      <c r="R8311" s="37" t="str">
        <f t="shared" si="649"/>
        <v>AVERAGE</v>
      </c>
      <c r="S8311" t="s">
        <v>628</v>
      </c>
    </row>
    <row r="8312" spans="1:19" x14ac:dyDescent="0.2">
      <c r="A8312" t="s">
        <v>8923</v>
      </c>
      <c r="B8312" t="s">
        <v>83</v>
      </c>
      <c r="C8312" t="s">
        <v>617</v>
      </c>
      <c r="D8312">
        <v>2281.4499999999998</v>
      </c>
      <c r="E8312" s="37" t="str">
        <f t="shared" si="645"/>
        <v xml:space="preserve"> </v>
      </c>
      <c r="F8312">
        <v>0.37</v>
      </c>
      <c r="G8312" s="37" t="str">
        <f t="shared" si="646"/>
        <v>Heavy Discount</v>
      </c>
      <c r="H8312" s="37" t="str">
        <f t="shared" si="647"/>
        <v>Medium</v>
      </c>
      <c r="I8312">
        <v>6</v>
      </c>
      <c r="J8312" t="str" cm="1">
        <f t="array" ref="J8312">_xlfn.IFS(I8312&lt;=3,"small",I8312&lt;=6,"Medium",I8312&lt;=9,"Large")</f>
        <v>Medium</v>
      </c>
      <c r="K8312" s="36">
        <v>44933</v>
      </c>
      <c r="L8312" s="36">
        <v>44939</v>
      </c>
      <c r="M8312" t="s">
        <v>598</v>
      </c>
      <c r="N8312" t="s">
        <v>604</v>
      </c>
      <c r="O8312" s="37" t="str">
        <f t="shared" si="648"/>
        <v>Digital Payment</v>
      </c>
      <c r="P8312">
        <v>484.52</v>
      </c>
      <c r="Q8312" s="37" t="str">
        <f>IF(P8312&gt;500,"High","low")</f>
        <v>low</v>
      </c>
      <c r="R8312" s="37" t="str">
        <f t="shared" si="649"/>
        <v>AVERAGE</v>
      </c>
      <c r="S8312" t="s">
        <v>620</v>
      </c>
    </row>
    <row r="8313" spans="1:19" x14ac:dyDescent="0.2">
      <c r="A8313" t="s">
        <v>8924</v>
      </c>
      <c r="B8313" t="s">
        <v>83</v>
      </c>
      <c r="C8313" t="s">
        <v>614</v>
      </c>
      <c r="D8313">
        <v>3723.41</v>
      </c>
      <c r="E8313" s="37" t="str">
        <f t="shared" si="645"/>
        <v xml:space="preserve"> </v>
      </c>
      <c r="F8313">
        <v>0.38</v>
      </c>
      <c r="G8313" s="37" t="str">
        <f t="shared" si="646"/>
        <v>Heavy Discount</v>
      </c>
      <c r="H8313" s="37" t="str">
        <f t="shared" si="647"/>
        <v>Medium</v>
      </c>
      <c r="I8313">
        <v>2</v>
      </c>
      <c r="J8313" t="str" cm="1">
        <f t="array" ref="J8313">_xlfn.IFS(I8313&lt;=3,"small",I8313&lt;=6,"Medium",I8313&lt;=9,"Large")</f>
        <v>small</v>
      </c>
      <c r="K8313" s="36">
        <v>45224</v>
      </c>
      <c r="L8313" s="36">
        <v>45228</v>
      </c>
      <c r="M8313" t="s">
        <v>612</v>
      </c>
      <c r="N8313" t="s">
        <v>608</v>
      </c>
      <c r="O8313" s="37" t="str">
        <f t="shared" si="648"/>
        <v>Cash Payment</v>
      </c>
      <c r="P8313">
        <v>392.63</v>
      </c>
      <c r="Q8313" s="37" t="str">
        <f>IF(P8313&gt;500,"High","low")</f>
        <v>low</v>
      </c>
      <c r="R8313" s="37" t="str">
        <f t="shared" si="649"/>
        <v>AVERAGE</v>
      </c>
      <c r="S8313" t="s">
        <v>609</v>
      </c>
    </row>
    <row r="8314" spans="1:19" x14ac:dyDescent="0.2">
      <c r="A8314" t="s">
        <v>8925</v>
      </c>
      <c r="B8314" t="s">
        <v>90</v>
      </c>
      <c r="C8314" t="s">
        <v>614</v>
      </c>
      <c r="D8314">
        <v>4061.62</v>
      </c>
      <c r="E8314" s="37" t="str">
        <f t="shared" si="645"/>
        <v xml:space="preserve"> </v>
      </c>
      <c r="F8314">
        <v>0.21</v>
      </c>
      <c r="G8314" s="37" t="str">
        <f t="shared" si="646"/>
        <v>Normal Discount</v>
      </c>
      <c r="H8314" s="37" t="str">
        <f t="shared" si="647"/>
        <v>Medium</v>
      </c>
      <c r="I8314">
        <v>1</v>
      </c>
      <c r="J8314" t="str" cm="1">
        <f t="array" ref="J8314">_xlfn.IFS(I8314&lt;=3,"small",I8314&lt;=6,"Medium",I8314&lt;=9,"Large")</f>
        <v>small</v>
      </c>
      <c r="K8314" s="36">
        <v>45242</v>
      </c>
      <c r="L8314" s="36">
        <v>45246</v>
      </c>
      <c r="M8314" t="s">
        <v>598</v>
      </c>
      <c r="N8314" t="s">
        <v>604</v>
      </c>
      <c r="O8314" s="37" t="str">
        <f t="shared" si="648"/>
        <v>Digital Payment</v>
      </c>
      <c r="P8314">
        <v>625.05999999999995</v>
      </c>
      <c r="Q8314" s="37" t="str">
        <f>IF(P8314&gt;500,"High","low")</f>
        <v>High</v>
      </c>
      <c r="R8314" s="37" t="str">
        <f t="shared" si="649"/>
        <v>Good</v>
      </c>
      <c r="S8314" t="s">
        <v>628</v>
      </c>
    </row>
    <row r="8315" spans="1:19" x14ac:dyDescent="0.2">
      <c r="A8315" t="s">
        <v>8926</v>
      </c>
      <c r="B8315" t="s">
        <v>67</v>
      </c>
      <c r="C8315" t="s">
        <v>597</v>
      </c>
      <c r="D8315">
        <v>4912.79</v>
      </c>
      <c r="E8315" s="37" t="str">
        <f t="shared" si="645"/>
        <v xml:space="preserve"> </v>
      </c>
      <c r="F8315">
        <v>0.42</v>
      </c>
      <c r="G8315" s="37" t="str">
        <f t="shared" si="646"/>
        <v>Heavy Discount</v>
      </c>
      <c r="H8315" s="37" t="str">
        <f t="shared" si="647"/>
        <v>High</v>
      </c>
      <c r="I8315">
        <v>1</v>
      </c>
      <c r="J8315" t="str" cm="1">
        <f t="array" ref="J8315">_xlfn.IFS(I8315&lt;=3,"small",I8315&lt;=6,"Medium",I8315&lt;=9,"Large")</f>
        <v>small</v>
      </c>
      <c r="K8315" s="36">
        <v>45314</v>
      </c>
      <c r="L8315" s="36">
        <v>45317</v>
      </c>
      <c r="M8315" t="s">
        <v>612</v>
      </c>
      <c r="N8315" t="s">
        <v>599</v>
      </c>
      <c r="O8315" s="37" t="str">
        <f t="shared" si="648"/>
        <v>Digital Payment</v>
      </c>
      <c r="P8315">
        <v>752.01</v>
      </c>
      <c r="Q8315" s="37" t="str">
        <f>IF(P8315&gt;500,"High","low")</f>
        <v>High</v>
      </c>
      <c r="R8315" s="37" t="str">
        <f t="shared" si="649"/>
        <v>Good</v>
      </c>
      <c r="S8315" t="s">
        <v>605</v>
      </c>
    </row>
    <row r="8316" spans="1:19" x14ac:dyDescent="0.2">
      <c r="A8316" t="s">
        <v>8927</v>
      </c>
      <c r="B8316" t="s">
        <v>67</v>
      </c>
      <c r="C8316" t="s">
        <v>617</v>
      </c>
      <c r="D8316">
        <v>1028.0999999999999</v>
      </c>
      <c r="E8316" s="37" t="str">
        <f t="shared" si="645"/>
        <v xml:space="preserve"> </v>
      </c>
      <c r="F8316">
        <v>0.05</v>
      </c>
      <c r="G8316" s="37" t="str">
        <f t="shared" si="646"/>
        <v>Normal Discount</v>
      </c>
      <c r="H8316" s="37" t="str">
        <f t="shared" si="647"/>
        <v>Low</v>
      </c>
      <c r="I8316">
        <v>2</v>
      </c>
      <c r="J8316" t="str" cm="1">
        <f t="array" ref="J8316">_xlfn.IFS(I8316&lt;=3,"small",I8316&lt;=6,"Medium",I8316&lt;=9,"Large")</f>
        <v>small</v>
      </c>
      <c r="K8316" s="36">
        <v>45163</v>
      </c>
      <c r="L8316" s="36">
        <v>45170</v>
      </c>
      <c r="M8316" t="s">
        <v>612</v>
      </c>
      <c r="N8316" t="s">
        <v>599</v>
      </c>
      <c r="O8316" s="37" t="str">
        <f t="shared" si="648"/>
        <v>Digital Payment</v>
      </c>
      <c r="P8316">
        <v>248.71</v>
      </c>
      <c r="Q8316" s="37" t="str">
        <f>IF(P8316&gt;500,"High","low")</f>
        <v>low</v>
      </c>
      <c r="R8316" s="37" t="str">
        <f t="shared" si="649"/>
        <v>AVERAGE</v>
      </c>
      <c r="S8316" t="s">
        <v>620</v>
      </c>
    </row>
    <row r="8317" spans="1:19" x14ac:dyDescent="0.2">
      <c r="A8317" t="s">
        <v>8928</v>
      </c>
      <c r="B8317" t="s">
        <v>75</v>
      </c>
      <c r="C8317" t="s">
        <v>602</v>
      </c>
      <c r="D8317">
        <v>1539.59</v>
      </c>
      <c r="E8317" s="37" t="str">
        <f t="shared" si="645"/>
        <v xml:space="preserve"> </v>
      </c>
      <c r="F8317">
        <v>0.22</v>
      </c>
      <c r="G8317" s="37" t="str">
        <f t="shared" si="646"/>
        <v>Normal Discount</v>
      </c>
      <c r="H8317" s="37" t="str">
        <f t="shared" si="647"/>
        <v>Medium</v>
      </c>
      <c r="I8317">
        <v>9</v>
      </c>
      <c r="J8317" t="str" cm="1">
        <f t="array" ref="J8317">_xlfn.IFS(I8317&lt;=3,"small",I8317&lt;=6,"Medium",I8317&lt;=9,"Large")</f>
        <v>Large</v>
      </c>
      <c r="K8317" s="36">
        <v>45259</v>
      </c>
      <c r="L8317" s="36">
        <v>45264</v>
      </c>
      <c r="M8317" t="s">
        <v>612</v>
      </c>
      <c r="N8317" t="s">
        <v>604</v>
      </c>
      <c r="O8317" s="37" t="str">
        <f t="shared" si="648"/>
        <v>Digital Payment</v>
      </c>
      <c r="P8317">
        <v>295.22000000000003</v>
      </c>
      <c r="Q8317" s="37" t="str">
        <f>IF(P8317&gt;500,"High","low")</f>
        <v>low</v>
      </c>
      <c r="R8317" s="37" t="str">
        <f t="shared" si="649"/>
        <v>AVERAGE</v>
      </c>
      <c r="S8317" t="s">
        <v>615</v>
      </c>
    </row>
    <row r="8318" spans="1:19" x14ac:dyDescent="0.2">
      <c r="A8318" t="s">
        <v>8929</v>
      </c>
      <c r="B8318" t="s">
        <v>90</v>
      </c>
      <c r="C8318" t="s">
        <v>614</v>
      </c>
      <c r="D8318">
        <v>3086.5</v>
      </c>
      <c r="E8318" s="37" t="str">
        <f t="shared" si="645"/>
        <v xml:space="preserve"> </v>
      </c>
      <c r="F8318">
        <v>0.5</v>
      </c>
      <c r="G8318" s="37" t="str">
        <f t="shared" si="646"/>
        <v>Heavy Discount</v>
      </c>
      <c r="H8318" s="37" t="str">
        <f t="shared" si="647"/>
        <v>High</v>
      </c>
      <c r="I8318">
        <v>2</v>
      </c>
      <c r="J8318" t="str" cm="1">
        <f t="array" ref="J8318">_xlfn.IFS(I8318&lt;=3,"small",I8318&lt;=6,"Medium",I8318&lt;=9,"Large")</f>
        <v>small</v>
      </c>
      <c r="K8318" s="36">
        <v>45537</v>
      </c>
      <c r="L8318" s="36">
        <v>45544</v>
      </c>
      <c r="M8318" t="s">
        <v>603</v>
      </c>
      <c r="N8318" t="s">
        <v>604</v>
      </c>
      <c r="O8318" s="37" t="str">
        <f t="shared" si="648"/>
        <v>Digital Payment</v>
      </c>
      <c r="P8318">
        <v>677.05</v>
      </c>
      <c r="Q8318" s="37" t="str">
        <f>IF(P8318&gt;500,"High","low")</f>
        <v>High</v>
      </c>
      <c r="R8318" s="37" t="str">
        <f t="shared" si="649"/>
        <v>Good</v>
      </c>
      <c r="S8318" t="s">
        <v>628</v>
      </c>
    </row>
    <row r="8319" spans="1:19" x14ac:dyDescent="0.2">
      <c r="A8319" t="s">
        <v>8930</v>
      </c>
      <c r="B8319" t="s">
        <v>67</v>
      </c>
      <c r="C8319" t="s">
        <v>597</v>
      </c>
      <c r="D8319">
        <v>4075.58</v>
      </c>
      <c r="E8319" s="37" t="str">
        <f t="shared" si="645"/>
        <v xml:space="preserve"> </v>
      </c>
      <c r="F8319">
        <v>0.47</v>
      </c>
      <c r="G8319" s="37" t="str">
        <f t="shared" si="646"/>
        <v>Heavy Discount</v>
      </c>
      <c r="H8319" s="37" t="str">
        <f t="shared" si="647"/>
        <v>High</v>
      </c>
      <c r="I8319">
        <v>1</v>
      </c>
      <c r="J8319" t="str" cm="1">
        <f t="array" ref="J8319">_xlfn.IFS(I8319&lt;=3,"small",I8319&lt;=6,"Medium",I8319&lt;=9,"Large")</f>
        <v>small</v>
      </c>
      <c r="K8319" s="36">
        <v>45042</v>
      </c>
      <c r="L8319" s="36">
        <v>45044</v>
      </c>
      <c r="M8319" t="s">
        <v>612</v>
      </c>
      <c r="N8319" t="s">
        <v>604</v>
      </c>
      <c r="O8319" s="37" t="str">
        <f t="shared" si="648"/>
        <v>Digital Payment</v>
      </c>
      <c r="P8319">
        <v>327.83</v>
      </c>
      <c r="Q8319" s="37" t="str">
        <f>IF(P8319&gt;500,"High","low")</f>
        <v>low</v>
      </c>
      <c r="R8319" s="37" t="str">
        <f t="shared" si="649"/>
        <v>AVERAGE</v>
      </c>
      <c r="S8319" t="s">
        <v>609</v>
      </c>
    </row>
    <row r="8320" spans="1:19" x14ac:dyDescent="0.2">
      <c r="A8320" t="s">
        <v>8931</v>
      </c>
      <c r="B8320" t="s">
        <v>90</v>
      </c>
      <c r="C8320" t="s">
        <v>614</v>
      </c>
      <c r="D8320">
        <v>1246.97</v>
      </c>
      <c r="E8320" s="37" t="str">
        <f t="shared" si="645"/>
        <v xml:space="preserve"> </v>
      </c>
      <c r="F8320">
        <v>0.04</v>
      </c>
      <c r="G8320" s="37" t="str">
        <f t="shared" si="646"/>
        <v>Normal Discount</v>
      </c>
      <c r="H8320" s="37" t="str">
        <f t="shared" si="647"/>
        <v>Low</v>
      </c>
      <c r="I8320">
        <v>4</v>
      </c>
      <c r="J8320" t="str" cm="1">
        <f t="array" ref="J8320">_xlfn.IFS(I8320&lt;=3,"small",I8320&lt;=6,"Medium",I8320&lt;=9,"Large")</f>
        <v>Medium</v>
      </c>
      <c r="K8320" s="36">
        <v>45563</v>
      </c>
      <c r="L8320" s="36">
        <v>45568</v>
      </c>
      <c r="M8320" t="s">
        <v>598</v>
      </c>
      <c r="N8320" t="s">
        <v>599</v>
      </c>
      <c r="O8320" s="37" t="str">
        <f t="shared" si="648"/>
        <v>Digital Payment</v>
      </c>
      <c r="P8320">
        <v>251.49</v>
      </c>
      <c r="Q8320" s="37" t="str">
        <f>IF(P8320&gt;500,"High","low")</f>
        <v>low</v>
      </c>
      <c r="R8320" s="37" t="str">
        <f t="shared" si="649"/>
        <v>AVERAGE</v>
      </c>
      <c r="S8320" t="s">
        <v>609</v>
      </c>
    </row>
    <row r="8321" spans="1:19" x14ac:dyDescent="0.2">
      <c r="A8321" t="s">
        <v>8932</v>
      </c>
      <c r="B8321" t="s">
        <v>75</v>
      </c>
      <c r="C8321" t="s">
        <v>614</v>
      </c>
      <c r="D8321">
        <v>2108.58</v>
      </c>
      <c r="E8321" s="37" t="str">
        <f t="shared" si="645"/>
        <v xml:space="preserve"> </v>
      </c>
      <c r="F8321">
        <v>0.28999999999999998</v>
      </c>
      <c r="G8321" s="37" t="str">
        <f t="shared" si="646"/>
        <v>Normal Discount</v>
      </c>
      <c r="H8321" s="37" t="str">
        <f t="shared" si="647"/>
        <v>Medium</v>
      </c>
      <c r="I8321">
        <v>9</v>
      </c>
      <c r="J8321" t="str" cm="1">
        <f t="array" ref="J8321">_xlfn.IFS(I8321&lt;=3,"small",I8321&lt;=6,"Medium",I8321&lt;=9,"Large")</f>
        <v>Large</v>
      </c>
      <c r="K8321" s="36">
        <v>45548</v>
      </c>
      <c r="L8321" s="36">
        <v>45554</v>
      </c>
      <c r="M8321" t="s">
        <v>612</v>
      </c>
      <c r="N8321" t="s">
        <v>608</v>
      </c>
      <c r="O8321" s="37" t="str">
        <f t="shared" si="648"/>
        <v>Cash Payment</v>
      </c>
      <c r="P8321">
        <v>431.33</v>
      </c>
      <c r="Q8321" s="37" t="str">
        <f>IF(P8321&gt;500,"High","low")</f>
        <v>low</v>
      </c>
      <c r="R8321" s="37" t="str">
        <f t="shared" si="649"/>
        <v>AVERAGE</v>
      </c>
      <c r="S8321" t="s">
        <v>615</v>
      </c>
    </row>
    <row r="8322" spans="1:19" x14ac:dyDescent="0.2">
      <c r="A8322" t="s">
        <v>8933</v>
      </c>
      <c r="B8322" t="s">
        <v>75</v>
      </c>
      <c r="C8322" t="s">
        <v>614</v>
      </c>
      <c r="D8322">
        <v>2101.16</v>
      </c>
      <c r="E8322" s="37" t="str">
        <f t="shared" si="645"/>
        <v xml:space="preserve"> </v>
      </c>
      <c r="F8322">
        <v>0.16</v>
      </c>
      <c r="G8322" s="37" t="str">
        <f t="shared" si="646"/>
        <v>Normal Discount</v>
      </c>
      <c r="H8322" s="37" t="str">
        <f t="shared" si="647"/>
        <v>Low</v>
      </c>
      <c r="I8322">
        <v>8</v>
      </c>
      <c r="J8322" t="str" cm="1">
        <f t="array" ref="J8322">_xlfn.IFS(I8322&lt;=3,"small",I8322&lt;=6,"Medium",I8322&lt;=9,"Large")</f>
        <v>Large</v>
      </c>
      <c r="K8322" s="36">
        <v>45641</v>
      </c>
      <c r="L8322" s="36">
        <v>45646</v>
      </c>
      <c r="M8322" t="s">
        <v>612</v>
      </c>
      <c r="N8322" t="s">
        <v>599</v>
      </c>
      <c r="O8322" s="37" t="str">
        <f t="shared" si="648"/>
        <v>Digital Payment</v>
      </c>
      <c r="P8322">
        <v>385.08</v>
      </c>
      <c r="Q8322" s="37" t="str">
        <f>IF(P8322&gt;500,"High","low")</f>
        <v>low</v>
      </c>
      <c r="R8322" s="37" t="str">
        <f t="shared" si="649"/>
        <v>AVERAGE</v>
      </c>
      <c r="S8322" t="s">
        <v>628</v>
      </c>
    </row>
    <row r="8323" spans="1:19" x14ac:dyDescent="0.2">
      <c r="A8323" t="s">
        <v>8934</v>
      </c>
      <c r="B8323" t="s">
        <v>75</v>
      </c>
      <c r="C8323" t="s">
        <v>597</v>
      </c>
      <c r="D8323">
        <v>3887.39</v>
      </c>
      <c r="E8323" s="37" t="str">
        <f t="shared" ref="E8323:E8386" si="650">IF(AND(D8323&gt;4000,P8323&gt;800),"Excellent Order"," ")</f>
        <v xml:space="preserve"> </v>
      </c>
      <c r="F8323">
        <v>0.36</v>
      </c>
      <c r="G8323" s="37" t="str">
        <f t="shared" ref="G8323:G8386" si="651">IF(F8323&gt;30%,"Heavy Discount","Normal Discount")</f>
        <v>Heavy Discount</v>
      </c>
      <c r="H8323" s="37" t="str">
        <f t="shared" ref="H8323:H8386" si="652">IF(F8323&gt;0.4,"High",IF(F8323&gt;=0.2,"Medium","Low"))</f>
        <v>Medium</v>
      </c>
      <c r="I8323">
        <v>7</v>
      </c>
      <c r="J8323" t="str" cm="1">
        <f t="array" ref="J8323">_xlfn.IFS(I8323&lt;=3,"small",I8323&lt;=6,"Medium",I8323&lt;=9,"Large")</f>
        <v>Large</v>
      </c>
      <c r="K8323" s="36">
        <v>45213</v>
      </c>
      <c r="L8323" s="36">
        <v>45217</v>
      </c>
      <c r="M8323" t="s">
        <v>612</v>
      </c>
      <c r="N8323" t="s">
        <v>604</v>
      </c>
      <c r="O8323" s="37" t="str">
        <f t="shared" ref="O8323:O8386" si="653">IF(OR(N8323="Card",N8323="UPI"),"Digital Payment","Cash Payment")</f>
        <v>Digital Payment</v>
      </c>
      <c r="P8323">
        <v>292.7</v>
      </c>
      <c r="Q8323" s="37" t="str">
        <f>IF(P8323&gt;500,"High","low")</f>
        <v>low</v>
      </c>
      <c r="R8323" s="37" t="str">
        <f t="shared" ref="R8323:R8386" si="654">IF(P8323&gt;1000,"Excellent",IF(P8323&gt;=500,"Good","AVERAGE"))</f>
        <v>AVERAGE</v>
      </c>
      <c r="S8323" t="s">
        <v>609</v>
      </c>
    </row>
    <row r="8324" spans="1:19" x14ac:dyDescent="0.2">
      <c r="A8324" t="s">
        <v>8935</v>
      </c>
      <c r="B8324" t="s">
        <v>83</v>
      </c>
      <c r="C8324" t="s">
        <v>597</v>
      </c>
      <c r="D8324">
        <v>1280.57</v>
      </c>
      <c r="E8324" s="37" t="str">
        <f t="shared" si="650"/>
        <v xml:space="preserve"> </v>
      </c>
      <c r="F8324">
        <v>0.37</v>
      </c>
      <c r="G8324" s="37" t="str">
        <f t="shared" si="651"/>
        <v>Heavy Discount</v>
      </c>
      <c r="H8324" s="37" t="str">
        <f t="shared" si="652"/>
        <v>Medium</v>
      </c>
      <c r="I8324">
        <v>8</v>
      </c>
      <c r="J8324" t="str" cm="1">
        <f t="array" ref="J8324">_xlfn.IFS(I8324&lt;=3,"small",I8324&lt;=6,"Medium",I8324&lt;=9,"Large")</f>
        <v>Large</v>
      </c>
      <c r="K8324" s="36">
        <v>45413</v>
      </c>
      <c r="L8324" s="36">
        <v>45414</v>
      </c>
      <c r="M8324" t="s">
        <v>598</v>
      </c>
      <c r="N8324" t="s">
        <v>599</v>
      </c>
      <c r="O8324" s="37" t="str">
        <f t="shared" si="653"/>
        <v>Digital Payment</v>
      </c>
      <c r="P8324">
        <v>310.97000000000003</v>
      </c>
      <c r="Q8324" s="37" t="str">
        <f>IF(P8324&gt;500,"High","low")</f>
        <v>low</v>
      </c>
      <c r="R8324" s="37" t="str">
        <f t="shared" si="654"/>
        <v>AVERAGE</v>
      </c>
      <c r="S8324" t="s">
        <v>600</v>
      </c>
    </row>
    <row r="8325" spans="1:19" x14ac:dyDescent="0.2">
      <c r="A8325" t="s">
        <v>8936</v>
      </c>
      <c r="B8325" t="s">
        <v>90</v>
      </c>
      <c r="C8325" t="s">
        <v>607</v>
      </c>
      <c r="D8325">
        <v>4846.92</v>
      </c>
      <c r="E8325" s="37" t="str">
        <f t="shared" si="650"/>
        <v>Excellent Order</v>
      </c>
      <c r="F8325">
        <v>0</v>
      </c>
      <c r="G8325" s="37" t="str">
        <f t="shared" si="651"/>
        <v>Normal Discount</v>
      </c>
      <c r="H8325" s="37" t="str">
        <f t="shared" si="652"/>
        <v>Low</v>
      </c>
      <c r="I8325">
        <v>2</v>
      </c>
      <c r="J8325" t="str" cm="1">
        <f t="array" ref="J8325">_xlfn.IFS(I8325&lt;=3,"small",I8325&lt;=6,"Medium",I8325&lt;=9,"Large")</f>
        <v>small</v>
      </c>
      <c r="K8325" s="36">
        <v>45224</v>
      </c>
      <c r="L8325" s="36">
        <v>45228</v>
      </c>
      <c r="M8325" t="s">
        <v>612</v>
      </c>
      <c r="N8325" t="s">
        <v>604</v>
      </c>
      <c r="O8325" s="37" t="str">
        <f t="shared" si="653"/>
        <v>Digital Payment</v>
      </c>
      <c r="P8325">
        <v>902.19</v>
      </c>
      <c r="Q8325" s="37" t="str">
        <f>IF(P8325&gt;500,"High","low")</f>
        <v>High</v>
      </c>
      <c r="R8325" s="37" t="str">
        <f t="shared" si="654"/>
        <v>Good</v>
      </c>
      <c r="S8325" t="s">
        <v>609</v>
      </c>
    </row>
    <row r="8326" spans="1:19" x14ac:dyDescent="0.2">
      <c r="A8326" t="s">
        <v>8937</v>
      </c>
      <c r="B8326" t="s">
        <v>75</v>
      </c>
      <c r="C8326" t="s">
        <v>607</v>
      </c>
      <c r="D8326">
        <v>2601.27</v>
      </c>
      <c r="E8326" s="37" t="str">
        <f t="shared" si="650"/>
        <v xml:space="preserve"> </v>
      </c>
      <c r="F8326">
        <v>0.42</v>
      </c>
      <c r="G8326" s="37" t="str">
        <f t="shared" si="651"/>
        <v>Heavy Discount</v>
      </c>
      <c r="H8326" s="37" t="str">
        <f t="shared" si="652"/>
        <v>High</v>
      </c>
      <c r="I8326">
        <v>5</v>
      </c>
      <c r="J8326" t="str" cm="1">
        <f t="array" ref="J8326">_xlfn.IFS(I8326&lt;=3,"small",I8326&lt;=6,"Medium",I8326&lt;=9,"Large")</f>
        <v>Medium</v>
      </c>
      <c r="K8326" s="36">
        <v>45508</v>
      </c>
      <c r="L8326" s="36">
        <v>45509</v>
      </c>
      <c r="M8326" t="s">
        <v>598</v>
      </c>
      <c r="N8326" t="s">
        <v>599</v>
      </c>
      <c r="O8326" s="37" t="str">
        <f t="shared" si="653"/>
        <v>Digital Payment</v>
      </c>
      <c r="P8326">
        <v>482.62</v>
      </c>
      <c r="Q8326" s="37" t="str">
        <f>IF(P8326&gt;500,"High","low")</f>
        <v>low</v>
      </c>
      <c r="R8326" s="37" t="str">
        <f t="shared" si="654"/>
        <v>AVERAGE</v>
      </c>
      <c r="S8326" t="s">
        <v>620</v>
      </c>
    </row>
    <row r="8327" spans="1:19" x14ac:dyDescent="0.2">
      <c r="A8327" t="s">
        <v>8938</v>
      </c>
      <c r="B8327" t="s">
        <v>90</v>
      </c>
      <c r="C8327" t="s">
        <v>607</v>
      </c>
      <c r="D8327">
        <v>1482.13</v>
      </c>
      <c r="E8327" s="37" t="str">
        <f t="shared" si="650"/>
        <v xml:space="preserve"> </v>
      </c>
      <c r="F8327">
        <v>0.11</v>
      </c>
      <c r="G8327" s="37" t="str">
        <f t="shared" si="651"/>
        <v>Normal Discount</v>
      </c>
      <c r="H8327" s="37" t="str">
        <f t="shared" si="652"/>
        <v>Low</v>
      </c>
      <c r="I8327">
        <v>7</v>
      </c>
      <c r="J8327" t="str" cm="1">
        <f t="array" ref="J8327">_xlfn.IFS(I8327&lt;=3,"small",I8327&lt;=6,"Medium",I8327&lt;=9,"Large")</f>
        <v>Large</v>
      </c>
      <c r="K8327" s="36">
        <v>45065</v>
      </c>
      <c r="L8327" s="36">
        <v>45068</v>
      </c>
      <c r="M8327" t="s">
        <v>598</v>
      </c>
      <c r="N8327" t="s">
        <v>608</v>
      </c>
      <c r="O8327" s="37" t="str">
        <f t="shared" si="653"/>
        <v>Cash Payment</v>
      </c>
      <c r="P8327">
        <v>388.94</v>
      </c>
      <c r="Q8327" s="37" t="str">
        <f>IF(P8327&gt;500,"High","low")</f>
        <v>low</v>
      </c>
      <c r="R8327" s="37" t="str">
        <f t="shared" si="654"/>
        <v>AVERAGE</v>
      </c>
      <c r="S8327" t="s">
        <v>600</v>
      </c>
    </row>
    <row r="8328" spans="1:19" x14ac:dyDescent="0.2">
      <c r="A8328" t="s">
        <v>8939</v>
      </c>
      <c r="B8328" t="s">
        <v>83</v>
      </c>
      <c r="C8328" t="s">
        <v>614</v>
      </c>
      <c r="D8328">
        <v>1492.99</v>
      </c>
      <c r="E8328" s="37" t="str">
        <f t="shared" si="650"/>
        <v xml:space="preserve"> </v>
      </c>
      <c r="F8328">
        <v>0.48</v>
      </c>
      <c r="G8328" s="37" t="str">
        <f t="shared" si="651"/>
        <v>Heavy Discount</v>
      </c>
      <c r="H8328" s="37" t="str">
        <f t="shared" si="652"/>
        <v>High</v>
      </c>
      <c r="I8328">
        <v>1</v>
      </c>
      <c r="J8328" t="str" cm="1">
        <f t="array" ref="J8328">_xlfn.IFS(I8328&lt;=3,"small",I8328&lt;=6,"Medium",I8328&lt;=9,"Large")</f>
        <v>small</v>
      </c>
      <c r="K8328" s="36">
        <v>45075</v>
      </c>
      <c r="L8328" s="36">
        <v>45082</v>
      </c>
      <c r="M8328" t="s">
        <v>603</v>
      </c>
      <c r="N8328" t="s">
        <v>608</v>
      </c>
      <c r="O8328" s="37" t="str">
        <f t="shared" si="653"/>
        <v>Cash Payment</v>
      </c>
      <c r="P8328">
        <v>165.4</v>
      </c>
      <c r="Q8328" s="37" t="str">
        <f>IF(P8328&gt;500,"High","low")</f>
        <v>low</v>
      </c>
      <c r="R8328" s="37" t="str">
        <f t="shared" si="654"/>
        <v>AVERAGE</v>
      </c>
      <c r="S8328" t="s">
        <v>600</v>
      </c>
    </row>
    <row r="8329" spans="1:19" x14ac:dyDescent="0.2">
      <c r="A8329" t="s">
        <v>8940</v>
      </c>
      <c r="B8329" t="s">
        <v>83</v>
      </c>
      <c r="C8329" t="s">
        <v>617</v>
      </c>
      <c r="D8329">
        <v>189.67</v>
      </c>
      <c r="E8329" s="37" t="str">
        <f t="shared" si="650"/>
        <v xml:space="preserve"> </v>
      </c>
      <c r="F8329">
        <v>0.45</v>
      </c>
      <c r="G8329" s="37" t="str">
        <f t="shared" si="651"/>
        <v>Heavy Discount</v>
      </c>
      <c r="H8329" s="37" t="str">
        <f t="shared" si="652"/>
        <v>High</v>
      </c>
      <c r="I8329">
        <v>6</v>
      </c>
      <c r="J8329" t="str" cm="1">
        <f t="array" ref="J8329">_xlfn.IFS(I8329&lt;=3,"small",I8329&lt;=6,"Medium",I8329&lt;=9,"Large")</f>
        <v>Medium</v>
      </c>
      <c r="K8329" s="36">
        <v>45592</v>
      </c>
      <c r="L8329" s="36">
        <v>45595</v>
      </c>
      <c r="M8329" t="s">
        <v>603</v>
      </c>
      <c r="N8329" t="s">
        <v>604</v>
      </c>
      <c r="O8329" s="37" t="str">
        <f t="shared" si="653"/>
        <v>Digital Payment</v>
      </c>
      <c r="P8329">
        <v>33.51</v>
      </c>
      <c r="Q8329" s="37" t="str">
        <f>IF(P8329&gt;500,"High","low")</f>
        <v>low</v>
      </c>
      <c r="R8329" s="37" t="str">
        <f t="shared" si="654"/>
        <v>AVERAGE</v>
      </c>
      <c r="S8329" t="s">
        <v>615</v>
      </c>
    </row>
    <row r="8330" spans="1:19" x14ac:dyDescent="0.2">
      <c r="A8330" t="s">
        <v>8941</v>
      </c>
      <c r="B8330" t="s">
        <v>75</v>
      </c>
      <c r="C8330" t="s">
        <v>597</v>
      </c>
      <c r="D8330">
        <v>3492.91</v>
      </c>
      <c r="E8330" s="37" t="str">
        <f t="shared" si="650"/>
        <v xml:space="preserve"> </v>
      </c>
      <c r="F8330">
        <v>0.1</v>
      </c>
      <c r="G8330" s="37" t="str">
        <f t="shared" si="651"/>
        <v>Normal Discount</v>
      </c>
      <c r="H8330" s="37" t="str">
        <f t="shared" si="652"/>
        <v>Low</v>
      </c>
      <c r="I8330">
        <v>7</v>
      </c>
      <c r="J8330" t="str" cm="1">
        <f t="array" ref="J8330">_xlfn.IFS(I8330&lt;=3,"small",I8330&lt;=6,"Medium",I8330&lt;=9,"Large")</f>
        <v>Large</v>
      </c>
      <c r="K8330" s="36">
        <v>44941</v>
      </c>
      <c r="L8330" s="36">
        <v>44942</v>
      </c>
      <c r="M8330" t="s">
        <v>603</v>
      </c>
      <c r="N8330" t="s">
        <v>608</v>
      </c>
      <c r="O8330" s="37" t="str">
        <f t="shared" si="653"/>
        <v>Cash Payment</v>
      </c>
      <c r="P8330">
        <v>820.99</v>
      </c>
      <c r="Q8330" s="37" t="str">
        <f>IF(P8330&gt;500,"High","low")</f>
        <v>High</v>
      </c>
      <c r="R8330" s="37" t="str">
        <f t="shared" si="654"/>
        <v>Good</v>
      </c>
      <c r="S8330" t="s">
        <v>615</v>
      </c>
    </row>
    <row r="8331" spans="1:19" x14ac:dyDescent="0.2">
      <c r="A8331" t="s">
        <v>8942</v>
      </c>
      <c r="B8331" t="s">
        <v>75</v>
      </c>
      <c r="C8331" t="s">
        <v>607</v>
      </c>
      <c r="D8331">
        <v>3902.15</v>
      </c>
      <c r="E8331" s="37" t="str">
        <f t="shared" si="650"/>
        <v xml:space="preserve"> </v>
      </c>
      <c r="F8331">
        <v>0.32</v>
      </c>
      <c r="G8331" s="37" t="str">
        <f t="shared" si="651"/>
        <v>Heavy Discount</v>
      </c>
      <c r="H8331" s="37" t="str">
        <f t="shared" si="652"/>
        <v>Medium</v>
      </c>
      <c r="I8331">
        <v>8</v>
      </c>
      <c r="J8331" t="str" cm="1">
        <f t="array" ref="J8331">_xlfn.IFS(I8331&lt;=3,"small",I8331&lt;=6,"Medium",I8331&lt;=9,"Large")</f>
        <v>Large</v>
      </c>
      <c r="K8331" s="36">
        <v>45334</v>
      </c>
      <c r="L8331" s="36">
        <v>45338</v>
      </c>
      <c r="M8331" t="s">
        <v>598</v>
      </c>
      <c r="N8331" t="s">
        <v>599</v>
      </c>
      <c r="O8331" s="37" t="str">
        <f t="shared" si="653"/>
        <v>Digital Payment</v>
      </c>
      <c r="P8331">
        <v>1084.3900000000001</v>
      </c>
      <c r="Q8331" s="37" t="str">
        <f>IF(P8331&gt;500,"High","low")</f>
        <v>High</v>
      </c>
      <c r="R8331" s="37" t="str">
        <f t="shared" si="654"/>
        <v>Excellent</v>
      </c>
      <c r="S8331" t="s">
        <v>600</v>
      </c>
    </row>
    <row r="8332" spans="1:19" x14ac:dyDescent="0.2">
      <c r="A8332" t="s">
        <v>8943</v>
      </c>
      <c r="B8332" t="s">
        <v>67</v>
      </c>
      <c r="C8332" t="s">
        <v>617</v>
      </c>
      <c r="D8332">
        <v>258.89999999999998</v>
      </c>
      <c r="E8332" s="37" t="str">
        <f t="shared" si="650"/>
        <v xml:space="preserve"> </v>
      </c>
      <c r="F8332">
        <v>0.15</v>
      </c>
      <c r="G8332" s="37" t="str">
        <f t="shared" si="651"/>
        <v>Normal Discount</v>
      </c>
      <c r="H8332" s="37" t="str">
        <f t="shared" si="652"/>
        <v>Low</v>
      </c>
      <c r="I8332">
        <v>5</v>
      </c>
      <c r="J8332" t="str" cm="1">
        <f t="array" ref="J8332">_xlfn.IFS(I8332&lt;=3,"small",I8332&lt;=6,"Medium",I8332&lt;=9,"Large")</f>
        <v>Medium</v>
      </c>
      <c r="K8332" s="36">
        <v>45370</v>
      </c>
      <c r="L8332" s="36">
        <v>45374</v>
      </c>
      <c r="M8332" t="s">
        <v>603</v>
      </c>
      <c r="N8332" t="s">
        <v>604</v>
      </c>
      <c r="O8332" s="37" t="str">
        <f t="shared" si="653"/>
        <v>Digital Payment</v>
      </c>
      <c r="P8332">
        <v>67.97</v>
      </c>
      <c r="Q8332" s="37" t="str">
        <f>IF(P8332&gt;500,"High","low")</f>
        <v>low</v>
      </c>
      <c r="R8332" s="37" t="str">
        <f t="shared" si="654"/>
        <v>AVERAGE</v>
      </c>
      <c r="S8332" t="s">
        <v>620</v>
      </c>
    </row>
    <row r="8333" spans="1:19" x14ac:dyDescent="0.2">
      <c r="A8333" t="s">
        <v>8944</v>
      </c>
      <c r="B8333" t="s">
        <v>90</v>
      </c>
      <c r="C8333" t="s">
        <v>607</v>
      </c>
      <c r="D8333">
        <v>2971.08</v>
      </c>
      <c r="E8333" s="37" t="str">
        <f t="shared" si="650"/>
        <v xml:space="preserve"> </v>
      </c>
      <c r="F8333">
        <v>0.05</v>
      </c>
      <c r="G8333" s="37" t="str">
        <f t="shared" si="651"/>
        <v>Normal Discount</v>
      </c>
      <c r="H8333" s="37" t="str">
        <f t="shared" si="652"/>
        <v>Low</v>
      </c>
      <c r="I8333">
        <v>8</v>
      </c>
      <c r="J8333" t="str" cm="1">
        <f t="array" ref="J8333">_xlfn.IFS(I8333&lt;=3,"small",I8333&lt;=6,"Medium",I8333&lt;=9,"Large")</f>
        <v>Large</v>
      </c>
      <c r="K8333" s="36">
        <v>45264</v>
      </c>
      <c r="L8333" s="36">
        <v>45271</v>
      </c>
      <c r="M8333" t="s">
        <v>612</v>
      </c>
      <c r="N8333" t="s">
        <v>608</v>
      </c>
      <c r="O8333" s="37" t="str">
        <f t="shared" si="653"/>
        <v>Cash Payment</v>
      </c>
      <c r="P8333">
        <v>722.72</v>
      </c>
      <c r="Q8333" s="37" t="str">
        <f>IF(P8333&gt;500,"High","low")</f>
        <v>High</v>
      </c>
      <c r="R8333" s="37" t="str">
        <f t="shared" si="654"/>
        <v>Good</v>
      </c>
      <c r="S8333" t="s">
        <v>628</v>
      </c>
    </row>
    <row r="8334" spans="1:19" x14ac:dyDescent="0.2">
      <c r="A8334" t="s">
        <v>8945</v>
      </c>
      <c r="B8334" t="s">
        <v>75</v>
      </c>
      <c r="C8334" t="s">
        <v>607</v>
      </c>
      <c r="D8334">
        <v>3930.2</v>
      </c>
      <c r="E8334" s="37" t="str">
        <f t="shared" si="650"/>
        <v xml:space="preserve"> </v>
      </c>
      <c r="F8334">
        <v>0.44</v>
      </c>
      <c r="G8334" s="37" t="str">
        <f t="shared" si="651"/>
        <v>Heavy Discount</v>
      </c>
      <c r="H8334" s="37" t="str">
        <f t="shared" si="652"/>
        <v>High</v>
      </c>
      <c r="I8334">
        <v>1</v>
      </c>
      <c r="J8334" t="str" cm="1">
        <f t="array" ref="J8334">_xlfn.IFS(I8334&lt;=3,"small",I8334&lt;=6,"Medium",I8334&lt;=9,"Large")</f>
        <v>small</v>
      </c>
      <c r="K8334" s="36">
        <v>45382</v>
      </c>
      <c r="L8334" s="36">
        <v>45389</v>
      </c>
      <c r="M8334" t="s">
        <v>603</v>
      </c>
      <c r="N8334" t="s">
        <v>604</v>
      </c>
      <c r="O8334" s="37" t="str">
        <f t="shared" si="653"/>
        <v>Digital Payment</v>
      </c>
      <c r="P8334">
        <v>1055.03</v>
      </c>
      <c r="Q8334" s="37" t="str">
        <f>IF(P8334&gt;500,"High","low")</f>
        <v>High</v>
      </c>
      <c r="R8334" s="37" t="str">
        <f t="shared" si="654"/>
        <v>Excellent</v>
      </c>
      <c r="S8334" t="s">
        <v>600</v>
      </c>
    </row>
    <row r="8335" spans="1:19" x14ac:dyDescent="0.2">
      <c r="A8335" t="s">
        <v>8946</v>
      </c>
      <c r="B8335" t="s">
        <v>67</v>
      </c>
      <c r="C8335" t="s">
        <v>617</v>
      </c>
      <c r="D8335">
        <v>1943.58</v>
      </c>
      <c r="E8335" s="37" t="str">
        <f t="shared" si="650"/>
        <v xml:space="preserve"> </v>
      </c>
      <c r="F8335">
        <v>0.09</v>
      </c>
      <c r="G8335" s="37" t="str">
        <f t="shared" si="651"/>
        <v>Normal Discount</v>
      </c>
      <c r="H8335" s="37" t="str">
        <f t="shared" si="652"/>
        <v>Low</v>
      </c>
      <c r="I8335">
        <v>4</v>
      </c>
      <c r="J8335" t="str" cm="1">
        <f t="array" ref="J8335">_xlfn.IFS(I8335&lt;=3,"small",I8335&lt;=6,"Medium",I8335&lt;=9,"Large")</f>
        <v>Medium</v>
      </c>
      <c r="K8335" s="36">
        <v>45031</v>
      </c>
      <c r="L8335" s="36">
        <v>45036</v>
      </c>
      <c r="M8335" t="s">
        <v>603</v>
      </c>
      <c r="N8335" t="s">
        <v>604</v>
      </c>
      <c r="O8335" s="37" t="str">
        <f t="shared" si="653"/>
        <v>Digital Payment</v>
      </c>
      <c r="P8335">
        <v>227.28</v>
      </c>
      <c r="Q8335" s="37" t="str">
        <f>IF(P8335&gt;500,"High","low")</f>
        <v>low</v>
      </c>
      <c r="R8335" s="37" t="str">
        <f t="shared" si="654"/>
        <v>AVERAGE</v>
      </c>
      <c r="S8335" t="s">
        <v>615</v>
      </c>
    </row>
    <row r="8336" spans="1:19" x14ac:dyDescent="0.2">
      <c r="A8336" t="s">
        <v>8947</v>
      </c>
      <c r="B8336" t="s">
        <v>90</v>
      </c>
      <c r="C8336" t="s">
        <v>607</v>
      </c>
      <c r="D8336">
        <v>2220.4299999999998</v>
      </c>
      <c r="E8336" s="37" t="str">
        <f t="shared" si="650"/>
        <v xml:space="preserve"> </v>
      </c>
      <c r="F8336">
        <v>0.21</v>
      </c>
      <c r="G8336" s="37" t="str">
        <f t="shared" si="651"/>
        <v>Normal Discount</v>
      </c>
      <c r="H8336" s="37" t="str">
        <f t="shared" si="652"/>
        <v>Medium</v>
      </c>
      <c r="I8336">
        <v>6</v>
      </c>
      <c r="J8336" t="str" cm="1">
        <f t="array" ref="J8336">_xlfn.IFS(I8336&lt;=3,"small",I8336&lt;=6,"Medium",I8336&lt;=9,"Large")</f>
        <v>Medium</v>
      </c>
      <c r="K8336" s="36">
        <v>45595</v>
      </c>
      <c r="L8336" s="36">
        <v>45602</v>
      </c>
      <c r="M8336" t="s">
        <v>603</v>
      </c>
      <c r="N8336" t="s">
        <v>599</v>
      </c>
      <c r="O8336" s="37" t="str">
        <f t="shared" si="653"/>
        <v>Digital Payment</v>
      </c>
      <c r="P8336">
        <v>358.54</v>
      </c>
      <c r="Q8336" s="37" t="str">
        <f>IF(P8336&gt;500,"High","low")</f>
        <v>low</v>
      </c>
      <c r="R8336" s="37" t="str">
        <f t="shared" si="654"/>
        <v>AVERAGE</v>
      </c>
      <c r="S8336" t="s">
        <v>628</v>
      </c>
    </row>
    <row r="8337" spans="1:19" x14ac:dyDescent="0.2">
      <c r="A8337" t="s">
        <v>8948</v>
      </c>
      <c r="B8337" t="s">
        <v>75</v>
      </c>
      <c r="C8337" t="s">
        <v>614</v>
      </c>
      <c r="D8337">
        <v>1871.96</v>
      </c>
      <c r="E8337" s="37" t="str">
        <f t="shared" si="650"/>
        <v xml:space="preserve"> </v>
      </c>
      <c r="F8337">
        <v>0.46</v>
      </c>
      <c r="G8337" s="37" t="str">
        <f t="shared" si="651"/>
        <v>Heavy Discount</v>
      </c>
      <c r="H8337" s="37" t="str">
        <f t="shared" si="652"/>
        <v>High</v>
      </c>
      <c r="I8337">
        <v>4</v>
      </c>
      <c r="J8337" t="str" cm="1">
        <f t="array" ref="J8337">_xlfn.IFS(I8337&lt;=3,"small",I8337&lt;=6,"Medium",I8337&lt;=9,"Large")</f>
        <v>Medium</v>
      </c>
      <c r="K8337" s="36">
        <v>45165</v>
      </c>
      <c r="L8337" s="36">
        <v>45170</v>
      </c>
      <c r="M8337" t="s">
        <v>603</v>
      </c>
      <c r="N8337" t="s">
        <v>599</v>
      </c>
      <c r="O8337" s="37" t="str">
        <f t="shared" si="653"/>
        <v>Digital Payment</v>
      </c>
      <c r="P8337">
        <v>552.16999999999996</v>
      </c>
      <c r="Q8337" s="37" t="str">
        <f>IF(P8337&gt;500,"High","low")</f>
        <v>High</v>
      </c>
      <c r="R8337" s="37" t="str">
        <f t="shared" si="654"/>
        <v>Good</v>
      </c>
      <c r="S8337" t="s">
        <v>600</v>
      </c>
    </row>
    <row r="8338" spans="1:19" x14ac:dyDescent="0.2">
      <c r="A8338" t="s">
        <v>8949</v>
      </c>
      <c r="B8338" t="s">
        <v>67</v>
      </c>
      <c r="C8338" t="s">
        <v>614</v>
      </c>
      <c r="D8338">
        <v>1646.69</v>
      </c>
      <c r="E8338" s="37" t="str">
        <f t="shared" si="650"/>
        <v xml:space="preserve"> </v>
      </c>
      <c r="F8338">
        <v>0.04</v>
      </c>
      <c r="G8338" s="37" t="str">
        <f t="shared" si="651"/>
        <v>Normal Discount</v>
      </c>
      <c r="H8338" s="37" t="str">
        <f t="shared" si="652"/>
        <v>Low</v>
      </c>
      <c r="I8338">
        <v>5</v>
      </c>
      <c r="J8338" t="str" cm="1">
        <f t="array" ref="J8338">_xlfn.IFS(I8338&lt;=3,"small",I8338&lt;=6,"Medium",I8338&lt;=9,"Large")</f>
        <v>Medium</v>
      </c>
      <c r="K8338" s="36">
        <v>45548</v>
      </c>
      <c r="L8338" s="36">
        <v>45551</v>
      </c>
      <c r="M8338" t="s">
        <v>612</v>
      </c>
      <c r="N8338" t="s">
        <v>604</v>
      </c>
      <c r="O8338" s="37" t="str">
        <f t="shared" si="653"/>
        <v>Digital Payment</v>
      </c>
      <c r="P8338">
        <v>88.53</v>
      </c>
      <c r="Q8338" s="37" t="str">
        <f>IF(P8338&gt;500,"High","low")</f>
        <v>low</v>
      </c>
      <c r="R8338" s="37" t="str">
        <f t="shared" si="654"/>
        <v>AVERAGE</v>
      </c>
      <c r="S8338" t="s">
        <v>605</v>
      </c>
    </row>
    <row r="8339" spans="1:19" x14ac:dyDescent="0.2">
      <c r="A8339" t="s">
        <v>8950</v>
      </c>
      <c r="B8339" t="s">
        <v>67</v>
      </c>
      <c r="C8339" t="s">
        <v>614</v>
      </c>
      <c r="D8339">
        <v>2506.59</v>
      </c>
      <c r="E8339" s="37" t="str">
        <f t="shared" si="650"/>
        <v xml:space="preserve"> </v>
      </c>
      <c r="F8339">
        <v>0.28000000000000003</v>
      </c>
      <c r="G8339" s="37" t="str">
        <f t="shared" si="651"/>
        <v>Normal Discount</v>
      </c>
      <c r="H8339" s="37" t="str">
        <f t="shared" si="652"/>
        <v>Medium</v>
      </c>
      <c r="I8339">
        <v>2</v>
      </c>
      <c r="J8339" t="str" cm="1">
        <f t="array" ref="J8339">_xlfn.IFS(I8339&lt;=3,"small",I8339&lt;=6,"Medium",I8339&lt;=9,"Large")</f>
        <v>small</v>
      </c>
      <c r="K8339" s="36">
        <v>45116</v>
      </c>
      <c r="L8339" s="36">
        <v>45121</v>
      </c>
      <c r="M8339" t="s">
        <v>612</v>
      </c>
      <c r="N8339" t="s">
        <v>604</v>
      </c>
      <c r="O8339" s="37" t="str">
        <f t="shared" si="653"/>
        <v>Digital Payment</v>
      </c>
      <c r="P8339">
        <v>745.74</v>
      </c>
      <c r="Q8339" s="37" t="str">
        <f>IF(P8339&gt;500,"High","low")</f>
        <v>High</v>
      </c>
      <c r="R8339" s="37" t="str">
        <f t="shared" si="654"/>
        <v>Good</v>
      </c>
      <c r="S8339" t="s">
        <v>628</v>
      </c>
    </row>
    <row r="8340" spans="1:19" x14ac:dyDescent="0.2">
      <c r="A8340" t="s">
        <v>8951</v>
      </c>
      <c r="B8340" t="s">
        <v>90</v>
      </c>
      <c r="C8340" t="s">
        <v>602</v>
      </c>
      <c r="D8340">
        <v>913.89</v>
      </c>
      <c r="E8340" s="37" t="str">
        <f t="shared" si="650"/>
        <v xml:space="preserve"> </v>
      </c>
      <c r="F8340">
        <v>0.28999999999999998</v>
      </c>
      <c r="G8340" s="37" t="str">
        <f t="shared" si="651"/>
        <v>Normal Discount</v>
      </c>
      <c r="H8340" s="37" t="str">
        <f t="shared" si="652"/>
        <v>Medium</v>
      </c>
      <c r="I8340">
        <v>7</v>
      </c>
      <c r="J8340" t="str" cm="1">
        <f t="array" ref="J8340">_xlfn.IFS(I8340&lt;=3,"small",I8340&lt;=6,"Medium",I8340&lt;=9,"Large")</f>
        <v>Large</v>
      </c>
      <c r="K8340" s="36">
        <v>45494</v>
      </c>
      <c r="L8340" s="36">
        <v>45499</v>
      </c>
      <c r="M8340" t="s">
        <v>598</v>
      </c>
      <c r="N8340" t="s">
        <v>604</v>
      </c>
      <c r="O8340" s="37" t="str">
        <f t="shared" si="653"/>
        <v>Digital Payment</v>
      </c>
      <c r="P8340">
        <v>69.66</v>
      </c>
      <c r="Q8340" s="37" t="str">
        <f>IF(P8340&gt;500,"High","low")</f>
        <v>low</v>
      </c>
      <c r="R8340" s="37" t="str">
        <f t="shared" si="654"/>
        <v>AVERAGE</v>
      </c>
      <c r="S8340" t="s">
        <v>609</v>
      </c>
    </row>
    <row r="8341" spans="1:19" x14ac:dyDescent="0.2">
      <c r="A8341" t="s">
        <v>8952</v>
      </c>
      <c r="B8341" t="s">
        <v>67</v>
      </c>
      <c r="C8341" t="s">
        <v>607</v>
      </c>
      <c r="D8341">
        <v>2259.37</v>
      </c>
      <c r="E8341" s="37" t="str">
        <f t="shared" si="650"/>
        <v xml:space="preserve"> </v>
      </c>
      <c r="F8341">
        <v>0.38</v>
      </c>
      <c r="G8341" s="37" t="str">
        <f t="shared" si="651"/>
        <v>Heavy Discount</v>
      </c>
      <c r="H8341" s="37" t="str">
        <f t="shared" si="652"/>
        <v>Medium</v>
      </c>
      <c r="I8341">
        <v>9</v>
      </c>
      <c r="J8341" t="str" cm="1">
        <f t="array" ref="J8341">_xlfn.IFS(I8341&lt;=3,"small",I8341&lt;=6,"Medium",I8341&lt;=9,"Large")</f>
        <v>Large</v>
      </c>
      <c r="K8341" s="36">
        <v>45184</v>
      </c>
      <c r="L8341" s="36">
        <v>45189</v>
      </c>
      <c r="M8341" t="s">
        <v>603</v>
      </c>
      <c r="N8341" t="s">
        <v>604</v>
      </c>
      <c r="O8341" s="37" t="str">
        <f t="shared" si="653"/>
        <v>Digital Payment</v>
      </c>
      <c r="P8341">
        <v>627.19000000000005</v>
      </c>
      <c r="Q8341" s="37" t="str">
        <f>IF(P8341&gt;500,"High","low")</f>
        <v>High</v>
      </c>
      <c r="R8341" s="37" t="str">
        <f t="shared" si="654"/>
        <v>Good</v>
      </c>
      <c r="S8341" t="s">
        <v>615</v>
      </c>
    </row>
    <row r="8342" spans="1:19" x14ac:dyDescent="0.2">
      <c r="A8342" t="s">
        <v>8953</v>
      </c>
      <c r="B8342" t="s">
        <v>90</v>
      </c>
      <c r="C8342" t="s">
        <v>602</v>
      </c>
      <c r="D8342">
        <v>4714.9399999999996</v>
      </c>
      <c r="E8342" s="37" t="str">
        <f t="shared" si="650"/>
        <v>Excellent Order</v>
      </c>
      <c r="F8342">
        <v>0.41</v>
      </c>
      <c r="G8342" s="37" t="str">
        <f t="shared" si="651"/>
        <v>Heavy Discount</v>
      </c>
      <c r="H8342" s="37" t="str">
        <f t="shared" si="652"/>
        <v>High</v>
      </c>
      <c r="I8342">
        <v>7</v>
      </c>
      <c r="J8342" t="str" cm="1">
        <f t="array" ref="J8342">_xlfn.IFS(I8342&lt;=3,"small",I8342&lt;=6,"Medium",I8342&lt;=9,"Large")</f>
        <v>Large</v>
      </c>
      <c r="K8342" s="36">
        <v>45008</v>
      </c>
      <c r="L8342" s="36">
        <v>45011</v>
      </c>
      <c r="M8342" t="s">
        <v>598</v>
      </c>
      <c r="N8342" t="s">
        <v>608</v>
      </c>
      <c r="O8342" s="37" t="str">
        <f t="shared" si="653"/>
        <v>Cash Payment</v>
      </c>
      <c r="P8342">
        <v>898.29</v>
      </c>
      <c r="Q8342" s="37" t="str">
        <f>IF(P8342&gt;500,"High","low")</f>
        <v>High</v>
      </c>
      <c r="R8342" s="37" t="str">
        <f t="shared" si="654"/>
        <v>Good</v>
      </c>
      <c r="S8342" t="s">
        <v>620</v>
      </c>
    </row>
    <row r="8343" spans="1:19" x14ac:dyDescent="0.2">
      <c r="A8343" t="s">
        <v>8954</v>
      </c>
      <c r="B8343" t="s">
        <v>90</v>
      </c>
      <c r="C8343" t="s">
        <v>597</v>
      </c>
      <c r="D8343">
        <v>234.27</v>
      </c>
      <c r="E8343" s="37" t="str">
        <f t="shared" si="650"/>
        <v xml:space="preserve"> </v>
      </c>
      <c r="F8343">
        <v>0.21</v>
      </c>
      <c r="G8343" s="37" t="str">
        <f t="shared" si="651"/>
        <v>Normal Discount</v>
      </c>
      <c r="H8343" s="37" t="str">
        <f t="shared" si="652"/>
        <v>Medium</v>
      </c>
      <c r="I8343">
        <v>1</v>
      </c>
      <c r="J8343" t="str" cm="1">
        <f t="array" ref="J8343">_xlfn.IFS(I8343&lt;=3,"small",I8343&lt;=6,"Medium",I8343&lt;=9,"Large")</f>
        <v>small</v>
      </c>
      <c r="K8343" s="36">
        <v>45119</v>
      </c>
      <c r="L8343" s="36">
        <v>45124</v>
      </c>
      <c r="M8343" t="s">
        <v>612</v>
      </c>
      <c r="N8343" t="s">
        <v>599</v>
      </c>
      <c r="O8343" s="37" t="str">
        <f t="shared" si="653"/>
        <v>Digital Payment</v>
      </c>
      <c r="P8343">
        <v>29.06</v>
      </c>
      <c r="Q8343" s="37" t="str">
        <f>IF(P8343&gt;500,"High","low")</f>
        <v>low</v>
      </c>
      <c r="R8343" s="37" t="str">
        <f t="shared" si="654"/>
        <v>AVERAGE</v>
      </c>
      <c r="S8343" t="s">
        <v>609</v>
      </c>
    </row>
    <row r="8344" spans="1:19" x14ac:dyDescent="0.2">
      <c r="A8344" t="s">
        <v>8955</v>
      </c>
      <c r="B8344" t="s">
        <v>90</v>
      </c>
      <c r="C8344" t="s">
        <v>617</v>
      </c>
      <c r="D8344">
        <v>907.24</v>
      </c>
      <c r="E8344" s="37" t="str">
        <f t="shared" si="650"/>
        <v xml:space="preserve"> </v>
      </c>
      <c r="F8344">
        <v>0.37</v>
      </c>
      <c r="G8344" s="37" t="str">
        <f t="shared" si="651"/>
        <v>Heavy Discount</v>
      </c>
      <c r="H8344" s="37" t="str">
        <f t="shared" si="652"/>
        <v>Medium</v>
      </c>
      <c r="I8344">
        <v>2</v>
      </c>
      <c r="J8344" t="str" cm="1">
        <f t="array" ref="J8344">_xlfn.IFS(I8344&lt;=3,"small",I8344&lt;=6,"Medium",I8344&lt;=9,"Large")</f>
        <v>small</v>
      </c>
      <c r="K8344" s="36">
        <v>45245</v>
      </c>
      <c r="L8344" s="36">
        <v>45246</v>
      </c>
      <c r="M8344" t="s">
        <v>598</v>
      </c>
      <c r="N8344" t="s">
        <v>599</v>
      </c>
      <c r="O8344" s="37" t="str">
        <f t="shared" si="653"/>
        <v>Digital Payment</v>
      </c>
      <c r="P8344">
        <v>260.86</v>
      </c>
      <c r="Q8344" s="37" t="str">
        <f>IF(P8344&gt;500,"High","low")</f>
        <v>low</v>
      </c>
      <c r="R8344" s="37" t="str">
        <f t="shared" si="654"/>
        <v>AVERAGE</v>
      </c>
      <c r="S8344" t="s">
        <v>605</v>
      </c>
    </row>
    <row r="8345" spans="1:19" x14ac:dyDescent="0.2">
      <c r="A8345" t="s">
        <v>8956</v>
      </c>
      <c r="B8345" t="s">
        <v>83</v>
      </c>
      <c r="C8345" t="s">
        <v>597</v>
      </c>
      <c r="D8345">
        <v>3910.74</v>
      </c>
      <c r="E8345" s="37" t="str">
        <f t="shared" si="650"/>
        <v xml:space="preserve"> </v>
      </c>
      <c r="F8345">
        <v>0.46</v>
      </c>
      <c r="G8345" s="37" t="str">
        <f t="shared" si="651"/>
        <v>Heavy Discount</v>
      </c>
      <c r="H8345" s="37" t="str">
        <f t="shared" si="652"/>
        <v>High</v>
      </c>
      <c r="I8345">
        <v>8</v>
      </c>
      <c r="J8345" t="str" cm="1">
        <f t="array" ref="J8345">_xlfn.IFS(I8345&lt;=3,"small",I8345&lt;=6,"Medium",I8345&lt;=9,"Large")</f>
        <v>Large</v>
      </c>
      <c r="K8345" s="36">
        <v>45498</v>
      </c>
      <c r="L8345" s="36">
        <v>45500</v>
      </c>
      <c r="M8345" t="s">
        <v>603</v>
      </c>
      <c r="N8345" t="s">
        <v>604</v>
      </c>
      <c r="O8345" s="37" t="str">
        <f t="shared" si="653"/>
        <v>Digital Payment</v>
      </c>
      <c r="P8345">
        <v>785.66</v>
      </c>
      <c r="Q8345" s="37" t="str">
        <f>IF(P8345&gt;500,"High","low")</f>
        <v>High</v>
      </c>
      <c r="R8345" s="37" t="str">
        <f t="shared" si="654"/>
        <v>Good</v>
      </c>
      <c r="S8345" t="s">
        <v>605</v>
      </c>
    </row>
    <row r="8346" spans="1:19" x14ac:dyDescent="0.2">
      <c r="A8346" t="s">
        <v>8957</v>
      </c>
      <c r="B8346" t="s">
        <v>67</v>
      </c>
      <c r="C8346" t="s">
        <v>602</v>
      </c>
      <c r="D8346">
        <v>747.08</v>
      </c>
      <c r="E8346" s="37" t="str">
        <f t="shared" si="650"/>
        <v xml:space="preserve"> </v>
      </c>
      <c r="F8346">
        <v>0.44</v>
      </c>
      <c r="G8346" s="37" t="str">
        <f t="shared" si="651"/>
        <v>Heavy Discount</v>
      </c>
      <c r="H8346" s="37" t="str">
        <f t="shared" si="652"/>
        <v>High</v>
      </c>
      <c r="I8346">
        <v>1</v>
      </c>
      <c r="J8346" t="str" cm="1">
        <f t="array" ref="J8346">_xlfn.IFS(I8346&lt;=3,"small",I8346&lt;=6,"Medium",I8346&lt;=9,"Large")</f>
        <v>small</v>
      </c>
      <c r="K8346" s="36">
        <v>45291</v>
      </c>
      <c r="L8346" s="36">
        <v>45293</v>
      </c>
      <c r="M8346" t="s">
        <v>612</v>
      </c>
      <c r="N8346" t="s">
        <v>608</v>
      </c>
      <c r="O8346" s="37" t="str">
        <f t="shared" si="653"/>
        <v>Cash Payment</v>
      </c>
      <c r="P8346">
        <v>203.27</v>
      </c>
      <c r="Q8346" s="37" t="str">
        <f>IF(P8346&gt;500,"High","low")</f>
        <v>low</v>
      </c>
      <c r="R8346" s="37" t="str">
        <f t="shared" si="654"/>
        <v>AVERAGE</v>
      </c>
      <c r="S8346" t="s">
        <v>628</v>
      </c>
    </row>
    <row r="8347" spans="1:19" x14ac:dyDescent="0.2">
      <c r="A8347" t="s">
        <v>8958</v>
      </c>
      <c r="B8347" t="s">
        <v>90</v>
      </c>
      <c r="C8347" t="s">
        <v>614</v>
      </c>
      <c r="D8347">
        <v>1429.28</v>
      </c>
      <c r="E8347" s="37" t="str">
        <f t="shared" si="650"/>
        <v xml:space="preserve"> </v>
      </c>
      <c r="F8347">
        <v>0.25</v>
      </c>
      <c r="G8347" s="37" t="str">
        <f t="shared" si="651"/>
        <v>Normal Discount</v>
      </c>
      <c r="H8347" s="37" t="str">
        <f t="shared" si="652"/>
        <v>Medium</v>
      </c>
      <c r="I8347">
        <v>2</v>
      </c>
      <c r="J8347" t="str" cm="1">
        <f t="array" ref="J8347">_xlfn.IFS(I8347&lt;=3,"small",I8347&lt;=6,"Medium",I8347&lt;=9,"Large")</f>
        <v>small</v>
      </c>
      <c r="K8347" s="36">
        <v>45324</v>
      </c>
      <c r="L8347" s="36">
        <v>45329</v>
      </c>
      <c r="M8347" t="s">
        <v>598</v>
      </c>
      <c r="N8347" t="s">
        <v>604</v>
      </c>
      <c r="O8347" s="37" t="str">
        <f t="shared" si="653"/>
        <v>Digital Payment</v>
      </c>
      <c r="P8347">
        <v>208.22</v>
      </c>
      <c r="Q8347" s="37" t="str">
        <f>IF(P8347&gt;500,"High","low")</f>
        <v>low</v>
      </c>
      <c r="R8347" s="37" t="str">
        <f t="shared" si="654"/>
        <v>AVERAGE</v>
      </c>
      <c r="S8347" t="s">
        <v>609</v>
      </c>
    </row>
    <row r="8348" spans="1:19" x14ac:dyDescent="0.2">
      <c r="A8348" t="s">
        <v>8959</v>
      </c>
      <c r="B8348" t="s">
        <v>75</v>
      </c>
      <c r="C8348" t="s">
        <v>607</v>
      </c>
      <c r="D8348">
        <v>2328.71</v>
      </c>
      <c r="E8348" s="37" t="str">
        <f t="shared" si="650"/>
        <v xml:space="preserve"> </v>
      </c>
      <c r="F8348">
        <v>0.3</v>
      </c>
      <c r="G8348" s="37" t="str">
        <f t="shared" si="651"/>
        <v>Normal Discount</v>
      </c>
      <c r="H8348" s="37" t="str">
        <f t="shared" si="652"/>
        <v>Medium</v>
      </c>
      <c r="I8348">
        <v>5</v>
      </c>
      <c r="J8348" t="str" cm="1">
        <f t="array" ref="J8348">_xlfn.IFS(I8348&lt;=3,"small",I8348&lt;=6,"Medium",I8348&lt;=9,"Large")</f>
        <v>Medium</v>
      </c>
      <c r="K8348" s="36">
        <v>44970</v>
      </c>
      <c r="L8348" s="36">
        <v>44975</v>
      </c>
      <c r="M8348" t="s">
        <v>603</v>
      </c>
      <c r="N8348" t="s">
        <v>599</v>
      </c>
      <c r="O8348" s="37" t="str">
        <f t="shared" si="653"/>
        <v>Digital Payment</v>
      </c>
      <c r="P8348">
        <v>497.32</v>
      </c>
      <c r="Q8348" s="37" t="str">
        <f>IF(P8348&gt;500,"High","low")</f>
        <v>low</v>
      </c>
      <c r="R8348" s="37" t="str">
        <f t="shared" si="654"/>
        <v>AVERAGE</v>
      </c>
      <c r="S8348" t="s">
        <v>605</v>
      </c>
    </row>
    <row r="8349" spans="1:19" x14ac:dyDescent="0.2">
      <c r="A8349" t="s">
        <v>8960</v>
      </c>
      <c r="B8349" t="s">
        <v>83</v>
      </c>
      <c r="C8349" t="s">
        <v>607</v>
      </c>
      <c r="D8349">
        <v>4721.5</v>
      </c>
      <c r="E8349" s="37" t="str">
        <f t="shared" si="650"/>
        <v xml:space="preserve"> </v>
      </c>
      <c r="F8349">
        <v>0.34</v>
      </c>
      <c r="G8349" s="37" t="str">
        <f t="shared" si="651"/>
        <v>Heavy Discount</v>
      </c>
      <c r="H8349" s="37" t="str">
        <f t="shared" si="652"/>
        <v>Medium</v>
      </c>
      <c r="I8349">
        <v>6</v>
      </c>
      <c r="J8349" t="str" cm="1">
        <f t="array" ref="J8349">_xlfn.IFS(I8349&lt;=3,"small",I8349&lt;=6,"Medium",I8349&lt;=9,"Large")</f>
        <v>Medium</v>
      </c>
      <c r="K8349" s="36">
        <v>45370</v>
      </c>
      <c r="L8349" s="36">
        <v>45377</v>
      </c>
      <c r="M8349" t="s">
        <v>612</v>
      </c>
      <c r="N8349" t="s">
        <v>608</v>
      </c>
      <c r="O8349" s="37" t="str">
        <f t="shared" si="653"/>
        <v>Cash Payment</v>
      </c>
      <c r="P8349">
        <v>652.14</v>
      </c>
      <c r="Q8349" s="37" t="str">
        <f>IF(P8349&gt;500,"High","low")</f>
        <v>High</v>
      </c>
      <c r="R8349" s="37" t="str">
        <f t="shared" si="654"/>
        <v>Good</v>
      </c>
      <c r="S8349" t="s">
        <v>600</v>
      </c>
    </row>
    <row r="8350" spans="1:19" x14ac:dyDescent="0.2">
      <c r="A8350" t="s">
        <v>8961</v>
      </c>
      <c r="B8350" t="s">
        <v>83</v>
      </c>
      <c r="C8350" t="s">
        <v>614</v>
      </c>
      <c r="D8350">
        <v>999.16</v>
      </c>
      <c r="E8350" s="37" t="str">
        <f t="shared" si="650"/>
        <v xml:space="preserve"> </v>
      </c>
      <c r="F8350">
        <v>0.41</v>
      </c>
      <c r="G8350" s="37" t="str">
        <f t="shared" si="651"/>
        <v>Heavy Discount</v>
      </c>
      <c r="H8350" s="37" t="str">
        <f t="shared" si="652"/>
        <v>High</v>
      </c>
      <c r="I8350">
        <v>1</v>
      </c>
      <c r="J8350" t="str" cm="1">
        <f t="array" ref="J8350">_xlfn.IFS(I8350&lt;=3,"small",I8350&lt;=6,"Medium",I8350&lt;=9,"Large")</f>
        <v>small</v>
      </c>
      <c r="K8350" s="36">
        <v>45331</v>
      </c>
      <c r="L8350" s="36">
        <v>45338</v>
      </c>
      <c r="M8350" t="s">
        <v>598</v>
      </c>
      <c r="N8350" t="s">
        <v>608</v>
      </c>
      <c r="O8350" s="37" t="str">
        <f t="shared" si="653"/>
        <v>Cash Payment</v>
      </c>
      <c r="P8350">
        <v>297.68</v>
      </c>
      <c r="Q8350" s="37" t="str">
        <f>IF(P8350&gt;500,"High","low")</f>
        <v>low</v>
      </c>
      <c r="R8350" s="37" t="str">
        <f t="shared" si="654"/>
        <v>AVERAGE</v>
      </c>
      <c r="S8350" t="s">
        <v>605</v>
      </c>
    </row>
    <row r="8351" spans="1:19" x14ac:dyDescent="0.2">
      <c r="A8351" t="s">
        <v>8962</v>
      </c>
      <c r="B8351" t="s">
        <v>67</v>
      </c>
      <c r="C8351" t="s">
        <v>607</v>
      </c>
      <c r="D8351">
        <v>4623.1099999999997</v>
      </c>
      <c r="E8351" s="37" t="str">
        <f t="shared" si="650"/>
        <v>Excellent Order</v>
      </c>
      <c r="F8351">
        <v>0.25</v>
      </c>
      <c r="G8351" s="37" t="str">
        <f t="shared" si="651"/>
        <v>Normal Discount</v>
      </c>
      <c r="H8351" s="37" t="str">
        <f t="shared" si="652"/>
        <v>Medium</v>
      </c>
      <c r="I8351">
        <v>1</v>
      </c>
      <c r="J8351" t="str" cm="1">
        <f t="array" ref="J8351">_xlfn.IFS(I8351&lt;=3,"small",I8351&lt;=6,"Medium",I8351&lt;=9,"Large")</f>
        <v>small</v>
      </c>
      <c r="K8351" s="36">
        <v>45394</v>
      </c>
      <c r="L8351" s="36">
        <v>45399</v>
      </c>
      <c r="M8351" t="s">
        <v>598</v>
      </c>
      <c r="N8351" t="s">
        <v>604</v>
      </c>
      <c r="O8351" s="37" t="str">
        <f t="shared" si="653"/>
        <v>Digital Payment</v>
      </c>
      <c r="P8351">
        <v>869.19</v>
      </c>
      <c r="Q8351" s="37" t="str">
        <f>IF(P8351&gt;500,"High","low")</f>
        <v>High</v>
      </c>
      <c r="R8351" s="37" t="str">
        <f t="shared" si="654"/>
        <v>Good</v>
      </c>
      <c r="S8351" t="s">
        <v>600</v>
      </c>
    </row>
    <row r="8352" spans="1:19" x14ac:dyDescent="0.2">
      <c r="A8352" t="s">
        <v>8963</v>
      </c>
      <c r="B8352" t="s">
        <v>90</v>
      </c>
      <c r="C8352" t="s">
        <v>617</v>
      </c>
      <c r="D8352">
        <v>3620.77</v>
      </c>
      <c r="E8352" s="37" t="str">
        <f t="shared" si="650"/>
        <v xml:space="preserve"> </v>
      </c>
      <c r="F8352">
        <v>0.06</v>
      </c>
      <c r="G8352" s="37" t="str">
        <f t="shared" si="651"/>
        <v>Normal Discount</v>
      </c>
      <c r="H8352" s="37" t="str">
        <f t="shared" si="652"/>
        <v>Low</v>
      </c>
      <c r="I8352">
        <v>2</v>
      </c>
      <c r="J8352" t="str" cm="1">
        <f t="array" ref="J8352">_xlfn.IFS(I8352&lt;=3,"small",I8352&lt;=6,"Medium",I8352&lt;=9,"Large")</f>
        <v>small</v>
      </c>
      <c r="K8352" s="36">
        <v>45216</v>
      </c>
      <c r="L8352" s="36">
        <v>45223</v>
      </c>
      <c r="M8352" t="s">
        <v>612</v>
      </c>
      <c r="N8352" t="s">
        <v>599</v>
      </c>
      <c r="O8352" s="37" t="str">
        <f t="shared" si="653"/>
        <v>Digital Payment</v>
      </c>
      <c r="P8352">
        <v>819.6</v>
      </c>
      <c r="Q8352" s="37" t="str">
        <f>IF(P8352&gt;500,"High","low")</f>
        <v>High</v>
      </c>
      <c r="R8352" s="37" t="str">
        <f t="shared" si="654"/>
        <v>Good</v>
      </c>
      <c r="S8352" t="s">
        <v>600</v>
      </c>
    </row>
    <row r="8353" spans="1:19" x14ac:dyDescent="0.2">
      <c r="A8353" t="s">
        <v>8964</v>
      </c>
      <c r="B8353" t="s">
        <v>67</v>
      </c>
      <c r="C8353" t="s">
        <v>617</v>
      </c>
      <c r="D8353">
        <v>3388.61</v>
      </c>
      <c r="E8353" s="37" t="str">
        <f t="shared" si="650"/>
        <v xml:space="preserve"> </v>
      </c>
      <c r="F8353">
        <v>0.19</v>
      </c>
      <c r="G8353" s="37" t="str">
        <f t="shared" si="651"/>
        <v>Normal Discount</v>
      </c>
      <c r="H8353" s="37" t="str">
        <f t="shared" si="652"/>
        <v>Low</v>
      </c>
      <c r="I8353">
        <v>3</v>
      </c>
      <c r="J8353" t="str" cm="1">
        <f t="array" ref="J8353">_xlfn.IFS(I8353&lt;=3,"small",I8353&lt;=6,"Medium",I8353&lt;=9,"Large")</f>
        <v>small</v>
      </c>
      <c r="K8353" s="36">
        <v>45408</v>
      </c>
      <c r="L8353" s="36">
        <v>45415</v>
      </c>
      <c r="M8353" t="s">
        <v>603</v>
      </c>
      <c r="N8353" t="s">
        <v>608</v>
      </c>
      <c r="O8353" s="37" t="str">
        <f t="shared" si="653"/>
        <v>Cash Payment</v>
      </c>
      <c r="P8353">
        <v>429.12</v>
      </c>
      <c r="Q8353" s="37" t="str">
        <f>IF(P8353&gt;500,"High","low")</f>
        <v>low</v>
      </c>
      <c r="R8353" s="37" t="str">
        <f t="shared" si="654"/>
        <v>AVERAGE</v>
      </c>
      <c r="S8353" t="s">
        <v>609</v>
      </c>
    </row>
    <row r="8354" spans="1:19" x14ac:dyDescent="0.2">
      <c r="A8354" t="s">
        <v>8965</v>
      </c>
      <c r="B8354" t="s">
        <v>83</v>
      </c>
      <c r="C8354" t="s">
        <v>617</v>
      </c>
      <c r="D8354">
        <v>3645.36</v>
      </c>
      <c r="E8354" s="37" t="str">
        <f t="shared" si="650"/>
        <v xml:space="preserve"> </v>
      </c>
      <c r="F8354">
        <v>0.36</v>
      </c>
      <c r="G8354" s="37" t="str">
        <f t="shared" si="651"/>
        <v>Heavy Discount</v>
      </c>
      <c r="H8354" s="37" t="str">
        <f t="shared" si="652"/>
        <v>Medium</v>
      </c>
      <c r="I8354">
        <v>9</v>
      </c>
      <c r="J8354" t="str" cm="1">
        <f t="array" ref="J8354">_xlfn.IFS(I8354&lt;=3,"small",I8354&lt;=6,"Medium",I8354&lt;=9,"Large")</f>
        <v>Large</v>
      </c>
      <c r="K8354" s="36">
        <v>45292</v>
      </c>
      <c r="L8354" s="36">
        <v>45293</v>
      </c>
      <c r="M8354" t="s">
        <v>603</v>
      </c>
      <c r="N8354" t="s">
        <v>608</v>
      </c>
      <c r="O8354" s="37" t="str">
        <f t="shared" si="653"/>
        <v>Cash Payment</v>
      </c>
      <c r="P8354">
        <v>884.07</v>
      </c>
      <c r="Q8354" s="37" t="str">
        <f>IF(P8354&gt;500,"High","low")</f>
        <v>High</v>
      </c>
      <c r="R8354" s="37" t="str">
        <f t="shared" si="654"/>
        <v>Good</v>
      </c>
      <c r="S8354" t="s">
        <v>615</v>
      </c>
    </row>
    <row r="8355" spans="1:19" x14ac:dyDescent="0.2">
      <c r="A8355" t="s">
        <v>8966</v>
      </c>
      <c r="B8355" t="s">
        <v>90</v>
      </c>
      <c r="C8355" t="s">
        <v>597</v>
      </c>
      <c r="D8355">
        <v>253.11</v>
      </c>
      <c r="E8355" s="37" t="str">
        <f t="shared" si="650"/>
        <v xml:space="preserve"> </v>
      </c>
      <c r="F8355">
        <v>0.31</v>
      </c>
      <c r="G8355" s="37" t="str">
        <f t="shared" si="651"/>
        <v>Heavy Discount</v>
      </c>
      <c r="H8355" s="37" t="str">
        <f t="shared" si="652"/>
        <v>Medium</v>
      </c>
      <c r="I8355">
        <v>3</v>
      </c>
      <c r="J8355" t="str" cm="1">
        <f t="array" ref="J8355">_xlfn.IFS(I8355&lt;=3,"small",I8355&lt;=6,"Medium",I8355&lt;=9,"Large")</f>
        <v>small</v>
      </c>
      <c r="K8355" s="36">
        <v>45364</v>
      </c>
      <c r="L8355" s="36">
        <v>45367</v>
      </c>
      <c r="M8355" t="s">
        <v>603</v>
      </c>
      <c r="N8355" t="s">
        <v>599</v>
      </c>
      <c r="O8355" s="37" t="str">
        <f t="shared" si="653"/>
        <v>Digital Payment</v>
      </c>
      <c r="P8355">
        <v>39.97</v>
      </c>
      <c r="Q8355" s="37" t="str">
        <f>IF(P8355&gt;500,"High","low")</f>
        <v>low</v>
      </c>
      <c r="R8355" s="37" t="str">
        <f t="shared" si="654"/>
        <v>AVERAGE</v>
      </c>
      <c r="S8355" t="s">
        <v>620</v>
      </c>
    </row>
    <row r="8356" spans="1:19" x14ac:dyDescent="0.2">
      <c r="A8356" t="s">
        <v>8967</v>
      </c>
      <c r="B8356" t="s">
        <v>75</v>
      </c>
      <c r="C8356" t="s">
        <v>614</v>
      </c>
      <c r="D8356">
        <v>584.61</v>
      </c>
      <c r="E8356" s="37" t="str">
        <f t="shared" si="650"/>
        <v xml:space="preserve"> </v>
      </c>
      <c r="F8356">
        <v>0.38</v>
      </c>
      <c r="G8356" s="37" t="str">
        <f t="shared" si="651"/>
        <v>Heavy Discount</v>
      </c>
      <c r="H8356" s="37" t="str">
        <f t="shared" si="652"/>
        <v>Medium</v>
      </c>
      <c r="I8356">
        <v>8</v>
      </c>
      <c r="J8356" t="str" cm="1">
        <f t="array" ref="J8356">_xlfn.IFS(I8356&lt;=3,"small",I8356&lt;=6,"Medium",I8356&lt;=9,"Large")</f>
        <v>Large</v>
      </c>
      <c r="K8356" s="36">
        <v>45093</v>
      </c>
      <c r="L8356" s="36">
        <v>45095</v>
      </c>
      <c r="M8356" t="s">
        <v>612</v>
      </c>
      <c r="N8356" t="s">
        <v>608</v>
      </c>
      <c r="O8356" s="37" t="str">
        <f t="shared" si="653"/>
        <v>Cash Payment</v>
      </c>
      <c r="P8356">
        <v>161.01</v>
      </c>
      <c r="Q8356" s="37" t="str">
        <f>IF(P8356&gt;500,"High","low")</f>
        <v>low</v>
      </c>
      <c r="R8356" s="37" t="str">
        <f t="shared" si="654"/>
        <v>AVERAGE</v>
      </c>
      <c r="S8356" t="s">
        <v>628</v>
      </c>
    </row>
    <row r="8357" spans="1:19" x14ac:dyDescent="0.2">
      <c r="A8357" t="s">
        <v>8968</v>
      </c>
      <c r="B8357" t="s">
        <v>90</v>
      </c>
      <c r="C8357" t="s">
        <v>617</v>
      </c>
      <c r="D8357">
        <v>1740.72</v>
      </c>
      <c r="E8357" s="37" t="str">
        <f t="shared" si="650"/>
        <v xml:space="preserve"> </v>
      </c>
      <c r="F8357">
        <v>0.25</v>
      </c>
      <c r="G8357" s="37" t="str">
        <f t="shared" si="651"/>
        <v>Normal Discount</v>
      </c>
      <c r="H8357" s="37" t="str">
        <f t="shared" si="652"/>
        <v>Medium</v>
      </c>
      <c r="I8357">
        <v>6</v>
      </c>
      <c r="J8357" t="str" cm="1">
        <f t="array" ref="J8357">_xlfn.IFS(I8357&lt;=3,"small",I8357&lt;=6,"Medium",I8357&lt;=9,"Large")</f>
        <v>Medium</v>
      </c>
      <c r="K8357" s="36">
        <v>45186</v>
      </c>
      <c r="L8357" s="36">
        <v>45193</v>
      </c>
      <c r="M8357" t="s">
        <v>603</v>
      </c>
      <c r="N8357" t="s">
        <v>608</v>
      </c>
      <c r="O8357" s="37" t="str">
        <f t="shared" si="653"/>
        <v>Cash Payment</v>
      </c>
      <c r="P8357">
        <v>324.75</v>
      </c>
      <c r="Q8357" s="37" t="str">
        <f>IF(P8357&gt;500,"High","low")</f>
        <v>low</v>
      </c>
      <c r="R8357" s="37" t="str">
        <f t="shared" si="654"/>
        <v>AVERAGE</v>
      </c>
      <c r="S8357" t="s">
        <v>615</v>
      </c>
    </row>
    <row r="8358" spans="1:19" x14ac:dyDescent="0.2">
      <c r="A8358" t="s">
        <v>8969</v>
      </c>
      <c r="B8358" t="s">
        <v>83</v>
      </c>
      <c r="C8358" t="s">
        <v>602</v>
      </c>
      <c r="D8358">
        <v>462.44</v>
      </c>
      <c r="E8358" s="37" t="str">
        <f t="shared" si="650"/>
        <v xml:space="preserve"> </v>
      </c>
      <c r="F8358">
        <v>0.09</v>
      </c>
      <c r="G8358" s="37" t="str">
        <f t="shared" si="651"/>
        <v>Normal Discount</v>
      </c>
      <c r="H8358" s="37" t="str">
        <f t="shared" si="652"/>
        <v>Low</v>
      </c>
      <c r="I8358">
        <v>5</v>
      </c>
      <c r="J8358" t="str" cm="1">
        <f t="array" ref="J8358">_xlfn.IFS(I8358&lt;=3,"small",I8358&lt;=6,"Medium",I8358&lt;=9,"Large")</f>
        <v>Medium</v>
      </c>
      <c r="K8358" s="36">
        <v>45082</v>
      </c>
      <c r="L8358" s="36">
        <v>45089</v>
      </c>
      <c r="M8358" t="s">
        <v>603</v>
      </c>
      <c r="N8358" t="s">
        <v>604</v>
      </c>
      <c r="O8358" s="37" t="str">
        <f t="shared" si="653"/>
        <v>Digital Payment</v>
      </c>
      <c r="P8358">
        <v>67.319999999999993</v>
      </c>
      <c r="Q8358" s="37" t="str">
        <f>IF(P8358&gt;500,"High","low")</f>
        <v>low</v>
      </c>
      <c r="R8358" s="37" t="str">
        <f t="shared" si="654"/>
        <v>AVERAGE</v>
      </c>
      <c r="S8358" t="s">
        <v>628</v>
      </c>
    </row>
    <row r="8359" spans="1:19" x14ac:dyDescent="0.2">
      <c r="A8359" t="s">
        <v>8970</v>
      </c>
      <c r="B8359" t="s">
        <v>75</v>
      </c>
      <c r="C8359" t="s">
        <v>617</v>
      </c>
      <c r="D8359">
        <v>4939.1899999999996</v>
      </c>
      <c r="E8359" s="37" t="str">
        <f t="shared" si="650"/>
        <v>Excellent Order</v>
      </c>
      <c r="F8359">
        <v>0.06</v>
      </c>
      <c r="G8359" s="37" t="str">
        <f t="shared" si="651"/>
        <v>Normal Discount</v>
      </c>
      <c r="H8359" s="37" t="str">
        <f t="shared" si="652"/>
        <v>Low</v>
      </c>
      <c r="I8359">
        <v>9</v>
      </c>
      <c r="J8359" t="str" cm="1">
        <f t="array" ref="J8359">_xlfn.IFS(I8359&lt;=3,"small",I8359&lt;=6,"Medium",I8359&lt;=9,"Large")</f>
        <v>Large</v>
      </c>
      <c r="K8359" s="36">
        <v>45631</v>
      </c>
      <c r="L8359" s="36">
        <v>45635</v>
      </c>
      <c r="M8359" t="s">
        <v>603</v>
      </c>
      <c r="N8359" t="s">
        <v>608</v>
      </c>
      <c r="O8359" s="37" t="str">
        <f t="shared" si="653"/>
        <v>Cash Payment</v>
      </c>
      <c r="P8359">
        <v>1264.9100000000001</v>
      </c>
      <c r="Q8359" s="37" t="str">
        <f>IF(P8359&gt;500,"High","low")</f>
        <v>High</v>
      </c>
      <c r="R8359" s="37" t="str">
        <f t="shared" si="654"/>
        <v>Excellent</v>
      </c>
      <c r="S8359" t="s">
        <v>605</v>
      </c>
    </row>
    <row r="8360" spans="1:19" x14ac:dyDescent="0.2">
      <c r="A8360" t="s">
        <v>8971</v>
      </c>
      <c r="B8360" t="s">
        <v>90</v>
      </c>
      <c r="C8360" t="s">
        <v>597</v>
      </c>
      <c r="D8360">
        <v>2944.02</v>
      </c>
      <c r="E8360" s="37" t="str">
        <f t="shared" si="650"/>
        <v xml:space="preserve"> </v>
      </c>
      <c r="F8360">
        <v>0.24</v>
      </c>
      <c r="G8360" s="37" t="str">
        <f t="shared" si="651"/>
        <v>Normal Discount</v>
      </c>
      <c r="H8360" s="37" t="str">
        <f t="shared" si="652"/>
        <v>Medium</v>
      </c>
      <c r="I8360">
        <v>8</v>
      </c>
      <c r="J8360" t="str" cm="1">
        <f t="array" ref="J8360">_xlfn.IFS(I8360&lt;=3,"small",I8360&lt;=6,"Medium",I8360&lt;=9,"Large")</f>
        <v>Large</v>
      </c>
      <c r="K8360" s="36">
        <v>45099</v>
      </c>
      <c r="L8360" s="36">
        <v>45104</v>
      </c>
      <c r="M8360" t="s">
        <v>603</v>
      </c>
      <c r="N8360" t="s">
        <v>608</v>
      </c>
      <c r="O8360" s="37" t="str">
        <f t="shared" si="653"/>
        <v>Cash Payment</v>
      </c>
      <c r="P8360">
        <v>590.86</v>
      </c>
      <c r="Q8360" s="37" t="str">
        <f>IF(P8360&gt;500,"High","low")</f>
        <v>High</v>
      </c>
      <c r="R8360" s="37" t="str">
        <f t="shared" si="654"/>
        <v>Good</v>
      </c>
      <c r="S8360" t="s">
        <v>609</v>
      </c>
    </row>
    <row r="8361" spans="1:19" x14ac:dyDescent="0.2">
      <c r="A8361" t="s">
        <v>8972</v>
      </c>
      <c r="B8361" t="s">
        <v>75</v>
      </c>
      <c r="C8361" t="s">
        <v>602</v>
      </c>
      <c r="D8361">
        <v>2487.98</v>
      </c>
      <c r="E8361" s="37" t="str">
        <f t="shared" si="650"/>
        <v xml:space="preserve"> </v>
      </c>
      <c r="F8361">
        <v>0.1</v>
      </c>
      <c r="G8361" s="37" t="str">
        <f t="shared" si="651"/>
        <v>Normal Discount</v>
      </c>
      <c r="H8361" s="37" t="str">
        <f t="shared" si="652"/>
        <v>Low</v>
      </c>
      <c r="I8361">
        <v>3</v>
      </c>
      <c r="J8361" t="str" cm="1">
        <f t="array" ref="J8361">_xlfn.IFS(I8361&lt;=3,"small",I8361&lt;=6,"Medium",I8361&lt;=9,"Large")</f>
        <v>small</v>
      </c>
      <c r="K8361" s="36">
        <v>45243</v>
      </c>
      <c r="L8361" s="36">
        <v>45250</v>
      </c>
      <c r="M8361" t="s">
        <v>612</v>
      </c>
      <c r="N8361" t="s">
        <v>599</v>
      </c>
      <c r="O8361" s="37" t="str">
        <f t="shared" si="653"/>
        <v>Digital Payment</v>
      </c>
      <c r="P8361">
        <v>612.76</v>
      </c>
      <c r="Q8361" s="37" t="str">
        <f>IF(P8361&gt;500,"High","low")</f>
        <v>High</v>
      </c>
      <c r="R8361" s="37" t="str">
        <f t="shared" si="654"/>
        <v>Good</v>
      </c>
      <c r="S8361" t="s">
        <v>615</v>
      </c>
    </row>
    <row r="8362" spans="1:19" x14ac:dyDescent="0.2">
      <c r="A8362" t="s">
        <v>8973</v>
      </c>
      <c r="B8362" t="s">
        <v>75</v>
      </c>
      <c r="C8362" t="s">
        <v>614</v>
      </c>
      <c r="D8362">
        <v>3949.01</v>
      </c>
      <c r="E8362" s="37" t="str">
        <f t="shared" si="650"/>
        <v xml:space="preserve"> </v>
      </c>
      <c r="F8362">
        <v>0.49</v>
      </c>
      <c r="G8362" s="37" t="str">
        <f t="shared" si="651"/>
        <v>Heavy Discount</v>
      </c>
      <c r="H8362" s="37" t="str">
        <f t="shared" si="652"/>
        <v>High</v>
      </c>
      <c r="I8362">
        <v>7</v>
      </c>
      <c r="J8362" t="str" cm="1">
        <f t="array" ref="J8362">_xlfn.IFS(I8362&lt;=3,"small",I8362&lt;=6,"Medium",I8362&lt;=9,"Large")</f>
        <v>Large</v>
      </c>
      <c r="K8362" s="36">
        <v>45242</v>
      </c>
      <c r="L8362" s="36">
        <v>45246</v>
      </c>
      <c r="M8362" t="s">
        <v>612</v>
      </c>
      <c r="N8362" t="s">
        <v>599</v>
      </c>
      <c r="O8362" s="37" t="str">
        <f t="shared" si="653"/>
        <v>Digital Payment</v>
      </c>
      <c r="P8362">
        <v>889.83</v>
      </c>
      <c r="Q8362" s="37" t="str">
        <f>IF(P8362&gt;500,"High","low")</f>
        <v>High</v>
      </c>
      <c r="R8362" s="37" t="str">
        <f t="shared" si="654"/>
        <v>Good</v>
      </c>
      <c r="S8362" t="s">
        <v>620</v>
      </c>
    </row>
    <row r="8363" spans="1:19" x14ac:dyDescent="0.2">
      <c r="A8363" t="s">
        <v>8974</v>
      </c>
      <c r="B8363" t="s">
        <v>83</v>
      </c>
      <c r="C8363" t="s">
        <v>614</v>
      </c>
      <c r="D8363">
        <v>4887.1000000000004</v>
      </c>
      <c r="E8363" s="37" t="str">
        <f t="shared" si="650"/>
        <v>Excellent Order</v>
      </c>
      <c r="F8363">
        <v>0.1</v>
      </c>
      <c r="G8363" s="37" t="str">
        <f t="shared" si="651"/>
        <v>Normal Discount</v>
      </c>
      <c r="H8363" s="37" t="str">
        <f t="shared" si="652"/>
        <v>Low</v>
      </c>
      <c r="I8363">
        <v>4</v>
      </c>
      <c r="J8363" t="str" cm="1">
        <f t="array" ref="J8363">_xlfn.IFS(I8363&lt;=3,"small",I8363&lt;=6,"Medium",I8363&lt;=9,"Large")</f>
        <v>Medium</v>
      </c>
      <c r="K8363" s="36">
        <v>45326</v>
      </c>
      <c r="L8363" s="36">
        <v>45332</v>
      </c>
      <c r="M8363" t="s">
        <v>598</v>
      </c>
      <c r="N8363" t="s">
        <v>599</v>
      </c>
      <c r="O8363" s="37" t="str">
        <f t="shared" si="653"/>
        <v>Digital Payment</v>
      </c>
      <c r="P8363">
        <v>823.34</v>
      </c>
      <c r="Q8363" s="37" t="str">
        <f>IF(P8363&gt;500,"High","low")</f>
        <v>High</v>
      </c>
      <c r="R8363" s="37" t="str">
        <f t="shared" si="654"/>
        <v>Good</v>
      </c>
      <c r="S8363" t="s">
        <v>600</v>
      </c>
    </row>
    <row r="8364" spans="1:19" x14ac:dyDescent="0.2">
      <c r="A8364" t="s">
        <v>8975</v>
      </c>
      <c r="B8364" t="s">
        <v>75</v>
      </c>
      <c r="C8364" t="s">
        <v>617</v>
      </c>
      <c r="D8364">
        <v>4780.1400000000003</v>
      </c>
      <c r="E8364" s="37" t="str">
        <f t="shared" si="650"/>
        <v>Excellent Order</v>
      </c>
      <c r="F8364">
        <v>0.28000000000000003</v>
      </c>
      <c r="G8364" s="37" t="str">
        <f t="shared" si="651"/>
        <v>Normal Discount</v>
      </c>
      <c r="H8364" s="37" t="str">
        <f t="shared" si="652"/>
        <v>Medium</v>
      </c>
      <c r="I8364">
        <v>8</v>
      </c>
      <c r="J8364" t="str" cm="1">
        <f t="array" ref="J8364">_xlfn.IFS(I8364&lt;=3,"small",I8364&lt;=6,"Medium",I8364&lt;=9,"Large")</f>
        <v>Large</v>
      </c>
      <c r="K8364" s="36">
        <v>45489</v>
      </c>
      <c r="L8364" s="36">
        <v>45490</v>
      </c>
      <c r="M8364" t="s">
        <v>598</v>
      </c>
      <c r="N8364" t="s">
        <v>608</v>
      </c>
      <c r="O8364" s="37" t="str">
        <f t="shared" si="653"/>
        <v>Cash Payment</v>
      </c>
      <c r="P8364">
        <v>1024.3699999999999</v>
      </c>
      <c r="Q8364" s="37" t="str">
        <f>IF(P8364&gt;500,"High","low")</f>
        <v>High</v>
      </c>
      <c r="R8364" s="37" t="str">
        <f t="shared" si="654"/>
        <v>Excellent</v>
      </c>
      <c r="S8364" t="s">
        <v>620</v>
      </c>
    </row>
    <row r="8365" spans="1:19" x14ac:dyDescent="0.2">
      <c r="A8365" t="s">
        <v>8976</v>
      </c>
      <c r="B8365" t="s">
        <v>67</v>
      </c>
      <c r="C8365" t="s">
        <v>602</v>
      </c>
      <c r="D8365">
        <v>3986.02</v>
      </c>
      <c r="E8365" s="37" t="str">
        <f t="shared" si="650"/>
        <v xml:space="preserve"> </v>
      </c>
      <c r="F8365">
        <v>0</v>
      </c>
      <c r="G8365" s="37" t="str">
        <f t="shared" si="651"/>
        <v>Normal Discount</v>
      </c>
      <c r="H8365" s="37" t="str">
        <f t="shared" si="652"/>
        <v>Low</v>
      </c>
      <c r="I8365">
        <v>7</v>
      </c>
      <c r="J8365" t="str" cm="1">
        <f t="array" ref="J8365">_xlfn.IFS(I8365&lt;=3,"small",I8365&lt;=6,"Medium",I8365&lt;=9,"Large")</f>
        <v>Large</v>
      </c>
      <c r="K8365" s="36">
        <v>45038</v>
      </c>
      <c r="L8365" s="36">
        <v>45044</v>
      </c>
      <c r="M8365" t="s">
        <v>612</v>
      </c>
      <c r="N8365" t="s">
        <v>608</v>
      </c>
      <c r="O8365" s="37" t="str">
        <f t="shared" si="653"/>
        <v>Cash Payment</v>
      </c>
      <c r="P8365">
        <v>954.66</v>
      </c>
      <c r="Q8365" s="37" t="str">
        <f>IF(P8365&gt;500,"High","low")</f>
        <v>High</v>
      </c>
      <c r="R8365" s="37" t="str">
        <f t="shared" si="654"/>
        <v>Good</v>
      </c>
      <c r="S8365" t="s">
        <v>620</v>
      </c>
    </row>
    <row r="8366" spans="1:19" x14ac:dyDescent="0.2">
      <c r="A8366" t="s">
        <v>8977</v>
      </c>
      <c r="B8366" t="s">
        <v>83</v>
      </c>
      <c r="C8366" t="s">
        <v>602</v>
      </c>
      <c r="D8366">
        <v>1948.15</v>
      </c>
      <c r="E8366" s="37" t="str">
        <f t="shared" si="650"/>
        <v xml:space="preserve"> </v>
      </c>
      <c r="F8366">
        <v>0.13</v>
      </c>
      <c r="G8366" s="37" t="str">
        <f t="shared" si="651"/>
        <v>Normal Discount</v>
      </c>
      <c r="H8366" s="37" t="str">
        <f t="shared" si="652"/>
        <v>Low</v>
      </c>
      <c r="I8366">
        <v>3</v>
      </c>
      <c r="J8366" t="str" cm="1">
        <f t="array" ref="J8366">_xlfn.IFS(I8366&lt;=3,"small",I8366&lt;=6,"Medium",I8366&lt;=9,"Large")</f>
        <v>small</v>
      </c>
      <c r="K8366" s="36">
        <v>45483</v>
      </c>
      <c r="L8366" s="36">
        <v>45486</v>
      </c>
      <c r="M8366" t="s">
        <v>603</v>
      </c>
      <c r="N8366" t="s">
        <v>604</v>
      </c>
      <c r="O8366" s="37" t="str">
        <f t="shared" si="653"/>
        <v>Digital Payment</v>
      </c>
      <c r="P8366">
        <v>437.28</v>
      </c>
      <c r="Q8366" s="37" t="str">
        <f>IF(P8366&gt;500,"High","low")</f>
        <v>low</v>
      </c>
      <c r="R8366" s="37" t="str">
        <f t="shared" si="654"/>
        <v>AVERAGE</v>
      </c>
      <c r="S8366" t="s">
        <v>620</v>
      </c>
    </row>
    <row r="8367" spans="1:19" x14ac:dyDescent="0.2">
      <c r="A8367" t="s">
        <v>8978</v>
      </c>
      <c r="B8367" t="s">
        <v>67</v>
      </c>
      <c r="C8367" t="s">
        <v>617</v>
      </c>
      <c r="D8367">
        <v>423.2</v>
      </c>
      <c r="E8367" s="37" t="str">
        <f t="shared" si="650"/>
        <v xml:space="preserve"> </v>
      </c>
      <c r="F8367">
        <v>0.13</v>
      </c>
      <c r="G8367" s="37" t="str">
        <f t="shared" si="651"/>
        <v>Normal Discount</v>
      </c>
      <c r="H8367" s="37" t="str">
        <f t="shared" si="652"/>
        <v>Low</v>
      </c>
      <c r="I8367">
        <v>7</v>
      </c>
      <c r="J8367" t="str" cm="1">
        <f t="array" ref="J8367">_xlfn.IFS(I8367&lt;=3,"small",I8367&lt;=6,"Medium",I8367&lt;=9,"Large")</f>
        <v>Large</v>
      </c>
      <c r="K8367" s="36">
        <v>45573</v>
      </c>
      <c r="L8367" s="36">
        <v>45577</v>
      </c>
      <c r="M8367" t="s">
        <v>598</v>
      </c>
      <c r="N8367" t="s">
        <v>599</v>
      </c>
      <c r="O8367" s="37" t="str">
        <f t="shared" si="653"/>
        <v>Digital Payment</v>
      </c>
      <c r="P8367">
        <v>55.24</v>
      </c>
      <c r="Q8367" s="37" t="str">
        <f>IF(P8367&gt;500,"High","low")</f>
        <v>low</v>
      </c>
      <c r="R8367" s="37" t="str">
        <f t="shared" si="654"/>
        <v>AVERAGE</v>
      </c>
      <c r="S8367" t="s">
        <v>600</v>
      </c>
    </row>
    <row r="8368" spans="1:19" x14ac:dyDescent="0.2">
      <c r="A8368" t="s">
        <v>8979</v>
      </c>
      <c r="B8368" t="s">
        <v>75</v>
      </c>
      <c r="C8368" t="s">
        <v>617</v>
      </c>
      <c r="D8368">
        <v>582.04999999999995</v>
      </c>
      <c r="E8368" s="37" t="str">
        <f t="shared" si="650"/>
        <v xml:space="preserve"> </v>
      </c>
      <c r="F8368">
        <v>0.37</v>
      </c>
      <c r="G8368" s="37" t="str">
        <f t="shared" si="651"/>
        <v>Heavy Discount</v>
      </c>
      <c r="H8368" s="37" t="str">
        <f t="shared" si="652"/>
        <v>Medium</v>
      </c>
      <c r="I8368">
        <v>6</v>
      </c>
      <c r="J8368" t="str" cm="1">
        <f t="array" ref="J8368">_xlfn.IFS(I8368&lt;=3,"small",I8368&lt;=6,"Medium",I8368&lt;=9,"Large")</f>
        <v>Medium</v>
      </c>
      <c r="K8368" s="36">
        <v>45233</v>
      </c>
      <c r="L8368" s="36">
        <v>45238</v>
      </c>
      <c r="M8368" t="s">
        <v>598</v>
      </c>
      <c r="N8368" t="s">
        <v>604</v>
      </c>
      <c r="O8368" s="37" t="str">
        <f t="shared" si="653"/>
        <v>Digital Payment</v>
      </c>
      <c r="P8368">
        <v>86.57</v>
      </c>
      <c r="Q8368" s="37" t="str">
        <f>IF(P8368&gt;500,"High","low")</f>
        <v>low</v>
      </c>
      <c r="R8368" s="37" t="str">
        <f t="shared" si="654"/>
        <v>AVERAGE</v>
      </c>
      <c r="S8368" t="s">
        <v>620</v>
      </c>
    </row>
    <row r="8369" spans="1:19" x14ac:dyDescent="0.2">
      <c r="A8369" t="s">
        <v>8980</v>
      </c>
      <c r="B8369" t="s">
        <v>67</v>
      </c>
      <c r="C8369" t="s">
        <v>607</v>
      </c>
      <c r="D8369">
        <v>105.65</v>
      </c>
      <c r="E8369" s="37" t="str">
        <f t="shared" si="650"/>
        <v xml:space="preserve"> </v>
      </c>
      <c r="F8369">
        <v>0.25</v>
      </c>
      <c r="G8369" s="37" t="str">
        <f t="shared" si="651"/>
        <v>Normal Discount</v>
      </c>
      <c r="H8369" s="37" t="str">
        <f t="shared" si="652"/>
        <v>Medium</v>
      </c>
      <c r="I8369">
        <v>6</v>
      </c>
      <c r="J8369" t="str" cm="1">
        <f t="array" ref="J8369">_xlfn.IFS(I8369&lt;=3,"small",I8369&lt;=6,"Medium",I8369&lt;=9,"Large")</f>
        <v>Medium</v>
      </c>
      <c r="K8369" s="36">
        <v>45315</v>
      </c>
      <c r="L8369" s="36">
        <v>45320</v>
      </c>
      <c r="M8369" t="s">
        <v>603</v>
      </c>
      <c r="N8369" t="s">
        <v>599</v>
      </c>
      <c r="O8369" s="37" t="str">
        <f t="shared" si="653"/>
        <v>Digital Payment</v>
      </c>
      <c r="P8369">
        <v>30.42</v>
      </c>
      <c r="Q8369" s="37" t="str">
        <f>IF(P8369&gt;500,"High","low")</f>
        <v>low</v>
      </c>
      <c r="R8369" s="37" t="str">
        <f t="shared" si="654"/>
        <v>AVERAGE</v>
      </c>
      <c r="S8369" t="s">
        <v>609</v>
      </c>
    </row>
    <row r="8370" spans="1:19" x14ac:dyDescent="0.2">
      <c r="A8370" t="s">
        <v>8981</v>
      </c>
      <c r="B8370" t="s">
        <v>90</v>
      </c>
      <c r="C8370" t="s">
        <v>607</v>
      </c>
      <c r="D8370">
        <v>109.32</v>
      </c>
      <c r="E8370" s="37" t="str">
        <f t="shared" si="650"/>
        <v xml:space="preserve"> </v>
      </c>
      <c r="F8370">
        <v>0.01</v>
      </c>
      <c r="G8370" s="37" t="str">
        <f t="shared" si="651"/>
        <v>Normal Discount</v>
      </c>
      <c r="H8370" s="37" t="str">
        <f t="shared" si="652"/>
        <v>Low</v>
      </c>
      <c r="I8370">
        <v>3</v>
      </c>
      <c r="J8370" t="str" cm="1">
        <f t="array" ref="J8370">_xlfn.IFS(I8370&lt;=3,"small",I8370&lt;=6,"Medium",I8370&lt;=9,"Large")</f>
        <v>small</v>
      </c>
      <c r="K8370" s="36">
        <v>45120</v>
      </c>
      <c r="L8370" s="36">
        <v>45121</v>
      </c>
      <c r="M8370" t="s">
        <v>598</v>
      </c>
      <c r="N8370" t="s">
        <v>599</v>
      </c>
      <c r="O8370" s="37" t="str">
        <f t="shared" si="653"/>
        <v>Digital Payment</v>
      </c>
      <c r="P8370">
        <v>13.93</v>
      </c>
      <c r="Q8370" s="37" t="str">
        <f>IF(P8370&gt;500,"High","low")</f>
        <v>low</v>
      </c>
      <c r="R8370" s="37" t="str">
        <f t="shared" si="654"/>
        <v>AVERAGE</v>
      </c>
      <c r="S8370" t="s">
        <v>620</v>
      </c>
    </row>
    <row r="8371" spans="1:19" x14ac:dyDescent="0.2">
      <c r="A8371" t="s">
        <v>8982</v>
      </c>
      <c r="B8371" t="s">
        <v>75</v>
      </c>
      <c r="C8371" t="s">
        <v>617</v>
      </c>
      <c r="D8371">
        <v>4688.47</v>
      </c>
      <c r="E8371" s="37" t="str">
        <f t="shared" si="650"/>
        <v>Excellent Order</v>
      </c>
      <c r="F8371">
        <v>0.19</v>
      </c>
      <c r="G8371" s="37" t="str">
        <f t="shared" si="651"/>
        <v>Normal Discount</v>
      </c>
      <c r="H8371" s="37" t="str">
        <f t="shared" si="652"/>
        <v>Low</v>
      </c>
      <c r="I8371">
        <v>4</v>
      </c>
      <c r="J8371" t="str" cm="1">
        <f t="array" ref="J8371">_xlfn.IFS(I8371&lt;=3,"small",I8371&lt;=6,"Medium",I8371&lt;=9,"Large")</f>
        <v>Medium</v>
      </c>
      <c r="K8371" s="36">
        <v>45422</v>
      </c>
      <c r="L8371" s="36">
        <v>45428</v>
      </c>
      <c r="M8371" t="s">
        <v>603</v>
      </c>
      <c r="N8371" t="s">
        <v>604</v>
      </c>
      <c r="O8371" s="37" t="str">
        <f t="shared" si="653"/>
        <v>Digital Payment</v>
      </c>
      <c r="P8371">
        <v>1186.58</v>
      </c>
      <c r="Q8371" s="37" t="str">
        <f>IF(P8371&gt;500,"High","low")</f>
        <v>High</v>
      </c>
      <c r="R8371" s="37" t="str">
        <f t="shared" si="654"/>
        <v>Excellent</v>
      </c>
      <c r="S8371" t="s">
        <v>620</v>
      </c>
    </row>
    <row r="8372" spans="1:19" x14ac:dyDescent="0.2">
      <c r="A8372" t="s">
        <v>8983</v>
      </c>
      <c r="B8372" t="s">
        <v>90</v>
      </c>
      <c r="C8372" t="s">
        <v>597</v>
      </c>
      <c r="D8372">
        <v>4642.38</v>
      </c>
      <c r="E8372" s="37" t="str">
        <f t="shared" si="650"/>
        <v xml:space="preserve"> </v>
      </c>
      <c r="F8372">
        <v>0.32</v>
      </c>
      <c r="G8372" s="37" t="str">
        <f t="shared" si="651"/>
        <v>Heavy Discount</v>
      </c>
      <c r="H8372" s="37" t="str">
        <f t="shared" si="652"/>
        <v>Medium</v>
      </c>
      <c r="I8372">
        <v>4</v>
      </c>
      <c r="J8372" t="str" cm="1">
        <f t="array" ref="J8372">_xlfn.IFS(I8372&lt;=3,"small",I8372&lt;=6,"Medium",I8372&lt;=9,"Large")</f>
        <v>Medium</v>
      </c>
      <c r="K8372" s="36">
        <v>45555</v>
      </c>
      <c r="L8372" s="36">
        <v>45560</v>
      </c>
      <c r="M8372" t="s">
        <v>603</v>
      </c>
      <c r="N8372" t="s">
        <v>599</v>
      </c>
      <c r="O8372" s="37" t="str">
        <f t="shared" si="653"/>
        <v>Digital Payment</v>
      </c>
      <c r="P8372">
        <v>447.65</v>
      </c>
      <c r="Q8372" s="37" t="str">
        <f>IF(P8372&gt;500,"High","low")</f>
        <v>low</v>
      </c>
      <c r="R8372" s="37" t="str">
        <f t="shared" si="654"/>
        <v>AVERAGE</v>
      </c>
      <c r="S8372" t="s">
        <v>605</v>
      </c>
    </row>
    <row r="8373" spans="1:19" x14ac:dyDescent="0.2">
      <c r="A8373" t="s">
        <v>8984</v>
      </c>
      <c r="B8373" t="s">
        <v>67</v>
      </c>
      <c r="C8373" t="s">
        <v>607</v>
      </c>
      <c r="D8373">
        <v>3371.01</v>
      </c>
      <c r="E8373" s="37" t="str">
        <f t="shared" si="650"/>
        <v xml:space="preserve"> </v>
      </c>
      <c r="F8373">
        <v>0.32</v>
      </c>
      <c r="G8373" s="37" t="str">
        <f t="shared" si="651"/>
        <v>Heavy Discount</v>
      </c>
      <c r="H8373" s="37" t="str">
        <f t="shared" si="652"/>
        <v>Medium</v>
      </c>
      <c r="I8373">
        <v>6</v>
      </c>
      <c r="J8373" t="str" cm="1">
        <f t="array" ref="J8373">_xlfn.IFS(I8373&lt;=3,"small",I8373&lt;=6,"Medium",I8373&lt;=9,"Large")</f>
        <v>Medium</v>
      </c>
      <c r="K8373" s="36">
        <v>45506</v>
      </c>
      <c r="L8373" s="36">
        <v>45510</v>
      </c>
      <c r="M8373" t="s">
        <v>612</v>
      </c>
      <c r="N8373" t="s">
        <v>599</v>
      </c>
      <c r="O8373" s="37" t="str">
        <f t="shared" si="653"/>
        <v>Digital Payment</v>
      </c>
      <c r="P8373">
        <v>498.87</v>
      </c>
      <c r="Q8373" s="37" t="str">
        <f>IF(P8373&gt;500,"High","low")</f>
        <v>low</v>
      </c>
      <c r="R8373" s="37" t="str">
        <f t="shared" si="654"/>
        <v>AVERAGE</v>
      </c>
      <c r="S8373" t="s">
        <v>609</v>
      </c>
    </row>
    <row r="8374" spans="1:19" x14ac:dyDescent="0.2">
      <c r="A8374" t="s">
        <v>8985</v>
      </c>
      <c r="B8374" t="s">
        <v>90</v>
      </c>
      <c r="C8374" t="s">
        <v>617</v>
      </c>
      <c r="D8374">
        <v>3660.72</v>
      </c>
      <c r="E8374" s="37" t="str">
        <f t="shared" si="650"/>
        <v xml:space="preserve"> </v>
      </c>
      <c r="F8374">
        <v>0.03</v>
      </c>
      <c r="G8374" s="37" t="str">
        <f t="shared" si="651"/>
        <v>Normal Discount</v>
      </c>
      <c r="H8374" s="37" t="str">
        <f t="shared" si="652"/>
        <v>Low</v>
      </c>
      <c r="I8374">
        <v>9</v>
      </c>
      <c r="J8374" t="str" cm="1">
        <f t="array" ref="J8374">_xlfn.IFS(I8374&lt;=3,"small",I8374&lt;=6,"Medium",I8374&lt;=9,"Large")</f>
        <v>Large</v>
      </c>
      <c r="K8374" s="36">
        <v>45537</v>
      </c>
      <c r="L8374" s="36">
        <v>45540</v>
      </c>
      <c r="M8374" t="s">
        <v>612</v>
      </c>
      <c r="N8374" t="s">
        <v>599</v>
      </c>
      <c r="O8374" s="37" t="str">
        <f t="shared" si="653"/>
        <v>Digital Payment</v>
      </c>
      <c r="P8374">
        <v>492.62</v>
      </c>
      <c r="Q8374" s="37" t="str">
        <f>IF(P8374&gt;500,"High","low")</f>
        <v>low</v>
      </c>
      <c r="R8374" s="37" t="str">
        <f t="shared" si="654"/>
        <v>AVERAGE</v>
      </c>
      <c r="S8374" t="s">
        <v>615</v>
      </c>
    </row>
    <row r="8375" spans="1:19" x14ac:dyDescent="0.2">
      <c r="A8375" t="s">
        <v>8986</v>
      </c>
      <c r="B8375" t="s">
        <v>75</v>
      </c>
      <c r="C8375" t="s">
        <v>602</v>
      </c>
      <c r="D8375">
        <v>2614.7199999999998</v>
      </c>
      <c r="E8375" s="37" t="str">
        <f t="shared" si="650"/>
        <v xml:space="preserve"> </v>
      </c>
      <c r="F8375">
        <v>0.46</v>
      </c>
      <c r="G8375" s="37" t="str">
        <f t="shared" si="651"/>
        <v>Heavy Discount</v>
      </c>
      <c r="H8375" s="37" t="str">
        <f t="shared" si="652"/>
        <v>High</v>
      </c>
      <c r="I8375">
        <v>5</v>
      </c>
      <c r="J8375" t="str" cm="1">
        <f t="array" ref="J8375">_xlfn.IFS(I8375&lt;=3,"small",I8375&lt;=6,"Medium",I8375&lt;=9,"Large")</f>
        <v>Medium</v>
      </c>
      <c r="K8375" s="36">
        <v>45185</v>
      </c>
      <c r="L8375" s="36">
        <v>45190</v>
      </c>
      <c r="M8375" t="s">
        <v>612</v>
      </c>
      <c r="N8375" t="s">
        <v>608</v>
      </c>
      <c r="O8375" s="37" t="str">
        <f t="shared" si="653"/>
        <v>Cash Payment</v>
      </c>
      <c r="P8375">
        <v>533.19000000000005</v>
      </c>
      <c r="Q8375" s="37" t="str">
        <f>IF(P8375&gt;500,"High","low")</f>
        <v>High</v>
      </c>
      <c r="R8375" s="37" t="str">
        <f t="shared" si="654"/>
        <v>Good</v>
      </c>
      <c r="S8375" t="s">
        <v>609</v>
      </c>
    </row>
    <row r="8376" spans="1:19" x14ac:dyDescent="0.2">
      <c r="A8376" t="s">
        <v>8987</v>
      </c>
      <c r="B8376" t="s">
        <v>90</v>
      </c>
      <c r="C8376" t="s">
        <v>607</v>
      </c>
      <c r="D8376">
        <v>1265.43</v>
      </c>
      <c r="E8376" s="37" t="str">
        <f t="shared" si="650"/>
        <v xml:space="preserve"> </v>
      </c>
      <c r="F8376">
        <v>0.12</v>
      </c>
      <c r="G8376" s="37" t="str">
        <f t="shared" si="651"/>
        <v>Normal Discount</v>
      </c>
      <c r="H8376" s="37" t="str">
        <f t="shared" si="652"/>
        <v>Low</v>
      </c>
      <c r="I8376">
        <v>8</v>
      </c>
      <c r="J8376" t="str" cm="1">
        <f t="array" ref="J8376">_xlfn.IFS(I8376&lt;=3,"small",I8376&lt;=6,"Medium",I8376&lt;=9,"Large")</f>
        <v>Large</v>
      </c>
      <c r="K8376" s="36">
        <v>45353</v>
      </c>
      <c r="L8376" s="36">
        <v>45358</v>
      </c>
      <c r="M8376" t="s">
        <v>598</v>
      </c>
      <c r="N8376" t="s">
        <v>599</v>
      </c>
      <c r="O8376" s="37" t="str">
        <f t="shared" si="653"/>
        <v>Digital Payment</v>
      </c>
      <c r="P8376">
        <v>356.97</v>
      </c>
      <c r="Q8376" s="37" t="str">
        <f>IF(P8376&gt;500,"High","low")</f>
        <v>low</v>
      </c>
      <c r="R8376" s="37" t="str">
        <f t="shared" si="654"/>
        <v>AVERAGE</v>
      </c>
      <c r="S8376" t="s">
        <v>628</v>
      </c>
    </row>
    <row r="8377" spans="1:19" x14ac:dyDescent="0.2">
      <c r="A8377" t="s">
        <v>8988</v>
      </c>
      <c r="B8377" t="s">
        <v>67</v>
      </c>
      <c r="C8377" t="s">
        <v>597</v>
      </c>
      <c r="D8377">
        <v>4580.49</v>
      </c>
      <c r="E8377" s="37" t="str">
        <f t="shared" si="650"/>
        <v>Excellent Order</v>
      </c>
      <c r="F8377">
        <v>0.45</v>
      </c>
      <c r="G8377" s="37" t="str">
        <f t="shared" si="651"/>
        <v>Heavy Discount</v>
      </c>
      <c r="H8377" s="37" t="str">
        <f t="shared" si="652"/>
        <v>High</v>
      </c>
      <c r="I8377">
        <v>5</v>
      </c>
      <c r="J8377" t="str" cm="1">
        <f t="array" ref="J8377">_xlfn.IFS(I8377&lt;=3,"small",I8377&lt;=6,"Medium",I8377&lt;=9,"Large")</f>
        <v>Medium</v>
      </c>
      <c r="K8377" s="36">
        <v>45336</v>
      </c>
      <c r="L8377" s="36">
        <v>45340</v>
      </c>
      <c r="M8377" t="s">
        <v>603</v>
      </c>
      <c r="N8377" t="s">
        <v>608</v>
      </c>
      <c r="O8377" s="37" t="str">
        <f t="shared" si="653"/>
        <v>Cash Payment</v>
      </c>
      <c r="P8377">
        <v>1056.8</v>
      </c>
      <c r="Q8377" s="37" t="str">
        <f>IF(P8377&gt;500,"High","low")</f>
        <v>High</v>
      </c>
      <c r="R8377" s="37" t="str">
        <f t="shared" si="654"/>
        <v>Excellent</v>
      </c>
      <c r="S8377" t="s">
        <v>600</v>
      </c>
    </row>
    <row r="8378" spans="1:19" x14ac:dyDescent="0.2">
      <c r="A8378" t="s">
        <v>8989</v>
      </c>
      <c r="B8378" t="s">
        <v>67</v>
      </c>
      <c r="C8378" t="s">
        <v>614</v>
      </c>
      <c r="D8378">
        <v>1460.69</v>
      </c>
      <c r="E8378" s="37" t="str">
        <f t="shared" si="650"/>
        <v xml:space="preserve"> </v>
      </c>
      <c r="F8378">
        <v>0.11</v>
      </c>
      <c r="G8378" s="37" t="str">
        <f t="shared" si="651"/>
        <v>Normal Discount</v>
      </c>
      <c r="H8378" s="37" t="str">
        <f t="shared" si="652"/>
        <v>Low</v>
      </c>
      <c r="I8378">
        <v>6</v>
      </c>
      <c r="J8378" t="str" cm="1">
        <f t="array" ref="J8378">_xlfn.IFS(I8378&lt;=3,"small",I8378&lt;=6,"Medium",I8378&lt;=9,"Large")</f>
        <v>Medium</v>
      </c>
      <c r="K8378" s="36">
        <v>45007</v>
      </c>
      <c r="L8378" s="36">
        <v>45010</v>
      </c>
      <c r="M8378" t="s">
        <v>598</v>
      </c>
      <c r="N8378" t="s">
        <v>599</v>
      </c>
      <c r="O8378" s="37" t="str">
        <f t="shared" si="653"/>
        <v>Digital Payment</v>
      </c>
      <c r="P8378">
        <v>127.73</v>
      </c>
      <c r="Q8378" s="37" t="str">
        <f>IF(P8378&gt;500,"High","low")</f>
        <v>low</v>
      </c>
      <c r="R8378" s="37" t="str">
        <f t="shared" si="654"/>
        <v>AVERAGE</v>
      </c>
      <c r="S8378" t="s">
        <v>609</v>
      </c>
    </row>
    <row r="8379" spans="1:19" x14ac:dyDescent="0.2">
      <c r="A8379" t="s">
        <v>8990</v>
      </c>
      <c r="B8379" t="s">
        <v>67</v>
      </c>
      <c r="C8379" t="s">
        <v>602</v>
      </c>
      <c r="D8379">
        <v>3724.39</v>
      </c>
      <c r="E8379" s="37" t="str">
        <f t="shared" si="650"/>
        <v xml:space="preserve"> </v>
      </c>
      <c r="F8379">
        <v>0.28000000000000003</v>
      </c>
      <c r="G8379" s="37" t="str">
        <f t="shared" si="651"/>
        <v>Normal Discount</v>
      </c>
      <c r="H8379" s="37" t="str">
        <f t="shared" si="652"/>
        <v>Medium</v>
      </c>
      <c r="I8379">
        <v>6</v>
      </c>
      <c r="J8379" t="str" cm="1">
        <f t="array" ref="J8379">_xlfn.IFS(I8379&lt;=3,"small",I8379&lt;=6,"Medium",I8379&lt;=9,"Large")</f>
        <v>Medium</v>
      </c>
      <c r="K8379" s="36">
        <v>45432</v>
      </c>
      <c r="L8379" s="36">
        <v>45436</v>
      </c>
      <c r="M8379" t="s">
        <v>598</v>
      </c>
      <c r="N8379" t="s">
        <v>599</v>
      </c>
      <c r="O8379" s="37" t="str">
        <f t="shared" si="653"/>
        <v>Digital Payment</v>
      </c>
      <c r="P8379">
        <v>859</v>
      </c>
      <c r="Q8379" s="37" t="str">
        <f>IF(P8379&gt;500,"High","low")</f>
        <v>High</v>
      </c>
      <c r="R8379" s="37" t="str">
        <f t="shared" si="654"/>
        <v>Good</v>
      </c>
      <c r="S8379" t="s">
        <v>600</v>
      </c>
    </row>
    <row r="8380" spans="1:19" x14ac:dyDescent="0.2">
      <c r="A8380" t="s">
        <v>8991</v>
      </c>
      <c r="B8380" t="s">
        <v>75</v>
      </c>
      <c r="C8380" t="s">
        <v>597</v>
      </c>
      <c r="D8380">
        <v>1302.6300000000001</v>
      </c>
      <c r="E8380" s="37" t="str">
        <f t="shared" si="650"/>
        <v xml:space="preserve"> </v>
      </c>
      <c r="F8380">
        <v>0.2</v>
      </c>
      <c r="G8380" s="37" t="str">
        <f t="shared" si="651"/>
        <v>Normal Discount</v>
      </c>
      <c r="H8380" s="37" t="str">
        <f t="shared" si="652"/>
        <v>Medium</v>
      </c>
      <c r="I8380">
        <v>4</v>
      </c>
      <c r="J8380" t="str" cm="1">
        <f t="array" ref="J8380">_xlfn.IFS(I8380&lt;=3,"small",I8380&lt;=6,"Medium",I8380&lt;=9,"Large")</f>
        <v>Medium</v>
      </c>
      <c r="K8380" s="36">
        <v>45224</v>
      </c>
      <c r="L8380" s="36">
        <v>45225</v>
      </c>
      <c r="M8380" t="s">
        <v>612</v>
      </c>
      <c r="N8380" t="s">
        <v>608</v>
      </c>
      <c r="O8380" s="37" t="str">
        <f t="shared" si="653"/>
        <v>Cash Payment</v>
      </c>
      <c r="P8380">
        <v>71.33</v>
      </c>
      <c r="Q8380" s="37" t="str">
        <f>IF(P8380&gt;500,"High","low")</f>
        <v>low</v>
      </c>
      <c r="R8380" s="37" t="str">
        <f t="shared" si="654"/>
        <v>AVERAGE</v>
      </c>
      <c r="S8380" t="s">
        <v>609</v>
      </c>
    </row>
    <row r="8381" spans="1:19" x14ac:dyDescent="0.2">
      <c r="A8381" t="s">
        <v>8992</v>
      </c>
      <c r="B8381" t="s">
        <v>67</v>
      </c>
      <c r="C8381" t="s">
        <v>597</v>
      </c>
      <c r="D8381">
        <v>4363.7299999999996</v>
      </c>
      <c r="E8381" s="37" t="str">
        <f t="shared" si="650"/>
        <v>Excellent Order</v>
      </c>
      <c r="F8381">
        <v>0.28999999999999998</v>
      </c>
      <c r="G8381" s="37" t="str">
        <f t="shared" si="651"/>
        <v>Normal Discount</v>
      </c>
      <c r="H8381" s="37" t="str">
        <f t="shared" si="652"/>
        <v>Medium</v>
      </c>
      <c r="I8381">
        <v>5</v>
      </c>
      <c r="J8381" t="str" cm="1">
        <f t="array" ref="J8381">_xlfn.IFS(I8381&lt;=3,"small",I8381&lt;=6,"Medium",I8381&lt;=9,"Large")</f>
        <v>Medium</v>
      </c>
      <c r="K8381" s="36">
        <v>45510</v>
      </c>
      <c r="L8381" s="36">
        <v>45515</v>
      </c>
      <c r="M8381" t="s">
        <v>598</v>
      </c>
      <c r="N8381" t="s">
        <v>604</v>
      </c>
      <c r="O8381" s="37" t="str">
        <f t="shared" si="653"/>
        <v>Digital Payment</v>
      </c>
      <c r="P8381">
        <v>942.12</v>
      </c>
      <c r="Q8381" s="37" t="str">
        <f>IF(P8381&gt;500,"High","low")</f>
        <v>High</v>
      </c>
      <c r="R8381" s="37" t="str">
        <f t="shared" si="654"/>
        <v>Good</v>
      </c>
      <c r="S8381" t="s">
        <v>620</v>
      </c>
    </row>
    <row r="8382" spans="1:19" x14ac:dyDescent="0.2">
      <c r="A8382" t="s">
        <v>8993</v>
      </c>
      <c r="B8382" t="s">
        <v>75</v>
      </c>
      <c r="C8382" t="s">
        <v>597</v>
      </c>
      <c r="D8382">
        <v>3291.07</v>
      </c>
      <c r="E8382" s="37" t="str">
        <f t="shared" si="650"/>
        <v xml:space="preserve"> </v>
      </c>
      <c r="F8382">
        <v>0.25</v>
      </c>
      <c r="G8382" s="37" t="str">
        <f t="shared" si="651"/>
        <v>Normal Discount</v>
      </c>
      <c r="H8382" s="37" t="str">
        <f t="shared" si="652"/>
        <v>Medium</v>
      </c>
      <c r="I8382">
        <v>4</v>
      </c>
      <c r="J8382" t="str" cm="1">
        <f t="array" ref="J8382">_xlfn.IFS(I8382&lt;=3,"small",I8382&lt;=6,"Medium",I8382&lt;=9,"Large")</f>
        <v>Medium</v>
      </c>
      <c r="K8382" s="36">
        <v>44956</v>
      </c>
      <c r="L8382" s="36">
        <v>44958</v>
      </c>
      <c r="M8382" t="s">
        <v>612</v>
      </c>
      <c r="N8382" t="s">
        <v>608</v>
      </c>
      <c r="O8382" s="37" t="str">
        <f t="shared" si="653"/>
        <v>Cash Payment</v>
      </c>
      <c r="P8382">
        <v>887.33</v>
      </c>
      <c r="Q8382" s="37" t="str">
        <f>IF(P8382&gt;500,"High","low")</f>
        <v>High</v>
      </c>
      <c r="R8382" s="37" t="str">
        <f t="shared" si="654"/>
        <v>Good</v>
      </c>
      <c r="S8382" t="s">
        <v>620</v>
      </c>
    </row>
    <row r="8383" spans="1:19" x14ac:dyDescent="0.2">
      <c r="A8383" t="s">
        <v>8994</v>
      </c>
      <c r="B8383" t="s">
        <v>90</v>
      </c>
      <c r="C8383" t="s">
        <v>602</v>
      </c>
      <c r="D8383">
        <v>3249.21</v>
      </c>
      <c r="E8383" s="37" t="str">
        <f t="shared" si="650"/>
        <v xml:space="preserve"> </v>
      </c>
      <c r="F8383">
        <v>0</v>
      </c>
      <c r="G8383" s="37" t="str">
        <f t="shared" si="651"/>
        <v>Normal Discount</v>
      </c>
      <c r="H8383" s="37" t="str">
        <f t="shared" si="652"/>
        <v>Low</v>
      </c>
      <c r="I8383">
        <v>2</v>
      </c>
      <c r="J8383" t="str" cm="1">
        <f t="array" ref="J8383">_xlfn.IFS(I8383&lt;=3,"small",I8383&lt;=6,"Medium",I8383&lt;=9,"Large")</f>
        <v>small</v>
      </c>
      <c r="K8383" s="36">
        <v>45147</v>
      </c>
      <c r="L8383" s="36">
        <v>45154</v>
      </c>
      <c r="M8383" t="s">
        <v>603</v>
      </c>
      <c r="N8383" t="s">
        <v>608</v>
      </c>
      <c r="O8383" s="37" t="str">
        <f t="shared" si="653"/>
        <v>Cash Payment</v>
      </c>
      <c r="P8383">
        <v>458.87</v>
      </c>
      <c r="Q8383" s="37" t="str">
        <f>IF(P8383&gt;500,"High","low")</f>
        <v>low</v>
      </c>
      <c r="R8383" s="37" t="str">
        <f t="shared" si="654"/>
        <v>AVERAGE</v>
      </c>
      <c r="S8383" t="s">
        <v>628</v>
      </c>
    </row>
    <row r="8384" spans="1:19" x14ac:dyDescent="0.2">
      <c r="A8384" t="s">
        <v>8995</v>
      </c>
      <c r="B8384" t="s">
        <v>67</v>
      </c>
      <c r="C8384" t="s">
        <v>597</v>
      </c>
      <c r="D8384">
        <v>577.1</v>
      </c>
      <c r="E8384" s="37" t="str">
        <f t="shared" si="650"/>
        <v xml:space="preserve"> </v>
      </c>
      <c r="F8384">
        <v>0.18</v>
      </c>
      <c r="G8384" s="37" t="str">
        <f t="shared" si="651"/>
        <v>Normal Discount</v>
      </c>
      <c r="H8384" s="37" t="str">
        <f t="shared" si="652"/>
        <v>Low</v>
      </c>
      <c r="I8384">
        <v>2</v>
      </c>
      <c r="J8384" t="str" cm="1">
        <f t="array" ref="J8384">_xlfn.IFS(I8384&lt;=3,"small",I8384&lt;=6,"Medium",I8384&lt;=9,"Large")</f>
        <v>small</v>
      </c>
      <c r="K8384" s="36">
        <v>45297</v>
      </c>
      <c r="L8384" s="36">
        <v>45304</v>
      </c>
      <c r="M8384" t="s">
        <v>603</v>
      </c>
      <c r="N8384" t="s">
        <v>608</v>
      </c>
      <c r="O8384" s="37" t="str">
        <f t="shared" si="653"/>
        <v>Cash Payment</v>
      </c>
      <c r="P8384">
        <v>132.38999999999999</v>
      </c>
      <c r="Q8384" s="37" t="str">
        <f>IF(P8384&gt;500,"High","low")</f>
        <v>low</v>
      </c>
      <c r="R8384" s="37" t="str">
        <f t="shared" si="654"/>
        <v>AVERAGE</v>
      </c>
      <c r="S8384" t="s">
        <v>615</v>
      </c>
    </row>
    <row r="8385" spans="1:19" x14ac:dyDescent="0.2">
      <c r="A8385" t="s">
        <v>8996</v>
      </c>
      <c r="B8385" t="s">
        <v>90</v>
      </c>
      <c r="C8385" t="s">
        <v>614</v>
      </c>
      <c r="D8385">
        <v>2155.4</v>
      </c>
      <c r="E8385" s="37" t="str">
        <f t="shared" si="650"/>
        <v xml:space="preserve"> </v>
      </c>
      <c r="F8385">
        <v>0.01</v>
      </c>
      <c r="G8385" s="37" t="str">
        <f t="shared" si="651"/>
        <v>Normal Discount</v>
      </c>
      <c r="H8385" s="37" t="str">
        <f t="shared" si="652"/>
        <v>Low</v>
      </c>
      <c r="I8385">
        <v>8</v>
      </c>
      <c r="J8385" t="str" cm="1">
        <f t="array" ref="J8385">_xlfn.IFS(I8385&lt;=3,"small",I8385&lt;=6,"Medium",I8385&lt;=9,"Large")</f>
        <v>Large</v>
      </c>
      <c r="K8385" s="36">
        <v>45176</v>
      </c>
      <c r="L8385" s="36">
        <v>45177</v>
      </c>
      <c r="M8385" t="s">
        <v>598</v>
      </c>
      <c r="N8385" t="s">
        <v>608</v>
      </c>
      <c r="O8385" s="37" t="str">
        <f t="shared" si="653"/>
        <v>Cash Payment</v>
      </c>
      <c r="P8385">
        <v>448.39</v>
      </c>
      <c r="Q8385" s="37" t="str">
        <f>IF(P8385&gt;500,"High","low")</f>
        <v>low</v>
      </c>
      <c r="R8385" s="37" t="str">
        <f t="shared" si="654"/>
        <v>AVERAGE</v>
      </c>
      <c r="S8385" t="s">
        <v>609</v>
      </c>
    </row>
    <row r="8386" spans="1:19" x14ac:dyDescent="0.2">
      <c r="A8386" t="s">
        <v>8997</v>
      </c>
      <c r="B8386" t="s">
        <v>83</v>
      </c>
      <c r="C8386" t="s">
        <v>607</v>
      </c>
      <c r="D8386">
        <v>2672.05</v>
      </c>
      <c r="E8386" s="37" t="str">
        <f t="shared" si="650"/>
        <v xml:space="preserve"> </v>
      </c>
      <c r="F8386">
        <v>0.34</v>
      </c>
      <c r="G8386" s="37" t="str">
        <f t="shared" si="651"/>
        <v>Heavy Discount</v>
      </c>
      <c r="H8386" s="37" t="str">
        <f t="shared" si="652"/>
        <v>Medium</v>
      </c>
      <c r="I8386">
        <v>4</v>
      </c>
      <c r="J8386" t="str" cm="1">
        <f t="array" ref="J8386">_xlfn.IFS(I8386&lt;=3,"small",I8386&lt;=6,"Medium",I8386&lt;=9,"Large")</f>
        <v>Medium</v>
      </c>
      <c r="K8386" s="36">
        <v>44950</v>
      </c>
      <c r="L8386" s="36">
        <v>44956</v>
      </c>
      <c r="M8386" t="s">
        <v>612</v>
      </c>
      <c r="N8386" t="s">
        <v>604</v>
      </c>
      <c r="O8386" s="37" t="str">
        <f t="shared" si="653"/>
        <v>Digital Payment</v>
      </c>
      <c r="P8386">
        <v>195.33</v>
      </c>
      <c r="Q8386" s="37" t="str">
        <f>IF(P8386&gt;500,"High","low")</f>
        <v>low</v>
      </c>
      <c r="R8386" s="37" t="str">
        <f t="shared" si="654"/>
        <v>AVERAGE</v>
      </c>
      <c r="S8386" t="s">
        <v>628</v>
      </c>
    </row>
    <row r="8387" spans="1:19" x14ac:dyDescent="0.2">
      <c r="A8387" t="s">
        <v>8998</v>
      </c>
      <c r="B8387" t="s">
        <v>90</v>
      </c>
      <c r="C8387" t="s">
        <v>602</v>
      </c>
      <c r="D8387">
        <v>1540.78</v>
      </c>
      <c r="E8387" s="37" t="str">
        <f t="shared" ref="E8387:E8450" si="655">IF(AND(D8387&gt;4000,P8387&gt;800),"Excellent Order"," ")</f>
        <v xml:space="preserve"> </v>
      </c>
      <c r="F8387">
        <v>0.43</v>
      </c>
      <c r="G8387" s="37" t="str">
        <f t="shared" ref="G8387:G8450" si="656">IF(F8387&gt;30%,"Heavy Discount","Normal Discount")</f>
        <v>Heavy Discount</v>
      </c>
      <c r="H8387" s="37" t="str">
        <f t="shared" ref="H8387:H8450" si="657">IF(F8387&gt;0.4,"High",IF(F8387&gt;=0.2,"Medium","Low"))</f>
        <v>High</v>
      </c>
      <c r="I8387">
        <v>9</v>
      </c>
      <c r="J8387" t="str" cm="1">
        <f t="array" ref="J8387">_xlfn.IFS(I8387&lt;=3,"small",I8387&lt;=6,"Medium",I8387&lt;=9,"Large")</f>
        <v>Large</v>
      </c>
      <c r="K8387" s="36">
        <v>45255</v>
      </c>
      <c r="L8387" s="36">
        <v>45261</v>
      </c>
      <c r="M8387" t="s">
        <v>598</v>
      </c>
      <c r="N8387" t="s">
        <v>608</v>
      </c>
      <c r="O8387" s="37" t="str">
        <f t="shared" ref="O8387:O8450" si="658">IF(OR(N8387="Card",N8387="UPI"),"Digital Payment","Cash Payment")</f>
        <v>Cash Payment</v>
      </c>
      <c r="P8387">
        <v>196.42</v>
      </c>
      <c r="Q8387" s="37" t="str">
        <f>IF(P8387&gt;500,"High","low")</f>
        <v>low</v>
      </c>
      <c r="R8387" s="37" t="str">
        <f t="shared" ref="R8387:R8450" si="659">IF(P8387&gt;1000,"Excellent",IF(P8387&gt;=500,"Good","AVERAGE"))</f>
        <v>AVERAGE</v>
      </c>
      <c r="S8387" t="s">
        <v>609</v>
      </c>
    </row>
    <row r="8388" spans="1:19" x14ac:dyDescent="0.2">
      <c r="A8388" t="s">
        <v>8999</v>
      </c>
      <c r="B8388" t="s">
        <v>83</v>
      </c>
      <c r="C8388" t="s">
        <v>597</v>
      </c>
      <c r="D8388">
        <v>4416.78</v>
      </c>
      <c r="E8388" s="37" t="str">
        <f t="shared" si="655"/>
        <v>Excellent Order</v>
      </c>
      <c r="F8388">
        <v>0.19</v>
      </c>
      <c r="G8388" s="37" t="str">
        <f t="shared" si="656"/>
        <v>Normal Discount</v>
      </c>
      <c r="H8388" s="37" t="str">
        <f t="shared" si="657"/>
        <v>Low</v>
      </c>
      <c r="I8388">
        <v>6</v>
      </c>
      <c r="J8388" t="str" cm="1">
        <f t="array" ref="J8388">_xlfn.IFS(I8388&lt;=3,"small",I8388&lt;=6,"Medium",I8388&lt;=9,"Large")</f>
        <v>Medium</v>
      </c>
      <c r="K8388" s="36">
        <v>45266</v>
      </c>
      <c r="L8388" s="36">
        <v>45272</v>
      </c>
      <c r="M8388" t="s">
        <v>612</v>
      </c>
      <c r="N8388" t="s">
        <v>604</v>
      </c>
      <c r="O8388" s="37" t="str">
        <f t="shared" si="658"/>
        <v>Digital Payment</v>
      </c>
      <c r="P8388">
        <v>973.57</v>
      </c>
      <c r="Q8388" s="37" t="str">
        <f>IF(P8388&gt;500,"High","low")</f>
        <v>High</v>
      </c>
      <c r="R8388" s="37" t="str">
        <f t="shared" si="659"/>
        <v>Good</v>
      </c>
      <c r="S8388" t="s">
        <v>600</v>
      </c>
    </row>
    <row r="8389" spans="1:19" x14ac:dyDescent="0.2">
      <c r="A8389" t="s">
        <v>9000</v>
      </c>
      <c r="B8389" t="s">
        <v>90</v>
      </c>
      <c r="C8389" t="s">
        <v>617</v>
      </c>
      <c r="D8389">
        <v>4204.58</v>
      </c>
      <c r="E8389" s="37" t="str">
        <f t="shared" si="655"/>
        <v xml:space="preserve"> </v>
      </c>
      <c r="F8389">
        <v>0.26</v>
      </c>
      <c r="G8389" s="37" t="str">
        <f t="shared" si="656"/>
        <v>Normal Discount</v>
      </c>
      <c r="H8389" s="37" t="str">
        <f t="shared" si="657"/>
        <v>Medium</v>
      </c>
      <c r="I8389">
        <v>5</v>
      </c>
      <c r="J8389" t="str" cm="1">
        <f t="array" ref="J8389">_xlfn.IFS(I8389&lt;=3,"small",I8389&lt;=6,"Medium",I8389&lt;=9,"Large")</f>
        <v>Medium</v>
      </c>
      <c r="K8389" s="36">
        <v>45354</v>
      </c>
      <c r="L8389" s="36">
        <v>45356</v>
      </c>
      <c r="M8389" t="s">
        <v>603</v>
      </c>
      <c r="N8389" t="s">
        <v>599</v>
      </c>
      <c r="O8389" s="37" t="str">
        <f t="shared" si="658"/>
        <v>Digital Payment</v>
      </c>
      <c r="P8389">
        <v>240.56</v>
      </c>
      <c r="Q8389" s="37" t="str">
        <f>IF(P8389&gt;500,"High","low")</f>
        <v>low</v>
      </c>
      <c r="R8389" s="37" t="str">
        <f t="shared" si="659"/>
        <v>AVERAGE</v>
      </c>
      <c r="S8389" t="s">
        <v>628</v>
      </c>
    </row>
    <row r="8390" spans="1:19" x14ac:dyDescent="0.2">
      <c r="A8390" t="s">
        <v>9001</v>
      </c>
      <c r="B8390" t="s">
        <v>75</v>
      </c>
      <c r="C8390" t="s">
        <v>607</v>
      </c>
      <c r="D8390">
        <v>2518.7399999999998</v>
      </c>
      <c r="E8390" s="37" t="str">
        <f t="shared" si="655"/>
        <v xml:space="preserve"> </v>
      </c>
      <c r="F8390">
        <v>0.03</v>
      </c>
      <c r="G8390" s="37" t="str">
        <f t="shared" si="656"/>
        <v>Normal Discount</v>
      </c>
      <c r="H8390" s="37" t="str">
        <f t="shared" si="657"/>
        <v>Low</v>
      </c>
      <c r="I8390">
        <v>7</v>
      </c>
      <c r="J8390" t="str" cm="1">
        <f t="array" ref="J8390">_xlfn.IFS(I8390&lt;=3,"small",I8390&lt;=6,"Medium",I8390&lt;=9,"Large")</f>
        <v>Large</v>
      </c>
      <c r="K8390" s="36">
        <v>45201</v>
      </c>
      <c r="L8390" s="36">
        <v>45205</v>
      </c>
      <c r="M8390" t="s">
        <v>603</v>
      </c>
      <c r="N8390" t="s">
        <v>608</v>
      </c>
      <c r="O8390" s="37" t="str">
        <f t="shared" si="658"/>
        <v>Cash Payment</v>
      </c>
      <c r="P8390">
        <v>471.57</v>
      </c>
      <c r="Q8390" s="37" t="str">
        <f>IF(P8390&gt;500,"High","low")</f>
        <v>low</v>
      </c>
      <c r="R8390" s="37" t="str">
        <f t="shared" si="659"/>
        <v>AVERAGE</v>
      </c>
      <c r="S8390" t="s">
        <v>615</v>
      </c>
    </row>
    <row r="8391" spans="1:19" x14ac:dyDescent="0.2">
      <c r="A8391" t="s">
        <v>9002</v>
      </c>
      <c r="B8391" t="s">
        <v>90</v>
      </c>
      <c r="C8391" t="s">
        <v>602</v>
      </c>
      <c r="D8391">
        <v>1766.15</v>
      </c>
      <c r="E8391" s="37" t="str">
        <f t="shared" si="655"/>
        <v xml:space="preserve"> </v>
      </c>
      <c r="F8391">
        <v>0.19</v>
      </c>
      <c r="G8391" s="37" t="str">
        <f t="shared" si="656"/>
        <v>Normal Discount</v>
      </c>
      <c r="H8391" s="37" t="str">
        <f t="shared" si="657"/>
        <v>Low</v>
      </c>
      <c r="I8391">
        <v>6</v>
      </c>
      <c r="J8391" t="str" cm="1">
        <f t="array" ref="J8391">_xlfn.IFS(I8391&lt;=3,"small",I8391&lt;=6,"Medium",I8391&lt;=9,"Large")</f>
        <v>Medium</v>
      </c>
      <c r="K8391" s="36">
        <v>45187</v>
      </c>
      <c r="L8391" s="36">
        <v>45189</v>
      </c>
      <c r="M8391" t="s">
        <v>598</v>
      </c>
      <c r="N8391" t="s">
        <v>599</v>
      </c>
      <c r="O8391" s="37" t="str">
        <f t="shared" si="658"/>
        <v>Digital Payment</v>
      </c>
      <c r="P8391">
        <v>329.14</v>
      </c>
      <c r="Q8391" s="37" t="str">
        <f>IF(P8391&gt;500,"High","low")</f>
        <v>low</v>
      </c>
      <c r="R8391" s="37" t="str">
        <f t="shared" si="659"/>
        <v>AVERAGE</v>
      </c>
      <c r="S8391" t="s">
        <v>605</v>
      </c>
    </row>
    <row r="8392" spans="1:19" x14ac:dyDescent="0.2">
      <c r="A8392" t="s">
        <v>9003</v>
      </c>
      <c r="B8392" t="s">
        <v>75</v>
      </c>
      <c r="C8392" t="s">
        <v>617</v>
      </c>
      <c r="D8392">
        <v>4027.56</v>
      </c>
      <c r="E8392" s="37" t="str">
        <f t="shared" si="655"/>
        <v>Excellent Order</v>
      </c>
      <c r="F8392">
        <v>7.0000000000000007E-2</v>
      </c>
      <c r="G8392" s="37" t="str">
        <f t="shared" si="656"/>
        <v>Normal Discount</v>
      </c>
      <c r="H8392" s="37" t="str">
        <f t="shared" si="657"/>
        <v>Low</v>
      </c>
      <c r="I8392">
        <v>4</v>
      </c>
      <c r="J8392" t="str" cm="1">
        <f t="array" ref="J8392">_xlfn.IFS(I8392&lt;=3,"small",I8392&lt;=6,"Medium",I8392&lt;=9,"Large")</f>
        <v>Medium</v>
      </c>
      <c r="K8392" s="36">
        <v>45654</v>
      </c>
      <c r="L8392" s="36">
        <v>45657</v>
      </c>
      <c r="M8392" t="s">
        <v>603</v>
      </c>
      <c r="N8392" t="s">
        <v>599</v>
      </c>
      <c r="O8392" s="37" t="str">
        <f t="shared" si="658"/>
        <v>Digital Payment</v>
      </c>
      <c r="P8392">
        <v>988.18</v>
      </c>
      <c r="Q8392" s="37" t="str">
        <f>IF(P8392&gt;500,"High","low")</f>
        <v>High</v>
      </c>
      <c r="R8392" s="37" t="str">
        <f t="shared" si="659"/>
        <v>Good</v>
      </c>
      <c r="S8392" t="s">
        <v>609</v>
      </c>
    </row>
    <row r="8393" spans="1:19" x14ac:dyDescent="0.2">
      <c r="A8393" t="s">
        <v>9004</v>
      </c>
      <c r="B8393" t="s">
        <v>75</v>
      </c>
      <c r="C8393" t="s">
        <v>617</v>
      </c>
      <c r="D8393">
        <v>1064.77</v>
      </c>
      <c r="E8393" s="37" t="str">
        <f t="shared" si="655"/>
        <v xml:space="preserve"> </v>
      </c>
      <c r="F8393">
        <v>0.03</v>
      </c>
      <c r="G8393" s="37" t="str">
        <f t="shared" si="656"/>
        <v>Normal Discount</v>
      </c>
      <c r="H8393" s="37" t="str">
        <f t="shared" si="657"/>
        <v>Low</v>
      </c>
      <c r="I8393">
        <v>9</v>
      </c>
      <c r="J8393" t="str" cm="1">
        <f t="array" ref="J8393">_xlfn.IFS(I8393&lt;=3,"small",I8393&lt;=6,"Medium",I8393&lt;=9,"Large")</f>
        <v>Large</v>
      </c>
      <c r="K8393" s="36">
        <v>45427</v>
      </c>
      <c r="L8393" s="36">
        <v>45432</v>
      </c>
      <c r="M8393" t="s">
        <v>603</v>
      </c>
      <c r="N8393" t="s">
        <v>604</v>
      </c>
      <c r="O8393" s="37" t="str">
        <f t="shared" si="658"/>
        <v>Digital Payment</v>
      </c>
      <c r="P8393">
        <v>313.31</v>
      </c>
      <c r="Q8393" s="37" t="str">
        <f>IF(P8393&gt;500,"High","low")</f>
        <v>low</v>
      </c>
      <c r="R8393" s="37" t="str">
        <f t="shared" si="659"/>
        <v>AVERAGE</v>
      </c>
      <c r="S8393" t="s">
        <v>600</v>
      </c>
    </row>
    <row r="8394" spans="1:19" x14ac:dyDescent="0.2">
      <c r="A8394" t="s">
        <v>9005</v>
      </c>
      <c r="B8394" t="s">
        <v>67</v>
      </c>
      <c r="C8394" t="s">
        <v>597</v>
      </c>
      <c r="D8394">
        <v>450.43</v>
      </c>
      <c r="E8394" s="37" t="str">
        <f t="shared" si="655"/>
        <v xml:space="preserve"> </v>
      </c>
      <c r="F8394">
        <v>0.09</v>
      </c>
      <c r="G8394" s="37" t="str">
        <f t="shared" si="656"/>
        <v>Normal Discount</v>
      </c>
      <c r="H8394" s="37" t="str">
        <f t="shared" si="657"/>
        <v>Low</v>
      </c>
      <c r="I8394">
        <v>6</v>
      </c>
      <c r="J8394" t="str" cm="1">
        <f t="array" ref="J8394">_xlfn.IFS(I8394&lt;=3,"small",I8394&lt;=6,"Medium",I8394&lt;=9,"Large")</f>
        <v>Medium</v>
      </c>
      <c r="K8394" s="36">
        <v>45490</v>
      </c>
      <c r="L8394" s="36">
        <v>45493</v>
      </c>
      <c r="M8394" t="s">
        <v>603</v>
      </c>
      <c r="N8394" t="s">
        <v>599</v>
      </c>
      <c r="O8394" s="37" t="str">
        <f t="shared" si="658"/>
        <v>Digital Payment</v>
      </c>
      <c r="P8394">
        <v>28.08</v>
      </c>
      <c r="Q8394" s="37" t="str">
        <f>IF(P8394&gt;500,"High","low")</f>
        <v>low</v>
      </c>
      <c r="R8394" s="37" t="str">
        <f t="shared" si="659"/>
        <v>AVERAGE</v>
      </c>
      <c r="S8394" t="s">
        <v>600</v>
      </c>
    </row>
    <row r="8395" spans="1:19" x14ac:dyDescent="0.2">
      <c r="A8395" t="s">
        <v>9006</v>
      </c>
      <c r="B8395" t="s">
        <v>75</v>
      </c>
      <c r="C8395" t="s">
        <v>602</v>
      </c>
      <c r="D8395">
        <v>323.98</v>
      </c>
      <c r="E8395" s="37" t="str">
        <f t="shared" si="655"/>
        <v xml:space="preserve"> </v>
      </c>
      <c r="F8395">
        <v>0.44</v>
      </c>
      <c r="G8395" s="37" t="str">
        <f t="shared" si="656"/>
        <v>Heavy Discount</v>
      </c>
      <c r="H8395" s="37" t="str">
        <f t="shared" si="657"/>
        <v>High</v>
      </c>
      <c r="I8395">
        <v>3</v>
      </c>
      <c r="J8395" t="str" cm="1">
        <f t="array" ref="J8395">_xlfn.IFS(I8395&lt;=3,"small",I8395&lt;=6,"Medium",I8395&lt;=9,"Large")</f>
        <v>small</v>
      </c>
      <c r="K8395" s="36">
        <v>45293</v>
      </c>
      <c r="L8395" s="36">
        <v>45296</v>
      </c>
      <c r="M8395" t="s">
        <v>598</v>
      </c>
      <c r="N8395" t="s">
        <v>608</v>
      </c>
      <c r="O8395" s="37" t="str">
        <f t="shared" si="658"/>
        <v>Cash Payment</v>
      </c>
      <c r="P8395">
        <v>23.66</v>
      </c>
      <c r="Q8395" s="37" t="str">
        <f>IF(P8395&gt;500,"High","low")</f>
        <v>low</v>
      </c>
      <c r="R8395" s="37" t="str">
        <f t="shared" si="659"/>
        <v>AVERAGE</v>
      </c>
      <c r="S8395" t="s">
        <v>605</v>
      </c>
    </row>
    <row r="8396" spans="1:19" x14ac:dyDescent="0.2">
      <c r="A8396" t="s">
        <v>9007</v>
      </c>
      <c r="B8396" t="s">
        <v>83</v>
      </c>
      <c r="C8396" t="s">
        <v>597</v>
      </c>
      <c r="D8396">
        <v>289.55</v>
      </c>
      <c r="E8396" s="37" t="str">
        <f t="shared" si="655"/>
        <v xml:space="preserve"> </v>
      </c>
      <c r="F8396">
        <v>0.49</v>
      </c>
      <c r="G8396" s="37" t="str">
        <f t="shared" si="656"/>
        <v>Heavy Discount</v>
      </c>
      <c r="H8396" s="37" t="str">
        <f t="shared" si="657"/>
        <v>High</v>
      </c>
      <c r="I8396">
        <v>4</v>
      </c>
      <c r="J8396" t="str" cm="1">
        <f t="array" ref="J8396">_xlfn.IFS(I8396&lt;=3,"small",I8396&lt;=6,"Medium",I8396&lt;=9,"Large")</f>
        <v>Medium</v>
      </c>
      <c r="K8396" s="36">
        <v>45062</v>
      </c>
      <c r="L8396" s="36">
        <v>45066</v>
      </c>
      <c r="M8396" t="s">
        <v>598</v>
      </c>
      <c r="N8396" t="s">
        <v>604</v>
      </c>
      <c r="O8396" s="37" t="str">
        <f t="shared" si="658"/>
        <v>Digital Payment</v>
      </c>
      <c r="P8396">
        <v>36.75</v>
      </c>
      <c r="Q8396" s="37" t="str">
        <f>IF(P8396&gt;500,"High","low")</f>
        <v>low</v>
      </c>
      <c r="R8396" s="37" t="str">
        <f t="shared" si="659"/>
        <v>AVERAGE</v>
      </c>
      <c r="S8396" t="s">
        <v>628</v>
      </c>
    </row>
    <row r="8397" spans="1:19" x14ac:dyDescent="0.2">
      <c r="A8397" t="s">
        <v>9008</v>
      </c>
      <c r="B8397" t="s">
        <v>67</v>
      </c>
      <c r="C8397" t="s">
        <v>614</v>
      </c>
      <c r="D8397">
        <v>2495.5500000000002</v>
      </c>
      <c r="E8397" s="37" t="str">
        <f t="shared" si="655"/>
        <v xml:space="preserve"> </v>
      </c>
      <c r="F8397">
        <v>0.44</v>
      </c>
      <c r="G8397" s="37" t="str">
        <f t="shared" si="656"/>
        <v>Heavy Discount</v>
      </c>
      <c r="H8397" s="37" t="str">
        <f t="shared" si="657"/>
        <v>High</v>
      </c>
      <c r="I8397">
        <v>4</v>
      </c>
      <c r="J8397" t="str" cm="1">
        <f t="array" ref="J8397">_xlfn.IFS(I8397&lt;=3,"small",I8397&lt;=6,"Medium",I8397&lt;=9,"Large")</f>
        <v>Medium</v>
      </c>
      <c r="K8397" s="36">
        <v>45164</v>
      </c>
      <c r="L8397" s="36">
        <v>45167</v>
      </c>
      <c r="M8397" t="s">
        <v>612</v>
      </c>
      <c r="N8397" t="s">
        <v>608</v>
      </c>
      <c r="O8397" s="37" t="str">
        <f t="shared" si="658"/>
        <v>Cash Payment</v>
      </c>
      <c r="P8397">
        <v>483.25</v>
      </c>
      <c r="Q8397" s="37" t="str">
        <f>IF(P8397&gt;500,"High","low")</f>
        <v>low</v>
      </c>
      <c r="R8397" s="37" t="str">
        <f t="shared" si="659"/>
        <v>AVERAGE</v>
      </c>
      <c r="S8397" t="s">
        <v>620</v>
      </c>
    </row>
    <row r="8398" spans="1:19" x14ac:dyDescent="0.2">
      <c r="A8398" t="s">
        <v>9009</v>
      </c>
      <c r="B8398" t="s">
        <v>67</v>
      </c>
      <c r="C8398" t="s">
        <v>617</v>
      </c>
      <c r="D8398">
        <v>1351.04</v>
      </c>
      <c r="E8398" s="37" t="str">
        <f t="shared" si="655"/>
        <v xml:space="preserve"> </v>
      </c>
      <c r="F8398">
        <v>0.48</v>
      </c>
      <c r="G8398" s="37" t="str">
        <f t="shared" si="656"/>
        <v>Heavy Discount</v>
      </c>
      <c r="H8398" s="37" t="str">
        <f t="shared" si="657"/>
        <v>High</v>
      </c>
      <c r="I8398">
        <v>8</v>
      </c>
      <c r="J8398" t="str" cm="1">
        <f t="array" ref="J8398">_xlfn.IFS(I8398&lt;=3,"small",I8398&lt;=6,"Medium",I8398&lt;=9,"Large")</f>
        <v>Large</v>
      </c>
      <c r="K8398" s="36">
        <v>44930</v>
      </c>
      <c r="L8398" s="36">
        <v>44932</v>
      </c>
      <c r="M8398" t="s">
        <v>603</v>
      </c>
      <c r="N8398" t="s">
        <v>599</v>
      </c>
      <c r="O8398" s="37" t="str">
        <f t="shared" si="658"/>
        <v>Digital Payment</v>
      </c>
      <c r="P8398">
        <v>74.02</v>
      </c>
      <c r="Q8398" s="37" t="str">
        <f>IF(P8398&gt;500,"High","low")</f>
        <v>low</v>
      </c>
      <c r="R8398" s="37" t="str">
        <f t="shared" si="659"/>
        <v>AVERAGE</v>
      </c>
      <c r="S8398" t="s">
        <v>628</v>
      </c>
    </row>
    <row r="8399" spans="1:19" x14ac:dyDescent="0.2">
      <c r="A8399" t="s">
        <v>9010</v>
      </c>
      <c r="B8399" t="s">
        <v>90</v>
      </c>
      <c r="C8399" t="s">
        <v>614</v>
      </c>
      <c r="D8399">
        <v>3482.84</v>
      </c>
      <c r="E8399" s="37" t="str">
        <f t="shared" si="655"/>
        <v xml:space="preserve"> </v>
      </c>
      <c r="F8399">
        <v>0.37</v>
      </c>
      <c r="G8399" s="37" t="str">
        <f t="shared" si="656"/>
        <v>Heavy Discount</v>
      </c>
      <c r="H8399" s="37" t="str">
        <f t="shared" si="657"/>
        <v>Medium</v>
      </c>
      <c r="I8399">
        <v>5</v>
      </c>
      <c r="J8399" t="str" cm="1">
        <f t="array" ref="J8399">_xlfn.IFS(I8399&lt;=3,"small",I8399&lt;=6,"Medium",I8399&lt;=9,"Large")</f>
        <v>Medium</v>
      </c>
      <c r="K8399" s="36">
        <v>45284</v>
      </c>
      <c r="L8399" s="36">
        <v>45290</v>
      </c>
      <c r="M8399" t="s">
        <v>612</v>
      </c>
      <c r="N8399" t="s">
        <v>599</v>
      </c>
      <c r="O8399" s="37" t="str">
        <f t="shared" si="658"/>
        <v>Digital Payment</v>
      </c>
      <c r="P8399">
        <v>427.68</v>
      </c>
      <c r="Q8399" s="37" t="str">
        <f>IF(P8399&gt;500,"High","low")</f>
        <v>low</v>
      </c>
      <c r="R8399" s="37" t="str">
        <f t="shared" si="659"/>
        <v>AVERAGE</v>
      </c>
      <c r="S8399" t="s">
        <v>628</v>
      </c>
    </row>
    <row r="8400" spans="1:19" x14ac:dyDescent="0.2">
      <c r="A8400" t="s">
        <v>9011</v>
      </c>
      <c r="B8400" t="s">
        <v>75</v>
      </c>
      <c r="C8400" t="s">
        <v>597</v>
      </c>
      <c r="D8400">
        <v>3304.07</v>
      </c>
      <c r="E8400" s="37" t="str">
        <f t="shared" si="655"/>
        <v xml:space="preserve"> </v>
      </c>
      <c r="F8400">
        <v>0.08</v>
      </c>
      <c r="G8400" s="37" t="str">
        <f t="shared" si="656"/>
        <v>Normal Discount</v>
      </c>
      <c r="H8400" s="37" t="str">
        <f t="shared" si="657"/>
        <v>Low</v>
      </c>
      <c r="I8400">
        <v>8</v>
      </c>
      <c r="J8400" t="str" cm="1">
        <f t="array" ref="J8400">_xlfn.IFS(I8400&lt;=3,"small",I8400&lt;=6,"Medium",I8400&lt;=9,"Large")</f>
        <v>Large</v>
      </c>
      <c r="K8400" s="36">
        <v>45638</v>
      </c>
      <c r="L8400" s="36">
        <v>45645</v>
      </c>
      <c r="M8400" t="s">
        <v>603</v>
      </c>
      <c r="N8400" t="s">
        <v>608</v>
      </c>
      <c r="O8400" s="37" t="str">
        <f t="shared" si="658"/>
        <v>Cash Payment</v>
      </c>
      <c r="P8400">
        <v>264.3</v>
      </c>
      <c r="Q8400" s="37" t="str">
        <f>IF(P8400&gt;500,"High","low")</f>
        <v>low</v>
      </c>
      <c r="R8400" s="37" t="str">
        <f t="shared" si="659"/>
        <v>AVERAGE</v>
      </c>
      <c r="S8400" t="s">
        <v>600</v>
      </c>
    </row>
    <row r="8401" spans="1:19" x14ac:dyDescent="0.2">
      <c r="A8401" t="s">
        <v>9012</v>
      </c>
      <c r="B8401" t="s">
        <v>75</v>
      </c>
      <c r="C8401" t="s">
        <v>607</v>
      </c>
      <c r="D8401">
        <v>2755.9</v>
      </c>
      <c r="E8401" s="37" t="str">
        <f t="shared" si="655"/>
        <v xml:space="preserve"> </v>
      </c>
      <c r="F8401">
        <v>0.28000000000000003</v>
      </c>
      <c r="G8401" s="37" t="str">
        <f t="shared" si="656"/>
        <v>Normal Discount</v>
      </c>
      <c r="H8401" s="37" t="str">
        <f t="shared" si="657"/>
        <v>Medium</v>
      </c>
      <c r="I8401">
        <v>8</v>
      </c>
      <c r="J8401" t="str" cm="1">
        <f t="array" ref="J8401">_xlfn.IFS(I8401&lt;=3,"small",I8401&lt;=6,"Medium",I8401&lt;=9,"Large")</f>
        <v>Large</v>
      </c>
      <c r="K8401" s="36">
        <v>44999</v>
      </c>
      <c r="L8401" s="36">
        <v>45006</v>
      </c>
      <c r="M8401" t="s">
        <v>612</v>
      </c>
      <c r="N8401" t="s">
        <v>599</v>
      </c>
      <c r="O8401" s="37" t="str">
        <f t="shared" si="658"/>
        <v>Digital Payment</v>
      </c>
      <c r="P8401">
        <v>569.97</v>
      </c>
      <c r="Q8401" s="37" t="str">
        <f>IF(P8401&gt;500,"High","low")</f>
        <v>High</v>
      </c>
      <c r="R8401" s="37" t="str">
        <f t="shared" si="659"/>
        <v>Good</v>
      </c>
      <c r="S8401" t="s">
        <v>615</v>
      </c>
    </row>
    <row r="8402" spans="1:19" x14ac:dyDescent="0.2">
      <c r="A8402" t="s">
        <v>9013</v>
      </c>
      <c r="B8402" t="s">
        <v>83</v>
      </c>
      <c r="C8402" t="s">
        <v>617</v>
      </c>
      <c r="D8402">
        <v>1828.93</v>
      </c>
      <c r="E8402" s="37" t="str">
        <f t="shared" si="655"/>
        <v xml:space="preserve"> </v>
      </c>
      <c r="F8402">
        <v>0.37</v>
      </c>
      <c r="G8402" s="37" t="str">
        <f t="shared" si="656"/>
        <v>Heavy Discount</v>
      </c>
      <c r="H8402" s="37" t="str">
        <f t="shared" si="657"/>
        <v>Medium</v>
      </c>
      <c r="I8402">
        <v>6</v>
      </c>
      <c r="J8402" t="str" cm="1">
        <f t="array" ref="J8402">_xlfn.IFS(I8402&lt;=3,"small",I8402&lt;=6,"Medium",I8402&lt;=9,"Large")</f>
        <v>Medium</v>
      </c>
      <c r="K8402" s="36">
        <v>44967</v>
      </c>
      <c r="L8402" s="36">
        <v>44968</v>
      </c>
      <c r="M8402" t="s">
        <v>603</v>
      </c>
      <c r="N8402" t="s">
        <v>608</v>
      </c>
      <c r="O8402" s="37" t="str">
        <f t="shared" si="658"/>
        <v>Cash Payment</v>
      </c>
      <c r="P8402">
        <v>417.54</v>
      </c>
      <c r="Q8402" s="37" t="str">
        <f>IF(P8402&gt;500,"High","low")</f>
        <v>low</v>
      </c>
      <c r="R8402" s="37" t="str">
        <f t="shared" si="659"/>
        <v>AVERAGE</v>
      </c>
      <c r="S8402" t="s">
        <v>628</v>
      </c>
    </row>
    <row r="8403" spans="1:19" x14ac:dyDescent="0.2">
      <c r="A8403" t="s">
        <v>9014</v>
      </c>
      <c r="B8403" t="s">
        <v>90</v>
      </c>
      <c r="C8403" t="s">
        <v>607</v>
      </c>
      <c r="D8403">
        <v>4267.24</v>
      </c>
      <c r="E8403" s="37" t="str">
        <f t="shared" si="655"/>
        <v xml:space="preserve"> </v>
      </c>
      <c r="F8403">
        <v>0.26</v>
      </c>
      <c r="G8403" s="37" t="str">
        <f t="shared" si="656"/>
        <v>Normal Discount</v>
      </c>
      <c r="H8403" s="37" t="str">
        <f t="shared" si="657"/>
        <v>Medium</v>
      </c>
      <c r="I8403">
        <v>5</v>
      </c>
      <c r="J8403" t="str" cm="1">
        <f t="array" ref="J8403">_xlfn.IFS(I8403&lt;=3,"small",I8403&lt;=6,"Medium",I8403&lt;=9,"Large")</f>
        <v>Medium</v>
      </c>
      <c r="K8403" s="36">
        <v>45422</v>
      </c>
      <c r="L8403" s="36">
        <v>45428</v>
      </c>
      <c r="M8403" t="s">
        <v>598</v>
      </c>
      <c r="N8403" t="s">
        <v>599</v>
      </c>
      <c r="O8403" s="37" t="str">
        <f t="shared" si="658"/>
        <v>Digital Payment</v>
      </c>
      <c r="P8403">
        <v>236.81</v>
      </c>
      <c r="Q8403" s="37" t="str">
        <f>IF(P8403&gt;500,"High","low")</f>
        <v>low</v>
      </c>
      <c r="R8403" s="37" t="str">
        <f t="shared" si="659"/>
        <v>AVERAGE</v>
      </c>
      <c r="S8403" t="s">
        <v>620</v>
      </c>
    </row>
    <row r="8404" spans="1:19" x14ac:dyDescent="0.2">
      <c r="A8404" t="s">
        <v>9015</v>
      </c>
      <c r="B8404" t="s">
        <v>90</v>
      </c>
      <c r="C8404" t="s">
        <v>602</v>
      </c>
      <c r="D8404">
        <v>3577.54</v>
      </c>
      <c r="E8404" s="37" t="str">
        <f t="shared" si="655"/>
        <v xml:space="preserve"> </v>
      </c>
      <c r="F8404">
        <v>0.28000000000000003</v>
      </c>
      <c r="G8404" s="37" t="str">
        <f t="shared" si="656"/>
        <v>Normal Discount</v>
      </c>
      <c r="H8404" s="37" t="str">
        <f t="shared" si="657"/>
        <v>Medium</v>
      </c>
      <c r="I8404">
        <v>2</v>
      </c>
      <c r="J8404" t="str" cm="1">
        <f t="array" ref="J8404">_xlfn.IFS(I8404&lt;=3,"small",I8404&lt;=6,"Medium",I8404&lt;=9,"Large")</f>
        <v>small</v>
      </c>
      <c r="K8404" s="36">
        <v>45351</v>
      </c>
      <c r="L8404" s="36">
        <v>45352</v>
      </c>
      <c r="M8404" t="s">
        <v>603</v>
      </c>
      <c r="N8404" t="s">
        <v>608</v>
      </c>
      <c r="O8404" s="37" t="str">
        <f t="shared" si="658"/>
        <v>Cash Payment</v>
      </c>
      <c r="P8404">
        <v>1015.47</v>
      </c>
      <c r="Q8404" s="37" t="str">
        <f>IF(P8404&gt;500,"High","low")</f>
        <v>High</v>
      </c>
      <c r="R8404" s="37" t="str">
        <f t="shared" si="659"/>
        <v>Excellent</v>
      </c>
      <c r="S8404" t="s">
        <v>605</v>
      </c>
    </row>
    <row r="8405" spans="1:19" x14ac:dyDescent="0.2">
      <c r="A8405" t="s">
        <v>9016</v>
      </c>
      <c r="B8405" t="s">
        <v>67</v>
      </c>
      <c r="C8405" t="s">
        <v>617</v>
      </c>
      <c r="D8405">
        <v>1430.48</v>
      </c>
      <c r="E8405" s="37" t="str">
        <f t="shared" si="655"/>
        <v xml:space="preserve"> </v>
      </c>
      <c r="F8405">
        <v>0.28999999999999998</v>
      </c>
      <c r="G8405" s="37" t="str">
        <f t="shared" si="656"/>
        <v>Normal Discount</v>
      </c>
      <c r="H8405" s="37" t="str">
        <f t="shared" si="657"/>
        <v>Medium</v>
      </c>
      <c r="I8405">
        <v>1</v>
      </c>
      <c r="J8405" t="str" cm="1">
        <f t="array" ref="J8405">_xlfn.IFS(I8405&lt;=3,"small",I8405&lt;=6,"Medium",I8405&lt;=9,"Large")</f>
        <v>small</v>
      </c>
      <c r="K8405" s="36">
        <v>45469</v>
      </c>
      <c r="L8405" s="36">
        <v>45470</v>
      </c>
      <c r="M8405" t="s">
        <v>598</v>
      </c>
      <c r="N8405" t="s">
        <v>599</v>
      </c>
      <c r="O8405" s="37" t="str">
        <f t="shared" si="658"/>
        <v>Digital Payment</v>
      </c>
      <c r="P8405">
        <v>335.01</v>
      </c>
      <c r="Q8405" s="37" t="str">
        <f>IF(P8405&gt;500,"High","low")</f>
        <v>low</v>
      </c>
      <c r="R8405" s="37" t="str">
        <f t="shared" si="659"/>
        <v>AVERAGE</v>
      </c>
      <c r="S8405" t="s">
        <v>600</v>
      </c>
    </row>
    <row r="8406" spans="1:19" x14ac:dyDescent="0.2">
      <c r="A8406" t="s">
        <v>9017</v>
      </c>
      <c r="B8406" t="s">
        <v>67</v>
      </c>
      <c r="C8406" t="s">
        <v>614</v>
      </c>
      <c r="D8406">
        <v>2558.27</v>
      </c>
      <c r="E8406" s="37" t="str">
        <f t="shared" si="655"/>
        <v xml:space="preserve"> </v>
      </c>
      <c r="F8406">
        <v>0.23</v>
      </c>
      <c r="G8406" s="37" t="str">
        <f t="shared" si="656"/>
        <v>Normal Discount</v>
      </c>
      <c r="H8406" s="37" t="str">
        <f t="shared" si="657"/>
        <v>Medium</v>
      </c>
      <c r="I8406">
        <v>7</v>
      </c>
      <c r="J8406" t="str" cm="1">
        <f t="array" ref="J8406">_xlfn.IFS(I8406&lt;=3,"small",I8406&lt;=6,"Medium",I8406&lt;=9,"Large")</f>
        <v>Large</v>
      </c>
      <c r="K8406" s="36">
        <v>45021</v>
      </c>
      <c r="L8406" s="36">
        <v>45023</v>
      </c>
      <c r="M8406" t="s">
        <v>598</v>
      </c>
      <c r="N8406" t="s">
        <v>604</v>
      </c>
      <c r="O8406" s="37" t="str">
        <f t="shared" si="658"/>
        <v>Digital Payment</v>
      </c>
      <c r="P8406">
        <v>338.77</v>
      </c>
      <c r="Q8406" s="37" t="str">
        <f>IF(P8406&gt;500,"High","low")</f>
        <v>low</v>
      </c>
      <c r="R8406" s="37" t="str">
        <f t="shared" si="659"/>
        <v>AVERAGE</v>
      </c>
      <c r="S8406" t="s">
        <v>620</v>
      </c>
    </row>
    <row r="8407" spans="1:19" x14ac:dyDescent="0.2">
      <c r="A8407" t="s">
        <v>9018</v>
      </c>
      <c r="B8407" t="s">
        <v>67</v>
      </c>
      <c r="C8407" t="s">
        <v>607</v>
      </c>
      <c r="D8407">
        <v>865.73</v>
      </c>
      <c r="E8407" s="37" t="str">
        <f t="shared" si="655"/>
        <v xml:space="preserve"> </v>
      </c>
      <c r="F8407">
        <v>0.15</v>
      </c>
      <c r="G8407" s="37" t="str">
        <f t="shared" si="656"/>
        <v>Normal Discount</v>
      </c>
      <c r="H8407" s="37" t="str">
        <f t="shared" si="657"/>
        <v>Low</v>
      </c>
      <c r="I8407">
        <v>7</v>
      </c>
      <c r="J8407" t="str" cm="1">
        <f t="array" ref="J8407">_xlfn.IFS(I8407&lt;=3,"small",I8407&lt;=6,"Medium",I8407&lt;=9,"Large")</f>
        <v>Large</v>
      </c>
      <c r="K8407" s="36">
        <v>44986</v>
      </c>
      <c r="L8407" s="36">
        <v>44991</v>
      </c>
      <c r="M8407" t="s">
        <v>598</v>
      </c>
      <c r="N8407" t="s">
        <v>604</v>
      </c>
      <c r="O8407" s="37" t="str">
        <f t="shared" si="658"/>
        <v>Digital Payment</v>
      </c>
      <c r="P8407">
        <v>199.61</v>
      </c>
      <c r="Q8407" s="37" t="str">
        <f>IF(P8407&gt;500,"High","low")</f>
        <v>low</v>
      </c>
      <c r="R8407" s="37" t="str">
        <f t="shared" si="659"/>
        <v>AVERAGE</v>
      </c>
      <c r="S8407" t="s">
        <v>600</v>
      </c>
    </row>
    <row r="8408" spans="1:19" x14ac:dyDescent="0.2">
      <c r="A8408" t="s">
        <v>9019</v>
      </c>
      <c r="B8408" t="s">
        <v>83</v>
      </c>
      <c r="C8408" t="s">
        <v>602</v>
      </c>
      <c r="D8408">
        <v>1711</v>
      </c>
      <c r="E8408" s="37" t="str">
        <f t="shared" si="655"/>
        <v xml:space="preserve"> </v>
      </c>
      <c r="F8408">
        <v>0.32</v>
      </c>
      <c r="G8408" s="37" t="str">
        <f t="shared" si="656"/>
        <v>Heavy Discount</v>
      </c>
      <c r="H8408" s="37" t="str">
        <f t="shared" si="657"/>
        <v>Medium</v>
      </c>
      <c r="I8408">
        <v>2</v>
      </c>
      <c r="J8408" t="str" cm="1">
        <f t="array" ref="J8408">_xlfn.IFS(I8408&lt;=3,"small",I8408&lt;=6,"Medium",I8408&lt;=9,"Large")</f>
        <v>small</v>
      </c>
      <c r="K8408" s="36">
        <v>45361</v>
      </c>
      <c r="L8408" s="36">
        <v>45363</v>
      </c>
      <c r="M8408" t="s">
        <v>603</v>
      </c>
      <c r="N8408" t="s">
        <v>599</v>
      </c>
      <c r="O8408" s="37" t="str">
        <f t="shared" si="658"/>
        <v>Digital Payment</v>
      </c>
      <c r="P8408">
        <v>280.47000000000003</v>
      </c>
      <c r="Q8408" s="37" t="str">
        <f>IF(P8408&gt;500,"High","low")</f>
        <v>low</v>
      </c>
      <c r="R8408" s="37" t="str">
        <f t="shared" si="659"/>
        <v>AVERAGE</v>
      </c>
      <c r="S8408" t="s">
        <v>605</v>
      </c>
    </row>
    <row r="8409" spans="1:19" x14ac:dyDescent="0.2">
      <c r="A8409" t="s">
        <v>9020</v>
      </c>
      <c r="B8409" t="s">
        <v>83</v>
      </c>
      <c r="C8409" t="s">
        <v>617</v>
      </c>
      <c r="D8409">
        <v>4985.99</v>
      </c>
      <c r="E8409" s="37" t="str">
        <f t="shared" si="655"/>
        <v>Excellent Order</v>
      </c>
      <c r="F8409">
        <v>0.03</v>
      </c>
      <c r="G8409" s="37" t="str">
        <f t="shared" si="656"/>
        <v>Normal Discount</v>
      </c>
      <c r="H8409" s="37" t="str">
        <f t="shared" si="657"/>
        <v>Low</v>
      </c>
      <c r="I8409">
        <v>3</v>
      </c>
      <c r="J8409" t="str" cm="1">
        <f t="array" ref="J8409">_xlfn.IFS(I8409&lt;=3,"small",I8409&lt;=6,"Medium",I8409&lt;=9,"Large")</f>
        <v>small</v>
      </c>
      <c r="K8409" s="36">
        <v>45381</v>
      </c>
      <c r="L8409" s="36">
        <v>45382</v>
      </c>
      <c r="M8409" t="s">
        <v>612</v>
      </c>
      <c r="N8409" t="s">
        <v>608</v>
      </c>
      <c r="O8409" s="37" t="str">
        <f t="shared" si="658"/>
        <v>Cash Payment</v>
      </c>
      <c r="P8409">
        <v>1094.6500000000001</v>
      </c>
      <c r="Q8409" s="37" t="str">
        <f>IF(P8409&gt;500,"High","low")</f>
        <v>High</v>
      </c>
      <c r="R8409" s="37" t="str">
        <f t="shared" si="659"/>
        <v>Excellent</v>
      </c>
      <c r="S8409" t="s">
        <v>600</v>
      </c>
    </row>
    <row r="8410" spans="1:19" x14ac:dyDescent="0.2">
      <c r="A8410" t="s">
        <v>9021</v>
      </c>
      <c r="B8410" t="s">
        <v>67</v>
      </c>
      <c r="C8410" t="s">
        <v>602</v>
      </c>
      <c r="D8410">
        <v>1196.8399999999999</v>
      </c>
      <c r="E8410" s="37" t="str">
        <f t="shared" si="655"/>
        <v xml:space="preserve"> </v>
      </c>
      <c r="F8410">
        <v>0.09</v>
      </c>
      <c r="G8410" s="37" t="str">
        <f t="shared" si="656"/>
        <v>Normal Discount</v>
      </c>
      <c r="H8410" s="37" t="str">
        <f t="shared" si="657"/>
        <v>Low</v>
      </c>
      <c r="I8410">
        <v>8</v>
      </c>
      <c r="J8410" t="str" cm="1">
        <f t="array" ref="J8410">_xlfn.IFS(I8410&lt;=3,"small",I8410&lt;=6,"Medium",I8410&lt;=9,"Large")</f>
        <v>Large</v>
      </c>
      <c r="K8410" s="36">
        <v>44951</v>
      </c>
      <c r="L8410" s="36">
        <v>44956</v>
      </c>
      <c r="M8410" t="s">
        <v>612</v>
      </c>
      <c r="N8410" t="s">
        <v>608</v>
      </c>
      <c r="O8410" s="37" t="str">
        <f t="shared" si="658"/>
        <v>Cash Payment</v>
      </c>
      <c r="P8410">
        <v>186.09</v>
      </c>
      <c r="Q8410" s="37" t="str">
        <f>IF(P8410&gt;500,"High","low")</f>
        <v>low</v>
      </c>
      <c r="R8410" s="37" t="str">
        <f t="shared" si="659"/>
        <v>AVERAGE</v>
      </c>
      <c r="S8410" t="s">
        <v>628</v>
      </c>
    </row>
    <row r="8411" spans="1:19" x14ac:dyDescent="0.2">
      <c r="A8411" t="s">
        <v>9022</v>
      </c>
      <c r="B8411" t="s">
        <v>90</v>
      </c>
      <c r="C8411" t="s">
        <v>614</v>
      </c>
      <c r="D8411">
        <v>3521.68</v>
      </c>
      <c r="E8411" s="37" t="str">
        <f t="shared" si="655"/>
        <v xml:space="preserve"> </v>
      </c>
      <c r="F8411">
        <v>0.46</v>
      </c>
      <c r="G8411" s="37" t="str">
        <f t="shared" si="656"/>
        <v>Heavy Discount</v>
      </c>
      <c r="H8411" s="37" t="str">
        <f t="shared" si="657"/>
        <v>High</v>
      </c>
      <c r="I8411">
        <v>4</v>
      </c>
      <c r="J8411" t="str" cm="1">
        <f t="array" ref="J8411">_xlfn.IFS(I8411&lt;=3,"small",I8411&lt;=6,"Medium",I8411&lt;=9,"Large")</f>
        <v>Medium</v>
      </c>
      <c r="K8411" s="36">
        <v>45635</v>
      </c>
      <c r="L8411" s="36">
        <v>45639</v>
      </c>
      <c r="M8411" t="s">
        <v>598</v>
      </c>
      <c r="N8411" t="s">
        <v>608</v>
      </c>
      <c r="O8411" s="37" t="str">
        <f t="shared" si="658"/>
        <v>Cash Payment</v>
      </c>
      <c r="P8411">
        <v>565.15</v>
      </c>
      <c r="Q8411" s="37" t="str">
        <f>IF(P8411&gt;500,"High","low")</f>
        <v>High</v>
      </c>
      <c r="R8411" s="37" t="str">
        <f t="shared" si="659"/>
        <v>Good</v>
      </c>
      <c r="S8411" t="s">
        <v>600</v>
      </c>
    </row>
    <row r="8412" spans="1:19" x14ac:dyDescent="0.2">
      <c r="A8412" t="s">
        <v>9023</v>
      </c>
      <c r="B8412" t="s">
        <v>83</v>
      </c>
      <c r="C8412" t="s">
        <v>617</v>
      </c>
      <c r="D8412">
        <v>1268.25</v>
      </c>
      <c r="E8412" s="37" t="str">
        <f t="shared" si="655"/>
        <v xml:space="preserve"> </v>
      </c>
      <c r="F8412">
        <v>0.24</v>
      </c>
      <c r="G8412" s="37" t="str">
        <f t="shared" si="656"/>
        <v>Normal Discount</v>
      </c>
      <c r="H8412" s="37" t="str">
        <f t="shared" si="657"/>
        <v>Medium</v>
      </c>
      <c r="I8412">
        <v>5</v>
      </c>
      <c r="J8412" t="str" cm="1">
        <f t="array" ref="J8412">_xlfn.IFS(I8412&lt;=3,"small",I8412&lt;=6,"Medium",I8412&lt;=9,"Large")</f>
        <v>Medium</v>
      </c>
      <c r="K8412" s="36">
        <v>45502</v>
      </c>
      <c r="L8412" s="36">
        <v>45504</v>
      </c>
      <c r="M8412" t="s">
        <v>612</v>
      </c>
      <c r="N8412" t="s">
        <v>608</v>
      </c>
      <c r="O8412" s="37" t="str">
        <f t="shared" si="658"/>
        <v>Cash Payment</v>
      </c>
      <c r="P8412">
        <v>123.29</v>
      </c>
      <c r="Q8412" s="37" t="str">
        <f>IF(P8412&gt;500,"High","low")</f>
        <v>low</v>
      </c>
      <c r="R8412" s="37" t="str">
        <f t="shared" si="659"/>
        <v>AVERAGE</v>
      </c>
      <c r="S8412" t="s">
        <v>615</v>
      </c>
    </row>
    <row r="8413" spans="1:19" x14ac:dyDescent="0.2">
      <c r="A8413" t="s">
        <v>9024</v>
      </c>
      <c r="B8413" t="s">
        <v>90</v>
      </c>
      <c r="C8413" t="s">
        <v>602</v>
      </c>
      <c r="D8413">
        <v>4696.8599999999997</v>
      </c>
      <c r="E8413" s="37" t="str">
        <f t="shared" si="655"/>
        <v>Excellent Order</v>
      </c>
      <c r="F8413">
        <v>0.41</v>
      </c>
      <c r="G8413" s="37" t="str">
        <f t="shared" si="656"/>
        <v>Heavy Discount</v>
      </c>
      <c r="H8413" s="37" t="str">
        <f t="shared" si="657"/>
        <v>High</v>
      </c>
      <c r="I8413">
        <v>7</v>
      </c>
      <c r="J8413" t="str" cm="1">
        <f t="array" ref="J8413">_xlfn.IFS(I8413&lt;=3,"small",I8413&lt;=6,"Medium",I8413&lt;=9,"Large")</f>
        <v>Large</v>
      </c>
      <c r="K8413" s="36">
        <v>45364</v>
      </c>
      <c r="L8413" s="36">
        <v>45367</v>
      </c>
      <c r="M8413" t="s">
        <v>603</v>
      </c>
      <c r="N8413" t="s">
        <v>599</v>
      </c>
      <c r="O8413" s="37" t="str">
        <f t="shared" si="658"/>
        <v>Digital Payment</v>
      </c>
      <c r="P8413">
        <v>1253.05</v>
      </c>
      <c r="Q8413" s="37" t="str">
        <f>IF(P8413&gt;500,"High","low")</f>
        <v>High</v>
      </c>
      <c r="R8413" s="37" t="str">
        <f t="shared" si="659"/>
        <v>Excellent</v>
      </c>
      <c r="S8413" t="s">
        <v>620</v>
      </c>
    </row>
    <row r="8414" spans="1:19" x14ac:dyDescent="0.2">
      <c r="A8414" t="s">
        <v>9025</v>
      </c>
      <c r="B8414" t="s">
        <v>90</v>
      </c>
      <c r="C8414" t="s">
        <v>597</v>
      </c>
      <c r="D8414">
        <v>1619.65</v>
      </c>
      <c r="E8414" s="37" t="str">
        <f t="shared" si="655"/>
        <v xml:space="preserve"> </v>
      </c>
      <c r="F8414">
        <v>0.36</v>
      </c>
      <c r="G8414" s="37" t="str">
        <f t="shared" si="656"/>
        <v>Heavy Discount</v>
      </c>
      <c r="H8414" s="37" t="str">
        <f t="shared" si="657"/>
        <v>Medium</v>
      </c>
      <c r="I8414">
        <v>8</v>
      </c>
      <c r="J8414" t="str" cm="1">
        <f t="array" ref="J8414">_xlfn.IFS(I8414&lt;=3,"small",I8414&lt;=6,"Medium",I8414&lt;=9,"Large")</f>
        <v>Large</v>
      </c>
      <c r="K8414" s="36">
        <v>45288</v>
      </c>
      <c r="L8414" s="36">
        <v>45295</v>
      </c>
      <c r="M8414" t="s">
        <v>612</v>
      </c>
      <c r="N8414" t="s">
        <v>599</v>
      </c>
      <c r="O8414" s="37" t="str">
        <f t="shared" si="658"/>
        <v>Digital Payment</v>
      </c>
      <c r="P8414">
        <v>450.69</v>
      </c>
      <c r="Q8414" s="37" t="str">
        <f>IF(P8414&gt;500,"High","low")</f>
        <v>low</v>
      </c>
      <c r="R8414" s="37" t="str">
        <f t="shared" si="659"/>
        <v>AVERAGE</v>
      </c>
      <c r="S8414" t="s">
        <v>605</v>
      </c>
    </row>
    <row r="8415" spans="1:19" x14ac:dyDescent="0.2">
      <c r="A8415" t="s">
        <v>9026</v>
      </c>
      <c r="B8415" t="s">
        <v>75</v>
      </c>
      <c r="C8415" t="s">
        <v>617</v>
      </c>
      <c r="D8415">
        <v>1798.78</v>
      </c>
      <c r="E8415" s="37" t="str">
        <f t="shared" si="655"/>
        <v xml:space="preserve"> </v>
      </c>
      <c r="F8415">
        <v>0.16</v>
      </c>
      <c r="G8415" s="37" t="str">
        <f t="shared" si="656"/>
        <v>Normal Discount</v>
      </c>
      <c r="H8415" s="37" t="str">
        <f t="shared" si="657"/>
        <v>Low</v>
      </c>
      <c r="I8415">
        <v>1</v>
      </c>
      <c r="J8415" t="str" cm="1">
        <f t="array" ref="J8415">_xlfn.IFS(I8415&lt;=3,"small",I8415&lt;=6,"Medium",I8415&lt;=9,"Large")</f>
        <v>small</v>
      </c>
      <c r="K8415" s="36">
        <v>45261</v>
      </c>
      <c r="L8415" s="36">
        <v>45264</v>
      </c>
      <c r="M8415" t="s">
        <v>598</v>
      </c>
      <c r="N8415" t="s">
        <v>604</v>
      </c>
      <c r="O8415" s="37" t="str">
        <f t="shared" si="658"/>
        <v>Digital Payment</v>
      </c>
      <c r="P8415">
        <v>269.41000000000003</v>
      </c>
      <c r="Q8415" s="37" t="str">
        <f>IF(P8415&gt;500,"High","low")</f>
        <v>low</v>
      </c>
      <c r="R8415" s="37" t="str">
        <f t="shared" si="659"/>
        <v>AVERAGE</v>
      </c>
      <c r="S8415" t="s">
        <v>609</v>
      </c>
    </row>
    <row r="8416" spans="1:19" x14ac:dyDescent="0.2">
      <c r="A8416" t="s">
        <v>9027</v>
      </c>
      <c r="B8416" t="s">
        <v>67</v>
      </c>
      <c r="C8416" t="s">
        <v>617</v>
      </c>
      <c r="D8416">
        <v>3009.91</v>
      </c>
      <c r="E8416" s="37" t="str">
        <f t="shared" si="655"/>
        <v xml:space="preserve"> </v>
      </c>
      <c r="F8416">
        <v>0.4</v>
      </c>
      <c r="G8416" s="37" t="str">
        <f t="shared" si="656"/>
        <v>Heavy Discount</v>
      </c>
      <c r="H8416" s="37" t="str">
        <f t="shared" si="657"/>
        <v>Medium</v>
      </c>
      <c r="I8416">
        <v>7</v>
      </c>
      <c r="J8416" t="str" cm="1">
        <f t="array" ref="J8416">_xlfn.IFS(I8416&lt;=3,"small",I8416&lt;=6,"Medium",I8416&lt;=9,"Large")</f>
        <v>Large</v>
      </c>
      <c r="K8416" s="36">
        <v>45103</v>
      </c>
      <c r="L8416" s="36">
        <v>45106</v>
      </c>
      <c r="M8416" t="s">
        <v>603</v>
      </c>
      <c r="N8416" t="s">
        <v>599</v>
      </c>
      <c r="O8416" s="37" t="str">
        <f t="shared" si="658"/>
        <v>Digital Payment</v>
      </c>
      <c r="P8416">
        <v>441.78</v>
      </c>
      <c r="Q8416" s="37" t="str">
        <f>IF(P8416&gt;500,"High","low")</f>
        <v>low</v>
      </c>
      <c r="R8416" s="37" t="str">
        <f t="shared" si="659"/>
        <v>AVERAGE</v>
      </c>
      <c r="S8416" t="s">
        <v>600</v>
      </c>
    </row>
    <row r="8417" spans="1:19" x14ac:dyDescent="0.2">
      <c r="A8417" t="s">
        <v>9028</v>
      </c>
      <c r="B8417" t="s">
        <v>75</v>
      </c>
      <c r="C8417" t="s">
        <v>617</v>
      </c>
      <c r="D8417">
        <v>2981.75</v>
      </c>
      <c r="E8417" s="37" t="str">
        <f t="shared" si="655"/>
        <v xml:space="preserve"> </v>
      </c>
      <c r="F8417">
        <v>0.05</v>
      </c>
      <c r="G8417" s="37" t="str">
        <f t="shared" si="656"/>
        <v>Normal Discount</v>
      </c>
      <c r="H8417" s="37" t="str">
        <f t="shared" si="657"/>
        <v>Low</v>
      </c>
      <c r="I8417">
        <v>3</v>
      </c>
      <c r="J8417" t="str" cm="1">
        <f t="array" ref="J8417">_xlfn.IFS(I8417&lt;=3,"small",I8417&lt;=6,"Medium",I8417&lt;=9,"Large")</f>
        <v>small</v>
      </c>
      <c r="K8417" s="36">
        <v>45628</v>
      </c>
      <c r="L8417" s="36">
        <v>45630</v>
      </c>
      <c r="M8417" t="s">
        <v>612</v>
      </c>
      <c r="N8417" t="s">
        <v>604</v>
      </c>
      <c r="O8417" s="37" t="str">
        <f t="shared" si="658"/>
        <v>Digital Payment</v>
      </c>
      <c r="P8417">
        <v>266.99</v>
      </c>
      <c r="Q8417" s="37" t="str">
        <f>IF(P8417&gt;500,"High","low")</f>
        <v>low</v>
      </c>
      <c r="R8417" s="37" t="str">
        <f t="shared" si="659"/>
        <v>AVERAGE</v>
      </c>
      <c r="S8417" t="s">
        <v>628</v>
      </c>
    </row>
    <row r="8418" spans="1:19" x14ac:dyDescent="0.2">
      <c r="A8418" t="s">
        <v>9029</v>
      </c>
      <c r="B8418" t="s">
        <v>67</v>
      </c>
      <c r="C8418" t="s">
        <v>617</v>
      </c>
      <c r="D8418">
        <v>2937.47</v>
      </c>
      <c r="E8418" s="37" t="str">
        <f t="shared" si="655"/>
        <v xml:space="preserve"> </v>
      </c>
      <c r="F8418">
        <v>0.44</v>
      </c>
      <c r="G8418" s="37" t="str">
        <f t="shared" si="656"/>
        <v>Heavy Discount</v>
      </c>
      <c r="H8418" s="37" t="str">
        <f t="shared" si="657"/>
        <v>High</v>
      </c>
      <c r="I8418">
        <v>5</v>
      </c>
      <c r="J8418" t="str" cm="1">
        <f t="array" ref="J8418">_xlfn.IFS(I8418&lt;=3,"small",I8418&lt;=6,"Medium",I8418&lt;=9,"Large")</f>
        <v>Medium</v>
      </c>
      <c r="K8418" s="36">
        <v>44978</v>
      </c>
      <c r="L8418" s="36">
        <v>44982</v>
      </c>
      <c r="M8418" t="s">
        <v>612</v>
      </c>
      <c r="N8418" t="s">
        <v>599</v>
      </c>
      <c r="O8418" s="37" t="str">
        <f t="shared" si="658"/>
        <v>Digital Payment</v>
      </c>
      <c r="P8418">
        <v>384.98</v>
      </c>
      <c r="Q8418" s="37" t="str">
        <f>IF(P8418&gt;500,"High","low")</f>
        <v>low</v>
      </c>
      <c r="R8418" s="37" t="str">
        <f t="shared" si="659"/>
        <v>AVERAGE</v>
      </c>
      <c r="S8418" t="s">
        <v>609</v>
      </c>
    </row>
    <row r="8419" spans="1:19" x14ac:dyDescent="0.2">
      <c r="A8419" t="s">
        <v>9030</v>
      </c>
      <c r="B8419" t="s">
        <v>67</v>
      </c>
      <c r="C8419" t="s">
        <v>597</v>
      </c>
      <c r="D8419">
        <v>2908.95</v>
      </c>
      <c r="E8419" s="37" t="str">
        <f t="shared" si="655"/>
        <v xml:space="preserve"> </v>
      </c>
      <c r="F8419">
        <v>0.34</v>
      </c>
      <c r="G8419" s="37" t="str">
        <f t="shared" si="656"/>
        <v>Heavy Discount</v>
      </c>
      <c r="H8419" s="37" t="str">
        <f t="shared" si="657"/>
        <v>Medium</v>
      </c>
      <c r="I8419">
        <v>1</v>
      </c>
      <c r="J8419" t="str" cm="1">
        <f t="array" ref="J8419">_xlfn.IFS(I8419&lt;=3,"small",I8419&lt;=6,"Medium",I8419&lt;=9,"Large")</f>
        <v>small</v>
      </c>
      <c r="K8419" s="36">
        <v>44957</v>
      </c>
      <c r="L8419" s="36">
        <v>44962</v>
      </c>
      <c r="M8419" t="s">
        <v>603</v>
      </c>
      <c r="N8419" t="s">
        <v>599</v>
      </c>
      <c r="O8419" s="37" t="str">
        <f t="shared" si="658"/>
        <v>Digital Payment</v>
      </c>
      <c r="P8419">
        <v>728.74</v>
      </c>
      <c r="Q8419" s="37" t="str">
        <f>IF(P8419&gt;500,"High","low")</f>
        <v>High</v>
      </c>
      <c r="R8419" s="37" t="str">
        <f t="shared" si="659"/>
        <v>Good</v>
      </c>
      <c r="S8419" t="s">
        <v>615</v>
      </c>
    </row>
    <row r="8420" spans="1:19" x14ac:dyDescent="0.2">
      <c r="A8420" t="s">
        <v>9031</v>
      </c>
      <c r="B8420" t="s">
        <v>90</v>
      </c>
      <c r="C8420" t="s">
        <v>614</v>
      </c>
      <c r="D8420">
        <v>1629.72</v>
      </c>
      <c r="E8420" s="37" t="str">
        <f t="shared" si="655"/>
        <v xml:space="preserve"> </v>
      </c>
      <c r="F8420">
        <v>0.46</v>
      </c>
      <c r="G8420" s="37" t="str">
        <f t="shared" si="656"/>
        <v>Heavy Discount</v>
      </c>
      <c r="H8420" s="37" t="str">
        <f t="shared" si="657"/>
        <v>High</v>
      </c>
      <c r="I8420">
        <v>3</v>
      </c>
      <c r="J8420" t="str" cm="1">
        <f t="array" ref="J8420">_xlfn.IFS(I8420&lt;=3,"small",I8420&lt;=6,"Medium",I8420&lt;=9,"Large")</f>
        <v>small</v>
      </c>
      <c r="K8420" s="36">
        <v>45110</v>
      </c>
      <c r="L8420" s="36">
        <v>45112</v>
      </c>
      <c r="M8420" t="s">
        <v>612</v>
      </c>
      <c r="N8420" t="s">
        <v>599</v>
      </c>
      <c r="O8420" s="37" t="str">
        <f t="shared" si="658"/>
        <v>Digital Payment</v>
      </c>
      <c r="P8420">
        <v>251.15</v>
      </c>
      <c r="Q8420" s="37" t="str">
        <f>IF(P8420&gt;500,"High","low")</f>
        <v>low</v>
      </c>
      <c r="R8420" s="37" t="str">
        <f t="shared" si="659"/>
        <v>AVERAGE</v>
      </c>
      <c r="S8420" t="s">
        <v>605</v>
      </c>
    </row>
    <row r="8421" spans="1:19" x14ac:dyDescent="0.2">
      <c r="A8421" t="s">
        <v>9032</v>
      </c>
      <c r="B8421" t="s">
        <v>67</v>
      </c>
      <c r="C8421" t="s">
        <v>597</v>
      </c>
      <c r="D8421">
        <v>2228.61</v>
      </c>
      <c r="E8421" s="37" t="str">
        <f t="shared" si="655"/>
        <v xml:space="preserve"> </v>
      </c>
      <c r="F8421">
        <v>0.45</v>
      </c>
      <c r="G8421" s="37" t="str">
        <f t="shared" si="656"/>
        <v>Heavy Discount</v>
      </c>
      <c r="H8421" s="37" t="str">
        <f t="shared" si="657"/>
        <v>High</v>
      </c>
      <c r="I8421">
        <v>5</v>
      </c>
      <c r="J8421" t="str" cm="1">
        <f t="array" ref="J8421">_xlfn.IFS(I8421&lt;=3,"small",I8421&lt;=6,"Medium",I8421&lt;=9,"Large")</f>
        <v>Medium</v>
      </c>
      <c r="K8421" s="36">
        <v>45043</v>
      </c>
      <c r="L8421" s="36">
        <v>45045</v>
      </c>
      <c r="M8421" t="s">
        <v>603</v>
      </c>
      <c r="N8421" t="s">
        <v>604</v>
      </c>
      <c r="O8421" s="37" t="str">
        <f t="shared" si="658"/>
        <v>Digital Payment</v>
      </c>
      <c r="P8421">
        <v>549.4</v>
      </c>
      <c r="Q8421" s="37" t="str">
        <f>IF(P8421&gt;500,"High","low")</f>
        <v>High</v>
      </c>
      <c r="R8421" s="37" t="str">
        <f t="shared" si="659"/>
        <v>Good</v>
      </c>
      <c r="S8421" t="s">
        <v>620</v>
      </c>
    </row>
    <row r="8422" spans="1:19" x14ac:dyDescent="0.2">
      <c r="A8422" t="s">
        <v>9033</v>
      </c>
      <c r="B8422" t="s">
        <v>90</v>
      </c>
      <c r="C8422" t="s">
        <v>597</v>
      </c>
      <c r="D8422">
        <v>3007.82</v>
      </c>
      <c r="E8422" s="37" t="str">
        <f t="shared" si="655"/>
        <v xml:space="preserve"> </v>
      </c>
      <c r="F8422">
        <v>0.19</v>
      </c>
      <c r="G8422" s="37" t="str">
        <f t="shared" si="656"/>
        <v>Normal Discount</v>
      </c>
      <c r="H8422" s="37" t="str">
        <f t="shared" si="657"/>
        <v>Low</v>
      </c>
      <c r="I8422">
        <v>1</v>
      </c>
      <c r="J8422" t="str" cm="1">
        <f t="array" ref="J8422">_xlfn.IFS(I8422&lt;=3,"small",I8422&lt;=6,"Medium",I8422&lt;=9,"Large")</f>
        <v>small</v>
      </c>
      <c r="K8422" s="36">
        <v>44999</v>
      </c>
      <c r="L8422" s="36">
        <v>45001</v>
      </c>
      <c r="M8422" t="s">
        <v>598</v>
      </c>
      <c r="N8422" t="s">
        <v>604</v>
      </c>
      <c r="O8422" s="37" t="str">
        <f t="shared" si="658"/>
        <v>Digital Payment</v>
      </c>
      <c r="P8422">
        <v>792.82</v>
      </c>
      <c r="Q8422" s="37" t="str">
        <f>IF(P8422&gt;500,"High","low")</f>
        <v>High</v>
      </c>
      <c r="R8422" s="37" t="str">
        <f t="shared" si="659"/>
        <v>Good</v>
      </c>
      <c r="S8422" t="s">
        <v>615</v>
      </c>
    </row>
    <row r="8423" spans="1:19" x14ac:dyDescent="0.2">
      <c r="A8423" t="s">
        <v>9034</v>
      </c>
      <c r="B8423" t="s">
        <v>90</v>
      </c>
      <c r="C8423" t="s">
        <v>602</v>
      </c>
      <c r="D8423">
        <v>3389.22</v>
      </c>
      <c r="E8423" s="37" t="str">
        <f t="shared" si="655"/>
        <v xml:space="preserve"> </v>
      </c>
      <c r="F8423">
        <v>0.43</v>
      </c>
      <c r="G8423" s="37" t="str">
        <f t="shared" si="656"/>
        <v>Heavy Discount</v>
      </c>
      <c r="H8423" s="37" t="str">
        <f t="shared" si="657"/>
        <v>High</v>
      </c>
      <c r="I8423">
        <v>2</v>
      </c>
      <c r="J8423" t="str" cm="1">
        <f t="array" ref="J8423">_xlfn.IFS(I8423&lt;=3,"small",I8423&lt;=6,"Medium",I8423&lt;=9,"Large")</f>
        <v>small</v>
      </c>
      <c r="K8423" s="36">
        <v>45073</v>
      </c>
      <c r="L8423" s="36">
        <v>45078</v>
      </c>
      <c r="M8423" t="s">
        <v>603</v>
      </c>
      <c r="N8423" t="s">
        <v>599</v>
      </c>
      <c r="O8423" s="37" t="str">
        <f t="shared" si="658"/>
        <v>Digital Payment</v>
      </c>
      <c r="P8423">
        <v>460.08</v>
      </c>
      <c r="Q8423" s="37" t="str">
        <f>IF(P8423&gt;500,"High","low")</f>
        <v>low</v>
      </c>
      <c r="R8423" s="37" t="str">
        <f t="shared" si="659"/>
        <v>AVERAGE</v>
      </c>
      <c r="S8423" t="s">
        <v>628</v>
      </c>
    </row>
    <row r="8424" spans="1:19" x14ac:dyDescent="0.2">
      <c r="A8424" t="s">
        <v>9035</v>
      </c>
      <c r="B8424" t="s">
        <v>67</v>
      </c>
      <c r="C8424" t="s">
        <v>607</v>
      </c>
      <c r="D8424">
        <v>1340.33</v>
      </c>
      <c r="E8424" s="37" t="str">
        <f t="shared" si="655"/>
        <v xml:space="preserve"> </v>
      </c>
      <c r="F8424">
        <v>0.28000000000000003</v>
      </c>
      <c r="G8424" s="37" t="str">
        <f t="shared" si="656"/>
        <v>Normal Discount</v>
      </c>
      <c r="H8424" s="37" t="str">
        <f t="shared" si="657"/>
        <v>Medium</v>
      </c>
      <c r="I8424">
        <v>3</v>
      </c>
      <c r="J8424" t="str" cm="1">
        <f t="array" ref="J8424">_xlfn.IFS(I8424&lt;=3,"small",I8424&lt;=6,"Medium",I8424&lt;=9,"Large")</f>
        <v>small</v>
      </c>
      <c r="K8424" s="36">
        <v>45050</v>
      </c>
      <c r="L8424" s="36">
        <v>45054</v>
      </c>
      <c r="M8424" t="s">
        <v>612</v>
      </c>
      <c r="N8424" t="s">
        <v>599</v>
      </c>
      <c r="O8424" s="37" t="str">
        <f t="shared" si="658"/>
        <v>Digital Payment</v>
      </c>
      <c r="P8424">
        <v>398.22</v>
      </c>
      <c r="Q8424" s="37" t="str">
        <f>IF(P8424&gt;500,"High","low")</f>
        <v>low</v>
      </c>
      <c r="R8424" s="37" t="str">
        <f t="shared" si="659"/>
        <v>AVERAGE</v>
      </c>
      <c r="S8424" t="s">
        <v>609</v>
      </c>
    </row>
    <row r="8425" spans="1:19" x14ac:dyDescent="0.2">
      <c r="A8425" t="s">
        <v>9036</v>
      </c>
      <c r="B8425" t="s">
        <v>90</v>
      </c>
      <c r="C8425" t="s">
        <v>607</v>
      </c>
      <c r="D8425">
        <v>3537.23</v>
      </c>
      <c r="E8425" s="37" t="str">
        <f t="shared" si="655"/>
        <v xml:space="preserve"> </v>
      </c>
      <c r="F8425">
        <v>0.08</v>
      </c>
      <c r="G8425" s="37" t="str">
        <f t="shared" si="656"/>
        <v>Normal Discount</v>
      </c>
      <c r="H8425" s="37" t="str">
        <f t="shared" si="657"/>
        <v>Low</v>
      </c>
      <c r="I8425">
        <v>8</v>
      </c>
      <c r="J8425" t="str" cm="1">
        <f t="array" ref="J8425">_xlfn.IFS(I8425&lt;=3,"small",I8425&lt;=6,"Medium",I8425&lt;=9,"Large")</f>
        <v>Large</v>
      </c>
      <c r="K8425" s="36">
        <v>45620</v>
      </c>
      <c r="L8425" s="36">
        <v>45627</v>
      </c>
      <c r="M8425" t="s">
        <v>612</v>
      </c>
      <c r="N8425" t="s">
        <v>608</v>
      </c>
      <c r="O8425" s="37" t="str">
        <f t="shared" si="658"/>
        <v>Cash Payment</v>
      </c>
      <c r="P8425">
        <v>702.74</v>
      </c>
      <c r="Q8425" s="37" t="str">
        <f>IF(P8425&gt;500,"High","low")</f>
        <v>High</v>
      </c>
      <c r="R8425" s="37" t="str">
        <f t="shared" si="659"/>
        <v>Good</v>
      </c>
      <c r="S8425" t="s">
        <v>605</v>
      </c>
    </row>
    <row r="8426" spans="1:19" x14ac:dyDescent="0.2">
      <c r="A8426" t="s">
        <v>9037</v>
      </c>
      <c r="B8426" t="s">
        <v>90</v>
      </c>
      <c r="C8426" t="s">
        <v>602</v>
      </c>
      <c r="D8426">
        <v>4624.05</v>
      </c>
      <c r="E8426" s="37" t="str">
        <f t="shared" si="655"/>
        <v xml:space="preserve"> </v>
      </c>
      <c r="F8426">
        <v>0.41</v>
      </c>
      <c r="G8426" s="37" t="str">
        <f t="shared" si="656"/>
        <v>Heavy Discount</v>
      </c>
      <c r="H8426" s="37" t="str">
        <f t="shared" si="657"/>
        <v>High</v>
      </c>
      <c r="I8426">
        <v>5</v>
      </c>
      <c r="J8426" t="str" cm="1">
        <f t="array" ref="J8426">_xlfn.IFS(I8426&lt;=3,"small",I8426&lt;=6,"Medium",I8426&lt;=9,"Large")</f>
        <v>Medium</v>
      </c>
      <c r="K8426" s="36">
        <v>45538</v>
      </c>
      <c r="L8426" s="36">
        <v>45540</v>
      </c>
      <c r="M8426" t="s">
        <v>598</v>
      </c>
      <c r="N8426" t="s">
        <v>604</v>
      </c>
      <c r="O8426" s="37" t="str">
        <f t="shared" si="658"/>
        <v>Digital Payment</v>
      </c>
      <c r="P8426">
        <v>619.69000000000005</v>
      </c>
      <c r="Q8426" s="37" t="str">
        <f>IF(P8426&gt;500,"High","low")</f>
        <v>High</v>
      </c>
      <c r="R8426" s="37" t="str">
        <f t="shared" si="659"/>
        <v>Good</v>
      </c>
      <c r="S8426" t="s">
        <v>615</v>
      </c>
    </row>
    <row r="8427" spans="1:19" x14ac:dyDescent="0.2">
      <c r="A8427" t="s">
        <v>9038</v>
      </c>
      <c r="B8427" t="s">
        <v>90</v>
      </c>
      <c r="C8427" t="s">
        <v>597</v>
      </c>
      <c r="D8427">
        <v>3813.85</v>
      </c>
      <c r="E8427" s="37" t="str">
        <f t="shared" si="655"/>
        <v xml:space="preserve"> </v>
      </c>
      <c r="F8427">
        <v>0.45</v>
      </c>
      <c r="G8427" s="37" t="str">
        <f t="shared" si="656"/>
        <v>Heavy Discount</v>
      </c>
      <c r="H8427" s="37" t="str">
        <f t="shared" si="657"/>
        <v>High</v>
      </c>
      <c r="I8427">
        <v>5</v>
      </c>
      <c r="J8427" t="str" cm="1">
        <f t="array" ref="J8427">_xlfn.IFS(I8427&lt;=3,"small",I8427&lt;=6,"Medium",I8427&lt;=9,"Large")</f>
        <v>Medium</v>
      </c>
      <c r="K8427" s="36">
        <v>45369</v>
      </c>
      <c r="L8427" s="36">
        <v>45375</v>
      </c>
      <c r="M8427" t="s">
        <v>612</v>
      </c>
      <c r="N8427" t="s">
        <v>604</v>
      </c>
      <c r="O8427" s="37" t="str">
        <f t="shared" si="658"/>
        <v>Digital Payment</v>
      </c>
      <c r="P8427">
        <v>300.54000000000002</v>
      </c>
      <c r="Q8427" s="37" t="str">
        <f>IF(P8427&gt;500,"High","low")</f>
        <v>low</v>
      </c>
      <c r="R8427" s="37" t="str">
        <f t="shared" si="659"/>
        <v>AVERAGE</v>
      </c>
      <c r="S8427" t="s">
        <v>600</v>
      </c>
    </row>
    <row r="8428" spans="1:19" x14ac:dyDescent="0.2">
      <c r="A8428" t="s">
        <v>9039</v>
      </c>
      <c r="B8428" t="s">
        <v>83</v>
      </c>
      <c r="C8428" t="s">
        <v>602</v>
      </c>
      <c r="D8428">
        <v>512.74</v>
      </c>
      <c r="E8428" s="37" t="str">
        <f t="shared" si="655"/>
        <v xml:space="preserve"> </v>
      </c>
      <c r="F8428">
        <v>0.04</v>
      </c>
      <c r="G8428" s="37" t="str">
        <f t="shared" si="656"/>
        <v>Normal Discount</v>
      </c>
      <c r="H8428" s="37" t="str">
        <f t="shared" si="657"/>
        <v>Low</v>
      </c>
      <c r="I8428">
        <v>3</v>
      </c>
      <c r="J8428" t="str" cm="1">
        <f t="array" ref="J8428">_xlfn.IFS(I8428&lt;=3,"small",I8428&lt;=6,"Medium",I8428&lt;=9,"Large")</f>
        <v>small</v>
      </c>
      <c r="K8428" s="36">
        <v>45104</v>
      </c>
      <c r="L8428" s="36">
        <v>45105</v>
      </c>
      <c r="M8428" t="s">
        <v>612</v>
      </c>
      <c r="N8428" t="s">
        <v>599</v>
      </c>
      <c r="O8428" s="37" t="str">
        <f t="shared" si="658"/>
        <v>Digital Payment</v>
      </c>
      <c r="P8428">
        <v>66.62</v>
      </c>
      <c r="Q8428" s="37" t="str">
        <f>IF(P8428&gt;500,"High","low")</f>
        <v>low</v>
      </c>
      <c r="R8428" s="37" t="str">
        <f t="shared" si="659"/>
        <v>AVERAGE</v>
      </c>
      <c r="S8428" t="s">
        <v>609</v>
      </c>
    </row>
    <row r="8429" spans="1:19" x14ac:dyDescent="0.2">
      <c r="A8429" t="s">
        <v>9040</v>
      </c>
      <c r="B8429" t="s">
        <v>90</v>
      </c>
      <c r="C8429" t="s">
        <v>617</v>
      </c>
      <c r="D8429">
        <v>2398.7199999999998</v>
      </c>
      <c r="E8429" s="37" t="str">
        <f t="shared" si="655"/>
        <v xml:space="preserve"> </v>
      </c>
      <c r="F8429">
        <v>0.47</v>
      </c>
      <c r="G8429" s="37" t="str">
        <f t="shared" si="656"/>
        <v>Heavy Discount</v>
      </c>
      <c r="H8429" s="37" t="str">
        <f t="shared" si="657"/>
        <v>High</v>
      </c>
      <c r="I8429">
        <v>9</v>
      </c>
      <c r="J8429" t="str" cm="1">
        <f t="array" ref="J8429">_xlfn.IFS(I8429&lt;=3,"small",I8429&lt;=6,"Medium",I8429&lt;=9,"Large")</f>
        <v>Large</v>
      </c>
      <c r="K8429" s="36">
        <v>45604</v>
      </c>
      <c r="L8429" s="36">
        <v>45609</v>
      </c>
      <c r="M8429" t="s">
        <v>612</v>
      </c>
      <c r="N8429" t="s">
        <v>604</v>
      </c>
      <c r="O8429" s="37" t="str">
        <f t="shared" si="658"/>
        <v>Digital Payment</v>
      </c>
      <c r="P8429">
        <v>209.04</v>
      </c>
      <c r="Q8429" s="37" t="str">
        <f>IF(P8429&gt;500,"High","low")</f>
        <v>low</v>
      </c>
      <c r="R8429" s="37" t="str">
        <f t="shared" si="659"/>
        <v>AVERAGE</v>
      </c>
      <c r="S8429" t="s">
        <v>620</v>
      </c>
    </row>
    <row r="8430" spans="1:19" x14ac:dyDescent="0.2">
      <c r="A8430" t="s">
        <v>9041</v>
      </c>
      <c r="B8430" t="s">
        <v>83</v>
      </c>
      <c r="C8430" t="s">
        <v>602</v>
      </c>
      <c r="D8430">
        <v>2232.79</v>
      </c>
      <c r="E8430" s="37" t="str">
        <f t="shared" si="655"/>
        <v xml:space="preserve"> </v>
      </c>
      <c r="F8430">
        <v>0.3</v>
      </c>
      <c r="G8430" s="37" t="str">
        <f t="shared" si="656"/>
        <v>Normal Discount</v>
      </c>
      <c r="H8430" s="37" t="str">
        <f t="shared" si="657"/>
        <v>Medium</v>
      </c>
      <c r="I8430">
        <v>9</v>
      </c>
      <c r="J8430" t="str" cm="1">
        <f t="array" ref="J8430">_xlfn.IFS(I8430&lt;=3,"small",I8430&lt;=6,"Medium",I8430&lt;=9,"Large")</f>
        <v>Large</v>
      </c>
      <c r="K8430" s="36">
        <v>44936</v>
      </c>
      <c r="L8430" s="36">
        <v>44942</v>
      </c>
      <c r="M8430" t="s">
        <v>612</v>
      </c>
      <c r="N8430" t="s">
        <v>599</v>
      </c>
      <c r="O8430" s="37" t="str">
        <f t="shared" si="658"/>
        <v>Digital Payment</v>
      </c>
      <c r="P8430">
        <v>539.49</v>
      </c>
      <c r="Q8430" s="37" t="str">
        <f>IF(P8430&gt;500,"High","low")</f>
        <v>High</v>
      </c>
      <c r="R8430" s="37" t="str">
        <f t="shared" si="659"/>
        <v>Good</v>
      </c>
      <c r="S8430" t="s">
        <v>628</v>
      </c>
    </row>
    <row r="8431" spans="1:19" x14ac:dyDescent="0.2">
      <c r="A8431" t="s">
        <v>9042</v>
      </c>
      <c r="B8431" t="s">
        <v>83</v>
      </c>
      <c r="C8431" t="s">
        <v>602</v>
      </c>
      <c r="D8431">
        <v>1748.87</v>
      </c>
      <c r="E8431" s="37" t="str">
        <f t="shared" si="655"/>
        <v xml:space="preserve"> </v>
      </c>
      <c r="F8431">
        <v>0.01</v>
      </c>
      <c r="G8431" s="37" t="str">
        <f t="shared" si="656"/>
        <v>Normal Discount</v>
      </c>
      <c r="H8431" s="37" t="str">
        <f t="shared" si="657"/>
        <v>Low</v>
      </c>
      <c r="I8431">
        <v>2</v>
      </c>
      <c r="J8431" t="str" cm="1">
        <f t="array" ref="J8431">_xlfn.IFS(I8431&lt;=3,"small",I8431&lt;=6,"Medium",I8431&lt;=9,"Large")</f>
        <v>small</v>
      </c>
      <c r="K8431" s="36">
        <v>45089</v>
      </c>
      <c r="L8431" s="36">
        <v>45093</v>
      </c>
      <c r="M8431" t="s">
        <v>612</v>
      </c>
      <c r="N8431" t="s">
        <v>608</v>
      </c>
      <c r="O8431" s="37" t="str">
        <f t="shared" si="658"/>
        <v>Cash Payment</v>
      </c>
      <c r="P8431">
        <v>201.91</v>
      </c>
      <c r="Q8431" s="37" t="str">
        <f>IF(P8431&gt;500,"High","low")</f>
        <v>low</v>
      </c>
      <c r="R8431" s="37" t="str">
        <f t="shared" si="659"/>
        <v>AVERAGE</v>
      </c>
      <c r="S8431" t="s">
        <v>628</v>
      </c>
    </row>
    <row r="8432" spans="1:19" x14ac:dyDescent="0.2">
      <c r="A8432" t="s">
        <v>9043</v>
      </c>
      <c r="B8432" t="s">
        <v>90</v>
      </c>
      <c r="C8432" t="s">
        <v>617</v>
      </c>
      <c r="D8432">
        <v>2507.4699999999998</v>
      </c>
      <c r="E8432" s="37" t="str">
        <f t="shared" si="655"/>
        <v xml:space="preserve"> </v>
      </c>
      <c r="F8432">
        <v>0.27</v>
      </c>
      <c r="G8432" s="37" t="str">
        <f t="shared" si="656"/>
        <v>Normal Discount</v>
      </c>
      <c r="H8432" s="37" t="str">
        <f t="shared" si="657"/>
        <v>Medium</v>
      </c>
      <c r="I8432">
        <v>8</v>
      </c>
      <c r="J8432" t="str" cm="1">
        <f t="array" ref="J8432">_xlfn.IFS(I8432&lt;=3,"small",I8432&lt;=6,"Medium",I8432&lt;=9,"Large")</f>
        <v>Large</v>
      </c>
      <c r="K8432" s="36">
        <v>45484</v>
      </c>
      <c r="L8432" s="36">
        <v>45485</v>
      </c>
      <c r="M8432" t="s">
        <v>603</v>
      </c>
      <c r="N8432" t="s">
        <v>599</v>
      </c>
      <c r="O8432" s="37" t="str">
        <f t="shared" si="658"/>
        <v>Digital Payment</v>
      </c>
      <c r="P8432">
        <v>341.63</v>
      </c>
      <c r="Q8432" s="37" t="str">
        <f>IF(P8432&gt;500,"High","low")</f>
        <v>low</v>
      </c>
      <c r="R8432" s="37" t="str">
        <f t="shared" si="659"/>
        <v>AVERAGE</v>
      </c>
      <c r="S8432" t="s">
        <v>620</v>
      </c>
    </row>
    <row r="8433" spans="1:19" x14ac:dyDescent="0.2">
      <c r="A8433" t="s">
        <v>9044</v>
      </c>
      <c r="B8433" t="s">
        <v>90</v>
      </c>
      <c r="C8433" t="s">
        <v>607</v>
      </c>
      <c r="D8433">
        <v>2254.21</v>
      </c>
      <c r="E8433" s="37" t="str">
        <f t="shared" si="655"/>
        <v xml:space="preserve"> </v>
      </c>
      <c r="F8433">
        <v>0.4</v>
      </c>
      <c r="G8433" s="37" t="str">
        <f t="shared" si="656"/>
        <v>Heavy Discount</v>
      </c>
      <c r="H8433" s="37" t="str">
        <f t="shared" si="657"/>
        <v>Medium</v>
      </c>
      <c r="I8433">
        <v>1</v>
      </c>
      <c r="J8433" t="str" cm="1">
        <f t="array" ref="J8433">_xlfn.IFS(I8433&lt;=3,"small",I8433&lt;=6,"Medium",I8433&lt;=9,"Large")</f>
        <v>small</v>
      </c>
      <c r="K8433" s="36">
        <v>45536</v>
      </c>
      <c r="L8433" s="36">
        <v>45538</v>
      </c>
      <c r="M8433" t="s">
        <v>598</v>
      </c>
      <c r="N8433" t="s">
        <v>599</v>
      </c>
      <c r="O8433" s="37" t="str">
        <f t="shared" si="658"/>
        <v>Digital Payment</v>
      </c>
      <c r="P8433">
        <v>292.33999999999997</v>
      </c>
      <c r="Q8433" s="37" t="str">
        <f>IF(P8433&gt;500,"High","low")</f>
        <v>low</v>
      </c>
      <c r="R8433" s="37" t="str">
        <f t="shared" si="659"/>
        <v>AVERAGE</v>
      </c>
      <c r="S8433" t="s">
        <v>628</v>
      </c>
    </row>
    <row r="8434" spans="1:19" x14ac:dyDescent="0.2">
      <c r="A8434" t="s">
        <v>9045</v>
      </c>
      <c r="B8434" t="s">
        <v>83</v>
      </c>
      <c r="C8434" t="s">
        <v>617</v>
      </c>
      <c r="D8434">
        <v>130.24</v>
      </c>
      <c r="E8434" s="37" t="str">
        <f t="shared" si="655"/>
        <v xml:space="preserve"> </v>
      </c>
      <c r="F8434">
        <v>0.27</v>
      </c>
      <c r="G8434" s="37" t="str">
        <f t="shared" si="656"/>
        <v>Normal Discount</v>
      </c>
      <c r="H8434" s="37" t="str">
        <f t="shared" si="657"/>
        <v>Medium</v>
      </c>
      <c r="I8434">
        <v>5</v>
      </c>
      <c r="J8434" t="str" cm="1">
        <f t="array" ref="J8434">_xlfn.IFS(I8434&lt;=3,"small",I8434&lt;=6,"Medium",I8434&lt;=9,"Large")</f>
        <v>Medium</v>
      </c>
      <c r="K8434" s="36">
        <v>45553</v>
      </c>
      <c r="L8434" s="36">
        <v>45559</v>
      </c>
      <c r="M8434" t="s">
        <v>612</v>
      </c>
      <c r="N8434" t="s">
        <v>608</v>
      </c>
      <c r="O8434" s="37" t="str">
        <f t="shared" si="658"/>
        <v>Cash Payment</v>
      </c>
      <c r="P8434">
        <v>26.13</v>
      </c>
      <c r="Q8434" s="37" t="str">
        <f>IF(P8434&gt;500,"High","low")</f>
        <v>low</v>
      </c>
      <c r="R8434" s="37" t="str">
        <f t="shared" si="659"/>
        <v>AVERAGE</v>
      </c>
      <c r="S8434" t="s">
        <v>628</v>
      </c>
    </row>
    <row r="8435" spans="1:19" x14ac:dyDescent="0.2">
      <c r="A8435" t="s">
        <v>9046</v>
      </c>
      <c r="B8435" t="s">
        <v>83</v>
      </c>
      <c r="C8435" t="s">
        <v>614</v>
      </c>
      <c r="D8435">
        <v>1259.1199999999999</v>
      </c>
      <c r="E8435" s="37" t="str">
        <f t="shared" si="655"/>
        <v xml:space="preserve"> </v>
      </c>
      <c r="F8435">
        <v>0.35</v>
      </c>
      <c r="G8435" s="37" t="str">
        <f t="shared" si="656"/>
        <v>Heavy Discount</v>
      </c>
      <c r="H8435" s="37" t="str">
        <f t="shared" si="657"/>
        <v>Medium</v>
      </c>
      <c r="I8435">
        <v>7</v>
      </c>
      <c r="J8435" t="str" cm="1">
        <f t="array" ref="J8435">_xlfn.IFS(I8435&lt;=3,"small",I8435&lt;=6,"Medium",I8435&lt;=9,"Large")</f>
        <v>Large</v>
      </c>
      <c r="K8435" s="36">
        <v>45255</v>
      </c>
      <c r="L8435" s="36">
        <v>45261</v>
      </c>
      <c r="M8435" t="s">
        <v>612</v>
      </c>
      <c r="N8435" t="s">
        <v>599</v>
      </c>
      <c r="O8435" s="37" t="str">
        <f t="shared" si="658"/>
        <v>Digital Payment</v>
      </c>
      <c r="P8435">
        <v>174.4</v>
      </c>
      <c r="Q8435" s="37" t="str">
        <f>IF(P8435&gt;500,"High","low")</f>
        <v>low</v>
      </c>
      <c r="R8435" s="37" t="str">
        <f t="shared" si="659"/>
        <v>AVERAGE</v>
      </c>
      <c r="S8435" t="s">
        <v>620</v>
      </c>
    </row>
    <row r="8436" spans="1:19" x14ac:dyDescent="0.2">
      <c r="A8436" t="s">
        <v>9047</v>
      </c>
      <c r="B8436" t="s">
        <v>90</v>
      </c>
      <c r="C8436" t="s">
        <v>602</v>
      </c>
      <c r="D8436">
        <v>1147.53</v>
      </c>
      <c r="E8436" s="37" t="str">
        <f t="shared" si="655"/>
        <v xml:space="preserve"> </v>
      </c>
      <c r="F8436">
        <v>0.44</v>
      </c>
      <c r="G8436" s="37" t="str">
        <f t="shared" si="656"/>
        <v>Heavy Discount</v>
      </c>
      <c r="H8436" s="37" t="str">
        <f t="shared" si="657"/>
        <v>High</v>
      </c>
      <c r="I8436">
        <v>8</v>
      </c>
      <c r="J8436" t="str" cm="1">
        <f t="array" ref="J8436">_xlfn.IFS(I8436&lt;=3,"small",I8436&lt;=6,"Medium",I8436&lt;=9,"Large")</f>
        <v>Large</v>
      </c>
      <c r="K8436" s="36">
        <v>45280</v>
      </c>
      <c r="L8436" s="36">
        <v>45281</v>
      </c>
      <c r="M8436" t="s">
        <v>603</v>
      </c>
      <c r="N8436" t="s">
        <v>604</v>
      </c>
      <c r="O8436" s="37" t="str">
        <f t="shared" si="658"/>
        <v>Digital Payment</v>
      </c>
      <c r="P8436">
        <v>98.64</v>
      </c>
      <c r="Q8436" s="37" t="str">
        <f>IF(P8436&gt;500,"High","low")</f>
        <v>low</v>
      </c>
      <c r="R8436" s="37" t="str">
        <f t="shared" si="659"/>
        <v>AVERAGE</v>
      </c>
      <c r="S8436" t="s">
        <v>628</v>
      </c>
    </row>
    <row r="8437" spans="1:19" x14ac:dyDescent="0.2">
      <c r="A8437" t="s">
        <v>9048</v>
      </c>
      <c r="B8437" t="s">
        <v>90</v>
      </c>
      <c r="C8437" t="s">
        <v>602</v>
      </c>
      <c r="D8437">
        <v>1811.37</v>
      </c>
      <c r="E8437" s="37" t="str">
        <f t="shared" si="655"/>
        <v xml:space="preserve"> </v>
      </c>
      <c r="F8437">
        <v>0.43</v>
      </c>
      <c r="G8437" s="37" t="str">
        <f t="shared" si="656"/>
        <v>Heavy Discount</v>
      </c>
      <c r="H8437" s="37" t="str">
        <f t="shared" si="657"/>
        <v>High</v>
      </c>
      <c r="I8437">
        <v>8</v>
      </c>
      <c r="J8437" t="str" cm="1">
        <f t="array" ref="J8437">_xlfn.IFS(I8437&lt;=3,"small",I8437&lt;=6,"Medium",I8437&lt;=9,"Large")</f>
        <v>Large</v>
      </c>
      <c r="K8437" s="36">
        <v>45645</v>
      </c>
      <c r="L8437" s="36">
        <v>45648</v>
      </c>
      <c r="M8437" t="s">
        <v>603</v>
      </c>
      <c r="N8437" t="s">
        <v>599</v>
      </c>
      <c r="O8437" s="37" t="str">
        <f t="shared" si="658"/>
        <v>Digital Payment</v>
      </c>
      <c r="P8437">
        <v>373.97</v>
      </c>
      <c r="Q8437" s="37" t="str">
        <f>IF(P8437&gt;500,"High","low")</f>
        <v>low</v>
      </c>
      <c r="R8437" s="37" t="str">
        <f t="shared" si="659"/>
        <v>AVERAGE</v>
      </c>
      <c r="S8437" t="s">
        <v>620</v>
      </c>
    </row>
    <row r="8438" spans="1:19" x14ac:dyDescent="0.2">
      <c r="A8438" t="s">
        <v>9049</v>
      </c>
      <c r="B8438" t="s">
        <v>67</v>
      </c>
      <c r="C8438" t="s">
        <v>607</v>
      </c>
      <c r="D8438">
        <v>954.84</v>
      </c>
      <c r="E8438" s="37" t="str">
        <f t="shared" si="655"/>
        <v xml:space="preserve"> </v>
      </c>
      <c r="F8438">
        <v>0.09</v>
      </c>
      <c r="G8438" s="37" t="str">
        <f t="shared" si="656"/>
        <v>Normal Discount</v>
      </c>
      <c r="H8438" s="37" t="str">
        <f t="shared" si="657"/>
        <v>Low</v>
      </c>
      <c r="I8438">
        <v>6</v>
      </c>
      <c r="J8438" t="str" cm="1">
        <f t="array" ref="J8438">_xlfn.IFS(I8438&lt;=3,"small",I8438&lt;=6,"Medium",I8438&lt;=9,"Large")</f>
        <v>Medium</v>
      </c>
      <c r="K8438" s="36">
        <v>45017</v>
      </c>
      <c r="L8438" s="36">
        <v>45023</v>
      </c>
      <c r="M8438" t="s">
        <v>612</v>
      </c>
      <c r="N8438" t="s">
        <v>604</v>
      </c>
      <c r="O8438" s="37" t="str">
        <f t="shared" si="658"/>
        <v>Digital Payment</v>
      </c>
      <c r="P8438">
        <v>168.91</v>
      </c>
      <c r="Q8438" s="37" t="str">
        <f>IF(P8438&gt;500,"High","low")</f>
        <v>low</v>
      </c>
      <c r="R8438" s="37" t="str">
        <f t="shared" si="659"/>
        <v>AVERAGE</v>
      </c>
      <c r="S8438" t="s">
        <v>628</v>
      </c>
    </row>
    <row r="8439" spans="1:19" x14ac:dyDescent="0.2">
      <c r="A8439" t="s">
        <v>9050</v>
      </c>
      <c r="B8439" t="s">
        <v>83</v>
      </c>
      <c r="C8439" t="s">
        <v>597</v>
      </c>
      <c r="D8439">
        <v>432.23</v>
      </c>
      <c r="E8439" s="37" t="str">
        <f t="shared" si="655"/>
        <v xml:space="preserve"> </v>
      </c>
      <c r="F8439">
        <v>0.21</v>
      </c>
      <c r="G8439" s="37" t="str">
        <f t="shared" si="656"/>
        <v>Normal Discount</v>
      </c>
      <c r="H8439" s="37" t="str">
        <f t="shared" si="657"/>
        <v>Medium</v>
      </c>
      <c r="I8439">
        <v>7</v>
      </c>
      <c r="J8439" t="str" cm="1">
        <f t="array" ref="J8439">_xlfn.IFS(I8439&lt;=3,"small",I8439&lt;=6,"Medium",I8439&lt;=9,"Large")</f>
        <v>Large</v>
      </c>
      <c r="K8439" s="36">
        <v>45273</v>
      </c>
      <c r="L8439" s="36">
        <v>45277</v>
      </c>
      <c r="M8439" t="s">
        <v>598</v>
      </c>
      <c r="N8439" t="s">
        <v>608</v>
      </c>
      <c r="O8439" s="37" t="str">
        <f t="shared" si="658"/>
        <v>Cash Payment</v>
      </c>
      <c r="P8439">
        <v>103.56</v>
      </c>
      <c r="Q8439" s="37" t="str">
        <f>IF(P8439&gt;500,"High","low")</f>
        <v>low</v>
      </c>
      <c r="R8439" s="37" t="str">
        <f t="shared" si="659"/>
        <v>AVERAGE</v>
      </c>
      <c r="S8439" t="s">
        <v>615</v>
      </c>
    </row>
    <row r="8440" spans="1:19" x14ac:dyDescent="0.2">
      <c r="A8440" t="s">
        <v>9051</v>
      </c>
      <c r="B8440" t="s">
        <v>83</v>
      </c>
      <c r="C8440" t="s">
        <v>617</v>
      </c>
      <c r="D8440">
        <v>1063.4000000000001</v>
      </c>
      <c r="E8440" s="37" t="str">
        <f t="shared" si="655"/>
        <v xml:space="preserve"> </v>
      </c>
      <c r="F8440">
        <v>0.06</v>
      </c>
      <c r="G8440" s="37" t="str">
        <f t="shared" si="656"/>
        <v>Normal Discount</v>
      </c>
      <c r="H8440" s="37" t="str">
        <f t="shared" si="657"/>
        <v>Low</v>
      </c>
      <c r="I8440">
        <v>4</v>
      </c>
      <c r="J8440" t="str" cm="1">
        <f t="array" ref="J8440">_xlfn.IFS(I8440&lt;=3,"small",I8440&lt;=6,"Medium",I8440&lt;=9,"Large")</f>
        <v>Medium</v>
      </c>
      <c r="K8440" s="36">
        <v>45565</v>
      </c>
      <c r="L8440" s="36">
        <v>45571</v>
      </c>
      <c r="M8440" t="s">
        <v>603</v>
      </c>
      <c r="N8440" t="s">
        <v>604</v>
      </c>
      <c r="O8440" s="37" t="str">
        <f t="shared" si="658"/>
        <v>Digital Payment</v>
      </c>
      <c r="P8440">
        <v>121.14</v>
      </c>
      <c r="Q8440" s="37" t="str">
        <f>IF(P8440&gt;500,"High","low")</f>
        <v>low</v>
      </c>
      <c r="R8440" s="37" t="str">
        <f t="shared" si="659"/>
        <v>AVERAGE</v>
      </c>
      <c r="S8440" t="s">
        <v>615</v>
      </c>
    </row>
    <row r="8441" spans="1:19" x14ac:dyDescent="0.2">
      <c r="A8441" t="s">
        <v>9052</v>
      </c>
      <c r="B8441" t="s">
        <v>67</v>
      </c>
      <c r="C8441" t="s">
        <v>597</v>
      </c>
      <c r="D8441">
        <v>4285.5200000000004</v>
      </c>
      <c r="E8441" s="37" t="str">
        <f t="shared" si="655"/>
        <v>Excellent Order</v>
      </c>
      <c r="F8441">
        <v>0.3</v>
      </c>
      <c r="G8441" s="37" t="str">
        <f t="shared" si="656"/>
        <v>Normal Discount</v>
      </c>
      <c r="H8441" s="37" t="str">
        <f t="shared" si="657"/>
        <v>Medium</v>
      </c>
      <c r="I8441">
        <v>7</v>
      </c>
      <c r="J8441" t="str" cm="1">
        <f t="array" ref="J8441">_xlfn.IFS(I8441&lt;=3,"small",I8441&lt;=6,"Medium",I8441&lt;=9,"Large")</f>
        <v>Large</v>
      </c>
      <c r="K8441" s="36">
        <v>45342</v>
      </c>
      <c r="L8441" s="36">
        <v>45348</v>
      </c>
      <c r="M8441" t="s">
        <v>598</v>
      </c>
      <c r="N8441" t="s">
        <v>599</v>
      </c>
      <c r="O8441" s="37" t="str">
        <f t="shared" si="658"/>
        <v>Digital Payment</v>
      </c>
      <c r="P8441">
        <v>1137.3800000000001</v>
      </c>
      <c r="Q8441" s="37" t="str">
        <f>IF(P8441&gt;500,"High","low")</f>
        <v>High</v>
      </c>
      <c r="R8441" s="37" t="str">
        <f t="shared" si="659"/>
        <v>Excellent</v>
      </c>
      <c r="S8441" t="s">
        <v>615</v>
      </c>
    </row>
    <row r="8442" spans="1:19" x14ac:dyDescent="0.2">
      <c r="A8442" t="s">
        <v>9053</v>
      </c>
      <c r="B8442" t="s">
        <v>83</v>
      </c>
      <c r="C8442" t="s">
        <v>614</v>
      </c>
      <c r="D8442">
        <v>4005.49</v>
      </c>
      <c r="E8442" s="37" t="str">
        <f t="shared" si="655"/>
        <v xml:space="preserve"> </v>
      </c>
      <c r="F8442">
        <v>0.48</v>
      </c>
      <c r="G8442" s="37" t="str">
        <f t="shared" si="656"/>
        <v>Heavy Discount</v>
      </c>
      <c r="H8442" s="37" t="str">
        <f t="shared" si="657"/>
        <v>High</v>
      </c>
      <c r="I8442">
        <v>7</v>
      </c>
      <c r="J8442" t="str" cm="1">
        <f t="array" ref="J8442">_xlfn.IFS(I8442&lt;=3,"small",I8442&lt;=6,"Medium",I8442&lt;=9,"Large")</f>
        <v>Large</v>
      </c>
      <c r="K8442" s="36">
        <v>45163</v>
      </c>
      <c r="L8442" s="36">
        <v>45169</v>
      </c>
      <c r="M8442" t="s">
        <v>612</v>
      </c>
      <c r="N8442" t="s">
        <v>608</v>
      </c>
      <c r="O8442" s="37" t="str">
        <f t="shared" si="658"/>
        <v>Cash Payment</v>
      </c>
      <c r="P8442">
        <v>582.51</v>
      </c>
      <c r="Q8442" s="37" t="str">
        <f>IF(P8442&gt;500,"High","low")</f>
        <v>High</v>
      </c>
      <c r="R8442" s="37" t="str">
        <f t="shared" si="659"/>
        <v>Good</v>
      </c>
      <c r="S8442" t="s">
        <v>609</v>
      </c>
    </row>
    <row r="8443" spans="1:19" x14ac:dyDescent="0.2">
      <c r="A8443" t="s">
        <v>9054</v>
      </c>
      <c r="B8443" t="s">
        <v>75</v>
      </c>
      <c r="C8443" t="s">
        <v>617</v>
      </c>
      <c r="D8443">
        <v>2266.27</v>
      </c>
      <c r="E8443" s="37" t="str">
        <f t="shared" si="655"/>
        <v xml:space="preserve"> </v>
      </c>
      <c r="F8443">
        <v>0.09</v>
      </c>
      <c r="G8443" s="37" t="str">
        <f t="shared" si="656"/>
        <v>Normal Discount</v>
      </c>
      <c r="H8443" s="37" t="str">
        <f t="shared" si="657"/>
        <v>Low</v>
      </c>
      <c r="I8443">
        <v>9</v>
      </c>
      <c r="J8443" t="str" cm="1">
        <f t="array" ref="J8443">_xlfn.IFS(I8443&lt;=3,"small",I8443&lt;=6,"Medium",I8443&lt;=9,"Large")</f>
        <v>Large</v>
      </c>
      <c r="K8443" s="36">
        <v>45465</v>
      </c>
      <c r="L8443" s="36">
        <v>45471</v>
      </c>
      <c r="M8443" t="s">
        <v>612</v>
      </c>
      <c r="N8443" t="s">
        <v>608</v>
      </c>
      <c r="O8443" s="37" t="str">
        <f t="shared" si="658"/>
        <v>Cash Payment</v>
      </c>
      <c r="P8443">
        <v>466.4</v>
      </c>
      <c r="Q8443" s="37" t="str">
        <f>IF(P8443&gt;500,"High","low")</f>
        <v>low</v>
      </c>
      <c r="R8443" s="37" t="str">
        <f t="shared" si="659"/>
        <v>AVERAGE</v>
      </c>
      <c r="S8443" t="s">
        <v>620</v>
      </c>
    </row>
    <row r="8444" spans="1:19" x14ac:dyDescent="0.2">
      <c r="A8444" t="s">
        <v>9055</v>
      </c>
      <c r="B8444" t="s">
        <v>83</v>
      </c>
      <c r="C8444" t="s">
        <v>614</v>
      </c>
      <c r="D8444">
        <v>4401.29</v>
      </c>
      <c r="E8444" s="37" t="str">
        <f t="shared" si="655"/>
        <v>Excellent Order</v>
      </c>
      <c r="F8444">
        <v>0.2</v>
      </c>
      <c r="G8444" s="37" t="str">
        <f t="shared" si="656"/>
        <v>Normal Discount</v>
      </c>
      <c r="H8444" s="37" t="str">
        <f t="shared" si="657"/>
        <v>Medium</v>
      </c>
      <c r="I8444">
        <v>2</v>
      </c>
      <c r="J8444" t="str" cm="1">
        <f t="array" ref="J8444">_xlfn.IFS(I8444&lt;=3,"small",I8444&lt;=6,"Medium",I8444&lt;=9,"Large")</f>
        <v>small</v>
      </c>
      <c r="K8444" s="36">
        <v>44952</v>
      </c>
      <c r="L8444" s="36">
        <v>44956</v>
      </c>
      <c r="M8444" t="s">
        <v>612</v>
      </c>
      <c r="N8444" t="s">
        <v>604</v>
      </c>
      <c r="O8444" s="37" t="str">
        <f t="shared" si="658"/>
        <v>Digital Payment</v>
      </c>
      <c r="P8444">
        <v>1310.7</v>
      </c>
      <c r="Q8444" s="37" t="str">
        <f>IF(P8444&gt;500,"High","low")</f>
        <v>High</v>
      </c>
      <c r="R8444" s="37" t="str">
        <f t="shared" si="659"/>
        <v>Excellent</v>
      </c>
      <c r="S8444" t="s">
        <v>615</v>
      </c>
    </row>
    <row r="8445" spans="1:19" x14ac:dyDescent="0.2">
      <c r="A8445" t="s">
        <v>9056</v>
      </c>
      <c r="B8445" t="s">
        <v>67</v>
      </c>
      <c r="C8445" t="s">
        <v>614</v>
      </c>
      <c r="D8445">
        <v>1240.06</v>
      </c>
      <c r="E8445" s="37" t="str">
        <f t="shared" si="655"/>
        <v xml:space="preserve"> </v>
      </c>
      <c r="F8445">
        <v>0.48</v>
      </c>
      <c r="G8445" s="37" t="str">
        <f t="shared" si="656"/>
        <v>Heavy Discount</v>
      </c>
      <c r="H8445" s="37" t="str">
        <f t="shared" si="657"/>
        <v>High</v>
      </c>
      <c r="I8445">
        <v>8</v>
      </c>
      <c r="J8445" t="str" cm="1">
        <f t="array" ref="J8445">_xlfn.IFS(I8445&lt;=3,"small",I8445&lt;=6,"Medium",I8445&lt;=9,"Large")</f>
        <v>Large</v>
      </c>
      <c r="K8445" s="36">
        <v>45098</v>
      </c>
      <c r="L8445" s="36">
        <v>45101</v>
      </c>
      <c r="M8445" t="s">
        <v>612</v>
      </c>
      <c r="N8445" t="s">
        <v>604</v>
      </c>
      <c r="O8445" s="37" t="str">
        <f t="shared" si="658"/>
        <v>Digital Payment</v>
      </c>
      <c r="P8445">
        <v>275.83999999999997</v>
      </c>
      <c r="Q8445" s="37" t="str">
        <f>IF(P8445&gt;500,"High","low")</f>
        <v>low</v>
      </c>
      <c r="R8445" s="37" t="str">
        <f t="shared" si="659"/>
        <v>AVERAGE</v>
      </c>
      <c r="S8445" t="s">
        <v>628</v>
      </c>
    </row>
    <row r="8446" spans="1:19" x14ac:dyDescent="0.2">
      <c r="A8446" t="s">
        <v>9057</v>
      </c>
      <c r="B8446" t="s">
        <v>75</v>
      </c>
      <c r="C8446" t="s">
        <v>614</v>
      </c>
      <c r="D8446">
        <v>2962.62</v>
      </c>
      <c r="E8446" s="37" t="str">
        <f t="shared" si="655"/>
        <v xml:space="preserve"> </v>
      </c>
      <c r="F8446">
        <v>0.38</v>
      </c>
      <c r="G8446" s="37" t="str">
        <f t="shared" si="656"/>
        <v>Heavy Discount</v>
      </c>
      <c r="H8446" s="37" t="str">
        <f t="shared" si="657"/>
        <v>Medium</v>
      </c>
      <c r="I8446">
        <v>9</v>
      </c>
      <c r="J8446" t="str" cm="1">
        <f t="array" ref="J8446">_xlfn.IFS(I8446&lt;=3,"small",I8446&lt;=6,"Medium",I8446&lt;=9,"Large")</f>
        <v>Large</v>
      </c>
      <c r="K8446" s="36">
        <v>45583</v>
      </c>
      <c r="L8446" s="36">
        <v>45589</v>
      </c>
      <c r="M8446" t="s">
        <v>603</v>
      </c>
      <c r="N8446" t="s">
        <v>604</v>
      </c>
      <c r="O8446" s="37" t="str">
        <f t="shared" si="658"/>
        <v>Digital Payment</v>
      </c>
      <c r="P8446">
        <v>531.02</v>
      </c>
      <c r="Q8446" s="37" t="str">
        <f>IF(P8446&gt;500,"High","low")</f>
        <v>High</v>
      </c>
      <c r="R8446" s="37" t="str">
        <f t="shared" si="659"/>
        <v>Good</v>
      </c>
      <c r="S8446" t="s">
        <v>620</v>
      </c>
    </row>
    <row r="8447" spans="1:19" x14ac:dyDescent="0.2">
      <c r="A8447" t="s">
        <v>9058</v>
      </c>
      <c r="B8447" t="s">
        <v>90</v>
      </c>
      <c r="C8447" t="s">
        <v>617</v>
      </c>
      <c r="D8447">
        <v>800.33</v>
      </c>
      <c r="E8447" s="37" t="str">
        <f t="shared" si="655"/>
        <v xml:space="preserve"> </v>
      </c>
      <c r="F8447">
        <v>0.04</v>
      </c>
      <c r="G8447" s="37" t="str">
        <f t="shared" si="656"/>
        <v>Normal Discount</v>
      </c>
      <c r="H8447" s="37" t="str">
        <f t="shared" si="657"/>
        <v>Low</v>
      </c>
      <c r="I8447">
        <v>3</v>
      </c>
      <c r="J8447" t="str" cm="1">
        <f t="array" ref="J8447">_xlfn.IFS(I8447&lt;=3,"small",I8447&lt;=6,"Medium",I8447&lt;=9,"Large")</f>
        <v>small</v>
      </c>
      <c r="K8447" s="36">
        <v>45409</v>
      </c>
      <c r="L8447" s="36">
        <v>45410</v>
      </c>
      <c r="M8447" t="s">
        <v>612</v>
      </c>
      <c r="N8447" t="s">
        <v>608</v>
      </c>
      <c r="O8447" s="37" t="str">
        <f t="shared" si="658"/>
        <v>Cash Payment</v>
      </c>
      <c r="P8447">
        <v>93.93</v>
      </c>
      <c r="Q8447" s="37" t="str">
        <f>IF(P8447&gt;500,"High","low")</f>
        <v>low</v>
      </c>
      <c r="R8447" s="37" t="str">
        <f t="shared" si="659"/>
        <v>AVERAGE</v>
      </c>
      <c r="S8447" t="s">
        <v>620</v>
      </c>
    </row>
    <row r="8448" spans="1:19" x14ac:dyDescent="0.2">
      <c r="A8448" t="s">
        <v>9059</v>
      </c>
      <c r="B8448" t="s">
        <v>67</v>
      </c>
      <c r="C8448" t="s">
        <v>617</v>
      </c>
      <c r="D8448">
        <v>4183.66</v>
      </c>
      <c r="E8448" s="37" t="str">
        <f t="shared" si="655"/>
        <v xml:space="preserve"> </v>
      </c>
      <c r="F8448">
        <v>0.21</v>
      </c>
      <c r="G8448" s="37" t="str">
        <f t="shared" si="656"/>
        <v>Normal Discount</v>
      </c>
      <c r="H8448" s="37" t="str">
        <f t="shared" si="657"/>
        <v>Medium</v>
      </c>
      <c r="I8448">
        <v>8</v>
      </c>
      <c r="J8448" t="str" cm="1">
        <f t="array" ref="J8448">_xlfn.IFS(I8448&lt;=3,"small",I8448&lt;=6,"Medium",I8448&lt;=9,"Large")</f>
        <v>Large</v>
      </c>
      <c r="K8448" s="36">
        <v>45592</v>
      </c>
      <c r="L8448" s="36">
        <v>45599</v>
      </c>
      <c r="M8448" t="s">
        <v>612</v>
      </c>
      <c r="N8448" t="s">
        <v>604</v>
      </c>
      <c r="O8448" s="37" t="str">
        <f t="shared" si="658"/>
        <v>Digital Payment</v>
      </c>
      <c r="P8448">
        <v>626.35</v>
      </c>
      <c r="Q8448" s="37" t="str">
        <f>IF(P8448&gt;500,"High","low")</f>
        <v>High</v>
      </c>
      <c r="R8448" s="37" t="str">
        <f t="shared" si="659"/>
        <v>Good</v>
      </c>
      <c r="S8448" t="s">
        <v>628</v>
      </c>
    </row>
    <row r="8449" spans="1:19" x14ac:dyDescent="0.2">
      <c r="A8449" t="s">
        <v>9060</v>
      </c>
      <c r="B8449" t="s">
        <v>67</v>
      </c>
      <c r="C8449" t="s">
        <v>607</v>
      </c>
      <c r="D8449">
        <v>739.85</v>
      </c>
      <c r="E8449" s="37" t="str">
        <f t="shared" si="655"/>
        <v xml:space="preserve"> </v>
      </c>
      <c r="F8449">
        <v>0.49</v>
      </c>
      <c r="G8449" s="37" t="str">
        <f t="shared" si="656"/>
        <v>Heavy Discount</v>
      </c>
      <c r="H8449" s="37" t="str">
        <f t="shared" si="657"/>
        <v>High</v>
      </c>
      <c r="I8449">
        <v>1</v>
      </c>
      <c r="J8449" t="str" cm="1">
        <f t="array" ref="J8449">_xlfn.IFS(I8449&lt;=3,"small",I8449&lt;=6,"Medium",I8449&lt;=9,"Large")</f>
        <v>small</v>
      </c>
      <c r="K8449" s="36">
        <v>45238</v>
      </c>
      <c r="L8449" s="36">
        <v>45242</v>
      </c>
      <c r="M8449" t="s">
        <v>612</v>
      </c>
      <c r="N8449" t="s">
        <v>599</v>
      </c>
      <c r="O8449" s="37" t="str">
        <f t="shared" si="658"/>
        <v>Digital Payment</v>
      </c>
      <c r="P8449">
        <v>53.13</v>
      </c>
      <c r="Q8449" s="37" t="str">
        <f>IF(P8449&gt;500,"High","low")</f>
        <v>low</v>
      </c>
      <c r="R8449" s="37" t="str">
        <f t="shared" si="659"/>
        <v>AVERAGE</v>
      </c>
      <c r="S8449" t="s">
        <v>605</v>
      </c>
    </row>
    <row r="8450" spans="1:19" x14ac:dyDescent="0.2">
      <c r="A8450" t="s">
        <v>9061</v>
      </c>
      <c r="B8450" t="s">
        <v>90</v>
      </c>
      <c r="C8450" t="s">
        <v>602</v>
      </c>
      <c r="D8450">
        <v>256.11</v>
      </c>
      <c r="E8450" s="37" t="str">
        <f t="shared" si="655"/>
        <v xml:space="preserve"> </v>
      </c>
      <c r="F8450">
        <v>0.23</v>
      </c>
      <c r="G8450" s="37" t="str">
        <f t="shared" si="656"/>
        <v>Normal Discount</v>
      </c>
      <c r="H8450" s="37" t="str">
        <f t="shared" si="657"/>
        <v>Medium</v>
      </c>
      <c r="I8450">
        <v>5</v>
      </c>
      <c r="J8450" t="str" cm="1">
        <f t="array" ref="J8450">_xlfn.IFS(I8450&lt;=3,"small",I8450&lt;=6,"Medium",I8450&lt;=9,"Large")</f>
        <v>Medium</v>
      </c>
      <c r="K8450" s="36">
        <v>45148</v>
      </c>
      <c r="L8450" s="36">
        <v>45150</v>
      </c>
      <c r="M8450" t="s">
        <v>603</v>
      </c>
      <c r="N8450" t="s">
        <v>608</v>
      </c>
      <c r="O8450" s="37" t="str">
        <f t="shared" si="658"/>
        <v>Cash Payment</v>
      </c>
      <c r="P8450">
        <v>28.93</v>
      </c>
      <c r="Q8450" s="37" t="str">
        <f>IF(P8450&gt;500,"High","low")</f>
        <v>low</v>
      </c>
      <c r="R8450" s="37" t="str">
        <f t="shared" si="659"/>
        <v>AVERAGE</v>
      </c>
      <c r="S8450" t="s">
        <v>605</v>
      </c>
    </row>
    <row r="8451" spans="1:19" x14ac:dyDescent="0.2">
      <c r="A8451" t="s">
        <v>9062</v>
      </c>
      <c r="B8451" t="s">
        <v>67</v>
      </c>
      <c r="C8451" t="s">
        <v>597</v>
      </c>
      <c r="D8451">
        <v>1439.88</v>
      </c>
      <c r="E8451" s="37" t="str">
        <f t="shared" ref="E8451:E8514" si="660">IF(AND(D8451&gt;4000,P8451&gt;800),"Excellent Order"," ")</f>
        <v xml:space="preserve"> </v>
      </c>
      <c r="F8451">
        <v>0.31</v>
      </c>
      <c r="G8451" s="37" t="str">
        <f t="shared" ref="G8451:G8514" si="661">IF(F8451&gt;30%,"Heavy Discount","Normal Discount")</f>
        <v>Heavy Discount</v>
      </c>
      <c r="H8451" s="37" t="str">
        <f t="shared" ref="H8451:H8514" si="662">IF(F8451&gt;0.4,"High",IF(F8451&gt;=0.2,"Medium","Low"))</f>
        <v>Medium</v>
      </c>
      <c r="I8451">
        <v>1</v>
      </c>
      <c r="J8451" t="str" cm="1">
        <f t="array" ref="J8451">_xlfn.IFS(I8451&lt;=3,"small",I8451&lt;=6,"Medium",I8451&lt;=9,"Large")</f>
        <v>small</v>
      </c>
      <c r="K8451" s="36">
        <v>45416</v>
      </c>
      <c r="L8451" s="36">
        <v>45419</v>
      </c>
      <c r="M8451" t="s">
        <v>612</v>
      </c>
      <c r="N8451" t="s">
        <v>599</v>
      </c>
      <c r="O8451" s="37" t="str">
        <f t="shared" ref="O8451:O8514" si="663">IF(OR(N8451="Card",N8451="UPI"),"Digital Payment","Cash Payment")</f>
        <v>Digital Payment</v>
      </c>
      <c r="P8451">
        <v>194.38</v>
      </c>
      <c r="Q8451" s="37" t="str">
        <f>IF(P8451&gt;500,"High","low")</f>
        <v>low</v>
      </c>
      <c r="R8451" s="37" t="str">
        <f t="shared" ref="R8451:R8514" si="664">IF(P8451&gt;1000,"Excellent",IF(P8451&gt;=500,"Good","AVERAGE"))</f>
        <v>AVERAGE</v>
      </c>
      <c r="S8451" t="s">
        <v>600</v>
      </c>
    </row>
    <row r="8452" spans="1:19" x14ac:dyDescent="0.2">
      <c r="A8452" t="s">
        <v>9063</v>
      </c>
      <c r="B8452" t="s">
        <v>83</v>
      </c>
      <c r="C8452" t="s">
        <v>597</v>
      </c>
      <c r="D8452">
        <v>4514.58</v>
      </c>
      <c r="E8452" s="37" t="str">
        <f t="shared" si="660"/>
        <v>Excellent Order</v>
      </c>
      <c r="F8452">
        <v>0.35</v>
      </c>
      <c r="G8452" s="37" t="str">
        <f t="shared" si="661"/>
        <v>Heavy Discount</v>
      </c>
      <c r="H8452" s="37" t="str">
        <f t="shared" si="662"/>
        <v>Medium</v>
      </c>
      <c r="I8452">
        <v>1</v>
      </c>
      <c r="J8452" t="str" cm="1">
        <f t="array" ref="J8452">_xlfn.IFS(I8452&lt;=3,"small",I8452&lt;=6,"Medium",I8452&lt;=9,"Large")</f>
        <v>small</v>
      </c>
      <c r="K8452" s="36">
        <v>45347</v>
      </c>
      <c r="L8452" s="36">
        <v>45351</v>
      </c>
      <c r="M8452" t="s">
        <v>612</v>
      </c>
      <c r="N8452" t="s">
        <v>604</v>
      </c>
      <c r="O8452" s="37" t="str">
        <f t="shared" si="663"/>
        <v>Digital Payment</v>
      </c>
      <c r="P8452">
        <v>1174.22</v>
      </c>
      <c r="Q8452" s="37" t="str">
        <f>IF(P8452&gt;500,"High","low")</f>
        <v>High</v>
      </c>
      <c r="R8452" s="37" t="str">
        <f t="shared" si="664"/>
        <v>Excellent</v>
      </c>
      <c r="S8452" t="s">
        <v>620</v>
      </c>
    </row>
    <row r="8453" spans="1:19" x14ac:dyDescent="0.2">
      <c r="A8453" t="s">
        <v>9064</v>
      </c>
      <c r="B8453" t="s">
        <v>90</v>
      </c>
      <c r="C8453" t="s">
        <v>614</v>
      </c>
      <c r="D8453">
        <v>734.34</v>
      </c>
      <c r="E8453" s="37" t="str">
        <f t="shared" si="660"/>
        <v xml:space="preserve"> </v>
      </c>
      <c r="F8453">
        <v>0.33</v>
      </c>
      <c r="G8453" s="37" t="str">
        <f t="shared" si="661"/>
        <v>Heavy Discount</v>
      </c>
      <c r="H8453" s="37" t="str">
        <f t="shared" si="662"/>
        <v>Medium</v>
      </c>
      <c r="I8453">
        <v>6</v>
      </c>
      <c r="J8453" t="str" cm="1">
        <f t="array" ref="J8453">_xlfn.IFS(I8453&lt;=3,"small",I8453&lt;=6,"Medium",I8453&lt;=9,"Large")</f>
        <v>Medium</v>
      </c>
      <c r="K8453" s="36">
        <v>45520</v>
      </c>
      <c r="L8453" s="36">
        <v>45526</v>
      </c>
      <c r="M8453" t="s">
        <v>598</v>
      </c>
      <c r="N8453" t="s">
        <v>604</v>
      </c>
      <c r="O8453" s="37" t="str">
        <f t="shared" si="663"/>
        <v>Digital Payment</v>
      </c>
      <c r="P8453">
        <v>53.71</v>
      </c>
      <c r="Q8453" s="37" t="str">
        <f>IF(P8453&gt;500,"High","low")</f>
        <v>low</v>
      </c>
      <c r="R8453" s="37" t="str">
        <f t="shared" si="664"/>
        <v>AVERAGE</v>
      </c>
      <c r="S8453" t="s">
        <v>605</v>
      </c>
    </row>
    <row r="8454" spans="1:19" x14ac:dyDescent="0.2">
      <c r="A8454" t="s">
        <v>9065</v>
      </c>
      <c r="B8454" t="s">
        <v>67</v>
      </c>
      <c r="C8454" t="s">
        <v>617</v>
      </c>
      <c r="D8454">
        <v>1720.28</v>
      </c>
      <c r="E8454" s="37" t="str">
        <f t="shared" si="660"/>
        <v xml:space="preserve"> </v>
      </c>
      <c r="F8454">
        <v>0.26</v>
      </c>
      <c r="G8454" s="37" t="str">
        <f t="shared" si="661"/>
        <v>Normal Discount</v>
      </c>
      <c r="H8454" s="37" t="str">
        <f t="shared" si="662"/>
        <v>Medium</v>
      </c>
      <c r="I8454">
        <v>5</v>
      </c>
      <c r="J8454" t="str" cm="1">
        <f t="array" ref="J8454">_xlfn.IFS(I8454&lt;=3,"small",I8454&lt;=6,"Medium",I8454&lt;=9,"Large")</f>
        <v>Medium</v>
      </c>
      <c r="K8454" s="36">
        <v>45146</v>
      </c>
      <c r="L8454" s="36">
        <v>45150</v>
      </c>
      <c r="M8454" t="s">
        <v>603</v>
      </c>
      <c r="N8454" t="s">
        <v>604</v>
      </c>
      <c r="O8454" s="37" t="str">
        <f t="shared" si="663"/>
        <v>Digital Payment</v>
      </c>
      <c r="P8454">
        <v>262.33</v>
      </c>
      <c r="Q8454" s="37" t="str">
        <f>IF(P8454&gt;500,"High","low")</f>
        <v>low</v>
      </c>
      <c r="R8454" s="37" t="str">
        <f t="shared" si="664"/>
        <v>AVERAGE</v>
      </c>
      <c r="S8454" t="s">
        <v>605</v>
      </c>
    </row>
    <row r="8455" spans="1:19" x14ac:dyDescent="0.2">
      <c r="A8455" t="s">
        <v>9066</v>
      </c>
      <c r="B8455" t="s">
        <v>90</v>
      </c>
      <c r="C8455" t="s">
        <v>617</v>
      </c>
      <c r="D8455">
        <v>1650.43</v>
      </c>
      <c r="E8455" s="37" t="str">
        <f t="shared" si="660"/>
        <v xml:space="preserve"> </v>
      </c>
      <c r="F8455">
        <v>7.0000000000000007E-2</v>
      </c>
      <c r="G8455" s="37" t="str">
        <f t="shared" si="661"/>
        <v>Normal Discount</v>
      </c>
      <c r="H8455" s="37" t="str">
        <f t="shared" si="662"/>
        <v>Low</v>
      </c>
      <c r="I8455">
        <v>5</v>
      </c>
      <c r="J8455" t="str" cm="1">
        <f t="array" ref="J8455">_xlfn.IFS(I8455&lt;=3,"small",I8455&lt;=6,"Medium",I8455&lt;=9,"Large")</f>
        <v>Medium</v>
      </c>
      <c r="K8455" s="36">
        <v>45158</v>
      </c>
      <c r="L8455" s="36">
        <v>45165</v>
      </c>
      <c r="M8455" t="s">
        <v>598</v>
      </c>
      <c r="N8455" t="s">
        <v>604</v>
      </c>
      <c r="O8455" s="37" t="str">
        <f t="shared" si="663"/>
        <v>Digital Payment</v>
      </c>
      <c r="P8455">
        <v>293.72000000000003</v>
      </c>
      <c r="Q8455" s="37" t="str">
        <f>IF(P8455&gt;500,"High","low")</f>
        <v>low</v>
      </c>
      <c r="R8455" s="37" t="str">
        <f t="shared" si="664"/>
        <v>AVERAGE</v>
      </c>
      <c r="S8455" t="s">
        <v>609</v>
      </c>
    </row>
    <row r="8456" spans="1:19" x14ac:dyDescent="0.2">
      <c r="A8456" t="s">
        <v>9067</v>
      </c>
      <c r="B8456" t="s">
        <v>90</v>
      </c>
      <c r="C8456" t="s">
        <v>614</v>
      </c>
      <c r="D8456">
        <v>4028.07</v>
      </c>
      <c r="E8456" s="37" t="str">
        <f t="shared" si="660"/>
        <v>Excellent Order</v>
      </c>
      <c r="F8456">
        <v>0.35</v>
      </c>
      <c r="G8456" s="37" t="str">
        <f t="shared" si="661"/>
        <v>Heavy Discount</v>
      </c>
      <c r="H8456" s="37" t="str">
        <f t="shared" si="662"/>
        <v>Medium</v>
      </c>
      <c r="I8456">
        <v>2</v>
      </c>
      <c r="J8456" t="str" cm="1">
        <f t="array" ref="J8456">_xlfn.IFS(I8456&lt;=3,"small",I8456&lt;=6,"Medium",I8456&lt;=9,"Large")</f>
        <v>small</v>
      </c>
      <c r="K8456" s="36">
        <v>45582</v>
      </c>
      <c r="L8456" s="36">
        <v>45588</v>
      </c>
      <c r="M8456" t="s">
        <v>598</v>
      </c>
      <c r="N8456" t="s">
        <v>608</v>
      </c>
      <c r="O8456" s="37" t="str">
        <f t="shared" si="663"/>
        <v>Cash Payment</v>
      </c>
      <c r="P8456">
        <v>1165.69</v>
      </c>
      <c r="Q8456" s="37" t="str">
        <f>IF(P8456&gt;500,"High","low")</f>
        <v>High</v>
      </c>
      <c r="R8456" s="37" t="str">
        <f t="shared" si="664"/>
        <v>Excellent</v>
      </c>
      <c r="S8456" t="s">
        <v>609</v>
      </c>
    </row>
    <row r="8457" spans="1:19" x14ac:dyDescent="0.2">
      <c r="A8457" t="s">
        <v>9068</v>
      </c>
      <c r="B8457" t="s">
        <v>90</v>
      </c>
      <c r="C8457" t="s">
        <v>602</v>
      </c>
      <c r="D8457">
        <v>2165.4699999999998</v>
      </c>
      <c r="E8457" s="37" t="str">
        <f t="shared" si="660"/>
        <v xml:space="preserve"> </v>
      </c>
      <c r="F8457">
        <v>0.47</v>
      </c>
      <c r="G8457" s="37" t="str">
        <f t="shared" si="661"/>
        <v>Heavy Discount</v>
      </c>
      <c r="H8457" s="37" t="str">
        <f t="shared" si="662"/>
        <v>High</v>
      </c>
      <c r="I8457">
        <v>9</v>
      </c>
      <c r="J8457" t="str" cm="1">
        <f t="array" ref="J8457">_xlfn.IFS(I8457&lt;=3,"small",I8457&lt;=6,"Medium",I8457&lt;=9,"Large")</f>
        <v>Large</v>
      </c>
      <c r="K8457" s="36">
        <v>45184</v>
      </c>
      <c r="L8457" s="36">
        <v>45189</v>
      </c>
      <c r="M8457" t="s">
        <v>598</v>
      </c>
      <c r="N8457" t="s">
        <v>599</v>
      </c>
      <c r="O8457" s="37" t="str">
        <f t="shared" si="663"/>
        <v>Digital Payment</v>
      </c>
      <c r="P8457">
        <v>311.24</v>
      </c>
      <c r="Q8457" s="37" t="str">
        <f>IF(P8457&gt;500,"High","low")</f>
        <v>low</v>
      </c>
      <c r="R8457" s="37" t="str">
        <f t="shared" si="664"/>
        <v>AVERAGE</v>
      </c>
      <c r="S8457" t="s">
        <v>600</v>
      </c>
    </row>
    <row r="8458" spans="1:19" x14ac:dyDescent="0.2">
      <c r="A8458" t="s">
        <v>9069</v>
      </c>
      <c r="B8458" t="s">
        <v>75</v>
      </c>
      <c r="C8458" t="s">
        <v>597</v>
      </c>
      <c r="D8458">
        <v>3096.68</v>
      </c>
      <c r="E8458" s="37" t="str">
        <f t="shared" si="660"/>
        <v xml:space="preserve"> </v>
      </c>
      <c r="F8458">
        <v>0.47</v>
      </c>
      <c r="G8458" s="37" t="str">
        <f t="shared" si="661"/>
        <v>Heavy Discount</v>
      </c>
      <c r="H8458" s="37" t="str">
        <f t="shared" si="662"/>
        <v>High</v>
      </c>
      <c r="I8458">
        <v>5</v>
      </c>
      <c r="J8458" t="str" cm="1">
        <f t="array" ref="J8458">_xlfn.IFS(I8458&lt;=3,"small",I8458&lt;=6,"Medium",I8458&lt;=9,"Large")</f>
        <v>Medium</v>
      </c>
      <c r="K8458" s="36">
        <v>45255</v>
      </c>
      <c r="L8458" s="36">
        <v>45261</v>
      </c>
      <c r="M8458" t="s">
        <v>612</v>
      </c>
      <c r="N8458" t="s">
        <v>604</v>
      </c>
      <c r="O8458" s="37" t="str">
        <f t="shared" si="663"/>
        <v>Digital Payment</v>
      </c>
      <c r="P8458">
        <v>913.67</v>
      </c>
      <c r="Q8458" s="37" t="str">
        <f>IF(P8458&gt;500,"High","low")</f>
        <v>High</v>
      </c>
      <c r="R8458" s="37" t="str">
        <f t="shared" si="664"/>
        <v>Good</v>
      </c>
      <c r="S8458" t="s">
        <v>615</v>
      </c>
    </row>
    <row r="8459" spans="1:19" x14ac:dyDescent="0.2">
      <c r="A8459" t="s">
        <v>9070</v>
      </c>
      <c r="B8459" t="s">
        <v>67</v>
      </c>
      <c r="C8459" t="s">
        <v>607</v>
      </c>
      <c r="D8459">
        <v>2081.48</v>
      </c>
      <c r="E8459" s="37" t="str">
        <f t="shared" si="660"/>
        <v xml:space="preserve"> </v>
      </c>
      <c r="F8459">
        <v>0.3</v>
      </c>
      <c r="G8459" s="37" t="str">
        <f t="shared" si="661"/>
        <v>Normal Discount</v>
      </c>
      <c r="H8459" s="37" t="str">
        <f t="shared" si="662"/>
        <v>Medium</v>
      </c>
      <c r="I8459">
        <v>3</v>
      </c>
      <c r="J8459" t="str" cm="1">
        <f t="array" ref="J8459">_xlfn.IFS(I8459&lt;=3,"small",I8459&lt;=6,"Medium",I8459&lt;=9,"Large")</f>
        <v>small</v>
      </c>
      <c r="K8459" s="36">
        <v>45365</v>
      </c>
      <c r="L8459" s="36">
        <v>45372</v>
      </c>
      <c r="M8459" t="s">
        <v>598</v>
      </c>
      <c r="N8459" t="s">
        <v>604</v>
      </c>
      <c r="O8459" s="37" t="str">
        <f t="shared" si="663"/>
        <v>Digital Payment</v>
      </c>
      <c r="P8459">
        <v>363.21</v>
      </c>
      <c r="Q8459" s="37" t="str">
        <f>IF(P8459&gt;500,"High","low")</f>
        <v>low</v>
      </c>
      <c r="R8459" s="37" t="str">
        <f t="shared" si="664"/>
        <v>AVERAGE</v>
      </c>
      <c r="S8459" t="s">
        <v>605</v>
      </c>
    </row>
    <row r="8460" spans="1:19" x14ac:dyDescent="0.2">
      <c r="A8460" t="s">
        <v>9071</v>
      </c>
      <c r="B8460" t="s">
        <v>75</v>
      </c>
      <c r="C8460" t="s">
        <v>602</v>
      </c>
      <c r="D8460">
        <v>2802.14</v>
      </c>
      <c r="E8460" s="37" t="str">
        <f t="shared" si="660"/>
        <v xml:space="preserve"> </v>
      </c>
      <c r="F8460">
        <v>0.25</v>
      </c>
      <c r="G8460" s="37" t="str">
        <f t="shared" si="661"/>
        <v>Normal Discount</v>
      </c>
      <c r="H8460" s="37" t="str">
        <f t="shared" si="662"/>
        <v>Medium</v>
      </c>
      <c r="I8460">
        <v>7</v>
      </c>
      <c r="J8460" t="str" cm="1">
        <f t="array" ref="J8460">_xlfn.IFS(I8460&lt;=3,"small",I8460&lt;=6,"Medium",I8460&lt;=9,"Large")</f>
        <v>Large</v>
      </c>
      <c r="K8460" s="36">
        <v>45117</v>
      </c>
      <c r="L8460" s="36">
        <v>45118</v>
      </c>
      <c r="M8460" t="s">
        <v>603</v>
      </c>
      <c r="N8460" t="s">
        <v>608</v>
      </c>
      <c r="O8460" s="37" t="str">
        <f t="shared" si="663"/>
        <v>Cash Payment</v>
      </c>
      <c r="P8460">
        <v>638.26</v>
      </c>
      <c r="Q8460" s="37" t="str">
        <f>IF(P8460&gt;500,"High","low")</f>
        <v>High</v>
      </c>
      <c r="R8460" s="37" t="str">
        <f t="shared" si="664"/>
        <v>Good</v>
      </c>
      <c r="S8460" t="s">
        <v>615</v>
      </c>
    </row>
    <row r="8461" spans="1:19" x14ac:dyDescent="0.2">
      <c r="A8461" t="s">
        <v>9072</v>
      </c>
      <c r="B8461" t="s">
        <v>67</v>
      </c>
      <c r="C8461" t="s">
        <v>617</v>
      </c>
      <c r="D8461">
        <v>405.96</v>
      </c>
      <c r="E8461" s="37" t="str">
        <f t="shared" si="660"/>
        <v xml:space="preserve"> </v>
      </c>
      <c r="F8461">
        <v>0.17</v>
      </c>
      <c r="G8461" s="37" t="str">
        <f t="shared" si="661"/>
        <v>Normal Discount</v>
      </c>
      <c r="H8461" s="37" t="str">
        <f t="shared" si="662"/>
        <v>Low</v>
      </c>
      <c r="I8461">
        <v>6</v>
      </c>
      <c r="J8461" t="str" cm="1">
        <f t="array" ref="J8461">_xlfn.IFS(I8461&lt;=3,"small",I8461&lt;=6,"Medium",I8461&lt;=9,"Large")</f>
        <v>Medium</v>
      </c>
      <c r="K8461" s="36">
        <v>45246</v>
      </c>
      <c r="L8461" s="36">
        <v>45249</v>
      </c>
      <c r="M8461" t="s">
        <v>603</v>
      </c>
      <c r="N8461" t="s">
        <v>604</v>
      </c>
      <c r="O8461" s="37" t="str">
        <f t="shared" si="663"/>
        <v>Digital Payment</v>
      </c>
      <c r="P8461">
        <v>29.66</v>
      </c>
      <c r="Q8461" s="37" t="str">
        <f>IF(P8461&gt;500,"High","low")</f>
        <v>low</v>
      </c>
      <c r="R8461" s="37" t="str">
        <f t="shared" si="664"/>
        <v>AVERAGE</v>
      </c>
      <c r="S8461" t="s">
        <v>620</v>
      </c>
    </row>
    <row r="8462" spans="1:19" x14ac:dyDescent="0.2">
      <c r="A8462" t="s">
        <v>9073</v>
      </c>
      <c r="B8462" t="s">
        <v>83</v>
      </c>
      <c r="C8462" t="s">
        <v>614</v>
      </c>
      <c r="D8462">
        <v>1932.74</v>
      </c>
      <c r="E8462" s="37" t="str">
        <f t="shared" si="660"/>
        <v xml:space="preserve"> </v>
      </c>
      <c r="F8462">
        <v>0.05</v>
      </c>
      <c r="G8462" s="37" t="str">
        <f t="shared" si="661"/>
        <v>Normal Discount</v>
      </c>
      <c r="H8462" s="37" t="str">
        <f t="shared" si="662"/>
        <v>Low</v>
      </c>
      <c r="I8462">
        <v>6</v>
      </c>
      <c r="J8462" t="str" cm="1">
        <f t="array" ref="J8462">_xlfn.IFS(I8462&lt;=3,"small",I8462&lt;=6,"Medium",I8462&lt;=9,"Large")</f>
        <v>Medium</v>
      </c>
      <c r="K8462" s="36">
        <v>44991</v>
      </c>
      <c r="L8462" s="36">
        <v>44995</v>
      </c>
      <c r="M8462" t="s">
        <v>598</v>
      </c>
      <c r="N8462" t="s">
        <v>608</v>
      </c>
      <c r="O8462" s="37" t="str">
        <f t="shared" si="663"/>
        <v>Cash Payment</v>
      </c>
      <c r="P8462">
        <v>429.12</v>
      </c>
      <c r="Q8462" s="37" t="str">
        <f>IF(P8462&gt;500,"High","low")</f>
        <v>low</v>
      </c>
      <c r="R8462" s="37" t="str">
        <f t="shared" si="664"/>
        <v>AVERAGE</v>
      </c>
      <c r="S8462" t="s">
        <v>628</v>
      </c>
    </row>
    <row r="8463" spans="1:19" x14ac:dyDescent="0.2">
      <c r="A8463" t="s">
        <v>9074</v>
      </c>
      <c r="B8463" t="s">
        <v>83</v>
      </c>
      <c r="C8463" t="s">
        <v>597</v>
      </c>
      <c r="D8463">
        <v>4290.0200000000004</v>
      </c>
      <c r="E8463" s="37" t="str">
        <f t="shared" si="660"/>
        <v xml:space="preserve"> </v>
      </c>
      <c r="F8463">
        <v>0.44</v>
      </c>
      <c r="G8463" s="37" t="str">
        <f t="shared" si="661"/>
        <v>Heavy Discount</v>
      </c>
      <c r="H8463" s="37" t="str">
        <f t="shared" si="662"/>
        <v>High</v>
      </c>
      <c r="I8463">
        <v>5</v>
      </c>
      <c r="J8463" t="str" cm="1">
        <f t="array" ref="J8463">_xlfn.IFS(I8463&lt;=3,"small",I8463&lt;=6,"Medium",I8463&lt;=9,"Large")</f>
        <v>Medium</v>
      </c>
      <c r="K8463" s="36">
        <v>45593</v>
      </c>
      <c r="L8463" s="36">
        <v>45596</v>
      </c>
      <c r="M8463" t="s">
        <v>612</v>
      </c>
      <c r="N8463" t="s">
        <v>599</v>
      </c>
      <c r="O8463" s="37" t="str">
        <f t="shared" si="663"/>
        <v>Digital Payment</v>
      </c>
      <c r="P8463">
        <v>319.01</v>
      </c>
      <c r="Q8463" s="37" t="str">
        <f>IF(P8463&gt;500,"High","low")</f>
        <v>low</v>
      </c>
      <c r="R8463" s="37" t="str">
        <f t="shared" si="664"/>
        <v>AVERAGE</v>
      </c>
      <c r="S8463" t="s">
        <v>620</v>
      </c>
    </row>
    <row r="8464" spans="1:19" x14ac:dyDescent="0.2">
      <c r="A8464" t="s">
        <v>9075</v>
      </c>
      <c r="B8464" t="s">
        <v>83</v>
      </c>
      <c r="C8464" t="s">
        <v>614</v>
      </c>
      <c r="D8464">
        <v>3486.23</v>
      </c>
      <c r="E8464" s="37" t="str">
        <f t="shared" si="660"/>
        <v xml:space="preserve"> </v>
      </c>
      <c r="F8464">
        <v>7.0000000000000007E-2</v>
      </c>
      <c r="G8464" s="37" t="str">
        <f t="shared" si="661"/>
        <v>Normal Discount</v>
      </c>
      <c r="H8464" s="37" t="str">
        <f t="shared" si="662"/>
        <v>Low</v>
      </c>
      <c r="I8464">
        <v>4</v>
      </c>
      <c r="J8464" t="str" cm="1">
        <f t="array" ref="J8464">_xlfn.IFS(I8464&lt;=3,"small",I8464&lt;=6,"Medium",I8464&lt;=9,"Large")</f>
        <v>Medium</v>
      </c>
      <c r="K8464" s="36">
        <v>45172</v>
      </c>
      <c r="L8464" s="36">
        <v>45174</v>
      </c>
      <c r="M8464" t="s">
        <v>603</v>
      </c>
      <c r="N8464" t="s">
        <v>599</v>
      </c>
      <c r="O8464" s="37" t="str">
        <f t="shared" si="663"/>
        <v>Digital Payment</v>
      </c>
      <c r="P8464">
        <v>639.80999999999995</v>
      </c>
      <c r="Q8464" s="37" t="str">
        <f>IF(P8464&gt;500,"High","low")</f>
        <v>High</v>
      </c>
      <c r="R8464" s="37" t="str">
        <f t="shared" si="664"/>
        <v>Good</v>
      </c>
      <c r="S8464" t="s">
        <v>600</v>
      </c>
    </row>
    <row r="8465" spans="1:19" x14ac:dyDescent="0.2">
      <c r="A8465" t="s">
        <v>9076</v>
      </c>
      <c r="B8465" t="s">
        <v>67</v>
      </c>
      <c r="C8465" t="s">
        <v>617</v>
      </c>
      <c r="D8465">
        <v>4910.96</v>
      </c>
      <c r="E8465" s="37" t="str">
        <f t="shared" si="660"/>
        <v xml:space="preserve"> </v>
      </c>
      <c r="F8465">
        <v>0.14000000000000001</v>
      </c>
      <c r="G8465" s="37" t="str">
        <f t="shared" si="661"/>
        <v>Normal Discount</v>
      </c>
      <c r="H8465" s="37" t="str">
        <f t="shared" si="662"/>
        <v>Low</v>
      </c>
      <c r="I8465">
        <v>6</v>
      </c>
      <c r="J8465" t="str" cm="1">
        <f t="array" ref="J8465">_xlfn.IFS(I8465&lt;=3,"small",I8465&lt;=6,"Medium",I8465&lt;=9,"Large")</f>
        <v>Medium</v>
      </c>
      <c r="K8465" s="36">
        <v>45063</v>
      </c>
      <c r="L8465" s="36">
        <v>45068</v>
      </c>
      <c r="M8465" t="s">
        <v>612</v>
      </c>
      <c r="N8465" t="s">
        <v>608</v>
      </c>
      <c r="O8465" s="37" t="str">
        <f t="shared" si="663"/>
        <v>Cash Payment</v>
      </c>
      <c r="P8465">
        <v>656.97</v>
      </c>
      <c r="Q8465" s="37" t="str">
        <f>IF(P8465&gt;500,"High","low")</f>
        <v>High</v>
      </c>
      <c r="R8465" s="37" t="str">
        <f t="shared" si="664"/>
        <v>Good</v>
      </c>
      <c r="S8465" t="s">
        <v>615</v>
      </c>
    </row>
    <row r="8466" spans="1:19" x14ac:dyDescent="0.2">
      <c r="A8466" t="s">
        <v>9077</v>
      </c>
      <c r="B8466" t="s">
        <v>90</v>
      </c>
      <c r="C8466" t="s">
        <v>614</v>
      </c>
      <c r="D8466">
        <v>3960.81</v>
      </c>
      <c r="E8466" s="37" t="str">
        <f t="shared" si="660"/>
        <v xml:space="preserve"> </v>
      </c>
      <c r="F8466">
        <v>0.37</v>
      </c>
      <c r="G8466" s="37" t="str">
        <f t="shared" si="661"/>
        <v>Heavy Discount</v>
      </c>
      <c r="H8466" s="37" t="str">
        <f t="shared" si="662"/>
        <v>Medium</v>
      </c>
      <c r="I8466">
        <v>7</v>
      </c>
      <c r="J8466" t="str" cm="1">
        <f t="array" ref="J8466">_xlfn.IFS(I8466&lt;=3,"small",I8466&lt;=6,"Medium",I8466&lt;=9,"Large")</f>
        <v>Large</v>
      </c>
      <c r="K8466" s="36">
        <v>45093</v>
      </c>
      <c r="L8466" s="36">
        <v>45099</v>
      </c>
      <c r="M8466" t="s">
        <v>603</v>
      </c>
      <c r="N8466" t="s">
        <v>599</v>
      </c>
      <c r="O8466" s="37" t="str">
        <f t="shared" si="663"/>
        <v>Digital Payment</v>
      </c>
      <c r="P8466">
        <v>516.99</v>
      </c>
      <c r="Q8466" s="37" t="str">
        <f>IF(P8466&gt;500,"High","low")</f>
        <v>High</v>
      </c>
      <c r="R8466" s="37" t="str">
        <f t="shared" si="664"/>
        <v>Good</v>
      </c>
      <c r="S8466" t="s">
        <v>609</v>
      </c>
    </row>
    <row r="8467" spans="1:19" x14ac:dyDescent="0.2">
      <c r="A8467" t="s">
        <v>9078</v>
      </c>
      <c r="B8467" t="s">
        <v>90</v>
      </c>
      <c r="C8467" t="s">
        <v>597</v>
      </c>
      <c r="D8467">
        <v>2312.4</v>
      </c>
      <c r="E8467" s="37" t="str">
        <f t="shared" si="660"/>
        <v xml:space="preserve"> </v>
      </c>
      <c r="F8467">
        <v>0.35</v>
      </c>
      <c r="G8467" s="37" t="str">
        <f t="shared" si="661"/>
        <v>Heavy Discount</v>
      </c>
      <c r="H8467" s="37" t="str">
        <f t="shared" si="662"/>
        <v>Medium</v>
      </c>
      <c r="I8467">
        <v>8</v>
      </c>
      <c r="J8467" t="str" cm="1">
        <f t="array" ref="J8467">_xlfn.IFS(I8467&lt;=3,"small",I8467&lt;=6,"Medium",I8467&lt;=9,"Large")</f>
        <v>Large</v>
      </c>
      <c r="K8467" s="36">
        <v>45089</v>
      </c>
      <c r="L8467" s="36">
        <v>45096</v>
      </c>
      <c r="M8467" t="s">
        <v>598</v>
      </c>
      <c r="N8467" t="s">
        <v>604</v>
      </c>
      <c r="O8467" s="37" t="str">
        <f t="shared" si="663"/>
        <v>Digital Payment</v>
      </c>
      <c r="P8467">
        <v>164.02</v>
      </c>
      <c r="Q8467" s="37" t="str">
        <f>IF(P8467&gt;500,"High","low")</f>
        <v>low</v>
      </c>
      <c r="R8467" s="37" t="str">
        <f t="shared" si="664"/>
        <v>AVERAGE</v>
      </c>
      <c r="S8467" t="s">
        <v>620</v>
      </c>
    </row>
    <row r="8468" spans="1:19" x14ac:dyDescent="0.2">
      <c r="A8468" t="s">
        <v>9079</v>
      </c>
      <c r="B8468" t="s">
        <v>75</v>
      </c>
      <c r="C8468" t="s">
        <v>614</v>
      </c>
      <c r="D8468">
        <v>3413.77</v>
      </c>
      <c r="E8468" s="37" t="str">
        <f t="shared" si="660"/>
        <v xml:space="preserve"> </v>
      </c>
      <c r="F8468">
        <v>0.34</v>
      </c>
      <c r="G8468" s="37" t="str">
        <f t="shared" si="661"/>
        <v>Heavy Discount</v>
      </c>
      <c r="H8468" s="37" t="str">
        <f t="shared" si="662"/>
        <v>Medium</v>
      </c>
      <c r="I8468">
        <v>2</v>
      </c>
      <c r="J8468" t="str" cm="1">
        <f t="array" ref="J8468">_xlfn.IFS(I8468&lt;=3,"small",I8468&lt;=6,"Medium",I8468&lt;=9,"Large")</f>
        <v>small</v>
      </c>
      <c r="K8468" s="36">
        <v>45599</v>
      </c>
      <c r="L8468" s="36">
        <v>45600</v>
      </c>
      <c r="M8468" t="s">
        <v>603</v>
      </c>
      <c r="N8468" t="s">
        <v>599</v>
      </c>
      <c r="O8468" s="37" t="str">
        <f t="shared" si="663"/>
        <v>Digital Payment</v>
      </c>
      <c r="P8468">
        <v>759.92</v>
      </c>
      <c r="Q8468" s="37" t="str">
        <f>IF(P8468&gt;500,"High","low")</f>
        <v>High</v>
      </c>
      <c r="R8468" s="37" t="str">
        <f t="shared" si="664"/>
        <v>Good</v>
      </c>
      <c r="S8468" t="s">
        <v>600</v>
      </c>
    </row>
    <row r="8469" spans="1:19" x14ac:dyDescent="0.2">
      <c r="A8469" t="s">
        <v>9080</v>
      </c>
      <c r="B8469" t="s">
        <v>75</v>
      </c>
      <c r="C8469" t="s">
        <v>597</v>
      </c>
      <c r="D8469">
        <v>3901.98</v>
      </c>
      <c r="E8469" s="37" t="str">
        <f t="shared" si="660"/>
        <v xml:space="preserve"> </v>
      </c>
      <c r="F8469">
        <v>0.37</v>
      </c>
      <c r="G8469" s="37" t="str">
        <f t="shared" si="661"/>
        <v>Heavy Discount</v>
      </c>
      <c r="H8469" s="37" t="str">
        <f t="shared" si="662"/>
        <v>Medium</v>
      </c>
      <c r="I8469">
        <v>4</v>
      </c>
      <c r="J8469" t="str" cm="1">
        <f t="array" ref="J8469">_xlfn.IFS(I8469&lt;=3,"small",I8469&lt;=6,"Medium",I8469&lt;=9,"Large")</f>
        <v>Medium</v>
      </c>
      <c r="K8469" s="36">
        <v>45323</v>
      </c>
      <c r="L8469" s="36">
        <v>45329</v>
      </c>
      <c r="M8469" t="s">
        <v>598</v>
      </c>
      <c r="N8469" t="s">
        <v>608</v>
      </c>
      <c r="O8469" s="37" t="str">
        <f t="shared" si="663"/>
        <v>Cash Payment</v>
      </c>
      <c r="P8469">
        <v>735.14</v>
      </c>
      <c r="Q8469" s="37" t="str">
        <f>IF(P8469&gt;500,"High","low")</f>
        <v>High</v>
      </c>
      <c r="R8469" s="37" t="str">
        <f t="shared" si="664"/>
        <v>Good</v>
      </c>
      <c r="S8469" t="s">
        <v>605</v>
      </c>
    </row>
    <row r="8470" spans="1:19" x14ac:dyDescent="0.2">
      <c r="A8470" t="s">
        <v>9081</v>
      </c>
      <c r="B8470" t="s">
        <v>83</v>
      </c>
      <c r="C8470" t="s">
        <v>614</v>
      </c>
      <c r="D8470">
        <v>1421.45</v>
      </c>
      <c r="E8470" s="37" t="str">
        <f t="shared" si="660"/>
        <v xml:space="preserve"> </v>
      </c>
      <c r="F8470">
        <v>0.27</v>
      </c>
      <c r="G8470" s="37" t="str">
        <f t="shared" si="661"/>
        <v>Normal Discount</v>
      </c>
      <c r="H8470" s="37" t="str">
        <f t="shared" si="662"/>
        <v>Medium</v>
      </c>
      <c r="I8470">
        <v>7</v>
      </c>
      <c r="J8470" t="str" cm="1">
        <f t="array" ref="J8470">_xlfn.IFS(I8470&lt;=3,"small",I8470&lt;=6,"Medium",I8470&lt;=9,"Large")</f>
        <v>Large</v>
      </c>
      <c r="K8470" s="36">
        <v>45363</v>
      </c>
      <c r="L8470" s="36">
        <v>45370</v>
      </c>
      <c r="M8470" t="s">
        <v>598</v>
      </c>
      <c r="N8470" t="s">
        <v>599</v>
      </c>
      <c r="O8470" s="37" t="str">
        <f t="shared" si="663"/>
        <v>Digital Payment</v>
      </c>
      <c r="P8470">
        <v>210.65</v>
      </c>
      <c r="Q8470" s="37" t="str">
        <f>IF(P8470&gt;500,"High","low")</f>
        <v>low</v>
      </c>
      <c r="R8470" s="37" t="str">
        <f t="shared" si="664"/>
        <v>AVERAGE</v>
      </c>
      <c r="S8470" t="s">
        <v>605</v>
      </c>
    </row>
    <row r="8471" spans="1:19" x14ac:dyDescent="0.2">
      <c r="A8471" t="s">
        <v>9082</v>
      </c>
      <c r="B8471" t="s">
        <v>75</v>
      </c>
      <c r="C8471" t="s">
        <v>614</v>
      </c>
      <c r="D8471">
        <v>394.09</v>
      </c>
      <c r="E8471" s="37" t="str">
        <f t="shared" si="660"/>
        <v xml:space="preserve"> </v>
      </c>
      <c r="F8471">
        <v>0.08</v>
      </c>
      <c r="G8471" s="37" t="str">
        <f t="shared" si="661"/>
        <v>Normal Discount</v>
      </c>
      <c r="H8471" s="37" t="str">
        <f t="shared" si="662"/>
        <v>Low</v>
      </c>
      <c r="I8471">
        <v>3</v>
      </c>
      <c r="J8471" t="str" cm="1">
        <f t="array" ref="J8471">_xlfn.IFS(I8471&lt;=3,"small",I8471&lt;=6,"Medium",I8471&lt;=9,"Large")</f>
        <v>small</v>
      </c>
      <c r="K8471" s="36">
        <v>44927</v>
      </c>
      <c r="L8471" s="36">
        <v>44928</v>
      </c>
      <c r="M8471" t="s">
        <v>612</v>
      </c>
      <c r="N8471" t="s">
        <v>599</v>
      </c>
      <c r="O8471" s="37" t="str">
        <f t="shared" si="663"/>
        <v>Digital Payment</v>
      </c>
      <c r="P8471">
        <v>115.92</v>
      </c>
      <c r="Q8471" s="37" t="str">
        <f>IF(P8471&gt;500,"High","low")</f>
        <v>low</v>
      </c>
      <c r="R8471" s="37" t="str">
        <f t="shared" si="664"/>
        <v>AVERAGE</v>
      </c>
      <c r="S8471" t="s">
        <v>620</v>
      </c>
    </row>
    <row r="8472" spans="1:19" x14ac:dyDescent="0.2">
      <c r="A8472" t="s">
        <v>9083</v>
      </c>
      <c r="B8472" t="s">
        <v>67</v>
      </c>
      <c r="C8472" t="s">
        <v>597</v>
      </c>
      <c r="D8472">
        <v>2088.65</v>
      </c>
      <c r="E8472" s="37" t="str">
        <f t="shared" si="660"/>
        <v xml:space="preserve"> </v>
      </c>
      <c r="F8472">
        <v>0.5</v>
      </c>
      <c r="G8472" s="37" t="str">
        <f t="shared" si="661"/>
        <v>Heavy Discount</v>
      </c>
      <c r="H8472" s="37" t="str">
        <f t="shared" si="662"/>
        <v>High</v>
      </c>
      <c r="I8472">
        <v>5</v>
      </c>
      <c r="J8472" t="str" cm="1">
        <f t="array" ref="J8472">_xlfn.IFS(I8472&lt;=3,"small",I8472&lt;=6,"Medium",I8472&lt;=9,"Large")</f>
        <v>Medium</v>
      </c>
      <c r="K8472" s="36">
        <v>45104</v>
      </c>
      <c r="L8472" s="36">
        <v>45106</v>
      </c>
      <c r="M8472" t="s">
        <v>603</v>
      </c>
      <c r="N8472" t="s">
        <v>599</v>
      </c>
      <c r="O8472" s="37" t="str">
        <f t="shared" si="663"/>
        <v>Digital Payment</v>
      </c>
      <c r="P8472">
        <v>120.27</v>
      </c>
      <c r="Q8472" s="37" t="str">
        <f>IF(P8472&gt;500,"High","low")</f>
        <v>low</v>
      </c>
      <c r="R8472" s="37" t="str">
        <f t="shared" si="664"/>
        <v>AVERAGE</v>
      </c>
      <c r="S8472" t="s">
        <v>615</v>
      </c>
    </row>
    <row r="8473" spans="1:19" x14ac:dyDescent="0.2">
      <c r="A8473" t="s">
        <v>9084</v>
      </c>
      <c r="B8473" t="s">
        <v>67</v>
      </c>
      <c r="C8473" t="s">
        <v>614</v>
      </c>
      <c r="D8473">
        <v>808.9</v>
      </c>
      <c r="E8473" s="37" t="str">
        <f t="shared" si="660"/>
        <v xml:space="preserve"> </v>
      </c>
      <c r="F8473">
        <v>0.45</v>
      </c>
      <c r="G8473" s="37" t="str">
        <f t="shared" si="661"/>
        <v>Heavy Discount</v>
      </c>
      <c r="H8473" s="37" t="str">
        <f t="shared" si="662"/>
        <v>High</v>
      </c>
      <c r="I8473">
        <v>7</v>
      </c>
      <c r="J8473" t="str" cm="1">
        <f t="array" ref="J8473">_xlfn.IFS(I8473&lt;=3,"small",I8473&lt;=6,"Medium",I8473&lt;=9,"Large")</f>
        <v>Large</v>
      </c>
      <c r="K8473" s="36">
        <v>45407</v>
      </c>
      <c r="L8473" s="36">
        <v>45411</v>
      </c>
      <c r="M8473" t="s">
        <v>598</v>
      </c>
      <c r="N8473" t="s">
        <v>608</v>
      </c>
      <c r="O8473" s="37" t="str">
        <f t="shared" si="663"/>
        <v>Cash Payment</v>
      </c>
      <c r="P8473">
        <v>171.25</v>
      </c>
      <c r="Q8473" s="37" t="str">
        <f>IF(P8473&gt;500,"High","low")</f>
        <v>low</v>
      </c>
      <c r="R8473" s="37" t="str">
        <f t="shared" si="664"/>
        <v>AVERAGE</v>
      </c>
      <c r="S8473" t="s">
        <v>628</v>
      </c>
    </row>
    <row r="8474" spans="1:19" x14ac:dyDescent="0.2">
      <c r="A8474" t="s">
        <v>9085</v>
      </c>
      <c r="B8474" t="s">
        <v>75</v>
      </c>
      <c r="C8474" t="s">
        <v>602</v>
      </c>
      <c r="D8474">
        <v>1458.48</v>
      </c>
      <c r="E8474" s="37" t="str">
        <f t="shared" si="660"/>
        <v xml:space="preserve"> </v>
      </c>
      <c r="F8474">
        <v>0.22</v>
      </c>
      <c r="G8474" s="37" t="str">
        <f t="shared" si="661"/>
        <v>Normal Discount</v>
      </c>
      <c r="H8474" s="37" t="str">
        <f t="shared" si="662"/>
        <v>Medium</v>
      </c>
      <c r="I8474">
        <v>9</v>
      </c>
      <c r="J8474" t="str" cm="1">
        <f t="array" ref="J8474">_xlfn.IFS(I8474&lt;=3,"small",I8474&lt;=6,"Medium",I8474&lt;=9,"Large")</f>
        <v>Large</v>
      </c>
      <c r="K8474" s="36">
        <v>45170</v>
      </c>
      <c r="L8474" s="36">
        <v>45175</v>
      </c>
      <c r="M8474" t="s">
        <v>598</v>
      </c>
      <c r="N8474" t="s">
        <v>599</v>
      </c>
      <c r="O8474" s="37" t="str">
        <f t="shared" si="663"/>
        <v>Digital Payment</v>
      </c>
      <c r="P8474">
        <v>245.94</v>
      </c>
      <c r="Q8474" s="37" t="str">
        <f>IF(P8474&gt;500,"High","low")</f>
        <v>low</v>
      </c>
      <c r="R8474" s="37" t="str">
        <f t="shared" si="664"/>
        <v>AVERAGE</v>
      </c>
      <c r="S8474" t="s">
        <v>605</v>
      </c>
    </row>
    <row r="8475" spans="1:19" x14ac:dyDescent="0.2">
      <c r="A8475" t="s">
        <v>9086</v>
      </c>
      <c r="B8475" t="s">
        <v>75</v>
      </c>
      <c r="C8475" t="s">
        <v>607</v>
      </c>
      <c r="D8475">
        <v>4739.54</v>
      </c>
      <c r="E8475" s="37" t="str">
        <f t="shared" si="660"/>
        <v>Excellent Order</v>
      </c>
      <c r="F8475">
        <v>0.27</v>
      </c>
      <c r="G8475" s="37" t="str">
        <f t="shared" si="661"/>
        <v>Normal Discount</v>
      </c>
      <c r="H8475" s="37" t="str">
        <f t="shared" si="662"/>
        <v>Medium</v>
      </c>
      <c r="I8475">
        <v>6</v>
      </c>
      <c r="J8475" t="str" cm="1">
        <f t="array" ref="J8475">_xlfn.IFS(I8475&lt;=3,"small",I8475&lt;=6,"Medium",I8475&lt;=9,"Large")</f>
        <v>Medium</v>
      </c>
      <c r="K8475" s="36">
        <v>45618</v>
      </c>
      <c r="L8475" s="36">
        <v>45619</v>
      </c>
      <c r="M8475" t="s">
        <v>603</v>
      </c>
      <c r="N8475" t="s">
        <v>599</v>
      </c>
      <c r="O8475" s="37" t="str">
        <f t="shared" si="663"/>
        <v>Digital Payment</v>
      </c>
      <c r="P8475">
        <v>1249.08</v>
      </c>
      <c r="Q8475" s="37" t="str">
        <f>IF(P8475&gt;500,"High","low")</f>
        <v>High</v>
      </c>
      <c r="R8475" s="37" t="str">
        <f t="shared" si="664"/>
        <v>Excellent</v>
      </c>
      <c r="S8475" t="s">
        <v>609</v>
      </c>
    </row>
    <row r="8476" spans="1:19" x14ac:dyDescent="0.2">
      <c r="A8476" t="s">
        <v>9087</v>
      </c>
      <c r="B8476" t="s">
        <v>75</v>
      </c>
      <c r="C8476" t="s">
        <v>602</v>
      </c>
      <c r="D8476">
        <v>4250.7</v>
      </c>
      <c r="E8476" s="37" t="str">
        <f t="shared" si="660"/>
        <v>Excellent Order</v>
      </c>
      <c r="F8476">
        <v>0.2</v>
      </c>
      <c r="G8476" s="37" t="str">
        <f t="shared" si="661"/>
        <v>Normal Discount</v>
      </c>
      <c r="H8476" s="37" t="str">
        <f t="shared" si="662"/>
        <v>Medium</v>
      </c>
      <c r="I8476">
        <v>2</v>
      </c>
      <c r="J8476" t="str" cm="1">
        <f t="array" ref="J8476">_xlfn.IFS(I8476&lt;=3,"small",I8476&lt;=6,"Medium",I8476&lt;=9,"Large")</f>
        <v>small</v>
      </c>
      <c r="K8476" s="36">
        <v>45164</v>
      </c>
      <c r="L8476" s="36">
        <v>45170</v>
      </c>
      <c r="M8476" t="s">
        <v>612</v>
      </c>
      <c r="N8476" t="s">
        <v>604</v>
      </c>
      <c r="O8476" s="37" t="str">
        <f t="shared" si="663"/>
        <v>Digital Payment</v>
      </c>
      <c r="P8476">
        <v>1039.1400000000001</v>
      </c>
      <c r="Q8476" s="37" t="str">
        <f>IF(P8476&gt;500,"High","low")</f>
        <v>High</v>
      </c>
      <c r="R8476" s="37" t="str">
        <f t="shared" si="664"/>
        <v>Excellent</v>
      </c>
      <c r="S8476" t="s">
        <v>600</v>
      </c>
    </row>
    <row r="8477" spans="1:19" x14ac:dyDescent="0.2">
      <c r="A8477" t="s">
        <v>9088</v>
      </c>
      <c r="B8477" t="s">
        <v>75</v>
      </c>
      <c r="C8477" t="s">
        <v>607</v>
      </c>
      <c r="D8477">
        <v>3003.07</v>
      </c>
      <c r="E8477" s="37" t="str">
        <f t="shared" si="660"/>
        <v xml:space="preserve"> </v>
      </c>
      <c r="F8477">
        <v>0.32</v>
      </c>
      <c r="G8477" s="37" t="str">
        <f t="shared" si="661"/>
        <v>Heavy Discount</v>
      </c>
      <c r="H8477" s="37" t="str">
        <f t="shared" si="662"/>
        <v>Medium</v>
      </c>
      <c r="I8477">
        <v>9</v>
      </c>
      <c r="J8477" t="str" cm="1">
        <f t="array" ref="J8477">_xlfn.IFS(I8477&lt;=3,"small",I8477&lt;=6,"Medium",I8477&lt;=9,"Large")</f>
        <v>Large</v>
      </c>
      <c r="K8477" s="36">
        <v>45043</v>
      </c>
      <c r="L8477" s="36">
        <v>45046</v>
      </c>
      <c r="M8477" t="s">
        <v>612</v>
      </c>
      <c r="N8477" t="s">
        <v>599</v>
      </c>
      <c r="O8477" s="37" t="str">
        <f t="shared" si="663"/>
        <v>Digital Payment</v>
      </c>
      <c r="P8477">
        <v>267.64999999999998</v>
      </c>
      <c r="Q8477" s="37" t="str">
        <f>IF(P8477&gt;500,"High","low")</f>
        <v>low</v>
      </c>
      <c r="R8477" s="37" t="str">
        <f t="shared" si="664"/>
        <v>AVERAGE</v>
      </c>
      <c r="S8477" t="s">
        <v>615</v>
      </c>
    </row>
    <row r="8478" spans="1:19" x14ac:dyDescent="0.2">
      <c r="A8478" t="s">
        <v>9089</v>
      </c>
      <c r="B8478" t="s">
        <v>83</v>
      </c>
      <c r="C8478" t="s">
        <v>602</v>
      </c>
      <c r="D8478">
        <v>2066.16</v>
      </c>
      <c r="E8478" s="37" t="str">
        <f t="shared" si="660"/>
        <v xml:space="preserve"> </v>
      </c>
      <c r="F8478">
        <v>0.37</v>
      </c>
      <c r="G8478" s="37" t="str">
        <f t="shared" si="661"/>
        <v>Heavy Discount</v>
      </c>
      <c r="H8478" s="37" t="str">
        <f t="shared" si="662"/>
        <v>Medium</v>
      </c>
      <c r="I8478">
        <v>6</v>
      </c>
      <c r="J8478" t="str" cm="1">
        <f t="array" ref="J8478">_xlfn.IFS(I8478&lt;=3,"small",I8478&lt;=6,"Medium",I8478&lt;=9,"Large")</f>
        <v>Medium</v>
      </c>
      <c r="K8478" s="36">
        <v>45274</v>
      </c>
      <c r="L8478" s="36">
        <v>45276</v>
      </c>
      <c r="M8478" t="s">
        <v>612</v>
      </c>
      <c r="N8478" t="s">
        <v>604</v>
      </c>
      <c r="O8478" s="37" t="str">
        <f t="shared" si="663"/>
        <v>Digital Payment</v>
      </c>
      <c r="P8478">
        <v>294.87</v>
      </c>
      <c r="Q8478" s="37" t="str">
        <f>IF(P8478&gt;500,"High","low")</f>
        <v>low</v>
      </c>
      <c r="R8478" s="37" t="str">
        <f t="shared" si="664"/>
        <v>AVERAGE</v>
      </c>
      <c r="S8478" t="s">
        <v>605</v>
      </c>
    </row>
    <row r="8479" spans="1:19" x14ac:dyDescent="0.2">
      <c r="A8479" t="s">
        <v>9090</v>
      </c>
      <c r="B8479" t="s">
        <v>83</v>
      </c>
      <c r="C8479" t="s">
        <v>607</v>
      </c>
      <c r="D8479">
        <v>1395.22</v>
      </c>
      <c r="E8479" s="37" t="str">
        <f t="shared" si="660"/>
        <v xml:space="preserve"> </v>
      </c>
      <c r="F8479">
        <v>0.12</v>
      </c>
      <c r="G8479" s="37" t="str">
        <f t="shared" si="661"/>
        <v>Normal Discount</v>
      </c>
      <c r="H8479" s="37" t="str">
        <f t="shared" si="662"/>
        <v>Low</v>
      </c>
      <c r="I8479">
        <v>2</v>
      </c>
      <c r="J8479" t="str" cm="1">
        <f t="array" ref="J8479">_xlfn.IFS(I8479&lt;=3,"small",I8479&lt;=6,"Medium",I8479&lt;=9,"Large")</f>
        <v>small</v>
      </c>
      <c r="K8479" s="36">
        <v>44933</v>
      </c>
      <c r="L8479" s="36">
        <v>44939</v>
      </c>
      <c r="M8479" t="s">
        <v>612</v>
      </c>
      <c r="N8479" t="s">
        <v>599</v>
      </c>
      <c r="O8479" s="37" t="str">
        <f t="shared" si="663"/>
        <v>Digital Payment</v>
      </c>
      <c r="P8479">
        <v>316.10000000000002</v>
      </c>
      <c r="Q8479" s="37" t="str">
        <f>IF(P8479&gt;500,"High","low")</f>
        <v>low</v>
      </c>
      <c r="R8479" s="37" t="str">
        <f t="shared" si="664"/>
        <v>AVERAGE</v>
      </c>
      <c r="S8479" t="s">
        <v>609</v>
      </c>
    </row>
    <row r="8480" spans="1:19" x14ac:dyDescent="0.2">
      <c r="A8480" t="s">
        <v>9091</v>
      </c>
      <c r="B8480" t="s">
        <v>75</v>
      </c>
      <c r="C8480" t="s">
        <v>614</v>
      </c>
      <c r="D8480">
        <v>2900.15</v>
      </c>
      <c r="E8480" s="37" t="str">
        <f t="shared" si="660"/>
        <v xml:space="preserve"> </v>
      </c>
      <c r="F8480">
        <v>0.22</v>
      </c>
      <c r="G8480" s="37" t="str">
        <f t="shared" si="661"/>
        <v>Normal Discount</v>
      </c>
      <c r="H8480" s="37" t="str">
        <f t="shared" si="662"/>
        <v>Medium</v>
      </c>
      <c r="I8480">
        <v>1</v>
      </c>
      <c r="J8480" t="str" cm="1">
        <f t="array" ref="J8480">_xlfn.IFS(I8480&lt;=3,"small",I8480&lt;=6,"Medium",I8480&lt;=9,"Large")</f>
        <v>small</v>
      </c>
      <c r="K8480" s="36">
        <v>45100</v>
      </c>
      <c r="L8480" s="36">
        <v>45101</v>
      </c>
      <c r="M8480" t="s">
        <v>598</v>
      </c>
      <c r="N8480" t="s">
        <v>599</v>
      </c>
      <c r="O8480" s="37" t="str">
        <f t="shared" si="663"/>
        <v>Digital Payment</v>
      </c>
      <c r="P8480">
        <v>444.68</v>
      </c>
      <c r="Q8480" s="37" t="str">
        <f>IF(P8480&gt;500,"High","low")</f>
        <v>low</v>
      </c>
      <c r="R8480" s="37" t="str">
        <f t="shared" si="664"/>
        <v>AVERAGE</v>
      </c>
      <c r="S8480" t="s">
        <v>605</v>
      </c>
    </row>
    <row r="8481" spans="1:19" x14ac:dyDescent="0.2">
      <c r="A8481" t="s">
        <v>9092</v>
      </c>
      <c r="B8481" t="s">
        <v>67</v>
      </c>
      <c r="C8481" t="s">
        <v>597</v>
      </c>
      <c r="D8481">
        <v>2712.49</v>
      </c>
      <c r="E8481" s="37" t="str">
        <f t="shared" si="660"/>
        <v xml:space="preserve"> </v>
      </c>
      <c r="F8481">
        <v>0.32</v>
      </c>
      <c r="G8481" s="37" t="str">
        <f t="shared" si="661"/>
        <v>Heavy Discount</v>
      </c>
      <c r="H8481" s="37" t="str">
        <f t="shared" si="662"/>
        <v>Medium</v>
      </c>
      <c r="I8481">
        <v>4</v>
      </c>
      <c r="J8481" t="str" cm="1">
        <f t="array" ref="J8481">_xlfn.IFS(I8481&lt;=3,"small",I8481&lt;=6,"Medium",I8481&lt;=9,"Large")</f>
        <v>Medium</v>
      </c>
      <c r="K8481" s="36">
        <v>45042</v>
      </c>
      <c r="L8481" s="36">
        <v>45048</v>
      </c>
      <c r="M8481" t="s">
        <v>598</v>
      </c>
      <c r="N8481" t="s">
        <v>608</v>
      </c>
      <c r="O8481" s="37" t="str">
        <f t="shared" si="663"/>
        <v>Cash Payment</v>
      </c>
      <c r="P8481">
        <v>600.5</v>
      </c>
      <c r="Q8481" s="37" t="str">
        <f>IF(P8481&gt;500,"High","low")</f>
        <v>High</v>
      </c>
      <c r="R8481" s="37" t="str">
        <f t="shared" si="664"/>
        <v>Good</v>
      </c>
      <c r="S8481" t="s">
        <v>615</v>
      </c>
    </row>
    <row r="8482" spans="1:19" x14ac:dyDescent="0.2">
      <c r="A8482" t="s">
        <v>9093</v>
      </c>
      <c r="B8482" t="s">
        <v>83</v>
      </c>
      <c r="C8482" t="s">
        <v>597</v>
      </c>
      <c r="D8482">
        <v>3925.83</v>
      </c>
      <c r="E8482" s="37" t="str">
        <f t="shared" si="660"/>
        <v xml:space="preserve"> </v>
      </c>
      <c r="F8482">
        <v>0.49</v>
      </c>
      <c r="G8482" s="37" t="str">
        <f t="shared" si="661"/>
        <v>Heavy Discount</v>
      </c>
      <c r="H8482" s="37" t="str">
        <f t="shared" si="662"/>
        <v>High</v>
      </c>
      <c r="I8482">
        <v>2</v>
      </c>
      <c r="J8482" t="str" cm="1">
        <f t="array" ref="J8482">_xlfn.IFS(I8482&lt;=3,"small",I8482&lt;=6,"Medium",I8482&lt;=9,"Large")</f>
        <v>small</v>
      </c>
      <c r="K8482" s="36">
        <v>45181</v>
      </c>
      <c r="L8482" s="36">
        <v>45185</v>
      </c>
      <c r="M8482" t="s">
        <v>598</v>
      </c>
      <c r="N8482" t="s">
        <v>604</v>
      </c>
      <c r="O8482" s="37" t="str">
        <f t="shared" si="663"/>
        <v>Digital Payment</v>
      </c>
      <c r="P8482">
        <v>1046.5</v>
      </c>
      <c r="Q8482" s="37" t="str">
        <f>IF(P8482&gt;500,"High","low")</f>
        <v>High</v>
      </c>
      <c r="R8482" s="37" t="str">
        <f t="shared" si="664"/>
        <v>Excellent</v>
      </c>
      <c r="S8482" t="s">
        <v>615</v>
      </c>
    </row>
    <row r="8483" spans="1:19" x14ac:dyDescent="0.2">
      <c r="A8483" t="s">
        <v>9094</v>
      </c>
      <c r="B8483" t="s">
        <v>67</v>
      </c>
      <c r="C8483" t="s">
        <v>617</v>
      </c>
      <c r="D8483">
        <v>4647.3</v>
      </c>
      <c r="E8483" s="37" t="str">
        <f t="shared" si="660"/>
        <v>Excellent Order</v>
      </c>
      <c r="F8483">
        <v>0.16</v>
      </c>
      <c r="G8483" s="37" t="str">
        <f t="shared" si="661"/>
        <v>Normal Discount</v>
      </c>
      <c r="H8483" s="37" t="str">
        <f t="shared" si="662"/>
        <v>Low</v>
      </c>
      <c r="I8483">
        <v>7</v>
      </c>
      <c r="J8483" t="str" cm="1">
        <f t="array" ref="J8483">_xlfn.IFS(I8483&lt;=3,"small",I8483&lt;=6,"Medium",I8483&lt;=9,"Large")</f>
        <v>Large</v>
      </c>
      <c r="K8483" s="36">
        <v>45398</v>
      </c>
      <c r="L8483" s="36">
        <v>45403</v>
      </c>
      <c r="M8483" t="s">
        <v>612</v>
      </c>
      <c r="N8483" t="s">
        <v>604</v>
      </c>
      <c r="O8483" s="37" t="str">
        <f t="shared" si="663"/>
        <v>Digital Payment</v>
      </c>
      <c r="P8483">
        <v>1072.54</v>
      </c>
      <c r="Q8483" s="37" t="str">
        <f>IF(P8483&gt;500,"High","low")</f>
        <v>High</v>
      </c>
      <c r="R8483" s="37" t="str">
        <f t="shared" si="664"/>
        <v>Excellent</v>
      </c>
      <c r="S8483" t="s">
        <v>620</v>
      </c>
    </row>
    <row r="8484" spans="1:19" x14ac:dyDescent="0.2">
      <c r="A8484" t="s">
        <v>9095</v>
      </c>
      <c r="B8484" t="s">
        <v>90</v>
      </c>
      <c r="C8484" t="s">
        <v>607</v>
      </c>
      <c r="D8484">
        <v>1711.79</v>
      </c>
      <c r="E8484" s="37" t="str">
        <f t="shared" si="660"/>
        <v xml:space="preserve"> </v>
      </c>
      <c r="F8484">
        <v>0.37</v>
      </c>
      <c r="G8484" s="37" t="str">
        <f t="shared" si="661"/>
        <v>Heavy Discount</v>
      </c>
      <c r="H8484" s="37" t="str">
        <f t="shared" si="662"/>
        <v>Medium</v>
      </c>
      <c r="I8484">
        <v>7</v>
      </c>
      <c r="J8484" t="str" cm="1">
        <f t="array" ref="J8484">_xlfn.IFS(I8484&lt;=3,"small",I8484&lt;=6,"Medium",I8484&lt;=9,"Large")</f>
        <v>Large</v>
      </c>
      <c r="K8484" s="36">
        <v>45517</v>
      </c>
      <c r="L8484" s="36">
        <v>45524</v>
      </c>
      <c r="M8484" t="s">
        <v>612</v>
      </c>
      <c r="N8484" t="s">
        <v>599</v>
      </c>
      <c r="O8484" s="37" t="str">
        <f t="shared" si="663"/>
        <v>Digital Payment</v>
      </c>
      <c r="P8484">
        <v>316.89999999999998</v>
      </c>
      <c r="Q8484" s="37" t="str">
        <f>IF(P8484&gt;500,"High","low")</f>
        <v>low</v>
      </c>
      <c r="R8484" s="37" t="str">
        <f t="shared" si="664"/>
        <v>AVERAGE</v>
      </c>
      <c r="S8484" t="s">
        <v>609</v>
      </c>
    </row>
    <row r="8485" spans="1:19" x14ac:dyDescent="0.2">
      <c r="A8485" t="s">
        <v>9096</v>
      </c>
      <c r="B8485" t="s">
        <v>67</v>
      </c>
      <c r="C8485" t="s">
        <v>617</v>
      </c>
      <c r="D8485">
        <v>1110.8599999999999</v>
      </c>
      <c r="E8485" s="37" t="str">
        <f t="shared" si="660"/>
        <v xml:space="preserve"> </v>
      </c>
      <c r="F8485">
        <v>0.17</v>
      </c>
      <c r="G8485" s="37" t="str">
        <f t="shared" si="661"/>
        <v>Normal Discount</v>
      </c>
      <c r="H8485" s="37" t="str">
        <f t="shared" si="662"/>
        <v>Low</v>
      </c>
      <c r="I8485">
        <v>3</v>
      </c>
      <c r="J8485" t="str" cm="1">
        <f t="array" ref="J8485">_xlfn.IFS(I8485&lt;=3,"small",I8485&lt;=6,"Medium",I8485&lt;=9,"Large")</f>
        <v>small</v>
      </c>
      <c r="K8485" s="36">
        <v>45462</v>
      </c>
      <c r="L8485" s="36">
        <v>45463</v>
      </c>
      <c r="M8485" t="s">
        <v>598</v>
      </c>
      <c r="N8485" t="s">
        <v>604</v>
      </c>
      <c r="O8485" s="37" t="str">
        <f t="shared" si="663"/>
        <v>Digital Payment</v>
      </c>
      <c r="P8485">
        <v>275.87</v>
      </c>
      <c r="Q8485" s="37" t="str">
        <f>IF(P8485&gt;500,"High","low")</f>
        <v>low</v>
      </c>
      <c r="R8485" s="37" t="str">
        <f t="shared" si="664"/>
        <v>AVERAGE</v>
      </c>
      <c r="S8485" t="s">
        <v>628</v>
      </c>
    </row>
    <row r="8486" spans="1:19" x14ac:dyDescent="0.2">
      <c r="A8486" t="s">
        <v>9097</v>
      </c>
      <c r="B8486" t="s">
        <v>75</v>
      </c>
      <c r="C8486" t="s">
        <v>617</v>
      </c>
      <c r="D8486">
        <v>2073.7199999999998</v>
      </c>
      <c r="E8486" s="37" t="str">
        <f t="shared" si="660"/>
        <v xml:space="preserve"> </v>
      </c>
      <c r="F8486">
        <v>0.05</v>
      </c>
      <c r="G8486" s="37" t="str">
        <f t="shared" si="661"/>
        <v>Normal Discount</v>
      </c>
      <c r="H8486" s="37" t="str">
        <f t="shared" si="662"/>
        <v>Low</v>
      </c>
      <c r="I8486">
        <v>1</v>
      </c>
      <c r="J8486" t="str" cm="1">
        <f t="array" ref="J8486">_xlfn.IFS(I8486&lt;=3,"small",I8486&lt;=6,"Medium",I8486&lt;=9,"Large")</f>
        <v>small</v>
      </c>
      <c r="K8486" s="36">
        <v>45529</v>
      </c>
      <c r="L8486" s="36">
        <v>45533</v>
      </c>
      <c r="M8486" t="s">
        <v>598</v>
      </c>
      <c r="N8486" t="s">
        <v>608</v>
      </c>
      <c r="O8486" s="37" t="str">
        <f t="shared" si="663"/>
        <v>Cash Payment</v>
      </c>
      <c r="P8486">
        <v>558.46</v>
      </c>
      <c r="Q8486" s="37" t="str">
        <f>IF(P8486&gt;500,"High","low")</f>
        <v>High</v>
      </c>
      <c r="R8486" s="37" t="str">
        <f t="shared" si="664"/>
        <v>Good</v>
      </c>
      <c r="S8486" t="s">
        <v>615</v>
      </c>
    </row>
    <row r="8487" spans="1:19" x14ac:dyDescent="0.2">
      <c r="A8487" t="s">
        <v>9098</v>
      </c>
      <c r="B8487" t="s">
        <v>90</v>
      </c>
      <c r="C8487" t="s">
        <v>607</v>
      </c>
      <c r="D8487">
        <v>2243.9499999999998</v>
      </c>
      <c r="E8487" s="37" t="str">
        <f t="shared" si="660"/>
        <v xml:space="preserve"> </v>
      </c>
      <c r="F8487">
        <v>0.39</v>
      </c>
      <c r="G8487" s="37" t="str">
        <f t="shared" si="661"/>
        <v>Heavy Discount</v>
      </c>
      <c r="H8487" s="37" t="str">
        <f t="shared" si="662"/>
        <v>Medium</v>
      </c>
      <c r="I8487">
        <v>2</v>
      </c>
      <c r="J8487" t="str" cm="1">
        <f t="array" ref="J8487">_xlfn.IFS(I8487&lt;=3,"small",I8487&lt;=6,"Medium",I8487&lt;=9,"Large")</f>
        <v>small</v>
      </c>
      <c r="K8487" s="36">
        <v>45477</v>
      </c>
      <c r="L8487" s="36">
        <v>45481</v>
      </c>
      <c r="M8487" t="s">
        <v>598</v>
      </c>
      <c r="N8487" t="s">
        <v>599</v>
      </c>
      <c r="O8487" s="37" t="str">
        <f t="shared" si="663"/>
        <v>Digital Payment</v>
      </c>
      <c r="P8487">
        <v>338.48</v>
      </c>
      <c r="Q8487" s="37" t="str">
        <f>IF(P8487&gt;500,"High","low")</f>
        <v>low</v>
      </c>
      <c r="R8487" s="37" t="str">
        <f t="shared" si="664"/>
        <v>AVERAGE</v>
      </c>
      <c r="S8487" t="s">
        <v>628</v>
      </c>
    </row>
    <row r="8488" spans="1:19" x14ac:dyDescent="0.2">
      <c r="A8488" t="s">
        <v>9099</v>
      </c>
      <c r="B8488" t="s">
        <v>83</v>
      </c>
      <c r="C8488" t="s">
        <v>597</v>
      </c>
      <c r="D8488">
        <v>295.36</v>
      </c>
      <c r="E8488" s="37" t="str">
        <f t="shared" si="660"/>
        <v xml:space="preserve"> </v>
      </c>
      <c r="F8488">
        <v>0.32</v>
      </c>
      <c r="G8488" s="37" t="str">
        <f t="shared" si="661"/>
        <v>Heavy Discount</v>
      </c>
      <c r="H8488" s="37" t="str">
        <f t="shared" si="662"/>
        <v>Medium</v>
      </c>
      <c r="I8488">
        <v>8</v>
      </c>
      <c r="J8488" t="str" cm="1">
        <f t="array" ref="J8488">_xlfn.IFS(I8488&lt;=3,"small",I8488&lt;=6,"Medium",I8488&lt;=9,"Large")</f>
        <v>Large</v>
      </c>
      <c r="K8488" s="36">
        <v>45121</v>
      </c>
      <c r="L8488" s="36">
        <v>45123</v>
      </c>
      <c r="M8488" t="s">
        <v>603</v>
      </c>
      <c r="N8488" t="s">
        <v>599</v>
      </c>
      <c r="O8488" s="37" t="str">
        <f t="shared" si="663"/>
        <v>Digital Payment</v>
      </c>
      <c r="P8488">
        <v>78.03</v>
      </c>
      <c r="Q8488" s="37" t="str">
        <f>IF(P8488&gt;500,"High","low")</f>
        <v>low</v>
      </c>
      <c r="R8488" s="37" t="str">
        <f t="shared" si="664"/>
        <v>AVERAGE</v>
      </c>
      <c r="S8488" t="s">
        <v>605</v>
      </c>
    </row>
    <row r="8489" spans="1:19" x14ac:dyDescent="0.2">
      <c r="A8489" t="s">
        <v>9100</v>
      </c>
      <c r="B8489" t="s">
        <v>83</v>
      </c>
      <c r="C8489" t="s">
        <v>607</v>
      </c>
      <c r="D8489">
        <v>4322.3100000000004</v>
      </c>
      <c r="E8489" s="37" t="str">
        <f t="shared" si="660"/>
        <v>Excellent Order</v>
      </c>
      <c r="F8489">
        <v>0.26</v>
      </c>
      <c r="G8489" s="37" t="str">
        <f t="shared" si="661"/>
        <v>Normal Discount</v>
      </c>
      <c r="H8489" s="37" t="str">
        <f t="shared" si="662"/>
        <v>Medium</v>
      </c>
      <c r="I8489">
        <v>4</v>
      </c>
      <c r="J8489" t="str" cm="1">
        <f t="array" ref="J8489">_xlfn.IFS(I8489&lt;=3,"small",I8489&lt;=6,"Medium",I8489&lt;=9,"Large")</f>
        <v>Medium</v>
      </c>
      <c r="K8489" s="36">
        <v>45130</v>
      </c>
      <c r="L8489" s="36">
        <v>45136</v>
      </c>
      <c r="M8489" t="s">
        <v>598</v>
      </c>
      <c r="N8489" t="s">
        <v>604</v>
      </c>
      <c r="O8489" s="37" t="str">
        <f t="shared" si="663"/>
        <v>Digital Payment</v>
      </c>
      <c r="P8489">
        <v>1084.79</v>
      </c>
      <c r="Q8489" s="37" t="str">
        <f>IF(P8489&gt;500,"High","low")</f>
        <v>High</v>
      </c>
      <c r="R8489" s="37" t="str">
        <f t="shared" si="664"/>
        <v>Excellent</v>
      </c>
      <c r="S8489" t="s">
        <v>628</v>
      </c>
    </row>
    <row r="8490" spans="1:19" x14ac:dyDescent="0.2">
      <c r="A8490" t="s">
        <v>9101</v>
      </c>
      <c r="B8490" t="s">
        <v>90</v>
      </c>
      <c r="C8490" t="s">
        <v>614</v>
      </c>
      <c r="D8490">
        <v>4978.3999999999996</v>
      </c>
      <c r="E8490" s="37" t="str">
        <f t="shared" si="660"/>
        <v xml:space="preserve"> </v>
      </c>
      <c r="F8490">
        <v>0.34</v>
      </c>
      <c r="G8490" s="37" t="str">
        <f t="shared" si="661"/>
        <v>Heavy Discount</v>
      </c>
      <c r="H8490" s="37" t="str">
        <f t="shared" si="662"/>
        <v>Medium</v>
      </c>
      <c r="I8490">
        <v>3</v>
      </c>
      <c r="J8490" t="str" cm="1">
        <f t="array" ref="J8490">_xlfn.IFS(I8490&lt;=3,"small",I8490&lt;=6,"Medium",I8490&lt;=9,"Large")</f>
        <v>small</v>
      </c>
      <c r="K8490" s="36">
        <v>45095</v>
      </c>
      <c r="L8490" s="36">
        <v>45099</v>
      </c>
      <c r="M8490" t="s">
        <v>603</v>
      </c>
      <c r="N8490" t="s">
        <v>599</v>
      </c>
      <c r="O8490" s="37" t="str">
        <f t="shared" si="663"/>
        <v>Digital Payment</v>
      </c>
      <c r="P8490">
        <v>759.93</v>
      </c>
      <c r="Q8490" s="37" t="str">
        <f>IF(P8490&gt;500,"High","low")</f>
        <v>High</v>
      </c>
      <c r="R8490" s="37" t="str">
        <f t="shared" si="664"/>
        <v>Good</v>
      </c>
      <c r="S8490" t="s">
        <v>615</v>
      </c>
    </row>
    <row r="8491" spans="1:19" x14ac:dyDescent="0.2">
      <c r="A8491" t="s">
        <v>9102</v>
      </c>
      <c r="B8491" t="s">
        <v>67</v>
      </c>
      <c r="C8491" t="s">
        <v>617</v>
      </c>
      <c r="D8491">
        <v>4623.72</v>
      </c>
      <c r="E8491" s="37" t="str">
        <f t="shared" si="660"/>
        <v xml:space="preserve"> </v>
      </c>
      <c r="F8491">
        <v>0.44</v>
      </c>
      <c r="G8491" s="37" t="str">
        <f t="shared" si="661"/>
        <v>Heavy Discount</v>
      </c>
      <c r="H8491" s="37" t="str">
        <f t="shared" si="662"/>
        <v>High</v>
      </c>
      <c r="I8491">
        <v>7</v>
      </c>
      <c r="J8491" t="str" cm="1">
        <f t="array" ref="J8491">_xlfn.IFS(I8491&lt;=3,"small",I8491&lt;=6,"Medium",I8491&lt;=9,"Large")</f>
        <v>Large</v>
      </c>
      <c r="K8491" s="36">
        <v>45083</v>
      </c>
      <c r="L8491" s="36">
        <v>45085</v>
      </c>
      <c r="M8491" t="s">
        <v>612</v>
      </c>
      <c r="N8491" t="s">
        <v>608</v>
      </c>
      <c r="O8491" s="37" t="str">
        <f t="shared" si="663"/>
        <v>Cash Payment</v>
      </c>
      <c r="P8491">
        <v>298.32</v>
      </c>
      <c r="Q8491" s="37" t="str">
        <f>IF(P8491&gt;500,"High","low")</f>
        <v>low</v>
      </c>
      <c r="R8491" s="37" t="str">
        <f t="shared" si="664"/>
        <v>AVERAGE</v>
      </c>
      <c r="S8491" t="s">
        <v>620</v>
      </c>
    </row>
    <row r="8492" spans="1:19" x14ac:dyDescent="0.2">
      <c r="A8492" t="s">
        <v>9103</v>
      </c>
      <c r="B8492" t="s">
        <v>83</v>
      </c>
      <c r="C8492" t="s">
        <v>617</v>
      </c>
      <c r="D8492">
        <v>4317.26</v>
      </c>
      <c r="E8492" s="37" t="str">
        <f t="shared" si="660"/>
        <v>Excellent Order</v>
      </c>
      <c r="F8492">
        <v>0.38</v>
      </c>
      <c r="G8492" s="37" t="str">
        <f t="shared" si="661"/>
        <v>Heavy Discount</v>
      </c>
      <c r="H8492" s="37" t="str">
        <f t="shared" si="662"/>
        <v>Medium</v>
      </c>
      <c r="I8492">
        <v>4</v>
      </c>
      <c r="J8492" t="str" cm="1">
        <f t="array" ref="J8492">_xlfn.IFS(I8492&lt;=3,"small",I8492&lt;=6,"Medium",I8492&lt;=9,"Large")</f>
        <v>Medium</v>
      </c>
      <c r="K8492" s="36">
        <v>45638</v>
      </c>
      <c r="L8492" s="36">
        <v>45641</v>
      </c>
      <c r="M8492" t="s">
        <v>612</v>
      </c>
      <c r="N8492" t="s">
        <v>599</v>
      </c>
      <c r="O8492" s="37" t="str">
        <f t="shared" si="663"/>
        <v>Digital Payment</v>
      </c>
      <c r="P8492">
        <v>1188.07</v>
      </c>
      <c r="Q8492" s="37" t="str">
        <f>IF(P8492&gt;500,"High","low")</f>
        <v>High</v>
      </c>
      <c r="R8492" s="37" t="str">
        <f t="shared" si="664"/>
        <v>Excellent</v>
      </c>
      <c r="S8492" t="s">
        <v>600</v>
      </c>
    </row>
    <row r="8493" spans="1:19" x14ac:dyDescent="0.2">
      <c r="A8493" t="s">
        <v>9104</v>
      </c>
      <c r="B8493" t="s">
        <v>75</v>
      </c>
      <c r="C8493" t="s">
        <v>607</v>
      </c>
      <c r="D8493">
        <v>4963.74</v>
      </c>
      <c r="E8493" s="37" t="str">
        <f t="shared" si="660"/>
        <v xml:space="preserve"> </v>
      </c>
      <c r="F8493">
        <v>0.43</v>
      </c>
      <c r="G8493" s="37" t="str">
        <f t="shared" si="661"/>
        <v>Heavy Discount</v>
      </c>
      <c r="H8493" s="37" t="str">
        <f t="shared" si="662"/>
        <v>High</v>
      </c>
      <c r="I8493">
        <v>2</v>
      </c>
      <c r="J8493" t="str" cm="1">
        <f t="array" ref="J8493">_xlfn.IFS(I8493&lt;=3,"small",I8493&lt;=6,"Medium",I8493&lt;=9,"Large")</f>
        <v>small</v>
      </c>
      <c r="K8493" s="36">
        <v>45416</v>
      </c>
      <c r="L8493" s="36">
        <v>45422</v>
      </c>
      <c r="M8493" t="s">
        <v>612</v>
      </c>
      <c r="N8493" t="s">
        <v>599</v>
      </c>
      <c r="O8493" s="37" t="str">
        <f t="shared" si="663"/>
        <v>Digital Payment</v>
      </c>
      <c r="P8493">
        <v>536.79999999999995</v>
      </c>
      <c r="Q8493" s="37" t="str">
        <f>IF(P8493&gt;500,"High","low")</f>
        <v>High</v>
      </c>
      <c r="R8493" s="37" t="str">
        <f t="shared" si="664"/>
        <v>Good</v>
      </c>
      <c r="S8493" t="s">
        <v>600</v>
      </c>
    </row>
    <row r="8494" spans="1:19" x14ac:dyDescent="0.2">
      <c r="A8494" t="s">
        <v>9105</v>
      </c>
      <c r="B8494" t="s">
        <v>90</v>
      </c>
      <c r="C8494" t="s">
        <v>617</v>
      </c>
      <c r="D8494">
        <v>4548.26</v>
      </c>
      <c r="E8494" s="37" t="str">
        <f t="shared" si="660"/>
        <v>Excellent Order</v>
      </c>
      <c r="F8494">
        <v>0.15</v>
      </c>
      <c r="G8494" s="37" t="str">
        <f t="shared" si="661"/>
        <v>Normal Discount</v>
      </c>
      <c r="H8494" s="37" t="str">
        <f t="shared" si="662"/>
        <v>Low</v>
      </c>
      <c r="I8494">
        <v>3</v>
      </c>
      <c r="J8494" t="str" cm="1">
        <f t="array" ref="J8494">_xlfn.IFS(I8494&lt;=3,"small",I8494&lt;=6,"Medium",I8494&lt;=9,"Large")</f>
        <v>small</v>
      </c>
      <c r="K8494" s="36">
        <v>45432</v>
      </c>
      <c r="L8494" s="36">
        <v>45434</v>
      </c>
      <c r="M8494" t="s">
        <v>603</v>
      </c>
      <c r="N8494" t="s">
        <v>604</v>
      </c>
      <c r="O8494" s="37" t="str">
        <f t="shared" si="663"/>
        <v>Digital Payment</v>
      </c>
      <c r="P8494">
        <v>1224.1500000000001</v>
      </c>
      <c r="Q8494" s="37" t="str">
        <f>IF(P8494&gt;500,"High","low")</f>
        <v>High</v>
      </c>
      <c r="R8494" s="37" t="str">
        <f t="shared" si="664"/>
        <v>Excellent</v>
      </c>
      <c r="S8494" t="s">
        <v>615</v>
      </c>
    </row>
    <row r="8495" spans="1:19" x14ac:dyDescent="0.2">
      <c r="A8495" t="s">
        <v>9106</v>
      </c>
      <c r="B8495" t="s">
        <v>75</v>
      </c>
      <c r="C8495" t="s">
        <v>597</v>
      </c>
      <c r="D8495">
        <v>3473</v>
      </c>
      <c r="E8495" s="37" t="str">
        <f t="shared" si="660"/>
        <v xml:space="preserve"> </v>
      </c>
      <c r="F8495">
        <v>0.4</v>
      </c>
      <c r="G8495" s="37" t="str">
        <f t="shared" si="661"/>
        <v>Heavy Discount</v>
      </c>
      <c r="H8495" s="37" t="str">
        <f t="shared" si="662"/>
        <v>Medium</v>
      </c>
      <c r="I8495">
        <v>4</v>
      </c>
      <c r="J8495" t="str" cm="1">
        <f t="array" ref="J8495">_xlfn.IFS(I8495&lt;=3,"small",I8495&lt;=6,"Medium",I8495&lt;=9,"Large")</f>
        <v>Medium</v>
      </c>
      <c r="K8495" s="36">
        <v>44930</v>
      </c>
      <c r="L8495" s="36">
        <v>44931</v>
      </c>
      <c r="M8495" t="s">
        <v>612</v>
      </c>
      <c r="N8495" t="s">
        <v>599</v>
      </c>
      <c r="O8495" s="37" t="str">
        <f t="shared" si="663"/>
        <v>Digital Payment</v>
      </c>
      <c r="P8495">
        <v>785.38</v>
      </c>
      <c r="Q8495" s="37" t="str">
        <f>IF(P8495&gt;500,"High","low")</f>
        <v>High</v>
      </c>
      <c r="R8495" s="37" t="str">
        <f t="shared" si="664"/>
        <v>Good</v>
      </c>
      <c r="S8495" t="s">
        <v>605</v>
      </c>
    </row>
    <row r="8496" spans="1:19" x14ac:dyDescent="0.2">
      <c r="A8496" t="s">
        <v>9107</v>
      </c>
      <c r="B8496" t="s">
        <v>90</v>
      </c>
      <c r="C8496" t="s">
        <v>617</v>
      </c>
      <c r="D8496">
        <v>917.11</v>
      </c>
      <c r="E8496" s="37" t="str">
        <f t="shared" si="660"/>
        <v xml:space="preserve"> </v>
      </c>
      <c r="F8496">
        <v>0.18</v>
      </c>
      <c r="G8496" s="37" t="str">
        <f t="shared" si="661"/>
        <v>Normal Discount</v>
      </c>
      <c r="H8496" s="37" t="str">
        <f t="shared" si="662"/>
        <v>Low</v>
      </c>
      <c r="I8496">
        <v>1</v>
      </c>
      <c r="J8496" t="str" cm="1">
        <f t="array" ref="J8496">_xlfn.IFS(I8496&lt;=3,"small",I8496&lt;=6,"Medium",I8496&lt;=9,"Large")</f>
        <v>small</v>
      </c>
      <c r="K8496" s="36">
        <v>45587</v>
      </c>
      <c r="L8496" s="36">
        <v>45589</v>
      </c>
      <c r="M8496" t="s">
        <v>603</v>
      </c>
      <c r="N8496" t="s">
        <v>599</v>
      </c>
      <c r="O8496" s="37" t="str">
        <f t="shared" si="663"/>
        <v>Digital Payment</v>
      </c>
      <c r="P8496">
        <v>272.82</v>
      </c>
      <c r="Q8496" s="37" t="str">
        <f>IF(P8496&gt;500,"High","low")</f>
        <v>low</v>
      </c>
      <c r="R8496" s="37" t="str">
        <f t="shared" si="664"/>
        <v>AVERAGE</v>
      </c>
      <c r="S8496" t="s">
        <v>620</v>
      </c>
    </row>
    <row r="8497" spans="1:19" x14ac:dyDescent="0.2">
      <c r="A8497" t="s">
        <v>9108</v>
      </c>
      <c r="B8497" t="s">
        <v>83</v>
      </c>
      <c r="C8497" t="s">
        <v>607</v>
      </c>
      <c r="D8497">
        <v>866.12</v>
      </c>
      <c r="E8497" s="37" t="str">
        <f t="shared" si="660"/>
        <v xml:space="preserve"> </v>
      </c>
      <c r="F8497">
        <v>0.01</v>
      </c>
      <c r="G8497" s="37" t="str">
        <f t="shared" si="661"/>
        <v>Normal Discount</v>
      </c>
      <c r="H8497" s="37" t="str">
        <f t="shared" si="662"/>
        <v>Low</v>
      </c>
      <c r="I8497">
        <v>8</v>
      </c>
      <c r="J8497" t="str" cm="1">
        <f t="array" ref="J8497">_xlfn.IFS(I8497&lt;=3,"small",I8497&lt;=6,"Medium",I8497&lt;=9,"Large")</f>
        <v>Large</v>
      </c>
      <c r="K8497" s="36">
        <v>45509</v>
      </c>
      <c r="L8497" s="36">
        <v>45514</v>
      </c>
      <c r="M8497" t="s">
        <v>598</v>
      </c>
      <c r="N8497" t="s">
        <v>599</v>
      </c>
      <c r="O8497" s="37" t="str">
        <f t="shared" si="663"/>
        <v>Digital Payment</v>
      </c>
      <c r="P8497">
        <v>88.24</v>
      </c>
      <c r="Q8497" s="37" t="str">
        <f>IF(P8497&gt;500,"High","low")</f>
        <v>low</v>
      </c>
      <c r="R8497" s="37" t="str">
        <f t="shared" si="664"/>
        <v>AVERAGE</v>
      </c>
      <c r="S8497" t="s">
        <v>600</v>
      </c>
    </row>
    <row r="8498" spans="1:19" x14ac:dyDescent="0.2">
      <c r="A8498" t="s">
        <v>9109</v>
      </c>
      <c r="B8498" t="s">
        <v>67</v>
      </c>
      <c r="C8498" t="s">
        <v>597</v>
      </c>
      <c r="D8498">
        <v>339.02</v>
      </c>
      <c r="E8498" s="37" t="str">
        <f t="shared" si="660"/>
        <v xml:space="preserve"> </v>
      </c>
      <c r="F8498">
        <v>0.02</v>
      </c>
      <c r="G8498" s="37" t="str">
        <f t="shared" si="661"/>
        <v>Normal Discount</v>
      </c>
      <c r="H8498" s="37" t="str">
        <f t="shared" si="662"/>
        <v>Low</v>
      </c>
      <c r="I8498">
        <v>8</v>
      </c>
      <c r="J8498" t="str" cm="1">
        <f t="array" ref="J8498">_xlfn.IFS(I8498&lt;=3,"small",I8498&lt;=6,"Medium",I8498&lt;=9,"Large")</f>
        <v>Large</v>
      </c>
      <c r="K8498" s="36">
        <v>45484</v>
      </c>
      <c r="L8498" s="36">
        <v>45487</v>
      </c>
      <c r="M8498" t="s">
        <v>603</v>
      </c>
      <c r="N8498" t="s">
        <v>604</v>
      </c>
      <c r="O8498" s="37" t="str">
        <f t="shared" si="663"/>
        <v>Digital Payment</v>
      </c>
      <c r="P8498">
        <v>41.45</v>
      </c>
      <c r="Q8498" s="37" t="str">
        <f>IF(P8498&gt;500,"High","low")</f>
        <v>low</v>
      </c>
      <c r="R8498" s="37" t="str">
        <f t="shared" si="664"/>
        <v>AVERAGE</v>
      </c>
      <c r="S8498" t="s">
        <v>615</v>
      </c>
    </row>
    <row r="8499" spans="1:19" x14ac:dyDescent="0.2">
      <c r="A8499" t="s">
        <v>9110</v>
      </c>
      <c r="B8499" t="s">
        <v>90</v>
      </c>
      <c r="C8499" t="s">
        <v>597</v>
      </c>
      <c r="D8499">
        <v>2117.9699999999998</v>
      </c>
      <c r="E8499" s="37" t="str">
        <f t="shared" si="660"/>
        <v xml:space="preserve"> </v>
      </c>
      <c r="F8499">
        <v>0.37</v>
      </c>
      <c r="G8499" s="37" t="str">
        <f t="shared" si="661"/>
        <v>Heavy Discount</v>
      </c>
      <c r="H8499" s="37" t="str">
        <f t="shared" si="662"/>
        <v>Medium</v>
      </c>
      <c r="I8499">
        <v>5</v>
      </c>
      <c r="J8499" t="str" cm="1">
        <f t="array" ref="J8499">_xlfn.IFS(I8499&lt;=3,"small",I8499&lt;=6,"Medium",I8499&lt;=9,"Large")</f>
        <v>Medium</v>
      </c>
      <c r="K8499" s="36">
        <v>45650</v>
      </c>
      <c r="L8499" s="36">
        <v>45652</v>
      </c>
      <c r="M8499" t="s">
        <v>612</v>
      </c>
      <c r="N8499" t="s">
        <v>608</v>
      </c>
      <c r="O8499" s="37" t="str">
        <f t="shared" si="663"/>
        <v>Cash Payment</v>
      </c>
      <c r="P8499">
        <v>154.88999999999999</v>
      </c>
      <c r="Q8499" s="37" t="str">
        <f>IF(P8499&gt;500,"High","low")</f>
        <v>low</v>
      </c>
      <c r="R8499" s="37" t="str">
        <f t="shared" si="664"/>
        <v>AVERAGE</v>
      </c>
      <c r="S8499" t="s">
        <v>609</v>
      </c>
    </row>
    <row r="8500" spans="1:19" x14ac:dyDescent="0.2">
      <c r="A8500" t="s">
        <v>9111</v>
      </c>
      <c r="B8500" t="s">
        <v>90</v>
      </c>
      <c r="C8500" t="s">
        <v>617</v>
      </c>
      <c r="D8500">
        <v>4063.24</v>
      </c>
      <c r="E8500" s="37" t="str">
        <f t="shared" si="660"/>
        <v>Excellent Order</v>
      </c>
      <c r="F8500">
        <v>0.14000000000000001</v>
      </c>
      <c r="G8500" s="37" t="str">
        <f t="shared" si="661"/>
        <v>Normal Discount</v>
      </c>
      <c r="H8500" s="37" t="str">
        <f t="shared" si="662"/>
        <v>Low</v>
      </c>
      <c r="I8500">
        <v>6</v>
      </c>
      <c r="J8500" t="str" cm="1">
        <f t="array" ref="J8500">_xlfn.IFS(I8500&lt;=3,"small",I8500&lt;=6,"Medium",I8500&lt;=9,"Large")</f>
        <v>Medium</v>
      </c>
      <c r="K8500" s="36">
        <v>45573</v>
      </c>
      <c r="L8500" s="36">
        <v>45576</v>
      </c>
      <c r="M8500" t="s">
        <v>612</v>
      </c>
      <c r="N8500" t="s">
        <v>604</v>
      </c>
      <c r="O8500" s="37" t="str">
        <f t="shared" si="663"/>
        <v>Digital Payment</v>
      </c>
      <c r="P8500">
        <v>1207.8699999999999</v>
      </c>
      <c r="Q8500" s="37" t="str">
        <f>IF(P8500&gt;500,"High","low")</f>
        <v>High</v>
      </c>
      <c r="R8500" s="37" t="str">
        <f t="shared" si="664"/>
        <v>Excellent</v>
      </c>
      <c r="S8500" t="s">
        <v>615</v>
      </c>
    </row>
    <row r="8501" spans="1:19" x14ac:dyDescent="0.2">
      <c r="A8501" t="s">
        <v>9112</v>
      </c>
      <c r="B8501" t="s">
        <v>75</v>
      </c>
      <c r="C8501" t="s">
        <v>607</v>
      </c>
      <c r="D8501">
        <v>2502.4499999999998</v>
      </c>
      <c r="E8501" s="37" t="str">
        <f t="shared" si="660"/>
        <v xml:space="preserve"> </v>
      </c>
      <c r="F8501">
        <v>0.15</v>
      </c>
      <c r="G8501" s="37" t="str">
        <f t="shared" si="661"/>
        <v>Normal Discount</v>
      </c>
      <c r="H8501" s="37" t="str">
        <f t="shared" si="662"/>
        <v>Low</v>
      </c>
      <c r="I8501">
        <v>4</v>
      </c>
      <c r="J8501" t="str" cm="1">
        <f t="array" ref="J8501">_xlfn.IFS(I8501&lt;=3,"small",I8501&lt;=6,"Medium",I8501&lt;=9,"Large")</f>
        <v>Medium</v>
      </c>
      <c r="K8501" s="36">
        <v>45036</v>
      </c>
      <c r="L8501" s="36">
        <v>45042</v>
      </c>
      <c r="M8501" t="s">
        <v>612</v>
      </c>
      <c r="N8501" t="s">
        <v>608</v>
      </c>
      <c r="O8501" s="37" t="str">
        <f t="shared" si="663"/>
        <v>Cash Payment</v>
      </c>
      <c r="P8501">
        <v>512.76</v>
      </c>
      <c r="Q8501" s="37" t="str">
        <f>IF(P8501&gt;500,"High","low")</f>
        <v>High</v>
      </c>
      <c r="R8501" s="37" t="str">
        <f t="shared" si="664"/>
        <v>Good</v>
      </c>
      <c r="S8501" t="s">
        <v>615</v>
      </c>
    </row>
    <row r="8502" spans="1:19" x14ac:dyDescent="0.2">
      <c r="A8502" t="s">
        <v>9113</v>
      </c>
      <c r="B8502" t="s">
        <v>83</v>
      </c>
      <c r="C8502" t="s">
        <v>617</v>
      </c>
      <c r="D8502">
        <v>1894.98</v>
      </c>
      <c r="E8502" s="37" t="str">
        <f t="shared" si="660"/>
        <v xml:space="preserve"> </v>
      </c>
      <c r="F8502">
        <v>0.31</v>
      </c>
      <c r="G8502" s="37" t="str">
        <f t="shared" si="661"/>
        <v>Heavy Discount</v>
      </c>
      <c r="H8502" s="37" t="str">
        <f t="shared" si="662"/>
        <v>Medium</v>
      </c>
      <c r="I8502">
        <v>3</v>
      </c>
      <c r="J8502" t="str" cm="1">
        <f t="array" ref="J8502">_xlfn.IFS(I8502&lt;=3,"small",I8502&lt;=6,"Medium",I8502&lt;=9,"Large")</f>
        <v>small</v>
      </c>
      <c r="K8502" s="36">
        <v>45124</v>
      </c>
      <c r="L8502" s="36">
        <v>45126</v>
      </c>
      <c r="M8502" t="s">
        <v>603</v>
      </c>
      <c r="N8502" t="s">
        <v>599</v>
      </c>
      <c r="O8502" s="37" t="str">
        <f t="shared" si="663"/>
        <v>Digital Payment</v>
      </c>
      <c r="P8502">
        <v>222.16</v>
      </c>
      <c r="Q8502" s="37" t="str">
        <f>IF(P8502&gt;500,"High","low")</f>
        <v>low</v>
      </c>
      <c r="R8502" s="37" t="str">
        <f t="shared" si="664"/>
        <v>AVERAGE</v>
      </c>
      <c r="S8502" t="s">
        <v>628</v>
      </c>
    </row>
    <row r="8503" spans="1:19" x14ac:dyDescent="0.2">
      <c r="A8503" t="s">
        <v>9114</v>
      </c>
      <c r="B8503" t="s">
        <v>75</v>
      </c>
      <c r="C8503" t="s">
        <v>614</v>
      </c>
      <c r="D8503">
        <v>635.26</v>
      </c>
      <c r="E8503" s="37" t="str">
        <f t="shared" si="660"/>
        <v xml:space="preserve"> </v>
      </c>
      <c r="F8503">
        <v>0.37</v>
      </c>
      <c r="G8503" s="37" t="str">
        <f t="shared" si="661"/>
        <v>Heavy Discount</v>
      </c>
      <c r="H8503" s="37" t="str">
        <f t="shared" si="662"/>
        <v>Medium</v>
      </c>
      <c r="I8503">
        <v>3</v>
      </c>
      <c r="J8503" t="str" cm="1">
        <f t="array" ref="J8503">_xlfn.IFS(I8503&lt;=3,"small",I8503&lt;=6,"Medium",I8503&lt;=9,"Large")</f>
        <v>small</v>
      </c>
      <c r="K8503" s="36">
        <v>45319</v>
      </c>
      <c r="L8503" s="36">
        <v>45323</v>
      </c>
      <c r="M8503" t="s">
        <v>612</v>
      </c>
      <c r="N8503" t="s">
        <v>604</v>
      </c>
      <c r="O8503" s="37" t="str">
        <f t="shared" si="663"/>
        <v>Digital Payment</v>
      </c>
      <c r="P8503">
        <v>108.6</v>
      </c>
      <c r="Q8503" s="37" t="str">
        <f>IF(P8503&gt;500,"High","low")</f>
        <v>low</v>
      </c>
      <c r="R8503" s="37" t="str">
        <f t="shared" si="664"/>
        <v>AVERAGE</v>
      </c>
      <c r="S8503" t="s">
        <v>628</v>
      </c>
    </row>
    <row r="8504" spans="1:19" x14ac:dyDescent="0.2">
      <c r="A8504" t="s">
        <v>9115</v>
      </c>
      <c r="B8504" t="s">
        <v>83</v>
      </c>
      <c r="C8504" t="s">
        <v>614</v>
      </c>
      <c r="D8504">
        <v>353.59</v>
      </c>
      <c r="E8504" s="37" t="str">
        <f t="shared" si="660"/>
        <v xml:space="preserve"> </v>
      </c>
      <c r="F8504">
        <v>0.28000000000000003</v>
      </c>
      <c r="G8504" s="37" t="str">
        <f t="shared" si="661"/>
        <v>Normal Discount</v>
      </c>
      <c r="H8504" s="37" t="str">
        <f t="shared" si="662"/>
        <v>Medium</v>
      </c>
      <c r="I8504">
        <v>4</v>
      </c>
      <c r="J8504" t="str" cm="1">
        <f t="array" ref="J8504">_xlfn.IFS(I8504&lt;=3,"small",I8504&lt;=6,"Medium",I8504&lt;=9,"Large")</f>
        <v>Medium</v>
      </c>
      <c r="K8504" s="36">
        <v>45358</v>
      </c>
      <c r="L8504" s="36">
        <v>45362</v>
      </c>
      <c r="M8504" t="s">
        <v>598</v>
      </c>
      <c r="N8504" t="s">
        <v>608</v>
      </c>
      <c r="O8504" s="37" t="str">
        <f t="shared" si="663"/>
        <v>Cash Payment</v>
      </c>
      <c r="P8504">
        <v>103.53</v>
      </c>
      <c r="Q8504" s="37" t="str">
        <f>IF(P8504&gt;500,"High","low")</f>
        <v>low</v>
      </c>
      <c r="R8504" s="37" t="str">
        <f t="shared" si="664"/>
        <v>AVERAGE</v>
      </c>
      <c r="S8504" t="s">
        <v>620</v>
      </c>
    </row>
    <row r="8505" spans="1:19" x14ac:dyDescent="0.2">
      <c r="A8505" t="s">
        <v>9116</v>
      </c>
      <c r="B8505" t="s">
        <v>75</v>
      </c>
      <c r="C8505" t="s">
        <v>597</v>
      </c>
      <c r="D8505">
        <v>2055.98</v>
      </c>
      <c r="E8505" s="37" t="str">
        <f t="shared" si="660"/>
        <v xml:space="preserve"> </v>
      </c>
      <c r="F8505">
        <v>0.35</v>
      </c>
      <c r="G8505" s="37" t="str">
        <f t="shared" si="661"/>
        <v>Heavy Discount</v>
      </c>
      <c r="H8505" s="37" t="str">
        <f t="shared" si="662"/>
        <v>Medium</v>
      </c>
      <c r="I8505">
        <v>6</v>
      </c>
      <c r="J8505" t="str" cm="1">
        <f t="array" ref="J8505">_xlfn.IFS(I8505&lt;=3,"small",I8505&lt;=6,"Medium",I8505&lt;=9,"Large")</f>
        <v>Medium</v>
      </c>
      <c r="K8505" s="36">
        <v>45026</v>
      </c>
      <c r="L8505" s="36">
        <v>45032</v>
      </c>
      <c r="M8505" t="s">
        <v>612</v>
      </c>
      <c r="N8505" t="s">
        <v>604</v>
      </c>
      <c r="O8505" s="37" t="str">
        <f t="shared" si="663"/>
        <v>Digital Payment</v>
      </c>
      <c r="P8505">
        <v>281.38</v>
      </c>
      <c r="Q8505" s="37" t="str">
        <f>IF(P8505&gt;500,"High","low")</f>
        <v>low</v>
      </c>
      <c r="R8505" s="37" t="str">
        <f t="shared" si="664"/>
        <v>AVERAGE</v>
      </c>
      <c r="S8505" t="s">
        <v>600</v>
      </c>
    </row>
    <row r="8506" spans="1:19" x14ac:dyDescent="0.2">
      <c r="A8506" t="s">
        <v>9117</v>
      </c>
      <c r="B8506" t="s">
        <v>90</v>
      </c>
      <c r="C8506" t="s">
        <v>617</v>
      </c>
      <c r="D8506">
        <v>589.63</v>
      </c>
      <c r="E8506" s="37" t="str">
        <f t="shared" si="660"/>
        <v xml:space="preserve"> </v>
      </c>
      <c r="F8506">
        <v>0.47</v>
      </c>
      <c r="G8506" s="37" t="str">
        <f t="shared" si="661"/>
        <v>Heavy Discount</v>
      </c>
      <c r="H8506" s="37" t="str">
        <f t="shared" si="662"/>
        <v>High</v>
      </c>
      <c r="I8506">
        <v>2</v>
      </c>
      <c r="J8506" t="str" cm="1">
        <f t="array" ref="J8506">_xlfn.IFS(I8506&lt;=3,"small",I8506&lt;=6,"Medium",I8506&lt;=9,"Large")</f>
        <v>small</v>
      </c>
      <c r="K8506" s="36">
        <v>44978</v>
      </c>
      <c r="L8506" s="36">
        <v>44979</v>
      </c>
      <c r="M8506" t="s">
        <v>612</v>
      </c>
      <c r="N8506" t="s">
        <v>608</v>
      </c>
      <c r="O8506" s="37" t="str">
        <f t="shared" si="663"/>
        <v>Cash Payment</v>
      </c>
      <c r="P8506">
        <v>148.63999999999999</v>
      </c>
      <c r="Q8506" s="37" t="str">
        <f>IF(P8506&gt;500,"High","low")</f>
        <v>low</v>
      </c>
      <c r="R8506" s="37" t="str">
        <f t="shared" si="664"/>
        <v>AVERAGE</v>
      </c>
      <c r="S8506" t="s">
        <v>620</v>
      </c>
    </row>
    <row r="8507" spans="1:19" x14ac:dyDescent="0.2">
      <c r="A8507" t="s">
        <v>9118</v>
      </c>
      <c r="B8507" t="s">
        <v>75</v>
      </c>
      <c r="C8507" t="s">
        <v>614</v>
      </c>
      <c r="D8507">
        <v>607.39</v>
      </c>
      <c r="E8507" s="37" t="str">
        <f t="shared" si="660"/>
        <v xml:space="preserve"> </v>
      </c>
      <c r="F8507">
        <v>0.43</v>
      </c>
      <c r="G8507" s="37" t="str">
        <f t="shared" si="661"/>
        <v>Heavy Discount</v>
      </c>
      <c r="H8507" s="37" t="str">
        <f t="shared" si="662"/>
        <v>High</v>
      </c>
      <c r="I8507">
        <v>6</v>
      </c>
      <c r="J8507" t="str" cm="1">
        <f t="array" ref="J8507">_xlfn.IFS(I8507&lt;=3,"small",I8507&lt;=6,"Medium",I8507&lt;=9,"Large")</f>
        <v>Medium</v>
      </c>
      <c r="K8507" s="36">
        <v>45339</v>
      </c>
      <c r="L8507" s="36">
        <v>45343</v>
      </c>
      <c r="M8507" t="s">
        <v>603</v>
      </c>
      <c r="N8507" t="s">
        <v>608</v>
      </c>
      <c r="O8507" s="37" t="str">
        <f t="shared" si="663"/>
        <v>Cash Payment</v>
      </c>
      <c r="P8507">
        <v>50.18</v>
      </c>
      <c r="Q8507" s="37" t="str">
        <f>IF(P8507&gt;500,"High","low")</f>
        <v>low</v>
      </c>
      <c r="R8507" s="37" t="str">
        <f t="shared" si="664"/>
        <v>AVERAGE</v>
      </c>
      <c r="S8507" t="s">
        <v>628</v>
      </c>
    </row>
    <row r="8508" spans="1:19" x14ac:dyDescent="0.2">
      <c r="A8508" t="s">
        <v>9119</v>
      </c>
      <c r="B8508" t="s">
        <v>67</v>
      </c>
      <c r="C8508" t="s">
        <v>602</v>
      </c>
      <c r="D8508">
        <v>2037.21</v>
      </c>
      <c r="E8508" s="37" t="str">
        <f t="shared" si="660"/>
        <v xml:space="preserve"> </v>
      </c>
      <c r="F8508">
        <v>0.12</v>
      </c>
      <c r="G8508" s="37" t="str">
        <f t="shared" si="661"/>
        <v>Normal Discount</v>
      </c>
      <c r="H8508" s="37" t="str">
        <f t="shared" si="662"/>
        <v>Low</v>
      </c>
      <c r="I8508">
        <v>8</v>
      </c>
      <c r="J8508" t="str" cm="1">
        <f t="array" ref="J8508">_xlfn.IFS(I8508&lt;=3,"small",I8508&lt;=6,"Medium",I8508&lt;=9,"Large")</f>
        <v>Large</v>
      </c>
      <c r="K8508" s="36">
        <v>44929</v>
      </c>
      <c r="L8508" s="36">
        <v>44934</v>
      </c>
      <c r="M8508" t="s">
        <v>612</v>
      </c>
      <c r="N8508" t="s">
        <v>608</v>
      </c>
      <c r="O8508" s="37" t="str">
        <f t="shared" si="663"/>
        <v>Cash Payment</v>
      </c>
      <c r="P8508">
        <v>472.17</v>
      </c>
      <c r="Q8508" s="37" t="str">
        <f>IF(P8508&gt;500,"High","low")</f>
        <v>low</v>
      </c>
      <c r="R8508" s="37" t="str">
        <f t="shared" si="664"/>
        <v>AVERAGE</v>
      </c>
      <c r="S8508" t="s">
        <v>615</v>
      </c>
    </row>
    <row r="8509" spans="1:19" x14ac:dyDescent="0.2">
      <c r="A8509" t="s">
        <v>9120</v>
      </c>
      <c r="B8509" t="s">
        <v>83</v>
      </c>
      <c r="C8509" t="s">
        <v>614</v>
      </c>
      <c r="D8509">
        <v>2563.9299999999998</v>
      </c>
      <c r="E8509" s="37" t="str">
        <f t="shared" si="660"/>
        <v xml:space="preserve"> </v>
      </c>
      <c r="F8509">
        <v>0.45</v>
      </c>
      <c r="G8509" s="37" t="str">
        <f t="shared" si="661"/>
        <v>Heavy Discount</v>
      </c>
      <c r="H8509" s="37" t="str">
        <f t="shared" si="662"/>
        <v>High</v>
      </c>
      <c r="I8509">
        <v>9</v>
      </c>
      <c r="J8509" t="str" cm="1">
        <f t="array" ref="J8509">_xlfn.IFS(I8509&lt;=3,"small",I8509&lt;=6,"Medium",I8509&lt;=9,"Large")</f>
        <v>Large</v>
      </c>
      <c r="K8509" s="36">
        <v>45547</v>
      </c>
      <c r="L8509" s="36">
        <v>45551</v>
      </c>
      <c r="M8509" t="s">
        <v>603</v>
      </c>
      <c r="N8509" t="s">
        <v>599</v>
      </c>
      <c r="O8509" s="37" t="str">
        <f t="shared" si="663"/>
        <v>Digital Payment</v>
      </c>
      <c r="P8509">
        <v>372.99</v>
      </c>
      <c r="Q8509" s="37" t="str">
        <f>IF(P8509&gt;500,"High","low")</f>
        <v>low</v>
      </c>
      <c r="R8509" s="37" t="str">
        <f t="shared" si="664"/>
        <v>AVERAGE</v>
      </c>
      <c r="S8509" t="s">
        <v>628</v>
      </c>
    </row>
    <row r="8510" spans="1:19" x14ac:dyDescent="0.2">
      <c r="A8510" t="s">
        <v>9121</v>
      </c>
      <c r="B8510" t="s">
        <v>83</v>
      </c>
      <c r="C8510" t="s">
        <v>617</v>
      </c>
      <c r="D8510">
        <v>1014.75</v>
      </c>
      <c r="E8510" s="37" t="str">
        <f t="shared" si="660"/>
        <v xml:space="preserve"> </v>
      </c>
      <c r="F8510">
        <v>0.15</v>
      </c>
      <c r="G8510" s="37" t="str">
        <f t="shared" si="661"/>
        <v>Normal Discount</v>
      </c>
      <c r="H8510" s="37" t="str">
        <f t="shared" si="662"/>
        <v>Low</v>
      </c>
      <c r="I8510">
        <v>4</v>
      </c>
      <c r="J8510" t="str" cm="1">
        <f t="array" ref="J8510">_xlfn.IFS(I8510&lt;=3,"small",I8510&lt;=6,"Medium",I8510&lt;=9,"Large")</f>
        <v>Medium</v>
      </c>
      <c r="K8510" s="36">
        <v>45085</v>
      </c>
      <c r="L8510" s="36">
        <v>45090</v>
      </c>
      <c r="M8510" t="s">
        <v>598</v>
      </c>
      <c r="N8510" t="s">
        <v>604</v>
      </c>
      <c r="O8510" s="37" t="str">
        <f t="shared" si="663"/>
        <v>Digital Payment</v>
      </c>
      <c r="P8510">
        <v>99.92</v>
      </c>
      <c r="Q8510" s="37" t="str">
        <f>IF(P8510&gt;500,"High","low")</f>
        <v>low</v>
      </c>
      <c r="R8510" s="37" t="str">
        <f t="shared" si="664"/>
        <v>AVERAGE</v>
      </c>
      <c r="S8510" t="s">
        <v>615</v>
      </c>
    </row>
    <row r="8511" spans="1:19" x14ac:dyDescent="0.2">
      <c r="A8511" t="s">
        <v>9122</v>
      </c>
      <c r="B8511" t="s">
        <v>90</v>
      </c>
      <c r="C8511" t="s">
        <v>617</v>
      </c>
      <c r="D8511">
        <v>3454.71</v>
      </c>
      <c r="E8511" s="37" t="str">
        <f t="shared" si="660"/>
        <v xml:space="preserve"> </v>
      </c>
      <c r="F8511">
        <v>0.33</v>
      </c>
      <c r="G8511" s="37" t="str">
        <f t="shared" si="661"/>
        <v>Heavy Discount</v>
      </c>
      <c r="H8511" s="37" t="str">
        <f t="shared" si="662"/>
        <v>Medium</v>
      </c>
      <c r="I8511">
        <v>5</v>
      </c>
      <c r="J8511" t="str" cm="1">
        <f t="array" ref="J8511">_xlfn.IFS(I8511&lt;=3,"small",I8511&lt;=6,"Medium",I8511&lt;=9,"Large")</f>
        <v>Medium</v>
      </c>
      <c r="K8511" s="36">
        <v>45270</v>
      </c>
      <c r="L8511" s="36">
        <v>45272</v>
      </c>
      <c r="M8511" t="s">
        <v>612</v>
      </c>
      <c r="N8511" t="s">
        <v>604</v>
      </c>
      <c r="O8511" s="37" t="str">
        <f t="shared" si="663"/>
        <v>Digital Payment</v>
      </c>
      <c r="P8511">
        <v>933.4</v>
      </c>
      <c r="Q8511" s="37" t="str">
        <f>IF(P8511&gt;500,"High","low")</f>
        <v>High</v>
      </c>
      <c r="R8511" s="37" t="str">
        <f t="shared" si="664"/>
        <v>Good</v>
      </c>
      <c r="S8511" t="s">
        <v>620</v>
      </c>
    </row>
    <row r="8512" spans="1:19" x14ac:dyDescent="0.2">
      <c r="A8512" t="s">
        <v>9123</v>
      </c>
      <c r="B8512" t="s">
        <v>83</v>
      </c>
      <c r="C8512" t="s">
        <v>614</v>
      </c>
      <c r="D8512">
        <v>2151.59</v>
      </c>
      <c r="E8512" s="37" t="str">
        <f t="shared" si="660"/>
        <v xml:space="preserve"> </v>
      </c>
      <c r="F8512">
        <v>0.44</v>
      </c>
      <c r="G8512" s="37" t="str">
        <f t="shared" si="661"/>
        <v>Heavy Discount</v>
      </c>
      <c r="H8512" s="37" t="str">
        <f t="shared" si="662"/>
        <v>High</v>
      </c>
      <c r="I8512">
        <v>8</v>
      </c>
      <c r="J8512" t="str" cm="1">
        <f t="array" ref="J8512">_xlfn.IFS(I8512&lt;=3,"small",I8512&lt;=6,"Medium",I8512&lt;=9,"Large")</f>
        <v>Large</v>
      </c>
      <c r="K8512" s="36">
        <v>44989</v>
      </c>
      <c r="L8512" s="36">
        <v>44995</v>
      </c>
      <c r="M8512" t="s">
        <v>598</v>
      </c>
      <c r="N8512" t="s">
        <v>604</v>
      </c>
      <c r="O8512" s="37" t="str">
        <f t="shared" si="663"/>
        <v>Digital Payment</v>
      </c>
      <c r="P8512">
        <v>403.36</v>
      </c>
      <c r="Q8512" s="37" t="str">
        <f>IF(P8512&gt;500,"High","low")</f>
        <v>low</v>
      </c>
      <c r="R8512" s="37" t="str">
        <f t="shared" si="664"/>
        <v>AVERAGE</v>
      </c>
      <c r="S8512" t="s">
        <v>620</v>
      </c>
    </row>
    <row r="8513" spans="1:19" x14ac:dyDescent="0.2">
      <c r="A8513" t="s">
        <v>9124</v>
      </c>
      <c r="B8513" t="s">
        <v>67</v>
      </c>
      <c r="C8513" t="s">
        <v>617</v>
      </c>
      <c r="D8513">
        <v>550.41999999999996</v>
      </c>
      <c r="E8513" s="37" t="str">
        <f t="shared" si="660"/>
        <v xml:space="preserve"> </v>
      </c>
      <c r="F8513">
        <v>0.31</v>
      </c>
      <c r="G8513" s="37" t="str">
        <f t="shared" si="661"/>
        <v>Heavy Discount</v>
      </c>
      <c r="H8513" s="37" t="str">
        <f t="shared" si="662"/>
        <v>Medium</v>
      </c>
      <c r="I8513">
        <v>2</v>
      </c>
      <c r="J8513" t="str" cm="1">
        <f t="array" ref="J8513">_xlfn.IFS(I8513&lt;=3,"small",I8513&lt;=6,"Medium",I8513&lt;=9,"Large")</f>
        <v>small</v>
      </c>
      <c r="K8513" s="36">
        <v>45078</v>
      </c>
      <c r="L8513" s="36">
        <v>45080</v>
      </c>
      <c r="M8513" t="s">
        <v>603</v>
      </c>
      <c r="N8513" t="s">
        <v>608</v>
      </c>
      <c r="O8513" s="37" t="str">
        <f t="shared" si="663"/>
        <v>Cash Payment</v>
      </c>
      <c r="P8513">
        <v>79.180000000000007</v>
      </c>
      <c r="Q8513" s="37" t="str">
        <f>IF(P8513&gt;500,"High","low")</f>
        <v>low</v>
      </c>
      <c r="R8513" s="37" t="str">
        <f t="shared" si="664"/>
        <v>AVERAGE</v>
      </c>
      <c r="S8513" t="s">
        <v>620</v>
      </c>
    </row>
    <row r="8514" spans="1:19" x14ac:dyDescent="0.2">
      <c r="A8514" t="s">
        <v>9125</v>
      </c>
      <c r="B8514" t="s">
        <v>75</v>
      </c>
      <c r="C8514" t="s">
        <v>617</v>
      </c>
      <c r="D8514">
        <v>3221.47</v>
      </c>
      <c r="E8514" s="37" t="str">
        <f t="shared" si="660"/>
        <v xml:space="preserve"> </v>
      </c>
      <c r="F8514">
        <v>0.4</v>
      </c>
      <c r="G8514" s="37" t="str">
        <f t="shared" si="661"/>
        <v>Heavy Discount</v>
      </c>
      <c r="H8514" s="37" t="str">
        <f t="shared" si="662"/>
        <v>Medium</v>
      </c>
      <c r="I8514">
        <v>2</v>
      </c>
      <c r="J8514" t="str" cm="1">
        <f t="array" ref="J8514">_xlfn.IFS(I8514&lt;=3,"small",I8514&lt;=6,"Medium",I8514&lt;=9,"Large")</f>
        <v>small</v>
      </c>
      <c r="K8514" s="36">
        <v>45102</v>
      </c>
      <c r="L8514" s="36">
        <v>45107</v>
      </c>
      <c r="M8514" t="s">
        <v>598</v>
      </c>
      <c r="N8514" t="s">
        <v>608</v>
      </c>
      <c r="O8514" s="37" t="str">
        <f t="shared" si="663"/>
        <v>Cash Payment</v>
      </c>
      <c r="P8514">
        <v>486.63</v>
      </c>
      <c r="Q8514" s="37" t="str">
        <f>IF(P8514&gt;500,"High","low")</f>
        <v>low</v>
      </c>
      <c r="R8514" s="37" t="str">
        <f t="shared" si="664"/>
        <v>AVERAGE</v>
      </c>
      <c r="S8514" t="s">
        <v>620</v>
      </c>
    </row>
    <row r="8515" spans="1:19" x14ac:dyDescent="0.2">
      <c r="A8515" t="s">
        <v>9126</v>
      </c>
      <c r="B8515" t="s">
        <v>90</v>
      </c>
      <c r="C8515" t="s">
        <v>602</v>
      </c>
      <c r="D8515">
        <v>1849.03</v>
      </c>
      <c r="E8515" s="37" t="str">
        <f t="shared" ref="E8515:E8578" si="665">IF(AND(D8515&gt;4000,P8515&gt;800),"Excellent Order"," ")</f>
        <v xml:space="preserve"> </v>
      </c>
      <c r="F8515">
        <v>0.46</v>
      </c>
      <c r="G8515" s="37" t="str">
        <f t="shared" ref="G8515:G8578" si="666">IF(F8515&gt;30%,"Heavy Discount","Normal Discount")</f>
        <v>Heavy Discount</v>
      </c>
      <c r="H8515" s="37" t="str">
        <f t="shared" ref="H8515:H8578" si="667">IF(F8515&gt;0.4,"High",IF(F8515&gt;=0.2,"Medium","Low"))</f>
        <v>High</v>
      </c>
      <c r="I8515">
        <v>9</v>
      </c>
      <c r="J8515" t="str" cm="1">
        <f t="array" ref="J8515">_xlfn.IFS(I8515&lt;=3,"small",I8515&lt;=6,"Medium",I8515&lt;=9,"Large")</f>
        <v>Large</v>
      </c>
      <c r="K8515" s="36">
        <v>45026</v>
      </c>
      <c r="L8515" s="36">
        <v>45027</v>
      </c>
      <c r="M8515" t="s">
        <v>603</v>
      </c>
      <c r="N8515" t="s">
        <v>604</v>
      </c>
      <c r="O8515" s="37" t="str">
        <f t="shared" ref="O8515:O8578" si="668">IF(OR(N8515="Card",N8515="UPI"),"Digital Payment","Cash Payment")</f>
        <v>Digital Payment</v>
      </c>
      <c r="P8515">
        <v>126.17</v>
      </c>
      <c r="Q8515" s="37" t="str">
        <f>IF(P8515&gt;500,"High","low")</f>
        <v>low</v>
      </c>
      <c r="R8515" s="37" t="str">
        <f t="shared" ref="R8515:R8578" si="669">IF(P8515&gt;1000,"Excellent",IF(P8515&gt;=500,"Good","AVERAGE"))</f>
        <v>AVERAGE</v>
      </c>
      <c r="S8515" t="s">
        <v>620</v>
      </c>
    </row>
    <row r="8516" spans="1:19" x14ac:dyDescent="0.2">
      <c r="A8516" t="s">
        <v>9127</v>
      </c>
      <c r="B8516" t="s">
        <v>67</v>
      </c>
      <c r="C8516" t="s">
        <v>597</v>
      </c>
      <c r="D8516">
        <v>356.38</v>
      </c>
      <c r="E8516" s="37" t="str">
        <f t="shared" si="665"/>
        <v xml:space="preserve"> </v>
      </c>
      <c r="F8516">
        <v>0.48</v>
      </c>
      <c r="G8516" s="37" t="str">
        <f t="shared" si="666"/>
        <v>Heavy Discount</v>
      </c>
      <c r="H8516" s="37" t="str">
        <f t="shared" si="667"/>
        <v>High</v>
      </c>
      <c r="I8516">
        <v>6</v>
      </c>
      <c r="J8516" t="str" cm="1">
        <f t="array" ref="J8516">_xlfn.IFS(I8516&lt;=3,"small",I8516&lt;=6,"Medium",I8516&lt;=9,"Large")</f>
        <v>Medium</v>
      </c>
      <c r="K8516" s="36">
        <v>45463</v>
      </c>
      <c r="L8516" s="36">
        <v>45470</v>
      </c>
      <c r="M8516" t="s">
        <v>598</v>
      </c>
      <c r="N8516" t="s">
        <v>604</v>
      </c>
      <c r="O8516" s="37" t="str">
        <f t="shared" si="668"/>
        <v>Digital Payment</v>
      </c>
      <c r="P8516">
        <v>61.73</v>
      </c>
      <c r="Q8516" s="37" t="str">
        <f>IF(P8516&gt;500,"High","low")</f>
        <v>low</v>
      </c>
      <c r="R8516" s="37" t="str">
        <f t="shared" si="669"/>
        <v>AVERAGE</v>
      </c>
      <c r="S8516" t="s">
        <v>615</v>
      </c>
    </row>
    <row r="8517" spans="1:19" x14ac:dyDescent="0.2">
      <c r="A8517" t="s">
        <v>9128</v>
      </c>
      <c r="B8517" t="s">
        <v>83</v>
      </c>
      <c r="C8517" t="s">
        <v>617</v>
      </c>
      <c r="D8517">
        <v>4745.1099999999997</v>
      </c>
      <c r="E8517" s="37" t="str">
        <f t="shared" si="665"/>
        <v>Excellent Order</v>
      </c>
      <c r="F8517">
        <v>0.21</v>
      </c>
      <c r="G8517" s="37" t="str">
        <f t="shared" si="666"/>
        <v>Normal Discount</v>
      </c>
      <c r="H8517" s="37" t="str">
        <f t="shared" si="667"/>
        <v>Medium</v>
      </c>
      <c r="I8517">
        <v>9</v>
      </c>
      <c r="J8517" t="str" cm="1">
        <f t="array" ref="J8517">_xlfn.IFS(I8517&lt;=3,"small",I8517&lt;=6,"Medium",I8517&lt;=9,"Large")</f>
        <v>Large</v>
      </c>
      <c r="K8517" s="36">
        <v>45110</v>
      </c>
      <c r="L8517" s="36">
        <v>45114</v>
      </c>
      <c r="M8517" t="s">
        <v>612</v>
      </c>
      <c r="N8517" t="s">
        <v>608</v>
      </c>
      <c r="O8517" s="37" t="str">
        <f t="shared" si="668"/>
        <v>Cash Payment</v>
      </c>
      <c r="P8517">
        <v>1097.77</v>
      </c>
      <c r="Q8517" s="37" t="str">
        <f>IF(P8517&gt;500,"High","low")</f>
        <v>High</v>
      </c>
      <c r="R8517" s="37" t="str">
        <f t="shared" si="669"/>
        <v>Excellent</v>
      </c>
      <c r="S8517" t="s">
        <v>605</v>
      </c>
    </row>
    <row r="8518" spans="1:19" x14ac:dyDescent="0.2">
      <c r="A8518" t="s">
        <v>9129</v>
      </c>
      <c r="B8518" t="s">
        <v>83</v>
      </c>
      <c r="C8518" t="s">
        <v>607</v>
      </c>
      <c r="D8518">
        <v>2898.87</v>
      </c>
      <c r="E8518" s="37" t="str">
        <f t="shared" si="665"/>
        <v xml:space="preserve"> </v>
      </c>
      <c r="F8518">
        <v>0.5</v>
      </c>
      <c r="G8518" s="37" t="str">
        <f t="shared" si="666"/>
        <v>Heavy Discount</v>
      </c>
      <c r="H8518" s="37" t="str">
        <f t="shared" si="667"/>
        <v>High</v>
      </c>
      <c r="I8518">
        <v>7</v>
      </c>
      <c r="J8518" t="str" cm="1">
        <f t="array" ref="J8518">_xlfn.IFS(I8518&lt;=3,"small",I8518&lt;=6,"Medium",I8518&lt;=9,"Large")</f>
        <v>Large</v>
      </c>
      <c r="K8518" s="36">
        <v>45285</v>
      </c>
      <c r="L8518" s="36">
        <v>45290</v>
      </c>
      <c r="M8518" t="s">
        <v>612</v>
      </c>
      <c r="N8518" t="s">
        <v>604</v>
      </c>
      <c r="O8518" s="37" t="str">
        <f t="shared" si="668"/>
        <v>Digital Payment</v>
      </c>
      <c r="P8518">
        <v>741.44</v>
      </c>
      <c r="Q8518" s="37" t="str">
        <f>IF(P8518&gt;500,"High","low")</f>
        <v>High</v>
      </c>
      <c r="R8518" s="37" t="str">
        <f t="shared" si="669"/>
        <v>Good</v>
      </c>
      <c r="S8518" t="s">
        <v>605</v>
      </c>
    </row>
    <row r="8519" spans="1:19" x14ac:dyDescent="0.2">
      <c r="A8519" t="s">
        <v>9130</v>
      </c>
      <c r="B8519" t="s">
        <v>67</v>
      </c>
      <c r="C8519" t="s">
        <v>597</v>
      </c>
      <c r="D8519">
        <v>2440.83</v>
      </c>
      <c r="E8519" s="37" t="str">
        <f t="shared" si="665"/>
        <v xml:space="preserve"> </v>
      </c>
      <c r="F8519">
        <v>0.14000000000000001</v>
      </c>
      <c r="G8519" s="37" t="str">
        <f t="shared" si="666"/>
        <v>Normal Discount</v>
      </c>
      <c r="H8519" s="37" t="str">
        <f t="shared" si="667"/>
        <v>Low</v>
      </c>
      <c r="I8519">
        <v>5</v>
      </c>
      <c r="J8519" t="str" cm="1">
        <f t="array" ref="J8519">_xlfn.IFS(I8519&lt;=3,"small",I8519&lt;=6,"Medium",I8519&lt;=9,"Large")</f>
        <v>Medium</v>
      </c>
      <c r="K8519" s="36">
        <v>45173</v>
      </c>
      <c r="L8519" s="36">
        <v>45177</v>
      </c>
      <c r="M8519" t="s">
        <v>612</v>
      </c>
      <c r="N8519" t="s">
        <v>604</v>
      </c>
      <c r="O8519" s="37" t="str">
        <f t="shared" si="668"/>
        <v>Digital Payment</v>
      </c>
      <c r="P8519">
        <v>629.46</v>
      </c>
      <c r="Q8519" s="37" t="str">
        <f>IF(P8519&gt;500,"High","low")</f>
        <v>High</v>
      </c>
      <c r="R8519" s="37" t="str">
        <f t="shared" si="669"/>
        <v>Good</v>
      </c>
      <c r="S8519" t="s">
        <v>615</v>
      </c>
    </row>
    <row r="8520" spans="1:19" x14ac:dyDescent="0.2">
      <c r="A8520" t="s">
        <v>9131</v>
      </c>
      <c r="B8520" t="s">
        <v>75</v>
      </c>
      <c r="C8520" t="s">
        <v>597</v>
      </c>
      <c r="D8520">
        <v>4309.7700000000004</v>
      </c>
      <c r="E8520" s="37" t="str">
        <f t="shared" si="665"/>
        <v>Excellent Order</v>
      </c>
      <c r="F8520">
        <v>0.23</v>
      </c>
      <c r="G8520" s="37" t="str">
        <f t="shared" si="666"/>
        <v>Normal Discount</v>
      </c>
      <c r="H8520" s="37" t="str">
        <f t="shared" si="667"/>
        <v>Medium</v>
      </c>
      <c r="I8520">
        <v>9</v>
      </c>
      <c r="J8520" t="str" cm="1">
        <f t="array" ref="J8520">_xlfn.IFS(I8520&lt;=3,"small",I8520&lt;=6,"Medium",I8520&lt;=9,"Large")</f>
        <v>Large</v>
      </c>
      <c r="K8520" s="36">
        <v>45459</v>
      </c>
      <c r="L8520" s="36">
        <v>45466</v>
      </c>
      <c r="M8520" t="s">
        <v>603</v>
      </c>
      <c r="N8520" t="s">
        <v>608</v>
      </c>
      <c r="O8520" s="37" t="str">
        <f t="shared" si="668"/>
        <v>Cash Payment</v>
      </c>
      <c r="P8520">
        <v>1124.58</v>
      </c>
      <c r="Q8520" s="37" t="str">
        <f>IF(P8520&gt;500,"High","low")</f>
        <v>High</v>
      </c>
      <c r="R8520" s="37" t="str">
        <f t="shared" si="669"/>
        <v>Excellent</v>
      </c>
      <c r="S8520" t="s">
        <v>620</v>
      </c>
    </row>
    <row r="8521" spans="1:19" x14ac:dyDescent="0.2">
      <c r="A8521" t="s">
        <v>9132</v>
      </c>
      <c r="B8521" t="s">
        <v>75</v>
      </c>
      <c r="C8521" t="s">
        <v>607</v>
      </c>
      <c r="D8521">
        <v>4690.03</v>
      </c>
      <c r="E8521" s="37" t="str">
        <f t="shared" si="665"/>
        <v>Excellent Order</v>
      </c>
      <c r="F8521">
        <v>0.38</v>
      </c>
      <c r="G8521" s="37" t="str">
        <f t="shared" si="666"/>
        <v>Heavy Discount</v>
      </c>
      <c r="H8521" s="37" t="str">
        <f t="shared" si="667"/>
        <v>Medium</v>
      </c>
      <c r="I8521">
        <v>9</v>
      </c>
      <c r="J8521" t="str" cm="1">
        <f t="array" ref="J8521">_xlfn.IFS(I8521&lt;=3,"small",I8521&lt;=6,"Medium",I8521&lt;=9,"Large")</f>
        <v>Large</v>
      </c>
      <c r="K8521" s="36">
        <v>45581</v>
      </c>
      <c r="L8521" s="36">
        <v>45584</v>
      </c>
      <c r="M8521" t="s">
        <v>598</v>
      </c>
      <c r="N8521" t="s">
        <v>608</v>
      </c>
      <c r="O8521" s="37" t="str">
        <f t="shared" si="668"/>
        <v>Cash Payment</v>
      </c>
      <c r="P8521">
        <v>1228.8800000000001</v>
      </c>
      <c r="Q8521" s="37" t="str">
        <f>IF(P8521&gt;500,"High","low")</f>
        <v>High</v>
      </c>
      <c r="R8521" s="37" t="str">
        <f t="shared" si="669"/>
        <v>Excellent</v>
      </c>
      <c r="S8521" t="s">
        <v>620</v>
      </c>
    </row>
    <row r="8522" spans="1:19" x14ac:dyDescent="0.2">
      <c r="A8522" t="s">
        <v>9133</v>
      </c>
      <c r="B8522" t="s">
        <v>90</v>
      </c>
      <c r="C8522" t="s">
        <v>614</v>
      </c>
      <c r="D8522">
        <v>1179.58</v>
      </c>
      <c r="E8522" s="37" t="str">
        <f t="shared" si="665"/>
        <v xml:space="preserve"> </v>
      </c>
      <c r="F8522">
        <v>0.49</v>
      </c>
      <c r="G8522" s="37" t="str">
        <f t="shared" si="666"/>
        <v>Heavy Discount</v>
      </c>
      <c r="H8522" s="37" t="str">
        <f t="shared" si="667"/>
        <v>High</v>
      </c>
      <c r="I8522">
        <v>2</v>
      </c>
      <c r="J8522" t="str" cm="1">
        <f t="array" ref="J8522">_xlfn.IFS(I8522&lt;=3,"small",I8522&lt;=6,"Medium",I8522&lt;=9,"Large")</f>
        <v>small</v>
      </c>
      <c r="K8522" s="36">
        <v>45057</v>
      </c>
      <c r="L8522" s="36">
        <v>45058</v>
      </c>
      <c r="M8522" t="s">
        <v>603</v>
      </c>
      <c r="N8522" t="s">
        <v>608</v>
      </c>
      <c r="O8522" s="37" t="str">
        <f t="shared" si="668"/>
        <v>Cash Payment</v>
      </c>
      <c r="P8522">
        <v>197.26</v>
      </c>
      <c r="Q8522" s="37" t="str">
        <f>IF(P8522&gt;500,"High","low")</f>
        <v>low</v>
      </c>
      <c r="R8522" s="37" t="str">
        <f t="shared" si="669"/>
        <v>AVERAGE</v>
      </c>
      <c r="S8522" t="s">
        <v>615</v>
      </c>
    </row>
    <row r="8523" spans="1:19" x14ac:dyDescent="0.2">
      <c r="A8523" t="s">
        <v>9134</v>
      </c>
      <c r="B8523" t="s">
        <v>83</v>
      </c>
      <c r="C8523" t="s">
        <v>602</v>
      </c>
      <c r="D8523">
        <v>4069.71</v>
      </c>
      <c r="E8523" s="37" t="str">
        <f t="shared" si="665"/>
        <v xml:space="preserve"> </v>
      </c>
      <c r="F8523">
        <v>0.03</v>
      </c>
      <c r="G8523" s="37" t="str">
        <f t="shared" si="666"/>
        <v>Normal Discount</v>
      </c>
      <c r="H8523" s="37" t="str">
        <f t="shared" si="667"/>
        <v>Low</v>
      </c>
      <c r="I8523">
        <v>8</v>
      </c>
      <c r="J8523" t="str" cm="1">
        <f t="array" ref="J8523">_xlfn.IFS(I8523&lt;=3,"small",I8523&lt;=6,"Medium",I8523&lt;=9,"Large")</f>
        <v>Large</v>
      </c>
      <c r="K8523" s="36">
        <v>44936</v>
      </c>
      <c r="L8523" s="36">
        <v>44938</v>
      </c>
      <c r="M8523" t="s">
        <v>612</v>
      </c>
      <c r="N8523" t="s">
        <v>599</v>
      </c>
      <c r="O8523" s="37" t="str">
        <f t="shared" si="668"/>
        <v>Digital Payment</v>
      </c>
      <c r="P8523">
        <v>644.11</v>
      </c>
      <c r="Q8523" s="37" t="str">
        <f>IF(P8523&gt;500,"High","low")</f>
        <v>High</v>
      </c>
      <c r="R8523" s="37" t="str">
        <f t="shared" si="669"/>
        <v>Good</v>
      </c>
      <c r="S8523" t="s">
        <v>615</v>
      </c>
    </row>
    <row r="8524" spans="1:19" x14ac:dyDescent="0.2">
      <c r="A8524" t="s">
        <v>9135</v>
      </c>
      <c r="B8524" t="s">
        <v>67</v>
      </c>
      <c r="C8524" t="s">
        <v>617</v>
      </c>
      <c r="D8524">
        <v>4172.29</v>
      </c>
      <c r="E8524" s="37" t="str">
        <f t="shared" si="665"/>
        <v xml:space="preserve"> </v>
      </c>
      <c r="F8524">
        <v>0.47</v>
      </c>
      <c r="G8524" s="37" t="str">
        <f t="shared" si="666"/>
        <v>Heavy Discount</v>
      </c>
      <c r="H8524" s="37" t="str">
        <f t="shared" si="667"/>
        <v>High</v>
      </c>
      <c r="I8524">
        <v>8</v>
      </c>
      <c r="J8524" t="str" cm="1">
        <f t="array" ref="J8524">_xlfn.IFS(I8524&lt;=3,"small",I8524&lt;=6,"Medium",I8524&lt;=9,"Large")</f>
        <v>Large</v>
      </c>
      <c r="K8524" s="36">
        <v>45104</v>
      </c>
      <c r="L8524" s="36">
        <v>45109</v>
      </c>
      <c r="M8524" t="s">
        <v>598</v>
      </c>
      <c r="N8524" t="s">
        <v>599</v>
      </c>
      <c r="O8524" s="37" t="str">
        <f t="shared" si="668"/>
        <v>Digital Payment</v>
      </c>
      <c r="P8524">
        <v>324.37</v>
      </c>
      <c r="Q8524" s="37" t="str">
        <f>IF(P8524&gt;500,"High","low")</f>
        <v>low</v>
      </c>
      <c r="R8524" s="37" t="str">
        <f t="shared" si="669"/>
        <v>AVERAGE</v>
      </c>
      <c r="S8524" t="s">
        <v>620</v>
      </c>
    </row>
    <row r="8525" spans="1:19" x14ac:dyDescent="0.2">
      <c r="A8525" t="s">
        <v>9136</v>
      </c>
      <c r="B8525" t="s">
        <v>75</v>
      </c>
      <c r="C8525" t="s">
        <v>614</v>
      </c>
      <c r="D8525">
        <v>366.57</v>
      </c>
      <c r="E8525" s="37" t="str">
        <f t="shared" si="665"/>
        <v xml:space="preserve"> </v>
      </c>
      <c r="F8525">
        <v>0.5</v>
      </c>
      <c r="G8525" s="37" t="str">
        <f t="shared" si="666"/>
        <v>Heavy Discount</v>
      </c>
      <c r="H8525" s="37" t="str">
        <f t="shared" si="667"/>
        <v>High</v>
      </c>
      <c r="I8525">
        <v>2</v>
      </c>
      <c r="J8525" t="str" cm="1">
        <f t="array" ref="J8525">_xlfn.IFS(I8525&lt;=3,"small",I8525&lt;=6,"Medium",I8525&lt;=9,"Large")</f>
        <v>small</v>
      </c>
      <c r="K8525" s="36">
        <v>45645</v>
      </c>
      <c r="L8525" s="36">
        <v>45648</v>
      </c>
      <c r="M8525" t="s">
        <v>603</v>
      </c>
      <c r="N8525" t="s">
        <v>599</v>
      </c>
      <c r="O8525" s="37" t="str">
        <f t="shared" si="668"/>
        <v>Digital Payment</v>
      </c>
      <c r="P8525">
        <v>45.05</v>
      </c>
      <c r="Q8525" s="37" t="str">
        <f>IF(P8525&gt;500,"High","low")</f>
        <v>low</v>
      </c>
      <c r="R8525" s="37" t="str">
        <f t="shared" si="669"/>
        <v>AVERAGE</v>
      </c>
      <c r="S8525" t="s">
        <v>605</v>
      </c>
    </row>
    <row r="8526" spans="1:19" x14ac:dyDescent="0.2">
      <c r="A8526" t="s">
        <v>9137</v>
      </c>
      <c r="B8526" t="s">
        <v>90</v>
      </c>
      <c r="C8526" t="s">
        <v>607</v>
      </c>
      <c r="D8526">
        <v>3588.53</v>
      </c>
      <c r="E8526" s="37" t="str">
        <f t="shared" si="665"/>
        <v xml:space="preserve"> </v>
      </c>
      <c r="F8526">
        <v>0.45</v>
      </c>
      <c r="G8526" s="37" t="str">
        <f t="shared" si="666"/>
        <v>Heavy Discount</v>
      </c>
      <c r="H8526" s="37" t="str">
        <f t="shared" si="667"/>
        <v>High</v>
      </c>
      <c r="I8526">
        <v>7</v>
      </c>
      <c r="J8526" t="str" cm="1">
        <f t="array" ref="J8526">_xlfn.IFS(I8526&lt;=3,"small",I8526&lt;=6,"Medium",I8526&lt;=9,"Large")</f>
        <v>Large</v>
      </c>
      <c r="K8526" s="36">
        <v>45435</v>
      </c>
      <c r="L8526" s="36">
        <v>45441</v>
      </c>
      <c r="M8526" t="s">
        <v>598</v>
      </c>
      <c r="N8526" t="s">
        <v>604</v>
      </c>
      <c r="O8526" s="37" t="str">
        <f t="shared" si="668"/>
        <v>Digital Payment</v>
      </c>
      <c r="P8526">
        <v>381.72</v>
      </c>
      <c r="Q8526" s="37" t="str">
        <f>IF(P8526&gt;500,"High","low")</f>
        <v>low</v>
      </c>
      <c r="R8526" s="37" t="str">
        <f t="shared" si="669"/>
        <v>AVERAGE</v>
      </c>
      <c r="S8526" t="s">
        <v>600</v>
      </c>
    </row>
    <row r="8527" spans="1:19" x14ac:dyDescent="0.2">
      <c r="A8527" t="s">
        <v>9138</v>
      </c>
      <c r="B8527" t="s">
        <v>83</v>
      </c>
      <c r="C8527" t="s">
        <v>602</v>
      </c>
      <c r="D8527">
        <v>408.54</v>
      </c>
      <c r="E8527" s="37" t="str">
        <f t="shared" si="665"/>
        <v xml:space="preserve"> </v>
      </c>
      <c r="F8527">
        <v>0.05</v>
      </c>
      <c r="G8527" s="37" t="str">
        <f t="shared" si="666"/>
        <v>Normal Discount</v>
      </c>
      <c r="H8527" s="37" t="str">
        <f t="shared" si="667"/>
        <v>Low</v>
      </c>
      <c r="I8527">
        <v>1</v>
      </c>
      <c r="J8527" t="str" cm="1">
        <f t="array" ref="J8527">_xlfn.IFS(I8527&lt;=3,"small",I8527&lt;=6,"Medium",I8527&lt;=9,"Large")</f>
        <v>small</v>
      </c>
      <c r="K8527" s="36">
        <v>45052</v>
      </c>
      <c r="L8527" s="36">
        <v>45057</v>
      </c>
      <c r="M8527" t="s">
        <v>612</v>
      </c>
      <c r="N8527" t="s">
        <v>604</v>
      </c>
      <c r="O8527" s="37" t="str">
        <f t="shared" si="668"/>
        <v>Digital Payment</v>
      </c>
      <c r="P8527">
        <v>82.77</v>
      </c>
      <c r="Q8527" s="37" t="str">
        <f>IF(P8527&gt;500,"High","low")</f>
        <v>low</v>
      </c>
      <c r="R8527" s="37" t="str">
        <f t="shared" si="669"/>
        <v>AVERAGE</v>
      </c>
      <c r="S8527" t="s">
        <v>609</v>
      </c>
    </row>
    <row r="8528" spans="1:19" x14ac:dyDescent="0.2">
      <c r="A8528" t="s">
        <v>9139</v>
      </c>
      <c r="B8528" t="s">
        <v>83</v>
      </c>
      <c r="C8528" t="s">
        <v>602</v>
      </c>
      <c r="D8528">
        <v>3013.9</v>
      </c>
      <c r="E8528" s="37" t="str">
        <f t="shared" si="665"/>
        <v xml:space="preserve"> </v>
      </c>
      <c r="F8528">
        <v>0.42</v>
      </c>
      <c r="G8528" s="37" t="str">
        <f t="shared" si="666"/>
        <v>Heavy Discount</v>
      </c>
      <c r="H8528" s="37" t="str">
        <f t="shared" si="667"/>
        <v>High</v>
      </c>
      <c r="I8528">
        <v>5</v>
      </c>
      <c r="J8528" t="str" cm="1">
        <f t="array" ref="J8528">_xlfn.IFS(I8528&lt;=3,"small",I8528&lt;=6,"Medium",I8528&lt;=9,"Large")</f>
        <v>Medium</v>
      </c>
      <c r="K8528" s="36">
        <v>45451</v>
      </c>
      <c r="L8528" s="36">
        <v>45457</v>
      </c>
      <c r="M8528" t="s">
        <v>598</v>
      </c>
      <c r="N8528" t="s">
        <v>599</v>
      </c>
      <c r="O8528" s="37" t="str">
        <f t="shared" si="668"/>
        <v>Digital Payment</v>
      </c>
      <c r="P8528">
        <v>394.67</v>
      </c>
      <c r="Q8528" s="37" t="str">
        <f>IF(P8528&gt;500,"High","low")</f>
        <v>low</v>
      </c>
      <c r="R8528" s="37" t="str">
        <f t="shared" si="669"/>
        <v>AVERAGE</v>
      </c>
      <c r="S8528" t="s">
        <v>600</v>
      </c>
    </row>
    <row r="8529" spans="1:19" x14ac:dyDescent="0.2">
      <c r="A8529" t="s">
        <v>9140</v>
      </c>
      <c r="B8529" t="s">
        <v>90</v>
      </c>
      <c r="C8529" t="s">
        <v>602</v>
      </c>
      <c r="D8529">
        <v>3379.26</v>
      </c>
      <c r="E8529" s="37" t="str">
        <f t="shared" si="665"/>
        <v xml:space="preserve"> </v>
      </c>
      <c r="F8529">
        <v>0.32</v>
      </c>
      <c r="G8529" s="37" t="str">
        <f t="shared" si="666"/>
        <v>Heavy Discount</v>
      </c>
      <c r="H8529" s="37" t="str">
        <f t="shared" si="667"/>
        <v>Medium</v>
      </c>
      <c r="I8529">
        <v>5</v>
      </c>
      <c r="J8529" t="str" cm="1">
        <f t="array" ref="J8529">_xlfn.IFS(I8529&lt;=3,"small",I8529&lt;=6,"Medium",I8529&lt;=9,"Large")</f>
        <v>Medium</v>
      </c>
      <c r="K8529" s="36">
        <v>44970</v>
      </c>
      <c r="L8529" s="36">
        <v>44977</v>
      </c>
      <c r="M8529" t="s">
        <v>612</v>
      </c>
      <c r="N8529" t="s">
        <v>604</v>
      </c>
      <c r="O8529" s="37" t="str">
        <f t="shared" si="668"/>
        <v>Digital Payment</v>
      </c>
      <c r="P8529">
        <v>619.16</v>
      </c>
      <c r="Q8529" s="37" t="str">
        <f>IF(P8529&gt;500,"High","low")</f>
        <v>High</v>
      </c>
      <c r="R8529" s="37" t="str">
        <f t="shared" si="669"/>
        <v>Good</v>
      </c>
      <c r="S8529" t="s">
        <v>605</v>
      </c>
    </row>
    <row r="8530" spans="1:19" x14ac:dyDescent="0.2">
      <c r="A8530" t="s">
        <v>9141</v>
      </c>
      <c r="B8530" t="s">
        <v>90</v>
      </c>
      <c r="C8530" t="s">
        <v>607</v>
      </c>
      <c r="D8530">
        <v>1898.59</v>
      </c>
      <c r="E8530" s="37" t="str">
        <f t="shared" si="665"/>
        <v xml:space="preserve"> </v>
      </c>
      <c r="F8530">
        <v>0</v>
      </c>
      <c r="G8530" s="37" t="str">
        <f t="shared" si="666"/>
        <v>Normal Discount</v>
      </c>
      <c r="H8530" s="37" t="str">
        <f t="shared" si="667"/>
        <v>Low</v>
      </c>
      <c r="I8530">
        <v>5</v>
      </c>
      <c r="J8530" t="str" cm="1">
        <f t="array" ref="J8530">_xlfn.IFS(I8530&lt;=3,"small",I8530&lt;=6,"Medium",I8530&lt;=9,"Large")</f>
        <v>Medium</v>
      </c>
      <c r="K8530" s="36">
        <v>45311</v>
      </c>
      <c r="L8530" s="36">
        <v>45316</v>
      </c>
      <c r="M8530" t="s">
        <v>612</v>
      </c>
      <c r="N8530" t="s">
        <v>604</v>
      </c>
      <c r="O8530" s="37" t="str">
        <f t="shared" si="668"/>
        <v>Digital Payment</v>
      </c>
      <c r="P8530">
        <v>274.25</v>
      </c>
      <c r="Q8530" s="37" t="str">
        <f>IF(P8530&gt;500,"High","low")</f>
        <v>low</v>
      </c>
      <c r="R8530" s="37" t="str">
        <f t="shared" si="669"/>
        <v>AVERAGE</v>
      </c>
      <c r="S8530" t="s">
        <v>600</v>
      </c>
    </row>
    <row r="8531" spans="1:19" x14ac:dyDescent="0.2">
      <c r="A8531" t="s">
        <v>9142</v>
      </c>
      <c r="B8531" t="s">
        <v>75</v>
      </c>
      <c r="C8531" t="s">
        <v>614</v>
      </c>
      <c r="D8531">
        <v>4415.8599999999997</v>
      </c>
      <c r="E8531" s="37" t="str">
        <f t="shared" si="665"/>
        <v>Excellent Order</v>
      </c>
      <c r="F8531">
        <v>0.49</v>
      </c>
      <c r="G8531" s="37" t="str">
        <f t="shared" si="666"/>
        <v>Heavy Discount</v>
      </c>
      <c r="H8531" s="37" t="str">
        <f t="shared" si="667"/>
        <v>High</v>
      </c>
      <c r="I8531">
        <v>2</v>
      </c>
      <c r="J8531" t="str" cm="1">
        <f t="array" ref="J8531">_xlfn.IFS(I8531&lt;=3,"small",I8531&lt;=6,"Medium",I8531&lt;=9,"Large")</f>
        <v>small</v>
      </c>
      <c r="K8531" s="36">
        <v>45613</v>
      </c>
      <c r="L8531" s="36">
        <v>45619</v>
      </c>
      <c r="M8531" t="s">
        <v>598</v>
      </c>
      <c r="N8531" t="s">
        <v>608</v>
      </c>
      <c r="O8531" s="37" t="str">
        <f t="shared" si="668"/>
        <v>Cash Payment</v>
      </c>
      <c r="P8531">
        <v>1203.48</v>
      </c>
      <c r="Q8531" s="37" t="str">
        <f>IF(P8531&gt;500,"High","low")</f>
        <v>High</v>
      </c>
      <c r="R8531" s="37" t="str">
        <f t="shared" si="669"/>
        <v>Excellent</v>
      </c>
      <c r="S8531" t="s">
        <v>605</v>
      </c>
    </row>
    <row r="8532" spans="1:19" x14ac:dyDescent="0.2">
      <c r="A8532" t="s">
        <v>9143</v>
      </c>
      <c r="B8532" t="s">
        <v>67</v>
      </c>
      <c r="C8532" t="s">
        <v>617</v>
      </c>
      <c r="D8532">
        <v>4022.51</v>
      </c>
      <c r="E8532" s="37" t="str">
        <f t="shared" si="665"/>
        <v xml:space="preserve"> </v>
      </c>
      <c r="F8532">
        <v>0.08</v>
      </c>
      <c r="G8532" s="37" t="str">
        <f t="shared" si="666"/>
        <v>Normal Discount</v>
      </c>
      <c r="H8532" s="37" t="str">
        <f t="shared" si="667"/>
        <v>Low</v>
      </c>
      <c r="I8532">
        <v>3</v>
      </c>
      <c r="J8532" t="str" cm="1">
        <f t="array" ref="J8532">_xlfn.IFS(I8532&lt;=3,"small",I8532&lt;=6,"Medium",I8532&lt;=9,"Large")</f>
        <v>small</v>
      </c>
      <c r="K8532" s="36">
        <v>45176</v>
      </c>
      <c r="L8532" s="36">
        <v>45183</v>
      </c>
      <c r="M8532" t="s">
        <v>603</v>
      </c>
      <c r="N8532" t="s">
        <v>599</v>
      </c>
      <c r="O8532" s="37" t="str">
        <f t="shared" si="668"/>
        <v>Digital Payment</v>
      </c>
      <c r="P8532">
        <v>628.29</v>
      </c>
      <c r="Q8532" s="37" t="str">
        <f>IF(P8532&gt;500,"High","low")</f>
        <v>High</v>
      </c>
      <c r="R8532" s="37" t="str">
        <f t="shared" si="669"/>
        <v>Good</v>
      </c>
      <c r="S8532" t="s">
        <v>628</v>
      </c>
    </row>
    <row r="8533" spans="1:19" x14ac:dyDescent="0.2">
      <c r="A8533" t="s">
        <v>9144</v>
      </c>
      <c r="B8533" t="s">
        <v>83</v>
      </c>
      <c r="C8533" t="s">
        <v>602</v>
      </c>
      <c r="D8533">
        <v>4637.2</v>
      </c>
      <c r="E8533" s="37" t="str">
        <f t="shared" si="665"/>
        <v>Excellent Order</v>
      </c>
      <c r="F8533">
        <v>0.2</v>
      </c>
      <c r="G8533" s="37" t="str">
        <f t="shared" si="666"/>
        <v>Normal Discount</v>
      </c>
      <c r="H8533" s="37" t="str">
        <f t="shared" si="667"/>
        <v>Medium</v>
      </c>
      <c r="I8533">
        <v>6</v>
      </c>
      <c r="J8533" t="str" cm="1">
        <f t="array" ref="J8533">_xlfn.IFS(I8533&lt;=3,"small",I8533&lt;=6,"Medium",I8533&lt;=9,"Large")</f>
        <v>Medium</v>
      </c>
      <c r="K8533" s="36">
        <v>44981</v>
      </c>
      <c r="L8533" s="36">
        <v>44986</v>
      </c>
      <c r="M8533" t="s">
        <v>598</v>
      </c>
      <c r="N8533" t="s">
        <v>604</v>
      </c>
      <c r="O8533" s="37" t="str">
        <f t="shared" si="668"/>
        <v>Digital Payment</v>
      </c>
      <c r="P8533">
        <v>1203.45</v>
      </c>
      <c r="Q8533" s="37" t="str">
        <f>IF(P8533&gt;500,"High","low")</f>
        <v>High</v>
      </c>
      <c r="R8533" s="37" t="str">
        <f t="shared" si="669"/>
        <v>Excellent</v>
      </c>
      <c r="S8533" t="s">
        <v>609</v>
      </c>
    </row>
    <row r="8534" spans="1:19" x14ac:dyDescent="0.2">
      <c r="A8534" t="s">
        <v>9145</v>
      </c>
      <c r="B8534" t="s">
        <v>67</v>
      </c>
      <c r="C8534" t="s">
        <v>602</v>
      </c>
      <c r="D8534">
        <v>1642.96</v>
      </c>
      <c r="E8534" s="37" t="str">
        <f t="shared" si="665"/>
        <v xml:space="preserve"> </v>
      </c>
      <c r="F8534">
        <v>0.02</v>
      </c>
      <c r="G8534" s="37" t="str">
        <f t="shared" si="666"/>
        <v>Normal Discount</v>
      </c>
      <c r="H8534" s="37" t="str">
        <f t="shared" si="667"/>
        <v>Low</v>
      </c>
      <c r="I8534">
        <v>1</v>
      </c>
      <c r="J8534" t="str" cm="1">
        <f t="array" ref="J8534">_xlfn.IFS(I8534&lt;=3,"small",I8534&lt;=6,"Medium",I8534&lt;=9,"Large")</f>
        <v>small</v>
      </c>
      <c r="K8534" s="36">
        <v>45599</v>
      </c>
      <c r="L8534" s="36">
        <v>45604</v>
      </c>
      <c r="M8534" t="s">
        <v>598</v>
      </c>
      <c r="N8534" t="s">
        <v>608</v>
      </c>
      <c r="O8534" s="37" t="str">
        <f t="shared" si="668"/>
        <v>Cash Payment</v>
      </c>
      <c r="P8534">
        <v>99.07</v>
      </c>
      <c r="Q8534" s="37" t="str">
        <f>IF(P8534&gt;500,"High","low")</f>
        <v>low</v>
      </c>
      <c r="R8534" s="37" t="str">
        <f t="shared" si="669"/>
        <v>AVERAGE</v>
      </c>
      <c r="S8534" t="s">
        <v>620</v>
      </c>
    </row>
    <row r="8535" spans="1:19" x14ac:dyDescent="0.2">
      <c r="A8535" t="s">
        <v>9146</v>
      </c>
      <c r="B8535" t="s">
        <v>83</v>
      </c>
      <c r="C8535" t="s">
        <v>614</v>
      </c>
      <c r="D8535">
        <v>205.49</v>
      </c>
      <c r="E8535" s="37" t="str">
        <f t="shared" si="665"/>
        <v xml:space="preserve"> </v>
      </c>
      <c r="F8535">
        <v>0.15</v>
      </c>
      <c r="G8535" s="37" t="str">
        <f t="shared" si="666"/>
        <v>Normal Discount</v>
      </c>
      <c r="H8535" s="37" t="str">
        <f t="shared" si="667"/>
        <v>Low</v>
      </c>
      <c r="I8535">
        <v>6</v>
      </c>
      <c r="J8535" t="str" cm="1">
        <f t="array" ref="J8535">_xlfn.IFS(I8535&lt;=3,"small",I8535&lt;=6,"Medium",I8535&lt;=9,"Large")</f>
        <v>Medium</v>
      </c>
      <c r="K8535" s="36">
        <v>45198</v>
      </c>
      <c r="L8535" s="36">
        <v>45200</v>
      </c>
      <c r="M8535" t="s">
        <v>603</v>
      </c>
      <c r="N8535" t="s">
        <v>604</v>
      </c>
      <c r="O8535" s="37" t="str">
        <f t="shared" si="668"/>
        <v>Digital Payment</v>
      </c>
      <c r="P8535">
        <v>11.96</v>
      </c>
      <c r="Q8535" s="37" t="str">
        <f>IF(P8535&gt;500,"High","low")</f>
        <v>low</v>
      </c>
      <c r="R8535" s="37" t="str">
        <f t="shared" si="669"/>
        <v>AVERAGE</v>
      </c>
      <c r="S8535" t="s">
        <v>620</v>
      </c>
    </row>
    <row r="8536" spans="1:19" x14ac:dyDescent="0.2">
      <c r="A8536" t="s">
        <v>9147</v>
      </c>
      <c r="B8536" t="s">
        <v>83</v>
      </c>
      <c r="C8536" t="s">
        <v>602</v>
      </c>
      <c r="D8536">
        <v>4076.16</v>
      </c>
      <c r="E8536" s="37" t="str">
        <f t="shared" si="665"/>
        <v>Excellent Order</v>
      </c>
      <c r="F8536">
        <v>0.28000000000000003</v>
      </c>
      <c r="G8536" s="37" t="str">
        <f t="shared" si="666"/>
        <v>Normal Discount</v>
      </c>
      <c r="H8536" s="37" t="str">
        <f t="shared" si="667"/>
        <v>Medium</v>
      </c>
      <c r="I8536">
        <v>6</v>
      </c>
      <c r="J8536" t="str" cm="1">
        <f t="array" ref="J8536">_xlfn.IFS(I8536&lt;=3,"small",I8536&lt;=6,"Medium",I8536&lt;=9,"Large")</f>
        <v>Medium</v>
      </c>
      <c r="K8536" s="36">
        <v>45486</v>
      </c>
      <c r="L8536" s="36">
        <v>45488</v>
      </c>
      <c r="M8536" t="s">
        <v>612</v>
      </c>
      <c r="N8536" t="s">
        <v>608</v>
      </c>
      <c r="O8536" s="37" t="str">
        <f t="shared" si="668"/>
        <v>Cash Payment</v>
      </c>
      <c r="P8536">
        <v>948.24</v>
      </c>
      <c r="Q8536" s="37" t="str">
        <f>IF(P8536&gt;500,"High","low")</f>
        <v>High</v>
      </c>
      <c r="R8536" s="37" t="str">
        <f t="shared" si="669"/>
        <v>Good</v>
      </c>
      <c r="S8536" t="s">
        <v>600</v>
      </c>
    </row>
    <row r="8537" spans="1:19" x14ac:dyDescent="0.2">
      <c r="A8537" t="s">
        <v>9148</v>
      </c>
      <c r="B8537" t="s">
        <v>67</v>
      </c>
      <c r="C8537" t="s">
        <v>602</v>
      </c>
      <c r="D8537">
        <v>1192.5899999999999</v>
      </c>
      <c r="E8537" s="37" t="str">
        <f t="shared" si="665"/>
        <v xml:space="preserve"> </v>
      </c>
      <c r="F8537">
        <v>0.47</v>
      </c>
      <c r="G8537" s="37" t="str">
        <f t="shared" si="666"/>
        <v>Heavy Discount</v>
      </c>
      <c r="H8537" s="37" t="str">
        <f t="shared" si="667"/>
        <v>High</v>
      </c>
      <c r="I8537">
        <v>7</v>
      </c>
      <c r="J8537" t="str" cm="1">
        <f t="array" ref="J8537">_xlfn.IFS(I8537&lt;=3,"small",I8537&lt;=6,"Medium",I8537&lt;=9,"Large")</f>
        <v>Large</v>
      </c>
      <c r="K8537" s="36">
        <v>45217</v>
      </c>
      <c r="L8537" s="36">
        <v>45219</v>
      </c>
      <c r="M8537" t="s">
        <v>603</v>
      </c>
      <c r="N8537" t="s">
        <v>604</v>
      </c>
      <c r="O8537" s="37" t="str">
        <f t="shared" si="668"/>
        <v>Digital Payment</v>
      </c>
      <c r="P8537">
        <v>271.20999999999998</v>
      </c>
      <c r="Q8537" s="37" t="str">
        <f>IF(P8537&gt;500,"High","low")</f>
        <v>low</v>
      </c>
      <c r="R8537" s="37" t="str">
        <f t="shared" si="669"/>
        <v>AVERAGE</v>
      </c>
      <c r="S8537" t="s">
        <v>605</v>
      </c>
    </row>
    <row r="8538" spans="1:19" x14ac:dyDescent="0.2">
      <c r="A8538" t="s">
        <v>9149</v>
      </c>
      <c r="B8538" t="s">
        <v>90</v>
      </c>
      <c r="C8538" t="s">
        <v>607</v>
      </c>
      <c r="D8538">
        <v>2389.06</v>
      </c>
      <c r="E8538" s="37" t="str">
        <f t="shared" si="665"/>
        <v xml:space="preserve"> </v>
      </c>
      <c r="F8538">
        <v>0.5</v>
      </c>
      <c r="G8538" s="37" t="str">
        <f t="shared" si="666"/>
        <v>Heavy Discount</v>
      </c>
      <c r="H8538" s="37" t="str">
        <f t="shared" si="667"/>
        <v>High</v>
      </c>
      <c r="I8538">
        <v>9</v>
      </c>
      <c r="J8538" t="str" cm="1">
        <f t="array" ref="J8538">_xlfn.IFS(I8538&lt;=3,"small",I8538&lt;=6,"Medium",I8538&lt;=9,"Large")</f>
        <v>Large</v>
      </c>
      <c r="K8538" s="36">
        <v>44977</v>
      </c>
      <c r="L8538" s="36">
        <v>44978</v>
      </c>
      <c r="M8538" t="s">
        <v>612</v>
      </c>
      <c r="N8538" t="s">
        <v>608</v>
      </c>
      <c r="O8538" s="37" t="str">
        <f t="shared" si="668"/>
        <v>Cash Payment</v>
      </c>
      <c r="P8538">
        <v>133.43</v>
      </c>
      <c r="Q8538" s="37" t="str">
        <f>IF(P8538&gt;500,"High","low")</f>
        <v>low</v>
      </c>
      <c r="R8538" s="37" t="str">
        <f t="shared" si="669"/>
        <v>AVERAGE</v>
      </c>
      <c r="S8538" t="s">
        <v>628</v>
      </c>
    </row>
    <row r="8539" spans="1:19" x14ac:dyDescent="0.2">
      <c r="A8539" t="s">
        <v>9150</v>
      </c>
      <c r="B8539" t="s">
        <v>75</v>
      </c>
      <c r="C8539" t="s">
        <v>597</v>
      </c>
      <c r="D8539">
        <v>4104.87</v>
      </c>
      <c r="E8539" s="37" t="str">
        <f t="shared" si="665"/>
        <v xml:space="preserve"> </v>
      </c>
      <c r="F8539">
        <v>0.21</v>
      </c>
      <c r="G8539" s="37" t="str">
        <f t="shared" si="666"/>
        <v>Normal Discount</v>
      </c>
      <c r="H8539" s="37" t="str">
        <f t="shared" si="667"/>
        <v>Medium</v>
      </c>
      <c r="I8539">
        <v>9</v>
      </c>
      <c r="J8539" t="str" cm="1">
        <f t="array" ref="J8539">_xlfn.IFS(I8539&lt;=3,"small",I8539&lt;=6,"Medium",I8539&lt;=9,"Large")</f>
        <v>Large</v>
      </c>
      <c r="K8539" s="36">
        <v>45543</v>
      </c>
      <c r="L8539" s="36">
        <v>45549</v>
      </c>
      <c r="M8539" t="s">
        <v>612</v>
      </c>
      <c r="N8539" t="s">
        <v>608</v>
      </c>
      <c r="O8539" s="37" t="str">
        <f t="shared" si="668"/>
        <v>Cash Payment</v>
      </c>
      <c r="P8539">
        <v>705.76</v>
      </c>
      <c r="Q8539" s="37" t="str">
        <f>IF(P8539&gt;500,"High","low")</f>
        <v>High</v>
      </c>
      <c r="R8539" s="37" t="str">
        <f t="shared" si="669"/>
        <v>Good</v>
      </c>
      <c r="S8539" t="s">
        <v>600</v>
      </c>
    </row>
    <row r="8540" spans="1:19" x14ac:dyDescent="0.2">
      <c r="A8540" t="s">
        <v>9151</v>
      </c>
      <c r="B8540" t="s">
        <v>83</v>
      </c>
      <c r="C8540" t="s">
        <v>614</v>
      </c>
      <c r="D8540">
        <v>1159.06</v>
      </c>
      <c r="E8540" s="37" t="str">
        <f t="shared" si="665"/>
        <v xml:space="preserve"> </v>
      </c>
      <c r="F8540">
        <v>0.21</v>
      </c>
      <c r="G8540" s="37" t="str">
        <f t="shared" si="666"/>
        <v>Normal Discount</v>
      </c>
      <c r="H8540" s="37" t="str">
        <f t="shared" si="667"/>
        <v>Medium</v>
      </c>
      <c r="I8540">
        <v>4</v>
      </c>
      <c r="J8540" t="str" cm="1">
        <f t="array" ref="J8540">_xlfn.IFS(I8540&lt;=3,"small",I8540&lt;=6,"Medium",I8540&lt;=9,"Large")</f>
        <v>Medium</v>
      </c>
      <c r="K8540" s="36">
        <v>45273</v>
      </c>
      <c r="L8540" s="36">
        <v>45275</v>
      </c>
      <c r="M8540" t="s">
        <v>598</v>
      </c>
      <c r="N8540" t="s">
        <v>604</v>
      </c>
      <c r="O8540" s="37" t="str">
        <f t="shared" si="668"/>
        <v>Digital Payment</v>
      </c>
      <c r="P8540">
        <v>72.3</v>
      </c>
      <c r="Q8540" s="37" t="str">
        <f>IF(P8540&gt;500,"High","low")</f>
        <v>low</v>
      </c>
      <c r="R8540" s="37" t="str">
        <f t="shared" si="669"/>
        <v>AVERAGE</v>
      </c>
      <c r="S8540" t="s">
        <v>615</v>
      </c>
    </row>
    <row r="8541" spans="1:19" x14ac:dyDescent="0.2">
      <c r="A8541" t="s">
        <v>9152</v>
      </c>
      <c r="B8541" t="s">
        <v>90</v>
      </c>
      <c r="C8541" t="s">
        <v>614</v>
      </c>
      <c r="D8541">
        <v>1628.35</v>
      </c>
      <c r="E8541" s="37" t="str">
        <f t="shared" si="665"/>
        <v xml:space="preserve"> </v>
      </c>
      <c r="F8541">
        <v>0.08</v>
      </c>
      <c r="G8541" s="37" t="str">
        <f t="shared" si="666"/>
        <v>Normal Discount</v>
      </c>
      <c r="H8541" s="37" t="str">
        <f t="shared" si="667"/>
        <v>Low</v>
      </c>
      <c r="I8541">
        <v>2</v>
      </c>
      <c r="J8541" t="str" cm="1">
        <f t="array" ref="J8541">_xlfn.IFS(I8541&lt;=3,"small",I8541&lt;=6,"Medium",I8541&lt;=9,"Large")</f>
        <v>small</v>
      </c>
      <c r="K8541" s="36">
        <v>45354</v>
      </c>
      <c r="L8541" s="36">
        <v>45358</v>
      </c>
      <c r="M8541" t="s">
        <v>598</v>
      </c>
      <c r="N8541" t="s">
        <v>604</v>
      </c>
      <c r="O8541" s="37" t="str">
        <f t="shared" si="668"/>
        <v>Digital Payment</v>
      </c>
      <c r="P8541">
        <v>149.26</v>
      </c>
      <c r="Q8541" s="37" t="str">
        <f>IF(P8541&gt;500,"High","low")</f>
        <v>low</v>
      </c>
      <c r="R8541" s="37" t="str">
        <f t="shared" si="669"/>
        <v>AVERAGE</v>
      </c>
      <c r="S8541" t="s">
        <v>600</v>
      </c>
    </row>
    <row r="8542" spans="1:19" x14ac:dyDescent="0.2">
      <c r="A8542" t="s">
        <v>9153</v>
      </c>
      <c r="B8542" t="s">
        <v>83</v>
      </c>
      <c r="C8542" t="s">
        <v>614</v>
      </c>
      <c r="D8542">
        <v>2251.4899999999998</v>
      </c>
      <c r="E8542" s="37" t="str">
        <f t="shared" si="665"/>
        <v xml:space="preserve"> </v>
      </c>
      <c r="F8542">
        <v>0.25</v>
      </c>
      <c r="G8542" s="37" t="str">
        <f t="shared" si="666"/>
        <v>Normal Discount</v>
      </c>
      <c r="H8542" s="37" t="str">
        <f t="shared" si="667"/>
        <v>Medium</v>
      </c>
      <c r="I8542">
        <v>5</v>
      </c>
      <c r="J8542" t="str" cm="1">
        <f t="array" ref="J8542">_xlfn.IFS(I8542&lt;=3,"small",I8542&lt;=6,"Medium",I8542&lt;=9,"Large")</f>
        <v>Medium</v>
      </c>
      <c r="K8542" s="36">
        <v>45311</v>
      </c>
      <c r="L8542" s="36">
        <v>45313</v>
      </c>
      <c r="M8542" t="s">
        <v>603</v>
      </c>
      <c r="N8542" t="s">
        <v>604</v>
      </c>
      <c r="O8542" s="37" t="str">
        <f t="shared" si="668"/>
        <v>Digital Payment</v>
      </c>
      <c r="P8542">
        <v>654.51</v>
      </c>
      <c r="Q8542" s="37" t="str">
        <f>IF(P8542&gt;500,"High","low")</f>
        <v>High</v>
      </c>
      <c r="R8542" s="37" t="str">
        <f t="shared" si="669"/>
        <v>Good</v>
      </c>
      <c r="S8542" t="s">
        <v>600</v>
      </c>
    </row>
    <row r="8543" spans="1:19" x14ac:dyDescent="0.2">
      <c r="A8543" t="s">
        <v>9154</v>
      </c>
      <c r="B8543" t="s">
        <v>75</v>
      </c>
      <c r="C8543" t="s">
        <v>607</v>
      </c>
      <c r="D8543">
        <v>1431.94</v>
      </c>
      <c r="E8543" s="37" t="str">
        <f t="shared" si="665"/>
        <v xml:space="preserve"> </v>
      </c>
      <c r="F8543">
        <v>0.47</v>
      </c>
      <c r="G8543" s="37" t="str">
        <f t="shared" si="666"/>
        <v>Heavy Discount</v>
      </c>
      <c r="H8543" s="37" t="str">
        <f t="shared" si="667"/>
        <v>High</v>
      </c>
      <c r="I8543">
        <v>1</v>
      </c>
      <c r="J8543" t="str" cm="1">
        <f t="array" ref="J8543">_xlfn.IFS(I8543&lt;=3,"small",I8543&lt;=6,"Medium",I8543&lt;=9,"Large")</f>
        <v>small</v>
      </c>
      <c r="K8543" s="36">
        <v>45276</v>
      </c>
      <c r="L8543" s="36">
        <v>45281</v>
      </c>
      <c r="M8543" t="s">
        <v>598</v>
      </c>
      <c r="N8543" t="s">
        <v>599</v>
      </c>
      <c r="O8543" s="37" t="str">
        <f t="shared" si="668"/>
        <v>Digital Payment</v>
      </c>
      <c r="P8543">
        <v>193.37</v>
      </c>
      <c r="Q8543" s="37" t="str">
        <f>IF(P8543&gt;500,"High","low")</f>
        <v>low</v>
      </c>
      <c r="R8543" s="37" t="str">
        <f t="shared" si="669"/>
        <v>AVERAGE</v>
      </c>
      <c r="S8543" t="s">
        <v>605</v>
      </c>
    </row>
    <row r="8544" spans="1:19" x14ac:dyDescent="0.2">
      <c r="A8544" t="s">
        <v>9155</v>
      </c>
      <c r="B8544" t="s">
        <v>83</v>
      </c>
      <c r="C8544" t="s">
        <v>607</v>
      </c>
      <c r="D8544">
        <v>2360.4699999999998</v>
      </c>
      <c r="E8544" s="37" t="str">
        <f t="shared" si="665"/>
        <v xml:space="preserve"> </v>
      </c>
      <c r="F8544">
        <v>0.08</v>
      </c>
      <c r="G8544" s="37" t="str">
        <f t="shared" si="666"/>
        <v>Normal Discount</v>
      </c>
      <c r="H8544" s="37" t="str">
        <f t="shared" si="667"/>
        <v>Low</v>
      </c>
      <c r="I8544">
        <v>5</v>
      </c>
      <c r="J8544" t="str" cm="1">
        <f t="array" ref="J8544">_xlfn.IFS(I8544&lt;=3,"small",I8544&lt;=6,"Medium",I8544&lt;=9,"Large")</f>
        <v>Medium</v>
      </c>
      <c r="K8544" s="36">
        <v>45217</v>
      </c>
      <c r="L8544" s="36">
        <v>45222</v>
      </c>
      <c r="M8544" t="s">
        <v>598</v>
      </c>
      <c r="N8544" t="s">
        <v>599</v>
      </c>
      <c r="O8544" s="37" t="str">
        <f t="shared" si="668"/>
        <v>Digital Payment</v>
      </c>
      <c r="P8544">
        <v>394.99</v>
      </c>
      <c r="Q8544" s="37" t="str">
        <f>IF(P8544&gt;500,"High","low")</f>
        <v>low</v>
      </c>
      <c r="R8544" s="37" t="str">
        <f t="shared" si="669"/>
        <v>AVERAGE</v>
      </c>
      <c r="S8544" t="s">
        <v>615</v>
      </c>
    </row>
    <row r="8545" spans="1:19" x14ac:dyDescent="0.2">
      <c r="A8545" t="s">
        <v>9156</v>
      </c>
      <c r="B8545" t="s">
        <v>75</v>
      </c>
      <c r="C8545" t="s">
        <v>617</v>
      </c>
      <c r="D8545">
        <v>147.02000000000001</v>
      </c>
      <c r="E8545" s="37" t="str">
        <f t="shared" si="665"/>
        <v xml:space="preserve"> </v>
      </c>
      <c r="F8545">
        <v>0.13</v>
      </c>
      <c r="G8545" s="37" t="str">
        <f t="shared" si="666"/>
        <v>Normal Discount</v>
      </c>
      <c r="H8545" s="37" t="str">
        <f t="shared" si="667"/>
        <v>Low</v>
      </c>
      <c r="I8545">
        <v>3</v>
      </c>
      <c r="J8545" t="str" cm="1">
        <f t="array" ref="J8545">_xlfn.IFS(I8545&lt;=3,"small",I8545&lt;=6,"Medium",I8545&lt;=9,"Large")</f>
        <v>small</v>
      </c>
      <c r="K8545" s="36">
        <v>45437</v>
      </c>
      <c r="L8545" s="36">
        <v>45441</v>
      </c>
      <c r="M8545" t="s">
        <v>612</v>
      </c>
      <c r="N8545" t="s">
        <v>599</v>
      </c>
      <c r="O8545" s="37" t="str">
        <f t="shared" si="668"/>
        <v>Digital Payment</v>
      </c>
      <c r="P8545">
        <v>32.44</v>
      </c>
      <c r="Q8545" s="37" t="str">
        <f>IF(P8545&gt;500,"High","low")</f>
        <v>low</v>
      </c>
      <c r="R8545" s="37" t="str">
        <f t="shared" si="669"/>
        <v>AVERAGE</v>
      </c>
      <c r="S8545" t="s">
        <v>615</v>
      </c>
    </row>
    <row r="8546" spans="1:19" x14ac:dyDescent="0.2">
      <c r="A8546" t="s">
        <v>9157</v>
      </c>
      <c r="B8546" t="s">
        <v>75</v>
      </c>
      <c r="C8546" t="s">
        <v>607</v>
      </c>
      <c r="D8546">
        <v>1139.72</v>
      </c>
      <c r="E8546" s="37" t="str">
        <f t="shared" si="665"/>
        <v xml:space="preserve"> </v>
      </c>
      <c r="F8546">
        <v>0.45</v>
      </c>
      <c r="G8546" s="37" t="str">
        <f t="shared" si="666"/>
        <v>Heavy Discount</v>
      </c>
      <c r="H8546" s="37" t="str">
        <f t="shared" si="667"/>
        <v>High</v>
      </c>
      <c r="I8546">
        <v>7</v>
      </c>
      <c r="J8546" t="str" cm="1">
        <f t="array" ref="J8546">_xlfn.IFS(I8546&lt;=3,"small",I8546&lt;=6,"Medium",I8546&lt;=9,"Large")</f>
        <v>Large</v>
      </c>
      <c r="K8546" s="36">
        <v>45277</v>
      </c>
      <c r="L8546" s="36">
        <v>45280</v>
      </c>
      <c r="M8546" t="s">
        <v>598</v>
      </c>
      <c r="N8546" t="s">
        <v>599</v>
      </c>
      <c r="O8546" s="37" t="str">
        <f t="shared" si="668"/>
        <v>Digital Payment</v>
      </c>
      <c r="P8546">
        <v>319.22000000000003</v>
      </c>
      <c r="Q8546" s="37" t="str">
        <f>IF(P8546&gt;500,"High","low")</f>
        <v>low</v>
      </c>
      <c r="R8546" s="37" t="str">
        <f t="shared" si="669"/>
        <v>AVERAGE</v>
      </c>
      <c r="S8546" t="s">
        <v>600</v>
      </c>
    </row>
    <row r="8547" spans="1:19" x14ac:dyDescent="0.2">
      <c r="A8547" t="s">
        <v>9158</v>
      </c>
      <c r="B8547" t="s">
        <v>83</v>
      </c>
      <c r="C8547" t="s">
        <v>614</v>
      </c>
      <c r="D8547">
        <v>4179.51</v>
      </c>
      <c r="E8547" s="37" t="str">
        <f t="shared" si="665"/>
        <v xml:space="preserve"> </v>
      </c>
      <c r="F8547">
        <v>0.31</v>
      </c>
      <c r="G8547" s="37" t="str">
        <f t="shared" si="666"/>
        <v>Heavy Discount</v>
      </c>
      <c r="H8547" s="37" t="str">
        <f t="shared" si="667"/>
        <v>Medium</v>
      </c>
      <c r="I8547">
        <v>7</v>
      </c>
      <c r="J8547" t="str" cm="1">
        <f t="array" ref="J8547">_xlfn.IFS(I8547&lt;=3,"small",I8547&lt;=6,"Medium",I8547&lt;=9,"Large")</f>
        <v>Large</v>
      </c>
      <c r="K8547" s="36">
        <v>45450</v>
      </c>
      <c r="L8547" s="36">
        <v>45455</v>
      </c>
      <c r="M8547" t="s">
        <v>612</v>
      </c>
      <c r="N8547" t="s">
        <v>599</v>
      </c>
      <c r="O8547" s="37" t="str">
        <f t="shared" si="668"/>
        <v>Digital Payment</v>
      </c>
      <c r="P8547">
        <v>364.48</v>
      </c>
      <c r="Q8547" s="37" t="str">
        <f>IF(P8547&gt;500,"High","low")</f>
        <v>low</v>
      </c>
      <c r="R8547" s="37" t="str">
        <f t="shared" si="669"/>
        <v>AVERAGE</v>
      </c>
      <c r="S8547" t="s">
        <v>628</v>
      </c>
    </row>
    <row r="8548" spans="1:19" x14ac:dyDescent="0.2">
      <c r="A8548" t="s">
        <v>9159</v>
      </c>
      <c r="B8548" t="s">
        <v>83</v>
      </c>
      <c r="C8548" t="s">
        <v>617</v>
      </c>
      <c r="D8548">
        <v>2126.06</v>
      </c>
      <c r="E8548" s="37" t="str">
        <f t="shared" si="665"/>
        <v xml:space="preserve"> </v>
      </c>
      <c r="F8548">
        <v>0.17</v>
      </c>
      <c r="G8548" s="37" t="str">
        <f t="shared" si="666"/>
        <v>Normal Discount</v>
      </c>
      <c r="H8548" s="37" t="str">
        <f t="shared" si="667"/>
        <v>Low</v>
      </c>
      <c r="I8548">
        <v>3</v>
      </c>
      <c r="J8548" t="str" cm="1">
        <f t="array" ref="J8548">_xlfn.IFS(I8548&lt;=3,"small",I8548&lt;=6,"Medium",I8548&lt;=9,"Large")</f>
        <v>small</v>
      </c>
      <c r="K8548" s="36">
        <v>45542</v>
      </c>
      <c r="L8548" s="36">
        <v>45547</v>
      </c>
      <c r="M8548" t="s">
        <v>598</v>
      </c>
      <c r="N8548" t="s">
        <v>608</v>
      </c>
      <c r="O8548" s="37" t="str">
        <f t="shared" si="668"/>
        <v>Cash Payment</v>
      </c>
      <c r="P8548">
        <v>226.88</v>
      </c>
      <c r="Q8548" s="37" t="str">
        <f>IF(P8548&gt;500,"High","low")</f>
        <v>low</v>
      </c>
      <c r="R8548" s="37" t="str">
        <f t="shared" si="669"/>
        <v>AVERAGE</v>
      </c>
      <c r="S8548" t="s">
        <v>615</v>
      </c>
    </row>
    <row r="8549" spans="1:19" x14ac:dyDescent="0.2">
      <c r="A8549" t="s">
        <v>9160</v>
      </c>
      <c r="B8549" t="s">
        <v>75</v>
      </c>
      <c r="C8549" t="s">
        <v>597</v>
      </c>
      <c r="D8549">
        <v>3218.39</v>
      </c>
      <c r="E8549" s="37" t="str">
        <f t="shared" si="665"/>
        <v xml:space="preserve"> </v>
      </c>
      <c r="F8549">
        <v>0.41</v>
      </c>
      <c r="G8549" s="37" t="str">
        <f t="shared" si="666"/>
        <v>Heavy Discount</v>
      </c>
      <c r="H8549" s="37" t="str">
        <f t="shared" si="667"/>
        <v>High</v>
      </c>
      <c r="I8549">
        <v>5</v>
      </c>
      <c r="J8549" t="str" cm="1">
        <f t="array" ref="J8549">_xlfn.IFS(I8549&lt;=3,"small",I8549&lt;=6,"Medium",I8549&lt;=9,"Large")</f>
        <v>Medium</v>
      </c>
      <c r="K8549" s="36">
        <v>45473</v>
      </c>
      <c r="L8549" s="36">
        <v>45475</v>
      </c>
      <c r="M8549" t="s">
        <v>612</v>
      </c>
      <c r="N8549" t="s">
        <v>599</v>
      </c>
      <c r="O8549" s="37" t="str">
        <f t="shared" si="668"/>
        <v>Digital Payment</v>
      </c>
      <c r="P8549">
        <v>611.19000000000005</v>
      </c>
      <c r="Q8549" s="37" t="str">
        <f>IF(P8549&gt;500,"High","low")</f>
        <v>High</v>
      </c>
      <c r="R8549" s="37" t="str">
        <f t="shared" si="669"/>
        <v>Good</v>
      </c>
      <c r="S8549" t="s">
        <v>609</v>
      </c>
    </row>
    <row r="8550" spans="1:19" x14ac:dyDescent="0.2">
      <c r="A8550" t="s">
        <v>9161</v>
      </c>
      <c r="B8550" t="s">
        <v>90</v>
      </c>
      <c r="C8550" t="s">
        <v>602</v>
      </c>
      <c r="D8550">
        <v>1238.21</v>
      </c>
      <c r="E8550" s="37" t="str">
        <f t="shared" si="665"/>
        <v xml:space="preserve"> </v>
      </c>
      <c r="F8550">
        <v>0.05</v>
      </c>
      <c r="G8550" s="37" t="str">
        <f t="shared" si="666"/>
        <v>Normal Discount</v>
      </c>
      <c r="H8550" s="37" t="str">
        <f t="shared" si="667"/>
        <v>Low</v>
      </c>
      <c r="I8550">
        <v>9</v>
      </c>
      <c r="J8550" t="str" cm="1">
        <f t="array" ref="J8550">_xlfn.IFS(I8550&lt;=3,"small",I8550&lt;=6,"Medium",I8550&lt;=9,"Large")</f>
        <v>Large</v>
      </c>
      <c r="K8550" s="36">
        <v>45152</v>
      </c>
      <c r="L8550" s="36">
        <v>45154</v>
      </c>
      <c r="M8550" t="s">
        <v>598</v>
      </c>
      <c r="N8550" t="s">
        <v>604</v>
      </c>
      <c r="O8550" s="37" t="str">
        <f t="shared" si="668"/>
        <v>Digital Payment</v>
      </c>
      <c r="P8550">
        <v>266.5</v>
      </c>
      <c r="Q8550" s="37" t="str">
        <f>IF(P8550&gt;500,"High","low")</f>
        <v>low</v>
      </c>
      <c r="R8550" s="37" t="str">
        <f t="shared" si="669"/>
        <v>AVERAGE</v>
      </c>
      <c r="S8550" t="s">
        <v>615</v>
      </c>
    </row>
    <row r="8551" spans="1:19" x14ac:dyDescent="0.2">
      <c r="A8551" t="s">
        <v>9162</v>
      </c>
      <c r="B8551" t="s">
        <v>67</v>
      </c>
      <c r="C8551" t="s">
        <v>602</v>
      </c>
      <c r="D8551">
        <v>3284.41</v>
      </c>
      <c r="E8551" s="37" t="str">
        <f t="shared" si="665"/>
        <v xml:space="preserve"> </v>
      </c>
      <c r="F8551">
        <v>0.43</v>
      </c>
      <c r="G8551" s="37" t="str">
        <f t="shared" si="666"/>
        <v>Heavy Discount</v>
      </c>
      <c r="H8551" s="37" t="str">
        <f t="shared" si="667"/>
        <v>High</v>
      </c>
      <c r="I8551">
        <v>4</v>
      </c>
      <c r="J8551" t="str" cm="1">
        <f t="array" ref="J8551">_xlfn.IFS(I8551&lt;=3,"small",I8551&lt;=6,"Medium",I8551&lt;=9,"Large")</f>
        <v>Medium</v>
      </c>
      <c r="K8551" s="36">
        <v>45605</v>
      </c>
      <c r="L8551" s="36">
        <v>45610</v>
      </c>
      <c r="M8551" t="s">
        <v>612</v>
      </c>
      <c r="N8551" t="s">
        <v>608</v>
      </c>
      <c r="O8551" s="37" t="str">
        <f t="shared" si="668"/>
        <v>Cash Payment</v>
      </c>
      <c r="P8551">
        <v>521.49</v>
      </c>
      <c r="Q8551" s="37" t="str">
        <f>IF(P8551&gt;500,"High","low")</f>
        <v>High</v>
      </c>
      <c r="R8551" s="37" t="str">
        <f t="shared" si="669"/>
        <v>Good</v>
      </c>
      <c r="S8551" t="s">
        <v>620</v>
      </c>
    </row>
    <row r="8552" spans="1:19" x14ac:dyDescent="0.2">
      <c r="A8552" t="s">
        <v>9163</v>
      </c>
      <c r="B8552" t="s">
        <v>75</v>
      </c>
      <c r="C8552" t="s">
        <v>617</v>
      </c>
      <c r="D8552">
        <v>4999.87</v>
      </c>
      <c r="E8552" s="37" t="str">
        <f t="shared" si="665"/>
        <v>Excellent Order</v>
      </c>
      <c r="F8552">
        <v>0.26</v>
      </c>
      <c r="G8552" s="37" t="str">
        <f t="shared" si="666"/>
        <v>Normal Discount</v>
      </c>
      <c r="H8552" s="37" t="str">
        <f t="shared" si="667"/>
        <v>Medium</v>
      </c>
      <c r="I8552">
        <v>2</v>
      </c>
      <c r="J8552" t="str" cm="1">
        <f t="array" ref="J8552">_xlfn.IFS(I8552&lt;=3,"small",I8552&lt;=6,"Medium",I8552&lt;=9,"Large")</f>
        <v>small</v>
      </c>
      <c r="K8552" s="36">
        <v>45566</v>
      </c>
      <c r="L8552" s="36">
        <v>45570</v>
      </c>
      <c r="M8552" t="s">
        <v>603</v>
      </c>
      <c r="N8552" t="s">
        <v>599</v>
      </c>
      <c r="O8552" s="37" t="str">
        <f t="shared" si="668"/>
        <v>Digital Payment</v>
      </c>
      <c r="P8552">
        <v>1066.54</v>
      </c>
      <c r="Q8552" s="37" t="str">
        <f>IF(P8552&gt;500,"High","low")</f>
        <v>High</v>
      </c>
      <c r="R8552" s="37" t="str">
        <f t="shared" si="669"/>
        <v>Excellent</v>
      </c>
      <c r="S8552" t="s">
        <v>605</v>
      </c>
    </row>
    <row r="8553" spans="1:19" x14ac:dyDescent="0.2">
      <c r="A8553" t="s">
        <v>9164</v>
      </c>
      <c r="B8553" t="s">
        <v>83</v>
      </c>
      <c r="C8553" t="s">
        <v>597</v>
      </c>
      <c r="D8553">
        <v>3016.91</v>
      </c>
      <c r="E8553" s="37" t="str">
        <f t="shared" si="665"/>
        <v xml:space="preserve"> </v>
      </c>
      <c r="F8553">
        <v>0.38</v>
      </c>
      <c r="G8553" s="37" t="str">
        <f t="shared" si="666"/>
        <v>Heavy Discount</v>
      </c>
      <c r="H8553" s="37" t="str">
        <f t="shared" si="667"/>
        <v>Medium</v>
      </c>
      <c r="I8553">
        <v>3</v>
      </c>
      <c r="J8553" t="str" cm="1">
        <f t="array" ref="J8553">_xlfn.IFS(I8553&lt;=3,"small",I8553&lt;=6,"Medium",I8553&lt;=9,"Large")</f>
        <v>small</v>
      </c>
      <c r="K8553" s="36">
        <v>45278</v>
      </c>
      <c r="L8553" s="36">
        <v>45283</v>
      </c>
      <c r="M8553" t="s">
        <v>603</v>
      </c>
      <c r="N8553" t="s">
        <v>604</v>
      </c>
      <c r="O8553" s="37" t="str">
        <f t="shared" si="668"/>
        <v>Digital Payment</v>
      </c>
      <c r="P8553">
        <v>159.46</v>
      </c>
      <c r="Q8553" s="37" t="str">
        <f>IF(P8553&gt;500,"High","low")</f>
        <v>low</v>
      </c>
      <c r="R8553" s="37" t="str">
        <f t="shared" si="669"/>
        <v>AVERAGE</v>
      </c>
      <c r="S8553" t="s">
        <v>615</v>
      </c>
    </row>
    <row r="8554" spans="1:19" x14ac:dyDescent="0.2">
      <c r="A8554" t="s">
        <v>9165</v>
      </c>
      <c r="B8554" t="s">
        <v>83</v>
      </c>
      <c r="C8554" t="s">
        <v>602</v>
      </c>
      <c r="D8554">
        <v>3178.96</v>
      </c>
      <c r="E8554" s="37" t="str">
        <f t="shared" si="665"/>
        <v xml:space="preserve"> </v>
      </c>
      <c r="F8554">
        <v>0.26</v>
      </c>
      <c r="G8554" s="37" t="str">
        <f t="shared" si="666"/>
        <v>Normal Discount</v>
      </c>
      <c r="H8554" s="37" t="str">
        <f t="shared" si="667"/>
        <v>Medium</v>
      </c>
      <c r="I8554">
        <v>1</v>
      </c>
      <c r="J8554" t="str" cm="1">
        <f t="array" ref="J8554">_xlfn.IFS(I8554&lt;=3,"small",I8554&lt;=6,"Medium",I8554&lt;=9,"Large")</f>
        <v>small</v>
      </c>
      <c r="K8554" s="36">
        <v>45642</v>
      </c>
      <c r="L8554" s="36">
        <v>45644</v>
      </c>
      <c r="M8554" t="s">
        <v>598</v>
      </c>
      <c r="N8554" t="s">
        <v>599</v>
      </c>
      <c r="O8554" s="37" t="str">
        <f t="shared" si="668"/>
        <v>Digital Payment</v>
      </c>
      <c r="P8554">
        <v>316</v>
      </c>
      <c r="Q8554" s="37" t="str">
        <f>IF(P8554&gt;500,"High","low")</f>
        <v>low</v>
      </c>
      <c r="R8554" s="37" t="str">
        <f t="shared" si="669"/>
        <v>AVERAGE</v>
      </c>
      <c r="S8554" t="s">
        <v>615</v>
      </c>
    </row>
    <row r="8555" spans="1:19" x14ac:dyDescent="0.2">
      <c r="A8555" t="s">
        <v>9166</v>
      </c>
      <c r="B8555" t="s">
        <v>90</v>
      </c>
      <c r="C8555" t="s">
        <v>617</v>
      </c>
      <c r="D8555">
        <v>646.45000000000005</v>
      </c>
      <c r="E8555" s="37" t="str">
        <f t="shared" si="665"/>
        <v xml:space="preserve"> </v>
      </c>
      <c r="F8555">
        <v>0.12</v>
      </c>
      <c r="G8555" s="37" t="str">
        <f t="shared" si="666"/>
        <v>Normal Discount</v>
      </c>
      <c r="H8555" s="37" t="str">
        <f t="shared" si="667"/>
        <v>Low</v>
      </c>
      <c r="I8555">
        <v>5</v>
      </c>
      <c r="J8555" t="str" cm="1">
        <f t="array" ref="J8555">_xlfn.IFS(I8555&lt;=3,"small",I8555&lt;=6,"Medium",I8555&lt;=9,"Large")</f>
        <v>Medium</v>
      </c>
      <c r="K8555" s="36">
        <v>45355</v>
      </c>
      <c r="L8555" s="36">
        <v>45361</v>
      </c>
      <c r="M8555" t="s">
        <v>603</v>
      </c>
      <c r="N8555" t="s">
        <v>599</v>
      </c>
      <c r="O8555" s="37" t="str">
        <f t="shared" si="668"/>
        <v>Digital Payment</v>
      </c>
      <c r="P8555">
        <v>167.6</v>
      </c>
      <c r="Q8555" s="37" t="str">
        <f>IF(P8555&gt;500,"High","low")</f>
        <v>low</v>
      </c>
      <c r="R8555" s="37" t="str">
        <f t="shared" si="669"/>
        <v>AVERAGE</v>
      </c>
      <c r="S8555" t="s">
        <v>609</v>
      </c>
    </row>
    <row r="8556" spans="1:19" x14ac:dyDescent="0.2">
      <c r="A8556" t="s">
        <v>9167</v>
      </c>
      <c r="B8556" t="s">
        <v>67</v>
      </c>
      <c r="C8556" t="s">
        <v>607</v>
      </c>
      <c r="D8556">
        <v>2076.5700000000002</v>
      </c>
      <c r="E8556" s="37" t="str">
        <f t="shared" si="665"/>
        <v xml:space="preserve"> </v>
      </c>
      <c r="F8556">
        <v>0.32</v>
      </c>
      <c r="G8556" s="37" t="str">
        <f t="shared" si="666"/>
        <v>Heavy Discount</v>
      </c>
      <c r="H8556" s="37" t="str">
        <f t="shared" si="667"/>
        <v>Medium</v>
      </c>
      <c r="I8556">
        <v>9</v>
      </c>
      <c r="J8556" t="str" cm="1">
        <f t="array" ref="J8556">_xlfn.IFS(I8556&lt;=3,"small",I8556&lt;=6,"Medium",I8556&lt;=9,"Large")</f>
        <v>Large</v>
      </c>
      <c r="K8556" s="36">
        <v>45649</v>
      </c>
      <c r="L8556" s="36">
        <v>45651</v>
      </c>
      <c r="M8556" t="s">
        <v>603</v>
      </c>
      <c r="N8556" t="s">
        <v>604</v>
      </c>
      <c r="O8556" s="37" t="str">
        <f t="shared" si="668"/>
        <v>Digital Payment</v>
      </c>
      <c r="P8556">
        <v>496.25</v>
      </c>
      <c r="Q8556" s="37" t="str">
        <f>IF(P8556&gt;500,"High","low")</f>
        <v>low</v>
      </c>
      <c r="R8556" s="37" t="str">
        <f t="shared" si="669"/>
        <v>AVERAGE</v>
      </c>
      <c r="S8556" t="s">
        <v>628</v>
      </c>
    </row>
    <row r="8557" spans="1:19" x14ac:dyDescent="0.2">
      <c r="A8557" t="s">
        <v>9168</v>
      </c>
      <c r="B8557" t="s">
        <v>75</v>
      </c>
      <c r="C8557" t="s">
        <v>614</v>
      </c>
      <c r="D8557">
        <v>4317.55</v>
      </c>
      <c r="E8557" s="37" t="str">
        <f t="shared" si="665"/>
        <v>Excellent Order</v>
      </c>
      <c r="F8557">
        <v>0.08</v>
      </c>
      <c r="G8557" s="37" t="str">
        <f t="shared" si="666"/>
        <v>Normal Discount</v>
      </c>
      <c r="H8557" s="37" t="str">
        <f t="shared" si="667"/>
        <v>Low</v>
      </c>
      <c r="I8557">
        <v>2</v>
      </c>
      <c r="J8557" t="str" cm="1">
        <f t="array" ref="J8557">_xlfn.IFS(I8557&lt;=3,"small",I8557&lt;=6,"Medium",I8557&lt;=9,"Large")</f>
        <v>small</v>
      </c>
      <c r="K8557" s="36">
        <v>45396</v>
      </c>
      <c r="L8557" s="36">
        <v>45403</v>
      </c>
      <c r="M8557" t="s">
        <v>598</v>
      </c>
      <c r="N8557" t="s">
        <v>608</v>
      </c>
      <c r="O8557" s="37" t="str">
        <f t="shared" si="668"/>
        <v>Cash Payment</v>
      </c>
      <c r="P8557">
        <v>902.06</v>
      </c>
      <c r="Q8557" s="37" t="str">
        <f>IF(P8557&gt;500,"High","low")</f>
        <v>High</v>
      </c>
      <c r="R8557" s="37" t="str">
        <f t="shared" si="669"/>
        <v>Good</v>
      </c>
      <c r="S8557" t="s">
        <v>605</v>
      </c>
    </row>
    <row r="8558" spans="1:19" x14ac:dyDescent="0.2">
      <c r="A8558" t="s">
        <v>9169</v>
      </c>
      <c r="B8558" t="s">
        <v>75</v>
      </c>
      <c r="C8558" t="s">
        <v>597</v>
      </c>
      <c r="D8558">
        <v>4187.93</v>
      </c>
      <c r="E8558" s="37" t="str">
        <f t="shared" si="665"/>
        <v xml:space="preserve"> </v>
      </c>
      <c r="F8558">
        <v>0.11</v>
      </c>
      <c r="G8558" s="37" t="str">
        <f t="shared" si="666"/>
        <v>Normal Discount</v>
      </c>
      <c r="H8558" s="37" t="str">
        <f t="shared" si="667"/>
        <v>Low</v>
      </c>
      <c r="I8558">
        <v>3</v>
      </c>
      <c r="J8558" t="str" cm="1">
        <f t="array" ref="J8558">_xlfn.IFS(I8558&lt;=3,"small",I8558&lt;=6,"Medium",I8558&lt;=9,"Large")</f>
        <v>small</v>
      </c>
      <c r="K8558" s="36">
        <v>45449</v>
      </c>
      <c r="L8558" s="36">
        <v>45451</v>
      </c>
      <c r="M8558" t="s">
        <v>603</v>
      </c>
      <c r="N8558" t="s">
        <v>599</v>
      </c>
      <c r="O8558" s="37" t="str">
        <f t="shared" si="668"/>
        <v>Digital Payment</v>
      </c>
      <c r="P8558">
        <v>783.93</v>
      </c>
      <c r="Q8558" s="37" t="str">
        <f>IF(P8558&gt;500,"High","low")</f>
        <v>High</v>
      </c>
      <c r="R8558" s="37" t="str">
        <f t="shared" si="669"/>
        <v>Good</v>
      </c>
      <c r="S8558" t="s">
        <v>600</v>
      </c>
    </row>
    <row r="8559" spans="1:19" x14ac:dyDescent="0.2">
      <c r="A8559" t="s">
        <v>9170</v>
      </c>
      <c r="B8559" t="s">
        <v>67</v>
      </c>
      <c r="C8559" t="s">
        <v>602</v>
      </c>
      <c r="D8559">
        <v>2659.76</v>
      </c>
      <c r="E8559" s="37" t="str">
        <f t="shared" si="665"/>
        <v xml:space="preserve"> </v>
      </c>
      <c r="F8559">
        <v>0.27</v>
      </c>
      <c r="G8559" s="37" t="str">
        <f t="shared" si="666"/>
        <v>Normal Discount</v>
      </c>
      <c r="H8559" s="37" t="str">
        <f t="shared" si="667"/>
        <v>Medium</v>
      </c>
      <c r="I8559">
        <v>3</v>
      </c>
      <c r="J8559" t="str" cm="1">
        <f t="array" ref="J8559">_xlfn.IFS(I8559&lt;=3,"small",I8559&lt;=6,"Medium",I8559&lt;=9,"Large")</f>
        <v>small</v>
      </c>
      <c r="K8559" s="36">
        <v>45210</v>
      </c>
      <c r="L8559" s="36">
        <v>45217</v>
      </c>
      <c r="M8559" t="s">
        <v>612</v>
      </c>
      <c r="N8559" t="s">
        <v>608</v>
      </c>
      <c r="O8559" s="37" t="str">
        <f t="shared" si="668"/>
        <v>Cash Payment</v>
      </c>
      <c r="P8559">
        <v>266.08999999999997</v>
      </c>
      <c r="Q8559" s="37" t="str">
        <f>IF(P8559&gt;500,"High","low")</f>
        <v>low</v>
      </c>
      <c r="R8559" s="37" t="str">
        <f t="shared" si="669"/>
        <v>AVERAGE</v>
      </c>
      <c r="S8559" t="s">
        <v>609</v>
      </c>
    </row>
    <row r="8560" spans="1:19" x14ac:dyDescent="0.2">
      <c r="A8560" t="s">
        <v>9171</v>
      </c>
      <c r="B8560" t="s">
        <v>75</v>
      </c>
      <c r="C8560" t="s">
        <v>614</v>
      </c>
      <c r="D8560">
        <v>4526.93</v>
      </c>
      <c r="E8560" s="37" t="str">
        <f t="shared" si="665"/>
        <v xml:space="preserve"> </v>
      </c>
      <c r="F8560">
        <v>0.19</v>
      </c>
      <c r="G8560" s="37" t="str">
        <f t="shared" si="666"/>
        <v>Normal Discount</v>
      </c>
      <c r="H8560" s="37" t="str">
        <f t="shared" si="667"/>
        <v>Low</v>
      </c>
      <c r="I8560">
        <v>7</v>
      </c>
      <c r="J8560" t="str" cm="1">
        <f t="array" ref="J8560">_xlfn.IFS(I8560&lt;=3,"small",I8560&lt;=6,"Medium",I8560&lt;=9,"Large")</f>
        <v>Large</v>
      </c>
      <c r="K8560" s="36">
        <v>44946</v>
      </c>
      <c r="L8560" s="36">
        <v>44950</v>
      </c>
      <c r="M8560" t="s">
        <v>598</v>
      </c>
      <c r="N8560" t="s">
        <v>608</v>
      </c>
      <c r="O8560" s="37" t="str">
        <f t="shared" si="668"/>
        <v>Cash Payment</v>
      </c>
      <c r="P8560">
        <v>533.9</v>
      </c>
      <c r="Q8560" s="37" t="str">
        <f>IF(P8560&gt;500,"High","low")</f>
        <v>High</v>
      </c>
      <c r="R8560" s="37" t="str">
        <f t="shared" si="669"/>
        <v>Good</v>
      </c>
      <c r="S8560" t="s">
        <v>609</v>
      </c>
    </row>
    <row r="8561" spans="1:19" x14ac:dyDescent="0.2">
      <c r="A8561" t="s">
        <v>9172</v>
      </c>
      <c r="B8561" t="s">
        <v>67</v>
      </c>
      <c r="C8561" t="s">
        <v>617</v>
      </c>
      <c r="D8561">
        <v>800.39</v>
      </c>
      <c r="E8561" s="37" t="str">
        <f t="shared" si="665"/>
        <v xml:space="preserve"> </v>
      </c>
      <c r="F8561">
        <v>0.37</v>
      </c>
      <c r="G8561" s="37" t="str">
        <f t="shared" si="666"/>
        <v>Heavy Discount</v>
      </c>
      <c r="H8561" s="37" t="str">
        <f t="shared" si="667"/>
        <v>Medium</v>
      </c>
      <c r="I8561">
        <v>7</v>
      </c>
      <c r="J8561" t="str" cm="1">
        <f t="array" ref="J8561">_xlfn.IFS(I8561&lt;=3,"small",I8561&lt;=6,"Medium",I8561&lt;=9,"Large")</f>
        <v>Large</v>
      </c>
      <c r="K8561" s="36">
        <v>45298</v>
      </c>
      <c r="L8561" s="36">
        <v>45303</v>
      </c>
      <c r="M8561" t="s">
        <v>598</v>
      </c>
      <c r="N8561" t="s">
        <v>608</v>
      </c>
      <c r="O8561" s="37" t="str">
        <f t="shared" si="668"/>
        <v>Cash Payment</v>
      </c>
      <c r="P8561">
        <v>232.96</v>
      </c>
      <c r="Q8561" s="37" t="str">
        <f>IF(P8561&gt;500,"High","low")</f>
        <v>low</v>
      </c>
      <c r="R8561" s="37" t="str">
        <f t="shared" si="669"/>
        <v>AVERAGE</v>
      </c>
      <c r="S8561" t="s">
        <v>609</v>
      </c>
    </row>
    <row r="8562" spans="1:19" x14ac:dyDescent="0.2">
      <c r="A8562" t="s">
        <v>9173</v>
      </c>
      <c r="B8562" t="s">
        <v>83</v>
      </c>
      <c r="C8562" t="s">
        <v>602</v>
      </c>
      <c r="D8562">
        <v>3325.13</v>
      </c>
      <c r="E8562" s="37" t="str">
        <f t="shared" si="665"/>
        <v xml:space="preserve"> </v>
      </c>
      <c r="F8562">
        <v>0.28999999999999998</v>
      </c>
      <c r="G8562" s="37" t="str">
        <f t="shared" si="666"/>
        <v>Normal Discount</v>
      </c>
      <c r="H8562" s="37" t="str">
        <f t="shared" si="667"/>
        <v>Medium</v>
      </c>
      <c r="I8562">
        <v>1</v>
      </c>
      <c r="J8562" t="str" cm="1">
        <f t="array" ref="J8562">_xlfn.IFS(I8562&lt;=3,"small",I8562&lt;=6,"Medium",I8562&lt;=9,"Large")</f>
        <v>small</v>
      </c>
      <c r="K8562" s="36">
        <v>45240</v>
      </c>
      <c r="L8562" s="36">
        <v>45242</v>
      </c>
      <c r="M8562" t="s">
        <v>612</v>
      </c>
      <c r="N8562" t="s">
        <v>608</v>
      </c>
      <c r="O8562" s="37" t="str">
        <f t="shared" si="668"/>
        <v>Cash Payment</v>
      </c>
      <c r="P8562">
        <v>167.79</v>
      </c>
      <c r="Q8562" s="37" t="str">
        <f>IF(P8562&gt;500,"High","low")</f>
        <v>low</v>
      </c>
      <c r="R8562" s="37" t="str">
        <f t="shared" si="669"/>
        <v>AVERAGE</v>
      </c>
      <c r="S8562" t="s">
        <v>628</v>
      </c>
    </row>
    <row r="8563" spans="1:19" x14ac:dyDescent="0.2">
      <c r="A8563" t="s">
        <v>9174</v>
      </c>
      <c r="B8563" t="s">
        <v>67</v>
      </c>
      <c r="C8563" t="s">
        <v>614</v>
      </c>
      <c r="D8563">
        <v>1319.53</v>
      </c>
      <c r="E8563" s="37" t="str">
        <f t="shared" si="665"/>
        <v xml:space="preserve"> </v>
      </c>
      <c r="F8563">
        <v>0.19</v>
      </c>
      <c r="G8563" s="37" t="str">
        <f t="shared" si="666"/>
        <v>Normal Discount</v>
      </c>
      <c r="H8563" s="37" t="str">
        <f t="shared" si="667"/>
        <v>Low</v>
      </c>
      <c r="I8563">
        <v>3</v>
      </c>
      <c r="J8563" t="str" cm="1">
        <f t="array" ref="J8563">_xlfn.IFS(I8563&lt;=3,"small",I8563&lt;=6,"Medium",I8563&lt;=9,"Large")</f>
        <v>small</v>
      </c>
      <c r="K8563" s="36">
        <v>45347</v>
      </c>
      <c r="L8563" s="36">
        <v>45350</v>
      </c>
      <c r="M8563" t="s">
        <v>612</v>
      </c>
      <c r="N8563" t="s">
        <v>599</v>
      </c>
      <c r="O8563" s="37" t="str">
        <f t="shared" si="668"/>
        <v>Digital Payment</v>
      </c>
      <c r="P8563">
        <v>211.51</v>
      </c>
      <c r="Q8563" s="37" t="str">
        <f>IF(P8563&gt;500,"High","low")</f>
        <v>low</v>
      </c>
      <c r="R8563" s="37" t="str">
        <f t="shared" si="669"/>
        <v>AVERAGE</v>
      </c>
      <c r="S8563" t="s">
        <v>600</v>
      </c>
    </row>
    <row r="8564" spans="1:19" x14ac:dyDescent="0.2">
      <c r="A8564" t="s">
        <v>9175</v>
      </c>
      <c r="B8564" t="s">
        <v>75</v>
      </c>
      <c r="C8564" t="s">
        <v>607</v>
      </c>
      <c r="D8564">
        <v>3263.25</v>
      </c>
      <c r="E8564" s="37" t="str">
        <f t="shared" si="665"/>
        <v xml:space="preserve"> </v>
      </c>
      <c r="F8564">
        <v>0.16</v>
      </c>
      <c r="G8564" s="37" t="str">
        <f t="shared" si="666"/>
        <v>Normal Discount</v>
      </c>
      <c r="H8564" s="37" t="str">
        <f t="shared" si="667"/>
        <v>Low</v>
      </c>
      <c r="I8564">
        <v>1</v>
      </c>
      <c r="J8564" t="str" cm="1">
        <f t="array" ref="J8564">_xlfn.IFS(I8564&lt;=3,"small",I8564&lt;=6,"Medium",I8564&lt;=9,"Large")</f>
        <v>small</v>
      </c>
      <c r="K8564" s="36">
        <v>45339</v>
      </c>
      <c r="L8564" s="36">
        <v>45345</v>
      </c>
      <c r="M8564" t="s">
        <v>603</v>
      </c>
      <c r="N8564" t="s">
        <v>608</v>
      </c>
      <c r="O8564" s="37" t="str">
        <f t="shared" si="668"/>
        <v>Cash Payment</v>
      </c>
      <c r="P8564">
        <v>171.55</v>
      </c>
      <c r="Q8564" s="37" t="str">
        <f>IF(P8564&gt;500,"High","low")</f>
        <v>low</v>
      </c>
      <c r="R8564" s="37" t="str">
        <f t="shared" si="669"/>
        <v>AVERAGE</v>
      </c>
      <c r="S8564" t="s">
        <v>615</v>
      </c>
    </row>
    <row r="8565" spans="1:19" x14ac:dyDescent="0.2">
      <c r="A8565" t="s">
        <v>9176</v>
      </c>
      <c r="B8565" t="s">
        <v>67</v>
      </c>
      <c r="C8565" t="s">
        <v>597</v>
      </c>
      <c r="D8565">
        <v>528.26</v>
      </c>
      <c r="E8565" s="37" t="str">
        <f t="shared" si="665"/>
        <v xml:space="preserve"> </v>
      </c>
      <c r="F8565">
        <v>0.46</v>
      </c>
      <c r="G8565" s="37" t="str">
        <f t="shared" si="666"/>
        <v>Heavy Discount</v>
      </c>
      <c r="H8565" s="37" t="str">
        <f t="shared" si="667"/>
        <v>High</v>
      </c>
      <c r="I8565">
        <v>9</v>
      </c>
      <c r="J8565" t="str" cm="1">
        <f t="array" ref="J8565">_xlfn.IFS(I8565&lt;=3,"small",I8565&lt;=6,"Medium",I8565&lt;=9,"Large")</f>
        <v>Large</v>
      </c>
      <c r="K8565" s="36">
        <v>45002</v>
      </c>
      <c r="L8565" s="36">
        <v>45004</v>
      </c>
      <c r="M8565" t="s">
        <v>598</v>
      </c>
      <c r="N8565" t="s">
        <v>608</v>
      </c>
      <c r="O8565" s="37" t="str">
        <f t="shared" si="668"/>
        <v>Cash Payment</v>
      </c>
      <c r="P8565">
        <v>71.63</v>
      </c>
      <c r="Q8565" s="37" t="str">
        <f>IF(P8565&gt;500,"High","low")</f>
        <v>low</v>
      </c>
      <c r="R8565" s="37" t="str">
        <f t="shared" si="669"/>
        <v>AVERAGE</v>
      </c>
      <c r="S8565" t="s">
        <v>620</v>
      </c>
    </row>
    <row r="8566" spans="1:19" x14ac:dyDescent="0.2">
      <c r="A8566" t="s">
        <v>9177</v>
      </c>
      <c r="B8566" t="s">
        <v>90</v>
      </c>
      <c r="C8566" t="s">
        <v>617</v>
      </c>
      <c r="D8566">
        <v>4723.68</v>
      </c>
      <c r="E8566" s="37" t="str">
        <f t="shared" si="665"/>
        <v xml:space="preserve"> </v>
      </c>
      <c r="F8566">
        <v>0.02</v>
      </c>
      <c r="G8566" s="37" t="str">
        <f t="shared" si="666"/>
        <v>Normal Discount</v>
      </c>
      <c r="H8566" s="37" t="str">
        <f t="shared" si="667"/>
        <v>Low</v>
      </c>
      <c r="I8566">
        <v>7</v>
      </c>
      <c r="J8566" t="str" cm="1">
        <f t="array" ref="J8566">_xlfn.IFS(I8566&lt;=3,"small",I8566&lt;=6,"Medium",I8566&lt;=9,"Large")</f>
        <v>Large</v>
      </c>
      <c r="K8566" s="36">
        <v>45275</v>
      </c>
      <c r="L8566" s="36">
        <v>45276</v>
      </c>
      <c r="M8566" t="s">
        <v>603</v>
      </c>
      <c r="N8566" t="s">
        <v>604</v>
      </c>
      <c r="O8566" s="37" t="str">
        <f t="shared" si="668"/>
        <v>Digital Payment</v>
      </c>
      <c r="P8566">
        <v>620.03</v>
      </c>
      <c r="Q8566" s="37" t="str">
        <f>IF(P8566&gt;500,"High","low")</f>
        <v>High</v>
      </c>
      <c r="R8566" s="37" t="str">
        <f t="shared" si="669"/>
        <v>Good</v>
      </c>
      <c r="S8566" t="s">
        <v>605</v>
      </c>
    </row>
    <row r="8567" spans="1:19" x14ac:dyDescent="0.2">
      <c r="A8567" t="s">
        <v>9178</v>
      </c>
      <c r="B8567" t="s">
        <v>83</v>
      </c>
      <c r="C8567" t="s">
        <v>602</v>
      </c>
      <c r="D8567">
        <v>3953.03</v>
      </c>
      <c r="E8567" s="37" t="str">
        <f t="shared" si="665"/>
        <v xml:space="preserve"> </v>
      </c>
      <c r="F8567">
        <v>0.35</v>
      </c>
      <c r="G8567" s="37" t="str">
        <f t="shared" si="666"/>
        <v>Heavy Discount</v>
      </c>
      <c r="H8567" s="37" t="str">
        <f t="shared" si="667"/>
        <v>Medium</v>
      </c>
      <c r="I8567">
        <v>5</v>
      </c>
      <c r="J8567" t="str" cm="1">
        <f t="array" ref="J8567">_xlfn.IFS(I8567&lt;=3,"small",I8567&lt;=6,"Medium",I8567&lt;=9,"Large")</f>
        <v>Medium</v>
      </c>
      <c r="K8567" s="36">
        <v>45346</v>
      </c>
      <c r="L8567" s="36">
        <v>45353</v>
      </c>
      <c r="M8567" t="s">
        <v>598</v>
      </c>
      <c r="N8567" t="s">
        <v>608</v>
      </c>
      <c r="O8567" s="37" t="str">
        <f t="shared" si="668"/>
        <v>Cash Payment</v>
      </c>
      <c r="P8567">
        <v>312.14</v>
      </c>
      <c r="Q8567" s="37" t="str">
        <f>IF(P8567&gt;500,"High","low")</f>
        <v>low</v>
      </c>
      <c r="R8567" s="37" t="str">
        <f t="shared" si="669"/>
        <v>AVERAGE</v>
      </c>
      <c r="S8567" t="s">
        <v>609</v>
      </c>
    </row>
    <row r="8568" spans="1:19" x14ac:dyDescent="0.2">
      <c r="A8568" t="s">
        <v>9179</v>
      </c>
      <c r="B8568" t="s">
        <v>83</v>
      </c>
      <c r="C8568" t="s">
        <v>607</v>
      </c>
      <c r="D8568">
        <v>1084.71</v>
      </c>
      <c r="E8568" s="37" t="str">
        <f t="shared" si="665"/>
        <v xml:space="preserve"> </v>
      </c>
      <c r="F8568">
        <v>0.2</v>
      </c>
      <c r="G8568" s="37" t="str">
        <f t="shared" si="666"/>
        <v>Normal Discount</v>
      </c>
      <c r="H8568" s="37" t="str">
        <f t="shared" si="667"/>
        <v>Medium</v>
      </c>
      <c r="I8568">
        <v>7</v>
      </c>
      <c r="J8568" t="str" cm="1">
        <f t="array" ref="J8568">_xlfn.IFS(I8568&lt;=3,"small",I8568&lt;=6,"Medium",I8568&lt;=9,"Large")</f>
        <v>Large</v>
      </c>
      <c r="K8568" s="36">
        <v>45473</v>
      </c>
      <c r="L8568" s="36">
        <v>45476</v>
      </c>
      <c r="M8568" t="s">
        <v>598</v>
      </c>
      <c r="N8568" t="s">
        <v>608</v>
      </c>
      <c r="O8568" s="37" t="str">
        <f t="shared" si="668"/>
        <v>Cash Payment</v>
      </c>
      <c r="P8568">
        <v>73.06</v>
      </c>
      <c r="Q8568" s="37" t="str">
        <f>IF(P8568&gt;500,"High","low")</f>
        <v>low</v>
      </c>
      <c r="R8568" s="37" t="str">
        <f t="shared" si="669"/>
        <v>AVERAGE</v>
      </c>
      <c r="S8568" t="s">
        <v>600</v>
      </c>
    </row>
    <row r="8569" spans="1:19" x14ac:dyDescent="0.2">
      <c r="A8569" t="s">
        <v>9180</v>
      </c>
      <c r="B8569" t="s">
        <v>67</v>
      </c>
      <c r="C8569" t="s">
        <v>597</v>
      </c>
      <c r="D8569">
        <v>3222.66</v>
      </c>
      <c r="E8569" s="37" t="str">
        <f t="shared" si="665"/>
        <v xml:space="preserve"> </v>
      </c>
      <c r="F8569">
        <v>0.19</v>
      </c>
      <c r="G8569" s="37" t="str">
        <f t="shared" si="666"/>
        <v>Normal Discount</v>
      </c>
      <c r="H8569" s="37" t="str">
        <f t="shared" si="667"/>
        <v>Low</v>
      </c>
      <c r="I8569">
        <v>3</v>
      </c>
      <c r="J8569" t="str" cm="1">
        <f t="array" ref="J8569">_xlfn.IFS(I8569&lt;=3,"small",I8569&lt;=6,"Medium",I8569&lt;=9,"Large")</f>
        <v>small</v>
      </c>
      <c r="K8569" s="36">
        <v>45545</v>
      </c>
      <c r="L8569" s="36">
        <v>45547</v>
      </c>
      <c r="M8569" t="s">
        <v>598</v>
      </c>
      <c r="N8569" t="s">
        <v>599</v>
      </c>
      <c r="O8569" s="37" t="str">
        <f t="shared" si="668"/>
        <v>Digital Payment</v>
      </c>
      <c r="P8569">
        <v>847.68</v>
      </c>
      <c r="Q8569" s="37" t="str">
        <f>IF(P8569&gt;500,"High","low")</f>
        <v>High</v>
      </c>
      <c r="R8569" s="37" t="str">
        <f t="shared" si="669"/>
        <v>Good</v>
      </c>
      <c r="S8569" t="s">
        <v>628</v>
      </c>
    </row>
    <row r="8570" spans="1:19" x14ac:dyDescent="0.2">
      <c r="A8570" t="s">
        <v>9181</v>
      </c>
      <c r="B8570" t="s">
        <v>75</v>
      </c>
      <c r="C8570" t="s">
        <v>597</v>
      </c>
      <c r="D8570">
        <v>3819.81</v>
      </c>
      <c r="E8570" s="37" t="str">
        <f t="shared" si="665"/>
        <v xml:space="preserve"> </v>
      </c>
      <c r="F8570">
        <v>0.33</v>
      </c>
      <c r="G8570" s="37" t="str">
        <f t="shared" si="666"/>
        <v>Heavy Discount</v>
      </c>
      <c r="H8570" s="37" t="str">
        <f t="shared" si="667"/>
        <v>Medium</v>
      </c>
      <c r="I8570">
        <v>3</v>
      </c>
      <c r="J8570" t="str" cm="1">
        <f t="array" ref="J8570">_xlfn.IFS(I8570&lt;=3,"small",I8570&lt;=6,"Medium",I8570&lt;=9,"Large")</f>
        <v>small</v>
      </c>
      <c r="K8570" s="36">
        <v>45588</v>
      </c>
      <c r="L8570" s="36">
        <v>45589</v>
      </c>
      <c r="M8570" t="s">
        <v>603</v>
      </c>
      <c r="N8570" t="s">
        <v>608</v>
      </c>
      <c r="O8570" s="37" t="str">
        <f t="shared" si="668"/>
        <v>Cash Payment</v>
      </c>
      <c r="P8570">
        <v>500.58</v>
      </c>
      <c r="Q8570" s="37" t="str">
        <f>IF(P8570&gt;500,"High","low")</f>
        <v>High</v>
      </c>
      <c r="R8570" s="37" t="str">
        <f t="shared" si="669"/>
        <v>Good</v>
      </c>
      <c r="S8570" t="s">
        <v>628</v>
      </c>
    </row>
    <row r="8571" spans="1:19" x14ac:dyDescent="0.2">
      <c r="A8571" t="s">
        <v>9182</v>
      </c>
      <c r="B8571" t="s">
        <v>90</v>
      </c>
      <c r="C8571" t="s">
        <v>607</v>
      </c>
      <c r="D8571">
        <v>1126.28</v>
      </c>
      <c r="E8571" s="37" t="str">
        <f t="shared" si="665"/>
        <v xml:space="preserve"> </v>
      </c>
      <c r="F8571">
        <v>0.43</v>
      </c>
      <c r="G8571" s="37" t="str">
        <f t="shared" si="666"/>
        <v>Heavy Discount</v>
      </c>
      <c r="H8571" s="37" t="str">
        <f t="shared" si="667"/>
        <v>High</v>
      </c>
      <c r="I8571">
        <v>1</v>
      </c>
      <c r="J8571" t="str" cm="1">
        <f t="array" ref="J8571">_xlfn.IFS(I8571&lt;=3,"small",I8571&lt;=6,"Medium",I8571&lt;=9,"Large")</f>
        <v>small</v>
      </c>
      <c r="K8571" s="36">
        <v>45200</v>
      </c>
      <c r="L8571" s="36">
        <v>45204</v>
      </c>
      <c r="M8571" t="s">
        <v>598</v>
      </c>
      <c r="N8571" t="s">
        <v>604</v>
      </c>
      <c r="O8571" s="37" t="str">
        <f t="shared" si="668"/>
        <v>Digital Payment</v>
      </c>
      <c r="P8571">
        <v>213.91</v>
      </c>
      <c r="Q8571" s="37" t="str">
        <f>IF(P8571&gt;500,"High","low")</f>
        <v>low</v>
      </c>
      <c r="R8571" s="37" t="str">
        <f t="shared" si="669"/>
        <v>AVERAGE</v>
      </c>
      <c r="S8571" t="s">
        <v>600</v>
      </c>
    </row>
    <row r="8572" spans="1:19" x14ac:dyDescent="0.2">
      <c r="A8572" t="s">
        <v>9183</v>
      </c>
      <c r="B8572" t="s">
        <v>83</v>
      </c>
      <c r="C8572" t="s">
        <v>602</v>
      </c>
      <c r="D8572">
        <v>557.32000000000005</v>
      </c>
      <c r="E8572" s="37" t="str">
        <f t="shared" si="665"/>
        <v xml:space="preserve"> </v>
      </c>
      <c r="F8572">
        <v>0.36</v>
      </c>
      <c r="G8572" s="37" t="str">
        <f t="shared" si="666"/>
        <v>Heavy Discount</v>
      </c>
      <c r="H8572" s="37" t="str">
        <f t="shared" si="667"/>
        <v>Medium</v>
      </c>
      <c r="I8572">
        <v>5</v>
      </c>
      <c r="J8572" t="str" cm="1">
        <f t="array" ref="J8572">_xlfn.IFS(I8572&lt;=3,"small",I8572&lt;=6,"Medium",I8572&lt;=9,"Large")</f>
        <v>Medium</v>
      </c>
      <c r="K8572" s="36">
        <v>45367</v>
      </c>
      <c r="L8572" s="36">
        <v>45368</v>
      </c>
      <c r="M8572" t="s">
        <v>603</v>
      </c>
      <c r="N8572" t="s">
        <v>604</v>
      </c>
      <c r="O8572" s="37" t="str">
        <f t="shared" si="668"/>
        <v>Digital Payment</v>
      </c>
      <c r="P8572">
        <v>133.33000000000001</v>
      </c>
      <c r="Q8572" s="37" t="str">
        <f>IF(P8572&gt;500,"High","low")</f>
        <v>low</v>
      </c>
      <c r="R8572" s="37" t="str">
        <f t="shared" si="669"/>
        <v>AVERAGE</v>
      </c>
      <c r="S8572" t="s">
        <v>609</v>
      </c>
    </row>
    <row r="8573" spans="1:19" x14ac:dyDescent="0.2">
      <c r="A8573" t="s">
        <v>9184</v>
      </c>
      <c r="B8573" t="s">
        <v>83</v>
      </c>
      <c r="C8573" t="s">
        <v>597</v>
      </c>
      <c r="D8573">
        <v>1823.72</v>
      </c>
      <c r="E8573" s="37" t="str">
        <f t="shared" si="665"/>
        <v xml:space="preserve"> </v>
      </c>
      <c r="F8573">
        <v>0.34</v>
      </c>
      <c r="G8573" s="37" t="str">
        <f t="shared" si="666"/>
        <v>Heavy Discount</v>
      </c>
      <c r="H8573" s="37" t="str">
        <f t="shared" si="667"/>
        <v>Medium</v>
      </c>
      <c r="I8573">
        <v>7</v>
      </c>
      <c r="J8573" t="str" cm="1">
        <f t="array" ref="J8573">_xlfn.IFS(I8573&lt;=3,"small",I8573&lt;=6,"Medium",I8573&lt;=9,"Large")</f>
        <v>Large</v>
      </c>
      <c r="K8573" s="36">
        <v>45012</v>
      </c>
      <c r="L8573" s="36">
        <v>45017</v>
      </c>
      <c r="M8573" t="s">
        <v>598</v>
      </c>
      <c r="N8573" t="s">
        <v>604</v>
      </c>
      <c r="O8573" s="37" t="str">
        <f t="shared" si="668"/>
        <v>Digital Payment</v>
      </c>
      <c r="P8573">
        <v>336.82</v>
      </c>
      <c r="Q8573" s="37" t="str">
        <f>IF(P8573&gt;500,"High","low")</f>
        <v>low</v>
      </c>
      <c r="R8573" s="37" t="str">
        <f t="shared" si="669"/>
        <v>AVERAGE</v>
      </c>
      <c r="S8573" t="s">
        <v>620</v>
      </c>
    </row>
    <row r="8574" spans="1:19" x14ac:dyDescent="0.2">
      <c r="A8574" t="s">
        <v>9185</v>
      </c>
      <c r="B8574" t="s">
        <v>75</v>
      </c>
      <c r="C8574" t="s">
        <v>617</v>
      </c>
      <c r="D8574">
        <v>765.2</v>
      </c>
      <c r="E8574" s="37" t="str">
        <f t="shared" si="665"/>
        <v xml:space="preserve"> </v>
      </c>
      <c r="F8574">
        <v>0.25</v>
      </c>
      <c r="G8574" s="37" t="str">
        <f t="shared" si="666"/>
        <v>Normal Discount</v>
      </c>
      <c r="H8574" s="37" t="str">
        <f t="shared" si="667"/>
        <v>Medium</v>
      </c>
      <c r="I8574">
        <v>3</v>
      </c>
      <c r="J8574" t="str" cm="1">
        <f t="array" ref="J8574">_xlfn.IFS(I8574&lt;=3,"small",I8574&lt;=6,"Medium",I8574&lt;=9,"Large")</f>
        <v>small</v>
      </c>
      <c r="K8574" s="36">
        <v>45521</v>
      </c>
      <c r="L8574" s="36">
        <v>45527</v>
      </c>
      <c r="M8574" t="s">
        <v>612</v>
      </c>
      <c r="N8574" t="s">
        <v>608</v>
      </c>
      <c r="O8574" s="37" t="str">
        <f t="shared" si="668"/>
        <v>Cash Payment</v>
      </c>
      <c r="P8574">
        <v>121.93</v>
      </c>
      <c r="Q8574" s="37" t="str">
        <f>IF(P8574&gt;500,"High","low")</f>
        <v>low</v>
      </c>
      <c r="R8574" s="37" t="str">
        <f t="shared" si="669"/>
        <v>AVERAGE</v>
      </c>
      <c r="S8574" t="s">
        <v>605</v>
      </c>
    </row>
    <row r="8575" spans="1:19" x14ac:dyDescent="0.2">
      <c r="A8575" t="s">
        <v>9186</v>
      </c>
      <c r="B8575" t="s">
        <v>75</v>
      </c>
      <c r="C8575" t="s">
        <v>614</v>
      </c>
      <c r="D8575">
        <v>2871.99</v>
      </c>
      <c r="E8575" s="37" t="str">
        <f t="shared" si="665"/>
        <v xml:space="preserve"> </v>
      </c>
      <c r="F8575">
        <v>0.23</v>
      </c>
      <c r="G8575" s="37" t="str">
        <f t="shared" si="666"/>
        <v>Normal Discount</v>
      </c>
      <c r="H8575" s="37" t="str">
        <f t="shared" si="667"/>
        <v>Medium</v>
      </c>
      <c r="I8575">
        <v>5</v>
      </c>
      <c r="J8575" t="str" cm="1">
        <f t="array" ref="J8575">_xlfn.IFS(I8575&lt;=3,"small",I8575&lt;=6,"Medium",I8575&lt;=9,"Large")</f>
        <v>Medium</v>
      </c>
      <c r="K8575" s="36">
        <v>45472</v>
      </c>
      <c r="L8575" s="36">
        <v>45477</v>
      </c>
      <c r="M8575" t="s">
        <v>603</v>
      </c>
      <c r="N8575" t="s">
        <v>604</v>
      </c>
      <c r="O8575" s="37" t="str">
        <f t="shared" si="668"/>
        <v>Digital Payment</v>
      </c>
      <c r="P8575">
        <v>494.8</v>
      </c>
      <c r="Q8575" s="37" t="str">
        <f>IF(P8575&gt;500,"High","low")</f>
        <v>low</v>
      </c>
      <c r="R8575" s="37" t="str">
        <f t="shared" si="669"/>
        <v>AVERAGE</v>
      </c>
      <c r="S8575" t="s">
        <v>605</v>
      </c>
    </row>
    <row r="8576" spans="1:19" x14ac:dyDescent="0.2">
      <c r="A8576" t="s">
        <v>9187</v>
      </c>
      <c r="B8576" t="s">
        <v>90</v>
      </c>
      <c r="C8576" t="s">
        <v>617</v>
      </c>
      <c r="D8576">
        <v>2178.16</v>
      </c>
      <c r="E8576" s="37" t="str">
        <f t="shared" si="665"/>
        <v xml:space="preserve"> </v>
      </c>
      <c r="F8576">
        <v>0.23</v>
      </c>
      <c r="G8576" s="37" t="str">
        <f t="shared" si="666"/>
        <v>Normal Discount</v>
      </c>
      <c r="H8576" s="37" t="str">
        <f t="shared" si="667"/>
        <v>Medium</v>
      </c>
      <c r="I8576">
        <v>1</v>
      </c>
      <c r="J8576" t="str" cm="1">
        <f t="array" ref="J8576">_xlfn.IFS(I8576&lt;=3,"small",I8576&lt;=6,"Medium",I8576&lt;=9,"Large")</f>
        <v>small</v>
      </c>
      <c r="K8576" s="36">
        <v>45383</v>
      </c>
      <c r="L8576" s="36">
        <v>45387</v>
      </c>
      <c r="M8576" t="s">
        <v>598</v>
      </c>
      <c r="N8576" t="s">
        <v>599</v>
      </c>
      <c r="O8576" s="37" t="str">
        <f t="shared" si="668"/>
        <v>Digital Payment</v>
      </c>
      <c r="P8576">
        <v>563.84</v>
      </c>
      <c r="Q8576" s="37" t="str">
        <f>IF(P8576&gt;500,"High","low")</f>
        <v>High</v>
      </c>
      <c r="R8576" s="37" t="str">
        <f t="shared" si="669"/>
        <v>Good</v>
      </c>
      <c r="S8576" t="s">
        <v>628</v>
      </c>
    </row>
    <row r="8577" spans="1:19" x14ac:dyDescent="0.2">
      <c r="A8577" t="s">
        <v>9188</v>
      </c>
      <c r="B8577" t="s">
        <v>67</v>
      </c>
      <c r="C8577" t="s">
        <v>597</v>
      </c>
      <c r="D8577">
        <v>2365.88</v>
      </c>
      <c r="E8577" s="37" t="str">
        <f t="shared" si="665"/>
        <v xml:space="preserve"> </v>
      </c>
      <c r="F8577">
        <v>7.0000000000000007E-2</v>
      </c>
      <c r="G8577" s="37" t="str">
        <f t="shared" si="666"/>
        <v>Normal Discount</v>
      </c>
      <c r="H8577" s="37" t="str">
        <f t="shared" si="667"/>
        <v>Low</v>
      </c>
      <c r="I8577">
        <v>7</v>
      </c>
      <c r="J8577" t="str" cm="1">
        <f t="array" ref="J8577">_xlfn.IFS(I8577&lt;=3,"small",I8577&lt;=6,"Medium",I8577&lt;=9,"Large")</f>
        <v>Large</v>
      </c>
      <c r="K8577" s="36">
        <v>45256</v>
      </c>
      <c r="L8577" s="36">
        <v>45260</v>
      </c>
      <c r="M8577" t="s">
        <v>612</v>
      </c>
      <c r="N8577" t="s">
        <v>608</v>
      </c>
      <c r="O8577" s="37" t="str">
        <f t="shared" si="668"/>
        <v>Cash Payment</v>
      </c>
      <c r="P8577">
        <v>432.23</v>
      </c>
      <c r="Q8577" s="37" t="str">
        <f>IF(P8577&gt;500,"High","low")</f>
        <v>low</v>
      </c>
      <c r="R8577" s="37" t="str">
        <f t="shared" si="669"/>
        <v>AVERAGE</v>
      </c>
      <c r="S8577" t="s">
        <v>615</v>
      </c>
    </row>
    <row r="8578" spans="1:19" x14ac:dyDescent="0.2">
      <c r="A8578" t="s">
        <v>9189</v>
      </c>
      <c r="B8578" t="s">
        <v>75</v>
      </c>
      <c r="C8578" t="s">
        <v>614</v>
      </c>
      <c r="D8578">
        <v>2760.03</v>
      </c>
      <c r="E8578" s="37" t="str">
        <f t="shared" si="665"/>
        <v xml:space="preserve"> </v>
      </c>
      <c r="F8578">
        <v>0.28000000000000003</v>
      </c>
      <c r="G8578" s="37" t="str">
        <f t="shared" si="666"/>
        <v>Normal Discount</v>
      </c>
      <c r="H8578" s="37" t="str">
        <f t="shared" si="667"/>
        <v>Medium</v>
      </c>
      <c r="I8578">
        <v>8</v>
      </c>
      <c r="J8578" t="str" cm="1">
        <f t="array" ref="J8578">_xlfn.IFS(I8578&lt;=3,"small",I8578&lt;=6,"Medium",I8578&lt;=9,"Large")</f>
        <v>Large</v>
      </c>
      <c r="K8578" s="36">
        <v>45009</v>
      </c>
      <c r="L8578" s="36">
        <v>45013</v>
      </c>
      <c r="M8578" t="s">
        <v>603</v>
      </c>
      <c r="N8578" t="s">
        <v>599</v>
      </c>
      <c r="O8578" s="37" t="str">
        <f t="shared" si="668"/>
        <v>Digital Payment</v>
      </c>
      <c r="P8578">
        <v>264.94</v>
      </c>
      <c r="Q8578" s="37" t="str">
        <f>IF(P8578&gt;500,"High","low")</f>
        <v>low</v>
      </c>
      <c r="R8578" s="37" t="str">
        <f t="shared" si="669"/>
        <v>AVERAGE</v>
      </c>
      <c r="S8578" t="s">
        <v>628</v>
      </c>
    </row>
    <row r="8579" spans="1:19" x14ac:dyDescent="0.2">
      <c r="A8579" t="s">
        <v>9190</v>
      </c>
      <c r="B8579" t="s">
        <v>67</v>
      </c>
      <c r="C8579" t="s">
        <v>607</v>
      </c>
      <c r="D8579">
        <v>4912.0600000000004</v>
      </c>
      <c r="E8579" s="37" t="str">
        <f t="shared" ref="E8579:E8642" si="670">IF(AND(D8579&gt;4000,P8579&gt;800),"Excellent Order"," ")</f>
        <v xml:space="preserve"> </v>
      </c>
      <c r="F8579">
        <v>0.16</v>
      </c>
      <c r="G8579" s="37" t="str">
        <f t="shared" ref="G8579:G8642" si="671">IF(F8579&gt;30%,"Heavy Discount","Normal Discount")</f>
        <v>Normal Discount</v>
      </c>
      <c r="H8579" s="37" t="str">
        <f t="shared" ref="H8579:H8642" si="672">IF(F8579&gt;0.4,"High",IF(F8579&gt;=0.2,"Medium","Low"))</f>
        <v>Low</v>
      </c>
      <c r="I8579">
        <v>8</v>
      </c>
      <c r="J8579" t="str" cm="1">
        <f t="array" ref="J8579">_xlfn.IFS(I8579&lt;=3,"small",I8579&lt;=6,"Medium",I8579&lt;=9,"Large")</f>
        <v>Large</v>
      </c>
      <c r="K8579" s="36">
        <v>45540</v>
      </c>
      <c r="L8579" s="36">
        <v>45541</v>
      </c>
      <c r="M8579" t="s">
        <v>612</v>
      </c>
      <c r="N8579" t="s">
        <v>608</v>
      </c>
      <c r="O8579" s="37" t="str">
        <f t="shared" ref="O8579:O8642" si="673">IF(OR(N8579="Card",N8579="UPI"),"Digital Payment","Cash Payment")</f>
        <v>Cash Payment</v>
      </c>
      <c r="P8579">
        <v>473.77</v>
      </c>
      <c r="Q8579" s="37" t="str">
        <f>IF(P8579&gt;500,"High","low")</f>
        <v>low</v>
      </c>
      <c r="R8579" s="37" t="str">
        <f t="shared" ref="R8579:R8642" si="674">IF(P8579&gt;1000,"Excellent",IF(P8579&gt;=500,"Good","AVERAGE"))</f>
        <v>AVERAGE</v>
      </c>
      <c r="S8579" t="s">
        <v>620</v>
      </c>
    </row>
    <row r="8580" spans="1:19" x14ac:dyDescent="0.2">
      <c r="A8580" t="s">
        <v>9191</v>
      </c>
      <c r="B8580" t="s">
        <v>90</v>
      </c>
      <c r="C8580" t="s">
        <v>614</v>
      </c>
      <c r="D8580">
        <v>3983.91</v>
      </c>
      <c r="E8580" s="37" t="str">
        <f t="shared" si="670"/>
        <v xml:space="preserve"> </v>
      </c>
      <c r="F8580">
        <v>0.31</v>
      </c>
      <c r="G8580" s="37" t="str">
        <f t="shared" si="671"/>
        <v>Heavy Discount</v>
      </c>
      <c r="H8580" s="37" t="str">
        <f t="shared" si="672"/>
        <v>Medium</v>
      </c>
      <c r="I8580">
        <v>1</v>
      </c>
      <c r="J8580" t="str" cm="1">
        <f t="array" ref="J8580">_xlfn.IFS(I8580&lt;=3,"small",I8580&lt;=6,"Medium",I8580&lt;=9,"Large")</f>
        <v>small</v>
      </c>
      <c r="K8580" s="36">
        <v>45447</v>
      </c>
      <c r="L8580" s="36">
        <v>45448</v>
      </c>
      <c r="M8580" t="s">
        <v>598</v>
      </c>
      <c r="N8580" t="s">
        <v>608</v>
      </c>
      <c r="O8580" s="37" t="str">
        <f t="shared" si="673"/>
        <v>Cash Payment</v>
      </c>
      <c r="P8580">
        <v>698.61</v>
      </c>
      <c r="Q8580" s="37" t="str">
        <f>IF(P8580&gt;500,"High","low")</f>
        <v>High</v>
      </c>
      <c r="R8580" s="37" t="str">
        <f t="shared" si="674"/>
        <v>Good</v>
      </c>
      <c r="S8580" t="s">
        <v>600</v>
      </c>
    </row>
    <row r="8581" spans="1:19" x14ac:dyDescent="0.2">
      <c r="A8581" t="s">
        <v>9192</v>
      </c>
      <c r="B8581" t="s">
        <v>67</v>
      </c>
      <c r="C8581" t="s">
        <v>614</v>
      </c>
      <c r="D8581">
        <v>3184.41</v>
      </c>
      <c r="E8581" s="37" t="str">
        <f t="shared" si="670"/>
        <v xml:space="preserve"> </v>
      </c>
      <c r="F8581">
        <v>0.27</v>
      </c>
      <c r="G8581" s="37" t="str">
        <f t="shared" si="671"/>
        <v>Normal Discount</v>
      </c>
      <c r="H8581" s="37" t="str">
        <f t="shared" si="672"/>
        <v>Medium</v>
      </c>
      <c r="I8581">
        <v>4</v>
      </c>
      <c r="J8581" t="str" cm="1">
        <f t="array" ref="J8581">_xlfn.IFS(I8581&lt;=3,"small",I8581&lt;=6,"Medium",I8581&lt;=9,"Large")</f>
        <v>Medium</v>
      </c>
      <c r="K8581" s="36">
        <v>45466</v>
      </c>
      <c r="L8581" s="36">
        <v>45473</v>
      </c>
      <c r="M8581" t="s">
        <v>598</v>
      </c>
      <c r="N8581" t="s">
        <v>599</v>
      </c>
      <c r="O8581" s="37" t="str">
        <f t="shared" si="673"/>
        <v>Digital Payment</v>
      </c>
      <c r="P8581">
        <v>319.83</v>
      </c>
      <c r="Q8581" s="37" t="str">
        <f>IF(P8581&gt;500,"High","low")</f>
        <v>low</v>
      </c>
      <c r="R8581" s="37" t="str">
        <f t="shared" si="674"/>
        <v>AVERAGE</v>
      </c>
      <c r="S8581" t="s">
        <v>600</v>
      </c>
    </row>
    <row r="8582" spans="1:19" x14ac:dyDescent="0.2">
      <c r="A8582" t="s">
        <v>9193</v>
      </c>
      <c r="B8582" t="s">
        <v>83</v>
      </c>
      <c r="C8582" t="s">
        <v>614</v>
      </c>
      <c r="D8582">
        <v>1882.16</v>
      </c>
      <c r="E8582" s="37" t="str">
        <f t="shared" si="670"/>
        <v xml:space="preserve"> </v>
      </c>
      <c r="F8582">
        <v>0.47</v>
      </c>
      <c r="G8582" s="37" t="str">
        <f t="shared" si="671"/>
        <v>Heavy Discount</v>
      </c>
      <c r="H8582" s="37" t="str">
        <f t="shared" si="672"/>
        <v>High</v>
      </c>
      <c r="I8582">
        <v>9</v>
      </c>
      <c r="J8582" t="str" cm="1">
        <f t="array" ref="J8582">_xlfn.IFS(I8582&lt;=3,"small",I8582&lt;=6,"Medium",I8582&lt;=9,"Large")</f>
        <v>Large</v>
      </c>
      <c r="K8582" s="36">
        <v>45148</v>
      </c>
      <c r="L8582" s="36">
        <v>45152</v>
      </c>
      <c r="M8582" t="s">
        <v>603</v>
      </c>
      <c r="N8582" t="s">
        <v>608</v>
      </c>
      <c r="O8582" s="37" t="str">
        <f t="shared" si="673"/>
        <v>Cash Payment</v>
      </c>
      <c r="P8582">
        <v>466.36</v>
      </c>
      <c r="Q8582" s="37" t="str">
        <f>IF(P8582&gt;500,"High","low")</f>
        <v>low</v>
      </c>
      <c r="R8582" s="37" t="str">
        <f t="shared" si="674"/>
        <v>AVERAGE</v>
      </c>
      <c r="S8582" t="s">
        <v>609</v>
      </c>
    </row>
    <row r="8583" spans="1:19" x14ac:dyDescent="0.2">
      <c r="A8583" t="s">
        <v>9194</v>
      </c>
      <c r="B8583" t="s">
        <v>67</v>
      </c>
      <c r="C8583" t="s">
        <v>597</v>
      </c>
      <c r="D8583">
        <v>232.64</v>
      </c>
      <c r="E8583" s="37" t="str">
        <f t="shared" si="670"/>
        <v xml:space="preserve"> </v>
      </c>
      <c r="F8583">
        <v>0.22</v>
      </c>
      <c r="G8583" s="37" t="str">
        <f t="shared" si="671"/>
        <v>Normal Discount</v>
      </c>
      <c r="H8583" s="37" t="str">
        <f t="shared" si="672"/>
        <v>Medium</v>
      </c>
      <c r="I8583">
        <v>2</v>
      </c>
      <c r="J8583" t="str" cm="1">
        <f t="array" ref="J8583">_xlfn.IFS(I8583&lt;=3,"small",I8583&lt;=6,"Medium",I8583&lt;=9,"Large")</f>
        <v>small</v>
      </c>
      <c r="K8583" s="36">
        <v>45136</v>
      </c>
      <c r="L8583" s="36">
        <v>45137</v>
      </c>
      <c r="M8583" t="s">
        <v>612</v>
      </c>
      <c r="N8583" t="s">
        <v>599</v>
      </c>
      <c r="O8583" s="37" t="str">
        <f t="shared" si="673"/>
        <v>Digital Payment</v>
      </c>
      <c r="P8583">
        <v>62.45</v>
      </c>
      <c r="Q8583" s="37" t="str">
        <f>IF(P8583&gt;500,"High","low")</f>
        <v>low</v>
      </c>
      <c r="R8583" s="37" t="str">
        <f t="shared" si="674"/>
        <v>AVERAGE</v>
      </c>
      <c r="S8583" t="s">
        <v>628</v>
      </c>
    </row>
    <row r="8584" spans="1:19" x14ac:dyDescent="0.2">
      <c r="A8584" t="s">
        <v>9195</v>
      </c>
      <c r="B8584" t="s">
        <v>90</v>
      </c>
      <c r="C8584" t="s">
        <v>602</v>
      </c>
      <c r="D8584">
        <v>670.99</v>
      </c>
      <c r="E8584" s="37" t="str">
        <f t="shared" si="670"/>
        <v xml:space="preserve"> </v>
      </c>
      <c r="F8584">
        <v>0.33</v>
      </c>
      <c r="G8584" s="37" t="str">
        <f t="shared" si="671"/>
        <v>Heavy Discount</v>
      </c>
      <c r="H8584" s="37" t="str">
        <f t="shared" si="672"/>
        <v>Medium</v>
      </c>
      <c r="I8584">
        <v>1</v>
      </c>
      <c r="J8584" t="str" cm="1">
        <f t="array" ref="J8584">_xlfn.IFS(I8584&lt;=3,"small",I8584&lt;=6,"Medium",I8584&lt;=9,"Large")</f>
        <v>small</v>
      </c>
      <c r="K8584" s="36">
        <v>45362</v>
      </c>
      <c r="L8584" s="36">
        <v>45367</v>
      </c>
      <c r="M8584" t="s">
        <v>612</v>
      </c>
      <c r="N8584" t="s">
        <v>604</v>
      </c>
      <c r="O8584" s="37" t="str">
        <f t="shared" si="673"/>
        <v>Digital Payment</v>
      </c>
      <c r="P8584">
        <v>60.61</v>
      </c>
      <c r="Q8584" s="37" t="str">
        <f>IF(P8584&gt;500,"High","low")</f>
        <v>low</v>
      </c>
      <c r="R8584" s="37" t="str">
        <f t="shared" si="674"/>
        <v>AVERAGE</v>
      </c>
      <c r="S8584" t="s">
        <v>615</v>
      </c>
    </row>
    <row r="8585" spans="1:19" x14ac:dyDescent="0.2">
      <c r="A8585" t="s">
        <v>9196</v>
      </c>
      <c r="B8585" t="s">
        <v>90</v>
      </c>
      <c r="C8585" t="s">
        <v>597</v>
      </c>
      <c r="D8585">
        <v>3681.25</v>
      </c>
      <c r="E8585" s="37" t="str">
        <f t="shared" si="670"/>
        <v xml:space="preserve"> </v>
      </c>
      <c r="F8585">
        <v>0.3</v>
      </c>
      <c r="G8585" s="37" t="str">
        <f t="shared" si="671"/>
        <v>Normal Discount</v>
      </c>
      <c r="H8585" s="37" t="str">
        <f t="shared" si="672"/>
        <v>Medium</v>
      </c>
      <c r="I8585">
        <v>6</v>
      </c>
      <c r="J8585" t="str" cm="1">
        <f t="array" ref="J8585">_xlfn.IFS(I8585&lt;=3,"small",I8585&lt;=6,"Medium",I8585&lt;=9,"Large")</f>
        <v>Medium</v>
      </c>
      <c r="K8585" s="36">
        <v>45464</v>
      </c>
      <c r="L8585" s="36">
        <v>45466</v>
      </c>
      <c r="M8585" t="s">
        <v>598</v>
      </c>
      <c r="N8585" t="s">
        <v>599</v>
      </c>
      <c r="O8585" s="37" t="str">
        <f t="shared" si="673"/>
        <v>Digital Payment</v>
      </c>
      <c r="P8585">
        <v>588.04999999999995</v>
      </c>
      <c r="Q8585" s="37" t="str">
        <f>IF(P8585&gt;500,"High","low")</f>
        <v>High</v>
      </c>
      <c r="R8585" s="37" t="str">
        <f t="shared" si="674"/>
        <v>Good</v>
      </c>
      <c r="S8585" t="s">
        <v>609</v>
      </c>
    </row>
    <row r="8586" spans="1:19" x14ac:dyDescent="0.2">
      <c r="A8586" t="s">
        <v>9197</v>
      </c>
      <c r="B8586" t="s">
        <v>90</v>
      </c>
      <c r="C8586" t="s">
        <v>602</v>
      </c>
      <c r="D8586">
        <v>1909.1</v>
      </c>
      <c r="E8586" s="37" t="str">
        <f t="shared" si="670"/>
        <v xml:space="preserve"> </v>
      </c>
      <c r="F8586">
        <v>0.34</v>
      </c>
      <c r="G8586" s="37" t="str">
        <f t="shared" si="671"/>
        <v>Heavy Discount</v>
      </c>
      <c r="H8586" s="37" t="str">
        <f t="shared" si="672"/>
        <v>Medium</v>
      </c>
      <c r="I8586">
        <v>1</v>
      </c>
      <c r="J8586" t="str" cm="1">
        <f t="array" ref="J8586">_xlfn.IFS(I8586&lt;=3,"small",I8586&lt;=6,"Medium",I8586&lt;=9,"Large")</f>
        <v>small</v>
      </c>
      <c r="K8586" s="36">
        <v>45073</v>
      </c>
      <c r="L8586" s="36">
        <v>45076</v>
      </c>
      <c r="M8586" t="s">
        <v>612</v>
      </c>
      <c r="N8586" t="s">
        <v>608</v>
      </c>
      <c r="O8586" s="37" t="str">
        <f t="shared" si="673"/>
        <v>Cash Payment</v>
      </c>
      <c r="P8586">
        <v>453.48</v>
      </c>
      <c r="Q8586" s="37" t="str">
        <f>IF(P8586&gt;500,"High","low")</f>
        <v>low</v>
      </c>
      <c r="R8586" s="37" t="str">
        <f t="shared" si="674"/>
        <v>AVERAGE</v>
      </c>
      <c r="S8586" t="s">
        <v>600</v>
      </c>
    </row>
    <row r="8587" spans="1:19" x14ac:dyDescent="0.2">
      <c r="A8587" t="s">
        <v>9198</v>
      </c>
      <c r="B8587" t="s">
        <v>67</v>
      </c>
      <c r="C8587" t="s">
        <v>607</v>
      </c>
      <c r="D8587">
        <v>1738.74</v>
      </c>
      <c r="E8587" s="37" t="str">
        <f t="shared" si="670"/>
        <v xml:space="preserve"> </v>
      </c>
      <c r="F8587">
        <v>0.13</v>
      </c>
      <c r="G8587" s="37" t="str">
        <f t="shared" si="671"/>
        <v>Normal Discount</v>
      </c>
      <c r="H8587" s="37" t="str">
        <f t="shared" si="672"/>
        <v>Low</v>
      </c>
      <c r="I8587">
        <v>6</v>
      </c>
      <c r="J8587" t="str" cm="1">
        <f t="array" ref="J8587">_xlfn.IFS(I8587&lt;=3,"small",I8587&lt;=6,"Medium",I8587&lt;=9,"Large")</f>
        <v>Medium</v>
      </c>
      <c r="K8587" s="36">
        <v>45145</v>
      </c>
      <c r="L8587" s="36">
        <v>45149</v>
      </c>
      <c r="M8587" t="s">
        <v>612</v>
      </c>
      <c r="N8587" t="s">
        <v>604</v>
      </c>
      <c r="O8587" s="37" t="str">
        <f t="shared" si="673"/>
        <v>Digital Payment</v>
      </c>
      <c r="P8587">
        <v>123.31</v>
      </c>
      <c r="Q8587" s="37" t="str">
        <f>IF(P8587&gt;500,"High","low")</f>
        <v>low</v>
      </c>
      <c r="R8587" s="37" t="str">
        <f t="shared" si="674"/>
        <v>AVERAGE</v>
      </c>
      <c r="S8587" t="s">
        <v>620</v>
      </c>
    </row>
    <row r="8588" spans="1:19" x14ac:dyDescent="0.2">
      <c r="A8588" t="s">
        <v>9199</v>
      </c>
      <c r="B8588" t="s">
        <v>83</v>
      </c>
      <c r="C8588" t="s">
        <v>607</v>
      </c>
      <c r="D8588">
        <v>4455.99</v>
      </c>
      <c r="E8588" s="37" t="str">
        <f t="shared" si="670"/>
        <v>Excellent Order</v>
      </c>
      <c r="F8588">
        <v>0.13</v>
      </c>
      <c r="G8588" s="37" t="str">
        <f t="shared" si="671"/>
        <v>Normal Discount</v>
      </c>
      <c r="H8588" s="37" t="str">
        <f t="shared" si="672"/>
        <v>Low</v>
      </c>
      <c r="I8588">
        <v>1</v>
      </c>
      <c r="J8588" t="str" cm="1">
        <f t="array" ref="J8588">_xlfn.IFS(I8588&lt;=3,"small",I8588&lt;=6,"Medium",I8588&lt;=9,"Large")</f>
        <v>small</v>
      </c>
      <c r="K8588" s="36">
        <v>44994</v>
      </c>
      <c r="L8588" s="36">
        <v>44999</v>
      </c>
      <c r="M8588" t="s">
        <v>603</v>
      </c>
      <c r="N8588" t="s">
        <v>608</v>
      </c>
      <c r="O8588" s="37" t="str">
        <f t="shared" si="673"/>
        <v>Cash Payment</v>
      </c>
      <c r="P8588">
        <v>884.82</v>
      </c>
      <c r="Q8588" s="37" t="str">
        <f>IF(P8588&gt;500,"High","low")</f>
        <v>High</v>
      </c>
      <c r="R8588" s="37" t="str">
        <f t="shared" si="674"/>
        <v>Good</v>
      </c>
      <c r="S8588" t="s">
        <v>620</v>
      </c>
    </row>
    <row r="8589" spans="1:19" x14ac:dyDescent="0.2">
      <c r="A8589" t="s">
        <v>9200</v>
      </c>
      <c r="B8589" t="s">
        <v>75</v>
      </c>
      <c r="C8589" t="s">
        <v>607</v>
      </c>
      <c r="D8589">
        <v>2474.09</v>
      </c>
      <c r="E8589" s="37" t="str">
        <f t="shared" si="670"/>
        <v xml:space="preserve"> </v>
      </c>
      <c r="F8589">
        <v>0.28000000000000003</v>
      </c>
      <c r="G8589" s="37" t="str">
        <f t="shared" si="671"/>
        <v>Normal Discount</v>
      </c>
      <c r="H8589" s="37" t="str">
        <f t="shared" si="672"/>
        <v>Medium</v>
      </c>
      <c r="I8589">
        <v>6</v>
      </c>
      <c r="J8589" t="str" cm="1">
        <f t="array" ref="J8589">_xlfn.IFS(I8589&lt;=3,"small",I8589&lt;=6,"Medium",I8589&lt;=9,"Large")</f>
        <v>Medium</v>
      </c>
      <c r="K8589" s="36">
        <v>45231</v>
      </c>
      <c r="L8589" s="36">
        <v>45232</v>
      </c>
      <c r="M8589" t="s">
        <v>612</v>
      </c>
      <c r="N8589" t="s">
        <v>608</v>
      </c>
      <c r="O8589" s="37" t="str">
        <f t="shared" si="673"/>
        <v>Cash Payment</v>
      </c>
      <c r="P8589">
        <v>463.97</v>
      </c>
      <c r="Q8589" s="37" t="str">
        <f>IF(P8589&gt;500,"High","low")</f>
        <v>low</v>
      </c>
      <c r="R8589" s="37" t="str">
        <f t="shared" si="674"/>
        <v>AVERAGE</v>
      </c>
      <c r="S8589" t="s">
        <v>615</v>
      </c>
    </row>
    <row r="8590" spans="1:19" x14ac:dyDescent="0.2">
      <c r="A8590" t="s">
        <v>9201</v>
      </c>
      <c r="B8590" t="s">
        <v>83</v>
      </c>
      <c r="C8590" t="s">
        <v>607</v>
      </c>
      <c r="D8590">
        <v>4507.93</v>
      </c>
      <c r="E8590" s="37" t="str">
        <f t="shared" si="670"/>
        <v>Excellent Order</v>
      </c>
      <c r="F8590">
        <v>0.42</v>
      </c>
      <c r="G8590" s="37" t="str">
        <f t="shared" si="671"/>
        <v>Heavy Discount</v>
      </c>
      <c r="H8590" s="37" t="str">
        <f t="shared" si="672"/>
        <v>High</v>
      </c>
      <c r="I8590">
        <v>9</v>
      </c>
      <c r="J8590" t="str" cm="1">
        <f t="array" ref="J8590">_xlfn.IFS(I8590&lt;=3,"small",I8590&lt;=6,"Medium",I8590&lt;=9,"Large")</f>
        <v>Large</v>
      </c>
      <c r="K8590" s="36">
        <v>44952</v>
      </c>
      <c r="L8590" s="36">
        <v>44955</v>
      </c>
      <c r="M8590" t="s">
        <v>598</v>
      </c>
      <c r="N8590" t="s">
        <v>599</v>
      </c>
      <c r="O8590" s="37" t="str">
        <f t="shared" si="673"/>
        <v>Digital Payment</v>
      </c>
      <c r="P8590">
        <v>1101.2</v>
      </c>
      <c r="Q8590" s="37" t="str">
        <f>IF(P8590&gt;500,"High","low")</f>
        <v>High</v>
      </c>
      <c r="R8590" s="37" t="str">
        <f t="shared" si="674"/>
        <v>Excellent</v>
      </c>
      <c r="S8590" t="s">
        <v>609</v>
      </c>
    </row>
    <row r="8591" spans="1:19" x14ac:dyDescent="0.2">
      <c r="A8591" t="s">
        <v>9202</v>
      </c>
      <c r="B8591" t="s">
        <v>67</v>
      </c>
      <c r="C8591" t="s">
        <v>607</v>
      </c>
      <c r="D8591">
        <v>4444.53</v>
      </c>
      <c r="E8591" s="37" t="str">
        <f t="shared" si="670"/>
        <v>Excellent Order</v>
      </c>
      <c r="F8591">
        <v>0.36</v>
      </c>
      <c r="G8591" s="37" t="str">
        <f t="shared" si="671"/>
        <v>Heavy Discount</v>
      </c>
      <c r="H8591" s="37" t="str">
        <f t="shared" si="672"/>
        <v>Medium</v>
      </c>
      <c r="I8591">
        <v>5</v>
      </c>
      <c r="J8591" t="str" cm="1">
        <f t="array" ref="J8591">_xlfn.IFS(I8591&lt;=3,"small",I8591&lt;=6,"Medium",I8591&lt;=9,"Large")</f>
        <v>Medium</v>
      </c>
      <c r="K8591" s="36">
        <v>45249</v>
      </c>
      <c r="L8591" s="36">
        <v>45256</v>
      </c>
      <c r="M8591" t="s">
        <v>598</v>
      </c>
      <c r="N8591" t="s">
        <v>604</v>
      </c>
      <c r="O8591" s="37" t="str">
        <f t="shared" si="673"/>
        <v>Digital Payment</v>
      </c>
      <c r="P8591">
        <v>1280.8499999999999</v>
      </c>
      <c r="Q8591" s="37" t="str">
        <f>IF(P8591&gt;500,"High","low")</f>
        <v>High</v>
      </c>
      <c r="R8591" s="37" t="str">
        <f t="shared" si="674"/>
        <v>Excellent</v>
      </c>
      <c r="S8591" t="s">
        <v>615</v>
      </c>
    </row>
    <row r="8592" spans="1:19" x14ac:dyDescent="0.2">
      <c r="A8592" t="s">
        <v>9203</v>
      </c>
      <c r="B8592" t="s">
        <v>67</v>
      </c>
      <c r="C8592" t="s">
        <v>617</v>
      </c>
      <c r="D8592">
        <v>492.89</v>
      </c>
      <c r="E8592" s="37" t="str">
        <f t="shared" si="670"/>
        <v xml:space="preserve"> </v>
      </c>
      <c r="F8592">
        <v>0.24</v>
      </c>
      <c r="G8592" s="37" t="str">
        <f t="shared" si="671"/>
        <v>Normal Discount</v>
      </c>
      <c r="H8592" s="37" t="str">
        <f t="shared" si="672"/>
        <v>Medium</v>
      </c>
      <c r="I8592">
        <v>4</v>
      </c>
      <c r="J8592" t="str" cm="1">
        <f t="array" ref="J8592">_xlfn.IFS(I8592&lt;=3,"small",I8592&lt;=6,"Medium",I8592&lt;=9,"Large")</f>
        <v>Medium</v>
      </c>
      <c r="K8592" s="36">
        <v>45555</v>
      </c>
      <c r="L8592" s="36">
        <v>45559</v>
      </c>
      <c r="M8592" t="s">
        <v>612</v>
      </c>
      <c r="N8592" t="s">
        <v>604</v>
      </c>
      <c r="O8592" s="37" t="str">
        <f t="shared" si="673"/>
        <v>Digital Payment</v>
      </c>
      <c r="P8592">
        <v>84.63</v>
      </c>
      <c r="Q8592" s="37" t="str">
        <f>IF(P8592&gt;500,"High","low")</f>
        <v>low</v>
      </c>
      <c r="R8592" s="37" t="str">
        <f t="shared" si="674"/>
        <v>AVERAGE</v>
      </c>
      <c r="S8592" t="s">
        <v>615</v>
      </c>
    </row>
    <row r="8593" spans="1:19" x14ac:dyDescent="0.2">
      <c r="A8593" t="s">
        <v>9204</v>
      </c>
      <c r="B8593" t="s">
        <v>75</v>
      </c>
      <c r="C8593" t="s">
        <v>597</v>
      </c>
      <c r="D8593">
        <v>4732.28</v>
      </c>
      <c r="E8593" s="37" t="str">
        <f t="shared" si="670"/>
        <v xml:space="preserve"> </v>
      </c>
      <c r="F8593">
        <v>0.13</v>
      </c>
      <c r="G8593" s="37" t="str">
        <f t="shared" si="671"/>
        <v>Normal Discount</v>
      </c>
      <c r="H8593" s="37" t="str">
        <f t="shared" si="672"/>
        <v>Low</v>
      </c>
      <c r="I8593">
        <v>8</v>
      </c>
      <c r="J8593" t="str" cm="1">
        <f t="array" ref="J8593">_xlfn.IFS(I8593&lt;=3,"small",I8593&lt;=6,"Medium",I8593&lt;=9,"Large")</f>
        <v>Large</v>
      </c>
      <c r="K8593" s="36">
        <v>45026</v>
      </c>
      <c r="L8593" s="36">
        <v>45027</v>
      </c>
      <c r="M8593" t="s">
        <v>598</v>
      </c>
      <c r="N8593" t="s">
        <v>599</v>
      </c>
      <c r="O8593" s="37" t="str">
        <f t="shared" si="673"/>
        <v>Digital Payment</v>
      </c>
      <c r="P8593">
        <v>570.12</v>
      </c>
      <c r="Q8593" s="37" t="str">
        <f>IF(P8593&gt;500,"High","low")</f>
        <v>High</v>
      </c>
      <c r="R8593" s="37" t="str">
        <f t="shared" si="674"/>
        <v>Good</v>
      </c>
      <c r="S8593" t="s">
        <v>628</v>
      </c>
    </row>
    <row r="8594" spans="1:19" x14ac:dyDescent="0.2">
      <c r="A8594" t="s">
        <v>9205</v>
      </c>
      <c r="B8594" t="s">
        <v>67</v>
      </c>
      <c r="C8594" t="s">
        <v>602</v>
      </c>
      <c r="D8594">
        <v>477.08</v>
      </c>
      <c r="E8594" s="37" t="str">
        <f t="shared" si="670"/>
        <v xml:space="preserve"> </v>
      </c>
      <c r="F8594">
        <v>0.38</v>
      </c>
      <c r="G8594" s="37" t="str">
        <f t="shared" si="671"/>
        <v>Heavy Discount</v>
      </c>
      <c r="H8594" s="37" t="str">
        <f t="shared" si="672"/>
        <v>Medium</v>
      </c>
      <c r="I8594">
        <v>4</v>
      </c>
      <c r="J8594" t="str" cm="1">
        <f t="array" ref="J8594">_xlfn.IFS(I8594&lt;=3,"small",I8594&lt;=6,"Medium",I8594&lt;=9,"Large")</f>
        <v>Medium</v>
      </c>
      <c r="K8594" s="36">
        <v>45573</v>
      </c>
      <c r="L8594" s="36">
        <v>45580</v>
      </c>
      <c r="M8594" t="s">
        <v>612</v>
      </c>
      <c r="N8594" t="s">
        <v>604</v>
      </c>
      <c r="O8594" s="37" t="str">
        <f t="shared" si="673"/>
        <v>Digital Payment</v>
      </c>
      <c r="P8594">
        <v>29.54</v>
      </c>
      <c r="Q8594" s="37" t="str">
        <f>IF(P8594&gt;500,"High","low")</f>
        <v>low</v>
      </c>
      <c r="R8594" s="37" t="str">
        <f t="shared" si="674"/>
        <v>AVERAGE</v>
      </c>
      <c r="S8594" t="s">
        <v>620</v>
      </c>
    </row>
    <row r="8595" spans="1:19" x14ac:dyDescent="0.2">
      <c r="A8595" t="s">
        <v>9206</v>
      </c>
      <c r="B8595" t="s">
        <v>90</v>
      </c>
      <c r="C8595" t="s">
        <v>607</v>
      </c>
      <c r="D8595">
        <v>4821.18</v>
      </c>
      <c r="E8595" s="37" t="str">
        <f t="shared" si="670"/>
        <v>Excellent Order</v>
      </c>
      <c r="F8595">
        <v>0.46</v>
      </c>
      <c r="G8595" s="37" t="str">
        <f t="shared" si="671"/>
        <v>Heavy Discount</v>
      </c>
      <c r="H8595" s="37" t="str">
        <f t="shared" si="672"/>
        <v>High</v>
      </c>
      <c r="I8595">
        <v>4</v>
      </c>
      <c r="J8595" t="str" cm="1">
        <f t="array" ref="J8595">_xlfn.IFS(I8595&lt;=3,"small",I8595&lt;=6,"Medium",I8595&lt;=9,"Large")</f>
        <v>Medium</v>
      </c>
      <c r="K8595" s="36">
        <v>45419</v>
      </c>
      <c r="L8595" s="36">
        <v>45420</v>
      </c>
      <c r="M8595" t="s">
        <v>612</v>
      </c>
      <c r="N8595" t="s">
        <v>608</v>
      </c>
      <c r="O8595" s="37" t="str">
        <f t="shared" si="673"/>
        <v>Cash Payment</v>
      </c>
      <c r="P8595">
        <v>1230.5</v>
      </c>
      <c r="Q8595" s="37" t="str">
        <f>IF(P8595&gt;500,"High","low")</f>
        <v>High</v>
      </c>
      <c r="R8595" s="37" t="str">
        <f t="shared" si="674"/>
        <v>Excellent</v>
      </c>
      <c r="S8595" t="s">
        <v>628</v>
      </c>
    </row>
    <row r="8596" spans="1:19" x14ac:dyDescent="0.2">
      <c r="A8596" t="s">
        <v>9207</v>
      </c>
      <c r="B8596" t="s">
        <v>90</v>
      </c>
      <c r="C8596" t="s">
        <v>617</v>
      </c>
      <c r="D8596">
        <v>2317.81</v>
      </c>
      <c r="E8596" s="37" t="str">
        <f t="shared" si="670"/>
        <v xml:space="preserve"> </v>
      </c>
      <c r="F8596">
        <v>0.11</v>
      </c>
      <c r="G8596" s="37" t="str">
        <f t="shared" si="671"/>
        <v>Normal Discount</v>
      </c>
      <c r="H8596" s="37" t="str">
        <f t="shared" si="672"/>
        <v>Low</v>
      </c>
      <c r="I8596">
        <v>9</v>
      </c>
      <c r="J8596" t="str" cm="1">
        <f t="array" ref="J8596">_xlfn.IFS(I8596&lt;=3,"small",I8596&lt;=6,"Medium",I8596&lt;=9,"Large")</f>
        <v>Large</v>
      </c>
      <c r="K8596" s="36">
        <v>45634</v>
      </c>
      <c r="L8596" s="36">
        <v>45637</v>
      </c>
      <c r="M8596" t="s">
        <v>603</v>
      </c>
      <c r="N8596" t="s">
        <v>608</v>
      </c>
      <c r="O8596" s="37" t="str">
        <f t="shared" si="673"/>
        <v>Cash Payment</v>
      </c>
      <c r="P8596">
        <v>218.67</v>
      </c>
      <c r="Q8596" s="37" t="str">
        <f>IF(P8596&gt;500,"High","low")</f>
        <v>low</v>
      </c>
      <c r="R8596" s="37" t="str">
        <f t="shared" si="674"/>
        <v>AVERAGE</v>
      </c>
      <c r="S8596" t="s">
        <v>615</v>
      </c>
    </row>
    <row r="8597" spans="1:19" x14ac:dyDescent="0.2">
      <c r="A8597" t="s">
        <v>9208</v>
      </c>
      <c r="B8597" t="s">
        <v>90</v>
      </c>
      <c r="C8597" t="s">
        <v>617</v>
      </c>
      <c r="D8597">
        <v>3828.22</v>
      </c>
      <c r="E8597" s="37" t="str">
        <f t="shared" si="670"/>
        <v xml:space="preserve"> </v>
      </c>
      <c r="F8597">
        <v>0.4</v>
      </c>
      <c r="G8597" s="37" t="str">
        <f t="shared" si="671"/>
        <v>Heavy Discount</v>
      </c>
      <c r="H8597" s="37" t="str">
        <f t="shared" si="672"/>
        <v>Medium</v>
      </c>
      <c r="I8597">
        <v>1</v>
      </c>
      <c r="J8597" t="str" cm="1">
        <f t="array" ref="J8597">_xlfn.IFS(I8597&lt;=3,"small",I8597&lt;=6,"Medium",I8597&lt;=9,"Large")</f>
        <v>small</v>
      </c>
      <c r="K8597" s="36">
        <v>45588</v>
      </c>
      <c r="L8597" s="36">
        <v>45589</v>
      </c>
      <c r="M8597" t="s">
        <v>603</v>
      </c>
      <c r="N8597" t="s">
        <v>604</v>
      </c>
      <c r="O8597" s="37" t="str">
        <f t="shared" si="673"/>
        <v>Digital Payment</v>
      </c>
      <c r="P8597">
        <v>1008.42</v>
      </c>
      <c r="Q8597" s="37" t="str">
        <f>IF(P8597&gt;500,"High","low")</f>
        <v>High</v>
      </c>
      <c r="R8597" s="37" t="str">
        <f t="shared" si="674"/>
        <v>Excellent</v>
      </c>
      <c r="S8597" t="s">
        <v>628</v>
      </c>
    </row>
    <row r="8598" spans="1:19" x14ac:dyDescent="0.2">
      <c r="A8598" t="s">
        <v>9209</v>
      </c>
      <c r="B8598" t="s">
        <v>90</v>
      </c>
      <c r="C8598" t="s">
        <v>617</v>
      </c>
      <c r="D8598">
        <v>3560.11</v>
      </c>
      <c r="E8598" s="37" t="str">
        <f t="shared" si="670"/>
        <v xml:space="preserve"> </v>
      </c>
      <c r="F8598">
        <v>0.09</v>
      </c>
      <c r="G8598" s="37" t="str">
        <f t="shared" si="671"/>
        <v>Normal Discount</v>
      </c>
      <c r="H8598" s="37" t="str">
        <f t="shared" si="672"/>
        <v>Low</v>
      </c>
      <c r="I8598">
        <v>3</v>
      </c>
      <c r="J8598" t="str" cm="1">
        <f t="array" ref="J8598">_xlfn.IFS(I8598&lt;=3,"small",I8598&lt;=6,"Medium",I8598&lt;=9,"Large")</f>
        <v>small</v>
      </c>
      <c r="K8598" s="36">
        <v>45180</v>
      </c>
      <c r="L8598" s="36">
        <v>45183</v>
      </c>
      <c r="M8598" t="s">
        <v>612</v>
      </c>
      <c r="N8598" t="s">
        <v>604</v>
      </c>
      <c r="O8598" s="37" t="str">
        <f t="shared" si="673"/>
        <v>Digital Payment</v>
      </c>
      <c r="P8598">
        <v>726.48</v>
      </c>
      <c r="Q8598" s="37" t="str">
        <f>IF(P8598&gt;500,"High","low")</f>
        <v>High</v>
      </c>
      <c r="R8598" s="37" t="str">
        <f t="shared" si="674"/>
        <v>Good</v>
      </c>
      <c r="S8598" t="s">
        <v>605</v>
      </c>
    </row>
    <row r="8599" spans="1:19" x14ac:dyDescent="0.2">
      <c r="A8599" t="s">
        <v>9210</v>
      </c>
      <c r="B8599" t="s">
        <v>90</v>
      </c>
      <c r="C8599" t="s">
        <v>597</v>
      </c>
      <c r="D8599">
        <v>2640.63</v>
      </c>
      <c r="E8599" s="37" t="str">
        <f t="shared" si="670"/>
        <v xml:space="preserve"> </v>
      </c>
      <c r="F8599">
        <v>0.45</v>
      </c>
      <c r="G8599" s="37" t="str">
        <f t="shared" si="671"/>
        <v>Heavy Discount</v>
      </c>
      <c r="H8599" s="37" t="str">
        <f t="shared" si="672"/>
        <v>High</v>
      </c>
      <c r="I8599">
        <v>4</v>
      </c>
      <c r="J8599" t="str" cm="1">
        <f t="array" ref="J8599">_xlfn.IFS(I8599&lt;=3,"small",I8599&lt;=6,"Medium",I8599&lt;=9,"Large")</f>
        <v>Medium</v>
      </c>
      <c r="K8599" s="36">
        <v>45396</v>
      </c>
      <c r="L8599" s="36">
        <v>45401</v>
      </c>
      <c r="M8599" t="s">
        <v>603</v>
      </c>
      <c r="N8599" t="s">
        <v>599</v>
      </c>
      <c r="O8599" s="37" t="str">
        <f t="shared" si="673"/>
        <v>Digital Payment</v>
      </c>
      <c r="P8599">
        <v>244.33</v>
      </c>
      <c r="Q8599" s="37" t="str">
        <f>IF(P8599&gt;500,"High","low")</f>
        <v>low</v>
      </c>
      <c r="R8599" s="37" t="str">
        <f t="shared" si="674"/>
        <v>AVERAGE</v>
      </c>
      <c r="S8599" t="s">
        <v>605</v>
      </c>
    </row>
    <row r="8600" spans="1:19" x14ac:dyDescent="0.2">
      <c r="A8600" t="s">
        <v>9211</v>
      </c>
      <c r="B8600" t="s">
        <v>67</v>
      </c>
      <c r="C8600" t="s">
        <v>607</v>
      </c>
      <c r="D8600">
        <v>3135.33</v>
      </c>
      <c r="E8600" s="37" t="str">
        <f t="shared" si="670"/>
        <v xml:space="preserve"> </v>
      </c>
      <c r="F8600">
        <v>0.32</v>
      </c>
      <c r="G8600" s="37" t="str">
        <f t="shared" si="671"/>
        <v>Heavy Discount</v>
      </c>
      <c r="H8600" s="37" t="str">
        <f t="shared" si="672"/>
        <v>Medium</v>
      </c>
      <c r="I8600">
        <v>8</v>
      </c>
      <c r="J8600" t="str" cm="1">
        <f t="array" ref="J8600">_xlfn.IFS(I8600&lt;=3,"small",I8600&lt;=6,"Medium",I8600&lt;=9,"Large")</f>
        <v>Large</v>
      </c>
      <c r="K8600" s="36">
        <v>44955</v>
      </c>
      <c r="L8600" s="36">
        <v>44962</v>
      </c>
      <c r="M8600" t="s">
        <v>598</v>
      </c>
      <c r="N8600" t="s">
        <v>599</v>
      </c>
      <c r="O8600" s="37" t="str">
        <f t="shared" si="673"/>
        <v>Digital Payment</v>
      </c>
      <c r="P8600">
        <v>532.19000000000005</v>
      </c>
      <c r="Q8600" s="37" t="str">
        <f>IF(P8600&gt;500,"High","low")</f>
        <v>High</v>
      </c>
      <c r="R8600" s="37" t="str">
        <f t="shared" si="674"/>
        <v>Good</v>
      </c>
      <c r="S8600" t="s">
        <v>615</v>
      </c>
    </row>
    <row r="8601" spans="1:19" x14ac:dyDescent="0.2">
      <c r="A8601" t="s">
        <v>9212</v>
      </c>
      <c r="B8601" t="s">
        <v>75</v>
      </c>
      <c r="C8601" t="s">
        <v>617</v>
      </c>
      <c r="D8601">
        <v>4754.6000000000004</v>
      </c>
      <c r="E8601" s="37" t="str">
        <f t="shared" si="670"/>
        <v>Excellent Order</v>
      </c>
      <c r="F8601">
        <v>0.09</v>
      </c>
      <c r="G8601" s="37" t="str">
        <f t="shared" si="671"/>
        <v>Normal Discount</v>
      </c>
      <c r="H8601" s="37" t="str">
        <f t="shared" si="672"/>
        <v>Low</v>
      </c>
      <c r="I8601">
        <v>1</v>
      </c>
      <c r="J8601" t="str" cm="1">
        <f t="array" ref="J8601">_xlfn.IFS(I8601&lt;=3,"small",I8601&lt;=6,"Medium",I8601&lt;=9,"Large")</f>
        <v>small</v>
      </c>
      <c r="K8601" s="36">
        <v>45053</v>
      </c>
      <c r="L8601" s="36">
        <v>45060</v>
      </c>
      <c r="M8601" t="s">
        <v>612</v>
      </c>
      <c r="N8601" t="s">
        <v>608</v>
      </c>
      <c r="O8601" s="37" t="str">
        <f t="shared" si="673"/>
        <v>Cash Payment</v>
      </c>
      <c r="P8601">
        <v>993.06</v>
      </c>
      <c r="Q8601" s="37" t="str">
        <f>IF(P8601&gt;500,"High","low")</f>
        <v>High</v>
      </c>
      <c r="R8601" s="37" t="str">
        <f t="shared" si="674"/>
        <v>Good</v>
      </c>
      <c r="S8601" t="s">
        <v>615</v>
      </c>
    </row>
    <row r="8602" spans="1:19" x14ac:dyDescent="0.2">
      <c r="A8602" t="s">
        <v>9213</v>
      </c>
      <c r="B8602" t="s">
        <v>75</v>
      </c>
      <c r="C8602" t="s">
        <v>617</v>
      </c>
      <c r="D8602">
        <v>4644.0200000000004</v>
      </c>
      <c r="E8602" s="37" t="str">
        <f t="shared" si="670"/>
        <v>Excellent Order</v>
      </c>
      <c r="F8602">
        <v>0.02</v>
      </c>
      <c r="G8602" s="37" t="str">
        <f t="shared" si="671"/>
        <v>Normal Discount</v>
      </c>
      <c r="H8602" s="37" t="str">
        <f t="shared" si="672"/>
        <v>Low</v>
      </c>
      <c r="I8602">
        <v>3</v>
      </c>
      <c r="J8602" t="str" cm="1">
        <f t="array" ref="J8602">_xlfn.IFS(I8602&lt;=3,"small",I8602&lt;=6,"Medium",I8602&lt;=9,"Large")</f>
        <v>small</v>
      </c>
      <c r="K8602" s="36">
        <v>45117</v>
      </c>
      <c r="L8602" s="36">
        <v>45121</v>
      </c>
      <c r="M8602" t="s">
        <v>603</v>
      </c>
      <c r="N8602" t="s">
        <v>608</v>
      </c>
      <c r="O8602" s="37" t="str">
        <f t="shared" si="673"/>
        <v>Cash Payment</v>
      </c>
      <c r="P8602">
        <v>938.68</v>
      </c>
      <c r="Q8602" s="37" t="str">
        <f>IF(P8602&gt;500,"High","low")</f>
        <v>High</v>
      </c>
      <c r="R8602" s="37" t="str">
        <f t="shared" si="674"/>
        <v>Good</v>
      </c>
      <c r="S8602" t="s">
        <v>605</v>
      </c>
    </row>
    <row r="8603" spans="1:19" x14ac:dyDescent="0.2">
      <c r="A8603" t="s">
        <v>9214</v>
      </c>
      <c r="B8603" t="s">
        <v>90</v>
      </c>
      <c r="C8603" t="s">
        <v>607</v>
      </c>
      <c r="D8603">
        <v>3306.2</v>
      </c>
      <c r="E8603" s="37" t="str">
        <f t="shared" si="670"/>
        <v xml:space="preserve"> </v>
      </c>
      <c r="F8603">
        <v>0.35</v>
      </c>
      <c r="G8603" s="37" t="str">
        <f t="shared" si="671"/>
        <v>Heavy Discount</v>
      </c>
      <c r="H8603" s="37" t="str">
        <f t="shared" si="672"/>
        <v>Medium</v>
      </c>
      <c r="I8603">
        <v>2</v>
      </c>
      <c r="J8603" t="str" cm="1">
        <f t="array" ref="J8603">_xlfn.IFS(I8603&lt;=3,"small",I8603&lt;=6,"Medium",I8603&lt;=9,"Large")</f>
        <v>small</v>
      </c>
      <c r="K8603" s="36">
        <v>45627</v>
      </c>
      <c r="L8603" s="36">
        <v>45628</v>
      </c>
      <c r="M8603" t="s">
        <v>603</v>
      </c>
      <c r="N8603" t="s">
        <v>608</v>
      </c>
      <c r="O8603" s="37" t="str">
        <f t="shared" si="673"/>
        <v>Cash Payment</v>
      </c>
      <c r="P8603">
        <v>181.18</v>
      </c>
      <c r="Q8603" s="37" t="str">
        <f>IF(P8603&gt;500,"High","low")</f>
        <v>low</v>
      </c>
      <c r="R8603" s="37" t="str">
        <f t="shared" si="674"/>
        <v>AVERAGE</v>
      </c>
      <c r="S8603" t="s">
        <v>609</v>
      </c>
    </row>
    <row r="8604" spans="1:19" x14ac:dyDescent="0.2">
      <c r="A8604" t="s">
        <v>9215</v>
      </c>
      <c r="B8604" t="s">
        <v>67</v>
      </c>
      <c r="C8604" t="s">
        <v>597</v>
      </c>
      <c r="D8604">
        <v>3322.82</v>
      </c>
      <c r="E8604" s="37" t="str">
        <f t="shared" si="670"/>
        <v xml:space="preserve"> </v>
      </c>
      <c r="F8604">
        <v>0.3</v>
      </c>
      <c r="G8604" s="37" t="str">
        <f t="shared" si="671"/>
        <v>Normal Discount</v>
      </c>
      <c r="H8604" s="37" t="str">
        <f t="shared" si="672"/>
        <v>Medium</v>
      </c>
      <c r="I8604">
        <v>6</v>
      </c>
      <c r="J8604" t="str" cm="1">
        <f t="array" ref="J8604">_xlfn.IFS(I8604&lt;=3,"small",I8604&lt;=6,"Medium",I8604&lt;=9,"Large")</f>
        <v>Medium</v>
      </c>
      <c r="K8604" s="36">
        <v>45047</v>
      </c>
      <c r="L8604" s="36">
        <v>45049</v>
      </c>
      <c r="M8604" t="s">
        <v>603</v>
      </c>
      <c r="N8604" t="s">
        <v>599</v>
      </c>
      <c r="O8604" s="37" t="str">
        <f t="shared" si="673"/>
        <v>Digital Payment</v>
      </c>
      <c r="P8604">
        <v>655.04</v>
      </c>
      <c r="Q8604" s="37" t="str">
        <f>IF(P8604&gt;500,"High","low")</f>
        <v>High</v>
      </c>
      <c r="R8604" s="37" t="str">
        <f t="shared" si="674"/>
        <v>Good</v>
      </c>
      <c r="S8604" t="s">
        <v>609</v>
      </c>
    </row>
    <row r="8605" spans="1:19" x14ac:dyDescent="0.2">
      <c r="A8605" t="s">
        <v>9216</v>
      </c>
      <c r="B8605" t="s">
        <v>83</v>
      </c>
      <c r="C8605" t="s">
        <v>617</v>
      </c>
      <c r="D8605">
        <v>1310</v>
      </c>
      <c r="E8605" s="37" t="str">
        <f t="shared" si="670"/>
        <v xml:space="preserve"> </v>
      </c>
      <c r="F8605">
        <v>0.31</v>
      </c>
      <c r="G8605" s="37" t="str">
        <f t="shared" si="671"/>
        <v>Heavy Discount</v>
      </c>
      <c r="H8605" s="37" t="str">
        <f t="shared" si="672"/>
        <v>Medium</v>
      </c>
      <c r="I8605">
        <v>9</v>
      </c>
      <c r="J8605" t="str" cm="1">
        <f t="array" ref="J8605">_xlfn.IFS(I8605&lt;=3,"small",I8605&lt;=6,"Medium",I8605&lt;=9,"Large")</f>
        <v>Large</v>
      </c>
      <c r="K8605" s="36">
        <v>45162</v>
      </c>
      <c r="L8605" s="36">
        <v>45165</v>
      </c>
      <c r="M8605" t="s">
        <v>603</v>
      </c>
      <c r="N8605" t="s">
        <v>599</v>
      </c>
      <c r="O8605" s="37" t="str">
        <f t="shared" si="673"/>
        <v>Digital Payment</v>
      </c>
      <c r="P8605">
        <v>363.59</v>
      </c>
      <c r="Q8605" s="37" t="str">
        <f>IF(P8605&gt;500,"High","low")</f>
        <v>low</v>
      </c>
      <c r="R8605" s="37" t="str">
        <f t="shared" si="674"/>
        <v>AVERAGE</v>
      </c>
      <c r="S8605" t="s">
        <v>615</v>
      </c>
    </row>
    <row r="8606" spans="1:19" x14ac:dyDescent="0.2">
      <c r="A8606" t="s">
        <v>9217</v>
      </c>
      <c r="B8606" t="s">
        <v>83</v>
      </c>
      <c r="C8606" t="s">
        <v>602</v>
      </c>
      <c r="D8606">
        <v>4160.26</v>
      </c>
      <c r="E8606" s="37" t="str">
        <f t="shared" si="670"/>
        <v>Excellent Order</v>
      </c>
      <c r="F8606">
        <v>0.24</v>
      </c>
      <c r="G8606" s="37" t="str">
        <f t="shared" si="671"/>
        <v>Normal Discount</v>
      </c>
      <c r="H8606" s="37" t="str">
        <f t="shared" si="672"/>
        <v>Medium</v>
      </c>
      <c r="I8606">
        <v>9</v>
      </c>
      <c r="J8606" t="str" cm="1">
        <f t="array" ref="J8606">_xlfn.IFS(I8606&lt;=3,"small",I8606&lt;=6,"Medium",I8606&lt;=9,"Large")</f>
        <v>Large</v>
      </c>
      <c r="K8606" s="36">
        <v>44963</v>
      </c>
      <c r="L8606" s="36">
        <v>44968</v>
      </c>
      <c r="M8606" t="s">
        <v>612</v>
      </c>
      <c r="N8606" t="s">
        <v>604</v>
      </c>
      <c r="O8606" s="37" t="str">
        <f t="shared" si="673"/>
        <v>Digital Payment</v>
      </c>
      <c r="P8606">
        <v>864.69</v>
      </c>
      <c r="Q8606" s="37" t="str">
        <f>IF(P8606&gt;500,"High","low")</f>
        <v>High</v>
      </c>
      <c r="R8606" s="37" t="str">
        <f t="shared" si="674"/>
        <v>Good</v>
      </c>
      <c r="S8606" t="s">
        <v>605</v>
      </c>
    </row>
    <row r="8607" spans="1:19" x14ac:dyDescent="0.2">
      <c r="A8607" t="s">
        <v>9218</v>
      </c>
      <c r="B8607" t="s">
        <v>67</v>
      </c>
      <c r="C8607" t="s">
        <v>614</v>
      </c>
      <c r="D8607">
        <v>3199.76</v>
      </c>
      <c r="E8607" s="37" t="str">
        <f t="shared" si="670"/>
        <v xml:space="preserve"> </v>
      </c>
      <c r="F8607">
        <v>0.31</v>
      </c>
      <c r="G8607" s="37" t="str">
        <f t="shared" si="671"/>
        <v>Heavy Discount</v>
      </c>
      <c r="H8607" s="37" t="str">
        <f t="shared" si="672"/>
        <v>Medium</v>
      </c>
      <c r="I8607">
        <v>5</v>
      </c>
      <c r="J8607" t="str" cm="1">
        <f t="array" ref="J8607">_xlfn.IFS(I8607&lt;=3,"small",I8607&lt;=6,"Medium",I8607&lt;=9,"Large")</f>
        <v>Medium</v>
      </c>
      <c r="K8607" s="36">
        <v>45195</v>
      </c>
      <c r="L8607" s="36">
        <v>45201</v>
      </c>
      <c r="M8607" t="s">
        <v>598</v>
      </c>
      <c r="N8607" t="s">
        <v>599</v>
      </c>
      <c r="O8607" s="37" t="str">
        <f t="shared" si="673"/>
        <v>Digital Payment</v>
      </c>
      <c r="P8607">
        <v>614.70000000000005</v>
      </c>
      <c r="Q8607" s="37" t="str">
        <f>IF(P8607&gt;500,"High","low")</f>
        <v>High</v>
      </c>
      <c r="R8607" s="37" t="str">
        <f t="shared" si="674"/>
        <v>Good</v>
      </c>
      <c r="S8607" t="s">
        <v>620</v>
      </c>
    </row>
    <row r="8608" spans="1:19" x14ac:dyDescent="0.2">
      <c r="A8608" t="s">
        <v>9219</v>
      </c>
      <c r="B8608" t="s">
        <v>90</v>
      </c>
      <c r="C8608" t="s">
        <v>614</v>
      </c>
      <c r="D8608">
        <v>4148.62</v>
      </c>
      <c r="E8608" s="37" t="str">
        <f t="shared" si="670"/>
        <v>Excellent Order</v>
      </c>
      <c r="F8608">
        <v>0.44</v>
      </c>
      <c r="G8608" s="37" t="str">
        <f t="shared" si="671"/>
        <v>Heavy Discount</v>
      </c>
      <c r="H8608" s="37" t="str">
        <f t="shared" si="672"/>
        <v>High</v>
      </c>
      <c r="I8608">
        <v>3</v>
      </c>
      <c r="J8608" t="str" cm="1">
        <f t="array" ref="J8608">_xlfn.IFS(I8608&lt;=3,"small",I8608&lt;=6,"Medium",I8608&lt;=9,"Large")</f>
        <v>small</v>
      </c>
      <c r="K8608" s="36">
        <v>45151</v>
      </c>
      <c r="L8608" s="36">
        <v>45153</v>
      </c>
      <c r="M8608" t="s">
        <v>612</v>
      </c>
      <c r="N8608" t="s">
        <v>608</v>
      </c>
      <c r="O8608" s="37" t="str">
        <f t="shared" si="673"/>
        <v>Cash Payment</v>
      </c>
      <c r="P8608">
        <v>991.79</v>
      </c>
      <c r="Q8608" s="37" t="str">
        <f>IF(P8608&gt;500,"High","low")</f>
        <v>High</v>
      </c>
      <c r="R8608" s="37" t="str">
        <f t="shared" si="674"/>
        <v>Good</v>
      </c>
      <c r="S8608" t="s">
        <v>620</v>
      </c>
    </row>
    <row r="8609" spans="1:19" x14ac:dyDescent="0.2">
      <c r="A8609" t="s">
        <v>9220</v>
      </c>
      <c r="B8609" t="s">
        <v>75</v>
      </c>
      <c r="C8609" t="s">
        <v>614</v>
      </c>
      <c r="D8609">
        <v>3323.48</v>
      </c>
      <c r="E8609" s="37" t="str">
        <f t="shared" si="670"/>
        <v xml:space="preserve"> </v>
      </c>
      <c r="F8609">
        <v>0.48</v>
      </c>
      <c r="G8609" s="37" t="str">
        <f t="shared" si="671"/>
        <v>Heavy Discount</v>
      </c>
      <c r="H8609" s="37" t="str">
        <f t="shared" si="672"/>
        <v>High</v>
      </c>
      <c r="I8609">
        <v>8</v>
      </c>
      <c r="J8609" t="str" cm="1">
        <f t="array" ref="J8609">_xlfn.IFS(I8609&lt;=3,"small",I8609&lt;=6,"Medium",I8609&lt;=9,"Large")</f>
        <v>Large</v>
      </c>
      <c r="K8609" s="36">
        <v>44973</v>
      </c>
      <c r="L8609" s="36">
        <v>44977</v>
      </c>
      <c r="M8609" t="s">
        <v>612</v>
      </c>
      <c r="N8609" t="s">
        <v>608</v>
      </c>
      <c r="O8609" s="37" t="str">
        <f t="shared" si="673"/>
        <v>Cash Payment</v>
      </c>
      <c r="P8609">
        <v>601.07000000000005</v>
      </c>
      <c r="Q8609" s="37" t="str">
        <f>IF(P8609&gt;500,"High","low")</f>
        <v>High</v>
      </c>
      <c r="R8609" s="37" t="str">
        <f t="shared" si="674"/>
        <v>Good</v>
      </c>
      <c r="S8609" t="s">
        <v>628</v>
      </c>
    </row>
    <row r="8610" spans="1:19" x14ac:dyDescent="0.2">
      <c r="A8610" t="s">
        <v>9221</v>
      </c>
      <c r="B8610" t="s">
        <v>67</v>
      </c>
      <c r="C8610" t="s">
        <v>597</v>
      </c>
      <c r="D8610">
        <v>1566.67</v>
      </c>
      <c r="E8610" s="37" t="str">
        <f t="shared" si="670"/>
        <v xml:space="preserve"> </v>
      </c>
      <c r="F8610">
        <v>0.17</v>
      </c>
      <c r="G8610" s="37" t="str">
        <f t="shared" si="671"/>
        <v>Normal Discount</v>
      </c>
      <c r="H8610" s="37" t="str">
        <f t="shared" si="672"/>
        <v>Low</v>
      </c>
      <c r="I8610">
        <v>9</v>
      </c>
      <c r="J8610" t="str" cm="1">
        <f t="array" ref="J8610">_xlfn.IFS(I8610&lt;=3,"small",I8610&lt;=6,"Medium",I8610&lt;=9,"Large")</f>
        <v>Large</v>
      </c>
      <c r="K8610" s="36">
        <v>45425</v>
      </c>
      <c r="L8610" s="36">
        <v>45430</v>
      </c>
      <c r="M8610" t="s">
        <v>598</v>
      </c>
      <c r="N8610" t="s">
        <v>599</v>
      </c>
      <c r="O8610" s="37" t="str">
        <f t="shared" si="673"/>
        <v>Digital Payment</v>
      </c>
      <c r="P8610">
        <v>369.17</v>
      </c>
      <c r="Q8610" s="37" t="str">
        <f>IF(P8610&gt;500,"High","low")</f>
        <v>low</v>
      </c>
      <c r="R8610" s="37" t="str">
        <f t="shared" si="674"/>
        <v>AVERAGE</v>
      </c>
      <c r="S8610" t="s">
        <v>605</v>
      </c>
    </row>
    <row r="8611" spans="1:19" x14ac:dyDescent="0.2">
      <c r="A8611" t="s">
        <v>9222</v>
      </c>
      <c r="B8611" t="s">
        <v>83</v>
      </c>
      <c r="C8611" t="s">
        <v>617</v>
      </c>
      <c r="D8611">
        <v>1028.46</v>
      </c>
      <c r="E8611" s="37" t="str">
        <f t="shared" si="670"/>
        <v xml:space="preserve"> </v>
      </c>
      <c r="F8611">
        <v>0.24</v>
      </c>
      <c r="G8611" s="37" t="str">
        <f t="shared" si="671"/>
        <v>Normal Discount</v>
      </c>
      <c r="H8611" s="37" t="str">
        <f t="shared" si="672"/>
        <v>Medium</v>
      </c>
      <c r="I8611">
        <v>9</v>
      </c>
      <c r="J8611" t="str" cm="1">
        <f t="array" ref="J8611">_xlfn.IFS(I8611&lt;=3,"small",I8611&lt;=6,"Medium",I8611&lt;=9,"Large")</f>
        <v>Large</v>
      </c>
      <c r="K8611" s="36">
        <v>45382</v>
      </c>
      <c r="L8611" s="36">
        <v>45385</v>
      </c>
      <c r="M8611" t="s">
        <v>598</v>
      </c>
      <c r="N8611" t="s">
        <v>608</v>
      </c>
      <c r="O8611" s="37" t="str">
        <f t="shared" si="673"/>
        <v>Cash Payment</v>
      </c>
      <c r="P8611">
        <v>96.09</v>
      </c>
      <c r="Q8611" s="37" t="str">
        <f>IF(P8611&gt;500,"High","low")</f>
        <v>low</v>
      </c>
      <c r="R8611" s="37" t="str">
        <f t="shared" si="674"/>
        <v>AVERAGE</v>
      </c>
      <c r="S8611" t="s">
        <v>600</v>
      </c>
    </row>
    <row r="8612" spans="1:19" x14ac:dyDescent="0.2">
      <c r="A8612" t="s">
        <v>9223</v>
      </c>
      <c r="B8612" t="s">
        <v>83</v>
      </c>
      <c r="C8612" t="s">
        <v>614</v>
      </c>
      <c r="D8612">
        <v>477.13</v>
      </c>
      <c r="E8612" s="37" t="str">
        <f t="shared" si="670"/>
        <v xml:space="preserve"> </v>
      </c>
      <c r="F8612">
        <v>0.14000000000000001</v>
      </c>
      <c r="G8612" s="37" t="str">
        <f t="shared" si="671"/>
        <v>Normal Discount</v>
      </c>
      <c r="H8612" s="37" t="str">
        <f t="shared" si="672"/>
        <v>Low</v>
      </c>
      <c r="I8612">
        <v>1</v>
      </c>
      <c r="J8612" t="str" cm="1">
        <f t="array" ref="J8612">_xlfn.IFS(I8612&lt;=3,"small",I8612&lt;=6,"Medium",I8612&lt;=9,"Large")</f>
        <v>small</v>
      </c>
      <c r="K8612" s="36">
        <v>45407</v>
      </c>
      <c r="L8612" s="36">
        <v>45412</v>
      </c>
      <c r="M8612" t="s">
        <v>612</v>
      </c>
      <c r="N8612" t="s">
        <v>604</v>
      </c>
      <c r="O8612" s="37" t="str">
        <f t="shared" si="673"/>
        <v>Digital Payment</v>
      </c>
      <c r="P8612">
        <v>133.62</v>
      </c>
      <c r="Q8612" s="37" t="str">
        <f>IF(P8612&gt;500,"High","low")</f>
        <v>low</v>
      </c>
      <c r="R8612" s="37" t="str">
        <f t="shared" si="674"/>
        <v>AVERAGE</v>
      </c>
      <c r="S8612" t="s">
        <v>620</v>
      </c>
    </row>
    <row r="8613" spans="1:19" x14ac:dyDescent="0.2">
      <c r="A8613" t="s">
        <v>9224</v>
      </c>
      <c r="B8613" t="s">
        <v>83</v>
      </c>
      <c r="C8613" t="s">
        <v>614</v>
      </c>
      <c r="D8613">
        <v>2971.38</v>
      </c>
      <c r="E8613" s="37" t="str">
        <f t="shared" si="670"/>
        <v xml:space="preserve"> </v>
      </c>
      <c r="F8613">
        <v>0.21</v>
      </c>
      <c r="G8613" s="37" t="str">
        <f t="shared" si="671"/>
        <v>Normal Discount</v>
      </c>
      <c r="H8613" s="37" t="str">
        <f t="shared" si="672"/>
        <v>Medium</v>
      </c>
      <c r="I8613">
        <v>5</v>
      </c>
      <c r="J8613" t="str" cm="1">
        <f t="array" ref="J8613">_xlfn.IFS(I8613&lt;=3,"small",I8613&lt;=6,"Medium",I8613&lt;=9,"Large")</f>
        <v>Medium</v>
      </c>
      <c r="K8613" s="36">
        <v>45630</v>
      </c>
      <c r="L8613" s="36">
        <v>45637</v>
      </c>
      <c r="M8613" t="s">
        <v>603</v>
      </c>
      <c r="N8613" t="s">
        <v>608</v>
      </c>
      <c r="O8613" s="37" t="str">
        <f t="shared" si="673"/>
        <v>Cash Payment</v>
      </c>
      <c r="P8613">
        <v>471.69</v>
      </c>
      <c r="Q8613" s="37" t="str">
        <f>IF(P8613&gt;500,"High","low")</f>
        <v>low</v>
      </c>
      <c r="R8613" s="37" t="str">
        <f t="shared" si="674"/>
        <v>AVERAGE</v>
      </c>
      <c r="S8613" t="s">
        <v>628</v>
      </c>
    </row>
    <row r="8614" spans="1:19" x14ac:dyDescent="0.2">
      <c r="A8614" t="s">
        <v>9225</v>
      </c>
      <c r="B8614" t="s">
        <v>90</v>
      </c>
      <c r="C8614" t="s">
        <v>607</v>
      </c>
      <c r="D8614">
        <v>1491.85</v>
      </c>
      <c r="E8614" s="37" t="str">
        <f t="shared" si="670"/>
        <v xml:space="preserve"> </v>
      </c>
      <c r="F8614">
        <v>0.4</v>
      </c>
      <c r="G8614" s="37" t="str">
        <f t="shared" si="671"/>
        <v>Heavy Discount</v>
      </c>
      <c r="H8614" s="37" t="str">
        <f t="shared" si="672"/>
        <v>Medium</v>
      </c>
      <c r="I8614">
        <v>9</v>
      </c>
      <c r="J8614" t="str" cm="1">
        <f t="array" ref="J8614">_xlfn.IFS(I8614&lt;=3,"small",I8614&lt;=6,"Medium",I8614&lt;=9,"Large")</f>
        <v>Large</v>
      </c>
      <c r="K8614" s="36">
        <v>45279</v>
      </c>
      <c r="L8614" s="36">
        <v>45285</v>
      </c>
      <c r="M8614" t="s">
        <v>612</v>
      </c>
      <c r="N8614" t="s">
        <v>604</v>
      </c>
      <c r="O8614" s="37" t="str">
        <f t="shared" si="673"/>
        <v>Digital Payment</v>
      </c>
      <c r="P8614">
        <v>217.29</v>
      </c>
      <c r="Q8614" s="37" t="str">
        <f>IF(P8614&gt;500,"High","low")</f>
        <v>low</v>
      </c>
      <c r="R8614" s="37" t="str">
        <f t="shared" si="674"/>
        <v>AVERAGE</v>
      </c>
      <c r="S8614" t="s">
        <v>609</v>
      </c>
    </row>
    <row r="8615" spans="1:19" x14ac:dyDescent="0.2">
      <c r="A8615" t="s">
        <v>9226</v>
      </c>
      <c r="B8615" t="s">
        <v>83</v>
      </c>
      <c r="C8615" t="s">
        <v>617</v>
      </c>
      <c r="D8615">
        <v>3189.5</v>
      </c>
      <c r="E8615" s="37" t="str">
        <f t="shared" si="670"/>
        <v xml:space="preserve"> </v>
      </c>
      <c r="F8615">
        <v>0.21</v>
      </c>
      <c r="G8615" s="37" t="str">
        <f t="shared" si="671"/>
        <v>Normal Discount</v>
      </c>
      <c r="H8615" s="37" t="str">
        <f t="shared" si="672"/>
        <v>Medium</v>
      </c>
      <c r="I8615">
        <v>3</v>
      </c>
      <c r="J8615" t="str" cm="1">
        <f t="array" ref="J8615">_xlfn.IFS(I8615&lt;=3,"small",I8615&lt;=6,"Medium",I8615&lt;=9,"Large")</f>
        <v>small</v>
      </c>
      <c r="K8615" s="36">
        <v>45358</v>
      </c>
      <c r="L8615" s="36">
        <v>45365</v>
      </c>
      <c r="M8615" t="s">
        <v>612</v>
      </c>
      <c r="N8615" t="s">
        <v>608</v>
      </c>
      <c r="O8615" s="37" t="str">
        <f t="shared" si="673"/>
        <v>Cash Payment</v>
      </c>
      <c r="P8615">
        <v>753.46</v>
      </c>
      <c r="Q8615" s="37" t="str">
        <f>IF(P8615&gt;500,"High","low")</f>
        <v>High</v>
      </c>
      <c r="R8615" s="37" t="str">
        <f t="shared" si="674"/>
        <v>Good</v>
      </c>
      <c r="S8615" t="s">
        <v>615</v>
      </c>
    </row>
    <row r="8616" spans="1:19" x14ac:dyDescent="0.2">
      <c r="A8616" t="s">
        <v>9227</v>
      </c>
      <c r="B8616" t="s">
        <v>67</v>
      </c>
      <c r="C8616" t="s">
        <v>617</v>
      </c>
      <c r="D8616">
        <v>387.42</v>
      </c>
      <c r="E8616" s="37" t="str">
        <f t="shared" si="670"/>
        <v xml:space="preserve"> </v>
      </c>
      <c r="F8616">
        <v>0.2</v>
      </c>
      <c r="G8616" s="37" t="str">
        <f t="shared" si="671"/>
        <v>Normal Discount</v>
      </c>
      <c r="H8616" s="37" t="str">
        <f t="shared" si="672"/>
        <v>Medium</v>
      </c>
      <c r="I8616">
        <v>7</v>
      </c>
      <c r="J8616" t="str" cm="1">
        <f t="array" ref="J8616">_xlfn.IFS(I8616&lt;=3,"small",I8616&lt;=6,"Medium",I8616&lt;=9,"Large")</f>
        <v>Large</v>
      </c>
      <c r="K8616" s="36">
        <v>45414</v>
      </c>
      <c r="L8616" s="36">
        <v>45419</v>
      </c>
      <c r="M8616" t="s">
        <v>612</v>
      </c>
      <c r="N8616" t="s">
        <v>599</v>
      </c>
      <c r="O8616" s="37" t="str">
        <f t="shared" si="673"/>
        <v>Digital Payment</v>
      </c>
      <c r="P8616">
        <v>76.2</v>
      </c>
      <c r="Q8616" s="37" t="str">
        <f>IF(P8616&gt;500,"High","low")</f>
        <v>low</v>
      </c>
      <c r="R8616" s="37" t="str">
        <f t="shared" si="674"/>
        <v>AVERAGE</v>
      </c>
      <c r="S8616" t="s">
        <v>600</v>
      </c>
    </row>
    <row r="8617" spans="1:19" x14ac:dyDescent="0.2">
      <c r="A8617" t="s">
        <v>9228</v>
      </c>
      <c r="B8617" t="s">
        <v>67</v>
      </c>
      <c r="C8617" t="s">
        <v>607</v>
      </c>
      <c r="D8617">
        <v>1940.75</v>
      </c>
      <c r="E8617" s="37" t="str">
        <f t="shared" si="670"/>
        <v xml:space="preserve"> </v>
      </c>
      <c r="F8617">
        <v>0.43</v>
      </c>
      <c r="G8617" s="37" t="str">
        <f t="shared" si="671"/>
        <v>Heavy Discount</v>
      </c>
      <c r="H8617" s="37" t="str">
        <f t="shared" si="672"/>
        <v>High</v>
      </c>
      <c r="I8617">
        <v>9</v>
      </c>
      <c r="J8617" t="str" cm="1">
        <f t="array" ref="J8617">_xlfn.IFS(I8617&lt;=3,"small",I8617&lt;=6,"Medium",I8617&lt;=9,"Large")</f>
        <v>Large</v>
      </c>
      <c r="K8617" s="36">
        <v>45529</v>
      </c>
      <c r="L8617" s="36">
        <v>45534</v>
      </c>
      <c r="M8617" t="s">
        <v>603</v>
      </c>
      <c r="N8617" t="s">
        <v>604</v>
      </c>
      <c r="O8617" s="37" t="str">
        <f t="shared" si="673"/>
        <v>Digital Payment</v>
      </c>
      <c r="P8617">
        <v>214.56</v>
      </c>
      <c r="Q8617" s="37" t="str">
        <f>IF(P8617&gt;500,"High","low")</f>
        <v>low</v>
      </c>
      <c r="R8617" s="37" t="str">
        <f t="shared" si="674"/>
        <v>AVERAGE</v>
      </c>
      <c r="S8617" t="s">
        <v>609</v>
      </c>
    </row>
    <row r="8618" spans="1:19" x14ac:dyDescent="0.2">
      <c r="A8618" t="s">
        <v>9229</v>
      </c>
      <c r="B8618" t="s">
        <v>83</v>
      </c>
      <c r="C8618" t="s">
        <v>617</v>
      </c>
      <c r="D8618">
        <v>1376.71</v>
      </c>
      <c r="E8618" s="37" t="str">
        <f t="shared" si="670"/>
        <v xml:space="preserve"> </v>
      </c>
      <c r="F8618">
        <v>0</v>
      </c>
      <c r="G8618" s="37" t="str">
        <f t="shared" si="671"/>
        <v>Normal Discount</v>
      </c>
      <c r="H8618" s="37" t="str">
        <f t="shared" si="672"/>
        <v>Low</v>
      </c>
      <c r="I8618">
        <v>2</v>
      </c>
      <c r="J8618" t="str" cm="1">
        <f t="array" ref="J8618">_xlfn.IFS(I8618&lt;=3,"small",I8618&lt;=6,"Medium",I8618&lt;=9,"Large")</f>
        <v>small</v>
      </c>
      <c r="K8618" s="36">
        <v>45420</v>
      </c>
      <c r="L8618" s="36">
        <v>45424</v>
      </c>
      <c r="M8618" t="s">
        <v>598</v>
      </c>
      <c r="N8618" t="s">
        <v>604</v>
      </c>
      <c r="O8618" s="37" t="str">
        <f t="shared" si="673"/>
        <v>Digital Payment</v>
      </c>
      <c r="P8618">
        <v>162.12</v>
      </c>
      <c r="Q8618" s="37" t="str">
        <f>IF(P8618&gt;500,"High","low")</f>
        <v>low</v>
      </c>
      <c r="R8618" s="37" t="str">
        <f t="shared" si="674"/>
        <v>AVERAGE</v>
      </c>
      <c r="S8618" t="s">
        <v>615</v>
      </c>
    </row>
    <row r="8619" spans="1:19" x14ac:dyDescent="0.2">
      <c r="A8619" t="s">
        <v>9230</v>
      </c>
      <c r="B8619" t="s">
        <v>67</v>
      </c>
      <c r="C8619" t="s">
        <v>602</v>
      </c>
      <c r="D8619">
        <v>1914.64</v>
      </c>
      <c r="E8619" s="37" t="str">
        <f t="shared" si="670"/>
        <v xml:space="preserve"> </v>
      </c>
      <c r="F8619">
        <v>0.43</v>
      </c>
      <c r="G8619" s="37" t="str">
        <f t="shared" si="671"/>
        <v>Heavy Discount</v>
      </c>
      <c r="H8619" s="37" t="str">
        <f t="shared" si="672"/>
        <v>High</v>
      </c>
      <c r="I8619">
        <v>2</v>
      </c>
      <c r="J8619" t="str" cm="1">
        <f t="array" ref="J8619">_xlfn.IFS(I8619&lt;=3,"small",I8619&lt;=6,"Medium",I8619&lt;=9,"Large")</f>
        <v>small</v>
      </c>
      <c r="K8619" s="36">
        <v>45584</v>
      </c>
      <c r="L8619" s="36">
        <v>45586</v>
      </c>
      <c r="M8619" t="s">
        <v>603</v>
      </c>
      <c r="N8619" t="s">
        <v>599</v>
      </c>
      <c r="O8619" s="37" t="str">
        <f t="shared" si="673"/>
        <v>Digital Payment</v>
      </c>
      <c r="P8619">
        <v>400.79</v>
      </c>
      <c r="Q8619" s="37" t="str">
        <f>IF(P8619&gt;500,"High","low")</f>
        <v>low</v>
      </c>
      <c r="R8619" s="37" t="str">
        <f t="shared" si="674"/>
        <v>AVERAGE</v>
      </c>
      <c r="S8619" t="s">
        <v>600</v>
      </c>
    </row>
    <row r="8620" spans="1:19" x14ac:dyDescent="0.2">
      <c r="A8620" t="s">
        <v>9231</v>
      </c>
      <c r="B8620" t="s">
        <v>83</v>
      </c>
      <c r="C8620" t="s">
        <v>597</v>
      </c>
      <c r="D8620">
        <v>365.99</v>
      </c>
      <c r="E8620" s="37" t="str">
        <f t="shared" si="670"/>
        <v xml:space="preserve"> </v>
      </c>
      <c r="F8620">
        <v>0.09</v>
      </c>
      <c r="G8620" s="37" t="str">
        <f t="shared" si="671"/>
        <v>Normal Discount</v>
      </c>
      <c r="H8620" s="37" t="str">
        <f t="shared" si="672"/>
        <v>Low</v>
      </c>
      <c r="I8620">
        <v>5</v>
      </c>
      <c r="J8620" t="str" cm="1">
        <f t="array" ref="J8620">_xlfn.IFS(I8620&lt;=3,"small",I8620&lt;=6,"Medium",I8620&lt;=9,"Large")</f>
        <v>Medium</v>
      </c>
      <c r="K8620" s="36">
        <v>45044</v>
      </c>
      <c r="L8620" s="36">
        <v>45049</v>
      </c>
      <c r="M8620" t="s">
        <v>603</v>
      </c>
      <c r="N8620" t="s">
        <v>604</v>
      </c>
      <c r="O8620" s="37" t="str">
        <f t="shared" si="673"/>
        <v>Digital Payment</v>
      </c>
      <c r="P8620">
        <v>54.05</v>
      </c>
      <c r="Q8620" s="37" t="str">
        <f>IF(P8620&gt;500,"High","low")</f>
        <v>low</v>
      </c>
      <c r="R8620" s="37" t="str">
        <f t="shared" si="674"/>
        <v>AVERAGE</v>
      </c>
      <c r="S8620" t="s">
        <v>620</v>
      </c>
    </row>
    <row r="8621" spans="1:19" x14ac:dyDescent="0.2">
      <c r="A8621" t="s">
        <v>9232</v>
      </c>
      <c r="B8621" t="s">
        <v>83</v>
      </c>
      <c r="C8621" t="s">
        <v>607</v>
      </c>
      <c r="D8621">
        <v>3648.49</v>
      </c>
      <c r="E8621" s="37" t="str">
        <f t="shared" si="670"/>
        <v xml:space="preserve"> </v>
      </c>
      <c r="F8621">
        <v>0.14000000000000001</v>
      </c>
      <c r="G8621" s="37" t="str">
        <f t="shared" si="671"/>
        <v>Normal Discount</v>
      </c>
      <c r="H8621" s="37" t="str">
        <f t="shared" si="672"/>
        <v>Low</v>
      </c>
      <c r="I8621">
        <v>8</v>
      </c>
      <c r="J8621" t="str" cm="1">
        <f t="array" ref="J8621">_xlfn.IFS(I8621&lt;=3,"small",I8621&lt;=6,"Medium",I8621&lt;=9,"Large")</f>
        <v>Large</v>
      </c>
      <c r="K8621" s="36">
        <v>45099</v>
      </c>
      <c r="L8621" s="36">
        <v>45106</v>
      </c>
      <c r="M8621" t="s">
        <v>612</v>
      </c>
      <c r="N8621" t="s">
        <v>608</v>
      </c>
      <c r="O8621" s="37" t="str">
        <f t="shared" si="673"/>
        <v>Cash Payment</v>
      </c>
      <c r="P8621">
        <v>557.97</v>
      </c>
      <c r="Q8621" s="37" t="str">
        <f>IF(P8621&gt;500,"High","low")</f>
        <v>High</v>
      </c>
      <c r="R8621" s="37" t="str">
        <f t="shared" si="674"/>
        <v>Good</v>
      </c>
      <c r="S8621" t="s">
        <v>609</v>
      </c>
    </row>
    <row r="8622" spans="1:19" x14ac:dyDescent="0.2">
      <c r="A8622" t="s">
        <v>9233</v>
      </c>
      <c r="B8622" t="s">
        <v>75</v>
      </c>
      <c r="C8622" t="s">
        <v>614</v>
      </c>
      <c r="D8622">
        <v>671.82</v>
      </c>
      <c r="E8622" s="37" t="str">
        <f t="shared" si="670"/>
        <v xml:space="preserve"> </v>
      </c>
      <c r="F8622">
        <v>0.18</v>
      </c>
      <c r="G8622" s="37" t="str">
        <f t="shared" si="671"/>
        <v>Normal Discount</v>
      </c>
      <c r="H8622" s="37" t="str">
        <f t="shared" si="672"/>
        <v>Low</v>
      </c>
      <c r="I8622">
        <v>5</v>
      </c>
      <c r="J8622" t="str" cm="1">
        <f t="array" ref="J8622">_xlfn.IFS(I8622&lt;=3,"small",I8622&lt;=6,"Medium",I8622&lt;=9,"Large")</f>
        <v>Medium</v>
      </c>
      <c r="K8622" s="36">
        <v>45163</v>
      </c>
      <c r="L8622" s="36">
        <v>45164</v>
      </c>
      <c r="M8622" t="s">
        <v>603</v>
      </c>
      <c r="N8622" t="s">
        <v>604</v>
      </c>
      <c r="O8622" s="37" t="str">
        <f t="shared" si="673"/>
        <v>Digital Payment</v>
      </c>
      <c r="P8622">
        <v>146.97</v>
      </c>
      <c r="Q8622" s="37" t="str">
        <f>IF(P8622&gt;500,"High","low")</f>
        <v>low</v>
      </c>
      <c r="R8622" s="37" t="str">
        <f t="shared" si="674"/>
        <v>AVERAGE</v>
      </c>
      <c r="S8622" t="s">
        <v>605</v>
      </c>
    </row>
    <row r="8623" spans="1:19" x14ac:dyDescent="0.2">
      <c r="A8623" t="s">
        <v>9234</v>
      </c>
      <c r="B8623" t="s">
        <v>90</v>
      </c>
      <c r="C8623" t="s">
        <v>617</v>
      </c>
      <c r="D8623">
        <v>170.57</v>
      </c>
      <c r="E8623" s="37" t="str">
        <f t="shared" si="670"/>
        <v xml:space="preserve"> </v>
      </c>
      <c r="F8623">
        <v>0.44</v>
      </c>
      <c r="G8623" s="37" t="str">
        <f t="shared" si="671"/>
        <v>Heavy Discount</v>
      </c>
      <c r="H8623" s="37" t="str">
        <f t="shared" si="672"/>
        <v>High</v>
      </c>
      <c r="I8623">
        <v>8</v>
      </c>
      <c r="J8623" t="str" cm="1">
        <f t="array" ref="J8623">_xlfn.IFS(I8623&lt;=3,"small",I8623&lt;=6,"Medium",I8623&lt;=9,"Large")</f>
        <v>Large</v>
      </c>
      <c r="K8623" s="36">
        <v>44950</v>
      </c>
      <c r="L8623" s="36">
        <v>44955</v>
      </c>
      <c r="M8623" t="s">
        <v>603</v>
      </c>
      <c r="N8623" t="s">
        <v>604</v>
      </c>
      <c r="O8623" s="37" t="str">
        <f t="shared" si="673"/>
        <v>Digital Payment</v>
      </c>
      <c r="P8623">
        <v>34.880000000000003</v>
      </c>
      <c r="Q8623" s="37" t="str">
        <f>IF(P8623&gt;500,"High","low")</f>
        <v>low</v>
      </c>
      <c r="R8623" s="37" t="str">
        <f t="shared" si="674"/>
        <v>AVERAGE</v>
      </c>
      <c r="S8623" t="s">
        <v>615</v>
      </c>
    </row>
    <row r="8624" spans="1:19" x14ac:dyDescent="0.2">
      <c r="A8624" t="s">
        <v>9235</v>
      </c>
      <c r="B8624" t="s">
        <v>90</v>
      </c>
      <c r="C8624" t="s">
        <v>602</v>
      </c>
      <c r="D8624">
        <v>4736.82</v>
      </c>
      <c r="E8624" s="37" t="str">
        <f t="shared" si="670"/>
        <v xml:space="preserve"> </v>
      </c>
      <c r="F8624">
        <v>0.45</v>
      </c>
      <c r="G8624" s="37" t="str">
        <f t="shared" si="671"/>
        <v>Heavy Discount</v>
      </c>
      <c r="H8624" s="37" t="str">
        <f t="shared" si="672"/>
        <v>High</v>
      </c>
      <c r="I8624">
        <v>4</v>
      </c>
      <c r="J8624" t="str" cm="1">
        <f t="array" ref="J8624">_xlfn.IFS(I8624&lt;=3,"small",I8624&lt;=6,"Medium",I8624&lt;=9,"Large")</f>
        <v>Medium</v>
      </c>
      <c r="K8624" s="36">
        <v>45012</v>
      </c>
      <c r="L8624" s="36">
        <v>45017</v>
      </c>
      <c r="M8624" t="s">
        <v>598</v>
      </c>
      <c r="N8624" t="s">
        <v>608</v>
      </c>
      <c r="O8624" s="37" t="str">
        <f t="shared" si="673"/>
        <v>Cash Payment</v>
      </c>
      <c r="P8624">
        <v>436.57</v>
      </c>
      <c r="Q8624" s="37" t="str">
        <f>IF(P8624&gt;500,"High","low")</f>
        <v>low</v>
      </c>
      <c r="R8624" s="37" t="str">
        <f t="shared" si="674"/>
        <v>AVERAGE</v>
      </c>
      <c r="S8624" t="s">
        <v>609</v>
      </c>
    </row>
    <row r="8625" spans="1:19" x14ac:dyDescent="0.2">
      <c r="A8625" t="s">
        <v>9236</v>
      </c>
      <c r="B8625" t="s">
        <v>75</v>
      </c>
      <c r="C8625" t="s">
        <v>602</v>
      </c>
      <c r="D8625">
        <v>1045.0899999999999</v>
      </c>
      <c r="E8625" s="37" t="str">
        <f t="shared" si="670"/>
        <v xml:space="preserve"> </v>
      </c>
      <c r="F8625">
        <v>0.33</v>
      </c>
      <c r="G8625" s="37" t="str">
        <f t="shared" si="671"/>
        <v>Heavy Discount</v>
      </c>
      <c r="H8625" s="37" t="str">
        <f t="shared" si="672"/>
        <v>Medium</v>
      </c>
      <c r="I8625">
        <v>9</v>
      </c>
      <c r="J8625" t="str" cm="1">
        <f t="array" ref="J8625">_xlfn.IFS(I8625&lt;=3,"small",I8625&lt;=6,"Medium",I8625&lt;=9,"Large")</f>
        <v>Large</v>
      </c>
      <c r="K8625" s="36">
        <v>45497</v>
      </c>
      <c r="L8625" s="36">
        <v>45501</v>
      </c>
      <c r="M8625" t="s">
        <v>603</v>
      </c>
      <c r="N8625" t="s">
        <v>604</v>
      </c>
      <c r="O8625" s="37" t="str">
        <f t="shared" si="673"/>
        <v>Digital Payment</v>
      </c>
      <c r="P8625">
        <v>282.52</v>
      </c>
      <c r="Q8625" s="37" t="str">
        <f>IF(P8625&gt;500,"High","low")</f>
        <v>low</v>
      </c>
      <c r="R8625" s="37" t="str">
        <f t="shared" si="674"/>
        <v>AVERAGE</v>
      </c>
      <c r="S8625" t="s">
        <v>600</v>
      </c>
    </row>
    <row r="8626" spans="1:19" x14ac:dyDescent="0.2">
      <c r="A8626" t="s">
        <v>9237</v>
      </c>
      <c r="B8626" t="s">
        <v>75</v>
      </c>
      <c r="C8626" t="s">
        <v>597</v>
      </c>
      <c r="D8626">
        <v>4157.5</v>
      </c>
      <c r="E8626" s="37" t="str">
        <f t="shared" si="670"/>
        <v xml:space="preserve"> </v>
      </c>
      <c r="F8626">
        <v>0.22</v>
      </c>
      <c r="G8626" s="37" t="str">
        <f t="shared" si="671"/>
        <v>Normal Discount</v>
      </c>
      <c r="H8626" s="37" t="str">
        <f t="shared" si="672"/>
        <v>Medium</v>
      </c>
      <c r="I8626">
        <v>4</v>
      </c>
      <c r="J8626" t="str" cm="1">
        <f t="array" ref="J8626">_xlfn.IFS(I8626&lt;=3,"small",I8626&lt;=6,"Medium",I8626&lt;=9,"Large")</f>
        <v>Medium</v>
      </c>
      <c r="K8626" s="36">
        <v>45185</v>
      </c>
      <c r="L8626" s="36">
        <v>45189</v>
      </c>
      <c r="M8626" t="s">
        <v>603</v>
      </c>
      <c r="N8626" t="s">
        <v>604</v>
      </c>
      <c r="O8626" s="37" t="str">
        <f t="shared" si="673"/>
        <v>Digital Payment</v>
      </c>
      <c r="P8626">
        <v>549.12</v>
      </c>
      <c r="Q8626" s="37" t="str">
        <f>IF(P8626&gt;500,"High","low")</f>
        <v>High</v>
      </c>
      <c r="R8626" s="37" t="str">
        <f t="shared" si="674"/>
        <v>Good</v>
      </c>
      <c r="S8626" t="s">
        <v>609</v>
      </c>
    </row>
    <row r="8627" spans="1:19" x14ac:dyDescent="0.2">
      <c r="A8627" t="s">
        <v>9238</v>
      </c>
      <c r="B8627" t="s">
        <v>90</v>
      </c>
      <c r="C8627" t="s">
        <v>602</v>
      </c>
      <c r="D8627">
        <v>4825.91</v>
      </c>
      <c r="E8627" s="37" t="str">
        <f t="shared" si="670"/>
        <v>Excellent Order</v>
      </c>
      <c r="F8627">
        <v>0.26</v>
      </c>
      <c r="G8627" s="37" t="str">
        <f t="shared" si="671"/>
        <v>Normal Discount</v>
      </c>
      <c r="H8627" s="37" t="str">
        <f t="shared" si="672"/>
        <v>Medium</v>
      </c>
      <c r="I8627">
        <v>5</v>
      </c>
      <c r="J8627" t="str" cm="1">
        <f t="array" ref="J8627">_xlfn.IFS(I8627&lt;=3,"small",I8627&lt;=6,"Medium",I8627&lt;=9,"Large")</f>
        <v>Medium</v>
      </c>
      <c r="K8627" s="36">
        <v>44993</v>
      </c>
      <c r="L8627" s="36">
        <v>45000</v>
      </c>
      <c r="M8627" t="s">
        <v>612</v>
      </c>
      <c r="N8627" t="s">
        <v>599</v>
      </c>
      <c r="O8627" s="37" t="str">
        <f t="shared" si="673"/>
        <v>Digital Payment</v>
      </c>
      <c r="P8627">
        <v>1049.67</v>
      </c>
      <c r="Q8627" s="37" t="str">
        <f>IF(P8627&gt;500,"High","low")</f>
        <v>High</v>
      </c>
      <c r="R8627" s="37" t="str">
        <f t="shared" si="674"/>
        <v>Excellent</v>
      </c>
      <c r="S8627" t="s">
        <v>600</v>
      </c>
    </row>
    <row r="8628" spans="1:19" x14ac:dyDescent="0.2">
      <c r="A8628" t="s">
        <v>9239</v>
      </c>
      <c r="B8628" t="s">
        <v>83</v>
      </c>
      <c r="C8628" t="s">
        <v>617</v>
      </c>
      <c r="D8628">
        <v>2717.19</v>
      </c>
      <c r="E8628" s="37" t="str">
        <f t="shared" si="670"/>
        <v xml:space="preserve"> </v>
      </c>
      <c r="F8628">
        <v>0.28999999999999998</v>
      </c>
      <c r="G8628" s="37" t="str">
        <f t="shared" si="671"/>
        <v>Normal Discount</v>
      </c>
      <c r="H8628" s="37" t="str">
        <f t="shared" si="672"/>
        <v>Medium</v>
      </c>
      <c r="I8628">
        <v>7</v>
      </c>
      <c r="J8628" t="str" cm="1">
        <f t="array" ref="J8628">_xlfn.IFS(I8628&lt;=3,"small",I8628&lt;=6,"Medium",I8628&lt;=9,"Large")</f>
        <v>Large</v>
      </c>
      <c r="K8628" s="36">
        <v>44940</v>
      </c>
      <c r="L8628" s="36">
        <v>44944</v>
      </c>
      <c r="M8628" t="s">
        <v>612</v>
      </c>
      <c r="N8628" t="s">
        <v>608</v>
      </c>
      <c r="O8628" s="37" t="str">
        <f t="shared" si="673"/>
        <v>Cash Payment</v>
      </c>
      <c r="P8628">
        <v>763.13</v>
      </c>
      <c r="Q8628" s="37" t="str">
        <f>IF(P8628&gt;500,"High","low")</f>
        <v>High</v>
      </c>
      <c r="R8628" s="37" t="str">
        <f t="shared" si="674"/>
        <v>Good</v>
      </c>
      <c r="S8628" t="s">
        <v>605</v>
      </c>
    </row>
    <row r="8629" spans="1:19" x14ac:dyDescent="0.2">
      <c r="A8629" t="s">
        <v>9240</v>
      </c>
      <c r="B8629" t="s">
        <v>83</v>
      </c>
      <c r="C8629" t="s">
        <v>617</v>
      </c>
      <c r="D8629">
        <v>2677.98</v>
      </c>
      <c r="E8629" s="37" t="str">
        <f t="shared" si="670"/>
        <v xml:space="preserve"> </v>
      </c>
      <c r="F8629">
        <v>0.48</v>
      </c>
      <c r="G8629" s="37" t="str">
        <f t="shared" si="671"/>
        <v>Heavy Discount</v>
      </c>
      <c r="H8629" s="37" t="str">
        <f t="shared" si="672"/>
        <v>High</v>
      </c>
      <c r="I8629">
        <v>9</v>
      </c>
      <c r="J8629" t="str" cm="1">
        <f t="array" ref="J8629">_xlfn.IFS(I8629&lt;=3,"small",I8629&lt;=6,"Medium",I8629&lt;=9,"Large")</f>
        <v>Large</v>
      </c>
      <c r="K8629" s="36">
        <v>45022</v>
      </c>
      <c r="L8629" s="36">
        <v>45029</v>
      </c>
      <c r="M8629" t="s">
        <v>603</v>
      </c>
      <c r="N8629" t="s">
        <v>604</v>
      </c>
      <c r="O8629" s="37" t="str">
        <f t="shared" si="673"/>
        <v>Digital Payment</v>
      </c>
      <c r="P8629">
        <v>428.37</v>
      </c>
      <c r="Q8629" s="37" t="str">
        <f>IF(P8629&gt;500,"High","low")</f>
        <v>low</v>
      </c>
      <c r="R8629" s="37" t="str">
        <f t="shared" si="674"/>
        <v>AVERAGE</v>
      </c>
      <c r="S8629" t="s">
        <v>609</v>
      </c>
    </row>
    <row r="8630" spans="1:19" x14ac:dyDescent="0.2">
      <c r="A8630" t="s">
        <v>9241</v>
      </c>
      <c r="B8630" t="s">
        <v>90</v>
      </c>
      <c r="C8630" t="s">
        <v>602</v>
      </c>
      <c r="D8630">
        <v>1900.34</v>
      </c>
      <c r="E8630" s="37" t="str">
        <f t="shared" si="670"/>
        <v xml:space="preserve"> </v>
      </c>
      <c r="F8630">
        <v>0.48</v>
      </c>
      <c r="G8630" s="37" t="str">
        <f t="shared" si="671"/>
        <v>Heavy Discount</v>
      </c>
      <c r="H8630" s="37" t="str">
        <f t="shared" si="672"/>
        <v>High</v>
      </c>
      <c r="I8630">
        <v>5</v>
      </c>
      <c r="J8630" t="str" cm="1">
        <f t="array" ref="J8630">_xlfn.IFS(I8630&lt;=3,"small",I8630&lt;=6,"Medium",I8630&lt;=9,"Large")</f>
        <v>Medium</v>
      </c>
      <c r="K8630" s="36">
        <v>45383</v>
      </c>
      <c r="L8630" s="36">
        <v>45389</v>
      </c>
      <c r="M8630" t="s">
        <v>598</v>
      </c>
      <c r="N8630" t="s">
        <v>604</v>
      </c>
      <c r="O8630" s="37" t="str">
        <f t="shared" si="673"/>
        <v>Digital Payment</v>
      </c>
      <c r="P8630">
        <v>328.55</v>
      </c>
      <c r="Q8630" s="37" t="str">
        <f>IF(P8630&gt;500,"High","low")</f>
        <v>low</v>
      </c>
      <c r="R8630" s="37" t="str">
        <f t="shared" si="674"/>
        <v>AVERAGE</v>
      </c>
      <c r="S8630" t="s">
        <v>605</v>
      </c>
    </row>
    <row r="8631" spans="1:19" x14ac:dyDescent="0.2">
      <c r="A8631" t="s">
        <v>9242</v>
      </c>
      <c r="B8631" t="s">
        <v>83</v>
      </c>
      <c r="C8631" t="s">
        <v>617</v>
      </c>
      <c r="D8631">
        <v>2185.41</v>
      </c>
      <c r="E8631" s="37" t="str">
        <f t="shared" si="670"/>
        <v xml:space="preserve"> </v>
      </c>
      <c r="F8631">
        <v>0.42</v>
      </c>
      <c r="G8631" s="37" t="str">
        <f t="shared" si="671"/>
        <v>Heavy Discount</v>
      </c>
      <c r="H8631" s="37" t="str">
        <f t="shared" si="672"/>
        <v>High</v>
      </c>
      <c r="I8631">
        <v>7</v>
      </c>
      <c r="J8631" t="str" cm="1">
        <f t="array" ref="J8631">_xlfn.IFS(I8631&lt;=3,"small",I8631&lt;=6,"Medium",I8631&lt;=9,"Large")</f>
        <v>Large</v>
      </c>
      <c r="K8631" s="36">
        <v>45143</v>
      </c>
      <c r="L8631" s="36">
        <v>45150</v>
      </c>
      <c r="M8631" t="s">
        <v>612</v>
      </c>
      <c r="N8631" t="s">
        <v>608</v>
      </c>
      <c r="O8631" s="37" t="str">
        <f t="shared" si="673"/>
        <v>Cash Payment</v>
      </c>
      <c r="P8631">
        <v>478.09</v>
      </c>
      <c r="Q8631" s="37" t="str">
        <f>IF(P8631&gt;500,"High","low")</f>
        <v>low</v>
      </c>
      <c r="R8631" s="37" t="str">
        <f t="shared" si="674"/>
        <v>AVERAGE</v>
      </c>
      <c r="S8631" t="s">
        <v>600</v>
      </c>
    </row>
    <row r="8632" spans="1:19" x14ac:dyDescent="0.2">
      <c r="A8632" t="s">
        <v>9243</v>
      </c>
      <c r="B8632" t="s">
        <v>75</v>
      </c>
      <c r="C8632" t="s">
        <v>617</v>
      </c>
      <c r="D8632">
        <v>2462.17</v>
      </c>
      <c r="E8632" s="37" t="str">
        <f t="shared" si="670"/>
        <v xml:space="preserve"> </v>
      </c>
      <c r="F8632">
        <v>0.28999999999999998</v>
      </c>
      <c r="G8632" s="37" t="str">
        <f t="shared" si="671"/>
        <v>Normal Discount</v>
      </c>
      <c r="H8632" s="37" t="str">
        <f t="shared" si="672"/>
        <v>Medium</v>
      </c>
      <c r="I8632">
        <v>4</v>
      </c>
      <c r="J8632" t="str" cm="1">
        <f t="array" ref="J8632">_xlfn.IFS(I8632&lt;=3,"small",I8632&lt;=6,"Medium",I8632&lt;=9,"Large")</f>
        <v>Medium</v>
      </c>
      <c r="K8632" s="36">
        <v>45635</v>
      </c>
      <c r="L8632" s="36">
        <v>45639</v>
      </c>
      <c r="M8632" t="s">
        <v>612</v>
      </c>
      <c r="N8632" t="s">
        <v>599</v>
      </c>
      <c r="O8632" s="37" t="str">
        <f t="shared" si="673"/>
        <v>Digital Payment</v>
      </c>
      <c r="P8632">
        <v>325.42</v>
      </c>
      <c r="Q8632" s="37" t="str">
        <f>IF(P8632&gt;500,"High","low")</f>
        <v>low</v>
      </c>
      <c r="R8632" s="37" t="str">
        <f t="shared" si="674"/>
        <v>AVERAGE</v>
      </c>
      <c r="S8632" t="s">
        <v>609</v>
      </c>
    </row>
    <row r="8633" spans="1:19" x14ac:dyDescent="0.2">
      <c r="A8633" t="s">
        <v>9244</v>
      </c>
      <c r="B8633" t="s">
        <v>83</v>
      </c>
      <c r="C8633" t="s">
        <v>614</v>
      </c>
      <c r="D8633">
        <v>845.26</v>
      </c>
      <c r="E8633" s="37" t="str">
        <f t="shared" si="670"/>
        <v xml:space="preserve"> </v>
      </c>
      <c r="F8633">
        <v>0.2</v>
      </c>
      <c r="G8633" s="37" t="str">
        <f t="shared" si="671"/>
        <v>Normal Discount</v>
      </c>
      <c r="H8633" s="37" t="str">
        <f t="shared" si="672"/>
        <v>Medium</v>
      </c>
      <c r="I8633">
        <v>2</v>
      </c>
      <c r="J8633" t="str" cm="1">
        <f t="array" ref="J8633">_xlfn.IFS(I8633&lt;=3,"small",I8633&lt;=6,"Medium",I8633&lt;=9,"Large")</f>
        <v>small</v>
      </c>
      <c r="K8633" s="36">
        <v>45116</v>
      </c>
      <c r="L8633" s="36">
        <v>45121</v>
      </c>
      <c r="M8633" t="s">
        <v>612</v>
      </c>
      <c r="N8633" t="s">
        <v>604</v>
      </c>
      <c r="O8633" s="37" t="str">
        <f t="shared" si="673"/>
        <v>Digital Payment</v>
      </c>
      <c r="P8633">
        <v>116.93</v>
      </c>
      <c r="Q8633" s="37" t="str">
        <f>IF(P8633&gt;500,"High","low")</f>
        <v>low</v>
      </c>
      <c r="R8633" s="37" t="str">
        <f t="shared" si="674"/>
        <v>AVERAGE</v>
      </c>
      <c r="S8633" t="s">
        <v>609</v>
      </c>
    </row>
    <row r="8634" spans="1:19" x14ac:dyDescent="0.2">
      <c r="A8634" t="s">
        <v>9245</v>
      </c>
      <c r="B8634" t="s">
        <v>83</v>
      </c>
      <c r="C8634" t="s">
        <v>607</v>
      </c>
      <c r="D8634">
        <v>1887.21</v>
      </c>
      <c r="E8634" s="37" t="str">
        <f t="shared" si="670"/>
        <v xml:space="preserve"> </v>
      </c>
      <c r="F8634">
        <v>0.12</v>
      </c>
      <c r="G8634" s="37" t="str">
        <f t="shared" si="671"/>
        <v>Normal Discount</v>
      </c>
      <c r="H8634" s="37" t="str">
        <f t="shared" si="672"/>
        <v>Low</v>
      </c>
      <c r="I8634">
        <v>2</v>
      </c>
      <c r="J8634" t="str" cm="1">
        <f t="array" ref="J8634">_xlfn.IFS(I8634&lt;=3,"small",I8634&lt;=6,"Medium",I8634&lt;=9,"Large")</f>
        <v>small</v>
      </c>
      <c r="K8634" s="36">
        <v>45387</v>
      </c>
      <c r="L8634" s="36">
        <v>45392</v>
      </c>
      <c r="M8634" t="s">
        <v>603</v>
      </c>
      <c r="N8634" t="s">
        <v>599</v>
      </c>
      <c r="O8634" s="37" t="str">
        <f t="shared" si="673"/>
        <v>Digital Payment</v>
      </c>
      <c r="P8634">
        <v>373.38</v>
      </c>
      <c r="Q8634" s="37" t="str">
        <f>IF(P8634&gt;500,"High","low")</f>
        <v>low</v>
      </c>
      <c r="R8634" s="37" t="str">
        <f t="shared" si="674"/>
        <v>AVERAGE</v>
      </c>
      <c r="S8634" t="s">
        <v>609</v>
      </c>
    </row>
    <row r="8635" spans="1:19" x14ac:dyDescent="0.2">
      <c r="A8635" t="s">
        <v>9246</v>
      </c>
      <c r="B8635" t="s">
        <v>67</v>
      </c>
      <c r="C8635" t="s">
        <v>617</v>
      </c>
      <c r="D8635">
        <v>4098.93</v>
      </c>
      <c r="E8635" s="37" t="str">
        <f t="shared" si="670"/>
        <v xml:space="preserve"> </v>
      </c>
      <c r="F8635">
        <v>0.27</v>
      </c>
      <c r="G8635" s="37" t="str">
        <f t="shared" si="671"/>
        <v>Normal Discount</v>
      </c>
      <c r="H8635" s="37" t="str">
        <f t="shared" si="672"/>
        <v>Medium</v>
      </c>
      <c r="I8635">
        <v>5</v>
      </c>
      <c r="J8635" t="str" cm="1">
        <f t="array" ref="J8635">_xlfn.IFS(I8635&lt;=3,"small",I8635&lt;=6,"Medium",I8635&lt;=9,"Large")</f>
        <v>Medium</v>
      </c>
      <c r="K8635" s="36">
        <v>45625</v>
      </c>
      <c r="L8635" s="36">
        <v>45628</v>
      </c>
      <c r="M8635" t="s">
        <v>603</v>
      </c>
      <c r="N8635" t="s">
        <v>608</v>
      </c>
      <c r="O8635" s="37" t="str">
        <f t="shared" si="673"/>
        <v>Cash Payment</v>
      </c>
      <c r="P8635">
        <v>526.80999999999995</v>
      </c>
      <c r="Q8635" s="37" t="str">
        <f>IF(P8635&gt;500,"High","low")</f>
        <v>High</v>
      </c>
      <c r="R8635" s="37" t="str">
        <f t="shared" si="674"/>
        <v>Good</v>
      </c>
      <c r="S8635" t="s">
        <v>600</v>
      </c>
    </row>
    <row r="8636" spans="1:19" x14ac:dyDescent="0.2">
      <c r="A8636" t="s">
        <v>9247</v>
      </c>
      <c r="B8636" t="s">
        <v>67</v>
      </c>
      <c r="C8636" t="s">
        <v>617</v>
      </c>
      <c r="D8636">
        <v>993.75</v>
      </c>
      <c r="E8636" s="37" t="str">
        <f t="shared" si="670"/>
        <v xml:space="preserve"> </v>
      </c>
      <c r="F8636">
        <v>0.17</v>
      </c>
      <c r="G8636" s="37" t="str">
        <f t="shared" si="671"/>
        <v>Normal Discount</v>
      </c>
      <c r="H8636" s="37" t="str">
        <f t="shared" si="672"/>
        <v>Low</v>
      </c>
      <c r="I8636">
        <v>2</v>
      </c>
      <c r="J8636" t="str" cm="1">
        <f t="array" ref="J8636">_xlfn.IFS(I8636&lt;=3,"small",I8636&lt;=6,"Medium",I8636&lt;=9,"Large")</f>
        <v>small</v>
      </c>
      <c r="K8636" s="36">
        <v>45277</v>
      </c>
      <c r="L8636" s="36">
        <v>45281</v>
      </c>
      <c r="M8636" t="s">
        <v>612</v>
      </c>
      <c r="N8636" t="s">
        <v>608</v>
      </c>
      <c r="O8636" s="37" t="str">
        <f t="shared" si="673"/>
        <v>Cash Payment</v>
      </c>
      <c r="P8636">
        <v>127.47</v>
      </c>
      <c r="Q8636" s="37" t="str">
        <f>IF(P8636&gt;500,"High","low")</f>
        <v>low</v>
      </c>
      <c r="R8636" s="37" t="str">
        <f t="shared" si="674"/>
        <v>AVERAGE</v>
      </c>
      <c r="S8636" t="s">
        <v>600</v>
      </c>
    </row>
    <row r="8637" spans="1:19" x14ac:dyDescent="0.2">
      <c r="A8637" t="s">
        <v>9248</v>
      </c>
      <c r="B8637" t="s">
        <v>67</v>
      </c>
      <c r="C8637" t="s">
        <v>597</v>
      </c>
      <c r="D8637">
        <v>3676.28</v>
      </c>
      <c r="E8637" s="37" t="str">
        <f t="shared" si="670"/>
        <v xml:space="preserve"> </v>
      </c>
      <c r="F8637">
        <v>0.04</v>
      </c>
      <c r="G8637" s="37" t="str">
        <f t="shared" si="671"/>
        <v>Normal Discount</v>
      </c>
      <c r="H8637" s="37" t="str">
        <f t="shared" si="672"/>
        <v>Low</v>
      </c>
      <c r="I8637">
        <v>2</v>
      </c>
      <c r="J8637" t="str" cm="1">
        <f t="array" ref="J8637">_xlfn.IFS(I8637&lt;=3,"small",I8637&lt;=6,"Medium",I8637&lt;=9,"Large")</f>
        <v>small</v>
      </c>
      <c r="K8637" s="36">
        <v>45075</v>
      </c>
      <c r="L8637" s="36">
        <v>45078</v>
      </c>
      <c r="M8637" t="s">
        <v>598</v>
      </c>
      <c r="N8637" t="s">
        <v>608</v>
      </c>
      <c r="O8637" s="37" t="str">
        <f t="shared" si="673"/>
        <v>Cash Payment</v>
      </c>
      <c r="P8637">
        <v>920.27</v>
      </c>
      <c r="Q8637" s="37" t="str">
        <f>IF(P8637&gt;500,"High","low")</f>
        <v>High</v>
      </c>
      <c r="R8637" s="37" t="str">
        <f t="shared" si="674"/>
        <v>Good</v>
      </c>
      <c r="S8637" t="s">
        <v>600</v>
      </c>
    </row>
    <row r="8638" spans="1:19" x14ac:dyDescent="0.2">
      <c r="A8638" t="s">
        <v>9249</v>
      </c>
      <c r="B8638" t="s">
        <v>83</v>
      </c>
      <c r="C8638" t="s">
        <v>607</v>
      </c>
      <c r="D8638">
        <v>3292.77</v>
      </c>
      <c r="E8638" s="37" t="str">
        <f t="shared" si="670"/>
        <v xml:space="preserve"> </v>
      </c>
      <c r="F8638">
        <v>0.24</v>
      </c>
      <c r="G8638" s="37" t="str">
        <f t="shared" si="671"/>
        <v>Normal Discount</v>
      </c>
      <c r="H8638" s="37" t="str">
        <f t="shared" si="672"/>
        <v>Medium</v>
      </c>
      <c r="I8638">
        <v>2</v>
      </c>
      <c r="J8638" t="str" cm="1">
        <f t="array" ref="J8638">_xlfn.IFS(I8638&lt;=3,"small",I8638&lt;=6,"Medium",I8638&lt;=9,"Large")</f>
        <v>small</v>
      </c>
      <c r="K8638" s="36">
        <v>45350</v>
      </c>
      <c r="L8638" s="36">
        <v>45352</v>
      </c>
      <c r="M8638" t="s">
        <v>612</v>
      </c>
      <c r="N8638" t="s">
        <v>599</v>
      </c>
      <c r="O8638" s="37" t="str">
        <f t="shared" si="673"/>
        <v>Digital Payment</v>
      </c>
      <c r="P8638">
        <v>192.38</v>
      </c>
      <c r="Q8638" s="37" t="str">
        <f>IF(P8638&gt;500,"High","low")</f>
        <v>low</v>
      </c>
      <c r="R8638" s="37" t="str">
        <f t="shared" si="674"/>
        <v>AVERAGE</v>
      </c>
      <c r="S8638" t="s">
        <v>615</v>
      </c>
    </row>
    <row r="8639" spans="1:19" x14ac:dyDescent="0.2">
      <c r="A8639" t="s">
        <v>9250</v>
      </c>
      <c r="B8639" t="s">
        <v>90</v>
      </c>
      <c r="C8639" t="s">
        <v>607</v>
      </c>
      <c r="D8639">
        <v>380.76</v>
      </c>
      <c r="E8639" s="37" t="str">
        <f t="shared" si="670"/>
        <v xml:space="preserve"> </v>
      </c>
      <c r="F8639">
        <v>0.28999999999999998</v>
      </c>
      <c r="G8639" s="37" t="str">
        <f t="shared" si="671"/>
        <v>Normal Discount</v>
      </c>
      <c r="H8639" s="37" t="str">
        <f t="shared" si="672"/>
        <v>Medium</v>
      </c>
      <c r="I8639">
        <v>4</v>
      </c>
      <c r="J8639" t="str" cm="1">
        <f t="array" ref="J8639">_xlfn.IFS(I8639&lt;=3,"small",I8639&lt;=6,"Medium",I8639&lt;=9,"Large")</f>
        <v>Medium</v>
      </c>
      <c r="K8639" s="36">
        <v>44977</v>
      </c>
      <c r="L8639" s="36">
        <v>44984</v>
      </c>
      <c r="M8639" t="s">
        <v>603</v>
      </c>
      <c r="N8639" t="s">
        <v>599</v>
      </c>
      <c r="O8639" s="37" t="str">
        <f t="shared" si="673"/>
        <v>Digital Payment</v>
      </c>
      <c r="P8639">
        <v>21.49</v>
      </c>
      <c r="Q8639" s="37" t="str">
        <f>IF(P8639&gt;500,"High","low")</f>
        <v>low</v>
      </c>
      <c r="R8639" s="37" t="str">
        <f t="shared" si="674"/>
        <v>AVERAGE</v>
      </c>
      <c r="S8639" t="s">
        <v>609</v>
      </c>
    </row>
    <row r="8640" spans="1:19" x14ac:dyDescent="0.2">
      <c r="A8640" t="s">
        <v>9251</v>
      </c>
      <c r="B8640" t="s">
        <v>75</v>
      </c>
      <c r="C8640" t="s">
        <v>607</v>
      </c>
      <c r="D8640">
        <v>209.9</v>
      </c>
      <c r="E8640" s="37" t="str">
        <f t="shared" si="670"/>
        <v xml:space="preserve"> </v>
      </c>
      <c r="F8640">
        <v>0.31</v>
      </c>
      <c r="G8640" s="37" t="str">
        <f t="shared" si="671"/>
        <v>Heavy Discount</v>
      </c>
      <c r="H8640" s="37" t="str">
        <f t="shared" si="672"/>
        <v>Medium</v>
      </c>
      <c r="I8640">
        <v>8</v>
      </c>
      <c r="J8640" t="str" cm="1">
        <f t="array" ref="J8640">_xlfn.IFS(I8640&lt;=3,"small",I8640&lt;=6,"Medium",I8640&lt;=9,"Large")</f>
        <v>Large</v>
      </c>
      <c r="K8640" s="36">
        <v>45639</v>
      </c>
      <c r="L8640" s="36">
        <v>45643</v>
      </c>
      <c r="M8640" t="s">
        <v>598</v>
      </c>
      <c r="N8640" t="s">
        <v>604</v>
      </c>
      <c r="O8640" s="37" t="str">
        <f t="shared" si="673"/>
        <v>Digital Payment</v>
      </c>
      <c r="P8640">
        <v>25.96</v>
      </c>
      <c r="Q8640" s="37" t="str">
        <f>IF(P8640&gt;500,"High","low")</f>
        <v>low</v>
      </c>
      <c r="R8640" s="37" t="str">
        <f t="shared" si="674"/>
        <v>AVERAGE</v>
      </c>
      <c r="S8640" t="s">
        <v>600</v>
      </c>
    </row>
    <row r="8641" spans="1:19" x14ac:dyDescent="0.2">
      <c r="A8641" t="s">
        <v>9252</v>
      </c>
      <c r="B8641" t="s">
        <v>83</v>
      </c>
      <c r="C8641" t="s">
        <v>602</v>
      </c>
      <c r="D8641">
        <v>1827.39</v>
      </c>
      <c r="E8641" s="37" t="str">
        <f t="shared" si="670"/>
        <v xml:space="preserve"> </v>
      </c>
      <c r="F8641">
        <v>0.04</v>
      </c>
      <c r="G8641" s="37" t="str">
        <f t="shared" si="671"/>
        <v>Normal Discount</v>
      </c>
      <c r="H8641" s="37" t="str">
        <f t="shared" si="672"/>
        <v>Low</v>
      </c>
      <c r="I8641">
        <v>7</v>
      </c>
      <c r="J8641" t="str" cm="1">
        <f t="array" ref="J8641">_xlfn.IFS(I8641&lt;=3,"small",I8641&lt;=6,"Medium",I8641&lt;=9,"Large")</f>
        <v>Large</v>
      </c>
      <c r="K8641" s="36">
        <v>45011</v>
      </c>
      <c r="L8641" s="36">
        <v>45017</v>
      </c>
      <c r="M8641" t="s">
        <v>612</v>
      </c>
      <c r="N8641" t="s">
        <v>599</v>
      </c>
      <c r="O8641" s="37" t="str">
        <f t="shared" si="673"/>
        <v>Digital Payment</v>
      </c>
      <c r="P8641">
        <v>406.54</v>
      </c>
      <c r="Q8641" s="37" t="str">
        <f>IF(P8641&gt;500,"High","low")</f>
        <v>low</v>
      </c>
      <c r="R8641" s="37" t="str">
        <f t="shared" si="674"/>
        <v>AVERAGE</v>
      </c>
      <c r="S8641" t="s">
        <v>605</v>
      </c>
    </row>
    <row r="8642" spans="1:19" x14ac:dyDescent="0.2">
      <c r="A8642" t="s">
        <v>9253</v>
      </c>
      <c r="B8642" t="s">
        <v>90</v>
      </c>
      <c r="C8642" t="s">
        <v>614</v>
      </c>
      <c r="D8642">
        <v>3491.63</v>
      </c>
      <c r="E8642" s="37" t="str">
        <f t="shared" si="670"/>
        <v xml:space="preserve"> </v>
      </c>
      <c r="F8642">
        <v>0.24</v>
      </c>
      <c r="G8642" s="37" t="str">
        <f t="shared" si="671"/>
        <v>Normal Discount</v>
      </c>
      <c r="H8642" s="37" t="str">
        <f t="shared" si="672"/>
        <v>Medium</v>
      </c>
      <c r="I8642">
        <v>5</v>
      </c>
      <c r="J8642" t="str" cm="1">
        <f t="array" ref="J8642">_xlfn.IFS(I8642&lt;=3,"small",I8642&lt;=6,"Medium",I8642&lt;=9,"Large")</f>
        <v>Medium</v>
      </c>
      <c r="K8642" s="36">
        <v>45127</v>
      </c>
      <c r="L8642" s="36">
        <v>45133</v>
      </c>
      <c r="M8642" t="s">
        <v>612</v>
      </c>
      <c r="N8642" t="s">
        <v>608</v>
      </c>
      <c r="O8642" s="37" t="str">
        <f t="shared" si="673"/>
        <v>Cash Payment</v>
      </c>
      <c r="P8642">
        <v>441.38</v>
      </c>
      <c r="Q8642" s="37" t="str">
        <f>IF(P8642&gt;500,"High","low")</f>
        <v>low</v>
      </c>
      <c r="R8642" s="37" t="str">
        <f t="shared" si="674"/>
        <v>AVERAGE</v>
      </c>
      <c r="S8642" t="s">
        <v>620</v>
      </c>
    </row>
    <row r="8643" spans="1:19" x14ac:dyDescent="0.2">
      <c r="A8643" t="s">
        <v>9254</v>
      </c>
      <c r="B8643" t="s">
        <v>83</v>
      </c>
      <c r="C8643" t="s">
        <v>614</v>
      </c>
      <c r="D8643">
        <v>1719.05</v>
      </c>
      <c r="E8643" s="37" t="str">
        <f t="shared" ref="E8643:E8706" si="675">IF(AND(D8643&gt;4000,P8643&gt;800),"Excellent Order"," ")</f>
        <v xml:space="preserve"> </v>
      </c>
      <c r="F8643">
        <v>0.33</v>
      </c>
      <c r="G8643" s="37" t="str">
        <f t="shared" ref="G8643:G8706" si="676">IF(F8643&gt;30%,"Heavy Discount","Normal Discount")</f>
        <v>Heavy Discount</v>
      </c>
      <c r="H8643" s="37" t="str">
        <f t="shared" ref="H8643:H8706" si="677">IF(F8643&gt;0.4,"High",IF(F8643&gt;=0.2,"Medium","Low"))</f>
        <v>Medium</v>
      </c>
      <c r="I8643">
        <v>7</v>
      </c>
      <c r="J8643" t="str" cm="1">
        <f t="array" ref="J8643">_xlfn.IFS(I8643&lt;=3,"small",I8643&lt;=6,"Medium",I8643&lt;=9,"Large")</f>
        <v>Large</v>
      </c>
      <c r="K8643" s="36">
        <v>44936</v>
      </c>
      <c r="L8643" s="36">
        <v>44943</v>
      </c>
      <c r="M8643" t="s">
        <v>598</v>
      </c>
      <c r="N8643" t="s">
        <v>608</v>
      </c>
      <c r="O8643" s="37" t="str">
        <f t="shared" ref="O8643:O8706" si="678">IF(OR(N8643="Card",N8643="UPI"),"Digital Payment","Cash Payment")</f>
        <v>Cash Payment</v>
      </c>
      <c r="P8643">
        <v>356.36</v>
      </c>
      <c r="Q8643" s="37" t="str">
        <f>IF(P8643&gt;500,"High","low")</f>
        <v>low</v>
      </c>
      <c r="R8643" s="37" t="str">
        <f t="shared" ref="R8643:R8706" si="679">IF(P8643&gt;1000,"Excellent",IF(P8643&gt;=500,"Good","AVERAGE"))</f>
        <v>AVERAGE</v>
      </c>
      <c r="S8643" t="s">
        <v>620</v>
      </c>
    </row>
    <row r="8644" spans="1:19" x14ac:dyDescent="0.2">
      <c r="A8644" t="s">
        <v>9255</v>
      </c>
      <c r="B8644" t="s">
        <v>75</v>
      </c>
      <c r="C8644" t="s">
        <v>597</v>
      </c>
      <c r="D8644">
        <v>3371.89</v>
      </c>
      <c r="E8644" s="37" t="str">
        <f t="shared" si="675"/>
        <v xml:space="preserve"> </v>
      </c>
      <c r="F8644">
        <v>0.48</v>
      </c>
      <c r="G8644" s="37" t="str">
        <f t="shared" si="676"/>
        <v>Heavy Discount</v>
      </c>
      <c r="H8644" s="37" t="str">
        <f t="shared" si="677"/>
        <v>High</v>
      </c>
      <c r="I8644">
        <v>6</v>
      </c>
      <c r="J8644" t="str" cm="1">
        <f t="array" ref="J8644">_xlfn.IFS(I8644&lt;=3,"small",I8644&lt;=6,"Medium",I8644&lt;=9,"Large")</f>
        <v>Medium</v>
      </c>
      <c r="K8644" s="36">
        <v>45418</v>
      </c>
      <c r="L8644" s="36">
        <v>45420</v>
      </c>
      <c r="M8644" t="s">
        <v>603</v>
      </c>
      <c r="N8644" t="s">
        <v>608</v>
      </c>
      <c r="O8644" s="37" t="str">
        <f t="shared" si="678"/>
        <v>Cash Payment</v>
      </c>
      <c r="P8644">
        <v>409.91</v>
      </c>
      <c r="Q8644" s="37" t="str">
        <f>IF(P8644&gt;500,"High","low")</f>
        <v>low</v>
      </c>
      <c r="R8644" s="37" t="str">
        <f t="shared" si="679"/>
        <v>AVERAGE</v>
      </c>
      <c r="S8644" t="s">
        <v>615</v>
      </c>
    </row>
    <row r="8645" spans="1:19" x14ac:dyDescent="0.2">
      <c r="A8645" t="s">
        <v>9256</v>
      </c>
      <c r="B8645" t="s">
        <v>83</v>
      </c>
      <c r="C8645" t="s">
        <v>607</v>
      </c>
      <c r="D8645">
        <v>3360.74</v>
      </c>
      <c r="E8645" s="37" t="str">
        <f t="shared" si="675"/>
        <v xml:space="preserve"> </v>
      </c>
      <c r="F8645">
        <v>0.01</v>
      </c>
      <c r="G8645" s="37" t="str">
        <f t="shared" si="676"/>
        <v>Normal Discount</v>
      </c>
      <c r="H8645" s="37" t="str">
        <f t="shared" si="677"/>
        <v>Low</v>
      </c>
      <c r="I8645">
        <v>8</v>
      </c>
      <c r="J8645" t="str" cm="1">
        <f t="array" ref="J8645">_xlfn.IFS(I8645&lt;=3,"small",I8645&lt;=6,"Medium",I8645&lt;=9,"Large")</f>
        <v>Large</v>
      </c>
      <c r="K8645" s="36">
        <v>45194</v>
      </c>
      <c r="L8645" s="36">
        <v>45200</v>
      </c>
      <c r="M8645" t="s">
        <v>612</v>
      </c>
      <c r="N8645" t="s">
        <v>604</v>
      </c>
      <c r="O8645" s="37" t="str">
        <f t="shared" si="678"/>
        <v>Digital Payment</v>
      </c>
      <c r="P8645">
        <v>193.79</v>
      </c>
      <c r="Q8645" s="37" t="str">
        <f>IF(P8645&gt;500,"High","low")</f>
        <v>low</v>
      </c>
      <c r="R8645" s="37" t="str">
        <f t="shared" si="679"/>
        <v>AVERAGE</v>
      </c>
      <c r="S8645" t="s">
        <v>609</v>
      </c>
    </row>
    <row r="8646" spans="1:19" x14ac:dyDescent="0.2">
      <c r="A8646" t="s">
        <v>9257</v>
      </c>
      <c r="B8646" t="s">
        <v>75</v>
      </c>
      <c r="C8646" t="s">
        <v>607</v>
      </c>
      <c r="D8646">
        <v>4052.12</v>
      </c>
      <c r="E8646" s="37" t="str">
        <f t="shared" si="675"/>
        <v>Excellent Order</v>
      </c>
      <c r="F8646">
        <v>0.34</v>
      </c>
      <c r="G8646" s="37" t="str">
        <f t="shared" si="676"/>
        <v>Heavy Discount</v>
      </c>
      <c r="H8646" s="37" t="str">
        <f t="shared" si="677"/>
        <v>Medium</v>
      </c>
      <c r="I8646">
        <v>8</v>
      </c>
      <c r="J8646" t="str" cm="1">
        <f t="array" ref="J8646">_xlfn.IFS(I8646&lt;=3,"small",I8646&lt;=6,"Medium",I8646&lt;=9,"Large")</f>
        <v>Large</v>
      </c>
      <c r="K8646" s="36">
        <v>45138</v>
      </c>
      <c r="L8646" s="36">
        <v>45139</v>
      </c>
      <c r="M8646" t="s">
        <v>612</v>
      </c>
      <c r="N8646" t="s">
        <v>608</v>
      </c>
      <c r="O8646" s="37" t="str">
        <f t="shared" si="678"/>
        <v>Cash Payment</v>
      </c>
      <c r="P8646">
        <v>939.42</v>
      </c>
      <c r="Q8646" s="37" t="str">
        <f>IF(P8646&gt;500,"High","low")</f>
        <v>High</v>
      </c>
      <c r="R8646" s="37" t="str">
        <f t="shared" si="679"/>
        <v>Good</v>
      </c>
      <c r="S8646" t="s">
        <v>609</v>
      </c>
    </row>
    <row r="8647" spans="1:19" x14ac:dyDescent="0.2">
      <c r="A8647" t="s">
        <v>9258</v>
      </c>
      <c r="B8647" t="s">
        <v>83</v>
      </c>
      <c r="C8647" t="s">
        <v>617</v>
      </c>
      <c r="D8647">
        <v>587.48</v>
      </c>
      <c r="E8647" s="37" t="str">
        <f t="shared" si="675"/>
        <v xml:space="preserve"> </v>
      </c>
      <c r="F8647">
        <v>0.03</v>
      </c>
      <c r="G8647" s="37" t="str">
        <f t="shared" si="676"/>
        <v>Normal Discount</v>
      </c>
      <c r="H8647" s="37" t="str">
        <f t="shared" si="677"/>
        <v>Low</v>
      </c>
      <c r="I8647">
        <v>7</v>
      </c>
      <c r="J8647" t="str" cm="1">
        <f t="array" ref="J8647">_xlfn.IFS(I8647&lt;=3,"small",I8647&lt;=6,"Medium",I8647&lt;=9,"Large")</f>
        <v>Large</v>
      </c>
      <c r="K8647" s="36">
        <v>45424</v>
      </c>
      <c r="L8647" s="36">
        <v>45429</v>
      </c>
      <c r="M8647" t="s">
        <v>603</v>
      </c>
      <c r="N8647" t="s">
        <v>604</v>
      </c>
      <c r="O8647" s="37" t="str">
        <f t="shared" si="678"/>
        <v>Digital Payment</v>
      </c>
      <c r="P8647">
        <v>109.17</v>
      </c>
      <c r="Q8647" s="37" t="str">
        <f>IF(P8647&gt;500,"High","low")</f>
        <v>low</v>
      </c>
      <c r="R8647" s="37" t="str">
        <f t="shared" si="679"/>
        <v>AVERAGE</v>
      </c>
      <c r="S8647" t="s">
        <v>628</v>
      </c>
    </row>
    <row r="8648" spans="1:19" x14ac:dyDescent="0.2">
      <c r="A8648" t="s">
        <v>9259</v>
      </c>
      <c r="B8648" t="s">
        <v>75</v>
      </c>
      <c r="C8648" t="s">
        <v>602</v>
      </c>
      <c r="D8648">
        <v>2927.93</v>
      </c>
      <c r="E8648" s="37" t="str">
        <f t="shared" si="675"/>
        <v xml:space="preserve"> </v>
      </c>
      <c r="F8648">
        <v>0.08</v>
      </c>
      <c r="G8648" s="37" t="str">
        <f t="shared" si="676"/>
        <v>Normal Discount</v>
      </c>
      <c r="H8648" s="37" t="str">
        <f t="shared" si="677"/>
        <v>Low</v>
      </c>
      <c r="I8648">
        <v>5</v>
      </c>
      <c r="J8648" t="str" cm="1">
        <f t="array" ref="J8648">_xlfn.IFS(I8648&lt;=3,"small",I8648&lt;=6,"Medium",I8648&lt;=9,"Large")</f>
        <v>Medium</v>
      </c>
      <c r="K8648" s="36">
        <v>45374</v>
      </c>
      <c r="L8648" s="36">
        <v>45379</v>
      </c>
      <c r="M8648" t="s">
        <v>598</v>
      </c>
      <c r="N8648" t="s">
        <v>608</v>
      </c>
      <c r="O8648" s="37" t="str">
        <f t="shared" si="678"/>
        <v>Cash Payment</v>
      </c>
      <c r="P8648">
        <v>617.97</v>
      </c>
      <c r="Q8648" s="37" t="str">
        <f>IF(P8648&gt;500,"High","low")</f>
        <v>High</v>
      </c>
      <c r="R8648" s="37" t="str">
        <f t="shared" si="679"/>
        <v>Good</v>
      </c>
      <c r="S8648" t="s">
        <v>620</v>
      </c>
    </row>
    <row r="8649" spans="1:19" x14ac:dyDescent="0.2">
      <c r="A8649" t="s">
        <v>9260</v>
      </c>
      <c r="B8649" t="s">
        <v>83</v>
      </c>
      <c r="C8649" t="s">
        <v>602</v>
      </c>
      <c r="D8649">
        <v>406.24</v>
      </c>
      <c r="E8649" s="37" t="str">
        <f t="shared" si="675"/>
        <v xml:space="preserve"> </v>
      </c>
      <c r="F8649">
        <v>0.09</v>
      </c>
      <c r="G8649" s="37" t="str">
        <f t="shared" si="676"/>
        <v>Normal Discount</v>
      </c>
      <c r="H8649" s="37" t="str">
        <f t="shared" si="677"/>
        <v>Low</v>
      </c>
      <c r="I8649">
        <v>6</v>
      </c>
      <c r="J8649" t="str" cm="1">
        <f t="array" ref="J8649">_xlfn.IFS(I8649&lt;=3,"small",I8649&lt;=6,"Medium",I8649&lt;=9,"Large")</f>
        <v>Medium</v>
      </c>
      <c r="K8649" s="36">
        <v>45310</v>
      </c>
      <c r="L8649" s="36">
        <v>45313</v>
      </c>
      <c r="M8649" t="s">
        <v>598</v>
      </c>
      <c r="N8649" t="s">
        <v>604</v>
      </c>
      <c r="O8649" s="37" t="str">
        <f t="shared" si="678"/>
        <v>Digital Payment</v>
      </c>
      <c r="P8649">
        <v>38.32</v>
      </c>
      <c r="Q8649" s="37" t="str">
        <f>IF(P8649&gt;500,"High","low")</f>
        <v>low</v>
      </c>
      <c r="R8649" s="37" t="str">
        <f t="shared" si="679"/>
        <v>AVERAGE</v>
      </c>
      <c r="S8649" t="s">
        <v>605</v>
      </c>
    </row>
    <row r="8650" spans="1:19" x14ac:dyDescent="0.2">
      <c r="A8650" t="s">
        <v>9261</v>
      </c>
      <c r="B8650" t="s">
        <v>75</v>
      </c>
      <c r="C8650" t="s">
        <v>597</v>
      </c>
      <c r="D8650">
        <v>962.14</v>
      </c>
      <c r="E8650" s="37" t="str">
        <f t="shared" si="675"/>
        <v xml:space="preserve"> </v>
      </c>
      <c r="F8650">
        <v>0.16</v>
      </c>
      <c r="G8650" s="37" t="str">
        <f t="shared" si="676"/>
        <v>Normal Discount</v>
      </c>
      <c r="H8650" s="37" t="str">
        <f t="shared" si="677"/>
        <v>Low</v>
      </c>
      <c r="I8650">
        <v>8</v>
      </c>
      <c r="J8650" t="str" cm="1">
        <f t="array" ref="J8650">_xlfn.IFS(I8650&lt;=3,"small",I8650&lt;=6,"Medium",I8650&lt;=9,"Large")</f>
        <v>Large</v>
      </c>
      <c r="K8650" s="36">
        <v>45181</v>
      </c>
      <c r="L8650" s="36">
        <v>45186</v>
      </c>
      <c r="M8650" t="s">
        <v>598</v>
      </c>
      <c r="N8650" t="s">
        <v>604</v>
      </c>
      <c r="O8650" s="37" t="str">
        <f t="shared" si="678"/>
        <v>Digital Payment</v>
      </c>
      <c r="P8650">
        <v>196.63</v>
      </c>
      <c r="Q8650" s="37" t="str">
        <f>IF(P8650&gt;500,"High","low")</f>
        <v>low</v>
      </c>
      <c r="R8650" s="37" t="str">
        <f t="shared" si="679"/>
        <v>AVERAGE</v>
      </c>
      <c r="S8650" t="s">
        <v>605</v>
      </c>
    </row>
    <row r="8651" spans="1:19" x14ac:dyDescent="0.2">
      <c r="A8651" t="s">
        <v>9262</v>
      </c>
      <c r="B8651" t="s">
        <v>67</v>
      </c>
      <c r="C8651" t="s">
        <v>614</v>
      </c>
      <c r="D8651">
        <v>1694.95</v>
      </c>
      <c r="E8651" s="37" t="str">
        <f t="shared" si="675"/>
        <v xml:space="preserve"> </v>
      </c>
      <c r="F8651">
        <v>0.42</v>
      </c>
      <c r="G8651" s="37" t="str">
        <f t="shared" si="676"/>
        <v>Heavy Discount</v>
      </c>
      <c r="H8651" s="37" t="str">
        <f t="shared" si="677"/>
        <v>High</v>
      </c>
      <c r="I8651">
        <v>7</v>
      </c>
      <c r="J8651" t="str" cm="1">
        <f t="array" ref="J8651">_xlfn.IFS(I8651&lt;=3,"small",I8651&lt;=6,"Medium",I8651&lt;=9,"Large")</f>
        <v>Large</v>
      </c>
      <c r="K8651" s="36">
        <v>45349</v>
      </c>
      <c r="L8651" s="36">
        <v>45351</v>
      </c>
      <c r="M8651" t="s">
        <v>598</v>
      </c>
      <c r="N8651" t="s">
        <v>599</v>
      </c>
      <c r="O8651" s="37" t="str">
        <f t="shared" si="678"/>
        <v>Digital Payment</v>
      </c>
      <c r="P8651">
        <v>427.59</v>
      </c>
      <c r="Q8651" s="37" t="str">
        <f>IF(P8651&gt;500,"High","low")</f>
        <v>low</v>
      </c>
      <c r="R8651" s="37" t="str">
        <f t="shared" si="679"/>
        <v>AVERAGE</v>
      </c>
      <c r="S8651" t="s">
        <v>620</v>
      </c>
    </row>
    <row r="8652" spans="1:19" x14ac:dyDescent="0.2">
      <c r="A8652" t="s">
        <v>9263</v>
      </c>
      <c r="B8652" t="s">
        <v>83</v>
      </c>
      <c r="C8652" t="s">
        <v>607</v>
      </c>
      <c r="D8652">
        <v>3566.21</v>
      </c>
      <c r="E8652" s="37" t="str">
        <f t="shared" si="675"/>
        <v xml:space="preserve"> </v>
      </c>
      <c r="F8652">
        <v>0.43</v>
      </c>
      <c r="G8652" s="37" t="str">
        <f t="shared" si="676"/>
        <v>Heavy Discount</v>
      </c>
      <c r="H8652" s="37" t="str">
        <f t="shared" si="677"/>
        <v>High</v>
      </c>
      <c r="I8652">
        <v>5</v>
      </c>
      <c r="J8652" t="str" cm="1">
        <f t="array" ref="J8652">_xlfn.IFS(I8652&lt;=3,"small",I8652&lt;=6,"Medium",I8652&lt;=9,"Large")</f>
        <v>Medium</v>
      </c>
      <c r="K8652" s="36">
        <v>45279</v>
      </c>
      <c r="L8652" s="36">
        <v>45284</v>
      </c>
      <c r="M8652" t="s">
        <v>612</v>
      </c>
      <c r="N8652" t="s">
        <v>608</v>
      </c>
      <c r="O8652" s="37" t="str">
        <f t="shared" si="678"/>
        <v>Cash Payment</v>
      </c>
      <c r="P8652">
        <v>303.47000000000003</v>
      </c>
      <c r="Q8652" s="37" t="str">
        <f>IF(P8652&gt;500,"High","low")</f>
        <v>low</v>
      </c>
      <c r="R8652" s="37" t="str">
        <f t="shared" si="679"/>
        <v>AVERAGE</v>
      </c>
      <c r="S8652" t="s">
        <v>605</v>
      </c>
    </row>
    <row r="8653" spans="1:19" x14ac:dyDescent="0.2">
      <c r="A8653" t="s">
        <v>9264</v>
      </c>
      <c r="B8653" t="s">
        <v>83</v>
      </c>
      <c r="C8653" t="s">
        <v>597</v>
      </c>
      <c r="D8653">
        <v>4872</v>
      </c>
      <c r="E8653" s="37" t="str">
        <f t="shared" si="675"/>
        <v xml:space="preserve"> </v>
      </c>
      <c r="F8653">
        <v>0.19</v>
      </c>
      <c r="G8653" s="37" t="str">
        <f t="shared" si="676"/>
        <v>Normal Discount</v>
      </c>
      <c r="H8653" s="37" t="str">
        <f t="shared" si="677"/>
        <v>Low</v>
      </c>
      <c r="I8653">
        <v>8</v>
      </c>
      <c r="J8653" t="str" cm="1">
        <f t="array" ref="J8653">_xlfn.IFS(I8653&lt;=3,"small",I8653&lt;=6,"Medium",I8653&lt;=9,"Large")</f>
        <v>Large</v>
      </c>
      <c r="K8653" s="36">
        <v>45118</v>
      </c>
      <c r="L8653" s="36">
        <v>45122</v>
      </c>
      <c r="M8653" t="s">
        <v>598</v>
      </c>
      <c r="N8653" t="s">
        <v>604</v>
      </c>
      <c r="O8653" s="37" t="str">
        <f t="shared" si="678"/>
        <v>Digital Payment</v>
      </c>
      <c r="P8653">
        <v>588.30999999999995</v>
      </c>
      <c r="Q8653" s="37" t="str">
        <f>IF(P8653&gt;500,"High","low")</f>
        <v>High</v>
      </c>
      <c r="R8653" s="37" t="str">
        <f t="shared" si="679"/>
        <v>Good</v>
      </c>
      <c r="S8653" t="s">
        <v>609</v>
      </c>
    </row>
    <row r="8654" spans="1:19" x14ac:dyDescent="0.2">
      <c r="A8654" t="s">
        <v>9265</v>
      </c>
      <c r="B8654" t="s">
        <v>90</v>
      </c>
      <c r="C8654" t="s">
        <v>602</v>
      </c>
      <c r="D8654">
        <v>1778.35</v>
      </c>
      <c r="E8654" s="37" t="str">
        <f t="shared" si="675"/>
        <v xml:space="preserve"> </v>
      </c>
      <c r="F8654">
        <v>0.22</v>
      </c>
      <c r="G8654" s="37" t="str">
        <f t="shared" si="676"/>
        <v>Normal Discount</v>
      </c>
      <c r="H8654" s="37" t="str">
        <f t="shared" si="677"/>
        <v>Medium</v>
      </c>
      <c r="I8654">
        <v>4</v>
      </c>
      <c r="J8654" t="str" cm="1">
        <f t="array" ref="J8654">_xlfn.IFS(I8654&lt;=3,"small",I8654&lt;=6,"Medium",I8654&lt;=9,"Large")</f>
        <v>Medium</v>
      </c>
      <c r="K8654" s="36">
        <v>45125</v>
      </c>
      <c r="L8654" s="36">
        <v>45126</v>
      </c>
      <c r="M8654" t="s">
        <v>603</v>
      </c>
      <c r="N8654" t="s">
        <v>604</v>
      </c>
      <c r="O8654" s="37" t="str">
        <f t="shared" si="678"/>
        <v>Digital Payment</v>
      </c>
      <c r="P8654">
        <v>440.92</v>
      </c>
      <c r="Q8654" s="37" t="str">
        <f>IF(P8654&gt;500,"High","low")</f>
        <v>low</v>
      </c>
      <c r="R8654" s="37" t="str">
        <f t="shared" si="679"/>
        <v>AVERAGE</v>
      </c>
      <c r="S8654" t="s">
        <v>600</v>
      </c>
    </row>
    <row r="8655" spans="1:19" x14ac:dyDescent="0.2">
      <c r="A8655" t="s">
        <v>9266</v>
      </c>
      <c r="B8655" t="s">
        <v>90</v>
      </c>
      <c r="C8655" t="s">
        <v>602</v>
      </c>
      <c r="D8655">
        <v>2653.61</v>
      </c>
      <c r="E8655" s="37" t="str">
        <f t="shared" si="675"/>
        <v xml:space="preserve"> </v>
      </c>
      <c r="F8655">
        <v>0.11</v>
      </c>
      <c r="G8655" s="37" t="str">
        <f t="shared" si="676"/>
        <v>Normal Discount</v>
      </c>
      <c r="H8655" s="37" t="str">
        <f t="shared" si="677"/>
        <v>Low</v>
      </c>
      <c r="I8655">
        <v>6</v>
      </c>
      <c r="J8655" t="str" cm="1">
        <f t="array" ref="J8655">_xlfn.IFS(I8655&lt;=3,"small",I8655&lt;=6,"Medium",I8655&lt;=9,"Large")</f>
        <v>Medium</v>
      </c>
      <c r="K8655" s="36">
        <v>45183</v>
      </c>
      <c r="L8655" s="36">
        <v>45186</v>
      </c>
      <c r="M8655" t="s">
        <v>612</v>
      </c>
      <c r="N8655" t="s">
        <v>608</v>
      </c>
      <c r="O8655" s="37" t="str">
        <f t="shared" si="678"/>
        <v>Cash Payment</v>
      </c>
      <c r="P8655">
        <v>559.76</v>
      </c>
      <c r="Q8655" s="37" t="str">
        <f>IF(P8655&gt;500,"High","low")</f>
        <v>High</v>
      </c>
      <c r="R8655" s="37" t="str">
        <f t="shared" si="679"/>
        <v>Good</v>
      </c>
      <c r="S8655" t="s">
        <v>628</v>
      </c>
    </row>
    <row r="8656" spans="1:19" x14ac:dyDescent="0.2">
      <c r="A8656" t="s">
        <v>9267</v>
      </c>
      <c r="B8656" t="s">
        <v>75</v>
      </c>
      <c r="C8656" t="s">
        <v>602</v>
      </c>
      <c r="D8656">
        <v>1369.37</v>
      </c>
      <c r="E8656" s="37" t="str">
        <f t="shared" si="675"/>
        <v xml:space="preserve"> </v>
      </c>
      <c r="F8656">
        <v>0.22</v>
      </c>
      <c r="G8656" s="37" t="str">
        <f t="shared" si="676"/>
        <v>Normal Discount</v>
      </c>
      <c r="H8656" s="37" t="str">
        <f t="shared" si="677"/>
        <v>Medium</v>
      </c>
      <c r="I8656">
        <v>4</v>
      </c>
      <c r="J8656" t="str" cm="1">
        <f t="array" ref="J8656">_xlfn.IFS(I8656&lt;=3,"small",I8656&lt;=6,"Medium",I8656&lt;=9,"Large")</f>
        <v>Medium</v>
      </c>
      <c r="K8656" s="36">
        <v>44940</v>
      </c>
      <c r="L8656" s="36">
        <v>44947</v>
      </c>
      <c r="M8656" t="s">
        <v>598</v>
      </c>
      <c r="N8656" t="s">
        <v>608</v>
      </c>
      <c r="O8656" s="37" t="str">
        <f t="shared" si="678"/>
        <v>Cash Payment</v>
      </c>
      <c r="P8656">
        <v>132.91</v>
      </c>
      <c r="Q8656" s="37" t="str">
        <f>IF(P8656&gt;500,"High","low")</f>
        <v>low</v>
      </c>
      <c r="R8656" s="37" t="str">
        <f t="shared" si="679"/>
        <v>AVERAGE</v>
      </c>
      <c r="S8656" t="s">
        <v>600</v>
      </c>
    </row>
    <row r="8657" spans="1:19" x14ac:dyDescent="0.2">
      <c r="A8657" t="s">
        <v>9268</v>
      </c>
      <c r="B8657" t="s">
        <v>83</v>
      </c>
      <c r="C8657" t="s">
        <v>607</v>
      </c>
      <c r="D8657">
        <v>3409.9</v>
      </c>
      <c r="E8657" s="37" t="str">
        <f t="shared" si="675"/>
        <v xml:space="preserve"> </v>
      </c>
      <c r="F8657">
        <v>0.14000000000000001</v>
      </c>
      <c r="G8657" s="37" t="str">
        <f t="shared" si="676"/>
        <v>Normal Discount</v>
      </c>
      <c r="H8657" s="37" t="str">
        <f t="shared" si="677"/>
        <v>Low</v>
      </c>
      <c r="I8657">
        <v>5</v>
      </c>
      <c r="J8657" t="str" cm="1">
        <f t="array" ref="J8657">_xlfn.IFS(I8657&lt;=3,"small",I8657&lt;=6,"Medium",I8657&lt;=9,"Large")</f>
        <v>Medium</v>
      </c>
      <c r="K8657" s="36">
        <v>45331</v>
      </c>
      <c r="L8657" s="36">
        <v>45334</v>
      </c>
      <c r="M8657" t="s">
        <v>598</v>
      </c>
      <c r="N8657" t="s">
        <v>608</v>
      </c>
      <c r="O8657" s="37" t="str">
        <f t="shared" si="678"/>
        <v>Cash Payment</v>
      </c>
      <c r="P8657">
        <v>402.26</v>
      </c>
      <c r="Q8657" s="37" t="str">
        <f>IF(P8657&gt;500,"High","low")</f>
        <v>low</v>
      </c>
      <c r="R8657" s="37" t="str">
        <f t="shared" si="679"/>
        <v>AVERAGE</v>
      </c>
      <c r="S8657" t="s">
        <v>600</v>
      </c>
    </row>
    <row r="8658" spans="1:19" x14ac:dyDescent="0.2">
      <c r="A8658" t="s">
        <v>9269</v>
      </c>
      <c r="B8658" t="s">
        <v>75</v>
      </c>
      <c r="C8658" t="s">
        <v>607</v>
      </c>
      <c r="D8658">
        <v>1896.27</v>
      </c>
      <c r="E8658" s="37" t="str">
        <f t="shared" si="675"/>
        <v xml:space="preserve"> </v>
      </c>
      <c r="F8658">
        <v>0.09</v>
      </c>
      <c r="G8658" s="37" t="str">
        <f t="shared" si="676"/>
        <v>Normal Discount</v>
      </c>
      <c r="H8658" s="37" t="str">
        <f t="shared" si="677"/>
        <v>Low</v>
      </c>
      <c r="I8658">
        <v>3</v>
      </c>
      <c r="J8658" t="str" cm="1">
        <f t="array" ref="J8658">_xlfn.IFS(I8658&lt;=3,"small",I8658&lt;=6,"Medium",I8658&lt;=9,"Large")</f>
        <v>small</v>
      </c>
      <c r="K8658" s="36">
        <v>45611</v>
      </c>
      <c r="L8658" s="36">
        <v>45614</v>
      </c>
      <c r="M8658" t="s">
        <v>598</v>
      </c>
      <c r="N8658" t="s">
        <v>608</v>
      </c>
      <c r="O8658" s="37" t="str">
        <f t="shared" si="678"/>
        <v>Cash Payment</v>
      </c>
      <c r="P8658">
        <v>523.96</v>
      </c>
      <c r="Q8658" s="37" t="str">
        <f>IF(P8658&gt;500,"High","low")</f>
        <v>High</v>
      </c>
      <c r="R8658" s="37" t="str">
        <f t="shared" si="679"/>
        <v>Good</v>
      </c>
      <c r="S8658" t="s">
        <v>609</v>
      </c>
    </row>
    <row r="8659" spans="1:19" x14ac:dyDescent="0.2">
      <c r="A8659" t="s">
        <v>9270</v>
      </c>
      <c r="B8659" t="s">
        <v>67</v>
      </c>
      <c r="C8659" t="s">
        <v>607</v>
      </c>
      <c r="D8659">
        <v>2459.8200000000002</v>
      </c>
      <c r="E8659" s="37" t="str">
        <f t="shared" si="675"/>
        <v xml:space="preserve"> </v>
      </c>
      <c r="F8659">
        <v>0.08</v>
      </c>
      <c r="G8659" s="37" t="str">
        <f t="shared" si="676"/>
        <v>Normal Discount</v>
      </c>
      <c r="H8659" s="37" t="str">
        <f t="shared" si="677"/>
        <v>Low</v>
      </c>
      <c r="I8659">
        <v>2</v>
      </c>
      <c r="J8659" t="str" cm="1">
        <f t="array" ref="J8659">_xlfn.IFS(I8659&lt;=3,"small",I8659&lt;=6,"Medium",I8659&lt;=9,"Large")</f>
        <v>small</v>
      </c>
      <c r="K8659" s="36">
        <v>45638</v>
      </c>
      <c r="L8659" s="36">
        <v>45642</v>
      </c>
      <c r="M8659" t="s">
        <v>603</v>
      </c>
      <c r="N8659" t="s">
        <v>599</v>
      </c>
      <c r="O8659" s="37" t="str">
        <f t="shared" si="678"/>
        <v>Digital Payment</v>
      </c>
      <c r="P8659">
        <v>355.34</v>
      </c>
      <c r="Q8659" s="37" t="str">
        <f>IF(P8659&gt;500,"High","low")</f>
        <v>low</v>
      </c>
      <c r="R8659" s="37" t="str">
        <f t="shared" si="679"/>
        <v>AVERAGE</v>
      </c>
      <c r="S8659" t="s">
        <v>615</v>
      </c>
    </row>
    <row r="8660" spans="1:19" x14ac:dyDescent="0.2">
      <c r="A8660" t="s">
        <v>9271</v>
      </c>
      <c r="B8660" t="s">
        <v>90</v>
      </c>
      <c r="C8660" t="s">
        <v>617</v>
      </c>
      <c r="D8660">
        <v>2882.28</v>
      </c>
      <c r="E8660" s="37" t="str">
        <f t="shared" si="675"/>
        <v xml:space="preserve"> </v>
      </c>
      <c r="F8660">
        <v>0.39</v>
      </c>
      <c r="G8660" s="37" t="str">
        <f t="shared" si="676"/>
        <v>Heavy Discount</v>
      </c>
      <c r="H8660" s="37" t="str">
        <f t="shared" si="677"/>
        <v>Medium</v>
      </c>
      <c r="I8660">
        <v>1</v>
      </c>
      <c r="J8660" t="str" cm="1">
        <f t="array" ref="J8660">_xlfn.IFS(I8660&lt;=3,"small",I8660&lt;=6,"Medium",I8660&lt;=9,"Large")</f>
        <v>small</v>
      </c>
      <c r="K8660" s="36">
        <v>45500</v>
      </c>
      <c r="L8660" s="36">
        <v>45505</v>
      </c>
      <c r="M8660" t="s">
        <v>603</v>
      </c>
      <c r="N8660" t="s">
        <v>599</v>
      </c>
      <c r="O8660" s="37" t="str">
        <f t="shared" si="678"/>
        <v>Digital Payment</v>
      </c>
      <c r="P8660">
        <v>211.04</v>
      </c>
      <c r="Q8660" s="37" t="str">
        <f>IF(P8660&gt;500,"High","low")</f>
        <v>low</v>
      </c>
      <c r="R8660" s="37" t="str">
        <f t="shared" si="679"/>
        <v>AVERAGE</v>
      </c>
      <c r="S8660" t="s">
        <v>605</v>
      </c>
    </row>
    <row r="8661" spans="1:19" x14ac:dyDescent="0.2">
      <c r="A8661" t="s">
        <v>9272</v>
      </c>
      <c r="B8661" t="s">
        <v>75</v>
      </c>
      <c r="C8661" t="s">
        <v>614</v>
      </c>
      <c r="D8661">
        <v>3462.59</v>
      </c>
      <c r="E8661" s="37" t="str">
        <f t="shared" si="675"/>
        <v xml:space="preserve"> </v>
      </c>
      <c r="F8661">
        <v>0.06</v>
      </c>
      <c r="G8661" s="37" t="str">
        <f t="shared" si="676"/>
        <v>Normal Discount</v>
      </c>
      <c r="H8661" s="37" t="str">
        <f t="shared" si="677"/>
        <v>Low</v>
      </c>
      <c r="I8661">
        <v>3</v>
      </c>
      <c r="J8661" t="str" cm="1">
        <f t="array" ref="J8661">_xlfn.IFS(I8661&lt;=3,"small",I8661&lt;=6,"Medium",I8661&lt;=9,"Large")</f>
        <v>small</v>
      </c>
      <c r="K8661" s="36">
        <v>45483</v>
      </c>
      <c r="L8661" s="36">
        <v>45487</v>
      </c>
      <c r="M8661" t="s">
        <v>598</v>
      </c>
      <c r="N8661" t="s">
        <v>604</v>
      </c>
      <c r="O8661" s="37" t="str">
        <f t="shared" si="678"/>
        <v>Digital Payment</v>
      </c>
      <c r="P8661">
        <v>747.34</v>
      </c>
      <c r="Q8661" s="37" t="str">
        <f>IF(P8661&gt;500,"High","low")</f>
        <v>High</v>
      </c>
      <c r="R8661" s="37" t="str">
        <f t="shared" si="679"/>
        <v>Good</v>
      </c>
      <c r="S8661" t="s">
        <v>609</v>
      </c>
    </row>
    <row r="8662" spans="1:19" x14ac:dyDescent="0.2">
      <c r="A8662" t="s">
        <v>9273</v>
      </c>
      <c r="B8662" t="s">
        <v>75</v>
      </c>
      <c r="C8662" t="s">
        <v>602</v>
      </c>
      <c r="D8662">
        <v>394.25</v>
      </c>
      <c r="E8662" s="37" t="str">
        <f t="shared" si="675"/>
        <v xml:space="preserve"> </v>
      </c>
      <c r="F8662">
        <v>0.31</v>
      </c>
      <c r="G8662" s="37" t="str">
        <f t="shared" si="676"/>
        <v>Heavy Discount</v>
      </c>
      <c r="H8662" s="37" t="str">
        <f t="shared" si="677"/>
        <v>Medium</v>
      </c>
      <c r="I8662">
        <v>1</v>
      </c>
      <c r="J8662" t="str" cm="1">
        <f t="array" ref="J8662">_xlfn.IFS(I8662&lt;=3,"small",I8662&lt;=6,"Medium",I8662&lt;=9,"Large")</f>
        <v>small</v>
      </c>
      <c r="K8662" s="36">
        <v>45364</v>
      </c>
      <c r="L8662" s="36">
        <v>45366</v>
      </c>
      <c r="M8662" t="s">
        <v>603</v>
      </c>
      <c r="N8662" t="s">
        <v>604</v>
      </c>
      <c r="O8662" s="37" t="str">
        <f t="shared" si="678"/>
        <v>Digital Payment</v>
      </c>
      <c r="P8662">
        <v>59.29</v>
      </c>
      <c r="Q8662" s="37" t="str">
        <f>IF(P8662&gt;500,"High","low")</f>
        <v>low</v>
      </c>
      <c r="R8662" s="37" t="str">
        <f t="shared" si="679"/>
        <v>AVERAGE</v>
      </c>
      <c r="S8662" t="s">
        <v>600</v>
      </c>
    </row>
    <row r="8663" spans="1:19" x14ac:dyDescent="0.2">
      <c r="A8663" t="s">
        <v>9274</v>
      </c>
      <c r="B8663" t="s">
        <v>90</v>
      </c>
      <c r="C8663" t="s">
        <v>602</v>
      </c>
      <c r="D8663">
        <v>2819.02</v>
      </c>
      <c r="E8663" s="37" t="str">
        <f t="shared" si="675"/>
        <v xml:space="preserve"> </v>
      </c>
      <c r="F8663">
        <v>0.08</v>
      </c>
      <c r="G8663" s="37" t="str">
        <f t="shared" si="676"/>
        <v>Normal Discount</v>
      </c>
      <c r="H8663" s="37" t="str">
        <f t="shared" si="677"/>
        <v>Low</v>
      </c>
      <c r="I8663">
        <v>6</v>
      </c>
      <c r="J8663" t="str" cm="1">
        <f t="array" ref="J8663">_xlfn.IFS(I8663&lt;=3,"small",I8663&lt;=6,"Medium",I8663&lt;=9,"Large")</f>
        <v>Medium</v>
      </c>
      <c r="K8663" s="36">
        <v>45309</v>
      </c>
      <c r="L8663" s="36">
        <v>45315</v>
      </c>
      <c r="M8663" t="s">
        <v>598</v>
      </c>
      <c r="N8663" t="s">
        <v>608</v>
      </c>
      <c r="O8663" s="37" t="str">
        <f t="shared" si="678"/>
        <v>Cash Payment</v>
      </c>
      <c r="P8663">
        <v>656.42</v>
      </c>
      <c r="Q8663" s="37" t="str">
        <f>IF(P8663&gt;500,"High","low")</f>
        <v>High</v>
      </c>
      <c r="R8663" s="37" t="str">
        <f t="shared" si="679"/>
        <v>Good</v>
      </c>
      <c r="S8663" t="s">
        <v>605</v>
      </c>
    </row>
    <row r="8664" spans="1:19" x14ac:dyDescent="0.2">
      <c r="A8664" t="s">
        <v>9275</v>
      </c>
      <c r="B8664" t="s">
        <v>83</v>
      </c>
      <c r="C8664" t="s">
        <v>617</v>
      </c>
      <c r="D8664">
        <v>2212.6999999999998</v>
      </c>
      <c r="E8664" s="37" t="str">
        <f t="shared" si="675"/>
        <v xml:space="preserve"> </v>
      </c>
      <c r="F8664">
        <v>0.42</v>
      </c>
      <c r="G8664" s="37" t="str">
        <f t="shared" si="676"/>
        <v>Heavy Discount</v>
      </c>
      <c r="H8664" s="37" t="str">
        <f t="shared" si="677"/>
        <v>High</v>
      </c>
      <c r="I8664">
        <v>2</v>
      </c>
      <c r="J8664" t="str" cm="1">
        <f t="array" ref="J8664">_xlfn.IFS(I8664&lt;=3,"small",I8664&lt;=6,"Medium",I8664&lt;=9,"Large")</f>
        <v>small</v>
      </c>
      <c r="K8664" s="36">
        <v>45295</v>
      </c>
      <c r="L8664" s="36">
        <v>45300</v>
      </c>
      <c r="M8664" t="s">
        <v>603</v>
      </c>
      <c r="N8664" t="s">
        <v>599</v>
      </c>
      <c r="O8664" s="37" t="str">
        <f t="shared" si="678"/>
        <v>Digital Payment</v>
      </c>
      <c r="P8664">
        <v>172.99</v>
      </c>
      <c r="Q8664" s="37" t="str">
        <f>IF(P8664&gt;500,"High","low")</f>
        <v>low</v>
      </c>
      <c r="R8664" s="37" t="str">
        <f t="shared" si="679"/>
        <v>AVERAGE</v>
      </c>
      <c r="S8664" t="s">
        <v>609</v>
      </c>
    </row>
    <row r="8665" spans="1:19" x14ac:dyDescent="0.2">
      <c r="A8665" t="s">
        <v>9276</v>
      </c>
      <c r="B8665" t="s">
        <v>75</v>
      </c>
      <c r="C8665" t="s">
        <v>602</v>
      </c>
      <c r="D8665">
        <v>755.45</v>
      </c>
      <c r="E8665" s="37" t="str">
        <f t="shared" si="675"/>
        <v xml:space="preserve"> </v>
      </c>
      <c r="F8665">
        <v>0.14000000000000001</v>
      </c>
      <c r="G8665" s="37" t="str">
        <f t="shared" si="676"/>
        <v>Normal Discount</v>
      </c>
      <c r="H8665" s="37" t="str">
        <f t="shared" si="677"/>
        <v>Low</v>
      </c>
      <c r="I8665">
        <v>3</v>
      </c>
      <c r="J8665" t="str" cm="1">
        <f t="array" ref="J8665">_xlfn.IFS(I8665&lt;=3,"small",I8665&lt;=6,"Medium",I8665&lt;=9,"Large")</f>
        <v>small</v>
      </c>
      <c r="K8665" s="36">
        <v>45170</v>
      </c>
      <c r="L8665" s="36">
        <v>45174</v>
      </c>
      <c r="M8665" t="s">
        <v>612</v>
      </c>
      <c r="N8665" t="s">
        <v>599</v>
      </c>
      <c r="O8665" s="37" t="str">
        <f t="shared" si="678"/>
        <v>Digital Payment</v>
      </c>
      <c r="P8665">
        <v>95.83</v>
      </c>
      <c r="Q8665" s="37" t="str">
        <f>IF(P8665&gt;500,"High","low")</f>
        <v>low</v>
      </c>
      <c r="R8665" s="37" t="str">
        <f t="shared" si="679"/>
        <v>AVERAGE</v>
      </c>
      <c r="S8665" t="s">
        <v>609</v>
      </c>
    </row>
    <row r="8666" spans="1:19" x14ac:dyDescent="0.2">
      <c r="A8666" t="s">
        <v>9277</v>
      </c>
      <c r="B8666" t="s">
        <v>90</v>
      </c>
      <c r="C8666" t="s">
        <v>602</v>
      </c>
      <c r="D8666">
        <v>1119.3800000000001</v>
      </c>
      <c r="E8666" s="37" t="str">
        <f t="shared" si="675"/>
        <v xml:space="preserve"> </v>
      </c>
      <c r="F8666">
        <v>0.02</v>
      </c>
      <c r="G8666" s="37" t="str">
        <f t="shared" si="676"/>
        <v>Normal Discount</v>
      </c>
      <c r="H8666" s="37" t="str">
        <f t="shared" si="677"/>
        <v>Low</v>
      </c>
      <c r="I8666">
        <v>8</v>
      </c>
      <c r="J8666" t="str" cm="1">
        <f t="array" ref="J8666">_xlfn.IFS(I8666&lt;=3,"small",I8666&lt;=6,"Medium",I8666&lt;=9,"Large")</f>
        <v>Large</v>
      </c>
      <c r="K8666" s="36">
        <v>45082</v>
      </c>
      <c r="L8666" s="36">
        <v>45084</v>
      </c>
      <c r="M8666" t="s">
        <v>598</v>
      </c>
      <c r="N8666" t="s">
        <v>599</v>
      </c>
      <c r="O8666" s="37" t="str">
        <f t="shared" si="678"/>
        <v>Digital Payment</v>
      </c>
      <c r="P8666">
        <v>165.87</v>
      </c>
      <c r="Q8666" s="37" t="str">
        <f>IF(P8666&gt;500,"High","low")</f>
        <v>low</v>
      </c>
      <c r="R8666" s="37" t="str">
        <f t="shared" si="679"/>
        <v>AVERAGE</v>
      </c>
      <c r="S8666" t="s">
        <v>605</v>
      </c>
    </row>
    <row r="8667" spans="1:19" x14ac:dyDescent="0.2">
      <c r="A8667" t="s">
        <v>9278</v>
      </c>
      <c r="B8667" t="s">
        <v>83</v>
      </c>
      <c r="C8667" t="s">
        <v>607</v>
      </c>
      <c r="D8667">
        <v>4431.0600000000004</v>
      </c>
      <c r="E8667" s="37" t="str">
        <f t="shared" si="675"/>
        <v>Excellent Order</v>
      </c>
      <c r="F8667">
        <v>0.23</v>
      </c>
      <c r="G8667" s="37" t="str">
        <f t="shared" si="676"/>
        <v>Normal Discount</v>
      </c>
      <c r="H8667" s="37" t="str">
        <f t="shared" si="677"/>
        <v>Medium</v>
      </c>
      <c r="I8667">
        <v>5</v>
      </c>
      <c r="J8667" t="str" cm="1">
        <f t="array" ref="J8667">_xlfn.IFS(I8667&lt;=3,"small",I8667&lt;=6,"Medium",I8667&lt;=9,"Large")</f>
        <v>Medium</v>
      </c>
      <c r="K8667" s="36">
        <v>45345</v>
      </c>
      <c r="L8667" s="36">
        <v>45347</v>
      </c>
      <c r="M8667" t="s">
        <v>603</v>
      </c>
      <c r="N8667" t="s">
        <v>604</v>
      </c>
      <c r="O8667" s="37" t="str">
        <f t="shared" si="678"/>
        <v>Digital Payment</v>
      </c>
      <c r="P8667">
        <v>858.15</v>
      </c>
      <c r="Q8667" s="37" t="str">
        <f>IF(P8667&gt;500,"High","low")</f>
        <v>High</v>
      </c>
      <c r="R8667" s="37" t="str">
        <f t="shared" si="679"/>
        <v>Good</v>
      </c>
      <c r="S8667" t="s">
        <v>615</v>
      </c>
    </row>
    <row r="8668" spans="1:19" x14ac:dyDescent="0.2">
      <c r="A8668" t="s">
        <v>9279</v>
      </c>
      <c r="B8668" t="s">
        <v>67</v>
      </c>
      <c r="C8668" t="s">
        <v>607</v>
      </c>
      <c r="D8668">
        <v>4371.7</v>
      </c>
      <c r="E8668" s="37" t="str">
        <f t="shared" si="675"/>
        <v xml:space="preserve"> </v>
      </c>
      <c r="F8668">
        <v>0.5</v>
      </c>
      <c r="G8668" s="37" t="str">
        <f t="shared" si="676"/>
        <v>Heavy Discount</v>
      </c>
      <c r="H8668" s="37" t="str">
        <f t="shared" si="677"/>
        <v>High</v>
      </c>
      <c r="I8668">
        <v>2</v>
      </c>
      <c r="J8668" t="str" cm="1">
        <f t="array" ref="J8668">_xlfn.IFS(I8668&lt;=3,"small",I8668&lt;=6,"Medium",I8668&lt;=9,"Large")</f>
        <v>small</v>
      </c>
      <c r="K8668" s="36">
        <v>44933</v>
      </c>
      <c r="L8668" s="36">
        <v>44937</v>
      </c>
      <c r="M8668" t="s">
        <v>598</v>
      </c>
      <c r="N8668" t="s">
        <v>599</v>
      </c>
      <c r="O8668" s="37" t="str">
        <f t="shared" si="678"/>
        <v>Digital Payment</v>
      </c>
      <c r="P8668">
        <v>420.8</v>
      </c>
      <c r="Q8668" s="37" t="str">
        <f>IF(P8668&gt;500,"High","low")</f>
        <v>low</v>
      </c>
      <c r="R8668" s="37" t="str">
        <f t="shared" si="679"/>
        <v>AVERAGE</v>
      </c>
      <c r="S8668" t="s">
        <v>628</v>
      </c>
    </row>
    <row r="8669" spans="1:19" x14ac:dyDescent="0.2">
      <c r="A8669" t="s">
        <v>9280</v>
      </c>
      <c r="B8669" t="s">
        <v>90</v>
      </c>
      <c r="C8669" t="s">
        <v>614</v>
      </c>
      <c r="D8669">
        <v>263.32</v>
      </c>
      <c r="E8669" s="37" t="str">
        <f t="shared" si="675"/>
        <v xml:space="preserve"> </v>
      </c>
      <c r="F8669">
        <v>0.41</v>
      </c>
      <c r="G8669" s="37" t="str">
        <f t="shared" si="676"/>
        <v>Heavy Discount</v>
      </c>
      <c r="H8669" s="37" t="str">
        <f t="shared" si="677"/>
        <v>High</v>
      </c>
      <c r="I8669">
        <v>2</v>
      </c>
      <c r="J8669" t="str" cm="1">
        <f t="array" ref="J8669">_xlfn.IFS(I8669&lt;=3,"small",I8669&lt;=6,"Medium",I8669&lt;=9,"Large")</f>
        <v>small</v>
      </c>
      <c r="K8669" s="36">
        <v>45466</v>
      </c>
      <c r="L8669" s="36">
        <v>45470</v>
      </c>
      <c r="M8669" t="s">
        <v>612</v>
      </c>
      <c r="N8669" t="s">
        <v>604</v>
      </c>
      <c r="O8669" s="37" t="str">
        <f t="shared" si="678"/>
        <v>Digital Payment</v>
      </c>
      <c r="P8669">
        <v>34.35</v>
      </c>
      <c r="Q8669" s="37" t="str">
        <f>IF(P8669&gt;500,"High","low")</f>
        <v>low</v>
      </c>
      <c r="R8669" s="37" t="str">
        <f t="shared" si="679"/>
        <v>AVERAGE</v>
      </c>
      <c r="S8669" t="s">
        <v>605</v>
      </c>
    </row>
    <row r="8670" spans="1:19" x14ac:dyDescent="0.2">
      <c r="A8670" t="s">
        <v>9281</v>
      </c>
      <c r="B8670" t="s">
        <v>75</v>
      </c>
      <c r="C8670" t="s">
        <v>602</v>
      </c>
      <c r="D8670">
        <v>3478.07</v>
      </c>
      <c r="E8670" s="37" t="str">
        <f t="shared" si="675"/>
        <v xml:space="preserve"> </v>
      </c>
      <c r="F8670">
        <v>0.28999999999999998</v>
      </c>
      <c r="G8670" s="37" t="str">
        <f t="shared" si="676"/>
        <v>Normal Discount</v>
      </c>
      <c r="H8670" s="37" t="str">
        <f t="shared" si="677"/>
        <v>Medium</v>
      </c>
      <c r="I8670">
        <v>3</v>
      </c>
      <c r="J8670" t="str" cm="1">
        <f t="array" ref="J8670">_xlfn.IFS(I8670&lt;=3,"small",I8670&lt;=6,"Medium",I8670&lt;=9,"Large")</f>
        <v>small</v>
      </c>
      <c r="K8670" s="36">
        <v>45016</v>
      </c>
      <c r="L8670" s="36">
        <v>45017</v>
      </c>
      <c r="M8670" t="s">
        <v>612</v>
      </c>
      <c r="N8670" t="s">
        <v>608</v>
      </c>
      <c r="O8670" s="37" t="str">
        <f t="shared" si="678"/>
        <v>Cash Payment</v>
      </c>
      <c r="P8670">
        <v>839.83</v>
      </c>
      <c r="Q8670" s="37" t="str">
        <f>IF(P8670&gt;500,"High","low")</f>
        <v>High</v>
      </c>
      <c r="R8670" s="37" t="str">
        <f t="shared" si="679"/>
        <v>Good</v>
      </c>
      <c r="S8670" t="s">
        <v>628</v>
      </c>
    </row>
    <row r="8671" spans="1:19" x14ac:dyDescent="0.2">
      <c r="A8671" t="s">
        <v>9282</v>
      </c>
      <c r="B8671" t="s">
        <v>67</v>
      </c>
      <c r="C8671" t="s">
        <v>597</v>
      </c>
      <c r="D8671">
        <v>2815.52</v>
      </c>
      <c r="E8671" s="37" t="str">
        <f t="shared" si="675"/>
        <v xml:space="preserve"> </v>
      </c>
      <c r="F8671">
        <v>0.09</v>
      </c>
      <c r="G8671" s="37" t="str">
        <f t="shared" si="676"/>
        <v>Normal Discount</v>
      </c>
      <c r="H8671" s="37" t="str">
        <f t="shared" si="677"/>
        <v>Low</v>
      </c>
      <c r="I8671">
        <v>3</v>
      </c>
      <c r="J8671" t="str" cm="1">
        <f t="array" ref="J8671">_xlfn.IFS(I8671&lt;=3,"small",I8671&lt;=6,"Medium",I8671&lt;=9,"Large")</f>
        <v>small</v>
      </c>
      <c r="K8671" s="36">
        <v>45647</v>
      </c>
      <c r="L8671" s="36">
        <v>45651</v>
      </c>
      <c r="M8671" t="s">
        <v>603</v>
      </c>
      <c r="N8671" t="s">
        <v>604</v>
      </c>
      <c r="O8671" s="37" t="str">
        <f t="shared" si="678"/>
        <v>Digital Payment</v>
      </c>
      <c r="P8671">
        <v>273.63</v>
      </c>
      <c r="Q8671" s="37" t="str">
        <f>IF(P8671&gt;500,"High","low")</f>
        <v>low</v>
      </c>
      <c r="R8671" s="37" t="str">
        <f t="shared" si="679"/>
        <v>AVERAGE</v>
      </c>
      <c r="S8671" t="s">
        <v>600</v>
      </c>
    </row>
    <row r="8672" spans="1:19" x14ac:dyDescent="0.2">
      <c r="A8672" t="s">
        <v>9283</v>
      </c>
      <c r="B8672" t="s">
        <v>83</v>
      </c>
      <c r="C8672" t="s">
        <v>602</v>
      </c>
      <c r="D8672">
        <v>4705.1000000000004</v>
      </c>
      <c r="E8672" s="37" t="str">
        <f t="shared" si="675"/>
        <v xml:space="preserve"> </v>
      </c>
      <c r="F8672">
        <v>0.06</v>
      </c>
      <c r="G8672" s="37" t="str">
        <f t="shared" si="676"/>
        <v>Normal Discount</v>
      </c>
      <c r="H8672" s="37" t="str">
        <f t="shared" si="677"/>
        <v>Low</v>
      </c>
      <c r="I8672">
        <v>8</v>
      </c>
      <c r="J8672" t="str" cm="1">
        <f t="array" ref="J8672">_xlfn.IFS(I8672&lt;=3,"small",I8672&lt;=6,"Medium",I8672&lt;=9,"Large")</f>
        <v>Large</v>
      </c>
      <c r="K8672" s="36">
        <v>45117</v>
      </c>
      <c r="L8672" s="36">
        <v>45120</v>
      </c>
      <c r="M8672" t="s">
        <v>612</v>
      </c>
      <c r="N8672" t="s">
        <v>599</v>
      </c>
      <c r="O8672" s="37" t="str">
        <f t="shared" si="678"/>
        <v>Digital Payment</v>
      </c>
      <c r="P8672">
        <v>682.24</v>
      </c>
      <c r="Q8672" s="37" t="str">
        <f>IF(P8672&gt;500,"High","low")</f>
        <v>High</v>
      </c>
      <c r="R8672" s="37" t="str">
        <f t="shared" si="679"/>
        <v>Good</v>
      </c>
      <c r="S8672" t="s">
        <v>628</v>
      </c>
    </row>
    <row r="8673" spans="1:19" x14ac:dyDescent="0.2">
      <c r="A8673" t="s">
        <v>9284</v>
      </c>
      <c r="B8673" t="s">
        <v>83</v>
      </c>
      <c r="C8673" t="s">
        <v>602</v>
      </c>
      <c r="D8673">
        <v>4549.2299999999996</v>
      </c>
      <c r="E8673" s="37" t="str">
        <f t="shared" si="675"/>
        <v xml:space="preserve"> </v>
      </c>
      <c r="F8673">
        <v>0.42</v>
      </c>
      <c r="G8673" s="37" t="str">
        <f t="shared" si="676"/>
        <v>Heavy Discount</v>
      </c>
      <c r="H8673" s="37" t="str">
        <f t="shared" si="677"/>
        <v>High</v>
      </c>
      <c r="I8673">
        <v>5</v>
      </c>
      <c r="J8673" t="str" cm="1">
        <f t="array" ref="J8673">_xlfn.IFS(I8673&lt;=3,"small",I8673&lt;=6,"Medium",I8673&lt;=9,"Large")</f>
        <v>Medium</v>
      </c>
      <c r="K8673" s="36">
        <v>45444</v>
      </c>
      <c r="L8673" s="36">
        <v>45449</v>
      </c>
      <c r="M8673" t="s">
        <v>598</v>
      </c>
      <c r="N8673" t="s">
        <v>608</v>
      </c>
      <c r="O8673" s="37" t="str">
        <f t="shared" si="678"/>
        <v>Cash Payment</v>
      </c>
      <c r="P8673">
        <v>672.75</v>
      </c>
      <c r="Q8673" s="37" t="str">
        <f>IF(P8673&gt;500,"High","low")</f>
        <v>High</v>
      </c>
      <c r="R8673" s="37" t="str">
        <f t="shared" si="679"/>
        <v>Good</v>
      </c>
      <c r="S8673" t="s">
        <v>600</v>
      </c>
    </row>
    <row r="8674" spans="1:19" x14ac:dyDescent="0.2">
      <c r="A8674" t="s">
        <v>9285</v>
      </c>
      <c r="B8674" t="s">
        <v>90</v>
      </c>
      <c r="C8674" t="s">
        <v>614</v>
      </c>
      <c r="D8674">
        <v>2939.85</v>
      </c>
      <c r="E8674" s="37" t="str">
        <f t="shared" si="675"/>
        <v xml:space="preserve"> </v>
      </c>
      <c r="F8674">
        <v>0.39</v>
      </c>
      <c r="G8674" s="37" t="str">
        <f t="shared" si="676"/>
        <v>Heavy Discount</v>
      </c>
      <c r="H8674" s="37" t="str">
        <f t="shared" si="677"/>
        <v>Medium</v>
      </c>
      <c r="I8674">
        <v>8</v>
      </c>
      <c r="J8674" t="str" cm="1">
        <f t="array" ref="J8674">_xlfn.IFS(I8674&lt;=3,"small",I8674&lt;=6,"Medium",I8674&lt;=9,"Large")</f>
        <v>Large</v>
      </c>
      <c r="K8674" s="36">
        <v>45302</v>
      </c>
      <c r="L8674" s="36">
        <v>45309</v>
      </c>
      <c r="M8674" t="s">
        <v>612</v>
      </c>
      <c r="N8674" t="s">
        <v>604</v>
      </c>
      <c r="O8674" s="37" t="str">
        <f t="shared" si="678"/>
        <v>Digital Payment</v>
      </c>
      <c r="P8674">
        <v>299.7</v>
      </c>
      <c r="Q8674" s="37" t="str">
        <f>IF(P8674&gt;500,"High","low")</f>
        <v>low</v>
      </c>
      <c r="R8674" s="37" t="str">
        <f t="shared" si="679"/>
        <v>AVERAGE</v>
      </c>
      <c r="S8674" t="s">
        <v>620</v>
      </c>
    </row>
    <row r="8675" spans="1:19" x14ac:dyDescent="0.2">
      <c r="A8675" t="s">
        <v>9286</v>
      </c>
      <c r="B8675" t="s">
        <v>90</v>
      </c>
      <c r="C8675" t="s">
        <v>597</v>
      </c>
      <c r="D8675">
        <v>780.88</v>
      </c>
      <c r="E8675" s="37" t="str">
        <f t="shared" si="675"/>
        <v xml:space="preserve"> </v>
      </c>
      <c r="F8675">
        <v>0.23</v>
      </c>
      <c r="G8675" s="37" t="str">
        <f t="shared" si="676"/>
        <v>Normal Discount</v>
      </c>
      <c r="H8675" s="37" t="str">
        <f t="shared" si="677"/>
        <v>Medium</v>
      </c>
      <c r="I8675">
        <v>4</v>
      </c>
      <c r="J8675" t="str" cm="1">
        <f t="array" ref="J8675">_xlfn.IFS(I8675&lt;=3,"small",I8675&lt;=6,"Medium",I8675&lt;=9,"Large")</f>
        <v>Medium</v>
      </c>
      <c r="K8675" s="36">
        <v>45193</v>
      </c>
      <c r="L8675" s="36">
        <v>45195</v>
      </c>
      <c r="M8675" t="s">
        <v>598</v>
      </c>
      <c r="N8675" t="s">
        <v>599</v>
      </c>
      <c r="O8675" s="37" t="str">
        <f t="shared" si="678"/>
        <v>Digital Payment</v>
      </c>
      <c r="P8675">
        <v>209.4</v>
      </c>
      <c r="Q8675" s="37" t="str">
        <f>IF(P8675&gt;500,"High","low")</f>
        <v>low</v>
      </c>
      <c r="R8675" s="37" t="str">
        <f t="shared" si="679"/>
        <v>AVERAGE</v>
      </c>
      <c r="S8675" t="s">
        <v>615</v>
      </c>
    </row>
    <row r="8676" spans="1:19" x14ac:dyDescent="0.2">
      <c r="A8676" t="s">
        <v>9287</v>
      </c>
      <c r="B8676" t="s">
        <v>90</v>
      </c>
      <c r="C8676" t="s">
        <v>602</v>
      </c>
      <c r="D8676">
        <v>2353.09</v>
      </c>
      <c r="E8676" s="37" t="str">
        <f t="shared" si="675"/>
        <v xml:space="preserve"> </v>
      </c>
      <c r="F8676">
        <v>0.21</v>
      </c>
      <c r="G8676" s="37" t="str">
        <f t="shared" si="676"/>
        <v>Normal Discount</v>
      </c>
      <c r="H8676" s="37" t="str">
        <f t="shared" si="677"/>
        <v>Medium</v>
      </c>
      <c r="I8676">
        <v>9</v>
      </c>
      <c r="J8676" t="str" cm="1">
        <f t="array" ref="J8676">_xlfn.IFS(I8676&lt;=3,"small",I8676&lt;=6,"Medium",I8676&lt;=9,"Large")</f>
        <v>Large</v>
      </c>
      <c r="K8676" s="36">
        <v>44964</v>
      </c>
      <c r="L8676" s="36">
        <v>44971</v>
      </c>
      <c r="M8676" t="s">
        <v>603</v>
      </c>
      <c r="N8676" t="s">
        <v>604</v>
      </c>
      <c r="O8676" s="37" t="str">
        <f t="shared" si="678"/>
        <v>Digital Payment</v>
      </c>
      <c r="P8676">
        <v>420.55</v>
      </c>
      <c r="Q8676" s="37" t="str">
        <f>IF(P8676&gt;500,"High","low")</f>
        <v>low</v>
      </c>
      <c r="R8676" s="37" t="str">
        <f t="shared" si="679"/>
        <v>AVERAGE</v>
      </c>
      <c r="S8676" t="s">
        <v>605</v>
      </c>
    </row>
    <row r="8677" spans="1:19" x14ac:dyDescent="0.2">
      <c r="A8677" t="s">
        <v>9288</v>
      </c>
      <c r="B8677" t="s">
        <v>83</v>
      </c>
      <c r="C8677" t="s">
        <v>597</v>
      </c>
      <c r="D8677">
        <v>3653.31</v>
      </c>
      <c r="E8677" s="37" t="str">
        <f t="shared" si="675"/>
        <v xml:space="preserve"> </v>
      </c>
      <c r="F8677">
        <v>0.37</v>
      </c>
      <c r="G8677" s="37" t="str">
        <f t="shared" si="676"/>
        <v>Heavy Discount</v>
      </c>
      <c r="H8677" s="37" t="str">
        <f t="shared" si="677"/>
        <v>Medium</v>
      </c>
      <c r="I8677">
        <v>3</v>
      </c>
      <c r="J8677" t="str" cm="1">
        <f t="array" ref="J8677">_xlfn.IFS(I8677&lt;=3,"small",I8677&lt;=6,"Medium",I8677&lt;=9,"Large")</f>
        <v>small</v>
      </c>
      <c r="K8677" s="36">
        <v>45376</v>
      </c>
      <c r="L8677" s="36">
        <v>45379</v>
      </c>
      <c r="M8677" t="s">
        <v>612</v>
      </c>
      <c r="N8677" t="s">
        <v>604</v>
      </c>
      <c r="O8677" s="37" t="str">
        <f t="shared" si="678"/>
        <v>Digital Payment</v>
      </c>
      <c r="P8677">
        <v>535.26</v>
      </c>
      <c r="Q8677" s="37" t="str">
        <f>IF(P8677&gt;500,"High","low")</f>
        <v>High</v>
      </c>
      <c r="R8677" s="37" t="str">
        <f t="shared" si="679"/>
        <v>Good</v>
      </c>
      <c r="S8677" t="s">
        <v>628</v>
      </c>
    </row>
    <row r="8678" spans="1:19" x14ac:dyDescent="0.2">
      <c r="A8678" t="s">
        <v>9289</v>
      </c>
      <c r="B8678" t="s">
        <v>67</v>
      </c>
      <c r="C8678" t="s">
        <v>607</v>
      </c>
      <c r="D8678">
        <v>4763.51</v>
      </c>
      <c r="E8678" s="37" t="str">
        <f t="shared" si="675"/>
        <v>Excellent Order</v>
      </c>
      <c r="F8678">
        <v>0.27</v>
      </c>
      <c r="G8678" s="37" t="str">
        <f t="shared" si="676"/>
        <v>Normal Discount</v>
      </c>
      <c r="H8678" s="37" t="str">
        <f t="shared" si="677"/>
        <v>Medium</v>
      </c>
      <c r="I8678">
        <v>2</v>
      </c>
      <c r="J8678" t="str" cm="1">
        <f t="array" ref="J8678">_xlfn.IFS(I8678&lt;=3,"small",I8678&lt;=6,"Medium",I8678&lt;=9,"Large")</f>
        <v>small</v>
      </c>
      <c r="K8678" s="36">
        <v>45373</v>
      </c>
      <c r="L8678" s="36">
        <v>45379</v>
      </c>
      <c r="M8678" t="s">
        <v>612</v>
      </c>
      <c r="N8678" t="s">
        <v>608</v>
      </c>
      <c r="O8678" s="37" t="str">
        <f t="shared" si="678"/>
        <v>Cash Payment</v>
      </c>
      <c r="P8678">
        <v>1164.75</v>
      </c>
      <c r="Q8678" s="37" t="str">
        <f>IF(P8678&gt;500,"High","low")</f>
        <v>High</v>
      </c>
      <c r="R8678" s="37" t="str">
        <f t="shared" si="679"/>
        <v>Excellent</v>
      </c>
      <c r="S8678" t="s">
        <v>605</v>
      </c>
    </row>
    <row r="8679" spans="1:19" x14ac:dyDescent="0.2">
      <c r="A8679" t="s">
        <v>9290</v>
      </c>
      <c r="B8679" t="s">
        <v>83</v>
      </c>
      <c r="C8679" t="s">
        <v>607</v>
      </c>
      <c r="D8679">
        <v>1882.76</v>
      </c>
      <c r="E8679" s="37" t="str">
        <f t="shared" si="675"/>
        <v xml:space="preserve"> </v>
      </c>
      <c r="F8679">
        <v>0.2</v>
      </c>
      <c r="G8679" s="37" t="str">
        <f t="shared" si="676"/>
        <v>Normal Discount</v>
      </c>
      <c r="H8679" s="37" t="str">
        <f t="shared" si="677"/>
        <v>Medium</v>
      </c>
      <c r="I8679">
        <v>6</v>
      </c>
      <c r="J8679" t="str" cm="1">
        <f t="array" ref="J8679">_xlfn.IFS(I8679&lt;=3,"small",I8679&lt;=6,"Medium",I8679&lt;=9,"Large")</f>
        <v>Medium</v>
      </c>
      <c r="K8679" s="36">
        <v>44958</v>
      </c>
      <c r="L8679" s="36">
        <v>44961</v>
      </c>
      <c r="M8679" t="s">
        <v>598</v>
      </c>
      <c r="N8679" t="s">
        <v>599</v>
      </c>
      <c r="O8679" s="37" t="str">
        <f t="shared" si="678"/>
        <v>Digital Payment</v>
      </c>
      <c r="P8679">
        <v>111.43</v>
      </c>
      <c r="Q8679" s="37" t="str">
        <f>IF(P8679&gt;500,"High","low")</f>
        <v>low</v>
      </c>
      <c r="R8679" s="37" t="str">
        <f t="shared" si="679"/>
        <v>AVERAGE</v>
      </c>
      <c r="S8679" t="s">
        <v>600</v>
      </c>
    </row>
    <row r="8680" spans="1:19" x14ac:dyDescent="0.2">
      <c r="A8680" t="s">
        <v>9291</v>
      </c>
      <c r="B8680" t="s">
        <v>75</v>
      </c>
      <c r="C8680" t="s">
        <v>597</v>
      </c>
      <c r="D8680">
        <v>3944.89</v>
      </c>
      <c r="E8680" s="37" t="str">
        <f t="shared" si="675"/>
        <v xml:space="preserve"> </v>
      </c>
      <c r="F8680">
        <v>0.13</v>
      </c>
      <c r="G8680" s="37" t="str">
        <f t="shared" si="676"/>
        <v>Normal Discount</v>
      </c>
      <c r="H8680" s="37" t="str">
        <f t="shared" si="677"/>
        <v>Low</v>
      </c>
      <c r="I8680">
        <v>4</v>
      </c>
      <c r="J8680" t="str" cm="1">
        <f t="array" ref="J8680">_xlfn.IFS(I8680&lt;=3,"small",I8680&lt;=6,"Medium",I8680&lt;=9,"Large")</f>
        <v>Medium</v>
      </c>
      <c r="K8680" s="36">
        <v>45149</v>
      </c>
      <c r="L8680" s="36">
        <v>45151</v>
      </c>
      <c r="M8680" t="s">
        <v>612</v>
      </c>
      <c r="N8680" t="s">
        <v>604</v>
      </c>
      <c r="O8680" s="37" t="str">
        <f t="shared" si="678"/>
        <v>Digital Payment</v>
      </c>
      <c r="P8680">
        <v>1181.71</v>
      </c>
      <c r="Q8680" s="37" t="str">
        <f>IF(P8680&gt;500,"High","low")</f>
        <v>High</v>
      </c>
      <c r="R8680" s="37" t="str">
        <f t="shared" si="679"/>
        <v>Excellent</v>
      </c>
      <c r="S8680" t="s">
        <v>615</v>
      </c>
    </row>
    <row r="8681" spans="1:19" x14ac:dyDescent="0.2">
      <c r="A8681" t="s">
        <v>9292</v>
      </c>
      <c r="B8681" t="s">
        <v>83</v>
      </c>
      <c r="C8681" t="s">
        <v>602</v>
      </c>
      <c r="D8681">
        <v>3448.37</v>
      </c>
      <c r="E8681" s="37" t="str">
        <f t="shared" si="675"/>
        <v xml:space="preserve"> </v>
      </c>
      <c r="F8681">
        <v>0.06</v>
      </c>
      <c r="G8681" s="37" t="str">
        <f t="shared" si="676"/>
        <v>Normal Discount</v>
      </c>
      <c r="H8681" s="37" t="str">
        <f t="shared" si="677"/>
        <v>Low</v>
      </c>
      <c r="I8681">
        <v>2</v>
      </c>
      <c r="J8681" t="str" cm="1">
        <f t="array" ref="J8681">_xlfn.IFS(I8681&lt;=3,"small",I8681&lt;=6,"Medium",I8681&lt;=9,"Large")</f>
        <v>small</v>
      </c>
      <c r="K8681" s="36">
        <v>45089</v>
      </c>
      <c r="L8681" s="36">
        <v>45095</v>
      </c>
      <c r="M8681" t="s">
        <v>603</v>
      </c>
      <c r="N8681" t="s">
        <v>608</v>
      </c>
      <c r="O8681" s="37" t="str">
        <f t="shared" si="678"/>
        <v>Cash Payment</v>
      </c>
      <c r="P8681">
        <v>1000.86</v>
      </c>
      <c r="Q8681" s="37" t="str">
        <f>IF(P8681&gt;500,"High","low")</f>
        <v>High</v>
      </c>
      <c r="R8681" s="37" t="str">
        <f t="shared" si="679"/>
        <v>Excellent</v>
      </c>
      <c r="S8681" t="s">
        <v>600</v>
      </c>
    </row>
    <row r="8682" spans="1:19" x14ac:dyDescent="0.2">
      <c r="A8682" t="s">
        <v>9293</v>
      </c>
      <c r="B8682" t="s">
        <v>75</v>
      </c>
      <c r="C8682" t="s">
        <v>597</v>
      </c>
      <c r="D8682">
        <v>483.63</v>
      </c>
      <c r="E8682" s="37" t="str">
        <f t="shared" si="675"/>
        <v xml:space="preserve"> </v>
      </c>
      <c r="F8682">
        <v>0.3</v>
      </c>
      <c r="G8682" s="37" t="str">
        <f t="shared" si="676"/>
        <v>Normal Discount</v>
      </c>
      <c r="H8682" s="37" t="str">
        <f t="shared" si="677"/>
        <v>Medium</v>
      </c>
      <c r="I8682">
        <v>6</v>
      </c>
      <c r="J8682" t="str" cm="1">
        <f t="array" ref="J8682">_xlfn.IFS(I8682&lt;=3,"small",I8682&lt;=6,"Medium",I8682&lt;=9,"Large")</f>
        <v>Medium</v>
      </c>
      <c r="K8682" s="36">
        <v>45568</v>
      </c>
      <c r="L8682" s="36">
        <v>45573</v>
      </c>
      <c r="M8682" t="s">
        <v>612</v>
      </c>
      <c r="N8682" t="s">
        <v>599</v>
      </c>
      <c r="O8682" s="37" t="str">
        <f t="shared" si="678"/>
        <v>Digital Payment</v>
      </c>
      <c r="P8682">
        <v>34.770000000000003</v>
      </c>
      <c r="Q8682" s="37" t="str">
        <f>IF(P8682&gt;500,"High","low")</f>
        <v>low</v>
      </c>
      <c r="R8682" s="37" t="str">
        <f t="shared" si="679"/>
        <v>AVERAGE</v>
      </c>
      <c r="S8682" t="s">
        <v>615</v>
      </c>
    </row>
    <row r="8683" spans="1:19" x14ac:dyDescent="0.2">
      <c r="A8683" t="s">
        <v>9294</v>
      </c>
      <c r="B8683" t="s">
        <v>67</v>
      </c>
      <c r="C8683" t="s">
        <v>597</v>
      </c>
      <c r="D8683">
        <v>2834.09</v>
      </c>
      <c r="E8683" s="37" t="str">
        <f t="shared" si="675"/>
        <v xml:space="preserve"> </v>
      </c>
      <c r="F8683">
        <v>0.41</v>
      </c>
      <c r="G8683" s="37" t="str">
        <f t="shared" si="676"/>
        <v>Heavy Discount</v>
      </c>
      <c r="H8683" s="37" t="str">
        <f t="shared" si="677"/>
        <v>High</v>
      </c>
      <c r="I8683">
        <v>4</v>
      </c>
      <c r="J8683" t="str" cm="1">
        <f t="array" ref="J8683">_xlfn.IFS(I8683&lt;=3,"small",I8683&lt;=6,"Medium",I8683&lt;=9,"Large")</f>
        <v>Medium</v>
      </c>
      <c r="K8683" s="36">
        <v>45599</v>
      </c>
      <c r="L8683" s="36">
        <v>45600</v>
      </c>
      <c r="M8683" t="s">
        <v>598</v>
      </c>
      <c r="N8683" t="s">
        <v>608</v>
      </c>
      <c r="O8683" s="37" t="str">
        <f t="shared" si="678"/>
        <v>Cash Payment</v>
      </c>
      <c r="P8683">
        <v>770.98</v>
      </c>
      <c r="Q8683" s="37" t="str">
        <f>IF(P8683&gt;500,"High","low")</f>
        <v>High</v>
      </c>
      <c r="R8683" s="37" t="str">
        <f t="shared" si="679"/>
        <v>Good</v>
      </c>
      <c r="S8683" t="s">
        <v>609</v>
      </c>
    </row>
    <row r="8684" spans="1:19" x14ac:dyDescent="0.2">
      <c r="A8684" t="s">
        <v>9295</v>
      </c>
      <c r="B8684" t="s">
        <v>90</v>
      </c>
      <c r="C8684" t="s">
        <v>607</v>
      </c>
      <c r="D8684">
        <v>999.19</v>
      </c>
      <c r="E8684" s="37" t="str">
        <f t="shared" si="675"/>
        <v xml:space="preserve"> </v>
      </c>
      <c r="F8684">
        <v>0.37</v>
      </c>
      <c r="G8684" s="37" t="str">
        <f t="shared" si="676"/>
        <v>Heavy Discount</v>
      </c>
      <c r="H8684" s="37" t="str">
        <f t="shared" si="677"/>
        <v>Medium</v>
      </c>
      <c r="I8684">
        <v>4</v>
      </c>
      <c r="J8684" t="str" cm="1">
        <f t="array" ref="J8684">_xlfn.IFS(I8684&lt;=3,"small",I8684&lt;=6,"Medium",I8684&lt;=9,"Large")</f>
        <v>Medium</v>
      </c>
      <c r="K8684" s="36">
        <v>44933</v>
      </c>
      <c r="L8684" s="36">
        <v>44934</v>
      </c>
      <c r="M8684" t="s">
        <v>612</v>
      </c>
      <c r="N8684" t="s">
        <v>604</v>
      </c>
      <c r="O8684" s="37" t="str">
        <f t="shared" si="678"/>
        <v>Digital Payment</v>
      </c>
      <c r="P8684">
        <v>127.57</v>
      </c>
      <c r="Q8684" s="37" t="str">
        <f>IF(P8684&gt;500,"High","low")</f>
        <v>low</v>
      </c>
      <c r="R8684" s="37" t="str">
        <f t="shared" si="679"/>
        <v>AVERAGE</v>
      </c>
      <c r="S8684" t="s">
        <v>605</v>
      </c>
    </row>
    <row r="8685" spans="1:19" x14ac:dyDescent="0.2">
      <c r="A8685" t="s">
        <v>9296</v>
      </c>
      <c r="B8685" t="s">
        <v>90</v>
      </c>
      <c r="C8685" t="s">
        <v>597</v>
      </c>
      <c r="D8685">
        <v>3449.39</v>
      </c>
      <c r="E8685" s="37" t="str">
        <f t="shared" si="675"/>
        <v xml:space="preserve"> </v>
      </c>
      <c r="F8685">
        <v>0.35</v>
      </c>
      <c r="G8685" s="37" t="str">
        <f t="shared" si="676"/>
        <v>Heavy Discount</v>
      </c>
      <c r="H8685" s="37" t="str">
        <f t="shared" si="677"/>
        <v>Medium</v>
      </c>
      <c r="I8685">
        <v>4</v>
      </c>
      <c r="J8685" t="str" cm="1">
        <f t="array" ref="J8685">_xlfn.IFS(I8685&lt;=3,"small",I8685&lt;=6,"Medium",I8685&lt;=9,"Large")</f>
        <v>Medium</v>
      </c>
      <c r="K8685" s="36">
        <v>45139</v>
      </c>
      <c r="L8685" s="36">
        <v>45145</v>
      </c>
      <c r="M8685" t="s">
        <v>598</v>
      </c>
      <c r="N8685" t="s">
        <v>608</v>
      </c>
      <c r="O8685" s="37" t="str">
        <f t="shared" si="678"/>
        <v>Cash Payment</v>
      </c>
      <c r="P8685">
        <v>262.61</v>
      </c>
      <c r="Q8685" s="37" t="str">
        <f>IF(P8685&gt;500,"High","low")</f>
        <v>low</v>
      </c>
      <c r="R8685" s="37" t="str">
        <f t="shared" si="679"/>
        <v>AVERAGE</v>
      </c>
      <c r="S8685" t="s">
        <v>620</v>
      </c>
    </row>
    <row r="8686" spans="1:19" x14ac:dyDescent="0.2">
      <c r="A8686" t="s">
        <v>9297</v>
      </c>
      <c r="B8686" t="s">
        <v>83</v>
      </c>
      <c r="C8686" t="s">
        <v>617</v>
      </c>
      <c r="D8686">
        <v>3089.42</v>
      </c>
      <c r="E8686" s="37" t="str">
        <f t="shared" si="675"/>
        <v xml:space="preserve"> </v>
      </c>
      <c r="F8686">
        <v>0.46</v>
      </c>
      <c r="G8686" s="37" t="str">
        <f t="shared" si="676"/>
        <v>Heavy Discount</v>
      </c>
      <c r="H8686" s="37" t="str">
        <f t="shared" si="677"/>
        <v>High</v>
      </c>
      <c r="I8686">
        <v>4</v>
      </c>
      <c r="J8686" t="str" cm="1">
        <f t="array" ref="J8686">_xlfn.IFS(I8686&lt;=3,"small",I8686&lt;=6,"Medium",I8686&lt;=9,"Large")</f>
        <v>Medium</v>
      </c>
      <c r="K8686" s="36">
        <v>45527</v>
      </c>
      <c r="L8686" s="36">
        <v>45530</v>
      </c>
      <c r="M8686" t="s">
        <v>603</v>
      </c>
      <c r="N8686" t="s">
        <v>604</v>
      </c>
      <c r="O8686" s="37" t="str">
        <f t="shared" si="678"/>
        <v>Digital Payment</v>
      </c>
      <c r="P8686">
        <v>594.85</v>
      </c>
      <c r="Q8686" s="37" t="str">
        <f>IF(P8686&gt;500,"High","low")</f>
        <v>High</v>
      </c>
      <c r="R8686" s="37" t="str">
        <f t="shared" si="679"/>
        <v>Good</v>
      </c>
      <c r="S8686" t="s">
        <v>605</v>
      </c>
    </row>
    <row r="8687" spans="1:19" x14ac:dyDescent="0.2">
      <c r="A8687" t="s">
        <v>9298</v>
      </c>
      <c r="B8687" t="s">
        <v>90</v>
      </c>
      <c r="C8687" t="s">
        <v>617</v>
      </c>
      <c r="D8687">
        <v>4867.9399999999996</v>
      </c>
      <c r="E8687" s="37" t="str">
        <f t="shared" si="675"/>
        <v>Excellent Order</v>
      </c>
      <c r="F8687">
        <v>0.2</v>
      </c>
      <c r="G8687" s="37" t="str">
        <f t="shared" si="676"/>
        <v>Normal Discount</v>
      </c>
      <c r="H8687" s="37" t="str">
        <f t="shared" si="677"/>
        <v>Medium</v>
      </c>
      <c r="I8687">
        <v>8</v>
      </c>
      <c r="J8687" t="str" cm="1">
        <f t="array" ref="J8687">_xlfn.IFS(I8687&lt;=3,"small",I8687&lt;=6,"Medium",I8687&lt;=9,"Large")</f>
        <v>Large</v>
      </c>
      <c r="K8687" s="36">
        <v>45006</v>
      </c>
      <c r="L8687" s="36">
        <v>45009</v>
      </c>
      <c r="M8687" t="s">
        <v>598</v>
      </c>
      <c r="N8687" t="s">
        <v>599</v>
      </c>
      <c r="O8687" s="37" t="str">
        <f t="shared" si="678"/>
        <v>Digital Payment</v>
      </c>
      <c r="P8687">
        <v>1300.3699999999999</v>
      </c>
      <c r="Q8687" s="37" t="str">
        <f>IF(P8687&gt;500,"High","low")</f>
        <v>High</v>
      </c>
      <c r="R8687" s="37" t="str">
        <f t="shared" si="679"/>
        <v>Excellent</v>
      </c>
      <c r="S8687" t="s">
        <v>605</v>
      </c>
    </row>
    <row r="8688" spans="1:19" x14ac:dyDescent="0.2">
      <c r="A8688" t="s">
        <v>9299</v>
      </c>
      <c r="B8688" t="s">
        <v>67</v>
      </c>
      <c r="C8688" t="s">
        <v>607</v>
      </c>
      <c r="D8688">
        <v>4683.38</v>
      </c>
      <c r="E8688" s="37" t="str">
        <f t="shared" si="675"/>
        <v xml:space="preserve"> </v>
      </c>
      <c r="F8688">
        <v>7.0000000000000007E-2</v>
      </c>
      <c r="G8688" s="37" t="str">
        <f t="shared" si="676"/>
        <v>Normal Discount</v>
      </c>
      <c r="H8688" s="37" t="str">
        <f t="shared" si="677"/>
        <v>Low</v>
      </c>
      <c r="I8688">
        <v>1</v>
      </c>
      <c r="J8688" t="str" cm="1">
        <f t="array" ref="J8688">_xlfn.IFS(I8688&lt;=3,"small",I8688&lt;=6,"Medium",I8688&lt;=9,"Large")</f>
        <v>small</v>
      </c>
      <c r="K8688" s="36">
        <v>45263</v>
      </c>
      <c r="L8688" s="36">
        <v>45267</v>
      </c>
      <c r="M8688" t="s">
        <v>603</v>
      </c>
      <c r="N8688" t="s">
        <v>599</v>
      </c>
      <c r="O8688" s="37" t="str">
        <f t="shared" si="678"/>
        <v>Digital Payment</v>
      </c>
      <c r="P8688">
        <v>421.12</v>
      </c>
      <c r="Q8688" s="37" t="str">
        <f>IF(P8688&gt;500,"High","low")</f>
        <v>low</v>
      </c>
      <c r="R8688" s="37" t="str">
        <f t="shared" si="679"/>
        <v>AVERAGE</v>
      </c>
      <c r="S8688" t="s">
        <v>620</v>
      </c>
    </row>
    <row r="8689" spans="1:19" x14ac:dyDescent="0.2">
      <c r="A8689" t="s">
        <v>9300</v>
      </c>
      <c r="B8689" t="s">
        <v>90</v>
      </c>
      <c r="C8689" t="s">
        <v>602</v>
      </c>
      <c r="D8689">
        <v>145.93</v>
      </c>
      <c r="E8689" s="37" t="str">
        <f t="shared" si="675"/>
        <v xml:space="preserve"> </v>
      </c>
      <c r="F8689">
        <v>0.05</v>
      </c>
      <c r="G8689" s="37" t="str">
        <f t="shared" si="676"/>
        <v>Normal Discount</v>
      </c>
      <c r="H8689" s="37" t="str">
        <f t="shared" si="677"/>
        <v>Low</v>
      </c>
      <c r="I8689">
        <v>9</v>
      </c>
      <c r="J8689" t="str" cm="1">
        <f t="array" ref="J8689">_xlfn.IFS(I8689&lt;=3,"small",I8689&lt;=6,"Medium",I8689&lt;=9,"Large")</f>
        <v>Large</v>
      </c>
      <c r="K8689" s="36">
        <v>45279</v>
      </c>
      <c r="L8689" s="36">
        <v>45280</v>
      </c>
      <c r="M8689" t="s">
        <v>612</v>
      </c>
      <c r="N8689" t="s">
        <v>599</v>
      </c>
      <c r="O8689" s="37" t="str">
        <f t="shared" si="678"/>
        <v>Digital Payment</v>
      </c>
      <c r="P8689">
        <v>42.69</v>
      </c>
      <c r="Q8689" s="37" t="str">
        <f>IF(P8689&gt;500,"High","low")</f>
        <v>low</v>
      </c>
      <c r="R8689" s="37" t="str">
        <f t="shared" si="679"/>
        <v>AVERAGE</v>
      </c>
      <c r="S8689" t="s">
        <v>628</v>
      </c>
    </row>
    <row r="8690" spans="1:19" x14ac:dyDescent="0.2">
      <c r="A8690" t="s">
        <v>9301</v>
      </c>
      <c r="B8690" t="s">
        <v>83</v>
      </c>
      <c r="C8690" t="s">
        <v>602</v>
      </c>
      <c r="D8690">
        <v>492.14</v>
      </c>
      <c r="E8690" s="37" t="str">
        <f t="shared" si="675"/>
        <v xml:space="preserve"> </v>
      </c>
      <c r="F8690">
        <v>0.48</v>
      </c>
      <c r="G8690" s="37" t="str">
        <f t="shared" si="676"/>
        <v>Heavy Discount</v>
      </c>
      <c r="H8690" s="37" t="str">
        <f t="shared" si="677"/>
        <v>High</v>
      </c>
      <c r="I8690">
        <v>3</v>
      </c>
      <c r="J8690" t="str" cm="1">
        <f t="array" ref="J8690">_xlfn.IFS(I8690&lt;=3,"small",I8690&lt;=6,"Medium",I8690&lt;=9,"Large")</f>
        <v>small</v>
      </c>
      <c r="K8690" s="36">
        <v>45285</v>
      </c>
      <c r="L8690" s="36">
        <v>45286</v>
      </c>
      <c r="M8690" t="s">
        <v>603</v>
      </c>
      <c r="N8690" t="s">
        <v>599</v>
      </c>
      <c r="O8690" s="37" t="str">
        <f t="shared" si="678"/>
        <v>Digital Payment</v>
      </c>
      <c r="P8690">
        <v>60.45</v>
      </c>
      <c r="Q8690" s="37" t="str">
        <f>IF(P8690&gt;500,"High","low")</f>
        <v>low</v>
      </c>
      <c r="R8690" s="37" t="str">
        <f t="shared" si="679"/>
        <v>AVERAGE</v>
      </c>
      <c r="S8690" t="s">
        <v>615</v>
      </c>
    </row>
    <row r="8691" spans="1:19" x14ac:dyDescent="0.2">
      <c r="A8691" t="s">
        <v>9302</v>
      </c>
      <c r="B8691" t="s">
        <v>67</v>
      </c>
      <c r="C8691" t="s">
        <v>607</v>
      </c>
      <c r="D8691">
        <v>3868.76</v>
      </c>
      <c r="E8691" s="37" t="str">
        <f t="shared" si="675"/>
        <v xml:space="preserve"> </v>
      </c>
      <c r="F8691">
        <v>0.28999999999999998</v>
      </c>
      <c r="G8691" s="37" t="str">
        <f t="shared" si="676"/>
        <v>Normal Discount</v>
      </c>
      <c r="H8691" s="37" t="str">
        <f t="shared" si="677"/>
        <v>Medium</v>
      </c>
      <c r="I8691">
        <v>5</v>
      </c>
      <c r="J8691" t="str" cm="1">
        <f t="array" ref="J8691">_xlfn.IFS(I8691&lt;=3,"small",I8691&lt;=6,"Medium",I8691&lt;=9,"Large")</f>
        <v>Medium</v>
      </c>
      <c r="K8691" s="36">
        <v>45397</v>
      </c>
      <c r="L8691" s="36">
        <v>45402</v>
      </c>
      <c r="M8691" t="s">
        <v>603</v>
      </c>
      <c r="N8691" t="s">
        <v>599</v>
      </c>
      <c r="O8691" s="37" t="str">
        <f t="shared" si="678"/>
        <v>Digital Payment</v>
      </c>
      <c r="P8691">
        <v>744.28</v>
      </c>
      <c r="Q8691" s="37" t="str">
        <f>IF(P8691&gt;500,"High","low")</f>
        <v>High</v>
      </c>
      <c r="R8691" s="37" t="str">
        <f t="shared" si="679"/>
        <v>Good</v>
      </c>
      <c r="S8691" t="s">
        <v>615</v>
      </c>
    </row>
    <row r="8692" spans="1:19" x14ac:dyDescent="0.2">
      <c r="A8692" t="s">
        <v>9303</v>
      </c>
      <c r="B8692" t="s">
        <v>75</v>
      </c>
      <c r="C8692" t="s">
        <v>602</v>
      </c>
      <c r="D8692">
        <v>3459.65</v>
      </c>
      <c r="E8692" s="37" t="str">
        <f t="shared" si="675"/>
        <v xml:space="preserve"> </v>
      </c>
      <c r="F8692">
        <v>0.41</v>
      </c>
      <c r="G8692" s="37" t="str">
        <f t="shared" si="676"/>
        <v>Heavy Discount</v>
      </c>
      <c r="H8692" s="37" t="str">
        <f t="shared" si="677"/>
        <v>High</v>
      </c>
      <c r="I8692">
        <v>5</v>
      </c>
      <c r="J8692" t="str" cm="1">
        <f t="array" ref="J8692">_xlfn.IFS(I8692&lt;=3,"small",I8692&lt;=6,"Medium",I8692&lt;=9,"Large")</f>
        <v>Medium</v>
      </c>
      <c r="K8692" s="36">
        <v>45249</v>
      </c>
      <c r="L8692" s="36">
        <v>45253</v>
      </c>
      <c r="M8692" t="s">
        <v>612</v>
      </c>
      <c r="N8692" t="s">
        <v>608</v>
      </c>
      <c r="O8692" s="37" t="str">
        <f t="shared" si="678"/>
        <v>Cash Payment</v>
      </c>
      <c r="P8692">
        <v>748.41</v>
      </c>
      <c r="Q8692" s="37" t="str">
        <f>IF(P8692&gt;500,"High","low")</f>
        <v>High</v>
      </c>
      <c r="R8692" s="37" t="str">
        <f t="shared" si="679"/>
        <v>Good</v>
      </c>
      <c r="S8692" t="s">
        <v>605</v>
      </c>
    </row>
    <row r="8693" spans="1:19" x14ac:dyDescent="0.2">
      <c r="A8693" t="s">
        <v>9304</v>
      </c>
      <c r="B8693" t="s">
        <v>83</v>
      </c>
      <c r="C8693" t="s">
        <v>614</v>
      </c>
      <c r="D8693">
        <v>4024.63</v>
      </c>
      <c r="E8693" s="37" t="str">
        <f t="shared" si="675"/>
        <v xml:space="preserve"> </v>
      </c>
      <c r="F8693">
        <v>0.27</v>
      </c>
      <c r="G8693" s="37" t="str">
        <f t="shared" si="676"/>
        <v>Normal Discount</v>
      </c>
      <c r="H8693" s="37" t="str">
        <f t="shared" si="677"/>
        <v>Medium</v>
      </c>
      <c r="I8693">
        <v>4</v>
      </c>
      <c r="J8693" t="str" cm="1">
        <f t="array" ref="J8693">_xlfn.IFS(I8693&lt;=3,"small",I8693&lt;=6,"Medium",I8693&lt;=9,"Large")</f>
        <v>Medium</v>
      </c>
      <c r="K8693" s="36">
        <v>45102</v>
      </c>
      <c r="L8693" s="36">
        <v>45104</v>
      </c>
      <c r="M8693" t="s">
        <v>598</v>
      </c>
      <c r="N8693" t="s">
        <v>599</v>
      </c>
      <c r="O8693" s="37" t="str">
        <f t="shared" si="678"/>
        <v>Digital Payment</v>
      </c>
      <c r="P8693">
        <v>554.1</v>
      </c>
      <c r="Q8693" s="37" t="str">
        <f>IF(P8693&gt;500,"High","low")</f>
        <v>High</v>
      </c>
      <c r="R8693" s="37" t="str">
        <f t="shared" si="679"/>
        <v>Good</v>
      </c>
      <c r="S8693" t="s">
        <v>600</v>
      </c>
    </row>
    <row r="8694" spans="1:19" x14ac:dyDescent="0.2">
      <c r="A8694" t="s">
        <v>9305</v>
      </c>
      <c r="B8694" t="s">
        <v>75</v>
      </c>
      <c r="C8694" t="s">
        <v>617</v>
      </c>
      <c r="D8694">
        <v>1407.39</v>
      </c>
      <c r="E8694" s="37" t="str">
        <f t="shared" si="675"/>
        <v xml:space="preserve"> </v>
      </c>
      <c r="F8694">
        <v>0.2</v>
      </c>
      <c r="G8694" s="37" t="str">
        <f t="shared" si="676"/>
        <v>Normal Discount</v>
      </c>
      <c r="H8694" s="37" t="str">
        <f t="shared" si="677"/>
        <v>Medium</v>
      </c>
      <c r="I8694">
        <v>4</v>
      </c>
      <c r="J8694" t="str" cm="1">
        <f t="array" ref="J8694">_xlfn.IFS(I8694&lt;=3,"small",I8694&lt;=6,"Medium",I8694&lt;=9,"Large")</f>
        <v>Medium</v>
      </c>
      <c r="K8694" s="36">
        <v>45089</v>
      </c>
      <c r="L8694" s="36">
        <v>45091</v>
      </c>
      <c r="M8694" t="s">
        <v>612</v>
      </c>
      <c r="N8694" t="s">
        <v>608</v>
      </c>
      <c r="O8694" s="37" t="str">
        <f t="shared" si="678"/>
        <v>Cash Payment</v>
      </c>
      <c r="P8694">
        <v>379.27</v>
      </c>
      <c r="Q8694" s="37" t="str">
        <f>IF(P8694&gt;500,"High","low")</f>
        <v>low</v>
      </c>
      <c r="R8694" s="37" t="str">
        <f t="shared" si="679"/>
        <v>AVERAGE</v>
      </c>
      <c r="S8694" t="s">
        <v>609</v>
      </c>
    </row>
    <row r="8695" spans="1:19" x14ac:dyDescent="0.2">
      <c r="A8695" t="s">
        <v>9306</v>
      </c>
      <c r="B8695" t="s">
        <v>67</v>
      </c>
      <c r="C8695" t="s">
        <v>614</v>
      </c>
      <c r="D8695">
        <v>4261.68</v>
      </c>
      <c r="E8695" s="37" t="str">
        <f t="shared" si="675"/>
        <v>Excellent Order</v>
      </c>
      <c r="F8695">
        <v>0.1</v>
      </c>
      <c r="G8695" s="37" t="str">
        <f t="shared" si="676"/>
        <v>Normal Discount</v>
      </c>
      <c r="H8695" s="37" t="str">
        <f t="shared" si="677"/>
        <v>Low</v>
      </c>
      <c r="I8695">
        <v>7</v>
      </c>
      <c r="J8695" t="str" cm="1">
        <f t="array" ref="J8695">_xlfn.IFS(I8695&lt;=3,"small",I8695&lt;=6,"Medium",I8695&lt;=9,"Large")</f>
        <v>Large</v>
      </c>
      <c r="K8695" s="36">
        <v>45649</v>
      </c>
      <c r="L8695" s="36">
        <v>45654</v>
      </c>
      <c r="M8695" t="s">
        <v>612</v>
      </c>
      <c r="N8695" t="s">
        <v>599</v>
      </c>
      <c r="O8695" s="37" t="str">
        <f t="shared" si="678"/>
        <v>Digital Payment</v>
      </c>
      <c r="P8695">
        <v>1270.43</v>
      </c>
      <c r="Q8695" s="37" t="str">
        <f>IF(P8695&gt;500,"High","low")</f>
        <v>High</v>
      </c>
      <c r="R8695" s="37" t="str">
        <f t="shared" si="679"/>
        <v>Excellent</v>
      </c>
      <c r="S8695" t="s">
        <v>628</v>
      </c>
    </row>
    <row r="8696" spans="1:19" x14ac:dyDescent="0.2">
      <c r="A8696" t="s">
        <v>9307</v>
      </c>
      <c r="B8696" t="s">
        <v>83</v>
      </c>
      <c r="C8696" t="s">
        <v>614</v>
      </c>
      <c r="D8696">
        <v>2267.86</v>
      </c>
      <c r="E8696" s="37" t="str">
        <f t="shared" si="675"/>
        <v xml:space="preserve"> </v>
      </c>
      <c r="F8696">
        <v>0.43</v>
      </c>
      <c r="G8696" s="37" t="str">
        <f t="shared" si="676"/>
        <v>Heavy Discount</v>
      </c>
      <c r="H8696" s="37" t="str">
        <f t="shared" si="677"/>
        <v>High</v>
      </c>
      <c r="I8696">
        <v>4</v>
      </c>
      <c r="J8696" t="str" cm="1">
        <f t="array" ref="J8696">_xlfn.IFS(I8696&lt;=3,"small",I8696&lt;=6,"Medium",I8696&lt;=9,"Large")</f>
        <v>Medium</v>
      </c>
      <c r="K8696" s="36">
        <v>45516</v>
      </c>
      <c r="L8696" s="36">
        <v>45518</v>
      </c>
      <c r="M8696" t="s">
        <v>603</v>
      </c>
      <c r="N8696" t="s">
        <v>608</v>
      </c>
      <c r="O8696" s="37" t="str">
        <f t="shared" si="678"/>
        <v>Cash Payment</v>
      </c>
      <c r="P8696">
        <v>344.94</v>
      </c>
      <c r="Q8696" s="37" t="str">
        <f>IF(P8696&gt;500,"High","low")</f>
        <v>low</v>
      </c>
      <c r="R8696" s="37" t="str">
        <f t="shared" si="679"/>
        <v>AVERAGE</v>
      </c>
      <c r="S8696" t="s">
        <v>600</v>
      </c>
    </row>
    <row r="8697" spans="1:19" x14ac:dyDescent="0.2">
      <c r="A8697" t="s">
        <v>9308</v>
      </c>
      <c r="B8697" t="s">
        <v>83</v>
      </c>
      <c r="C8697" t="s">
        <v>614</v>
      </c>
      <c r="D8697">
        <v>1383.35</v>
      </c>
      <c r="E8697" s="37" t="str">
        <f t="shared" si="675"/>
        <v xml:space="preserve"> </v>
      </c>
      <c r="F8697">
        <v>0.03</v>
      </c>
      <c r="G8697" s="37" t="str">
        <f t="shared" si="676"/>
        <v>Normal Discount</v>
      </c>
      <c r="H8697" s="37" t="str">
        <f t="shared" si="677"/>
        <v>Low</v>
      </c>
      <c r="I8697">
        <v>3</v>
      </c>
      <c r="J8697" t="str" cm="1">
        <f t="array" ref="J8697">_xlfn.IFS(I8697&lt;=3,"small",I8697&lt;=6,"Medium",I8697&lt;=9,"Large")</f>
        <v>small</v>
      </c>
      <c r="K8697" s="36">
        <v>45185</v>
      </c>
      <c r="L8697" s="36">
        <v>45186</v>
      </c>
      <c r="M8697" t="s">
        <v>603</v>
      </c>
      <c r="N8697" t="s">
        <v>604</v>
      </c>
      <c r="O8697" s="37" t="str">
        <f t="shared" si="678"/>
        <v>Digital Payment</v>
      </c>
      <c r="P8697">
        <v>119.36</v>
      </c>
      <c r="Q8697" s="37" t="str">
        <f>IF(P8697&gt;500,"High","low")</f>
        <v>low</v>
      </c>
      <c r="R8697" s="37" t="str">
        <f t="shared" si="679"/>
        <v>AVERAGE</v>
      </c>
      <c r="S8697" t="s">
        <v>600</v>
      </c>
    </row>
    <row r="8698" spans="1:19" x14ac:dyDescent="0.2">
      <c r="A8698" t="s">
        <v>9309</v>
      </c>
      <c r="B8698" t="s">
        <v>67</v>
      </c>
      <c r="C8698" t="s">
        <v>607</v>
      </c>
      <c r="D8698">
        <v>151.97999999999999</v>
      </c>
      <c r="E8698" s="37" t="str">
        <f t="shared" si="675"/>
        <v xml:space="preserve"> </v>
      </c>
      <c r="F8698">
        <v>0.45</v>
      </c>
      <c r="G8698" s="37" t="str">
        <f t="shared" si="676"/>
        <v>Heavy Discount</v>
      </c>
      <c r="H8698" s="37" t="str">
        <f t="shared" si="677"/>
        <v>High</v>
      </c>
      <c r="I8698">
        <v>9</v>
      </c>
      <c r="J8698" t="str" cm="1">
        <f t="array" ref="J8698">_xlfn.IFS(I8698&lt;=3,"small",I8698&lt;=6,"Medium",I8698&lt;=9,"Large")</f>
        <v>Large</v>
      </c>
      <c r="K8698" s="36">
        <v>45444</v>
      </c>
      <c r="L8698" s="36">
        <v>45447</v>
      </c>
      <c r="M8698" t="s">
        <v>598</v>
      </c>
      <c r="N8698" t="s">
        <v>604</v>
      </c>
      <c r="O8698" s="37" t="str">
        <f t="shared" si="678"/>
        <v>Digital Payment</v>
      </c>
      <c r="P8698">
        <v>41.21</v>
      </c>
      <c r="Q8698" s="37" t="str">
        <f>IF(P8698&gt;500,"High","low")</f>
        <v>low</v>
      </c>
      <c r="R8698" s="37" t="str">
        <f t="shared" si="679"/>
        <v>AVERAGE</v>
      </c>
      <c r="S8698" t="s">
        <v>609</v>
      </c>
    </row>
    <row r="8699" spans="1:19" x14ac:dyDescent="0.2">
      <c r="A8699" t="s">
        <v>9310</v>
      </c>
      <c r="B8699" t="s">
        <v>90</v>
      </c>
      <c r="C8699" t="s">
        <v>614</v>
      </c>
      <c r="D8699">
        <v>4369.68</v>
      </c>
      <c r="E8699" s="37" t="str">
        <f t="shared" si="675"/>
        <v xml:space="preserve"> </v>
      </c>
      <c r="F8699">
        <v>0.1</v>
      </c>
      <c r="G8699" s="37" t="str">
        <f t="shared" si="676"/>
        <v>Normal Discount</v>
      </c>
      <c r="H8699" s="37" t="str">
        <f t="shared" si="677"/>
        <v>Low</v>
      </c>
      <c r="I8699">
        <v>4</v>
      </c>
      <c r="J8699" t="str" cm="1">
        <f t="array" ref="J8699">_xlfn.IFS(I8699&lt;=3,"small",I8699&lt;=6,"Medium",I8699&lt;=9,"Large")</f>
        <v>Medium</v>
      </c>
      <c r="K8699" s="36">
        <v>45346</v>
      </c>
      <c r="L8699" s="36">
        <v>45350</v>
      </c>
      <c r="M8699" t="s">
        <v>603</v>
      </c>
      <c r="N8699" t="s">
        <v>599</v>
      </c>
      <c r="O8699" s="37" t="str">
        <f t="shared" si="678"/>
        <v>Digital Payment</v>
      </c>
      <c r="P8699">
        <v>793.04</v>
      </c>
      <c r="Q8699" s="37" t="str">
        <f>IF(P8699&gt;500,"High","low")</f>
        <v>High</v>
      </c>
      <c r="R8699" s="37" t="str">
        <f t="shared" si="679"/>
        <v>Good</v>
      </c>
      <c r="S8699" t="s">
        <v>628</v>
      </c>
    </row>
    <row r="8700" spans="1:19" x14ac:dyDescent="0.2">
      <c r="A8700" t="s">
        <v>9311</v>
      </c>
      <c r="B8700" t="s">
        <v>83</v>
      </c>
      <c r="C8700" t="s">
        <v>597</v>
      </c>
      <c r="D8700">
        <v>2723.18</v>
      </c>
      <c r="E8700" s="37" t="str">
        <f t="shared" si="675"/>
        <v xml:space="preserve"> </v>
      </c>
      <c r="F8700">
        <v>0</v>
      </c>
      <c r="G8700" s="37" t="str">
        <f t="shared" si="676"/>
        <v>Normal Discount</v>
      </c>
      <c r="H8700" s="37" t="str">
        <f t="shared" si="677"/>
        <v>Low</v>
      </c>
      <c r="I8700">
        <v>4</v>
      </c>
      <c r="J8700" t="str" cm="1">
        <f t="array" ref="J8700">_xlfn.IFS(I8700&lt;=3,"small",I8700&lt;=6,"Medium",I8700&lt;=9,"Large")</f>
        <v>Medium</v>
      </c>
      <c r="K8700" s="36">
        <v>45012</v>
      </c>
      <c r="L8700" s="36">
        <v>45014</v>
      </c>
      <c r="M8700" t="s">
        <v>612</v>
      </c>
      <c r="N8700" t="s">
        <v>604</v>
      </c>
      <c r="O8700" s="37" t="str">
        <f t="shared" si="678"/>
        <v>Digital Payment</v>
      </c>
      <c r="P8700">
        <v>640.04999999999995</v>
      </c>
      <c r="Q8700" s="37" t="str">
        <f>IF(P8700&gt;500,"High","low")</f>
        <v>High</v>
      </c>
      <c r="R8700" s="37" t="str">
        <f t="shared" si="679"/>
        <v>Good</v>
      </c>
      <c r="S8700" t="s">
        <v>609</v>
      </c>
    </row>
    <row r="8701" spans="1:19" x14ac:dyDescent="0.2">
      <c r="A8701" t="s">
        <v>9312</v>
      </c>
      <c r="B8701" t="s">
        <v>83</v>
      </c>
      <c r="C8701" t="s">
        <v>602</v>
      </c>
      <c r="D8701">
        <v>4879.37</v>
      </c>
      <c r="E8701" s="37" t="str">
        <f t="shared" si="675"/>
        <v xml:space="preserve"> </v>
      </c>
      <c r="F8701">
        <v>0.05</v>
      </c>
      <c r="G8701" s="37" t="str">
        <f t="shared" si="676"/>
        <v>Normal Discount</v>
      </c>
      <c r="H8701" s="37" t="str">
        <f t="shared" si="677"/>
        <v>Low</v>
      </c>
      <c r="I8701">
        <v>8</v>
      </c>
      <c r="J8701" t="str" cm="1">
        <f t="array" ref="J8701">_xlfn.IFS(I8701&lt;=3,"small",I8701&lt;=6,"Medium",I8701&lt;=9,"Large")</f>
        <v>Large</v>
      </c>
      <c r="K8701" s="36">
        <v>45058</v>
      </c>
      <c r="L8701" s="36">
        <v>45060</v>
      </c>
      <c r="M8701" t="s">
        <v>598</v>
      </c>
      <c r="N8701" t="s">
        <v>599</v>
      </c>
      <c r="O8701" s="37" t="str">
        <f t="shared" si="678"/>
        <v>Digital Payment</v>
      </c>
      <c r="P8701">
        <v>680.94</v>
      </c>
      <c r="Q8701" s="37" t="str">
        <f>IF(P8701&gt;500,"High","low")</f>
        <v>High</v>
      </c>
      <c r="R8701" s="37" t="str">
        <f t="shared" si="679"/>
        <v>Good</v>
      </c>
      <c r="S8701" t="s">
        <v>609</v>
      </c>
    </row>
    <row r="8702" spans="1:19" x14ac:dyDescent="0.2">
      <c r="A8702" t="s">
        <v>9313</v>
      </c>
      <c r="B8702" t="s">
        <v>75</v>
      </c>
      <c r="C8702" t="s">
        <v>607</v>
      </c>
      <c r="D8702">
        <v>3601.94</v>
      </c>
      <c r="E8702" s="37" t="str">
        <f t="shared" si="675"/>
        <v xml:space="preserve"> </v>
      </c>
      <c r="F8702">
        <v>0.44</v>
      </c>
      <c r="G8702" s="37" t="str">
        <f t="shared" si="676"/>
        <v>Heavy Discount</v>
      </c>
      <c r="H8702" s="37" t="str">
        <f t="shared" si="677"/>
        <v>High</v>
      </c>
      <c r="I8702">
        <v>7</v>
      </c>
      <c r="J8702" t="str" cm="1">
        <f t="array" ref="J8702">_xlfn.IFS(I8702&lt;=3,"small",I8702&lt;=6,"Medium",I8702&lt;=9,"Large")</f>
        <v>Large</v>
      </c>
      <c r="K8702" s="36">
        <v>45448</v>
      </c>
      <c r="L8702" s="36">
        <v>45450</v>
      </c>
      <c r="M8702" t="s">
        <v>612</v>
      </c>
      <c r="N8702" t="s">
        <v>608</v>
      </c>
      <c r="O8702" s="37" t="str">
        <f t="shared" si="678"/>
        <v>Cash Payment</v>
      </c>
      <c r="P8702">
        <v>282.14</v>
      </c>
      <c r="Q8702" s="37" t="str">
        <f>IF(P8702&gt;500,"High","low")</f>
        <v>low</v>
      </c>
      <c r="R8702" s="37" t="str">
        <f t="shared" si="679"/>
        <v>AVERAGE</v>
      </c>
      <c r="S8702" t="s">
        <v>600</v>
      </c>
    </row>
    <row r="8703" spans="1:19" x14ac:dyDescent="0.2">
      <c r="A8703" t="s">
        <v>9314</v>
      </c>
      <c r="B8703" t="s">
        <v>90</v>
      </c>
      <c r="C8703" t="s">
        <v>597</v>
      </c>
      <c r="D8703">
        <v>494.04</v>
      </c>
      <c r="E8703" s="37" t="str">
        <f t="shared" si="675"/>
        <v xml:space="preserve"> </v>
      </c>
      <c r="F8703">
        <v>0.04</v>
      </c>
      <c r="G8703" s="37" t="str">
        <f t="shared" si="676"/>
        <v>Normal Discount</v>
      </c>
      <c r="H8703" s="37" t="str">
        <f t="shared" si="677"/>
        <v>Low</v>
      </c>
      <c r="I8703">
        <v>4</v>
      </c>
      <c r="J8703" t="str" cm="1">
        <f t="array" ref="J8703">_xlfn.IFS(I8703&lt;=3,"small",I8703&lt;=6,"Medium",I8703&lt;=9,"Large")</f>
        <v>Medium</v>
      </c>
      <c r="K8703" s="36">
        <v>45421</v>
      </c>
      <c r="L8703" s="36">
        <v>45423</v>
      </c>
      <c r="M8703" t="s">
        <v>603</v>
      </c>
      <c r="N8703" t="s">
        <v>604</v>
      </c>
      <c r="O8703" s="37" t="str">
        <f t="shared" si="678"/>
        <v>Digital Payment</v>
      </c>
      <c r="P8703">
        <v>130.83000000000001</v>
      </c>
      <c r="Q8703" s="37" t="str">
        <f>IF(P8703&gt;500,"High","low")</f>
        <v>low</v>
      </c>
      <c r="R8703" s="37" t="str">
        <f t="shared" si="679"/>
        <v>AVERAGE</v>
      </c>
      <c r="S8703" t="s">
        <v>609</v>
      </c>
    </row>
    <row r="8704" spans="1:19" x14ac:dyDescent="0.2">
      <c r="A8704" t="s">
        <v>9315</v>
      </c>
      <c r="B8704" t="s">
        <v>75</v>
      </c>
      <c r="C8704" t="s">
        <v>597</v>
      </c>
      <c r="D8704">
        <v>2982.14</v>
      </c>
      <c r="E8704" s="37" t="str">
        <f t="shared" si="675"/>
        <v xml:space="preserve"> </v>
      </c>
      <c r="F8704">
        <v>0.18</v>
      </c>
      <c r="G8704" s="37" t="str">
        <f t="shared" si="676"/>
        <v>Normal Discount</v>
      </c>
      <c r="H8704" s="37" t="str">
        <f t="shared" si="677"/>
        <v>Low</v>
      </c>
      <c r="I8704">
        <v>8</v>
      </c>
      <c r="J8704" t="str" cm="1">
        <f t="array" ref="J8704">_xlfn.IFS(I8704&lt;=3,"small",I8704&lt;=6,"Medium",I8704&lt;=9,"Large")</f>
        <v>Large</v>
      </c>
      <c r="K8704" s="36">
        <v>44975</v>
      </c>
      <c r="L8704" s="36">
        <v>44978</v>
      </c>
      <c r="M8704" t="s">
        <v>612</v>
      </c>
      <c r="N8704" t="s">
        <v>608</v>
      </c>
      <c r="O8704" s="37" t="str">
        <f t="shared" si="678"/>
        <v>Cash Payment</v>
      </c>
      <c r="P8704">
        <v>509.25</v>
      </c>
      <c r="Q8704" s="37" t="str">
        <f>IF(P8704&gt;500,"High","low")</f>
        <v>High</v>
      </c>
      <c r="R8704" s="37" t="str">
        <f t="shared" si="679"/>
        <v>Good</v>
      </c>
      <c r="S8704" t="s">
        <v>600</v>
      </c>
    </row>
    <row r="8705" spans="1:19" x14ac:dyDescent="0.2">
      <c r="A8705" t="s">
        <v>9316</v>
      </c>
      <c r="B8705" t="s">
        <v>75</v>
      </c>
      <c r="C8705" t="s">
        <v>617</v>
      </c>
      <c r="D8705">
        <v>183.91</v>
      </c>
      <c r="E8705" s="37" t="str">
        <f t="shared" si="675"/>
        <v xml:space="preserve"> </v>
      </c>
      <c r="F8705">
        <v>0.13</v>
      </c>
      <c r="G8705" s="37" t="str">
        <f t="shared" si="676"/>
        <v>Normal Discount</v>
      </c>
      <c r="H8705" s="37" t="str">
        <f t="shared" si="677"/>
        <v>Low</v>
      </c>
      <c r="I8705">
        <v>2</v>
      </c>
      <c r="J8705" t="str" cm="1">
        <f t="array" ref="J8705">_xlfn.IFS(I8705&lt;=3,"small",I8705&lt;=6,"Medium",I8705&lt;=9,"Large")</f>
        <v>small</v>
      </c>
      <c r="K8705" s="36">
        <v>44939</v>
      </c>
      <c r="L8705" s="36">
        <v>44942</v>
      </c>
      <c r="M8705" t="s">
        <v>598</v>
      </c>
      <c r="N8705" t="s">
        <v>604</v>
      </c>
      <c r="O8705" s="37" t="str">
        <f t="shared" si="678"/>
        <v>Digital Payment</v>
      </c>
      <c r="P8705">
        <v>14.21</v>
      </c>
      <c r="Q8705" s="37" t="str">
        <f>IF(P8705&gt;500,"High","low")</f>
        <v>low</v>
      </c>
      <c r="R8705" s="37" t="str">
        <f t="shared" si="679"/>
        <v>AVERAGE</v>
      </c>
      <c r="S8705" t="s">
        <v>600</v>
      </c>
    </row>
    <row r="8706" spans="1:19" x14ac:dyDescent="0.2">
      <c r="A8706" t="s">
        <v>9317</v>
      </c>
      <c r="B8706" t="s">
        <v>90</v>
      </c>
      <c r="C8706" t="s">
        <v>617</v>
      </c>
      <c r="D8706">
        <v>2833.13</v>
      </c>
      <c r="E8706" s="37" t="str">
        <f t="shared" si="675"/>
        <v xml:space="preserve"> </v>
      </c>
      <c r="F8706">
        <v>0.02</v>
      </c>
      <c r="G8706" s="37" t="str">
        <f t="shared" si="676"/>
        <v>Normal Discount</v>
      </c>
      <c r="H8706" s="37" t="str">
        <f t="shared" si="677"/>
        <v>Low</v>
      </c>
      <c r="I8706">
        <v>9</v>
      </c>
      <c r="J8706" t="str" cm="1">
        <f t="array" ref="J8706">_xlfn.IFS(I8706&lt;=3,"small",I8706&lt;=6,"Medium",I8706&lt;=9,"Large")</f>
        <v>Large</v>
      </c>
      <c r="K8706" s="36">
        <v>45292</v>
      </c>
      <c r="L8706" s="36">
        <v>45298</v>
      </c>
      <c r="M8706" t="s">
        <v>598</v>
      </c>
      <c r="N8706" t="s">
        <v>604</v>
      </c>
      <c r="O8706" s="37" t="str">
        <f t="shared" si="678"/>
        <v>Digital Payment</v>
      </c>
      <c r="P8706">
        <v>274.36</v>
      </c>
      <c r="Q8706" s="37" t="str">
        <f>IF(P8706&gt;500,"High","low")</f>
        <v>low</v>
      </c>
      <c r="R8706" s="37" t="str">
        <f t="shared" si="679"/>
        <v>AVERAGE</v>
      </c>
      <c r="S8706" t="s">
        <v>609</v>
      </c>
    </row>
    <row r="8707" spans="1:19" x14ac:dyDescent="0.2">
      <c r="A8707" t="s">
        <v>9318</v>
      </c>
      <c r="B8707" t="s">
        <v>90</v>
      </c>
      <c r="C8707" t="s">
        <v>597</v>
      </c>
      <c r="D8707">
        <v>1815.99</v>
      </c>
      <c r="E8707" s="37" t="str">
        <f t="shared" ref="E8707:E8770" si="680">IF(AND(D8707&gt;4000,P8707&gt;800),"Excellent Order"," ")</f>
        <v xml:space="preserve"> </v>
      </c>
      <c r="F8707">
        <v>0.27</v>
      </c>
      <c r="G8707" s="37" t="str">
        <f t="shared" ref="G8707:G8770" si="681">IF(F8707&gt;30%,"Heavy Discount","Normal Discount")</f>
        <v>Normal Discount</v>
      </c>
      <c r="H8707" s="37" t="str">
        <f t="shared" ref="H8707:H8770" si="682">IF(F8707&gt;0.4,"High",IF(F8707&gt;=0.2,"Medium","Low"))</f>
        <v>Medium</v>
      </c>
      <c r="I8707">
        <v>2</v>
      </c>
      <c r="J8707" t="str" cm="1">
        <f t="array" ref="J8707">_xlfn.IFS(I8707&lt;=3,"small",I8707&lt;=6,"Medium",I8707&lt;=9,"Large")</f>
        <v>small</v>
      </c>
      <c r="K8707" s="36">
        <v>45301</v>
      </c>
      <c r="L8707" s="36">
        <v>45308</v>
      </c>
      <c r="M8707" t="s">
        <v>603</v>
      </c>
      <c r="N8707" t="s">
        <v>599</v>
      </c>
      <c r="O8707" s="37" t="str">
        <f t="shared" ref="O8707:O8770" si="683">IF(OR(N8707="Card",N8707="UPI"),"Digital Payment","Cash Payment")</f>
        <v>Digital Payment</v>
      </c>
      <c r="P8707">
        <v>427.45</v>
      </c>
      <c r="Q8707" s="37" t="str">
        <f>IF(P8707&gt;500,"High","low")</f>
        <v>low</v>
      </c>
      <c r="R8707" s="37" t="str">
        <f t="shared" ref="R8707:R8770" si="684">IF(P8707&gt;1000,"Excellent",IF(P8707&gt;=500,"Good","AVERAGE"))</f>
        <v>AVERAGE</v>
      </c>
      <c r="S8707" t="s">
        <v>620</v>
      </c>
    </row>
    <row r="8708" spans="1:19" x14ac:dyDescent="0.2">
      <c r="A8708" t="s">
        <v>9319</v>
      </c>
      <c r="B8708" t="s">
        <v>67</v>
      </c>
      <c r="C8708" t="s">
        <v>617</v>
      </c>
      <c r="D8708">
        <v>3252.15</v>
      </c>
      <c r="E8708" s="37" t="str">
        <f t="shared" si="680"/>
        <v xml:space="preserve"> </v>
      </c>
      <c r="F8708">
        <v>0.5</v>
      </c>
      <c r="G8708" s="37" t="str">
        <f t="shared" si="681"/>
        <v>Heavy Discount</v>
      </c>
      <c r="H8708" s="37" t="str">
        <f t="shared" si="682"/>
        <v>High</v>
      </c>
      <c r="I8708">
        <v>3</v>
      </c>
      <c r="J8708" t="str" cm="1">
        <f t="array" ref="J8708">_xlfn.IFS(I8708&lt;=3,"small",I8708&lt;=6,"Medium",I8708&lt;=9,"Large")</f>
        <v>small</v>
      </c>
      <c r="K8708" s="36">
        <v>45609</v>
      </c>
      <c r="L8708" s="36">
        <v>45614</v>
      </c>
      <c r="M8708" t="s">
        <v>598</v>
      </c>
      <c r="N8708" t="s">
        <v>604</v>
      </c>
      <c r="O8708" s="37" t="str">
        <f t="shared" si="683"/>
        <v>Digital Payment</v>
      </c>
      <c r="P8708">
        <v>874.68</v>
      </c>
      <c r="Q8708" s="37" t="str">
        <f>IF(P8708&gt;500,"High","low")</f>
        <v>High</v>
      </c>
      <c r="R8708" s="37" t="str">
        <f t="shared" si="684"/>
        <v>Good</v>
      </c>
      <c r="S8708" t="s">
        <v>615</v>
      </c>
    </row>
    <row r="8709" spans="1:19" x14ac:dyDescent="0.2">
      <c r="A8709" t="s">
        <v>9320</v>
      </c>
      <c r="B8709" t="s">
        <v>90</v>
      </c>
      <c r="C8709" t="s">
        <v>602</v>
      </c>
      <c r="D8709">
        <v>2753.71</v>
      </c>
      <c r="E8709" s="37" t="str">
        <f t="shared" si="680"/>
        <v xml:space="preserve"> </v>
      </c>
      <c r="F8709">
        <v>0.43</v>
      </c>
      <c r="G8709" s="37" t="str">
        <f t="shared" si="681"/>
        <v>Heavy Discount</v>
      </c>
      <c r="H8709" s="37" t="str">
        <f t="shared" si="682"/>
        <v>High</v>
      </c>
      <c r="I8709">
        <v>6</v>
      </c>
      <c r="J8709" t="str" cm="1">
        <f t="array" ref="J8709">_xlfn.IFS(I8709&lt;=3,"small",I8709&lt;=6,"Medium",I8709&lt;=9,"Large")</f>
        <v>Medium</v>
      </c>
      <c r="K8709" s="36">
        <v>45284</v>
      </c>
      <c r="L8709" s="36">
        <v>45291</v>
      </c>
      <c r="M8709" t="s">
        <v>603</v>
      </c>
      <c r="N8709" t="s">
        <v>599</v>
      </c>
      <c r="O8709" s="37" t="str">
        <f t="shared" si="683"/>
        <v>Digital Payment</v>
      </c>
      <c r="P8709">
        <v>328.5</v>
      </c>
      <c r="Q8709" s="37" t="str">
        <f>IF(P8709&gt;500,"High","low")</f>
        <v>low</v>
      </c>
      <c r="R8709" s="37" t="str">
        <f t="shared" si="684"/>
        <v>AVERAGE</v>
      </c>
      <c r="S8709" t="s">
        <v>605</v>
      </c>
    </row>
    <row r="8710" spans="1:19" x14ac:dyDescent="0.2">
      <c r="A8710" t="s">
        <v>9321</v>
      </c>
      <c r="B8710" t="s">
        <v>83</v>
      </c>
      <c r="C8710" t="s">
        <v>602</v>
      </c>
      <c r="D8710">
        <v>1380.62</v>
      </c>
      <c r="E8710" s="37" t="str">
        <f t="shared" si="680"/>
        <v xml:space="preserve"> </v>
      </c>
      <c r="F8710">
        <v>0.08</v>
      </c>
      <c r="G8710" s="37" t="str">
        <f t="shared" si="681"/>
        <v>Normal Discount</v>
      </c>
      <c r="H8710" s="37" t="str">
        <f t="shared" si="682"/>
        <v>Low</v>
      </c>
      <c r="I8710">
        <v>7</v>
      </c>
      <c r="J8710" t="str" cm="1">
        <f t="array" ref="J8710">_xlfn.IFS(I8710&lt;=3,"small",I8710&lt;=6,"Medium",I8710&lt;=9,"Large")</f>
        <v>Large</v>
      </c>
      <c r="K8710" s="36">
        <v>45102</v>
      </c>
      <c r="L8710" s="36">
        <v>45103</v>
      </c>
      <c r="M8710" t="s">
        <v>612</v>
      </c>
      <c r="N8710" t="s">
        <v>608</v>
      </c>
      <c r="O8710" s="37" t="str">
        <f t="shared" si="683"/>
        <v>Cash Payment</v>
      </c>
      <c r="P8710">
        <v>165.81</v>
      </c>
      <c r="Q8710" s="37" t="str">
        <f>IF(P8710&gt;500,"High","low")</f>
        <v>low</v>
      </c>
      <c r="R8710" s="37" t="str">
        <f t="shared" si="684"/>
        <v>AVERAGE</v>
      </c>
      <c r="S8710" t="s">
        <v>609</v>
      </c>
    </row>
    <row r="8711" spans="1:19" x14ac:dyDescent="0.2">
      <c r="A8711" t="s">
        <v>9322</v>
      </c>
      <c r="B8711" t="s">
        <v>90</v>
      </c>
      <c r="C8711" t="s">
        <v>617</v>
      </c>
      <c r="D8711">
        <v>895.52</v>
      </c>
      <c r="E8711" s="37" t="str">
        <f t="shared" si="680"/>
        <v xml:space="preserve"> </v>
      </c>
      <c r="F8711">
        <v>0.44</v>
      </c>
      <c r="G8711" s="37" t="str">
        <f t="shared" si="681"/>
        <v>Heavy Discount</v>
      </c>
      <c r="H8711" s="37" t="str">
        <f t="shared" si="682"/>
        <v>High</v>
      </c>
      <c r="I8711">
        <v>9</v>
      </c>
      <c r="J8711" t="str" cm="1">
        <f t="array" ref="J8711">_xlfn.IFS(I8711&lt;=3,"small",I8711&lt;=6,"Medium",I8711&lt;=9,"Large")</f>
        <v>Large</v>
      </c>
      <c r="K8711" s="36">
        <v>45144</v>
      </c>
      <c r="L8711" s="36">
        <v>45146</v>
      </c>
      <c r="M8711" t="s">
        <v>598</v>
      </c>
      <c r="N8711" t="s">
        <v>608</v>
      </c>
      <c r="O8711" s="37" t="str">
        <f t="shared" si="683"/>
        <v>Cash Payment</v>
      </c>
      <c r="P8711">
        <v>67.540000000000006</v>
      </c>
      <c r="Q8711" s="37" t="str">
        <f>IF(P8711&gt;500,"High","low")</f>
        <v>low</v>
      </c>
      <c r="R8711" s="37" t="str">
        <f t="shared" si="684"/>
        <v>AVERAGE</v>
      </c>
      <c r="S8711" t="s">
        <v>615</v>
      </c>
    </row>
    <row r="8712" spans="1:19" x14ac:dyDescent="0.2">
      <c r="A8712" t="s">
        <v>9323</v>
      </c>
      <c r="B8712" t="s">
        <v>67</v>
      </c>
      <c r="C8712" t="s">
        <v>614</v>
      </c>
      <c r="D8712">
        <v>2083.09</v>
      </c>
      <c r="E8712" s="37" t="str">
        <f t="shared" si="680"/>
        <v xml:space="preserve"> </v>
      </c>
      <c r="F8712">
        <v>0.23</v>
      </c>
      <c r="G8712" s="37" t="str">
        <f t="shared" si="681"/>
        <v>Normal Discount</v>
      </c>
      <c r="H8712" s="37" t="str">
        <f t="shared" si="682"/>
        <v>Medium</v>
      </c>
      <c r="I8712">
        <v>8</v>
      </c>
      <c r="J8712" t="str" cm="1">
        <f t="array" ref="J8712">_xlfn.IFS(I8712&lt;=3,"small",I8712&lt;=6,"Medium",I8712&lt;=9,"Large")</f>
        <v>Large</v>
      </c>
      <c r="K8712" s="36">
        <v>45596</v>
      </c>
      <c r="L8712" s="36">
        <v>45601</v>
      </c>
      <c r="M8712" t="s">
        <v>598</v>
      </c>
      <c r="N8712" t="s">
        <v>599</v>
      </c>
      <c r="O8712" s="37" t="str">
        <f t="shared" si="683"/>
        <v>Digital Payment</v>
      </c>
      <c r="P8712">
        <v>322.29000000000002</v>
      </c>
      <c r="Q8712" s="37" t="str">
        <f>IF(P8712&gt;500,"High","low")</f>
        <v>low</v>
      </c>
      <c r="R8712" s="37" t="str">
        <f t="shared" si="684"/>
        <v>AVERAGE</v>
      </c>
      <c r="S8712" t="s">
        <v>600</v>
      </c>
    </row>
    <row r="8713" spans="1:19" x14ac:dyDescent="0.2">
      <c r="A8713" t="s">
        <v>9324</v>
      </c>
      <c r="B8713" t="s">
        <v>67</v>
      </c>
      <c r="C8713" t="s">
        <v>597</v>
      </c>
      <c r="D8713">
        <v>4935.5</v>
      </c>
      <c r="E8713" s="37" t="str">
        <f t="shared" si="680"/>
        <v>Excellent Order</v>
      </c>
      <c r="F8713">
        <v>0.14000000000000001</v>
      </c>
      <c r="G8713" s="37" t="str">
        <f t="shared" si="681"/>
        <v>Normal Discount</v>
      </c>
      <c r="H8713" s="37" t="str">
        <f t="shared" si="682"/>
        <v>Low</v>
      </c>
      <c r="I8713">
        <v>6</v>
      </c>
      <c r="J8713" t="str" cm="1">
        <f t="array" ref="J8713">_xlfn.IFS(I8713&lt;=3,"small",I8713&lt;=6,"Medium",I8713&lt;=9,"Large")</f>
        <v>Medium</v>
      </c>
      <c r="K8713" s="36">
        <v>45597</v>
      </c>
      <c r="L8713" s="36">
        <v>45598</v>
      </c>
      <c r="M8713" t="s">
        <v>598</v>
      </c>
      <c r="N8713" t="s">
        <v>608</v>
      </c>
      <c r="O8713" s="37" t="str">
        <f t="shared" si="683"/>
        <v>Cash Payment</v>
      </c>
      <c r="P8713">
        <v>1346.67</v>
      </c>
      <c r="Q8713" s="37" t="str">
        <f>IF(P8713&gt;500,"High","low")</f>
        <v>High</v>
      </c>
      <c r="R8713" s="37" t="str">
        <f t="shared" si="684"/>
        <v>Excellent</v>
      </c>
      <c r="S8713" t="s">
        <v>615</v>
      </c>
    </row>
    <row r="8714" spans="1:19" x14ac:dyDescent="0.2">
      <c r="A8714" t="s">
        <v>9325</v>
      </c>
      <c r="B8714" t="s">
        <v>67</v>
      </c>
      <c r="C8714" t="s">
        <v>602</v>
      </c>
      <c r="D8714">
        <v>2234.92</v>
      </c>
      <c r="E8714" s="37" t="str">
        <f t="shared" si="680"/>
        <v xml:space="preserve"> </v>
      </c>
      <c r="F8714">
        <v>0.32</v>
      </c>
      <c r="G8714" s="37" t="str">
        <f t="shared" si="681"/>
        <v>Heavy Discount</v>
      </c>
      <c r="H8714" s="37" t="str">
        <f t="shared" si="682"/>
        <v>Medium</v>
      </c>
      <c r="I8714">
        <v>8</v>
      </c>
      <c r="J8714" t="str" cm="1">
        <f t="array" ref="J8714">_xlfn.IFS(I8714&lt;=3,"small",I8714&lt;=6,"Medium",I8714&lt;=9,"Large")</f>
        <v>Large</v>
      </c>
      <c r="K8714" s="36">
        <v>45220</v>
      </c>
      <c r="L8714" s="36">
        <v>45223</v>
      </c>
      <c r="M8714" t="s">
        <v>598</v>
      </c>
      <c r="N8714" t="s">
        <v>599</v>
      </c>
      <c r="O8714" s="37" t="str">
        <f t="shared" si="683"/>
        <v>Digital Payment</v>
      </c>
      <c r="P8714">
        <v>203.57</v>
      </c>
      <c r="Q8714" s="37" t="str">
        <f>IF(P8714&gt;500,"High","low")</f>
        <v>low</v>
      </c>
      <c r="R8714" s="37" t="str">
        <f t="shared" si="684"/>
        <v>AVERAGE</v>
      </c>
      <c r="S8714" t="s">
        <v>620</v>
      </c>
    </row>
    <row r="8715" spans="1:19" x14ac:dyDescent="0.2">
      <c r="A8715" t="s">
        <v>9326</v>
      </c>
      <c r="B8715" t="s">
        <v>90</v>
      </c>
      <c r="C8715" t="s">
        <v>617</v>
      </c>
      <c r="D8715">
        <v>3769.06</v>
      </c>
      <c r="E8715" s="37" t="str">
        <f t="shared" si="680"/>
        <v xml:space="preserve"> </v>
      </c>
      <c r="F8715">
        <v>0.11</v>
      </c>
      <c r="G8715" s="37" t="str">
        <f t="shared" si="681"/>
        <v>Normal Discount</v>
      </c>
      <c r="H8715" s="37" t="str">
        <f t="shared" si="682"/>
        <v>Low</v>
      </c>
      <c r="I8715">
        <v>5</v>
      </c>
      <c r="J8715" t="str" cm="1">
        <f t="array" ref="J8715">_xlfn.IFS(I8715&lt;=3,"small",I8715&lt;=6,"Medium",I8715&lt;=9,"Large")</f>
        <v>Medium</v>
      </c>
      <c r="K8715" s="36">
        <v>45585</v>
      </c>
      <c r="L8715" s="36">
        <v>45587</v>
      </c>
      <c r="M8715" t="s">
        <v>598</v>
      </c>
      <c r="N8715" t="s">
        <v>604</v>
      </c>
      <c r="O8715" s="37" t="str">
        <f t="shared" si="683"/>
        <v>Digital Payment</v>
      </c>
      <c r="P8715">
        <v>922.63</v>
      </c>
      <c r="Q8715" s="37" t="str">
        <f>IF(P8715&gt;500,"High","low")</f>
        <v>High</v>
      </c>
      <c r="R8715" s="37" t="str">
        <f t="shared" si="684"/>
        <v>Good</v>
      </c>
      <c r="S8715" t="s">
        <v>620</v>
      </c>
    </row>
    <row r="8716" spans="1:19" x14ac:dyDescent="0.2">
      <c r="A8716" t="s">
        <v>9327</v>
      </c>
      <c r="B8716" t="s">
        <v>90</v>
      </c>
      <c r="C8716" t="s">
        <v>617</v>
      </c>
      <c r="D8716">
        <v>379.17</v>
      </c>
      <c r="E8716" s="37" t="str">
        <f t="shared" si="680"/>
        <v xml:space="preserve"> </v>
      </c>
      <c r="F8716">
        <v>0.44</v>
      </c>
      <c r="G8716" s="37" t="str">
        <f t="shared" si="681"/>
        <v>Heavy Discount</v>
      </c>
      <c r="H8716" s="37" t="str">
        <f t="shared" si="682"/>
        <v>High</v>
      </c>
      <c r="I8716">
        <v>9</v>
      </c>
      <c r="J8716" t="str" cm="1">
        <f t="array" ref="J8716">_xlfn.IFS(I8716&lt;=3,"small",I8716&lt;=6,"Medium",I8716&lt;=9,"Large")</f>
        <v>Large</v>
      </c>
      <c r="K8716" s="36">
        <v>45589</v>
      </c>
      <c r="L8716" s="36">
        <v>45596</v>
      </c>
      <c r="M8716" t="s">
        <v>598</v>
      </c>
      <c r="N8716" t="s">
        <v>608</v>
      </c>
      <c r="O8716" s="37" t="str">
        <f t="shared" si="683"/>
        <v>Cash Payment</v>
      </c>
      <c r="P8716">
        <v>39.71</v>
      </c>
      <c r="Q8716" s="37" t="str">
        <f>IF(P8716&gt;500,"High","low")</f>
        <v>low</v>
      </c>
      <c r="R8716" s="37" t="str">
        <f t="shared" si="684"/>
        <v>AVERAGE</v>
      </c>
      <c r="S8716" t="s">
        <v>615</v>
      </c>
    </row>
    <row r="8717" spans="1:19" x14ac:dyDescent="0.2">
      <c r="A8717" t="s">
        <v>9328</v>
      </c>
      <c r="B8717" t="s">
        <v>75</v>
      </c>
      <c r="C8717" t="s">
        <v>602</v>
      </c>
      <c r="D8717">
        <v>1956.44</v>
      </c>
      <c r="E8717" s="37" t="str">
        <f t="shared" si="680"/>
        <v xml:space="preserve"> </v>
      </c>
      <c r="F8717">
        <v>0.31</v>
      </c>
      <c r="G8717" s="37" t="str">
        <f t="shared" si="681"/>
        <v>Heavy Discount</v>
      </c>
      <c r="H8717" s="37" t="str">
        <f t="shared" si="682"/>
        <v>Medium</v>
      </c>
      <c r="I8717">
        <v>4</v>
      </c>
      <c r="J8717" t="str" cm="1">
        <f t="array" ref="J8717">_xlfn.IFS(I8717&lt;=3,"small",I8717&lt;=6,"Medium",I8717&lt;=9,"Large")</f>
        <v>Medium</v>
      </c>
      <c r="K8717" s="36">
        <v>45360</v>
      </c>
      <c r="L8717" s="36">
        <v>45363</v>
      </c>
      <c r="M8717" t="s">
        <v>612</v>
      </c>
      <c r="N8717" t="s">
        <v>599</v>
      </c>
      <c r="O8717" s="37" t="str">
        <f t="shared" si="683"/>
        <v>Digital Payment</v>
      </c>
      <c r="P8717">
        <v>196.92</v>
      </c>
      <c r="Q8717" s="37" t="str">
        <f>IF(P8717&gt;500,"High","low")</f>
        <v>low</v>
      </c>
      <c r="R8717" s="37" t="str">
        <f t="shared" si="684"/>
        <v>AVERAGE</v>
      </c>
      <c r="S8717" t="s">
        <v>600</v>
      </c>
    </row>
    <row r="8718" spans="1:19" x14ac:dyDescent="0.2">
      <c r="A8718" t="s">
        <v>9329</v>
      </c>
      <c r="B8718" t="s">
        <v>75</v>
      </c>
      <c r="C8718" t="s">
        <v>602</v>
      </c>
      <c r="D8718">
        <v>2943.58</v>
      </c>
      <c r="E8718" s="37" t="str">
        <f t="shared" si="680"/>
        <v xml:space="preserve"> </v>
      </c>
      <c r="F8718">
        <v>7.0000000000000007E-2</v>
      </c>
      <c r="G8718" s="37" t="str">
        <f t="shared" si="681"/>
        <v>Normal Discount</v>
      </c>
      <c r="H8718" s="37" t="str">
        <f t="shared" si="682"/>
        <v>Low</v>
      </c>
      <c r="I8718">
        <v>1</v>
      </c>
      <c r="J8718" t="str" cm="1">
        <f t="array" ref="J8718">_xlfn.IFS(I8718&lt;=3,"small",I8718&lt;=6,"Medium",I8718&lt;=9,"Large")</f>
        <v>small</v>
      </c>
      <c r="K8718" s="36">
        <v>45100</v>
      </c>
      <c r="L8718" s="36">
        <v>45106</v>
      </c>
      <c r="M8718" t="s">
        <v>612</v>
      </c>
      <c r="N8718" t="s">
        <v>599</v>
      </c>
      <c r="O8718" s="37" t="str">
        <f t="shared" si="683"/>
        <v>Digital Payment</v>
      </c>
      <c r="P8718">
        <v>158.18</v>
      </c>
      <c r="Q8718" s="37" t="str">
        <f>IF(P8718&gt;500,"High","low")</f>
        <v>low</v>
      </c>
      <c r="R8718" s="37" t="str">
        <f t="shared" si="684"/>
        <v>AVERAGE</v>
      </c>
      <c r="S8718" t="s">
        <v>605</v>
      </c>
    </row>
    <row r="8719" spans="1:19" x14ac:dyDescent="0.2">
      <c r="A8719" t="s">
        <v>9330</v>
      </c>
      <c r="B8719" t="s">
        <v>83</v>
      </c>
      <c r="C8719" t="s">
        <v>614</v>
      </c>
      <c r="D8719">
        <v>3780.86</v>
      </c>
      <c r="E8719" s="37" t="str">
        <f t="shared" si="680"/>
        <v xml:space="preserve"> </v>
      </c>
      <c r="F8719">
        <v>0.28999999999999998</v>
      </c>
      <c r="G8719" s="37" t="str">
        <f t="shared" si="681"/>
        <v>Normal Discount</v>
      </c>
      <c r="H8719" s="37" t="str">
        <f t="shared" si="682"/>
        <v>Medium</v>
      </c>
      <c r="I8719">
        <v>8</v>
      </c>
      <c r="J8719" t="str" cm="1">
        <f t="array" ref="J8719">_xlfn.IFS(I8719&lt;=3,"small",I8719&lt;=6,"Medium",I8719&lt;=9,"Large")</f>
        <v>Large</v>
      </c>
      <c r="K8719" s="36">
        <v>45128</v>
      </c>
      <c r="L8719" s="36">
        <v>45130</v>
      </c>
      <c r="M8719" t="s">
        <v>612</v>
      </c>
      <c r="N8719" t="s">
        <v>604</v>
      </c>
      <c r="O8719" s="37" t="str">
        <f t="shared" si="683"/>
        <v>Digital Payment</v>
      </c>
      <c r="P8719">
        <v>822.08</v>
      </c>
      <c r="Q8719" s="37" t="str">
        <f>IF(P8719&gt;500,"High","low")</f>
        <v>High</v>
      </c>
      <c r="R8719" s="37" t="str">
        <f t="shared" si="684"/>
        <v>Good</v>
      </c>
      <c r="S8719" t="s">
        <v>605</v>
      </c>
    </row>
    <row r="8720" spans="1:19" x14ac:dyDescent="0.2">
      <c r="A8720" t="s">
        <v>9331</v>
      </c>
      <c r="B8720" t="s">
        <v>75</v>
      </c>
      <c r="C8720" t="s">
        <v>617</v>
      </c>
      <c r="D8720">
        <v>2689.08</v>
      </c>
      <c r="E8720" s="37" t="str">
        <f t="shared" si="680"/>
        <v xml:space="preserve"> </v>
      </c>
      <c r="F8720">
        <v>0.26</v>
      </c>
      <c r="G8720" s="37" t="str">
        <f t="shared" si="681"/>
        <v>Normal Discount</v>
      </c>
      <c r="H8720" s="37" t="str">
        <f t="shared" si="682"/>
        <v>Medium</v>
      </c>
      <c r="I8720">
        <v>5</v>
      </c>
      <c r="J8720" t="str" cm="1">
        <f t="array" ref="J8720">_xlfn.IFS(I8720&lt;=3,"small",I8720&lt;=6,"Medium",I8720&lt;=9,"Large")</f>
        <v>Medium</v>
      </c>
      <c r="K8720" s="36">
        <v>45517</v>
      </c>
      <c r="L8720" s="36">
        <v>45520</v>
      </c>
      <c r="M8720" t="s">
        <v>603</v>
      </c>
      <c r="N8720" t="s">
        <v>608</v>
      </c>
      <c r="O8720" s="37" t="str">
        <f t="shared" si="683"/>
        <v>Cash Payment</v>
      </c>
      <c r="P8720">
        <v>394.54</v>
      </c>
      <c r="Q8720" s="37" t="str">
        <f>IF(P8720&gt;500,"High","low")</f>
        <v>low</v>
      </c>
      <c r="R8720" s="37" t="str">
        <f t="shared" si="684"/>
        <v>AVERAGE</v>
      </c>
      <c r="S8720" t="s">
        <v>628</v>
      </c>
    </row>
    <row r="8721" spans="1:19" x14ac:dyDescent="0.2">
      <c r="A8721" t="s">
        <v>9332</v>
      </c>
      <c r="B8721" t="s">
        <v>83</v>
      </c>
      <c r="C8721" t="s">
        <v>617</v>
      </c>
      <c r="D8721">
        <v>2624.95</v>
      </c>
      <c r="E8721" s="37" t="str">
        <f t="shared" si="680"/>
        <v xml:space="preserve"> </v>
      </c>
      <c r="F8721">
        <v>0.24</v>
      </c>
      <c r="G8721" s="37" t="str">
        <f t="shared" si="681"/>
        <v>Normal Discount</v>
      </c>
      <c r="H8721" s="37" t="str">
        <f t="shared" si="682"/>
        <v>Medium</v>
      </c>
      <c r="I8721">
        <v>9</v>
      </c>
      <c r="J8721" t="str" cm="1">
        <f t="array" ref="J8721">_xlfn.IFS(I8721&lt;=3,"small",I8721&lt;=6,"Medium",I8721&lt;=9,"Large")</f>
        <v>Large</v>
      </c>
      <c r="K8721" s="36">
        <v>45327</v>
      </c>
      <c r="L8721" s="36">
        <v>45334</v>
      </c>
      <c r="M8721" t="s">
        <v>612</v>
      </c>
      <c r="N8721" t="s">
        <v>604</v>
      </c>
      <c r="O8721" s="37" t="str">
        <f t="shared" si="683"/>
        <v>Digital Payment</v>
      </c>
      <c r="P8721">
        <v>770.26</v>
      </c>
      <c r="Q8721" s="37" t="str">
        <f>IF(P8721&gt;500,"High","low")</f>
        <v>High</v>
      </c>
      <c r="R8721" s="37" t="str">
        <f t="shared" si="684"/>
        <v>Good</v>
      </c>
      <c r="S8721" t="s">
        <v>605</v>
      </c>
    </row>
    <row r="8722" spans="1:19" x14ac:dyDescent="0.2">
      <c r="A8722" t="s">
        <v>9333</v>
      </c>
      <c r="B8722" t="s">
        <v>67</v>
      </c>
      <c r="C8722" t="s">
        <v>607</v>
      </c>
      <c r="D8722">
        <v>3843.14</v>
      </c>
      <c r="E8722" s="37" t="str">
        <f t="shared" si="680"/>
        <v xml:space="preserve"> </v>
      </c>
      <c r="F8722">
        <v>0.18</v>
      </c>
      <c r="G8722" s="37" t="str">
        <f t="shared" si="681"/>
        <v>Normal Discount</v>
      </c>
      <c r="H8722" s="37" t="str">
        <f t="shared" si="682"/>
        <v>Low</v>
      </c>
      <c r="I8722">
        <v>3</v>
      </c>
      <c r="J8722" t="str" cm="1">
        <f t="array" ref="J8722">_xlfn.IFS(I8722&lt;=3,"small",I8722&lt;=6,"Medium",I8722&lt;=9,"Large")</f>
        <v>small</v>
      </c>
      <c r="K8722" s="36">
        <v>45362</v>
      </c>
      <c r="L8722" s="36">
        <v>45367</v>
      </c>
      <c r="M8722" t="s">
        <v>598</v>
      </c>
      <c r="N8722" t="s">
        <v>608</v>
      </c>
      <c r="O8722" s="37" t="str">
        <f t="shared" si="683"/>
        <v>Cash Payment</v>
      </c>
      <c r="P8722">
        <v>241.79</v>
      </c>
      <c r="Q8722" s="37" t="str">
        <f>IF(P8722&gt;500,"High","low")</f>
        <v>low</v>
      </c>
      <c r="R8722" s="37" t="str">
        <f t="shared" si="684"/>
        <v>AVERAGE</v>
      </c>
      <c r="S8722" t="s">
        <v>615</v>
      </c>
    </row>
    <row r="8723" spans="1:19" x14ac:dyDescent="0.2">
      <c r="A8723" t="s">
        <v>9334</v>
      </c>
      <c r="B8723" t="s">
        <v>75</v>
      </c>
      <c r="C8723" t="s">
        <v>614</v>
      </c>
      <c r="D8723">
        <v>1635.11</v>
      </c>
      <c r="E8723" s="37" t="str">
        <f t="shared" si="680"/>
        <v xml:space="preserve"> </v>
      </c>
      <c r="F8723">
        <v>0.24</v>
      </c>
      <c r="G8723" s="37" t="str">
        <f t="shared" si="681"/>
        <v>Normal Discount</v>
      </c>
      <c r="H8723" s="37" t="str">
        <f t="shared" si="682"/>
        <v>Medium</v>
      </c>
      <c r="I8723">
        <v>9</v>
      </c>
      <c r="J8723" t="str" cm="1">
        <f t="array" ref="J8723">_xlfn.IFS(I8723&lt;=3,"small",I8723&lt;=6,"Medium",I8723&lt;=9,"Large")</f>
        <v>Large</v>
      </c>
      <c r="K8723" s="36">
        <v>45195</v>
      </c>
      <c r="L8723" s="36">
        <v>45200</v>
      </c>
      <c r="M8723" t="s">
        <v>598</v>
      </c>
      <c r="N8723" t="s">
        <v>608</v>
      </c>
      <c r="O8723" s="37" t="str">
        <f t="shared" si="683"/>
        <v>Cash Payment</v>
      </c>
      <c r="P8723">
        <v>108.71</v>
      </c>
      <c r="Q8723" s="37" t="str">
        <f>IF(P8723&gt;500,"High","low")</f>
        <v>low</v>
      </c>
      <c r="R8723" s="37" t="str">
        <f t="shared" si="684"/>
        <v>AVERAGE</v>
      </c>
      <c r="S8723" t="s">
        <v>609</v>
      </c>
    </row>
    <row r="8724" spans="1:19" x14ac:dyDescent="0.2">
      <c r="A8724" t="s">
        <v>9335</v>
      </c>
      <c r="B8724" t="s">
        <v>90</v>
      </c>
      <c r="C8724" t="s">
        <v>602</v>
      </c>
      <c r="D8724">
        <v>543.99</v>
      </c>
      <c r="E8724" s="37" t="str">
        <f t="shared" si="680"/>
        <v xml:space="preserve"> </v>
      </c>
      <c r="F8724">
        <v>0.28999999999999998</v>
      </c>
      <c r="G8724" s="37" t="str">
        <f t="shared" si="681"/>
        <v>Normal Discount</v>
      </c>
      <c r="H8724" s="37" t="str">
        <f t="shared" si="682"/>
        <v>Medium</v>
      </c>
      <c r="I8724">
        <v>8</v>
      </c>
      <c r="J8724" t="str" cm="1">
        <f t="array" ref="J8724">_xlfn.IFS(I8724&lt;=3,"small",I8724&lt;=6,"Medium",I8724&lt;=9,"Large")</f>
        <v>Large</v>
      </c>
      <c r="K8724" s="36">
        <v>45262</v>
      </c>
      <c r="L8724" s="36">
        <v>45269</v>
      </c>
      <c r="M8724" t="s">
        <v>612</v>
      </c>
      <c r="N8724" t="s">
        <v>604</v>
      </c>
      <c r="O8724" s="37" t="str">
        <f t="shared" si="683"/>
        <v>Digital Payment</v>
      </c>
      <c r="P8724">
        <v>65.88</v>
      </c>
      <c r="Q8724" s="37" t="str">
        <f>IF(P8724&gt;500,"High","low")</f>
        <v>low</v>
      </c>
      <c r="R8724" s="37" t="str">
        <f t="shared" si="684"/>
        <v>AVERAGE</v>
      </c>
      <c r="S8724" t="s">
        <v>620</v>
      </c>
    </row>
    <row r="8725" spans="1:19" x14ac:dyDescent="0.2">
      <c r="A8725" t="s">
        <v>9336</v>
      </c>
      <c r="B8725" t="s">
        <v>75</v>
      </c>
      <c r="C8725" t="s">
        <v>602</v>
      </c>
      <c r="D8725">
        <v>1801.04</v>
      </c>
      <c r="E8725" s="37" t="str">
        <f t="shared" si="680"/>
        <v xml:space="preserve"> </v>
      </c>
      <c r="F8725">
        <v>0.37</v>
      </c>
      <c r="G8725" s="37" t="str">
        <f t="shared" si="681"/>
        <v>Heavy Discount</v>
      </c>
      <c r="H8725" s="37" t="str">
        <f t="shared" si="682"/>
        <v>Medium</v>
      </c>
      <c r="I8725">
        <v>6</v>
      </c>
      <c r="J8725" t="str" cm="1">
        <f t="array" ref="J8725">_xlfn.IFS(I8725&lt;=3,"small",I8725&lt;=6,"Medium",I8725&lt;=9,"Large")</f>
        <v>Medium</v>
      </c>
      <c r="K8725" s="36">
        <v>45413</v>
      </c>
      <c r="L8725" s="36">
        <v>45416</v>
      </c>
      <c r="M8725" t="s">
        <v>598</v>
      </c>
      <c r="N8725" t="s">
        <v>599</v>
      </c>
      <c r="O8725" s="37" t="str">
        <f t="shared" si="683"/>
        <v>Digital Payment</v>
      </c>
      <c r="P8725">
        <v>332.19</v>
      </c>
      <c r="Q8725" s="37" t="str">
        <f>IF(P8725&gt;500,"High","low")</f>
        <v>low</v>
      </c>
      <c r="R8725" s="37" t="str">
        <f t="shared" si="684"/>
        <v>AVERAGE</v>
      </c>
      <c r="S8725" t="s">
        <v>609</v>
      </c>
    </row>
    <row r="8726" spans="1:19" x14ac:dyDescent="0.2">
      <c r="A8726" t="s">
        <v>9337</v>
      </c>
      <c r="B8726" t="s">
        <v>83</v>
      </c>
      <c r="C8726" t="s">
        <v>597</v>
      </c>
      <c r="D8726">
        <v>879.08</v>
      </c>
      <c r="E8726" s="37" t="str">
        <f t="shared" si="680"/>
        <v xml:space="preserve"> </v>
      </c>
      <c r="F8726">
        <v>0.46</v>
      </c>
      <c r="G8726" s="37" t="str">
        <f t="shared" si="681"/>
        <v>Heavy Discount</v>
      </c>
      <c r="H8726" s="37" t="str">
        <f t="shared" si="682"/>
        <v>High</v>
      </c>
      <c r="I8726">
        <v>8</v>
      </c>
      <c r="J8726" t="str" cm="1">
        <f t="array" ref="J8726">_xlfn.IFS(I8726&lt;=3,"small",I8726&lt;=6,"Medium",I8726&lt;=9,"Large")</f>
        <v>Large</v>
      </c>
      <c r="K8726" s="36">
        <v>45540</v>
      </c>
      <c r="L8726" s="36">
        <v>45543</v>
      </c>
      <c r="M8726" t="s">
        <v>603</v>
      </c>
      <c r="N8726" t="s">
        <v>604</v>
      </c>
      <c r="O8726" s="37" t="str">
        <f t="shared" si="683"/>
        <v>Digital Payment</v>
      </c>
      <c r="P8726">
        <v>208.44</v>
      </c>
      <c r="Q8726" s="37" t="str">
        <f>IF(P8726&gt;500,"High","low")</f>
        <v>low</v>
      </c>
      <c r="R8726" s="37" t="str">
        <f t="shared" si="684"/>
        <v>AVERAGE</v>
      </c>
      <c r="S8726" t="s">
        <v>600</v>
      </c>
    </row>
    <row r="8727" spans="1:19" x14ac:dyDescent="0.2">
      <c r="A8727" t="s">
        <v>9338</v>
      </c>
      <c r="B8727" t="s">
        <v>75</v>
      </c>
      <c r="C8727" t="s">
        <v>602</v>
      </c>
      <c r="D8727">
        <v>4833.13</v>
      </c>
      <c r="E8727" s="37" t="str">
        <f t="shared" si="680"/>
        <v xml:space="preserve"> </v>
      </c>
      <c r="F8727">
        <v>0.02</v>
      </c>
      <c r="G8727" s="37" t="str">
        <f t="shared" si="681"/>
        <v>Normal Discount</v>
      </c>
      <c r="H8727" s="37" t="str">
        <f t="shared" si="682"/>
        <v>Low</v>
      </c>
      <c r="I8727">
        <v>8</v>
      </c>
      <c r="J8727" t="str" cm="1">
        <f t="array" ref="J8727">_xlfn.IFS(I8727&lt;=3,"small",I8727&lt;=6,"Medium",I8727&lt;=9,"Large")</f>
        <v>Large</v>
      </c>
      <c r="K8727" s="36">
        <v>45035</v>
      </c>
      <c r="L8727" s="36">
        <v>45042</v>
      </c>
      <c r="M8727" t="s">
        <v>612</v>
      </c>
      <c r="N8727" t="s">
        <v>604</v>
      </c>
      <c r="O8727" s="37" t="str">
        <f t="shared" si="683"/>
        <v>Digital Payment</v>
      </c>
      <c r="P8727">
        <v>607.79</v>
      </c>
      <c r="Q8727" s="37" t="str">
        <f>IF(P8727&gt;500,"High","low")</f>
        <v>High</v>
      </c>
      <c r="R8727" s="37" t="str">
        <f t="shared" si="684"/>
        <v>Good</v>
      </c>
      <c r="S8727" t="s">
        <v>605</v>
      </c>
    </row>
    <row r="8728" spans="1:19" x14ac:dyDescent="0.2">
      <c r="A8728" t="s">
        <v>9339</v>
      </c>
      <c r="B8728" t="s">
        <v>67</v>
      </c>
      <c r="C8728" t="s">
        <v>617</v>
      </c>
      <c r="D8728">
        <v>2929.81</v>
      </c>
      <c r="E8728" s="37" t="str">
        <f t="shared" si="680"/>
        <v xml:space="preserve"> </v>
      </c>
      <c r="F8728">
        <v>0.28000000000000003</v>
      </c>
      <c r="G8728" s="37" t="str">
        <f t="shared" si="681"/>
        <v>Normal Discount</v>
      </c>
      <c r="H8728" s="37" t="str">
        <f t="shared" si="682"/>
        <v>Medium</v>
      </c>
      <c r="I8728">
        <v>7</v>
      </c>
      <c r="J8728" t="str" cm="1">
        <f t="array" ref="J8728">_xlfn.IFS(I8728&lt;=3,"small",I8728&lt;=6,"Medium",I8728&lt;=9,"Large")</f>
        <v>Large</v>
      </c>
      <c r="K8728" s="36">
        <v>45482</v>
      </c>
      <c r="L8728" s="36">
        <v>45486</v>
      </c>
      <c r="M8728" t="s">
        <v>603</v>
      </c>
      <c r="N8728" t="s">
        <v>599</v>
      </c>
      <c r="O8728" s="37" t="str">
        <f t="shared" si="683"/>
        <v>Digital Payment</v>
      </c>
      <c r="P8728">
        <v>390.8</v>
      </c>
      <c r="Q8728" s="37" t="str">
        <f>IF(P8728&gt;500,"High","low")</f>
        <v>low</v>
      </c>
      <c r="R8728" s="37" t="str">
        <f t="shared" si="684"/>
        <v>AVERAGE</v>
      </c>
      <c r="S8728" t="s">
        <v>628</v>
      </c>
    </row>
    <row r="8729" spans="1:19" x14ac:dyDescent="0.2">
      <c r="A8729" t="s">
        <v>9340</v>
      </c>
      <c r="B8729" t="s">
        <v>90</v>
      </c>
      <c r="C8729" t="s">
        <v>602</v>
      </c>
      <c r="D8729">
        <v>2288.34</v>
      </c>
      <c r="E8729" s="37" t="str">
        <f t="shared" si="680"/>
        <v xml:space="preserve"> </v>
      </c>
      <c r="F8729">
        <v>0.38</v>
      </c>
      <c r="G8729" s="37" t="str">
        <f t="shared" si="681"/>
        <v>Heavy Discount</v>
      </c>
      <c r="H8729" s="37" t="str">
        <f t="shared" si="682"/>
        <v>Medium</v>
      </c>
      <c r="I8729">
        <v>7</v>
      </c>
      <c r="J8729" t="str" cm="1">
        <f t="array" ref="J8729">_xlfn.IFS(I8729&lt;=3,"small",I8729&lt;=6,"Medium",I8729&lt;=9,"Large")</f>
        <v>Large</v>
      </c>
      <c r="K8729" s="36">
        <v>45453</v>
      </c>
      <c r="L8729" s="36">
        <v>45460</v>
      </c>
      <c r="M8729" t="s">
        <v>612</v>
      </c>
      <c r="N8729" t="s">
        <v>608</v>
      </c>
      <c r="O8729" s="37" t="str">
        <f t="shared" si="683"/>
        <v>Cash Payment</v>
      </c>
      <c r="P8729">
        <v>525.94000000000005</v>
      </c>
      <c r="Q8729" s="37" t="str">
        <f>IF(P8729&gt;500,"High","low")</f>
        <v>High</v>
      </c>
      <c r="R8729" s="37" t="str">
        <f t="shared" si="684"/>
        <v>Good</v>
      </c>
      <c r="S8729" t="s">
        <v>600</v>
      </c>
    </row>
    <row r="8730" spans="1:19" x14ac:dyDescent="0.2">
      <c r="A8730" t="s">
        <v>9341</v>
      </c>
      <c r="B8730" t="s">
        <v>83</v>
      </c>
      <c r="C8730" t="s">
        <v>617</v>
      </c>
      <c r="D8730">
        <v>4569.05</v>
      </c>
      <c r="E8730" s="37" t="str">
        <f t="shared" si="680"/>
        <v xml:space="preserve"> </v>
      </c>
      <c r="F8730">
        <v>0.06</v>
      </c>
      <c r="G8730" s="37" t="str">
        <f t="shared" si="681"/>
        <v>Normal Discount</v>
      </c>
      <c r="H8730" s="37" t="str">
        <f t="shared" si="682"/>
        <v>Low</v>
      </c>
      <c r="I8730">
        <v>3</v>
      </c>
      <c r="J8730" t="str" cm="1">
        <f t="array" ref="J8730">_xlfn.IFS(I8730&lt;=3,"small",I8730&lt;=6,"Medium",I8730&lt;=9,"Large")</f>
        <v>small</v>
      </c>
      <c r="K8730" s="36">
        <v>45442</v>
      </c>
      <c r="L8730" s="36">
        <v>45444</v>
      </c>
      <c r="M8730" t="s">
        <v>598</v>
      </c>
      <c r="N8730" t="s">
        <v>608</v>
      </c>
      <c r="O8730" s="37" t="str">
        <f t="shared" si="683"/>
        <v>Cash Payment</v>
      </c>
      <c r="P8730">
        <v>650.84</v>
      </c>
      <c r="Q8730" s="37" t="str">
        <f>IF(P8730&gt;500,"High","low")</f>
        <v>High</v>
      </c>
      <c r="R8730" s="37" t="str">
        <f t="shared" si="684"/>
        <v>Good</v>
      </c>
      <c r="S8730" t="s">
        <v>628</v>
      </c>
    </row>
    <row r="8731" spans="1:19" x14ac:dyDescent="0.2">
      <c r="A8731" t="s">
        <v>9342</v>
      </c>
      <c r="B8731" t="s">
        <v>90</v>
      </c>
      <c r="C8731" t="s">
        <v>617</v>
      </c>
      <c r="D8731">
        <v>4511.7700000000004</v>
      </c>
      <c r="E8731" s="37" t="str">
        <f t="shared" si="680"/>
        <v>Excellent Order</v>
      </c>
      <c r="F8731">
        <v>0.46</v>
      </c>
      <c r="G8731" s="37" t="str">
        <f t="shared" si="681"/>
        <v>Heavy Discount</v>
      </c>
      <c r="H8731" s="37" t="str">
        <f t="shared" si="682"/>
        <v>High</v>
      </c>
      <c r="I8731">
        <v>7</v>
      </c>
      <c r="J8731" t="str" cm="1">
        <f t="array" ref="J8731">_xlfn.IFS(I8731&lt;=3,"small",I8731&lt;=6,"Medium",I8731&lt;=9,"Large")</f>
        <v>Large</v>
      </c>
      <c r="K8731" s="36">
        <v>45162</v>
      </c>
      <c r="L8731" s="36">
        <v>45166</v>
      </c>
      <c r="M8731" t="s">
        <v>603</v>
      </c>
      <c r="N8731" t="s">
        <v>604</v>
      </c>
      <c r="O8731" s="37" t="str">
        <f t="shared" si="683"/>
        <v>Digital Payment</v>
      </c>
      <c r="P8731">
        <v>961.64</v>
      </c>
      <c r="Q8731" s="37" t="str">
        <f>IF(P8731&gt;500,"High","low")</f>
        <v>High</v>
      </c>
      <c r="R8731" s="37" t="str">
        <f t="shared" si="684"/>
        <v>Good</v>
      </c>
      <c r="S8731" t="s">
        <v>620</v>
      </c>
    </row>
    <row r="8732" spans="1:19" x14ac:dyDescent="0.2">
      <c r="A8732" t="s">
        <v>9343</v>
      </c>
      <c r="B8732" t="s">
        <v>90</v>
      </c>
      <c r="C8732" t="s">
        <v>614</v>
      </c>
      <c r="D8732">
        <v>2136.92</v>
      </c>
      <c r="E8732" s="37" t="str">
        <f t="shared" si="680"/>
        <v xml:space="preserve"> </v>
      </c>
      <c r="F8732">
        <v>0.12</v>
      </c>
      <c r="G8732" s="37" t="str">
        <f t="shared" si="681"/>
        <v>Normal Discount</v>
      </c>
      <c r="H8732" s="37" t="str">
        <f t="shared" si="682"/>
        <v>Low</v>
      </c>
      <c r="I8732">
        <v>3</v>
      </c>
      <c r="J8732" t="str" cm="1">
        <f t="array" ref="J8732">_xlfn.IFS(I8732&lt;=3,"small",I8732&lt;=6,"Medium",I8732&lt;=9,"Large")</f>
        <v>small</v>
      </c>
      <c r="K8732" s="36">
        <v>45490</v>
      </c>
      <c r="L8732" s="36">
        <v>45497</v>
      </c>
      <c r="M8732" t="s">
        <v>598</v>
      </c>
      <c r="N8732" t="s">
        <v>604</v>
      </c>
      <c r="O8732" s="37" t="str">
        <f t="shared" si="683"/>
        <v>Digital Payment</v>
      </c>
      <c r="P8732">
        <v>274.7</v>
      </c>
      <c r="Q8732" s="37" t="str">
        <f>IF(P8732&gt;500,"High","low")</f>
        <v>low</v>
      </c>
      <c r="R8732" s="37" t="str">
        <f t="shared" si="684"/>
        <v>AVERAGE</v>
      </c>
      <c r="S8732" t="s">
        <v>609</v>
      </c>
    </row>
    <row r="8733" spans="1:19" x14ac:dyDescent="0.2">
      <c r="A8733" t="s">
        <v>9344</v>
      </c>
      <c r="B8733" t="s">
        <v>83</v>
      </c>
      <c r="C8733" t="s">
        <v>602</v>
      </c>
      <c r="D8733">
        <v>4386.16</v>
      </c>
      <c r="E8733" s="37" t="str">
        <f t="shared" si="680"/>
        <v>Excellent Order</v>
      </c>
      <c r="F8733">
        <v>0.42</v>
      </c>
      <c r="G8733" s="37" t="str">
        <f t="shared" si="681"/>
        <v>Heavy Discount</v>
      </c>
      <c r="H8733" s="37" t="str">
        <f t="shared" si="682"/>
        <v>High</v>
      </c>
      <c r="I8733">
        <v>9</v>
      </c>
      <c r="J8733" t="str" cm="1">
        <f t="array" ref="J8733">_xlfn.IFS(I8733&lt;=3,"small",I8733&lt;=6,"Medium",I8733&lt;=9,"Large")</f>
        <v>Large</v>
      </c>
      <c r="K8733" s="36">
        <v>45128</v>
      </c>
      <c r="L8733" s="36">
        <v>45131</v>
      </c>
      <c r="M8733" t="s">
        <v>612</v>
      </c>
      <c r="N8733" t="s">
        <v>599</v>
      </c>
      <c r="O8733" s="37" t="str">
        <f t="shared" si="683"/>
        <v>Digital Payment</v>
      </c>
      <c r="P8733">
        <v>1306.69</v>
      </c>
      <c r="Q8733" s="37" t="str">
        <f>IF(P8733&gt;500,"High","low")</f>
        <v>High</v>
      </c>
      <c r="R8733" s="37" t="str">
        <f t="shared" si="684"/>
        <v>Excellent</v>
      </c>
      <c r="S8733" t="s">
        <v>620</v>
      </c>
    </row>
    <row r="8734" spans="1:19" x14ac:dyDescent="0.2">
      <c r="A8734" t="s">
        <v>9345</v>
      </c>
      <c r="B8734" t="s">
        <v>90</v>
      </c>
      <c r="C8734" t="s">
        <v>614</v>
      </c>
      <c r="D8734">
        <v>413.73</v>
      </c>
      <c r="E8734" s="37" t="str">
        <f t="shared" si="680"/>
        <v xml:space="preserve"> </v>
      </c>
      <c r="F8734">
        <v>0.33</v>
      </c>
      <c r="G8734" s="37" t="str">
        <f t="shared" si="681"/>
        <v>Heavy Discount</v>
      </c>
      <c r="H8734" s="37" t="str">
        <f t="shared" si="682"/>
        <v>Medium</v>
      </c>
      <c r="I8734">
        <v>5</v>
      </c>
      <c r="J8734" t="str" cm="1">
        <f t="array" ref="J8734">_xlfn.IFS(I8734&lt;=3,"small",I8734&lt;=6,"Medium",I8734&lt;=9,"Large")</f>
        <v>Medium</v>
      </c>
      <c r="K8734" s="36">
        <v>45484</v>
      </c>
      <c r="L8734" s="36">
        <v>45489</v>
      </c>
      <c r="M8734" t="s">
        <v>598</v>
      </c>
      <c r="N8734" t="s">
        <v>604</v>
      </c>
      <c r="O8734" s="37" t="str">
        <f t="shared" si="683"/>
        <v>Digital Payment</v>
      </c>
      <c r="P8734">
        <v>115.5</v>
      </c>
      <c r="Q8734" s="37" t="str">
        <f>IF(P8734&gt;500,"High","low")</f>
        <v>low</v>
      </c>
      <c r="R8734" s="37" t="str">
        <f t="shared" si="684"/>
        <v>AVERAGE</v>
      </c>
      <c r="S8734" t="s">
        <v>605</v>
      </c>
    </row>
    <row r="8735" spans="1:19" x14ac:dyDescent="0.2">
      <c r="A8735" t="s">
        <v>9346</v>
      </c>
      <c r="B8735" t="s">
        <v>90</v>
      </c>
      <c r="C8735" t="s">
        <v>617</v>
      </c>
      <c r="D8735">
        <v>4440.0200000000004</v>
      </c>
      <c r="E8735" s="37" t="str">
        <f t="shared" si="680"/>
        <v>Excellent Order</v>
      </c>
      <c r="F8735">
        <v>0.28000000000000003</v>
      </c>
      <c r="G8735" s="37" t="str">
        <f t="shared" si="681"/>
        <v>Normal Discount</v>
      </c>
      <c r="H8735" s="37" t="str">
        <f t="shared" si="682"/>
        <v>Medium</v>
      </c>
      <c r="I8735">
        <v>8</v>
      </c>
      <c r="J8735" t="str" cm="1">
        <f t="array" ref="J8735">_xlfn.IFS(I8735&lt;=3,"small",I8735&lt;=6,"Medium",I8735&lt;=9,"Large")</f>
        <v>Large</v>
      </c>
      <c r="K8735" s="36">
        <v>45497</v>
      </c>
      <c r="L8735" s="36">
        <v>45499</v>
      </c>
      <c r="M8735" t="s">
        <v>603</v>
      </c>
      <c r="N8735" t="s">
        <v>604</v>
      </c>
      <c r="O8735" s="37" t="str">
        <f t="shared" si="683"/>
        <v>Digital Payment</v>
      </c>
      <c r="P8735">
        <v>873.2</v>
      </c>
      <c r="Q8735" s="37" t="str">
        <f>IF(P8735&gt;500,"High","low")</f>
        <v>High</v>
      </c>
      <c r="R8735" s="37" t="str">
        <f t="shared" si="684"/>
        <v>Good</v>
      </c>
      <c r="S8735" t="s">
        <v>600</v>
      </c>
    </row>
    <row r="8736" spans="1:19" x14ac:dyDescent="0.2">
      <c r="A8736" t="s">
        <v>9347</v>
      </c>
      <c r="B8736" t="s">
        <v>75</v>
      </c>
      <c r="C8736" t="s">
        <v>602</v>
      </c>
      <c r="D8736">
        <v>1621.86</v>
      </c>
      <c r="E8736" s="37" t="str">
        <f t="shared" si="680"/>
        <v xml:space="preserve"> </v>
      </c>
      <c r="F8736">
        <v>0.43</v>
      </c>
      <c r="G8736" s="37" t="str">
        <f t="shared" si="681"/>
        <v>Heavy Discount</v>
      </c>
      <c r="H8736" s="37" t="str">
        <f t="shared" si="682"/>
        <v>High</v>
      </c>
      <c r="I8736">
        <v>3</v>
      </c>
      <c r="J8736" t="str" cm="1">
        <f t="array" ref="J8736">_xlfn.IFS(I8736&lt;=3,"small",I8736&lt;=6,"Medium",I8736&lt;=9,"Large")</f>
        <v>small</v>
      </c>
      <c r="K8736" s="36">
        <v>45100</v>
      </c>
      <c r="L8736" s="36">
        <v>45105</v>
      </c>
      <c r="M8736" t="s">
        <v>612</v>
      </c>
      <c r="N8736" t="s">
        <v>608</v>
      </c>
      <c r="O8736" s="37" t="str">
        <f t="shared" si="683"/>
        <v>Cash Payment</v>
      </c>
      <c r="P8736">
        <v>470.71</v>
      </c>
      <c r="Q8736" s="37" t="str">
        <f>IF(P8736&gt;500,"High","low")</f>
        <v>low</v>
      </c>
      <c r="R8736" s="37" t="str">
        <f t="shared" si="684"/>
        <v>AVERAGE</v>
      </c>
      <c r="S8736" t="s">
        <v>615</v>
      </c>
    </row>
    <row r="8737" spans="1:19" x14ac:dyDescent="0.2">
      <c r="A8737" t="s">
        <v>9348</v>
      </c>
      <c r="B8737" t="s">
        <v>90</v>
      </c>
      <c r="C8737" t="s">
        <v>602</v>
      </c>
      <c r="D8737">
        <v>2869.1</v>
      </c>
      <c r="E8737" s="37" t="str">
        <f t="shared" si="680"/>
        <v xml:space="preserve"> </v>
      </c>
      <c r="F8737">
        <v>0.48</v>
      </c>
      <c r="G8737" s="37" t="str">
        <f t="shared" si="681"/>
        <v>Heavy Discount</v>
      </c>
      <c r="H8737" s="37" t="str">
        <f t="shared" si="682"/>
        <v>High</v>
      </c>
      <c r="I8737">
        <v>3</v>
      </c>
      <c r="J8737" t="str" cm="1">
        <f t="array" ref="J8737">_xlfn.IFS(I8737&lt;=3,"small",I8737&lt;=6,"Medium",I8737&lt;=9,"Large")</f>
        <v>small</v>
      </c>
      <c r="K8737" s="36">
        <v>45470</v>
      </c>
      <c r="L8737" s="36">
        <v>45473</v>
      </c>
      <c r="M8737" t="s">
        <v>612</v>
      </c>
      <c r="N8737" t="s">
        <v>604</v>
      </c>
      <c r="O8737" s="37" t="str">
        <f t="shared" si="683"/>
        <v>Digital Payment</v>
      </c>
      <c r="P8737">
        <v>546.41</v>
      </c>
      <c r="Q8737" s="37" t="str">
        <f>IF(P8737&gt;500,"High","low")</f>
        <v>High</v>
      </c>
      <c r="R8737" s="37" t="str">
        <f t="shared" si="684"/>
        <v>Good</v>
      </c>
      <c r="S8737" t="s">
        <v>628</v>
      </c>
    </row>
    <row r="8738" spans="1:19" x14ac:dyDescent="0.2">
      <c r="A8738" t="s">
        <v>9349</v>
      </c>
      <c r="B8738" t="s">
        <v>90</v>
      </c>
      <c r="C8738" t="s">
        <v>614</v>
      </c>
      <c r="D8738">
        <v>1421.47</v>
      </c>
      <c r="E8738" s="37" t="str">
        <f t="shared" si="680"/>
        <v xml:space="preserve"> </v>
      </c>
      <c r="F8738">
        <v>0.5</v>
      </c>
      <c r="G8738" s="37" t="str">
        <f t="shared" si="681"/>
        <v>Heavy Discount</v>
      </c>
      <c r="H8738" s="37" t="str">
        <f t="shared" si="682"/>
        <v>High</v>
      </c>
      <c r="I8738">
        <v>3</v>
      </c>
      <c r="J8738" t="str" cm="1">
        <f t="array" ref="J8738">_xlfn.IFS(I8738&lt;=3,"small",I8738&lt;=6,"Medium",I8738&lt;=9,"Large")</f>
        <v>small</v>
      </c>
      <c r="K8738" s="36">
        <v>45075</v>
      </c>
      <c r="L8738" s="36">
        <v>45082</v>
      </c>
      <c r="M8738" t="s">
        <v>598</v>
      </c>
      <c r="N8738" t="s">
        <v>608</v>
      </c>
      <c r="O8738" s="37" t="str">
        <f t="shared" si="683"/>
        <v>Cash Payment</v>
      </c>
      <c r="P8738">
        <v>373.54</v>
      </c>
      <c r="Q8738" s="37" t="str">
        <f>IF(P8738&gt;500,"High","low")</f>
        <v>low</v>
      </c>
      <c r="R8738" s="37" t="str">
        <f t="shared" si="684"/>
        <v>AVERAGE</v>
      </c>
      <c r="S8738" t="s">
        <v>615</v>
      </c>
    </row>
    <row r="8739" spans="1:19" x14ac:dyDescent="0.2">
      <c r="A8739" t="s">
        <v>9350</v>
      </c>
      <c r="B8739" t="s">
        <v>90</v>
      </c>
      <c r="C8739" t="s">
        <v>614</v>
      </c>
      <c r="D8739">
        <v>4925.5200000000004</v>
      </c>
      <c r="E8739" s="37" t="str">
        <f t="shared" si="680"/>
        <v>Excellent Order</v>
      </c>
      <c r="F8739">
        <v>0.34</v>
      </c>
      <c r="G8739" s="37" t="str">
        <f t="shared" si="681"/>
        <v>Heavy Discount</v>
      </c>
      <c r="H8739" s="37" t="str">
        <f t="shared" si="682"/>
        <v>Medium</v>
      </c>
      <c r="I8739">
        <v>8</v>
      </c>
      <c r="J8739" t="str" cm="1">
        <f t="array" ref="J8739">_xlfn.IFS(I8739&lt;=3,"small",I8739&lt;=6,"Medium",I8739&lt;=9,"Large")</f>
        <v>Large</v>
      </c>
      <c r="K8739" s="36">
        <v>45211</v>
      </c>
      <c r="L8739" s="36">
        <v>45218</v>
      </c>
      <c r="M8739" t="s">
        <v>598</v>
      </c>
      <c r="N8739" t="s">
        <v>604</v>
      </c>
      <c r="O8739" s="37" t="str">
        <f t="shared" si="683"/>
        <v>Digital Payment</v>
      </c>
      <c r="P8739">
        <v>1419.32</v>
      </c>
      <c r="Q8739" s="37" t="str">
        <f>IF(P8739&gt;500,"High","low")</f>
        <v>High</v>
      </c>
      <c r="R8739" s="37" t="str">
        <f t="shared" si="684"/>
        <v>Excellent</v>
      </c>
      <c r="S8739" t="s">
        <v>620</v>
      </c>
    </row>
    <row r="8740" spans="1:19" x14ac:dyDescent="0.2">
      <c r="A8740" t="s">
        <v>9351</v>
      </c>
      <c r="B8740" t="s">
        <v>90</v>
      </c>
      <c r="C8740" t="s">
        <v>617</v>
      </c>
      <c r="D8740">
        <v>451.72</v>
      </c>
      <c r="E8740" s="37" t="str">
        <f t="shared" si="680"/>
        <v xml:space="preserve"> </v>
      </c>
      <c r="F8740">
        <v>0.17</v>
      </c>
      <c r="G8740" s="37" t="str">
        <f t="shared" si="681"/>
        <v>Normal Discount</v>
      </c>
      <c r="H8740" s="37" t="str">
        <f t="shared" si="682"/>
        <v>Low</v>
      </c>
      <c r="I8740">
        <v>9</v>
      </c>
      <c r="J8740" t="str" cm="1">
        <f t="array" ref="J8740">_xlfn.IFS(I8740&lt;=3,"small",I8740&lt;=6,"Medium",I8740&lt;=9,"Large")</f>
        <v>Large</v>
      </c>
      <c r="K8740" s="36">
        <v>45559</v>
      </c>
      <c r="L8740" s="36">
        <v>45563</v>
      </c>
      <c r="M8740" t="s">
        <v>603</v>
      </c>
      <c r="N8740" t="s">
        <v>599</v>
      </c>
      <c r="O8740" s="37" t="str">
        <f t="shared" si="683"/>
        <v>Digital Payment</v>
      </c>
      <c r="P8740">
        <v>132.79</v>
      </c>
      <c r="Q8740" s="37" t="str">
        <f>IF(P8740&gt;500,"High","low")</f>
        <v>low</v>
      </c>
      <c r="R8740" s="37" t="str">
        <f t="shared" si="684"/>
        <v>AVERAGE</v>
      </c>
      <c r="S8740" t="s">
        <v>628</v>
      </c>
    </row>
    <row r="8741" spans="1:19" x14ac:dyDescent="0.2">
      <c r="A8741" t="s">
        <v>9352</v>
      </c>
      <c r="B8741" t="s">
        <v>83</v>
      </c>
      <c r="C8741" t="s">
        <v>617</v>
      </c>
      <c r="D8741">
        <v>2290.08</v>
      </c>
      <c r="E8741" s="37" t="str">
        <f t="shared" si="680"/>
        <v xml:space="preserve"> </v>
      </c>
      <c r="F8741">
        <v>0.44</v>
      </c>
      <c r="G8741" s="37" t="str">
        <f t="shared" si="681"/>
        <v>Heavy Discount</v>
      </c>
      <c r="H8741" s="37" t="str">
        <f t="shared" si="682"/>
        <v>High</v>
      </c>
      <c r="I8741">
        <v>7</v>
      </c>
      <c r="J8741" t="str" cm="1">
        <f t="array" ref="J8741">_xlfn.IFS(I8741&lt;=3,"small",I8741&lt;=6,"Medium",I8741&lt;=9,"Large")</f>
        <v>Large</v>
      </c>
      <c r="K8741" s="36">
        <v>45480</v>
      </c>
      <c r="L8741" s="36">
        <v>45487</v>
      </c>
      <c r="M8741" t="s">
        <v>603</v>
      </c>
      <c r="N8741" t="s">
        <v>604</v>
      </c>
      <c r="O8741" s="37" t="str">
        <f t="shared" si="683"/>
        <v>Digital Payment</v>
      </c>
      <c r="P8741">
        <v>670.93</v>
      </c>
      <c r="Q8741" s="37" t="str">
        <f>IF(P8741&gt;500,"High","low")</f>
        <v>High</v>
      </c>
      <c r="R8741" s="37" t="str">
        <f t="shared" si="684"/>
        <v>Good</v>
      </c>
      <c r="S8741" t="s">
        <v>600</v>
      </c>
    </row>
    <row r="8742" spans="1:19" x14ac:dyDescent="0.2">
      <c r="A8742" t="s">
        <v>9353</v>
      </c>
      <c r="B8742" t="s">
        <v>67</v>
      </c>
      <c r="C8742" t="s">
        <v>602</v>
      </c>
      <c r="D8742">
        <v>3142.84</v>
      </c>
      <c r="E8742" s="37" t="str">
        <f t="shared" si="680"/>
        <v xml:space="preserve"> </v>
      </c>
      <c r="F8742">
        <v>0.33</v>
      </c>
      <c r="G8742" s="37" t="str">
        <f t="shared" si="681"/>
        <v>Heavy Discount</v>
      </c>
      <c r="H8742" s="37" t="str">
        <f t="shared" si="682"/>
        <v>Medium</v>
      </c>
      <c r="I8742">
        <v>1</v>
      </c>
      <c r="J8742" t="str" cm="1">
        <f t="array" ref="J8742">_xlfn.IFS(I8742&lt;=3,"small",I8742&lt;=6,"Medium",I8742&lt;=9,"Large")</f>
        <v>small</v>
      </c>
      <c r="K8742" s="36">
        <v>45428</v>
      </c>
      <c r="L8742" s="36">
        <v>45435</v>
      </c>
      <c r="M8742" t="s">
        <v>612</v>
      </c>
      <c r="N8742" t="s">
        <v>604</v>
      </c>
      <c r="O8742" s="37" t="str">
        <f t="shared" si="683"/>
        <v>Digital Payment</v>
      </c>
      <c r="P8742">
        <v>843.08</v>
      </c>
      <c r="Q8742" s="37" t="str">
        <f>IF(P8742&gt;500,"High","low")</f>
        <v>High</v>
      </c>
      <c r="R8742" s="37" t="str">
        <f t="shared" si="684"/>
        <v>Good</v>
      </c>
      <c r="S8742" t="s">
        <v>600</v>
      </c>
    </row>
    <row r="8743" spans="1:19" x14ac:dyDescent="0.2">
      <c r="A8743" t="s">
        <v>9354</v>
      </c>
      <c r="B8743" t="s">
        <v>75</v>
      </c>
      <c r="C8743" t="s">
        <v>602</v>
      </c>
      <c r="D8743">
        <v>3116.5</v>
      </c>
      <c r="E8743" s="37" t="str">
        <f t="shared" si="680"/>
        <v xml:space="preserve"> </v>
      </c>
      <c r="F8743">
        <v>0.16</v>
      </c>
      <c r="G8743" s="37" t="str">
        <f t="shared" si="681"/>
        <v>Normal Discount</v>
      </c>
      <c r="H8743" s="37" t="str">
        <f t="shared" si="682"/>
        <v>Low</v>
      </c>
      <c r="I8743">
        <v>6</v>
      </c>
      <c r="J8743" t="str" cm="1">
        <f t="array" ref="J8743">_xlfn.IFS(I8743&lt;=3,"small",I8743&lt;=6,"Medium",I8743&lt;=9,"Large")</f>
        <v>Medium</v>
      </c>
      <c r="K8743" s="36">
        <v>45616</v>
      </c>
      <c r="L8743" s="36">
        <v>45618</v>
      </c>
      <c r="M8743" t="s">
        <v>612</v>
      </c>
      <c r="N8743" t="s">
        <v>599</v>
      </c>
      <c r="O8743" s="37" t="str">
        <f t="shared" si="683"/>
        <v>Digital Payment</v>
      </c>
      <c r="P8743">
        <v>463.53</v>
      </c>
      <c r="Q8743" s="37" t="str">
        <f>IF(P8743&gt;500,"High","low")</f>
        <v>low</v>
      </c>
      <c r="R8743" s="37" t="str">
        <f t="shared" si="684"/>
        <v>AVERAGE</v>
      </c>
      <c r="S8743" t="s">
        <v>609</v>
      </c>
    </row>
    <row r="8744" spans="1:19" x14ac:dyDescent="0.2">
      <c r="A8744" t="s">
        <v>9355</v>
      </c>
      <c r="B8744" t="s">
        <v>90</v>
      </c>
      <c r="C8744" t="s">
        <v>607</v>
      </c>
      <c r="D8744">
        <v>3719.92</v>
      </c>
      <c r="E8744" s="37" t="str">
        <f t="shared" si="680"/>
        <v xml:space="preserve"> </v>
      </c>
      <c r="F8744">
        <v>0.47</v>
      </c>
      <c r="G8744" s="37" t="str">
        <f t="shared" si="681"/>
        <v>Heavy Discount</v>
      </c>
      <c r="H8744" s="37" t="str">
        <f t="shared" si="682"/>
        <v>High</v>
      </c>
      <c r="I8744">
        <v>3</v>
      </c>
      <c r="J8744" t="str" cm="1">
        <f t="array" ref="J8744">_xlfn.IFS(I8744&lt;=3,"small",I8744&lt;=6,"Medium",I8744&lt;=9,"Large")</f>
        <v>small</v>
      </c>
      <c r="K8744" s="36">
        <v>45524</v>
      </c>
      <c r="L8744" s="36">
        <v>45530</v>
      </c>
      <c r="M8744" t="s">
        <v>612</v>
      </c>
      <c r="N8744" t="s">
        <v>599</v>
      </c>
      <c r="O8744" s="37" t="str">
        <f t="shared" si="683"/>
        <v>Digital Payment</v>
      </c>
      <c r="P8744">
        <v>1108.6199999999999</v>
      </c>
      <c r="Q8744" s="37" t="str">
        <f>IF(P8744&gt;500,"High","low")</f>
        <v>High</v>
      </c>
      <c r="R8744" s="37" t="str">
        <f t="shared" si="684"/>
        <v>Excellent</v>
      </c>
      <c r="S8744" t="s">
        <v>600</v>
      </c>
    </row>
    <row r="8745" spans="1:19" x14ac:dyDescent="0.2">
      <c r="A8745" t="s">
        <v>9356</v>
      </c>
      <c r="B8745" t="s">
        <v>90</v>
      </c>
      <c r="C8745" t="s">
        <v>607</v>
      </c>
      <c r="D8745">
        <v>3649.64</v>
      </c>
      <c r="E8745" s="37" t="str">
        <f t="shared" si="680"/>
        <v xml:space="preserve"> </v>
      </c>
      <c r="F8745">
        <v>0.37</v>
      </c>
      <c r="G8745" s="37" t="str">
        <f t="shared" si="681"/>
        <v>Heavy Discount</v>
      </c>
      <c r="H8745" s="37" t="str">
        <f t="shared" si="682"/>
        <v>Medium</v>
      </c>
      <c r="I8745">
        <v>1</v>
      </c>
      <c r="J8745" t="str" cm="1">
        <f t="array" ref="J8745">_xlfn.IFS(I8745&lt;=3,"small",I8745&lt;=6,"Medium",I8745&lt;=9,"Large")</f>
        <v>small</v>
      </c>
      <c r="K8745" s="36">
        <v>45434</v>
      </c>
      <c r="L8745" s="36">
        <v>45438</v>
      </c>
      <c r="M8745" t="s">
        <v>603</v>
      </c>
      <c r="N8745" t="s">
        <v>599</v>
      </c>
      <c r="O8745" s="37" t="str">
        <f t="shared" si="683"/>
        <v>Digital Payment</v>
      </c>
      <c r="P8745">
        <v>893.74</v>
      </c>
      <c r="Q8745" s="37" t="str">
        <f>IF(P8745&gt;500,"High","low")</f>
        <v>High</v>
      </c>
      <c r="R8745" s="37" t="str">
        <f t="shared" si="684"/>
        <v>Good</v>
      </c>
      <c r="S8745" t="s">
        <v>620</v>
      </c>
    </row>
    <row r="8746" spans="1:19" x14ac:dyDescent="0.2">
      <c r="A8746" t="s">
        <v>9357</v>
      </c>
      <c r="B8746" t="s">
        <v>83</v>
      </c>
      <c r="C8746" t="s">
        <v>597</v>
      </c>
      <c r="D8746">
        <v>3986.4</v>
      </c>
      <c r="E8746" s="37" t="str">
        <f t="shared" si="680"/>
        <v xml:space="preserve"> </v>
      </c>
      <c r="F8746">
        <v>0.23</v>
      </c>
      <c r="G8746" s="37" t="str">
        <f t="shared" si="681"/>
        <v>Normal Discount</v>
      </c>
      <c r="H8746" s="37" t="str">
        <f t="shared" si="682"/>
        <v>Medium</v>
      </c>
      <c r="I8746">
        <v>2</v>
      </c>
      <c r="J8746" t="str" cm="1">
        <f t="array" ref="J8746">_xlfn.IFS(I8746&lt;=3,"small",I8746&lt;=6,"Medium",I8746&lt;=9,"Large")</f>
        <v>small</v>
      </c>
      <c r="K8746" s="36">
        <v>44943</v>
      </c>
      <c r="L8746" s="36">
        <v>44945</v>
      </c>
      <c r="M8746" t="s">
        <v>598</v>
      </c>
      <c r="N8746" t="s">
        <v>599</v>
      </c>
      <c r="O8746" s="37" t="str">
        <f t="shared" si="683"/>
        <v>Digital Payment</v>
      </c>
      <c r="P8746">
        <v>1047.7</v>
      </c>
      <c r="Q8746" s="37" t="str">
        <f>IF(P8746&gt;500,"High","low")</f>
        <v>High</v>
      </c>
      <c r="R8746" s="37" t="str">
        <f t="shared" si="684"/>
        <v>Excellent</v>
      </c>
      <c r="S8746" t="s">
        <v>609</v>
      </c>
    </row>
    <row r="8747" spans="1:19" x14ac:dyDescent="0.2">
      <c r="A8747" t="s">
        <v>9358</v>
      </c>
      <c r="B8747" t="s">
        <v>67</v>
      </c>
      <c r="C8747" t="s">
        <v>617</v>
      </c>
      <c r="D8747">
        <v>1248.01</v>
      </c>
      <c r="E8747" s="37" t="str">
        <f t="shared" si="680"/>
        <v xml:space="preserve"> </v>
      </c>
      <c r="F8747">
        <v>0.23</v>
      </c>
      <c r="G8747" s="37" t="str">
        <f t="shared" si="681"/>
        <v>Normal Discount</v>
      </c>
      <c r="H8747" s="37" t="str">
        <f t="shared" si="682"/>
        <v>Medium</v>
      </c>
      <c r="I8747">
        <v>3</v>
      </c>
      <c r="J8747" t="str" cm="1">
        <f t="array" ref="J8747">_xlfn.IFS(I8747&lt;=3,"small",I8747&lt;=6,"Medium",I8747&lt;=9,"Large")</f>
        <v>small</v>
      </c>
      <c r="K8747" s="36">
        <v>45328</v>
      </c>
      <c r="L8747" s="36">
        <v>45334</v>
      </c>
      <c r="M8747" t="s">
        <v>598</v>
      </c>
      <c r="N8747" t="s">
        <v>599</v>
      </c>
      <c r="O8747" s="37" t="str">
        <f t="shared" si="683"/>
        <v>Digital Payment</v>
      </c>
      <c r="P8747">
        <v>311.83999999999997</v>
      </c>
      <c r="Q8747" s="37" t="str">
        <f>IF(P8747&gt;500,"High","low")</f>
        <v>low</v>
      </c>
      <c r="R8747" s="37" t="str">
        <f t="shared" si="684"/>
        <v>AVERAGE</v>
      </c>
      <c r="S8747" t="s">
        <v>609</v>
      </c>
    </row>
    <row r="8748" spans="1:19" x14ac:dyDescent="0.2">
      <c r="A8748" t="s">
        <v>9359</v>
      </c>
      <c r="B8748" t="s">
        <v>90</v>
      </c>
      <c r="C8748" t="s">
        <v>597</v>
      </c>
      <c r="D8748">
        <v>1915.48</v>
      </c>
      <c r="E8748" s="37" t="str">
        <f t="shared" si="680"/>
        <v xml:space="preserve"> </v>
      </c>
      <c r="F8748">
        <v>0.5</v>
      </c>
      <c r="G8748" s="37" t="str">
        <f t="shared" si="681"/>
        <v>Heavy Discount</v>
      </c>
      <c r="H8748" s="37" t="str">
        <f t="shared" si="682"/>
        <v>High</v>
      </c>
      <c r="I8748">
        <v>7</v>
      </c>
      <c r="J8748" t="str" cm="1">
        <f t="array" ref="J8748">_xlfn.IFS(I8748&lt;=3,"small",I8748&lt;=6,"Medium",I8748&lt;=9,"Large")</f>
        <v>Large</v>
      </c>
      <c r="K8748" s="36">
        <v>45164</v>
      </c>
      <c r="L8748" s="36">
        <v>45170</v>
      </c>
      <c r="M8748" t="s">
        <v>612</v>
      </c>
      <c r="N8748" t="s">
        <v>604</v>
      </c>
      <c r="O8748" s="37" t="str">
        <f t="shared" si="683"/>
        <v>Digital Payment</v>
      </c>
      <c r="P8748">
        <v>370.14</v>
      </c>
      <c r="Q8748" s="37" t="str">
        <f>IF(P8748&gt;500,"High","low")</f>
        <v>low</v>
      </c>
      <c r="R8748" s="37" t="str">
        <f t="shared" si="684"/>
        <v>AVERAGE</v>
      </c>
      <c r="S8748" t="s">
        <v>620</v>
      </c>
    </row>
    <row r="8749" spans="1:19" x14ac:dyDescent="0.2">
      <c r="A8749" t="s">
        <v>9360</v>
      </c>
      <c r="B8749" t="s">
        <v>83</v>
      </c>
      <c r="C8749" t="s">
        <v>597</v>
      </c>
      <c r="D8749">
        <v>1971.96</v>
      </c>
      <c r="E8749" s="37" t="str">
        <f t="shared" si="680"/>
        <v xml:space="preserve"> </v>
      </c>
      <c r="F8749">
        <v>0.19</v>
      </c>
      <c r="G8749" s="37" t="str">
        <f t="shared" si="681"/>
        <v>Normal Discount</v>
      </c>
      <c r="H8749" s="37" t="str">
        <f t="shared" si="682"/>
        <v>Low</v>
      </c>
      <c r="I8749">
        <v>6</v>
      </c>
      <c r="J8749" t="str" cm="1">
        <f t="array" ref="J8749">_xlfn.IFS(I8749&lt;=3,"small",I8749&lt;=6,"Medium",I8749&lt;=9,"Large")</f>
        <v>Medium</v>
      </c>
      <c r="K8749" s="36">
        <v>45571</v>
      </c>
      <c r="L8749" s="36">
        <v>45576</v>
      </c>
      <c r="M8749" t="s">
        <v>612</v>
      </c>
      <c r="N8749" t="s">
        <v>599</v>
      </c>
      <c r="O8749" s="37" t="str">
        <f t="shared" si="683"/>
        <v>Digital Payment</v>
      </c>
      <c r="P8749">
        <v>365.4</v>
      </c>
      <c r="Q8749" s="37" t="str">
        <f>IF(P8749&gt;500,"High","low")</f>
        <v>low</v>
      </c>
      <c r="R8749" s="37" t="str">
        <f t="shared" si="684"/>
        <v>AVERAGE</v>
      </c>
      <c r="S8749" t="s">
        <v>620</v>
      </c>
    </row>
    <row r="8750" spans="1:19" x14ac:dyDescent="0.2">
      <c r="A8750" t="s">
        <v>9361</v>
      </c>
      <c r="B8750" t="s">
        <v>75</v>
      </c>
      <c r="C8750" t="s">
        <v>614</v>
      </c>
      <c r="D8750">
        <v>4783.6099999999997</v>
      </c>
      <c r="E8750" s="37" t="str">
        <f t="shared" si="680"/>
        <v xml:space="preserve"> </v>
      </c>
      <c r="F8750">
        <v>0.05</v>
      </c>
      <c r="G8750" s="37" t="str">
        <f t="shared" si="681"/>
        <v>Normal Discount</v>
      </c>
      <c r="H8750" s="37" t="str">
        <f t="shared" si="682"/>
        <v>Low</v>
      </c>
      <c r="I8750">
        <v>2</v>
      </c>
      <c r="J8750" t="str" cm="1">
        <f t="array" ref="J8750">_xlfn.IFS(I8750&lt;=3,"small",I8750&lt;=6,"Medium",I8750&lt;=9,"Large")</f>
        <v>small</v>
      </c>
      <c r="K8750" s="36">
        <v>45371</v>
      </c>
      <c r="L8750" s="36">
        <v>45372</v>
      </c>
      <c r="M8750" t="s">
        <v>598</v>
      </c>
      <c r="N8750" t="s">
        <v>604</v>
      </c>
      <c r="O8750" s="37" t="str">
        <f t="shared" si="683"/>
        <v>Digital Payment</v>
      </c>
      <c r="P8750">
        <v>734.3</v>
      </c>
      <c r="Q8750" s="37" t="str">
        <f>IF(P8750&gt;500,"High","low")</f>
        <v>High</v>
      </c>
      <c r="R8750" s="37" t="str">
        <f t="shared" si="684"/>
        <v>Good</v>
      </c>
      <c r="S8750" t="s">
        <v>600</v>
      </c>
    </row>
    <row r="8751" spans="1:19" x14ac:dyDescent="0.2">
      <c r="A8751" t="s">
        <v>9362</v>
      </c>
      <c r="B8751" t="s">
        <v>75</v>
      </c>
      <c r="C8751" t="s">
        <v>614</v>
      </c>
      <c r="D8751">
        <v>2105.63</v>
      </c>
      <c r="E8751" s="37" t="str">
        <f t="shared" si="680"/>
        <v xml:space="preserve"> </v>
      </c>
      <c r="F8751">
        <v>0.27</v>
      </c>
      <c r="G8751" s="37" t="str">
        <f t="shared" si="681"/>
        <v>Normal Discount</v>
      </c>
      <c r="H8751" s="37" t="str">
        <f t="shared" si="682"/>
        <v>Medium</v>
      </c>
      <c r="I8751">
        <v>5</v>
      </c>
      <c r="J8751" t="str" cm="1">
        <f t="array" ref="J8751">_xlfn.IFS(I8751&lt;=3,"small",I8751&lt;=6,"Medium",I8751&lt;=9,"Large")</f>
        <v>Medium</v>
      </c>
      <c r="K8751" s="36">
        <v>45647</v>
      </c>
      <c r="L8751" s="36">
        <v>45649</v>
      </c>
      <c r="M8751" t="s">
        <v>612</v>
      </c>
      <c r="N8751" t="s">
        <v>604</v>
      </c>
      <c r="O8751" s="37" t="str">
        <f t="shared" si="683"/>
        <v>Digital Payment</v>
      </c>
      <c r="P8751">
        <v>171.24</v>
      </c>
      <c r="Q8751" s="37" t="str">
        <f>IF(P8751&gt;500,"High","low")</f>
        <v>low</v>
      </c>
      <c r="R8751" s="37" t="str">
        <f t="shared" si="684"/>
        <v>AVERAGE</v>
      </c>
      <c r="S8751" t="s">
        <v>600</v>
      </c>
    </row>
    <row r="8752" spans="1:19" x14ac:dyDescent="0.2">
      <c r="A8752" t="s">
        <v>9363</v>
      </c>
      <c r="B8752" t="s">
        <v>90</v>
      </c>
      <c r="C8752" t="s">
        <v>607</v>
      </c>
      <c r="D8752">
        <v>1187.1600000000001</v>
      </c>
      <c r="E8752" s="37" t="str">
        <f t="shared" si="680"/>
        <v xml:space="preserve"> </v>
      </c>
      <c r="F8752">
        <v>0.44</v>
      </c>
      <c r="G8752" s="37" t="str">
        <f t="shared" si="681"/>
        <v>Heavy Discount</v>
      </c>
      <c r="H8752" s="37" t="str">
        <f t="shared" si="682"/>
        <v>High</v>
      </c>
      <c r="I8752">
        <v>1</v>
      </c>
      <c r="J8752" t="str" cm="1">
        <f t="array" ref="J8752">_xlfn.IFS(I8752&lt;=3,"small",I8752&lt;=6,"Medium",I8752&lt;=9,"Large")</f>
        <v>small</v>
      </c>
      <c r="K8752" s="36">
        <v>45634</v>
      </c>
      <c r="L8752" s="36">
        <v>45641</v>
      </c>
      <c r="M8752" t="s">
        <v>612</v>
      </c>
      <c r="N8752" t="s">
        <v>599</v>
      </c>
      <c r="O8752" s="37" t="str">
        <f t="shared" si="683"/>
        <v>Digital Payment</v>
      </c>
      <c r="P8752">
        <v>246.16</v>
      </c>
      <c r="Q8752" s="37" t="str">
        <f>IF(P8752&gt;500,"High","low")</f>
        <v>low</v>
      </c>
      <c r="R8752" s="37" t="str">
        <f t="shared" si="684"/>
        <v>AVERAGE</v>
      </c>
      <c r="S8752" t="s">
        <v>628</v>
      </c>
    </row>
    <row r="8753" spans="1:19" x14ac:dyDescent="0.2">
      <c r="A8753" t="s">
        <v>9364</v>
      </c>
      <c r="B8753" t="s">
        <v>90</v>
      </c>
      <c r="C8753" t="s">
        <v>597</v>
      </c>
      <c r="D8753">
        <v>3198.49</v>
      </c>
      <c r="E8753" s="37" t="str">
        <f t="shared" si="680"/>
        <v xml:space="preserve"> </v>
      </c>
      <c r="F8753">
        <v>0.28999999999999998</v>
      </c>
      <c r="G8753" s="37" t="str">
        <f t="shared" si="681"/>
        <v>Normal Discount</v>
      </c>
      <c r="H8753" s="37" t="str">
        <f t="shared" si="682"/>
        <v>Medium</v>
      </c>
      <c r="I8753">
        <v>3</v>
      </c>
      <c r="J8753" t="str" cm="1">
        <f t="array" ref="J8753">_xlfn.IFS(I8753&lt;=3,"small",I8753&lt;=6,"Medium",I8753&lt;=9,"Large")</f>
        <v>small</v>
      </c>
      <c r="K8753" s="36">
        <v>44998</v>
      </c>
      <c r="L8753" s="36">
        <v>45001</v>
      </c>
      <c r="M8753" t="s">
        <v>603</v>
      </c>
      <c r="N8753" t="s">
        <v>608</v>
      </c>
      <c r="O8753" s="37" t="str">
        <f t="shared" si="683"/>
        <v>Cash Payment</v>
      </c>
      <c r="P8753">
        <v>416.99</v>
      </c>
      <c r="Q8753" s="37" t="str">
        <f>IF(P8753&gt;500,"High","low")</f>
        <v>low</v>
      </c>
      <c r="R8753" s="37" t="str">
        <f t="shared" si="684"/>
        <v>AVERAGE</v>
      </c>
      <c r="S8753" t="s">
        <v>609</v>
      </c>
    </row>
    <row r="8754" spans="1:19" x14ac:dyDescent="0.2">
      <c r="A8754" t="s">
        <v>9365</v>
      </c>
      <c r="B8754" t="s">
        <v>67</v>
      </c>
      <c r="C8754" t="s">
        <v>607</v>
      </c>
      <c r="D8754">
        <v>2193.61</v>
      </c>
      <c r="E8754" s="37" t="str">
        <f t="shared" si="680"/>
        <v xml:space="preserve"> </v>
      </c>
      <c r="F8754">
        <v>0.4</v>
      </c>
      <c r="G8754" s="37" t="str">
        <f t="shared" si="681"/>
        <v>Heavy Discount</v>
      </c>
      <c r="H8754" s="37" t="str">
        <f t="shared" si="682"/>
        <v>Medium</v>
      </c>
      <c r="I8754">
        <v>1</v>
      </c>
      <c r="J8754" t="str" cm="1">
        <f t="array" ref="J8754">_xlfn.IFS(I8754&lt;=3,"small",I8754&lt;=6,"Medium",I8754&lt;=9,"Large")</f>
        <v>small</v>
      </c>
      <c r="K8754" s="36">
        <v>44952</v>
      </c>
      <c r="L8754" s="36">
        <v>44959</v>
      </c>
      <c r="M8754" t="s">
        <v>598</v>
      </c>
      <c r="N8754" t="s">
        <v>604</v>
      </c>
      <c r="O8754" s="37" t="str">
        <f t="shared" si="683"/>
        <v>Digital Payment</v>
      </c>
      <c r="P8754">
        <v>214.94</v>
      </c>
      <c r="Q8754" s="37" t="str">
        <f>IF(P8754&gt;500,"High","low")</f>
        <v>low</v>
      </c>
      <c r="R8754" s="37" t="str">
        <f t="shared" si="684"/>
        <v>AVERAGE</v>
      </c>
      <c r="S8754" t="s">
        <v>600</v>
      </c>
    </row>
    <row r="8755" spans="1:19" x14ac:dyDescent="0.2">
      <c r="A8755" t="s">
        <v>9366</v>
      </c>
      <c r="B8755" t="s">
        <v>67</v>
      </c>
      <c r="C8755" t="s">
        <v>617</v>
      </c>
      <c r="D8755">
        <v>1325.39</v>
      </c>
      <c r="E8755" s="37" t="str">
        <f t="shared" si="680"/>
        <v xml:space="preserve"> </v>
      </c>
      <c r="F8755">
        <v>0.03</v>
      </c>
      <c r="G8755" s="37" t="str">
        <f t="shared" si="681"/>
        <v>Normal Discount</v>
      </c>
      <c r="H8755" s="37" t="str">
        <f t="shared" si="682"/>
        <v>Low</v>
      </c>
      <c r="I8755">
        <v>3</v>
      </c>
      <c r="J8755" t="str" cm="1">
        <f t="array" ref="J8755">_xlfn.IFS(I8755&lt;=3,"small",I8755&lt;=6,"Medium",I8755&lt;=9,"Large")</f>
        <v>small</v>
      </c>
      <c r="K8755" s="36">
        <v>45015</v>
      </c>
      <c r="L8755" s="36">
        <v>45017</v>
      </c>
      <c r="M8755" t="s">
        <v>598</v>
      </c>
      <c r="N8755" t="s">
        <v>608</v>
      </c>
      <c r="O8755" s="37" t="str">
        <f t="shared" si="683"/>
        <v>Cash Payment</v>
      </c>
      <c r="P8755">
        <v>153.02000000000001</v>
      </c>
      <c r="Q8755" s="37" t="str">
        <f>IF(P8755&gt;500,"High","low")</f>
        <v>low</v>
      </c>
      <c r="R8755" s="37" t="str">
        <f t="shared" si="684"/>
        <v>AVERAGE</v>
      </c>
      <c r="S8755" t="s">
        <v>609</v>
      </c>
    </row>
    <row r="8756" spans="1:19" x14ac:dyDescent="0.2">
      <c r="A8756" t="s">
        <v>9367</v>
      </c>
      <c r="B8756" t="s">
        <v>90</v>
      </c>
      <c r="C8756" t="s">
        <v>602</v>
      </c>
      <c r="D8756">
        <v>3604.16</v>
      </c>
      <c r="E8756" s="37" t="str">
        <f t="shared" si="680"/>
        <v xml:space="preserve"> </v>
      </c>
      <c r="F8756">
        <v>0.34</v>
      </c>
      <c r="G8756" s="37" t="str">
        <f t="shared" si="681"/>
        <v>Heavy Discount</v>
      </c>
      <c r="H8756" s="37" t="str">
        <f t="shared" si="682"/>
        <v>Medium</v>
      </c>
      <c r="I8756">
        <v>2</v>
      </c>
      <c r="J8756" t="str" cm="1">
        <f t="array" ref="J8756">_xlfn.IFS(I8756&lt;=3,"small",I8756&lt;=6,"Medium",I8756&lt;=9,"Large")</f>
        <v>small</v>
      </c>
      <c r="K8756" s="36">
        <v>45410</v>
      </c>
      <c r="L8756" s="36">
        <v>45416</v>
      </c>
      <c r="M8756" t="s">
        <v>603</v>
      </c>
      <c r="N8756" t="s">
        <v>599</v>
      </c>
      <c r="O8756" s="37" t="str">
        <f t="shared" si="683"/>
        <v>Digital Payment</v>
      </c>
      <c r="P8756">
        <v>529.08000000000004</v>
      </c>
      <c r="Q8756" s="37" t="str">
        <f>IF(P8756&gt;500,"High","low")</f>
        <v>High</v>
      </c>
      <c r="R8756" s="37" t="str">
        <f t="shared" si="684"/>
        <v>Good</v>
      </c>
      <c r="S8756" t="s">
        <v>609</v>
      </c>
    </row>
    <row r="8757" spans="1:19" x14ac:dyDescent="0.2">
      <c r="A8757" t="s">
        <v>9368</v>
      </c>
      <c r="B8757" t="s">
        <v>83</v>
      </c>
      <c r="C8757" t="s">
        <v>614</v>
      </c>
      <c r="D8757">
        <v>1040.43</v>
      </c>
      <c r="E8757" s="37" t="str">
        <f t="shared" si="680"/>
        <v xml:space="preserve"> </v>
      </c>
      <c r="F8757">
        <v>0.04</v>
      </c>
      <c r="G8757" s="37" t="str">
        <f t="shared" si="681"/>
        <v>Normal Discount</v>
      </c>
      <c r="H8757" s="37" t="str">
        <f t="shared" si="682"/>
        <v>Low</v>
      </c>
      <c r="I8757">
        <v>4</v>
      </c>
      <c r="J8757" t="str" cm="1">
        <f t="array" ref="J8757">_xlfn.IFS(I8757&lt;=3,"small",I8757&lt;=6,"Medium",I8757&lt;=9,"Large")</f>
        <v>Medium</v>
      </c>
      <c r="K8757" s="36">
        <v>45161</v>
      </c>
      <c r="L8757" s="36">
        <v>45164</v>
      </c>
      <c r="M8757" t="s">
        <v>603</v>
      </c>
      <c r="N8757" t="s">
        <v>599</v>
      </c>
      <c r="O8757" s="37" t="str">
        <f t="shared" si="683"/>
        <v>Digital Payment</v>
      </c>
      <c r="P8757">
        <v>54.06</v>
      </c>
      <c r="Q8757" s="37" t="str">
        <f>IF(P8757&gt;500,"High","low")</f>
        <v>low</v>
      </c>
      <c r="R8757" s="37" t="str">
        <f t="shared" si="684"/>
        <v>AVERAGE</v>
      </c>
      <c r="S8757" t="s">
        <v>615</v>
      </c>
    </row>
    <row r="8758" spans="1:19" x14ac:dyDescent="0.2">
      <c r="A8758" t="s">
        <v>9369</v>
      </c>
      <c r="B8758" t="s">
        <v>67</v>
      </c>
      <c r="C8758" t="s">
        <v>617</v>
      </c>
      <c r="D8758">
        <v>3203.43</v>
      </c>
      <c r="E8758" s="37" t="str">
        <f t="shared" si="680"/>
        <v xml:space="preserve"> </v>
      </c>
      <c r="F8758">
        <v>0.28000000000000003</v>
      </c>
      <c r="G8758" s="37" t="str">
        <f t="shared" si="681"/>
        <v>Normal Discount</v>
      </c>
      <c r="H8758" s="37" t="str">
        <f t="shared" si="682"/>
        <v>Medium</v>
      </c>
      <c r="I8758">
        <v>5</v>
      </c>
      <c r="J8758" t="str" cm="1">
        <f t="array" ref="J8758">_xlfn.IFS(I8758&lt;=3,"small",I8758&lt;=6,"Medium",I8758&lt;=9,"Large")</f>
        <v>Medium</v>
      </c>
      <c r="K8758" s="36">
        <v>44965</v>
      </c>
      <c r="L8758" s="36">
        <v>44966</v>
      </c>
      <c r="M8758" t="s">
        <v>603</v>
      </c>
      <c r="N8758" t="s">
        <v>599</v>
      </c>
      <c r="O8758" s="37" t="str">
        <f t="shared" si="683"/>
        <v>Digital Payment</v>
      </c>
      <c r="P8758">
        <v>439.82</v>
      </c>
      <c r="Q8758" s="37" t="str">
        <f>IF(P8758&gt;500,"High","low")</f>
        <v>low</v>
      </c>
      <c r="R8758" s="37" t="str">
        <f t="shared" si="684"/>
        <v>AVERAGE</v>
      </c>
      <c r="S8758" t="s">
        <v>628</v>
      </c>
    </row>
    <row r="8759" spans="1:19" x14ac:dyDescent="0.2">
      <c r="A8759" t="s">
        <v>9370</v>
      </c>
      <c r="B8759" t="s">
        <v>90</v>
      </c>
      <c r="C8759" t="s">
        <v>617</v>
      </c>
      <c r="D8759">
        <v>2209.6</v>
      </c>
      <c r="E8759" s="37" t="str">
        <f t="shared" si="680"/>
        <v xml:space="preserve"> </v>
      </c>
      <c r="F8759">
        <v>0.25</v>
      </c>
      <c r="G8759" s="37" t="str">
        <f t="shared" si="681"/>
        <v>Normal Discount</v>
      </c>
      <c r="H8759" s="37" t="str">
        <f t="shared" si="682"/>
        <v>Medium</v>
      </c>
      <c r="I8759">
        <v>3</v>
      </c>
      <c r="J8759" t="str" cm="1">
        <f t="array" ref="J8759">_xlfn.IFS(I8759&lt;=3,"small",I8759&lt;=6,"Medium",I8759&lt;=9,"Large")</f>
        <v>small</v>
      </c>
      <c r="K8759" s="36">
        <v>44970</v>
      </c>
      <c r="L8759" s="36">
        <v>44971</v>
      </c>
      <c r="M8759" t="s">
        <v>598</v>
      </c>
      <c r="N8759" t="s">
        <v>604</v>
      </c>
      <c r="O8759" s="37" t="str">
        <f t="shared" si="683"/>
        <v>Digital Payment</v>
      </c>
      <c r="P8759">
        <v>462.55</v>
      </c>
      <c r="Q8759" s="37" t="str">
        <f>IF(P8759&gt;500,"High","low")</f>
        <v>low</v>
      </c>
      <c r="R8759" s="37" t="str">
        <f t="shared" si="684"/>
        <v>AVERAGE</v>
      </c>
      <c r="S8759" t="s">
        <v>615</v>
      </c>
    </row>
    <row r="8760" spans="1:19" x14ac:dyDescent="0.2">
      <c r="A8760" t="s">
        <v>9371</v>
      </c>
      <c r="B8760" t="s">
        <v>67</v>
      </c>
      <c r="C8760" t="s">
        <v>614</v>
      </c>
      <c r="D8760">
        <v>1663.92</v>
      </c>
      <c r="E8760" s="37" t="str">
        <f t="shared" si="680"/>
        <v xml:space="preserve"> </v>
      </c>
      <c r="F8760">
        <v>0.47</v>
      </c>
      <c r="G8760" s="37" t="str">
        <f t="shared" si="681"/>
        <v>Heavy Discount</v>
      </c>
      <c r="H8760" s="37" t="str">
        <f t="shared" si="682"/>
        <v>High</v>
      </c>
      <c r="I8760">
        <v>5</v>
      </c>
      <c r="J8760" t="str" cm="1">
        <f t="array" ref="J8760">_xlfn.IFS(I8760&lt;=3,"small",I8760&lt;=6,"Medium",I8760&lt;=9,"Large")</f>
        <v>Medium</v>
      </c>
      <c r="K8760" s="36">
        <v>45286</v>
      </c>
      <c r="L8760" s="36">
        <v>45291</v>
      </c>
      <c r="M8760" t="s">
        <v>598</v>
      </c>
      <c r="N8760" t="s">
        <v>608</v>
      </c>
      <c r="O8760" s="37" t="str">
        <f t="shared" si="683"/>
        <v>Cash Payment</v>
      </c>
      <c r="P8760">
        <v>166.55</v>
      </c>
      <c r="Q8760" s="37" t="str">
        <f>IF(P8760&gt;500,"High","low")</f>
        <v>low</v>
      </c>
      <c r="R8760" s="37" t="str">
        <f t="shared" si="684"/>
        <v>AVERAGE</v>
      </c>
      <c r="S8760" t="s">
        <v>605</v>
      </c>
    </row>
    <row r="8761" spans="1:19" x14ac:dyDescent="0.2">
      <c r="A8761" t="s">
        <v>9372</v>
      </c>
      <c r="B8761" t="s">
        <v>90</v>
      </c>
      <c r="C8761" t="s">
        <v>614</v>
      </c>
      <c r="D8761">
        <v>4735.3100000000004</v>
      </c>
      <c r="E8761" s="37" t="str">
        <f t="shared" si="680"/>
        <v xml:space="preserve"> </v>
      </c>
      <c r="F8761">
        <v>7.0000000000000007E-2</v>
      </c>
      <c r="G8761" s="37" t="str">
        <f t="shared" si="681"/>
        <v>Normal Discount</v>
      </c>
      <c r="H8761" s="37" t="str">
        <f t="shared" si="682"/>
        <v>Low</v>
      </c>
      <c r="I8761">
        <v>7</v>
      </c>
      <c r="J8761" t="str" cm="1">
        <f t="array" ref="J8761">_xlfn.IFS(I8761&lt;=3,"small",I8761&lt;=6,"Medium",I8761&lt;=9,"Large")</f>
        <v>Large</v>
      </c>
      <c r="K8761" s="36">
        <v>44990</v>
      </c>
      <c r="L8761" s="36">
        <v>44995</v>
      </c>
      <c r="M8761" t="s">
        <v>603</v>
      </c>
      <c r="N8761" t="s">
        <v>604</v>
      </c>
      <c r="O8761" s="37" t="str">
        <f t="shared" si="683"/>
        <v>Digital Payment</v>
      </c>
      <c r="P8761">
        <v>488.35</v>
      </c>
      <c r="Q8761" s="37" t="str">
        <f>IF(P8761&gt;500,"High","low")</f>
        <v>low</v>
      </c>
      <c r="R8761" s="37" t="str">
        <f t="shared" si="684"/>
        <v>AVERAGE</v>
      </c>
      <c r="S8761" t="s">
        <v>628</v>
      </c>
    </row>
    <row r="8762" spans="1:19" x14ac:dyDescent="0.2">
      <c r="A8762" t="s">
        <v>9373</v>
      </c>
      <c r="B8762" t="s">
        <v>75</v>
      </c>
      <c r="C8762" t="s">
        <v>597</v>
      </c>
      <c r="D8762">
        <v>1689.6</v>
      </c>
      <c r="E8762" s="37" t="str">
        <f t="shared" si="680"/>
        <v xml:space="preserve"> </v>
      </c>
      <c r="F8762">
        <v>0</v>
      </c>
      <c r="G8762" s="37" t="str">
        <f t="shared" si="681"/>
        <v>Normal Discount</v>
      </c>
      <c r="H8762" s="37" t="str">
        <f t="shared" si="682"/>
        <v>Low</v>
      </c>
      <c r="I8762">
        <v>9</v>
      </c>
      <c r="J8762" t="str" cm="1">
        <f t="array" ref="J8762">_xlfn.IFS(I8762&lt;=3,"small",I8762&lt;=6,"Medium",I8762&lt;=9,"Large")</f>
        <v>Large</v>
      </c>
      <c r="K8762" s="36">
        <v>45622</v>
      </c>
      <c r="L8762" s="36">
        <v>45629</v>
      </c>
      <c r="M8762" t="s">
        <v>598</v>
      </c>
      <c r="N8762" t="s">
        <v>599</v>
      </c>
      <c r="O8762" s="37" t="str">
        <f t="shared" si="683"/>
        <v>Digital Payment</v>
      </c>
      <c r="P8762">
        <v>150.86000000000001</v>
      </c>
      <c r="Q8762" s="37" t="str">
        <f>IF(P8762&gt;500,"High","low")</f>
        <v>low</v>
      </c>
      <c r="R8762" s="37" t="str">
        <f t="shared" si="684"/>
        <v>AVERAGE</v>
      </c>
      <c r="S8762" t="s">
        <v>615</v>
      </c>
    </row>
    <row r="8763" spans="1:19" x14ac:dyDescent="0.2">
      <c r="A8763" t="s">
        <v>9374</v>
      </c>
      <c r="B8763" t="s">
        <v>90</v>
      </c>
      <c r="C8763" t="s">
        <v>607</v>
      </c>
      <c r="D8763">
        <v>1802.79</v>
      </c>
      <c r="E8763" s="37" t="str">
        <f t="shared" si="680"/>
        <v xml:space="preserve"> </v>
      </c>
      <c r="F8763">
        <v>7.0000000000000007E-2</v>
      </c>
      <c r="G8763" s="37" t="str">
        <f t="shared" si="681"/>
        <v>Normal Discount</v>
      </c>
      <c r="H8763" s="37" t="str">
        <f t="shared" si="682"/>
        <v>Low</v>
      </c>
      <c r="I8763">
        <v>8</v>
      </c>
      <c r="J8763" t="str" cm="1">
        <f t="array" ref="J8763">_xlfn.IFS(I8763&lt;=3,"small",I8763&lt;=6,"Medium",I8763&lt;=9,"Large")</f>
        <v>Large</v>
      </c>
      <c r="K8763" s="36">
        <v>45399</v>
      </c>
      <c r="L8763" s="36">
        <v>45400</v>
      </c>
      <c r="M8763" t="s">
        <v>598</v>
      </c>
      <c r="N8763" t="s">
        <v>608</v>
      </c>
      <c r="O8763" s="37" t="str">
        <f t="shared" si="683"/>
        <v>Cash Payment</v>
      </c>
      <c r="P8763">
        <v>197.65</v>
      </c>
      <c r="Q8763" s="37" t="str">
        <f>IF(P8763&gt;500,"High","low")</f>
        <v>low</v>
      </c>
      <c r="R8763" s="37" t="str">
        <f t="shared" si="684"/>
        <v>AVERAGE</v>
      </c>
      <c r="S8763" t="s">
        <v>605</v>
      </c>
    </row>
    <row r="8764" spans="1:19" x14ac:dyDescent="0.2">
      <c r="A8764" t="s">
        <v>9375</v>
      </c>
      <c r="B8764" t="s">
        <v>75</v>
      </c>
      <c r="C8764" t="s">
        <v>617</v>
      </c>
      <c r="D8764">
        <v>4366.13</v>
      </c>
      <c r="E8764" s="37" t="str">
        <f t="shared" si="680"/>
        <v xml:space="preserve"> </v>
      </c>
      <c r="F8764">
        <v>0.09</v>
      </c>
      <c r="G8764" s="37" t="str">
        <f t="shared" si="681"/>
        <v>Normal Discount</v>
      </c>
      <c r="H8764" s="37" t="str">
        <f t="shared" si="682"/>
        <v>Low</v>
      </c>
      <c r="I8764">
        <v>6</v>
      </c>
      <c r="J8764" t="str" cm="1">
        <f t="array" ref="J8764">_xlfn.IFS(I8764&lt;=3,"small",I8764&lt;=6,"Medium",I8764&lt;=9,"Large")</f>
        <v>Medium</v>
      </c>
      <c r="K8764" s="36">
        <v>45524</v>
      </c>
      <c r="L8764" s="36">
        <v>45526</v>
      </c>
      <c r="M8764" t="s">
        <v>603</v>
      </c>
      <c r="N8764" t="s">
        <v>608</v>
      </c>
      <c r="O8764" s="37" t="str">
        <f t="shared" si="683"/>
        <v>Cash Payment</v>
      </c>
      <c r="P8764">
        <v>247.07</v>
      </c>
      <c r="Q8764" s="37" t="str">
        <f>IF(P8764&gt;500,"High","low")</f>
        <v>low</v>
      </c>
      <c r="R8764" s="37" t="str">
        <f t="shared" si="684"/>
        <v>AVERAGE</v>
      </c>
      <c r="S8764" t="s">
        <v>615</v>
      </c>
    </row>
    <row r="8765" spans="1:19" x14ac:dyDescent="0.2">
      <c r="A8765" t="s">
        <v>9376</v>
      </c>
      <c r="B8765" t="s">
        <v>67</v>
      </c>
      <c r="C8765" t="s">
        <v>597</v>
      </c>
      <c r="D8765">
        <v>732.31</v>
      </c>
      <c r="E8765" s="37" t="str">
        <f t="shared" si="680"/>
        <v xml:space="preserve"> </v>
      </c>
      <c r="F8765">
        <v>0.13</v>
      </c>
      <c r="G8765" s="37" t="str">
        <f t="shared" si="681"/>
        <v>Normal Discount</v>
      </c>
      <c r="H8765" s="37" t="str">
        <f t="shared" si="682"/>
        <v>Low</v>
      </c>
      <c r="I8765">
        <v>9</v>
      </c>
      <c r="J8765" t="str" cm="1">
        <f t="array" ref="J8765">_xlfn.IFS(I8765&lt;=3,"small",I8765&lt;=6,"Medium",I8765&lt;=9,"Large")</f>
        <v>Large</v>
      </c>
      <c r="K8765" s="36">
        <v>45210</v>
      </c>
      <c r="L8765" s="36">
        <v>45216</v>
      </c>
      <c r="M8765" t="s">
        <v>612</v>
      </c>
      <c r="N8765" t="s">
        <v>599</v>
      </c>
      <c r="O8765" s="37" t="str">
        <f t="shared" si="683"/>
        <v>Digital Payment</v>
      </c>
      <c r="P8765">
        <v>215.75</v>
      </c>
      <c r="Q8765" s="37" t="str">
        <f>IF(P8765&gt;500,"High","low")</f>
        <v>low</v>
      </c>
      <c r="R8765" s="37" t="str">
        <f t="shared" si="684"/>
        <v>AVERAGE</v>
      </c>
      <c r="S8765" t="s">
        <v>609</v>
      </c>
    </row>
    <row r="8766" spans="1:19" x14ac:dyDescent="0.2">
      <c r="A8766" t="s">
        <v>9377</v>
      </c>
      <c r="B8766" t="s">
        <v>90</v>
      </c>
      <c r="C8766" t="s">
        <v>597</v>
      </c>
      <c r="D8766">
        <v>629.54</v>
      </c>
      <c r="E8766" s="37" t="str">
        <f t="shared" si="680"/>
        <v xml:space="preserve"> </v>
      </c>
      <c r="F8766">
        <v>0.41</v>
      </c>
      <c r="G8766" s="37" t="str">
        <f t="shared" si="681"/>
        <v>Heavy Discount</v>
      </c>
      <c r="H8766" s="37" t="str">
        <f t="shared" si="682"/>
        <v>High</v>
      </c>
      <c r="I8766">
        <v>8</v>
      </c>
      <c r="J8766" t="str" cm="1">
        <f t="array" ref="J8766">_xlfn.IFS(I8766&lt;=3,"small",I8766&lt;=6,"Medium",I8766&lt;=9,"Large")</f>
        <v>Large</v>
      </c>
      <c r="K8766" s="36">
        <v>45521</v>
      </c>
      <c r="L8766" s="36">
        <v>45523</v>
      </c>
      <c r="M8766" t="s">
        <v>598</v>
      </c>
      <c r="N8766" t="s">
        <v>599</v>
      </c>
      <c r="O8766" s="37" t="str">
        <f t="shared" si="683"/>
        <v>Digital Payment</v>
      </c>
      <c r="P8766">
        <v>42.26</v>
      </c>
      <c r="Q8766" s="37" t="str">
        <f>IF(P8766&gt;500,"High","low")</f>
        <v>low</v>
      </c>
      <c r="R8766" s="37" t="str">
        <f t="shared" si="684"/>
        <v>AVERAGE</v>
      </c>
      <c r="S8766" t="s">
        <v>609</v>
      </c>
    </row>
    <row r="8767" spans="1:19" x14ac:dyDescent="0.2">
      <c r="A8767" t="s">
        <v>9378</v>
      </c>
      <c r="B8767" t="s">
        <v>67</v>
      </c>
      <c r="C8767" t="s">
        <v>617</v>
      </c>
      <c r="D8767">
        <v>1485.27</v>
      </c>
      <c r="E8767" s="37" t="str">
        <f t="shared" si="680"/>
        <v xml:space="preserve"> </v>
      </c>
      <c r="F8767">
        <v>0.19</v>
      </c>
      <c r="G8767" s="37" t="str">
        <f t="shared" si="681"/>
        <v>Normal Discount</v>
      </c>
      <c r="H8767" s="37" t="str">
        <f t="shared" si="682"/>
        <v>Low</v>
      </c>
      <c r="I8767">
        <v>4</v>
      </c>
      <c r="J8767" t="str" cm="1">
        <f t="array" ref="J8767">_xlfn.IFS(I8767&lt;=3,"small",I8767&lt;=6,"Medium",I8767&lt;=9,"Large")</f>
        <v>Medium</v>
      </c>
      <c r="K8767" s="36">
        <v>45627</v>
      </c>
      <c r="L8767" s="36">
        <v>45632</v>
      </c>
      <c r="M8767" t="s">
        <v>612</v>
      </c>
      <c r="N8767" t="s">
        <v>599</v>
      </c>
      <c r="O8767" s="37" t="str">
        <f t="shared" si="683"/>
        <v>Digital Payment</v>
      </c>
      <c r="P8767">
        <v>344.68</v>
      </c>
      <c r="Q8767" s="37" t="str">
        <f>IF(P8767&gt;500,"High","low")</f>
        <v>low</v>
      </c>
      <c r="R8767" s="37" t="str">
        <f t="shared" si="684"/>
        <v>AVERAGE</v>
      </c>
      <c r="S8767" t="s">
        <v>615</v>
      </c>
    </row>
    <row r="8768" spans="1:19" x14ac:dyDescent="0.2">
      <c r="A8768" t="s">
        <v>9379</v>
      </c>
      <c r="B8768" t="s">
        <v>75</v>
      </c>
      <c r="C8768" t="s">
        <v>617</v>
      </c>
      <c r="D8768">
        <v>2999.02</v>
      </c>
      <c r="E8768" s="37" t="str">
        <f t="shared" si="680"/>
        <v xml:space="preserve"> </v>
      </c>
      <c r="F8768">
        <v>0.42</v>
      </c>
      <c r="G8768" s="37" t="str">
        <f t="shared" si="681"/>
        <v>Heavy Discount</v>
      </c>
      <c r="H8768" s="37" t="str">
        <f t="shared" si="682"/>
        <v>High</v>
      </c>
      <c r="I8768">
        <v>2</v>
      </c>
      <c r="J8768" t="str" cm="1">
        <f t="array" ref="J8768">_xlfn.IFS(I8768&lt;=3,"small",I8768&lt;=6,"Medium",I8768&lt;=9,"Large")</f>
        <v>small</v>
      </c>
      <c r="K8768" s="36">
        <v>45433</v>
      </c>
      <c r="L8768" s="36">
        <v>45435</v>
      </c>
      <c r="M8768" t="s">
        <v>598</v>
      </c>
      <c r="N8768" t="s">
        <v>604</v>
      </c>
      <c r="O8768" s="37" t="str">
        <f t="shared" si="683"/>
        <v>Digital Payment</v>
      </c>
      <c r="P8768">
        <v>352.23</v>
      </c>
      <c r="Q8768" s="37" t="str">
        <f>IF(P8768&gt;500,"High","low")</f>
        <v>low</v>
      </c>
      <c r="R8768" s="37" t="str">
        <f t="shared" si="684"/>
        <v>AVERAGE</v>
      </c>
      <c r="S8768" t="s">
        <v>620</v>
      </c>
    </row>
    <row r="8769" spans="1:19" x14ac:dyDescent="0.2">
      <c r="A8769" t="s">
        <v>9380</v>
      </c>
      <c r="B8769" t="s">
        <v>90</v>
      </c>
      <c r="C8769" t="s">
        <v>602</v>
      </c>
      <c r="D8769">
        <v>1983.07</v>
      </c>
      <c r="E8769" s="37" t="str">
        <f t="shared" si="680"/>
        <v xml:space="preserve"> </v>
      </c>
      <c r="F8769">
        <v>0.14000000000000001</v>
      </c>
      <c r="G8769" s="37" t="str">
        <f t="shared" si="681"/>
        <v>Normal Discount</v>
      </c>
      <c r="H8769" s="37" t="str">
        <f t="shared" si="682"/>
        <v>Low</v>
      </c>
      <c r="I8769">
        <v>9</v>
      </c>
      <c r="J8769" t="str" cm="1">
        <f t="array" ref="J8769">_xlfn.IFS(I8769&lt;=3,"small",I8769&lt;=6,"Medium",I8769&lt;=9,"Large")</f>
        <v>Large</v>
      </c>
      <c r="K8769" s="36">
        <v>45257</v>
      </c>
      <c r="L8769" s="36">
        <v>45259</v>
      </c>
      <c r="M8769" t="s">
        <v>612</v>
      </c>
      <c r="N8769" t="s">
        <v>608</v>
      </c>
      <c r="O8769" s="37" t="str">
        <f t="shared" si="683"/>
        <v>Cash Payment</v>
      </c>
      <c r="P8769">
        <v>345.6</v>
      </c>
      <c r="Q8769" s="37" t="str">
        <f>IF(P8769&gt;500,"High","low")</f>
        <v>low</v>
      </c>
      <c r="R8769" s="37" t="str">
        <f t="shared" si="684"/>
        <v>AVERAGE</v>
      </c>
      <c r="S8769" t="s">
        <v>605</v>
      </c>
    </row>
    <row r="8770" spans="1:19" x14ac:dyDescent="0.2">
      <c r="A8770" t="s">
        <v>9381</v>
      </c>
      <c r="B8770" t="s">
        <v>67</v>
      </c>
      <c r="C8770" t="s">
        <v>607</v>
      </c>
      <c r="D8770">
        <v>3081.92</v>
      </c>
      <c r="E8770" s="37" t="str">
        <f t="shared" si="680"/>
        <v xml:space="preserve"> </v>
      </c>
      <c r="F8770">
        <v>0.43</v>
      </c>
      <c r="G8770" s="37" t="str">
        <f t="shared" si="681"/>
        <v>Heavy Discount</v>
      </c>
      <c r="H8770" s="37" t="str">
        <f t="shared" si="682"/>
        <v>High</v>
      </c>
      <c r="I8770">
        <v>6</v>
      </c>
      <c r="J8770" t="str" cm="1">
        <f t="array" ref="J8770">_xlfn.IFS(I8770&lt;=3,"small",I8770&lt;=6,"Medium",I8770&lt;=9,"Large")</f>
        <v>Medium</v>
      </c>
      <c r="K8770" s="36">
        <v>45572</v>
      </c>
      <c r="L8770" s="36">
        <v>45574</v>
      </c>
      <c r="M8770" t="s">
        <v>612</v>
      </c>
      <c r="N8770" t="s">
        <v>608</v>
      </c>
      <c r="O8770" s="37" t="str">
        <f t="shared" si="683"/>
        <v>Cash Payment</v>
      </c>
      <c r="P8770">
        <v>409.89</v>
      </c>
      <c r="Q8770" s="37" t="str">
        <f>IF(P8770&gt;500,"High","low")</f>
        <v>low</v>
      </c>
      <c r="R8770" s="37" t="str">
        <f t="shared" si="684"/>
        <v>AVERAGE</v>
      </c>
      <c r="S8770" t="s">
        <v>615</v>
      </c>
    </row>
    <row r="8771" spans="1:19" x14ac:dyDescent="0.2">
      <c r="A8771" t="s">
        <v>9382</v>
      </c>
      <c r="B8771" t="s">
        <v>75</v>
      </c>
      <c r="C8771" t="s">
        <v>617</v>
      </c>
      <c r="D8771">
        <v>882.78</v>
      </c>
      <c r="E8771" s="37" t="str">
        <f t="shared" ref="E8771:E8834" si="685">IF(AND(D8771&gt;4000,P8771&gt;800),"Excellent Order"," ")</f>
        <v xml:space="preserve"> </v>
      </c>
      <c r="F8771">
        <v>0</v>
      </c>
      <c r="G8771" s="37" t="str">
        <f t="shared" ref="G8771:G8834" si="686">IF(F8771&gt;30%,"Heavy Discount","Normal Discount")</f>
        <v>Normal Discount</v>
      </c>
      <c r="H8771" s="37" t="str">
        <f t="shared" ref="H8771:H8834" si="687">IF(F8771&gt;0.4,"High",IF(F8771&gt;=0.2,"Medium","Low"))</f>
        <v>Low</v>
      </c>
      <c r="I8771">
        <v>8</v>
      </c>
      <c r="J8771" t="str" cm="1">
        <f t="array" ref="J8771">_xlfn.IFS(I8771&lt;=3,"small",I8771&lt;=6,"Medium",I8771&lt;=9,"Large")</f>
        <v>Large</v>
      </c>
      <c r="K8771" s="36">
        <v>45230</v>
      </c>
      <c r="L8771" s="36">
        <v>45232</v>
      </c>
      <c r="M8771" t="s">
        <v>598</v>
      </c>
      <c r="N8771" t="s">
        <v>608</v>
      </c>
      <c r="O8771" s="37" t="str">
        <f t="shared" ref="O8771:O8834" si="688">IF(OR(N8771="Card",N8771="UPI"),"Digital Payment","Cash Payment")</f>
        <v>Cash Payment</v>
      </c>
      <c r="P8771">
        <v>258.36</v>
      </c>
      <c r="Q8771" s="37" t="str">
        <f>IF(P8771&gt;500,"High","low")</f>
        <v>low</v>
      </c>
      <c r="R8771" s="37" t="str">
        <f t="shared" ref="R8771:R8834" si="689">IF(P8771&gt;1000,"Excellent",IF(P8771&gt;=500,"Good","AVERAGE"))</f>
        <v>AVERAGE</v>
      </c>
      <c r="S8771" t="s">
        <v>628</v>
      </c>
    </row>
    <row r="8772" spans="1:19" x14ac:dyDescent="0.2">
      <c r="A8772" t="s">
        <v>9383</v>
      </c>
      <c r="B8772" t="s">
        <v>67</v>
      </c>
      <c r="C8772" t="s">
        <v>614</v>
      </c>
      <c r="D8772">
        <v>1381.11</v>
      </c>
      <c r="E8772" s="37" t="str">
        <f t="shared" si="685"/>
        <v xml:space="preserve"> </v>
      </c>
      <c r="F8772">
        <v>0.47</v>
      </c>
      <c r="G8772" s="37" t="str">
        <f t="shared" si="686"/>
        <v>Heavy Discount</v>
      </c>
      <c r="H8772" s="37" t="str">
        <f t="shared" si="687"/>
        <v>High</v>
      </c>
      <c r="I8772">
        <v>8</v>
      </c>
      <c r="J8772" t="str" cm="1">
        <f t="array" ref="J8772">_xlfn.IFS(I8772&lt;=3,"small",I8772&lt;=6,"Medium",I8772&lt;=9,"Large")</f>
        <v>Large</v>
      </c>
      <c r="K8772" s="36">
        <v>45494</v>
      </c>
      <c r="L8772" s="36">
        <v>45497</v>
      </c>
      <c r="M8772" t="s">
        <v>598</v>
      </c>
      <c r="N8772" t="s">
        <v>604</v>
      </c>
      <c r="O8772" s="37" t="str">
        <f t="shared" si="688"/>
        <v>Digital Payment</v>
      </c>
      <c r="P8772">
        <v>192.9</v>
      </c>
      <c r="Q8772" s="37" t="str">
        <f>IF(P8772&gt;500,"High","low")</f>
        <v>low</v>
      </c>
      <c r="R8772" s="37" t="str">
        <f t="shared" si="689"/>
        <v>AVERAGE</v>
      </c>
      <c r="S8772" t="s">
        <v>620</v>
      </c>
    </row>
    <row r="8773" spans="1:19" x14ac:dyDescent="0.2">
      <c r="A8773" t="s">
        <v>9384</v>
      </c>
      <c r="B8773" t="s">
        <v>83</v>
      </c>
      <c r="C8773" t="s">
        <v>602</v>
      </c>
      <c r="D8773">
        <v>2869.3</v>
      </c>
      <c r="E8773" s="37" t="str">
        <f t="shared" si="685"/>
        <v xml:space="preserve"> </v>
      </c>
      <c r="F8773">
        <v>0.37</v>
      </c>
      <c r="G8773" s="37" t="str">
        <f t="shared" si="686"/>
        <v>Heavy Discount</v>
      </c>
      <c r="H8773" s="37" t="str">
        <f t="shared" si="687"/>
        <v>Medium</v>
      </c>
      <c r="I8773">
        <v>4</v>
      </c>
      <c r="J8773" t="str" cm="1">
        <f t="array" ref="J8773">_xlfn.IFS(I8773&lt;=3,"small",I8773&lt;=6,"Medium",I8773&lt;=9,"Large")</f>
        <v>Medium</v>
      </c>
      <c r="K8773" s="36">
        <v>45467</v>
      </c>
      <c r="L8773" s="36">
        <v>45472</v>
      </c>
      <c r="M8773" t="s">
        <v>598</v>
      </c>
      <c r="N8773" t="s">
        <v>604</v>
      </c>
      <c r="O8773" s="37" t="str">
        <f t="shared" si="688"/>
        <v>Digital Payment</v>
      </c>
      <c r="P8773">
        <v>464.67</v>
      </c>
      <c r="Q8773" s="37" t="str">
        <f>IF(P8773&gt;500,"High","low")</f>
        <v>low</v>
      </c>
      <c r="R8773" s="37" t="str">
        <f t="shared" si="689"/>
        <v>AVERAGE</v>
      </c>
      <c r="S8773" t="s">
        <v>620</v>
      </c>
    </row>
    <row r="8774" spans="1:19" x14ac:dyDescent="0.2">
      <c r="A8774" t="s">
        <v>9385</v>
      </c>
      <c r="B8774" t="s">
        <v>75</v>
      </c>
      <c r="C8774" t="s">
        <v>607</v>
      </c>
      <c r="D8774">
        <v>1164.03</v>
      </c>
      <c r="E8774" s="37" t="str">
        <f t="shared" si="685"/>
        <v xml:space="preserve"> </v>
      </c>
      <c r="F8774">
        <v>0.21</v>
      </c>
      <c r="G8774" s="37" t="str">
        <f t="shared" si="686"/>
        <v>Normal Discount</v>
      </c>
      <c r="H8774" s="37" t="str">
        <f t="shared" si="687"/>
        <v>Medium</v>
      </c>
      <c r="I8774">
        <v>5</v>
      </c>
      <c r="J8774" t="str" cm="1">
        <f t="array" ref="J8774">_xlfn.IFS(I8774&lt;=3,"small",I8774&lt;=6,"Medium",I8774&lt;=9,"Large")</f>
        <v>Medium</v>
      </c>
      <c r="K8774" s="36">
        <v>45638</v>
      </c>
      <c r="L8774" s="36">
        <v>45639</v>
      </c>
      <c r="M8774" t="s">
        <v>598</v>
      </c>
      <c r="N8774" t="s">
        <v>604</v>
      </c>
      <c r="O8774" s="37" t="str">
        <f t="shared" si="688"/>
        <v>Digital Payment</v>
      </c>
      <c r="P8774">
        <v>345.92</v>
      </c>
      <c r="Q8774" s="37" t="str">
        <f>IF(P8774&gt;500,"High","low")</f>
        <v>low</v>
      </c>
      <c r="R8774" s="37" t="str">
        <f t="shared" si="689"/>
        <v>AVERAGE</v>
      </c>
      <c r="S8774" t="s">
        <v>605</v>
      </c>
    </row>
    <row r="8775" spans="1:19" x14ac:dyDescent="0.2">
      <c r="A8775" t="s">
        <v>9386</v>
      </c>
      <c r="B8775" t="s">
        <v>75</v>
      </c>
      <c r="C8775" t="s">
        <v>614</v>
      </c>
      <c r="D8775">
        <v>2171.7399999999998</v>
      </c>
      <c r="E8775" s="37" t="str">
        <f t="shared" si="685"/>
        <v xml:space="preserve"> </v>
      </c>
      <c r="F8775">
        <v>0.28999999999999998</v>
      </c>
      <c r="G8775" s="37" t="str">
        <f t="shared" si="686"/>
        <v>Normal Discount</v>
      </c>
      <c r="H8775" s="37" t="str">
        <f t="shared" si="687"/>
        <v>Medium</v>
      </c>
      <c r="I8775">
        <v>1</v>
      </c>
      <c r="J8775" t="str" cm="1">
        <f t="array" ref="J8775">_xlfn.IFS(I8775&lt;=3,"small",I8775&lt;=6,"Medium",I8775&lt;=9,"Large")</f>
        <v>small</v>
      </c>
      <c r="K8775" s="36">
        <v>45558</v>
      </c>
      <c r="L8775" s="36">
        <v>45559</v>
      </c>
      <c r="M8775" t="s">
        <v>612</v>
      </c>
      <c r="N8775" t="s">
        <v>604</v>
      </c>
      <c r="O8775" s="37" t="str">
        <f t="shared" si="688"/>
        <v>Digital Payment</v>
      </c>
      <c r="P8775">
        <v>162.41999999999999</v>
      </c>
      <c r="Q8775" s="37" t="str">
        <f>IF(P8775&gt;500,"High","low")</f>
        <v>low</v>
      </c>
      <c r="R8775" s="37" t="str">
        <f t="shared" si="689"/>
        <v>AVERAGE</v>
      </c>
      <c r="S8775" t="s">
        <v>605</v>
      </c>
    </row>
    <row r="8776" spans="1:19" x14ac:dyDescent="0.2">
      <c r="A8776" t="s">
        <v>9387</v>
      </c>
      <c r="B8776" t="s">
        <v>75</v>
      </c>
      <c r="C8776" t="s">
        <v>614</v>
      </c>
      <c r="D8776">
        <v>2905.97</v>
      </c>
      <c r="E8776" s="37" t="str">
        <f t="shared" si="685"/>
        <v xml:space="preserve"> </v>
      </c>
      <c r="F8776">
        <v>0.47</v>
      </c>
      <c r="G8776" s="37" t="str">
        <f t="shared" si="686"/>
        <v>Heavy Discount</v>
      </c>
      <c r="H8776" s="37" t="str">
        <f t="shared" si="687"/>
        <v>High</v>
      </c>
      <c r="I8776">
        <v>9</v>
      </c>
      <c r="J8776" t="str" cm="1">
        <f t="array" ref="J8776">_xlfn.IFS(I8776&lt;=3,"small",I8776&lt;=6,"Medium",I8776&lt;=9,"Large")</f>
        <v>Large</v>
      </c>
      <c r="K8776" s="36">
        <v>45383</v>
      </c>
      <c r="L8776" s="36">
        <v>45386</v>
      </c>
      <c r="M8776" t="s">
        <v>603</v>
      </c>
      <c r="N8776" t="s">
        <v>604</v>
      </c>
      <c r="O8776" s="37" t="str">
        <f t="shared" si="688"/>
        <v>Digital Payment</v>
      </c>
      <c r="P8776">
        <v>360.08</v>
      </c>
      <c r="Q8776" s="37" t="str">
        <f>IF(P8776&gt;500,"High","low")</f>
        <v>low</v>
      </c>
      <c r="R8776" s="37" t="str">
        <f t="shared" si="689"/>
        <v>AVERAGE</v>
      </c>
      <c r="S8776" t="s">
        <v>615</v>
      </c>
    </row>
    <row r="8777" spans="1:19" x14ac:dyDescent="0.2">
      <c r="A8777" t="s">
        <v>9388</v>
      </c>
      <c r="B8777" t="s">
        <v>90</v>
      </c>
      <c r="C8777" t="s">
        <v>607</v>
      </c>
      <c r="D8777">
        <v>4870.8900000000003</v>
      </c>
      <c r="E8777" s="37" t="str">
        <f t="shared" si="685"/>
        <v xml:space="preserve"> </v>
      </c>
      <c r="F8777">
        <v>0.28999999999999998</v>
      </c>
      <c r="G8777" s="37" t="str">
        <f t="shared" si="686"/>
        <v>Normal Discount</v>
      </c>
      <c r="H8777" s="37" t="str">
        <f t="shared" si="687"/>
        <v>Medium</v>
      </c>
      <c r="I8777">
        <v>7</v>
      </c>
      <c r="J8777" t="str" cm="1">
        <f t="array" ref="J8777">_xlfn.IFS(I8777&lt;=3,"small",I8777&lt;=6,"Medium",I8777&lt;=9,"Large")</f>
        <v>Large</v>
      </c>
      <c r="K8777" s="36">
        <v>45213</v>
      </c>
      <c r="L8777" s="36">
        <v>45218</v>
      </c>
      <c r="M8777" t="s">
        <v>598</v>
      </c>
      <c r="N8777" t="s">
        <v>608</v>
      </c>
      <c r="O8777" s="37" t="str">
        <f t="shared" si="688"/>
        <v>Cash Payment</v>
      </c>
      <c r="P8777">
        <v>712.88</v>
      </c>
      <c r="Q8777" s="37" t="str">
        <f>IF(P8777&gt;500,"High","low")</f>
        <v>High</v>
      </c>
      <c r="R8777" s="37" t="str">
        <f t="shared" si="689"/>
        <v>Good</v>
      </c>
      <c r="S8777" t="s">
        <v>628</v>
      </c>
    </row>
    <row r="8778" spans="1:19" x14ac:dyDescent="0.2">
      <c r="A8778" t="s">
        <v>9389</v>
      </c>
      <c r="B8778" t="s">
        <v>90</v>
      </c>
      <c r="C8778" t="s">
        <v>602</v>
      </c>
      <c r="D8778">
        <v>491.44</v>
      </c>
      <c r="E8778" s="37" t="str">
        <f t="shared" si="685"/>
        <v xml:space="preserve"> </v>
      </c>
      <c r="F8778">
        <v>0.11</v>
      </c>
      <c r="G8778" s="37" t="str">
        <f t="shared" si="686"/>
        <v>Normal Discount</v>
      </c>
      <c r="H8778" s="37" t="str">
        <f t="shared" si="687"/>
        <v>Low</v>
      </c>
      <c r="I8778">
        <v>1</v>
      </c>
      <c r="J8778" t="str" cm="1">
        <f t="array" ref="J8778">_xlfn.IFS(I8778&lt;=3,"small",I8778&lt;=6,"Medium",I8778&lt;=9,"Large")</f>
        <v>small</v>
      </c>
      <c r="K8778" s="36">
        <v>44997</v>
      </c>
      <c r="L8778" s="36">
        <v>45004</v>
      </c>
      <c r="M8778" t="s">
        <v>598</v>
      </c>
      <c r="N8778" t="s">
        <v>604</v>
      </c>
      <c r="O8778" s="37" t="str">
        <f t="shared" si="688"/>
        <v>Digital Payment</v>
      </c>
      <c r="P8778">
        <v>79.819999999999993</v>
      </c>
      <c r="Q8778" s="37" t="str">
        <f>IF(P8778&gt;500,"High","low")</f>
        <v>low</v>
      </c>
      <c r="R8778" s="37" t="str">
        <f t="shared" si="689"/>
        <v>AVERAGE</v>
      </c>
      <c r="S8778" t="s">
        <v>628</v>
      </c>
    </row>
    <row r="8779" spans="1:19" x14ac:dyDescent="0.2">
      <c r="A8779" t="s">
        <v>9390</v>
      </c>
      <c r="B8779" t="s">
        <v>90</v>
      </c>
      <c r="C8779" t="s">
        <v>614</v>
      </c>
      <c r="D8779">
        <v>2356.0300000000002</v>
      </c>
      <c r="E8779" s="37" t="str">
        <f t="shared" si="685"/>
        <v xml:space="preserve"> </v>
      </c>
      <c r="F8779">
        <v>0.28999999999999998</v>
      </c>
      <c r="G8779" s="37" t="str">
        <f t="shared" si="686"/>
        <v>Normal Discount</v>
      </c>
      <c r="H8779" s="37" t="str">
        <f t="shared" si="687"/>
        <v>Medium</v>
      </c>
      <c r="I8779">
        <v>3</v>
      </c>
      <c r="J8779" t="str" cm="1">
        <f t="array" ref="J8779">_xlfn.IFS(I8779&lt;=3,"small",I8779&lt;=6,"Medium",I8779&lt;=9,"Large")</f>
        <v>small</v>
      </c>
      <c r="K8779" s="36">
        <v>45063</v>
      </c>
      <c r="L8779" s="36">
        <v>45069</v>
      </c>
      <c r="M8779" t="s">
        <v>603</v>
      </c>
      <c r="N8779" t="s">
        <v>599</v>
      </c>
      <c r="O8779" s="37" t="str">
        <f t="shared" si="688"/>
        <v>Digital Payment</v>
      </c>
      <c r="P8779">
        <v>681.69</v>
      </c>
      <c r="Q8779" s="37" t="str">
        <f>IF(P8779&gt;500,"High","low")</f>
        <v>High</v>
      </c>
      <c r="R8779" s="37" t="str">
        <f t="shared" si="689"/>
        <v>Good</v>
      </c>
      <c r="S8779" t="s">
        <v>605</v>
      </c>
    </row>
    <row r="8780" spans="1:19" x14ac:dyDescent="0.2">
      <c r="A8780" t="s">
        <v>9391</v>
      </c>
      <c r="B8780" t="s">
        <v>83</v>
      </c>
      <c r="C8780" t="s">
        <v>597</v>
      </c>
      <c r="D8780">
        <v>2041.73</v>
      </c>
      <c r="E8780" s="37" t="str">
        <f t="shared" si="685"/>
        <v xml:space="preserve"> </v>
      </c>
      <c r="F8780">
        <v>0.44</v>
      </c>
      <c r="G8780" s="37" t="str">
        <f t="shared" si="686"/>
        <v>Heavy Discount</v>
      </c>
      <c r="H8780" s="37" t="str">
        <f t="shared" si="687"/>
        <v>High</v>
      </c>
      <c r="I8780">
        <v>9</v>
      </c>
      <c r="J8780" t="str" cm="1">
        <f t="array" ref="J8780">_xlfn.IFS(I8780&lt;=3,"small",I8780&lt;=6,"Medium",I8780&lt;=9,"Large")</f>
        <v>Large</v>
      </c>
      <c r="K8780" s="36">
        <v>44989</v>
      </c>
      <c r="L8780" s="36">
        <v>44992</v>
      </c>
      <c r="M8780" t="s">
        <v>598</v>
      </c>
      <c r="N8780" t="s">
        <v>599</v>
      </c>
      <c r="O8780" s="37" t="str">
        <f t="shared" si="688"/>
        <v>Digital Payment</v>
      </c>
      <c r="P8780">
        <v>296.95999999999998</v>
      </c>
      <c r="Q8780" s="37" t="str">
        <f>IF(P8780&gt;500,"High","low")</f>
        <v>low</v>
      </c>
      <c r="R8780" s="37" t="str">
        <f t="shared" si="689"/>
        <v>AVERAGE</v>
      </c>
      <c r="S8780" t="s">
        <v>600</v>
      </c>
    </row>
    <row r="8781" spans="1:19" x14ac:dyDescent="0.2">
      <c r="A8781" t="s">
        <v>9392</v>
      </c>
      <c r="B8781" t="s">
        <v>83</v>
      </c>
      <c r="C8781" t="s">
        <v>607</v>
      </c>
      <c r="D8781">
        <v>4138.78</v>
      </c>
      <c r="E8781" s="37" t="str">
        <f t="shared" si="685"/>
        <v xml:space="preserve"> </v>
      </c>
      <c r="F8781">
        <v>0.49</v>
      </c>
      <c r="G8781" s="37" t="str">
        <f t="shared" si="686"/>
        <v>Heavy Discount</v>
      </c>
      <c r="H8781" s="37" t="str">
        <f t="shared" si="687"/>
        <v>High</v>
      </c>
      <c r="I8781">
        <v>1</v>
      </c>
      <c r="J8781" t="str" cm="1">
        <f t="array" ref="J8781">_xlfn.IFS(I8781&lt;=3,"small",I8781&lt;=6,"Medium",I8781&lt;=9,"Large")</f>
        <v>small</v>
      </c>
      <c r="K8781" s="36">
        <v>45515</v>
      </c>
      <c r="L8781" s="36">
        <v>45520</v>
      </c>
      <c r="M8781" t="s">
        <v>598</v>
      </c>
      <c r="N8781" t="s">
        <v>599</v>
      </c>
      <c r="O8781" s="37" t="str">
        <f t="shared" si="688"/>
        <v>Digital Payment</v>
      </c>
      <c r="P8781">
        <v>498.25</v>
      </c>
      <c r="Q8781" s="37" t="str">
        <f>IF(P8781&gt;500,"High","low")</f>
        <v>low</v>
      </c>
      <c r="R8781" s="37" t="str">
        <f t="shared" si="689"/>
        <v>AVERAGE</v>
      </c>
      <c r="S8781" t="s">
        <v>605</v>
      </c>
    </row>
    <row r="8782" spans="1:19" x14ac:dyDescent="0.2">
      <c r="A8782" t="s">
        <v>9393</v>
      </c>
      <c r="B8782" t="s">
        <v>75</v>
      </c>
      <c r="C8782" t="s">
        <v>607</v>
      </c>
      <c r="D8782">
        <v>4511.46</v>
      </c>
      <c r="E8782" s="37" t="str">
        <f t="shared" si="685"/>
        <v xml:space="preserve"> </v>
      </c>
      <c r="F8782">
        <v>0.28999999999999998</v>
      </c>
      <c r="G8782" s="37" t="str">
        <f t="shared" si="686"/>
        <v>Normal Discount</v>
      </c>
      <c r="H8782" s="37" t="str">
        <f t="shared" si="687"/>
        <v>Medium</v>
      </c>
      <c r="I8782">
        <v>6</v>
      </c>
      <c r="J8782" t="str" cm="1">
        <f t="array" ref="J8782">_xlfn.IFS(I8782&lt;=3,"small",I8782&lt;=6,"Medium",I8782&lt;=9,"Large")</f>
        <v>Medium</v>
      </c>
      <c r="K8782" s="36">
        <v>45456</v>
      </c>
      <c r="L8782" s="36">
        <v>45459</v>
      </c>
      <c r="M8782" t="s">
        <v>598</v>
      </c>
      <c r="N8782" t="s">
        <v>608</v>
      </c>
      <c r="O8782" s="37" t="str">
        <f t="shared" si="688"/>
        <v>Cash Payment</v>
      </c>
      <c r="P8782">
        <v>580.03</v>
      </c>
      <c r="Q8782" s="37" t="str">
        <f>IF(P8782&gt;500,"High","low")</f>
        <v>High</v>
      </c>
      <c r="R8782" s="37" t="str">
        <f t="shared" si="689"/>
        <v>Good</v>
      </c>
      <c r="S8782" t="s">
        <v>615</v>
      </c>
    </row>
    <row r="8783" spans="1:19" x14ac:dyDescent="0.2">
      <c r="A8783" t="s">
        <v>9394</v>
      </c>
      <c r="B8783" t="s">
        <v>83</v>
      </c>
      <c r="C8783" t="s">
        <v>617</v>
      </c>
      <c r="D8783">
        <v>4544.3599999999997</v>
      </c>
      <c r="E8783" s="37" t="str">
        <f t="shared" si="685"/>
        <v xml:space="preserve"> </v>
      </c>
      <c r="F8783">
        <v>0.08</v>
      </c>
      <c r="G8783" s="37" t="str">
        <f t="shared" si="686"/>
        <v>Normal Discount</v>
      </c>
      <c r="H8783" s="37" t="str">
        <f t="shared" si="687"/>
        <v>Low</v>
      </c>
      <c r="I8783">
        <v>5</v>
      </c>
      <c r="J8783" t="str" cm="1">
        <f t="array" ref="J8783">_xlfn.IFS(I8783&lt;=3,"small",I8783&lt;=6,"Medium",I8783&lt;=9,"Large")</f>
        <v>Medium</v>
      </c>
      <c r="K8783" s="36">
        <v>45604</v>
      </c>
      <c r="L8783" s="36">
        <v>45611</v>
      </c>
      <c r="M8783" t="s">
        <v>612</v>
      </c>
      <c r="N8783" t="s">
        <v>599</v>
      </c>
      <c r="O8783" s="37" t="str">
        <f t="shared" si="688"/>
        <v>Digital Payment</v>
      </c>
      <c r="P8783">
        <v>370.71</v>
      </c>
      <c r="Q8783" s="37" t="str">
        <f>IF(P8783&gt;500,"High","low")</f>
        <v>low</v>
      </c>
      <c r="R8783" s="37" t="str">
        <f t="shared" si="689"/>
        <v>AVERAGE</v>
      </c>
      <c r="S8783" t="s">
        <v>600</v>
      </c>
    </row>
    <row r="8784" spans="1:19" x14ac:dyDescent="0.2">
      <c r="A8784" t="s">
        <v>9395</v>
      </c>
      <c r="B8784" t="s">
        <v>67</v>
      </c>
      <c r="C8784" t="s">
        <v>602</v>
      </c>
      <c r="D8784">
        <v>1938.18</v>
      </c>
      <c r="E8784" s="37" t="str">
        <f t="shared" si="685"/>
        <v xml:space="preserve"> </v>
      </c>
      <c r="F8784">
        <v>0.39</v>
      </c>
      <c r="G8784" s="37" t="str">
        <f t="shared" si="686"/>
        <v>Heavy Discount</v>
      </c>
      <c r="H8784" s="37" t="str">
        <f t="shared" si="687"/>
        <v>Medium</v>
      </c>
      <c r="I8784">
        <v>4</v>
      </c>
      <c r="J8784" t="str" cm="1">
        <f t="array" ref="J8784">_xlfn.IFS(I8784&lt;=3,"small",I8784&lt;=6,"Medium",I8784&lt;=9,"Large")</f>
        <v>Medium</v>
      </c>
      <c r="K8784" s="36">
        <v>45074</v>
      </c>
      <c r="L8784" s="36">
        <v>45076</v>
      </c>
      <c r="M8784" t="s">
        <v>612</v>
      </c>
      <c r="N8784" t="s">
        <v>608</v>
      </c>
      <c r="O8784" s="37" t="str">
        <f t="shared" si="688"/>
        <v>Cash Payment</v>
      </c>
      <c r="P8784">
        <v>165.1</v>
      </c>
      <c r="Q8784" s="37" t="str">
        <f>IF(P8784&gt;500,"High","low")</f>
        <v>low</v>
      </c>
      <c r="R8784" s="37" t="str">
        <f t="shared" si="689"/>
        <v>AVERAGE</v>
      </c>
      <c r="S8784" t="s">
        <v>628</v>
      </c>
    </row>
    <row r="8785" spans="1:19" x14ac:dyDescent="0.2">
      <c r="A8785" t="s">
        <v>9396</v>
      </c>
      <c r="B8785" t="s">
        <v>75</v>
      </c>
      <c r="C8785" t="s">
        <v>597</v>
      </c>
      <c r="D8785">
        <v>1592.81</v>
      </c>
      <c r="E8785" s="37" t="str">
        <f t="shared" si="685"/>
        <v xml:space="preserve"> </v>
      </c>
      <c r="F8785">
        <v>0.5</v>
      </c>
      <c r="G8785" s="37" t="str">
        <f t="shared" si="686"/>
        <v>Heavy Discount</v>
      </c>
      <c r="H8785" s="37" t="str">
        <f t="shared" si="687"/>
        <v>High</v>
      </c>
      <c r="I8785">
        <v>1</v>
      </c>
      <c r="J8785" t="str" cm="1">
        <f t="array" ref="J8785">_xlfn.IFS(I8785&lt;=3,"small",I8785&lt;=6,"Medium",I8785&lt;=9,"Large")</f>
        <v>small</v>
      </c>
      <c r="K8785" s="36">
        <v>45112</v>
      </c>
      <c r="L8785" s="36">
        <v>45115</v>
      </c>
      <c r="M8785" t="s">
        <v>603</v>
      </c>
      <c r="N8785" t="s">
        <v>599</v>
      </c>
      <c r="O8785" s="37" t="str">
        <f t="shared" si="688"/>
        <v>Digital Payment</v>
      </c>
      <c r="P8785">
        <v>176.04</v>
      </c>
      <c r="Q8785" s="37" t="str">
        <f>IF(P8785&gt;500,"High","low")</f>
        <v>low</v>
      </c>
      <c r="R8785" s="37" t="str">
        <f t="shared" si="689"/>
        <v>AVERAGE</v>
      </c>
      <c r="S8785" t="s">
        <v>615</v>
      </c>
    </row>
    <row r="8786" spans="1:19" x14ac:dyDescent="0.2">
      <c r="A8786" t="s">
        <v>9397</v>
      </c>
      <c r="B8786" t="s">
        <v>75</v>
      </c>
      <c r="C8786" t="s">
        <v>597</v>
      </c>
      <c r="D8786">
        <v>2300.77</v>
      </c>
      <c r="E8786" s="37" t="str">
        <f t="shared" si="685"/>
        <v xml:space="preserve"> </v>
      </c>
      <c r="F8786">
        <v>0.24</v>
      </c>
      <c r="G8786" s="37" t="str">
        <f t="shared" si="686"/>
        <v>Normal Discount</v>
      </c>
      <c r="H8786" s="37" t="str">
        <f t="shared" si="687"/>
        <v>Medium</v>
      </c>
      <c r="I8786">
        <v>7</v>
      </c>
      <c r="J8786" t="str" cm="1">
        <f t="array" ref="J8786">_xlfn.IFS(I8786&lt;=3,"small",I8786&lt;=6,"Medium",I8786&lt;=9,"Large")</f>
        <v>Large</v>
      </c>
      <c r="K8786" s="36">
        <v>45514</v>
      </c>
      <c r="L8786" s="36">
        <v>45517</v>
      </c>
      <c r="M8786" t="s">
        <v>603</v>
      </c>
      <c r="N8786" t="s">
        <v>604</v>
      </c>
      <c r="O8786" s="37" t="str">
        <f t="shared" si="688"/>
        <v>Digital Payment</v>
      </c>
      <c r="P8786">
        <v>214</v>
      </c>
      <c r="Q8786" s="37" t="str">
        <f>IF(P8786&gt;500,"High","low")</f>
        <v>low</v>
      </c>
      <c r="R8786" s="37" t="str">
        <f t="shared" si="689"/>
        <v>AVERAGE</v>
      </c>
      <c r="S8786" t="s">
        <v>609</v>
      </c>
    </row>
    <row r="8787" spans="1:19" x14ac:dyDescent="0.2">
      <c r="A8787" t="s">
        <v>9398</v>
      </c>
      <c r="B8787" t="s">
        <v>67</v>
      </c>
      <c r="C8787" t="s">
        <v>617</v>
      </c>
      <c r="D8787">
        <v>1785.53</v>
      </c>
      <c r="E8787" s="37" t="str">
        <f t="shared" si="685"/>
        <v xml:space="preserve"> </v>
      </c>
      <c r="F8787">
        <v>0.19</v>
      </c>
      <c r="G8787" s="37" t="str">
        <f t="shared" si="686"/>
        <v>Normal Discount</v>
      </c>
      <c r="H8787" s="37" t="str">
        <f t="shared" si="687"/>
        <v>Low</v>
      </c>
      <c r="I8787">
        <v>1</v>
      </c>
      <c r="J8787" t="str" cm="1">
        <f t="array" ref="J8787">_xlfn.IFS(I8787&lt;=3,"small",I8787&lt;=6,"Medium",I8787&lt;=9,"Large")</f>
        <v>small</v>
      </c>
      <c r="K8787" s="36">
        <v>45466</v>
      </c>
      <c r="L8787" s="36">
        <v>45470</v>
      </c>
      <c r="M8787" t="s">
        <v>603</v>
      </c>
      <c r="N8787" t="s">
        <v>599</v>
      </c>
      <c r="O8787" s="37" t="str">
        <f t="shared" si="688"/>
        <v>Digital Payment</v>
      </c>
      <c r="P8787">
        <v>240.01</v>
      </c>
      <c r="Q8787" s="37" t="str">
        <f>IF(P8787&gt;500,"High","low")</f>
        <v>low</v>
      </c>
      <c r="R8787" s="37" t="str">
        <f t="shared" si="689"/>
        <v>AVERAGE</v>
      </c>
      <c r="S8787" t="s">
        <v>609</v>
      </c>
    </row>
    <row r="8788" spans="1:19" x14ac:dyDescent="0.2">
      <c r="A8788" t="s">
        <v>9399</v>
      </c>
      <c r="B8788" t="s">
        <v>75</v>
      </c>
      <c r="C8788" t="s">
        <v>614</v>
      </c>
      <c r="D8788">
        <v>3622.37</v>
      </c>
      <c r="E8788" s="37" t="str">
        <f t="shared" si="685"/>
        <v xml:space="preserve"> </v>
      </c>
      <c r="F8788">
        <v>0.28000000000000003</v>
      </c>
      <c r="G8788" s="37" t="str">
        <f t="shared" si="686"/>
        <v>Normal Discount</v>
      </c>
      <c r="H8788" s="37" t="str">
        <f t="shared" si="687"/>
        <v>Medium</v>
      </c>
      <c r="I8788">
        <v>1</v>
      </c>
      <c r="J8788" t="str" cm="1">
        <f t="array" ref="J8788">_xlfn.IFS(I8788&lt;=3,"small",I8788&lt;=6,"Medium",I8788&lt;=9,"Large")</f>
        <v>small</v>
      </c>
      <c r="K8788" s="36">
        <v>44970</v>
      </c>
      <c r="L8788" s="36">
        <v>44977</v>
      </c>
      <c r="M8788" t="s">
        <v>612</v>
      </c>
      <c r="N8788" t="s">
        <v>599</v>
      </c>
      <c r="O8788" s="37" t="str">
        <f t="shared" si="688"/>
        <v>Digital Payment</v>
      </c>
      <c r="P8788">
        <v>308.05</v>
      </c>
      <c r="Q8788" s="37" t="str">
        <f>IF(P8788&gt;500,"High","low")</f>
        <v>low</v>
      </c>
      <c r="R8788" s="37" t="str">
        <f t="shared" si="689"/>
        <v>AVERAGE</v>
      </c>
      <c r="S8788" t="s">
        <v>600</v>
      </c>
    </row>
    <row r="8789" spans="1:19" x14ac:dyDescent="0.2">
      <c r="A8789" t="s">
        <v>9400</v>
      </c>
      <c r="B8789" t="s">
        <v>83</v>
      </c>
      <c r="C8789" t="s">
        <v>614</v>
      </c>
      <c r="D8789">
        <v>1146.5</v>
      </c>
      <c r="E8789" s="37" t="str">
        <f t="shared" si="685"/>
        <v xml:space="preserve"> </v>
      </c>
      <c r="F8789">
        <v>0.08</v>
      </c>
      <c r="G8789" s="37" t="str">
        <f t="shared" si="686"/>
        <v>Normal Discount</v>
      </c>
      <c r="H8789" s="37" t="str">
        <f t="shared" si="687"/>
        <v>Low</v>
      </c>
      <c r="I8789">
        <v>2</v>
      </c>
      <c r="J8789" t="str" cm="1">
        <f t="array" ref="J8789">_xlfn.IFS(I8789&lt;=3,"small",I8789&lt;=6,"Medium",I8789&lt;=9,"Large")</f>
        <v>small</v>
      </c>
      <c r="K8789" s="36">
        <v>45575</v>
      </c>
      <c r="L8789" s="36">
        <v>45582</v>
      </c>
      <c r="M8789" t="s">
        <v>598</v>
      </c>
      <c r="N8789" t="s">
        <v>608</v>
      </c>
      <c r="O8789" s="37" t="str">
        <f t="shared" si="688"/>
        <v>Cash Payment</v>
      </c>
      <c r="P8789">
        <v>219.44</v>
      </c>
      <c r="Q8789" s="37" t="str">
        <f>IF(P8789&gt;500,"High","low")</f>
        <v>low</v>
      </c>
      <c r="R8789" s="37" t="str">
        <f t="shared" si="689"/>
        <v>AVERAGE</v>
      </c>
      <c r="S8789" t="s">
        <v>615</v>
      </c>
    </row>
    <row r="8790" spans="1:19" x14ac:dyDescent="0.2">
      <c r="A8790" t="s">
        <v>9401</v>
      </c>
      <c r="B8790" t="s">
        <v>90</v>
      </c>
      <c r="C8790" t="s">
        <v>597</v>
      </c>
      <c r="D8790">
        <v>3327.55</v>
      </c>
      <c r="E8790" s="37" t="str">
        <f t="shared" si="685"/>
        <v xml:space="preserve"> </v>
      </c>
      <c r="F8790">
        <v>0.49</v>
      </c>
      <c r="G8790" s="37" t="str">
        <f t="shared" si="686"/>
        <v>Heavy Discount</v>
      </c>
      <c r="H8790" s="37" t="str">
        <f t="shared" si="687"/>
        <v>High</v>
      </c>
      <c r="I8790">
        <v>9</v>
      </c>
      <c r="J8790" t="str" cm="1">
        <f t="array" ref="J8790">_xlfn.IFS(I8790&lt;=3,"small",I8790&lt;=6,"Medium",I8790&lt;=9,"Large")</f>
        <v>Large</v>
      </c>
      <c r="K8790" s="36">
        <v>45288</v>
      </c>
      <c r="L8790" s="36">
        <v>45293</v>
      </c>
      <c r="M8790" t="s">
        <v>612</v>
      </c>
      <c r="N8790" t="s">
        <v>608</v>
      </c>
      <c r="O8790" s="37" t="str">
        <f t="shared" si="688"/>
        <v>Cash Payment</v>
      </c>
      <c r="P8790">
        <v>957.21</v>
      </c>
      <c r="Q8790" s="37" t="str">
        <f>IF(P8790&gt;500,"High","low")</f>
        <v>High</v>
      </c>
      <c r="R8790" s="37" t="str">
        <f t="shared" si="689"/>
        <v>Good</v>
      </c>
      <c r="S8790" t="s">
        <v>620</v>
      </c>
    </row>
    <row r="8791" spans="1:19" x14ac:dyDescent="0.2">
      <c r="A8791" t="s">
        <v>9402</v>
      </c>
      <c r="B8791" t="s">
        <v>67</v>
      </c>
      <c r="C8791" t="s">
        <v>602</v>
      </c>
      <c r="D8791">
        <v>4642.24</v>
      </c>
      <c r="E8791" s="37" t="str">
        <f t="shared" si="685"/>
        <v>Excellent Order</v>
      </c>
      <c r="F8791">
        <v>0.42</v>
      </c>
      <c r="G8791" s="37" t="str">
        <f t="shared" si="686"/>
        <v>Heavy Discount</v>
      </c>
      <c r="H8791" s="37" t="str">
        <f t="shared" si="687"/>
        <v>High</v>
      </c>
      <c r="I8791">
        <v>1</v>
      </c>
      <c r="J8791" t="str" cm="1">
        <f t="array" ref="J8791">_xlfn.IFS(I8791&lt;=3,"small",I8791&lt;=6,"Medium",I8791&lt;=9,"Large")</f>
        <v>small</v>
      </c>
      <c r="K8791" s="36">
        <v>45039</v>
      </c>
      <c r="L8791" s="36">
        <v>45041</v>
      </c>
      <c r="M8791" t="s">
        <v>598</v>
      </c>
      <c r="N8791" t="s">
        <v>604</v>
      </c>
      <c r="O8791" s="37" t="str">
        <f t="shared" si="688"/>
        <v>Digital Payment</v>
      </c>
      <c r="P8791">
        <v>810.19</v>
      </c>
      <c r="Q8791" s="37" t="str">
        <f>IF(P8791&gt;500,"High","low")</f>
        <v>High</v>
      </c>
      <c r="R8791" s="37" t="str">
        <f t="shared" si="689"/>
        <v>Good</v>
      </c>
      <c r="S8791" t="s">
        <v>609</v>
      </c>
    </row>
    <row r="8792" spans="1:19" x14ac:dyDescent="0.2">
      <c r="A8792" t="s">
        <v>9403</v>
      </c>
      <c r="B8792" t="s">
        <v>83</v>
      </c>
      <c r="C8792" t="s">
        <v>614</v>
      </c>
      <c r="D8792">
        <v>1471.58</v>
      </c>
      <c r="E8792" s="37" t="str">
        <f t="shared" si="685"/>
        <v xml:space="preserve"> </v>
      </c>
      <c r="F8792">
        <v>0.06</v>
      </c>
      <c r="G8792" s="37" t="str">
        <f t="shared" si="686"/>
        <v>Normal Discount</v>
      </c>
      <c r="H8792" s="37" t="str">
        <f t="shared" si="687"/>
        <v>Low</v>
      </c>
      <c r="I8792">
        <v>8</v>
      </c>
      <c r="J8792" t="str" cm="1">
        <f t="array" ref="J8792">_xlfn.IFS(I8792&lt;=3,"small",I8792&lt;=6,"Medium",I8792&lt;=9,"Large")</f>
        <v>Large</v>
      </c>
      <c r="K8792" s="36">
        <v>45087</v>
      </c>
      <c r="L8792" s="36">
        <v>45090</v>
      </c>
      <c r="M8792" t="s">
        <v>598</v>
      </c>
      <c r="N8792" t="s">
        <v>599</v>
      </c>
      <c r="O8792" s="37" t="str">
        <f t="shared" si="688"/>
        <v>Digital Payment</v>
      </c>
      <c r="P8792">
        <v>237.85</v>
      </c>
      <c r="Q8792" s="37" t="str">
        <f>IF(P8792&gt;500,"High","low")</f>
        <v>low</v>
      </c>
      <c r="R8792" s="37" t="str">
        <f t="shared" si="689"/>
        <v>AVERAGE</v>
      </c>
      <c r="S8792" t="s">
        <v>615</v>
      </c>
    </row>
    <row r="8793" spans="1:19" x14ac:dyDescent="0.2">
      <c r="A8793" t="s">
        <v>9404</v>
      </c>
      <c r="B8793" t="s">
        <v>67</v>
      </c>
      <c r="C8793" t="s">
        <v>607</v>
      </c>
      <c r="D8793">
        <v>3416.76</v>
      </c>
      <c r="E8793" s="37" t="str">
        <f t="shared" si="685"/>
        <v xml:space="preserve"> </v>
      </c>
      <c r="F8793">
        <v>0.47</v>
      </c>
      <c r="G8793" s="37" t="str">
        <f t="shared" si="686"/>
        <v>Heavy Discount</v>
      </c>
      <c r="H8793" s="37" t="str">
        <f t="shared" si="687"/>
        <v>High</v>
      </c>
      <c r="I8793">
        <v>1</v>
      </c>
      <c r="J8793" t="str" cm="1">
        <f t="array" ref="J8793">_xlfn.IFS(I8793&lt;=3,"small",I8793&lt;=6,"Medium",I8793&lt;=9,"Large")</f>
        <v>small</v>
      </c>
      <c r="K8793" s="36">
        <v>45544</v>
      </c>
      <c r="L8793" s="36">
        <v>45546</v>
      </c>
      <c r="M8793" t="s">
        <v>612</v>
      </c>
      <c r="N8793" t="s">
        <v>599</v>
      </c>
      <c r="O8793" s="37" t="str">
        <f t="shared" si="688"/>
        <v>Digital Payment</v>
      </c>
      <c r="P8793">
        <v>329.51</v>
      </c>
      <c r="Q8793" s="37" t="str">
        <f>IF(P8793&gt;500,"High","low")</f>
        <v>low</v>
      </c>
      <c r="R8793" s="37" t="str">
        <f t="shared" si="689"/>
        <v>AVERAGE</v>
      </c>
      <c r="S8793" t="s">
        <v>609</v>
      </c>
    </row>
    <row r="8794" spans="1:19" x14ac:dyDescent="0.2">
      <c r="A8794" t="s">
        <v>9405</v>
      </c>
      <c r="B8794" t="s">
        <v>67</v>
      </c>
      <c r="C8794" t="s">
        <v>617</v>
      </c>
      <c r="D8794">
        <v>803.45</v>
      </c>
      <c r="E8794" s="37" t="str">
        <f t="shared" si="685"/>
        <v xml:space="preserve"> </v>
      </c>
      <c r="F8794">
        <v>0.47</v>
      </c>
      <c r="G8794" s="37" t="str">
        <f t="shared" si="686"/>
        <v>Heavy Discount</v>
      </c>
      <c r="H8794" s="37" t="str">
        <f t="shared" si="687"/>
        <v>High</v>
      </c>
      <c r="I8794">
        <v>1</v>
      </c>
      <c r="J8794" t="str" cm="1">
        <f t="array" ref="J8794">_xlfn.IFS(I8794&lt;=3,"small",I8794&lt;=6,"Medium",I8794&lt;=9,"Large")</f>
        <v>small</v>
      </c>
      <c r="K8794" s="36">
        <v>44935</v>
      </c>
      <c r="L8794" s="36">
        <v>44941</v>
      </c>
      <c r="M8794" t="s">
        <v>598</v>
      </c>
      <c r="N8794" t="s">
        <v>599</v>
      </c>
      <c r="O8794" s="37" t="str">
        <f t="shared" si="688"/>
        <v>Digital Payment</v>
      </c>
      <c r="P8794">
        <v>84.84</v>
      </c>
      <c r="Q8794" s="37" t="str">
        <f>IF(P8794&gt;500,"High","low")</f>
        <v>low</v>
      </c>
      <c r="R8794" s="37" t="str">
        <f t="shared" si="689"/>
        <v>AVERAGE</v>
      </c>
      <c r="S8794" t="s">
        <v>615</v>
      </c>
    </row>
    <row r="8795" spans="1:19" x14ac:dyDescent="0.2">
      <c r="A8795" t="s">
        <v>9406</v>
      </c>
      <c r="B8795" t="s">
        <v>75</v>
      </c>
      <c r="C8795" t="s">
        <v>602</v>
      </c>
      <c r="D8795">
        <v>694.78</v>
      </c>
      <c r="E8795" s="37" t="str">
        <f t="shared" si="685"/>
        <v xml:space="preserve"> </v>
      </c>
      <c r="F8795">
        <v>0.16</v>
      </c>
      <c r="G8795" s="37" t="str">
        <f t="shared" si="686"/>
        <v>Normal Discount</v>
      </c>
      <c r="H8795" s="37" t="str">
        <f t="shared" si="687"/>
        <v>Low</v>
      </c>
      <c r="I8795">
        <v>9</v>
      </c>
      <c r="J8795" t="str" cm="1">
        <f t="array" ref="J8795">_xlfn.IFS(I8795&lt;=3,"small",I8795&lt;=6,"Medium",I8795&lt;=9,"Large")</f>
        <v>Large</v>
      </c>
      <c r="K8795" s="36">
        <v>45652</v>
      </c>
      <c r="L8795" s="36">
        <v>45657</v>
      </c>
      <c r="M8795" t="s">
        <v>612</v>
      </c>
      <c r="N8795" t="s">
        <v>604</v>
      </c>
      <c r="O8795" s="37" t="str">
        <f t="shared" si="688"/>
        <v>Digital Payment</v>
      </c>
      <c r="P8795">
        <v>142.76</v>
      </c>
      <c r="Q8795" s="37" t="str">
        <f>IF(P8795&gt;500,"High","low")</f>
        <v>low</v>
      </c>
      <c r="R8795" s="37" t="str">
        <f t="shared" si="689"/>
        <v>AVERAGE</v>
      </c>
      <c r="S8795" t="s">
        <v>615</v>
      </c>
    </row>
    <row r="8796" spans="1:19" x14ac:dyDescent="0.2">
      <c r="A8796" t="s">
        <v>9407</v>
      </c>
      <c r="B8796" t="s">
        <v>75</v>
      </c>
      <c r="C8796" t="s">
        <v>614</v>
      </c>
      <c r="D8796">
        <v>666.66</v>
      </c>
      <c r="E8796" s="37" t="str">
        <f t="shared" si="685"/>
        <v xml:space="preserve"> </v>
      </c>
      <c r="F8796">
        <v>0.31</v>
      </c>
      <c r="G8796" s="37" t="str">
        <f t="shared" si="686"/>
        <v>Heavy Discount</v>
      </c>
      <c r="H8796" s="37" t="str">
        <f t="shared" si="687"/>
        <v>Medium</v>
      </c>
      <c r="I8796">
        <v>8</v>
      </c>
      <c r="J8796" t="str" cm="1">
        <f t="array" ref="J8796">_xlfn.IFS(I8796&lt;=3,"small",I8796&lt;=6,"Medium",I8796&lt;=9,"Large")</f>
        <v>Large</v>
      </c>
      <c r="K8796" s="36">
        <v>45244</v>
      </c>
      <c r="L8796" s="36">
        <v>45251</v>
      </c>
      <c r="M8796" t="s">
        <v>612</v>
      </c>
      <c r="N8796" t="s">
        <v>604</v>
      </c>
      <c r="O8796" s="37" t="str">
        <f t="shared" si="688"/>
        <v>Digital Payment</v>
      </c>
      <c r="P8796">
        <v>52.97</v>
      </c>
      <c r="Q8796" s="37" t="str">
        <f>IF(P8796&gt;500,"High","low")</f>
        <v>low</v>
      </c>
      <c r="R8796" s="37" t="str">
        <f t="shared" si="689"/>
        <v>AVERAGE</v>
      </c>
      <c r="S8796" t="s">
        <v>600</v>
      </c>
    </row>
    <row r="8797" spans="1:19" x14ac:dyDescent="0.2">
      <c r="A8797" t="s">
        <v>9408</v>
      </c>
      <c r="B8797" t="s">
        <v>83</v>
      </c>
      <c r="C8797" t="s">
        <v>597</v>
      </c>
      <c r="D8797">
        <v>778.79</v>
      </c>
      <c r="E8797" s="37" t="str">
        <f t="shared" si="685"/>
        <v xml:space="preserve"> </v>
      </c>
      <c r="F8797">
        <v>0.06</v>
      </c>
      <c r="G8797" s="37" t="str">
        <f t="shared" si="686"/>
        <v>Normal Discount</v>
      </c>
      <c r="H8797" s="37" t="str">
        <f t="shared" si="687"/>
        <v>Low</v>
      </c>
      <c r="I8797">
        <v>1</v>
      </c>
      <c r="J8797" t="str" cm="1">
        <f t="array" ref="J8797">_xlfn.IFS(I8797&lt;=3,"small",I8797&lt;=6,"Medium",I8797&lt;=9,"Large")</f>
        <v>small</v>
      </c>
      <c r="K8797" s="36">
        <v>45251</v>
      </c>
      <c r="L8797" s="36">
        <v>45258</v>
      </c>
      <c r="M8797" t="s">
        <v>612</v>
      </c>
      <c r="N8797" t="s">
        <v>604</v>
      </c>
      <c r="O8797" s="37" t="str">
        <f t="shared" si="688"/>
        <v>Digital Payment</v>
      </c>
      <c r="P8797">
        <v>73.400000000000006</v>
      </c>
      <c r="Q8797" s="37" t="str">
        <f>IF(P8797&gt;500,"High","low")</f>
        <v>low</v>
      </c>
      <c r="R8797" s="37" t="str">
        <f t="shared" si="689"/>
        <v>AVERAGE</v>
      </c>
      <c r="S8797" t="s">
        <v>628</v>
      </c>
    </row>
    <row r="8798" spans="1:19" x14ac:dyDescent="0.2">
      <c r="A8798" t="s">
        <v>9409</v>
      </c>
      <c r="B8798" t="s">
        <v>67</v>
      </c>
      <c r="C8798" t="s">
        <v>617</v>
      </c>
      <c r="D8798">
        <v>1159.21</v>
      </c>
      <c r="E8798" s="37" t="str">
        <f t="shared" si="685"/>
        <v xml:space="preserve"> </v>
      </c>
      <c r="F8798">
        <v>0.04</v>
      </c>
      <c r="G8798" s="37" t="str">
        <f t="shared" si="686"/>
        <v>Normal Discount</v>
      </c>
      <c r="H8798" s="37" t="str">
        <f t="shared" si="687"/>
        <v>Low</v>
      </c>
      <c r="I8798">
        <v>7</v>
      </c>
      <c r="J8798" t="str" cm="1">
        <f t="array" ref="J8798">_xlfn.IFS(I8798&lt;=3,"small",I8798&lt;=6,"Medium",I8798&lt;=9,"Large")</f>
        <v>Large</v>
      </c>
      <c r="K8798" s="36">
        <v>45044</v>
      </c>
      <c r="L8798" s="36">
        <v>45045</v>
      </c>
      <c r="M8798" t="s">
        <v>603</v>
      </c>
      <c r="N8798" t="s">
        <v>608</v>
      </c>
      <c r="O8798" s="37" t="str">
        <f t="shared" si="688"/>
        <v>Cash Payment</v>
      </c>
      <c r="P8798">
        <v>227.62</v>
      </c>
      <c r="Q8798" s="37" t="str">
        <f>IF(P8798&gt;500,"High","low")</f>
        <v>low</v>
      </c>
      <c r="R8798" s="37" t="str">
        <f t="shared" si="689"/>
        <v>AVERAGE</v>
      </c>
      <c r="S8798" t="s">
        <v>628</v>
      </c>
    </row>
    <row r="8799" spans="1:19" x14ac:dyDescent="0.2">
      <c r="A8799" t="s">
        <v>9410</v>
      </c>
      <c r="B8799" t="s">
        <v>75</v>
      </c>
      <c r="C8799" t="s">
        <v>614</v>
      </c>
      <c r="D8799">
        <v>2857.87</v>
      </c>
      <c r="E8799" s="37" t="str">
        <f t="shared" si="685"/>
        <v xml:space="preserve"> </v>
      </c>
      <c r="F8799">
        <v>0.25</v>
      </c>
      <c r="G8799" s="37" t="str">
        <f t="shared" si="686"/>
        <v>Normal Discount</v>
      </c>
      <c r="H8799" s="37" t="str">
        <f t="shared" si="687"/>
        <v>Medium</v>
      </c>
      <c r="I8799">
        <v>8</v>
      </c>
      <c r="J8799" t="str" cm="1">
        <f t="array" ref="J8799">_xlfn.IFS(I8799&lt;=3,"small",I8799&lt;=6,"Medium",I8799&lt;=9,"Large")</f>
        <v>Large</v>
      </c>
      <c r="K8799" s="36">
        <v>45312</v>
      </c>
      <c r="L8799" s="36">
        <v>45316</v>
      </c>
      <c r="M8799" t="s">
        <v>598</v>
      </c>
      <c r="N8799" t="s">
        <v>608</v>
      </c>
      <c r="O8799" s="37" t="str">
        <f t="shared" si="688"/>
        <v>Cash Payment</v>
      </c>
      <c r="P8799">
        <v>668.12</v>
      </c>
      <c r="Q8799" s="37" t="str">
        <f>IF(P8799&gt;500,"High","low")</f>
        <v>High</v>
      </c>
      <c r="R8799" s="37" t="str">
        <f t="shared" si="689"/>
        <v>Good</v>
      </c>
      <c r="S8799" t="s">
        <v>615</v>
      </c>
    </row>
    <row r="8800" spans="1:19" x14ac:dyDescent="0.2">
      <c r="A8800" t="s">
        <v>9411</v>
      </c>
      <c r="B8800" t="s">
        <v>75</v>
      </c>
      <c r="C8800" t="s">
        <v>597</v>
      </c>
      <c r="D8800">
        <v>3858.23</v>
      </c>
      <c r="E8800" s="37" t="str">
        <f t="shared" si="685"/>
        <v xml:space="preserve"> </v>
      </c>
      <c r="F8800">
        <v>0.02</v>
      </c>
      <c r="G8800" s="37" t="str">
        <f t="shared" si="686"/>
        <v>Normal Discount</v>
      </c>
      <c r="H8800" s="37" t="str">
        <f t="shared" si="687"/>
        <v>Low</v>
      </c>
      <c r="I8800">
        <v>2</v>
      </c>
      <c r="J8800" t="str" cm="1">
        <f t="array" ref="J8800">_xlfn.IFS(I8800&lt;=3,"small",I8800&lt;=6,"Medium",I8800&lt;=9,"Large")</f>
        <v>small</v>
      </c>
      <c r="K8800" s="36">
        <v>45132</v>
      </c>
      <c r="L8800" s="36">
        <v>45136</v>
      </c>
      <c r="M8800" t="s">
        <v>603</v>
      </c>
      <c r="N8800" t="s">
        <v>604</v>
      </c>
      <c r="O8800" s="37" t="str">
        <f t="shared" si="688"/>
        <v>Digital Payment</v>
      </c>
      <c r="P8800">
        <v>1101.4100000000001</v>
      </c>
      <c r="Q8800" s="37" t="str">
        <f>IF(P8800&gt;500,"High","low")</f>
        <v>High</v>
      </c>
      <c r="R8800" s="37" t="str">
        <f t="shared" si="689"/>
        <v>Excellent</v>
      </c>
      <c r="S8800" t="s">
        <v>615</v>
      </c>
    </row>
    <row r="8801" spans="1:19" x14ac:dyDescent="0.2">
      <c r="A8801" t="s">
        <v>9412</v>
      </c>
      <c r="B8801" t="s">
        <v>67</v>
      </c>
      <c r="C8801" t="s">
        <v>614</v>
      </c>
      <c r="D8801">
        <v>721.6</v>
      </c>
      <c r="E8801" s="37" t="str">
        <f t="shared" si="685"/>
        <v xml:space="preserve"> </v>
      </c>
      <c r="F8801">
        <v>0.44</v>
      </c>
      <c r="G8801" s="37" t="str">
        <f t="shared" si="686"/>
        <v>Heavy Discount</v>
      </c>
      <c r="H8801" s="37" t="str">
        <f t="shared" si="687"/>
        <v>High</v>
      </c>
      <c r="I8801">
        <v>4</v>
      </c>
      <c r="J8801" t="str" cm="1">
        <f t="array" ref="J8801">_xlfn.IFS(I8801&lt;=3,"small",I8801&lt;=6,"Medium",I8801&lt;=9,"Large")</f>
        <v>Medium</v>
      </c>
      <c r="K8801" s="36">
        <v>45642</v>
      </c>
      <c r="L8801" s="36">
        <v>45647</v>
      </c>
      <c r="M8801" t="s">
        <v>603</v>
      </c>
      <c r="N8801" t="s">
        <v>608</v>
      </c>
      <c r="O8801" s="37" t="str">
        <f t="shared" si="688"/>
        <v>Cash Payment</v>
      </c>
      <c r="P8801">
        <v>67.98</v>
      </c>
      <c r="Q8801" s="37" t="str">
        <f>IF(P8801&gt;500,"High","low")</f>
        <v>low</v>
      </c>
      <c r="R8801" s="37" t="str">
        <f t="shared" si="689"/>
        <v>AVERAGE</v>
      </c>
      <c r="S8801" t="s">
        <v>609</v>
      </c>
    </row>
    <row r="8802" spans="1:19" x14ac:dyDescent="0.2">
      <c r="A8802" t="s">
        <v>9413</v>
      </c>
      <c r="B8802" t="s">
        <v>83</v>
      </c>
      <c r="C8802" t="s">
        <v>617</v>
      </c>
      <c r="D8802">
        <v>4363.07</v>
      </c>
      <c r="E8802" s="37" t="str">
        <f t="shared" si="685"/>
        <v>Excellent Order</v>
      </c>
      <c r="F8802">
        <v>0.46</v>
      </c>
      <c r="G8802" s="37" t="str">
        <f t="shared" si="686"/>
        <v>Heavy Discount</v>
      </c>
      <c r="H8802" s="37" t="str">
        <f t="shared" si="687"/>
        <v>High</v>
      </c>
      <c r="I8802">
        <v>2</v>
      </c>
      <c r="J8802" t="str" cm="1">
        <f t="array" ref="J8802">_xlfn.IFS(I8802&lt;=3,"small",I8802&lt;=6,"Medium",I8802&lt;=9,"Large")</f>
        <v>small</v>
      </c>
      <c r="K8802" s="36">
        <v>44955</v>
      </c>
      <c r="L8802" s="36">
        <v>44959</v>
      </c>
      <c r="M8802" t="s">
        <v>598</v>
      </c>
      <c r="N8802" t="s">
        <v>608</v>
      </c>
      <c r="O8802" s="37" t="str">
        <f t="shared" si="688"/>
        <v>Cash Payment</v>
      </c>
      <c r="P8802">
        <v>1000.96</v>
      </c>
      <c r="Q8802" s="37" t="str">
        <f>IF(P8802&gt;500,"High","low")</f>
        <v>High</v>
      </c>
      <c r="R8802" s="37" t="str">
        <f t="shared" si="689"/>
        <v>Excellent</v>
      </c>
      <c r="S8802" t="s">
        <v>615</v>
      </c>
    </row>
    <row r="8803" spans="1:19" x14ac:dyDescent="0.2">
      <c r="A8803" t="s">
        <v>9414</v>
      </c>
      <c r="B8803" t="s">
        <v>83</v>
      </c>
      <c r="C8803" t="s">
        <v>607</v>
      </c>
      <c r="D8803">
        <v>4229.3100000000004</v>
      </c>
      <c r="E8803" s="37" t="str">
        <f t="shared" si="685"/>
        <v xml:space="preserve"> </v>
      </c>
      <c r="F8803">
        <v>0.03</v>
      </c>
      <c r="G8803" s="37" t="str">
        <f t="shared" si="686"/>
        <v>Normal Discount</v>
      </c>
      <c r="H8803" s="37" t="str">
        <f t="shared" si="687"/>
        <v>Low</v>
      </c>
      <c r="I8803">
        <v>6</v>
      </c>
      <c r="J8803" t="str" cm="1">
        <f t="array" ref="J8803">_xlfn.IFS(I8803&lt;=3,"small",I8803&lt;=6,"Medium",I8803&lt;=9,"Large")</f>
        <v>Medium</v>
      </c>
      <c r="K8803" s="36">
        <v>45134</v>
      </c>
      <c r="L8803" s="36">
        <v>45135</v>
      </c>
      <c r="M8803" t="s">
        <v>612</v>
      </c>
      <c r="N8803" t="s">
        <v>604</v>
      </c>
      <c r="O8803" s="37" t="str">
        <f t="shared" si="688"/>
        <v>Digital Payment</v>
      </c>
      <c r="P8803">
        <v>468.56</v>
      </c>
      <c r="Q8803" s="37" t="str">
        <f>IF(P8803&gt;500,"High","low")</f>
        <v>low</v>
      </c>
      <c r="R8803" s="37" t="str">
        <f t="shared" si="689"/>
        <v>AVERAGE</v>
      </c>
      <c r="S8803" t="s">
        <v>615</v>
      </c>
    </row>
    <row r="8804" spans="1:19" x14ac:dyDescent="0.2">
      <c r="A8804" t="s">
        <v>9415</v>
      </c>
      <c r="B8804" t="s">
        <v>67</v>
      </c>
      <c r="C8804" t="s">
        <v>607</v>
      </c>
      <c r="D8804">
        <v>3664.2</v>
      </c>
      <c r="E8804" s="37" t="str">
        <f t="shared" si="685"/>
        <v xml:space="preserve"> </v>
      </c>
      <c r="F8804">
        <v>0.02</v>
      </c>
      <c r="G8804" s="37" t="str">
        <f t="shared" si="686"/>
        <v>Normal Discount</v>
      </c>
      <c r="H8804" s="37" t="str">
        <f t="shared" si="687"/>
        <v>Low</v>
      </c>
      <c r="I8804">
        <v>5</v>
      </c>
      <c r="J8804" t="str" cm="1">
        <f t="array" ref="J8804">_xlfn.IFS(I8804&lt;=3,"small",I8804&lt;=6,"Medium",I8804&lt;=9,"Large")</f>
        <v>Medium</v>
      </c>
      <c r="K8804" s="36">
        <v>45230</v>
      </c>
      <c r="L8804" s="36">
        <v>45232</v>
      </c>
      <c r="M8804" t="s">
        <v>603</v>
      </c>
      <c r="N8804" t="s">
        <v>608</v>
      </c>
      <c r="O8804" s="37" t="str">
        <f t="shared" si="688"/>
        <v>Cash Payment</v>
      </c>
      <c r="P8804">
        <v>330.05</v>
      </c>
      <c r="Q8804" s="37" t="str">
        <f>IF(P8804&gt;500,"High","low")</f>
        <v>low</v>
      </c>
      <c r="R8804" s="37" t="str">
        <f t="shared" si="689"/>
        <v>AVERAGE</v>
      </c>
      <c r="S8804" t="s">
        <v>628</v>
      </c>
    </row>
    <row r="8805" spans="1:19" x14ac:dyDescent="0.2">
      <c r="A8805" t="s">
        <v>9416</v>
      </c>
      <c r="B8805" t="s">
        <v>83</v>
      </c>
      <c r="C8805" t="s">
        <v>597</v>
      </c>
      <c r="D8805">
        <v>2187.23</v>
      </c>
      <c r="E8805" s="37" t="str">
        <f t="shared" si="685"/>
        <v xml:space="preserve"> </v>
      </c>
      <c r="F8805">
        <v>0.11</v>
      </c>
      <c r="G8805" s="37" t="str">
        <f t="shared" si="686"/>
        <v>Normal Discount</v>
      </c>
      <c r="H8805" s="37" t="str">
        <f t="shared" si="687"/>
        <v>Low</v>
      </c>
      <c r="I8805">
        <v>5</v>
      </c>
      <c r="J8805" t="str" cm="1">
        <f t="array" ref="J8805">_xlfn.IFS(I8805&lt;=3,"small",I8805&lt;=6,"Medium",I8805&lt;=9,"Large")</f>
        <v>Medium</v>
      </c>
      <c r="K8805" s="36">
        <v>45511</v>
      </c>
      <c r="L8805" s="36">
        <v>45518</v>
      </c>
      <c r="M8805" t="s">
        <v>603</v>
      </c>
      <c r="N8805" t="s">
        <v>608</v>
      </c>
      <c r="O8805" s="37" t="str">
        <f t="shared" si="688"/>
        <v>Cash Payment</v>
      </c>
      <c r="P8805">
        <v>558.28</v>
      </c>
      <c r="Q8805" s="37" t="str">
        <f>IF(P8805&gt;500,"High","low")</f>
        <v>High</v>
      </c>
      <c r="R8805" s="37" t="str">
        <f t="shared" si="689"/>
        <v>Good</v>
      </c>
      <c r="S8805" t="s">
        <v>609</v>
      </c>
    </row>
    <row r="8806" spans="1:19" x14ac:dyDescent="0.2">
      <c r="A8806" t="s">
        <v>9417</v>
      </c>
      <c r="B8806" t="s">
        <v>75</v>
      </c>
      <c r="C8806" t="s">
        <v>607</v>
      </c>
      <c r="D8806">
        <v>107.63</v>
      </c>
      <c r="E8806" s="37" t="str">
        <f t="shared" si="685"/>
        <v xml:space="preserve"> </v>
      </c>
      <c r="F8806">
        <v>0.46</v>
      </c>
      <c r="G8806" s="37" t="str">
        <f t="shared" si="686"/>
        <v>Heavy Discount</v>
      </c>
      <c r="H8806" s="37" t="str">
        <f t="shared" si="687"/>
        <v>High</v>
      </c>
      <c r="I8806">
        <v>8</v>
      </c>
      <c r="J8806" t="str" cm="1">
        <f t="array" ref="J8806">_xlfn.IFS(I8806&lt;=3,"small",I8806&lt;=6,"Medium",I8806&lt;=9,"Large")</f>
        <v>Large</v>
      </c>
      <c r="K8806" s="36">
        <v>45299</v>
      </c>
      <c r="L8806" s="36">
        <v>45302</v>
      </c>
      <c r="M8806" t="s">
        <v>612</v>
      </c>
      <c r="N8806" t="s">
        <v>604</v>
      </c>
      <c r="O8806" s="37" t="str">
        <f t="shared" si="688"/>
        <v>Digital Payment</v>
      </c>
      <c r="P8806">
        <v>13.4</v>
      </c>
      <c r="Q8806" s="37" t="str">
        <f>IF(P8806&gt;500,"High","low")</f>
        <v>low</v>
      </c>
      <c r="R8806" s="37" t="str">
        <f t="shared" si="689"/>
        <v>AVERAGE</v>
      </c>
      <c r="S8806" t="s">
        <v>620</v>
      </c>
    </row>
    <row r="8807" spans="1:19" x14ac:dyDescent="0.2">
      <c r="A8807" t="s">
        <v>9418</v>
      </c>
      <c r="B8807" t="s">
        <v>67</v>
      </c>
      <c r="C8807" t="s">
        <v>617</v>
      </c>
      <c r="D8807">
        <v>3700.35</v>
      </c>
      <c r="E8807" s="37" t="str">
        <f t="shared" si="685"/>
        <v xml:space="preserve"> </v>
      </c>
      <c r="F8807">
        <v>0.38</v>
      </c>
      <c r="G8807" s="37" t="str">
        <f t="shared" si="686"/>
        <v>Heavy Discount</v>
      </c>
      <c r="H8807" s="37" t="str">
        <f t="shared" si="687"/>
        <v>Medium</v>
      </c>
      <c r="I8807">
        <v>1</v>
      </c>
      <c r="J8807" t="str" cm="1">
        <f t="array" ref="J8807">_xlfn.IFS(I8807&lt;=3,"small",I8807&lt;=6,"Medium",I8807&lt;=9,"Large")</f>
        <v>small</v>
      </c>
      <c r="K8807" s="36">
        <v>45368</v>
      </c>
      <c r="L8807" s="36">
        <v>45375</v>
      </c>
      <c r="M8807" t="s">
        <v>612</v>
      </c>
      <c r="N8807" t="s">
        <v>604</v>
      </c>
      <c r="O8807" s="37" t="str">
        <f t="shared" si="688"/>
        <v>Digital Payment</v>
      </c>
      <c r="P8807">
        <v>491.86</v>
      </c>
      <c r="Q8807" s="37" t="str">
        <f>IF(P8807&gt;500,"High","low")</f>
        <v>low</v>
      </c>
      <c r="R8807" s="37" t="str">
        <f t="shared" si="689"/>
        <v>AVERAGE</v>
      </c>
      <c r="S8807" t="s">
        <v>609</v>
      </c>
    </row>
    <row r="8808" spans="1:19" x14ac:dyDescent="0.2">
      <c r="A8808" t="s">
        <v>9419</v>
      </c>
      <c r="B8808" t="s">
        <v>75</v>
      </c>
      <c r="C8808" t="s">
        <v>597</v>
      </c>
      <c r="D8808">
        <v>4407.03</v>
      </c>
      <c r="E8808" s="37" t="str">
        <f t="shared" si="685"/>
        <v xml:space="preserve"> </v>
      </c>
      <c r="F8808">
        <v>0.34</v>
      </c>
      <c r="G8808" s="37" t="str">
        <f t="shared" si="686"/>
        <v>Heavy Discount</v>
      </c>
      <c r="H8808" s="37" t="str">
        <f t="shared" si="687"/>
        <v>Medium</v>
      </c>
      <c r="I8808">
        <v>2</v>
      </c>
      <c r="J8808" t="str" cm="1">
        <f t="array" ref="J8808">_xlfn.IFS(I8808&lt;=3,"small",I8808&lt;=6,"Medium",I8808&lt;=9,"Large")</f>
        <v>small</v>
      </c>
      <c r="K8808" s="36">
        <v>45330</v>
      </c>
      <c r="L8808" s="36">
        <v>45335</v>
      </c>
      <c r="M8808" t="s">
        <v>612</v>
      </c>
      <c r="N8808" t="s">
        <v>604</v>
      </c>
      <c r="O8808" s="37" t="str">
        <f t="shared" si="688"/>
        <v>Digital Payment</v>
      </c>
      <c r="P8808">
        <v>656.48</v>
      </c>
      <c r="Q8808" s="37" t="str">
        <f>IF(P8808&gt;500,"High","low")</f>
        <v>High</v>
      </c>
      <c r="R8808" s="37" t="str">
        <f t="shared" si="689"/>
        <v>Good</v>
      </c>
      <c r="S8808" t="s">
        <v>628</v>
      </c>
    </row>
    <row r="8809" spans="1:19" x14ac:dyDescent="0.2">
      <c r="A8809" t="s">
        <v>9420</v>
      </c>
      <c r="B8809" t="s">
        <v>90</v>
      </c>
      <c r="C8809" t="s">
        <v>614</v>
      </c>
      <c r="D8809">
        <v>1742.9</v>
      </c>
      <c r="E8809" s="37" t="str">
        <f t="shared" si="685"/>
        <v xml:space="preserve"> </v>
      </c>
      <c r="F8809">
        <v>0.39</v>
      </c>
      <c r="G8809" s="37" t="str">
        <f t="shared" si="686"/>
        <v>Heavy Discount</v>
      </c>
      <c r="H8809" s="37" t="str">
        <f t="shared" si="687"/>
        <v>Medium</v>
      </c>
      <c r="I8809">
        <v>1</v>
      </c>
      <c r="J8809" t="str" cm="1">
        <f t="array" ref="J8809">_xlfn.IFS(I8809&lt;=3,"small",I8809&lt;=6,"Medium",I8809&lt;=9,"Large")</f>
        <v>small</v>
      </c>
      <c r="K8809" s="36">
        <v>45434</v>
      </c>
      <c r="L8809" s="36">
        <v>45440</v>
      </c>
      <c r="M8809" t="s">
        <v>598</v>
      </c>
      <c r="N8809" t="s">
        <v>599</v>
      </c>
      <c r="O8809" s="37" t="str">
        <f t="shared" si="688"/>
        <v>Digital Payment</v>
      </c>
      <c r="P8809">
        <v>107.22</v>
      </c>
      <c r="Q8809" s="37" t="str">
        <f>IF(P8809&gt;500,"High","low")</f>
        <v>low</v>
      </c>
      <c r="R8809" s="37" t="str">
        <f t="shared" si="689"/>
        <v>AVERAGE</v>
      </c>
      <c r="S8809" t="s">
        <v>600</v>
      </c>
    </row>
    <row r="8810" spans="1:19" x14ac:dyDescent="0.2">
      <c r="A8810" t="s">
        <v>9421</v>
      </c>
      <c r="B8810" t="s">
        <v>90</v>
      </c>
      <c r="C8810" t="s">
        <v>602</v>
      </c>
      <c r="D8810">
        <v>3618.14</v>
      </c>
      <c r="E8810" s="37" t="str">
        <f t="shared" si="685"/>
        <v xml:space="preserve"> </v>
      </c>
      <c r="F8810">
        <v>0.1</v>
      </c>
      <c r="G8810" s="37" t="str">
        <f t="shared" si="686"/>
        <v>Normal Discount</v>
      </c>
      <c r="H8810" s="37" t="str">
        <f t="shared" si="687"/>
        <v>Low</v>
      </c>
      <c r="I8810">
        <v>4</v>
      </c>
      <c r="J8810" t="str" cm="1">
        <f t="array" ref="J8810">_xlfn.IFS(I8810&lt;=3,"small",I8810&lt;=6,"Medium",I8810&lt;=9,"Large")</f>
        <v>Medium</v>
      </c>
      <c r="K8810" s="36">
        <v>45555</v>
      </c>
      <c r="L8810" s="36">
        <v>45561</v>
      </c>
      <c r="M8810" t="s">
        <v>598</v>
      </c>
      <c r="N8810" t="s">
        <v>604</v>
      </c>
      <c r="O8810" s="37" t="str">
        <f t="shared" si="688"/>
        <v>Digital Payment</v>
      </c>
      <c r="P8810">
        <v>974.7</v>
      </c>
      <c r="Q8810" s="37" t="str">
        <f>IF(P8810&gt;500,"High","low")</f>
        <v>High</v>
      </c>
      <c r="R8810" s="37" t="str">
        <f t="shared" si="689"/>
        <v>Good</v>
      </c>
      <c r="S8810" t="s">
        <v>615</v>
      </c>
    </row>
    <row r="8811" spans="1:19" x14ac:dyDescent="0.2">
      <c r="A8811" t="s">
        <v>9422</v>
      </c>
      <c r="B8811" t="s">
        <v>83</v>
      </c>
      <c r="C8811" t="s">
        <v>614</v>
      </c>
      <c r="D8811">
        <v>404.03</v>
      </c>
      <c r="E8811" s="37" t="str">
        <f t="shared" si="685"/>
        <v xml:space="preserve"> </v>
      </c>
      <c r="F8811">
        <v>0.13</v>
      </c>
      <c r="G8811" s="37" t="str">
        <f t="shared" si="686"/>
        <v>Normal Discount</v>
      </c>
      <c r="H8811" s="37" t="str">
        <f t="shared" si="687"/>
        <v>Low</v>
      </c>
      <c r="I8811">
        <v>2</v>
      </c>
      <c r="J8811" t="str" cm="1">
        <f t="array" ref="J8811">_xlfn.IFS(I8811&lt;=3,"small",I8811&lt;=6,"Medium",I8811&lt;=9,"Large")</f>
        <v>small</v>
      </c>
      <c r="K8811" s="36">
        <v>45169</v>
      </c>
      <c r="L8811" s="36">
        <v>45174</v>
      </c>
      <c r="M8811" t="s">
        <v>612</v>
      </c>
      <c r="N8811" t="s">
        <v>599</v>
      </c>
      <c r="O8811" s="37" t="str">
        <f t="shared" si="688"/>
        <v>Digital Payment</v>
      </c>
      <c r="P8811">
        <v>118.29</v>
      </c>
      <c r="Q8811" s="37" t="str">
        <f>IF(P8811&gt;500,"High","low")</f>
        <v>low</v>
      </c>
      <c r="R8811" s="37" t="str">
        <f t="shared" si="689"/>
        <v>AVERAGE</v>
      </c>
      <c r="S8811" t="s">
        <v>609</v>
      </c>
    </row>
    <row r="8812" spans="1:19" x14ac:dyDescent="0.2">
      <c r="A8812" t="s">
        <v>9423</v>
      </c>
      <c r="B8812" t="s">
        <v>90</v>
      </c>
      <c r="C8812" t="s">
        <v>617</v>
      </c>
      <c r="D8812">
        <v>3576.52</v>
      </c>
      <c r="E8812" s="37" t="str">
        <f t="shared" si="685"/>
        <v xml:space="preserve"> </v>
      </c>
      <c r="F8812">
        <v>0.16</v>
      </c>
      <c r="G8812" s="37" t="str">
        <f t="shared" si="686"/>
        <v>Normal Discount</v>
      </c>
      <c r="H8812" s="37" t="str">
        <f t="shared" si="687"/>
        <v>Low</v>
      </c>
      <c r="I8812">
        <v>7</v>
      </c>
      <c r="J8812" t="str" cm="1">
        <f t="array" ref="J8812">_xlfn.IFS(I8812&lt;=3,"small",I8812&lt;=6,"Medium",I8812&lt;=9,"Large")</f>
        <v>Large</v>
      </c>
      <c r="K8812" s="36">
        <v>45160</v>
      </c>
      <c r="L8812" s="36">
        <v>45164</v>
      </c>
      <c r="M8812" t="s">
        <v>598</v>
      </c>
      <c r="N8812" t="s">
        <v>608</v>
      </c>
      <c r="O8812" s="37" t="str">
        <f t="shared" si="688"/>
        <v>Cash Payment</v>
      </c>
      <c r="P8812">
        <v>362.46</v>
      </c>
      <c r="Q8812" s="37" t="str">
        <f>IF(P8812&gt;500,"High","low")</f>
        <v>low</v>
      </c>
      <c r="R8812" s="37" t="str">
        <f t="shared" si="689"/>
        <v>AVERAGE</v>
      </c>
      <c r="S8812" t="s">
        <v>609</v>
      </c>
    </row>
    <row r="8813" spans="1:19" x14ac:dyDescent="0.2">
      <c r="A8813" t="s">
        <v>9424</v>
      </c>
      <c r="B8813" t="s">
        <v>75</v>
      </c>
      <c r="C8813" t="s">
        <v>597</v>
      </c>
      <c r="D8813">
        <v>434.71</v>
      </c>
      <c r="E8813" s="37" t="str">
        <f t="shared" si="685"/>
        <v xml:space="preserve"> </v>
      </c>
      <c r="F8813">
        <v>0.3</v>
      </c>
      <c r="G8813" s="37" t="str">
        <f t="shared" si="686"/>
        <v>Normal Discount</v>
      </c>
      <c r="H8813" s="37" t="str">
        <f t="shared" si="687"/>
        <v>Medium</v>
      </c>
      <c r="I8813">
        <v>5</v>
      </c>
      <c r="J8813" t="str" cm="1">
        <f t="array" ref="J8813">_xlfn.IFS(I8813&lt;=3,"small",I8813&lt;=6,"Medium",I8813&lt;=9,"Large")</f>
        <v>Medium</v>
      </c>
      <c r="K8813" s="36">
        <v>45353</v>
      </c>
      <c r="L8813" s="36">
        <v>45356</v>
      </c>
      <c r="M8813" t="s">
        <v>612</v>
      </c>
      <c r="N8813" t="s">
        <v>599</v>
      </c>
      <c r="O8813" s="37" t="str">
        <f t="shared" si="688"/>
        <v>Digital Payment</v>
      </c>
      <c r="P8813">
        <v>29.99</v>
      </c>
      <c r="Q8813" s="37" t="str">
        <f>IF(P8813&gt;500,"High","low")</f>
        <v>low</v>
      </c>
      <c r="R8813" s="37" t="str">
        <f t="shared" si="689"/>
        <v>AVERAGE</v>
      </c>
      <c r="S8813" t="s">
        <v>609</v>
      </c>
    </row>
    <row r="8814" spans="1:19" x14ac:dyDescent="0.2">
      <c r="A8814" t="s">
        <v>9425</v>
      </c>
      <c r="B8814" t="s">
        <v>90</v>
      </c>
      <c r="C8814" t="s">
        <v>614</v>
      </c>
      <c r="D8814">
        <v>2977.21</v>
      </c>
      <c r="E8814" s="37" t="str">
        <f t="shared" si="685"/>
        <v xml:space="preserve"> </v>
      </c>
      <c r="F8814">
        <v>0.3</v>
      </c>
      <c r="G8814" s="37" t="str">
        <f t="shared" si="686"/>
        <v>Normal Discount</v>
      </c>
      <c r="H8814" s="37" t="str">
        <f t="shared" si="687"/>
        <v>Medium</v>
      </c>
      <c r="I8814">
        <v>5</v>
      </c>
      <c r="J8814" t="str" cm="1">
        <f t="array" ref="J8814">_xlfn.IFS(I8814&lt;=3,"small",I8814&lt;=6,"Medium",I8814&lt;=9,"Large")</f>
        <v>Medium</v>
      </c>
      <c r="K8814" s="36">
        <v>45298</v>
      </c>
      <c r="L8814" s="36">
        <v>45305</v>
      </c>
      <c r="M8814" t="s">
        <v>612</v>
      </c>
      <c r="N8814" t="s">
        <v>604</v>
      </c>
      <c r="O8814" s="37" t="str">
        <f t="shared" si="688"/>
        <v>Digital Payment</v>
      </c>
      <c r="P8814">
        <v>513.59</v>
      </c>
      <c r="Q8814" s="37" t="str">
        <f>IF(P8814&gt;500,"High","low")</f>
        <v>High</v>
      </c>
      <c r="R8814" s="37" t="str">
        <f t="shared" si="689"/>
        <v>Good</v>
      </c>
      <c r="S8814" t="s">
        <v>609</v>
      </c>
    </row>
    <row r="8815" spans="1:19" x14ac:dyDescent="0.2">
      <c r="A8815" t="s">
        <v>9426</v>
      </c>
      <c r="B8815" t="s">
        <v>75</v>
      </c>
      <c r="C8815" t="s">
        <v>597</v>
      </c>
      <c r="D8815">
        <v>3028.01</v>
      </c>
      <c r="E8815" s="37" t="str">
        <f t="shared" si="685"/>
        <v xml:space="preserve"> </v>
      </c>
      <c r="F8815">
        <v>0.1</v>
      </c>
      <c r="G8815" s="37" t="str">
        <f t="shared" si="686"/>
        <v>Normal Discount</v>
      </c>
      <c r="H8815" s="37" t="str">
        <f t="shared" si="687"/>
        <v>Low</v>
      </c>
      <c r="I8815">
        <v>1</v>
      </c>
      <c r="J8815" t="str" cm="1">
        <f t="array" ref="J8815">_xlfn.IFS(I8815&lt;=3,"small",I8815&lt;=6,"Medium",I8815&lt;=9,"Large")</f>
        <v>small</v>
      </c>
      <c r="K8815" s="36">
        <v>45315</v>
      </c>
      <c r="L8815" s="36">
        <v>45319</v>
      </c>
      <c r="M8815" t="s">
        <v>598</v>
      </c>
      <c r="N8815" t="s">
        <v>608</v>
      </c>
      <c r="O8815" s="37" t="str">
        <f t="shared" si="688"/>
        <v>Cash Payment</v>
      </c>
      <c r="P8815">
        <v>649.82000000000005</v>
      </c>
      <c r="Q8815" s="37" t="str">
        <f>IF(P8815&gt;500,"High","low")</f>
        <v>High</v>
      </c>
      <c r="R8815" s="37" t="str">
        <f t="shared" si="689"/>
        <v>Good</v>
      </c>
      <c r="S8815" t="s">
        <v>615</v>
      </c>
    </row>
    <row r="8816" spans="1:19" x14ac:dyDescent="0.2">
      <c r="A8816" t="s">
        <v>9427</v>
      </c>
      <c r="B8816" t="s">
        <v>83</v>
      </c>
      <c r="C8816" t="s">
        <v>607</v>
      </c>
      <c r="D8816">
        <v>1580.57</v>
      </c>
      <c r="E8816" s="37" t="str">
        <f t="shared" si="685"/>
        <v xml:space="preserve"> </v>
      </c>
      <c r="F8816">
        <v>0.22</v>
      </c>
      <c r="G8816" s="37" t="str">
        <f t="shared" si="686"/>
        <v>Normal Discount</v>
      </c>
      <c r="H8816" s="37" t="str">
        <f t="shared" si="687"/>
        <v>Medium</v>
      </c>
      <c r="I8816">
        <v>2</v>
      </c>
      <c r="J8816" t="str" cm="1">
        <f t="array" ref="J8816">_xlfn.IFS(I8816&lt;=3,"small",I8816&lt;=6,"Medium",I8816&lt;=9,"Large")</f>
        <v>small</v>
      </c>
      <c r="K8816" s="36">
        <v>45394</v>
      </c>
      <c r="L8816" s="36">
        <v>45398</v>
      </c>
      <c r="M8816" t="s">
        <v>598</v>
      </c>
      <c r="N8816" t="s">
        <v>604</v>
      </c>
      <c r="O8816" s="37" t="str">
        <f t="shared" si="688"/>
        <v>Digital Payment</v>
      </c>
      <c r="P8816">
        <v>273.98</v>
      </c>
      <c r="Q8816" s="37" t="str">
        <f>IF(P8816&gt;500,"High","low")</f>
        <v>low</v>
      </c>
      <c r="R8816" s="37" t="str">
        <f t="shared" si="689"/>
        <v>AVERAGE</v>
      </c>
      <c r="S8816" t="s">
        <v>615</v>
      </c>
    </row>
    <row r="8817" spans="1:19" x14ac:dyDescent="0.2">
      <c r="A8817" t="s">
        <v>9428</v>
      </c>
      <c r="B8817" t="s">
        <v>83</v>
      </c>
      <c r="C8817" t="s">
        <v>602</v>
      </c>
      <c r="D8817">
        <v>487.7</v>
      </c>
      <c r="E8817" s="37" t="str">
        <f t="shared" si="685"/>
        <v xml:space="preserve"> </v>
      </c>
      <c r="F8817">
        <v>0.35</v>
      </c>
      <c r="G8817" s="37" t="str">
        <f t="shared" si="686"/>
        <v>Heavy Discount</v>
      </c>
      <c r="H8817" s="37" t="str">
        <f t="shared" si="687"/>
        <v>Medium</v>
      </c>
      <c r="I8817">
        <v>5</v>
      </c>
      <c r="J8817" t="str" cm="1">
        <f t="array" ref="J8817">_xlfn.IFS(I8817&lt;=3,"small",I8817&lt;=6,"Medium",I8817&lt;=9,"Large")</f>
        <v>Medium</v>
      </c>
      <c r="K8817" s="36">
        <v>45646</v>
      </c>
      <c r="L8817" s="36">
        <v>45648</v>
      </c>
      <c r="M8817" t="s">
        <v>612</v>
      </c>
      <c r="N8817" t="s">
        <v>608</v>
      </c>
      <c r="O8817" s="37" t="str">
        <f t="shared" si="688"/>
        <v>Cash Payment</v>
      </c>
      <c r="P8817">
        <v>103.95</v>
      </c>
      <c r="Q8817" s="37" t="str">
        <f>IF(P8817&gt;500,"High","low")</f>
        <v>low</v>
      </c>
      <c r="R8817" s="37" t="str">
        <f t="shared" si="689"/>
        <v>AVERAGE</v>
      </c>
      <c r="S8817" t="s">
        <v>615</v>
      </c>
    </row>
    <row r="8818" spans="1:19" x14ac:dyDescent="0.2">
      <c r="A8818" t="s">
        <v>9429</v>
      </c>
      <c r="B8818" t="s">
        <v>75</v>
      </c>
      <c r="C8818" t="s">
        <v>617</v>
      </c>
      <c r="D8818">
        <v>4751.74</v>
      </c>
      <c r="E8818" s="37" t="str">
        <f t="shared" si="685"/>
        <v>Excellent Order</v>
      </c>
      <c r="F8818">
        <v>0.15</v>
      </c>
      <c r="G8818" s="37" t="str">
        <f t="shared" si="686"/>
        <v>Normal Discount</v>
      </c>
      <c r="H8818" s="37" t="str">
        <f t="shared" si="687"/>
        <v>Low</v>
      </c>
      <c r="I8818">
        <v>7</v>
      </c>
      <c r="J8818" t="str" cm="1">
        <f t="array" ref="J8818">_xlfn.IFS(I8818&lt;=3,"small",I8818&lt;=6,"Medium",I8818&lt;=9,"Large")</f>
        <v>Large</v>
      </c>
      <c r="K8818" s="36">
        <v>45585</v>
      </c>
      <c r="L8818" s="36">
        <v>45587</v>
      </c>
      <c r="M8818" t="s">
        <v>598</v>
      </c>
      <c r="N8818" t="s">
        <v>608</v>
      </c>
      <c r="O8818" s="37" t="str">
        <f t="shared" si="688"/>
        <v>Cash Payment</v>
      </c>
      <c r="P8818">
        <v>1367.47</v>
      </c>
      <c r="Q8818" s="37" t="str">
        <f>IF(P8818&gt;500,"High","low")</f>
        <v>High</v>
      </c>
      <c r="R8818" s="37" t="str">
        <f t="shared" si="689"/>
        <v>Excellent</v>
      </c>
      <c r="S8818" t="s">
        <v>628</v>
      </c>
    </row>
    <row r="8819" spans="1:19" x14ac:dyDescent="0.2">
      <c r="A8819" t="s">
        <v>9430</v>
      </c>
      <c r="B8819" t="s">
        <v>90</v>
      </c>
      <c r="C8819" t="s">
        <v>614</v>
      </c>
      <c r="D8819">
        <v>2724.33</v>
      </c>
      <c r="E8819" s="37" t="str">
        <f t="shared" si="685"/>
        <v xml:space="preserve"> </v>
      </c>
      <c r="F8819">
        <v>0.04</v>
      </c>
      <c r="G8819" s="37" t="str">
        <f t="shared" si="686"/>
        <v>Normal Discount</v>
      </c>
      <c r="H8819" s="37" t="str">
        <f t="shared" si="687"/>
        <v>Low</v>
      </c>
      <c r="I8819">
        <v>1</v>
      </c>
      <c r="J8819" t="str" cm="1">
        <f t="array" ref="J8819">_xlfn.IFS(I8819&lt;=3,"small",I8819&lt;=6,"Medium",I8819&lt;=9,"Large")</f>
        <v>small</v>
      </c>
      <c r="K8819" s="36">
        <v>45519</v>
      </c>
      <c r="L8819" s="36">
        <v>45526</v>
      </c>
      <c r="M8819" t="s">
        <v>603</v>
      </c>
      <c r="N8819" t="s">
        <v>608</v>
      </c>
      <c r="O8819" s="37" t="str">
        <f t="shared" si="688"/>
        <v>Cash Payment</v>
      </c>
      <c r="P8819">
        <v>361.96</v>
      </c>
      <c r="Q8819" s="37" t="str">
        <f>IF(P8819&gt;500,"High","low")</f>
        <v>low</v>
      </c>
      <c r="R8819" s="37" t="str">
        <f t="shared" si="689"/>
        <v>AVERAGE</v>
      </c>
      <c r="S8819" t="s">
        <v>615</v>
      </c>
    </row>
    <row r="8820" spans="1:19" x14ac:dyDescent="0.2">
      <c r="A8820" t="s">
        <v>9431</v>
      </c>
      <c r="B8820" t="s">
        <v>83</v>
      </c>
      <c r="C8820" t="s">
        <v>602</v>
      </c>
      <c r="D8820">
        <v>2940.81</v>
      </c>
      <c r="E8820" s="37" t="str">
        <f t="shared" si="685"/>
        <v xml:space="preserve"> </v>
      </c>
      <c r="F8820">
        <v>0.1</v>
      </c>
      <c r="G8820" s="37" t="str">
        <f t="shared" si="686"/>
        <v>Normal Discount</v>
      </c>
      <c r="H8820" s="37" t="str">
        <f t="shared" si="687"/>
        <v>Low</v>
      </c>
      <c r="I8820">
        <v>7</v>
      </c>
      <c r="J8820" t="str" cm="1">
        <f t="array" ref="J8820">_xlfn.IFS(I8820&lt;=3,"small",I8820&lt;=6,"Medium",I8820&lt;=9,"Large")</f>
        <v>Large</v>
      </c>
      <c r="K8820" s="36">
        <v>45024</v>
      </c>
      <c r="L8820" s="36">
        <v>45028</v>
      </c>
      <c r="M8820" t="s">
        <v>603</v>
      </c>
      <c r="N8820" t="s">
        <v>599</v>
      </c>
      <c r="O8820" s="37" t="str">
        <f t="shared" si="688"/>
        <v>Digital Payment</v>
      </c>
      <c r="P8820">
        <v>800.12</v>
      </c>
      <c r="Q8820" s="37" t="str">
        <f>IF(P8820&gt;500,"High","low")</f>
        <v>High</v>
      </c>
      <c r="R8820" s="37" t="str">
        <f t="shared" si="689"/>
        <v>Good</v>
      </c>
      <c r="S8820" t="s">
        <v>620</v>
      </c>
    </row>
    <row r="8821" spans="1:19" x14ac:dyDescent="0.2">
      <c r="A8821" t="s">
        <v>9432</v>
      </c>
      <c r="B8821" t="s">
        <v>67</v>
      </c>
      <c r="C8821" t="s">
        <v>617</v>
      </c>
      <c r="D8821">
        <v>3113.6</v>
      </c>
      <c r="E8821" s="37" t="str">
        <f t="shared" si="685"/>
        <v xml:space="preserve"> </v>
      </c>
      <c r="F8821">
        <v>0.08</v>
      </c>
      <c r="G8821" s="37" t="str">
        <f t="shared" si="686"/>
        <v>Normal Discount</v>
      </c>
      <c r="H8821" s="37" t="str">
        <f t="shared" si="687"/>
        <v>Low</v>
      </c>
      <c r="I8821">
        <v>2</v>
      </c>
      <c r="J8821" t="str" cm="1">
        <f t="array" ref="J8821">_xlfn.IFS(I8821&lt;=3,"small",I8821&lt;=6,"Medium",I8821&lt;=9,"Large")</f>
        <v>small</v>
      </c>
      <c r="K8821" s="36">
        <v>45337</v>
      </c>
      <c r="L8821" s="36">
        <v>45338</v>
      </c>
      <c r="M8821" t="s">
        <v>603</v>
      </c>
      <c r="N8821" t="s">
        <v>604</v>
      </c>
      <c r="O8821" s="37" t="str">
        <f t="shared" si="688"/>
        <v>Digital Payment</v>
      </c>
      <c r="P8821">
        <v>579.62</v>
      </c>
      <c r="Q8821" s="37" t="str">
        <f>IF(P8821&gt;500,"High","low")</f>
        <v>High</v>
      </c>
      <c r="R8821" s="37" t="str">
        <f t="shared" si="689"/>
        <v>Good</v>
      </c>
      <c r="S8821" t="s">
        <v>628</v>
      </c>
    </row>
    <row r="8822" spans="1:19" x14ac:dyDescent="0.2">
      <c r="A8822" t="s">
        <v>9433</v>
      </c>
      <c r="B8822" t="s">
        <v>83</v>
      </c>
      <c r="C8822" t="s">
        <v>617</v>
      </c>
      <c r="D8822">
        <v>4466.13</v>
      </c>
      <c r="E8822" s="37" t="str">
        <f t="shared" si="685"/>
        <v>Excellent Order</v>
      </c>
      <c r="F8822">
        <v>0.32</v>
      </c>
      <c r="G8822" s="37" t="str">
        <f t="shared" si="686"/>
        <v>Heavy Discount</v>
      </c>
      <c r="H8822" s="37" t="str">
        <f t="shared" si="687"/>
        <v>Medium</v>
      </c>
      <c r="I8822">
        <v>2</v>
      </c>
      <c r="J8822" t="str" cm="1">
        <f t="array" ref="J8822">_xlfn.IFS(I8822&lt;=3,"small",I8822&lt;=6,"Medium",I8822&lt;=9,"Large")</f>
        <v>small</v>
      </c>
      <c r="K8822" s="36">
        <v>45223</v>
      </c>
      <c r="L8822" s="36">
        <v>45228</v>
      </c>
      <c r="M8822" t="s">
        <v>612</v>
      </c>
      <c r="N8822" t="s">
        <v>599</v>
      </c>
      <c r="O8822" s="37" t="str">
        <f t="shared" si="688"/>
        <v>Digital Payment</v>
      </c>
      <c r="P8822">
        <v>1019.52</v>
      </c>
      <c r="Q8822" s="37" t="str">
        <f>IF(P8822&gt;500,"High","low")</f>
        <v>High</v>
      </c>
      <c r="R8822" s="37" t="str">
        <f t="shared" si="689"/>
        <v>Excellent</v>
      </c>
      <c r="S8822" t="s">
        <v>605</v>
      </c>
    </row>
    <row r="8823" spans="1:19" x14ac:dyDescent="0.2">
      <c r="A8823" t="s">
        <v>9434</v>
      </c>
      <c r="B8823" t="s">
        <v>90</v>
      </c>
      <c r="C8823" t="s">
        <v>607</v>
      </c>
      <c r="D8823">
        <v>395.25</v>
      </c>
      <c r="E8823" s="37" t="str">
        <f t="shared" si="685"/>
        <v xml:space="preserve"> </v>
      </c>
      <c r="F8823">
        <v>0.03</v>
      </c>
      <c r="G8823" s="37" t="str">
        <f t="shared" si="686"/>
        <v>Normal Discount</v>
      </c>
      <c r="H8823" s="37" t="str">
        <f t="shared" si="687"/>
        <v>Low</v>
      </c>
      <c r="I8823">
        <v>9</v>
      </c>
      <c r="J8823" t="str" cm="1">
        <f t="array" ref="J8823">_xlfn.IFS(I8823&lt;=3,"small",I8823&lt;=6,"Medium",I8823&lt;=9,"Large")</f>
        <v>Large</v>
      </c>
      <c r="K8823" s="36">
        <v>45306</v>
      </c>
      <c r="L8823" s="36">
        <v>45312</v>
      </c>
      <c r="M8823" t="s">
        <v>603</v>
      </c>
      <c r="N8823" t="s">
        <v>604</v>
      </c>
      <c r="O8823" s="37" t="str">
        <f t="shared" si="688"/>
        <v>Digital Payment</v>
      </c>
      <c r="P8823">
        <v>101.99</v>
      </c>
      <c r="Q8823" s="37" t="str">
        <f>IF(P8823&gt;500,"High","low")</f>
        <v>low</v>
      </c>
      <c r="R8823" s="37" t="str">
        <f t="shared" si="689"/>
        <v>AVERAGE</v>
      </c>
      <c r="S8823" t="s">
        <v>605</v>
      </c>
    </row>
    <row r="8824" spans="1:19" x14ac:dyDescent="0.2">
      <c r="A8824" t="s">
        <v>9435</v>
      </c>
      <c r="B8824" t="s">
        <v>67</v>
      </c>
      <c r="C8824" t="s">
        <v>597</v>
      </c>
      <c r="D8824">
        <v>4477.1099999999997</v>
      </c>
      <c r="E8824" s="37" t="str">
        <f t="shared" si="685"/>
        <v xml:space="preserve"> </v>
      </c>
      <c r="F8824">
        <v>0.44</v>
      </c>
      <c r="G8824" s="37" t="str">
        <f t="shared" si="686"/>
        <v>Heavy Discount</v>
      </c>
      <c r="H8824" s="37" t="str">
        <f t="shared" si="687"/>
        <v>High</v>
      </c>
      <c r="I8824">
        <v>8</v>
      </c>
      <c r="J8824" t="str" cm="1">
        <f t="array" ref="J8824">_xlfn.IFS(I8824&lt;=3,"small",I8824&lt;=6,"Medium",I8824&lt;=9,"Large")</f>
        <v>Large</v>
      </c>
      <c r="K8824" s="36">
        <v>45400</v>
      </c>
      <c r="L8824" s="36">
        <v>45401</v>
      </c>
      <c r="M8824" t="s">
        <v>612</v>
      </c>
      <c r="N8824" t="s">
        <v>608</v>
      </c>
      <c r="O8824" s="37" t="str">
        <f t="shared" si="688"/>
        <v>Cash Payment</v>
      </c>
      <c r="P8824">
        <v>521.98</v>
      </c>
      <c r="Q8824" s="37" t="str">
        <f>IF(P8824&gt;500,"High","low")</f>
        <v>High</v>
      </c>
      <c r="R8824" s="37" t="str">
        <f t="shared" si="689"/>
        <v>Good</v>
      </c>
      <c r="S8824" t="s">
        <v>615</v>
      </c>
    </row>
    <row r="8825" spans="1:19" x14ac:dyDescent="0.2">
      <c r="A8825" t="s">
        <v>9436</v>
      </c>
      <c r="B8825" t="s">
        <v>90</v>
      </c>
      <c r="C8825" t="s">
        <v>597</v>
      </c>
      <c r="D8825">
        <v>1274.4100000000001</v>
      </c>
      <c r="E8825" s="37" t="str">
        <f t="shared" si="685"/>
        <v xml:space="preserve"> </v>
      </c>
      <c r="F8825">
        <v>0.04</v>
      </c>
      <c r="G8825" s="37" t="str">
        <f t="shared" si="686"/>
        <v>Normal Discount</v>
      </c>
      <c r="H8825" s="37" t="str">
        <f t="shared" si="687"/>
        <v>Low</v>
      </c>
      <c r="I8825">
        <v>4</v>
      </c>
      <c r="J8825" t="str" cm="1">
        <f t="array" ref="J8825">_xlfn.IFS(I8825&lt;=3,"small",I8825&lt;=6,"Medium",I8825&lt;=9,"Large")</f>
        <v>Medium</v>
      </c>
      <c r="K8825" s="36">
        <v>44947</v>
      </c>
      <c r="L8825" s="36">
        <v>44952</v>
      </c>
      <c r="M8825" t="s">
        <v>598</v>
      </c>
      <c r="N8825" t="s">
        <v>599</v>
      </c>
      <c r="O8825" s="37" t="str">
        <f t="shared" si="688"/>
        <v>Digital Payment</v>
      </c>
      <c r="P8825">
        <v>176.89</v>
      </c>
      <c r="Q8825" s="37" t="str">
        <f>IF(P8825&gt;500,"High","low")</f>
        <v>low</v>
      </c>
      <c r="R8825" s="37" t="str">
        <f t="shared" si="689"/>
        <v>AVERAGE</v>
      </c>
      <c r="S8825" t="s">
        <v>609</v>
      </c>
    </row>
    <row r="8826" spans="1:19" x14ac:dyDescent="0.2">
      <c r="A8826" t="s">
        <v>9437</v>
      </c>
      <c r="B8826" t="s">
        <v>75</v>
      </c>
      <c r="C8826" t="s">
        <v>602</v>
      </c>
      <c r="D8826">
        <v>481.96</v>
      </c>
      <c r="E8826" s="37" t="str">
        <f t="shared" si="685"/>
        <v xml:space="preserve"> </v>
      </c>
      <c r="F8826">
        <v>0.3</v>
      </c>
      <c r="G8826" s="37" t="str">
        <f t="shared" si="686"/>
        <v>Normal Discount</v>
      </c>
      <c r="H8826" s="37" t="str">
        <f t="shared" si="687"/>
        <v>Medium</v>
      </c>
      <c r="I8826">
        <v>5</v>
      </c>
      <c r="J8826" t="str" cm="1">
        <f t="array" ref="J8826">_xlfn.IFS(I8826&lt;=3,"small",I8826&lt;=6,"Medium",I8826&lt;=9,"Large")</f>
        <v>Medium</v>
      </c>
      <c r="K8826" s="36">
        <v>45608</v>
      </c>
      <c r="L8826" s="36">
        <v>45611</v>
      </c>
      <c r="M8826" t="s">
        <v>598</v>
      </c>
      <c r="N8826" t="s">
        <v>599</v>
      </c>
      <c r="O8826" s="37" t="str">
        <f t="shared" si="688"/>
        <v>Digital Payment</v>
      </c>
      <c r="P8826">
        <v>28.92</v>
      </c>
      <c r="Q8826" s="37" t="str">
        <f>IF(P8826&gt;500,"High","low")</f>
        <v>low</v>
      </c>
      <c r="R8826" s="37" t="str">
        <f t="shared" si="689"/>
        <v>AVERAGE</v>
      </c>
      <c r="S8826" t="s">
        <v>600</v>
      </c>
    </row>
    <row r="8827" spans="1:19" x14ac:dyDescent="0.2">
      <c r="A8827" t="s">
        <v>9438</v>
      </c>
      <c r="B8827" t="s">
        <v>67</v>
      </c>
      <c r="C8827" t="s">
        <v>607</v>
      </c>
      <c r="D8827">
        <v>3320.6</v>
      </c>
      <c r="E8827" s="37" t="str">
        <f t="shared" si="685"/>
        <v xml:space="preserve"> </v>
      </c>
      <c r="F8827">
        <v>0.46</v>
      </c>
      <c r="G8827" s="37" t="str">
        <f t="shared" si="686"/>
        <v>Heavy Discount</v>
      </c>
      <c r="H8827" s="37" t="str">
        <f t="shared" si="687"/>
        <v>High</v>
      </c>
      <c r="I8827">
        <v>9</v>
      </c>
      <c r="J8827" t="str" cm="1">
        <f t="array" ref="J8827">_xlfn.IFS(I8827&lt;=3,"small",I8827&lt;=6,"Medium",I8827&lt;=9,"Large")</f>
        <v>Large</v>
      </c>
      <c r="K8827" s="36">
        <v>45031</v>
      </c>
      <c r="L8827" s="36">
        <v>45034</v>
      </c>
      <c r="M8827" t="s">
        <v>603</v>
      </c>
      <c r="N8827" t="s">
        <v>599</v>
      </c>
      <c r="O8827" s="37" t="str">
        <f t="shared" si="688"/>
        <v>Digital Payment</v>
      </c>
      <c r="P8827">
        <v>812.91</v>
      </c>
      <c r="Q8827" s="37" t="str">
        <f>IF(P8827&gt;500,"High","low")</f>
        <v>High</v>
      </c>
      <c r="R8827" s="37" t="str">
        <f t="shared" si="689"/>
        <v>Good</v>
      </c>
      <c r="S8827" t="s">
        <v>620</v>
      </c>
    </row>
    <row r="8828" spans="1:19" x14ac:dyDescent="0.2">
      <c r="A8828" t="s">
        <v>9439</v>
      </c>
      <c r="B8828" t="s">
        <v>90</v>
      </c>
      <c r="C8828" t="s">
        <v>617</v>
      </c>
      <c r="D8828">
        <v>4887.18</v>
      </c>
      <c r="E8828" s="37" t="str">
        <f t="shared" si="685"/>
        <v xml:space="preserve"> </v>
      </c>
      <c r="F8828">
        <v>0.03</v>
      </c>
      <c r="G8828" s="37" t="str">
        <f t="shared" si="686"/>
        <v>Normal Discount</v>
      </c>
      <c r="H8828" s="37" t="str">
        <f t="shared" si="687"/>
        <v>Low</v>
      </c>
      <c r="I8828">
        <v>4</v>
      </c>
      <c r="J8828" t="str" cm="1">
        <f t="array" ref="J8828">_xlfn.IFS(I8828&lt;=3,"small",I8828&lt;=6,"Medium",I8828&lt;=9,"Large")</f>
        <v>Medium</v>
      </c>
      <c r="K8828" s="36">
        <v>45505</v>
      </c>
      <c r="L8828" s="36">
        <v>45506</v>
      </c>
      <c r="M8828" t="s">
        <v>612</v>
      </c>
      <c r="N8828" t="s">
        <v>608</v>
      </c>
      <c r="O8828" s="37" t="str">
        <f t="shared" si="688"/>
        <v>Cash Payment</v>
      </c>
      <c r="P8828">
        <v>330.86</v>
      </c>
      <c r="Q8828" s="37" t="str">
        <f>IF(P8828&gt;500,"High","low")</f>
        <v>low</v>
      </c>
      <c r="R8828" s="37" t="str">
        <f t="shared" si="689"/>
        <v>AVERAGE</v>
      </c>
      <c r="S8828" t="s">
        <v>605</v>
      </c>
    </row>
    <row r="8829" spans="1:19" x14ac:dyDescent="0.2">
      <c r="A8829" t="s">
        <v>9440</v>
      </c>
      <c r="B8829" t="s">
        <v>67</v>
      </c>
      <c r="C8829" t="s">
        <v>607</v>
      </c>
      <c r="D8829">
        <v>380.49</v>
      </c>
      <c r="E8829" s="37" t="str">
        <f t="shared" si="685"/>
        <v xml:space="preserve"> </v>
      </c>
      <c r="F8829">
        <v>0.19</v>
      </c>
      <c r="G8829" s="37" t="str">
        <f t="shared" si="686"/>
        <v>Normal Discount</v>
      </c>
      <c r="H8829" s="37" t="str">
        <f t="shared" si="687"/>
        <v>Low</v>
      </c>
      <c r="I8829">
        <v>8</v>
      </c>
      <c r="J8829" t="str" cm="1">
        <f t="array" ref="J8829">_xlfn.IFS(I8829&lt;=3,"small",I8829&lt;=6,"Medium",I8829&lt;=9,"Large")</f>
        <v>Large</v>
      </c>
      <c r="K8829" s="36">
        <v>45026</v>
      </c>
      <c r="L8829" s="36">
        <v>45030</v>
      </c>
      <c r="M8829" t="s">
        <v>612</v>
      </c>
      <c r="N8829" t="s">
        <v>608</v>
      </c>
      <c r="O8829" s="37" t="str">
        <f t="shared" si="688"/>
        <v>Cash Payment</v>
      </c>
      <c r="P8829">
        <v>59.01</v>
      </c>
      <c r="Q8829" s="37" t="str">
        <f>IF(P8829&gt;500,"High","low")</f>
        <v>low</v>
      </c>
      <c r="R8829" s="37" t="str">
        <f t="shared" si="689"/>
        <v>AVERAGE</v>
      </c>
      <c r="S8829" t="s">
        <v>605</v>
      </c>
    </row>
    <row r="8830" spans="1:19" x14ac:dyDescent="0.2">
      <c r="A8830" t="s">
        <v>9441</v>
      </c>
      <c r="B8830" t="s">
        <v>90</v>
      </c>
      <c r="C8830" t="s">
        <v>607</v>
      </c>
      <c r="D8830">
        <v>2188</v>
      </c>
      <c r="E8830" s="37" t="str">
        <f t="shared" si="685"/>
        <v xml:space="preserve"> </v>
      </c>
      <c r="F8830">
        <v>0.16</v>
      </c>
      <c r="G8830" s="37" t="str">
        <f t="shared" si="686"/>
        <v>Normal Discount</v>
      </c>
      <c r="H8830" s="37" t="str">
        <f t="shared" si="687"/>
        <v>Low</v>
      </c>
      <c r="I8830">
        <v>5</v>
      </c>
      <c r="J8830" t="str" cm="1">
        <f t="array" ref="J8830">_xlfn.IFS(I8830&lt;=3,"small",I8830&lt;=6,"Medium",I8830&lt;=9,"Large")</f>
        <v>Medium</v>
      </c>
      <c r="K8830" s="36">
        <v>45403</v>
      </c>
      <c r="L8830" s="36">
        <v>45409</v>
      </c>
      <c r="M8830" t="s">
        <v>603</v>
      </c>
      <c r="N8830" t="s">
        <v>604</v>
      </c>
      <c r="O8830" s="37" t="str">
        <f t="shared" si="688"/>
        <v>Digital Payment</v>
      </c>
      <c r="P8830">
        <v>557.23</v>
      </c>
      <c r="Q8830" s="37" t="str">
        <f>IF(P8830&gt;500,"High","low")</f>
        <v>High</v>
      </c>
      <c r="R8830" s="37" t="str">
        <f t="shared" si="689"/>
        <v>Good</v>
      </c>
      <c r="S8830" t="s">
        <v>628</v>
      </c>
    </row>
    <row r="8831" spans="1:19" x14ac:dyDescent="0.2">
      <c r="A8831" t="s">
        <v>9442</v>
      </c>
      <c r="B8831" t="s">
        <v>67</v>
      </c>
      <c r="C8831" t="s">
        <v>602</v>
      </c>
      <c r="D8831">
        <v>2695.94</v>
      </c>
      <c r="E8831" s="37" t="str">
        <f t="shared" si="685"/>
        <v xml:space="preserve"> </v>
      </c>
      <c r="F8831">
        <v>0.17</v>
      </c>
      <c r="G8831" s="37" t="str">
        <f t="shared" si="686"/>
        <v>Normal Discount</v>
      </c>
      <c r="H8831" s="37" t="str">
        <f t="shared" si="687"/>
        <v>Low</v>
      </c>
      <c r="I8831">
        <v>1</v>
      </c>
      <c r="J8831" t="str" cm="1">
        <f t="array" ref="J8831">_xlfn.IFS(I8831&lt;=3,"small",I8831&lt;=6,"Medium",I8831&lt;=9,"Large")</f>
        <v>small</v>
      </c>
      <c r="K8831" s="36">
        <v>45009</v>
      </c>
      <c r="L8831" s="36">
        <v>45013</v>
      </c>
      <c r="M8831" t="s">
        <v>603</v>
      </c>
      <c r="N8831" t="s">
        <v>604</v>
      </c>
      <c r="O8831" s="37" t="str">
        <f t="shared" si="688"/>
        <v>Digital Payment</v>
      </c>
      <c r="P8831">
        <v>204.32</v>
      </c>
      <c r="Q8831" s="37" t="str">
        <f>IF(P8831&gt;500,"High","low")</f>
        <v>low</v>
      </c>
      <c r="R8831" s="37" t="str">
        <f t="shared" si="689"/>
        <v>AVERAGE</v>
      </c>
      <c r="S8831" t="s">
        <v>605</v>
      </c>
    </row>
    <row r="8832" spans="1:19" x14ac:dyDescent="0.2">
      <c r="A8832" t="s">
        <v>9443</v>
      </c>
      <c r="B8832" t="s">
        <v>90</v>
      </c>
      <c r="C8832" t="s">
        <v>597</v>
      </c>
      <c r="D8832">
        <v>1335.38</v>
      </c>
      <c r="E8832" s="37" t="str">
        <f t="shared" si="685"/>
        <v xml:space="preserve"> </v>
      </c>
      <c r="F8832">
        <v>0.3</v>
      </c>
      <c r="G8832" s="37" t="str">
        <f t="shared" si="686"/>
        <v>Normal Discount</v>
      </c>
      <c r="H8832" s="37" t="str">
        <f t="shared" si="687"/>
        <v>Medium</v>
      </c>
      <c r="I8832">
        <v>7</v>
      </c>
      <c r="J8832" t="str" cm="1">
        <f t="array" ref="J8832">_xlfn.IFS(I8832&lt;=3,"small",I8832&lt;=6,"Medium",I8832&lt;=9,"Large")</f>
        <v>Large</v>
      </c>
      <c r="K8832" s="36">
        <v>45459</v>
      </c>
      <c r="L8832" s="36">
        <v>45466</v>
      </c>
      <c r="M8832" t="s">
        <v>598</v>
      </c>
      <c r="N8832" t="s">
        <v>604</v>
      </c>
      <c r="O8832" s="37" t="str">
        <f t="shared" si="688"/>
        <v>Digital Payment</v>
      </c>
      <c r="P8832">
        <v>398.42</v>
      </c>
      <c r="Q8832" s="37" t="str">
        <f>IF(P8832&gt;500,"High","low")</f>
        <v>low</v>
      </c>
      <c r="R8832" s="37" t="str">
        <f t="shared" si="689"/>
        <v>AVERAGE</v>
      </c>
      <c r="S8832" t="s">
        <v>620</v>
      </c>
    </row>
    <row r="8833" spans="1:19" x14ac:dyDescent="0.2">
      <c r="A8833" t="s">
        <v>9444</v>
      </c>
      <c r="B8833" t="s">
        <v>75</v>
      </c>
      <c r="C8833" t="s">
        <v>607</v>
      </c>
      <c r="D8833">
        <v>4916.07</v>
      </c>
      <c r="E8833" s="37" t="str">
        <f t="shared" si="685"/>
        <v>Excellent Order</v>
      </c>
      <c r="F8833">
        <v>0.13</v>
      </c>
      <c r="G8833" s="37" t="str">
        <f t="shared" si="686"/>
        <v>Normal Discount</v>
      </c>
      <c r="H8833" s="37" t="str">
        <f t="shared" si="687"/>
        <v>Low</v>
      </c>
      <c r="I8833">
        <v>3</v>
      </c>
      <c r="J8833" t="str" cm="1">
        <f t="array" ref="J8833">_xlfn.IFS(I8833&lt;=3,"small",I8833&lt;=6,"Medium",I8833&lt;=9,"Large")</f>
        <v>small</v>
      </c>
      <c r="K8833" s="36">
        <v>45642</v>
      </c>
      <c r="L8833" s="36">
        <v>45649</v>
      </c>
      <c r="M8833" t="s">
        <v>598</v>
      </c>
      <c r="N8833" t="s">
        <v>608</v>
      </c>
      <c r="O8833" s="37" t="str">
        <f t="shared" si="688"/>
        <v>Cash Payment</v>
      </c>
      <c r="P8833">
        <v>939.56</v>
      </c>
      <c r="Q8833" s="37" t="str">
        <f>IF(P8833&gt;500,"High","low")</f>
        <v>High</v>
      </c>
      <c r="R8833" s="37" t="str">
        <f t="shared" si="689"/>
        <v>Good</v>
      </c>
      <c r="S8833" t="s">
        <v>628</v>
      </c>
    </row>
    <row r="8834" spans="1:19" x14ac:dyDescent="0.2">
      <c r="A8834" t="s">
        <v>9445</v>
      </c>
      <c r="B8834" t="s">
        <v>67</v>
      </c>
      <c r="C8834" t="s">
        <v>607</v>
      </c>
      <c r="D8834">
        <v>3240.72</v>
      </c>
      <c r="E8834" s="37" t="str">
        <f t="shared" si="685"/>
        <v xml:space="preserve"> </v>
      </c>
      <c r="F8834">
        <v>0.01</v>
      </c>
      <c r="G8834" s="37" t="str">
        <f t="shared" si="686"/>
        <v>Normal Discount</v>
      </c>
      <c r="H8834" s="37" t="str">
        <f t="shared" si="687"/>
        <v>Low</v>
      </c>
      <c r="I8834">
        <v>7</v>
      </c>
      <c r="J8834" t="str" cm="1">
        <f t="array" ref="J8834">_xlfn.IFS(I8834&lt;=3,"small",I8834&lt;=6,"Medium",I8834&lt;=9,"Large")</f>
        <v>Large</v>
      </c>
      <c r="K8834" s="36">
        <v>45397</v>
      </c>
      <c r="L8834" s="36">
        <v>45400</v>
      </c>
      <c r="M8834" t="s">
        <v>598</v>
      </c>
      <c r="N8834" t="s">
        <v>608</v>
      </c>
      <c r="O8834" s="37" t="str">
        <f t="shared" si="688"/>
        <v>Cash Payment</v>
      </c>
      <c r="P8834">
        <v>263.3</v>
      </c>
      <c r="Q8834" s="37" t="str">
        <f>IF(P8834&gt;500,"High","low")</f>
        <v>low</v>
      </c>
      <c r="R8834" s="37" t="str">
        <f t="shared" si="689"/>
        <v>AVERAGE</v>
      </c>
      <c r="S8834" t="s">
        <v>628</v>
      </c>
    </row>
    <row r="8835" spans="1:19" x14ac:dyDescent="0.2">
      <c r="A8835" t="s">
        <v>9446</v>
      </c>
      <c r="B8835" t="s">
        <v>67</v>
      </c>
      <c r="C8835" t="s">
        <v>607</v>
      </c>
      <c r="D8835">
        <v>4237.32</v>
      </c>
      <c r="E8835" s="37" t="str">
        <f t="shared" ref="E8835:E8898" si="690">IF(AND(D8835&gt;4000,P8835&gt;800),"Excellent Order"," ")</f>
        <v xml:space="preserve"> </v>
      </c>
      <c r="F8835">
        <v>0.48</v>
      </c>
      <c r="G8835" s="37" t="str">
        <f t="shared" ref="G8835:G8898" si="691">IF(F8835&gt;30%,"Heavy Discount","Normal Discount")</f>
        <v>Heavy Discount</v>
      </c>
      <c r="H8835" s="37" t="str">
        <f t="shared" ref="H8835:H8898" si="692">IF(F8835&gt;0.4,"High",IF(F8835&gt;=0.2,"Medium","Low"))</f>
        <v>High</v>
      </c>
      <c r="I8835">
        <v>8</v>
      </c>
      <c r="J8835" t="str" cm="1">
        <f t="array" ref="J8835">_xlfn.IFS(I8835&lt;=3,"small",I8835&lt;=6,"Medium",I8835&lt;=9,"Large")</f>
        <v>Large</v>
      </c>
      <c r="K8835" s="36">
        <v>45613</v>
      </c>
      <c r="L8835" s="36">
        <v>45617</v>
      </c>
      <c r="M8835" t="s">
        <v>603</v>
      </c>
      <c r="N8835" t="s">
        <v>599</v>
      </c>
      <c r="O8835" s="37" t="str">
        <f t="shared" ref="O8835:O8898" si="693">IF(OR(N8835="Card",N8835="UPI"),"Digital Payment","Cash Payment")</f>
        <v>Digital Payment</v>
      </c>
      <c r="P8835">
        <v>226.95</v>
      </c>
      <c r="Q8835" s="37" t="str">
        <f>IF(P8835&gt;500,"High","low")</f>
        <v>low</v>
      </c>
      <c r="R8835" s="37" t="str">
        <f t="shared" ref="R8835:R8898" si="694">IF(P8835&gt;1000,"Excellent",IF(P8835&gt;=500,"Good","AVERAGE"))</f>
        <v>AVERAGE</v>
      </c>
      <c r="S8835" t="s">
        <v>609</v>
      </c>
    </row>
    <row r="8836" spans="1:19" x14ac:dyDescent="0.2">
      <c r="A8836" t="s">
        <v>9447</v>
      </c>
      <c r="B8836" t="s">
        <v>67</v>
      </c>
      <c r="C8836" t="s">
        <v>614</v>
      </c>
      <c r="D8836">
        <v>2137.31</v>
      </c>
      <c r="E8836" s="37" t="str">
        <f t="shared" si="690"/>
        <v xml:space="preserve"> </v>
      </c>
      <c r="F8836">
        <v>0.37</v>
      </c>
      <c r="G8836" s="37" t="str">
        <f t="shared" si="691"/>
        <v>Heavy Discount</v>
      </c>
      <c r="H8836" s="37" t="str">
        <f t="shared" si="692"/>
        <v>Medium</v>
      </c>
      <c r="I8836">
        <v>4</v>
      </c>
      <c r="J8836" t="str" cm="1">
        <f t="array" ref="J8836">_xlfn.IFS(I8836&lt;=3,"small",I8836&lt;=6,"Medium",I8836&lt;=9,"Large")</f>
        <v>Medium</v>
      </c>
      <c r="K8836" s="36">
        <v>45594</v>
      </c>
      <c r="L8836" s="36">
        <v>45596</v>
      </c>
      <c r="M8836" t="s">
        <v>598</v>
      </c>
      <c r="N8836" t="s">
        <v>608</v>
      </c>
      <c r="O8836" s="37" t="str">
        <f t="shared" si="693"/>
        <v>Cash Payment</v>
      </c>
      <c r="P8836">
        <v>286.57</v>
      </c>
      <c r="Q8836" s="37" t="str">
        <f>IF(P8836&gt;500,"High","low")</f>
        <v>low</v>
      </c>
      <c r="R8836" s="37" t="str">
        <f t="shared" si="694"/>
        <v>AVERAGE</v>
      </c>
      <c r="S8836" t="s">
        <v>620</v>
      </c>
    </row>
    <row r="8837" spans="1:19" x14ac:dyDescent="0.2">
      <c r="A8837" t="s">
        <v>9448</v>
      </c>
      <c r="B8837" t="s">
        <v>67</v>
      </c>
      <c r="C8837" t="s">
        <v>607</v>
      </c>
      <c r="D8837">
        <v>1834.38</v>
      </c>
      <c r="E8837" s="37" t="str">
        <f t="shared" si="690"/>
        <v xml:space="preserve"> </v>
      </c>
      <c r="F8837">
        <v>7.0000000000000007E-2</v>
      </c>
      <c r="G8837" s="37" t="str">
        <f t="shared" si="691"/>
        <v>Normal Discount</v>
      </c>
      <c r="H8837" s="37" t="str">
        <f t="shared" si="692"/>
        <v>Low</v>
      </c>
      <c r="I8837">
        <v>6</v>
      </c>
      <c r="J8837" t="str" cm="1">
        <f t="array" ref="J8837">_xlfn.IFS(I8837&lt;=3,"small",I8837&lt;=6,"Medium",I8837&lt;=9,"Large")</f>
        <v>Medium</v>
      </c>
      <c r="K8837" s="36">
        <v>45629</v>
      </c>
      <c r="L8837" s="36">
        <v>45632</v>
      </c>
      <c r="M8837" t="s">
        <v>598</v>
      </c>
      <c r="N8837" t="s">
        <v>599</v>
      </c>
      <c r="O8837" s="37" t="str">
        <f t="shared" si="693"/>
        <v>Digital Payment</v>
      </c>
      <c r="P8837">
        <v>192.86</v>
      </c>
      <c r="Q8837" s="37" t="str">
        <f>IF(P8837&gt;500,"High","low")</f>
        <v>low</v>
      </c>
      <c r="R8837" s="37" t="str">
        <f t="shared" si="694"/>
        <v>AVERAGE</v>
      </c>
      <c r="S8837" t="s">
        <v>609</v>
      </c>
    </row>
    <row r="8838" spans="1:19" x14ac:dyDescent="0.2">
      <c r="A8838" t="s">
        <v>9449</v>
      </c>
      <c r="B8838" t="s">
        <v>75</v>
      </c>
      <c r="C8838" t="s">
        <v>607</v>
      </c>
      <c r="D8838">
        <v>2810.47</v>
      </c>
      <c r="E8838" s="37" t="str">
        <f t="shared" si="690"/>
        <v xml:space="preserve"> </v>
      </c>
      <c r="F8838">
        <v>0.23</v>
      </c>
      <c r="G8838" s="37" t="str">
        <f t="shared" si="691"/>
        <v>Normal Discount</v>
      </c>
      <c r="H8838" s="37" t="str">
        <f t="shared" si="692"/>
        <v>Medium</v>
      </c>
      <c r="I8838">
        <v>7</v>
      </c>
      <c r="J8838" t="str" cm="1">
        <f t="array" ref="J8838">_xlfn.IFS(I8838&lt;=3,"small",I8838&lt;=6,"Medium",I8838&lt;=9,"Large")</f>
        <v>Large</v>
      </c>
      <c r="K8838" s="36">
        <v>45450</v>
      </c>
      <c r="L8838" s="36">
        <v>45457</v>
      </c>
      <c r="M8838" t="s">
        <v>612</v>
      </c>
      <c r="N8838" t="s">
        <v>599</v>
      </c>
      <c r="O8838" s="37" t="str">
        <f t="shared" si="693"/>
        <v>Digital Payment</v>
      </c>
      <c r="P8838">
        <v>466.22</v>
      </c>
      <c r="Q8838" s="37" t="str">
        <f>IF(P8838&gt;500,"High","low")</f>
        <v>low</v>
      </c>
      <c r="R8838" s="37" t="str">
        <f t="shared" si="694"/>
        <v>AVERAGE</v>
      </c>
      <c r="S8838" t="s">
        <v>615</v>
      </c>
    </row>
    <row r="8839" spans="1:19" x14ac:dyDescent="0.2">
      <c r="A8839" t="s">
        <v>9450</v>
      </c>
      <c r="B8839" t="s">
        <v>67</v>
      </c>
      <c r="C8839" t="s">
        <v>617</v>
      </c>
      <c r="D8839">
        <v>2232.86</v>
      </c>
      <c r="E8839" s="37" t="str">
        <f t="shared" si="690"/>
        <v xml:space="preserve"> </v>
      </c>
      <c r="F8839">
        <v>0.03</v>
      </c>
      <c r="G8839" s="37" t="str">
        <f t="shared" si="691"/>
        <v>Normal Discount</v>
      </c>
      <c r="H8839" s="37" t="str">
        <f t="shared" si="692"/>
        <v>Low</v>
      </c>
      <c r="I8839">
        <v>8</v>
      </c>
      <c r="J8839" t="str" cm="1">
        <f t="array" ref="J8839">_xlfn.IFS(I8839&lt;=3,"small",I8839&lt;=6,"Medium",I8839&lt;=9,"Large")</f>
        <v>Large</v>
      </c>
      <c r="K8839" s="36">
        <v>45194</v>
      </c>
      <c r="L8839" s="36">
        <v>45199</v>
      </c>
      <c r="M8839" t="s">
        <v>598</v>
      </c>
      <c r="N8839" t="s">
        <v>599</v>
      </c>
      <c r="O8839" s="37" t="str">
        <f t="shared" si="693"/>
        <v>Digital Payment</v>
      </c>
      <c r="P8839">
        <v>371.83</v>
      </c>
      <c r="Q8839" s="37" t="str">
        <f>IF(P8839&gt;500,"High","low")</f>
        <v>low</v>
      </c>
      <c r="R8839" s="37" t="str">
        <f t="shared" si="694"/>
        <v>AVERAGE</v>
      </c>
      <c r="S8839" t="s">
        <v>609</v>
      </c>
    </row>
    <row r="8840" spans="1:19" x14ac:dyDescent="0.2">
      <c r="A8840" t="s">
        <v>9451</v>
      </c>
      <c r="B8840" t="s">
        <v>83</v>
      </c>
      <c r="C8840" t="s">
        <v>614</v>
      </c>
      <c r="D8840">
        <v>3603.25</v>
      </c>
      <c r="E8840" s="37" t="str">
        <f t="shared" si="690"/>
        <v xml:space="preserve"> </v>
      </c>
      <c r="F8840">
        <v>0.01</v>
      </c>
      <c r="G8840" s="37" t="str">
        <f t="shared" si="691"/>
        <v>Normal Discount</v>
      </c>
      <c r="H8840" s="37" t="str">
        <f t="shared" si="692"/>
        <v>Low</v>
      </c>
      <c r="I8840">
        <v>3</v>
      </c>
      <c r="J8840" t="str" cm="1">
        <f t="array" ref="J8840">_xlfn.IFS(I8840&lt;=3,"small",I8840&lt;=6,"Medium",I8840&lt;=9,"Large")</f>
        <v>small</v>
      </c>
      <c r="K8840" s="36">
        <v>45093</v>
      </c>
      <c r="L8840" s="36">
        <v>45099</v>
      </c>
      <c r="M8840" t="s">
        <v>598</v>
      </c>
      <c r="N8840" t="s">
        <v>608</v>
      </c>
      <c r="O8840" s="37" t="str">
        <f t="shared" si="693"/>
        <v>Cash Payment</v>
      </c>
      <c r="P8840">
        <v>320.58999999999997</v>
      </c>
      <c r="Q8840" s="37" t="str">
        <f>IF(P8840&gt;500,"High","low")</f>
        <v>low</v>
      </c>
      <c r="R8840" s="37" t="str">
        <f t="shared" si="694"/>
        <v>AVERAGE</v>
      </c>
      <c r="S8840" t="s">
        <v>600</v>
      </c>
    </row>
    <row r="8841" spans="1:19" x14ac:dyDescent="0.2">
      <c r="A8841" t="s">
        <v>9452</v>
      </c>
      <c r="B8841" t="s">
        <v>75</v>
      </c>
      <c r="C8841" t="s">
        <v>607</v>
      </c>
      <c r="D8841">
        <v>1402.51</v>
      </c>
      <c r="E8841" s="37" t="str">
        <f t="shared" si="690"/>
        <v xml:space="preserve"> </v>
      </c>
      <c r="F8841">
        <v>0.02</v>
      </c>
      <c r="G8841" s="37" t="str">
        <f t="shared" si="691"/>
        <v>Normal Discount</v>
      </c>
      <c r="H8841" s="37" t="str">
        <f t="shared" si="692"/>
        <v>Low</v>
      </c>
      <c r="I8841">
        <v>7</v>
      </c>
      <c r="J8841" t="str" cm="1">
        <f t="array" ref="J8841">_xlfn.IFS(I8841&lt;=3,"small",I8841&lt;=6,"Medium",I8841&lt;=9,"Large")</f>
        <v>Large</v>
      </c>
      <c r="K8841" s="36">
        <v>45200</v>
      </c>
      <c r="L8841" s="36">
        <v>45205</v>
      </c>
      <c r="M8841" t="s">
        <v>612</v>
      </c>
      <c r="N8841" t="s">
        <v>604</v>
      </c>
      <c r="O8841" s="37" t="str">
        <f t="shared" si="693"/>
        <v>Digital Payment</v>
      </c>
      <c r="P8841">
        <v>301.16000000000003</v>
      </c>
      <c r="Q8841" s="37" t="str">
        <f>IF(P8841&gt;500,"High","low")</f>
        <v>low</v>
      </c>
      <c r="R8841" s="37" t="str">
        <f t="shared" si="694"/>
        <v>AVERAGE</v>
      </c>
      <c r="S8841" t="s">
        <v>609</v>
      </c>
    </row>
    <row r="8842" spans="1:19" x14ac:dyDescent="0.2">
      <c r="A8842" t="s">
        <v>9453</v>
      </c>
      <c r="B8842" t="s">
        <v>83</v>
      </c>
      <c r="C8842" t="s">
        <v>607</v>
      </c>
      <c r="D8842">
        <v>2303</v>
      </c>
      <c r="E8842" s="37" t="str">
        <f t="shared" si="690"/>
        <v xml:space="preserve"> </v>
      </c>
      <c r="F8842">
        <v>0.38</v>
      </c>
      <c r="G8842" s="37" t="str">
        <f t="shared" si="691"/>
        <v>Heavy Discount</v>
      </c>
      <c r="H8842" s="37" t="str">
        <f t="shared" si="692"/>
        <v>Medium</v>
      </c>
      <c r="I8842">
        <v>5</v>
      </c>
      <c r="J8842" t="str" cm="1">
        <f t="array" ref="J8842">_xlfn.IFS(I8842&lt;=3,"small",I8842&lt;=6,"Medium",I8842&lt;=9,"Large")</f>
        <v>Medium</v>
      </c>
      <c r="K8842" s="36">
        <v>45175</v>
      </c>
      <c r="L8842" s="36">
        <v>45179</v>
      </c>
      <c r="M8842" t="s">
        <v>598</v>
      </c>
      <c r="N8842" t="s">
        <v>599</v>
      </c>
      <c r="O8842" s="37" t="str">
        <f t="shared" si="693"/>
        <v>Digital Payment</v>
      </c>
      <c r="P8842">
        <v>352.61</v>
      </c>
      <c r="Q8842" s="37" t="str">
        <f>IF(P8842&gt;500,"High","low")</f>
        <v>low</v>
      </c>
      <c r="R8842" s="37" t="str">
        <f t="shared" si="694"/>
        <v>AVERAGE</v>
      </c>
      <c r="S8842" t="s">
        <v>605</v>
      </c>
    </row>
    <row r="8843" spans="1:19" x14ac:dyDescent="0.2">
      <c r="A8843" t="s">
        <v>9454</v>
      </c>
      <c r="B8843" t="s">
        <v>67</v>
      </c>
      <c r="C8843" t="s">
        <v>602</v>
      </c>
      <c r="D8843">
        <v>4486.1499999999996</v>
      </c>
      <c r="E8843" s="37" t="str">
        <f t="shared" si="690"/>
        <v>Excellent Order</v>
      </c>
      <c r="F8843">
        <v>0.22</v>
      </c>
      <c r="G8843" s="37" t="str">
        <f t="shared" si="691"/>
        <v>Normal Discount</v>
      </c>
      <c r="H8843" s="37" t="str">
        <f t="shared" si="692"/>
        <v>Medium</v>
      </c>
      <c r="I8843">
        <v>7</v>
      </c>
      <c r="J8843" t="str" cm="1">
        <f t="array" ref="J8843">_xlfn.IFS(I8843&lt;=3,"small",I8843&lt;=6,"Medium",I8843&lt;=9,"Large")</f>
        <v>Large</v>
      </c>
      <c r="K8843" s="36">
        <v>45308</v>
      </c>
      <c r="L8843" s="36">
        <v>45313</v>
      </c>
      <c r="M8843" t="s">
        <v>612</v>
      </c>
      <c r="N8843" t="s">
        <v>608</v>
      </c>
      <c r="O8843" s="37" t="str">
        <f t="shared" si="693"/>
        <v>Cash Payment</v>
      </c>
      <c r="P8843">
        <v>934.14</v>
      </c>
      <c r="Q8843" s="37" t="str">
        <f>IF(P8843&gt;500,"High","low")</f>
        <v>High</v>
      </c>
      <c r="R8843" s="37" t="str">
        <f t="shared" si="694"/>
        <v>Good</v>
      </c>
      <c r="S8843" t="s">
        <v>620</v>
      </c>
    </row>
    <row r="8844" spans="1:19" x14ac:dyDescent="0.2">
      <c r="A8844" t="s">
        <v>9455</v>
      </c>
      <c r="B8844" t="s">
        <v>90</v>
      </c>
      <c r="C8844" t="s">
        <v>602</v>
      </c>
      <c r="D8844">
        <v>3804.93</v>
      </c>
      <c r="E8844" s="37" t="str">
        <f t="shared" si="690"/>
        <v xml:space="preserve"> </v>
      </c>
      <c r="F8844">
        <v>0.42</v>
      </c>
      <c r="G8844" s="37" t="str">
        <f t="shared" si="691"/>
        <v>Heavy Discount</v>
      </c>
      <c r="H8844" s="37" t="str">
        <f t="shared" si="692"/>
        <v>High</v>
      </c>
      <c r="I8844">
        <v>6</v>
      </c>
      <c r="J8844" t="str" cm="1">
        <f t="array" ref="J8844">_xlfn.IFS(I8844&lt;=3,"small",I8844&lt;=6,"Medium",I8844&lt;=9,"Large")</f>
        <v>Medium</v>
      </c>
      <c r="K8844" s="36">
        <v>45578</v>
      </c>
      <c r="L8844" s="36">
        <v>45583</v>
      </c>
      <c r="M8844" t="s">
        <v>598</v>
      </c>
      <c r="N8844" t="s">
        <v>604</v>
      </c>
      <c r="O8844" s="37" t="str">
        <f t="shared" si="693"/>
        <v>Digital Payment</v>
      </c>
      <c r="P8844">
        <v>1011.84</v>
      </c>
      <c r="Q8844" s="37" t="str">
        <f>IF(P8844&gt;500,"High","low")</f>
        <v>High</v>
      </c>
      <c r="R8844" s="37" t="str">
        <f t="shared" si="694"/>
        <v>Excellent</v>
      </c>
      <c r="S8844" t="s">
        <v>620</v>
      </c>
    </row>
    <row r="8845" spans="1:19" x14ac:dyDescent="0.2">
      <c r="A8845" t="s">
        <v>9456</v>
      </c>
      <c r="B8845" t="s">
        <v>83</v>
      </c>
      <c r="C8845" t="s">
        <v>614</v>
      </c>
      <c r="D8845">
        <v>923.54</v>
      </c>
      <c r="E8845" s="37" t="str">
        <f t="shared" si="690"/>
        <v xml:space="preserve"> </v>
      </c>
      <c r="F8845">
        <v>0.15</v>
      </c>
      <c r="G8845" s="37" t="str">
        <f t="shared" si="691"/>
        <v>Normal Discount</v>
      </c>
      <c r="H8845" s="37" t="str">
        <f t="shared" si="692"/>
        <v>Low</v>
      </c>
      <c r="I8845">
        <v>5</v>
      </c>
      <c r="J8845" t="str" cm="1">
        <f t="array" ref="J8845">_xlfn.IFS(I8845&lt;=3,"small",I8845&lt;=6,"Medium",I8845&lt;=9,"Large")</f>
        <v>Medium</v>
      </c>
      <c r="K8845" s="36">
        <v>45264</v>
      </c>
      <c r="L8845" s="36">
        <v>45265</v>
      </c>
      <c r="M8845" t="s">
        <v>598</v>
      </c>
      <c r="N8845" t="s">
        <v>608</v>
      </c>
      <c r="O8845" s="37" t="str">
        <f t="shared" si="693"/>
        <v>Cash Payment</v>
      </c>
      <c r="P8845">
        <v>85.29</v>
      </c>
      <c r="Q8845" s="37" t="str">
        <f>IF(P8845&gt;500,"High","low")</f>
        <v>low</v>
      </c>
      <c r="R8845" s="37" t="str">
        <f t="shared" si="694"/>
        <v>AVERAGE</v>
      </c>
      <c r="S8845" t="s">
        <v>609</v>
      </c>
    </row>
    <row r="8846" spans="1:19" x14ac:dyDescent="0.2">
      <c r="A8846" t="s">
        <v>9457</v>
      </c>
      <c r="B8846" t="s">
        <v>67</v>
      </c>
      <c r="C8846" t="s">
        <v>617</v>
      </c>
      <c r="D8846">
        <v>4445.6400000000003</v>
      </c>
      <c r="E8846" s="37" t="str">
        <f t="shared" si="690"/>
        <v xml:space="preserve"> </v>
      </c>
      <c r="F8846">
        <v>0.39</v>
      </c>
      <c r="G8846" s="37" t="str">
        <f t="shared" si="691"/>
        <v>Heavy Discount</v>
      </c>
      <c r="H8846" s="37" t="str">
        <f t="shared" si="692"/>
        <v>Medium</v>
      </c>
      <c r="I8846">
        <v>3</v>
      </c>
      <c r="J8846" t="str" cm="1">
        <f t="array" ref="J8846">_xlfn.IFS(I8846&lt;=3,"small",I8846&lt;=6,"Medium",I8846&lt;=9,"Large")</f>
        <v>small</v>
      </c>
      <c r="K8846" s="36">
        <v>45572</v>
      </c>
      <c r="L8846" s="36">
        <v>45573</v>
      </c>
      <c r="M8846" t="s">
        <v>598</v>
      </c>
      <c r="N8846" t="s">
        <v>608</v>
      </c>
      <c r="O8846" s="37" t="str">
        <f t="shared" si="693"/>
        <v>Cash Payment</v>
      </c>
      <c r="P8846">
        <v>703.52</v>
      </c>
      <c r="Q8846" s="37" t="str">
        <f>IF(P8846&gt;500,"High","low")</f>
        <v>High</v>
      </c>
      <c r="R8846" s="37" t="str">
        <f t="shared" si="694"/>
        <v>Good</v>
      </c>
      <c r="S8846" t="s">
        <v>620</v>
      </c>
    </row>
    <row r="8847" spans="1:19" x14ac:dyDescent="0.2">
      <c r="A8847" t="s">
        <v>9458</v>
      </c>
      <c r="B8847" t="s">
        <v>83</v>
      </c>
      <c r="C8847" t="s">
        <v>614</v>
      </c>
      <c r="D8847">
        <v>2986.18</v>
      </c>
      <c r="E8847" s="37" t="str">
        <f t="shared" si="690"/>
        <v xml:space="preserve"> </v>
      </c>
      <c r="F8847">
        <v>0.04</v>
      </c>
      <c r="G8847" s="37" t="str">
        <f t="shared" si="691"/>
        <v>Normal Discount</v>
      </c>
      <c r="H8847" s="37" t="str">
        <f t="shared" si="692"/>
        <v>Low</v>
      </c>
      <c r="I8847">
        <v>2</v>
      </c>
      <c r="J8847" t="str" cm="1">
        <f t="array" ref="J8847">_xlfn.IFS(I8847&lt;=3,"small",I8847&lt;=6,"Medium",I8847&lt;=9,"Large")</f>
        <v>small</v>
      </c>
      <c r="K8847" s="36">
        <v>44983</v>
      </c>
      <c r="L8847" s="36">
        <v>44988</v>
      </c>
      <c r="M8847" t="s">
        <v>598</v>
      </c>
      <c r="N8847" t="s">
        <v>604</v>
      </c>
      <c r="O8847" s="37" t="str">
        <f t="shared" si="693"/>
        <v>Digital Payment</v>
      </c>
      <c r="P8847">
        <v>777.41</v>
      </c>
      <c r="Q8847" s="37" t="str">
        <f>IF(P8847&gt;500,"High","low")</f>
        <v>High</v>
      </c>
      <c r="R8847" s="37" t="str">
        <f t="shared" si="694"/>
        <v>Good</v>
      </c>
      <c r="S8847" t="s">
        <v>600</v>
      </c>
    </row>
    <row r="8848" spans="1:19" x14ac:dyDescent="0.2">
      <c r="A8848" t="s">
        <v>9459</v>
      </c>
      <c r="B8848" t="s">
        <v>67</v>
      </c>
      <c r="C8848" t="s">
        <v>614</v>
      </c>
      <c r="D8848">
        <v>3428.51</v>
      </c>
      <c r="E8848" s="37" t="str">
        <f t="shared" si="690"/>
        <v xml:space="preserve"> </v>
      </c>
      <c r="F8848">
        <v>0.32</v>
      </c>
      <c r="G8848" s="37" t="str">
        <f t="shared" si="691"/>
        <v>Heavy Discount</v>
      </c>
      <c r="H8848" s="37" t="str">
        <f t="shared" si="692"/>
        <v>Medium</v>
      </c>
      <c r="I8848">
        <v>3</v>
      </c>
      <c r="J8848" t="str" cm="1">
        <f t="array" ref="J8848">_xlfn.IFS(I8848&lt;=3,"small",I8848&lt;=6,"Medium",I8848&lt;=9,"Large")</f>
        <v>small</v>
      </c>
      <c r="K8848" s="36">
        <v>45231</v>
      </c>
      <c r="L8848" s="36">
        <v>45234</v>
      </c>
      <c r="M8848" t="s">
        <v>598</v>
      </c>
      <c r="N8848" t="s">
        <v>599</v>
      </c>
      <c r="O8848" s="37" t="str">
        <f t="shared" si="693"/>
        <v>Digital Payment</v>
      </c>
      <c r="P8848">
        <v>790.5</v>
      </c>
      <c r="Q8848" s="37" t="str">
        <f>IF(P8848&gt;500,"High","low")</f>
        <v>High</v>
      </c>
      <c r="R8848" s="37" t="str">
        <f t="shared" si="694"/>
        <v>Good</v>
      </c>
      <c r="S8848" t="s">
        <v>615</v>
      </c>
    </row>
    <row r="8849" spans="1:19" x14ac:dyDescent="0.2">
      <c r="A8849" t="s">
        <v>9460</v>
      </c>
      <c r="B8849" t="s">
        <v>67</v>
      </c>
      <c r="C8849" t="s">
        <v>602</v>
      </c>
      <c r="D8849">
        <v>1541.86</v>
      </c>
      <c r="E8849" s="37" t="str">
        <f t="shared" si="690"/>
        <v xml:space="preserve"> </v>
      </c>
      <c r="F8849">
        <v>0.18</v>
      </c>
      <c r="G8849" s="37" t="str">
        <f t="shared" si="691"/>
        <v>Normal Discount</v>
      </c>
      <c r="H8849" s="37" t="str">
        <f t="shared" si="692"/>
        <v>Low</v>
      </c>
      <c r="I8849">
        <v>2</v>
      </c>
      <c r="J8849" t="str" cm="1">
        <f t="array" ref="J8849">_xlfn.IFS(I8849&lt;=3,"small",I8849&lt;=6,"Medium",I8849&lt;=9,"Large")</f>
        <v>small</v>
      </c>
      <c r="K8849" s="36">
        <v>45069</v>
      </c>
      <c r="L8849" s="36">
        <v>45075</v>
      </c>
      <c r="M8849" t="s">
        <v>603</v>
      </c>
      <c r="N8849" t="s">
        <v>599</v>
      </c>
      <c r="O8849" s="37" t="str">
        <f t="shared" si="693"/>
        <v>Digital Payment</v>
      </c>
      <c r="P8849">
        <v>194.81</v>
      </c>
      <c r="Q8849" s="37" t="str">
        <f>IF(P8849&gt;500,"High","low")</f>
        <v>low</v>
      </c>
      <c r="R8849" s="37" t="str">
        <f t="shared" si="694"/>
        <v>AVERAGE</v>
      </c>
      <c r="S8849" t="s">
        <v>615</v>
      </c>
    </row>
    <row r="8850" spans="1:19" x14ac:dyDescent="0.2">
      <c r="A8850" t="s">
        <v>9461</v>
      </c>
      <c r="B8850" t="s">
        <v>67</v>
      </c>
      <c r="C8850" t="s">
        <v>602</v>
      </c>
      <c r="D8850">
        <v>2263.5700000000002</v>
      </c>
      <c r="E8850" s="37" t="str">
        <f t="shared" si="690"/>
        <v xml:space="preserve"> </v>
      </c>
      <c r="F8850">
        <v>0.14000000000000001</v>
      </c>
      <c r="G8850" s="37" t="str">
        <f t="shared" si="691"/>
        <v>Normal Discount</v>
      </c>
      <c r="H8850" s="37" t="str">
        <f t="shared" si="692"/>
        <v>Low</v>
      </c>
      <c r="I8850">
        <v>3</v>
      </c>
      <c r="J8850" t="str" cm="1">
        <f t="array" ref="J8850">_xlfn.IFS(I8850&lt;=3,"small",I8850&lt;=6,"Medium",I8850&lt;=9,"Large")</f>
        <v>small</v>
      </c>
      <c r="K8850" s="36">
        <v>45445</v>
      </c>
      <c r="L8850" s="36">
        <v>45450</v>
      </c>
      <c r="M8850" t="s">
        <v>603</v>
      </c>
      <c r="N8850" t="s">
        <v>599</v>
      </c>
      <c r="O8850" s="37" t="str">
        <f t="shared" si="693"/>
        <v>Digital Payment</v>
      </c>
      <c r="P8850">
        <v>541.14</v>
      </c>
      <c r="Q8850" s="37" t="str">
        <f>IF(P8850&gt;500,"High","low")</f>
        <v>High</v>
      </c>
      <c r="R8850" s="37" t="str">
        <f t="shared" si="694"/>
        <v>Good</v>
      </c>
      <c r="S8850" t="s">
        <v>620</v>
      </c>
    </row>
    <row r="8851" spans="1:19" x14ac:dyDescent="0.2">
      <c r="A8851" t="s">
        <v>9462</v>
      </c>
      <c r="B8851" t="s">
        <v>90</v>
      </c>
      <c r="C8851" t="s">
        <v>617</v>
      </c>
      <c r="D8851">
        <v>4053.38</v>
      </c>
      <c r="E8851" s="37" t="str">
        <f t="shared" si="690"/>
        <v xml:space="preserve"> </v>
      </c>
      <c r="F8851">
        <v>0.41</v>
      </c>
      <c r="G8851" s="37" t="str">
        <f t="shared" si="691"/>
        <v>Heavy Discount</v>
      </c>
      <c r="H8851" s="37" t="str">
        <f t="shared" si="692"/>
        <v>High</v>
      </c>
      <c r="I8851">
        <v>2</v>
      </c>
      <c r="J8851" t="str" cm="1">
        <f t="array" ref="J8851">_xlfn.IFS(I8851&lt;=3,"small",I8851&lt;=6,"Medium",I8851&lt;=9,"Large")</f>
        <v>small</v>
      </c>
      <c r="K8851" s="36">
        <v>45147</v>
      </c>
      <c r="L8851" s="36">
        <v>45153</v>
      </c>
      <c r="M8851" t="s">
        <v>603</v>
      </c>
      <c r="N8851" t="s">
        <v>604</v>
      </c>
      <c r="O8851" s="37" t="str">
        <f t="shared" si="693"/>
        <v>Digital Payment</v>
      </c>
      <c r="P8851">
        <v>589.74</v>
      </c>
      <c r="Q8851" s="37" t="str">
        <f>IF(P8851&gt;500,"High","low")</f>
        <v>High</v>
      </c>
      <c r="R8851" s="37" t="str">
        <f t="shared" si="694"/>
        <v>Good</v>
      </c>
      <c r="S8851" t="s">
        <v>620</v>
      </c>
    </row>
    <row r="8852" spans="1:19" x14ac:dyDescent="0.2">
      <c r="A8852" t="s">
        <v>9463</v>
      </c>
      <c r="B8852" t="s">
        <v>83</v>
      </c>
      <c r="C8852" t="s">
        <v>607</v>
      </c>
      <c r="D8852">
        <v>1720.31</v>
      </c>
      <c r="E8852" s="37" t="str">
        <f t="shared" si="690"/>
        <v xml:space="preserve"> </v>
      </c>
      <c r="F8852">
        <v>0.03</v>
      </c>
      <c r="G8852" s="37" t="str">
        <f t="shared" si="691"/>
        <v>Normal Discount</v>
      </c>
      <c r="H8852" s="37" t="str">
        <f t="shared" si="692"/>
        <v>Low</v>
      </c>
      <c r="I8852">
        <v>1</v>
      </c>
      <c r="J8852" t="str" cm="1">
        <f t="array" ref="J8852">_xlfn.IFS(I8852&lt;=3,"small",I8852&lt;=6,"Medium",I8852&lt;=9,"Large")</f>
        <v>small</v>
      </c>
      <c r="K8852" s="36">
        <v>44984</v>
      </c>
      <c r="L8852" s="36">
        <v>44986</v>
      </c>
      <c r="M8852" t="s">
        <v>603</v>
      </c>
      <c r="N8852" t="s">
        <v>604</v>
      </c>
      <c r="O8852" s="37" t="str">
        <f t="shared" si="693"/>
        <v>Digital Payment</v>
      </c>
      <c r="P8852">
        <v>503.78</v>
      </c>
      <c r="Q8852" s="37" t="str">
        <f>IF(P8852&gt;500,"High","low")</f>
        <v>High</v>
      </c>
      <c r="R8852" s="37" t="str">
        <f t="shared" si="694"/>
        <v>Good</v>
      </c>
      <c r="S8852" t="s">
        <v>615</v>
      </c>
    </row>
    <row r="8853" spans="1:19" x14ac:dyDescent="0.2">
      <c r="A8853" t="s">
        <v>9464</v>
      </c>
      <c r="B8853" t="s">
        <v>75</v>
      </c>
      <c r="C8853" t="s">
        <v>617</v>
      </c>
      <c r="D8853">
        <v>908.8</v>
      </c>
      <c r="E8853" s="37" t="str">
        <f t="shared" si="690"/>
        <v xml:space="preserve"> </v>
      </c>
      <c r="F8853">
        <v>0.47</v>
      </c>
      <c r="G8853" s="37" t="str">
        <f t="shared" si="691"/>
        <v>Heavy Discount</v>
      </c>
      <c r="H8853" s="37" t="str">
        <f t="shared" si="692"/>
        <v>High</v>
      </c>
      <c r="I8853">
        <v>9</v>
      </c>
      <c r="J8853" t="str" cm="1">
        <f t="array" ref="J8853">_xlfn.IFS(I8853&lt;=3,"small",I8853&lt;=6,"Medium",I8853&lt;=9,"Large")</f>
        <v>Large</v>
      </c>
      <c r="K8853" s="36">
        <v>45235</v>
      </c>
      <c r="L8853" s="36">
        <v>45238</v>
      </c>
      <c r="M8853" t="s">
        <v>603</v>
      </c>
      <c r="N8853" t="s">
        <v>608</v>
      </c>
      <c r="O8853" s="37" t="str">
        <f t="shared" si="693"/>
        <v>Cash Payment</v>
      </c>
      <c r="P8853">
        <v>103.34</v>
      </c>
      <c r="Q8853" s="37" t="str">
        <f>IF(P8853&gt;500,"High","low")</f>
        <v>low</v>
      </c>
      <c r="R8853" s="37" t="str">
        <f t="shared" si="694"/>
        <v>AVERAGE</v>
      </c>
      <c r="S8853" t="s">
        <v>600</v>
      </c>
    </row>
    <row r="8854" spans="1:19" x14ac:dyDescent="0.2">
      <c r="A8854" t="s">
        <v>9465</v>
      </c>
      <c r="B8854" t="s">
        <v>75</v>
      </c>
      <c r="C8854" t="s">
        <v>607</v>
      </c>
      <c r="D8854">
        <v>1953.69</v>
      </c>
      <c r="E8854" s="37" t="str">
        <f t="shared" si="690"/>
        <v xml:space="preserve"> </v>
      </c>
      <c r="F8854">
        <v>0.39</v>
      </c>
      <c r="G8854" s="37" t="str">
        <f t="shared" si="691"/>
        <v>Heavy Discount</v>
      </c>
      <c r="H8854" s="37" t="str">
        <f t="shared" si="692"/>
        <v>Medium</v>
      </c>
      <c r="I8854">
        <v>5</v>
      </c>
      <c r="J8854" t="str" cm="1">
        <f t="array" ref="J8854">_xlfn.IFS(I8854&lt;=3,"small",I8854&lt;=6,"Medium",I8854&lt;=9,"Large")</f>
        <v>Medium</v>
      </c>
      <c r="K8854" s="36">
        <v>45131</v>
      </c>
      <c r="L8854" s="36">
        <v>45137</v>
      </c>
      <c r="M8854" t="s">
        <v>598</v>
      </c>
      <c r="N8854" t="s">
        <v>604</v>
      </c>
      <c r="O8854" s="37" t="str">
        <f t="shared" si="693"/>
        <v>Digital Payment</v>
      </c>
      <c r="P8854">
        <v>184.71</v>
      </c>
      <c r="Q8854" s="37" t="str">
        <f>IF(P8854&gt;500,"High","low")</f>
        <v>low</v>
      </c>
      <c r="R8854" s="37" t="str">
        <f t="shared" si="694"/>
        <v>AVERAGE</v>
      </c>
      <c r="S8854" t="s">
        <v>609</v>
      </c>
    </row>
    <row r="8855" spans="1:19" x14ac:dyDescent="0.2">
      <c r="A8855" t="s">
        <v>9466</v>
      </c>
      <c r="B8855" t="s">
        <v>75</v>
      </c>
      <c r="C8855" t="s">
        <v>597</v>
      </c>
      <c r="D8855">
        <v>439.17</v>
      </c>
      <c r="E8855" s="37" t="str">
        <f t="shared" si="690"/>
        <v xml:space="preserve"> </v>
      </c>
      <c r="F8855">
        <v>0.18</v>
      </c>
      <c r="G8855" s="37" t="str">
        <f t="shared" si="691"/>
        <v>Normal Discount</v>
      </c>
      <c r="H8855" s="37" t="str">
        <f t="shared" si="692"/>
        <v>Low</v>
      </c>
      <c r="I8855">
        <v>9</v>
      </c>
      <c r="J8855" t="str" cm="1">
        <f t="array" ref="J8855">_xlfn.IFS(I8855&lt;=3,"small",I8855&lt;=6,"Medium",I8855&lt;=9,"Large")</f>
        <v>Large</v>
      </c>
      <c r="K8855" s="36">
        <v>45371</v>
      </c>
      <c r="L8855" s="36">
        <v>45373</v>
      </c>
      <c r="M8855" t="s">
        <v>612</v>
      </c>
      <c r="N8855" t="s">
        <v>604</v>
      </c>
      <c r="O8855" s="37" t="str">
        <f t="shared" si="693"/>
        <v>Digital Payment</v>
      </c>
      <c r="P8855">
        <v>118.43</v>
      </c>
      <c r="Q8855" s="37" t="str">
        <f>IF(P8855&gt;500,"High","low")</f>
        <v>low</v>
      </c>
      <c r="R8855" s="37" t="str">
        <f t="shared" si="694"/>
        <v>AVERAGE</v>
      </c>
      <c r="S8855" t="s">
        <v>615</v>
      </c>
    </row>
    <row r="8856" spans="1:19" x14ac:dyDescent="0.2">
      <c r="A8856" t="s">
        <v>9467</v>
      </c>
      <c r="B8856" t="s">
        <v>75</v>
      </c>
      <c r="C8856" t="s">
        <v>602</v>
      </c>
      <c r="D8856">
        <v>3617.5</v>
      </c>
      <c r="E8856" s="37" t="str">
        <f t="shared" si="690"/>
        <v xml:space="preserve"> </v>
      </c>
      <c r="F8856">
        <v>0.5</v>
      </c>
      <c r="G8856" s="37" t="str">
        <f t="shared" si="691"/>
        <v>Heavy Discount</v>
      </c>
      <c r="H8856" s="37" t="str">
        <f t="shared" si="692"/>
        <v>High</v>
      </c>
      <c r="I8856">
        <v>8</v>
      </c>
      <c r="J8856" t="str" cm="1">
        <f t="array" ref="J8856">_xlfn.IFS(I8856&lt;=3,"small",I8856&lt;=6,"Medium",I8856&lt;=9,"Large")</f>
        <v>Large</v>
      </c>
      <c r="K8856" s="36">
        <v>45150</v>
      </c>
      <c r="L8856" s="36">
        <v>45156</v>
      </c>
      <c r="M8856" t="s">
        <v>612</v>
      </c>
      <c r="N8856" t="s">
        <v>604</v>
      </c>
      <c r="O8856" s="37" t="str">
        <f t="shared" si="693"/>
        <v>Digital Payment</v>
      </c>
      <c r="P8856">
        <v>630.16</v>
      </c>
      <c r="Q8856" s="37" t="str">
        <f>IF(P8856&gt;500,"High","low")</f>
        <v>High</v>
      </c>
      <c r="R8856" s="37" t="str">
        <f t="shared" si="694"/>
        <v>Good</v>
      </c>
      <c r="S8856" t="s">
        <v>615</v>
      </c>
    </row>
    <row r="8857" spans="1:19" x14ac:dyDescent="0.2">
      <c r="A8857" t="s">
        <v>9468</v>
      </c>
      <c r="B8857" t="s">
        <v>67</v>
      </c>
      <c r="C8857" t="s">
        <v>597</v>
      </c>
      <c r="D8857">
        <v>823.95</v>
      </c>
      <c r="E8857" s="37" t="str">
        <f t="shared" si="690"/>
        <v xml:space="preserve"> </v>
      </c>
      <c r="F8857">
        <v>0.1</v>
      </c>
      <c r="G8857" s="37" t="str">
        <f t="shared" si="691"/>
        <v>Normal Discount</v>
      </c>
      <c r="H8857" s="37" t="str">
        <f t="shared" si="692"/>
        <v>Low</v>
      </c>
      <c r="I8857">
        <v>7</v>
      </c>
      <c r="J8857" t="str" cm="1">
        <f t="array" ref="J8857">_xlfn.IFS(I8857&lt;=3,"small",I8857&lt;=6,"Medium",I8857&lt;=9,"Large")</f>
        <v>Large</v>
      </c>
      <c r="K8857" s="36">
        <v>45578</v>
      </c>
      <c r="L8857" s="36">
        <v>45580</v>
      </c>
      <c r="M8857" t="s">
        <v>598</v>
      </c>
      <c r="N8857" t="s">
        <v>599</v>
      </c>
      <c r="O8857" s="37" t="str">
        <f t="shared" si="693"/>
        <v>Digital Payment</v>
      </c>
      <c r="P8857">
        <v>194.47</v>
      </c>
      <c r="Q8857" s="37" t="str">
        <f>IF(P8857&gt;500,"High","low")</f>
        <v>low</v>
      </c>
      <c r="R8857" s="37" t="str">
        <f t="shared" si="694"/>
        <v>AVERAGE</v>
      </c>
      <c r="S8857" t="s">
        <v>615</v>
      </c>
    </row>
    <row r="8858" spans="1:19" x14ac:dyDescent="0.2">
      <c r="A8858" t="s">
        <v>9469</v>
      </c>
      <c r="B8858" t="s">
        <v>83</v>
      </c>
      <c r="C8858" t="s">
        <v>597</v>
      </c>
      <c r="D8858">
        <v>1497.12</v>
      </c>
      <c r="E8858" s="37" t="str">
        <f t="shared" si="690"/>
        <v xml:space="preserve"> </v>
      </c>
      <c r="F8858">
        <v>0.2</v>
      </c>
      <c r="G8858" s="37" t="str">
        <f t="shared" si="691"/>
        <v>Normal Discount</v>
      </c>
      <c r="H8858" s="37" t="str">
        <f t="shared" si="692"/>
        <v>Medium</v>
      </c>
      <c r="I8858">
        <v>6</v>
      </c>
      <c r="J8858" t="str" cm="1">
        <f t="array" ref="J8858">_xlfn.IFS(I8858&lt;=3,"small",I8858&lt;=6,"Medium",I8858&lt;=9,"Large")</f>
        <v>Medium</v>
      </c>
      <c r="K8858" s="36">
        <v>45038</v>
      </c>
      <c r="L8858" s="36">
        <v>45045</v>
      </c>
      <c r="M8858" t="s">
        <v>612</v>
      </c>
      <c r="N8858" t="s">
        <v>608</v>
      </c>
      <c r="O8858" s="37" t="str">
        <f t="shared" si="693"/>
        <v>Cash Payment</v>
      </c>
      <c r="P8858">
        <v>430.49</v>
      </c>
      <c r="Q8858" s="37" t="str">
        <f>IF(P8858&gt;500,"High","low")</f>
        <v>low</v>
      </c>
      <c r="R8858" s="37" t="str">
        <f t="shared" si="694"/>
        <v>AVERAGE</v>
      </c>
      <c r="S8858" t="s">
        <v>620</v>
      </c>
    </row>
    <row r="8859" spans="1:19" x14ac:dyDescent="0.2">
      <c r="A8859" t="s">
        <v>9470</v>
      </c>
      <c r="B8859" t="s">
        <v>83</v>
      </c>
      <c r="C8859" t="s">
        <v>602</v>
      </c>
      <c r="D8859">
        <v>4417.3</v>
      </c>
      <c r="E8859" s="37" t="str">
        <f t="shared" si="690"/>
        <v xml:space="preserve"> </v>
      </c>
      <c r="F8859">
        <v>0.44</v>
      </c>
      <c r="G8859" s="37" t="str">
        <f t="shared" si="691"/>
        <v>Heavy Discount</v>
      </c>
      <c r="H8859" s="37" t="str">
        <f t="shared" si="692"/>
        <v>High</v>
      </c>
      <c r="I8859">
        <v>4</v>
      </c>
      <c r="J8859" t="str" cm="1">
        <f t="array" ref="J8859">_xlfn.IFS(I8859&lt;=3,"small",I8859&lt;=6,"Medium",I8859&lt;=9,"Large")</f>
        <v>Medium</v>
      </c>
      <c r="K8859" s="36">
        <v>45463</v>
      </c>
      <c r="L8859" s="36">
        <v>45470</v>
      </c>
      <c r="M8859" t="s">
        <v>603</v>
      </c>
      <c r="N8859" t="s">
        <v>608</v>
      </c>
      <c r="O8859" s="37" t="str">
        <f t="shared" si="693"/>
        <v>Cash Payment</v>
      </c>
      <c r="P8859">
        <v>438.74</v>
      </c>
      <c r="Q8859" s="37" t="str">
        <f>IF(P8859&gt;500,"High","low")</f>
        <v>low</v>
      </c>
      <c r="R8859" s="37" t="str">
        <f t="shared" si="694"/>
        <v>AVERAGE</v>
      </c>
      <c r="S8859" t="s">
        <v>620</v>
      </c>
    </row>
    <row r="8860" spans="1:19" x14ac:dyDescent="0.2">
      <c r="A8860" t="s">
        <v>9471</v>
      </c>
      <c r="B8860" t="s">
        <v>90</v>
      </c>
      <c r="C8860" t="s">
        <v>597</v>
      </c>
      <c r="D8860">
        <v>2748.44</v>
      </c>
      <c r="E8860" s="37" t="str">
        <f t="shared" si="690"/>
        <v xml:space="preserve"> </v>
      </c>
      <c r="F8860">
        <v>0.5</v>
      </c>
      <c r="G8860" s="37" t="str">
        <f t="shared" si="691"/>
        <v>Heavy Discount</v>
      </c>
      <c r="H8860" s="37" t="str">
        <f t="shared" si="692"/>
        <v>High</v>
      </c>
      <c r="I8860">
        <v>7</v>
      </c>
      <c r="J8860" t="str" cm="1">
        <f t="array" ref="J8860">_xlfn.IFS(I8860&lt;=3,"small",I8860&lt;=6,"Medium",I8860&lt;=9,"Large")</f>
        <v>Large</v>
      </c>
      <c r="K8860" s="36">
        <v>45585</v>
      </c>
      <c r="L8860" s="36">
        <v>45589</v>
      </c>
      <c r="M8860" t="s">
        <v>603</v>
      </c>
      <c r="N8860" t="s">
        <v>604</v>
      </c>
      <c r="O8860" s="37" t="str">
        <f t="shared" si="693"/>
        <v>Digital Payment</v>
      </c>
      <c r="P8860">
        <v>206.23</v>
      </c>
      <c r="Q8860" s="37" t="str">
        <f>IF(P8860&gt;500,"High","low")</f>
        <v>low</v>
      </c>
      <c r="R8860" s="37" t="str">
        <f t="shared" si="694"/>
        <v>AVERAGE</v>
      </c>
      <c r="S8860" t="s">
        <v>605</v>
      </c>
    </row>
    <row r="8861" spans="1:19" x14ac:dyDescent="0.2">
      <c r="A8861" t="s">
        <v>9472</v>
      </c>
      <c r="B8861" t="s">
        <v>83</v>
      </c>
      <c r="C8861" t="s">
        <v>614</v>
      </c>
      <c r="D8861">
        <v>1674.56</v>
      </c>
      <c r="E8861" s="37" t="str">
        <f t="shared" si="690"/>
        <v xml:space="preserve"> </v>
      </c>
      <c r="F8861">
        <v>0.12</v>
      </c>
      <c r="G8861" s="37" t="str">
        <f t="shared" si="691"/>
        <v>Normal Discount</v>
      </c>
      <c r="H8861" s="37" t="str">
        <f t="shared" si="692"/>
        <v>Low</v>
      </c>
      <c r="I8861">
        <v>7</v>
      </c>
      <c r="J8861" t="str" cm="1">
        <f t="array" ref="J8861">_xlfn.IFS(I8861&lt;=3,"small",I8861&lt;=6,"Medium",I8861&lt;=9,"Large")</f>
        <v>Large</v>
      </c>
      <c r="K8861" s="36">
        <v>45173</v>
      </c>
      <c r="L8861" s="36">
        <v>45174</v>
      </c>
      <c r="M8861" t="s">
        <v>612</v>
      </c>
      <c r="N8861" t="s">
        <v>608</v>
      </c>
      <c r="O8861" s="37" t="str">
        <f t="shared" si="693"/>
        <v>Cash Payment</v>
      </c>
      <c r="P8861">
        <v>174.37</v>
      </c>
      <c r="Q8861" s="37" t="str">
        <f>IF(P8861&gt;500,"High","low")</f>
        <v>low</v>
      </c>
      <c r="R8861" s="37" t="str">
        <f t="shared" si="694"/>
        <v>AVERAGE</v>
      </c>
      <c r="S8861" t="s">
        <v>628</v>
      </c>
    </row>
    <row r="8862" spans="1:19" x14ac:dyDescent="0.2">
      <c r="A8862" t="s">
        <v>9473</v>
      </c>
      <c r="B8862" t="s">
        <v>83</v>
      </c>
      <c r="C8862" t="s">
        <v>607</v>
      </c>
      <c r="D8862">
        <v>2783.57</v>
      </c>
      <c r="E8862" s="37" t="str">
        <f t="shared" si="690"/>
        <v xml:space="preserve"> </v>
      </c>
      <c r="F8862">
        <v>0.37</v>
      </c>
      <c r="G8862" s="37" t="str">
        <f t="shared" si="691"/>
        <v>Heavy Discount</v>
      </c>
      <c r="H8862" s="37" t="str">
        <f t="shared" si="692"/>
        <v>Medium</v>
      </c>
      <c r="I8862">
        <v>1</v>
      </c>
      <c r="J8862" t="str" cm="1">
        <f t="array" ref="J8862">_xlfn.IFS(I8862&lt;=3,"small",I8862&lt;=6,"Medium",I8862&lt;=9,"Large")</f>
        <v>small</v>
      </c>
      <c r="K8862" s="36">
        <v>45006</v>
      </c>
      <c r="L8862" s="36">
        <v>45010</v>
      </c>
      <c r="M8862" t="s">
        <v>598</v>
      </c>
      <c r="N8862" t="s">
        <v>608</v>
      </c>
      <c r="O8862" s="37" t="str">
        <f t="shared" si="693"/>
        <v>Cash Payment</v>
      </c>
      <c r="P8862">
        <v>219.03</v>
      </c>
      <c r="Q8862" s="37" t="str">
        <f>IF(P8862&gt;500,"High","low")</f>
        <v>low</v>
      </c>
      <c r="R8862" s="37" t="str">
        <f t="shared" si="694"/>
        <v>AVERAGE</v>
      </c>
      <c r="S8862" t="s">
        <v>615</v>
      </c>
    </row>
    <row r="8863" spans="1:19" x14ac:dyDescent="0.2">
      <c r="A8863" t="s">
        <v>9474</v>
      </c>
      <c r="B8863" t="s">
        <v>83</v>
      </c>
      <c r="C8863" t="s">
        <v>617</v>
      </c>
      <c r="D8863">
        <v>1169.56</v>
      </c>
      <c r="E8863" s="37" t="str">
        <f t="shared" si="690"/>
        <v xml:space="preserve"> </v>
      </c>
      <c r="F8863">
        <v>0.15</v>
      </c>
      <c r="G8863" s="37" t="str">
        <f t="shared" si="691"/>
        <v>Normal Discount</v>
      </c>
      <c r="H8863" s="37" t="str">
        <f t="shared" si="692"/>
        <v>Low</v>
      </c>
      <c r="I8863">
        <v>9</v>
      </c>
      <c r="J8863" t="str" cm="1">
        <f t="array" ref="J8863">_xlfn.IFS(I8863&lt;=3,"small",I8863&lt;=6,"Medium",I8863&lt;=9,"Large")</f>
        <v>Large</v>
      </c>
      <c r="K8863" s="36">
        <v>45450</v>
      </c>
      <c r="L8863" s="36">
        <v>45456</v>
      </c>
      <c r="M8863" t="s">
        <v>603</v>
      </c>
      <c r="N8863" t="s">
        <v>608</v>
      </c>
      <c r="O8863" s="37" t="str">
        <f t="shared" si="693"/>
        <v>Cash Payment</v>
      </c>
      <c r="P8863">
        <v>339.76</v>
      </c>
      <c r="Q8863" s="37" t="str">
        <f>IF(P8863&gt;500,"High","low")</f>
        <v>low</v>
      </c>
      <c r="R8863" s="37" t="str">
        <f t="shared" si="694"/>
        <v>AVERAGE</v>
      </c>
      <c r="S8863" t="s">
        <v>620</v>
      </c>
    </row>
    <row r="8864" spans="1:19" x14ac:dyDescent="0.2">
      <c r="A8864" t="s">
        <v>9475</v>
      </c>
      <c r="B8864" t="s">
        <v>90</v>
      </c>
      <c r="C8864" t="s">
        <v>602</v>
      </c>
      <c r="D8864">
        <v>223.35</v>
      </c>
      <c r="E8864" s="37" t="str">
        <f t="shared" si="690"/>
        <v xml:space="preserve"> </v>
      </c>
      <c r="F8864">
        <v>0.38</v>
      </c>
      <c r="G8864" s="37" t="str">
        <f t="shared" si="691"/>
        <v>Heavy Discount</v>
      </c>
      <c r="H8864" s="37" t="str">
        <f t="shared" si="692"/>
        <v>Medium</v>
      </c>
      <c r="I8864">
        <v>4</v>
      </c>
      <c r="J8864" t="str" cm="1">
        <f t="array" ref="J8864">_xlfn.IFS(I8864&lt;=3,"small",I8864&lt;=6,"Medium",I8864&lt;=9,"Large")</f>
        <v>Medium</v>
      </c>
      <c r="K8864" s="36">
        <v>45626</v>
      </c>
      <c r="L8864" s="36">
        <v>45628</v>
      </c>
      <c r="M8864" t="s">
        <v>598</v>
      </c>
      <c r="N8864" t="s">
        <v>608</v>
      </c>
      <c r="O8864" s="37" t="str">
        <f t="shared" si="693"/>
        <v>Cash Payment</v>
      </c>
      <c r="P8864">
        <v>51</v>
      </c>
      <c r="Q8864" s="37" t="str">
        <f>IF(P8864&gt;500,"High","low")</f>
        <v>low</v>
      </c>
      <c r="R8864" s="37" t="str">
        <f t="shared" si="694"/>
        <v>AVERAGE</v>
      </c>
      <c r="S8864" t="s">
        <v>615</v>
      </c>
    </row>
    <row r="8865" spans="1:19" x14ac:dyDescent="0.2">
      <c r="A8865" t="s">
        <v>9476</v>
      </c>
      <c r="B8865" t="s">
        <v>75</v>
      </c>
      <c r="C8865" t="s">
        <v>614</v>
      </c>
      <c r="D8865">
        <v>3058.29</v>
      </c>
      <c r="E8865" s="37" t="str">
        <f t="shared" si="690"/>
        <v xml:space="preserve"> </v>
      </c>
      <c r="F8865">
        <v>0.06</v>
      </c>
      <c r="G8865" s="37" t="str">
        <f t="shared" si="691"/>
        <v>Normal Discount</v>
      </c>
      <c r="H8865" s="37" t="str">
        <f t="shared" si="692"/>
        <v>Low</v>
      </c>
      <c r="I8865">
        <v>7</v>
      </c>
      <c r="J8865" t="str" cm="1">
        <f t="array" ref="J8865">_xlfn.IFS(I8865&lt;=3,"small",I8865&lt;=6,"Medium",I8865&lt;=9,"Large")</f>
        <v>Large</v>
      </c>
      <c r="K8865" s="36">
        <v>45474</v>
      </c>
      <c r="L8865" s="36">
        <v>45478</v>
      </c>
      <c r="M8865" t="s">
        <v>598</v>
      </c>
      <c r="N8865" t="s">
        <v>608</v>
      </c>
      <c r="O8865" s="37" t="str">
        <f t="shared" si="693"/>
        <v>Cash Payment</v>
      </c>
      <c r="P8865">
        <v>654.34</v>
      </c>
      <c r="Q8865" s="37" t="str">
        <f>IF(P8865&gt;500,"High","low")</f>
        <v>High</v>
      </c>
      <c r="R8865" s="37" t="str">
        <f t="shared" si="694"/>
        <v>Good</v>
      </c>
      <c r="S8865" t="s">
        <v>609</v>
      </c>
    </row>
    <row r="8866" spans="1:19" x14ac:dyDescent="0.2">
      <c r="A8866" t="s">
        <v>9477</v>
      </c>
      <c r="B8866" t="s">
        <v>83</v>
      </c>
      <c r="C8866" t="s">
        <v>617</v>
      </c>
      <c r="D8866">
        <v>3599.22</v>
      </c>
      <c r="E8866" s="37" t="str">
        <f t="shared" si="690"/>
        <v xml:space="preserve"> </v>
      </c>
      <c r="F8866">
        <v>0.17</v>
      </c>
      <c r="G8866" s="37" t="str">
        <f t="shared" si="691"/>
        <v>Normal Discount</v>
      </c>
      <c r="H8866" s="37" t="str">
        <f t="shared" si="692"/>
        <v>Low</v>
      </c>
      <c r="I8866">
        <v>9</v>
      </c>
      <c r="J8866" t="str" cm="1">
        <f t="array" ref="J8866">_xlfn.IFS(I8866&lt;=3,"small",I8866&lt;=6,"Medium",I8866&lt;=9,"Large")</f>
        <v>Large</v>
      </c>
      <c r="K8866" s="36">
        <v>45078</v>
      </c>
      <c r="L8866" s="36">
        <v>45082</v>
      </c>
      <c r="M8866" t="s">
        <v>603</v>
      </c>
      <c r="N8866" t="s">
        <v>599</v>
      </c>
      <c r="O8866" s="37" t="str">
        <f t="shared" si="693"/>
        <v>Digital Payment</v>
      </c>
      <c r="P8866">
        <v>1036.23</v>
      </c>
      <c r="Q8866" s="37" t="str">
        <f>IF(P8866&gt;500,"High","low")</f>
        <v>High</v>
      </c>
      <c r="R8866" s="37" t="str">
        <f t="shared" si="694"/>
        <v>Excellent</v>
      </c>
      <c r="S8866" t="s">
        <v>620</v>
      </c>
    </row>
    <row r="8867" spans="1:19" x14ac:dyDescent="0.2">
      <c r="A8867" t="s">
        <v>9478</v>
      </c>
      <c r="B8867" t="s">
        <v>90</v>
      </c>
      <c r="C8867" t="s">
        <v>617</v>
      </c>
      <c r="D8867">
        <v>4410.93</v>
      </c>
      <c r="E8867" s="37" t="str">
        <f t="shared" si="690"/>
        <v>Excellent Order</v>
      </c>
      <c r="F8867">
        <v>0.04</v>
      </c>
      <c r="G8867" s="37" t="str">
        <f t="shared" si="691"/>
        <v>Normal Discount</v>
      </c>
      <c r="H8867" s="37" t="str">
        <f t="shared" si="692"/>
        <v>Low</v>
      </c>
      <c r="I8867">
        <v>2</v>
      </c>
      <c r="J8867" t="str" cm="1">
        <f t="array" ref="J8867">_xlfn.IFS(I8867&lt;=3,"small",I8867&lt;=6,"Medium",I8867&lt;=9,"Large")</f>
        <v>small</v>
      </c>
      <c r="K8867" s="36">
        <v>45346</v>
      </c>
      <c r="L8867" s="36">
        <v>45349</v>
      </c>
      <c r="M8867" t="s">
        <v>598</v>
      </c>
      <c r="N8867" t="s">
        <v>608</v>
      </c>
      <c r="O8867" s="37" t="str">
        <f t="shared" si="693"/>
        <v>Cash Payment</v>
      </c>
      <c r="P8867">
        <v>1299.51</v>
      </c>
      <c r="Q8867" s="37" t="str">
        <f>IF(P8867&gt;500,"High","low")</f>
        <v>High</v>
      </c>
      <c r="R8867" s="37" t="str">
        <f t="shared" si="694"/>
        <v>Excellent</v>
      </c>
      <c r="S8867" t="s">
        <v>615</v>
      </c>
    </row>
    <row r="8868" spans="1:19" x14ac:dyDescent="0.2">
      <c r="A8868" t="s">
        <v>9479</v>
      </c>
      <c r="B8868" t="s">
        <v>90</v>
      </c>
      <c r="C8868" t="s">
        <v>617</v>
      </c>
      <c r="D8868">
        <v>3882.23</v>
      </c>
      <c r="E8868" s="37" t="str">
        <f t="shared" si="690"/>
        <v xml:space="preserve"> </v>
      </c>
      <c r="F8868">
        <v>0.25</v>
      </c>
      <c r="G8868" s="37" t="str">
        <f t="shared" si="691"/>
        <v>Normal Discount</v>
      </c>
      <c r="H8868" s="37" t="str">
        <f t="shared" si="692"/>
        <v>Medium</v>
      </c>
      <c r="I8868">
        <v>8</v>
      </c>
      <c r="J8868" t="str" cm="1">
        <f t="array" ref="J8868">_xlfn.IFS(I8868&lt;=3,"small",I8868&lt;=6,"Medium",I8868&lt;=9,"Large")</f>
        <v>Large</v>
      </c>
      <c r="K8868" s="36">
        <v>45058</v>
      </c>
      <c r="L8868" s="36">
        <v>45062</v>
      </c>
      <c r="M8868" t="s">
        <v>612</v>
      </c>
      <c r="N8868" t="s">
        <v>604</v>
      </c>
      <c r="O8868" s="37" t="str">
        <f t="shared" si="693"/>
        <v>Digital Payment</v>
      </c>
      <c r="P8868">
        <v>1080.24</v>
      </c>
      <c r="Q8868" s="37" t="str">
        <f>IF(P8868&gt;500,"High","low")</f>
        <v>High</v>
      </c>
      <c r="R8868" s="37" t="str">
        <f t="shared" si="694"/>
        <v>Excellent</v>
      </c>
      <c r="S8868" t="s">
        <v>620</v>
      </c>
    </row>
    <row r="8869" spans="1:19" x14ac:dyDescent="0.2">
      <c r="A8869" t="s">
        <v>9480</v>
      </c>
      <c r="B8869" t="s">
        <v>67</v>
      </c>
      <c r="C8869" t="s">
        <v>597</v>
      </c>
      <c r="D8869">
        <v>4640.72</v>
      </c>
      <c r="E8869" s="37" t="str">
        <f t="shared" si="690"/>
        <v>Excellent Order</v>
      </c>
      <c r="F8869">
        <v>0.35</v>
      </c>
      <c r="G8869" s="37" t="str">
        <f t="shared" si="691"/>
        <v>Heavy Discount</v>
      </c>
      <c r="H8869" s="37" t="str">
        <f t="shared" si="692"/>
        <v>Medium</v>
      </c>
      <c r="I8869">
        <v>4</v>
      </c>
      <c r="J8869" t="str" cm="1">
        <f t="array" ref="J8869">_xlfn.IFS(I8869&lt;=3,"small",I8869&lt;=6,"Medium",I8869&lt;=9,"Large")</f>
        <v>Medium</v>
      </c>
      <c r="K8869" s="36">
        <v>45409</v>
      </c>
      <c r="L8869" s="36">
        <v>45412</v>
      </c>
      <c r="M8869" t="s">
        <v>603</v>
      </c>
      <c r="N8869" t="s">
        <v>599</v>
      </c>
      <c r="O8869" s="37" t="str">
        <f t="shared" si="693"/>
        <v>Digital Payment</v>
      </c>
      <c r="P8869">
        <v>997.47</v>
      </c>
      <c r="Q8869" s="37" t="str">
        <f>IF(P8869&gt;500,"High","low")</f>
        <v>High</v>
      </c>
      <c r="R8869" s="37" t="str">
        <f t="shared" si="694"/>
        <v>Good</v>
      </c>
      <c r="S8869" t="s">
        <v>605</v>
      </c>
    </row>
    <row r="8870" spans="1:19" x14ac:dyDescent="0.2">
      <c r="A8870" t="s">
        <v>9481</v>
      </c>
      <c r="B8870" t="s">
        <v>90</v>
      </c>
      <c r="C8870" t="s">
        <v>597</v>
      </c>
      <c r="D8870">
        <v>4931.17</v>
      </c>
      <c r="E8870" s="37" t="str">
        <f t="shared" si="690"/>
        <v>Excellent Order</v>
      </c>
      <c r="F8870">
        <v>0.19</v>
      </c>
      <c r="G8870" s="37" t="str">
        <f t="shared" si="691"/>
        <v>Normal Discount</v>
      </c>
      <c r="H8870" s="37" t="str">
        <f t="shared" si="692"/>
        <v>Low</v>
      </c>
      <c r="I8870">
        <v>4</v>
      </c>
      <c r="J8870" t="str" cm="1">
        <f t="array" ref="J8870">_xlfn.IFS(I8870&lt;=3,"small",I8870&lt;=6,"Medium",I8870&lt;=9,"Large")</f>
        <v>Medium</v>
      </c>
      <c r="K8870" s="36">
        <v>45360</v>
      </c>
      <c r="L8870" s="36">
        <v>45367</v>
      </c>
      <c r="M8870" t="s">
        <v>598</v>
      </c>
      <c r="N8870" t="s">
        <v>608</v>
      </c>
      <c r="O8870" s="37" t="str">
        <f t="shared" si="693"/>
        <v>Cash Payment</v>
      </c>
      <c r="P8870">
        <v>858.93</v>
      </c>
      <c r="Q8870" s="37" t="str">
        <f>IF(P8870&gt;500,"High","low")</f>
        <v>High</v>
      </c>
      <c r="R8870" s="37" t="str">
        <f t="shared" si="694"/>
        <v>Good</v>
      </c>
      <c r="S8870" t="s">
        <v>600</v>
      </c>
    </row>
    <row r="8871" spans="1:19" x14ac:dyDescent="0.2">
      <c r="A8871" t="s">
        <v>9482</v>
      </c>
      <c r="B8871" t="s">
        <v>75</v>
      </c>
      <c r="C8871" t="s">
        <v>597</v>
      </c>
      <c r="D8871">
        <v>3750.18</v>
      </c>
      <c r="E8871" s="37" t="str">
        <f t="shared" si="690"/>
        <v xml:space="preserve"> </v>
      </c>
      <c r="F8871">
        <v>0.31</v>
      </c>
      <c r="G8871" s="37" t="str">
        <f t="shared" si="691"/>
        <v>Heavy Discount</v>
      </c>
      <c r="H8871" s="37" t="str">
        <f t="shared" si="692"/>
        <v>Medium</v>
      </c>
      <c r="I8871">
        <v>3</v>
      </c>
      <c r="J8871" t="str" cm="1">
        <f t="array" ref="J8871">_xlfn.IFS(I8871&lt;=3,"small",I8871&lt;=6,"Medium",I8871&lt;=9,"Large")</f>
        <v>small</v>
      </c>
      <c r="K8871" s="36">
        <v>44982</v>
      </c>
      <c r="L8871" s="36">
        <v>44986</v>
      </c>
      <c r="M8871" t="s">
        <v>603</v>
      </c>
      <c r="N8871" t="s">
        <v>604</v>
      </c>
      <c r="O8871" s="37" t="str">
        <f t="shared" si="693"/>
        <v>Digital Payment</v>
      </c>
      <c r="P8871">
        <v>228.69</v>
      </c>
      <c r="Q8871" s="37" t="str">
        <f>IF(P8871&gt;500,"High","low")</f>
        <v>low</v>
      </c>
      <c r="R8871" s="37" t="str">
        <f t="shared" si="694"/>
        <v>AVERAGE</v>
      </c>
      <c r="S8871" t="s">
        <v>600</v>
      </c>
    </row>
    <row r="8872" spans="1:19" x14ac:dyDescent="0.2">
      <c r="A8872" t="s">
        <v>9483</v>
      </c>
      <c r="B8872" t="s">
        <v>83</v>
      </c>
      <c r="C8872" t="s">
        <v>597</v>
      </c>
      <c r="D8872">
        <v>4352.82</v>
      </c>
      <c r="E8872" s="37" t="str">
        <f t="shared" si="690"/>
        <v>Excellent Order</v>
      </c>
      <c r="F8872">
        <v>0.28000000000000003</v>
      </c>
      <c r="G8872" s="37" t="str">
        <f t="shared" si="691"/>
        <v>Normal Discount</v>
      </c>
      <c r="H8872" s="37" t="str">
        <f t="shared" si="692"/>
        <v>Medium</v>
      </c>
      <c r="I8872">
        <v>4</v>
      </c>
      <c r="J8872" t="str" cm="1">
        <f t="array" ref="J8872">_xlfn.IFS(I8872&lt;=3,"small",I8872&lt;=6,"Medium",I8872&lt;=9,"Large")</f>
        <v>Medium</v>
      </c>
      <c r="K8872" s="36">
        <v>45044</v>
      </c>
      <c r="L8872" s="36">
        <v>45050</v>
      </c>
      <c r="M8872" t="s">
        <v>598</v>
      </c>
      <c r="N8872" t="s">
        <v>599</v>
      </c>
      <c r="O8872" s="37" t="str">
        <f t="shared" si="693"/>
        <v>Digital Payment</v>
      </c>
      <c r="P8872">
        <v>1171.96</v>
      </c>
      <c r="Q8872" s="37" t="str">
        <f>IF(P8872&gt;500,"High","low")</f>
        <v>High</v>
      </c>
      <c r="R8872" s="37" t="str">
        <f t="shared" si="694"/>
        <v>Excellent</v>
      </c>
      <c r="S8872" t="s">
        <v>609</v>
      </c>
    </row>
    <row r="8873" spans="1:19" x14ac:dyDescent="0.2">
      <c r="A8873" t="s">
        <v>9484</v>
      </c>
      <c r="B8873" t="s">
        <v>90</v>
      </c>
      <c r="C8873" t="s">
        <v>614</v>
      </c>
      <c r="D8873">
        <v>3401.28</v>
      </c>
      <c r="E8873" s="37" t="str">
        <f t="shared" si="690"/>
        <v xml:space="preserve"> </v>
      </c>
      <c r="F8873">
        <v>0.15</v>
      </c>
      <c r="G8873" s="37" t="str">
        <f t="shared" si="691"/>
        <v>Normal Discount</v>
      </c>
      <c r="H8873" s="37" t="str">
        <f t="shared" si="692"/>
        <v>Low</v>
      </c>
      <c r="I8873">
        <v>9</v>
      </c>
      <c r="J8873" t="str" cm="1">
        <f t="array" ref="J8873">_xlfn.IFS(I8873&lt;=3,"small",I8873&lt;=6,"Medium",I8873&lt;=9,"Large")</f>
        <v>Large</v>
      </c>
      <c r="K8873" s="36">
        <v>45296</v>
      </c>
      <c r="L8873" s="36">
        <v>45303</v>
      </c>
      <c r="M8873" t="s">
        <v>603</v>
      </c>
      <c r="N8873" t="s">
        <v>599</v>
      </c>
      <c r="O8873" s="37" t="str">
        <f t="shared" si="693"/>
        <v>Digital Payment</v>
      </c>
      <c r="P8873">
        <v>255.2</v>
      </c>
      <c r="Q8873" s="37" t="str">
        <f>IF(P8873&gt;500,"High","low")</f>
        <v>low</v>
      </c>
      <c r="R8873" s="37" t="str">
        <f t="shared" si="694"/>
        <v>AVERAGE</v>
      </c>
      <c r="S8873" t="s">
        <v>628</v>
      </c>
    </row>
    <row r="8874" spans="1:19" x14ac:dyDescent="0.2">
      <c r="A8874" t="s">
        <v>9485</v>
      </c>
      <c r="B8874" t="s">
        <v>75</v>
      </c>
      <c r="C8874" t="s">
        <v>597</v>
      </c>
      <c r="D8874">
        <v>937.6</v>
      </c>
      <c r="E8874" s="37" t="str">
        <f t="shared" si="690"/>
        <v xml:space="preserve"> </v>
      </c>
      <c r="F8874">
        <v>0.24</v>
      </c>
      <c r="G8874" s="37" t="str">
        <f t="shared" si="691"/>
        <v>Normal Discount</v>
      </c>
      <c r="H8874" s="37" t="str">
        <f t="shared" si="692"/>
        <v>Medium</v>
      </c>
      <c r="I8874">
        <v>1</v>
      </c>
      <c r="J8874" t="str" cm="1">
        <f t="array" ref="J8874">_xlfn.IFS(I8874&lt;=3,"small",I8874&lt;=6,"Medium",I8874&lt;=9,"Large")</f>
        <v>small</v>
      </c>
      <c r="K8874" s="36">
        <v>45190</v>
      </c>
      <c r="L8874" s="36">
        <v>45194</v>
      </c>
      <c r="M8874" t="s">
        <v>598</v>
      </c>
      <c r="N8874" t="s">
        <v>599</v>
      </c>
      <c r="O8874" s="37" t="str">
        <f t="shared" si="693"/>
        <v>Digital Payment</v>
      </c>
      <c r="P8874">
        <v>67.069999999999993</v>
      </c>
      <c r="Q8874" s="37" t="str">
        <f>IF(P8874&gt;500,"High","low")</f>
        <v>low</v>
      </c>
      <c r="R8874" s="37" t="str">
        <f t="shared" si="694"/>
        <v>AVERAGE</v>
      </c>
      <c r="S8874" t="s">
        <v>609</v>
      </c>
    </row>
    <row r="8875" spans="1:19" x14ac:dyDescent="0.2">
      <c r="A8875" t="s">
        <v>9486</v>
      </c>
      <c r="B8875" t="s">
        <v>90</v>
      </c>
      <c r="C8875" t="s">
        <v>602</v>
      </c>
      <c r="D8875">
        <v>990.34</v>
      </c>
      <c r="E8875" s="37" t="str">
        <f t="shared" si="690"/>
        <v xml:space="preserve"> </v>
      </c>
      <c r="F8875">
        <v>0.03</v>
      </c>
      <c r="G8875" s="37" t="str">
        <f t="shared" si="691"/>
        <v>Normal Discount</v>
      </c>
      <c r="H8875" s="37" t="str">
        <f t="shared" si="692"/>
        <v>Low</v>
      </c>
      <c r="I8875">
        <v>9</v>
      </c>
      <c r="J8875" t="str" cm="1">
        <f t="array" ref="J8875">_xlfn.IFS(I8875&lt;=3,"small",I8875&lt;=6,"Medium",I8875&lt;=9,"Large")</f>
        <v>Large</v>
      </c>
      <c r="K8875" s="36">
        <v>45627</v>
      </c>
      <c r="L8875" s="36">
        <v>45629</v>
      </c>
      <c r="M8875" t="s">
        <v>598</v>
      </c>
      <c r="N8875" t="s">
        <v>608</v>
      </c>
      <c r="O8875" s="37" t="str">
        <f t="shared" si="693"/>
        <v>Cash Payment</v>
      </c>
      <c r="P8875">
        <v>211.98</v>
      </c>
      <c r="Q8875" s="37" t="str">
        <f>IF(P8875&gt;500,"High","low")</f>
        <v>low</v>
      </c>
      <c r="R8875" s="37" t="str">
        <f t="shared" si="694"/>
        <v>AVERAGE</v>
      </c>
      <c r="S8875" t="s">
        <v>605</v>
      </c>
    </row>
    <row r="8876" spans="1:19" x14ac:dyDescent="0.2">
      <c r="A8876" t="s">
        <v>9487</v>
      </c>
      <c r="B8876" t="s">
        <v>90</v>
      </c>
      <c r="C8876" t="s">
        <v>617</v>
      </c>
      <c r="D8876">
        <v>640.27</v>
      </c>
      <c r="E8876" s="37" t="str">
        <f t="shared" si="690"/>
        <v xml:space="preserve"> </v>
      </c>
      <c r="F8876">
        <v>0.23</v>
      </c>
      <c r="G8876" s="37" t="str">
        <f t="shared" si="691"/>
        <v>Normal Discount</v>
      </c>
      <c r="H8876" s="37" t="str">
        <f t="shared" si="692"/>
        <v>Medium</v>
      </c>
      <c r="I8876">
        <v>9</v>
      </c>
      <c r="J8876" t="str" cm="1">
        <f t="array" ref="J8876">_xlfn.IFS(I8876&lt;=3,"small",I8876&lt;=6,"Medium",I8876&lt;=9,"Large")</f>
        <v>Large</v>
      </c>
      <c r="K8876" s="36">
        <v>45446</v>
      </c>
      <c r="L8876" s="36">
        <v>45453</v>
      </c>
      <c r="M8876" t="s">
        <v>603</v>
      </c>
      <c r="N8876" t="s">
        <v>604</v>
      </c>
      <c r="O8876" s="37" t="str">
        <f t="shared" si="693"/>
        <v>Digital Payment</v>
      </c>
      <c r="P8876">
        <v>165.09</v>
      </c>
      <c r="Q8876" s="37" t="str">
        <f>IF(P8876&gt;500,"High","low")</f>
        <v>low</v>
      </c>
      <c r="R8876" s="37" t="str">
        <f t="shared" si="694"/>
        <v>AVERAGE</v>
      </c>
      <c r="S8876" t="s">
        <v>615</v>
      </c>
    </row>
    <row r="8877" spans="1:19" x14ac:dyDescent="0.2">
      <c r="A8877" t="s">
        <v>9488</v>
      </c>
      <c r="B8877" t="s">
        <v>90</v>
      </c>
      <c r="C8877" t="s">
        <v>614</v>
      </c>
      <c r="D8877">
        <v>4720.58</v>
      </c>
      <c r="E8877" s="37" t="str">
        <f t="shared" si="690"/>
        <v>Excellent Order</v>
      </c>
      <c r="F8877">
        <v>0.23</v>
      </c>
      <c r="G8877" s="37" t="str">
        <f t="shared" si="691"/>
        <v>Normal Discount</v>
      </c>
      <c r="H8877" s="37" t="str">
        <f t="shared" si="692"/>
        <v>Medium</v>
      </c>
      <c r="I8877">
        <v>1</v>
      </c>
      <c r="J8877" t="str" cm="1">
        <f t="array" ref="J8877">_xlfn.IFS(I8877&lt;=3,"small",I8877&lt;=6,"Medium",I8877&lt;=9,"Large")</f>
        <v>small</v>
      </c>
      <c r="K8877" s="36">
        <v>45573</v>
      </c>
      <c r="L8877" s="36">
        <v>45575</v>
      </c>
      <c r="M8877" t="s">
        <v>612</v>
      </c>
      <c r="N8877" t="s">
        <v>608</v>
      </c>
      <c r="O8877" s="37" t="str">
        <f t="shared" si="693"/>
        <v>Cash Payment</v>
      </c>
      <c r="P8877">
        <v>1045.02</v>
      </c>
      <c r="Q8877" s="37" t="str">
        <f>IF(P8877&gt;500,"High","low")</f>
        <v>High</v>
      </c>
      <c r="R8877" s="37" t="str">
        <f t="shared" si="694"/>
        <v>Excellent</v>
      </c>
      <c r="S8877" t="s">
        <v>600</v>
      </c>
    </row>
    <row r="8878" spans="1:19" x14ac:dyDescent="0.2">
      <c r="A8878" t="s">
        <v>9489</v>
      </c>
      <c r="B8878" t="s">
        <v>90</v>
      </c>
      <c r="C8878" t="s">
        <v>597</v>
      </c>
      <c r="D8878">
        <v>3396.48</v>
      </c>
      <c r="E8878" s="37" t="str">
        <f t="shared" si="690"/>
        <v xml:space="preserve"> </v>
      </c>
      <c r="F8878">
        <v>0.01</v>
      </c>
      <c r="G8878" s="37" t="str">
        <f t="shared" si="691"/>
        <v>Normal Discount</v>
      </c>
      <c r="H8878" s="37" t="str">
        <f t="shared" si="692"/>
        <v>Low</v>
      </c>
      <c r="I8878">
        <v>9</v>
      </c>
      <c r="J8878" t="str" cm="1">
        <f t="array" ref="J8878">_xlfn.IFS(I8878&lt;=3,"small",I8878&lt;=6,"Medium",I8878&lt;=9,"Large")</f>
        <v>Large</v>
      </c>
      <c r="K8878" s="36">
        <v>45335</v>
      </c>
      <c r="L8878" s="36">
        <v>45340</v>
      </c>
      <c r="M8878" t="s">
        <v>612</v>
      </c>
      <c r="N8878" t="s">
        <v>608</v>
      </c>
      <c r="O8878" s="37" t="str">
        <f t="shared" si="693"/>
        <v>Cash Payment</v>
      </c>
      <c r="P8878">
        <v>479.75</v>
      </c>
      <c r="Q8878" s="37" t="str">
        <f>IF(P8878&gt;500,"High","low")</f>
        <v>low</v>
      </c>
      <c r="R8878" s="37" t="str">
        <f t="shared" si="694"/>
        <v>AVERAGE</v>
      </c>
      <c r="S8878" t="s">
        <v>605</v>
      </c>
    </row>
    <row r="8879" spans="1:19" x14ac:dyDescent="0.2">
      <c r="A8879" t="s">
        <v>9490</v>
      </c>
      <c r="B8879" t="s">
        <v>90</v>
      </c>
      <c r="C8879" t="s">
        <v>617</v>
      </c>
      <c r="D8879">
        <v>3970.56</v>
      </c>
      <c r="E8879" s="37" t="str">
        <f t="shared" si="690"/>
        <v xml:space="preserve"> </v>
      </c>
      <c r="F8879">
        <v>0.26</v>
      </c>
      <c r="G8879" s="37" t="str">
        <f t="shared" si="691"/>
        <v>Normal Discount</v>
      </c>
      <c r="H8879" s="37" t="str">
        <f t="shared" si="692"/>
        <v>Medium</v>
      </c>
      <c r="I8879">
        <v>6</v>
      </c>
      <c r="J8879" t="str" cm="1">
        <f t="array" ref="J8879">_xlfn.IFS(I8879&lt;=3,"small",I8879&lt;=6,"Medium",I8879&lt;=9,"Large")</f>
        <v>Medium</v>
      </c>
      <c r="K8879" s="36">
        <v>44961</v>
      </c>
      <c r="L8879" s="36">
        <v>44968</v>
      </c>
      <c r="M8879" t="s">
        <v>603</v>
      </c>
      <c r="N8879" t="s">
        <v>604</v>
      </c>
      <c r="O8879" s="37" t="str">
        <f t="shared" si="693"/>
        <v>Digital Payment</v>
      </c>
      <c r="P8879">
        <v>1021.86</v>
      </c>
      <c r="Q8879" s="37" t="str">
        <f>IF(P8879&gt;500,"High","low")</f>
        <v>High</v>
      </c>
      <c r="R8879" s="37" t="str">
        <f t="shared" si="694"/>
        <v>Excellent</v>
      </c>
      <c r="S8879" t="s">
        <v>620</v>
      </c>
    </row>
    <row r="8880" spans="1:19" x14ac:dyDescent="0.2">
      <c r="A8880" t="s">
        <v>9491</v>
      </c>
      <c r="B8880" t="s">
        <v>75</v>
      </c>
      <c r="C8880" t="s">
        <v>614</v>
      </c>
      <c r="D8880">
        <v>1722.67</v>
      </c>
      <c r="E8880" s="37" t="str">
        <f t="shared" si="690"/>
        <v xml:space="preserve"> </v>
      </c>
      <c r="F8880">
        <v>0.37</v>
      </c>
      <c r="G8880" s="37" t="str">
        <f t="shared" si="691"/>
        <v>Heavy Discount</v>
      </c>
      <c r="H8880" s="37" t="str">
        <f t="shared" si="692"/>
        <v>Medium</v>
      </c>
      <c r="I8880">
        <v>8</v>
      </c>
      <c r="J8880" t="str" cm="1">
        <f t="array" ref="J8880">_xlfn.IFS(I8880&lt;=3,"small",I8880&lt;=6,"Medium",I8880&lt;=9,"Large")</f>
        <v>Large</v>
      </c>
      <c r="K8880" s="36">
        <v>45517</v>
      </c>
      <c r="L8880" s="36">
        <v>45522</v>
      </c>
      <c r="M8880" t="s">
        <v>603</v>
      </c>
      <c r="N8880" t="s">
        <v>608</v>
      </c>
      <c r="O8880" s="37" t="str">
        <f t="shared" si="693"/>
        <v>Cash Payment</v>
      </c>
      <c r="P8880">
        <v>88.46</v>
      </c>
      <c r="Q8880" s="37" t="str">
        <f>IF(P8880&gt;500,"High","low")</f>
        <v>low</v>
      </c>
      <c r="R8880" s="37" t="str">
        <f t="shared" si="694"/>
        <v>AVERAGE</v>
      </c>
      <c r="S8880" t="s">
        <v>615</v>
      </c>
    </row>
    <row r="8881" spans="1:19" x14ac:dyDescent="0.2">
      <c r="A8881" t="s">
        <v>9492</v>
      </c>
      <c r="B8881" t="s">
        <v>83</v>
      </c>
      <c r="C8881" t="s">
        <v>617</v>
      </c>
      <c r="D8881">
        <v>2356.0700000000002</v>
      </c>
      <c r="E8881" s="37" t="str">
        <f t="shared" si="690"/>
        <v xml:space="preserve"> </v>
      </c>
      <c r="F8881">
        <v>0.23</v>
      </c>
      <c r="G8881" s="37" t="str">
        <f t="shared" si="691"/>
        <v>Normal Discount</v>
      </c>
      <c r="H8881" s="37" t="str">
        <f t="shared" si="692"/>
        <v>Medium</v>
      </c>
      <c r="I8881">
        <v>8</v>
      </c>
      <c r="J8881" t="str" cm="1">
        <f t="array" ref="J8881">_xlfn.IFS(I8881&lt;=3,"small",I8881&lt;=6,"Medium",I8881&lt;=9,"Large")</f>
        <v>Large</v>
      </c>
      <c r="K8881" s="36">
        <v>45584</v>
      </c>
      <c r="L8881" s="36">
        <v>45587</v>
      </c>
      <c r="M8881" t="s">
        <v>612</v>
      </c>
      <c r="N8881" t="s">
        <v>608</v>
      </c>
      <c r="O8881" s="37" t="str">
        <f t="shared" si="693"/>
        <v>Cash Payment</v>
      </c>
      <c r="P8881">
        <v>214.8</v>
      </c>
      <c r="Q8881" s="37" t="str">
        <f>IF(P8881&gt;500,"High","low")</f>
        <v>low</v>
      </c>
      <c r="R8881" s="37" t="str">
        <f t="shared" si="694"/>
        <v>AVERAGE</v>
      </c>
      <c r="S8881" t="s">
        <v>605</v>
      </c>
    </row>
    <row r="8882" spans="1:19" x14ac:dyDescent="0.2">
      <c r="A8882" t="s">
        <v>9493</v>
      </c>
      <c r="B8882" t="s">
        <v>83</v>
      </c>
      <c r="C8882" t="s">
        <v>614</v>
      </c>
      <c r="D8882">
        <v>294.92</v>
      </c>
      <c r="E8882" s="37" t="str">
        <f t="shared" si="690"/>
        <v xml:space="preserve"> </v>
      </c>
      <c r="F8882">
        <v>0.32</v>
      </c>
      <c r="G8882" s="37" t="str">
        <f t="shared" si="691"/>
        <v>Heavy Discount</v>
      </c>
      <c r="H8882" s="37" t="str">
        <f t="shared" si="692"/>
        <v>Medium</v>
      </c>
      <c r="I8882">
        <v>8</v>
      </c>
      <c r="J8882" t="str" cm="1">
        <f t="array" ref="J8882">_xlfn.IFS(I8882&lt;=3,"small",I8882&lt;=6,"Medium",I8882&lt;=9,"Large")</f>
        <v>Large</v>
      </c>
      <c r="K8882" s="36">
        <v>45193</v>
      </c>
      <c r="L8882" s="36">
        <v>45200</v>
      </c>
      <c r="M8882" t="s">
        <v>598</v>
      </c>
      <c r="N8882" t="s">
        <v>604</v>
      </c>
      <c r="O8882" s="37" t="str">
        <f t="shared" si="693"/>
        <v>Digital Payment</v>
      </c>
      <c r="P8882">
        <v>51.69</v>
      </c>
      <c r="Q8882" s="37" t="str">
        <f>IF(P8882&gt;500,"High","low")</f>
        <v>low</v>
      </c>
      <c r="R8882" s="37" t="str">
        <f t="shared" si="694"/>
        <v>AVERAGE</v>
      </c>
      <c r="S8882" t="s">
        <v>605</v>
      </c>
    </row>
    <row r="8883" spans="1:19" x14ac:dyDescent="0.2">
      <c r="A8883" t="s">
        <v>9494</v>
      </c>
      <c r="B8883" t="s">
        <v>83</v>
      </c>
      <c r="C8883" t="s">
        <v>607</v>
      </c>
      <c r="D8883">
        <v>4456.1400000000003</v>
      </c>
      <c r="E8883" s="37" t="str">
        <f t="shared" si="690"/>
        <v>Excellent Order</v>
      </c>
      <c r="F8883">
        <v>0.27</v>
      </c>
      <c r="G8883" s="37" t="str">
        <f t="shared" si="691"/>
        <v>Normal Discount</v>
      </c>
      <c r="H8883" s="37" t="str">
        <f t="shared" si="692"/>
        <v>Medium</v>
      </c>
      <c r="I8883">
        <v>8</v>
      </c>
      <c r="J8883" t="str" cm="1">
        <f t="array" ref="J8883">_xlfn.IFS(I8883&lt;=3,"small",I8883&lt;=6,"Medium",I8883&lt;=9,"Large")</f>
        <v>Large</v>
      </c>
      <c r="K8883" s="36">
        <v>45148</v>
      </c>
      <c r="L8883" s="36">
        <v>45150</v>
      </c>
      <c r="M8883" t="s">
        <v>598</v>
      </c>
      <c r="N8883" t="s">
        <v>599</v>
      </c>
      <c r="O8883" s="37" t="str">
        <f t="shared" si="693"/>
        <v>Digital Payment</v>
      </c>
      <c r="P8883">
        <v>1200.92</v>
      </c>
      <c r="Q8883" s="37" t="str">
        <f>IF(P8883&gt;500,"High","low")</f>
        <v>High</v>
      </c>
      <c r="R8883" s="37" t="str">
        <f t="shared" si="694"/>
        <v>Excellent</v>
      </c>
      <c r="S8883" t="s">
        <v>615</v>
      </c>
    </row>
    <row r="8884" spans="1:19" x14ac:dyDescent="0.2">
      <c r="A8884" t="s">
        <v>9495</v>
      </c>
      <c r="B8884" t="s">
        <v>83</v>
      </c>
      <c r="C8884" t="s">
        <v>614</v>
      </c>
      <c r="D8884">
        <v>4279.72</v>
      </c>
      <c r="E8884" s="37" t="str">
        <f t="shared" si="690"/>
        <v xml:space="preserve"> </v>
      </c>
      <c r="F8884">
        <v>0.39</v>
      </c>
      <c r="G8884" s="37" t="str">
        <f t="shared" si="691"/>
        <v>Heavy Discount</v>
      </c>
      <c r="H8884" s="37" t="str">
        <f t="shared" si="692"/>
        <v>Medium</v>
      </c>
      <c r="I8884">
        <v>1</v>
      </c>
      <c r="J8884" t="str" cm="1">
        <f t="array" ref="J8884">_xlfn.IFS(I8884&lt;=3,"small",I8884&lt;=6,"Medium",I8884&lt;=9,"Large")</f>
        <v>small</v>
      </c>
      <c r="K8884" s="36">
        <v>45339</v>
      </c>
      <c r="L8884" s="36">
        <v>45344</v>
      </c>
      <c r="M8884" t="s">
        <v>598</v>
      </c>
      <c r="N8884" t="s">
        <v>599</v>
      </c>
      <c r="O8884" s="37" t="str">
        <f t="shared" si="693"/>
        <v>Digital Payment</v>
      </c>
      <c r="P8884">
        <v>325.01</v>
      </c>
      <c r="Q8884" s="37" t="str">
        <f>IF(P8884&gt;500,"High","low")</f>
        <v>low</v>
      </c>
      <c r="R8884" s="37" t="str">
        <f t="shared" si="694"/>
        <v>AVERAGE</v>
      </c>
      <c r="S8884" t="s">
        <v>605</v>
      </c>
    </row>
    <row r="8885" spans="1:19" x14ac:dyDescent="0.2">
      <c r="A8885" t="s">
        <v>9496</v>
      </c>
      <c r="B8885" t="s">
        <v>75</v>
      </c>
      <c r="C8885" t="s">
        <v>597</v>
      </c>
      <c r="D8885">
        <v>3945.58</v>
      </c>
      <c r="E8885" s="37" t="str">
        <f t="shared" si="690"/>
        <v xml:space="preserve"> </v>
      </c>
      <c r="F8885">
        <v>0.26</v>
      </c>
      <c r="G8885" s="37" t="str">
        <f t="shared" si="691"/>
        <v>Normal Discount</v>
      </c>
      <c r="H8885" s="37" t="str">
        <f t="shared" si="692"/>
        <v>Medium</v>
      </c>
      <c r="I8885">
        <v>1</v>
      </c>
      <c r="J8885" t="str" cm="1">
        <f t="array" ref="J8885">_xlfn.IFS(I8885&lt;=3,"small",I8885&lt;=6,"Medium",I8885&lt;=9,"Large")</f>
        <v>small</v>
      </c>
      <c r="K8885" s="36">
        <v>45525</v>
      </c>
      <c r="L8885" s="36">
        <v>45531</v>
      </c>
      <c r="M8885" t="s">
        <v>612</v>
      </c>
      <c r="N8885" t="s">
        <v>599</v>
      </c>
      <c r="O8885" s="37" t="str">
        <f t="shared" si="693"/>
        <v>Digital Payment</v>
      </c>
      <c r="P8885">
        <v>692.71</v>
      </c>
      <c r="Q8885" s="37" t="str">
        <f>IF(P8885&gt;500,"High","low")</f>
        <v>High</v>
      </c>
      <c r="R8885" s="37" t="str">
        <f t="shared" si="694"/>
        <v>Good</v>
      </c>
      <c r="S8885" t="s">
        <v>605</v>
      </c>
    </row>
    <row r="8886" spans="1:19" x14ac:dyDescent="0.2">
      <c r="A8886" t="s">
        <v>9497</v>
      </c>
      <c r="B8886" t="s">
        <v>67</v>
      </c>
      <c r="C8886" t="s">
        <v>617</v>
      </c>
      <c r="D8886">
        <v>385.68</v>
      </c>
      <c r="E8886" s="37" t="str">
        <f t="shared" si="690"/>
        <v xml:space="preserve"> </v>
      </c>
      <c r="F8886">
        <v>0.17</v>
      </c>
      <c r="G8886" s="37" t="str">
        <f t="shared" si="691"/>
        <v>Normal Discount</v>
      </c>
      <c r="H8886" s="37" t="str">
        <f t="shared" si="692"/>
        <v>Low</v>
      </c>
      <c r="I8886">
        <v>7</v>
      </c>
      <c r="J8886" t="str" cm="1">
        <f t="array" ref="J8886">_xlfn.IFS(I8886&lt;=3,"small",I8886&lt;=6,"Medium",I8886&lt;=9,"Large")</f>
        <v>Large</v>
      </c>
      <c r="K8886" s="36">
        <v>45181</v>
      </c>
      <c r="L8886" s="36">
        <v>45185</v>
      </c>
      <c r="M8886" t="s">
        <v>603</v>
      </c>
      <c r="N8886" t="s">
        <v>608</v>
      </c>
      <c r="O8886" s="37" t="str">
        <f t="shared" si="693"/>
        <v>Cash Payment</v>
      </c>
      <c r="P8886">
        <v>39.130000000000003</v>
      </c>
      <c r="Q8886" s="37" t="str">
        <f>IF(P8886&gt;500,"High","low")</f>
        <v>low</v>
      </c>
      <c r="R8886" s="37" t="str">
        <f t="shared" si="694"/>
        <v>AVERAGE</v>
      </c>
      <c r="S8886" t="s">
        <v>620</v>
      </c>
    </row>
    <row r="8887" spans="1:19" x14ac:dyDescent="0.2">
      <c r="A8887" t="s">
        <v>9498</v>
      </c>
      <c r="B8887" t="s">
        <v>67</v>
      </c>
      <c r="C8887" t="s">
        <v>617</v>
      </c>
      <c r="D8887">
        <v>953.82</v>
      </c>
      <c r="E8887" s="37" t="str">
        <f t="shared" si="690"/>
        <v xml:space="preserve"> </v>
      </c>
      <c r="F8887">
        <v>0.41</v>
      </c>
      <c r="G8887" s="37" t="str">
        <f t="shared" si="691"/>
        <v>Heavy Discount</v>
      </c>
      <c r="H8887" s="37" t="str">
        <f t="shared" si="692"/>
        <v>High</v>
      </c>
      <c r="I8887">
        <v>9</v>
      </c>
      <c r="J8887" t="str" cm="1">
        <f t="array" ref="J8887">_xlfn.IFS(I8887&lt;=3,"small",I8887&lt;=6,"Medium",I8887&lt;=9,"Large")</f>
        <v>Large</v>
      </c>
      <c r="K8887" s="36">
        <v>45536</v>
      </c>
      <c r="L8887" s="36">
        <v>45538</v>
      </c>
      <c r="M8887" t="s">
        <v>598</v>
      </c>
      <c r="N8887" t="s">
        <v>608</v>
      </c>
      <c r="O8887" s="37" t="str">
        <f t="shared" si="693"/>
        <v>Cash Payment</v>
      </c>
      <c r="P8887">
        <v>99.19</v>
      </c>
      <c r="Q8887" s="37" t="str">
        <f>IF(P8887&gt;500,"High","low")</f>
        <v>low</v>
      </c>
      <c r="R8887" s="37" t="str">
        <f t="shared" si="694"/>
        <v>AVERAGE</v>
      </c>
      <c r="S8887" t="s">
        <v>605</v>
      </c>
    </row>
    <row r="8888" spans="1:19" x14ac:dyDescent="0.2">
      <c r="A8888" t="s">
        <v>9499</v>
      </c>
      <c r="B8888" t="s">
        <v>75</v>
      </c>
      <c r="C8888" t="s">
        <v>617</v>
      </c>
      <c r="D8888">
        <v>1737.44</v>
      </c>
      <c r="E8888" s="37" t="str">
        <f t="shared" si="690"/>
        <v xml:space="preserve"> </v>
      </c>
      <c r="F8888">
        <v>0.03</v>
      </c>
      <c r="G8888" s="37" t="str">
        <f t="shared" si="691"/>
        <v>Normal Discount</v>
      </c>
      <c r="H8888" s="37" t="str">
        <f t="shared" si="692"/>
        <v>Low</v>
      </c>
      <c r="I8888">
        <v>8</v>
      </c>
      <c r="J8888" t="str" cm="1">
        <f t="array" ref="J8888">_xlfn.IFS(I8888&lt;=3,"small",I8888&lt;=6,"Medium",I8888&lt;=9,"Large")</f>
        <v>Large</v>
      </c>
      <c r="K8888" s="36">
        <v>45393</v>
      </c>
      <c r="L8888" s="36">
        <v>45399</v>
      </c>
      <c r="M8888" t="s">
        <v>603</v>
      </c>
      <c r="N8888" t="s">
        <v>604</v>
      </c>
      <c r="O8888" s="37" t="str">
        <f t="shared" si="693"/>
        <v>Digital Payment</v>
      </c>
      <c r="P8888">
        <v>452.4</v>
      </c>
      <c r="Q8888" s="37" t="str">
        <f>IF(P8888&gt;500,"High","low")</f>
        <v>low</v>
      </c>
      <c r="R8888" s="37" t="str">
        <f t="shared" si="694"/>
        <v>AVERAGE</v>
      </c>
      <c r="S8888" t="s">
        <v>609</v>
      </c>
    </row>
    <row r="8889" spans="1:19" x14ac:dyDescent="0.2">
      <c r="A8889" t="s">
        <v>9500</v>
      </c>
      <c r="B8889" t="s">
        <v>75</v>
      </c>
      <c r="C8889" t="s">
        <v>602</v>
      </c>
      <c r="D8889">
        <v>1389.01</v>
      </c>
      <c r="E8889" s="37" t="str">
        <f t="shared" si="690"/>
        <v xml:space="preserve"> </v>
      </c>
      <c r="F8889">
        <v>0.14000000000000001</v>
      </c>
      <c r="G8889" s="37" t="str">
        <f t="shared" si="691"/>
        <v>Normal Discount</v>
      </c>
      <c r="H8889" s="37" t="str">
        <f t="shared" si="692"/>
        <v>Low</v>
      </c>
      <c r="I8889">
        <v>5</v>
      </c>
      <c r="J8889" t="str" cm="1">
        <f t="array" ref="J8889">_xlfn.IFS(I8889&lt;=3,"small",I8889&lt;=6,"Medium",I8889&lt;=9,"Large")</f>
        <v>Medium</v>
      </c>
      <c r="K8889" s="36">
        <v>45444</v>
      </c>
      <c r="L8889" s="36">
        <v>45450</v>
      </c>
      <c r="M8889" t="s">
        <v>612</v>
      </c>
      <c r="N8889" t="s">
        <v>608</v>
      </c>
      <c r="O8889" s="37" t="str">
        <f t="shared" si="693"/>
        <v>Cash Payment</v>
      </c>
      <c r="P8889">
        <v>127.75</v>
      </c>
      <c r="Q8889" s="37" t="str">
        <f>IF(P8889&gt;500,"High","low")</f>
        <v>low</v>
      </c>
      <c r="R8889" s="37" t="str">
        <f t="shared" si="694"/>
        <v>AVERAGE</v>
      </c>
      <c r="S8889" t="s">
        <v>609</v>
      </c>
    </row>
    <row r="8890" spans="1:19" x14ac:dyDescent="0.2">
      <c r="A8890" t="s">
        <v>9501</v>
      </c>
      <c r="B8890" t="s">
        <v>90</v>
      </c>
      <c r="C8890" t="s">
        <v>602</v>
      </c>
      <c r="D8890">
        <v>4208.45</v>
      </c>
      <c r="E8890" s="37" t="str">
        <f t="shared" si="690"/>
        <v xml:space="preserve"> </v>
      </c>
      <c r="F8890">
        <v>0.3</v>
      </c>
      <c r="G8890" s="37" t="str">
        <f t="shared" si="691"/>
        <v>Normal Discount</v>
      </c>
      <c r="H8890" s="37" t="str">
        <f t="shared" si="692"/>
        <v>Medium</v>
      </c>
      <c r="I8890">
        <v>8</v>
      </c>
      <c r="J8890" t="str" cm="1">
        <f t="array" ref="J8890">_xlfn.IFS(I8890&lt;=3,"small",I8890&lt;=6,"Medium",I8890&lt;=9,"Large")</f>
        <v>Large</v>
      </c>
      <c r="K8890" s="36">
        <v>45159</v>
      </c>
      <c r="L8890" s="36">
        <v>45166</v>
      </c>
      <c r="M8890" t="s">
        <v>612</v>
      </c>
      <c r="N8890" t="s">
        <v>604</v>
      </c>
      <c r="O8890" s="37" t="str">
        <f t="shared" si="693"/>
        <v>Digital Payment</v>
      </c>
      <c r="P8890">
        <v>282.06</v>
      </c>
      <c r="Q8890" s="37" t="str">
        <f>IF(P8890&gt;500,"High","low")</f>
        <v>low</v>
      </c>
      <c r="R8890" s="37" t="str">
        <f t="shared" si="694"/>
        <v>AVERAGE</v>
      </c>
      <c r="S8890" t="s">
        <v>628</v>
      </c>
    </row>
    <row r="8891" spans="1:19" x14ac:dyDescent="0.2">
      <c r="A8891" t="s">
        <v>9502</v>
      </c>
      <c r="B8891" t="s">
        <v>90</v>
      </c>
      <c r="C8891" t="s">
        <v>597</v>
      </c>
      <c r="D8891">
        <v>1054.7</v>
      </c>
      <c r="E8891" s="37" t="str">
        <f t="shared" si="690"/>
        <v xml:space="preserve"> </v>
      </c>
      <c r="F8891">
        <v>0.43</v>
      </c>
      <c r="G8891" s="37" t="str">
        <f t="shared" si="691"/>
        <v>Heavy Discount</v>
      </c>
      <c r="H8891" s="37" t="str">
        <f t="shared" si="692"/>
        <v>High</v>
      </c>
      <c r="I8891">
        <v>9</v>
      </c>
      <c r="J8891" t="str" cm="1">
        <f t="array" ref="J8891">_xlfn.IFS(I8891&lt;=3,"small",I8891&lt;=6,"Medium",I8891&lt;=9,"Large")</f>
        <v>Large</v>
      </c>
      <c r="K8891" s="36">
        <v>44941</v>
      </c>
      <c r="L8891" s="36">
        <v>44945</v>
      </c>
      <c r="M8891" t="s">
        <v>612</v>
      </c>
      <c r="N8891" t="s">
        <v>599</v>
      </c>
      <c r="O8891" s="37" t="str">
        <f t="shared" si="693"/>
        <v>Digital Payment</v>
      </c>
      <c r="P8891">
        <v>75.28</v>
      </c>
      <c r="Q8891" s="37" t="str">
        <f>IF(P8891&gt;500,"High","low")</f>
        <v>low</v>
      </c>
      <c r="R8891" s="37" t="str">
        <f t="shared" si="694"/>
        <v>AVERAGE</v>
      </c>
      <c r="S8891" t="s">
        <v>628</v>
      </c>
    </row>
    <row r="8892" spans="1:19" x14ac:dyDescent="0.2">
      <c r="A8892" t="s">
        <v>9503</v>
      </c>
      <c r="B8892" t="s">
        <v>90</v>
      </c>
      <c r="C8892" t="s">
        <v>607</v>
      </c>
      <c r="D8892">
        <v>2707.41</v>
      </c>
      <c r="E8892" s="37" t="str">
        <f t="shared" si="690"/>
        <v xml:space="preserve"> </v>
      </c>
      <c r="F8892">
        <v>0.04</v>
      </c>
      <c r="G8892" s="37" t="str">
        <f t="shared" si="691"/>
        <v>Normal Discount</v>
      </c>
      <c r="H8892" s="37" t="str">
        <f t="shared" si="692"/>
        <v>Low</v>
      </c>
      <c r="I8892">
        <v>7</v>
      </c>
      <c r="J8892" t="str" cm="1">
        <f t="array" ref="J8892">_xlfn.IFS(I8892&lt;=3,"small",I8892&lt;=6,"Medium",I8892&lt;=9,"Large")</f>
        <v>Large</v>
      </c>
      <c r="K8892" s="36">
        <v>45255</v>
      </c>
      <c r="L8892" s="36">
        <v>45259</v>
      </c>
      <c r="M8892" t="s">
        <v>598</v>
      </c>
      <c r="N8892" t="s">
        <v>604</v>
      </c>
      <c r="O8892" s="37" t="str">
        <f t="shared" si="693"/>
        <v>Digital Payment</v>
      </c>
      <c r="P8892">
        <v>372.39</v>
      </c>
      <c r="Q8892" s="37" t="str">
        <f>IF(P8892&gt;500,"High","low")</f>
        <v>low</v>
      </c>
      <c r="R8892" s="37" t="str">
        <f t="shared" si="694"/>
        <v>AVERAGE</v>
      </c>
      <c r="S8892" t="s">
        <v>620</v>
      </c>
    </row>
    <row r="8893" spans="1:19" x14ac:dyDescent="0.2">
      <c r="A8893" t="s">
        <v>9504</v>
      </c>
      <c r="B8893" t="s">
        <v>83</v>
      </c>
      <c r="C8893" t="s">
        <v>602</v>
      </c>
      <c r="D8893">
        <v>2899.77</v>
      </c>
      <c r="E8893" s="37" t="str">
        <f t="shared" si="690"/>
        <v xml:space="preserve"> </v>
      </c>
      <c r="F8893">
        <v>0.05</v>
      </c>
      <c r="G8893" s="37" t="str">
        <f t="shared" si="691"/>
        <v>Normal Discount</v>
      </c>
      <c r="H8893" s="37" t="str">
        <f t="shared" si="692"/>
        <v>Low</v>
      </c>
      <c r="I8893">
        <v>3</v>
      </c>
      <c r="J8893" t="str" cm="1">
        <f t="array" ref="J8893">_xlfn.IFS(I8893&lt;=3,"small",I8893&lt;=6,"Medium",I8893&lt;=9,"Large")</f>
        <v>small</v>
      </c>
      <c r="K8893" s="36">
        <v>45467</v>
      </c>
      <c r="L8893" s="36">
        <v>45473</v>
      </c>
      <c r="M8893" t="s">
        <v>598</v>
      </c>
      <c r="N8893" t="s">
        <v>599</v>
      </c>
      <c r="O8893" s="37" t="str">
        <f t="shared" si="693"/>
        <v>Digital Payment</v>
      </c>
      <c r="P8893">
        <v>537.30999999999995</v>
      </c>
      <c r="Q8893" s="37" t="str">
        <f>IF(P8893&gt;500,"High","low")</f>
        <v>High</v>
      </c>
      <c r="R8893" s="37" t="str">
        <f t="shared" si="694"/>
        <v>Good</v>
      </c>
      <c r="S8893" t="s">
        <v>605</v>
      </c>
    </row>
    <row r="8894" spans="1:19" x14ac:dyDescent="0.2">
      <c r="A8894" t="s">
        <v>9505</v>
      </c>
      <c r="B8894" t="s">
        <v>90</v>
      </c>
      <c r="C8894" t="s">
        <v>614</v>
      </c>
      <c r="D8894">
        <v>2182.56</v>
      </c>
      <c r="E8894" s="37" t="str">
        <f t="shared" si="690"/>
        <v xml:space="preserve"> </v>
      </c>
      <c r="F8894">
        <v>0.14000000000000001</v>
      </c>
      <c r="G8894" s="37" t="str">
        <f t="shared" si="691"/>
        <v>Normal Discount</v>
      </c>
      <c r="H8894" s="37" t="str">
        <f t="shared" si="692"/>
        <v>Low</v>
      </c>
      <c r="I8894">
        <v>9</v>
      </c>
      <c r="J8894" t="str" cm="1">
        <f t="array" ref="J8894">_xlfn.IFS(I8894&lt;=3,"small",I8894&lt;=6,"Medium",I8894&lt;=9,"Large")</f>
        <v>Large</v>
      </c>
      <c r="K8894" s="36">
        <v>45118</v>
      </c>
      <c r="L8894" s="36">
        <v>45121</v>
      </c>
      <c r="M8894" t="s">
        <v>603</v>
      </c>
      <c r="N8894" t="s">
        <v>599</v>
      </c>
      <c r="O8894" s="37" t="str">
        <f t="shared" si="693"/>
        <v>Digital Payment</v>
      </c>
      <c r="P8894">
        <v>115.39</v>
      </c>
      <c r="Q8894" s="37" t="str">
        <f>IF(P8894&gt;500,"High","low")</f>
        <v>low</v>
      </c>
      <c r="R8894" s="37" t="str">
        <f t="shared" si="694"/>
        <v>AVERAGE</v>
      </c>
      <c r="S8894" t="s">
        <v>628</v>
      </c>
    </row>
    <row r="8895" spans="1:19" x14ac:dyDescent="0.2">
      <c r="A8895" t="s">
        <v>9506</v>
      </c>
      <c r="B8895" t="s">
        <v>67</v>
      </c>
      <c r="C8895" t="s">
        <v>597</v>
      </c>
      <c r="D8895">
        <v>1279.3699999999999</v>
      </c>
      <c r="E8895" s="37" t="str">
        <f t="shared" si="690"/>
        <v xml:space="preserve"> </v>
      </c>
      <c r="F8895">
        <v>0.17</v>
      </c>
      <c r="G8895" s="37" t="str">
        <f t="shared" si="691"/>
        <v>Normal Discount</v>
      </c>
      <c r="H8895" s="37" t="str">
        <f t="shared" si="692"/>
        <v>Low</v>
      </c>
      <c r="I8895">
        <v>5</v>
      </c>
      <c r="J8895" t="str" cm="1">
        <f t="array" ref="J8895">_xlfn.IFS(I8895&lt;=3,"small",I8895&lt;=6,"Medium",I8895&lt;=9,"Large")</f>
        <v>Medium</v>
      </c>
      <c r="K8895" s="36">
        <v>45504</v>
      </c>
      <c r="L8895" s="36">
        <v>45511</v>
      </c>
      <c r="M8895" t="s">
        <v>598</v>
      </c>
      <c r="N8895" t="s">
        <v>608</v>
      </c>
      <c r="O8895" s="37" t="str">
        <f t="shared" si="693"/>
        <v>Cash Payment</v>
      </c>
      <c r="P8895">
        <v>381.81</v>
      </c>
      <c r="Q8895" s="37" t="str">
        <f>IF(P8895&gt;500,"High","low")</f>
        <v>low</v>
      </c>
      <c r="R8895" s="37" t="str">
        <f t="shared" si="694"/>
        <v>AVERAGE</v>
      </c>
      <c r="S8895" t="s">
        <v>609</v>
      </c>
    </row>
    <row r="8896" spans="1:19" x14ac:dyDescent="0.2">
      <c r="A8896" t="s">
        <v>9507</v>
      </c>
      <c r="B8896" t="s">
        <v>83</v>
      </c>
      <c r="C8896" t="s">
        <v>607</v>
      </c>
      <c r="D8896">
        <v>4805.4399999999996</v>
      </c>
      <c r="E8896" s="37" t="str">
        <f t="shared" si="690"/>
        <v>Excellent Order</v>
      </c>
      <c r="F8896">
        <v>0.42</v>
      </c>
      <c r="G8896" s="37" t="str">
        <f t="shared" si="691"/>
        <v>Heavy Discount</v>
      </c>
      <c r="H8896" s="37" t="str">
        <f t="shared" si="692"/>
        <v>High</v>
      </c>
      <c r="I8896">
        <v>8</v>
      </c>
      <c r="J8896" t="str" cm="1">
        <f t="array" ref="J8896">_xlfn.IFS(I8896&lt;=3,"small",I8896&lt;=6,"Medium",I8896&lt;=9,"Large")</f>
        <v>Large</v>
      </c>
      <c r="K8896" s="36">
        <v>45023</v>
      </c>
      <c r="L8896" s="36">
        <v>45025</v>
      </c>
      <c r="M8896" t="s">
        <v>603</v>
      </c>
      <c r="N8896" t="s">
        <v>608</v>
      </c>
      <c r="O8896" s="37" t="str">
        <f t="shared" si="693"/>
        <v>Cash Payment</v>
      </c>
      <c r="P8896">
        <v>1368.3</v>
      </c>
      <c r="Q8896" s="37" t="str">
        <f>IF(P8896&gt;500,"High","low")</f>
        <v>High</v>
      </c>
      <c r="R8896" s="37" t="str">
        <f t="shared" si="694"/>
        <v>Excellent</v>
      </c>
      <c r="S8896" t="s">
        <v>615</v>
      </c>
    </row>
    <row r="8897" spans="1:19" x14ac:dyDescent="0.2">
      <c r="A8897" t="s">
        <v>9508</v>
      </c>
      <c r="B8897" t="s">
        <v>90</v>
      </c>
      <c r="C8897" t="s">
        <v>614</v>
      </c>
      <c r="D8897">
        <v>2125.66</v>
      </c>
      <c r="E8897" s="37" t="str">
        <f t="shared" si="690"/>
        <v xml:space="preserve"> </v>
      </c>
      <c r="F8897">
        <v>0.48</v>
      </c>
      <c r="G8897" s="37" t="str">
        <f t="shared" si="691"/>
        <v>Heavy Discount</v>
      </c>
      <c r="H8897" s="37" t="str">
        <f t="shared" si="692"/>
        <v>High</v>
      </c>
      <c r="I8897">
        <v>1</v>
      </c>
      <c r="J8897" t="str" cm="1">
        <f t="array" ref="J8897">_xlfn.IFS(I8897&lt;=3,"small",I8897&lt;=6,"Medium",I8897&lt;=9,"Large")</f>
        <v>small</v>
      </c>
      <c r="K8897" s="36">
        <v>45156</v>
      </c>
      <c r="L8897" s="36">
        <v>45160</v>
      </c>
      <c r="M8897" t="s">
        <v>603</v>
      </c>
      <c r="N8897" t="s">
        <v>599</v>
      </c>
      <c r="O8897" s="37" t="str">
        <f t="shared" si="693"/>
        <v>Digital Payment</v>
      </c>
      <c r="P8897">
        <v>353.56</v>
      </c>
      <c r="Q8897" s="37" t="str">
        <f>IF(P8897&gt;500,"High","low")</f>
        <v>low</v>
      </c>
      <c r="R8897" s="37" t="str">
        <f t="shared" si="694"/>
        <v>AVERAGE</v>
      </c>
      <c r="S8897" t="s">
        <v>620</v>
      </c>
    </row>
    <row r="8898" spans="1:19" x14ac:dyDescent="0.2">
      <c r="A8898" t="s">
        <v>9509</v>
      </c>
      <c r="B8898" t="s">
        <v>83</v>
      </c>
      <c r="C8898" t="s">
        <v>617</v>
      </c>
      <c r="D8898">
        <v>3663.82</v>
      </c>
      <c r="E8898" s="37" t="str">
        <f t="shared" si="690"/>
        <v xml:space="preserve"> </v>
      </c>
      <c r="F8898">
        <v>0.01</v>
      </c>
      <c r="G8898" s="37" t="str">
        <f t="shared" si="691"/>
        <v>Normal Discount</v>
      </c>
      <c r="H8898" s="37" t="str">
        <f t="shared" si="692"/>
        <v>Low</v>
      </c>
      <c r="I8898">
        <v>1</v>
      </c>
      <c r="J8898" t="str" cm="1">
        <f t="array" ref="J8898">_xlfn.IFS(I8898&lt;=3,"small",I8898&lt;=6,"Medium",I8898&lt;=9,"Large")</f>
        <v>small</v>
      </c>
      <c r="K8898" s="36">
        <v>45141</v>
      </c>
      <c r="L8898" s="36">
        <v>45144</v>
      </c>
      <c r="M8898" t="s">
        <v>612</v>
      </c>
      <c r="N8898" t="s">
        <v>599</v>
      </c>
      <c r="O8898" s="37" t="str">
        <f t="shared" si="693"/>
        <v>Digital Payment</v>
      </c>
      <c r="P8898">
        <v>317.18</v>
      </c>
      <c r="Q8898" s="37" t="str">
        <f>IF(P8898&gt;500,"High","low")</f>
        <v>low</v>
      </c>
      <c r="R8898" s="37" t="str">
        <f t="shared" si="694"/>
        <v>AVERAGE</v>
      </c>
      <c r="S8898" t="s">
        <v>609</v>
      </c>
    </row>
    <row r="8899" spans="1:19" x14ac:dyDescent="0.2">
      <c r="A8899" t="s">
        <v>9510</v>
      </c>
      <c r="B8899" t="s">
        <v>67</v>
      </c>
      <c r="C8899" t="s">
        <v>602</v>
      </c>
      <c r="D8899">
        <v>1001.83</v>
      </c>
      <c r="E8899" s="37" t="str">
        <f t="shared" ref="E8899:E8962" si="695">IF(AND(D8899&gt;4000,P8899&gt;800),"Excellent Order"," ")</f>
        <v xml:space="preserve"> </v>
      </c>
      <c r="F8899">
        <v>0.01</v>
      </c>
      <c r="G8899" s="37" t="str">
        <f t="shared" ref="G8899:G8962" si="696">IF(F8899&gt;30%,"Heavy Discount","Normal Discount")</f>
        <v>Normal Discount</v>
      </c>
      <c r="H8899" s="37" t="str">
        <f t="shared" ref="H8899:H8962" si="697">IF(F8899&gt;0.4,"High",IF(F8899&gt;=0.2,"Medium","Low"))</f>
        <v>Low</v>
      </c>
      <c r="I8899">
        <v>3</v>
      </c>
      <c r="J8899" t="str" cm="1">
        <f t="array" ref="J8899">_xlfn.IFS(I8899&lt;=3,"small",I8899&lt;=6,"Medium",I8899&lt;=9,"Large")</f>
        <v>small</v>
      </c>
      <c r="K8899" s="36">
        <v>45558</v>
      </c>
      <c r="L8899" s="36">
        <v>45559</v>
      </c>
      <c r="M8899" t="s">
        <v>603</v>
      </c>
      <c r="N8899" t="s">
        <v>604</v>
      </c>
      <c r="O8899" s="37" t="str">
        <f t="shared" ref="O8899:O8962" si="698">IF(OR(N8899="Card",N8899="UPI"),"Digital Payment","Cash Payment")</f>
        <v>Digital Payment</v>
      </c>
      <c r="P8899">
        <v>90.5</v>
      </c>
      <c r="Q8899" s="37" t="str">
        <f>IF(P8899&gt;500,"High","low")</f>
        <v>low</v>
      </c>
      <c r="R8899" s="37" t="str">
        <f t="shared" ref="R8899:R8962" si="699">IF(P8899&gt;1000,"Excellent",IF(P8899&gt;=500,"Good","AVERAGE"))</f>
        <v>AVERAGE</v>
      </c>
      <c r="S8899" t="s">
        <v>609</v>
      </c>
    </row>
    <row r="8900" spans="1:19" x14ac:dyDescent="0.2">
      <c r="A8900" t="s">
        <v>9511</v>
      </c>
      <c r="B8900" t="s">
        <v>90</v>
      </c>
      <c r="C8900" t="s">
        <v>614</v>
      </c>
      <c r="D8900">
        <v>4131.7700000000004</v>
      </c>
      <c r="E8900" s="37" t="str">
        <f t="shared" si="695"/>
        <v xml:space="preserve"> </v>
      </c>
      <c r="F8900">
        <v>0.43</v>
      </c>
      <c r="G8900" s="37" t="str">
        <f t="shared" si="696"/>
        <v>Heavy Discount</v>
      </c>
      <c r="H8900" s="37" t="str">
        <f t="shared" si="697"/>
        <v>High</v>
      </c>
      <c r="I8900">
        <v>2</v>
      </c>
      <c r="J8900" t="str" cm="1">
        <f t="array" ref="J8900">_xlfn.IFS(I8900&lt;=3,"small",I8900&lt;=6,"Medium",I8900&lt;=9,"Large")</f>
        <v>small</v>
      </c>
      <c r="K8900" s="36">
        <v>45067</v>
      </c>
      <c r="L8900" s="36">
        <v>45068</v>
      </c>
      <c r="M8900" t="s">
        <v>598</v>
      </c>
      <c r="N8900" t="s">
        <v>604</v>
      </c>
      <c r="O8900" s="37" t="str">
        <f t="shared" si="698"/>
        <v>Digital Payment</v>
      </c>
      <c r="P8900">
        <v>609.08000000000004</v>
      </c>
      <c r="Q8900" s="37" t="str">
        <f>IF(P8900&gt;500,"High","low")</f>
        <v>High</v>
      </c>
      <c r="R8900" s="37" t="str">
        <f t="shared" si="699"/>
        <v>Good</v>
      </c>
      <c r="S8900" t="s">
        <v>628</v>
      </c>
    </row>
    <row r="8901" spans="1:19" x14ac:dyDescent="0.2">
      <c r="A8901" t="s">
        <v>9512</v>
      </c>
      <c r="B8901" t="s">
        <v>67</v>
      </c>
      <c r="C8901" t="s">
        <v>607</v>
      </c>
      <c r="D8901">
        <v>1157.8699999999999</v>
      </c>
      <c r="E8901" s="37" t="str">
        <f t="shared" si="695"/>
        <v xml:space="preserve"> </v>
      </c>
      <c r="F8901">
        <v>7.0000000000000007E-2</v>
      </c>
      <c r="G8901" s="37" t="str">
        <f t="shared" si="696"/>
        <v>Normal Discount</v>
      </c>
      <c r="H8901" s="37" t="str">
        <f t="shared" si="697"/>
        <v>Low</v>
      </c>
      <c r="I8901">
        <v>5</v>
      </c>
      <c r="J8901" t="str" cm="1">
        <f t="array" ref="J8901">_xlfn.IFS(I8901&lt;=3,"small",I8901&lt;=6,"Medium",I8901&lt;=9,"Large")</f>
        <v>Medium</v>
      </c>
      <c r="K8901" s="36">
        <v>45394</v>
      </c>
      <c r="L8901" s="36">
        <v>45398</v>
      </c>
      <c r="M8901" t="s">
        <v>598</v>
      </c>
      <c r="N8901" t="s">
        <v>608</v>
      </c>
      <c r="O8901" s="37" t="str">
        <f t="shared" si="698"/>
        <v>Cash Payment</v>
      </c>
      <c r="P8901">
        <v>322.07</v>
      </c>
      <c r="Q8901" s="37" t="str">
        <f>IF(P8901&gt;500,"High","low")</f>
        <v>low</v>
      </c>
      <c r="R8901" s="37" t="str">
        <f t="shared" si="699"/>
        <v>AVERAGE</v>
      </c>
      <c r="S8901" t="s">
        <v>609</v>
      </c>
    </row>
    <row r="8902" spans="1:19" x14ac:dyDescent="0.2">
      <c r="A8902" t="s">
        <v>9513</v>
      </c>
      <c r="B8902" t="s">
        <v>67</v>
      </c>
      <c r="C8902" t="s">
        <v>597</v>
      </c>
      <c r="D8902">
        <v>3409</v>
      </c>
      <c r="E8902" s="37" t="str">
        <f t="shared" si="695"/>
        <v xml:space="preserve"> </v>
      </c>
      <c r="F8902">
        <v>0.17</v>
      </c>
      <c r="G8902" s="37" t="str">
        <f t="shared" si="696"/>
        <v>Normal Discount</v>
      </c>
      <c r="H8902" s="37" t="str">
        <f t="shared" si="697"/>
        <v>Low</v>
      </c>
      <c r="I8902">
        <v>9</v>
      </c>
      <c r="J8902" t="str" cm="1">
        <f t="array" ref="J8902">_xlfn.IFS(I8902&lt;=3,"small",I8902&lt;=6,"Medium",I8902&lt;=9,"Large")</f>
        <v>Large</v>
      </c>
      <c r="K8902" s="36">
        <v>44997</v>
      </c>
      <c r="L8902" s="36">
        <v>45001</v>
      </c>
      <c r="M8902" t="s">
        <v>603</v>
      </c>
      <c r="N8902" t="s">
        <v>599</v>
      </c>
      <c r="O8902" s="37" t="str">
        <f t="shared" si="698"/>
        <v>Digital Payment</v>
      </c>
      <c r="P8902">
        <v>522.21</v>
      </c>
      <c r="Q8902" s="37" t="str">
        <f>IF(P8902&gt;500,"High","low")</f>
        <v>High</v>
      </c>
      <c r="R8902" s="37" t="str">
        <f t="shared" si="699"/>
        <v>Good</v>
      </c>
      <c r="S8902" t="s">
        <v>605</v>
      </c>
    </row>
    <row r="8903" spans="1:19" x14ac:dyDescent="0.2">
      <c r="A8903" t="s">
        <v>9514</v>
      </c>
      <c r="B8903" t="s">
        <v>67</v>
      </c>
      <c r="C8903" t="s">
        <v>614</v>
      </c>
      <c r="D8903">
        <v>2581.83</v>
      </c>
      <c r="E8903" s="37" t="str">
        <f t="shared" si="695"/>
        <v xml:space="preserve"> </v>
      </c>
      <c r="F8903">
        <v>0.14000000000000001</v>
      </c>
      <c r="G8903" s="37" t="str">
        <f t="shared" si="696"/>
        <v>Normal Discount</v>
      </c>
      <c r="H8903" s="37" t="str">
        <f t="shared" si="697"/>
        <v>Low</v>
      </c>
      <c r="I8903">
        <v>9</v>
      </c>
      <c r="J8903" t="str" cm="1">
        <f t="array" ref="J8903">_xlfn.IFS(I8903&lt;=3,"small",I8903&lt;=6,"Medium",I8903&lt;=9,"Large")</f>
        <v>Large</v>
      </c>
      <c r="K8903" s="36">
        <v>45617</v>
      </c>
      <c r="L8903" s="36">
        <v>45618</v>
      </c>
      <c r="M8903" t="s">
        <v>603</v>
      </c>
      <c r="N8903" t="s">
        <v>608</v>
      </c>
      <c r="O8903" s="37" t="str">
        <f t="shared" si="698"/>
        <v>Cash Payment</v>
      </c>
      <c r="P8903">
        <v>379.09</v>
      </c>
      <c r="Q8903" s="37" t="str">
        <f>IF(P8903&gt;500,"High","low")</f>
        <v>low</v>
      </c>
      <c r="R8903" s="37" t="str">
        <f t="shared" si="699"/>
        <v>AVERAGE</v>
      </c>
      <c r="S8903" t="s">
        <v>615</v>
      </c>
    </row>
    <row r="8904" spans="1:19" x14ac:dyDescent="0.2">
      <c r="A8904" t="s">
        <v>9515</v>
      </c>
      <c r="B8904" t="s">
        <v>90</v>
      </c>
      <c r="C8904" t="s">
        <v>597</v>
      </c>
      <c r="D8904">
        <v>818.13</v>
      </c>
      <c r="E8904" s="37" t="str">
        <f t="shared" si="695"/>
        <v xml:space="preserve"> </v>
      </c>
      <c r="F8904">
        <v>0.14000000000000001</v>
      </c>
      <c r="G8904" s="37" t="str">
        <f t="shared" si="696"/>
        <v>Normal Discount</v>
      </c>
      <c r="H8904" s="37" t="str">
        <f t="shared" si="697"/>
        <v>Low</v>
      </c>
      <c r="I8904">
        <v>8</v>
      </c>
      <c r="J8904" t="str" cm="1">
        <f t="array" ref="J8904">_xlfn.IFS(I8904&lt;=3,"small",I8904&lt;=6,"Medium",I8904&lt;=9,"Large")</f>
        <v>Large</v>
      </c>
      <c r="K8904" s="36">
        <v>45651</v>
      </c>
      <c r="L8904" s="36">
        <v>45656</v>
      </c>
      <c r="M8904" t="s">
        <v>603</v>
      </c>
      <c r="N8904" t="s">
        <v>604</v>
      </c>
      <c r="O8904" s="37" t="str">
        <f t="shared" si="698"/>
        <v>Digital Payment</v>
      </c>
      <c r="P8904">
        <v>228.68</v>
      </c>
      <c r="Q8904" s="37" t="str">
        <f>IF(P8904&gt;500,"High","low")</f>
        <v>low</v>
      </c>
      <c r="R8904" s="37" t="str">
        <f t="shared" si="699"/>
        <v>AVERAGE</v>
      </c>
      <c r="S8904" t="s">
        <v>615</v>
      </c>
    </row>
    <row r="8905" spans="1:19" x14ac:dyDescent="0.2">
      <c r="A8905" t="s">
        <v>9516</v>
      </c>
      <c r="B8905" t="s">
        <v>75</v>
      </c>
      <c r="C8905" t="s">
        <v>617</v>
      </c>
      <c r="D8905">
        <v>222.25</v>
      </c>
      <c r="E8905" s="37" t="str">
        <f t="shared" si="695"/>
        <v xml:space="preserve"> </v>
      </c>
      <c r="F8905">
        <v>0.16</v>
      </c>
      <c r="G8905" s="37" t="str">
        <f t="shared" si="696"/>
        <v>Normal Discount</v>
      </c>
      <c r="H8905" s="37" t="str">
        <f t="shared" si="697"/>
        <v>Low</v>
      </c>
      <c r="I8905">
        <v>5</v>
      </c>
      <c r="J8905" t="str" cm="1">
        <f t="array" ref="J8905">_xlfn.IFS(I8905&lt;=3,"small",I8905&lt;=6,"Medium",I8905&lt;=9,"Large")</f>
        <v>Medium</v>
      </c>
      <c r="K8905" s="36">
        <v>45466</v>
      </c>
      <c r="L8905" s="36">
        <v>45469</v>
      </c>
      <c r="M8905" t="s">
        <v>598</v>
      </c>
      <c r="N8905" t="s">
        <v>608</v>
      </c>
      <c r="O8905" s="37" t="str">
        <f t="shared" si="698"/>
        <v>Cash Payment</v>
      </c>
      <c r="P8905">
        <v>66.33</v>
      </c>
      <c r="Q8905" s="37" t="str">
        <f>IF(P8905&gt;500,"High","low")</f>
        <v>low</v>
      </c>
      <c r="R8905" s="37" t="str">
        <f t="shared" si="699"/>
        <v>AVERAGE</v>
      </c>
      <c r="S8905" t="s">
        <v>615</v>
      </c>
    </row>
    <row r="8906" spans="1:19" x14ac:dyDescent="0.2">
      <c r="A8906" t="s">
        <v>9517</v>
      </c>
      <c r="B8906" t="s">
        <v>90</v>
      </c>
      <c r="C8906" t="s">
        <v>607</v>
      </c>
      <c r="D8906">
        <v>4660.67</v>
      </c>
      <c r="E8906" s="37" t="str">
        <f t="shared" si="695"/>
        <v xml:space="preserve"> </v>
      </c>
      <c r="F8906">
        <v>0.17</v>
      </c>
      <c r="G8906" s="37" t="str">
        <f t="shared" si="696"/>
        <v>Normal Discount</v>
      </c>
      <c r="H8906" s="37" t="str">
        <f t="shared" si="697"/>
        <v>Low</v>
      </c>
      <c r="I8906">
        <v>3</v>
      </c>
      <c r="J8906" t="str" cm="1">
        <f t="array" ref="J8906">_xlfn.IFS(I8906&lt;=3,"small",I8906&lt;=6,"Medium",I8906&lt;=9,"Large")</f>
        <v>small</v>
      </c>
      <c r="K8906" s="36">
        <v>45589</v>
      </c>
      <c r="L8906" s="36">
        <v>45593</v>
      </c>
      <c r="M8906" t="s">
        <v>603</v>
      </c>
      <c r="N8906" t="s">
        <v>599</v>
      </c>
      <c r="O8906" s="37" t="str">
        <f t="shared" si="698"/>
        <v>Digital Payment</v>
      </c>
      <c r="P8906">
        <v>680.29</v>
      </c>
      <c r="Q8906" s="37" t="str">
        <f>IF(P8906&gt;500,"High","low")</f>
        <v>High</v>
      </c>
      <c r="R8906" s="37" t="str">
        <f t="shared" si="699"/>
        <v>Good</v>
      </c>
      <c r="S8906" t="s">
        <v>605</v>
      </c>
    </row>
    <row r="8907" spans="1:19" x14ac:dyDescent="0.2">
      <c r="A8907" t="s">
        <v>9518</v>
      </c>
      <c r="B8907" t="s">
        <v>67</v>
      </c>
      <c r="C8907" t="s">
        <v>607</v>
      </c>
      <c r="D8907">
        <v>715.88</v>
      </c>
      <c r="E8907" s="37" t="str">
        <f t="shared" si="695"/>
        <v xml:space="preserve"> </v>
      </c>
      <c r="F8907">
        <v>0.31</v>
      </c>
      <c r="G8907" s="37" t="str">
        <f t="shared" si="696"/>
        <v>Heavy Discount</v>
      </c>
      <c r="H8907" s="37" t="str">
        <f t="shared" si="697"/>
        <v>Medium</v>
      </c>
      <c r="I8907">
        <v>6</v>
      </c>
      <c r="J8907" t="str" cm="1">
        <f t="array" ref="J8907">_xlfn.IFS(I8907&lt;=3,"small",I8907&lt;=6,"Medium",I8907&lt;=9,"Large")</f>
        <v>Medium</v>
      </c>
      <c r="K8907" s="36">
        <v>45051</v>
      </c>
      <c r="L8907" s="36">
        <v>45058</v>
      </c>
      <c r="M8907" t="s">
        <v>603</v>
      </c>
      <c r="N8907" t="s">
        <v>599</v>
      </c>
      <c r="O8907" s="37" t="str">
        <f t="shared" si="698"/>
        <v>Digital Payment</v>
      </c>
      <c r="P8907">
        <v>208.06</v>
      </c>
      <c r="Q8907" s="37" t="str">
        <f>IF(P8907&gt;500,"High","low")</f>
        <v>low</v>
      </c>
      <c r="R8907" s="37" t="str">
        <f t="shared" si="699"/>
        <v>AVERAGE</v>
      </c>
      <c r="S8907" t="s">
        <v>600</v>
      </c>
    </row>
    <row r="8908" spans="1:19" x14ac:dyDescent="0.2">
      <c r="A8908" t="s">
        <v>9519</v>
      </c>
      <c r="B8908" t="s">
        <v>90</v>
      </c>
      <c r="C8908" t="s">
        <v>602</v>
      </c>
      <c r="D8908">
        <v>3554.26</v>
      </c>
      <c r="E8908" s="37" t="str">
        <f t="shared" si="695"/>
        <v xml:space="preserve"> </v>
      </c>
      <c r="F8908">
        <v>0.31</v>
      </c>
      <c r="G8908" s="37" t="str">
        <f t="shared" si="696"/>
        <v>Heavy Discount</v>
      </c>
      <c r="H8908" s="37" t="str">
        <f t="shared" si="697"/>
        <v>Medium</v>
      </c>
      <c r="I8908">
        <v>8</v>
      </c>
      <c r="J8908" t="str" cm="1">
        <f t="array" ref="J8908">_xlfn.IFS(I8908&lt;=3,"small",I8908&lt;=6,"Medium",I8908&lt;=9,"Large")</f>
        <v>Large</v>
      </c>
      <c r="K8908" s="36">
        <v>45267</v>
      </c>
      <c r="L8908" s="36">
        <v>45268</v>
      </c>
      <c r="M8908" t="s">
        <v>603</v>
      </c>
      <c r="N8908" t="s">
        <v>599</v>
      </c>
      <c r="O8908" s="37" t="str">
        <f t="shared" si="698"/>
        <v>Digital Payment</v>
      </c>
      <c r="P8908">
        <v>292.99</v>
      </c>
      <c r="Q8908" s="37" t="str">
        <f>IF(P8908&gt;500,"High","low")</f>
        <v>low</v>
      </c>
      <c r="R8908" s="37" t="str">
        <f t="shared" si="699"/>
        <v>AVERAGE</v>
      </c>
      <c r="S8908" t="s">
        <v>600</v>
      </c>
    </row>
    <row r="8909" spans="1:19" x14ac:dyDescent="0.2">
      <c r="A8909" t="s">
        <v>9520</v>
      </c>
      <c r="B8909" t="s">
        <v>67</v>
      </c>
      <c r="C8909" t="s">
        <v>607</v>
      </c>
      <c r="D8909">
        <v>3298.16</v>
      </c>
      <c r="E8909" s="37" t="str">
        <f t="shared" si="695"/>
        <v xml:space="preserve"> </v>
      </c>
      <c r="F8909">
        <v>0.26</v>
      </c>
      <c r="G8909" s="37" t="str">
        <f t="shared" si="696"/>
        <v>Normal Discount</v>
      </c>
      <c r="H8909" s="37" t="str">
        <f t="shared" si="697"/>
        <v>Medium</v>
      </c>
      <c r="I8909">
        <v>6</v>
      </c>
      <c r="J8909" t="str" cm="1">
        <f t="array" ref="J8909">_xlfn.IFS(I8909&lt;=3,"small",I8909&lt;=6,"Medium",I8909&lt;=9,"Large")</f>
        <v>Medium</v>
      </c>
      <c r="K8909" s="36">
        <v>45183</v>
      </c>
      <c r="L8909" s="36">
        <v>45184</v>
      </c>
      <c r="M8909" t="s">
        <v>612</v>
      </c>
      <c r="N8909" t="s">
        <v>599</v>
      </c>
      <c r="O8909" s="37" t="str">
        <f t="shared" si="698"/>
        <v>Digital Payment</v>
      </c>
      <c r="P8909">
        <v>329.6</v>
      </c>
      <c r="Q8909" s="37" t="str">
        <f>IF(P8909&gt;500,"High","low")</f>
        <v>low</v>
      </c>
      <c r="R8909" s="37" t="str">
        <f t="shared" si="699"/>
        <v>AVERAGE</v>
      </c>
      <c r="S8909" t="s">
        <v>605</v>
      </c>
    </row>
    <row r="8910" spans="1:19" x14ac:dyDescent="0.2">
      <c r="A8910" t="s">
        <v>9521</v>
      </c>
      <c r="B8910" t="s">
        <v>75</v>
      </c>
      <c r="C8910" t="s">
        <v>614</v>
      </c>
      <c r="D8910">
        <v>1774.43</v>
      </c>
      <c r="E8910" s="37" t="str">
        <f t="shared" si="695"/>
        <v xml:space="preserve"> </v>
      </c>
      <c r="F8910">
        <v>0.43</v>
      </c>
      <c r="G8910" s="37" t="str">
        <f t="shared" si="696"/>
        <v>Heavy Discount</v>
      </c>
      <c r="H8910" s="37" t="str">
        <f t="shared" si="697"/>
        <v>High</v>
      </c>
      <c r="I8910">
        <v>7</v>
      </c>
      <c r="J8910" t="str" cm="1">
        <f t="array" ref="J8910">_xlfn.IFS(I8910&lt;=3,"small",I8910&lt;=6,"Medium",I8910&lt;=9,"Large")</f>
        <v>Large</v>
      </c>
      <c r="K8910" s="36">
        <v>45270</v>
      </c>
      <c r="L8910" s="36">
        <v>45271</v>
      </c>
      <c r="M8910" t="s">
        <v>612</v>
      </c>
      <c r="N8910" t="s">
        <v>599</v>
      </c>
      <c r="O8910" s="37" t="str">
        <f t="shared" si="698"/>
        <v>Digital Payment</v>
      </c>
      <c r="P8910">
        <v>281.58</v>
      </c>
      <c r="Q8910" s="37" t="str">
        <f>IF(P8910&gt;500,"High","low")</f>
        <v>low</v>
      </c>
      <c r="R8910" s="37" t="str">
        <f t="shared" si="699"/>
        <v>AVERAGE</v>
      </c>
      <c r="S8910" t="s">
        <v>615</v>
      </c>
    </row>
    <row r="8911" spans="1:19" x14ac:dyDescent="0.2">
      <c r="A8911" t="s">
        <v>9522</v>
      </c>
      <c r="B8911" t="s">
        <v>83</v>
      </c>
      <c r="C8911" t="s">
        <v>614</v>
      </c>
      <c r="D8911">
        <v>1008.38</v>
      </c>
      <c r="E8911" s="37" t="str">
        <f t="shared" si="695"/>
        <v xml:space="preserve"> </v>
      </c>
      <c r="F8911">
        <v>0.42</v>
      </c>
      <c r="G8911" s="37" t="str">
        <f t="shared" si="696"/>
        <v>Heavy Discount</v>
      </c>
      <c r="H8911" s="37" t="str">
        <f t="shared" si="697"/>
        <v>High</v>
      </c>
      <c r="I8911">
        <v>7</v>
      </c>
      <c r="J8911" t="str" cm="1">
        <f t="array" ref="J8911">_xlfn.IFS(I8911&lt;=3,"small",I8911&lt;=6,"Medium",I8911&lt;=9,"Large")</f>
        <v>Large</v>
      </c>
      <c r="K8911" s="36">
        <v>45125</v>
      </c>
      <c r="L8911" s="36">
        <v>45126</v>
      </c>
      <c r="M8911" t="s">
        <v>598</v>
      </c>
      <c r="N8911" t="s">
        <v>604</v>
      </c>
      <c r="O8911" s="37" t="str">
        <f t="shared" si="698"/>
        <v>Digital Payment</v>
      </c>
      <c r="P8911">
        <v>146.86000000000001</v>
      </c>
      <c r="Q8911" s="37" t="str">
        <f>IF(P8911&gt;500,"High","low")</f>
        <v>low</v>
      </c>
      <c r="R8911" s="37" t="str">
        <f t="shared" si="699"/>
        <v>AVERAGE</v>
      </c>
      <c r="S8911" t="s">
        <v>600</v>
      </c>
    </row>
    <row r="8912" spans="1:19" x14ac:dyDescent="0.2">
      <c r="A8912" t="s">
        <v>9523</v>
      </c>
      <c r="B8912" t="s">
        <v>75</v>
      </c>
      <c r="C8912" t="s">
        <v>614</v>
      </c>
      <c r="D8912">
        <v>973.81</v>
      </c>
      <c r="E8912" s="37" t="str">
        <f t="shared" si="695"/>
        <v xml:space="preserve"> </v>
      </c>
      <c r="F8912">
        <v>0.11</v>
      </c>
      <c r="G8912" s="37" t="str">
        <f t="shared" si="696"/>
        <v>Normal Discount</v>
      </c>
      <c r="H8912" s="37" t="str">
        <f t="shared" si="697"/>
        <v>Low</v>
      </c>
      <c r="I8912">
        <v>7</v>
      </c>
      <c r="J8912" t="str" cm="1">
        <f t="array" ref="J8912">_xlfn.IFS(I8912&lt;=3,"small",I8912&lt;=6,"Medium",I8912&lt;=9,"Large")</f>
        <v>Large</v>
      </c>
      <c r="K8912" s="36">
        <v>45089</v>
      </c>
      <c r="L8912" s="36">
        <v>45096</v>
      </c>
      <c r="M8912" t="s">
        <v>612</v>
      </c>
      <c r="N8912" t="s">
        <v>608</v>
      </c>
      <c r="O8912" s="37" t="str">
        <f t="shared" si="698"/>
        <v>Cash Payment</v>
      </c>
      <c r="P8912">
        <v>104.66</v>
      </c>
      <c r="Q8912" s="37" t="str">
        <f>IF(P8912&gt;500,"High","low")</f>
        <v>low</v>
      </c>
      <c r="R8912" s="37" t="str">
        <f t="shared" si="699"/>
        <v>AVERAGE</v>
      </c>
      <c r="S8912" t="s">
        <v>609</v>
      </c>
    </row>
    <row r="8913" spans="1:19" x14ac:dyDescent="0.2">
      <c r="A8913" t="s">
        <v>9524</v>
      </c>
      <c r="B8913" t="s">
        <v>75</v>
      </c>
      <c r="C8913" t="s">
        <v>617</v>
      </c>
      <c r="D8913">
        <v>2968.11</v>
      </c>
      <c r="E8913" s="37" t="str">
        <f t="shared" si="695"/>
        <v xml:space="preserve"> </v>
      </c>
      <c r="F8913">
        <v>0.27</v>
      </c>
      <c r="G8913" s="37" t="str">
        <f t="shared" si="696"/>
        <v>Normal Discount</v>
      </c>
      <c r="H8913" s="37" t="str">
        <f t="shared" si="697"/>
        <v>Medium</v>
      </c>
      <c r="I8913">
        <v>9</v>
      </c>
      <c r="J8913" t="str" cm="1">
        <f t="array" ref="J8913">_xlfn.IFS(I8913&lt;=3,"small",I8913&lt;=6,"Medium",I8913&lt;=9,"Large")</f>
        <v>Large</v>
      </c>
      <c r="K8913" s="36">
        <v>45218</v>
      </c>
      <c r="L8913" s="36">
        <v>45219</v>
      </c>
      <c r="M8913" t="s">
        <v>598</v>
      </c>
      <c r="N8913" t="s">
        <v>608</v>
      </c>
      <c r="O8913" s="37" t="str">
        <f t="shared" si="698"/>
        <v>Cash Payment</v>
      </c>
      <c r="P8913">
        <v>501.45</v>
      </c>
      <c r="Q8913" s="37" t="str">
        <f>IF(P8913&gt;500,"High","low")</f>
        <v>High</v>
      </c>
      <c r="R8913" s="37" t="str">
        <f t="shared" si="699"/>
        <v>Good</v>
      </c>
      <c r="S8913" t="s">
        <v>620</v>
      </c>
    </row>
    <row r="8914" spans="1:19" x14ac:dyDescent="0.2">
      <c r="A8914" t="s">
        <v>9525</v>
      </c>
      <c r="B8914" t="s">
        <v>83</v>
      </c>
      <c r="C8914" t="s">
        <v>607</v>
      </c>
      <c r="D8914">
        <v>2779.91</v>
      </c>
      <c r="E8914" s="37" t="str">
        <f t="shared" si="695"/>
        <v xml:space="preserve"> </v>
      </c>
      <c r="F8914">
        <v>0.39</v>
      </c>
      <c r="G8914" s="37" t="str">
        <f t="shared" si="696"/>
        <v>Heavy Discount</v>
      </c>
      <c r="H8914" s="37" t="str">
        <f t="shared" si="697"/>
        <v>Medium</v>
      </c>
      <c r="I8914">
        <v>9</v>
      </c>
      <c r="J8914" t="str" cm="1">
        <f t="array" ref="J8914">_xlfn.IFS(I8914&lt;=3,"small",I8914&lt;=6,"Medium",I8914&lt;=9,"Large")</f>
        <v>Large</v>
      </c>
      <c r="K8914" s="36">
        <v>45452</v>
      </c>
      <c r="L8914" s="36">
        <v>45453</v>
      </c>
      <c r="M8914" t="s">
        <v>612</v>
      </c>
      <c r="N8914" t="s">
        <v>608</v>
      </c>
      <c r="O8914" s="37" t="str">
        <f t="shared" si="698"/>
        <v>Cash Payment</v>
      </c>
      <c r="P8914">
        <v>649.03</v>
      </c>
      <c r="Q8914" s="37" t="str">
        <f>IF(P8914&gt;500,"High","low")</f>
        <v>High</v>
      </c>
      <c r="R8914" s="37" t="str">
        <f t="shared" si="699"/>
        <v>Good</v>
      </c>
      <c r="S8914" t="s">
        <v>628</v>
      </c>
    </row>
    <row r="8915" spans="1:19" x14ac:dyDescent="0.2">
      <c r="A8915" t="s">
        <v>9526</v>
      </c>
      <c r="B8915" t="s">
        <v>90</v>
      </c>
      <c r="C8915" t="s">
        <v>607</v>
      </c>
      <c r="D8915">
        <v>4392.08</v>
      </c>
      <c r="E8915" s="37" t="str">
        <f t="shared" si="695"/>
        <v xml:space="preserve"> </v>
      </c>
      <c r="F8915">
        <v>0.43</v>
      </c>
      <c r="G8915" s="37" t="str">
        <f t="shared" si="696"/>
        <v>Heavy Discount</v>
      </c>
      <c r="H8915" s="37" t="str">
        <f t="shared" si="697"/>
        <v>High</v>
      </c>
      <c r="I8915">
        <v>1</v>
      </c>
      <c r="J8915" t="str" cm="1">
        <f t="array" ref="J8915">_xlfn.IFS(I8915&lt;=3,"small",I8915&lt;=6,"Medium",I8915&lt;=9,"Large")</f>
        <v>small</v>
      </c>
      <c r="K8915" s="36">
        <v>45110</v>
      </c>
      <c r="L8915" s="36">
        <v>45114</v>
      </c>
      <c r="M8915" t="s">
        <v>612</v>
      </c>
      <c r="N8915" t="s">
        <v>604</v>
      </c>
      <c r="O8915" s="37" t="str">
        <f t="shared" si="698"/>
        <v>Digital Payment</v>
      </c>
      <c r="P8915">
        <v>391.74</v>
      </c>
      <c r="Q8915" s="37" t="str">
        <f>IF(P8915&gt;500,"High","low")</f>
        <v>low</v>
      </c>
      <c r="R8915" s="37" t="str">
        <f t="shared" si="699"/>
        <v>AVERAGE</v>
      </c>
      <c r="S8915" t="s">
        <v>600</v>
      </c>
    </row>
    <row r="8916" spans="1:19" x14ac:dyDescent="0.2">
      <c r="A8916" t="s">
        <v>9527</v>
      </c>
      <c r="B8916" t="s">
        <v>83</v>
      </c>
      <c r="C8916" t="s">
        <v>614</v>
      </c>
      <c r="D8916">
        <v>3236.02</v>
      </c>
      <c r="E8916" s="37" t="str">
        <f t="shared" si="695"/>
        <v xml:space="preserve"> </v>
      </c>
      <c r="F8916">
        <v>0.13</v>
      </c>
      <c r="G8916" s="37" t="str">
        <f t="shared" si="696"/>
        <v>Normal Discount</v>
      </c>
      <c r="H8916" s="37" t="str">
        <f t="shared" si="697"/>
        <v>Low</v>
      </c>
      <c r="I8916">
        <v>3</v>
      </c>
      <c r="J8916" t="str" cm="1">
        <f t="array" ref="J8916">_xlfn.IFS(I8916&lt;=3,"small",I8916&lt;=6,"Medium",I8916&lt;=9,"Large")</f>
        <v>small</v>
      </c>
      <c r="K8916" s="36">
        <v>44988</v>
      </c>
      <c r="L8916" s="36">
        <v>44994</v>
      </c>
      <c r="M8916" t="s">
        <v>612</v>
      </c>
      <c r="N8916" t="s">
        <v>604</v>
      </c>
      <c r="O8916" s="37" t="str">
        <f t="shared" si="698"/>
        <v>Digital Payment</v>
      </c>
      <c r="P8916">
        <v>456.14</v>
      </c>
      <c r="Q8916" s="37" t="str">
        <f>IF(P8916&gt;500,"High","low")</f>
        <v>low</v>
      </c>
      <c r="R8916" s="37" t="str">
        <f t="shared" si="699"/>
        <v>AVERAGE</v>
      </c>
      <c r="S8916" t="s">
        <v>605</v>
      </c>
    </row>
    <row r="8917" spans="1:19" x14ac:dyDescent="0.2">
      <c r="A8917" t="s">
        <v>9528</v>
      </c>
      <c r="B8917" t="s">
        <v>90</v>
      </c>
      <c r="C8917" t="s">
        <v>602</v>
      </c>
      <c r="D8917">
        <v>4114.45</v>
      </c>
      <c r="E8917" s="37" t="str">
        <f t="shared" si="695"/>
        <v xml:space="preserve"> </v>
      </c>
      <c r="F8917">
        <v>0.25</v>
      </c>
      <c r="G8917" s="37" t="str">
        <f t="shared" si="696"/>
        <v>Normal Discount</v>
      </c>
      <c r="H8917" s="37" t="str">
        <f t="shared" si="697"/>
        <v>Medium</v>
      </c>
      <c r="I8917">
        <v>5</v>
      </c>
      <c r="J8917" t="str" cm="1">
        <f t="array" ref="J8917">_xlfn.IFS(I8917&lt;=3,"small",I8917&lt;=6,"Medium",I8917&lt;=9,"Large")</f>
        <v>Medium</v>
      </c>
      <c r="K8917" s="36">
        <v>45541</v>
      </c>
      <c r="L8917" s="36">
        <v>45547</v>
      </c>
      <c r="M8917" t="s">
        <v>598</v>
      </c>
      <c r="N8917" t="s">
        <v>608</v>
      </c>
      <c r="O8917" s="37" t="str">
        <f t="shared" si="698"/>
        <v>Cash Payment</v>
      </c>
      <c r="P8917">
        <v>237.27</v>
      </c>
      <c r="Q8917" s="37" t="str">
        <f>IF(P8917&gt;500,"High","low")</f>
        <v>low</v>
      </c>
      <c r="R8917" s="37" t="str">
        <f t="shared" si="699"/>
        <v>AVERAGE</v>
      </c>
      <c r="S8917" t="s">
        <v>628</v>
      </c>
    </row>
    <row r="8918" spans="1:19" x14ac:dyDescent="0.2">
      <c r="A8918" t="s">
        <v>9529</v>
      </c>
      <c r="B8918" t="s">
        <v>90</v>
      </c>
      <c r="C8918" t="s">
        <v>602</v>
      </c>
      <c r="D8918">
        <v>258.82</v>
      </c>
      <c r="E8918" s="37" t="str">
        <f t="shared" si="695"/>
        <v xml:space="preserve"> </v>
      </c>
      <c r="F8918">
        <v>0.26</v>
      </c>
      <c r="G8918" s="37" t="str">
        <f t="shared" si="696"/>
        <v>Normal Discount</v>
      </c>
      <c r="H8918" s="37" t="str">
        <f t="shared" si="697"/>
        <v>Medium</v>
      </c>
      <c r="I8918">
        <v>4</v>
      </c>
      <c r="J8918" t="str" cm="1">
        <f t="array" ref="J8918">_xlfn.IFS(I8918&lt;=3,"small",I8918&lt;=6,"Medium",I8918&lt;=9,"Large")</f>
        <v>Medium</v>
      </c>
      <c r="K8918" s="36">
        <v>45435</v>
      </c>
      <c r="L8918" s="36">
        <v>45438</v>
      </c>
      <c r="M8918" t="s">
        <v>598</v>
      </c>
      <c r="N8918" t="s">
        <v>608</v>
      </c>
      <c r="O8918" s="37" t="str">
        <f t="shared" si="698"/>
        <v>Cash Payment</v>
      </c>
      <c r="P8918">
        <v>74.75</v>
      </c>
      <c r="Q8918" s="37" t="str">
        <f>IF(P8918&gt;500,"High","low")</f>
        <v>low</v>
      </c>
      <c r="R8918" s="37" t="str">
        <f t="shared" si="699"/>
        <v>AVERAGE</v>
      </c>
      <c r="S8918" t="s">
        <v>600</v>
      </c>
    </row>
    <row r="8919" spans="1:19" x14ac:dyDescent="0.2">
      <c r="A8919" t="s">
        <v>9530</v>
      </c>
      <c r="B8919" t="s">
        <v>67</v>
      </c>
      <c r="C8919" t="s">
        <v>607</v>
      </c>
      <c r="D8919">
        <v>3387.87</v>
      </c>
      <c r="E8919" s="37" t="str">
        <f t="shared" si="695"/>
        <v xml:space="preserve"> </v>
      </c>
      <c r="F8919">
        <v>0.35</v>
      </c>
      <c r="G8919" s="37" t="str">
        <f t="shared" si="696"/>
        <v>Heavy Discount</v>
      </c>
      <c r="H8919" s="37" t="str">
        <f t="shared" si="697"/>
        <v>Medium</v>
      </c>
      <c r="I8919">
        <v>1</v>
      </c>
      <c r="J8919" t="str" cm="1">
        <f t="array" ref="J8919">_xlfn.IFS(I8919&lt;=3,"small",I8919&lt;=6,"Medium",I8919&lt;=9,"Large")</f>
        <v>small</v>
      </c>
      <c r="K8919" s="36">
        <v>45068</v>
      </c>
      <c r="L8919" s="36">
        <v>45069</v>
      </c>
      <c r="M8919" t="s">
        <v>603</v>
      </c>
      <c r="N8919" t="s">
        <v>604</v>
      </c>
      <c r="O8919" s="37" t="str">
        <f t="shared" si="698"/>
        <v>Digital Payment</v>
      </c>
      <c r="P8919">
        <v>813.82</v>
      </c>
      <c r="Q8919" s="37" t="str">
        <f>IF(P8919&gt;500,"High","low")</f>
        <v>High</v>
      </c>
      <c r="R8919" s="37" t="str">
        <f t="shared" si="699"/>
        <v>Good</v>
      </c>
      <c r="S8919" t="s">
        <v>605</v>
      </c>
    </row>
    <row r="8920" spans="1:19" x14ac:dyDescent="0.2">
      <c r="A8920" t="s">
        <v>9531</v>
      </c>
      <c r="B8920" t="s">
        <v>67</v>
      </c>
      <c r="C8920" t="s">
        <v>607</v>
      </c>
      <c r="D8920">
        <v>1245.17</v>
      </c>
      <c r="E8920" s="37" t="str">
        <f t="shared" si="695"/>
        <v xml:space="preserve"> </v>
      </c>
      <c r="F8920">
        <v>0.17</v>
      </c>
      <c r="G8920" s="37" t="str">
        <f t="shared" si="696"/>
        <v>Normal Discount</v>
      </c>
      <c r="H8920" s="37" t="str">
        <f t="shared" si="697"/>
        <v>Low</v>
      </c>
      <c r="I8920">
        <v>1</v>
      </c>
      <c r="J8920" t="str" cm="1">
        <f t="array" ref="J8920">_xlfn.IFS(I8920&lt;=3,"small",I8920&lt;=6,"Medium",I8920&lt;=9,"Large")</f>
        <v>small</v>
      </c>
      <c r="K8920" s="36">
        <v>45116</v>
      </c>
      <c r="L8920" s="36">
        <v>45117</v>
      </c>
      <c r="M8920" t="s">
        <v>612</v>
      </c>
      <c r="N8920" t="s">
        <v>608</v>
      </c>
      <c r="O8920" s="37" t="str">
        <f t="shared" si="698"/>
        <v>Cash Payment</v>
      </c>
      <c r="P8920">
        <v>163.68</v>
      </c>
      <c r="Q8920" s="37" t="str">
        <f>IF(P8920&gt;500,"High","low")</f>
        <v>low</v>
      </c>
      <c r="R8920" s="37" t="str">
        <f t="shared" si="699"/>
        <v>AVERAGE</v>
      </c>
      <c r="S8920" t="s">
        <v>628</v>
      </c>
    </row>
    <row r="8921" spans="1:19" x14ac:dyDescent="0.2">
      <c r="A8921" t="s">
        <v>9532</v>
      </c>
      <c r="B8921" t="s">
        <v>83</v>
      </c>
      <c r="C8921" t="s">
        <v>597</v>
      </c>
      <c r="D8921">
        <v>1338.91</v>
      </c>
      <c r="E8921" s="37" t="str">
        <f t="shared" si="695"/>
        <v xml:space="preserve"> </v>
      </c>
      <c r="F8921">
        <v>0.15</v>
      </c>
      <c r="G8921" s="37" t="str">
        <f t="shared" si="696"/>
        <v>Normal Discount</v>
      </c>
      <c r="H8921" s="37" t="str">
        <f t="shared" si="697"/>
        <v>Low</v>
      </c>
      <c r="I8921">
        <v>4</v>
      </c>
      <c r="J8921" t="str" cm="1">
        <f t="array" ref="J8921">_xlfn.IFS(I8921&lt;=3,"small",I8921&lt;=6,"Medium",I8921&lt;=9,"Large")</f>
        <v>Medium</v>
      </c>
      <c r="K8921" s="36">
        <v>45556</v>
      </c>
      <c r="L8921" s="36">
        <v>45562</v>
      </c>
      <c r="M8921" t="s">
        <v>598</v>
      </c>
      <c r="N8921" t="s">
        <v>608</v>
      </c>
      <c r="O8921" s="37" t="str">
        <f t="shared" si="698"/>
        <v>Cash Payment</v>
      </c>
      <c r="P8921">
        <v>125.15</v>
      </c>
      <c r="Q8921" s="37" t="str">
        <f>IF(P8921&gt;500,"High","low")</f>
        <v>low</v>
      </c>
      <c r="R8921" s="37" t="str">
        <f t="shared" si="699"/>
        <v>AVERAGE</v>
      </c>
      <c r="S8921" t="s">
        <v>605</v>
      </c>
    </row>
    <row r="8922" spans="1:19" x14ac:dyDescent="0.2">
      <c r="A8922" t="s">
        <v>9533</v>
      </c>
      <c r="B8922" t="s">
        <v>75</v>
      </c>
      <c r="C8922" t="s">
        <v>607</v>
      </c>
      <c r="D8922">
        <v>3630.82</v>
      </c>
      <c r="E8922" s="37" t="str">
        <f t="shared" si="695"/>
        <v xml:space="preserve"> </v>
      </c>
      <c r="F8922">
        <v>0.35</v>
      </c>
      <c r="G8922" s="37" t="str">
        <f t="shared" si="696"/>
        <v>Heavy Discount</v>
      </c>
      <c r="H8922" s="37" t="str">
        <f t="shared" si="697"/>
        <v>Medium</v>
      </c>
      <c r="I8922">
        <v>5</v>
      </c>
      <c r="J8922" t="str" cm="1">
        <f t="array" ref="J8922">_xlfn.IFS(I8922&lt;=3,"small",I8922&lt;=6,"Medium",I8922&lt;=9,"Large")</f>
        <v>Medium</v>
      </c>
      <c r="K8922" s="36">
        <v>45655</v>
      </c>
      <c r="L8922" s="36">
        <v>45656</v>
      </c>
      <c r="M8922" t="s">
        <v>603</v>
      </c>
      <c r="N8922" t="s">
        <v>599</v>
      </c>
      <c r="O8922" s="37" t="str">
        <f t="shared" si="698"/>
        <v>Digital Payment</v>
      </c>
      <c r="P8922">
        <v>663.03</v>
      </c>
      <c r="Q8922" s="37" t="str">
        <f>IF(P8922&gt;500,"High","low")</f>
        <v>High</v>
      </c>
      <c r="R8922" s="37" t="str">
        <f t="shared" si="699"/>
        <v>Good</v>
      </c>
      <c r="S8922" t="s">
        <v>609</v>
      </c>
    </row>
    <row r="8923" spans="1:19" x14ac:dyDescent="0.2">
      <c r="A8923" t="s">
        <v>9534</v>
      </c>
      <c r="B8923" t="s">
        <v>83</v>
      </c>
      <c r="C8923" t="s">
        <v>614</v>
      </c>
      <c r="D8923">
        <v>3987.82</v>
      </c>
      <c r="E8923" s="37" t="str">
        <f t="shared" si="695"/>
        <v xml:space="preserve"> </v>
      </c>
      <c r="F8923">
        <v>0.2</v>
      </c>
      <c r="G8923" s="37" t="str">
        <f t="shared" si="696"/>
        <v>Normal Discount</v>
      </c>
      <c r="H8923" s="37" t="str">
        <f t="shared" si="697"/>
        <v>Medium</v>
      </c>
      <c r="I8923">
        <v>4</v>
      </c>
      <c r="J8923" t="str" cm="1">
        <f t="array" ref="J8923">_xlfn.IFS(I8923&lt;=3,"small",I8923&lt;=6,"Medium",I8923&lt;=9,"Large")</f>
        <v>Medium</v>
      </c>
      <c r="K8923" s="36">
        <v>45460</v>
      </c>
      <c r="L8923" s="36">
        <v>45461</v>
      </c>
      <c r="M8923" t="s">
        <v>598</v>
      </c>
      <c r="N8923" t="s">
        <v>604</v>
      </c>
      <c r="O8923" s="37" t="str">
        <f t="shared" si="698"/>
        <v>Digital Payment</v>
      </c>
      <c r="P8923">
        <v>423.09</v>
      </c>
      <c r="Q8923" s="37" t="str">
        <f>IF(P8923&gt;500,"High","low")</f>
        <v>low</v>
      </c>
      <c r="R8923" s="37" t="str">
        <f t="shared" si="699"/>
        <v>AVERAGE</v>
      </c>
      <c r="S8923" t="s">
        <v>628</v>
      </c>
    </row>
    <row r="8924" spans="1:19" x14ac:dyDescent="0.2">
      <c r="A8924" t="s">
        <v>9535</v>
      </c>
      <c r="B8924" t="s">
        <v>90</v>
      </c>
      <c r="C8924" t="s">
        <v>617</v>
      </c>
      <c r="D8924">
        <v>1921.5</v>
      </c>
      <c r="E8924" s="37" t="str">
        <f t="shared" si="695"/>
        <v xml:space="preserve"> </v>
      </c>
      <c r="F8924">
        <v>0</v>
      </c>
      <c r="G8924" s="37" t="str">
        <f t="shared" si="696"/>
        <v>Normal Discount</v>
      </c>
      <c r="H8924" s="37" t="str">
        <f t="shared" si="697"/>
        <v>Low</v>
      </c>
      <c r="I8924">
        <v>2</v>
      </c>
      <c r="J8924" t="str" cm="1">
        <f t="array" ref="J8924">_xlfn.IFS(I8924&lt;=3,"small",I8924&lt;=6,"Medium",I8924&lt;=9,"Large")</f>
        <v>small</v>
      </c>
      <c r="K8924" s="36">
        <v>45419</v>
      </c>
      <c r="L8924" s="36">
        <v>45420</v>
      </c>
      <c r="M8924" t="s">
        <v>598</v>
      </c>
      <c r="N8924" t="s">
        <v>608</v>
      </c>
      <c r="O8924" s="37" t="str">
        <f t="shared" si="698"/>
        <v>Cash Payment</v>
      </c>
      <c r="P8924">
        <v>356.73</v>
      </c>
      <c r="Q8924" s="37" t="str">
        <f>IF(P8924&gt;500,"High","low")</f>
        <v>low</v>
      </c>
      <c r="R8924" s="37" t="str">
        <f t="shared" si="699"/>
        <v>AVERAGE</v>
      </c>
      <c r="S8924" t="s">
        <v>600</v>
      </c>
    </row>
    <row r="8925" spans="1:19" x14ac:dyDescent="0.2">
      <c r="A8925" t="s">
        <v>9536</v>
      </c>
      <c r="B8925" t="s">
        <v>67</v>
      </c>
      <c r="C8925" t="s">
        <v>607</v>
      </c>
      <c r="D8925">
        <v>3971.38</v>
      </c>
      <c r="E8925" s="37" t="str">
        <f t="shared" si="695"/>
        <v xml:space="preserve"> </v>
      </c>
      <c r="F8925">
        <v>0.47</v>
      </c>
      <c r="G8925" s="37" t="str">
        <f t="shared" si="696"/>
        <v>Heavy Discount</v>
      </c>
      <c r="H8925" s="37" t="str">
        <f t="shared" si="697"/>
        <v>High</v>
      </c>
      <c r="I8925">
        <v>5</v>
      </c>
      <c r="J8925" t="str" cm="1">
        <f t="array" ref="J8925">_xlfn.IFS(I8925&lt;=3,"small",I8925&lt;=6,"Medium",I8925&lt;=9,"Large")</f>
        <v>Medium</v>
      </c>
      <c r="K8925" s="36">
        <v>45551</v>
      </c>
      <c r="L8925" s="36">
        <v>45553</v>
      </c>
      <c r="M8925" t="s">
        <v>603</v>
      </c>
      <c r="N8925" t="s">
        <v>604</v>
      </c>
      <c r="O8925" s="37" t="str">
        <f t="shared" si="698"/>
        <v>Digital Payment</v>
      </c>
      <c r="P8925">
        <v>602.70000000000005</v>
      </c>
      <c r="Q8925" s="37" t="str">
        <f>IF(P8925&gt;500,"High","low")</f>
        <v>High</v>
      </c>
      <c r="R8925" s="37" t="str">
        <f t="shared" si="699"/>
        <v>Good</v>
      </c>
      <c r="S8925" t="s">
        <v>628</v>
      </c>
    </row>
    <row r="8926" spans="1:19" x14ac:dyDescent="0.2">
      <c r="A8926" t="s">
        <v>9537</v>
      </c>
      <c r="B8926" t="s">
        <v>83</v>
      </c>
      <c r="C8926" t="s">
        <v>607</v>
      </c>
      <c r="D8926">
        <v>2274.35</v>
      </c>
      <c r="E8926" s="37" t="str">
        <f t="shared" si="695"/>
        <v xml:space="preserve"> </v>
      </c>
      <c r="F8926">
        <v>7.0000000000000007E-2</v>
      </c>
      <c r="G8926" s="37" t="str">
        <f t="shared" si="696"/>
        <v>Normal Discount</v>
      </c>
      <c r="H8926" s="37" t="str">
        <f t="shared" si="697"/>
        <v>Low</v>
      </c>
      <c r="I8926">
        <v>3</v>
      </c>
      <c r="J8926" t="str" cm="1">
        <f t="array" ref="J8926">_xlfn.IFS(I8926&lt;=3,"small",I8926&lt;=6,"Medium",I8926&lt;=9,"Large")</f>
        <v>small</v>
      </c>
      <c r="K8926" s="36">
        <v>45539</v>
      </c>
      <c r="L8926" s="36">
        <v>45541</v>
      </c>
      <c r="M8926" t="s">
        <v>598</v>
      </c>
      <c r="N8926" t="s">
        <v>608</v>
      </c>
      <c r="O8926" s="37" t="str">
        <f t="shared" si="698"/>
        <v>Cash Payment</v>
      </c>
      <c r="P8926">
        <v>429.56</v>
      </c>
      <c r="Q8926" s="37" t="str">
        <f>IF(P8926&gt;500,"High","low")</f>
        <v>low</v>
      </c>
      <c r="R8926" s="37" t="str">
        <f t="shared" si="699"/>
        <v>AVERAGE</v>
      </c>
      <c r="S8926" t="s">
        <v>609</v>
      </c>
    </row>
    <row r="8927" spans="1:19" x14ac:dyDescent="0.2">
      <c r="A8927" t="s">
        <v>9538</v>
      </c>
      <c r="B8927" t="s">
        <v>83</v>
      </c>
      <c r="C8927" t="s">
        <v>614</v>
      </c>
      <c r="D8927">
        <v>4302.46</v>
      </c>
      <c r="E8927" s="37" t="str">
        <f t="shared" si="695"/>
        <v xml:space="preserve"> </v>
      </c>
      <c r="F8927">
        <v>7.0000000000000007E-2</v>
      </c>
      <c r="G8927" s="37" t="str">
        <f t="shared" si="696"/>
        <v>Normal Discount</v>
      </c>
      <c r="H8927" s="37" t="str">
        <f t="shared" si="697"/>
        <v>Low</v>
      </c>
      <c r="I8927">
        <v>7</v>
      </c>
      <c r="J8927" t="str" cm="1">
        <f t="array" ref="J8927">_xlfn.IFS(I8927&lt;=3,"small",I8927&lt;=6,"Medium",I8927&lt;=9,"Large")</f>
        <v>Large</v>
      </c>
      <c r="K8927" s="36">
        <v>44955</v>
      </c>
      <c r="L8927" s="36">
        <v>44956</v>
      </c>
      <c r="M8927" t="s">
        <v>603</v>
      </c>
      <c r="N8927" t="s">
        <v>608</v>
      </c>
      <c r="O8927" s="37" t="str">
        <f t="shared" si="698"/>
        <v>Cash Payment</v>
      </c>
      <c r="P8927">
        <v>793.27</v>
      </c>
      <c r="Q8927" s="37" t="str">
        <f>IF(P8927&gt;500,"High","low")</f>
        <v>High</v>
      </c>
      <c r="R8927" s="37" t="str">
        <f t="shared" si="699"/>
        <v>Good</v>
      </c>
      <c r="S8927" t="s">
        <v>628</v>
      </c>
    </row>
    <row r="8928" spans="1:19" x14ac:dyDescent="0.2">
      <c r="A8928" t="s">
        <v>9539</v>
      </c>
      <c r="B8928" t="s">
        <v>67</v>
      </c>
      <c r="C8928" t="s">
        <v>597</v>
      </c>
      <c r="D8928">
        <v>222.03</v>
      </c>
      <c r="E8928" s="37" t="str">
        <f t="shared" si="695"/>
        <v xml:space="preserve"> </v>
      </c>
      <c r="F8928">
        <v>0.41</v>
      </c>
      <c r="G8928" s="37" t="str">
        <f t="shared" si="696"/>
        <v>Heavy Discount</v>
      </c>
      <c r="H8928" s="37" t="str">
        <f t="shared" si="697"/>
        <v>High</v>
      </c>
      <c r="I8928">
        <v>4</v>
      </c>
      <c r="J8928" t="str" cm="1">
        <f t="array" ref="J8928">_xlfn.IFS(I8928&lt;=3,"small",I8928&lt;=6,"Medium",I8928&lt;=9,"Large")</f>
        <v>Medium</v>
      </c>
      <c r="K8928" s="36">
        <v>45382</v>
      </c>
      <c r="L8928" s="36">
        <v>45383</v>
      </c>
      <c r="M8928" t="s">
        <v>612</v>
      </c>
      <c r="N8928" t="s">
        <v>599</v>
      </c>
      <c r="O8928" s="37" t="str">
        <f t="shared" si="698"/>
        <v>Digital Payment</v>
      </c>
      <c r="P8928">
        <v>11.4</v>
      </c>
      <c r="Q8928" s="37" t="str">
        <f>IF(P8928&gt;500,"High","low")</f>
        <v>low</v>
      </c>
      <c r="R8928" s="37" t="str">
        <f t="shared" si="699"/>
        <v>AVERAGE</v>
      </c>
      <c r="S8928" t="s">
        <v>620</v>
      </c>
    </row>
    <row r="8929" spans="1:19" x14ac:dyDescent="0.2">
      <c r="A8929" t="s">
        <v>9540</v>
      </c>
      <c r="B8929" t="s">
        <v>67</v>
      </c>
      <c r="C8929" t="s">
        <v>607</v>
      </c>
      <c r="D8929">
        <v>509.13</v>
      </c>
      <c r="E8929" s="37" t="str">
        <f t="shared" si="695"/>
        <v xml:space="preserve"> </v>
      </c>
      <c r="F8929">
        <v>0.17</v>
      </c>
      <c r="G8929" s="37" t="str">
        <f t="shared" si="696"/>
        <v>Normal Discount</v>
      </c>
      <c r="H8929" s="37" t="str">
        <f t="shared" si="697"/>
        <v>Low</v>
      </c>
      <c r="I8929">
        <v>2</v>
      </c>
      <c r="J8929" t="str" cm="1">
        <f t="array" ref="J8929">_xlfn.IFS(I8929&lt;=3,"small",I8929&lt;=6,"Medium",I8929&lt;=9,"Large")</f>
        <v>small</v>
      </c>
      <c r="K8929" s="36">
        <v>45513</v>
      </c>
      <c r="L8929" s="36">
        <v>45518</v>
      </c>
      <c r="M8929" t="s">
        <v>612</v>
      </c>
      <c r="N8929" t="s">
        <v>604</v>
      </c>
      <c r="O8929" s="37" t="str">
        <f t="shared" si="698"/>
        <v>Digital Payment</v>
      </c>
      <c r="P8929">
        <v>114.63</v>
      </c>
      <c r="Q8929" s="37" t="str">
        <f>IF(P8929&gt;500,"High","low")</f>
        <v>low</v>
      </c>
      <c r="R8929" s="37" t="str">
        <f t="shared" si="699"/>
        <v>AVERAGE</v>
      </c>
      <c r="S8929" t="s">
        <v>600</v>
      </c>
    </row>
    <row r="8930" spans="1:19" x14ac:dyDescent="0.2">
      <c r="A8930" t="s">
        <v>9541</v>
      </c>
      <c r="B8930" t="s">
        <v>67</v>
      </c>
      <c r="C8930" t="s">
        <v>602</v>
      </c>
      <c r="D8930">
        <v>3904.12</v>
      </c>
      <c r="E8930" s="37" t="str">
        <f t="shared" si="695"/>
        <v xml:space="preserve"> </v>
      </c>
      <c r="F8930">
        <v>0.16</v>
      </c>
      <c r="G8930" s="37" t="str">
        <f t="shared" si="696"/>
        <v>Normal Discount</v>
      </c>
      <c r="H8930" s="37" t="str">
        <f t="shared" si="697"/>
        <v>Low</v>
      </c>
      <c r="I8930">
        <v>8</v>
      </c>
      <c r="J8930" t="str" cm="1">
        <f t="array" ref="J8930">_xlfn.IFS(I8930&lt;=3,"small",I8930&lt;=6,"Medium",I8930&lt;=9,"Large")</f>
        <v>Large</v>
      </c>
      <c r="K8930" s="36">
        <v>45276</v>
      </c>
      <c r="L8930" s="36">
        <v>45281</v>
      </c>
      <c r="M8930" t="s">
        <v>598</v>
      </c>
      <c r="N8930" t="s">
        <v>599</v>
      </c>
      <c r="O8930" s="37" t="str">
        <f t="shared" si="698"/>
        <v>Digital Payment</v>
      </c>
      <c r="P8930">
        <v>768.56</v>
      </c>
      <c r="Q8930" s="37" t="str">
        <f>IF(P8930&gt;500,"High","low")</f>
        <v>High</v>
      </c>
      <c r="R8930" s="37" t="str">
        <f t="shared" si="699"/>
        <v>Good</v>
      </c>
      <c r="S8930" t="s">
        <v>600</v>
      </c>
    </row>
    <row r="8931" spans="1:19" x14ac:dyDescent="0.2">
      <c r="A8931" t="s">
        <v>9542</v>
      </c>
      <c r="B8931" t="s">
        <v>90</v>
      </c>
      <c r="C8931" t="s">
        <v>602</v>
      </c>
      <c r="D8931">
        <v>3158.04</v>
      </c>
      <c r="E8931" s="37" t="str">
        <f t="shared" si="695"/>
        <v xml:space="preserve"> </v>
      </c>
      <c r="F8931">
        <v>0.31</v>
      </c>
      <c r="G8931" s="37" t="str">
        <f t="shared" si="696"/>
        <v>Heavy Discount</v>
      </c>
      <c r="H8931" s="37" t="str">
        <f t="shared" si="697"/>
        <v>Medium</v>
      </c>
      <c r="I8931">
        <v>2</v>
      </c>
      <c r="J8931" t="str" cm="1">
        <f t="array" ref="J8931">_xlfn.IFS(I8931&lt;=3,"small",I8931&lt;=6,"Medium",I8931&lt;=9,"Large")</f>
        <v>small</v>
      </c>
      <c r="K8931" s="36">
        <v>45625</v>
      </c>
      <c r="L8931" s="36">
        <v>45628</v>
      </c>
      <c r="M8931" t="s">
        <v>612</v>
      </c>
      <c r="N8931" t="s">
        <v>599</v>
      </c>
      <c r="O8931" s="37" t="str">
        <f t="shared" si="698"/>
        <v>Digital Payment</v>
      </c>
      <c r="P8931">
        <v>635.6</v>
      </c>
      <c r="Q8931" s="37" t="str">
        <f>IF(P8931&gt;500,"High","low")</f>
        <v>High</v>
      </c>
      <c r="R8931" s="37" t="str">
        <f t="shared" si="699"/>
        <v>Good</v>
      </c>
      <c r="S8931" t="s">
        <v>609</v>
      </c>
    </row>
    <row r="8932" spans="1:19" x14ac:dyDescent="0.2">
      <c r="A8932" t="s">
        <v>9543</v>
      </c>
      <c r="B8932" t="s">
        <v>67</v>
      </c>
      <c r="C8932" t="s">
        <v>602</v>
      </c>
      <c r="D8932">
        <v>2839.2</v>
      </c>
      <c r="E8932" s="37" t="str">
        <f t="shared" si="695"/>
        <v xml:space="preserve"> </v>
      </c>
      <c r="F8932">
        <v>0.03</v>
      </c>
      <c r="G8932" s="37" t="str">
        <f t="shared" si="696"/>
        <v>Normal Discount</v>
      </c>
      <c r="H8932" s="37" t="str">
        <f t="shared" si="697"/>
        <v>Low</v>
      </c>
      <c r="I8932">
        <v>7</v>
      </c>
      <c r="J8932" t="str" cm="1">
        <f t="array" ref="J8932">_xlfn.IFS(I8932&lt;=3,"small",I8932&lt;=6,"Medium",I8932&lt;=9,"Large")</f>
        <v>Large</v>
      </c>
      <c r="K8932" s="36">
        <v>45453</v>
      </c>
      <c r="L8932" s="36">
        <v>45455</v>
      </c>
      <c r="M8932" t="s">
        <v>612</v>
      </c>
      <c r="N8932" t="s">
        <v>608</v>
      </c>
      <c r="O8932" s="37" t="str">
        <f t="shared" si="698"/>
        <v>Cash Payment</v>
      </c>
      <c r="P8932">
        <v>335.49</v>
      </c>
      <c r="Q8932" s="37" t="str">
        <f>IF(P8932&gt;500,"High","low")</f>
        <v>low</v>
      </c>
      <c r="R8932" s="37" t="str">
        <f t="shared" si="699"/>
        <v>AVERAGE</v>
      </c>
      <c r="S8932" t="s">
        <v>600</v>
      </c>
    </row>
    <row r="8933" spans="1:19" x14ac:dyDescent="0.2">
      <c r="A8933" t="s">
        <v>9544</v>
      </c>
      <c r="B8933" t="s">
        <v>75</v>
      </c>
      <c r="C8933" t="s">
        <v>617</v>
      </c>
      <c r="D8933">
        <v>3108.5</v>
      </c>
      <c r="E8933" s="37" t="str">
        <f t="shared" si="695"/>
        <v xml:space="preserve"> </v>
      </c>
      <c r="F8933">
        <v>0.12</v>
      </c>
      <c r="G8933" s="37" t="str">
        <f t="shared" si="696"/>
        <v>Normal Discount</v>
      </c>
      <c r="H8933" s="37" t="str">
        <f t="shared" si="697"/>
        <v>Low</v>
      </c>
      <c r="I8933">
        <v>8</v>
      </c>
      <c r="J8933" t="str" cm="1">
        <f t="array" ref="J8933">_xlfn.IFS(I8933&lt;=3,"small",I8933&lt;=6,"Medium",I8933&lt;=9,"Large")</f>
        <v>Large</v>
      </c>
      <c r="K8933" s="36">
        <v>45587</v>
      </c>
      <c r="L8933" s="36">
        <v>45591</v>
      </c>
      <c r="M8933" t="s">
        <v>598</v>
      </c>
      <c r="N8933" t="s">
        <v>604</v>
      </c>
      <c r="O8933" s="37" t="str">
        <f t="shared" si="698"/>
        <v>Digital Payment</v>
      </c>
      <c r="P8933">
        <v>896.56</v>
      </c>
      <c r="Q8933" s="37" t="str">
        <f>IF(P8933&gt;500,"High","low")</f>
        <v>High</v>
      </c>
      <c r="R8933" s="37" t="str">
        <f t="shared" si="699"/>
        <v>Good</v>
      </c>
      <c r="S8933" t="s">
        <v>615</v>
      </c>
    </row>
    <row r="8934" spans="1:19" x14ac:dyDescent="0.2">
      <c r="A8934" t="s">
        <v>9545</v>
      </c>
      <c r="B8934" t="s">
        <v>83</v>
      </c>
      <c r="C8934" t="s">
        <v>617</v>
      </c>
      <c r="D8934">
        <v>4657.93</v>
      </c>
      <c r="E8934" s="37" t="str">
        <f t="shared" si="695"/>
        <v xml:space="preserve"> </v>
      </c>
      <c r="F8934">
        <v>0.03</v>
      </c>
      <c r="G8934" s="37" t="str">
        <f t="shared" si="696"/>
        <v>Normal Discount</v>
      </c>
      <c r="H8934" s="37" t="str">
        <f t="shared" si="697"/>
        <v>Low</v>
      </c>
      <c r="I8934">
        <v>3</v>
      </c>
      <c r="J8934" t="str" cm="1">
        <f t="array" ref="J8934">_xlfn.IFS(I8934&lt;=3,"small",I8934&lt;=6,"Medium",I8934&lt;=9,"Large")</f>
        <v>small</v>
      </c>
      <c r="K8934" s="36">
        <v>45037</v>
      </c>
      <c r="L8934" s="36">
        <v>45040</v>
      </c>
      <c r="M8934" t="s">
        <v>603</v>
      </c>
      <c r="N8934" t="s">
        <v>608</v>
      </c>
      <c r="O8934" s="37" t="str">
        <f t="shared" si="698"/>
        <v>Cash Payment</v>
      </c>
      <c r="P8934">
        <v>668.15</v>
      </c>
      <c r="Q8934" s="37" t="str">
        <f>IF(P8934&gt;500,"High","low")</f>
        <v>High</v>
      </c>
      <c r="R8934" s="37" t="str">
        <f t="shared" si="699"/>
        <v>Good</v>
      </c>
      <c r="S8934" t="s">
        <v>620</v>
      </c>
    </row>
    <row r="8935" spans="1:19" x14ac:dyDescent="0.2">
      <c r="A8935" t="s">
        <v>9546</v>
      </c>
      <c r="B8935" t="s">
        <v>67</v>
      </c>
      <c r="C8935" t="s">
        <v>607</v>
      </c>
      <c r="D8935">
        <v>3312.13</v>
      </c>
      <c r="E8935" s="37" t="str">
        <f t="shared" si="695"/>
        <v xml:space="preserve"> </v>
      </c>
      <c r="F8935">
        <v>0.15</v>
      </c>
      <c r="G8935" s="37" t="str">
        <f t="shared" si="696"/>
        <v>Normal Discount</v>
      </c>
      <c r="H8935" s="37" t="str">
        <f t="shared" si="697"/>
        <v>Low</v>
      </c>
      <c r="I8935">
        <v>6</v>
      </c>
      <c r="J8935" t="str" cm="1">
        <f t="array" ref="J8935">_xlfn.IFS(I8935&lt;=3,"small",I8935&lt;=6,"Medium",I8935&lt;=9,"Large")</f>
        <v>Medium</v>
      </c>
      <c r="K8935" s="36">
        <v>45527</v>
      </c>
      <c r="L8935" s="36">
        <v>45534</v>
      </c>
      <c r="M8935" t="s">
        <v>612</v>
      </c>
      <c r="N8935" t="s">
        <v>604</v>
      </c>
      <c r="O8935" s="37" t="str">
        <f t="shared" si="698"/>
        <v>Digital Payment</v>
      </c>
      <c r="P8935">
        <v>367.73</v>
      </c>
      <c r="Q8935" s="37" t="str">
        <f>IF(P8935&gt;500,"High","low")</f>
        <v>low</v>
      </c>
      <c r="R8935" s="37" t="str">
        <f t="shared" si="699"/>
        <v>AVERAGE</v>
      </c>
      <c r="S8935" t="s">
        <v>600</v>
      </c>
    </row>
    <row r="8936" spans="1:19" x14ac:dyDescent="0.2">
      <c r="A8936" t="s">
        <v>9547</v>
      </c>
      <c r="B8936" t="s">
        <v>67</v>
      </c>
      <c r="C8936" t="s">
        <v>607</v>
      </c>
      <c r="D8936">
        <v>3272.63</v>
      </c>
      <c r="E8936" s="37" t="str">
        <f t="shared" si="695"/>
        <v xml:space="preserve"> </v>
      </c>
      <c r="F8936">
        <v>0.43</v>
      </c>
      <c r="G8936" s="37" t="str">
        <f t="shared" si="696"/>
        <v>Heavy Discount</v>
      </c>
      <c r="H8936" s="37" t="str">
        <f t="shared" si="697"/>
        <v>High</v>
      </c>
      <c r="I8936">
        <v>4</v>
      </c>
      <c r="J8936" t="str" cm="1">
        <f t="array" ref="J8936">_xlfn.IFS(I8936&lt;=3,"small",I8936&lt;=6,"Medium",I8936&lt;=9,"Large")</f>
        <v>Medium</v>
      </c>
      <c r="K8936" s="36">
        <v>45173</v>
      </c>
      <c r="L8936" s="36">
        <v>45180</v>
      </c>
      <c r="M8936" t="s">
        <v>603</v>
      </c>
      <c r="N8936" t="s">
        <v>599</v>
      </c>
      <c r="O8936" s="37" t="str">
        <f t="shared" si="698"/>
        <v>Digital Payment</v>
      </c>
      <c r="P8936">
        <v>189.85</v>
      </c>
      <c r="Q8936" s="37" t="str">
        <f>IF(P8936&gt;500,"High","low")</f>
        <v>low</v>
      </c>
      <c r="R8936" s="37" t="str">
        <f t="shared" si="699"/>
        <v>AVERAGE</v>
      </c>
      <c r="S8936" t="s">
        <v>605</v>
      </c>
    </row>
    <row r="8937" spans="1:19" x14ac:dyDescent="0.2">
      <c r="A8937" t="s">
        <v>9548</v>
      </c>
      <c r="B8937" t="s">
        <v>90</v>
      </c>
      <c r="C8937" t="s">
        <v>607</v>
      </c>
      <c r="D8937">
        <v>3821.41</v>
      </c>
      <c r="E8937" s="37" t="str">
        <f t="shared" si="695"/>
        <v xml:space="preserve"> </v>
      </c>
      <c r="F8937">
        <v>0.45</v>
      </c>
      <c r="G8937" s="37" t="str">
        <f t="shared" si="696"/>
        <v>Heavy Discount</v>
      </c>
      <c r="H8937" s="37" t="str">
        <f t="shared" si="697"/>
        <v>High</v>
      </c>
      <c r="I8937">
        <v>2</v>
      </c>
      <c r="J8937" t="str" cm="1">
        <f t="array" ref="J8937">_xlfn.IFS(I8937&lt;=3,"small",I8937&lt;=6,"Medium",I8937&lt;=9,"Large")</f>
        <v>small</v>
      </c>
      <c r="K8937" s="36">
        <v>44997</v>
      </c>
      <c r="L8937" s="36">
        <v>45000</v>
      </c>
      <c r="M8937" t="s">
        <v>612</v>
      </c>
      <c r="N8937" t="s">
        <v>599</v>
      </c>
      <c r="O8937" s="37" t="str">
        <f t="shared" si="698"/>
        <v>Digital Payment</v>
      </c>
      <c r="P8937">
        <v>759.83</v>
      </c>
      <c r="Q8937" s="37" t="str">
        <f>IF(P8937&gt;500,"High","low")</f>
        <v>High</v>
      </c>
      <c r="R8937" s="37" t="str">
        <f t="shared" si="699"/>
        <v>Good</v>
      </c>
      <c r="S8937" t="s">
        <v>620</v>
      </c>
    </row>
    <row r="8938" spans="1:19" x14ac:dyDescent="0.2">
      <c r="A8938" t="s">
        <v>9549</v>
      </c>
      <c r="B8938" t="s">
        <v>90</v>
      </c>
      <c r="C8938" t="s">
        <v>617</v>
      </c>
      <c r="D8938">
        <v>4346.4399999999996</v>
      </c>
      <c r="E8938" s="37" t="str">
        <f t="shared" si="695"/>
        <v>Excellent Order</v>
      </c>
      <c r="F8938">
        <v>0.15</v>
      </c>
      <c r="G8938" s="37" t="str">
        <f t="shared" si="696"/>
        <v>Normal Discount</v>
      </c>
      <c r="H8938" s="37" t="str">
        <f t="shared" si="697"/>
        <v>Low</v>
      </c>
      <c r="I8938">
        <v>8</v>
      </c>
      <c r="J8938" t="str" cm="1">
        <f t="array" ref="J8938">_xlfn.IFS(I8938&lt;=3,"small",I8938&lt;=6,"Medium",I8938&lt;=9,"Large")</f>
        <v>Large</v>
      </c>
      <c r="K8938" s="36">
        <v>45039</v>
      </c>
      <c r="L8938" s="36">
        <v>45040</v>
      </c>
      <c r="M8938" t="s">
        <v>598</v>
      </c>
      <c r="N8938" t="s">
        <v>604</v>
      </c>
      <c r="O8938" s="37" t="str">
        <f t="shared" si="698"/>
        <v>Digital Payment</v>
      </c>
      <c r="P8938">
        <v>1123.79</v>
      </c>
      <c r="Q8938" s="37" t="str">
        <f>IF(P8938&gt;500,"High","low")</f>
        <v>High</v>
      </c>
      <c r="R8938" s="37" t="str">
        <f t="shared" si="699"/>
        <v>Excellent</v>
      </c>
      <c r="S8938" t="s">
        <v>620</v>
      </c>
    </row>
    <row r="8939" spans="1:19" x14ac:dyDescent="0.2">
      <c r="A8939" t="s">
        <v>9550</v>
      </c>
      <c r="B8939" t="s">
        <v>83</v>
      </c>
      <c r="C8939" t="s">
        <v>607</v>
      </c>
      <c r="D8939">
        <v>1383.37</v>
      </c>
      <c r="E8939" s="37" t="str">
        <f t="shared" si="695"/>
        <v xml:space="preserve"> </v>
      </c>
      <c r="F8939">
        <v>0.09</v>
      </c>
      <c r="G8939" s="37" t="str">
        <f t="shared" si="696"/>
        <v>Normal Discount</v>
      </c>
      <c r="H8939" s="37" t="str">
        <f t="shared" si="697"/>
        <v>Low</v>
      </c>
      <c r="I8939">
        <v>2</v>
      </c>
      <c r="J8939" t="str" cm="1">
        <f t="array" ref="J8939">_xlfn.IFS(I8939&lt;=3,"small",I8939&lt;=6,"Medium",I8939&lt;=9,"Large")</f>
        <v>small</v>
      </c>
      <c r="K8939" s="36">
        <v>45392</v>
      </c>
      <c r="L8939" s="36">
        <v>45393</v>
      </c>
      <c r="M8939" t="s">
        <v>598</v>
      </c>
      <c r="N8939" t="s">
        <v>604</v>
      </c>
      <c r="O8939" s="37" t="str">
        <f t="shared" si="698"/>
        <v>Digital Payment</v>
      </c>
      <c r="P8939">
        <v>135.44</v>
      </c>
      <c r="Q8939" s="37" t="str">
        <f>IF(P8939&gt;500,"High","low")</f>
        <v>low</v>
      </c>
      <c r="R8939" s="37" t="str">
        <f t="shared" si="699"/>
        <v>AVERAGE</v>
      </c>
      <c r="S8939" t="s">
        <v>609</v>
      </c>
    </row>
    <row r="8940" spans="1:19" x14ac:dyDescent="0.2">
      <c r="A8940" t="s">
        <v>9551</v>
      </c>
      <c r="B8940" t="s">
        <v>75</v>
      </c>
      <c r="C8940" t="s">
        <v>614</v>
      </c>
      <c r="D8940">
        <v>3122.07</v>
      </c>
      <c r="E8940" s="37" t="str">
        <f t="shared" si="695"/>
        <v xml:space="preserve"> </v>
      </c>
      <c r="F8940">
        <v>7.0000000000000007E-2</v>
      </c>
      <c r="G8940" s="37" t="str">
        <f t="shared" si="696"/>
        <v>Normal Discount</v>
      </c>
      <c r="H8940" s="37" t="str">
        <f t="shared" si="697"/>
        <v>Low</v>
      </c>
      <c r="I8940">
        <v>9</v>
      </c>
      <c r="J8940" t="str" cm="1">
        <f t="array" ref="J8940">_xlfn.IFS(I8940&lt;=3,"small",I8940&lt;=6,"Medium",I8940&lt;=9,"Large")</f>
        <v>Large</v>
      </c>
      <c r="K8940" s="36">
        <v>45322</v>
      </c>
      <c r="L8940" s="36">
        <v>45326</v>
      </c>
      <c r="M8940" t="s">
        <v>603</v>
      </c>
      <c r="N8940" t="s">
        <v>608</v>
      </c>
      <c r="O8940" s="37" t="str">
        <f t="shared" si="698"/>
        <v>Cash Payment</v>
      </c>
      <c r="P8940">
        <v>687.94</v>
      </c>
      <c r="Q8940" s="37" t="str">
        <f>IF(P8940&gt;500,"High","low")</f>
        <v>High</v>
      </c>
      <c r="R8940" s="37" t="str">
        <f t="shared" si="699"/>
        <v>Good</v>
      </c>
      <c r="S8940" t="s">
        <v>615</v>
      </c>
    </row>
    <row r="8941" spans="1:19" x14ac:dyDescent="0.2">
      <c r="A8941" t="s">
        <v>9552</v>
      </c>
      <c r="B8941" t="s">
        <v>83</v>
      </c>
      <c r="C8941" t="s">
        <v>597</v>
      </c>
      <c r="D8941">
        <v>2961.48</v>
      </c>
      <c r="E8941" s="37" t="str">
        <f t="shared" si="695"/>
        <v xml:space="preserve"> </v>
      </c>
      <c r="F8941">
        <v>0.2</v>
      </c>
      <c r="G8941" s="37" t="str">
        <f t="shared" si="696"/>
        <v>Normal Discount</v>
      </c>
      <c r="H8941" s="37" t="str">
        <f t="shared" si="697"/>
        <v>Medium</v>
      </c>
      <c r="I8941">
        <v>9</v>
      </c>
      <c r="J8941" t="str" cm="1">
        <f t="array" ref="J8941">_xlfn.IFS(I8941&lt;=3,"small",I8941&lt;=6,"Medium",I8941&lt;=9,"Large")</f>
        <v>Large</v>
      </c>
      <c r="K8941" s="36">
        <v>44973</v>
      </c>
      <c r="L8941" s="36">
        <v>44978</v>
      </c>
      <c r="M8941" t="s">
        <v>598</v>
      </c>
      <c r="N8941" t="s">
        <v>599</v>
      </c>
      <c r="O8941" s="37" t="str">
        <f t="shared" si="698"/>
        <v>Digital Payment</v>
      </c>
      <c r="P8941">
        <v>151.24</v>
      </c>
      <c r="Q8941" s="37" t="str">
        <f>IF(P8941&gt;500,"High","low")</f>
        <v>low</v>
      </c>
      <c r="R8941" s="37" t="str">
        <f t="shared" si="699"/>
        <v>AVERAGE</v>
      </c>
      <c r="S8941" t="s">
        <v>628</v>
      </c>
    </row>
    <row r="8942" spans="1:19" x14ac:dyDescent="0.2">
      <c r="A8942" t="s">
        <v>9553</v>
      </c>
      <c r="B8942" t="s">
        <v>67</v>
      </c>
      <c r="C8942" t="s">
        <v>602</v>
      </c>
      <c r="D8942">
        <v>760.76</v>
      </c>
      <c r="E8942" s="37" t="str">
        <f t="shared" si="695"/>
        <v xml:space="preserve"> </v>
      </c>
      <c r="F8942">
        <v>0.41</v>
      </c>
      <c r="G8942" s="37" t="str">
        <f t="shared" si="696"/>
        <v>Heavy Discount</v>
      </c>
      <c r="H8942" s="37" t="str">
        <f t="shared" si="697"/>
        <v>High</v>
      </c>
      <c r="I8942">
        <v>8</v>
      </c>
      <c r="J8942" t="str" cm="1">
        <f t="array" ref="J8942">_xlfn.IFS(I8942&lt;=3,"small",I8942&lt;=6,"Medium",I8942&lt;=9,"Large")</f>
        <v>Large</v>
      </c>
      <c r="K8942" s="36">
        <v>45507</v>
      </c>
      <c r="L8942" s="36">
        <v>45508</v>
      </c>
      <c r="M8942" t="s">
        <v>603</v>
      </c>
      <c r="N8942" t="s">
        <v>599</v>
      </c>
      <c r="O8942" s="37" t="str">
        <f t="shared" si="698"/>
        <v>Digital Payment</v>
      </c>
      <c r="P8942">
        <v>151.18</v>
      </c>
      <c r="Q8942" s="37" t="str">
        <f>IF(P8942&gt;500,"High","low")</f>
        <v>low</v>
      </c>
      <c r="R8942" s="37" t="str">
        <f t="shared" si="699"/>
        <v>AVERAGE</v>
      </c>
      <c r="S8942" t="s">
        <v>609</v>
      </c>
    </row>
    <row r="8943" spans="1:19" x14ac:dyDescent="0.2">
      <c r="A8943" t="s">
        <v>9554</v>
      </c>
      <c r="B8943" t="s">
        <v>75</v>
      </c>
      <c r="C8943" t="s">
        <v>602</v>
      </c>
      <c r="D8943">
        <v>2649.55</v>
      </c>
      <c r="E8943" s="37" t="str">
        <f t="shared" si="695"/>
        <v xml:space="preserve"> </v>
      </c>
      <c r="F8943">
        <v>0.43</v>
      </c>
      <c r="G8943" s="37" t="str">
        <f t="shared" si="696"/>
        <v>Heavy Discount</v>
      </c>
      <c r="H8943" s="37" t="str">
        <f t="shared" si="697"/>
        <v>High</v>
      </c>
      <c r="I8943">
        <v>3</v>
      </c>
      <c r="J8943" t="str" cm="1">
        <f t="array" ref="J8943">_xlfn.IFS(I8943&lt;=3,"small",I8943&lt;=6,"Medium",I8943&lt;=9,"Large")</f>
        <v>small</v>
      </c>
      <c r="K8943" s="36">
        <v>45169</v>
      </c>
      <c r="L8943" s="36">
        <v>45171</v>
      </c>
      <c r="M8943" t="s">
        <v>603</v>
      </c>
      <c r="N8943" t="s">
        <v>604</v>
      </c>
      <c r="O8943" s="37" t="str">
        <f t="shared" si="698"/>
        <v>Digital Payment</v>
      </c>
      <c r="P8943">
        <v>179.3</v>
      </c>
      <c r="Q8943" s="37" t="str">
        <f>IF(P8943&gt;500,"High","low")</f>
        <v>low</v>
      </c>
      <c r="R8943" s="37" t="str">
        <f t="shared" si="699"/>
        <v>AVERAGE</v>
      </c>
      <c r="S8943" t="s">
        <v>628</v>
      </c>
    </row>
    <row r="8944" spans="1:19" x14ac:dyDescent="0.2">
      <c r="A8944" t="s">
        <v>9555</v>
      </c>
      <c r="B8944" t="s">
        <v>75</v>
      </c>
      <c r="C8944" t="s">
        <v>614</v>
      </c>
      <c r="D8944">
        <v>440.8</v>
      </c>
      <c r="E8944" s="37" t="str">
        <f t="shared" si="695"/>
        <v xml:space="preserve"> </v>
      </c>
      <c r="F8944">
        <v>0.02</v>
      </c>
      <c r="G8944" s="37" t="str">
        <f t="shared" si="696"/>
        <v>Normal Discount</v>
      </c>
      <c r="H8944" s="37" t="str">
        <f t="shared" si="697"/>
        <v>Low</v>
      </c>
      <c r="I8944">
        <v>8</v>
      </c>
      <c r="J8944" t="str" cm="1">
        <f t="array" ref="J8944">_xlfn.IFS(I8944&lt;=3,"small",I8944&lt;=6,"Medium",I8944&lt;=9,"Large")</f>
        <v>Large</v>
      </c>
      <c r="K8944" s="36">
        <v>45382</v>
      </c>
      <c r="L8944" s="36">
        <v>45386</v>
      </c>
      <c r="M8944" t="s">
        <v>612</v>
      </c>
      <c r="N8944" t="s">
        <v>604</v>
      </c>
      <c r="O8944" s="37" t="str">
        <f t="shared" si="698"/>
        <v>Digital Payment</v>
      </c>
      <c r="P8944">
        <v>120.87</v>
      </c>
      <c r="Q8944" s="37" t="str">
        <f>IF(P8944&gt;500,"High","low")</f>
        <v>low</v>
      </c>
      <c r="R8944" s="37" t="str">
        <f t="shared" si="699"/>
        <v>AVERAGE</v>
      </c>
      <c r="S8944" t="s">
        <v>609</v>
      </c>
    </row>
    <row r="8945" spans="1:19" x14ac:dyDescent="0.2">
      <c r="A8945" t="s">
        <v>9556</v>
      </c>
      <c r="B8945" t="s">
        <v>75</v>
      </c>
      <c r="C8945" t="s">
        <v>607</v>
      </c>
      <c r="D8945">
        <v>1006.3</v>
      </c>
      <c r="E8945" s="37" t="str">
        <f t="shared" si="695"/>
        <v xml:space="preserve"> </v>
      </c>
      <c r="F8945">
        <v>0.1</v>
      </c>
      <c r="G8945" s="37" t="str">
        <f t="shared" si="696"/>
        <v>Normal Discount</v>
      </c>
      <c r="H8945" s="37" t="str">
        <f t="shared" si="697"/>
        <v>Low</v>
      </c>
      <c r="I8945">
        <v>5</v>
      </c>
      <c r="J8945" t="str" cm="1">
        <f t="array" ref="J8945">_xlfn.IFS(I8945&lt;=3,"small",I8945&lt;=6,"Medium",I8945&lt;=9,"Large")</f>
        <v>Medium</v>
      </c>
      <c r="K8945" s="36">
        <v>45109</v>
      </c>
      <c r="L8945" s="36">
        <v>45115</v>
      </c>
      <c r="M8945" t="s">
        <v>603</v>
      </c>
      <c r="N8945" t="s">
        <v>599</v>
      </c>
      <c r="O8945" s="37" t="str">
        <f t="shared" si="698"/>
        <v>Digital Payment</v>
      </c>
      <c r="P8945">
        <v>122.2</v>
      </c>
      <c r="Q8945" s="37" t="str">
        <f>IF(P8945&gt;500,"High","low")</f>
        <v>low</v>
      </c>
      <c r="R8945" s="37" t="str">
        <f t="shared" si="699"/>
        <v>AVERAGE</v>
      </c>
      <c r="S8945" t="s">
        <v>600</v>
      </c>
    </row>
    <row r="8946" spans="1:19" x14ac:dyDescent="0.2">
      <c r="A8946" t="s">
        <v>9557</v>
      </c>
      <c r="B8946" t="s">
        <v>75</v>
      </c>
      <c r="C8946" t="s">
        <v>617</v>
      </c>
      <c r="D8946">
        <v>4573.5200000000004</v>
      </c>
      <c r="E8946" s="37" t="str">
        <f t="shared" si="695"/>
        <v xml:space="preserve"> </v>
      </c>
      <c r="F8946">
        <v>0.1</v>
      </c>
      <c r="G8946" s="37" t="str">
        <f t="shared" si="696"/>
        <v>Normal Discount</v>
      </c>
      <c r="H8946" s="37" t="str">
        <f t="shared" si="697"/>
        <v>Low</v>
      </c>
      <c r="I8946">
        <v>5</v>
      </c>
      <c r="J8946" t="str" cm="1">
        <f t="array" ref="J8946">_xlfn.IFS(I8946&lt;=3,"small",I8946&lt;=6,"Medium",I8946&lt;=9,"Large")</f>
        <v>Medium</v>
      </c>
      <c r="K8946" s="36">
        <v>45251</v>
      </c>
      <c r="L8946" s="36">
        <v>45255</v>
      </c>
      <c r="M8946" t="s">
        <v>603</v>
      </c>
      <c r="N8946" t="s">
        <v>608</v>
      </c>
      <c r="O8946" s="37" t="str">
        <f t="shared" si="698"/>
        <v>Cash Payment</v>
      </c>
      <c r="P8946">
        <v>789.19</v>
      </c>
      <c r="Q8946" s="37" t="str">
        <f>IF(P8946&gt;500,"High","low")</f>
        <v>High</v>
      </c>
      <c r="R8946" s="37" t="str">
        <f t="shared" si="699"/>
        <v>Good</v>
      </c>
      <c r="S8946" t="s">
        <v>609</v>
      </c>
    </row>
    <row r="8947" spans="1:19" x14ac:dyDescent="0.2">
      <c r="A8947" t="s">
        <v>9558</v>
      </c>
      <c r="B8947" t="s">
        <v>83</v>
      </c>
      <c r="C8947" t="s">
        <v>607</v>
      </c>
      <c r="D8947">
        <v>684.29</v>
      </c>
      <c r="E8947" s="37" t="str">
        <f t="shared" si="695"/>
        <v xml:space="preserve"> </v>
      </c>
      <c r="F8947">
        <v>0.41</v>
      </c>
      <c r="G8947" s="37" t="str">
        <f t="shared" si="696"/>
        <v>Heavy Discount</v>
      </c>
      <c r="H8947" s="37" t="str">
        <f t="shared" si="697"/>
        <v>High</v>
      </c>
      <c r="I8947">
        <v>2</v>
      </c>
      <c r="J8947" t="str" cm="1">
        <f t="array" ref="J8947">_xlfn.IFS(I8947&lt;=3,"small",I8947&lt;=6,"Medium",I8947&lt;=9,"Large")</f>
        <v>small</v>
      </c>
      <c r="K8947" s="36">
        <v>45268</v>
      </c>
      <c r="L8947" s="36">
        <v>45269</v>
      </c>
      <c r="M8947" t="s">
        <v>598</v>
      </c>
      <c r="N8947" t="s">
        <v>608</v>
      </c>
      <c r="O8947" s="37" t="str">
        <f t="shared" si="698"/>
        <v>Cash Payment</v>
      </c>
      <c r="P8947">
        <v>101.16</v>
      </c>
      <c r="Q8947" s="37" t="str">
        <f>IF(P8947&gt;500,"High","low")</f>
        <v>low</v>
      </c>
      <c r="R8947" s="37" t="str">
        <f t="shared" si="699"/>
        <v>AVERAGE</v>
      </c>
      <c r="S8947" t="s">
        <v>620</v>
      </c>
    </row>
    <row r="8948" spans="1:19" x14ac:dyDescent="0.2">
      <c r="A8948" t="s">
        <v>9559</v>
      </c>
      <c r="B8948" t="s">
        <v>90</v>
      </c>
      <c r="C8948" t="s">
        <v>607</v>
      </c>
      <c r="D8948">
        <v>2936.69</v>
      </c>
      <c r="E8948" s="37" t="str">
        <f t="shared" si="695"/>
        <v xml:space="preserve"> </v>
      </c>
      <c r="F8948">
        <v>0.23</v>
      </c>
      <c r="G8948" s="37" t="str">
        <f t="shared" si="696"/>
        <v>Normal Discount</v>
      </c>
      <c r="H8948" s="37" t="str">
        <f t="shared" si="697"/>
        <v>Medium</v>
      </c>
      <c r="I8948">
        <v>3</v>
      </c>
      <c r="J8948" t="str" cm="1">
        <f t="array" ref="J8948">_xlfn.IFS(I8948&lt;=3,"small",I8948&lt;=6,"Medium",I8948&lt;=9,"Large")</f>
        <v>small</v>
      </c>
      <c r="K8948" s="36">
        <v>45510</v>
      </c>
      <c r="L8948" s="36">
        <v>45514</v>
      </c>
      <c r="M8948" t="s">
        <v>603</v>
      </c>
      <c r="N8948" t="s">
        <v>608</v>
      </c>
      <c r="O8948" s="37" t="str">
        <f t="shared" si="698"/>
        <v>Cash Payment</v>
      </c>
      <c r="P8948">
        <v>571.63</v>
      </c>
      <c r="Q8948" s="37" t="str">
        <f>IF(P8948&gt;500,"High","low")</f>
        <v>High</v>
      </c>
      <c r="R8948" s="37" t="str">
        <f t="shared" si="699"/>
        <v>Good</v>
      </c>
      <c r="S8948" t="s">
        <v>615</v>
      </c>
    </row>
    <row r="8949" spans="1:19" x14ac:dyDescent="0.2">
      <c r="A8949" t="s">
        <v>9560</v>
      </c>
      <c r="B8949" t="s">
        <v>90</v>
      </c>
      <c r="C8949" t="s">
        <v>602</v>
      </c>
      <c r="D8949">
        <v>1685.06</v>
      </c>
      <c r="E8949" s="37" t="str">
        <f t="shared" si="695"/>
        <v xml:space="preserve"> </v>
      </c>
      <c r="F8949">
        <v>0.18</v>
      </c>
      <c r="G8949" s="37" t="str">
        <f t="shared" si="696"/>
        <v>Normal Discount</v>
      </c>
      <c r="H8949" s="37" t="str">
        <f t="shared" si="697"/>
        <v>Low</v>
      </c>
      <c r="I8949">
        <v>8</v>
      </c>
      <c r="J8949" t="str" cm="1">
        <f t="array" ref="J8949">_xlfn.IFS(I8949&lt;=3,"small",I8949&lt;=6,"Medium",I8949&lt;=9,"Large")</f>
        <v>Large</v>
      </c>
      <c r="K8949" s="36">
        <v>45329</v>
      </c>
      <c r="L8949" s="36">
        <v>45334</v>
      </c>
      <c r="M8949" t="s">
        <v>612</v>
      </c>
      <c r="N8949" t="s">
        <v>604</v>
      </c>
      <c r="O8949" s="37" t="str">
        <f t="shared" si="698"/>
        <v>Digital Payment</v>
      </c>
      <c r="P8949">
        <v>216.36</v>
      </c>
      <c r="Q8949" s="37" t="str">
        <f>IF(P8949&gt;500,"High","low")</f>
        <v>low</v>
      </c>
      <c r="R8949" s="37" t="str">
        <f t="shared" si="699"/>
        <v>AVERAGE</v>
      </c>
      <c r="S8949" t="s">
        <v>600</v>
      </c>
    </row>
    <row r="8950" spans="1:19" x14ac:dyDescent="0.2">
      <c r="A8950" t="s">
        <v>9561</v>
      </c>
      <c r="B8950" t="s">
        <v>67</v>
      </c>
      <c r="C8950" t="s">
        <v>602</v>
      </c>
      <c r="D8950">
        <v>2821.04</v>
      </c>
      <c r="E8950" s="37" t="str">
        <f t="shared" si="695"/>
        <v xml:space="preserve"> </v>
      </c>
      <c r="F8950">
        <v>0.48</v>
      </c>
      <c r="G8950" s="37" t="str">
        <f t="shared" si="696"/>
        <v>Heavy Discount</v>
      </c>
      <c r="H8950" s="37" t="str">
        <f t="shared" si="697"/>
        <v>High</v>
      </c>
      <c r="I8950">
        <v>1</v>
      </c>
      <c r="J8950" t="str" cm="1">
        <f t="array" ref="J8950">_xlfn.IFS(I8950&lt;=3,"small",I8950&lt;=6,"Medium",I8950&lt;=9,"Large")</f>
        <v>small</v>
      </c>
      <c r="K8950" s="36">
        <v>45600</v>
      </c>
      <c r="L8950" s="36">
        <v>45601</v>
      </c>
      <c r="M8950" t="s">
        <v>603</v>
      </c>
      <c r="N8950" t="s">
        <v>604</v>
      </c>
      <c r="O8950" s="37" t="str">
        <f t="shared" si="698"/>
        <v>Digital Payment</v>
      </c>
      <c r="P8950">
        <v>793.56</v>
      </c>
      <c r="Q8950" s="37" t="str">
        <f>IF(P8950&gt;500,"High","low")</f>
        <v>High</v>
      </c>
      <c r="R8950" s="37" t="str">
        <f t="shared" si="699"/>
        <v>Good</v>
      </c>
      <c r="S8950" t="s">
        <v>628</v>
      </c>
    </row>
    <row r="8951" spans="1:19" x14ac:dyDescent="0.2">
      <c r="A8951" t="s">
        <v>9562</v>
      </c>
      <c r="B8951" t="s">
        <v>90</v>
      </c>
      <c r="C8951" t="s">
        <v>617</v>
      </c>
      <c r="D8951">
        <v>1251.3699999999999</v>
      </c>
      <c r="E8951" s="37" t="str">
        <f t="shared" si="695"/>
        <v xml:space="preserve"> </v>
      </c>
      <c r="F8951">
        <v>0.46</v>
      </c>
      <c r="G8951" s="37" t="str">
        <f t="shared" si="696"/>
        <v>Heavy Discount</v>
      </c>
      <c r="H8951" s="37" t="str">
        <f t="shared" si="697"/>
        <v>High</v>
      </c>
      <c r="I8951">
        <v>4</v>
      </c>
      <c r="J8951" t="str" cm="1">
        <f t="array" ref="J8951">_xlfn.IFS(I8951&lt;=3,"small",I8951&lt;=6,"Medium",I8951&lt;=9,"Large")</f>
        <v>Medium</v>
      </c>
      <c r="K8951" s="36">
        <v>45629</v>
      </c>
      <c r="L8951" s="36">
        <v>45634</v>
      </c>
      <c r="M8951" t="s">
        <v>598</v>
      </c>
      <c r="N8951" t="s">
        <v>599</v>
      </c>
      <c r="O8951" s="37" t="str">
        <f t="shared" si="698"/>
        <v>Digital Payment</v>
      </c>
      <c r="P8951">
        <v>164.3</v>
      </c>
      <c r="Q8951" s="37" t="str">
        <f>IF(P8951&gt;500,"High","low")</f>
        <v>low</v>
      </c>
      <c r="R8951" s="37" t="str">
        <f t="shared" si="699"/>
        <v>AVERAGE</v>
      </c>
      <c r="S8951" t="s">
        <v>609</v>
      </c>
    </row>
    <row r="8952" spans="1:19" x14ac:dyDescent="0.2">
      <c r="A8952" t="s">
        <v>9563</v>
      </c>
      <c r="B8952" t="s">
        <v>90</v>
      </c>
      <c r="C8952" t="s">
        <v>602</v>
      </c>
      <c r="D8952">
        <v>2277.46</v>
      </c>
      <c r="E8952" s="37" t="str">
        <f t="shared" si="695"/>
        <v xml:space="preserve"> </v>
      </c>
      <c r="F8952">
        <v>0.22</v>
      </c>
      <c r="G8952" s="37" t="str">
        <f t="shared" si="696"/>
        <v>Normal Discount</v>
      </c>
      <c r="H8952" s="37" t="str">
        <f t="shared" si="697"/>
        <v>Medium</v>
      </c>
      <c r="I8952">
        <v>6</v>
      </c>
      <c r="J8952" t="str" cm="1">
        <f t="array" ref="J8952">_xlfn.IFS(I8952&lt;=3,"small",I8952&lt;=6,"Medium",I8952&lt;=9,"Large")</f>
        <v>Medium</v>
      </c>
      <c r="K8952" s="36">
        <v>45564</v>
      </c>
      <c r="L8952" s="36">
        <v>45569</v>
      </c>
      <c r="M8952" t="s">
        <v>603</v>
      </c>
      <c r="N8952" t="s">
        <v>599</v>
      </c>
      <c r="O8952" s="37" t="str">
        <f t="shared" si="698"/>
        <v>Digital Payment</v>
      </c>
      <c r="P8952">
        <v>411.88</v>
      </c>
      <c r="Q8952" s="37" t="str">
        <f>IF(P8952&gt;500,"High","low")</f>
        <v>low</v>
      </c>
      <c r="R8952" s="37" t="str">
        <f t="shared" si="699"/>
        <v>AVERAGE</v>
      </c>
      <c r="S8952" t="s">
        <v>609</v>
      </c>
    </row>
    <row r="8953" spans="1:19" x14ac:dyDescent="0.2">
      <c r="A8953" t="s">
        <v>9564</v>
      </c>
      <c r="B8953" t="s">
        <v>90</v>
      </c>
      <c r="C8953" t="s">
        <v>607</v>
      </c>
      <c r="D8953">
        <v>4349.93</v>
      </c>
      <c r="E8953" s="37" t="str">
        <f t="shared" si="695"/>
        <v xml:space="preserve"> </v>
      </c>
      <c r="F8953">
        <v>0.06</v>
      </c>
      <c r="G8953" s="37" t="str">
        <f t="shared" si="696"/>
        <v>Normal Discount</v>
      </c>
      <c r="H8953" s="37" t="str">
        <f t="shared" si="697"/>
        <v>Low</v>
      </c>
      <c r="I8953">
        <v>9</v>
      </c>
      <c r="J8953" t="str" cm="1">
        <f t="array" ref="J8953">_xlfn.IFS(I8953&lt;=3,"small",I8953&lt;=6,"Medium",I8953&lt;=9,"Large")</f>
        <v>Large</v>
      </c>
      <c r="K8953" s="36">
        <v>45104</v>
      </c>
      <c r="L8953" s="36">
        <v>45110</v>
      </c>
      <c r="M8953" t="s">
        <v>603</v>
      </c>
      <c r="N8953" t="s">
        <v>604</v>
      </c>
      <c r="O8953" s="37" t="str">
        <f t="shared" si="698"/>
        <v>Digital Payment</v>
      </c>
      <c r="P8953">
        <v>653.76</v>
      </c>
      <c r="Q8953" s="37" t="str">
        <f>IF(P8953&gt;500,"High","low")</f>
        <v>High</v>
      </c>
      <c r="R8953" s="37" t="str">
        <f t="shared" si="699"/>
        <v>Good</v>
      </c>
      <c r="S8953" t="s">
        <v>600</v>
      </c>
    </row>
    <row r="8954" spans="1:19" x14ac:dyDescent="0.2">
      <c r="A8954" t="s">
        <v>9565</v>
      </c>
      <c r="B8954" t="s">
        <v>90</v>
      </c>
      <c r="C8954" t="s">
        <v>614</v>
      </c>
      <c r="D8954">
        <v>1943.46</v>
      </c>
      <c r="E8954" s="37" t="str">
        <f t="shared" si="695"/>
        <v xml:space="preserve"> </v>
      </c>
      <c r="F8954">
        <v>0.09</v>
      </c>
      <c r="G8954" s="37" t="str">
        <f t="shared" si="696"/>
        <v>Normal Discount</v>
      </c>
      <c r="H8954" s="37" t="str">
        <f t="shared" si="697"/>
        <v>Low</v>
      </c>
      <c r="I8954">
        <v>8</v>
      </c>
      <c r="J8954" t="str" cm="1">
        <f t="array" ref="J8954">_xlfn.IFS(I8954&lt;=3,"small",I8954&lt;=6,"Medium",I8954&lt;=9,"Large")</f>
        <v>Large</v>
      </c>
      <c r="K8954" s="36">
        <v>45167</v>
      </c>
      <c r="L8954" s="36">
        <v>45169</v>
      </c>
      <c r="M8954" t="s">
        <v>598</v>
      </c>
      <c r="N8954" t="s">
        <v>608</v>
      </c>
      <c r="O8954" s="37" t="str">
        <f t="shared" si="698"/>
        <v>Cash Payment</v>
      </c>
      <c r="P8954">
        <v>209.25</v>
      </c>
      <c r="Q8954" s="37" t="str">
        <f>IF(P8954&gt;500,"High","low")</f>
        <v>low</v>
      </c>
      <c r="R8954" s="37" t="str">
        <f t="shared" si="699"/>
        <v>AVERAGE</v>
      </c>
      <c r="S8954" t="s">
        <v>628</v>
      </c>
    </row>
    <row r="8955" spans="1:19" x14ac:dyDescent="0.2">
      <c r="A8955" t="s">
        <v>9566</v>
      </c>
      <c r="B8955" t="s">
        <v>67</v>
      </c>
      <c r="C8955" t="s">
        <v>617</v>
      </c>
      <c r="D8955">
        <v>1829.85</v>
      </c>
      <c r="E8955" s="37" t="str">
        <f t="shared" si="695"/>
        <v xml:space="preserve"> </v>
      </c>
      <c r="F8955">
        <v>0.06</v>
      </c>
      <c r="G8955" s="37" t="str">
        <f t="shared" si="696"/>
        <v>Normal Discount</v>
      </c>
      <c r="H8955" s="37" t="str">
        <f t="shared" si="697"/>
        <v>Low</v>
      </c>
      <c r="I8955">
        <v>5</v>
      </c>
      <c r="J8955" t="str" cm="1">
        <f t="array" ref="J8955">_xlfn.IFS(I8955&lt;=3,"small",I8955&lt;=6,"Medium",I8955&lt;=9,"Large")</f>
        <v>Medium</v>
      </c>
      <c r="K8955" s="36">
        <v>45559</v>
      </c>
      <c r="L8955" s="36">
        <v>45560</v>
      </c>
      <c r="M8955" t="s">
        <v>603</v>
      </c>
      <c r="N8955" t="s">
        <v>599</v>
      </c>
      <c r="O8955" s="37" t="str">
        <f t="shared" si="698"/>
        <v>Digital Payment</v>
      </c>
      <c r="P8955">
        <v>544.6</v>
      </c>
      <c r="Q8955" s="37" t="str">
        <f>IF(P8955&gt;500,"High","low")</f>
        <v>High</v>
      </c>
      <c r="R8955" s="37" t="str">
        <f t="shared" si="699"/>
        <v>Good</v>
      </c>
      <c r="S8955" t="s">
        <v>620</v>
      </c>
    </row>
    <row r="8956" spans="1:19" x14ac:dyDescent="0.2">
      <c r="A8956" t="s">
        <v>9567</v>
      </c>
      <c r="B8956" t="s">
        <v>83</v>
      </c>
      <c r="C8956" t="s">
        <v>614</v>
      </c>
      <c r="D8956">
        <v>2285.98</v>
      </c>
      <c r="E8956" s="37" t="str">
        <f t="shared" si="695"/>
        <v xml:space="preserve"> </v>
      </c>
      <c r="F8956">
        <v>0.34</v>
      </c>
      <c r="G8956" s="37" t="str">
        <f t="shared" si="696"/>
        <v>Heavy Discount</v>
      </c>
      <c r="H8956" s="37" t="str">
        <f t="shared" si="697"/>
        <v>Medium</v>
      </c>
      <c r="I8956">
        <v>7</v>
      </c>
      <c r="J8956" t="str" cm="1">
        <f t="array" ref="J8956">_xlfn.IFS(I8956&lt;=3,"small",I8956&lt;=6,"Medium",I8956&lt;=9,"Large")</f>
        <v>Large</v>
      </c>
      <c r="K8956" s="36">
        <v>45007</v>
      </c>
      <c r="L8956" s="36">
        <v>45009</v>
      </c>
      <c r="M8956" t="s">
        <v>603</v>
      </c>
      <c r="N8956" t="s">
        <v>604</v>
      </c>
      <c r="O8956" s="37" t="str">
        <f t="shared" si="698"/>
        <v>Digital Payment</v>
      </c>
      <c r="P8956">
        <v>499.67</v>
      </c>
      <c r="Q8956" s="37" t="str">
        <f>IF(P8956&gt;500,"High","low")</f>
        <v>low</v>
      </c>
      <c r="R8956" s="37" t="str">
        <f t="shared" si="699"/>
        <v>AVERAGE</v>
      </c>
      <c r="S8956" t="s">
        <v>628</v>
      </c>
    </row>
    <row r="8957" spans="1:19" x14ac:dyDescent="0.2">
      <c r="A8957" t="s">
        <v>9568</v>
      </c>
      <c r="B8957" t="s">
        <v>75</v>
      </c>
      <c r="C8957" t="s">
        <v>607</v>
      </c>
      <c r="D8957">
        <v>592.41</v>
      </c>
      <c r="E8957" s="37" t="str">
        <f t="shared" si="695"/>
        <v xml:space="preserve"> </v>
      </c>
      <c r="F8957">
        <v>0.28000000000000003</v>
      </c>
      <c r="G8957" s="37" t="str">
        <f t="shared" si="696"/>
        <v>Normal Discount</v>
      </c>
      <c r="H8957" s="37" t="str">
        <f t="shared" si="697"/>
        <v>Medium</v>
      </c>
      <c r="I8957">
        <v>8</v>
      </c>
      <c r="J8957" t="str" cm="1">
        <f t="array" ref="J8957">_xlfn.IFS(I8957&lt;=3,"small",I8957&lt;=6,"Medium",I8957&lt;=9,"Large")</f>
        <v>Large</v>
      </c>
      <c r="K8957" s="36">
        <v>45221</v>
      </c>
      <c r="L8957" s="36">
        <v>45223</v>
      </c>
      <c r="M8957" t="s">
        <v>598</v>
      </c>
      <c r="N8957" t="s">
        <v>608</v>
      </c>
      <c r="O8957" s="37" t="str">
        <f t="shared" si="698"/>
        <v>Cash Payment</v>
      </c>
      <c r="P8957">
        <v>105.48</v>
      </c>
      <c r="Q8957" s="37" t="str">
        <f>IF(P8957&gt;500,"High","low")</f>
        <v>low</v>
      </c>
      <c r="R8957" s="37" t="str">
        <f t="shared" si="699"/>
        <v>AVERAGE</v>
      </c>
      <c r="S8957" t="s">
        <v>605</v>
      </c>
    </row>
    <row r="8958" spans="1:19" x14ac:dyDescent="0.2">
      <c r="A8958" t="s">
        <v>9569</v>
      </c>
      <c r="B8958" t="s">
        <v>90</v>
      </c>
      <c r="C8958" t="s">
        <v>617</v>
      </c>
      <c r="D8958">
        <v>1998</v>
      </c>
      <c r="E8958" s="37" t="str">
        <f t="shared" si="695"/>
        <v xml:space="preserve"> </v>
      </c>
      <c r="F8958">
        <v>0.28000000000000003</v>
      </c>
      <c r="G8958" s="37" t="str">
        <f t="shared" si="696"/>
        <v>Normal Discount</v>
      </c>
      <c r="H8958" s="37" t="str">
        <f t="shared" si="697"/>
        <v>Medium</v>
      </c>
      <c r="I8958">
        <v>9</v>
      </c>
      <c r="J8958" t="str" cm="1">
        <f t="array" ref="J8958">_xlfn.IFS(I8958&lt;=3,"small",I8958&lt;=6,"Medium",I8958&lt;=9,"Large")</f>
        <v>Large</v>
      </c>
      <c r="K8958" s="36">
        <v>45539</v>
      </c>
      <c r="L8958" s="36">
        <v>45543</v>
      </c>
      <c r="M8958" t="s">
        <v>612</v>
      </c>
      <c r="N8958" t="s">
        <v>604</v>
      </c>
      <c r="O8958" s="37" t="str">
        <f t="shared" si="698"/>
        <v>Digital Payment</v>
      </c>
      <c r="P8958">
        <v>423.64</v>
      </c>
      <c r="Q8958" s="37" t="str">
        <f>IF(P8958&gt;500,"High","low")</f>
        <v>low</v>
      </c>
      <c r="R8958" s="37" t="str">
        <f t="shared" si="699"/>
        <v>AVERAGE</v>
      </c>
      <c r="S8958" t="s">
        <v>620</v>
      </c>
    </row>
    <row r="8959" spans="1:19" x14ac:dyDescent="0.2">
      <c r="A8959" t="s">
        <v>9570</v>
      </c>
      <c r="B8959" t="s">
        <v>83</v>
      </c>
      <c r="C8959" t="s">
        <v>614</v>
      </c>
      <c r="D8959">
        <v>133.81</v>
      </c>
      <c r="E8959" s="37" t="str">
        <f t="shared" si="695"/>
        <v xml:space="preserve"> </v>
      </c>
      <c r="F8959">
        <v>0.05</v>
      </c>
      <c r="G8959" s="37" t="str">
        <f t="shared" si="696"/>
        <v>Normal Discount</v>
      </c>
      <c r="H8959" s="37" t="str">
        <f t="shared" si="697"/>
        <v>Low</v>
      </c>
      <c r="I8959">
        <v>3</v>
      </c>
      <c r="J8959" t="str" cm="1">
        <f t="array" ref="J8959">_xlfn.IFS(I8959&lt;=3,"small",I8959&lt;=6,"Medium",I8959&lt;=9,"Large")</f>
        <v>small</v>
      </c>
      <c r="K8959" s="36">
        <v>45085</v>
      </c>
      <c r="L8959" s="36">
        <v>45088</v>
      </c>
      <c r="M8959" t="s">
        <v>612</v>
      </c>
      <c r="N8959" t="s">
        <v>604</v>
      </c>
      <c r="O8959" s="37" t="str">
        <f t="shared" si="698"/>
        <v>Digital Payment</v>
      </c>
      <c r="P8959">
        <v>23.74</v>
      </c>
      <c r="Q8959" s="37" t="str">
        <f>IF(P8959&gt;500,"High","low")</f>
        <v>low</v>
      </c>
      <c r="R8959" s="37" t="str">
        <f t="shared" si="699"/>
        <v>AVERAGE</v>
      </c>
      <c r="S8959" t="s">
        <v>600</v>
      </c>
    </row>
    <row r="8960" spans="1:19" x14ac:dyDescent="0.2">
      <c r="A8960" t="s">
        <v>9571</v>
      </c>
      <c r="B8960" t="s">
        <v>90</v>
      </c>
      <c r="C8960" t="s">
        <v>617</v>
      </c>
      <c r="D8960">
        <v>2566.65</v>
      </c>
      <c r="E8960" s="37" t="str">
        <f t="shared" si="695"/>
        <v xml:space="preserve"> </v>
      </c>
      <c r="F8960">
        <v>0.4</v>
      </c>
      <c r="G8960" s="37" t="str">
        <f t="shared" si="696"/>
        <v>Heavy Discount</v>
      </c>
      <c r="H8960" s="37" t="str">
        <f t="shared" si="697"/>
        <v>Medium</v>
      </c>
      <c r="I8960">
        <v>8</v>
      </c>
      <c r="J8960" t="str" cm="1">
        <f t="array" ref="J8960">_xlfn.IFS(I8960&lt;=3,"small",I8960&lt;=6,"Medium",I8960&lt;=9,"Large")</f>
        <v>Large</v>
      </c>
      <c r="K8960" s="36">
        <v>45332</v>
      </c>
      <c r="L8960" s="36">
        <v>45333</v>
      </c>
      <c r="M8960" t="s">
        <v>612</v>
      </c>
      <c r="N8960" t="s">
        <v>608</v>
      </c>
      <c r="O8960" s="37" t="str">
        <f t="shared" si="698"/>
        <v>Cash Payment</v>
      </c>
      <c r="P8960">
        <v>613.55999999999995</v>
      </c>
      <c r="Q8960" s="37" t="str">
        <f>IF(P8960&gt;500,"High","low")</f>
        <v>High</v>
      </c>
      <c r="R8960" s="37" t="str">
        <f t="shared" si="699"/>
        <v>Good</v>
      </c>
      <c r="S8960" t="s">
        <v>605</v>
      </c>
    </row>
    <row r="8961" spans="1:19" x14ac:dyDescent="0.2">
      <c r="A8961" t="s">
        <v>9572</v>
      </c>
      <c r="B8961" t="s">
        <v>90</v>
      </c>
      <c r="C8961" t="s">
        <v>607</v>
      </c>
      <c r="D8961">
        <v>4254.91</v>
      </c>
      <c r="E8961" s="37" t="str">
        <f t="shared" si="695"/>
        <v xml:space="preserve"> </v>
      </c>
      <c r="F8961">
        <v>0.27</v>
      </c>
      <c r="G8961" s="37" t="str">
        <f t="shared" si="696"/>
        <v>Normal Discount</v>
      </c>
      <c r="H8961" s="37" t="str">
        <f t="shared" si="697"/>
        <v>Medium</v>
      </c>
      <c r="I8961">
        <v>3</v>
      </c>
      <c r="J8961" t="str" cm="1">
        <f t="array" ref="J8961">_xlfn.IFS(I8961&lt;=3,"small",I8961&lt;=6,"Medium",I8961&lt;=9,"Large")</f>
        <v>small</v>
      </c>
      <c r="K8961" s="36">
        <v>44984</v>
      </c>
      <c r="L8961" s="36">
        <v>44989</v>
      </c>
      <c r="M8961" t="s">
        <v>612</v>
      </c>
      <c r="N8961" t="s">
        <v>599</v>
      </c>
      <c r="O8961" s="37" t="str">
        <f t="shared" si="698"/>
        <v>Digital Payment</v>
      </c>
      <c r="P8961">
        <v>441.67</v>
      </c>
      <c r="Q8961" s="37" t="str">
        <f>IF(P8961&gt;500,"High","low")</f>
        <v>low</v>
      </c>
      <c r="R8961" s="37" t="str">
        <f t="shared" si="699"/>
        <v>AVERAGE</v>
      </c>
      <c r="S8961" t="s">
        <v>600</v>
      </c>
    </row>
    <row r="8962" spans="1:19" x14ac:dyDescent="0.2">
      <c r="A8962" t="s">
        <v>9573</v>
      </c>
      <c r="B8962" t="s">
        <v>75</v>
      </c>
      <c r="C8962" t="s">
        <v>617</v>
      </c>
      <c r="D8962">
        <v>2805.16</v>
      </c>
      <c r="E8962" s="37" t="str">
        <f t="shared" si="695"/>
        <v xml:space="preserve"> </v>
      </c>
      <c r="F8962">
        <v>0.05</v>
      </c>
      <c r="G8962" s="37" t="str">
        <f t="shared" si="696"/>
        <v>Normal Discount</v>
      </c>
      <c r="H8962" s="37" t="str">
        <f t="shared" si="697"/>
        <v>Low</v>
      </c>
      <c r="I8962">
        <v>1</v>
      </c>
      <c r="J8962" t="str" cm="1">
        <f t="array" ref="J8962">_xlfn.IFS(I8962&lt;=3,"small",I8962&lt;=6,"Medium",I8962&lt;=9,"Large")</f>
        <v>small</v>
      </c>
      <c r="K8962" s="36">
        <v>45463</v>
      </c>
      <c r="L8962" s="36">
        <v>45469</v>
      </c>
      <c r="M8962" t="s">
        <v>612</v>
      </c>
      <c r="N8962" t="s">
        <v>608</v>
      </c>
      <c r="O8962" s="37" t="str">
        <f t="shared" si="698"/>
        <v>Cash Payment</v>
      </c>
      <c r="P8962">
        <v>833.06</v>
      </c>
      <c r="Q8962" s="37" t="str">
        <f>IF(P8962&gt;500,"High","low")</f>
        <v>High</v>
      </c>
      <c r="R8962" s="37" t="str">
        <f t="shared" si="699"/>
        <v>Good</v>
      </c>
      <c r="S8962" t="s">
        <v>615</v>
      </c>
    </row>
    <row r="8963" spans="1:19" x14ac:dyDescent="0.2">
      <c r="A8963" t="s">
        <v>9574</v>
      </c>
      <c r="B8963" t="s">
        <v>75</v>
      </c>
      <c r="C8963" t="s">
        <v>607</v>
      </c>
      <c r="D8963">
        <v>3077.85</v>
      </c>
      <c r="E8963" s="37" t="str">
        <f t="shared" ref="E8963:E9026" si="700">IF(AND(D8963&gt;4000,P8963&gt;800),"Excellent Order"," ")</f>
        <v xml:space="preserve"> </v>
      </c>
      <c r="F8963">
        <v>0.37</v>
      </c>
      <c r="G8963" s="37" t="str">
        <f t="shared" ref="G8963:G9026" si="701">IF(F8963&gt;30%,"Heavy Discount","Normal Discount")</f>
        <v>Heavy Discount</v>
      </c>
      <c r="H8963" s="37" t="str">
        <f t="shared" ref="H8963:H9026" si="702">IF(F8963&gt;0.4,"High",IF(F8963&gt;=0.2,"Medium","Low"))</f>
        <v>Medium</v>
      </c>
      <c r="I8963">
        <v>4</v>
      </c>
      <c r="J8963" t="str" cm="1">
        <f t="array" ref="J8963">_xlfn.IFS(I8963&lt;=3,"small",I8963&lt;=6,"Medium",I8963&lt;=9,"Large")</f>
        <v>Medium</v>
      </c>
      <c r="K8963" s="36">
        <v>45201</v>
      </c>
      <c r="L8963" s="36">
        <v>45205</v>
      </c>
      <c r="M8963" t="s">
        <v>612</v>
      </c>
      <c r="N8963" t="s">
        <v>604</v>
      </c>
      <c r="O8963" s="37" t="str">
        <f t="shared" ref="O8963:O9026" si="703">IF(OR(N8963="Card",N8963="UPI"),"Digital Payment","Cash Payment")</f>
        <v>Digital Payment</v>
      </c>
      <c r="P8963">
        <v>381.36</v>
      </c>
      <c r="Q8963" s="37" t="str">
        <f>IF(P8963&gt;500,"High","low")</f>
        <v>low</v>
      </c>
      <c r="R8963" s="37" t="str">
        <f t="shared" ref="R8963:R9026" si="704">IF(P8963&gt;1000,"Excellent",IF(P8963&gt;=500,"Good","AVERAGE"))</f>
        <v>AVERAGE</v>
      </c>
      <c r="S8963" t="s">
        <v>609</v>
      </c>
    </row>
    <row r="8964" spans="1:19" x14ac:dyDescent="0.2">
      <c r="A8964" t="s">
        <v>9575</v>
      </c>
      <c r="B8964" t="s">
        <v>75</v>
      </c>
      <c r="C8964" t="s">
        <v>617</v>
      </c>
      <c r="D8964">
        <v>249.76</v>
      </c>
      <c r="E8964" s="37" t="str">
        <f t="shared" si="700"/>
        <v xml:space="preserve"> </v>
      </c>
      <c r="F8964">
        <v>0.49</v>
      </c>
      <c r="G8964" s="37" t="str">
        <f t="shared" si="701"/>
        <v>Heavy Discount</v>
      </c>
      <c r="H8964" s="37" t="str">
        <f t="shared" si="702"/>
        <v>High</v>
      </c>
      <c r="I8964">
        <v>7</v>
      </c>
      <c r="J8964" t="str" cm="1">
        <f t="array" ref="J8964">_xlfn.IFS(I8964&lt;=3,"small",I8964&lt;=6,"Medium",I8964&lt;=9,"Large")</f>
        <v>Large</v>
      </c>
      <c r="K8964" s="36">
        <v>44980</v>
      </c>
      <c r="L8964" s="36">
        <v>44982</v>
      </c>
      <c r="M8964" t="s">
        <v>598</v>
      </c>
      <c r="N8964" t="s">
        <v>608</v>
      </c>
      <c r="O8964" s="37" t="str">
        <f t="shared" si="703"/>
        <v>Cash Payment</v>
      </c>
      <c r="P8964">
        <v>37.450000000000003</v>
      </c>
      <c r="Q8964" s="37" t="str">
        <f>IF(P8964&gt;500,"High","low")</f>
        <v>low</v>
      </c>
      <c r="R8964" s="37" t="str">
        <f t="shared" si="704"/>
        <v>AVERAGE</v>
      </c>
      <c r="S8964" t="s">
        <v>609</v>
      </c>
    </row>
    <row r="8965" spans="1:19" x14ac:dyDescent="0.2">
      <c r="A8965" t="s">
        <v>9576</v>
      </c>
      <c r="B8965" t="s">
        <v>90</v>
      </c>
      <c r="C8965" t="s">
        <v>617</v>
      </c>
      <c r="D8965">
        <v>4311.62</v>
      </c>
      <c r="E8965" s="37" t="str">
        <f t="shared" si="700"/>
        <v>Excellent Order</v>
      </c>
      <c r="F8965">
        <v>0.22</v>
      </c>
      <c r="G8965" s="37" t="str">
        <f t="shared" si="701"/>
        <v>Normal Discount</v>
      </c>
      <c r="H8965" s="37" t="str">
        <f t="shared" si="702"/>
        <v>Medium</v>
      </c>
      <c r="I8965">
        <v>9</v>
      </c>
      <c r="J8965" t="str" cm="1">
        <f t="array" ref="J8965">_xlfn.IFS(I8965&lt;=3,"small",I8965&lt;=6,"Medium",I8965&lt;=9,"Large")</f>
        <v>Large</v>
      </c>
      <c r="K8965" s="36">
        <v>45125</v>
      </c>
      <c r="L8965" s="36">
        <v>45131</v>
      </c>
      <c r="M8965" t="s">
        <v>598</v>
      </c>
      <c r="N8965" t="s">
        <v>608</v>
      </c>
      <c r="O8965" s="37" t="str">
        <f t="shared" si="703"/>
        <v>Cash Payment</v>
      </c>
      <c r="P8965">
        <v>1260.3800000000001</v>
      </c>
      <c r="Q8965" s="37" t="str">
        <f>IF(P8965&gt;500,"High","low")</f>
        <v>High</v>
      </c>
      <c r="R8965" s="37" t="str">
        <f t="shared" si="704"/>
        <v>Excellent</v>
      </c>
      <c r="S8965" t="s">
        <v>615</v>
      </c>
    </row>
    <row r="8966" spans="1:19" x14ac:dyDescent="0.2">
      <c r="A8966" t="s">
        <v>9577</v>
      </c>
      <c r="B8966" t="s">
        <v>90</v>
      </c>
      <c r="C8966" t="s">
        <v>602</v>
      </c>
      <c r="D8966">
        <v>1986.52</v>
      </c>
      <c r="E8966" s="37" t="str">
        <f t="shared" si="700"/>
        <v xml:space="preserve"> </v>
      </c>
      <c r="F8966">
        <v>0.06</v>
      </c>
      <c r="G8966" s="37" t="str">
        <f t="shared" si="701"/>
        <v>Normal Discount</v>
      </c>
      <c r="H8966" s="37" t="str">
        <f t="shared" si="702"/>
        <v>Low</v>
      </c>
      <c r="I8966">
        <v>7</v>
      </c>
      <c r="J8966" t="str" cm="1">
        <f t="array" ref="J8966">_xlfn.IFS(I8966&lt;=3,"small",I8966&lt;=6,"Medium",I8966&lt;=9,"Large")</f>
        <v>Large</v>
      </c>
      <c r="K8966" s="36">
        <v>44928</v>
      </c>
      <c r="L8966" s="36">
        <v>44930</v>
      </c>
      <c r="M8966" t="s">
        <v>603</v>
      </c>
      <c r="N8966" t="s">
        <v>604</v>
      </c>
      <c r="O8966" s="37" t="str">
        <f t="shared" si="703"/>
        <v>Digital Payment</v>
      </c>
      <c r="P8966">
        <v>226.34</v>
      </c>
      <c r="Q8966" s="37" t="str">
        <f>IF(P8966&gt;500,"High","low")</f>
        <v>low</v>
      </c>
      <c r="R8966" s="37" t="str">
        <f t="shared" si="704"/>
        <v>AVERAGE</v>
      </c>
      <c r="S8966" t="s">
        <v>609</v>
      </c>
    </row>
    <row r="8967" spans="1:19" x14ac:dyDescent="0.2">
      <c r="A8967" t="s">
        <v>9578</v>
      </c>
      <c r="B8967" t="s">
        <v>90</v>
      </c>
      <c r="C8967" t="s">
        <v>607</v>
      </c>
      <c r="D8967">
        <v>4876.78</v>
      </c>
      <c r="E8967" s="37" t="str">
        <f t="shared" si="700"/>
        <v xml:space="preserve"> </v>
      </c>
      <c r="F8967">
        <v>0.05</v>
      </c>
      <c r="G8967" s="37" t="str">
        <f t="shared" si="701"/>
        <v>Normal Discount</v>
      </c>
      <c r="H8967" s="37" t="str">
        <f t="shared" si="702"/>
        <v>Low</v>
      </c>
      <c r="I8967">
        <v>5</v>
      </c>
      <c r="J8967" t="str" cm="1">
        <f t="array" ref="J8967">_xlfn.IFS(I8967&lt;=3,"small",I8967&lt;=6,"Medium",I8967&lt;=9,"Large")</f>
        <v>Medium</v>
      </c>
      <c r="K8967" s="36">
        <v>45261</v>
      </c>
      <c r="L8967" s="36">
        <v>45262</v>
      </c>
      <c r="M8967" t="s">
        <v>603</v>
      </c>
      <c r="N8967" t="s">
        <v>599</v>
      </c>
      <c r="O8967" s="37" t="str">
        <f t="shared" si="703"/>
        <v>Digital Payment</v>
      </c>
      <c r="P8967">
        <v>450.02</v>
      </c>
      <c r="Q8967" s="37" t="str">
        <f>IF(P8967&gt;500,"High","low")</f>
        <v>low</v>
      </c>
      <c r="R8967" s="37" t="str">
        <f t="shared" si="704"/>
        <v>AVERAGE</v>
      </c>
      <c r="S8967" t="s">
        <v>620</v>
      </c>
    </row>
    <row r="8968" spans="1:19" x14ac:dyDescent="0.2">
      <c r="A8968" t="s">
        <v>9579</v>
      </c>
      <c r="B8968" t="s">
        <v>75</v>
      </c>
      <c r="C8968" t="s">
        <v>597</v>
      </c>
      <c r="D8968">
        <v>690.28</v>
      </c>
      <c r="E8968" s="37" t="str">
        <f t="shared" si="700"/>
        <v xml:space="preserve"> </v>
      </c>
      <c r="F8968">
        <v>0.01</v>
      </c>
      <c r="G8968" s="37" t="str">
        <f t="shared" si="701"/>
        <v>Normal Discount</v>
      </c>
      <c r="H8968" s="37" t="str">
        <f t="shared" si="702"/>
        <v>Low</v>
      </c>
      <c r="I8968">
        <v>1</v>
      </c>
      <c r="J8968" t="str" cm="1">
        <f t="array" ref="J8968">_xlfn.IFS(I8968&lt;=3,"small",I8968&lt;=6,"Medium",I8968&lt;=9,"Large")</f>
        <v>small</v>
      </c>
      <c r="K8968" s="36">
        <v>44948</v>
      </c>
      <c r="L8968" s="36">
        <v>44952</v>
      </c>
      <c r="M8968" t="s">
        <v>598</v>
      </c>
      <c r="N8968" t="s">
        <v>604</v>
      </c>
      <c r="O8968" s="37" t="str">
        <f t="shared" si="703"/>
        <v>Digital Payment</v>
      </c>
      <c r="P8968">
        <v>142.41999999999999</v>
      </c>
      <c r="Q8968" s="37" t="str">
        <f>IF(P8968&gt;500,"High","low")</f>
        <v>low</v>
      </c>
      <c r="R8968" s="37" t="str">
        <f t="shared" si="704"/>
        <v>AVERAGE</v>
      </c>
      <c r="S8968" t="s">
        <v>605</v>
      </c>
    </row>
    <row r="8969" spans="1:19" x14ac:dyDescent="0.2">
      <c r="A8969" t="s">
        <v>9580</v>
      </c>
      <c r="B8969" t="s">
        <v>67</v>
      </c>
      <c r="C8969" t="s">
        <v>617</v>
      </c>
      <c r="D8969">
        <v>4728.8900000000003</v>
      </c>
      <c r="E8969" s="37" t="str">
        <f t="shared" si="700"/>
        <v>Excellent Order</v>
      </c>
      <c r="F8969">
        <v>0.39</v>
      </c>
      <c r="G8969" s="37" t="str">
        <f t="shared" si="701"/>
        <v>Heavy Discount</v>
      </c>
      <c r="H8969" s="37" t="str">
        <f t="shared" si="702"/>
        <v>Medium</v>
      </c>
      <c r="I8969">
        <v>1</v>
      </c>
      <c r="J8969" t="str" cm="1">
        <f t="array" ref="J8969">_xlfn.IFS(I8969&lt;=3,"small",I8969&lt;=6,"Medium",I8969&lt;=9,"Large")</f>
        <v>small</v>
      </c>
      <c r="K8969" s="36">
        <v>45420</v>
      </c>
      <c r="L8969" s="36">
        <v>45426</v>
      </c>
      <c r="M8969" t="s">
        <v>612</v>
      </c>
      <c r="N8969" t="s">
        <v>604</v>
      </c>
      <c r="O8969" s="37" t="str">
        <f t="shared" si="703"/>
        <v>Digital Payment</v>
      </c>
      <c r="P8969">
        <v>1377.06</v>
      </c>
      <c r="Q8969" s="37" t="str">
        <f>IF(P8969&gt;500,"High","low")</f>
        <v>High</v>
      </c>
      <c r="R8969" s="37" t="str">
        <f t="shared" si="704"/>
        <v>Excellent</v>
      </c>
      <c r="S8969" t="s">
        <v>609</v>
      </c>
    </row>
    <row r="8970" spans="1:19" x14ac:dyDescent="0.2">
      <c r="A8970" t="s">
        <v>9581</v>
      </c>
      <c r="B8970" t="s">
        <v>83</v>
      </c>
      <c r="C8970" t="s">
        <v>614</v>
      </c>
      <c r="D8970">
        <v>3208.03</v>
      </c>
      <c r="E8970" s="37" t="str">
        <f t="shared" si="700"/>
        <v xml:space="preserve"> </v>
      </c>
      <c r="F8970">
        <v>0.35</v>
      </c>
      <c r="G8970" s="37" t="str">
        <f t="shared" si="701"/>
        <v>Heavy Discount</v>
      </c>
      <c r="H8970" s="37" t="str">
        <f t="shared" si="702"/>
        <v>Medium</v>
      </c>
      <c r="I8970">
        <v>9</v>
      </c>
      <c r="J8970" t="str" cm="1">
        <f t="array" ref="J8970">_xlfn.IFS(I8970&lt;=3,"small",I8970&lt;=6,"Medium",I8970&lt;=9,"Large")</f>
        <v>Large</v>
      </c>
      <c r="K8970" s="36">
        <v>45092</v>
      </c>
      <c r="L8970" s="36">
        <v>45098</v>
      </c>
      <c r="M8970" t="s">
        <v>612</v>
      </c>
      <c r="N8970" t="s">
        <v>608</v>
      </c>
      <c r="O8970" s="37" t="str">
        <f t="shared" si="703"/>
        <v>Cash Payment</v>
      </c>
      <c r="P8970">
        <v>956.47</v>
      </c>
      <c r="Q8970" s="37" t="str">
        <f>IF(P8970&gt;500,"High","low")</f>
        <v>High</v>
      </c>
      <c r="R8970" s="37" t="str">
        <f t="shared" si="704"/>
        <v>Good</v>
      </c>
      <c r="S8970" t="s">
        <v>615</v>
      </c>
    </row>
    <row r="8971" spans="1:19" x14ac:dyDescent="0.2">
      <c r="A8971" t="s">
        <v>9582</v>
      </c>
      <c r="B8971" t="s">
        <v>67</v>
      </c>
      <c r="C8971" t="s">
        <v>602</v>
      </c>
      <c r="D8971">
        <v>356.47</v>
      </c>
      <c r="E8971" s="37" t="str">
        <f t="shared" si="700"/>
        <v xml:space="preserve"> </v>
      </c>
      <c r="F8971">
        <v>0.28999999999999998</v>
      </c>
      <c r="G8971" s="37" t="str">
        <f t="shared" si="701"/>
        <v>Normal Discount</v>
      </c>
      <c r="H8971" s="37" t="str">
        <f t="shared" si="702"/>
        <v>Medium</v>
      </c>
      <c r="I8971">
        <v>4</v>
      </c>
      <c r="J8971" t="str" cm="1">
        <f t="array" ref="J8971">_xlfn.IFS(I8971&lt;=3,"small",I8971&lt;=6,"Medium",I8971&lt;=9,"Large")</f>
        <v>Medium</v>
      </c>
      <c r="K8971" s="36">
        <v>45043</v>
      </c>
      <c r="L8971" s="36">
        <v>45048</v>
      </c>
      <c r="M8971" t="s">
        <v>598</v>
      </c>
      <c r="N8971" t="s">
        <v>604</v>
      </c>
      <c r="O8971" s="37" t="str">
        <f t="shared" si="703"/>
        <v>Digital Payment</v>
      </c>
      <c r="P8971">
        <v>39.07</v>
      </c>
      <c r="Q8971" s="37" t="str">
        <f>IF(P8971&gt;500,"High","low")</f>
        <v>low</v>
      </c>
      <c r="R8971" s="37" t="str">
        <f t="shared" si="704"/>
        <v>AVERAGE</v>
      </c>
      <c r="S8971" t="s">
        <v>605</v>
      </c>
    </row>
    <row r="8972" spans="1:19" x14ac:dyDescent="0.2">
      <c r="A8972" t="s">
        <v>9583</v>
      </c>
      <c r="B8972" t="s">
        <v>90</v>
      </c>
      <c r="C8972" t="s">
        <v>602</v>
      </c>
      <c r="D8972">
        <v>4861.33</v>
      </c>
      <c r="E8972" s="37" t="str">
        <f t="shared" si="700"/>
        <v xml:space="preserve"> </v>
      </c>
      <c r="F8972">
        <v>0.38</v>
      </c>
      <c r="G8972" s="37" t="str">
        <f t="shared" si="701"/>
        <v>Heavy Discount</v>
      </c>
      <c r="H8972" s="37" t="str">
        <f t="shared" si="702"/>
        <v>Medium</v>
      </c>
      <c r="I8972">
        <v>3</v>
      </c>
      <c r="J8972" t="str" cm="1">
        <f t="array" ref="J8972">_xlfn.IFS(I8972&lt;=3,"small",I8972&lt;=6,"Medium",I8972&lt;=9,"Large")</f>
        <v>small</v>
      </c>
      <c r="K8972" s="36">
        <v>45269</v>
      </c>
      <c r="L8972" s="36">
        <v>45271</v>
      </c>
      <c r="M8972" t="s">
        <v>612</v>
      </c>
      <c r="N8972" t="s">
        <v>608</v>
      </c>
      <c r="O8972" s="37" t="str">
        <f t="shared" si="703"/>
        <v>Cash Payment</v>
      </c>
      <c r="P8972">
        <v>610.70000000000005</v>
      </c>
      <c r="Q8972" s="37" t="str">
        <f>IF(P8972&gt;500,"High","low")</f>
        <v>High</v>
      </c>
      <c r="R8972" s="37" t="str">
        <f t="shared" si="704"/>
        <v>Good</v>
      </c>
      <c r="S8972" t="s">
        <v>600</v>
      </c>
    </row>
    <row r="8973" spans="1:19" x14ac:dyDescent="0.2">
      <c r="A8973" t="s">
        <v>9584</v>
      </c>
      <c r="B8973" t="s">
        <v>90</v>
      </c>
      <c r="C8973" t="s">
        <v>617</v>
      </c>
      <c r="D8973">
        <v>167.98</v>
      </c>
      <c r="E8973" s="37" t="str">
        <f t="shared" si="700"/>
        <v xml:space="preserve"> </v>
      </c>
      <c r="F8973">
        <v>0.5</v>
      </c>
      <c r="G8973" s="37" t="str">
        <f t="shared" si="701"/>
        <v>Heavy Discount</v>
      </c>
      <c r="H8973" s="37" t="str">
        <f t="shared" si="702"/>
        <v>High</v>
      </c>
      <c r="I8973">
        <v>5</v>
      </c>
      <c r="J8973" t="str" cm="1">
        <f t="array" ref="J8973">_xlfn.IFS(I8973&lt;=3,"small",I8973&lt;=6,"Medium",I8973&lt;=9,"Large")</f>
        <v>Medium</v>
      </c>
      <c r="K8973" s="36">
        <v>45504</v>
      </c>
      <c r="L8973" s="36">
        <v>45508</v>
      </c>
      <c r="M8973" t="s">
        <v>612</v>
      </c>
      <c r="N8973" t="s">
        <v>608</v>
      </c>
      <c r="O8973" s="37" t="str">
        <f t="shared" si="703"/>
        <v>Cash Payment</v>
      </c>
      <c r="P8973">
        <v>41.47</v>
      </c>
      <c r="Q8973" s="37" t="str">
        <f>IF(P8973&gt;500,"High","low")</f>
        <v>low</v>
      </c>
      <c r="R8973" s="37" t="str">
        <f t="shared" si="704"/>
        <v>AVERAGE</v>
      </c>
      <c r="S8973" t="s">
        <v>615</v>
      </c>
    </row>
    <row r="8974" spans="1:19" x14ac:dyDescent="0.2">
      <c r="A8974" t="s">
        <v>9585</v>
      </c>
      <c r="B8974" t="s">
        <v>67</v>
      </c>
      <c r="C8974" t="s">
        <v>597</v>
      </c>
      <c r="D8974">
        <v>3680.43</v>
      </c>
      <c r="E8974" s="37" t="str">
        <f t="shared" si="700"/>
        <v xml:space="preserve"> </v>
      </c>
      <c r="F8974">
        <v>0.2</v>
      </c>
      <c r="G8974" s="37" t="str">
        <f t="shared" si="701"/>
        <v>Normal Discount</v>
      </c>
      <c r="H8974" s="37" t="str">
        <f t="shared" si="702"/>
        <v>Medium</v>
      </c>
      <c r="I8974">
        <v>7</v>
      </c>
      <c r="J8974" t="str" cm="1">
        <f t="array" ref="J8974">_xlfn.IFS(I8974&lt;=3,"small",I8974&lt;=6,"Medium",I8974&lt;=9,"Large")</f>
        <v>Large</v>
      </c>
      <c r="K8974" s="36">
        <v>45215</v>
      </c>
      <c r="L8974" s="36">
        <v>45222</v>
      </c>
      <c r="M8974" t="s">
        <v>598</v>
      </c>
      <c r="N8974" t="s">
        <v>604</v>
      </c>
      <c r="O8974" s="37" t="str">
        <f t="shared" si="703"/>
        <v>Digital Payment</v>
      </c>
      <c r="P8974">
        <v>326.23</v>
      </c>
      <c r="Q8974" s="37" t="str">
        <f>IF(P8974&gt;500,"High","low")</f>
        <v>low</v>
      </c>
      <c r="R8974" s="37" t="str">
        <f t="shared" si="704"/>
        <v>AVERAGE</v>
      </c>
      <c r="S8974" t="s">
        <v>605</v>
      </c>
    </row>
    <row r="8975" spans="1:19" x14ac:dyDescent="0.2">
      <c r="A8975" t="s">
        <v>9586</v>
      </c>
      <c r="B8975" t="s">
        <v>90</v>
      </c>
      <c r="C8975" t="s">
        <v>602</v>
      </c>
      <c r="D8975">
        <v>4458.7</v>
      </c>
      <c r="E8975" s="37" t="str">
        <f t="shared" si="700"/>
        <v xml:space="preserve"> </v>
      </c>
      <c r="F8975">
        <v>0.35</v>
      </c>
      <c r="G8975" s="37" t="str">
        <f t="shared" si="701"/>
        <v>Heavy Discount</v>
      </c>
      <c r="H8975" s="37" t="str">
        <f t="shared" si="702"/>
        <v>Medium</v>
      </c>
      <c r="I8975">
        <v>7</v>
      </c>
      <c r="J8975" t="str" cm="1">
        <f t="array" ref="J8975">_xlfn.IFS(I8975&lt;=3,"small",I8975&lt;=6,"Medium",I8975&lt;=9,"Large")</f>
        <v>Large</v>
      </c>
      <c r="K8975" s="36">
        <v>45264</v>
      </c>
      <c r="L8975" s="36">
        <v>45269</v>
      </c>
      <c r="M8975" t="s">
        <v>612</v>
      </c>
      <c r="N8975" t="s">
        <v>599</v>
      </c>
      <c r="O8975" s="37" t="str">
        <f t="shared" si="703"/>
        <v>Digital Payment</v>
      </c>
      <c r="P8975">
        <v>585.73</v>
      </c>
      <c r="Q8975" s="37" t="str">
        <f>IF(P8975&gt;500,"High","low")</f>
        <v>High</v>
      </c>
      <c r="R8975" s="37" t="str">
        <f t="shared" si="704"/>
        <v>Good</v>
      </c>
      <c r="S8975" t="s">
        <v>605</v>
      </c>
    </row>
    <row r="8976" spans="1:19" x14ac:dyDescent="0.2">
      <c r="A8976" t="s">
        <v>9587</v>
      </c>
      <c r="B8976" t="s">
        <v>83</v>
      </c>
      <c r="C8976" t="s">
        <v>607</v>
      </c>
      <c r="D8976">
        <v>961.48</v>
      </c>
      <c r="E8976" s="37" t="str">
        <f t="shared" si="700"/>
        <v xml:space="preserve"> </v>
      </c>
      <c r="F8976">
        <v>0.19</v>
      </c>
      <c r="G8976" s="37" t="str">
        <f t="shared" si="701"/>
        <v>Normal Discount</v>
      </c>
      <c r="H8976" s="37" t="str">
        <f t="shared" si="702"/>
        <v>Low</v>
      </c>
      <c r="I8976">
        <v>5</v>
      </c>
      <c r="J8976" t="str" cm="1">
        <f t="array" ref="J8976">_xlfn.IFS(I8976&lt;=3,"small",I8976&lt;=6,"Medium",I8976&lt;=9,"Large")</f>
        <v>Medium</v>
      </c>
      <c r="K8976" s="36">
        <v>45047</v>
      </c>
      <c r="L8976" s="36">
        <v>45051</v>
      </c>
      <c r="M8976" t="s">
        <v>612</v>
      </c>
      <c r="N8976" t="s">
        <v>599</v>
      </c>
      <c r="O8976" s="37" t="str">
        <f t="shared" si="703"/>
        <v>Digital Payment</v>
      </c>
      <c r="P8976">
        <v>181.09</v>
      </c>
      <c r="Q8976" s="37" t="str">
        <f>IF(P8976&gt;500,"High","low")</f>
        <v>low</v>
      </c>
      <c r="R8976" s="37" t="str">
        <f t="shared" si="704"/>
        <v>AVERAGE</v>
      </c>
      <c r="S8976" t="s">
        <v>600</v>
      </c>
    </row>
    <row r="8977" spans="1:19" x14ac:dyDescent="0.2">
      <c r="A8977" t="s">
        <v>9588</v>
      </c>
      <c r="B8977" t="s">
        <v>90</v>
      </c>
      <c r="C8977" t="s">
        <v>617</v>
      </c>
      <c r="D8977">
        <v>1782.45</v>
      </c>
      <c r="E8977" s="37" t="str">
        <f t="shared" si="700"/>
        <v xml:space="preserve"> </v>
      </c>
      <c r="F8977">
        <v>0.18</v>
      </c>
      <c r="G8977" s="37" t="str">
        <f t="shared" si="701"/>
        <v>Normal Discount</v>
      </c>
      <c r="H8977" s="37" t="str">
        <f t="shared" si="702"/>
        <v>Low</v>
      </c>
      <c r="I8977">
        <v>8</v>
      </c>
      <c r="J8977" t="str" cm="1">
        <f t="array" ref="J8977">_xlfn.IFS(I8977&lt;=3,"small",I8977&lt;=6,"Medium",I8977&lt;=9,"Large")</f>
        <v>Large</v>
      </c>
      <c r="K8977" s="36">
        <v>45061</v>
      </c>
      <c r="L8977" s="36">
        <v>45063</v>
      </c>
      <c r="M8977" t="s">
        <v>603</v>
      </c>
      <c r="N8977" t="s">
        <v>608</v>
      </c>
      <c r="O8977" s="37" t="str">
        <f t="shared" si="703"/>
        <v>Cash Payment</v>
      </c>
      <c r="P8977">
        <v>196.94</v>
      </c>
      <c r="Q8977" s="37" t="str">
        <f>IF(P8977&gt;500,"High","low")</f>
        <v>low</v>
      </c>
      <c r="R8977" s="37" t="str">
        <f t="shared" si="704"/>
        <v>AVERAGE</v>
      </c>
      <c r="S8977" t="s">
        <v>605</v>
      </c>
    </row>
    <row r="8978" spans="1:19" x14ac:dyDescent="0.2">
      <c r="A8978" t="s">
        <v>9589</v>
      </c>
      <c r="B8978" t="s">
        <v>83</v>
      </c>
      <c r="C8978" t="s">
        <v>617</v>
      </c>
      <c r="D8978">
        <v>2850.02</v>
      </c>
      <c r="E8978" s="37" t="str">
        <f t="shared" si="700"/>
        <v xml:space="preserve"> </v>
      </c>
      <c r="F8978">
        <v>0.43</v>
      </c>
      <c r="G8978" s="37" t="str">
        <f t="shared" si="701"/>
        <v>Heavy Discount</v>
      </c>
      <c r="H8978" s="37" t="str">
        <f t="shared" si="702"/>
        <v>High</v>
      </c>
      <c r="I8978">
        <v>5</v>
      </c>
      <c r="J8978" t="str" cm="1">
        <f t="array" ref="J8978">_xlfn.IFS(I8978&lt;=3,"small",I8978&lt;=6,"Medium",I8978&lt;=9,"Large")</f>
        <v>Medium</v>
      </c>
      <c r="K8978" s="36">
        <v>45241</v>
      </c>
      <c r="L8978" s="36">
        <v>45243</v>
      </c>
      <c r="M8978" t="s">
        <v>603</v>
      </c>
      <c r="N8978" t="s">
        <v>608</v>
      </c>
      <c r="O8978" s="37" t="str">
        <f t="shared" si="703"/>
        <v>Cash Payment</v>
      </c>
      <c r="P8978">
        <v>160.63</v>
      </c>
      <c r="Q8978" s="37" t="str">
        <f>IF(P8978&gt;500,"High","low")</f>
        <v>low</v>
      </c>
      <c r="R8978" s="37" t="str">
        <f t="shared" si="704"/>
        <v>AVERAGE</v>
      </c>
      <c r="S8978" t="s">
        <v>609</v>
      </c>
    </row>
    <row r="8979" spans="1:19" x14ac:dyDescent="0.2">
      <c r="A8979" t="s">
        <v>9590</v>
      </c>
      <c r="B8979" t="s">
        <v>67</v>
      </c>
      <c r="C8979" t="s">
        <v>597</v>
      </c>
      <c r="D8979">
        <v>3431.07</v>
      </c>
      <c r="E8979" s="37" t="str">
        <f t="shared" si="700"/>
        <v xml:space="preserve"> </v>
      </c>
      <c r="F8979">
        <v>0.28999999999999998</v>
      </c>
      <c r="G8979" s="37" t="str">
        <f t="shared" si="701"/>
        <v>Normal Discount</v>
      </c>
      <c r="H8979" s="37" t="str">
        <f t="shared" si="702"/>
        <v>Medium</v>
      </c>
      <c r="I8979">
        <v>4</v>
      </c>
      <c r="J8979" t="str" cm="1">
        <f t="array" ref="J8979">_xlfn.IFS(I8979&lt;=3,"small",I8979&lt;=6,"Medium",I8979&lt;=9,"Large")</f>
        <v>Medium</v>
      </c>
      <c r="K8979" s="36">
        <v>45654</v>
      </c>
      <c r="L8979" s="36">
        <v>45659</v>
      </c>
      <c r="M8979" t="s">
        <v>612</v>
      </c>
      <c r="N8979" t="s">
        <v>608</v>
      </c>
      <c r="O8979" s="37" t="str">
        <f t="shared" si="703"/>
        <v>Cash Payment</v>
      </c>
      <c r="P8979">
        <v>188.2</v>
      </c>
      <c r="Q8979" s="37" t="str">
        <f>IF(P8979&gt;500,"High","low")</f>
        <v>low</v>
      </c>
      <c r="R8979" s="37" t="str">
        <f t="shared" si="704"/>
        <v>AVERAGE</v>
      </c>
      <c r="S8979" t="s">
        <v>600</v>
      </c>
    </row>
    <row r="8980" spans="1:19" x14ac:dyDescent="0.2">
      <c r="A8980" t="s">
        <v>9591</v>
      </c>
      <c r="B8980" t="s">
        <v>67</v>
      </c>
      <c r="C8980" t="s">
        <v>607</v>
      </c>
      <c r="D8980">
        <v>4372.1899999999996</v>
      </c>
      <c r="E8980" s="37" t="str">
        <f t="shared" si="700"/>
        <v>Excellent Order</v>
      </c>
      <c r="F8980">
        <v>0.06</v>
      </c>
      <c r="G8980" s="37" t="str">
        <f t="shared" si="701"/>
        <v>Normal Discount</v>
      </c>
      <c r="H8980" s="37" t="str">
        <f t="shared" si="702"/>
        <v>Low</v>
      </c>
      <c r="I8980">
        <v>6</v>
      </c>
      <c r="J8980" t="str" cm="1">
        <f t="array" ref="J8980">_xlfn.IFS(I8980&lt;=3,"small",I8980&lt;=6,"Medium",I8980&lt;=9,"Large")</f>
        <v>Medium</v>
      </c>
      <c r="K8980" s="36">
        <v>45430</v>
      </c>
      <c r="L8980" s="36">
        <v>45434</v>
      </c>
      <c r="M8980" t="s">
        <v>598</v>
      </c>
      <c r="N8980" t="s">
        <v>599</v>
      </c>
      <c r="O8980" s="37" t="str">
        <f t="shared" si="703"/>
        <v>Digital Payment</v>
      </c>
      <c r="P8980">
        <v>1280.47</v>
      </c>
      <c r="Q8980" s="37" t="str">
        <f>IF(P8980&gt;500,"High","low")</f>
        <v>High</v>
      </c>
      <c r="R8980" s="37" t="str">
        <f t="shared" si="704"/>
        <v>Excellent</v>
      </c>
      <c r="S8980" t="s">
        <v>609</v>
      </c>
    </row>
    <row r="8981" spans="1:19" x14ac:dyDescent="0.2">
      <c r="A8981" t="s">
        <v>9592</v>
      </c>
      <c r="B8981" t="s">
        <v>90</v>
      </c>
      <c r="C8981" t="s">
        <v>607</v>
      </c>
      <c r="D8981">
        <v>3829.25</v>
      </c>
      <c r="E8981" s="37" t="str">
        <f t="shared" si="700"/>
        <v xml:space="preserve"> </v>
      </c>
      <c r="F8981">
        <v>0.2</v>
      </c>
      <c r="G8981" s="37" t="str">
        <f t="shared" si="701"/>
        <v>Normal Discount</v>
      </c>
      <c r="H8981" s="37" t="str">
        <f t="shared" si="702"/>
        <v>Medium</v>
      </c>
      <c r="I8981">
        <v>3</v>
      </c>
      <c r="J8981" t="str" cm="1">
        <f t="array" ref="J8981">_xlfn.IFS(I8981&lt;=3,"small",I8981&lt;=6,"Medium",I8981&lt;=9,"Large")</f>
        <v>small</v>
      </c>
      <c r="K8981" s="36">
        <v>45193</v>
      </c>
      <c r="L8981" s="36">
        <v>45195</v>
      </c>
      <c r="M8981" t="s">
        <v>603</v>
      </c>
      <c r="N8981" t="s">
        <v>604</v>
      </c>
      <c r="O8981" s="37" t="str">
        <f t="shared" si="703"/>
        <v>Digital Payment</v>
      </c>
      <c r="P8981">
        <v>656.12</v>
      </c>
      <c r="Q8981" s="37" t="str">
        <f>IF(P8981&gt;500,"High","low")</f>
        <v>High</v>
      </c>
      <c r="R8981" s="37" t="str">
        <f t="shared" si="704"/>
        <v>Good</v>
      </c>
      <c r="S8981" t="s">
        <v>620</v>
      </c>
    </row>
    <row r="8982" spans="1:19" x14ac:dyDescent="0.2">
      <c r="A8982" t="s">
        <v>9593</v>
      </c>
      <c r="B8982" t="s">
        <v>83</v>
      </c>
      <c r="C8982" t="s">
        <v>597</v>
      </c>
      <c r="D8982">
        <v>1880.32</v>
      </c>
      <c r="E8982" s="37" t="str">
        <f t="shared" si="700"/>
        <v xml:space="preserve"> </v>
      </c>
      <c r="F8982">
        <v>0.4</v>
      </c>
      <c r="G8982" s="37" t="str">
        <f t="shared" si="701"/>
        <v>Heavy Discount</v>
      </c>
      <c r="H8982" s="37" t="str">
        <f t="shared" si="702"/>
        <v>Medium</v>
      </c>
      <c r="I8982">
        <v>4</v>
      </c>
      <c r="J8982" t="str" cm="1">
        <f t="array" ref="J8982">_xlfn.IFS(I8982&lt;=3,"small",I8982&lt;=6,"Medium",I8982&lt;=9,"Large")</f>
        <v>Medium</v>
      </c>
      <c r="K8982" s="36">
        <v>45066</v>
      </c>
      <c r="L8982" s="36">
        <v>45073</v>
      </c>
      <c r="M8982" t="s">
        <v>612</v>
      </c>
      <c r="N8982" t="s">
        <v>604</v>
      </c>
      <c r="O8982" s="37" t="str">
        <f t="shared" si="703"/>
        <v>Digital Payment</v>
      </c>
      <c r="P8982">
        <v>550.96</v>
      </c>
      <c r="Q8982" s="37" t="str">
        <f>IF(P8982&gt;500,"High","low")</f>
        <v>High</v>
      </c>
      <c r="R8982" s="37" t="str">
        <f t="shared" si="704"/>
        <v>Good</v>
      </c>
      <c r="S8982" t="s">
        <v>628</v>
      </c>
    </row>
    <row r="8983" spans="1:19" x14ac:dyDescent="0.2">
      <c r="A8983" t="s">
        <v>9594</v>
      </c>
      <c r="B8983" t="s">
        <v>90</v>
      </c>
      <c r="C8983" t="s">
        <v>614</v>
      </c>
      <c r="D8983">
        <v>4126.43</v>
      </c>
      <c r="E8983" s="37" t="str">
        <f t="shared" si="700"/>
        <v xml:space="preserve"> </v>
      </c>
      <c r="F8983">
        <v>0.47</v>
      </c>
      <c r="G8983" s="37" t="str">
        <f t="shared" si="701"/>
        <v>Heavy Discount</v>
      </c>
      <c r="H8983" s="37" t="str">
        <f t="shared" si="702"/>
        <v>High</v>
      </c>
      <c r="I8983">
        <v>8</v>
      </c>
      <c r="J8983" t="str" cm="1">
        <f t="array" ref="J8983">_xlfn.IFS(I8983&lt;=3,"small",I8983&lt;=6,"Medium",I8983&lt;=9,"Large")</f>
        <v>Large</v>
      </c>
      <c r="K8983" s="36">
        <v>45584</v>
      </c>
      <c r="L8983" s="36">
        <v>45588</v>
      </c>
      <c r="M8983" t="s">
        <v>612</v>
      </c>
      <c r="N8983" t="s">
        <v>599</v>
      </c>
      <c r="O8983" s="37" t="str">
        <f t="shared" si="703"/>
        <v>Digital Payment</v>
      </c>
      <c r="P8983">
        <v>597.5</v>
      </c>
      <c r="Q8983" s="37" t="str">
        <f>IF(P8983&gt;500,"High","low")</f>
        <v>High</v>
      </c>
      <c r="R8983" s="37" t="str">
        <f t="shared" si="704"/>
        <v>Good</v>
      </c>
      <c r="S8983" t="s">
        <v>620</v>
      </c>
    </row>
    <row r="8984" spans="1:19" x14ac:dyDescent="0.2">
      <c r="A8984" t="s">
        <v>9595</v>
      </c>
      <c r="B8984" t="s">
        <v>75</v>
      </c>
      <c r="C8984" t="s">
        <v>607</v>
      </c>
      <c r="D8984">
        <v>4833.78</v>
      </c>
      <c r="E8984" s="37" t="str">
        <f t="shared" si="700"/>
        <v>Excellent Order</v>
      </c>
      <c r="F8984">
        <v>0.31</v>
      </c>
      <c r="G8984" s="37" t="str">
        <f t="shared" si="701"/>
        <v>Heavy Discount</v>
      </c>
      <c r="H8984" s="37" t="str">
        <f t="shared" si="702"/>
        <v>Medium</v>
      </c>
      <c r="I8984">
        <v>3</v>
      </c>
      <c r="J8984" t="str" cm="1">
        <f t="array" ref="J8984">_xlfn.IFS(I8984&lt;=3,"small",I8984&lt;=6,"Medium",I8984&lt;=9,"Large")</f>
        <v>small</v>
      </c>
      <c r="K8984" s="36">
        <v>45411</v>
      </c>
      <c r="L8984" s="36">
        <v>45418</v>
      </c>
      <c r="M8984" t="s">
        <v>603</v>
      </c>
      <c r="N8984" t="s">
        <v>599</v>
      </c>
      <c r="O8984" s="37" t="str">
        <f t="shared" si="703"/>
        <v>Digital Payment</v>
      </c>
      <c r="P8984">
        <v>1231.4100000000001</v>
      </c>
      <c r="Q8984" s="37" t="str">
        <f>IF(P8984&gt;500,"High","low")</f>
        <v>High</v>
      </c>
      <c r="R8984" s="37" t="str">
        <f t="shared" si="704"/>
        <v>Excellent</v>
      </c>
      <c r="S8984" t="s">
        <v>620</v>
      </c>
    </row>
    <row r="8985" spans="1:19" x14ac:dyDescent="0.2">
      <c r="A8985" t="s">
        <v>9596</v>
      </c>
      <c r="B8985" t="s">
        <v>75</v>
      </c>
      <c r="C8985" t="s">
        <v>614</v>
      </c>
      <c r="D8985">
        <v>1212.23</v>
      </c>
      <c r="E8985" s="37" t="str">
        <f t="shared" si="700"/>
        <v xml:space="preserve"> </v>
      </c>
      <c r="F8985">
        <v>0.2</v>
      </c>
      <c r="G8985" s="37" t="str">
        <f t="shared" si="701"/>
        <v>Normal Discount</v>
      </c>
      <c r="H8985" s="37" t="str">
        <f t="shared" si="702"/>
        <v>Medium</v>
      </c>
      <c r="I8985">
        <v>3</v>
      </c>
      <c r="J8985" t="str" cm="1">
        <f t="array" ref="J8985">_xlfn.IFS(I8985&lt;=3,"small",I8985&lt;=6,"Medium",I8985&lt;=9,"Large")</f>
        <v>small</v>
      </c>
      <c r="K8985" s="36">
        <v>45311</v>
      </c>
      <c r="L8985" s="36">
        <v>45312</v>
      </c>
      <c r="M8985" t="s">
        <v>598</v>
      </c>
      <c r="N8985" t="s">
        <v>604</v>
      </c>
      <c r="O8985" s="37" t="str">
        <f t="shared" si="703"/>
        <v>Digital Payment</v>
      </c>
      <c r="P8985">
        <v>102.99</v>
      </c>
      <c r="Q8985" s="37" t="str">
        <f>IF(P8985&gt;500,"High","low")</f>
        <v>low</v>
      </c>
      <c r="R8985" s="37" t="str">
        <f t="shared" si="704"/>
        <v>AVERAGE</v>
      </c>
      <c r="S8985" t="s">
        <v>600</v>
      </c>
    </row>
    <row r="8986" spans="1:19" x14ac:dyDescent="0.2">
      <c r="A8986" t="s">
        <v>9597</v>
      </c>
      <c r="B8986" t="s">
        <v>75</v>
      </c>
      <c r="C8986" t="s">
        <v>614</v>
      </c>
      <c r="D8986">
        <v>463.07</v>
      </c>
      <c r="E8986" s="37" t="str">
        <f t="shared" si="700"/>
        <v xml:space="preserve"> </v>
      </c>
      <c r="F8986">
        <v>0.13</v>
      </c>
      <c r="G8986" s="37" t="str">
        <f t="shared" si="701"/>
        <v>Normal Discount</v>
      </c>
      <c r="H8986" s="37" t="str">
        <f t="shared" si="702"/>
        <v>Low</v>
      </c>
      <c r="I8986">
        <v>6</v>
      </c>
      <c r="J8986" t="str" cm="1">
        <f t="array" ref="J8986">_xlfn.IFS(I8986&lt;=3,"small",I8986&lt;=6,"Medium",I8986&lt;=9,"Large")</f>
        <v>Medium</v>
      </c>
      <c r="K8986" s="36">
        <v>45047</v>
      </c>
      <c r="L8986" s="36">
        <v>45054</v>
      </c>
      <c r="M8986" t="s">
        <v>603</v>
      </c>
      <c r="N8986" t="s">
        <v>608</v>
      </c>
      <c r="O8986" s="37" t="str">
        <f t="shared" si="703"/>
        <v>Cash Payment</v>
      </c>
      <c r="P8986">
        <v>29.55</v>
      </c>
      <c r="Q8986" s="37" t="str">
        <f>IF(P8986&gt;500,"High","low")</f>
        <v>low</v>
      </c>
      <c r="R8986" s="37" t="str">
        <f t="shared" si="704"/>
        <v>AVERAGE</v>
      </c>
      <c r="S8986" t="s">
        <v>609</v>
      </c>
    </row>
    <row r="8987" spans="1:19" x14ac:dyDescent="0.2">
      <c r="A8987" t="s">
        <v>9598</v>
      </c>
      <c r="B8987" t="s">
        <v>75</v>
      </c>
      <c r="C8987" t="s">
        <v>617</v>
      </c>
      <c r="D8987">
        <v>2190.44</v>
      </c>
      <c r="E8987" s="37" t="str">
        <f t="shared" si="700"/>
        <v xml:space="preserve"> </v>
      </c>
      <c r="F8987">
        <v>0.21</v>
      </c>
      <c r="G8987" s="37" t="str">
        <f t="shared" si="701"/>
        <v>Normal Discount</v>
      </c>
      <c r="H8987" s="37" t="str">
        <f t="shared" si="702"/>
        <v>Medium</v>
      </c>
      <c r="I8987">
        <v>8</v>
      </c>
      <c r="J8987" t="str" cm="1">
        <f t="array" ref="J8987">_xlfn.IFS(I8987&lt;=3,"small",I8987&lt;=6,"Medium",I8987&lt;=9,"Large")</f>
        <v>Large</v>
      </c>
      <c r="K8987" s="36">
        <v>45183</v>
      </c>
      <c r="L8987" s="36">
        <v>45188</v>
      </c>
      <c r="M8987" t="s">
        <v>598</v>
      </c>
      <c r="N8987" t="s">
        <v>599</v>
      </c>
      <c r="O8987" s="37" t="str">
        <f t="shared" si="703"/>
        <v>Digital Payment</v>
      </c>
      <c r="P8987">
        <v>301.77</v>
      </c>
      <c r="Q8987" s="37" t="str">
        <f>IF(P8987&gt;500,"High","low")</f>
        <v>low</v>
      </c>
      <c r="R8987" s="37" t="str">
        <f t="shared" si="704"/>
        <v>AVERAGE</v>
      </c>
      <c r="S8987" t="s">
        <v>600</v>
      </c>
    </row>
    <row r="8988" spans="1:19" x14ac:dyDescent="0.2">
      <c r="A8988" t="s">
        <v>9599</v>
      </c>
      <c r="B8988" t="s">
        <v>90</v>
      </c>
      <c r="C8988" t="s">
        <v>617</v>
      </c>
      <c r="D8988">
        <v>4418.8500000000004</v>
      </c>
      <c r="E8988" s="37" t="str">
        <f t="shared" si="700"/>
        <v xml:space="preserve"> </v>
      </c>
      <c r="F8988">
        <v>0.28000000000000003</v>
      </c>
      <c r="G8988" s="37" t="str">
        <f t="shared" si="701"/>
        <v>Normal Discount</v>
      </c>
      <c r="H8988" s="37" t="str">
        <f t="shared" si="702"/>
        <v>Medium</v>
      </c>
      <c r="I8988">
        <v>2</v>
      </c>
      <c r="J8988" t="str" cm="1">
        <f t="array" ref="J8988">_xlfn.IFS(I8988&lt;=3,"small",I8988&lt;=6,"Medium",I8988&lt;=9,"Large")</f>
        <v>small</v>
      </c>
      <c r="K8988" s="36">
        <v>45173</v>
      </c>
      <c r="L8988" s="36">
        <v>45176</v>
      </c>
      <c r="M8988" t="s">
        <v>598</v>
      </c>
      <c r="N8988" t="s">
        <v>604</v>
      </c>
      <c r="O8988" s="37" t="str">
        <f t="shared" si="703"/>
        <v>Digital Payment</v>
      </c>
      <c r="P8988">
        <v>265.51</v>
      </c>
      <c r="Q8988" s="37" t="str">
        <f>IF(P8988&gt;500,"High","low")</f>
        <v>low</v>
      </c>
      <c r="R8988" s="37" t="str">
        <f t="shared" si="704"/>
        <v>AVERAGE</v>
      </c>
      <c r="S8988" t="s">
        <v>609</v>
      </c>
    </row>
    <row r="8989" spans="1:19" x14ac:dyDescent="0.2">
      <c r="A8989" t="s">
        <v>9600</v>
      </c>
      <c r="B8989" t="s">
        <v>75</v>
      </c>
      <c r="C8989" t="s">
        <v>602</v>
      </c>
      <c r="D8989">
        <v>836.43</v>
      </c>
      <c r="E8989" s="37" t="str">
        <f t="shared" si="700"/>
        <v xml:space="preserve"> </v>
      </c>
      <c r="F8989">
        <v>0</v>
      </c>
      <c r="G8989" s="37" t="str">
        <f t="shared" si="701"/>
        <v>Normal Discount</v>
      </c>
      <c r="H8989" s="37" t="str">
        <f t="shared" si="702"/>
        <v>Low</v>
      </c>
      <c r="I8989">
        <v>1</v>
      </c>
      <c r="J8989" t="str" cm="1">
        <f t="array" ref="J8989">_xlfn.IFS(I8989&lt;=3,"small",I8989&lt;=6,"Medium",I8989&lt;=9,"Large")</f>
        <v>small</v>
      </c>
      <c r="K8989" s="36">
        <v>45511</v>
      </c>
      <c r="L8989" s="36">
        <v>45516</v>
      </c>
      <c r="M8989" t="s">
        <v>598</v>
      </c>
      <c r="N8989" t="s">
        <v>599</v>
      </c>
      <c r="O8989" s="37" t="str">
        <f t="shared" si="703"/>
        <v>Digital Payment</v>
      </c>
      <c r="P8989">
        <v>143.56</v>
      </c>
      <c r="Q8989" s="37" t="str">
        <f>IF(P8989&gt;500,"High","low")</f>
        <v>low</v>
      </c>
      <c r="R8989" s="37" t="str">
        <f t="shared" si="704"/>
        <v>AVERAGE</v>
      </c>
      <c r="S8989" t="s">
        <v>600</v>
      </c>
    </row>
    <row r="8990" spans="1:19" x14ac:dyDescent="0.2">
      <c r="A8990" t="s">
        <v>9601</v>
      </c>
      <c r="B8990" t="s">
        <v>83</v>
      </c>
      <c r="C8990" t="s">
        <v>617</v>
      </c>
      <c r="D8990">
        <v>4440.41</v>
      </c>
      <c r="E8990" s="37" t="str">
        <f t="shared" si="700"/>
        <v>Excellent Order</v>
      </c>
      <c r="F8990">
        <v>0.13</v>
      </c>
      <c r="G8990" s="37" t="str">
        <f t="shared" si="701"/>
        <v>Normal Discount</v>
      </c>
      <c r="H8990" s="37" t="str">
        <f t="shared" si="702"/>
        <v>Low</v>
      </c>
      <c r="I8990">
        <v>1</v>
      </c>
      <c r="J8990" t="str" cm="1">
        <f t="array" ref="J8990">_xlfn.IFS(I8990&lt;=3,"small",I8990&lt;=6,"Medium",I8990&lt;=9,"Large")</f>
        <v>small</v>
      </c>
      <c r="K8990" s="36">
        <v>45375</v>
      </c>
      <c r="L8990" s="36">
        <v>45377</v>
      </c>
      <c r="M8990" t="s">
        <v>612</v>
      </c>
      <c r="N8990" t="s">
        <v>604</v>
      </c>
      <c r="O8990" s="37" t="str">
        <f t="shared" si="703"/>
        <v>Digital Payment</v>
      </c>
      <c r="P8990">
        <v>931.24</v>
      </c>
      <c r="Q8990" s="37" t="str">
        <f>IF(P8990&gt;500,"High","low")</f>
        <v>High</v>
      </c>
      <c r="R8990" s="37" t="str">
        <f t="shared" si="704"/>
        <v>Good</v>
      </c>
      <c r="S8990" t="s">
        <v>615</v>
      </c>
    </row>
    <row r="8991" spans="1:19" x14ac:dyDescent="0.2">
      <c r="A8991" t="s">
        <v>9602</v>
      </c>
      <c r="B8991" t="s">
        <v>67</v>
      </c>
      <c r="C8991" t="s">
        <v>607</v>
      </c>
      <c r="D8991">
        <v>4961.84</v>
      </c>
      <c r="E8991" s="37" t="str">
        <f t="shared" si="700"/>
        <v xml:space="preserve"> </v>
      </c>
      <c r="F8991">
        <v>0.34</v>
      </c>
      <c r="G8991" s="37" t="str">
        <f t="shared" si="701"/>
        <v>Heavy Discount</v>
      </c>
      <c r="H8991" s="37" t="str">
        <f t="shared" si="702"/>
        <v>Medium</v>
      </c>
      <c r="I8991">
        <v>7</v>
      </c>
      <c r="J8991" t="str" cm="1">
        <f t="array" ref="J8991">_xlfn.IFS(I8991&lt;=3,"small",I8991&lt;=6,"Medium",I8991&lt;=9,"Large")</f>
        <v>Large</v>
      </c>
      <c r="K8991" s="36">
        <v>45246</v>
      </c>
      <c r="L8991" s="36">
        <v>45250</v>
      </c>
      <c r="M8991" t="s">
        <v>603</v>
      </c>
      <c r="N8991" t="s">
        <v>608</v>
      </c>
      <c r="O8991" s="37" t="str">
        <f t="shared" si="703"/>
        <v>Cash Payment</v>
      </c>
      <c r="P8991">
        <v>393.95</v>
      </c>
      <c r="Q8991" s="37" t="str">
        <f>IF(P8991&gt;500,"High","low")</f>
        <v>low</v>
      </c>
      <c r="R8991" s="37" t="str">
        <f t="shared" si="704"/>
        <v>AVERAGE</v>
      </c>
      <c r="S8991" t="s">
        <v>620</v>
      </c>
    </row>
    <row r="8992" spans="1:19" x14ac:dyDescent="0.2">
      <c r="A8992" t="s">
        <v>9603</v>
      </c>
      <c r="B8992" t="s">
        <v>67</v>
      </c>
      <c r="C8992" t="s">
        <v>607</v>
      </c>
      <c r="D8992">
        <v>364.61</v>
      </c>
      <c r="E8992" s="37" t="str">
        <f t="shared" si="700"/>
        <v xml:space="preserve"> </v>
      </c>
      <c r="F8992">
        <v>0.34</v>
      </c>
      <c r="G8992" s="37" t="str">
        <f t="shared" si="701"/>
        <v>Heavy Discount</v>
      </c>
      <c r="H8992" s="37" t="str">
        <f t="shared" si="702"/>
        <v>Medium</v>
      </c>
      <c r="I8992">
        <v>2</v>
      </c>
      <c r="J8992" t="str" cm="1">
        <f t="array" ref="J8992">_xlfn.IFS(I8992&lt;=3,"small",I8992&lt;=6,"Medium",I8992&lt;=9,"Large")</f>
        <v>small</v>
      </c>
      <c r="K8992" s="36">
        <v>45487</v>
      </c>
      <c r="L8992" s="36">
        <v>45493</v>
      </c>
      <c r="M8992" t="s">
        <v>598</v>
      </c>
      <c r="N8992" t="s">
        <v>608</v>
      </c>
      <c r="O8992" s="37" t="str">
        <f t="shared" si="703"/>
        <v>Cash Payment</v>
      </c>
      <c r="P8992">
        <v>56.78</v>
      </c>
      <c r="Q8992" s="37" t="str">
        <f>IF(P8992&gt;500,"High","low")</f>
        <v>low</v>
      </c>
      <c r="R8992" s="37" t="str">
        <f t="shared" si="704"/>
        <v>AVERAGE</v>
      </c>
      <c r="S8992" t="s">
        <v>609</v>
      </c>
    </row>
    <row r="8993" spans="1:19" x14ac:dyDescent="0.2">
      <c r="A8993" t="s">
        <v>9604</v>
      </c>
      <c r="B8993" t="s">
        <v>75</v>
      </c>
      <c r="C8993" t="s">
        <v>614</v>
      </c>
      <c r="D8993">
        <v>2526.7600000000002</v>
      </c>
      <c r="E8993" s="37" t="str">
        <f t="shared" si="700"/>
        <v xml:space="preserve"> </v>
      </c>
      <c r="F8993">
        <v>0.33</v>
      </c>
      <c r="G8993" s="37" t="str">
        <f t="shared" si="701"/>
        <v>Heavy Discount</v>
      </c>
      <c r="H8993" s="37" t="str">
        <f t="shared" si="702"/>
        <v>Medium</v>
      </c>
      <c r="I8993">
        <v>9</v>
      </c>
      <c r="J8993" t="str" cm="1">
        <f t="array" ref="J8993">_xlfn.IFS(I8993&lt;=3,"small",I8993&lt;=6,"Medium",I8993&lt;=9,"Large")</f>
        <v>Large</v>
      </c>
      <c r="K8993" s="36">
        <v>45646</v>
      </c>
      <c r="L8993" s="36">
        <v>45651</v>
      </c>
      <c r="M8993" t="s">
        <v>612</v>
      </c>
      <c r="N8993" t="s">
        <v>599</v>
      </c>
      <c r="O8993" s="37" t="str">
        <f t="shared" si="703"/>
        <v>Digital Payment</v>
      </c>
      <c r="P8993">
        <v>701.86</v>
      </c>
      <c r="Q8993" s="37" t="str">
        <f>IF(P8993&gt;500,"High","low")</f>
        <v>High</v>
      </c>
      <c r="R8993" s="37" t="str">
        <f t="shared" si="704"/>
        <v>Good</v>
      </c>
      <c r="S8993" t="s">
        <v>628</v>
      </c>
    </row>
    <row r="8994" spans="1:19" x14ac:dyDescent="0.2">
      <c r="A8994" t="s">
        <v>9605</v>
      </c>
      <c r="B8994" t="s">
        <v>75</v>
      </c>
      <c r="C8994" t="s">
        <v>607</v>
      </c>
      <c r="D8994">
        <v>1711.54</v>
      </c>
      <c r="E8994" s="37" t="str">
        <f t="shared" si="700"/>
        <v xml:space="preserve"> </v>
      </c>
      <c r="F8994">
        <v>0.47</v>
      </c>
      <c r="G8994" s="37" t="str">
        <f t="shared" si="701"/>
        <v>Heavy Discount</v>
      </c>
      <c r="H8994" s="37" t="str">
        <f t="shared" si="702"/>
        <v>High</v>
      </c>
      <c r="I8994">
        <v>4</v>
      </c>
      <c r="J8994" t="str" cm="1">
        <f t="array" ref="J8994">_xlfn.IFS(I8994&lt;=3,"small",I8994&lt;=6,"Medium",I8994&lt;=9,"Large")</f>
        <v>Medium</v>
      </c>
      <c r="K8994" s="36">
        <v>45089</v>
      </c>
      <c r="L8994" s="36">
        <v>45092</v>
      </c>
      <c r="M8994" t="s">
        <v>603</v>
      </c>
      <c r="N8994" t="s">
        <v>599</v>
      </c>
      <c r="O8994" s="37" t="str">
        <f t="shared" si="703"/>
        <v>Digital Payment</v>
      </c>
      <c r="P8994">
        <v>327.66000000000003</v>
      </c>
      <c r="Q8994" s="37" t="str">
        <f>IF(P8994&gt;500,"High","low")</f>
        <v>low</v>
      </c>
      <c r="R8994" s="37" t="str">
        <f t="shared" si="704"/>
        <v>AVERAGE</v>
      </c>
      <c r="S8994" t="s">
        <v>615</v>
      </c>
    </row>
    <row r="8995" spans="1:19" x14ac:dyDescent="0.2">
      <c r="A8995" t="s">
        <v>9606</v>
      </c>
      <c r="B8995" t="s">
        <v>75</v>
      </c>
      <c r="C8995" t="s">
        <v>617</v>
      </c>
      <c r="D8995">
        <v>2029.03</v>
      </c>
      <c r="E8995" s="37" t="str">
        <f t="shared" si="700"/>
        <v xml:space="preserve"> </v>
      </c>
      <c r="F8995">
        <v>0.28000000000000003</v>
      </c>
      <c r="G8995" s="37" t="str">
        <f t="shared" si="701"/>
        <v>Normal Discount</v>
      </c>
      <c r="H8995" s="37" t="str">
        <f t="shared" si="702"/>
        <v>Medium</v>
      </c>
      <c r="I8995">
        <v>7</v>
      </c>
      <c r="J8995" t="str" cm="1">
        <f t="array" ref="J8995">_xlfn.IFS(I8995&lt;=3,"small",I8995&lt;=6,"Medium",I8995&lt;=9,"Large")</f>
        <v>Large</v>
      </c>
      <c r="K8995" s="36">
        <v>45095</v>
      </c>
      <c r="L8995" s="36">
        <v>45096</v>
      </c>
      <c r="M8995" t="s">
        <v>603</v>
      </c>
      <c r="N8995" t="s">
        <v>599</v>
      </c>
      <c r="O8995" s="37" t="str">
        <f t="shared" si="703"/>
        <v>Digital Payment</v>
      </c>
      <c r="P8995">
        <v>352.56</v>
      </c>
      <c r="Q8995" s="37" t="str">
        <f>IF(P8995&gt;500,"High","low")</f>
        <v>low</v>
      </c>
      <c r="R8995" s="37" t="str">
        <f t="shared" si="704"/>
        <v>AVERAGE</v>
      </c>
      <c r="S8995" t="s">
        <v>615</v>
      </c>
    </row>
    <row r="8996" spans="1:19" x14ac:dyDescent="0.2">
      <c r="A8996" t="s">
        <v>9607</v>
      </c>
      <c r="B8996" t="s">
        <v>90</v>
      </c>
      <c r="C8996" t="s">
        <v>617</v>
      </c>
      <c r="D8996">
        <v>2313.0100000000002</v>
      </c>
      <c r="E8996" s="37" t="str">
        <f t="shared" si="700"/>
        <v xml:space="preserve"> </v>
      </c>
      <c r="F8996">
        <v>0.13</v>
      </c>
      <c r="G8996" s="37" t="str">
        <f t="shared" si="701"/>
        <v>Normal Discount</v>
      </c>
      <c r="H8996" s="37" t="str">
        <f t="shared" si="702"/>
        <v>Low</v>
      </c>
      <c r="I8996">
        <v>5</v>
      </c>
      <c r="J8996" t="str" cm="1">
        <f t="array" ref="J8996">_xlfn.IFS(I8996&lt;=3,"small",I8996&lt;=6,"Medium",I8996&lt;=9,"Large")</f>
        <v>Medium</v>
      </c>
      <c r="K8996" s="36">
        <v>45473</v>
      </c>
      <c r="L8996" s="36">
        <v>45475</v>
      </c>
      <c r="M8996" t="s">
        <v>598</v>
      </c>
      <c r="N8996" t="s">
        <v>608</v>
      </c>
      <c r="O8996" s="37" t="str">
        <f t="shared" si="703"/>
        <v>Cash Payment</v>
      </c>
      <c r="P8996">
        <v>488.18</v>
      </c>
      <c r="Q8996" s="37" t="str">
        <f>IF(P8996&gt;500,"High","low")</f>
        <v>low</v>
      </c>
      <c r="R8996" s="37" t="str">
        <f t="shared" si="704"/>
        <v>AVERAGE</v>
      </c>
      <c r="S8996" t="s">
        <v>628</v>
      </c>
    </row>
    <row r="8997" spans="1:19" x14ac:dyDescent="0.2">
      <c r="A8997" t="s">
        <v>9608</v>
      </c>
      <c r="B8997" t="s">
        <v>67</v>
      </c>
      <c r="C8997" t="s">
        <v>617</v>
      </c>
      <c r="D8997">
        <v>3724.55</v>
      </c>
      <c r="E8997" s="37" t="str">
        <f t="shared" si="700"/>
        <v xml:space="preserve"> </v>
      </c>
      <c r="F8997">
        <v>0.41</v>
      </c>
      <c r="G8997" s="37" t="str">
        <f t="shared" si="701"/>
        <v>Heavy Discount</v>
      </c>
      <c r="H8997" s="37" t="str">
        <f t="shared" si="702"/>
        <v>High</v>
      </c>
      <c r="I8997">
        <v>5</v>
      </c>
      <c r="J8997" t="str" cm="1">
        <f t="array" ref="J8997">_xlfn.IFS(I8997&lt;=3,"small",I8997&lt;=6,"Medium",I8997&lt;=9,"Large")</f>
        <v>Medium</v>
      </c>
      <c r="K8997" s="36">
        <v>45518</v>
      </c>
      <c r="L8997" s="36">
        <v>45522</v>
      </c>
      <c r="M8997" t="s">
        <v>603</v>
      </c>
      <c r="N8997" t="s">
        <v>599</v>
      </c>
      <c r="O8997" s="37" t="str">
        <f t="shared" si="703"/>
        <v>Digital Payment</v>
      </c>
      <c r="P8997">
        <v>1011.78</v>
      </c>
      <c r="Q8997" s="37" t="str">
        <f>IF(P8997&gt;500,"High","low")</f>
        <v>High</v>
      </c>
      <c r="R8997" s="37" t="str">
        <f t="shared" si="704"/>
        <v>Excellent</v>
      </c>
      <c r="S8997" t="s">
        <v>605</v>
      </c>
    </row>
    <row r="8998" spans="1:19" x14ac:dyDescent="0.2">
      <c r="A8998" t="s">
        <v>9609</v>
      </c>
      <c r="B8998" t="s">
        <v>75</v>
      </c>
      <c r="C8998" t="s">
        <v>597</v>
      </c>
      <c r="D8998">
        <v>2997.37</v>
      </c>
      <c r="E8998" s="37" t="str">
        <f t="shared" si="700"/>
        <v xml:space="preserve"> </v>
      </c>
      <c r="F8998">
        <v>0.19</v>
      </c>
      <c r="G8998" s="37" t="str">
        <f t="shared" si="701"/>
        <v>Normal Discount</v>
      </c>
      <c r="H8998" s="37" t="str">
        <f t="shared" si="702"/>
        <v>Low</v>
      </c>
      <c r="I8998">
        <v>7</v>
      </c>
      <c r="J8998" t="str" cm="1">
        <f t="array" ref="J8998">_xlfn.IFS(I8998&lt;=3,"small",I8998&lt;=6,"Medium",I8998&lt;=9,"Large")</f>
        <v>Large</v>
      </c>
      <c r="K8998" s="36">
        <v>45230</v>
      </c>
      <c r="L8998" s="36">
        <v>45231</v>
      </c>
      <c r="M8998" t="s">
        <v>598</v>
      </c>
      <c r="N8998" t="s">
        <v>599</v>
      </c>
      <c r="O8998" s="37" t="str">
        <f t="shared" si="703"/>
        <v>Digital Payment</v>
      </c>
      <c r="P8998">
        <v>752.7</v>
      </c>
      <c r="Q8998" s="37" t="str">
        <f>IF(P8998&gt;500,"High","low")</f>
        <v>High</v>
      </c>
      <c r="R8998" s="37" t="str">
        <f t="shared" si="704"/>
        <v>Good</v>
      </c>
      <c r="S8998" t="s">
        <v>600</v>
      </c>
    </row>
    <row r="8999" spans="1:19" x14ac:dyDescent="0.2">
      <c r="A8999" t="s">
        <v>9610</v>
      </c>
      <c r="B8999" t="s">
        <v>83</v>
      </c>
      <c r="C8999" t="s">
        <v>607</v>
      </c>
      <c r="D8999">
        <v>4809.8900000000003</v>
      </c>
      <c r="E8999" s="37" t="str">
        <f t="shared" si="700"/>
        <v xml:space="preserve"> </v>
      </c>
      <c r="F8999">
        <v>0.12</v>
      </c>
      <c r="G8999" s="37" t="str">
        <f t="shared" si="701"/>
        <v>Normal Discount</v>
      </c>
      <c r="H8999" s="37" t="str">
        <f t="shared" si="702"/>
        <v>Low</v>
      </c>
      <c r="I8999">
        <v>9</v>
      </c>
      <c r="J8999" t="str" cm="1">
        <f t="array" ref="J8999">_xlfn.IFS(I8999&lt;=3,"small",I8999&lt;=6,"Medium",I8999&lt;=9,"Large")</f>
        <v>Large</v>
      </c>
      <c r="K8999" s="36">
        <v>45608</v>
      </c>
      <c r="L8999" s="36">
        <v>45610</v>
      </c>
      <c r="M8999" t="s">
        <v>612</v>
      </c>
      <c r="N8999" t="s">
        <v>604</v>
      </c>
      <c r="O8999" s="37" t="str">
        <f t="shared" si="703"/>
        <v>Digital Payment</v>
      </c>
      <c r="P8999">
        <v>545.6</v>
      </c>
      <c r="Q8999" s="37" t="str">
        <f>IF(P8999&gt;500,"High","low")</f>
        <v>High</v>
      </c>
      <c r="R8999" s="37" t="str">
        <f t="shared" si="704"/>
        <v>Good</v>
      </c>
      <c r="S8999" t="s">
        <v>605</v>
      </c>
    </row>
    <row r="9000" spans="1:19" x14ac:dyDescent="0.2">
      <c r="A9000" t="s">
        <v>9611</v>
      </c>
      <c r="B9000" t="s">
        <v>75</v>
      </c>
      <c r="C9000" t="s">
        <v>602</v>
      </c>
      <c r="D9000">
        <v>1730.55</v>
      </c>
      <c r="E9000" s="37" t="str">
        <f t="shared" si="700"/>
        <v xml:space="preserve"> </v>
      </c>
      <c r="F9000">
        <v>0.28000000000000003</v>
      </c>
      <c r="G9000" s="37" t="str">
        <f t="shared" si="701"/>
        <v>Normal Discount</v>
      </c>
      <c r="H9000" s="37" t="str">
        <f t="shared" si="702"/>
        <v>Medium</v>
      </c>
      <c r="I9000">
        <v>4</v>
      </c>
      <c r="J9000" t="str" cm="1">
        <f t="array" ref="J9000">_xlfn.IFS(I9000&lt;=3,"small",I9000&lt;=6,"Medium",I9000&lt;=9,"Large")</f>
        <v>Medium</v>
      </c>
      <c r="K9000" s="36">
        <v>45382</v>
      </c>
      <c r="L9000" s="36">
        <v>45387</v>
      </c>
      <c r="M9000" t="s">
        <v>603</v>
      </c>
      <c r="N9000" t="s">
        <v>604</v>
      </c>
      <c r="O9000" s="37" t="str">
        <f t="shared" si="703"/>
        <v>Digital Payment</v>
      </c>
      <c r="P9000">
        <v>101.13</v>
      </c>
      <c r="Q9000" s="37" t="str">
        <f>IF(P9000&gt;500,"High","low")</f>
        <v>low</v>
      </c>
      <c r="R9000" s="37" t="str">
        <f t="shared" si="704"/>
        <v>AVERAGE</v>
      </c>
      <c r="S9000" t="s">
        <v>600</v>
      </c>
    </row>
    <row r="9001" spans="1:19" x14ac:dyDescent="0.2">
      <c r="A9001" t="s">
        <v>9612</v>
      </c>
      <c r="B9001" t="s">
        <v>67</v>
      </c>
      <c r="C9001" t="s">
        <v>607</v>
      </c>
      <c r="D9001">
        <v>2753.37</v>
      </c>
      <c r="E9001" s="37" t="str">
        <f t="shared" si="700"/>
        <v xml:space="preserve"> </v>
      </c>
      <c r="F9001">
        <v>0.14000000000000001</v>
      </c>
      <c r="G9001" s="37" t="str">
        <f t="shared" si="701"/>
        <v>Normal Discount</v>
      </c>
      <c r="H9001" s="37" t="str">
        <f t="shared" si="702"/>
        <v>Low</v>
      </c>
      <c r="I9001">
        <v>9</v>
      </c>
      <c r="J9001" t="str" cm="1">
        <f t="array" ref="J9001">_xlfn.IFS(I9001&lt;=3,"small",I9001&lt;=6,"Medium",I9001&lt;=9,"Large")</f>
        <v>Large</v>
      </c>
      <c r="K9001" s="36">
        <v>45282</v>
      </c>
      <c r="L9001" s="36">
        <v>45287</v>
      </c>
      <c r="M9001" t="s">
        <v>603</v>
      </c>
      <c r="N9001" t="s">
        <v>608</v>
      </c>
      <c r="O9001" s="37" t="str">
        <f t="shared" si="703"/>
        <v>Cash Payment</v>
      </c>
      <c r="P9001">
        <v>341.71</v>
      </c>
      <c r="Q9001" s="37" t="str">
        <f>IF(P9001&gt;500,"High","low")</f>
        <v>low</v>
      </c>
      <c r="R9001" s="37" t="str">
        <f t="shared" si="704"/>
        <v>AVERAGE</v>
      </c>
      <c r="S9001" t="s">
        <v>600</v>
      </c>
    </row>
    <row r="9002" spans="1:19" x14ac:dyDescent="0.2">
      <c r="A9002" t="s">
        <v>9613</v>
      </c>
      <c r="B9002" t="s">
        <v>75</v>
      </c>
      <c r="C9002" t="s">
        <v>607</v>
      </c>
      <c r="D9002">
        <v>4085.31</v>
      </c>
      <c r="E9002" s="37" t="str">
        <f t="shared" si="700"/>
        <v>Excellent Order</v>
      </c>
      <c r="F9002">
        <v>0.2</v>
      </c>
      <c r="G9002" s="37" t="str">
        <f t="shared" si="701"/>
        <v>Normal Discount</v>
      </c>
      <c r="H9002" s="37" t="str">
        <f t="shared" si="702"/>
        <v>Medium</v>
      </c>
      <c r="I9002">
        <v>9</v>
      </c>
      <c r="J9002" t="str" cm="1">
        <f t="array" ref="J9002">_xlfn.IFS(I9002&lt;=3,"small",I9002&lt;=6,"Medium",I9002&lt;=9,"Large")</f>
        <v>Large</v>
      </c>
      <c r="K9002" s="36">
        <v>45277</v>
      </c>
      <c r="L9002" s="36">
        <v>45280</v>
      </c>
      <c r="M9002" t="s">
        <v>603</v>
      </c>
      <c r="N9002" t="s">
        <v>608</v>
      </c>
      <c r="O9002" s="37" t="str">
        <f t="shared" si="703"/>
        <v>Cash Payment</v>
      </c>
      <c r="P9002">
        <v>1124.4000000000001</v>
      </c>
      <c r="Q9002" s="37" t="str">
        <f>IF(P9002&gt;500,"High","low")</f>
        <v>High</v>
      </c>
      <c r="R9002" s="37" t="str">
        <f t="shared" si="704"/>
        <v>Excellent</v>
      </c>
      <c r="S9002" t="s">
        <v>600</v>
      </c>
    </row>
    <row r="9003" spans="1:19" x14ac:dyDescent="0.2">
      <c r="A9003" t="s">
        <v>9614</v>
      </c>
      <c r="B9003" t="s">
        <v>67</v>
      </c>
      <c r="C9003" t="s">
        <v>597</v>
      </c>
      <c r="D9003">
        <v>1927.84</v>
      </c>
      <c r="E9003" s="37" t="str">
        <f t="shared" si="700"/>
        <v xml:space="preserve"> </v>
      </c>
      <c r="F9003">
        <v>0.35</v>
      </c>
      <c r="G9003" s="37" t="str">
        <f t="shared" si="701"/>
        <v>Heavy Discount</v>
      </c>
      <c r="H9003" s="37" t="str">
        <f t="shared" si="702"/>
        <v>Medium</v>
      </c>
      <c r="I9003">
        <v>8</v>
      </c>
      <c r="J9003" t="str" cm="1">
        <f t="array" ref="J9003">_xlfn.IFS(I9003&lt;=3,"small",I9003&lt;=6,"Medium",I9003&lt;=9,"Large")</f>
        <v>Large</v>
      </c>
      <c r="K9003" s="36">
        <v>45037</v>
      </c>
      <c r="L9003" s="36">
        <v>45043</v>
      </c>
      <c r="M9003" t="s">
        <v>603</v>
      </c>
      <c r="N9003" t="s">
        <v>604</v>
      </c>
      <c r="O9003" s="37" t="str">
        <f t="shared" si="703"/>
        <v>Digital Payment</v>
      </c>
      <c r="P9003">
        <v>308.83</v>
      </c>
      <c r="Q9003" s="37" t="str">
        <f>IF(P9003&gt;500,"High","low")</f>
        <v>low</v>
      </c>
      <c r="R9003" s="37" t="str">
        <f t="shared" si="704"/>
        <v>AVERAGE</v>
      </c>
      <c r="S9003" t="s">
        <v>609</v>
      </c>
    </row>
    <row r="9004" spans="1:19" x14ac:dyDescent="0.2">
      <c r="A9004" t="s">
        <v>9615</v>
      </c>
      <c r="B9004" t="s">
        <v>75</v>
      </c>
      <c r="C9004" t="s">
        <v>607</v>
      </c>
      <c r="D9004">
        <v>2379.9699999999998</v>
      </c>
      <c r="E9004" s="37" t="str">
        <f t="shared" si="700"/>
        <v xml:space="preserve"> </v>
      </c>
      <c r="F9004">
        <v>0.5</v>
      </c>
      <c r="G9004" s="37" t="str">
        <f t="shared" si="701"/>
        <v>Heavy Discount</v>
      </c>
      <c r="H9004" s="37" t="str">
        <f t="shared" si="702"/>
        <v>High</v>
      </c>
      <c r="I9004">
        <v>1</v>
      </c>
      <c r="J9004" t="str" cm="1">
        <f t="array" ref="J9004">_xlfn.IFS(I9004&lt;=3,"small",I9004&lt;=6,"Medium",I9004&lt;=9,"Large")</f>
        <v>small</v>
      </c>
      <c r="K9004" s="36">
        <v>45530</v>
      </c>
      <c r="L9004" s="36">
        <v>45531</v>
      </c>
      <c r="M9004" t="s">
        <v>598</v>
      </c>
      <c r="N9004" t="s">
        <v>608</v>
      </c>
      <c r="O9004" s="37" t="str">
        <f t="shared" si="703"/>
        <v>Cash Payment</v>
      </c>
      <c r="P9004">
        <v>564.95000000000005</v>
      </c>
      <c r="Q9004" s="37" t="str">
        <f>IF(P9004&gt;500,"High","low")</f>
        <v>High</v>
      </c>
      <c r="R9004" s="37" t="str">
        <f t="shared" si="704"/>
        <v>Good</v>
      </c>
      <c r="S9004" t="s">
        <v>615</v>
      </c>
    </row>
    <row r="9005" spans="1:19" x14ac:dyDescent="0.2">
      <c r="A9005" t="s">
        <v>9616</v>
      </c>
      <c r="B9005" t="s">
        <v>83</v>
      </c>
      <c r="C9005" t="s">
        <v>614</v>
      </c>
      <c r="D9005">
        <v>3456.38</v>
      </c>
      <c r="E9005" s="37" t="str">
        <f t="shared" si="700"/>
        <v xml:space="preserve"> </v>
      </c>
      <c r="F9005">
        <v>0.32</v>
      </c>
      <c r="G9005" s="37" t="str">
        <f t="shared" si="701"/>
        <v>Heavy Discount</v>
      </c>
      <c r="H9005" s="37" t="str">
        <f t="shared" si="702"/>
        <v>Medium</v>
      </c>
      <c r="I9005">
        <v>9</v>
      </c>
      <c r="J9005" t="str" cm="1">
        <f t="array" ref="J9005">_xlfn.IFS(I9005&lt;=3,"small",I9005&lt;=6,"Medium",I9005&lt;=9,"Large")</f>
        <v>Large</v>
      </c>
      <c r="K9005" s="36">
        <v>45217</v>
      </c>
      <c r="L9005" s="36">
        <v>45222</v>
      </c>
      <c r="M9005" t="s">
        <v>603</v>
      </c>
      <c r="N9005" t="s">
        <v>599</v>
      </c>
      <c r="O9005" s="37" t="str">
        <f t="shared" si="703"/>
        <v>Digital Payment</v>
      </c>
      <c r="P9005">
        <v>842.2</v>
      </c>
      <c r="Q9005" s="37" t="str">
        <f>IF(P9005&gt;500,"High","low")</f>
        <v>High</v>
      </c>
      <c r="R9005" s="37" t="str">
        <f t="shared" si="704"/>
        <v>Good</v>
      </c>
      <c r="S9005" t="s">
        <v>628</v>
      </c>
    </row>
    <row r="9006" spans="1:19" x14ac:dyDescent="0.2">
      <c r="A9006" t="s">
        <v>9617</v>
      </c>
      <c r="B9006" t="s">
        <v>75</v>
      </c>
      <c r="C9006" t="s">
        <v>617</v>
      </c>
      <c r="D9006">
        <v>4317.6499999999996</v>
      </c>
      <c r="E9006" s="37" t="str">
        <f t="shared" si="700"/>
        <v>Excellent Order</v>
      </c>
      <c r="F9006">
        <v>0.14000000000000001</v>
      </c>
      <c r="G9006" s="37" t="str">
        <f t="shared" si="701"/>
        <v>Normal Discount</v>
      </c>
      <c r="H9006" s="37" t="str">
        <f t="shared" si="702"/>
        <v>Low</v>
      </c>
      <c r="I9006">
        <v>3</v>
      </c>
      <c r="J9006" t="str" cm="1">
        <f t="array" ref="J9006">_xlfn.IFS(I9006&lt;=3,"small",I9006&lt;=6,"Medium",I9006&lt;=9,"Large")</f>
        <v>small</v>
      </c>
      <c r="K9006" s="36">
        <v>45199</v>
      </c>
      <c r="L9006" s="36">
        <v>45202</v>
      </c>
      <c r="M9006" t="s">
        <v>603</v>
      </c>
      <c r="N9006" t="s">
        <v>599</v>
      </c>
      <c r="O9006" s="37" t="str">
        <f t="shared" si="703"/>
        <v>Digital Payment</v>
      </c>
      <c r="P9006">
        <v>882.86</v>
      </c>
      <c r="Q9006" s="37" t="str">
        <f>IF(P9006&gt;500,"High","low")</f>
        <v>High</v>
      </c>
      <c r="R9006" s="37" t="str">
        <f t="shared" si="704"/>
        <v>Good</v>
      </c>
      <c r="S9006" t="s">
        <v>628</v>
      </c>
    </row>
    <row r="9007" spans="1:19" x14ac:dyDescent="0.2">
      <c r="A9007" t="s">
        <v>9618</v>
      </c>
      <c r="B9007" t="s">
        <v>83</v>
      </c>
      <c r="C9007" t="s">
        <v>617</v>
      </c>
      <c r="D9007">
        <v>2136.84</v>
      </c>
      <c r="E9007" s="37" t="str">
        <f t="shared" si="700"/>
        <v xml:space="preserve"> </v>
      </c>
      <c r="F9007">
        <v>0.05</v>
      </c>
      <c r="G9007" s="37" t="str">
        <f t="shared" si="701"/>
        <v>Normal Discount</v>
      </c>
      <c r="H9007" s="37" t="str">
        <f t="shared" si="702"/>
        <v>Low</v>
      </c>
      <c r="I9007">
        <v>8</v>
      </c>
      <c r="J9007" t="str" cm="1">
        <f t="array" ref="J9007">_xlfn.IFS(I9007&lt;=3,"small",I9007&lt;=6,"Medium",I9007&lt;=9,"Large")</f>
        <v>Large</v>
      </c>
      <c r="K9007" s="36">
        <v>45613</v>
      </c>
      <c r="L9007" s="36">
        <v>45617</v>
      </c>
      <c r="M9007" t="s">
        <v>612</v>
      </c>
      <c r="N9007" t="s">
        <v>608</v>
      </c>
      <c r="O9007" s="37" t="str">
        <f t="shared" si="703"/>
        <v>Cash Payment</v>
      </c>
      <c r="P9007">
        <v>206.96</v>
      </c>
      <c r="Q9007" s="37" t="str">
        <f>IF(P9007&gt;500,"High","low")</f>
        <v>low</v>
      </c>
      <c r="R9007" s="37" t="str">
        <f t="shared" si="704"/>
        <v>AVERAGE</v>
      </c>
      <c r="S9007" t="s">
        <v>609</v>
      </c>
    </row>
    <row r="9008" spans="1:19" x14ac:dyDescent="0.2">
      <c r="A9008" t="s">
        <v>9619</v>
      </c>
      <c r="B9008" t="s">
        <v>83</v>
      </c>
      <c r="C9008" t="s">
        <v>597</v>
      </c>
      <c r="D9008">
        <v>2706.56</v>
      </c>
      <c r="E9008" s="37" t="str">
        <f t="shared" si="700"/>
        <v xml:space="preserve"> </v>
      </c>
      <c r="F9008">
        <v>0.18</v>
      </c>
      <c r="G9008" s="37" t="str">
        <f t="shared" si="701"/>
        <v>Normal Discount</v>
      </c>
      <c r="H9008" s="37" t="str">
        <f t="shared" si="702"/>
        <v>Low</v>
      </c>
      <c r="I9008">
        <v>5</v>
      </c>
      <c r="J9008" t="str" cm="1">
        <f t="array" ref="J9008">_xlfn.IFS(I9008&lt;=3,"small",I9008&lt;=6,"Medium",I9008&lt;=9,"Large")</f>
        <v>Medium</v>
      </c>
      <c r="K9008" s="36">
        <v>45212</v>
      </c>
      <c r="L9008" s="36">
        <v>45216</v>
      </c>
      <c r="M9008" t="s">
        <v>603</v>
      </c>
      <c r="N9008" t="s">
        <v>599</v>
      </c>
      <c r="O9008" s="37" t="str">
        <f t="shared" si="703"/>
        <v>Digital Payment</v>
      </c>
      <c r="P9008">
        <v>486.17</v>
      </c>
      <c r="Q9008" s="37" t="str">
        <f>IF(P9008&gt;500,"High","low")</f>
        <v>low</v>
      </c>
      <c r="R9008" s="37" t="str">
        <f t="shared" si="704"/>
        <v>AVERAGE</v>
      </c>
      <c r="S9008" t="s">
        <v>605</v>
      </c>
    </row>
    <row r="9009" spans="1:19" x14ac:dyDescent="0.2">
      <c r="A9009" t="s">
        <v>9620</v>
      </c>
      <c r="B9009" t="s">
        <v>75</v>
      </c>
      <c r="C9009" t="s">
        <v>617</v>
      </c>
      <c r="D9009">
        <v>4878.1000000000004</v>
      </c>
      <c r="E9009" s="37" t="str">
        <f t="shared" si="700"/>
        <v>Excellent Order</v>
      </c>
      <c r="F9009">
        <v>0.01</v>
      </c>
      <c r="G9009" s="37" t="str">
        <f t="shared" si="701"/>
        <v>Normal Discount</v>
      </c>
      <c r="H9009" s="37" t="str">
        <f t="shared" si="702"/>
        <v>Low</v>
      </c>
      <c r="I9009">
        <v>6</v>
      </c>
      <c r="J9009" t="str" cm="1">
        <f t="array" ref="J9009">_xlfn.IFS(I9009&lt;=3,"small",I9009&lt;=6,"Medium",I9009&lt;=9,"Large")</f>
        <v>Medium</v>
      </c>
      <c r="K9009" s="36">
        <v>44935</v>
      </c>
      <c r="L9009" s="36">
        <v>44936</v>
      </c>
      <c r="M9009" t="s">
        <v>598</v>
      </c>
      <c r="N9009" t="s">
        <v>604</v>
      </c>
      <c r="O9009" s="37" t="str">
        <f t="shared" si="703"/>
        <v>Digital Payment</v>
      </c>
      <c r="P9009">
        <v>819.2</v>
      </c>
      <c r="Q9009" s="37" t="str">
        <f>IF(P9009&gt;500,"High","low")</f>
        <v>High</v>
      </c>
      <c r="R9009" s="37" t="str">
        <f t="shared" si="704"/>
        <v>Good</v>
      </c>
      <c r="S9009" t="s">
        <v>605</v>
      </c>
    </row>
    <row r="9010" spans="1:19" x14ac:dyDescent="0.2">
      <c r="A9010" t="s">
        <v>9621</v>
      </c>
      <c r="B9010" t="s">
        <v>83</v>
      </c>
      <c r="C9010" t="s">
        <v>614</v>
      </c>
      <c r="D9010">
        <v>308.10000000000002</v>
      </c>
      <c r="E9010" s="37" t="str">
        <f t="shared" si="700"/>
        <v xml:space="preserve"> </v>
      </c>
      <c r="F9010">
        <v>0.23</v>
      </c>
      <c r="G9010" s="37" t="str">
        <f t="shared" si="701"/>
        <v>Normal Discount</v>
      </c>
      <c r="H9010" s="37" t="str">
        <f t="shared" si="702"/>
        <v>Medium</v>
      </c>
      <c r="I9010">
        <v>3</v>
      </c>
      <c r="J9010" t="str" cm="1">
        <f t="array" ref="J9010">_xlfn.IFS(I9010&lt;=3,"small",I9010&lt;=6,"Medium",I9010&lt;=9,"Large")</f>
        <v>small</v>
      </c>
      <c r="K9010" s="36">
        <v>44971</v>
      </c>
      <c r="L9010" s="36">
        <v>44975</v>
      </c>
      <c r="M9010" t="s">
        <v>598</v>
      </c>
      <c r="N9010" t="s">
        <v>599</v>
      </c>
      <c r="O9010" s="37" t="str">
        <f t="shared" si="703"/>
        <v>Digital Payment</v>
      </c>
      <c r="P9010">
        <v>64.7</v>
      </c>
      <c r="Q9010" s="37" t="str">
        <f>IF(P9010&gt;500,"High","low")</f>
        <v>low</v>
      </c>
      <c r="R9010" s="37" t="str">
        <f t="shared" si="704"/>
        <v>AVERAGE</v>
      </c>
      <c r="S9010" t="s">
        <v>605</v>
      </c>
    </row>
    <row r="9011" spans="1:19" x14ac:dyDescent="0.2">
      <c r="A9011" t="s">
        <v>9622</v>
      </c>
      <c r="B9011" t="s">
        <v>90</v>
      </c>
      <c r="C9011" t="s">
        <v>597</v>
      </c>
      <c r="D9011">
        <v>2296.3200000000002</v>
      </c>
      <c r="E9011" s="37" t="str">
        <f t="shared" si="700"/>
        <v xml:space="preserve"> </v>
      </c>
      <c r="F9011">
        <v>0.33</v>
      </c>
      <c r="G9011" s="37" t="str">
        <f t="shared" si="701"/>
        <v>Heavy Discount</v>
      </c>
      <c r="H9011" s="37" t="str">
        <f t="shared" si="702"/>
        <v>Medium</v>
      </c>
      <c r="I9011">
        <v>7</v>
      </c>
      <c r="J9011" t="str" cm="1">
        <f t="array" ref="J9011">_xlfn.IFS(I9011&lt;=3,"small",I9011&lt;=6,"Medium",I9011&lt;=9,"Large")</f>
        <v>Large</v>
      </c>
      <c r="K9011" s="36">
        <v>44991</v>
      </c>
      <c r="L9011" s="36">
        <v>44996</v>
      </c>
      <c r="M9011" t="s">
        <v>603</v>
      </c>
      <c r="N9011" t="s">
        <v>604</v>
      </c>
      <c r="O9011" s="37" t="str">
        <f t="shared" si="703"/>
        <v>Digital Payment</v>
      </c>
      <c r="P9011">
        <v>595.44000000000005</v>
      </c>
      <c r="Q9011" s="37" t="str">
        <f>IF(P9011&gt;500,"High","low")</f>
        <v>High</v>
      </c>
      <c r="R9011" s="37" t="str">
        <f t="shared" si="704"/>
        <v>Good</v>
      </c>
      <c r="S9011" t="s">
        <v>628</v>
      </c>
    </row>
    <row r="9012" spans="1:19" x14ac:dyDescent="0.2">
      <c r="A9012" t="s">
        <v>9623</v>
      </c>
      <c r="B9012" t="s">
        <v>75</v>
      </c>
      <c r="C9012" t="s">
        <v>602</v>
      </c>
      <c r="D9012">
        <v>3216.31</v>
      </c>
      <c r="E9012" s="37" t="str">
        <f t="shared" si="700"/>
        <v xml:space="preserve"> </v>
      </c>
      <c r="F9012">
        <v>0.26</v>
      </c>
      <c r="G9012" s="37" t="str">
        <f t="shared" si="701"/>
        <v>Normal Discount</v>
      </c>
      <c r="H9012" s="37" t="str">
        <f t="shared" si="702"/>
        <v>Medium</v>
      </c>
      <c r="I9012">
        <v>2</v>
      </c>
      <c r="J9012" t="str" cm="1">
        <f t="array" ref="J9012">_xlfn.IFS(I9012&lt;=3,"small",I9012&lt;=6,"Medium",I9012&lt;=9,"Large")</f>
        <v>small</v>
      </c>
      <c r="K9012" s="36">
        <v>45066</v>
      </c>
      <c r="L9012" s="36">
        <v>45070</v>
      </c>
      <c r="M9012" t="s">
        <v>598</v>
      </c>
      <c r="N9012" t="s">
        <v>604</v>
      </c>
      <c r="O9012" s="37" t="str">
        <f t="shared" si="703"/>
        <v>Digital Payment</v>
      </c>
      <c r="P9012">
        <v>187.1</v>
      </c>
      <c r="Q9012" s="37" t="str">
        <f>IF(P9012&gt;500,"High","low")</f>
        <v>low</v>
      </c>
      <c r="R9012" s="37" t="str">
        <f t="shared" si="704"/>
        <v>AVERAGE</v>
      </c>
      <c r="S9012" t="s">
        <v>615</v>
      </c>
    </row>
    <row r="9013" spans="1:19" x14ac:dyDescent="0.2">
      <c r="A9013" t="s">
        <v>9624</v>
      </c>
      <c r="B9013" t="s">
        <v>75</v>
      </c>
      <c r="C9013" t="s">
        <v>617</v>
      </c>
      <c r="D9013">
        <v>141.29</v>
      </c>
      <c r="E9013" s="37" t="str">
        <f t="shared" si="700"/>
        <v xml:space="preserve"> </v>
      </c>
      <c r="F9013">
        <v>0.43</v>
      </c>
      <c r="G9013" s="37" t="str">
        <f t="shared" si="701"/>
        <v>Heavy Discount</v>
      </c>
      <c r="H9013" s="37" t="str">
        <f t="shared" si="702"/>
        <v>High</v>
      </c>
      <c r="I9013">
        <v>3</v>
      </c>
      <c r="J9013" t="str" cm="1">
        <f t="array" ref="J9013">_xlfn.IFS(I9013&lt;=3,"small",I9013&lt;=6,"Medium",I9013&lt;=9,"Large")</f>
        <v>small</v>
      </c>
      <c r="K9013" s="36">
        <v>45263</v>
      </c>
      <c r="L9013" s="36">
        <v>45268</v>
      </c>
      <c r="M9013" t="s">
        <v>603</v>
      </c>
      <c r="N9013" t="s">
        <v>608</v>
      </c>
      <c r="O9013" s="37" t="str">
        <f t="shared" si="703"/>
        <v>Cash Payment</v>
      </c>
      <c r="P9013">
        <v>18.579999999999998</v>
      </c>
      <c r="Q9013" s="37" t="str">
        <f>IF(P9013&gt;500,"High","low")</f>
        <v>low</v>
      </c>
      <c r="R9013" s="37" t="str">
        <f t="shared" si="704"/>
        <v>AVERAGE</v>
      </c>
      <c r="S9013" t="s">
        <v>600</v>
      </c>
    </row>
    <row r="9014" spans="1:19" x14ac:dyDescent="0.2">
      <c r="A9014" t="s">
        <v>9625</v>
      </c>
      <c r="B9014" t="s">
        <v>83</v>
      </c>
      <c r="C9014" t="s">
        <v>607</v>
      </c>
      <c r="D9014">
        <v>3024.25</v>
      </c>
      <c r="E9014" s="37" t="str">
        <f t="shared" si="700"/>
        <v xml:space="preserve"> </v>
      </c>
      <c r="F9014">
        <v>0.25</v>
      </c>
      <c r="G9014" s="37" t="str">
        <f t="shared" si="701"/>
        <v>Normal Discount</v>
      </c>
      <c r="H9014" s="37" t="str">
        <f t="shared" si="702"/>
        <v>Medium</v>
      </c>
      <c r="I9014">
        <v>2</v>
      </c>
      <c r="J9014" t="str" cm="1">
        <f t="array" ref="J9014">_xlfn.IFS(I9014&lt;=3,"small",I9014&lt;=6,"Medium",I9014&lt;=9,"Large")</f>
        <v>small</v>
      </c>
      <c r="K9014" s="36">
        <v>45612</v>
      </c>
      <c r="L9014" s="36">
        <v>45615</v>
      </c>
      <c r="M9014" t="s">
        <v>598</v>
      </c>
      <c r="N9014" t="s">
        <v>604</v>
      </c>
      <c r="O9014" s="37" t="str">
        <f t="shared" si="703"/>
        <v>Digital Payment</v>
      </c>
      <c r="P9014">
        <v>719.59</v>
      </c>
      <c r="Q9014" s="37" t="str">
        <f>IF(P9014&gt;500,"High","low")</f>
        <v>High</v>
      </c>
      <c r="R9014" s="37" t="str">
        <f t="shared" si="704"/>
        <v>Good</v>
      </c>
      <c r="S9014" t="s">
        <v>605</v>
      </c>
    </row>
    <row r="9015" spans="1:19" x14ac:dyDescent="0.2">
      <c r="A9015" t="s">
        <v>9626</v>
      </c>
      <c r="B9015" t="s">
        <v>83</v>
      </c>
      <c r="C9015" t="s">
        <v>614</v>
      </c>
      <c r="D9015">
        <v>375.38</v>
      </c>
      <c r="E9015" s="37" t="str">
        <f t="shared" si="700"/>
        <v xml:space="preserve"> </v>
      </c>
      <c r="F9015">
        <v>0.23</v>
      </c>
      <c r="G9015" s="37" t="str">
        <f t="shared" si="701"/>
        <v>Normal Discount</v>
      </c>
      <c r="H9015" s="37" t="str">
        <f t="shared" si="702"/>
        <v>Medium</v>
      </c>
      <c r="I9015">
        <v>9</v>
      </c>
      <c r="J9015" t="str" cm="1">
        <f t="array" ref="J9015">_xlfn.IFS(I9015&lt;=3,"small",I9015&lt;=6,"Medium",I9015&lt;=9,"Large")</f>
        <v>Large</v>
      </c>
      <c r="K9015" s="36">
        <v>45599</v>
      </c>
      <c r="L9015" s="36">
        <v>45606</v>
      </c>
      <c r="M9015" t="s">
        <v>612</v>
      </c>
      <c r="N9015" t="s">
        <v>599</v>
      </c>
      <c r="O9015" s="37" t="str">
        <f t="shared" si="703"/>
        <v>Digital Payment</v>
      </c>
      <c r="P9015">
        <v>96</v>
      </c>
      <c r="Q9015" s="37" t="str">
        <f>IF(P9015&gt;500,"High","low")</f>
        <v>low</v>
      </c>
      <c r="R9015" s="37" t="str">
        <f t="shared" si="704"/>
        <v>AVERAGE</v>
      </c>
      <c r="S9015" t="s">
        <v>609</v>
      </c>
    </row>
    <row r="9016" spans="1:19" x14ac:dyDescent="0.2">
      <c r="A9016" t="s">
        <v>9627</v>
      </c>
      <c r="B9016" t="s">
        <v>75</v>
      </c>
      <c r="C9016" t="s">
        <v>614</v>
      </c>
      <c r="D9016">
        <v>4302.04</v>
      </c>
      <c r="E9016" s="37" t="str">
        <f t="shared" si="700"/>
        <v xml:space="preserve"> </v>
      </c>
      <c r="F9016">
        <v>0.15</v>
      </c>
      <c r="G9016" s="37" t="str">
        <f t="shared" si="701"/>
        <v>Normal Discount</v>
      </c>
      <c r="H9016" s="37" t="str">
        <f t="shared" si="702"/>
        <v>Low</v>
      </c>
      <c r="I9016">
        <v>3</v>
      </c>
      <c r="J9016" t="str" cm="1">
        <f t="array" ref="J9016">_xlfn.IFS(I9016&lt;=3,"small",I9016&lt;=6,"Medium",I9016&lt;=9,"Large")</f>
        <v>small</v>
      </c>
      <c r="K9016" s="36">
        <v>45566</v>
      </c>
      <c r="L9016" s="36">
        <v>45573</v>
      </c>
      <c r="M9016" t="s">
        <v>612</v>
      </c>
      <c r="N9016" t="s">
        <v>604</v>
      </c>
      <c r="O9016" s="37" t="str">
        <f t="shared" si="703"/>
        <v>Digital Payment</v>
      </c>
      <c r="P9016">
        <v>409.05</v>
      </c>
      <c r="Q9016" s="37" t="str">
        <f>IF(P9016&gt;500,"High","low")</f>
        <v>low</v>
      </c>
      <c r="R9016" s="37" t="str">
        <f t="shared" si="704"/>
        <v>AVERAGE</v>
      </c>
      <c r="S9016" t="s">
        <v>600</v>
      </c>
    </row>
    <row r="9017" spans="1:19" x14ac:dyDescent="0.2">
      <c r="A9017" t="s">
        <v>9628</v>
      </c>
      <c r="B9017" t="s">
        <v>90</v>
      </c>
      <c r="C9017" t="s">
        <v>617</v>
      </c>
      <c r="D9017">
        <v>4054.72</v>
      </c>
      <c r="E9017" s="37" t="str">
        <f t="shared" si="700"/>
        <v xml:space="preserve"> </v>
      </c>
      <c r="F9017">
        <v>0.42</v>
      </c>
      <c r="G9017" s="37" t="str">
        <f t="shared" si="701"/>
        <v>Heavy Discount</v>
      </c>
      <c r="H9017" s="37" t="str">
        <f t="shared" si="702"/>
        <v>High</v>
      </c>
      <c r="I9017">
        <v>8</v>
      </c>
      <c r="J9017" t="str" cm="1">
        <f t="array" ref="J9017">_xlfn.IFS(I9017&lt;=3,"small",I9017&lt;=6,"Medium",I9017&lt;=9,"Large")</f>
        <v>Large</v>
      </c>
      <c r="K9017" s="36">
        <v>45204</v>
      </c>
      <c r="L9017" s="36">
        <v>45209</v>
      </c>
      <c r="M9017" t="s">
        <v>603</v>
      </c>
      <c r="N9017" t="s">
        <v>604</v>
      </c>
      <c r="O9017" s="37" t="str">
        <f t="shared" si="703"/>
        <v>Digital Payment</v>
      </c>
      <c r="P9017">
        <v>562.72</v>
      </c>
      <c r="Q9017" s="37" t="str">
        <f>IF(P9017&gt;500,"High","low")</f>
        <v>High</v>
      </c>
      <c r="R9017" s="37" t="str">
        <f t="shared" si="704"/>
        <v>Good</v>
      </c>
      <c r="S9017" t="s">
        <v>620</v>
      </c>
    </row>
    <row r="9018" spans="1:19" x14ac:dyDescent="0.2">
      <c r="A9018" t="s">
        <v>9629</v>
      </c>
      <c r="B9018" t="s">
        <v>83</v>
      </c>
      <c r="C9018" t="s">
        <v>602</v>
      </c>
      <c r="D9018">
        <v>258.05</v>
      </c>
      <c r="E9018" s="37" t="str">
        <f t="shared" si="700"/>
        <v xml:space="preserve"> </v>
      </c>
      <c r="F9018">
        <v>0.45</v>
      </c>
      <c r="G9018" s="37" t="str">
        <f t="shared" si="701"/>
        <v>Heavy Discount</v>
      </c>
      <c r="H9018" s="37" t="str">
        <f t="shared" si="702"/>
        <v>High</v>
      </c>
      <c r="I9018">
        <v>6</v>
      </c>
      <c r="J9018" t="str" cm="1">
        <f t="array" ref="J9018">_xlfn.IFS(I9018&lt;=3,"small",I9018&lt;=6,"Medium",I9018&lt;=9,"Large")</f>
        <v>Medium</v>
      </c>
      <c r="K9018" s="36">
        <v>44936</v>
      </c>
      <c r="L9018" s="36">
        <v>44941</v>
      </c>
      <c r="M9018" t="s">
        <v>612</v>
      </c>
      <c r="N9018" t="s">
        <v>599</v>
      </c>
      <c r="O9018" s="37" t="str">
        <f t="shared" si="703"/>
        <v>Digital Payment</v>
      </c>
      <c r="P9018">
        <v>45.21</v>
      </c>
      <c r="Q9018" s="37" t="str">
        <f>IF(P9018&gt;500,"High","low")</f>
        <v>low</v>
      </c>
      <c r="R9018" s="37" t="str">
        <f t="shared" si="704"/>
        <v>AVERAGE</v>
      </c>
      <c r="S9018" t="s">
        <v>615</v>
      </c>
    </row>
    <row r="9019" spans="1:19" x14ac:dyDescent="0.2">
      <c r="A9019" t="s">
        <v>9630</v>
      </c>
      <c r="B9019" t="s">
        <v>83</v>
      </c>
      <c r="C9019" t="s">
        <v>607</v>
      </c>
      <c r="D9019">
        <v>339.14</v>
      </c>
      <c r="E9019" s="37" t="str">
        <f t="shared" si="700"/>
        <v xml:space="preserve"> </v>
      </c>
      <c r="F9019">
        <v>0.49</v>
      </c>
      <c r="G9019" s="37" t="str">
        <f t="shared" si="701"/>
        <v>Heavy Discount</v>
      </c>
      <c r="H9019" s="37" t="str">
        <f t="shared" si="702"/>
        <v>High</v>
      </c>
      <c r="I9019">
        <v>1</v>
      </c>
      <c r="J9019" t="str" cm="1">
        <f t="array" ref="J9019">_xlfn.IFS(I9019&lt;=3,"small",I9019&lt;=6,"Medium",I9019&lt;=9,"Large")</f>
        <v>small</v>
      </c>
      <c r="K9019" s="36">
        <v>45272</v>
      </c>
      <c r="L9019" s="36">
        <v>45273</v>
      </c>
      <c r="M9019" t="s">
        <v>598</v>
      </c>
      <c r="N9019" t="s">
        <v>604</v>
      </c>
      <c r="O9019" s="37" t="str">
        <f t="shared" si="703"/>
        <v>Digital Payment</v>
      </c>
      <c r="P9019">
        <v>66.22</v>
      </c>
      <c r="Q9019" s="37" t="str">
        <f>IF(P9019&gt;500,"High","low")</f>
        <v>low</v>
      </c>
      <c r="R9019" s="37" t="str">
        <f t="shared" si="704"/>
        <v>AVERAGE</v>
      </c>
      <c r="S9019" t="s">
        <v>600</v>
      </c>
    </row>
    <row r="9020" spans="1:19" x14ac:dyDescent="0.2">
      <c r="A9020" t="s">
        <v>9631</v>
      </c>
      <c r="B9020" t="s">
        <v>67</v>
      </c>
      <c r="C9020" t="s">
        <v>602</v>
      </c>
      <c r="D9020">
        <v>3792.71</v>
      </c>
      <c r="E9020" s="37" t="str">
        <f t="shared" si="700"/>
        <v xml:space="preserve"> </v>
      </c>
      <c r="F9020">
        <v>0.49</v>
      </c>
      <c r="G9020" s="37" t="str">
        <f t="shared" si="701"/>
        <v>Heavy Discount</v>
      </c>
      <c r="H9020" s="37" t="str">
        <f t="shared" si="702"/>
        <v>High</v>
      </c>
      <c r="I9020">
        <v>6</v>
      </c>
      <c r="J9020" t="str" cm="1">
        <f t="array" ref="J9020">_xlfn.IFS(I9020&lt;=3,"small",I9020&lt;=6,"Medium",I9020&lt;=9,"Large")</f>
        <v>Medium</v>
      </c>
      <c r="K9020" s="36">
        <v>45324</v>
      </c>
      <c r="L9020" s="36">
        <v>45331</v>
      </c>
      <c r="M9020" t="s">
        <v>598</v>
      </c>
      <c r="N9020" t="s">
        <v>604</v>
      </c>
      <c r="O9020" s="37" t="str">
        <f t="shared" si="703"/>
        <v>Digital Payment</v>
      </c>
      <c r="P9020">
        <v>564.58000000000004</v>
      </c>
      <c r="Q9020" s="37" t="str">
        <f>IF(P9020&gt;500,"High","low")</f>
        <v>High</v>
      </c>
      <c r="R9020" s="37" t="str">
        <f t="shared" si="704"/>
        <v>Good</v>
      </c>
      <c r="S9020" t="s">
        <v>609</v>
      </c>
    </row>
    <row r="9021" spans="1:19" x14ac:dyDescent="0.2">
      <c r="A9021" t="s">
        <v>9632</v>
      </c>
      <c r="B9021" t="s">
        <v>90</v>
      </c>
      <c r="C9021" t="s">
        <v>602</v>
      </c>
      <c r="D9021">
        <v>1910.77</v>
      </c>
      <c r="E9021" s="37" t="str">
        <f t="shared" si="700"/>
        <v xml:space="preserve"> </v>
      </c>
      <c r="F9021">
        <v>0.49</v>
      </c>
      <c r="G9021" s="37" t="str">
        <f t="shared" si="701"/>
        <v>Heavy Discount</v>
      </c>
      <c r="H9021" s="37" t="str">
        <f t="shared" si="702"/>
        <v>High</v>
      </c>
      <c r="I9021">
        <v>8</v>
      </c>
      <c r="J9021" t="str" cm="1">
        <f t="array" ref="J9021">_xlfn.IFS(I9021&lt;=3,"small",I9021&lt;=6,"Medium",I9021&lt;=9,"Large")</f>
        <v>Large</v>
      </c>
      <c r="K9021" s="36">
        <v>45143</v>
      </c>
      <c r="L9021" s="36">
        <v>45147</v>
      </c>
      <c r="M9021" t="s">
        <v>603</v>
      </c>
      <c r="N9021" t="s">
        <v>599</v>
      </c>
      <c r="O9021" s="37" t="str">
        <f t="shared" si="703"/>
        <v>Digital Payment</v>
      </c>
      <c r="P9021">
        <v>436.06</v>
      </c>
      <c r="Q9021" s="37" t="str">
        <f>IF(P9021&gt;500,"High","low")</f>
        <v>low</v>
      </c>
      <c r="R9021" s="37" t="str">
        <f t="shared" si="704"/>
        <v>AVERAGE</v>
      </c>
      <c r="S9021" t="s">
        <v>615</v>
      </c>
    </row>
    <row r="9022" spans="1:19" x14ac:dyDescent="0.2">
      <c r="A9022" t="s">
        <v>9633</v>
      </c>
      <c r="B9022" t="s">
        <v>90</v>
      </c>
      <c r="C9022" t="s">
        <v>617</v>
      </c>
      <c r="D9022">
        <v>2917.63</v>
      </c>
      <c r="E9022" s="37" t="str">
        <f t="shared" si="700"/>
        <v xml:space="preserve"> </v>
      </c>
      <c r="F9022">
        <v>0.36</v>
      </c>
      <c r="G9022" s="37" t="str">
        <f t="shared" si="701"/>
        <v>Heavy Discount</v>
      </c>
      <c r="H9022" s="37" t="str">
        <f t="shared" si="702"/>
        <v>Medium</v>
      </c>
      <c r="I9022">
        <v>3</v>
      </c>
      <c r="J9022" t="str" cm="1">
        <f t="array" ref="J9022">_xlfn.IFS(I9022&lt;=3,"small",I9022&lt;=6,"Medium",I9022&lt;=9,"Large")</f>
        <v>small</v>
      </c>
      <c r="K9022" s="36">
        <v>45421</v>
      </c>
      <c r="L9022" s="36">
        <v>45426</v>
      </c>
      <c r="M9022" t="s">
        <v>603</v>
      </c>
      <c r="N9022" t="s">
        <v>608</v>
      </c>
      <c r="O9022" s="37" t="str">
        <f t="shared" si="703"/>
        <v>Cash Payment</v>
      </c>
      <c r="P9022">
        <v>476.9</v>
      </c>
      <c r="Q9022" s="37" t="str">
        <f>IF(P9022&gt;500,"High","low")</f>
        <v>low</v>
      </c>
      <c r="R9022" s="37" t="str">
        <f t="shared" si="704"/>
        <v>AVERAGE</v>
      </c>
      <c r="S9022" t="s">
        <v>615</v>
      </c>
    </row>
    <row r="9023" spans="1:19" x14ac:dyDescent="0.2">
      <c r="A9023" t="s">
        <v>9634</v>
      </c>
      <c r="B9023" t="s">
        <v>75</v>
      </c>
      <c r="C9023" t="s">
        <v>607</v>
      </c>
      <c r="D9023">
        <v>1424.61</v>
      </c>
      <c r="E9023" s="37" t="str">
        <f t="shared" si="700"/>
        <v xml:space="preserve"> </v>
      </c>
      <c r="F9023">
        <v>0.28000000000000003</v>
      </c>
      <c r="G9023" s="37" t="str">
        <f t="shared" si="701"/>
        <v>Normal Discount</v>
      </c>
      <c r="H9023" s="37" t="str">
        <f t="shared" si="702"/>
        <v>Medium</v>
      </c>
      <c r="I9023">
        <v>7</v>
      </c>
      <c r="J9023" t="str" cm="1">
        <f t="array" ref="J9023">_xlfn.IFS(I9023&lt;=3,"small",I9023&lt;=6,"Medium",I9023&lt;=9,"Large")</f>
        <v>Large</v>
      </c>
      <c r="K9023" s="36">
        <v>45577</v>
      </c>
      <c r="L9023" s="36">
        <v>45578</v>
      </c>
      <c r="M9023" t="s">
        <v>612</v>
      </c>
      <c r="N9023" t="s">
        <v>608</v>
      </c>
      <c r="O9023" s="37" t="str">
        <f t="shared" si="703"/>
        <v>Cash Payment</v>
      </c>
      <c r="P9023">
        <v>189.45</v>
      </c>
      <c r="Q9023" s="37" t="str">
        <f>IF(P9023&gt;500,"High","low")</f>
        <v>low</v>
      </c>
      <c r="R9023" s="37" t="str">
        <f t="shared" si="704"/>
        <v>AVERAGE</v>
      </c>
      <c r="S9023" t="s">
        <v>600</v>
      </c>
    </row>
    <row r="9024" spans="1:19" x14ac:dyDescent="0.2">
      <c r="A9024" t="s">
        <v>9635</v>
      </c>
      <c r="B9024" t="s">
        <v>90</v>
      </c>
      <c r="C9024" t="s">
        <v>617</v>
      </c>
      <c r="D9024">
        <v>947.55</v>
      </c>
      <c r="E9024" s="37" t="str">
        <f t="shared" si="700"/>
        <v xml:space="preserve"> </v>
      </c>
      <c r="F9024">
        <v>0.09</v>
      </c>
      <c r="G9024" s="37" t="str">
        <f t="shared" si="701"/>
        <v>Normal Discount</v>
      </c>
      <c r="H9024" s="37" t="str">
        <f t="shared" si="702"/>
        <v>Low</v>
      </c>
      <c r="I9024">
        <v>6</v>
      </c>
      <c r="J9024" t="str" cm="1">
        <f t="array" ref="J9024">_xlfn.IFS(I9024&lt;=3,"small",I9024&lt;=6,"Medium",I9024&lt;=9,"Large")</f>
        <v>Medium</v>
      </c>
      <c r="K9024" s="36">
        <v>45329</v>
      </c>
      <c r="L9024" s="36">
        <v>45330</v>
      </c>
      <c r="M9024" t="s">
        <v>598</v>
      </c>
      <c r="N9024" t="s">
        <v>599</v>
      </c>
      <c r="O9024" s="37" t="str">
        <f t="shared" si="703"/>
        <v>Digital Payment</v>
      </c>
      <c r="P9024">
        <v>147.96</v>
      </c>
      <c r="Q9024" s="37" t="str">
        <f>IF(P9024&gt;500,"High","low")</f>
        <v>low</v>
      </c>
      <c r="R9024" s="37" t="str">
        <f t="shared" si="704"/>
        <v>AVERAGE</v>
      </c>
      <c r="S9024" t="s">
        <v>620</v>
      </c>
    </row>
    <row r="9025" spans="1:19" x14ac:dyDescent="0.2">
      <c r="A9025" t="s">
        <v>9636</v>
      </c>
      <c r="B9025" t="s">
        <v>75</v>
      </c>
      <c r="C9025" t="s">
        <v>617</v>
      </c>
      <c r="D9025">
        <v>1550.78</v>
      </c>
      <c r="E9025" s="37" t="str">
        <f t="shared" si="700"/>
        <v xml:space="preserve"> </v>
      </c>
      <c r="F9025">
        <v>0.38</v>
      </c>
      <c r="G9025" s="37" t="str">
        <f t="shared" si="701"/>
        <v>Heavy Discount</v>
      </c>
      <c r="H9025" s="37" t="str">
        <f t="shared" si="702"/>
        <v>Medium</v>
      </c>
      <c r="I9025">
        <v>1</v>
      </c>
      <c r="J9025" t="str" cm="1">
        <f t="array" ref="J9025">_xlfn.IFS(I9025&lt;=3,"small",I9025&lt;=6,"Medium",I9025&lt;=9,"Large")</f>
        <v>small</v>
      </c>
      <c r="K9025" s="36">
        <v>45161</v>
      </c>
      <c r="L9025" s="36">
        <v>45162</v>
      </c>
      <c r="M9025" t="s">
        <v>598</v>
      </c>
      <c r="N9025" t="s">
        <v>599</v>
      </c>
      <c r="O9025" s="37" t="str">
        <f t="shared" si="703"/>
        <v>Digital Payment</v>
      </c>
      <c r="P9025">
        <v>143.19999999999999</v>
      </c>
      <c r="Q9025" s="37" t="str">
        <f>IF(P9025&gt;500,"High","low")</f>
        <v>low</v>
      </c>
      <c r="R9025" s="37" t="str">
        <f t="shared" si="704"/>
        <v>AVERAGE</v>
      </c>
      <c r="S9025" t="s">
        <v>615</v>
      </c>
    </row>
    <row r="9026" spans="1:19" x14ac:dyDescent="0.2">
      <c r="A9026" t="s">
        <v>9637</v>
      </c>
      <c r="B9026" t="s">
        <v>67</v>
      </c>
      <c r="C9026" t="s">
        <v>614</v>
      </c>
      <c r="D9026">
        <v>1308.9000000000001</v>
      </c>
      <c r="E9026" s="37" t="str">
        <f t="shared" si="700"/>
        <v xml:space="preserve"> </v>
      </c>
      <c r="F9026">
        <v>0.37</v>
      </c>
      <c r="G9026" s="37" t="str">
        <f t="shared" si="701"/>
        <v>Heavy Discount</v>
      </c>
      <c r="H9026" s="37" t="str">
        <f t="shared" si="702"/>
        <v>Medium</v>
      </c>
      <c r="I9026">
        <v>2</v>
      </c>
      <c r="J9026" t="str" cm="1">
        <f t="array" ref="J9026">_xlfn.IFS(I9026&lt;=3,"small",I9026&lt;=6,"Medium",I9026&lt;=9,"Large")</f>
        <v>small</v>
      </c>
      <c r="K9026" s="36">
        <v>45233</v>
      </c>
      <c r="L9026" s="36">
        <v>45235</v>
      </c>
      <c r="M9026" t="s">
        <v>598</v>
      </c>
      <c r="N9026" t="s">
        <v>608</v>
      </c>
      <c r="O9026" s="37" t="str">
        <f t="shared" si="703"/>
        <v>Cash Payment</v>
      </c>
      <c r="P9026">
        <v>112.74</v>
      </c>
      <c r="Q9026" s="37" t="str">
        <f>IF(P9026&gt;500,"High","low")</f>
        <v>low</v>
      </c>
      <c r="R9026" s="37" t="str">
        <f t="shared" si="704"/>
        <v>AVERAGE</v>
      </c>
      <c r="S9026" t="s">
        <v>615</v>
      </c>
    </row>
    <row r="9027" spans="1:19" x14ac:dyDescent="0.2">
      <c r="A9027" t="s">
        <v>9638</v>
      </c>
      <c r="B9027" t="s">
        <v>90</v>
      </c>
      <c r="C9027" t="s">
        <v>617</v>
      </c>
      <c r="D9027">
        <v>2296.71</v>
      </c>
      <c r="E9027" s="37" t="str">
        <f t="shared" ref="E9027:E9090" si="705">IF(AND(D9027&gt;4000,P9027&gt;800),"Excellent Order"," ")</f>
        <v xml:space="preserve"> </v>
      </c>
      <c r="F9027">
        <v>0.42</v>
      </c>
      <c r="G9027" s="37" t="str">
        <f t="shared" ref="G9027:G9090" si="706">IF(F9027&gt;30%,"Heavy Discount","Normal Discount")</f>
        <v>Heavy Discount</v>
      </c>
      <c r="H9027" s="37" t="str">
        <f t="shared" ref="H9027:H9090" si="707">IF(F9027&gt;0.4,"High",IF(F9027&gt;=0.2,"Medium","Low"))</f>
        <v>High</v>
      </c>
      <c r="I9027">
        <v>5</v>
      </c>
      <c r="J9027" t="str" cm="1">
        <f t="array" ref="J9027">_xlfn.IFS(I9027&lt;=3,"small",I9027&lt;=6,"Medium",I9027&lt;=9,"Large")</f>
        <v>Medium</v>
      </c>
      <c r="K9027" s="36">
        <v>44954</v>
      </c>
      <c r="L9027" s="36">
        <v>44961</v>
      </c>
      <c r="M9027" t="s">
        <v>612</v>
      </c>
      <c r="N9027" t="s">
        <v>599</v>
      </c>
      <c r="O9027" s="37" t="str">
        <f t="shared" ref="O9027:O9090" si="708">IF(OR(N9027="Card",N9027="UPI"),"Digital Payment","Cash Payment")</f>
        <v>Digital Payment</v>
      </c>
      <c r="P9027">
        <v>472.44</v>
      </c>
      <c r="Q9027" s="37" t="str">
        <f>IF(P9027&gt;500,"High","low")</f>
        <v>low</v>
      </c>
      <c r="R9027" s="37" t="str">
        <f t="shared" ref="R9027:R9090" si="709">IF(P9027&gt;1000,"Excellent",IF(P9027&gt;=500,"Good","AVERAGE"))</f>
        <v>AVERAGE</v>
      </c>
      <c r="S9027" t="s">
        <v>628</v>
      </c>
    </row>
    <row r="9028" spans="1:19" x14ac:dyDescent="0.2">
      <c r="A9028" t="s">
        <v>9639</v>
      </c>
      <c r="B9028" t="s">
        <v>83</v>
      </c>
      <c r="C9028" t="s">
        <v>597</v>
      </c>
      <c r="D9028">
        <v>3758.71</v>
      </c>
      <c r="E9028" s="37" t="str">
        <f t="shared" si="705"/>
        <v xml:space="preserve"> </v>
      </c>
      <c r="F9028">
        <v>0.23</v>
      </c>
      <c r="G9028" s="37" t="str">
        <f t="shared" si="706"/>
        <v>Normal Discount</v>
      </c>
      <c r="H9028" s="37" t="str">
        <f t="shared" si="707"/>
        <v>Medium</v>
      </c>
      <c r="I9028">
        <v>7</v>
      </c>
      <c r="J9028" t="str" cm="1">
        <f t="array" ref="J9028">_xlfn.IFS(I9028&lt;=3,"small",I9028&lt;=6,"Medium",I9028&lt;=9,"Large")</f>
        <v>Large</v>
      </c>
      <c r="K9028" s="36">
        <v>45209</v>
      </c>
      <c r="L9028" s="36">
        <v>45210</v>
      </c>
      <c r="M9028" t="s">
        <v>612</v>
      </c>
      <c r="N9028" t="s">
        <v>604</v>
      </c>
      <c r="O9028" s="37" t="str">
        <f t="shared" si="708"/>
        <v>Digital Payment</v>
      </c>
      <c r="P9028">
        <v>573.67999999999995</v>
      </c>
      <c r="Q9028" s="37" t="str">
        <f>IF(P9028&gt;500,"High","low")</f>
        <v>High</v>
      </c>
      <c r="R9028" s="37" t="str">
        <f t="shared" si="709"/>
        <v>Good</v>
      </c>
      <c r="S9028" t="s">
        <v>609</v>
      </c>
    </row>
    <row r="9029" spans="1:19" x14ac:dyDescent="0.2">
      <c r="A9029" t="s">
        <v>9640</v>
      </c>
      <c r="B9029" t="s">
        <v>67</v>
      </c>
      <c r="C9029" t="s">
        <v>607</v>
      </c>
      <c r="D9029">
        <v>2815.23</v>
      </c>
      <c r="E9029" s="37" t="str">
        <f t="shared" si="705"/>
        <v xml:space="preserve"> </v>
      </c>
      <c r="F9029">
        <v>0.45</v>
      </c>
      <c r="G9029" s="37" t="str">
        <f t="shared" si="706"/>
        <v>Heavy Discount</v>
      </c>
      <c r="H9029" s="37" t="str">
        <f t="shared" si="707"/>
        <v>High</v>
      </c>
      <c r="I9029">
        <v>4</v>
      </c>
      <c r="J9029" t="str" cm="1">
        <f t="array" ref="J9029">_xlfn.IFS(I9029&lt;=3,"small",I9029&lt;=6,"Medium",I9029&lt;=9,"Large")</f>
        <v>Medium</v>
      </c>
      <c r="K9029" s="36">
        <v>45434</v>
      </c>
      <c r="L9029" s="36">
        <v>45435</v>
      </c>
      <c r="M9029" t="s">
        <v>598</v>
      </c>
      <c r="N9029" t="s">
        <v>604</v>
      </c>
      <c r="O9029" s="37" t="str">
        <f t="shared" si="708"/>
        <v>Digital Payment</v>
      </c>
      <c r="P9029">
        <v>803.58</v>
      </c>
      <c r="Q9029" s="37" t="str">
        <f>IF(P9029&gt;500,"High","low")</f>
        <v>High</v>
      </c>
      <c r="R9029" s="37" t="str">
        <f t="shared" si="709"/>
        <v>Good</v>
      </c>
      <c r="S9029" t="s">
        <v>600</v>
      </c>
    </row>
    <row r="9030" spans="1:19" x14ac:dyDescent="0.2">
      <c r="A9030" t="s">
        <v>9641</v>
      </c>
      <c r="B9030" t="s">
        <v>75</v>
      </c>
      <c r="C9030" t="s">
        <v>614</v>
      </c>
      <c r="D9030">
        <v>3084.97</v>
      </c>
      <c r="E9030" s="37" t="str">
        <f t="shared" si="705"/>
        <v xml:space="preserve"> </v>
      </c>
      <c r="F9030">
        <v>0.36</v>
      </c>
      <c r="G9030" s="37" t="str">
        <f t="shared" si="706"/>
        <v>Heavy Discount</v>
      </c>
      <c r="H9030" s="37" t="str">
        <f t="shared" si="707"/>
        <v>Medium</v>
      </c>
      <c r="I9030">
        <v>6</v>
      </c>
      <c r="J9030" t="str" cm="1">
        <f t="array" ref="J9030">_xlfn.IFS(I9030&lt;=3,"small",I9030&lt;=6,"Medium",I9030&lt;=9,"Large")</f>
        <v>Medium</v>
      </c>
      <c r="K9030" s="36">
        <v>45076</v>
      </c>
      <c r="L9030" s="36">
        <v>45083</v>
      </c>
      <c r="M9030" t="s">
        <v>603</v>
      </c>
      <c r="N9030" t="s">
        <v>604</v>
      </c>
      <c r="O9030" s="37" t="str">
        <f t="shared" si="708"/>
        <v>Digital Payment</v>
      </c>
      <c r="P9030">
        <v>415.94</v>
      </c>
      <c r="Q9030" s="37" t="str">
        <f>IF(P9030&gt;500,"High","low")</f>
        <v>low</v>
      </c>
      <c r="R9030" s="37" t="str">
        <f t="shared" si="709"/>
        <v>AVERAGE</v>
      </c>
      <c r="S9030" t="s">
        <v>620</v>
      </c>
    </row>
    <row r="9031" spans="1:19" x14ac:dyDescent="0.2">
      <c r="A9031" t="s">
        <v>9642</v>
      </c>
      <c r="B9031" t="s">
        <v>67</v>
      </c>
      <c r="C9031" t="s">
        <v>607</v>
      </c>
      <c r="D9031">
        <v>2403.39</v>
      </c>
      <c r="E9031" s="37" t="str">
        <f t="shared" si="705"/>
        <v xml:space="preserve"> </v>
      </c>
      <c r="F9031">
        <v>0.09</v>
      </c>
      <c r="G9031" s="37" t="str">
        <f t="shared" si="706"/>
        <v>Normal Discount</v>
      </c>
      <c r="H9031" s="37" t="str">
        <f t="shared" si="707"/>
        <v>Low</v>
      </c>
      <c r="I9031">
        <v>2</v>
      </c>
      <c r="J9031" t="str" cm="1">
        <f t="array" ref="J9031">_xlfn.IFS(I9031&lt;=3,"small",I9031&lt;=6,"Medium",I9031&lt;=9,"Large")</f>
        <v>small</v>
      </c>
      <c r="K9031" s="36">
        <v>45079</v>
      </c>
      <c r="L9031" s="36">
        <v>45084</v>
      </c>
      <c r="M9031" t="s">
        <v>612</v>
      </c>
      <c r="N9031" t="s">
        <v>599</v>
      </c>
      <c r="O9031" s="37" t="str">
        <f t="shared" si="708"/>
        <v>Digital Payment</v>
      </c>
      <c r="P9031">
        <v>506.3</v>
      </c>
      <c r="Q9031" s="37" t="str">
        <f>IF(P9031&gt;500,"High","low")</f>
        <v>High</v>
      </c>
      <c r="R9031" s="37" t="str">
        <f t="shared" si="709"/>
        <v>Good</v>
      </c>
      <c r="S9031" t="s">
        <v>600</v>
      </c>
    </row>
    <row r="9032" spans="1:19" x14ac:dyDescent="0.2">
      <c r="A9032" t="s">
        <v>9643</v>
      </c>
      <c r="B9032" t="s">
        <v>75</v>
      </c>
      <c r="C9032" t="s">
        <v>614</v>
      </c>
      <c r="D9032">
        <v>1691.19</v>
      </c>
      <c r="E9032" s="37" t="str">
        <f t="shared" si="705"/>
        <v xml:space="preserve"> </v>
      </c>
      <c r="F9032">
        <v>0.1</v>
      </c>
      <c r="G9032" s="37" t="str">
        <f t="shared" si="706"/>
        <v>Normal Discount</v>
      </c>
      <c r="H9032" s="37" t="str">
        <f t="shared" si="707"/>
        <v>Low</v>
      </c>
      <c r="I9032">
        <v>5</v>
      </c>
      <c r="J9032" t="str" cm="1">
        <f t="array" ref="J9032">_xlfn.IFS(I9032&lt;=3,"small",I9032&lt;=6,"Medium",I9032&lt;=9,"Large")</f>
        <v>Medium</v>
      </c>
      <c r="K9032" s="36">
        <v>45374</v>
      </c>
      <c r="L9032" s="36">
        <v>45375</v>
      </c>
      <c r="M9032" t="s">
        <v>603</v>
      </c>
      <c r="N9032" t="s">
        <v>608</v>
      </c>
      <c r="O9032" s="37" t="str">
        <f t="shared" si="708"/>
        <v>Cash Payment</v>
      </c>
      <c r="P9032">
        <v>380.57</v>
      </c>
      <c r="Q9032" s="37" t="str">
        <f>IF(P9032&gt;500,"High","low")</f>
        <v>low</v>
      </c>
      <c r="R9032" s="37" t="str">
        <f t="shared" si="709"/>
        <v>AVERAGE</v>
      </c>
      <c r="S9032" t="s">
        <v>628</v>
      </c>
    </row>
    <row r="9033" spans="1:19" x14ac:dyDescent="0.2">
      <c r="A9033" t="s">
        <v>9644</v>
      </c>
      <c r="B9033" t="s">
        <v>67</v>
      </c>
      <c r="C9033" t="s">
        <v>597</v>
      </c>
      <c r="D9033">
        <v>803.19</v>
      </c>
      <c r="E9033" s="37" t="str">
        <f t="shared" si="705"/>
        <v xml:space="preserve"> </v>
      </c>
      <c r="F9033">
        <v>0.41</v>
      </c>
      <c r="G9033" s="37" t="str">
        <f t="shared" si="706"/>
        <v>Heavy Discount</v>
      </c>
      <c r="H9033" s="37" t="str">
        <f t="shared" si="707"/>
        <v>High</v>
      </c>
      <c r="I9033">
        <v>3</v>
      </c>
      <c r="J9033" t="str" cm="1">
        <f t="array" ref="J9033">_xlfn.IFS(I9033&lt;=3,"small",I9033&lt;=6,"Medium",I9033&lt;=9,"Large")</f>
        <v>small</v>
      </c>
      <c r="K9033" s="36">
        <v>45189</v>
      </c>
      <c r="L9033" s="36">
        <v>45190</v>
      </c>
      <c r="M9033" t="s">
        <v>612</v>
      </c>
      <c r="N9033" t="s">
        <v>608</v>
      </c>
      <c r="O9033" s="37" t="str">
        <f t="shared" si="708"/>
        <v>Cash Payment</v>
      </c>
      <c r="P9033">
        <v>198.47</v>
      </c>
      <c r="Q9033" s="37" t="str">
        <f>IF(P9033&gt;500,"High","low")</f>
        <v>low</v>
      </c>
      <c r="R9033" s="37" t="str">
        <f t="shared" si="709"/>
        <v>AVERAGE</v>
      </c>
      <c r="S9033" t="s">
        <v>615</v>
      </c>
    </row>
    <row r="9034" spans="1:19" x14ac:dyDescent="0.2">
      <c r="A9034" t="s">
        <v>9645</v>
      </c>
      <c r="B9034" t="s">
        <v>75</v>
      </c>
      <c r="C9034" t="s">
        <v>617</v>
      </c>
      <c r="D9034">
        <v>1837.37</v>
      </c>
      <c r="E9034" s="37" t="str">
        <f t="shared" si="705"/>
        <v xml:space="preserve"> </v>
      </c>
      <c r="F9034">
        <v>0.21</v>
      </c>
      <c r="G9034" s="37" t="str">
        <f t="shared" si="706"/>
        <v>Normal Discount</v>
      </c>
      <c r="H9034" s="37" t="str">
        <f t="shared" si="707"/>
        <v>Medium</v>
      </c>
      <c r="I9034">
        <v>1</v>
      </c>
      <c r="J9034" t="str" cm="1">
        <f t="array" ref="J9034">_xlfn.IFS(I9034&lt;=3,"small",I9034&lt;=6,"Medium",I9034&lt;=9,"Large")</f>
        <v>small</v>
      </c>
      <c r="K9034" s="36">
        <v>45175</v>
      </c>
      <c r="L9034" s="36">
        <v>45177</v>
      </c>
      <c r="M9034" t="s">
        <v>612</v>
      </c>
      <c r="N9034" t="s">
        <v>608</v>
      </c>
      <c r="O9034" s="37" t="str">
        <f t="shared" si="708"/>
        <v>Cash Payment</v>
      </c>
      <c r="P9034">
        <v>259.89</v>
      </c>
      <c r="Q9034" s="37" t="str">
        <f>IF(P9034&gt;500,"High","low")</f>
        <v>low</v>
      </c>
      <c r="R9034" s="37" t="str">
        <f t="shared" si="709"/>
        <v>AVERAGE</v>
      </c>
      <c r="S9034" t="s">
        <v>615</v>
      </c>
    </row>
    <row r="9035" spans="1:19" x14ac:dyDescent="0.2">
      <c r="A9035" t="s">
        <v>9646</v>
      </c>
      <c r="B9035" t="s">
        <v>90</v>
      </c>
      <c r="C9035" t="s">
        <v>614</v>
      </c>
      <c r="D9035">
        <v>3359.47</v>
      </c>
      <c r="E9035" s="37" t="str">
        <f t="shared" si="705"/>
        <v xml:space="preserve"> </v>
      </c>
      <c r="F9035">
        <v>0.12</v>
      </c>
      <c r="G9035" s="37" t="str">
        <f t="shared" si="706"/>
        <v>Normal Discount</v>
      </c>
      <c r="H9035" s="37" t="str">
        <f t="shared" si="707"/>
        <v>Low</v>
      </c>
      <c r="I9035">
        <v>6</v>
      </c>
      <c r="J9035" t="str" cm="1">
        <f t="array" ref="J9035">_xlfn.IFS(I9035&lt;=3,"small",I9035&lt;=6,"Medium",I9035&lt;=9,"Large")</f>
        <v>Medium</v>
      </c>
      <c r="K9035" s="36">
        <v>45575</v>
      </c>
      <c r="L9035" s="36">
        <v>45577</v>
      </c>
      <c r="M9035" t="s">
        <v>598</v>
      </c>
      <c r="N9035" t="s">
        <v>604</v>
      </c>
      <c r="O9035" s="37" t="str">
        <f t="shared" si="708"/>
        <v>Digital Payment</v>
      </c>
      <c r="P9035">
        <v>575.42999999999995</v>
      </c>
      <c r="Q9035" s="37" t="str">
        <f>IF(P9035&gt;500,"High","low")</f>
        <v>High</v>
      </c>
      <c r="R9035" s="37" t="str">
        <f t="shared" si="709"/>
        <v>Good</v>
      </c>
      <c r="S9035" t="s">
        <v>605</v>
      </c>
    </row>
    <row r="9036" spans="1:19" x14ac:dyDescent="0.2">
      <c r="A9036" t="s">
        <v>9647</v>
      </c>
      <c r="B9036" t="s">
        <v>83</v>
      </c>
      <c r="C9036" t="s">
        <v>614</v>
      </c>
      <c r="D9036">
        <v>3695.51</v>
      </c>
      <c r="E9036" s="37" t="str">
        <f t="shared" si="705"/>
        <v xml:space="preserve"> </v>
      </c>
      <c r="F9036">
        <v>0.21</v>
      </c>
      <c r="G9036" s="37" t="str">
        <f t="shared" si="706"/>
        <v>Normal Discount</v>
      </c>
      <c r="H9036" s="37" t="str">
        <f t="shared" si="707"/>
        <v>Medium</v>
      </c>
      <c r="I9036">
        <v>9</v>
      </c>
      <c r="J9036" t="str" cm="1">
        <f t="array" ref="J9036">_xlfn.IFS(I9036&lt;=3,"small",I9036&lt;=6,"Medium",I9036&lt;=9,"Large")</f>
        <v>Large</v>
      </c>
      <c r="K9036" s="36">
        <v>45556</v>
      </c>
      <c r="L9036" s="36">
        <v>45563</v>
      </c>
      <c r="M9036" t="s">
        <v>598</v>
      </c>
      <c r="N9036" t="s">
        <v>608</v>
      </c>
      <c r="O9036" s="37" t="str">
        <f t="shared" si="708"/>
        <v>Cash Payment</v>
      </c>
      <c r="P9036">
        <v>907.59</v>
      </c>
      <c r="Q9036" s="37" t="str">
        <f>IF(P9036&gt;500,"High","low")</f>
        <v>High</v>
      </c>
      <c r="R9036" s="37" t="str">
        <f t="shared" si="709"/>
        <v>Good</v>
      </c>
      <c r="S9036" t="s">
        <v>628</v>
      </c>
    </row>
    <row r="9037" spans="1:19" x14ac:dyDescent="0.2">
      <c r="A9037" t="s">
        <v>9648</v>
      </c>
      <c r="B9037" t="s">
        <v>75</v>
      </c>
      <c r="C9037" t="s">
        <v>614</v>
      </c>
      <c r="D9037">
        <v>2398.9899999999998</v>
      </c>
      <c r="E9037" s="37" t="str">
        <f t="shared" si="705"/>
        <v xml:space="preserve"> </v>
      </c>
      <c r="F9037">
        <v>0.08</v>
      </c>
      <c r="G9037" s="37" t="str">
        <f t="shared" si="706"/>
        <v>Normal Discount</v>
      </c>
      <c r="H9037" s="37" t="str">
        <f t="shared" si="707"/>
        <v>Low</v>
      </c>
      <c r="I9037">
        <v>8</v>
      </c>
      <c r="J9037" t="str" cm="1">
        <f t="array" ref="J9037">_xlfn.IFS(I9037&lt;=3,"small",I9037&lt;=6,"Medium",I9037&lt;=9,"Large")</f>
        <v>Large</v>
      </c>
      <c r="K9037" s="36">
        <v>45341</v>
      </c>
      <c r="L9037" s="36">
        <v>45348</v>
      </c>
      <c r="M9037" t="s">
        <v>612</v>
      </c>
      <c r="N9037" t="s">
        <v>608</v>
      </c>
      <c r="O9037" s="37" t="str">
        <f t="shared" si="708"/>
        <v>Cash Payment</v>
      </c>
      <c r="P9037">
        <v>641.03</v>
      </c>
      <c r="Q9037" s="37" t="str">
        <f>IF(P9037&gt;500,"High","low")</f>
        <v>High</v>
      </c>
      <c r="R9037" s="37" t="str">
        <f t="shared" si="709"/>
        <v>Good</v>
      </c>
      <c r="S9037" t="s">
        <v>600</v>
      </c>
    </row>
    <row r="9038" spans="1:19" x14ac:dyDescent="0.2">
      <c r="A9038" t="s">
        <v>9649</v>
      </c>
      <c r="B9038" t="s">
        <v>67</v>
      </c>
      <c r="C9038" t="s">
        <v>597</v>
      </c>
      <c r="D9038">
        <v>3260.49</v>
      </c>
      <c r="E9038" s="37" t="str">
        <f t="shared" si="705"/>
        <v xml:space="preserve"> </v>
      </c>
      <c r="F9038">
        <v>0.45</v>
      </c>
      <c r="G9038" s="37" t="str">
        <f t="shared" si="706"/>
        <v>Heavy Discount</v>
      </c>
      <c r="H9038" s="37" t="str">
        <f t="shared" si="707"/>
        <v>High</v>
      </c>
      <c r="I9038">
        <v>4</v>
      </c>
      <c r="J9038" t="str" cm="1">
        <f t="array" ref="J9038">_xlfn.IFS(I9038&lt;=3,"small",I9038&lt;=6,"Medium",I9038&lt;=9,"Large")</f>
        <v>Medium</v>
      </c>
      <c r="K9038" s="36">
        <v>45636</v>
      </c>
      <c r="L9038" s="36">
        <v>45637</v>
      </c>
      <c r="M9038" t="s">
        <v>612</v>
      </c>
      <c r="N9038" t="s">
        <v>599</v>
      </c>
      <c r="O9038" s="37" t="str">
        <f t="shared" si="708"/>
        <v>Digital Payment</v>
      </c>
      <c r="P9038">
        <v>395.2</v>
      </c>
      <c r="Q9038" s="37" t="str">
        <f>IF(P9038&gt;500,"High","low")</f>
        <v>low</v>
      </c>
      <c r="R9038" s="37" t="str">
        <f t="shared" si="709"/>
        <v>AVERAGE</v>
      </c>
      <c r="S9038" t="s">
        <v>605</v>
      </c>
    </row>
    <row r="9039" spans="1:19" x14ac:dyDescent="0.2">
      <c r="A9039" t="s">
        <v>9650</v>
      </c>
      <c r="B9039" t="s">
        <v>75</v>
      </c>
      <c r="C9039" t="s">
        <v>607</v>
      </c>
      <c r="D9039">
        <v>1131.6500000000001</v>
      </c>
      <c r="E9039" s="37" t="str">
        <f t="shared" si="705"/>
        <v xml:space="preserve"> </v>
      </c>
      <c r="F9039">
        <v>0.04</v>
      </c>
      <c r="G9039" s="37" t="str">
        <f t="shared" si="706"/>
        <v>Normal Discount</v>
      </c>
      <c r="H9039" s="37" t="str">
        <f t="shared" si="707"/>
        <v>Low</v>
      </c>
      <c r="I9039">
        <v>8</v>
      </c>
      <c r="J9039" t="str" cm="1">
        <f t="array" ref="J9039">_xlfn.IFS(I9039&lt;=3,"small",I9039&lt;=6,"Medium",I9039&lt;=9,"Large")</f>
        <v>Large</v>
      </c>
      <c r="K9039" s="36">
        <v>45243</v>
      </c>
      <c r="L9039" s="36">
        <v>45244</v>
      </c>
      <c r="M9039" t="s">
        <v>598</v>
      </c>
      <c r="N9039" t="s">
        <v>599</v>
      </c>
      <c r="O9039" s="37" t="str">
        <f t="shared" si="708"/>
        <v>Digital Payment</v>
      </c>
      <c r="P9039">
        <v>125.09</v>
      </c>
      <c r="Q9039" s="37" t="str">
        <f>IF(P9039&gt;500,"High","low")</f>
        <v>low</v>
      </c>
      <c r="R9039" s="37" t="str">
        <f t="shared" si="709"/>
        <v>AVERAGE</v>
      </c>
      <c r="S9039" t="s">
        <v>605</v>
      </c>
    </row>
    <row r="9040" spans="1:19" x14ac:dyDescent="0.2">
      <c r="A9040" t="s">
        <v>9651</v>
      </c>
      <c r="B9040" t="s">
        <v>75</v>
      </c>
      <c r="C9040" t="s">
        <v>597</v>
      </c>
      <c r="D9040">
        <v>4314.32</v>
      </c>
      <c r="E9040" s="37" t="str">
        <f t="shared" si="705"/>
        <v xml:space="preserve"> </v>
      </c>
      <c r="F9040">
        <v>0.18</v>
      </c>
      <c r="G9040" s="37" t="str">
        <f t="shared" si="706"/>
        <v>Normal Discount</v>
      </c>
      <c r="H9040" s="37" t="str">
        <f t="shared" si="707"/>
        <v>Low</v>
      </c>
      <c r="I9040">
        <v>5</v>
      </c>
      <c r="J9040" t="str" cm="1">
        <f t="array" ref="J9040">_xlfn.IFS(I9040&lt;=3,"small",I9040&lt;=6,"Medium",I9040&lt;=9,"Large")</f>
        <v>Medium</v>
      </c>
      <c r="K9040" s="36">
        <v>45100</v>
      </c>
      <c r="L9040" s="36">
        <v>45105</v>
      </c>
      <c r="M9040" t="s">
        <v>598</v>
      </c>
      <c r="N9040" t="s">
        <v>604</v>
      </c>
      <c r="O9040" s="37" t="str">
        <f t="shared" si="708"/>
        <v>Digital Payment</v>
      </c>
      <c r="P9040">
        <v>582.53</v>
      </c>
      <c r="Q9040" s="37" t="str">
        <f>IF(P9040&gt;500,"High","low")</f>
        <v>High</v>
      </c>
      <c r="R9040" s="37" t="str">
        <f t="shared" si="709"/>
        <v>Good</v>
      </c>
      <c r="S9040" t="s">
        <v>615</v>
      </c>
    </row>
    <row r="9041" spans="1:19" x14ac:dyDescent="0.2">
      <c r="A9041" t="s">
        <v>9652</v>
      </c>
      <c r="B9041" t="s">
        <v>75</v>
      </c>
      <c r="C9041" t="s">
        <v>614</v>
      </c>
      <c r="D9041">
        <v>4343.09</v>
      </c>
      <c r="E9041" s="37" t="str">
        <f t="shared" si="705"/>
        <v>Excellent Order</v>
      </c>
      <c r="F9041">
        <v>0.28000000000000003</v>
      </c>
      <c r="G9041" s="37" t="str">
        <f t="shared" si="706"/>
        <v>Normal Discount</v>
      </c>
      <c r="H9041" s="37" t="str">
        <f t="shared" si="707"/>
        <v>Medium</v>
      </c>
      <c r="I9041">
        <v>3</v>
      </c>
      <c r="J9041" t="str" cm="1">
        <f t="array" ref="J9041">_xlfn.IFS(I9041&lt;=3,"small",I9041&lt;=6,"Medium",I9041&lt;=9,"Large")</f>
        <v>small</v>
      </c>
      <c r="K9041" s="36">
        <v>45171</v>
      </c>
      <c r="L9041" s="36">
        <v>45176</v>
      </c>
      <c r="M9041" t="s">
        <v>603</v>
      </c>
      <c r="N9041" t="s">
        <v>599</v>
      </c>
      <c r="O9041" s="37" t="str">
        <f t="shared" si="708"/>
        <v>Digital Payment</v>
      </c>
      <c r="P9041">
        <v>858.21</v>
      </c>
      <c r="Q9041" s="37" t="str">
        <f>IF(P9041&gt;500,"High","low")</f>
        <v>High</v>
      </c>
      <c r="R9041" s="37" t="str">
        <f t="shared" si="709"/>
        <v>Good</v>
      </c>
      <c r="S9041" t="s">
        <v>615</v>
      </c>
    </row>
    <row r="9042" spans="1:19" x14ac:dyDescent="0.2">
      <c r="A9042" t="s">
        <v>9653</v>
      </c>
      <c r="B9042" t="s">
        <v>67</v>
      </c>
      <c r="C9042" t="s">
        <v>614</v>
      </c>
      <c r="D9042">
        <v>1669.61</v>
      </c>
      <c r="E9042" s="37" t="str">
        <f t="shared" si="705"/>
        <v xml:space="preserve"> </v>
      </c>
      <c r="F9042">
        <v>0.44</v>
      </c>
      <c r="G9042" s="37" t="str">
        <f t="shared" si="706"/>
        <v>Heavy Discount</v>
      </c>
      <c r="H9042" s="37" t="str">
        <f t="shared" si="707"/>
        <v>High</v>
      </c>
      <c r="I9042">
        <v>4</v>
      </c>
      <c r="J9042" t="str" cm="1">
        <f t="array" ref="J9042">_xlfn.IFS(I9042&lt;=3,"small",I9042&lt;=6,"Medium",I9042&lt;=9,"Large")</f>
        <v>Medium</v>
      </c>
      <c r="K9042" s="36">
        <v>45268</v>
      </c>
      <c r="L9042" s="36">
        <v>45270</v>
      </c>
      <c r="M9042" t="s">
        <v>603</v>
      </c>
      <c r="N9042" t="s">
        <v>599</v>
      </c>
      <c r="O9042" s="37" t="str">
        <f t="shared" si="708"/>
        <v>Digital Payment</v>
      </c>
      <c r="P9042">
        <v>430.97</v>
      </c>
      <c r="Q9042" s="37" t="str">
        <f>IF(P9042&gt;500,"High","low")</f>
        <v>low</v>
      </c>
      <c r="R9042" s="37" t="str">
        <f t="shared" si="709"/>
        <v>AVERAGE</v>
      </c>
      <c r="S9042" t="s">
        <v>605</v>
      </c>
    </row>
    <row r="9043" spans="1:19" x14ac:dyDescent="0.2">
      <c r="A9043" t="s">
        <v>9654</v>
      </c>
      <c r="B9043" t="s">
        <v>83</v>
      </c>
      <c r="C9043" t="s">
        <v>617</v>
      </c>
      <c r="D9043">
        <v>2783.79</v>
      </c>
      <c r="E9043" s="37" t="str">
        <f t="shared" si="705"/>
        <v xml:space="preserve"> </v>
      </c>
      <c r="F9043">
        <v>0.39</v>
      </c>
      <c r="G9043" s="37" t="str">
        <f t="shared" si="706"/>
        <v>Heavy Discount</v>
      </c>
      <c r="H9043" s="37" t="str">
        <f t="shared" si="707"/>
        <v>Medium</v>
      </c>
      <c r="I9043">
        <v>7</v>
      </c>
      <c r="J9043" t="str" cm="1">
        <f t="array" ref="J9043">_xlfn.IFS(I9043&lt;=3,"small",I9043&lt;=6,"Medium",I9043&lt;=9,"Large")</f>
        <v>Large</v>
      </c>
      <c r="K9043" s="36">
        <v>44935</v>
      </c>
      <c r="L9043" s="36">
        <v>44940</v>
      </c>
      <c r="M9043" t="s">
        <v>603</v>
      </c>
      <c r="N9043" t="s">
        <v>604</v>
      </c>
      <c r="O9043" s="37" t="str">
        <f t="shared" si="708"/>
        <v>Digital Payment</v>
      </c>
      <c r="P9043">
        <v>587.53</v>
      </c>
      <c r="Q9043" s="37" t="str">
        <f>IF(P9043&gt;500,"High","low")</f>
        <v>High</v>
      </c>
      <c r="R9043" s="37" t="str">
        <f t="shared" si="709"/>
        <v>Good</v>
      </c>
      <c r="S9043" t="s">
        <v>620</v>
      </c>
    </row>
    <row r="9044" spans="1:19" x14ac:dyDescent="0.2">
      <c r="A9044" t="s">
        <v>9655</v>
      </c>
      <c r="B9044" t="s">
        <v>90</v>
      </c>
      <c r="C9044" t="s">
        <v>597</v>
      </c>
      <c r="D9044">
        <v>3072.64</v>
      </c>
      <c r="E9044" s="37" t="str">
        <f t="shared" si="705"/>
        <v xml:space="preserve"> </v>
      </c>
      <c r="F9044">
        <v>0.01</v>
      </c>
      <c r="G9044" s="37" t="str">
        <f t="shared" si="706"/>
        <v>Normal Discount</v>
      </c>
      <c r="H9044" s="37" t="str">
        <f t="shared" si="707"/>
        <v>Low</v>
      </c>
      <c r="I9044">
        <v>5</v>
      </c>
      <c r="J9044" t="str" cm="1">
        <f t="array" ref="J9044">_xlfn.IFS(I9044&lt;=3,"small",I9044&lt;=6,"Medium",I9044&lt;=9,"Large")</f>
        <v>Medium</v>
      </c>
      <c r="K9044" s="36">
        <v>45405</v>
      </c>
      <c r="L9044" s="36">
        <v>45412</v>
      </c>
      <c r="M9044" t="s">
        <v>598</v>
      </c>
      <c r="N9044" t="s">
        <v>599</v>
      </c>
      <c r="O9044" s="37" t="str">
        <f t="shared" si="708"/>
        <v>Digital Payment</v>
      </c>
      <c r="P9044">
        <v>308.98</v>
      </c>
      <c r="Q9044" s="37" t="str">
        <f>IF(P9044&gt;500,"High","low")</f>
        <v>low</v>
      </c>
      <c r="R9044" s="37" t="str">
        <f t="shared" si="709"/>
        <v>AVERAGE</v>
      </c>
      <c r="S9044" t="s">
        <v>628</v>
      </c>
    </row>
    <row r="9045" spans="1:19" x14ac:dyDescent="0.2">
      <c r="A9045" t="s">
        <v>9656</v>
      </c>
      <c r="B9045" t="s">
        <v>83</v>
      </c>
      <c r="C9045" t="s">
        <v>597</v>
      </c>
      <c r="D9045">
        <v>2414.91</v>
      </c>
      <c r="E9045" s="37" t="str">
        <f t="shared" si="705"/>
        <v xml:space="preserve"> </v>
      </c>
      <c r="F9045">
        <v>0.41</v>
      </c>
      <c r="G9045" s="37" t="str">
        <f t="shared" si="706"/>
        <v>Heavy Discount</v>
      </c>
      <c r="H9045" s="37" t="str">
        <f t="shared" si="707"/>
        <v>High</v>
      </c>
      <c r="I9045">
        <v>4</v>
      </c>
      <c r="J9045" t="str" cm="1">
        <f t="array" ref="J9045">_xlfn.IFS(I9045&lt;=3,"small",I9045&lt;=6,"Medium",I9045&lt;=9,"Large")</f>
        <v>Medium</v>
      </c>
      <c r="K9045" s="36">
        <v>44948</v>
      </c>
      <c r="L9045" s="36">
        <v>44955</v>
      </c>
      <c r="M9045" t="s">
        <v>598</v>
      </c>
      <c r="N9045" t="s">
        <v>604</v>
      </c>
      <c r="O9045" s="37" t="str">
        <f t="shared" si="708"/>
        <v>Digital Payment</v>
      </c>
      <c r="P9045">
        <v>152</v>
      </c>
      <c r="Q9045" s="37" t="str">
        <f>IF(P9045&gt;500,"High","low")</f>
        <v>low</v>
      </c>
      <c r="R9045" s="37" t="str">
        <f t="shared" si="709"/>
        <v>AVERAGE</v>
      </c>
      <c r="S9045" t="s">
        <v>609</v>
      </c>
    </row>
    <row r="9046" spans="1:19" x14ac:dyDescent="0.2">
      <c r="A9046" t="s">
        <v>9657</v>
      </c>
      <c r="B9046" t="s">
        <v>75</v>
      </c>
      <c r="C9046" t="s">
        <v>602</v>
      </c>
      <c r="D9046">
        <v>4564.6000000000004</v>
      </c>
      <c r="E9046" s="37" t="str">
        <f t="shared" si="705"/>
        <v>Excellent Order</v>
      </c>
      <c r="F9046">
        <v>0.32</v>
      </c>
      <c r="G9046" s="37" t="str">
        <f t="shared" si="706"/>
        <v>Heavy Discount</v>
      </c>
      <c r="H9046" s="37" t="str">
        <f t="shared" si="707"/>
        <v>Medium</v>
      </c>
      <c r="I9046">
        <v>3</v>
      </c>
      <c r="J9046" t="str" cm="1">
        <f t="array" ref="J9046">_xlfn.IFS(I9046&lt;=3,"small",I9046&lt;=6,"Medium",I9046&lt;=9,"Large")</f>
        <v>small</v>
      </c>
      <c r="K9046" s="36">
        <v>45203</v>
      </c>
      <c r="L9046" s="36">
        <v>45207</v>
      </c>
      <c r="M9046" t="s">
        <v>603</v>
      </c>
      <c r="N9046" t="s">
        <v>599</v>
      </c>
      <c r="O9046" s="37" t="str">
        <f t="shared" si="708"/>
        <v>Digital Payment</v>
      </c>
      <c r="P9046">
        <v>862.89</v>
      </c>
      <c r="Q9046" s="37" t="str">
        <f>IF(P9046&gt;500,"High","low")</f>
        <v>High</v>
      </c>
      <c r="R9046" s="37" t="str">
        <f t="shared" si="709"/>
        <v>Good</v>
      </c>
      <c r="S9046" t="s">
        <v>615</v>
      </c>
    </row>
    <row r="9047" spans="1:19" x14ac:dyDescent="0.2">
      <c r="A9047" t="s">
        <v>9658</v>
      </c>
      <c r="B9047" t="s">
        <v>67</v>
      </c>
      <c r="C9047" t="s">
        <v>607</v>
      </c>
      <c r="D9047">
        <v>3724.61</v>
      </c>
      <c r="E9047" s="37" t="str">
        <f t="shared" si="705"/>
        <v xml:space="preserve"> </v>
      </c>
      <c r="F9047">
        <v>7.0000000000000007E-2</v>
      </c>
      <c r="G9047" s="37" t="str">
        <f t="shared" si="706"/>
        <v>Normal Discount</v>
      </c>
      <c r="H9047" s="37" t="str">
        <f t="shared" si="707"/>
        <v>Low</v>
      </c>
      <c r="I9047">
        <v>3</v>
      </c>
      <c r="J9047" t="str" cm="1">
        <f t="array" ref="J9047">_xlfn.IFS(I9047&lt;=3,"small",I9047&lt;=6,"Medium",I9047&lt;=9,"Large")</f>
        <v>small</v>
      </c>
      <c r="K9047" s="36">
        <v>45011</v>
      </c>
      <c r="L9047" s="36">
        <v>45017</v>
      </c>
      <c r="M9047" t="s">
        <v>598</v>
      </c>
      <c r="N9047" t="s">
        <v>604</v>
      </c>
      <c r="O9047" s="37" t="str">
        <f t="shared" si="708"/>
        <v>Digital Payment</v>
      </c>
      <c r="P9047">
        <v>896.32</v>
      </c>
      <c r="Q9047" s="37" t="str">
        <f>IF(P9047&gt;500,"High","low")</f>
        <v>High</v>
      </c>
      <c r="R9047" s="37" t="str">
        <f t="shared" si="709"/>
        <v>Good</v>
      </c>
      <c r="S9047" t="s">
        <v>620</v>
      </c>
    </row>
    <row r="9048" spans="1:19" x14ac:dyDescent="0.2">
      <c r="A9048" t="s">
        <v>9659</v>
      </c>
      <c r="B9048" t="s">
        <v>83</v>
      </c>
      <c r="C9048" t="s">
        <v>602</v>
      </c>
      <c r="D9048">
        <v>3395.3</v>
      </c>
      <c r="E9048" s="37" t="str">
        <f t="shared" si="705"/>
        <v xml:space="preserve"> </v>
      </c>
      <c r="F9048">
        <v>0.31</v>
      </c>
      <c r="G9048" s="37" t="str">
        <f t="shared" si="706"/>
        <v>Heavy Discount</v>
      </c>
      <c r="H9048" s="37" t="str">
        <f t="shared" si="707"/>
        <v>Medium</v>
      </c>
      <c r="I9048">
        <v>6</v>
      </c>
      <c r="J9048" t="str" cm="1">
        <f t="array" ref="J9048">_xlfn.IFS(I9048&lt;=3,"small",I9048&lt;=6,"Medium",I9048&lt;=9,"Large")</f>
        <v>Medium</v>
      </c>
      <c r="K9048" s="36">
        <v>44979</v>
      </c>
      <c r="L9048" s="36">
        <v>44982</v>
      </c>
      <c r="M9048" t="s">
        <v>603</v>
      </c>
      <c r="N9048" t="s">
        <v>608</v>
      </c>
      <c r="O9048" s="37" t="str">
        <f t="shared" si="708"/>
        <v>Cash Payment</v>
      </c>
      <c r="P9048">
        <v>598.70000000000005</v>
      </c>
      <c r="Q9048" s="37" t="str">
        <f>IF(P9048&gt;500,"High","low")</f>
        <v>High</v>
      </c>
      <c r="R9048" s="37" t="str">
        <f t="shared" si="709"/>
        <v>Good</v>
      </c>
      <c r="S9048" t="s">
        <v>609</v>
      </c>
    </row>
    <row r="9049" spans="1:19" x14ac:dyDescent="0.2">
      <c r="A9049" t="s">
        <v>9660</v>
      </c>
      <c r="B9049" t="s">
        <v>75</v>
      </c>
      <c r="C9049" t="s">
        <v>602</v>
      </c>
      <c r="D9049">
        <v>2648.46</v>
      </c>
      <c r="E9049" s="37" t="str">
        <f t="shared" si="705"/>
        <v xml:space="preserve"> </v>
      </c>
      <c r="F9049">
        <v>0.41</v>
      </c>
      <c r="G9049" s="37" t="str">
        <f t="shared" si="706"/>
        <v>Heavy Discount</v>
      </c>
      <c r="H9049" s="37" t="str">
        <f t="shared" si="707"/>
        <v>High</v>
      </c>
      <c r="I9049">
        <v>8</v>
      </c>
      <c r="J9049" t="str" cm="1">
        <f t="array" ref="J9049">_xlfn.IFS(I9049&lt;=3,"small",I9049&lt;=6,"Medium",I9049&lt;=9,"Large")</f>
        <v>Large</v>
      </c>
      <c r="K9049" s="36">
        <v>45500</v>
      </c>
      <c r="L9049" s="36">
        <v>45507</v>
      </c>
      <c r="M9049" t="s">
        <v>603</v>
      </c>
      <c r="N9049" t="s">
        <v>608</v>
      </c>
      <c r="O9049" s="37" t="str">
        <f t="shared" si="708"/>
        <v>Cash Payment</v>
      </c>
      <c r="P9049">
        <v>375.1</v>
      </c>
      <c r="Q9049" s="37" t="str">
        <f>IF(P9049&gt;500,"High","low")</f>
        <v>low</v>
      </c>
      <c r="R9049" s="37" t="str">
        <f t="shared" si="709"/>
        <v>AVERAGE</v>
      </c>
      <c r="S9049" t="s">
        <v>609</v>
      </c>
    </row>
    <row r="9050" spans="1:19" x14ac:dyDescent="0.2">
      <c r="A9050" t="s">
        <v>9661</v>
      </c>
      <c r="B9050" t="s">
        <v>90</v>
      </c>
      <c r="C9050" t="s">
        <v>607</v>
      </c>
      <c r="D9050">
        <v>515.75</v>
      </c>
      <c r="E9050" s="37" t="str">
        <f t="shared" si="705"/>
        <v xml:space="preserve"> </v>
      </c>
      <c r="F9050">
        <v>0.3</v>
      </c>
      <c r="G9050" s="37" t="str">
        <f t="shared" si="706"/>
        <v>Normal Discount</v>
      </c>
      <c r="H9050" s="37" t="str">
        <f t="shared" si="707"/>
        <v>Medium</v>
      </c>
      <c r="I9050">
        <v>4</v>
      </c>
      <c r="J9050" t="str" cm="1">
        <f t="array" ref="J9050">_xlfn.IFS(I9050&lt;=3,"small",I9050&lt;=6,"Medium",I9050&lt;=9,"Large")</f>
        <v>Medium</v>
      </c>
      <c r="K9050" s="36">
        <v>45624</v>
      </c>
      <c r="L9050" s="36">
        <v>45631</v>
      </c>
      <c r="M9050" t="s">
        <v>603</v>
      </c>
      <c r="N9050" t="s">
        <v>608</v>
      </c>
      <c r="O9050" s="37" t="str">
        <f t="shared" si="708"/>
        <v>Cash Payment</v>
      </c>
      <c r="P9050">
        <v>51.29</v>
      </c>
      <c r="Q9050" s="37" t="str">
        <f>IF(P9050&gt;500,"High","low")</f>
        <v>low</v>
      </c>
      <c r="R9050" s="37" t="str">
        <f t="shared" si="709"/>
        <v>AVERAGE</v>
      </c>
      <c r="S9050" t="s">
        <v>615</v>
      </c>
    </row>
    <row r="9051" spans="1:19" x14ac:dyDescent="0.2">
      <c r="A9051" t="s">
        <v>9662</v>
      </c>
      <c r="B9051" t="s">
        <v>90</v>
      </c>
      <c r="C9051" t="s">
        <v>617</v>
      </c>
      <c r="D9051">
        <v>628.32000000000005</v>
      </c>
      <c r="E9051" s="37" t="str">
        <f t="shared" si="705"/>
        <v xml:space="preserve"> </v>
      </c>
      <c r="F9051">
        <v>0.5</v>
      </c>
      <c r="G9051" s="37" t="str">
        <f t="shared" si="706"/>
        <v>Heavy Discount</v>
      </c>
      <c r="H9051" s="37" t="str">
        <f t="shared" si="707"/>
        <v>High</v>
      </c>
      <c r="I9051">
        <v>1</v>
      </c>
      <c r="J9051" t="str" cm="1">
        <f t="array" ref="J9051">_xlfn.IFS(I9051&lt;=3,"small",I9051&lt;=6,"Medium",I9051&lt;=9,"Large")</f>
        <v>small</v>
      </c>
      <c r="K9051" s="36">
        <v>44987</v>
      </c>
      <c r="L9051" s="36">
        <v>44989</v>
      </c>
      <c r="M9051" t="s">
        <v>612</v>
      </c>
      <c r="N9051" t="s">
        <v>608</v>
      </c>
      <c r="O9051" s="37" t="str">
        <f t="shared" si="708"/>
        <v>Cash Payment</v>
      </c>
      <c r="P9051">
        <v>121.66</v>
      </c>
      <c r="Q9051" s="37" t="str">
        <f>IF(P9051&gt;500,"High","low")</f>
        <v>low</v>
      </c>
      <c r="R9051" s="37" t="str">
        <f t="shared" si="709"/>
        <v>AVERAGE</v>
      </c>
      <c r="S9051" t="s">
        <v>609</v>
      </c>
    </row>
    <row r="9052" spans="1:19" x14ac:dyDescent="0.2">
      <c r="A9052" t="s">
        <v>9663</v>
      </c>
      <c r="B9052" t="s">
        <v>90</v>
      </c>
      <c r="C9052" t="s">
        <v>617</v>
      </c>
      <c r="D9052">
        <v>1565.14</v>
      </c>
      <c r="E9052" s="37" t="str">
        <f t="shared" si="705"/>
        <v xml:space="preserve"> </v>
      </c>
      <c r="F9052">
        <v>0.25</v>
      </c>
      <c r="G9052" s="37" t="str">
        <f t="shared" si="706"/>
        <v>Normal Discount</v>
      </c>
      <c r="H9052" s="37" t="str">
        <f t="shared" si="707"/>
        <v>Medium</v>
      </c>
      <c r="I9052">
        <v>4</v>
      </c>
      <c r="J9052" t="str" cm="1">
        <f t="array" ref="J9052">_xlfn.IFS(I9052&lt;=3,"small",I9052&lt;=6,"Medium",I9052&lt;=9,"Large")</f>
        <v>Medium</v>
      </c>
      <c r="K9052" s="36">
        <v>45601</v>
      </c>
      <c r="L9052" s="36">
        <v>45603</v>
      </c>
      <c r="M9052" t="s">
        <v>603</v>
      </c>
      <c r="N9052" t="s">
        <v>608</v>
      </c>
      <c r="O9052" s="37" t="str">
        <f t="shared" si="708"/>
        <v>Cash Payment</v>
      </c>
      <c r="P9052">
        <v>317.56</v>
      </c>
      <c r="Q9052" s="37" t="str">
        <f>IF(P9052&gt;500,"High","low")</f>
        <v>low</v>
      </c>
      <c r="R9052" s="37" t="str">
        <f t="shared" si="709"/>
        <v>AVERAGE</v>
      </c>
      <c r="S9052" t="s">
        <v>609</v>
      </c>
    </row>
    <row r="9053" spans="1:19" x14ac:dyDescent="0.2">
      <c r="A9053" t="s">
        <v>9664</v>
      </c>
      <c r="B9053" t="s">
        <v>75</v>
      </c>
      <c r="C9053" t="s">
        <v>607</v>
      </c>
      <c r="D9053">
        <v>1136.46</v>
      </c>
      <c r="E9053" s="37" t="str">
        <f t="shared" si="705"/>
        <v xml:space="preserve"> </v>
      </c>
      <c r="F9053">
        <v>0.34</v>
      </c>
      <c r="G9053" s="37" t="str">
        <f t="shared" si="706"/>
        <v>Heavy Discount</v>
      </c>
      <c r="H9053" s="37" t="str">
        <f t="shared" si="707"/>
        <v>Medium</v>
      </c>
      <c r="I9053">
        <v>5</v>
      </c>
      <c r="J9053" t="str" cm="1">
        <f t="array" ref="J9053">_xlfn.IFS(I9053&lt;=3,"small",I9053&lt;=6,"Medium",I9053&lt;=9,"Large")</f>
        <v>Medium</v>
      </c>
      <c r="K9053" s="36">
        <v>45350</v>
      </c>
      <c r="L9053" s="36">
        <v>45355</v>
      </c>
      <c r="M9053" t="s">
        <v>612</v>
      </c>
      <c r="N9053" t="s">
        <v>599</v>
      </c>
      <c r="O9053" s="37" t="str">
        <f t="shared" si="708"/>
        <v>Digital Payment</v>
      </c>
      <c r="P9053">
        <v>293.91000000000003</v>
      </c>
      <c r="Q9053" s="37" t="str">
        <f>IF(P9053&gt;500,"High","low")</f>
        <v>low</v>
      </c>
      <c r="R9053" s="37" t="str">
        <f t="shared" si="709"/>
        <v>AVERAGE</v>
      </c>
      <c r="S9053" t="s">
        <v>600</v>
      </c>
    </row>
    <row r="9054" spans="1:19" x14ac:dyDescent="0.2">
      <c r="A9054" t="s">
        <v>9665</v>
      </c>
      <c r="B9054" t="s">
        <v>67</v>
      </c>
      <c r="C9054" t="s">
        <v>607</v>
      </c>
      <c r="D9054">
        <v>4767.3999999999996</v>
      </c>
      <c r="E9054" s="37" t="str">
        <f t="shared" si="705"/>
        <v>Excellent Order</v>
      </c>
      <c r="F9054">
        <v>0.04</v>
      </c>
      <c r="G9054" s="37" t="str">
        <f t="shared" si="706"/>
        <v>Normal Discount</v>
      </c>
      <c r="H9054" s="37" t="str">
        <f t="shared" si="707"/>
        <v>Low</v>
      </c>
      <c r="I9054">
        <v>8</v>
      </c>
      <c r="J9054" t="str" cm="1">
        <f t="array" ref="J9054">_xlfn.IFS(I9054&lt;=3,"small",I9054&lt;=6,"Medium",I9054&lt;=9,"Large")</f>
        <v>Large</v>
      </c>
      <c r="K9054" s="36">
        <v>45008</v>
      </c>
      <c r="L9054" s="36">
        <v>45011</v>
      </c>
      <c r="M9054" t="s">
        <v>603</v>
      </c>
      <c r="N9054" t="s">
        <v>599</v>
      </c>
      <c r="O9054" s="37" t="str">
        <f t="shared" si="708"/>
        <v>Digital Payment</v>
      </c>
      <c r="P9054">
        <v>1119.49</v>
      </c>
      <c r="Q9054" s="37" t="str">
        <f>IF(P9054&gt;500,"High","low")</f>
        <v>High</v>
      </c>
      <c r="R9054" s="37" t="str">
        <f t="shared" si="709"/>
        <v>Excellent</v>
      </c>
      <c r="S9054" t="s">
        <v>615</v>
      </c>
    </row>
    <row r="9055" spans="1:19" x14ac:dyDescent="0.2">
      <c r="A9055" t="s">
        <v>9666</v>
      </c>
      <c r="B9055" t="s">
        <v>83</v>
      </c>
      <c r="C9055" t="s">
        <v>597</v>
      </c>
      <c r="D9055">
        <v>2108.08</v>
      </c>
      <c r="E9055" s="37" t="str">
        <f t="shared" si="705"/>
        <v xml:space="preserve"> </v>
      </c>
      <c r="F9055">
        <v>0.41</v>
      </c>
      <c r="G9055" s="37" t="str">
        <f t="shared" si="706"/>
        <v>Heavy Discount</v>
      </c>
      <c r="H9055" s="37" t="str">
        <f t="shared" si="707"/>
        <v>High</v>
      </c>
      <c r="I9055">
        <v>7</v>
      </c>
      <c r="J9055" t="str" cm="1">
        <f t="array" ref="J9055">_xlfn.IFS(I9055&lt;=3,"small",I9055&lt;=6,"Medium",I9055&lt;=9,"Large")</f>
        <v>Large</v>
      </c>
      <c r="K9055" s="36">
        <v>45497</v>
      </c>
      <c r="L9055" s="36">
        <v>45500</v>
      </c>
      <c r="M9055" t="s">
        <v>612</v>
      </c>
      <c r="N9055" t="s">
        <v>604</v>
      </c>
      <c r="O9055" s="37" t="str">
        <f t="shared" si="708"/>
        <v>Digital Payment</v>
      </c>
      <c r="P9055">
        <v>377.03</v>
      </c>
      <c r="Q9055" s="37" t="str">
        <f>IF(P9055&gt;500,"High","low")</f>
        <v>low</v>
      </c>
      <c r="R9055" s="37" t="str">
        <f t="shared" si="709"/>
        <v>AVERAGE</v>
      </c>
      <c r="S9055" t="s">
        <v>615</v>
      </c>
    </row>
    <row r="9056" spans="1:19" x14ac:dyDescent="0.2">
      <c r="A9056" t="s">
        <v>9667</v>
      </c>
      <c r="B9056" t="s">
        <v>90</v>
      </c>
      <c r="C9056" t="s">
        <v>597</v>
      </c>
      <c r="D9056">
        <v>4395.37</v>
      </c>
      <c r="E9056" s="37" t="str">
        <f t="shared" si="705"/>
        <v>Excellent Order</v>
      </c>
      <c r="F9056">
        <v>0.31</v>
      </c>
      <c r="G9056" s="37" t="str">
        <f t="shared" si="706"/>
        <v>Heavy Discount</v>
      </c>
      <c r="H9056" s="37" t="str">
        <f t="shared" si="707"/>
        <v>Medium</v>
      </c>
      <c r="I9056">
        <v>2</v>
      </c>
      <c r="J9056" t="str" cm="1">
        <f t="array" ref="J9056">_xlfn.IFS(I9056&lt;=3,"small",I9056&lt;=6,"Medium",I9056&lt;=9,"Large")</f>
        <v>small</v>
      </c>
      <c r="K9056" s="36">
        <v>45425</v>
      </c>
      <c r="L9056" s="36">
        <v>45432</v>
      </c>
      <c r="M9056" t="s">
        <v>603</v>
      </c>
      <c r="N9056" t="s">
        <v>599</v>
      </c>
      <c r="O9056" s="37" t="str">
        <f t="shared" si="708"/>
        <v>Digital Payment</v>
      </c>
      <c r="P9056">
        <v>1109.3399999999999</v>
      </c>
      <c r="Q9056" s="37" t="str">
        <f>IF(P9056&gt;500,"High","low")</f>
        <v>High</v>
      </c>
      <c r="R9056" s="37" t="str">
        <f t="shared" si="709"/>
        <v>Excellent</v>
      </c>
      <c r="S9056" t="s">
        <v>600</v>
      </c>
    </row>
    <row r="9057" spans="1:19" x14ac:dyDescent="0.2">
      <c r="A9057" t="s">
        <v>9668</v>
      </c>
      <c r="B9057" t="s">
        <v>75</v>
      </c>
      <c r="C9057" t="s">
        <v>597</v>
      </c>
      <c r="D9057">
        <v>4108.59</v>
      </c>
      <c r="E9057" s="37" t="str">
        <f t="shared" si="705"/>
        <v xml:space="preserve"> </v>
      </c>
      <c r="F9057">
        <v>0.28000000000000003</v>
      </c>
      <c r="G9057" s="37" t="str">
        <f t="shared" si="706"/>
        <v>Normal Discount</v>
      </c>
      <c r="H9057" s="37" t="str">
        <f t="shared" si="707"/>
        <v>Medium</v>
      </c>
      <c r="I9057">
        <v>9</v>
      </c>
      <c r="J9057" t="str" cm="1">
        <f t="array" ref="J9057">_xlfn.IFS(I9057&lt;=3,"small",I9057&lt;=6,"Medium",I9057&lt;=9,"Large")</f>
        <v>Large</v>
      </c>
      <c r="K9057" s="36">
        <v>45098</v>
      </c>
      <c r="L9057" s="36">
        <v>45099</v>
      </c>
      <c r="M9057" t="s">
        <v>598</v>
      </c>
      <c r="N9057" t="s">
        <v>608</v>
      </c>
      <c r="O9057" s="37" t="str">
        <f t="shared" si="708"/>
        <v>Cash Payment</v>
      </c>
      <c r="P9057">
        <v>321.87</v>
      </c>
      <c r="Q9057" s="37" t="str">
        <f>IF(P9057&gt;500,"High","low")</f>
        <v>low</v>
      </c>
      <c r="R9057" s="37" t="str">
        <f t="shared" si="709"/>
        <v>AVERAGE</v>
      </c>
      <c r="S9057" t="s">
        <v>628</v>
      </c>
    </row>
    <row r="9058" spans="1:19" x14ac:dyDescent="0.2">
      <c r="A9058" t="s">
        <v>9669</v>
      </c>
      <c r="B9058" t="s">
        <v>75</v>
      </c>
      <c r="C9058" t="s">
        <v>597</v>
      </c>
      <c r="D9058">
        <v>4081.59</v>
      </c>
      <c r="E9058" s="37" t="str">
        <f t="shared" si="705"/>
        <v xml:space="preserve"> </v>
      </c>
      <c r="F9058">
        <v>0.35</v>
      </c>
      <c r="G9058" s="37" t="str">
        <f t="shared" si="706"/>
        <v>Heavy Discount</v>
      </c>
      <c r="H9058" s="37" t="str">
        <f t="shared" si="707"/>
        <v>Medium</v>
      </c>
      <c r="I9058">
        <v>3</v>
      </c>
      <c r="J9058" t="str" cm="1">
        <f t="array" ref="J9058">_xlfn.IFS(I9058&lt;=3,"small",I9058&lt;=6,"Medium",I9058&lt;=9,"Large")</f>
        <v>small</v>
      </c>
      <c r="K9058" s="36">
        <v>44984</v>
      </c>
      <c r="L9058" s="36">
        <v>44986</v>
      </c>
      <c r="M9058" t="s">
        <v>612</v>
      </c>
      <c r="N9058" t="s">
        <v>608</v>
      </c>
      <c r="O9058" s="37" t="str">
        <f t="shared" si="708"/>
        <v>Cash Payment</v>
      </c>
      <c r="P9058">
        <v>447.83</v>
      </c>
      <c r="Q9058" s="37" t="str">
        <f>IF(P9058&gt;500,"High","low")</f>
        <v>low</v>
      </c>
      <c r="R9058" s="37" t="str">
        <f t="shared" si="709"/>
        <v>AVERAGE</v>
      </c>
      <c r="S9058" t="s">
        <v>628</v>
      </c>
    </row>
    <row r="9059" spans="1:19" x14ac:dyDescent="0.2">
      <c r="A9059" t="s">
        <v>9670</v>
      </c>
      <c r="B9059" t="s">
        <v>83</v>
      </c>
      <c r="C9059" t="s">
        <v>614</v>
      </c>
      <c r="D9059">
        <v>1156.97</v>
      </c>
      <c r="E9059" s="37" t="str">
        <f t="shared" si="705"/>
        <v xml:space="preserve"> </v>
      </c>
      <c r="F9059">
        <v>0.28000000000000003</v>
      </c>
      <c r="G9059" s="37" t="str">
        <f t="shared" si="706"/>
        <v>Normal Discount</v>
      </c>
      <c r="H9059" s="37" t="str">
        <f t="shared" si="707"/>
        <v>Medium</v>
      </c>
      <c r="I9059">
        <v>9</v>
      </c>
      <c r="J9059" t="str" cm="1">
        <f t="array" ref="J9059">_xlfn.IFS(I9059&lt;=3,"small",I9059&lt;=6,"Medium",I9059&lt;=9,"Large")</f>
        <v>Large</v>
      </c>
      <c r="K9059" s="36">
        <v>45138</v>
      </c>
      <c r="L9059" s="36">
        <v>45139</v>
      </c>
      <c r="M9059" t="s">
        <v>603</v>
      </c>
      <c r="N9059" t="s">
        <v>599</v>
      </c>
      <c r="O9059" s="37" t="str">
        <f t="shared" si="708"/>
        <v>Digital Payment</v>
      </c>
      <c r="P9059">
        <v>275.73</v>
      </c>
      <c r="Q9059" s="37" t="str">
        <f>IF(P9059&gt;500,"High","low")</f>
        <v>low</v>
      </c>
      <c r="R9059" s="37" t="str">
        <f t="shared" si="709"/>
        <v>AVERAGE</v>
      </c>
      <c r="S9059" t="s">
        <v>605</v>
      </c>
    </row>
    <row r="9060" spans="1:19" x14ac:dyDescent="0.2">
      <c r="A9060" t="s">
        <v>9671</v>
      </c>
      <c r="B9060" t="s">
        <v>90</v>
      </c>
      <c r="C9060" t="s">
        <v>614</v>
      </c>
      <c r="D9060">
        <v>2291.88</v>
      </c>
      <c r="E9060" s="37" t="str">
        <f t="shared" si="705"/>
        <v xml:space="preserve"> </v>
      </c>
      <c r="F9060">
        <v>0.38</v>
      </c>
      <c r="G9060" s="37" t="str">
        <f t="shared" si="706"/>
        <v>Heavy Discount</v>
      </c>
      <c r="H9060" s="37" t="str">
        <f t="shared" si="707"/>
        <v>Medium</v>
      </c>
      <c r="I9060">
        <v>1</v>
      </c>
      <c r="J9060" t="str" cm="1">
        <f t="array" ref="J9060">_xlfn.IFS(I9060&lt;=3,"small",I9060&lt;=6,"Medium",I9060&lt;=9,"Large")</f>
        <v>small</v>
      </c>
      <c r="K9060" s="36">
        <v>45108</v>
      </c>
      <c r="L9060" s="36">
        <v>45113</v>
      </c>
      <c r="M9060" t="s">
        <v>598</v>
      </c>
      <c r="N9060" t="s">
        <v>599</v>
      </c>
      <c r="O9060" s="37" t="str">
        <f t="shared" si="708"/>
        <v>Digital Payment</v>
      </c>
      <c r="P9060">
        <v>356.16</v>
      </c>
      <c r="Q9060" s="37" t="str">
        <f>IF(P9060&gt;500,"High","low")</f>
        <v>low</v>
      </c>
      <c r="R9060" s="37" t="str">
        <f t="shared" si="709"/>
        <v>AVERAGE</v>
      </c>
      <c r="S9060" t="s">
        <v>620</v>
      </c>
    </row>
    <row r="9061" spans="1:19" x14ac:dyDescent="0.2">
      <c r="A9061" t="s">
        <v>9672</v>
      </c>
      <c r="B9061" t="s">
        <v>75</v>
      </c>
      <c r="C9061" t="s">
        <v>617</v>
      </c>
      <c r="D9061">
        <v>1657.96</v>
      </c>
      <c r="E9061" s="37" t="str">
        <f t="shared" si="705"/>
        <v xml:space="preserve"> </v>
      </c>
      <c r="F9061">
        <v>0.28999999999999998</v>
      </c>
      <c r="G9061" s="37" t="str">
        <f t="shared" si="706"/>
        <v>Normal Discount</v>
      </c>
      <c r="H9061" s="37" t="str">
        <f t="shared" si="707"/>
        <v>Medium</v>
      </c>
      <c r="I9061">
        <v>9</v>
      </c>
      <c r="J9061" t="str" cm="1">
        <f t="array" ref="J9061">_xlfn.IFS(I9061&lt;=3,"small",I9061&lt;=6,"Medium",I9061&lt;=9,"Large")</f>
        <v>Large</v>
      </c>
      <c r="K9061" s="36">
        <v>45646</v>
      </c>
      <c r="L9061" s="36">
        <v>45649</v>
      </c>
      <c r="M9061" t="s">
        <v>598</v>
      </c>
      <c r="N9061" t="s">
        <v>608</v>
      </c>
      <c r="O9061" s="37" t="str">
        <f t="shared" si="708"/>
        <v>Cash Payment</v>
      </c>
      <c r="P9061">
        <v>320.73</v>
      </c>
      <c r="Q9061" s="37" t="str">
        <f>IF(P9061&gt;500,"High","low")</f>
        <v>low</v>
      </c>
      <c r="R9061" s="37" t="str">
        <f t="shared" si="709"/>
        <v>AVERAGE</v>
      </c>
      <c r="S9061" t="s">
        <v>615</v>
      </c>
    </row>
    <row r="9062" spans="1:19" x14ac:dyDescent="0.2">
      <c r="A9062" t="s">
        <v>9673</v>
      </c>
      <c r="B9062" t="s">
        <v>83</v>
      </c>
      <c r="C9062" t="s">
        <v>614</v>
      </c>
      <c r="D9062">
        <v>4855.01</v>
      </c>
      <c r="E9062" s="37" t="str">
        <f t="shared" si="705"/>
        <v>Excellent Order</v>
      </c>
      <c r="F9062">
        <v>0.26</v>
      </c>
      <c r="G9062" s="37" t="str">
        <f t="shared" si="706"/>
        <v>Normal Discount</v>
      </c>
      <c r="H9062" s="37" t="str">
        <f t="shared" si="707"/>
        <v>Medium</v>
      </c>
      <c r="I9062">
        <v>7</v>
      </c>
      <c r="J9062" t="str" cm="1">
        <f t="array" ref="J9062">_xlfn.IFS(I9062&lt;=3,"small",I9062&lt;=6,"Medium",I9062&lt;=9,"Large")</f>
        <v>Large</v>
      </c>
      <c r="K9062" s="36">
        <v>45335</v>
      </c>
      <c r="L9062" s="36">
        <v>45336</v>
      </c>
      <c r="M9062" t="s">
        <v>603</v>
      </c>
      <c r="N9062" t="s">
        <v>599</v>
      </c>
      <c r="O9062" s="37" t="str">
        <f t="shared" si="708"/>
        <v>Digital Payment</v>
      </c>
      <c r="P9062">
        <v>1290.32</v>
      </c>
      <c r="Q9062" s="37" t="str">
        <f>IF(P9062&gt;500,"High","low")</f>
        <v>High</v>
      </c>
      <c r="R9062" s="37" t="str">
        <f t="shared" si="709"/>
        <v>Excellent</v>
      </c>
      <c r="S9062" t="s">
        <v>609</v>
      </c>
    </row>
    <row r="9063" spans="1:19" x14ac:dyDescent="0.2">
      <c r="A9063" t="s">
        <v>9674</v>
      </c>
      <c r="B9063" t="s">
        <v>67</v>
      </c>
      <c r="C9063" t="s">
        <v>614</v>
      </c>
      <c r="D9063">
        <v>4396.05</v>
      </c>
      <c r="E9063" s="37" t="str">
        <f t="shared" si="705"/>
        <v>Excellent Order</v>
      </c>
      <c r="F9063">
        <v>7.0000000000000007E-2</v>
      </c>
      <c r="G9063" s="37" t="str">
        <f t="shared" si="706"/>
        <v>Normal Discount</v>
      </c>
      <c r="H9063" s="37" t="str">
        <f t="shared" si="707"/>
        <v>Low</v>
      </c>
      <c r="I9063">
        <v>2</v>
      </c>
      <c r="J9063" t="str" cm="1">
        <f t="array" ref="J9063">_xlfn.IFS(I9063&lt;=3,"small",I9063&lt;=6,"Medium",I9063&lt;=9,"Large")</f>
        <v>small</v>
      </c>
      <c r="K9063" s="36">
        <v>45412</v>
      </c>
      <c r="L9063" s="36">
        <v>45415</v>
      </c>
      <c r="M9063" t="s">
        <v>598</v>
      </c>
      <c r="N9063" t="s">
        <v>608</v>
      </c>
      <c r="O9063" s="37" t="str">
        <f t="shared" si="708"/>
        <v>Cash Payment</v>
      </c>
      <c r="P9063">
        <v>1240.17</v>
      </c>
      <c r="Q9063" s="37" t="str">
        <f>IF(P9063&gt;500,"High","low")</f>
        <v>High</v>
      </c>
      <c r="R9063" s="37" t="str">
        <f t="shared" si="709"/>
        <v>Excellent</v>
      </c>
      <c r="S9063" t="s">
        <v>605</v>
      </c>
    </row>
    <row r="9064" spans="1:19" x14ac:dyDescent="0.2">
      <c r="A9064" t="s">
        <v>9675</v>
      </c>
      <c r="B9064" t="s">
        <v>67</v>
      </c>
      <c r="C9064" t="s">
        <v>597</v>
      </c>
      <c r="D9064">
        <v>1324.63</v>
      </c>
      <c r="E9064" s="37" t="str">
        <f t="shared" si="705"/>
        <v xml:space="preserve"> </v>
      </c>
      <c r="F9064">
        <v>0.24</v>
      </c>
      <c r="G9064" s="37" t="str">
        <f t="shared" si="706"/>
        <v>Normal Discount</v>
      </c>
      <c r="H9064" s="37" t="str">
        <f t="shared" si="707"/>
        <v>Medium</v>
      </c>
      <c r="I9064">
        <v>7</v>
      </c>
      <c r="J9064" t="str" cm="1">
        <f t="array" ref="J9064">_xlfn.IFS(I9064&lt;=3,"small",I9064&lt;=6,"Medium",I9064&lt;=9,"Large")</f>
        <v>Large</v>
      </c>
      <c r="K9064" s="36">
        <v>44933</v>
      </c>
      <c r="L9064" s="36">
        <v>44939</v>
      </c>
      <c r="M9064" t="s">
        <v>598</v>
      </c>
      <c r="N9064" t="s">
        <v>608</v>
      </c>
      <c r="O9064" s="37" t="str">
        <f t="shared" si="708"/>
        <v>Cash Payment</v>
      </c>
      <c r="P9064">
        <v>373.71</v>
      </c>
      <c r="Q9064" s="37" t="str">
        <f>IF(P9064&gt;500,"High","low")</f>
        <v>low</v>
      </c>
      <c r="R9064" s="37" t="str">
        <f t="shared" si="709"/>
        <v>AVERAGE</v>
      </c>
      <c r="S9064" t="s">
        <v>615</v>
      </c>
    </row>
    <row r="9065" spans="1:19" x14ac:dyDescent="0.2">
      <c r="A9065" t="s">
        <v>9676</v>
      </c>
      <c r="B9065" t="s">
        <v>67</v>
      </c>
      <c r="C9065" t="s">
        <v>597</v>
      </c>
      <c r="D9065">
        <v>1636.25</v>
      </c>
      <c r="E9065" s="37" t="str">
        <f t="shared" si="705"/>
        <v xml:space="preserve"> </v>
      </c>
      <c r="F9065">
        <v>0.27</v>
      </c>
      <c r="G9065" s="37" t="str">
        <f t="shared" si="706"/>
        <v>Normal Discount</v>
      </c>
      <c r="H9065" s="37" t="str">
        <f t="shared" si="707"/>
        <v>Medium</v>
      </c>
      <c r="I9065">
        <v>1</v>
      </c>
      <c r="J9065" t="str" cm="1">
        <f t="array" ref="J9065">_xlfn.IFS(I9065&lt;=3,"small",I9065&lt;=6,"Medium",I9065&lt;=9,"Large")</f>
        <v>small</v>
      </c>
      <c r="K9065" s="36">
        <v>45356</v>
      </c>
      <c r="L9065" s="36">
        <v>45357</v>
      </c>
      <c r="M9065" t="s">
        <v>598</v>
      </c>
      <c r="N9065" t="s">
        <v>604</v>
      </c>
      <c r="O9065" s="37" t="str">
        <f t="shared" si="708"/>
        <v>Digital Payment</v>
      </c>
      <c r="P9065">
        <v>227.08</v>
      </c>
      <c r="Q9065" s="37" t="str">
        <f>IF(P9065&gt;500,"High","low")</f>
        <v>low</v>
      </c>
      <c r="R9065" s="37" t="str">
        <f t="shared" si="709"/>
        <v>AVERAGE</v>
      </c>
      <c r="S9065" t="s">
        <v>609</v>
      </c>
    </row>
    <row r="9066" spans="1:19" x14ac:dyDescent="0.2">
      <c r="A9066" t="s">
        <v>9677</v>
      </c>
      <c r="B9066" t="s">
        <v>90</v>
      </c>
      <c r="C9066" t="s">
        <v>607</v>
      </c>
      <c r="D9066">
        <v>2691.66</v>
      </c>
      <c r="E9066" s="37" t="str">
        <f t="shared" si="705"/>
        <v xml:space="preserve"> </v>
      </c>
      <c r="F9066">
        <v>0.31</v>
      </c>
      <c r="G9066" s="37" t="str">
        <f t="shared" si="706"/>
        <v>Heavy Discount</v>
      </c>
      <c r="H9066" s="37" t="str">
        <f t="shared" si="707"/>
        <v>Medium</v>
      </c>
      <c r="I9066">
        <v>3</v>
      </c>
      <c r="J9066" t="str" cm="1">
        <f t="array" ref="J9066">_xlfn.IFS(I9066&lt;=3,"small",I9066&lt;=6,"Medium",I9066&lt;=9,"Large")</f>
        <v>small</v>
      </c>
      <c r="K9066" s="36">
        <v>45262</v>
      </c>
      <c r="L9066" s="36">
        <v>45269</v>
      </c>
      <c r="M9066" t="s">
        <v>603</v>
      </c>
      <c r="N9066" t="s">
        <v>608</v>
      </c>
      <c r="O9066" s="37" t="str">
        <f t="shared" si="708"/>
        <v>Cash Payment</v>
      </c>
      <c r="P9066">
        <v>550.99</v>
      </c>
      <c r="Q9066" s="37" t="str">
        <f>IF(P9066&gt;500,"High","low")</f>
        <v>High</v>
      </c>
      <c r="R9066" s="37" t="str">
        <f t="shared" si="709"/>
        <v>Good</v>
      </c>
      <c r="S9066" t="s">
        <v>615</v>
      </c>
    </row>
    <row r="9067" spans="1:19" x14ac:dyDescent="0.2">
      <c r="A9067" t="s">
        <v>9678</v>
      </c>
      <c r="B9067" t="s">
        <v>83</v>
      </c>
      <c r="C9067" t="s">
        <v>597</v>
      </c>
      <c r="D9067">
        <v>1465.17</v>
      </c>
      <c r="E9067" s="37" t="str">
        <f t="shared" si="705"/>
        <v xml:space="preserve"> </v>
      </c>
      <c r="F9067">
        <v>0.23</v>
      </c>
      <c r="G9067" s="37" t="str">
        <f t="shared" si="706"/>
        <v>Normal Discount</v>
      </c>
      <c r="H9067" s="37" t="str">
        <f t="shared" si="707"/>
        <v>Medium</v>
      </c>
      <c r="I9067">
        <v>7</v>
      </c>
      <c r="J9067" t="str" cm="1">
        <f t="array" ref="J9067">_xlfn.IFS(I9067&lt;=3,"small",I9067&lt;=6,"Medium",I9067&lt;=9,"Large")</f>
        <v>Large</v>
      </c>
      <c r="K9067" s="36">
        <v>45556</v>
      </c>
      <c r="L9067" s="36">
        <v>45557</v>
      </c>
      <c r="M9067" t="s">
        <v>612</v>
      </c>
      <c r="N9067" t="s">
        <v>604</v>
      </c>
      <c r="O9067" s="37" t="str">
        <f t="shared" si="708"/>
        <v>Digital Payment</v>
      </c>
      <c r="P9067">
        <v>300.95999999999998</v>
      </c>
      <c r="Q9067" s="37" t="str">
        <f>IF(P9067&gt;500,"High","low")</f>
        <v>low</v>
      </c>
      <c r="R9067" s="37" t="str">
        <f t="shared" si="709"/>
        <v>AVERAGE</v>
      </c>
      <c r="S9067" t="s">
        <v>605</v>
      </c>
    </row>
    <row r="9068" spans="1:19" x14ac:dyDescent="0.2">
      <c r="A9068" t="s">
        <v>9679</v>
      </c>
      <c r="B9068" t="s">
        <v>83</v>
      </c>
      <c r="C9068" t="s">
        <v>607</v>
      </c>
      <c r="D9068">
        <v>4140.2</v>
      </c>
      <c r="E9068" s="37" t="str">
        <f t="shared" si="705"/>
        <v xml:space="preserve"> </v>
      </c>
      <c r="F9068">
        <v>7.0000000000000007E-2</v>
      </c>
      <c r="G9068" s="37" t="str">
        <f t="shared" si="706"/>
        <v>Normal Discount</v>
      </c>
      <c r="H9068" s="37" t="str">
        <f t="shared" si="707"/>
        <v>Low</v>
      </c>
      <c r="I9068">
        <v>3</v>
      </c>
      <c r="J9068" t="str" cm="1">
        <f t="array" ref="J9068">_xlfn.IFS(I9068&lt;=3,"small",I9068&lt;=6,"Medium",I9068&lt;=9,"Large")</f>
        <v>small</v>
      </c>
      <c r="K9068" s="36">
        <v>45473</v>
      </c>
      <c r="L9068" s="36">
        <v>45476</v>
      </c>
      <c r="M9068" t="s">
        <v>603</v>
      </c>
      <c r="N9068" t="s">
        <v>599</v>
      </c>
      <c r="O9068" s="37" t="str">
        <f t="shared" si="708"/>
        <v>Digital Payment</v>
      </c>
      <c r="P9068">
        <v>503.07</v>
      </c>
      <c r="Q9068" s="37" t="str">
        <f>IF(P9068&gt;500,"High","low")</f>
        <v>High</v>
      </c>
      <c r="R9068" s="37" t="str">
        <f t="shared" si="709"/>
        <v>Good</v>
      </c>
      <c r="S9068" t="s">
        <v>628</v>
      </c>
    </row>
    <row r="9069" spans="1:19" x14ac:dyDescent="0.2">
      <c r="A9069" t="s">
        <v>9680</v>
      </c>
      <c r="B9069" t="s">
        <v>75</v>
      </c>
      <c r="C9069" t="s">
        <v>607</v>
      </c>
      <c r="D9069">
        <v>4114.2299999999996</v>
      </c>
      <c r="E9069" s="37" t="str">
        <f t="shared" si="705"/>
        <v xml:space="preserve"> </v>
      </c>
      <c r="F9069">
        <v>0.08</v>
      </c>
      <c r="G9069" s="37" t="str">
        <f t="shared" si="706"/>
        <v>Normal Discount</v>
      </c>
      <c r="H9069" s="37" t="str">
        <f t="shared" si="707"/>
        <v>Low</v>
      </c>
      <c r="I9069">
        <v>2</v>
      </c>
      <c r="J9069" t="str" cm="1">
        <f t="array" ref="J9069">_xlfn.IFS(I9069&lt;=3,"small",I9069&lt;=6,"Medium",I9069&lt;=9,"Large")</f>
        <v>small</v>
      </c>
      <c r="K9069" s="36">
        <v>45021</v>
      </c>
      <c r="L9069" s="36">
        <v>45026</v>
      </c>
      <c r="M9069" t="s">
        <v>603</v>
      </c>
      <c r="N9069" t="s">
        <v>604</v>
      </c>
      <c r="O9069" s="37" t="str">
        <f t="shared" si="708"/>
        <v>Digital Payment</v>
      </c>
      <c r="P9069">
        <v>676.47</v>
      </c>
      <c r="Q9069" s="37" t="str">
        <f>IF(P9069&gt;500,"High","low")</f>
        <v>High</v>
      </c>
      <c r="R9069" s="37" t="str">
        <f t="shared" si="709"/>
        <v>Good</v>
      </c>
      <c r="S9069" t="s">
        <v>620</v>
      </c>
    </row>
    <row r="9070" spans="1:19" x14ac:dyDescent="0.2">
      <c r="A9070" t="s">
        <v>9681</v>
      </c>
      <c r="B9070" t="s">
        <v>75</v>
      </c>
      <c r="C9070" t="s">
        <v>614</v>
      </c>
      <c r="D9070">
        <v>3649.27</v>
      </c>
      <c r="E9070" s="37" t="str">
        <f t="shared" si="705"/>
        <v xml:space="preserve"> </v>
      </c>
      <c r="F9070">
        <v>0.36</v>
      </c>
      <c r="G9070" s="37" t="str">
        <f t="shared" si="706"/>
        <v>Heavy Discount</v>
      </c>
      <c r="H9070" s="37" t="str">
        <f t="shared" si="707"/>
        <v>Medium</v>
      </c>
      <c r="I9070">
        <v>5</v>
      </c>
      <c r="J9070" t="str" cm="1">
        <f t="array" ref="J9070">_xlfn.IFS(I9070&lt;=3,"small",I9070&lt;=6,"Medium",I9070&lt;=9,"Large")</f>
        <v>Medium</v>
      </c>
      <c r="K9070" s="36">
        <v>44927</v>
      </c>
      <c r="L9070" s="36">
        <v>44934</v>
      </c>
      <c r="M9070" t="s">
        <v>612</v>
      </c>
      <c r="N9070" t="s">
        <v>599</v>
      </c>
      <c r="O9070" s="37" t="str">
        <f t="shared" si="708"/>
        <v>Digital Payment</v>
      </c>
      <c r="P9070">
        <v>562.88</v>
      </c>
      <c r="Q9070" s="37" t="str">
        <f>IF(P9070&gt;500,"High","low")</f>
        <v>High</v>
      </c>
      <c r="R9070" s="37" t="str">
        <f t="shared" si="709"/>
        <v>Good</v>
      </c>
      <c r="S9070" t="s">
        <v>628</v>
      </c>
    </row>
    <row r="9071" spans="1:19" x14ac:dyDescent="0.2">
      <c r="A9071" t="s">
        <v>9682</v>
      </c>
      <c r="B9071" t="s">
        <v>75</v>
      </c>
      <c r="C9071" t="s">
        <v>597</v>
      </c>
      <c r="D9071">
        <v>3477.62</v>
      </c>
      <c r="E9071" s="37" t="str">
        <f t="shared" si="705"/>
        <v xml:space="preserve"> </v>
      </c>
      <c r="F9071">
        <v>0.33</v>
      </c>
      <c r="G9071" s="37" t="str">
        <f t="shared" si="706"/>
        <v>Heavy Discount</v>
      </c>
      <c r="H9071" s="37" t="str">
        <f t="shared" si="707"/>
        <v>Medium</v>
      </c>
      <c r="I9071">
        <v>3</v>
      </c>
      <c r="J9071" t="str" cm="1">
        <f t="array" ref="J9071">_xlfn.IFS(I9071&lt;=3,"small",I9071&lt;=6,"Medium",I9071&lt;=9,"Large")</f>
        <v>small</v>
      </c>
      <c r="K9071" s="36">
        <v>45330</v>
      </c>
      <c r="L9071" s="36">
        <v>45337</v>
      </c>
      <c r="M9071" t="s">
        <v>603</v>
      </c>
      <c r="N9071" t="s">
        <v>599</v>
      </c>
      <c r="O9071" s="37" t="str">
        <f t="shared" si="708"/>
        <v>Digital Payment</v>
      </c>
      <c r="P9071">
        <v>767.5</v>
      </c>
      <c r="Q9071" s="37" t="str">
        <f>IF(P9071&gt;500,"High","low")</f>
        <v>High</v>
      </c>
      <c r="R9071" s="37" t="str">
        <f t="shared" si="709"/>
        <v>Good</v>
      </c>
      <c r="S9071" t="s">
        <v>605</v>
      </c>
    </row>
    <row r="9072" spans="1:19" x14ac:dyDescent="0.2">
      <c r="A9072" t="s">
        <v>9683</v>
      </c>
      <c r="B9072" t="s">
        <v>83</v>
      </c>
      <c r="C9072" t="s">
        <v>614</v>
      </c>
      <c r="D9072">
        <v>2781.78</v>
      </c>
      <c r="E9072" s="37" t="str">
        <f t="shared" si="705"/>
        <v xml:space="preserve"> </v>
      </c>
      <c r="F9072">
        <v>0.13</v>
      </c>
      <c r="G9072" s="37" t="str">
        <f t="shared" si="706"/>
        <v>Normal Discount</v>
      </c>
      <c r="H9072" s="37" t="str">
        <f t="shared" si="707"/>
        <v>Low</v>
      </c>
      <c r="I9072">
        <v>9</v>
      </c>
      <c r="J9072" t="str" cm="1">
        <f t="array" ref="J9072">_xlfn.IFS(I9072&lt;=3,"small",I9072&lt;=6,"Medium",I9072&lt;=9,"Large")</f>
        <v>Large</v>
      </c>
      <c r="K9072" s="36">
        <v>45368</v>
      </c>
      <c r="L9072" s="36">
        <v>45375</v>
      </c>
      <c r="M9072" t="s">
        <v>612</v>
      </c>
      <c r="N9072" t="s">
        <v>604</v>
      </c>
      <c r="O9072" s="37" t="str">
        <f t="shared" si="708"/>
        <v>Digital Payment</v>
      </c>
      <c r="P9072">
        <v>554.9</v>
      </c>
      <c r="Q9072" s="37" t="str">
        <f>IF(P9072&gt;500,"High","low")</f>
        <v>High</v>
      </c>
      <c r="R9072" s="37" t="str">
        <f t="shared" si="709"/>
        <v>Good</v>
      </c>
      <c r="S9072" t="s">
        <v>609</v>
      </c>
    </row>
    <row r="9073" spans="1:19" x14ac:dyDescent="0.2">
      <c r="A9073" t="s">
        <v>9684</v>
      </c>
      <c r="B9073" t="s">
        <v>75</v>
      </c>
      <c r="C9073" t="s">
        <v>597</v>
      </c>
      <c r="D9073">
        <v>1800.85</v>
      </c>
      <c r="E9073" s="37" t="str">
        <f t="shared" si="705"/>
        <v xml:space="preserve"> </v>
      </c>
      <c r="F9073">
        <v>0.22</v>
      </c>
      <c r="G9073" s="37" t="str">
        <f t="shared" si="706"/>
        <v>Normal Discount</v>
      </c>
      <c r="H9073" s="37" t="str">
        <f t="shared" si="707"/>
        <v>Medium</v>
      </c>
      <c r="I9073">
        <v>7</v>
      </c>
      <c r="J9073" t="str" cm="1">
        <f t="array" ref="J9073">_xlfn.IFS(I9073&lt;=3,"small",I9073&lt;=6,"Medium",I9073&lt;=9,"Large")</f>
        <v>Large</v>
      </c>
      <c r="K9073" s="36">
        <v>45657</v>
      </c>
      <c r="L9073" s="36">
        <v>45664</v>
      </c>
      <c r="M9073" t="s">
        <v>598</v>
      </c>
      <c r="N9073" t="s">
        <v>599</v>
      </c>
      <c r="O9073" s="37" t="str">
        <f t="shared" si="708"/>
        <v>Digital Payment</v>
      </c>
      <c r="P9073">
        <v>498.86</v>
      </c>
      <c r="Q9073" s="37" t="str">
        <f>IF(P9073&gt;500,"High","low")</f>
        <v>low</v>
      </c>
      <c r="R9073" s="37" t="str">
        <f t="shared" si="709"/>
        <v>AVERAGE</v>
      </c>
      <c r="S9073" t="s">
        <v>605</v>
      </c>
    </row>
    <row r="9074" spans="1:19" x14ac:dyDescent="0.2">
      <c r="A9074" t="s">
        <v>9685</v>
      </c>
      <c r="B9074" t="s">
        <v>83</v>
      </c>
      <c r="C9074" t="s">
        <v>614</v>
      </c>
      <c r="D9074">
        <v>4201</v>
      </c>
      <c r="E9074" s="37" t="str">
        <f t="shared" si="705"/>
        <v xml:space="preserve"> </v>
      </c>
      <c r="F9074">
        <v>0.15</v>
      </c>
      <c r="G9074" s="37" t="str">
        <f t="shared" si="706"/>
        <v>Normal Discount</v>
      </c>
      <c r="H9074" s="37" t="str">
        <f t="shared" si="707"/>
        <v>Low</v>
      </c>
      <c r="I9074">
        <v>1</v>
      </c>
      <c r="J9074" t="str" cm="1">
        <f t="array" ref="J9074">_xlfn.IFS(I9074&lt;=3,"small",I9074&lt;=6,"Medium",I9074&lt;=9,"Large")</f>
        <v>small</v>
      </c>
      <c r="K9074" s="36">
        <v>45334</v>
      </c>
      <c r="L9074" s="36">
        <v>45340</v>
      </c>
      <c r="M9074" t="s">
        <v>598</v>
      </c>
      <c r="N9074" t="s">
        <v>599</v>
      </c>
      <c r="O9074" s="37" t="str">
        <f t="shared" si="708"/>
        <v>Digital Payment</v>
      </c>
      <c r="P9074">
        <v>472.39</v>
      </c>
      <c r="Q9074" s="37" t="str">
        <f>IF(P9074&gt;500,"High","low")</f>
        <v>low</v>
      </c>
      <c r="R9074" s="37" t="str">
        <f t="shared" si="709"/>
        <v>AVERAGE</v>
      </c>
      <c r="S9074" t="s">
        <v>620</v>
      </c>
    </row>
    <row r="9075" spans="1:19" x14ac:dyDescent="0.2">
      <c r="A9075" t="s">
        <v>9686</v>
      </c>
      <c r="B9075" t="s">
        <v>83</v>
      </c>
      <c r="C9075" t="s">
        <v>614</v>
      </c>
      <c r="D9075">
        <v>4308.28</v>
      </c>
      <c r="E9075" s="37" t="str">
        <f t="shared" si="705"/>
        <v>Excellent Order</v>
      </c>
      <c r="F9075">
        <v>0.09</v>
      </c>
      <c r="G9075" s="37" t="str">
        <f t="shared" si="706"/>
        <v>Normal Discount</v>
      </c>
      <c r="H9075" s="37" t="str">
        <f t="shared" si="707"/>
        <v>Low</v>
      </c>
      <c r="I9075">
        <v>1</v>
      </c>
      <c r="J9075" t="str" cm="1">
        <f t="array" ref="J9075">_xlfn.IFS(I9075&lt;=3,"small",I9075&lt;=6,"Medium",I9075&lt;=9,"Large")</f>
        <v>small</v>
      </c>
      <c r="K9075" s="36">
        <v>45551</v>
      </c>
      <c r="L9075" s="36">
        <v>45555</v>
      </c>
      <c r="M9075" t="s">
        <v>603</v>
      </c>
      <c r="N9075" t="s">
        <v>608</v>
      </c>
      <c r="O9075" s="37" t="str">
        <f t="shared" si="708"/>
        <v>Cash Payment</v>
      </c>
      <c r="P9075">
        <v>862</v>
      </c>
      <c r="Q9075" s="37" t="str">
        <f>IF(P9075&gt;500,"High","low")</f>
        <v>High</v>
      </c>
      <c r="R9075" s="37" t="str">
        <f t="shared" si="709"/>
        <v>Good</v>
      </c>
      <c r="S9075" t="s">
        <v>615</v>
      </c>
    </row>
    <row r="9076" spans="1:19" x14ac:dyDescent="0.2">
      <c r="A9076" t="s">
        <v>9687</v>
      </c>
      <c r="B9076" t="s">
        <v>67</v>
      </c>
      <c r="C9076" t="s">
        <v>614</v>
      </c>
      <c r="D9076">
        <v>342.6</v>
      </c>
      <c r="E9076" s="37" t="str">
        <f t="shared" si="705"/>
        <v xml:space="preserve"> </v>
      </c>
      <c r="F9076">
        <v>0.16</v>
      </c>
      <c r="G9076" s="37" t="str">
        <f t="shared" si="706"/>
        <v>Normal Discount</v>
      </c>
      <c r="H9076" s="37" t="str">
        <f t="shared" si="707"/>
        <v>Low</v>
      </c>
      <c r="I9076">
        <v>6</v>
      </c>
      <c r="J9076" t="str" cm="1">
        <f t="array" ref="J9076">_xlfn.IFS(I9076&lt;=3,"small",I9076&lt;=6,"Medium",I9076&lt;=9,"Large")</f>
        <v>Medium</v>
      </c>
      <c r="K9076" s="36">
        <v>45571</v>
      </c>
      <c r="L9076" s="36">
        <v>45575</v>
      </c>
      <c r="M9076" t="s">
        <v>603</v>
      </c>
      <c r="N9076" t="s">
        <v>608</v>
      </c>
      <c r="O9076" s="37" t="str">
        <f t="shared" si="708"/>
        <v>Cash Payment</v>
      </c>
      <c r="P9076">
        <v>77.099999999999994</v>
      </c>
      <c r="Q9076" s="37" t="str">
        <f>IF(P9076&gt;500,"High","low")</f>
        <v>low</v>
      </c>
      <c r="R9076" s="37" t="str">
        <f t="shared" si="709"/>
        <v>AVERAGE</v>
      </c>
      <c r="S9076" t="s">
        <v>628</v>
      </c>
    </row>
    <row r="9077" spans="1:19" x14ac:dyDescent="0.2">
      <c r="A9077" t="s">
        <v>9688</v>
      </c>
      <c r="B9077" t="s">
        <v>75</v>
      </c>
      <c r="C9077" t="s">
        <v>617</v>
      </c>
      <c r="D9077">
        <v>2053.2399999999998</v>
      </c>
      <c r="E9077" s="37" t="str">
        <f t="shared" si="705"/>
        <v xml:space="preserve"> </v>
      </c>
      <c r="F9077">
        <v>0.13</v>
      </c>
      <c r="G9077" s="37" t="str">
        <f t="shared" si="706"/>
        <v>Normal Discount</v>
      </c>
      <c r="H9077" s="37" t="str">
        <f t="shared" si="707"/>
        <v>Low</v>
      </c>
      <c r="I9077">
        <v>4</v>
      </c>
      <c r="J9077" t="str" cm="1">
        <f t="array" ref="J9077">_xlfn.IFS(I9077&lt;=3,"small",I9077&lt;=6,"Medium",I9077&lt;=9,"Large")</f>
        <v>Medium</v>
      </c>
      <c r="K9077" s="36">
        <v>45302</v>
      </c>
      <c r="L9077" s="36">
        <v>45304</v>
      </c>
      <c r="M9077" t="s">
        <v>598</v>
      </c>
      <c r="N9077" t="s">
        <v>608</v>
      </c>
      <c r="O9077" s="37" t="str">
        <f t="shared" si="708"/>
        <v>Cash Payment</v>
      </c>
      <c r="P9077">
        <v>133.15</v>
      </c>
      <c r="Q9077" s="37" t="str">
        <f>IF(P9077&gt;500,"High","low")</f>
        <v>low</v>
      </c>
      <c r="R9077" s="37" t="str">
        <f t="shared" si="709"/>
        <v>AVERAGE</v>
      </c>
      <c r="S9077" t="s">
        <v>609</v>
      </c>
    </row>
    <row r="9078" spans="1:19" x14ac:dyDescent="0.2">
      <c r="A9078" t="s">
        <v>9689</v>
      </c>
      <c r="B9078" t="s">
        <v>67</v>
      </c>
      <c r="C9078" t="s">
        <v>614</v>
      </c>
      <c r="D9078">
        <v>230.48</v>
      </c>
      <c r="E9078" s="37" t="str">
        <f t="shared" si="705"/>
        <v xml:space="preserve"> </v>
      </c>
      <c r="F9078">
        <v>0.04</v>
      </c>
      <c r="G9078" s="37" t="str">
        <f t="shared" si="706"/>
        <v>Normal Discount</v>
      </c>
      <c r="H9078" s="37" t="str">
        <f t="shared" si="707"/>
        <v>Low</v>
      </c>
      <c r="I9078">
        <v>1</v>
      </c>
      <c r="J9078" t="str" cm="1">
        <f t="array" ref="J9078">_xlfn.IFS(I9078&lt;=3,"small",I9078&lt;=6,"Medium",I9078&lt;=9,"Large")</f>
        <v>small</v>
      </c>
      <c r="K9078" s="36">
        <v>45467</v>
      </c>
      <c r="L9078" s="36">
        <v>45473</v>
      </c>
      <c r="M9078" t="s">
        <v>612</v>
      </c>
      <c r="N9078" t="s">
        <v>599</v>
      </c>
      <c r="O9078" s="37" t="str">
        <f t="shared" si="708"/>
        <v>Digital Payment</v>
      </c>
      <c r="P9078">
        <v>48.18</v>
      </c>
      <c r="Q9078" s="37" t="str">
        <f>IF(P9078&gt;500,"High","low")</f>
        <v>low</v>
      </c>
      <c r="R9078" s="37" t="str">
        <f t="shared" si="709"/>
        <v>AVERAGE</v>
      </c>
      <c r="S9078" t="s">
        <v>609</v>
      </c>
    </row>
    <row r="9079" spans="1:19" x14ac:dyDescent="0.2">
      <c r="A9079" t="s">
        <v>9690</v>
      </c>
      <c r="B9079" t="s">
        <v>90</v>
      </c>
      <c r="C9079" t="s">
        <v>602</v>
      </c>
      <c r="D9079">
        <v>4213.4399999999996</v>
      </c>
      <c r="E9079" s="37" t="str">
        <f t="shared" si="705"/>
        <v>Excellent Order</v>
      </c>
      <c r="F9079">
        <v>0.25</v>
      </c>
      <c r="G9079" s="37" t="str">
        <f t="shared" si="706"/>
        <v>Normal Discount</v>
      </c>
      <c r="H9079" s="37" t="str">
        <f t="shared" si="707"/>
        <v>Medium</v>
      </c>
      <c r="I9079">
        <v>9</v>
      </c>
      <c r="J9079" t="str" cm="1">
        <f t="array" ref="J9079">_xlfn.IFS(I9079&lt;=3,"small",I9079&lt;=6,"Medium",I9079&lt;=9,"Large")</f>
        <v>Large</v>
      </c>
      <c r="K9079" s="36">
        <v>45589</v>
      </c>
      <c r="L9079" s="36">
        <v>45593</v>
      </c>
      <c r="M9079" t="s">
        <v>598</v>
      </c>
      <c r="N9079" t="s">
        <v>604</v>
      </c>
      <c r="O9079" s="37" t="str">
        <f t="shared" si="708"/>
        <v>Digital Payment</v>
      </c>
      <c r="P9079">
        <v>836.43</v>
      </c>
      <c r="Q9079" s="37" t="str">
        <f>IF(P9079&gt;500,"High","low")</f>
        <v>High</v>
      </c>
      <c r="R9079" s="37" t="str">
        <f t="shared" si="709"/>
        <v>Good</v>
      </c>
      <c r="S9079" t="s">
        <v>628</v>
      </c>
    </row>
    <row r="9080" spans="1:19" x14ac:dyDescent="0.2">
      <c r="A9080" t="s">
        <v>9691</v>
      </c>
      <c r="B9080" t="s">
        <v>90</v>
      </c>
      <c r="C9080" t="s">
        <v>602</v>
      </c>
      <c r="D9080">
        <v>967.76</v>
      </c>
      <c r="E9080" s="37" t="str">
        <f t="shared" si="705"/>
        <v xml:space="preserve"> </v>
      </c>
      <c r="F9080">
        <v>0.23</v>
      </c>
      <c r="G9080" s="37" t="str">
        <f t="shared" si="706"/>
        <v>Normal Discount</v>
      </c>
      <c r="H9080" s="37" t="str">
        <f t="shared" si="707"/>
        <v>Medium</v>
      </c>
      <c r="I9080">
        <v>2</v>
      </c>
      <c r="J9080" t="str" cm="1">
        <f t="array" ref="J9080">_xlfn.IFS(I9080&lt;=3,"small",I9080&lt;=6,"Medium",I9080&lt;=9,"Large")</f>
        <v>small</v>
      </c>
      <c r="K9080" s="36">
        <v>45384</v>
      </c>
      <c r="L9080" s="36">
        <v>45390</v>
      </c>
      <c r="M9080" t="s">
        <v>603</v>
      </c>
      <c r="N9080" t="s">
        <v>604</v>
      </c>
      <c r="O9080" s="37" t="str">
        <f t="shared" si="708"/>
        <v>Digital Payment</v>
      </c>
      <c r="P9080">
        <v>125.62</v>
      </c>
      <c r="Q9080" s="37" t="str">
        <f>IF(P9080&gt;500,"High","low")</f>
        <v>low</v>
      </c>
      <c r="R9080" s="37" t="str">
        <f t="shared" si="709"/>
        <v>AVERAGE</v>
      </c>
      <c r="S9080" t="s">
        <v>628</v>
      </c>
    </row>
    <row r="9081" spans="1:19" x14ac:dyDescent="0.2">
      <c r="A9081" t="s">
        <v>9692</v>
      </c>
      <c r="B9081" t="s">
        <v>90</v>
      </c>
      <c r="C9081" t="s">
        <v>602</v>
      </c>
      <c r="D9081">
        <v>3401.95</v>
      </c>
      <c r="E9081" s="37" t="str">
        <f t="shared" si="705"/>
        <v xml:space="preserve"> </v>
      </c>
      <c r="F9081">
        <v>0.36</v>
      </c>
      <c r="G9081" s="37" t="str">
        <f t="shared" si="706"/>
        <v>Heavy Discount</v>
      </c>
      <c r="H9081" s="37" t="str">
        <f t="shared" si="707"/>
        <v>Medium</v>
      </c>
      <c r="I9081">
        <v>1</v>
      </c>
      <c r="J9081" t="str" cm="1">
        <f t="array" ref="J9081">_xlfn.IFS(I9081&lt;=3,"small",I9081&lt;=6,"Medium",I9081&lt;=9,"Large")</f>
        <v>small</v>
      </c>
      <c r="K9081" s="36">
        <v>45004</v>
      </c>
      <c r="L9081" s="36">
        <v>45007</v>
      </c>
      <c r="M9081" t="s">
        <v>598</v>
      </c>
      <c r="N9081" t="s">
        <v>599</v>
      </c>
      <c r="O9081" s="37" t="str">
        <f t="shared" si="708"/>
        <v>Digital Payment</v>
      </c>
      <c r="P9081">
        <v>1007.74</v>
      </c>
      <c r="Q9081" s="37" t="str">
        <f>IF(P9081&gt;500,"High","low")</f>
        <v>High</v>
      </c>
      <c r="R9081" s="37" t="str">
        <f t="shared" si="709"/>
        <v>Excellent</v>
      </c>
      <c r="S9081" t="s">
        <v>609</v>
      </c>
    </row>
    <row r="9082" spans="1:19" x14ac:dyDescent="0.2">
      <c r="A9082" t="s">
        <v>9693</v>
      </c>
      <c r="B9082" t="s">
        <v>83</v>
      </c>
      <c r="C9082" t="s">
        <v>607</v>
      </c>
      <c r="D9082">
        <v>1851.14</v>
      </c>
      <c r="E9082" s="37" t="str">
        <f t="shared" si="705"/>
        <v xml:space="preserve"> </v>
      </c>
      <c r="F9082">
        <v>0.31</v>
      </c>
      <c r="G9082" s="37" t="str">
        <f t="shared" si="706"/>
        <v>Heavy Discount</v>
      </c>
      <c r="H9082" s="37" t="str">
        <f t="shared" si="707"/>
        <v>Medium</v>
      </c>
      <c r="I9082">
        <v>3</v>
      </c>
      <c r="J9082" t="str" cm="1">
        <f t="array" ref="J9082">_xlfn.IFS(I9082&lt;=3,"small",I9082&lt;=6,"Medium",I9082&lt;=9,"Large")</f>
        <v>small</v>
      </c>
      <c r="K9082" s="36">
        <v>45297</v>
      </c>
      <c r="L9082" s="36">
        <v>45299</v>
      </c>
      <c r="M9082" t="s">
        <v>598</v>
      </c>
      <c r="N9082" t="s">
        <v>604</v>
      </c>
      <c r="O9082" s="37" t="str">
        <f t="shared" si="708"/>
        <v>Digital Payment</v>
      </c>
      <c r="P9082">
        <v>281.12</v>
      </c>
      <c r="Q9082" s="37" t="str">
        <f>IF(P9082&gt;500,"High","low")</f>
        <v>low</v>
      </c>
      <c r="R9082" s="37" t="str">
        <f t="shared" si="709"/>
        <v>AVERAGE</v>
      </c>
      <c r="S9082" t="s">
        <v>615</v>
      </c>
    </row>
    <row r="9083" spans="1:19" x14ac:dyDescent="0.2">
      <c r="A9083" t="s">
        <v>9694</v>
      </c>
      <c r="B9083" t="s">
        <v>83</v>
      </c>
      <c r="C9083" t="s">
        <v>614</v>
      </c>
      <c r="D9083">
        <v>4098.72</v>
      </c>
      <c r="E9083" s="37" t="str">
        <f t="shared" si="705"/>
        <v xml:space="preserve"> </v>
      </c>
      <c r="F9083">
        <v>0.17</v>
      </c>
      <c r="G9083" s="37" t="str">
        <f t="shared" si="706"/>
        <v>Normal Discount</v>
      </c>
      <c r="H9083" s="37" t="str">
        <f t="shared" si="707"/>
        <v>Low</v>
      </c>
      <c r="I9083">
        <v>1</v>
      </c>
      <c r="J9083" t="str" cm="1">
        <f t="array" ref="J9083">_xlfn.IFS(I9083&lt;=3,"small",I9083&lt;=6,"Medium",I9083&lt;=9,"Large")</f>
        <v>small</v>
      </c>
      <c r="K9083" s="36">
        <v>45051</v>
      </c>
      <c r="L9083" s="36">
        <v>45055</v>
      </c>
      <c r="M9083" t="s">
        <v>612</v>
      </c>
      <c r="N9083" t="s">
        <v>599</v>
      </c>
      <c r="O9083" s="37" t="str">
        <f t="shared" si="708"/>
        <v>Digital Payment</v>
      </c>
      <c r="P9083">
        <v>383.5</v>
      </c>
      <c r="Q9083" s="37" t="str">
        <f>IF(P9083&gt;500,"High","low")</f>
        <v>low</v>
      </c>
      <c r="R9083" s="37" t="str">
        <f t="shared" si="709"/>
        <v>AVERAGE</v>
      </c>
      <c r="S9083" t="s">
        <v>628</v>
      </c>
    </row>
    <row r="9084" spans="1:19" x14ac:dyDescent="0.2">
      <c r="A9084" t="s">
        <v>9695</v>
      </c>
      <c r="B9084" t="s">
        <v>83</v>
      </c>
      <c r="C9084" t="s">
        <v>602</v>
      </c>
      <c r="D9084">
        <v>2597.4699999999998</v>
      </c>
      <c r="E9084" s="37" t="str">
        <f t="shared" si="705"/>
        <v xml:space="preserve"> </v>
      </c>
      <c r="F9084">
        <v>0.25</v>
      </c>
      <c r="G9084" s="37" t="str">
        <f t="shared" si="706"/>
        <v>Normal Discount</v>
      </c>
      <c r="H9084" s="37" t="str">
        <f t="shared" si="707"/>
        <v>Medium</v>
      </c>
      <c r="I9084">
        <v>4</v>
      </c>
      <c r="J9084" t="str" cm="1">
        <f t="array" ref="J9084">_xlfn.IFS(I9084&lt;=3,"small",I9084&lt;=6,"Medium",I9084&lt;=9,"Large")</f>
        <v>Medium</v>
      </c>
      <c r="K9084" s="36">
        <v>45610</v>
      </c>
      <c r="L9084" s="36">
        <v>45616</v>
      </c>
      <c r="M9084" t="s">
        <v>598</v>
      </c>
      <c r="N9084" t="s">
        <v>608</v>
      </c>
      <c r="O9084" s="37" t="str">
        <f t="shared" si="708"/>
        <v>Cash Payment</v>
      </c>
      <c r="P9084">
        <v>489.6</v>
      </c>
      <c r="Q9084" s="37" t="str">
        <f>IF(P9084&gt;500,"High","low")</f>
        <v>low</v>
      </c>
      <c r="R9084" s="37" t="str">
        <f t="shared" si="709"/>
        <v>AVERAGE</v>
      </c>
      <c r="S9084" t="s">
        <v>609</v>
      </c>
    </row>
    <row r="9085" spans="1:19" x14ac:dyDescent="0.2">
      <c r="A9085" t="s">
        <v>9696</v>
      </c>
      <c r="B9085" t="s">
        <v>75</v>
      </c>
      <c r="C9085" t="s">
        <v>607</v>
      </c>
      <c r="D9085">
        <v>1689.57</v>
      </c>
      <c r="E9085" s="37" t="str">
        <f t="shared" si="705"/>
        <v xml:space="preserve"> </v>
      </c>
      <c r="F9085">
        <v>0.27</v>
      </c>
      <c r="G9085" s="37" t="str">
        <f t="shared" si="706"/>
        <v>Normal Discount</v>
      </c>
      <c r="H9085" s="37" t="str">
        <f t="shared" si="707"/>
        <v>Medium</v>
      </c>
      <c r="I9085">
        <v>4</v>
      </c>
      <c r="J9085" t="str" cm="1">
        <f t="array" ref="J9085">_xlfn.IFS(I9085&lt;=3,"small",I9085&lt;=6,"Medium",I9085&lt;=9,"Large")</f>
        <v>Medium</v>
      </c>
      <c r="K9085" s="36">
        <v>45110</v>
      </c>
      <c r="L9085" s="36">
        <v>45114</v>
      </c>
      <c r="M9085" t="s">
        <v>612</v>
      </c>
      <c r="N9085" t="s">
        <v>599</v>
      </c>
      <c r="O9085" s="37" t="str">
        <f t="shared" si="708"/>
        <v>Digital Payment</v>
      </c>
      <c r="P9085">
        <v>236.25</v>
      </c>
      <c r="Q9085" s="37" t="str">
        <f>IF(P9085&gt;500,"High","low")</f>
        <v>low</v>
      </c>
      <c r="R9085" s="37" t="str">
        <f t="shared" si="709"/>
        <v>AVERAGE</v>
      </c>
      <c r="S9085" t="s">
        <v>628</v>
      </c>
    </row>
    <row r="9086" spans="1:19" x14ac:dyDescent="0.2">
      <c r="A9086" t="s">
        <v>9697</v>
      </c>
      <c r="B9086" t="s">
        <v>67</v>
      </c>
      <c r="C9086" t="s">
        <v>602</v>
      </c>
      <c r="D9086">
        <v>1686.97</v>
      </c>
      <c r="E9086" s="37" t="str">
        <f t="shared" si="705"/>
        <v xml:space="preserve"> </v>
      </c>
      <c r="F9086">
        <v>0.46</v>
      </c>
      <c r="G9086" s="37" t="str">
        <f t="shared" si="706"/>
        <v>Heavy Discount</v>
      </c>
      <c r="H9086" s="37" t="str">
        <f t="shared" si="707"/>
        <v>High</v>
      </c>
      <c r="I9086">
        <v>6</v>
      </c>
      <c r="J9086" t="str" cm="1">
        <f t="array" ref="J9086">_xlfn.IFS(I9086&lt;=3,"small",I9086&lt;=6,"Medium",I9086&lt;=9,"Large")</f>
        <v>Medium</v>
      </c>
      <c r="K9086" s="36">
        <v>45458</v>
      </c>
      <c r="L9086" s="36">
        <v>45459</v>
      </c>
      <c r="M9086" t="s">
        <v>598</v>
      </c>
      <c r="N9086" t="s">
        <v>604</v>
      </c>
      <c r="O9086" s="37" t="str">
        <f t="shared" si="708"/>
        <v>Digital Payment</v>
      </c>
      <c r="P9086">
        <v>182.28</v>
      </c>
      <c r="Q9086" s="37" t="str">
        <f>IF(P9086&gt;500,"High","low")</f>
        <v>low</v>
      </c>
      <c r="R9086" s="37" t="str">
        <f t="shared" si="709"/>
        <v>AVERAGE</v>
      </c>
      <c r="S9086" t="s">
        <v>605</v>
      </c>
    </row>
    <row r="9087" spans="1:19" x14ac:dyDescent="0.2">
      <c r="A9087" t="s">
        <v>9698</v>
      </c>
      <c r="B9087" t="s">
        <v>83</v>
      </c>
      <c r="C9087" t="s">
        <v>597</v>
      </c>
      <c r="D9087">
        <v>1701.94</v>
      </c>
      <c r="E9087" s="37" t="str">
        <f t="shared" si="705"/>
        <v xml:space="preserve"> </v>
      </c>
      <c r="F9087">
        <v>0.49</v>
      </c>
      <c r="G9087" s="37" t="str">
        <f t="shared" si="706"/>
        <v>Heavy Discount</v>
      </c>
      <c r="H9087" s="37" t="str">
        <f t="shared" si="707"/>
        <v>High</v>
      </c>
      <c r="I9087">
        <v>3</v>
      </c>
      <c r="J9087" t="str" cm="1">
        <f t="array" ref="J9087">_xlfn.IFS(I9087&lt;=3,"small",I9087&lt;=6,"Medium",I9087&lt;=9,"Large")</f>
        <v>small</v>
      </c>
      <c r="K9087" s="36">
        <v>45248</v>
      </c>
      <c r="L9087" s="36">
        <v>45255</v>
      </c>
      <c r="M9087" t="s">
        <v>612</v>
      </c>
      <c r="N9087" t="s">
        <v>604</v>
      </c>
      <c r="O9087" s="37" t="str">
        <f t="shared" si="708"/>
        <v>Digital Payment</v>
      </c>
      <c r="P9087">
        <v>228.03</v>
      </c>
      <c r="Q9087" s="37" t="str">
        <f>IF(P9087&gt;500,"High","low")</f>
        <v>low</v>
      </c>
      <c r="R9087" s="37" t="str">
        <f t="shared" si="709"/>
        <v>AVERAGE</v>
      </c>
      <c r="S9087" t="s">
        <v>615</v>
      </c>
    </row>
    <row r="9088" spans="1:19" x14ac:dyDescent="0.2">
      <c r="A9088" t="s">
        <v>9699</v>
      </c>
      <c r="B9088" t="s">
        <v>67</v>
      </c>
      <c r="C9088" t="s">
        <v>617</v>
      </c>
      <c r="D9088">
        <v>3964.04</v>
      </c>
      <c r="E9088" s="37" t="str">
        <f t="shared" si="705"/>
        <v xml:space="preserve"> </v>
      </c>
      <c r="F9088">
        <v>0.41</v>
      </c>
      <c r="G9088" s="37" t="str">
        <f t="shared" si="706"/>
        <v>Heavy Discount</v>
      </c>
      <c r="H9088" s="37" t="str">
        <f t="shared" si="707"/>
        <v>High</v>
      </c>
      <c r="I9088">
        <v>9</v>
      </c>
      <c r="J9088" t="str" cm="1">
        <f t="array" ref="J9088">_xlfn.IFS(I9088&lt;=3,"small",I9088&lt;=6,"Medium",I9088&lt;=9,"Large")</f>
        <v>Large</v>
      </c>
      <c r="K9088" s="36">
        <v>44959</v>
      </c>
      <c r="L9088" s="36">
        <v>44960</v>
      </c>
      <c r="M9088" t="s">
        <v>612</v>
      </c>
      <c r="N9088" t="s">
        <v>608</v>
      </c>
      <c r="O9088" s="37" t="str">
        <f t="shared" si="708"/>
        <v>Cash Payment</v>
      </c>
      <c r="P9088">
        <v>925.76</v>
      </c>
      <c r="Q9088" s="37" t="str">
        <f>IF(P9088&gt;500,"High","low")</f>
        <v>High</v>
      </c>
      <c r="R9088" s="37" t="str">
        <f t="shared" si="709"/>
        <v>Good</v>
      </c>
      <c r="S9088" t="s">
        <v>620</v>
      </c>
    </row>
    <row r="9089" spans="1:19" x14ac:dyDescent="0.2">
      <c r="A9089" t="s">
        <v>9700</v>
      </c>
      <c r="B9089" t="s">
        <v>67</v>
      </c>
      <c r="C9089" t="s">
        <v>614</v>
      </c>
      <c r="D9089">
        <v>3584.47</v>
      </c>
      <c r="E9089" s="37" t="str">
        <f t="shared" si="705"/>
        <v xml:space="preserve"> </v>
      </c>
      <c r="F9089">
        <v>0.28000000000000003</v>
      </c>
      <c r="G9089" s="37" t="str">
        <f t="shared" si="706"/>
        <v>Normal Discount</v>
      </c>
      <c r="H9089" s="37" t="str">
        <f t="shared" si="707"/>
        <v>Medium</v>
      </c>
      <c r="I9089">
        <v>6</v>
      </c>
      <c r="J9089" t="str" cm="1">
        <f t="array" ref="J9089">_xlfn.IFS(I9089&lt;=3,"small",I9089&lt;=6,"Medium",I9089&lt;=9,"Large")</f>
        <v>Medium</v>
      </c>
      <c r="K9089" s="36">
        <v>45357</v>
      </c>
      <c r="L9089" s="36">
        <v>45361</v>
      </c>
      <c r="M9089" t="s">
        <v>598</v>
      </c>
      <c r="N9089" t="s">
        <v>604</v>
      </c>
      <c r="O9089" s="37" t="str">
        <f t="shared" si="708"/>
        <v>Digital Payment</v>
      </c>
      <c r="P9089">
        <v>447.55</v>
      </c>
      <c r="Q9089" s="37" t="str">
        <f>IF(P9089&gt;500,"High","low")</f>
        <v>low</v>
      </c>
      <c r="R9089" s="37" t="str">
        <f t="shared" si="709"/>
        <v>AVERAGE</v>
      </c>
      <c r="S9089" t="s">
        <v>620</v>
      </c>
    </row>
    <row r="9090" spans="1:19" x14ac:dyDescent="0.2">
      <c r="A9090" t="s">
        <v>9701</v>
      </c>
      <c r="B9090" t="s">
        <v>67</v>
      </c>
      <c r="C9090" t="s">
        <v>617</v>
      </c>
      <c r="D9090">
        <v>1664.15</v>
      </c>
      <c r="E9090" s="37" t="str">
        <f t="shared" si="705"/>
        <v xml:space="preserve"> </v>
      </c>
      <c r="F9090">
        <v>0.46</v>
      </c>
      <c r="G9090" s="37" t="str">
        <f t="shared" si="706"/>
        <v>Heavy Discount</v>
      </c>
      <c r="H9090" s="37" t="str">
        <f t="shared" si="707"/>
        <v>High</v>
      </c>
      <c r="I9090">
        <v>7</v>
      </c>
      <c r="J9090" t="str" cm="1">
        <f t="array" ref="J9090">_xlfn.IFS(I9090&lt;=3,"small",I9090&lt;=6,"Medium",I9090&lt;=9,"Large")</f>
        <v>Large</v>
      </c>
      <c r="K9090" s="36">
        <v>45428</v>
      </c>
      <c r="L9090" s="36">
        <v>45434</v>
      </c>
      <c r="M9090" t="s">
        <v>598</v>
      </c>
      <c r="N9090" t="s">
        <v>599</v>
      </c>
      <c r="O9090" s="37" t="str">
        <f t="shared" si="708"/>
        <v>Digital Payment</v>
      </c>
      <c r="P9090">
        <v>322.93</v>
      </c>
      <c r="Q9090" s="37" t="str">
        <f>IF(P9090&gt;500,"High","low")</f>
        <v>low</v>
      </c>
      <c r="R9090" s="37" t="str">
        <f t="shared" si="709"/>
        <v>AVERAGE</v>
      </c>
      <c r="S9090" t="s">
        <v>600</v>
      </c>
    </row>
    <row r="9091" spans="1:19" x14ac:dyDescent="0.2">
      <c r="A9091" t="s">
        <v>9702</v>
      </c>
      <c r="B9091" t="s">
        <v>75</v>
      </c>
      <c r="C9091" t="s">
        <v>617</v>
      </c>
      <c r="D9091">
        <v>2502.02</v>
      </c>
      <c r="E9091" s="37" t="str">
        <f t="shared" ref="E9091:E9154" si="710">IF(AND(D9091&gt;4000,P9091&gt;800),"Excellent Order"," ")</f>
        <v xml:space="preserve"> </v>
      </c>
      <c r="F9091">
        <v>0.09</v>
      </c>
      <c r="G9091" s="37" t="str">
        <f t="shared" ref="G9091:G9154" si="711">IF(F9091&gt;30%,"Heavy Discount","Normal Discount")</f>
        <v>Normal Discount</v>
      </c>
      <c r="H9091" s="37" t="str">
        <f t="shared" ref="H9091:H9154" si="712">IF(F9091&gt;0.4,"High",IF(F9091&gt;=0.2,"Medium","Low"))</f>
        <v>Low</v>
      </c>
      <c r="I9091">
        <v>6</v>
      </c>
      <c r="J9091" t="str" cm="1">
        <f t="array" ref="J9091">_xlfn.IFS(I9091&lt;=3,"small",I9091&lt;=6,"Medium",I9091&lt;=9,"Large")</f>
        <v>Medium</v>
      </c>
      <c r="K9091" s="36">
        <v>45611</v>
      </c>
      <c r="L9091" s="36">
        <v>45617</v>
      </c>
      <c r="M9091" t="s">
        <v>598</v>
      </c>
      <c r="N9091" t="s">
        <v>604</v>
      </c>
      <c r="O9091" s="37" t="str">
        <f t="shared" ref="O9091:O9154" si="713">IF(OR(N9091="Card",N9091="UPI"),"Digital Payment","Cash Payment")</f>
        <v>Digital Payment</v>
      </c>
      <c r="P9091">
        <v>125.37</v>
      </c>
      <c r="Q9091" s="37" t="str">
        <f>IF(P9091&gt;500,"High","low")</f>
        <v>low</v>
      </c>
      <c r="R9091" s="37" t="str">
        <f t="shared" ref="R9091:R9154" si="714">IF(P9091&gt;1000,"Excellent",IF(P9091&gt;=500,"Good","AVERAGE"))</f>
        <v>AVERAGE</v>
      </c>
      <c r="S9091" t="s">
        <v>628</v>
      </c>
    </row>
    <row r="9092" spans="1:19" x14ac:dyDescent="0.2">
      <c r="A9092" t="s">
        <v>9703</v>
      </c>
      <c r="B9092" t="s">
        <v>75</v>
      </c>
      <c r="C9092" t="s">
        <v>597</v>
      </c>
      <c r="D9092">
        <v>473.15</v>
      </c>
      <c r="E9092" s="37" t="str">
        <f t="shared" si="710"/>
        <v xml:space="preserve"> </v>
      </c>
      <c r="F9092">
        <v>0.35</v>
      </c>
      <c r="G9092" s="37" t="str">
        <f t="shared" si="711"/>
        <v>Heavy Discount</v>
      </c>
      <c r="H9092" s="37" t="str">
        <f t="shared" si="712"/>
        <v>Medium</v>
      </c>
      <c r="I9092">
        <v>9</v>
      </c>
      <c r="J9092" t="str" cm="1">
        <f t="array" ref="J9092">_xlfn.IFS(I9092&lt;=3,"small",I9092&lt;=6,"Medium",I9092&lt;=9,"Large")</f>
        <v>Large</v>
      </c>
      <c r="K9092" s="36">
        <v>45647</v>
      </c>
      <c r="L9092" s="36">
        <v>45653</v>
      </c>
      <c r="M9092" t="s">
        <v>612</v>
      </c>
      <c r="N9092" t="s">
        <v>608</v>
      </c>
      <c r="O9092" s="37" t="str">
        <f t="shared" si="713"/>
        <v>Cash Payment</v>
      </c>
      <c r="P9092">
        <v>37.159999999999997</v>
      </c>
      <c r="Q9092" s="37" t="str">
        <f>IF(P9092&gt;500,"High","low")</f>
        <v>low</v>
      </c>
      <c r="R9092" s="37" t="str">
        <f t="shared" si="714"/>
        <v>AVERAGE</v>
      </c>
      <c r="S9092" t="s">
        <v>615</v>
      </c>
    </row>
    <row r="9093" spans="1:19" x14ac:dyDescent="0.2">
      <c r="A9093" t="s">
        <v>9704</v>
      </c>
      <c r="B9093" t="s">
        <v>90</v>
      </c>
      <c r="C9093" t="s">
        <v>597</v>
      </c>
      <c r="D9093">
        <v>4154.75</v>
      </c>
      <c r="E9093" s="37" t="str">
        <f t="shared" si="710"/>
        <v>Excellent Order</v>
      </c>
      <c r="F9093">
        <v>0.23</v>
      </c>
      <c r="G9093" s="37" t="str">
        <f t="shared" si="711"/>
        <v>Normal Discount</v>
      </c>
      <c r="H9093" s="37" t="str">
        <f t="shared" si="712"/>
        <v>Medium</v>
      </c>
      <c r="I9093">
        <v>2</v>
      </c>
      <c r="J9093" t="str" cm="1">
        <f t="array" ref="J9093">_xlfn.IFS(I9093&lt;=3,"small",I9093&lt;=6,"Medium",I9093&lt;=9,"Large")</f>
        <v>small</v>
      </c>
      <c r="K9093" s="36">
        <v>45124</v>
      </c>
      <c r="L9093" s="36">
        <v>45126</v>
      </c>
      <c r="M9093" t="s">
        <v>603</v>
      </c>
      <c r="N9093" t="s">
        <v>599</v>
      </c>
      <c r="O9093" s="37" t="str">
        <f t="shared" si="713"/>
        <v>Digital Payment</v>
      </c>
      <c r="P9093">
        <v>982.08</v>
      </c>
      <c r="Q9093" s="37" t="str">
        <f>IF(P9093&gt;500,"High","low")</f>
        <v>High</v>
      </c>
      <c r="R9093" s="37" t="str">
        <f t="shared" si="714"/>
        <v>Good</v>
      </c>
      <c r="S9093" t="s">
        <v>600</v>
      </c>
    </row>
    <row r="9094" spans="1:19" x14ac:dyDescent="0.2">
      <c r="A9094" t="s">
        <v>9705</v>
      </c>
      <c r="B9094" t="s">
        <v>90</v>
      </c>
      <c r="C9094" t="s">
        <v>597</v>
      </c>
      <c r="D9094">
        <v>1403.18</v>
      </c>
      <c r="E9094" s="37" t="str">
        <f t="shared" si="710"/>
        <v xml:space="preserve"> </v>
      </c>
      <c r="F9094">
        <v>7.0000000000000007E-2</v>
      </c>
      <c r="G9094" s="37" t="str">
        <f t="shared" si="711"/>
        <v>Normal Discount</v>
      </c>
      <c r="H9094" s="37" t="str">
        <f t="shared" si="712"/>
        <v>Low</v>
      </c>
      <c r="I9094">
        <v>8</v>
      </c>
      <c r="J9094" t="str" cm="1">
        <f t="array" ref="J9094">_xlfn.IFS(I9094&lt;=3,"small",I9094&lt;=6,"Medium",I9094&lt;=9,"Large")</f>
        <v>Large</v>
      </c>
      <c r="K9094" s="36">
        <v>45645</v>
      </c>
      <c r="L9094" s="36">
        <v>45652</v>
      </c>
      <c r="M9094" t="s">
        <v>603</v>
      </c>
      <c r="N9094" t="s">
        <v>599</v>
      </c>
      <c r="O9094" s="37" t="str">
        <f t="shared" si="713"/>
        <v>Digital Payment</v>
      </c>
      <c r="P9094">
        <v>142.27000000000001</v>
      </c>
      <c r="Q9094" s="37" t="str">
        <f>IF(P9094&gt;500,"High","low")</f>
        <v>low</v>
      </c>
      <c r="R9094" s="37" t="str">
        <f t="shared" si="714"/>
        <v>AVERAGE</v>
      </c>
      <c r="S9094" t="s">
        <v>628</v>
      </c>
    </row>
    <row r="9095" spans="1:19" x14ac:dyDescent="0.2">
      <c r="A9095" t="s">
        <v>9706</v>
      </c>
      <c r="B9095" t="s">
        <v>67</v>
      </c>
      <c r="C9095" t="s">
        <v>607</v>
      </c>
      <c r="D9095">
        <v>4457.2</v>
      </c>
      <c r="E9095" s="37" t="str">
        <f t="shared" si="710"/>
        <v>Excellent Order</v>
      </c>
      <c r="F9095">
        <v>0.04</v>
      </c>
      <c r="G9095" s="37" t="str">
        <f t="shared" si="711"/>
        <v>Normal Discount</v>
      </c>
      <c r="H9095" s="37" t="str">
        <f t="shared" si="712"/>
        <v>Low</v>
      </c>
      <c r="I9095">
        <v>5</v>
      </c>
      <c r="J9095" t="str" cm="1">
        <f t="array" ref="J9095">_xlfn.IFS(I9095&lt;=3,"small",I9095&lt;=6,"Medium",I9095&lt;=9,"Large")</f>
        <v>Medium</v>
      </c>
      <c r="K9095" s="36">
        <v>45238</v>
      </c>
      <c r="L9095" s="36">
        <v>45241</v>
      </c>
      <c r="M9095" t="s">
        <v>612</v>
      </c>
      <c r="N9095" t="s">
        <v>599</v>
      </c>
      <c r="O9095" s="37" t="str">
        <f t="shared" si="713"/>
        <v>Digital Payment</v>
      </c>
      <c r="P9095">
        <v>1106.96</v>
      </c>
      <c r="Q9095" s="37" t="str">
        <f>IF(P9095&gt;500,"High","low")</f>
        <v>High</v>
      </c>
      <c r="R9095" s="37" t="str">
        <f t="shared" si="714"/>
        <v>Excellent</v>
      </c>
      <c r="S9095" t="s">
        <v>609</v>
      </c>
    </row>
    <row r="9096" spans="1:19" x14ac:dyDescent="0.2">
      <c r="A9096" t="s">
        <v>9707</v>
      </c>
      <c r="B9096" t="s">
        <v>90</v>
      </c>
      <c r="C9096" t="s">
        <v>602</v>
      </c>
      <c r="D9096">
        <v>3024.3</v>
      </c>
      <c r="E9096" s="37" t="str">
        <f t="shared" si="710"/>
        <v xml:space="preserve"> </v>
      </c>
      <c r="F9096">
        <v>0.24</v>
      </c>
      <c r="G9096" s="37" t="str">
        <f t="shared" si="711"/>
        <v>Normal Discount</v>
      </c>
      <c r="H9096" s="37" t="str">
        <f t="shared" si="712"/>
        <v>Medium</v>
      </c>
      <c r="I9096">
        <v>2</v>
      </c>
      <c r="J9096" t="str" cm="1">
        <f t="array" ref="J9096">_xlfn.IFS(I9096&lt;=3,"small",I9096&lt;=6,"Medium",I9096&lt;=9,"Large")</f>
        <v>small</v>
      </c>
      <c r="K9096" s="36">
        <v>45249</v>
      </c>
      <c r="L9096" s="36">
        <v>45255</v>
      </c>
      <c r="M9096" t="s">
        <v>612</v>
      </c>
      <c r="N9096" t="s">
        <v>608</v>
      </c>
      <c r="O9096" s="37" t="str">
        <f t="shared" si="713"/>
        <v>Cash Payment</v>
      </c>
      <c r="P9096">
        <v>359.53</v>
      </c>
      <c r="Q9096" s="37" t="str">
        <f>IF(P9096&gt;500,"High","low")</f>
        <v>low</v>
      </c>
      <c r="R9096" s="37" t="str">
        <f t="shared" si="714"/>
        <v>AVERAGE</v>
      </c>
      <c r="S9096" t="s">
        <v>609</v>
      </c>
    </row>
    <row r="9097" spans="1:19" x14ac:dyDescent="0.2">
      <c r="A9097" t="s">
        <v>9708</v>
      </c>
      <c r="B9097" t="s">
        <v>67</v>
      </c>
      <c r="C9097" t="s">
        <v>614</v>
      </c>
      <c r="D9097">
        <v>2882.32</v>
      </c>
      <c r="E9097" s="37" t="str">
        <f t="shared" si="710"/>
        <v xml:space="preserve"> </v>
      </c>
      <c r="F9097">
        <v>0.12</v>
      </c>
      <c r="G9097" s="37" t="str">
        <f t="shared" si="711"/>
        <v>Normal Discount</v>
      </c>
      <c r="H9097" s="37" t="str">
        <f t="shared" si="712"/>
        <v>Low</v>
      </c>
      <c r="I9097">
        <v>7</v>
      </c>
      <c r="J9097" t="str" cm="1">
        <f t="array" ref="J9097">_xlfn.IFS(I9097&lt;=3,"small",I9097&lt;=6,"Medium",I9097&lt;=9,"Large")</f>
        <v>Large</v>
      </c>
      <c r="K9097" s="36">
        <v>44969</v>
      </c>
      <c r="L9097" s="36">
        <v>44973</v>
      </c>
      <c r="M9097" t="s">
        <v>612</v>
      </c>
      <c r="N9097" t="s">
        <v>604</v>
      </c>
      <c r="O9097" s="37" t="str">
        <f t="shared" si="713"/>
        <v>Digital Payment</v>
      </c>
      <c r="P9097">
        <v>294.39</v>
      </c>
      <c r="Q9097" s="37" t="str">
        <f>IF(P9097&gt;500,"High","low")</f>
        <v>low</v>
      </c>
      <c r="R9097" s="37" t="str">
        <f t="shared" si="714"/>
        <v>AVERAGE</v>
      </c>
      <c r="S9097" t="s">
        <v>620</v>
      </c>
    </row>
    <row r="9098" spans="1:19" x14ac:dyDescent="0.2">
      <c r="A9098" t="s">
        <v>9709</v>
      </c>
      <c r="B9098" t="s">
        <v>75</v>
      </c>
      <c r="C9098" t="s">
        <v>597</v>
      </c>
      <c r="D9098">
        <v>897.32</v>
      </c>
      <c r="E9098" s="37" t="str">
        <f t="shared" si="710"/>
        <v xml:space="preserve"> </v>
      </c>
      <c r="F9098">
        <v>0.13</v>
      </c>
      <c r="G9098" s="37" t="str">
        <f t="shared" si="711"/>
        <v>Normal Discount</v>
      </c>
      <c r="H9098" s="37" t="str">
        <f t="shared" si="712"/>
        <v>Low</v>
      </c>
      <c r="I9098">
        <v>5</v>
      </c>
      <c r="J9098" t="str" cm="1">
        <f t="array" ref="J9098">_xlfn.IFS(I9098&lt;=3,"small",I9098&lt;=6,"Medium",I9098&lt;=9,"Large")</f>
        <v>Medium</v>
      </c>
      <c r="K9098" s="36">
        <v>45529</v>
      </c>
      <c r="L9098" s="36">
        <v>45532</v>
      </c>
      <c r="M9098" t="s">
        <v>598</v>
      </c>
      <c r="N9098" t="s">
        <v>604</v>
      </c>
      <c r="O9098" s="37" t="str">
        <f t="shared" si="713"/>
        <v>Digital Payment</v>
      </c>
      <c r="P9098">
        <v>199.11</v>
      </c>
      <c r="Q9098" s="37" t="str">
        <f>IF(P9098&gt;500,"High","low")</f>
        <v>low</v>
      </c>
      <c r="R9098" s="37" t="str">
        <f t="shared" si="714"/>
        <v>AVERAGE</v>
      </c>
      <c r="S9098" t="s">
        <v>628</v>
      </c>
    </row>
    <row r="9099" spans="1:19" x14ac:dyDescent="0.2">
      <c r="A9099" t="s">
        <v>9710</v>
      </c>
      <c r="B9099" t="s">
        <v>75</v>
      </c>
      <c r="C9099" t="s">
        <v>614</v>
      </c>
      <c r="D9099">
        <v>440.72</v>
      </c>
      <c r="E9099" s="37" t="str">
        <f t="shared" si="710"/>
        <v xml:space="preserve"> </v>
      </c>
      <c r="F9099">
        <v>0.16</v>
      </c>
      <c r="G9099" s="37" t="str">
        <f t="shared" si="711"/>
        <v>Normal Discount</v>
      </c>
      <c r="H9099" s="37" t="str">
        <f t="shared" si="712"/>
        <v>Low</v>
      </c>
      <c r="I9099">
        <v>8</v>
      </c>
      <c r="J9099" t="str" cm="1">
        <f t="array" ref="J9099">_xlfn.IFS(I9099&lt;=3,"small",I9099&lt;=6,"Medium",I9099&lt;=9,"Large")</f>
        <v>Large</v>
      </c>
      <c r="K9099" s="36">
        <v>45316</v>
      </c>
      <c r="L9099" s="36">
        <v>45322</v>
      </c>
      <c r="M9099" t="s">
        <v>598</v>
      </c>
      <c r="N9099" t="s">
        <v>608</v>
      </c>
      <c r="O9099" s="37" t="str">
        <f t="shared" si="713"/>
        <v>Cash Payment</v>
      </c>
      <c r="P9099">
        <v>32.89</v>
      </c>
      <c r="Q9099" s="37" t="str">
        <f>IF(P9099&gt;500,"High","low")</f>
        <v>low</v>
      </c>
      <c r="R9099" s="37" t="str">
        <f t="shared" si="714"/>
        <v>AVERAGE</v>
      </c>
      <c r="S9099" t="s">
        <v>628</v>
      </c>
    </row>
    <row r="9100" spans="1:19" x14ac:dyDescent="0.2">
      <c r="A9100" t="s">
        <v>9711</v>
      </c>
      <c r="B9100" t="s">
        <v>75</v>
      </c>
      <c r="C9100" t="s">
        <v>614</v>
      </c>
      <c r="D9100">
        <v>2807.82</v>
      </c>
      <c r="E9100" s="37" t="str">
        <f t="shared" si="710"/>
        <v xml:space="preserve"> </v>
      </c>
      <c r="F9100">
        <v>0.36</v>
      </c>
      <c r="G9100" s="37" t="str">
        <f t="shared" si="711"/>
        <v>Heavy Discount</v>
      </c>
      <c r="H9100" s="37" t="str">
        <f t="shared" si="712"/>
        <v>Medium</v>
      </c>
      <c r="I9100">
        <v>6</v>
      </c>
      <c r="J9100" t="str" cm="1">
        <f t="array" ref="J9100">_xlfn.IFS(I9100&lt;=3,"small",I9100&lt;=6,"Medium",I9100&lt;=9,"Large")</f>
        <v>Medium</v>
      </c>
      <c r="K9100" s="36">
        <v>45455</v>
      </c>
      <c r="L9100" s="36">
        <v>45457</v>
      </c>
      <c r="M9100" t="s">
        <v>598</v>
      </c>
      <c r="N9100" t="s">
        <v>599</v>
      </c>
      <c r="O9100" s="37" t="str">
        <f t="shared" si="713"/>
        <v>Digital Payment</v>
      </c>
      <c r="P9100">
        <v>394.96</v>
      </c>
      <c r="Q9100" s="37" t="str">
        <f>IF(P9100&gt;500,"High","low")</f>
        <v>low</v>
      </c>
      <c r="R9100" s="37" t="str">
        <f t="shared" si="714"/>
        <v>AVERAGE</v>
      </c>
      <c r="S9100" t="s">
        <v>615</v>
      </c>
    </row>
    <row r="9101" spans="1:19" x14ac:dyDescent="0.2">
      <c r="A9101" t="s">
        <v>9712</v>
      </c>
      <c r="B9101" t="s">
        <v>83</v>
      </c>
      <c r="C9101" t="s">
        <v>614</v>
      </c>
      <c r="D9101">
        <v>2393.15</v>
      </c>
      <c r="E9101" s="37" t="str">
        <f t="shared" si="710"/>
        <v xml:space="preserve"> </v>
      </c>
      <c r="F9101">
        <v>0.08</v>
      </c>
      <c r="G9101" s="37" t="str">
        <f t="shared" si="711"/>
        <v>Normal Discount</v>
      </c>
      <c r="H9101" s="37" t="str">
        <f t="shared" si="712"/>
        <v>Low</v>
      </c>
      <c r="I9101">
        <v>7</v>
      </c>
      <c r="J9101" t="str" cm="1">
        <f t="array" ref="J9101">_xlfn.IFS(I9101&lt;=3,"small",I9101&lt;=6,"Medium",I9101&lt;=9,"Large")</f>
        <v>Large</v>
      </c>
      <c r="K9101" s="36">
        <v>45154</v>
      </c>
      <c r="L9101" s="36">
        <v>45159</v>
      </c>
      <c r="M9101" t="s">
        <v>603</v>
      </c>
      <c r="N9101" t="s">
        <v>608</v>
      </c>
      <c r="O9101" s="37" t="str">
        <f t="shared" si="713"/>
        <v>Cash Payment</v>
      </c>
      <c r="P9101">
        <v>164.77</v>
      </c>
      <c r="Q9101" s="37" t="str">
        <f>IF(P9101&gt;500,"High","low")</f>
        <v>low</v>
      </c>
      <c r="R9101" s="37" t="str">
        <f t="shared" si="714"/>
        <v>AVERAGE</v>
      </c>
      <c r="S9101" t="s">
        <v>600</v>
      </c>
    </row>
    <row r="9102" spans="1:19" x14ac:dyDescent="0.2">
      <c r="A9102" t="s">
        <v>9713</v>
      </c>
      <c r="B9102" t="s">
        <v>67</v>
      </c>
      <c r="C9102" t="s">
        <v>597</v>
      </c>
      <c r="D9102">
        <v>686.45</v>
      </c>
      <c r="E9102" s="37" t="str">
        <f t="shared" si="710"/>
        <v xml:space="preserve"> </v>
      </c>
      <c r="F9102">
        <v>0.36</v>
      </c>
      <c r="G9102" s="37" t="str">
        <f t="shared" si="711"/>
        <v>Heavy Discount</v>
      </c>
      <c r="H9102" s="37" t="str">
        <f t="shared" si="712"/>
        <v>Medium</v>
      </c>
      <c r="I9102">
        <v>1</v>
      </c>
      <c r="J9102" t="str" cm="1">
        <f t="array" ref="J9102">_xlfn.IFS(I9102&lt;=3,"small",I9102&lt;=6,"Medium",I9102&lt;=9,"Large")</f>
        <v>small</v>
      </c>
      <c r="K9102" s="36">
        <v>45149</v>
      </c>
      <c r="L9102" s="36">
        <v>45151</v>
      </c>
      <c r="M9102" t="s">
        <v>598</v>
      </c>
      <c r="N9102" t="s">
        <v>604</v>
      </c>
      <c r="O9102" s="37" t="str">
        <f t="shared" si="713"/>
        <v>Digital Payment</v>
      </c>
      <c r="P9102">
        <v>68.95</v>
      </c>
      <c r="Q9102" s="37" t="str">
        <f>IF(P9102&gt;500,"High","low")</f>
        <v>low</v>
      </c>
      <c r="R9102" s="37" t="str">
        <f t="shared" si="714"/>
        <v>AVERAGE</v>
      </c>
      <c r="S9102" t="s">
        <v>600</v>
      </c>
    </row>
    <row r="9103" spans="1:19" x14ac:dyDescent="0.2">
      <c r="A9103" t="s">
        <v>9714</v>
      </c>
      <c r="B9103" t="s">
        <v>75</v>
      </c>
      <c r="C9103" t="s">
        <v>597</v>
      </c>
      <c r="D9103">
        <v>4194.38</v>
      </c>
      <c r="E9103" s="37" t="str">
        <f t="shared" si="710"/>
        <v xml:space="preserve"> </v>
      </c>
      <c r="F9103">
        <v>0.39</v>
      </c>
      <c r="G9103" s="37" t="str">
        <f t="shared" si="711"/>
        <v>Heavy Discount</v>
      </c>
      <c r="H9103" s="37" t="str">
        <f t="shared" si="712"/>
        <v>Medium</v>
      </c>
      <c r="I9103">
        <v>2</v>
      </c>
      <c r="J9103" t="str" cm="1">
        <f t="array" ref="J9103">_xlfn.IFS(I9103&lt;=3,"small",I9103&lt;=6,"Medium",I9103&lt;=9,"Large")</f>
        <v>small</v>
      </c>
      <c r="K9103" s="36">
        <v>45545</v>
      </c>
      <c r="L9103" s="36">
        <v>45550</v>
      </c>
      <c r="M9103" t="s">
        <v>603</v>
      </c>
      <c r="N9103" t="s">
        <v>608</v>
      </c>
      <c r="O9103" s="37" t="str">
        <f t="shared" si="713"/>
        <v>Cash Payment</v>
      </c>
      <c r="P9103">
        <v>373.89</v>
      </c>
      <c r="Q9103" s="37" t="str">
        <f>IF(P9103&gt;500,"High","low")</f>
        <v>low</v>
      </c>
      <c r="R9103" s="37" t="str">
        <f t="shared" si="714"/>
        <v>AVERAGE</v>
      </c>
      <c r="S9103" t="s">
        <v>600</v>
      </c>
    </row>
    <row r="9104" spans="1:19" x14ac:dyDescent="0.2">
      <c r="A9104" t="s">
        <v>9715</v>
      </c>
      <c r="B9104" t="s">
        <v>67</v>
      </c>
      <c r="C9104" t="s">
        <v>602</v>
      </c>
      <c r="D9104">
        <v>2144.48</v>
      </c>
      <c r="E9104" s="37" t="str">
        <f t="shared" si="710"/>
        <v xml:space="preserve"> </v>
      </c>
      <c r="F9104">
        <v>0.3</v>
      </c>
      <c r="G9104" s="37" t="str">
        <f t="shared" si="711"/>
        <v>Normal Discount</v>
      </c>
      <c r="H9104" s="37" t="str">
        <f t="shared" si="712"/>
        <v>Medium</v>
      </c>
      <c r="I9104">
        <v>9</v>
      </c>
      <c r="J9104" t="str" cm="1">
        <f t="array" ref="J9104">_xlfn.IFS(I9104&lt;=3,"small",I9104&lt;=6,"Medium",I9104&lt;=9,"Large")</f>
        <v>Large</v>
      </c>
      <c r="K9104" s="36">
        <v>45323</v>
      </c>
      <c r="L9104" s="36">
        <v>45324</v>
      </c>
      <c r="M9104" t="s">
        <v>598</v>
      </c>
      <c r="N9104" t="s">
        <v>608</v>
      </c>
      <c r="O9104" s="37" t="str">
        <f t="shared" si="713"/>
        <v>Cash Payment</v>
      </c>
      <c r="P9104">
        <v>540.48</v>
      </c>
      <c r="Q9104" s="37" t="str">
        <f>IF(P9104&gt;500,"High","low")</f>
        <v>High</v>
      </c>
      <c r="R9104" s="37" t="str">
        <f t="shared" si="714"/>
        <v>Good</v>
      </c>
      <c r="S9104" t="s">
        <v>620</v>
      </c>
    </row>
    <row r="9105" spans="1:19" x14ac:dyDescent="0.2">
      <c r="A9105" t="s">
        <v>9716</v>
      </c>
      <c r="B9105" t="s">
        <v>90</v>
      </c>
      <c r="C9105" t="s">
        <v>597</v>
      </c>
      <c r="D9105">
        <v>1376.24</v>
      </c>
      <c r="E9105" s="37" t="str">
        <f t="shared" si="710"/>
        <v xml:space="preserve"> </v>
      </c>
      <c r="F9105">
        <v>0.12</v>
      </c>
      <c r="G9105" s="37" t="str">
        <f t="shared" si="711"/>
        <v>Normal Discount</v>
      </c>
      <c r="H9105" s="37" t="str">
        <f t="shared" si="712"/>
        <v>Low</v>
      </c>
      <c r="I9105">
        <v>7</v>
      </c>
      <c r="J9105" t="str" cm="1">
        <f t="array" ref="J9105">_xlfn.IFS(I9105&lt;=3,"small",I9105&lt;=6,"Medium",I9105&lt;=9,"Large")</f>
        <v>Large</v>
      </c>
      <c r="K9105" s="36">
        <v>45430</v>
      </c>
      <c r="L9105" s="36">
        <v>45433</v>
      </c>
      <c r="M9105" t="s">
        <v>603</v>
      </c>
      <c r="N9105" t="s">
        <v>604</v>
      </c>
      <c r="O9105" s="37" t="str">
        <f t="shared" si="713"/>
        <v>Digital Payment</v>
      </c>
      <c r="P9105">
        <v>267.91000000000003</v>
      </c>
      <c r="Q9105" s="37" t="str">
        <f>IF(P9105&gt;500,"High","low")</f>
        <v>low</v>
      </c>
      <c r="R9105" s="37" t="str">
        <f t="shared" si="714"/>
        <v>AVERAGE</v>
      </c>
      <c r="S9105" t="s">
        <v>628</v>
      </c>
    </row>
    <row r="9106" spans="1:19" x14ac:dyDescent="0.2">
      <c r="A9106" t="s">
        <v>9717</v>
      </c>
      <c r="B9106" t="s">
        <v>90</v>
      </c>
      <c r="C9106" t="s">
        <v>597</v>
      </c>
      <c r="D9106">
        <v>3962.53</v>
      </c>
      <c r="E9106" s="37" t="str">
        <f t="shared" si="710"/>
        <v xml:space="preserve"> </v>
      </c>
      <c r="F9106">
        <v>0.03</v>
      </c>
      <c r="G9106" s="37" t="str">
        <f t="shared" si="711"/>
        <v>Normal Discount</v>
      </c>
      <c r="H9106" s="37" t="str">
        <f t="shared" si="712"/>
        <v>Low</v>
      </c>
      <c r="I9106">
        <v>7</v>
      </c>
      <c r="J9106" t="str" cm="1">
        <f t="array" ref="J9106">_xlfn.IFS(I9106&lt;=3,"small",I9106&lt;=6,"Medium",I9106&lt;=9,"Large")</f>
        <v>Large</v>
      </c>
      <c r="K9106" s="36">
        <v>45102</v>
      </c>
      <c r="L9106" s="36">
        <v>45103</v>
      </c>
      <c r="M9106" t="s">
        <v>612</v>
      </c>
      <c r="N9106" t="s">
        <v>604</v>
      </c>
      <c r="O9106" s="37" t="str">
        <f t="shared" si="713"/>
        <v>Digital Payment</v>
      </c>
      <c r="P9106">
        <v>1010.9</v>
      </c>
      <c r="Q9106" s="37" t="str">
        <f>IF(P9106&gt;500,"High","low")</f>
        <v>High</v>
      </c>
      <c r="R9106" s="37" t="str">
        <f t="shared" si="714"/>
        <v>Excellent</v>
      </c>
      <c r="S9106" t="s">
        <v>605</v>
      </c>
    </row>
    <row r="9107" spans="1:19" x14ac:dyDescent="0.2">
      <c r="A9107" t="s">
        <v>9718</v>
      </c>
      <c r="B9107" t="s">
        <v>75</v>
      </c>
      <c r="C9107" t="s">
        <v>614</v>
      </c>
      <c r="D9107">
        <v>4574.01</v>
      </c>
      <c r="E9107" s="37" t="str">
        <f t="shared" si="710"/>
        <v>Excellent Order</v>
      </c>
      <c r="F9107">
        <v>0.2</v>
      </c>
      <c r="G9107" s="37" t="str">
        <f t="shared" si="711"/>
        <v>Normal Discount</v>
      </c>
      <c r="H9107" s="37" t="str">
        <f t="shared" si="712"/>
        <v>Medium</v>
      </c>
      <c r="I9107">
        <v>4</v>
      </c>
      <c r="J9107" t="str" cm="1">
        <f t="array" ref="J9107">_xlfn.IFS(I9107&lt;=3,"small",I9107&lt;=6,"Medium",I9107&lt;=9,"Large")</f>
        <v>Medium</v>
      </c>
      <c r="K9107" s="36">
        <v>45147</v>
      </c>
      <c r="L9107" s="36">
        <v>45154</v>
      </c>
      <c r="M9107" t="s">
        <v>612</v>
      </c>
      <c r="N9107" t="s">
        <v>599</v>
      </c>
      <c r="O9107" s="37" t="str">
        <f t="shared" si="713"/>
        <v>Digital Payment</v>
      </c>
      <c r="P9107">
        <v>1364.67</v>
      </c>
      <c r="Q9107" s="37" t="str">
        <f>IF(P9107&gt;500,"High","low")</f>
        <v>High</v>
      </c>
      <c r="R9107" s="37" t="str">
        <f t="shared" si="714"/>
        <v>Excellent</v>
      </c>
      <c r="S9107" t="s">
        <v>615</v>
      </c>
    </row>
    <row r="9108" spans="1:19" x14ac:dyDescent="0.2">
      <c r="A9108" t="s">
        <v>9719</v>
      </c>
      <c r="B9108" t="s">
        <v>67</v>
      </c>
      <c r="C9108" t="s">
        <v>602</v>
      </c>
      <c r="D9108">
        <v>1599.22</v>
      </c>
      <c r="E9108" s="37" t="str">
        <f t="shared" si="710"/>
        <v xml:space="preserve"> </v>
      </c>
      <c r="F9108">
        <v>0.42</v>
      </c>
      <c r="G9108" s="37" t="str">
        <f t="shared" si="711"/>
        <v>Heavy Discount</v>
      </c>
      <c r="H9108" s="37" t="str">
        <f t="shared" si="712"/>
        <v>High</v>
      </c>
      <c r="I9108">
        <v>4</v>
      </c>
      <c r="J9108" t="str" cm="1">
        <f t="array" ref="J9108">_xlfn.IFS(I9108&lt;=3,"small",I9108&lt;=6,"Medium",I9108&lt;=9,"Large")</f>
        <v>Medium</v>
      </c>
      <c r="K9108" s="36">
        <v>45348</v>
      </c>
      <c r="L9108" s="36">
        <v>45351</v>
      </c>
      <c r="M9108" t="s">
        <v>612</v>
      </c>
      <c r="N9108" t="s">
        <v>608</v>
      </c>
      <c r="O9108" s="37" t="str">
        <f t="shared" si="713"/>
        <v>Cash Payment</v>
      </c>
      <c r="P9108">
        <v>301.8</v>
      </c>
      <c r="Q9108" s="37" t="str">
        <f>IF(P9108&gt;500,"High","low")</f>
        <v>low</v>
      </c>
      <c r="R9108" s="37" t="str">
        <f t="shared" si="714"/>
        <v>AVERAGE</v>
      </c>
      <c r="S9108" t="s">
        <v>609</v>
      </c>
    </row>
    <row r="9109" spans="1:19" x14ac:dyDescent="0.2">
      <c r="A9109" t="s">
        <v>9720</v>
      </c>
      <c r="B9109" t="s">
        <v>75</v>
      </c>
      <c r="C9109" t="s">
        <v>617</v>
      </c>
      <c r="D9109">
        <v>3902.15</v>
      </c>
      <c r="E9109" s="37" t="str">
        <f t="shared" si="710"/>
        <v xml:space="preserve"> </v>
      </c>
      <c r="F9109">
        <v>0.05</v>
      </c>
      <c r="G9109" s="37" t="str">
        <f t="shared" si="711"/>
        <v>Normal Discount</v>
      </c>
      <c r="H9109" s="37" t="str">
        <f t="shared" si="712"/>
        <v>Low</v>
      </c>
      <c r="I9109">
        <v>3</v>
      </c>
      <c r="J9109" t="str" cm="1">
        <f t="array" ref="J9109">_xlfn.IFS(I9109&lt;=3,"small",I9109&lt;=6,"Medium",I9109&lt;=9,"Large")</f>
        <v>small</v>
      </c>
      <c r="K9109" s="36">
        <v>45220</v>
      </c>
      <c r="L9109" s="36">
        <v>45222</v>
      </c>
      <c r="M9109" t="s">
        <v>603</v>
      </c>
      <c r="N9109" t="s">
        <v>599</v>
      </c>
      <c r="O9109" s="37" t="str">
        <f t="shared" si="713"/>
        <v>Digital Payment</v>
      </c>
      <c r="P9109">
        <v>1131.83</v>
      </c>
      <c r="Q9109" s="37" t="str">
        <f>IF(P9109&gt;500,"High","low")</f>
        <v>High</v>
      </c>
      <c r="R9109" s="37" t="str">
        <f t="shared" si="714"/>
        <v>Excellent</v>
      </c>
      <c r="S9109" t="s">
        <v>600</v>
      </c>
    </row>
    <row r="9110" spans="1:19" x14ac:dyDescent="0.2">
      <c r="A9110" t="s">
        <v>9721</v>
      </c>
      <c r="B9110" t="s">
        <v>90</v>
      </c>
      <c r="C9110" t="s">
        <v>597</v>
      </c>
      <c r="D9110">
        <v>3297.35</v>
      </c>
      <c r="E9110" s="37" t="str">
        <f t="shared" si="710"/>
        <v xml:space="preserve"> </v>
      </c>
      <c r="F9110">
        <v>0.37</v>
      </c>
      <c r="G9110" s="37" t="str">
        <f t="shared" si="711"/>
        <v>Heavy Discount</v>
      </c>
      <c r="H9110" s="37" t="str">
        <f t="shared" si="712"/>
        <v>Medium</v>
      </c>
      <c r="I9110">
        <v>4</v>
      </c>
      <c r="J9110" t="str" cm="1">
        <f t="array" ref="J9110">_xlfn.IFS(I9110&lt;=3,"small",I9110&lt;=6,"Medium",I9110&lt;=9,"Large")</f>
        <v>Medium</v>
      </c>
      <c r="K9110" s="36">
        <v>45231</v>
      </c>
      <c r="L9110" s="36">
        <v>45235</v>
      </c>
      <c r="M9110" t="s">
        <v>603</v>
      </c>
      <c r="N9110" t="s">
        <v>599</v>
      </c>
      <c r="O9110" s="37" t="str">
        <f t="shared" si="713"/>
        <v>Digital Payment</v>
      </c>
      <c r="P9110">
        <v>244.64</v>
      </c>
      <c r="Q9110" s="37" t="str">
        <f>IF(P9110&gt;500,"High","low")</f>
        <v>low</v>
      </c>
      <c r="R9110" s="37" t="str">
        <f t="shared" si="714"/>
        <v>AVERAGE</v>
      </c>
      <c r="S9110" t="s">
        <v>609</v>
      </c>
    </row>
    <row r="9111" spans="1:19" x14ac:dyDescent="0.2">
      <c r="A9111" t="s">
        <v>9722</v>
      </c>
      <c r="B9111" t="s">
        <v>75</v>
      </c>
      <c r="C9111" t="s">
        <v>597</v>
      </c>
      <c r="D9111">
        <v>4949.67</v>
      </c>
      <c r="E9111" s="37" t="str">
        <f t="shared" si="710"/>
        <v xml:space="preserve"> </v>
      </c>
      <c r="F9111">
        <v>0.23</v>
      </c>
      <c r="G9111" s="37" t="str">
        <f t="shared" si="711"/>
        <v>Normal Discount</v>
      </c>
      <c r="H9111" s="37" t="str">
        <f t="shared" si="712"/>
        <v>Medium</v>
      </c>
      <c r="I9111">
        <v>6</v>
      </c>
      <c r="J9111" t="str" cm="1">
        <f t="array" ref="J9111">_xlfn.IFS(I9111&lt;=3,"small",I9111&lt;=6,"Medium",I9111&lt;=9,"Large")</f>
        <v>Medium</v>
      </c>
      <c r="K9111" s="36">
        <v>45025</v>
      </c>
      <c r="L9111" s="36">
        <v>45029</v>
      </c>
      <c r="M9111" t="s">
        <v>598</v>
      </c>
      <c r="N9111" t="s">
        <v>604</v>
      </c>
      <c r="O9111" s="37" t="str">
        <f t="shared" si="713"/>
        <v>Digital Payment</v>
      </c>
      <c r="P9111">
        <v>391.27</v>
      </c>
      <c r="Q9111" s="37" t="str">
        <f>IF(P9111&gt;500,"High","low")</f>
        <v>low</v>
      </c>
      <c r="R9111" s="37" t="str">
        <f t="shared" si="714"/>
        <v>AVERAGE</v>
      </c>
      <c r="S9111" t="s">
        <v>600</v>
      </c>
    </row>
    <row r="9112" spans="1:19" x14ac:dyDescent="0.2">
      <c r="A9112" t="s">
        <v>9723</v>
      </c>
      <c r="B9112" t="s">
        <v>67</v>
      </c>
      <c r="C9112" t="s">
        <v>617</v>
      </c>
      <c r="D9112">
        <v>1099.56</v>
      </c>
      <c r="E9112" s="37" t="str">
        <f t="shared" si="710"/>
        <v xml:space="preserve"> </v>
      </c>
      <c r="F9112">
        <v>0.45</v>
      </c>
      <c r="G9112" s="37" t="str">
        <f t="shared" si="711"/>
        <v>Heavy Discount</v>
      </c>
      <c r="H9112" s="37" t="str">
        <f t="shared" si="712"/>
        <v>High</v>
      </c>
      <c r="I9112">
        <v>3</v>
      </c>
      <c r="J9112" t="str" cm="1">
        <f t="array" ref="J9112">_xlfn.IFS(I9112&lt;=3,"small",I9112&lt;=6,"Medium",I9112&lt;=9,"Large")</f>
        <v>small</v>
      </c>
      <c r="K9112" s="36">
        <v>45157</v>
      </c>
      <c r="L9112" s="36">
        <v>45162</v>
      </c>
      <c r="M9112" t="s">
        <v>603</v>
      </c>
      <c r="N9112" t="s">
        <v>604</v>
      </c>
      <c r="O9112" s="37" t="str">
        <f t="shared" si="713"/>
        <v>Digital Payment</v>
      </c>
      <c r="P9112">
        <v>192.21</v>
      </c>
      <c r="Q9112" s="37" t="str">
        <f>IF(P9112&gt;500,"High","low")</f>
        <v>low</v>
      </c>
      <c r="R9112" s="37" t="str">
        <f t="shared" si="714"/>
        <v>AVERAGE</v>
      </c>
      <c r="S9112" t="s">
        <v>605</v>
      </c>
    </row>
    <row r="9113" spans="1:19" x14ac:dyDescent="0.2">
      <c r="A9113" t="s">
        <v>9724</v>
      </c>
      <c r="B9113" t="s">
        <v>90</v>
      </c>
      <c r="C9113" t="s">
        <v>614</v>
      </c>
      <c r="D9113">
        <v>4807.33</v>
      </c>
      <c r="E9113" s="37" t="str">
        <f t="shared" si="710"/>
        <v xml:space="preserve"> </v>
      </c>
      <c r="F9113">
        <v>0.18</v>
      </c>
      <c r="G9113" s="37" t="str">
        <f t="shared" si="711"/>
        <v>Normal Discount</v>
      </c>
      <c r="H9113" s="37" t="str">
        <f t="shared" si="712"/>
        <v>Low</v>
      </c>
      <c r="I9113">
        <v>8</v>
      </c>
      <c r="J9113" t="str" cm="1">
        <f t="array" ref="J9113">_xlfn.IFS(I9113&lt;=3,"small",I9113&lt;=6,"Medium",I9113&lt;=9,"Large")</f>
        <v>Large</v>
      </c>
      <c r="K9113" s="36">
        <v>45451</v>
      </c>
      <c r="L9113" s="36">
        <v>45455</v>
      </c>
      <c r="M9113" t="s">
        <v>603</v>
      </c>
      <c r="N9113" t="s">
        <v>608</v>
      </c>
      <c r="O9113" s="37" t="str">
        <f t="shared" si="713"/>
        <v>Cash Payment</v>
      </c>
      <c r="P9113">
        <v>392.31</v>
      </c>
      <c r="Q9113" s="37" t="str">
        <f>IF(P9113&gt;500,"High","low")</f>
        <v>low</v>
      </c>
      <c r="R9113" s="37" t="str">
        <f t="shared" si="714"/>
        <v>AVERAGE</v>
      </c>
      <c r="S9113" t="s">
        <v>600</v>
      </c>
    </row>
    <row r="9114" spans="1:19" x14ac:dyDescent="0.2">
      <c r="A9114" t="s">
        <v>9725</v>
      </c>
      <c r="B9114" t="s">
        <v>83</v>
      </c>
      <c r="C9114" t="s">
        <v>602</v>
      </c>
      <c r="D9114">
        <v>1644.83</v>
      </c>
      <c r="E9114" s="37" t="str">
        <f t="shared" si="710"/>
        <v xml:space="preserve"> </v>
      </c>
      <c r="F9114">
        <v>0.35</v>
      </c>
      <c r="G9114" s="37" t="str">
        <f t="shared" si="711"/>
        <v>Heavy Discount</v>
      </c>
      <c r="H9114" s="37" t="str">
        <f t="shared" si="712"/>
        <v>Medium</v>
      </c>
      <c r="I9114">
        <v>1</v>
      </c>
      <c r="J9114" t="str" cm="1">
        <f t="array" ref="J9114">_xlfn.IFS(I9114&lt;=3,"small",I9114&lt;=6,"Medium",I9114&lt;=9,"Large")</f>
        <v>small</v>
      </c>
      <c r="K9114" s="36">
        <v>45057</v>
      </c>
      <c r="L9114" s="36">
        <v>45060</v>
      </c>
      <c r="M9114" t="s">
        <v>598</v>
      </c>
      <c r="N9114" t="s">
        <v>599</v>
      </c>
      <c r="O9114" s="37" t="str">
        <f t="shared" si="713"/>
        <v>Digital Payment</v>
      </c>
      <c r="P9114">
        <v>458.29</v>
      </c>
      <c r="Q9114" s="37" t="str">
        <f>IF(P9114&gt;500,"High","low")</f>
        <v>low</v>
      </c>
      <c r="R9114" s="37" t="str">
        <f t="shared" si="714"/>
        <v>AVERAGE</v>
      </c>
      <c r="S9114" t="s">
        <v>620</v>
      </c>
    </row>
    <row r="9115" spans="1:19" x14ac:dyDescent="0.2">
      <c r="A9115" t="s">
        <v>9726</v>
      </c>
      <c r="B9115" t="s">
        <v>90</v>
      </c>
      <c r="C9115" t="s">
        <v>614</v>
      </c>
      <c r="D9115">
        <v>2118.58</v>
      </c>
      <c r="E9115" s="37" t="str">
        <f t="shared" si="710"/>
        <v xml:space="preserve"> </v>
      </c>
      <c r="F9115">
        <v>0.37</v>
      </c>
      <c r="G9115" s="37" t="str">
        <f t="shared" si="711"/>
        <v>Heavy Discount</v>
      </c>
      <c r="H9115" s="37" t="str">
        <f t="shared" si="712"/>
        <v>Medium</v>
      </c>
      <c r="I9115">
        <v>6</v>
      </c>
      <c r="J9115" t="str" cm="1">
        <f t="array" ref="J9115">_xlfn.IFS(I9115&lt;=3,"small",I9115&lt;=6,"Medium",I9115&lt;=9,"Large")</f>
        <v>Medium</v>
      </c>
      <c r="K9115" s="36">
        <v>45138</v>
      </c>
      <c r="L9115" s="36">
        <v>45145</v>
      </c>
      <c r="M9115" t="s">
        <v>603</v>
      </c>
      <c r="N9115" t="s">
        <v>608</v>
      </c>
      <c r="O9115" s="37" t="str">
        <f t="shared" si="713"/>
        <v>Cash Payment</v>
      </c>
      <c r="P9115">
        <v>373.07</v>
      </c>
      <c r="Q9115" s="37" t="str">
        <f>IF(P9115&gt;500,"High","low")</f>
        <v>low</v>
      </c>
      <c r="R9115" s="37" t="str">
        <f t="shared" si="714"/>
        <v>AVERAGE</v>
      </c>
      <c r="S9115" t="s">
        <v>620</v>
      </c>
    </row>
    <row r="9116" spans="1:19" x14ac:dyDescent="0.2">
      <c r="A9116" t="s">
        <v>9727</v>
      </c>
      <c r="B9116" t="s">
        <v>83</v>
      </c>
      <c r="C9116" t="s">
        <v>607</v>
      </c>
      <c r="D9116">
        <v>1858.25</v>
      </c>
      <c r="E9116" s="37" t="str">
        <f t="shared" si="710"/>
        <v xml:space="preserve"> </v>
      </c>
      <c r="F9116">
        <v>0.1</v>
      </c>
      <c r="G9116" s="37" t="str">
        <f t="shared" si="711"/>
        <v>Normal Discount</v>
      </c>
      <c r="H9116" s="37" t="str">
        <f t="shared" si="712"/>
        <v>Low</v>
      </c>
      <c r="I9116">
        <v>2</v>
      </c>
      <c r="J9116" t="str" cm="1">
        <f t="array" ref="J9116">_xlfn.IFS(I9116&lt;=3,"small",I9116&lt;=6,"Medium",I9116&lt;=9,"Large")</f>
        <v>small</v>
      </c>
      <c r="K9116" s="36">
        <v>44954</v>
      </c>
      <c r="L9116" s="36">
        <v>44958</v>
      </c>
      <c r="M9116" t="s">
        <v>603</v>
      </c>
      <c r="N9116" t="s">
        <v>604</v>
      </c>
      <c r="O9116" s="37" t="str">
        <f t="shared" si="713"/>
        <v>Digital Payment</v>
      </c>
      <c r="P9116">
        <v>500.68</v>
      </c>
      <c r="Q9116" s="37" t="str">
        <f>IF(P9116&gt;500,"High","low")</f>
        <v>High</v>
      </c>
      <c r="R9116" s="37" t="str">
        <f t="shared" si="714"/>
        <v>Good</v>
      </c>
      <c r="S9116" t="s">
        <v>615</v>
      </c>
    </row>
    <row r="9117" spans="1:19" x14ac:dyDescent="0.2">
      <c r="A9117" t="s">
        <v>9728</v>
      </c>
      <c r="B9117" t="s">
        <v>75</v>
      </c>
      <c r="C9117" t="s">
        <v>597</v>
      </c>
      <c r="D9117">
        <v>1415.41</v>
      </c>
      <c r="E9117" s="37" t="str">
        <f t="shared" si="710"/>
        <v xml:space="preserve"> </v>
      </c>
      <c r="F9117">
        <v>0.08</v>
      </c>
      <c r="G9117" s="37" t="str">
        <f t="shared" si="711"/>
        <v>Normal Discount</v>
      </c>
      <c r="H9117" s="37" t="str">
        <f t="shared" si="712"/>
        <v>Low</v>
      </c>
      <c r="I9117">
        <v>1</v>
      </c>
      <c r="J9117" t="str" cm="1">
        <f t="array" ref="J9117">_xlfn.IFS(I9117&lt;=3,"small",I9117&lt;=6,"Medium",I9117&lt;=9,"Large")</f>
        <v>small</v>
      </c>
      <c r="K9117" s="36">
        <v>45228</v>
      </c>
      <c r="L9117" s="36">
        <v>45229</v>
      </c>
      <c r="M9117" t="s">
        <v>612</v>
      </c>
      <c r="N9117" t="s">
        <v>608</v>
      </c>
      <c r="O9117" s="37" t="str">
        <f t="shared" si="713"/>
        <v>Cash Payment</v>
      </c>
      <c r="P9117">
        <v>148.4</v>
      </c>
      <c r="Q9117" s="37" t="str">
        <f>IF(P9117&gt;500,"High","low")</f>
        <v>low</v>
      </c>
      <c r="R9117" s="37" t="str">
        <f t="shared" si="714"/>
        <v>AVERAGE</v>
      </c>
      <c r="S9117" t="s">
        <v>609</v>
      </c>
    </row>
    <row r="9118" spans="1:19" x14ac:dyDescent="0.2">
      <c r="A9118" t="s">
        <v>9729</v>
      </c>
      <c r="B9118" t="s">
        <v>75</v>
      </c>
      <c r="C9118" t="s">
        <v>607</v>
      </c>
      <c r="D9118">
        <v>3496.79</v>
      </c>
      <c r="E9118" s="37" t="str">
        <f t="shared" si="710"/>
        <v xml:space="preserve"> </v>
      </c>
      <c r="F9118">
        <v>0.05</v>
      </c>
      <c r="G9118" s="37" t="str">
        <f t="shared" si="711"/>
        <v>Normal Discount</v>
      </c>
      <c r="H9118" s="37" t="str">
        <f t="shared" si="712"/>
        <v>Low</v>
      </c>
      <c r="I9118">
        <v>4</v>
      </c>
      <c r="J9118" t="str" cm="1">
        <f t="array" ref="J9118">_xlfn.IFS(I9118&lt;=3,"small",I9118&lt;=6,"Medium",I9118&lt;=9,"Large")</f>
        <v>Medium</v>
      </c>
      <c r="K9118" s="36">
        <v>45575</v>
      </c>
      <c r="L9118" s="36">
        <v>45581</v>
      </c>
      <c r="M9118" t="s">
        <v>598</v>
      </c>
      <c r="N9118" t="s">
        <v>599</v>
      </c>
      <c r="O9118" s="37" t="str">
        <f t="shared" si="713"/>
        <v>Digital Payment</v>
      </c>
      <c r="P9118">
        <v>746.7</v>
      </c>
      <c r="Q9118" s="37" t="str">
        <f>IF(P9118&gt;500,"High","low")</f>
        <v>High</v>
      </c>
      <c r="R9118" s="37" t="str">
        <f t="shared" si="714"/>
        <v>Good</v>
      </c>
      <c r="S9118" t="s">
        <v>615</v>
      </c>
    </row>
    <row r="9119" spans="1:19" x14ac:dyDescent="0.2">
      <c r="A9119" t="s">
        <v>9730</v>
      </c>
      <c r="B9119" t="s">
        <v>67</v>
      </c>
      <c r="C9119" t="s">
        <v>597</v>
      </c>
      <c r="D9119">
        <v>2986.81</v>
      </c>
      <c r="E9119" s="37" t="str">
        <f t="shared" si="710"/>
        <v xml:space="preserve"> </v>
      </c>
      <c r="F9119">
        <v>0.35</v>
      </c>
      <c r="G9119" s="37" t="str">
        <f t="shared" si="711"/>
        <v>Heavy Discount</v>
      </c>
      <c r="H9119" s="37" t="str">
        <f t="shared" si="712"/>
        <v>Medium</v>
      </c>
      <c r="I9119">
        <v>6</v>
      </c>
      <c r="J9119" t="str" cm="1">
        <f t="array" ref="J9119">_xlfn.IFS(I9119&lt;=3,"small",I9119&lt;=6,"Medium",I9119&lt;=9,"Large")</f>
        <v>Medium</v>
      </c>
      <c r="K9119" s="36">
        <v>45372</v>
      </c>
      <c r="L9119" s="36">
        <v>45376</v>
      </c>
      <c r="M9119" t="s">
        <v>612</v>
      </c>
      <c r="N9119" t="s">
        <v>604</v>
      </c>
      <c r="O9119" s="37" t="str">
        <f t="shared" si="713"/>
        <v>Digital Payment</v>
      </c>
      <c r="P9119">
        <v>351.08</v>
      </c>
      <c r="Q9119" s="37" t="str">
        <f>IF(P9119&gt;500,"High","low")</f>
        <v>low</v>
      </c>
      <c r="R9119" s="37" t="str">
        <f t="shared" si="714"/>
        <v>AVERAGE</v>
      </c>
      <c r="S9119" t="s">
        <v>609</v>
      </c>
    </row>
    <row r="9120" spans="1:19" x14ac:dyDescent="0.2">
      <c r="A9120" t="s">
        <v>9731</v>
      </c>
      <c r="B9120" t="s">
        <v>83</v>
      </c>
      <c r="C9120" t="s">
        <v>607</v>
      </c>
      <c r="D9120">
        <v>1597.89</v>
      </c>
      <c r="E9120" s="37" t="str">
        <f t="shared" si="710"/>
        <v xml:space="preserve"> </v>
      </c>
      <c r="F9120">
        <v>0.27</v>
      </c>
      <c r="G9120" s="37" t="str">
        <f t="shared" si="711"/>
        <v>Normal Discount</v>
      </c>
      <c r="H9120" s="37" t="str">
        <f t="shared" si="712"/>
        <v>Medium</v>
      </c>
      <c r="I9120">
        <v>7</v>
      </c>
      <c r="J9120" t="str" cm="1">
        <f t="array" ref="J9120">_xlfn.IFS(I9120&lt;=3,"small",I9120&lt;=6,"Medium",I9120&lt;=9,"Large")</f>
        <v>Large</v>
      </c>
      <c r="K9120" s="36">
        <v>45599</v>
      </c>
      <c r="L9120" s="36">
        <v>45600</v>
      </c>
      <c r="M9120" t="s">
        <v>603</v>
      </c>
      <c r="N9120" t="s">
        <v>608</v>
      </c>
      <c r="O9120" s="37" t="str">
        <f t="shared" si="713"/>
        <v>Cash Payment</v>
      </c>
      <c r="P9120">
        <v>303.42</v>
      </c>
      <c r="Q9120" s="37" t="str">
        <f>IF(P9120&gt;500,"High","low")</f>
        <v>low</v>
      </c>
      <c r="R9120" s="37" t="str">
        <f t="shared" si="714"/>
        <v>AVERAGE</v>
      </c>
      <c r="S9120" t="s">
        <v>609</v>
      </c>
    </row>
    <row r="9121" spans="1:19" x14ac:dyDescent="0.2">
      <c r="A9121" t="s">
        <v>9732</v>
      </c>
      <c r="B9121" t="s">
        <v>75</v>
      </c>
      <c r="C9121" t="s">
        <v>617</v>
      </c>
      <c r="D9121">
        <v>747.84</v>
      </c>
      <c r="E9121" s="37" t="str">
        <f t="shared" si="710"/>
        <v xml:space="preserve"> </v>
      </c>
      <c r="F9121">
        <v>0.04</v>
      </c>
      <c r="G9121" s="37" t="str">
        <f t="shared" si="711"/>
        <v>Normal Discount</v>
      </c>
      <c r="H9121" s="37" t="str">
        <f t="shared" si="712"/>
        <v>Low</v>
      </c>
      <c r="I9121">
        <v>1</v>
      </c>
      <c r="J9121" t="str" cm="1">
        <f t="array" ref="J9121">_xlfn.IFS(I9121&lt;=3,"small",I9121&lt;=6,"Medium",I9121&lt;=9,"Large")</f>
        <v>small</v>
      </c>
      <c r="K9121" s="36">
        <v>45442</v>
      </c>
      <c r="L9121" s="36">
        <v>45447</v>
      </c>
      <c r="M9121" t="s">
        <v>598</v>
      </c>
      <c r="N9121" t="s">
        <v>608</v>
      </c>
      <c r="O9121" s="37" t="str">
        <f t="shared" si="713"/>
        <v>Cash Payment</v>
      </c>
      <c r="P9121">
        <v>199.67</v>
      </c>
      <c r="Q9121" s="37" t="str">
        <f>IF(P9121&gt;500,"High","low")</f>
        <v>low</v>
      </c>
      <c r="R9121" s="37" t="str">
        <f t="shared" si="714"/>
        <v>AVERAGE</v>
      </c>
      <c r="S9121" t="s">
        <v>628</v>
      </c>
    </row>
    <row r="9122" spans="1:19" x14ac:dyDescent="0.2">
      <c r="A9122" t="s">
        <v>9733</v>
      </c>
      <c r="B9122" t="s">
        <v>83</v>
      </c>
      <c r="C9122" t="s">
        <v>597</v>
      </c>
      <c r="D9122">
        <v>1655.14</v>
      </c>
      <c r="E9122" s="37" t="str">
        <f t="shared" si="710"/>
        <v xml:space="preserve"> </v>
      </c>
      <c r="F9122">
        <v>0.15</v>
      </c>
      <c r="G9122" s="37" t="str">
        <f t="shared" si="711"/>
        <v>Normal Discount</v>
      </c>
      <c r="H9122" s="37" t="str">
        <f t="shared" si="712"/>
        <v>Low</v>
      </c>
      <c r="I9122">
        <v>3</v>
      </c>
      <c r="J9122" t="str" cm="1">
        <f t="array" ref="J9122">_xlfn.IFS(I9122&lt;=3,"small",I9122&lt;=6,"Medium",I9122&lt;=9,"Large")</f>
        <v>small</v>
      </c>
      <c r="K9122" s="36">
        <v>45323</v>
      </c>
      <c r="L9122" s="36">
        <v>45328</v>
      </c>
      <c r="M9122" t="s">
        <v>598</v>
      </c>
      <c r="N9122" t="s">
        <v>604</v>
      </c>
      <c r="O9122" s="37" t="str">
        <f t="shared" si="713"/>
        <v>Digital Payment</v>
      </c>
      <c r="P9122">
        <v>201.02</v>
      </c>
      <c r="Q9122" s="37" t="str">
        <f>IF(P9122&gt;500,"High","low")</f>
        <v>low</v>
      </c>
      <c r="R9122" s="37" t="str">
        <f t="shared" si="714"/>
        <v>AVERAGE</v>
      </c>
      <c r="S9122" t="s">
        <v>605</v>
      </c>
    </row>
    <row r="9123" spans="1:19" x14ac:dyDescent="0.2">
      <c r="A9123" t="s">
        <v>9734</v>
      </c>
      <c r="B9123" t="s">
        <v>75</v>
      </c>
      <c r="C9123" t="s">
        <v>597</v>
      </c>
      <c r="D9123">
        <v>1968.03</v>
      </c>
      <c r="E9123" s="37" t="str">
        <f t="shared" si="710"/>
        <v xml:space="preserve"> </v>
      </c>
      <c r="F9123">
        <v>7.0000000000000007E-2</v>
      </c>
      <c r="G9123" s="37" t="str">
        <f t="shared" si="711"/>
        <v>Normal Discount</v>
      </c>
      <c r="H9123" s="37" t="str">
        <f t="shared" si="712"/>
        <v>Low</v>
      </c>
      <c r="I9123">
        <v>6</v>
      </c>
      <c r="J9123" t="str" cm="1">
        <f t="array" ref="J9123">_xlfn.IFS(I9123&lt;=3,"small",I9123&lt;=6,"Medium",I9123&lt;=9,"Large")</f>
        <v>Medium</v>
      </c>
      <c r="K9123" s="36">
        <v>44978</v>
      </c>
      <c r="L9123" s="36">
        <v>44980</v>
      </c>
      <c r="M9123" t="s">
        <v>612</v>
      </c>
      <c r="N9123" t="s">
        <v>599</v>
      </c>
      <c r="O9123" s="37" t="str">
        <f t="shared" si="713"/>
        <v>Digital Payment</v>
      </c>
      <c r="P9123">
        <v>329.96</v>
      </c>
      <c r="Q9123" s="37" t="str">
        <f>IF(P9123&gt;500,"High","low")</f>
        <v>low</v>
      </c>
      <c r="R9123" s="37" t="str">
        <f t="shared" si="714"/>
        <v>AVERAGE</v>
      </c>
      <c r="S9123" t="s">
        <v>605</v>
      </c>
    </row>
    <row r="9124" spans="1:19" x14ac:dyDescent="0.2">
      <c r="A9124" t="s">
        <v>9735</v>
      </c>
      <c r="B9124" t="s">
        <v>90</v>
      </c>
      <c r="C9124" t="s">
        <v>607</v>
      </c>
      <c r="D9124">
        <v>1965.2</v>
      </c>
      <c r="E9124" s="37" t="str">
        <f t="shared" si="710"/>
        <v xml:space="preserve"> </v>
      </c>
      <c r="F9124">
        <v>0.05</v>
      </c>
      <c r="G9124" s="37" t="str">
        <f t="shared" si="711"/>
        <v>Normal Discount</v>
      </c>
      <c r="H9124" s="37" t="str">
        <f t="shared" si="712"/>
        <v>Low</v>
      </c>
      <c r="I9124">
        <v>6</v>
      </c>
      <c r="J9124" t="str" cm="1">
        <f t="array" ref="J9124">_xlfn.IFS(I9124&lt;=3,"small",I9124&lt;=6,"Medium",I9124&lt;=9,"Large")</f>
        <v>Medium</v>
      </c>
      <c r="K9124" s="36">
        <v>45604</v>
      </c>
      <c r="L9124" s="36">
        <v>45606</v>
      </c>
      <c r="M9124" t="s">
        <v>612</v>
      </c>
      <c r="N9124" t="s">
        <v>604</v>
      </c>
      <c r="O9124" s="37" t="str">
        <f t="shared" si="713"/>
        <v>Digital Payment</v>
      </c>
      <c r="P9124">
        <v>350.58</v>
      </c>
      <c r="Q9124" s="37" t="str">
        <f>IF(P9124&gt;500,"High","low")</f>
        <v>low</v>
      </c>
      <c r="R9124" s="37" t="str">
        <f t="shared" si="714"/>
        <v>AVERAGE</v>
      </c>
      <c r="S9124" t="s">
        <v>620</v>
      </c>
    </row>
    <row r="9125" spans="1:19" x14ac:dyDescent="0.2">
      <c r="A9125" t="s">
        <v>9736</v>
      </c>
      <c r="B9125" t="s">
        <v>75</v>
      </c>
      <c r="C9125" t="s">
        <v>602</v>
      </c>
      <c r="D9125">
        <v>1850.57</v>
      </c>
      <c r="E9125" s="37" t="str">
        <f t="shared" si="710"/>
        <v xml:space="preserve"> </v>
      </c>
      <c r="F9125">
        <v>0.15</v>
      </c>
      <c r="G9125" s="37" t="str">
        <f t="shared" si="711"/>
        <v>Normal Discount</v>
      </c>
      <c r="H9125" s="37" t="str">
        <f t="shared" si="712"/>
        <v>Low</v>
      </c>
      <c r="I9125">
        <v>6</v>
      </c>
      <c r="J9125" t="str" cm="1">
        <f t="array" ref="J9125">_xlfn.IFS(I9125&lt;=3,"small",I9125&lt;=6,"Medium",I9125&lt;=9,"Large")</f>
        <v>Medium</v>
      </c>
      <c r="K9125" s="36">
        <v>45228</v>
      </c>
      <c r="L9125" s="36">
        <v>45230</v>
      </c>
      <c r="M9125" t="s">
        <v>612</v>
      </c>
      <c r="N9125" t="s">
        <v>604</v>
      </c>
      <c r="O9125" s="37" t="str">
        <f t="shared" si="713"/>
        <v>Digital Payment</v>
      </c>
      <c r="P9125">
        <v>378.17</v>
      </c>
      <c r="Q9125" s="37" t="str">
        <f>IF(P9125&gt;500,"High","low")</f>
        <v>low</v>
      </c>
      <c r="R9125" s="37" t="str">
        <f t="shared" si="714"/>
        <v>AVERAGE</v>
      </c>
      <c r="S9125" t="s">
        <v>620</v>
      </c>
    </row>
    <row r="9126" spans="1:19" x14ac:dyDescent="0.2">
      <c r="A9126" t="s">
        <v>9737</v>
      </c>
      <c r="B9126" t="s">
        <v>67</v>
      </c>
      <c r="C9126" t="s">
        <v>607</v>
      </c>
      <c r="D9126">
        <v>338.74</v>
      </c>
      <c r="E9126" s="37" t="str">
        <f t="shared" si="710"/>
        <v xml:space="preserve"> </v>
      </c>
      <c r="F9126">
        <v>0.05</v>
      </c>
      <c r="G9126" s="37" t="str">
        <f t="shared" si="711"/>
        <v>Normal Discount</v>
      </c>
      <c r="H9126" s="37" t="str">
        <f t="shared" si="712"/>
        <v>Low</v>
      </c>
      <c r="I9126">
        <v>7</v>
      </c>
      <c r="J9126" t="str" cm="1">
        <f t="array" ref="J9126">_xlfn.IFS(I9126&lt;=3,"small",I9126&lt;=6,"Medium",I9126&lt;=9,"Large")</f>
        <v>Large</v>
      </c>
      <c r="K9126" s="36">
        <v>45399</v>
      </c>
      <c r="L9126" s="36">
        <v>45400</v>
      </c>
      <c r="M9126" t="s">
        <v>598</v>
      </c>
      <c r="N9126" t="s">
        <v>604</v>
      </c>
      <c r="O9126" s="37" t="str">
        <f t="shared" si="713"/>
        <v>Digital Payment</v>
      </c>
      <c r="P9126">
        <v>84.61</v>
      </c>
      <c r="Q9126" s="37" t="str">
        <f>IF(P9126&gt;500,"High","low")</f>
        <v>low</v>
      </c>
      <c r="R9126" s="37" t="str">
        <f t="shared" si="714"/>
        <v>AVERAGE</v>
      </c>
      <c r="S9126" t="s">
        <v>609</v>
      </c>
    </row>
    <row r="9127" spans="1:19" x14ac:dyDescent="0.2">
      <c r="A9127" t="s">
        <v>9738</v>
      </c>
      <c r="B9127" t="s">
        <v>90</v>
      </c>
      <c r="C9127" t="s">
        <v>597</v>
      </c>
      <c r="D9127">
        <v>2373.7600000000002</v>
      </c>
      <c r="E9127" s="37" t="str">
        <f t="shared" si="710"/>
        <v xml:space="preserve"> </v>
      </c>
      <c r="F9127">
        <v>0.13</v>
      </c>
      <c r="G9127" s="37" t="str">
        <f t="shared" si="711"/>
        <v>Normal Discount</v>
      </c>
      <c r="H9127" s="37" t="str">
        <f t="shared" si="712"/>
        <v>Low</v>
      </c>
      <c r="I9127">
        <v>7</v>
      </c>
      <c r="J9127" t="str" cm="1">
        <f t="array" ref="J9127">_xlfn.IFS(I9127&lt;=3,"small",I9127&lt;=6,"Medium",I9127&lt;=9,"Large")</f>
        <v>Large</v>
      </c>
      <c r="K9127" s="36">
        <v>45598</v>
      </c>
      <c r="L9127" s="36">
        <v>45600</v>
      </c>
      <c r="M9127" t="s">
        <v>598</v>
      </c>
      <c r="N9127" t="s">
        <v>599</v>
      </c>
      <c r="O9127" s="37" t="str">
        <f t="shared" si="713"/>
        <v>Digital Payment</v>
      </c>
      <c r="P9127">
        <v>190.86</v>
      </c>
      <c r="Q9127" s="37" t="str">
        <f>IF(P9127&gt;500,"High","low")</f>
        <v>low</v>
      </c>
      <c r="R9127" s="37" t="str">
        <f t="shared" si="714"/>
        <v>AVERAGE</v>
      </c>
      <c r="S9127" t="s">
        <v>628</v>
      </c>
    </row>
    <row r="9128" spans="1:19" x14ac:dyDescent="0.2">
      <c r="A9128" t="s">
        <v>9739</v>
      </c>
      <c r="B9128" t="s">
        <v>67</v>
      </c>
      <c r="C9128" t="s">
        <v>597</v>
      </c>
      <c r="D9128">
        <v>4197.42</v>
      </c>
      <c r="E9128" s="37" t="str">
        <f t="shared" si="710"/>
        <v xml:space="preserve"> </v>
      </c>
      <c r="F9128">
        <v>0.28000000000000003</v>
      </c>
      <c r="G9128" s="37" t="str">
        <f t="shared" si="711"/>
        <v>Normal Discount</v>
      </c>
      <c r="H9128" s="37" t="str">
        <f t="shared" si="712"/>
        <v>Medium</v>
      </c>
      <c r="I9128">
        <v>8</v>
      </c>
      <c r="J9128" t="str" cm="1">
        <f t="array" ref="J9128">_xlfn.IFS(I9128&lt;=3,"small",I9128&lt;=6,"Medium",I9128&lt;=9,"Large")</f>
        <v>Large</v>
      </c>
      <c r="K9128" s="36">
        <v>45288</v>
      </c>
      <c r="L9128" s="36">
        <v>45293</v>
      </c>
      <c r="M9128" t="s">
        <v>598</v>
      </c>
      <c r="N9128" t="s">
        <v>604</v>
      </c>
      <c r="O9128" s="37" t="str">
        <f t="shared" si="713"/>
        <v>Digital Payment</v>
      </c>
      <c r="P9128">
        <v>771.99</v>
      </c>
      <c r="Q9128" s="37" t="str">
        <f>IF(P9128&gt;500,"High","low")</f>
        <v>High</v>
      </c>
      <c r="R9128" s="37" t="str">
        <f t="shared" si="714"/>
        <v>Good</v>
      </c>
      <c r="S9128" t="s">
        <v>609</v>
      </c>
    </row>
    <row r="9129" spans="1:19" x14ac:dyDescent="0.2">
      <c r="A9129" t="s">
        <v>9740</v>
      </c>
      <c r="B9129" t="s">
        <v>90</v>
      </c>
      <c r="C9129" t="s">
        <v>602</v>
      </c>
      <c r="D9129">
        <v>983.79</v>
      </c>
      <c r="E9129" s="37" t="str">
        <f t="shared" si="710"/>
        <v xml:space="preserve"> </v>
      </c>
      <c r="F9129">
        <v>0.28000000000000003</v>
      </c>
      <c r="G9129" s="37" t="str">
        <f t="shared" si="711"/>
        <v>Normal Discount</v>
      </c>
      <c r="H9129" s="37" t="str">
        <f t="shared" si="712"/>
        <v>Medium</v>
      </c>
      <c r="I9129">
        <v>2</v>
      </c>
      <c r="J9129" t="str" cm="1">
        <f t="array" ref="J9129">_xlfn.IFS(I9129&lt;=3,"small",I9129&lt;=6,"Medium",I9129&lt;=9,"Large")</f>
        <v>small</v>
      </c>
      <c r="K9129" s="36">
        <v>45103</v>
      </c>
      <c r="L9129" s="36">
        <v>45107</v>
      </c>
      <c r="M9129" t="s">
        <v>598</v>
      </c>
      <c r="N9129" t="s">
        <v>599</v>
      </c>
      <c r="O9129" s="37" t="str">
        <f t="shared" si="713"/>
        <v>Digital Payment</v>
      </c>
      <c r="P9129">
        <v>84.12</v>
      </c>
      <c r="Q9129" s="37" t="str">
        <f>IF(P9129&gt;500,"High","low")</f>
        <v>low</v>
      </c>
      <c r="R9129" s="37" t="str">
        <f t="shared" si="714"/>
        <v>AVERAGE</v>
      </c>
      <c r="S9129" t="s">
        <v>628</v>
      </c>
    </row>
    <row r="9130" spans="1:19" x14ac:dyDescent="0.2">
      <c r="A9130" t="s">
        <v>9741</v>
      </c>
      <c r="B9130" t="s">
        <v>83</v>
      </c>
      <c r="C9130" t="s">
        <v>614</v>
      </c>
      <c r="D9130">
        <v>813.72</v>
      </c>
      <c r="E9130" s="37" t="str">
        <f t="shared" si="710"/>
        <v xml:space="preserve"> </v>
      </c>
      <c r="F9130">
        <v>0.08</v>
      </c>
      <c r="G9130" s="37" t="str">
        <f t="shared" si="711"/>
        <v>Normal Discount</v>
      </c>
      <c r="H9130" s="37" t="str">
        <f t="shared" si="712"/>
        <v>Low</v>
      </c>
      <c r="I9130">
        <v>1</v>
      </c>
      <c r="J9130" t="str" cm="1">
        <f t="array" ref="J9130">_xlfn.IFS(I9130&lt;=3,"small",I9130&lt;=6,"Medium",I9130&lt;=9,"Large")</f>
        <v>small</v>
      </c>
      <c r="K9130" s="36">
        <v>45457</v>
      </c>
      <c r="L9130" s="36">
        <v>45458</v>
      </c>
      <c r="M9130" t="s">
        <v>603</v>
      </c>
      <c r="N9130" t="s">
        <v>604</v>
      </c>
      <c r="O9130" s="37" t="str">
        <f t="shared" si="713"/>
        <v>Digital Payment</v>
      </c>
      <c r="P9130">
        <v>77.45</v>
      </c>
      <c r="Q9130" s="37" t="str">
        <f>IF(P9130&gt;500,"High","low")</f>
        <v>low</v>
      </c>
      <c r="R9130" s="37" t="str">
        <f t="shared" si="714"/>
        <v>AVERAGE</v>
      </c>
      <c r="S9130" t="s">
        <v>605</v>
      </c>
    </row>
    <row r="9131" spans="1:19" x14ac:dyDescent="0.2">
      <c r="A9131" t="s">
        <v>9742</v>
      </c>
      <c r="B9131" t="s">
        <v>67</v>
      </c>
      <c r="C9131" t="s">
        <v>602</v>
      </c>
      <c r="D9131">
        <v>2412.0700000000002</v>
      </c>
      <c r="E9131" s="37" t="str">
        <f t="shared" si="710"/>
        <v xml:space="preserve"> </v>
      </c>
      <c r="F9131">
        <v>0.1</v>
      </c>
      <c r="G9131" s="37" t="str">
        <f t="shared" si="711"/>
        <v>Normal Discount</v>
      </c>
      <c r="H9131" s="37" t="str">
        <f t="shared" si="712"/>
        <v>Low</v>
      </c>
      <c r="I9131">
        <v>7</v>
      </c>
      <c r="J9131" t="str" cm="1">
        <f t="array" ref="J9131">_xlfn.IFS(I9131&lt;=3,"small",I9131&lt;=6,"Medium",I9131&lt;=9,"Large")</f>
        <v>Large</v>
      </c>
      <c r="K9131" s="36">
        <v>45519</v>
      </c>
      <c r="L9131" s="36">
        <v>45521</v>
      </c>
      <c r="M9131" t="s">
        <v>612</v>
      </c>
      <c r="N9131" t="s">
        <v>608</v>
      </c>
      <c r="O9131" s="37" t="str">
        <f t="shared" si="713"/>
        <v>Cash Payment</v>
      </c>
      <c r="P9131">
        <v>417.01</v>
      </c>
      <c r="Q9131" s="37" t="str">
        <f>IF(P9131&gt;500,"High","low")</f>
        <v>low</v>
      </c>
      <c r="R9131" s="37" t="str">
        <f t="shared" si="714"/>
        <v>AVERAGE</v>
      </c>
      <c r="S9131" t="s">
        <v>628</v>
      </c>
    </row>
    <row r="9132" spans="1:19" x14ac:dyDescent="0.2">
      <c r="A9132" t="s">
        <v>9743</v>
      </c>
      <c r="B9132" t="s">
        <v>75</v>
      </c>
      <c r="C9132" t="s">
        <v>614</v>
      </c>
      <c r="D9132">
        <v>1915.95</v>
      </c>
      <c r="E9132" s="37" t="str">
        <f t="shared" si="710"/>
        <v xml:space="preserve"> </v>
      </c>
      <c r="F9132">
        <v>0.43</v>
      </c>
      <c r="G9132" s="37" t="str">
        <f t="shared" si="711"/>
        <v>Heavy Discount</v>
      </c>
      <c r="H9132" s="37" t="str">
        <f t="shared" si="712"/>
        <v>High</v>
      </c>
      <c r="I9132">
        <v>1</v>
      </c>
      <c r="J9132" t="str" cm="1">
        <f t="array" ref="J9132">_xlfn.IFS(I9132&lt;=3,"small",I9132&lt;=6,"Medium",I9132&lt;=9,"Large")</f>
        <v>small</v>
      </c>
      <c r="K9132" s="36">
        <v>45436</v>
      </c>
      <c r="L9132" s="36">
        <v>45438</v>
      </c>
      <c r="M9132" t="s">
        <v>598</v>
      </c>
      <c r="N9132" t="s">
        <v>599</v>
      </c>
      <c r="O9132" s="37" t="str">
        <f t="shared" si="713"/>
        <v>Digital Payment</v>
      </c>
      <c r="P9132">
        <v>135.62</v>
      </c>
      <c r="Q9132" s="37" t="str">
        <f>IF(P9132&gt;500,"High","low")</f>
        <v>low</v>
      </c>
      <c r="R9132" s="37" t="str">
        <f t="shared" si="714"/>
        <v>AVERAGE</v>
      </c>
      <c r="S9132" t="s">
        <v>605</v>
      </c>
    </row>
    <row r="9133" spans="1:19" x14ac:dyDescent="0.2">
      <c r="A9133" t="s">
        <v>9744</v>
      </c>
      <c r="B9133" t="s">
        <v>83</v>
      </c>
      <c r="C9133" t="s">
        <v>597</v>
      </c>
      <c r="D9133">
        <v>2850.28</v>
      </c>
      <c r="E9133" s="37" t="str">
        <f t="shared" si="710"/>
        <v xml:space="preserve"> </v>
      </c>
      <c r="F9133">
        <v>0.08</v>
      </c>
      <c r="G9133" s="37" t="str">
        <f t="shared" si="711"/>
        <v>Normal Discount</v>
      </c>
      <c r="H9133" s="37" t="str">
        <f t="shared" si="712"/>
        <v>Low</v>
      </c>
      <c r="I9133">
        <v>2</v>
      </c>
      <c r="J9133" t="str" cm="1">
        <f t="array" ref="J9133">_xlfn.IFS(I9133&lt;=3,"small",I9133&lt;=6,"Medium",I9133&lt;=9,"Large")</f>
        <v>small</v>
      </c>
      <c r="K9133" s="36">
        <v>45106</v>
      </c>
      <c r="L9133" s="36">
        <v>45111</v>
      </c>
      <c r="M9133" t="s">
        <v>603</v>
      </c>
      <c r="N9133" t="s">
        <v>604</v>
      </c>
      <c r="O9133" s="37" t="str">
        <f t="shared" si="713"/>
        <v>Digital Payment</v>
      </c>
      <c r="P9133">
        <v>204.76</v>
      </c>
      <c r="Q9133" s="37" t="str">
        <f>IF(P9133&gt;500,"High","low")</f>
        <v>low</v>
      </c>
      <c r="R9133" s="37" t="str">
        <f t="shared" si="714"/>
        <v>AVERAGE</v>
      </c>
      <c r="S9133" t="s">
        <v>628</v>
      </c>
    </row>
    <row r="9134" spans="1:19" x14ac:dyDescent="0.2">
      <c r="A9134" t="s">
        <v>9745</v>
      </c>
      <c r="B9134" t="s">
        <v>75</v>
      </c>
      <c r="C9134" t="s">
        <v>617</v>
      </c>
      <c r="D9134">
        <v>4740.66</v>
      </c>
      <c r="E9134" s="37" t="str">
        <f t="shared" si="710"/>
        <v xml:space="preserve"> </v>
      </c>
      <c r="F9134">
        <v>0.02</v>
      </c>
      <c r="G9134" s="37" t="str">
        <f t="shared" si="711"/>
        <v>Normal Discount</v>
      </c>
      <c r="H9134" s="37" t="str">
        <f t="shared" si="712"/>
        <v>Low</v>
      </c>
      <c r="I9134">
        <v>1</v>
      </c>
      <c r="J9134" t="str" cm="1">
        <f t="array" ref="J9134">_xlfn.IFS(I9134&lt;=3,"small",I9134&lt;=6,"Medium",I9134&lt;=9,"Large")</f>
        <v>small</v>
      </c>
      <c r="K9134" s="36">
        <v>45349</v>
      </c>
      <c r="L9134" s="36">
        <v>45353</v>
      </c>
      <c r="M9134" t="s">
        <v>612</v>
      </c>
      <c r="N9134" t="s">
        <v>599</v>
      </c>
      <c r="O9134" s="37" t="str">
        <f t="shared" si="713"/>
        <v>Digital Payment</v>
      </c>
      <c r="P9134">
        <v>449.43</v>
      </c>
      <c r="Q9134" s="37" t="str">
        <f>IF(P9134&gt;500,"High","low")</f>
        <v>low</v>
      </c>
      <c r="R9134" s="37" t="str">
        <f t="shared" si="714"/>
        <v>AVERAGE</v>
      </c>
      <c r="S9134" t="s">
        <v>609</v>
      </c>
    </row>
    <row r="9135" spans="1:19" x14ac:dyDescent="0.2">
      <c r="A9135" t="s">
        <v>9746</v>
      </c>
      <c r="B9135" t="s">
        <v>90</v>
      </c>
      <c r="C9135" t="s">
        <v>617</v>
      </c>
      <c r="D9135">
        <v>3828.34</v>
      </c>
      <c r="E9135" s="37" t="str">
        <f t="shared" si="710"/>
        <v xml:space="preserve"> </v>
      </c>
      <c r="F9135">
        <v>0.12</v>
      </c>
      <c r="G9135" s="37" t="str">
        <f t="shared" si="711"/>
        <v>Normal Discount</v>
      </c>
      <c r="H9135" s="37" t="str">
        <f t="shared" si="712"/>
        <v>Low</v>
      </c>
      <c r="I9135">
        <v>1</v>
      </c>
      <c r="J9135" t="str" cm="1">
        <f t="array" ref="J9135">_xlfn.IFS(I9135&lt;=3,"small",I9135&lt;=6,"Medium",I9135&lt;=9,"Large")</f>
        <v>small</v>
      </c>
      <c r="K9135" s="36">
        <v>45116</v>
      </c>
      <c r="L9135" s="36">
        <v>45119</v>
      </c>
      <c r="M9135" t="s">
        <v>598</v>
      </c>
      <c r="N9135" t="s">
        <v>599</v>
      </c>
      <c r="O9135" s="37" t="str">
        <f t="shared" si="713"/>
        <v>Digital Payment</v>
      </c>
      <c r="P9135">
        <v>643.46</v>
      </c>
      <c r="Q9135" s="37" t="str">
        <f>IF(P9135&gt;500,"High","low")</f>
        <v>High</v>
      </c>
      <c r="R9135" s="37" t="str">
        <f t="shared" si="714"/>
        <v>Good</v>
      </c>
      <c r="S9135" t="s">
        <v>615</v>
      </c>
    </row>
    <row r="9136" spans="1:19" x14ac:dyDescent="0.2">
      <c r="A9136" t="s">
        <v>9747</v>
      </c>
      <c r="B9136" t="s">
        <v>90</v>
      </c>
      <c r="C9136" t="s">
        <v>607</v>
      </c>
      <c r="D9136">
        <v>3466.58</v>
      </c>
      <c r="E9136" s="37" t="str">
        <f t="shared" si="710"/>
        <v xml:space="preserve"> </v>
      </c>
      <c r="F9136">
        <v>0.28999999999999998</v>
      </c>
      <c r="G9136" s="37" t="str">
        <f t="shared" si="711"/>
        <v>Normal Discount</v>
      </c>
      <c r="H9136" s="37" t="str">
        <f t="shared" si="712"/>
        <v>Medium</v>
      </c>
      <c r="I9136">
        <v>3</v>
      </c>
      <c r="J9136" t="str" cm="1">
        <f t="array" ref="J9136">_xlfn.IFS(I9136&lt;=3,"small",I9136&lt;=6,"Medium",I9136&lt;=9,"Large")</f>
        <v>small</v>
      </c>
      <c r="K9136" s="36">
        <v>45479</v>
      </c>
      <c r="L9136" s="36">
        <v>45483</v>
      </c>
      <c r="M9136" t="s">
        <v>603</v>
      </c>
      <c r="N9136" t="s">
        <v>608</v>
      </c>
      <c r="O9136" s="37" t="str">
        <f t="shared" si="713"/>
        <v>Cash Payment</v>
      </c>
      <c r="P9136">
        <v>332.11</v>
      </c>
      <c r="Q9136" s="37" t="str">
        <f>IF(P9136&gt;500,"High","low")</f>
        <v>low</v>
      </c>
      <c r="R9136" s="37" t="str">
        <f t="shared" si="714"/>
        <v>AVERAGE</v>
      </c>
      <c r="S9136" t="s">
        <v>605</v>
      </c>
    </row>
    <row r="9137" spans="1:19" x14ac:dyDescent="0.2">
      <c r="A9137" t="s">
        <v>9748</v>
      </c>
      <c r="B9137" t="s">
        <v>75</v>
      </c>
      <c r="C9137" t="s">
        <v>602</v>
      </c>
      <c r="D9137">
        <v>2138.09</v>
      </c>
      <c r="E9137" s="37" t="str">
        <f t="shared" si="710"/>
        <v xml:space="preserve"> </v>
      </c>
      <c r="F9137">
        <v>0</v>
      </c>
      <c r="G9137" s="37" t="str">
        <f t="shared" si="711"/>
        <v>Normal Discount</v>
      </c>
      <c r="H9137" s="37" t="str">
        <f t="shared" si="712"/>
        <v>Low</v>
      </c>
      <c r="I9137">
        <v>4</v>
      </c>
      <c r="J9137" t="str" cm="1">
        <f t="array" ref="J9137">_xlfn.IFS(I9137&lt;=3,"small",I9137&lt;=6,"Medium",I9137&lt;=9,"Large")</f>
        <v>Medium</v>
      </c>
      <c r="K9137" s="36">
        <v>45074</v>
      </c>
      <c r="L9137" s="36">
        <v>45076</v>
      </c>
      <c r="M9137" t="s">
        <v>598</v>
      </c>
      <c r="N9137" t="s">
        <v>608</v>
      </c>
      <c r="O9137" s="37" t="str">
        <f t="shared" si="713"/>
        <v>Cash Payment</v>
      </c>
      <c r="P9137">
        <v>309.29000000000002</v>
      </c>
      <c r="Q9137" s="37" t="str">
        <f>IF(P9137&gt;500,"High","low")</f>
        <v>low</v>
      </c>
      <c r="R9137" s="37" t="str">
        <f t="shared" si="714"/>
        <v>AVERAGE</v>
      </c>
      <c r="S9137" t="s">
        <v>620</v>
      </c>
    </row>
    <row r="9138" spans="1:19" x14ac:dyDescent="0.2">
      <c r="A9138" t="s">
        <v>9749</v>
      </c>
      <c r="B9138" t="s">
        <v>75</v>
      </c>
      <c r="C9138" t="s">
        <v>602</v>
      </c>
      <c r="D9138">
        <v>1508.06</v>
      </c>
      <c r="E9138" s="37" t="str">
        <f t="shared" si="710"/>
        <v xml:space="preserve"> </v>
      </c>
      <c r="F9138">
        <v>0.49</v>
      </c>
      <c r="G9138" s="37" t="str">
        <f t="shared" si="711"/>
        <v>Heavy Discount</v>
      </c>
      <c r="H9138" s="37" t="str">
        <f t="shared" si="712"/>
        <v>High</v>
      </c>
      <c r="I9138">
        <v>5</v>
      </c>
      <c r="J9138" t="str" cm="1">
        <f t="array" ref="J9138">_xlfn.IFS(I9138&lt;=3,"small",I9138&lt;=6,"Medium",I9138&lt;=9,"Large")</f>
        <v>Medium</v>
      </c>
      <c r="K9138" s="36">
        <v>45460</v>
      </c>
      <c r="L9138" s="36">
        <v>45462</v>
      </c>
      <c r="M9138" t="s">
        <v>603</v>
      </c>
      <c r="N9138" t="s">
        <v>599</v>
      </c>
      <c r="O9138" s="37" t="str">
        <f t="shared" si="713"/>
        <v>Digital Payment</v>
      </c>
      <c r="P9138">
        <v>402.87</v>
      </c>
      <c r="Q9138" s="37" t="str">
        <f>IF(P9138&gt;500,"High","low")</f>
        <v>low</v>
      </c>
      <c r="R9138" s="37" t="str">
        <f t="shared" si="714"/>
        <v>AVERAGE</v>
      </c>
      <c r="S9138" t="s">
        <v>605</v>
      </c>
    </row>
    <row r="9139" spans="1:19" x14ac:dyDescent="0.2">
      <c r="A9139" t="s">
        <v>9750</v>
      </c>
      <c r="B9139" t="s">
        <v>83</v>
      </c>
      <c r="C9139" t="s">
        <v>617</v>
      </c>
      <c r="D9139">
        <v>2747.29</v>
      </c>
      <c r="E9139" s="37" t="str">
        <f t="shared" si="710"/>
        <v xml:space="preserve"> </v>
      </c>
      <c r="F9139">
        <v>0.12</v>
      </c>
      <c r="G9139" s="37" t="str">
        <f t="shared" si="711"/>
        <v>Normal Discount</v>
      </c>
      <c r="H9139" s="37" t="str">
        <f t="shared" si="712"/>
        <v>Low</v>
      </c>
      <c r="I9139">
        <v>5</v>
      </c>
      <c r="J9139" t="str" cm="1">
        <f t="array" ref="J9139">_xlfn.IFS(I9139&lt;=3,"small",I9139&lt;=6,"Medium",I9139&lt;=9,"Large")</f>
        <v>Medium</v>
      </c>
      <c r="K9139" s="36">
        <v>45597</v>
      </c>
      <c r="L9139" s="36">
        <v>45601</v>
      </c>
      <c r="M9139" t="s">
        <v>612</v>
      </c>
      <c r="N9139" t="s">
        <v>608</v>
      </c>
      <c r="O9139" s="37" t="str">
        <f t="shared" si="713"/>
        <v>Cash Payment</v>
      </c>
      <c r="P9139">
        <v>774.38</v>
      </c>
      <c r="Q9139" s="37" t="str">
        <f>IF(P9139&gt;500,"High","low")</f>
        <v>High</v>
      </c>
      <c r="R9139" s="37" t="str">
        <f t="shared" si="714"/>
        <v>Good</v>
      </c>
      <c r="S9139" t="s">
        <v>615</v>
      </c>
    </row>
    <row r="9140" spans="1:19" x14ac:dyDescent="0.2">
      <c r="A9140" t="s">
        <v>9751</v>
      </c>
      <c r="B9140" t="s">
        <v>75</v>
      </c>
      <c r="C9140" t="s">
        <v>614</v>
      </c>
      <c r="D9140">
        <v>4438.67</v>
      </c>
      <c r="E9140" s="37" t="str">
        <f t="shared" si="710"/>
        <v>Excellent Order</v>
      </c>
      <c r="F9140">
        <v>0.12</v>
      </c>
      <c r="G9140" s="37" t="str">
        <f t="shared" si="711"/>
        <v>Normal Discount</v>
      </c>
      <c r="H9140" s="37" t="str">
        <f t="shared" si="712"/>
        <v>Low</v>
      </c>
      <c r="I9140">
        <v>2</v>
      </c>
      <c r="J9140" t="str" cm="1">
        <f t="array" ref="J9140">_xlfn.IFS(I9140&lt;=3,"small",I9140&lt;=6,"Medium",I9140&lt;=9,"Large")</f>
        <v>small</v>
      </c>
      <c r="K9140" s="36">
        <v>45536</v>
      </c>
      <c r="L9140" s="36">
        <v>45540</v>
      </c>
      <c r="M9140" t="s">
        <v>603</v>
      </c>
      <c r="N9140" t="s">
        <v>608</v>
      </c>
      <c r="O9140" s="37" t="str">
        <f t="shared" si="713"/>
        <v>Cash Payment</v>
      </c>
      <c r="P9140">
        <v>835.76</v>
      </c>
      <c r="Q9140" s="37" t="str">
        <f>IF(P9140&gt;500,"High","low")</f>
        <v>High</v>
      </c>
      <c r="R9140" s="37" t="str">
        <f t="shared" si="714"/>
        <v>Good</v>
      </c>
      <c r="S9140" t="s">
        <v>605</v>
      </c>
    </row>
    <row r="9141" spans="1:19" x14ac:dyDescent="0.2">
      <c r="A9141" t="s">
        <v>9752</v>
      </c>
      <c r="B9141" t="s">
        <v>67</v>
      </c>
      <c r="C9141" t="s">
        <v>602</v>
      </c>
      <c r="D9141">
        <v>4396.04</v>
      </c>
      <c r="E9141" s="37" t="str">
        <f t="shared" si="710"/>
        <v>Excellent Order</v>
      </c>
      <c r="F9141">
        <v>0.37</v>
      </c>
      <c r="G9141" s="37" t="str">
        <f t="shared" si="711"/>
        <v>Heavy Discount</v>
      </c>
      <c r="H9141" s="37" t="str">
        <f t="shared" si="712"/>
        <v>Medium</v>
      </c>
      <c r="I9141">
        <v>3</v>
      </c>
      <c r="J9141" t="str" cm="1">
        <f t="array" ref="J9141">_xlfn.IFS(I9141&lt;=3,"small",I9141&lt;=6,"Medium",I9141&lt;=9,"Large")</f>
        <v>small</v>
      </c>
      <c r="K9141" s="36">
        <v>45013</v>
      </c>
      <c r="L9141" s="36">
        <v>45018</v>
      </c>
      <c r="M9141" t="s">
        <v>612</v>
      </c>
      <c r="N9141" t="s">
        <v>599</v>
      </c>
      <c r="O9141" s="37" t="str">
        <f t="shared" si="713"/>
        <v>Digital Payment</v>
      </c>
      <c r="P9141">
        <v>1305.29</v>
      </c>
      <c r="Q9141" s="37" t="str">
        <f>IF(P9141&gt;500,"High","low")</f>
        <v>High</v>
      </c>
      <c r="R9141" s="37" t="str">
        <f t="shared" si="714"/>
        <v>Excellent</v>
      </c>
      <c r="S9141" t="s">
        <v>615</v>
      </c>
    </row>
    <row r="9142" spans="1:19" x14ac:dyDescent="0.2">
      <c r="A9142" t="s">
        <v>9753</v>
      </c>
      <c r="B9142" t="s">
        <v>67</v>
      </c>
      <c r="C9142" t="s">
        <v>614</v>
      </c>
      <c r="D9142">
        <v>2283.02</v>
      </c>
      <c r="E9142" s="37" t="str">
        <f t="shared" si="710"/>
        <v xml:space="preserve"> </v>
      </c>
      <c r="F9142">
        <v>0.12</v>
      </c>
      <c r="G9142" s="37" t="str">
        <f t="shared" si="711"/>
        <v>Normal Discount</v>
      </c>
      <c r="H9142" s="37" t="str">
        <f t="shared" si="712"/>
        <v>Low</v>
      </c>
      <c r="I9142">
        <v>8</v>
      </c>
      <c r="J9142" t="str" cm="1">
        <f t="array" ref="J9142">_xlfn.IFS(I9142&lt;=3,"small",I9142&lt;=6,"Medium",I9142&lt;=9,"Large")</f>
        <v>Large</v>
      </c>
      <c r="K9142" s="36">
        <v>45546</v>
      </c>
      <c r="L9142" s="36">
        <v>45549</v>
      </c>
      <c r="M9142" t="s">
        <v>603</v>
      </c>
      <c r="N9142" t="s">
        <v>608</v>
      </c>
      <c r="O9142" s="37" t="str">
        <f t="shared" si="713"/>
        <v>Cash Payment</v>
      </c>
      <c r="P9142">
        <v>516.80999999999995</v>
      </c>
      <c r="Q9142" s="37" t="str">
        <f>IF(P9142&gt;500,"High","low")</f>
        <v>High</v>
      </c>
      <c r="R9142" s="37" t="str">
        <f t="shared" si="714"/>
        <v>Good</v>
      </c>
      <c r="S9142" t="s">
        <v>628</v>
      </c>
    </row>
    <row r="9143" spans="1:19" x14ac:dyDescent="0.2">
      <c r="A9143" t="s">
        <v>9754</v>
      </c>
      <c r="B9143" t="s">
        <v>75</v>
      </c>
      <c r="C9143" t="s">
        <v>614</v>
      </c>
      <c r="D9143">
        <v>1306.48</v>
      </c>
      <c r="E9143" s="37" t="str">
        <f t="shared" si="710"/>
        <v xml:space="preserve"> </v>
      </c>
      <c r="F9143">
        <v>0.2</v>
      </c>
      <c r="G9143" s="37" t="str">
        <f t="shared" si="711"/>
        <v>Normal Discount</v>
      </c>
      <c r="H9143" s="37" t="str">
        <f t="shared" si="712"/>
        <v>Medium</v>
      </c>
      <c r="I9143">
        <v>2</v>
      </c>
      <c r="J9143" t="str" cm="1">
        <f t="array" ref="J9143">_xlfn.IFS(I9143&lt;=3,"small",I9143&lt;=6,"Medium",I9143&lt;=9,"Large")</f>
        <v>small</v>
      </c>
      <c r="K9143" s="36">
        <v>45238</v>
      </c>
      <c r="L9143" s="36">
        <v>45245</v>
      </c>
      <c r="M9143" t="s">
        <v>603</v>
      </c>
      <c r="N9143" t="s">
        <v>599</v>
      </c>
      <c r="O9143" s="37" t="str">
        <f t="shared" si="713"/>
        <v>Digital Payment</v>
      </c>
      <c r="P9143">
        <v>109.48</v>
      </c>
      <c r="Q9143" s="37" t="str">
        <f>IF(P9143&gt;500,"High","low")</f>
        <v>low</v>
      </c>
      <c r="R9143" s="37" t="str">
        <f t="shared" si="714"/>
        <v>AVERAGE</v>
      </c>
      <c r="S9143" t="s">
        <v>609</v>
      </c>
    </row>
    <row r="9144" spans="1:19" x14ac:dyDescent="0.2">
      <c r="A9144" t="s">
        <v>9755</v>
      </c>
      <c r="B9144" t="s">
        <v>67</v>
      </c>
      <c r="C9144" t="s">
        <v>614</v>
      </c>
      <c r="D9144">
        <v>1204.19</v>
      </c>
      <c r="E9144" s="37" t="str">
        <f t="shared" si="710"/>
        <v xml:space="preserve"> </v>
      </c>
      <c r="F9144">
        <v>0.27</v>
      </c>
      <c r="G9144" s="37" t="str">
        <f t="shared" si="711"/>
        <v>Normal Discount</v>
      </c>
      <c r="H9144" s="37" t="str">
        <f t="shared" si="712"/>
        <v>Medium</v>
      </c>
      <c r="I9144">
        <v>4</v>
      </c>
      <c r="J9144" t="str" cm="1">
        <f t="array" ref="J9144">_xlfn.IFS(I9144&lt;=3,"small",I9144&lt;=6,"Medium",I9144&lt;=9,"Large")</f>
        <v>Medium</v>
      </c>
      <c r="K9144" s="36">
        <v>45201</v>
      </c>
      <c r="L9144" s="36">
        <v>45202</v>
      </c>
      <c r="M9144" t="s">
        <v>598</v>
      </c>
      <c r="N9144" t="s">
        <v>604</v>
      </c>
      <c r="O9144" s="37" t="str">
        <f t="shared" si="713"/>
        <v>Digital Payment</v>
      </c>
      <c r="P9144">
        <v>282.81</v>
      </c>
      <c r="Q9144" s="37" t="str">
        <f>IF(P9144&gt;500,"High","low")</f>
        <v>low</v>
      </c>
      <c r="R9144" s="37" t="str">
        <f t="shared" si="714"/>
        <v>AVERAGE</v>
      </c>
      <c r="S9144" t="s">
        <v>628</v>
      </c>
    </row>
    <row r="9145" spans="1:19" x14ac:dyDescent="0.2">
      <c r="A9145" t="s">
        <v>9756</v>
      </c>
      <c r="B9145" t="s">
        <v>75</v>
      </c>
      <c r="C9145" t="s">
        <v>614</v>
      </c>
      <c r="D9145">
        <v>266.54000000000002</v>
      </c>
      <c r="E9145" s="37" t="str">
        <f t="shared" si="710"/>
        <v xml:space="preserve"> </v>
      </c>
      <c r="F9145">
        <v>0.01</v>
      </c>
      <c r="G9145" s="37" t="str">
        <f t="shared" si="711"/>
        <v>Normal Discount</v>
      </c>
      <c r="H9145" s="37" t="str">
        <f t="shared" si="712"/>
        <v>Low</v>
      </c>
      <c r="I9145">
        <v>7</v>
      </c>
      <c r="J9145" t="str" cm="1">
        <f t="array" ref="J9145">_xlfn.IFS(I9145&lt;=3,"small",I9145&lt;=6,"Medium",I9145&lt;=9,"Large")</f>
        <v>Large</v>
      </c>
      <c r="K9145" s="36">
        <v>45039</v>
      </c>
      <c r="L9145" s="36">
        <v>45040</v>
      </c>
      <c r="M9145" t="s">
        <v>603</v>
      </c>
      <c r="N9145" t="s">
        <v>599</v>
      </c>
      <c r="O9145" s="37" t="str">
        <f t="shared" si="713"/>
        <v>Digital Payment</v>
      </c>
      <c r="P9145">
        <v>57.62</v>
      </c>
      <c r="Q9145" s="37" t="str">
        <f>IF(P9145&gt;500,"High","low")</f>
        <v>low</v>
      </c>
      <c r="R9145" s="37" t="str">
        <f t="shared" si="714"/>
        <v>AVERAGE</v>
      </c>
      <c r="S9145" t="s">
        <v>609</v>
      </c>
    </row>
    <row r="9146" spans="1:19" x14ac:dyDescent="0.2">
      <c r="A9146" t="s">
        <v>9757</v>
      </c>
      <c r="B9146" t="s">
        <v>83</v>
      </c>
      <c r="C9146" t="s">
        <v>607</v>
      </c>
      <c r="D9146">
        <v>4229.05</v>
      </c>
      <c r="E9146" s="37" t="str">
        <f t="shared" si="710"/>
        <v>Excellent Order</v>
      </c>
      <c r="F9146">
        <v>0.42</v>
      </c>
      <c r="G9146" s="37" t="str">
        <f t="shared" si="711"/>
        <v>Heavy Discount</v>
      </c>
      <c r="H9146" s="37" t="str">
        <f t="shared" si="712"/>
        <v>High</v>
      </c>
      <c r="I9146">
        <v>9</v>
      </c>
      <c r="J9146" t="str" cm="1">
        <f t="array" ref="J9146">_xlfn.IFS(I9146&lt;=3,"small",I9146&lt;=6,"Medium",I9146&lt;=9,"Large")</f>
        <v>Large</v>
      </c>
      <c r="K9146" s="36">
        <v>45248</v>
      </c>
      <c r="L9146" s="36">
        <v>45255</v>
      </c>
      <c r="M9146" t="s">
        <v>598</v>
      </c>
      <c r="N9146" t="s">
        <v>604</v>
      </c>
      <c r="O9146" s="37" t="str">
        <f t="shared" si="713"/>
        <v>Digital Payment</v>
      </c>
      <c r="P9146">
        <v>1126.3699999999999</v>
      </c>
      <c r="Q9146" s="37" t="str">
        <f>IF(P9146&gt;500,"High","low")</f>
        <v>High</v>
      </c>
      <c r="R9146" s="37" t="str">
        <f t="shared" si="714"/>
        <v>Excellent</v>
      </c>
      <c r="S9146" t="s">
        <v>620</v>
      </c>
    </row>
    <row r="9147" spans="1:19" x14ac:dyDescent="0.2">
      <c r="A9147" t="s">
        <v>9758</v>
      </c>
      <c r="B9147" t="s">
        <v>67</v>
      </c>
      <c r="C9147" t="s">
        <v>607</v>
      </c>
      <c r="D9147">
        <v>1397.71</v>
      </c>
      <c r="E9147" s="37" t="str">
        <f t="shared" si="710"/>
        <v xml:space="preserve"> </v>
      </c>
      <c r="F9147">
        <v>0.26</v>
      </c>
      <c r="G9147" s="37" t="str">
        <f t="shared" si="711"/>
        <v>Normal Discount</v>
      </c>
      <c r="H9147" s="37" t="str">
        <f t="shared" si="712"/>
        <v>Medium</v>
      </c>
      <c r="I9147">
        <v>3</v>
      </c>
      <c r="J9147" t="str" cm="1">
        <f t="array" ref="J9147">_xlfn.IFS(I9147&lt;=3,"small",I9147&lt;=6,"Medium",I9147&lt;=9,"Large")</f>
        <v>small</v>
      </c>
      <c r="K9147" s="36">
        <v>45220</v>
      </c>
      <c r="L9147" s="36">
        <v>45223</v>
      </c>
      <c r="M9147" t="s">
        <v>612</v>
      </c>
      <c r="N9147" t="s">
        <v>604</v>
      </c>
      <c r="O9147" s="37" t="str">
        <f t="shared" si="713"/>
        <v>Digital Payment</v>
      </c>
      <c r="P9147">
        <v>244.99</v>
      </c>
      <c r="Q9147" s="37" t="str">
        <f>IF(P9147&gt;500,"High","low")</f>
        <v>low</v>
      </c>
      <c r="R9147" s="37" t="str">
        <f t="shared" si="714"/>
        <v>AVERAGE</v>
      </c>
      <c r="S9147" t="s">
        <v>605</v>
      </c>
    </row>
    <row r="9148" spans="1:19" x14ac:dyDescent="0.2">
      <c r="A9148" t="s">
        <v>9759</v>
      </c>
      <c r="B9148" t="s">
        <v>67</v>
      </c>
      <c r="C9148" t="s">
        <v>617</v>
      </c>
      <c r="D9148">
        <v>1859.1</v>
      </c>
      <c r="E9148" s="37" t="str">
        <f t="shared" si="710"/>
        <v xml:space="preserve"> </v>
      </c>
      <c r="F9148">
        <v>0.16</v>
      </c>
      <c r="G9148" s="37" t="str">
        <f t="shared" si="711"/>
        <v>Normal Discount</v>
      </c>
      <c r="H9148" s="37" t="str">
        <f t="shared" si="712"/>
        <v>Low</v>
      </c>
      <c r="I9148">
        <v>3</v>
      </c>
      <c r="J9148" t="str" cm="1">
        <f t="array" ref="J9148">_xlfn.IFS(I9148&lt;=3,"small",I9148&lt;=6,"Medium",I9148&lt;=9,"Large")</f>
        <v>small</v>
      </c>
      <c r="K9148" s="36">
        <v>45477</v>
      </c>
      <c r="L9148" s="36">
        <v>45482</v>
      </c>
      <c r="M9148" t="s">
        <v>603</v>
      </c>
      <c r="N9148" t="s">
        <v>604</v>
      </c>
      <c r="O9148" s="37" t="str">
        <f t="shared" si="713"/>
        <v>Digital Payment</v>
      </c>
      <c r="P9148">
        <v>366.37</v>
      </c>
      <c r="Q9148" s="37" t="str">
        <f>IF(P9148&gt;500,"High","low")</f>
        <v>low</v>
      </c>
      <c r="R9148" s="37" t="str">
        <f t="shared" si="714"/>
        <v>AVERAGE</v>
      </c>
      <c r="S9148" t="s">
        <v>600</v>
      </c>
    </row>
    <row r="9149" spans="1:19" x14ac:dyDescent="0.2">
      <c r="A9149" t="s">
        <v>9760</v>
      </c>
      <c r="B9149" t="s">
        <v>75</v>
      </c>
      <c r="C9149" t="s">
        <v>607</v>
      </c>
      <c r="D9149">
        <v>4065.16</v>
      </c>
      <c r="E9149" s="37" t="str">
        <f t="shared" si="710"/>
        <v xml:space="preserve"> </v>
      </c>
      <c r="F9149">
        <v>0.2</v>
      </c>
      <c r="G9149" s="37" t="str">
        <f t="shared" si="711"/>
        <v>Normal Discount</v>
      </c>
      <c r="H9149" s="37" t="str">
        <f t="shared" si="712"/>
        <v>Medium</v>
      </c>
      <c r="I9149">
        <v>7</v>
      </c>
      <c r="J9149" t="str" cm="1">
        <f t="array" ref="J9149">_xlfn.IFS(I9149&lt;=3,"small",I9149&lt;=6,"Medium",I9149&lt;=9,"Large")</f>
        <v>Large</v>
      </c>
      <c r="K9149" s="36">
        <v>45466</v>
      </c>
      <c r="L9149" s="36">
        <v>45470</v>
      </c>
      <c r="M9149" t="s">
        <v>598</v>
      </c>
      <c r="N9149" t="s">
        <v>608</v>
      </c>
      <c r="O9149" s="37" t="str">
        <f t="shared" si="713"/>
        <v>Cash Payment</v>
      </c>
      <c r="P9149">
        <v>604.49</v>
      </c>
      <c r="Q9149" s="37" t="str">
        <f>IF(P9149&gt;500,"High","low")</f>
        <v>High</v>
      </c>
      <c r="R9149" s="37" t="str">
        <f t="shared" si="714"/>
        <v>Good</v>
      </c>
      <c r="S9149" t="s">
        <v>620</v>
      </c>
    </row>
    <row r="9150" spans="1:19" x14ac:dyDescent="0.2">
      <c r="A9150" t="s">
        <v>9761</v>
      </c>
      <c r="B9150" t="s">
        <v>67</v>
      </c>
      <c r="C9150" t="s">
        <v>602</v>
      </c>
      <c r="D9150">
        <v>688.12</v>
      </c>
      <c r="E9150" s="37" t="str">
        <f t="shared" si="710"/>
        <v xml:space="preserve"> </v>
      </c>
      <c r="F9150">
        <v>0.03</v>
      </c>
      <c r="G9150" s="37" t="str">
        <f t="shared" si="711"/>
        <v>Normal Discount</v>
      </c>
      <c r="H9150" s="37" t="str">
        <f t="shared" si="712"/>
        <v>Low</v>
      </c>
      <c r="I9150">
        <v>8</v>
      </c>
      <c r="J9150" t="str" cm="1">
        <f t="array" ref="J9150">_xlfn.IFS(I9150&lt;=3,"small",I9150&lt;=6,"Medium",I9150&lt;=9,"Large")</f>
        <v>Large</v>
      </c>
      <c r="K9150" s="36">
        <v>45449</v>
      </c>
      <c r="L9150" s="36">
        <v>45451</v>
      </c>
      <c r="M9150" t="s">
        <v>598</v>
      </c>
      <c r="N9150" t="s">
        <v>599</v>
      </c>
      <c r="O9150" s="37" t="str">
        <f t="shared" si="713"/>
        <v>Digital Payment</v>
      </c>
      <c r="P9150">
        <v>37.380000000000003</v>
      </c>
      <c r="Q9150" s="37" t="str">
        <f>IF(P9150&gt;500,"High","low")</f>
        <v>low</v>
      </c>
      <c r="R9150" s="37" t="str">
        <f t="shared" si="714"/>
        <v>AVERAGE</v>
      </c>
      <c r="S9150" t="s">
        <v>628</v>
      </c>
    </row>
    <row r="9151" spans="1:19" x14ac:dyDescent="0.2">
      <c r="A9151" t="s">
        <v>9762</v>
      </c>
      <c r="B9151" t="s">
        <v>90</v>
      </c>
      <c r="C9151" t="s">
        <v>607</v>
      </c>
      <c r="D9151">
        <v>2360.0500000000002</v>
      </c>
      <c r="E9151" s="37" t="str">
        <f t="shared" si="710"/>
        <v xml:space="preserve"> </v>
      </c>
      <c r="F9151">
        <v>0.36</v>
      </c>
      <c r="G9151" s="37" t="str">
        <f t="shared" si="711"/>
        <v>Heavy Discount</v>
      </c>
      <c r="H9151" s="37" t="str">
        <f t="shared" si="712"/>
        <v>Medium</v>
      </c>
      <c r="I9151">
        <v>4</v>
      </c>
      <c r="J9151" t="str" cm="1">
        <f t="array" ref="J9151">_xlfn.IFS(I9151&lt;=3,"small",I9151&lt;=6,"Medium",I9151&lt;=9,"Large")</f>
        <v>Medium</v>
      </c>
      <c r="K9151" s="36">
        <v>45019</v>
      </c>
      <c r="L9151" s="36">
        <v>45026</v>
      </c>
      <c r="M9151" t="s">
        <v>612</v>
      </c>
      <c r="N9151" t="s">
        <v>599</v>
      </c>
      <c r="O9151" s="37" t="str">
        <f t="shared" si="713"/>
        <v>Digital Payment</v>
      </c>
      <c r="P9151">
        <v>473.35</v>
      </c>
      <c r="Q9151" s="37" t="str">
        <f>IF(P9151&gt;500,"High","low")</f>
        <v>low</v>
      </c>
      <c r="R9151" s="37" t="str">
        <f t="shared" si="714"/>
        <v>AVERAGE</v>
      </c>
      <c r="S9151" t="s">
        <v>620</v>
      </c>
    </row>
    <row r="9152" spans="1:19" x14ac:dyDescent="0.2">
      <c r="A9152" t="s">
        <v>9763</v>
      </c>
      <c r="B9152" t="s">
        <v>83</v>
      </c>
      <c r="C9152" t="s">
        <v>602</v>
      </c>
      <c r="D9152">
        <v>699.47</v>
      </c>
      <c r="E9152" s="37" t="str">
        <f t="shared" si="710"/>
        <v xml:space="preserve"> </v>
      </c>
      <c r="F9152">
        <v>0.27</v>
      </c>
      <c r="G9152" s="37" t="str">
        <f t="shared" si="711"/>
        <v>Normal Discount</v>
      </c>
      <c r="H9152" s="37" t="str">
        <f t="shared" si="712"/>
        <v>Medium</v>
      </c>
      <c r="I9152">
        <v>1</v>
      </c>
      <c r="J9152" t="str" cm="1">
        <f t="array" ref="J9152">_xlfn.IFS(I9152&lt;=3,"small",I9152&lt;=6,"Medium",I9152&lt;=9,"Large")</f>
        <v>small</v>
      </c>
      <c r="K9152" s="36">
        <v>45459</v>
      </c>
      <c r="L9152" s="36">
        <v>45466</v>
      </c>
      <c r="M9152" t="s">
        <v>603</v>
      </c>
      <c r="N9152" t="s">
        <v>608</v>
      </c>
      <c r="O9152" s="37" t="str">
        <f t="shared" si="713"/>
        <v>Cash Payment</v>
      </c>
      <c r="P9152">
        <v>201</v>
      </c>
      <c r="Q9152" s="37" t="str">
        <f>IF(P9152&gt;500,"High","low")</f>
        <v>low</v>
      </c>
      <c r="R9152" s="37" t="str">
        <f t="shared" si="714"/>
        <v>AVERAGE</v>
      </c>
      <c r="S9152" t="s">
        <v>628</v>
      </c>
    </row>
    <row r="9153" spans="1:19" x14ac:dyDescent="0.2">
      <c r="A9153" t="s">
        <v>9764</v>
      </c>
      <c r="B9153" t="s">
        <v>83</v>
      </c>
      <c r="C9153" t="s">
        <v>602</v>
      </c>
      <c r="D9153">
        <v>2265.06</v>
      </c>
      <c r="E9153" s="37" t="str">
        <f t="shared" si="710"/>
        <v xml:space="preserve"> </v>
      </c>
      <c r="F9153">
        <v>0.46</v>
      </c>
      <c r="G9153" s="37" t="str">
        <f t="shared" si="711"/>
        <v>Heavy Discount</v>
      </c>
      <c r="H9153" s="37" t="str">
        <f t="shared" si="712"/>
        <v>High</v>
      </c>
      <c r="I9153">
        <v>5</v>
      </c>
      <c r="J9153" t="str" cm="1">
        <f t="array" ref="J9153">_xlfn.IFS(I9153&lt;=3,"small",I9153&lt;=6,"Medium",I9153&lt;=9,"Large")</f>
        <v>Medium</v>
      </c>
      <c r="K9153" s="36">
        <v>45595</v>
      </c>
      <c r="L9153" s="36">
        <v>45598</v>
      </c>
      <c r="M9153" t="s">
        <v>603</v>
      </c>
      <c r="N9153" t="s">
        <v>599</v>
      </c>
      <c r="O9153" s="37" t="str">
        <f t="shared" si="713"/>
        <v>Digital Payment</v>
      </c>
      <c r="P9153">
        <v>207.11</v>
      </c>
      <c r="Q9153" s="37" t="str">
        <f>IF(P9153&gt;500,"High","low")</f>
        <v>low</v>
      </c>
      <c r="R9153" s="37" t="str">
        <f t="shared" si="714"/>
        <v>AVERAGE</v>
      </c>
      <c r="S9153" t="s">
        <v>605</v>
      </c>
    </row>
    <row r="9154" spans="1:19" x14ac:dyDescent="0.2">
      <c r="A9154" t="s">
        <v>9765</v>
      </c>
      <c r="B9154" t="s">
        <v>67</v>
      </c>
      <c r="C9154" t="s">
        <v>614</v>
      </c>
      <c r="D9154">
        <v>330.98</v>
      </c>
      <c r="E9154" s="37" t="str">
        <f t="shared" si="710"/>
        <v xml:space="preserve"> </v>
      </c>
      <c r="F9154">
        <v>0.23</v>
      </c>
      <c r="G9154" s="37" t="str">
        <f t="shared" si="711"/>
        <v>Normal Discount</v>
      </c>
      <c r="H9154" s="37" t="str">
        <f t="shared" si="712"/>
        <v>Medium</v>
      </c>
      <c r="I9154">
        <v>4</v>
      </c>
      <c r="J9154" t="str" cm="1">
        <f t="array" ref="J9154">_xlfn.IFS(I9154&lt;=3,"small",I9154&lt;=6,"Medium",I9154&lt;=9,"Large")</f>
        <v>Medium</v>
      </c>
      <c r="K9154" s="36">
        <v>45531</v>
      </c>
      <c r="L9154" s="36">
        <v>45538</v>
      </c>
      <c r="M9154" t="s">
        <v>598</v>
      </c>
      <c r="N9154" t="s">
        <v>599</v>
      </c>
      <c r="O9154" s="37" t="str">
        <f t="shared" si="713"/>
        <v>Digital Payment</v>
      </c>
      <c r="P9154">
        <v>30.79</v>
      </c>
      <c r="Q9154" s="37" t="str">
        <f>IF(P9154&gt;500,"High","low")</f>
        <v>low</v>
      </c>
      <c r="R9154" s="37" t="str">
        <f t="shared" si="714"/>
        <v>AVERAGE</v>
      </c>
      <c r="S9154" t="s">
        <v>609</v>
      </c>
    </row>
    <row r="9155" spans="1:19" x14ac:dyDescent="0.2">
      <c r="A9155" t="s">
        <v>9766</v>
      </c>
      <c r="B9155" t="s">
        <v>67</v>
      </c>
      <c r="C9155" t="s">
        <v>617</v>
      </c>
      <c r="D9155">
        <v>2636.35</v>
      </c>
      <c r="E9155" s="37" t="str">
        <f t="shared" ref="E9155:E9218" si="715">IF(AND(D9155&gt;4000,P9155&gt;800),"Excellent Order"," ")</f>
        <v xml:space="preserve"> </v>
      </c>
      <c r="F9155">
        <v>0.41</v>
      </c>
      <c r="G9155" s="37" t="str">
        <f t="shared" ref="G9155:G9218" si="716">IF(F9155&gt;30%,"Heavy Discount","Normal Discount")</f>
        <v>Heavy Discount</v>
      </c>
      <c r="H9155" s="37" t="str">
        <f t="shared" ref="H9155:H9218" si="717">IF(F9155&gt;0.4,"High",IF(F9155&gt;=0.2,"Medium","Low"))</f>
        <v>High</v>
      </c>
      <c r="I9155">
        <v>8</v>
      </c>
      <c r="J9155" t="str" cm="1">
        <f t="array" ref="J9155">_xlfn.IFS(I9155&lt;=3,"small",I9155&lt;=6,"Medium",I9155&lt;=9,"Large")</f>
        <v>Large</v>
      </c>
      <c r="K9155" s="36">
        <v>45480</v>
      </c>
      <c r="L9155" s="36">
        <v>45485</v>
      </c>
      <c r="M9155" t="s">
        <v>598</v>
      </c>
      <c r="N9155" t="s">
        <v>599</v>
      </c>
      <c r="O9155" s="37" t="str">
        <f t="shared" ref="O9155:O9218" si="718">IF(OR(N9155="Card",N9155="UPI"),"Digital Payment","Cash Payment")</f>
        <v>Digital Payment</v>
      </c>
      <c r="P9155">
        <v>402.67</v>
      </c>
      <c r="Q9155" s="37" t="str">
        <f>IF(P9155&gt;500,"High","low")</f>
        <v>low</v>
      </c>
      <c r="R9155" s="37" t="str">
        <f t="shared" ref="R9155:R9218" si="719">IF(P9155&gt;1000,"Excellent",IF(P9155&gt;=500,"Good","AVERAGE"))</f>
        <v>AVERAGE</v>
      </c>
      <c r="S9155" t="s">
        <v>600</v>
      </c>
    </row>
    <row r="9156" spans="1:19" x14ac:dyDescent="0.2">
      <c r="A9156" t="s">
        <v>9767</v>
      </c>
      <c r="B9156" t="s">
        <v>90</v>
      </c>
      <c r="C9156" t="s">
        <v>614</v>
      </c>
      <c r="D9156">
        <v>3998.98</v>
      </c>
      <c r="E9156" s="37" t="str">
        <f t="shared" si="715"/>
        <v xml:space="preserve"> </v>
      </c>
      <c r="F9156">
        <v>0.09</v>
      </c>
      <c r="G9156" s="37" t="str">
        <f t="shared" si="716"/>
        <v>Normal Discount</v>
      </c>
      <c r="H9156" s="37" t="str">
        <f t="shared" si="717"/>
        <v>Low</v>
      </c>
      <c r="I9156">
        <v>7</v>
      </c>
      <c r="J9156" t="str" cm="1">
        <f t="array" ref="J9156">_xlfn.IFS(I9156&lt;=3,"small",I9156&lt;=6,"Medium",I9156&lt;=9,"Large")</f>
        <v>Large</v>
      </c>
      <c r="K9156" s="36">
        <v>45578</v>
      </c>
      <c r="L9156" s="36">
        <v>45584</v>
      </c>
      <c r="M9156" t="s">
        <v>603</v>
      </c>
      <c r="N9156" t="s">
        <v>608</v>
      </c>
      <c r="O9156" s="37" t="str">
        <f t="shared" si="718"/>
        <v>Cash Payment</v>
      </c>
      <c r="P9156">
        <v>1043.31</v>
      </c>
      <c r="Q9156" s="37" t="str">
        <f>IF(P9156&gt;500,"High","low")</f>
        <v>High</v>
      </c>
      <c r="R9156" s="37" t="str">
        <f t="shared" si="719"/>
        <v>Excellent</v>
      </c>
      <c r="S9156" t="s">
        <v>628</v>
      </c>
    </row>
    <row r="9157" spans="1:19" x14ac:dyDescent="0.2">
      <c r="A9157" t="s">
        <v>9768</v>
      </c>
      <c r="B9157" t="s">
        <v>90</v>
      </c>
      <c r="C9157" t="s">
        <v>614</v>
      </c>
      <c r="D9157">
        <v>3413.85</v>
      </c>
      <c r="E9157" s="37" t="str">
        <f t="shared" si="715"/>
        <v xml:space="preserve"> </v>
      </c>
      <c r="F9157">
        <v>0.03</v>
      </c>
      <c r="G9157" s="37" t="str">
        <f t="shared" si="716"/>
        <v>Normal Discount</v>
      </c>
      <c r="H9157" s="37" t="str">
        <f t="shared" si="717"/>
        <v>Low</v>
      </c>
      <c r="I9157">
        <v>2</v>
      </c>
      <c r="J9157" t="str" cm="1">
        <f t="array" ref="J9157">_xlfn.IFS(I9157&lt;=3,"small",I9157&lt;=6,"Medium",I9157&lt;=9,"Large")</f>
        <v>small</v>
      </c>
      <c r="K9157" s="36">
        <v>44928</v>
      </c>
      <c r="L9157" s="36">
        <v>44931</v>
      </c>
      <c r="M9157" t="s">
        <v>612</v>
      </c>
      <c r="N9157" t="s">
        <v>599</v>
      </c>
      <c r="O9157" s="37" t="str">
        <f t="shared" si="718"/>
        <v>Digital Payment</v>
      </c>
      <c r="P9157">
        <v>671.74</v>
      </c>
      <c r="Q9157" s="37" t="str">
        <f>IF(P9157&gt;500,"High","low")</f>
        <v>High</v>
      </c>
      <c r="R9157" s="37" t="str">
        <f t="shared" si="719"/>
        <v>Good</v>
      </c>
      <c r="S9157" t="s">
        <v>628</v>
      </c>
    </row>
    <row r="9158" spans="1:19" x14ac:dyDescent="0.2">
      <c r="A9158" t="s">
        <v>9769</v>
      </c>
      <c r="B9158" t="s">
        <v>67</v>
      </c>
      <c r="C9158" t="s">
        <v>607</v>
      </c>
      <c r="D9158">
        <v>2594.9299999999998</v>
      </c>
      <c r="E9158" s="37" t="str">
        <f t="shared" si="715"/>
        <v xml:space="preserve"> </v>
      </c>
      <c r="F9158">
        <v>0.47</v>
      </c>
      <c r="G9158" s="37" t="str">
        <f t="shared" si="716"/>
        <v>Heavy Discount</v>
      </c>
      <c r="H9158" s="37" t="str">
        <f t="shared" si="717"/>
        <v>High</v>
      </c>
      <c r="I9158">
        <v>6</v>
      </c>
      <c r="J9158" t="str" cm="1">
        <f t="array" ref="J9158">_xlfn.IFS(I9158&lt;=3,"small",I9158&lt;=6,"Medium",I9158&lt;=9,"Large")</f>
        <v>Medium</v>
      </c>
      <c r="K9158" s="36">
        <v>44966</v>
      </c>
      <c r="L9158" s="36">
        <v>44968</v>
      </c>
      <c r="M9158" t="s">
        <v>598</v>
      </c>
      <c r="N9158" t="s">
        <v>608</v>
      </c>
      <c r="O9158" s="37" t="str">
        <f t="shared" si="718"/>
        <v>Cash Payment</v>
      </c>
      <c r="P9158">
        <v>460.73</v>
      </c>
      <c r="Q9158" s="37" t="str">
        <f>IF(P9158&gt;500,"High","low")</f>
        <v>low</v>
      </c>
      <c r="R9158" s="37" t="str">
        <f t="shared" si="719"/>
        <v>AVERAGE</v>
      </c>
      <c r="S9158" t="s">
        <v>605</v>
      </c>
    </row>
    <row r="9159" spans="1:19" x14ac:dyDescent="0.2">
      <c r="A9159" t="s">
        <v>9770</v>
      </c>
      <c r="B9159" t="s">
        <v>67</v>
      </c>
      <c r="C9159" t="s">
        <v>607</v>
      </c>
      <c r="D9159">
        <v>4160.92</v>
      </c>
      <c r="E9159" s="37" t="str">
        <f t="shared" si="715"/>
        <v>Excellent Order</v>
      </c>
      <c r="F9159">
        <v>0.13</v>
      </c>
      <c r="G9159" s="37" t="str">
        <f t="shared" si="716"/>
        <v>Normal Discount</v>
      </c>
      <c r="H9159" s="37" t="str">
        <f t="shared" si="717"/>
        <v>Low</v>
      </c>
      <c r="I9159">
        <v>4</v>
      </c>
      <c r="J9159" t="str" cm="1">
        <f t="array" ref="J9159">_xlfn.IFS(I9159&lt;=3,"small",I9159&lt;=6,"Medium",I9159&lt;=9,"Large")</f>
        <v>Medium</v>
      </c>
      <c r="K9159" s="36">
        <v>45028</v>
      </c>
      <c r="L9159" s="36">
        <v>45029</v>
      </c>
      <c r="M9159" t="s">
        <v>603</v>
      </c>
      <c r="N9159" t="s">
        <v>604</v>
      </c>
      <c r="O9159" s="37" t="str">
        <f t="shared" si="718"/>
        <v>Digital Payment</v>
      </c>
      <c r="P9159">
        <v>1107.71</v>
      </c>
      <c r="Q9159" s="37" t="str">
        <f>IF(P9159&gt;500,"High","low")</f>
        <v>High</v>
      </c>
      <c r="R9159" s="37" t="str">
        <f t="shared" si="719"/>
        <v>Excellent</v>
      </c>
      <c r="S9159" t="s">
        <v>620</v>
      </c>
    </row>
    <row r="9160" spans="1:19" x14ac:dyDescent="0.2">
      <c r="A9160" t="s">
        <v>9771</v>
      </c>
      <c r="B9160" t="s">
        <v>90</v>
      </c>
      <c r="C9160" t="s">
        <v>602</v>
      </c>
      <c r="D9160">
        <v>1216.1600000000001</v>
      </c>
      <c r="E9160" s="37" t="str">
        <f t="shared" si="715"/>
        <v xml:space="preserve"> </v>
      </c>
      <c r="F9160">
        <v>0.42</v>
      </c>
      <c r="G9160" s="37" t="str">
        <f t="shared" si="716"/>
        <v>Heavy Discount</v>
      </c>
      <c r="H9160" s="37" t="str">
        <f t="shared" si="717"/>
        <v>High</v>
      </c>
      <c r="I9160">
        <v>7</v>
      </c>
      <c r="J9160" t="str" cm="1">
        <f t="array" ref="J9160">_xlfn.IFS(I9160&lt;=3,"small",I9160&lt;=6,"Medium",I9160&lt;=9,"Large")</f>
        <v>Large</v>
      </c>
      <c r="K9160" s="36">
        <v>45245</v>
      </c>
      <c r="L9160" s="36">
        <v>45249</v>
      </c>
      <c r="M9160" t="s">
        <v>603</v>
      </c>
      <c r="N9160" t="s">
        <v>608</v>
      </c>
      <c r="O9160" s="37" t="str">
        <f t="shared" si="718"/>
        <v>Cash Payment</v>
      </c>
      <c r="P9160">
        <v>121.79</v>
      </c>
      <c r="Q9160" s="37" t="str">
        <f>IF(P9160&gt;500,"High","low")</f>
        <v>low</v>
      </c>
      <c r="R9160" s="37" t="str">
        <f t="shared" si="719"/>
        <v>AVERAGE</v>
      </c>
      <c r="S9160" t="s">
        <v>605</v>
      </c>
    </row>
    <row r="9161" spans="1:19" x14ac:dyDescent="0.2">
      <c r="A9161" t="s">
        <v>9772</v>
      </c>
      <c r="B9161" t="s">
        <v>75</v>
      </c>
      <c r="C9161" t="s">
        <v>607</v>
      </c>
      <c r="D9161">
        <v>4170.8999999999996</v>
      </c>
      <c r="E9161" s="37" t="str">
        <f t="shared" si="715"/>
        <v>Excellent Order</v>
      </c>
      <c r="F9161">
        <v>0.13</v>
      </c>
      <c r="G9161" s="37" t="str">
        <f t="shared" si="716"/>
        <v>Normal Discount</v>
      </c>
      <c r="H9161" s="37" t="str">
        <f t="shared" si="717"/>
        <v>Low</v>
      </c>
      <c r="I9161">
        <v>9</v>
      </c>
      <c r="J9161" t="str" cm="1">
        <f t="array" ref="J9161">_xlfn.IFS(I9161&lt;=3,"small",I9161&lt;=6,"Medium",I9161&lt;=9,"Large")</f>
        <v>Large</v>
      </c>
      <c r="K9161" s="36">
        <v>45599</v>
      </c>
      <c r="L9161" s="36">
        <v>45604</v>
      </c>
      <c r="M9161" t="s">
        <v>598</v>
      </c>
      <c r="N9161" t="s">
        <v>599</v>
      </c>
      <c r="O9161" s="37" t="str">
        <f t="shared" si="718"/>
        <v>Digital Payment</v>
      </c>
      <c r="P9161">
        <v>1203.33</v>
      </c>
      <c r="Q9161" s="37" t="str">
        <f>IF(P9161&gt;500,"High","low")</f>
        <v>High</v>
      </c>
      <c r="R9161" s="37" t="str">
        <f t="shared" si="719"/>
        <v>Excellent</v>
      </c>
      <c r="S9161" t="s">
        <v>615</v>
      </c>
    </row>
    <row r="9162" spans="1:19" x14ac:dyDescent="0.2">
      <c r="A9162" t="s">
        <v>9773</v>
      </c>
      <c r="B9162" t="s">
        <v>90</v>
      </c>
      <c r="C9162" t="s">
        <v>607</v>
      </c>
      <c r="D9162">
        <v>1454.18</v>
      </c>
      <c r="E9162" s="37" t="str">
        <f t="shared" si="715"/>
        <v xml:space="preserve"> </v>
      </c>
      <c r="F9162">
        <v>0.08</v>
      </c>
      <c r="G9162" s="37" t="str">
        <f t="shared" si="716"/>
        <v>Normal Discount</v>
      </c>
      <c r="H9162" s="37" t="str">
        <f t="shared" si="717"/>
        <v>Low</v>
      </c>
      <c r="I9162">
        <v>7</v>
      </c>
      <c r="J9162" t="str" cm="1">
        <f t="array" ref="J9162">_xlfn.IFS(I9162&lt;=3,"small",I9162&lt;=6,"Medium",I9162&lt;=9,"Large")</f>
        <v>Large</v>
      </c>
      <c r="K9162" s="36">
        <v>45415</v>
      </c>
      <c r="L9162" s="36">
        <v>45416</v>
      </c>
      <c r="M9162" t="s">
        <v>603</v>
      </c>
      <c r="N9162" t="s">
        <v>608</v>
      </c>
      <c r="O9162" s="37" t="str">
        <f t="shared" si="718"/>
        <v>Cash Payment</v>
      </c>
      <c r="P9162">
        <v>422.71</v>
      </c>
      <c r="Q9162" s="37" t="str">
        <f>IF(P9162&gt;500,"High","low")</f>
        <v>low</v>
      </c>
      <c r="R9162" s="37" t="str">
        <f t="shared" si="719"/>
        <v>AVERAGE</v>
      </c>
      <c r="S9162" t="s">
        <v>615</v>
      </c>
    </row>
    <row r="9163" spans="1:19" x14ac:dyDescent="0.2">
      <c r="A9163" t="s">
        <v>9774</v>
      </c>
      <c r="B9163" t="s">
        <v>75</v>
      </c>
      <c r="C9163" t="s">
        <v>597</v>
      </c>
      <c r="D9163">
        <v>1876.18</v>
      </c>
      <c r="E9163" s="37" t="str">
        <f t="shared" si="715"/>
        <v xml:space="preserve"> </v>
      </c>
      <c r="F9163">
        <v>0.37</v>
      </c>
      <c r="G9163" s="37" t="str">
        <f t="shared" si="716"/>
        <v>Heavy Discount</v>
      </c>
      <c r="H9163" s="37" t="str">
        <f t="shared" si="717"/>
        <v>Medium</v>
      </c>
      <c r="I9163">
        <v>2</v>
      </c>
      <c r="J9163" t="str" cm="1">
        <f t="array" ref="J9163">_xlfn.IFS(I9163&lt;=3,"small",I9163&lt;=6,"Medium",I9163&lt;=9,"Large")</f>
        <v>small</v>
      </c>
      <c r="K9163" s="36">
        <v>44942</v>
      </c>
      <c r="L9163" s="36">
        <v>44944</v>
      </c>
      <c r="M9163" t="s">
        <v>612</v>
      </c>
      <c r="N9163" t="s">
        <v>604</v>
      </c>
      <c r="O9163" s="37" t="str">
        <f t="shared" si="718"/>
        <v>Digital Payment</v>
      </c>
      <c r="P9163">
        <v>475.61</v>
      </c>
      <c r="Q9163" s="37" t="str">
        <f>IF(P9163&gt;500,"High","low")</f>
        <v>low</v>
      </c>
      <c r="R9163" s="37" t="str">
        <f t="shared" si="719"/>
        <v>AVERAGE</v>
      </c>
      <c r="S9163" t="s">
        <v>628</v>
      </c>
    </row>
    <row r="9164" spans="1:19" x14ac:dyDescent="0.2">
      <c r="A9164" t="s">
        <v>9775</v>
      </c>
      <c r="B9164" t="s">
        <v>83</v>
      </c>
      <c r="C9164" t="s">
        <v>602</v>
      </c>
      <c r="D9164">
        <v>729.31</v>
      </c>
      <c r="E9164" s="37" t="str">
        <f t="shared" si="715"/>
        <v xml:space="preserve"> </v>
      </c>
      <c r="F9164">
        <v>0.39</v>
      </c>
      <c r="G9164" s="37" t="str">
        <f t="shared" si="716"/>
        <v>Heavy Discount</v>
      </c>
      <c r="H9164" s="37" t="str">
        <f t="shared" si="717"/>
        <v>Medium</v>
      </c>
      <c r="I9164">
        <v>8</v>
      </c>
      <c r="J9164" t="str" cm="1">
        <f t="array" ref="J9164">_xlfn.IFS(I9164&lt;=3,"small",I9164&lt;=6,"Medium",I9164&lt;=9,"Large")</f>
        <v>Large</v>
      </c>
      <c r="K9164" s="36">
        <v>45190</v>
      </c>
      <c r="L9164" s="36">
        <v>45193</v>
      </c>
      <c r="M9164" t="s">
        <v>598</v>
      </c>
      <c r="N9164" t="s">
        <v>599</v>
      </c>
      <c r="O9164" s="37" t="str">
        <f t="shared" si="718"/>
        <v>Digital Payment</v>
      </c>
      <c r="P9164">
        <v>90.2</v>
      </c>
      <c r="Q9164" s="37" t="str">
        <f>IF(P9164&gt;500,"High","low")</f>
        <v>low</v>
      </c>
      <c r="R9164" s="37" t="str">
        <f t="shared" si="719"/>
        <v>AVERAGE</v>
      </c>
      <c r="S9164" t="s">
        <v>605</v>
      </c>
    </row>
    <row r="9165" spans="1:19" x14ac:dyDescent="0.2">
      <c r="A9165" t="s">
        <v>9776</v>
      </c>
      <c r="B9165" t="s">
        <v>83</v>
      </c>
      <c r="C9165" t="s">
        <v>602</v>
      </c>
      <c r="D9165">
        <v>598.6</v>
      </c>
      <c r="E9165" s="37" t="str">
        <f t="shared" si="715"/>
        <v xml:space="preserve"> </v>
      </c>
      <c r="F9165">
        <v>0.42</v>
      </c>
      <c r="G9165" s="37" t="str">
        <f t="shared" si="716"/>
        <v>Heavy Discount</v>
      </c>
      <c r="H9165" s="37" t="str">
        <f t="shared" si="717"/>
        <v>High</v>
      </c>
      <c r="I9165">
        <v>6</v>
      </c>
      <c r="J9165" t="str" cm="1">
        <f t="array" ref="J9165">_xlfn.IFS(I9165&lt;=3,"small",I9165&lt;=6,"Medium",I9165&lt;=9,"Large")</f>
        <v>Medium</v>
      </c>
      <c r="K9165" s="36">
        <v>44973</v>
      </c>
      <c r="L9165" s="36">
        <v>44978</v>
      </c>
      <c r="M9165" t="s">
        <v>612</v>
      </c>
      <c r="N9165" t="s">
        <v>599</v>
      </c>
      <c r="O9165" s="37" t="str">
        <f t="shared" si="718"/>
        <v>Digital Payment</v>
      </c>
      <c r="P9165">
        <v>86.12</v>
      </c>
      <c r="Q9165" s="37" t="str">
        <f>IF(P9165&gt;500,"High","low")</f>
        <v>low</v>
      </c>
      <c r="R9165" s="37" t="str">
        <f t="shared" si="719"/>
        <v>AVERAGE</v>
      </c>
      <c r="S9165" t="s">
        <v>615</v>
      </c>
    </row>
    <row r="9166" spans="1:19" x14ac:dyDescent="0.2">
      <c r="A9166" t="s">
        <v>9777</v>
      </c>
      <c r="B9166" t="s">
        <v>90</v>
      </c>
      <c r="C9166" t="s">
        <v>597</v>
      </c>
      <c r="D9166">
        <v>4667.3500000000004</v>
      </c>
      <c r="E9166" s="37" t="str">
        <f t="shared" si="715"/>
        <v xml:space="preserve"> </v>
      </c>
      <c r="F9166">
        <v>0.43</v>
      </c>
      <c r="G9166" s="37" t="str">
        <f t="shared" si="716"/>
        <v>Heavy Discount</v>
      </c>
      <c r="H9166" s="37" t="str">
        <f t="shared" si="717"/>
        <v>High</v>
      </c>
      <c r="I9166">
        <v>9</v>
      </c>
      <c r="J9166" t="str" cm="1">
        <f t="array" ref="J9166">_xlfn.IFS(I9166&lt;=3,"small",I9166&lt;=6,"Medium",I9166&lt;=9,"Large")</f>
        <v>Large</v>
      </c>
      <c r="K9166" s="36">
        <v>45612</v>
      </c>
      <c r="L9166" s="36">
        <v>45619</v>
      </c>
      <c r="M9166" t="s">
        <v>612</v>
      </c>
      <c r="N9166" t="s">
        <v>604</v>
      </c>
      <c r="O9166" s="37" t="str">
        <f t="shared" si="718"/>
        <v>Digital Payment</v>
      </c>
      <c r="P9166">
        <v>704.1</v>
      </c>
      <c r="Q9166" s="37" t="str">
        <f>IF(P9166&gt;500,"High","low")</f>
        <v>High</v>
      </c>
      <c r="R9166" s="37" t="str">
        <f t="shared" si="719"/>
        <v>Good</v>
      </c>
      <c r="S9166" t="s">
        <v>620</v>
      </c>
    </row>
    <row r="9167" spans="1:19" x14ac:dyDescent="0.2">
      <c r="A9167" t="s">
        <v>9778</v>
      </c>
      <c r="B9167" t="s">
        <v>75</v>
      </c>
      <c r="C9167" t="s">
        <v>602</v>
      </c>
      <c r="D9167">
        <v>1030.8900000000001</v>
      </c>
      <c r="E9167" s="37" t="str">
        <f t="shared" si="715"/>
        <v xml:space="preserve"> </v>
      </c>
      <c r="F9167">
        <v>0.24</v>
      </c>
      <c r="G9167" s="37" t="str">
        <f t="shared" si="716"/>
        <v>Normal Discount</v>
      </c>
      <c r="H9167" s="37" t="str">
        <f t="shared" si="717"/>
        <v>Medium</v>
      </c>
      <c r="I9167">
        <v>7</v>
      </c>
      <c r="J9167" t="str" cm="1">
        <f t="array" ref="J9167">_xlfn.IFS(I9167&lt;=3,"small",I9167&lt;=6,"Medium",I9167&lt;=9,"Large")</f>
        <v>Large</v>
      </c>
      <c r="K9167" s="36">
        <v>45186</v>
      </c>
      <c r="L9167" s="36">
        <v>45192</v>
      </c>
      <c r="M9167" t="s">
        <v>612</v>
      </c>
      <c r="N9167" t="s">
        <v>608</v>
      </c>
      <c r="O9167" s="37" t="str">
        <f t="shared" si="718"/>
        <v>Cash Payment</v>
      </c>
      <c r="P9167">
        <v>95.53</v>
      </c>
      <c r="Q9167" s="37" t="str">
        <f>IF(P9167&gt;500,"High","low")</f>
        <v>low</v>
      </c>
      <c r="R9167" s="37" t="str">
        <f t="shared" si="719"/>
        <v>AVERAGE</v>
      </c>
      <c r="S9167" t="s">
        <v>615</v>
      </c>
    </row>
    <row r="9168" spans="1:19" x14ac:dyDescent="0.2">
      <c r="A9168" t="s">
        <v>9779</v>
      </c>
      <c r="B9168" t="s">
        <v>90</v>
      </c>
      <c r="C9168" t="s">
        <v>617</v>
      </c>
      <c r="D9168">
        <v>1733.15</v>
      </c>
      <c r="E9168" s="37" t="str">
        <f t="shared" si="715"/>
        <v xml:space="preserve"> </v>
      </c>
      <c r="F9168">
        <v>0.2</v>
      </c>
      <c r="G9168" s="37" t="str">
        <f t="shared" si="716"/>
        <v>Normal Discount</v>
      </c>
      <c r="H9168" s="37" t="str">
        <f t="shared" si="717"/>
        <v>Medium</v>
      </c>
      <c r="I9168">
        <v>5</v>
      </c>
      <c r="J9168" t="str" cm="1">
        <f t="array" ref="J9168">_xlfn.IFS(I9168&lt;=3,"small",I9168&lt;=6,"Medium",I9168&lt;=9,"Large")</f>
        <v>Medium</v>
      </c>
      <c r="K9168" s="36">
        <v>45354</v>
      </c>
      <c r="L9168" s="36">
        <v>45359</v>
      </c>
      <c r="M9168" t="s">
        <v>612</v>
      </c>
      <c r="N9168" t="s">
        <v>604</v>
      </c>
      <c r="O9168" s="37" t="str">
        <f t="shared" si="718"/>
        <v>Digital Payment</v>
      </c>
      <c r="P9168">
        <v>106.46</v>
      </c>
      <c r="Q9168" s="37" t="str">
        <f>IF(P9168&gt;500,"High","low")</f>
        <v>low</v>
      </c>
      <c r="R9168" s="37" t="str">
        <f t="shared" si="719"/>
        <v>AVERAGE</v>
      </c>
      <c r="S9168" t="s">
        <v>600</v>
      </c>
    </row>
    <row r="9169" spans="1:19" x14ac:dyDescent="0.2">
      <c r="A9169" t="s">
        <v>9780</v>
      </c>
      <c r="B9169" t="s">
        <v>90</v>
      </c>
      <c r="C9169" t="s">
        <v>617</v>
      </c>
      <c r="D9169">
        <v>2692.84</v>
      </c>
      <c r="E9169" s="37" t="str">
        <f t="shared" si="715"/>
        <v xml:space="preserve"> </v>
      </c>
      <c r="F9169">
        <v>0.38</v>
      </c>
      <c r="G9169" s="37" t="str">
        <f t="shared" si="716"/>
        <v>Heavy Discount</v>
      </c>
      <c r="H9169" s="37" t="str">
        <f t="shared" si="717"/>
        <v>Medium</v>
      </c>
      <c r="I9169">
        <v>8</v>
      </c>
      <c r="J9169" t="str" cm="1">
        <f t="array" ref="J9169">_xlfn.IFS(I9169&lt;=3,"small",I9169&lt;=6,"Medium",I9169&lt;=9,"Large")</f>
        <v>Large</v>
      </c>
      <c r="K9169" s="36">
        <v>45530</v>
      </c>
      <c r="L9169" s="36">
        <v>45531</v>
      </c>
      <c r="M9169" t="s">
        <v>612</v>
      </c>
      <c r="N9169" t="s">
        <v>599</v>
      </c>
      <c r="O9169" s="37" t="str">
        <f t="shared" si="718"/>
        <v>Digital Payment</v>
      </c>
      <c r="P9169">
        <v>178.45</v>
      </c>
      <c r="Q9169" s="37" t="str">
        <f>IF(P9169&gt;500,"High","low")</f>
        <v>low</v>
      </c>
      <c r="R9169" s="37" t="str">
        <f t="shared" si="719"/>
        <v>AVERAGE</v>
      </c>
      <c r="S9169" t="s">
        <v>605</v>
      </c>
    </row>
    <row r="9170" spans="1:19" x14ac:dyDescent="0.2">
      <c r="A9170" t="s">
        <v>9781</v>
      </c>
      <c r="B9170" t="s">
        <v>75</v>
      </c>
      <c r="C9170" t="s">
        <v>597</v>
      </c>
      <c r="D9170">
        <v>1804.55</v>
      </c>
      <c r="E9170" s="37" t="str">
        <f t="shared" si="715"/>
        <v xml:space="preserve"> </v>
      </c>
      <c r="F9170">
        <v>0.28000000000000003</v>
      </c>
      <c r="G9170" s="37" t="str">
        <f t="shared" si="716"/>
        <v>Normal Discount</v>
      </c>
      <c r="H9170" s="37" t="str">
        <f t="shared" si="717"/>
        <v>Medium</v>
      </c>
      <c r="I9170">
        <v>7</v>
      </c>
      <c r="J9170" t="str" cm="1">
        <f t="array" ref="J9170">_xlfn.IFS(I9170&lt;=3,"small",I9170&lt;=6,"Medium",I9170&lt;=9,"Large")</f>
        <v>Large</v>
      </c>
      <c r="K9170" s="36">
        <v>45455</v>
      </c>
      <c r="L9170" s="36">
        <v>45462</v>
      </c>
      <c r="M9170" t="s">
        <v>598</v>
      </c>
      <c r="N9170" t="s">
        <v>604</v>
      </c>
      <c r="O9170" s="37" t="str">
        <f t="shared" si="718"/>
        <v>Digital Payment</v>
      </c>
      <c r="P9170">
        <v>367.95</v>
      </c>
      <c r="Q9170" s="37" t="str">
        <f>IF(P9170&gt;500,"High","low")</f>
        <v>low</v>
      </c>
      <c r="R9170" s="37" t="str">
        <f t="shared" si="719"/>
        <v>AVERAGE</v>
      </c>
      <c r="S9170" t="s">
        <v>628</v>
      </c>
    </row>
    <row r="9171" spans="1:19" x14ac:dyDescent="0.2">
      <c r="A9171" t="s">
        <v>9782</v>
      </c>
      <c r="B9171" t="s">
        <v>90</v>
      </c>
      <c r="C9171" t="s">
        <v>607</v>
      </c>
      <c r="D9171">
        <v>4363.6499999999996</v>
      </c>
      <c r="E9171" s="37" t="str">
        <f t="shared" si="715"/>
        <v>Excellent Order</v>
      </c>
      <c r="F9171">
        <v>0.48</v>
      </c>
      <c r="G9171" s="37" t="str">
        <f t="shared" si="716"/>
        <v>Heavy Discount</v>
      </c>
      <c r="H9171" s="37" t="str">
        <f t="shared" si="717"/>
        <v>High</v>
      </c>
      <c r="I9171">
        <v>1</v>
      </c>
      <c r="J9171" t="str" cm="1">
        <f t="array" ref="J9171">_xlfn.IFS(I9171&lt;=3,"small",I9171&lt;=6,"Medium",I9171&lt;=9,"Large")</f>
        <v>small</v>
      </c>
      <c r="K9171" s="36">
        <v>45264</v>
      </c>
      <c r="L9171" s="36">
        <v>45265</v>
      </c>
      <c r="M9171" t="s">
        <v>603</v>
      </c>
      <c r="N9171" t="s">
        <v>599</v>
      </c>
      <c r="O9171" s="37" t="str">
        <f t="shared" si="718"/>
        <v>Digital Payment</v>
      </c>
      <c r="P9171">
        <v>1274.6099999999999</v>
      </c>
      <c r="Q9171" s="37" t="str">
        <f>IF(P9171&gt;500,"High","low")</f>
        <v>High</v>
      </c>
      <c r="R9171" s="37" t="str">
        <f t="shared" si="719"/>
        <v>Excellent</v>
      </c>
      <c r="S9171" t="s">
        <v>605</v>
      </c>
    </row>
    <row r="9172" spans="1:19" x14ac:dyDescent="0.2">
      <c r="A9172" t="s">
        <v>9783</v>
      </c>
      <c r="B9172" t="s">
        <v>83</v>
      </c>
      <c r="C9172" t="s">
        <v>617</v>
      </c>
      <c r="D9172">
        <v>4513.5</v>
      </c>
      <c r="E9172" s="37" t="str">
        <f t="shared" si="715"/>
        <v xml:space="preserve"> </v>
      </c>
      <c r="F9172">
        <v>0.19</v>
      </c>
      <c r="G9172" s="37" t="str">
        <f t="shared" si="716"/>
        <v>Normal Discount</v>
      </c>
      <c r="H9172" s="37" t="str">
        <f t="shared" si="717"/>
        <v>Low</v>
      </c>
      <c r="I9172">
        <v>5</v>
      </c>
      <c r="J9172" t="str" cm="1">
        <f t="array" ref="J9172">_xlfn.IFS(I9172&lt;=3,"small",I9172&lt;=6,"Medium",I9172&lt;=9,"Large")</f>
        <v>Medium</v>
      </c>
      <c r="K9172" s="36">
        <v>45171</v>
      </c>
      <c r="L9172" s="36">
        <v>45173</v>
      </c>
      <c r="M9172" t="s">
        <v>598</v>
      </c>
      <c r="N9172" t="s">
        <v>599</v>
      </c>
      <c r="O9172" s="37" t="str">
        <f t="shared" si="718"/>
        <v>Digital Payment</v>
      </c>
      <c r="P9172">
        <v>320.89999999999998</v>
      </c>
      <c r="Q9172" s="37" t="str">
        <f>IF(P9172&gt;500,"High","low")</f>
        <v>low</v>
      </c>
      <c r="R9172" s="37" t="str">
        <f t="shared" si="719"/>
        <v>AVERAGE</v>
      </c>
      <c r="S9172" t="s">
        <v>620</v>
      </c>
    </row>
    <row r="9173" spans="1:19" x14ac:dyDescent="0.2">
      <c r="A9173" t="s">
        <v>9784</v>
      </c>
      <c r="B9173" t="s">
        <v>67</v>
      </c>
      <c r="C9173" t="s">
        <v>597</v>
      </c>
      <c r="D9173">
        <v>1697.35</v>
      </c>
      <c r="E9173" s="37" t="str">
        <f t="shared" si="715"/>
        <v xml:space="preserve"> </v>
      </c>
      <c r="F9173">
        <v>0.02</v>
      </c>
      <c r="G9173" s="37" t="str">
        <f t="shared" si="716"/>
        <v>Normal Discount</v>
      </c>
      <c r="H9173" s="37" t="str">
        <f t="shared" si="717"/>
        <v>Low</v>
      </c>
      <c r="I9173">
        <v>7</v>
      </c>
      <c r="J9173" t="str" cm="1">
        <f t="array" ref="J9173">_xlfn.IFS(I9173&lt;=3,"small",I9173&lt;=6,"Medium",I9173&lt;=9,"Large")</f>
        <v>Large</v>
      </c>
      <c r="K9173" s="36">
        <v>45443</v>
      </c>
      <c r="L9173" s="36">
        <v>45449</v>
      </c>
      <c r="M9173" t="s">
        <v>603</v>
      </c>
      <c r="N9173" t="s">
        <v>604</v>
      </c>
      <c r="O9173" s="37" t="str">
        <f t="shared" si="718"/>
        <v>Digital Payment</v>
      </c>
      <c r="P9173">
        <v>356.22</v>
      </c>
      <c r="Q9173" s="37" t="str">
        <f>IF(P9173&gt;500,"High","low")</f>
        <v>low</v>
      </c>
      <c r="R9173" s="37" t="str">
        <f t="shared" si="719"/>
        <v>AVERAGE</v>
      </c>
      <c r="S9173" t="s">
        <v>628</v>
      </c>
    </row>
    <row r="9174" spans="1:19" x14ac:dyDescent="0.2">
      <c r="A9174" t="s">
        <v>9785</v>
      </c>
      <c r="B9174" t="s">
        <v>67</v>
      </c>
      <c r="C9174" t="s">
        <v>617</v>
      </c>
      <c r="D9174">
        <v>550.94000000000005</v>
      </c>
      <c r="E9174" s="37" t="str">
        <f t="shared" si="715"/>
        <v xml:space="preserve"> </v>
      </c>
      <c r="F9174">
        <v>0.28999999999999998</v>
      </c>
      <c r="G9174" s="37" t="str">
        <f t="shared" si="716"/>
        <v>Normal Discount</v>
      </c>
      <c r="H9174" s="37" t="str">
        <f t="shared" si="717"/>
        <v>Medium</v>
      </c>
      <c r="I9174">
        <v>7</v>
      </c>
      <c r="J9174" t="str" cm="1">
        <f t="array" ref="J9174">_xlfn.IFS(I9174&lt;=3,"small",I9174&lt;=6,"Medium",I9174&lt;=9,"Large")</f>
        <v>Large</v>
      </c>
      <c r="K9174" s="36">
        <v>44998</v>
      </c>
      <c r="L9174" s="36">
        <v>44999</v>
      </c>
      <c r="M9174" t="s">
        <v>603</v>
      </c>
      <c r="N9174" t="s">
        <v>604</v>
      </c>
      <c r="O9174" s="37" t="str">
        <f t="shared" si="718"/>
        <v>Digital Payment</v>
      </c>
      <c r="P9174">
        <v>44.11</v>
      </c>
      <c r="Q9174" s="37" t="str">
        <f>IF(P9174&gt;500,"High","low")</f>
        <v>low</v>
      </c>
      <c r="R9174" s="37" t="str">
        <f t="shared" si="719"/>
        <v>AVERAGE</v>
      </c>
      <c r="S9174" t="s">
        <v>605</v>
      </c>
    </row>
    <row r="9175" spans="1:19" x14ac:dyDescent="0.2">
      <c r="A9175" t="s">
        <v>9786</v>
      </c>
      <c r="B9175" t="s">
        <v>90</v>
      </c>
      <c r="C9175" t="s">
        <v>614</v>
      </c>
      <c r="D9175">
        <v>1129.78</v>
      </c>
      <c r="E9175" s="37" t="str">
        <f t="shared" si="715"/>
        <v xml:space="preserve"> </v>
      </c>
      <c r="F9175">
        <v>0.18</v>
      </c>
      <c r="G9175" s="37" t="str">
        <f t="shared" si="716"/>
        <v>Normal Discount</v>
      </c>
      <c r="H9175" s="37" t="str">
        <f t="shared" si="717"/>
        <v>Low</v>
      </c>
      <c r="I9175">
        <v>3</v>
      </c>
      <c r="J9175" t="str" cm="1">
        <f t="array" ref="J9175">_xlfn.IFS(I9175&lt;=3,"small",I9175&lt;=6,"Medium",I9175&lt;=9,"Large")</f>
        <v>small</v>
      </c>
      <c r="K9175" s="36">
        <v>45052</v>
      </c>
      <c r="L9175" s="36">
        <v>45057</v>
      </c>
      <c r="M9175" t="s">
        <v>603</v>
      </c>
      <c r="N9175" t="s">
        <v>604</v>
      </c>
      <c r="O9175" s="37" t="str">
        <f t="shared" si="718"/>
        <v>Digital Payment</v>
      </c>
      <c r="P9175">
        <v>219.42</v>
      </c>
      <c r="Q9175" s="37" t="str">
        <f>IF(P9175&gt;500,"High","low")</f>
        <v>low</v>
      </c>
      <c r="R9175" s="37" t="str">
        <f t="shared" si="719"/>
        <v>AVERAGE</v>
      </c>
      <c r="S9175" t="s">
        <v>605</v>
      </c>
    </row>
    <row r="9176" spans="1:19" x14ac:dyDescent="0.2">
      <c r="A9176" t="s">
        <v>9787</v>
      </c>
      <c r="B9176" t="s">
        <v>75</v>
      </c>
      <c r="C9176" t="s">
        <v>597</v>
      </c>
      <c r="D9176">
        <v>2424.5300000000002</v>
      </c>
      <c r="E9176" s="37" t="str">
        <f t="shared" si="715"/>
        <v xml:space="preserve"> </v>
      </c>
      <c r="F9176">
        <v>0.17</v>
      </c>
      <c r="G9176" s="37" t="str">
        <f t="shared" si="716"/>
        <v>Normal Discount</v>
      </c>
      <c r="H9176" s="37" t="str">
        <f t="shared" si="717"/>
        <v>Low</v>
      </c>
      <c r="I9176">
        <v>5</v>
      </c>
      <c r="J9176" t="str" cm="1">
        <f t="array" ref="J9176">_xlfn.IFS(I9176&lt;=3,"small",I9176&lt;=6,"Medium",I9176&lt;=9,"Large")</f>
        <v>Medium</v>
      </c>
      <c r="K9176" s="36">
        <v>45107</v>
      </c>
      <c r="L9176" s="36">
        <v>45114</v>
      </c>
      <c r="M9176" t="s">
        <v>612</v>
      </c>
      <c r="N9176" t="s">
        <v>608</v>
      </c>
      <c r="O9176" s="37" t="str">
        <f t="shared" si="718"/>
        <v>Cash Payment</v>
      </c>
      <c r="P9176">
        <v>389.75</v>
      </c>
      <c r="Q9176" s="37" t="str">
        <f>IF(P9176&gt;500,"High","low")</f>
        <v>low</v>
      </c>
      <c r="R9176" s="37" t="str">
        <f t="shared" si="719"/>
        <v>AVERAGE</v>
      </c>
      <c r="S9176" t="s">
        <v>609</v>
      </c>
    </row>
    <row r="9177" spans="1:19" x14ac:dyDescent="0.2">
      <c r="A9177" t="s">
        <v>9788</v>
      </c>
      <c r="B9177" t="s">
        <v>75</v>
      </c>
      <c r="C9177" t="s">
        <v>602</v>
      </c>
      <c r="D9177">
        <v>1513.56</v>
      </c>
      <c r="E9177" s="37" t="str">
        <f t="shared" si="715"/>
        <v xml:space="preserve"> </v>
      </c>
      <c r="F9177">
        <v>0.28000000000000003</v>
      </c>
      <c r="G9177" s="37" t="str">
        <f t="shared" si="716"/>
        <v>Normal Discount</v>
      </c>
      <c r="H9177" s="37" t="str">
        <f t="shared" si="717"/>
        <v>Medium</v>
      </c>
      <c r="I9177">
        <v>8</v>
      </c>
      <c r="J9177" t="str" cm="1">
        <f t="array" ref="J9177">_xlfn.IFS(I9177&lt;=3,"small",I9177&lt;=6,"Medium",I9177&lt;=9,"Large")</f>
        <v>Large</v>
      </c>
      <c r="K9177" s="36">
        <v>45443</v>
      </c>
      <c r="L9177" s="36">
        <v>45449</v>
      </c>
      <c r="M9177" t="s">
        <v>612</v>
      </c>
      <c r="N9177" t="s">
        <v>599</v>
      </c>
      <c r="O9177" s="37" t="str">
        <f t="shared" si="718"/>
        <v>Digital Payment</v>
      </c>
      <c r="P9177">
        <v>88.86</v>
      </c>
      <c r="Q9177" s="37" t="str">
        <f>IF(P9177&gt;500,"High","low")</f>
        <v>low</v>
      </c>
      <c r="R9177" s="37" t="str">
        <f t="shared" si="719"/>
        <v>AVERAGE</v>
      </c>
      <c r="S9177" t="s">
        <v>620</v>
      </c>
    </row>
    <row r="9178" spans="1:19" x14ac:dyDescent="0.2">
      <c r="A9178" t="s">
        <v>9789</v>
      </c>
      <c r="B9178" t="s">
        <v>83</v>
      </c>
      <c r="C9178" t="s">
        <v>617</v>
      </c>
      <c r="D9178">
        <v>2322.0100000000002</v>
      </c>
      <c r="E9178" s="37" t="str">
        <f t="shared" si="715"/>
        <v xml:space="preserve"> </v>
      </c>
      <c r="F9178">
        <v>0.46</v>
      </c>
      <c r="G9178" s="37" t="str">
        <f t="shared" si="716"/>
        <v>Heavy Discount</v>
      </c>
      <c r="H9178" s="37" t="str">
        <f t="shared" si="717"/>
        <v>High</v>
      </c>
      <c r="I9178">
        <v>9</v>
      </c>
      <c r="J9178" t="str" cm="1">
        <f t="array" ref="J9178">_xlfn.IFS(I9178&lt;=3,"small",I9178&lt;=6,"Medium",I9178&lt;=9,"Large")</f>
        <v>Large</v>
      </c>
      <c r="K9178" s="36">
        <v>44961</v>
      </c>
      <c r="L9178" s="36">
        <v>44965</v>
      </c>
      <c r="M9178" t="s">
        <v>603</v>
      </c>
      <c r="N9178" t="s">
        <v>599</v>
      </c>
      <c r="O9178" s="37" t="str">
        <f t="shared" si="718"/>
        <v>Digital Payment</v>
      </c>
      <c r="P9178">
        <v>323.36</v>
      </c>
      <c r="Q9178" s="37" t="str">
        <f>IF(P9178&gt;500,"High","low")</f>
        <v>low</v>
      </c>
      <c r="R9178" s="37" t="str">
        <f t="shared" si="719"/>
        <v>AVERAGE</v>
      </c>
      <c r="S9178" t="s">
        <v>615</v>
      </c>
    </row>
    <row r="9179" spans="1:19" x14ac:dyDescent="0.2">
      <c r="A9179" t="s">
        <v>9790</v>
      </c>
      <c r="B9179" t="s">
        <v>75</v>
      </c>
      <c r="C9179" t="s">
        <v>602</v>
      </c>
      <c r="D9179">
        <v>3817.65</v>
      </c>
      <c r="E9179" s="37" t="str">
        <f t="shared" si="715"/>
        <v xml:space="preserve"> </v>
      </c>
      <c r="F9179">
        <v>0.13</v>
      </c>
      <c r="G9179" s="37" t="str">
        <f t="shared" si="716"/>
        <v>Normal Discount</v>
      </c>
      <c r="H9179" s="37" t="str">
        <f t="shared" si="717"/>
        <v>Low</v>
      </c>
      <c r="I9179">
        <v>9</v>
      </c>
      <c r="J9179" t="str" cm="1">
        <f t="array" ref="J9179">_xlfn.IFS(I9179&lt;=3,"small",I9179&lt;=6,"Medium",I9179&lt;=9,"Large")</f>
        <v>Large</v>
      </c>
      <c r="K9179" s="36">
        <v>44949</v>
      </c>
      <c r="L9179" s="36">
        <v>44956</v>
      </c>
      <c r="M9179" t="s">
        <v>603</v>
      </c>
      <c r="N9179" t="s">
        <v>599</v>
      </c>
      <c r="O9179" s="37" t="str">
        <f t="shared" si="718"/>
        <v>Digital Payment</v>
      </c>
      <c r="P9179">
        <v>940.8</v>
      </c>
      <c r="Q9179" s="37" t="str">
        <f>IF(P9179&gt;500,"High","low")</f>
        <v>High</v>
      </c>
      <c r="R9179" s="37" t="str">
        <f t="shared" si="719"/>
        <v>Good</v>
      </c>
      <c r="S9179" t="s">
        <v>628</v>
      </c>
    </row>
    <row r="9180" spans="1:19" x14ac:dyDescent="0.2">
      <c r="A9180" t="s">
        <v>9791</v>
      </c>
      <c r="B9180" t="s">
        <v>75</v>
      </c>
      <c r="C9180" t="s">
        <v>597</v>
      </c>
      <c r="D9180">
        <v>2161.13</v>
      </c>
      <c r="E9180" s="37" t="str">
        <f t="shared" si="715"/>
        <v xml:space="preserve"> </v>
      </c>
      <c r="F9180">
        <v>0.19</v>
      </c>
      <c r="G9180" s="37" t="str">
        <f t="shared" si="716"/>
        <v>Normal Discount</v>
      </c>
      <c r="H9180" s="37" t="str">
        <f t="shared" si="717"/>
        <v>Low</v>
      </c>
      <c r="I9180">
        <v>5</v>
      </c>
      <c r="J9180" t="str" cm="1">
        <f t="array" ref="J9180">_xlfn.IFS(I9180&lt;=3,"small",I9180&lt;=6,"Medium",I9180&lt;=9,"Large")</f>
        <v>Medium</v>
      </c>
      <c r="K9180" s="36">
        <v>45588</v>
      </c>
      <c r="L9180" s="36">
        <v>45590</v>
      </c>
      <c r="M9180" t="s">
        <v>603</v>
      </c>
      <c r="N9180" t="s">
        <v>604</v>
      </c>
      <c r="O9180" s="37" t="str">
        <f t="shared" si="718"/>
        <v>Digital Payment</v>
      </c>
      <c r="P9180">
        <v>213.94</v>
      </c>
      <c r="Q9180" s="37" t="str">
        <f>IF(P9180&gt;500,"High","low")</f>
        <v>low</v>
      </c>
      <c r="R9180" s="37" t="str">
        <f t="shared" si="719"/>
        <v>AVERAGE</v>
      </c>
      <c r="S9180" t="s">
        <v>620</v>
      </c>
    </row>
    <row r="9181" spans="1:19" x14ac:dyDescent="0.2">
      <c r="A9181" t="s">
        <v>9792</v>
      </c>
      <c r="B9181" t="s">
        <v>83</v>
      </c>
      <c r="C9181" t="s">
        <v>617</v>
      </c>
      <c r="D9181">
        <v>1065.29</v>
      </c>
      <c r="E9181" s="37" t="str">
        <f t="shared" si="715"/>
        <v xml:space="preserve"> </v>
      </c>
      <c r="F9181">
        <v>0.45</v>
      </c>
      <c r="G9181" s="37" t="str">
        <f t="shared" si="716"/>
        <v>Heavy Discount</v>
      </c>
      <c r="H9181" s="37" t="str">
        <f t="shared" si="717"/>
        <v>High</v>
      </c>
      <c r="I9181">
        <v>2</v>
      </c>
      <c r="J9181" t="str" cm="1">
        <f t="array" ref="J9181">_xlfn.IFS(I9181&lt;=3,"small",I9181&lt;=6,"Medium",I9181&lt;=9,"Large")</f>
        <v>small</v>
      </c>
      <c r="K9181" s="36">
        <v>45294</v>
      </c>
      <c r="L9181" s="36">
        <v>45296</v>
      </c>
      <c r="M9181" t="s">
        <v>603</v>
      </c>
      <c r="N9181" t="s">
        <v>599</v>
      </c>
      <c r="O9181" s="37" t="str">
        <f t="shared" si="718"/>
        <v>Digital Payment</v>
      </c>
      <c r="P9181">
        <v>191.22</v>
      </c>
      <c r="Q9181" s="37" t="str">
        <f>IF(P9181&gt;500,"High","low")</f>
        <v>low</v>
      </c>
      <c r="R9181" s="37" t="str">
        <f t="shared" si="719"/>
        <v>AVERAGE</v>
      </c>
      <c r="S9181" t="s">
        <v>609</v>
      </c>
    </row>
    <row r="9182" spans="1:19" x14ac:dyDescent="0.2">
      <c r="A9182" t="s">
        <v>9793</v>
      </c>
      <c r="B9182" t="s">
        <v>90</v>
      </c>
      <c r="C9182" t="s">
        <v>602</v>
      </c>
      <c r="D9182">
        <v>1854.04</v>
      </c>
      <c r="E9182" s="37" t="str">
        <f t="shared" si="715"/>
        <v xml:space="preserve"> </v>
      </c>
      <c r="F9182">
        <v>0.45</v>
      </c>
      <c r="G9182" s="37" t="str">
        <f t="shared" si="716"/>
        <v>Heavy Discount</v>
      </c>
      <c r="H9182" s="37" t="str">
        <f t="shared" si="717"/>
        <v>High</v>
      </c>
      <c r="I9182">
        <v>8</v>
      </c>
      <c r="J9182" t="str" cm="1">
        <f t="array" ref="J9182">_xlfn.IFS(I9182&lt;=3,"small",I9182&lt;=6,"Medium",I9182&lt;=9,"Large")</f>
        <v>Large</v>
      </c>
      <c r="K9182" s="36">
        <v>45043</v>
      </c>
      <c r="L9182" s="36">
        <v>45047</v>
      </c>
      <c r="M9182" t="s">
        <v>612</v>
      </c>
      <c r="N9182" t="s">
        <v>604</v>
      </c>
      <c r="O9182" s="37" t="str">
        <f t="shared" si="718"/>
        <v>Digital Payment</v>
      </c>
      <c r="P9182">
        <v>211.22</v>
      </c>
      <c r="Q9182" s="37" t="str">
        <f>IF(P9182&gt;500,"High","low")</f>
        <v>low</v>
      </c>
      <c r="R9182" s="37" t="str">
        <f t="shared" si="719"/>
        <v>AVERAGE</v>
      </c>
      <c r="S9182" t="s">
        <v>620</v>
      </c>
    </row>
    <row r="9183" spans="1:19" x14ac:dyDescent="0.2">
      <c r="A9183" t="s">
        <v>9794</v>
      </c>
      <c r="B9183" t="s">
        <v>67</v>
      </c>
      <c r="C9183" t="s">
        <v>607</v>
      </c>
      <c r="D9183">
        <v>3740.61</v>
      </c>
      <c r="E9183" s="37" t="str">
        <f t="shared" si="715"/>
        <v xml:space="preserve"> </v>
      </c>
      <c r="F9183">
        <v>0.12</v>
      </c>
      <c r="G9183" s="37" t="str">
        <f t="shared" si="716"/>
        <v>Normal Discount</v>
      </c>
      <c r="H9183" s="37" t="str">
        <f t="shared" si="717"/>
        <v>Low</v>
      </c>
      <c r="I9183">
        <v>7</v>
      </c>
      <c r="J9183" t="str" cm="1">
        <f t="array" ref="J9183">_xlfn.IFS(I9183&lt;=3,"small",I9183&lt;=6,"Medium",I9183&lt;=9,"Large")</f>
        <v>Large</v>
      </c>
      <c r="K9183" s="36">
        <v>45602</v>
      </c>
      <c r="L9183" s="36">
        <v>45604</v>
      </c>
      <c r="M9183" t="s">
        <v>598</v>
      </c>
      <c r="N9183" t="s">
        <v>604</v>
      </c>
      <c r="O9183" s="37" t="str">
        <f t="shared" si="718"/>
        <v>Digital Payment</v>
      </c>
      <c r="P9183">
        <v>1052.42</v>
      </c>
      <c r="Q9183" s="37" t="str">
        <f>IF(P9183&gt;500,"High","low")</f>
        <v>High</v>
      </c>
      <c r="R9183" s="37" t="str">
        <f t="shared" si="719"/>
        <v>Excellent</v>
      </c>
      <c r="S9183" t="s">
        <v>620</v>
      </c>
    </row>
    <row r="9184" spans="1:19" x14ac:dyDescent="0.2">
      <c r="A9184" t="s">
        <v>9795</v>
      </c>
      <c r="B9184" t="s">
        <v>83</v>
      </c>
      <c r="C9184" t="s">
        <v>607</v>
      </c>
      <c r="D9184">
        <v>2177.9</v>
      </c>
      <c r="E9184" s="37" t="str">
        <f t="shared" si="715"/>
        <v xml:space="preserve"> </v>
      </c>
      <c r="F9184">
        <v>0.35</v>
      </c>
      <c r="G9184" s="37" t="str">
        <f t="shared" si="716"/>
        <v>Heavy Discount</v>
      </c>
      <c r="H9184" s="37" t="str">
        <f t="shared" si="717"/>
        <v>Medium</v>
      </c>
      <c r="I9184">
        <v>4</v>
      </c>
      <c r="J9184" t="str" cm="1">
        <f t="array" ref="J9184">_xlfn.IFS(I9184&lt;=3,"small",I9184&lt;=6,"Medium",I9184&lt;=9,"Large")</f>
        <v>Medium</v>
      </c>
      <c r="K9184" s="36">
        <v>45505</v>
      </c>
      <c r="L9184" s="36">
        <v>45511</v>
      </c>
      <c r="M9184" t="s">
        <v>598</v>
      </c>
      <c r="N9184" t="s">
        <v>608</v>
      </c>
      <c r="O9184" s="37" t="str">
        <f t="shared" si="718"/>
        <v>Cash Payment</v>
      </c>
      <c r="P9184">
        <v>613.76</v>
      </c>
      <c r="Q9184" s="37" t="str">
        <f>IF(P9184&gt;500,"High","low")</f>
        <v>High</v>
      </c>
      <c r="R9184" s="37" t="str">
        <f t="shared" si="719"/>
        <v>Good</v>
      </c>
      <c r="S9184" t="s">
        <v>609</v>
      </c>
    </row>
    <row r="9185" spans="1:19" x14ac:dyDescent="0.2">
      <c r="A9185" t="s">
        <v>9796</v>
      </c>
      <c r="B9185" t="s">
        <v>90</v>
      </c>
      <c r="C9185" t="s">
        <v>614</v>
      </c>
      <c r="D9185">
        <v>1322.74</v>
      </c>
      <c r="E9185" s="37" t="str">
        <f t="shared" si="715"/>
        <v xml:space="preserve"> </v>
      </c>
      <c r="F9185">
        <v>0.21</v>
      </c>
      <c r="G9185" s="37" t="str">
        <f t="shared" si="716"/>
        <v>Normal Discount</v>
      </c>
      <c r="H9185" s="37" t="str">
        <f t="shared" si="717"/>
        <v>Medium</v>
      </c>
      <c r="I9185">
        <v>5</v>
      </c>
      <c r="J9185" t="str" cm="1">
        <f t="array" ref="J9185">_xlfn.IFS(I9185&lt;=3,"small",I9185&lt;=6,"Medium",I9185&lt;=9,"Large")</f>
        <v>Medium</v>
      </c>
      <c r="K9185" s="36">
        <v>44954</v>
      </c>
      <c r="L9185" s="36">
        <v>44956</v>
      </c>
      <c r="M9185" t="s">
        <v>612</v>
      </c>
      <c r="N9185" t="s">
        <v>599</v>
      </c>
      <c r="O9185" s="37" t="str">
        <f t="shared" si="718"/>
        <v>Digital Payment</v>
      </c>
      <c r="P9185">
        <v>306.39999999999998</v>
      </c>
      <c r="Q9185" s="37" t="str">
        <f>IF(P9185&gt;500,"High","low")</f>
        <v>low</v>
      </c>
      <c r="R9185" s="37" t="str">
        <f t="shared" si="719"/>
        <v>AVERAGE</v>
      </c>
      <c r="S9185" t="s">
        <v>600</v>
      </c>
    </row>
    <row r="9186" spans="1:19" x14ac:dyDescent="0.2">
      <c r="A9186" t="s">
        <v>9797</v>
      </c>
      <c r="B9186" t="s">
        <v>83</v>
      </c>
      <c r="C9186" t="s">
        <v>597</v>
      </c>
      <c r="D9186">
        <v>2194.3200000000002</v>
      </c>
      <c r="E9186" s="37" t="str">
        <f t="shared" si="715"/>
        <v xml:space="preserve"> </v>
      </c>
      <c r="F9186">
        <v>0.47</v>
      </c>
      <c r="G9186" s="37" t="str">
        <f t="shared" si="716"/>
        <v>Heavy Discount</v>
      </c>
      <c r="H9186" s="37" t="str">
        <f t="shared" si="717"/>
        <v>High</v>
      </c>
      <c r="I9186">
        <v>2</v>
      </c>
      <c r="J9186" t="str" cm="1">
        <f t="array" ref="J9186">_xlfn.IFS(I9186&lt;=3,"small",I9186&lt;=6,"Medium",I9186&lt;=9,"Large")</f>
        <v>small</v>
      </c>
      <c r="K9186" s="36">
        <v>45162</v>
      </c>
      <c r="L9186" s="36">
        <v>45163</v>
      </c>
      <c r="M9186" t="s">
        <v>598</v>
      </c>
      <c r="N9186" t="s">
        <v>608</v>
      </c>
      <c r="O9186" s="37" t="str">
        <f t="shared" si="718"/>
        <v>Cash Payment</v>
      </c>
      <c r="P9186">
        <v>488.55</v>
      </c>
      <c r="Q9186" s="37" t="str">
        <f>IF(P9186&gt;500,"High","low")</f>
        <v>low</v>
      </c>
      <c r="R9186" s="37" t="str">
        <f t="shared" si="719"/>
        <v>AVERAGE</v>
      </c>
      <c r="S9186" t="s">
        <v>600</v>
      </c>
    </row>
    <row r="9187" spans="1:19" x14ac:dyDescent="0.2">
      <c r="A9187" t="s">
        <v>9798</v>
      </c>
      <c r="B9187" t="s">
        <v>90</v>
      </c>
      <c r="C9187" t="s">
        <v>602</v>
      </c>
      <c r="D9187">
        <v>2328.5500000000002</v>
      </c>
      <c r="E9187" s="37" t="str">
        <f t="shared" si="715"/>
        <v xml:space="preserve"> </v>
      </c>
      <c r="F9187">
        <v>0.37</v>
      </c>
      <c r="G9187" s="37" t="str">
        <f t="shared" si="716"/>
        <v>Heavy Discount</v>
      </c>
      <c r="H9187" s="37" t="str">
        <f t="shared" si="717"/>
        <v>Medium</v>
      </c>
      <c r="I9187">
        <v>9</v>
      </c>
      <c r="J9187" t="str" cm="1">
        <f t="array" ref="J9187">_xlfn.IFS(I9187&lt;=3,"small",I9187&lt;=6,"Medium",I9187&lt;=9,"Large")</f>
        <v>Large</v>
      </c>
      <c r="K9187" s="36">
        <v>45383</v>
      </c>
      <c r="L9187" s="36">
        <v>45385</v>
      </c>
      <c r="M9187" t="s">
        <v>612</v>
      </c>
      <c r="N9187" t="s">
        <v>604</v>
      </c>
      <c r="O9187" s="37" t="str">
        <f t="shared" si="718"/>
        <v>Digital Payment</v>
      </c>
      <c r="P9187">
        <v>437.73</v>
      </c>
      <c r="Q9187" s="37" t="str">
        <f>IF(P9187&gt;500,"High","low")</f>
        <v>low</v>
      </c>
      <c r="R9187" s="37" t="str">
        <f t="shared" si="719"/>
        <v>AVERAGE</v>
      </c>
      <c r="S9187" t="s">
        <v>600</v>
      </c>
    </row>
    <row r="9188" spans="1:19" x14ac:dyDescent="0.2">
      <c r="A9188" t="s">
        <v>9799</v>
      </c>
      <c r="B9188" t="s">
        <v>83</v>
      </c>
      <c r="C9188" t="s">
        <v>614</v>
      </c>
      <c r="D9188">
        <v>1552.25</v>
      </c>
      <c r="E9188" s="37" t="str">
        <f t="shared" si="715"/>
        <v xml:space="preserve"> </v>
      </c>
      <c r="F9188">
        <v>0.25</v>
      </c>
      <c r="G9188" s="37" t="str">
        <f t="shared" si="716"/>
        <v>Normal Discount</v>
      </c>
      <c r="H9188" s="37" t="str">
        <f t="shared" si="717"/>
        <v>Medium</v>
      </c>
      <c r="I9188">
        <v>6</v>
      </c>
      <c r="J9188" t="str" cm="1">
        <f t="array" ref="J9188">_xlfn.IFS(I9188&lt;=3,"small",I9188&lt;=6,"Medium",I9188&lt;=9,"Large")</f>
        <v>Medium</v>
      </c>
      <c r="K9188" s="36">
        <v>45333</v>
      </c>
      <c r="L9188" s="36">
        <v>45338</v>
      </c>
      <c r="M9188" t="s">
        <v>612</v>
      </c>
      <c r="N9188" t="s">
        <v>599</v>
      </c>
      <c r="O9188" s="37" t="str">
        <f t="shared" si="718"/>
        <v>Digital Payment</v>
      </c>
      <c r="P9188">
        <v>382.2</v>
      </c>
      <c r="Q9188" s="37" t="str">
        <f>IF(P9188&gt;500,"High","low")</f>
        <v>low</v>
      </c>
      <c r="R9188" s="37" t="str">
        <f t="shared" si="719"/>
        <v>AVERAGE</v>
      </c>
      <c r="S9188" t="s">
        <v>615</v>
      </c>
    </row>
    <row r="9189" spans="1:19" x14ac:dyDescent="0.2">
      <c r="A9189" t="s">
        <v>9800</v>
      </c>
      <c r="B9189" t="s">
        <v>90</v>
      </c>
      <c r="C9189" t="s">
        <v>597</v>
      </c>
      <c r="D9189">
        <v>4978.8599999999997</v>
      </c>
      <c r="E9189" s="37" t="str">
        <f t="shared" si="715"/>
        <v>Excellent Order</v>
      </c>
      <c r="F9189">
        <v>0.41</v>
      </c>
      <c r="G9189" s="37" t="str">
        <f t="shared" si="716"/>
        <v>Heavy Discount</v>
      </c>
      <c r="H9189" s="37" t="str">
        <f t="shared" si="717"/>
        <v>High</v>
      </c>
      <c r="I9189">
        <v>9</v>
      </c>
      <c r="J9189" t="str" cm="1">
        <f t="array" ref="J9189">_xlfn.IFS(I9189&lt;=3,"small",I9189&lt;=6,"Medium",I9189&lt;=9,"Large")</f>
        <v>Large</v>
      </c>
      <c r="K9189" s="36">
        <v>45579</v>
      </c>
      <c r="L9189" s="36">
        <v>45580</v>
      </c>
      <c r="M9189" t="s">
        <v>603</v>
      </c>
      <c r="N9189" t="s">
        <v>599</v>
      </c>
      <c r="O9189" s="37" t="str">
        <f t="shared" si="718"/>
        <v>Digital Payment</v>
      </c>
      <c r="P9189">
        <v>1473.07</v>
      </c>
      <c r="Q9189" s="37" t="str">
        <f>IF(P9189&gt;500,"High","low")</f>
        <v>High</v>
      </c>
      <c r="R9189" s="37" t="str">
        <f t="shared" si="719"/>
        <v>Excellent</v>
      </c>
      <c r="S9189" t="s">
        <v>628</v>
      </c>
    </row>
    <row r="9190" spans="1:19" x14ac:dyDescent="0.2">
      <c r="A9190" t="s">
        <v>9801</v>
      </c>
      <c r="B9190" t="s">
        <v>83</v>
      </c>
      <c r="C9190" t="s">
        <v>607</v>
      </c>
      <c r="D9190">
        <v>3861.37</v>
      </c>
      <c r="E9190" s="37" t="str">
        <f t="shared" si="715"/>
        <v xml:space="preserve"> </v>
      </c>
      <c r="F9190">
        <v>0.5</v>
      </c>
      <c r="G9190" s="37" t="str">
        <f t="shared" si="716"/>
        <v>Heavy Discount</v>
      </c>
      <c r="H9190" s="37" t="str">
        <f t="shared" si="717"/>
        <v>High</v>
      </c>
      <c r="I9190">
        <v>8</v>
      </c>
      <c r="J9190" t="str" cm="1">
        <f t="array" ref="J9190">_xlfn.IFS(I9190&lt;=3,"small",I9190&lt;=6,"Medium",I9190&lt;=9,"Large")</f>
        <v>Large</v>
      </c>
      <c r="K9190" s="36">
        <v>45420</v>
      </c>
      <c r="L9190" s="36">
        <v>45423</v>
      </c>
      <c r="M9190" t="s">
        <v>603</v>
      </c>
      <c r="N9190" t="s">
        <v>599</v>
      </c>
      <c r="O9190" s="37" t="str">
        <f t="shared" si="718"/>
        <v>Digital Payment</v>
      </c>
      <c r="P9190">
        <v>1121.44</v>
      </c>
      <c r="Q9190" s="37" t="str">
        <f>IF(P9190&gt;500,"High","low")</f>
        <v>High</v>
      </c>
      <c r="R9190" s="37" t="str">
        <f t="shared" si="719"/>
        <v>Excellent</v>
      </c>
      <c r="S9190" t="s">
        <v>605</v>
      </c>
    </row>
    <row r="9191" spans="1:19" x14ac:dyDescent="0.2">
      <c r="A9191" t="s">
        <v>9802</v>
      </c>
      <c r="B9191" t="s">
        <v>90</v>
      </c>
      <c r="C9191" t="s">
        <v>602</v>
      </c>
      <c r="D9191">
        <v>3493.03</v>
      </c>
      <c r="E9191" s="37" t="str">
        <f t="shared" si="715"/>
        <v xml:space="preserve"> </v>
      </c>
      <c r="F9191">
        <v>0.22</v>
      </c>
      <c r="G9191" s="37" t="str">
        <f t="shared" si="716"/>
        <v>Normal Discount</v>
      </c>
      <c r="H9191" s="37" t="str">
        <f t="shared" si="717"/>
        <v>Medium</v>
      </c>
      <c r="I9191">
        <v>1</v>
      </c>
      <c r="J9191" t="str" cm="1">
        <f t="array" ref="J9191">_xlfn.IFS(I9191&lt;=3,"small",I9191&lt;=6,"Medium",I9191&lt;=9,"Large")</f>
        <v>small</v>
      </c>
      <c r="K9191" s="36">
        <v>45127</v>
      </c>
      <c r="L9191" s="36">
        <v>45132</v>
      </c>
      <c r="M9191" t="s">
        <v>603</v>
      </c>
      <c r="N9191" t="s">
        <v>599</v>
      </c>
      <c r="O9191" s="37" t="str">
        <f t="shared" si="718"/>
        <v>Digital Payment</v>
      </c>
      <c r="P9191">
        <v>880.88</v>
      </c>
      <c r="Q9191" s="37" t="str">
        <f>IF(P9191&gt;500,"High","low")</f>
        <v>High</v>
      </c>
      <c r="R9191" s="37" t="str">
        <f t="shared" si="719"/>
        <v>Good</v>
      </c>
      <c r="S9191" t="s">
        <v>615</v>
      </c>
    </row>
    <row r="9192" spans="1:19" x14ac:dyDescent="0.2">
      <c r="A9192" t="s">
        <v>9803</v>
      </c>
      <c r="B9192" t="s">
        <v>83</v>
      </c>
      <c r="C9192" t="s">
        <v>617</v>
      </c>
      <c r="D9192">
        <v>4288.8500000000004</v>
      </c>
      <c r="E9192" s="37" t="str">
        <f t="shared" si="715"/>
        <v xml:space="preserve"> </v>
      </c>
      <c r="F9192">
        <v>0.19</v>
      </c>
      <c r="G9192" s="37" t="str">
        <f t="shared" si="716"/>
        <v>Normal Discount</v>
      </c>
      <c r="H9192" s="37" t="str">
        <f t="shared" si="717"/>
        <v>Low</v>
      </c>
      <c r="I9192">
        <v>9</v>
      </c>
      <c r="J9192" t="str" cm="1">
        <f t="array" ref="J9192">_xlfn.IFS(I9192&lt;=3,"small",I9192&lt;=6,"Medium",I9192&lt;=9,"Large")</f>
        <v>Large</v>
      </c>
      <c r="K9192" s="36">
        <v>45507</v>
      </c>
      <c r="L9192" s="36">
        <v>45510</v>
      </c>
      <c r="M9192" t="s">
        <v>612</v>
      </c>
      <c r="N9192" t="s">
        <v>604</v>
      </c>
      <c r="O9192" s="37" t="str">
        <f t="shared" si="718"/>
        <v>Digital Payment</v>
      </c>
      <c r="P9192">
        <v>360.44</v>
      </c>
      <c r="Q9192" s="37" t="str">
        <f>IF(P9192&gt;500,"High","low")</f>
        <v>low</v>
      </c>
      <c r="R9192" s="37" t="str">
        <f t="shared" si="719"/>
        <v>AVERAGE</v>
      </c>
      <c r="S9192" t="s">
        <v>615</v>
      </c>
    </row>
    <row r="9193" spans="1:19" x14ac:dyDescent="0.2">
      <c r="A9193" t="s">
        <v>9804</v>
      </c>
      <c r="B9193" t="s">
        <v>67</v>
      </c>
      <c r="C9193" t="s">
        <v>607</v>
      </c>
      <c r="D9193">
        <v>3365.45</v>
      </c>
      <c r="E9193" s="37" t="str">
        <f t="shared" si="715"/>
        <v xml:space="preserve"> </v>
      </c>
      <c r="F9193">
        <v>0.3</v>
      </c>
      <c r="G9193" s="37" t="str">
        <f t="shared" si="716"/>
        <v>Normal Discount</v>
      </c>
      <c r="H9193" s="37" t="str">
        <f t="shared" si="717"/>
        <v>Medium</v>
      </c>
      <c r="I9193">
        <v>9</v>
      </c>
      <c r="J9193" t="str" cm="1">
        <f t="array" ref="J9193">_xlfn.IFS(I9193&lt;=3,"small",I9193&lt;=6,"Medium",I9193&lt;=9,"Large")</f>
        <v>Large</v>
      </c>
      <c r="K9193" s="36">
        <v>45158</v>
      </c>
      <c r="L9193" s="36">
        <v>45164</v>
      </c>
      <c r="M9193" t="s">
        <v>598</v>
      </c>
      <c r="N9193" t="s">
        <v>599</v>
      </c>
      <c r="O9193" s="37" t="str">
        <f t="shared" si="718"/>
        <v>Digital Payment</v>
      </c>
      <c r="P9193">
        <v>893.03</v>
      </c>
      <c r="Q9193" s="37" t="str">
        <f>IF(P9193&gt;500,"High","low")</f>
        <v>High</v>
      </c>
      <c r="R9193" s="37" t="str">
        <f t="shared" si="719"/>
        <v>Good</v>
      </c>
      <c r="S9193" t="s">
        <v>609</v>
      </c>
    </row>
    <row r="9194" spans="1:19" x14ac:dyDescent="0.2">
      <c r="A9194" t="s">
        <v>9805</v>
      </c>
      <c r="B9194" t="s">
        <v>67</v>
      </c>
      <c r="C9194" t="s">
        <v>617</v>
      </c>
      <c r="D9194">
        <v>3975.8</v>
      </c>
      <c r="E9194" s="37" t="str">
        <f t="shared" si="715"/>
        <v xml:space="preserve"> </v>
      </c>
      <c r="F9194">
        <v>0.34</v>
      </c>
      <c r="G9194" s="37" t="str">
        <f t="shared" si="716"/>
        <v>Heavy Discount</v>
      </c>
      <c r="H9194" s="37" t="str">
        <f t="shared" si="717"/>
        <v>Medium</v>
      </c>
      <c r="I9194">
        <v>4</v>
      </c>
      <c r="J9194" t="str" cm="1">
        <f t="array" ref="J9194">_xlfn.IFS(I9194&lt;=3,"small",I9194&lt;=6,"Medium",I9194&lt;=9,"Large")</f>
        <v>Medium</v>
      </c>
      <c r="K9194" s="36">
        <v>45498</v>
      </c>
      <c r="L9194" s="36">
        <v>45499</v>
      </c>
      <c r="M9194" t="s">
        <v>612</v>
      </c>
      <c r="N9194" t="s">
        <v>599</v>
      </c>
      <c r="O9194" s="37" t="str">
        <f t="shared" si="718"/>
        <v>Digital Payment</v>
      </c>
      <c r="P9194">
        <v>787.28</v>
      </c>
      <c r="Q9194" s="37" t="str">
        <f>IF(P9194&gt;500,"High","low")</f>
        <v>High</v>
      </c>
      <c r="R9194" s="37" t="str">
        <f t="shared" si="719"/>
        <v>Good</v>
      </c>
      <c r="S9194" t="s">
        <v>605</v>
      </c>
    </row>
    <row r="9195" spans="1:19" x14ac:dyDescent="0.2">
      <c r="A9195" t="s">
        <v>9806</v>
      </c>
      <c r="B9195" t="s">
        <v>75</v>
      </c>
      <c r="C9195" t="s">
        <v>617</v>
      </c>
      <c r="D9195">
        <v>2121.38</v>
      </c>
      <c r="E9195" s="37" t="str">
        <f t="shared" si="715"/>
        <v xml:space="preserve"> </v>
      </c>
      <c r="F9195">
        <v>0.35</v>
      </c>
      <c r="G9195" s="37" t="str">
        <f t="shared" si="716"/>
        <v>Heavy Discount</v>
      </c>
      <c r="H9195" s="37" t="str">
        <f t="shared" si="717"/>
        <v>Medium</v>
      </c>
      <c r="I9195">
        <v>1</v>
      </c>
      <c r="J9195" t="str" cm="1">
        <f t="array" ref="J9195">_xlfn.IFS(I9195&lt;=3,"small",I9195&lt;=6,"Medium",I9195&lt;=9,"Large")</f>
        <v>small</v>
      </c>
      <c r="K9195" s="36">
        <v>45535</v>
      </c>
      <c r="L9195" s="36">
        <v>45540</v>
      </c>
      <c r="M9195" t="s">
        <v>598</v>
      </c>
      <c r="N9195" t="s">
        <v>599</v>
      </c>
      <c r="O9195" s="37" t="str">
        <f t="shared" si="718"/>
        <v>Digital Payment</v>
      </c>
      <c r="P9195">
        <v>388.93</v>
      </c>
      <c r="Q9195" s="37" t="str">
        <f>IF(P9195&gt;500,"High","low")</f>
        <v>low</v>
      </c>
      <c r="R9195" s="37" t="str">
        <f t="shared" si="719"/>
        <v>AVERAGE</v>
      </c>
      <c r="S9195" t="s">
        <v>615</v>
      </c>
    </row>
    <row r="9196" spans="1:19" x14ac:dyDescent="0.2">
      <c r="A9196" t="s">
        <v>9807</v>
      </c>
      <c r="B9196" t="s">
        <v>90</v>
      </c>
      <c r="C9196" t="s">
        <v>602</v>
      </c>
      <c r="D9196">
        <v>2551.8200000000002</v>
      </c>
      <c r="E9196" s="37" t="str">
        <f t="shared" si="715"/>
        <v xml:space="preserve"> </v>
      </c>
      <c r="F9196">
        <v>0.24</v>
      </c>
      <c r="G9196" s="37" t="str">
        <f t="shared" si="716"/>
        <v>Normal Discount</v>
      </c>
      <c r="H9196" s="37" t="str">
        <f t="shared" si="717"/>
        <v>Medium</v>
      </c>
      <c r="I9196">
        <v>4</v>
      </c>
      <c r="J9196" t="str" cm="1">
        <f t="array" ref="J9196">_xlfn.IFS(I9196&lt;=3,"small",I9196&lt;=6,"Medium",I9196&lt;=9,"Large")</f>
        <v>Medium</v>
      </c>
      <c r="K9196" s="36">
        <v>44968</v>
      </c>
      <c r="L9196" s="36">
        <v>44975</v>
      </c>
      <c r="M9196" t="s">
        <v>612</v>
      </c>
      <c r="N9196" t="s">
        <v>608</v>
      </c>
      <c r="O9196" s="37" t="str">
        <f t="shared" si="718"/>
        <v>Cash Payment</v>
      </c>
      <c r="P9196">
        <v>475.25</v>
      </c>
      <c r="Q9196" s="37" t="str">
        <f>IF(P9196&gt;500,"High","low")</f>
        <v>low</v>
      </c>
      <c r="R9196" s="37" t="str">
        <f t="shared" si="719"/>
        <v>AVERAGE</v>
      </c>
      <c r="S9196" t="s">
        <v>628</v>
      </c>
    </row>
    <row r="9197" spans="1:19" x14ac:dyDescent="0.2">
      <c r="A9197" t="s">
        <v>9808</v>
      </c>
      <c r="B9197" t="s">
        <v>83</v>
      </c>
      <c r="C9197" t="s">
        <v>602</v>
      </c>
      <c r="D9197">
        <v>330.28</v>
      </c>
      <c r="E9197" s="37" t="str">
        <f t="shared" si="715"/>
        <v xml:space="preserve"> </v>
      </c>
      <c r="F9197">
        <v>0.17</v>
      </c>
      <c r="G9197" s="37" t="str">
        <f t="shared" si="716"/>
        <v>Normal Discount</v>
      </c>
      <c r="H9197" s="37" t="str">
        <f t="shared" si="717"/>
        <v>Low</v>
      </c>
      <c r="I9197">
        <v>6</v>
      </c>
      <c r="J9197" t="str" cm="1">
        <f t="array" ref="J9197">_xlfn.IFS(I9197&lt;=3,"small",I9197&lt;=6,"Medium",I9197&lt;=9,"Large")</f>
        <v>Medium</v>
      </c>
      <c r="K9197" s="36">
        <v>45031</v>
      </c>
      <c r="L9197" s="36">
        <v>45038</v>
      </c>
      <c r="M9197" t="s">
        <v>603</v>
      </c>
      <c r="N9197" t="s">
        <v>599</v>
      </c>
      <c r="O9197" s="37" t="str">
        <f t="shared" si="718"/>
        <v>Digital Payment</v>
      </c>
      <c r="P9197">
        <v>37.51</v>
      </c>
      <c r="Q9197" s="37" t="str">
        <f>IF(P9197&gt;500,"High","low")</f>
        <v>low</v>
      </c>
      <c r="R9197" s="37" t="str">
        <f t="shared" si="719"/>
        <v>AVERAGE</v>
      </c>
      <c r="S9197" t="s">
        <v>620</v>
      </c>
    </row>
    <row r="9198" spans="1:19" x14ac:dyDescent="0.2">
      <c r="A9198" t="s">
        <v>9809</v>
      </c>
      <c r="B9198" t="s">
        <v>90</v>
      </c>
      <c r="C9198" t="s">
        <v>617</v>
      </c>
      <c r="D9198">
        <v>1475.17</v>
      </c>
      <c r="E9198" s="37" t="str">
        <f t="shared" si="715"/>
        <v xml:space="preserve"> </v>
      </c>
      <c r="F9198">
        <v>0.41</v>
      </c>
      <c r="G9198" s="37" t="str">
        <f t="shared" si="716"/>
        <v>Heavy Discount</v>
      </c>
      <c r="H9198" s="37" t="str">
        <f t="shared" si="717"/>
        <v>High</v>
      </c>
      <c r="I9198">
        <v>4</v>
      </c>
      <c r="J9198" t="str" cm="1">
        <f t="array" ref="J9198">_xlfn.IFS(I9198&lt;=3,"small",I9198&lt;=6,"Medium",I9198&lt;=9,"Large")</f>
        <v>Medium</v>
      </c>
      <c r="K9198" s="36">
        <v>45642</v>
      </c>
      <c r="L9198" s="36">
        <v>45649</v>
      </c>
      <c r="M9198" t="s">
        <v>612</v>
      </c>
      <c r="N9198" t="s">
        <v>608</v>
      </c>
      <c r="O9198" s="37" t="str">
        <f t="shared" si="718"/>
        <v>Cash Payment</v>
      </c>
      <c r="P9198">
        <v>150.01</v>
      </c>
      <c r="Q9198" s="37" t="str">
        <f>IF(P9198&gt;500,"High","low")</f>
        <v>low</v>
      </c>
      <c r="R9198" s="37" t="str">
        <f t="shared" si="719"/>
        <v>AVERAGE</v>
      </c>
      <c r="S9198" t="s">
        <v>609</v>
      </c>
    </row>
    <row r="9199" spans="1:19" x14ac:dyDescent="0.2">
      <c r="A9199" t="s">
        <v>9810</v>
      </c>
      <c r="B9199" t="s">
        <v>67</v>
      </c>
      <c r="C9199" t="s">
        <v>614</v>
      </c>
      <c r="D9199">
        <v>1903.26</v>
      </c>
      <c r="E9199" s="37" t="str">
        <f t="shared" si="715"/>
        <v xml:space="preserve"> </v>
      </c>
      <c r="F9199">
        <v>0.48</v>
      </c>
      <c r="G9199" s="37" t="str">
        <f t="shared" si="716"/>
        <v>Heavy Discount</v>
      </c>
      <c r="H9199" s="37" t="str">
        <f t="shared" si="717"/>
        <v>High</v>
      </c>
      <c r="I9199">
        <v>9</v>
      </c>
      <c r="J9199" t="str" cm="1">
        <f t="array" ref="J9199">_xlfn.IFS(I9199&lt;=3,"small",I9199&lt;=6,"Medium",I9199&lt;=9,"Large")</f>
        <v>Large</v>
      </c>
      <c r="K9199" s="36">
        <v>45076</v>
      </c>
      <c r="L9199" s="36">
        <v>45077</v>
      </c>
      <c r="M9199" t="s">
        <v>612</v>
      </c>
      <c r="N9199" t="s">
        <v>608</v>
      </c>
      <c r="O9199" s="37" t="str">
        <f t="shared" si="718"/>
        <v>Cash Payment</v>
      </c>
      <c r="P9199">
        <v>308.55</v>
      </c>
      <c r="Q9199" s="37" t="str">
        <f>IF(P9199&gt;500,"High","low")</f>
        <v>low</v>
      </c>
      <c r="R9199" s="37" t="str">
        <f t="shared" si="719"/>
        <v>AVERAGE</v>
      </c>
      <c r="S9199" t="s">
        <v>600</v>
      </c>
    </row>
    <row r="9200" spans="1:19" x14ac:dyDescent="0.2">
      <c r="A9200" t="s">
        <v>9811</v>
      </c>
      <c r="B9200" t="s">
        <v>90</v>
      </c>
      <c r="C9200" t="s">
        <v>617</v>
      </c>
      <c r="D9200">
        <v>3164.8</v>
      </c>
      <c r="E9200" s="37" t="str">
        <f t="shared" si="715"/>
        <v xml:space="preserve"> </v>
      </c>
      <c r="F9200">
        <v>0.43</v>
      </c>
      <c r="G9200" s="37" t="str">
        <f t="shared" si="716"/>
        <v>Heavy Discount</v>
      </c>
      <c r="H9200" s="37" t="str">
        <f t="shared" si="717"/>
        <v>High</v>
      </c>
      <c r="I9200">
        <v>4</v>
      </c>
      <c r="J9200" t="str" cm="1">
        <f t="array" ref="J9200">_xlfn.IFS(I9200&lt;=3,"small",I9200&lt;=6,"Medium",I9200&lt;=9,"Large")</f>
        <v>Medium</v>
      </c>
      <c r="K9200" s="36">
        <v>45437</v>
      </c>
      <c r="L9200" s="36">
        <v>45443</v>
      </c>
      <c r="M9200" t="s">
        <v>612</v>
      </c>
      <c r="N9200" t="s">
        <v>599</v>
      </c>
      <c r="O9200" s="37" t="str">
        <f t="shared" si="718"/>
        <v>Digital Payment</v>
      </c>
      <c r="P9200">
        <v>659.11</v>
      </c>
      <c r="Q9200" s="37" t="str">
        <f>IF(P9200&gt;500,"High","low")</f>
        <v>High</v>
      </c>
      <c r="R9200" s="37" t="str">
        <f t="shared" si="719"/>
        <v>Good</v>
      </c>
      <c r="S9200" t="s">
        <v>615</v>
      </c>
    </row>
    <row r="9201" spans="1:19" x14ac:dyDescent="0.2">
      <c r="A9201" t="s">
        <v>9812</v>
      </c>
      <c r="B9201" t="s">
        <v>83</v>
      </c>
      <c r="C9201" t="s">
        <v>617</v>
      </c>
      <c r="D9201">
        <v>2374.64</v>
      </c>
      <c r="E9201" s="37" t="str">
        <f t="shared" si="715"/>
        <v xml:space="preserve"> </v>
      </c>
      <c r="F9201">
        <v>0.34</v>
      </c>
      <c r="G9201" s="37" t="str">
        <f t="shared" si="716"/>
        <v>Heavy Discount</v>
      </c>
      <c r="H9201" s="37" t="str">
        <f t="shared" si="717"/>
        <v>Medium</v>
      </c>
      <c r="I9201">
        <v>8</v>
      </c>
      <c r="J9201" t="str" cm="1">
        <f t="array" ref="J9201">_xlfn.IFS(I9201&lt;=3,"small",I9201&lt;=6,"Medium",I9201&lt;=9,"Large")</f>
        <v>Large</v>
      </c>
      <c r="K9201" s="36">
        <v>45255</v>
      </c>
      <c r="L9201" s="36">
        <v>45262</v>
      </c>
      <c r="M9201" t="s">
        <v>598</v>
      </c>
      <c r="N9201" t="s">
        <v>604</v>
      </c>
      <c r="O9201" s="37" t="str">
        <f t="shared" si="718"/>
        <v>Digital Payment</v>
      </c>
      <c r="P9201">
        <v>505.27</v>
      </c>
      <c r="Q9201" s="37" t="str">
        <f>IF(P9201&gt;500,"High","low")</f>
        <v>High</v>
      </c>
      <c r="R9201" s="37" t="str">
        <f t="shared" si="719"/>
        <v>Good</v>
      </c>
      <c r="S9201" t="s">
        <v>609</v>
      </c>
    </row>
    <row r="9202" spans="1:19" x14ac:dyDescent="0.2">
      <c r="A9202" t="s">
        <v>9813</v>
      </c>
      <c r="B9202" t="s">
        <v>90</v>
      </c>
      <c r="C9202" t="s">
        <v>602</v>
      </c>
      <c r="D9202">
        <v>3078.41</v>
      </c>
      <c r="E9202" s="37" t="str">
        <f t="shared" si="715"/>
        <v xml:space="preserve"> </v>
      </c>
      <c r="F9202">
        <v>0.18</v>
      </c>
      <c r="G9202" s="37" t="str">
        <f t="shared" si="716"/>
        <v>Normal Discount</v>
      </c>
      <c r="H9202" s="37" t="str">
        <f t="shared" si="717"/>
        <v>Low</v>
      </c>
      <c r="I9202">
        <v>2</v>
      </c>
      <c r="J9202" t="str" cm="1">
        <f t="array" ref="J9202">_xlfn.IFS(I9202&lt;=3,"small",I9202&lt;=6,"Medium",I9202&lt;=9,"Large")</f>
        <v>small</v>
      </c>
      <c r="K9202" s="36">
        <v>45021</v>
      </c>
      <c r="L9202" s="36">
        <v>45024</v>
      </c>
      <c r="M9202" t="s">
        <v>598</v>
      </c>
      <c r="N9202" t="s">
        <v>604</v>
      </c>
      <c r="O9202" s="37" t="str">
        <f t="shared" si="718"/>
        <v>Digital Payment</v>
      </c>
      <c r="P9202">
        <v>556.53</v>
      </c>
      <c r="Q9202" s="37" t="str">
        <f>IF(P9202&gt;500,"High","low")</f>
        <v>High</v>
      </c>
      <c r="R9202" s="37" t="str">
        <f t="shared" si="719"/>
        <v>Good</v>
      </c>
      <c r="S9202" t="s">
        <v>605</v>
      </c>
    </row>
    <row r="9203" spans="1:19" x14ac:dyDescent="0.2">
      <c r="A9203" t="s">
        <v>9814</v>
      </c>
      <c r="B9203" t="s">
        <v>83</v>
      </c>
      <c r="C9203" t="s">
        <v>597</v>
      </c>
      <c r="D9203">
        <v>3595.3</v>
      </c>
      <c r="E9203" s="37" t="str">
        <f t="shared" si="715"/>
        <v xml:space="preserve"> </v>
      </c>
      <c r="F9203">
        <v>0.31</v>
      </c>
      <c r="G9203" s="37" t="str">
        <f t="shared" si="716"/>
        <v>Heavy Discount</v>
      </c>
      <c r="H9203" s="37" t="str">
        <f t="shared" si="717"/>
        <v>Medium</v>
      </c>
      <c r="I9203">
        <v>7</v>
      </c>
      <c r="J9203" t="str" cm="1">
        <f t="array" ref="J9203">_xlfn.IFS(I9203&lt;=3,"small",I9203&lt;=6,"Medium",I9203&lt;=9,"Large")</f>
        <v>Large</v>
      </c>
      <c r="K9203" s="36">
        <v>44976</v>
      </c>
      <c r="L9203" s="36">
        <v>44980</v>
      </c>
      <c r="M9203" t="s">
        <v>603</v>
      </c>
      <c r="N9203" t="s">
        <v>599</v>
      </c>
      <c r="O9203" s="37" t="str">
        <f t="shared" si="718"/>
        <v>Digital Payment</v>
      </c>
      <c r="P9203">
        <v>917.77</v>
      </c>
      <c r="Q9203" s="37" t="str">
        <f>IF(P9203&gt;500,"High","low")</f>
        <v>High</v>
      </c>
      <c r="R9203" s="37" t="str">
        <f t="shared" si="719"/>
        <v>Good</v>
      </c>
      <c r="S9203" t="s">
        <v>615</v>
      </c>
    </row>
    <row r="9204" spans="1:19" x14ac:dyDescent="0.2">
      <c r="A9204" t="s">
        <v>9815</v>
      </c>
      <c r="B9204" t="s">
        <v>67</v>
      </c>
      <c r="C9204" t="s">
        <v>607</v>
      </c>
      <c r="D9204">
        <v>309.32</v>
      </c>
      <c r="E9204" s="37" t="str">
        <f t="shared" si="715"/>
        <v xml:space="preserve"> </v>
      </c>
      <c r="F9204">
        <v>0.05</v>
      </c>
      <c r="G9204" s="37" t="str">
        <f t="shared" si="716"/>
        <v>Normal Discount</v>
      </c>
      <c r="H9204" s="37" t="str">
        <f t="shared" si="717"/>
        <v>Low</v>
      </c>
      <c r="I9204">
        <v>8</v>
      </c>
      <c r="J9204" t="str" cm="1">
        <f t="array" ref="J9204">_xlfn.IFS(I9204&lt;=3,"small",I9204&lt;=6,"Medium",I9204&lt;=9,"Large")</f>
        <v>Large</v>
      </c>
      <c r="K9204" s="36">
        <v>45629</v>
      </c>
      <c r="L9204" s="36">
        <v>45635</v>
      </c>
      <c r="M9204" t="s">
        <v>612</v>
      </c>
      <c r="N9204" t="s">
        <v>604</v>
      </c>
      <c r="O9204" s="37" t="str">
        <f t="shared" si="718"/>
        <v>Digital Payment</v>
      </c>
      <c r="P9204">
        <v>86.8</v>
      </c>
      <c r="Q9204" s="37" t="str">
        <f>IF(P9204&gt;500,"High","low")</f>
        <v>low</v>
      </c>
      <c r="R9204" s="37" t="str">
        <f t="shared" si="719"/>
        <v>AVERAGE</v>
      </c>
      <c r="S9204" t="s">
        <v>628</v>
      </c>
    </row>
    <row r="9205" spans="1:19" x14ac:dyDescent="0.2">
      <c r="A9205" t="s">
        <v>9816</v>
      </c>
      <c r="B9205" t="s">
        <v>67</v>
      </c>
      <c r="C9205" t="s">
        <v>602</v>
      </c>
      <c r="D9205">
        <v>1365.56</v>
      </c>
      <c r="E9205" s="37" t="str">
        <f t="shared" si="715"/>
        <v xml:space="preserve"> </v>
      </c>
      <c r="F9205">
        <v>0.27</v>
      </c>
      <c r="G9205" s="37" t="str">
        <f t="shared" si="716"/>
        <v>Normal Discount</v>
      </c>
      <c r="H9205" s="37" t="str">
        <f t="shared" si="717"/>
        <v>Medium</v>
      </c>
      <c r="I9205">
        <v>6</v>
      </c>
      <c r="J9205" t="str" cm="1">
        <f t="array" ref="J9205">_xlfn.IFS(I9205&lt;=3,"small",I9205&lt;=6,"Medium",I9205&lt;=9,"Large")</f>
        <v>Medium</v>
      </c>
      <c r="K9205" s="36">
        <v>45614</v>
      </c>
      <c r="L9205" s="36">
        <v>45620</v>
      </c>
      <c r="M9205" t="s">
        <v>603</v>
      </c>
      <c r="N9205" t="s">
        <v>599</v>
      </c>
      <c r="O9205" s="37" t="str">
        <f t="shared" si="718"/>
        <v>Digital Payment</v>
      </c>
      <c r="P9205">
        <v>141.69</v>
      </c>
      <c r="Q9205" s="37" t="str">
        <f>IF(P9205&gt;500,"High","low")</f>
        <v>low</v>
      </c>
      <c r="R9205" s="37" t="str">
        <f t="shared" si="719"/>
        <v>AVERAGE</v>
      </c>
      <c r="S9205" t="s">
        <v>600</v>
      </c>
    </row>
    <row r="9206" spans="1:19" x14ac:dyDescent="0.2">
      <c r="A9206" t="s">
        <v>9817</v>
      </c>
      <c r="B9206" t="s">
        <v>67</v>
      </c>
      <c r="C9206" t="s">
        <v>614</v>
      </c>
      <c r="D9206">
        <v>937.43</v>
      </c>
      <c r="E9206" s="37" t="str">
        <f t="shared" si="715"/>
        <v xml:space="preserve"> </v>
      </c>
      <c r="F9206">
        <v>0.39</v>
      </c>
      <c r="G9206" s="37" t="str">
        <f t="shared" si="716"/>
        <v>Heavy Discount</v>
      </c>
      <c r="H9206" s="37" t="str">
        <f t="shared" si="717"/>
        <v>Medium</v>
      </c>
      <c r="I9206">
        <v>6</v>
      </c>
      <c r="J9206" t="str" cm="1">
        <f t="array" ref="J9206">_xlfn.IFS(I9206&lt;=3,"small",I9206&lt;=6,"Medium",I9206&lt;=9,"Large")</f>
        <v>Medium</v>
      </c>
      <c r="K9206" s="36">
        <v>45365</v>
      </c>
      <c r="L9206" s="36">
        <v>45371</v>
      </c>
      <c r="M9206" t="s">
        <v>612</v>
      </c>
      <c r="N9206" t="s">
        <v>599</v>
      </c>
      <c r="O9206" s="37" t="str">
        <f t="shared" si="718"/>
        <v>Digital Payment</v>
      </c>
      <c r="P9206">
        <v>219.7</v>
      </c>
      <c r="Q9206" s="37" t="str">
        <f>IF(P9206&gt;500,"High","low")</f>
        <v>low</v>
      </c>
      <c r="R9206" s="37" t="str">
        <f t="shared" si="719"/>
        <v>AVERAGE</v>
      </c>
      <c r="S9206" t="s">
        <v>620</v>
      </c>
    </row>
    <row r="9207" spans="1:19" x14ac:dyDescent="0.2">
      <c r="A9207" t="s">
        <v>9818</v>
      </c>
      <c r="B9207" t="s">
        <v>75</v>
      </c>
      <c r="C9207" t="s">
        <v>607</v>
      </c>
      <c r="D9207">
        <v>1018.53</v>
      </c>
      <c r="E9207" s="37" t="str">
        <f t="shared" si="715"/>
        <v xml:space="preserve"> </v>
      </c>
      <c r="F9207">
        <v>0.13</v>
      </c>
      <c r="G9207" s="37" t="str">
        <f t="shared" si="716"/>
        <v>Normal Discount</v>
      </c>
      <c r="H9207" s="37" t="str">
        <f t="shared" si="717"/>
        <v>Low</v>
      </c>
      <c r="I9207">
        <v>8</v>
      </c>
      <c r="J9207" t="str" cm="1">
        <f t="array" ref="J9207">_xlfn.IFS(I9207&lt;=3,"small",I9207&lt;=6,"Medium",I9207&lt;=9,"Large")</f>
        <v>Large</v>
      </c>
      <c r="K9207" s="36">
        <v>45474</v>
      </c>
      <c r="L9207" s="36">
        <v>45476</v>
      </c>
      <c r="M9207" t="s">
        <v>603</v>
      </c>
      <c r="N9207" t="s">
        <v>599</v>
      </c>
      <c r="O9207" s="37" t="str">
        <f t="shared" si="718"/>
        <v>Digital Payment</v>
      </c>
      <c r="P9207">
        <v>110.14</v>
      </c>
      <c r="Q9207" s="37" t="str">
        <f>IF(P9207&gt;500,"High","low")</f>
        <v>low</v>
      </c>
      <c r="R9207" s="37" t="str">
        <f t="shared" si="719"/>
        <v>AVERAGE</v>
      </c>
      <c r="S9207" t="s">
        <v>605</v>
      </c>
    </row>
    <row r="9208" spans="1:19" x14ac:dyDescent="0.2">
      <c r="A9208" t="s">
        <v>9819</v>
      </c>
      <c r="B9208" t="s">
        <v>67</v>
      </c>
      <c r="C9208" t="s">
        <v>602</v>
      </c>
      <c r="D9208">
        <v>2565.31</v>
      </c>
      <c r="E9208" s="37" t="str">
        <f t="shared" si="715"/>
        <v xml:space="preserve"> </v>
      </c>
      <c r="F9208">
        <v>0.25</v>
      </c>
      <c r="G9208" s="37" t="str">
        <f t="shared" si="716"/>
        <v>Normal Discount</v>
      </c>
      <c r="H9208" s="37" t="str">
        <f t="shared" si="717"/>
        <v>Medium</v>
      </c>
      <c r="I9208">
        <v>3</v>
      </c>
      <c r="J9208" t="str" cm="1">
        <f t="array" ref="J9208">_xlfn.IFS(I9208&lt;=3,"small",I9208&lt;=6,"Medium",I9208&lt;=9,"Large")</f>
        <v>small</v>
      </c>
      <c r="K9208" s="36">
        <v>45410</v>
      </c>
      <c r="L9208" s="36">
        <v>45416</v>
      </c>
      <c r="M9208" t="s">
        <v>603</v>
      </c>
      <c r="N9208" t="s">
        <v>604</v>
      </c>
      <c r="O9208" s="37" t="str">
        <f t="shared" si="718"/>
        <v>Digital Payment</v>
      </c>
      <c r="P9208">
        <v>670.28</v>
      </c>
      <c r="Q9208" s="37" t="str">
        <f>IF(P9208&gt;500,"High","low")</f>
        <v>High</v>
      </c>
      <c r="R9208" s="37" t="str">
        <f t="shared" si="719"/>
        <v>Good</v>
      </c>
      <c r="S9208" t="s">
        <v>620</v>
      </c>
    </row>
    <row r="9209" spans="1:19" x14ac:dyDescent="0.2">
      <c r="A9209" t="s">
        <v>9820</v>
      </c>
      <c r="B9209" t="s">
        <v>90</v>
      </c>
      <c r="C9209" t="s">
        <v>602</v>
      </c>
      <c r="D9209">
        <v>3725.9</v>
      </c>
      <c r="E9209" s="37" t="str">
        <f t="shared" si="715"/>
        <v xml:space="preserve"> </v>
      </c>
      <c r="F9209">
        <v>0.04</v>
      </c>
      <c r="G9209" s="37" t="str">
        <f t="shared" si="716"/>
        <v>Normal Discount</v>
      </c>
      <c r="H9209" s="37" t="str">
        <f t="shared" si="717"/>
        <v>Low</v>
      </c>
      <c r="I9209">
        <v>2</v>
      </c>
      <c r="J9209" t="str" cm="1">
        <f t="array" ref="J9209">_xlfn.IFS(I9209&lt;=3,"small",I9209&lt;=6,"Medium",I9209&lt;=9,"Large")</f>
        <v>small</v>
      </c>
      <c r="K9209" s="36">
        <v>45536</v>
      </c>
      <c r="L9209" s="36">
        <v>45543</v>
      </c>
      <c r="M9209" t="s">
        <v>598</v>
      </c>
      <c r="N9209" t="s">
        <v>604</v>
      </c>
      <c r="O9209" s="37" t="str">
        <f t="shared" si="718"/>
        <v>Digital Payment</v>
      </c>
      <c r="P9209">
        <v>658.94</v>
      </c>
      <c r="Q9209" s="37" t="str">
        <f>IF(P9209&gt;500,"High","low")</f>
        <v>High</v>
      </c>
      <c r="R9209" s="37" t="str">
        <f t="shared" si="719"/>
        <v>Good</v>
      </c>
      <c r="S9209" t="s">
        <v>600</v>
      </c>
    </row>
    <row r="9210" spans="1:19" x14ac:dyDescent="0.2">
      <c r="A9210" t="s">
        <v>9821</v>
      </c>
      <c r="B9210" t="s">
        <v>75</v>
      </c>
      <c r="C9210" t="s">
        <v>597</v>
      </c>
      <c r="D9210">
        <v>1436.61</v>
      </c>
      <c r="E9210" s="37" t="str">
        <f t="shared" si="715"/>
        <v xml:space="preserve"> </v>
      </c>
      <c r="F9210">
        <v>0.42</v>
      </c>
      <c r="G9210" s="37" t="str">
        <f t="shared" si="716"/>
        <v>Heavy Discount</v>
      </c>
      <c r="H9210" s="37" t="str">
        <f t="shared" si="717"/>
        <v>High</v>
      </c>
      <c r="I9210">
        <v>9</v>
      </c>
      <c r="J9210" t="str" cm="1">
        <f t="array" ref="J9210">_xlfn.IFS(I9210&lt;=3,"small",I9210&lt;=6,"Medium",I9210&lt;=9,"Large")</f>
        <v>Large</v>
      </c>
      <c r="K9210" s="36">
        <v>45101</v>
      </c>
      <c r="L9210" s="36">
        <v>45105</v>
      </c>
      <c r="M9210" t="s">
        <v>598</v>
      </c>
      <c r="N9210" t="s">
        <v>599</v>
      </c>
      <c r="O9210" s="37" t="str">
        <f t="shared" si="718"/>
        <v>Digital Payment</v>
      </c>
      <c r="P9210">
        <v>205.47</v>
      </c>
      <c r="Q9210" s="37" t="str">
        <f>IF(P9210&gt;500,"High","low")</f>
        <v>low</v>
      </c>
      <c r="R9210" s="37" t="str">
        <f t="shared" si="719"/>
        <v>AVERAGE</v>
      </c>
      <c r="S9210" t="s">
        <v>620</v>
      </c>
    </row>
    <row r="9211" spans="1:19" x14ac:dyDescent="0.2">
      <c r="A9211" t="s">
        <v>9822</v>
      </c>
      <c r="B9211" t="s">
        <v>67</v>
      </c>
      <c r="C9211" t="s">
        <v>614</v>
      </c>
      <c r="D9211">
        <v>4139.8</v>
      </c>
      <c r="E9211" s="37" t="str">
        <f t="shared" si="715"/>
        <v>Excellent Order</v>
      </c>
      <c r="F9211">
        <v>0.18</v>
      </c>
      <c r="G9211" s="37" t="str">
        <f t="shared" si="716"/>
        <v>Normal Discount</v>
      </c>
      <c r="H9211" s="37" t="str">
        <f t="shared" si="717"/>
        <v>Low</v>
      </c>
      <c r="I9211">
        <v>8</v>
      </c>
      <c r="J9211" t="str" cm="1">
        <f t="array" ref="J9211">_xlfn.IFS(I9211&lt;=3,"small",I9211&lt;=6,"Medium",I9211&lt;=9,"Large")</f>
        <v>Large</v>
      </c>
      <c r="K9211" s="36">
        <v>45559</v>
      </c>
      <c r="L9211" s="36">
        <v>45566</v>
      </c>
      <c r="M9211" t="s">
        <v>612</v>
      </c>
      <c r="N9211" t="s">
        <v>599</v>
      </c>
      <c r="O9211" s="37" t="str">
        <f t="shared" si="718"/>
        <v>Digital Payment</v>
      </c>
      <c r="P9211">
        <v>998.53</v>
      </c>
      <c r="Q9211" s="37" t="str">
        <f>IF(P9211&gt;500,"High","low")</f>
        <v>High</v>
      </c>
      <c r="R9211" s="37" t="str">
        <f t="shared" si="719"/>
        <v>Good</v>
      </c>
      <c r="S9211" t="s">
        <v>600</v>
      </c>
    </row>
    <row r="9212" spans="1:19" x14ac:dyDescent="0.2">
      <c r="A9212" t="s">
        <v>9823</v>
      </c>
      <c r="B9212" t="s">
        <v>90</v>
      </c>
      <c r="C9212" t="s">
        <v>614</v>
      </c>
      <c r="D9212">
        <v>4473.04</v>
      </c>
      <c r="E9212" s="37" t="str">
        <f t="shared" si="715"/>
        <v xml:space="preserve"> </v>
      </c>
      <c r="F9212">
        <v>0.28999999999999998</v>
      </c>
      <c r="G9212" s="37" t="str">
        <f t="shared" si="716"/>
        <v>Normal Discount</v>
      </c>
      <c r="H9212" s="37" t="str">
        <f t="shared" si="717"/>
        <v>Medium</v>
      </c>
      <c r="I9212">
        <v>5</v>
      </c>
      <c r="J9212" t="str" cm="1">
        <f t="array" ref="J9212">_xlfn.IFS(I9212&lt;=3,"small",I9212&lt;=6,"Medium",I9212&lt;=9,"Large")</f>
        <v>Medium</v>
      </c>
      <c r="K9212" s="36">
        <v>44976</v>
      </c>
      <c r="L9212" s="36">
        <v>44982</v>
      </c>
      <c r="M9212" t="s">
        <v>598</v>
      </c>
      <c r="N9212" t="s">
        <v>604</v>
      </c>
      <c r="O9212" s="37" t="str">
        <f t="shared" si="718"/>
        <v>Digital Payment</v>
      </c>
      <c r="P9212">
        <v>305.75</v>
      </c>
      <c r="Q9212" s="37" t="str">
        <f>IF(P9212&gt;500,"High","low")</f>
        <v>low</v>
      </c>
      <c r="R9212" s="37" t="str">
        <f t="shared" si="719"/>
        <v>AVERAGE</v>
      </c>
      <c r="S9212" t="s">
        <v>628</v>
      </c>
    </row>
    <row r="9213" spans="1:19" x14ac:dyDescent="0.2">
      <c r="A9213" t="s">
        <v>9824</v>
      </c>
      <c r="B9213" t="s">
        <v>90</v>
      </c>
      <c r="C9213" t="s">
        <v>602</v>
      </c>
      <c r="D9213">
        <v>1817.62</v>
      </c>
      <c r="E9213" s="37" t="str">
        <f t="shared" si="715"/>
        <v xml:space="preserve"> </v>
      </c>
      <c r="F9213">
        <v>0.19</v>
      </c>
      <c r="G9213" s="37" t="str">
        <f t="shared" si="716"/>
        <v>Normal Discount</v>
      </c>
      <c r="H9213" s="37" t="str">
        <f t="shared" si="717"/>
        <v>Low</v>
      </c>
      <c r="I9213">
        <v>5</v>
      </c>
      <c r="J9213" t="str" cm="1">
        <f t="array" ref="J9213">_xlfn.IFS(I9213&lt;=3,"small",I9213&lt;=6,"Medium",I9213&lt;=9,"Large")</f>
        <v>Medium</v>
      </c>
      <c r="K9213" s="36">
        <v>45447</v>
      </c>
      <c r="L9213" s="36">
        <v>45451</v>
      </c>
      <c r="M9213" t="s">
        <v>612</v>
      </c>
      <c r="N9213" t="s">
        <v>599</v>
      </c>
      <c r="O9213" s="37" t="str">
        <f t="shared" si="718"/>
        <v>Digital Payment</v>
      </c>
      <c r="P9213">
        <v>349.54</v>
      </c>
      <c r="Q9213" s="37" t="str">
        <f>IF(P9213&gt;500,"High","low")</f>
        <v>low</v>
      </c>
      <c r="R9213" s="37" t="str">
        <f t="shared" si="719"/>
        <v>AVERAGE</v>
      </c>
      <c r="S9213" t="s">
        <v>628</v>
      </c>
    </row>
    <row r="9214" spans="1:19" x14ac:dyDescent="0.2">
      <c r="A9214" t="s">
        <v>9825</v>
      </c>
      <c r="B9214" t="s">
        <v>90</v>
      </c>
      <c r="C9214" t="s">
        <v>597</v>
      </c>
      <c r="D9214">
        <v>3438.65</v>
      </c>
      <c r="E9214" s="37" t="str">
        <f t="shared" si="715"/>
        <v xml:space="preserve"> </v>
      </c>
      <c r="F9214">
        <v>0.3</v>
      </c>
      <c r="G9214" s="37" t="str">
        <f t="shared" si="716"/>
        <v>Normal Discount</v>
      </c>
      <c r="H9214" s="37" t="str">
        <f t="shared" si="717"/>
        <v>Medium</v>
      </c>
      <c r="I9214">
        <v>6</v>
      </c>
      <c r="J9214" t="str" cm="1">
        <f t="array" ref="J9214">_xlfn.IFS(I9214&lt;=3,"small",I9214&lt;=6,"Medium",I9214&lt;=9,"Large")</f>
        <v>Medium</v>
      </c>
      <c r="K9214" s="36">
        <v>45514</v>
      </c>
      <c r="L9214" s="36">
        <v>45515</v>
      </c>
      <c r="M9214" t="s">
        <v>612</v>
      </c>
      <c r="N9214" t="s">
        <v>608</v>
      </c>
      <c r="O9214" s="37" t="str">
        <f t="shared" si="718"/>
        <v>Cash Payment</v>
      </c>
      <c r="P9214">
        <v>641.19000000000005</v>
      </c>
      <c r="Q9214" s="37" t="str">
        <f>IF(P9214&gt;500,"High","low")</f>
        <v>High</v>
      </c>
      <c r="R9214" s="37" t="str">
        <f t="shared" si="719"/>
        <v>Good</v>
      </c>
      <c r="S9214" t="s">
        <v>620</v>
      </c>
    </row>
    <row r="9215" spans="1:19" x14ac:dyDescent="0.2">
      <c r="A9215" t="s">
        <v>9826</v>
      </c>
      <c r="B9215" t="s">
        <v>83</v>
      </c>
      <c r="C9215" t="s">
        <v>602</v>
      </c>
      <c r="D9215">
        <v>673.54</v>
      </c>
      <c r="E9215" s="37" t="str">
        <f t="shared" si="715"/>
        <v xml:space="preserve"> </v>
      </c>
      <c r="F9215">
        <v>0.37</v>
      </c>
      <c r="G9215" s="37" t="str">
        <f t="shared" si="716"/>
        <v>Heavy Discount</v>
      </c>
      <c r="H9215" s="37" t="str">
        <f t="shared" si="717"/>
        <v>Medium</v>
      </c>
      <c r="I9215">
        <v>6</v>
      </c>
      <c r="J9215" t="str" cm="1">
        <f t="array" ref="J9215">_xlfn.IFS(I9215&lt;=3,"small",I9215&lt;=6,"Medium",I9215&lt;=9,"Large")</f>
        <v>Medium</v>
      </c>
      <c r="K9215" s="36">
        <v>45523</v>
      </c>
      <c r="L9215" s="36">
        <v>45524</v>
      </c>
      <c r="M9215" t="s">
        <v>598</v>
      </c>
      <c r="N9215" t="s">
        <v>608</v>
      </c>
      <c r="O9215" s="37" t="str">
        <f t="shared" si="718"/>
        <v>Cash Payment</v>
      </c>
      <c r="P9215">
        <v>179.79</v>
      </c>
      <c r="Q9215" s="37" t="str">
        <f>IF(P9215&gt;500,"High","low")</f>
        <v>low</v>
      </c>
      <c r="R9215" s="37" t="str">
        <f t="shared" si="719"/>
        <v>AVERAGE</v>
      </c>
      <c r="S9215" t="s">
        <v>609</v>
      </c>
    </row>
    <row r="9216" spans="1:19" x14ac:dyDescent="0.2">
      <c r="A9216" t="s">
        <v>9827</v>
      </c>
      <c r="B9216" t="s">
        <v>75</v>
      </c>
      <c r="C9216" t="s">
        <v>617</v>
      </c>
      <c r="D9216">
        <v>3745.74</v>
      </c>
      <c r="E9216" s="37" t="str">
        <f t="shared" si="715"/>
        <v xml:space="preserve"> </v>
      </c>
      <c r="F9216">
        <v>0.16</v>
      </c>
      <c r="G9216" s="37" t="str">
        <f t="shared" si="716"/>
        <v>Normal Discount</v>
      </c>
      <c r="H9216" s="37" t="str">
        <f t="shared" si="717"/>
        <v>Low</v>
      </c>
      <c r="I9216">
        <v>2</v>
      </c>
      <c r="J9216" t="str" cm="1">
        <f t="array" ref="J9216">_xlfn.IFS(I9216&lt;=3,"small",I9216&lt;=6,"Medium",I9216&lt;=9,"Large")</f>
        <v>small</v>
      </c>
      <c r="K9216" s="36">
        <v>45372</v>
      </c>
      <c r="L9216" s="36">
        <v>45374</v>
      </c>
      <c r="M9216" t="s">
        <v>612</v>
      </c>
      <c r="N9216" t="s">
        <v>604</v>
      </c>
      <c r="O9216" s="37" t="str">
        <f t="shared" si="718"/>
        <v>Digital Payment</v>
      </c>
      <c r="P9216">
        <v>485.22</v>
      </c>
      <c r="Q9216" s="37" t="str">
        <f>IF(P9216&gt;500,"High","low")</f>
        <v>low</v>
      </c>
      <c r="R9216" s="37" t="str">
        <f t="shared" si="719"/>
        <v>AVERAGE</v>
      </c>
      <c r="S9216" t="s">
        <v>615</v>
      </c>
    </row>
    <row r="9217" spans="1:19" x14ac:dyDescent="0.2">
      <c r="A9217" t="s">
        <v>9828</v>
      </c>
      <c r="B9217" t="s">
        <v>90</v>
      </c>
      <c r="C9217" t="s">
        <v>617</v>
      </c>
      <c r="D9217">
        <v>908.62</v>
      </c>
      <c r="E9217" s="37" t="str">
        <f t="shared" si="715"/>
        <v xml:space="preserve"> </v>
      </c>
      <c r="F9217">
        <v>0.26</v>
      </c>
      <c r="G9217" s="37" t="str">
        <f t="shared" si="716"/>
        <v>Normal Discount</v>
      </c>
      <c r="H9217" s="37" t="str">
        <f t="shared" si="717"/>
        <v>Medium</v>
      </c>
      <c r="I9217">
        <v>7</v>
      </c>
      <c r="J9217" t="str" cm="1">
        <f t="array" ref="J9217">_xlfn.IFS(I9217&lt;=3,"small",I9217&lt;=6,"Medium",I9217&lt;=9,"Large")</f>
        <v>Large</v>
      </c>
      <c r="K9217" s="36">
        <v>45443</v>
      </c>
      <c r="L9217" s="36">
        <v>45450</v>
      </c>
      <c r="M9217" t="s">
        <v>612</v>
      </c>
      <c r="N9217" t="s">
        <v>608</v>
      </c>
      <c r="O9217" s="37" t="str">
        <f t="shared" si="718"/>
        <v>Cash Payment</v>
      </c>
      <c r="P9217">
        <v>114.51</v>
      </c>
      <c r="Q9217" s="37" t="str">
        <f>IF(P9217&gt;500,"High","low")</f>
        <v>low</v>
      </c>
      <c r="R9217" s="37" t="str">
        <f t="shared" si="719"/>
        <v>AVERAGE</v>
      </c>
      <c r="S9217" t="s">
        <v>620</v>
      </c>
    </row>
    <row r="9218" spans="1:19" x14ac:dyDescent="0.2">
      <c r="A9218" t="s">
        <v>9829</v>
      </c>
      <c r="B9218" t="s">
        <v>83</v>
      </c>
      <c r="C9218" t="s">
        <v>597</v>
      </c>
      <c r="D9218">
        <v>3468.34</v>
      </c>
      <c r="E9218" s="37" t="str">
        <f t="shared" si="715"/>
        <v xml:space="preserve"> </v>
      </c>
      <c r="F9218">
        <v>0.4</v>
      </c>
      <c r="G9218" s="37" t="str">
        <f t="shared" si="716"/>
        <v>Heavy Discount</v>
      </c>
      <c r="H9218" s="37" t="str">
        <f t="shared" si="717"/>
        <v>Medium</v>
      </c>
      <c r="I9218">
        <v>3</v>
      </c>
      <c r="J9218" t="str" cm="1">
        <f t="array" ref="J9218">_xlfn.IFS(I9218&lt;=3,"small",I9218&lt;=6,"Medium",I9218&lt;=9,"Large")</f>
        <v>small</v>
      </c>
      <c r="K9218" s="36">
        <v>44933</v>
      </c>
      <c r="L9218" s="36">
        <v>44937</v>
      </c>
      <c r="M9218" t="s">
        <v>612</v>
      </c>
      <c r="N9218" t="s">
        <v>604</v>
      </c>
      <c r="O9218" s="37" t="str">
        <f t="shared" si="718"/>
        <v>Digital Payment</v>
      </c>
      <c r="P9218">
        <v>255.03</v>
      </c>
      <c r="Q9218" s="37" t="str">
        <f>IF(P9218&gt;500,"High","low")</f>
        <v>low</v>
      </c>
      <c r="R9218" s="37" t="str">
        <f t="shared" si="719"/>
        <v>AVERAGE</v>
      </c>
      <c r="S9218" t="s">
        <v>605</v>
      </c>
    </row>
    <row r="9219" spans="1:19" x14ac:dyDescent="0.2">
      <c r="A9219" t="s">
        <v>9830</v>
      </c>
      <c r="B9219" t="s">
        <v>67</v>
      </c>
      <c r="C9219" t="s">
        <v>602</v>
      </c>
      <c r="D9219">
        <v>2167.31</v>
      </c>
      <c r="E9219" s="37" t="str">
        <f t="shared" ref="E9219:E9282" si="720">IF(AND(D9219&gt;4000,P9219&gt;800),"Excellent Order"," ")</f>
        <v xml:space="preserve"> </v>
      </c>
      <c r="F9219">
        <v>0.34</v>
      </c>
      <c r="G9219" s="37" t="str">
        <f t="shared" ref="G9219:G9282" si="721">IF(F9219&gt;30%,"Heavy Discount","Normal Discount")</f>
        <v>Heavy Discount</v>
      </c>
      <c r="H9219" s="37" t="str">
        <f t="shared" ref="H9219:H9282" si="722">IF(F9219&gt;0.4,"High",IF(F9219&gt;=0.2,"Medium","Low"))</f>
        <v>Medium</v>
      </c>
      <c r="I9219">
        <v>8</v>
      </c>
      <c r="J9219" t="str" cm="1">
        <f t="array" ref="J9219">_xlfn.IFS(I9219&lt;=3,"small",I9219&lt;=6,"Medium",I9219&lt;=9,"Large")</f>
        <v>Large</v>
      </c>
      <c r="K9219" s="36">
        <v>44963</v>
      </c>
      <c r="L9219" s="36">
        <v>44970</v>
      </c>
      <c r="M9219" t="s">
        <v>598</v>
      </c>
      <c r="N9219" t="s">
        <v>608</v>
      </c>
      <c r="O9219" s="37" t="str">
        <f t="shared" ref="O9219:O9282" si="723">IF(OR(N9219="Card",N9219="UPI"),"Digital Payment","Cash Payment")</f>
        <v>Cash Payment</v>
      </c>
      <c r="P9219">
        <v>402.72</v>
      </c>
      <c r="Q9219" s="37" t="str">
        <f>IF(P9219&gt;500,"High","low")</f>
        <v>low</v>
      </c>
      <c r="R9219" s="37" t="str">
        <f t="shared" ref="R9219:R9282" si="724">IF(P9219&gt;1000,"Excellent",IF(P9219&gt;=500,"Good","AVERAGE"))</f>
        <v>AVERAGE</v>
      </c>
      <c r="S9219" t="s">
        <v>620</v>
      </c>
    </row>
    <row r="9220" spans="1:19" x14ac:dyDescent="0.2">
      <c r="A9220" t="s">
        <v>9831</v>
      </c>
      <c r="B9220" t="s">
        <v>90</v>
      </c>
      <c r="C9220" t="s">
        <v>597</v>
      </c>
      <c r="D9220">
        <v>4649.4399999999996</v>
      </c>
      <c r="E9220" s="37" t="str">
        <f t="shared" si="720"/>
        <v xml:space="preserve"> </v>
      </c>
      <c r="F9220">
        <v>0.03</v>
      </c>
      <c r="G9220" s="37" t="str">
        <f t="shared" si="721"/>
        <v>Normal Discount</v>
      </c>
      <c r="H9220" s="37" t="str">
        <f t="shared" si="722"/>
        <v>Low</v>
      </c>
      <c r="I9220">
        <v>9</v>
      </c>
      <c r="J9220" t="str" cm="1">
        <f t="array" ref="J9220">_xlfn.IFS(I9220&lt;=3,"small",I9220&lt;=6,"Medium",I9220&lt;=9,"Large")</f>
        <v>Large</v>
      </c>
      <c r="K9220" s="36">
        <v>45172</v>
      </c>
      <c r="L9220" s="36">
        <v>45178</v>
      </c>
      <c r="M9220" t="s">
        <v>598</v>
      </c>
      <c r="N9220" t="s">
        <v>604</v>
      </c>
      <c r="O9220" s="37" t="str">
        <f t="shared" si="723"/>
        <v>Digital Payment</v>
      </c>
      <c r="P9220">
        <v>260.39</v>
      </c>
      <c r="Q9220" s="37" t="str">
        <f>IF(P9220&gt;500,"High","low")</f>
        <v>low</v>
      </c>
      <c r="R9220" s="37" t="str">
        <f t="shared" si="724"/>
        <v>AVERAGE</v>
      </c>
      <c r="S9220" t="s">
        <v>615</v>
      </c>
    </row>
    <row r="9221" spans="1:19" x14ac:dyDescent="0.2">
      <c r="A9221" t="s">
        <v>9832</v>
      </c>
      <c r="B9221" t="s">
        <v>83</v>
      </c>
      <c r="C9221" t="s">
        <v>602</v>
      </c>
      <c r="D9221">
        <v>2375.86</v>
      </c>
      <c r="E9221" s="37" t="str">
        <f t="shared" si="720"/>
        <v xml:space="preserve"> </v>
      </c>
      <c r="F9221">
        <v>0.28000000000000003</v>
      </c>
      <c r="G9221" s="37" t="str">
        <f t="shared" si="721"/>
        <v>Normal Discount</v>
      </c>
      <c r="H9221" s="37" t="str">
        <f t="shared" si="722"/>
        <v>Medium</v>
      </c>
      <c r="I9221">
        <v>3</v>
      </c>
      <c r="J9221" t="str" cm="1">
        <f t="array" ref="J9221">_xlfn.IFS(I9221&lt;=3,"small",I9221&lt;=6,"Medium",I9221&lt;=9,"Large")</f>
        <v>small</v>
      </c>
      <c r="K9221" s="36">
        <v>45425</v>
      </c>
      <c r="L9221" s="36">
        <v>45430</v>
      </c>
      <c r="M9221" t="s">
        <v>598</v>
      </c>
      <c r="N9221" t="s">
        <v>608</v>
      </c>
      <c r="O9221" s="37" t="str">
        <f t="shared" si="723"/>
        <v>Cash Payment</v>
      </c>
      <c r="P9221">
        <v>675.39</v>
      </c>
      <c r="Q9221" s="37" t="str">
        <f>IF(P9221&gt;500,"High","low")</f>
        <v>High</v>
      </c>
      <c r="R9221" s="37" t="str">
        <f t="shared" si="724"/>
        <v>Good</v>
      </c>
      <c r="S9221" t="s">
        <v>628</v>
      </c>
    </row>
    <row r="9222" spans="1:19" x14ac:dyDescent="0.2">
      <c r="A9222" t="s">
        <v>9833</v>
      </c>
      <c r="B9222" t="s">
        <v>90</v>
      </c>
      <c r="C9222" t="s">
        <v>602</v>
      </c>
      <c r="D9222">
        <v>251.42</v>
      </c>
      <c r="E9222" s="37" t="str">
        <f t="shared" si="720"/>
        <v xml:space="preserve"> </v>
      </c>
      <c r="F9222">
        <v>0.19</v>
      </c>
      <c r="G9222" s="37" t="str">
        <f t="shared" si="721"/>
        <v>Normal Discount</v>
      </c>
      <c r="H9222" s="37" t="str">
        <f t="shared" si="722"/>
        <v>Low</v>
      </c>
      <c r="I9222">
        <v>6</v>
      </c>
      <c r="J9222" t="str" cm="1">
        <f t="array" ref="J9222">_xlfn.IFS(I9222&lt;=3,"small",I9222&lt;=6,"Medium",I9222&lt;=9,"Large")</f>
        <v>Medium</v>
      </c>
      <c r="K9222" s="36">
        <v>45441</v>
      </c>
      <c r="L9222" s="36">
        <v>45442</v>
      </c>
      <c r="M9222" t="s">
        <v>598</v>
      </c>
      <c r="N9222" t="s">
        <v>604</v>
      </c>
      <c r="O9222" s="37" t="str">
        <f t="shared" si="723"/>
        <v>Digital Payment</v>
      </c>
      <c r="P9222">
        <v>27.47</v>
      </c>
      <c r="Q9222" s="37" t="str">
        <f>IF(P9222&gt;500,"High","low")</f>
        <v>low</v>
      </c>
      <c r="R9222" s="37" t="str">
        <f t="shared" si="724"/>
        <v>AVERAGE</v>
      </c>
      <c r="S9222" t="s">
        <v>605</v>
      </c>
    </row>
    <row r="9223" spans="1:19" x14ac:dyDescent="0.2">
      <c r="A9223" t="s">
        <v>9834</v>
      </c>
      <c r="B9223" t="s">
        <v>75</v>
      </c>
      <c r="C9223" t="s">
        <v>617</v>
      </c>
      <c r="D9223">
        <v>2455.2800000000002</v>
      </c>
      <c r="E9223" s="37" t="str">
        <f t="shared" si="720"/>
        <v xml:space="preserve"> </v>
      </c>
      <c r="F9223">
        <v>0.35</v>
      </c>
      <c r="G9223" s="37" t="str">
        <f t="shared" si="721"/>
        <v>Heavy Discount</v>
      </c>
      <c r="H9223" s="37" t="str">
        <f t="shared" si="722"/>
        <v>Medium</v>
      </c>
      <c r="I9223">
        <v>8</v>
      </c>
      <c r="J9223" t="str" cm="1">
        <f t="array" ref="J9223">_xlfn.IFS(I9223&lt;=3,"small",I9223&lt;=6,"Medium",I9223&lt;=9,"Large")</f>
        <v>Large</v>
      </c>
      <c r="K9223" s="36">
        <v>45581</v>
      </c>
      <c r="L9223" s="36">
        <v>45587</v>
      </c>
      <c r="M9223" t="s">
        <v>598</v>
      </c>
      <c r="N9223" t="s">
        <v>608</v>
      </c>
      <c r="O9223" s="37" t="str">
        <f t="shared" si="723"/>
        <v>Cash Payment</v>
      </c>
      <c r="P9223">
        <v>395.71</v>
      </c>
      <c r="Q9223" s="37" t="str">
        <f>IF(P9223&gt;500,"High","low")</f>
        <v>low</v>
      </c>
      <c r="R9223" s="37" t="str">
        <f t="shared" si="724"/>
        <v>AVERAGE</v>
      </c>
      <c r="S9223" t="s">
        <v>605</v>
      </c>
    </row>
    <row r="9224" spans="1:19" x14ac:dyDescent="0.2">
      <c r="A9224" t="s">
        <v>9835</v>
      </c>
      <c r="B9224" t="s">
        <v>75</v>
      </c>
      <c r="C9224" t="s">
        <v>607</v>
      </c>
      <c r="D9224">
        <v>3997.94</v>
      </c>
      <c r="E9224" s="37" t="str">
        <f t="shared" si="720"/>
        <v xml:space="preserve"> </v>
      </c>
      <c r="F9224">
        <v>0.01</v>
      </c>
      <c r="G9224" s="37" t="str">
        <f t="shared" si="721"/>
        <v>Normal Discount</v>
      </c>
      <c r="H9224" s="37" t="str">
        <f t="shared" si="722"/>
        <v>Low</v>
      </c>
      <c r="I9224">
        <v>6</v>
      </c>
      <c r="J9224" t="str" cm="1">
        <f t="array" ref="J9224">_xlfn.IFS(I9224&lt;=3,"small",I9224&lt;=6,"Medium",I9224&lt;=9,"Large")</f>
        <v>Medium</v>
      </c>
      <c r="K9224" s="36">
        <v>45521</v>
      </c>
      <c r="L9224" s="36">
        <v>45525</v>
      </c>
      <c r="M9224" t="s">
        <v>598</v>
      </c>
      <c r="N9224" t="s">
        <v>599</v>
      </c>
      <c r="O9224" s="37" t="str">
        <f t="shared" si="723"/>
        <v>Digital Payment</v>
      </c>
      <c r="P9224">
        <v>354.68</v>
      </c>
      <c r="Q9224" s="37" t="str">
        <f>IF(P9224&gt;500,"High","low")</f>
        <v>low</v>
      </c>
      <c r="R9224" s="37" t="str">
        <f t="shared" si="724"/>
        <v>AVERAGE</v>
      </c>
      <c r="S9224" t="s">
        <v>620</v>
      </c>
    </row>
    <row r="9225" spans="1:19" x14ac:dyDescent="0.2">
      <c r="A9225" t="s">
        <v>9836</v>
      </c>
      <c r="B9225" t="s">
        <v>67</v>
      </c>
      <c r="C9225" t="s">
        <v>614</v>
      </c>
      <c r="D9225">
        <v>3270.71</v>
      </c>
      <c r="E9225" s="37" t="str">
        <f t="shared" si="720"/>
        <v xml:space="preserve"> </v>
      </c>
      <c r="F9225">
        <v>0.17</v>
      </c>
      <c r="G9225" s="37" t="str">
        <f t="shared" si="721"/>
        <v>Normal Discount</v>
      </c>
      <c r="H9225" s="37" t="str">
        <f t="shared" si="722"/>
        <v>Low</v>
      </c>
      <c r="I9225">
        <v>3</v>
      </c>
      <c r="J9225" t="str" cm="1">
        <f t="array" ref="J9225">_xlfn.IFS(I9225&lt;=3,"small",I9225&lt;=6,"Medium",I9225&lt;=9,"Large")</f>
        <v>small</v>
      </c>
      <c r="K9225" s="36">
        <v>45266</v>
      </c>
      <c r="L9225" s="36">
        <v>45269</v>
      </c>
      <c r="M9225" t="s">
        <v>603</v>
      </c>
      <c r="N9225" t="s">
        <v>604</v>
      </c>
      <c r="O9225" s="37" t="str">
        <f t="shared" si="723"/>
        <v>Digital Payment</v>
      </c>
      <c r="P9225">
        <v>438.24</v>
      </c>
      <c r="Q9225" s="37" t="str">
        <f>IF(P9225&gt;500,"High","low")</f>
        <v>low</v>
      </c>
      <c r="R9225" s="37" t="str">
        <f t="shared" si="724"/>
        <v>AVERAGE</v>
      </c>
      <c r="S9225" t="s">
        <v>600</v>
      </c>
    </row>
    <row r="9226" spans="1:19" x14ac:dyDescent="0.2">
      <c r="A9226" t="s">
        <v>9837</v>
      </c>
      <c r="B9226" t="s">
        <v>90</v>
      </c>
      <c r="C9226" t="s">
        <v>614</v>
      </c>
      <c r="D9226">
        <v>4834.9399999999996</v>
      </c>
      <c r="E9226" s="37" t="str">
        <f t="shared" si="720"/>
        <v>Excellent Order</v>
      </c>
      <c r="F9226">
        <v>0.04</v>
      </c>
      <c r="G9226" s="37" t="str">
        <f t="shared" si="721"/>
        <v>Normal Discount</v>
      </c>
      <c r="H9226" s="37" t="str">
        <f t="shared" si="722"/>
        <v>Low</v>
      </c>
      <c r="I9226">
        <v>4</v>
      </c>
      <c r="J9226" t="str" cm="1">
        <f t="array" ref="J9226">_xlfn.IFS(I9226&lt;=3,"small",I9226&lt;=6,"Medium",I9226&lt;=9,"Large")</f>
        <v>Medium</v>
      </c>
      <c r="K9226" s="36">
        <v>45261</v>
      </c>
      <c r="L9226" s="36">
        <v>45267</v>
      </c>
      <c r="M9226" t="s">
        <v>612</v>
      </c>
      <c r="N9226" t="s">
        <v>599</v>
      </c>
      <c r="O9226" s="37" t="str">
        <f t="shared" si="723"/>
        <v>Digital Payment</v>
      </c>
      <c r="P9226">
        <v>1344.93</v>
      </c>
      <c r="Q9226" s="37" t="str">
        <f>IF(P9226&gt;500,"High","low")</f>
        <v>High</v>
      </c>
      <c r="R9226" s="37" t="str">
        <f t="shared" si="724"/>
        <v>Excellent</v>
      </c>
      <c r="S9226" t="s">
        <v>615</v>
      </c>
    </row>
    <row r="9227" spans="1:19" x14ac:dyDescent="0.2">
      <c r="A9227" t="s">
        <v>9838</v>
      </c>
      <c r="B9227" t="s">
        <v>83</v>
      </c>
      <c r="C9227" t="s">
        <v>597</v>
      </c>
      <c r="D9227">
        <v>4232.04</v>
      </c>
      <c r="E9227" s="37" t="str">
        <f t="shared" si="720"/>
        <v>Excellent Order</v>
      </c>
      <c r="F9227">
        <v>0.46</v>
      </c>
      <c r="G9227" s="37" t="str">
        <f t="shared" si="721"/>
        <v>Heavy Discount</v>
      </c>
      <c r="H9227" s="37" t="str">
        <f t="shared" si="722"/>
        <v>High</v>
      </c>
      <c r="I9227">
        <v>9</v>
      </c>
      <c r="J9227" t="str" cm="1">
        <f t="array" ref="J9227">_xlfn.IFS(I9227&lt;=3,"small",I9227&lt;=6,"Medium",I9227&lt;=9,"Large")</f>
        <v>Large</v>
      </c>
      <c r="K9227" s="36">
        <v>45540</v>
      </c>
      <c r="L9227" s="36">
        <v>45547</v>
      </c>
      <c r="M9227" t="s">
        <v>598</v>
      </c>
      <c r="N9227" t="s">
        <v>604</v>
      </c>
      <c r="O9227" s="37" t="str">
        <f t="shared" si="723"/>
        <v>Digital Payment</v>
      </c>
      <c r="P9227">
        <v>1248.48</v>
      </c>
      <c r="Q9227" s="37" t="str">
        <f>IF(P9227&gt;500,"High","low")</f>
        <v>High</v>
      </c>
      <c r="R9227" s="37" t="str">
        <f t="shared" si="724"/>
        <v>Excellent</v>
      </c>
      <c r="S9227" t="s">
        <v>615</v>
      </c>
    </row>
    <row r="9228" spans="1:19" x14ac:dyDescent="0.2">
      <c r="A9228" t="s">
        <v>9839</v>
      </c>
      <c r="B9228" t="s">
        <v>67</v>
      </c>
      <c r="C9228" t="s">
        <v>614</v>
      </c>
      <c r="D9228">
        <v>2680.1</v>
      </c>
      <c r="E9228" s="37" t="str">
        <f t="shared" si="720"/>
        <v xml:space="preserve"> </v>
      </c>
      <c r="F9228">
        <v>0.44</v>
      </c>
      <c r="G9228" s="37" t="str">
        <f t="shared" si="721"/>
        <v>Heavy Discount</v>
      </c>
      <c r="H9228" s="37" t="str">
        <f t="shared" si="722"/>
        <v>High</v>
      </c>
      <c r="I9228">
        <v>1</v>
      </c>
      <c r="J9228" t="str" cm="1">
        <f t="array" ref="J9228">_xlfn.IFS(I9228&lt;=3,"small",I9228&lt;=6,"Medium",I9228&lt;=9,"Large")</f>
        <v>small</v>
      </c>
      <c r="K9228" s="36">
        <v>45129</v>
      </c>
      <c r="L9228" s="36">
        <v>45130</v>
      </c>
      <c r="M9228" t="s">
        <v>612</v>
      </c>
      <c r="N9228" t="s">
        <v>604</v>
      </c>
      <c r="O9228" s="37" t="str">
        <f t="shared" si="723"/>
        <v>Digital Payment</v>
      </c>
      <c r="P9228">
        <v>325</v>
      </c>
      <c r="Q9228" s="37" t="str">
        <f>IF(P9228&gt;500,"High","low")</f>
        <v>low</v>
      </c>
      <c r="R9228" s="37" t="str">
        <f t="shared" si="724"/>
        <v>AVERAGE</v>
      </c>
      <c r="S9228" t="s">
        <v>609</v>
      </c>
    </row>
    <row r="9229" spans="1:19" x14ac:dyDescent="0.2">
      <c r="A9229" t="s">
        <v>9840</v>
      </c>
      <c r="B9229" t="s">
        <v>90</v>
      </c>
      <c r="C9229" t="s">
        <v>617</v>
      </c>
      <c r="D9229">
        <v>1111.95</v>
      </c>
      <c r="E9229" s="37" t="str">
        <f t="shared" si="720"/>
        <v xml:space="preserve"> </v>
      </c>
      <c r="F9229">
        <v>0.48</v>
      </c>
      <c r="G9229" s="37" t="str">
        <f t="shared" si="721"/>
        <v>Heavy Discount</v>
      </c>
      <c r="H9229" s="37" t="str">
        <f t="shared" si="722"/>
        <v>High</v>
      </c>
      <c r="I9229">
        <v>4</v>
      </c>
      <c r="J9229" t="str" cm="1">
        <f t="array" ref="J9229">_xlfn.IFS(I9229&lt;=3,"small",I9229&lt;=6,"Medium",I9229&lt;=9,"Large")</f>
        <v>Medium</v>
      </c>
      <c r="K9229" s="36">
        <v>45324</v>
      </c>
      <c r="L9229" s="36">
        <v>45326</v>
      </c>
      <c r="M9229" t="s">
        <v>603</v>
      </c>
      <c r="N9229" t="s">
        <v>604</v>
      </c>
      <c r="O9229" s="37" t="str">
        <f t="shared" si="723"/>
        <v>Digital Payment</v>
      </c>
      <c r="P9229">
        <v>282.67</v>
      </c>
      <c r="Q9229" s="37" t="str">
        <f>IF(P9229&gt;500,"High","low")</f>
        <v>low</v>
      </c>
      <c r="R9229" s="37" t="str">
        <f t="shared" si="724"/>
        <v>AVERAGE</v>
      </c>
      <c r="S9229" t="s">
        <v>628</v>
      </c>
    </row>
    <row r="9230" spans="1:19" x14ac:dyDescent="0.2">
      <c r="A9230" t="s">
        <v>9841</v>
      </c>
      <c r="B9230" t="s">
        <v>67</v>
      </c>
      <c r="C9230" t="s">
        <v>607</v>
      </c>
      <c r="D9230">
        <v>118.5</v>
      </c>
      <c r="E9230" s="37" t="str">
        <f t="shared" si="720"/>
        <v xml:space="preserve"> </v>
      </c>
      <c r="F9230">
        <v>0.32</v>
      </c>
      <c r="G9230" s="37" t="str">
        <f t="shared" si="721"/>
        <v>Heavy Discount</v>
      </c>
      <c r="H9230" s="37" t="str">
        <f t="shared" si="722"/>
        <v>Medium</v>
      </c>
      <c r="I9230">
        <v>1</v>
      </c>
      <c r="J9230" t="str" cm="1">
        <f t="array" ref="J9230">_xlfn.IFS(I9230&lt;=3,"small",I9230&lt;=6,"Medium",I9230&lt;=9,"Large")</f>
        <v>small</v>
      </c>
      <c r="K9230" s="36">
        <v>44930</v>
      </c>
      <c r="L9230" s="36">
        <v>44934</v>
      </c>
      <c r="M9230" t="s">
        <v>603</v>
      </c>
      <c r="N9230" t="s">
        <v>599</v>
      </c>
      <c r="O9230" s="37" t="str">
        <f t="shared" si="723"/>
        <v>Digital Payment</v>
      </c>
      <c r="P9230">
        <v>10.73</v>
      </c>
      <c r="Q9230" s="37" t="str">
        <f>IF(P9230&gt;500,"High","low")</f>
        <v>low</v>
      </c>
      <c r="R9230" s="37" t="str">
        <f t="shared" si="724"/>
        <v>AVERAGE</v>
      </c>
      <c r="S9230" t="s">
        <v>628</v>
      </c>
    </row>
    <row r="9231" spans="1:19" x14ac:dyDescent="0.2">
      <c r="A9231" t="s">
        <v>9842</v>
      </c>
      <c r="B9231" t="s">
        <v>83</v>
      </c>
      <c r="C9231" t="s">
        <v>602</v>
      </c>
      <c r="D9231">
        <v>4904.46</v>
      </c>
      <c r="E9231" s="37" t="str">
        <f t="shared" si="720"/>
        <v xml:space="preserve"> </v>
      </c>
      <c r="F9231">
        <v>0.4</v>
      </c>
      <c r="G9231" s="37" t="str">
        <f t="shared" si="721"/>
        <v>Heavy Discount</v>
      </c>
      <c r="H9231" s="37" t="str">
        <f t="shared" si="722"/>
        <v>Medium</v>
      </c>
      <c r="I9231">
        <v>8</v>
      </c>
      <c r="J9231" t="str" cm="1">
        <f t="array" ref="J9231">_xlfn.IFS(I9231&lt;=3,"small",I9231&lt;=6,"Medium",I9231&lt;=9,"Large")</f>
        <v>Large</v>
      </c>
      <c r="K9231" s="36">
        <v>45345</v>
      </c>
      <c r="L9231" s="36">
        <v>45346</v>
      </c>
      <c r="M9231" t="s">
        <v>603</v>
      </c>
      <c r="N9231" t="s">
        <v>604</v>
      </c>
      <c r="O9231" s="37" t="str">
        <f t="shared" si="723"/>
        <v>Digital Payment</v>
      </c>
      <c r="P9231">
        <v>414.05</v>
      </c>
      <c r="Q9231" s="37" t="str">
        <f>IF(P9231&gt;500,"High","low")</f>
        <v>low</v>
      </c>
      <c r="R9231" s="37" t="str">
        <f t="shared" si="724"/>
        <v>AVERAGE</v>
      </c>
      <c r="S9231" t="s">
        <v>620</v>
      </c>
    </row>
    <row r="9232" spans="1:19" x14ac:dyDescent="0.2">
      <c r="A9232" t="s">
        <v>9843</v>
      </c>
      <c r="B9232" t="s">
        <v>67</v>
      </c>
      <c r="C9232" t="s">
        <v>602</v>
      </c>
      <c r="D9232">
        <v>4697.7700000000004</v>
      </c>
      <c r="E9232" s="37" t="str">
        <f t="shared" si="720"/>
        <v xml:space="preserve"> </v>
      </c>
      <c r="F9232">
        <v>0.31</v>
      </c>
      <c r="G9232" s="37" t="str">
        <f t="shared" si="721"/>
        <v>Heavy Discount</v>
      </c>
      <c r="H9232" s="37" t="str">
        <f t="shared" si="722"/>
        <v>Medium</v>
      </c>
      <c r="I9232">
        <v>7</v>
      </c>
      <c r="J9232" t="str" cm="1">
        <f t="array" ref="J9232">_xlfn.IFS(I9232&lt;=3,"small",I9232&lt;=6,"Medium",I9232&lt;=9,"Large")</f>
        <v>Large</v>
      </c>
      <c r="K9232" s="36">
        <v>45601</v>
      </c>
      <c r="L9232" s="36">
        <v>45603</v>
      </c>
      <c r="M9232" t="s">
        <v>598</v>
      </c>
      <c r="N9232" t="s">
        <v>604</v>
      </c>
      <c r="O9232" s="37" t="str">
        <f t="shared" si="723"/>
        <v>Digital Payment</v>
      </c>
      <c r="P9232">
        <v>395.98</v>
      </c>
      <c r="Q9232" s="37" t="str">
        <f>IF(P9232&gt;500,"High","low")</f>
        <v>low</v>
      </c>
      <c r="R9232" s="37" t="str">
        <f t="shared" si="724"/>
        <v>AVERAGE</v>
      </c>
      <c r="S9232" t="s">
        <v>605</v>
      </c>
    </row>
    <row r="9233" spans="1:19" x14ac:dyDescent="0.2">
      <c r="A9233" t="s">
        <v>9844</v>
      </c>
      <c r="B9233" t="s">
        <v>67</v>
      </c>
      <c r="C9233" t="s">
        <v>617</v>
      </c>
      <c r="D9233">
        <v>1443.31</v>
      </c>
      <c r="E9233" s="37" t="str">
        <f t="shared" si="720"/>
        <v xml:space="preserve"> </v>
      </c>
      <c r="F9233">
        <v>0.25</v>
      </c>
      <c r="G9233" s="37" t="str">
        <f t="shared" si="721"/>
        <v>Normal Discount</v>
      </c>
      <c r="H9233" s="37" t="str">
        <f t="shared" si="722"/>
        <v>Medium</v>
      </c>
      <c r="I9233">
        <v>7</v>
      </c>
      <c r="J9233" t="str" cm="1">
        <f t="array" ref="J9233">_xlfn.IFS(I9233&lt;=3,"small",I9233&lt;=6,"Medium",I9233&lt;=9,"Large")</f>
        <v>Large</v>
      </c>
      <c r="K9233" s="36">
        <v>45250</v>
      </c>
      <c r="L9233" s="36">
        <v>45252</v>
      </c>
      <c r="M9233" t="s">
        <v>598</v>
      </c>
      <c r="N9233" t="s">
        <v>604</v>
      </c>
      <c r="O9233" s="37" t="str">
        <f t="shared" si="723"/>
        <v>Digital Payment</v>
      </c>
      <c r="P9233">
        <v>412.23</v>
      </c>
      <c r="Q9233" s="37" t="str">
        <f>IF(P9233&gt;500,"High","low")</f>
        <v>low</v>
      </c>
      <c r="R9233" s="37" t="str">
        <f t="shared" si="724"/>
        <v>AVERAGE</v>
      </c>
      <c r="S9233" t="s">
        <v>615</v>
      </c>
    </row>
    <row r="9234" spans="1:19" x14ac:dyDescent="0.2">
      <c r="A9234" t="s">
        <v>9845</v>
      </c>
      <c r="B9234" t="s">
        <v>67</v>
      </c>
      <c r="C9234" t="s">
        <v>614</v>
      </c>
      <c r="D9234">
        <v>3227.26</v>
      </c>
      <c r="E9234" s="37" t="str">
        <f t="shared" si="720"/>
        <v xml:space="preserve"> </v>
      </c>
      <c r="F9234">
        <v>0.42</v>
      </c>
      <c r="G9234" s="37" t="str">
        <f t="shared" si="721"/>
        <v>Heavy Discount</v>
      </c>
      <c r="H9234" s="37" t="str">
        <f t="shared" si="722"/>
        <v>High</v>
      </c>
      <c r="I9234">
        <v>2</v>
      </c>
      <c r="J9234" t="str" cm="1">
        <f t="array" ref="J9234">_xlfn.IFS(I9234&lt;=3,"small",I9234&lt;=6,"Medium",I9234&lt;=9,"Large")</f>
        <v>small</v>
      </c>
      <c r="K9234" s="36">
        <v>45474</v>
      </c>
      <c r="L9234" s="36">
        <v>45477</v>
      </c>
      <c r="M9234" t="s">
        <v>603</v>
      </c>
      <c r="N9234" t="s">
        <v>608</v>
      </c>
      <c r="O9234" s="37" t="str">
        <f t="shared" si="723"/>
        <v>Cash Payment</v>
      </c>
      <c r="P9234">
        <v>726.2</v>
      </c>
      <c r="Q9234" s="37" t="str">
        <f>IF(P9234&gt;500,"High","low")</f>
        <v>High</v>
      </c>
      <c r="R9234" s="37" t="str">
        <f t="shared" si="724"/>
        <v>Good</v>
      </c>
      <c r="S9234" t="s">
        <v>600</v>
      </c>
    </row>
    <row r="9235" spans="1:19" x14ac:dyDescent="0.2">
      <c r="A9235" t="s">
        <v>9846</v>
      </c>
      <c r="B9235" t="s">
        <v>90</v>
      </c>
      <c r="C9235" t="s">
        <v>602</v>
      </c>
      <c r="D9235">
        <v>3673.27</v>
      </c>
      <c r="E9235" s="37" t="str">
        <f t="shared" si="720"/>
        <v xml:space="preserve"> </v>
      </c>
      <c r="F9235">
        <v>0.39</v>
      </c>
      <c r="G9235" s="37" t="str">
        <f t="shared" si="721"/>
        <v>Heavy Discount</v>
      </c>
      <c r="H9235" s="37" t="str">
        <f t="shared" si="722"/>
        <v>Medium</v>
      </c>
      <c r="I9235">
        <v>6</v>
      </c>
      <c r="J9235" t="str" cm="1">
        <f t="array" ref="J9235">_xlfn.IFS(I9235&lt;=3,"small",I9235&lt;=6,"Medium",I9235&lt;=9,"Large")</f>
        <v>Medium</v>
      </c>
      <c r="K9235" s="36">
        <v>45004</v>
      </c>
      <c r="L9235" s="36">
        <v>45006</v>
      </c>
      <c r="M9235" t="s">
        <v>612</v>
      </c>
      <c r="N9235" t="s">
        <v>599</v>
      </c>
      <c r="O9235" s="37" t="str">
        <f t="shared" si="723"/>
        <v>Digital Payment</v>
      </c>
      <c r="P9235">
        <v>715.02</v>
      </c>
      <c r="Q9235" s="37" t="str">
        <f>IF(P9235&gt;500,"High","low")</f>
        <v>High</v>
      </c>
      <c r="R9235" s="37" t="str">
        <f t="shared" si="724"/>
        <v>Good</v>
      </c>
      <c r="S9235" t="s">
        <v>628</v>
      </c>
    </row>
    <row r="9236" spans="1:19" x14ac:dyDescent="0.2">
      <c r="A9236" t="s">
        <v>9847</v>
      </c>
      <c r="B9236" t="s">
        <v>83</v>
      </c>
      <c r="C9236" t="s">
        <v>614</v>
      </c>
      <c r="D9236">
        <v>2932.27</v>
      </c>
      <c r="E9236" s="37" t="str">
        <f t="shared" si="720"/>
        <v xml:space="preserve"> </v>
      </c>
      <c r="F9236">
        <v>0.37</v>
      </c>
      <c r="G9236" s="37" t="str">
        <f t="shared" si="721"/>
        <v>Heavy Discount</v>
      </c>
      <c r="H9236" s="37" t="str">
        <f t="shared" si="722"/>
        <v>Medium</v>
      </c>
      <c r="I9236">
        <v>8</v>
      </c>
      <c r="J9236" t="str" cm="1">
        <f t="array" ref="J9236">_xlfn.IFS(I9236&lt;=3,"small",I9236&lt;=6,"Medium",I9236&lt;=9,"Large")</f>
        <v>Large</v>
      </c>
      <c r="K9236" s="36">
        <v>45610</v>
      </c>
      <c r="L9236" s="36">
        <v>45611</v>
      </c>
      <c r="M9236" t="s">
        <v>598</v>
      </c>
      <c r="N9236" t="s">
        <v>604</v>
      </c>
      <c r="O9236" s="37" t="str">
        <f t="shared" si="723"/>
        <v>Digital Payment</v>
      </c>
      <c r="P9236">
        <v>285.95999999999998</v>
      </c>
      <c r="Q9236" s="37" t="str">
        <f>IF(P9236&gt;500,"High","low")</f>
        <v>low</v>
      </c>
      <c r="R9236" s="37" t="str">
        <f t="shared" si="724"/>
        <v>AVERAGE</v>
      </c>
      <c r="S9236" t="s">
        <v>600</v>
      </c>
    </row>
    <row r="9237" spans="1:19" x14ac:dyDescent="0.2">
      <c r="A9237" t="s">
        <v>9848</v>
      </c>
      <c r="B9237" t="s">
        <v>75</v>
      </c>
      <c r="C9237" t="s">
        <v>617</v>
      </c>
      <c r="D9237">
        <v>4230.51</v>
      </c>
      <c r="E9237" s="37" t="str">
        <f t="shared" si="720"/>
        <v xml:space="preserve"> </v>
      </c>
      <c r="F9237">
        <v>0.45</v>
      </c>
      <c r="G9237" s="37" t="str">
        <f t="shared" si="721"/>
        <v>Heavy Discount</v>
      </c>
      <c r="H9237" s="37" t="str">
        <f t="shared" si="722"/>
        <v>High</v>
      </c>
      <c r="I9237">
        <v>8</v>
      </c>
      <c r="J9237" t="str" cm="1">
        <f t="array" ref="J9237">_xlfn.IFS(I9237&lt;=3,"small",I9237&lt;=6,"Medium",I9237&lt;=9,"Large")</f>
        <v>Large</v>
      </c>
      <c r="K9237" s="36">
        <v>45502</v>
      </c>
      <c r="L9237" s="36">
        <v>45503</v>
      </c>
      <c r="M9237" t="s">
        <v>603</v>
      </c>
      <c r="N9237" t="s">
        <v>599</v>
      </c>
      <c r="O9237" s="37" t="str">
        <f t="shared" si="723"/>
        <v>Digital Payment</v>
      </c>
      <c r="P9237">
        <v>771.94</v>
      </c>
      <c r="Q9237" s="37" t="str">
        <f>IF(P9237&gt;500,"High","low")</f>
        <v>High</v>
      </c>
      <c r="R9237" s="37" t="str">
        <f t="shared" si="724"/>
        <v>Good</v>
      </c>
      <c r="S9237" t="s">
        <v>609</v>
      </c>
    </row>
    <row r="9238" spans="1:19" x14ac:dyDescent="0.2">
      <c r="A9238" t="s">
        <v>9849</v>
      </c>
      <c r="B9238" t="s">
        <v>90</v>
      </c>
      <c r="C9238" t="s">
        <v>602</v>
      </c>
      <c r="D9238">
        <v>481.34</v>
      </c>
      <c r="E9238" s="37" t="str">
        <f t="shared" si="720"/>
        <v xml:space="preserve"> </v>
      </c>
      <c r="F9238">
        <v>0.46</v>
      </c>
      <c r="G9238" s="37" t="str">
        <f t="shared" si="721"/>
        <v>Heavy Discount</v>
      </c>
      <c r="H9238" s="37" t="str">
        <f t="shared" si="722"/>
        <v>High</v>
      </c>
      <c r="I9238">
        <v>5</v>
      </c>
      <c r="J9238" t="str" cm="1">
        <f t="array" ref="J9238">_xlfn.IFS(I9238&lt;=3,"small",I9238&lt;=6,"Medium",I9238&lt;=9,"Large")</f>
        <v>Medium</v>
      </c>
      <c r="K9238" s="36">
        <v>45633</v>
      </c>
      <c r="L9238" s="36">
        <v>45639</v>
      </c>
      <c r="M9238" t="s">
        <v>612</v>
      </c>
      <c r="N9238" t="s">
        <v>599</v>
      </c>
      <c r="O9238" s="37" t="str">
        <f t="shared" si="723"/>
        <v>Digital Payment</v>
      </c>
      <c r="P9238">
        <v>143.69</v>
      </c>
      <c r="Q9238" s="37" t="str">
        <f>IF(P9238&gt;500,"High","low")</f>
        <v>low</v>
      </c>
      <c r="R9238" s="37" t="str">
        <f t="shared" si="724"/>
        <v>AVERAGE</v>
      </c>
      <c r="S9238" t="s">
        <v>609</v>
      </c>
    </row>
    <row r="9239" spans="1:19" x14ac:dyDescent="0.2">
      <c r="A9239" t="s">
        <v>9850</v>
      </c>
      <c r="B9239" t="s">
        <v>75</v>
      </c>
      <c r="C9239" t="s">
        <v>597</v>
      </c>
      <c r="D9239">
        <v>4492.82</v>
      </c>
      <c r="E9239" s="37" t="str">
        <f t="shared" si="720"/>
        <v>Excellent Order</v>
      </c>
      <c r="F9239">
        <v>0.22</v>
      </c>
      <c r="G9239" s="37" t="str">
        <f t="shared" si="721"/>
        <v>Normal Discount</v>
      </c>
      <c r="H9239" s="37" t="str">
        <f t="shared" si="722"/>
        <v>Medium</v>
      </c>
      <c r="I9239">
        <v>8</v>
      </c>
      <c r="J9239" t="str" cm="1">
        <f t="array" ref="J9239">_xlfn.IFS(I9239&lt;=3,"small",I9239&lt;=6,"Medium",I9239&lt;=9,"Large")</f>
        <v>Large</v>
      </c>
      <c r="K9239" s="36">
        <v>45431</v>
      </c>
      <c r="L9239" s="36">
        <v>45436</v>
      </c>
      <c r="M9239" t="s">
        <v>598</v>
      </c>
      <c r="N9239" t="s">
        <v>608</v>
      </c>
      <c r="O9239" s="37" t="str">
        <f t="shared" si="723"/>
        <v>Cash Payment</v>
      </c>
      <c r="P9239">
        <v>1152.23</v>
      </c>
      <c r="Q9239" s="37" t="str">
        <f>IF(P9239&gt;500,"High","low")</f>
        <v>High</v>
      </c>
      <c r="R9239" s="37" t="str">
        <f t="shared" si="724"/>
        <v>Excellent</v>
      </c>
      <c r="S9239" t="s">
        <v>600</v>
      </c>
    </row>
    <row r="9240" spans="1:19" x14ac:dyDescent="0.2">
      <c r="A9240" t="s">
        <v>9851</v>
      </c>
      <c r="B9240" t="s">
        <v>75</v>
      </c>
      <c r="C9240" t="s">
        <v>607</v>
      </c>
      <c r="D9240">
        <v>2020.89</v>
      </c>
      <c r="E9240" s="37" t="str">
        <f t="shared" si="720"/>
        <v xml:space="preserve"> </v>
      </c>
      <c r="F9240">
        <v>0.14000000000000001</v>
      </c>
      <c r="G9240" s="37" t="str">
        <f t="shared" si="721"/>
        <v>Normal Discount</v>
      </c>
      <c r="H9240" s="37" t="str">
        <f t="shared" si="722"/>
        <v>Low</v>
      </c>
      <c r="I9240">
        <v>2</v>
      </c>
      <c r="J9240" t="str" cm="1">
        <f t="array" ref="J9240">_xlfn.IFS(I9240&lt;=3,"small",I9240&lt;=6,"Medium",I9240&lt;=9,"Large")</f>
        <v>small</v>
      </c>
      <c r="K9240" s="36">
        <v>44946</v>
      </c>
      <c r="L9240" s="36">
        <v>44950</v>
      </c>
      <c r="M9240" t="s">
        <v>603</v>
      </c>
      <c r="N9240" t="s">
        <v>599</v>
      </c>
      <c r="O9240" s="37" t="str">
        <f t="shared" si="723"/>
        <v>Digital Payment</v>
      </c>
      <c r="P9240">
        <v>599.51</v>
      </c>
      <c r="Q9240" s="37" t="str">
        <f>IF(P9240&gt;500,"High","low")</f>
        <v>High</v>
      </c>
      <c r="R9240" s="37" t="str">
        <f t="shared" si="724"/>
        <v>Good</v>
      </c>
      <c r="S9240" t="s">
        <v>600</v>
      </c>
    </row>
    <row r="9241" spans="1:19" x14ac:dyDescent="0.2">
      <c r="A9241" t="s">
        <v>9852</v>
      </c>
      <c r="B9241" t="s">
        <v>90</v>
      </c>
      <c r="C9241" t="s">
        <v>614</v>
      </c>
      <c r="D9241">
        <v>2455.38</v>
      </c>
      <c r="E9241" s="37" t="str">
        <f t="shared" si="720"/>
        <v xml:space="preserve"> </v>
      </c>
      <c r="F9241">
        <v>0.26</v>
      </c>
      <c r="G9241" s="37" t="str">
        <f t="shared" si="721"/>
        <v>Normal Discount</v>
      </c>
      <c r="H9241" s="37" t="str">
        <f t="shared" si="722"/>
        <v>Medium</v>
      </c>
      <c r="I9241">
        <v>4</v>
      </c>
      <c r="J9241" t="str" cm="1">
        <f t="array" ref="J9241">_xlfn.IFS(I9241&lt;=3,"small",I9241&lt;=6,"Medium",I9241&lt;=9,"Large")</f>
        <v>Medium</v>
      </c>
      <c r="K9241" s="36">
        <v>45180</v>
      </c>
      <c r="L9241" s="36">
        <v>45184</v>
      </c>
      <c r="M9241" t="s">
        <v>603</v>
      </c>
      <c r="N9241" t="s">
        <v>608</v>
      </c>
      <c r="O9241" s="37" t="str">
        <f t="shared" si="723"/>
        <v>Cash Payment</v>
      </c>
      <c r="P9241">
        <v>130.22999999999999</v>
      </c>
      <c r="Q9241" s="37" t="str">
        <f>IF(P9241&gt;500,"High","low")</f>
        <v>low</v>
      </c>
      <c r="R9241" s="37" t="str">
        <f t="shared" si="724"/>
        <v>AVERAGE</v>
      </c>
      <c r="S9241" t="s">
        <v>620</v>
      </c>
    </row>
    <row r="9242" spans="1:19" x14ac:dyDescent="0.2">
      <c r="A9242" t="s">
        <v>9853</v>
      </c>
      <c r="B9242" t="s">
        <v>90</v>
      </c>
      <c r="C9242" t="s">
        <v>614</v>
      </c>
      <c r="D9242">
        <v>2279.19</v>
      </c>
      <c r="E9242" s="37" t="str">
        <f t="shared" si="720"/>
        <v xml:space="preserve"> </v>
      </c>
      <c r="F9242">
        <v>0.05</v>
      </c>
      <c r="G9242" s="37" t="str">
        <f t="shared" si="721"/>
        <v>Normal Discount</v>
      </c>
      <c r="H9242" s="37" t="str">
        <f t="shared" si="722"/>
        <v>Low</v>
      </c>
      <c r="I9242">
        <v>2</v>
      </c>
      <c r="J9242" t="str" cm="1">
        <f t="array" ref="J9242">_xlfn.IFS(I9242&lt;=3,"small",I9242&lt;=6,"Medium",I9242&lt;=9,"Large")</f>
        <v>small</v>
      </c>
      <c r="K9242" s="36">
        <v>45111</v>
      </c>
      <c r="L9242" s="36">
        <v>45114</v>
      </c>
      <c r="M9242" t="s">
        <v>612</v>
      </c>
      <c r="N9242" t="s">
        <v>599</v>
      </c>
      <c r="O9242" s="37" t="str">
        <f t="shared" si="723"/>
        <v>Digital Payment</v>
      </c>
      <c r="P9242">
        <v>430.66</v>
      </c>
      <c r="Q9242" s="37" t="str">
        <f>IF(P9242&gt;500,"High","low")</f>
        <v>low</v>
      </c>
      <c r="R9242" s="37" t="str">
        <f t="shared" si="724"/>
        <v>AVERAGE</v>
      </c>
      <c r="S9242" t="s">
        <v>615</v>
      </c>
    </row>
    <row r="9243" spans="1:19" x14ac:dyDescent="0.2">
      <c r="A9243" t="s">
        <v>9854</v>
      </c>
      <c r="B9243" t="s">
        <v>83</v>
      </c>
      <c r="C9243" t="s">
        <v>614</v>
      </c>
      <c r="D9243">
        <v>2703.3</v>
      </c>
      <c r="E9243" s="37" t="str">
        <f t="shared" si="720"/>
        <v xml:space="preserve"> </v>
      </c>
      <c r="F9243">
        <v>0.47</v>
      </c>
      <c r="G9243" s="37" t="str">
        <f t="shared" si="721"/>
        <v>Heavy Discount</v>
      </c>
      <c r="H9243" s="37" t="str">
        <f t="shared" si="722"/>
        <v>High</v>
      </c>
      <c r="I9243">
        <v>5</v>
      </c>
      <c r="J9243" t="str" cm="1">
        <f t="array" ref="J9243">_xlfn.IFS(I9243&lt;=3,"small",I9243&lt;=6,"Medium",I9243&lt;=9,"Large")</f>
        <v>Medium</v>
      </c>
      <c r="K9243" s="36">
        <v>44981</v>
      </c>
      <c r="L9243" s="36">
        <v>44985</v>
      </c>
      <c r="M9243" t="s">
        <v>603</v>
      </c>
      <c r="N9243" t="s">
        <v>608</v>
      </c>
      <c r="O9243" s="37" t="str">
        <f t="shared" si="723"/>
        <v>Cash Payment</v>
      </c>
      <c r="P9243">
        <v>332.08</v>
      </c>
      <c r="Q9243" s="37" t="str">
        <f>IF(P9243&gt;500,"High","low")</f>
        <v>low</v>
      </c>
      <c r="R9243" s="37" t="str">
        <f t="shared" si="724"/>
        <v>AVERAGE</v>
      </c>
      <c r="S9243" t="s">
        <v>615</v>
      </c>
    </row>
    <row r="9244" spans="1:19" x14ac:dyDescent="0.2">
      <c r="A9244" t="s">
        <v>9855</v>
      </c>
      <c r="B9244" t="s">
        <v>83</v>
      </c>
      <c r="C9244" t="s">
        <v>614</v>
      </c>
      <c r="D9244">
        <v>3031.03</v>
      </c>
      <c r="E9244" s="37" t="str">
        <f t="shared" si="720"/>
        <v xml:space="preserve"> </v>
      </c>
      <c r="F9244">
        <v>0.49</v>
      </c>
      <c r="G9244" s="37" t="str">
        <f t="shared" si="721"/>
        <v>Heavy Discount</v>
      </c>
      <c r="H9244" s="37" t="str">
        <f t="shared" si="722"/>
        <v>High</v>
      </c>
      <c r="I9244">
        <v>3</v>
      </c>
      <c r="J9244" t="str" cm="1">
        <f t="array" ref="J9244">_xlfn.IFS(I9244&lt;=3,"small",I9244&lt;=6,"Medium",I9244&lt;=9,"Large")</f>
        <v>small</v>
      </c>
      <c r="K9244" s="36">
        <v>45567</v>
      </c>
      <c r="L9244" s="36">
        <v>45569</v>
      </c>
      <c r="M9244" t="s">
        <v>603</v>
      </c>
      <c r="N9244" t="s">
        <v>608</v>
      </c>
      <c r="O9244" s="37" t="str">
        <f t="shared" si="723"/>
        <v>Cash Payment</v>
      </c>
      <c r="P9244">
        <v>402.59</v>
      </c>
      <c r="Q9244" s="37" t="str">
        <f>IF(P9244&gt;500,"High","low")</f>
        <v>low</v>
      </c>
      <c r="R9244" s="37" t="str">
        <f t="shared" si="724"/>
        <v>AVERAGE</v>
      </c>
      <c r="S9244" t="s">
        <v>609</v>
      </c>
    </row>
    <row r="9245" spans="1:19" x14ac:dyDescent="0.2">
      <c r="A9245" t="s">
        <v>9856</v>
      </c>
      <c r="B9245" t="s">
        <v>67</v>
      </c>
      <c r="C9245" t="s">
        <v>617</v>
      </c>
      <c r="D9245">
        <v>3580.68</v>
      </c>
      <c r="E9245" s="37" t="str">
        <f t="shared" si="720"/>
        <v xml:space="preserve"> </v>
      </c>
      <c r="F9245">
        <v>0.33</v>
      </c>
      <c r="G9245" s="37" t="str">
        <f t="shared" si="721"/>
        <v>Heavy Discount</v>
      </c>
      <c r="H9245" s="37" t="str">
        <f t="shared" si="722"/>
        <v>Medium</v>
      </c>
      <c r="I9245">
        <v>6</v>
      </c>
      <c r="J9245" t="str" cm="1">
        <f t="array" ref="J9245">_xlfn.IFS(I9245&lt;=3,"small",I9245&lt;=6,"Medium",I9245&lt;=9,"Large")</f>
        <v>Medium</v>
      </c>
      <c r="K9245" s="36">
        <v>45495</v>
      </c>
      <c r="L9245" s="36">
        <v>45502</v>
      </c>
      <c r="M9245" t="s">
        <v>612</v>
      </c>
      <c r="N9245" t="s">
        <v>599</v>
      </c>
      <c r="O9245" s="37" t="str">
        <f t="shared" si="723"/>
        <v>Digital Payment</v>
      </c>
      <c r="P9245">
        <v>230.05</v>
      </c>
      <c r="Q9245" s="37" t="str">
        <f>IF(P9245&gt;500,"High","low")</f>
        <v>low</v>
      </c>
      <c r="R9245" s="37" t="str">
        <f t="shared" si="724"/>
        <v>AVERAGE</v>
      </c>
      <c r="S9245" t="s">
        <v>628</v>
      </c>
    </row>
    <row r="9246" spans="1:19" x14ac:dyDescent="0.2">
      <c r="A9246" t="s">
        <v>9857</v>
      </c>
      <c r="B9246" t="s">
        <v>75</v>
      </c>
      <c r="C9246" t="s">
        <v>617</v>
      </c>
      <c r="D9246">
        <v>2672.21</v>
      </c>
      <c r="E9246" s="37" t="str">
        <f t="shared" si="720"/>
        <v xml:space="preserve"> </v>
      </c>
      <c r="F9246">
        <v>0.37</v>
      </c>
      <c r="G9246" s="37" t="str">
        <f t="shared" si="721"/>
        <v>Heavy Discount</v>
      </c>
      <c r="H9246" s="37" t="str">
        <f t="shared" si="722"/>
        <v>Medium</v>
      </c>
      <c r="I9246">
        <v>7</v>
      </c>
      <c r="J9246" t="str" cm="1">
        <f t="array" ref="J9246">_xlfn.IFS(I9246&lt;=3,"small",I9246&lt;=6,"Medium",I9246&lt;=9,"Large")</f>
        <v>Large</v>
      </c>
      <c r="K9246" s="36">
        <v>45266</v>
      </c>
      <c r="L9246" s="36">
        <v>45267</v>
      </c>
      <c r="M9246" t="s">
        <v>603</v>
      </c>
      <c r="N9246" t="s">
        <v>599</v>
      </c>
      <c r="O9246" s="37" t="str">
        <f t="shared" si="723"/>
        <v>Digital Payment</v>
      </c>
      <c r="P9246">
        <v>583.28</v>
      </c>
      <c r="Q9246" s="37" t="str">
        <f>IF(P9246&gt;500,"High","low")</f>
        <v>High</v>
      </c>
      <c r="R9246" s="37" t="str">
        <f t="shared" si="724"/>
        <v>Good</v>
      </c>
      <c r="S9246" t="s">
        <v>628</v>
      </c>
    </row>
    <row r="9247" spans="1:19" x14ac:dyDescent="0.2">
      <c r="A9247" t="s">
        <v>9858</v>
      </c>
      <c r="B9247" t="s">
        <v>83</v>
      </c>
      <c r="C9247" t="s">
        <v>617</v>
      </c>
      <c r="D9247">
        <v>3455.39</v>
      </c>
      <c r="E9247" s="37" t="str">
        <f t="shared" si="720"/>
        <v xml:space="preserve"> </v>
      </c>
      <c r="F9247">
        <v>0.16</v>
      </c>
      <c r="G9247" s="37" t="str">
        <f t="shared" si="721"/>
        <v>Normal Discount</v>
      </c>
      <c r="H9247" s="37" t="str">
        <f t="shared" si="722"/>
        <v>Low</v>
      </c>
      <c r="I9247">
        <v>6</v>
      </c>
      <c r="J9247" t="str" cm="1">
        <f t="array" ref="J9247">_xlfn.IFS(I9247&lt;=3,"small",I9247&lt;=6,"Medium",I9247&lt;=9,"Large")</f>
        <v>Medium</v>
      </c>
      <c r="K9247" s="36">
        <v>44940</v>
      </c>
      <c r="L9247" s="36">
        <v>44942</v>
      </c>
      <c r="M9247" t="s">
        <v>598</v>
      </c>
      <c r="N9247" t="s">
        <v>604</v>
      </c>
      <c r="O9247" s="37" t="str">
        <f t="shared" si="723"/>
        <v>Digital Payment</v>
      </c>
      <c r="P9247">
        <v>910.45</v>
      </c>
      <c r="Q9247" s="37" t="str">
        <f>IF(P9247&gt;500,"High","low")</f>
        <v>High</v>
      </c>
      <c r="R9247" s="37" t="str">
        <f t="shared" si="724"/>
        <v>Good</v>
      </c>
      <c r="S9247" t="s">
        <v>620</v>
      </c>
    </row>
    <row r="9248" spans="1:19" x14ac:dyDescent="0.2">
      <c r="A9248" t="s">
        <v>9859</v>
      </c>
      <c r="B9248" t="s">
        <v>67</v>
      </c>
      <c r="C9248" t="s">
        <v>617</v>
      </c>
      <c r="D9248">
        <v>1757.66</v>
      </c>
      <c r="E9248" s="37" t="str">
        <f t="shared" si="720"/>
        <v xml:space="preserve"> </v>
      </c>
      <c r="F9248">
        <v>0.43</v>
      </c>
      <c r="G9248" s="37" t="str">
        <f t="shared" si="721"/>
        <v>Heavy Discount</v>
      </c>
      <c r="H9248" s="37" t="str">
        <f t="shared" si="722"/>
        <v>High</v>
      </c>
      <c r="I9248">
        <v>2</v>
      </c>
      <c r="J9248" t="str" cm="1">
        <f t="array" ref="J9248">_xlfn.IFS(I9248&lt;=3,"small",I9248&lt;=6,"Medium",I9248&lt;=9,"Large")</f>
        <v>small</v>
      </c>
      <c r="K9248" s="36">
        <v>44977</v>
      </c>
      <c r="L9248" s="36">
        <v>44984</v>
      </c>
      <c r="M9248" t="s">
        <v>603</v>
      </c>
      <c r="N9248" t="s">
        <v>608</v>
      </c>
      <c r="O9248" s="37" t="str">
        <f t="shared" si="723"/>
        <v>Cash Payment</v>
      </c>
      <c r="P9248">
        <v>195.52</v>
      </c>
      <c r="Q9248" s="37" t="str">
        <f>IF(P9248&gt;500,"High","low")</f>
        <v>low</v>
      </c>
      <c r="R9248" s="37" t="str">
        <f t="shared" si="724"/>
        <v>AVERAGE</v>
      </c>
      <c r="S9248" t="s">
        <v>605</v>
      </c>
    </row>
    <row r="9249" spans="1:19" x14ac:dyDescent="0.2">
      <c r="A9249" t="s">
        <v>9860</v>
      </c>
      <c r="B9249" t="s">
        <v>83</v>
      </c>
      <c r="C9249" t="s">
        <v>602</v>
      </c>
      <c r="D9249">
        <v>4689.74</v>
      </c>
      <c r="E9249" s="37" t="str">
        <f t="shared" si="720"/>
        <v>Excellent Order</v>
      </c>
      <c r="F9249">
        <v>0.45</v>
      </c>
      <c r="G9249" s="37" t="str">
        <f t="shared" si="721"/>
        <v>Heavy Discount</v>
      </c>
      <c r="H9249" s="37" t="str">
        <f t="shared" si="722"/>
        <v>High</v>
      </c>
      <c r="I9249">
        <v>2</v>
      </c>
      <c r="J9249" t="str" cm="1">
        <f t="array" ref="J9249">_xlfn.IFS(I9249&lt;=3,"small",I9249&lt;=6,"Medium",I9249&lt;=9,"Large")</f>
        <v>small</v>
      </c>
      <c r="K9249" s="36">
        <v>45274</v>
      </c>
      <c r="L9249" s="36">
        <v>45278</v>
      </c>
      <c r="M9249" t="s">
        <v>612</v>
      </c>
      <c r="N9249" t="s">
        <v>599</v>
      </c>
      <c r="O9249" s="37" t="str">
        <f t="shared" si="723"/>
        <v>Digital Payment</v>
      </c>
      <c r="P9249">
        <v>847.28</v>
      </c>
      <c r="Q9249" s="37" t="str">
        <f>IF(P9249&gt;500,"High","low")</f>
        <v>High</v>
      </c>
      <c r="R9249" s="37" t="str">
        <f t="shared" si="724"/>
        <v>Good</v>
      </c>
      <c r="S9249" t="s">
        <v>628</v>
      </c>
    </row>
    <row r="9250" spans="1:19" x14ac:dyDescent="0.2">
      <c r="A9250" t="s">
        <v>9861</v>
      </c>
      <c r="B9250" t="s">
        <v>90</v>
      </c>
      <c r="C9250" t="s">
        <v>617</v>
      </c>
      <c r="D9250">
        <v>416.2</v>
      </c>
      <c r="E9250" s="37" t="str">
        <f t="shared" si="720"/>
        <v xml:space="preserve"> </v>
      </c>
      <c r="F9250">
        <v>0.04</v>
      </c>
      <c r="G9250" s="37" t="str">
        <f t="shared" si="721"/>
        <v>Normal Discount</v>
      </c>
      <c r="H9250" s="37" t="str">
        <f t="shared" si="722"/>
        <v>Low</v>
      </c>
      <c r="I9250">
        <v>4</v>
      </c>
      <c r="J9250" t="str" cm="1">
        <f t="array" ref="J9250">_xlfn.IFS(I9250&lt;=3,"small",I9250&lt;=6,"Medium",I9250&lt;=9,"Large")</f>
        <v>Medium</v>
      </c>
      <c r="K9250" s="36">
        <v>44984</v>
      </c>
      <c r="L9250" s="36">
        <v>44990</v>
      </c>
      <c r="M9250" t="s">
        <v>598</v>
      </c>
      <c r="N9250" t="s">
        <v>604</v>
      </c>
      <c r="O9250" s="37" t="str">
        <f t="shared" si="723"/>
        <v>Digital Payment</v>
      </c>
      <c r="P9250">
        <v>26.23</v>
      </c>
      <c r="Q9250" s="37" t="str">
        <f>IF(P9250&gt;500,"High","low")</f>
        <v>low</v>
      </c>
      <c r="R9250" s="37" t="str">
        <f t="shared" si="724"/>
        <v>AVERAGE</v>
      </c>
      <c r="S9250" t="s">
        <v>605</v>
      </c>
    </row>
    <row r="9251" spans="1:19" x14ac:dyDescent="0.2">
      <c r="A9251" t="s">
        <v>9862</v>
      </c>
      <c r="B9251" t="s">
        <v>83</v>
      </c>
      <c r="C9251" t="s">
        <v>602</v>
      </c>
      <c r="D9251">
        <v>2773.15</v>
      </c>
      <c r="E9251" s="37" t="str">
        <f t="shared" si="720"/>
        <v xml:space="preserve"> </v>
      </c>
      <c r="F9251">
        <v>7.0000000000000007E-2</v>
      </c>
      <c r="G9251" s="37" t="str">
        <f t="shared" si="721"/>
        <v>Normal Discount</v>
      </c>
      <c r="H9251" s="37" t="str">
        <f t="shared" si="722"/>
        <v>Low</v>
      </c>
      <c r="I9251">
        <v>7</v>
      </c>
      <c r="J9251" t="str" cm="1">
        <f t="array" ref="J9251">_xlfn.IFS(I9251&lt;=3,"small",I9251&lt;=6,"Medium",I9251&lt;=9,"Large")</f>
        <v>Large</v>
      </c>
      <c r="K9251" s="36">
        <v>45303</v>
      </c>
      <c r="L9251" s="36">
        <v>45309</v>
      </c>
      <c r="M9251" t="s">
        <v>598</v>
      </c>
      <c r="N9251" t="s">
        <v>599</v>
      </c>
      <c r="O9251" s="37" t="str">
        <f t="shared" si="723"/>
        <v>Digital Payment</v>
      </c>
      <c r="P9251">
        <v>333.2</v>
      </c>
      <c r="Q9251" s="37" t="str">
        <f>IF(P9251&gt;500,"High","low")</f>
        <v>low</v>
      </c>
      <c r="R9251" s="37" t="str">
        <f t="shared" si="724"/>
        <v>AVERAGE</v>
      </c>
      <c r="S9251" t="s">
        <v>609</v>
      </c>
    </row>
    <row r="9252" spans="1:19" x14ac:dyDescent="0.2">
      <c r="A9252" t="s">
        <v>9863</v>
      </c>
      <c r="B9252" t="s">
        <v>75</v>
      </c>
      <c r="C9252" t="s">
        <v>597</v>
      </c>
      <c r="D9252">
        <v>528.24</v>
      </c>
      <c r="E9252" s="37" t="str">
        <f t="shared" si="720"/>
        <v xml:space="preserve"> </v>
      </c>
      <c r="F9252">
        <v>0.13</v>
      </c>
      <c r="G9252" s="37" t="str">
        <f t="shared" si="721"/>
        <v>Normal Discount</v>
      </c>
      <c r="H9252" s="37" t="str">
        <f t="shared" si="722"/>
        <v>Low</v>
      </c>
      <c r="I9252">
        <v>8</v>
      </c>
      <c r="J9252" t="str" cm="1">
        <f t="array" ref="J9252">_xlfn.IFS(I9252&lt;=3,"small",I9252&lt;=6,"Medium",I9252&lt;=9,"Large")</f>
        <v>Large</v>
      </c>
      <c r="K9252" s="36">
        <v>45045</v>
      </c>
      <c r="L9252" s="36">
        <v>45050</v>
      </c>
      <c r="M9252" t="s">
        <v>612</v>
      </c>
      <c r="N9252" t="s">
        <v>608</v>
      </c>
      <c r="O9252" s="37" t="str">
        <f t="shared" si="723"/>
        <v>Cash Payment</v>
      </c>
      <c r="P9252">
        <v>55.78</v>
      </c>
      <c r="Q9252" s="37" t="str">
        <f>IF(P9252&gt;500,"High","low")</f>
        <v>low</v>
      </c>
      <c r="R9252" s="37" t="str">
        <f t="shared" si="724"/>
        <v>AVERAGE</v>
      </c>
      <c r="S9252" t="s">
        <v>609</v>
      </c>
    </row>
    <row r="9253" spans="1:19" x14ac:dyDescent="0.2">
      <c r="A9253" t="s">
        <v>9864</v>
      </c>
      <c r="B9253" t="s">
        <v>83</v>
      </c>
      <c r="C9253" t="s">
        <v>617</v>
      </c>
      <c r="D9253">
        <v>2269.56</v>
      </c>
      <c r="E9253" s="37" t="str">
        <f t="shared" si="720"/>
        <v xml:space="preserve"> </v>
      </c>
      <c r="F9253">
        <v>0.35</v>
      </c>
      <c r="G9253" s="37" t="str">
        <f t="shared" si="721"/>
        <v>Heavy Discount</v>
      </c>
      <c r="H9253" s="37" t="str">
        <f t="shared" si="722"/>
        <v>Medium</v>
      </c>
      <c r="I9253">
        <v>5</v>
      </c>
      <c r="J9253" t="str" cm="1">
        <f t="array" ref="J9253">_xlfn.IFS(I9253&lt;=3,"small",I9253&lt;=6,"Medium",I9253&lt;=9,"Large")</f>
        <v>Medium</v>
      </c>
      <c r="K9253" s="36">
        <v>45390</v>
      </c>
      <c r="L9253" s="36">
        <v>45394</v>
      </c>
      <c r="M9253" t="s">
        <v>598</v>
      </c>
      <c r="N9253" t="s">
        <v>604</v>
      </c>
      <c r="O9253" s="37" t="str">
        <f t="shared" si="723"/>
        <v>Digital Payment</v>
      </c>
      <c r="P9253">
        <v>667.1</v>
      </c>
      <c r="Q9253" s="37" t="str">
        <f>IF(P9253&gt;500,"High","low")</f>
        <v>High</v>
      </c>
      <c r="R9253" s="37" t="str">
        <f t="shared" si="724"/>
        <v>Good</v>
      </c>
      <c r="S9253" t="s">
        <v>605</v>
      </c>
    </row>
    <row r="9254" spans="1:19" x14ac:dyDescent="0.2">
      <c r="A9254" t="s">
        <v>9865</v>
      </c>
      <c r="B9254" t="s">
        <v>75</v>
      </c>
      <c r="C9254" t="s">
        <v>597</v>
      </c>
      <c r="D9254">
        <v>1362.15</v>
      </c>
      <c r="E9254" s="37" t="str">
        <f t="shared" si="720"/>
        <v xml:space="preserve"> </v>
      </c>
      <c r="F9254">
        <v>0.09</v>
      </c>
      <c r="G9254" s="37" t="str">
        <f t="shared" si="721"/>
        <v>Normal Discount</v>
      </c>
      <c r="H9254" s="37" t="str">
        <f t="shared" si="722"/>
        <v>Low</v>
      </c>
      <c r="I9254">
        <v>1</v>
      </c>
      <c r="J9254" t="str" cm="1">
        <f t="array" ref="J9254">_xlfn.IFS(I9254&lt;=3,"small",I9254&lt;=6,"Medium",I9254&lt;=9,"Large")</f>
        <v>small</v>
      </c>
      <c r="K9254" s="36">
        <v>45486</v>
      </c>
      <c r="L9254" s="36">
        <v>45489</v>
      </c>
      <c r="M9254" t="s">
        <v>598</v>
      </c>
      <c r="N9254" t="s">
        <v>599</v>
      </c>
      <c r="O9254" s="37" t="str">
        <f t="shared" si="723"/>
        <v>Digital Payment</v>
      </c>
      <c r="P9254">
        <v>238.65</v>
      </c>
      <c r="Q9254" s="37" t="str">
        <f>IF(P9254&gt;500,"High","low")</f>
        <v>low</v>
      </c>
      <c r="R9254" s="37" t="str">
        <f t="shared" si="724"/>
        <v>AVERAGE</v>
      </c>
      <c r="S9254" t="s">
        <v>615</v>
      </c>
    </row>
    <row r="9255" spans="1:19" x14ac:dyDescent="0.2">
      <c r="A9255" t="s">
        <v>9866</v>
      </c>
      <c r="B9255" t="s">
        <v>90</v>
      </c>
      <c r="C9255" t="s">
        <v>617</v>
      </c>
      <c r="D9255">
        <v>4690.83</v>
      </c>
      <c r="E9255" s="37" t="str">
        <f t="shared" si="720"/>
        <v xml:space="preserve"> </v>
      </c>
      <c r="F9255">
        <v>0.11</v>
      </c>
      <c r="G9255" s="37" t="str">
        <f t="shared" si="721"/>
        <v>Normal Discount</v>
      </c>
      <c r="H9255" s="37" t="str">
        <f t="shared" si="722"/>
        <v>Low</v>
      </c>
      <c r="I9255">
        <v>9</v>
      </c>
      <c r="J9255" t="str" cm="1">
        <f t="array" ref="J9255">_xlfn.IFS(I9255&lt;=3,"small",I9255&lt;=6,"Medium",I9255&lt;=9,"Large")</f>
        <v>Large</v>
      </c>
      <c r="K9255" s="36">
        <v>45337</v>
      </c>
      <c r="L9255" s="36">
        <v>45338</v>
      </c>
      <c r="M9255" t="s">
        <v>612</v>
      </c>
      <c r="N9255" t="s">
        <v>604</v>
      </c>
      <c r="O9255" s="37" t="str">
        <f t="shared" si="723"/>
        <v>Digital Payment</v>
      </c>
      <c r="P9255">
        <v>488.32</v>
      </c>
      <c r="Q9255" s="37" t="str">
        <f>IF(P9255&gt;500,"High","low")</f>
        <v>low</v>
      </c>
      <c r="R9255" s="37" t="str">
        <f t="shared" si="724"/>
        <v>AVERAGE</v>
      </c>
      <c r="S9255" t="s">
        <v>620</v>
      </c>
    </row>
    <row r="9256" spans="1:19" x14ac:dyDescent="0.2">
      <c r="A9256" t="s">
        <v>9867</v>
      </c>
      <c r="B9256" t="s">
        <v>75</v>
      </c>
      <c r="C9256" t="s">
        <v>597</v>
      </c>
      <c r="D9256">
        <v>164.07</v>
      </c>
      <c r="E9256" s="37" t="str">
        <f t="shared" si="720"/>
        <v xml:space="preserve"> </v>
      </c>
      <c r="F9256">
        <v>0.19</v>
      </c>
      <c r="G9256" s="37" t="str">
        <f t="shared" si="721"/>
        <v>Normal Discount</v>
      </c>
      <c r="H9256" s="37" t="str">
        <f t="shared" si="722"/>
        <v>Low</v>
      </c>
      <c r="I9256">
        <v>8</v>
      </c>
      <c r="J9256" t="str" cm="1">
        <f t="array" ref="J9256">_xlfn.IFS(I9256&lt;=3,"small",I9256&lt;=6,"Medium",I9256&lt;=9,"Large")</f>
        <v>Large</v>
      </c>
      <c r="K9256" s="36">
        <v>45542</v>
      </c>
      <c r="L9256" s="36">
        <v>45544</v>
      </c>
      <c r="M9256" t="s">
        <v>612</v>
      </c>
      <c r="N9256" t="s">
        <v>599</v>
      </c>
      <c r="O9256" s="37" t="str">
        <f t="shared" si="723"/>
        <v>Digital Payment</v>
      </c>
      <c r="P9256">
        <v>13.63</v>
      </c>
      <c r="Q9256" s="37" t="str">
        <f>IF(P9256&gt;500,"High","low")</f>
        <v>low</v>
      </c>
      <c r="R9256" s="37" t="str">
        <f t="shared" si="724"/>
        <v>AVERAGE</v>
      </c>
      <c r="S9256" t="s">
        <v>605</v>
      </c>
    </row>
    <row r="9257" spans="1:19" x14ac:dyDescent="0.2">
      <c r="A9257" t="s">
        <v>9868</v>
      </c>
      <c r="B9257" t="s">
        <v>83</v>
      </c>
      <c r="C9257" t="s">
        <v>607</v>
      </c>
      <c r="D9257">
        <v>2016.9</v>
      </c>
      <c r="E9257" s="37" t="str">
        <f t="shared" si="720"/>
        <v xml:space="preserve"> </v>
      </c>
      <c r="F9257">
        <v>0.31</v>
      </c>
      <c r="G9257" s="37" t="str">
        <f t="shared" si="721"/>
        <v>Heavy Discount</v>
      </c>
      <c r="H9257" s="37" t="str">
        <f t="shared" si="722"/>
        <v>Medium</v>
      </c>
      <c r="I9257">
        <v>1</v>
      </c>
      <c r="J9257" t="str" cm="1">
        <f t="array" ref="J9257">_xlfn.IFS(I9257&lt;=3,"small",I9257&lt;=6,"Medium",I9257&lt;=9,"Large")</f>
        <v>small</v>
      </c>
      <c r="K9257" s="36">
        <v>45638</v>
      </c>
      <c r="L9257" s="36">
        <v>45642</v>
      </c>
      <c r="M9257" t="s">
        <v>598</v>
      </c>
      <c r="N9257" t="s">
        <v>599</v>
      </c>
      <c r="O9257" s="37" t="str">
        <f t="shared" si="723"/>
        <v>Digital Payment</v>
      </c>
      <c r="P9257">
        <v>492.21</v>
      </c>
      <c r="Q9257" s="37" t="str">
        <f>IF(P9257&gt;500,"High","low")</f>
        <v>low</v>
      </c>
      <c r="R9257" s="37" t="str">
        <f t="shared" si="724"/>
        <v>AVERAGE</v>
      </c>
      <c r="S9257" t="s">
        <v>609</v>
      </c>
    </row>
    <row r="9258" spans="1:19" x14ac:dyDescent="0.2">
      <c r="A9258" t="s">
        <v>9869</v>
      </c>
      <c r="B9258" t="s">
        <v>67</v>
      </c>
      <c r="C9258" t="s">
        <v>597</v>
      </c>
      <c r="D9258">
        <v>3932.01</v>
      </c>
      <c r="E9258" s="37" t="str">
        <f t="shared" si="720"/>
        <v xml:space="preserve"> </v>
      </c>
      <c r="F9258">
        <v>0.49</v>
      </c>
      <c r="G9258" s="37" t="str">
        <f t="shared" si="721"/>
        <v>Heavy Discount</v>
      </c>
      <c r="H9258" s="37" t="str">
        <f t="shared" si="722"/>
        <v>High</v>
      </c>
      <c r="I9258">
        <v>9</v>
      </c>
      <c r="J9258" t="str" cm="1">
        <f t="array" ref="J9258">_xlfn.IFS(I9258&lt;=3,"small",I9258&lt;=6,"Medium",I9258&lt;=9,"Large")</f>
        <v>Large</v>
      </c>
      <c r="K9258" s="36">
        <v>45366</v>
      </c>
      <c r="L9258" s="36">
        <v>45367</v>
      </c>
      <c r="M9258" t="s">
        <v>612</v>
      </c>
      <c r="N9258" t="s">
        <v>608</v>
      </c>
      <c r="O9258" s="37" t="str">
        <f t="shared" si="723"/>
        <v>Cash Payment</v>
      </c>
      <c r="P9258">
        <v>241.1</v>
      </c>
      <c r="Q9258" s="37" t="str">
        <f>IF(P9258&gt;500,"High","low")</f>
        <v>low</v>
      </c>
      <c r="R9258" s="37" t="str">
        <f t="shared" si="724"/>
        <v>AVERAGE</v>
      </c>
      <c r="S9258" t="s">
        <v>615</v>
      </c>
    </row>
    <row r="9259" spans="1:19" x14ac:dyDescent="0.2">
      <c r="A9259" t="s">
        <v>9870</v>
      </c>
      <c r="B9259" t="s">
        <v>90</v>
      </c>
      <c r="C9259" t="s">
        <v>602</v>
      </c>
      <c r="D9259">
        <v>1023.46</v>
      </c>
      <c r="E9259" s="37" t="str">
        <f t="shared" si="720"/>
        <v xml:space="preserve"> </v>
      </c>
      <c r="F9259">
        <v>0.39</v>
      </c>
      <c r="G9259" s="37" t="str">
        <f t="shared" si="721"/>
        <v>Heavy Discount</v>
      </c>
      <c r="H9259" s="37" t="str">
        <f t="shared" si="722"/>
        <v>Medium</v>
      </c>
      <c r="I9259">
        <v>5</v>
      </c>
      <c r="J9259" t="str" cm="1">
        <f t="array" ref="J9259">_xlfn.IFS(I9259&lt;=3,"small",I9259&lt;=6,"Medium",I9259&lt;=9,"Large")</f>
        <v>Medium</v>
      </c>
      <c r="K9259" s="36">
        <v>45600</v>
      </c>
      <c r="L9259" s="36">
        <v>45606</v>
      </c>
      <c r="M9259" t="s">
        <v>603</v>
      </c>
      <c r="N9259" t="s">
        <v>604</v>
      </c>
      <c r="O9259" s="37" t="str">
        <f t="shared" si="723"/>
        <v>Digital Payment</v>
      </c>
      <c r="P9259">
        <v>86.35</v>
      </c>
      <c r="Q9259" s="37" t="str">
        <f>IF(P9259&gt;500,"High","low")</f>
        <v>low</v>
      </c>
      <c r="R9259" s="37" t="str">
        <f t="shared" si="724"/>
        <v>AVERAGE</v>
      </c>
      <c r="S9259" t="s">
        <v>620</v>
      </c>
    </row>
    <row r="9260" spans="1:19" x14ac:dyDescent="0.2">
      <c r="A9260" t="s">
        <v>9871</v>
      </c>
      <c r="B9260" t="s">
        <v>83</v>
      </c>
      <c r="C9260" t="s">
        <v>614</v>
      </c>
      <c r="D9260">
        <v>4096.38</v>
      </c>
      <c r="E9260" s="37" t="str">
        <f t="shared" si="720"/>
        <v xml:space="preserve"> </v>
      </c>
      <c r="F9260">
        <v>0.28000000000000003</v>
      </c>
      <c r="G9260" s="37" t="str">
        <f t="shared" si="721"/>
        <v>Normal Discount</v>
      </c>
      <c r="H9260" s="37" t="str">
        <f t="shared" si="722"/>
        <v>Medium</v>
      </c>
      <c r="I9260">
        <v>8</v>
      </c>
      <c r="J9260" t="str" cm="1">
        <f t="array" ref="J9260">_xlfn.IFS(I9260&lt;=3,"small",I9260&lt;=6,"Medium",I9260&lt;=9,"Large")</f>
        <v>Large</v>
      </c>
      <c r="K9260" s="36">
        <v>45440</v>
      </c>
      <c r="L9260" s="36">
        <v>45442</v>
      </c>
      <c r="M9260" t="s">
        <v>598</v>
      </c>
      <c r="N9260" t="s">
        <v>599</v>
      </c>
      <c r="O9260" s="37" t="str">
        <f t="shared" si="723"/>
        <v>Digital Payment</v>
      </c>
      <c r="P9260">
        <v>257.26</v>
      </c>
      <c r="Q9260" s="37" t="str">
        <f>IF(P9260&gt;500,"High","low")</f>
        <v>low</v>
      </c>
      <c r="R9260" s="37" t="str">
        <f t="shared" si="724"/>
        <v>AVERAGE</v>
      </c>
      <c r="S9260" t="s">
        <v>605</v>
      </c>
    </row>
    <row r="9261" spans="1:19" x14ac:dyDescent="0.2">
      <c r="A9261" t="s">
        <v>9872</v>
      </c>
      <c r="B9261" t="s">
        <v>90</v>
      </c>
      <c r="C9261" t="s">
        <v>597</v>
      </c>
      <c r="D9261">
        <v>4312.6499999999996</v>
      </c>
      <c r="E9261" s="37" t="str">
        <f t="shared" si="720"/>
        <v xml:space="preserve"> </v>
      </c>
      <c r="F9261">
        <v>0.02</v>
      </c>
      <c r="G9261" s="37" t="str">
        <f t="shared" si="721"/>
        <v>Normal Discount</v>
      </c>
      <c r="H9261" s="37" t="str">
        <f t="shared" si="722"/>
        <v>Low</v>
      </c>
      <c r="I9261">
        <v>2</v>
      </c>
      <c r="J9261" t="str" cm="1">
        <f t="array" ref="J9261">_xlfn.IFS(I9261&lt;=3,"small",I9261&lt;=6,"Medium",I9261&lt;=9,"Large")</f>
        <v>small</v>
      </c>
      <c r="K9261" s="36">
        <v>44950</v>
      </c>
      <c r="L9261" s="36">
        <v>44954</v>
      </c>
      <c r="M9261" t="s">
        <v>603</v>
      </c>
      <c r="N9261" t="s">
        <v>599</v>
      </c>
      <c r="O9261" s="37" t="str">
        <f t="shared" si="723"/>
        <v>Digital Payment</v>
      </c>
      <c r="P9261">
        <v>611.16</v>
      </c>
      <c r="Q9261" s="37" t="str">
        <f>IF(P9261&gt;500,"High","low")</f>
        <v>High</v>
      </c>
      <c r="R9261" s="37" t="str">
        <f t="shared" si="724"/>
        <v>Good</v>
      </c>
      <c r="S9261" t="s">
        <v>620</v>
      </c>
    </row>
    <row r="9262" spans="1:19" x14ac:dyDescent="0.2">
      <c r="A9262" t="s">
        <v>9873</v>
      </c>
      <c r="B9262" t="s">
        <v>90</v>
      </c>
      <c r="C9262" t="s">
        <v>614</v>
      </c>
      <c r="D9262">
        <v>3569.21</v>
      </c>
      <c r="E9262" s="37" t="str">
        <f t="shared" si="720"/>
        <v xml:space="preserve"> </v>
      </c>
      <c r="F9262">
        <v>0.26</v>
      </c>
      <c r="G9262" s="37" t="str">
        <f t="shared" si="721"/>
        <v>Normal Discount</v>
      </c>
      <c r="H9262" s="37" t="str">
        <f t="shared" si="722"/>
        <v>Medium</v>
      </c>
      <c r="I9262">
        <v>7</v>
      </c>
      <c r="J9262" t="str" cm="1">
        <f t="array" ref="J9262">_xlfn.IFS(I9262&lt;=3,"small",I9262&lt;=6,"Medium",I9262&lt;=9,"Large")</f>
        <v>Large</v>
      </c>
      <c r="K9262" s="36">
        <v>45000</v>
      </c>
      <c r="L9262" s="36">
        <v>45004</v>
      </c>
      <c r="M9262" t="s">
        <v>598</v>
      </c>
      <c r="N9262" t="s">
        <v>604</v>
      </c>
      <c r="O9262" s="37" t="str">
        <f t="shared" si="723"/>
        <v>Digital Payment</v>
      </c>
      <c r="P9262">
        <v>1020.42</v>
      </c>
      <c r="Q9262" s="37" t="str">
        <f>IF(P9262&gt;500,"High","low")</f>
        <v>High</v>
      </c>
      <c r="R9262" s="37" t="str">
        <f t="shared" si="724"/>
        <v>Excellent</v>
      </c>
      <c r="S9262" t="s">
        <v>600</v>
      </c>
    </row>
    <row r="9263" spans="1:19" x14ac:dyDescent="0.2">
      <c r="A9263" t="s">
        <v>9874</v>
      </c>
      <c r="B9263" t="s">
        <v>83</v>
      </c>
      <c r="C9263" t="s">
        <v>607</v>
      </c>
      <c r="D9263">
        <v>1124.44</v>
      </c>
      <c r="E9263" s="37" t="str">
        <f t="shared" si="720"/>
        <v xml:space="preserve"> </v>
      </c>
      <c r="F9263">
        <v>0.1</v>
      </c>
      <c r="G9263" s="37" t="str">
        <f t="shared" si="721"/>
        <v>Normal Discount</v>
      </c>
      <c r="H9263" s="37" t="str">
        <f t="shared" si="722"/>
        <v>Low</v>
      </c>
      <c r="I9263">
        <v>9</v>
      </c>
      <c r="J9263" t="str" cm="1">
        <f t="array" ref="J9263">_xlfn.IFS(I9263&lt;=3,"small",I9263&lt;=6,"Medium",I9263&lt;=9,"Large")</f>
        <v>Large</v>
      </c>
      <c r="K9263" s="36">
        <v>45231</v>
      </c>
      <c r="L9263" s="36">
        <v>45237</v>
      </c>
      <c r="M9263" t="s">
        <v>603</v>
      </c>
      <c r="N9263" t="s">
        <v>604</v>
      </c>
      <c r="O9263" s="37" t="str">
        <f t="shared" si="723"/>
        <v>Digital Payment</v>
      </c>
      <c r="P9263">
        <v>122.39</v>
      </c>
      <c r="Q9263" s="37" t="str">
        <f>IF(P9263&gt;500,"High","low")</f>
        <v>low</v>
      </c>
      <c r="R9263" s="37" t="str">
        <f t="shared" si="724"/>
        <v>AVERAGE</v>
      </c>
      <c r="S9263" t="s">
        <v>628</v>
      </c>
    </row>
    <row r="9264" spans="1:19" x14ac:dyDescent="0.2">
      <c r="A9264" t="s">
        <v>9875</v>
      </c>
      <c r="B9264" t="s">
        <v>83</v>
      </c>
      <c r="C9264" t="s">
        <v>607</v>
      </c>
      <c r="D9264">
        <v>1432.99</v>
      </c>
      <c r="E9264" s="37" t="str">
        <f t="shared" si="720"/>
        <v xml:space="preserve"> </v>
      </c>
      <c r="F9264">
        <v>0.15</v>
      </c>
      <c r="G9264" s="37" t="str">
        <f t="shared" si="721"/>
        <v>Normal Discount</v>
      </c>
      <c r="H9264" s="37" t="str">
        <f t="shared" si="722"/>
        <v>Low</v>
      </c>
      <c r="I9264">
        <v>7</v>
      </c>
      <c r="J9264" t="str" cm="1">
        <f t="array" ref="J9264">_xlfn.IFS(I9264&lt;=3,"small",I9264&lt;=6,"Medium",I9264&lt;=9,"Large")</f>
        <v>Large</v>
      </c>
      <c r="K9264" s="36">
        <v>45177</v>
      </c>
      <c r="L9264" s="36">
        <v>45181</v>
      </c>
      <c r="M9264" t="s">
        <v>598</v>
      </c>
      <c r="N9264" t="s">
        <v>604</v>
      </c>
      <c r="O9264" s="37" t="str">
        <f t="shared" si="723"/>
        <v>Digital Payment</v>
      </c>
      <c r="P9264">
        <v>206</v>
      </c>
      <c r="Q9264" s="37" t="str">
        <f>IF(P9264&gt;500,"High","low")</f>
        <v>low</v>
      </c>
      <c r="R9264" s="37" t="str">
        <f t="shared" si="724"/>
        <v>AVERAGE</v>
      </c>
      <c r="S9264" t="s">
        <v>628</v>
      </c>
    </row>
    <row r="9265" spans="1:19" x14ac:dyDescent="0.2">
      <c r="A9265" t="s">
        <v>9876</v>
      </c>
      <c r="B9265" t="s">
        <v>67</v>
      </c>
      <c r="C9265" t="s">
        <v>602</v>
      </c>
      <c r="D9265">
        <v>917.98</v>
      </c>
      <c r="E9265" s="37" t="str">
        <f t="shared" si="720"/>
        <v xml:space="preserve"> </v>
      </c>
      <c r="F9265">
        <v>0.13</v>
      </c>
      <c r="G9265" s="37" t="str">
        <f t="shared" si="721"/>
        <v>Normal Discount</v>
      </c>
      <c r="H9265" s="37" t="str">
        <f t="shared" si="722"/>
        <v>Low</v>
      </c>
      <c r="I9265">
        <v>9</v>
      </c>
      <c r="J9265" t="str" cm="1">
        <f t="array" ref="J9265">_xlfn.IFS(I9265&lt;=3,"small",I9265&lt;=6,"Medium",I9265&lt;=9,"Large")</f>
        <v>Large</v>
      </c>
      <c r="K9265" s="36">
        <v>44934</v>
      </c>
      <c r="L9265" s="36">
        <v>44937</v>
      </c>
      <c r="M9265" t="s">
        <v>598</v>
      </c>
      <c r="N9265" t="s">
        <v>604</v>
      </c>
      <c r="O9265" s="37" t="str">
        <f t="shared" si="723"/>
        <v>Digital Payment</v>
      </c>
      <c r="P9265">
        <v>214.34</v>
      </c>
      <c r="Q9265" s="37" t="str">
        <f>IF(P9265&gt;500,"High","low")</f>
        <v>low</v>
      </c>
      <c r="R9265" s="37" t="str">
        <f t="shared" si="724"/>
        <v>AVERAGE</v>
      </c>
      <c r="S9265" t="s">
        <v>615</v>
      </c>
    </row>
    <row r="9266" spans="1:19" x14ac:dyDescent="0.2">
      <c r="A9266" t="s">
        <v>9877</v>
      </c>
      <c r="B9266" t="s">
        <v>90</v>
      </c>
      <c r="C9266" t="s">
        <v>602</v>
      </c>
      <c r="D9266">
        <v>1001.91</v>
      </c>
      <c r="E9266" s="37" t="str">
        <f t="shared" si="720"/>
        <v xml:space="preserve"> </v>
      </c>
      <c r="F9266">
        <v>0.17</v>
      </c>
      <c r="G9266" s="37" t="str">
        <f t="shared" si="721"/>
        <v>Normal Discount</v>
      </c>
      <c r="H9266" s="37" t="str">
        <f t="shared" si="722"/>
        <v>Low</v>
      </c>
      <c r="I9266">
        <v>4</v>
      </c>
      <c r="J9266" t="str" cm="1">
        <f t="array" ref="J9266">_xlfn.IFS(I9266&lt;=3,"small",I9266&lt;=6,"Medium",I9266&lt;=9,"Large")</f>
        <v>Medium</v>
      </c>
      <c r="K9266" s="36">
        <v>45251</v>
      </c>
      <c r="L9266" s="36">
        <v>45254</v>
      </c>
      <c r="M9266" t="s">
        <v>603</v>
      </c>
      <c r="N9266" t="s">
        <v>608</v>
      </c>
      <c r="O9266" s="37" t="str">
        <f t="shared" si="723"/>
        <v>Cash Payment</v>
      </c>
      <c r="P9266">
        <v>101.16</v>
      </c>
      <c r="Q9266" s="37" t="str">
        <f>IF(P9266&gt;500,"High","low")</f>
        <v>low</v>
      </c>
      <c r="R9266" s="37" t="str">
        <f t="shared" si="724"/>
        <v>AVERAGE</v>
      </c>
      <c r="S9266" t="s">
        <v>605</v>
      </c>
    </row>
    <row r="9267" spans="1:19" x14ac:dyDescent="0.2">
      <c r="A9267" t="s">
        <v>9878</v>
      </c>
      <c r="B9267" t="s">
        <v>90</v>
      </c>
      <c r="C9267" t="s">
        <v>597</v>
      </c>
      <c r="D9267">
        <v>278.81</v>
      </c>
      <c r="E9267" s="37" t="str">
        <f t="shared" si="720"/>
        <v xml:space="preserve"> </v>
      </c>
      <c r="F9267">
        <v>0.03</v>
      </c>
      <c r="G9267" s="37" t="str">
        <f t="shared" si="721"/>
        <v>Normal Discount</v>
      </c>
      <c r="H9267" s="37" t="str">
        <f t="shared" si="722"/>
        <v>Low</v>
      </c>
      <c r="I9267">
        <v>5</v>
      </c>
      <c r="J9267" t="str" cm="1">
        <f t="array" ref="J9267">_xlfn.IFS(I9267&lt;=3,"small",I9267&lt;=6,"Medium",I9267&lt;=9,"Large")</f>
        <v>Medium</v>
      </c>
      <c r="K9267" s="36">
        <v>44993</v>
      </c>
      <c r="L9267" s="36">
        <v>44995</v>
      </c>
      <c r="M9267" t="s">
        <v>603</v>
      </c>
      <c r="N9267" t="s">
        <v>608</v>
      </c>
      <c r="O9267" s="37" t="str">
        <f t="shared" si="723"/>
        <v>Cash Payment</v>
      </c>
      <c r="P9267">
        <v>33.92</v>
      </c>
      <c r="Q9267" s="37" t="str">
        <f>IF(P9267&gt;500,"High","low")</f>
        <v>low</v>
      </c>
      <c r="R9267" s="37" t="str">
        <f t="shared" si="724"/>
        <v>AVERAGE</v>
      </c>
      <c r="S9267" t="s">
        <v>605</v>
      </c>
    </row>
    <row r="9268" spans="1:19" x14ac:dyDescent="0.2">
      <c r="A9268" t="s">
        <v>9879</v>
      </c>
      <c r="B9268" t="s">
        <v>83</v>
      </c>
      <c r="C9268" t="s">
        <v>617</v>
      </c>
      <c r="D9268">
        <v>4300.84</v>
      </c>
      <c r="E9268" s="37" t="str">
        <f t="shared" si="720"/>
        <v xml:space="preserve"> </v>
      </c>
      <c r="F9268">
        <v>0.28999999999999998</v>
      </c>
      <c r="G9268" s="37" t="str">
        <f t="shared" si="721"/>
        <v>Normal Discount</v>
      </c>
      <c r="H9268" s="37" t="str">
        <f t="shared" si="722"/>
        <v>Medium</v>
      </c>
      <c r="I9268">
        <v>7</v>
      </c>
      <c r="J9268" t="str" cm="1">
        <f t="array" ref="J9268">_xlfn.IFS(I9268&lt;=3,"small",I9268&lt;=6,"Medium",I9268&lt;=9,"Large")</f>
        <v>Large</v>
      </c>
      <c r="K9268" s="36">
        <v>45151</v>
      </c>
      <c r="L9268" s="36">
        <v>45153</v>
      </c>
      <c r="M9268" t="s">
        <v>598</v>
      </c>
      <c r="N9268" t="s">
        <v>608</v>
      </c>
      <c r="O9268" s="37" t="str">
        <f t="shared" si="723"/>
        <v>Cash Payment</v>
      </c>
      <c r="P9268">
        <v>631.08000000000004</v>
      </c>
      <c r="Q9268" s="37" t="str">
        <f>IF(P9268&gt;500,"High","low")</f>
        <v>High</v>
      </c>
      <c r="R9268" s="37" t="str">
        <f t="shared" si="724"/>
        <v>Good</v>
      </c>
      <c r="S9268" t="s">
        <v>628</v>
      </c>
    </row>
    <row r="9269" spans="1:19" x14ac:dyDescent="0.2">
      <c r="A9269" t="s">
        <v>9880</v>
      </c>
      <c r="B9269" t="s">
        <v>75</v>
      </c>
      <c r="C9269" t="s">
        <v>607</v>
      </c>
      <c r="D9269">
        <v>2689.66</v>
      </c>
      <c r="E9269" s="37" t="str">
        <f t="shared" si="720"/>
        <v xml:space="preserve"> </v>
      </c>
      <c r="F9269">
        <v>0.02</v>
      </c>
      <c r="G9269" s="37" t="str">
        <f t="shared" si="721"/>
        <v>Normal Discount</v>
      </c>
      <c r="H9269" s="37" t="str">
        <f t="shared" si="722"/>
        <v>Low</v>
      </c>
      <c r="I9269">
        <v>1</v>
      </c>
      <c r="J9269" t="str" cm="1">
        <f t="array" ref="J9269">_xlfn.IFS(I9269&lt;=3,"small",I9269&lt;=6,"Medium",I9269&lt;=9,"Large")</f>
        <v>small</v>
      </c>
      <c r="K9269" s="36">
        <v>45340</v>
      </c>
      <c r="L9269" s="36">
        <v>45341</v>
      </c>
      <c r="M9269" t="s">
        <v>603</v>
      </c>
      <c r="N9269" t="s">
        <v>604</v>
      </c>
      <c r="O9269" s="37" t="str">
        <f t="shared" si="723"/>
        <v>Digital Payment</v>
      </c>
      <c r="P9269">
        <v>776.18</v>
      </c>
      <c r="Q9269" s="37" t="str">
        <f>IF(P9269&gt;500,"High","low")</f>
        <v>High</v>
      </c>
      <c r="R9269" s="37" t="str">
        <f t="shared" si="724"/>
        <v>Good</v>
      </c>
      <c r="S9269" t="s">
        <v>628</v>
      </c>
    </row>
    <row r="9270" spans="1:19" x14ac:dyDescent="0.2">
      <c r="A9270" t="s">
        <v>9881</v>
      </c>
      <c r="B9270" t="s">
        <v>83</v>
      </c>
      <c r="C9270" t="s">
        <v>614</v>
      </c>
      <c r="D9270">
        <v>1706.02</v>
      </c>
      <c r="E9270" s="37" t="str">
        <f t="shared" si="720"/>
        <v xml:space="preserve"> </v>
      </c>
      <c r="F9270">
        <v>0.33</v>
      </c>
      <c r="G9270" s="37" t="str">
        <f t="shared" si="721"/>
        <v>Heavy Discount</v>
      </c>
      <c r="H9270" s="37" t="str">
        <f t="shared" si="722"/>
        <v>Medium</v>
      </c>
      <c r="I9270">
        <v>2</v>
      </c>
      <c r="J9270" t="str" cm="1">
        <f t="array" ref="J9270">_xlfn.IFS(I9270&lt;=3,"small",I9270&lt;=6,"Medium",I9270&lt;=9,"Large")</f>
        <v>small</v>
      </c>
      <c r="K9270" s="36">
        <v>45490</v>
      </c>
      <c r="L9270" s="36">
        <v>45495</v>
      </c>
      <c r="M9270" t="s">
        <v>603</v>
      </c>
      <c r="N9270" t="s">
        <v>608</v>
      </c>
      <c r="O9270" s="37" t="str">
        <f t="shared" si="723"/>
        <v>Cash Payment</v>
      </c>
      <c r="P9270">
        <v>317.45999999999998</v>
      </c>
      <c r="Q9270" s="37" t="str">
        <f>IF(P9270&gt;500,"High","low")</f>
        <v>low</v>
      </c>
      <c r="R9270" s="37" t="str">
        <f t="shared" si="724"/>
        <v>AVERAGE</v>
      </c>
      <c r="S9270" t="s">
        <v>609</v>
      </c>
    </row>
    <row r="9271" spans="1:19" x14ac:dyDescent="0.2">
      <c r="A9271" t="s">
        <v>9882</v>
      </c>
      <c r="B9271" t="s">
        <v>90</v>
      </c>
      <c r="C9271" t="s">
        <v>617</v>
      </c>
      <c r="D9271">
        <v>1518.93</v>
      </c>
      <c r="E9271" s="37" t="str">
        <f t="shared" si="720"/>
        <v xml:space="preserve"> </v>
      </c>
      <c r="F9271">
        <v>0.37</v>
      </c>
      <c r="G9271" s="37" t="str">
        <f t="shared" si="721"/>
        <v>Heavy Discount</v>
      </c>
      <c r="H9271" s="37" t="str">
        <f t="shared" si="722"/>
        <v>Medium</v>
      </c>
      <c r="I9271">
        <v>2</v>
      </c>
      <c r="J9271" t="str" cm="1">
        <f t="array" ref="J9271">_xlfn.IFS(I9271&lt;=3,"small",I9271&lt;=6,"Medium",I9271&lt;=9,"Large")</f>
        <v>small</v>
      </c>
      <c r="K9271" s="36">
        <v>45509</v>
      </c>
      <c r="L9271" s="36">
        <v>45510</v>
      </c>
      <c r="M9271" t="s">
        <v>598</v>
      </c>
      <c r="N9271" t="s">
        <v>599</v>
      </c>
      <c r="O9271" s="37" t="str">
        <f t="shared" si="723"/>
        <v>Digital Payment</v>
      </c>
      <c r="P9271">
        <v>242.18</v>
      </c>
      <c r="Q9271" s="37" t="str">
        <f>IF(P9271&gt;500,"High","low")</f>
        <v>low</v>
      </c>
      <c r="R9271" s="37" t="str">
        <f t="shared" si="724"/>
        <v>AVERAGE</v>
      </c>
      <c r="S9271" t="s">
        <v>615</v>
      </c>
    </row>
    <row r="9272" spans="1:19" x14ac:dyDescent="0.2">
      <c r="A9272" t="s">
        <v>9883</v>
      </c>
      <c r="B9272" t="s">
        <v>83</v>
      </c>
      <c r="C9272" t="s">
        <v>607</v>
      </c>
      <c r="D9272">
        <v>2769.01</v>
      </c>
      <c r="E9272" s="37" t="str">
        <f t="shared" si="720"/>
        <v xml:space="preserve"> </v>
      </c>
      <c r="F9272">
        <v>0.24</v>
      </c>
      <c r="G9272" s="37" t="str">
        <f t="shared" si="721"/>
        <v>Normal Discount</v>
      </c>
      <c r="H9272" s="37" t="str">
        <f t="shared" si="722"/>
        <v>Medium</v>
      </c>
      <c r="I9272">
        <v>9</v>
      </c>
      <c r="J9272" t="str" cm="1">
        <f t="array" ref="J9272">_xlfn.IFS(I9272&lt;=3,"small",I9272&lt;=6,"Medium",I9272&lt;=9,"Large")</f>
        <v>Large</v>
      </c>
      <c r="K9272" s="36">
        <v>45419</v>
      </c>
      <c r="L9272" s="36">
        <v>45425</v>
      </c>
      <c r="M9272" t="s">
        <v>603</v>
      </c>
      <c r="N9272" t="s">
        <v>608</v>
      </c>
      <c r="O9272" s="37" t="str">
        <f t="shared" si="723"/>
        <v>Cash Payment</v>
      </c>
      <c r="P9272">
        <v>416.4</v>
      </c>
      <c r="Q9272" s="37" t="str">
        <f>IF(P9272&gt;500,"High","low")</f>
        <v>low</v>
      </c>
      <c r="R9272" s="37" t="str">
        <f t="shared" si="724"/>
        <v>AVERAGE</v>
      </c>
      <c r="S9272" t="s">
        <v>615</v>
      </c>
    </row>
    <row r="9273" spans="1:19" x14ac:dyDescent="0.2">
      <c r="A9273" t="s">
        <v>9884</v>
      </c>
      <c r="B9273" t="s">
        <v>67</v>
      </c>
      <c r="C9273" t="s">
        <v>597</v>
      </c>
      <c r="D9273">
        <v>1700.76</v>
      </c>
      <c r="E9273" s="37" t="str">
        <f t="shared" si="720"/>
        <v xml:space="preserve"> </v>
      </c>
      <c r="F9273">
        <v>0.39</v>
      </c>
      <c r="G9273" s="37" t="str">
        <f t="shared" si="721"/>
        <v>Heavy Discount</v>
      </c>
      <c r="H9273" s="37" t="str">
        <f t="shared" si="722"/>
        <v>Medium</v>
      </c>
      <c r="I9273">
        <v>3</v>
      </c>
      <c r="J9273" t="str" cm="1">
        <f t="array" ref="J9273">_xlfn.IFS(I9273&lt;=3,"small",I9273&lt;=6,"Medium",I9273&lt;=9,"Large")</f>
        <v>small</v>
      </c>
      <c r="K9273" s="36">
        <v>45011</v>
      </c>
      <c r="L9273" s="36">
        <v>45016</v>
      </c>
      <c r="M9273" t="s">
        <v>598</v>
      </c>
      <c r="N9273" t="s">
        <v>599</v>
      </c>
      <c r="O9273" s="37" t="str">
        <f t="shared" si="723"/>
        <v>Digital Payment</v>
      </c>
      <c r="P9273">
        <v>250.61</v>
      </c>
      <c r="Q9273" s="37" t="str">
        <f>IF(P9273&gt;500,"High","low")</f>
        <v>low</v>
      </c>
      <c r="R9273" s="37" t="str">
        <f t="shared" si="724"/>
        <v>AVERAGE</v>
      </c>
      <c r="S9273" t="s">
        <v>628</v>
      </c>
    </row>
    <row r="9274" spans="1:19" x14ac:dyDescent="0.2">
      <c r="A9274" t="s">
        <v>9885</v>
      </c>
      <c r="B9274" t="s">
        <v>75</v>
      </c>
      <c r="C9274" t="s">
        <v>607</v>
      </c>
      <c r="D9274">
        <v>4332.22</v>
      </c>
      <c r="E9274" s="37" t="str">
        <f t="shared" si="720"/>
        <v>Excellent Order</v>
      </c>
      <c r="F9274">
        <v>0.48</v>
      </c>
      <c r="G9274" s="37" t="str">
        <f t="shared" si="721"/>
        <v>Heavy Discount</v>
      </c>
      <c r="H9274" s="37" t="str">
        <f t="shared" si="722"/>
        <v>High</v>
      </c>
      <c r="I9274">
        <v>9</v>
      </c>
      <c r="J9274" t="str" cm="1">
        <f t="array" ref="J9274">_xlfn.IFS(I9274&lt;=3,"small",I9274&lt;=6,"Medium",I9274&lt;=9,"Large")</f>
        <v>Large</v>
      </c>
      <c r="K9274" s="36">
        <v>45156</v>
      </c>
      <c r="L9274" s="36">
        <v>45160</v>
      </c>
      <c r="M9274" t="s">
        <v>598</v>
      </c>
      <c r="N9274" t="s">
        <v>599</v>
      </c>
      <c r="O9274" s="37" t="str">
        <f t="shared" si="723"/>
        <v>Digital Payment</v>
      </c>
      <c r="P9274">
        <v>1201.3399999999999</v>
      </c>
      <c r="Q9274" s="37" t="str">
        <f>IF(P9274&gt;500,"High","low")</f>
        <v>High</v>
      </c>
      <c r="R9274" s="37" t="str">
        <f t="shared" si="724"/>
        <v>Excellent</v>
      </c>
      <c r="S9274" t="s">
        <v>628</v>
      </c>
    </row>
    <row r="9275" spans="1:19" x14ac:dyDescent="0.2">
      <c r="A9275" t="s">
        <v>9886</v>
      </c>
      <c r="B9275" t="s">
        <v>83</v>
      </c>
      <c r="C9275" t="s">
        <v>602</v>
      </c>
      <c r="D9275">
        <v>1133.69</v>
      </c>
      <c r="E9275" s="37" t="str">
        <f t="shared" si="720"/>
        <v xml:space="preserve"> </v>
      </c>
      <c r="F9275">
        <v>0.17</v>
      </c>
      <c r="G9275" s="37" t="str">
        <f t="shared" si="721"/>
        <v>Normal Discount</v>
      </c>
      <c r="H9275" s="37" t="str">
        <f t="shared" si="722"/>
        <v>Low</v>
      </c>
      <c r="I9275">
        <v>1</v>
      </c>
      <c r="J9275" t="str" cm="1">
        <f t="array" ref="J9275">_xlfn.IFS(I9275&lt;=3,"small",I9275&lt;=6,"Medium",I9275&lt;=9,"Large")</f>
        <v>small</v>
      </c>
      <c r="K9275" s="36">
        <v>45451</v>
      </c>
      <c r="L9275" s="36">
        <v>45455</v>
      </c>
      <c r="M9275" t="s">
        <v>598</v>
      </c>
      <c r="N9275" t="s">
        <v>608</v>
      </c>
      <c r="O9275" s="37" t="str">
        <f t="shared" si="723"/>
        <v>Cash Payment</v>
      </c>
      <c r="P9275">
        <v>277.05</v>
      </c>
      <c r="Q9275" s="37" t="str">
        <f>IF(P9275&gt;500,"High","low")</f>
        <v>low</v>
      </c>
      <c r="R9275" s="37" t="str">
        <f t="shared" si="724"/>
        <v>AVERAGE</v>
      </c>
      <c r="S9275" t="s">
        <v>628</v>
      </c>
    </row>
    <row r="9276" spans="1:19" x14ac:dyDescent="0.2">
      <c r="A9276" t="s">
        <v>9887</v>
      </c>
      <c r="B9276" t="s">
        <v>67</v>
      </c>
      <c r="C9276" t="s">
        <v>614</v>
      </c>
      <c r="D9276">
        <v>4423.28</v>
      </c>
      <c r="E9276" s="37" t="str">
        <f t="shared" si="720"/>
        <v xml:space="preserve"> </v>
      </c>
      <c r="F9276">
        <v>0.31</v>
      </c>
      <c r="G9276" s="37" t="str">
        <f t="shared" si="721"/>
        <v>Heavy Discount</v>
      </c>
      <c r="H9276" s="37" t="str">
        <f t="shared" si="722"/>
        <v>Medium</v>
      </c>
      <c r="I9276">
        <v>3</v>
      </c>
      <c r="J9276" t="str" cm="1">
        <f t="array" ref="J9276">_xlfn.IFS(I9276&lt;=3,"small",I9276&lt;=6,"Medium",I9276&lt;=9,"Large")</f>
        <v>small</v>
      </c>
      <c r="K9276" s="36">
        <v>45527</v>
      </c>
      <c r="L9276" s="36">
        <v>45528</v>
      </c>
      <c r="M9276" t="s">
        <v>603</v>
      </c>
      <c r="N9276" t="s">
        <v>599</v>
      </c>
      <c r="O9276" s="37" t="str">
        <f t="shared" si="723"/>
        <v>Digital Payment</v>
      </c>
      <c r="P9276">
        <v>428.65</v>
      </c>
      <c r="Q9276" s="37" t="str">
        <f>IF(P9276&gt;500,"High","low")</f>
        <v>low</v>
      </c>
      <c r="R9276" s="37" t="str">
        <f t="shared" si="724"/>
        <v>AVERAGE</v>
      </c>
      <c r="S9276" t="s">
        <v>605</v>
      </c>
    </row>
    <row r="9277" spans="1:19" x14ac:dyDescent="0.2">
      <c r="A9277" t="s">
        <v>9888</v>
      </c>
      <c r="B9277" t="s">
        <v>90</v>
      </c>
      <c r="C9277" t="s">
        <v>614</v>
      </c>
      <c r="D9277">
        <v>3354.05</v>
      </c>
      <c r="E9277" s="37" t="str">
        <f t="shared" si="720"/>
        <v xml:space="preserve"> </v>
      </c>
      <c r="F9277">
        <v>0.16</v>
      </c>
      <c r="G9277" s="37" t="str">
        <f t="shared" si="721"/>
        <v>Normal Discount</v>
      </c>
      <c r="H9277" s="37" t="str">
        <f t="shared" si="722"/>
        <v>Low</v>
      </c>
      <c r="I9277">
        <v>2</v>
      </c>
      <c r="J9277" t="str" cm="1">
        <f t="array" ref="J9277">_xlfn.IFS(I9277&lt;=3,"small",I9277&lt;=6,"Medium",I9277&lt;=9,"Large")</f>
        <v>small</v>
      </c>
      <c r="K9277" s="36">
        <v>45301</v>
      </c>
      <c r="L9277" s="36">
        <v>45308</v>
      </c>
      <c r="M9277" t="s">
        <v>598</v>
      </c>
      <c r="N9277" t="s">
        <v>599</v>
      </c>
      <c r="O9277" s="37" t="str">
        <f t="shared" si="723"/>
        <v>Digital Payment</v>
      </c>
      <c r="P9277">
        <v>435.15</v>
      </c>
      <c r="Q9277" s="37" t="str">
        <f>IF(P9277&gt;500,"High","low")</f>
        <v>low</v>
      </c>
      <c r="R9277" s="37" t="str">
        <f t="shared" si="724"/>
        <v>AVERAGE</v>
      </c>
      <c r="S9277" t="s">
        <v>605</v>
      </c>
    </row>
    <row r="9278" spans="1:19" x14ac:dyDescent="0.2">
      <c r="A9278" t="s">
        <v>9889</v>
      </c>
      <c r="B9278" t="s">
        <v>83</v>
      </c>
      <c r="C9278" t="s">
        <v>602</v>
      </c>
      <c r="D9278">
        <v>4787.4799999999996</v>
      </c>
      <c r="E9278" s="37" t="str">
        <f t="shared" si="720"/>
        <v>Excellent Order</v>
      </c>
      <c r="F9278">
        <v>0.22</v>
      </c>
      <c r="G9278" s="37" t="str">
        <f t="shared" si="721"/>
        <v>Normal Discount</v>
      </c>
      <c r="H9278" s="37" t="str">
        <f t="shared" si="722"/>
        <v>Medium</v>
      </c>
      <c r="I9278">
        <v>2</v>
      </c>
      <c r="J9278" t="str" cm="1">
        <f t="array" ref="J9278">_xlfn.IFS(I9278&lt;=3,"small",I9278&lt;=6,"Medium",I9278&lt;=9,"Large")</f>
        <v>small</v>
      </c>
      <c r="K9278" s="36">
        <v>45568</v>
      </c>
      <c r="L9278" s="36">
        <v>45575</v>
      </c>
      <c r="M9278" t="s">
        <v>598</v>
      </c>
      <c r="N9278" t="s">
        <v>608</v>
      </c>
      <c r="O9278" s="37" t="str">
        <f t="shared" si="723"/>
        <v>Cash Payment</v>
      </c>
      <c r="P9278">
        <v>1254.21</v>
      </c>
      <c r="Q9278" s="37" t="str">
        <f>IF(P9278&gt;500,"High","low")</f>
        <v>High</v>
      </c>
      <c r="R9278" s="37" t="str">
        <f t="shared" si="724"/>
        <v>Excellent</v>
      </c>
      <c r="S9278" t="s">
        <v>620</v>
      </c>
    </row>
    <row r="9279" spans="1:19" x14ac:dyDescent="0.2">
      <c r="A9279" t="s">
        <v>9890</v>
      </c>
      <c r="B9279" t="s">
        <v>90</v>
      </c>
      <c r="C9279" t="s">
        <v>617</v>
      </c>
      <c r="D9279">
        <v>174.03</v>
      </c>
      <c r="E9279" s="37" t="str">
        <f t="shared" si="720"/>
        <v xml:space="preserve"> </v>
      </c>
      <c r="F9279">
        <v>0.01</v>
      </c>
      <c r="G9279" s="37" t="str">
        <f t="shared" si="721"/>
        <v>Normal Discount</v>
      </c>
      <c r="H9279" s="37" t="str">
        <f t="shared" si="722"/>
        <v>Low</v>
      </c>
      <c r="I9279">
        <v>1</v>
      </c>
      <c r="J9279" t="str" cm="1">
        <f t="array" ref="J9279">_xlfn.IFS(I9279&lt;=3,"small",I9279&lt;=6,"Medium",I9279&lt;=9,"Large")</f>
        <v>small</v>
      </c>
      <c r="K9279" s="36">
        <v>45436</v>
      </c>
      <c r="L9279" s="36">
        <v>45439</v>
      </c>
      <c r="M9279" t="s">
        <v>603</v>
      </c>
      <c r="N9279" t="s">
        <v>599</v>
      </c>
      <c r="O9279" s="37" t="str">
        <f t="shared" si="723"/>
        <v>Digital Payment</v>
      </c>
      <c r="P9279">
        <v>41.35</v>
      </c>
      <c r="Q9279" s="37" t="str">
        <f>IF(P9279&gt;500,"High","low")</f>
        <v>low</v>
      </c>
      <c r="R9279" s="37" t="str">
        <f t="shared" si="724"/>
        <v>AVERAGE</v>
      </c>
      <c r="S9279" t="s">
        <v>615</v>
      </c>
    </row>
    <row r="9280" spans="1:19" x14ac:dyDescent="0.2">
      <c r="A9280" t="s">
        <v>9891</v>
      </c>
      <c r="B9280" t="s">
        <v>67</v>
      </c>
      <c r="C9280" t="s">
        <v>602</v>
      </c>
      <c r="D9280">
        <v>389.57</v>
      </c>
      <c r="E9280" s="37" t="str">
        <f t="shared" si="720"/>
        <v xml:space="preserve"> </v>
      </c>
      <c r="F9280">
        <v>0.04</v>
      </c>
      <c r="G9280" s="37" t="str">
        <f t="shared" si="721"/>
        <v>Normal Discount</v>
      </c>
      <c r="H9280" s="37" t="str">
        <f t="shared" si="722"/>
        <v>Low</v>
      </c>
      <c r="I9280">
        <v>6</v>
      </c>
      <c r="J9280" t="str" cm="1">
        <f t="array" ref="J9280">_xlfn.IFS(I9280&lt;=3,"small",I9280&lt;=6,"Medium",I9280&lt;=9,"Large")</f>
        <v>Medium</v>
      </c>
      <c r="K9280" s="36">
        <v>45376</v>
      </c>
      <c r="L9280" s="36">
        <v>45379</v>
      </c>
      <c r="M9280" t="s">
        <v>598</v>
      </c>
      <c r="N9280" t="s">
        <v>608</v>
      </c>
      <c r="O9280" s="37" t="str">
        <f t="shared" si="723"/>
        <v>Cash Payment</v>
      </c>
      <c r="P9280">
        <v>29.58</v>
      </c>
      <c r="Q9280" s="37" t="str">
        <f>IF(P9280&gt;500,"High","low")</f>
        <v>low</v>
      </c>
      <c r="R9280" s="37" t="str">
        <f t="shared" si="724"/>
        <v>AVERAGE</v>
      </c>
      <c r="S9280" t="s">
        <v>620</v>
      </c>
    </row>
    <row r="9281" spans="1:19" x14ac:dyDescent="0.2">
      <c r="A9281" t="s">
        <v>9892</v>
      </c>
      <c r="B9281" t="s">
        <v>90</v>
      </c>
      <c r="C9281" t="s">
        <v>614</v>
      </c>
      <c r="D9281">
        <v>2554.38</v>
      </c>
      <c r="E9281" s="37" t="str">
        <f t="shared" si="720"/>
        <v xml:space="preserve"> </v>
      </c>
      <c r="F9281">
        <v>0.4</v>
      </c>
      <c r="G9281" s="37" t="str">
        <f t="shared" si="721"/>
        <v>Heavy Discount</v>
      </c>
      <c r="H9281" s="37" t="str">
        <f t="shared" si="722"/>
        <v>Medium</v>
      </c>
      <c r="I9281">
        <v>5</v>
      </c>
      <c r="J9281" t="str" cm="1">
        <f t="array" ref="J9281">_xlfn.IFS(I9281&lt;=3,"small",I9281&lt;=6,"Medium",I9281&lt;=9,"Large")</f>
        <v>Medium</v>
      </c>
      <c r="K9281" s="36">
        <v>45389</v>
      </c>
      <c r="L9281" s="36">
        <v>45391</v>
      </c>
      <c r="M9281" t="s">
        <v>603</v>
      </c>
      <c r="N9281" t="s">
        <v>604</v>
      </c>
      <c r="O9281" s="37" t="str">
        <f t="shared" si="723"/>
        <v>Digital Payment</v>
      </c>
      <c r="P9281">
        <v>388.27</v>
      </c>
      <c r="Q9281" s="37" t="str">
        <f>IF(P9281&gt;500,"High","low")</f>
        <v>low</v>
      </c>
      <c r="R9281" s="37" t="str">
        <f t="shared" si="724"/>
        <v>AVERAGE</v>
      </c>
      <c r="S9281" t="s">
        <v>605</v>
      </c>
    </row>
    <row r="9282" spans="1:19" x14ac:dyDescent="0.2">
      <c r="A9282" t="s">
        <v>9893</v>
      </c>
      <c r="B9282" t="s">
        <v>67</v>
      </c>
      <c r="C9282" t="s">
        <v>597</v>
      </c>
      <c r="D9282">
        <v>4570.66</v>
      </c>
      <c r="E9282" s="37" t="str">
        <f t="shared" si="720"/>
        <v xml:space="preserve"> </v>
      </c>
      <c r="F9282">
        <v>7.0000000000000007E-2</v>
      </c>
      <c r="G9282" s="37" t="str">
        <f t="shared" si="721"/>
        <v>Normal Discount</v>
      </c>
      <c r="H9282" s="37" t="str">
        <f t="shared" si="722"/>
        <v>Low</v>
      </c>
      <c r="I9282">
        <v>5</v>
      </c>
      <c r="J9282" t="str" cm="1">
        <f t="array" ref="J9282">_xlfn.IFS(I9282&lt;=3,"small",I9282&lt;=6,"Medium",I9282&lt;=9,"Large")</f>
        <v>Medium</v>
      </c>
      <c r="K9282" s="36">
        <v>45197</v>
      </c>
      <c r="L9282" s="36">
        <v>45199</v>
      </c>
      <c r="M9282" t="s">
        <v>612</v>
      </c>
      <c r="N9282" t="s">
        <v>604</v>
      </c>
      <c r="O9282" s="37" t="str">
        <f t="shared" si="723"/>
        <v>Digital Payment</v>
      </c>
      <c r="P9282">
        <v>789.24</v>
      </c>
      <c r="Q9282" s="37" t="str">
        <f>IF(P9282&gt;500,"High","low")</f>
        <v>High</v>
      </c>
      <c r="R9282" s="37" t="str">
        <f t="shared" si="724"/>
        <v>Good</v>
      </c>
      <c r="S9282" t="s">
        <v>628</v>
      </c>
    </row>
    <row r="9283" spans="1:19" x14ac:dyDescent="0.2">
      <c r="A9283" t="s">
        <v>9894</v>
      </c>
      <c r="B9283" t="s">
        <v>67</v>
      </c>
      <c r="C9283" t="s">
        <v>617</v>
      </c>
      <c r="D9283">
        <v>3680.9</v>
      </c>
      <c r="E9283" s="37" t="str">
        <f t="shared" ref="E9283:E9346" si="725">IF(AND(D9283&gt;4000,P9283&gt;800),"Excellent Order"," ")</f>
        <v xml:space="preserve"> </v>
      </c>
      <c r="F9283">
        <v>0.35</v>
      </c>
      <c r="G9283" s="37" t="str">
        <f t="shared" ref="G9283:G9346" si="726">IF(F9283&gt;30%,"Heavy Discount","Normal Discount")</f>
        <v>Heavy Discount</v>
      </c>
      <c r="H9283" s="37" t="str">
        <f t="shared" ref="H9283:H9346" si="727">IF(F9283&gt;0.4,"High",IF(F9283&gt;=0.2,"Medium","Low"))</f>
        <v>Medium</v>
      </c>
      <c r="I9283">
        <v>9</v>
      </c>
      <c r="J9283" t="str" cm="1">
        <f t="array" ref="J9283">_xlfn.IFS(I9283&lt;=3,"small",I9283&lt;=6,"Medium",I9283&lt;=9,"Large")</f>
        <v>Large</v>
      </c>
      <c r="K9283" s="36">
        <v>45200</v>
      </c>
      <c r="L9283" s="36">
        <v>45201</v>
      </c>
      <c r="M9283" t="s">
        <v>612</v>
      </c>
      <c r="N9283" t="s">
        <v>599</v>
      </c>
      <c r="O9283" s="37" t="str">
        <f t="shared" ref="O9283:O9346" si="728">IF(OR(N9283="Card",N9283="UPI"),"Digital Payment","Cash Payment")</f>
        <v>Digital Payment</v>
      </c>
      <c r="P9283">
        <v>973.05</v>
      </c>
      <c r="Q9283" s="37" t="str">
        <f>IF(P9283&gt;500,"High","low")</f>
        <v>High</v>
      </c>
      <c r="R9283" s="37" t="str">
        <f t="shared" ref="R9283:R9346" si="729">IF(P9283&gt;1000,"Excellent",IF(P9283&gt;=500,"Good","AVERAGE"))</f>
        <v>Good</v>
      </c>
      <c r="S9283" t="s">
        <v>628</v>
      </c>
    </row>
    <row r="9284" spans="1:19" x14ac:dyDescent="0.2">
      <c r="A9284" t="s">
        <v>9895</v>
      </c>
      <c r="B9284" t="s">
        <v>67</v>
      </c>
      <c r="C9284" t="s">
        <v>607</v>
      </c>
      <c r="D9284">
        <v>3148.47</v>
      </c>
      <c r="E9284" s="37" t="str">
        <f t="shared" si="725"/>
        <v xml:space="preserve"> </v>
      </c>
      <c r="F9284">
        <v>0.35</v>
      </c>
      <c r="G9284" s="37" t="str">
        <f t="shared" si="726"/>
        <v>Heavy Discount</v>
      </c>
      <c r="H9284" s="37" t="str">
        <f t="shared" si="727"/>
        <v>Medium</v>
      </c>
      <c r="I9284">
        <v>6</v>
      </c>
      <c r="J9284" t="str" cm="1">
        <f t="array" ref="J9284">_xlfn.IFS(I9284&lt;=3,"small",I9284&lt;=6,"Medium",I9284&lt;=9,"Large")</f>
        <v>Medium</v>
      </c>
      <c r="K9284" s="36">
        <v>44995</v>
      </c>
      <c r="L9284" s="36">
        <v>44998</v>
      </c>
      <c r="M9284" t="s">
        <v>603</v>
      </c>
      <c r="N9284" t="s">
        <v>599</v>
      </c>
      <c r="O9284" s="37" t="str">
        <f t="shared" si="728"/>
        <v>Digital Payment</v>
      </c>
      <c r="P9284">
        <v>828.7</v>
      </c>
      <c r="Q9284" s="37" t="str">
        <f>IF(P9284&gt;500,"High","low")</f>
        <v>High</v>
      </c>
      <c r="R9284" s="37" t="str">
        <f t="shared" si="729"/>
        <v>Good</v>
      </c>
      <c r="S9284" t="s">
        <v>615</v>
      </c>
    </row>
    <row r="9285" spans="1:19" x14ac:dyDescent="0.2">
      <c r="A9285" t="s">
        <v>9896</v>
      </c>
      <c r="B9285" t="s">
        <v>83</v>
      </c>
      <c r="C9285" t="s">
        <v>597</v>
      </c>
      <c r="D9285">
        <v>254.85</v>
      </c>
      <c r="E9285" s="37" t="str">
        <f t="shared" si="725"/>
        <v xml:space="preserve"> </v>
      </c>
      <c r="F9285">
        <v>0.5</v>
      </c>
      <c r="G9285" s="37" t="str">
        <f t="shared" si="726"/>
        <v>Heavy Discount</v>
      </c>
      <c r="H9285" s="37" t="str">
        <f t="shared" si="727"/>
        <v>High</v>
      </c>
      <c r="I9285">
        <v>9</v>
      </c>
      <c r="J9285" t="str" cm="1">
        <f t="array" ref="J9285">_xlfn.IFS(I9285&lt;=3,"small",I9285&lt;=6,"Medium",I9285&lt;=9,"Large")</f>
        <v>Large</v>
      </c>
      <c r="K9285" s="36">
        <v>45272</v>
      </c>
      <c r="L9285" s="36">
        <v>45276</v>
      </c>
      <c r="M9285" t="s">
        <v>598</v>
      </c>
      <c r="N9285" t="s">
        <v>599</v>
      </c>
      <c r="O9285" s="37" t="str">
        <f t="shared" si="728"/>
        <v>Digital Payment</v>
      </c>
      <c r="P9285">
        <v>22.36</v>
      </c>
      <c r="Q9285" s="37" t="str">
        <f>IF(P9285&gt;500,"High","low")</f>
        <v>low</v>
      </c>
      <c r="R9285" s="37" t="str">
        <f t="shared" si="729"/>
        <v>AVERAGE</v>
      </c>
      <c r="S9285" t="s">
        <v>605</v>
      </c>
    </row>
    <row r="9286" spans="1:19" x14ac:dyDescent="0.2">
      <c r="A9286" t="s">
        <v>9897</v>
      </c>
      <c r="B9286" t="s">
        <v>90</v>
      </c>
      <c r="C9286" t="s">
        <v>617</v>
      </c>
      <c r="D9286">
        <v>1835.4</v>
      </c>
      <c r="E9286" s="37" t="str">
        <f t="shared" si="725"/>
        <v xml:space="preserve"> </v>
      </c>
      <c r="F9286">
        <v>0.35</v>
      </c>
      <c r="G9286" s="37" t="str">
        <f t="shared" si="726"/>
        <v>Heavy Discount</v>
      </c>
      <c r="H9286" s="37" t="str">
        <f t="shared" si="727"/>
        <v>Medium</v>
      </c>
      <c r="I9286">
        <v>4</v>
      </c>
      <c r="J9286" t="str" cm="1">
        <f t="array" ref="J9286">_xlfn.IFS(I9286&lt;=3,"small",I9286&lt;=6,"Medium",I9286&lt;=9,"Large")</f>
        <v>Medium</v>
      </c>
      <c r="K9286" s="36">
        <v>45004</v>
      </c>
      <c r="L9286" s="36">
        <v>45010</v>
      </c>
      <c r="M9286" t="s">
        <v>612</v>
      </c>
      <c r="N9286" t="s">
        <v>608</v>
      </c>
      <c r="O9286" s="37" t="str">
        <f t="shared" si="728"/>
        <v>Cash Payment</v>
      </c>
      <c r="P9286">
        <v>360.49</v>
      </c>
      <c r="Q9286" s="37" t="str">
        <f>IF(P9286&gt;500,"High","low")</f>
        <v>low</v>
      </c>
      <c r="R9286" s="37" t="str">
        <f t="shared" si="729"/>
        <v>AVERAGE</v>
      </c>
      <c r="S9286" t="s">
        <v>609</v>
      </c>
    </row>
    <row r="9287" spans="1:19" x14ac:dyDescent="0.2">
      <c r="A9287" t="s">
        <v>9898</v>
      </c>
      <c r="B9287" t="s">
        <v>90</v>
      </c>
      <c r="C9287" t="s">
        <v>614</v>
      </c>
      <c r="D9287">
        <v>1794.68</v>
      </c>
      <c r="E9287" s="37" t="str">
        <f t="shared" si="725"/>
        <v xml:space="preserve"> </v>
      </c>
      <c r="F9287">
        <v>0.06</v>
      </c>
      <c r="G9287" s="37" t="str">
        <f t="shared" si="726"/>
        <v>Normal Discount</v>
      </c>
      <c r="H9287" s="37" t="str">
        <f t="shared" si="727"/>
        <v>Low</v>
      </c>
      <c r="I9287">
        <v>7</v>
      </c>
      <c r="J9287" t="str" cm="1">
        <f t="array" ref="J9287">_xlfn.IFS(I9287&lt;=3,"small",I9287&lt;=6,"Medium",I9287&lt;=9,"Large")</f>
        <v>Large</v>
      </c>
      <c r="K9287" s="36">
        <v>45059</v>
      </c>
      <c r="L9287" s="36">
        <v>45063</v>
      </c>
      <c r="M9287" t="s">
        <v>612</v>
      </c>
      <c r="N9287" t="s">
        <v>604</v>
      </c>
      <c r="O9287" s="37" t="str">
        <f t="shared" si="728"/>
        <v>Digital Payment</v>
      </c>
      <c r="P9287">
        <v>512.9</v>
      </c>
      <c r="Q9287" s="37" t="str">
        <f>IF(P9287&gt;500,"High","low")</f>
        <v>High</v>
      </c>
      <c r="R9287" s="37" t="str">
        <f t="shared" si="729"/>
        <v>Good</v>
      </c>
      <c r="S9287" t="s">
        <v>609</v>
      </c>
    </row>
    <row r="9288" spans="1:19" x14ac:dyDescent="0.2">
      <c r="A9288" t="s">
        <v>9899</v>
      </c>
      <c r="B9288" t="s">
        <v>75</v>
      </c>
      <c r="C9288" t="s">
        <v>614</v>
      </c>
      <c r="D9288">
        <v>2756.22</v>
      </c>
      <c r="E9288" s="37" t="str">
        <f t="shared" si="725"/>
        <v xml:space="preserve"> </v>
      </c>
      <c r="F9288">
        <v>0.31</v>
      </c>
      <c r="G9288" s="37" t="str">
        <f t="shared" si="726"/>
        <v>Heavy Discount</v>
      </c>
      <c r="H9288" s="37" t="str">
        <f t="shared" si="727"/>
        <v>Medium</v>
      </c>
      <c r="I9288">
        <v>4</v>
      </c>
      <c r="J9288" t="str" cm="1">
        <f t="array" ref="J9288">_xlfn.IFS(I9288&lt;=3,"small",I9288&lt;=6,"Medium",I9288&lt;=9,"Large")</f>
        <v>Medium</v>
      </c>
      <c r="K9288" s="36">
        <v>45350</v>
      </c>
      <c r="L9288" s="36">
        <v>45353</v>
      </c>
      <c r="M9288" t="s">
        <v>603</v>
      </c>
      <c r="N9288" t="s">
        <v>604</v>
      </c>
      <c r="O9288" s="37" t="str">
        <f t="shared" si="728"/>
        <v>Digital Payment</v>
      </c>
      <c r="P9288">
        <v>190.71</v>
      </c>
      <c r="Q9288" s="37" t="str">
        <f>IF(P9288&gt;500,"High","low")</f>
        <v>low</v>
      </c>
      <c r="R9288" s="37" t="str">
        <f t="shared" si="729"/>
        <v>AVERAGE</v>
      </c>
      <c r="S9288" t="s">
        <v>615</v>
      </c>
    </row>
    <row r="9289" spans="1:19" x14ac:dyDescent="0.2">
      <c r="A9289" t="s">
        <v>9900</v>
      </c>
      <c r="B9289" t="s">
        <v>75</v>
      </c>
      <c r="C9289" t="s">
        <v>597</v>
      </c>
      <c r="D9289">
        <v>1363.36</v>
      </c>
      <c r="E9289" s="37" t="str">
        <f t="shared" si="725"/>
        <v xml:space="preserve"> </v>
      </c>
      <c r="F9289">
        <v>0.26</v>
      </c>
      <c r="G9289" s="37" t="str">
        <f t="shared" si="726"/>
        <v>Normal Discount</v>
      </c>
      <c r="H9289" s="37" t="str">
        <f t="shared" si="727"/>
        <v>Medium</v>
      </c>
      <c r="I9289">
        <v>1</v>
      </c>
      <c r="J9289" t="str" cm="1">
        <f t="array" ref="J9289">_xlfn.IFS(I9289&lt;=3,"small",I9289&lt;=6,"Medium",I9289&lt;=9,"Large")</f>
        <v>small</v>
      </c>
      <c r="K9289" s="36">
        <v>45331</v>
      </c>
      <c r="L9289" s="36">
        <v>45332</v>
      </c>
      <c r="M9289" t="s">
        <v>603</v>
      </c>
      <c r="N9289" t="s">
        <v>604</v>
      </c>
      <c r="O9289" s="37" t="str">
        <f t="shared" si="728"/>
        <v>Digital Payment</v>
      </c>
      <c r="P9289">
        <v>190.38</v>
      </c>
      <c r="Q9289" s="37" t="str">
        <f>IF(P9289&gt;500,"High","low")</f>
        <v>low</v>
      </c>
      <c r="R9289" s="37" t="str">
        <f t="shared" si="729"/>
        <v>AVERAGE</v>
      </c>
      <c r="S9289" t="s">
        <v>615</v>
      </c>
    </row>
    <row r="9290" spans="1:19" x14ac:dyDescent="0.2">
      <c r="A9290" t="s">
        <v>9901</v>
      </c>
      <c r="B9290" t="s">
        <v>75</v>
      </c>
      <c r="C9290" t="s">
        <v>617</v>
      </c>
      <c r="D9290">
        <v>1409.06</v>
      </c>
      <c r="E9290" s="37" t="str">
        <f t="shared" si="725"/>
        <v xml:space="preserve"> </v>
      </c>
      <c r="F9290">
        <v>0.46</v>
      </c>
      <c r="G9290" s="37" t="str">
        <f t="shared" si="726"/>
        <v>Heavy Discount</v>
      </c>
      <c r="H9290" s="37" t="str">
        <f t="shared" si="727"/>
        <v>High</v>
      </c>
      <c r="I9290">
        <v>4</v>
      </c>
      <c r="J9290" t="str" cm="1">
        <f t="array" ref="J9290">_xlfn.IFS(I9290&lt;=3,"small",I9290&lt;=6,"Medium",I9290&lt;=9,"Large")</f>
        <v>Medium</v>
      </c>
      <c r="K9290" s="36">
        <v>45630</v>
      </c>
      <c r="L9290" s="36">
        <v>45632</v>
      </c>
      <c r="M9290" t="s">
        <v>612</v>
      </c>
      <c r="N9290" t="s">
        <v>604</v>
      </c>
      <c r="O9290" s="37" t="str">
        <f t="shared" si="728"/>
        <v>Digital Payment</v>
      </c>
      <c r="P9290">
        <v>189.29</v>
      </c>
      <c r="Q9290" s="37" t="str">
        <f>IF(P9290&gt;500,"High","low")</f>
        <v>low</v>
      </c>
      <c r="R9290" s="37" t="str">
        <f t="shared" si="729"/>
        <v>AVERAGE</v>
      </c>
      <c r="S9290" t="s">
        <v>620</v>
      </c>
    </row>
    <row r="9291" spans="1:19" x14ac:dyDescent="0.2">
      <c r="A9291" t="s">
        <v>9902</v>
      </c>
      <c r="B9291" t="s">
        <v>75</v>
      </c>
      <c r="C9291" t="s">
        <v>607</v>
      </c>
      <c r="D9291">
        <v>3142.22</v>
      </c>
      <c r="E9291" s="37" t="str">
        <f t="shared" si="725"/>
        <v xml:space="preserve"> </v>
      </c>
      <c r="F9291">
        <v>0.35</v>
      </c>
      <c r="G9291" s="37" t="str">
        <f t="shared" si="726"/>
        <v>Heavy Discount</v>
      </c>
      <c r="H9291" s="37" t="str">
        <f t="shared" si="727"/>
        <v>Medium</v>
      </c>
      <c r="I9291">
        <v>2</v>
      </c>
      <c r="J9291" t="str" cm="1">
        <f t="array" ref="J9291">_xlfn.IFS(I9291&lt;=3,"small",I9291&lt;=6,"Medium",I9291&lt;=9,"Large")</f>
        <v>small</v>
      </c>
      <c r="K9291" s="36">
        <v>45289</v>
      </c>
      <c r="L9291" s="36">
        <v>45296</v>
      </c>
      <c r="M9291" t="s">
        <v>612</v>
      </c>
      <c r="N9291" t="s">
        <v>599</v>
      </c>
      <c r="O9291" s="37" t="str">
        <f t="shared" si="728"/>
        <v>Digital Payment</v>
      </c>
      <c r="P9291">
        <v>291.82</v>
      </c>
      <c r="Q9291" s="37" t="str">
        <f>IF(P9291&gt;500,"High","low")</f>
        <v>low</v>
      </c>
      <c r="R9291" s="37" t="str">
        <f t="shared" si="729"/>
        <v>AVERAGE</v>
      </c>
      <c r="S9291" t="s">
        <v>605</v>
      </c>
    </row>
    <row r="9292" spans="1:19" x14ac:dyDescent="0.2">
      <c r="A9292" t="s">
        <v>9903</v>
      </c>
      <c r="B9292" t="s">
        <v>90</v>
      </c>
      <c r="C9292" t="s">
        <v>607</v>
      </c>
      <c r="D9292">
        <v>4728.38</v>
      </c>
      <c r="E9292" s="37" t="str">
        <f t="shared" si="725"/>
        <v>Excellent Order</v>
      </c>
      <c r="F9292">
        <v>0.26</v>
      </c>
      <c r="G9292" s="37" t="str">
        <f t="shared" si="726"/>
        <v>Normal Discount</v>
      </c>
      <c r="H9292" s="37" t="str">
        <f t="shared" si="727"/>
        <v>Medium</v>
      </c>
      <c r="I9292">
        <v>5</v>
      </c>
      <c r="J9292" t="str" cm="1">
        <f t="array" ref="J9292">_xlfn.IFS(I9292&lt;=3,"small",I9292&lt;=6,"Medium",I9292&lt;=9,"Large")</f>
        <v>Medium</v>
      </c>
      <c r="K9292" s="36">
        <v>45528</v>
      </c>
      <c r="L9292" s="36">
        <v>45529</v>
      </c>
      <c r="M9292" t="s">
        <v>598</v>
      </c>
      <c r="N9292" t="s">
        <v>604</v>
      </c>
      <c r="O9292" s="37" t="str">
        <f t="shared" si="728"/>
        <v>Digital Payment</v>
      </c>
      <c r="P9292">
        <v>1393.4</v>
      </c>
      <c r="Q9292" s="37" t="str">
        <f>IF(P9292&gt;500,"High","low")</f>
        <v>High</v>
      </c>
      <c r="R9292" s="37" t="str">
        <f t="shared" si="729"/>
        <v>Excellent</v>
      </c>
      <c r="S9292" t="s">
        <v>605</v>
      </c>
    </row>
    <row r="9293" spans="1:19" x14ac:dyDescent="0.2">
      <c r="A9293" t="s">
        <v>9904</v>
      </c>
      <c r="B9293" t="s">
        <v>67</v>
      </c>
      <c r="C9293" t="s">
        <v>602</v>
      </c>
      <c r="D9293">
        <v>3334.88</v>
      </c>
      <c r="E9293" s="37" t="str">
        <f t="shared" si="725"/>
        <v xml:space="preserve"> </v>
      </c>
      <c r="F9293">
        <v>0.31</v>
      </c>
      <c r="G9293" s="37" t="str">
        <f t="shared" si="726"/>
        <v>Heavy Discount</v>
      </c>
      <c r="H9293" s="37" t="str">
        <f t="shared" si="727"/>
        <v>Medium</v>
      </c>
      <c r="I9293">
        <v>2</v>
      </c>
      <c r="J9293" t="str" cm="1">
        <f t="array" ref="J9293">_xlfn.IFS(I9293&lt;=3,"small",I9293&lt;=6,"Medium",I9293&lt;=9,"Large")</f>
        <v>small</v>
      </c>
      <c r="K9293" s="36">
        <v>45122</v>
      </c>
      <c r="L9293" s="36">
        <v>45125</v>
      </c>
      <c r="M9293" t="s">
        <v>598</v>
      </c>
      <c r="N9293" t="s">
        <v>604</v>
      </c>
      <c r="O9293" s="37" t="str">
        <f t="shared" si="728"/>
        <v>Digital Payment</v>
      </c>
      <c r="P9293">
        <v>756.97</v>
      </c>
      <c r="Q9293" s="37" t="str">
        <f>IF(P9293&gt;500,"High","low")</f>
        <v>High</v>
      </c>
      <c r="R9293" s="37" t="str">
        <f t="shared" si="729"/>
        <v>Good</v>
      </c>
      <c r="S9293" t="s">
        <v>609</v>
      </c>
    </row>
    <row r="9294" spans="1:19" x14ac:dyDescent="0.2">
      <c r="A9294" t="s">
        <v>9905</v>
      </c>
      <c r="B9294" t="s">
        <v>67</v>
      </c>
      <c r="C9294" t="s">
        <v>597</v>
      </c>
      <c r="D9294">
        <v>3373.84</v>
      </c>
      <c r="E9294" s="37" t="str">
        <f t="shared" si="725"/>
        <v xml:space="preserve"> </v>
      </c>
      <c r="F9294">
        <v>0.22</v>
      </c>
      <c r="G9294" s="37" t="str">
        <f t="shared" si="726"/>
        <v>Normal Discount</v>
      </c>
      <c r="H9294" s="37" t="str">
        <f t="shared" si="727"/>
        <v>Medium</v>
      </c>
      <c r="I9294">
        <v>2</v>
      </c>
      <c r="J9294" t="str" cm="1">
        <f t="array" ref="J9294">_xlfn.IFS(I9294&lt;=3,"small",I9294&lt;=6,"Medium",I9294&lt;=9,"Large")</f>
        <v>small</v>
      </c>
      <c r="K9294" s="36">
        <v>45618</v>
      </c>
      <c r="L9294" s="36">
        <v>45619</v>
      </c>
      <c r="M9294" t="s">
        <v>603</v>
      </c>
      <c r="N9294" t="s">
        <v>599</v>
      </c>
      <c r="O9294" s="37" t="str">
        <f t="shared" si="728"/>
        <v>Digital Payment</v>
      </c>
      <c r="P9294">
        <v>745.65</v>
      </c>
      <c r="Q9294" s="37" t="str">
        <f>IF(P9294&gt;500,"High","low")</f>
        <v>High</v>
      </c>
      <c r="R9294" s="37" t="str">
        <f t="shared" si="729"/>
        <v>Good</v>
      </c>
      <c r="S9294" t="s">
        <v>600</v>
      </c>
    </row>
    <row r="9295" spans="1:19" x14ac:dyDescent="0.2">
      <c r="A9295" t="s">
        <v>9906</v>
      </c>
      <c r="B9295" t="s">
        <v>83</v>
      </c>
      <c r="C9295" t="s">
        <v>617</v>
      </c>
      <c r="D9295">
        <v>4932.45</v>
      </c>
      <c r="E9295" s="37" t="str">
        <f t="shared" si="725"/>
        <v xml:space="preserve"> </v>
      </c>
      <c r="F9295">
        <v>0.25</v>
      </c>
      <c r="G9295" s="37" t="str">
        <f t="shared" si="726"/>
        <v>Normal Discount</v>
      </c>
      <c r="H9295" s="37" t="str">
        <f t="shared" si="727"/>
        <v>Medium</v>
      </c>
      <c r="I9295">
        <v>4</v>
      </c>
      <c r="J9295" t="str" cm="1">
        <f t="array" ref="J9295">_xlfn.IFS(I9295&lt;=3,"small",I9295&lt;=6,"Medium",I9295&lt;=9,"Large")</f>
        <v>Medium</v>
      </c>
      <c r="K9295" s="36">
        <v>45209</v>
      </c>
      <c r="L9295" s="36">
        <v>45212</v>
      </c>
      <c r="M9295" t="s">
        <v>612</v>
      </c>
      <c r="N9295" t="s">
        <v>599</v>
      </c>
      <c r="O9295" s="37" t="str">
        <f t="shared" si="728"/>
        <v>Digital Payment</v>
      </c>
      <c r="P9295">
        <v>307.02999999999997</v>
      </c>
      <c r="Q9295" s="37" t="str">
        <f>IF(P9295&gt;500,"High","low")</f>
        <v>low</v>
      </c>
      <c r="R9295" s="37" t="str">
        <f t="shared" si="729"/>
        <v>AVERAGE</v>
      </c>
      <c r="S9295" t="s">
        <v>620</v>
      </c>
    </row>
    <row r="9296" spans="1:19" x14ac:dyDescent="0.2">
      <c r="A9296" t="s">
        <v>9907</v>
      </c>
      <c r="B9296" t="s">
        <v>67</v>
      </c>
      <c r="C9296" t="s">
        <v>597</v>
      </c>
      <c r="D9296">
        <v>852.04</v>
      </c>
      <c r="E9296" s="37" t="str">
        <f t="shared" si="725"/>
        <v xml:space="preserve"> </v>
      </c>
      <c r="F9296">
        <v>0.36</v>
      </c>
      <c r="G9296" s="37" t="str">
        <f t="shared" si="726"/>
        <v>Heavy Discount</v>
      </c>
      <c r="H9296" s="37" t="str">
        <f t="shared" si="727"/>
        <v>Medium</v>
      </c>
      <c r="I9296">
        <v>7</v>
      </c>
      <c r="J9296" t="str" cm="1">
        <f t="array" ref="J9296">_xlfn.IFS(I9296&lt;=3,"small",I9296&lt;=6,"Medium",I9296&lt;=9,"Large")</f>
        <v>Large</v>
      </c>
      <c r="K9296" s="36">
        <v>45098</v>
      </c>
      <c r="L9296" s="36">
        <v>45105</v>
      </c>
      <c r="M9296" t="s">
        <v>598</v>
      </c>
      <c r="N9296" t="s">
        <v>608</v>
      </c>
      <c r="O9296" s="37" t="str">
        <f t="shared" si="728"/>
        <v>Cash Payment</v>
      </c>
      <c r="P9296">
        <v>124.43</v>
      </c>
      <c r="Q9296" s="37" t="str">
        <f>IF(P9296&gt;500,"High","low")</f>
        <v>low</v>
      </c>
      <c r="R9296" s="37" t="str">
        <f t="shared" si="729"/>
        <v>AVERAGE</v>
      </c>
      <c r="S9296" t="s">
        <v>605</v>
      </c>
    </row>
    <row r="9297" spans="1:19" x14ac:dyDescent="0.2">
      <c r="A9297" t="s">
        <v>9908</v>
      </c>
      <c r="B9297" t="s">
        <v>90</v>
      </c>
      <c r="C9297" t="s">
        <v>607</v>
      </c>
      <c r="D9297">
        <v>265.79000000000002</v>
      </c>
      <c r="E9297" s="37" t="str">
        <f t="shared" si="725"/>
        <v xml:space="preserve"> </v>
      </c>
      <c r="F9297">
        <v>0.04</v>
      </c>
      <c r="G9297" s="37" t="str">
        <f t="shared" si="726"/>
        <v>Normal Discount</v>
      </c>
      <c r="H9297" s="37" t="str">
        <f t="shared" si="727"/>
        <v>Low</v>
      </c>
      <c r="I9297">
        <v>3</v>
      </c>
      <c r="J9297" t="str" cm="1">
        <f t="array" ref="J9297">_xlfn.IFS(I9297&lt;=3,"small",I9297&lt;=6,"Medium",I9297&lt;=9,"Large")</f>
        <v>small</v>
      </c>
      <c r="K9297" s="36">
        <v>45545</v>
      </c>
      <c r="L9297" s="36">
        <v>45546</v>
      </c>
      <c r="M9297" t="s">
        <v>598</v>
      </c>
      <c r="N9297" t="s">
        <v>599</v>
      </c>
      <c r="O9297" s="37" t="str">
        <f t="shared" si="728"/>
        <v>Digital Payment</v>
      </c>
      <c r="P9297">
        <v>54.61</v>
      </c>
      <c r="Q9297" s="37" t="str">
        <f>IF(P9297&gt;500,"High","low")</f>
        <v>low</v>
      </c>
      <c r="R9297" s="37" t="str">
        <f t="shared" si="729"/>
        <v>AVERAGE</v>
      </c>
      <c r="S9297" t="s">
        <v>600</v>
      </c>
    </row>
    <row r="9298" spans="1:19" x14ac:dyDescent="0.2">
      <c r="A9298" t="s">
        <v>9909</v>
      </c>
      <c r="B9298" t="s">
        <v>90</v>
      </c>
      <c r="C9298" t="s">
        <v>617</v>
      </c>
      <c r="D9298">
        <v>3753.02</v>
      </c>
      <c r="E9298" s="37" t="str">
        <f t="shared" si="725"/>
        <v xml:space="preserve"> </v>
      </c>
      <c r="F9298">
        <v>0.31</v>
      </c>
      <c r="G9298" s="37" t="str">
        <f t="shared" si="726"/>
        <v>Heavy Discount</v>
      </c>
      <c r="H9298" s="37" t="str">
        <f t="shared" si="727"/>
        <v>Medium</v>
      </c>
      <c r="I9298">
        <v>7</v>
      </c>
      <c r="J9298" t="str" cm="1">
        <f t="array" ref="J9298">_xlfn.IFS(I9298&lt;=3,"small",I9298&lt;=6,"Medium",I9298&lt;=9,"Large")</f>
        <v>Large</v>
      </c>
      <c r="K9298" s="36">
        <v>45507</v>
      </c>
      <c r="L9298" s="36">
        <v>45514</v>
      </c>
      <c r="M9298" t="s">
        <v>603</v>
      </c>
      <c r="N9298" t="s">
        <v>604</v>
      </c>
      <c r="O9298" s="37" t="str">
        <f t="shared" si="728"/>
        <v>Digital Payment</v>
      </c>
      <c r="P9298">
        <v>644.07000000000005</v>
      </c>
      <c r="Q9298" s="37" t="str">
        <f>IF(P9298&gt;500,"High","low")</f>
        <v>High</v>
      </c>
      <c r="R9298" s="37" t="str">
        <f t="shared" si="729"/>
        <v>Good</v>
      </c>
      <c r="S9298" t="s">
        <v>605</v>
      </c>
    </row>
    <row r="9299" spans="1:19" x14ac:dyDescent="0.2">
      <c r="A9299" t="s">
        <v>9910</v>
      </c>
      <c r="B9299" t="s">
        <v>90</v>
      </c>
      <c r="C9299" t="s">
        <v>614</v>
      </c>
      <c r="D9299">
        <v>2250.06</v>
      </c>
      <c r="E9299" s="37" t="str">
        <f t="shared" si="725"/>
        <v xml:space="preserve"> </v>
      </c>
      <c r="F9299">
        <v>0.04</v>
      </c>
      <c r="G9299" s="37" t="str">
        <f t="shared" si="726"/>
        <v>Normal Discount</v>
      </c>
      <c r="H9299" s="37" t="str">
        <f t="shared" si="727"/>
        <v>Low</v>
      </c>
      <c r="I9299">
        <v>9</v>
      </c>
      <c r="J9299" t="str" cm="1">
        <f t="array" ref="J9299">_xlfn.IFS(I9299&lt;=3,"small",I9299&lt;=6,"Medium",I9299&lt;=9,"Large")</f>
        <v>Large</v>
      </c>
      <c r="K9299" s="36">
        <v>45286</v>
      </c>
      <c r="L9299" s="36">
        <v>45291</v>
      </c>
      <c r="M9299" t="s">
        <v>612</v>
      </c>
      <c r="N9299" t="s">
        <v>604</v>
      </c>
      <c r="O9299" s="37" t="str">
        <f t="shared" si="728"/>
        <v>Digital Payment</v>
      </c>
      <c r="P9299">
        <v>520.27</v>
      </c>
      <c r="Q9299" s="37" t="str">
        <f>IF(P9299&gt;500,"High","low")</f>
        <v>High</v>
      </c>
      <c r="R9299" s="37" t="str">
        <f t="shared" si="729"/>
        <v>Good</v>
      </c>
      <c r="S9299" t="s">
        <v>605</v>
      </c>
    </row>
    <row r="9300" spans="1:19" x14ac:dyDescent="0.2">
      <c r="A9300" t="s">
        <v>9911</v>
      </c>
      <c r="B9300" t="s">
        <v>83</v>
      </c>
      <c r="C9300" t="s">
        <v>614</v>
      </c>
      <c r="D9300">
        <v>2201.23</v>
      </c>
      <c r="E9300" s="37" t="str">
        <f t="shared" si="725"/>
        <v xml:space="preserve"> </v>
      </c>
      <c r="F9300">
        <v>0.43</v>
      </c>
      <c r="G9300" s="37" t="str">
        <f t="shared" si="726"/>
        <v>Heavy Discount</v>
      </c>
      <c r="H9300" s="37" t="str">
        <f t="shared" si="727"/>
        <v>High</v>
      </c>
      <c r="I9300">
        <v>3</v>
      </c>
      <c r="J9300" t="str" cm="1">
        <f t="array" ref="J9300">_xlfn.IFS(I9300&lt;=3,"small",I9300&lt;=6,"Medium",I9300&lt;=9,"Large")</f>
        <v>small</v>
      </c>
      <c r="K9300" s="36">
        <v>45577</v>
      </c>
      <c r="L9300" s="36">
        <v>45581</v>
      </c>
      <c r="M9300" t="s">
        <v>612</v>
      </c>
      <c r="N9300" t="s">
        <v>604</v>
      </c>
      <c r="O9300" s="37" t="str">
        <f t="shared" si="728"/>
        <v>Digital Payment</v>
      </c>
      <c r="P9300">
        <v>565.4</v>
      </c>
      <c r="Q9300" s="37" t="str">
        <f>IF(P9300&gt;500,"High","low")</f>
        <v>High</v>
      </c>
      <c r="R9300" s="37" t="str">
        <f t="shared" si="729"/>
        <v>Good</v>
      </c>
      <c r="S9300" t="s">
        <v>600</v>
      </c>
    </row>
    <row r="9301" spans="1:19" x14ac:dyDescent="0.2">
      <c r="A9301" t="s">
        <v>9912</v>
      </c>
      <c r="B9301" t="s">
        <v>75</v>
      </c>
      <c r="C9301" t="s">
        <v>617</v>
      </c>
      <c r="D9301">
        <v>1203.99</v>
      </c>
      <c r="E9301" s="37" t="str">
        <f t="shared" si="725"/>
        <v xml:space="preserve"> </v>
      </c>
      <c r="F9301">
        <v>0.47</v>
      </c>
      <c r="G9301" s="37" t="str">
        <f t="shared" si="726"/>
        <v>Heavy Discount</v>
      </c>
      <c r="H9301" s="37" t="str">
        <f t="shared" si="727"/>
        <v>High</v>
      </c>
      <c r="I9301">
        <v>4</v>
      </c>
      <c r="J9301" t="str" cm="1">
        <f t="array" ref="J9301">_xlfn.IFS(I9301&lt;=3,"small",I9301&lt;=6,"Medium",I9301&lt;=9,"Large")</f>
        <v>Medium</v>
      </c>
      <c r="K9301" s="36">
        <v>44969</v>
      </c>
      <c r="L9301" s="36">
        <v>44974</v>
      </c>
      <c r="M9301" t="s">
        <v>603</v>
      </c>
      <c r="N9301" t="s">
        <v>608</v>
      </c>
      <c r="O9301" s="37" t="str">
        <f t="shared" si="728"/>
        <v>Cash Payment</v>
      </c>
      <c r="P9301">
        <v>289.39</v>
      </c>
      <c r="Q9301" s="37" t="str">
        <f>IF(P9301&gt;500,"High","low")</f>
        <v>low</v>
      </c>
      <c r="R9301" s="37" t="str">
        <f t="shared" si="729"/>
        <v>AVERAGE</v>
      </c>
      <c r="S9301" t="s">
        <v>615</v>
      </c>
    </row>
    <row r="9302" spans="1:19" x14ac:dyDescent="0.2">
      <c r="A9302" t="s">
        <v>9913</v>
      </c>
      <c r="B9302" t="s">
        <v>67</v>
      </c>
      <c r="C9302" t="s">
        <v>597</v>
      </c>
      <c r="D9302">
        <v>2583.63</v>
      </c>
      <c r="E9302" s="37" t="str">
        <f t="shared" si="725"/>
        <v xml:space="preserve"> </v>
      </c>
      <c r="F9302">
        <v>0.39</v>
      </c>
      <c r="G9302" s="37" t="str">
        <f t="shared" si="726"/>
        <v>Heavy Discount</v>
      </c>
      <c r="H9302" s="37" t="str">
        <f t="shared" si="727"/>
        <v>Medium</v>
      </c>
      <c r="I9302">
        <v>1</v>
      </c>
      <c r="J9302" t="str" cm="1">
        <f t="array" ref="J9302">_xlfn.IFS(I9302&lt;=3,"small",I9302&lt;=6,"Medium",I9302&lt;=9,"Large")</f>
        <v>small</v>
      </c>
      <c r="K9302" s="36">
        <v>45564</v>
      </c>
      <c r="L9302" s="36">
        <v>45567</v>
      </c>
      <c r="M9302" t="s">
        <v>598</v>
      </c>
      <c r="N9302" t="s">
        <v>608</v>
      </c>
      <c r="O9302" s="37" t="str">
        <f t="shared" si="728"/>
        <v>Cash Payment</v>
      </c>
      <c r="P9302">
        <v>738.75</v>
      </c>
      <c r="Q9302" s="37" t="str">
        <f>IF(P9302&gt;500,"High","low")</f>
        <v>High</v>
      </c>
      <c r="R9302" s="37" t="str">
        <f t="shared" si="729"/>
        <v>Good</v>
      </c>
      <c r="S9302" t="s">
        <v>609</v>
      </c>
    </row>
    <row r="9303" spans="1:19" x14ac:dyDescent="0.2">
      <c r="A9303" t="s">
        <v>9914</v>
      </c>
      <c r="B9303" t="s">
        <v>90</v>
      </c>
      <c r="C9303" t="s">
        <v>597</v>
      </c>
      <c r="D9303">
        <v>2266.64</v>
      </c>
      <c r="E9303" s="37" t="str">
        <f t="shared" si="725"/>
        <v xml:space="preserve"> </v>
      </c>
      <c r="F9303">
        <v>0.36</v>
      </c>
      <c r="G9303" s="37" t="str">
        <f t="shared" si="726"/>
        <v>Heavy Discount</v>
      </c>
      <c r="H9303" s="37" t="str">
        <f t="shared" si="727"/>
        <v>Medium</v>
      </c>
      <c r="I9303">
        <v>7</v>
      </c>
      <c r="J9303" t="str" cm="1">
        <f t="array" ref="J9303">_xlfn.IFS(I9303&lt;=3,"small",I9303&lt;=6,"Medium",I9303&lt;=9,"Large")</f>
        <v>Large</v>
      </c>
      <c r="K9303" s="36">
        <v>45217</v>
      </c>
      <c r="L9303" s="36">
        <v>45221</v>
      </c>
      <c r="M9303" t="s">
        <v>603</v>
      </c>
      <c r="N9303" t="s">
        <v>608</v>
      </c>
      <c r="O9303" s="37" t="str">
        <f t="shared" si="728"/>
        <v>Cash Payment</v>
      </c>
      <c r="P9303">
        <v>427.03</v>
      </c>
      <c r="Q9303" s="37" t="str">
        <f>IF(P9303&gt;500,"High","low")</f>
        <v>low</v>
      </c>
      <c r="R9303" s="37" t="str">
        <f t="shared" si="729"/>
        <v>AVERAGE</v>
      </c>
      <c r="S9303" t="s">
        <v>609</v>
      </c>
    </row>
    <row r="9304" spans="1:19" x14ac:dyDescent="0.2">
      <c r="A9304" t="s">
        <v>9915</v>
      </c>
      <c r="B9304" t="s">
        <v>90</v>
      </c>
      <c r="C9304" t="s">
        <v>614</v>
      </c>
      <c r="D9304">
        <v>1792.71</v>
      </c>
      <c r="E9304" s="37" t="str">
        <f t="shared" si="725"/>
        <v xml:space="preserve"> </v>
      </c>
      <c r="F9304">
        <v>0.47</v>
      </c>
      <c r="G9304" s="37" t="str">
        <f t="shared" si="726"/>
        <v>Heavy Discount</v>
      </c>
      <c r="H9304" s="37" t="str">
        <f t="shared" si="727"/>
        <v>High</v>
      </c>
      <c r="I9304">
        <v>1</v>
      </c>
      <c r="J9304" t="str" cm="1">
        <f t="array" ref="J9304">_xlfn.IFS(I9304&lt;=3,"small",I9304&lt;=6,"Medium",I9304&lt;=9,"Large")</f>
        <v>small</v>
      </c>
      <c r="K9304" s="36">
        <v>45321</v>
      </c>
      <c r="L9304" s="36">
        <v>45326</v>
      </c>
      <c r="M9304" t="s">
        <v>603</v>
      </c>
      <c r="N9304" t="s">
        <v>599</v>
      </c>
      <c r="O9304" s="37" t="str">
        <f t="shared" si="728"/>
        <v>Digital Payment</v>
      </c>
      <c r="P9304">
        <v>472</v>
      </c>
      <c r="Q9304" s="37" t="str">
        <f>IF(P9304&gt;500,"High","low")</f>
        <v>low</v>
      </c>
      <c r="R9304" s="37" t="str">
        <f t="shared" si="729"/>
        <v>AVERAGE</v>
      </c>
      <c r="S9304" t="s">
        <v>628</v>
      </c>
    </row>
    <row r="9305" spans="1:19" x14ac:dyDescent="0.2">
      <c r="A9305" t="s">
        <v>9916</v>
      </c>
      <c r="B9305" t="s">
        <v>75</v>
      </c>
      <c r="C9305" t="s">
        <v>614</v>
      </c>
      <c r="D9305">
        <v>2269.4499999999998</v>
      </c>
      <c r="E9305" s="37" t="str">
        <f t="shared" si="725"/>
        <v xml:space="preserve"> </v>
      </c>
      <c r="F9305">
        <v>0.11</v>
      </c>
      <c r="G9305" s="37" t="str">
        <f t="shared" si="726"/>
        <v>Normal Discount</v>
      </c>
      <c r="H9305" s="37" t="str">
        <f t="shared" si="727"/>
        <v>Low</v>
      </c>
      <c r="I9305">
        <v>3</v>
      </c>
      <c r="J9305" t="str" cm="1">
        <f t="array" ref="J9305">_xlfn.IFS(I9305&lt;=3,"small",I9305&lt;=6,"Medium",I9305&lt;=9,"Large")</f>
        <v>small</v>
      </c>
      <c r="K9305" s="36">
        <v>45156</v>
      </c>
      <c r="L9305" s="36">
        <v>45162</v>
      </c>
      <c r="M9305" t="s">
        <v>612</v>
      </c>
      <c r="N9305" t="s">
        <v>604</v>
      </c>
      <c r="O9305" s="37" t="str">
        <f t="shared" si="728"/>
        <v>Digital Payment</v>
      </c>
      <c r="P9305">
        <v>671.41</v>
      </c>
      <c r="Q9305" s="37" t="str">
        <f>IF(P9305&gt;500,"High","low")</f>
        <v>High</v>
      </c>
      <c r="R9305" s="37" t="str">
        <f t="shared" si="729"/>
        <v>Good</v>
      </c>
      <c r="S9305" t="s">
        <v>620</v>
      </c>
    </row>
    <row r="9306" spans="1:19" x14ac:dyDescent="0.2">
      <c r="A9306" t="s">
        <v>9917</v>
      </c>
      <c r="B9306" t="s">
        <v>90</v>
      </c>
      <c r="C9306" t="s">
        <v>607</v>
      </c>
      <c r="D9306">
        <v>1980.79</v>
      </c>
      <c r="E9306" s="37" t="str">
        <f t="shared" si="725"/>
        <v xml:space="preserve"> </v>
      </c>
      <c r="F9306">
        <v>0.11</v>
      </c>
      <c r="G9306" s="37" t="str">
        <f t="shared" si="726"/>
        <v>Normal Discount</v>
      </c>
      <c r="H9306" s="37" t="str">
        <f t="shared" si="727"/>
        <v>Low</v>
      </c>
      <c r="I9306">
        <v>9</v>
      </c>
      <c r="J9306" t="str" cm="1">
        <f t="array" ref="J9306">_xlfn.IFS(I9306&lt;=3,"small",I9306&lt;=6,"Medium",I9306&lt;=9,"Large")</f>
        <v>Large</v>
      </c>
      <c r="K9306" s="36">
        <v>45236</v>
      </c>
      <c r="L9306" s="36">
        <v>45237</v>
      </c>
      <c r="M9306" t="s">
        <v>612</v>
      </c>
      <c r="N9306" t="s">
        <v>608</v>
      </c>
      <c r="O9306" s="37" t="str">
        <f t="shared" si="728"/>
        <v>Cash Payment</v>
      </c>
      <c r="P9306">
        <v>351.96</v>
      </c>
      <c r="Q9306" s="37" t="str">
        <f>IF(P9306&gt;500,"High","low")</f>
        <v>low</v>
      </c>
      <c r="R9306" s="37" t="str">
        <f t="shared" si="729"/>
        <v>AVERAGE</v>
      </c>
      <c r="S9306" t="s">
        <v>620</v>
      </c>
    </row>
    <row r="9307" spans="1:19" x14ac:dyDescent="0.2">
      <c r="A9307" t="s">
        <v>9918</v>
      </c>
      <c r="B9307" t="s">
        <v>67</v>
      </c>
      <c r="C9307" t="s">
        <v>617</v>
      </c>
      <c r="D9307">
        <v>4705.49</v>
      </c>
      <c r="E9307" s="37" t="str">
        <f t="shared" si="725"/>
        <v xml:space="preserve"> </v>
      </c>
      <c r="F9307">
        <v>0.24</v>
      </c>
      <c r="G9307" s="37" t="str">
        <f t="shared" si="726"/>
        <v>Normal Discount</v>
      </c>
      <c r="H9307" s="37" t="str">
        <f t="shared" si="727"/>
        <v>Medium</v>
      </c>
      <c r="I9307">
        <v>5</v>
      </c>
      <c r="J9307" t="str" cm="1">
        <f t="array" ref="J9307">_xlfn.IFS(I9307&lt;=3,"small",I9307&lt;=6,"Medium",I9307&lt;=9,"Large")</f>
        <v>Medium</v>
      </c>
      <c r="K9307" s="36">
        <v>45232</v>
      </c>
      <c r="L9307" s="36">
        <v>45233</v>
      </c>
      <c r="M9307" t="s">
        <v>603</v>
      </c>
      <c r="N9307" t="s">
        <v>604</v>
      </c>
      <c r="O9307" s="37" t="str">
        <f t="shared" si="728"/>
        <v>Digital Payment</v>
      </c>
      <c r="P9307">
        <v>252.42</v>
      </c>
      <c r="Q9307" s="37" t="str">
        <f>IF(P9307&gt;500,"High","low")</f>
        <v>low</v>
      </c>
      <c r="R9307" s="37" t="str">
        <f t="shared" si="729"/>
        <v>AVERAGE</v>
      </c>
      <c r="S9307" t="s">
        <v>615</v>
      </c>
    </row>
    <row r="9308" spans="1:19" x14ac:dyDescent="0.2">
      <c r="A9308" t="s">
        <v>9919</v>
      </c>
      <c r="B9308" t="s">
        <v>83</v>
      </c>
      <c r="C9308" t="s">
        <v>597</v>
      </c>
      <c r="D9308">
        <v>4903.2299999999996</v>
      </c>
      <c r="E9308" s="37" t="str">
        <f t="shared" si="725"/>
        <v xml:space="preserve"> </v>
      </c>
      <c r="F9308">
        <v>0</v>
      </c>
      <c r="G9308" s="37" t="str">
        <f t="shared" si="726"/>
        <v>Normal Discount</v>
      </c>
      <c r="H9308" s="37" t="str">
        <f t="shared" si="727"/>
        <v>Low</v>
      </c>
      <c r="I9308">
        <v>2</v>
      </c>
      <c r="J9308" t="str" cm="1">
        <f t="array" ref="J9308">_xlfn.IFS(I9308&lt;=3,"small",I9308&lt;=6,"Medium",I9308&lt;=9,"Large")</f>
        <v>small</v>
      </c>
      <c r="K9308" s="36">
        <v>45428</v>
      </c>
      <c r="L9308" s="36">
        <v>45432</v>
      </c>
      <c r="M9308" t="s">
        <v>598</v>
      </c>
      <c r="N9308" t="s">
        <v>608</v>
      </c>
      <c r="O9308" s="37" t="str">
        <f t="shared" si="728"/>
        <v>Cash Payment</v>
      </c>
      <c r="P9308">
        <v>645.38</v>
      </c>
      <c r="Q9308" s="37" t="str">
        <f>IF(P9308&gt;500,"High","low")</f>
        <v>High</v>
      </c>
      <c r="R9308" s="37" t="str">
        <f t="shared" si="729"/>
        <v>Good</v>
      </c>
      <c r="S9308" t="s">
        <v>609</v>
      </c>
    </row>
    <row r="9309" spans="1:19" x14ac:dyDescent="0.2">
      <c r="A9309" t="s">
        <v>9920</v>
      </c>
      <c r="B9309" t="s">
        <v>90</v>
      </c>
      <c r="C9309" t="s">
        <v>607</v>
      </c>
      <c r="D9309">
        <v>4215.51</v>
      </c>
      <c r="E9309" s="37" t="str">
        <f t="shared" si="725"/>
        <v xml:space="preserve"> </v>
      </c>
      <c r="F9309">
        <v>0.48</v>
      </c>
      <c r="G9309" s="37" t="str">
        <f t="shared" si="726"/>
        <v>Heavy Discount</v>
      </c>
      <c r="H9309" s="37" t="str">
        <f t="shared" si="727"/>
        <v>High</v>
      </c>
      <c r="I9309">
        <v>9</v>
      </c>
      <c r="J9309" t="str" cm="1">
        <f t="array" ref="J9309">_xlfn.IFS(I9309&lt;=3,"small",I9309&lt;=6,"Medium",I9309&lt;=9,"Large")</f>
        <v>Large</v>
      </c>
      <c r="K9309" s="36">
        <v>45115</v>
      </c>
      <c r="L9309" s="36">
        <v>45118</v>
      </c>
      <c r="M9309" t="s">
        <v>598</v>
      </c>
      <c r="N9309" t="s">
        <v>599</v>
      </c>
      <c r="O9309" s="37" t="str">
        <f t="shared" si="728"/>
        <v>Digital Payment</v>
      </c>
      <c r="P9309">
        <v>777.36</v>
      </c>
      <c r="Q9309" s="37" t="str">
        <f>IF(P9309&gt;500,"High","low")</f>
        <v>High</v>
      </c>
      <c r="R9309" s="37" t="str">
        <f t="shared" si="729"/>
        <v>Good</v>
      </c>
      <c r="S9309" t="s">
        <v>615</v>
      </c>
    </row>
    <row r="9310" spans="1:19" x14ac:dyDescent="0.2">
      <c r="A9310" t="s">
        <v>9921</v>
      </c>
      <c r="B9310" t="s">
        <v>67</v>
      </c>
      <c r="C9310" t="s">
        <v>597</v>
      </c>
      <c r="D9310">
        <v>4953.03</v>
      </c>
      <c r="E9310" s="37" t="str">
        <f t="shared" si="725"/>
        <v>Excellent Order</v>
      </c>
      <c r="F9310">
        <v>0.02</v>
      </c>
      <c r="G9310" s="37" t="str">
        <f t="shared" si="726"/>
        <v>Normal Discount</v>
      </c>
      <c r="H9310" s="37" t="str">
        <f t="shared" si="727"/>
        <v>Low</v>
      </c>
      <c r="I9310">
        <v>6</v>
      </c>
      <c r="J9310" t="str" cm="1">
        <f t="array" ref="J9310">_xlfn.IFS(I9310&lt;=3,"small",I9310&lt;=6,"Medium",I9310&lt;=9,"Large")</f>
        <v>Medium</v>
      </c>
      <c r="K9310" s="36">
        <v>45315</v>
      </c>
      <c r="L9310" s="36">
        <v>45321</v>
      </c>
      <c r="M9310" t="s">
        <v>598</v>
      </c>
      <c r="N9310" t="s">
        <v>599</v>
      </c>
      <c r="O9310" s="37" t="str">
        <f t="shared" si="728"/>
        <v>Digital Payment</v>
      </c>
      <c r="P9310">
        <v>1090.23</v>
      </c>
      <c r="Q9310" s="37" t="str">
        <f>IF(P9310&gt;500,"High","low")</f>
        <v>High</v>
      </c>
      <c r="R9310" s="37" t="str">
        <f t="shared" si="729"/>
        <v>Excellent</v>
      </c>
      <c r="S9310" t="s">
        <v>620</v>
      </c>
    </row>
    <row r="9311" spans="1:19" x14ac:dyDescent="0.2">
      <c r="A9311" t="s">
        <v>9922</v>
      </c>
      <c r="B9311" t="s">
        <v>90</v>
      </c>
      <c r="C9311" t="s">
        <v>614</v>
      </c>
      <c r="D9311">
        <v>1402.03</v>
      </c>
      <c r="E9311" s="37" t="str">
        <f t="shared" si="725"/>
        <v xml:space="preserve"> </v>
      </c>
      <c r="F9311">
        <v>0.3</v>
      </c>
      <c r="G9311" s="37" t="str">
        <f t="shared" si="726"/>
        <v>Normal Discount</v>
      </c>
      <c r="H9311" s="37" t="str">
        <f t="shared" si="727"/>
        <v>Medium</v>
      </c>
      <c r="I9311">
        <v>9</v>
      </c>
      <c r="J9311" t="str" cm="1">
        <f t="array" ref="J9311">_xlfn.IFS(I9311&lt;=3,"small",I9311&lt;=6,"Medium",I9311&lt;=9,"Large")</f>
        <v>Large</v>
      </c>
      <c r="K9311" s="36">
        <v>45041</v>
      </c>
      <c r="L9311" s="36">
        <v>45046</v>
      </c>
      <c r="M9311" t="s">
        <v>603</v>
      </c>
      <c r="N9311" t="s">
        <v>604</v>
      </c>
      <c r="O9311" s="37" t="str">
        <f t="shared" si="728"/>
        <v>Digital Payment</v>
      </c>
      <c r="P9311">
        <v>277.64999999999998</v>
      </c>
      <c r="Q9311" s="37" t="str">
        <f>IF(P9311&gt;500,"High","low")</f>
        <v>low</v>
      </c>
      <c r="R9311" s="37" t="str">
        <f t="shared" si="729"/>
        <v>AVERAGE</v>
      </c>
      <c r="S9311" t="s">
        <v>628</v>
      </c>
    </row>
    <row r="9312" spans="1:19" x14ac:dyDescent="0.2">
      <c r="A9312" t="s">
        <v>9923</v>
      </c>
      <c r="B9312" t="s">
        <v>75</v>
      </c>
      <c r="C9312" t="s">
        <v>617</v>
      </c>
      <c r="D9312">
        <v>4230.33</v>
      </c>
      <c r="E9312" s="37" t="str">
        <f t="shared" si="725"/>
        <v>Excellent Order</v>
      </c>
      <c r="F9312">
        <v>0.18</v>
      </c>
      <c r="G9312" s="37" t="str">
        <f t="shared" si="726"/>
        <v>Normal Discount</v>
      </c>
      <c r="H9312" s="37" t="str">
        <f t="shared" si="727"/>
        <v>Low</v>
      </c>
      <c r="I9312">
        <v>4</v>
      </c>
      <c r="J9312" t="str" cm="1">
        <f t="array" ref="J9312">_xlfn.IFS(I9312&lt;=3,"small",I9312&lt;=6,"Medium",I9312&lt;=9,"Large")</f>
        <v>Medium</v>
      </c>
      <c r="K9312" s="36">
        <v>45283</v>
      </c>
      <c r="L9312" s="36">
        <v>45286</v>
      </c>
      <c r="M9312" t="s">
        <v>603</v>
      </c>
      <c r="N9312" t="s">
        <v>604</v>
      </c>
      <c r="O9312" s="37" t="str">
        <f t="shared" si="728"/>
        <v>Digital Payment</v>
      </c>
      <c r="P9312">
        <v>896.75</v>
      </c>
      <c r="Q9312" s="37" t="str">
        <f>IF(P9312&gt;500,"High","low")</f>
        <v>High</v>
      </c>
      <c r="R9312" s="37" t="str">
        <f t="shared" si="729"/>
        <v>Good</v>
      </c>
      <c r="S9312" t="s">
        <v>615</v>
      </c>
    </row>
    <row r="9313" spans="1:19" x14ac:dyDescent="0.2">
      <c r="A9313" t="s">
        <v>9924</v>
      </c>
      <c r="B9313" t="s">
        <v>90</v>
      </c>
      <c r="C9313" t="s">
        <v>602</v>
      </c>
      <c r="D9313">
        <v>2092.48</v>
      </c>
      <c r="E9313" s="37" t="str">
        <f t="shared" si="725"/>
        <v xml:space="preserve"> </v>
      </c>
      <c r="F9313">
        <v>0.05</v>
      </c>
      <c r="G9313" s="37" t="str">
        <f t="shared" si="726"/>
        <v>Normal Discount</v>
      </c>
      <c r="H9313" s="37" t="str">
        <f t="shared" si="727"/>
        <v>Low</v>
      </c>
      <c r="I9313">
        <v>6</v>
      </c>
      <c r="J9313" t="str" cm="1">
        <f t="array" ref="J9313">_xlfn.IFS(I9313&lt;=3,"small",I9313&lt;=6,"Medium",I9313&lt;=9,"Large")</f>
        <v>Medium</v>
      </c>
      <c r="K9313" s="36">
        <v>45080</v>
      </c>
      <c r="L9313" s="36">
        <v>45087</v>
      </c>
      <c r="M9313" t="s">
        <v>612</v>
      </c>
      <c r="N9313" t="s">
        <v>608</v>
      </c>
      <c r="O9313" s="37" t="str">
        <f t="shared" si="728"/>
        <v>Cash Payment</v>
      </c>
      <c r="P9313">
        <v>482.63</v>
      </c>
      <c r="Q9313" s="37" t="str">
        <f>IF(P9313&gt;500,"High","low")</f>
        <v>low</v>
      </c>
      <c r="R9313" s="37" t="str">
        <f t="shared" si="729"/>
        <v>AVERAGE</v>
      </c>
      <c r="S9313" t="s">
        <v>615</v>
      </c>
    </row>
    <row r="9314" spans="1:19" x14ac:dyDescent="0.2">
      <c r="A9314" t="s">
        <v>9925</v>
      </c>
      <c r="B9314" t="s">
        <v>90</v>
      </c>
      <c r="C9314" t="s">
        <v>617</v>
      </c>
      <c r="D9314">
        <v>3756.07</v>
      </c>
      <c r="E9314" s="37" t="str">
        <f t="shared" si="725"/>
        <v xml:space="preserve"> </v>
      </c>
      <c r="F9314">
        <v>0.01</v>
      </c>
      <c r="G9314" s="37" t="str">
        <f t="shared" si="726"/>
        <v>Normal Discount</v>
      </c>
      <c r="H9314" s="37" t="str">
        <f t="shared" si="727"/>
        <v>Low</v>
      </c>
      <c r="I9314">
        <v>7</v>
      </c>
      <c r="J9314" t="str" cm="1">
        <f t="array" ref="J9314">_xlfn.IFS(I9314&lt;=3,"small",I9314&lt;=6,"Medium",I9314&lt;=9,"Large")</f>
        <v>Large</v>
      </c>
      <c r="K9314" s="36">
        <v>45279</v>
      </c>
      <c r="L9314" s="36">
        <v>45280</v>
      </c>
      <c r="M9314" t="s">
        <v>603</v>
      </c>
      <c r="N9314" t="s">
        <v>604</v>
      </c>
      <c r="O9314" s="37" t="str">
        <f t="shared" si="728"/>
        <v>Digital Payment</v>
      </c>
      <c r="P9314">
        <v>654.11</v>
      </c>
      <c r="Q9314" s="37" t="str">
        <f>IF(P9314&gt;500,"High","low")</f>
        <v>High</v>
      </c>
      <c r="R9314" s="37" t="str">
        <f t="shared" si="729"/>
        <v>Good</v>
      </c>
      <c r="S9314" t="s">
        <v>620</v>
      </c>
    </row>
    <row r="9315" spans="1:19" x14ac:dyDescent="0.2">
      <c r="A9315" t="s">
        <v>9926</v>
      </c>
      <c r="B9315" t="s">
        <v>83</v>
      </c>
      <c r="C9315" t="s">
        <v>602</v>
      </c>
      <c r="D9315">
        <v>1086.82</v>
      </c>
      <c r="E9315" s="37" t="str">
        <f t="shared" si="725"/>
        <v xml:space="preserve"> </v>
      </c>
      <c r="F9315">
        <v>0.13</v>
      </c>
      <c r="G9315" s="37" t="str">
        <f t="shared" si="726"/>
        <v>Normal Discount</v>
      </c>
      <c r="H9315" s="37" t="str">
        <f t="shared" si="727"/>
        <v>Low</v>
      </c>
      <c r="I9315">
        <v>6</v>
      </c>
      <c r="J9315" t="str" cm="1">
        <f t="array" ref="J9315">_xlfn.IFS(I9315&lt;=3,"small",I9315&lt;=6,"Medium",I9315&lt;=9,"Large")</f>
        <v>Medium</v>
      </c>
      <c r="K9315" s="36">
        <v>45599</v>
      </c>
      <c r="L9315" s="36">
        <v>45601</v>
      </c>
      <c r="M9315" t="s">
        <v>612</v>
      </c>
      <c r="N9315" t="s">
        <v>604</v>
      </c>
      <c r="O9315" s="37" t="str">
        <f t="shared" si="728"/>
        <v>Digital Payment</v>
      </c>
      <c r="P9315">
        <v>279.33</v>
      </c>
      <c r="Q9315" s="37" t="str">
        <f>IF(P9315&gt;500,"High","low")</f>
        <v>low</v>
      </c>
      <c r="R9315" s="37" t="str">
        <f t="shared" si="729"/>
        <v>AVERAGE</v>
      </c>
      <c r="S9315" t="s">
        <v>609</v>
      </c>
    </row>
    <row r="9316" spans="1:19" x14ac:dyDescent="0.2">
      <c r="A9316" t="s">
        <v>9927</v>
      </c>
      <c r="B9316" t="s">
        <v>75</v>
      </c>
      <c r="C9316" t="s">
        <v>607</v>
      </c>
      <c r="D9316">
        <v>4078.58</v>
      </c>
      <c r="E9316" s="37" t="str">
        <f t="shared" si="725"/>
        <v>Excellent Order</v>
      </c>
      <c r="F9316">
        <v>0.05</v>
      </c>
      <c r="G9316" s="37" t="str">
        <f t="shared" si="726"/>
        <v>Normal Discount</v>
      </c>
      <c r="H9316" s="37" t="str">
        <f t="shared" si="727"/>
        <v>Low</v>
      </c>
      <c r="I9316">
        <v>4</v>
      </c>
      <c r="J9316" t="str" cm="1">
        <f t="array" ref="J9316">_xlfn.IFS(I9316&lt;=3,"small",I9316&lt;=6,"Medium",I9316&lt;=9,"Large")</f>
        <v>Medium</v>
      </c>
      <c r="K9316" s="36">
        <v>45077</v>
      </c>
      <c r="L9316" s="36">
        <v>45079</v>
      </c>
      <c r="M9316" t="s">
        <v>598</v>
      </c>
      <c r="N9316" t="s">
        <v>604</v>
      </c>
      <c r="O9316" s="37" t="str">
        <f t="shared" si="728"/>
        <v>Digital Payment</v>
      </c>
      <c r="P9316">
        <v>882.7</v>
      </c>
      <c r="Q9316" s="37" t="str">
        <f>IF(P9316&gt;500,"High","low")</f>
        <v>High</v>
      </c>
      <c r="R9316" s="37" t="str">
        <f t="shared" si="729"/>
        <v>Good</v>
      </c>
      <c r="S9316" t="s">
        <v>620</v>
      </c>
    </row>
    <row r="9317" spans="1:19" x14ac:dyDescent="0.2">
      <c r="A9317" t="s">
        <v>9928</v>
      </c>
      <c r="B9317" t="s">
        <v>75</v>
      </c>
      <c r="C9317" t="s">
        <v>602</v>
      </c>
      <c r="D9317">
        <v>508.98</v>
      </c>
      <c r="E9317" s="37" t="str">
        <f t="shared" si="725"/>
        <v xml:space="preserve"> </v>
      </c>
      <c r="F9317">
        <v>0.47</v>
      </c>
      <c r="G9317" s="37" t="str">
        <f t="shared" si="726"/>
        <v>Heavy Discount</v>
      </c>
      <c r="H9317" s="37" t="str">
        <f t="shared" si="727"/>
        <v>High</v>
      </c>
      <c r="I9317">
        <v>8</v>
      </c>
      <c r="J9317" t="str" cm="1">
        <f t="array" ref="J9317">_xlfn.IFS(I9317&lt;=3,"small",I9317&lt;=6,"Medium",I9317&lt;=9,"Large")</f>
        <v>Large</v>
      </c>
      <c r="K9317" s="36">
        <v>45125</v>
      </c>
      <c r="L9317" s="36">
        <v>45128</v>
      </c>
      <c r="M9317" t="s">
        <v>603</v>
      </c>
      <c r="N9317" t="s">
        <v>604</v>
      </c>
      <c r="O9317" s="37" t="str">
        <f t="shared" si="728"/>
        <v>Digital Payment</v>
      </c>
      <c r="P9317">
        <v>124.17</v>
      </c>
      <c r="Q9317" s="37" t="str">
        <f>IF(P9317&gt;500,"High","low")</f>
        <v>low</v>
      </c>
      <c r="R9317" s="37" t="str">
        <f t="shared" si="729"/>
        <v>AVERAGE</v>
      </c>
      <c r="S9317" t="s">
        <v>628</v>
      </c>
    </row>
    <row r="9318" spans="1:19" x14ac:dyDescent="0.2">
      <c r="A9318" t="s">
        <v>9929</v>
      </c>
      <c r="B9318" t="s">
        <v>83</v>
      </c>
      <c r="C9318" t="s">
        <v>602</v>
      </c>
      <c r="D9318">
        <v>1425.73</v>
      </c>
      <c r="E9318" s="37" t="str">
        <f t="shared" si="725"/>
        <v xml:space="preserve"> </v>
      </c>
      <c r="F9318">
        <v>0.12</v>
      </c>
      <c r="G9318" s="37" t="str">
        <f t="shared" si="726"/>
        <v>Normal Discount</v>
      </c>
      <c r="H9318" s="37" t="str">
        <f t="shared" si="727"/>
        <v>Low</v>
      </c>
      <c r="I9318">
        <v>6</v>
      </c>
      <c r="J9318" t="str" cm="1">
        <f t="array" ref="J9318">_xlfn.IFS(I9318&lt;=3,"small",I9318&lt;=6,"Medium",I9318&lt;=9,"Large")</f>
        <v>Medium</v>
      </c>
      <c r="K9318" s="36">
        <v>45198</v>
      </c>
      <c r="L9318" s="36">
        <v>45199</v>
      </c>
      <c r="M9318" t="s">
        <v>612</v>
      </c>
      <c r="N9318" t="s">
        <v>604</v>
      </c>
      <c r="O9318" s="37" t="str">
        <f t="shared" si="728"/>
        <v>Digital Payment</v>
      </c>
      <c r="P9318">
        <v>306.89</v>
      </c>
      <c r="Q9318" s="37" t="str">
        <f>IF(P9318&gt;500,"High","low")</f>
        <v>low</v>
      </c>
      <c r="R9318" s="37" t="str">
        <f t="shared" si="729"/>
        <v>AVERAGE</v>
      </c>
      <c r="S9318" t="s">
        <v>605</v>
      </c>
    </row>
    <row r="9319" spans="1:19" x14ac:dyDescent="0.2">
      <c r="A9319" t="s">
        <v>9930</v>
      </c>
      <c r="B9319" t="s">
        <v>90</v>
      </c>
      <c r="C9319" t="s">
        <v>607</v>
      </c>
      <c r="D9319">
        <v>4127.57</v>
      </c>
      <c r="E9319" s="37" t="str">
        <f t="shared" si="725"/>
        <v xml:space="preserve"> </v>
      </c>
      <c r="F9319">
        <v>0.05</v>
      </c>
      <c r="G9319" s="37" t="str">
        <f t="shared" si="726"/>
        <v>Normal Discount</v>
      </c>
      <c r="H9319" s="37" t="str">
        <f t="shared" si="727"/>
        <v>Low</v>
      </c>
      <c r="I9319">
        <v>2</v>
      </c>
      <c r="J9319" t="str" cm="1">
        <f t="array" ref="J9319">_xlfn.IFS(I9319&lt;=3,"small",I9319&lt;=6,"Medium",I9319&lt;=9,"Large")</f>
        <v>small</v>
      </c>
      <c r="K9319" s="36">
        <v>45383</v>
      </c>
      <c r="L9319" s="36">
        <v>45384</v>
      </c>
      <c r="M9319" t="s">
        <v>598</v>
      </c>
      <c r="N9319" t="s">
        <v>604</v>
      </c>
      <c r="O9319" s="37" t="str">
        <f t="shared" si="728"/>
        <v>Digital Payment</v>
      </c>
      <c r="P9319">
        <v>317.85000000000002</v>
      </c>
      <c r="Q9319" s="37" t="str">
        <f>IF(P9319&gt;500,"High","low")</f>
        <v>low</v>
      </c>
      <c r="R9319" s="37" t="str">
        <f t="shared" si="729"/>
        <v>AVERAGE</v>
      </c>
      <c r="S9319" t="s">
        <v>609</v>
      </c>
    </row>
    <row r="9320" spans="1:19" x14ac:dyDescent="0.2">
      <c r="A9320" t="s">
        <v>9931</v>
      </c>
      <c r="B9320" t="s">
        <v>67</v>
      </c>
      <c r="C9320" t="s">
        <v>617</v>
      </c>
      <c r="D9320">
        <v>3761.08</v>
      </c>
      <c r="E9320" s="37" t="str">
        <f t="shared" si="725"/>
        <v xml:space="preserve"> </v>
      </c>
      <c r="F9320">
        <v>0.38</v>
      </c>
      <c r="G9320" s="37" t="str">
        <f t="shared" si="726"/>
        <v>Heavy Discount</v>
      </c>
      <c r="H9320" s="37" t="str">
        <f t="shared" si="727"/>
        <v>Medium</v>
      </c>
      <c r="I9320">
        <v>6</v>
      </c>
      <c r="J9320" t="str" cm="1">
        <f t="array" ref="J9320">_xlfn.IFS(I9320&lt;=3,"small",I9320&lt;=6,"Medium",I9320&lt;=9,"Large")</f>
        <v>Medium</v>
      </c>
      <c r="K9320" s="36">
        <v>45466</v>
      </c>
      <c r="L9320" s="36">
        <v>45468</v>
      </c>
      <c r="M9320" t="s">
        <v>612</v>
      </c>
      <c r="N9320" t="s">
        <v>599</v>
      </c>
      <c r="O9320" s="37" t="str">
        <f t="shared" si="728"/>
        <v>Digital Payment</v>
      </c>
      <c r="P9320">
        <v>333.83</v>
      </c>
      <c r="Q9320" s="37" t="str">
        <f>IF(P9320&gt;500,"High","low")</f>
        <v>low</v>
      </c>
      <c r="R9320" s="37" t="str">
        <f t="shared" si="729"/>
        <v>AVERAGE</v>
      </c>
      <c r="S9320" t="s">
        <v>628</v>
      </c>
    </row>
    <row r="9321" spans="1:19" x14ac:dyDescent="0.2">
      <c r="A9321" t="s">
        <v>9932</v>
      </c>
      <c r="B9321" t="s">
        <v>75</v>
      </c>
      <c r="C9321" t="s">
        <v>607</v>
      </c>
      <c r="D9321">
        <v>2556.11</v>
      </c>
      <c r="E9321" s="37" t="str">
        <f t="shared" si="725"/>
        <v xml:space="preserve"> </v>
      </c>
      <c r="F9321">
        <v>0.21</v>
      </c>
      <c r="G9321" s="37" t="str">
        <f t="shared" si="726"/>
        <v>Normal Discount</v>
      </c>
      <c r="H9321" s="37" t="str">
        <f t="shared" si="727"/>
        <v>Medium</v>
      </c>
      <c r="I9321">
        <v>1</v>
      </c>
      <c r="J9321" t="str" cm="1">
        <f t="array" ref="J9321">_xlfn.IFS(I9321&lt;=3,"small",I9321&lt;=6,"Medium",I9321&lt;=9,"Large")</f>
        <v>small</v>
      </c>
      <c r="K9321" s="36">
        <v>45333</v>
      </c>
      <c r="L9321" s="36">
        <v>45335</v>
      </c>
      <c r="M9321" t="s">
        <v>603</v>
      </c>
      <c r="N9321" t="s">
        <v>608</v>
      </c>
      <c r="O9321" s="37" t="str">
        <f t="shared" si="728"/>
        <v>Cash Payment</v>
      </c>
      <c r="P9321">
        <v>236.32</v>
      </c>
      <c r="Q9321" s="37" t="str">
        <f>IF(P9321&gt;500,"High","low")</f>
        <v>low</v>
      </c>
      <c r="R9321" s="37" t="str">
        <f t="shared" si="729"/>
        <v>AVERAGE</v>
      </c>
      <c r="S9321" t="s">
        <v>620</v>
      </c>
    </row>
    <row r="9322" spans="1:19" x14ac:dyDescent="0.2">
      <c r="A9322" t="s">
        <v>9933</v>
      </c>
      <c r="B9322" t="s">
        <v>75</v>
      </c>
      <c r="C9322" t="s">
        <v>614</v>
      </c>
      <c r="D9322">
        <v>3396.68</v>
      </c>
      <c r="E9322" s="37" t="str">
        <f t="shared" si="725"/>
        <v xml:space="preserve"> </v>
      </c>
      <c r="F9322">
        <v>0.42</v>
      </c>
      <c r="G9322" s="37" t="str">
        <f t="shared" si="726"/>
        <v>Heavy Discount</v>
      </c>
      <c r="H9322" s="37" t="str">
        <f t="shared" si="727"/>
        <v>High</v>
      </c>
      <c r="I9322">
        <v>9</v>
      </c>
      <c r="J9322" t="str" cm="1">
        <f t="array" ref="J9322">_xlfn.IFS(I9322&lt;=3,"small",I9322&lt;=6,"Medium",I9322&lt;=9,"Large")</f>
        <v>Large</v>
      </c>
      <c r="K9322" s="36">
        <v>45578</v>
      </c>
      <c r="L9322" s="36">
        <v>45584</v>
      </c>
      <c r="M9322" t="s">
        <v>598</v>
      </c>
      <c r="N9322" t="s">
        <v>599</v>
      </c>
      <c r="O9322" s="37" t="str">
        <f t="shared" si="728"/>
        <v>Digital Payment</v>
      </c>
      <c r="P9322">
        <v>211.28</v>
      </c>
      <c r="Q9322" s="37" t="str">
        <f>IF(P9322&gt;500,"High","low")</f>
        <v>low</v>
      </c>
      <c r="R9322" s="37" t="str">
        <f t="shared" si="729"/>
        <v>AVERAGE</v>
      </c>
      <c r="S9322" t="s">
        <v>609</v>
      </c>
    </row>
    <row r="9323" spans="1:19" x14ac:dyDescent="0.2">
      <c r="A9323" t="s">
        <v>9934</v>
      </c>
      <c r="B9323" t="s">
        <v>90</v>
      </c>
      <c r="C9323" t="s">
        <v>614</v>
      </c>
      <c r="D9323">
        <v>1009.31</v>
      </c>
      <c r="E9323" s="37" t="str">
        <f t="shared" si="725"/>
        <v xml:space="preserve"> </v>
      </c>
      <c r="F9323">
        <v>0.42</v>
      </c>
      <c r="G9323" s="37" t="str">
        <f t="shared" si="726"/>
        <v>Heavy Discount</v>
      </c>
      <c r="H9323" s="37" t="str">
        <f t="shared" si="727"/>
        <v>High</v>
      </c>
      <c r="I9323">
        <v>7</v>
      </c>
      <c r="J9323" t="str" cm="1">
        <f t="array" ref="J9323">_xlfn.IFS(I9323&lt;=3,"small",I9323&lt;=6,"Medium",I9323&lt;=9,"Large")</f>
        <v>Large</v>
      </c>
      <c r="K9323" s="36">
        <v>45480</v>
      </c>
      <c r="L9323" s="36">
        <v>45485</v>
      </c>
      <c r="M9323" t="s">
        <v>598</v>
      </c>
      <c r="N9323" t="s">
        <v>604</v>
      </c>
      <c r="O9323" s="37" t="str">
        <f t="shared" si="728"/>
        <v>Digital Payment</v>
      </c>
      <c r="P9323">
        <v>105.66</v>
      </c>
      <c r="Q9323" s="37" t="str">
        <f>IF(P9323&gt;500,"High","low")</f>
        <v>low</v>
      </c>
      <c r="R9323" s="37" t="str">
        <f t="shared" si="729"/>
        <v>AVERAGE</v>
      </c>
      <c r="S9323" t="s">
        <v>605</v>
      </c>
    </row>
    <row r="9324" spans="1:19" x14ac:dyDescent="0.2">
      <c r="A9324" t="s">
        <v>9935</v>
      </c>
      <c r="B9324" t="s">
        <v>90</v>
      </c>
      <c r="C9324" t="s">
        <v>602</v>
      </c>
      <c r="D9324">
        <v>3372.04</v>
      </c>
      <c r="E9324" s="37" t="str">
        <f t="shared" si="725"/>
        <v xml:space="preserve"> </v>
      </c>
      <c r="F9324">
        <v>0.5</v>
      </c>
      <c r="G9324" s="37" t="str">
        <f t="shared" si="726"/>
        <v>Heavy Discount</v>
      </c>
      <c r="H9324" s="37" t="str">
        <f t="shared" si="727"/>
        <v>High</v>
      </c>
      <c r="I9324">
        <v>8</v>
      </c>
      <c r="J9324" t="str" cm="1">
        <f t="array" ref="J9324">_xlfn.IFS(I9324&lt;=3,"small",I9324&lt;=6,"Medium",I9324&lt;=9,"Large")</f>
        <v>Large</v>
      </c>
      <c r="K9324" s="36">
        <v>44935</v>
      </c>
      <c r="L9324" s="36">
        <v>44940</v>
      </c>
      <c r="M9324" t="s">
        <v>598</v>
      </c>
      <c r="N9324" t="s">
        <v>604</v>
      </c>
      <c r="O9324" s="37" t="str">
        <f t="shared" si="728"/>
        <v>Digital Payment</v>
      </c>
      <c r="P9324">
        <v>640.72</v>
      </c>
      <c r="Q9324" s="37" t="str">
        <f>IF(P9324&gt;500,"High","low")</f>
        <v>High</v>
      </c>
      <c r="R9324" s="37" t="str">
        <f t="shared" si="729"/>
        <v>Good</v>
      </c>
      <c r="S9324" t="s">
        <v>620</v>
      </c>
    </row>
    <row r="9325" spans="1:19" x14ac:dyDescent="0.2">
      <c r="A9325" t="s">
        <v>9936</v>
      </c>
      <c r="B9325" t="s">
        <v>75</v>
      </c>
      <c r="C9325" t="s">
        <v>607</v>
      </c>
      <c r="D9325">
        <v>139.08000000000001</v>
      </c>
      <c r="E9325" s="37" t="str">
        <f t="shared" si="725"/>
        <v xml:space="preserve"> </v>
      </c>
      <c r="F9325">
        <v>0.4</v>
      </c>
      <c r="G9325" s="37" t="str">
        <f t="shared" si="726"/>
        <v>Heavy Discount</v>
      </c>
      <c r="H9325" s="37" t="str">
        <f t="shared" si="727"/>
        <v>Medium</v>
      </c>
      <c r="I9325">
        <v>4</v>
      </c>
      <c r="J9325" t="str" cm="1">
        <f t="array" ref="J9325">_xlfn.IFS(I9325&lt;=3,"small",I9325&lt;=6,"Medium",I9325&lt;=9,"Large")</f>
        <v>Medium</v>
      </c>
      <c r="K9325" s="36">
        <v>44984</v>
      </c>
      <c r="L9325" s="36">
        <v>44991</v>
      </c>
      <c r="M9325" t="s">
        <v>603</v>
      </c>
      <c r="N9325" t="s">
        <v>604</v>
      </c>
      <c r="O9325" s="37" t="str">
        <f t="shared" si="728"/>
        <v>Digital Payment</v>
      </c>
      <c r="P9325">
        <v>9.0399999999999991</v>
      </c>
      <c r="Q9325" s="37" t="str">
        <f>IF(P9325&gt;500,"High","low")</f>
        <v>low</v>
      </c>
      <c r="R9325" s="37" t="str">
        <f t="shared" si="729"/>
        <v>AVERAGE</v>
      </c>
      <c r="S9325" t="s">
        <v>605</v>
      </c>
    </row>
    <row r="9326" spans="1:19" x14ac:dyDescent="0.2">
      <c r="A9326" t="s">
        <v>9937</v>
      </c>
      <c r="B9326" t="s">
        <v>90</v>
      </c>
      <c r="C9326" t="s">
        <v>607</v>
      </c>
      <c r="D9326">
        <v>4182.76</v>
      </c>
      <c r="E9326" s="37" t="str">
        <f t="shared" si="725"/>
        <v xml:space="preserve"> </v>
      </c>
      <c r="F9326">
        <v>0.11</v>
      </c>
      <c r="G9326" s="37" t="str">
        <f t="shared" si="726"/>
        <v>Normal Discount</v>
      </c>
      <c r="H9326" s="37" t="str">
        <f t="shared" si="727"/>
        <v>Low</v>
      </c>
      <c r="I9326">
        <v>8</v>
      </c>
      <c r="J9326" t="str" cm="1">
        <f t="array" ref="J9326">_xlfn.IFS(I9326&lt;=3,"small",I9326&lt;=6,"Medium",I9326&lt;=9,"Large")</f>
        <v>Large</v>
      </c>
      <c r="K9326" s="36">
        <v>45291</v>
      </c>
      <c r="L9326" s="36">
        <v>45293</v>
      </c>
      <c r="M9326" t="s">
        <v>603</v>
      </c>
      <c r="N9326" t="s">
        <v>604</v>
      </c>
      <c r="O9326" s="37" t="str">
        <f t="shared" si="728"/>
        <v>Digital Payment</v>
      </c>
      <c r="P9326">
        <v>505.63</v>
      </c>
      <c r="Q9326" s="37" t="str">
        <f>IF(P9326&gt;500,"High","low")</f>
        <v>High</v>
      </c>
      <c r="R9326" s="37" t="str">
        <f t="shared" si="729"/>
        <v>Good</v>
      </c>
      <c r="S9326" t="s">
        <v>615</v>
      </c>
    </row>
    <row r="9327" spans="1:19" x14ac:dyDescent="0.2">
      <c r="A9327" t="s">
        <v>9938</v>
      </c>
      <c r="B9327" t="s">
        <v>67</v>
      </c>
      <c r="C9327" t="s">
        <v>607</v>
      </c>
      <c r="D9327">
        <v>2629.81</v>
      </c>
      <c r="E9327" s="37" t="str">
        <f t="shared" si="725"/>
        <v xml:space="preserve"> </v>
      </c>
      <c r="F9327">
        <v>0.28999999999999998</v>
      </c>
      <c r="G9327" s="37" t="str">
        <f t="shared" si="726"/>
        <v>Normal Discount</v>
      </c>
      <c r="H9327" s="37" t="str">
        <f t="shared" si="727"/>
        <v>Medium</v>
      </c>
      <c r="I9327">
        <v>1</v>
      </c>
      <c r="J9327" t="str" cm="1">
        <f t="array" ref="J9327">_xlfn.IFS(I9327&lt;=3,"small",I9327&lt;=6,"Medium",I9327&lt;=9,"Large")</f>
        <v>small</v>
      </c>
      <c r="K9327" s="36">
        <v>45258</v>
      </c>
      <c r="L9327" s="36">
        <v>45265</v>
      </c>
      <c r="M9327" t="s">
        <v>603</v>
      </c>
      <c r="N9327" t="s">
        <v>608</v>
      </c>
      <c r="O9327" s="37" t="str">
        <f t="shared" si="728"/>
        <v>Cash Payment</v>
      </c>
      <c r="P9327">
        <v>541.16999999999996</v>
      </c>
      <c r="Q9327" s="37" t="str">
        <f>IF(P9327&gt;500,"High","low")</f>
        <v>High</v>
      </c>
      <c r="R9327" s="37" t="str">
        <f t="shared" si="729"/>
        <v>Good</v>
      </c>
      <c r="S9327" t="s">
        <v>605</v>
      </c>
    </row>
    <row r="9328" spans="1:19" x14ac:dyDescent="0.2">
      <c r="A9328" t="s">
        <v>9939</v>
      </c>
      <c r="B9328" t="s">
        <v>75</v>
      </c>
      <c r="C9328" t="s">
        <v>617</v>
      </c>
      <c r="D9328">
        <v>4725</v>
      </c>
      <c r="E9328" s="37" t="str">
        <f t="shared" si="725"/>
        <v xml:space="preserve"> </v>
      </c>
      <c r="F9328">
        <v>0.26</v>
      </c>
      <c r="G9328" s="37" t="str">
        <f t="shared" si="726"/>
        <v>Normal Discount</v>
      </c>
      <c r="H9328" s="37" t="str">
        <f t="shared" si="727"/>
        <v>Medium</v>
      </c>
      <c r="I9328">
        <v>4</v>
      </c>
      <c r="J9328" t="str" cm="1">
        <f t="array" ref="J9328">_xlfn.IFS(I9328&lt;=3,"small",I9328&lt;=6,"Medium",I9328&lt;=9,"Large")</f>
        <v>Medium</v>
      </c>
      <c r="K9328" s="36">
        <v>45127</v>
      </c>
      <c r="L9328" s="36">
        <v>45130</v>
      </c>
      <c r="M9328" t="s">
        <v>598</v>
      </c>
      <c r="N9328" t="s">
        <v>608</v>
      </c>
      <c r="O9328" s="37" t="str">
        <f t="shared" si="728"/>
        <v>Cash Payment</v>
      </c>
      <c r="P9328">
        <v>472.39</v>
      </c>
      <c r="Q9328" s="37" t="str">
        <f>IF(P9328&gt;500,"High","low")</f>
        <v>low</v>
      </c>
      <c r="R9328" s="37" t="str">
        <f t="shared" si="729"/>
        <v>AVERAGE</v>
      </c>
      <c r="S9328" t="s">
        <v>615</v>
      </c>
    </row>
    <row r="9329" spans="1:19" x14ac:dyDescent="0.2">
      <c r="A9329" t="s">
        <v>9940</v>
      </c>
      <c r="B9329" t="s">
        <v>67</v>
      </c>
      <c r="C9329" t="s">
        <v>597</v>
      </c>
      <c r="D9329">
        <v>2443</v>
      </c>
      <c r="E9329" s="37" t="str">
        <f t="shared" si="725"/>
        <v xml:space="preserve"> </v>
      </c>
      <c r="F9329">
        <v>0.25</v>
      </c>
      <c r="G9329" s="37" t="str">
        <f t="shared" si="726"/>
        <v>Normal Discount</v>
      </c>
      <c r="H9329" s="37" t="str">
        <f t="shared" si="727"/>
        <v>Medium</v>
      </c>
      <c r="I9329">
        <v>6</v>
      </c>
      <c r="J9329" t="str" cm="1">
        <f t="array" ref="J9329">_xlfn.IFS(I9329&lt;=3,"small",I9329&lt;=6,"Medium",I9329&lt;=9,"Large")</f>
        <v>Medium</v>
      </c>
      <c r="K9329" s="36">
        <v>45585</v>
      </c>
      <c r="L9329" s="36">
        <v>45591</v>
      </c>
      <c r="M9329" t="s">
        <v>603</v>
      </c>
      <c r="N9329" t="s">
        <v>604</v>
      </c>
      <c r="O9329" s="37" t="str">
        <f t="shared" si="728"/>
        <v>Digital Payment</v>
      </c>
      <c r="P9329">
        <v>242.82</v>
      </c>
      <c r="Q9329" s="37" t="str">
        <f>IF(P9329&gt;500,"High","low")</f>
        <v>low</v>
      </c>
      <c r="R9329" s="37" t="str">
        <f t="shared" si="729"/>
        <v>AVERAGE</v>
      </c>
      <c r="S9329" t="s">
        <v>609</v>
      </c>
    </row>
    <row r="9330" spans="1:19" x14ac:dyDescent="0.2">
      <c r="A9330" t="s">
        <v>9941</v>
      </c>
      <c r="B9330" t="s">
        <v>67</v>
      </c>
      <c r="C9330" t="s">
        <v>597</v>
      </c>
      <c r="D9330">
        <v>2222.13</v>
      </c>
      <c r="E9330" s="37" t="str">
        <f t="shared" si="725"/>
        <v xml:space="preserve"> </v>
      </c>
      <c r="F9330">
        <v>0.15</v>
      </c>
      <c r="G9330" s="37" t="str">
        <f t="shared" si="726"/>
        <v>Normal Discount</v>
      </c>
      <c r="H9330" s="37" t="str">
        <f t="shared" si="727"/>
        <v>Low</v>
      </c>
      <c r="I9330">
        <v>7</v>
      </c>
      <c r="J9330" t="str" cm="1">
        <f t="array" ref="J9330">_xlfn.IFS(I9330&lt;=3,"small",I9330&lt;=6,"Medium",I9330&lt;=9,"Large")</f>
        <v>Large</v>
      </c>
      <c r="K9330" s="36">
        <v>45602</v>
      </c>
      <c r="L9330" s="36">
        <v>45606</v>
      </c>
      <c r="M9330" t="s">
        <v>612</v>
      </c>
      <c r="N9330" t="s">
        <v>608</v>
      </c>
      <c r="O9330" s="37" t="str">
        <f t="shared" si="728"/>
        <v>Cash Payment</v>
      </c>
      <c r="P9330">
        <v>570.55999999999995</v>
      </c>
      <c r="Q9330" s="37" t="str">
        <f>IF(P9330&gt;500,"High","low")</f>
        <v>High</v>
      </c>
      <c r="R9330" s="37" t="str">
        <f t="shared" si="729"/>
        <v>Good</v>
      </c>
      <c r="S9330" t="s">
        <v>605</v>
      </c>
    </row>
    <row r="9331" spans="1:19" x14ac:dyDescent="0.2">
      <c r="A9331" t="s">
        <v>9942</v>
      </c>
      <c r="B9331" t="s">
        <v>90</v>
      </c>
      <c r="C9331" t="s">
        <v>597</v>
      </c>
      <c r="D9331">
        <v>2305.2600000000002</v>
      </c>
      <c r="E9331" s="37" t="str">
        <f t="shared" si="725"/>
        <v xml:space="preserve"> </v>
      </c>
      <c r="F9331">
        <v>0.11</v>
      </c>
      <c r="G9331" s="37" t="str">
        <f t="shared" si="726"/>
        <v>Normal Discount</v>
      </c>
      <c r="H9331" s="37" t="str">
        <f t="shared" si="727"/>
        <v>Low</v>
      </c>
      <c r="I9331">
        <v>3</v>
      </c>
      <c r="J9331" t="str" cm="1">
        <f t="array" ref="J9331">_xlfn.IFS(I9331&lt;=3,"small",I9331&lt;=6,"Medium",I9331&lt;=9,"Large")</f>
        <v>small</v>
      </c>
      <c r="K9331" s="36">
        <v>45407</v>
      </c>
      <c r="L9331" s="36">
        <v>45408</v>
      </c>
      <c r="M9331" t="s">
        <v>612</v>
      </c>
      <c r="N9331" t="s">
        <v>599</v>
      </c>
      <c r="O9331" s="37" t="str">
        <f t="shared" si="728"/>
        <v>Digital Payment</v>
      </c>
      <c r="P9331">
        <v>431.8</v>
      </c>
      <c r="Q9331" s="37" t="str">
        <f>IF(P9331&gt;500,"High","low")</f>
        <v>low</v>
      </c>
      <c r="R9331" s="37" t="str">
        <f t="shared" si="729"/>
        <v>AVERAGE</v>
      </c>
      <c r="S9331" t="s">
        <v>609</v>
      </c>
    </row>
    <row r="9332" spans="1:19" x14ac:dyDescent="0.2">
      <c r="A9332" t="s">
        <v>9943</v>
      </c>
      <c r="B9332" t="s">
        <v>67</v>
      </c>
      <c r="C9332" t="s">
        <v>617</v>
      </c>
      <c r="D9332">
        <v>1862.67</v>
      </c>
      <c r="E9332" s="37" t="str">
        <f t="shared" si="725"/>
        <v xml:space="preserve"> </v>
      </c>
      <c r="F9332">
        <v>0.36</v>
      </c>
      <c r="G9332" s="37" t="str">
        <f t="shared" si="726"/>
        <v>Heavy Discount</v>
      </c>
      <c r="H9332" s="37" t="str">
        <f t="shared" si="727"/>
        <v>Medium</v>
      </c>
      <c r="I9332">
        <v>2</v>
      </c>
      <c r="J9332" t="str" cm="1">
        <f t="array" ref="J9332">_xlfn.IFS(I9332&lt;=3,"small",I9332&lt;=6,"Medium",I9332&lt;=9,"Large")</f>
        <v>small</v>
      </c>
      <c r="K9332" s="36">
        <v>45259</v>
      </c>
      <c r="L9332" s="36">
        <v>45260</v>
      </c>
      <c r="M9332" t="s">
        <v>598</v>
      </c>
      <c r="N9332" t="s">
        <v>608</v>
      </c>
      <c r="O9332" s="37" t="str">
        <f t="shared" si="728"/>
        <v>Cash Payment</v>
      </c>
      <c r="P9332">
        <v>239.16</v>
      </c>
      <c r="Q9332" s="37" t="str">
        <f>IF(P9332&gt;500,"High","low")</f>
        <v>low</v>
      </c>
      <c r="R9332" s="37" t="str">
        <f t="shared" si="729"/>
        <v>AVERAGE</v>
      </c>
      <c r="S9332" t="s">
        <v>628</v>
      </c>
    </row>
    <row r="9333" spans="1:19" x14ac:dyDescent="0.2">
      <c r="A9333" t="s">
        <v>9944</v>
      </c>
      <c r="B9333" t="s">
        <v>90</v>
      </c>
      <c r="C9333" t="s">
        <v>607</v>
      </c>
      <c r="D9333">
        <v>916.71</v>
      </c>
      <c r="E9333" s="37" t="str">
        <f t="shared" si="725"/>
        <v xml:space="preserve"> </v>
      </c>
      <c r="F9333">
        <v>0.05</v>
      </c>
      <c r="G9333" s="37" t="str">
        <f t="shared" si="726"/>
        <v>Normal Discount</v>
      </c>
      <c r="H9333" s="37" t="str">
        <f t="shared" si="727"/>
        <v>Low</v>
      </c>
      <c r="I9333">
        <v>9</v>
      </c>
      <c r="J9333" t="str" cm="1">
        <f t="array" ref="J9333">_xlfn.IFS(I9333&lt;=3,"small",I9333&lt;=6,"Medium",I9333&lt;=9,"Large")</f>
        <v>Large</v>
      </c>
      <c r="K9333" s="36">
        <v>45504</v>
      </c>
      <c r="L9333" s="36">
        <v>45505</v>
      </c>
      <c r="M9333" t="s">
        <v>612</v>
      </c>
      <c r="N9333" t="s">
        <v>604</v>
      </c>
      <c r="O9333" s="37" t="str">
        <f t="shared" si="728"/>
        <v>Digital Payment</v>
      </c>
      <c r="P9333">
        <v>171.61</v>
      </c>
      <c r="Q9333" s="37" t="str">
        <f>IF(P9333&gt;500,"High","low")</f>
        <v>low</v>
      </c>
      <c r="R9333" s="37" t="str">
        <f t="shared" si="729"/>
        <v>AVERAGE</v>
      </c>
      <c r="S9333" t="s">
        <v>620</v>
      </c>
    </row>
    <row r="9334" spans="1:19" x14ac:dyDescent="0.2">
      <c r="A9334" t="s">
        <v>9945</v>
      </c>
      <c r="B9334" t="s">
        <v>83</v>
      </c>
      <c r="C9334" t="s">
        <v>597</v>
      </c>
      <c r="D9334">
        <v>4226.1099999999997</v>
      </c>
      <c r="E9334" s="37" t="str">
        <f t="shared" si="725"/>
        <v xml:space="preserve"> </v>
      </c>
      <c r="F9334">
        <v>0.02</v>
      </c>
      <c r="G9334" s="37" t="str">
        <f t="shared" si="726"/>
        <v>Normal Discount</v>
      </c>
      <c r="H9334" s="37" t="str">
        <f t="shared" si="727"/>
        <v>Low</v>
      </c>
      <c r="I9334">
        <v>1</v>
      </c>
      <c r="J9334" t="str" cm="1">
        <f t="array" ref="J9334">_xlfn.IFS(I9334&lt;=3,"small",I9334&lt;=6,"Medium",I9334&lt;=9,"Large")</f>
        <v>small</v>
      </c>
      <c r="K9334" s="36">
        <v>45495</v>
      </c>
      <c r="L9334" s="36">
        <v>45500</v>
      </c>
      <c r="M9334" t="s">
        <v>612</v>
      </c>
      <c r="N9334" t="s">
        <v>604</v>
      </c>
      <c r="O9334" s="37" t="str">
        <f t="shared" si="728"/>
        <v>Digital Payment</v>
      </c>
      <c r="P9334">
        <v>663.62</v>
      </c>
      <c r="Q9334" s="37" t="str">
        <f>IF(P9334&gt;500,"High","low")</f>
        <v>High</v>
      </c>
      <c r="R9334" s="37" t="str">
        <f t="shared" si="729"/>
        <v>Good</v>
      </c>
      <c r="S9334" t="s">
        <v>605</v>
      </c>
    </row>
    <row r="9335" spans="1:19" x14ac:dyDescent="0.2">
      <c r="A9335" t="s">
        <v>9946</v>
      </c>
      <c r="B9335" t="s">
        <v>90</v>
      </c>
      <c r="C9335" t="s">
        <v>607</v>
      </c>
      <c r="D9335">
        <v>2006.52</v>
      </c>
      <c r="E9335" s="37" t="str">
        <f t="shared" si="725"/>
        <v xml:space="preserve"> </v>
      </c>
      <c r="F9335">
        <v>0.19</v>
      </c>
      <c r="G9335" s="37" t="str">
        <f t="shared" si="726"/>
        <v>Normal Discount</v>
      </c>
      <c r="H9335" s="37" t="str">
        <f t="shared" si="727"/>
        <v>Low</v>
      </c>
      <c r="I9335">
        <v>1</v>
      </c>
      <c r="J9335" t="str" cm="1">
        <f t="array" ref="J9335">_xlfn.IFS(I9335&lt;=3,"small",I9335&lt;=6,"Medium",I9335&lt;=9,"Large")</f>
        <v>small</v>
      </c>
      <c r="K9335" s="36">
        <v>45546</v>
      </c>
      <c r="L9335" s="36">
        <v>45548</v>
      </c>
      <c r="M9335" t="s">
        <v>603</v>
      </c>
      <c r="N9335" t="s">
        <v>604</v>
      </c>
      <c r="O9335" s="37" t="str">
        <f t="shared" si="728"/>
        <v>Digital Payment</v>
      </c>
      <c r="P9335">
        <v>577.33000000000004</v>
      </c>
      <c r="Q9335" s="37" t="str">
        <f>IF(P9335&gt;500,"High","low")</f>
        <v>High</v>
      </c>
      <c r="R9335" s="37" t="str">
        <f t="shared" si="729"/>
        <v>Good</v>
      </c>
      <c r="S9335" t="s">
        <v>628</v>
      </c>
    </row>
    <row r="9336" spans="1:19" x14ac:dyDescent="0.2">
      <c r="A9336" t="s">
        <v>9947</v>
      </c>
      <c r="B9336" t="s">
        <v>67</v>
      </c>
      <c r="C9336" t="s">
        <v>602</v>
      </c>
      <c r="D9336">
        <v>2692.63</v>
      </c>
      <c r="E9336" s="37" t="str">
        <f t="shared" si="725"/>
        <v xml:space="preserve"> </v>
      </c>
      <c r="F9336">
        <v>0.37</v>
      </c>
      <c r="G9336" s="37" t="str">
        <f t="shared" si="726"/>
        <v>Heavy Discount</v>
      </c>
      <c r="H9336" s="37" t="str">
        <f t="shared" si="727"/>
        <v>Medium</v>
      </c>
      <c r="I9336">
        <v>2</v>
      </c>
      <c r="J9336" t="str" cm="1">
        <f t="array" ref="J9336">_xlfn.IFS(I9336&lt;=3,"small",I9336&lt;=6,"Medium",I9336&lt;=9,"Large")</f>
        <v>small</v>
      </c>
      <c r="K9336" s="36">
        <v>45207</v>
      </c>
      <c r="L9336" s="36">
        <v>45213</v>
      </c>
      <c r="M9336" t="s">
        <v>598</v>
      </c>
      <c r="N9336" t="s">
        <v>599</v>
      </c>
      <c r="O9336" s="37" t="str">
        <f t="shared" si="728"/>
        <v>Digital Payment</v>
      </c>
      <c r="P9336">
        <v>270.19</v>
      </c>
      <c r="Q9336" s="37" t="str">
        <f>IF(P9336&gt;500,"High","low")</f>
        <v>low</v>
      </c>
      <c r="R9336" s="37" t="str">
        <f t="shared" si="729"/>
        <v>AVERAGE</v>
      </c>
      <c r="S9336" t="s">
        <v>605</v>
      </c>
    </row>
    <row r="9337" spans="1:19" x14ac:dyDescent="0.2">
      <c r="A9337" t="s">
        <v>9948</v>
      </c>
      <c r="B9337" t="s">
        <v>83</v>
      </c>
      <c r="C9337" t="s">
        <v>597</v>
      </c>
      <c r="D9337">
        <v>197.45</v>
      </c>
      <c r="E9337" s="37" t="str">
        <f t="shared" si="725"/>
        <v xml:space="preserve"> </v>
      </c>
      <c r="F9337">
        <v>0.43</v>
      </c>
      <c r="G9337" s="37" t="str">
        <f t="shared" si="726"/>
        <v>Heavy Discount</v>
      </c>
      <c r="H9337" s="37" t="str">
        <f t="shared" si="727"/>
        <v>High</v>
      </c>
      <c r="I9337">
        <v>5</v>
      </c>
      <c r="J9337" t="str" cm="1">
        <f t="array" ref="J9337">_xlfn.IFS(I9337&lt;=3,"small",I9337&lt;=6,"Medium",I9337&lt;=9,"Large")</f>
        <v>Medium</v>
      </c>
      <c r="K9337" s="36">
        <v>45067</v>
      </c>
      <c r="L9337" s="36">
        <v>45073</v>
      </c>
      <c r="M9337" t="s">
        <v>603</v>
      </c>
      <c r="N9337" t="s">
        <v>604</v>
      </c>
      <c r="O9337" s="37" t="str">
        <f t="shared" si="728"/>
        <v>Digital Payment</v>
      </c>
      <c r="P9337">
        <v>42.66</v>
      </c>
      <c r="Q9337" s="37" t="str">
        <f>IF(P9337&gt;500,"High","low")</f>
        <v>low</v>
      </c>
      <c r="R9337" s="37" t="str">
        <f t="shared" si="729"/>
        <v>AVERAGE</v>
      </c>
      <c r="S9337" t="s">
        <v>620</v>
      </c>
    </row>
    <row r="9338" spans="1:19" x14ac:dyDescent="0.2">
      <c r="A9338" t="s">
        <v>9949</v>
      </c>
      <c r="B9338" t="s">
        <v>90</v>
      </c>
      <c r="C9338" t="s">
        <v>602</v>
      </c>
      <c r="D9338">
        <v>395.24</v>
      </c>
      <c r="E9338" s="37" t="str">
        <f t="shared" si="725"/>
        <v xml:space="preserve"> </v>
      </c>
      <c r="F9338">
        <v>0.27</v>
      </c>
      <c r="G9338" s="37" t="str">
        <f t="shared" si="726"/>
        <v>Normal Discount</v>
      </c>
      <c r="H9338" s="37" t="str">
        <f t="shared" si="727"/>
        <v>Medium</v>
      </c>
      <c r="I9338">
        <v>1</v>
      </c>
      <c r="J9338" t="str" cm="1">
        <f t="array" ref="J9338">_xlfn.IFS(I9338&lt;=3,"small",I9338&lt;=6,"Medium",I9338&lt;=9,"Large")</f>
        <v>small</v>
      </c>
      <c r="K9338" s="36">
        <v>45113</v>
      </c>
      <c r="L9338" s="36">
        <v>45118</v>
      </c>
      <c r="M9338" t="s">
        <v>612</v>
      </c>
      <c r="N9338" t="s">
        <v>604</v>
      </c>
      <c r="O9338" s="37" t="str">
        <f t="shared" si="728"/>
        <v>Digital Payment</v>
      </c>
      <c r="P9338">
        <v>109.98</v>
      </c>
      <c r="Q9338" s="37" t="str">
        <f>IF(P9338&gt;500,"High","low")</f>
        <v>low</v>
      </c>
      <c r="R9338" s="37" t="str">
        <f t="shared" si="729"/>
        <v>AVERAGE</v>
      </c>
      <c r="S9338" t="s">
        <v>600</v>
      </c>
    </row>
    <row r="9339" spans="1:19" x14ac:dyDescent="0.2">
      <c r="A9339" t="s">
        <v>9950</v>
      </c>
      <c r="B9339" t="s">
        <v>67</v>
      </c>
      <c r="C9339" t="s">
        <v>617</v>
      </c>
      <c r="D9339">
        <v>3026.2</v>
      </c>
      <c r="E9339" s="37" t="str">
        <f t="shared" si="725"/>
        <v xml:space="preserve"> </v>
      </c>
      <c r="F9339">
        <v>0.42</v>
      </c>
      <c r="G9339" s="37" t="str">
        <f t="shared" si="726"/>
        <v>Heavy Discount</v>
      </c>
      <c r="H9339" s="37" t="str">
        <f t="shared" si="727"/>
        <v>High</v>
      </c>
      <c r="I9339">
        <v>6</v>
      </c>
      <c r="J9339" t="str" cm="1">
        <f t="array" ref="J9339">_xlfn.IFS(I9339&lt;=3,"small",I9339&lt;=6,"Medium",I9339&lt;=9,"Large")</f>
        <v>Medium</v>
      </c>
      <c r="K9339" s="36">
        <v>45407</v>
      </c>
      <c r="L9339" s="36">
        <v>45409</v>
      </c>
      <c r="M9339" t="s">
        <v>612</v>
      </c>
      <c r="N9339" t="s">
        <v>599</v>
      </c>
      <c r="O9339" s="37" t="str">
        <f t="shared" si="728"/>
        <v>Digital Payment</v>
      </c>
      <c r="P9339">
        <v>697.24</v>
      </c>
      <c r="Q9339" s="37" t="str">
        <f>IF(P9339&gt;500,"High","low")</f>
        <v>High</v>
      </c>
      <c r="R9339" s="37" t="str">
        <f t="shared" si="729"/>
        <v>Good</v>
      </c>
      <c r="S9339" t="s">
        <v>628</v>
      </c>
    </row>
    <row r="9340" spans="1:19" x14ac:dyDescent="0.2">
      <c r="A9340" t="s">
        <v>9951</v>
      </c>
      <c r="B9340" t="s">
        <v>75</v>
      </c>
      <c r="C9340" t="s">
        <v>614</v>
      </c>
      <c r="D9340">
        <v>4408.22</v>
      </c>
      <c r="E9340" s="37" t="str">
        <f t="shared" si="725"/>
        <v xml:space="preserve"> </v>
      </c>
      <c r="F9340">
        <v>0.01</v>
      </c>
      <c r="G9340" s="37" t="str">
        <f t="shared" si="726"/>
        <v>Normal Discount</v>
      </c>
      <c r="H9340" s="37" t="str">
        <f t="shared" si="727"/>
        <v>Low</v>
      </c>
      <c r="I9340">
        <v>8</v>
      </c>
      <c r="J9340" t="str" cm="1">
        <f t="array" ref="J9340">_xlfn.IFS(I9340&lt;=3,"small",I9340&lt;=6,"Medium",I9340&lt;=9,"Large")</f>
        <v>Large</v>
      </c>
      <c r="K9340" s="36">
        <v>45593</v>
      </c>
      <c r="L9340" s="36">
        <v>45600</v>
      </c>
      <c r="M9340" t="s">
        <v>612</v>
      </c>
      <c r="N9340" t="s">
        <v>599</v>
      </c>
      <c r="O9340" s="37" t="str">
        <f t="shared" si="728"/>
        <v>Digital Payment</v>
      </c>
      <c r="P9340">
        <v>647.25</v>
      </c>
      <c r="Q9340" s="37" t="str">
        <f>IF(P9340&gt;500,"High","low")</f>
        <v>High</v>
      </c>
      <c r="R9340" s="37" t="str">
        <f t="shared" si="729"/>
        <v>Good</v>
      </c>
      <c r="S9340" t="s">
        <v>609</v>
      </c>
    </row>
    <row r="9341" spans="1:19" x14ac:dyDescent="0.2">
      <c r="A9341" t="s">
        <v>9952</v>
      </c>
      <c r="B9341" t="s">
        <v>75</v>
      </c>
      <c r="C9341" t="s">
        <v>617</v>
      </c>
      <c r="D9341">
        <v>2517.64</v>
      </c>
      <c r="E9341" s="37" t="str">
        <f t="shared" si="725"/>
        <v xml:space="preserve"> </v>
      </c>
      <c r="F9341">
        <v>0.23</v>
      </c>
      <c r="G9341" s="37" t="str">
        <f t="shared" si="726"/>
        <v>Normal Discount</v>
      </c>
      <c r="H9341" s="37" t="str">
        <f t="shared" si="727"/>
        <v>Medium</v>
      </c>
      <c r="I9341">
        <v>2</v>
      </c>
      <c r="J9341" t="str" cm="1">
        <f t="array" ref="J9341">_xlfn.IFS(I9341&lt;=3,"small",I9341&lt;=6,"Medium",I9341&lt;=9,"Large")</f>
        <v>small</v>
      </c>
      <c r="K9341" s="36">
        <v>45009</v>
      </c>
      <c r="L9341" s="36">
        <v>45012</v>
      </c>
      <c r="M9341" t="s">
        <v>598</v>
      </c>
      <c r="N9341" t="s">
        <v>599</v>
      </c>
      <c r="O9341" s="37" t="str">
        <f t="shared" si="728"/>
        <v>Digital Payment</v>
      </c>
      <c r="P9341">
        <v>595.66</v>
      </c>
      <c r="Q9341" s="37" t="str">
        <f>IF(P9341&gt;500,"High","low")</f>
        <v>High</v>
      </c>
      <c r="R9341" s="37" t="str">
        <f t="shared" si="729"/>
        <v>Good</v>
      </c>
      <c r="S9341" t="s">
        <v>605</v>
      </c>
    </row>
    <row r="9342" spans="1:19" x14ac:dyDescent="0.2">
      <c r="A9342" t="s">
        <v>9953</v>
      </c>
      <c r="B9342" t="s">
        <v>90</v>
      </c>
      <c r="C9342" t="s">
        <v>617</v>
      </c>
      <c r="D9342">
        <v>908.38</v>
      </c>
      <c r="E9342" s="37" t="str">
        <f t="shared" si="725"/>
        <v xml:space="preserve"> </v>
      </c>
      <c r="F9342">
        <v>7.0000000000000007E-2</v>
      </c>
      <c r="G9342" s="37" t="str">
        <f t="shared" si="726"/>
        <v>Normal Discount</v>
      </c>
      <c r="H9342" s="37" t="str">
        <f t="shared" si="727"/>
        <v>Low</v>
      </c>
      <c r="I9342">
        <v>5</v>
      </c>
      <c r="J9342" t="str" cm="1">
        <f t="array" ref="J9342">_xlfn.IFS(I9342&lt;=3,"small",I9342&lt;=6,"Medium",I9342&lt;=9,"Large")</f>
        <v>Medium</v>
      </c>
      <c r="K9342" s="36">
        <v>45268</v>
      </c>
      <c r="L9342" s="36">
        <v>45273</v>
      </c>
      <c r="M9342" t="s">
        <v>612</v>
      </c>
      <c r="N9342" t="s">
        <v>599</v>
      </c>
      <c r="O9342" s="37" t="str">
        <f t="shared" si="728"/>
        <v>Digital Payment</v>
      </c>
      <c r="P9342">
        <v>98.18</v>
      </c>
      <c r="Q9342" s="37" t="str">
        <f>IF(P9342&gt;500,"High","low")</f>
        <v>low</v>
      </c>
      <c r="R9342" s="37" t="str">
        <f t="shared" si="729"/>
        <v>AVERAGE</v>
      </c>
      <c r="S9342" t="s">
        <v>615</v>
      </c>
    </row>
    <row r="9343" spans="1:19" x14ac:dyDescent="0.2">
      <c r="A9343" t="s">
        <v>9954</v>
      </c>
      <c r="B9343" t="s">
        <v>90</v>
      </c>
      <c r="C9343" t="s">
        <v>617</v>
      </c>
      <c r="D9343">
        <v>669.02</v>
      </c>
      <c r="E9343" s="37" t="str">
        <f t="shared" si="725"/>
        <v xml:space="preserve"> </v>
      </c>
      <c r="F9343">
        <v>0.28999999999999998</v>
      </c>
      <c r="G9343" s="37" t="str">
        <f t="shared" si="726"/>
        <v>Normal Discount</v>
      </c>
      <c r="H9343" s="37" t="str">
        <f t="shared" si="727"/>
        <v>Medium</v>
      </c>
      <c r="I9343">
        <v>3</v>
      </c>
      <c r="J9343" t="str" cm="1">
        <f t="array" ref="J9343">_xlfn.IFS(I9343&lt;=3,"small",I9343&lt;=6,"Medium",I9343&lt;=9,"Large")</f>
        <v>small</v>
      </c>
      <c r="K9343" s="36">
        <v>45106</v>
      </c>
      <c r="L9343" s="36">
        <v>45108</v>
      </c>
      <c r="M9343" t="s">
        <v>612</v>
      </c>
      <c r="N9343" t="s">
        <v>608</v>
      </c>
      <c r="O9343" s="37" t="str">
        <f t="shared" si="728"/>
        <v>Cash Payment</v>
      </c>
      <c r="P9343">
        <v>153.37</v>
      </c>
      <c r="Q9343" s="37" t="str">
        <f>IF(P9343&gt;500,"High","low")</f>
        <v>low</v>
      </c>
      <c r="R9343" s="37" t="str">
        <f t="shared" si="729"/>
        <v>AVERAGE</v>
      </c>
      <c r="S9343" t="s">
        <v>620</v>
      </c>
    </row>
    <row r="9344" spans="1:19" x14ac:dyDescent="0.2">
      <c r="A9344" t="s">
        <v>9955</v>
      </c>
      <c r="B9344" t="s">
        <v>75</v>
      </c>
      <c r="C9344" t="s">
        <v>597</v>
      </c>
      <c r="D9344">
        <v>4508.96</v>
      </c>
      <c r="E9344" s="37" t="str">
        <f t="shared" si="725"/>
        <v>Excellent Order</v>
      </c>
      <c r="F9344">
        <v>0.46</v>
      </c>
      <c r="G9344" s="37" t="str">
        <f t="shared" si="726"/>
        <v>Heavy Discount</v>
      </c>
      <c r="H9344" s="37" t="str">
        <f t="shared" si="727"/>
        <v>High</v>
      </c>
      <c r="I9344">
        <v>2</v>
      </c>
      <c r="J9344" t="str" cm="1">
        <f t="array" ref="J9344">_xlfn.IFS(I9344&lt;=3,"small",I9344&lt;=6,"Medium",I9344&lt;=9,"Large")</f>
        <v>small</v>
      </c>
      <c r="K9344" s="36">
        <v>45583</v>
      </c>
      <c r="L9344" s="36">
        <v>45586</v>
      </c>
      <c r="M9344" t="s">
        <v>598</v>
      </c>
      <c r="N9344" t="s">
        <v>608</v>
      </c>
      <c r="O9344" s="37" t="str">
        <f t="shared" si="728"/>
        <v>Cash Payment</v>
      </c>
      <c r="P9344">
        <v>1112.02</v>
      </c>
      <c r="Q9344" s="37" t="str">
        <f>IF(P9344&gt;500,"High","low")</f>
        <v>High</v>
      </c>
      <c r="R9344" s="37" t="str">
        <f t="shared" si="729"/>
        <v>Excellent</v>
      </c>
      <c r="S9344" t="s">
        <v>628</v>
      </c>
    </row>
    <row r="9345" spans="1:19" x14ac:dyDescent="0.2">
      <c r="A9345" t="s">
        <v>9956</v>
      </c>
      <c r="B9345" t="s">
        <v>67</v>
      </c>
      <c r="C9345" t="s">
        <v>602</v>
      </c>
      <c r="D9345">
        <v>3538.03</v>
      </c>
      <c r="E9345" s="37" t="str">
        <f t="shared" si="725"/>
        <v xml:space="preserve"> </v>
      </c>
      <c r="F9345">
        <v>0</v>
      </c>
      <c r="G9345" s="37" t="str">
        <f t="shared" si="726"/>
        <v>Normal Discount</v>
      </c>
      <c r="H9345" s="37" t="str">
        <f t="shared" si="727"/>
        <v>Low</v>
      </c>
      <c r="I9345">
        <v>6</v>
      </c>
      <c r="J9345" t="str" cm="1">
        <f t="array" ref="J9345">_xlfn.IFS(I9345&lt;=3,"small",I9345&lt;=6,"Medium",I9345&lt;=9,"Large")</f>
        <v>Medium</v>
      </c>
      <c r="K9345" s="36">
        <v>45105</v>
      </c>
      <c r="L9345" s="36">
        <v>45110</v>
      </c>
      <c r="M9345" t="s">
        <v>603</v>
      </c>
      <c r="N9345" t="s">
        <v>608</v>
      </c>
      <c r="O9345" s="37" t="str">
        <f t="shared" si="728"/>
        <v>Cash Payment</v>
      </c>
      <c r="P9345">
        <v>509.4</v>
      </c>
      <c r="Q9345" s="37" t="str">
        <f>IF(P9345&gt;500,"High","low")</f>
        <v>High</v>
      </c>
      <c r="R9345" s="37" t="str">
        <f t="shared" si="729"/>
        <v>Good</v>
      </c>
      <c r="S9345" t="s">
        <v>620</v>
      </c>
    </row>
    <row r="9346" spans="1:19" x14ac:dyDescent="0.2">
      <c r="A9346" t="s">
        <v>9957</v>
      </c>
      <c r="B9346" t="s">
        <v>67</v>
      </c>
      <c r="C9346" t="s">
        <v>597</v>
      </c>
      <c r="D9346">
        <v>4834.3599999999997</v>
      </c>
      <c r="E9346" s="37" t="str">
        <f t="shared" si="725"/>
        <v>Excellent Order</v>
      </c>
      <c r="F9346">
        <v>0.33</v>
      </c>
      <c r="G9346" s="37" t="str">
        <f t="shared" si="726"/>
        <v>Heavy Discount</v>
      </c>
      <c r="H9346" s="37" t="str">
        <f t="shared" si="727"/>
        <v>Medium</v>
      </c>
      <c r="I9346">
        <v>1</v>
      </c>
      <c r="J9346" t="str" cm="1">
        <f t="array" ref="J9346">_xlfn.IFS(I9346&lt;=3,"small",I9346&lt;=6,"Medium",I9346&lt;=9,"Large")</f>
        <v>small</v>
      </c>
      <c r="K9346" s="36">
        <v>45440</v>
      </c>
      <c r="L9346" s="36">
        <v>45441</v>
      </c>
      <c r="M9346" t="s">
        <v>598</v>
      </c>
      <c r="N9346" t="s">
        <v>599</v>
      </c>
      <c r="O9346" s="37" t="str">
        <f t="shared" si="728"/>
        <v>Digital Payment</v>
      </c>
      <c r="P9346">
        <v>912.49</v>
      </c>
      <c r="Q9346" s="37" t="str">
        <f>IF(P9346&gt;500,"High","low")</f>
        <v>High</v>
      </c>
      <c r="R9346" s="37" t="str">
        <f t="shared" si="729"/>
        <v>Good</v>
      </c>
      <c r="S9346" t="s">
        <v>605</v>
      </c>
    </row>
    <row r="9347" spans="1:19" x14ac:dyDescent="0.2">
      <c r="A9347" t="s">
        <v>9958</v>
      </c>
      <c r="B9347" t="s">
        <v>67</v>
      </c>
      <c r="C9347" t="s">
        <v>614</v>
      </c>
      <c r="D9347">
        <v>503.51</v>
      </c>
      <c r="E9347" s="37" t="str">
        <f t="shared" ref="E9347:E9410" si="730">IF(AND(D9347&gt;4000,P9347&gt;800),"Excellent Order"," ")</f>
        <v xml:space="preserve"> </v>
      </c>
      <c r="F9347">
        <v>0.4</v>
      </c>
      <c r="G9347" s="37" t="str">
        <f t="shared" ref="G9347:G9410" si="731">IF(F9347&gt;30%,"Heavy Discount","Normal Discount")</f>
        <v>Heavy Discount</v>
      </c>
      <c r="H9347" s="37" t="str">
        <f t="shared" ref="H9347:H9410" si="732">IF(F9347&gt;0.4,"High",IF(F9347&gt;=0.2,"Medium","Low"))</f>
        <v>Medium</v>
      </c>
      <c r="I9347">
        <v>8</v>
      </c>
      <c r="J9347" t="str" cm="1">
        <f t="array" ref="J9347">_xlfn.IFS(I9347&lt;=3,"small",I9347&lt;=6,"Medium",I9347&lt;=9,"Large")</f>
        <v>Large</v>
      </c>
      <c r="K9347" s="36">
        <v>45066</v>
      </c>
      <c r="L9347" s="36">
        <v>45069</v>
      </c>
      <c r="M9347" t="s">
        <v>598</v>
      </c>
      <c r="N9347" t="s">
        <v>599</v>
      </c>
      <c r="O9347" s="37" t="str">
        <f t="shared" ref="O9347:O9410" si="733">IF(OR(N9347="Card",N9347="UPI"),"Digital Payment","Cash Payment")</f>
        <v>Digital Payment</v>
      </c>
      <c r="P9347">
        <v>96.23</v>
      </c>
      <c r="Q9347" s="37" t="str">
        <f>IF(P9347&gt;500,"High","low")</f>
        <v>low</v>
      </c>
      <c r="R9347" s="37" t="str">
        <f t="shared" ref="R9347:R9410" si="734">IF(P9347&gt;1000,"Excellent",IF(P9347&gt;=500,"Good","AVERAGE"))</f>
        <v>AVERAGE</v>
      </c>
      <c r="S9347" t="s">
        <v>628</v>
      </c>
    </row>
    <row r="9348" spans="1:19" x14ac:dyDescent="0.2">
      <c r="A9348" t="s">
        <v>9959</v>
      </c>
      <c r="B9348" t="s">
        <v>90</v>
      </c>
      <c r="C9348" t="s">
        <v>617</v>
      </c>
      <c r="D9348">
        <v>4522.8</v>
      </c>
      <c r="E9348" s="37" t="str">
        <f t="shared" si="730"/>
        <v>Excellent Order</v>
      </c>
      <c r="F9348">
        <v>0.37</v>
      </c>
      <c r="G9348" s="37" t="str">
        <f t="shared" si="731"/>
        <v>Heavy Discount</v>
      </c>
      <c r="H9348" s="37" t="str">
        <f t="shared" si="732"/>
        <v>Medium</v>
      </c>
      <c r="I9348">
        <v>6</v>
      </c>
      <c r="J9348" t="str" cm="1">
        <f t="array" ref="J9348">_xlfn.IFS(I9348&lt;=3,"small",I9348&lt;=6,"Medium",I9348&lt;=9,"Large")</f>
        <v>Medium</v>
      </c>
      <c r="K9348" s="36">
        <v>45082</v>
      </c>
      <c r="L9348" s="36">
        <v>45087</v>
      </c>
      <c r="M9348" t="s">
        <v>603</v>
      </c>
      <c r="N9348" t="s">
        <v>599</v>
      </c>
      <c r="O9348" s="37" t="str">
        <f t="shared" si="733"/>
        <v>Digital Payment</v>
      </c>
      <c r="P9348">
        <v>854.87</v>
      </c>
      <c r="Q9348" s="37" t="str">
        <f>IF(P9348&gt;500,"High","low")</f>
        <v>High</v>
      </c>
      <c r="R9348" s="37" t="str">
        <f t="shared" si="734"/>
        <v>Good</v>
      </c>
      <c r="S9348" t="s">
        <v>609</v>
      </c>
    </row>
    <row r="9349" spans="1:19" x14ac:dyDescent="0.2">
      <c r="A9349" t="s">
        <v>9960</v>
      </c>
      <c r="B9349" t="s">
        <v>83</v>
      </c>
      <c r="C9349" t="s">
        <v>607</v>
      </c>
      <c r="D9349">
        <v>4243.6000000000004</v>
      </c>
      <c r="E9349" s="37" t="str">
        <f t="shared" si="730"/>
        <v xml:space="preserve"> </v>
      </c>
      <c r="F9349">
        <v>0.01</v>
      </c>
      <c r="G9349" s="37" t="str">
        <f t="shared" si="731"/>
        <v>Normal Discount</v>
      </c>
      <c r="H9349" s="37" t="str">
        <f t="shared" si="732"/>
        <v>Low</v>
      </c>
      <c r="I9349">
        <v>4</v>
      </c>
      <c r="J9349" t="str" cm="1">
        <f t="array" ref="J9349">_xlfn.IFS(I9349&lt;=3,"small",I9349&lt;=6,"Medium",I9349&lt;=9,"Large")</f>
        <v>Medium</v>
      </c>
      <c r="K9349" s="36">
        <v>45146</v>
      </c>
      <c r="L9349" s="36">
        <v>45153</v>
      </c>
      <c r="M9349" t="s">
        <v>598</v>
      </c>
      <c r="N9349" t="s">
        <v>604</v>
      </c>
      <c r="O9349" s="37" t="str">
        <f t="shared" si="733"/>
        <v>Digital Payment</v>
      </c>
      <c r="P9349">
        <v>424.71</v>
      </c>
      <c r="Q9349" s="37" t="str">
        <f>IF(P9349&gt;500,"High","low")</f>
        <v>low</v>
      </c>
      <c r="R9349" s="37" t="str">
        <f t="shared" si="734"/>
        <v>AVERAGE</v>
      </c>
      <c r="S9349" t="s">
        <v>600</v>
      </c>
    </row>
    <row r="9350" spans="1:19" x14ac:dyDescent="0.2">
      <c r="A9350" t="s">
        <v>9961</v>
      </c>
      <c r="B9350" t="s">
        <v>83</v>
      </c>
      <c r="C9350" t="s">
        <v>614</v>
      </c>
      <c r="D9350">
        <v>4476.6099999999997</v>
      </c>
      <c r="E9350" s="37" t="str">
        <f t="shared" si="730"/>
        <v>Excellent Order</v>
      </c>
      <c r="F9350">
        <v>0.09</v>
      </c>
      <c r="G9350" s="37" t="str">
        <f t="shared" si="731"/>
        <v>Normal Discount</v>
      </c>
      <c r="H9350" s="37" t="str">
        <f t="shared" si="732"/>
        <v>Low</v>
      </c>
      <c r="I9350">
        <v>5</v>
      </c>
      <c r="J9350" t="str" cm="1">
        <f t="array" ref="J9350">_xlfn.IFS(I9350&lt;=3,"small",I9350&lt;=6,"Medium",I9350&lt;=9,"Large")</f>
        <v>Medium</v>
      </c>
      <c r="K9350" s="36">
        <v>45149</v>
      </c>
      <c r="L9350" s="36">
        <v>45151</v>
      </c>
      <c r="M9350" t="s">
        <v>603</v>
      </c>
      <c r="N9350" t="s">
        <v>604</v>
      </c>
      <c r="O9350" s="37" t="str">
        <f t="shared" si="733"/>
        <v>Digital Payment</v>
      </c>
      <c r="P9350">
        <v>930.46</v>
      </c>
      <c r="Q9350" s="37" t="str">
        <f>IF(P9350&gt;500,"High","low")</f>
        <v>High</v>
      </c>
      <c r="R9350" s="37" t="str">
        <f t="shared" si="734"/>
        <v>Good</v>
      </c>
      <c r="S9350" t="s">
        <v>628</v>
      </c>
    </row>
    <row r="9351" spans="1:19" x14ac:dyDescent="0.2">
      <c r="A9351" t="s">
        <v>9962</v>
      </c>
      <c r="B9351" t="s">
        <v>83</v>
      </c>
      <c r="C9351" t="s">
        <v>602</v>
      </c>
      <c r="D9351">
        <v>128.24</v>
      </c>
      <c r="E9351" s="37" t="str">
        <f t="shared" si="730"/>
        <v xml:space="preserve"> </v>
      </c>
      <c r="F9351">
        <v>0.05</v>
      </c>
      <c r="G9351" s="37" t="str">
        <f t="shared" si="731"/>
        <v>Normal Discount</v>
      </c>
      <c r="H9351" s="37" t="str">
        <f t="shared" si="732"/>
        <v>Low</v>
      </c>
      <c r="I9351">
        <v>2</v>
      </c>
      <c r="J9351" t="str" cm="1">
        <f t="array" ref="J9351">_xlfn.IFS(I9351&lt;=3,"small",I9351&lt;=6,"Medium",I9351&lt;=9,"Large")</f>
        <v>small</v>
      </c>
      <c r="K9351" s="36">
        <v>45085</v>
      </c>
      <c r="L9351" s="36">
        <v>45086</v>
      </c>
      <c r="M9351" t="s">
        <v>612</v>
      </c>
      <c r="N9351" t="s">
        <v>604</v>
      </c>
      <c r="O9351" s="37" t="str">
        <f t="shared" si="733"/>
        <v>Digital Payment</v>
      </c>
      <c r="P9351">
        <v>19.440000000000001</v>
      </c>
      <c r="Q9351" s="37" t="str">
        <f>IF(P9351&gt;500,"High","low")</f>
        <v>low</v>
      </c>
      <c r="R9351" s="37" t="str">
        <f t="shared" si="734"/>
        <v>AVERAGE</v>
      </c>
      <c r="S9351" t="s">
        <v>605</v>
      </c>
    </row>
    <row r="9352" spans="1:19" x14ac:dyDescent="0.2">
      <c r="A9352" t="s">
        <v>9963</v>
      </c>
      <c r="B9352" t="s">
        <v>83</v>
      </c>
      <c r="C9352" t="s">
        <v>614</v>
      </c>
      <c r="D9352">
        <v>3735.33</v>
      </c>
      <c r="E9352" s="37" t="str">
        <f t="shared" si="730"/>
        <v xml:space="preserve"> </v>
      </c>
      <c r="F9352">
        <v>0.04</v>
      </c>
      <c r="G9352" s="37" t="str">
        <f t="shared" si="731"/>
        <v>Normal Discount</v>
      </c>
      <c r="H9352" s="37" t="str">
        <f t="shared" si="732"/>
        <v>Low</v>
      </c>
      <c r="I9352">
        <v>8</v>
      </c>
      <c r="J9352" t="str" cm="1">
        <f t="array" ref="J9352">_xlfn.IFS(I9352&lt;=3,"small",I9352&lt;=6,"Medium",I9352&lt;=9,"Large")</f>
        <v>Large</v>
      </c>
      <c r="K9352" s="36">
        <v>45425</v>
      </c>
      <c r="L9352" s="36">
        <v>45432</v>
      </c>
      <c r="M9352" t="s">
        <v>598</v>
      </c>
      <c r="N9352" t="s">
        <v>608</v>
      </c>
      <c r="O9352" s="37" t="str">
        <f t="shared" si="733"/>
        <v>Cash Payment</v>
      </c>
      <c r="P9352">
        <v>311.37</v>
      </c>
      <c r="Q9352" s="37" t="str">
        <f>IF(P9352&gt;500,"High","low")</f>
        <v>low</v>
      </c>
      <c r="R9352" s="37" t="str">
        <f t="shared" si="734"/>
        <v>AVERAGE</v>
      </c>
      <c r="S9352" t="s">
        <v>605</v>
      </c>
    </row>
    <row r="9353" spans="1:19" x14ac:dyDescent="0.2">
      <c r="A9353" t="s">
        <v>9964</v>
      </c>
      <c r="B9353" t="s">
        <v>83</v>
      </c>
      <c r="C9353" t="s">
        <v>597</v>
      </c>
      <c r="D9353">
        <v>2789.8</v>
      </c>
      <c r="E9353" s="37" t="str">
        <f t="shared" si="730"/>
        <v xml:space="preserve"> </v>
      </c>
      <c r="F9353">
        <v>0.37</v>
      </c>
      <c r="G9353" s="37" t="str">
        <f t="shared" si="731"/>
        <v>Heavy Discount</v>
      </c>
      <c r="H9353" s="37" t="str">
        <f t="shared" si="732"/>
        <v>Medium</v>
      </c>
      <c r="I9353">
        <v>6</v>
      </c>
      <c r="J9353" t="str" cm="1">
        <f t="array" ref="J9353">_xlfn.IFS(I9353&lt;=3,"small",I9353&lt;=6,"Medium",I9353&lt;=9,"Large")</f>
        <v>Medium</v>
      </c>
      <c r="K9353" s="36">
        <v>45290</v>
      </c>
      <c r="L9353" s="36">
        <v>45292</v>
      </c>
      <c r="M9353" t="s">
        <v>603</v>
      </c>
      <c r="N9353" t="s">
        <v>604</v>
      </c>
      <c r="O9353" s="37" t="str">
        <f t="shared" si="733"/>
        <v>Digital Payment</v>
      </c>
      <c r="P9353">
        <v>178.21</v>
      </c>
      <c r="Q9353" s="37" t="str">
        <f>IF(P9353&gt;500,"High","low")</f>
        <v>low</v>
      </c>
      <c r="R9353" s="37" t="str">
        <f t="shared" si="734"/>
        <v>AVERAGE</v>
      </c>
      <c r="S9353" t="s">
        <v>620</v>
      </c>
    </row>
    <row r="9354" spans="1:19" x14ac:dyDescent="0.2">
      <c r="A9354" t="s">
        <v>9965</v>
      </c>
      <c r="B9354" t="s">
        <v>90</v>
      </c>
      <c r="C9354" t="s">
        <v>607</v>
      </c>
      <c r="D9354">
        <v>2908.58</v>
      </c>
      <c r="E9354" s="37" t="str">
        <f t="shared" si="730"/>
        <v xml:space="preserve"> </v>
      </c>
      <c r="F9354">
        <v>0.21</v>
      </c>
      <c r="G9354" s="37" t="str">
        <f t="shared" si="731"/>
        <v>Normal Discount</v>
      </c>
      <c r="H9354" s="37" t="str">
        <f t="shared" si="732"/>
        <v>Medium</v>
      </c>
      <c r="I9354">
        <v>6</v>
      </c>
      <c r="J9354" t="str" cm="1">
        <f t="array" ref="J9354">_xlfn.IFS(I9354&lt;=3,"small",I9354&lt;=6,"Medium",I9354&lt;=9,"Large")</f>
        <v>Medium</v>
      </c>
      <c r="K9354" s="36">
        <v>45369</v>
      </c>
      <c r="L9354" s="36">
        <v>45376</v>
      </c>
      <c r="M9354" t="s">
        <v>598</v>
      </c>
      <c r="N9354" t="s">
        <v>599</v>
      </c>
      <c r="O9354" s="37" t="str">
        <f t="shared" si="733"/>
        <v>Digital Payment</v>
      </c>
      <c r="P9354">
        <v>744.22</v>
      </c>
      <c r="Q9354" s="37" t="str">
        <f>IF(P9354&gt;500,"High","low")</f>
        <v>High</v>
      </c>
      <c r="R9354" s="37" t="str">
        <f t="shared" si="734"/>
        <v>Good</v>
      </c>
      <c r="S9354" t="s">
        <v>628</v>
      </c>
    </row>
    <row r="9355" spans="1:19" x14ac:dyDescent="0.2">
      <c r="A9355" t="s">
        <v>9966</v>
      </c>
      <c r="B9355" t="s">
        <v>90</v>
      </c>
      <c r="C9355" t="s">
        <v>597</v>
      </c>
      <c r="D9355">
        <v>2399.09</v>
      </c>
      <c r="E9355" s="37" t="str">
        <f t="shared" si="730"/>
        <v xml:space="preserve"> </v>
      </c>
      <c r="F9355">
        <v>0.36</v>
      </c>
      <c r="G9355" s="37" t="str">
        <f t="shared" si="731"/>
        <v>Heavy Discount</v>
      </c>
      <c r="H9355" s="37" t="str">
        <f t="shared" si="732"/>
        <v>Medium</v>
      </c>
      <c r="I9355">
        <v>3</v>
      </c>
      <c r="J9355" t="str" cm="1">
        <f t="array" ref="J9355">_xlfn.IFS(I9355&lt;=3,"small",I9355&lt;=6,"Medium",I9355&lt;=9,"Large")</f>
        <v>small</v>
      </c>
      <c r="K9355" s="36">
        <v>44961</v>
      </c>
      <c r="L9355" s="36">
        <v>44965</v>
      </c>
      <c r="M9355" t="s">
        <v>603</v>
      </c>
      <c r="N9355" t="s">
        <v>608</v>
      </c>
      <c r="O9355" s="37" t="str">
        <f t="shared" si="733"/>
        <v>Cash Payment</v>
      </c>
      <c r="P9355">
        <v>575.26</v>
      </c>
      <c r="Q9355" s="37" t="str">
        <f>IF(P9355&gt;500,"High","low")</f>
        <v>High</v>
      </c>
      <c r="R9355" s="37" t="str">
        <f t="shared" si="734"/>
        <v>Good</v>
      </c>
      <c r="S9355" t="s">
        <v>628</v>
      </c>
    </row>
    <row r="9356" spans="1:19" x14ac:dyDescent="0.2">
      <c r="A9356" t="s">
        <v>9967</v>
      </c>
      <c r="B9356" t="s">
        <v>83</v>
      </c>
      <c r="C9356" t="s">
        <v>617</v>
      </c>
      <c r="D9356">
        <v>3739.12</v>
      </c>
      <c r="E9356" s="37" t="str">
        <f t="shared" si="730"/>
        <v xml:space="preserve"> </v>
      </c>
      <c r="F9356">
        <v>0.18</v>
      </c>
      <c r="G9356" s="37" t="str">
        <f t="shared" si="731"/>
        <v>Normal Discount</v>
      </c>
      <c r="H9356" s="37" t="str">
        <f t="shared" si="732"/>
        <v>Low</v>
      </c>
      <c r="I9356">
        <v>1</v>
      </c>
      <c r="J9356" t="str" cm="1">
        <f t="array" ref="J9356">_xlfn.IFS(I9356&lt;=3,"small",I9356&lt;=6,"Medium",I9356&lt;=9,"Large")</f>
        <v>small</v>
      </c>
      <c r="K9356" s="36">
        <v>45279</v>
      </c>
      <c r="L9356" s="36">
        <v>45283</v>
      </c>
      <c r="M9356" t="s">
        <v>603</v>
      </c>
      <c r="N9356" t="s">
        <v>599</v>
      </c>
      <c r="O9356" s="37" t="str">
        <f t="shared" si="733"/>
        <v>Digital Payment</v>
      </c>
      <c r="P9356">
        <v>1057.6099999999999</v>
      </c>
      <c r="Q9356" s="37" t="str">
        <f>IF(P9356&gt;500,"High","low")</f>
        <v>High</v>
      </c>
      <c r="R9356" s="37" t="str">
        <f t="shared" si="734"/>
        <v>Excellent</v>
      </c>
      <c r="S9356" t="s">
        <v>620</v>
      </c>
    </row>
    <row r="9357" spans="1:19" x14ac:dyDescent="0.2">
      <c r="A9357" t="s">
        <v>9968</v>
      </c>
      <c r="B9357" t="s">
        <v>90</v>
      </c>
      <c r="C9357" t="s">
        <v>617</v>
      </c>
      <c r="D9357">
        <v>4999.21</v>
      </c>
      <c r="E9357" s="37" t="str">
        <f t="shared" si="730"/>
        <v>Excellent Order</v>
      </c>
      <c r="F9357">
        <v>0.06</v>
      </c>
      <c r="G9357" s="37" t="str">
        <f t="shared" si="731"/>
        <v>Normal Discount</v>
      </c>
      <c r="H9357" s="37" t="str">
        <f t="shared" si="732"/>
        <v>Low</v>
      </c>
      <c r="I9357">
        <v>8</v>
      </c>
      <c r="J9357" t="str" cm="1">
        <f t="array" ref="J9357">_xlfn.IFS(I9357&lt;=3,"small",I9357&lt;=6,"Medium",I9357&lt;=9,"Large")</f>
        <v>Large</v>
      </c>
      <c r="K9357" s="36">
        <v>44927</v>
      </c>
      <c r="L9357" s="36">
        <v>44932</v>
      </c>
      <c r="M9357" t="s">
        <v>603</v>
      </c>
      <c r="N9357" t="s">
        <v>608</v>
      </c>
      <c r="O9357" s="37" t="str">
        <f t="shared" si="733"/>
        <v>Cash Payment</v>
      </c>
      <c r="P9357">
        <v>847.32</v>
      </c>
      <c r="Q9357" s="37" t="str">
        <f>IF(P9357&gt;500,"High","low")</f>
        <v>High</v>
      </c>
      <c r="R9357" s="37" t="str">
        <f t="shared" si="734"/>
        <v>Good</v>
      </c>
      <c r="S9357" t="s">
        <v>628</v>
      </c>
    </row>
    <row r="9358" spans="1:19" x14ac:dyDescent="0.2">
      <c r="A9358" t="s">
        <v>9969</v>
      </c>
      <c r="B9358" t="s">
        <v>90</v>
      </c>
      <c r="C9358" t="s">
        <v>614</v>
      </c>
      <c r="D9358">
        <v>3581.64</v>
      </c>
      <c r="E9358" s="37" t="str">
        <f t="shared" si="730"/>
        <v xml:space="preserve"> </v>
      </c>
      <c r="F9358">
        <v>0.36</v>
      </c>
      <c r="G9358" s="37" t="str">
        <f t="shared" si="731"/>
        <v>Heavy Discount</v>
      </c>
      <c r="H9358" s="37" t="str">
        <f t="shared" si="732"/>
        <v>Medium</v>
      </c>
      <c r="I9358">
        <v>7</v>
      </c>
      <c r="J9358" t="str" cm="1">
        <f t="array" ref="J9358">_xlfn.IFS(I9358&lt;=3,"small",I9358&lt;=6,"Medium",I9358&lt;=9,"Large")</f>
        <v>Large</v>
      </c>
      <c r="K9358" s="36">
        <v>44935</v>
      </c>
      <c r="L9358" s="36">
        <v>44938</v>
      </c>
      <c r="M9358" t="s">
        <v>612</v>
      </c>
      <c r="N9358" t="s">
        <v>604</v>
      </c>
      <c r="O9358" s="37" t="str">
        <f t="shared" si="733"/>
        <v>Digital Payment</v>
      </c>
      <c r="P9358">
        <v>728.55</v>
      </c>
      <c r="Q9358" s="37" t="str">
        <f>IF(P9358&gt;500,"High","low")</f>
        <v>High</v>
      </c>
      <c r="R9358" s="37" t="str">
        <f t="shared" si="734"/>
        <v>Good</v>
      </c>
      <c r="S9358" t="s">
        <v>615</v>
      </c>
    </row>
    <row r="9359" spans="1:19" x14ac:dyDescent="0.2">
      <c r="A9359" t="s">
        <v>9970</v>
      </c>
      <c r="B9359" t="s">
        <v>83</v>
      </c>
      <c r="C9359" t="s">
        <v>617</v>
      </c>
      <c r="D9359">
        <v>3422.45</v>
      </c>
      <c r="E9359" s="37" t="str">
        <f t="shared" si="730"/>
        <v xml:space="preserve"> </v>
      </c>
      <c r="F9359">
        <v>0.31</v>
      </c>
      <c r="G9359" s="37" t="str">
        <f t="shared" si="731"/>
        <v>Heavy Discount</v>
      </c>
      <c r="H9359" s="37" t="str">
        <f t="shared" si="732"/>
        <v>Medium</v>
      </c>
      <c r="I9359">
        <v>1</v>
      </c>
      <c r="J9359" t="str" cm="1">
        <f t="array" ref="J9359">_xlfn.IFS(I9359&lt;=3,"small",I9359&lt;=6,"Medium",I9359&lt;=9,"Large")</f>
        <v>small</v>
      </c>
      <c r="K9359" s="36">
        <v>45482</v>
      </c>
      <c r="L9359" s="36">
        <v>45488</v>
      </c>
      <c r="M9359" t="s">
        <v>598</v>
      </c>
      <c r="N9359" t="s">
        <v>599</v>
      </c>
      <c r="O9359" s="37" t="str">
        <f t="shared" si="733"/>
        <v>Digital Payment</v>
      </c>
      <c r="P9359">
        <v>225.43</v>
      </c>
      <c r="Q9359" s="37" t="str">
        <f>IF(P9359&gt;500,"High","low")</f>
        <v>low</v>
      </c>
      <c r="R9359" s="37" t="str">
        <f t="shared" si="734"/>
        <v>AVERAGE</v>
      </c>
      <c r="S9359" t="s">
        <v>600</v>
      </c>
    </row>
    <row r="9360" spans="1:19" x14ac:dyDescent="0.2">
      <c r="A9360" t="s">
        <v>9971</v>
      </c>
      <c r="B9360" t="s">
        <v>67</v>
      </c>
      <c r="C9360" t="s">
        <v>617</v>
      </c>
      <c r="D9360">
        <v>3306.74</v>
      </c>
      <c r="E9360" s="37" t="str">
        <f t="shared" si="730"/>
        <v xml:space="preserve"> </v>
      </c>
      <c r="F9360">
        <v>0.06</v>
      </c>
      <c r="G9360" s="37" t="str">
        <f t="shared" si="731"/>
        <v>Normal Discount</v>
      </c>
      <c r="H9360" s="37" t="str">
        <f t="shared" si="732"/>
        <v>Low</v>
      </c>
      <c r="I9360">
        <v>8</v>
      </c>
      <c r="J9360" t="str" cm="1">
        <f t="array" ref="J9360">_xlfn.IFS(I9360&lt;=3,"small",I9360&lt;=6,"Medium",I9360&lt;=9,"Large")</f>
        <v>Large</v>
      </c>
      <c r="K9360" s="36">
        <v>45491</v>
      </c>
      <c r="L9360" s="36">
        <v>45498</v>
      </c>
      <c r="M9360" t="s">
        <v>603</v>
      </c>
      <c r="N9360" t="s">
        <v>599</v>
      </c>
      <c r="O9360" s="37" t="str">
        <f t="shared" si="733"/>
        <v>Digital Payment</v>
      </c>
      <c r="P9360">
        <v>414.18</v>
      </c>
      <c r="Q9360" s="37" t="str">
        <f>IF(P9360&gt;500,"High","low")</f>
        <v>low</v>
      </c>
      <c r="R9360" s="37" t="str">
        <f t="shared" si="734"/>
        <v>AVERAGE</v>
      </c>
      <c r="S9360" t="s">
        <v>609</v>
      </c>
    </row>
    <row r="9361" spans="1:19" x14ac:dyDescent="0.2">
      <c r="A9361" t="s">
        <v>9972</v>
      </c>
      <c r="B9361" t="s">
        <v>90</v>
      </c>
      <c r="C9361" t="s">
        <v>602</v>
      </c>
      <c r="D9361">
        <v>3506.54</v>
      </c>
      <c r="E9361" s="37" t="str">
        <f t="shared" si="730"/>
        <v xml:space="preserve"> </v>
      </c>
      <c r="F9361">
        <v>0.46</v>
      </c>
      <c r="G9361" s="37" t="str">
        <f t="shared" si="731"/>
        <v>Heavy Discount</v>
      </c>
      <c r="H9361" s="37" t="str">
        <f t="shared" si="732"/>
        <v>High</v>
      </c>
      <c r="I9361">
        <v>2</v>
      </c>
      <c r="J9361" t="str" cm="1">
        <f t="array" ref="J9361">_xlfn.IFS(I9361&lt;=3,"small",I9361&lt;=6,"Medium",I9361&lt;=9,"Large")</f>
        <v>small</v>
      </c>
      <c r="K9361" s="36">
        <v>45101</v>
      </c>
      <c r="L9361" s="36">
        <v>45104</v>
      </c>
      <c r="M9361" t="s">
        <v>612</v>
      </c>
      <c r="N9361" t="s">
        <v>608</v>
      </c>
      <c r="O9361" s="37" t="str">
        <f t="shared" si="733"/>
        <v>Cash Payment</v>
      </c>
      <c r="P9361">
        <v>833.91</v>
      </c>
      <c r="Q9361" s="37" t="str">
        <f>IF(P9361&gt;500,"High","low")</f>
        <v>High</v>
      </c>
      <c r="R9361" s="37" t="str">
        <f t="shared" si="734"/>
        <v>Good</v>
      </c>
      <c r="S9361" t="s">
        <v>605</v>
      </c>
    </row>
    <row r="9362" spans="1:19" x14ac:dyDescent="0.2">
      <c r="A9362" t="s">
        <v>9973</v>
      </c>
      <c r="B9362" t="s">
        <v>67</v>
      </c>
      <c r="C9362" t="s">
        <v>602</v>
      </c>
      <c r="D9362">
        <v>1776.35</v>
      </c>
      <c r="E9362" s="37" t="str">
        <f t="shared" si="730"/>
        <v xml:space="preserve"> </v>
      </c>
      <c r="F9362">
        <v>0.15</v>
      </c>
      <c r="G9362" s="37" t="str">
        <f t="shared" si="731"/>
        <v>Normal Discount</v>
      </c>
      <c r="H9362" s="37" t="str">
        <f t="shared" si="732"/>
        <v>Low</v>
      </c>
      <c r="I9362">
        <v>8</v>
      </c>
      <c r="J9362" t="str" cm="1">
        <f t="array" ref="J9362">_xlfn.IFS(I9362&lt;=3,"small",I9362&lt;=6,"Medium",I9362&lt;=9,"Large")</f>
        <v>Large</v>
      </c>
      <c r="K9362" s="36">
        <v>45645</v>
      </c>
      <c r="L9362" s="36">
        <v>45650</v>
      </c>
      <c r="M9362" t="s">
        <v>612</v>
      </c>
      <c r="N9362" t="s">
        <v>608</v>
      </c>
      <c r="O9362" s="37" t="str">
        <f t="shared" si="733"/>
        <v>Cash Payment</v>
      </c>
      <c r="P9362">
        <v>211.42</v>
      </c>
      <c r="Q9362" s="37" t="str">
        <f>IF(P9362&gt;500,"High","low")</f>
        <v>low</v>
      </c>
      <c r="R9362" s="37" t="str">
        <f t="shared" si="734"/>
        <v>AVERAGE</v>
      </c>
      <c r="S9362" t="s">
        <v>600</v>
      </c>
    </row>
    <row r="9363" spans="1:19" x14ac:dyDescent="0.2">
      <c r="A9363" t="s">
        <v>9974</v>
      </c>
      <c r="B9363" t="s">
        <v>90</v>
      </c>
      <c r="C9363" t="s">
        <v>597</v>
      </c>
      <c r="D9363">
        <v>1669.08</v>
      </c>
      <c r="E9363" s="37" t="str">
        <f t="shared" si="730"/>
        <v xml:space="preserve"> </v>
      </c>
      <c r="F9363">
        <v>0.33</v>
      </c>
      <c r="G9363" s="37" t="str">
        <f t="shared" si="731"/>
        <v>Heavy Discount</v>
      </c>
      <c r="H9363" s="37" t="str">
        <f t="shared" si="732"/>
        <v>Medium</v>
      </c>
      <c r="I9363">
        <v>5</v>
      </c>
      <c r="J9363" t="str" cm="1">
        <f t="array" ref="J9363">_xlfn.IFS(I9363&lt;=3,"small",I9363&lt;=6,"Medium",I9363&lt;=9,"Large")</f>
        <v>Medium</v>
      </c>
      <c r="K9363" s="36">
        <v>45039</v>
      </c>
      <c r="L9363" s="36">
        <v>45044</v>
      </c>
      <c r="M9363" t="s">
        <v>603</v>
      </c>
      <c r="N9363" t="s">
        <v>604</v>
      </c>
      <c r="O9363" s="37" t="str">
        <f t="shared" si="733"/>
        <v>Digital Payment</v>
      </c>
      <c r="P9363">
        <v>130.29</v>
      </c>
      <c r="Q9363" s="37" t="str">
        <f>IF(P9363&gt;500,"High","low")</f>
        <v>low</v>
      </c>
      <c r="R9363" s="37" t="str">
        <f t="shared" si="734"/>
        <v>AVERAGE</v>
      </c>
      <c r="S9363" t="s">
        <v>628</v>
      </c>
    </row>
    <row r="9364" spans="1:19" x14ac:dyDescent="0.2">
      <c r="A9364" t="s">
        <v>9975</v>
      </c>
      <c r="B9364" t="s">
        <v>90</v>
      </c>
      <c r="C9364" t="s">
        <v>597</v>
      </c>
      <c r="D9364">
        <v>3943.26</v>
      </c>
      <c r="E9364" s="37" t="str">
        <f t="shared" si="730"/>
        <v xml:space="preserve"> </v>
      </c>
      <c r="F9364">
        <v>0.02</v>
      </c>
      <c r="G9364" s="37" t="str">
        <f t="shared" si="731"/>
        <v>Normal Discount</v>
      </c>
      <c r="H9364" s="37" t="str">
        <f t="shared" si="732"/>
        <v>Low</v>
      </c>
      <c r="I9364">
        <v>8</v>
      </c>
      <c r="J9364" t="str" cm="1">
        <f t="array" ref="J9364">_xlfn.IFS(I9364&lt;=3,"small",I9364&lt;=6,"Medium",I9364&lt;=9,"Large")</f>
        <v>Large</v>
      </c>
      <c r="K9364" s="36">
        <v>45415</v>
      </c>
      <c r="L9364" s="36">
        <v>45421</v>
      </c>
      <c r="M9364" t="s">
        <v>612</v>
      </c>
      <c r="N9364" t="s">
        <v>599</v>
      </c>
      <c r="O9364" s="37" t="str">
        <f t="shared" si="733"/>
        <v>Digital Payment</v>
      </c>
      <c r="P9364">
        <v>258.37</v>
      </c>
      <c r="Q9364" s="37" t="str">
        <f>IF(P9364&gt;500,"High","low")</f>
        <v>low</v>
      </c>
      <c r="R9364" s="37" t="str">
        <f t="shared" si="734"/>
        <v>AVERAGE</v>
      </c>
      <c r="S9364" t="s">
        <v>628</v>
      </c>
    </row>
    <row r="9365" spans="1:19" x14ac:dyDescent="0.2">
      <c r="A9365" t="s">
        <v>9976</v>
      </c>
      <c r="B9365" t="s">
        <v>83</v>
      </c>
      <c r="C9365" t="s">
        <v>602</v>
      </c>
      <c r="D9365">
        <v>360.13</v>
      </c>
      <c r="E9365" s="37" t="str">
        <f t="shared" si="730"/>
        <v xml:space="preserve"> </v>
      </c>
      <c r="F9365">
        <v>0.22</v>
      </c>
      <c r="G9365" s="37" t="str">
        <f t="shared" si="731"/>
        <v>Normal Discount</v>
      </c>
      <c r="H9365" s="37" t="str">
        <f t="shared" si="732"/>
        <v>Medium</v>
      </c>
      <c r="I9365">
        <v>6</v>
      </c>
      <c r="J9365" t="str" cm="1">
        <f t="array" ref="J9365">_xlfn.IFS(I9365&lt;=3,"small",I9365&lt;=6,"Medium",I9365&lt;=9,"Large")</f>
        <v>Medium</v>
      </c>
      <c r="K9365" s="36">
        <v>45523</v>
      </c>
      <c r="L9365" s="36">
        <v>45524</v>
      </c>
      <c r="M9365" t="s">
        <v>598</v>
      </c>
      <c r="N9365" t="s">
        <v>608</v>
      </c>
      <c r="O9365" s="37" t="str">
        <f t="shared" si="733"/>
        <v>Cash Payment</v>
      </c>
      <c r="P9365">
        <v>58.82</v>
      </c>
      <c r="Q9365" s="37" t="str">
        <f>IF(P9365&gt;500,"High","low")</f>
        <v>low</v>
      </c>
      <c r="R9365" s="37" t="str">
        <f t="shared" si="734"/>
        <v>AVERAGE</v>
      </c>
      <c r="S9365" t="s">
        <v>600</v>
      </c>
    </row>
    <row r="9366" spans="1:19" x14ac:dyDescent="0.2">
      <c r="A9366" t="s">
        <v>9977</v>
      </c>
      <c r="B9366" t="s">
        <v>90</v>
      </c>
      <c r="C9366" t="s">
        <v>614</v>
      </c>
      <c r="D9366">
        <v>3820.31</v>
      </c>
      <c r="E9366" s="37" t="str">
        <f t="shared" si="730"/>
        <v xml:space="preserve"> </v>
      </c>
      <c r="F9366">
        <v>0.48</v>
      </c>
      <c r="G9366" s="37" t="str">
        <f t="shared" si="731"/>
        <v>Heavy Discount</v>
      </c>
      <c r="H9366" s="37" t="str">
        <f t="shared" si="732"/>
        <v>High</v>
      </c>
      <c r="I9366">
        <v>2</v>
      </c>
      <c r="J9366" t="str" cm="1">
        <f t="array" ref="J9366">_xlfn.IFS(I9366&lt;=3,"small",I9366&lt;=6,"Medium",I9366&lt;=9,"Large")</f>
        <v>small</v>
      </c>
      <c r="K9366" s="36">
        <v>44972</v>
      </c>
      <c r="L9366" s="36">
        <v>44974</v>
      </c>
      <c r="M9366" t="s">
        <v>598</v>
      </c>
      <c r="N9366" t="s">
        <v>608</v>
      </c>
      <c r="O9366" s="37" t="str">
        <f t="shared" si="733"/>
        <v>Cash Payment</v>
      </c>
      <c r="P9366">
        <v>1026.53</v>
      </c>
      <c r="Q9366" s="37" t="str">
        <f>IF(P9366&gt;500,"High","low")</f>
        <v>High</v>
      </c>
      <c r="R9366" s="37" t="str">
        <f t="shared" si="734"/>
        <v>Excellent</v>
      </c>
      <c r="S9366" t="s">
        <v>605</v>
      </c>
    </row>
    <row r="9367" spans="1:19" x14ac:dyDescent="0.2">
      <c r="A9367" t="s">
        <v>9978</v>
      </c>
      <c r="B9367" t="s">
        <v>75</v>
      </c>
      <c r="C9367" t="s">
        <v>602</v>
      </c>
      <c r="D9367">
        <v>4087.82</v>
      </c>
      <c r="E9367" s="37" t="str">
        <f t="shared" si="730"/>
        <v xml:space="preserve"> </v>
      </c>
      <c r="F9367">
        <v>0.44</v>
      </c>
      <c r="G9367" s="37" t="str">
        <f t="shared" si="731"/>
        <v>Heavy Discount</v>
      </c>
      <c r="H9367" s="37" t="str">
        <f t="shared" si="732"/>
        <v>High</v>
      </c>
      <c r="I9367">
        <v>7</v>
      </c>
      <c r="J9367" t="str" cm="1">
        <f t="array" ref="J9367">_xlfn.IFS(I9367&lt;=3,"small",I9367&lt;=6,"Medium",I9367&lt;=9,"Large")</f>
        <v>Large</v>
      </c>
      <c r="K9367" s="36">
        <v>45177</v>
      </c>
      <c r="L9367" s="36">
        <v>45183</v>
      </c>
      <c r="M9367" t="s">
        <v>598</v>
      </c>
      <c r="N9367" t="s">
        <v>604</v>
      </c>
      <c r="O9367" s="37" t="str">
        <f t="shared" si="733"/>
        <v>Digital Payment</v>
      </c>
      <c r="P9367">
        <v>581.85</v>
      </c>
      <c r="Q9367" s="37" t="str">
        <f>IF(P9367&gt;500,"High","low")</f>
        <v>High</v>
      </c>
      <c r="R9367" s="37" t="str">
        <f t="shared" si="734"/>
        <v>Good</v>
      </c>
      <c r="S9367" t="s">
        <v>605</v>
      </c>
    </row>
    <row r="9368" spans="1:19" x14ac:dyDescent="0.2">
      <c r="A9368" t="s">
        <v>9979</v>
      </c>
      <c r="B9368" t="s">
        <v>75</v>
      </c>
      <c r="C9368" t="s">
        <v>597</v>
      </c>
      <c r="D9368">
        <v>2655.83</v>
      </c>
      <c r="E9368" s="37" t="str">
        <f t="shared" si="730"/>
        <v xml:space="preserve"> </v>
      </c>
      <c r="F9368">
        <v>0.11</v>
      </c>
      <c r="G9368" s="37" t="str">
        <f t="shared" si="731"/>
        <v>Normal Discount</v>
      </c>
      <c r="H9368" s="37" t="str">
        <f t="shared" si="732"/>
        <v>Low</v>
      </c>
      <c r="I9368">
        <v>6</v>
      </c>
      <c r="J9368" t="str" cm="1">
        <f t="array" ref="J9368">_xlfn.IFS(I9368&lt;=3,"small",I9368&lt;=6,"Medium",I9368&lt;=9,"Large")</f>
        <v>Medium</v>
      </c>
      <c r="K9368" s="36">
        <v>45657</v>
      </c>
      <c r="L9368" s="36">
        <v>45659</v>
      </c>
      <c r="M9368" t="s">
        <v>603</v>
      </c>
      <c r="N9368" t="s">
        <v>599</v>
      </c>
      <c r="O9368" s="37" t="str">
        <f t="shared" si="733"/>
        <v>Digital Payment</v>
      </c>
      <c r="P9368">
        <v>575.64</v>
      </c>
      <c r="Q9368" s="37" t="str">
        <f>IF(P9368&gt;500,"High","low")</f>
        <v>High</v>
      </c>
      <c r="R9368" s="37" t="str">
        <f t="shared" si="734"/>
        <v>Good</v>
      </c>
      <c r="S9368" t="s">
        <v>600</v>
      </c>
    </row>
    <row r="9369" spans="1:19" x14ac:dyDescent="0.2">
      <c r="A9369" t="s">
        <v>9980</v>
      </c>
      <c r="B9369" t="s">
        <v>83</v>
      </c>
      <c r="C9369" t="s">
        <v>607</v>
      </c>
      <c r="D9369">
        <v>4559.7299999999996</v>
      </c>
      <c r="E9369" s="37" t="str">
        <f t="shared" si="730"/>
        <v xml:space="preserve"> </v>
      </c>
      <c r="F9369">
        <v>0.44</v>
      </c>
      <c r="G9369" s="37" t="str">
        <f t="shared" si="731"/>
        <v>Heavy Discount</v>
      </c>
      <c r="H9369" s="37" t="str">
        <f t="shared" si="732"/>
        <v>High</v>
      </c>
      <c r="I9369">
        <v>4</v>
      </c>
      <c r="J9369" t="str" cm="1">
        <f t="array" ref="J9369">_xlfn.IFS(I9369&lt;=3,"small",I9369&lt;=6,"Medium",I9369&lt;=9,"Large")</f>
        <v>Medium</v>
      </c>
      <c r="K9369" s="36">
        <v>45625</v>
      </c>
      <c r="L9369" s="36">
        <v>45632</v>
      </c>
      <c r="M9369" t="s">
        <v>603</v>
      </c>
      <c r="N9369" t="s">
        <v>604</v>
      </c>
      <c r="O9369" s="37" t="str">
        <f t="shared" si="733"/>
        <v>Digital Payment</v>
      </c>
      <c r="P9369">
        <v>719.15</v>
      </c>
      <c r="Q9369" s="37" t="str">
        <f>IF(P9369&gt;500,"High","low")</f>
        <v>High</v>
      </c>
      <c r="R9369" s="37" t="str">
        <f t="shared" si="734"/>
        <v>Good</v>
      </c>
      <c r="S9369" t="s">
        <v>620</v>
      </c>
    </row>
    <row r="9370" spans="1:19" x14ac:dyDescent="0.2">
      <c r="A9370" t="s">
        <v>9981</v>
      </c>
      <c r="B9370" t="s">
        <v>67</v>
      </c>
      <c r="C9370" t="s">
        <v>617</v>
      </c>
      <c r="D9370">
        <v>2418.13</v>
      </c>
      <c r="E9370" s="37" t="str">
        <f t="shared" si="730"/>
        <v xml:space="preserve"> </v>
      </c>
      <c r="F9370">
        <v>0.15</v>
      </c>
      <c r="G9370" s="37" t="str">
        <f t="shared" si="731"/>
        <v>Normal Discount</v>
      </c>
      <c r="H9370" s="37" t="str">
        <f t="shared" si="732"/>
        <v>Low</v>
      </c>
      <c r="I9370">
        <v>9</v>
      </c>
      <c r="J9370" t="str" cm="1">
        <f t="array" ref="J9370">_xlfn.IFS(I9370&lt;=3,"small",I9370&lt;=6,"Medium",I9370&lt;=9,"Large")</f>
        <v>Large</v>
      </c>
      <c r="K9370" s="36">
        <v>45562</v>
      </c>
      <c r="L9370" s="36">
        <v>45566</v>
      </c>
      <c r="M9370" t="s">
        <v>603</v>
      </c>
      <c r="N9370" t="s">
        <v>604</v>
      </c>
      <c r="O9370" s="37" t="str">
        <f t="shared" si="733"/>
        <v>Digital Payment</v>
      </c>
      <c r="P9370">
        <v>596.19000000000005</v>
      </c>
      <c r="Q9370" s="37" t="str">
        <f>IF(P9370&gt;500,"High","low")</f>
        <v>High</v>
      </c>
      <c r="R9370" s="37" t="str">
        <f t="shared" si="734"/>
        <v>Good</v>
      </c>
      <c r="S9370" t="s">
        <v>620</v>
      </c>
    </row>
    <row r="9371" spans="1:19" x14ac:dyDescent="0.2">
      <c r="A9371" t="s">
        <v>9982</v>
      </c>
      <c r="B9371" t="s">
        <v>67</v>
      </c>
      <c r="C9371" t="s">
        <v>607</v>
      </c>
      <c r="D9371">
        <v>972.62</v>
      </c>
      <c r="E9371" s="37" t="str">
        <f t="shared" si="730"/>
        <v xml:space="preserve"> </v>
      </c>
      <c r="F9371">
        <v>0.43</v>
      </c>
      <c r="G9371" s="37" t="str">
        <f t="shared" si="731"/>
        <v>Heavy Discount</v>
      </c>
      <c r="H9371" s="37" t="str">
        <f t="shared" si="732"/>
        <v>High</v>
      </c>
      <c r="I9371">
        <v>4</v>
      </c>
      <c r="J9371" t="str" cm="1">
        <f t="array" ref="J9371">_xlfn.IFS(I9371&lt;=3,"small",I9371&lt;=6,"Medium",I9371&lt;=9,"Large")</f>
        <v>Medium</v>
      </c>
      <c r="K9371" s="36">
        <v>45261</v>
      </c>
      <c r="L9371" s="36">
        <v>45265</v>
      </c>
      <c r="M9371" t="s">
        <v>598</v>
      </c>
      <c r="N9371" t="s">
        <v>599</v>
      </c>
      <c r="O9371" s="37" t="str">
        <f t="shared" si="733"/>
        <v>Digital Payment</v>
      </c>
      <c r="P9371">
        <v>243.96</v>
      </c>
      <c r="Q9371" s="37" t="str">
        <f>IF(P9371&gt;500,"High","low")</f>
        <v>low</v>
      </c>
      <c r="R9371" s="37" t="str">
        <f t="shared" si="734"/>
        <v>AVERAGE</v>
      </c>
      <c r="S9371" t="s">
        <v>609</v>
      </c>
    </row>
    <row r="9372" spans="1:19" x14ac:dyDescent="0.2">
      <c r="A9372" t="s">
        <v>9983</v>
      </c>
      <c r="B9372" t="s">
        <v>67</v>
      </c>
      <c r="C9372" t="s">
        <v>607</v>
      </c>
      <c r="D9372">
        <v>1870.85</v>
      </c>
      <c r="E9372" s="37" t="str">
        <f t="shared" si="730"/>
        <v xml:space="preserve"> </v>
      </c>
      <c r="F9372">
        <v>0.36</v>
      </c>
      <c r="G9372" s="37" t="str">
        <f t="shared" si="731"/>
        <v>Heavy Discount</v>
      </c>
      <c r="H9372" s="37" t="str">
        <f t="shared" si="732"/>
        <v>Medium</v>
      </c>
      <c r="I9372">
        <v>1</v>
      </c>
      <c r="J9372" t="str" cm="1">
        <f t="array" ref="J9372">_xlfn.IFS(I9372&lt;=3,"small",I9372&lt;=6,"Medium",I9372&lt;=9,"Large")</f>
        <v>small</v>
      </c>
      <c r="K9372" s="36">
        <v>45363</v>
      </c>
      <c r="L9372" s="36">
        <v>45368</v>
      </c>
      <c r="M9372" t="s">
        <v>598</v>
      </c>
      <c r="N9372" t="s">
        <v>599</v>
      </c>
      <c r="O9372" s="37" t="str">
        <f t="shared" si="733"/>
        <v>Digital Payment</v>
      </c>
      <c r="P9372">
        <v>536.27</v>
      </c>
      <c r="Q9372" s="37" t="str">
        <f>IF(P9372&gt;500,"High","low")</f>
        <v>High</v>
      </c>
      <c r="R9372" s="37" t="str">
        <f t="shared" si="734"/>
        <v>Good</v>
      </c>
      <c r="S9372" t="s">
        <v>600</v>
      </c>
    </row>
    <row r="9373" spans="1:19" x14ac:dyDescent="0.2">
      <c r="A9373" t="s">
        <v>9984</v>
      </c>
      <c r="B9373" t="s">
        <v>75</v>
      </c>
      <c r="C9373" t="s">
        <v>617</v>
      </c>
      <c r="D9373">
        <v>4538.75</v>
      </c>
      <c r="E9373" s="37" t="str">
        <f t="shared" si="730"/>
        <v xml:space="preserve"> </v>
      </c>
      <c r="F9373">
        <v>0.18</v>
      </c>
      <c r="G9373" s="37" t="str">
        <f t="shared" si="731"/>
        <v>Normal Discount</v>
      </c>
      <c r="H9373" s="37" t="str">
        <f t="shared" si="732"/>
        <v>Low</v>
      </c>
      <c r="I9373">
        <v>3</v>
      </c>
      <c r="J9373" t="str" cm="1">
        <f t="array" ref="J9373">_xlfn.IFS(I9373&lt;=3,"small",I9373&lt;=6,"Medium",I9373&lt;=9,"Large")</f>
        <v>small</v>
      </c>
      <c r="K9373" s="36">
        <v>45370</v>
      </c>
      <c r="L9373" s="36">
        <v>45377</v>
      </c>
      <c r="M9373" t="s">
        <v>612</v>
      </c>
      <c r="N9373" t="s">
        <v>604</v>
      </c>
      <c r="O9373" s="37" t="str">
        <f t="shared" si="733"/>
        <v>Digital Payment</v>
      </c>
      <c r="P9373">
        <v>610.41</v>
      </c>
      <c r="Q9373" s="37" t="str">
        <f>IF(P9373&gt;500,"High","low")</f>
        <v>High</v>
      </c>
      <c r="R9373" s="37" t="str">
        <f t="shared" si="734"/>
        <v>Good</v>
      </c>
      <c r="S9373" t="s">
        <v>615</v>
      </c>
    </row>
    <row r="9374" spans="1:19" x14ac:dyDescent="0.2">
      <c r="A9374" t="s">
        <v>9985</v>
      </c>
      <c r="B9374" t="s">
        <v>67</v>
      </c>
      <c r="C9374" t="s">
        <v>602</v>
      </c>
      <c r="D9374">
        <v>4969.32</v>
      </c>
      <c r="E9374" s="37" t="str">
        <f t="shared" si="730"/>
        <v>Excellent Order</v>
      </c>
      <c r="F9374">
        <v>0.46</v>
      </c>
      <c r="G9374" s="37" t="str">
        <f t="shared" si="731"/>
        <v>Heavy Discount</v>
      </c>
      <c r="H9374" s="37" t="str">
        <f t="shared" si="732"/>
        <v>High</v>
      </c>
      <c r="I9374">
        <v>8</v>
      </c>
      <c r="J9374" t="str" cm="1">
        <f t="array" ref="J9374">_xlfn.IFS(I9374&lt;=3,"small",I9374&lt;=6,"Medium",I9374&lt;=9,"Large")</f>
        <v>Large</v>
      </c>
      <c r="K9374" s="36">
        <v>45037</v>
      </c>
      <c r="L9374" s="36">
        <v>45044</v>
      </c>
      <c r="M9374" t="s">
        <v>603</v>
      </c>
      <c r="N9374" t="s">
        <v>599</v>
      </c>
      <c r="O9374" s="37" t="str">
        <f t="shared" si="733"/>
        <v>Digital Payment</v>
      </c>
      <c r="P9374">
        <v>833.89</v>
      </c>
      <c r="Q9374" s="37" t="str">
        <f>IF(P9374&gt;500,"High","low")</f>
        <v>High</v>
      </c>
      <c r="R9374" s="37" t="str">
        <f t="shared" si="734"/>
        <v>Good</v>
      </c>
      <c r="S9374" t="s">
        <v>600</v>
      </c>
    </row>
    <row r="9375" spans="1:19" x14ac:dyDescent="0.2">
      <c r="A9375" t="s">
        <v>9986</v>
      </c>
      <c r="B9375" t="s">
        <v>67</v>
      </c>
      <c r="C9375" t="s">
        <v>614</v>
      </c>
      <c r="D9375">
        <v>2167.08</v>
      </c>
      <c r="E9375" s="37" t="str">
        <f t="shared" si="730"/>
        <v xml:space="preserve"> </v>
      </c>
      <c r="F9375">
        <v>0.24</v>
      </c>
      <c r="G9375" s="37" t="str">
        <f t="shared" si="731"/>
        <v>Normal Discount</v>
      </c>
      <c r="H9375" s="37" t="str">
        <f t="shared" si="732"/>
        <v>Medium</v>
      </c>
      <c r="I9375">
        <v>3</v>
      </c>
      <c r="J9375" t="str" cm="1">
        <f t="array" ref="J9375">_xlfn.IFS(I9375&lt;=3,"small",I9375&lt;=6,"Medium",I9375&lt;=9,"Large")</f>
        <v>small</v>
      </c>
      <c r="K9375" s="36">
        <v>45504</v>
      </c>
      <c r="L9375" s="36">
        <v>45507</v>
      </c>
      <c r="M9375" t="s">
        <v>603</v>
      </c>
      <c r="N9375" t="s">
        <v>608</v>
      </c>
      <c r="O9375" s="37" t="str">
        <f t="shared" si="733"/>
        <v>Cash Payment</v>
      </c>
      <c r="P9375">
        <v>458.2</v>
      </c>
      <c r="Q9375" s="37" t="str">
        <f>IF(P9375&gt;500,"High","low")</f>
        <v>low</v>
      </c>
      <c r="R9375" s="37" t="str">
        <f t="shared" si="734"/>
        <v>AVERAGE</v>
      </c>
      <c r="S9375" t="s">
        <v>600</v>
      </c>
    </row>
    <row r="9376" spans="1:19" x14ac:dyDescent="0.2">
      <c r="A9376" t="s">
        <v>9987</v>
      </c>
      <c r="B9376" t="s">
        <v>83</v>
      </c>
      <c r="C9376" t="s">
        <v>607</v>
      </c>
      <c r="D9376">
        <v>917.55</v>
      </c>
      <c r="E9376" s="37" t="str">
        <f t="shared" si="730"/>
        <v xml:space="preserve"> </v>
      </c>
      <c r="F9376">
        <v>0.16</v>
      </c>
      <c r="G9376" s="37" t="str">
        <f t="shared" si="731"/>
        <v>Normal Discount</v>
      </c>
      <c r="H9376" s="37" t="str">
        <f t="shared" si="732"/>
        <v>Low</v>
      </c>
      <c r="I9376">
        <v>7</v>
      </c>
      <c r="J9376" t="str" cm="1">
        <f t="array" ref="J9376">_xlfn.IFS(I9376&lt;=3,"small",I9376&lt;=6,"Medium",I9376&lt;=9,"Large")</f>
        <v>Large</v>
      </c>
      <c r="K9376" s="36">
        <v>45651</v>
      </c>
      <c r="L9376" s="36">
        <v>45658</v>
      </c>
      <c r="M9376" t="s">
        <v>612</v>
      </c>
      <c r="N9376" t="s">
        <v>599</v>
      </c>
      <c r="O9376" s="37" t="str">
        <f t="shared" si="733"/>
        <v>Digital Payment</v>
      </c>
      <c r="P9376">
        <v>160.77000000000001</v>
      </c>
      <c r="Q9376" s="37" t="str">
        <f>IF(P9376&gt;500,"High","low")</f>
        <v>low</v>
      </c>
      <c r="R9376" s="37" t="str">
        <f t="shared" si="734"/>
        <v>AVERAGE</v>
      </c>
      <c r="S9376" t="s">
        <v>600</v>
      </c>
    </row>
    <row r="9377" spans="1:19" x14ac:dyDescent="0.2">
      <c r="A9377" t="s">
        <v>9988</v>
      </c>
      <c r="B9377" t="s">
        <v>67</v>
      </c>
      <c r="C9377" t="s">
        <v>614</v>
      </c>
      <c r="D9377">
        <v>1503.01</v>
      </c>
      <c r="E9377" s="37" t="str">
        <f t="shared" si="730"/>
        <v xml:space="preserve"> </v>
      </c>
      <c r="F9377">
        <v>0.14000000000000001</v>
      </c>
      <c r="G9377" s="37" t="str">
        <f t="shared" si="731"/>
        <v>Normal Discount</v>
      </c>
      <c r="H9377" s="37" t="str">
        <f t="shared" si="732"/>
        <v>Low</v>
      </c>
      <c r="I9377">
        <v>1</v>
      </c>
      <c r="J9377" t="str" cm="1">
        <f t="array" ref="J9377">_xlfn.IFS(I9377&lt;=3,"small",I9377&lt;=6,"Medium",I9377&lt;=9,"Large")</f>
        <v>small</v>
      </c>
      <c r="K9377" s="36">
        <v>45257</v>
      </c>
      <c r="L9377" s="36">
        <v>45260</v>
      </c>
      <c r="M9377" t="s">
        <v>612</v>
      </c>
      <c r="N9377" t="s">
        <v>599</v>
      </c>
      <c r="O9377" s="37" t="str">
        <f t="shared" si="733"/>
        <v>Digital Payment</v>
      </c>
      <c r="P9377">
        <v>106.69</v>
      </c>
      <c r="Q9377" s="37" t="str">
        <f>IF(P9377&gt;500,"High","low")</f>
        <v>low</v>
      </c>
      <c r="R9377" s="37" t="str">
        <f t="shared" si="734"/>
        <v>AVERAGE</v>
      </c>
      <c r="S9377" t="s">
        <v>628</v>
      </c>
    </row>
    <row r="9378" spans="1:19" x14ac:dyDescent="0.2">
      <c r="A9378" t="s">
        <v>9989</v>
      </c>
      <c r="B9378" t="s">
        <v>75</v>
      </c>
      <c r="C9378" t="s">
        <v>597</v>
      </c>
      <c r="D9378">
        <v>2811.15</v>
      </c>
      <c r="E9378" s="37" t="str">
        <f t="shared" si="730"/>
        <v xml:space="preserve"> </v>
      </c>
      <c r="F9378">
        <v>0.47</v>
      </c>
      <c r="G9378" s="37" t="str">
        <f t="shared" si="731"/>
        <v>Heavy Discount</v>
      </c>
      <c r="H9378" s="37" t="str">
        <f t="shared" si="732"/>
        <v>High</v>
      </c>
      <c r="I9378">
        <v>4</v>
      </c>
      <c r="J9378" t="str" cm="1">
        <f t="array" ref="J9378">_xlfn.IFS(I9378&lt;=3,"small",I9378&lt;=6,"Medium",I9378&lt;=9,"Large")</f>
        <v>Medium</v>
      </c>
      <c r="K9378" s="36">
        <v>45204</v>
      </c>
      <c r="L9378" s="36">
        <v>45205</v>
      </c>
      <c r="M9378" t="s">
        <v>603</v>
      </c>
      <c r="N9378" t="s">
        <v>608</v>
      </c>
      <c r="O9378" s="37" t="str">
        <f t="shared" si="733"/>
        <v>Cash Payment</v>
      </c>
      <c r="P9378">
        <v>594.77</v>
      </c>
      <c r="Q9378" s="37" t="str">
        <f>IF(P9378&gt;500,"High","low")</f>
        <v>High</v>
      </c>
      <c r="R9378" s="37" t="str">
        <f t="shared" si="734"/>
        <v>Good</v>
      </c>
      <c r="S9378" t="s">
        <v>600</v>
      </c>
    </row>
    <row r="9379" spans="1:19" x14ac:dyDescent="0.2">
      <c r="A9379" t="s">
        <v>9990</v>
      </c>
      <c r="B9379" t="s">
        <v>75</v>
      </c>
      <c r="C9379" t="s">
        <v>607</v>
      </c>
      <c r="D9379">
        <v>2903.27</v>
      </c>
      <c r="E9379" s="37" t="str">
        <f t="shared" si="730"/>
        <v xml:space="preserve"> </v>
      </c>
      <c r="F9379">
        <v>0.38</v>
      </c>
      <c r="G9379" s="37" t="str">
        <f t="shared" si="731"/>
        <v>Heavy Discount</v>
      </c>
      <c r="H9379" s="37" t="str">
        <f t="shared" si="732"/>
        <v>Medium</v>
      </c>
      <c r="I9379">
        <v>4</v>
      </c>
      <c r="J9379" t="str" cm="1">
        <f t="array" ref="J9379">_xlfn.IFS(I9379&lt;=3,"small",I9379&lt;=6,"Medium",I9379&lt;=9,"Large")</f>
        <v>Medium</v>
      </c>
      <c r="K9379" s="36">
        <v>45473</v>
      </c>
      <c r="L9379" s="36">
        <v>45477</v>
      </c>
      <c r="M9379" t="s">
        <v>598</v>
      </c>
      <c r="N9379" t="s">
        <v>608</v>
      </c>
      <c r="O9379" s="37" t="str">
        <f t="shared" si="733"/>
        <v>Cash Payment</v>
      </c>
      <c r="P9379">
        <v>225.03</v>
      </c>
      <c r="Q9379" s="37" t="str">
        <f>IF(P9379&gt;500,"High","low")</f>
        <v>low</v>
      </c>
      <c r="R9379" s="37" t="str">
        <f t="shared" si="734"/>
        <v>AVERAGE</v>
      </c>
      <c r="S9379" t="s">
        <v>600</v>
      </c>
    </row>
    <row r="9380" spans="1:19" x14ac:dyDescent="0.2">
      <c r="A9380" t="s">
        <v>9991</v>
      </c>
      <c r="B9380" t="s">
        <v>75</v>
      </c>
      <c r="C9380" t="s">
        <v>597</v>
      </c>
      <c r="D9380">
        <v>3187.29</v>
      </c>
      <c r="E9380" s="37" t="str">
        <f t="shared" si="730"/>
        <v xml:space="preserve"> </v>
      </c>
      <c r="F9380">
        <v>0.17</v>
      </c>
      <c r="G9380" s="37" t="str">
        <f t="shared" si="731"/>
        <v>Normal Discount</v>
      </c>
      <c r="H9380" s="37" t="str">
        <f t="shared" si="732"/>
        <v>Low</v>
      </c>
      <c r="I9380">
        <v>9</v>
      </c>
      <c r="J9380" t="str" cm="1">
        <f t="array" ref="J9380">_xlfn.IFS(I9380&lt;=3,"small",I9380&lt;=6,"Medium",I9380&lt;=9,"Large")</f>
        <v>Large</v>
      </c>
      <c r="K9380" s="36">
        <v>45032</v>
      </c>
      <c r="L9380" s="36">
        <v>45033</v>
      </c>
      <c r="M9380" t="s">
        <v>598</v>
      </c>
      <c r="N9380" t="s">
        <v>608</v>
      </c>
      <c r="O9380" s="37" t="str">
        <f t="shared" si="733"/>
        <v>Cash Payment</v>
      </c>
      <c r="P9380">
        <v>829.26</v>
      </c>
      <c r="Q9380" s="37" t="str">
        <f>IF(P9380&gt;500,"High","low")</f>
        <v>High</v>
      </c>
      <c r="R9380" s="37" t="str">
        <f t="shared" si="734"/>
        <v>Good</v>
      </c>
      <c r="S9380" t="s">
        <v>605</v>
      </c>
    </row>
    <row r="9381" spans="1:19" x14ac:dyDescent="0.2">
      <c r="A9381" t="s">
        <v>9992</v>
      </c>
      <c r="B9381" t="s">
        <v>83</v>
      </c>
      <c r="C9381" t="s">
        <v>602</v>
      </c>
      <c r="D9381">
        <v>4193.2299999999996</v>
      </c>
      <c r="E9381" s="37" t="str">
        <f t="shared" si="730"/>
        <v xml:space="preserve"> </v>
      </c>
      <c r="F9381">
        <v>0.13</v>
      </c>
      <c r="G9381" s="37" t="str">
        <f t="shared" si="731"/>
        <v>Normal Discount</v>
      </c>
      <c r="H9381" s="37" t="str">
        <f t="shared" si="732"/>
        <v>Low</v>
      </c>
      <c r="I9381">
        <v>1</v>
      </c>
      <c r="J9381" t="str" cm="1">
        <f t="array" ref="J9381">_xlfn.IFS(I9381&lt;=3,"small",I9381&lt;=6,"Medium",I9381&lt;=9,"Large")</f>
        <v>small</v>
      </c>
      <c r="K9381" s="36">
        <v>45351</v>
      </c>
      <c r="L9381" s="36">
        <v>45353</v>
      </c>
      <c r="M9381" t="s">
        <v>603</v>
      </c>
      <c r="N9381" t="s">
        <v>604</v>
      </c>
      <c r="O9381" s="37" t="str">
        <f t="shared" si="733"/>
        <v>Digital Payment</v>
      </c>
      <c r="P9381">
        <v>296.54000000000002</v>
      </c>
      <c r="Q9381" s="37" t="str">
        <f>IF(P9381&gt;500,"High","low")</f>
        <v>low</v>
      </c>
      <c r="R9381" s="37" t="str">
        <f t="shared" si="734"/>
        <v>AVERAGE</v>
      </c>
      <c r="S9381" t="s">
        <v>628</v>
      </c>
    </row>
    <row r="9382" spans="1:19" x14ac:dyDescent="0.2">
      <c r="A9382" t="s">
        <v>9993</v>
      </c>
      <c r="B9382" t="s">
        <v>83</v>
      </c>
      <c r="C9382" t="s">
        <v>607</v>
      </c>
      <c r="D9382">
        <v>3584.95</v>
      </c>
      <c r="E9382" s="37" t="str">
        <f t="shared" si="730"/>
        <v xml:space="preserve"> </v>
      </c>
      <c r="F9382">
        <v>0.11</v>
      </c>
      <c r="G9382" s="37" t="str">
        <f t="shared" si="731"/>
        <v>Normal Discount</v>
      </c>
      <c r="H9382" s="37" t="str">
        <f t="shared" si="732"/>
        <v>Low</v>
      </c>
      <c r="I9382">
        <v>9</v>
      </c>
      <c r="J9382" t="str" cm="1">
        <f t="array" ref="J9382">_xlfn.IFS(I9382&lt;=3,"small",I9382&lt;=6,"Medium",I9382&lt;=9,"Large")</f>
        <v>Large</v>
      </c>
      <c r="K9382" s="36">
        <v>45646</v>
      </c>
      <c r="L9382" s="36">
        <v>45651</v>
      </c>
      <c r="M9382" t="s">
        <v>598</v>
      </c>
      <c r="N9382" t="s">
        <v>599</v>
      </c>
      <c r="O9382" s="37" t="str">
        <f t="shared" si="733"/>
        <v>Digital Payment</v>
      </c>
      <c r="P9382">
        <v>879.49</v>
      </c>
      <c r="Q9382" s="37" t="str">
        <f>IF(P9382&gt;500,"High","low")</f>
        <v>High</v>
      </c>
      <c r="R9382" s="37" t="str">
        <f t="shared" si="734"/>
        <v>Good</v>
      </c>
      <c r="S9382" t="s">
        <v>609</v>
      </c>
    </row>
    <row r="9383" spans="1:19" x14ac:dyDescent="0.2">
      <c r="A9383" t="s">
        <v>9994</v>
      </c>
      <c r="B9383" t="s">
        <v>90</v>
      </c>
      <c r="C9383" t="s">
        <v>597</v>
      </c>
      <c r="D9383">
        <v>1378.12</v>
      </c>
      <c r="E9383" s="37" t="str">
        <f t="shared" si="730"/>
        <v xml:space="preserve"> </v>
      </c>
      <c r="F9383">
        <v>0.12</v>
      </c>
      <c r="G9383" s="37" t="str">
        <f t="shared" si="731"/>
        <v>Normal Discount</v>
      </c>
      <c r="H9383" s="37" t="str">
        <f t="shared" si="732"/>
        <v>Low</v>
      </c>
      <c r="I9383">
        <v>8</v>
      </c>
      <c r="J9383" t="str" cm="1">
        <f t="array" ref="J9383">_xlfn.IFS(I9383&lt;=3,"small",I9383&lt;=6,"Medium",I9383&lt;=9,"Large")</f>
        <v>Large</v>
      </c>
      <c r="K9383" s="36">
        <v>45597</v>
      </c>
      <c r="L9383" s="36">
        <v>45600</v>
      </c>
      <c r="M9383" t="s">
        <v>603</v>
      </c>
      <c r="N9383" t="s">
        <v>608</v>
      </c>
      <c r="O9383" s="37" t="str">
        <f t="shared" si="733"/>
        <v>Cash Payment</v>
      </c>
      <c r="P9383">
        <v>120.95</v>
      </c>
      <c r="Q9383" s="37" t="str">
        <f>IF(P9383&gt;500,"High","low")</f>
        <v>low</v>
      </c>
      <c r="R9383" s="37" t="str">
        <f t="shared" si="734"/>
        <v>AVERAGE</v>
      </c>
      <c r="S9383" t="s">
        <v>628</v>
      </c>
    </row>
    <row r="9384" spans="1:19" x14ac:dyDescent="0.2">
      <c r="A9384" t="s">
        <v>9995</v>
      </c>
      <c r="B9384" t="s">
        <v>67</v>
      </c>
      <c r="C9384" t="s">
        <v>597</v>
      </c>
      <c r="D9384">
        <v>2035.72</v>
      </c>
      <c r="E9384" s="37" t="str">
        <f t="shared" si="730"/>
        <v xml:space="preserve"> </v>
      </c>
      <c r="F9384">
        <v>0.06</v>
      </c>
      <c r="G9384" s="37" t="str">
        <f t="shared" si="731"/>
        <v>Normal Discount</v>
      </c>
      <c r="H9384" s="37" t="str">
        <f t="shared" si="732"/>
        <v>Low</v>
      </c>
      <c r="I9384">
        <v>6</v>
      </c>
      <c r="J9384" t="str" cm="1">
        <f t="array" ref="J9384">_xlfn.IFS(I9384&lt;=3,"small",I9384&lt;=6,"Medium",I9384&lt;=9,"Large")</f>
        <v>Medium</v>
      </c>
      <c r="K9384" s="36">
        <v>45629</v>
      </c>
      <c r="L9384" s="36">
        <v>45633</v>
      </c>
      <c r="M9384" t="s">
        <v>603</v>
      </c>
      <c r="N9384" t="s">
        <v>608</v>
      </c>
      <c r="O9384" s="37" t="str">
        <f t="shared" si="733"/>
        <v>Cash Payment</v>
      </c>
      <c r="P9384">
        <v>478.77</v>
      </c>
      <c r="Q9384" s="37" t="str">
        <f>IF(P9384&gt;500,"High","low")</f>
        <v>low</v>
      </c>
      <c r="R9384" s="37" t="str">
        <f t="shared" si="734"/>
        <v>AVERAGE</v>
      </c>
      <c r="S9384" t="s">
        <v>605</v>
      </c>
    </row>
    <row r="9385" spans="1:19" x14ac:dyDescent="0.2">
      <c r="A9385" t="s">
        <v>9996</v>
      </c>
      <c r="B9385" t="s">
        <v>83</v>
      </c>
      <c r="C9385" t="s">
        <v>602</v>
      </c>
      <c r="D9385">
        <v>4215.1000000000004</v>
      </c>
      <c r="E9385" s="37" t="str">
        <f t="shared" si="730"/>
        <v xml:space="preserve"> </v>
      </c>
      <c r="F9385">
        <v>0.24</v>
      </c>
      <c r="G9385" s="37" t="str">
        <f t="shared" si="731"/>
        <v>Normal Discount</v>
      </c>
      <c r="H9385" s="37" t="str">
        <f t="shared" si="732"/>
        <v>Medium</v>
      </c>
      <c r="I9385">
        <v>4</v>
      </c>
      <c r="J9385" t="str" cm="1">
        <f t="array" ref="J9385">_xlfn.IFS(I9385&lt;=3,"small",I9385&lt;=6,"Medium",I9385&lt;=9,"Large")</f>
        <v>Medium</v>
      </c>
      <c r="K9385" s="36">
        <v>45241</v>
      </c>
      <c r="L9385" s="36">
        <v>45248</v>
      </c>
      <c r="M9385" t="s">
        <v>598</v>
      </c>
      <c r="N9385" t="s">
        <v>608</v>
      </c>
      <c r="O9385" s="37" t="str">
        <f t="shared" si="733"/>
        <v>Cash Payment</v>
      </c>
      <c r="P9385">
        <v>235.06</v>
      </c>
      <c r="Q9385" s="37" t="str">
        <f>IF(P9385&gt;500,"High","low")</f>
        <v>low</v>
      </c>
      <c r="R9385" s="37" t="str">
        <f t="shared" si="734"/>
        <v>AVERAGE</v>
      </c>
      <c r="S9385" t="s">
        <v>609</v>
      </c>
    </row>
    <row r="9386" spans="1:19" x14ac:dyDescent="0.2">
      <c r="A9386" t="s">
        <v>9997</v>
      </c>
      <c r="B9386" t="s">
        <v>75</v>
      </c>
      <c r="C9386" t="s">
        <v>614</v>
      </c>
      <c r="D9386">
        <v>3203.58</v>
      </c>
      <c r="E9386" s="37" t="str">
        <f t="shared" si="730"/>
        <v xml:space="preserve"> </v>
      </c>
      <c r="F9386">
        <v>0.02</v>
      </c>
      <c r="G9386" s="37" t="str">
        <f t="shared" si="731"/>
        <v>Normal Discount</v>
      </c>
      <c r="H9386" s="37" t="str">
        <f t="shared" si="732"/>
        <v>Low</v>
      </c>
      <c r="I9386">
        <v>6</v>
      </c>
      <c r="J9386" t="str" cm="1">
        <f t="array" ref="J9386">_xlfn.IFS(I9386&lt;=3,"small",I9386&lt;=6,"Medium",I9386&lt;=9,"Large")</f>
        <v>Medium</v>
      </c>
      <c r="K9386" s="36">
        <v>45576</v>
      </c>
      <c r="L9386" s="36">
        <v>45580</v>
      </c>
      <c r="M9386" t="s">
        <v>598</v>
      </c>
      <c r="N9386" t="s">
        <v>604</v>
      </c>
      <c r="O9386" s="37" t="str">
        <f t="shared" si="733"/>
        <v>Digital Payment</v>
      </c>
      <c r="P9386">
        <v>249.63</v>
      </c>
      <c r="Q9386" s="37" t="str">
        <f>IF(P9386&gt;500,"High","low")</f>
        <v>low</v>
      </c>
      <c r="R9386" s="37" t="str">
        <f t="shared" si="734"/>
        <v>AVERAGE</v>
      </c>
      <c r="S9386" t="s">
        <v>615</v>
      </c>
    </row>
    <row r="9387" spans="1:19" x14ac:dyDescent="0.2">
      <c r="A9387" t="s">
        <v>9998</v>
      </c>
      <c r="B9387" t="s">
        <v>75</v>
      </c>
      <c r="C9387" t="s">
        <v>614</v>
      </c>
      <c r="D9387">
        <v>915.45</v>
      </c>
      <c r="E9387" s="37" t="str">
        <f t="shared" si="730"/>
        <v xml:space="preserve"> </v>
      </c>
      <c r="F9387">
        <v>0.01</v>
      </c>
      <c r="G9387" s="37" t="str">
        <f t="shared" si="731"/>
        <v>Normal Discount</v>
      </c>
      <c r="H9387" s="37" t="str">
        <f t="shared" si="732"/>
        <v>Low</v>
      </c>
      <c r="I9387">
        <v>6</v>
      </c>
      <c r="J9387" t="str" cm="1">
        <f t="array" ref="J9387">_xlfn.IFS(I9387&lt;=3,"small",I9387&lt;=6,"Medium",I9387&lt;=9,"Large")</f>
        <v>Medium</v>
      </c>
      <c r="K9387" s="36">
        <v>44962</v>
      </c>
      <c r="L9387" s="36">
        <v>44968</v>
      </c>
      <c r="M9387" t="s">
        <v>603</v>
      </c>
      <c r="N9387" t="s">
        <v>608</v>
      </c>
      <c r="O9387" s="37" t="str">
        <f t="shared" si="733"/>
        <v>Cash Payment</v>
      </c>
      <c r="P9387">
        <v>50.44</v>
      </c>
      <c r="Q9387" s="37" t="str">
        <f>IF(P9387&gt;500,"High","low")</f>
        <v>low</v>
      </c>
      <c r="R9387" s="37" t="str">
        <f t="shared" si="734"/>
        <v>AVERAGE</v>
      </c>
      <c r="S9387" t="s">
        <v>615</v>
      </c>
    </row>
    <row r="9388" spans="1:19" x14ac:dyDescent="0.2">
      <c r="A9388" t="s">
        <v>9999</v>
      </c>
      <c r="B9388" t="s">
        <v>83</v>
      </c>
      <c r="C9388" t="s">
        <v>607</v>
      </c>
      <c r="D9388">
        <v>1695.14</v>
      </c>
      <c r="E9388" s="37" t="str">
        <f t="shared" si="730"/>
        <v xml:space="preserve"> </v>
      </c>
      <c r="F9388">
        <v>0.31</v>
      </c>
      <c r="G9388" s="37" t="str">
        <f t="shared" si="731"/>
        <v>Heavy Discount</v>
      </c>
      <c r="H9388" s="37" t="str">
        <f t="shared" si="732"/>
        <v>Medium</v>
      </c>
      <c r="I9388">
        <v>2</v>
      </c>
      <c r="J9388" t="str" cm="1">
        <f t="array" ref="J9388">_xlfn.IFS(I9388&lt;=3,"small",I9388&lt;=6,"Medium",I9388&lt;=9,"Large")</f>
        <v>small</v>
      </c>
      <c r="K9388" s="36">
        <v>45139</v>
      </c>
      <c r="L9388" s="36">
        <v>45144</v>
      </c>
      <c r="M9388" t="s">
        <v>603</v>
      </c>
      <c r="N9388" t="s">
        <v>599</v>
      </c>
      <c r="O9388" s="37" t="str">
        <f t="shared" si="733"/>
        <v>Digital Payment</v>
      </c>
      <c r="P9388">
        <v>162.06</v>
      </c>
      <c r="Q9388" s="37" t="str">
        <f>IF(P9388&gt;500,"High","low")</f>
        <v>low</v>
      </c>
      <c r="R9388" s="37" t="str">
        <f t="shared" si="734"/>
        <v>AVERAGE</v>
      </c>
      <c r="S9388" t="s">
        <v>628</v>
      </c>
    </row>
    <row r="9389" spans="1:19" x14ac:dyDescent="0.2">
      <c r="A9389" t="s">
        <v>10000</v>
      </c>
      <c r="B9389" t="s">
        <v>83</v>
      </c>
      <c r="C9389" t="s">
        <v>602</v>
      </c>
      <c r="D9389">
        <v>3976.35</v>
      </c>
      <c r="E9389" s="37" t="str">
        <f t="shared" si="730"/>
        <v xml:space="preserve"> </v>
      </c>
      <c r="F9389">
        <v>0.04</v>
      </c>
      <c r="G9389" s="37" t="str">
        <f t="shared" si="731"/>
        <v>Normal Discount</v>
      </c>
      <c r="H9389" s="37" t="str">
        <f t="shared" si="732"/>
        <v>Low</v>
      </c>
      <c r="I9389">
        <v>7</v>
      </c>
      <c r="J9389" t="str" cm="1">
        <f t="array" ref="J9389">_xlfn.IFS(I9389&lt;=3,"small",I9389&lt;=6,"Medium",I9389&lt;=9,"Large")</f>
        <v>Large</v>
      </c>
      <c r="K9389" s="36">
        <v>45254</v>
      </c>
      <c r="L9389" s="36">
        <v>45259</v>
      </c>
      <c r="M9389" t="s">
        <v>603</v>
      </c>
      <c r="N9389" t="s">
        <v>608</v>
      </c>
      <c r="O9389" s="37" t="str">
        <f t="shared" si="733"/>
        <v>Cash Payment</v>
      </c>
      <c r="P9389">
        <v>199.17</v>
      </c>
      <c r="Q9389" s="37" t="str">
        <f>IF(P9389&gt;500,"High","low")</f>
        <v>low</v>
      </c>
      <c r="R9389" s="37" t="str">
        <f t="shared" si="734"/>
        <v>AVERAGE</v>
      </c>
      <c r="S9389" t="s">
        <v>605</v>
      </c>
    </row>
    <row r="9390" spans="1:19" x14ac:dyDescent="0.2">
      <c r="A9390" t="s">
        <v>10001</v>
      </c>
      <c r="B9390" t="s">
        <v>83</v>
      </c>
      <c r="C9390" t="s">
        <v>607</v>
      </c>
      <c r="D9390">
        <v>943.26</v>
      </c>
      <c r="E9390" s="37" t="str">
        <f t="shared" si="730"/>
        <v xml:space="preserve"> </v>
      </c>
      <c r="F9390">
        <v>0.42</v>
      </c>
      <c r="G9390" s="37" t="str">
        <f t="shared" si="731"/>
        <v>Heavy Discount</v>
      </c>
      <c r="H9390" s="37" t="str">
        <f t="shared" si="732"/>
        <v>High</v>
      </c>
      <c r="I9390">
        <v>9</v>
      </c>
      <c r="J9390" t="str" cm="1">
        <f t="array" ref="J9390">_xlfn.IFS(I9390&lt;=3,"small",I9390&lt;=6,"Medium",I9390&lt;=9,"Large")</f>
        <v>Large</v>
      </c>
      <c r="K9390" s="36">
        <v>44973</v>
      </c>
      <c r="L9390" s="36">
        <v>44979</v>
      </c>
      <c r="M9390" t="s">
        <v>603</v>
      </c>
      <c r="N9390" t="s">
        <v>608</v>
      </c>
      <c r="O9390" s="37" t="str">
        <f t="shared" si="733"/>
        <v>Cash Payment</v>
      </c>
      <c r="P9390">
        <v>67.540000000000006</v>
      </c>
      <c r="Q9390" s="37" t="str">
        <f>IF(P9390&gt;500,"High","low")</f>
        <v>low</v>
      </c>
      <c r="R9390" s="37" t="str">
        <f t="shared" si="734"/>
        <v>AVERAGE</v>
      </c>
      <c r="S9390" t="s">
        <v>620</v>
      </c>
    </row>
    <row r="9391" spans="1:19" x14ac:dyDescent="0.2">
      <c r="A9391" t="s">
        <v>10002</v>
      </c>
      <c r="B9391" t="s">
        <v>90</v>
      </c>
      <c r="C9391" t="s">
        <v>614</v>
      </c>
      <c r="D9391">
        <v>3486.15</v>
      </c>
      <c r="E9391" s="37" t="str">
        <f t="shared" si="730"/>
        <v xml:space="preserve"> </v>
      </c>
      <c r="F9391">
        <v>0.05</v>
      </c>
      <c r="G9391" s="37" t="str">
        <f t="shared" si="731"/>
        <v>Normal Discount</v>
      </c>
      <c r="H9391" s="37" t="str">
        <f t="shared" si="732"/>
        <v>Low</v>
      </c>
      <c r="I9391">
        <v>8</v>
      </c>
      <c r="J9391" t="str" cm="1">
        <f t="array" ref="J9391">_xlfn.IFS(I9391&lt;=3,"small",I9391&lt;=6,"Medium",I9391&lt;=9,"Large")</f>
        <v>Large</v>
      </c>
      <c r="K9391" s="36">
        <v>45485</v>
      </c>
      <c r="L9391" s="36">
        <v>45492</v>
      </c>
      <c r="M9391" t="s">
        <v>612</v>
      </c>
      <c r="N9391" t="s">
        <v>604</v>
      </c>
      <c r="O9391" s="37" t="str">
        <f t="shared" si="733"/>
        <v>Digital Payment</v>
      </c>
      <c r="P9391">
        <v>196.14</v>
      </c>
      <c r="Q9391" s="37" t="str">
        <f>IF(P9391&gt;500,"High","low")</f>
        <v>low</v>
      </c>
      <c r="R9391" s="37" t="str">
        <f t="shared" si="734"/>
        <v>AVERAGE</v>
      </c>
      <c r="S9391" t="s">
        <v>620</v>
      </c>
    </row>
    <row r="9392" spans="1:19" x14ac:dyDescent="0.2">
      <c r="A9392" t="s">
        <v>10003</v>
      </c>
      <c r="B9392" t="s">
        <v>75</v>
      </c>
      <c r="C9392" t="s">
        <v>602</v>
      </c>
      <c r="D9392">
        <v>2861.33</v>
      </c>
      <c r="E9392" s="37" t="str">
        <f t="shared" si="730"/>
        <v xml:space="preserve"> </v>
      </c>
      <c r="F9392">
        <v>0.27</v>
      </c>
      <c r="G9392" s="37" t="str">
        <f t="shared" si="731"/>
        <v>Normal Discount</v>
      </c>
      <c r="H9392" s="37" t="str">
        <f t="shared" si="732"/>
        <v>Medium</v>
      </c>
      <c r="I9392">
        <v>3</v>
      </c>
      <c r="J9392" t="str" cm="1">
        <f t="array" ref="J9392">_xlfn.IFS(I9392&lt;=3,"small",I9392&lt;=6,"Medium",I9392&lt;=9,"Large")</f>
        <v>small</v>
      </c>
      <c r="K9392" s="36">
        <v>45535</v>
      </c>
      <c r="L9392" s="36">
        <v>45542</v>
      </c>
      <c r="M9392" t="s">
        <v>612</v>
      </c>
      <c r="N9392" t="s">
        <v>608</v>
      </c>
      <c r="O9392" s="37" t="str">
        <f t="shared" si="733"/>
        <v>Cash Payment</v>
      </c>
      <c r="P9392">
        <v>453.8</v>
      </c>
      <c r="Q9392" s="37" t="str">
        <f>IF(P9392&gt;500,"High","low")</f>
        <v>low</v>
      </c>
      <c r="R9392" s="37" t="str">
        <f t="shared" si="734"/>
        <v>AVERAGE</v>
      </c>
      <c r="S9392" t="s">
        <v>605</v>
      </c>
    </row>
    <row r="9393" spans="1:19" x14ac:dyDescent="0.2">
      <c r="A9393" t="s">
        <v>10004</v>
      </c>
      <c r="B9393" t="s">
        <v>90</v>
      </c>
      <c r="C9393" t="s">
        <v>617</v>
      </c>
      <c r="D9393">
        <v>822.63</v>
      </c>
      <c r="E9393" s="37" t="str">
        <f t="shared" si="730"/>
        <v xml:space="preserve"> </v>
      </c>
      <c r="F9393">
        <v>0.34</v>
      </c>
      <c r="G9393" s="37" t="str">
        <f t="shared" si="731"/>
        <v>Heavy Discount</v>
      </c>
      <c r="H9393" s="37" t="str">
        <f t="shared" si="732"/>
        <v>Medium</v>
      </c>
      <c r="I9393">
        <v>8</v>
      </c>
      <c r="J9393" t="str" cm="1">
        <f t="array" ref="J9393">_xlfn.IFS(I9393&lt;=3,"small",I9393&lt;=6,"Medium",I9393&lt;=9,"Large")</f>
        <v>Large</v>
      </c>
      <c r="K9393" s="36">
        <v>45158</v>
      </c>
      <c r="L9393" s="36">
        <v>45162</v>
      </c>
      <c r="M9393" t="s">
        <v>603</v>
      </c>
      <c r="N9393" t="s">
        <v>608</v>
      </c>
      <c r="O9393" s="37" t="str">
        <f t="shared" si="733"/>
        <v>Cash Payment</v>
      </c>
      <c r="P9393">
        <v>73.459999999999994</v>
      </c>
      <c r="Q9393" s="37" t="str">
        <f>IF(P9393&gt;500,"High","low")</f>
        <v>low</v>
      </c>
      <c r="R9393" s="37" t="str">
        <f t="shared" si="734"/>
        <v>AVERAGE</v>
      </c>
      <c r="S9393" t="s">
        <v>605</v>
      </c>
    </row>
    <row r="9394" spans="1:19" x14ac:dyDescent="0.2">
      <c r="A9394" t="s">
        <v>10005</v>
      </c>
      <c r="B9394" t="s">
        <v>90</v>
      </c>
      <c r="C9394" t="s">
        <v>602</v>
      </c>
      <c r="D9394">
        <v>3475.51</v>
      </c>
      <c r="E9394" s="37" t="str">
        <f t="shared" si="730"/>
        <v xml:space="preserve"> </v>
      </c>
      <c r="F9394">
        <v>0.11</v>
      </c>
      <c r="G9394" s="37" t="str">
        <f t="shared" si="731"/>
        <v>Normal Discount</v>
      </c>
      <c r="H9394" s="37" t="str">
        <f t="shared" si="732"/>
        <v>Low</v>
      </c>
      <c r="I9394">
        <v>4</v>
      </c>
      <c r="J9394" t="str" cm="1">
        <f t="array" ref="J9394">_xlfn.IFS(I9394&lt;=3,"small",I9394&lt;=6,"Medium",I9394&lt;=9,"Large")</f>
        <v>Medium</v>
      </c>
      <c r="K9394" s="36">
        <v>45460</v>
      </c>
      <c r="L9394" s="36">
        <v>45464</v>
      </c>
      <c r="M9394" t="s">
        <v>603</v>
      </c>
      <c r="N9394" t="s">
        <v>604</v>
      </c>
      <c r="O9394" s="37" t="str">
        <f t="shared" si="733"/>
        <v>Digital Payment</v>
      </c>
      <c r="P9394">
        <v>423.36</v>
      </c>
      <c r="Q9394" s="37" t="str">
        <f>IF(P9394&gt;500,"High","low")</f>
        <v>low</v>
      </c>
      <c r="R9394" s="37" t="str">
        <f t="shared" si="734"/>
        <v>AVERAGE</v>
      </c>
      <c r="S9394" t="s">
        <v>609</v>
      </c>
    </row>
    <row r="9395" spans="1:19" x14ac:dyDescent="0.2">
      <c r="A9395" t="s">
        <v>10006</v>
      </c>
      <c r="B9395" t="s">
        <v>67</v>
      </c>
      <c r="C9395" t="s">
        <v>602</v>
      </c>
      <c r="D9395">
        <v>797.51</v>
      </c>
      <c r="E9395" s="37" t="str">
        <f t="shared" si="730"/>
        <v xml:space="preserve"> </v>
      </c>
      <c r="F9395">
        <v>0.44</v>
      </c>
      <c r="G9395" s="37" t="str">
        <f t="shared" si="731"/>
        <v>Heavy Discount</v>
      </c>
      <c r="H9395" s="37" t="str">
        <f t="shared" si="732"/>
        <v>High</v>
      </c>
      <c r="I9395">
        <v>1</v>
      </c>
      <c r="J9395" t="str" cm="1">
        <f t="array" ref="J9395">_xlfn.IFS(I9395&lt;=3,"small",I9395&lt;=6,"Medium",I9395&lt;=9,"Large")</f>
        <v>small</v>
      </c>
      <c r="K9395" s="36">
        <v>45340</v>
      </c>
      <c r="L9395" s="36">
        <v>45347</v>
      </c>
      <c r="M9395" t="s">
        <v>598</v>
      </c>
      <c r="N9395" t="s">
        <v>604</v>
      </c>
      <c r="O9395" s="37" t="str">
        <f t="shared" si="733"/>
        <v>Digital Payment</v>
      </c>
      <c r="P9395">
        <v>92.3</v>
      </c>
      <c r="Q9395" s="37" t="str">
        <f>IF(P9395&gt;500,"High","low")</f>
        <v>low</v>
      </c>
      <c r="R9395" s="37" t="str">
        <f t="shared" si="734"/>
        <v>AVERAGE</v>
      </c>
      <c r="S9395" t="s">
        <v>609</v>
      </c>
    </row>
    <row r="9396" spans="1:19" x14ac:dyDescent="0.2">
      <c r="A9396" t="s">
        <v>10007</v>
      </c>
      <c r="B9396" t="s">
        <v>75</v>
      </c>
      <c r="C9396" t="s">
        <v>617</v>
      </c>
      <c r="D9396">
        <v>2052.33</v>
      </c>
      <c r="E9396" s="37" t="str">
        <f t="shared" si="730"/>
        <v xml:space="preserve"> </v>
      </c>
      <c r="F9396">
        <v>0.24</v>
      </c>
      <c r="G9396" s="37" t="str">
        <f t="shared" si="731"/>
        <v>Normal Discount</v>
      </c>
      <c r="H9396" s="37" t="str">
        <f t="shared" si="732"/>
        <v>Medium</v>
      </c>
      <c r="I9396">
        <v>3</v>
      </c>
      <c r="J9396" t="str" cm="1">
        <f t="array" ref="J9396">_xlfn.IFS(I9396&lt;=3,"small",I9396&lt;=6,"Medium",I9396&lt;=9,"Large")</f>
        <v>small</v>
      </c>
      <c r="K9396" s="36">
        <v>45333</v>
      </c>
      <c r="L9396" s="36">
        <v>45336</v>
      </c>
      <c r="M9396" t="s">
        <v>603</v>
      </c>
      <c r="N9396" t="s">
        <v>604</v>
      </c>
      <c r="O9396" s="37" t="str">
        <f t="shared" si="733"/>
        <v>Digital Payment</v>
      </c>
      <c r="P9396">
        <v>528.96</v>
      </c>
      <c r="Q9396" s="37" t="str">
        <f>IF(P9396&gt;500,"High","low")</f>
        <v>High</v>
      </c>
      <c r="R9396" s="37" t="str">
        <f t="shared" si="734"/>
        <v>Good</v>
      </c>
      <c r="S9396" t="s">
        <v>615</v>
      </c>
    </row>
    <row r="9397" spans="1:19" x14ac:dyDescent="0.2">
      <c r="A9397" t="s">
        <v>10008</v>
      </c>
      <c r="B9397" t="s">
        <v>75</v>
      </c>
      <c r="C9397" t="s">
        <v>597</v>
      </c>
      <c r="D9397">
        <v>1611.94</v>
      </c>
      <c r="E9397" s="37" t="str">
        <f t="shared" si="730"/>
        <v xml:space="preserve"> </v>
      </c>
      <c r="F9397">
        <v>0.16</v>
      </c>
      <c r="G9397" s="37" t="str">
        <f t="shared" si="731"/>
        <v>Normal Discount</v>
      </c>
      <c r="H9397" s="37" t="str">
        <f t="shared" si="732"/>
        <v>Low</v>
      </c>
      <c r="I9397">
        <v>1</v>
      </c>
      <c r="J9397" t="str" cm="1">
        <f t="array" ref="J9397">_xlfn.IFS(I9397&lt;=3,"small",I9397&lt;=6,"Medium",I9397&lt;=9,"Large")</f>
        <v>small</v>
      </c>
      <c r="K9397" s="36">
        <v>45389</v>
      </c>
      <c r="L9397" s="36">
        <v>45392</v>
      </c>
      <c r="M9397" t="s">
        <v>603</v>
      </c>
      <c r="N9397" t="s">
        <v>599</v>
      </c>
      <c r="O9397" s="37" t="str">
        <f t="shared" si="733"/>
        <v>Digital Payment</v>
      </c>
      <c r="P9397">
        <v>146.41</v>
      </c>
      <c r="Q9397" s="37" t="str">
        <f>IF(P9397&gt;500,"High","low")</f>
        <v>low</v>
      </c>
      <c r="R9397" s="37" t="str">
        <f t="shared" si="734"/>
        <v>AVERAGE</v>
      </c>
      <c r="S9397" t="s">
        <v>615</v>
      </c>
    </row>
    <row r="9398" spans="1:19" x14ac:dyDescent="0.2">
      <c r="A9398" t="s">
        <v>10009</v>
      </c>
      <c r="B9398" t="s">
        <v>83</v>
      </c>
      <c r="C9398" t="s">
        <v>597</v>
      </c>
      <c r="D9398">
        <v>3481.05</v>
      </c>
      <c r="E9398" s="37" t="str">
        <f t="shared" si="730"/>
        <v xml:space="preserve"> </v>
      </c>
      <c r="F9398">
        <v>0.45</v>
      </c>
      <c r="G9398" s="37" t="str">
        <f t="shared" si="731"/>
        <v>Heavy Discount</v>
      </c>
      <c r="H9398" s="37" t="str">
        <f t="shared" si="732"/>
        <v>High</v>
      </c>
      <c r="I9398">
        <v>5</v>
      </c>
      <c r="J9398" t="str" cm="1">
        <f t="array" ref="J9398">_xlfn.IFS(I9398&lt;=3,"small",I9398&lt;=6,"Medium",I9398&lt;=9,"Large")</f>
        <v>Medium</v>
      </c>
      <c r="K9398" s="36">
        <v>45050</v>
      </c>
      <c r="L9398" s="36">
        <v>45055</v>
      </c>
      <c r="M9398" t="s">
        <v>598</v>
      </c>
      <c r="N9398" t="s">
        <v>608</v>
      </c>
      <c r="O9398" s="37" t="str">
        <f t="shared" si="733"/>
        <v>Cash Payment</v>
      </c>
      <c r="P9398">
        <v>608.29999999999995</v>
      </c>
      <c r="Q9398" s="37" t="str">
        <f>IF(P9398&gt;500,"High","low")</f>
        <v>High</v>
      </c>
      <c r="R9398" s="37" t="str">
        <f t="shared" si="734"/>
        <v>Good</v>
      </c>
      <c r="S9398" t="s">
        <v>620</v>
      </c>
    </row>
    <row r="9399" spans="1:19" x14ac:dyDescent="0.2">
      <c r="A9399" t="s">
        <v>10010</v>
      </c>
      <c r="B9399" t="s">
        <v>83</v>
      </c>
      <c r="C9399" t="s">
        <v>597</v>
      </c>
      <c r="D9399">
        <v>3933.58</v>
      </c>
      <c r="E9399" s="37" t="str">
        <f t="shared" si="730"/>
        <v xml:space="preserve"> </v>
      </c>
      <c r="F9399">
        <v>0.43</v>
      </c>
      <c r="G9399" s="37" t="str">
        <f t="shared" si="731"/>
        <v>Heavy Discount</v>
      </c>
      <c r="H9399" s="37" t="str">
        <f t="shared" si="732"/>
        <v>High</v>
      </c>
      <c r="I9399">
        <v>9</v>
      </c>
      <c r="J9399" t="str" cm="1">
        <f t="array" ref="J9399">_xlfn.IFS(I9399&lt;=3,"small",I9399&lt;=6,"Medium",I9399&lt;=9,"Large")</f>
        <v>Large</v>
      </c>
      <c r="K9399" s="36">
        <v>45620</v>
      </c>
      <c r="L9399" s="36">
        <v>45622</v>
      </c>
      <c r="M9399" t="s">
        <v>598</v>
      </c>
      <c r="N9399" t="s">
        <v>599</v>
      </c>
      <c r="O9399" s="37" t="str">
        <f t="shared" si="733"/>
        <v>Digital Payment</v>
      </c>
      <c r="P9399">
        <v>264.68</v>
      </c>
      <c r="Q9399" s="37" t="str">
        <f>IF(P9399&gt;500,"High","low")</f>
        <v>low</v>
      </c>
      <c r="R9399" s="37" t="str">
        <f t="shared" si="734"/>
        <v>AVERAGE</v>
      </c>
      <c r="S9399" t="s">
        <v>615</v>
      </c>
    </row>
    <row r="9400" spans="1:19" x14ac:dyDescent="0.2">
      <c r="A9400" t="s">
        <v>10011</v>
      </c>
      <c r="B9400" t="s">
        <v>67</v>
      </c>
      <c r="C9400" t="s">
        <v>614</v>
      </c>
      <c r="D9400">
        <v>924.75</v>
      </c>
      <c r="E9400" s="37" t="str">
        <f t="shared" si="730"/>
        <v xml:space="preserve"> </v>
      </c>
      <c r="F9400">
        <v>0.35</v>
      </c>
      <c r="G9400" s="37" t="str">
        <f t="shared" si="731"/>
        <v>Heavy Discount</v>
      </c>
      <c r="H9400" s="37" t="str">
        <f t="shared" si="732"/>
        <v>Medium</v>
      </c>
      <c r="I9400">
        <v>7</v>
      </c>
      <c r="J9400" t="str" cm="1">
        <f t="array" ref="J9400">_xlfn.IFS(I9400&lt;=3,"small",I9400&lt;=6,"Medium",I9400&lt;=9,"Large")</f>
        <v>Large</v>
      </c>
      <c r="K9400" s="36">
        <v>45656</v>
      </c>
      <c r="L9400" s="36">
        <v>45658</v>
      </c>
      <c r="M9400" t="s">
        <v>603</v>
      </c>
      <c r="N9400" t="s">
        <v>608</v>
      </c>
      <c r="O9400" s="37" t="str">
        <f t="shared" si="733"/>
        <v>Cash Payment</v>
      </c>
      <c r="P9400">
        <v>141.16</v>
      </c>
      <c r="Q9400" s="37" t="str">
        <f>IF(P9400&gt;500,"High","low")</f>
        <v>low</v>
      </c>
      <c r="R9400" s="37" t="str">
        <f t="shared" si="734"/>
        <v>AVERAGE</v>
      </c>
      <c r="S9400" t="s">
        <v>628</v>
      </c>
    </row>
    <row r="9401" spans="1:19" x14ac:dyDescent="0.2">
      <c r="A9401" t="s">
        <v>10012</v>
      </c>
      <c r="B9401" t="s">
        <v>90</v>
      </c>
      <c r="C9401" t="s">
        <v>602</v>
      </c>
      <c r="D9401">
        <v>4078.78</v>
      </c>
      <c r="E9401" s="37" t="str">
        <f t="shared" si="730"/>
        <v>Excellent Order</v>
      </c>
      <c r="F9401">
        <v>0.15</v>
      </c>
      <c r="G9401" s="37" t="str">
        <f t="shared" si="731"/>
        <v>Normal Discount</v>
      </c>
      <c r="H9401" s="37" t="str">
        <f t="shared" si="732"/>
        <v>Low</v>
      </c>
      <c r="I9401">
        <v>3</v>
      </c>
      <c r="J9401" t="str" cm="1">
        <f t="array" ref="J9401">_xlfn.IFS(I9401&lt;=3,"small",I9401&lt;=6,"Medium",I9401&lt;=9,"Large")</f>
        <v>small</v>
      </c>
      <c r="K9401" s="36">
        <v>45326</v>
      </c>
      <c r="L9401" s="36">
        <v>45331</v>
      </c>
      <c r="M9401" t="s">
        <v>598</v>
      </c>
      <c r="N9401" t="s">
        <v>604</v>
      </c>
      <c r="O9401" s="37" t="str">
        <f t="shared" si="733"/>
        <v>Digital Payment</v>
      </c>
      <c r="P9401">
        <v>1023.91</v>
      </c>
      <c r="Q9401" s="37" t="str">
        <f>IF(P9401&gt;500,"High","low")</f>
        <v>High</v>
      </c>
      <c r="R9401" s="37" t="str">
        <f t="shared" si="734"/>
        <v>Excellent</v>
      </c>
      <c r="S9401" t="s">
        <v>628</v>
      </c>
    </row>
    <row r="9402" spans="1:19" x14ac:dyDescent="0.2">
      <c r="A9402" t="s">
        <v>10013</v>
      </c>
      <c r="B9402" t="s">
        <v>83</v>
      </c>
      <c r="C9402" t="s">
        <v>617</v>
      </c>
      <c r="D9402">
        <v>135.35</v>
      </c>
      <c r="E9402" s="37" t="str">
        <f t="shared" si="730"/>
        <v xml:space="preserve"> </v>
      </c>
      <c r="F9402">
        <v>0.2</v>
      </c>
      <c r="G9402" s="37" t="str">
        <f t="shared" si="731"/>
        <v>Normal Discount</v>
      </c>
      <c r="H9402" s="37" t="str">
        <f t="shared" si="732"/>
        <v>Medium</v>
      </c>
      <c r="I9402">
        <v>7</v>
      </c>
      <c r="J9402" t="str" cm="1">
        <f t="array" ref="J9402">_xlfn.IFS(I9402&lt;=3,"small",I9402&lt;=6,"Medium",I9402&lt;=9,"Large")</f>
        <v>Large</v>
      </c>
      <c r="K9402" s="36">
        <v>45090</v>
      </c>
      <c r="L9402" s="36">
        <v>45095</v>
      </c>
      <c r="M9402" t="s">
        <v>612</v>
      </c>
      <c r="N9402" t="s">
        <v>599</v>
      </c>
      <c r="O9402" s="37" t="str">
        <f t="shared" si="733"/>
        <v>Digital Payment</v>
      </c>
      <c r="P9402">
        <v>24.24</v>
      </c>
      <c r="Q9402" s="37" t="str">
        <f>IF(P9402&gt;500,"High","low")</f>
        <v>low</v>
      </c>
      <c r="R9402" s="37" t="str">
        <f t="shared" si="734"/>
        <v>AVERAGE</v>
      </c>
      <c r="S9402" t="s">
        <v>615</v>
      </c>
    </row>
    <row r="9403" spans="1:19" x14ac:dyDescent="0.2">
      <c r="A9403" t="s">
        <v>10014</v>
      </c>
      <c r="B9403" t="s">
        <v>83</v>
      </c>
      <c r="C9403" t="s">
        <v>614</v>
      </c>
      <c r="D9403">
        <v>2697.29</v>
      </c>
      <c r="E9403" s="37" t="str">
        <f t="shared" si="730"/>
        <v xml:space="preserve"> </v>
      </c>
      <c r="F9403">
        <v>0.34</v>
      </c>
      <c r="G9403" s="37" t="str">
        <f t="shared" si="731"/>
        <v>Heavy Discount</v>
      </c>
      <c r="H9403" s="37" t="str">
        <f t="shared" si="732"/>
        <v>Medium</v>
      </c>
      <c r="I9403">
        <v>8</v>
      </c>
      <c r="J9403" t="str" cm="1">
        <f t="array" ref="J9403">_xlfn.IFS(I9403&lt;=3,"small",I9403&lt;=6,"Medium",I9403&lt;=9,"Large")</f>
        <v>Large</v>
      </c>
      <c r="K9403" s="36">
        <v>45210</v>
      </c>
      <c r="L9403" s="36">
        <v>45211</v>
      </c>
      <c r="M9403" t="s">
        <v>612</v>
      </c>
      <c r="N9403" t="s">
        <v>604</v>
      </c>
      <c r="O9403" s="37" t="str">
        <f t="shared" si="733"/>
        <v>Digital Payment</v>
      </c>
      <c r="P9403">
        <v>309.25</v>
      </c>
      <c r="Q9403" s="37" t="str">
        <f>IF(P9403&gt;500,"High","low")</f>
        <v>low</v>
      </c>
      <c r="R9403" s="37" t="str">
        <f t="shared" si="734"/>
        <v>AVERAGE</v>
      </c>
      <c r="S9403" t="s">
        <v>609</v>
      </c>
    </row>
    <row r="9404" spans="1:19" x14ac:dyDescent="0.2">
      <c r="A9404" t="s">
        <v>10015</v>
      </c>
      <c r="B9404" t="s">
        <v>75</v>
      </c>
      <c r="C9404" t="s">
        <v>617</v>
      </c>
      <c r="D9404">
        <v>2632.27</v>
      </c>
      <c r="E9404" s="37" t="str">
        <f t="shared" si="730"/>
        <v xml:space="preserve"> </v>
      </c>
      <c r="F9404">
        <v>0.09</v>
      </c>
      <c r="G9404" s="37" t="str">
        <f t="shared" si="731"/>
        <v>Normal Discount</v>
      </c>
      <c r="H9404" s="37" t="str">
        <f t="shared" si="732"/>
        <v>Low</v>
      </c>
      <c r="I9404">
        <v>4</v>
      </c>
      <c r="J9404" t="str" cm="1">
        <f t="array" ref="J9404">_xlfn.IFS(I9404&lt;=3,"small",I9404&lt;=6,"Medium",I9404&lt;=9,"Large")</f>
        <v>Medium</v>
      </c>
      <c r="K9404" s="36">
        <v>45096</v>
      </c>
      <c r="L9404" s="36">
        <v>45103</v>
      </c>
      <c r="M9404" t="s">
        <v>612</v>
      </c>
      <c r="N9404" t="s">
        <v>604</v>
      </c>
      <c r="O9404" s="37" t="str">
        <f t="shared" si="733"/>
        <v>Digital Payment</v>
      </c>
      <c r="P9404">
        <v>399.93</v>
      </c>
      <c r="Q9404" s="37" t="str">
        <f>IF(P9404&gt;500,"High","low")</f>
        <v>low</v>
      </c>
      <c r="R9404" s="37" t="str">
        <f t="shared" si="734"/>
        <v>AVERAGE</v>
      </c>
      <c r="S9404" t="s">
        <v>600</v>
      </c>
    </row>
    <row r="9405" spans="1:19" x14ac:dyDescent="0.2">
      <c r="A9405" t="s">
        <v>10016</v>
      </c>
      <c r="B9405" t="s">
        <v>75</v>
      </c>
      <c r="C9405" t="s">
        <v>614</v>
      </c>
      <c r="D9405">
        <v>3156.73</v>
      </c>
      <c r="E9405" s="37" t="str">
        <f t="shared" si="730"/>
        <v xml:space="preserve"> </v>
      </c>
      <c r="F9405">
        <v>0.25</v>
      </c>
      <c r="G9405" s="37" t="str">
        <f t="shared" si="731"/>
        <v>Normal Discount</v>
      </c>
      <c r="H9405" s="37" t="str">
        <f t="shared" si="732"/>
        <v>Medium</v>
      </c>
      <c r="I9405">
        <v>3</v>
      </c>
      <c r="J9405" t="str" cm="1">
        <f t="array" ref="J9405">_xlfn.IFS(I9405&lt;=3,"small",I9405&lt;=6,"Medium",I9405&lt;=9,"Large")</f>
        <v>small</v>
      </c>
      <c r="K9405" s="36">
        <v>45021</v>
      </c>
      <c r="L9405" s="36">
        <v>45023</v>
      </c>
      <c r="M9405" t="s">
        <v>612</v>
      </c>
      <c r="N9405" t="s">
        <v>604</v>
      </c>
      <c r="O9405" s="37" t="str">
        <f t="shared" si="733"/>
        <v>Digital Payment</v>
      </c>
      <c r="P9405">
        <v>596.5</v>
      </c>
      <c r="Q9405" s="37" t="str">
        <f>IF(P9405&gt;500,"High","low")</f>
        <v>High</v>
      </c>
      <c r="R9405" s="37" t="str">
        <f t="shared" si="734"/>
        <v>Good</v>
      </c>
      <c r="S9405" t="s">
        <v>605</v>
      </c>
    </row>
    <row r="9406" spans="1:19" x14ac:dyDescent="0.2">
      <c r="A9406" t="s">
        <v>10017</v>
      </c>
      <c r="B9406" t="s">
        <v>83</v>
      </c>
      <c r="C9406" t="s">
        <v>614</v>
      </c>
      <c r="D9406">
        <v>1274.53</v>
      </c>
      <c r="E9406" s="37" t="str">
        <f t="shared" si="730"/>
        <v xml:space="preserve"> </v>
      </c>
      <c r="F9406">
        <v>0.37</v>
      </c>
      <c r="G9406" s="37" t="str">
        <f t="shared" si="731"/>
        <v>Heavy Discount</v>
      </c>
      <c r="H9406" s="37" t="str">
        <f t="shared" si="732"/>
        <v>Medium</v>
      </c>
      <c r="I9406">
        <v>2</v>
      </c>
      <c r="J9406" t="str" cm="1">
        <f t="array" ref="J9406">_xlfn.IFS(I9406&lt;=3,"small",I9406&lt;=6,"Medium",I9406&lt;=9,"Large")</f>
        <v>small</v>
      </c>
      <c r="K9406" s="36">
        <v>45583</v>
      </c>
      <c r="L9406" s="36">
        <v>45587</v>
      </c>
      <c r="M9406" t="s">
        <v>612</v>
      </c>
      <c r="N9406" t="s">
        <v>604</v>
      </c>
      <c r="O9406" s="37" t="str">
        <f t="shared" si="733"/>
        <v>Digital Payment</v>
      </c>
      <c r="P9406">
        <v>352.06</v>
      </c>
      <c r="Q9406" s="37" t="str">
        <f>IF(P9406&gt;500,"High","low")</f>
        <v>low</v>
      </c>
      <c r="R9406" s="37" t="str">
        <f t="shared" si="734"/>
        <v>AVERAGE</v>
      </c>
      <c r="S9406" t="s">
        <v>628</v>
      </c>
    </row>
    <row r="9407" spans="1:19" x14ac:dyDescent="0.2">
      <c r="A9407" t="s">
        <v>10018</v>
      </c>
      <c r="B9407" t="s">
        <v>75</v>
      </c>
      <c r="C9407" t="s">
        <v>614</v>
      </c>
      <c r="D9407">
        <v>148.30000000000001</v>
      </c>
      <c r="E9407" s="37" t="str">
        <f t="shared" si="730"/>
        <v xml:space="preserve"> </v>
      </c>
      <c r="F9407">
        <v>0.33</v>
      </c>
      <c r="G9407" s="37" t="str">
        <f t="shared" si="731"/>
        <v>Heavy Discount</v>
      </c>
      <c r="H9407" s="37" t="str">
        <f t="shared" si="732"/>
        <v>Medium</v>
      </c>
      <c r="I9407">
        <v>8</v>
      </c>
      <c r="J9407" t="str" cm="1">
        <f t="array" ref="J9407">_xlfn.IFS(I9407&lt;=3,"small",I9407&lt;=6,"Medium",I9407&lt;=9,"Large")</f>
        <v>Large</v>
      </c>
      <c r="K9407" s="36">
        <v>45230</v>
      </c>
      <c r="L9407" s="36">
        <v>45231</v>
      </c>
      <c r="M9407" t="s">
        <v>612</v>
      </c>
      <c r="N9407" t="s">
        <v>599</v>
      </c>
      <c r="O9407" s="37" t="str">
        <f t="shared" si="733"/>
        <v>Digital Payment</v>
      </c>
      <c r="P9407">
        <v>38.479999999999997</v>
      </c>
      <c r="Q9407" s="37" t="str">
        <f>IF(P9407&gt;500,"High","low")</f>
        <v>low</v>
      </c>
      <c r="R9407" s="37" t="str">
        <f t="shared" si="734"/>
        <v>AVERAGE</v>
      </c>
      <c r="S9407" t="s">
        <v>628</v>
      </c>
    </row>
    <row r="9408" spans="1:19" x14ac:dyDescent="0.2">
      <c r="A9408" t="s">
        <v>10019</v>
      </c>
      <c r="B9408" t="s">
        <v>67</v>
      </c>
      <c r="C9408" t="s">
        <v>617</v>
      </c>
      <c r="D9408">
        <v>2328.34</v>
      </c>
      <c r="E9408" s="37" t="str">
        <f t="shared" si="730"/>
        <v xml:space="preserve"> </v>
      </c>
      <c r="F9408">
        <v>0.36</v>
      </c>
      <c r="G9408" s="37" t="str">
        <f t="shared" si="731"/>
        <v>Heavy Discount</v>
      </c>
      <c r="H9408" s="37" t="str">
        <f t="shared" si="732"/>
        <v>Medium</v>
      </c>
      <c r="I9408">
        <v>3</v>
      </c>
      <c r="J9408" t="str" cm="1">
        <f t="array" ref="J9408">_xlfn.IFS(I9408&lt;=3,"small",I9408&lt;=6,"Medium",I9408&lt;=9,"Large")</f>
        <v>small</v>
      </c>
      <c r="K9408" s="36">
        <v>45022</v>
      </c>
      <c r="L9408" s="36">
        <v>45023</v>
      </c>
      <c r="M9408" t="s">
        <v>612</v>
      </c>
      <c r="N9408" t="s">
        <v>604</v>
      </c>
      <c r="O9408" s="37" t="str">
        <f t="shared" si="733"/>
        <v>Digital Payment</v>
      </c>
      <c r="P9408">
        <v>675.87</v>
      </c>
      <c r="Q9408" s="37" t="str">
        <f>IF(P9408&gt;500,"High","low")</f>
        <v>High</v>
      </c>
      <c r="R9408" s="37" t="str">
        <f t="shared" si="734"/>
        <v>Good</v>
      </c>
      <c r="S9408" t="s">
        <v>615</v>
      </c>
    </row>
    <row r="9409" spans="1:19" x14ac:dyDescent="0.2">
      <c r="A9409" t="s">
        <v>10020</v>
      </c>
      <c r="B9409" t="s">
        <v>83</v>
      </c>
      <c r="C9409" t="s">
        <v>607</v>
      </c>
      <c r="D9409">
        <v>449.89</v>
      </c>
      <c r="E9409" s="37" t="str">
        <f t="shared" si="730"/>
        <v xml:space="preserve"> </v>
      </c>
      <c r="F9409">
        <v>0.45</v>
      </c>
      <c r="G9409" s="37" t="str">
        <f t="shared" si="731"/>
        <v>Heavy Discount</v>
      </c>
      <c r="H9409" s="37" t="str">
        <f t="shared" si="732"/>
        <v>High</v>
      </c>
      <c r="I9409">
        <v>7</v>
      </c>
      <c r="J9409" t="str" cm="1">
        <f t="array" ref="J9409">_xlfn.IFS(I9409&lt;=3,"small",I9409&lt;=6,"Medium",I9409&lt;=9,"Large")</f>
        <v>Large</v>
      </c>
      <c r="K9409" s="36">
        <v>45626</v>
      </c>
      <c r="L9409" s="36">
        <v>45632</v>
      </c>
      <c r="M9409" t="s">
        <v>598</v>
      </c>
      <c r="N9409" t="s">
        <v>604</v>
      </c>
      <c r="O9409" s="37" t="str">
        <f t="shared" si="733"/>
        <v>Digital Payment</v>
      </c>
      <c r="P9409">
        <v>42.59</v>
      </c>
      <c r="Q9409" s="37" t="str">
        <f>IF(P9409&gt;500,"High","low")</f>
        <v>low</v>
      </c>
      <c r="R9409" s="37" t="str">
        <f t="shared" si="734"/>
        <v>AVERAGE</v>
      </c>
      <c r="S9409" t="s">
        <v>620</v>
      </c>
    </row>
    <row r="9410" spans="1:19" x14ac:dyDescent="0.2">
      <c r="A9410" t="s">
        <v>10021</v>
      </c>
      <c r="B9410" t="s">
        <v>75</v>
      </c>
      <c r="C9410" t="s">
        <v>614</v>
      </c>
      <c r="D9410">
        <v>4471.75</v>
      </c>
      <c r="E9410" s="37" t="str">
        <f t="shared" si="730"/>
        <v xml:space="preserve"> </v>
      </c>
      <c r="F9410">
        <v>0.48</v>
      </c>
      <c r="G9410" s="37" t="str">
        <f t="shared" si="731"/>
        <v>Heavy Discount</v>
      </c>
      <c r="H9410" s="37" t="str">
        <f t="shared" si="732"/>
        <v>High</v>
      </c>
      <c r="I9410">
        <v>2</v>
      </c>
      <c r="J9410" t="str" cm="1">
        <f t="array" ref="J9410">_xlfn.IFS(I9410&lt;=3,"small",I9410&lt;=6,"Medium",I9410&lt;=9,"Large")</f>
        <v>small</v>
      </c>
      <c r="K9410" s="36">
        <v>45349</v>
      </c>
      <c r="L9410" s="36">
        <v>45354</v>
      </c>
      <c r="M9410" t="s">
        <v>598</v>
      </c>
      <c r="N9410" t="s">
        <v>604</v>
      </c>
      <c r="O9410" s="37" t="str">
        <f t="shared" si="733"/>
        <v>Digital Payment</v>
      </c>
      <c r="P9410">
        <v>445.18</v>
      </c>
      <c r="Q9410" s="37" t="str">
        <f>IF(P9410&gt;500,"High","low")</f>
        <v>low</v>
      </c>
      <c r="R9410" s="37" t="str">
        <f t="shared" si="734"/>
        <v>AVERAGE</v>
      </c>
      <c r="S9410" t="s">
        <v>628</v>
      </c>
    </row>
    <row r="9411" spans="1:19" x14ac:dyDescent="0.2">
      <c r="A9411" t="s">
        <v>10022</v>
      </c>
      <c r="B9411" t="s">
        <v>67</v>
      </c>
      <c r="C9411" t="s">
        <v>597</v>
      </c>
      <c r="D9411">
        <v>950.96</v>
      </c>
      <c r="E9411" s="37" t="str">
        <f t="shared" ref="E9411:E9474" si="735">IF(AND(D9411&gt;4000,P9411&gt;800),"Excellent Order"," ")</f>
        <v xml:space="preserve"> </v>
      </c>
      <c r="F9411">
        <v>0.23</v>
      </c>
      <c r="G9411" s="37" t="str">
        <f t="shared" ref="G9411:G9474" si="736">IF(F9411&gt;30%,"Heavy Discount","Normal Discount")</f>
        <v>Normal Discount</v>
      </c>
      <c r="H9411" s="37" t="str">
        <f t="shared" ref="H9411:H9474" si="737">IF(F9411&gt;0.4,"High",IF(F9411&gt;=0.2,"Medium","Low"))</f>
        <v>Medium</v>
      </c>
      <c r="I9411">
        <v>5</v>
      </c>
      <c r="J9411" t="str" cm="1">
        <f t="array" ref="J9411">_xlfn.IFS(I9411&lt;=3,"small",I9411&lt;=6,"Medium",I9411&lt;=9,"Large")</f>
        <v>Medium</v>
      </c>
      <c r="K9411" s="36">
        <v>45489</v>
      </c>
      <c r="L9411" s="36">
        <v>45492</v>
      </c>
      <c r="M9411" t="s">
        <v>598</v>
      </c>
      <c r="N9411" t="s">
        <v>608</v>
      </c>
      <c r="O9411" s="37" t="str">
        <f t="shared" ref="O9411:O9474" si="738">IF(OR(N9411="Card",N9411="UPI"),"Digital Payment","Cash Payment")</f>
        <v>Cash Payment</v>
      </c>
      <c r="P9411">
        <v>71.39</v>
      </c>
      <c r="Q9411" s="37" t="str">
        <f>IF(P9411&gt;500,"High","low")</f>
        <v>low</v>
      </c>
      <c r="R9411" s="37" t="str">
        <f t="shared" ref="R9411:R9474" si="739">IF(P9411&gt;1000,"Excellent",IF(P9411&gt;=500,"Good","AVERAGE"))</f>
        <v>AVERAGE</v>
      </c>
      <c r="S9411" t="s">
        <v>605</v>
      </c>
    </row>
    <row r="9412" spans="1:19" x14ac:dyDescent="0.2">
      <c r="A9412" t="s">
        <v>10023</v>
      </c>
      <c r="B9412" t="s">
        <v>75</v>
      </c>
      <c r="C9412" t="s">
        <v>602</v>
      </c>
      <c r="D9412">
        <v>2183.64</v>
      </c>
      <c r="E9412" s="37" t="str">
        <f t="shared" si="735"/>
        <v xml:space="preserve"> </v>
      </c>
      <c r="F9412">
        <v>0.03</v>
      </c>
      <c r="G9412" s="37" t="str">
        <f t="shared" si="736"/>
        <v>Normal Discount</v>
      </c>
      <c r="H9412" s="37" t="str">
        <f t="shared" si="737"/>
        <v>Low</v>
      </c>
      <c r="I9412">
        <v>5</v>
      </c>
      <c r="J9412" t="str" cm="1">
        <f t="array" ref="J9412">_xlfn.IFS(I9412&lt;=3,"small",I9412&lt;=6,"Medium",I9412&lt;=9,"Large")</f>
        <v>Medium</v>
      </c>
      <c r="K9412" s="36">
        <v>45233</v>
      </c>
      <c r="L9412" s="36">
        <v>45234</v>
      </c>
      <c r="M9412" t="s">
        <v>598</v>
      </c>
      <c r="N9412" t="s">
        <v>608</v>
      </c>
      <c r="O9412" s="37" t="str">
        <f t="shared" si="738"/>
        <v>Cash Payment</v>
      </c>
      <c r="P9412">
        <v>386.76</v>
      </c>
      <c r="Q9412" s="37" t="str">
        <f>IF(P9412&gt;500,"High","low")</f>
        <v>low</v>
      </c>
      <c r="R9412" s="37" t="str">
        <f t="shared" si="739"/>
        <v>AVERAGE</v>
      </c>
      <c r="S9412" t="s">
        <v>609</v>
      </c>
    </row>
    <row r="9413" spans="1:19" x14ac:dyDescent="0.2">
      <c r="A9413" t="s">
        <v>10024</v>
      </c>
      <c r="B9413" t="s">
        <v>75</v>
      </c>
      <c r="C9413" t="s">
        <v>607</v>
      </c>
      <c r="D9413">
        <v>2226.6</v>
      </c>
      <c r="E9413" s="37" t="str">
        <f t="shared" si="735"/>
        <v xml:space="preserve"> </v>
      </c>
      <c r="F9413">
        <v>0.42</v>
      </c>
      <c r="G9413" s="37" t="str">
        <f t="shared" si="736"/>
        <v>Heavy Discount</v>
      </c>
      <c r="H9413" s="37" t="str">
        <f t="shared" si="737"/>
        <v>High</v>
      </c>
      <c r="I9413">
        <v>9</v>
      </c>
      <c r="J9413" t="str" cm="1">
        <f t="array" ref="J9413">_xlfn.IFS(I9413&lt;=3,"small",I9413&lt;=6,"Medium",I9413&lt;=9,"Large")</f>
        <v>Large</v>
      </c>
      <c r="K9413" s="36">
        <v>45059</v>
      </c>
      <c r="L9413" s="36">
        <v>45064</v>
      </c>
      <c r="M9413" t="s">
        <v>598</v>
      </c>
      <c r="N9413" t="s">
        <v>599</v>
      </c>
      <c r="O9413" s="37" t="str">
        <f t="shared" si="738"/>
        <v>Digital Payment</v>
      </c>
      <c r="P9413">
        <v>211.93</v>
      </c>
      <c r="Q9413" s="37" t="str">
        <f>IF(P9413&gt;500,"High","low")</f>
        <v>low</v>
      </c>
      <c r="R9413" s="37" t="str">
        <f t="shared" si="739"/>
        <v>AVERAGE</v>
      </c>
      <c r="S9413" t="s">
        <v>620</v>
      </c>
    </row>
    <row r="9414" spans="1:19" x14ac:dyDescent="0.2">
      <c r="A9414" t="s">
        <v>10025</v>
      </c>
      <c r="B9414" t="s">
        <v>75</v>
      </c>
      <c r="C9414" t="s">
        <v>607</v>
      </c>
      <c r="D9414">
        <v>2809.04</v>
      </c>
      <c r="E9414" s="37" t="str">
        <f t="shared" si="735"/>
        <v xml:space="preserve"> </v>
      </c>
      <c r="F9414">
        <v>0.06</v>
      </c>
      <c r="G9414" s="37" t="str">
        <f t="shared" si="736"/>
        <v>Normal Discount</v>
      </c>
      <c r="H9414" s="37" t="str">
        <f t="shared" si="737"/>
        <v>Low</v>
      </c>
      <c r="I9414">
        <v>8</v>
      </c>
      <c r="J9414" t="str" cm="1">
        <f t="array" ref="J9414">_xlfn.IFS(I9414&lt;=3,"small",I9414&lt;=6,"Medium",I9414&lt;=9,"Large")</f>
        <v>Large</v>
      </c>
      <c r="K9414" s="36">
        <v>45288</v>
      </c>
      <c r="L9414" s="36">
        <v>45289</v>
      </c>
      <c r="M9414" t="s">
        <v>612</v>
      </c>
      <c r="N9414" t="s">
        <v>604</v>
      </c>
      <c r="O9414" s="37" t="str">
        <f t="shared" si="738"/>
        <v>Digital Payment</v>
      </c>
      <c r="P9414">
        <v>624.04999999999995</v>
      </c>
      <c r="Q9414" s="37" t="str">
        <f>IF(P9414&gt;500,"High","low")</f>
        <v>High</v>
      </c>
      <c r="R9414" s="37" t="str">
        <f t="shared" si="739"/>
        <v>Good</v>
      </c>
      <c r="S9414" t="s">
        <v>605</v>
      </c>
    </row>
    <row r="9415" spans="1:19" x14ac:dyDescent="0.2">
      <c r="A9415" t="s">
        <v>10026</v>
      </c>
      <c r="B9415" t="s">
        <v>83</v>
      </c>
      <c r="C9415" t="s">
        <v>617</v>
      </c>
      <c r="D9415">
        <v>3934.41</v>
      </c>
      <c r="E9415" s="37" t="str">
        <f t="shared" si="735"/>
        <v xml:space="preserve"> </v>
      </c>
      <c r="F9415">
        <v>0.11</v>
      </c>
      <c r="G9415" s="37" t="str">
        <f t="shared" si="736"/>
        <v>Normal Discount</v>
      </c>
      <c r="H9415" s="37" t="str">
        <f t="shared" si="737"/>
        <v>Low</v>
      </c>
      <c r="I9415">
        <v>8</v>
      </c>
      <c r="J9415" t="str" cm="1">
        <f t="array" ref="J9415">_xlfn.IFS(I9415&lt;=3,"small",I9415&lt;=6,"Medium",I9415&lt;=9,"Large")</f>
        <v>Large</v>
      </c>
      <c r="K9415" s="36">
        <v>45432</v>
      </c>
      <c r="L9415" s="36">
        <v>45438</v>
      </c>
      <c r="M9415" t="s">
        <v>603</v>
      </c>
      <c r="N9415" t="s">
        <v>604</v>
      </c>
      <c r="O9415" s="37" t="str">
        <f t="shared" si="738"/>
        <v>Digital Payment</v>
      </c>
      <c r="P9415">
        <v>1137.33</v>
      </c>
      <c r="Q9415" s="37" t="str">
        <f>IF(P9415&gt;500,"High","low")</f>
        <v>High</v>
      </c>
      <c r="R9415" s="37" t="str">
        <f t="shared" si="739"/>
        <v>Excellent</v>
      </c>
      <c r="S9415" t="s">
        <v>600</v>
      </c>
    </row>
    <row r="9416" spans="1:19" x14ac:dyDescent="0.2">
      <c r="A9416" t="s">
        <v>10027</v>
      </c>
      <c r="B9416" t="s">
        <v>90</v>
      </c>
      <c r="C9416" t="s">
        <v>607</v>
      </c>
      <c r="D9416">
        <v>2413.5300000000002</v>
      </c>
      <c r="E9416" s="37" t="str">
        <f t="shared" si="735"/>
        <v xml:space="preserve"> </v>
      </c>
      <c r="F9416">
        <v>0.33</v>
      </c>
      <c r="G9416" s="37" t="str">
        <f t="shared" si="736"/>
        <v>Heavy Discount</v>
      </c>
      <c r="H9416" s="37" t="str">
        <f t="shared" si="737"/>
        <v>Medium</v>
      </c>
      <c r="I9416">
        <v>2</v>
      </c>
      <c r="J9416" t="str" cm="1">
        <f t="array" ref="J9416">_xlfn.IFS(I9416&lt;=3,"small",I9416&lt;=6,"Medium",I9416&lt;=9,"Large")</f>
        <v>small</v>
      </c>
      <c r="K9416" s="36">
        <v>45557</v>
      </c>
      <c r="L9416" s="36">
        <v>45560</v>
      </c>
      <c r="M9416" t="s">
        <v>603</v>
      </c>
      <c r="N9416" t="s">
        <v>599</v>
      </c>
      <c r="O9416" s="37" t="str">
        <f t="shared" si="738"/>
        <v>Digital Payment</v>
      </c>
      <c r="P9416">
        <v>463.34</v>
      </c>
      <c r="Q9416" s="37" t="str">
        <f>IF(P9416&gt;500,"High","low")</f>
        <v>low</v>
      </c>
      <c r="R9416" s="37" t="str">
        <f t="shared" si="739"/>
        <v>AVERAGE</v>
      </c>
      <c r="S9416" t="s">
        <v>609</v>
      </c>
    </row>
    <row r="9417" spans="1:19" x14ac:dyDescent="0.2">
      <c r="A9417" t="s">
        <v>10028</v>
      </c>
      <c r="B9417" t="s">
        <v>75</v>
      </c>
      <c r="C9417" t="s">
        <v>617</v>
      </c>
      <c r="D9417">
        <v>226.19</v>
      </c>
      <c r="E9417" s="37" t="str">
        <f t="shared" si="735"/>
        <v xml:space="preserve"> </v>
      </c>
      <c r="F9417">
        <v>0.37</v>
      </c>
      <c r="G9417" s="37" t="str">
        <f t="shared" si="736"/>
        <v>Heavy Discount</v>
      </c>
      <c r="H9417" s="37" t="str">
        <f t="shared" si="737"/>
        <v>Medium</v>
      </c>
      <c r="I9417">
        <v>2</v>
      </c>
      <c r="J9417" t="str" cm="1">
        <f t="array" ref="J9417">_xlfn.IFS(I9417&lt;=3,"small",I9417&lt;=6,"Medium",I9417&lt;=9,"Large")</f>
        <v>small</v>
      </c>
      <c r="K9417" s="36">
        <v>44990</v>
      </c>
      <c r="L9417" s="36">
        <v>44995</v>
      </c>
      <c r="M9417" t="s">
        <v>598</v>
      </c>
      <c r="N9417" t="s">
        <v>599</v>
      </c>
      <c r="O9417" s="37" t="str">
        <f t="shared" si="738"/>
        <v>Digital Payment</v>
      </c>
      <c r="P9417">
        <v>51.88</v>
      </c>
      <c r="Q9417" s="37" t="str">
        <f>IF(P9417&gt;500,"High","low")</f>
        <v>low</v>
      </c>
      <c r="R9417" s="37" t="str">
        <f t="shared" si="739"/>
        <v>AVERAGE</v>
      </c>
      <c r="S9417" t="s">
        <v>605</v>
      </c>
    </row>
    <row r="9418" spans="1:19" x14ac:dyDescent="0.2">
      <c r="A9418" t="s">
        <v>10029</v>
      </c>
      <c r="B9418" t="s">
        <v>67</v>
      </c>
      <c r="C9418" t="s">
        <v>617</v>
      </c>
      <c r="D9418">
        <v>3878.44</v>
      </c>
      <c r="E9418" s="37" t="str">
        <f t="shared" si="735"/>
        <v xml:space="preserve"> </v>
      </c>
      <c r="F9418">
        <v>0.35</v>
      </c>
      <c r="G9418" s="37" t="str">
        <f t="shared" si="736"/>
        <v>Heavy Discount</v>
      </c>
      <c r="H9418" s="37" t="str">
        <f t="shared" si="737"/>
        <v>Medium</v>
      </c>
      <c r="I9418">
        <v>7</v>
      </c>
      <c r="J9418" t="str" cm="1">
        <f t="array" ref="J9418">_xlfn.IFS(I9418&lt;=3,"small",I9418&lt;=6,"Medium",I9418&lt;=9,"Large")</f>
        <v>Large</v>
      </c>
      <c r="K9418" s="36">
        <v>45346</v>
      </c>
      <c r="L9418" s="36">
        <v>45349</v>
      </c>
      <c r="M9418" t="s">
        <v>603</v>
      </c>
      <c r="N9418" t="s">
        <v>608</v>
      </c>
      <c r="O9418" s="37" t="str">
        <f t="shared" si="738"/>
        <v>Cash Payment</v>
      </c>
      <c r="P9418">
        <v>387.91</v>
      </c>
      <c r="Q9418" s="37" t="str">
        <f>IF(P9418&gt;500,"High","low")</f>
        <v>low</v>
      </c>
      <c r="R9418" s="37" t="str">
        <f t="shared" si="739"/>
        <v>AVERAGE</v>
      </c>
      <c r="S9418" t="s">
        <v>615</v>
      </c>
    </row>
    <row r="9419" spans="1:19" x14ac:dyDescent="0.2">
      <c r="A9419" t="s">
        <v>10030</v>
      </c>
      <c r="B9419" t="s">
        <v>83</v>
      </c>
      <c r="C9419" t="s">
        <v>597</v>
      </c>
      <c r="D9419">
        <v>502.65</v>
      </c>
      <c r="E9419" s="37" t="str">
        <f t="shared" si="735"/>
        <v xml:space="preserve"> </v>
      </c>
      <c r="F9419">
        <v>0.22</v>
      </c>
      <c r="G9419" s="37" t="str">
        <f t="shared" si="736"/>
        <v>Normal Discount</v>
      </c>
      <c r="H9419" s="37" t="str">
        <f t="shared" si="737"/>
        <v>Medium</v>
      </c>
      <c r="I9419">
        <v>4</v>
      </c>
      <c r="J9419" t="str" cm="1">
        <f t="array" ref="J9419">_xlfn.IFS(I9419&lt;=3,"small",I9419&lt;=6,"Medium",I9419&lt;=9,"Large")</f>
        <v>Medium</v>
      </c>
      <c r="K9419" s="36">
        <v>45296</v>
      </c>
      <c r="L9419" s="36">
        <v>45299</v>
      </c>
      <c r="M9419" t="s">
        <v>603</v>
      </c>
      <c r="N9419" t="s">
        <v>608</v>
      </c>
      <c r="O9419" s="37" t="str">
        <f t="shared" si="738"/>
        <v>Cash Payment</v>
      </c>
      <c r="P9419">
        <v>127.71</v>
      </c>
      <c r="Q9419" s="37" t="str">
        <f>IF(P9419&gt;500,"High","low")</f>
        <v>low</v>
      </c>
      <c r="R9419" s="37" t="str">
        <f t="shared" si="739"/>
        <v>AVERAGE</v>
      </c>
      <c r="S9419" t="s">
        <v>605</v>
      </c>
    </row>
    <row r="9420" spans="1:19" x14ac:dyDescent="0.2">
      <c r="A9420" t="s">
        <v>10031</v>
      </c>
      <c r="B9420" t="s">
        <v>83</v>
      </c>
      <c r="C9420" t="s">
        <v>614</v>
      </c>
      <c r="D9420">
        <v>3243.61</v>
      </c>
      <c r="E9420" s="37" t="str">
        <f t="shared" si="735"/>
        <v xml:space="preserve"> </v>
      </c>
      <c r="F9420">
        <v>0.46</v>
      </c>
      <c r="G9420" s="37" t="str">
        <f t="shared" si="736"/>
        <v>Heavy Discount</v>
      </c>
      <c r="H9420" s="37" t="str">
        <f t="shared" si="737"/>
        <v>High</v>
      </c>
      <c r="I9420">
        <v>3</v>
      </c>
      <c r="J9420" t="str" cm="1">
        <f t="array" ref="J9420">_xlfn.IFS(I9420&lt;=3,"small",I9420&lt;=6,"Medium",I9420&lt;=9,"Large")</f>
        <v>small</v>
      </c>
      <c r="K9420" s="36">
        <v>45193</v>
      </c>
      <c r="L9420" s="36">
        <v>45197</v>
      </c>
      <c r="M9420" t="s">
        <v>612</v>
      </c>
      <c r="N9420" t="s">
        <v>599</v>
      </c>
      <c r="O9420" s="37" t="str">
        <f t="shared" si="738"/>
        <v>Digital Payment</v>
      </c>
      <c r="P9420">
        <v>856.62</v>
      </c>
      <c r="Q9420" s="37" t="str">
        <f>IF(P9420&gt;500,"High","low")</f>
        <v>High</v>
      </c>
      <c r="R9420" s="37" t="str">
        <f t="shared" si="739"/>
        <v>Good</v>
      </c>
      <c r="S9420" t="s">
        <v>605</v>
      </c>
    </row>
    <row r="9421" spans="1:19" x14ac:dyDescent="0.2">
      <c r="A9421" t="s">
        <v>10032</v>
      </c>
      <c r="B9421" t="s">
        <v>67</v>
      </c>
      <c r="C9421" t="s">
        <v>607</v>
      </c>
      <c r="D9421">
        <v>4036.8</v>
      </c>
      <c r="E9421" s="37" t="str">
        <f t="shared" si="735"/>
        <v>Excellent Order</v>
      </c>
      <c r="F9421">
        <v>0.42</v>
      </c>
      <c r="G9421" s="37" t="str">
        <f t="shared" si="736"/>
        <v>Heavy Discount</v>
      </c>
      <c r="H9421" s="37" t="str">
        <f t="shared" si="737"/>
        <v>High</v>
      </c>
      <c r="I9421">
        <v>3</v>
      </c>
      <c r="J9421" t="str" cm="1">
        <f t="array" ref="J9421">_xlfn.IFS(I9421&lt;=3,"small",I9421&lt;=6,"Medium",I9421&lt;=9,"Large")</f>
        <v>small</v>
      </c>
      <c r="K9421" s="36">
        <v>45151</v>
      </c>
      <c r="L9421" s="36">
        <v>45154</v>
      </c>
      <c r="M9421" t="s">
        <v>612</v>
      </c>
      <c r="N9421" t="s">
        <v>604</v>
      </c>
      <c r="O9421" s="37" t="str">
        <f t="shared" si="738"/>
        <v>Digital Payment</v>
      </c>
      <c r="P9421">
        <v>1094.58</v>
      </c>
      <c r="Q9421" s="37" t="str">
        <f>IF(P9421&gt;500,"High","low")</f>
        <v>High</v>
      </c>
      <c r="R9421" s="37" t="str">
        <f t="shared" si="739"/>
        <v>Excellent</v>
      </c>
      <c r="S9421" t="s">
        <v>605</v>
      </c>
    </row>
    <row r="9422" spans="1:19" x14ac:dyDescent="0.2">
      <c r="A9422" t="s">
        <v>10033</v>
      </c>
      <c r="B9422" t="s">
        <v>75</v>
      </c>
      <c r="C9422" t="s">
        <v>614</v>
      </c>
      <c r="D9422">
        <v>1485.18</v>
      </c>
      <c r="E9422" s="37" t="str">
        <f t="shared" si="735"/>
        <v xml:space="preserve"> </v>
      </c>
      <c r="F9422">
        <v>0.33</v>
      </c>
      <c r="G9422" s="37" t="str">
        <f t="shared" si="736"/>
        <v>Heavy Discount</v>
      </c>
      <c r="H9422" s="37" t="str">
        <f t="shared" si="737"/>
        <v>Medium</v>
      </c>
      <c r="I9422">
        <v>7</v>
      </c>
      <c r="J9422" t="str" cm="1">
        <f t="array" ref="J9422">_xlfn.IFS(I9422&lt;=3,"small",I9422&lt;=6,"Medium",I9422&lt;=9,"Large")</f>
        <v>Large</v>
      </c>
      <c r="K9422" s="36">
        <v>45492</v>
      </c>
      <c r="L9422" s="36">
        <v>45495</v>
      </c>
      <c r="M9422" t="s">
        <v>603</v>
      </c>
      <c r="N9422" t="s">
        <v>604</v>
      </c>
      <c r="O9422" s="37" t="str">
        <f t="shared" si="738"/>
        <v>Digital Payment</v>
      </c>
      <c r="P9422">
        <v>395.67</v>
      </c>
      <c r="Q9422" s="37" t="str">
        <f>IF(P9422&gt;500,"High","low")</f>
        <v>low</v>
      </c>
      <c r="R9422" s="37" t="str">
        <f t="shared" si="739"/>
        <v>AVERAGE</v>
      </c>
      <c r="S9422" t="s">
        <v>620</v>
      </c>
    </row>
    <row r="9423" spans="1:19" x14ac:dyDescent="0.2">
      <c r="A9423" t="s">
        <v>10034</v>
      </c>
      <c r="B9423" t="s">
        <v>90</v>
      </c>
      <c r="C9423" t="s">
        <v>614</v>
      </c>
      <c r="D9423">
        <v>2300.62</v>
      </c>
      <c r="E9423" s="37" t="str">
        <f t="shared" si="735"/>
        <v xml:space="preserve"> </v>
      </c>
      <c r="F9423">
        <v>0.22</v>
      </c>
      <c r="G9423" s="37" t="str">
        <f t="shared" si="736"/>
        <v>Normal Discount</v>
      </c>
      <c r="H9423" s="37" t="str">
        <f t="shared" si="737"/>
        <v>Medium</v>
      </c>
      <c r="I9423">
        <v>1</v>
      </c>
      <c r="J9423" t="str" cm="1">
        <f t="array" ref="J9423">_xlfn.IFS(I9423&lt;=3,"small",I9423&lt;=6,"Medium",I9423&lt;=9,"Large")</f>
        <v>small</v>
      </c>
      <c r="K9423" s="36">
        <v>45442</v>
      </c>
      <c r="L9423" s="36">
        <v>45445</v>
      </c>
      <c r="M9423" t="s">
        <v>612</v>
      </c>
      <c r="N9423" t="s">
        <v>604</v>
      </c>
      <c r="O9423" s="37" t="str">
        <f t="shared" si="738"/>
        <v>Digital Payment</v>
      </c>
      <c r="P9423">
        <v>294.17</v>
      </c>
      <c r="Q9423" s="37" t="str">
        <f>IF(P9423&gt;500,"High","low")</f>
        <v>low</v>
      </c>
      <c r="R9423" s="37" t="str">
        <f t="shared" si="739"/>
        <v>AVERAGE</v>
      </c>
      <c r="S9423" t="s">
        <v>605</v>
      </c>
    </row>
    <row r="9424" spans="1:19" x14ac:dyDescent="0.2">
      <c r="A9424" t="s">
        <v>10035</v>
      </c>
      <c r="B9424" t="s">
        <v>75</v>
      </c>
      <c r="C9424" t="s">
        <v>614</v>
      </c>
      <c r="D9424">
        <v>170.25</v>
      </c>
      <c r="E9424" s="37" t="str">
        <f t="shared" si="735"/>
        <v xml:space="preserve"> </v>
      </c>
      <c r="F9424">
        <v>0.23</v>
      </c>
      <c r="G9424" s="37" t="str">
        <f t="shared" si="736"/>
        <v>Normal Discount</v>
      </c>
      <c r="H9424" s="37" t="str">
        <f t="shared" si="737"/>
        <v>Medium</v>
      </c>
      <c r="I9424">
        <v>4</v>
      </c>
      <c r="J9424" t="str" cm="1">
        <f t="array" ref="J9424">_xlfn.IFS(I9424&lt;=3,"small",I9424&lt;=6,"Medium",I9424&lt;=9,"Large")</f>
        <v>Medium</v>
      </c>
      <c r="K9424" s="36">
        <v>44981</v>
      </c>
      <c r="L9424" s="36">
        <v>44983</v>
      </c>
      <c r="M9424" t="s">
        <v>612</v>
      </c>
      <c r="N9424" t="s">
        <v>604</v>
      </c>
      <c r="O9424" s="37" t="str">
        <f t="shared" si="738"/>
        <v>Digital Payment</v>
      </c>
      <c r="P9424">
        <v>30.98</v>
      </c>
      <c r="Q9424" s="37" t="str">
        <f>IF(P9424&gt;500,"High","low")</f>
        <v>low</v>
      </c>
      <c r="R9424" s="37" t="str">
        <f t="shared" si="739"/>
        <v>AVERAGE</v>
      </c>
      <c r="S9424" t="s">
        <v>628</v>
      </c>
    </row>
    <row r="9425" spans="1:19" x14ac:dyDescent="0.2">
      <c r="A9425" t="s">
        <v>10036</v>
      </c>
      <c r="B9425" t="s">
        <v>67</v>
      </c>
      <c r="C9425" t="s">
        <v>617</v>
      </c>
      <c r="D9425">
        <v>4038.99</v>
      </c>
      <c r="E9425" s="37" t="str">
        <f t="shared" si="735"/>
        <v xml:space="preserve"> </v>
      </c>
      <c r="F9425">
        <v>0.09</v>
      </c>
      <c r="G9425" s="37" t="str">
        <f t="shared" si="736"/>
        <v>Normal Discount</v>
      </c>
      <c r="H9425" s="37" t="str">
        <f t="shared" si="737"/>
        <v>Low</v>
      </c>
      <c r="I9425">
        <v>6</v>
      </c>
      <c r="J9425" t="str" cm="1">
        <f t="array" ref="J9425">_xlfn.IFS(I9425&lt;=3,"small",I9425&lt;=6,"Medium",I9425&lt;=9,"Large")</f>
        <v>Medium</v>
      </c>
      <c r="K9425" s="36">
        <v>44959</v>
      </c>
      <c r="L9425" s="36">
        <v>44963</v>
      </c>
      <c r="M9425" t="s">
        <v>603</v>
      </c>
      <c r="N9425" t="s">
        <v>608</v>
      </c>
      <c r="O9425" s="37" t="str">
        <f t="shared" si="738"/>
        <v>Cash Payment</v>
      </c>
      <c r="P9425">
        <v>514.25</v>
      </c>
      <c r="Q9425" s="37" t="str">
        <f>IF(P9425&gt;500,"High","low")</f>
        <v>High</v>
      </c>
      <c r="R9425" s="37" t="str">
        <f t="shared" si="739"/>
        <v>Good</v>
      </c>
      <c r="S9425" t="s">
        <v>609</v>
      </c>
    </row>
    <row r="9426" spans="1:19" x14ac:dyDescent="0.2">
      <c r="A9426" t="s">
        <v>10037</v>
      </c>
      <c r="B9426" t="s">
        <v>83</v>
      </c>
      <c r="C9426" t="s">
        <v>614</v>
      </c>
      <c r="D9426">
        <v>3545.98</v>
      </c>
      <c r="E9426" s="37" t="str">
        <f t="shared" si="735"/>
        <v xml:space="preserve"> </v>
      </c>
      <c r="F9426">
        <v>0.39</v>
      </c>
      <c r="G9426" s="37" t="str">
        <f t="shared" si="736"/>
        <v>Heavy Discount</v>
      </c>
      <c r="H9426" s="37" t="str">
        <f t="shared" si="737"/>
        <v>Medium</v>
      </c>
      <c r="I9426">
        <v>9</v>
      </c>
      <c r="J9426" t="str" cm="1">
        <f t="array" ref="J9426">_xlfn.IFS(I9426&lt;=3,"small",I9426&lt;=6,"Medium",I9426&lt;=9,"Large")</f>
        <v>Large</v>
      </c>
      <c r="K9426" s="36">
        <v>45055</v>
      </c>
      <c r="L9426" s="36">
        <v>45057</v>
      </c>
      <c r="M9426" t="s">
        <v>612</v>
      </c>
      <c r="N9426" t="s">
        <v>604</v>
      </c>
      <c r="O9426" s="37" t="str">
        <f t="shared" si="738"/>
        <v>Digital Payment</v>
      </c>
      <c r="P9426">
        <v>956</v>
      </c>
      <c r="Q9426" s="37" t="str">
        <f>IF(P9426&gt;500,"High","low")</f>
        <v>High</v>
      </c>
      <c r="R9426" s="37" t="str">
        <f t="shared" si="739"/>
        <v>Good</v>
      </c>
      <c r="S9426" t="s">
        <v>628</v>
      </c>
    </row>
    <row r="9427" spans="1:19" x14ac:dyDescent="0.2">
      <c r="A9427" t="s">
        <v>10038</v>
      </c>
      <c r="B9427" t="s">
        <v>90</v>
      </c>
      <c r="C9427" t="s">
        <v>607</v>
      </c>
      <c r="D9427">
        <v>1233.8</v>
      </c>
      <c r="E9427" s="37" t="str">
        <f t="shared" si="735"/>
        <v xml:space="preserve"> </v>
      </c>
      <c r="F9427">
        <v>0.43</v>
      </c>
      <c r="G9427" s="37" t="str">
        <f t="shared" si="736"/>
        <v>Heavy Discount</v>
      </c>
      <c r="H9427" s="37" t="str">
        <f t="shared" si="737"/>
        <v>High</v>
      </c>
      <c r="I9427">
        <v>1</v>
      </c>
      <c r="J9427" t="str" cm="1">
        <f t="array" ref="J9427">_xlfn.IFS(I9427&lt;=3,"small",I9427&lt;=6,"Medium",I9427&lt;=9,"Large")</f>
        <v>small</v>
      </c>
      <c r="K9427" s="36">
        <v>45651</v>
      </c>
      <c r="L9427" s="36">
        <v>45654</v>
      </c>
      <c r="M9427" t="s">
        <v>598</v>
      </c>
      <c r="N9427" t="s">
        <v>599</v>
      </c>
      <c r="O9427" s="37" t="str">
        <f t="shared" si="738"/>
        <v>Digital Payment</v>
      </c>
      <c r="P9427">
        <v>341.89</v>
      </c>
      <c r="Q9427" s="37" t="str">
        <f>IF(P9427&gt;500,"High","low")</f>
        <v>low</v>
      </c>
      <c r="R9427" s="37" t="str">
        <f t="shared" si="739"/>
        <v>AVERAGE</v>
      </c>
      <c r="S9427" t="s">
        <v>615</v>
      </c>
    </row>
    <row r="9428" spans="1:19" x14ac:dyDescent="0.2">
      <c r="A9428" t="s">
        <v>10039</v>
      </c>
      <c r="B9428" t="s">
        <v>83</v>
      </c>
      <c r="C9428" t="s">
        <v>617</v>
      </c>
      <c r="D9428">
        <v>2012.11</v>
      </c>
      <c r="E9428" s="37" t="str">
        <f t="shared" si="735"/>
        <v xml:space="preserve"> </v>
      </c>
      <c r="F9428">
        <v>0.41</v>
      </c>
      <c r="G9428" s="37" t="str">
        <f t="shared" si="736"/>
        <v>Heavy Discount</v>
      </c>
      <c r="H9428" s="37" t="str">
        <f t="shared" si="737"/>
        <v>High</v>
      </c>
      <c r="I9428">
        <v>1</v>
      </c>
      <c r="J9428" t="str" cm="1">
        <f t="array" ref="J9428">_xlfn.IFS(I9428&lt;=3,"small",I9428&lt;=6,"Medium",I9428&lt;=9,"Large")</f>
        <v>small</v>
      </c>
      <c r="K9428" s="36">
        <v>45391</v>
      </c>
      <c r="L9428" s="36">
        <v>45393</v>
      </c>
      <c r="M9428" t="s">
        <v>598</v>
      </c>
      <c r="N9428" t="s">
        <v>604</v>
      </c>
      <c r="O9428" s="37" t="str">
        <f t="shared" si="738"/>
        <v>Digital Payment</v>
      </c>
      <c r="P9428">
        <v>439.77</v>
      </c>
      <c r="Q9428" s="37" t="str">
        <f>IF(P9428&gt;500,"High","low")</f>
        <v>low</v>
      </c>
      <c r="R9428" s="37" t="str">
        <f t="shared" si="739"/>
        <v>AVERAGE</v>
      </c>
      <c r="S9428" t="s">
        <v>609</v>
      </c>
    </row>
    <row r="9429" spans="1:19" x14ac:dyDescent="0.2">
      <c r="A9429" t="s">
        <v>10040</v>
      </c>
      <c r="B9429" t="s">
        <v>67</v>
      </c>
      <c r="C9429" t="s">
        <v>607</v>
      </c>
      <c r="D9429">
        <v>3507.05</v>
      </c>
      <c r="E9429" s="37" t="str">
        <f t="shared" si="735"/>
        <v xml:space="preserve"> </v>
      </c>
      <c r="F9429">
        <v>0.27</v>
      </c>
      <c r="G9429" s="37" t="str">
        <f t="shared" si="736"/>
        <v>Normal Discount</v>
      </c>
      <c r="H9429" s="37" t="str">
        <f t="shared" si="737"/>
        <v>Medium</v>
      </c>
      <c r="I9429">
        <v>2</v>
      </c>
      <c r="J9429" t="str" cm="1">
        <f t="array" ref="J9429">_xlfn.IFS(I9429&lt;=3,"small",I9429&lt;=6,"Medium",I9429&lt;=9,"Large")</f>
        <v>small</v>
      </c>
      <c r="K9429" s="36">
        <v>45344</v>
      </c>
      <c r="L9429" s="36">
        <v>45349</v>
      </c>
      <c r="M9429" t="s">
        <v>603</v>
      </c>
      <c r="N9429" t="s">
        <v>608</v>
      </c>
      <c r="O9429" s="37" t="str">
        <f t="shared" si="738"/>
        <v>Cash Payment</v>
      </c>
      <c r="P9429">
        <v>368.22</v>
      </c>
      <c r="Q9429" s="37" t="str">
        <f>IF(P9429&gt;500,"High","low")</f>
        <v>low</v>
      </c>
      <c r="R9429" s="37" t="str">
        <f t="shared" si="739"/>
        <v>AVERAGE</v>
      </c>
      <c r="S9429" t="s">
        <v>615</v>
      </c>
    </row>
    <row r="9430" spans="1:19" x14ac:dyDescent="0.2">
      <c r="A9430" t="s">
        <v>10041</v>
      </c>
      <c r="B9430" t="s">
        <v>75</v>
      </c>
      <c r="C9430" t="s">
        <v>617</v>
      </c>
      <c r="D9430">
        <v>1855</v>
      </c>
      <c r="E9430" s="37" t="str">
        <f t="shared" si="735"/>
        <v xml:space="preserve"> </v>
      </c>
      <c r="F9430">
        <v>0.42</v>
      </c>
      <c r="G9430" s="37" t="str">
        <f t="shared" si="736"/>
        <v>Heavy Discount</v>
      </c>
      <c r="H9430" s="37" t="str">
        <f t="shared" si="737"/>
        <v>High</v>
      </c>
      <c r="I9430">
        <v>7</v>
      </c>
      <c r="J9430" t="str" cm="1">
        <f t="array" ref="J9430">_xlfn.IFS(I9430&lt;=3,"small",I9430&lt;=6,"Medium",I9430&lt;=9,"Large")</f>
        <v>Large</v>
      </c>
      <c r="K9430" s="36">
        <v>45467</v>
      </c>
      <c r="L9430" s="36">
        <v>45473</v>
      </c>
      <c r="M9430" t="s">
        <v>603</v>
      </c>
      <c r="N9430" t="s">
        <v>604</v>
      </c>
      <c r="O9430" s="37" t="str">
        <f t="shared" si="738"/>
        <v>Digital Payment</v>
      </c>
      <c r="P9430">
        <v>145.09</v>
      </c>
      <c r="Q9430" s="37" t="str">
        <f>IF(P9430&gt;500,"High","low")</f>
        <v>low</v>
      </c>
      <c r="R9430" s="37" t="str">
        <f t="shared" si="739"/>
        <v>AVERAGE</v>
      </c>
      <c r="S9430" t="s">
        <v>605</v>
      </c>
    </row>
    <row r="9431" spans="1:19" x14ac:dyDescent="0.2">
      <c r="A9431" t="s">
        <v>10042</v>
      </c>
      <c r="B9431" t="s">
        <v>90</v>
      </c>
      <c r="C9431" t="s">
        <v>602</v>
      </c>
      <c r="D9431">
        <v>895.83</v>
      </c>
      <c r="E9431" s="37" t="str">
        <f t="shared" si="735"/>
        <v xml:space="preserve"> </v>
      </c>
      <c r="F9431">
        <v>0.4</v>
      </c>
      <c r="G9431" s="37" t="str">
        <f t="shared" si="736"/>
        <v>Heavy Discount</v>
      </c>
      <c r="H9431" s="37" t="str">
        <f t="shared" si="737"/>
        <v>Medium</v>
      </c>
      <c r="I9431">
        <v>7</v>
      </c>
      <c r="J9431" t="str" cm="1">
        <f t="array" ref="J9431">_xlfn.IFS(I9431&lt;=3,"small",I9431&lt;=6,"Medium",I9431&lt;=9,"Large")</f>
        <v>Large</v>
      </c>
      <c r="K9431" s="36">
        <v>45633</v>
      </c>
      <c r="L9431" s="36">
        <v>45639</v>
      </c>
      <c r="M9431" t="s">
        <v>598</v>
      </c>
      <c r="N9431" t="s">
        <v>604</v>
      </c>
      <c r="O9431" s="37" t="str">
        <f t="shared" si="738"/>
        <v>Digital Payment</v>
      </c>
      <c r="P9431">
        <v>247.35</v>
      </c>
      <c r="Q9431" s="37" t="str">
        <f>IF(P9431&gt;500,"High","low")</f>
        <v>low</v>
      </c>
      <c r="R9431" s="37" t="str">
        <f t="shared" si="739"/>
        <v>AVERAGE</v>
      </c>
      <c r="S9431" t="s">
        <v>609</v>
      </c>
    </row>
    <row r="9432" spans="1:19" x14ac:dyDescent="0.2">
      <c r="A9432" t="s">
        <v>10043</v>
      </c>
      <c r="B9432" t="s">
        <v>83</v>
      </c>
      <c r="C9432" t="s">
        <v>602</v>
      </c>
      <c r="D9432">
        <v>2640.68</v>
      </c>
      <c r="E9432" s="37" t="str">
        <f t="shared" si="735"/>
        <v xml:space="preserve"> </v>
      </c>
      <c r="F9432">
        <v>0.42</v>
      </c>
      <c r="G9432" s="37" t="str">
        <f t="shared" si="736"/>
        <v>Heavy Discount</v>
      </c>
      <c r="H9432" s="37" t="str">
        <f t="shared" si="737"/>
        <v>High</v>
      </c>
      <c r="I9432">
        <v>5</v>
      </c>
      <c r="J9432" t="str" cm="1">
        <f t="array" ref="J9432">_xlfn.IFS(I9432&lt;=3,"small",I9432&lt;=6,"Medium",I9432&lt;=9,"Large")</f>
        <v>Medium</v>
      </c>
      <c r="K9432" s="36">
        <v>45295</v>
      </c>
      <c r="L9432" s="36">
        <v>45301</v>
      </c>
      <c r="M9432" t="s">
        <v>612</v>
      </c>
      <c r="N9432" t="s">
        <v>608</v>
      </c>
      <c r="O9432" s="37" t="str">
        <f t="shared" si="738"/>
        <v>Cash Payment</v>
      </c>
      <c r="P9432">
        <v>367.2</v>
      </c>
      <c r="Q9432" s="37" t="str">
        <f>IF(P9432&gt;500,"High","low")</f>
        <v>low</v>
      </c>
      <c r="R9432" s="37" t="str">
        <f t="shared" si="739"/>
        <v>AVERAGE</v>
      </c>
      <c r="S9432" t="s">
        <v>609</v>
      </c>
    </row>
    <row r="9433" spans="1:19" x14ac:dyDescent="0.2">
      <c r="A9433" t="s">
        <v>10044</v>
      </c>
      <c r="B9433" t="s">
        <v>83</v>
      </c>
      <c r="C9433" t="s">
        <v>602</v>
      </c>
      <c r="D9433">
        <v>3645.48</v>
      </c>
      <c r="E9433" s="37" t="str">
        <f t="shared" si="735"/>
        <v xml:space="preserve"> </v>
      </c>
      <c r="F9433">
        <v>0.49</v>
      </c>
      <c r="G9433" s="37" t="str">
        <f t="shared" si="736"/>
        <v>Heavy Discount</v>
      </c>
      <c r="H9433" s="37" t="str">
        <f t="shared" si="737"/>
        <v>High</v>
      </c>
      <c r="I9433">
        <v>4</v>
      </c>
      <c r="J9433" t="str" cm="1">
        <f t="array" ref="J9433">_xlfn.IFS(I9433&lt;=3,"small",I9433&lt;=6,"Medium",I9433&lt;=9,"Large")</f>
        <v>Medium</v>
      </c>
      <c r="K9433" s="36">
        <v>45334</v>
      </c>
      <c r="L9433" s="36">
        <v>45336</v>
      </c>
      <c r="M9433" t="s">
        <v>603</v>
      </c>
      <c r="N9433" t="s">
        <v>608</v>
      </c>
      <c r="O9433" s="37" t="str">
        <f t="shared" si="738"/>
        <v>Cash Payment</v>
      </c>
      <c r="P9433">
        <v>774.34</v>
      </c>
      <c r="Q9433" s="37" t="str">
        <f>IF(P9433&gt;500,"High","low")</f>
        <v>High</v>
      </c>
      <c r="R9433" s="37" t="str">
        <f t="shared" si="739"/>
        <v>Good</v>
      </c>
      <c r="S9433" t="s">
        <v>628</v>
      </c>
    </row>
    <row r="9434" spans="1:19" x14ac:dyDescent="0.2">
      <c r="A9434" t="s">
        <v>10045</v>
      </c>
      <c r="B9434" t="s">
        <v>83</v>
      </c>
      <c r="C9434" t="s">
        <v>602</v>
      </c>
      <c r="D9434">
        <v>1671.97</v>
      </c>
      <c r="E9434" s="37" t="str">
        <f t="shared" si="735"/>
        <v xml:space="preserve"> </v>
      </c>
      <c r="F9434">
        <v>0.41</v>
      </c>
      <c r="G9434" s="37" t="str">
        <f t="shared" si="736"/>
        <v>Heavy Discount</v>
      </c>
      <c r="H9434" s="37" t="str">
        <f t="shared" si="737"/>
        <v>High</v>
      </c>
      <c r="I9434">
        <v>6</v>
      </c>
      <c r="J9434" t="str" cm="1">
        <f t="array" ref="J9434">_xlfn.IFS(I9434&lt;=3,"small",I9434&lt;=6,"Medium",I9434&lt;=9,"Large")</f>
        <v>Medium</v>
      </c>
      <c r="K9434" s="36">
        <v>45504</v>
      </c>
      <c r="L9434" s="36">
        <v>45509</v>
      </c>
      <c r="M9434" t="s">
        <v>612</v>
      </c>
      <c r="N9434" t="s">
        <v>608</v>
      </c>
      <c r="O9434" s="37" t="str">
        <f t="shared" si="738"/>
        <v>Cash Payment</v>
      </c>
      <c r="P9434">
        <v>425.08</v>
      </c>
      <c r="Q9434" s="37" t="str">
        <f>IF(P9434&gt;500,"High","low")</f>
        <v>low</v>
      </c>
      <c r="R9434" s="37" t="str">
        <f t="shared" si="739"/>
        <v>AVERAGE</v>
      </c>
      <c r="S9434" t="s">
        <v>605</v>
      </c>
    </row>
    <row r="9435" spans="1:19" x14ac:dyDescent="0.2">
      <c r="A9435" t="s">
        <v>10046</v>
      </c>
      <c r="B9435" t="s">
        <v>75</v>
      </c>
      <c r="C9435" t="s">
        <v>617</v>
      </c>
      <c r="D9435">
        <v>696.68</v>
      </c>
      <c r="E9435" s="37" t="str">
        <f t="shared" si="735"/>
        <v xml:space="preserve"> </v>
      </c>
      <c r="F9435">
        <v>0.14000000000000001</v>
      </c>
      <c r="G9435" s="37" t="str">
        <f t="shared" si="736"/>
        <v>Normal Discount</v>
      </c>
      <c r="H9435" s="37" t="str">
        <f t="shared" si="737"/>
        <v>Low</v>
      </c>
      <c r="I9435">
        <v>8</v>
      </c>
      <c r="J9435" t="str" cm="1">
        <f t="array" ref="J9435">_xlfn.IFS(I9435&lt;=3,"small",I9435&lt;=6,"Medium",I9435&lt;=9,"Large")</f>
        <v>Large</v>
      </c>
      <c r="K9435" s="36">
        <v>45533</v>
      </c>
      <c r="L9435" s="36">
        <v>45534</v>
      </c>
      <c r="M9435" t="s">
        <v>612</v>
      </c>
      <c r="N9435" t="s">
        <v>604</v>
      </c>
      <c r="O9435" s="37" t="str">
        <f t="shared" si="738"/>
        <v>Digital Payment</v>
      </c>
      <c r="P9435">
        <v>151.29</v>
      </c>
      <c r="Q9435" s="37" t="str">
        <f>IF(P9435&gt;500,"High","low")</f>
        <v>low</v>
      </c>
      <c r="R9435" s="37" t="str">
        <f t="shared" si="739"/>
        <v>AVERAGE</v>
      </c>
      <c r="S9435" t="s">
        <v>628</v>
      </c>
    </row>
    <row r="9436" spans="1:19" x14ac:dyDescent="0.2">
      <c r="A9436" t="s">
        <v>10047</v>
      </c>
      <c r="B9436" t="s">
        <v>90</v>
      </c>
      <c r="C9436" t="s">
        <v>614</v>
      </c>
      <c r="D9436">
        <v>4164.7700000000004</v>
      </c>
      <c r="E9436" s="37" t="str">
        <f t="shared" si="735"/>
        <v>Excellent Order</v>
      </c>
      <c r="F9436">
        <v>0.41</v>
      </c>
      <c r="G9436" s="37" t="str">
        <f t="shared" si="736"/>
        <v>Heavy Discount</v>
      </c>
      <c r="H9436" s="37" t="str">
        <f t="shared" si="737"/>
        <v>High</v>
      </c>
      <c r="I9436">
        <v>7</v>
      </c>
      <c r="J9436" t="str" cm="1">
        <f t="array" ref="J9436">_xlfn.IFS(I9436&lt;=3,"small",I9436&lt;=6,"Medium",I9436&lt;=9,"Large")</f>
        <v>Large</v>
      </c>
      <c r="K9436" s="36">
        <v>45414</v>
      </c>
      <c r="L9436" s="36">
        <v>45418</v>
      </c>
      <c r="M9436" t="s">
        <v>603</v>
      </c>
      <c r="N9436" t="s">
        <v>599</v>
      </c>
      <c r="O9436" s="37" t="str">
        <f t="shared" si="738"/>
        <v>Digital Payment</v>
      </c>
      <c r="P9436">
        <v>1237.6400000000001</v>
      </c>
      <c r="Q9436" s="37" t="str">
        <f>IF(P9436&gt;500,"High","low")</f>
        <v>High</v>
      </c>
      <c r="R9436" s="37" t="str">
        <f t="shared" si="739"/>
        <v>Excellent</v>
      </c>
      <c r="S9436" t="s">
        <v>628</v>
      </c>
    </row>
    <row r="9437" spans="1:19" x14ac:dyDescent="0.2">
      <c r="A9437" t="s">
        <v>10048</v>
      </c>
      <c r="B9437" t="s">
        <v>75</v>
      </c>
      <c r="C9437" t="s">
        <v>597</v>
      </c>
      <c r="D9437">
        <v>1338.73</v>
      </c>
      <c r="E9437" s="37" t="str">
        <f t="shared" si="735"/>
        <v xml:space="preserve"> </v>
      </c>
      <c r="F9437">
        <v>0.19</v>
      </c>
      <c r="G9437" s="37" t="str">
        <f t="shared" si="736"/>
        <v>Normal Discount</v>
      </c>
      <c r="H9437" s="37" t="str">
        <f t="shared" si="737"/>
        <v>Low</v>
      </c>
      <c r="I9437">
        <v>2</v>
      </c>
      <c r="J9437" t="str" cm="1">
        <f t="array" ref="J9437">_xlfn.IFS(I9437&lt;=3,"small",I9437&lt;=6,"Medium",I9437&lt;=9,"Large")</f>
        <v>small</v>
      </c>
      <c r="K9437" s="36">
        <v>45565</v>
      </c>
      <c r="L9437" s="36">
        <v>45571</v>
      </c>
      <c r="M9437" t="s">
        <v>598</v>
      </c>
      <c r="N9437" t="s">
        <v>599</v>
      </c>
      <c r="O9437" s="37" t="str">
        <f t="shared" si="738"/>
        <v>Digital Payment</v>
      </c>
      <c r="P9437">
        <v>259.14999999999998</v>
      </c>
      <c r="Q9437" s="37" t="str">
        <f>IF(P9437&gt;500,"High","low")</f>
        <v>low</v>
      </c>
      <c r="R9437" s="37" t="str">
        <f t="shared" si="739"/>
        <v>AVERAGE</v>
      </c>
      <c r="S9437" t="s">
        <v>609</v>
      </c>
    </row>
    <row r="9438" spans="1:19" x14ac:dyDescent="0.2">
      <c r="A9438" t="s">
        <v>10049</v>
      </c>
      <c r="B9438" t="s">
        <v>75</v>
      </c>
      <c r="C9438" t="s">
        <v>597</v>
      </c>
      <c r="D9438">
        <v>2612.79</v>
      </c>
      <c r="E9438" s="37" t="str">
        <f t="shared" si="735"/>
        <v xml:space="preserve"> </v>
      </c>
      <c r="F9438">
        <v>0.26</v>
      </c>
      <c r="G9438" s="37" t="str">
        <f t="shared" si="736"/>
        <v>Normal Discount</v>
      </c>
      <c r="H9438" s="37" t="str">
        <f t="shared" si="737"/>
        <v>Medium</v>
      </c>
      <c r="I9438">
        <v>2</v>
      </c>
      <c r="J9438" t="str" cm="1">
        <f t="array" ref="J9438">_xlfn.IFS(I9438&lt;=3,"small",I9438&lt;=6,"Medium",I9438&lt;=9,"Large")</f>
        <v>small</v>
      </c>
      <c r="K9438" s="36">
        <v>45509</v>
      </c>
      <c r="L9438" s="36">
        <v>45511</v>
      </c>
      <c r="M9438" t="s">
        <v>598</v>
      </c>
      <c r="N9438" t="s">
        <v>608</v>
      </c>
      <c r="O9438" s="37" t="str">
        <f t="shared" si="738"/>
        <v>Cash Payment</v>
      </c>
      <c r="P9438">
        <v>496.59</v>
      </c>
      <c r="Q9438" s="37" t="str">
        <f>IF(P9438&gt;500,"High","low")</f>
        <v>low</v>
      </c>
      <c r="R9438" s="37" t="str">
        <f t="shared" si="739"/>
        <v>AVERAGE</v>
      </c>
      <c r="S9438" t="s">
        <v>628</v>
      </c>
    </row>
    <row r="9439" spans="1:19" x14ac:dyDescent="0.2">
      <c r="A9439" t="s">
        <v>10050</v>
      </c>
      <c r="B9439" t="s">
        <v>75</v>
      </c>
      <c r="C9439" t="s">
        <v>602</v>
      </c>
      <c r="D9439">
        <v>3487.58</v>
      </c>
      <c r="E9439" s="37" t="str">
        <f t="shared" si="735"/>
        <v xml:space="preserve"> </v>
      </c>
      <c r="F9439">
        <v>0.4</v>
      </c>
      <c r="G9439" s="37" t="str">
        <f t="shared" si="736"/>
        <v>Heavy Discount</v>
      </c>
      <c r="H9439" s="37" t="str">
        <f t="shared" si="737"/>
        <v>Medium</v>
      </c>
      <c r="I9439">
        <v>6</v>
      </c>
      <c r="J9439" t="str" cm="1">
        <f t="array" ref="J9439">_xlfn.IFS(I9439&lt;=3,"small",I9439&lt;=6,"Medium",I9439&lt;=9,"Large")</f>
        <v>Medium</v>
      </c>
      <c r="K9439" s="36">
        <v>45499</v>
      </c>
      <c r="L9439" s="36">
        <v>45500</v>
      </c>
      <c r="M9439" t="s">
        <v>598</v>
      </c>
      <c r="N9439" t="s">
        <v>599</v>
      </c>
      <c r="O9439" s="37" t="str">
        <f t="shared" si="738"/>
        <v>Digital Payment</v>
      </c>
      <c r="P9439">
        <v>711.8</v>
      </c>
      <c r="Q9439" s="37" t="str">
        <f>IF(P9439&gt;500,"High","low")</f>
        <v>High</v>
      </c>
      <c r="R9439" s="37" t="str">
        <f t="shared" si="739"/>
        <v>Good</v>
      </c>
      <c r="S9439" t="s">
        <v>609</v>
      </c>
    </row>
    <row r="9440" spans="1:19" x14ac:dyDescent="0.2">
      <c r="A9440" t="s">
        <v>10051</v>
      </c>
      <c r="B9440" t="s">
        <v>67</v>
      </c>
      <c r="C9440" t="s">
        <v>614</v>
      </c>
      <c r="D9440">
        <v>1653.67</v>
      </c>
      <c r="E9440" s="37" t="str">
        <f t="shared" si="735"/>
        <v xml:space="preserve"> </v>
      </c>
      <c r="F9440">
        <v>0.16</v>
      </c>
      <c r="G9440" s="37" t="str">
        <f t="shared" si="736"/>
        <v>Normal Discount</v>
      </c>
      <c r="H9440" s="37" t="str">
        <f t="shared" si="737"/>
        <v>Low</v>
      </c>
      <c r="I9440">
        <v>1</v>
      </c>
      <c r="J9440" t="str" cm="1">
        <f t="array" ref="J9440">_xlfn.IFS(I9440&lt;=3,"small",I9440&lt;=6,"Medium",I9440&lt;=9,"Large")</f>
        <v>small</v>
      </c>
      <c r="K9440" s="36">
        <v>45169</v>
      </c>
      <c r="L9440" s="36">
        <v>45172</v>
      </c>
      <c r="M9440" t="s">
        <v>598</v>
      </c>
      <c r="N9440" t="s">
        <v>608</v>
      </c>
      <c r="O9440" s="37" t="str">
        <f t="shared" si="738"/>
        <v>Cash Payment</v>
      </c>
      <c r="P9440">
        <v>303.26</v>
      </c>
      <c r="Q9440" s="37" t="str">
        <f>IF(P9440&gt;500,"High","low")</f>
        <v>low</v>
      </c>
      <c r="R9440" s="37" t="str">
        <f t="shared" si="739"/>
        <v>AVERAGE</v>
      </c>
      <c r="S9440" t="s">
        <v>609</v>
      </c>
    </row>
    <row r="9441" spans="1:19" x14ac:dyDescent="0.2">
      <c r="A9441" t="s">
        <v>10052</v>
      </c>
      <c r="B9441" t="s">
        <v>67</v>
      </c>
      <c r="C9441" t="s">
        <v>607</v>
      </c>
      <c r="D9441">
        <v>3278.32</v>
      </c>
      <c r="E9441" s="37" t="str">
        <f t="shared" si="735"/>
        <v xml:space="preserve"> </v>
      </c>
      <c r="F9441">
        <v>0.01</v>
      </c>
      <c r="G9441" s="37" t="str">
        <f t="shared" si="736"/>
        <v>Normal Discount</v>
      </c>
      <c r="H9441" s="37" t="str">
        <f t="shared" si="737"/>
        <v>Low</v>
      </c>
      <c r="I9441">
        <v>5</v>
      </c>
      <c r="J9441" t="str" cm="1">
        <f t="array" ref="J9441">_xlfn.IFS(I9441&lt;=3,"small",I9441&lt;=6,"Medium",I9441&lt;=9,"Large")</f>
        <v>Medium</v>
      </c>
      <c r="K9441" s="36">
        <v>45129</v>
      </c>
      <c r="L9441" s="36">
        <v>45136</v>
      </c>
      <c r="M9441" t="s">
        <v>598</v>
      </c>
      <c r="N9441" t="s">
        <v>599</v>
      </c>
      <c r="O9441" s="37" t="str">
        <f t="shared" si="738"/>
        <v>Digital Payment</v>
      </c>
      <c r="P9441">
        <v>800.82</v>
      </c>
      <c r="Q9441" s="37" t="str">
        <f>IF(P9441&gt;500,"High","low")</f>
        <v>High</v>
      </c>
      <c r="R9441" s="37" t="str">
        <f t="shared" si="739"/>
        <v>Good</v>
      </c>
      <c r="S9441" t="s">
        <v>620</v>
      </c>
    </row>
    <row r="9442" spans="1:19" x14ac:dyDescent="0.2">
      <c r="A9442" t="s">
        <v>10053</v>
      </c>
      <c r="B9442" t="s">
        <v>67</v>
      </c>
      <c r="C9442" t="s">
        <v>614</v>
      </c>
      <c r="D9442">
        <v>2352.58</v>
      </c>
      <c r="E9442" s="37" t="str">
        <f t="shared" si="735"/>
        <v xml:space="preserve"> </v>
      </c>
      <c r="F9442">
        <v>0.36</v>
      </c>
      <c r="G9442" s="37" t="str">
        <f t="shared" si="736"/>
        <v>Heavy Discount</v>
      </c>
      <c r="H9442" s="37" t="str">
        <f t="shared" si="737"/>
        <v>Medium</v>
      </c>
      <c r="I9442">
        <v>1</v>
      </c>
      <c r="J9442" t="str" cm="1">
        <f t="array" ref="J9442">_xlfn.IFS(I9442&lt;=3,"small",I9442&lt;=6,"Medium",I9442&lt;=9,"Large")</f>
        <v>small</v>
      </c>
      <c r="K9442" s="36">
        <v>45353</v>
      </c>
      <c r="L9442" s="36">
        <v>45358</v>
      </c>
      <c r="M9442" t="s">
        <v>598</v>
      </c>
      <c r="N9442" t="s">
        <v>604</v>
      </c>
      <c r="O9442" s="37" t="str">
        <f t="shared" si="738"/>
        <v>Digital Payment</v>
      </c>
      <c r="P9442">
        <v>669.22</v>
      </c>
      <c r="Q9442" s="37" t="str">
        <f>IF(P9442&gt;500,"High","low")</f>
        <v>High</v>
      </c>
      <c r="R9442" s="37" t="str">
        <f t="shared" si="739"/>
        <v>Good</v>
      </c>
      <c r="S9442" t="s">
        <v>628</v>
      </c>
    </row>
    <row r="9443" spans="1:19" x14ac:dyDescent="0.2">
      <c r="A9443" t="s">
        <v>10054</v>
      </c>
      <c r="B9443" t="s">
        <v>90</v>
      </c>
      <c r="C9443" t="s">
        <v>607</v>
      </c>
      <c r="D9443">
        <v>2895.14</v>
      </c>
      <c r="E9443" s="37" t="str">
        <f t="shared" si="735"/>
        <v xml:space="preserve"> </v>
      </c>
      <c r="F9443">
        <v>0.45</v>
      </c>
      <c r="G9443" s="37" t="str">
        <f t="shared" si="736"/>
        <v>Heavy Discount</v>
      </c>
      <c r="H9443" s="37" t="str">
        <f t="shared" si="737"/>
        <v>High</v>
      </c>
      <c r="I9443">
        <v>7</v>
      </c>
      <c r="J9443" t="str" cm="1">
        <f t="array" ref="J9443">_xlfn.IFS(I9443&lt;=3,"small",I9443&lt;=6,"Medium",I9443&lt;=9,"Large")</f>
        <v>Large</v>
      </c>
      <c r="K9443" s="36">
        <v>45015</v>
      </c>
      <c r="L9443" s="36">
        <v>45021</v>
      </c>
      <c r="M9443" t="s">
        <v>612</v>
      </c>
      <c r="N9443" t="s">
        <v>599</v>
      </c>
      <c r="O9443" s="37" t="str">
        <f t="shared" si="738"/>
        <v>Digital Payment</v>
      </c>
      <c r="P9443">
        <v>800.12</v>
      </c>
      <c r="Q9443" s="37" t="str">
        <f>IF(P9443&gt;500,"High","low")</f>
        <v>High</v>
      </c>
      <c r="R9443" s="37" t="str">
        <f t="shared" si="739"/>
        <v>Good</v>
      </c>
      <c r="S9443" t="s">
        <v>615</v>
      </c>
    </row>
    <row r="9444" spans="1:19" x14ac:dyDescent="0.2">
      <c r="A9444" t="s">
        <v>10055</v>
      </c>
      <c r="B9444" t="s">
        <v>75</v>
      </c>
      <c r="C9444" t="s">
        <v>597</v>
      </c>
      <c r="D9444">
        <v>2993.82</v>
      </c>
      <c r="E9444" s="37" t="str">
        <f t="shared" si="735"/>
        <v xml:space="preserve"> </v>
      </c>
      <c r="F9444">
        <v>0.46</v>
      </c>
      <c r="G9444" s="37" t="str">
        <f t="shared" si="736"/>
        <v>Heavy Discount</v>
      </c>
      <c r="H9444" s="37" t="str">
        <f t="shared" si="737"/>
        <v>High</v>
      </c>
      <c r="I9444">
        <v>3</v>
      </c>
      <c r="J9444" t="str" cm="1">
        <f t="array" ref="J9444">_xlfn.IFS(I9444&lt;=3,"small",I9444&lt;=6,"Medium",I9444&lt;=9,"Large")</f>
        <v>small</v>
      </c>
      <c r="K9444" s="36">
        <v>45137</v>
      </c>
      <c r="L9444" s="36">
        <v>45139</v>
      </c>
      <c r="M9444" t="s">
        <v>598</v>
      </c>
      <c r="N9444" t="s">
        <v>599</v>
      </c>
      <c r="O9444" s="37" t="str">
        <f t="shared" si="738"/>
        <v>Digital Payment</v>
      </c>
      <c r="P9444">
        <v>519.5</v>
      </c>
      <c r="Q9444" s="37" t="str">
        <f>IF(P9444&gt;500,"High","low")</f>
        <v>High</v>
      </c>
      <c r="R9444" s="37" t="str">
        <f t="shared" si="739"/>
        <v>Good</v>
      </c>
      <c r="S9444" t="s">
        <v>600</v>
      </c>
    </row>
    <row r="9445" spans="1:19" x14ac:dyDescent="0.2">
      <c r="A9445" t="s">
        <v>10056</v>
      </c>
      <c r="B9445" t="s">
        <v>75</v>
      </c>
      <c r="C9445" t="s">
        <v>614</v>
      </c>
      <c r="D9445">
        <v>4138.34</v>
      </c>
      <c r="E9445" s="37" t="str">
        <f t="shared" si="735"/>
        <v>Excellent Order</v>
      </c>
      <c r="F9445">
        <v>0.4</v>
      </c>
      <c r="G9445" s="37" t="str">
        <f t="shared" si="736"/>
        <v>Heavy Discount</v>
      </c>
      <c r="H9445" s="37" t="str">
        <f t="shared" si="737"/>
        <v>Medium</v>
      </c>
      <c r="I9445">
        <v>9</v>
      </c>
      <c r="J9445" t="str" cm="1">
        <f t="array" ref="J9445">_xlfn.IFS(I9445&lt;=3,"small",I9445&lt;=6,"Medium",I9445&lt;=9,"Large")</f>
        <v>Large</v>
      </c>
      <c r="K9445" s="36">
        <v>45483</v>
      </c>
      <c r="L9445" s="36">
        <v>45484</v>
      </c>
      <c r="M9445" t="s">
        <v>603</v>
      </c>
      <c r="N9445" t="s">
        <v>604</v>
      </c>
      <c r="O9445" s="37" t="str">
        <f t="shared" si="738"/>
        <v>Digital Payment</v>
      </c>
      <c r="P9445">
        <v>1166.3800000000001</v>
      </c>
      <c r="Q9445" s="37" t="str">
        <f>IF(P9445&gt;500,"High","low")</f>
        <v>High</v>
      </c>
      <c r="R9445" s="37" t="str">
        <f t="shared" si="739"/>
        <v>Excellent</v>
      </c>
      <c r="S9445" t="s">
        <v>628</v>
      </c>
    </row>
    <row r="9446" spans="1:19" x14ac:dyDescent="0.2">
      <c r="A9446" t="s">
        <v>10057</v>
      </c>
      <c r="B9446" t="s">
        <v>67</v>
      </c>
      <c r="C9446" t="s">
        <v>614</v>
      </c>
      <c r="D9446">
        <v>3316</v>
      </c>
      <c r="E9446" s="37" t="str">
        <f t="shared" si="735"/>
        <v xml:space="preserve"> </v>
      </c>
      <c r="F9446">
        <v>0.47</v>
      </c>
      <c r="G9446" s="37" t="str">
        <f t="shared" si="736"/>
        <v>Heavy Discount</v>
      </c>
      <c r="H9446" s="37" t="str">
        <f t="shared" si="737"/>
        <v>High</v>
      </c>
      <c r="I9446">
        <v>5</v>
      </c>
      <c r="J9446" t="str" cm="1">
        <f t="array" ref="J9446">_xlfn.IFS(I9446&lt;=3,"small",I9446&lt;=6,"Medium",I9446&lt;=9,"Large")</f>
        <v>Medium</v>
      </c>
      <c r="K9446" s="36">
        <v>45215</v>
      </c>
      <c r="L9446" s="36">
        <v>45221</v>
      </c>
      <c r="M9446" t="s">
        <v>603</v>
      </c>
      <c r="N9446" t="s">
        <v>599</v>
      </c>
      <c r="O9446" s="37" t="str">
        <f t="shared" si="738"/>
        <v>Digital Payment</v>
      </c>
      <c r="P9446">
        <v>285.63</v>
      </c>
      <c r="Q9446" s="37" t="str">
        <f>IF(P9446&gt;500,"High","low")</f>
        <v>low</v>
      </c>
      <c r="R9446" s="37" t="str">
        <f t="shared" si="739"/>
        <v>AVERAGE</v>
      </c>
      <c r="S9446" t="s">
        <v>605</v>
      </c>
    </row>
    <row r="9447" spans="1:19" x14ac:dyDescent="0.2">
      <c r="A9447" t="s">
        <v>10058</v>
      </c>
      <c r="B9447" t="s">
        <v>75</v>
      </c>
      <c r="C9447" t="s">
        <v>597</v>
      </c>
      <c r="D9447">
        <v>1395.1</v>
      </c>
      <c r="E9447" s="37" t="str">
        <f t="shared" si="735"/>
        <v xml:space="preserve"> </v>
      </c>
      <c r="F9447">
        <v>0.41</v>
      </c>
      <c r="G9447" s="37" t="str">
        <f t="shared" si="736"/>
        <v>Heavy Discount</v>
      </c>
      <c r="H9447" s="37" t="str">
        <f t="shared" si="737"/>
        <v>High</v>
      </c>
      <c r="I9447">
        <v>1</v>
      </c>
      <c r="J9447" t="str" cm="1">
        <f t="array" ref="J9447">_xlfn.IFS(I9447&lt;=3,"small",I9447&lt;=6,"Medium",I9447&lt;=9,"Large")</f>
        <v>small</v>
      </c>
      <c r="K9447" s="36">
        <v>45507</v>
      </c>
      <c r="L9447" s="36">
        <v>45508</v>
      </c>
      <c r="M9447" t="s">
        <v>598</v>
      </c>
      <c r="N9447" t="s">
        <v>608</v>
      </c>
      <c r="O9447" s="37" t="str">
        <f t="shared" si="738"/>
        <v>Cash Payment</v>
      </c>
      <c r="P9447">
        <v>263.51</v>
      </c>
      <c r="Q9447" s="37" t="str">
        <f>IF(P9447&gt;500,"High","low")</f>
        <v>low</v>
      </c>
      <c r="R9447" s="37" t="str">
        <f t="shared" si="739"/>
        <v>AVERAGE</v>
      </c>
      <c r="S9447" t="s">
        <v>605</v>
      </c>
    </row>
    <row r="9448" spans="1:19" x14ac:dyDescent="0.2">
      <c r="A9448" t="s">
        <v>10059</v>
      </c>
      <c r="B9448" t="s">
        <v>75</v>
      </c>
      <c r="C9448" t="s">
        <v>614</v>
      </c>
      <c r="D9448">
        <v>392.06</v>
      </c>
      <c r="E9448" s="37" t="str">
        <f t="shared" si="735"/>
        <v xml:space="preserve"> </v>
      </c>
      <c r="F9448">
        <v>0.02</v>
      </c>
      <c r="G9448" s="37" t="str">
        <f t="shared" si="736"/>
        <v>Normal Discount</v>
      </c>
      <c r="H9448" s="37" t="str">
        <f t="shared" si="737"/>
        <v>Low</v>
      </c>
      <c r="I9448">
        <v>4</v>
      </c>
      <c r="J9448" t="str" cm="1">
        <f t="array" ref="J9448">_xlfn.IFS(I9448&lt;=3,"small",I9448&lt;=6,"Medium",I9448&lt;=9,"Large")</f>
        <v>Medium</v>
      </c>
      <c r="K9448" s="36">
        <v>45121</v>
      </c>
      <c r="L9448" s="36">
        <v>45125</v>
      </c>
      <c r="M9448" t="s">
        <v>598</v>
      </c>
      <c r="N9448" t="s">
        <v>608</v>
      </c>
      <c r="O9448" s="37" t="str">
        <f t="shared" si="738"/>
        <v>Cash Payment</v>
      </c>
      <c r="P9448">
        <v>69.45</v>
      </c>
      <c r="Q9448" s="37" t="str">
        <f>IF(P9448&gt;500,"High","low")</f>
        <v>low</v>
      </c>
      <c r="R9448" s="37" t="str">
        <f t="shared" si="739"/>
        <v>AVERAGE</v>
      </c>
      <c r="S9448" t="s">
        <v>609</v>
      </c>
    </row>
    <row r="9449" spans="1:19" x14ac:dyDescent="0.2">
      <c r="A9449" t="s">
        <v>10060</v>
      </c>
      <c r="B9449" t="s">
        <v>83</v>
      </c>
      <c r="C9449" t="s">
        <v>607</v>
      </c>
      <c r="D9449">
        <v>109.73</v>
      </c>
      <c r="E9449" s="37" t="str">
        <f t="shared" si="735"/>
        <v xml:space="preserve"> </v>
      </c>
      <c r="F9449">
        <v>0.17</v>
      </c>
      <c r="G9449" s="37" t="str">
        <f t="shared" si="736"/>
        <v>Normal Discount</v>
      </c>
      <c r="H9449" s="37" t="str">
        <f t="shared" si="737"/>
        <v>Low</v>
      </c>
      <c r="I9449">
        <v>8</v>
      </c>
      <c r="J9449" t="str" cm="1">
        <f t="array" ref="J9449">_xlfn.IFS(I9449&lt;=3,"small",I9449&lt;=6,"Medium",I9449&lt;=9,"Large")</f>
        <v>Large</v>
      </c>
      <c r="K9449" s="36">
        <v>45149</v>
      </c>
      <c r="L9449" s="36">
        <v>45152</v>
      </c>
      <c r="M9449" t="s">
        <v>603</v>
      </c>
      <c r="N9449" t="s">
        <v>599</v>
      </c>
      <c r="O9449" s="37" t="str">
        <f t="shared" si="738"/>
        <v>Digital Payment</v>
      </c>
      <c r="P9449">
        <v>11.28</v>
      </c>
      <c r="Q9449" s="37" t="str">
        <f>IF(P9449&gt;500,"High","low")</f>
        <v>low</v>
      </c>
      <c r="R9449" s="37" t="str">
        <f t="shared" si="739"/>
        <v>AVERAGE</v>
      </c>
      <c r="S9449" t="s">
        <v>605</v>
      </c>
    </row>
    <row r="9450" spans="1:19" x14ac:dyDescent="0.2">
      <c r="A9450" t="s">
        <v>10061</v>
      </c>
      <c r="B9450" t="s">
        <v>75</v>
      </c>
      <c r="C9450" t="s">
        <v>614</v>
      </c>
      <c r="D9450">
        <v>4531.6499999999996</v>
      </c>
      <c r="E9450" s="37" t="str">
        <f t="shared" si="735"/>
        <v>Excellent Order</v>
      </c>
      <c r="F9450">
        <v>0.17</v>
      </c>
      <c r="G9450" s="37" t="str">
        <f t="shared" si="736"/>
        <v>Normal Discount</v>
      </c>
      <c r="H9450" s="37" t="str">
        <f t="shared" si="737"/>
        <v>Low</v>
      </c>
      <c r="I9450">
        <v>7</v>
      </c>
      <c r="J9450" t="str" cm="1">
        <f t="array" ref="J9450">_xlfn.IFS(I9450&lt;=3,"small",I9450&lt;=6,"Medium",I9450&lt;=9,"Large")</f>
        <v>Large</v>
      </c>
      <c r="K9450" s="36">
        <v>45578</v>
      </c>
      <c r="L9450" s="36">
        <v>45582</v>
      </c>
      <c r="M9450" t="s">
        <v>603</v>
      </c>
      <c r="N9450" t="s">
        <v>608</v>
      </c>
      <c r="O9450" s="37" t="str">
        <f t="shared" si="738"/>
        <v>Cash Payment</v>
      </c>
      <c r="P9450">
        <v>1340.35</v>
      </c>
      <c r="Q9450" s="37" t="str">
        <f>IF(P9450&gt;500,"High","low")</f>
        <v>High</v>
      </c>
      <c r="R9450" s="37" t="str">
        <f t="shared" si="739"/>
        <v>Excellent</v>
      </c>
      <c r="S9450" t="s">
        <v>615</v>
      </c>
    </row>
    <row r="9451" spans="1:19" x14ac:dyDescent="0.2">
      <c r="A9451" t="s">
        <v>10062</v>
      </c>
      <c r="B9451" t="s">
        <v>83</v>
      </c>
      <c r="C9451" t="s">
        <v>607</v>
      </c>
      <c r="D9451">
        <v>4716.34</v>
      </c>
      <c r="E9451" s="37" t="str">
        <f t="shared" si="735"/>
        <v>Excellent Order</v>
      </c>
      <c r="F9451">
        <v>0.11</v>
      </c>
      <c r="G9451" s="37" t="str">
        <f t="shared" si="736"/>
        <v>Normal Discount</v>
      </c>
      <c r="H9451" s="37" t="str">
        <f t="shared" si="737"/>
        <v>Low</v>
      </c>
      <c r="I9451">
        <v>6</v>
      </c>
      <c r="J9451" t="str" cm="1">
        <f t="array" ref="J9451">_xlfn.IFS(I9451&lt;=3,"small",I9451&lt;=6,"Medium",I9451&lt;=9,"Large")</f>
        <v>Medium</v>
      </c>
      <c r="K9451" s="36">
        <v>45086</v>
      </c>
      <c r="L9451" s="36">
        <v>45088</v>
      </c>
      <c r="M9451" t="s">
        <v>603</v>
      </c>
      <c r="N9451" t="s">
        <v>608</v>
      </c>
      <c r="O9451" s="37" t="str">
        <f t="shared" si="738"/>
        <v>Cash Payment</v>
      </c>
      <c r="P9451">
        <v>1365.97</v>
      </c>
      <c r="Q9451" s="37" t="str">
        <f>IF(P9451&gt;500,"High","low")</f>
        <v>High</v>
      </c>
      <c r="R9451" s="37" t="str">
        <f t="shared" si="739"/>
        <v>Excellent</v>
      </c>
      <c r="S9451" t="s">
        <v>609</v>
      </c>
    </row>
    <row r="9452" spans="1:19" x14ac:dyDescent="0.2">
      <c r="A9452" t="s">
        <v>10063</v>
      </c>
      <c r="B9452" t="s">
        <v>75</v>
      </c>
      <c r="C9452" t="s">
        <v>602</v>
      </c>
      <c r="D9452">
        <v>561.15</v>
      </c>
      <c r="E9452" s="37" t="str">
        <f t="shared" si="735"/>
        <v xml:space="preserve"> </v>
      </c>
      <c r="F9452">
        <v>0.4</v>
      </c>
      <c r="G9452" s="37" t="str">
        <f t="shared" si="736"/>
        <v>Heavy Discount</v>
      </c>
      <c r="H9452" s="37" t="str">
        <f t="shared" si="737"/>
        <v>Medium</v>
      </c>
      <c r="I9452">
        <v>9</v>
      </c>
      <c r="J9452" t="str" cm="1">
        <f t="array" ref="J9452">_xlfn.IFS(I9452&lt;=3,"small",I9452&lt;=6,"Medium",I9452&lt;=9,"Large")</f>
        <v>Large</v>
      </c>
      <c r="K9452" s="36">
        <v>45040</v>
      </c>
      <c r="L9452" s="36">
        <v>45043</v>
      </c>
      <c r="M9452" t="s">
        <v>598</v>
      </c>
      <c r="N9452" t="s">
        <v>604</v>
      </c>
      <c r="O9452" s="37" t="str">
        <f t="shared" si="738"/>
        <v>Digital Payment</v>
      </c>
      <c r="P9452">
        <v>28.31</v>
      </c>
      <c r="Q9452" s="37" t="str">
        <f>IF(P9452&gt;500,"High","low")</f>
        <v>low</v>
      </c>
      <c r="R9452" s="37" t="str">
        <f t="shared" si="739"/>
        <v>AVERAGE</v>
      </c>
      <c r="S9452" t="s">
        <v>605</v>
      </c>
    </row>
    <row r="9453" spans="1:19" x14ac:dyDescent="0.2">
      <c r="A9453" t="s">
        <v>10064</v>
      </c>
      <c r="B9453" t="s">
        <v>90</v>
      </c>
      <c r="C9453" t="s">
        <v>614</v>
      </c>
      <c r="D9453">
        <v>2486.56</v>
      </c>
      <c r="E9453" s="37" t="str">
        <f t="shared" si="735"/>
        <v xml:space="preserve"> </v>
      </c>
      <c r="F9453">
        <v>0.26</v>
      </c>
      <c r="G9453" s="37" t="str">
        <f t="shared" si="736"/>
        <v>Normal Discount</v>
      </c>
      <c r="H9453" s="37" t="str">
        <f t="shared" si="737"/>
        <v>Medium</v>
      </c>
      <c r="I9453">
        <v>4</v>
      </c>
      <c r="J9453" t="str" cm="1">
        <f t="array" ref="J9453">_xlfn.IFS(I9453&lt;=3,"small",I9453&lt;=6,"Medium",I9453&lt;=9,"Large")</f>
        <v>Medium</v>
      </c>
      <c r="K9453" s="36">
        <v>45168</v>
      </c>
      <c r="L9453" s="36">
        <v>45170</v>
      </c>
      <c r="M9453" t="s">
        <v>603</v>
      </c>
      <c r="N9453" t="s">
        <v>604</v>
      </c>
      <c r="O9453" s="37" t="str">
        <f t="shared" si="738"/>
        <v>Digital Payment</v>
      </c>
      <c r="P9453">
        <v>458.6</v>
      </c>
      <c r="Q9453" s="37" t="str">
        <f>IF(P9453&gt;500,"High","low")</f>
        <v>low</v>
      </c>
      <c r="R9453" s="37" t="str">
        <f t="shared" si="739"/>
        <v>AVERAGE</v>
      </c>
      <c r="S9453" t="s">
        <v>620</v>
      </c>
    </row>
    <row r="9454" spans="1:19" x14ac:dyDescent="0.2">
      <c r="A9454" t="s">
        <v>10065</v>
      </c>
      <c r="B9454" t="s">
        <v>67</v>
      </c>
      <c r="C9454" t="s">
        <v>607</v>
      </c>
      <c r="D9454">
        <v>842.82</v>
      </c>
      <c r="E9454" s="37" t="str">
        <f t="shared" si="735"/>
        <v xml:space="preserve"> </v>
      </c>
      <c r="F9454">
        <v>0.42</v>
      </c>
      <c r="G9454" s="37" t="str">
        <f t="shared" si="736"/>
        <v>Heavy Discount</v>
      </c>
      <c r="H9454" s="37" t="str">
        <f t="shared" si="737"/>
        <v>High</v>
      </c>
      <c r="I9454">
        <v>1</v>
      </c>
      <c r="J9454" t="str" cm="1">
        <f t="array" ref="J9454">_xlfn.IFS(I9454&lt;=3,"small",I9454&lt;=6,"Medium",I9454&lt;=9,"Large")</f>
        <v>small</v>
      </c>
      <c r="K9454" s="36">
        <v>44950</v>
      </c>
      <c r="L9454" s="36">
        <v>44955</v>
      </c>
      <c r="M9454" t="s">
        <v>598</v>
      </c>
      <c r="N9454" t="s">
        <v>608</v>
      </c>
      <c r="O9454" s="37" t="str">
        <f t="shared" si="738"/>
        <v>Cash Payment</v>
      </c>
      <c r="P9454">
        <v>74.22</v>
      </c>
      <c r="Q9454" s="37" t="str">
        <f>IF(P9454&gt;500,"High","low")</f>
        <v>low</v>
      </c>
      <c r="R9454" s="37" t="str">
        <f t="shared" si="739"/>
        <v>AVERAGE</v>
      </c>
      <c r="S9454" t="s">
        <v>615</v>
      </c>
    </row>
    <row r="9455" spans="1:19" x14ac:dyDescent="0.2">
      <c r="A9455" t="s">
        <v>10066</v>
      </c>
      <c r="B9455" t="s">
        <v>83</v>
      </c>
      <c r="C9455" t="s">
        <v>597</v>
      </c>
      <c r="D9455">
        <v>4748.87</v>
      </c>
      <c r="E9455" s="37" t="str">
        <f t="shared" si="735"/>
        <v xml:space="preserve"> </v>
      </c>
      <c r="F9455">
        <v>0.3</v>
      </c>
      <c r="G9455" s="37" t="str">
        <f t="shared" si="736"/>
        <v>Normal Discount</v>
      </c>
      <c r="H9455" s="37" t="str">
        <f t="shared" si="737"/>
        <v>Medium</v>
      </c>
      <c r="I9455">
        <v>6</v>
      </c>
      <c r="J9455" t="str" cm="1">
        <f t="array" ref="J9455">_xlfn.IFS(I9455&lt;=3,"small",I9455&lt;=6,"Medium",I9455&lt;=9,"Large")</f>
        <v>Medium</v>
      </c>
      <c r="K9455" s="36">
        <v>45233</v>
      </c>
      <c r="L9455" s="36">
        <v>45235</v>
      </c>
      <c r="M9455" t="s">
        <v>598</v>
      </c>
      <c r="N9455" t="s">
        <v>599</v>
      </c>
      <c r="O9455" s="37" t="str">
        <f t="shared" si="738"/>
        <v>Digital Payment</v>
      </c>
      <c r="P9455">
        <v>640.72</v>
      </c>
      <c r="Q9455" s="37" t="str">
        <f>IF(P9455&gt;500,"High","low")</f>
        <v>High</v>
      </c>
      <c r="R9455" s="37" t="str">
        <f t="shared" si="739"/>
        <v>Good</v>
      </c>
      <c r="S9455" t="s">
        <v>605</v>
      </c>
    </row>
    <row r="9456" spans="1:19" x14ac:dyDescent="0.2">
      <c r="A9456" t="s">
        <v>10067</v>
      </c>
      <c r="B9456" t="s">
        <v>67</v>
      </c>
      <c r="C9456" t="s">
        <v>602</v>
      </c>
      <c r="D9456">
        <v>1309.48</v>
      </c>
      <c r="E9456" s="37" t="str">
        <f t="shared" si="735"/>
        <v xml:space="preserve"> </v>
      </c>
      <c r="F9456">
        <v>0.3</v>
      </c>
      <c r="G9456" s="37" t="str">
        <f t="shared" si="736"/>
        <v>Normal Discount</v>
      </c>
      <c r="H9456" s="37" t="str">
        <f t="shared" si="737"/>
        <v>Medium</v>
      </c>
      <c r="I9456">
        <v>4</v>
      </c>
      <c r="J9456" t="str" cm="1">
        <f t="array" ref="J9456">_xlfn.IFS(I9456&lt;=3,"small",I9456&lt;=6,"Medium",I9456&lt;=9,"Large")</f>
        <v>Medium</v>
      </c>
      <c r="K9456" s="36">
        <v>45120</v>
      </c>
      <c r="L9456" s="36">
        <v>45126</v>
      </c>
      <c r="M9456" t="s">
        <v>598</v>
      </c>
      <c r="N9456" t="s">
        <v>604</v>
      </c>
      <c r="O9456" s="37" t="str">
        <f t="shared" si="738"/>
        <v>Digital Payment</v>
      </c>
      <c r="P9456">
        <v>174.11</v>
      </c>
      <c r="Q9456" s="37" t="str">
        <f>IF(P9456&gt;500,"High","low")</f>
        <v>low</v>
      </c>
      <c r="R9456" s="37" t="str">
        <f t="shared" si="739"/>
        <v>AVERAGE</v>
      </c>
      <c r="S9456" t="s">
        <v>615</v>
      </c>
    </row>
    <row r="9457" spans="1:19" x14ac:dyDescent="0.2">
      <c r="A9457" t="s">
        <v>10068</v>
      </c>
      <c r="B9457" t="s">
        <v>83</v>
      </c>
      <c r="C9457" t="s">
        <v>614</v>
      </c>
      <c r="D9457">
        <v>2558.0700000000002</v>
      </c>
      <c r="E9457" s="37" t="str">
        <f t="shared" si="735"/>
        <v xml:space="preserve"> </v>
      </c>
      <c r="F9457">
        <v>0.19</v>
      </c>
      <c r="G9457" s="37" t="str">
        <f t="shared" si="736"/>
        <v>Normal Discount</v>
      </c>
      <c r="H9457" s="37" t="str">
        <f t="shared" si="737"/>
        <v>Low</v>
      </c>
      <c r="I9457">
        <v>1</v>
      </c>
      <c r="J9457" t="str" cm="1">
        <f t="array" ref="J9457">_xlfn.IFS(I9457&lt;=3,"small",I9457&lt;=6,"Medium",I9457&lt;=9,"Large")</f>
        <v>small</v>
      </c>
      <c r="K9457" s="36">
        <v>45450</v>
      </c>
      <c r="L9457" s="36">
        <v>45453</v>
      </c>
      <c r="M9457" t="s">
        <v>598</v>
      </c>
      <c r="N9457" t="s">
        <v>599</v>
      </c>
      <c r="O9457" s="37" t="str">
        <f t="shared" si="738"/>
        <v>Digital Payment</v>
      </c>
      <c r="P9457">
        <v>348.08</v>
      </c>
      <c r="Q9457" s="37" t="str">
        <f>IF(P9457&gt;500,"High","low")</f>
        <v>low</v>
      </c>
      <c r="R9457" s="37" t="str">
        <f t="shared" si="739"/>
        <v>AVERAGE</v>
      </c>
      <c r="S9457" t="s">
        <v>620</v>
      </c>
    </row>
    <row r="9458" spans="1:19" x14ac:dyDescent="0.2">
      <c r="A9458" t="s">
        <v>10069</v>
      </c>
      <c r="B9458" t="s">
        <v>83</v>
      </c>
      <c r="C9458" t="s">
        <v>607</v>
      </c>
      <c r="D9458">
        <v>911.54</v>
      </c>
      <c r="E9458" s="37" t="str">
        <f t="shared" si="735"/>
        <v xml:space="preserve"> </v>
      </c>
      <c r="F9458">
        <v>0.39</v>
      </c>
      <c r="G9458" s="37" t="str">
        <f t="shared" si="736"/>
        <v>Heavy Discount</v>
      </c>
      <c r="H9458" s="37" t="str">
        <f t="shared" si="737"/>
        <v>Medium</v>
      </c>
      <c r="I9458">
        <v>3</v>
      </c>
      <c r="J9458" t="str" cm="1">
        <f t="array" ref="J9458">_xlfn.IFS(I9458&lt;=3,"small",I9458&lt;=6,"Medium",I9458&lt;=9,"Large")</f>
        <v>small</v>
      </c>
      <c r="K9458" s="36">
        <v>45543</v>
      </c>
      <c r="L9458" s="36">
        <v>45550</v>
      </c>
      <c r="M9458" t="s">
        <v>603</v>
      </c>
      <c r="N9458" t="s">
        <v>604</v>
      </c>
      <c r="O9458" s="37" t="str">
        <f t="shared" si="738"/>
        <v>Digital Payment</v>
      </c>
      <c r="P9458">
        <v>176.65</v>
      </c>
      <c r="Q9458" s="37" t="str">
        <f>IF(P9458&gt;500,"High","low")</f>
        <v>low</v>
      </c>
      <c r="R9458" s="37" t="str">
        <f t="shared" si="739"/>
        <v>AVERAGE</v>
      </c>
      <c r="S9458" t="s">
        <v>609</v>
      </c>
    </row>
    <row r="9459" spans="1:19" x14ac:dyDescent="0.2">
      <c r="A9459" t="s">
        <v>10070</v>
      </c>
      <c r="B9459" t="s">
        <v>83</v>
      </c>
      <c r="C9459" t="s">
        <v>614</v>
      </c>
      <c r="D9459">
        <v>1730.53</v>
      </c>
      <c r="E9459" s="37" t="str">
        <f t="shared" si="735"/>
        <v xml:space="preserve"> </v>
      </c>
      <c r="F9459">
        <v>0.34</v>
      </c>
      <c r="G9459" s="37" t="str">
        <f t="shared" si="736"/>
        <v>Heavy Discount</v>
      </c>
      <c r="H9459" s="37" t="str">
        <f t="shared" si="737"/>
        <v>Medium</v>
      </c>
      <c r="I9459">
        <v>1</v>
      </c>
      <c r="J9459" t="str" cm="1">
        <f t="array" ref="J9459">_xlfn.IFS(I9459&lt;=3,"small",I9459&lt;=6,"Medium",I9459&lt;=9,"Large")</f>
        <v>small</v>
      </c>
      <c r="K9459" s="36">
        <v>45334</v>
      </c>
      <c r="L9459" s="36">
        <v>45336</v>
      </c>
      <c r="M9459" t="s">
        <v>612</v>
      </c>
      <c r="N9459" t="s">
        <v>608</v>
      </c>
      <c r="O9459" s="37" t="str">
        <f t="shared" si="738"/>
        <v>Cash Payment</v>
      </c>
      <c r="P9459">
        <v>309.11</v>
      </c>
      <c r="Q9459" s="37" t="str">
        <f>IF(P9459&gt;500,"High","low")</f>
        <v>low</v>
      </c>
      <c r="R9459" s="37" t="str">
        <f t="shared" si="739"/>
        <v>AVERAGE</v>
      </c>
      <c r="S9459" t="s">
        <v>620</v>
      </c>
    </row>
    <row r="9460" spans="1:19" x14ac:dyDescent="0.2">
      <c r="A9460" t="s">
        <v>10071</v>
      </c>
      <c r="B9460" t="s">
        <v>90</v>
      </c>
      <c r="C9460" t="s">
        <v>607</v>
      </c>
      <c r="D9460">
        <v>1407.35</v>
      </c>
      <c r="E9460" s="37" t="str">
        <f t="shared" si="735"/>
        <v xml:space="preserve"> </v>
      </c>
      <c r="F9460">
        <v>0.17</v>
      </c>
      <c r="G9460" s="37" t="str">
        <f t="shared" si="736"/>
        <v>Normal Discount</v>
      </c>
      <c r="H9460" s="37" t="str">
        <f t="shared" si="737"/>
        <v>Low</v>
      </c>
      <c r="I9460">
        <v>5</v>
      </c>
      <c r="J9460" t="str" cm="1">
        <f t="array" ref="J9460">_xlfn.IFS(I9460&lt;=3,"small",I9460&lt;=6,"Medium",I9460&lt;=9,"Large")</f>
        <v>Medium</v>
      </c>
      <c r="K9460" s="36">
        <v>45559</v>
      </c>
      <c r="L9460" s="36">
        <v>45566</v>
      </c>
      <c r="M9460" t="s">
        <v>612</v>
      </c>
      <c r="N9460" t="s">
        <v>604</v>
      </c>
      <c r="O9460" s="37" t="str">
        <f t="shared" si="738"/>
        <v>Digital Payment</v>
      </c>
      <c r="P9460">
        <v>233.7</v>
      </c>
      <c r="Q9460" s="37" t="str">
        <f>IF(P9460&gt;500,"High","low")</f>
        <v>low</v>
      </c>
      <c r="R9460" s="37" t="str">
        <f t="shared" si="739"/>
        <v>AVERAGE</v>
      </c>
      <c r="S9460" t="s">
        <v>620</v>
      </c>
    </row>
    <row r="9461" spans="1:19" x14ac:dyDescent="0.2">
      <c r="A9461" t="s">
        <v>10072</v>
      </c>
      <c r="B9461" t="s">
        <v>75</v>
      </c>
      <c r="C9461" t="s">
        <v>614</v>
      </c>
      <c r="D9461">
        <v>2429.59</v>
      </c>
      <c r="E9461" s="37" t="str">
        <f t="shared" si="735"/>
        <v xml:space="preserve"> </v>
      </c>
      <c r="F9461">
        <v>0.5</v>
      </c>
      <c r="G9461" s="37" t="str">
        <f t="shared" si="736"/>
        <v>Heavy Discount</v>
      </c>
      <c r="H9461" s="37" t="str">
        <f t="shared" si="737"/>
        <v>High</v>
      </c>
      <c r="I9461">
        <v>8</v>
      </c>
      <c r="J9461" t="str" cm="1">
        <f t="array" ref="J9461">_xlfn.IFS(I9461&lt;=3,"small",I9461&lt;=6,"Medium",I9461&lt;=9,"Large")</f>
        <v>Large</v>
      </c>
      <c r="K9461" s="36">
        <v>45143</v>
      </c>
      <c r="L9461" s="36">
        <v>45147</v>
      </c>
      <c r="M9461" t="s">
        <v>612</v>
      </c>
      <c r="N9461" t="s">
        <v>599</v>
      </c>
      <c r="O9461" s="37" t="str">
        <f t="shared" si="738"/>
        <v>Digital Payment</v>
      </c>
      <c r="P9461">
        <v>438.62</v>
      </c>
      <c r="Q9461" s="37" t="str">
        <f>IF(P9461&gt;500,"High","low")</f>
        <v>low</v>
      </c>
      <c r="R9461" s="37" t="str">
        <f t="shared" si="739"/>
        <v>AVERAGE</v>
      </c>
      <c r="S9461" t="s">
        <v>600</v>
      </c>
    </row>
    <row r="9462" spans="1:19" x14ac:dyDescent="0.2">
      <c r="A9462" t="s">
        <v>10073</v>
      </c>
      <c r="B9462" t="s">
        <v>83</v>
      </c>
      <c r="C9462" t="s">
        <v>602</v>
      </c>
      <c r="D9462">
        <v>2156.9299999999998</v>
      </c>
      <c r="E9462" s="37" t="str">
        <f t="shared" si="735"/>
        <v xml:space="preserve"> </v>
      </c>
      <c r="F9462">
        <v>0.23</v>
      </c>
      <c r="G9462" s="37" t="str">
        <f t="shared" si="736"/>
        <v>Normal Discount</v>
      </c>
      <c r="H9462" s="37" t="str">
        <f t="shared" si="737"/>
        <v>Medium</v>
      </c>
      <c r="I9462">
        <v>2</v>
      </c>
      <c r="J9462" t="str" cm="1">
        <f t="array" ref="J9462">_xlfn.IFS(I9462&lt;=3,"small",I9462&lt;=6,"Medium",I9462&lt;=9,"Large")</f>
        <v>small</v>
      </c>
      <c r="K9462" s="36">
        <v>45566</v>
      </c>
      <c r="L9462" s="36">
        <v>45567</v>
      </c>
      <c r="M9462" t="s">
        <v>603</v>
      </c>
      <c r="N9462" t="s">
        <v>608</v>
      </c>
      <c r="O9462" s="37" t="str">
        <f t="shared" si="738"/>
        <v>Cash Payment</v>
      </c>
      <c r="P9462">
        <v>430.41</v>
      </c>
      <c r="Q9462" s="37" t="str">
        <f>IF(P9462&gt;500,"High","low")</f>
        <v>low</v>
      </c>
      <c r="R9462" s="37" t="str">
        <f t="shared" si="739"/>
        <v>AVERAGE</v>
      </c>
      <c r="S9462" t="s">
        <v>628</v>
      </c>
    </row>
    <row r="9463" spans="1:19" x14ac:dyDescent="0.2">
      <c r="A9463" t="s">
        <v>10074</v>
      </c>
      <c r="B9463" t="s">
        <v>90</v>
      </c>
      <c r="C9463" t="s">
        <v>602</v>
      </c>
      <c r="D9463">
        <v>1720.91</v>
      </c>
      <c r="E9463" s="37" t="str">
        <f t="shared" si="735"/>
        <v xml:space="preserve"> </v>
      </c>
      <c r="F9463">
        <v>0.16</v>
      </c>
      <c r="G9463" s="37" t="str">
        <f t="shared" si="736"/>
        <v>Normal Discount</v>
      </c>
      <c r="H9463" s="37" t="str">
        <f t="shared" si="737"/>
        <v>Low</v>
      </c>
      <c r="I9463">
        <v>6</v>
      </c>
      <c r="J9463" t="str" cm="1">
        <f t="array" ref="J9463">_xlfn.IFS(I9463&lt;=3,"small",I9463&lt;=6,"Medium",I9463&lt;=9,"Large")</f>
        <v>Medium</v>
      </c>
      <c r="K9463" s="36">
        <v>45610</v>
      </c>
      <c r="L9463" s="36">
        <v>45612</v>
      </c>
      <c r="M9463" t="s">
        <v>603</v>
      </c>
      <c r="N9463" t="s">
        <v>604</v>
      </c>
      <c r="O9463" s="37" t="str">
        <f t="shared" si="738"/>
        <v>Digital Payment</v>
      </c>
      <c r="P9463">
        <v>194.56</v>
      </c>
      <c r="Q9463" s="37" t="str">
        <f>IF(P9463&gt;500,"High","low")</f>
        <v>low</v>
      </c>
      <c r="R9463" s="37" t="str">
        <f t="shared" si="739"/>
        <v>AVERAGE</v>
      </c>
      <c r="S9463" t="s">
        <v>620</v>
      </c>
    </row>
    <row r="9464" spans="1:19" x14ac:dyDescent="0.2">
      <c r="A9464" t="s">
        <v>10075</v>
      </c>
      <c r="B9464" t="s">
        <v>83</v>
      </c>
      <c r="C9464" t="s">
        <v>614</v>
      </c>
      <c r="D9464">
        <v>618.79999999999995</v>
      </c>
      <c r="E9464" s="37" t="str">
        <f t="shared" si="735"/>
        <v xml:space="preserve"> </v>
      </c>
      <c r="F9464">
        <v>0.34</v>
      </c>
      <c r="G9464" s="37" t="str">
        <f t="shared" si="736"/>
        <v>Heavy Discount</v>
      </c>
      <c r="H9464" s="37" t="str">
        <f t="shared" si="737"/>
        <v>Medium</v>
      </c>
      <c r="I9464">
        <v>6</v>
      </c>
      <c r="J9464" t="str" cm="1">
        <f t="array" ref="J9464">_xlfn.IFS(I9464&lt;=3,"small",I9464&lt;=6,"Medium",I9464&lt;=9,"Large")</f>
        <v>Medium</v>
      </c>
      <c r="K9464" s="36">
        <v>45227</v>
      </c>
      <c r="L9464" s="36">
        <v>45230</v>
      </c>
      <c r="M9464" t="s">
        <v>598</v>
      </c>
      <c r="N9464" t="s">
        <v>608</v>
      </c>
      <c r="O9464" s="37" t="str">
        <f t="shared" si="738"/>
        <v>Cash Payment</v>
      </c>
      <c r="P9464">
        <v>157.07</v>
      </c>
      <c r="Q9464" s="37" t="str">
        <f>IF(P9464&gt;500,"High","low")</f>
        <v>low</v>
      </c>
      <c r="R9464" s="37" t="str">
        <f t="shared" si="739"/>
        <v>AVERAGE</v>
      </c>
      <c r="S9464" t="s">
        <v>615</v>
      </c>
    </row>
    <row r="9465" spans="1:19" x14ac:dyDescent="0.2">
      <c r="A9465" t="s">
        <v>10076</v>
      </c>
      <c r="B9465" t="s">
        <v>75</v>
      </c>
      <c r="C9465" t="s">
        <v>614</v>
      </c>
      <c r="D9465">
        <v>2473.9899999999998</v>
      </c>
      <c r="E9465" s="37" t="str">
        <f t="shared" si="735"/>
        <v xml:space="preserve"> </v>
      </c>
      <c r="F9465">
        <v>0.11</v>
      </c>
      <c r="G9465" s="37" t="str">
        <f t="shared" si="736"/>
        <v>Normal Discount</v>
      </c>
      <c r="H9465" s="37" t="str">
        <f t="shared" si="737"/>
        <v>Low</v>
      </c>
      <c r="I9465">
        <v>5</v>
      </c>
      <c r="J9465" t="str" cm="1">
        <f t="array" ref="J9465">_xlfn.IFS(I9465&lt;=3,"small",I9465&lt;=6,"Medium",I9465&lt;=9,"Large")</f>
        <v>Medium</v>
      </c>
      <c r="K9465" s="36">
        <v>45111</v>
      </c>
      <c r="L9465" s="36">
        <v>45115</v>
      </c>
      <c r="M9465" t="s">
        <v>612</v>
      </c>
      <c r="N9465" t="s">
        <v>599</v>
      </c>
      <c r="O9465" s="37" t="str">
        <f t="shared" si="738"/>
        <v>Digital Payment</v>
      </c>
      <c r="P9465">
        <v>465.3</v>
      </c>
      <c r="Q9465" s="37" t="str">
        <f>IF(P9465&gt;500,"High","low")</f>
        <v>low</v>
      </c>
      <c r="R9465" s="37" t="str">
        <f t="shared" si="739"/>
        <v>AVERAGE</v>
      </c>
      <c r="S9465" t="s">
        <v>615</v>
      </c>
    </row>
    <row r="9466" spans="1:19" x14ac:dyDescent="0.2">
      <c r="A9466" t="s">
        <v>10077</v>
      </c>
      <c r="B9466" t="s">
        <v>83</v>
      </c>
      <c r="C9466" t="s">
        <v>617</v>
      </c>
      <c r="D9466">
        <v>4266.0200000000004</v>
      </c>
      <c r="E9466" s="37" t="str">
        <f t="shared" si="735"/>
        <v xml:space="preserve"> </v>
      </c>
      <c r="F9466">
        <v>0.42</v>
      </c>
      <c r="G9466" s="37" t="str">
        <f t="shared" si="736"/>
        <v>Heavy Discount</v>
      </c>
      <c r="H9466" s="37" t="str">
        <f t="shared" si="737"/>
        <v>High</v>
      </c>
      <c r="I9466">
        <v>7</v>
      </c>
      <c r="J9466" t="str" cm="1">
        <f t="array" ref="J9466">_xlfn.IFS(I9466&lt;=3,"small",I9466&lt;=6,"Medium",I9466&lt;=9,"Large")</f>
        <v>Large</v>
      </c>
      <c r="K9466" s="36">
        <v>44971</v>
      </c>
      <c r="L9466" s="36">
        <v>44978</v>
      </c>
      <c r="M9466" t="s">
        <v>603</v>
      </c>
      <c r="N9466" t="s">
        <v>599</v>
      </c>
      <c r="O9466" s="37" t="str">
        <f t="shared" si="738"/>
        <v>Digital Payment</v>
      </c>
      <c r="P9466">
        <v>494.45</v>
      </c>
      <c r="Q9466" s="37" t="str">
        <f>IF(P9466&gt;500,"High","low")</f>
        <v>low</v>
      </c>
      <c r="R9466" s="37" t="str">
        <f t="shared" si="739"/>
        <v>AVERAGE</v>
      </c>
      <c r="S9466" t="s">
        <v>609</v>
      </c>
    </row>
    <row r="9467" spans="1:19" x14ac:dyDescent="0.2">
      <c r="A9467" t="s">
        <v>10078</v>
      </c>
      <c r="B9467" t="s">
        <v>90</v>
      </c>
      <c r="C9467" t="s">
        <v>614</v>
      </c>
      <c r="D9467">
        <v>3678.09</v>
      </c>
      <c r="E9467" s="37" t="str">
        <f t="shared" si="735"/>
        <v xml:space="preserve"> </v>
      </c>
      <c r="F9467">
        <v>0.34</v>
      </c>
      <c r="G9467" s="37" t="str">
        <f t="shared" si="736"/>
        <v>Heavy Discount</v>
      </c>
      <c r="H9467" s="37" t="str">
        <f t="shared" si="737"/>
        <v>Medium</v>
      </c>
      <c r="I9467">
        <v>1</v>
      </c>
      <c r="J9467" t="str" cm="1">
        <f t="array" ref="J9467">_xlfn.IFS(I9467&lt;=3,"small",I9467&lt;=6,"Medium",I9467&lt;=9,"Large")</f>
        <v>small</v>
      </c>
      <c r="K9467" s="36">
        <v>45560</v>
      </c>
      <c r="L9467" s="36">
        <v>45566</v>
      </c>
      <c r="M9467" t="s">
        <v>598</v>
      </c>
      <c r="N9467" t="s">
        <v>599</v>
      </c>
      <c r="O9467" s="37" t="str">
        <f t="shared" si="738"/>
        <v>Digital Payment</v>
      </c>
      <c r="P9467">
        <v>341.82</v>
      </c>
      <c r="Q9467" s="37" t="str">
        <f>IF(P9467&gt;500,"High","low")</f>
        <v>low</v>
      </c>
      <c r="R9467" s="37" t="str">
        <f t="shared" si="739"/>
        <v>AVERAGE</v>
      </c>
      <c r="S9467" t="s">
        <v>615</v>
      </c>
    </row>
    <row r="9468" spans="1:19" x14ac:dyDescent="0.2">
      <c r="A9468" t="s">
        <v>10079</v>
      </c>
      <c r="B9468" t="s">
        <v>75</v>
      </c>
      <c r="C9468" t="s">
        <v>614</v>
      </c>
      <c r="D9468">
        <v>3630.82</v>
      </c>
      <c r="E9468" s="37" t="str">
        <f t="shared" si="735"/>
        <v xml:space="preserve"> </v>
      </c>
      <c r="F9468">
        <v>0.44</v>
      </c>
      <c r="G9468" s="37" t="str">
        <f t="shared" si="736"/>
        <v>Heavy Discount</v>
      </c>
      <c r="H9468" s="37" t="str">
        <f t="shared" si="737"/>
        <v>High</v>
      </c>
      <c r="I9468">
        <v>4</v>
      </c>
      <c r="J9468" t="str" cm="1">
        <f t="array" ref="J9468">_xlfn.IFS(I9468&lt;=3,"small",I9468&lt;=6,"Medium",I9468&lt;=9,"Large")</f>
        <v>Medium</v>
      </c>
      <c r="K9468" s="36">
        <v>45200</v>
      </c>
      <c r="L9468" s="36">
        <v>45203</v>
      </c>
      <c r="M9468" t="s">
        <v>598</v>
      </c>
      <c r="N9468" t="s">
        <v>608</v>
      </c>
      <c r="O9468" s="37" t="str">
        <f t="shared" si="738"/>
        <v>Cash Payment</v>
      </c>
      <c r="P9468">
        <v>876.61</v>
      </c>
      <c r="Q9468" s="37" t="str">
        <f>IF(P9468&gt;500,"High","low")</f>
        <v>High</v>
      </c>
      <c r="R9468" s="37" t="str">
        <f t="shared" si="739"/>
        <v>Good</v>
      </c>
      <c r="S9468" t="s">
        <v>600</v>
      </c>
    </row>
    <row r="9469" spans="1:19" x14ac:dyDescent="0.2">
      <c r="A9469" t="s">
        <v>10080</v>
      </c>
      <c r="B9469" t="s">
        <v>90</v>
      </c>
      <c r="C9469" t="s">
        <v>602</v>
      </c>
      <c r="D9469">
        <v>1893.85</v>
      </c>
      <c r="E9469" s="37" t="str">
        <f t="shared" si="735"/>
        <v xml:space="preserve"> </v>
      </c>
      <c r="F9469">
        <v>0.16</v>
      </c>
      <c r="G9469" s="37" t="str">
        <f t="shared" si="736"/>
        <v>Normal Discount</v>
      </c>
      <c r="H9469" s="37" t="str">
        <f t="shared" si="737"/>
        <v>Low</v>
      </c>
      <c r="I9469">
        <v>6</v>
      </c>
      <c r="J9469" t="str" cm="1">
        <f t="array" ref="J9469">_xlfn.IFS(I9469&lt;=3,"small",I9469&lt;=6,"Medium",I9469&lt;=9,"Large")</f>
        <v>Medium</v>
      </c>
      <c r="K9469" s="36">
        <v>45489</v>
      </c>
      <c r="L9469" s="36">
        <v>45494</v>
      </c>
      <c r="M9469" t="s">
        <v>598</v>
      </c>
      <c r="N9469" t="s">
        <v>608</v>
      </c>
      <c r="O9469" s="37" t="str">
        <f t="shared" si="738"/>
        <v>Cash Payment</v>
      </c>
      <c r="P9469">
        <v>343.71</v>
      </c>
      <c r="Q9469" s="37" t="str">
        <f>IF(P9469&gt;500,"High","low")</f>
        <v>low</v>
      </c>
      <c r="R9469" s="37" t="str">
        <f t="shared" si="739"/>
        <v>AVERAGE</v>
      </c>
      <c r="S9469" t="s">
        <v>620</v>
      </c>
    </row>
    <row r="9470" spans="1:19" x14ac:dyDescent="0.2">
      <c r="A9470" t="s">
        <v>10081</v>
      </c>
      <c r="B9470" t="s">
        <v>75</v>
      </c>
      <c r="C9470" t="s">
        <v>614</v>
      </c>
      <c r="D9470">
        <v>3571.25</v>
      </c>
      <c r="E9470" s="37" t="str">
        <f t="shared" si="735"/>
        <v xml:space="preserve"> </v>
      </c>
      <c r="F9470">
        <v>0.43</v>
      </c>
      <c r="G9470" s="37" t="str">
        <f t="shared" si="736"/>
        <v>Heavy Discount</v>
      </c>
      <c r="H9470" s="37" t="str">
        <f t="shared" si="737"/>
        <v>High</v>
      </c>
      <c r="I9470">
        <v>4</v>
      </c>
      <c r="J9470" t="str" cm="1">
        <f t="array" ref="J9470">_xlfn.IFS(I9470&lt;=3,"small",I9470&lt;=6,"Medium",I9470&lt;=9,"Large")</f>
        <v>Medium</v>
      </c>
      <c r="K9470" s="36">
        <v>45330</v>
      </c>
      <c r="L9470" s="36">
        <v>45331</v>
      </c>
      <c r="M9470" t="s">
        <v>598</v>
      </c>
      <c r="N9470" t="s">
        <v>604</v>
      </c>
      <c r="O9470" s="37" t="str">
        <f t="shared" si="738"/>
        <v>Digital Payment</v>
      </c>
      <c r="P9470">
        <v>343.63</v>
      </c>
      <c r="Q9470" s="37" t="str">
        <f>IF(P9470&gt;500,"High","low")</f>
        <v>low</v>
      </c>
      <c r="R9470" s="37" t="str">
        <f t="shared" si="739"/>
        <v>AVERAGE</v>
      </c>
      <c r="S9470" t="s">
        <v>609</v>
      </c>
    </row>
    <row r="9471" spans="1:19" x14ac:dyDescent="0.2">
      <c r="A9471" t="s">
        <v>10082</v>
      </c>
      <c r="B9471" t="s">
        <v>75</v>
      </c>
      <c r="C9471" t="s">
        <v>597</v>
      </c>
      <c r="D9471">
        <v>2381.1</v>
      </c>
      <c r="E9471" s="37" t="str">
        <f t="shared" si="735"/>
        <v xml:space="preserve"> </v>
      </c>
      <c r="F9471">
        <v>0.25</v>
      </c>
      <c r="G9471" s="37" t="str">
        <f t="shared" si="736"/>
        <v>Normal Discount</v>
      </c>
      <c r="H9471" s="37" t="str">
        <f t="shared" si="737"/>
        <v>Medium</v>
      </c>
      <c r="I9471">
        <v>6</v>
      </c>
      <c r="J9471" t="str" cm="1">
        <f t="array" ref="J9471">_xlfn.IFS(I9471&lt;=3,"small",I9471&lt;=6,"Medium",I9471&lt;=9,"Large")</f>
        <v>Medium</v>
      </c>
      <c r="K9471" s="36">
        <v>45023</v>
      </c>
      <c r="L9471" s="36">
        <v>45027</v>
      </c>
      <c r="M9471" t="s">
        <v>598</v>
      </c>
      <c r="N9471" t="s">
        <v>599</v>
      </c>
      <c r="O9471" s="37" t="str">
        <f t="shared" si="738"/>
        <v>Digital Payment</v>
      </c>
      <c r="P9471">
        <v>618.12</v>
      </c>
      <c r="Q9471" s="37" t="str">
        <f>IF(P9471&gt;500,"High","low")</f>
        <v>High</v>
      </c>
      <c r="R9471" s="37" t="str">
        <f t="shared" si="739"/>
        <v>Good</v>
      </c>
      <c r="S9471" t="s">
        <v>600</v>
      </c>
    </row>
    <row r="9472" spans="1:19" x14ac:dyDescent="0.2">
      <c r="A9472" t="s">
        <v>10083</v>
      </c>
      <c r="B9472" t="s">
        <v>67</v>
      </c>
      <c r="C9472" t="s">
        <v>614</v>
      </c>
      <c r="D9472">
        <v>836.35</v>
      </c>
      <c r="E9472" s="37" t="str">
        <f t="shared" si="735"/>
        <v xml:space="preserve"> </v>
      </c>
      <c r="F9472">
        <v>0.03</v>
      </c>
      <c r="G9472" s="37" t="str">
        <f t="shared" si="736"/>
        <v>Normal Discount</v>
      </c>
      <c r="H9472" s="37" t="str">
        <f t="shared" si="737"/>
        <v>Low</v>
      </c>
      <c r="I9472">
        <v>2</v>
      </c>
      <c r="J9472" t="str" cm="1">
        <f t="array" ref="J9472">_xlfn.IFS(I9472&lt;=3,"small",I9472&lt;=6,"Medium",I9472&lt;=9,"Large")</f>
        <v>small</v>
      </c>
      <c r="K9472" s="36">
        <v>45268</v>
      </c>
      <c r="L9472" s="36">
        <v>45269</v>
      </c>
      <c r="M9472" t="s">
        <v>598</v>
      </c>
      <c r="N9472" t="s">
        <v>608</v>
      </c>
      <c r="O9472" s="37" t="str">
        <f t="shared" si="738"/>
        <v>Cash Payment</v>
      </c>
      <c r="P9472">
        <v>188.36</v>
      </c>
      <c r="Q9472" s="37" t="str">
        <f>IF(P9472&gt;500,"High","low")</f>
        <v>low</v>
      </c>
      <c r="R9472" s="37" t="str">
        <f t="shared" si="739"/>
        <v>AVERAGE</v>
      </c>
      <c r="S9472" t="s">
        <v>628</v>
      </c>
    </row>
    <row r="9473" spans="1:19" x14ac:dyDescent="0.2">
      <c r="A9473" t="s">
        <v>10084</v>
      </c>
      <c r="B9473" t="s">
        <v>67</v>
      </c>
      <c r="C9473" t="s">
        <v>617</v>
      </c>
      <c r="D9473">
        <v>2153.34</v>
      </c>
      <c r="E9473" s="37" t="str">
        <f t="shared" si="735"/>
        <v xml:space="preserve"> </v>
      </c>
      <c r="F9473">
        <v>0.1</v>
      </c>
      <c r="G9473" s="37" t="str">
        <f t="shared" si="736"/>
        <v>Normal Discount</v>
      </c>
      <c r="H9473" s="37" t="str">
        <f t="shared" si="737"/>
        <v>Low</v>
      </c>
      <c r="I9473">
        <v>9</v>
      </c>
      <c r="J9473" t="str" cm="1">
        <f t="array" ref="J9473">_xlfn.IFS(I9473&lt;=3,"small",I9473&lt;=6,"Medium",I9473&lt;=9,"Large")</f>
        <v>Large</v>
      </c>
      <c r="K9473" s="36">
        <v>45002</v>
      </c>
      <c r="L9473" s="36">
        <v>45004</v>
      </c>
      <c r="M9473" t="s">
        <v>603</v>
      </c>
      <c r="N9473" t="s">
        <v>608</v>
      </c>
      <c r="O9473" s="37" t="str">
        <f t="shared" si="738"/>
        <v>Cash Payment</v>
      </c>
      <c r="P9473">
        <v>283.85000000000002</v>
      </c>
      <c r="Q9473" s="37" t="str">
        <f>IF(P9473&gt;500,"High","low")</f>
        <v>low</v>
      </c>
      <c r="R9473" s="37" t="str">
        <f t="shared" si="739"/>
        <v>AVERAGE</v>
      </c>
      <c r="S9473" t="s">
        <v>620</v>
      </c>
    </row>
    <row r="9474" spans="1:19" x14ac:dyDescent="0.2">
      <c r="A9474" t="s">
        <v>10085</v>
      </c>
      <c r="B9474" t="s">
        <v>67</v>
      </c>
      <c r="C9474" t="s">
        <v>607</v>
      </c>
      <c r="D9474">
        <v>750.42</v>
      </c>
      <c r="E9474" s="37" t="str">
        <f t="shared" si="735"/>
        <v xml:space="preserve"> </v>
      </c>
      <c r="F9474">
        <v>0.11</v>
      </c>
      <c r="G9474" s="37" t="str">
        <f t="shared" si="736"/>
        <v>Normal Discount</v>
      </c>
      <c r="H9474" s="37" t="str">
        <f t="shared" si="737"/>
        <v>Low</v>
      </c>
      <c r="I9474">
        <v>4</v>
      </c>
      <c r="J9474" t="str" cm="1">
        <f t="array" ref="J9474">_xlfn.IFS(I9474&lt;=3,"small",I9474&lt;=6,"Medium",I9474&lt;=9,"Large")</f>
        <v>Medium</v>
      </c>
      <c r="K9474" s="36">
        <v>45117</v>
      </c>
      <c r="L9474" s="36">
        <v>45124</v>
      </c>
      <c r="M9474" t="s">
        <v>598</v>
      </c>
      <c r="N9474" t="s">
        <v>608</v>
      </c>
      <c r="O9474" s="37" t="str">
        <f t="shared" si="738"/>
        <v>Cash Payment</v>
      </c>
      <c r="P9474">
        <v>89.61</v>
      </c>
      <c r="Q9474" s="37" t="str">
        <f>IF(P9474&gt;500,"High","low")</f>
        <v>low</v>
      </c>
      <c r="R9474" s="37" t="str">
        <f t="shared" si="739"/>
        <v>AVERAGE</v>
      </c>
      <c r="S9474" t="s">
        <v>605</v>
      </c>
    </row>
    <row r="9475" spans="1:19" x14ac:dyDescent="0.2">
      <c r="A9475" t="s">
        <v>10086</v>
      </c>
      <c r="B9475" t="s">
        <v>75</v>
      </c>
      <c r="C9475" t="s">
        <v>602</v>
      </c>
      <c r="D9475">
        <v>660.97</v>
      </c>
      <c r="E9475" s="37" t="str">
        <f t="shared" ref="E9475:E9538" si="740">IF(AND(D9475&gt;4000,P9475&gt;800),"Excellent Order"," ")</f>
        <v xml:space="preserve"> </v>
      </c>
      <c r="F9475">
        <v>0.38</v>
      </c>
      <c r="G9475" s="37" t="str">
        <f t="shared" ref="G9475:G9538" si="741">IF(F9475&gt;30%,"Heavy Discount","Normal Discount")</f>
        <v>Heavy Discount</v>
      </c>
      <c r="H9475" s="37" t="str">
        <f t="shared" ref="H9475:H9538" si="742">IF(F9475&gt;0.4,"High",IF(F9475&gt;=0.2,"Medium","Low"))</f>
        <v>Medium</v>
      </c>
      <c r="I9475">
        <v>5</v>
      </c>
      <c r="J9475" t="str" cm="1">
        <f t="array" ref="J9475">_xlfn.IFS(I9475&lt;=3,"small",I9475&lt;=6,"Medium",I9475&lt;=9,"Large")</f>
        <v>Medium</v>
      </c>
      <c r="K9475" s="36">
        <v>45088</v>
      </c>
      <c r="L9475" s="36">
        <v>45089</v>
      </c>
      <c r="M9475" t="s">
        <v>603</v>
      </c>
      <c r="N9475" t="s">
        <v>604</v>
      </c>
      <c r="O9475" s="37" t="str">
        <f t="shared" ref="O9475:O9538" si="743">IF(OR(N9475="Card",N9475="UPI"),"Digital Payment","Cash Payment")</f>
        <v>Digital Payment</v>
      </c>
      <c r="P9475">
        <v>69.45</v>
      </c>
      <c r="Q9475" s="37" t="str">
        <f>IF(P9475&gt;500,"High","low")</f>
        <v>low</v>
      </c>
      <c r="R9475" s="37" t="str">
        <f t="shared" ref="R9475:R9538" si="744">IF(P9475&gt;1000,"Excellent",IF(P9475&gt;=500,"Good","AVERAGE"))</f>
        <v>AVERAGE</v>
      </c>
      <c r="S9475" t="s">
        <v>609</v>
      </c>
    </row>
    <row r="9476" spans="1:19" x14ac:dyDescent="0.2">
      <c r="A9476" t="s">
        <v>10087</v>
      </c>
      <c r="B9476" t="s">
        <v>83</v>
      </c>
      <c r="C9476" t="s">
        <v>597</v>
      </c>
      <c r="D9476">
        <v>212.99</v>
      </c>
      <c r="E9476" s="37" t="str">
        <f t="shared" si="740"/>
        <v xml:space="preserve"> </v>
      </c>
      <c r="F9476">
        <v>0.1</v>
      </c>
      <c r="G9476" s="37" t="str">
        <f t="shared" si="741"/>
        <v>Normal Discount</v>
      </c>
      <c r="H9476" s="37" t="str">
        <f t="shared" si="742"/>
        <v>Low</v>
      </c>
      <c r="I9476">
        <v>7</v>
      </c>
      <c r="J9476" t="str" cm="1">
        <f t="array" ref="J9476">_xlfn.IFS(I9476&lt;=3,"small",I9476&lt;=6,"Medium",I9476&lt;=9,"Large")</f>
        <v>Large</v>
      </c>
      <c r="K9476" s="36">
        <v>45506</v>
      </c>
      <c r="L9476" s="36">
        <v>45508</v>
      </c>
      <c r="M9476" t="s">
        <v>603</v>
      </c>
      <c r="N9476" t="s">
        <v>604</v>
      </c>
      <c r="O9476" s="37" t="str">
        <f t="shared" si="743"/>
        <v>Digital Payment</v>
      </c>
      <c r="P9476">
        <v>14.45</v>
      </c>
      <c r="Q9476" s="37" t="str">
        <f>IF(P9476&gt;500,"High","low")</f>
        <v>low</v>
      </c>
      <c r="R9476" s="37" t="str">
        <f t="shared" si="744"/>
        <v>AVERAGE</v>
      </c>
      <c r="S9476" t="s">
        <v>609</v>
      </c>
    </row>
    <row r="9477" spans="1:19" x14ac:dyDescent="0.2">
      <c r="A9477" t="s">
        <v>10088</v>
      </c>
      <c r="B9477" t="s">
        <v>90</v>
      </c>
      <c r="C9477" t="s">
        <v>607</v>
      </c>
      <c r="D9477">
        <v>1485.99</v>
      </c>
      <c r="E9477" s="37" t="str">
        <f t="shared" si="740"/>
        <v xml:space="preserve"> </v>
      </c>
      <c r="F9477">
        <v>0.28000000000000003</v>
      </c>
      <c r="G9477" s="37" t="str">
        <f t="shared" si="741"/>
        <v>Normal Discount</v>
      </c>
      <c r="H9477" s="37" t="str">
        <f t="shared" si="742"/>
        <v>Medium</v>
      </c>
      <c r="I9477">
        <v>8</v>
      </c>
      <c r="J9477" t="str" cm="1">
        <f t="array" ref="J9477">_xlfn.IFS(I9477&lt;=3,"small",I9477&lt;=6,"Medium",I9477&lt;=9,"Large")</f>
        <v>Large</v>
      </c>
      <c r="K9477" s="36">
        <v>45298</v>
      </c>
      <c r="L9477" s="36">
        <v>45304</v>
      </c>
      <c r="M9477" t="s">
        <v>612</v>
      </c>
      <c r="N9477" t="s">
        <v>599</v>
      </c>
      <c r="O9477" s="37" t="str">
        <f t="shared" si="743"/>
        <v>Digital Payment</v>
      </c>
      <c r="P9477">
        <v>425.1</v>
      </c>
      <c r="Q9477" s="37" t="str">
        <f>IF(P9477&gt;500,"High","low")</f>
        <v>low</v>
      </c>
      <c r="R9477" s="37" t="str">
        <f t="shared" si="744"/>
        <v>AVERAGE</v>
      </c>
      <c r="S9477" t="s">
        <v>620</v>
      </c>
    </row>
    <row r="9478" spans="1:19" x14ac:dyDescent="0.2">
      <c r="A9478" t="s">
        <v>10089</v>
      </c>
      <c r="B9478" t="s">
        <v>90</v>
      </c>
      <c r="C9478" t="s">
        <v>597</v>
      </c>
      <c r="D9478">
        <v>1721.29</v>
      </c>
      <c r="E9478" s="37" t="str">
        <f t="shared" si="740"/>
        <v xml:space="preserve"> </v>
      </c>
      <c r="F9478">
        <v>0.33</v>
      </c>
      <c r="G9478" s="37" t="str">
        <f t="shared" si="741"/>
        <v>Heavy Discount</v>
      </c>
      <c r="H9478" s="37" t="str">
        <f t="shared" si="742"/>
        <v>Medium</v>
      </c>
      <c r="I9478">
        <v>1</v>
      </c>
      <c r="J9478" t="str" cm="1">
        <f t="array" ref="J9478">_xlfn.IFS(I9478&lt;=3,"small",I9478&lt;=6,"Medium",I9478&lt;=9,"Large")</f>
        <v>small</v>
      </c>
      <c r="K9478" s="36">
        <v>45428</v>
      </c>
      <c r="L9478" s="36">
        <v>45432</v>
      </c>
      <c r="M9478" t="s">
        <v>612</v>
      </c>
      <c r="N9478" t="s">
        <v>599</v>
      </c>
      <c r="O9478" s="37" t="str">
        <f t="shared" si="743"/>
        <v>Digital Payment</v>
      </c>
      <c r="P9478">
        <v>497.97</v>
      </c>
      <c r="Q9478" s="37" t="str">
        <f>IF(P9478&gt;500,"High","low")</f>
        <v>low</v>
      </c>
      <c r="R9478" s="37" t="str">
        <f t="shared" si="744"/>
        <v>AVERAGE</v>
      </c>
      <c r="S9478" t="s">
        <v>615</v>
      </c>
    </row>
    <row r="9479" spans="1:19" x14ac:dyDescent="0.2">
      <c r="A9479" t="s">
        <v>10090</v>
      </c>
      <c r="B9479" t="s">
        <v>90</v>
      </c>
      <c r="C9479" t="s">
        <v>602</v>
      </c>
      <c r="D9479">
        <v>3527.27</v>
      </c>
      <c r="E9479" s="37" t="str">
        <f t="shared" si="740"/>
        <v xml:space="preserve"> </v>
      </c>
      <c r="F9479">
        <v>0.39</v>
      </c>
      <c r="G9479" s="37" t="str">
        <f t="shared" si="741"/>
        <v>Heavy Discount</v>
      </c>
      <c r="H9479" s="37" t="str">
        <f t="shared" si="742"/>
        <v>Medium</v>
      </c>
      <c r="I9479">
        <v>7</v>
      </c>
      <c r="J9479" t="str" cm="1">
        <f t="array" ref="J9479">_xlfn.IFS(I9479&lt;=3,"small",I9479&lt;=6,"Medium",I9479&lt;=9,"Large")</f>
        <v>Large</v>
      </c>
      <c r="K9479" s="36">
        <v>45256</v>
      </c>
      <c r="L9479" s="36">
        <v>45259</v>
      </c>
      <c r="M9479" t="s">
        <v>598</v>
      </c>
      <c r="N9479" t="s">
        <v>608</v>
      </c>
      <c r="O9479" s="37" t="str">
        <f t="shared" si="743"/>
        <v>Cash Payment</v>
      </c>
      <c r="P9479">
        <v>533.04999999999995</v>
      </c>
      <c r="Q9479" s="37" t="str">
        <f>IF(P9479&gt;500,"High","low")</f>
        <v>High</v>
      </c>
      <c r="R9479" s="37" t="str">
        <f t="shared" si="744"/>
        <v>Good</v>
      </c>
      <c r="S9479" t="s">
        <v>620</v>
      </c>
    </row>
    <row r="9480" spans="1:19" x14ac:dyDescent="0.2">
      <c r="A9480" t="s">
        <v>10091</v>
      </c>
      <c r="B9480" t="s">
        <v>67</v>
      </c>
      <c r="C9480" t="s">
        <v>617</v>
      </c>
      <c r="D9480">
        <v>2736.22</v>
      </c>
      <c r="E9480" s="37" t="str">
        <f t="shared" si="740"/>
        <v xml:space="preserve"> </v>
      </c>
      <c r="F9480">
        <v>0.39</v>
      </c>
      <c r="G9480" s="37" t="str">
        <f t="shared" si="741"/>
        <v>Heavy Discount</v>
      </c>
      <c r="H9480" s="37" t="str">
        <f t="shared" si="742"/>
        <v>Medium</v>
      </c>
      <c r="I9480">
        <v>9</v>
      </c>
      <c r="J9480" t="str" cm="1">
        <f t="array" ref="J9480">_xlfn.IFS(I9480&lt;=3,"small",I9480&lt;=6,"Medium",I9480&lt;=9,"Large")</f>
        <v>Large</v>
      </c>
      <c r="K9480" s="36">
        <v>45559</v>
      </c>
      <c r="L9480" s="36">
        <v>45566</v>
      </c>
      <c r="M9480" t="s">
        <v>598</v>
      </c>
      <c r="N9480" t="s">
        <v>599</v>
      </c>
      <c r="O9480" s="37" t="str">
        <f t="shared" si="743"/>
        <v>Digital Payment</v>
      </c>
      <c r="P9480">
        <v>200.68</v>
      </c>
      <c r="Q9480" s="37" t="str">
        <f>IF(P9480&gt;500,"High","low")</f>
        <v>low</v>
      </c>
      <c r="R9480" s="37" t="str">
        <f t="shared" si="744"/>
        <v>AVERAGE</v>
      </c>
      <c r="S9480" t="s">
        <v>609</v>
      </c>
    </row>
    <row r="9481" spans="1:19" x14ac:dyDescent="0.2">
      <c r="A9481" t="s">
        <v>10092</v>
      </c>
      <c r="B9481" t="s">
        <v>75</v>
      </c>
      <c r="C9481" t="s">
        <v>602</v>
      </c>
      <c r="D9481">
        <v>4306.3999999999996</v>
      </c>
      <c r="E9481" s="37" t="str">
        <f t="shared" si="740"/>
        <v xml:space="preserve"> </v>
      </c>
      <c r="F9481">
        <v>0.36</v>
      </c>
      <c r="G9481" s="37" t="str">
        <f t="shared" si="741"/>
        <v>Heavy Discount</v>
      </c>
      <c r="H9481" s="37" t="str">
        <f t="shared" si="742"/>
        <v>Medium</v>
      </c>
      <c r="I9481">
        <v>2</v>
      </c>
      <c r="J9481" t="str" cm="1">
        <f t="array" ref="J9481">_xlfn.IFS(I9481&lt;=3,"small",I9481&lt;=6,"Medium",I9481&lt;=9,"Large")</f>
        <v>small</v>
      </c>
      <c r="K9481" s="36">
        <v>45079</v>
      </c>
      <c r="L9481" s="36">
        <v>45083</v>
      </c>
      <c r="M9481" t="s">
        <v>612</v>
      </c>
      <c r="N9481" t="s">
        <v>608</v>
      </c>
      <c r="O9481" s="37" t="str">
        <f t="shared" si="743"/>
        <v>Cash Payment</v>
      </c>
      <c r="P9481">
        <v>582.27</v>
      </c>
      <c r="Q9481" s="37" t="str">
        <f>IF(P9481&gt;500,"High","low")</f>
        <v>High</v>
      </c>
      <c r="R9481" s="37" t="str">
        <f t="shared" si="744"/>
        <v>Good</v>
      </c>
      <c r="S9481" t="s">
        <v>605</v>
      </c>
    </row>
    <row r="9482" spans="1:19" x14ac:dyDescent="0.2">
      <c r="A9482" t="s">
        <v>10093</v>
      </c>
      <c r="B9482" t="s">
        <v>67</v>
      </c>
      <c r="C9482" t="s">
        <v>597</v>
      </c>
      <c r="D9482">
        <v>964.71</v>
      </c>
      <c r="E9482" s="37" t="str">
        <f t="shared" si="740"/>
        <v xml:space="preserve"> </v>
      </c>
      <c r="F9482">
        <v>0.11</v>
      </c>
      <c r="G9482" s="37" t="str">
        <f t="shared" si="741"/>
        <v>Normal Discount</v>
      </c>
      <c r="H9482" s="37" t="str">
        <f t="shared" si="742"/>
        <v>Low</v>
      </c>
      <c r="I9482">
        <v>2</v>
      </c>
      <c r="J9482" t="str" cm="1">
        <f t="array" ref="J9482">_xlfn.IFS(I9482&lt;=3,"small",I9482&lt;=6,"Medium",I9482&lt;=9,"Large")</f>
        <v>small</v>
      </c>
      <c r="K9482" s="36">
        <v>45116</v>
      </c>
      <c r="L9482" s="36">
        <v>45119</v>
      </c>
      <c r="M9482" t="s">
        <v>598</v>
      </c>
      <c r="N9482" t="s">
        <v>608</v>
      </c>
      <c r="O9482" s="37" t="str">
        <f t="shared" si="743"/>
        <v>Cash Payment</v>
      </c>
      <c r="P9482">
        <v>135.06</v>
      </c>
      <c r="Q9482" s="37" t="str">
        <f>IF(P9482&gt;500,"High","low")</f>
        <v>low</v>
      </c>
      <c r="R9482" s="37" t="str">
        <f t="shared" si="744"/>
        <v>AVERAGE</v>
      </c>
      <c r="S9482" t="s">
        <v>609</v>
      </c>
    </row>
    <row r="9483" spans="1:19" x14ac:dyDescent="0.2">
      <c r="A9483" t="s">
        <v>10094</v>
      </c>
      <c r="B9483" t="s">
        <v>83</v>
      </c>
      <c r="C9483" t="s">
        <v>597</v>
      </c>
      <c r="D9483">
        <v>1403.19</v>
      </c>
      <c r="E9483" s="37" t="str">
        <f t="shared" si="740"/>
        <v xml:space="preserve"> </v>
      </c>
      <c r="F9483">
        <v>0.27</v>
      </c>
      <c r="G9483" s="37" t="str">
        <f t="shared" si="741"/>
        <v>Normal Discount</v>
      </c>
      <c r="H9483" s="37" t="str">
        <f t="shared" si="742"/>
        <v>Medium</v>
      </c>
      <c r="I9483">
        <v>4</v>
      </c>
      <c r="J9483" t="str" cm="1">
        <f t="array" ref="J9483">_xlfn.IFS(I9483&lt;=3,"small",I9483&lt;=6,"Medium",I9483&lt;=9,"Large")</f>
        <v>Medium</v>
      </c>
      <c r="K9483" s="36">
        <v>45311</v>
      </c>
      <c r="L9483" s="36">
        <v>45317</v>
      </c>
      <c r="M9483" t="s">
        <v>603</v>
      </c>
      <c r="N9483" t="s">
        <v>608</v>
      </c>
      <c r="O9483" s="37" t="str">
        <f t="shared" si="743"/>
        <v>Cash Payment</v>
      </c>
      <c r="P9483">
        <v>161.24</v>
      </c>
      <c r="Q9483" s="37" t="str">
        <f>IF(P9483&gt;500,"High","low")</f>
        <v>low</v>
      </c>
      <c r="R9483" s="37" t="str">
        <f t="shared" si="744"/>
        <v>AVERAGE</v>
      </c>
      <c r="S9483" t="s">
        <v>605</v>
      </c>
    </row>
    <row r="9484" spans="1:19" x14ac:dyDescent="0.2">
      <c r="A9484" t="s">
        <v>10095</v>
      </c>
      <c r="B9484" t="s">
        <v>75</v>
      </c>
      <c r="C9484" t="s">
        <v>602</v>
      </c>
      <c r="D9484">
        <v>4711.2700000000004</v>
      </c>
      <c r="E9484" s="37" t="str">
        <f t="shared" si="740"/>
        <v xml:space="preserve"> </v>
      </c>
      <c r="F9484">
        <v>0.15</v>
      </c>
      <c r="G9484" s="37" t="str">
        <f t="shared" si="741"/>
        <v>Normal Discount</v>
      </c>
      <c r="H9484" s="37" t="str">
        <f t="shared" si="742"/>
        <v>Low</v>
      </c>
      <c r="I9484">
        <v>1</v>
      </c>
      <c r="J9484" t="str" cm="1">
        <f t="array" ref="J9484">_xlfn.IFS(I9484&lt;=3,"small",I9484&lt;=6,"Medium",I9484&lt;=9,"Large")</f>
        <v>small</v>
      </c>
      <c r="K9484" s="36">
        <v>45640</v>
      </c>
      <c r="L9484" s="36">
        <v>45643</v>
      </c>
      <c r="M9484" t="s">
        <v>603</v>
      </c>
      <c r="N9484" t="s">
        <v>599</v>
      </c>
      <c r="O9484" s="37" t="str">
        <f t="shared" si="743"/>
        <v>Digital Payment</v>
      </c>
      <c r="P9484">
        <v>353.76</v>
      </c>
      <c r="Q9484" s="37" t="str">
        <f>IF(P9484&gt;500,"High","low")</f>
        <v>low</v>
      </c>
      <c r="R9484" s="37" t="str">
        <f t="shared" si="744"/>
        <v>AVERAGE</v>
      </c>
      <c r="S9484" t="s">
        <v>605</v>
      </c>
    </row>
    <row r="9485" spans="1:19" x14ac:dyDescent="0.2">
      <c r="A9485" t="s">
        <v>10096</v>
      </c>
      <c r="B9485" t="s">
        <v>90</v>
      </c>
      <c r="C9485" t="s">
        <v>614</v>
      </c>
      <c r="D9485">
        <v>2275.8200000000002</v>
      </c>
      <c r="E9485" s="37" t="str">
        <f t="shared" si="740"/>
        <v xml:space="preserve"> </v>
      </c>
      <c r="F9485">
        <v>0.39</v>
      </c>
      <c r="G9485" s="37" t="str">
        <f t="shared" si="741"/>
        <v>Heavy Discount</v>
      </c>
      <c r="H9485" s="37" t="str">
        <f t="shared" si="742"/>
        <v>Medium</v>
      </c>
      <c r="I9485">
        <v>9</v>
      </c>
      <c r="J9485" t="str" cm="1">
        <f t="array" ref="J9485">_xlfn.IFS(I9485&lt;=3,"small",I9485&lt;=6,"Medium",I9485&lt;=9,"Large")</f>
        <v>Large</v>
      </c>
      <c r="K9485" s="36">
        <v>45517</v>
      </c>
      <c r="L9485" s="36">
        <v>45518</v>
      </c>
      <c r="M9485" t="s">
        <v>598</v>
      </c>
      <c r="N9485" t="s">
        <v>608</v>
      </c>
      <c r="O9485" s="37" t="str">
        <f t="shared" si="743"/>
        <v>Cash Payment</v>
      </c>
      <c r="P9485">
        <v>171.56</v>
      </c>
      <c r="Q9485" s="37" t="str">
        <f>IF(P9485&gt;500,"High","low")</f>
        <v>low</v>
      </c>
      <c r="R9485" s="37" t="str">
        <f t="shared" si="744"/>
        <v>AVERAGE</v>
      </c>
      <c r="S9485" t="s">
        <v>609</v>
      </c>
    </row>
    <row r="9486" spans="1:19" x14ac:dyDescent="0.2">
      <c r="A9486" t="s">
        <v>10097</v>
      </c>
      <c r="B9486" t="s">
        <v>67</v>
      </c>
      <c r="C9486" t="s">
        <v>602</v>
      </c>
      <c r="D9486">
        <v>3966.35</v>
      </c>
      <c r="E9486" s="37" t="str">
        <f t="shared" si="740"/>
        <v xml:space="preserve"> </v>
      </c>
      <c r="F9486">
        <v>0.37</v>
      </c>
      <c r="G9486" s="37" t="str">
        <f t="shared" si="741"/>
        <v>Heavy Discount</v>
      </c>
      <c r="H9486" s="37" t="str">
        <f t="shared" si="742"/>
        <v>Medium</v>
      </c>
      <c r="I9486">
        <v>5</v>
      </c>
      <c r="J9486" t="str" cm="1">
        <f t="array" ref="J9486">_xlfn.IFS(I9486&lt;=3,"small",I9486&lt;=6,"Medium",I9486&lt;=9,"Large")</f>
        <v>Medium</v>
      </c>
      <c r="K9486" s="36">
        <v>45606</v>
      </c>
      <c r="L9486" s="36">
        <v>45613</v>
      </c>
      <c r="M9486" t="s">
        <v>612</v>
      </c>
      <c r="N9486" t="s">
        <v>608</v>
      </c>
      <c r="O9486" s="37" t="str">
        <f t="shared" si="743"/>
        <v>Cash Payment</v>
      </c>
      <c r="P9486">
        <v>1129.02</v>
      </c>
      <c r="Q9486" s="37" t="str">
        <f>IF(P9486&gt;500,"High","low")</f>
        <v>High</v>
      </c>
      <c r="R9486" s="37" t="str">
        <f t="shared" si="744"/>
        <v>Excellent</v>
      </c>
      <c r="S9486" t="s">
        <v>609</v>
      </c>
    </row>
    <row r="9487" spans="1:19" x14ac:dyDescent="0.2">
      <c r="A9487" t="s">
        <v>10098</v>
      </c>
      <c r="B9487" t="s">
        <v>67</v>
      </c>
      <c r="C9487" t="s">
        <v>617</v>
      </c>
      <c r="D9487">
        <v>2511.62</v>
      </c>
      <c r="E9487" s="37" t="str">
        <f t="shared" si="740"/>
        <v xml:space="preserve"> </v>
      </c>
      <c r="F9487">
        <v>0.11</v>
      </c>
      <c r="G9487" s="37" t="str">
        <f t="shared" si="741"/>
        <v>Normal Discount</v>
      </c>
      <c r="H9487" s="37" t="str">
        <f t="shared" si="742"/>
        <v>Low</v>
      </c>
      <c r="I9487">
        <v>3</v>
      </c>
      <c r="J9487" t="str" cm="1">
        <f t="array" ref="J9487">_xlfn.IFS(I9487&lt;=3,"small",I9487&lt;=6,"Medium",I9487&lt;=9,"Large")</f>
        <v>small</v>
      </c>
      <c r="K9487" s="36">
        <v>45213</v>
      </c>
      <c r="L9487" s="36">
        <v>45216</v>
      </c>
      <c r="M9487" t="s">
        <v>598</v>
      </c>
      <c r="N9487" t="s">
        <v>604</v>
      </c>
      <c r="O9487" s="37" t="str">
        <f t="shared" si="743"/>
        <v>Digital Payment</v>
      </c>
      <c r="P9487">
        <v>624.51</v>
      </c>
      <c r="Q9487" s="37" t="str">
        <f>IF(P9487&gt;500,"High","low")</f>
        <v>High</v>
      </c>
      <c r="R9487" s="37" t="str">
        <f t="shared" si="744"/>
        <v>Good</v>
      </c>
      <c r="S9487" t="s">
        <v>605</v>
      </c>
    </row>
    <row r="9488" spans="1:19" x14ac:dyDescent="0.2">
      <c r="A9488" t="s">
        <v>10099</v>
      </c>
      <c r="B9488" t="s">
        <v>83</v>
      </c>
      <c r="C9488" t="s">
        <v>602</v>
      </c>
      <c r="D9488">
        <v>2408.3200000000002</v>
      </c>
      <c r="E9488" s="37" t="str">
        <f t="shared" si="740"/>
        <v xml:space="preserve"> </v>
      </c>
      <c r="F9488">
        <v>0.32</v>
      </c>
      <c r="G9488" s="37" t="str">
        <f t="shared" si="741"/>
        <v>Heavy Discount</v>
      </c>
      <c r="H9488" s="37" t="str">
        <f t="shared" si="742"/>
        <v>Medium</v>
      </c>
      <c r="I9488">
        <v>6</v>
      </c>
      <c r="J9488" t="str" cm="1">
        <f t="array" ref="J9488">_xlfn.IFS(I9488&lt;=3,"small",I9488&lt;=6,"Medium",I9488&lt;=9,"Large")</f>
        <v>Medium</v>
      </c>
      <c r="K9488" s="36">
        <v>45043</v>
      </c>
      <c r="L9488" s="36">
        <v>45048</v>
      </c>
      <c r="M9488" t="s">
        <v>612</v>
      </c>
      <c r="N9488" t="s">
        <v>604</v>
      </c>
      <c r="O9488" s="37" t="str">
        <f t="shared" si="743"/>
        <v>Digital Payment</v>
      </c>
      <c r="P9488">
        <v>260.81</v>
      </c>
      <c r="Q9488" s="37" t="str">
        <f>IF(P9488&gt;500,"High","low")</f>
        <v>low</v>
      </c>
      <c r="R9488" s="37" t="str">
        <f t="shared" si="744"/>
        <v>AVERAGE</v>
      </c>
      <c r="S9488" t="s">
        <v>620</v>
      </c>
    </row>
    <row r="9489" spans="1:19" x14ac:dyDescent="0.2">
      <c r="A9489" t="s">
        <v>10100</v>
      </c>
      <c r="B9489" t="s">
        <v>83</v>
      </c>
      <c r="C9489" t="s">
        <v>607</v>
      </c>
      <c r="D9489">
        <v>825.77</v>
      </c>
      <c r="E9489" s="37" t="str">
        <f t="shared" si="740"/>
        <v xml:space="preserve"> </v>
      </c>
      <c r="F9489">
        <v>0.03</v>
      </c>
      <c r="G9489" s="37" t="str">
        <f t="shared" si="741"/>
        <v>Normal Discount</v>
      </c>
      <c r="H9489" s="37" t="str">
        <f t="shared" si="742"/>
        <v>Low</v>
      </c>
      <c r="I9489">
        <v>7</v>
      </c>
      <c r="J9489" t="str" cm="1">
        <f t="array" ref="J9489">_xlfn.IFS(I9489&lt;=3,"small",I9489&lt;=6,"Medium",I9489&lt;=9,"Large")</f>
        <v>Large</v>
      </c>
      <c r="K9489" s="36">
        <v>45647</v>
      </c>
      <c r="L9489" s="36">
        <v>45652</v>
      </c>
      <c r="M9489" t="s">
        <v>603</v>
      </c>
      <c r="N9489" t="s">
        <v>608</v>
      </c>
      <c r="O9489" s="37" t="str">
        <f t="shared" si="743"/>
        <v>Cash Payment</v>
      </c>
      <c r="P9489">
        <v>188.54</v>
      </c>
      <c r="Q9489" s="37" t="str">
        <f>IF(P9489&gt;500,"High","low")</f>
        <v>low</v>
      </c>
      <c r="R9489" s="37" t="str">
        <f t="shared" si="744"/>
        <v>AVERAGE</v>
      </c>
      <c r="S9489" t="s">
        <v>609</v>
      </c>
    </row>
    <row r="9490" spans="1:19" x14ac:dyDescent="0.2">
      <c r="A9490" t="s">
        <v>10101</v>
      </c>
      <c r="B9490" t="s">
        <v>67</v>
      </c>
      <c r="C9490" t="s">
        <v>614</v>
      </c>
      <c r="D9490">
        <v>4270.88</v>
      </c>
      <c r="E9490" s="37" t="str">
        <f t="shared" si="740"/>
        <v xml:space="preserve"> </v>
      </c>
      <c r="F9490">
        <v>0.38</v>
      </c>
      <c r="G9490" s="37" t="str">
        <f t="shared" si="741"/>
        <v>Heavy Discount</v>
      </c>
      <c r="H9490" s="37" t="str">
        <f t="shared" si="742"/>
        <v>Medium</v>
      </c>
      <c r="I9490">
        <v>4</v>
      </c>
      <c r="J9490" t="str" cm="1">
        <f t="array" ref="J9490">_xlfn.IFS(I9490&lt;=3,"small",I9490&lt;=6,"Medium",I9490&lt;=9,"Large")</f>
        <v>Medium</v>
      </c>
      <c r="K9490" s="36">
        <v>45130</v>
      </c>
      <c r="L9490" s="36">
        <v>45131</v>
      </c>
      <c r="M9490" t="s">
        <v>612</v>
      </c>
      <c r="N9490" t="s">
        <v>599</v>
      </c>
      <c r="O9490" s="37" t="str">
        <f t="shared" si="743"/>
        <v>Digital Payment</v>
      </c>
      <c r="P9490">
        <v>273.83999999999997</v>
      </c>
      <c r="Q9490" s="37" t="str">
        <f>IF(P9490&gt;500,"High","low")</f>
        <v>low</v>
      </c>
      <c r="R9490" s="37" t="str">
        <f t="shared" si="744"/>
        <v>AVERAGE</v>
      </c>
      <c r="S9490" t="s">
        <v>615</v>
      </c>
    </row>
    <row r="9491" spans="1:19" x14ac:dyDescent="0.2">
      <c r="A9491" t="s">
        <v>10102</v>
      </c>
      <c r="B9491" t="s">
        <v>83</v>
      </c>
      <c r="C9491" t="s">
        <v>607</v>
      </c>
      <c r="D9491">
        <v>483.94</v>
      </c>
      <c r="E9491" s="37" t="str">
        <f t="shared" si="740"/>
        <v xml:space="preserve"> </v>
      </c>
      <c r="F9491">
        <v>0.39</v>
      </c>
      <c r="G9491" s="37" t="str">
        <f t="shared" si="741"/>
        <v>Heavy Discount</v>
      </c>
      <c r="H9491" s="37" t="str">
        <f t="shared" si="742"/>
        <v>Medium</v>
      </c>
      <c r="I9491">
        <v>2</v>
      </c>
      <c r="J9491" t="str" cm="1">
        <f t="array" ref="J9491">_xlfn.IFS(I9491&lt;=3,"small",I9491&lt;=6,"Medium",I9491&lt;=9,"Large")</f>
        <v>small</v>
      </c>
      <c r="K9491" s="36">
        <v>45041</v>
      </c>
      <c r="L9491" s="36">
        <v>45042</v>
      </c>
      <c r="M9491" t="s">
        <v>612</v>
      </c>
      <c r="N9491" t="s">
        <v>599</v>
      </c>
      <c r="O9491" s="37" t="str">
        <f t="shared" si="743"/>
        <v>Digital Payment</v>
      </c>
      <c r="P9491">
        <v>54.85</v>
      </c>
      <c r="Q9491" s="37" t="str">
        <f>IF(P9491&gt;500,"High","low")</f>
        <v>low</v>
      </c>
      <c r="R9491" s="37" t="str">
        <f t="shared" si="744"/>
        <v>AVERAGE</v>
      </c>
      <c r="S9491" t="s">
        <v>605</v>
      </c>
    </row>
    <row r="9492" spans="1:19" x14ac:dyDescent="0.2">
      <c r="A9492" t="s">
        <v>10103</v>
      </c>
      <c r="B9492" t="s">
        <v>90</v>
      </c>
      <c r="C9492" t="s">
        <v>602</v>
      </c>
      <c r="D9492">
        <v>1620.28</v>
      </c>
      <c r="E9492" s="37" t="str">
        <f t="shared" si="740"/>
        <v xml:space="preserve"> </v>
      </c>
      <c r="F9492">
        <v>0.17</v>
      </c>
      <c r="G9492" s="37" t="str">
        <f t="shared" si="741"/>
        <v>Normal Discount</v>
      </c>
      <c r="H9492" s="37" t="str">
        <f t="shared" si="742"/>
        <v>Low</v>
      </c>
      <c r="I9492">
        <v>5</v>
      </c>
      <c r="J9492" t="str" cm="1">
        <f t="array" ref="J9492">_xlfn.IFS(I9492&lt;=3,"small",I9492&lt;=6,"Medium",I9492&lt;=9,"Large")</f>
        <v>Medium</v>
      </c>
      <c r="K9492" s="36">
        <v>44999</v>
      </c>
      <c r="L9492" s="36">
        <v>45003</v>
      </c>
      <c r="M9492" t="s">
        <v>598</v>
      </c>
      <c r="N9492" t="s">
        <v>604</v>
      </c>
      <c r="O9492" s="37" t="str">
        <f t="shared" si="743"/>
        <v>Digital Payment</v>
      </c>
      <c r="P9492">
        <v>360.3</v>
      </c>
      <c r="Q9492" s="37" t="str">
        <f>IF(P9492&gt;500,"High","low")</f>
        <v>low</v>
      </c>
      <c r="R9492" s="37" t="str">
        <f t="shared" si="744"/>
        <v>AVERAGE</v>
      </c>
      <c r="S9492" t="s">
        <v>609</v>
      </c>
    </row>
    <row r="9493" spans="1:19" x14ac:dyDescent="0.2">
      <c r="A9493" t="s">
        <v>10104</v>
      </c>
      <c r="B9493" t="s">
        <v>83</v>
      </c>
      <c r="C9493" t="s">
        <v>614</v>
      </c>
      <c r="D9493">
        <v>3399.99</v>
      </c>
      <c r="E9493" s="37" t="str">
        <f t="shared" si="740"/>
        <v xml:space="preserve"> </v>
      </c>
      <c r="F9493">
        <v>0.4</v>
      </c>
      <c r="G9493" s="37" t="str">
        <f t="shared" si="741"/>
        <v>Heavy Discount</v>
      </c>
      <c r="H9493" s="37" t="str">
        <f t="shared" si="742"/>
        <v>Medium</v>
      </c>
      <c r="I9493">
        <v>7</v>
      </c>
      <c r="J9493" t="str" cm="1">
        <f t="array" ref="J9493">_xlfn.IFS(I9493&lt;=3,"small",I9493&lt;=6,"Medium",I9493&lt;=9,"Large")</f>
        <v>Large</v>
      </c>
      <c r="K9493" s="36">
        <v>45233</v>
      </c>
      <c r="L9493" s="36">
        <v>45238</v>
      </c>
      <c r="M9493" t="s">
        <v>612</v>
      </c>
      <c r="N9493" t="s">
        <v>604</v>
      </c>
      <c r="O9493" s="37" t="str">
        <f t="shared" si="743"/>
        <v>Digital Payment</v>
      </c>
      <c r="P9493">
        <v>700.8</v>
      </c>
      <c r="Q9493" s="37" t="str">
        <f>IF(P9493&gt;500,"High","low")</f>
        <v>High</v>
      </c>
      <c r="R9493" s="37" t="str">
        <f t="shared" si="744"/>
        <v>Good</v>
      </c>
      <c r="S9493" t="s">
        <v>605</v>
      </c>
    </row>
    <row r="9494" spans="1:19" x14ac:dyDescent="0.2">
      <c r="A9494" t="s">
        <v>10105</v>
      </c>
      <c r="B9494" t="s">
        <v>83</v>
      </c>
      <c r="C9494" t="s">
        <v>607</v>
      </c>
      <c r="D9494">
        <v>2585.56</v>
      </c>
      <c r="E9494" s="37" t="str">
        <f t="shared" si="740"/>
        <v xml:space="preserve"> </v>
      </c>
      <c r="F9494">
        <v>0.43</v>
      </c>
      <c r="G9494" s="37" t="str">
        <f t="shared" si="741"/>
        <v>Heavy Discount</v>
      </c>
      <c r="H9494" s="37" t="str">
        <f t="shared" si="742"/>
        <v>High</v>
      </c>
      <c r="I9494">
        <v>3</v>
      </c>
      <c r="J9494" t="str" cm="1">
        <f t="array" ref="J9494">_xlfn.IFS(I9494&lt;=3,"small",I9494&lt;=6,"Medium",I9494&lt;=9,"Large")</f>
        <v>small</v>
      </c>
      <c r="K9494" s="36">
        <v>45595</v>
      </c>
      <c r="L9494" s="36">
        <v>45601</v>
      </c>
      <c r="M9494" t="s">
        <v>612</v>
      </c>
      <c r="N9494" t="s">
        <v>608</v>
      </c>
      <c r="O9494" s="37" t="str">
        <f t="shared" si="743"/>
        <v>Cash Payment</v>
      </c>
      <c r="P9494">
        <v>533.24</v>
      </c>
      <c r="Q9494" s="37" t="str">
        <f>IF(P9494&gt;500,"High","low")</f>
        <v>High</v>
      </c>
      <c r="R9494" s="37" t="str">
        <f t="shared" si="744"/>
        <v>Good</v>
      </c>
      <c r="S9494" t="s">
        <v>628</v>
      </c>
    </row>
    <row r="9495" spans="1:19" x14ac:dyDescent="0.2">
      <c r="A9495" t="s">
        <v>10106</v>
      </c>
      <c r="B9495" t="s">
        <v>67</v>
      </c>
      <c r="C9495" t="s">
        <v>607</v>
      </c>
      <c r="D9495">
        <v>4418.75</v>
      </c>
      <c r="E9495" s="37" t="str">
        <f t="shared" si="740"/>
        <v xml:space="preserve"> </v>
      </c>
      <c r="F9495">
        <v>0.1</v>
      </c>
      <c r="G9495" s="37" t="str">
        <f t="shared" si="741"/>
        <v>Normal Discount</v>
      </c>
      <c r="H9495" s="37" t="str">
        <f t="shared" si="742"/>
        <v>Low</v>
      </c>
      <c r="I9495">
        <v>2</v>
      </c>
      <c r="J9495" t="str" cm="1">
        <f t="array" ref="J9495">_xlfn.IFS(I9495&lt;=3,"small",I9495&lt;=6,"Medium",I9495&lt;=9,"Large")</f>
        <v>small</v>
      </c>
      <c r="K9495" s="36">
        <v>45617</v>
      </c>
      <c r="L9495" s="36">
        <v>45622</v>
      </c>
      <c r="M9495" t="s">
        <v>603</v>
      </c>
      <c r="N9495" t="s">
        <v>599</v>
      </c>
      <c r="O9495" s="37" t="str">
        <f t="shared" si="743"/>
        <v>Digital Payment</v>
      </c>
      <c r="P9495">
        <v>634.20000000000005</v>
      </c>
      <c r="Q9495" s="37" t="str">
        <f>IF(P9495&gt;500,"High","low")</f>
        <v>High</v>
      </c>
      <c r="R9495" s="37" t="str">
        <f t="shared" si="744"/>
        <v>Good</v>
      </c>
      <c r="S9495" t="s">
        <v>605</v>
      </c>
    </row>
    <row r="9496" spans="1:19" x14ac:dyDescent="0.2">
      <c r="A9496" t="s">
        <v>10107</v>
      </c>
      <c r="B9496" t="s">
        <v>67</v>
      </c>
      <c r="C9496" t="s">
        <v>614</v>
      </c>
      <c r="D9496">
        <v>292.56</v>
      </c>
      <c r="E9496" s="37" t="str">
        <f t="shared" si="740"/>
        <v xml:space="preserve"> </v>
      </c>
      <c r="F9496">
        <v>0.18</v>
      </c>
      <c r="G9496" s="37" t="str">
        <f t="shared" si="741"/>
        <v>Normal Discount</v>
      </c>
      <c r="H9496" s="37" t="str">
        <f t="shared" si="742"/>
        <v>Low</v>
      </c>
      <c r="I9496">
        <v>2</v>
      </c>
      <c r="J9496" t="str" cm="1">
        <f t="array" ref="J9496">_xlfn.IFS(I9496&lt;=3,"small",I9496&lt;=6,"Medium",I9496&lt;=9,"Large")</f>
        <v>small</v>
      </c>
      <c r="K9496" s="36">
        <v>45519</v>
      </c>
      <c r="L9496" s="36">
        <v>45522</v>
      </c>
      <c r="M9496" t="s">
        <v>612</v>
      </c>
      <c r="N9496" t="s">
        <v>604</v>
      </c>
      <c r="O9496" s="37" t="str">
        <f t="shared" si="743"/>
        <v>Digital Payment</v>
      </c>
      <c r="P9496">
        <v>38.21</v>
      </c>
      <c r="Q9496" s="37" t="str">
        <f>IF(P9496&gt;500,"High","low")</f>
        <v>low</v>
      </c>
      <c r="R9496" s="37" t="str">
        <f t="shared" si="744"/>
        <v>AVERAGE</v>
      </c>
      <c r="S9496" t="s">
        <v>609</v>
      </c>
    </row>
    <row r="9497" spans="1:19" x14ac:dyDescent="0.2">
      <c r="A9497" t="s">
        <v>10108</v>
      </c>
      <c r="B9497" t="s">
        <v>75</v>
      </c>
      <c r="C9497" t="s">
        <v>614</v>
      </c>
      <c r="D9497">
        <v>3282.1</v>
      </c>
      <c r="E9497" s="37" t="str">
        <f t="shared" si="740"/>
        <v xml:space="preserve"> </v>
      </c>
      <c r="F9497">
        <v>0.13</v>
      </c>
      <c r="G9497" s="37" t="str">
        <f t="shared" si="741"/>
        <v>Normal Discount</v>
      </c>
      <c r="H9497" s="37" t="str">
        <f t="shared" si="742"/>
        <v>Low</v>
      </c>
      <c r="I9497">
        <v>4</v>
      </c>
      <c r="J9497" t="str" cm="1">
        <f t="array" ref="J9497">_xlfn.IFS(I9497&lt;=3,"small",I9497&lt;=6,"Medium",I9497&lt;=9,"Large")</f>
        <v>Medium</v>
      </c>
      <c r="K9497" s="36">
        <v>45292</v>
      </c>
      <c r="L9497" s="36">
        <v>45296</v>
      </c>
      <c r="M9497" t="s">
        <v>598</v>
      </c>
      <c r="N9497" t="s">
        <v>599</v>
      </c>
      <c r="O9497" s="37" t="str">
        <f t="shared" si="743"/>
        <v>Digital Payment</v>
      </c>
      <c r="P9497">
        <v>487.53</v>
      </c>
      <c r="Q9497" s="37" t="str">
        <f>IF(P9497&gt;500,"High","low")</f>
        <v>low</v>
      </c>
      <c r="R9497" s="37" t="str">
        <f t="shared" si="744"/>
        <v>AVERAGE</v>
      </c>
      <c r="S9497" t="s">
        <v>605</v>
      </c>
    </row>
    <row r="9498" spans="1:19" x14ac:dyDescent="0.2">
      <c r="A9498" t="s">
        <v>10109</v>
      </c>
      <c r="B9498" t="s">
        <v>75</v>
      </c>
      <c r="C9498" t="s">
        <v>597</v>
      </c>
      <c r="D9498">
        <v>2439.58</v>
      </c>
      <c r="E9498" s="37" t="str">
        <f t="shared" si="740"/>
        <v xml:space="preserve"> </v>
      </c>
      <c r="F9498">
        <v>0.19</v>
      </c>
      <c r="G9498" s="37" t="str">
        <f t="shared" si="741"/>
        <v>Normal Discount</v>
      </c>
      <c r="H9498" s="37" t="str">
        <f t="shared" si="742"/>
        <v>Low</v>
      </c>
      <c r="I9498">
        <v>4</v>
      </c>
      <c r="J9498" t="str" cm="1">
        <f t="array" ref="J9498">_xlfn.IFS(I9498&lt;=3,"small",I9498&lt;=6,"Medium",I9498&lt;=9,"Large")</f>
        <v>Medium</v>
      </c>
      <c r="K9498" s="36">
        <v>45173</v>
      </c>
      <c r="L9498" s="36">
        <v>45177</v>
      </c>
      <c r="M9498" t="s">
        <v>603</v>
      </c>
      <c r="N9498" t="s">
        <v>604</v>
      </c>
      <c r="O9498" s="37" t="str">
        <f t="shared" si="743"/>
        <v>Digital Payment</v>
      </c>
      <c r="P9498">
        <v>296.49</v>
      </c>
      <c r="Q9498" s="37" t="str">
        <f>IF(P9498&gt;500,"High","low")</f>
        <v>low</v>
      </c>
      <c r="R9498" s="37" t="str">
        <f t="shared" si="744"/>
        <v>AVERAGE</v>
      </c>
      <c r="S9498" t="s">
        <v>600</v>
      </c>
    </row>
    <row r="9499" spans="1:19" x14ac:dyDescent="0.2">
      <c r="A9499" t="s">
        <v>10110</v>
      </c>
      <c r="B9499" t="s">
        <v>67</v>
      </c>
      <c r="C9499" t="s">
        <v>614</v>
      </c>
      <c r="D9499">
        <v>856.13</v>
      </c>
      <c r="E9499" s="37" t="str">
        <f t="shared" si="740"/>
        <v xml:space="preserve"> </v>
      </c>
      <c r="F9499">
        <v>0.22</v>
      </c>
      <c r="G9499" s="37" t="str">
        <f t="shared" si="741"/>
        <v>Normal Discount</v>
      </c>
      <c r="H9499" s="37" t="str">
        <f t="shared" si="742"/>
        <v>Medium</v>
      </c>
      <c r="I9499">
        <v>5</v>
      </c>
      <c r="J9499" t="str" cm="1">
        <f t="array" ref="J9499">_xlfn.IFS(I9499&lt;=3,"small",I9499&lt;=6,"Medium",I9499&lt;=9,"Large")</f>
        <v>Medium</v>
      </c>
      <c r="K9499" s="36">
        <v>45037</v>
      </c>
      <c r="L9499" s="36">
        <v>45041</v>
      </c>
      <c r="M9499" t="s">
        <v>612</v>
      </c>
      <c r="N9499" t="s">
        <v>599</v>
      </c>
      <c r="O9499" s="37" t="str">
        <f t="shared" si="743"/>
        <v>Digital Payment</v>
      </c>
      <c r="P9499">
        <v>61</v>
      </c>
      <c r="Q9499" s="37" t="str">
        <f>IF(P9499&gt;500,"High","low")</f>
        <v>low</v>
      </c>
      <c r="R9499" s="37" t="str">
        <f t="shared" si="744"/>
        <v>AVERAGE</v>
      </c>
      <c r="S9499" t="s">
        <v>615</v>
      </c>
    </row>
    <row r="9500" spans="1:19" x14ac:dyDescent="0.2">
      <c r="A9500" t="s">
        <v>10111</v>
      </c>
      <c r="B9500" t="s">
        <v>83</v>
      </c>
      <c r="C9500" t="s">
        <v>602</v>
      </c>
      <c r="D9500">
        <v>3741.93</v>
      </c>
      <c r="E9500" s="37" t="str">
        <f t="shared" si="740"/>
        <v xml:space="preserve"> </v>
      </c>
      <c r="F9500">
        <v>0.25</v>
      </c>
      <c r="G9500" s="37" t="str">
        <f t="shared" si="741"/>
        <v>Normal Discount</v>
      </c>
      <c r="H9500" s="37" t="str">
        <f t="shared" si="742"/>
        <v>Medium</v>
      </c>
      <c r="I9500">
        <v>3</v>
      </c>
      <c r="J9500" t="str" cm="1">
        <f t="array" ref="J9500">_xlfn.IFS(I9500&lt;=3,"small",I9500&lt;=6,"Medium",I9500&lt;=9,"Large")</f>
        <v>small</v>
      </c>
      <c r="K9500" s="36">
        <v>45370</v>
      </c>
      <c r="L9500" s="36">
        <v>45372</v>
      </c>
      <c r="M9500" t="s">
        <v>612</v>
      </c>
      <c r="N9500" t="s">
        <v>604</v>
      </c>
      <c r="O9500" s="37" t="str">
        <f t="shared" si="743"/>
        <v>Digital Payment</v>
      </c>
      <c r="P9500">
        <v>375.41</v>
      </c>
      <c r="Q9500" s="37" t="str">
        <f>IF(P9500&gt;500,"High","low")</f>
        <v>low</v>
      </c>
      <c r="R9500" s="37" t="str">
        <f t="shared" si="744"/>
        <v>AVERAGE</v>
      </c>
      <c r="S9500" t="s">
        <v>628</v>
      </c>
    </row>
    <row r="9501" spans="1:19" x14ac:dyDescent="0.2">
      <c r="A9501" t="s">
        <v>10112</v>
      </c>
      <c r="B9501" t="s">
        <v>83</v>
      </c>
      <c r="C9501" t="s">
        <v>617</v>
      </c>
      <c r="D9501">
        <v>2115.4</v>
      </c>
      <c r="E9501" s="37" t="str">
        <f t="shared" si="740"/>
        <v xml:space="preserve"> </v>
      </c>
      <c r="F9501">
        <v>0.02</v>
      </c>
      <c r="G9501" s="37" t="str">
        <f t="shared" si="741"/>
        <v>Normal Discount</v>
      </c>
      <c r="H9501" s="37" t="str">
        <f t="shared" si="742"/>
        <v>Low</v>
      </c>
      <c r="I9501">
        <v>1</v>
      </c>
      <c r="J9501" t="str" cm="1">
        <f t="array" ref="J9501">_xlfn.IFS(I9501&lt;=3,"small",I9501&lt;=6,"Medium",I9501&lt;=9,"Large")</f>
        <v>small</v>
      </c>
      <c r="K9501" s="36">
        <v>45041</v>
      </c>
      <c r="L9501" s="36">
        <v>45044</v>
      </c>
      <c r="M9501" t="s">
        <v>603</v>
      </c>
      <c r="N9501" t="s">
        <v>608</v>
      </c>
      <c r="O9501" s="37" t="str">
        <f t="shared" si="743"/>
        <v>Cash Payment</v>
      </c>
      <c r="P9501">
        <v>130.05000000000001</v>
      </c>
      <c r="Q9501" s="37" t="str">
        <f>IF(P9501&gt;500,"High","low")</f>
        <v>low</v>
      </c>
      <c r="R9501" s="37" t="str">
        <f t="shared" si="744"/>
        <v>AVERAGE</v>
      </c>
      <c r="S9501" t="s">
        <v>600</v>
      </c>
    </row>
    <row r="9502" spans="1:19" x14ac:dyDescent="0.2">
      <c r="A9502" t="s">
        <v>10113</v>
      </c>
      <c r="B9502" t="s">
        <v>75</v>
      </c>
      <c r="C9502" t="s">
        <v>597</v>
      </c>
      <c r="D9502">
        <v>2704.75</v>
      </c>
      <c r="E9502" s="37" t="str">
        <f t="shared" si="740"/>
        <v xml:space="preserve"> </v>
      </c>
      <c r="F9502">
        <v>0.03</v>
      </c>
      <c r="G9502" s="37" t="str">
        <f t="shared" si="741"/>
        <v>Normal Discount</v>
      </c>
      <c r="H9502" s="37" t="str">
        <f t="shared" si="742"/>
        <v>Low</v>
      </c>
      <c r="I9502">
        <v>4</v>
      </c>
      <c r="J9502" t="str" cm="1">
        <f t="array" ref="J9502">_xlfn.IFS(I9502&lt;=3,"small",I9502&lt;=6,"Medium",I9502&lt;=9,"Large")</f>
        <v>Medium</v>
      </c>
      <c r="K9502" s="36">
        <v>44965</v>
      </c>
      <c r="L9502" s="36">
        <v>44966</v>
      </c>
      <c r="M9502" t="s">
        <v>612</v>
      </c>
      <c r="N9502" t="s">
        <v>599</v>
      </c>
      <c r="O9502" s="37" t="str">
        <f t="shared" si="743"/>
        <v>Digital Payment</v>
      </c>
      <c r="P9502">
        <v>251.04</v>
      </c>
      <c r="Q9502" s="37" t="str">
        <f>IF(P9502&gt;500,"High","low")</f>
        <v>low</v>
      </c>
      <c r="R9502" s="37" t="str">
        <f t="shared" si="744"/>
        <v>AVERAGE</v>
      </c>
      <c r="S9502" t="s">
        <v>605</v>
      </c>
    </row>
    <row r="9503" spans="1:19" x14ac:dyDescent="0.2">
      <c r="A9503" t="s">
        <v>10114</v>
      </c>
      <c r="B9503" t="s">
        <v>75</v>
      </c>
      <c r="C9503" t="s">
        <v>614</v>
      </c>
      <c r="D9503">
        <v>4839.6000000000004</v>
      </c>
      <c r="E9503" s="37" t="str">
        <f t="shared" si="740"/>
        <v xml:space="preserve"> </v>
      </c>
      <c r="F9503">
        <v>0.33</v>
      </c>
      <c r="G9503" s="37" t="str">
        <f t="shared" si="741"/>
        <v>Heavy Discount</v>
      </c>
      <c r="H9503" s="37" t="str">
        <f t="shared" si="742"/>
        <v>Medium</v>
      </c>
      <c r="I9503">
        <v>1</v>
      </c>
      <c r="J9503" t="str" cm="1">
        <f t="array" ref="J9503">_xlfn.IFS(I9503&lt;=3,"small",I9503&lt;=6,"Medium",I9503&lt;=9,"Large")</f>
        <v>small</v>
      </c>
      <c r="K9503" s="36">
        <v>45166</v>
      </c>
      <c r="L9503" s="36">
        <v>45173</v>
      </c>
      <c r="M9503" t="s">
        <v>603</v>
      </c>
      <c r="N9503" t="s">
        <v>599</v>
      </c>
      <c r="O9503" s="37" t="str">
        <f t="shared" si="743"/>
        <v>Digital Payment</v>
      </c>
      <c r="P9503">
        <v>585.58000000000004</v>
      </c>
      <c r="Q9503" s="37" t="str">
        <f>IF(P9503&gt;500,"High","low")</f>
        <v>High</v>
      </c>
      <c r="R9503" s="37" t="str">
        <f t="shared" si="744"/>
        <v>Good</v>
      </c>
      <c r="S9503" t="s">
        <v>615</v>
      </c>
    </row>
    <row r="9504" spans="1:19" x14ac:dyDescent="0.2">
      <c r="A9504" t="s">
        <v>10115</v>
      </c>
      <c r="B9504" t="s">
        <v>75</v>
      </c>
      <c r="C9504" t="s">
        <v>617</v>
      </c>
      <c r="D9504">
        <v>2482.5300000000002</v>
      </c>
      <c r="E9504" s="37" t="str">
        <f t="shared" si="740"/>
        <v xml:space="preserve"> </v>
      </c>
      <c r="F9504">
        <v>0.22</v>
      </c>
      <c r="G9504" s="37" t="str">
        <f t="shared" si="741"/>
        <v>Normal Discount</v>
      </c>
      <c r="H9504" s="37" t="str">
        <f t="shared" si="742"/>
        <v>Medium</v>
      </c>
      <c r="I9504">
        <v>8</v>
      </c>
      <c r="J9504" t="str" cm="1">
        <f t="array" ref="J9504">_xlfn.IFS(I9504&lt;=3,"small",I9504&lt;=6,"Medium",I9504&lt;=9,"Large")</f>
        <v>Large</v>
      </c>
      <c r="K9504" s="36">
        <v>45374</v>
      </c>
      <c r="L9504" s="36">
        <v>45381</v>
      </c>
      <c r="M9504" t="s">
        <v>603</v>
      </c>
      <c r="N9504" t="s">
        <v>599</v>
      </c>
      <c r="O9504" s="37" t="str">
        <f t="shared" si="743"/>
        <v>Digital Payment</v>
      </c>
      <c r="P9504">
        <v>339.69</v>
      </c>
      <c r="Q9504" s="37" t="str">
        <f>IF(P9504&gt;500,"High","low")</f>
        <v>low</v>
      </c>
      <c r="R9504" s="37" t="str">
        <f t="shared" si="744"/>
        <v>AVERAGE</v>
      </c>
      <c r="S9504" t="s">
        <v>609</v>
      </c>
    </row>
    <row r="9505" spans="1:19" x14ac:dyDescent="0.2">
      <c r="A9505" t="s">
        <v>10116</v>
      </c>
      <c r="B9505" t="s">
        <v>90</v>
      </c>
      <c r="C9505" t="s">
        <v>597</v>
      </c>
      <c r="D9505">
        <v>4134.53</v>
      </c>
      <c r="E9505" s="37" t="str">
        <f t="shared" si="740"/>
        <v>Excellent Order</v>
      </c>
      <c r="F9505">
        <v>0.04</v>
      </c>
      <c r="G9505" s="37" t="str">
        <f t="shared" si="741"/>
        <v>Normal Discount</v>
      </c>
      <c r="H9505" s="37" t="str">
        <f t="shared" si="742"/>
        <v>Low</v>
      </c>
      <c r="I9505">
        <v>5</v>
      </c>
      <c r="J9505" t="str" cm="1">
        <f t="array" ref="J9505">_xlfn.IFS(I9505&lt;=3,"small",I9505&lt;=6,"Medium",I9505&lt;=9,"Large")</f>
        <v>Medium</v>
      </c>
      <c r="K9505" s="36">
        <v>45138</v>
      </c>
      <c r="L9505" s="36">
        <v>45144</v>
      </c>
      <c r="M9505" t="s">
        <v>598</v>
      </c>
      <c r="N9505" t="s">
        <v>599</v>
      </c>
      <c r="O9505" s="37" t="str">
        <f t="shared" si="743"/>
        <v>Digital Payment</v>
      </c>
      <c r="P9505">
        <v>1178.3499999999999</v>
      </c>
      <c r="Q9505" s="37" t="str">
        <f>IF(P9505&gt;500,"High","low")</f>
        <v>High</v>
      </c>
      <c r="R9505" s="37" t="str">
        <f t="shared" si="744"/>
        <v>Excellent</v>
      </c>
      <c r="S9505" t="s">
        <v>609</v>
      </c>
    </row>
    <row r="9506" spans="1:19" x14ac:dyDescent="0.2">
      <c r="A9506" t="s">
        <v>10117</v>
      </c>
      <c r="B9506" t="s">
        <v>90</v>
      </c>
      <c r="C9506" t="s">
        <v>602</v>
      </c>
      <c r="D9506">
        <v>3870.93</v>
      </c>
      <c r="E9506" s="37" t="str">
        <f t="shared" si="740"/>
        <v xml:space="preserve"> </v>
      </c>
      <c r="F9506">
        <v>0.19</v>
      </c>
      <c r="G9506" s="37" t="str">
        <f t="shared" si="741"/>
        <v>Normal Discount</v>
      </c>
      <c r="H9506" s="37" t="str">
        <f t="shared" si="742"/>
        <v>Low</v>
      </c>
      <c r="I9506">
        <v>2</v>
      </c>
      <c r="J9506" t="str" cm="1">
        <f t="array" ref="J9506">_xlfn.IFS(I9506&lt;=3,"small",I9506&lt;=6,"Medium",I9506&lt;=9,"Large")</f>
        <v>small</v>
      </c>
      <c r="K9506" s="36">
        <v>45191</v>
      </c>
      <c r="L9506" s="36">
        <v>45195</v>
      </c>
      <c r="M9506" t="s">
        <v>612</v>
      </c>
      <c r="N9506" t="s">
        <v>608</v>
      </c>
      <c r="O9506" s="37" t="str">
        <f t="shared" si="743"/>
        <v>Cash Payment</v>
      </c>
      <c r="P9506">
        <v>972.63</v>
      </c>
      <c r="Q9506" s="37" t="str">
        <f>IF(P9506&gt;500,"High","low")</f>
        <v>High</v>
      </c>
      <c r="R9506" s="37" t="str">
        <f t="shared" si="744"/>
        <v>Good</v>
      </c>
      <c r="S9506" t="s">
        <v>609</v>
      </c>
    </row>
    <row r="9507" spans="1:19" x14ac:dyDescent="0.2">
      <c r="A9507" t="s">
        <v>10118</v>
      </c>
      <c r="B9507" t="s">
        <v>75</v>
      </c>
      <c r="C9507" t="s">
        <v>617</v>
      </c>
      <c r="D9507">
        <v>3347.5</v>
      </c>
      <c r="E9507" s="37" t="str">
        <f t="shared" si="740"/>
        <v xml:space="preserve"> </v>
      </c>
      <c r="F9507">
        <v>0.24</v>
      </c>
      <c r="G9507" s="37" t="str">
        <f t="shared" si="741"/>
        <v>Normal Discount</v>
      </c>
      <c r="H9507" s="37" t="str">
        <f t="shared" si="742"/>
        <v>Medium</v>
      </c>
      <c r="I9507">
        <v>5</v>
      </c>
      <c r="J9507" t="str" cm="1">
        <f t="array" ref="J9507">_xlfn.IFS(I9507&lt;=3,"small",I9507&lt;=6,"Medium",I9507&lt;=9,"Large")</f>
        <v>Medium</v>
      </c>
      <c r="K9507" s="36">
        <v>45619</v>
      </c>
      <c r="L9507" s="36">
        <v>45622</v>
      </c>
      <c r="M9507" t="s">
        <v>603</v>
      </c>
      <c r="N9507" t="s">
        <v>599</v>
      </c>
      <c r="O9507" s="37" t="str">
        <f t="shared" si="743"/>
        <v>Digital Payment</v>
      </c>
      <c r="P9507">
        <v>595.04</v>
      </c>
      <c r="Q9507" s="37" t="str">
        <f>IF(P9507&gt;500,"High","low")</f>
        <v>High</v>
      </c>
      <c r="R9507" s="37" t="str">
        <f t="shared" si="744"/>
        <v>Good</v>
      </c>
      <c r="S9507" t="s">
        <v>609</v>
      </c>
    </row>
    <row r="9508" spans="1:19" x14ac:dyDescent="0.2">
      <c r="A9508" t="s">
        <v>10119</v>
      </c>
      <c r="B9508" t="s">
        <v>83</v>
      </c>
      <c r="C9508" t="s">
        <v>614</v>
      </c>
      <c r="D9508">
        <v>4494.38</v>
      </c>
      <c r="E9508" s="37" t="str">
        <f t="shared" si="740"/>
        <v>Excellent Order</v>
      </c>
      <c r="F9508">
        <v>0.32</v>
      </c>
      <c r="G9508" s="37" t="str">
        <f t="shared" si="741"/>
        <v>Heavy Discount</v>
      </c>
      <c r="H9508" s="37" t="str">
        <f t="shared" si="742"/>
        <v>Medium</v>
      </c>
      <c r="I9508">
        <v>5</v>
      </c>
      <c r="J9508" t="str" cm="1">
        <f t="array" ref="J9508">_xlfn.IFS(I9508&lt;=3,"small",I9508&lt;=6,"Medium",I9508&lt;=9,"Large")</f>
        <v>Medium</v>
      </c>
      <c r="K9508" s="36">
        <v>45105</v>
      </c>
      <c r="L9508" s="36">
        <v>45111</v>
      </c>
      <c r="M9508" t="s">
        <v>603</v>
      </c>
      <c r="N9508" t="s">
        <v>599</v>
      </c>
      <c r="O9508" s="37" t="str">
        <f t="shared" si="743"/>
        <v>Digital Payment</v>
      </c>
      <c r="P9508">
        <v>964.75</v>
      </c>
      <c r="Q9508" s="37" t="str">
        <f>IF(P9508&gt;500,"High","low")</f>
        <v>High</v>
      </c>
      <c r="R9508" s="37" t="str">
        <f t="shared" si="744"/>
        <v>Good</v>
      </c>
      <c r="S9508" t="s">
        <v>615</v>
      </c>
    </row>
    <row r="9509" spans="1:19" x14ac:dyDescent="0.2">
      <c r="A9509" t="s">
        <v>10120</v>
      </c>
      <c r="B9509" t="s">
        <v>75</v>
      </c>
      <c r="C9509" t="s">
        <v>614</v>
      </c>
      <c r="D9509">
        <v>1332.85</v>
      </c>
      <c r="E9509" s="37" t="str">
        <f t="shared" si="740"/>
        <v xml:space="preserve"> </v>
      </c>
      <c r="F9509">
        <v>0.06</v>
      </c>
      <c r="G9509" s="37" t="str">
        <f t="shared" si="741"/>
        <v>Normal Discount</v>
      </c>
      <c r="H9509" s="37" t="str">
        <f t="shared" si="742"/>
        <v>Low</v>
      </c>
      <c r="I9509">
        <v>1</v>
      </c>
      <c r="J9509" t="str" cm="1">
        <f t="array" ref="J9509">_xlfn.IFS(I9509&lt;=3,"small",I9509&lt;=6,"Medium",I9509&lt;=9,"Large")</f>
        <v>small</v>
      </c>
      <c r="K9509" s="36">
        <v>45265</v>
      </c>
      <c r="L9509" s="36">
        <v>45268</v>
      </c>
      <c r="M9509" t="s">
        <v>598</v>
      </c>
      <c r="N9509" t="s">
        <v>604</v>
      </c>
      <c r="O9509" s="37" t="str">
        <f t="shared" si="743"/>
        <v>Digital Payment</v>
      </c>
      <c r="P9509">
        <v>124.12</v>
      </c>
      <c r="Q9509" s="37" t="str">
        <f>IF(P9509&gt;500,"High","low")</f>
        <v>low</v>
      </c>
      <c r="R9509" s="37" t="str">
        <f t="shared" si="744"/>
        <v>AVERAGE</v>
      </c>
      <c r="S9509" t="s">
        <v>620</v>
      </c>
    </row>
    <row r="9510" spans="1:19" x14ac:dyDescent="0.2">
      <c r="A9510" t="s">
        <v>10121</v>
      </c>
      <c r="B9510" t="s">
        <v>90</v>
      </c>
      <c r="C9510" t="s">
        <v>602</v>
      </c>
      <c r="D9510">
        <v>4121.78</v>
      </c>
      <c r="E9510" s="37" t="str">
        <f t="shared" si="740"/>
        <v xml:space="preserve"> </v>
      </c>
      <c r="F9510">
        <v>0.5</v>
      </c>
      <c r="G9510" s="37" t="str">
        <f t="shared" si="741"/>
        <v>Heavy Discount</v>
      </c>
      <c r="H9510" s="37" t="str">
        <f t="shared" si="742"/>
        <v>High</v>
      </c>
      <c r="I9510">
        <v>5</v>
      </c>
      <c r="J9510" t="str" cm="1">
        <f t="array" ref="J9510">_xlfn.IFS(I9510&lt;=3,"small",I9510&lt;=6,"Medium",I9510&lt;=9,"Large")</f>
        <v>Medium</v>
      </c>
      <c r="K9510" s="36">
        <v>45490</v>
      </c>
      <c r="L9510" s="36">
        <v>45493</v>
      </c>
      <c r="M9510" t="s">
        <v>598</v>
      </c>
      <c r="N9510" t="s">
        <v>604</v>
      </c>
      <c r="O9510" s="37" t="str">
        <f t="shared" si="743"/>
        <v>Digital Payment</v>
      </c>
      <c r="P9510">
        <v>763.67</v>
      </c>
      <c r="Q9510" s="37" t="str">
        <f>IF(P9510&gt;500,"High","low")</f>
        <v>High</v>
      </c>
      <c r="R9510" s="37" t="str">
        <f t="shared" si="744"/>
        <v>Good</v>
      </c>
      <c r="S9510" t="s">
        <v>605</v>
      </c>
    </row>
    <row r="9511" spans="1:19" x14ac:dyDescent="0.2">
      <c r="A9511" t="s">
        <v>10122</v>
      </c>
      <c r="B9511" t="s">
        <v>83</v>
      </c>
      <c r="C9511" t="s">
        <v>597</v>
      </c>
      <c r="D9511">
        <v>1951.16</v>
      </c>
      <c r="E9511" s="37" t="str">
        <f t="shared" si="740"/>
        <v xml:space="preserve"> </v>
      </c>
      <c r="F9511">
        <v>0.24</v>
      </c>
      <c r="G9511" s="37" t="str">
        <f t="shared" si="741"/>
        <v>Normal Discount</v>
      </c>
      <c r="H9511" s="37" t="str">
        <f t="shared" si="742"/>
        <v>Medium</v>
      </c>
      <c r="I9511">
        <v>8</v>
      </c>
      <c r="J9511" t="str" cm="1">
        <f t="array" ref="J9511">_xlfn.IFS(I9511&lt;=3,"small",I9511&lt;=6,"Medium",I9511&lt;=9,"Large")</f>
        <v>Large</v>
      </c>
      <c r="K9511" s="36">
        <v>45578</v>
      </c>
      <c r="L9511" s="36">
        <v>45583</v>
      </c>
      <c r="M9511" t="s">
        <v>598</v>
      </c>
      <c r="N9511" t="s">
        <v>599</v>
      </c>
      <c r="O9511" s="37" t="str">
        <f t="shared" si="743"/>
        <v>Digital Payment</v>
      </c>
      <c r="P9511">
        <v>489.24</v>
      </c>
      <c r="Q9511" s="37" t="str">
        <f>IF(P9511&gt;500,"High","low")</f>
        <v>low</v>
      </c>
      <c r="R9511" s="37" t="str">
        <f t="shared" si="744"/>
        <v>AVERAGE</v>
      </c>
      <c r="S9511" t="s">
        <v>605</v>
      </c>
    </row>
    <row r="9512" spans="1:19" x14ac:dyDescent="0.2">
      <c r="A9512" t="s">
        <v>10123</v>
      </c>
      <c r="B9512" t="s">
        <v>90</v>
      </c>
      <c r="C9512" t="s">
        <v>617</v>
      </c>
      <c r="D9512">
        <v>4081.21</v>
      </c>
      <c r="E9512" s="37" t="str">
        <f t="shared" si="740"/>
        <v xml:space="preserve"> </v>
      </c>
      <c r="F9512">
        <v>0.34</v>
      </c>
      <c r="G9512" s="37" t="str">
        <f t="shared" si="741"/>
        <v>Heavy Discount</v>
      </c>
      <c r="H9512" s="37" t="str">
        <f t="shared" si="742"/>
        <v>Medium</v>
      </c>
      <c r="I9512">
        <v>2</v>
      </c>
      <c r="J9512" t="str" cm="1">
        <f t="array" ref="J9512">_xlfn.IFS(I9512&lt;=3,"small",I9512&lt;=6,"Medium",I9512&lt;=9,"Large")</f>
        <v>small</v>
      </c>
      <c r="K9512" s="36">
        <v>45282</v>
      </c>
      <c r="L9512" s="36">
        <v>45289</v>
      </c>
      <c r="M9512" t="s">
        <v>603</v>
      </c>
      <c r="N9512" t="s">
        <v>608</v>
      </c>
      <c r="O9512" s="37" t="str">
        <f t="shared" si="743"/>
        <v>Cash Payment</v>
      </c>
      <c r="P9512">
        <v>364.52</v>
      </c>
      <c r="Q9512" s="37" t="str">
        <f>IF(P9512&gt;500,"High","low")</f>
        <v>low</v>
      </c>
      <c r="R9512" s="37" t="str">
        <f t="shared" si="744"/>
        <v>AVERAGE</v>
      </c>
      <c r="S9512" t="s">
        <v>600</v>
      </c>
    </row>
    <row r="9513" spans="1:19" x14ac:dyDescent="0.2">
      <c r="A9513" t="s">
        <v>10124</v>
      </c>
      <c r="B9513" t="s">
        <v>83</v>
      </c>
      <c r="C9513" t="s">
        <v>602</v>
      </c>
      <c r="D9513">
        <v>2519.56</v>
      </c>
      <c r="E9513" s="37" t="str">
        <f t="shared" si="740"/>
        <v xml:space="preserve"> </v>
      </c>
      <c r="F9513">
        <v>0.45</v>
      </c>
      <c r="G9513" s="37" t="str">
        <f t="shared" si="741"/>
        <v>Heavy Discount</v>
      </c>
      <c r="H9513" s="37" t="str">
        <f t="shared" si="742"/>
        <v>High</v>
      </c>
      <c r="I9513">
        <v>8</v>
      </c>
      <c r="J9513" t="str" cm="1">
        <f t="array" ref="J9513">_xlfn.IFS(I9513&lt;=3,"small",I9513&lt;=6,"Medium",I9513&lt;=9,"Large")</f>
        <v>Large</v>
      </c>
      <c r="K9513" s="36">
        <v>45203</v>
      </c>
      <c r="L9513" s="36">
        <v>45209</v>
      </c>
      <c r="M9513" t="s">
        <v>603</v>
      </c>
      <c r="N9513" t="s">
        <v>608</v>
      </c>
      <c r="O9513" s="37" t="str">
        <f t="shared" si="743"/>
        <v>Cash Payment</v>
      </c>
      <c r="P9513">
        <v>617.54</v>
      </c>
      <c r="Q9513" s="37" t="str">
        <f>IF(P9513&gt;500,"High","low")</f>
        <v>High</v>
      </c>
      <c r="R9513" s="37" t="str">
        <f t="shared" si="744"/>
        <v>Good</v>
      </c>
      <c r="S9513" t="s">
        <v>609</v>
      </c>
    </row>
    <row r="9514" spans="1:19" x14ac:dyDescent="0.2">
      <c r="A9514" t="s">
        <v>10125</v>
      </c>
      <c r="B9514" t="s">
        <v>90</v>
      </c>
      <c r="C9514" t="s">
        <v>597</v>
      </c>
      <c r="D9514">
        <v>4302.78</v>
      </c>
      <c r="E9514" s="37" t="str">
        <f t="shared" si="740"/>
        <v xml:space="preserve"> </v>
      </c>
      <c r="F9514">
        <v>0.02</v>
      </c>
      <c r="G9514" s="37" t="str">
        <f t="shared" si="741"/>
        <v>Normal Discount</v>
      </c>
      <c r="H9514" s="37" t="str">
        <f t="shared" si="742"/>
        <v>Low</v>
      </c>
      <c r="I9514">
        <v>8</v>
      </c>
      <c r="J9514" t="str" cm="1">
        <f t="array" ref="J9514">_xlfn.IFS(I9514&lt;=3,"small",I9514&lt;=6,"Medium",I9514&lt;=9,"Large")</f>
        <v>Large</v>
      </c>
      <c r="K9514" s="36">
        <v>45606</v>
      </c>
      <c r="L9514" s="36">
        <v>45607</v>
      </c>
      <c r="M9514" t="s">
        <v>598</v>
      </c>
      <c r="N9514" t="s">
        <v>599</v>
      </c>
      <c r="O9514" s="37" t="str">
        <f t="shared" si="743"/>
        <v>Digital Payment</v>
      </c>
      <c r="P9514">
        <v>695.02</v>
      </c>
      <c r="Q9514" s="37" t="str">
        <f>IF(P9514&gt;500,"High","low")</f>
        <v>High</v>
      </c>
      <c r="R9514" s="37" t="str">
        <f t="shared" si="744"/>
        <v>Good</v>
      </c>
      <c r="S9514" t="s">
        <v>609</v>
      </c>
    </row>
    <row r="9515" spans="1:19" x14ac:dyDescent="0.2">
      <c r="A9515" t="s">
        <v>10126</v>
      </c>
      <c r="B9515" t="s">
        <v>83</v>
      </c>
      <c r="C9515" t="s">
        <v>607</v>
      </c>
      <c r="D9515">
        <v>4484.7299999999996</v>
      </c>
      <c r="E9515" s="37" t="str">
        <f t="shared" si="740"/>
        <v xml:space="preserve"> </v>
      </c>
      <c r="F9515">
        <v>0.3</v>
      </c>
      <c r="G9515" s="37" t="str">
        <f t="shared" si="741"/>
        <v>Normal Discount</v>
      </c>
      <c r="H9515" s="37" t="str">
        <f t="shared" si="742"/>
        <v>Medium</v>
      </c>
      <c r="I9515">
        <v>1</v>
      </c>
      <c r="J9515" t="str" cm="1">
        <f t="array" ref="J9515">_xlfn.IFS(I9515&lt;=3,"small",I9515&lt;=6,"Medium",I9515&lt;=9,"Large")</f>
        <v>small</v>
      </c>
      <c r="K9515" s="36">
        <v>45161</v>
      </c>
      <c r="L9515" s="36">
        <v>45165</v>
      </c>
      <c r="M9515" t="s">
        <v>598</v>
      </c>
      <c r="N9515" t="s">
        <v>604</v>
      </c>
      <c r="O9515" s="37" t="str">
        <f t="shared" si="743"/>
        <v>Digital Payment</v>
      </c>
      <c r="P9515">
        <v>449.25</v>
      </c>
      <c r="Q9515" s="37" t="str">
        <f>IF(P9515&gt;500,"High","low")</f>
        <v>low</v>
      </c>
      <c r="R9515" s="37" t="str">
        <f t="shared" si="744"/>
        <v>AVERAGE</v>
      </c>
      <c r="S9515" t="s">
        <v>620</v>
      </c>
    </row>
    <row r="9516" spans="1:19" x14ac:dyDescent="0.2">
      <c r="A9516" t="s">
        <v>10127</v>
      </c>
      <c r="B9516" t="s">
        <v>83</v>
      </c>
      <c r="C9516" t="s">
        <v>607</v>
      </c>
      <c r="D9516">
        <v>3028.45</v>
      </c>
      <c r="E9516" s="37" t="str">
        <f t="shared" si="740"/>
        <v xml:space="preserve"> </v>
      </c>
      <c r="F9516">
        <v>0.27</v>
      </c>
      <c r="G9516" s="37" t="str">
        <f t="shared" si="741"/>
        <v>Normal Discount</v>
      </c>
      <c r="H9516" s="37" t="str">
        <f t="shared" si="742"/>
        <v>Medium</v>
      </c>
      <c r="I9516">
        <v>4</v>
      </c>
      <c r="J9516" t="str" cm="1">
        <f t="array" ref="J9516">_xlfn.IFS(I9516&lt;=3,"small",I9516&lt;=6,"Medium",I9516&lt;=9,"Large")</f>
        <v>Medium</v>
      </c>
      <c r="K9516" s="36">
        <v>45449</v>
      </c>
      <c r="L9516" s="36">
        <v>45450</v>
      </c>
      <c r="M9516" t="s">
        <v>598</v>
      </c>
      <c r="N9516" t="s">
        <v>604</v>
      </c>
      <c r="O9516" s="37" t="str">
        <f t="shared" si="743"/>
        <v>Digital Payment</v>
      </c>
      <c r="P9516">
        <v>189.98</v>
      </c>
      <c r="Q9516" s="37" t="str">
        <f>IF(P9516&gt;500,"High","low")</f>
        <v>low</v>
      </c>
      <c r="R9516" s="37" t="str">
        <f t="shared" si="744"/>
        <v>AVERAGE</v>
      </c>
      <c r="S9516" t="s">
        <v>605</v>
      </c>
    </row>
    <row r="9517" spans="1:19" x14ac:dyDescent="0.2">
      <c r="A9517" t="s">
        <v>10128</v>
      </c>
      <c r="B9517" t="s">
        <v>83</v>
      </c>
      <c r="C9517" t="s">
        <v>597</v>
      </c>
      <c r="D9517">
        <v>2587.37</v>
      </c>
      <c r="E9517" s="37" t="str">
        <f t="shared" si="740"/>
        <v xml:space="preserve"> </v>
      </c>
      <c r="F9517">
        <v>0.03</v>
      </c>
      <c r="G9517" s="37" t="str">
        <f t="shared" si="741"/>
        <v>Normal Discount</v>
      </c>
      <c r="H9517" s="37" t="str">
        <f t="shared" si="742"/>
        <v>Low</v>
      </c>
      <c r="I9517">
        <v>5</v>
      </c>
      <c r="J9517" t="str" cm="1">
        <f t="array" ref="J9517">_xlfn.IFS(I9517&lt;=3,"small",I9517&lt;=6,"Medium",I9517&lt;=9,"Large")</f>
        <v>Medium</v>
      </c>
      <c r="K9517" s="36">
        <v>45499</v>
      </c>
      <c r="L9517" s="36">
        <v>45500</v>
      </c>
      <c r="M9517" t="s">
        <v>598</v>
      </c>
      <c r="N9517" t="s">
        <v>604</v>
      </c>
      <c r="O9517" s="37" t="str">
        <f t="shared" si="743"/>
        <v>Digital Payment</v>
      </c>
      <c r="P9517">
        <v>747.69</v>
      </c>
      <c r="Q9517" s="37" t="str">
        <f>IF(P9517&gt;500,"High","low")</f>
        <v>High</v>
      </c>
      <c r="R9517" s="37" t="str">
        <f t="shared" si="744"/>
        <v>Good</v>
      </c>
      <c r="S9517" t="s">
        <v>615</v>
      </c>
    </row>
    <row r="9518" spans="1:19" x14ac:dyDescent="0.2">
      <c r="A9518" t="s">
        <v>10129</v>
      </c>
      <c r="B9518" t="s">
        <v>83</v>
      </c>
      <c r="C9518" t="s">
        <v>614</v>
      </c>
      <c r="D9518">
        <v>3938.07</v>
      </c>
      <c r="E9518" s="37" t="str">
        <f t="shared" si="740"/>
        <v xml:space="preserve"> </v>
      </c>
      <c r="F9518">
        <v>0.35</v>
      </c>
      <c r="G9518" s="37" t="str">
        <f t="shared" si="741"/>
        <v>Heavy Discount</v>
      </c>
      <c r="H9518" s="37" t="str">
        <f t="shared" si="742"/>
        <v>Medium</v>
      </c>
      <c r="I9518">
        <v>8</v>
      </c>
      <c r="J9518" t="str" cm="1">
        <f t="array" ref="J9518">_xlfn.IFS(I9518&lt;=3,"small",I9518&lt;=6,"Medium",I9518&lt;=9,"Large")</f>
        <v>Large</v>
      </c>
      <c r="K9518" s="36">
        <v>45210</v>
      </c>
      <c r="L9518" s="36">
        <v>45215</v>
      </c>
      <c r="M9518" t="s">
        <v>603</v>
      </c>
      <c r="N9518" t="s">
        <v>608</v>
      </c>
      <c r="O9518" s="37" t="str">
        <f t="shared" si="743"/>
        <v>Cash Payment</v>
      </c>
      <c r="P9518">
        <v>368.35</v>
      </c>
      <c r="Q9518" s="37" t="str">
        <f>IF(P9518&gt;500,"High","low")</f>
        <v>low</v>
      </c>
      <c r="R9518" s="37" t="str">
        <f t="shared" si="744"/>
        <v>AVERAGE</v>
      </c>
      <c r="S9518" t="s">
        <v>620</v>
      </c>
    </row>
    <row r="9519" spans="1:19" x14ac:dyDescent="0.2">
      <c r="A9519" t="s">
        <v>10130</v>
      </c>
      <c r="B9519" t="s">
        <v>67</v>
      </c>
      <c r="C9519" t="s">
        <v>614</v>
      </c>
      <c r="D9519">
        <v>1408.23</v>
      </c>
      <c r="E9519" s="37" t="str">
        <f t="shared" si="740"/>
        <v xml:space="preserve"> </v>
      </c>
      <c r="F9519">
        <v>0.11</v>
      </c>
      <c r="G9519" s="37" t="str">
        <f t="shared" si="741"/>
        <v>Normal Discount</v>
      </c>
      <c r="H9519" s="37" t="str">
        <f t="shared" si="742"/>
        <v>Low</v>
      </c>
      <c r="I9519">
        <v>3</v>
      </c>
      <c r="J9519" t="str" cm="1">
        <f t="array" ref="J9519">_xlfn.IFS(I9519&lt;=3,"small",I9519&lt;=6,"Medium",I9519&lt;=9,"Large")</f>
        <v>small</v>
      </c>
      <c r="K9519" s="36">
        <v>45386</v>
      </c>
      <c r="L9519" s="36">
        <v>45387</v>
      </c>
      <c r="M9519" t="s">
        <v>598</v>
      </c>
      <c r="N9519" t="s">
        <v>599</v>
      </c>
      <c r="O9519" s="37" t="str">
        <f t="shared" si="743"/>
        <v>Digital Payment</v>
      </c>
      <c r="P9519">
        <v>354.89</v>
      </c>
      <c r="Q9519" s="37" t="str">
        <f>IF(P9519&gt;500,"High","low")</f>
        <v>low</v>
      </c>
      <c r="R9519" s="37" t="str">
        <f t="shared" si="744"/>
        <v>AVERAGE</v>
      </c>
      <c r="S9519" t="s">
        <v>609</v>
      </c>
    </row>
    <row r="9520" spans="1:19" x14ac:dyDescent="0.2">
      <c r="A9520" t="s">
        <v>10131</v>
      </c>
      <c r="B9520" t="s">
        <v>90</v>
      </c>
      <c r="C9520" t="s">
        <v>607</v>
      </c>
      <c r="D9520">
        <v>175.21</v>
      </c>
      <c r="E9520" s="37" t="str">
        <f t="shared" si="740"/>
        <v xml:space="preserve"> </v>
      </c>
      <c r="F9520">
        <v>0.35</v>
      </c>
      <c r="G9520" s="37" t="str">
        <f t="shared" si="741"/>
        <v>Heavy Discount</v>
      </c>
      <c r="H9520" s="37" t="str">
        <f t="shared" si="742"/>
        <v>Medium</v>
      </c>
      <c r="I9520">
        <v>1</v>
      </c>
      <c r="J9520" t="str" cm="1">
        <f t="array" ref="J9520">_xlfn.IFS(I9520&lt;=3,"small",I9520&lt;=6,"Medium",I9520&lt;=9,"Large")</f>
        <v>small</v>
      </c>
      <c r="K9520" s="36">
        <v>45187</v>
      </c>
      <c r="L9520" s="36">
        <v>45194</v>
      </c>
      <c r="M9520" t="s">
        <v>603</v>
      </c>
      <c r="N9520" t="s">
        <v>608</v>
      </c>
      <c r="O9520" s="37" t="str">
        <f t="shared" si="743"/>
        <v>Cash Payment</v>
      </c>
      <c r="P9520">
        <v>32.340000000000003</v>
      </c>
      <c r="Q9520" s="37" t="str">
        <f>IF(P9520&gt;500,"High","low")</f>
        <v>low</v>
      </c>
      <c r="R9520" s="37" t="str">
        <f t="shared" si="744"/>
        <v>AVERAGE</v>
      </c>
      <c r="S9520" t="s">
        <v>605</v>
      </c>
    </row>
    <row r="9521" spans="1:19" x14ac:dyDescent="0.2">
      <c r="A9521" t="s">
        <v>10132</v>
      </c>
      <c r="B9521" t="s">
        <v>90</v>
      </c>
      <c r="C9521" t="s">
        <v>614</v>
      </c>
      <c r="D9521">
        <v>2094.7600000000002</v>
      </c>
      <c r="E9521" s="37" t="str">
        <f t="shared" si="740"/>
        <v xml:space="preserve"> </v>
      </c>
      <c r="F9521">
        <v>0.18</v>
      </c>
      <c r="G9521" s="37" t="str">
        <f t="shared" si="741"/>
        <v>Normal Discount</v>
      </c>
      <c r="H9521" s="37" t="str">
        <f t="shared" si="742"/>
        <v>Low</v>
      </c>
      <c r="I9521">
        <v>7</v>
      </c>
      <c r="J9521" t="str" cm="1">
        <f t="array" ref="J9521">_xlfn.IFS(I9521&lt;=3,"small",I9521&lt;=6,"Medium",I9521&lt;=9,"Large")</f>
        <v>Large</v>
      </c>
      <c r="K9521" s="36">
        <v>45296</v>
      </c>
      <c r="L9521" s="36">
        <v>45297</v>
      </c>
      <c r="M9521" t="s">
        <v>598</v>
      </c>
      <c r="N9521" t="s">
        <v>608</v>
      </c>
      <c r="O9521" s="37" t="str">
        <f t="shared" si="743"/>
        <v>Cash Payment</v>
      </c>
      <c r="P9521">
        <v>586.86</v>
      </c>
      <c r="Q9521" s="37" t="str">
        <f>IF(P9521&gt;500,"High","low")</f>
        <v>High</v>
      </c>
      <c r="R9521" s="37" t="str">
        <f t="shared" si="744"/>
        <v>Good</v>
      </c>
      <c r="S9521" t="s">
        <v>609</v>
      </c>
    </row>
    <row r="9522" spans="1:19" x14ac:dyDescent="0.2">
      <c r="A9522" t="s">
        <v>10133</v>
      </c>
      <c r="B9522" t="s">
        <v>67</v>
      </c>
      <c r="C9522" t="s">
        <v>614</v>
      </c>
      <c r="D9522">
        <v>2588.09</v>
      </c>
      <c r="E9522" s="37" t="str">
        <f t="shared" si="740"/>
        <v xml:space="preserve"> </v>
      </c>
      <c r="F9522">
        <v>0.39</v>
      </c>
      <c r="G9522" s="37" t="str">
        <f t="shared" si="741"/>
        <v>Heavy Discount</v>
      </c>
      <c r="H9522" s="37" t="str">
        <f t="shared" si="742"/>
        <v>Medium</v>
      </c>
      <c r="I9522">
        <v>4</v>
      </c>
      <c r="J9522" t="str" cm="1">
        <f t="array" ref="J9522">_xlfn.IFS(I9522&lt;=3,"small",I9522&lt;=6,"Medium",I9522&lt;=9,"Large")</f>
        <v>Medium</v>
      </c>
      <c r="K9522" s="36">
        <v>45373</v>
      </c>
      <c r="L9522" s="36">
        <v>45376</v>
      </c>
      <c r="M9522" t="s">
        <v>612</v>
      </c>
      <c r="N9522" t="s">
        <v>604</v>
      </c>
      <c r="O9522" s="37" t="str">
        <f t="shared" si="743"/>
        <v>Digital Payment</v>
      </c>
      <c r="P9522">
        <v>661.13</v>
      </c>
      <c r="Q9522" s="37" t="str">
        <f>IF(P9522&gt;500,"High","low")</f>
        <v>High</v>
      </c>
      <c r="R9522" s="37" t="str">
        <f t="shared" si="744"/>
        <v>Good</v>
      </c>
      <c r="S9522" t="s">
        <v>620</v>
      </c>
    </row>
    <row r="9523" spans="1:19" x14ac:dyDescent="0.2">
      <c r="A9523" t="s">
        <v>10134</v>
      </c>
      <c r="B9523" t="s">
        <v>83</v>
      </c>
      <c r="C9523" t="s">
        <v>597</v>
      </c>
      <c r="D9523">
        <v>1556.59</v>
      </c>
      <c r="E9523" s="37" t="str">
        <f t="shared" si="740"/>
        <v xml:space="preserve"> </v>
      </c>
      <c r="F9523">
        <v>0.47</v>
      </c>
      <c r="G9523" s="37" t="str">
        <f t="shared" si="741"/>
        <v>Heavy Discount</v>
      </c>
      <c r="H9523" s="37" t="str">
        <f t="shared" si="742"/>
        <v>High</v>
      </c>
      <c r="I9523">
        <v>5</v>
      </c>
      <c r="J9523" t="str" cm="1">
        <f t="array" ref="J9523">_xlfn.IFS(I9523&lt;=3,"small",I9523&lt;=6,"Medium",I9523&lt;=9,"Large")</f>
        <v>Medium</v>
      </c>
      <c r="K9523" s="36">
        <v>45453</v>
      </c>
      <c r="L9523" s="36">
        <v>45456</v>
      </c>
      <c r="M9523" t="s">
        <v>612</v>
      </c>
      <c r="N9523" t="s">
        <v>608</v>
      </c>
      <c r="O9523" s="37" t="str">
        <f t="shared" si="743"/>
        <v>Cash Payment</v>
      </c>
      <c r="P9523">
        <v>172.01</v>
      </c>
      <c r="Q9523" s="37" t="str">
        <f>IF(P9523&gt;500,"High","low")</f>
        <v>low</v>
      </c>
      <c r="R9523" s="37" t="str">
        <f t="shared" si="744"/>
        <v>AVERAGE</v>
      </c>
      <c r="S9523" t="s">
        <v>600</v>
      </c>
    </row>
    <row r="9524" spans="1:19" x14ac:dyDescent="0.2">
      <c r="A9524" t="s">
        <v>10135</v>
      </c>
      <c r="B9524" t="s">
        <v>83</v>
      </c>
      <c r="C9524" t="s">
        <v>597</v>
      </c>
      <c r="D9524">
        <v>1978.47</v>
      </c>
      <c r="E9524" s="37" t="str">
        <f t="shared" si="740"/>
        <v xml:space="preserve"> </v>
      </c>
      <c r="F9524">
        <v>0.43</v>
      </c>
      <c r="G9524" s="37" t="str">
        <f t="shared" si="741"/>
        <v>Heavy Discount</v>
      </c>
      <c r="H9524" s="37" t="str">
        <f t="shared" si="742"/>
        <v>High</v>
      </c>
      <c r="I9524">
        <v>6</v>
      </c>
      <c r="J9524" t="str" cm="1">
        <f t="array" ref="J9524">_xlfn.IFS(I9524&lt;=3,"small",I9524&lt;=6,"Medium",I9524&lt;=9,"Large")</f>
        <v>Medium</v>
      </c>
      <c r="K9524" s="36">
        <v>45342</v>
      </c>
      <c r="L9524" s="36">
        <v>45346</v>
      </c>
      <c r="M9524" t="s">
        <v>603</v>
      </c>
      <c r="N9524" t="s">
        <v>608</v>
      </c>
      <c r="O9524" s="37" t="str">
        <f t="shared" si="743"/>
        <v>Cash Payment</v>
      </c>
      <c r="P9524">
        <v>588.66999999999996</v>
      </c>
      <c r="Q9524" s="37" t="str">
        <f>IF(P9524&gt;500,"High","low")</f>
        <v>High</v>
      </c>
      <c r="R9524" s="37" t="str">
        <f t="shared" si="744"/>
        <v>Good</v>
      </c>
      <c r="S9524" t="s">
        <v>615</v>
      </c>
    </row>
    <row r="9525" spans="1:19" x14ac:dyDescent="0.2">
      <c r="A9525" t="s">
        <v>10136</v>
      </c>
      <c r="B9525" t="s">
        <v>90</v>
      </c>
      <c r="C9525" t="s">
        <v>614</v>
      </c>
      <c r="D9525">
        <v>751.99</v>
      </c>
      <c r="E9525" s="37" t="str">
        <f t="shared" si="740"/>
        <v xml:space="preserve"> </v>
      </c>
      <c r="F9525">
        <v>0.24</v>
      </c>
      <c r="G9525" s="37" t="str">
        <f t="shared" si="741"/>
        <v>Normal Discount</v>
      </c>
      <c r="H9525" s="37" t="str">
        <f t="shared" si="742"/>
        <v>Medium</v>
      </c>
      <c r="I9525">
        <v>4</v>
      </c>
      <c r="J9525" t="str" cm="1">
        <f t="array" ref="J9525">_xlfn.IFS(I9525&lt;=3,"small",I9525&lt;=6,"Medium",I9525&lt;=9,"Large")</f>
        <v>Medium</v>
      </c>
      <c r="K9525" s="36">
        <v>45223</v>
      </c>
      <c r="L9525" s="36">
        <v>45230</v>
      </c>
      <c r="M9525" t="s">
        <v>598</v>
      </c>
      <c r="N9525" t="s">
        <v>599</v>
      </c>
      <c r="O9525" s="37" t="str">
        <f t="shared" si="743"/>
        <v>Digital Payment</v>
      </c>
      <c r="P9525">
        <v>111.13</v>
      </c>
      <c r="Q9525" s="37" t="str">
        <f>IF(P9525&gt;500,"High","low")</f>
        <v>low</v>
      </c>
      <c r="R9525" s="37" t="str">
        <f t="shared" si="744"/>
        <v>AVERAGE</v>
      </c>
      <c r="S9525" t="s">
        <v>628</v>
      </c>
    </row>
    <row r="9526" spans="1:19" x14ac:dyDescent="0.2">
      <c r="A9526" t="s">
        <v>10137</v>
      </c>
      <c r="B9526" t="s">
        <v>67</v>
      </c>
      <c r="C9526" t="s">
        <v>597</v>
      </c>
      <c r="D9526">
        <v>1458.72</v>
      </c>
      <c r="E9526" s="37" t="str">
        <f t="shared" si="740"/>
        <v xml:space="preserve"> </v>
      </c>
      <c r="F9526">
        <v>0.11</v>
      </c>
      <c r="G9526" s="37" t="str">
        <f t="shared" si="741"/>
        <v>Normal Discount</v>
      </c>
      <c r="H9526" s="37" t="str">
        <f t="shared" si="742"/>
        <v>Low</v>
      </c>
      <c r="I9526">
        <v>1</v>
      </c>
      <c r="J9526" t="str" cm="1">
        <f t="array" ref="J9526">_xlfn.IFS(I9526&lt;=3,"small",I9526&lt;=6,"Medium",I9526&lt;=9,"Large")</f>
        <v>small</v>
      </c>
      <c r="K9526" s="36">
        <v>45004</v>
      </c>
      <c r="L9526" s="36">
        <v>45006</v>
      </c>
      <c r="M9526" t="s">
        <v>598</v>
      </c>
      <c r="N9526" t="s">
        <v>604</v>
      </c>
      <c r="O9526" s="37" t="str">
        <f t="shared" si="743"/>
        <v>Digital Payment</v>
      </c>
      <c r="P9526">
        <v>369.72</v>
      </c>
      <c r="Q9526" s="37" t="str">
        <f>IF(P9526&gt;500,"High","low")</f>
        <v>low</v>
      </c>
      <c r="R9526" s="37" t="str">
        <f t="shared" si="744"/>
        <v>AVERAGE</v>
      </c>
      <c r="S9526" t="s">
        <v>620</v>
      </c>
    </row>
    <row r="9527" spans="1:19" x14ac:dyDescent="0.2">
      <c r="A9527" t="s">
        <v>10138</v>
      </c>
      <c r="B9527" t="s">
        <v>83</v>
      </c>
      <c r="C9527" t="s">
        <v>617</v>
      </c>
      <c r="D9527">
        <v>1276.47</v>
      </c>
      <c r="E9527" s="37" t="str">
        <f t="shared" si="740"/>
        <v xml:space="preserve"> </v>
      </c>
      <c r="F9527">
        <v>0.5</v>
      </c>
      <c r="G9527" s="37" t="str">
        <f t="shared" si="741"/>
        <v>Heavy Discount</v>
      </c>
      <c r="H9527" s="37" t="str">
        <f t="shared" si="742"/>
        <v>High</v>
      </c>
      <c r="I9527">
        <v>8</v>
      </c>
      <c r="J9527" t="str" cm="1">
        <f t="array" ref="J9527">_xlfn.IFS(I9527&lt;=3,"small",I9527&lt;=6,"Medium",I9527&lt;=9,"Large")</f>
        <v>Large</v>
      </c>
      <c r="K9527" s="36">
        <v>45436</v>
      </c>
      <c r="L9527" s="36">
        <v>45440</v>
      </c>
      <c r="M9527" t="s">
        <v>598</v>
      </c>
      <c r="N9527" t="s">
        <v>608</v>
      </c>
      <c r="O9527" s="37" t="str">
        <f t="shared" si="743"/>
        <v>Cash Payment</v>
      </c>
      <c r="P9527">
        <v>378.2</v>
      </c>
      <c r="Q9527" s="37" t="str">
        <f>IF(P9527&gt;500,"High","low")</f>
        <v>low</v>
      </c>
      <c r="R9527" s="37" t="str">
        <f t="shared" si="744"/>
        <v>AVERAGE</v>
      </c>
      <c r="S9527" t="s">
        <v>615</v>
      </c>
    </row>
    <row r="9528" spans="1:19" x14ac:dyDescent="0.2">
      <c r="A9528" t="s">
        <v>10139</v>
      </c>
      <c r="B9528" t="s">
        <v>83</v>
      </c>
      <c r="C9528" t="s">
        <v>607</v>
      </c>
      <c r="D9528">
        <v>1574.84</v>
      </c>
      <c r="E9528" s="37" t="str">
        <f t="shared" si="740"/>
        <v xml:space="preserve"> </v>
      </c>
      <c r="F9528">
        <v>0.33</v>
      </c>
      <c r="G9528" s="37" t="str">
        <f t="shared" si="741"/>
        <v>Heavy Discount</v>
      </c>
      <c r="H9528" s="37" t="str">
        <f t="shared" si="742"/>
        <v>Medium</v>
      </c>
      <c r="I9528">
        <v>9</v>
      </c>
      <c r="J9528" t="str" cm="1">
        <f t="array" ref="J9528">_xlfn.IFS(I9528&lt;=3,"small",I9528&lt;=6,"Medium",I9528&lt;=9,"Large")</f>
        <v>Large</v>
      </c>
      <c r="K9528" s="36">
        <v>45263</v>
      </c>
      <c r="L9528" s="36">
        <v>45267</v>
      </c>
      <c r="M9528" t="s">
        <v>598</v>
      </c>
      <c r="N9528" t="s">
        <v>599</v>
      </c>
      <c r="O9528" s="37" t="str">
        <f t="shared" si="743"/>
        <v>Digital Payment</v>
      </c>
      <c r="P9528">
        <v>199.16</v>
      </c>
      <c r="Q9528" s="37" t="str">
        <f>IF(P9528&gt;500,"High","low")</f>
        <v>low</v>
      </c>
      <c r="R9528" s="37" t="str">
        <f t="shared" si="744"/>
        <v>AVERAGE</v>
      </c>
      <c r="S9528" t="s">
        <v>605</v>
      </c>
    </row>
    <row r="9529" spans="1:19" x14ac:dyDescent="0.2">
      <c r="A9529" t="s">
        <v>10140</v>
      </c>
      <c r="B9529" t="s">
        <v>83</v>
      </c>
      <c r="C9529" t="s">
        <v>617</v>
      </c>
      <c r="D9529">
        <v>1565.37</v>
      </c>
      <c r="E9529" s="37" t="str">
        <f t="shared" si="740"/>
        <v xml:space="preserve"> </v>
      </c>
      <c r="F9529">
        <v>0.2</v>
      </c>
      <c r="G9529" s="37" t="str">
        <f t="shared" si="741"/>
        <v>Normal Discount</v>
      </c>
      <c r="H9529" s="37" t="str">
        <f t="shared" si="742"/>
        <v>Medium</v>
      </c>
      <c r="I9529">
        <v>3</v>
      </c>
      <c r="J9529" t="str" cm="1">
        <f t="array" ref="J9529">_xlfn.IFS(I9529&lt;=3,"small",I9529&lt;=6,"Medium",I9529&lt;=9,"Large")</f>
        <v>small</v>
      </c>
      <c r="K9529" s="36">
        <v>45098</v>
      </c>
      <c r="L9529" s="36">
        <v>45105</v>
      </c>
      <c r="M9529" t="s">
        <v>612</v>
      </c>
      <c r="N9529" t="s">
        <v>608</v>
      </c>
      <c r="O9529" s="37" t="str">
        <f t="shared" si="743"/>
        <v>Cash Payment</v>
      </c>
      <c r="P9529">
        <v>370.18</v>
      </c>
      <c r="Q9529" s="37" t="str">
        <f>IF(P9529&gt;500,"High","low")</f>
        <v>low</v>
      </c>
      <c r="R9529" s="37" t="str">
        <f t="shared" si="744"/>
        <v>AVERAGE</v>
      </c>
      <c r="S9529" t="s">
        <v>620</v>
      </c>
    </row>
    <row r="9530" spans="1:19" x14ac:dyDescent="0.2">
      <c r="A9530" t="s">
        <v>10141</v>
      </c>
      <c r="B9530" t="s">
        <v>75</v>
      </c>
      <c r="C9530" t="s">
        <v>617</v>
      </c>
      <c r="D9530">
        <v>2838.95</v>
      </c>
      <c r="E9530" s="37" t="str">
        <f t="shared" si="740"/>
        <v xml:space="preserve"> </v>
      </c>
      <c r="F9530">
        <v>0.24</v>
      </c>
      <c r="G9530" s="37" t="str">
        <f t="shared" si="741"/>
        <v>Normal Discount</v>
      </c>
      <c r="H9530" s="37" t="str">
        <f t="shared" si="742"/>
        <v>Medium</v>
      </c>
      <c r="I9530">
        <v>4</v>
      </c>
      <c r="J9530" t="str" cm="1">
        <f t="array" ref="J9530">_xlfn.IFS(I9530&lt;=3,"small",I9530&lt;=6,"Medium",I9530&lt;=9,"Large")</f>
        <v>Medium</v>
      </c>
      <c r="K9530" s="36">
        <v>45573</v>
      </c>
      <c r="L9530" s="36">
        <v>45576</v>
      </c>
      <c r="M9530" t="s">
        <v>603</v>
      </c>
      <c r="N9530" t="s">
        <v>599</v>
      </c>
      <c r="O9530" s="37" t="str">
        <f t="shared" si="743"/>
        <v>Digital Payment</v>
      </c>
      <c r="P9530">
        <v>264.39999999999998</v>
      </c>
      <c r="Q9530" s="37" t="str">
        <f>IF(P9530&gt;500,"High","low")</f>
        <v>low</v>
      </c>
      <c r="R9530" s="37" t="str">
        <f t="shared" si="744"/>
        <v>AVERAGE</v>
      </c>
      <c r="S9530" t="s">
        <v>615</v>
      </c>
    </row>
    <row r="9531" spans="1:19" x14ac:dyDescent="0.2">
      <c r="A9531" t="s">
        <v>10142</v>
      </c>
      <c r="B9531" t="s">
        <v>67</v>
      </c>
      <c r="C9531" t="s">
        <v>614</v>
      </c>
      <c r="D9531">
        <v>1327.93</v>
      </c>
      <c r="E9531" s="37" t="str">
        <f t="shared" si="740"/>
        <v xml:space="preserve"> </v>
      </c>
      <c r="F9531">
        <v>0.06</v>
      </c>
      <c r="G9531" s="37" t="str">
        <f t="shared" si="741"/>
        <v>Normal Discount</v>
      </c>
      <c r="H9531" s="37" t="str">
        <f t="shared" si="742"/>
        <v>Low</v>
      </c>
      <c r="I9531">
        <v>5</v>
      </c>
      <c r="J9531" t="str" cm="1">
        <f t="array" ref="J9531">_xlfn.IFS(I9531&lt;=3,"small",I9531&lt;=6,"Medium",I9531&lt;=9,"Large")</f>
        <v>Medium</v>
      </c>
      <c r="K9531" s="36">
        <v>45278</v>
      </c>
      <c r="L9531" s="36">
        <v>45279</v>
      </c>
      <c r="M9531" t="s">
        <v>612</v>
      </c>
      <c r="N9531" t="s">
        <v>604</v>
      </c>
      <c r="O9531" s="37" t="str">
        <f t="shared" si="743"/>
        <v>Digital Payment</v>
      </c>
      <c r="P9531">
        <v>264.26</v>
      </c>
      <c r="Q9531" s="37" t="str">
        <f>IF(P9531&gt;500,"High","low")</f>
        <v>low</v>
      </c>
      <c r="R9531" s="37" t="str">
        <f t="shared" si="744"/>
        <v>AVERAGE</v>
      </c>
      <c r="S9531" t="s">
        <v>600</v>
      </c>
    </row>
    <row r="9532" spans="1:19" x14ac:dyDescent="0.2">
      <c r="A9532" t="s">
        <v>10143</v>
      </c>
      <c r="B9532" t="s">
        <v>83</v>
      </c>
      <c r="C9532" t="s">
        <v>614</v>
      </c>
      <c r="D9532">
        <v>4710.71</v>
      </c>
      <c r="E9532" s="37" t="str">
        <f t="shared" si="740"/>
        <v xml:space="preserve"> </v>
      </c>
      <c r="F9532">
        <v>0.25</v>
      </c>
      <c r="G9532" s="37" t="str">
        <f t="shared" si="741"/>
        <v>Normal Discount</v>
      </c>
      <c r="H9532" s="37" t="str">
        <f t="shared" si="742"/>
        <v>Medium</v>
      </c>
      <c r="I9532">
        <v>9</v>
      </c>
      <c r="J9532" t="str" cm="1">
        <f t="array" ref="J9532">_xlfn.IFS(I9532&lt;=3,"small",I9532&lt;=6,"Medium",I9532&lt;=9,"Large")</f>
        <v>Large</v>
      </c>
      <c r="K9532" s="36">
        <v>44970</v>
      </c>
      <c r="L9532" s="36">
        <v>44977</v>
      </c>
      <c r="M9532" t="s">
        <v>612</v>
      </c>
      <c r="N9532" t="s">
        <v>599</v>
      </c>
      <c r="O9532" s="37" t="str">
        <f t="shared" si="743"/>
        <v>Digital Payment</v>
      </c>
      <c r="P9532">
        <v>722.26</v>
      </c>
      <c r="Q9532" s="37" t="str">
        <f>IF(P9532&gt;500,"High","low")</f>
        <v>High</v>
      </c>
      <c r="R9532" s="37" t="str">
        <f t="shared" si="744"/>
        <v>Good</v>
      </c>
      <c r="S9532" t="s">
        <v>600</v>
      </c>
    </row>
    <row r="9533" spans="1:19" x14ac:dyDescent="0.2">
      <c r="A9533" t="s">
        <v>10144</v>
      </c>
      <c r="B9533" t="s">
        <v>75</v>
      </c>
      <c r="C9533" t="s">
        <v>617</v>
      </c>
      <c r="D9533">
        <v>2605.25</v>
      </c>
      <c r="E9533" s="37" t="str">
        <f t="shared" si="740"/>
        <v xml:space="preserve"> </v>
      </c>
      <c r="F9533">
        <v>0.09</v>
      </c>
      <c r="G9533" s="37" t="str">
        <f t="shared" si="741"/>
        <v>Normal Discount</v>
      </c>
      <c r="H9533" s="37" t="str">
        <f t="shared" si="742"/>
        <v>Low</v>
      </c>
      <c r="I9533">
        <v>5</v>
      </c>
      <c r="J9533" t="str" cm="1">
        <f t="array" ref="J9533">_xlfn.IFS(I9533&lt;=3,"small",I9533&lt;=6,"Medium",I9533&lt;=9,"Large")</f>
        <v>Medium</v>
      </c>
      <c r="K9533" s="36">
        <v>45120</v>
      </c>
      <c r="L9533" s="36">
        <v>45125</v>
      </c>
      <c r="M9533" t="s">
        <v>598</v>
      </c>
      <c r="N9533" t="s">
        <v>608</v>
      </c>
      <c r="O9533" s="37" t="str">
        <f t="shared" si="743"/>
        <v>Cash Payment</v>
      </c>
      <c r="P9533">
        <v>343.1</v>
      </c>
      <c r="Q9533" s="37" t="str">
        <f>IF(P9533&gt;500,"High","low")</f>
        <v>low</v>
      </c>
      <c r="R9533" s="37" t="str">
        <f t="shared" si="744"/>
        <v>AVERAGE</v>
      </c>
      <c r="S9533" t="s">
        <v>615</v>
      </c>
    </row>
    <row r="9534" spans="1:19" x14ac:dyDescent="0.2">
      <c r="A9534" t="s">
        <v>10145</v>
      </c>
      <c r="B9534" t="s">
        <v>67</v>
      </c>
      <c r="C9534" t="s">
        <v>617</v>
      </c>
      <c r="D9534">
        <v>731.93</v>
      </c>
      <c r="E9534" s="37" t="str">
        <f t="shared" si="740"/>
        <v xml:space="preserve"> </v>
      </c>
      <c r="F9534">
        <v>0.18</v>
      </c>
      <c r="G9534" s="37" t="str">
        <f t="shared" si="741"/>
        <v>Normal Discount</v>
      </c>
      <c r="H9534" s="37" t="str">
        <f t="shared" si="742"/>
        <v>Low</v>
      </c>
      <c r="I9534">
        <v>7</v>
      </c>
      <c r="J9534" t="str" cm="1">
        <f t="array" ref="J9534">_xlfn.IFS(I9534&lt;=3,"small",I9534&lt;=6,"Medium",I9534&lt;=9,"Large")</f>
        <v>Large</v>
      </c>
      <c r="K9534" s="36">
        <v>45384</v>
      </c>
      <c r="L9534" s="36">
        <v>45390</v>
      </c>
      <c r="M9534" t="s">
        <v>603</v>
      </c>
      <c r="N9534" t="s">
        <v>599</v>
      </c>
      <c r="O9534" s="37" t="str">
        <f t="shared" si="743"/>
        <v>Digital Payment</v>
      </c>
      <c r="P9534">
        <v>53.9</v>
      </c>
      <c r="Q9534" s="37" t="str">
        <f>IF(P9534&gt;500,"High","low")</f>
        <v>low</v>
      </c>
      <c r="R9534" s="37" t="str">
        <f t="shared" si="744"/>
        <v>AVERAGE</v>
      </c>
      <c r="S9534" t="s">
        <v>615</v>
      </c>
    </row>
    <row r="9535" spans="1:19" x14ac:dyDescent="0.2">
      <c r="A9535" t="s">
        <v>10146</v>
      </c>
      <c r="B9535" t="s">
        <v>83</v>
      </c>
      <c r="C9535" t="s">
        <v>602</v>
      </c>
      <c r="D9535">
        <v>1470.07</v>
      </c>
      <c r="E9535" s="37" t="str">
        <f t="shared" si="740"/>
        <v xml:space="preserve"> </v>
      </c>
      <c r="F9535">
        <v>0.25</v>
      </c>
      <c r="G9535" s="37" t="str">
        <f t="shared" si="741"/>
        <v>Normal Discount</v>
      </c>
      <c r="H9535" s="37" t="str">
        <f t="shared" si="742"/>
        <v>Medium</v>
      </c>
      <c r="I9535">
        <v>3</v>
      </c>
      <c r="J9535" t="str" cm="1">
        <f t="array" ref="J9535">_xlfn.IFS(I9535&lt;=3,"small",I9535&lt;=6,"Medium",I9535&lt;=9,"Large")</f>
        <v>small</v>
      </c>
      <c r="K9535" s="36">
        <v>45442</v>
      </c>
      <c r="L9535" s="36">
        <v>45449</v>
      </c>
      <c r="M9535" t="s">
        <v>603</v>
      </c>
      <c r="N9535" t="s">
        <v>608</v>
      </c>
      <c r="O9535" s="37" t="str">
        <f t="shared" si="743"/>
        <v>Cash Payment</v>
      </c>
      <c r="P9535">
        <v>133.6</v>
      </c>
      <c r="Q9535" s="37" t="str">
        <f>IF(P9535&gt;500,"High","low")</f>
        <v>low</v>
      </c>
      <c r="R9535" s="37" t="str">
        <f t="shared" si="744"/>
        <v>AVERAGE</v>
      </c>
      <c r="S9535" t="s">
        <v>615</v>
      </c>
    </row>
    <row r="9536" spans="1:19" x14ac:dyDescent="0.2">
      <c r="A9536" t="s">
        <v>10147</v>
      </c>
      <c r="B9536" t="s">
        <v>90</v>
      </c>
      <c r="C9536" t="s">
        <v>602</v>
      </c>
      <c r="D9536">
        <v>3675.81</v>
      </c>
      <c r="E9536" s="37" t="str">
        <f t="shared" si="740"/>
        <v xml:space="preserve"> </v>
      </c>
      <c r="F9536">
        <v>0.47</v>
      </c>
      <c r="G9536" s="37" t="str">
        <f t="shared" si="741"/>
        <v>Heavy Discount</v>
      </c>
      <c r="H9536" s="37" t="str">
        <f t="shared" si="742"/>
        <v>High</v>
      </c>
      <c r="I9536">
        <v>1</v>
      </c>
      <c r="J9536" t="str" cm="1">
        <f t="array" ref="J9536">_xlfn.IFS(I9536&lt;=3,"small",I9536&lt;=6,"Medium",I9536&lt;=9,"Large")</f>
        <v>small</v>
      </c>
      <c r="K9536" s="36">
        <v>44990</v>
      </c>
      <c r="L9536" s="36">
        <v>44994</v>
      </c>
      <c r="M9536" t="s">
        <v>612</v>
      </c>
      <c r="N9536" t="s">
        <v>608</v>
      </c>
      <c r="O9536" s="37" t="str">
        <f t="shared" si="743"/>
        <v>Cash Payment</v>
      </c>
      <c r="P9536">
        <v>1050.8900000000001</v>
      </c>
      <c r="Q9536" s="37" t="str">
        <f>IF(P9536&gt;500,"High","low")</f>
        <v>High</v>
      </c>
      <c r="R9536" s="37" t="str">
        <f t="shared" si="744"/>
        <v>Excellent</v>
      </c>
      <c r="S9536" t="s">
        <v>620</v>
      </c>
    </row>
    <row r="9537" spans="1:19" x14ac:dyDescent="0.2">
      <c r="A9537" t="s">
        <v>10148</v>
      </c>
      <c r="B9537" t="s">
        <v>75</v>
      </c>
      <c r="C9537" t="s">
        <v>607</v>
      </c>
      <c r="D9537">
        <v>166.93</v>
      </c>
      <c r="E9537" s="37" t="str">
        <f t="shared" si="740"/>
        <v xml:space="preserve"> </v>
      </c>
      <c r="F9537">
        <v>0.31</v>
      </c>
      <c r="G9537" s="37" t="str">
        <f t="shared" si="741"/>
        <v>Heavy Discount</v>
      </c>
      <c r="H9537" s="37" t="str">
        <f t="shared" si="742"/>
        <v>Medium</v>
      </c>
      <c r="I9537">
        <v>6</v>
      </c>
      <c r="J9537" t="str" cm="1">
        <f t="array" ref="J9537">_xlfn.IFS(I9537&lt;=3,"small",I9537&lt;=6,"Medium",I9537&lt;=9,"Large")</f>
        <v>Medium</v>
      </c>
      <c r="K9537" s="36">
        <v>45187</v>
      </c>
      <c r="L9537" s="36">
        <v>45189</v>
      </c>
      <c r="M9537" t="s">
        <v>612</v>
      </c>
      <c r="N9537" t="s">
        <v>599</v>
      </c>
      <c r="O9537" s="37" t="str">
        <f t="shared" si="743"/>
        <v>Digital Payment</v>
      </c>
      <c r="P9537">
        <v>34.17</v>
      </c>
      <c r="Q9537" s="37" t="str">
        <f>IF(P9537&gt;500,"High","low")</f>
        <v>low</v>
      </c>
      <c r="R9537" s="37" t="str">
        <f t="shared" si="744"/>
        <v>AVERAGE</v>
      </c>
      <c r="S9537" t="s">
        <v>609</v>
      </c>
    </row>
    <row r="9538" spans="1:19" x14ac:dyDescent="0.2">
      <c r="A9538" t="s">
        <v>10149</v>
      </c>
      <c r="B9538" t="s">
        <v>75</v>
      </c>
      <c r="C9538" t="s">
        <v>617</v>
      </c>
      <c r="D9538">
        <v>4695.3100000000004</v>
      </c>
      <c r="E9538" s="37" t="str">
        <f t="shared" si="740"/>
        <v xml:space="preserve"> </v>
      </c>
      <c r="F9538">
        <v>0.19</v>
      </c>
      <c r="G9538" s="37" t="str">
        <f t="shared" si="741"/>
        <v>Normal Discount</v>
      </c>
      <c r="H9538" s="37" t="str">
        <f t="shared" si="742"/>
        <v>Low</v>
      </c>
      <c r="I9538">
        <v>1</v>
      </c>
      <c r="J9538" t="str" cm="1">
        <f t="array" ref="J9538">_xlfn.IFS(I9538&lt;=3,"small",I9538&lt;=6,"Medium",I9538&lt;=9,"Large")</f>
        <v>small</v>
      </c>
      <c r="K9538" s="36">
        <v>45091</v>
      </c>
      <c r="L9538" s="36">
        <v>45095</v>
      </c>
      <c r="M9538" t="s">
        <v>598</v>
      </c>
      <c r="N9538" t="s">
        <v>608</v>
      </c>
      <c r="O9538" s="37" t="str">
        <f t="shared" si="743"/>
        <v>Cash Payment</v>
      </c>
      <c r="P9538">
        <v>414.28</v>
      </c>
      <c r="Q9538" s="37" t="str">
        <f>IF(P9538&gt;500,"High","low")</f>
        <v>low</v>
      </c>
      <c r="R9538" s="37" t="str">
        <f t="shared" si="744"/>
        <v>AVERAGE</v>
      </c>
      <c r="S9538" t="s">
        <v>628</v>
      </c>
    </row>
    <row r="9539" spans="1:19" x14ac:dyDescent="0.2">
      <c r="A9539" t="s">
        <v>10150</v>
      </c>
      <c r="B9539" t="s">
        <v>83</v>
      </c>
      <c r="C9539" t="s">
        <v>597</v>
      </c>
      <c r="D9539">
        <v>2281.37</v>
      </c>
      <c r="E9539" s="37" t="str">
        <f t="shared" ref="E9539:E9602" si="745">IF(AND(D9539&gt;4000,P9539&gt;800),"Excellent Order"," ")</f>
        <v xml:space="preserve"> </v>
      </c>
      <c r="F9539">
        <v>0.06</v>
      </c>
      <c r="G9539" s="37" t="str">
        <f t="shared" ref="G9539:G9602" si="746">IF(F9539&gt;30%,"Heavy Discount","Normal Discount")</f>
        <v>Normal Discount</v>
      </c>
      <c r="H9539" s="37" t="str">
        <f t="shared" ref="H9539:H9602" si="747">IF(F9539&gt;0.4,"High",IF(F9539&gt;=0.2,"Medium","Low"))</f>
        <v>Low</v>
      </c>
      <c r="I9539">
        <v>6</v>
      </c>
      <c r="J9539" t="str" cm="1">
        <f t="array" ref="J9539">_xlfn.IFS(I9539&lt;=3,"small",I9539&lt;=6,"Medium",I9539&lt;=9,"Large")</f>
        <v>Medium</v>
      </c>
      <c r="K9539" s="36">
        <v>45029</v>
      </c>
      <c r="L9539" s="36">
        <v>45030</v>
      </c>
      <c r="M9539" t="s">
        <v>603</v>
      </c>
      <c r="N9539" t="s">
        <v>604</v>
      </c>
      <c r="O9539" s="37" t="str">
        <f t="shared" ref="O9539:O9602" si="748">IF(OR(N9539="Card",N9539="UPI"),"Digital Payment","Cash Payment")</f>
        <v>Digital Payment</v>
      </c>
      <c r="P9539">
        <v>387.39</v>
      </c>
      <c r="Q9539" s="37" t="str">
        <f>IF(P9539&gt;500,"High","low")</f>
        <v>low</v>
      </c>
      <c r="R9539" s="37" t="str">
        <f t="shared" ref="R9539:R9602" si="749">IF(P9539&gt;1000,"Excellent",IF(P9539&gt;=500,"Good","AVERAGE"))</f>
        <v>AVERAGE</v>
      </c>
      <c r="S9539" t="s">
        <v>605</v>
      </c>
    </row>
    <row r="9540" spans="1:19" x14ac:dyDescent="0.2">
      <c r="A9540" t="s">
        <v>10151</v>
      </c>
      <c r="B9540" t="s">
        <v>83</v>
      </c>
      <c r="C9540" t="s">
        <v>602</v>
      </c>
      <c r="D9540">
        <v>2653.29</v>
      </c>
      <c r="E9540" s="37" t="str">
        <f t="shared" si="745"/>
        <v xml:space="preserve"> </v>
      </c>
      <c r="F9540">
        <v>0.37</v>
      </c>
      <c r="G9540" s="37" t="str">
        <f t="shared" si="746"/>
        <v>Heavy Discount</v>
      </c>
      <c r="H9540" s="37" t="str">
        <f t="shared" si="747"/>
        <v>Medium</v>
      </c>
      <c r="I9540">
        <v>8</v>
      </c>
      <c r="J9540" t="str" cm="1">
        <f t="array" ref="J9540">_xlfn.IFS(I9540&lt;=3,"small",I9540&lt;=6,"Medium",I9540&lt;=9,"Large")</f>
        <v>Large</v>
      </c>
      <c r="K9540" s="36">
        <v>45080</v>
      </c>
      <c r="L9540" s="36">
        <v>45084</v>
      </c>
      <c r="M9540" t="s">
        <v>612</v>
      </c>
      <c r="N9540" t="s">
        <v>599</v>
      </c>
      <c r="O9540" s="37" t="str">
        <f t="shared" si="748"/>
        <v>Digital Payment</v>
      </c>
      <c r="P9540">
        <v>619.99</v>
      </c>
      <c r="Q9540" s="37" t="str">
        <f>IF(P9540&gt;500,"High","low")</f>
        <v>High</v>
      </c>
      <c r="R9540" s="37" t="str">
        <f t="shared" si="749"/>
        <v>Good</v>
      </c>
      <c r="S9540" t="s">
        <v>620</v>
      </c>
    </row>
    <row r="9541" spans="1:19" x14ac:dyDescent="0.2">
      <c r="A9541" t="s">
        <v>10152</v>
      </c>
      <c r="B9541" t="s">
        <v>75</v>
      </c>
      <c r="C9541" t="s">
        <v>614</v>
      </c>
      <c r="D9541">
        <v>4943.22</v>
      </c>
      <c r="E9541" s="37" t="str">
        <f t="shared" si="745"/>
        <v>Excellent Order</v>
      </c>
      <c r="F9541">
        <v>0.23</v>
      </c>
      <c r="G9541" s="37" t="str">
        <f t="shared" si="746"/>
        <v>Normal Discount</v>
      </c>
      <c r="H9541" s="37" t="str">
        <f t="shared" si="747"/>
        <v>Medium</v>
      </c>
      <c r="I9541">
        <v>9</v>
      </c>
      <c r="J9541" t="str" cm="1">
        <f t="array" ref="J9541">_xlfn.IFS(I9541&lt;=3,"small",I9541&lt;=6,"Medium",I9541&lt;=9,"Large")</f>
        <v>Large</v>
      </c>
      <c r="K9541" s="36">
        <v>45596</v>
      </c>
      <c r="L9541" s="36">
        <v>45597</v>
      </c>
      <c r="M9541" t="s">
        <v>612</v>
      </c>
      <c r="N9541" t="s">
        <v>608</v>
      </c>
      <c r="O9541" s="37" t="str">
        <f t="shared" si="748"/>
        <v>Cash Payment</v>
      </c>
      <c r="P9541">
        <v>1241.4000000000001</v>
      </c>
      <c r="Q9541" s="37" t="str">
        <f>IF(P9541&gt;500,"High","low")</f>
        <v>High</v>
      </c>
      <c r="R9541" s="37" t="str">
        <f t="shared" si="749"/>
        <v>Excellent</v>
      </c>
      <c r="S9541" t="s">
        <v>600</v>
      </c>
    </row>
    <row r="9542" spans="1:19" x14ac:dyDescent="0.2">
      <c r="A9542" t="s">
        <v>10153</v>
      </c>
      <c r="B9542" t="s">
        <v>90</v>
      </c>
      <c r="C9542" t="s">
        <v>617</v>
      </c>
      <c r="D9542">
        <v>2566.6799999999998</v>
      </c>
      <c r="E9542" s="37" t="str">
        <f t="shared" si="745"/>
        <v xml:space="preserve"> </v>
      </c>
      <c r="F9542">
        <v>0.03</v>
      </c>
      <c r="G9542" s="37" t="str">
        <f t="shared" si="746"/>
        <v>Normal Discount</v>
      </c>
      <c r="H9542" s="37" t="str">
        <f t="shared" si="747"/>
        <v>Low</v>
      </c>
      <c r="I9542">
        <v>8</v>
      </c>
      <c r="J9542" t="str" cm="1">
        <f t="array" ref="J9542">_xlfn.IFS(I9542&lt;=3,"small",I9542&lt;=6,"Medium",I9542&lt;=9,"Large")</f>
        <v>Large</v>
      </c>
      <c r="K9542" s="36">
        <v>45297</v>
      </c>
      <c r="L9542" s="36">
        <v>45298</v>
      </c>
      <c r="M9542" t="s">
        <v>612</v>
      </c>
      <c r="N9542" t="s">
        <v>599</v>
      </c>
      <c r="O9542" s="37" t="str">
        <f t="shared" si="748"/>
        <v>Digital Payment</v>
      </c>
      <c r="P9542">
        <v>599.63</v>
      </c>
      <c r="Q9542" s="37" t="str">
        <f>IF(P9542&gt;500,"High","low")</f>
        <v>High</v>
      </c>
      <c r="R9542" s="37" t="str">
        <f t="shared" si="749"/>
        <v>Good</v>
      </c>
      <c r="S9542" t="s">
        <v>600</v>
      </c>
    </row>
    <row r="9543" spans="1:19" x14ac:dyDescent="0.2">
      <c r="A9543" t="s">
        <v>10154</v>
      </c>
      <c r="B9543" t="s">
        <v>90</v>
      </c>
      <c r="C9543" t="s">
        <v>597</v>
      </c>
      <c r="D9543">
        <v>4743.95</v>
      </c>
      <c r="E9543" s="37" t="str">
        <f t="shared" si="745"/>
        <v xml:space="preserve"> </v>
      </c>
      <c r="F9543">
        <v>0.33</v>
      </c>
      <c r="G9543" s="37" t="str">
        <f t="shared" si="746"/>
        <v>Heavy Discount</v>
      </c>
      <c r="H9543" s="37" t="str">
        <f t="shared" si="747"/>
        <v>Medium</v>
      </c>
      <c r="I9543">
        <v>5</v>
      </c>
      <c r="J9543" t="str" cm="1">
        <f t="array" ref="J9543">_xlfn.IFS(I9543&lt;=3,"small",I9543&lt;=6,"Medium",I9543&lt;=9,"Large")</f>
        <v>Medium</v>
      </c>
      <c r="K9543" s="36">
        <v>45189</v>
      </c>
      <c r="L9543" s="36">
        <v>45194</v>
      </c>
      <c r="M9543" t="s">
        <v>598</v>
      </c>
      <c r="N9543" t="s">
        <v>604</v>
      </c>
      <c r="O9543" s="37" t="str">
        <f t="shared" si="748"/>
        <v>Digital Payment</v>
      </c>
      <c r="P9543">
        <v>426.04</v>
      </c>
      <c r="Q9543" s="37" t="str">
        <f>IF(P9543&gt;500,"High","low")</f>
        <v>low</v>
      </c>
      <c r="R9543" s="37" t="str">
        <f t="shared" si="749"/>
        <v>AVERAGE</v>
      </c>
      <c r="S9543" t="s">
        <v>615</v>
      </c>
    </row>
    <row r="9544" spans="1:19" x14ac:dyDescent="0.2">
      <c r="A9544" t="s">
        <v>10155</v>
      </c>
      <c r="B9544" t="s">
        <v>67</v>
      </c>
      <c r="C9544" t="s">
        <v>597</v>
      </c>
      <c r="D9544">
        <v>4584.63</v>
      </c>
      <c r="E9544" s="37" t="str">
        <f t="shared" si="745"/>
        <v>Excellent Order</v>
      </c>
      <c r="F9544">
        <v>0.18</v>
      </c>
      <c r="G9544" s="37" t="str">
        <f t="shared" si="746"/>
        <v>Normal Discount</v>
      </c>
      <c r="H9544" s="37" t="str">
        <f t="shared" si="747"/>
        <v>Low</v>
      </c>
      <c r="I9544">
        <v>7</v>
      </c>
      <c r="J9544" t="str" cm="1">
        <f t="array" ref="J9544">_xlfn.IFS(I9544&lt;=3,"small",I9544&lt;=6,"Medium",I9544&lt;=9,"Large")</f>
        <v>Large</v>
      </c>
      <c r="K9544" s="36">
        <v>45549</v>
      </c>
      <c r="L9544" s="36">
        <v>45554</v>
      </c>
      <c r="M9544" t="s">
        <v>598</v>
      </c>
      <c r="N9544" t="s">
        <v>599</v>
      </c>
      <c r="O9544" s="37" t="str">
        <f t="shared" si="748"/>
        <v>Digital Payment</v>
      </c>
      <c r="P9544">
        <v>1289.58</v>
      </c>
      <c r="Q9544" s="37" t="str">
        <f>IF(P9544&gt;500,"High","low")</f>
        <v>High</v>
      </c>
      <c r="R9544" s="37" t="str">
        <f t="shared" si="749"/>
        <v>Excellent</v>
      </c>
      <c r="S9544" t="s">
        <v>600</v>
      </c>
    </row>
    <row r="9545" spans="1:19" x14ac:dyDescent="0.2">
      <c r="A9545" t="s">
        <v>10156</v>
      </c>
      <c r="B9545" t="s">
        <v>83</v>
      </c>
      <c r="C9545" t="s">
        <v>597</v>
      </c>
      <c r="D9545">
        <v>4712.45</v>
      </c>
      <c r="E9545" s="37" t="str">
        <f t="shared" si="745"/>
        <v>Excellent Order</v>
      </c>
      <c r="F9545">
        <v>0.2</v>
      </c>
      <c r="G9545" s="37" t="str">
        <f t="shared" si="746"/>
        <v>Normal Discount</v>
      </c>
      <c r="H9545" s="37" t="str">
        <f t="shared" si="747"/>
        <v>Medium</v>
      </c>
      <c r="I9545">
        <v>6</v>
      </c>
      <c r="J9545" t="str" cm="1">
        <f t="array" ref="J9545">_xlfn.IFS(I9545&lt;=3,"small",I9545&lt;=6,"Medium",I9545&lt;=9,"Large")</f>
        <v>Medium</v>
      </c>
      <c r="K9545" s="36">
        <v>45525</v>
      </c>
      <c r="L9545" s="36">
        <v>45531</v>
      </c>
      <c r="M9545" t="s">
        <v>603</v>
      </c>
      <c r="N9545" t="s">
        <v>599</v>
      </c>
      <c r="O9545" s="37" t="str">
        <f t="shared" si="748"/>
        <v>Digital Payment</v>
      </c>
      <c r="P9545">
        <v>821.18</v>
      </c>
      <c r="Q9545" s="37" t="str">
        <f>IF(P9545&gt;500,"High","low")</f>
        <v>High</v>
      </c>
      <c r="R9545" s="37" t="str">
        <f t="shared" si="749"/>
        <v>Good</v>
      </c>
      <c r="S9545" t="s">
        <v>615</v>
      </c>
    </row>
    <row r="9546" spans="1:19" x14ac:dyDescent="0.2">
      <c r="A9546" t="s">
        <v>10157</v>
      </c>
      <c r="B9546" t="s">
        <v>90</v>
      </c>
      <c r="C9546" t="s">
        <v>614</v>
      </c>
      <c r="D9546">
        <v>4080.63</v>
      </c>
      <c r="E9546" s="37" t="str">
        <f t="shared" si="745"/>
        <v>Excellent Order</v>
      </c>
      <c r="F9546">
        <v>0.42</v>
      </c>
      <c r="G9546" s="37" t="str">
        <f t="shared" si="746"/>
        <v>Heavy Discount</v>
      </c>
      <c r="H9546" s="37" t="str">
        <f t="shared" si="747"/>
        <v>High</v>
      </c>
      <c r="I9546">
        <v>9</v>
      </c>
      <c r="J9546" t="str" cm="1">
        <f t="array" ref="J9546">_xlfn.IFS(I9546&lt;=3,"small",I9546&lt;=6,"Medium",I9546&lt;=9,"Large")</f>
        <v>Large</v>
      </c>
      <c r="K9546" s="36">
        <v>45586</v>
      </c>
      <c r="L9546" s="36">
        <v>45592</v>
      </c>
      <c r="M9546" t="s">
        <v>598</v>
      </c>
      <c r="N9546" t="s">
        <v>608</v>
      </c>
      <c r="O9546" s="37" t="str">
        <f t="shared" si="748"/>
        <v>Cash Payment</v>
      </c>
      <c r="P9546">
        <v>913.36</v>
      </c>
      <c r="Q9546" s="37" t="str">
        <f>IF(P9546&gt;500,"High","low")</f>
        <v>High</v>
      </c>
      <c r="R9546" s="37" t="str">
        <f t="shared" si="749"/>
        <v>Good</v>
      </c>
      <c r="S9546" t="s">
        <v>600</v>
      </c>
    </row>
    <row r="9547" spans="1:19" x14ac:dyDescent="0.2">
      <c r="A9547" t="s">
        <v>10158</v>
      </c>
      <c r="B9547" t="s">
        <v>67</v>
      </c>
      <c r="C9547" t="s">
        <v>602</v>
      </c>
      <c r="D9547">
        <v>1552.35</v>
      </c>
      <c r="E9547" s="37" t="str">
        <f t="shared" si="745"/>
        <v xml:space="preserve"> </v>
      </c>
      <c r="F9547">
        <v>7.0000000000000007E-2</v>
      </c>
      <c r="G9547" s="37" t="str">
        <f t="shared" si="746"/>
        <v>Normal Discount</v>
      </c>
      <c r="H9547" s="37" t="str">
        <f t="shared" si="747"/>
        <v>Low</v>
      </c>
      <c r="I9547">
        <v>4</v>
      </c>
      <c r="J9547" t="str" cm="1">
        <f t="array" ref="J9547">_xlfn.IFS(I9547&lt;=3,"small",I9547&lt;=6,"Medium",I9547&lt;=9,"Large")</f>
        <v>Medium</v>
      </c>
      <c r="K9547" s="36">
        <v>45594</v>
      </c>
      <c r="L9547" s="36">
        <v>45598</v>
      </c>
      <c r="M9547" t="s">
        <v>603</v>
      </c>
      <c r="N9547" t="s">
        <v>599</v>
      </c>
      <c r="O9547" s="37" t="str">
        <f t="shared" si="748"/>
        <v>Digital Payment</v>
      </c>
      <c r="P9547">
        <v>187.21</v>
      </c>
      <c r="Q9547" s="37" t="str">
        <f>IF(P9547&gt;500,"High","low")</f>
        <v>low</v>
      </c>
      <c r="R9547" s="37" t="str">
        <f t="shared" si="749"/>
        <v>AVERAGE</v>
      </c>
      <c r="S9547" t="s">
        <v>620</v>
      </c>
    </row>
    <row r="9548" spans="1:19" x14ac:dyDescent="0.2">
      <c r="A9548" t="s">
        <v>10159</v>
      </c>
      <c r="B9548" t="s">
        <v>90</v>
      </c>
      <c r="C9548" t="s">
        <v>597</v>
      </c>
      <c r="D9548">
        <v>1797.27</v>
      </c>
      <c r="E9548" s="37" t="str">
        <f t="shared" si="745"/>
        <v xml:space="preserve"> </v>
      </c>
      <c r="F9548">
        <v>0.17</v>
      </c>
      <c r="G9548" s="37" t="str">
        <f t="shared" si="746"/>
        <v>Normal Discount</v>
      </c>
      <c r="H9548" s="37" t="str">
        <f t="shared" si="747"/>
        <v>Low</v>
      </c>
      <c r="I9548">
        <v>8</v>
      </c>
      <c r="J9548" t="str" cm="1">
        <f t="array" ref="J9548">_xlfn.IFS(I9548&lt;=3,"small",I9548&lt;=6,"Medium",I9548&lt;=9,"Large")</f>
        <v>Large</v>
      </c>
      <c r="K9548" s="36">
        <v>45249</v>
      </c>
      <c r="L9548" s="36">
        <v>45255</v>
      </c>
      <c r="M9548" t="s">
        <v>612</v>
      </c>
      <c r="N9548" t="s">
        <v>599</v>
      </c>
      <c r="O9548" s="37" t="str">
        <f t="shared" si="748"/>
        <v>Digital Payment</v>
      </c>
      <c r="P9548">
        <v>375.68</v>
      </c>
      <c r="Q9548" s="37" t="str">
        <f>IF(P9548&gt;500,"High","low")</f>
        <v>low</v>
      </c>
      <c r="R9548" s="37" t="str">
        <f t="shared" si="749"/>
        <v>AVERAGE</v>
      </c>
      <c r="S9548" t="s">
        <v>615</v>
      </c>
    </row>
    <row r="9549" spans="1:19" x14ac:dyDescent="0.2">
      <c r="A9549" t="s">
        <v>10160</v>
      </c>
      <c r="B9549" t="s">
        <v>83</v>
      </c>
      <c r="C9549" t="s">
        <v>602</v>
      </c>
      <c r="D9549">
        <v>1888.42</v>
      </c>
      <c r="E9549" s="37" t="str">
        <f t="shared" si="745"/>
        <v xml:space="preserve"> </v>
      </c>
      <c r="F9549">
        <v>0.18</v>
      </c>
      <c r="G9549" s="37" t="str">
        <f t="shared" si="746"/>
        <v>Normal Discount</v>
      </c>
      <c r="H9549" s="37" t="str">
        <f t="shared" si="747"/>
        <v>Low</v>
      </c>
      <c r="I9549">
        <v>9</v>
      </c>
      <c r="J9549" t="str" cm="1">
        <f t="array" ref="J9549">_xlfn.IFS(I9549&lt;=3,"small",I9549&lt;=6,"Medium",I9549&lt;=9,"Large")</f>
        <v>Large</v>
      </c>
      <c r="K9549" s="36">
        <v>45057</v>
      </c>
      <c r="L9549" s="36">
        <v>45062</v>
      </c>
      <c r="M9549" t="s">
        <v>603</v>
      </c>
      <c r="N9549" t="s">
        <v>608</v>
      </c>
      <c r="O9549" s="37" t="str">
        <f t="shared" si="748"/>
        <v>Cash Payment</v>
      </c>
      <c r="P9549">
        <v>343.39</v>
      </c>
      <c r="Q9549" s="37" t="str">
        <f>IF(P9549&gt;500,"High","low")</f>
        <v>low</v>
      </c>
      <c r="R9549" s="37" t="str">
        <f t="shared" si="749"/>
        <v>AVERAGE</v>
      </c>
      <c r="S9549" t="s">
        <v>609</v>
      </c>
    </row>
    <row r="9550" spans="1:19" x14ac:dyDescent="0.2">
      <c r="A9550" t="s">
        <v>10161</v>
      </c>
      <c r="B9550" t="s">
        <v>67</v>
      </c>
      <c r="C9550" t="s">
        <v>607</v>
      </c>
      <c r="D9550">
        <v>4897.99</v>
      </c>
      <c r="E9550" s="37" t="str">
        <f t="shared" si="745"/>
        <v xml:space="preserve"> </v>
      </c>
      <c r="F9550">
        <v>0</v>
      </c>
      <c r="G9550" s="37" t="str">
        <f t="shared" si="746"/>
        <v>Normal Discount</v>
      </c>
      <c r="H9550" s="37" t="str">
        <f t="shared" si="747"/>
        <v>Low</v>
      </c>
      <c r="I9550">
        <v>7</v>
      </c>
      <c r="J9550" t="str" cm="1">
        <f t="array" ref="J9550">_xlfn.IFS(I9550&lt;=3,"small",I9550&lt;=6,"Medium",I9550&lt;=9,"Large")</f>
        <v>Large</v>
      </c>
      <c r="K9550" s="36">
        <v>45111</v>
      </c>
      <c r="L9550" s="36">
        <v>45113</v>
      </c>
      <c r="M9550" t="s">
        <v>603</v>
      </c>
      <c r="N9550" t="s">
        <v>604</v>
      </c>
      <c r="O9550" s="37" t="str">
        <f t="shared" si="748"/>
        <v>Digital Payment</v>
      </c>
      <c r="P9550">
        <v>488.57</v>
      </c>
      <c r="Q9550" s="37" t="str">
        <f>IF(P9550&gt;500,"High","low")</f>
        <v>low</v>
      </c>
      <c r="R9550" s="37" t="str">
        <f t="shared" si="749"/>
        <v>AVERAGE</v>
      </c>
      <c r="S9550" t="s">
        <v>609</v>
      </c>
    </row>
    <row r="9551" spans="1:19" x14ac:dyDescent="0.2">
      <c r="A9551" t="s">
        <v>10162</v>
      </c>
      <c r="B9551" t="s">
        <v>67</v>
      </c>
      <c r="C9551" t="s">
        <v>614</v>
      </c>
      <c r="D9551">
        <v>1867.7</v>
      </c>
      <c r="E9551" s="37" t="str">
        <f t="shared" si="745"/>
        <v xml:space="preserve"> </v>
      </c>
      <c r="F9551">
        <v>0.42</v>
      </c>
      <c r="G9551" s="37" t="str">
        <f t="shared" si="746"/>
        <v>Heavy Discount</v>
      </c>
      <c r="H9551" s="37" t="str">
        <f t="shared" si="747"/>
        <v>High</v>
      </c>
      <c r="I9551">
        <v>7</v>
      </c>
      <c r="J9551" t="str" cm="1">
        <f t="array" ref="J9551">_xlfn.IFS(I9551&lt;=3,"small",I9551&lt;=6,"Medium",I9551&lt;=9,"Large")</f>
        <v>Large</v>
      </c>
      <c r="K9551" s="36">
        <v>44981</v>
      </c>
      <c r="L9551" s="36">
        <v>44988</v>
      </c>
      <c r="M9551" t="s">
        <v>612</v>
      </c>
      <c r="N9551" t="s">
        <v>599</v>
      </c>
      <c r="O9551" s="37" t="str">
        <f t="shared" si="748"/>
        <v>Digital Payment</v>
      </c>
      <c r="P9551">
        <v>512.95000000000005</v>
      </c>
      <c r="Q9551" s="37" t="str">
        <f>IF(P9551&gt;500,"High","low")</f>
        <v>High</v>
      </c>
      <c r="R9551" s="37" t="str">
        <f t="shared" si="749"/>
        <v>Good</v>
      </c>
      <c r="S9551" t="s">
        <v>605</v>
      </c>
    </row>
    <row r="9552" spans="1:19" x14ac:dyDescent="0.2">
      <c r="A9552" t="s">
        <v>10163</v>
      </c>
      <c r="B9552" t="s">
        <v>67</v>
      </c>
      <c r="C9552" t="s">
        <v>602</v>
      </c>
      <c r="D9552">
        <v>632.58000000000004</v>
      </c>
      <c r="E9552" s="37" t="str">
        <f t="shared" si="745"/>
        <v xml:space="preserve"> </v>
      </c>
      <c r="F9552">
        <v>0.42</v>
      </c>
      <c r="G9552" s="37" t="str">
        <f t="shared" si="746"/>
        <v>Heavy Discount</v>
      </c>
      <c r="H9552" s="37" t="str">
        <f t="shared" si="747"/>
        <v>High</v>
      </c>
      <c r="I9552">
        <v>2</v>
      </c>
      <c r="J9552" t="str" cm="1">
        <f t="array" ref="J9552">_xlfn.IFS(I9552&lt;=3,"small",I9552&lt;=6,"Medium",I9552&lt;=9,"Large")</f>
        <v>small</v>
      </c>
      <c r="K9552" s="36">
        <v>45322</v>
      </c>
      <c r="L9552" s="36">
        <v>45325</v>
      </c>
      <c r="M9552" t="s">
        <v>612</v>
      </c>
      <c r="N9552" t="s">
        <v>604</v>
      </c>
      <c r="O9552" s="37" t="str">
        <f t="shared" si="748"/>
        <v>Digital Payment</v>
      </c>
      <c r="P9552">
        <v>132.38999999999999</v>
      </c>
      <c r="Q9552" s="37" t="str">
        <f>IF(P9552&gt;500,"High","low")</f>
        <v>low</v>
      </c>
      <c r="R9552" s="37" t="str">
        <f t="shared" si="749"/>
        <v>AVERAGE</v>
      </c>
      <c r="S9552" t="s">
        <v>628</v>
      </c>
    </row>
    <row r="9553" spans="1:19" x14ac:dyDescent="0.2">
      <c r="A9553" t="s">
        <v>10164</v>
      </c>
      <c r="B9553" t="s">
        <v>90</v>
      </c>
      <c r="C9553" t="s">
        <v>602</v>
      </c>
      <c r="D9553">
        <v>3913.81</v>
      </c>
      <c r="E9553" s="37" t="str">
        <f t="shared" si="745"/>
        <v xml:space="preserve"> </v>
      </c>
      <c r="F9553">
        <v>0.33</v>
      </c>
      <c r="G9553" s="37" t="str">
        <f t="shared" si="746"/>
        <v>Heavy Discount</v>
      </c>
      <c r="H9553" s="37" t="str">
        <f t="shared" si="747"/>
        <v>Medium</v>
      </c>
      <c r="I9553">
        <v>9</v>
      </c>
      <c r="J9553" t="str" cm="1">
        <f t="array" ref="J9553">_xlfn.IFS(I9553&lt;=3,"small",I9553&lt;=6,"Medium",I9553&lt;=9,"Large")</f>
        <v>Large</v>
      </c>
      <c r="K9553" s="36">
        <v>45630</v>
      </c>
      <c r="L9553" s="36">
        <v>45636</v>
      </c>
      <c r="M9553" t="s">
        <v>598</v>
      </c>
      <c r="N9553" t="s">
        <v>604</v>
      </c>
      <c r="O9553" s="37" t="str">
        <f t="shared" si="748"/>
        <v>Digital Payment</v>
      </c>
      <c r="P9553">
        <v>522.69000000000005</v>
      </c>
      <c r="Q9553" s="37" t="str">
        <f>IF(P9553&gt;500,"High","low")</f>
        <v>High</v>
      </c>
      <c r="R9553" s="37" t="str">
        <f t="shared" si="749"/>
        <v>Good</v>
      </c>
      <c r="S9553" t="s">
        <v>605</v>
      </c>
    </row>
    <row r="9554" spans="1:19" x14ac:dyDescent="0.2">
      <c r="A9554" t="s">
        <v>10165</v>
      </c>
      <c r="B9554" t="s">
        <v>83</v>
      </c>
      <c r="C9554" t="s">
        <v>597</v>
      </c>
      <c r="D9554">
        <v>1893.71</v>
      </c>
      <c r="E9554" s="37" t="str">
        <f t="shared" si="745"/>
        <v xml:space="preserve"> </v>
      </c>
      <c r="F9554">
        <v>0.45</v>
      </c>
      <c r="G9554" s="37" t="str">
        <f t="shared" si="746"/>
        <v>Heavy Discount</v>
      </c>
      <c r="H9554" s="37" t="str">
        <f t="shared" si="747"/>
        <v>High</v>
      </c>
      <c r="I9554">
        <v>5</v>
      </c>
      <c r="J9554" t="str" cm="1">
        <f t="array" ref="J9554">_xlfn.IFS(I9554&lt;=3,"small",I9554&lt;=6,"Medium",I9554&lt;=9,"Large")</f>
        <v>Medium</v>
      </c>
      <c r="K9554" s="36">
        <v>45495</v>
      </c>
      <c r="L9554" s="36">
        <v>45502</v>
      </c>
      <c r="M9554" t="s">
        <v>612</v>
      </c>
      <c r="N9554" t="s">
        <v>608</v>
      </c>
      <c r="O9554" s="37" t="str">
        <f t="shared" si="748"/>
        <v>Cash Payment</v>
      </c>
      <c r="P9554">
        <v>382.52</v>
      </c>
      <c r="Q9554" s="37" t="str">
        <f>IF(P9554&gt;500,"High","low")</f>
        <v>low</v>
      </c>
      <c r="R9554" s="37" t="str">
        <f t="shared" si="749"/>
        <v>AVERAGE</v>
      </c>
      <c r="S9554" t="s">
        <v>620</v>
      </c>
    </row>
    <row r="9555" spans="1:19" x14ac:dyDescent="0.2">
      <c r="A9555" t="s">
        <v>10166</v>
      </c>
      <c r="B9555" t="s">
        <v>67</v>
      </c>
      <c r="C9555" t="s">
        <v>597</v>
      </c>
      <c r="D9555">
        <v>3142.59</v>
      </c>
      <c r="E9555" s="37" t="str">
        <f t="shared" si="745"/>
        <v xml:space="preserve"> </v>
      </c>
      <c r="F9555">
        <v>0.14000000000000001</v>
      </c>
      <c r="G9555" s="37" t="str">
        <f t="shared" si="746"/>
        <v>Normal Discount</v>
      </c>
      <c r="H9555" s="37" t="str">
        <f t="shared" si="747"/>
        <v>Low</v>
      </c>
      <c r="I9555">
        <v>3</v>
      </c>
      <c r="J9555" t="str" cm="1">
        <f t="array" ref="J9555">_xlfn.IFS(I9555&lt;=3,"small",I9555&lt;=6,"Medium",I9555&lt;=9,"Large")</f>
        <v>small</v>
      </c>
      <c r="K9555" s="36">
        <v>45408</v>
      </c>
      <c r="L9555" s="36">
        <v>45415</v>
      </c>
      <c r="M9555" t="s">
        <v>612</v>
      </c>
      <c r="N9555" t="s">
        <v>599</v>
      </c>
      <c r="O9555" s="37" t="str">
        <f t="shared" si="748"/>
        <v>Digital Payment</v>
      </c>
      <c r="P9555">
        <v>839.43</v>
      </c>
      <c r="Q9555" s="37" t="str">
        <f>IF(P9555&gt;500,"High","low")</f>
        <v>High</v>
      </c>
      <c r="R9555" s="37" t="str">
        <f t="shared" si="749"/>
        <v>Good</v>
      </c>
      <c r="S9555" t="s">
        <v>605</v>
      </c>
    </row>
    <row r="9556" spans="1:19" x14ac:dyDescent="0.2">
      <c r="A9556" t="s">
        <v>10167</v>
      </c>
      <c r="B9556" t="s">
        <v>75</v>
      </c>
      <c r="C9556" t="s">
        <v>614</v>
      </c>
      <c r="D9556">
        <v>4629.37</v>
      </c>
      <c r="E9556" s="37" t="str">
        <f t="shared" si="745"/>
        <v>Excellent Order</v>
      </c>
      <c r="F9556">
        <v>0.11</v>
      </c>
      <c r="G9556" s="37" t="str">
        <f t="shared" si="746"/>
        <v>Normal Discount</v>
      </c>
      <c r="H9556" s="37" t="str">
        <f t="shared" si="747"/>
        <v>Low</v>
      </c>
      <c r="I9556">
        <v>4</v>
      </c>
      <c r="J9556" t="str" cm="1">
        <f t="array" ref="J9556">_xlfn.IFS(I9556&lt;=3,"small",I9556&lt;=6,"Medium",I9556&lt;=9,"Large")</f>
        <v>Medium</v>
      </c>
      <c r="K9556" s="36">
        <v>44962</v>
      </c>
      <c r="L9556" s="36">
        <v>44966</v>
      </c>
      <c r="M9556" t="s">
        <v>612</v>
      </c>
      <c r="N9556" t="s">
        <v>608</v>
      </c>
      <c r="O9556" s="37" t="str">
        <f t="shared" si="748"/>
        <v>Cash Payment</v>
      </c>
      <c r="P9556">
        <v>873.38</v>
      </c>
      <c r="Q9556" s="37" t="str">
        <f>IF(P9556&gt;500,"High","low")</f>
        <v>High</v>
      </c>
      <c r="R9556" s="37" t="str">
        <f t="shared" si="749"/>
        <v>Good</v>
      </c>
      <c r="S9556" t="s">
        <v>620</v>
      </c>
    </row>
    <row r="9557" spans="1:19" x14ac:dyDescent="0.2">
      <c r="A9557" t="s">
        <v>10168</v>
      </c>
      <c r="B9557" t="s">
        <v>83</v>
      </c>
      <c r="C9557" t="s">
        <v>602</v>
      </c>
      <c r="D9557">
        <v>2919.98</v>
      </c>
      <c r="E9557" s="37" t="str">
        <f t="shared" si="745"/>
        <v xml:space="preserve"> </v>
      </c>
      <c r="F9557">
        <v>0.03</v>
      </c>
      <c r="G9557" s="37" t="str">
        <f t="shared" si="746"/>
        <v>Normal Discount</v>
      </c>
      <c r="H9557" s="37" t="str">
        <f t="shared" si="747"/>
        <v>Low</v>
      </c>
      <c r="I9557">
        <v>2</v>
      </c>
      <c r="J9557" t="str" cm="1">
        <f t="array" ref="J9557">_xlfn.IFS(I9557&lt;=3,"small",I9557&lt;=6,"Medium",I9557&lt;=9,"Large")</f>
        <v>small</v>
      </c>
      <c r="K9557" s="36">
        <v>45318</v>
      </c>
      <c r="L9557" s="36">
        <v>45324</v>
      </c>
      <c r="M9557" t="s">
        <v>612</v>
      </c>
      <c r="N9557" t="s">
        <v>604</v>
      </c>
      <c r="O9557" s="37" t="str">
        <f t="shared" si="748"/>
        <v>Digital Payment</v>
      </c>
      <c r="P9557">
        <v>451.52</v>
      </c>
      <c r="Q9557" s="37" t="str">
        <f>IF(P9557&gt;500,"High","low")</f>
        <v>low</v>
      </c>
      <c r="R9557" s="37" t="str">
        <f t="shared" si="749"/>
        <v>AVERAGE</v>
      </c>
      <c r="S9557" t="s">
        <v>609</v>
      </c>
    </row>
    <row r="9558" spans="1:19" x14ac:dyDescent="0.2">
      <c r="A9558" t="s">
        <v>10169</v>
      </c>
      <c r="B9558" t="s">
        <v>75</v>
      </c>
      <c r="C9558" t="s">
        <v>617</v>
      </c>
      <c r="D9558">
        <v>3224.73</v>
      </c>
      <c r="E9558" s="37" t="str">
        <f t="shared" si="745"/>
        <v xml:space="preserve"> </v>
      </c>
      <c r="F9558">
        <v>0.3</v>
      </c>
      <c r="G9558" s="37" t="str">
        <f t="shared" si="746"/>
        <v>Normal Discount</v>
      </c>
      <c r="H9558" s="37" t="str">
        <f t="shared" si="747"/>
        <v>Medium</v>
      </c>
      <c r="I9558">
        <v>3</v>
      </c>
      <c r="J9558" t="str" cm="1">
        <f t="array" ref="J9558">_xlfn.IFS(I9558&lt;=3,"small",I9558&lt;=6,"Medium",I9558&lt;=9,"Large")</f>
        <v>small</v>
      </c>
      <c r="K9558" s="36">
        <v>45601</v>
      </c>
      <c r="L9558" s="36">
        <v>45606</v>
      </c>
      <c r="M9558" t="s">
        <v>598</v>
      </c>
      <c r="N9558" t="s">
        <v>608</v>
      </c>
      <c r="O9558" s="37" t="str">
        <f t="shared" si="748"/>
        <v>Cash Payment</v>
      </c>
      <c r="P9558">
        <v>682.64</v>
      </c>
      <c r="Q9558" s="37" t="str">
        <f>IF(P9558&gt;500,"High","low")</f>
        <v>High</v>
      </c>
      <c r="R9558" s="37" t="str">
        <f t="shared" si="749"/>
        <v>Good</v>
      </c>
      <c r="S9558" t="s">
        <v>615</v>
      </c>
    </row>
    <row r="9559" spans="1:19" x14ac:dyDescent="0.2">
      <c r="A9559" t="s">
        <v>10170</v>
      </c>
      <c r="B9559" t="s">
        <v>75</v>
      </c>
      <c r="C9559" t="s">
        <v>597</v>
      </c>
      <c r="D9559">
        <v>3250.03</v>
      </c>
      <c r="E9559" s="37" t="str">
        <f t="shared" si="745"/>
        <v xml:space="preserve"> </v>
      </c>
      <c r="F9559">
        <v>0.25</v>
      </c>
      <c r="G9559" s="37" t="str">
        <f t="shared" si="746"/>
        <v>Normal Discount</v>
      </c>
      <c r="H9559" s="37" t="str">
        <f t="shared" si="747"/>
        <v>Medium</v>
      </c>
      <c r="I9559">
        <v>6</v>
      </c>
      <c r="J9559" t="str" cm="1">
        <f t="array" ref="J9559">_xlfn.IFS(I9559&lt;=3,"small",I9559&lt;=6,"Medium",I9559&lt;=9,"Large")</f>
        <v>Medium</v>
      </c>
      <c r="K9559" s="36">
        <v>45308</v>
      </c>
      <c r="L9559" s="36">
        <v>45310</v>
      </c>
      <c r="M9559" t="s">
        <v>612</v>
      </c>
      <c r="N9559" t="s">
        <v>599</v>
      </c>
      <c r="O9559" s="37" t="str">
        <f t="shared" si="748"/>
        <v>Digital Payment</v>
      </c>
      <c r="P9559">
        <v>438.79</v>
      </c>
      <c r="Q9559" s="37" t="str">
        <f>IF(P9559&gt;500,"High","low")</f>
        <v>low</v>
      </c>
      <c r="R9559" s="37" t="str">
        <f t="shared" si="749"/>
        <v>AVERAGE</v>
      </c>
      <c r="S9559" t="s">
        <v>609</v>
      </c>
    </row>
    <row r="9560" spans="1:19" x14ac:dyDescent="0.2">
      <c r="A9560" t="s">
        <v>10171</v>
      </c>
      <c r="B9560" t="s">
        <v>67</v>
      </c>
      <c r="C9560" t="s">
        <v>597</v>
      </c>
      <c r="D9560">
        <v>3100.76</v>
      </c>
      <c r="E9560" s="37" t="str">
        <f t="shared" si="745"/>
        <v xml:space="preserve"> </v>
      </c>
      <c r="F9560">
        <v>0.41</v>
      </c>
      <c r="G9560" s="37" t="str">
        <f t="shared" si="746"/>
        <v>Heavy Discount</v>
      </c>
      <c r="H9560" s="37" t="str">
        <f t="shared" si="747"/>
        <v>High</v>
      </c>
      <c r="I9560">
        <v>1</v>
      </c>
      <c r="J9560" t="str" cm="1">
        <f t="array" ref="J9560">_xlfn.IFS(I9560&lt;=3,"small",I9560&lt;=6,"Medium",I9560&lt;=9,"Large")</f>
        <v>small</v>
      </c>
      <c r="K9560" s="36">
        <v>45014</v>
      </c>
      <c r="L9560" s="36">
        <v>45017</v>
      </c>
      <c r="M9560" t="s">
        <v>603</v>
      </c>
      <c r="N9560" t="s">
        <v>608</v>
      </c>
      <c r="O9560" s="37" t="str">
        <f t="shared" si="748"/>
        <v>Cash Payment</v>
      </c>
      <c r="P9560">
        <v>582.24</v>
      </c>
      <c r="Q9560" s="37" t="str">
        <f>IF(P9560&gt;500,"High","low")</f>
        <v>High</v>
      </c>
      <c r="R9560" s="37" t="str">
        <f t="shared" si="749"/>
        <v>Good</v>
      </c>
      <c r="S9560" t="s">
        <v>605</v>
      </c>
    </row>
    <row r="9561" spans="1:19" x14ac:dyDescent="0.2">
      <c r="A9561" t="s">
        <v>10172</v>
      </c>
      <c r="B9561" t="s">
        <v>67</v>
      </c>
      <c r="C9561" t="s">
        <v>607</v>
      </c>
      <c r="D9561">
        <v>882.87</v>
      </c>
      <c r="E9561" s="37" t="str">
        <f t="shared" si="745"/>
        <v xml:space="preserve"> </v>
      </c>
      <c r="F9561">
        <v>0.24</v>
      </c>
      <c r="G9561" s="37" t="str">
        <f t="shared" si="746"/>
        <v>Normal Discount</v>
      </c>
      <c r="H9561" s="37" t="str">
        <f t="shared" si="747"/>
        <v>Medium</v>
      </c>
      <c r="I9561">
        <v>2</v>
      </c>
      <c r="J9561" t="str" cm="1">
        <f t="array" ref="J9561">_xlfn.IFS(I9561&lt;=3,"small",I9561&lt;=6,"Medium",I9561&lt;=9,"Large")</f>
        <v>small</v>
      </c>
      <c r="K9561" s="36">
        <v>45398</v>
      </c>
      <c r="L9561" s="36">
        <v>45404</v>
      </c>
      <c r="M9561" t="s">
        <v>603</v>
      </c>
      <c r="N9561" t="s">
        <v>604</v>
      </c>
      <c r="O9561" s="37" t="str">
        <f t="shared" si="748"/>
        <v>Digital Payment</v>
      </c>
      <c r="P9561">
        <v>138.53</v>
      </c>
      <c r="Q9561" s="37" t="str">
        <f>IF(P9561&gt;500,"High","low")</f>
        <v>low</v>
      </c>
      <c r="R9561" s="37" t="str">
        <f t="shared" si="749"/>
        <v>AVERAGE</v>
      </c>
      <c r="S9561" t="s">
        <v>605</v>
      </c>
    </row>
    <row r="9562" spans="1:19" x14ac:dyDescent="0.2">
      <c r="A9562" t="s">
        <v>10173</v>
      </c>
      <c r="B9562" t="s">
        <v>90</v>
      </c>
      <c r="C9562" t="s">
        <v>614</v>
      </c>
      <c r="D9562">
        <v>2336.44</v>
      </c>
      <c r="E9562" s="37" t="str">
        <f t="shared" si="745"/>
        <v xml:space="preserve"> </v>
      </c>
      <c r="F9562">
        <v>0.1</v>
      </c>
      <c r="G9562" s="37" t="str">
        <f t="shared" si="746"/>
        <v>Normal Discount</v>
      </c>
      <c r="H9562" s="37" t="str">
        <f t="shared" si="747"/>
        <v>Low</v>
      </c>
      <c r="I9562">
        <v>4</v>
      </c>
      <c r="J9562" t="str" cm="1">
        <f t="array" ref="J9562">_xlfn.IFS(I9562&lt;=3,"small",I9562&lt;=6,"Medium",I9562&lt;=9,"Large")</f>
        <v>Medium</v>
      </c>
      <c r="K9562" s="36">
        <v>45345</v>
      </c>
      <c r="L9562" s="36">
        <v>45347</v>
      </c>
      <c r="M9562" t="s">
        <v>612</v>
      </c>
      <c r="N9562" t="s">
        <v>604</v>
      </c>
      <c r="O9562" s="37" t="str">
        <f t="shared" si="748"/>
        <v>Digital Payment</v>
      </c>
      <c r="P9562">
        <v>248.12</v>
      </c>
      <c r="Q9562" s="37" t="str">
        <f>IF(P9562&gt;500,"High","low")</f>
        <v>low</v>
      </c>
      <c r="R9562" s="37" t="str">
        <f t="shared" si="749"/>
        <v>AVERAGE</v>
      </c>
      <c r="S9562" t="s">
        <v>600</v>
      </c>
    </row>
    <row r="9563" spans="1:19" x14ac:dyDescent="0.2">
      <c r="A9563" t="s">
        <v>10174</v>
      </c>
      <c r="B9563" t="s">
        <v>90</v>
      </c>
      <c r="C9563" t="s">
        <v>602</v>
      </c>
      <c r="D9563">
        <v>137.55000000000001</v>
      </c>
      <c r="E9563" s="37" t="str">
        <f t="shared" si="745"/>
        <v xml:space="preserve"> </v>
      </c>
      <c r="F9563">
        <v>0.4</v>
      </c>
      <c r="G9563" s="37" t="str">
        <f t="shared" si="746"/>
        <v>Heavy Discount</v>
      </c>
      <c r="H9563" s="37" t="str">
        <f t="shared" si="747"/>
        <v>Medium</v>
      </c>
      <c r="I9563">
        <v>1</v>
      </c>
      <c r="J9563" t="str" cm="1">
        <f t="array" ref="J9563">_xlfn.IFS(I9563&lt;=3,"small",I9563&lt;=6,"Medium",I9563&lt;=9,"Large")</f>
        <v>small</v>
      </c>
      <c r="K9563" s="36">
        <v>45065</v>
      </c>
      <c r="L9563" s="36">
        <v>45071</v>
      </c>
      <c r="M9563" t="s">
        <v>603</v>
      </c>
      <c r="N9563" t="s">
        <v>599</v>
      </c>
      <c r="O9563" s="37" t="str">
        <f t="shared" si="748"/>
        <v>Digital Payment</v>
      </c>
      <c r="P9563">
        <v>12.86</v>
      </c>
      <c r="Q9563" s="37" t="str">
        <f>IF(P9563&gt;500,"High","low")</f>
        <v>low</v>
      </c>
      <c r="R9563" s="37" t="str">
        <f t="shared" si="749"/>
        <v>AVERAGE</v>
      </c>
      <c r="S9563" t="s">
        <v>620</v>
      </c>
    </row>
    <row r="9564" spans="1:19" x14ac:dyDescent="0.2">
      <c r="A9564" t="s">
        <v>10175</v>
      </c>
      <c r="B9564" t="s">
        <v>90</v>
      </c>
      <c r="C9564" t="s">
        <v>602</v>
      </c>
      <c r="D9564">
        <v>3168.7</v>
      </c>
      <c r="E9564" s="37" t="str">
        <f t="shared" si="745"/>
        <v xml:space="preserve"> </v>
      </c>
      <c r="F9564">
        <v>0.23</v>
      </c>
      <c r="G9564" s="37" t="str">
        <f t="shared" si="746"/>
        <v>Normal Discount</v>
      </c>
      <c r="H9564" s="37" t="str">
        <f t="shared" si="747"/>
        <v>Medium</v>
      </c>
      <c r="I9564">
        <v>6</v>
      </c>
      <c r="J9564" t="str" cm="1">
        <f t="array" ref="J9564">_xlfn.IFS(I9564&lt;=3,"small",I9564&lt;=6,"Medium",I9564&lt;=9,"Large")</f>
        <v>Medium</v>
      </c>
      <c r="K9564" s="36">
        <v>45302</v>
      </c>
      <c r="L9564" s="36">
        <v>45306</v>
      </c>
      <c r="M9564" t="s">
        <v>598</v>
      </c>
      <c r="N9564" t="s">
        <v>599</v>
      </c>
      <c r="O9564" s="37" t="str">
        <f t="shared" si="748"/>
        <v>Digital Payment</v>
      </c>
      <c r="P9564">
        <v>542.74</v>
      </c>
      <c r="Q9564" s="37" t="str">
        <f>IF(P9564&gt;500,"High","low")</f>
        <v>High</v>
      </c>
      <c r="R9564" s="37" t="str">
        <f t="shared" si="749"/>
        <v>Good</v>
      </c>
      <c r="S9564" t="s">
        <v>628</v>
      </c>
    </row>
    <row r="9565" spans="1:19" x14ac:dyDescent="0.2">
      <c r="A9565" t="s">
        <v>10176</v>
      </c>
      <c r="B9565" t="s">
        <v>83</v>
      </c>
      <c r="C9565" t="s">
        <v>602</v>
      </c>
      <c r="D9565">
        <v>2919.26</v>
      </c>
      <c r="E9565" s="37" t="str">
        <f t="shared" si="745"/>
        <v xml:space="preserve"> </v>
      </c>
      <c r="F9565">
        <v>0.48</v>
      </c>
      <c r="G9565" s="37" t="str">
        <f t="shared" si="746"/>
        <v>Heavy Discount</v>
      </c>
      <c r="H9565" s="37" t="str">
        <f t="shared" si="747"/>
        <v>High</v>
      </c>
      <c r="I9565">
        <v>4</v>
      </c>
      <c r="J9565" t="str" cm="1">
        <f t="array" ref="J9565">_xlfn.IFS(I9565&lt;=3,"small",I9565&lt;=6,"Medium",I9565&lt;=9,"Large")</f>
        <v>Medium</v>
      </c>
      <c r="K9565" s="36">
        <v>45335</v>
      </c>
      <c r="L9565" s="36">
        <v>45338</v>
      </c>
      <c r="M9565" t="s">
        <v>612</v>
      </c>
      <c r="N9565" t="s">
        <v>604</v>
      </c>
      <c r="O9565" s="37" t="str">
        <f t="shared" si="748"/>
        <v>Digital Payment</v>
      </c>
      <c r="P9565">
        <v>307.93</v>
      </c>
      <c r="Q9565" s="37" t="str">
        <f>IF(P9565&gt;500,"High","low")</f>
        <v>low</v>
      </c>
      <c r="R9565" s="37" t="str">
        <f t="shared" si="749"/>
        <v>AVERAGE</v>
      </c>
      <c r="S9565" t="s">
        <v>605</v>
      </c>
    </row>
    <row r="9566" spans="1:19" x14ac:dyDescent="0.2">
      <c r="A9566" t="s">
        <v>10177</v>
      </c>
      <c r="B9566" t="s">
        <v>90</v>
      </c>
      <c r="C9566" t="s">
        <v>597</v>
      </c>
      <c r="D9566">
        <v>1658.87</v>
      </c>
      <c r="E9566" s="37" t="str">
        <f t="shared" si="745"/>
        <v xml:space="preserve"> </v>
      </c>
      <c r="F9566">
        <v>0.27</v>
      </c>
      <c r="G9566" s="37" t="str">
        <f t="shared" si="746"/>
        <v>Normal Discount</v>
      </c>
      <c r="H9566" s="37" t="str">
        <f t="shared" si="747"/>
        <v>Medium</v>
      </c>
      <c r="I9566">
        <v>2</v>
      </c>
      <c r="J9566" t="str" cm="1">
        <f t="array" ref="J9566">_xlfn.IFS(I9566&lt;=3,"small",I9566&lt;=6,"Medium",I9566&lt;=9,"Large")</f>
        <v>small</v>
      </c>
      <c r="K9566" s="36">
        <v>44927</v>
      </c>
      <c r="L9566" s="36">
        <v>44933</v>
      </c>
      <c r="M9566" t="s">
        <v>612</v>
      </c>
      <c r="N9566" t="s">
        <v>604</v>
      </c>
      <c r="O9566" s="37" t="str">
        <f t="shared" si="748"/>
        <v>Digital Payment</v>
      </c>
      <c r="P9566">
        <v>333.15</v>
      </c>
      <c r="Q9566" s="37" t="str">
        <f>IF(P9566&gt;500,"High","low")</f>
        <v>low</v>
      </c>
      <c r="R9566" s="37" t="str">
        <f t="shared" si="749"/>
        <v>AVERAGE</v>
      </c>
      <c r="S9566" t="s">
        <v>605</v>
      </c>
    </row>
    <row r="9567" spans="1:19" x14ac:dyDescent="0.2">
      <c r="A9567" t="s">
        <v>10178</v>
      </c>
      <c r="B9567" t="s">
        <v>75</v>
      </c>
      <c r="C9567" t="s">
        <v>614</v>
      </c>
      <c r="D9567">
        <v>2667.09</v>
      </c>
      <c r="E9567" s="37" t="str">
        <f t="shared" si="745"/>
        <v xml:space="preserve"> </v>
      </c>
      <c r="F9567">
        <v>0.06</v>
      </c>
      <c r="G9567" s="37" t="str">
        <f t="shared" si="746"/>
        <v>Normal Discount</v>
      </c>
      <c r="H9567" s="37" t="str">
        <f t="shared" si="747"/>
        <v>Low</v>
      </c>
      <c r="I9567">
        <v>4</v>
      </c>
      <c r="J9567" t="str" cm="1">
        <f t="array" ref="J9567">_xlfn.IFS(I9567&lt;=3,"small",I9567&lt;=6,"Medium",I9567&lt;=9,"Large")</f>
        <v>Medium</v>
      </c>
      <c r="K9567" s="36">
        <v>45051</v>
      </c>
      <c r="L9567" s="36">
        <v>45056</v>
      </c>
      <c r="M9567" t="s">
        <v>598</v>
      </c>
      <c r="N9567" t="s">
        <v>599</v>
      </c>
      <c r="O9567" s="37" t="str">
        <f t="shared" si="748"/>
        <v>Digital Payment</v>
      </c>
      <c r="P9567">
        <v>742.57</v>
      </c>
      <c r="Q9567" s="37" t="str">
        <f>IF(P9567&gt;500,"High","low")</f>
        <v>High</v>
      </c>
      <c r="R9567" s="37" t="str">
        <f t="shared" si="749"/>
        <v>Good</v>
      </c>
      <c r="S9567" t="s">
        <v>628</v>
      </c>
    </row>
    <row r="9568" spans="1:19" x14ac:dyDescent="0.2">
      <c r="A9568" t="s">
        <v>10179</v>
      </c>
      <c r="B9568" t="s">
        <v>90</v>
      </c>
      <c r="C9568" t="s">
        <v>602</v>
      </c>
      <c r="D9568">
        <v>2515.98</v>
      </c>
      <c r="E9568" s="37" t="str">
        <f t="shared" si="745"/>
        <v xml:space="preserve"> </v>
      </c>
      <c r="F9568">
        <v>0.43</v>
      </c>
      <c r="G9568" s="37" t="str">
        <f t="shared" si="746"/>
        <v>Heavy Discount</v>
      </c>
      <c r="H9568" s="37" t="str">
        <f t="shared" si="747"/>
        <v>High</v>
      </c>
      <c r="I9568">
        <v>8</v>
      </c>
      <c r="J9568" t="str" cm="1">
        <f t="array" ref="J9568">_xlfn.IFS(I9568&lt;=3,"small",I9568&lt;=6,"Medium",I9568&lt;=9,"Large")</f>
        <v>Large</v>
      </c>
      <c r="K9568" s="36">
        <v>45558</v>
      </c>
      <c r="L9568" s="36">
        <v>45565</v>
      </c>
      <c r="M9568" t="s">
        <v>612</v>
      </c>
      <c r="N9568" t="s">
        <v>608</v>
      </c>
      <c r="O9568" s="37" t="str">
        <f t="shared" si="748"/>
        <v>Cash Payment</v>
      </c>
      <c r="P9568">
        <v>413.41</v>
      </c>
      <c r="Q9568" s="37" t="str">
        <f>IF(P9568&gt;500,"High","low")</f>
        <v>low</v>
      </c>
      <c r="R9568" s="37" t="str">
        <f t="shared" si="749"/>
        <v>AVERAGE</v>
      </c>
      <c r="S9568" t="s">
        <v>620</v>
      </c>
    </row>
    <row r="9569" spans="1:19" x14ac:dyDescent="0.2">
      <c r="A9569" t="s">
        <v>10180</v>
      </c>
      <c r="B9569" t="s">
        <v>67</v>
      </c>
      <c r="C9569" t="s">
        <v>617</v>
      </c>
      <c r="D9569">
        <v>1329.48</v>
      </c>
      <c r="E9569" s="37" t="str">
        <f t="shared" si="745"/>
        <v xml:space="preserve"> </v>
      </c>
      <c r="F9569">
        <v>0.44</v>
      </c>
      <c r="G9569" s="37" t="str">
        <f t="shared" si="746"/>
        <v>Heavy Discount</v>
      </c>
      <c r="H9569" s="37" t="str">
        <f t="shared" si="747"/>
        <v>High</v>
      </c>
      <c r="I9569">
        <v>6</v>
      </c>
      <c r="J9569" t="str" cm="1">
        <f t="array" ref="J9569">_xlfn.IFS(I9569&lt;=3,"small",I9569&lt;=6,"Medium",I9569&lt;=9,"Large")</f>
        <v>Medium</v>
      </c>
      <c r="K9569" s="36">
        <v>45467</v>
      </c>
      <c r="L9569" s="36">
        <v>45468</v>
      </c>
      <c r="M9569" t="s">
        <v>612</v>
      </c>
      <c r="N9569" t="s">
        <v>599</v>
      </c>
      <c r="O9569" s="37" t="str">
        <f t="shared" si="748"/>
        <v>Digital Payment</v>
      </c>
      <c r="P9569">
        <v>357.4</v>
      </c>
      <c r="Q9569" s="37" t="str">
        <f>IF(P9569&gt;500,"High","low")</f>
        <v>low</v>
      </c>
      <c r="R9569" s="37" t="str">
        <f t="shared" si="749"/>
        <v>AVERAGE</v>
      </c>
      <c r="S9569" t="s">
        <v>605</v>
      </c>
    </row>
    <row r="9570" spans="1:19" x14ac:dyDescent="0.2">
      <c r="A9570" t="s">
        <v>10181</v>
      </c>
      <c r="B9570" t="s">
        <v>90</v>
      </c>
      <c r="C9570" t="s">
        <v>607</v>
      </c>
      <c r="D9570">
        <v>1537.11</v>
      </c>
      <c r="E9570" s="37" t="str">
        <f t="shared" si="745"/>
        <v xml:space="preserve"> </v>
      </c>
      <c r="F9570">
        <v>0.22</v>
      </c>
      <c r="G9570" s="37" t="str">
        <f t="shared" si="746"/>
        <v>Normal Discount</v>
      </c>
      <c r="H9570" s="37" t="str">
        <f t="shared" si="747"/>
        <v>Medium</v>
      </c>
      <c r="I9570">
        <v>1</v>
      </c>
      <c r="J9570" t="str" cm="1">
        <f t="array" ref="J9570">_xlfn.IFS(I9570&lt;=3,"small",I9570&lt;=6,"Medium",I9570&lt;=9,"Large")</f>
        <v>small</v>
      </c>
      <c r="K9570" s="36">
        <v>45214</v>
      </c>
      <c r="L9570" s="36">
        <v>45220</v>
      </c>
      <c r="M9570" t="s">
        <v>598</v>
      </c>
      <c r="N9570" t="s">
        <v>608</v>
      </c>
      <c r="O9570" s="37" t="str">
        <f t="shared" si="748"/>
        <v>Cash Payment</v>
      </c>
      <c r="P9570">
        <v>436.02</v>
      </c>
      <c r="Q9570" s="37" t="str">
        <f>IF(P9570&gt;500,"High","low")</f>
        <v>low</v>
      </c>
      <c r="R9570" s="37" t="str">
        <f t="shared" si="749"/>
        <v>AVERAGE</v>
      </c>
      <c r="S9570" t="s">
        <v>628</v>
      </c>
    </row>
    <row r="9571" spans="1:19" x14ac:dyDescent="0.2">
      <c r="A9571" t="s">
        <v>10182</v>
      </c>
      <c r="B9571" t="s">
        <v>83</v>
      </c>
      <c r="C9571" t="s">
        <v>607</v>
      </c>
      <c r="D9571">
        <v>3836.45</v>
      </c>
      <c r="E9571" s="37" t="str">
        <f t="shared" si="745"/>
        <v xml:space="preserve"> </v>
      </c>
      <c r="F9571">
        <v>0.01</v>
      </c>
      <c r="G9571" s="37" t="str">
        <f t="shared" si="746"/>
        <v>Normal Discount</v>
      </c>
      <c r="H9571" s="37" t="str">
        <f t="shared" si="747"/>
        <v>Low</v>
      </c>
      <c r="I9571">
        <v>5</v>
      </c>
      <c r="J9571" t="str" cm="1">
        <f t="array" ref="J9571">_xlfn.IFS(I9571&lt;=3,"small",I9571&lt;=6,"Medium",I9571&lt;=9,"Large")</f>
        <v>Medium</v>
      </c>
      <c r="K9571" s="36">
        <v>45085</v>
      </c>
      <c r="L9571" s="36">
        <v>45092</v>
      </c>
      <c r="M9571" t="s">
        <v>603</v>
      </c>
      <c r="N9571" t="s">
        <v>608</v>
      </c>
      <c r="O9571" s="37" t="str">
        <f t="shared" si="748"/>
        <v>Cash Payment</v>
      </c>
      <c r="P9571">
        <v>766.34</v>
      </c>
      <c r="Q9571" s="37" t="str">
        <f>IF(P9571&gt;500,"High","low")</f>
        <v>High</v>
      </c>
      <c r="R9571" s="37" t="str">
        <f t="shared" si="749"/>
        <v>Good</v>
      </c>
      <c r="S9571" t="s">
        <v>609</v>
      </c>
    </row>
    <row r="9572" spans="1:19" x14ac:dyDescent="0.2">
      <c r="A9572" t="s">
        <v>10183</v>
      </c>
      <c r="B9572" t="s">
        <v>83</v>
      </c>
      <c r="C9572" t="s">
        <v>602</v>
      </c>
      <c r="D9572">
        <v>3803.09</v>
      </c>
      <c r="E9572" s="37" t="str">
        <f t="shared" si="745"/>
        <v xml:space="preserve"> </v>
      </c>
      <c r="F9572">
        <v>0.01</v>
      </c>
      <c r="G9572" s="37" t="str">
        <f t="shared" si="746"/>
        <v>Normal Discount</v>
      </c>
      <c r="H9572" s="37" t="str">
        <f t="shared" si="747"/>
        <v>Low</v>
      </c>
      <c r="I9572">
        <v>6</v>
      </c>
      <c r="J9572" t="str" cm="1">
        <f t="array" ref="J9572">_xlfn.IFS(I9572&lt;=3,"small",I9572&lt;=6,"Medium",I9572&lt;=9,"Large")</f>
        <v>Medium</v>
      </c>
      <c r="K9572" s="36">
        <v>45144</v>
      </c>
      <c r="L9572" s="36">
        <v>45149</v>
      </c>
      <c r="M9572" t="s">
        <v>612</v>
      </c>
      <c r="N9572" t="s">
        <v>599</v>
      </c>
      <c r="O9572" s="37" t="str">
        <f t="shared" si="748"/>
        <v>Digital Payment</v>
      </c>
      <c r="P9572">
        <v>745.64</v>
      </c>
      <c r="Q9572" s="37" t="str">
        <f>IF(P9572&gt;500,"High","low")</f>
        <v>High</v>
      </c>
      <c r="R9572" s="37" t="str">
        <f t="shared" si="749"/>
        <v>Good</v>
      </c>
      <c r="S9572" t="s">
        <v>628</v>
      </c>
    </row>
    <row r="9573" spans="1:19" x14ac:dyDescent="0.2">
      <c r="A9573" t="s">
        <v>10184</v>
      </c>
      <c r="B9573" t="s">
        <v>75</v>
      </c>
      <c r="C9573" t="s">
        <v>597</v>
      </c>
      <c r="D9573">
        <v>2401.9299999999998</v>
      </c>
      <c r="E9573" s="37" t="str">
        <f t="shared" si="745"/>
        <v xml:space="preserve"> </v>
      </c>
      <c r="F9573">
        <v>0.18</v>
      </c>
      <c r="G9573" s="37" t="str">
        <f t="shared" si="746"/>
        <v>Normal Discount</v>
      </c>
      <c r="H9573" s="37" t="str">
        <f t="shared" si="747"/>
        <v>Low</v>
      </c>
      <c r="I9573">
        <v>4</v>
      </c>
      <c r="J9573" t="str" cm="1">
        <f t="array" ref="J9573">_xlfn.IFS(I9573&lt;=3,"small",I9573&lt;=6,"Medium",I9573&lt;=9,"Large")</f>
        <v>Medium</v>
      </c>
      <c r="K9573" s="36">
        <v>45398</v>
      </c>
      <c r="L9573" s="36">
        <v>45404</v>
      </c>
      <c r="M9573" t="s">
        <v>612</v>
      </c>
      <c r="N9573" t="s">
        <v>599</v>
      </c>
      <c r="O9573" s="37" t="str">
        <f t="shared" si="748"/>
        <v>Digital Payment</v>
      </c>
      <c r="P9573">
        <v>542.24</v>
      </c>
      <c r="Q9573" s="37" t="str">
        <f>IF(P9573&gt;500,"High","low")</f>
        <v>High</v>
      </c>
      <c r="R9573" s="37" t="str">
        <f t="shared" si="749"/>
        <v>Good</v>
      </c>
      <c r="S9573" t="s">
        <v>600</v>
      </c>
    </row>
    <row r="9574" spans="1:19" x14ac:dyDescent="0.2">
      <c r="A9574" t="s">
        <v>10185</v>
      </c>
      <c r="B9574" t="s">
        <v>83</v>
      </c>
      <c r="C9574" t="s">
        <v>607</v>
      </c>
      <c r="D9574">
        <v>3615.79</v>
      </c>
      <c r="E9574" s="37" t="str">
        <f t="shared" si="745"/>
        <v xml:space="preserve"> </v>
      </c>
      <c r="F9574">
        <v>0.36</v>
      </c>
      <c r="G9574" s="37" t="str">
        <f t="shared" si="746"/>
        <v>Heavy Discount</v>
      </c>
      <c r="H9574" s="37" t="str">
        <f t="shared" si="747"/>
        <v>Medium</v>
      </c>
      <c r="I9574">
        <v>4</v>
      </c>
      <c r="J9574" t="str" cm="1">
        <f t="array" ref="J9574">_xlfn.IFS(I9574&lt;=3,"small",I9574&lt;=6,"Medium",I9574&lt;=9,"Large")</f>
        <v>Medium</v>
      </c>
      <c r="K9574" s="36">
        <v>45133</v>
      </c>
      <c r="L9574" s="36">
        <v>45139</v>
      </c>
      <c r="M9574" t="s">
        <v>612</v>
      </c>
      <c r="N9574" t="s">
        <v>599</v>
      </c>
      <c r="O9574" s="37" t="str">
        <f t="shared" si="748"/>
        <v>Digital Payment</v>
      </c>
      <c r="P9574">
        <v>307.14</v>
      </c>
      <c r="Q9574" s="37" t="str">
        <f>IF(P9574&gt;500,"High","low")</f>
        <v>low</v>
      </c>
      <c r="R9574" s="37" t="str">
        <f t="shared" si="749"/>
        <v>AVERAGE</v>
      </c>
      <c r="S9574" t="s">
        <v>615</v>
      </c>
    </row>
    <row r="9575" spans="1:19" x14ac:dyDescent="0.2">
      <c r="A9575" t="s">
        <v>10186</v>
      </c>
      <c r="B9575" t="s">
        <v>90</v>
      </c>
      <c r="C9575" t="s">
        <v>607</v>
      </c>
      <c r="D9575">
        <v>2308.9299999999998</v>
      </c>
      <c r="E9575" s="37" t="str">
        <f t="shared" si="745"/>
        <v xml:space="preserve"> </v>
      </c>
      <c r="F9575">
        <v>0.17</v>
      </c>
      <c r="G9575" s="37" t="str">
        <f t="shared" si="746"/>
        <v>Normal Discount</v>
      </c>
      <c r="H9575" s="37" t="str">
        <f t="shared" si="747"/>
        <v>Low</v>
      </c>
      <c r="I9575">
        <v>3</v>
      </c>
      <c r="J9575" t="str" cm="1">
        <f t="array" ref="J9575">_xlfn.IFS(I9575&lt;=3,"small",I9575&lt;=6,"Medium",I9575&lt;=9,"Large")</f>
        <v>small</v>
      </c>
      <c r="K9575" s="36">
        <v>45288</v>
      </c>
      <c r="L9575" s="36">
        <v>45295</v>
      </c>
      <c r="M9575" t="s">
        <v>603</v>
      </c>
      <c r="N9575" t="s">
        <v>608</v>
      </c>
      <c r="O9575" s="37" t="str">
        <f t="shared" si="748"/>
        <v>Cash Payment</v>
      </c>
      <c r="P9575">
        <v>467.4</v>
      </c>
      <c r="Q9575" s="37" t="str">
        <f>IF(P9575&gt;500,"High","low")</f>
        <v>low</v>
      </c>
      <c r="R9575" s="37" t="str">
        <f t="shared" si="749"/>
        <v>AVERAGE</v>
      </c>
      <c r="S9575" t="s">
        <v>628</v>
      </c>
    </row>
    <row r="9576" spans="1:19" x14ac:dyDescent="0.2">
      <c r="A9576" t="s">
        <v>10187</v>
      </c>
      <c r="B9576" t="s">
        <v>67</v>
      </c>
      <c r="C9576" t="s">
        <v>607</v>
      </c>
      <c r="D9576">
        <v>4271.7299999999996</v>
      </c>
      <c r="E9576" s="37" t="str">
        <f t="shared" si="745"/>
        <v>Excellent Order</v>
      </c>
      <c r="F9576">
        <v>0</v>
      </c>
      <c r="G9576" s="37" t="str">
        <f t="shared" si="746"/>
        <v>Normal Discount</v>
      </c>
      <c r="H9576" s="37" t="str">
        <f t="shared" si="747"/>
        <v>Low</v>
      </c>
      <c r="I9576">
        <v>6</v>
      </c>
      <c r="J9576" t="str" cm="1">
        <f t="array" ref="J9576">_xlfn.IFS(I9576&lt;=3,"small",I9576&lt;=6,"Medium",I9576&lt;=9,"Large")</f>
        <v>Medium</v>
      </c>
      <c r="K9576" s="36">
        <v>45595</v>
      </c>
      <c r="L9576" s="36">
        <v>45596</v>
      </c>
      <c r="M9576" t="s">
        <v>598</v>
      </c>
      <c r="N9576" t="s">
        <v>608</v>
      </c>
      <c r="O9576" s="37" t="str">
        <f t="shared" si="748"/>
        <v>Cash Payment</v>
      </c>
      <c r="P9576">
        <v>810.16</v>
      </c>
      <c r="Q9576" s="37" t="str">
        <f>IF(P9576&gt;500,"High","low")</f>
        <v>High</v>
      </c>
      <c r="R9576" s="37" t="str">
        <f t="shared" si="749"/>
        <v>Good</v>
      </c>
      <c r="S9576" t="s">
        <v>628</v>
      </c>
    </row>
    <row r="9577" spans="1:19" x14ac:dyDescent="0.2">
      <c r="A9577" t="s">
        <v>10188</v>
      </c>
      <c r="B9577" t="s">
        <v>83</v>
      </c>
      <c r="C9577" t="s">
        <v>607</v>
      </c>
      <c r="D9577">
        <v>1730.75</v>
      </c>
      <c r="E9577" s="37" t="str">
        <f t="shared" si="745"/>
        <v xml:space="preserve"> </v>
      </c>
      <c r="F9577">
        <v>0.42</v>
      </c>
      <c r="G9577" s="37" t="str">
        <f t="shared" si="746"/>
        <v>Heavy Discount</v>
      </c>
      <c r="H9577" s="37" t="str">
        <f t="shared" si="747"/>
        <v>High</v>
      </c>
      <c r="I9577">
        <v>9</v>
      </c>
      <c r="J9577" t="str" cm="1">
        <f t="array" ref="J9577">_xlfn.IFS(I9577&lt;=3,"small",I9577&lt;=6,"Medium",I9577&lt;=9,"Large")</f>
        <v>Large</v>
      </c>
      <c r="K9577" s="36">
        <v>45085</v>
      </c>
      <c r="L9577" s="36">
        <v>45092</v>
      </c>
      <c r="M9577" t="s">
        <v>598</v>
      </c>
      <c r="N9577" t="s">
        <v>599</v>
      </c>
      <c r="O9577" s="37" t="str">
        <f t="shared" si="748"/>
        <v>Digital Payment</v>
      </c>
      <c r="P9577">
        <v>184.84</v>
      </c>
      <c r="Q9577" s="37" t="str">
        <f>IF(P9577&gt;500,"High","low")</f>
        <v>low</v>
      </c>
      <c r="R9577" s="37" t="str">
        <f t="shared" si="749"/>
        <v>AVERAGE</v>
      </c>
      <c r="S9577" t="s">
        <v>600</v>
      </c>
    </row>
    <row r="9578" spans="1:19" x14ac:dyDescent="0.2">
      <c r="A9578" t="s">
        <v>10189</v>
      </c>
      <c r="B9578" t="s">
        <v>75</v>
      </c>
      <c r="C9578" t="s">
        <v>602</v>
      </c>
      <c r="D9578">
        <v>4643.7299999999996</v>
      </c>
      <c r="E9578" s="37" t="str">
        <f t="shared" si="745"/>
        <v>Excellent Order</v>
      </c>
      <c r="F9578">
        <v>0.48</v>
      </c>
      <c r="G9578" s="37" t="str">
        <f t="shared" si="746"/>
        <v>Heavy Discount</v>
      </c>
      <c r="H9578" s="37" t="str">
        <f t="shared" si="747"/>
        <v>High</v>
      </c>
      <c r="I9578">
        <v>7</v>
      </c>
      <c r="J9578" t="str" cm="1">
        <f t="array" ref="J9578">_xlfn.IFS(I9578&lt;=3,"small",I9578&lt;=6,"Medium",I9578&lt;=9,"Large")</f>
        <v>Large</v>
      </c>
      <c r="K9578" s="36">
        <v>45640</v>
      </c>
      <c r="L9578" s="36">
        <v>45642</v>
      </c>
      <c r="M9578" t="s">
        <v>612</v>
      </c>
      <c r="N9578" t="s">
        <v>608</v>
      </c>
      <c r="O9578" s="37" t="str">
        <f t="shared" si="748"/>
        <v>Cash Payment</v>
      </c>
      <c r="P9578">
        <v>1049.83</v>
      </c>
      <c r="Q9578" s="37" t="str">
        <f>IF(P9578&gt;500,"High","low")</f>
        <v>High</v>
      </c>
      <c r="R9578" s="37" t="str">
        <f t="shared" si="749"/>
        <v>Excellent</v>
      </c>
      <c r="S9578" t="s">
        <v>605</v>
      </c>
    </row>
    <row r="9579" spans="1:19" x14ac:dyDescent="0.2">
      <c r="A9579" t="s">
        <v>10190</v>
      </c>
      <c r="B9579" t="s">
        <v>90</v>
      </c>
      <c r="C9579" t="s">
        <v>614</v>
      </c>
      <c r="D9579">
        <v>2757.19</v>
      </c>
      <c r="E9579" s="37" t="str">
        <f t="shared" si="745"/>
        <v xml:space="preserve"> </v>
      </c>
      <c r="F9579">
        <v>0.17</v>
      </c>
      <c r="G9579" s="37" t="str">
        <f t="shared" si="746"/>
        <v>Normal Discount</v>
      </c>
      <c r="H9579" s="37" t="str">
        <f t="shared" si="747"/>
        <v>Low</v>
      </c>
      <c r="I9579">
        <v>9</v>
      </c>
      <c r="J9579" t="str" cm="1">
        <f t="array" ref="J9579">_xlfn.IFS(I9579&lt;=3,"small",I9579&lt;=6,"Medium",I9579&lt;=9,"Large")</f>
        <v>Large</v>
      </c>
      <c r="K9579" s="36">
        <v>45181</v>
      </c>
      <c r="L9579" s="36">
        <v>45187</v>
      </c>
      <c r="M9579" t="s">
        <v>598</v>
      </c>
      <c r="N9579" t="s">
        <v>608</v>
      </c>
      <c r="O9579" s="37" t="str">
        <f t="shared" si="748"/>
        <v>Cash Payment</v>
      </c>
      <c r="P9579">
        <v>690.55</v>
      </c>
      <c r="Q9579" s="37" t="str">
        <f>IF(P9579&gt;500,"High","low")</f>
        <v>High</v>
      </c>
      <c r="R9579" s="37" t="str">
        <f t="shared" si="749"/>
        <v>Good</v>
      </c>
      <c r="S9579" t="s">
        <v>600</v>
      </c>
    </row>
    <row r="9580" spans="1:19" x14ac:dyDescent="0.2">
      <c r="A9580" t="s">
        <v>10191</v>
      </c>
      <c r="B9580" t="s">
        <v>75</v>
      </c>
      <c r="C9580" t="s">
        <v>614</v>
      </c>
      <c r="D9580">
        <v>2724.87</v>
      </c>
      <c r="E9580" s="37" t="str">
        <f t="shared" si="745"/>
        <v xml:space="preserve"> </v>
      </c>
      <c r="F9580">
        <v>0.04</v>
      </c>
      <c r="G9580" s="37" t="str">
        <f t="shared" si="746"/>
        <v>Normal Discount</v>
      </c>
      <c r="H9580" s="37" t="str">
        <f t="shared" si="747"/>
        <v>Low</v>
      </c>
      <c r="I9580">
        <v>6</v>
      </c>
      <c r="J9580" t="str" cm="1">
        <f t="array" ref="J9580">_xlfn.IFS(I9580&lt;=3,"small",I9580&lt;=6,"Medium",I9580&lt;=9,"Large")</f>
        <v>Medium</v>
      </c>
      <c r="K9580" s="36">
        <v>45558</v>
      </c>
      <c r="L9580" s="36">
        <v>45559</v>
      </c>
      <c r="M9580" t="s">
        <v>603</v>
      </c>
      <c r="N9580" t="s">
        <v>608</v>
      </c>
      <c r="O9580" s="37" t="str">
        <f t="shared" si="748"/>
        <v>Cash Payment</v>
      </c>
      <c r="P9580">
        <v>289.86</v>
      </c>
      <c r="Q9580" s="37" t="str">
        <f>IF(P9580&gt;500,"High","low")</f>
        <v>low</v>
      </c>
      <c r="R9580" s="37" t="str">
        <f t="shared" si="749"/>
        <v>AVERAGE</v>
      </c>
      <c r="S9580" t="s">
        <v>600</v>
      </c>
    </row>
    <row r="9581" spans="1:19" x14ac:dyDescent="0.2">
      <c r="A9581" t="s">
        <v>10192</v>
      </c>
      <c r="B9581" t="s">
        <v>83</v>
      </c>
      <c r="C9581" t="s">
        <v>597</v>
      </c>
      <c r="D9581">
        <v>3386.97</v>
      </c>
      <c r="E9581" s="37" t="str">
        <f t="shared" si="745"/>
        <v xml:space="preserve"> </v>
      </c>
      <c r="F9581">
        <v>0.15</v>
      </c>
      <c r="G9581" s="37" t="str">
        <f t="shared" si="746"/>
        <v>Normal Discount</v>
      </c>
      <c r="H9581" s="37" t="str">
        <f t="shared" si="747"/>
        <v>Low</v>
      </c>
      <c r="I9581">
        <v>2</v>
      </c>
      <c r="J9581" t="str" cm="1">
        <f t="array" ref="J9581">_xlfn.IFS(I9581&lt;=3,"small",I9581&lt;=6,"Medium",I9581&lt;=9,"Large")</f>
        <v>small</v>
      </c>
      <c r="K9581" s="36">
        <v>45419</v>
      </c>
      <c r="L9581" s="36">
        <v>45420</v>
      </c>
      <c r="M9581" t="s">
        <v>603</v>
      </c>
      <c r="N9581" t="s">
        <v>599</v>
      </c>
      <c r="O9581" s="37" t="str">
        <f t="shared" si="748"/>
        <v>Digital Payment</v>
      </c>
      <c r="P9581">
        <v>194.54</v>
      </c>
      <c r="Q9581" s="37" t="str">
        <f>IF(P9581&gt;500,"High","low")</f>
        <v>low</v>
      </c>
      <c r="R9581" s="37" t="str">
        <f t="shared" si="749"/>
        <v>AVERAGE</v>
      </c>
      <c r="S9581" t="s">
        <v>620</v>
      </c>
    </row>
    <row r="9582" spans="1:19" x14ac:dyDescent="0.2">
      <c r="A9582" t="s">
        <v>10193</v>
      </c>
      <c r="B9582" t="s">
        <v>83</v>
      </c>
      <c r="C9582" t="s">
        <v>617</v>
      </c>
      <c r="D9582">
        <v>1770.19</v>
      </c>
      <c r="E9582" s="37" t="str">
        <f t="shared" si="745"/>
        <v xml:space="preserve"> </v>
      </c>
      <c r="F9582">
        <v>0.4</v>
      </c>
      <c r="G9582" s="37" t="str">
        <f t="shared" si="746"/>
        <v>Heavy Discount</v>
      </c>
      <c r="H9582" s="37" t="str">
        <f t="shared" si="747"/>
        <v>Medium</v>
      </c>
      <c r="I9582">
        <v>6</v>
      </c>
      <c r="J9582" t="str" cm="1">
        <f t="array" ref="J9582">_xlfn.IFS(I9582&lt;=3,"small",I9582&lt;=6,"Medium",I9582&lt;=9,"Large")</f>
        <v>Medium</v>
      </c>
      <c r="K9582" s="36">
        <v>45570</v>
      </c>
      <c r="L9582" s="36">
        <v>45572</v>
      </c>
      <c r="M9582" t="s">
        <v>612</v>
      </c>
      <c r="N9582" t="s">
        <v>604</v>
      </c>
      <c r="O9582" s="37" t="str">
        <f t="shared" si="748"/>
        <v>Digital Payment</v>
      </c>
      <c r="P9582">
        <v>319.23</v>
      </c>
      <c r="Q9582" s="37" t="str">
        <f>IF(P9582&gt;500,"High","low")</f>
        <v>low</v>
      </c>
      <c r="R9582" s="37" t="str">
        <f t="shared" si="749"/>
        <v>AVERAGE</v>
      </c>
      <c r="S9582" t="s">
        <v>620</v>
      </c>
    </row>
    <row r="9583" spans="1:19" x14ac:dyDescent="0.2">
      <c r="A9583" t="s">
        <v>10194</v>
      </c>
      <c r="B9583" t="s">
        <v>75</v>
      </c>
      <c r="C9583" t="s">
        <v>614</v>
      </c>
      <c r="D9583">
        <v>3649.21</v>
      </c>
      <c r="E9583" s="37" t="str">
        <f t="shared" si="745"/>
        <v xml:space="preserve"> </v>
      </c>
      <c r="F9583">
        <v>0.27</v>
      </c>
      <c r="G9583" s="37" t="str">
        <f t="shared" si="746"/>
        <v>Normal Discount</v>
      </c>
      <c r="H9583" s="37" t="str">
        <f t="shared" si="747"/>
        <v>Medium</v>
      </c>
      <c r="I9583">
        <v>7</v>
      </c>
      <c r="J9583" t="str" cm="1">
        <f t="array" ref="J9583">_xlfn.IFS(I9583&lt;=3,"small",I9583&lt;=6,"Medium",I9583&lt;=9,"Large")</f>
        <v>Large</v>
      </c>
      <c r="K9583" s="36">
        <v>45054</v>
      </c>
      <c r="L9583" s="36">
        <v>45060</v>
      </c>
      <c r="M9583" t="s">
        <v>598</v>
      </c>
      <c r="N9583" t="s">
        <v>599</v>
      </c>
      <c r="O9583" s="37" t="str">
        <f t="shared" si="748"/>
        <v>Digital Payment</v>
      </c>
      <c r="P9583">
        <v>340.84</v>
      </c>
      <c r="Q9583" s="37" t="str">
        <f>IF(P9583&gt;500,"High","low")</f>
        <v>low</v>
      </c>
      <c r="R9583" s="37" t="str">
        <f t="shared" si="749"/>
        <v>AVERAGE</v>
      </c>
      <c r="S9583" t="s">
        <v>605</v>
      </c>
    </row>
    <row r="9584" spans="1:19" x14ac:dyDescent="0.2">
      <c r="A9584" t="s">
        <v>10195</v>
      </c>
      <c r="B9584" t="s">
        <v>90</v>
      </c>
      <c r="C9584" t="s">
        <v>617</v>
      </c>
      <c r="D9584">
        <v>1670.08</v>
      </c>
      <c r="E9584" s="37" t="str">
        <f t="shared" si="745"/>
        <v xml:space="preserve"> </v>
      </c>
      <c r="F9584">
        <v>0.19</v>
      </c>
      <c r="G9584" s="37" t="str">
        <f t="shared" si="746"/>
        <v>Normal Discount</v>
      </c>
      <c r="H9584" s="37" t="str">
        <f t="shared" si="747"/>
        <v>Low</v>
      </c>
      <c r="I9584">
        <v>2</v>
      </c>
      <c r="J9584" t="str" cm="1">
        <f t="array" ref="J9584">_xlfn.IFS(I9584&lt;=3,"small",I9584&lt;=6,"Medium",I9584&lt;=9,"Large")</f>
        <v>small</v>
      </c>
      <c r="K9584" s="36">
        <v>45574</v>
      </c>
      <c r="L9584" s="36">
        <v>45580</v>
      </c>
      <c r="M9584" t="s">
        <v>603</v>
      </c>
      <c r="N9584" t="s">
        <v>608</v>
      </c>
      <c r="O9584" s="37" t="str">
        <f t="shared" si="748"/>
        <v>Cash Payment</v>
      </c>
      <c r="P9584">
        <v>96.49</v>
      </c>
      <c r="Q9584" s="37" t="str">
        <f>IF(P9584&gt;500,"High","low")</f>
        <v>low</v>
      </c>
      <c r="R9584" s="37" t="str">
        <f t="shared" si="749"/>
        <v>AVERAGE</v>
      </c>
      <c r="S9584" t="s">
        <v>605</v>
      </c>
    </row>
    <row r="9585" spans="1:19" x14ac:dyDescent="0.2">
      <c r="A9585" t="s">
        <v>10196</v>
      </c>
      <c r="B9585" t="s">
        <v>83</v>
      </c>
      <c r="C9585" t="s">
        <v>614</v>
      </c>
      <c r="D9585">
        <v>2047.94</v>
      </c>
      <c r="E9585" s="37" t="str">
        <f t="shared" si="745"/>
        <v xml:space="preserve"> </v>
      </c>
      <c r="F9585">
        <v>0.17</v>
      </c>
      <c r="G9585" s="37" t="str">
        <f t="shared" si="746"/>
        <v>Normal Discount</v>
      </c>
      <c r="H9585" s="37" t="str">
        <f t="shared" si="747"/>
        <v>Low</v>
      </c>
      <c r="I9585">
        <v>1</v>
      </c>
      <c r="J9585" t="str" cm="1">
        <f t="array" ref="J9585">_xlfn.IFS(I9585&lt;=3,"small",I9585&lt;=6,"Medium",I9585&lt;=9,"Large")</f>
        <v>small</v>
      </c>
      <c r="K9585" s="36">
        <v>45286</v>
      </c>
      <c r="L9585" s="36">
        <v>45288</v>
      </c>
      <c r="M9585" t="s">
        <v>603</v>
      </c>
      <c r="N9585" t="s">
        <v>608</v>
      </c>
      <c r="O9585" s="37" t="str">
        <f t="shared" si="748"/>
        <v>Cash Payment</v>
      </c>
      <c r="P9585">
        <v>316.18</v>
      </c>
      <c r="Q9585" s="37" t="str">
        <f>IF(P9585&gt;500,"High","low")</f>
        <v>low</v>
      </c>
      <c r="R9585" s="37" t="str">
        <f t="shared" si="749"/>
        <v>AVERAGE</v>
      </c>
      <c r="S9585" t="s">
        <v>609</v>
      </c>
    </row>
    <row r="9586" spans="1:19" x14ac:dyDescent="0.2">
      <c r="A9586" t="s">
        <v>10197</v>
      </c>
      <c r="B9586" t="s">
        <v>67</v>
      </c>
      <c r="C9586" t="s">
        <v>614</v>
      </c>
      <c r="D9586">
        <v>3406.05</v>
      </c>
      <c r="E9586" s="37" t="str">
        <f t="shared" si="745"/>
        <v xml:space="preserve"> </v>
      </c>
      <c r="F9586">
        <v>0.06</v>
      </c>
      <c r="G9586" s="37" t="str">
        <f t="shared" si="746"/>
        <v>Normal Discount</v>
      </c>
      <c r="H9586" s="37" t="str">
        <f t="shared" si="747"/>
        <v>Low</v>
      </c>
      <c r="I9586">
        <v>6</v>
      </c>
      <c r="J9586" t="str" cm="1">
        <f t="array" ref="J9586">_xlfn.IFS(I9586&lt;=3,"small",I9586&lt;=6,"Medium",I9586&lt;=9,"Large")</f>
        <v>Medium</v>
      </c>
      <c r="K9586" s="36">
        <v>45385</v>
      </c>
      <c r="L9586" s="36">
        <v>45386</v>
      </c>
      <c r="M9586" t="s">
        <v>603</v>
      </c>
      <c r="N9586" t="s">
        <v>608</v>
      </c>
      <c r="O9586" s="37" t="str">
        <f t="shared" si="748"/>
        <v>Cash Payment</v>
      </c>
      <c r="P9586">
        <v>647.24</v>
      </c>
      <c r="Q9586" s="37" t="str">
        <f>IF(P9586&gt;500,"High","low")</f>
        <v>High</v>
      </c>
      <c r="R9586" s="37" t="str">
        <f t="shared" si="749"/>
        <v>Good</v>
      </c>
      <c r="S9586" t="s">
        <v>600</v>
      </c>
    </row>
    <row r="9587" spans="1:19" x14ac:dyDescent="0.2">
      <c r="A9587" t="s">
        <v>10198</v>
      </c>
      <c r="B9587" t="s">
        <v>83</v>
      </c>
      <c r="C9587" t="s">
        <v>597</v>
      </c>
      <c r="D9587">
        <v>1954.4</v>
      </c>
      <c r="E9587" s="37" t="str">
        <f t="shared" si="745"/>
        <v xml:space="preserve"> </v>
      </c>
      <c r="F9587">
        <v>0.17</v>
      </c>
      <c r="G9587" s="37" t="str">
        <f t="shared" si="746"/>
        <v>Normal Discount</v>
      </c>
      <c r="H9587" s="37" t="str">
        <f t="shared" si="747"/>
        <v>Low</v>
      </c>
      <c r="I9587">
        <v>8</v>
      </c>
      <c r="J9587" t="str" cm="1">
        <f t="array" ref="J9587">_xlfn.IFS(I9587&lt;=3,"small",I9587&lt;=6,"Medium",I9587&lt;=9,"Large")</f>
        <v>Large</v>
      </c>
      <c r="K9587" s="36">
        <v>44963</v>
      </c>
      <c r="L9587" s="36">
        <v>44964</v>
      </c>
      <c r="M9587" t="s">
        <v>603</v>
      </c>
      <c r="N9587" t="s">
        <v>599</v>
      </c>
      <c r="O9587" s="37" t="str">
        <f t="shared" si="748"/>
        <v>Digital Payment</v>
      </c>
      <c r="P9587">
        <v>465.4</v>
      </c>
      <c r="Q9587" s="37" t="str">
        <f>IF(P9587&gt;500,"High","low")</f>
        <v>low</v>
      </c>
      <c r="R9587" s="37" t="str">
        <f t="shared" si="749"/>
        <v>AVERAGE</v>
      </c>
      <c r="S9587" t="s">
        <v>609</v>
      </c>
    </row>
    <row r="9588" spans="1:19" x14ac:dyDescent="0.2">
      <c r="A9588" t="s">
        <v>10199</v>
      </c>
      <c r="B9588" t="s">
        <v>90</v>
      </c>
      <c r="C9588" t="s">
        <v>607</v>
      </c>
      <c r="D9588">
        <v>1079.8699999999999</v>
      </c>
      <c r="E9588" s="37" t="str">
        <f t="shared" si="745"/>
        <v xml:space="preserve"> </v>
      </c>
      <c r="F9588">
        <v>0.24</v>
      </c>
      <c r="G9588" s="37" t="str">
        <f t="shared" si="746"/>
        <v>Normal Discount</v>
      </c>
      <c r="H9588" s="37" t="str">
        <f t="shared" si="747"/>
        <v>Medium</v>
      </c>
      <c r="I9588">
        <v>6</v>
      </c>
      <c r="J9588" t="str" cm="1">
        <f t="array" ref="J9588">_xlfn.IFS(I9588&lt;=3,"small",I9588&lt;=6,"Medium",I9588&lt;=9,"Large")</f>
        <v>Medium</v>
      </c>
      <c r="K9588" s="36">
        <v>45525</v>
      </c>
      <c r="L9588" s="36">
        <v>45529</v>
      </c>
      <c r="M9588" t="s">
        <v>598</v>
      </c>
      <c r="N9588" t="s">
        <v>608</v>
      </c>
      <c r="O9588" s="37" t="str">
        <f t="shared" si="748"/>
        <v>Cash Payment</v>
      </c>
      <c r="P9588">
        <v>152.4</v>
      </c>
      <c r="Q9588" s="37" t="str">
        <f>IF(P9588&gt;500,"High","low")</f>
        <v>low</v>
      </c>
      <c r="R9588" s="37" t="str">
        <f t="shared" si="749"/>
        <v>AVERAGE</v>
      </c>
      <c r="S9588" t="s">
        <v>609</v>
      </c>
    </row>
    <row r="9589" spans="1:19" x14ac:dyDescent="0.2">
      <c r="A9589" t="s">
        <v>10200</v>
      </c>
      <c r="B9589" t="s">
        <v>83</v>
      </c>
      <c r="C9589" t="s">
        <v>597</v>
      </c>
      <c r="D9589">
        <v>4372.32</v>
      </c>
      <c r="E9589" s="37" t="str">
        <f t="shared" si="745"/>
        <v xml:space="preserve"> </v>
      </c>
      <c r="F9589">
        <v>0.34</v>
      </c>
      <c r="G9589" s="37" t="str">
        <f t="shared" si="746"/>
        <v>Heavy Discount</v>
      </c>
      <c r="H9589" s="37" t="str">
        <f t="shared" si="747"/>
        <v>Medium</v>
      </c>
      <c r="I9589">
        <v>8</v>
      </c>
      <c r="J9589" t="str" cm="1">
        <f t="array" ref="J9589">_xlfn.IFS(I9589&lt;=3,"small",I9589&lt;=6,"Medium",I9589&lt;=9,"Large")</f>
        <v>Large</v>
      </c>
      <c r="K9589" s="36">
        <v>45340</v>
      </c>
      <c r="L9589" s="36">
        <v>45345</v>
      </c>
      <c r="M9589" t="s">
        <v>612</v>
      </c>
      <c r="N9589" t="s">
        <v>608</v>
      </c>
      <c r="O9589" s="37" t="str">
        <f t="shared" si="748"/>
        <v>Cash Payment</v>
      </c>
      <c r="P9589">
        <v>451.52</v>
      </c>
      <c r="Q9589" s="37" t="str">
        <f>IF(P9589&gt;500,"High","low")</f>
        <v>low</v>
      </c>
      <c r="R9589" s="37" t="str">
        <f t="shared" si="749"/>
        <v>AVERAGE</v>
      </c>
      <c r="S9589" t="s">
        <v>600</v>
      </c>
    </row>
    <row r="9590" spans="1:19" x14ac:dyDescent="0.2">
      <c r="A9590" t="s">
        <v>10201</v>
      </c>
      <c r="B9590" t="s">
        <v>75</v>
      </c>
      <c r="C9590" t="s">
        <v>614</v>
      </c>
      <c r="D9590">
        <v>4618.5600000000004</v>
      </c>
      <c r="E9590" s="37" t="str">
        <f t="shared" si="745"/>
        <v xml:space="preserve"> </v>
      </c>
      <c r="F9590">
        <v>0.13</v>
      </c>
      <c r="G9590" s="37" t="str">
        <f t="shared" si="746"/>
        <v>Normal Discount</v>
      </c>
      <c r="H9590" s="37" t="str">
        <f t="shared" si="747"/>
        <v>Low</v>
      </c>
      <c r="I9590">
        <v>6</v>
      </c>
      <c r="J9590" t="str" cm="1">
        <f t="array" ref="J9590">_xlfn.IFS(I9590&lt;=3,"small",I9590&lt;=6,"Medium",I9590&lt;=9,"Large")</f>
        <v>Medium</v>
      </c>
      <c r="K9590" s="36">
        <v>45645</v>
      </c>
      <c r="L9590" s="36">
        <v>45648</v>
      </c>
      <c r="M9590" t="s">
        <v>598</v>
      </c>
      <c r="N9590" t="s">
        <v>604</v>
      </c>
      <c r="O9590" s="37" t="str">
        <f t="shared" si="748"/>
        <v>Digital Payment</v>
      </c>
      <c r="P9590">
        <v>609.59</v>
      </c>
      <c r="Q9590" s="37" t="str">
        <f>IF(P9590&gt;500,"High","low")</f>
        <v>High</v>
      </c>
      <c r="R9590" s="37" t="str">
        <f t="shared" si="749"/>
        <v>Good</v>
      </c>
      <c r="S9590" t="s">
        <v>628</v>
      </c>
    </row>
    <row r="9591" spans="1:19" x14ac:dyDescent="0.2">
      <c r="A9591" t="s">
        <v>10202</v>
      </c>
      <c r="B9591" t="s">
        <v>83</v>
      </c>
      <c r="C9591" t="s">
        <v>607</v>
      </c>
      <c r="D9591">
        <v>3170.98</v>
      </c>
      <c r="E9591" s="37" t="str">
        <f t="shared" si="745"/>
        <v xml:space="preserve"> </v>
      </c>
      <c r="F9591">
        <v>0.45</v>
      </c>
      <c r="G9591" s="37" t="str">
        <f t="shared" si="746"/>
        <v>Heavy Discount</v>
      </c>
      <c r="H9591" s="37" t="str">
        <f t="shared" si="747"/>
        <v>High</v>
      </c>
      <c r="I9591">
        <v>6</v>
      </c>
      <c r="J9591" t="str" cm="1">
        <f t="array" ref="J9591">_xlfn.IFS(I9591&lt;=3,"small",I9591&lt;=6,"Medium",I9591&lt;=9,"Large")</f>
        <v>Medium</v>
      </c>
      <c r="K9591" s="36">
        <v>45147</v>
      </c>
      <c r="L9591" s="36">
        <v>45149</v>
      </c>
      <c r="M9591" t="s">
        <v>612</v>
      </c>
      <c r="N9591" t="s">
        <v>604</v>
      </c>
      <c r="O9591" s="37" t="str">
        <f t="shared" si="748"/>
        <v>Digital Payment</v>
      </c>
      <c r="P9591">
        <v>555.49</v>
      </c>
      <c r="Q9591" s="37" t="str">
        <f>IF(P9591&gt;500,"High","low")</f>
        <v>High</v>
      </c>
      <c r="R9591" s="37" t="str">
        <f t="shared" si="749"/>
        <v>Good</v>
      </c>
      <c r="S9591" t="s">
        <v>628</v>
      </c>
    </row>
    <row r="9592" spans="1:19" x14ac:dyDescent="0.2">
      <c r="A9592" t="s">
        <v>10203</v>
      </c>
      <c r="B9592" t="s">
        <v>83</v>
      </c>
      <c r="C9592" t="s">
        <v>607</v>
      </c>
      <c r="D9592">
        <v>4074.64</v>
      </c>
      <c r="E9592" s="37" t="str">
        <f t="shared" si="745"/>
        <v>Excellent Order</v>
      </c>
      <c r="F9592">
        <v>0.24</v>
      </c>
      <c r="G9592" s="37" t="str">
        <f t="shared" si="746"/>
        <v>Normal Discount</v>
      </c>
      <c r="H9592" s="37" t="str">
        <f t="shared" si="747"/>
        <v>Medium</v>
      </c>
      <c r="I9592">
        <v>8</v>
      </c>
      <c r="J9592" t="str" cm="1">
        <f t="array" ref="J9592">_xlfn.IFS(I9592&lt;=3,"small",I9592&lt;=6,"Medium",I9592&lt;=9,"Large")</f>
        <v>Large</v>
      </c>
      <c r="K9592" s="36">
        <v>45383</v>
      </c>
      <c r="L9592" s="36">
        <v>45385</v>
      </c>
      <c r="M9592" t="s">
        <v>603</v>
      </c>
      <c r="N9592" t="s">
        <v>608</v>
      </c>
      <c r="O9592" s="37" t="str">
        <f t="shared" si="748"/>
        <v>Cash Payment</v>
      </c>
      <c r="P9592">
        <v>887.67</v>
      </c>
      <c r="Q9592" s="37" t="str">
        <f>IF(P9592&gt;500,"High","low")</f>
        <v>High</v>
      </c>
      <c r="R9592" s="37" t="str">
        <f t="shared" si="749"/>
        <v>Good</v>
      </c>
      <c r="S9592" t="s">
        <v>628</v>
      </c>
    </row>
    <row r="9593" spans="1:19" x14ac:dyDescent="0.2">
      <c r="A9593" t="s">
        <v>10204</v>
      </c>
      <c r="B9593" t="s">
        <v>90</v>
      </c>
      <c r="C9593" t="s">
        <v>607</v>
      </c>
      <c r="D9593">
        <v>4934.6000000000004</v>
      </c>
      <c r="E9593" s="37" t="str">
        <f t="shared" si="745"/>
        <v>Excellent Order</v>
      </c>
      <c r="F9593">
        <v>0.2</v>
      </c>
      <c r="G9593" s="37" t="str">
        <f t="shared" si="746"/>
        <v>Normal Discount</v>
      </c>
      <c r="H9593" s="37" t="str">
        <f t="shared" si="747"/>
        <v>Medium</v>
      </c>
      <c r="I9593">
        <v>3</v>
      </c>
      <c r="J9593" t="str" cm="1">
        <f t="array" ref="J9593">_xlfn.IFS(I9593&lt;=3,"small",I9593&lt;=6,"Medium",I9593&lt;=9,"Large")</f>
        <v>small</v>
      </c>
      <c r="K9593" s="36">
        <v>45097</v>
      </c>
      <c r="L9593" s="36">
        <v>45098</v>
      </c>
      <c r="M9593" t="s">
        <v>603</v>
      </c>
      <c r="N9593" t="s">
        <v>599</v>
      </c>
      <c r="O9593" s="37" t="str">
        <f t="shared" si="748"/>
        <v>Digital Payment</v>
      </c>
      <c r="P9593">
        <v>1031.49</v>
      </c>
      <c r="Q9593" s="37" t="str">
        <f>IF(P9593&gt;500,"High","low")</f>
        <v>High</v>
      </c>
      <c r="R9593" s="37" t="str">
        <f t="shared" si="749"/>
        <v>Excellent</v>
      </c>
      <c r="S9593" t="s">
        <v>615</v>
      </c>
    </row>
    <row r="9594" spans="1:19" x14ac:dyDescent="0.2">
      <c r="A9594" t="s">
        <v>10205</v>
      </c>
      <c r="B9594" t="s">
        <v>75</v>
      </c>
      <c r="C9594" t="s">
        <v>617</v>
      </c>
      <c r="D9594">
        <v>3112.4</v>
      </c>
      <c r="E9594" s="37" t="str">
        <f t="shared" si="745"/>
        <v xml:space="preserve"> </v>
      </c>
      <c r="F9594">
        <v>0.3</v>
      </c>
      <c r="G9594" s="37" t="str">
        <f t="shared" si="746"/>
        <v>Normal Discount</v>
      </c>
      <c r="H9594" s="37" t="str">
        <f t="shared" si="747"/>
        <v>Medium</v>
      </c>
      <c r="I9594">
        <v>3</v>
      </c>
      <c r="J9594" t="str" cm="1">
        <f t="array" ref="J9594">_xlfn.IFS(I9594&lt;=3,"small",I9594&lt;=6,"Medium",I9594&lt;=9,"Large")</f>
        <v>small</v>
      </c>
      <c r="K9594" s="36">
        <v>45065</v>
      </c>
      <c r="L9594" s="36">
        <v>45067</v>
      </c>
      <c r="M9594" t="s">
        <v>603</v>
      </c>
      <c r="N9594" t="s">
        <v>608</v>
      </c>
      <c r="O9594" s="37" t="str">
        <f t="shared" si="748"/>
        <v>Cash Payment</v>
      </c>
      <c r="P9594">
        <v>567.22</v>
      </c>
      <c r="Q9594" s="37" t="str">
        <f>IF(P9594&gt;500,"High","low")</f>
        <v>High</v>
      </c>
      <c r="R9594" s="37" t="str">
        <f t="shared" si="749"/>
        <v>Good</v>
      </c>
      <c r="S9594" t="s">
        <v>620</v>
      </c>
    </row>
    <row r="9595" spans="1:19" x14ac:dyDescent="0.2">
      <c r="A9595" t="s">
        <v>10206</v>
      </c>
      <c r="B9595" t="s">
        <v>90</v>
      </c>
      <c r="C9595" t="s">
        <v>614</v>
      </c>
      <c r="D9595">
        <v>4553.08</v>
      </c>
      <c r="E9595" s="37" t="str">
        <f t="shared" si="745"/>
        <v xml:space="preserve"> </v>
      </c>
      <c r="F9595">
        <v>0.08</v>
      </c>
      <c r="G9595" s="37" t="str">
        <f t="shared" si="746"/>
        <v>Normal Discount</v>
      </c>
      <c r="H9595" s="37" t="str">
        <f t="shared" si="747"/>
        <v>Low</v>
      </c>
      <c r="I9595">
        <v>6</v>
      </c>
      <c r="J9595" t="str" cm="1">
        <f t="array" ref="J9595">_xlfn.IFS(I9595&lt;=3,"small",I9595&lt;=6,"Medium",I9595&lt;=9,"Large")</f>
        <v>Medium</v>
      </c>
      <c r="K9595" s="36">
        <v>45005</v>
      </c>
      <c r="L9595" s="36">
        <v>45010</v>
      </c>
      <c r="M9595" t="s">
        <v>612</v>
      </c>
      <c r="N9595" t="s">
        <v>608</v>
      </c>
      <c r="O9595" s="37" t="str">
        <f t="shared" si="748"/>
        <v>Cash Payment</v>
      </c>
      <c r="P9595">
        <v>518.45000000000005</v>
      </c>
      <c r="Q9595" s="37" t="str">
        <f>IF(P9595&gt;500,"High","low")</f>
        <v>High</v>
      </c>
      <c r="R9595" s="37" t="str">
        <f t="shared" si="749"/>
        <v>Good</v>
      </c>
      <c r="S9595" t="s">
        <v>605</v>
      </c>
    </row>
    <row r="9596" spans="1:19" x14ac:dyDescent="0.2">
      <c r="A9596" t="s">
        <v>10207</v>
      </c>
      <c r="B9596" t="s">
        <v>83</v>
      </c>
      <c r="C9596" t="s">
        <v>602</v>
      </c>
      <c r="D9596">
        <v>1860.35</v>
      </c>
      <c r="E9596" s="37" t="str">
        <f t="shared" si="745"/>
        <v xml:space="preserve"> </v>
      </c>
      <c r="F9596">
        <v>0.05</v>
      </c>
      <c r="G9596" s="37" t="str">
        <f t="shared" si="746"/>
        <v>Normal Discount</v>
      </c>
      <c r="H9596" s="37" t="str">
        <f t="shared" si="747"/>
        <v>Low</v>
      </c>
      <c r="I9596">
        <v>4</v>
      </c>
      <c r="J9596" t="str" cm="1">
        <f t="array" ref="J9596">_xlfn.IFS(I9596&lt;=3,"small",I9596&lt;=6,"Medium",I9596&lt;=9,"Large")</f>
        <v>Medium</v>
      </c>
      <c r="K9596" s="36">
        <v>45115</v>
      </c>
      <c r="L9596" s="36">
        <v>45121</v>
      </c>
      <c r="M9596" t="s">
        <v>598</v>
      </c>
      <c r="N9596" t="s">
        <v>608</v>
      </c>
      <c r="O9596" s="37" t="str">
        <f t="shared" si="748"/>
        <v>Cash Payment</v>
      </c>
      <c r="P9596">
        <v>354.49</v>
      </c>
      <c r="Q9596" s="37" t="str">
        <f>IF(P9596&gt;500,"High","low")</f>
        <v>low</v>
      </c>
      <c r="R9596" s="37" t="str">
        <f t="shared" si="749"/>
        <v>AVERAGE</v>
      </c>
      <c r="S9596" t="s">
        <v>609</v>
      </c>
    </row>
    <row r="9597" spans="1:19" x14ac:dyDescent="0.2">
      <c r="A9597" t="s">
        <v>10208</v>
      </c>
      <c r="B9597" t="s">
        <v>67</v>
      </c>
      <c r="C9597" t="s">
        <v>597</v>
      </c>
      <c r="D9597">
        <v>3532.31</v>
      </c>
      <c r="E9597" s="37" t="str">
        <f t="shared" si="745"/>
        <v xml:space="preserve"> </v>
      </c>
      <c r="F9597">
        <v>0.17</v>
      </c>
      <c r="G9597" s="37" t="str">
        <f t="shared" si="746"/>
        <v>Normal Discount</v>
      </c>
      <c r="H9597" s="37" t="str">
        <f t="shared" si="747"/>
        <v>Low</v>
      </c>
      <c r="I9597">
        <v>7</v>
      </c>
      <c r="J9597" t="str" cm="1">
        <f t="array" ref="J9597">_xlfn.IFS(I9597&lt;=3,"small",I9597&lt;=6,"Medium",I9597&lt;=9,"Large")</f>
        <v>Large</v>
      </c>
      <c r="K9597" s="36">
        <v>45546</v>
      </c>
      <c r="L9597" s="36">
        <v>45550</v>
      </c>
      <c r="M9597" t="s">
        <v>603</v>
      </c>
      <c r="N9597" t="s">
        <v>604</v>
      </c>
      <c r="O9597" s="37" t="str">
        <f t="shared" si="748"/>
        <v>Digital Payment</v>
      </c>
      <c r="P9597">
        <v>784.8</v>
      </c>
      <c r="Q9597" s="37" t="str">
        <f>IF(P9597&gt;500,"High","low")</f>
        <v>High</v>
      </c>
      <c r="R9597" s="37" t="str">
        <f t="shared" si="749"/>
        <v>Good</v>
      </c>
      <c r="S9597" t="s">
        <v>609</v>
      </c>
    </row>
    <row r="9598" spans="1:19" x14ac:dyDescent="0.2">
      <c r="A9598" t="s">
        <v>10209</v>
      </c>
      <c r="B9598" t="s">
        <v>83</v>
      </c>
      <c r="C9598" t="s">
        <v>617</v>
      </c>
      <c r="D9598">
        <v>373.45</v>
      </c>
      <c r="E9598" s="37" t="str">
        <f t="shared" si="745"/>
        <v xml:space="preserve"> </v>
      </c>
      <c r="F9598">
        <v>0.02</v>
      </c>
      <c r="G9598" s="37" t="str">
        <f t="shared" si="746"/>
        <v>Normal Discount</v>
      </c>
      <c r="H9598" s="37" t="str">
        <f t="shared" si="747"/>
        <v>Low</v>
      </c>
      <c r="I9598">
        <v>7</v>
      </c>
      <c r="J9598" t="str" cm="1">
        <f t="array" ref="J9598">_xlfn.IFS(I9598&lt;=3,"small",I9598&lt;=6,"Medium",I9598&lt;=9,"Large")</f>
        <v>Large</v>
      </c>
      <c r="K9598" s="36">
        <v>45036</v>
      </c>
      <c r="L9598" s="36">
        <v>45042</v>
      </c>
      <c r="M9598" t="s">
        <v>612</v>
      </c>
      <c r="N9598" t="s">
        <v>599</v>
      </c>
      <c r="O9598" s="37" t="str">
        <f t="shared" si="748"/>
        <v>Digital Payment</v>
      </c>
      <c r="P9598">
        <v>102.19</v>
      </c>
      <c r="Q9598" s="37" t="str">
        <f>IF(P9598&gt;500,"High","low")</f>
        <v>low</v>
      </c>
      <c r="R9598" s="37" t="str">
        <f t="shared" si="749"/>
        <v>AVERAGE</v>
      </c>
      <c r="S9598" t="s">
        <v>615</v>
      </c>
    </row>
    <row r="9599" spans="1:19" x14ac:dyDescent="0.2">
      <c r="A9599" t="s">
        <v>10210</v>
      </c>
      <c r="B9599" t="s">
        <v>90</v>
      </c>
      <c r="C9599" t="s">
        <v>597</v>
      </c>
      <c r="D9599">
        <v>3965.96</v>
      </c>
      <c r="E9599" s="37" t="str">
        <f t="shared" si="745"/>
        <v xml:space="preserve"> </v>
      </c>
      <c r="F9599">
        <v>0.19</v>
      </c>
      <c r="G9599" s="37" t="str">
        <f t="shared" si="746"/>
        <v>Normal Discount</v>
      </c>
      <c r="H9599" s="37" t="str">
        <f t="shared" si="747"/>
        <v>Low</v>
      </c>
      <c r="I9599">
        <v>9</v>
      </c>
      <c r="J9599" t="str" cm="1">
        <f t="array" ref="J9599">_xlfn.IFS(I9599&lt;=3,"small",I9599&lt;=6,"Medium",I9599&lt;=9,"Large")</f>
        <v>Large</v>
      </c>
      <c r="K9599" s="36">
        <v>45220</v>
      </c>
      <c r="L9599" s="36">
        <v>45226</v>
      </c>
      <c r="M9599" t="s">
        <v>603</v>
      </c>
      <c r="N9599" t="s">
        <v>599</v>
      </c>
      <c r="O9599" s="37" t="str">
        <f t="shared" si="748"/>
        <v>Digital Payment</v>
      </c>
      <c r="P9599">
        <v>201.06</v>
      </c>
      <c r="Q9599" s="37" t="str">
        <f>IF(P9599&gt;500,"High","low")</f>
        <v>low</v>
      </c>
      <c r="R9599" s="37" t="str">
        <f t="shared" si="749"/>
        <v>AVERAGE</v>
      </c>
      <c r="S9599" t="s">
        <v>600</v>
      </c>
    </row>
    <row r="9600" spans="1:19" x14ac:dyDescent="0.2">
      <c r="A9600" t="s">
        <v>10211</v>
      </c>
      <c r="B9600" t="s">
        <v>67</v>
      </c>
      <c r="C9600" t="s">
        <v>602</v>
      </c>
      <c r="D9600">
        <v>4166.04</v>
      </c>
      <c r="E9600" s="37" t="str">
        <f t="shared" si="745"/>
        <v>Excellent Order</v>
      </c>
      <c r="F9600">
        <v>0.34</v>
      </c>
      <c r="G9600" s="37" t="str">
        <f t="shared" si="746"/>
        <v>Heavy Discount</v>
      </c>
      <c r="H9600" s="37" t="str">
        <f t="shared" si="747"/>
        <v>Medium</v>
      </c>
      <c r="I9600">
        <v>2</v>
      </c>
      <c r="J9600" t="str" cm="1">
        <f t="array" ref="J9600">_xlfn.IFS(I9600&lt;=3,"small",I9600&lt;=6,"Medium",I9600&lt;=9,"Large")</f>
        <v>small</v>
      </c>
      <c r="K9600" s="36">
        <v>45102</v>
      </c>
      <c r="L9600" s="36">
        <v>45106</v>
      </c>
      <c r="M9600" t="s">
        <v>612</v>
      </c>
      <c r="N9600" t="s">
        <v>604</v>
      </c>
      <c r="O9600" s="37" t="str">
        <f t="shared" si="748"/>
        <v>Digital Payment</v>
      </c>
      <c r="P9600">
        <v>815.99</v>
      </c>
      <c r="Q9600" s="37" t="str">
        <f>IF(P9600&gt;500,"High","low")</f>
        <v>High</v>
      </c>
      <c r="R9600" s="37" t="str">
        <f t="shared" si="749"/>
        <v>Good</v>
      </c>
      <c r="S9600" t="s">
        <v>615</v>
      </c>
    </row>
    <row r="9601" spans="1:19" x14ac:dyDescent="0.2">
      <c r="A9601" t="s">
        <v>10212</v>
      </c>
      <c r="B9601" t="s">
        <v>90</v>
      </c>
      <c r="C9601" t="s">
        <v>607</v>
      </c>
      <c r="D9601">
        <v>2065.7600000000002</v>
      </c>
      <c r="E9601" s="37" t="str">
        <f t="shared" si="745"/>
        <v xml:space="preserve"> </v>
      </c>
      <c r="F9601">
        <v>0.41</v>
      </c>
      <c r="G9601" s="37" t="str">
        <f t="shared" si="746"/>
        <v>Heavy Discount</v>
      </c>
      <c r="H9601" s="37" t="str">
        <f t="shared" si="747"/>
        <v>High</v>
      </c>
      <c r="I9601">
        <v>2</v>
      </c>
      <c r="J9601" t="str" cm="1">
        <f t="array" ref="J9601">_xlfn.IFS(I9601&lt;=3,"small",I9601&lt;=6,"Medium",I9601&lt;=9,"Large")</f>
        <v>small</v>
      </c>
      <c r="K9601" s="36">
        <v>45336</v>
      </c>
      <c r="L9601" s="36">
        <v>45343</v>
      </c>
      <c r="M9601" t="s">
        <v>598</v>
      </c>
      <c r="N9601" t="s">
        <v>604</v>
      </c>
      <c r="O9601" s="37" t="str">
        <f t="shared" si="748"/>
        <v>Digital Payment</v>
      </c>
      <c r="P9601">
        <v>424.34</v>
      </c>
      <c r="Q9601" s="37" t="str">
        <f>IF(P9601&gt;500,"High","low")</f>
        <v>low</v>
      </c>
      <c r="R9601" s="37" t="str">
        <f t="shared" si="749"/>
        <v>AVERAGE</v>
      </c>
      <c r="S9601" t="s">
        <v>600</v>
      </c>
    </row>
    <row r="9602" spans="1:19" x14ac:dyDescent="0.2">
      <c r="A9602" t="s">
        <v>10213</v>
      </c>
      <c r="B9602" t="s">
        <v>90</v>
      </c>
      <c r="C9602" t="s">
        <v>602</v>
      </c>
      <c r="D9602">
        <v>3230.88</v>
      </c>
      <c r="E9602" s="37" t="str">
        <f t="shared" si="745"/>
        <v xml:space="preserve"> </v>
      </c>
      <c r="F9602">
        <v>0.28999999999999998</v>
      </c>
      <c r="G9602" s="37" t="str">
        <f t="shared" si="746"/>
        <v>Normal Discount</v>
      </c>
      <c r="H9602" s="37" t="str">
        <f t="shared" si="747"/>
        <v>Medium</v>
      </c>
      <c r="I9602">
        <v>6</v>
      </c>
      <c r="J9602" t="str" cm="1">
        <f t="array" ref="J9602">_xlfn.IFS(I9602&lt;=3,"small",I9602&lt;=6,"Medium",I9602&lt;=9,"Large")</f>
        <v>Medium</v>
      </c>
      <c r="K9602" s="36">
        <v>45054</v>
      </c>
      <c r="L9602" s="36">
        <v>45055</v>
      </c>
      <c r="M9602" t="s">
        <v>603</v>
      </c>
      <c r="N9602" t="s">
        <v>604</v>
      </c>
      <c r="O9602" s="37" t="str">
        <f t="shared" si="748"/>
        <v>Digital Payment</v>
      </c>
      <c r="P9602">
        <v>333.63</v>
      </c>
      <c r="Q9602" s="37" t="str">
        <f>IF(P9602&gt;500,"High","low")</f>
        <v>low</v>
      </c>
      <c r="R9602" s="37" t="str">
        <f t="shared" si="749"/>
        <v>AVERAGE</v>
      </c>
      <c r="S9602" t="s">
        <v>628</v>
      </c>
    </row>
    <row r="9603" spans="1:19" x14ac:dyDescent="0.2">
      <c r="A9603" t="s">
        <v>10214</v>
      </c>
      <c r="B9603" t="s">
        <v>75</v>
      </c>
      <c r="C9603" t="s">
        <v>597</v>
      </c>
      <c r="D9603">
        <v>4305.97</v>
      </c>
      <c r="E9603" s="37" t="str">
        <f t="shared" ref="E9603:E9666" si="750">IF(AND(D9603&gt;4000,P9603&gt;800),"Excellent Order"," ")</f>
        <v>Excellent Order</v>
      </c>
      <c r="F9603">
        <v>0.35</v>
      </c>
      <c r="G9603" s="37" t="str">
        <f t="shared" ref="G9603:G9666" si="751">IF(F9603&gt;30%,"Heavy Discount","Normal Discount")</f>
        <v>Heavy Discount</v>
      </c>
      <c r="H9603" s="37" t="str">
        <f t="shared" ref="H9603:H9666" si="752">IF(F9603&gt;0.4,"High",IF(F9603&gt;=0.2,"Medium","Low"))</f>
        <v>Medium</v>
      </c>
      <c r="I9603">
        <v>9</v>
      </c>
      <c r="J9603" t="str" cm="1">
        <f t="array" ref="J9603">_xlfn.IFS(I9603&lt;=3,"small",I9603&lt;=6,"Medium",I9603&lt;=9,"Large")</f>
        <v>Large</v>
      </c>
      <c r="K9603" s="36">
        <v>45291</v>
      </c>
      <c r="L9603" s="36">
        <v>45297</v>
      </c>
      <c r="M9603" t="s">
        <v>603</v>
      </c>
      <c r="N9603" t="s">
        <v>604</v>
      </c>
      <c r="O9603" s="37" t="str">
        <f t="shared" ref="O9603:O9666" si="753">IF(OR(N9603="Card",N9603="UPI"),"Digital Payment","Cash Payment")</f>
        <v>Digital Payment</v>
      </c>
      <c r="P9603">
        <v>817.61</v>
      </c>
      <c r="Q9603" s="37" t="str">
        <f>IF(P9603&gt;500,"High","low")</f>
        <v>High</v>
      </c>
      <c r="R9603" s="37" t="str">
        <f t="shared" ref="R9603:R9666" si="754">IF(P9603&gt;1000,"Excellent",IF(P9603&gt;=500,"Good","AVERAGE"))</f>
        <v>Good</v>
      </c>
      <c r="S9603" t="s">
        <v>609</v>
      </c>
    </row>
    <row r="9604" spans="1:19" x14ac:dyDescent="0.2">
      <c r="A9604" t="s">
        <v>10215</v>
      </c>
      <c r="B9604" t="s">
        <v>67</v>
      </c>
      <c r="C9604" t="s">
        <v>602</v>
      </c>
      <c r="D9604">
        <v>4429.68</v>
      </c>
      <c r="E9604" s="37" t="str">
        <f t="shared" si="750"/>
        <v>Excellent Order</v>
      </c>
      <c r="F9604">
        <v>0.42</v>
      </c>
      <c r="G9604" s="37" t="str">
        <f t="shared" si="751"/>
        <v>Heavy Discount</v>
      </c>
      <c r="H9604" s="37" t="str">
        <f t="shared" si="752"/>
        <v>High</v>
      </c>
      <c r="I9604">
        <v>7</v>
      </c>
      <c r="J9604" t="str" cm="1">
        <f t="array" ref="J9604">_xlfn.IFS(I9604&lt;=3,"small",I9604&lt;=6,"Medium",I9604&lt;=9,"Large")</f>
        <v>Large</v>
      </c>
      <c r="K9604" s="36">
        <v>44950</v>
      </c>
      <c r="L9604" s="36">
        <v>44956</v>
      </c>
      <c r="M9604" t="s">
        <v>598</v>
      </c>
      <c r="N9604" t="s">
        <v>604</v>
      </c>
      <c r="O9604" s="37" t="str">
        <f t="shared" si="753"/>
        <v>Digital Payment</v>
      </c>
      <c r="P9604">
        <v>1044.97</v>
      </c>
      <c r="Q9604" s="37" t="str">
        <f>IF(P9604&gt;500,"High","low")</f>
        <v>High</v>
      </c>
      <c r="R9604" s="37" t="str">
        <f t="shared" si="754"/>
        <v>Excellent</v>
      </c>
      <c r="S9604" t="s">
        <v>600</v>
      </c>
    </row>
    <row r="9605" spans="1:19" x14ac:dyDescent="0.2">
      <c r="A9605" t="s">
        <v>10216</v>
      </c>
      <c r="B9605" t="s">
        <v>83</v>
      </c>
      <c r="C9605" t="s">
        <v>614</v>
      </c>
      <c r="D9605">
        <v>622</v>
      </c>
      <c r="E9605" s="37" t="str">
        <f t="shared" si="750"/>
        <v xml:space="preserve"> </v>
      </c>
      <c r="F9605">
        <v>0.39</v>
      </c>
      <c r="G9605" s="37" t="str">
        <f t="shared" si="751"/>
        <v>Heavy Discount</v>
      </c>
      <c r="H9605" s="37" t="str">
        <f t="shared" si="752"/>
        <v>Medium</v>
      </c>
      <c r="I9605">
        <v>6</v>
      </c>
      <c r="J9605" t="str" cm="1">
        <f t="array" ref="J9605">_xlfn.IFS(I9605&lt;=3,"small",I9605&lt;=6,"Medium",I9605&lt;=9,"Large")</f>
        <v>Medium</v>
      </c>
      <c r="K9605" s="36">
        <v>45140</v>
      </c>
      <c r="L9605" s="36">
        <v>45141</v>
      </c>
      <c r="M9605" t="s">
        <v>603</v>
      </c>
      <c r="N9605" t="s">
        <v>599</v>
      </c>
      <c r="O9605" s="37" t="str">
        <f t="shared" si="753"/>
        <v>Digital Payment</v>
      </c>
      <c r="P9605">
        <v>160.43</v>
      </c>
      <c r="Q9605" s="37" t="str">
        <f>IF(P9605&gt;500,"High","low")</f>
        <v>low</v>
      </c>
      <c r="R9605" s="37" t="str">
        <f t="shared" si="754"/>
        <v>AVERAGE</v>
      </c>
      <c r="S9605" t="s">
        <v>615</v>
      </c>
    </row>
    <row r="9606" spans="1:19" x14ac:dyDescent="0.2">
      <c r="A9606" t="s">
        <v>10217</v>
      </c>
      <c r="B9606" t="s">
        <v>90</v>
      </c>
      <c r="C9606" t="s">
        <v>602</v>
      </c>
      <c r="D9606">
        <v>4154.6899999999996</v>
      </c>
      <c r="E9606" s="37" t="str">
        <f t="shared" si="750"/>
        <v>Excellent Order</v>
      </c>
      <c r="F9606">
        <v>0.16</v>
      </c>
      <c r="G9606" s="37" t="str">
        <f t="shared" si="751"/>
        <v>Normal Discount</v>
      </c>
      <c r="H9606" s="37" t="str">
        <f t="shared" si="752"/>
        <v>Low</v>
      </c>
      <c r="I9606">
        <v>5</v>
      </c>
      <c r="J9606" t="str" cm="1">
        <f t="array" ref="J9606">_xlfn.IFS(I9606&lt;=3,"small",I9606&lt;=6,"Medium",I9606&lt;=9,"Large")</f>
        <v>Medium</v>
      </c>
      <c r="K9606" s="36">
        <v>45511</v>
      </c>
      <c r="L9606" s="36">
        <v>45514</v>
      </c>
      <c r="M9606" t="s">
        <v>598</v>
      </c>
      <c r="N9606" t="s">
        <v>599</v>
      </c>
      <c r="O9606" s="37" t="str">
        <f t="shared" si="753"/>
        <v>Digital Payment</v>
      </c>
      <c r="P9606">
        <v>891.86</v>
      </c>
      <c r="Q9606" s="37" t="str">
        <f>IF(P9606&gt;500,"High","low")</f>
        <v>High</v>
      </c>
      <c r="R9606" s="37" t="str">
        <f t="shared" si="754"/>
        <v>Good</v>
      </c>
      <c r="S9606" t="s">
        <v>620</v>
      </c>
    </row>
    <row r="9607" spans="1:19" x14ac:dyDescent="0.2">
      <c r="A9607" t="s">
        <v>10218</v>
      </c>
      <c r="B9607" t="s">
        <v>83</v>
      </c>
      <c r="C9607" t="s">
        <v>614</v>
      </c>
      <c r="D9607">
        <v>1443.79</v>
      </c>
      <c r="E9607" s="37" t="str">
        <f t="shared" si="750"/>
        <v xml:space="preserve"> </v>
      </c>
      <c r="F9607">
        <v>0.28999999999999998</v>
      </c>
      <c r="G9607" s="37" t="str">
        <f t="shared" si="751"/>
        <v>Normal Discount</v>
      </c>
      <c r="H9607" s="37" t="str">
        <f t="shared" si="752"/>
        <v>Medium</v>
      </c>
      <c r="I9607">
        <v>8</v>
      </c>
      <c r="J9607" t="str" cm="1">
        <f t="array" ref="J9607">_xlfn.IFS(I9607&lt;=3,"small",I9607&lt;=6,"Medium",I9607&lt;=9,"Large")</f>
        <v>Large</v>
      </c>
      <c r="K9607" s="36">
        <v>45278</v>
      </c>
      <c r="L9607" s="36">
        <v>45283</v>
      </c>
      <c r="M9607" t="s">
        <v>598</v>
      </c>
      <c r="N9607" t="s">
        <v>604</v>
      </c>
      <c r="O9607" s="37" t="str">
        <f t="shared" si="753"/>
        <v>Digital Payment</v>
      </c>
      <c r="P9607">
        <v>424.17</v>
      </c>
      <c r="Q9607" s="37" t="str">
        <f>IF(P9607&gt;500,"High","low")</f>
        <v>low</v>
      </c>
      <c r="R9607" s="37" t="str">
        <f t="shared" si="754"/>
        <v>AVERAGE</v>
      </c>
      <c r="S9607" t="s">
        <v>600</v>
      </c>
    </row>
    <row r="9608" spans="1:19" x14ac:dyDescent="0.2">
      <c r="A9608" t="s">
        <v>10219</v>
      </c>
      <c r="B9608" t="s">
        <v>75</v>
      </c>
      <c r="C9608" t="s">
        <v>602</v>
      </c>
      <c r="D9608">
        <v>3663.8</v>
      </c>
      <c r="E9608" s="37" t="str">
        <f t="shared" si="750"/>
        <v xml:space="preserve"> </v>
      </c>
      <c r="F9608">
        <v>0.13</v>
      </c>
      <c r="G9608" s="37" t="str">
        <f t="shared" si="751"/>
        <v>Normal Discount</v>
      </c>
      <c r="H9608" s="37" t="str">
        <f t="shared" si="752"/>
        <v>Low</v>
      </c>
      <c r="I9608">
        <v>2</v>
      </c>
      <c r="J9608" t="str" cm="1">
        <f t="array" ref="J9608">_xlfn.IFS(I9608&lt;=3,"small",I9608&lt;=6,"Medium",I9608&lt;=9,"Large")</f>
        <v>small</v>
      </c>
      <c r="K9608" s="36">
        <v>45066</v>
      </c>
      <c r="L9608" s="36">
        <v>45068</v>
      </c>
      <c r="M9608" t="s">
        <v>603</v>
      </c>
      <c r="N9608" t="s">
        <v>604</v>
      </c>
      <c r="O9608" s="37" t="str">
        <f t="shared" si="753"/>
        <v>Digital Payment</v>
      </c>
      <c r="P9608">
        <v>946.38</v>
      </c>
      <c r="Q9608" s="37" t="str">
        <f>IF(P9608&gt;500,"High","low")</f>
        <v>High</v>
      </c>
      <c r="R9608" s="37" t="str">
        <f t="shared" si="754"/>
        <v>Good</v>
      </c>
      <c r="S9608" t="s">
        <v>609</v>
      </c>
    </row>
    <row r="9609" spans="1:19" x14ac:dyDescent="0.2">
      <c r="A9609" t="s">
        <v>10220</v>
      </c>
      <c r="B9609" t="s">
        <v>75</v>
      </c>
      <c r="C9609" t="s">
        <v>614</v>
      </c>
      <c r="D9609">
        <v>1693.3</v>
      </c>
      <c r="E9609" s="37" t="str">
        <f t="shared" si="750"/>
        <v xml:space="preserve"> </v>
      </c>
      <c r="F9609">
        <v>0.28999999999999998</v>
      </c>
      <c r="G9609" s="37" t="str">
        <f t="shared" si="751"/>
        <v>Normal Discount</v>
      </c>
      <c r="H9609" s="37" t="str">
        <f t="shared" si="752"/>
        <v>Medium</v>
      </c>
      <c r="I9609">
        <v>3</v>
      </c>
      <c r="J9609" t="str" cm="1">
        <f t="array" ref="J9609">_xlfn.IFS(I9609&lt;=3,"small",I9609&lt;=6,"Medium",I9609&lt;=9,"Large")</f>
        <v>small</v>
      </c>
      <c r="K9609" s="36">
        <v>45031</v>
      </c>
      <c r="L9609" s="36">
        <v>45032</v>
      </c>
      <c r="M9609" t="s">
        <v>612</v>
      </c>
      <c r="N9609" t="s">
        <v>599</v>
      </c>
      <c r="O9609" s="37" t="str">
        <f t="shared" si="753"/>
        <v>Digital Payment</v>
      </c>
      <c r="P9609">
        <v>251.67</v>
      </c>
      <c r="Q9609" s="37" t="str">
        <f>IF(P9609&gt;500,"High","low")</f>
        <v>low</v>
      </c>
      <c r="R9609" s="37" t="str">
        <f t="shared" si="754"/>
        <v>AVERAGE</v>
      </c>
      <c r="S9609" t="s">
        <v>609</v>
      </c>
    </row>
    <row r="9610" spans="1:19" x14ac:dyDescent="0.2">
      <c r="A9610" t="s">
        <v>10221</v>
      </c>
      <c r="B9610" t="s">
        <v>67</v>
      </c>
      <c r="C9610" t="s">
        <v>614</v>
      </c>
      <c r="D9610">
        <v>376.02</v>
      </c>
      <c r="E9610" s="37" t="str">
        <f t="shared" si="750"/>
        <v xml:space="preserve"> </v>
      </c>
      <c r="F9610">
        <v>0.21</v>
      </c>
      <c r="G9610" s="37" t="str">
        <f t="shared" si="751"/>
        <v>Normal Discount</v>
      </c>
      <c r="H9610" s="37" t="str">
        <f t="shared" si="752"/>
        <v>Medium</v>
      </c>
      <c r="I9610">
        <v>6</v>
      </c>
      <c r="J9610" t="str" cm="1">
        <f t="array" ref="J9610">_xlfn.IFS(I9610&lt;=3,"small",I9610&lt;=6,"Medium",I9610&lt;=9,"Large")</f>
        <v>Medium</v>
      </c>
      <c r="K9610" s="36">
        <v>45583</v>
      </c>
      <c r="L9610" s="36">
        <v>45590</v>
      </c>
      <c r="M9610" t="s">
        <v>598</v>
      </c>
      <c r="N9610" t="s">
        <v>599</v>
      </c>
      <c r="O9610" s="37" t="str">
        <f t="shared" si="753"/>
        <v>Digital Payment</v>
      </c>
      <c r="P9610">
        <v>100.63</v>
      </c>
      <c r="Q9610" s="37" t="str">
        <f>IF(P9610&gt;500,"High","low")</f>
        <v>low</v>
      </c>
      <c r="R9610" s="37" t="str">
        <f t="shared" si="754"/>
        <v>AVERAGE</v>
      </c>
      <c r="S9610" t="s">
        <v>605</v>
      </c>
    </row>
    <row r="9611" spans="1:19" x14ac:dyDescent="0.2">
      <c r="A9611" t="s">
        <v>10222</v>
      </c>
      <c r="B9611" t="s">
        <v>75</v>
      </c>
      <c r="C9611" t="s">
        <v>602</v>
      </c>
      <c r="D9611">
        <v>1128.3699999999999</v>
      </c>
      <c r="E9611" s="37" t="str">
        <f t="shared" si="750"/>
        <v xml:space="preserve"> </v>
      </c>
      <c r="F9611">
        <v>0.19</v>
      </c>
      <c r="G9611" s="37" t="str">
        <f t="shared" si="751"/>
        <v>Normal Discount</v>
      </c>
      <c r="H9611" s="37" t="str">
        <f t="shared" si="752"/>
        <v>Low</v>
      </c>
      <c r="I9611">
        <v>1</v>
      </c>
      <c r="J9611" t="str" cm="1">
        <f t="array" ref="J9611">_xlfn.IFS(I9611&lt;=3,"small",I9611&lt;=6,"Medium",I9611&lt;=9,"Large")</f>
        <v>small</v>
      </c>
      <c r="K9611" s="36">
        <v>45655</v>
      </c>
      <c r="L9611" s="36">
        <v>45658</v>
      </c>
      <c r="M9611" t="s">
        <v>603</v>
      </c>
      <c r="N9611" t="s">
        <v>599</v>
      </c>
      <c r="O9611" s="37" t="str">
        <f t="shared" si="753"/>
        <v>Digital Payment</v>
      </c>
      <c r="P9611">
        <v>116.3</v>
      </c>
      <c r="Q9611" s="37" t="str">
        <f>IF(P9611&gt;500,"High","low")</f>
        <v>low</v>
      </c>
      <c r="R9611" s="37" t="str">
        <f t="shared" si="754"/>
        <v>AVERAGE</v>
      </c>
      <c r="S9611" t="s">
        <v>609</v>
      </c>
    </row>
    <row r="9612" spans="1:19" x14ac:dyDescent="0.2">
      <c r="A9612" t="s">
        <v>10223</v>
      </c>
      <c r="B9612" t="s">
        <v>75</v>
      </c>
      <c r="C9612" t="s">
        <v>617</v>
      </c>
      <c r="D9612">
        <v>2102.4899999999998</v>
      </c>
      <c r="E9612" s="37" t="str">
        <f t="shared" si="750"/>
        <v xml:space="preserve"> </v>
      </c>
      <c r="F9612">
        <v>0.09</v>
      </c>
      <c r="G9612" s="37" t="str">
        <f t="shared" si="751"/>
        <v>Normal Discount</v>
      </c>
      <c r="H9612" s="37" t="str">
        <f t="shared" si="752"/>
        <v>Low</v>
      </c>
      <c r="I9612">
        <v>8</v>
      </c>
      <c r="J9612" t="str" cm="1">
        <f t="array" ref="J9612">_xlfn.IFS(I9612&lt;=3,"small",I9612&lt;=6,"Medium",I9612&lt;=9,"Large")</f>
        <v>Large</v>
      </c>
      <c r="K9612" s="36">
        <v>45363</v>
      </c>
      <c r="L9612" s="36">
        <v>45367</v>
      </c>
      <c r="M9612" t="s">
        <v>598</v>
      </c>
      <c r="N9612" t="s">
        <v>604</v>
      </c>
      <c r="O9612" s="37" t="str">
        <f t="shared" si="753"/>
        <v>Digital Payment</v>
      </c>
      <c r="P9612">
        <v>475.89</v>
      </c>
      <c r="Q9612" s="37" t="str">
        <f>IF(P9612&gt;500,"High","low")</f>
        <v>low</v>
      </c>
      <c r="R9612" s="37" t="str">
        <f t="shared" si="754"/>
        <v>AVERAGE</v>
      </c>
      <c r="S9612" t="s">
        <v>620</v>
      </c>
    </row>
    <row r="9613" spans="1:19" x14ac:dyDescent="0.2">
      <c r="A9613" t="s">
        <v>10224</v>
      </c>
      <c r="B9613" t="s">
        <v>83</v>
      </c>
      <c r="C9613" t="s">
        <v>607</v>
      </c>
      <c r="D9613">
        <v>3732.02</v>
      </c>
      <c r="E9613" s="37" t="str">
        <f t="shared" si="750"/>
        <v xml:space="preserve"> </v>
      </c>
      <c r="F9613">
        <v>0.28000000000000003</v>
      </c>
      <c r="G9613" s="37" t="str">
        <f t="shared" si="751"/>
        <v>Normal Discount</v>
      </c>
      <c r="H9613" s="37" t="str">
        <f t="shared" si="752"/>
        <v>Medium</v>
      </c>
      <c r="I9613">
        <v>9</v>
      </c>
      <c r="J9613" t="str" cm="1">
        <f t="array" ref="J9613">_xlfn.IFS(I9613&lt;=3,"small",I9613&lt;=6,"Medium",I9613&lt;=9,"Large")</f>
        <v>Large</v>
      </c>
      <c r="K9613" s="36">
        <v>45079</v>
      </c>
      <c r="L9613" s="36">
        <v>45081</v>
      </c>
      <c r="M9613" t="s">
        <v>612</v>
      </c>
      <c r="N9613" t="s">
        <v>599</v>
      </c>
      <c r="O9613" s="37" t="str">
        <f t="shared" si="753"/>
        <v>Digital Payment</v>
      </c>
      <c r="P9613">
        <v>342.98</v>
      </c>
      <c r="Q9613" s="37" t="str">
        <f>IF(P9613&gt;500,"High","low")</f>
        <v>low</v>
      </c>
      <c r="R9613" s="37" t="str">
        <f t="shared" si="754"/>
        <v>AVERAGE</v>
      </c>
      <c r="S9613" t="s">
        <v>620</v>
      </c>
    </row>
    <row r="9614" spans="1:19" x14ac:dyDescent="0.2">
      <c r="A9614" t="s">
        <v>10225</v>
      </c>
      <c r="B9614" t="s">
        <v>75</v>
      </c>
      <c r="C9614" t="s">
        <v>607</v>
      </c>
      <c r="D9614">
        <v>593.45000000000005</v>
      </c>
      <c r="E9614" s="37" t="str">
        <f t="shared" si="750"/>
        <v xml:space="preserve"> </v>
      </c>
      <c r="F9614">
        <v>0.36</v>
      </c>
      <c r="G9614" s="37" t="str">
        <f t="shared" si="751"/>
        <v>Heavy Discount</v>
      </c>
      <c r="H9614" s="37" t="str">
        <f t="shared" si="752"/>
        <v>Medium</v>
      </c>
      <c r="I9614">
        <v>2</v>
      </c>
      <c r="J9614" t="str" cm="1">
        <f t="array" ref="J9614">_xlfn.IFS(I9614&lt;=3,"small",I9614&lt;=6,"Medium",I9614&lt;=9,"Large")</f>
        <v>small</v>
      </c>
      <c r="K9614" s="36">
        <v>45401</v>
      </c>
      <c r="L9614" s="36">
        <v>45407</v>
      </c>
      <c r="M9614" t="s">
        <v>612</v>
      </c>
      <c r="N9614" t="s">
        <v>599</v>
      </c>
      <c r="O9614" s="37" t="str">
        <f t="shared" si="753"/>
        <v>Digital Payment</v>
      </c>
      <c r="P9614">
        <v>173.85</v>
      </c>
      <c r="Q9614" s="37" t="str">
        <f>IF(P9614&gt;500,"High","low")</f>
        <v>low</v>
      </c>
      <c r="R9614" s="37" t="str">
        <f t="shared" si="754"/>
        <v>AVERAGE</v>
      </c>
      <c r="S9614" t="s">
        <v>628</v>
      </c>
    </row>
    <row r="9615" spans="1:19" x14ac:dyDescent="0.2">
      <c r="A9615" t="s">
        <v>10226</v>
      </c>
      <c r="B9615" t="s">
        <v>75</v>
      </c>
      <c r="C9615" t="s">
        <v>607</v>
      </c>
      <c r="D9615">
        <v>4083.38</v>
      </c>
      <c r="E9615" s="37" t="str">
        <f t="shared" si="750"/>
        <v>Excellent Order</v>
      </c>
      <c r="F9615">
        <v>0.28999999999999998</v>
      </c>
      <c r="G9615" s="37" t="str">
        <f t="shared" si="751"/>
        <v>Normal Discount</v>
      </c>
      <c r="H9615" s="37" t="str">
        <f t="shared" si="752"/>
        <v>Medium</v>
      </c>
      <c r="I9615">
        <v>9</v>
      </c>
      <c r="J9615" t="str" cm="1">
        <f t="array" ref="J9615">_xlfn.IFS(I9615&lt;=3,"small",I9615&lt;=6,"Medium",I9615&lt;=9,"Large")</f>
        <v>Large</v>
      </c>
      <c r="K9615" s="36">
        <v>45192</v>
      </c>
      <c r="L9615" s="36">
        <v>45196</v>
      </c>
      <c r="M9615" t="s">
        <v>598</v>
      </c>
      <c r="N9615" t="s">
        <v>604</v>
      </c>
      <c r="O9615" s="37" t="str">
        <f t="shared" si="753"/>
        <v>Digital Payment</v>
      </c>
      <c r="P9615">
        <v>858.41</v>
      </c>
      <c r="Q9615" s="37" t="str">
        <f>IF(P9615&gt;500,"High","low")</f>
        <v>High</v>
      </c>
      <c r="R9615" s="37" t="str">
        <f t="shared" si="754"/>
        <v>Good</v>
      </c>
      <c r="S9615" t="s">
        <v>628</v>
      </c>
    </row>
    <row r="9616" spans="1:19" x14ac:dyDescent="0.2">
      <c r="A9616" t="s">
        <v>10227</v>
      </c>
      <c r="B9616" t="s">
        <v>90</v>
      </c>
      <c r="C9616" t="s">
        <v>614</v>
      </c>
      <c r="D9616">
        <v>4985.0600000000004</v>
      </c>
      <c r="E9616" s="37" t="str">
        <f t="shared" si="750"/>
        <v>Excellent Order</v>
      </c>
      <c r="F9616">
        <v>0.03</v>
      </c>
      <c r="G9616" s="37" t="str">
        <f t="shared" si="751"/>
        <v>Normal Discount</v>
      </c>
      <c r="H9616" s="37" t="str">
        <f t="shared" si="752"/>
        <v>Low</v>
      </c>
      <c r="I9616">
        <v>5</v>
      </c>
      <c r="J9616" t="str" cm="1">
        <f t="array" ref="J9616">_xlfn.IFS(I9616&lt;=3,"small",I9616&lt;=6,"Medium",I9616&lt;=9,"Large")</f>
        <v>Medium</v>
      </c>
      <c r="K9616" s="36">
        <v>45300</v>
      </c>
      <c r="L9616" s="36">
        <v>45304</v>
      </c>
      <c r="M9616" t="s">
        <v>612</v>
      </c>
      <c r="N9616" t="s">
        <v>604</v>
      </c>
      <c r="O9616" s="37" t="str">
        <f t="shared" si="753"/>
        <v>Digital Payment</v>
      </c>
      <c r="P9616">
        <v>1177.8499999999999</v>
      </c>
      <c r="Q9616" s="37" t="str">
        <f>IF(P9616&gt;500,"High","low")</f>
        <v>High</v>
      </c>
      <c r="R9616" s="37" t="str">
        <f t="shared" si="754"/>
        <v>Excellent</v>
      </c>
      <c r="S9616" t="s">
        <v>620</v>
      </c>
    </row>
    <row r="9617" spans="1:19" x14ac:dyDescent="0.2">
      <c r="A9617" t="s">
        <v>10228</v>
      </c>
      <c r="B9617" t="s">
        <v>75</v>
      </c>
      <c r="C9617" t="s">
        <v>607</v>
      </c>
      <c r="D9617">
        <v>3962.46</v>
      </c>
      <c r="E9617" s="37" t="str">
        <f t="shared" si="750"/>
        <v xml:space="preserve"> </v>
      </c>
      <c r="F9617">
        <v>0.46</v>
      </c>
      <c r="G9617" s="37" t="str">
        <f t="shared" si="751"/>
        <v>Heavy Discount</v>
      </c>
      <c r="H9617" s="37" t="str">
        <f t="shared" si="752"/>
        <v>High</v>
      </c>
      <c r="I9617">
        <v>8</v>
      </c>
      <c r="J9617" t="str" cm="1">
        <f t="array" ref="J9617">_xlfn.IFS(I9617&lt;=3,"small",I9617&lt;=6,"Medium",I9617&lt;=9,"Large")</f>
        <v>Large</v>
      </c>
      <c r="K9617" s="36">
        <v>44999</v>
      </c>
      <c r="L9617" s="36">
        <v>45004</v>
      </c>
      <c r="M9617" t="s">
        <v>598</v>
      </c>
      <c r="N9617" t="s">
        <v>604</v>
      </c>
      <c r="O9617" s="37" t="str">
        <f t="shared" si="753"/>
        <v>Digital Payment</v>
      </c>
      <c r="P9617">
        <v>809.53</v>
      </c>
      <c r="Q9617" s="37" t="str">
        <f>IF(P9617&gt;500,"High","low")</f>
        <v>High</v>
      </c>
      <c r="R9617" s="37" t="str">
        <f t="shared" si="754"/>
        <v>Good</v>
      </c>
      <c r="S9617" t="s">
        <v>605</v>
      </c>
    </row>
    <row r="9618" spans="1:19" x14ac:dyDescent="0.2">
      <c r="A9618" t="s">
        <v>10229</v>
      </c>
      <c r="B9618" t="s">
        <v>90</v>
      </c>
      <c r="C9618" t="s">
        <v>614</v>
      </c>
      <c r="D9618">
        <v>2421.31</v>
      </c>
      <c r="E9618" s="37" t="str">
        <f t="shared" si="750"/>
        <v xml:space="preserve"> </v>
      </c>
      <c r="F9618">
        <v>0</v>
      </c>
      <c r="G9618" s="37" t="str">
        <f t="shared" si="751"/>
        <v>Normal Discount</v>
      </c>
      <c r="H9618" s="37" t="str">
        <f t="shared" si="752"/>
        <v>Low</v>
      </c>
      <c r="I9618">
        <v>1</v>
      </c>
      <c r="J9618" t="str" cm="1">
        <f t="array" ref="J9618">_xlfn.IFS(I9618&lt;=3,"small",I9618&lt;=6,"Medium",I9618&lt;=9,"Large")</f>
        <v>small</v>
      </c>
      <c r="K9618" s="36">
        <v>45387</v>
      </c>
      <c r="L9618" s="36">
        <v>45388</v>
      </c>
      <c r="M9618" t="s">
        <v>612</v>
      </c>
      <c r="N9618" t="s">
        <v>608</v>
      </c>
      <c r="O9618" s="37" t="str">
        <f t="shared" si="753"/>
        <v>Cash Payment</v>
      </c>
      <c r="P9618">
        <v>386.46</v>
      </c>
      <c r="Q9618" s="37" t="str">
        <f>IF(P9618&gt;500,"High","low")</f>
        <v>low</v>
      </c>
      <c r="R9618" s="37" t="str">
        <f t="shared" si="754"/>
        <v>AVERAGE</v>
      </c>
      <c r="S9618" t="s">
        <v>628</v>
      </c>
    </row>
    <row r="9619" spans="1:19" x14ac:dyDescent="0.2">
      <c r="A9619" t="s">
        <v>10230</v>
      </c>
      <c r="B9619" t="s">
        <v>75</v>
      </c>
      <c r="C9619" t="s">
        <v>617</v>
      </c>
      <c r="D9619">
        <v>2883.99</v>
      </c>
      <c r="E9619" s="37" t="str">
        <f t="shared" si="750"/>
        <v xml:space="preserve"> </v>
      </c>
      <c r="F9619">
        <v>0.44</v>
      </c>
      <c r="G9619" s="37" t="str">
        <f t="shared" si="751"/>
        <v>Heavy Discount</v>
      </c>
      <c r="H9619" s="37" t="str">
        <f t="shared" si="752"/>
        <v>High</v>
      </c>
      <c r="I9619">
        <v>1</v>
      </c>
      <c r="J9619" t="str" cm="1">
        <f t="array" ref="J9619">_xlfn.IFS(I9619&lt;=3,"small",I9619&lt;=6,"Medium",I9619&lt;=9,"Large")</f>
        <v>small</v>
      </c>
      <c r="K9619" s="36">
        <v>45050</v>
      </c>
      <c r="L9619" s="36">
        <v>45051</v>
      </c>
      <c r="M9619" t="s">
        <v>603</v>
      </c>
      <c r="N9619" t="s">
        <v>599</v>
      </c>
      <c r="O9619" s="37" t="str">
        <f t="shared" si="753"/>
        <v>Digital Payment</v>
      </c>
      <c r="P9619">
        <v>395.69</v>
      </c>
      <c r="Q9619" s="37" t="str">
        <f>IF(P9619&gt;500,"High","low")</f>
        <v>low</v>
      </c>
      <c r="R9619" s="37" t="str">
        <f t="shared" si="754"/>
        <v>AVERAGE</v>
      </c>
      <c r="S9619" t="s">
        <v>609</v>
      </c>
    </row>
    <row r="9620" spans="1:19" x14ac:dyDescent="0.2">
      <c r="A9620" t="s">
        <v>10231</v>
      </c>
      <c r="B9620" t="s">
        <v>75</v>
      </c>
      <c r="C9620" t="s">
        <v>602</v>
      </c>
      <c r="D9620">
        <v>130.19</v>
      </c>
      <c r="E9620" s="37" t="str">
        <f t="shared" si="750"/>
        <v xml:space="preserve"> </v>
      </c>
      <c r="F9620">
        <v>0.38</v>
      </c>
      <c r="G9620" s="37" t="str">
        <f t="shared" si="751"/>
        <v>Heavy Discount</v>
      </c>
      <c r="H9620" s="37" t="str">
        <f t="shared" si="752"/>
        <v>Medium</v>
      </c>
      <c r="I9620">
        <v>4</v>
      </c>
      <c r="J9620" t="str" cm="1">
        <f t="array" ref="J9620">_xlfn.IFS(I9620&lt;=3,"small",I9620&lt;=6,"Medium",I9620&lt;=9,"Large")</f>
        <v>Medium</v>
      </c>
      <c r="K9620" s="36">
        <v>45538</v>
      </c>
      <c r="L9620" s="36">
        <v>45539</v>
      </c>
      <c r="M9620" t="s">
        <v>612</v>
      </c>
      <c r="N9620" t="s">
        <v>608</v>
      </c>
      <c r="O9620" s="37" t="str">
        <f t="shared" si="753"/>
        <v>Cash Payment</v>
      </c>
      <c r="P9620">
        <v>15.64</v>
      </c>
      <c r="Q9620" s="37" t="str">
        <f>IF(P9620&gt;500,"High","low")</f>
        <v>low</v>
      </c>
      <c r="R9620" s="37" t="str">
        <f t="shared" si="754"/>
        <v>AVERAGE</v>
      </c>
      <c r="S9620" t="s">
        <v>615</v>
      </c>
    </row>
    <row r="9621" spans="1:19" x14ac:dyDescent="0.2">
      <c r="A9621" t="s">
        <v>10232</v>
      </c>
      <c r="B9621" t="s">
        <v>67</v>
      </c>
      <c r="C9621" t="s">
        <v>602</v>
      </c>
      <c r="D9621">
        <v>1125.44</v>
      </c>
      <c r="E9621" s="37" t="str">
        <f t="shared" si="750"/>
        <v xml:space="preserve"> </v>
      </c>
      <c r="F9621">
        <v>0.05</v>
      </c>
      <c r="G9621" s="37" t="str">
        <f t="shared" si="751"/>
        <v>Normal Discount</v>
      </c>
      <c r="H9621" s="37" t="str">
        <f t="shared" si="752"/>
        <v>Low</v>
      </c>
      <c r="I9621">
        <v>1</v>
      </c>
      <c r="J9621" t="str" cm="1">
        <f t="array" ref="J9621">_xlfn.IFS(I9621&lt;=3,"small",I9621&lt;=6,"Medium",I9621&lt;=9,"Large")</f>
        <v>small</v>
      </c>
      <c r="K9621" s="36">
        <v>45300</v>
      </c>
      <c r="L9621" s="36">
        <v>45304</v>
      </c>
      <c r="M9621" t="s">
        <v>612</v>
      </c>
      <c r="N9621" t="s">
        <v>608</v>
      </c>
      <c r="O9621" s="37" t="str">
        <f t="shared" si="753"/>
        <v>Cash Payment</v>
      </c>
      <c r="P9621">
        <v>278.75</v>
      </c>
      <c r="Q9621" s="37" t="str">
        <f>IF(P9621&gt;500,"High","low")</f>
        <v>low</v>
      </c>
      <c r="R9621" s="37" t="str">
        <f t="shared" si="754"/>
        <v>AVERAGE</v>
      </c>
      <c r="S9621" t="s">
        <v>620</v>
      </c>
    </row>
    <row r="9622" spans="1:19" x14ac:dyDescent="0.2">
      <c r="A9622" t="s">
        <v>10233</v>
      </c>
      <c r="B9622" t="s">
        <v>67</v>
      </c>
      <c r="C9622" t="s">
        <v>614</v>
      </c>
      <c r="D9622">
        <v>4505.04</v>
      </c>
      <c r="E9622" s="37" t="str">
        <f t="shared" si="750"/>
        <v xml:space="preserve"> </v>
      </c>
      <c r="F9622">
        <v>0.12</v>
      </c>
      <c r="G9622" s="37" t="str">
        <f t="shared" si="751"/>
        <v>Normal Discount</v>
      </c>
      <c r="H9622" s="37" t="str">
        <f t="shared" si="752"/>
        <v>Low</v>
      </c>
      <c r="I9622">
        <v>1</v>
      </c>
      <c r="J9622" t="str" cm="1">
        <f t="array" ref="J9622">_xlfn.IFS(I9622&lt;=3,"small",I9622&lt;=6,"Medium",I9622&lt;=9,"Large")</f>
        <v>small</v>
      </c>
      <c r="K9622" s="36">
        <v>45187</v>
      </c>
      <c r="L9622" s="36">
        <v>45194</v>
      </c>
      <c r="M9622" t="s">
        <v>598</v>
      </c>
      <c r="N9622" t="s">
        <v>604</v>
      </c>
      <c r="O9622" s="37" t="str">
        <f t="shared" si="753"/>
        <v>Digital Payment</v>
      </c>
      <c r="P9622">
        <v>485.36</v>
      </c>
      <c r="Q9622" s="37" t="str">
        <f>IF(P9622&gt;500,"High","low")</f>
        <v>low</v>
      </c>
      <c r="R9622" s="37" t="str">
        <f t="shared" si="754"/>
        <v>AVERAGE</v>
      </c>
      <c r="S9622" t="s">
        <v>628</v>
      </c>
    </row>
    <row r="9623" spans="1:19" x14ac:dyDescent="0.2">
      <c r="A9623" t="s">
        <v>10234</v>
      </c>
      <c r="B9623" t="s">
        <v>90</v>
      </c>
      <c r="C9623" t="s">
        <v>614</v>
      </c>
      <c r="D9623">
        <v>206.47</v>
      </c>
      <c r="E9623" s="37" t="str">
        <f t="shared" si="750"/>
        <v xml:space="preserve"> </v>
      </c>
      <c r="F9623">
        <v>0.17</v>
      </c>
      <c r="G9623" s="37" t="str">
        <f t="shared" si="751"/>
        <v>Normal Discount</v>
      </c>
      <c r="H9623" s="37" t="str">
        <f t="shared" si="752"/>
        <v>Low</v>
      </c>
      <c r="I9623">
        <v>5</v>
      </c>
      <c r="J9623" t="str" cm="1">
        <f t="array" ref="J9623">_xlfn.IFS(I9623&lt;=3,"small",I9623&lt;=6,"Medium",I9623&lt;=9,"Large")</f>
        <v>Medium</v>
      </c>
      <c r="K9623" s="36">
        <v>44939</v>
      </c>
      <c r="L9623" s="36">
        <v>44942</v>
      </c>
      <c r="M9623" t="s">
        <v>603</v>
      </c>
      <c r="N9623" t="s">
        <v>599</v>
      </c>
      <c r="O9623" s="37" t="str">
        <f t="shared" si="753"/>
        <v>Digital Payment</v>
      </c>
      <c r="P9623">
        <v>54.47</v>
      </c>
      <c r="Q9623" s="37" t="str">
        <f>IF(P9623&gt;500,"High","low")</f>
        <v>low</v>
      </c>
      <c r="R9623" s="37" t="str">
        <f t="shared" si="754"/>
        <v>AVERAGE</v>
      </c>
      <c r="S9623" t="s">
        <v>605</v>
      </c>
    </row>
    <row r="9624" spans="1:19" x14ac:dyDescent="0.2">
      <c r="A9624" t="s">
        <v>10235</v>
      </c>
      <c r="B9624" t="s">
        <v>75</v>
      </c>
      <c r="C9624" t="s">
        <v>617</v>
      </c>
      <c r="D9624">
        <v>4533.5</v>
      </c>
      <c r="E9624" s="37" t="str">
        <f t="shared" si="750"/>
        <v>Excellent Order</v>
      </c>
      <c r="F9624">
        <v>0.46</v>
      </c>
      <c r="G9624" s="37" t="str">
        <f t="shared" si="751"/>
        <v>Heavy Discount</v>
      </c>
      <c r="H9624" s="37" t="str">
        <f t="shared" si="752"/>
        <v>High</v>
      </c>
      <c r="I9624">
        <v>2</v>
      </c>
      <c r="J9624" t="str" cm="1">
        <f t="array" ref="J9624">_xlfn.IFS(I9624&lt;=3,"small",I9624&lt;=6,"Medium",I9624&lt;=9,"Large")</f>
        <v>small</v>
      </c>
      <c r="K9624" s="36">
        <v>44946</v>
      </c>
      <c r="L9624" s="36">
        <v>44951</v>
      </c>
      <c r="M9624" t="s">
        <v>603</v>
      </c>
      <c r="N9624" t="s">
        <v>599</v>
      </c>
      <c r="O9624" s="37" t="str">
        <f t="shared" si="753"/>
        <v>Digital Payment</v>
      </c>
      <c r="P9624">
        <v>1083.72</v>
      </c>
      <c r="Q9624" s="37" t="str">
        <f>IF(P9624&gt;500,"High","low")</f>
        <v>High</v>
      </c>
      <c r="R9624" s="37" t="str">
        <f t="shared" si="754"/>
        <v>Excellent</v>
      </c>
      <c r="S9624" t="s">
        <v>600</v>
      </c>
    </row>
    <row r="9625" spans="1:19" x14ac:dyDescent="0.2">
      <c r="A9625" t="s">
        <v>10236</v>
      </c>
      <c r="B9625" t="s">
        <v>83</v>
      </c>
      <c r="C9625" t="s">
        <v>607</v>
      </c>
      <c r="D9625">
        <v>654.94000000000005</v>
      </c>
      <c r="E9625" s="37" t="str">
        <f t="shared" si="750"/>
        <v xml:space="preserve"> </v>
      </c>
      <c r="F9625">
        <v>0.49</v>
      </c>
      <c r="G9625" s="37" t="str">
        <f t="shared" si="751"/>
        <v>Heavy Discount</v>
      </c>
      <c r="H9625" s="37" t="str">
        <f t="shared" si="752"/>
        <v>High</v>
      </c>
      <c r="I9625">
        <v>4</v>
      </c>
      <c r="J9625" t="str" cm="1">
        <f t="array" ref="J9625">_xlfn.IFS(I9625&lt;=3,"small",I9625&lt;=6,"Medium",I9625&lt;=9,"Large")</f>
        <v>Medium</v>
      </c>
      <c r="K9625" s="36">
        <v>44954</v>
      </c>
      <c r="L9625" s="36">
        <v>44959</v>
      </c>
      <c r="M9625" t="s">
        <v>612</v>
      </c>
      <c r="N9625" t="s">
        <v>604</v>
      </c>
      <c r="O9625" s="37" t="str">
        <f t="shared" si="753"/>
        <v>Digital Payment</v>
      </c>
      <c r="P9625">
        <v>99.52</v>
      </c>
      <c r="Q9625" s="37" t="str">
        <f>IF(P9625&gt;500,"High","low")</f>
        <v>low</v>
      </c>
      <c r="R9625" s="37" t="str">
        <f t="shared" si="754"/>
        <v>AVERAGE</v>
      </c>
      <c r="S9625" t="s">
        <v>620</v>
      </c>
    </row>
    <row r="9626" spans="1:19" x14ac:dyDescent="0.2">
      <c r="A9626" t="s">
        <v>10237</v>
      </c>
      <c r="B9626" t="s">
        <v>67</v>
      </c>
      <c r="C9626" t="s">
        <v>617</v>
      </c>
      <c r="D9626">
        <v>752.06</v>
      </c>
      <c r="E9626" s="37" t="str">
        <f t="shared" si="750"/>
        <v xml:space="preserve"> </v>
      </c>
      <c r="F9626">
        <v>0.04</v>
      </c>
      <c r="G9626" s="37" t="str">
        <f t="shared" si="751"/>
        <v>Normal Discount</v>
      </c>
      <c r="H9626" s="37" t="str">
        <f t="shared" si="752"/>
        <v>Low</v>
      </c>
      <c r="I9626">
        <v>8</v>
      </c>
      <c r="J9626" t="str" cm="1">
        <f t="array" ref="J9626">_xlfn.IFS(I9626&lt;=3,"small",I9626&lt;=6,"Medium",I9626&lt;=9,"Large")</f>
        <v>Large</v>
      </c>
      <c r="K9626" s="36">
        <v>45553</v>
      </c>
      <c r="L9626" s="36">
        <v>45557</v>
      </c>
      <c r="M9626" t="s">
        <v>603</v>
      </c>
      <c r="N9626" t="s">
        <v>599</v>
      </c>
      <c r="O9626" s="37" t="str">
        <f t="shared" si="753"/>
        <v>Digital Payment</v>
      </c>
      <c r="P9626">
        <v>158.24</v>
      </c>
      <c r="Q9626" s="37" t="str">
        <f>IF(P9626&gt;500,"High","low")</f>
        <v>low</v>
      </c>
      <c r="R9626" s="37" t="str">
        <f t="shared" si="754"/>
        <v>AVERAGE</v>
      </c>
      <c r="S9626" t="s">
        <v>615</v>
      </c>
    </row>
    <row r="9627" spans="1:19" x14ac:dyDescent="0.2">
      <c r="A9627" t="s">
        <v>10238</v>
      </c>
      <c r="B9627" t="s">
        <v>83</v>
      </c>
      <c r="C9627" t="s">
        <v>602</v>
      </c>
      <c r="D9627">
        <v>959.21</v>
      </c>
      <c r="E9627" s="37" t="str">
        <f t="shared" si="750"/>
        <v xml:space="preserve"> </v>
      </c>
      <c r="F9627">
        <v>0.2</v>
      </c>
      <c r="G9627" s="37" t="str">
        <f t="shared" si="751"/>
        <v>Normal Discount</v>
      </c>
      <c r="H9627" s="37" t="str">
        <f t="shared" si="752"/>
        <v>Medium</v>
      </c>
      <c r="I9627">
        <v>6</v>
      </c>
      <c r="J9627" t="str" cm="1">
        <f t="array" ref="J9627">_xlfn.IFS(I9627&lt;=3,"small",I9627&lt;=6,"Medium",I9627&lt;=9,"Large")</f>
        <v>Medium</v>
      </c>
      <c r="K9627" s="36">
        <v>45362</v>
      </c>
      <c r="L9627" s="36">
        <v>45363</v>
      </c>
      <c r="M9627" t="s">
        <v>603</v>
      </c>
      <c r="N9627" t="s">
        <v>608</v>
      </c>
      <c r="O9627" s="37" t="str">
        <f t="shared" si="753"/>
        <v>Cash Payment</v>
      </c>
      <c r="P9627">
        <v>242.01</v>
      </c>
      <c r="Q9627" s="37" t="str">
        <f>IF(P9627&gt;500,"High","low")</f>
        <v>low</v>
      </c>
      <c r="R9627" s="37" t="str">
        <f t="shared" si="754"/>
        <v>AVERAGE</v>
      </c>
      <c r="S9627" t="s">
        <v>620</v>
      </c>
    </row>
    <row r="9628" spans="1:19" x14ac:dyDescent="0.2">
      <c r="A9628" t="s">
        <v>10239</v>
      </c>
      <c r="B9628" t="s">
        <v>67</v>
      </c>
      <c r="C9628" t="s">
        <v>602</v>
      </c>
      <c r="D9628">
        <v>4016.99</v>
      </c>
      <c r="E9628" s="37" t="str">
        <f t="shared" si="750"/>
        <v xml:space="preserve"> </v>
      </c>
      <c r="F9628">
        <v>7.0000000000000007E-2</v>
      </c>
      <c r="G9628" s="37" t="str">
        <f t="shared" si="751"/>
        <v>Normal Discount</v>
      </c>
      <c r="H9628" s="37" t="str">
        <f t="shared" si="752"/>
        <v>Low</v>
      </c>
      <c r="I9628">
        <v>2</v>
      </c>
      <c r="J9628" t="str" cm="1">
        <f t="array" ref="J9628">_xlfn.IFS(I9628&lt;=3,"small",I9628&lt;=6,"Medium",I9628&lt;=9,"Large")</f>
        <v>small</v>
      </c>
      <c r="K9628" s="36">
        <v>45133</v>
      </c>
      <c r="L9628" s="36">
        <v>45139</v>
      </c>
      <c r="M9628" t="s">
        <v>612</v>
      </c>
      <c r="N9628" t="s">
        <v>599</v>
      </c>
      <c r="O9628" s="37" t="str">
        <f t="shared" si="753"/>
        <v>Digital Payment</v>
      </c>
      <c r="P9628">
        <v>217.67</v>
      </c>
      <c r="Q9628" s="37" t="str">
        <f>IF(P9628&gt;500,"High","low")</f>
        <v>low</v>
      </c>
      <c r="R9628" s="37" t="str">
        <f t="shared" si="754"/>
        <v>AVERAGE</v>
      </c>
      <c r="S9628" t="s">
        <v>605</v>
      </c>
    </row>
    <row r="9629" spans="1:19" x14ac:dyDescent="0.2">
      <c r="A9629" t="s">
        <v>10240</v>
      </c>
      <c r="B9629" t="s">
        <v>67</v>
      </c>
      <c r="C9629" t="s">
        <v>607</v>
      </c>
      <c r="D9629">
        <v>2443.11</v>
      </c>
      <c r="E9629" s="37" t="str">
        <f t="shared" si="750"/>
        <v xml:space="preserve"> </v>
      </c>
      <c r="F9629">
        <v>0.14000000000000001</v>
      </c>
      <c r="G9629" s="37" t="str">
        <f t="shared" si="751"/>
        <v>Normal Discount</v>
      </c>
      <c r="H9629" s="37" t="str">
        <f t="shared" si="752"/>
        <v>Low</v>
      </c>
      <c r="I9629">
        <v>3</v>
      </c>
      <c r="J9629" t="str" cm="1">
        <f t="array" ref="J9629">_xlfn.IFS(I9629&lt;=3,"small",I9629&lt;=6,"Medium",I9629&lt;=9,"Large")</f>
        <v>small</v>
      </c>
      <c r="K9629" s="36">
        <v>45349</v>
      </c>
      <c r="L9629" s="36">
        <v>45352</v>
      </c>
      <c r="M9629" t="s">
        <v>603</v>
      </c>
      <c r="N9629" t="s">
        <v>599</v>
      </c>
      <c r="O9629" s="37" t="str">
        <f t="shared" si="753"/>
        <v>Digital Payment</v>
      </c>
      <c r="P9629">
        <v>287.56</v>
      </c>
      <c r="Q9629" s="37" t="str">
        <f>IF(P9629&gt;500,"High","low")</f>
        <v>low</v>
      </c>
      <c r="R9629" s="37" t="str">
        <f t="shared" si="754"/>
        <v>AVERAGE</v>
      </c>
      <c r="S9629" t="s">
        <v>628</v>
      </c>
    </row>
    <row r="9630" spans="1:19" x14ac:dyDescent="0.2">
      <c r="A9630" t="s">
        <v>10241</v>
      </c>
      <c r="B9630" t="s">
        <v>75</v>
      </c>
      <c r="C9630" t="s">
        <v>602</v>
      </c>
      <c r="D9630">
        <v>811.46</v>
      </c>
      <c r="E9630" s="37" t="str">
        <f t="shared" si="750"/>
        <v xml:space="preserve"> </v>
      </c>
      <c r="F9630">
        <v>0.49</v>
      </c>
      <c r="G9630" s="37" t="str">
        <f t="shared" si="751"/>
        <v>Heavy Discount</v>
      </c>
      <c r="H9630" s="37" t="str">
        <f t="shared" si="752"/>
        <v>High</v>
      </c>
      <c r="I9630">
        <v>2</v>
      </c>
      <c r="J9630" t="str" cm="1">
        <f t="array" ref="J9630">_xlfn.IFS(I9630&lt;=3,"small",I9630&lt;=6,"Medium",I9630&lt;=9,"Large")</f>
        <v>small</v>
      </c>
      <c r="K9630" s="36">
        <v>45305</v>
      </c>
      <c r="L9630" s="36">
        <v>45306</v>
      </c>
      <c r="M9630" t="s">
        <v>612</v>
      </c>
      <c r="N9630" t="s">
        <v>604</v>
      </c>
      <c r="O9630" s="37" t="str">
        <f t="shared" si="753"/>
        <v>Digital Payment</v>
      </c>
      <c r="P9630">
        <v>237.47</v>
      </c>
      <c r="Q9630" s="37" t="str">
        <f>IF(P9630&gt;500,"High","low")</f>
        <v>low</v>
      </c>
      <c r="R9630" s="37" t="str">
        <f t="shared" si="754"/>
        <v>AVERAGE</v>
      </c>
      <c r="S9630" t="s">
        <v>620</v>
      </c>
    </row>
    <row r="9631" spans="1:19" x14ac:dyDescent="0.2">
      <c r="A9631" t="s">
        <v>10242</v>
      </c>
      <c r="B9631" t="s">
        <v>67</v>
      </c>
      <c r="C9631" t="s">
        <v>614</v>
      </c>
      <c r="D9631">
        <v>3465.33</v>
      </c>
      <c r="E9631" s="37" t="str">
        <f t="shared" si="750"/>
        <v xml:space="preserve"> </v>
      </c>
      <c r="F9631">
        <v>0.49</v>
      </c>
      <c r="G9631" s="37" t="str">
        <f t="shared" si="751"/>
        <v>Heavy Discount</v>
      </c>
      <c r="H9631" s="37" t="str">
        <f t="shared" si="752"/>
        <v>High</v>
      </c>
      <c r="I9631">
        <v>4</v>
      </c>
      <c r="J9631" t="str" cm="1">
        <f t="array" ref="J9631">_xlfn.IFS(I9631&lt;=3,"small",I9631&lt;=6,"Medium",I9631&lt;=9,"Large")</f>
        <v>Medium</v>
      </c>
      <c r="K9631" s="36">
        <v>45118</v>
      </c>
      <c r="L9631" s="36">
        <v>45123</v>
      </c>
      <c r="M9631" t="s">
        <v>603</v>
      </c>
      <c r="N9631" t="s">
        <v>608</v>
      </c>
      <c r="O9631" s="37" t="str">
        <f t="shared" si="753"/>
        <v>Cash Payment</v>
      </c>
      <c r="P9631">
        <v>525.21</v>
      </c>
      <c r="Q9631" s="37" t="str">
        <f>IF(P9631&gt;500,"High","low")</f>
        <v>High</v>
      </c>
      <c r="R9631" s="37" t="str">
        <f t="shared" si="754"/>
        <v>Good</v>
      </c>
      <c r="S9631" t="s">
        <v>600</v>
      </c>
    </row>
    <row r="9632" spans="1:19" x14ac:dyDescent="0.2">
      <c r="A9632" t="s">
        <v>10243</v>
      </c>
      <c r="B9632" t="s">
        <v>83</v>
      </c>
      <c r="C9632" t="s">
        <v>602</v>
      </c>
      <c r="D9632">
        <v>4709.37</v>
      </c>
      <c r="E9632" s="37" t="str">
        <f t="shared" si="750"/>
        <v>Excellent Order</v>
      </c>
      <c r="F9632">
        <v>0.24</v>
      </c>
      <c r="G9632" s="37" t="str">
        <f t="shared" si="751"/>
        <v>Normal Discount</v>
      </c>
      <c r="H9632" s="37" t="str">
        <f t="shared" si="752"/>
        <v>Medium</v>
      </c>
      <c r="I9632">
        <v>5</v>
      </c>
      <c r="J9632" t="str" cm="1">
        <f t="array" ref="J9632">_xlfn.IFS(I9632&lt;=3,"small",I9632&lt;=6,"Medium",I9632&lt;=9,"Large")</f>
        <v>Medium</v>
      </c>
      <c r="K9632" s="36">
        <v>45455</v>
      </c>
      <c r="L9632" s="36">
        <v>45458</v>
      </c>
      <c r="M9632" t="s">
        <v>603</v>
      </c>
      <c r="N9632" t="s">
        <v>608</v>
      </c>
      <c r="O9632" s="37" t="str">
        <f t="shared" si="753"/>
        <v>Cash Payment</v>
      </c>
      <c r="P9632">
        <v>1055.9100000000001</v>
      </c>
      <c r="Q9632" s="37" t="str">
        <f>IF(P9632&gt;500,"High","low")</f>
        <v>High</v>
      </c>
      <c r="R9632" s="37" t="str">
        <f t="shared" si="754"/>
        <v>Excellent</v>
      </c>
      <c r="S9632" t="s">
        <v>600</v>
      </c>
    </row>
    <row r="9633" spans="1:19" x14ac:dyDescent="0.2">
      <c r="A9633" t="s">
        <v>10244</v>
      </c>
      <c r="B9633" t="s">
        <v>67</v>
      </c>
      <c r="C9633" t="s">
        <v>597</v>
      </c>
      <c r="D9633">
        <v>2905.01</v>
      </c>
      <c r="E9633" s="37" t="str">
        <f t="shared" si="750"/>
        <v xml:space="preserve"> </v>
      </c>
      <c r="F9633">
        <v>0.09</v>
      </c>
      <c r="G9633" s="37" t="str">
        <f t="shared" si="751"/>
        <v>Normal Discount</v>
      </c>
      <c r="H9633" s="37" t="str">
        <f t="shared" si="752"/>
        <v>Low</v>
      </c>
      <c r="I9633">
        <v>9</v>
      </c>
      <c r="J9633" t="str" cm="1">
        <f t="array" ref="J9633">_xlfn.IFS(I9633&lt;=3,"small",I9633&lt;=6,"Medium",I9633&lt;=9,"Large")</f>
        <v>Large</v>
      </c>
      <c r="K9633" s="36">
        <v>45636</v>
      </c>
      <c r="L9633" s="36">
        <v>45643</v>
      </c>
      <c r="M9633" t="s">
        <v>603</v>
      </c>
      <c r="N9633" t="s">
        <v>604</v>
      </c>
      <c r="O9633" s="37" t="str">
        <f t="shared" si="753"/>
        <v>Digital Payment</v>
      </c>
      <c r="P9633">
        <v>277.68</v>
      </c>
      <c r="Q9633" s="37" t="str">
        <f>IF(P9633&gt;500,"High","low")</f>
        <v>low</v>
      </c>
      <c r="R9633" s="37" t="str">
        <f t="shared" si="754"/>
        <v>AVERAGE</v>
      </c>
      <c r="S9633" t="s">
        <v>605</v>
      </c>
    </row>
    <row r="9634" spans="1:19" x14ac:dyDescent="0.2">
      <c r="A9634" t="s">
        <v>10245</v>
      </c>
      <c r="B9634" t="s">
        <v>90</v>
      </c>
      <c r="C9634" t="s">
        <v>607</v>
      </c>
      <c r="D9634">
        <v>583.63</v>
      </c>
      <c r="E9634" s="37" t="str">
        <f t="shared" si="750"/>
        <v xml:space="preserve"> </v>
      </c>
      <c r="F9634">
        <v>0.27</v>
      </c>
      <c r="G9634" s="37" t="str">
        <f t="shared" si="751"/>
        <v>Normal Discount</v>
      </c>
      <c r="H9634" s="37" t="str">
        <f t="shared" si="752"/>
        <v>Medium</v>
      </c>
      <c r="I9634">
        <v>7</v>
      </c>
      <c r="J9634" t="str" cm="1">
        <f t="array" ref="J9634">_xlfn.IFS(I9634&lt;=3,"small",I9634&lt;=6,"Medium",I9634&lt;=9,"Large")</f>
        <v>Large</v>
      </c>
      <c r="K9634" s="36">
        <v>45548</v>
      </c>
      <c r="L9634" s="36">
        <v>45550</v>
      </c>
      <c r="M9634" t="s">
        <v>598</v>
      </c>
      <c r="N9634" t="s">
        <v>604</v>
      </c>
      <c r="O9634" s="37" t="str">
        <f t="shared" si="753"/>
        <v>Digital Payment</v>
      </c>
      <c r="P9634">
        <v>83.15</v>
      </c>
      <c r="Q9634" s="37" t="str">
        <f>IF(P9634&gt;500,"High","low")</f>
        <v>low</v>
      </c>
      <c r="R9634" s="37" t="str">
        <f t="shared" si="754"/>
        <v>AVERAGE</v>
      </c>
      <c r="S9634" t="s">
        <v>600</v>
      </c>
    </row>
    <row r="9635" spans="1:19" x14ac:dyDescent="0.2">
      <c r="A9635" t="s">
        <v>10246</v>
      </c>
      <c r="B9635" t="s">
        <v>75</v>
      </c>
      <c r="C9635" t="s">
        <v>607</v>
      </c>
      <c r="D9635">
        <v>368.28</v>
      </c>
      <c r="E9635" s="37" t="str">
        <f t="shared" si="750"/>
        <v xml:space="preserve"> </v>
      </c>
      <c r="F9635">
        <v>0.16</v>
      </c>
      <c r="G9635" s="37" t="str">
        <f t="shared" si="751"/>
        <v>Normal Discount</v>
      </c>
      <c r="H9635" s="37" t="str">
        <f t="shared" si="752"/>
        <v>Low</v>
      </c>
      <c r="I9635">
        <v>8</v>
      </c>
      <c r="J9635" t="str" cm="1">
        <f t="array" ref="J9635">_xlfn.IFS(I9635&lt;=3,"small",I9635&lt;=6,"Medium",I9635&lt;=9,"Large")</f>
        <v>Large</v>
      </c>
      <c r="K9635" s="36">
        <v>45463</v>
      </c>
      <c r="L9635" s="36">
        <v>45465</v>
      </c>
      <c r="M9635" t="s">
        <v>612</v>
      </c>
      <c r="N9635" t="s">
        <v>599</v>
      </c>
      <c r="O9635" s="37" t="str">
        <f t="shared" si="753"/>
        <v>Digital Payment</v>
      </c>
      <c r="P9635">
        <v>92.35</v>
      </c>
      <c r="Q9635" s="37" t="str">
        <f>IF(P9635&gt;500,"High","low")</f>
        <v>low</v>
      </c>
      <c r="R9635" s="37" t="str">
        <f t="shared" si="754"/>
        <v>AVERAGE</v>
      </c>
      <c r="S9635" t="s">
        <v>605</v>
      </c>
    </row>
    <row r="9636" spans="1:19" x14ac:dyDescent="0.2">
      <c r="A9636" t="s">
        <v>10247</v>
      </c>
      <c r="B9636" t="s">
        <v>75</v>
      </c>
      <c r="C9636" t="s">
        <v>607</v>
      </c>
      <c r="D9636">
        <v>3999.77</v>
      </c>
      <c r="E9636" s="37" t="str">
        <f t="shared" si="750"/>
        <v xml:space="preserve"> </v>
      </c>
      <c r="F9636">
        <v>0.46</v>
      </c>
      <c r="G9636" s="37" t="str">
        <f t="shared" si="751"/>
        <v>Heavy Discount</v>
      </c>
      <c r="H9636" s="37" t="str">
        <f t="shared" si="752"/>
        <v>High</v>
      </c>
      <c r="I9636">
        <v>7</v>
      </c>
      <c r="J9636" t="str" cm="1">
        <f t="array" ref="J9636">_xlfn.IFS(I9636&lt;=3,"small",I9636&lt;=6,"Medium",I9636&lt;=9,"Large")</f>
        <v>Large</v>
      </c>
      <c r="K9636" s="36">
        <v>45000</v>
      </c>
      <c r="L9636" s="36">
        <v>45004</v>
      </c>
      <c r="M9636" t="s">
        <v>603</v>
      </c>
      <c r="N9636" t="s">
        <v>604</v>
      </c>
      <c r="O9636" s="37" t="str">
        <f t="shared" si="753"/>
        <v>Digital Payment</v>
      </c>
      <c r="P9636">
        <v>667.33</v>
      </c>
      <c r="Q9636" s="37" t="str">
        <f>IF(P9636&gt;500,"High","low")</f>
        <v>High</v>
      </c>
      <c r="R9636" s="37" t="str">
        <f t="shared" si="754"/>
        <v>Good</v>
      </c>
      <c r="S9636" t="s">
        <v>609</v>
      </c>
    </row>
    <row r="9637" spans="1:19" x14ac:dyDescent="0.2">
      <c r="A9637" t="s">
        <v>10248</v>
      </c>
      <c r="B9637" t="s">
        <v>90</v>
      </c>
      <c r="C9637" t="s">
        <v>597</v>
      </c>
      <c r="D9637">
        <v>3167.81</v>
      </c>
      <c r="E9637" s="37" t="str">
        <f t="shared" si="750"/>
        <v xml:space="preserve"> </v>
      </c>
      <c r="F9637">
        <v>0.41</v>
      </c>
      <c r="G9637" s="37" t="str">
        <f t="shared" si="751"/>
        <v>Heavy Discount</v>
      </c>
      <c r="H9637" s="37" t="str">
        <f t="shared" si="752"/>
        <v>High</v>
      </c>
      <c r="I9637">
        <v>8</v>
      </c>
      <c r="J9637" t="str" cm="1">
        <f t="array" ref="J9637">_xlfn.IFS(I9637&lt;=3,"small",I9637&lt;=6,"Medium",I9637&lt;=9,"Large")</f>
        <v>Large</v>
      </c>
      <c r="K9637" s="36">
        <v>45388</v>
      </c>
      <c r="L9637" s="36">
        <v>45390</v>
      </c>
      <c r="M9637" t="s">
        <v>603</v>
      </c>
      <c r="N9637" t="s">
        <v>599</v>
      </c>
      <c r="O9637" s="37" t="str">
        <f t="shared" si="753"/>
        <v>Digital Payment</v>
      </c>
      <c r="P9637">
        <v>870.5</v>
      </c>
      <c r="Q9637" s="37" t="str">
        <f>IF(P9637&gt;500,"High","low")</f>
        <v>High</v>
      </c>
      <c r="R9637" s="37" t="str">
        <f t="shared" si="754"/>
        <v>Good</v>
      </c>
      <c r="S9637" t="s">
        <v>609</v>
      </c>
    </row>
    <row r="9638" spans="1:19" x14ac:dyDescent="0.2">
      <c r="A9638" t="s">
        <v>10249</v>
      </c>
      <c r="B9638" t="s">
        <v>90</v>
      </c>
      <c r="C9638" t="s">
        <v>617</v>
      </c>
      <c r="D9638">
        <v>4621.0200000000004</v>
      </c>
      <c r="E9638" s="37" t="str">
        <f t="shared" si="750"/>
        <v xml:space="preserve"> </v>
      </c>
      <c r="F9638">
        <v>0.15</v>
      </c>
      <c r="G9638" s="37" t="str">
        <f t="shared" si="751"/>
        <v>Normal Discount</v>
      </c>
      <c r="H9638" s="37" t="str">
        <f t="shared" si="752"/>
        <v>Low</v>
      </c>
      <c r="I9638">
        <v>5</v>
      </c>
      <c r="J9638" t="str" cm="1">
        <f t="array" ref="J9638">_xlfn.IFS(I9638&lt;=3,"small",I9638&lt;=6,"Medium",I9638&lt;=9,"Large")</f>
        <v>Medium</v>
      </c>
      <c r="K9638" s="36">
        <v>44945</v>
      </c>
      <c r="L9638" s="36">
        <v>44951</v>
      </c>
      <c r="M9638" t="s">
        <v>612</v>
      </c>
      <c r="N9638" t="s">
        <v>599</v>
      </c>
      <c r="O9638" s="37" t="str">
        <f t="shared" si="753"/>
        <v>Digital Payment</v>
      </c>
      <c r="P9638">
        <v>250.66</v>
      </c>
      <c r="Q9638" s="37" t="str">
        <f>IF(P9638&gt;500,"High","low")</f>
        <v>low</v>
      </c>
      <c r="R9638" s="37" t="str">
        <f t="shared" si="754"/>
        <v>AVERAGE</v>
      </c>
      <c r="S9638" t="s">
        <v>615</v>
      </c>
    </row>
    <row r="9639" spans="1:19" x14ac:dyDescent="0.2">
      <c r="A9639" t="s">
        <v>10250</v>
      </c>
      <c r="B9639" t="s">
        <v>90</v>
      </c>
      <c r="C9639" t="s">
        <v>614</v>
      </c>
      <c r="D9639">
        <v>2781.53</v>
      </c>
      <c r="E9639" s="37" t="str">
        <f t="shared" si="750"/>
        <v xml:space="preserve"> </v>
      </c>
      <c r="F9639">
        <v>0.01</v>
      </c>
      <c r="G9639" s="37" t="str">
        <f t="shared" si="751"/>
        <v>Normal Discount</v>
      </c>
      <c r="H9639" s="37" t="str">
        <f t="shared" si="752"/>
        <v>Low</v>
      </c>
      <c r="I9639">
        <v>3</v>
      </c>
      <c r="J9639" t="str" cm="1">
        <f t="array" ref="J9639">_xlfn.IFS(I9639&lt;=3,"small",I9639&lt;=6,"Medium",I9639&lt;=9,"Large")</f>
        <v>small</v>
      </c>
      <c r="K9639" s="36">
        <v>44958</v>
      </c>
      <c r="L9639" s="36">
        <v>44963</v>
      </c>
      <c r="M9639" t="s">
        <v>612</v>
      </c>
      <c r="N9639" t="s">
        <v>604</v>
      </c>
      <c r="O9639" s="37" t="str">
        <f t="shared" si="753"/>
        <v>Digital Payment</v>
      </c>
      <c r="P9639">
        <v>520.16999999999996</v>
      </c>
      <c r="Q9639" s="37" t="str">
        <f>IF(P9639&gt;500,"High","low")</f>
        <v>High</v>
      </c>
      <c r="R9639" s="37" t="str">
        <f t="shared" si="754"/>
        <v>Good</v>
      </c>
      <c r="S9639" t="s">
        <v>600</v>
      </c>
    </row>
    <row r="9640" spans="1:19" x14ac:dyDescent="0.2">
      <c r="A9640" t="s">
        <v>10251</v>
      </c>
      <c r="B9640" t="s">
        <v>67</v>
      </c>
      <c r="C9640" t="s">
        <v>607</v>
      </c>
      <c r="D9640">
        <v>405.74</v>
      </c>
      <c r="E9640" s="37" t="str">
        <f t="shared" si="750"/>
        <v xml:space="preserve"> </v>
      </c>
      <c r="F9640">
        <v>0.5</v>
      </c>
      <c r="G9640" s="37" t="str">
        <f t="shared" si="751"/>
        <v>Heavy Discount</v>
      </c>
      <c r="H9640" s="37" t="str">
        <f t="shared" si="752"/>
        <v>High</v>
      </c>
      <c r="I9640">
        <v>7</v>
      </c>
      <c r="J9640" t="str" cm="1">
        <f t="array" ref="J9640">_xlfn.IFS(I9640&lt;=3,"small",I9640&lt;=6,"Medium",I9640&lt;=9,"Large")</f>
        <v>Large</v>
      </c>
      <c r="K9640" s="36">
        <v>45192</v>
      </c>
      <c r="L9640" s="36">
        <v>45197</v>
      </c>
      <c r="M9640" t="s">
        <v>612</v>
      </c>
      <c r="N9640" t="s">
        <v>604</v>
      </c>
      <c r="O9640" s="37" t="str">
        <f t="shared" si="753"/>
        <v>Digital Payment</v>
      </c>
      <c r="P9640">
        <v>101.86</v>
      </c>
      <c r="Q9640" s="37" t="str">
        <f>IF(P9640&gt;500,"High","low")</f>
        <v>low</v>
      </c>
      <c r="R9640" s="37" t="str">
        <f t="shared" si="754"/>
        <v>AVERAGE</v>
      </c>
      <c r="S9640" t="s">
        <v>628</v>
      </c>
    </row>
    <row r="9641" spans="1:19" x14ac:dyDescent="0.2">
      <c r="A9641" t="s">
        <v>10252</v>
      </c>
      <c r="B9641" t="s">
        <v>75</v>
      </c>
      <c r="C9641" t="s">
        <v>602</v>
      </c>
      <c r="D9641">
        <v>2078.0700000000002</v>
      </c>
      <c r="E9641" s="37" t="str">
        <f t="shared" si="750"/>
        <v xml:space="preserve"> </v>
      </c>
      <c r="F9641">
        <v>0.34</v>
      </c>
      <c r="G9641" s="37" t="str">
        <f t="shared" si="751"/>
        <v>Heavy Discount</v>
      </c>
      <c r="H9641" s="37" t="str">
        <f t="shared" si="752"/>
        <v>Medium</v>
      </c>
      <c r="I9641">
        <v>1</v>
      </c>
      <c r="J9641" t="str" cm="1">
        <f t="array" ref="J9641">_xlfn.IFS(I9641&lt;=3,"small",I9641&lt;=6,"Medium",I9641&lt;=9,"Large")</f>
        <v>small</v>
      </c>
      <c r="K9641" s="36">
        <v>45165</v>
      </c>
      <c r="L9641" s="36">
        <v>45167</v>
      </c>
      <c r="M9641" t="s">
        <v>603</v>
      </c>
      <c r="N9641" t="s">
        <v>599</v>
      </c>
      <c r="O9641" s="37" t="str">
        <f t="shared" si="753"/>
        <v>Digital Payment</v>
      </c>
      <c r="P9641">
        <v>315.14999999999998</v>
      </c>
      <c r="Q9641" s="37" t="str">
        <f>IF(P9641&gt;500,"High","low")</f>
        <v>low</v>
      </c>
      <c r="R9641" s="37" t="str">
        <f t="shared" si="754"/>
        <v>AVERAGE</v>
      </c>
      <c r="S9641" t="s">
        <v>609</v>
      </c>
    </row>
    <row r="9642" spans="1:19" x14ac:dyDescent="0.2">
      <c r="A9642" t="s">
        <v>10253</v>
      </c>
      <c r="B9642" t="s">
        <v>90</v>
      </c>
      <c r="C9642" t="s">
        <v>614</v>
      </c>
      <c r="D9642">
        <v>3324.15</v>
      </c>
      <c r="E9642" s="37" t="str">
        <f t="shared" si="750"/>
        <v xml:space="preserve"> </v>
      </c>
      <c r="F9642">
        <v>0.21</v>
      </c>
      <c r="G9642" s="37" t="str">
        <f t="shared" si="751"/>
        <v>Normal Discount</v>
      </c>
      <c r="H9642" s="37" t="str">
        <f t="shared" si="752"/>
        <v>Medium</v>
      </c>
      <c r="I9642">
        <v>3</v>
      </c>
      <c r="J9642" t="str" cm="1">
        <f t="array" ref="J9642">_xlfn.IFS(I9642&lt;=3,"small",I9642&lt;=6,"Medium",I9642&lt;=9,"Large")</f>
        <v>small</v>
      </c>
      <c r="K9642" s="36">
        <v>45553</v>
      </c>
      <c r="L9642" s="36">
        <v>45557</v>
      </c>
      <c r="M9642" t="s">
        <v>612</v>
      </c>
      <c r="N9642" t="s">
        <v>608</v>
      </c>
      <c r="O9642" s="37" t="str">
        <f t="shared" si="753"/>
        <v>Cash Payment</v>
      </c>
      <c r="P9642">
        <v>394.73</v>
      </c>
      <c r="Q9642" s="37" t="str">
        <f>IF(P9642&gt;500,"High","low")</f>
        <v>low</v>
      </c>
      <c r="R9642" s="37" t="str">
        <f t="shared" si="754"/>
        <v>AVERAGE</v>
      </c>
      <c r="S9642" t="s">
        <v>628</v>
      </c>
    </row>
    <row r="9643" spans="1:19" x14ac:dyDescent="0.2">
      <c r="A9643" t="s">
        <v>10254</v>
      </c>
      <c r="B9643" t="s">
        <v>67</v>
      </c>
      <c r="C9643" t="s">
        <v>602</v>
      </c>
      <c r="D9643">
        <v>1985.94</v>
      </c>
      <c r="E9643" s="37" t="str">
        <f t="shared" si="750"/>
        <v xml:space="preserve"> </v>
      </c>
      <c r="F9643">
        <v>0.14000000000000001</v>
      </c>
      <c r="G9643" s="37" t="str">
        <f t="shared" si="751"/>
        <v>Normal Discount</v>
      </c>
      <c r="H9643" s="37" t="str">
        <f t="shared" si="752"/>
        <v>Low</v>
      </c>
      <c r="I9643">
        <v>7</v>
      </c>
      <c r="J9643" t="str" cm="1">
        <f t="array" ref="J9643">_xlfn.IFS(I9643&lt;=3,"small",I9643&lt;=6,"Medium",I9643&lt;=9,"Large")</f>
        <v>Large</v>
      </c>
      <c r="K9643" s="36">
        <v>45482</v>
      </c>
      <c r="L9643" s="36">
        <v>45486</v>
      </c>
      <c r="M9643" t="s">
        <v>598</v>
      </c>
      <c r="N9643" t="s">
        <v>608</v>
      </c>
      <c r="O9643" s="37" t="str">
        <f t="shared" si="753"/>
        <v>Cash Payment</v>
      </c>
      <c r="P9643">
        <v>223.2</v>
      </c>
      <c r="Q9643" s="37" t="str">
        <f>IF(P9643&gt;500,"High","low")</f>
        <v>low</v>
      </c>
      <c r="R9643" s="37" t="str">
        <f t="shared" si="754"/>
        <v>AVERAGE</v>
      </c>
      <c r="S9643" t="s">
        <v>609</v>
      </c>
    </row>
    <row r="9644" spans="1:19" x14ac:dyDescent="0.2">
      <c r="A9644" t="s">
        <v>10255</v>
      </c>
      <c r="B9644" t="s">
        <v>90</v>
      </c>
      <c r="C9644" t="s">
        <v>614</v>
      </c>
      <c r="D9644">
        <v>4998</v>
      </c>
      <c r="E9644" s="37" t="str">
        <f t="shared" si="750"/>
        <v xml:space="preserve"> </v>
      </c>
      <c r="F9644">
        <v>0</v>
      </c>
      <c r="G9644" s="37" t="str">
        <f t="shared" si="751"/>
        <v>Normal Discount</v>
      </c>
      <c r="H9644" s="37" t="str">
        <f t="shared" si="752"/>
        <v>Low</v>
      </c>
      <c r="I9644">
        <v>4</v>
      </c>
      <c r="J9644" t="str" cm="1">
        <f t="array" ref="J9644">_xlfn.IFS(I9644&lt;=3,"small",I9644&lt;=6,"Medium",I9644&lt;=9,"Large")</f>
        <v>Medium</v>
      </c>
      <c r="K9644" s="36">
        <v>45427</v>
      </c>
      <c r="L9644" s="36">
        <v>45430</v>
      </c>
      <c r="M9644" t="s">
        <v>603</v>
      </c>
      <c r="N9644" t="s">
        <v>599</v>
      </c>
      <c r="O9644" s="37" t="str">
        <f t="shared" si="753"/>
        <v>Digital Payment</v>
      </c>
      <c r="P9644">
        <v>710.2</v>
      </c>
      <c r="Q9644" s="37" t="str">
        <f>IF(P9644&gt;500,"High","low")</f>
        <v>High</v>
      </c>
      <c r="R9644" s="37" t="str">
        <f t="shared" si="754"/>
        <v>Good</v>
      </c>
      <c r="S9644" t="s">
        <v>628</v>
      </c>
    </row>
    <row r="9645" spans="1:19" x14ac:dyDescent="0.2">
      <c r="A9645" t="s">
        <v>10256</v>
      </c>
      <c r="B9645" t="s">
        <v>83</v>
      </c>
      <c r="C9645" t="s">
        <v>614</v>
      </c>
      <c r="D9645">
        <v>2086.36</v>
      </c>
      <c r="E9645" s="37" t="str">
        <f t="shared" si="750"/>
        <v xml:space="preserve"> </v>
      </c>
      <c r="F9645">
        <v>0.08</v>
      </c>
      <c r="G9645" s="37" t="str">
        <f t="shared" si="751"/>
        <v>Normal Discount</v>
      </c>
      <c r="H9645" s="37" t="str">
        <f t="shared" si="752"/>
        <v>Low</v>
      </c>
      <c r="I9645">
        <v>7</v>
      </c>
      <c r="J9645" t="str" cm="1">
        <f t="array" ref="J9645">_xlfn.IFS(I9645&lt;=3,"small",I9645&lt;=6,"Medium",I9645&lt;=9,"Large")</f>
        <v>Large</v>
      </c>
      <c r="K9645" s="36">
        <v>45019</v>
      </c>
      <c r="L9645" s="36">
        <v>45021</v>
      </c>
      <c r="M9645" t="s">
        <v>603</v>
      </c>
      <c r="N9645" t="s">
        <v>604</v>
      </c>
      <c r="O9645" s="37" t="str">
        <f t="shared" si="753"/>
        <v>Digital Payment</v>
      </c>
      <c r="P9645">
        <v>491.14</v>
      </c>
      <c r="Q9645" s="37" t="str">
        <f>IF(P9645&gt;500,"High","low")</f>
        <v>low</v>
      </c>
      <c r="R9645" s="37" t="str">
        <f t="shared" si="754"/>
        <v>AVERAGE</v>
      </c>
      <c r="S9645" t="s">
        <v>605</v>
      </c>
    </row>
    <row r="9646" spans="1:19" x14ac:dyDescent="0.2">
      <c r="A9646" t="s">
        <v>10257</v>
      </c>
      <c r="B9646" t="s">
        <v>83</v>
      </c>
      <c r="C9646" t="s">
        <v>602</v>
      </c>
      <c r="D9646">
        <v>2776.56</v>
      </c>
      <c r="E9646" s="37" t="str">
        <f t="shared" si="750"/>
        <v xml:space="preserve"> </v>
      </c>
      <c r="F9646">
        <v>0</v>
      </c>
      <c r="G9646" s="37" t="str">
        <f t="shared" si="751"/>
        <v>Normal Discount</v>
      </c>
      <c r="H9646" s="37" t="str">
        <f t="shared" si="752"/>
        <v>Low</v>
      </c>
      <c r="I9646">
        <v>6</v>
      </c>
      <c r="J9646" t="str" cm="1">
        <f t="array" ref="J9646">_xlfn.IFS(I9646&lt;=3,"small",I9646&lt;=6,"Medium",I9646&lt;=9,"Large")</f>
        <v>Medium</v>
      </c>
      <c r="K9646" s="36">
        <v>45531</v>
      </c>
      <c r="L9646" s="36">
        <v>45538</v>
      </c>
      <c r="M9646" t="s">
        <v>612</v>
      </c>
      <c r="N9646" t="s">
        <v>608</v>
      </c>
      <c r="O9646" s="37" t="str">
        <f t="shared" si="753"/>
        <v>Cash Payment</v>
      </c>
      <c r="P9646">
        <v>262.67</v>
      </c>
      <c r="Q9646" s="37" t="str">
        <f>IF(P9646&gt;500,"High","low")</f>
        <v>low</v>
      </c>
      <c r="R9646" s="37" t="str">
        <f t="shared" si="754"/>
        <v>AVERAGE</v>
      </c>
      <c r="S9646" t="s">
        <v>609</v>
      </c>
    </row>
    <row r="9647" spans="1:19" x14ac:dyDescent="0.2">
      <c r="A9647" t="s">
        <v>10258</v>
      </c>
      <c r="B9647" t="s">
        <v>75</v>
      </c>
      <c r="C9647" t="s">
        <v>602</v>
      </c>
      <c r="D9647">
        <v>1204.42</v>
      </c>
      <c r="E9647" s="37" t="str">
        <f t="shared" si="750"/>
        <v xml:space="preserve"> </v>
      </c>
      <c r="F9647">
        <v>0.3</v>
      </c>
      <c r="G9647" s="37" t="str">
        <f t="shared" si="751"/>
        <v>Normal Discount</v>
      </c>
      <c r="H9647" s="37" t="str">
        <f t="shared" si="752"/>
        <v>Medium</v>
      </c>
      <c r="I9647">
        <v>4</v>
      </c>
      <c r="J9647" t="str" cm="1">
        <f t="array" ref="J9647">_xlfn.IFS(I9647&lt;=3,"small",I9647&lt;=6,"Medium",I9647&lt;=9,"Large")</f>
        <v>Medium</v>
      </c>
      <c r="K9647" s="36">
        <v>45140</v>
      </c>
      <c r="L9647" s="36">
        <v>45142</v>
      </c>
      <c r="M9647" t="s">
        <v>612</v>
      </c>
      <c r="N9647" t="s">
        <v>604</v>
      </c>
      <c r="O9647" s="37" t="str">
        <f t="shared" si="753"/>
        <v>Digital Payment</v>
      </c>
      <c r="P9647">
        <v>237.18</v>
      </c>
      <c r="Q9647" s="37" t="str">
        <f>IF(P9647&gt;500,"High","low")</f>
        <v>low</v>
      </c>
      <c r="R9647" s="37" t="str">
        <f t="shared" si="754"/>
        <v>AVERAGE</v>
      </c>
      <c r="S9647" t="s">
        <v>620</v>
      </c>
    </row>
    <row r="9648" spans="1:19" x14ac:dyDescent="0.2">
      <c r="A9648" t="s">
        <v>10259</v>
      </c>
      <c r="B9648" t="s">
        <v>67</v>
      </c>
      <c r="C9648" t="s">
        <v>614</v>
      </c>
      <c r="D9648">
        <v>845.48</v>
      </c>
      <c r="E9648" s="37" t="str">
        <f t="shared" si="750"/>
        <v xml:space="preserve"> </v>
      </c>
      <c r="F9648">
        <v>0.33</v>
      </c>
      <c r="G9648" s="37" t="str">
        <f t="shared" si="751"/>
        <v>Heavy Discount</v>
      </c>
      <c r="H9648" s="37" t="str">
        <f t="shared" si="752"/>
        <v>Medium</v>
      </c>
      <c r="I9648">
        <v>7</v>
      </c>
      <c r="J9648" t="str" cm="1">
        <f t="array" ref="J9648">_xlfn.IFS(I9648&lt;=3,"small",I9648&lt;=6,"Medium",I9648&lt;=9,"Large")</f>
        <v>Large</v>
      </c>
      <c r="K9648" s="36">
        <v>45260</v>
      </c>
      <c r="L9648" s="36">
        <v>45266</v>
      </c>
      <c r="M9648" t="s">
        <v>598</v>
      </c>
      <c r="N9648" t="s">
        <v>604</v>
      </c>
      <c r="O9648" s="37" t="str">
        <f t="shared" si="753"/>
        <v>Digital Payment</v>
      </c>
      <c r="P9648">
        <v>46.94</v>
      </c>
      <c r="Q9648" s="37" t="str">
        <f>IF(P9648&gt;500,"High","low")</f>
        <v>low</v>
      </c>
      <c r="R9648" s="37" t="str">
        <f t="shared" si="754"/>
        <v>AVERAGE</v>
      </c>
      <c r="S9648" t="s">
        <v>609</v>
      </c>
    </row>
    <row r="9649" spans="1:19" x14ac:dyDescent="0.2">
      <c r="A9649" t="s">
        <v>10260</v>
      </c>
      <c r="B9649" t="s">
        <v>83</v>
      </c>
      <c r="C9649" t="s">
        <v>607</v>
      </c>
      <c r="D9649">
        <v>3262</v>
      </c>
      <c r="E9649" s="37" t="str">
        <f t="shared" si="750"/>
        <v xml:space="preserve"> </v>
      </c>
      <c r="F9649">
        <v>0.38</v>
      </c>
      <c r="G9649" s="37" t="str">
        <f t="shared" si="751"/>
        <v>Heavy Discount</v>
      </c>
      <c r="H9649" s="37" t="str">
        <f t="shared" si="752"/>
        <v>Medium</v>
      </c>
      <c r="I9649">
        <v>8</v>
      </c>
      <c r="J9649" t="str" cm="1">
        <f t="array" ref="J9649">_xlfn.IFS(I9649&lt;=3,"small",I9649&lt;=6,"Medium",I9649&lt;=9,"Large")</f>
        <v>Large</v>
      </c>
      <c r="K9649" s="36">
        <v>45184</v>
      </c>
      <c r="L9649" s="36">
        <v>45189</v>
      </c>
      <c r="M9649" t="s">
        <v>598</v>
      </c>
      <c r="N9649" t="s">
        <v>604</v>
      </c>
      <c r="O9649" s="37" t="str">
        <f t="shared" si="753"/>
        <v>Digital Payment</v>
      </c>
      <c r="P9649">
        <v>245.15</v>
      </c>
      <c r="Q9649" s="37" t="str">
        <f>IF(P9649&gt;500,"High","low")</f>
        <v>low</v>
      </c>
      <c r="R9649" s="37" t="str">
        <f t="shared" si="754"/>
        <v>AVERAGE</v>
      </c>
      <c r="S9649" t="s">
        <v>628</v>
      </c>
    </row>
    <row r="9650" spans="1:19" x14ac:dyDescent="0.2">
      <c r="A9650" t="s">
        <v>10261</v>
      </c>
      <c r="B9650" t="s">
        <v>83</v>
      </c>
      <c r="C9650" t="s">
        <v>602</v>
      </c>
      <c r="D9650">
        <v>2984.2</v>
      </c>
      <c r="E9650" s="37" t="str">
        <f t="shared" si="750"/>
        <v xml:space="preserve"> </v>
      </c>
      <c r="F9650">
        <v>0.09</v>
      </c>
      <c r="G9650" s="37" t="str">
        <f t="shared" si="751"/>
        <v>Normal Discount</v>
      </c>
      <c r="H9650" s="37" t="str">
        <f t="shared" si="752"/>
        <v>Low</v>
      </c>
      <c r="I9650">
        <v>8</v>
      </c>
      <c r="J9650" t="str" cm="1">
        <f t="array" ref="J9650">_xlfn.IFS(I9650&lt;=3,"small",I9650&lt;=6,"Medium",I9650&lt;=9,"Large")</f>
        <v>Large</v>
      </c>
      <c r="K9650" s="36">
        <v>45194</v>
      </c>
      <c r="L9650" s="36">
        <v>45196</v>
      </c>
      <c r="M9650" t="s">
        <v>603</v>
      </c>
      <c r="N9650" t="s">
        <v>608</v>
      </c>
      <c r="O9650" s="37" t="str">
        <f t="shared" si="753"/>
        <v>Cash Payment</v>
      </c>
      <c r="P9650">
        <v>308.04000000000002</v>
      </c>
      <c r="Q9650" s="37" t="str">
        <f>IF(P9650&gt;500,"High","low")</f>
        <v>low</v>
      </c>
      <c r="R9650" s="37" t="str">
        <f t="shared" si="754"/>
        <v>AVERAGE</v>
      </c>
      <c r="S9650" t="s">
        <v>609</v>
      </c>
    </row>
    <row r="9651" spans="1:19" x14ac:dyDescent="0.2">
      <c r="A9651" t="s">
        <v>10262</v>
      </c>
      <c r="B9651" t="s">
        <v>67</v>
      </c>
      <c r="C9651" t="s">
        <v>597</v>
      </c>
      <c r="D9651">
        <v>121.26</v>
      </c>
      <c r="E9651" s="37" t="str">
        <f t="shared" si="750"/>
        <v xml:space="preserve"> </v>
      </c>
      <c r="F9651">
        <v>0.05</v>
      </c>
      <c r="G9651" s="37" t="str">
        <f t="shared" si="751"/>
        <v>Normal Discount</v>
      </c>
      <c r="H9651" s="37" t="str">
        <f t="shared" si="752"/>
        <v>Low</v>
      </c>
      <c r="I9651">
        <v>7</v>
      </c>
      <c r="J9651" t="str" cm="1">
        <f t="array" ref="J9651">_xlfn.IFS(I9651&lt;=3,"small",I9651&lt;=6,"Medium",I9651&lt;=9,"Large")</f>
        <v>Large</v>
      </c>
      <c r="K9651" s="36">
        <v>45012</v>
      </c>
      <c r="L9651" s="36">
        <v>45013</v>
      </c>
      <c r="M9651" t="s">
        <v>603</v>
      </c>
      <c r="N9651" t="s">
        <v>608</v>
      </c>
      <c r="O9651" s="37" t="str">
        <f t="shared" si="753"/>
        <v>Cash Payment</v>
      </c>
      <c r="P9651">
        <v>22.32</v>
      </c>
      <c r="Q9651" s="37" t="str">
        <f>IF(P9651&gt;500,"High","low")</f>
        <v>low</v>
      </c>
      <c r="R9651" s="37" t="str">
        <f t="shared" si="754"/>
        <v>AVERAGE</v>
      </c>
      <c r="S9651" t="s">
        <v>628</v>
      </c>
    </row>
    <row r="9652" spans="1:19" x14ac:dyDescent="0.2">
      <c r="A9652" t="s">
        <v>10263</v>
      </c>
      <c r="B9652" t="s">
        <v>90</v>
      </c>
      <c r="C9652" t="s">
        <v>597</v>
      </c>
      <c r="D9652">
        <v>1495.43</v>
      </c>
      <c r="E9652" s="37" t="str">
        <f t="shared" si="750"/>
        <v xml:space="preserve"> </v>
      </c>
      <c r="F9652">
        <v>0.33</v>
      </c>
      <c r="G9652" s="37" t="str">
        <f t="shared" si="751"/>
        <v>Heavy Discount</v>
      </c>
      <c r="H9652" s="37" t="str">
        <f t="shared" si="752"/>
        <v>Medium</v>
      </c>
      <c r="I9652">
        <v>2</v>
      </c>
      <c r="J9652" t="str" cm="1">
        <f t="array" ref="J9652">_xlfn.IFS(I9652&lt;=3,"small",I9652&lt;=6,"Medium",I9652&lt;=9,"Large")</f>
        <v>small</v>
      </c>
      <c r="K9652" s="36">
        <v>45503</v>
      </c>
      <c r="L9652" s="36">
        <v>45507</v>
      </c>
      <c r="M9652" t="s">
        <v>612</v>
      </c>
      <c r="N9652" t="s">
        <v>604</v>
      </c>
      <c r="O9652" s="37" t="str">
        <f t="shared" si="753"/>
        <v>Digital Payment</v>
      </c>
      <c r="P9652">
        <v>361.92</v>
      </c>
      <c r="Q9652" s="37" t="str">
        <f>IF(P9652&gt;500,"High","low")</f>
        <v>low</v>
      </c>
      <c r="R9652" s="37" t="str">
        <f t="shared" si="754"/>
        <v>AVERAGE</v>
      </c>
      <c r="S9652" t="s">
        <v>615</v>
      </c>
    </row>
    <row r="9653" spans="1:19" x14ac:dyDescent="0.2">
      <c r="A9653" t="s">
        <v>10264</v>
      </c>
      <c r="B9653" t="s">
        <v>67</v>
      </c>
      <c r="C9653" t="s">
        <v>614</v>
      </c>
      <c r="D9653">
        <v>3253.54</v>
      </c>
      <c r="E9653" s="37" t="str">
        <f t="shared" si="750"/>
        <v xml:space="preserve"> </v>
      </c>
      <c r="F9653">
        <v>0.25</v>
      </c>
      <c r="G9653" s="37" t="str">
        <f t="shared" si="751"/>
        <v>Normal Discount</v>
      </c>
      <c r="H9653" s="37" t="str">
        <f t="shared" si="752"/>
        <v>Medium</v>
      </c>
      <c r="I9653">
        <v>8</v>
      </c>
      <c r="J9653" t="str" cm="1">
        <f t="array" ref="J9653">_xlfn.IFS(I9653&lt;=3,"small",I9653&lt;=6,"Medium",I9653&lt;=9,"Large")</f>
        <v>Large</v>
      </c>
      <c r="K9653" s="36">
        <v>45514</v>
      </c>
      <c r="L9653" s="36">
        <v>45520</v>
      </c>
      <c r="M9653" t="s">
        <v>612</v>
      </c>
      <c r="N9653" t="s">
        <v>599</v>
      </c>
      <c r="O9653" s="37" t="str">
        <f t="shared" si="753"/>
        <v>Digital Payment</v>
      </c>
      <c r="P9653">
        <v>270.62</v>
      </c>
      <c r="Q9653" s="37" t="str">
        <f>IF(P9653&gt;500,"High","low")</f>
        <v>low</v>
      </c>
      <c r="R9653" s="37" t="str">
        <f t="shared" si="754"/>
        <v>AVERAGE</v>
      </c>
      <c r="S9653" t="s">
        <v>609</v>
      </c>
    </row>
    <row r="9654" spans="1:19" x14ac:dyDescent="0.2">
      <c r="A9654" t="s">
        <v>10265</v>
      </c>
      <c r="B9654" t="s">
        <v>90</v>
      </c>
      <c r="C9654" t="s">
        <v>617</v>
      </c>
      <c r="D9654">
        <v>4080.02</v>
      </c>
      <c r="E9654" s="37" t="str">
        <f t="shared" si="750"/>
        <v xml:space="preserve"> </v>
      </c>
      <c r="F9654">
        <v>0.44</v>
      </c>
      <c r="G9654" s="37" t="str">
        <f t="shared" si="751"/>
        <v>Heavy Discount</v>
      </c>
      <c r="H9654" s="37" t="str">
        <f t="shared" si="752"/>
        <v>High</v>
      </c>
      <c r="I9654">
        <v>5</v>
      </c>
      <c r="J9654" t="str" cm="1">
        <f t="array" ref="J9654">_xlfn.IFS(I9654&lt;=3,"small",I9654&lt;=6,"Medium",I9654&lt;=9,"Large")</f>
        <v>Medium</v>
      </c>
      <c r="K9654" s="36">
        <v>45258</v>
      </c>
      <c r="L9654" s="36">
        <v>45262</v>
      </c>
      <c r="M9654" t="s">
        <v>598</v>
      </c>
      <c r="N9654" t="s">
        <v>604</v>
      </c>
      <c r="O9654" s="37" t="str">
        <f t="shared" si="753"/>
        <v>Digital Payment</v>
      </c>
      <c r="P9654">
        <v>793.31</v>
      </c>
      <c r="Q9654" s="37" t="str">
        <f>IF(P9654&gt;500,"High","low")</f>
        <v>High</v>
      </c>
      <c r="R9654" s="37" t="str">
        <f t="shared" si="754"/>
        <v>Good</v>
      </c>
      <c r="S9654" t="s">
        <v>609</v>
      </c>
    </row>
    <row r="9655" spans="1:19" x14ac:dyDescent="0.2">
      <c r="A9655" t="s">
        <v>10266</v>
      </c>
      <c r="B9655" t="s">
        <v>83</v>
      </c>
      <c r="C9655" t="s">
        <v>614</v>
      </c>
      <c r="D9655">
        <v>1630.61</v>
      </c>
      <c r="E9655" s="37" t="str">
        <f t="shared" si="750"/>
        <v xml:space="preserve"> </v>
      </c>
      <c r="F9655">
        <v>0.27</v>
      </c>
      <c r="G9655" s="37" t="str">
        <f t="shared" si="751"/>
        <v>Normal Discount</v>
      </c>
      <c r="H9655" s="37" t="str">
        <f t="shared" si="752"/>
        <v>Medium</v>
      </c>
      <c r="I9655">
        <v>9</v>
      </c>
      <c r="J9655" t="str" cm="1">
        <f t="array" ref="J9655">_xlfn.IFS(I9655&lt;=3,"small",I9655&lt;=6,"Medium",I9655&lt;=9,"Large")</f>
        <v>Large</v>
      </c>
      <c r="K9655" s="36">
        <v>45506</v>
      </c>
      <c r="L9655" s="36">
        <v>45512</v>
      </c>
      <c r="M9655" t="s">
        <v>598</v>
      </c>
      <c r="N9655" t="s">
        <v>604</v>
      </c>
      <c r="O9655" s="37" t="str">
        <f t="shared" si="753"/>
        <v>Digital Payment</v>
      </c>
      <c r="P9655">
        <v>374.73</v>
      </c>
      <c r="Q9655" s="37" t="str">
        <f>IF(P9655&gt;500,"High","low")</f>
        <v>low</v>
      </c>
      <c r="R9655" s="37" t="str">
        <f t="shared" si="754"/>
        <v>AVERAGE</v>
      </c>
      <c r="S9655" t="s">
        <v>605</v>
      </c>
    </row>
    <row r="9656" spans="1:19" x14ac:dyDescent="0.2">
      <c r="A9656" t="s">
        <v>10267</v>
      </c>
      <c r="B9656" t="s">
        <v>83</v>
      </c>
      <c r="C9656" t="s">
        <v>614</v>
      </c>
      <c r="D9656">
        <v>3272.44</v>
      </c>
      <c r="E9656" s="37" t="str">
        <f t="shared" si="750"/>
        <v xml:space="preserve"> </v>
      </c>
      <c r="F9656">
        <v>0.22</v>
      </c>
      <c r="G9656" s="37" t="str">
        <f t="shared" si="751"/>
        <v>Normal Discount</v>
      </c>
      <c r="H9656" s="37" t="str">
        <f t="shared" si="752"/>
        <v>Medium</v>
      </c>
      <c r="I9656">
        <v>6</v>
      </c>
      <c r="J9656" t="str" cm="1">
        <f t="array" ref="J9656">_xlfn.IFS(I9656&lt;=3,"small",I9656&lt;=6,"Medium",I9656&lt;=9,"Large")</f>
        <v>Medium</v>
      </c>
      <c r="K9656" s="36">
        <v>45107</v>
      </c>
      <c r="L9656" s="36">
        <v>45114</v>
      </c>
      <c r="M9656" t="s">
        <v>598</v>
      </c>
      <c r="N9656" t="s">
        <v>599</v>
      </c>
      <c r="O9656" s="37" t="str">
        <f t="shared" si="753"/>
        <v>Digital Payment</v>
      </c>
      <c r="P9656">
        <v>857</v>
      </c>
      <c r="Q9656" s="37" t="str">
        <f>IF(P9656&gt;500,"High","low")</f>
        <v>High</v>
      </c>
      <c r="R9656" s="37" t="str">
        <f t="shared" si="754"/>
        <v>Good</v>
      </c>
      <c r="S9656" t="s">
        <v>600</v>
      </c>
    </row>
    <row r="9657" spans="1:19" x14ac:dyDescent="0.2">
      <c r="A9657" t="s">
        <v>10268</v>
      </c>
      <c r="B9657" t="s">
        <v>83</v>
      </c>
      <c r="C9657" t="s">
        <v>607</v>
      </c>
      <c r="D9657">
        <v>1399.76</v>
      </c>
      <c r="E9657" s="37" t="str">
        <f t="shared" si="750"/>
        <v xml:space="preserve"> </v>
      </c>
      <c r="F9657">
        <v>0.24</v>
      </c>
      <c r="G9657" s="37" t="str">
        <f t="shared" si="751"/>
        <v>Normal Discount</v>
      </c>
      <c r="H9657" s="37" t="str">
        <f t="shared" si="752"/>
        <v>Medium</v>
      </c>
      <c r="I9657">
        <v>4</v>
      </c>
      <c r="J9657" t="str" cm="1">
        <f t="array" ref="J9657">_xlfn.IFS(I9657&lt;=3,"small",I9657&lt;=6,"Medium",I9657&lt;=9,"Large")</f>
        <v>Medium</v>
      </c>
      <c r="K9657" s="36">
        <v>45166</v>
      </c>
      <c r="L9657" s="36">
        <v>45172</v>
      </c>
      <c r="M9657" t="s">
        <v>612</v>
      </c>
      <c r="N9657" t="s">
        <v>608</v>
      </c>
      <c r="O9657" s="37" t="str">
        <f t="shared" si="753"/>
        <v>Cash Payment</v>
      </c>
      <c r="P9657">
        <v>153.97</v>
      </c>
      <c r="Q9657" s="37" t="str">
        <f>IF(P9657&gt;500,"High","low")</f>
        <v>low</v>
      </c>
      <c r="R9657" s="37" t="str">
        <f t="shared" si="754"/>
        <v>AVERAGE</v>
      </c>
      <c r="S9657" t="s">
        <v>609</v>
      </c>
    </row>
    <row r="9658" spans="1:19" x14ac:dyDescent="0.2">
      <c r="A9658" t="s">
        <v>10269</v>
      </c>
      <c r="B9658" t="s">
        <v>75</v>
      </c>
      <c r="C9658" t="s">
        <v>607</v>
      </c>
      <c r="D9658">
        <v>3482.86</v>
      </c>
      <c r="E9658" s="37" t="str">
        <f t="shared" si="750"/>
        <v xml:space="preserve"> </v>
      </c>
      <c r="F9658">
        <v>0.39</v>
      </c>
      <c r="G9658" s="37" t="str">
        <f t="shared" si="751"/>
        <v>Heavy Discount</v>
      </c>
      <c r="H9658" s="37" t="str">
        <f t="shared" si="752"/>
        <v>Medium</v>
      </c>
      <c r="I9658">
        <v>9</v>
      </c>
      <c r="J9658" t="str" cm="1">
        <f t="array" ref="J9658">_xlfn.IFS(I9658&lt;=3,"small",I9658&lt;=6,"Medium",I9658&lt;=9,"Large")</f>
        <v>Large</v>
      </c>
      <c r="K9658" s="36">
        <v>45329</v>
      </c>
      <c r="L9658" s="36">
        <v>45332</v>
      </c>
      <c r="M9658" t="s">
        <v>598</v>
      </c>
      <c r="N9658" t="s">
        <v>599</v>
      </c>
      <c r="O9658" s="37" t="str">
        <f t="shared" si="753"/>
        <v>Digital Payment</v>
      </c>
      <c r="P9658">
        <v>294.25</v>
      </c>
      <c r="Q9658" s="37" t="str">
        <f>IF(P9658&gt;500,"High","low")</f>
        <v>low</v>
      </c>
      <c r="R9658" s="37" t="str">
        <f t="shared" si="754"/>
        <v>AVERAGE</v>
      </c>
      <c r="S9658" t="s">
        <v>600</v>
      </c>
    </row>
    <row r="9659" spans="1:19" x14ac:dyDescent="0.2">
      <c r="A9659" t="s">
        <v>10270</v>
      </c>
      <c r="B9659" t="s">
        <v>75</v>
      </c>
      <c r="C9659" t="s">
        <v>617</v>
      </c>
      <c r="D9659">
        <v>3519.95</v>
      </c>
      <c r="E9659" s="37" t="str">
        <f t="shared" si="750"/>
        <v xml:space="preserve"> </v>
      </c>
      <c r="F9659">
        <v>0.01</v>
      </c>
      <c r="G9659" s="37" t="str">
        <f t="shared" si="751"/>
        <v>Normal Discount</v>
      </c>
      <c r="H9659" s="37" t="str">
        <f t="shared" si="752"/>
        <v>Low</v>
      </c>
      <c r="I9659">
        <v>1</v>
      </c>
      <c r="J9659" t="str" cm="1">
        <f t="array" ref="J9659">_xlfn.IFS(I9659&lt;=3,"small",I9659&lt;=6,"Medium",I9659&lt;=9,"Large")</f>
        <v>small</v>
      </c>
      <c r="K9659" s="36">
        <v>45560</v>
      </c>
      <c r="L9659" s="36">
        <v>45567</v>
      </c>
      <c r="M9659" t="s">
        <v>612</v>
      </c>
      <c r="N9659" t="s">
        <v>599</v>
      </c>
      <c r="O9659" s="37" t="str">
        <f t="shared" si="753"/>
        <v>Digital Payment</v>
      </c>
      <c r="P9659">
        <v>719.36</v>
      </c>
      <c r="Q9659" s="37" t="str">
        <f>IF(P9659&gt;500,"High","low")</f>
        <v>High</v>
      </c>
      <c r="R9659" s="37" t="str">
        <f t="shared" si="754"/>
        <v>Good</v>
      </c>
      <c r="S9659" t="s">
        <v>615</v>
      </c>
    </row>
    <row r="9660" spans="1:19" x14ac:dyDescent="0.2">
      <c r="A9660" t="s">
        <v>10271</v>
      </c>
      <c r="B9660" t="s">
        <v>75</v>
      </c>
      <c r="C9660" t="s">
        <v>617</v>
      </c>
      <c r="D9660">
        <v>738.09</v>
      </c>
      <c r="E9660" s="37" t="str">
        <f t="shared" si="750"/>
        <v xml:space="preserve"> </v>
      </c>
      <c r="F9660">
        <v>0.46</v>
      </c>
      <c r="G9660" s="37" t="str">
        <f t="shared" si="751"/>
        <v>Heavy Discount</v>
      </c>
      <c r="H9660" s="37" t="str">
        <f t="shared" si="752"/>
        <v>High</v>
      </c>
      <c r="I9660">
        <v>4</v>
      </c>
      <c r="J9660" t="str" cm="1">
        <f t="array" ref="J9660">_xlfn.IFS(I9660&lt;=3,"small",I9660&lt;=6,"Medium",I9660&lt;=9,"Large")</f>
        <v>Medium</v>
      </c>
      <c r="K9660" s="36">
        <v>45311</v>
      </c>
      <c r="L9660" s="36">
        <v>45313</v>
      </c>
      <c r="M9660" t="s">
        <v>612</v>
      </c>
      <c r="N9660" t="s">
        <v>599</v>
      </c>
      <c r="O9660" s="37" t="str">
        <f t="shared" si="753"/>
        <v>Digital Payment</v>
      </c>
      <c r="P9660">
        <v>104.57</v>
      </c>
      <c r="Q9660" s="37" t="str">
        <f>IF(P9660&gt;500,"High","low")</f>
        <v>low</v>
      </c>
      <c r="R9660" s="37" t="str">
        <f t="shared" si="754"/>
        <v>AVERAGE</v>
      </c>
      <c r="S9660" t="s">
        <v>615</v>
      </c>
    </row>
    <row r="9661" spans="1:19" x14ac:dyDescent="0.2">
      <c r="A9661" t="s">
        <v>10272</v>
      </c>
      <c r="B9661" t="s">
        <v>67</v>
      </c>
      <c r="C9661" t="s">
        <v>617</v>
      </c>
      <c r="D9661">
        <v>3358.94</v>
      </c>
      <c r="E9661" s="37" t="str">
        <f t="shared" si="750"/>
        <v xml:space="preserve"> </v>
      </c>
      <c r="F9661">
        <v>0.36</v>
      </c>
      <c r="G9661" s="37" t="str">
        <f t="shared" si="751"/>
        <v>Heavy Discount</v>
      </c>
      <c r="H9661" s="37" t="str">
        <f t="shared" si="752"/>
        <v>Medium</v>
      </c>
      <c r="I9661">
        <v>5</v>
      </c>
      <c r="J9661" t="str" cm="1">
        <f t="array" ref="J9661">_xlfn.IFS(I9661&lt;=3,"small",I9661&lt;=6,"Medium",I9661&lt;=9,"Large")</f>
        <v>Medium</v>
      </c>
      <c r="K9661" s="36">
        <v>45490</v>
      </c>
      <c r="L9661" s="36">
        <v>45494</v>
      </c>
      <c r="M9661" t="s">
        <v>598</v>
      </c>
      <c r="N9661" t="s">
        <v>604</v>
      </c>
      <c r="O9661" s="37" t="str">
        <f t="shared" si="753"/>
        <v>Digital Payment</v>
      </c>
      <c r="P9661">
        <v>689.72</v>
      </c>
      <c r="Q9661" s="37" t="str">
        <f>IF(P9661&gt;500,"High","low")</f>
        <v>High</v>
      </c>
      <c r="R9661" s="37" t="str">
        <f t="shared" si="754"/>
        <v>Good</v>
      </c>
      <c r="S9661" t="s">
        <v>600</v>
      </c>
    </row>
    <row r="9662" spans="1:19" x14ac:dyDescent="0.2">
      <c r="A9662" t="s">
        <v>10273</v>
      </c>
      <c r="B9662" t="s">
        <v>83</v>
      </c>
      <c r="C9662" t="s">
        <v>617</v>
      </c>
      <c r="D9662">
        <v>1734.48</v>
      </c>
      <c r="E9662" s="37" t="str">
        <f t="shared" si="750"/>
        <v xml:space="preserve"> </v>
      </c>
      <c r="F9662">
        <v>0.44</v>
      </c>
      <c r="G9662" s="37" t="str">
        <f t="shared" si="751"/>
        <v>Heavy Discount</v>
      </c>
      <c r="H9662" s="37" t="str">
        <f t="shared" si="752"/>
        <v>High</v>
      </c>
      <c r="I9662">
        <v>4</v>
      </c>
      <c r="J9662" t="str" cm="1">
        <f t="array" ref="J9662">_xlfn.IFS(I9662&lt;=3,"small",I9662&lt;=6,"Medium",I9662&lt;=9,"Large")</f>
        <v>Medium</v>
      </c>
      <c r="K9662" s="36">
        <v>45455</v>
      </c>
      <c r="L9662" s="36">
        <v>45457</v>
      </c>
      <c r="M9662" t="s">
        <v>612</v>
      </c>
      <c r="N9662" t="s">
        <v>608</v>
      </c>
      <c r="O9662" s="37" t="str">
        <f t="shared" si="753"/>
        <v>Cash Payment</v>
      </c>
      <c r="P9662">
        <v>193.33</v>
      </c>
      <c r="Q9662" s="37" t="str">
        <f>IF(P9662&gt;500,"High","low")</f>
        <v>low</v>
      </c>
      <c r="R9662" s="37" t="str">
        <f t="shared" si="754"/>
        <v>AVERAGE</v>
      </c>
      <c r="S9662" t="s">
        <v>600</v>
      </c>
    </row>
    <row r="9663" spans="1:19" x14ac:dyDescent="0.2">
      <c r="A9663" t="s">
        <v>10274</v>
      </c>
      <c r="B9663" t="s">
        <v>83</v>
      </c>
      <c r="C9663" t="s">
        <v>617</v>
      </c>
      <c r="D9663">
        <v>945.72</v>
      </c>
      <c r="E9663" s="37" t="str">
        <f t="shared" si="750"/>
        <v xml:space="preserve"> </v>
      </c>
      <c r="F9663">
        <v>0.48</v>
      </c>
      <c r="G9663" s="37" t="str">
        <f t="shared" si="751"/>
        <v>Heavy Discount</v>
      </c>
      <c r="H9663" s="37" t="str">
        <f t="shared" si="752"/>
        <v>High</v>
      </c>
      <c r="I9663">
        <v>9</v>
      </c>
      <c r="J9663" t="str" cm="1">
        <f t="array" ref="J9663">_xlfn.IFS(I9663&lt;=3,"small",I9663&lt;=6,"Medium",I9663&lt;=9,"Large")</f>
        <v>Large</v>
      </c>
      <c r="K9663" s="36">
        <v>45161</v>
      </c>
      <c r="L9663" s="36">
        <v>45166</v>
      </c>
      <c r="M9663" t="s">
        <v>612</v>
      </c>
      <c r="N9663" t="s">
        <v>608</v>
      </c>
      <c r="O9663" s="37" t="str">
        <f t="shared" si="753"/>
        <v>Cash Payment</v>
      </c>
      <c r="P9663">
        <v>102.58</v>
      </c>
      <c r="Q9663" s="37" t="str">
        <f>IF(P9663&gt;500,"High","low")</f>
        <v>low</v>
      </c>
      <c r="R9663" s="37" t="str">
        <f t="shared" si="754"/>
        <v>AVERAGE</v>
      </c>
      <c r="S9663" t="s">
        <v>615</v>
      </c>
    </row>
    <row r="9664" spans="1:19" x14ac:dyDescent="0.2">
      <c r="A9664" t="s">
        <v>10275</v>
      </c>
      <c r="B9664" t="s">
        <v>67</v>
      </c>
      <c r="C9664" t="s">
        <v>614</v>
      </c>
      <c r="D9664">
        <v>2551.77</v>
      </c>
      <c r="E9664" s="37" t="str">
        <f t="shared" si="750"/>
        <v xml:space="preserve"> </v>
      </c>
      <c r="F9664">
        <v>0.11</v>
      </c>
      <c r="G9664" s="37" t="str">
        <f t="shared" si="751"/>
        <v>Normal Discount</v>
      </c>
      <c r="H9664" s="37" t="str">
        <f t="shared" si="752"/>
        <v>Low</v>
      </c>
      <c r="I9664">
        <v>1</v>
      </c>
      <c r="J9664" t="str" cm="1">
        <f t="array" ref="J9664">_xlfn.IFS(I9664&lt;=3,"small",I9664&lt;=6,"Medium",I9664&lt;=9,"Large")</f>
        <v>small</v>
      </c>
      <c r="K9664" s="36">
        <v>45381</v>
      </c>
      <c r="L9664" s="36">
        <v>45385</v>
      </c>
      <c r="M9664" t="s">
        <v>612</v>
      </c>
      <c r="N9664" t="s">
        <v>599</v>
      </c>
      <c r="O9664" s="37" t="str">
        <f t="shared" si="753"/>
        <v>Digital Payment</v>
      </c>
      <c r="P9664">
        <v>614.48</v>
      </c>
      <c r="Q9664" s="37" t="str">
        <f>IF(P9664&gt;500,"High","low")</f>
        <v>High</v>
      </c>
      <c r="R9664" s="37" t="str">
        <f t="shared" si="754"/>
        <v>Good</v>
      </c>
      <c r="S9664" t="s">
        <v>605</v>
      </c>
    </row>
    <row r="9665" spans="1:19" x14ac:dyDescent="0.2">
      <c r="A9665" t="s">
        <v>10276</v>
      </c>
      <c r="B9665" t="s">
        <v>75</v>
      </c>
      <c r="C9665" t="s">
        <v>614</v>
      </c>
      <c r="D9665">
        <v>2316.25</v>
      </c>
      <c r="E9665" s="37" t="str">
        <f t="shared" si="750"/>
        <v xml:space="preserve"> </v>
      </c>
      <c r="F9665">
        <v>0.28999999999999998</v>
      </c>
      <c r="G9665" s="37" t="str">
        <f t="shared" si="751"/>
        <v>Normal Discount</v>
      </c>
      <c r="H9665" s="37" t="str">
        <f t="shared" si="752"/>
        <v>Medium</v>
      </c>
      <c r="I9665">
        <v>3</v>
      </c>
      <c r="J9665" t="str" cm="1">
        <f t="array" ref="J9665">_xlfn.IFS(I9665&lt;=3,"small",I9665&lt;=6,"Medium",I9665&lt;=9,"Large")</f>
        <v>small</v>
      </c>
      <c r="K9665" s="36">
        <v>45244</v>
      </c>
      <c r="L9665" s="36">
        <v>45246</v>
      </c>
      <c r="M9665" t="s">
        <v>598</v>
      </c>
      <c r="N9665" t="s">
        <v>608</v>
      </c>
      <c r="O9665" s="37" t="str">
        <f t="shared" si="753"/>
        <v>Cash Payment</v>
      </c>
      <c r="P9665">
        <v>278.99</v>
      </c>
      <c r="Q9665" s="37" t="str">
        <f>IF(P9665&gt;500,"High","low")</f>
        <v>low</v>
      </c>
      <c r="R9665" s="37" t="str">
        <f t="shared" si="754"/>
        <v>AVERAGE</v>
      </c>
      <c r="S9665" t="s">
        <v>605</v>
      </c>
    </row>
    <row r="9666" spans="1:19" x14ac:dyDescent="0.2">
      <c r="A9666" t="s">
        <v>10277</v>
      </c>
      <c r="B9666" t="s">
        <v>67</v>
      </c>
      <c r="C9666" t="s">
        <v>597</v>
      </c>
      <c r="D9666">
        <v>3891.99</v>
      </c>
      <c r="E9666" s="37" t="str">
        <f t="shared" si="750"/>
        <v xml:space="preserve"> </v>
      </c>
      <c r="F9666">
        <v>0.24</v>
      </c>
      <c r="G9666" s="37" t="str">
        <f t="shared" si="751"/>
        <v>Normal Discount</v>
      </c>
      <c r="H9666" s="37" t="str">
        <f t="shared" si="752"/>
        <v>Medium</v>
      </c>
      <c r="I9666">
        <v>9</v>
      </c>
      <c r="J9666" t="str" cm="1">
        <f t="array" ref="J9666">_xlfn.IFS(I9666&lt;=3,"small",I9666&lt;=6,"Medium",I9666&lt;=9,"Large")</f>
        <v>Large</v>
      </c>
      <c r="K9666" s="36">
        <v>45343</v>
      </c>
      <c r="L9666" s="36">
        <v>45345</v>
      </c>
      <c r="M9666" t="s">
        <v>612</v>
      </c>
      <c r="N9666" t="s">
        <v>599</v>
      </c>
      <c r="O9666" s="37" t="str">
        <f t="shared" si="753"/>
        <v>Digital Payment</v>
      </c>
      <c r="P9666">
        <v>1122.0999999999999</v>
      </c>
      <c r="Q9666" s="37" t="str">
        <f>IF(P9666&gt;500,"High","low")</f>
        <v>High</v>
      </c>
      <c r="R9666" s="37" t="str">
        <f t="shared" si="754"/>
        <v>Excellent</v>
      </c>
      <c r="S9666" t="s">
        <v>609</v>
      </c>
    </row>
    <row r="9667" spans="1:19" x14ac:dyDescent="0.2">
      <c r="A9667" t="s">
        <v>10278</v>
      </c>
      <c r="B9667" t="s">
        <v>75</v>
      </c>
      <c r="C9667" t="s">
        <v>597</v>
      </c>
      <c r="D9667">
        <v>514.13</v>
      </c>
      <c r="E9667" s="37" t="str">
        <f t="shared" ref="E9667:E9730" si="755">IF(AND(D9667&gt;4000,P9667&gt;800),"Excellent Order"," ")</f>
        <v xml:space="preserve"> </v>
      </c>
      <c r="F9667">
        <v>0.27</v>
      </c>
      <c r="G9667" s="37" t="str">
        <f t="shared" ref="G9667:G9730" si="756">IF(F9667&gt;30%,"Heavy Discount","Normal Discount")</f>
        <v>Normal Discount</v>
      </c>
      <c r="H9667" s="37" t="str">
        <f t="shared" ref="H9667:H9730" si="757">IF(F9667&gt;0.4,"High",IF(F9667&gt;=0.2,"Medium","Low"))</f>
        <v>Medium</v>
      </c>
      <c r="I9667">
        <v>7</v>
      </c>
      <c r="J9667" t="str" cm="1">
        <f t="array" ref="J9667">_xlfn.IFS(I9667&lt;=3,"small",I9667&lt;=6,"Medium",I9667&lt;=9,"Large")</f>
        <v>Large</v>
      </c>
      <c r="K9667" s="36">
        <v>45234</v>
      </c>
      <c r="L9667" s="36">
        <v>45240</v>
      </c>
      <c r="M9667" t="s">
        <v>612</v>
      </c>
      <c r="N9667" t="s">
        <v>599</v>
      </c>
      <c r="O9667" s="37" t="str">
        <f t="shared" ref="O9667:O9730" si="758">IF(OR(N9667="Card",N9667="UPI"),"Digital Payment","Cash Payment")</f>
        <v>Digital Payment</v>
      </c>
      <c r="P9667">
        <v>120.49</v>
      </c>
      <c r="Q9667" s="37" t="str">
        <f>IF(P9667&gt;500,"High","low")</f>
        <v>low</v>
      </c>
      <c r="R9667" s="37" t="str">
        <f t="shared" ref="R9667:R9730" si="759">IF(P9667&gt;1000,"Excellent",IF(P9667&gt;=500,"Good","AVERAGE"))</f>
        <v>AVERAGE</v>
      </c>
      <c r="S9667" t="s">
        <v>609</v>
      </c>
    </row>
    <row r="9668" spans="1:19" x14ac:dyDescent="0.2">
      <c r="A9668" t="s">
        <v>10279</v>
      </c>
      <c r="B9668" t="s">
        <v>83</v>
      </c>
      <c r="C9668" t="s">
        <v>602</v>
      </c>
      <c r="D9668">
        <v>3969.79</v>
      </c>
      <c r="E9668" s="37" t="str">
        <f t="shared" si="755"/>
        <v xml:space="preserve"> </v>
      </c>
      <c r="F9668">
        <v>0.02</v>
      </c>
      <c r="G9668" s="37" t="str">
        <f t="shared" si="756"/>
        <v>Normal Discount</v>
      </c>
      <c r="H9668" s="37" t="str">
        <f t="shared" si="757"/>
        <v>Low</v>
      </c>
      <c r="I9668">
        <v>5</v>
      </c>
      <c r="J9668" t="str" cm="1">
        <f t="array" ref="J9668">_xlfn.IFS(I9668&lt;=3,"small",I9668&lt;=6,"Medium",I9668&lt;=9,"Large")</f>
        <v>Medium</v>
      </c>
      <c r="K9668" s="36">
        <v>45188</v>
      </c>
      <c r="L9668" s="36">
        <v>45191</v>
      </c>
      <c r="M9668" t="s">
        <v>598</v>
      </c>
      <c r="N9668" t="s">
        <v>604</v>
      </c>
      <c r="O9668" s="37" t="str">
        <f t="shared" si="758"/>
        <v>Digital Payment</v>
      </c>
      <c r="P9668">
        <v>1137.8800000000001</v>
      </c>
      <c r="Q9668" s="37" t="str">
        <f>IF(P9668&gt;500,"High","low")</f>
        <v>High</v>
      </c>
      <c r="R9668" s="37" t="str">
        <f t="shared" si="759"/>
        <v>Excellent</v>
      </c>
      <c r="S9668" t="s">
        <v>628</v>
      </c>
    </row>
    <row r="9669" spans="1:19" x14ac:dyDescent="0.2">
      <c r="A9669" t="s">
        <v>10280</v>
      </c>
      <c r="B9669" t="s">
        <v>90</v>
      </c>
      <c r="C9669" t="s">
        <v>614</v>
      </c>
      <c r="D9669">
        <v>619.79999999999995</v>
      </c>
      <c r="E9669" s="37" t="str">
        <f t="shared" si="755"/>
        <v xml:space="preserve"> </v>
      </c>
      <c r="F9669">
        <v>0.46</v>
      </c>
      <c r="G9669" s="37" t="str">
        <f t="shared" si="756"/>
        <v>Heavy Discount</v>
      </c>
      <c r="H9669" s="37" t="str">
        <f t="shared" si="757"/>
        <v>High</v>
      </c>
      <c r="I9669">
        <v>6</v>
      </c>
      <c r="J9669" t="str" cm="1">
        <f t="array" ref="J9669">_xlfn.IFS(I9669&lt;=3,"small",I9669&lt;=6,"Medium",I9669&lt;=9,"Large")</f>
        <v>Medium</v>
      </c>
      <c r="K9669" s="36">
        <v>45534</v>
      </c>
      <c r="L9669" s="36">
        <v>45538</v>
      </c>
      <c r="M9669" t="s">
        <v>612</v>
      </c>
      <c r="N9669" t="s">
        <v>608</v>
      </c>
      <c r="O9669" s="37" t="str">
        <f t="shared" si="758"/>
        <v>Cash Payment</v>
      </c>
      <c r="P9669">
        <v>130.54</v>
      </c>
      <c r="Q9669" s="37" t="str">
        <f>IF(P9669&gt;500,"High","low")</f>
        <v>low</v>
      </c>
      <c r="R9669" s="37" t="str">
        <f t="shared" si="759"/>
        <v>AVERAGE</v>
      </c>
      <c r="S9669" t="s">
        <v>609</v>
      </c>
    </row>
    <row r="9670" spans="1:19" x14ac:dyDescent="0.2">
      <c r="A9670" t="s">
        <v>10281</v>
      </c>
      <c r="B9670" t="s">
        <v>75</v>
      </c>
      <c r="C9670" t="s">
        <v>617</v>
      </c>
      <c r="D9670">
        <v>1116.55</v>
      </c>
      <c r="E9670" s="37" t="str">
        <f t="shared" si="755"/>
        <v xml:space="preserve"> </v>
      </c>
      <c r="F9670">
        <v>0.48</v>
      </c>
      <c r="G9670" s="37" t="str">
        <f t="shared" si="756"/>
        <v>Heavy Discount</v>
      </c>
      <c r="H9670" s="37" t="str">
        <f t="shared" si="757"/>
        <v>High</v>
      </c>
      <c r="I9670">
        <v>4</v>
      </c>
      <c r="J9670" t="str" cm="1">
        <f t="array" ref="J9670">_xlfn.IFS(I9670&lt;=3,"small",I9670&lt;=6,"Medium",I9670&lt;=9,"Large")</f>
        <v>Medium</v>
      </c>
      <c r="K9670" s="36">
        <v>45283</v>
      </c>
      <c r="L9670" s="36">
        <v>45284</v>
      </c>
      <c r="M9670" t="s">
        <v>598</v>
      </c>
      <c r="N9670" t="s">
        <v>599</v>
      </c>
      <c r="O9670" s="37" t="str">
        <f t="shared" si="758"/>
        <v>Digital Payment</v>
      </c>
      <c r="P9670">
        <v>274.29000000000002</v>
      </c>
      <c r="Q9670" s="37" t="str">
        <f>IF(P9670&gt;500,"High","low")</f>
        <v>low</v>
      </c>
      <c r="R9670" s="37" t="str">
        <f t="shared" si="759"/>
        <v>AVERAGE</v>
      </c>
      <c r="S9670" t="s">
        <v>628</v>
      </c>
    </row>
    <row r="9671" spans="1:19" x14ac:dyDescent="0.2">
      <c r="A9671" t="s">
        <v>10282</v>
      </c>
      <c r="B9671" t="s">
        <v>83</v>
      </c>
      <c r="C9671" t="s">
        <v>602</v>
      </c>
      <c r="D9671">
        <v>2627.82</v>
      </c>
      <c r="E9671" s="37" t="str">
        <f t="shared" si="755"/>
        <v xml:space="preserve"> </v>
      </c>
      <c r="F9671">
        <v>0.34</v>
      </c>
      <c r="G9671" s="37" t="str">
        <f t="shared" si="756"/>
        <v>Heavy Discount</v>
      </c>
      <c r="H9671" s="37" t="str">
        <f t="shared" si="757"/>
        <v>Medium</v>
      </c>
      <c r="I9671">
        <v>5</v>
      </c>
      <c r="J9671" t="str" cm="1">
        <f t="array" ref="J9671">_xlfn.IFS(I9671&lt;=3,"small",I9671&lt;=6,"Medium",I9671&lt;=9,"Large")</f>
        <v>Medium</v>
      </c>
      <c r="K9671" s="36">
        <v>45497</v>
      </c>
      <c r="L9671" s="36">
        <v>45504</v>
      </c>
      <c r="M9671" t="s">
        <v>598</v>
      </c>
      <c r="N9671" t="s">
        <v>608</v>
      </c>
      <c r="O9671" s="37" t="str">
        <f t="shared" si="758"/>
        <v>Cash Payment</v>
      </c>
      <c r="P9671">
        <v>385.28</v>
      </c>
      <c r="Q9671" s="37" t="str">
        <f>IF(P9671&gt;500,"High","low")</f>
        <v>low</v>
      </c>
      <c r="R9671" s="37" t="str">
        <f t="shared" si="759"/>
        <v>AVERAGE</v>
      </c>
      <c r="S9671" t="s">
        <v>600</v>
      </c>
    </row>
    <row r="9672" spans="1:19" x14ac:dyDescent="0.2">
      <c r="A9672" t="s">
        <v>10283</v>
      </c>
      <c r="B9672" t="s">
        <v>83</v>
      </c>
      <c r="C9672" t="s">
        <v>607</v>
      </c>
      <c r="D9672">
        <v>2369.56</v>
      </c>
      <c r="E9672" s="37" t="str">
        <f t="shared" si="755"/>
        <v xml:space="preserve"> </v>
      </c>
      <c r="F9672">
        <v>0.13</v>
      </c>
      <c r="G9672" s="37" t="str">
        <f t="shared" si="756"/>
        <v>Normal Discount</v>
      </c>
      <c r="H9672" s="37" t="str">
        <f t="shared" si="757"/>
        <v>Low</v>
      </c>
      <c r="I9672">
        <v>8</v>
      </c>
      <c r="J9672" t="str" cm="1">
        <f t="array" ref="J9672">_xlfn.IFS(I9672&lt;=3,"small",I9672&lt;=6,"Medium",I9672&lt;=9,"Large")</f>
        <v>Large</v>
      </c>
      <c r="K9672" s="36">
        <v>45033</v>
      </c>
      <c r="L9672" s="36">
        <v>45039</v>
      </c>
      <c r="M9672" t="s">
        <v>612</v>
      </c>
      <c r="N9672" t="s">
        <v>608</v>
      </c>
      <c r="O9672" s="37" t="str">
        <f t="shared" si="758"/>
        <v>Cash Payment</v>
      </c>
      <c r="P9672">
        <v>706.27</v>
      </c>
      <c r="Q9672" s="37" t="str">
        <f>IF(P9672&gt;500,"High","low")</f>
        <v>High</v>
      </c>
      <c r="R9672" s="37" t="str">
        <f t="shared" si="759"/>
        <v>Good</v>
      </c>
      <c r="S9672" t="s">
        <v>605</v>
      </c>
    </row>
    <row r="9673" spans="1:19" x14ac:dyDescent="0.2">
      <c r="A9673" t="s">
        <v>10284</v>
      </c>
      <c r="B9673" t="s">
        <v>90</v>
      </c>
      <c r="C9673" t="s">
        <v>614</v>
      </c>
      <c r="D9673">
        <v>4945.41</v>
      </c>
      <c r="E9673" s="37" t="str">
        <f t="shared" si="755"/>
        <v xml:space="preserve"> </v>
      </c>
      <c r="F9673">
        <v>0.39</v>
      </c>
      <c r="G9673" s="37" t="str">
        <f t="shared" si="756"/>
        <v>Heavy Discount</v>
      </c>
      <c r="H9673" s="37" t="str">
        <f t="shared" si="757"/>
        <v>Medium</v>
      </c>
      <c r="I9673">
        <v>5</v>
      </c>
      <c r="J9673" t="str" cm="1">
        <f t="array" ref="J9673">_xlfn.IFS(I9673&lt;=3,"small",I9673&lt;=6,"Medium",I9673&lt;=9,"Large")</f>
        <v>Medium</v>
      </c>
      <c r="K9673" s="36">
        <v>45404</v>
      </c>
      <c r="L9673" s="36">
        <v>45408</v>
      </c>
      <c r="M9673" t="s">
        <v>612</v>
      </c>
      <c r="N9673" t="s">
        <v>608</v>
      </c>
      <c r="O9673" s="37" t="str">
        <f t="shared" si="758"/>
        <v>Cash Payment</v>
      </c>
      <c r="P9673">
        <v>579.03</v>
      </c>
      <c r="Q9673" s="37" t="str">
        <f>IF(P9673&gt;500,"High","low")</f>
        <v>High</v>
      </c>
      <c r="R9673" s="37" t="str">
        <f t="shared" si="759"/>
        <v>Good</v>
      </c>
      <c r="S9673" t="s">
        <v>600</v>
      </c>
    </row>
    <row r="9674" spans="1:19" x14ac:dyDescent="0.2">
      <c r="A9674" t="s">
        <v>10285</v>
      </c>
      <c r="B9674" t="s">
        <v>83</v>
      </c>
      <c r="C9674" t="s">
        <v>597</v>
      </c>
      <c r="D9674">
        <v>2988.42</v>
      </c>
      <c r="E9674" s="37" t="str">
        <f t="shared" si="755"/>
        <v xml:space="preserve"> </v>
      </c>
      <c r="F9674">
        <v>0.37</v>
      </c>
      <c r="G9674" s="37" t="str">
        <f t="shared" si="756"/>
        <v>Heavy Discount</v>
      </c>
      <c r="H9674" s="37" t="str">
        <f t="shared" si="757"/>
        <v>Medium</v>
      </c>
      <c r="I9674">
        <v>2</v>
      </c>
      <c r="J9674" t="str" cm="1">
        <f t="array" ref="J9674">_xlfn.IFS(I9674&lt;=3,"small",I9674&lt;=6,"Medium",I9674&lt;=9,"Large")</f>
        <v>small</v>
      </c>
      <c r="K9674" s="36">
        <v>44948</v>
      </c>
      <c r="L9674" s="36">
        <v>44953</v>
      </c>
      <c r="M9674" t="s">
        <v>603</v>
      </c>
      <c r="N9674" t="s">
        <v>599</v>
      </c>
      <c r="O9674" s="37" t="str">
        <f t="shared" si="758"/>
        <v>Digital Payment</v>
      </c>
      <c r="P9674">
        <v>212.96</v>
      </c>
      <c r="Q9674" s="37" t="str">
        <f>IF(P9674&gt;500,"High","low")</f>
        <v>low</v>
      </c>
      <c r="R9674" s="37" t="str">
        <f t="shared" si="759"/>
        <v>AVERAGE</v>
      </c>
      <c r="S9674" t="s">
        <v>620</v>
      </c>
    </row>
    <row r="9675" spans="1:19" x14ac:dyDescent="0.2">
      <c r="A9675" t="s">
        <v>10286</v>
      </c>
      <c r="B9675" t="s">
        <v>83</v>
      </c>
      <c r="C9675" t="s">
        <v>614</v>
      </c>
      <c r="D9675">
        <v>1704.43</v>
      </c>
      <c r="E9675" s="37" t="str">
        <f t="shared" si="755"/>
        <v xml:space="preserve"> </v>
      </c>
      <c r="F9675">
        <v>0.28999999999999998</v>
      </c>
      <c r="G9675" s="37" t="str">
        <f t="shared" si="756"/>
        <v>Normal Discount</v>
      </c>
      <c r="H9675" s="37" t="str">
        <f t="shared" si="757"/>
        <v>Medium</v>
      </c>
      <c r="I9675">
        <v>8</v>
      </c>
      <c r="J9675" t="str" cm="1">
        <f t="array" ref="J9675">_xlfn.IFS(I9675&lt;=3,"small",I9675&lt;=6,"Medium",I9675&lt;=9,"Large")</f>
        <v>Large</v>
      </c>
      <c r="K9675" s="36">
        <v>45384</v>
      </c>
      <c r="L9675" s="36">
        <v>45386</v>
      </c>
      <c r="M9675" t="s">
        <v>603</v>
      </c>
      <c r="N9675" t="s">
        <v>604</v>
      </c>
      <c r="O9675" s="37" t="str">
        <f t="shared" si="758"/>
        <v>Digital Payment</v>
      </c>
      <c r="P9675">
        <v>457.06</v>
      </c>
      <c r="Q9675" s="37" t="str">
        <f>IF(P9675&gt;500,"High","low")</f>
        <v>low</v>
      </c>
      <c r="R9675" s="37" t="str">
        <f t="shared" si="759"/>
        <v>AVERAGE</v>
      </c>
      <c r="S9675" t="s">
        <v>609</v>
      </c>
    </row>
    <row r="9676" spans="1:19" x14ac:dyDescent="0.2">
      <c r="A9676" t="s">
        <v>10287</v>
      </c>
      <c r="B9676" t="s">
        <v>75</v>
      </c>
      <c r="C9676" t="s">
        <v>614</v>
      </c>
      <c r="D9676">
        <v>4510.7299999999996</v>
      </c>
      <c r="E9676" s="37" t="str">
        <f t="shared" si="755"/>
        <v>Excellent Order</v>
      </c>
      <c r="F9676">
        <v>0.09</v>
      </c>
      <c r="G9676" s="37" t="str">
        <f t="shared" si="756"/>
        <v>Normal Discount</v>
      </c>
      <c r="H9676" s="37" t="str">
        <f t="shared" si="757"/>
        <v>Low</v>
      </c>
      <c r="I9676">
        <v>3</v>
      </c>
      <c r="J9676" t="str" cm="1">
        <f t="array" ref="J9676">_xlfn.IFS(I9676&lt;=3,"small",I9676&lt;=6,"Medium",I9676&lt;=9,"Large")</f>
        <v>small</v>
      </c>
      <c r="K9676" s="36">
        <v>44972</v>
      </c>
      <c r="L9676" s="36">
        <v>44976</v>
      </c>
      <c r="M9676" t="s">
        <v>612</v>
      </c>
      <c r="N9676" t="s">
        <v>599</v>
      </c>
      <c r="O9676" s="37" t="str">
        <f t="shared" si="758"/>
        <v>Digital Payment</v>
      </c>
      <c r="P9676">
        <v>852.23</v>
      </c>
      <c r="Q9676" s="37" t="str">
        <f>IF(P9676&gt;500,"High","low")</f>
        <v>High</v>
      </c>
      <c r="R9676" s="37" t="str">
        <f t="shared" si="759"/>
        <v>Good</v>
      </c>
      <c r="S9676" t="s">
        <v>628</v>
      </c>
    </row>
    <row r="9677" spans="1:19" x14ac:dyDescent="0.2">
      <c r="A9677" t="s">
        <v>10288</v>
      </c>
      <c r="B9677" t="s">
        <v>75</v>
      </c>
      <c r="C9677" t="s">
        <v>614</v>
      </c>
      <c r="D9677">
        <v>1629.85</v>
      </c>
      <c r="E9677" s="37" t="str">
        <f t="shared" si="755"/>
        <v xml:space="preserve"> </v>
      </c>
      <c r="F9677">
        <v>0.1</v>
      </c>
      <c r="G9677" s="37" t="str">
        <f t="shared" si="756"/>
        <v>Normal Discount</v>
      </c>
      <c r="H9677" s="37" t="str">
        <f t="shared" si="757"/>
        <v>Low</v>
      </c>
      <c r="I9677">
        <v>5</v>
      </c>
      <c r="J9677" t="str" cm="1">
        <f t="array" ref="J9677">_xlfn.IFS(I9677&lt;=3,"small",I9677&lt;=6,"Medium",I9677&lt;=9,"Large")</f>
        <v>Medium</v>
      </c>
      <c r="K9677" s="36">
        <v>45394</v>
      </c>
      <c r="L9677" s="36">
        <v>45396</v>
      </c>
      <c r="M9677" t="s">
        <v>598</v>
      </c>
      <c r="N9677" t="s">
        <v>604</v>
      </c>
      <c r="O9677" s="37" t="str">
        <f t="shared" si="758"/>
        <v>Digital Payment</v>
      </c>
      <c r="P9677">
        <v>248.58</v>
      </c>
      <c r="Q9677" s="37" t="str">
        <f>IF(P9677&gt;500,"High","low")</f>
        <v>low</v>
      </c>
      <c r="R9677" s="37" t="str">
        <f t="shared" si="759"/>
        <v>AVERAGE</v>
      </c>
      <c r="S9677" t="s">
        <v>615</v>
      </c>
    </row>
    <row r="9678" spans="1:19" x14ac:dyDescent="0.2">
      <c r="A9678" t="s">
        <v>10289</v>
      </c>
      <c r="B9678" t="s">
        <v>90</v>
      </c>
      <c r="C9678" t="s">
        <v>614</v>
      </c>
      <c r="D9678">
        <v>1441.5</v>
      </c>
      <c r="E9678" s="37" t="str">
        <f t="shared" si="755"/>
        <v xml:space="preserve"> </v>
      </c>
      <c r="F9678">
        <v>0.28999999999999998</v>
      </c>
      <c r="G9678" s="37" t="str">
        <f t="shared" si="756"/>
        <v>Normal Discount</v>
      </c>
      <c r="H9678" s="37" t="str">
        <f t="shared" si="757"/>
        <v>Medium</v>
      </c>
      <c r="I9678">
        <v>6</v>
      </c>
      <c r="J9678" t="str" cm="1">
        <f t="array" ref="J9678">_xlfn.IFS(I9678&lt;=3,"small",I9678&lt;=6,"Medium",I9678&lt;=9,"Large")</f>
        <v>Medium</v>
      </c>
      <c r="K9678" s="36">
        <v>44978</v>
      </c>
      <c r="L9678" s="36">
        <v>44985</v>
      </c>
      <c r="M9678" t="s">
        <v>598</v>
      </c>
      <c r="N9678" t="s">
        <v>608</v>
      </c>
      <c r="O9678" s="37" t="str">
        <f t="shared" si="758"/>
        <v>Cash Payment</v>
      </c>
      <c r="P9678">
        <v>186.51</v>
      </c>
      <c r="Q9678" s="37" t="str">
        <f>IF(P9678&gt;500,"High","low")</f>
        <v>low</v>
      </c>
      <c r="R9678" s="37" t="str">
        <f t="shared" si="759"/>
        <v>AVERAGE</v>
      </c>
      <c r="S9678" t="s">
        <v>605</v>
      </c>
    </row>
    <row r="9679" spans="1:19" x14ac:dyDescent="0.2">
      <c r="A9679" t="s">
        <v>10290</v>
      </c>
      <c r="B9679" t="s">
        <v>90</v>
      </c>
      <c r="C9679" t="s">
        <v>607</v>
      </c>
      <c r="D9679">
        <v>2522.42</v>
      </c>
      <c r="E9679" s="37" t="str">
        <f t="shared" si="755"/>
        <v xml:space="preserve"> </v>
      </c>
      <c r="F9679">
        <v>0.06</v>
      </c>
      <c r="G9679" s="37" t="str">
        <f t="shared" si="756"/>
        <v>Normal Discount</v>
      </c>
      <c r="H9679" s="37" t="str">
        <f t="shared" si="757"/>
        <v>Low</v>
      </c>
      <c r="I9679">
        <v>1</v>
      </c>
      <c r="J9679" t="str" cm="1">
        <f t="array" ref="J9679">_xlfn.IFS(I9679&lt;=3,"small",I9679&lt;=6,"Medium",I9679&lt;=9,"Large")</f>
        <v>small</v>
      </c>
      <c r="K9679" s="36">
        <v>45392</v>
      </c>
      <c r="L9679" s="36">
        <v>45395</v>
      </c>
      <c r="M9679" t="s">
        <v>603</v>
      </c>
      <c r="N9679" t="s">
        <v>608</v>
      </c>
      <c r="O9679" s="37" t="str">
        <f t="shared" si="758"/>
        <v>Cash Payment</v>
      </c>
      <c r="P9679">
        <v>730.15</v>
      </c>
      <c r="Q9679" s="37" t="str">
        <f>IF(P9679&gt;500,"High","low")</f>
        <v>High</v>
      </c>
      <c r="R9679" s="37" t="str">
        <f t="shared" si="759"/>
        <v>Good</v>
      </c>
      <c r="S9679" t="s">
        <v>605</v>
      </c>
    </row>
    <row r="9680" spans="1:19" x14ac:dyDescent="0.2">
      <c r="A9680" t="s">
        <v>10291</v>
      </c>
      <c r="B9680" t="s">
        <v>83</v>
      </c>
      <c r="C9680" t="s">
        <v>597</v>
      </c>
      <c r="D9680">
        <v>4574.5600000000004</v>
      </c>
      <c r="E9680" s="37" t="str">
        <f t="shared" si="755"/>
        <v>Excellent Order</v>
      </c>
      <c r="F9680">
        <v>0.36</v>
      </c>
      <c r="G9680" s="37" t="str">
        <f t="shared" si="756"/>
        <v>Heavy Discount</v>
      </c>
      <c r="H9680" s="37" t="str">
        <f t="shared" si="757"/>
        <v>Medium</v>
      </c>
      <c r="I9680">
        <v>3</v>
      </c>
      <c r="J9680" t="str" cm="1">
        <f t="array" ref="J9680">_xlfn.IFS(I9680&lt;=3,"small",I9680&lt;=6,"Medium",I9680&lt;=9,"Large")</f>
        <v>small</v>
      </c>
      <c r="K9680" s="36">
        <v>45611</v>
      </c>
      <c r="L9680" s="36">
        <v>45614</v>
      </c>
      <c r="M9680" t="s">
        <v>598</v>
      </c>
      <c r="N9680" t="s">
        <v>608</v>
      </c>
      <c r="O9680" s="37" t="str">
        <f t="shared" si="758"/>
        <v>Cash Payment</v>
      </c>
      <c r="P9680">
        <v>1278.79</v>
      </c>
      <c r="Q9680" s="37" t="str">
        <f>IF(P9680&gt;500,"High","low")</f>
        <v>High</v>
      </c>
      <c r="R9680" s="37" t="str">
        <f t="shared" si="759"/>
        <v>Excellent</v>
      </c>
      <c r="S9680" t="s">
        <v>600</v>
      </c>
    </row>
    <row r="9681" spans="1:19" x14ac:dyDescent="0.2">
      <c r="A9681" t="s">
        <v>10292</v>
      </c>
      <c r="B9681" t="s">
        <v>75</v>
      </c>
      <c r="C9681" t="s">
        <v>614</v>
      </c>
      <c r="D9681">
        <v>3571.72</v>
      </c>
      <c r="E9681" s="37" t="str">
        <f t="shared" si="755"/>
        <v xml:space="preserve"> </v>
      </c>
      <c r="F9681">
        <v>0.11</v>
      </c>
      <c r="G9681" s="37" t="str">
        <f t="shared" si="756"/>
        <v>Normal Discount</v>
      </c>
      <c r="H9681" s="37" t="str">
        <f t="shared" si="757"/>
        <v>Low</v>
      </c>
      <c r="I9681">
        <v>1</v>
      </c>
      <c r="J9681" t="str" cm="1">
        <f t="array" ref="J9681">_xlfn.IFS(I9681&lt;=3,"small",I9681&lt;=6,"Medium",I9681&lt;=9,"Large")</f>
        <v>small</v>
      </c>
      <c r="K9681" s="36">
        <v>45025</v>
      </c>
      <c r="L9681" s="36">
        <v>45029</v>
      </c>
      <c r="M9681" t="s">
        <v>603</v>
      </c>
      <c r="N9681" t="s">
        <v>608</v>
      </c>
      <c r="O9681" s="37" t="str">
        <f t="shared" si="758"/>
        <v>Cash Payment</v>
      </c>
      <c r="P9681">
        <v>952.77</v>
      </c>
      <c r="Q9681" s="37" t="str">
        <f>IF(P9681&gt;500,"High","low")</f>
        <v>High</v>
      </c>
      <c r="R9681" s="37" t="str">
        <f t="shared" si="759"/>
        <v>Good</v>
      </c>
      <c r="S9681" t="s">
        <v>609</v>
      </c>
    </row>
    <row r="9682" spans="1:19" x14ac:dyDescent="0.2">
      <c r="A9682" t="s">
        <v>10293</v>
      </c>
      <c r="B9682" t="s">
        <v>90</v>
      </c>
      <c r="C9682" t="s">
        <v>607</v>
      </c>
      <c r="D9682">
        <v>3419.67</v>
      </c>
      <c r="E9682" s="37" t="str">
        <f t="shared" si="755"/>
        <v xml:space="preserve"> </v>
      </c>
      <c r="F9682">
        <v>0.46</v>
      </c>
      <c r="G9682" s="37" t="str">
        <f t="shared" si="756"/>
        <v>Heavy Discount</v>
      </c>
      <c r="H9682" s="37" t="str">
        <f t="shared" si="757"/>
        <v>High</v>
      </c>
      <c r="I9682">
        <v>7</v>
      </c>
      <c r="J9682" t="str" cm="1">
        <f t="array" ref="J9682">_xlfn.IFS(I9682&lt;=3,"small",I9682&lt;=6,"Medium",I9682&lt;=9,"Large")</f>
        <v>Large</v>
      </c>
      <c r="K9682" s="36">
        <v>45107</v>
      </c>
      <c r="L9682" s="36">
        <v>45114</v>
      </c>
      <c r="M9682" t="s">
        <v>598</v>
      </c>
      <c r="N9682" t="s">
        <v>604</v>
      </c>
      <c r="O9682" s="37" t="str">
        <f t="shared" si="758"/>
        <v>Digital Payment</v>
      </c>
      <c r="P9682">
        <v>718.1</v>
      </c>
      <c r="Q9682" s="37" t="str">
        <f>IF(P9682&gt;500,"High","low")</f>
        <v>High</v>
      </c>
      <c r="R9682" s="37" t="str">
        <f t="shared" si="759"/>
        <v>Good</v>
      </c>
      <c r="S9682" t="s">
        <v>609</v>
      </c>
    </row>
    <row r="9683" spans="1:19" x14ac:dyDescent="0.2">
      <c r="A9683" t="s">
        <v>10294</v>
      </c>
      <c r="B9683" t="s">
        <v>90</v>
      </c>
      <c r="C9683" t="s">
        <v>602</v>
      </c>
      <c r="D9683">
        <v>3657.78</v>
      </c>
      <c r="E9683" s="37" t="str">
        <f t="shared" si="755"/>
        <v xml:space="preserve"> </v>
      </c>
      <c r="F9683">
        <v>0.45</v>
      </c>
      <c r="G9683" s="37" t="str">
        <f t="shared" si="756"/>
        <v>Heavy Discount</v>
      </c>
      <c r="H9683" s="37" t="str">
        <f t="shared" si="757"/>
        <v>High</v>
      </c>
      <c r="I9683">
        <v>2</v>
      </c>
      <c r="J9683" t="str" cm="1">
        <f t="array" ref="J9683">_xlfn.IFS(I9683&lt;=3,"small",I9683&lt;=6,"Medium",I9683&lt;=9,"Large")</f>
        <v>small</v>
      </c>
      <c r="K9683" s="36">
        <v>44962</v>
      </c>
      <c r="L9683" s="36">
        <v>44965</v>
      </c>
      <c r="M9683" t="s">
        <v>612</v>
      </c>
      <c r="N9683" t="s">
        <v>599</v>
      </c>
      <c r="O9683" s="37" t="str">
        <f t="shared" si="758"/>
        <v>Digital Payment</v>
      </c>
      <c r="P9683">
        <v>395.42</v>
      </c>
      <c r="Q9683" s="37" t="str">
        <f>IF(P9683&gt;500,"High","low")</f>
        <v>low</v>
      </c>
      <c r="R9683" s="37" t="str">
        <f t="shared" si="759"/>
        <v>AVERAGE</v>
      </c>
      <c r="S9683" t="s">
        <v>620</v>
      </c>
    </row>
    <row r="9684" spans="1:19" x14ac:dyDescent="0.2">
      <c r="A9684" t="s">
        <v>10295</v>
      </c>
      <c r="B9684" t="s">
        <v>67</v>
      </c>
      <c r="C9684" t="s">
        <v>614</v>
      </c>
      <c r="D9684">
        <v>3332.24</v>
      </c>
      <c r="E9684" s="37" t="str">
        <f t="shared" si="755"/>
        <v xml:space="preserve"> </v>
      </c>
      <c r="F9684">
        <v>0.15</v>
      </c>
      <c r="G9684" s="37" t="str">
        <f t="shared" si="756"/>
        <v>Normal Discount</v>
      </c>
      <c r="H9684" s="37" t="str">
        <f t="shared" si="757"/>
        <v>Low</v>
      </c>
      <c r="I9684">
        <v>7</v>
      </c>
      <c r="J9684" t="str" cm="1">
        <f t="array" ref="J9684">_xlfn.IFS(I9684&lt;=3,"small",I9684&lt;=6,"Medium",I9684&lt;=9,"Large")</f>
        <v>Large</v>
      </c>
      <c r="K9684" s="36">
        <v>45361</v>
      </c>
      <c r="L9684" s="36">
        <v>45367</v>
      </c>
      <c r="M9684" t="s">
        <v>598</v>
      </c>
      <c r="N9684" t="s">
        <v>604</v>
      </c>
      <c r="O9684" s="37" t="str">
        <f t="shared" si="758"/>
        <v>Digital Payment</v>
      </c>
      <c r="P9684">
        <v>885.05</v>
      </c>
      <c r="Q9684" s="37" t="str">
        <f>IF(P9684&gt;500,"High","low")</f>
        <v>High</v>
      </c>
      <c r="R9684" s="37" t="str">
        <f t="shared" si="759"/>
        <v>Good</v>
      </c>
      <c r="S9684" t="s">
        <v>609</v>
      </c>
    </row>
    <row r="9685" spans="1:19" x14ac:dyDescent="0.2">
      <c r="A9685" t="s">
        <v>10296</v>
      </c>
      <c r="B9685" t="s">
        <v>90</v>
      </c>
      <c r="C9685" t="s">
        <v>607</v>
      </c>
      <c r="D9685">
        <v>3823</v>
      </c>
      <c r="E9685" s="37" t="str">
        <f t="shared" si="755"/>
        <v xml:space="preserve"> </v>
      </c>
      <c r="F9685">
        <v>0.04</v>
      </c>
      <c r="G9685" s="37" t="str">
        <f t="shared" si="756"/>
        <v>Normal Discount</v>
      </c>
      <c r="H9685" s="37" t="str">
        <f t="shared" si="757"/>
        <v>Low</v>
      </c>
      <c r="I9685">
        <v>3</v>
      </c>
      <c r="J9685" t="str" cm="1">
        <f t="array" ref="J9685">_xlfn.IFS(I9685&lt;=3,"small",I9685&lt;=6,"Medium",I9685&lt;=9,"Large")</f>
        <v>small</v>
      </c>
      <c r="K9685" s="36">
        <v>45456</v>
      </c>
      <c r="L9685" s="36">
        <v>45458</v>
      </c>
      <c r="M9685" t="s">
        <v>598</v>
      </c>
      <c r="N9685" t="s">
        <v>599</v>
      </c>
      <c r="O9685" s="37" t="str">
        <f t="shared" si="758"/>
        <v>Digital Payment</v>
      </c>
      <c r="P9685">
        <v>1059.21</v>
      </c>
      <c r="Q9685" s="37" t="str">
        <f>IF(P9685&gt;500,"High","low")</f>
        <v>High</v>
      </c>
      <c r="R9685" s="37" t="str">
        <f t="shared" si="759"/>
        <v>Excellent</v>
      </c>
      <c r="S9685" t="s">
        <v>600</v>
      </c>
    </row>
    <row r="9686" spans="1:19" x14ac:dyDescent="0.2">
      <c r="A9686" t="s">
        <v>10297</v>
      </c>
      <c r="B9686" t="s">
        <v>83</v>
      </c>
      <c r="C9686" t="s">
        <v>617</v>
      </c>
      <c r="D9686">
        <v>1044.53</v>
      </c>
      <c r="E9686" s="37" t="str">
        <f t="shared" si="755"/>
        <v xml:space="preserve"> </v>
      </c>
      <c r="F9686">
        <v>0.31</v>
      </c>
      <c r="G9686" s="37" t="str">
        <f t="shared" si="756"/>
        <v>Heavy Discount</v>
      </c>
      <c r="H9686" s="37" t="str">
        <f t="shared" si="757"/>
        <v>Medium</v>
      </c>
      <c r="I9686">
        <v>3</v>
      </c>
      <c r="J9686" t="str" cm="1">
        <f t="array" ref="J9686">_xlfn.IFS(I9686&lt;=3,"small",I9686&lt;=6,"Medium",I9686&lt;=9,"Large")</f>
        <v>small</v>
      </c>
      <c r="K9686" s="36">
        <v>45450</v>
      </c>
      <c r="L9686" s="36">
        <v>45455</v>
      </c>
      <c r="M9686" t="s">
        <v>598</v>
      </c>
      <c r="N9686" t="s">
        <v>608</v>
      </c>
      <c r="O9686" s="37" t="str">
        <f t="shared" si="758"/>
        <v>Cash Payment</v>
      </c>
      <c r="P9686">
        <v>137.69999999999999</v>
      </c>
      <c r="Q9686" s="37" t="str">
        <f>IF(P9686&gt;500,"High","low")</f>
        <v>low</v>
      </c>
      <c r="R9686" s="37" t="str">
        <f t="shared" si="759"/>
        <v>AVERAGE</v>
      </c>
      <c r="S9686" t="s">
        <v>605</v>
      </c>
    </row>
    <row r="9687" spans="1:19" x14ac:dyDescent="0.2">
      <c r="A9687" t="s">
        <v>10298</v>
      </c>
      <c r="B9687" t="s">
        <v>75</v>
      </c>
      <c r="C9687" t="s">
        <v>602</v>
      </c>
      <c r="D9687">
        <v>968.57</v>
      </c>
      <c r="E9687" s="37" t="str">
        <f t="shared" si="755"/>
        <v xml:space="preserve"> </v>
      </c>
      <c r="F9687">
        <v>0.22</v>
      </c>
      <c r="G9687" s="37" t="str">
        <f t="shared" si="756"/>
        <v>Normal Discount</v>
      </c>
      <c r="H9687" s="37" t="str">
        <f t="shared" si="757"/>
        <v>Medium</v>
      </c>
      <c r="I9687">
        <v>1</v>
      </c>
      <c r="J9687" t="str" cm="1">
        <f t="array" ref="J9687">_xlfn.IFS(I9687&lt;=3,"small",I9687&lt;=6,"Medium",I9687&lt;=9,"Large")</f>
        <v>small</v>
      </c>
      <c r="K9687" s="36">
        <v>45239</v>
      </c>
      <c r="L9687" s="36">
        <v>45245</v>
      </c>
      <c r="M9687" t="s">
        <v>603</v>
      </c>
      <c r="N9687" t="s">
        <v>608</v>
      </c>
      <c r="O9687" s="37" t="str">
        <f t="shared" si="758"/>
        <v>Cash Payment</v>
      </c>
      <c r="P9687">
        <v>202.07</v>
      </c>
      <c r="Q9687" s="37" t="str">
        <f>IF(P9687&gt;500,"High","low")</f>
        <v>low</v>
      </c>
      <c r="R9687" s="37" t="str">
        <f t="shared" si="759"/>
        <v>AVERAGE</v>
      </c>
      <c r="S9687" t="s">
        <v>620</v>
      </c>
    </row>
    <row r="9688" spans="1:19" x14ac:dyDescent="0.2">
      <c r="A9688" t="s">
        <v>10299</v>
      </c>
      <c r="B9688" t="s">
        <v>90</v>
      </c>
      <c r="C9688" t="s">
        <v>597</v>
      </c>
      <c r="D9688">
        <v>1874.6</v>
      </c>
      <c r="E9688" s="37" t="str">
        <f t="shared" si="755"/>
        <v xml:space="preserve"> </v>
      </c>
      <c r="F9688">
        <v>7.0000000000000007E-2</v>
      </c>
      <c r="G9688" s="37" t="str">
        <f t="shared" si="756"/>
        <v>Normal Discount</v>
      </c>
      <c r="H9688" s="37" t="str">
        <f t="shared" si="757"/>
        <v>Low</v>
      </c>
      <c r="I9688">
        <v>7</v>
      </c>
      <c r="J9688" t="str" cm="1">
        <f t="array" ref="J9688">_xlfn.IFS(I9688&lt;=3,"small",I9688&lt;=6,"Medium",I9688&lt;=9,"Large")</f>
        <v>Large</v>
      </c>
      <c r="K9688" s="36">
        <v>45552</v>
      </c>
      <c r="L9688" s="36">
        <v>45556</v>
      </c>
      <c r="M9688" t="s">
        <v>603</v>
      </c>
      <c r="N9688" t="s">
        <v>599</v>
      </c>
      <c r="O9688" s="37" t="str">
        <f t="shared" si="758"/>
        <v>Digital Payment</v>
      </c>
      <c r="P9688">
        <v>94.06</v>
      </c>
      <c r="Q9688" s="37" t="str">
        <f>IF(P9688&gt;500,"High","low")</f>
        <v>low</v>
      </c>
      <c r="R9688" s="37" t="str">
        <f t="shared" si="759"/>
        <v>AVERAGE</v>
      </c>
      <c r="S9688" t="s">
        <v>600</v>
      </c>
    </row>
    <row r="9689" spans="1:19" x14ac:dyDescent="0.2">
      <c r="A9689" t="s">
        <v>10300</v>
      </c>
      <c r="B9689" t="s">
        <v>67</v>
      </c>
      <c r="C9689" t="s">
        <v>614</v>
      </c>
      <c r="D9689">
        <v>4269.7</v>
      </c>
      <c r="E9689" s="37" t="str">
        <f t="shared" si="755"/>
        <v>Excellent Order</v>
      </c>
      <c r="F9689">
        <v>0.27</v>
      </c>
      <c r="G9689" s="37" t="str">
        <f t="shared" si="756"/>
        <v>Normal Discount</v>
      </c>
      <c r="H9689" s="37" t="str">
        <f t="shared" si="757"/>
        <v>Medium</v>
      </c>
      <c r="I9689">
        <v>8</v>
      </c>
      <c r="J9689" t="str" cm="1">
        <f t="array" ref="J9689">_xlfn.IFS(I9689&lt;=3,"small",I9689&lt;=6,"Medium",I9689&lt;=9,"Large")</f>
        <v>Large</v>
      </c>
      <c r="K9689" s="36">
        <v>45356</v>
      </c>
      <c r="L9689" s="36">
        <v>45363</v>
      </c>
      <c r="M9689" t="s">
        <v>598</v>
      </c>
      <c r="N9689" t="s">
        <v>608</v>
      </c>
      <c r="O9689" s="37" t="str">
        <f t="shared" si="758"/>
        <v>Cash Payment</v>
      </c>
      <c r="P9689">
        <v>1051.83</v>
      </c>
      <c r="Q9689" s="37" t="str">
        <f>IF(P9689&gt;500,"High","low")</f>
        <v>High</v>
      </c>
      <c r="R9689" s="37" t="str">
        <f t="shared" si="759"/>
        <v>Excellent</v>
      </c>
      <c r="S9689" t="s">
        <v>620</v>
      </c>
    </row>
    <row r="9690" spans="1:19" x14ac:dyDescent="0.2">
      <c r="A9690" t="s">
        <v>10301</v>
      </c>
      <c r="B9690" t="s">
        <v>75</v>
      </c>
      <c r="C9690" t="s">
        <v>614</v>
      </c>
      <c r="D9690">
        <v>3600.83</v>
      </c>
      <c r="E9690" s="37" t="str">
        <f t="shared" si="755"/>
        <v xml:space="preserve"> </v>
      </c>
      <c r="F9690">
        <v>0.5</v>
      </c>
      <c r="G9690" s="37" t="str">
        <f t="shared" si="756"/>
        <v>Heavy Discount</v>
      </c>
      <c r="H9690" s="37" t="str">
        <f t="shared" si="757"/>
        <v>High</v>
      </c>
      <c r="I9690">
        <v>4</v>
      </c>
      <c r="J9690" t="str" cm="1">
        <f t="array" ref="J9690">_xlfn.IFS(I9690&lt;=3,"small",I9690&lt;=6,"Medium",I9690&lt;=9,"Large")</f>
        <v>Medium</v>
      </c>
      <c r="K9690" s="36">
        <v>45143</v>
      </c>
      <c r="L9690" s="36">
        <v>45148</v>
      </c>
      <c r="M9690" t="s">
        <v>612</v>
      </c>
      <c r="N9690" t="s">
        <v>604</v>
      </c>
      <c r="O9690" s="37" t="str">
        <f t="shared" si="758"/>
        <v>Digital Payment</v>
      </c>
      <c r="P9690">
        <v>825.12</v>
      </c>
      <c r="Q9690" s="37" t="str">
        <f>IF(P9690&gt;500,"High","low")</f>
        <v>High</v>
      </c>
      <c r="R9690" s="37" t="str">
        <f t="shared" si="759"/>
        <v>Good</v>
      </c>
      <c r="S9690" t="s">
        <v>609</v>
      </c>
    </row>
    <row r="9691" spans="1:19" x14ac:dyDescent="0.2">
      <c r="A9691" t="s">
        <v>10302</v>
      </c>
      <c r="B9691" t="s">
        <v>90</v>
      </c>
      <c r="C9691" t="s">
        <v>607</v>
      </c>
      <c r="D9691">
        <v>2875.72</v>
      </c>
      <c r="E9691" s="37" t="str">
        <f t="shared" si="755"/>
        <v xml:space="preserve"> </v>
      </c>
      <c r="F9691">
        <v>0.03</v>
      </c>
      <c r="G9691" s="37" t="str">
        <f t="shared" si="756"/>
        <v>Normal Discount</v>
      </c>
      <c r="H9691" s="37" t="str">
        <f t="shared" si="757"/>
        <v>Low</v>
      </c>
      <c r="I9691">
        <v>9</v>
      </c>
      <c r="J9691" t="str" cm="1">
        <f t="array" ref="J9691">_xlfn.IFS(I9691&lt;=3,"small",I9691&lt;=6,"Medium",I9691&lt;=9,"Large")</f>
        <v>Large</v>
      </c>
      <c r="K9691" s="36">
        <v>45310</v>
      </c>
      <c r="L9691" s="36">
        <v>45317</v>
      </c>
      <c r="M9691" t="s">
        <v>612</v>
      </c>
      <c r="N9691" t="s">
        <v>599</v>
      </c>
      <c r="O9691" s="37" t="str">
        <f t="shared" si="758"/>
        <v>Digital Payment</v>
      </c>
      <c r="P9691">
        <v>287.22000000000003</v>
      </c>
      <c r="Q9691" s="37" t="str">
        <f>IF(P9691&gt;500,"High","low")</f>
        <v>low</v>
      </c>
      <c r="R9691" s="37" t="str">
        <f t="shared" si="759"/>
        <v>AVERAGE</v>
      </c>
      <c r="S9691" t="s">
        <v>628</v>
      </c>
    </row>
    <row r="9692" spans="1:19" x14ac:dyDescent="0.2">
      <c r="A9692" t="s">
        <v>10303</v>
      </c>
      <c r="B9692" t="s">
        <v>67</v>
      </c>
      <c r="C9692" t="s">
        <v>597</v>
      </c>
      <c r="D9692">
        <v>195.29</v>
      </c>
      <c r="E9692" s="37" t="str">
        <f t="shared" si="755"/>
        <v xml:space="preserve"> </v>
      </c>
      <c r="F9692">
        <v>0.13</v>
      </c>
      <c r="G9692" s="37" t="str">
        <f t="shared" si="756"/>
        <v>Normal Discount</v>
      </c>
      <c r="H9692" s="37" t="str">
        <f t="shared" si="757"/>
        <v>Low</v>
      </c>
      <c r="I9692">
        <v>4</v>
      </c>
      <c r="J9692" t="str" cm="1">
        <f t="array" ref="J9692">_xlfn.IFS(I9692&lt;=3,"small",I9692&lt;=6,"Medium",I9692&lt;=9,"Large")</f>
        <v>Medium</v>
      </c>
      <c r="K9692" s="36">
        <v>44967</v>
      </c>
      <c r="L9692" s="36">
        <v>44970</v>
      </c>
      <c r="M9692" t="s">
        <v>612</v>
      </c>
      <c r="N9692" t="s">
        <v>599</v>
      </c>
      <c r="O9692" s="37" t="str">
        <f t="shared" si="758"/>
        <v>Digital Payment</v>
      </c>
      <c r="P9692">
        <v>21.7</v>
      </c>
      <c r="Q9692" s="37" t="str">
        <f>IF(P9692&gt;500,"High","low")</f>
        <v>low</v>
      </c>
      <c r="R9692" s="37" t="str">
        <f t="shared" si="759"/>
        <v>AVERAGE</v>
      </c>
      <c r="S9692" t="s">
        <v>615</v>
      </c>
    </row>
    <row r="9693" spans="1:19" x14ac:dyDescent="0.2">
      <c r="A9693" t="s">
        <v>10304</v>
      </c>
      <c r="B9693" t="s">
        <v>90</v>
      </c>
      <c r="C9693" t="s">
        <v>617</v>
      </c>
      <c r="D9693">
        <v>1255.43</v>
      </c>
      <c r="E9693" s="37" t="str">
        <f t="shared" si="755"/>
        <v xml:space="preserve"> </v>
      </c>
      <c r="F9693">
        <v>0.27</v>
      </c>
      <c r="G9693" s="37" t="str">
        <f t="shared" si="756"/>
        <v>Normal Discount</v>
      </c>
      <c r="H9693" s="37" t="str">
        <f t="shared" si="757"/>
        <v>Medium</v>
      </c>
      <c r="I9693">
        <v>5</v>
      </c>
      <c r="J9693" t="str" cm="1">
        <f t="array" ref="J9693">_xlfn.IFS(I9693&lt;=3,"small",I9693&lt;=6,"Medium",I9693&lt;=9,"Large")</f>
        <v>Medium</v>
      </c>
      <c r="K9693" s="36">
        <v>45555</v>
      </c>
      <c r="L9693" s="36">
        <v>45558</v>
      </c>
      <c r="M9693" t="s">
        <v>603</v>
      </c>
      <c r="N9693" t="s">
        <v>599</v>
      </c>
      <c r="O9693" s="37" t="str">
        <f t="shared" si="758"/>
        <v>Digital Payment</v>
      </c>
      <c r="P9693">
        <v>212.91</v>
      </c>
      <c r="Q9693" s="37" t="str">
        <f>IF(P9693&gt;500,"High","low")</f>
        <v>low</v>
      </c>
      <c r="R9693" s="37" t="str">
        <f t="shared" si="759"/>
        <v>AVERAGE</v>
      </c>
      <c r="S9693" t="s">
        <v>620</v>
      </c>
    </row>
    <row r="9694" spans="1:19" x14ac:dyDescent="0.2">
      <c r="A9694" t="s">
        <v>10305</v>
      </c>
      <c r="B9694" t="s">
        <v>75</v>
      </c>
      <c r="C9694" t="s">
        <v>602</v>
      </c>
      <c r="D9694">
        <v>4037.22</v>
      </c>
      <c r="E9694" s="37" t="str">
        <f t="shared" si="755"/>
        <v>Excellent Order</v>
      </c>
      <c r="F9694">
        <v>0.4</v>
      </c>
      <c r="G9694" s="37" t="str">
        <f t="shared" si="756"/>
        <v>Heavy Discount</v>
      </c>
      <c r="H9694" s="37" t="str">
        <f t="shared" si="757"/>
        <v>Medium</v>
      </c>
      <c r="I9694">
        <v>6</v>
      </c>
      <c r="J9694" t="str" cm="1">
        <f t="array" ref="J9694">_xlfn.IFS(I9694&lt;=3,"small",I9694&lt;=6,"Medium",I9694&lt;=9,"Large")</f>
        <v>Medium</v>
      </c>
      <c r="K9694" s="36">
        <v>45429</v>
      </c>
      <c r="L9694" s="36">
        <v>45431</v>
      </c>
      <c r="M9694" t="s">
        <v>612</v>
      </c>
      <c r="N9694" t="s">
        <v>604</v>
      </c>
      <c r="O9694" s="37" t="str">
        <f t="shared" si="758"/>
        <v>Digital Payment</v>
      </c>
      <c r="P9694">
        <v>866.81</v>
      </c>
      <c r="Q9694" s="37" t="str">
        <f>IF(P9694&gt;500,"High","low")</f>
        <v>High</v>
      </c>
      <c r="R9694" s="37" t="str">
        <f t="shared" si="759"/>
        <v>Good</v>
      </c>
      <c r="S9694" t="s">
        <v>628</v>
      </c>
    </row>
    <row r="9695" spans="1:19" x14ac:dyDescent="0.2">
      <c r="A9695" t="s">
        <v>10306</v>
      </c>
      <c r="B9695" t="s">
        <v>75</v>
      </c>
      <c r="C9695" t="s">
        <v>597</v>
      </c>
      <c r="D9695">
        <v>1288.18</v>
      </c>
      <c r="E9695" s="37" t="str">
        <f t="shared" si="755"/>
        <v xml:space="preserve"> </v>
      </c>
      <c r="F9695">
        <v>0.01</v>
      </c>
      <c r="G9695" s="37" t="str">
        <f t="shared" si="756"/>
        <v>Normal Discount</v>
      </c>
      <c r="H9695" s="37" t="str">
        <f t="shared" si="757"/>
        <v>Low</v>
      </c>
      <c r="I9695">
        <v>9</v>
      </c>
      <c r="J9695" t="str" cm="1">
        <f t="array" ref="J9695">_xlfn.IFS(I9695&lt;=3,"small",I9695&lt;=6,"Medium",I9695&lt;=9,"Large")</f>
        <v>Large</v>
      </c>
      <c r="K9695" s="36">
        <v>44946</v>
      </c>
      <c r="L9695" s="36">
        <v>44952</v>
      </c>
      <c r="M9695" t="s">
        <v>603</v>
      </c>
      <c r="N9695" t="s">
        <v>599</v>
      </c>
      <c r="O9695" s="37" t="str">
        <f t="shared" si="758"/>
        <v>Digital Payment</v>
      </c>
      <c r="P9695">
        <v>300.41000000000003</v>
      </c>
      <c r="Q9695" s="37" t="str">
        <f>IF(P9695&gt;500,"High","low")</f>
        <v>low</v>
      </c>
      <c r="R9695" s="37" t="str">
        <f t="shared" si="759"/>
        <v>AVERAGE</v>
      </c>
      <c r="S9695" t="s">
        <v>628</v>
      </c>
    </row>
    <row r="9696" spans="1:19" x14ac:dyDescent="0.2">
      <c r="A9696" t="s">
        <v>10307</v>
      </c>
      <c r="B9696" t="s">
        <v>75</v>
      </c>
      <c r="C9696" t="s">
        <v>614</v>
      </c>
      <c r="D9696">
        <v>3678.42</v>
      </c>
      <c r="E9696" s="37" t="str">
        <f t="shared" si="755"/>
        <v xml:space="preserve"> </v>
      </c>
      <c r="F9696">
        <v>0.37</v>
      </c>
      <c r="G9696" s="37" t="str">
        <f t="shared" si="756"/>
        <v>Heavy Discount</v>
      </c>
      <c r="H9696" s="37" t="str">
        <f t="shared" si="757"/>
        <v>Medium</v>
      </c>
      <c r="I9696">
        <v>9</v>
      </c>
      <c r="J9696" t="str" cm="1">
        <f t="array" ref="J9696">_xlfn.IFS(I9696&lt;=3,"small",I9696&lt;=6,"Medium",I9696&lt;=9,"Large")</f>
        <v>Large</v>
      </c>
      <c r="K9696" s="36">
        <v>45050</v>
      </c>
      <c r="L9696" s="36">
        <v>45056</v>
      </c>
      <c r="M9696" t="s">
        <v>598</v>
      </c>
      <c r="N9696" t="s">
        <v>599</v>
      </c>
      <c r="O9696" s="37" t="str">
        <f t="shared" si="758"/>
        <v>Digital Payment</v>
      </c>
      <c r="P9696">
        <v>203.61</v>
      </c>
      <c r="Q9696" s="37" t="str">
        <f>IF(P9696&gt;500,"High","low")</f>
        <v>low</v>
      </c>
      <c r="R9696" s="37" t="str">
        <f t="shared" si="759"/>
        <v>AVERAGE</v>
      </c>
      <c r="S9696" t="s">
        <v>609</v>
      </c>
    </row>
    <row r="9697" spans="1:19" x14ac:dyDescent="0.2">
      <c r="A9697" t="s">
        <v>10308</v>
      </c>
      <c r="B9697" t="s">
        <v>83</v>
      </c>
      <c r="C9697" t="s">
        <v>607</v>
      </c>
      <c r="D9697">
        <v>1004.71</v>
      </c>
      <c r="E9697" s="37" t="str">
        <f t="shared" si="755"/>
        <v xml:space="preserve"> </v>
      </c>
      <c r="F9697">
        <v>7.0000000000000007E-2</v>
      </c>
      <c r="G9697" s="37" t="str">
        <f t="shared" si="756"/>
        <v>Normal Discount</v>
      </c>
      <c r="H9697" s="37" t="str">
        <f t="shared" si="757"/>
        <v>Low</v>
      </c>
      <c r="I9697">
        <v>8</v>
      </c>
      <c r="J9697" t="str" cm="1">
        <f t="array" ref="J9697">_xlfn.IFS(I9697&lt;=3,"small",I9697&lt;=6,"Medium",I9697&lt;=9,"Large")</f>
        <v>Large</v>
      </c>
      <c r="K9697" s="36">
        <v>45550</v>
      </c>
      <c r="L9697" s="36">
        <v>45554</v>
      </c>
      <c r="M9697" t="s">
        <v>603</v>
      </c>
      <c r="N9697" t="s">
        <v>608</v>
      </c>
      <c r="O9697" s="37" t="str">
        <f t="shared" si="758"/>
        <v>Cash Payment</v>
      </c>
      <c r="P9697">
        <v>59.98</v>
      </c>
      <c r="Q9697" s="37" t="str">
        <f>IF(P9697&gt;500,"High","low")</f>
        <v>low</v>
      </c>
      <c r="R9697" s="37" t="str">
        <f t="shared" si="759"/>
        <v>AVERAGE</v>
      </c>
      <c r="S9697" t="s">
        <v>600</v>
      </c>
    </row>
    <row r="9698" spans="1:19" x14ac:dyDescent="0.2">
      <c r="A9698" t="s">
        <v>10309</v>
      </c>
      <c r="B9698" t="s">
        <v>90</v>
      </c>
      <c r="C9698" t="s">
        <v>617</v>
      </c>
      <c r="D9698">
        <v>3071.2</v>
      </c>
      <c r="E9698" s="37" t="str">
        <f t="shared" si="755"/>
        <v xml:space="preserve"> </v>
      </c>
      <c r="F9698">
        <v>0.42</v>
      </c>
      <c r="G9698" s="37" t="str">
        <f t="shared" si="756"/>
        <v>Heavy Discount</v>
      </c>
      <c r="H9698" s="37" t="str">
        <f t="shared" si="757"/>
        <v>High</v>
      </c>
      <c r="I9698">
        <v>2</v>
      </c>
      <c r="J9698" t="str" cm="1">
        <f t="array" ref="J9698">_xlfn.IFS(I9698&lt;=3,"small",I9698&lt;=6,"Medium",I9698&lt;=9,"Large")</f>
        <v>small</v>
      </c>
      <c r="K9698" s="36">
        <v>45641</v>
      </c>
      <c r="L9698" s="36">
        <v>45647</v>
      </c>
      <c r="M9698" t="s">
        <v>612</v>
      </c>
      <c r="N9698" t="s">
        <v>599</v>
      </c>
      <c r="O9698" s="37" t="str">
        <f t="shared" si="758"/>
        <v>Digital Payment</v>
      </c>
      <c r="P9698">
        <v>600.4</v>
      </c>
      <c r="Q9698" s="37" t="str">
        <f>IF(P9698&gt;500,"High","low")</f>
        <v>High</v>
      </c>
      <c r="R9698" s="37" t="str">
        <f t="shared" si="759"/>
        <v>Good</v>
      </c>
      <c r="S9698" t="s">
        <v>620</v>
      </c>
    </row>
    <row r="9699" spans="1:19" x14ac:dyDescent="0.2">
      <c r="A9699" t="s">
        <v>10310</v>
      </c>
      <c r="B9699" t="s">
        <v>83</v>
      </c>
      <c r="C9699" t="s">
        <v>607</v>
      </c>
      <c r="D9699">
        <v>3178.24</v>
      </c>
      <c r="E9699" s="37" t="str">
        <f t="shared" si="755"/>
        <v xml:space="preserve"> </v>
      </c>
      <c r="F9699">
        <v>0.35</v>
      </c>
      <c r="G9699" s="37" t="str">
        <f t="shared" si="756"/>
        <v>Heavy Discount</v>
      </c>
      <c r="H9699" s="37" t="str">
        <f t="shared" si="757"/>
        <v>Medium</v>
      </c>
      <c r="I9699">
        <v>1</v>
      </c>
      <c r="J9699" t="str" cm="1">
        <f t="array" ref="J9699">_xlfn.IFS(I9699&lt;=3,"small",I9699&lt;=6,"Medium",I9699&lt;=9,"Large")</f>
        <v>small</v>
      </c>
      <c r="K9699" s="36">
        <v>45048</v>
      </c>
      <c r="L9699" s="36">
        <v>45055</v>
      </c>
      <c r="M9699" t="s">
        <v>598</v>
      </c>
      <c r="N9699" t="s">
        <v>604</v>
      </c>
      <c r="O9699" s="37" t="str">
        <f t="shared" si="758"/>
        <v>Digital Payment</v>
      </c>
      <c r="P9699">
        <v>332.8</v>
      </c>
      <c r="Q9699" s="37" t="str">
        <f>IF(P9699&gt;500,"High","low")</f>
        <v>low</v>
      </c>
      <c r="R9699" s="37" t="str">
        <f t="shared" si="759"/>
        <v>AVERAGE</v>
      </c>
      <c r="S9699" t="s">
        <v>615</v>
      </c>
    </row>
    <row r="9700" spans="1:19" x14ac:dyDescent="0.2">
      <c r="A9700" t="s">
        <v>10311</v>
      </c>
      <c r="B9700" t="s">
        <v>75</v>
      </c>
      <c r="C9700" t="s">
        <v>602</v>
      </c>
      <c r="D9700">
        <v>3784.63</v>
      </c>
      <c r="E9700" s="37" t="str">
        <f t="shared" si="755"/>
        <v xml:space="preserve"> </v>
      </c>
      <c r="F9700">
        <v>0.23</v>
      </c>
      <c r="G9700" s="37" t="str">
        <f t="shared" si="756"/>
        <v>Normal Discount</v>
      </c>
      <c r="H9700" s="37" t="str">
        <f t="shared" si="757"/>
        <v>Medium</v>
      </c>
      <c r="I9700">
        <v>2</v>
      </c>
      <c r="J9700" t="str" cm="1">
        <f t="array" ref="J9700">_xlfn.IFS(I9700&lt;=3,"small",I9700&lt;=6,"Medium",I9700&lt;=9,"Large")</f>
        <v>small</v>
      </c>
      <c r="K9700" s="36">
        <v>45074</v>
      </c>
      <c r="L9700" s="36">
        <v>45078</v>
      </c>
      <c r="M9700" t="s">
        <v>598</v>
      </c>
      <c r="N9700" t="s">
        <v>604</v>
      </c>
      <c r="O9700" s="37" t="str">
        <f t="shared" si="758"/>
        <v>Digital Payment</v>
      </c>
      <c r="P9700">
        <v>601.73</v>
      </c>
      <c r="Q9700" s="37" t="str">
        <f>IF(P9700&gt;500,"High","low")</f>
        <v>High</v>
      </c>
      <c r="R9700" s="37" t="str">
        <f t="shared" si="759"/>
        <v>Good</v>
      </c>
      <c r="S9700" t="s">
        <v>628</v>
      </c>
    </row>
    <row r="9701" spans="1:19" x14ac:dyDescent="0.2">
      <c r="A9701" t="s">
        <v>10312</v>
      </c>
      <c r="B9701" t="s">
        <v>67</v>
      </c>
      <c r="C9701" t="s">
        <v>597</v>
      </c>
      <c r="D9701">
        <v>2247.88</v>
      </c>
      <c r="E9701" s="37" t="str">
        <f t="shared" si="755"/>
        <v xml:space="preserve"> </v>
      </c>
      <c r="F9701">
        <v>0.41</v>
      </c>
      <c r="G9701" s="37" t="str">
        <f t="shared" si="756"/>
        <v>Heavy Discount</v>
      </c>
      <c r="H9701" s="37" t="str">
        <f t="shared" si="757"/>
        <v>High</v>
      </c>
      <c r="I9701">
        <v>6</v>
      </c>
      <c r="J9701" t="str" cm="1">
        <f t="array" ref="J9701">_xlfn.IFS(I9701&lt;=3,"small",I9701&lt;=6,"Medium",I9701&lt;=9,"Large")</f>
        <v>Medium</v>
      </c>
      <c r="K9701" s="36">
        <v>45535</v>
      </c>
      <c r="L9701" s="36">
        <v>45536</v>
      </c>
      <c r="M9701" t="s">
        <v>598</v>
      </c>
      <c r="N9701" t="s">
        <v>608</v>
      </c>
      <c r="O9701" s="37" t="str">
        <f t="shared" si="758"/>
        <v>Cash Payment</v>
      </c>
      <c r="P9701">
        <v>123.46</v>
      </c>
      <c r="Q9701" s="37" t="str">
        <f>IF(P9701&gt;500,"High","low")</f>
        <v>low</v>
      </c>
      <c r="R9701" s="37" t="str">
        <f t="shared" si="759"/>
        <v>AVERAGE</v>
      </c>
      <c r="S9701" t="s">
        <v>605</v>
      </c>
    </row>
    <row r="9702" spans="1:19" x14ac:dyDescent="0.2">
      <c r="A9702" t="s">
        <v>10313</v>
      </c>
      <c r="B9702" t="s">
        <v>90</v>
      </c>
      <c r="C9702" t="s">
        <v>607</v>
      </c>
      <c r="D9702">
        <v>3200.11</v>
      </c>
      <c r="E9702" s="37" t="str">
        <f t="shared" si="755"/>
        <v xml:space="preserve"> </v>
      </c>
      <c r="F9702">
        <v>0.37</v>
      </c>
      <c r="G9702" s="37" t="str">
        <f t="shared" si="756"/>
        <v>Heavy Discount</v>
      </c>
      <c r="H9702" s="37" t="str">
        <f t="shared" si="757"/>
        <v>Medium</v>
      </c>
      <c r="I9702">
        <v>7</v>
      </c>
      <c r="J9702" t="str" cm="1">
        <f t="array" ref="J9702">_xlfn.IFS(I9702&lt;=3,"small",I9702&lt;=6,"Medium",I9702&lt;=9,"Large")</f>
        <v>Large</v>
      </c>
      <c r="K9702" s="36">
        <v>45576</v>
      </c>
      <c r="L9702" s="36">
        <v>45578</v>
      </c>
      <c r="M9702" t="s">
        <v>598</v>
      </c>
      <c r="N9702" t="s">
        <v>604</v>
      </c>
      <c r="O9702" s="37" t="str">
        <f t="shared" si="758"/>
        <v>Digital Payment</v>
      </c>
      <c r="P9702">
        <v>552.23</v>
      </c>
      <c r="Q9702" s="37" t="str">
        <f>IF(P9702&gt;500,"High","low")</f>
        <v>High</v>
      </c>
      <c r="R9702" s="37" t="str">
        <f t="shared" si="759"/>
        <v>Good</v>
      </c>
      <c r="S9702" t="s">
        <v>609</v>
      </c>
    </row>
    <row r="9703" spans="1:19" x14ac:dyDescent="0.2">
      <c r="A9703" t="s">
        <v>10314</v>
      </c>
      <c r="B9703" t="s">
        <v>83</v>
      </c>
      <c r="C9703" t="s">
        <v>607</v>
      </c>
      <c r="D9703">
        <v>2486.15</v>
      </c>
      <c r="E9703" s="37" t="str">
        <f t="shared" si="755"/>
        <v xml:space="preserve"> </v>
      </c>
      <c r="F9703">
        <v>0.38</v>
      </c>
      <c r="G9703" s="37" t="str">
        <f t="shared" si="756"/>
        <v>Heavy Discount</v>
      </c>
      <c r="H9703" s="37" t="str">
        <f t="shared" si="757"/>
        <v>Medium</v>
      </c>
      <c r="I9703">
        <v>6</v>
      </c>
      <c r="J9703" t="str" cm="1">
        <f t="array" ref="J9703">_xlfn.IFS(I9703&lt;=3,"small",I9703&lt;=6,"Medium",I9703&lt;=9,"Large")</f>
        <v>Medium</v>
      </c>
      <c r="K9703" s="36">
        <v>44988</v>
      </c>
      <c r="L9703" s="36">
        <v>44992</v>
      </c>
      <c r="M9703" t="s">
        <v>612</v>
      </c>
      <c r="N9703" t="s">
        <v>608</v>
      </c>
      <c r="O9703" s="37" t="str">
        <f t="shared" si="758"/>
        <v>Cash Payment</v>
      </c>
      <c r="P9703">
        <v>131.29</v>
      </c>
      <c r="Q9703" s="37" t="str">
        <f>IF(P9703&gt;500,"High","low")</f>
        <v>low</v>
      </c>
      <c r="R9703" s="37" t="str">
        <f t="shared" si="759"/>
        <v>AVERAGE</v>
      </c>
      <c r="S9703" t="s">
        <v>600</v>
      </c>
    </row>
    <row r="9704" spans="1:19" x14ac:dyDescent="0.2">
      <c r="A9704" t="s">
        <v>10315</v>
      </c>
      <c r="B9704" t="s">
        <v>90</v>
      </c>
      <c r="C9704" t="s">
        <v>614</v>
      </c>
      <c r="D9704">
        <v>4741.96</v>
      </c>
      <c r="E9704" s="37" t="str">
        <f t="shared" si="755"/>
        <v>Excellent Order</v>
      </c>
      <c r="F9704">
        <v>0.15</v>
      </c>
      <c r="G9704" s="37" t="str">
        <f t="shared" si="756"/>
        <v>Normal Discount</v>
      </c>
      <c r="H9704" s="37" t="str">
        <f t="shared" si="757"/>
        <v>Low</v>
      </c>
      <c r="I9704">
        <v>1</v>
      </c>
      <c r="J9704" t="str" cm="1">
        <f t="array" ref="J9704">_xlfn.IFS(I9704&lt;=3,"small",I9704&lt;=6,"Medium",I9704&lt;=9,"Large")</f>
        <v>small</v>
      </c>
      <c r="K9704" s="36">
        <v>44990</v>
      </c>
      <c r="L9704" s="36">
        <v>44995</v>
      </c>
      <c r="M9704" t="s">
        <v>598</v>
      </c>
      <c r="N9704" t="s">
        <v>608</v>
      </c>
      <c r="O9704" s="37" t="str">
        <f t="shared" si="758"/>
        <v>Cash Payment</v>
      </c>
      <c r="P9704">
        <v>1409.78</v>
      </c>
      <c r="Q9704" s="37" t="str">
        <f>IF(P9704&gt;500,"High","low")</f>
        <v>High</v>
      </c>
      <c r="R9704" s="37" t="str">
        <f t="shared" si="759"/>
        <v>Excellent</v>
      </c>
      <c r="S9704" t="s">
        <v>609</v>
      </c>
    </row>
    <row r="9705" spans="1:19" x14ac:dyDescent="0.2">
      <c r="A9705" t="s">
        <v>10316</v>
      </c>
      <c r="B9705" t="s">
        <v>67</v>
      </c>
      <c r="C9705" t="s">
        <v>607</v>
      </c>
      <c r="D9705">
        <v>2657.22</v>
      </c>
      <c r="E9705" s="37" t="str">
        <f t="shared" si="755"/>
        <v xml:space="preserve"> </v>
      </c>
      <c r="F9705">
        <v>0.31</v>
      </c>
      <c r="G9705" s="37" t="str">
        <f t="shared" si="756"/>
        <v>Heavy Discount</v>
      </c>
      <c r="H9705" s="37" t="str">
        <f t="shared" si="757"/>
        <v>Medium</v>
      </c>
      <c r="I9705">
        <v>1</v>
      </c>
      <c r="J9705" t="str" cm="1">
        <f t="array" ref="J9705">_xlfn.IFS(I9705&lt;=3,"small",I9705&lt;=6,"Medium",I9705&lt;=9,"Large")</f>
        <v>small</v>
      </c>
      <c r="K9705" s="36">
        <v>45143</v>
      </c>
      <c r="L9705" s="36">
        <v>45150</v>
      </c>
      <c r="M9705" t="s">
        <v>603</v>
      </c>
      <c r="N9705" t="s">
        <v>604</v>
      </c>
      <c r="O9705" s="37" t="str">
        <f t="shared" si="758"/>
        <v>Digital Payment</v>
      </c>
      <c r="P9705">
        <v>234.3</v>
      </c>
      <c r="Q9705" s="37" t="str">
        <f>IF(P9705&gt;500,"High","low")</f>
        <v>low</v>
      </c>
      <c r="R9705" s="37" t="str">
        <f t="shared" si="759"/>
        <v>AVERAGE</v>
      </c>
      <c r="S9705" t="s">
        <v>628</v>
      </c>
    </row>
    <row r="9706" spans="1:19" x14ac:dyDescent="0.2">
      <c r="A9706" t="s">
        <v>10317</v>
      </c>
      <c r="B9706" t="s">
        <v>83</v>
      </c>
      <c r="C9706" t="s">
        <v>617</v>
      </c>
      <c r="D9706">
        <v>1127.03</v>
      </c>
      <c r="E9706" s="37" t="str">
        <f t="shared" si="755"/>
        <v xml:space="preserve"> </v>
      </c>
      <c r="F9706">
        <v>7.0000000000000007E-2</v>
      </c>
      <c r="G9706" s="37" t="str">
        <f t="shared" si="756"/>
        <v>Normal Discount</v>
      </c>
      <c r="H9706" s="37" t="str">
        <f t="shared" si="757"/>
        <v>Low</v>
      </c>
      <c r="I9706">
        <v>1</v>
      </c>
      <c r="J9706" t="str" cm="1">
        <f t="array" ref="J9706">_xlfn.IFS(I9706&lt;=3,"small",I9706&lt;=6,"Medium",I9706&lt;=9,"Large")</f>
        <v>small</v>
      </c>
      <c r="K9706" s="36">
        <v>45640</v>
      </c>
      <c r="L9706" s="36">
        <v>45643</v>
      </c>
      <c r="M9706" t="s">
        <v>598</v>
      </c>
      <c r="N9706" t="s">
        <v>599</v>
      </c>
      <c r="O9706" s="37" t="str">
        <f t="shared" si="758"/>
        <v>Digital Payment</v>
      </c>
      <c r="P9706">
        <v>283.81</v>
      </c>
      <c r="Q9706" s="37" t="str">
        <f>IF(P9706&gt;500,"High","low")</f>
        <v>low</v>
      </c>
      <c r="R9706" s="37" t="str">
        <f t="shared" si="759"/>
        <v>AVERAGE</v>
      </c>
      <c r="S9706" t="s">
        <v>609</v>
      </c>
    </row>
    <row r="9707" spans="1:19" x14ac:dyDescent="0.2">
      <c r="A9707" t="s">
        <v>10318</v>
      </c>
      <c r="B9707" t="s">
        <v>75</v>
      </c>
      <c r="C9707" t="s">
        <v>597</v>
      </c>
      <c r="D9707">
        <v>3372.67</v>
      </c>
      <c r="E9707" s="37" t="str">
        <f t="shared" si="755"/>
        <v xml:space="preserve"> </v>
      </c>
      <c r="F9707">
        <v>0.41</v>
      </c>
      <c r="G9707" s="37" t="str">
        <f t="shared" si="756"/>
        <v>Heavy Discount</v>
      </c>
      <c r="H9707" s="37" t="str">
        <f t="shared" si="757"/>
        <v>High</v>
      </c>
      <c r="I9707">
        <v>1</v>
      </c>
      <c r="J9707" t="str" cm="1">
        <f t="array" ref="J9707">_xlfn.IFS(I9707&lt;=3,"small",I9707&lt;=6,"Medium",I9707&lt;=9,"Large")</f>
        <v>small</v>
      </c>
      <c r="K9707" s="36">
        <v>44950</v>
      </c>
      <c r="L9707" s="36">
        <v>44955</v>
      </c>
      <c r="M9707" t="s">
        <v>603</v>
      </c>
      <c r="N9707" t="s">
        <v>604</v>
      </c>
      <c r="O9707" s="37" t="str">
        <f t="shared" si="758"/>
        <v>Digital Payment</v>
      </c>
      <c r="P9707">
        <v>471.87</v>
      </c>
      <c r="Q9707" s="37" t="str">
        <f>IF(P9707&gt;500,"High","low")</f>
        <v>low</v>
      </c>
      <c r="R9707" s="37" t="str">
        <f t="shared" si="759"/>
        <v>AVERAGE</v>
      </c>
      <c r="S9707" t="s">
        <v>615</v>
      </c>
    </row>
    <row r="9708" spans="1:19" x14ac:dyDescent="0.2">
      <c r="A9708" t="s">
        <v>10319</v>
      </c>
      <c r="B9708" t="s">
        <v>83</v>
      </c>
      <c r="C9708" t="s">
        <v>602</v>
      </c>
      <c r="D9708">
        <v>2787.49</v>
      </c>
      <c r="E9708" s="37" t="str">
        <f t="shared" si="755"/>
        <v xml:space="preserve"> </v>
      </c>
      <c r="F9708">
        <v>0.26</v>
      </c>
      <c r="G9708" s="37" t="str">
        <f t="shared" si="756"/>
        <v>Normal Discount</v>
      </c>
      <c r="H9708" s="37" t="str">
        <f t="shared" si="757"/>
        <v>Medium</v>
      </c>
      <c r="I9708">
        <v>1</v>
      </c>
      <c r="J9708" t="str" cm="1">
        <f t="array" ref="J9708">_xlfn.IFS(I9708&lt;=3,"small",I9708&lt;=6,"Medium",I9708&lt;=9,"Large")</f>
        <v>small</v>
      </c>
      <c r="K9708" s="36">
        <v>45343</v>
      </c>
      <c r="L9708" s="36">
        <v>45350</v>
      </c>
      <c r="M9708" t="s">
        <v>598</v>
      </c>
      <c r="N9708" t="s">
        <v>604</v>
      </c>
      <c r="O9708" s="37" t="str">
        <f t="shared" si="758"/>
        <v>Digital Payment</v>
      </c>
      <c r="P9708">
        <v>317.10000000000002</v>
      </c>
      <c r="Q9708" s="37" t="str">
        <f>IF(P9708&gt;500,"High","low")</f>
        <v>low</v>
      </c>
      <c r="R9708" s="37" t="str">
        <f t="shared" si="759"/>
        <v>AVERAGE</v>
      </c>
      <c r="S9708" t="s">
        <v>609</v>
      </c>
    </row>
    <row r="9709" spans="1:19" x14ac:dyDescent="0.2">
      <c r="A9709" t="s">
        <v>10320</v>
      </c>
      <c r="B9709" t="s">
        <v>90</v>
      </c>
      <c r="C9709" t="s">
        <v>607</v>
      </c>
      <c r="D9709">
        <v>4038.76</v>
      </c>
      <c r="E9709" s="37" t="str">
        <f t="shared" si="755"/>
        <v xml:space="preserve"> </v>
      </c>
      <c r="F9709">
        <v>0.41</v>
      </c>
      <c r="G9709" s="37" t="str">
        <f t="shared" si="756"/>
        <v>Heavy Discount</v>
      </c>
      <c r="H9709" s="37" t="str">
        <f t="shared" si="757"/>
        <v>High</v>
      </c>
      <c r="I9709">
        <v>2</v>
      </c>
      <c r="J9709" t="str" cm="1">
        <f t="array" ref="J9709">_xlfn.IFS(I9709&lt;=3,"small",I9709&lt;=6,"Medium",I9709&lt;=9,"Large")</f>
        <v>small</v>
      </c>
      <c r="K9709" s="36">
        <v>45344</v>
      </c>
      <c r="L9709" s="36">
        <v>45350</v>
      </c>
      <c r="M9709" t="s">
        <v>612</v>
      </c>
      <c r="N9709" t="s">
        <v>604</v>
      </c>
      <c r="O9709" s="37" t="str">
        <f t="shared" si="758"/>
        <v>Digital Payment</v>
      </c>
      <c r="P9709">
        <v>337.6</v>
      </c>
      <c r="Q9709" s="37" t="str">
        <f>IF(P9709&gt;500,"High","low")</f>
        <v>low</v>
      </c>
      <c r="R9709" s="37" t="str">
        <f t="shared" si="759"/>
        <v>AVERAGE</v>
      </c>
      <c r="S9709" t="s">
        <v>628</v>
      </c>
    </row>
    <row r="9710" spans="1:19" x14ac:dyDescent="0.2">
      <c r="A9710" t="s">
        <v>10321</v>
      </c>
      <c r="B9710" t="s">
        <v>90</v>
      </c>
      <c r="C9710" t="s">
        <v>617</v>
      </c>
      <c r="D9710">
        <v>966.87</v>
      </c>
      <c r="E9710" s="37" t="str">
        <f t="shared" si="755"/>
        <v xml:space="preserve"> </v>
      </c>
      <c r="F9710">
        <v>0.11</v>
      </c>
      <c r="G9710" s="37" t="str">
        <f t="shared" si="756"/>
        <v>Normal Discount</v>
      </c>
      <c r="H9710" s="37" t="str">
        <f t="shared" si="757"/>
        <v>Low</v>
      </c>
      <c r="I9710">
        <v>2</v>
      </c>
      <c r="J9710" t="str" cm="1">
        <f t="array" ref="J9710">_xlfn.IFS(I9710&lt;=3,"small",I9710&lt;=6,"Medium",I9710&lt;=9,"Large")</f>
        <v>small</v>
      </c>
      <c r="K9710" s="36">
        <v>45645</v>
      </c>
      <c r="L9710" s="36">
        <v>45648</v>
      </c>
      <c r="M9710" t="s">
        <v>598</v>
      </c>
      <c r="N9710" t="s">
        <v>608</v>
      </c>
      <c r="O9710" s="37" t="str">
        <f t="shared" si="758"/>
        <v>Cash Payment</v>
      </c>
      <c r="P9710">
        <v>258.91000000000003</v>
      </c>
      <c r="Q9710" s="37" t="str">
        <f>IF(P9710&gt;500,"High","low")</f>
        <v>low</v>
      </c>
      <c r="R9710" s="37" t="str">
        <f t="shared" si="759"/>
        <v>AVERAGE</v>
      </c>
      <c r="S9710" t="s">
        <v>605</v>
      </c>
    </row>
    <row r="9711" spans="1:19" x14ac:dyDescent="0.2">
      <c r="A9711" t="s">
        <v>10322</v>
      </c>
      <c r="B9711" t="s">
        <v>90</v>
      </c>
      <c r="C9711" t="s">
        <v>602</v>
      </c>
      <c r="D9711">
        <v>1378.6</v>
      </c>
      <c r="E9711" s="37" t="str">
        <f t="shared" si="755"/>
        <v xml:space="preserve"> </v>
      </c>
      <c r="F9711">
        <v>7.0000000000000007E-2</v>
      </c>
      <c r="G9711" s="37" t="str">
        <f t="shared" si="756"/>
        <v>Normal Discount</v>
      </c>
      <c r="H9711" s="37" t="str">
        <f t="shared" si="757"/>
        <v>Low</v>
      </c>
      <c r="I9711">
        <v>4</v>
      </c>
      <c r="J9711" t="str" cm="1">
        <f t="array" ref="J9711">_xlfn.IFS(I9711&lt;=3,"small",I9711&lt;=6,"Medium",I9711&lt;=9,"Large")</f>
        <v>Medium</v>
      </c>
      <c r="K9711" s="36">
        <v>45576</v>
      </c>
      <c r="L9711" s="36">
        <v>45578</v>
      </c>
      <c r="M9711" t="s">
        <v>603</v>
      </c>
      <c r="N9711" t="s">
        <v>608</v>
      </c>
      <c r="O9711" s="37" t="str">
        <f t="shared" si="758"/>
        <v>Cash Payment</v>
      </c>
      <c r="P9711">
        <v>179.96</v>
      </c>
      <c r="Q9711" s="37" t="str">
        <f>IF(P9711&gt;500,"High","low")</f>
        <v>low</v>
      </c>
      <c r="R9711" s="37" t="str">
        <f t="shared" si="759"/>
        <v>AVERAGE</v>
      </c>
      <c r="S9711" t="s">
        <v>605</v>
      </c>
    </row>
    <row r="9712" spans="1:19" x14ac:dyDescent="0.2">
      <c r="A9712" t="s">
        <v>10323</v>
      </c>
      <c r="B9712" t="s">
        <v>90</v>
      </c>
      <c r="C9712" t="s">
        <v>617</v>
      </c>
      <c r="D9712">
        <v>4615.9799999999996</v>
      </c>
      <c r="E9712" s="37" t="str">
        <f t="shared" si="755"/>
        <v>Excellent Order</v>
      </c>
      <c r="F9712">
        <v>0.34</v>
      </c>
      <c r="G9712" s="37" t="str">
        <f t="shared" si="756"/>
        <v>Heavy Discount</v>
      </c>
      <c r="H9712" s="37" t="str">
        <f t="shared" si="757"/>
        <v>Medium</v>
      </c>
      <c r="I9712">
        <v>3</v>
      </c>
      <c r="J9712" t="str" cm="1">
        <f t="array" ref="J9712">_xlfn.IFS(I9712&lt;=3,"small",I9712&lt;=6,"Medium",I9712&lt;=9,"Large")</f>
        <v>small</v>
      </c>
      <c r="K9712" s="36">
        <v>45603</v>
      </c>
      <c r="L9712" s="36">
        <v>45607</v>
      </c>
      <c r="M9712" t="s">
        <v>612</v>
      </c>
      <c r="N9712" t="s">
        <v>604</v>
      </c>
      <c r="O9712" s="37" t="str">
        <f t="shared" si="758"/>
        <v>Digital Payment</v>
      </c>
      <c r="P9712">
        <v>1084.45</v>
      </c>
      <c r="Q9712" s="37" t="str">
        <f>IF(P9712&gt;500,"High","low")</f>
        <v>High</v>
      </c>
      <c r="R9712" s="37" t="str">
        <f t="shared" si="759"/>
        <v>Excellent</v>
      </c>
      <c r="S9712" t="s">
        <v>615</v>
      </c>
    </row>
    <row r="9713" spans="1:19" x14ac:dyDescent="0.2">
      <c r="A9713" t="s">
        <v>10324</v>
      </c>
      <c r="B9713" t="s">
        <v>75</v>
      </c>
      <c r="C9713" t="s">
        <v>607</v>
      </c>
      <c r="D9713">
        <v>4657.13</v>
      </c>
      <c r="E9713" s="37" t="str">
        <f t="shared" si="755"/>
        <v xml:space="preserve"> </v>
      </c>
      <c r="F9713">
        <v>0.03</v>
      </c>
      <c r="G9713" s="37" t="str">
        <f t="shared" si="756"/>
        <v>Normal Discount</v>
      </c>
      <c r="H9713" s="37" t="str">
        <f t="shared" si="757"/>
        <v>Low</v>
      </c>
      <c r="I9713">
        <v>4</v>
      </c>
      <c r="J9713" t="str" cm="1">
        <f t="array" ref="J9713">_xlfn.IFS(I9713&lt;=3,"small",I9713&lt;=6,"Medium",I9713&lt;=9,"Large")</f>
        <v>Medium</v>
      </c>
      <c r="K9713" s="36">
        <v>45300</v>
      </c>
      <c r="L9713" s="36">
        <v>45303</v>
      </c>
      <c r="M9713" t="s">
        <v>612</v>
      </c>
      <c r="N9713" t="s">
        <v>604</v>
      </c>
      <c r="O9713" s="37" t="str">
        <f t="shared" si="758"/>
        <v>Digital Payment</v>
      </c>
      <c r="P9713">
        <v>364.09</v>
      </c>
      <c r="Q9713" s="37" t="str">
        <f>IF(P9713&gt;500,"High","low")</f>
        <v>low</v>
      </c>
      <c r="R9713" s="37" t="str">
        <f t="shared" si="759"/>
        <v>AVERAGE</v>
      </c>
      <c r="S9713" t="s">
        <v>609</v>
      </c>
    </row>
    <row r="9714" spans="1:19" x14ac:dyDescent="0.2">
      <c r="A9714" t="s">
        <v>10325</v>
      </c>
      <c r="B9714" t="s">
        <v>83</v>
      </c>
      <c r="C9714" t="s">
        <v>607</v>
      </c>
      <c r="D9714">
        <v>2267.06</v>
      </c>
      <c r="E9714" s="37" t="str">
        <f t="shared" si="755"/>
        <v xml:space="preserve"> </v>
      </c>
      <c r="F9714">
        <v>0.12</v>
      </c>
      <c r="G9714" s="37" t="str">
        <f t="shared" si="756"/>
        <v>Normal Discount</v>
      </c>
      <c r="H9714" s="37" t="str">
        <f t="shared" si="757"/>
        <v>Low</v>
      </c>
      <c r="I9714">
        <v>5</v>
      </c>
      <c r="J9714" t="str" cm="1">
        <f t="array" ref="J9714">_xlfn.IFS(I9714&lt;=3,"small",I9714&lt;=6,"Medium",I9714&lt;=9,"Large")</f>
        <v>Medium</v>
      </c>
      <c r="K9714" s="36">
        <v>45213</v>
      </c>
      <c r="L9714" s="36">
        <v>45215</v>
      </c>
      <c r="M9714" t="s">
        <v>612</v>
      </c>
      <c r="N9714" t="s">
        <v>608</v>
      </c>
      <c r="O9714" s="37" t="str">
        <f t="shared" si="758"/>
        <v>Cash Payment</v>
      </c>
      <c r="P9714">
        <v>669.63</v>
      </c>
      <c r="Q9714" s="37" t="str">
        <f>IF(P9714&gt;500,"High","low")</f>
        <v>High</v>
      </c>
      <c r="R9714" s="37" t="str">
        <f t="shared" si="759"/>
        <v>Good</v>
      </c>
      <c r="S9714" t="s">
        <v>615</v>
      </c>
    </row>
    <row r="9715" spans="1:19" x14ac:dyDescent="0.2">
      <c r="A9715" t="s">
        <v>10326</v>
      </c>
      <c r="B9715" t="s">
        <v>75</v>
      </c>
      <c r="C9715" t="s">
        <v>597</v>
      </c>
      <c r="D9715">
        <v>333.98</v>
      </c>
      <c r="E9715" s="37" t="str">
        <f t="shared" si="755"/>
        <v xml:space="preserve"> </v>
      </c>
      <c r="F9715">
        <v>0.45</v>
      </c>
      <c r="G9715" s="37" t="str">
        <f t="shared" si="756"/>
        <v>Heavy Discount</v>
      </c>
      <c r="H9715" s="37" t="str">
        <f t="shared" si="757"/>
        <v>High</v>
      </c>
      <c r="I9715">
        <v>4</v>
      </c>
      <c r="J9715" t="str" cm="1">
        <f t="array" ref="J9715">_xlfn.IFS(I9715&lt;=3,"small",I9715&lt;=6,"Medium",I9715&lt;=9,"Large")</f>
        <v>Medium</v>
      </c>
      <c r="K9715" s="36">
        <v>45589</v>
      </c>
      <c r="L9715" s="36">
        <v>45594</v>
      </c>
      <c r="M9715" t="s">
        <v>612</v>
      </c>
      <c r="N9715" t="s">
        <v>604</v>
      </c>
      <c r="O9715" s="37" t="str">
        <f t="shared" si="758"/>
        <v>Digital Payment</v>
      </c>
      <c r="P9715">
        <v>64.98</v>
      </c>
      <c r="Q9715" s="37" t="str">
        <f>IF(P9715&gt;500,"High","low")</f>
        <v>low</v>
      </c>
      <c r="R9715" s="37" t="str">
        <f t="shared" si="759"/>
        <v>AVERAGE</v>
      </c>
      <c r="S9715" t="s">
        <v>620</v>
      </c>
    </row>
    <row r="9716" spans="1:19" x14ac:dyDescent="0.2">
      <c r="A9716" t="s">
        <v>10327</v>
      </c>
      <c r="B9716" t="s">
        <v>75</v>
      </c>
      <c r="C9716" t="s">
        <v>614</v>
      </c>
      <c r="D9716">
        <v>1602.12</v>
      </c>
      <c r="E9716" s="37" t="str">
        <f t="shared" si="755"/>
        <v xml:space="preserve"> </v>
      </c>
      <c r="F9716">
        <v>7.0000000000000007E-2</v>
      </c>
      <c r="G9716" s="37" t="str">
        <f t="shared" si="756"/>
        <v>Normal Discount</v>
      </c>
      <c r="H9716" s="37" t="str">
        <f t="shared" si="757"/>
        <v>Low</v>
      </c>
      <c r="I9716">
        <v>3</v>
      </c>
      <c r="J9716" t="str" cm="1">
        <f t="array" ref="J9716">_xlfn.IFS(I9716&lt;=3,"small",I9716&lt;=6,"Medium",I9716&lt;=9,"Large")</f>
        <v>small</v>
      </c>
      <c r="K9716" s="36">
        <v>45449</v>
      </c>
      <c r="L9716" s="36">
        <v>45456</v>
      </c>
      <c r="M9716" t="s">
        <v>612</v>
      </c>
      <c r="N9716" t="s">
        <v>604</v>
      </c>
      <c r="O9716" s="37" t="str">
        <f t="shared" si="758"/>
        <v>Digital Payment</v>
      </c>
      <c r="P9716">
        <v>398.02</v>
      </c>
      <c r="Q9716" s="37" t="str">
        <f>IF(P9716&gt;500,"High","low")</f>
        <v>low</v>
      </c>
      <c r="R9716" s="37" t="str">
        <f t="shared" si="759"/>
        <v>AVERAGE</v>
      </c>
      <c r="S9716" t="s">
        <v>615</v>
      </c>
    </row>
    <row r="9717" spans="1:19" x14ac:dyDescent="0.2">
      <c r="A9717" t="s">
        <v>10328</v>
      </c>
      <c r="B9717" t="s">
        <v>75</v>
      </c>
      <c r="C9717" t="s">
        <v>617</v>
      </c>
      <c r="D9717">
        <v>1310.9</v>
      </c>
      <c r="E9717" s="37" t="str">
        <f t="shared" si="755"/>
        <v xml:space="preserve"> </v>
      </c>
      <c r="F9717">
        <v>0.19</v>
      </c>
      <c r="G9717" s="37" t="str">
        <f t="shared" si="756"/>
        <v>Normal Discount</v>
      </c>
      <c r="H9717" s="37" t="str">
        <f t="shared" si="757"/>
        <v>Low</v>
      </c>
      <c r="I9717">
        <v>3</v>
      </c>
      <c r="J9717" t="str" cm="1">
        <f t="array" ref="J9717">_xlfn.IFS(I9717&lt;=3,"small",I9717&lt;=6,"Medium",I9717&lt;=9,"Large")</f>
        <v>small</v>
      </c>
      <c r="K9717" s="36">
        <v>45000</v>
      </c>
      <c r="L9717" s="36">
        <v>45003</v>
      </c>
      <c r="M9717" t="s">
        <v>603</v>
      </c>
      <c r="N9717" t="s">
        <v>608</v>
      </c>
      <c r="O9717" s="37" t="str">
        <f t="shared" si="758"/>
        <v>Cash Payment</v>
      </c>
      <c r="P9717">
        <v>67.78</v>
      </c>
      <c r="Q9717" s="37" t="str">
        <f>IF(P9717&gt;500,"High","low")</f>
        <v>low</v>
      </c>
      <c r="R9717" s="37" t="str">
        <f t="shared" si="759"/>
        <v>AVERAGE</v>
      </c>
      <c r="S9717" t="s">
        <v>615</v>
      </c>
    </row>
    <row r="9718" spans="1:19" x14ac:dyDescent="0.2">
      <c r="A9718" t="s">
        <v>10329</v>
      </c>
      <c r="B9718" t="s">
        <v>90</v>
      </c>
      <c r="C9718" t="s">
        <v>614</v>
      </c>
      <c r="D9718">
        <v>2131.92</v>
      </c>
      <c r="E9718" s="37" t="str">
        <f t="shared" si="755"/>
        <v xml:space="preserve"> </v>
      </c>
      <c r="F9718">
        <v>0.47</v>
      </c>
      <c r="G9718" s="37" t="str">
        <f t="shared" si="756"/>
        <v>Heavy Discount</v>
      </c>
      <c r="H9718" s="37" t="str">
        <f t="shared" si="757"/>
        <v>High</v>
      </c>
      <c r="I9718">
        <v>4</v>
      </c>
      <c r="J9718" t="str" cm="1">
        <f t="array" ref="J9718">_xlfn.IFS(I9718&lt;=3,"small",I9718&lt;=6,"Medium",I9718&lt;=9,"Large")</f>
        <v>Medium</v>
      </c>
      <c r="K9718" s="36">
        <v>45588</v>
      </c>
      <c r="L9718" s="36">
        <v>45594</v>
      </c>
      <c r="M9718" t="s">
        <v>598</v>
      </c>
      <c r="N9718" t="s">
        <v>604</v>
      </c>
      <c r="O9718" s="37" t="str">
        <f t="shared" si="758"/>
        <v>Digital Payment</v>
      </c>
      <c r="P9718">
        <v>465.75</v>
      </c>
      <c r="Q9718" s="37" t="str">
        <f>IF(P9718&gt;500,"High","low")</f>
        <v>low</v>
      </c>
      <c r="R9718" s="37" t="str">
        <f t="shared" si="759"/>
        <v>AVERAGE</v>
      </c>
      <c r="S9718" t="s">
        <v>615</v>
      </c>
    </row>
    <row r="9719" spans="1:19" x14ac:dyDescent="0.2">
      <c r="A9719" t="s">
        <v>10330</v>
      </c>
      <c r="B9719" t="s">
        <v>90</v>
      </c>
      <c r="C9719" t="s">
        <v>614</v>
      </c>
      <c r="D9719">
        <v>1657.22</v>
      </c>
      <c r="E9719" s="37" t="str">
        <f t="shared" si="755"/>
        <v xml:space="preserve"> </v>
      </c>
      <c r="F9719">
        <v>0.01</v>
      </c>
      <c r="G9719" s="37" t="str">
        <f t="shared" si="756"/>
        <v>Normal Discount</v>
      </c>
      <c r="H9719" s="37" t="str">
        <f t="shared" si="757"/>
        <v>Low</v>
      </c>
      <c r="I9719">
        <v>6</v>
      </c>
      <c r="J9719" t="str" cm="1">
        <f t="array" ref="J9719">_xlfn.IFS(I9719&lt;=3,"small",I9719&lt;=6,"Medium",I9719&lt;=9,"Large")</f>
        <v>Medium</v>
      </c>
      <c r="K9719" s="36">
        <v>45159</v>
      </c>
      <c r="L9719" s="36">
        <v>45163</v>
      </c>
      <c r="M9719" t="s">
        <v>603</v>
      </c>
      <c r="N9719" t="s">
        <v>608</v>
      </c>
      <c r="O9719" s="37" t="str">
        <f t="shared" si="758"/>
        <v>Cash Payment</v>
      </c>
      <c r="P9719">
        <v>456.13</v>
      </c>
      <c r="Q9719" s="37" t="str">
        <f>IF(P9719&gt;500,"High","low")</f>
        <v>low</v>
      </c>
      <c r="R9719" s="37" t="str">
        <f t="shared" si="759"/>
        <v>AVERAGE</v>
      </c>
      <c r="S9719" t="s">
        <v>609</v>
      </c>
    </row>
    <row r="9720" spans="1:19" x14ac:dyDescent="0.2">
      <c r="A9720" t="s">
        <v>10331</v>
      </c>
      <c r="B9720" t="s">
        <v>90</v>
      </c>
      <c r="C9720" t="s">
        <v>602</v>
      </c>
      <c r="D9720">
        <v>4162.0600000000004</v>
      </c>
      <c r="E9720" s="37" t="str">
        <f t="shared" si="755"/>
        <v xml:space="preserve"> </v>
      </c>
      <c r="F9720">
        <v>0.22</v>
      </c>
      <c r="G9720" s="37" t="str">
        <f t="shared" si="756"/>
        <v>Normal Discount</v>
      </c>
      <c r="H9720" s="37" t="str">
        <f t="shared" si="757"/>
        <v>Medium</v>
      </c>
      <c r="I9720">
        <v>7</v>
      </c>
      <c r="J9720" t="str" cm="1">
        <f t="array" ref="J9720">_xlfn.IFS(I9720&lt;=3,"small",I9720&lt;=6,"Medium",I9720&lt;=9,"Large")</f>
        <v>Large</v>
      </c>
      <c r="K9720" s="36">
        <v>45300</v>
      </c>
      <c r="L9720" s="36">
        <v>45306</v>
      </c>
      <c r="M9720" t="s">
        <v>603</v>
      </c>
      <c r="N9720" t="s">
        <v>599</v>
      </c>
      <c r="O9720" s="37" t="str">
        <f t="shared" si="758"/>
        <v>Digital Payment</v>
      </c>
      <c r="P9720">
        <v>752.55</v>
      </c>
      <c r="Q9720" s="37" t="str">
        <f>IF(P9720&gt;500,"High","low")</f>
        <v>High</v>
      </c>
      <c r="R9720" s="37" t="str">
        <f t="shared" si="759"/>
        <v>Good</v>
      </c>
      <c r="S9720" t="s">
        <v>609</v>
      </c>
    </row>
    <row r="9721" spans="1:19" x14ac:dyDescent="0.2">
      <c r="A9721" t="s">
        <v>10332</v>
      </c>
      <c r="B9721" t="s">
        <v>83</v>
      </c>
      <c r="C9721" t="s">
        <v>602</v>
      </c>
      <c r="D9721">
        <v>114.88</v>
      </c>
      <c r="E9721" s="37" t="str">
        <f t="shared" si="755"/>
        <v xml:space="preserve"> </v>
      </c>
      <c r="F9721">
        <v>0.39</v>
      </c>
      <c r="G9721" s="37" t="str">
        <f t="shared" si="756"/>
        <v>Heavy Discount</v>
      </c>
      <c r="H9721" s="37" t="str">
        <f t="shared" si="757"/>
        <v>Medium</v>
      </c>
      <c r="I9721">
        <v>4</v>
      </c>
      <c r="J9721" t="str" cm="1">
        <f t="array" ref="J9721">_xlfn.IFS(I9721&lt;=3,"small",I9721&lt;=6,"Medium",I9721&lt;=9,"Large")</f>
        <v>Medium</v>
      </c>
      <c r="K9721" s="36">
        <v>45219</v>
      </c>
      <c r="L9721" s="36">
        <v>45224</v>
      </c>
      <c r="M9721" t="s">
        <v>598</v>
      </c>
      <c r="N9721" t="s">
        <v>599</v>
      </c>
      <c r="O9721" s="37" t="str">
        <f t="shared" si="758"/>
        <v>Digital Payment</v>
      </c>
      <c r="P9721">
        <v>29.86</v>
      </c>
      <c r="Q9721" s="37" t="str">
        <f>IF(P9721&gt;500,"High","low")</f>
        <v>low</v>
      </c>
      <c r="R9721" s="37" t="str">
        <f t="shared" si="759"/>
        <v>AVERAGE</v>
      </c>
      <c r="S9721" t="s">
        <v>600</v>
      </c>
    </row>
    <row r="9722" spans="1:19" x14ac:dyDescent="0.2">
      <c r="A9722" t="s">
        <v>10333</v>
      </c>
      <c r="B9722" t="s">
        <v>67</v>
      </c>
      <c r="C9722" t="s">
        <v>617</v>
      </c>
      <c r="D9722">
        <v>3258.7</v>
      </c>
      <c r="E9722" s="37" t="str">
        <f t="shared" si="755"/>
        <v xml:space="preserve"> </v>
      </c>
      <c r="F9722">
        <v>0.45</v>
      </c>
      <c r="G9722" s="37" t="str">
        <f t="shared" si="756"/>
        <v>Heavy Discount</v>
      </c>
      <c r="H9722" s="37" t="str">
        <f t="shared" si="757"/>
        <v>High</v>
      </c>
      <c r="I9722">
        <v>8</v>
      </c>
      <c r="J9722" t="str" cm="1">
        <f t="array" ref="J9722">_xlfn.IFS(I9722&lt;=3,"small",I9722&lt;=6,"Medium",I9722&lt;=9,"Large")</f>
        <v>Large</v>
      </c>
      <c r="K9722" s="36">
        <v>45465</v>
      </c>
      <c r="L9722" s="36">
        <v>45467</v>
      </c>
      <c r="M9722" t="s">
        <v>598</v>
      </c>
      <c r="N9722" t="s">
        <v>608</v>
      </c>
      <c r="O9722" s="37" t="str">
        <f t="shared" si="758"/>
        <v>Cash Payment</v>
      </c>
      <c r="P9722">
        <v>585.33000000000004</v>
      </c>
      <c r="Q9722" s="37" t="str">
        <f>IF(P9722&gt;500,"High","low")</f>
        <v>High</v>
      </c>
      <c r="R9722" s="37" t="str">
        <f t="shared" si="759"/>
        <v>Good</v>
      </c>
      <c r="S9722" t="s">
        <v>615</v>
      </c>
    </row>
    <row r="9723" spans="1:19" x14ac:dyDescent="0.2">
      <c r="A9723" t="s">
        <v>10334</v>
      </c>
      <c r="B9723" t="s">
        <v>90</v>
      </c>
      <c r="C9723" t="s">
        <v>614</v>
      </c>
      <c r="D9723">
        <v>3354.92</v>
      </c>
      <c r="E9723" s="37" t="str">
        <f t="shared" si="755"/>
        <v xml:space="preserve"> </v>
      </c>
      <c r="F9723">
        <v>0.37</v>
      </c>
      <c r="G9723" s="37" t="str">
        <f t="shared" si="756"/>
        <v>Heavy Discount</v>
      </c>
      <c r="H9723" s="37" t="str">
        <f t="shared" si="757"/>
        <v>Medium</v>
      </c>
      <c r="I9723">
        <v>6</v>
      </c>
      <c r="J9723" t="str" cm="1">
        <f t="array" ref="J9723">_xlfn.IFS(I9723&lt;=3,"small",I9723&lt;=6,"Medium",I9723&lt;=9,"Large")</f>
        <v>Medium</v>
      </c>
      <c r="K9723" s="36">
        <v>44927</v>
      </c>
      <c r="L9723" s="36">
        <v>44932</v>
      </c>
      <c r="M9723" t="s">
        <v>598</v>
      </c>
      <c r="N9723" t="s">
        <v>604</v>
      </c>
      <c r="O9723" s="37" t="str">
        <f t="shared" si="758"/>
        <v>Digital Payment</v>
      </c>
      <c r="P9723">
        <v>984.32</v>
      </c>
      <c r="Q9723" s="37" t="str">
        <f>IF(P9723&gt;500,"High","low")</f>
        <v>High</v>
      </c>
      <c r="R9723" s="37" t="str">
        <f t="shared" si="759"/>
        <v>Good</v>
      </c>
      <c r="S9723" t="s">
        <v>615</v>
      </c>
    </row>
    <row r="9724" spans="1:19" x14ac:dyDescent="0.2">
      <c r="A9724" t="s">
        <v>10335</v>
      </c>
      <c r="B9724" t="s">
        <v>83</v>
      </c>
      <c r="C9724" t="s">
        <v>597</v>
      </c>
      <c r="D9724">
        <v>3337.07</v>
      </c>
      <c r="E9724" s="37" t="str">
        <f t="shared" si="755"/>
        <v xml:space="preserve"> </v>
      </c>
      <c r="F9724">
        <v>0.44</v>
      </c>
      <c r="G9724" s="37" t="str">
        <f t="shared" si="756"/>
        <v>Heavy Discount</v>
      </c>
      <c r="H9724" s="37" t="str">
        <f t="shared" si="757"/>
        <v>High</v>
      </c>
      <c r="I9724">
        <v>5</v>
      </c>
      <c r="J9724" t="str" cm="1">
        <f t="array" ref="J9724">_xlfn.IFS(I9724&lt;=3,"small",I9724&lt;=6,"Medium",I9724&lt;=9,"Large")</f>
        <v>Medium</v>
      </c>
      <c r="K9724" s="36">
        <v>45373</v>
      </c>
      <c r="L9724" s="36">
        <v>45376</v>
      </c>
      <c r="M9724" t="s">
        <v>612</v>
      </c>
      <c r="N9724" t="s">
        <v>599</v>
      </c>
      <c r="O9724" s="37" t="str">
        <f t="shared" si="758"/>
        <v>Digital Payment</v>
      </c>
      <c r="P9724">
        <v>280.52999999999997</v>
      </c>
      <c r="Q9724" s="37" t="str">
        <f>IF(P9724&gt;500,"High","low")</f>
        <v>low</v>
      </c>
      <c r="R9724" s="37" t="str">
        <f t="shared" si="759"/>
        <v>AVERAGE</v>
      </c>
      <c r="S9724" t="s">
        <v>620</v>
      </c>
    </row>
    <row r="9725" spans="1:19" x14ac:dyDescent="0.2">
      <c r="A9725" t="s">
        <v>10336</v>
      </c>
      <c r="B9725" t="s">
        <v>90</v>
      </c>
      <c r="C9725" t="s">
        <v>614</v>
      </c>
      <c r="D9725">
        <v>2650.91</v>
      </c>
      <c r="E9725" s="37" t="str">
        <f t="shared" si="755"/>
        <v xml:space="preserve"> </v>
      </c>
      <c r="F9725">
        <v>0.02</v>
      </c>
      <c r="G9725" s="37" t="str">
        <f t="shared" si="756"/>
        <v>Normal Discount</v>
      </c>
      <c r="H9725" s="37" t="str">
        <f t="shared" si="757"/>
        <v>Low</v>
      </c>
      <c r="I9725">
        <v>8</v>
      </c>
      <c r="J9725" t="str" cm="1">
        <f t="array" ref="J9725">_xlfn.IFS(I9725&lt;=3,"small",I9725&lt;=6,"Medium",I9725&lt;=9,"Large")</f>
        <v>Large</v>
      </c>
      <c r="K9725" s="36">
        <v>45571</v>
      </c>
      <c r="L9725" s="36">
        <v>45577</v>
      </c>
      <c r="M9725" t="s">
        <v>612</v>
      </c>
      <c r="N9725" t="s">
        <v>604</v>
      </c>
      <c r="O9725" s="37" t="str">
        <f t="shared" si="758"/>
        <v>Digital Payment</v>
      </c>
      <c r="P9725">
        <v>747.12</v>
      </c>
      <c r="Q9725" s="37" t="str">
        <f>IF(P9725&gt;500,"High","low")</f>
        <v>High</v>
      </c>
      <c r="R9725" s="37" t="str">
        <f t="shared" si="759"/>
        <v>Good</v>
      </c>
      <c r="S9725" t="s">
        <v>628</v>
      </c>
    </row>
    <row r="9726" spans="1:19" x14ac:dyDescent="0.2">
      <c r="A9726" t="s">
        <v>10337</v>
      </c>
      <c r="B9726" t="s">
        <v>90</v>
      </c>
      <c r="C9726" t="s">
        <v>602</v>
      </c>
      <c r="D9726">
        <v>3094.41</v>
      </c>
      <c r="E9726" s="37" t="str">
        <f t="shared" si="755"/>
        <v xml:space="preserve"> </v>
      </c>
      <c r="F9726">
        <v>0.05</v>
      </c>
      <c r="G9726" s="37" t="str">
        <f t="shared" si="756"/>
        <v>Normal Discount</v>
      </c>
      <c r="H9726" s="37" t="str">
        <f t="shared" si="757"/>
        <v>Low</v>
      </c>
      <c r="I9726">
        <v>6</v>
      </c>
      <c r="J9726" t="str" cm="1">
        <f t="array" ref="J9726">_xlfn.IFS(I9726&lt;=3,"small",I9726&lt;=6,"Medium",I9726&lt;=9,"Large")</f>
        <v>Medium</v>
      </c>
      <c r="K9726" s="36">
        <v>44937</v>
      </c>
      <c r="L9726" s="36">
        <v>44943</v>
      </c>
      <c r="M9726" t="s">
        <v>612</v>
      </c>
      <c r="N9726" t="s">
        <v>604</v>
      </c>
      <c r="O9726" s="37" t="str">
        <f t="shared" si="758"/>
        <v>Digital Payment</v>
      </c>
      <c r="P9726">
        <v>609.12</v>
      </c>
      <c r="Q9726" s="37" t="str">
        <f>IF(P9726&gt;500,"High","low")</f>
        <v>High</v>
      </c>
      <c r="R9726" s="37" t="str">
        <f t="shared" si="759"/>
        <v>Good</v>
      </c>
      <c r="S9726" t="s">
        <v>609</v>
      </c>
    </row>
    <row r="9727" spans="1:19" x14ac:dyDescent="0.2">
      <c r="A9727" t="s">
        <v>10338</v>
      </c>
      <c r="B9727" t="s">
        <v>75</v>
      </c>
      <c r="C9727" t="s">
        <v>614</v>
      </c>
      <c r="D9727">
        <v>4071.42</v>
      </c>
      <c r="E9727" s="37" t="str">
        <f t="shared" si="755"/>
        <v>Excellent Order</v>
      </c>
      <c r="F9727">
        <v>0.37</v>
      </c>
      <c r="G9727" s="37" t="str">
        <f t="shared" si="756"/>
        <v>Heavy Discount</v>
      </c>
      <c r="H9727" s="37" t="str">
        <f t="shared" si="757"/>
        <v>Medium</v>
      </c>
      <c r="I9727">
        <v>1</v>
      </c>
      <c r="J9727" t="str" cm="1">
        <f t="array" ref="J9727">_xlfn.IFS(I9727&lt;=3,"small",I9727&lt;=6,"Medium",I9727&lt;=9,"Large")</f>
        <v>small</v>
      </c>
      <c r="K9727" s="36">
        <v>45262</v>
      </c>
      <c r="L9727" s="36">
        <v>45269</v>
      </c>
      <c r="M9727" t="s">
        <v>612</v>
      </c>
      <c r="N9727" t="s">
        <v>604</v>
      </c>
      <c r="O9727" s="37" t="str">
        <f t="shared" si="758"/>
        <v>Digital Payment</v>
      </c>
      <c r="P9727">
        <v>1110.8</v>
      </c>
      <c r="Q9727" s="37" t="str">
        <f>IF(P9727&gt;500,"High","low")</f>
        <v>High</v>
      </c>
      <c r="R9727" s="37" t="str">
        <f t="shared" si="759"/>
        <v>Excellent</v>
      </c>
      <c r="S9727" t="s">
        <v>605</v>
      </c>
    </row>
    <row r="9728" spans="1:19" x14ac:dyDescent="0.2">
      <c r="A9728" t="s">
        <v>10339</v>
      </c>
      <c r="B9728" t="s">
        <v>75</v>
      </c>
      <c r="C9728" t="s">
        <v>607</v>
      </c>
      <c r="D9728">
        <v>3942.56</v>
      </c>
      <c r="E9728" s="37" t="str">
        <f t="shared" si="755"/>
        <v xml:space="preserve"> </v>
      </c>
      <c r="F9728">
        <v>0.38</v>
      </c>
      <c r="G9728" s="37" t="str">
        <f t="shared" si="756"/>
        <v>Heavy Discount</v>
      </c>
      <c r="H9728" s="37" t="str">
        <f t="shared" si="757"/>
        <v>Medium</v>
      </c>
      <c r="I9728">
        <v>1</v>
      </c>
      <c r="J9728" t="str" cm="1">
        <f t="array" ref="J9728">_xlfn.IFS(I9728&lt;=3,"small",I9728&lt;=6,"Medium",I9728&lt;=9,"Large")</f>
        <v>small</v>
      </c>
      <c r="K9728" s="36">
        <v>45350</v>
      </c>
      <c r="L9728" s="36">
        <v>45351</v>
      </c>
      <c r="M9728" t="s">
        <v>598</v>
      </c>
      <c r="N9728" t="s">
        <v>608</v>
      </c>
      <c r="O9728" s="37" t="str">
        <f t="shared" si="758"/>
        <v>Cash Payment</v>
      </c>
      <c r="P9728">
        <v>320.8</v>
      </c>
      <c r="Q9728" s="37" t="str">
        <f>IF(P9728&gt;500,"High","low")</f>
        <v>low</v>
      </c>
      <c r="R9728" s="37" t="str">
        <f t="shared" si="759"/>
        <v>AVERAGE</v>
      </c>
      <c r="S9728" t="s">
        <v>600</v>
      </c>
    </row>
    <row r="9729" spans="1:19" x14ac:dyDescent="0.2">
      <c r="A9729" t="s">
        <v>10340</v>
      </c>
      <c r="B9729" t="s">
        <v>75</v>
      </c>
      <c r="C9729" t="s">
        <v>607</v>
      </c>
      <c r="D9729">
        <v>269.66000000000003</v>
      </c>
      <c r="E9729" s="37" t="str">
        <f t="shared" si="755"/>
        <v xml:space="preserve"> </v>
      </c>
      <c r="F9729">
        <v>0.3</v>
      </c>
      <c r="G9729" s="37" t="str">
        <f t="shared" si="756"/>
        <v>Normal Discount</v>
      </c>
      <c r="H9729" s="37" t="str">
        <f t="shared" si="757"/>
        <v>Medium</v>
      </c>
      <c r="I9729">
        <v>6</v>
      </c>
      <c r="J9729" t="str" cm="1">
        <f t="array" ref="J9729">_xlfn.IFS(I9729&lt;=3,"small",I9729&lt;=6,"Medium",I9729&lt;=9,"Large")</f>
        <v>Medium</v>
      </c>
      <c r="K9729" s="36">
        <v>45404</v>
      </c>
      <c r="L9729" s="36">
        <v>45405</v>
      </c>
      <c r="M9729" t="s">
        <v>598</v>
      </c>
      <c r="N9729" t="s">
        <v>599</v>
      </c>
      <c r="O9729" s="37" t="str">
        <f t="shared" si="758"/>
        <v>Digital Payment</v>
      </c>
      <c r="P9729">
        <v>75.09</v>
      </c>
      <c r="Q9729" s="37" t="str">
        <f>IF(P9729&gt;500,"High","low")</f>
        <v>low</v>
      </c>
      <c r="R9729" s="37" t="str">
        <f t="shared" si="759"/>
        <v>AVERAGE</v>
      </c>
      <c r="S9729" t="s">
        <v>620</v>
      </c>
    </row>
    <row r="9730" spans="1:19" x14ac:dyDescent="0.2">
      <c r="A9730" t="s">
        <v>10341</v>
      </c>
      <c r="B9730" t="s">
        <v>83</v>
      </c>
      <c r="C9730" t="s">
        <v>597</v>
      </c>
      <c r="D9730">
        <v>249.14</v>
      </c>
      <c r="E9730" s="37" t="str">
        <f t="shared" si="755"/>
        <v xml:space="preserve"> </v>
      </c>
      <c r="F9730">
        <v>0.37</v>
      </c>
      <c r="G9730" s="37" t="str">
        <f t="shared" si="756"/>
        <v>Heavy Discount</v>
      </c>
      <c r="H9730" s="37" t="str">
        <f t="shared" si="757"/>
        <v>Medium</v>
      </c>
      <c r="I9730">
        <v>8</v>
      </c>
      <c r="J9730" t="str" cm="1">
        <f t="array" ref="J9730">_xlfn.IFS(I9730&lt;=3,"small",I9730&lt;=6,"Medium",I9730&lt;=9,"Large")</f>
        <v>Large</v>
      </c>
      <c r="K9730" s="36">
        <v>45466</v>
      </c>
      <c r="L9730" s="36">
        <v>45470</v>
      </c>
      <c r="M9730" t="s">
        <v>598</v>
      </c>
      <c r="N9730" t="s">
        <v>599</v>
      </c>
      <c r="O9730" s="37" t="str">
        <f t="shared" si="758"/>
        <v>Digital Payment</v>
      </c>
      <c r="P9730">
        <v>43.13</v>
      </c>
      <c r="Q9730" s="37" t="str">
        <f>IF(P9730&gt;500,"High","low")</f>
        <v>low</v>
      </c>
      <c r="R9730" s="37" t="str">
        <f t="shared" si="759"/>
        <v>AVERAGE</v>
      </c>
      <c r="S9730" t="s">
        <v>600</v>
      </c>
    </row>
    <row r="9731" spans="1:19" x14ac:dyDescent="0.2">
      <c r="A9731" t="s">
        <v>10342</v>
      </c>
      <c r="B9731" t="s">
        <v>67</v>
      </c>
      <c r="C9731" t="s">
        <v>617</v>
      </c>
      <c r="D9731">
        <v>4210.83</v>
      </c>
      <c r="E9731" s="37" t="str">
        <f t="shared" ref="E9731:E9794" si="760">IF(AND(D9731&gt;4000,P9731&gt;800),"Excellent Order"," ")</f>
        <v xml:space="preserve"> </v>
      </c>
      <c r="F9731">
        <v>0.43</v>
      </c>
      <c r="G9731" s="37" t="str">
        <f t="shared" ref="G9731:G9794" si="761">IF(F9731&gt;30%,"Heavy Discount","Normal Discount")</f>
        <v>Heavy Discount</v>
      </c>
      <c r="H9731" s="37" t="str">
        <f t="shared" ref="H9731:H9794" si="762">IF(F9731&gt;0.4,"High",IF(F9731&gt;=0.2,"Medium","Low"))</f>
        <v>High</v>
      </c>
      <c r="I9731">
        <v>9</v>
      </c>
      <c r="J9731" t="str" cm="1">
        <f t="array" ref="J9731">_xlfn.IFS(I9731&lt;=3,"small",I9731&lt;=6,"Medium",I9731&lt;=9,"Large")</f>
        <v>Large</v>
      </c>
      <c r="K9731" s="36">
        <v>45211</v>
      </c>
      <c r="L9731" s="36">
        <v>45213</v>
      </c>
      <c r="M9731" t="s">
        <v>612</v>
      </c>
      <c r="N9731" t="s">
        <v>604</v>
      </c>
      <c r="O9731" s="37" t="str">
        <f t="shared" ref="O9731:O9794" si="763">IF(OR(N9731="Card",N9731="UPI"),"Digital Payment","Cash Payment")</f>
        <v>Digital Payment</v>
      </c>
      <c r="P9731">
        <v>692.16</v>
      </c>
      <c r="Q9731" s="37" t="str">
        <f>IF(P9731&gt;500,"High","low")</f>
        <v>High</v>
      </c>
      <c r="R9731" s="37" t="str">
        <f t="shared" ref="R9731:R9794" si="764">IF(P9731&gt;1000,"Excellent",IF(P9731&gt;=500,"Good","AVERAGE"))</f>
        <v>Good</v>
      </c>
      <c r="S9731" t="s">
        <v>620</v>
      </c>
    </row>
    <row r="9732" spans="1:19" x14ac:dyDescent="0.2">
      <c r="A9732" t="s">
        <v>10343</v>
      </c>
      <c r="B9732" t="s">
        <v>67</v>
      </c>
      <c r="C9732" t="s">
        <v>614</v>
      </c>
      <c r="D9732">
        <v>2916.18</v>
      </c>
      <c r="E9732" s="37" t="str">
        <f t="shared" si="760"/>
        <v xml:space="preserve"> </v>
      </c>
      <c r="F9732">
        <v>0.27</v>
      </c>
      <c r="G9732" s="37" t="str">
        <f t="shared" si="761"/>
        <v>Normal Discount</v>
      </c>
      <c r="H9732" s="37" t="str">
        <f t="shared" si="762"/>
        <v>Medium</v>
      </c>
      <c r="I9732">
        <v>4</v>
      </c>
      <c r="J9732" t="str" cm="1">
        <f t="array" ref="J9732">_xlfn.IFS(I9732&lt;=3,"small",I9732&lt;=6,"Medium",I9732&lt;=9,"Large")</f>
        <v>Medium</v>
      </c>
      <c r="K9732" s="36">
        <v>45070</v>
      </c>
      <c r="L9732" s="36">
        <v>45074</v>
      </c>
      <c r="M9732" t="s">
        <v>598</v>
      </c>
      <c r="N9732" t="s">
        <v>604</v>
      </c>
      <c r="O9732" s="37" t="str">
        <f t="shared" si="763"/>
        <v>Digital Payment</v>
      </c>
      <c r="P9732">
        <v>561.13</v>
      </c>
      <c r="Q9732" s="37" t="str">
        <f>IF(P9732&gt;500,"High","low")</f>
        <v>High</v>
      </c>
      <c r="R9732" s="37" t="str">
        <f t="shared" si="764"/>
        <v>Good</v>
      </c>
      <c r="S9732" t="s">
        <v>609</v>
      </c>
    </row>
    <row r="9733" spans="1:19" x14ac:dyDescent="0.2">
      <c r="A9733" t="s">
        <v>10344</v>
      </c>
      <c r="B9733" t="s">
        <v>83</v>
      </c>
      <c r="C9733" t="s">
        <v>607</v>
      </c>
      <c r="D9733">
        <v>4791.3900000000003</v>
      </c>
      <c r="E9733" s="37" t="str">
        <f t="shared" si="760"/>
        <v>Excellent Order</v>
      </c>
      <c r="F9733">
        <v>0.47</v>
      </c>
      <c r="G9733" s="37" t="str">
        <f t="shared" si="761"/>
        <v>Heavy Discount</v>
      </c>
      <c r="H9733" s="37" t="str">
        <f t="shared" si="762"/>
        <v>High</v>
      </c>
      <c r="I9733">
        <v>7</v>
      </c>
      <c r="J9733" t="str" cm="1">
        <f t="array" ref="J9733">_xlfn.IFS(I9733&lt;=3,"small",I9733&lt;=6,"Medium",I9733&lt;=9,"Large")</f>
        <v>Large</v>
      </c>
      <c r="K9733" s="36">
        <v>45245</v>
      </c>
      <c r="L9733" s="36">
        <v>45248</v>
      </c>
      <c r="M9733" t="s">
        <v>603</v>
      </c>
      <c r="N9733" t="s">
        <v>608</v>
      </c>
      <c r="O9733" s="37" t="str">
        <f t="shared" si="763"/>
        <v>Cash Payment</v>
      </c>
      <c r="P9733">
        <v>1288.9100000000001</v>
      </c>
      <c r="Q9733" s="37" t="str">
        <f>IF(P9733&gt;500,"High","low")</f>
        <v>High</v>
      </c>
      <c r="R9733" s="37" t="str">
        <f t="shared" si="764"/>
        <v>Excellent</v>
      </c>
      <c r="S9733" t="s">
        <v>628</v>
      </c>
    </row>
    <row r="9734" spans="1:19" x14ac:dyDescent="0.2">
      <c r="A9734" t="s">
        <v>10345</v>
      </c>
      <c r="B9734" t="s">
        <v>90</v>
      </c>
      <c r="C9734" t="s">
        <v>617</v>
      </c>
      <c r="D9734">
        <v>2214.8000000000002</v>
      </c>
      <c r="E9734" s="37" t="str">
        <f t="shared" si="760"/>
        <v xml:space="preserve"> </v>
      </c>
      <c r="F9734">
        <v>0.35</v>
      </c>
      <c r="G9734" s="37" t="str">
        <f t="shared" si="761"/>
        <v>Heavy Discount</v>
      </c>
      <c r="H9734" s="37" t="str">
        <f t="shared" si="762"/>
        <v>Medium</v>
      </c>
      <c r="I9734">
        <v>9</v>
      </c>
      <c r="J9734" t="str" cm="1">
        <f t="array" ref="J9734">_xlfn.IFS(I9734&lt;=3,"small",I9734&lt;=6,"Medium",I9734&lt;=9,"Large")</f>
        <v>Large</v>
      </c>
      <c r="K9734" s="36">
        <v>45382</v>
      </c>
      <c r="L9734" s="36">
        <v>45384</v>
      </c>
      <c r="M9734" t="s">
        <v>598</v>
      </c>
      <c r="N9734" t="s">
        <v>599</v>
      </c>
      <c r="O9734" s="37" t="str">
        <f t="shared" si="763"/>
        <v>Digital Payment</v>
      </c>
      <c r="P9734">
        <v>572.76</v>
      </c>
      <c r="Q9734" s="37" t="str">
        <f>IF(P9734&gt;500,"High","low")</f>
        <v>High</v>
      </c>
      <c r="R9734" s="37" t="str">
        <f t="shared" si="764"/>
        <v>Good</v>
      </c>
      <c r="S9734" t="s">
        <v>615</v>
      </c>
    </row>
    <row r="9735" spans="1:19" x14ac:dyDescent="0.2">
      <c r="A9735" t="s">
        <v>10346</v>
      </c>
      <c r="B9735" t="s">
        <v>83</v>
      </c>
      <c r="C9735" t="s">
        <v>607</v>
      </c>
      <c r="D9735">
        <v>966.03</v>
      </c>
      <c r="E9735" s="37" t="str">
        <f t="shared" si="760"/>
        <v xml:space="preserve"> </v>
      </c>
      <c r="F9735">
        <v>0.24</v>
      </c>
      <c r="G9735" s="37" t="str">
        <f t="shared" si="761"/>
        <v>Normal Discount</v>
      </c>
      <c r="H9735" s="37" t="str">
        <f t="shared" si="762"/>
        <v>Medium</v>
      </c>
      <c r="I9735">
        <v>8</v>
      </c>
      <c r="J9735" t="str" cm="1">
        <f t="array" ref="J9735">_xlfn.IFS(I9735&lt;=3,"small",I9735&lt;=6,"Medium",I9735&lt;=9,"Large")</f>
        <v>Large</v>
      </c>
      <c r="K9735" s="36">
        <v>44930</v>
      </c>
      <c r="L9735" s="36">
        <v>44931</v>
      </c>
      <c r="M9735" t="s">
        <v>612</v>
      </c>
      <c r="N9735" t="s">
        <v>599</v>
      </c>
      <c r="O9735" s="37" t="str">
        <f t="shared" si="763"/>
        <v>Digital Payment</v>
      </c>
      <c r="P9735">
        <v>78.31</v>
      </c>
      <c r="Q9735" s="37" t="str">
        <f>IF(P9735&gt;500,"High","low")</f>
        <v>low</v>
      </c>
      <c r="R9735" s="37" t="str">
        <f t="shared" si="764"/>
        <v>AVERAGE</v>
      </c>
      <c r="S9735" t="s">
        <v>609</v>
      </c>
    </row>
    <row r="9736" spans="1:19" x14ac:dyDescent="0.2">
      <c r="A9736" t="s">
        <v>10347</v>
      </c>
      <c r="B9736" t="s">
        <v>90</v>
      </c>
      <c r="C9736" t="s">
        <v>617</v>
      </c>
      <c r="D9736">
        <v>2418.85</v>
      </c>
      <c r="E9736" s="37" t="str">
        <f t="shared" si="760"/>
        <v xml:space="preserve"> </v>
      </c>
      <c r="F9736">
        <v>0.21</v>
      </c>
      <c r="G9736" s="37" t="str">
        <f t="shared" si="761"/>
        <v>Normal Discount</v>
      </c>
      <c r="H9736" s="37" t="str">
        <f t="shared" si="762"/>
        <v>Medium</v>
      </c>
      <c r="I9736">
        <v>8</v>
      </c>
      <c r="J9736" t="str" cm="1">
        <f t="array" ref="J9736">_xlfn.IFS(I9736&lt;=3,"small",I9736&lt;=6,"Medium",I9736&lt;=9,"Large")</f>
        <v>Large</v>
      </c>
      <c r="K9736" s="36">
        <v>45489</v>
      </c>
      <c r="L9736" s="36">
        <v>45494</v>
      </c>
      <c r="M9736" t="s">
        <v>598</v>
      </c>
      <c r="N9736" t="s">
        <v>608</v>
      </c>
      <c r="O9736" s="37" t="str">
        <f t="shared" si="763"/>
        <v>Cash Payment</v>
      </c>
      <c r="P9736">
        <v>128.12</v>
      </c>
      <c r="Q9736" s="37" t="str">
        <f>IF(P9736&gt;500,"High","low")</f>
        <v>low</v>
      </c>
      <c r="R9736" s="37" t="str">
        <f t="shared" si="764"/>
        <v>AVERAGE</v>
      </c>
      <c r="S9736" t="s">
        <v>620</v>
      </c>
    </row>
    <row r="9737" spans="1:19" x14ac:dyDescent="0.2">
      <c r="A9737" t="s">
        <v>10348</v>
      </c>
      <c r="B9737" t="s">
        <v>83</v>
      </c>
      <c r="C9737" t="s">
        <v>617</v>
      </c>
      <c r="D9737">
        <v>2239.0700000000002</v>
      </c>
      <c r="E9737" s="37" t="str">
        <f t="shared" si="760"/>
        <v xml:space="preserve"> </v>
      </c>
      <c r="F9737">
        <v>0.38</v>
      </c>
      <c r="G9737" s="37" t="str">
        <f t="shared" si="761"/>
        <v>Heavy Discount</v>
      </c>
      <c r="H9737" s="37" t="str">
        <f t="shared" si="762"/>
        <v>Medium</v>
      </c>
      <c r="I9737">
        <v>1</v>
      </c>
      <c r="J9737" t="str" cm="1">
        <f t="array" ref="J9737">_xlfn.IFS(I9737&lt;=3,"small",I9737&lt;=6,"Medium",I9737&lt;=9,"Large")</f>
        <v>small</v>
      </c>
      <c r="K9737" s="36">
        <v>45026</v>
      </c>
      <c r="L9737" s="36">
        <v>45031</v>
      </c>
      <c r="M9737" t="s">
        <v>603</v>
      </c>
      <c r="N9737" t="s">
        <v>604</v>
      </c>
      <c r="O9737" s="37" t="str">
        <f t="shared" si="763"/>
        <v>Digital Payment</v>
      </c>
      <c r="P9737">
        <v>399.06</v>
      </c>
      <c r="Q9737" s="37" t="str">
        <f>IF(P9737&gt;500,"High","low")</f>
        <v>low</v>
      </c>
      <c r="R9737" s="37" t="str">
        <f t="shared" si="764"/>
        <v>AVERAGE</v>
      </c>
      <c r="S9737" t="s">
        <v>605</v>
      </c>
    </row>
    <row r="9738" spans="1:19" x14ac:dyDescent="0.2">
      <c r="A9738" t="s">
        <v>10349</v>
      </c>
      <c r="B9738" t="s">
        <v>83</v>
      </c>
      <c r="C9738" t="s">
        <v>607</v>
      </c>
      <c r="D9738">
        <v>2634.17</v>
      </c>
      <c r="E9738" s="37" t="str">
        <f t="shared" si="760"/>
        <v xml:space="preserve"> </v>
      </c>
      <c r="F9738">
        <v>0.32</v>
      </c>
      <c r="G9738" s="37" t="str">
        <f t="shared" si="761"/>
        <v>Heavy Discount</v>
      </c>
      <c r="H9738" s="37" t="str">
        <f t="shared" si="762"/>
        <v>Medium</v>
      </c>
      <c r="I9738">
        <v>6</v>
      </c>
      <c r="J9738" t="str" cm="1">
        <f t="array" ref="J9738">_xlfn.IFS(I9738&lt;=3,"small",I9738&lt;=6,"Medium",I9738&lt;=9,"Large")</f>
        <v>Medium</v>
      </c>
      <c r="K9738" s="36">
        <v>45308</v>
      </c>
      <c r="L9738" s="36">
        <v>45315</v>
      </c>
      <c r="M9738" t="s">
        <v>598</v>
      </c>
      <c r="N9738" t="s">
        <v>599</v>
      </c>
      <c r="O9738" s="37" t="str">
        <f t="shared" si="763"/>
        <v>Digital Payment</v>
      </c>
      <c r="P9738">
        <v>783.82</v>
      </c>
      <c r="Q9738" s="37" t="str">
        <f>IF(P9738&gt;500,"High","low")</f>
        <v>High</v>
      </c>
      <c r="R9738" s="37" t="str">
        <f t="shared" si="764"/>
        <v>Good</v>
      </c>
      <c r="S9738" t="s">
        <v>609</v>
      </c>
    </row>
    <row r="9739" spans="1:19" x14ac:dyDescent="0.2">
      <c r="A9739" t="s">
        <v>10350</v>
      </c>
      <c r="B9739" t="s">
        <v>83</v>
      </c>
      <c r="C9739" t="s">
        <v>602</v>
      </c>
      <c r="D9739">
        <v>4058.94</v>
      </c>
      <c r="E9739" s="37" t="str">
        <f t="shared" si="760"/>
        <v xml:space="preserve"> </v>
      </c>
      <c r="F9739">
        <v>0.41</v>
      </c>
      <c r="G9739" s="37" t="str">
        <f t="shared" si="761"/>
        <v>Heavy Discount</v>
      </c>
      <c r="H9739" s="37" t="str">
        <f t="shared" si="762"/>
        <v>High</v>
      </c>
      <c r="I9739">
        <v>9</v>
      </c>
      <c r="J9739" t="str" cm="1">
        <f t="array" ref="J9739">_xlfn.IFS(I9739&lt;=3,"small",I9739&lt;=6,"Medium",I9739&lt;=9,"Large")</f>
        <v>Large</v>
      </c>
      <c r="K9739" s="36">
        <v>45627</v>
      </c>
      <c r="L9739" s="36">
        <v>45630</v>
      </c>
      <c r="M9739" t="s">
        <v>612</v>
      </c>
      <c r="N9739" t="s">
        <v>604</v>
      </c>
      <c r="O9739" s="37" t="str">
        <f t="shared" si="763"/>
        <v>Digital Payment</v>
      </c>
      <c r="P9739">
        <v>717.86</v>
      </c>
      <c r="Q9739" s="37" t="str">
        <f>IF(P9739&gt;500,"High","low")</f>
        <v>High</v>
      </c>
      <c r="R9739" s="37" t="str">
        <f t="shared" si="764"/>
        <v>Good</v>
      </c>
      <c r="S9739" t="s">
        <v>605</v>
      </c>
    </row>
    <row r="9740" spans="1:19" x14ac:dyDescent="0.2">
      <c r="A9740" t="s">
        <v>10351</v>
      </c>
      <c r="B9740" t="s">
        <v>67</v>
      </c>
      <c r="C9740" t="s">
        <v>617</v>
      </c>
      <c r="D9740">
        <v>3312.36</v>
      </c>
      <c r="E9740" s="37" t="str">
        <f t="shared" si="760"/>
        <v xml:space="preserve"> </v>
      </c>
      <c r="F9740">
        <v>0.39</v>
      </c>
      <c r="G9740" s="37" t="str">
        <f t="shared" si="761"/>
        <v>Heavy Discount</v>
      </c>
      <c r="H9740" s="37" t="str">
        <f t="shared" si="762"/>
        <v>Medium</v>
      </c>
      <c r="I9740">
        <v>8</v>
      </c>
      <c r="J9740" t="str" cm="1">
        <f t="array" ref="J9740">_xlfn.IFS(I9740&lt;=3,"small",I9740&lt;=6,"Medium",I9740&lt;=9,"Large")</f>
        <v>Large</v>
      </c>
      <c r="K9740" s="36">
        <v>45008</v>
      </c>
      <c r="L9740" s="36">
        <v>45011</v>
      </c>
      <c r="M9740" t="s">
        <v>612</v>
      </c>
      <c r="N9740" t="s">
        <v>604</v>
      </c>
      <c r="O9740" s="37" t="str">
        <f t="shared" si="763"/>
        <v>Digital Payment</v>
      </c>
      <c r="P9740">
        <v>285.58</v>
      </c>
      <c r="Q9740" s="37" t="str">
        <f>IF(P9740&gt;500,"High","low")</f>
        <v>low</v>
      </c>
      <c r="R9740" s="37" t="str">
        <f t="shared" si="764"/>
        <v>AVERAGE</v>
      </c>
      <c r="S9740" t="s">
        <v>600</v>
      </c>
    </row>
    <row r="9741" spans="1:19" x14ac:dyDescent="0.2">
      <c r="A9741" t="s">
        <v>10352</v>
      </c>
      <c r="B9741" t="s">
        <v>75</v>
      </c>
      <c r="C9741" t="s">
        <v>614</v>
      </c>
      <c r="D9741">
        <v>1007.85</v>
      </c>
      <c r="E9741" s="37" t="str">
        <f t="shared" si="760"/>
        <v xml:space="preserve"> </v>
      </c>
      <c r="F9741">
        <v>0.26</v>
      </c>
      <c r="G9741" s="37" t="str">
        <f t="shared" si="761"/>
        <v>Normal Discount</v>
      </c>
      <c r="H9741" s="37" t="str">
        <f t="shared" si="762"/>
        <v>Medium</v>
      </c>
      <c r="I9741">
        <v>2</v>
      </c>
      <c r="J9741" t="str" cm="1">
        <f t="array" ref="J9741">_xlfn.IFS(I9741&lt;=3,"small",I9741&lt;=6,"Medium",I9741&lt;=9,"Large")</f>
        <v>small</v>
      </c>
      <c r="K9741" s="36">
        <v>45649</v>
      </c>
      <c r="L9741" s="36">
        <v>45656</v>
      </c>
      <c r="M9741" t="s">
        <v>603</v>
      </c>
      <c r="N9741" t="s">
        <v>599</v>
      </c>
      <c r="O9741" s="37" t="str">
        <f t="shared" si="763"/>
        <v>Digital Payment</v>
      </c>
      <c r="P9741">
        <v>159.87</v>
      </c>
      <c r="Q9741" s="37" t="str">
        <f>IF(P9741&gt;500,"High","low")</f>
        <v>low</v>
      </c>
      <c r="R9741" s="37" t="str">
        <f t="shared" si="764"/>
        <v>AVERAGE</v>
      </c>
      <c r="S9741" t="s">
        <v>609</v>
      </c>
    </row>
    <row r="9742" spans="1:19" x14ac:dyDescent="0.2">
      <c r="A9742" t="s">
        <v>10353</v>
      </c>
      <c r="B9742" t="s">
        <v>83</v>
      </c>
      <c r="C9742" t="s">
        <v>607</v>
      </c>
      <c r="D9742">
        <v>3698.94</v>
      </c>
      <c r="E9742" s="37" t="str">
        <f t="shared" si="760"/>
        <v xml:space="preserve"> </v>
      </c>
      <c r="F9742">
        <v>0.47</v>
      </c>
      <c r="G9742" s="37" t="str">
        <f t="shared" si="761"/>
        <v>Heavy Discount</v>
      </c>
      <c r="H9742" s="37" t="str">
        <f t="shared" si="762"/>
        <v>High</v>
      </c>
      <c r="I9742">
        <v>5</v>
      </c>
      <c r="J9742" t="str" cm="1">
        <f t="array" ref="J9742">_xlfn.IFS(I9742&lt;=3,"small",I9742&lt;=6,"Medium",I9742&lt;=9,"Large")</f>
        <v>Medium</v>
      </c>
      <c r="K9742" s="36">
        <v>45282</v>
      </c>
      <c r="L9742" s="36">
        <v>45284</v>
      </c>
      <c r="M9742" t="s">
        <v>603</v>
      </c>
      <c r="N9742" t="s">
        <v>599</v>
      </c>
      <c r="O9742" s="37" t="str">
        <f t="shared" si="763"/>
        <v>Digital Payment</v>
      </c>
      <c r="P9742">
        <v>525.79</v>
      </c>
      <c r="Q9742" s="37" t="str">
        <f>IF(P9742&gt;500,"High","low")</f>
        <v>High</v>
      </c>
      <c r="R9742" s="37" t="str">
        <f t="shared" si="764"/>
        <v>Good</v>
      </c>
      <c r="S9742" t="s">
        <v>628</v>
      </c>
    </row>
    <row r="9743" spans="1:19" x14ac:dyDescent="0.2">
      <c r="A9743" t="s">
        <v>10354</v>
      </c>
      <c r="B9743" t="s">
        <v>67</v>
      </c>
      <c r="C9743" t="s">
        <v>602</v>
      </c>
      <c r="D9743">
        <v>3000.29</v>
      </c>
      <c r="E9743" s="37" t="str">
        <f t="shared" si="760"/>
        <v xml:space="preserve"> </v>
      </c>
      <c r="F9743">
        <v>0.35</v>
      </c>
      <c r="G9743" s="37" t="str">
        <f t="shared" si="761"/>
        <v>Heavy Discount</v>
      </c>
      <c r="H9743" s="37" t="str">
        <f t="shared" si="762"/>
        <v>Medium</v>
      </c>
      <c r="I9743">
        <v>4</v>
      </c>
      <c r="J9743" t="str" cm="1">
        <f t="array" ref="J9743">_xlfn.IFS(I9743&lt;=3,"small",I9743&lt;=6,"Medium",I9743&lt;=9,"Large")</f>
        <v>Medium</v>
      </c>
      <c r="K9743" s="36">
        <v>45208</v>
      </c>
      <c r="L9743" s="36">
        <v>45209</v>
      </c>
      <c r="M9743" t="s">
        <v>612</v>
      </c>
      <c r="N9743" t="s">
        <v>599</v>
      </c>
      <c r="O9743" s="37" t="str">
        <f t="shared" si="763"/>
        <v>Digital Payment</v>
      </c>
      <c r="P9743">
        <v>866.36</v>
      </c>
      <c r="Q9743" s="37" t="str">
        <f>IF(P9743&gt;500,"High","low")</f>
        <v>High</v>
      </c>
      <c r="R9743" s="37" t="str">
        <f t="shared" si="764"/>
        <v>Good</v>
      </c>
      <c r="S9743" t="s">
        <v>620</v>
      </c>
    </row>
    <row r="9744" spans="1:19" x14ac:dyDescent="0.2">
      <c r="A9744" t="s">
        <v>10355</v>
      </c>
      <c r="B9744" t="s">
        <v>75</v>
      </c>
      <c r="C9744" t="s">
        <v>607</v>
      </c>
      <c r="D9744">
        <v>2933.72</v>
      </c>
      <c r="E9744" s="37" t="str">
        <f t="shared" si="760"/>
        <v xml:space="preserve"> </v>
      </c>
      <c r="F9744">
        <v>0.1</v>
      </c>
      <c r="G9744" s="37" t="str">
        <f t="shared" si="761"/>
        <v>Normal Discount</v>
      </c>
      <c r="H9744" s="37" t="str">
        <f t="shared" si="762"/>
        <v>Low</v>
      </c>
      <c r="I9744">
        <v>8</v>
      </c>
      <c r="J9744" t="str" cm="1">
        <f t="array" ref="J9744">_xlfn.IFS(I9744&lt;=3,"small",I9744&lt;=6,"Medium",I9744&lt;=9,"Large")</f>
        <v>Large</v>
      </c>
      <c r="K9744" s="36">
        <v>45568</v>
      </c>
      <c r="L9744" s="36">
        <v>45573</v>
      </c>
      <c r="M9744" t="s">
        <v>603</v>
      </c>
      <c r="N9744" t="s">
        <v>599</v>
      </c>
      <c r="O9744" s="37" t="str">
        <f t="shared" si="763"/>
        <v>Digital Payment</v>
      </c>
      <c r="P9744">
        <v>843.44</v>
      </c>
      <c r="Q9744" s="37" t="str">
        <f>IF(P9744&gt;500,"High","low")</f>
        <v>High</v>
      </c>
      <c r="R9744" s="37" t="str">
        <f t="shared" si="764"/>
        <v>Good</v>
      </c>
      <c r="S9744" t="s">
        <v>605</v>
      </c>
    </row>
    <row r="9745" spans="1:19" x14ac:dyDescent="0.2">
      <c r="A9745" t="s">
        <v>10356</v>
      </c>
      <c r="B9745" t="s">
        <v>75</v>
      </c>
      <c r="C9745" t="s">
        <v>597</v>
      </c>
      <c r="D9745">
        <v>3423.46</v>
      </c>
      <c r="E9745" s="37" t="str">
        <f t="shared" si="760"/>
        <v xml:space="preserve"> </v>
      </c>
      <c r="F9745">
        <v>0.31</v>
      </c>
      <c r="G9745" s="37" t="str">
        <f t="shared" si="761"/>
        <v>Heavy Discount</v>
      </c>
      <c r="H9745" s="37" t="str">
        <f t="shared" si="762"/>
        <v>Medium</v>
      </c>
      <c r="I9745">
        <v>9</v>
      </c>
      <c r="J9745" t="str" cm="1">
        <f t="array" ref="J9745">_xlfn.IFS(I9745&lt;=3,"small",I9745&lt;=6,"Medium",I9745&lt;=9,"Large")</f>
        <v>Large</v>
      </c>
      <c r="K9745" s="36">
        <v>45377</v>
      </c>
      <c r="L9745" s="36">
        <v>45379</v>
      </c>
      <c r="M9745" t="s">
        <v>603</v>
      </c>
      <c r="N9745" t="s">
        <v>599</v>
      </c>
      <c r="O9745" s="37" t="str">
        <f t="shared" si="763"/>
        <v>Digital Payment</v>
      </c>
      <c r="P9745">
        <v>232.79</v>
      </c>
      <c r="Q9745" s="37" t="str">
        <f>IF(P9745&gt;500,"High","low")</f>
        <v>low</v>
      </c>
      <c r="R9745" s="37" t="str">
        <f t="shared" si="764"/>
        <v>AVERAGE</v>
      </c>
      <c r="S9745" t="s">
        <v>609</v>
      </c>
    </row>
    <row r="9746" spans="1:19" x14ac:dyDescent="0.2">
      <c r="A9746" t="s">
        <v>10357</v>
      </c>
      <c r="B9746" t="s">
        <v>83</v>
      </c>
      <c r="C9746" t="s">
        <v>614</v>
      </c>
      <c r="D9746">
        <v>2863.43</v>
      </c>
      <c r="E9746" s="37" t="str">
        <f t="shared" si="760"/>
        <v xml:space="preserve"> </v>
      </c>
      <c r="F9746">
        <v>0.1</v>
      </c>
      <c r="G9746" s="37" t="str">
        <f t="shared" si="761"/>
        <v>Normal Discount</v>
      </c>
      <c r="H9746" s="37" t="str">
        <f t="shared" si="762"/>
        <v>Low</v>
      </c>
      <c r="I9746">
        <v>3</v>
      </c>
      <c r="J9746" t="str" cm="1">
        <f t="array" ref="J9746">_xlfn.IFS(I9746&lt;=3,"small",I9746&lt;=6,"Medium",I9746&lt;=9,"Large")</f>
        <v>small</v>
      </c>
      <c r="K9746" s="36">
        <v>45146</v>
      </c>
      <c r="L9746" s="36">
        <v>45152</v>
      </c>
      <c r="M9746" t="s">
        <v>598</v>
      </c>
      <c r="N9746" t="s">
        <v>604</v>
      </c>
      <c r="O9746" s="37" t="str">
        <f t="shared" si="763"/>
        <v>Digital Payment</v>
      </c>
      <c r="P9746">
        <v>310.35000000000002</v>
      </c>
      <c r="Q9746" s="37" t="str">
        <f>IF(P9746&gt;500,"High","low")</f>
        <v>low</v>
      </c>
      <c r="R9746" s="37" t="str">
        <f t="shared" si="764"/>
        <v>AVERAGE</v>
      </c>
      <c r="S9746" t="s">
        <v>620</v>
      </c>
    </row>
    <row r="9747" spans="1:19" x14ac:dyDescent="0.2">
      <c r="A9747" t="s">
        <v>10358</v>
      </c>
      <c r="B9747" t="s">
        <v>90</v>
      </c>
      <c r="C9747" t="s">
        <v>597</v>
      </c>
      <c r="D9747">
        <v>2341.8200000000002</v>
      </c>
      <c r="E9747" s="37" t="str">
        <f t="shared" si="760"/>
        <v xml:space="preserve"> </v>
      </c>
      <c r="F9747">
        <v>0.28000000000000003</v>
      </c>
      <c r="G9747" s="37" t="str">
        <f t="shared" si="761"/>
        <v>Normal Discount</v>
      </c>
      <c r="H9747" s="37" t="str">
        <f t="shared" si="762"/>
        <v>Medium</v>
      </c>
      <c r="I9747">
        <v>9</v>
      </c>
      <c r="J9747" t="str" cm="1">
        <f t="array" ref="J9747">_xlfn.IFS(I9747&lt;=3,"small",I9747&lt;=6,"Medium",I9747&lt;=9,"Large")</f>
        <v>Large</v>
      </c>
      <c r="K9747" s="36">
        <v>44971</v>
      </c>
      <c r="L9747" s="36">
        <v>44977</v>
      </c>
      <c r="M9747" t="s">
        <v>603</v>
      </c>
      <c r="N9747" t="s">
        <v>599</v>
      </c>
      <c r="O9747" s="37" t="str">
        <f t="shared" si="763"/>
        <v>Digital Payment</v>
      </c>
      <c r="P9747">
        <v>385.24</v>
      </c>
      <c r="Q9747" s="37" t="str">
        <f>IF(P9747&gt;500,"High","low")</f>
        <v>low</v>
      </c>
      <c r="R9747" s="37" t="str">
        <f t="shared" si="764"/>
        <v>AVERAGE</v>
      </c>
      <c r="S9747" t="s">
        <v>615</v>
      </c>
    </row>
    <row r="9748" spans="1:19" x14ac:dyDescent="0.2">
      <c r="A9748" t="s">
        <v>10359</v>
      </c>
      <c r="B9748" t="s">
        <v>90</v>
      </c>
      <c r="C9748" t="s">
        <v>617</v>
      </c>
      <c r="D9748">
        <v>3237.86</v>
      </c>
      <c r="E9748" s="37" t="str">
        <f t="shared" si="760"/>
        <v xml:space="preserve"> </v>
      </c>
      <c r="F9748">
        <v>0.39</v>
      </c>
      <c r="G9748" s="37" t="str">
        <f t="shared" si="761"/>
        <v>Heavy Discount</v>
      </c>
      <c r="H9748" s="37" t="str">
        <f t="shared" si="762"/>
        <v>Medium</v>
      </c>
      <c r="I9748">
        <v>1</v>
      </c>
      <c r="J9748" t="str" cm="1">
        <f t="array" ref="J9748">_xlfn.IFS(I9748&lt;=3,"small",I9748&lt;=6,"Medium",I9748&lt;=9,"Large")</f>
        <v>small</v>
      </c>
      <c r="K9748" s="36">
        <v>45242</v>
      </c>
      <c r="L9748" s="36">
        <v>45248</v>
      </c>
      <c r="M9748" t="s">
        <v>612</v>
      </c>
      <c r="N9748" t="s">
        <v>608</v>
      </c>
      <c r="O9748" s="37" t="str">
        <f t="shared" si="763"/>
        <v>Cash Payment</v>
      </c>
      <c r="P9748">
        <v>622.57000000000005</v>
      </c>
      <c r="Q9748" s="37" t="str">
        <f>IF(P9748&gt;500,"High","low")</f>
        <v>High</v>
      </c>
      <c r="R9748" s="37" t="str">
        <f t="shared" si="764"/>
        <v>Good</v>
      </c>
      <c r="S9748" t="s">
        <v>628</v>
      </c>
    </row>
    <row r="9749" spans="1:19" x14ac:dyDescent="0.2">
      <c r="A9749" t="s">
        <v>10360</v>
      </c>
      <c r="B9749" t="s">
        <v>90</v>
      </c>
      <c r="C9749" t="s">
        <v>617</v>
      </c>
      <c r="D9749">
        <v>3646.26</v>
      </c>
      <c r="E9749" s="37" t="str">
        <f t="shared" si="760"/>
        <v xml:space="preserve"> </v>
      </c>
      <c r="F9749">
        <v>0.41</v>
      </c>
      <c r="G9749" s="37" t="str">
        <f t="shared" si="761"/>
        <v>Heavy Discount</v>
      </c>
      <c r="H9749" s="37" t="str">
        <f t="shared" si="762"/>
        <v>High</v>
      </c>
      <c r="I9749">
        <v>7</v>
      </c>
      <c r="J9749" t="str" cm="1">
        <f t="array" ref="J9749">_xlfn.IFS(I9749&lt;=3,"small",I9749&lt;=6,"Medium",I9749&lt;=9,"Large")</f>
        <v>Large</v>
      </c>
      <c r="K9749" s="36">
        <v>45457</v>
      </c>
      <c r="L9749" s="36">
        <v>45459</v>
      </c>
      <c r="M9749" t="s">
        <v>603</v>
      </c>
      <c r="N9749" t="s">
        <v>608</v>
      </c>
      <c r="O9749" s="37" t="str">
        <f t="shared" si="763"/>
        <v>Cash Payment</v>
      </c>
      <c r="P9749">
        <v>354.66</v>
      </c>
      <c r="Q9749" s="37" t="str">
        <f>IF(P9749&gt;500,"High","low")</f>
        <v>low</v>
      </c>
      <c r="R9749" s="37" t="str">
        <f t="shared" si="764"/>
        <v>AVERAGE</v>
      </c>
      <c r="S9749" t="s">
        <v>620</v>
      </c>
    </row>
    <row r="9750" spans="1:19" x14ac:dyDescent="0.2">
      <c r="A9750" t="s">
        <v>10361</v>
      </c>
      <c r="B9750" t="s">
        <v>83</v>
      </c>
      <c r="C9750" t="s">
        <v>597</v>
      </c>
      <c r="D9750">
        <v>1206.26</v>
      </c>
      <c r="E9750" s="37" t="str">
        <f t="shared" si="760"/>
        <v xml:space="preserve"> </v>
      </c>
      <c r="F9750">
        <v>0.33</v>
      </c>
      <c r="G9750" s="37" t="str">
        <f t="shared" si="761"/>
        <v>Heavy Discount</v>
      </c>
      <c r="H9750" s="37" t="str">
        <f t="shared" si="762"/>
        <v>Medium</v>
      </c>
      <c r="I9750">
        <v>8</v>
      </c>
      <c r="J9750" t="str" cm="1">
        <f t="array" ref="J9750">_xlfn.IFS(I9750&lt;=3,"small",I9750&lt;=6,"Medium",I9750&lt;=9,"Large")</f>
        <v>Large</v>
      </c>
      <c r="K9750" s="36">
        <v>45649</v>
      </c>
      <c r="L9750" s="36">
        <v>45656</v>
      </c>
      <c r="M9750" t="s">
        <v>603</v>
      </c>
      <c r="N9750" t="s">
        <v>608</v>
      </c>
      <c r="O9750" s="37" t="str">
        <f t="shared" si="763"/>
        <v>Cash Payment</v>
      </c>
      <c r="P9750">
        <v>236.79</v>
      </c>
      <c r="Q9750" s="37" t="str">
        <f>IF(P9750&gt;500,"High","low")</f>
        <v>low</v>
      </c>
      <c r="R9750" s="37" t="str">
        <f t="shared" si="764"/>
        <v>AVERAGE</v>
      </c>
      <c r="S9750" t="s">
        <v>615</v>
      </c>
    </row>
    <row r="9751" spans="1:19" x14ac:dyDescent="0.2">
      <c r="A9751" t="s">
        <v>10362</v>
      </c>
      <c r="B9751" t="s">
        <v>90</v>
      </c>
      <c r="C9751" t="s">
        <v>597</v>
      </c>
      <c r="D9751">
        <v>2535.54</v>
      </c>
      <c r="E9751" s="37" t="str">
        <f t="shared" si="760"/>
        <v xml:space="preserve"> </v>
      </c>
      <c r="F9751">
        <v>0.39</v>
      </c>
      <c r="G9751" s="37" t="str">
        <f t="shared" si="761"/>
        <v>Heavy Discount</v>
      </c>
      <c r="H9751" s="37" t="str">
        <f t="shared" si="762"/>
        <v>Medium</v>
      </c>
      <c r="I9751">
        <v>6</v>
      </c>
      <c r="J9751" t="str" cm="1">
        <f t="array" ref="J9751">_xlfn.IFS(I9751&lt;=3,"small",I9751&lt;=6,"Medium",I9751&lt;=9,"Large")</f>
        <v>Medium</v>
      </c>
      <c r="K9751" s="36">
        <v>45031</v>
      </c>
      <c r="L9751" s="36">
        <v>45033</v>
      </c>
      <c r="M9751" t="s">
        <v>603</v>
      </c>
      <c r="N9751" t="s">
        <v>599</v>
      </c>
      <c r="O9751" s="37" t="str">
        <f t="shared" si="763"/>
        <v>Digital Payment</v>
      </c>
      <c r="P9751">
        <v>255.86</v>
      </c>
      <c r="Q9751" s="37" t="str">
        <f>IF(P9751&gt;500,"High","low")</f>
        <v>low</v>
      </c>
      <c r="R9751" s="37" t="str">
        <f t="shared" si="764"/>
        <v>AVERAGE</v>
      </c>
      <c r="S9751" t="s">
        <v>605</v>
      </c>
    </row>
    <row r="9752" spans="1:19" x14ac:dyDescent="0.2">
      <c r="A9752" t="s">
        <v>10363</v>
      </c>
      <c r="B9752" t="s">
        <v>67</v>
      </c>
      <c r="C9752" t="s">
        <v>617</v>
      </c>
      <c r="D9752">
        <v>2345.0500000000002</v>
      </c>
      <c r="E9752" s="37" t="str">
        <f t="shared" si="760"/>
        <v xml:space="preserve"> </v>
      </c>
      <c r="F9752">
        <v>0.24</v>
      </c>
      <c r="G9752" s="37" t="str">
        <f t="shared" si="761"/>
        <v>Normal Discount</v>
      </c>
      <c r="H9752" s="37" t="str">
        <f t="shared" si="762"/>
        <v>Medium</v>
      </c>
      <c r="I9752">
        <v>4</v>
      </c>
      <c r="J9752" t="str" cm="1">
        <f t="array" ref="J9752">_xlfn.IFS(I9752&lt;=3,"small",I9752&lt;=6,"Medium",I9752&lt;=9,"Large")</f>
        <v>Medium</v>
      </c>
      <c r="K9752" s="36">
        <v>45581</v>
      </c>
      <c r="L9752" s="36">
        <v>45588</v>
      </c>
      <c r="M9752" t="s">
        <v>603</v>
      </c>
      <c r="N9752" t="s">
        <v>608</v>
      </c>
      <c r="O9752" s="37" t="str">
        <f t="shared" si="763"/>
        <v>Cash Payment</v>
      </c>
      <c r="P9752">
        <v>364.09</v>
      </c>
      <c r="Q9752" s="37" t="str">
        <f>IF(P9752&gt;500,"High","low")</f>
        <v>low</v>
      </c>
      <c r="R9752" s="37" t="str">
        <f t="shared" si="764"/>
        <v>AVERAGE</v>
      </c>
      <c r="S9752" t="s">
        <v>628</v>
      </c>
    </row>
    <row r="9753" spans="1:19" x14ac:dyDescent="0.2">
      <c r="A9753" t="s">
        <v>10364</v>
      </c>
      <c r="B9753" t="s">
        <v>67</v>
      </c>
      <c r="C9753" t="s">
        <v>602</v>
      </c>
      <c r="D9753">
        <v>295.52999999999997</v>
      </c>
      <c r="E9753" s="37" t="str">
        <f t="shared" si="760"/>
        <v xml:space="preserve"> </v>
      </c>
      <c r="F9753">
        <v>0.28000000000000003</v>
      </c>
      <c r="G9753" s="37" t="str">
        <f t="shared" si="761"/>
        <v>Normal Discount</v>
      </c>
      <c r="H9753" s="37" t="str">
        <f t="shared" si="762"/>
        <v>Medium</v>
      </c>
      <c r="I9753">
        <v>4</v>
      </c>
      <c r="J9753" t="str" cm="1">
        <f t="array" ref="J9753">_xlfn.IFS(I9753&lt;=3,"small",I9753&lt;=6,"Medium",I9753&lt;=9,"Large")</f>
        <v>Medium</v>
      </c>
      <c r="K9753" s="36">
        <v>45049</v>
      </c>
      <c r="L9753" s="36">
        <v>45053</v>
      </c>
      <c r="M9753" t="s">
        <v>603</v>
      </c>
      <c r="N9753" t="s">
        <v>604</v>
      </c>
      <c r="O9753" s="37" t="str">
        <f t="shared" si="763"/>
        <v>Digital Payment</v>
      </c>
      <c r="P9753">
        <v>53.45</v>
      </c>
      <c r="Q9753" s="37" t="str">
        <f>IF(P9753&gt;500,"High","low")</f>
        <v>low</v>
      </c>
      <c r="R9753" s="37" t="str">
        <f t="shared" si="764"/>
        <v>AVERAGE</v>
      </c>
      <c r="S9753" t="s">
        <v>600</v>
      </c>
    </row>
    <row r="9754" spans="1:19" x14ac:dyDescent="0.2">
      <c r="A9754" t="s">
        <v>10365</v>
      </c>
      <c r="B9754" t="s">
        <v>67</v>
      </c>
      <c r="C9754" t="s">
        <v>614</v>
      </c>
      <c r="D9754">
        <v>4188.75</v>
      </c>
      <c r="E9754" s="37" t="str">
        <f t="shared" si="760"/>
        <v>Excellent Order</v>
      </c>
      <c r="F9754">
        <v>0.44</v>
      </c>
      <c r="G9754" s="37" t="str">
        <f t="shared" si="761"/>
        <v>Heavy Discount</v>
      </c>
      <c r="H9754" s="37" t="str">
        <f t="shared" si="762"/>
        <v>High</v>
      </c>
      <c r="I9754">
        <v>7</v>
      </c>
      <c r="J9754" t="str" cm="1">
        <f t="array" ref="J9754">_xlfn.IFS(I9754&lt;=3,"small",I9754&lt;=6,"Medium",I9754&lt;=9,"Large")</f>
        <v>Large</v>
      </c>
      <c r="K9754" s="36">
        <v>45415</v>
      </c>
      <c r="L9754" s="36">
        <v>45417</v>
      </c>
      <c r="M9754" t="s">
        <v>603</v>
      </c>
      <c r="N9754" t="s">
        <v>599</v>
      </c>
      <c r="O9754" s="37" t="str">
        <f t="shared" si="763"/>
        <v>Digital Payment</v>
      </c>
      <c r="P9754">
        <v>1230.7</v>
      </c>
      <c r="Q9754" s="37" t="str">
        <f>IF(P9754&gt;500,"High","low")</f>
        <v>High</v>
      </c>
      <c r="R9754" s="37" t="str">
        <f t="shared" si="764"/>
        <v>Excellent</v>
      </c>
      <c r="S9754" t="s">
        <v>620</v>
      </c>
    </row>
    <row r="9755" spans="1:19" x14ac:dyDescent="0.2">
      <c r="A9755" t="s">
        <v>10366</v>
      </c>
      <c r="B9755" t="s">
        <v>67</v>
      </c>
      <c r="C9755" t="s">
        <v>607</v>
      </c>
      <c r="D9755">
        <v>1949.17</v>
      </c>
      <c r="E9755" s="37" t="str">
        <f t="shared" si="760"/>
        <v xml:space="preserve"> </v>
      </c>
      <c r="F9755">
        <v>0.25</v>
      </c>
      <c r="G9755" s="37" t="str">
        <f t="shared" si="761"/>
        <v>Normal Discount</v>
      </c>
      <c r="H9755" s="37" t="str">
        <f t="shared" si="762"/>
        <v>Medium</v>
      </c>
      <c r="I9755">
        <v>6</v>
      </c>
      <c r="J9755" t="str" cm="1">
        <f t="array" ref="J9755">_xlfn.IFS(I9755&lt;=3,"small",I9755&lt;=6,"Medium",I9755&lt;=9,"Large")</f>
        <v>Medium</v>
      </c>
      <c r="K9755" s="36">
        <v>45124</v>
      </c>
      <c r="L9755" s="36">
        <v>45130</v>
      </c>
      <c r="M9755" t="s">
        <v>612</v>
      </c>
      <c r="N9755" t="s">
        <v>604</v>
      </c>
      <c r="O9755" s="37" t="str">
        <f t="shared" si="763"/>
        <v>Digital Payment</v>
      </c>
      <c r="P9755">
        <v>130.96</v>
      </c>
      <c r="Q9755" s="37" t="str">
        <f>IF(P9755&gt;500,"High","low")</f>
        <v>low</v>
      </c>
      <c r="R9755" s="37" t="str">
        <f t="shared" si="764"/>
        <v>AVERAGE</v>
      </c>
      <c r="S9755" t="s">
        <v>620</v>
      </c>
    </row>
    <row r="9756" spans="1:19" x14ac:dyDescent="0.2">
      <c r="A9756" t="s">
        <v>10367</v>
      </c>
      <c r="B9756" t="s">
        <v>75</v>
      </c>
      <c r="C9756" t="s">
        <v>597</v>
      </c>
      <c r="D9756">
        <v>456.18</v>
      </c>
      <c r="E9756" s="37" t="str">
        <f t="shared" si="760"/>
        <v xml:space="preserve"> </v>
      </c>
      <c r="F9756">
        <v>0.18</v>
      </c>
      <c r="G9756" s="37" t="str">
        <f t="shared" si="761"/>
        <v>Normal Discount</v>
      </c>
      <c r="H9756" s="37" t="str">
        <f t="shared" si="762"/>
        <v>Low</v>
      </c>
      <c r="I9756">
        <v>4</v>
      </c>
      <c r="J9756" t="str" cm="1">
        <f t="array" ref="J9756">_xlfn.IFS(I9756&lt;=3,"small",I9756&lt;=6,"Medium",I9756&lt;=9,"Large")</f>
        <v>Medium</v>
      </c>
      <c r="K9756" s="36">
        <v>45174</v>
      </c>
      <c r="L9756" s="36">
        <v>45181</v>
      </c>
      <c r="M9756" t="s">
        <v>598</v>
      </c>
      <c r="N9756" t="s">
        <v>608</v>
      </c>
      <c r="O9756" s="37" t="str">
        <f t="shared" si="763"/>
        <v>Cash Payment</v>
      </c>
      <c r="P9756">
        <v>128.43</v>
      </c>
      <c r="Q9756" s="37" t="str">
        <f>IF(P9756&gt;500,"High","low")</f>
        <v>low</v>
      </c>
      <c r="R9756" s="37" t="str">
        <f t="shared" si="764"/>
        <v>AVERAGE</v>
      </c>
      <c r="S9756" t="s">
        <v>628</v>
      </c>
    </row>
    <row r="9757" spans="1:19" x14ac:dyDescent="0.2">
      <c r="A9757" t="s">
        <v>10368</v>
      </c>
      <c r="B9757" t="s">
        <v>67</v>
      </c>
      <c r="C9757" t="s">
        <v>614</v>
      </c>
      <c r="D9757">
        <v>2343.71</v>
      </c>
      <c r="E9757" s="37" t="str">
        <f t="shared" si="760"/>
        <v xml:space="preserve"> </v>
      </c>
      <c r="F9757">
        <v>0.4</v>
      </c>
      <c r="G9757" s="37" t="str">
        <f t="shared" si="761"/>
        <v>Heavy Discount</v>
      </c>
      <c r="H9757" s="37" t="str">
        <f t="shared" si="762"/>
        <v>Medium</v>
      </c>
      <c r="I9757">
        <v>5</v>
      </c>
      <c r="J9757" t="str" cm="1">
        <f t="array" ref="J9757">_xlfn.IFS(I9757&lt;=3,"small",I9757&lt;=6,"Medium",I9757&lt;=9,"Large")</f>
        <v>Medium</v>
      </c>
      <c r="K9757" s="36">
        <v>45195</v>
      </c>
      <c r="L9757" s="36">
        <v>45197</v>
      </c>
      <c r="M9757" t="s">
        <v>612</v>
      </c>
      <c r="N9757" t="s">
        <v>608</v>
      </c>
      <c r="O9757" s="37" t="str">
        <f t="shared" si="763"/>
        <v>Cash Payment</v>
      </c>
      <c r="P9757">
        <v>197.02</v>
      </c>
      <c r="Q9757" s="37" t="str">
        <f>IF(P9757&gt;500,"High","low")</f>
        <v>low</v>
      </c>
      <c r="R9757" s="37" t="str">
        <f t="shared" si="764"/>
        <v>AVERAGE</v>
      </c>
      <c r="S9757" t="s">
        <v>605</v>
      </c>
    </row>
    <row r="9758" spans="1:19" x14ac:dyDescent="0.2">
      <c r="A9758" t="s">
        <v>10369</v>
      </c>
      <c r="B9758" t="s">
        <v>90</v>
      </c>
      <c r="C9758" t="s">
        <v>607</v>
      </c>
      <c r="D9758">
        <v>891.26</v>
      </c>
      <c r="E9758" s="37" t="str">
        <f t="shared" si="760"/>
        <v xml:space="preserve"> </v>
      </c>
      <c r="F9758">
        <v>0.03</v>
      </c>
      <c r="G9758" s="37" t="str">
        <f t="shared" si="761"/>
        <v>Normal Discount</v>
      </c>
      <c r="H9758" s="37" t="str">
        <f t="shared" si="762"/>
        <v>Low</v>
      </c>
      <c r="I9758">
        <v>4</v>
      </c>
      <c r="J9758" t="str" cm="1">
        <f t="array" ref="J9758">_xlfn.IFS(I9758&lt;=3,"small",I9758&lt;=6,"Medium",I9758&lt;=9,"Large")</f>
        <v>Medium</v>
      </c>
      <c r="K9758" s="36">
        <v>45494</v>
      </c>
      <c r="L9758" s="36">
        <v>45500</v>
      </c>
      <c r="M9758" t="s">
        <v>598</v>
      </c>
      <c r="N9758" t="s">
        <v>608</v>
      </c>
      <c r="O9758" s="37" t="str">
        <f t="shared" si="763"/>
        <v>Cash Payment</v>
      </c>
      <c r="P9758">
        <v>66.16</v>
      </c>
      <c r="Q9758" s="37" t="str">
        <f>IF(P9758&gt;500,"High","low")</f>
        <v>low</v>
      </c>
      <c r="R9758" s="37" t="str">
        <f t="shared" si="764"/>
        <v>AVERAGE</v>
      </c>
      <c r="S9758" t="s">
        <v>615</v>
      </c>
    </row>
    <row r="9759" spans="1:19" x14ac:dyDescent="0.2">
      <c r="A9759" t="s">
        <v>10370</v>
      </c>
      <c r="B9759" t="s">
        <v>83</v>
      </c>
      <c r="C9759" t="s">
        <v>607</v>
      </c>
      <c r="D9759">
        <v>3551.63</v>
      </c>
      <c r="E9759" s="37" t="str">
        <f t="shared" si="760"/>
        <v xml:space="preserve"> </v>
      </c>
      <c r="F9759">
        <v>0.48</v>
      </c>
      <c r="G9759" s="37" t="str">
        <f t="shared" si="761"/>
        <v>Heavy Discount</v>
      </c>
      <c r="H9759" s="37" t="str">
        <f t="shared" si="762"/>
        <v>High</v>
      </c>
      <c r="I9759">
        <v>1</v>
      </c>
      <c r="J9759" t="str" cm="1">
        <f t="array" ref="J9759">_xlfn.IFS(I9759&lt;=3,"small",I9759&lt;=6,"Medium",I9759&lt;=9,"Large")</f>
        <v>small</v>
      </c>
      <c r="K9759" s="36">
        <v>45036</v>
      </c>
      <c r="L9759" s="36">
        <v>45042</v>
      </c>
      <c r="M9759" t="s">
        <v>598</v>
      </c>
      <c r="N9759" t="s">
        <v>599</v>
      </c>
      <c r="O9759" s="37" t="str">
        <f t="shared" si="763"/>
        <v>Digital Payment</v>
      </c>
      <c r="P9759">
        <v>438.89</v>
      </c>
      <c r="Q9759" s="37" t="str">
        <f>IF(P9759&gt;500,"High","low")</f>
        <v>low</v>
      </c>
      <c r="R9759" s="37" t="str">
        <f t="shared" si="764"/>
        <v>AVERAGE</v>
      </c>
      <c r="S9759" t="s">
        <v>600</v>
      </c>
    </row>
    <row r="9760" spans="1:19" x14ac:dyDescent="0.2">
      <c r="A9760" t="s">
        <v>10371</v>
      </c>
      <c r="B9760" t="s">
        <v>90</v>
      </c>
      <c r="C9760" t="s">
        <v>597</v>
      </c>
      <c r="D9760">
        <v>2901.68</v>
      </c>
      <c r="E9760" s="37" t="str">
        <f t="shared" si="760"/>
        <v xml:space="preserve"> </v>
      </c>
      <c r="F9760">
        <v>0.17</v>
      </c>
      <c r="G9760" s="37" t="str">
        <f t="shared" si="761"/>
        <v>Normal Discount</v>
      </c>
      <c r="H9760" s="37" t="str">
        <f t="shared" si="762"/>
        <v>Low</v>
      </c>
      <c r="I9760">
        <v>4</v>
      </c>
      <c r="J9760" t="str" cm="1">
        <f t="array" ref="J9760">_xlfn.IFS(I9760&lt;=3,"small",I9760&lt;=6,"Medium",I9760&lt;=9,"Large")</f>
        <v>Medium</v>
      </c>
      <c r="K9760" s="36">
        <v>45111</v>
      </c>
      <c r="L9760" s="36">
        <v>45113</v>
      </c>
      <c r="M9760" t="s">
        <v>612</v>
      </c>
      <c r="N9760" t="s">
        <v>604</v>
      </c>
      <c r="O9760" s="37" t="str">
        <f t="shared" si="763"/>
        <v>Digital Payment</v>
      </c>
      <c r="P9760">
        <v>553.79999999999995</v>
      </c>
      <c r="Q9760" s="37" t="str">
        <f>IF(P9760&gt;500,"High","low")</f>
        <v>High</v>
      </c>
      <c r="R9760" s="37" t="str">
        <f t="shared" si="764"/>
        <v>Good</v>
      </c>
      <c r="S9760" t="s">
        <v>620</v>
      </c>
    </row>
    <row r="9761" spans="1:19" x14ac:dyDescent="0.2">
      <c r="A9761" t="s">
        <v>10372</v>
      </c>
      <c r="B9761" t="s">
        <v>67</v>
      </c>
      <c r="C9761" t="s">
        <v>602</v>
      </c>
      <c r="D9761">
        <v>1423.56</v>
      </c>
      <c r="E9761" s="37" t="str">
        <f t="shared" si="760"/>
        <v xml:space="preserve"> </v>
      </c>
      <c r="F9761">
        <v>0.31</v>
      </c>
      <c r="G9761" s="37" t="str">
        <f t="shared" si="761"/>
        <v>Heavy Discount</v>
      </c>
      <c r="H9761" s="37" t="str">
        <f t="shared" si="762"/>
        <v>Medium</v>
      </c>
      <c r="I9761">
        <v>6</v>
      </c>
      <c r="J9761" t="str" cm="1">
        <f t="array" ref="J9761">_xlfn.IFS(I9761&lt;=3,"small",I9761&lt;=6,"Medium",I9761&lt;=9,"Large")</f>
        <v>Medium</v>
      </c>
      <c r="K9761" s="36">
        <v>44929</v>
      </c>
      <c r="L9761" s="36">
        <v>44931</v>
      </c>
      <c r="M9761" t="s">
        <v>603</v>
      </c>
      <c r="N9761" t="s">
        <v>599</v>
      </c>
      <c r="O9761" s="37" t="str">
        <f t="shared" si="763"/>
        <v>Digital Payment</v>
      </c>
      <c r="P9761">
        <v>219.23</v>
      </c>
      <c r="Q9761" s="37" t="str">
        <f>IF(P9761&gt;500,"High","low")</f>
        <v>low</v>
      </c>
      <c r="R9761" s="37" t="str">
        <f t="shared" si="764"/>
        <v>AVERAGE</v>
      </c>
      <c r="S9761" t="s">
        <v>609</v>
      </c>
    </row>
    <row r="9762" spans="1:19" x14ac:dyDescent="0.2">
      <c r="A9762" t="s">
        <v>10373</v>
      </c>
      <c r="B9762" t="s">
        <v>75</v>
      </c>
      <c r="C9762" t="s">
        <v>602</v>
      </c>
      <c r="D9762">
        <v>4757.32</v>
      </c>
      <c r="E9762" s="37" t="str">
        <f t="shared" si="760"/>
        <v>Excellent Order</v>
      </c>
      <c r="F9762">
        <v>0.34</v>
      </c>
      <c r="G9762" s="37" t="str">
        <f t="shared" si="761"/>
        <v>Heavy Discount</v>
      </c>
      <c r="H9762" s="37" t="str">
        <f t="shared" si="762"/>
        <v>Medium</v>
      </c>
      <c r="I9762">
        <v>2</v>
      </c>
      <c r="J9762" t="str" cm="1">
        <f t="array" ref="J9762">_xlfn.IFS(I9762&lt;=3,"small",I9762&lt;=6,"Medium",I9762&lt;=9,"Large")</f>
        <v>small</v>
      </c>
      <c r="K9762" s="36">
        <v>45254</v>
      </c>
      <c r="L9762" s="36">
        <v>45258</v>
      </c>
      <c r="M9762" t="s">
        <v>612</v>
      </c>
      <c r="N9762" t="s">
        <v>599</v>
      </c>
      <c r="O9762" s="37" t="str">
        <f t="shared" si="763"/>
        <v>Digital Payment</v>
      </c>
      <c r="P9762">
        <v>859.14</v>
      </c>
      <c r="Q9762" s="37" t="str">
        <f>IF(P9762&gt;500,"High","low")</f>
        <v>High</v>
      </c>
      <c r="R9762" s="37" t="str">
        <f t="shared" si="764"/>
        <v>Good</v>
      </c>
      <c r="S9762" t="s">
        <v>605</v>
      </c>
    </row>
    <row r="9763" spans="1:19" x14ac:dyDescent="0.2">
      <c r="A9763" t="s">
        <v>10374</v>
      </c>
      <c r="B9763" t="s">
        <v>67</v>
      </c>
      <c r="C9763" t="s">
        <v>614</v>
      </c>
      <c r="D9763">
        <v>1529.55</v>
      </c>
      <c r="E9763" s="37" t="str">
        <f t="shared" si="760"/>
        <v xml:space="preserve"> </v>
      </c>
      <c r="F9763">
        <v>7.0000000000000007E-2</v>
      </c>
      <c r="G9763" s="37" t="str">
        <f t="shared" si="761"/>
        <v>Normal Discount</v>
      </c>
      <c r="H9763" s="37" t="str">
        <f t="shared" si="762"/>
        <v>Low</v>
      </c>
      <c r="I9763">
        <v>7</v>
      </c>
      <c r="J9763" t="str" cm="1">
        <f t="array" ref="J9763">_xlfn.IFS(I9763&lt;=3,"small",I9763&lt;=6,"Medium",I9763&lt;=9,"Large")</f>
        <v>Large</v>
      </c>
      <c r="K9763" s="36">
        <v>45141</v>
      </c>
      <c r="L9763" s="36">
        <v>45144</v>
      </c>
      <c r="M9763" t="s">
        <v>603</v>
      </c>
      <c r="N9763" t="s">
        <v>604</v>
      </c>
      <c r="O9763" s="37" t="str">
        <f t="shared" si="763"/>
        <v>Digital Payment</v>
      </c>
      <c r="P9763">
        <v>374.28</v>
      </c>
      <c r="Q9763" s="37" t="str">
        <f>IF(P9763&gt;500,"High","low")</f>
        <v>low</v>
      </c>
      <c r="R9763" s="37" t="str">
        <f t="shared" si="764"/>
        <v>AVERAGE</v>
      </c>
      <c r="S9763" t="s">
        <v>600</v>
      </c>
    </row>
    <row r="9764" spans="1:19" x14ac:dyDescent="0.2">
      <c r="A9764" t="s">
        <v>10375</v>
      </c>
      <c r="B9764" t="s">
        <v>83</v>
      </c>
      <c r="C9764" t="s">
        <v>614</v>
      </c>
      <c r="D9764">
        <v>2819.48</v>
      </c>
      <c r="E9764" s="37" t="str">
        <f t="shared" si="760"/>
        <v xml:space="preserve"> </v>
      </c>
      <c r="F9764">
        <v>0.41</v>
      </c>
      <c r="G9764" s="37" t="str">
        <f t="shared" si="761"/>
        <v>Heavy Discount</v>
      </c>
      <c r="H9764" s="37" t="str">
        <f t="shared" si="762"/>
        <v>High</v>
      </c>
      <c r="I9764">
        <v>9</v>
      </c>
      <c r="J9764" t="str" cm="1">
        <f t="array" ref="J9764">_xlfn.IFS(I9764&lt;=3,"small",I9764&lt;=6,"Medium",I9764&lt;=9,"Large")</f>
        <v>Large</v>
      </c>
      <c r="K9764" s="36">
        <v>45594</v>
      </c>
      <c r="L9764" s="36">
        <v>45600</v>
      </c>
      <c r="M9764" t="s">
        <v>598</v>
      </c>
      <c r="N9764" t="s">
        <v>599</v>
      </c>
      <c r="O9764" s="37" t="str">
        <f t="shared" si="763"/>
        <v>Digital Payment</v>
      </c>
      <c r="P9764">
        <v>726.57</v>
      </c>
      <c r="Q9764" s="37" t="str">
        <f>IF(P9764&gt;500,"High","low")</f>
        <v>High</v>
      </c>
      <c r="R9764" s="37" t="str">
        <f t="shared" si="764"/>
        <v>Good</v>
      </c>
      <c r="S9764" t="s">
        <v>609</v>
      </c>
    </row>
    <row r="9765" spans="1:19" x14ac:dyDescent="0.2">
      <c r="A9765" t="s">
        <v>10376</v>
      </c>
      <c r="B9765" t="s">
        <v>90</v>
      </c>
      <c r="C9765" t="s">
        <v>617</v>
      </c>
      <c r="D9765">
        <v>4027.68</v>
      </c>
      <c r="E9765" s="37" t="str">
        <f t="shared" si="760"/>
        <v>Excellent Order</v>
      </c>
      <c r="F9765">
        <v>0.28999999999999998</v>
      </c>
      <c r="G9765" s="37" t="str">
        <f t="shared" si="761"/>
        <v>Normal Discount</v>
      </c>
      <c r="H9765" s="37" t="str">
        <f t="shared" si="762"/>
        <v>Medium</v>
      </c>
      <c r="I9765">
        <v>2</v>
      </c>
      <c r="J9765" t="str" cm="1">
        <f t="array" ref="J9765">_xlfn.IFS(I9765&lt;=3,"small",I9765&lt;=6,"Medium",I9765&lt;=9,"Large")</f>
        <v>small</v>
      </c>
      <c r="K9765" s="36">
        <v>45215</v>
      </c>
      <c r="L9765" s="36">
        <v>45222</v>
      </c>
      <c r="M9765" t="s">
        <v>598</v>
      </c>
      <c r="N9765" t="s">
        <v>608</v>
      </c>
      <c r="O9765" s="37" t="str">
        <f t="shared" si="763"/>
        <v>Cash Payment</v>
      </c>
      <c r="P9765">
        <v>1170.3900000000001</v>
      </c>
      <c r="Q9765" s="37" t="str">
        <f>IF(P9765&gt;500,"High","low")</f>
        <v>High</v>
      </c>
      <c r="R9765" s="37" t="str">
        <f t="shared" si="764"/>
        <v>Excellent</v>
      </c>
      <c r="S9765" t="s">
        <v>628</v>
      </c>
    </row>
    <row r="9766" spans="1:19" x14ac:dyDescent="0.2">
      <c r="A9766" t="s">
        <v>10377</v>
      </c>
      <c r="B9766" t="s">
        <v>83</v>
      </c>
      <c r="C9766" t="s">
        <v>602</v>
      </c>
      <c r="D9766">
        <v>2618.0700000000002</v>
      </c>
      <c r="E9766" s="37" t="str">
        <f t="shared" si="760"/>
        <v xml:space="preserve"> </v>
      </c>
      <c r="F9766">
        <v>0.16</v>
      </c>
      <c r="G9766" s="37" t="str">
        <f t="shared" si="761"/>
        <v>Normal Discount</v>
      </c>
      <c r="H9766" s="37" t="str">
        <f t="shared" si="762"/>
        <v>Low</v>
      </c>
      <c r="I9766">
        <v>7</v>
      </c>
      <c r="J9766" t="str" cm="1">
        <f t="array" ref="J9766">_xlfn.IFS(I9766&lt;=3,"small",I9766&lt;=6,"Medium",I9766&lt;=9,"Large")</f>
        <v>Large</v>
      </c>
      <c r="K9766" s="36">
        <v>45301</v>
      </c>
      <c r="L9766" s="36">
        <v>45305</v>
      </c>
      <c r="M9766" t="s">
        <v>598</v>
      </c>
      <c r="N9766" t="s">
        <v>608</v>
      </c>
      <c r="O9766" s="37" t="str">
        <f t="shared" si="763"/>
        <v>Cash Payment</v>
      </c>
      <c r="P9766">
        <v>737.1</v>
      </c>
      <c r="Q9766" s="37" t="str">
        <f>IF(P9766&gt;500,"High","low")</f>
        <v>High</v>
      </c>
      <c r="R9766" s="37" t="str">
        <f t="shared" si="764"/>
        <v>Good</v>
      </c>
      <c r="S9766" t="s">
        <v>620</v>
      </c>
    </row>
    <row r="9767" spans="1:19" x14ac:dyDescent="0.2">
      <c r="A9767" t="s">
        <v>10378</v>
      </c>
      <c r="B9767" t="s">
        <v>83</v>
      </c>
      <c r="C9767" t="s">
        <v>614</v>
      </c>
      <c r="D9767">
        <v>4808.1899999999996</v>
      </c>
      <c r="E9767" s="37" t="str">
        <f t="shared" si="760"/>
        <v xml:space="preserve"> </v>
      </c>
      <c r="F9767">
        <v>0.43</v>
      </c>
      <c r="G9767" s="37" t="str">
        <f t="shared" si="761"/>
        <v>Heavy Discount</v>
      </c>
      <c r="H9767" s="37" t="str">
        <f t="shared" si="762"/>
        <v>High</v>
      </c>
      <c r="I9767">
        <v>2</v>
      </c>
      <c r="J9767" t="str" cm="1">
        <f t="array" ref="J9767">_xlfn.IFS(I9767&lt;=3,"small",I9767&lt;=6,"Medium",I9767&lt;=9,"Large")</f>
        <v>small</v>
      </c>
      <c r="K9767" s="36">
        <v>45024</v>
      </c>
      <c r="L9767" s="36">
        <v>45026</v>
      </c>
      <c r="M9767" t="s">
        <v>603</v>
      </c>
      <c r="N9767" t="s">
        <v>608</v>
      </c>
      <c r="O9767" s="37" t="str">
        <f t="shared" si="763"/>
        <v>Cash Payment</v>
      </c>
      <c r="P9767">
        <v>470.43</v>
      </c>
      <c r="Q9767" s="37" t="str">
        <f>IF(P9767&gt;500,"High","low")</f>
        <v>low</v>
      </c>
      <c r="R9767" s="37" t="str">
        <f t="shared" si="764"/>
        <v>AVERAGE</v>
      </c>
      <c r="S9767" t="s">
        <v>615</v>
      </c>
    </row>
    <row r="9768" spans="1:19" x14ac:dyDescent="0.2">
      <c r="A9768" t="s">
        <v>10379</v>
      </c>
      <c r="B9768" t="s">
        <v>83</v>
      </c>
      <c r="C9768" t="s">
        <v>617</v>
      </c>
      <c r="D9768">
        <v>4234.8900000000003</v>
      </c>
      <c r="E9768" s="37" t="str">
        <f t="shared" si="760"/>
        <v>Excellent Order</v>
      </c>
      <c r="F9768">
        <v>0.31</v>
      </c>
      <c r="G9768" s="37" t="str">
        <f t="shared" si="761"/>
        <v>Heavy Discount</v>
      </c>
      <c r="H9768" s="37" t="str">
        <f t="shared" si="762"/>
        <v>Medium</v>
      </c>
      <c r="I9768">
        <v>9</v>
      </c>
      <c r="J9768" t="str" cm="1">
        <f t="array" ref="J9768">_xlfn.IFS(I9768&lt;=3,"small",I9768&lt;=6,"Medium",I9768&lt;=9,"Large")</f>
        <v>Large</v>
      </c>
      <c r="K9768" s="36">
        <v>45207</v>
      </c>
      <c r="L9768" s="36">
        <v>45214</v>
      </c>
      <c r="M9768" t="s">
        <v>603</v>
      </c>
      <c r="N9768" t="s">
        <v>599</v>
      </c>
      <c r="O9768" s="37" t="str">
        <f t="shared" si="763"/>
        <v>Digital Payment</v>
      </c>
      <c r="P9768">
        <v>969.9</v>
      </c>
      <c r="Q9768" s="37" t="str">
        <f>IF(P9768&gt;500,"High","low")</f>
        <v>High</v>
      </c>
      <c r="R9768" s="37" t="str">
        <f t="shared" si="764"/>
        <v>Good</v>
      </c>
      <c r="S9768" t="s">
        <v>620</v>
      </c>
    </row>
    <row r="9769" spans="1:19" x14ac:dyDescent="0.2">
      <c r="A9769" t="s">
        <v>10380</v>
      </c>
      <c r="B9769" t="s">
        <v>90</v>
      </c>
      <c r="C9769" t="s">
        <v>607</v>
      </c>
      <c r="D9769">
        <v>4612.99</v>
      </c>
      <c r="E9769" s="37" t="str">
        <f t="shared" si="760"/>
        <v>Excellent Order</v>
      </c>
      <c r="F9769">
        <v>0.39</v>
      </c>
      <c r="G9769" s="37" t="str">
        <f t="shared" si="761"/>
        <v>Heavy Discount</v>
      </c>
      <c r="H9769" s="37" t="str">
        <f t="shared" si="762"/>
        <v>Medium</v>
      </c>
      <c r="I9769">
        <v>1</v>
      </c>
      <c r="J9769" t="str" cm="1">
        <f t="array" ref="J9769">_xlfn.IFS(I9769&lt;=3,"small",I9769&lt;=6,"Medium",I9769&lt;=9,"Large")</f>
        <v>small</v>
      </c>
      <c r="K9769" s="36">
        <v>45509</v>
      </c>
      <c r="L9769" s="36">
        <v>45516</v>
      </c>
      <c r="M9769" t="s">
        <v>598</v>
      </c>
      <c r="N9769" t="s">
        <v>599</v>
      </c>
      <c r="O9769" s="37" t="str">
        <f t="shared" si="763"/>
        <v>Digital Payment</v>
      </c>
      <c r="P9769">
        <v>1095.1400000000001</v>
      </c>
      <c r="Q9769" s="37" t="str">
        <f>IF(P9769&gt;500,"High","low")</f>
        <v>High</v>
      </c>
      <c r="R9769" s="37" t="str">
        <f t="shared" si="764"/>
        <v>Excellent</v>
      </c>
      <c r="S9769" t="s">
        <v>609</v>
      </c>
    </row>
    <row r="9770" spans="1:19" x14ac:dyDescent="0.2">
      <c r="A9770" t="s">
        <v>10381</v>
      </c>
      <c r="B9770" t="s">
        <v>67</v>
      </c>
      <c r="C9770" t="s">
        <v>614</v>
      </c>
      <c r="D9770">
        <v>1926.24</v>
      </c>
      <c r="E9770" s="37" t="str">
        <f t="shared" si="760"/>
        <v xml:space="preserve"> </v>
      </c>
      <c r="F9770">
        <v>0.5</v>
      </c>
      <c r="G9770" s="37" t="str">
        <f t="shared" si="761"/>
        <v>Heavy Discount</v>
      </c>
      <c r="H9770" s="37" t="str">
        <f t="shared" si="762"/>
        <v>High</v>
      </c>
      <c r="I9770">
        <v>4</v>
      </c>
      <c r="J9770" t="str" cm="1">
        <f t="array" ref="J9770">_xlfn.IFS(I9770&lt;=3,"small",I9770&lt;=6,"Medium",I9770&lt;=9,"Large")</f>
        <v>Medium</v>
      </c>
      <c r="K9770" s="36">
        <v>45043</v>
      </c>
      <c r="L9770" s="36">
        <v>45046</v>
      </c>
      <c r="M9770" t="s">
        <v>598</v>
      </c>
      <c r="N9770" t="s">
        <v>608</v>
      </c>
      <c r="O9770" s="37" t="str">
        <f t="shared" si="763"/>
        <v>Cash Payment</v>
      </c>
      <c r="P9770">
        <v>326.81</v>
      </c>
      <c r="Q9770" s="37" t="str">
        <f>IF(P9770&gt;500,"High","low")</f>
        <v>low</v>
      </c>
      <c r="R9770" s="37" t="str">
        <f t="shared" si="764"/>
        <v>AVERAGE</v>
      </c>
      <c r="S9770" t="s">
        <v>600</v>
      </c>
    </row>
    <row r="9771" spans="1:19" x14ac:dyDescent="0.2">
      <c r="A9771" t="s">
        <v>10382</v>
      </c>
      <c r="B9771" t="s">
        <v>83</v>
      </c>
      <c r="C9771" t="s">
        <v>617</v>
      </c>
      <c r="D9771">
        <v>2786.94</v>
      </c>
      <c r="E9771" s="37" t="str">
        <f t="shared" si="760"/>
        <v xml:space="preserve"> </v>
      </c>
      <c r="F9771">
        <v>7.0000000000000007E-2</v>
      </c>
      <c r="G9771" s="37" t="str">
        <f t="shared" si="761"/>
        <v>Normal Discount</v>
      </c>
      <c r="H9771" s="37" t="str">
        <f t="shared" si="762"/>
        <v>Low</v>
      </c>
      <c r="I9771">
        <v>2</v>
      </c>
      <c r="J9771" t="str" cm="1">
        <f t="array" ref="J9771">_xlfn.IFS(I9771&lt;=3,"small",I9771&lt;=6,"Medium",I9771&lt;=9,"Large")</f>
        <v>small</v>
      </c>
      <c r="K9771" s="36">
        <v>45082</v>
      </c>
      <c r="L9771" s="36">
        <v>45086</v>
      </c>
      <c r="M9771" t="s">
        <v>612</v>
      </c>
      <c r="N9771" t="s">
        <v>599</v>
      </c>
      <c r="O9771" s="37" t="str">
        <f t="shared" si="763"/>
        <v>Digital Payment</v>
      </c>
      <c r="P9771">
        <v>756.24</v>
      </c>
      <c r="Q9771" s="37" t="str">
        <f>IF(P9771&gt;500,"High","low")</f>
        <v>High</v>
      </c>
      <c r="R9771" s="37" t="str">
        <f t="shared" si="764"/>
        <v>Good</v>
      </c>
      <c r="S9771" t="s">
        <v>628</v>
      </c>
    </row>
    <row r="9772" spans="1:19" x14ac:dyDescent="0.2">
      <c r="A9772" t="s">
        <v>10383</v>
      </c>
      <c r="B9772" t="s">
        <v>90</v>
      </c>
      <c r="C9772" t="s">
        <v>602</v>
      </c>
      <c r="D9772">
        <v>4216.8100000000004</v>
      </c>
      <c r="E9772" s="37" t="str">
        <f t="shared" si="760"/>
        <v>Excellent Order</v>
      </c>
      <c r="F9772">
        <v>0.37</v>
      </c>
      <c r="G9772" s="37" t="str">
        <f t="shared" si="761"/>
        <v>Heavy Discount</v>
      </c>
      <c r="H9772" s="37" t="str">
        <f t="shared" si="762"/>
        <v>Medium</v>
      </c>
      <c r="I9772">
        <v>1</v>
      </c>
      <c r="J9772" t="str" cm="1">
        <f t="array" ref="J9772">_xlfn.IFS(I9772&lt;=3,"small",I9772&lt;=6,"Medium",I9772&lt;=9,"Large")</f>
        <v>small</v>
      </c>
      <c r="K9772" s="36">
        <v>45263</v>
      </c>
      <c r="L9772" s="36">
        <v>45270</v>
      </c>
      <c r="M9772" t="s">
        <v>603</v>
      </c>
      <c r="N9772" t="s">
        <v>608</v>
      </c>
      <c r="O9772" s="37" t="str">
        <f t="shared" si="763"/>
        <v>Cash Payment</v>
      </c>
      <c r="P9772">
        <v>1010.24</v>
      </c>
      <c r="Q9772" s="37" t="str">
        <f>IF(P9772&gt;500,"High","low")</f>
        <v>High</v>
      </c>
      <c r="R9772" s="37" t="str">
        <f t="shared" si="764"/>
        <v>Excellent</v>
      </c>
      <c r="S9772" t="s">
        <v>615</v>
      </c>
    </row>
    <row r="9773" spans="1:19" x14ac:dyDescent="0.2">
      <c r="A9773" t="s">
        <v>10384</v>
      </c>
      <c r="B9773" t="s">
        <v>75</v>
      </c>
      <c r="C9773" t="s">
        <v>607</v>
      </c>
      <c r="D9773">
        <v>4527.1499999999996</v>
      </c>
      <c r="E9773" s="37" t="str">
        <f t="shared" si="760"/>
        <v xml:space="preserve"> </v>
      </c>
      <c r="F9773">
        <v>0.38</v>
      </c>
      <c r="G9773" s="37" t="str">
        <f t="shared" si="761"/>
        <v>Heavy Discount</v>
      </c>
      <c r="H9773" s="37" t="str">
        <f t="shared" si="762"/>
        <v>Medium</v>
      </c>
      <c r="I9773">
        <v>2</v>
      </c>
      <c r="J9773" t="str" cm="1">
        <f t="array" ref="J9773">_xlfn.IFS(I9773&lt;=3,"small",I9773&lt;=6,"Medium",I9773&lt;=9,"Large")</f>
        <v>small</v>
      </c>
      <c r="K9773" s="36">
        <v>45284</v>
      </c>
      <c r="L9773" s="36">
        <v>45285</v>
      </c>
      <c r="M9773" t="s">
        <v>598</v>
      </c>
      <c r="N9773" t="s">
        <v>608</v>
      </c>
      <c r="O9773" s="37" t="str">
        <f t="shared" si="763"/>
        <v>Cash Payment</v>
      </c>
      <c r="P9773">
        <v>681.41</v>
      </c>
      <c r="Q9773" s="37" t="str">
        <f>IF(P9773&gt;500,"High","low")</f>
        <v>High</v>
      </c>
      <c r="R9773" s="37" t="str">
        <f t="shared" si="764"/>
        <v>Good</v>
      </c>
      <c r="S9773" t="s">
        <v>609</v>
      </c>
    </row>
    <row r="9774" spans="1:19" x14ac:dyDescent="0.2">
      <c r="A9774" t="s">
        <v>10385</v>
      </c>
      <c r="B9774" t="s">
        <v>90</v>
      </c>
      <c r="C9774" t="s">
        <v>614</v>
      </c>
      <c r="D9774">
        <v>4727.38</v>
      </c>
      <c r="E9774" s="37" t="str">
        <f t="shared" si="760"/>
        <v xml:space="preserve"> </v>
      </c>
      <c r="F9774">
        <v>0.44</v>
      </c>
      <c r="G9774" s="37" t="str">
        <f t="shared" si="761"/>
        <v>Heavy Discount</v>
      </c>
      <c r="H9774" s="37" t="str">
        <f t="shared" si="762"/>
        <v>High</v>
      </c>
      <c r="I9774">
        <v>6</v>
      </c>
      <c r="J9774" t="str" cm="1">
        <f t="array" ref="J9774">_xlfn.IFS(I9774&lt;=3,"small",I9774&lt;=6,"Medium",I9774&lt;=9,"Large")</f>
        <v>Medium</v>
      </c>
      <c r="K9774" s="36">
        <v>45038</v>
      </c>
      <c r="L9774" s="36">
        <v>45039</v>
      </c>
      <c r="M9774" t="s">
        <v>598</v>
      </c>
      <c r="N9774" t="s">
        <v>599</v>
      </c>
      <c r="O9774" s="37" t="str">
        <f t="shared" si="763"/>
        <v>Digital Payment</v>
      </c>
      <c r="P9774">
        <v>735.04</v>
      </c>
      <c r="Q9774" s="37" t="str">
        <f>IF(P9774&gt;500,"High","low")</f>
        <v>High</v>
      </c>
      <c r="R9774" s="37" t="str">
        <f t="shared" si="764"/>
        <v>Good</v>
      </c>
      <c r="S9774" t="s">
        <v>605</v>
      </c>
    </row>
    <row r="9775" spans="1:19" x14ac:dyDescent="0.2">
      <c r="A9775" t="s">
        <v>10386</v>
      </c>
      <c r="B9775" t="s">
        <v>75</v>
      </c>
      <c r="C9775" t="s">
        <v>602</v>
      </c>
      <c r="D9775">
        <v>4407.84</v>
      </c>
      <c r="E9775" s="37" t="str">
        <f t="shared" si="760"/>
        <v xml:space="preserve"> </v>
      </c>
      <c r="F9775">
        <v>0.2</v>
      </c>
      <c r="G9775" s="37" t="str">
        <f t="shared" si="761"/>
        <v>Normal Discount</v>
      </c>
      <c r="H9775" s="37" t="str">
        <f t="shared" si="762"/>
        <v>Medium</v>
      </c>
      <c r="I9775">
        <v>5</v>
      </c>
      <c r="J9775" t="str" cm="1">
        <f t="array" ref="J9775">_xlfn.IFS(I9775&lt;=3,"small",I9775&lt;=6,"Medium",I9775&lt;=9,"Large")</f>
        <v>Medium</v>
      </c>
      <c r="K9775" s="36">
        <v>44956</v>
      </c>
      <c r="L9775" s="36">
        <v>44958</v>
      </c>
      <c r="M9775" t="s">
        <v>612</v>
      </c>
      <c r="N9775" t="s">
        <v>604</v>
      </c>
      <c r="O9775" s="37" t="str">
        <f t="shared" si="763"/>
        <v>Digital Payment</v>
      </c>
      <c r="P9775">
        <v>632.48</v>
      </c>
      <c r="Q9775" s="37" t="str">
        <f>IF(P9775&gt;500,"High","low")</f>
        <v>High</v>
      </c>
      <c r="R9775" s="37" t="str">
        <f t="shared" si="764"/>
        <v>Good</v>
      </c>
      <c r="S9775" t="s">
        <v>615</v>
      </c>
    </row>
    <row r="9776" spans="1:19" x14ac:dyDescent="0.2">
      <c r="A9776" t="s">
        <v>10387</v>
      </c>
      <c r="B9776" t="s">
        <v>90</v>
      </c>
      <c r="C9776" t="s">
        <v>607</v>
      </c>
      <c r="D9776">
        <v>3680.7</v>
      </c>
      <c r="E9776" s="37" t="str">
        <f t="shared" si="760"/>
        <v xml:space="preserve"> </v>
      </c>
      <c r="F9776">
        <v>0.43</v>
      </c>
      <c r="G9776" s="37" t="str">
        <f t="shared" si="761"/>
        <v>Heavy Discount</v>
      </c>
      <c r="H9776" s="37" t="str">
        <f t="shared" si="762"/>
        <v>High</v>
      </c>
      <c r="I9776">
        <v>1</v>
      </c>
      <c r="J9776" t="str" cm="1">
        <f t="array" ref="J9776">_xlfn.IFS(I9776&lt;=3,"small",I9776&lt;=6,"Medium",I9776&lt;=9,"Large")</f>
        <v>small</v>
      </c>
      <c r="K9776" s="36">
        <v>45567</v>
      </c>
      <c r="L9776" s="36">
        <v>45569</v>
      </c>
      <c r="M9776" t="s">
        <v>612</v>
      </c>
      <c r="N9776" t="s">
        <v>604</v>
      </c>
      <c r="O9776" s="37" t="str">
        <f t="shared" si="763"/>
        <v>Digital Payment</v>
      </c>
      <c r="P9776">
        <v>649.95000000000005</v>
      </c>
      <c r="Q9776" s="37" t="str">
        <f>IF(P9776&gt;500,"High","low")</f>
        <v>High</v>
      </c>
      <c r="R9776" s="37" t="str">
        <f t="shared" si="764"/>
        <v>Good</v>
      </c>
      <c r="S9776" t="s">
        <v>605</v>
      </c>
    </row>
    <row r="9777" spans="1:19" x14ac:dyDescent="0.2">
      <c r="A9777" t="s">
        <v>10388</v>
      </c>
      <c r="B9777" t="s">
        <v>67</v>
      </c>
      <c r="C9777" t="s">
        <v>597</v>
      </c>
      <c r="D9777">
        <v>218.65</v>
      </c>
      <c r="E9777" s="37" t="str">
        <f t="shared" si="760"/>
        <v xml:space="preserve"> </v>
      </c>
      <c r="F9777">
        <v>0.32</v>
      </c>
      <c r="G9777" s="37" t="str">
        <f t="shared" si="761"/>
        <v>Heavy Discount</v>
      </c>
      <c r="H9777" s="37" t="str">
        <f t="shared" si="762"/>
        <v>Medium</v>
      </c>
      <c r="I9777">
        <v>3</v>
      </c>
      <c r="J9777" t="str" cm="1">
        <f t="array" ref="J9777">_xlfn.IFS(I9777&lt;=3,"small",I9777&lt;=6,"Medium",I9777&lt;=9,"Large")</f>
        <v>small</v>
      </c>
      <c r="K9777" s="36">
        <v>45026</v>
      </c>
      <c r="L9777" s="36">
        <v>45031</v>
      </c>
      <c r="M9777" t="s">
        <v>603</v>
      </c>
      <c r="N9777" t="s">
        <v>608</v>
      </c>
      <c r="O9777" s="37" t="str">
        <f t="shared" si="763"/>
        <v>Cash Payment</v>
      </c>
      <c r="P9777">
        <v>50.94</v>
      </c>
      <c r="Q9777" s="37" t="str">
        <f>IF(P9777&gt;500,"High","low")</f>
        <v>low</v>
      </c>
      <c r="R9777" s="37" t="str">
        <f t="shared" si="764"/>
        <v>AVERAGE</v>
      </c>
      <c r="S9777" t="s">
        <v>600</v>
      </c>
    </row>
    <row r="9778" spans="1:19" x14ac:dyDescent="0.2">
      <c r="A9778" t="s">
        <v>10389</v>
      </c>
      <c r="B9778" t="s">
        <v>83</v>
      </c>
      <c r="C9778" t="s">
        <v>602</v>
      </c>
      <c r="D9778">
        <v>1643.27</v>
      </c>
      <c r="E9778" s="37" t="str">
        <f t="shared" si="760"/>
        <v xml:space="preserve"> </v>
      </c>
      <c r="F9778">
        <v>0.03</v>
      </c>
      <c r="G9778" s="37" t="str">
        <f t="shared" si="761"/>
        <v>Normal Discount</v>
      </c>
      <c r="H9778" s="37" t="str">
        <f t="shared" si="762"/>
        <v>Low</v>
      </c>
      <c r="I9778">
        <v>6</v>
      </c>
      <c r="J9778" t="str" cm="1">
        <f t="array" ref="J9778">_xlfn.IFS(I9778&lt;=3,"small",I9778&lt;=6,"Medium",I9778&lt;=9,"Large")</f>
        <v>Medium</v>
      </c>
      <c r="K9778" s="36">
        <v>45328</v>
      </c>
      <c r="L9778" s="36">
        <v>45329</v>
      </c>
      <c r="M9778" t="s">
        <v>612</v>
      </c>
      <c r="N9778" t="s">
        <v>608</v>
      </c>
      <c r="O9778" s="37" t="str">
        <f t="shared" si="763"/>
        <v>Cash Payment</v>
      </c>
      <c r="P9778">
        <v>212.72</v>
      </c>
      <c r="Q9778" s="37" t="str">
        <f>IF(P9778&gt;500,"High","low")</f>
        <v>low</v>
      </c>
      <c r="R9778" s="37" t="str">
        <f t="shared" si="764"/>
        <v>AVERAGE</v>
      </c>
      <c r="S9778" t="s">
        <v>605</v>
      </c>
    </row>
    <row r="9779" spans="1:19" x14ac:dyDescent="0.2">
      <c r="A9779" t="s">
        <v>10390</v>
      </c>
      <c r="B9779" t="s">
        <v>67</v>
      </c>
      <c r="C9779" t="s">
        <v>597</v>
      </c>
      <c r="D9779">
        <v>731.79</v>
      </c>
      <c r="E9779" s="37" t="str">
        <f t="shared" si="760"/>
        <v xml:space="preserve"> </v>
      </c>
      <c r="F9779">
        <v>0.02</v>
      </c>
      <c r="G9779" s="37" t="str">
        <f t="shared" si="761"/>
        <v>Normal Discount</v>
      </c>
      <c r="H9779" s="37" t="str">
        <f t="shared" si="762"/>
        <v>Low</v>
      </c>
      <c r="I9779">
        <v>5</v>
      </c>
      <c r="J9779" t="str" cm="1">
        <f t="array" ref="J9779">_xlfn.IFS(I9779&lt;=3,"small",I9779&lt;=6,"Medium",I9779&lt;=9,"Large")</f>
        <v>Medium</v>
      </c>
      <c r="K9779" s="36">
        <v>45312</v>
      </c>
      <c r="L9779" s="36">
        <v>45319</v>
      </c>
      <c r="M9779" t="s">
        <v>603</v>
      </c>
      <c r="N9779" t="s">
        <v>599</v>
      </c>
      <c r="O9779" s="37" t="str">
        <f t="shared" si="763"/>
        <v>Digital Payment</v>
      </c>
      <c r="P9779">
        <v>78.33</v>
      </c>
      <c r="Q9779" s="37" t="str">
        <f>IF(P9779&gt;500,"High","low")</f>
        <v>low</v>
      </c>
      <c r="R9779" s="37" t="str">
        <f t="shared" si="764"/>
        <v>AVERAGE</v>
      </c>
      <c r="S9779" t="s">
        <v>628</v>
      </c>
    </row>
    <row r="9780" spans="1:19" x14ac:dyDescent="0.2">
      <c r="A9780" t="s">
        <v>10391</v>
      </c>
      <c r="B9780" t="s">
        <v>90</v>
      </c>
      <c r="C9780" t="s">
        <v>614</v>
      </c>
      <c r="D9780">
        <v>858.32</v>
      </c>
      <c r="E9780" s="37" t="str">
        <f t="shared" si="760"/>
        <v xml:space="preserve"> </v>
      </c>
      <c r="F9780">
        <v>0.24</v>
      </c>
      <c r="G9780" s="37" t="str">
        <f t="shared" si="761"/>
        <v>Normal Discount</v>
      </c>
      <c r="H9780" s="37" t="str">
        <f t="shared" si="762"/>
        <v>Medium</v>
      </c>
      <c r="I9780">
        <v>6</v>
      </c>
      <c r="J9780" t="str" cm="1">
        <f t="array" ref="J9780">_xlfn.IFS(I9780&lt;=3,"small",I9780&lt;=6,"Medium",I9780&lt;=9,"Large")</f>
        <v>Medium</v>
      </c>
      <c r="K9780" s="36">
        <v>45535</v>
      </c>
      <c r="L9780" s="36">
        <v>45538</v>
      </c>
      <c r="M9780" t="s">
        <v>598</v>
      </c>
      <c r="N9780" t="s">
        <v>599</v>
      </c>
      <c r="O9780" s="37" t="str">
        <f t="shared" si="763"/>
        <v>Digital Payment</v>
      </c>
      <c r="P9780">
        <v>50.22</v>
      </c>
      <c r="Q9780" s="37" t="str">
        <f>IF(P9780&gt;500,"High","low")</f>
        <v>low</v>
      </c>
      <c r="R9780" s="37" t="str">
        <f t="shared" si="764"/>
        <v>AVERAGE</v>
      </c>
      <c r="S9780" t="s">
        <v>628</v>
      </c>
    </row>
    <row r="9781" spans="1:19" x14ac:dyDescent="0.2">
      <c r="A9781" t="s">
        <v>10392</v>
      </c>
      <c r="B9781" t="s">
        <v>83</v>
      </c>
      <c r="C9781" t="s">
        <v>617</v>
      </c>
      <c r="D9781">
        <v>1525.45</v>
      </c>
      <c r="E9781" s="37" t="str">
        <f t="shared" si="760"/>
        <v xml:space="preserve"> </v>
      </c>
      <c r="F9781">
        <v>0.39</v>
      </c>
      <c r="G9781" s="37" t="str">
        <f t="shared" si="761"/>
        <v>Heavy Discount</v>
      </c>
      <c r="H9781" s="37" t="str">
        <f t="shared" si="762"/>
        <v>Medium</v>
      </c>
      <c r="I9781">
        <v>8</v>
      </c>
      <c r="J9781" t="str" cm="1">
        <f t="array" ref="J9781">_xlfn.IFS(I9781&lt;=3,"small",I9781&lt;=6,"Medium",I9781&lt;=9,"Large")</f>
        <v>Large</v>
      </c>
      <c r="K9781" s="36">
        <v>45253</v>
      </c>
      <c r="L9781" s="36">
        <v>45260</v>
      </c>
      <c r="M9781" t="s">
        <v>598</v>
      </c>
      <c r="N9781" t="s">
        <v>599</v>
      </c>
      <c r="O9781" s="37" t="str">
        <f t="shared" si="763"/>
        <v>Digital Payment</v>
      </c>
      <c r="P9781">
        <v>380.24</v>
      </c>
      <c r="Q9781" s="37" t="str">
        <f>IF(P9781&gt;500,"High","low")</f>
        <v>low</v>
      </c>
      <c r="R9781" s="37" t="str">
        <f t="shared" si="764"/>
        <v>AVERAGE</v>
      </c>
      <c r="S9781" t="s">
        <v>628</v>
      </c>
    </row>
    <row r="9782" spans="1:19" x14ac:dyDescent="0.2">
      <c r="A9782" t="s">
        <v>10393</v>
      </c>
      <c r="B9782" t="s">
        <v>75</v>
      </c>
      <c r="C9782" t="s">
        <v>614</v>
      </c>
      <c r="D9782">
        <v>466.23</v>
      </c>
      <c r="E9782" s="37" t="str">
        <f t="shared" si="760"/>
        <v xml:space="preserve"> </v>
      </c>
      <c r="F9782">
        <v>0.19</v>
      </c>
      <c r="G9782" s="37" t="str">
        <f t="shared" si="761"/>
        <v>Normal Discount</v>
      </c>
      <c r="H9782" s="37" t="str">
        <f t="shared" si="762"/>
        <v>Low</v>
      </c>
      <c r="I9782">
        <v>6</v>
      </c>
      <c r="J9782" t="str" cm="1">
        <f t="array" ref="J9782">_xlfn.IFS(I9782&lt;=3,"small",I9782&lt;=6,"Medium",I9782&lt;=9,"Large")</f>
        <v>Medium</v>
      </c>
      <c r="K9782" s="36">
        <v>45038</v>
      </c>
      <c r="L9782" s="36">
        <v>45041</v>
      </c>
      <c r="M9782" t="s">
        <v>598</v>
      </c>
      <c r="N9782" t="s">
        <v>608</v>
      </c>
      <c r="O9782" s="37" t="str">
        <f t="shared" si="763"/>
        <v>Cash Payment</v>
      </c>
      <c r="P9782">
        <v>65.53</v>
      </c>
      <c r="Q9782" s="37" t="str">
        <f>IF(P9782&gt;500,"High","low")</f>
        <v>low</v>
      </c>
      <c r="R9782" s="37" t="str">
        <f t="shared" si="764"/>
        <v>AVERAGE</v>
      </c>
      <c r="S9782" t="s">
        <v>620</v>
      </c>
    </row>
    <row r="9783" spans="1:19" x14ac:dyDescent="0.2">
      <c r="A9783" t="s">
        <v>10394</v>
      </c>
      <c r="B9783" t="s">
        <v>90</v>
      </c>
      <c r="C9783" t="s">
        <v>602</v>
      </c>
      <c r="D9783">
        <v>1290.8599999999999</v>
      </c>
      <c r="E9783" s="37" t="str">
        <f t="shared" si="760"/>
        <v xml:space="preserve"> </v>
      </c>
      <c r="F9783">
        <v>0.43</v>
      </c>
      <c r="G9783" s="37" t="str">
        <f t="shared" si="761"/>
        <v>Heavy Discount</v>
      </c>
      <c r="H9783" s="37" t="str">
        <f t="shared" si="762"/>
        <v>High</v>
      </c>
      <c r="I9783">
        <v>5</v>
      </c>
      <c r="J9783" t="str" cm="1">
        <f t="array" ref="J9783">_xlfn.IFS(I9783&lt;=3,"small",I9783&lt;=6,"Medium",I9783&lt;=9,"Large")</f>
        <v>Medium</v>
      </c>
      <c r="K9783" s="36">
        <v>44985</v>
      </c>
      <c r="L9783" s="36">
        <v>44991</v>
      </c>
      <c r="M9783" t="s">
        <v>612</v>
      </c>
      <c r="N9783" t="s">
        <v>608</v>
      </c>
      <c r="O9783" s="37" t="str">
        <f t="shared" si="763"/>
        <v>Cash Payment</v>
      </c>
      <c r="P9783">
        <v>307.79000000000002</v>
      </c>
      <c r="Q9783" s="37" t="str">
        <f>IF(P9783&gt;500,"High","low")</f>
        <v>low</v>
      </c>
      <c r="R9783" s="37" t="str">
        <f t="shared" si="764"/>
        <v>AVERAGE</v>
      </c>
      <c r="S9783" t="s">
        <v>605</v>
      </c>
    </row>
    <row r="9784" spans="1:19" x14ac:dyDescent="0.2">
      <c r="A9784" t="s">
        <v>10395</v>
      </c>
      <c r="B9784" t="s">
        <v>83</v>
      </c>
      <c r="C9784" t="s">
        <v>597</v>
      </c>
      <c r="D9784">
        <v>4789.2</v>
      </c>
      <c r="E9784" s="37" t="str">
        <f t="shared" si="760"/>
        <v xml:space="preserve"> </v>
      </c>
      <c r="F9784">
        <v>0.25</v>
      </c>
      <c r="G9784" s="37" t="str">
        <f t="shared" si="761"/>
        <v>Normal Discount</v>
      </c>
      <c r="H9784" s="37" t="str">
        <f t="shared" si="762"/>
        <v>Medium</v>
      </c>
      <c r="I9784">
        <v>4</v>
      </c>
      <c r="J9784" t="str" cm="1">
        <f t="array" ref="J9784">_xlfn.IFS(I9784&lt;=3,"small",I9784&lt;=6,"Medium",I9784&lt;=9,"Large")</f>
        <v>Medium</v>
      </c>
      <c r="K9784" s="36">
        <v>45200</v>
      </c>
      <c r="L9784" s="36">
        <v>45207</v>
      </c>
      <c r="M9784" t="s">
        <v>598</v>
      </c>
      <c r="N9784" t="s">
        <v>599</v>
      </c>
      <c r="O9784" s="37" t="str">
        <f t="shared" si="763"/>
        <v>Digital Payment</v>
      </c>
      <c r="P9784">
        <v>373.14</v>
      </c>
      <c r="Q9784" s="37" t="str">
        <f>IF(P9784&gt;500,"High","low")</f>
        <v>low</v>
      </c>
      <c r="R9784" s="37" t="str">
        <f t="shared" si="764"/>
        <v>AVERAGE</v>
      </c>
      <c r="S9784" t="s">
        <v>609</v>
      </c>
    </row>
    <row r="9785" spans="1:19" x14ac:dyDescent="0.2">
      <c r="A9785" t="s">
        <v>10396</v>
      </c>
      <c r="B9785" t="s">
        <v>75</v>
      </c>
      <c r="C9785" t="s">
        <v>597</v>
      </c>
      <c r="D9785">
        <v>1628.52</v>
      </c>
      <c r="E9785" s="37" t="str">
        <f t="shared" si="760"/>
        <v xml:space="preserve"> </v>
      </c>
      <c r="F9785">
        <v>0.01</v>
      </c>
      <c r="G9785" s="37" t="str">
        <f t="shared" si="761"/>
        <v>Normal Discount</v>
      </c>
      <c r="H9785" s="37" t="str">
        <f t="shared" si="762"/>
        <v>Low</v>
      </c>
      <c r="I9785">
        <v>5</v>
      </c>
      <c r="J9785" t="str" cm="1">
        <f t="array" ref="J9785">_xlfn.IFS(I9785&lt;=3,"small",I9785&lt;=6,"Medium",I9785&lt;=9,"Large")</f>
        <v>Medium</v>
      </c>
      <c r="K9785" s="36">
        <v>45189</v>
      </c>
      <c r="L9785" s="36">
        <v>45195</v>
      </c>
      <c r="M9785" t="s">
        <v>603</v>
      </c>
      <c r="N9785" t="s">
        <v>604</v>
      </c>
      <c r="O9785" s="37" t="str">
        <f t="shared" si="763"/>
        <v>Digital Payment</v>
      </c>
      <c r="P9785">
        <v>298.06</v>
      </c>
      <c r="Q9785" s="37" t="str">
        <f>IF(P9785&gt;500,"High","low")</f>
        <v>low</v>
      </c>
      <c r="R9785" s="37" t="str">
        <f t="shared" si="764"/>
        <v>AVERAGE</v>
      </c>
      <c r="S9785" t="s">
        <v>615</v>
      </c>
    </row>
    <row r="9786" spans="1:19" x14ac:dyDescent="0.2">
      <c r="A9786" t="s">
        <v>10397</v>
      </c>
      <c r="B9786" t="s">
        <v>75</v>
      </c>
      <c r="C9786" t="s">
        <v>607</v>
      </c>
      <c r="D9786">
        <v>882.59</v>
      </c>
      <c r="E9786" s="37" t="str">
        <f t="shared" si="760"/>
        <v xml:space="preserve"> </v>
      </c>
      <c r="F9786">
        <v>0.49</v>
      </c>
      <c r="G9786" s="37" t="str">
        <f t="shared" si="761"/>
        <v>Heavy Discount</v>
      </c>
      <c r="H9786" s="37" t="str">
        <f t="shared" si="762"/>
        <v>High</v>
      </c>
      <c r="I9786">
        <v>9</v>
      </c>
      <c r="J9786" t="str" cm="1">
        <f t="array" ref="J9786">_xlfn.IFS(I9786&lt;=3,"small",I9786&lt;=6,"Medium",I9786&lt;=9,"Large")</f>
        <v>Large</v>
      </c>
      <c r="K9786" s="36">
        <v>45115</v>
      </c>
      <c r="L9786" s="36">
        <v>45120</v>
      </c>
      <c r="M9786" t="s">
        <v>598</v>
      </c>
      <c r="N9786" t="s">
        <v>604</v>
      </c>
      <c r="O9786" s="37" t="str">
        <f t="shared" si="763"/>
        <v>Digital Payment</v>
      </c>
      <c r="P9786">
        <v>132.05000000000001</v>
      </c>
      <c r="Q9786" s="37" t="str">
        <f>IF(P9786&gt;500,"High","low")</f>
        <v>low</v>
      </c>
      <c r="R9786" s="37" t="str">
        <f t="shared" si="764"/>
        <v>AVERAGE</v>
      </c>
      <c r="S9786" t="s">
        <v>600</v>
      </c>
    </row>
    <row r="9787" spans="1:19" x14ac:dyDescent="0.2">
      <c r="A9787" t="s">
        <v>10398</v>
      </c>
      <c r="B9787" t="s">
        <v>67</v>
      </c>
      <c r="C9787" t="s">
        <v>614</v>
      </c>
      <c r="D9787">
        <v>3619.67</v>
      </c>
      <c r="E9787" s="37" t="str">
        <f t="shared" si="760"/>
        <v xml:space="preserve"> </v>
      </c>
      <c r="F9787">
        <v>0.24</v>
      </c>
      <c r="G9787" s="37" t="str">
        <f t="shared" si="761"/>
        <v>Normal Discount</v>
      </c>
      <c r="H9787" s="37" t="str">
        <f t="shared" si="762"/>
        <v>Medium</v>
      </c>
      <c r="I9787">
        <v>6</v>
      </c>
      <c r="J9787" t="str" cm="1">
        <f t="array" ref="J9787">_xlfn.IFS(I9787&lt;=3,"small",I9787&lt;=6,"Medium",I9787&lt;=9,"Large")</f>
        <v>Medium</v>
      </c>
      <c r="K9787" s="36">
        <v>45308</v>
      </c>
      <c r="L9787" s="36">
        <v>45309</v>
      </c>
      <c r="M9787" t="s">
        <v>603</v>
      </c>
      <c r="N9787" t="s">
        <v>604</v>
      </c>
      <c r="O9787" s="37" t="str">
        <f t="shared" si="763"/>
        <v>Digital Payment</v>
      </c>
      <c r="P9787">
        <v>610.29999999999995</v>
      </c>
      <c r="Q9787" s="37" t="str">
        <f>IF(P9787&gt;500,"High","low")</f>
        <v>High</v>
      </c>
      <c r="R9787" s="37" t="str">
        <f t="shared" si="764"/>
        <v>Good</v>
      </c>
      <c r="S9787" t="s">
        <v>620</v>
      </c>
    </row>
    <row r="9788" spans="1:19" x14ac:dyDescent="0.2">
      <c r="A9788" t="s">
        <v>10399</v>
      </c>
      <c r="B9788" t="s">
        <v>90</v>
      </c>
      <c r="C9788" t="s">
        <v>614</v>
      </c>
      <c r="D9788">
        <v>4159.68</v>
      </c>
      <c r="E9788" s="37" t="str">
        <f t="shared" si="760"/>
        <v>Excellent Order</v>
      </c>
      <c r="F9788">
        <v>0.33</v>
      </c>
      <c r="G9788" s="37" t="str">
        <f t="shared" si="761"/>
        <v>Heavy Discount</v>
      </c>
      <c r="H9788" s="37" t="str">
        <f t="shared" si="762"/>
        <v>Medium</v>
      </c>
      <c r="I9788">
        <v>5</v>
      </c>
      <c r="J9788" t="str" cm="1">
        <f t="array" ref="J9788">_xlfn.IFS(I9788&lt;=3,"small",I9788&lt;=6,"Medium",I9788&lt;=9,"Large")</f>
        <v>Medium</v>
      </c>
      <c r="K9788" s="36">
        <v>45634</v>
      </c>
      <c r="L9788" s="36">
        <v>45638</v>
      </c>
      <c r="M9788" t="s">
        <v>612</v>
      </c>
      <c r="N9788" t="s">
        <v>608</v>
      </c>
      <c r="O9788" s="37" t="str">
        <f t="shared" si="763"/>
        <v>Cash Payment</v>
      </c>
      <c r="P9788">
        <v>1170.27</v>
      </c>
      <c r="Q9788" s="37" t="str">
        <f>IF(P9788&gt;500,"High","low")</f>
        <v>High</v>
      </c>
      <c r="R9788" s="37" t="str">
        <f t="shared" si="764"/>
        <v>Excellent</v>
      </c>
      <c r="S9788" t="s">
        <v>605</v>
      </c>
    </row>
    <row r="9789" spans="1:19" x14ac:dyDescent="0.2">
      <c r="A9789" t="s">
        <v>10400</v>
      </c>
      <c r="B9789" t="s">
        <v>75</v>
      </c>
      <c r="C9789" t="s">
        <v>602</v>
      </c>
      <c r="D9789">
        <v>1638.79</v>
      </c>
      <c r="E9789" s="37" t="str">
        <f t="shared" si="760"/>
        <v xml:space="preserve"> </v>
      </c>
      <c r="F9789">
        <v>0.1</v>
      </c>
      <c r="G9789" s="37" t="str">
        <f t="shared" si="761"/>
        <v>Normal Discount</v>
      </c>
      <c r="H9789" s="37" t="str">
        <f t="shared" si="762"/>
        <v>Low</v>
      </c>
      <c r="I9789">
        <v>8</v>
      </c>
      <c r="J9789" t="str" cm="1">
        <f t="array" ref="J9789">_xlfn.IFS(I9789&lt;=3,"small",I9789&lt;=6,"Medium",I9789&lt;=9,"Large")</f>
        <v>Large</v>
      </c>
      <c r="K9789" s="36">
        <v>45559</v>
      </c>
      <c r="L9789" s="36">
        <v>45566</v>
      </c>
      <c r="M9789" t="s">
        <v>612</v>
      </c>
      <c r="N9789" t="s">
        <v>599</v>
      </c>
      <c r="O9789" s="37" t="str">
        <f t="shared" si="763"/>
        <v>Digital Payment</v>
      </c>
      <c r="P9789">
        <v>108.58</v>
      </c>
      <c r="Q9789" s="37" t="str">
        <f>IF(P9789&gt;500,"High","low")</f>
        <v>low</v>
      </c>
      <c r="R9789" s="37" t="str">
        <f t="shared" si="764"/>
        <v>AVERAGE</v>
      </c>
      <c r="S9789" t="s">
        <v>609</v>
      </c>
    </row>
    <row r="9790" spans="1:19" x14ac:dyDescent="0.2">
      <c r="A9790" t="s">
        <v>10401</v>
      </c>
      <c r="B9790" t="s">
        <v>83</v>
      </c>
      <c r="C9790" t="s">
        <v>597</v>
      </c>
      <c r="D9790">
        <v>1464.64</v>
      </c>
      <c r="E9790" s="37" t="str">
        <f t="shared" si="760"/>
        <v xml:space="preserve"> </v>
      </c>
      <c r="F9790">
        <v>0.15</v>
      </c>
      <c r="G9790" s="37" t="str">
        <f t="shared" si="761"/>
        <v>Normal Discount</v>
      </c>
      <c r="H9790" s="37" t="str">
        <f t="shared" si="762"/>
        <v>Low</v>
      </c>
      <c r="I9790">
        <v>5</v>
      </c>
      <c r="J9790" t="str" cm="1">
        <f t="array" ref="J9790">_xlfn.IFS(I9790&lt;=3,"small",I9790&lt;=6,"Medium",I9790&lt;=9,"Large")</f>
        <v>Medium</v>
      </c>
      <c r="K9790" s="36">
        <v>45583</v>
      </c>
      <c r="L9790" s="36">
        <v>45587</v>
      </c>
      <c r="M9790" t="s">
        <v>612</v>
      </c>
      <c r="N9790" t="s">
        <v>604</v>
      </c>
      <c r="O9790" s="37" t="str">
        <f t="shared" si="763"/>
        <v>Digital Payment</v>
      </c>
      <c r="P9790">
        <v>226.99</v>
      </c>
      <c r="Q9790" s="37" t="str">
        <f>IF(P9790&gt;500,"High","low")</f>
        <v>low</v>
      </c>
      <c r="R9790" s="37" t="str">
        <f t="shared" si="764"/>
        <v>AVERAGE</v>
      </c>
      <c r="S9790" t="s">
        <v>628</v>
      </c>
    </row>
    <row r="9791" spans="1:19" x14ac:dyDescent="0.2">
      <c r="A9791" t="s">
        <v>10402</v>
      </c>
      <c r="B9791" t="s">
        <v>75</v>
      </c>
      <c r="C9791" t="s">
        <v>602</v>
      </c>
      <c r="D9791">
        <v>1284.6199999999999</v>
      </c>
      <c r="E9791" s="37" t="str">
        <f t="shared" si="760"/>
        <v xml:space="preserve"> </v>
      </c>
      <c r="F9791">
        <v>0.24</v>
      </c>
      <c r="G9791" s="37" t="str">
        <f t="shared" si="761"/>
        <v>Normal Discount</v>
      </c>
      <c r="H9791" s="37" t="str">
        <f t="shared" si="762"/>
        <v>Medium</v>
      </c>
      <c r="I9791">
        <v>5</v>
      </c>
      <c r="J9791" t="str" cm="1">
        <f t="array" ref="J9791">_xlfn.IFS(I9791&lt;=3,"small",I9791&lt;=6,"Medium",I9791&lt;=9,"Large")</f>
        <v>Medium</v>
      </c>
      <c r="K9791" s="36">
        <v>45521</v>
      </c>
      <c r="L9791" s="36">
        <v>45524</v>
      </c>
      <c r="M9791" t="s">
        <v>612</v>
      </c>
      <c r="N9791" t="s">
        <v>599</v>
      </c>
      <c r="O9791" s="37" t="str">
        <f t="shared" si="763"/>
        <v>Digital Payment</v>
      </c>
      <c r="P9791">
        <v>330.37</v>
      </c>
      <c r="Q9791" s="37" t="str">
        <f>IF(P9791&gt;500,"High","low")</f>
        <v>low</v>
      </c>
      <c r="R9791" s="37" t="str">
        <f t="shared" si="764"/>
        <v>AVERAGE</v>
      </c>
      <c r="S9791" t="s">
        <v>615</v>
      </c>
    </row>
    <row r="9792" spans="1:19" x14ac:dyDescent="0.2">
      <c r="A9792" t="s">
        <v>10403</v>
      </c>
      <c r="B9792" t="s">
        <v>75</v>
      </c>
      <c r="C9792" t="s">
        <v>602</v>
      </c>
      <c r="D9792">
        <v>2026.98</v>
      </c>
      <c r="E9792" s="37" t="str">
        <f t="shared" si="760"/>
        <v xml:space="preserve"> </v>
      </c>
      <c r="F9792">
        <v>0.43</v>
      </c>
      <c r="G9792" s="37" t="str">
        <f t="shared" si="761"/>
        <v>Heavy Discount</v>
      </c>
      <c r="H9792" s="37" t="str">
        <f t="shared" si="762"/>
        <v>High</v>
      </c>
      <c r="I9792">
        <v>8</v>
      </c>
      <c r="J9792" t="str" cm="1">
        <f t="array" ref="J9792">_xlfn.IFS(I9792&lt;=3,"small",I9792&lt;=6,"Medium",I9792&lt;=9,"Large")</f>
        <v>Large</v>
      </c>
      <c r="K9792" s="36">
        <v>45635</v>
      </c>
      <c r="L9792" s="36">
        <v>45639</v>
      </c>
      <c r="M9792" t="s">
        <v>612</v>
      </c>
      <c r="N9792" t="s">
        <v>604</v>
      </c>
      <c r="O9792" s="37" t="str">
        <f t="shared" si="763"/>
        <v>Digital Payment</v>
      </c>
      <c r="P9792">
        <v>414.56</v>
      </c>
      <c r="Q9792" s="37" t="str">
        <f>IF(P9792&gt;500,"High","low")</f>
        <v>low</v>
      </c>
      <c r="R9792" s="37" t="str">
        <f t="shared" si="764"/>
        <v>AVERAGE</v>
      </c>
      <c r="S9792" t="s">
        <v>628</v>
      </c>
    </row>
    <row r="9793" spans="1:19" x14ac:dyDescent="0.2">
      <c r="A9793" t="s">
        <v>10404</v>
      </c>
      <c r="B9793" t="s">
        <v>67</v>
      </c>
      <c r="C9793" t="s">
        <v>597</v>
      </c>
      <c r="D9793">
        <v>527.44000000000005</v>
      </c>
      <c r="E9793" s="37" t="str">
        <f t="shared" si="760"/>
        <v xml:space="preserve"> </v>
      </c>
      <c r="F9793">
        <v>0.05</v>
      </c>
      <c r="G9793" s="37" t="str">
        <f t="shared" si="761"/>
        <v>Normal Discount</v>
      </c>
      <c r="H9793" s="37" t="str">
        <f t="shared" si="762"/>
        <v>Low</v>
      </c>
      <c r="I9793">
        <v>9</v>
      </c>
      <c r="J9793" t="str" cm="1">
        <f t="array" ref="J9793">_xlfn.IFS(I9793&lt;=3,"small",I9793&lt;=6,"Medium",I9793&lt;=9,"Large")</f>
        <v>Large</v>
      </c>
      <c r="K9793" s="36">
        <v>45285</v>
      </c>
      <c r="L9793" s="36">
        <v>45287</v>
      </c>
      <c r="M9793" t="s">
        <v>603</v>
      </c>
      <c r="N9793" t="s">
        <v>599</v>
      </c>
      <c r="O9793" s="37" t="str">
        <f t="shared" si="763"/>
        <v>Digital Payment</v>
      </c>
      <c r="P9793">
        <v>155.97</v>
      </c>
      <c r="Q9793" s="37" t="str">
        <f>IF(P9793&gt;500,"High","low")</f>
        <v>low</v>
      </c>
      <c r="R9793" s="37" t="str">
        <f t="shared" si="764"/>
        <v>AVERAGE</v>
      </c>
      <c r="S9793" t="s">
        <v>620</v>
      </c>
    </row>
    <row r="9794" spans="1:19" x14ac:dyDescent="0.2">
      <c r="A9794" t="s">
        <v>10405</v>
      </c>
      <c r="B9794" t="s">
        <v>67</v>
      </c>
      <c r="C9794" t="s">
        <v>602</v>
      </c>
      <c r="D9794">
        <v>3378.73</v>
      </c>
      <c r="E9794" s="37" t="str">
        <f t="shared" si="760"/>
        <v xml:space="preserve"> </v>
      </c>
      <c r="F9794">
        <v>0.39</v>
      </c>
      <c r="G9794" s="37" t="str">
        <f t="shared" si="761"/>
        <v>Heavy Discount</v>
      </c>
      <c r="H9794" s="37" t="str">
        <f t="shared" si="762"/>
        <v>Medium</v>
      </c>
      <c r="I9794">
        <v>8</v>
      </c>
      <c r="J9794" t="str" cm="1">
        <f t="array" ref="J9794">_xlfn.IFS(I9794&lt;=3,"small",I9794&lt;=6,"Medium",I9794&lt;=9,"Large")</f>
        <v>Large</v>
      </c>
      <c r="K9794" s="36">
        <v>45109</v>
      </c>
      <c r="L9794" s="36">
        <v>45111</v>
      </c>
      <c r="M9794" t="s">
        <v>612</v>
      </c>
      <c r="N9794" t="s">
        <v>604</v>
      </c>
      <c r="O9794" s="37" t="str">
        <f t="shared" si="763"/>
        <v>Digital Payment</v>
      </c>
      <c r="P9794">
        <v>797.32</v>
      </c>
      <c r="Q9794" s="37" t="str">
        <f>IF(P9794&gt;500,"High","low")</f>
        <v>High</v>
      </c>
      <c r="R9794" s="37" t="str">
        <f t="shared" si="764"/>
        <v>Good</v>
      </c>
      <c r="S9794" t="s">
        <v>609</v>
      </c>
    </row>
    <row r="9795" spans="1:19" x14ac:dyDescent="0.2">
      <c r="A9795" t="s">
        <v>10406</v>
      </c>
      <c r="B9795" t="s">
        <v>83</v>
      </c>
      <c r="C9795" t="s">
        <v>597</v>
      </c>
      <c r="D9795">
        <v>4128.91</v>
      </c>
      <c r="E9795" s="37" t="str">
        <f t="shared" ref="E9795:E9858" si="765">IF(AND(D9795&gt;4000,P9795&gt;800),"Excellent Order"," ")</f>
        <v xml:space="preserve"> </v>
      </c>
      <c r="F9795">
        <v>0.28999999999999998</v>
      </c>
      <c r="G9795" s="37" t="str">
        <f t="shared" ref="G9795:G9858" si="766">IF(F9795&gt;30%,"Heavy Discount","Normal Discount")</f>
        <v>Normal Discount</v>
      </c>
      <c r="H9795" s="37" t="str">
        <f t="shared" ref="H9795:H9858" si="767">IF(F9795&gt;0.4,"High",IF(F9795&gt;=0.2,"Medium","Low"))</f>
        <v>Medium</v>
      </c>
      <c r="I9795">
        <v>9</v>
      </c>
      <c r="J9795" t="str" cm="1">
        <f t="array" ref="J9795">_xlfn.IFS(I9795&lt;=3,"small",I9795&lt;=6,"Medium",I9795&lt;=9,"Large")</f>
        <v>Large</v>
      </c>
      <c r="K9795" s="36">
        <v>45156</v>
      </c>
      <c r="L9795" s="36">
        <v>45163</v>
      </c>
      <c r="M9795" t="s">
        <v>598</v>
      </c>
      <c r="N9795" t="s">
        <v>608</v>
      </c>
      <c r="O9795" s="37" t="str">
        <f t="shared" ref="O9795:O9858" si="768">IF(OR(N9795="Card",N9795="UPI"),"Digital Payment","Cash Payment")</f>
        <v>Cash Payment</v>
      </c>
      <c r="P9795">
        <v>304.66000000000003</v>
      </c>
      <c r="Q9795" s="37" t="str">
        <f>IF(P9795&gt;500,"High","low")</f>
        <v>low</v>
      </c>
      <c r="R9795" s="37" t="str">
        <f t="shared" ref="R9795:R9858" si="769">IF(P9795&gt;1000,"Excellent",IF(P9795&gt;=500,"Good","AVERAGE"))</f>
        <v>AVERAGE</v>
      </c>
      <c r="S9795" t="s">
        <v>615</v>
      </c>
    </row>
    <row r="9796" spans="1:19" x14ac:dyDescent="0.2">
      <c r="A9796" t="s">
        <v>10407</v>
      </c>
      <c r="B9796" t="s">
        <v>67</v>
      </c>
      <c r="C9796" t="s">
        <v>602</v>
      </c>
      <c r="D9796">
        <v>3352.04</v>
      </c>
      <c r="E9796" s="37" t="str">
        <f t="shared" si="765"/>
        <v xml:space="preserve"> </v>
      </c>
      <c r="F9796">
        <v>0.25</v>
      </c>
      <c r="G9796" s="37" t="str">
        <f t="shared" si="766"/>
        <v>Normal Discount</v>
      </c>
      <c r="H9796" s="37" t="str">
        <f t="shared" si="767"/>
        <v>Medium</v>
      </c>
      <c r="I9796">
        <v>9</v>
      </c>
      <c r="J9796" t="str" cm="1">
        <f t="array" ref="J9796">_xlfn.IFS(I9796&lt;=3,"small",I9796&lt;=6,"Medium",I9796&lt;=9,"Large")</f>
        <v>Large</v>
      </c>
      <c r="K9796" s="36">
        <v>44939</v>
      </c>
      <c r="L9796" s="36">
        <v>44944</v>
      </c>
      <c r="M9796" t="s">
        <v>598</v>
      </c>
      <c r="N9796" t="s">
        <v>608</v>
      </c>
      <c r="O9796" s="37" t="str">
        <f t="shared" si="768"/>
        <v>Cash Payment</v>
      </c>
      <c r="P9796">
        <v>484.36</v>
      </c>
      <c r="Q9796" s="37" t="str">
        <f>IF(P9796&gt;500,"High","low")</f>
        <v>low</v>
      </c>
      <c r="R9796" s="37" t="str">
        <f t="shared" si="769"/>
        <v>AVERAGE</v>
      </c>
      <c r="S9796" t="s">
        <v>609</v>
      </c>
    </row>
    <row r="9797" spans="1:19" x14ac:dyDescent="0.2">
      <c r="A9797" t="s">
        <v>10408</v>
      </c>
      <c r="B9797" t="s">
        <v>75</v>
      </c>
      <c r="C9797" t="s">
        <v>617</v>
      </c>
      <c r="D9797">
        <v>2163.88</v>
      </c>
      <c r="E9797" s="37" t="str">
        <f t="shared" si="765"/>
        <v xml:space="preserve"> </v>
      </c>
      <c r="F9797">
        <v>0.44</v>
      </c>
      <c r="G9797" s="37" t="str">
        <f t="shared" si="766"/>
        <v>Heavy Discount</v>
      </c>
      <c r="H9797" s="37" t="str">
        <f t="shared" si="767"/>
        <v>High</v>
      </c>
      <c r="I9797">
        <v>8</v>
      </c>
      <c r="J9797" t="str" cm="1">
        <f t="array" ref="J9797">_xlfn.IFS(I9797&lt;=3,"small",I9797&lt;=6,"Medium",I9797&lt;=9,"Large")</f>
        <v>Large</v>
      </c>
      <c r="K9797" s="36">
        <v>45027</v>
      </c>
      <c r="L9797" s="36">
        <v>45031</v>
      </c>
      <c r="M9797" t="s">
        <v>603</v>
      </c>
      <c r="N9797" t="s">
        <v>608</v>
      </c>
      <c r="O9797" s="37" t="str">
        <f t="shared" si="768"/>
        <v>Cash Payment</v>
      </c>
      <c r="P9797">
        <v>286.18</v>
      </c>
      <c r="Q9797" s="37" t="str">
        <f>IF(P9797&gt;500,"High","low")</f>
        <v>low</v>
      </c>
      <c r="R9797" s="37" t="str">
        <f t="shared" si="769"/>
        <v>AVERAGE</v>
      </c>
      <c r="S9797" t="s">
        <v>600</v>
      </c>
    </row>
    <row r="9798" spans="1:19" x14ac:dyDescent="0.2">
      <c r="A9798" t="s">
        <v>10409</v>
      </c>
      <c r="B9798" t="s">
        <v>75</v>
      </c>
      <c r="C9798" t="s">
        <v>602</v>
      </c>
      <c r="D9798">
        <v>1515.92</v>
      </c>
      <c r="E9798" s="37" t="str">
        <f t="shared" si="765"/>
        <v xml:space="preserve"> </v>
      </c>
      <c r="F9798">
        <v>0.06</v>
      </c>
      <c r="G9798" s="37" t="str">
        <f t="shared" si="766"/>
        <v>Normal Discount</v>
      </c>
      <c r="H9798" s="37" t="str">
        <f t="shared" si="767"/>
        <v>Low</v>
      </c>
      <c r="I9798">
        <v>7</v>
      </c>
      <c r="J9798" t="str" cm="1">
        <f t="array" ref="J9798">_xlfn.IFS(I9798&lt;=3,"small",I9798&lt;=6,"Medium",I9798&lt;=9,"Large")</f>
        <v>Large</v>
      </c>
      <c r="K9798" s="36">
        <v>45378</v>
      </c>
      <c r="L9798" s="36">
        <v>45385</v>
      </c>
      <c r="M9798" t="s">
        <v>612</v>
      </c>
      <c r="N9798" t="s">
        <v>604</v>
      </c>
      <c r="O9798" s="37" t="str">
        <f t="shared" si="768"/>
        <v>Digital Payment</v>
      </c>
      <c r="P9798">
        <v>261.76</v>
      </c>
      <c r="Q9798" s="37" t="str">
        <f>IF(P9798&gt;500,"High","low")</f>
        <v>low</v>
      </c>
      <c r="R9798" s="37" t="str">
        <f t="shared" si="769"/>
        <v>AVERAGE</v>
      </c>
      <c r="S9798" t="s">
        <v>628</v>
      </c>
    </row>
    <row r="9799" spans="1:19" x14ac:dyDescent="0.2">
      <c r="A9799" t="s">
        <v>10410</v>
      </c>
      <c r="B9799" t="s">
        <v>67</v>
      </c>
      <c r="C9799" t="s">
        <v>602</v>
      </c>
      <c r="D9799">
        <v>2106.29</v>
      </c>
      <c r="E9799" s="37" t="str">
        <f t="shared" si="765"/>
        <v xml:space="preserve"> </v>
      </c>
      <c r="F9799">
        <v>0.5</v>
      </c>
      <c r="G9799" s="37" t="str">
        <f t="shared" si="766"/>
        <v>Heavy Discount</v>
      </c>
      <c r="H9799" s="37" t="str">
        <f t="shared" si="767"/>
        <v>High</v>
      </c>
      <c r="I9799">
        <v>7</v>
      </c>
      <c r="J9799" t="str" cm="1">
        <f t="array" ref="J9799">_xlfn.IFS(I9799&lt;=3,"small",I9799&lt;=6,"Medium",I9799&lt;=9,"Large")</f>
        <v>Large</v>
      </c>
      <c r="K9799" s="36">
        <v>45655</v>
      </c>
      <c r="L9799" s="36">
        <v>45660</v>
      </c>
      <c r="M9799" t="s">
        <v>612</v>
      </c>
      <c r="N9799" t="s">
        <v>608</v>
      </c>
      <c r="O9799" s="37" t="str">
        <f t="shared" si="768"/>
        <v>Cash Payment</v>
      </c>
      <c r="P9799">
        <v>432.57</v>
      </c>
      <c r="Q9799" s="37" t="str">
        <f>IF(P9799&gt;500,"High","low")</f>
        <v>low</v>
      </c>
      <c r="R9799" s="37" t="str">
        <f t="shared" si="769"/>
        <v>AVERAGE</v>
      </c>
      <c r="S9799" t="s">
        <v>605</v>
      </c>
    </row>
    <row r="9800" spans="1:19" x14ac:dyDescent="0.2">
      <c r="A9800" t="s">
        <v>10411</v>
      </c>
      <c r="B9800" t="s">
        <v>75</v>
      </c>
      <c r="C9800" t="s">
        <v>617</v>
      </c>
      <c r="D9800">
        <v>2176.8000000000002</v>
      </c>
      <c r="E9800" s="37" t="str">
        <f t="shared" si="765"/>
        <v xml:space="preserve"> </v>
      </c>
      <c r="F9800">
        <v>0.43</v>
      </c>
      <c r="G9800" s="37" t="str">
        <f t="shared" si="766"/>
        <v>Heavy Discount</v>
      </c>
      <c r="H9800" s="37" t="str">
        <f t="shared" si="767"/>
        <v>High</v>
      </c>
      <c r="I9800">
        <v>1</v>
      </c>
      <c r="J9800" t="str" cm="1">
        <f t="array" ref="J9800">_xlfn.IFS(I9800&lt;=3,"small",I9800&lt;=6,"Medium",I9800&lt;=9,"Large")</f>
        <v>small</v>
      </c>
      <c r="K9800" s="36">
        <v>45405</v>
      </c>
      <c r="L9800" s="36">
        <v>45406</v>
      </c>
      <c r="M9800" t="s">
        <v>612</v>
      </c>
      <c r="N9800" t="s">
        <v>599</v>
      </c>
      <c r="O9800" s="37" t="str">
        <f t="shared" si="768"/>
        <v>Digital Payment</v>
      </c>
      <c r="P9800">
        <v>245.9</v>
      </c>
      <c r="Q9800" s="37" t="str">
        <f>IF(P9800&gt;500,"High","low")</f>
        <v>low</v>
      </c>
      <c r="R9800" s="37" t="str">
        <f t="shared" si="769"/>
        <v>AVERAGE</v>
      </c>
      <c r="S9800" t="s">
        <v>600</v>
      </c>
    </row>
    <row r="9801" spans="1:19" x14ac:dyDescent="0.2">
      <c r="A9801" t="s">
        <v>10412</v>
      </c>
      <c r="B9801" t="s">
        <v>75</v>
      </c>
      <c r="C9801" t="s">
        <v>614</v>
      </c>
      <c r="D9801">
        <v>3363.5</v>
      </c>
      <c r="E9801" s="37" t="str">
        <f t="shared" si="765"/>
        <v xml:space="preserve"> </v>
      </c>
      <c r="F9801">
        <v>0.16</v>
      </c>
      <c r="G9801" s="37" t="str">
        <f t="shared" si="766"/>
        <v>Normal Discount</v>
      </c>
      <c r="H9801" s="37" t="str">
        <f t="shared" si="767"/>
        <v>Low</v>
      </c>
      <c r="I9801">
        <v>7</v>
      </c>
      <c r="J9801" t="str" cm="1">
        <f t="array" ref="J9801">_xlfn.IFS(I9801&lt;=3,"small",I9801&lt;=6,"Medium",I9801&lt;=9,"Large")</f>
        <v>Large</v>
      </c>
      <c r="K9801" s="36">
        <v>45069</v>
      </c>
      <c r="L9801" s="36">
        <v>45073</v>
      </c>
      <c r="M9801" t="s">
        <v>612</v>
      </c>
      <c r="N9801" t="s">
        <v>608</v>
      </c>
      <c r="O9801" s="37" t="str">
        <f t="shared" si="768"/>
        <v>Cash Payment</v>
      </c>
      <c r="P9801">
        <v>696.77</v>
      </c>
      <c r="Q9801" s="37" t="str">
        <f>IF(P9801&gt;500,"High","low")</f>
        <v>High</v>
      </c>
      <c r="R9801" s="37" t="str">
        <f t="shared" si="769"/>
        <v>Good</v>
      </c>
      <c r="S9801" t="s">
        <v>609</v>
      </c>
    </row>
    <row r="9802" spans="1:19" x14ac:dyDescent="0.2">
      <c r="A9802" t="s">
        <v>10413</v>
      </c>
      <c r="B9802" t="s">
        <v>83</v>
      </c>
      <c r="C9802" t="s">
        <v>597</v>
      </c>
      <c r="D9802">
        <v>4647.5</v>
      </c>
      <c r="E9802" s="37" t="str">
        <f t="shared" si="765"/>
        <v xml:space="preserve"> </v>
      </c>
      <c r="F9802">
        <v>0.23</v>
      </c>
      <c r="G9802" s="37" t="str">
        <f t="shared" si="766"/>
        <v>Normal Discount</v>
      </c>
      <c r="H9802" s="37" t="str">
        <f t="shared" si="767"/>
        <v>Medium</v>
      </c>
      <c r="I9802">
        <v>6</v>
      </c>
      <c r="J9802" t="str" cm="1">
        <f t="array" ref="J9802">_xlfn.IFS(I9802&lt;=3,"small",I9802&lt;=6,"Medium",I9802&lt;=9,"Large")</f>
        <v>Medium</v>
      </c>
      <c r="K9802" s="36">
        <v>44954</v>
      </c>
      <c r="L9802" s="36">
        <v>44957</v>
      </c>
      <c r="M9802" t="s">
        <v>603</v>
      </c>
      <c r="N9802" t="s">
        <v>608</v>
      </c>
      <c r="O9802" s="37" t="str">
        <f t="shared" si="768"/>
        <v>Cash Payment</v>
      </c>
      <c r="P9802">
        <v>538.99</v>
      </c>
      <c r="Q9802" s="37" t="str">
        <f>IF(P9802&gt;500,"High","low")</f>
        <v>High</v>
      </c>
      <c r="R9802" s="37" t="str">
        <f t="shared" si="769"/>
        <v>Good</v>
      </c>
      <c r="S9802" t="s">
        <v>620</v>
      </c>
    </row>
    <row r="9803" spans="1:19" x14ac:dyDescent="0.2">
      <c r="A9803" t="s">
        <v>10414</v>
      </c>
      <c r="B9803" t="s">
        <v>67</v>
      </c>
      <c r="C9803" t="s">
        <v>607</v>
      </c>
      <c r="D9803">
        <v>445.87</v>
      </c>
      <c r="E9803" s="37" t="str">
        <f t="shared" si="765"/>
        <v xml:space="preserve"> </v>
      </c>
      <c r="F9803">
        <v>0.01</v>
      </c>
      <c r="G9803" s="37" t="str">
        <f t="shared" si="766"/>
        <v>Normal Discount</v>
      </c>
      <c r="H9803" s="37" t="str">
        <f t="shared" si="767"/>
        <v>Low</v>
      </c>
      <c r="I9803">
        <v>1</v>
      </c>
      <c r="J9803" t="str" cm="1">
        <f t="array" ref="J9803">_xlfn.IFS(I9803&lt;=3,"small",I9803&lt;=6,"Medium",I9803&lt;=9,"Large")</f>
        <v>small</v>
      </c>
      <c r="K9803" s="36">
        <v>45367</v>
      </c>
      <c r="L9803" s="36">
        <v>45370</v>
      </c>
      <c r="M9803" t="s">
        <v>603</v>
      </c>
      <c r="N9803" t="s">
        <v>608</v>
      </c>
      <c r="O9803" s="37" t="str">
        <f t="shared" si="768"/>
        <v>Cash Payment</v>
      </c>
      <c r="P9803">
        <v>36.15</v>
      </c>
      <c r="Q9803" s="37" t="str">
        <f>IF(P9803&gt;500,"High","low")</f>
        <v>low</v>
      </c>
      <c r="R9803" s="37" t="str">
        <f t="shared" si="769"/>
        <v>AVERAGE</v>
      </c>
      <c r="S9803" t="s">
        <v>615</v>
      </c>
    </row>
    <row r="9804" spans="1:19" x14ac:dyDescent="0.2">
      <c r="A9804" t="s">
        <v>10415</v>
      </c>
      <c r="B9804" t="s">
        <v>75</v>
      </c>
      <c r="C9804" t="s">
        <v>617</v>
      </c>
      <c r="D9804">
        <v>4771.43</v>
      </c>
      <c r="E9804" s="37" t="str">
        <f t="shared" si="765"/>
        <v>Excellent Order</v>
      </c>
      <c r="F9804">
        <v>0.26</v>
      </c>
      <c r="G9804" s="37" t="str">
        <f t="shared" si="766"/>
        <v>Normal Discount</v>
      </c>
      <c r="H9804" s="37" t="str">
        <f t="shared" si="767"/>
        <v>Medium</v>
      </c>
      <c r="I9804">
        <v>8</v>
      </c>
      <c r="J9804" t="str" cm="1">
        <f t="array" ref="J9804">_xlfn.IFS(I9804&lt;=3,"small",I9804&lt;=6,"Medium",I9804&lt;=9,"Large")</f>
        <v>Large</v>
      </c>
      <c r="K9804" s="36">
        <v>45118</v>
      </c>
      <c r="L9804" s="36">
        <v>45119</v>
      </c>
      <c r="M9804" t="s">
        <v>612</v>
      </c>
      <c r="N9804" t="s">
        <v>599</v>
      </c>
      <c r="O9804" s="37" t="str">
        <f t="shared" si="768"/>
        <v>Digital Payment</v>
      </c>
      <c r="P9804">
        <v>849.94</v>
      </c>
      <c r="Q9804" s="37" t="str">
        <f>IF(P9804&gt;500,"High","low")</f>
        <v>High</v>
      </c>
      <c r="R9804" s="37" t="str">
        <f t="shared" si="769"/>
        <v>Good</v>
      </c>
      <c r="S9804" t="s">
        <v>615</v>
      </c>
    </row>
    <row r="9805" spans="1:19" x14ac:dyDescent="0.2">
      <c r="A9805" t="s">
        <v>10416</v>
      </c>
      <c r="B9805" t="s">
        <v>67</v>
      </c>
      <c r="C9805" t="s">
        <v>614</v>
      </c>
      <c r="D9805">
        <v>4559.99</v>
      </c>
      <c r="E9805" s="37" t="str">
        <f t="shared" si="765"/>
        <v xml:space="preserve"> </v>
      </c>
      <c r="F9805">
        <v>0.27</v>
      </c>
      <c r="G9805" s="37" t="str">
        <f t="shared" si="766"/>
        <v>Normal Discount</v>
      </c>
      <c r="H9805" s="37" t="str">
        <f t="shared" si="767"/>
        <v>Medium</v>
      </c>
      <c r="I9805">
        <v>9</v>
      </c>
      <c r="J9805" t="str" cm="1">
        <f t="array" ref="J9805">_xlfn.IFS(I9805&lt;=3,"small",I9805&lt;=6,"Medium",I9805&lt;=9,"Large")</f>
        <v>Large</v>
      </c>
      <c r="K9805" s="36">
        <v>45129</v>
      </c>
      <c r="L9805" s="36">
        <v>45131</v>
      </c>
      <c r="M9805" t="s">
        <v>603</v>
      </c>
      <c r="N9805" t="s">
        <v>608</v>
      </c>
      <c r="O9805" s="37" t="str">
        <f t="shared" si="768"/>
        <v>Cash Payment</v>
      </c>
      <c r="P9805">
        <v>784.51</v>
      </c>
      <c r="Q9805" s="37" t="str">
        <f>IF(P9805&gt;500,"High","low")</f>
        <v>High</v>
      </c>
      <c r="R9805" s="37" t="str">
        <f t="shared" si="769"/>
        <v>Good</v>
      </c>
      <c r="S9805" t="s">
        <v>620</v>
      </c>
    </row>
    <row r="9806" spans="1:19" x14ac:dyDescent="0.2">
      <c r="A9806" t="s">
        <v>10417</v>
      </c>
      <c r="B9806" t="s">
        <v>83</v>
      </c>
      <c r="C9806" t="s">
        <v>602</v>
      </c>
      <c r="D9806">
        <v>676.89</v>
      </c>
      <c r="E9806" s="37" t="str">
        <f t="shared" si="765"/>
        <v xml:space="preserve"> </v>
      </c>
      <c r="F9806">
        <v>0.46</v>
      </c>
      <c r="G9806" s="37" t="str">
        <f t="shared" si="766"/>
        <v>Heavy Discount</v>
      </c>
      <c r="H9806" s="37" t="str">
        <f t="shared" si="767"/>
        <v>High</v>
      </c>
      <c r="I9806">
        <v>2</v>
      </c>
      <c r="J9806" t="str" cm="1">
        <f t="array" ref="J9806">_xlfn.IFS(I9806&lt;=3,"small",I9806&lt;=6,"Medium",I9806&lt;=9,"Large")</f>
        <v>small</v>
      </c>
      <c r="K9806" s="36">
        <v>45147</v>
      </c>
      <c r="L9806" s="36">
        <v>45149</v>
      </c>
      <c r="M9806" t="s">
        <v>612</v>
      </c>
      <c r="N9806" t="s">
        <v>599</v>
      </c>
      <c r="O9806" s="37" t="str">
        <f t="shared" si="768"/>
        <v>Digital Payment</v>
      </c>
      <c r="P9806">
        <v>102.65</v>
      </c>
      <c r="Q9806" s="37" t="str">
        <f>IF(P9806&gt;500,"High","low")</f>
        <v>low</v>
      </c>
      <c r="R9806" s="37" t="str">
        <f t="shared" si="769"/>
        <v>AVERAGE</v>
      </c>
      <c r="S9806" t="s">
        <v>609</v>
      </c>
    </row>
    <row r="9807" spans="1:19" x14ac:dyDescent="0.2">
      <c r="A9807" t="s">
        <v>10418</v>
      </c>
      <c r="B9807" t="s">
        <v>67</v>
      </c>
      <c r="C9807" t="s">
        <v>614</v>
      </c>
      <c r="D9807">
        <v>999.57</v>
      </c>
      <c r="E9807" s="37" t="str">
        <f t="shared" si="765"/>
        <v xml:space="preserve"> </v>
      </c>
      <c r="F9807">
        <v>0.19</v>
      </c>
      <c r="G9807" s="37" t="str">
        <f t="shared" si="766"/>
        <v>Normal Discount</v>
      </c>
      <c r="H9807" s="37" t="str">
        <f t="shared" si="767"/>
        <v>Low</v>
      </c>
      <c r="I9807">
        <v>4</v>
      </c>
      <c r="J9807" t="str" cm="1">
        <f t="array" ref="J9807">_xlfn.IFS(I9807&lt;=3,"small",I9807&lt;=6,"Medium",I9807&lt;=9,"Large")</f>
        <v>Medium</v>
      </c>
      <c r="K9807" s="36">
        <v>45049</v>
      </c>
      <c r="L9807" s="36">
        <v>45051</v>
      </c>
      <c r="M9807" t="s">
        <v>612</v>
      </c>
      <c r="N9807" t="s">
        <v>604</v>
      </c>
      <c r="O9807" s="37" t="str">
        <f t="shared" si="768"/>
        <v>Digital Payment</v>
      </c>
      <c r="P9807">
        <v>182.86</v>
      </c>
      <c r="Q9807" s="37" t="str">
        <f>IF(P9807&gt;500,"High","low")</f>
        <v>low</v>
      </c>
      <c r="R9807" s="37" t="str">
        <f t="shared" si="769"/>
        <v>AVERAGE</v>
      </c>
      <c r="S9807" t="s">
        <v>609</v>
      </c>
    </row>
    <row r="9808" spans="1:19" x14ac:dyDescent="0.2">
      <c r="A9808" t="s">
        <v>10419</v>
      </c>
      <c r="B9808" t="s">
        <v>75</v>
      </c>
      <c r="C9808" t="s">
        <v>617</v>
      </c>
      <c r="D9808">
        <v>1626.82</v>
      </c>
      <c r="E9808" s="37" t="str">
        <f t="shared" si="765"/>
        <v xml:space="preserve"> </v>
      </c>
      <c r="F9808">
        <v>0.28999999999999998</v>
      </c>
      <c r="G9808" s="37" t="str">
        <f t="shared" si="766"/>
        <v>Normal Discount</v>
      </c>
      <c r="H9808" s="37" t="str">
        <f t="shared" si="767"/>
        <v>Medium</v>
      </c>
      <c r="I9808">
        <v>7</v>
      </c>
      <c r="J9808" t="str" cm="1">
        <f t="array" ref="J9808">_xlfn.IFS(I9808&lt;=3,"small",I9808&lt;=6,"Medium",I9808&lt;=9,"Large")</f>
        <v>Large</v>
      </c>
      <c r="K9808" s="36">
        <v>45059</v>
      </c>
      <c r="L9808" s="36">
        <v>45063</v>
      </c>
      <c r="M9808" t="s">
        <v>598</v>
      </c>
      <c r="N9808" t="s">
        <v>604</v>
      </c>
      <c r="O9808" s="37" t="str">
        <f t="shared" si="768"/>
        <v>Digital Payment</v>
      </c>
      <c r="P9808">
        <v>284.67</v>
      </c>
      <c r="Q9808" s="37" t="str">
        <f>IF(P9808&gt;500,"High","low")</f>
        <v>low</v>
      </c>
      <c r="R9808" s="37" t="str">
        <f t="shared" si="769"/>
        <v>AVERAGE</v>
      </c>
      <c r="S9808" t="s">
        <v>615</v>
      </c>
    </row>
    <row r="9809" spans="1:19" x14ac:dyDescent="0.2">
      <c r="A9809" t="s">
        <v>10420</v>
      </c>
      <c r="B9809" t="s">
        <v>67</v>
      </c>
      <c r="C9809" t="s">
        <v>602</v>
      </c>
      <c r="D9809">
        <v>2842.36</v>
      </c>
      <c r="E9809" s="37" t="str">
        <f t="shared" si="765"/>
        <v xml:space="preserve"> </v>
      </c>
      <c r="F9809">
        <v>0.37</v>
      </c>
      <c r="G9809" s="37" t="str">
        <f t="shared" si="766"/>
        <v>Heavy Discount</v>
      </c>
      <c r="H9809" s="37" t="str">
        <f t="shared" si="767"/>
        <v>Medium</v>
      </c>
      <c r="I9809">
        <v>1</v>
      </c>
      <c r="J9809" t="str" cm="1">
        <f t="array" ref="J9809">_xlfn.IFS(I9809&lt;=3,"small",I9809&lt;=6,"Medium",I9809&lt;=9,"Large")</f>
        <v>small</v>
      </c>
      <c r="K9809" s="36">
        <v>45161</v>
      </c>
      <c r="L9809" s="36">
        <v>45166</v>
      </c>
      <c r="M9809" t="s">
        <v>603</v>
      </c>
      <c r="N9809" t="s">
        <v>599</v>
      </c>
      <c r="O9809" s="37" t="str">
        <f t="shared" si="768"/>
        <v>Digital Payment</v>
      </c>
      <c r="P9809">
        <v>557.58000000000004</v>
      </c>
      <c r="Q9809" s="37" t="str">
        <f>IF(P9809&gt;500,"High","low")</f>
        <v>High</v>
      </c>
      <c r="R9809" s="37" t="str">
        <f t="shared" si="769"/>
        <v>Good</v>
      </c>
      <c r="S9809" t="s">
        <v>609</v>
      </c>
    </row>
    <row r="9810" spans="1:19" x14ac:dyDescent="0.2">
      <c r="A9810" t="s">
        <v>10421</v>
      </c>
      <c r="B9810" t="s">
        <v>75</v>
      </c>
      <c r="C9810" t="s">
        <v>614</v>
      </c>
      <c r="D9810">
        <v>758.93</v>
      </c>
      <c r="E9810" s="37" t="str">
        <f t="shared" si="765"/>
        <v xml:space="preserve"> </v>
      </c>
      <c r="F9810">
        <v>0.3</v>
      </c>
      <c r="G9810" s="37" t="str">
        <f t="shared" si="766"/>
        <v>Normal Discount</v>
      </c>
      <c r="H9810" s="37" t="str">
        <f t="shared" si="767"/>
        <v>Medium</v>
      </c>
      <c r="I9810">
        <v>8</v>
      </c>
      <c r="J9810" t="str" cm="1">
        <f t="array" ref="J9810">_xlfn.IFS(I9810&lt;=3,"small",I9810&lt;=6,"Medium",I9810&lt;=9,"Large")</f>
        <v>Large</v>
      </c>
      <c r="K9810" s="36">
        <v>45096</v>
      </c>
      <c r="L9810" s="36">
        <v>45097</v>
      </c>
      <c r="M9810" t="s">
        <v>598</v>
      </c>
      <c r="N9810" t="s">
        <v>608</v>
      </c>
      <c r="O9810" s="37" t="str">
        <f t="shared" si="768"/>
        <v>Cash Payment</v>
      </c>
      <c r="P9810">
        <v>221.43</v>
      </c>
      <c r="Q9810" s="37" t="str">
        <f>IF(P9810&gt;500,"High","low")</f>
        <v>low</v>
      </c>
      <c r="R9810" s="37" t="str">
        <f t="shared" si="769"/>
        <v>AVERAGE</v>
      </c>
      <c r="S9810" t="s">
        <v>615</v>
      </c>
    </row>
    <row r="9811" spans="1:19" x14ac:dyDescent="0.2">
      <c r="A9811" t="s">
        <v>10422</v>
      </c>
      <c r="B9811" t="s">
        <v>75</v>
      </c>
      <c r="C9811" t="s">
        <v>607</v>
      </c>
      <c r="D9811">
        <v>1081.6400000000001</v>
      </c>
      <c r="E9811" s="37" t="str">
        <f t="shared" si="765"/>
        <v xml:space="preserve"> </v>
      </c>
      <c r="F9811">
        <v>0.08</v>
      </c>
      <c r="G9811" s="37" t="str">
        <f t="shared" si="766"/>
        <v>Normal Discount</v>
      </c>
      <c r="H9811" s="37" t="str">
        <f t="shared" si="767"/>
        <v>Low</v>
      </c>
      <c r="I9811">
        <v>9</v>
      </c>
      <c r="J9811" t="str" cm="1">
        <f t="array" ref="J9811">_xlfn.IFS(I9811&lt;=3,"small",I9811&lt;=6,"Medium",I9811&lt;=9,"Large")</f>
        <v>Large</v>
      </c>
      <c r="K9811" s="36">
        <v>44946</v>
      </c>
      <c r="L9811" s="36">
        <v>44952</v>
      </c>
      <c r="M9811" t="s">
        <v>598</v>
      </c>
      <c r="N9811" t="s">
        <v>604</v>
      </c>
      <c r="O9811" s="37" t="str">
        <f t="shared" si="768"/>
        <v>Digital Payment</v>
      </c>
      <c r="P9811">
        <v>245.12</v>
      </c>
      <c r="Q9811" s="37" t="str">
        <f>IF(P9811&gt;500,"High","low")</f>
        <v>low</v>
      </c>
      <c r="R9811" s="37" t="str">
        <f t="shared" si="769"/>
        <v>AVERAGE</v>
      </c>
      <c r="S9811" t="s">
        <v>615</v>
      </c>
    </row>
    <row r="9812" spans="1:19" x14ac:dyDescent="0.2">
      <c r="A9812" t="s">
        <v>10423</v>
      </c>
      <c r="B9812" t="s">
        <v>75</v>
      </c>
      <c r="C9812" t="s">
        <v>597</v>
      </c>
      <c r="D9812">
        <v>4523.1099999999997</v>
      </c>
      <c r="E9812" s="37" t="str">
        <f t="shared" si="765"/>
        <v>Excellent Order</v>
      </c>
      <c r="F9812">
        <v>0.09</v>
      </c>
      <c r="G9812" s="37" t="str">
        <f t="shared" si="766"/>
        <v>Normal Discount</v>
      </c>
      <c r="H9812" s="37" t="str">
        <f t="shared" si="767"/>
        <v>Low</v>
      </c>
      <c r="I9812">
        <v>8</v>
      </c>
      <c r="J9812" t="str" cm="1">
        <f t="array" ref="J9812">_xlfn.IFS(I9812&lt;=3,"small",I9812&lt;=6,"Medium",I9812&lt;=9,"Large")</f>
        <v>Large</v>
      </c>
      <c r="K9812" s="36">
        <v>45524</v>
      </c>
      <c r="L9812" s="36">
        <v>45531</v>
      </c>
      <c r="M9812" t="s">
        <v>603</v>
      </c>
      <c r="N9812" t="s">
        <v>599</v>
      </c>
      <c r="O9812" s="37" t="str">
        <f t="shared" si="768"/>
        <v>Digital Payment</v>
      </c>
      <c r="P9812">
        <v>1204.51</v>
      </c>
      <c r="Q9812" s="37" t="str">
        <f>IF(P9812&gt;500,"High","low")</f>
        <v>High</v>
      </c>
      <c r="R9812" s="37" t="str">
        <f t="shared" si="769"/>
        <v>Excellent</v>
      </c>
      <c r="S9812" t="s">
        <v>600</v>
      </c>
    </row>
    <row r="9813" spans="1:19" x14ac:dyDescent="0.2">
      <c r="A9813" t="s">
        <v>10424</v>
      </c>
      <c r="B9813" t="s">
        <v>83</v>
      </c>
      <c r="C9813" t="s">
        <v>597</v>
      </c>
      <c r="D9813">
        <v>635.57000000000005</v>
      </c>
      <c r="E9813" s="37" t="str">
        <f t="shared" si="765"/>
        <v xml:space="preserve"> </v>
      </c>
      <c r="F9813">
        <v>7.0000000000000007E-2</v>
      </c>
      <c r="G9813" s="37" t="str">
        <f t="shared" si="766"/>
        <v>Normal Discount</v>
      </c>
      <c r="H9813" s="37" t="str">
        <f t="shared" si="767"/>
        <v>Low</v>
      </c>
      <c r="I9813">
        <v>2</v>
      </c>
      <c r="J9813" t="str" cm="1">
        <f t="array" ref="J9813">_xlfn.IFS(I9813&lt;=3,"small",I9813&lt;=6,"Medium",I9813&lt;=9,"Large")</f>
        <v>small</v>
      </c>
      <c r="K9813" s="36">
        <v>45559</v>
      </c>
      <c r="L9813" s="36">
        <v>45566</v>
      </c>
      <c r="M9813" t="s">
        <v>598</v>
      </c>
      <c r="N9813" t="s">
        <v>599</v>
      </c>
      <c r="O9813" s="37" t="str">
        <f t="shared" si="768"/>
        <v>Digital Payment</v>
      </c>
      <c r="P9813">
        <v>110.82</v>
      </c>
      <c r="Q9813" s="37" t="str">
        <f>IF(P9813&gt;500,"High","low")</f>
        <v>low</v>
      </c>
      <c r="R9813" s="37" t="str">
        <f t="shared" si="769"/>
        <v>AVERAGE</v>
      </c>
      <c r="S9813" t="s">
        <v>615</v>
      </c>
    </row>
    <row r="9814" spans="1:19" x14ac:dyDescent="0.2">
      <c r="A9814" t="s">
        <v>10425</v>
      </c>
      <c r="B9814" t="s">
        <v>67</v>
      </c>
      <c r="C9814" t="s">
        <v>617</v>
      </c>
      <c r="D9814">
        <v>2054.5</v>
      </c>
      <c r="E9814" s="37" t="str">
        <f t="shared" si="765"/>
        <v xml:space="preserve"> </v>
      </c>
      <c r="F9814">
        <v>0.11</v>
      </c>
      <c r="G9814" s="37" t="str">
        <f t="shared" si="766"/>
        <v>Normal Discount</v>
      </c>
      <c r="H9814" s="37" t="str">
        <f t="shared" si="767"/>
        <v>Low</v>
      </c>
      <c r="I9814">
        <v>8</v>
      </c>
      <c r="J9814" t="str" cm="1">
        <f t="array" ref="J9814">_xlfn.IFS(I9814&lt;=3,"small",I9814&lt;=6,"Medium",I9814&lt;=9,"Large")</f>
        <v>Large</v>
      </c>
      <c r="K9814" s="36">
        <v>45202</v>
      </c>
      <c r="L9814" s="36">
        <v>45206</v>
      </c>
      <c r="M9814" t="s">
        <v>598</v>
      </c>
      <c r="N9814" t="s">
        <v>604</v>
      </c>
      <c r="O9814" s="37" t="str">
        <f t="shared" si="768"/>
        <v>Digital Payment</v>
      </c>
      <c r="P9814">
        <v>458.38</v>
      </c>
      <c r="Q9814" s="37" t="str">
        <f>IF(P9814&gt;500,"High","low")</f>
        <v>low</v>
      </c>
      <c r="R9814" s="37" t="str">
        <f t="shared" si="769"/>
        <v>AVERAGE</v>
      </c>
      <c r="S9814" t="s">
        <v>615</v>
      </c>
    </row>
    <row r="9815" spans="1:19" x14ac:dyDescent="0.2">
      <c r="A9815" t="s">
        <v>10426</v>
      </c>
      <c r="B9815" t="s">
        <v>83</v>
      </c>
      <c r="C9815" t="s">
        <v>602</v>
      </c>
      <c r="D9815">
        <v>3838.71</v>
      </c>
      <c r="E9815" s="37" t="str">
        <f t="shared" si="765"/>
        <v xml:space="preserve"> </v>
      </c>
      <c r="F9815">
        <v>0.16</v>
      </c>
      <c r="G9815" s="37" t="str">
        <f t="shared" si="766"/>
        <v>Normal Discount</v>
      </c>
      <c r="H9815" s="37" t="str">
        <f t="shared" si="767"/>
        <v>Low</v>
      </c>
      <c r="I9815">
        <v>8</v>
      </c>
      <c r="J9815" t="str" cm="1">
        <f t="array" ref="J9815">_xlfn.IFS(I9815&lt;=3,"small",I9815&lt;=6,"Medium",I9815&lt;=9,"Large")</f>
        <v>Large</v>
      </c>
      <c r="K9815" s="36">
        <v>45620</v>
      </c>
      <c r="L9815" s="36">
        <v>45623</v>
      </c>
      <c r="M9815" t="s">
        <v>598</v>
      </c>
      <c r="N9815" t="s">
        <v>604</v>
      </c>
      <c r="O9815" s="37" t="str">
        <f t="shared" si="768"/>
        <v>Digital Payment</v>
      </c>
      <c r="P9815">
        <v>254.16</v>
      </c>
      <c r="Q9815" s="37" t="str">
        <f>IF(P9815&gt;500,"High","low")</f>
        <v>low</v>
      </c>
      <c r="R9815" s="37" t="str">
        <f t="shared" si="769"/>
        <v>AVERAGE</v>
      </c>
      <c r="S9815" t="s">
        <v>620</v>
      </c>
    </row>
    <row r="9816" spans="1:19" x14ac:dyDescent="0.2">
      <c r="A9816" t="s">
        <v>10427</v>
      </c>
      <c r="B9816" t="s">
        <v>67</v>
      </c>
      <c r="C9816" t="s">
        <v>602</v>
      </c>
      <c r="D9816">
        <v>4454.0600000000004</v>
      </c>
      <c r="E9816" s="37" t="str">
        <f t="shared" si="765"/>
        <v>Excellent Order</v>
      </c>
      <c r="F9816">
        <v>0.37</v>
      </c>
      <c r="G9816" s="37" t="str">
        <f t="shared" si="766"/>
        <v>Heavy Discount</v>
      </c>
      <c r="H9816" s="37" t="str">
        <f t="shared" si="767"/>
        <v>Medium</v>
      </c>
      <c r="I9816">
        <v>2</v>
      </c>
      <c r="J9816" t="str" cm="1">
        <f t="array" ref="J9816">_xlfn.IFS(I9816&lt;=3,"small",I9816&lt;=6,"Medium",I9816&lt;=9,"Large")</f>
        <v>small</v>
      </c>
      <c r="K9816" s="36">
        <v>44962</v>
      </c>
      <c r="L9816" s="36">
        <v>44967</v>
      </c>
      <c r="M9816" t="s">
        <v>612</v>
      </c>
      <c r="N9816" t="s">
        <v>599</v>
      </c>
      <c r="O9816" s="37" t="str">
        <f t="shared" si="768"/>
        <v>Digital Payment</v>
      </c>
      <c r="P9816">
        <v>1128.68</v>
      </c>
      <c r="Q9816" s="37" t="str">
        <f>IF(P9816&gt;500,"High","low")</f>
        <v>High</v>
      </c>
      <c r="R9816" s="37" t="str">
        <f t="shared" si="769"/>
        <v>Excellent</v>
      </c>
      <c r="S9816" t="s">
        <v>628</v>
      </c>
    </row>
    <row r="9817" spans="1:19" x14ac:dyDescent="0.2">
      <c r="A9817" t="s">
        <v>10428</v>
      </c>
      <c r="B9817" t="s">
        <v>83</v>
      </c>
      <c r="C9817" t="s">
        <v>597</v>
      </c>
      <c r="D9817">
        <v>1746.61</v>
      </c>
      <c r="E9817" s="37" t="str">
        <f t="shared" si="765"/>
        <v xml:space="preserve"> </v>
      </c>
      <c r="F9817">
        <v>0.03</v>
      </c>
      <c r="G9817" s="37" t="str">
        <f t="shared" si="766"/>
        <v>Normal Discount</v>
      </c>
      <c r="H9817" s="37" t="str">
        <f t="shared" si="767"/>
        <v>Low</v>
      </c>
      <c r="I9817">
        <v>9</v>
      </c>
      <c r="J9817" t="str" cm="1">
        <f t="array" ref="J9817">_xlfn.IFS(I9817&lt;=3,"small",I9817&lt;=6,"Medium",I9817&lt;=9,"Large")</f>
        <v>Large</v>
      </c>
      <c r="K9817" s="36">
        <v>45038</v>
      </c>
      <c r="L9817" s="36">
        <v>45043</v>
      </c>
      <c r="M9817" t="s">
        <v>598</v>
      </c>
      <c r="N9817" t="s">
        <v>599</v>
      </c>
      <c r="O9817" s="37" t="str">
        <f t="shared" si="768"/>
        <v>Digital Payment</v>
      </c>
      <c r="P9817">
        <v>500.49</v>
      </c>
      <c r="Q9817" s="37" t="str">
        <f>IF(P9817&gt;500,"High","low")</f>
        <v>High</v>
      </c>
      <c r="R9817" s="37" t="str">
        <f t="shared" si="769"/>
        <v>Good</v>
      </c>
      <c r="S9817" t="s">
        <v>600</v>
      </c>
    </row>
    <row r="9818" spans="1:19" x14ac:dyDescent="0.2">
      <c r="A9818" t="s">
        <v>10429</v>
      </c>
      <c r="B9818" t="s">
        <v>90</v>
      </c>
      <c r="C9818" t="s">
        <v>614</v>
      </c>
      <c r="D9818">
        <v>905.74</v>
      </c>
      <c r="E9818" s="37" t="str">
        <f t="shared" si="765"/>
        <v xml:space="preserve"> </v>
      </c>
      <c r="F9818">
        <v>0.41</v>
      </c>
      <c r="G9818" s="37" t="str">
        <f t="shared" si="766"/>
        <v>Heavy Discount</v>
      </c>
      <c r="H9818" s="37" t="str">
        <f t="shared" si="767"/>
        <v>High</v>
      </c>
      <c r="I9818">
        <v>1</v>
      </c>
      <c r="J9818" t="str" cm="1">
        <f t="array" ref="J9818">_xlfn.IFS(I9818&lt;=3,"small",I9818&lt;=6,"Medium",I9818&lt;=9,"Large")</f>
        <v>small</v>
      </c>
      <c r="K9818" s="36">
        <v>45505</v>
      </c>
      <c r="L9818" s="36">
        <v>45509</v>
      </c>
      <c r="M9818" t="s">
        <v>612</v>
      </c>
      <c r="N9818" t="s">
        <v>608</v>
      </c>
      <c r="O9818" s="37" t="str">
        <f t="shared" si="768"/>
        <v>Cash Payment</v>
      </c>
      <c r="P9818">
        <v>265.81</v>
      </c>
      <c r="Q9818" s="37" t="str">
        <f>IF(P9818&gt;500,"High","low")</f>
        <v>low</v>
      </c>
      <c r="R9818" s="37" t="str">
        <f t="shared" si="769"/>
        <v>AVERAGE</v>
      </c>
      <c r="S9818" t="s">
        <v>609</v>
      </c>
    </row>
    <row r="9819" spans="1:19" x14ac:dyDescent="0.2">
      <c r="A9819" t="s">
        <v>10430</v>
      </c>
      <c r="B9819" t="s">
        <v>75</v>
      </c>
      <c r="C9819" t="s">
        <v>602</v>
      </c>
      <c r="D9819">
        <v>3711.36</v>
      </c>
      <c r="E9819" s="37" t="str">
        <f t="shared" si="765"/>
        <v xml:space="preserve"> </v>
      </c>
      <c r="F9819">
        <v>0.13</v>
      </c>
      <c r="G9819" s="37" t="str">
        <f t="shared" si="766"/>
        <v>Normal Discount</v>
      </c>
      <c r="H9819" s="37" t="str">
        <f t="shared" si="767"/>
        <v>Low</v>
      </c>
      <c r="I9819">
        <v>7</v>
      </c>
      <c r="J9819" t="str" cm="1">
        <f t="array" ref="J9819">_xlfn.IFS(I9819&lt;=3,"small",I9819&lt;=6,"Medium",I9819&lt;=9,"Large")</f>
        <v>Large</v>
      </c>
      <c r="K9819" s="36">
        <v>45126</v>
      </c>
      <c r="L9819" s="36">
        <v>45129</v>
      </c>
      <c r="M9819" t="s">
        <v>603</v>
      </c>
      <c r="N9819" t="s">
        <v>608</v>
      </c>
      <c r="O9819" s="37" t="str">
        <f t="shared" si="768"/>
        <v>Cash Payment</v>
      </c>
      <c r="P9819">
        <v>357.28</v>
      </c>
      <c r="Q9819" s="37" t="str">
        <f>IF(P9819&gt;500,"High","low")</f>
        <v>low</v>
      </c>
      <c r="R9819" s="37" t="str">
        <f t="shared" si="769"/>
        <v>AVERAGE</v>
      </c>
      <c r="S9819" t="s">
        <v>605</v>
      </c>
    </row>
    <row r="9820" spans="1:19" x14ac:dyDescent="0.2">
      <c r="A9820" t="s">
        <v>10431</v>
      </c>
      <c r="B9820" t="s">
        <v>75</v>
      </c>
      <c r="C9820" t="s">
        <v>607</v>
      </c>
      <c r="D9820">
        <v>3885.53</v>
      </c>
      <c r="E9820" s="37" t="str">
        <f t="shared" si="765"/>
        <v xml:space="preserve"> </v>
      </c>
      <c r="F9820">
        <v>0.31</v>
      </c>
      <c r="G9820" s="37" t="str">
        <f t="shared" si="766"/>
        <v>Heavy Discount</v>
      </c>
      <c r="H9820" s="37" t="str">
        <f t="shared" si="767"/>
        <v>Medium</v>
      </c>
      <c r="I9820">
        <v>2</v>
      </c>
      <c r="J9820" t="str" cm="1">
        <f t="array" ref="J9820">_xlfn.IFS(I9820&lt;=3,"small",I9820&lt;=6,"Medium",I9820&lt;=9,"Large")</f>
        <v>small</v>
      </c>
      <c r="K9820" s="36">
        <v>45468</v>
      </c>
      <c r="L9820" s="36">
        <v>45473</v>
      </c>
      <c r="M9820" t="s">
        <v>612</v>
      </c>
      <c r="N9820" t="s">
        <v>604</v>
      </c>
      <c r="O9820" s="37" t="str">
        <f t="shared" si="768"/>
        <v>Digital Payment</v>
      </c>
      <c r="P9820">
        <v>1131.29</v>
      </c>
      <c r="Q9820" s="37" t="str">
        <f>IF(P9820&gt;500,"High","low")</f>
        <v>High</v>
      </c>
      <c r="R9820" s="37" t="str">
        <f t="shared" si="769"/>
        <v>Excellent</v>
      </c>
      <c r="S9820" t="s">
        <v>609</v>
      </c>
    </row>
    <row r="9821" spans="1:19" x14ac:dyDescent="0.2">
      <c r="A9821" t="s">
        <v>10432</v>
      </c>
      <c r="B9821" t="s">
        <v>83</v>
      </c>
      <c r="C9821" t="s">
        <v>607</v>
      </c>
      <c r="D9821">
        <v>4902.16</v>
      </c>
      <c r="E9821" s="37" t="str">
        <f t="shared" si="765"/>
        <v>Excellent Order</v>
      </c>
      <c r="F9821">
        <v>0.28000000000000003</v>
      </c>
      <c r="G9821" s="37" t="str">
        <f t="shared" si="766"/>
        <v>Normal Discount</v>
      </c>
      <c r="H9821" s="37" t="str">
        <f t="shared" si="767"/>
        <v>Medium</v>
      </c>
      <c r="I9821">
        <v>8</v>
      </c>
      <c r="J9821" t="str" cm="1">
        <f t="array" ref="J9821">_xlfn.IFS(I9821&lt;=3,"small",I9821&lt;=6,"Medium",I9821&lt;=9,"Large")</f>
        <v>Large</v>
      </c>
      <c r="K9821" s="36">
        <v>45634</v>
      </c>
      <c r="L9821" s="36">
        <v>45638</v>
      </c>
      <c r="M9821" t="s">
        <v>612</v>
      </c>
      <c r="N9821" t="s">
        <v>604</v>
      </c>
      <c r="O9821" s="37" t="str">
        <f t="shared" si="768"/>
        <v>Digital Payment</v>
      </c>
      <c r="P9821">
        <v>909.95</v>
      </c>
      <c r="Q9821" s="37" t="str">
        <f>IF(P9821&gt;500,"High","low")</f>
        <v>High</v>
      </c>
      <c r="R9821" s="37" t="str">
        <f t="shared" si="769"/>
        <v>Good</v>
      </c>
      <c r="S9821" t="s">
        <v>609</v>
      </c>
    </row>
    <row r="9822" spans="1:19" x14ac:dyDescent="0.2">
      <c r="A9822" t="s">
        <v>10433</v>
      </c>
      <c r="B9822" t="s">
        <v>90</v>
      </c>
      <c r="C9822" t="s">
        <v>602</v>
      </c>
      <c r="D9822">
        <v>783.76</v>
      </c>
      <c r="E9822" s="37" t="str">
        <f t="shared" si="765"/>
        <v xml:space="preserve"> </v>
      </c>
      <c r="F9822">
        <v>0.08</v>
      </c>
      <c r="G9822" s="37" t="str">
        <f t="shared" si="766"/>
        <v>Normal Discount</v>
      </c>
      <c r="H9822" s="37" t="str">
        <f t="shared" si="767"/>
        <v>Low</v>
      </c>
      <c r="I9822">
        <v>8</v>
      </c>
      <c r="J9822" t="str" cm="1">
        <f t="array" ref="J9822">_xlfn.IFS(I9822&lt;=3,"small",I9822&lt;=6,"Medium",I9822&lt;=9,"Large")</f>
        <v>Large</v>
      </c>
      <c r="K9822" s="36">
        <v>45061</v>
      </c>
      <c r="L9822" s="36">
        <v>45064</v>
      </c>
      <c r="M9822" t="s">
        <v>612</v>
      </c>
      <c r="N9822" t="s">
        <v>604</v>
      </c>
      <c r="O9822" s="37" t="str">
        <f t="shared" si="768"/>
        <v>Digital Payment</v>
      </c>
      <c r="P9822">
        <v>206.54</v>
      </c>
      <c r="Q9822" s="37" t="str">
        <f>IF(P9822&gt;500,"High","low")</f>
        <v>low</v>
      </c>
      <c r="R9822" s="37" t="str">
        <f t="shared" si="769"/>
        <v>AVERAGE</v>
      </c>
      <c r="S9822" t="s">
        <v>600</v>
      </c>
    </row>
    <row r="9823" spans="1:19" x14ac:dyDescent="0.2">
      <c r="A9823" t="s">
        <v>10434</v>
      </c>
      <c r="B9823" t="s">
        <v>75</v>
      </c>
      <c r="C9823" t="s">
        <v>602</v>
      </c>
      <c r="D9823">
        <v>3576.16</v>
      </c>
      <c r="E9823" s="37" t="str">
        <f t="shared" si="765"/>
        <v xml:space="preserve"> </v>
      </c>
      <c r="F9823">
        <v>0.14000000000000001</v>
      </c>
      <c r="G9823" s="37" t="str">
        <f t="shared" si="766"/>
        <v>Normal Discount</v>
      </c>
      <c r="H9823" s="37" t="str">
        <f t="shared" si="767"/>
        <v>Low</v>
      </c>
      <c r="I9823">
        <v>4</v>
      </c>
      <c r="J9823" t="str" cm="1">
        <f t="array" ref="J9823">_xlfn.IFS(I9823&lt;=3,"small",I9823&lt;=6,"Medium",I9823&lt;=9,"Large")</f>
        <v>Medium</v>
      </c>
      <c r="K9823" s="36">
        <v>45048</v>
      </c>
      <c r="L9823" s="36">
        <v>45054</v>
      </c>
      <c r="M9823" t="s">
        <v>598</v>
      </c>
      <c r="N9823" t="s">
        <v>608</v>
      </c>
      <c r="O9823" s="37" t="str">
        <f t="shared" si="768"/>
        <v>Cash Payment</v>
      </c>
      <c r="P9823">
        <v>849.27</v>
      </c>
      <c r="Q9823" s="37" t="str">
        <f>IF(P9823&gt;500,"High","low")</f>
        <v>High</v>
      </c>
      <c r="R9823" s="37" t="str">
        <f t="shared" si="769"/>
        <v>Good</v>
      </c>
      <c r="S9823" t="s">
        <v>600</v>
      </c>
    </row>
    <row r="9824" spans="1:19" x14ac:dyDescent="0.2">
      <c r="A9824" t="s">
        <v>10435</v>
      </c>
      <c r="B9824" t="s">
        <v>67</v>
      </c>
      <c r="C9824" t="s">
        <v>597</v>
      </c>
      <c r="D9824">
        <v>2144.73</v>
      </c>
      <c r="E9824" s="37" t="str">
        <f t="shared" si="765"/>
        <v xml:space="preserve"> </v>
      </c>
      <c r="F9824">
        <v>0.15</v>
      </c>
      <c r="G9824" s="37" t="str">
        <f t="shared" si="766"/>
        <v>Normal Discount</v>
      </c>
      <c r="H9824" s="37" t="str">
        <f t="shared" si="767"/>
        <v>Low</v>
      </c>
      <c r="I9824">
        <v>8</v>
      </c>
      <c r="J9824" t="str" cm="1">
        <f t="array" ref="J9824">_xlfn.IFS(I9824&lt;=3,"small",I9824&lt;=6,"Medium",I9824&lt;=9,"Large")</f>
        <v>Large</v>
      </c>
      <c r="K9824" s="36">
        <v>45590</v>
      </c>
      <c r="L9824" s="36">
        <v>45594</v>
      </c>
      <c r="M9824" t="s">
        <v>603</v>
      </c>
      <c r="N9824" t="s">
        <v>599</v>
      </c>
      <c r="O9824" s="37" t="str">
        <f t="shared" si="768"/>
        <v>Digital Payment</v>
      </c>
      <c r="P9824">
        <v>593.17999999999995</v>
      </c>
      <c r="Q9824" s="37" t="str">
        <f>IF(P9824&gt;500,"High","low")</f>
        <v>High</v>
      </c>
      <c r="R9824" s="37" t="str">
        <f t="shared" si="769"/>
        <v>Good</v>
      </c>
      <c r="S9824" t="s">
        <v>628</v>
      </c>
    </row>
    <row r="9825" spans="1:19" x14ac:dyDescent="0.2">
      <c r="A9825" t="s">
        <v>10436</v>
      </c>
      <c r="B9825" t="s">
        <v>83</v>
      </c>
      <c r="C9825" t="s">
        <v>617</v>
      </c>
      <c r="D9825">
        <v>4581.68</v>
      </c>
      <c r="E9825" s="37" t="str">
        <f t="shared" si="765"/>
        <v>Excellent Order</v>
      </c>
      <c r="F9825">
        <v>0.31</v>
      </c>
      <c r="G9825" s="37" t="str">
        <f t="shared" si="766"/>
        <v>Heavy Discount</v>
      </c>
      <c r="H9825" s="37" t="str">
        <f t="shared" si="767"/>
        <v>Medium</v>
      </c>
      <c r="I9825">
        <v>5</v>
      </c>
      <c r="J9825" t="str" cm="1">
        <f t="array" ref="J9825">_xlfn.IFS(I9825&lt;=3,"small",I9825&lt;=6,"Medium",I9825&lt;=9,"Large")</f>
        <v>Medium</v>
      </c>
      <c r="K9825" s="36">
        <v>45191</v>
      </c>
      <c r="L9825" s="36">
        <v>45197</v>
      </c>
      <c r="M9825" t="s">
        <v>598</v>
      </c>
      <c r="N9825" t="s">
        <v>599</v>
      </c>
      <c r="O9825" s="37" t="str">
        <f t="shared" si="768"/>
        <v>Digital Payment</v>
      </c>
      <c r="P9825">
        <v>933.32</v>
      </c>
      <c r="Q9825" s="37" t="str">
        <f>IF(P9825&gt;500,"High","low")</f>
        <v>High</v>
      </c>
      <c r="R9825" s="37" t="str">
        <f t="shared" si="769"/>
        <v>Good</v>
      </c>
      <c r="S9825" t="s">
        <v>620</v>
      </c>
    </row>
    <row r="9826" spans="1:19" x14ac:dyDescent="0.2">
      <c r="A9826" t="s">
        <v>10437</v>
      </c>
      <c r="B9826" t="s">
        <v>75</v>
      </c>
      <c r="C9826" t="s">
        <v>597</v>
      </c>
      <c r="D9826">
        <v>2098.37</v>
      </c>
      <c r="E9826" s="37" t="str">
        <f t="shared" si="765"/>
        <v xml:space="preserve"> </v>
      </c>
      <c r="F9826">
        <v>0.39</v>
      </c>
      <c r="G9826" s="37" t="str">
        <f t="shared" si="766"/>
        <v>Heavy Discount</v>
      </c>
      <c r="H9826" s="37" t="str">
        <f t="shared" si="767"/>
        <v>Medium</v>
      </c>
      <c r="I9826">
        <v>9</v>
      </c>
      <c r="J9826" t="str" cm="1">
        <f t="array" ref="J9826">_xlfn.IFS(I9826&lt;=3,"small",I9826&lt;=6,"Medium",I9826&lt;=9,"Large")</f>
        <v>Large</v>
      </c>
      <c r="K9826" s="36">
        <v>45216</v>
      </c>
      <c r="L9826" s="36">
        <v>45219</v>
      </c>
      <c r="M9826" t="s">
        <v>598</v>
      </c>
      <c r="N9826" t="s">
        <v>604</v>
      </c>
      <c r="O9826" s="37" t="str">
        <f t="shared" si="768"/>
        <v>Digital Payment</v>
      </c>
      <c r="P9826">
        <v>276.20999999999998</v>
      </c>
      <c r="Q9826" s="37" t="str">
        <f>IF(P9826&gt;500,"High","low")</f>
        <v>low</v>
      </c>
      <c r="R9826" s="37" t="str">
        <f t="shared" si="769"/>
        <v>AVERAGE</v>
      </c>
      <c r="S9826" t="s">
        <v>628</v>
      </c>
    </row>
    <row r="9827" spans="1:19" x14ac:dyDescent="0.2">
      <c r="A9827" t="s">
        <v>10438</v>
      </c>
      <c r="B9827" t="s">
        <v>75</v>
      </c>
      <c r="C9827" t="s">
        <v>617</v>
      </c>
      <c r="D9827">
        <v>2285.21</v>
      </c>
      <c r="E9827" s="37" t="str">
        <f t="shared" si="765"/>
        <v xml:space="preserve"> </v>
      </c>
      <c r="F9827">
        <v>0.5</v>
      </c>
      <c r="G9827" s="37" t="str">
        <f t="shared" si="766"/>
        <v>Heavy Discount</v>
      </c>
      <c r="H9827" s="37" t="str">
        <f t="shared" si="767"/>
        <v>High</v>
      </c>
      <c r="I9827">
        <v>1</v>
      </c>
      <c r="J9827" t="str" cm="1">
        <f t="array" ref="J9827">_xlfn.IFS(I9827&lt;=3,"small",I9827&lt;=6,"Medium",I9827&lt;=9,"Large")</f>
        <v>small</v>
      </c>
      <c r="K9827" s="36">
        <v>45639</v>
      </c>
      <c r="L9827" s="36">
        <v>45640</v>
      </c>
      <c r="M9827" t="s">
        <v>612</v>
      </c>
      <c r="N9827" t="s">
        <v>599</v>
      </c>
      <c r="O9827" s="37" t="str">
        <f t="shared" si="768"/>
        <v>Digital Payment</v>
      </c>
      <c r="P9827">
        <v>548.61</v>
      </c>
      <c r="Q9827" s="37" t="str">
        <f>IF(P9827&gt;500,"High","low")</f>
        <v>High</v>
      </c>
      <c r="R9827" s="37" t="str">
        <f t="shared" si="769"/>
        <v>Good</v>
      </c>
      <c r="S9827" t="s">
        <v>620</v>
      </c>
    </row>
    <row r="9828" spans="1:19" x14ac:dyDescent="0.2">
      <c r="A9828" t="s">
        <v>10439</v>
      </c>
      <c r="B9828" t="s">
        <v>83</v>
      </c>
      <c r="C9828" t="s">
        <v>607</v>
      </c>
      <c r="D9828">
        <v>721.3</v>
      </c>
      <c r="E9828" s="37" t="str">
        <f t="shared" si="765"/>
        <v xml:space="preserve"> </v>
      </c>
      <c r="F9828">
        <v>0.05</v>
      </c>
      <c r="G9828" s="37" t="str">
        <f t="shared" si="766"/>
        <v>Normal Discount</v>
      </c>
      <c r="H9828" s="37" t="str">
        <f t="shared" si="767"/>
        <v>Low</v>
      </c>
      <c r="I9828">
        <v>5</v>
      </c>
      <c r="J9828" t="str" cm="1">
        <f t="array" ref="J9828">_xlfn.IFS(I9828&lt;=3,"small",I9828&lt;=6,"Medium",I9828&lt;=9,"Large")</f>
        <v>Medium</v>
      </c>
      <c r="K9828" s="36">
        <v>45493</v>
      </c>
      <c r="L9828" s="36">
        <v>45499</v>
      </c>
      <c r="M9828" t="s">
        <v>598</v>
      </c>
      <c r="N9828" t="s">
        <v>608</v>
      </c>
      <c r="O9828" s="37" t="str">
        <f t="shared" si="768"/>
        <v>Cash Payment</v>
      </c>
      <c r="P9828">
        <v>87.91</v>
      </c>
      <c r="Q9828" s="37" t="str">
        <f>IF(P9828&gt;500,"High","low")</f>
        <v>low</v>
      </c>
      <c r="R9828" s="37" t="str">
        <f t="shared" si="769"/>
        <v>AVERAGE</v>
      </c>
      <c r="S9828" t="s">
        <v>605</v>
      </c>
    </row>
    <row r="9829" spans="1:19" x14ac:dyDescent="0.2">
      <c r="A9829" t="s">
        <v>10440</v>
      </c>
      <c r="B9829" t="s">
        <v>83</v>
      </c>
      <c r="C9829" t="s">
        <v>617</v>
      </c>
      <c r="D9829">
        <v>1672.59</v>
      </c>
      <c r="E9829" s="37" t="str">
        <f t="shared" si="765"/>
        <v xml:space="preserve"> </v>
      </c>
      <c r="F9829">
        <v>0.47</v>
      </c>
      <c r="G9829" s="37" t="str">
        <f t="shared" si="766"/>
        <v>Heavy Discount</v>
      </c>
      <c r="H9829" s="37" t="str">
        <f t="shared" si="767"/>
        <v>High</v>
      </c>
      <c r="I9829">
        <v>9</v>
      </c>
      <c r="J9829" t="str" cm="1">
        <f t="array" ref="J9829">_xlfn.IFS(I9829&lt;=3,"small",I9829&lt;=6,"Medium",I9829&lt;=9,"Large")</f>
        <v>Large</v>
      </c>
      <c r="K9829" s="36">
        <v>45554</v>
      </c>
      <c r="L9829" s="36">
        <v>45561</v>
      </c>
      <c r="M9829" t="s">
        <v>612</v>
      </c>
      <c r="N9829" t="s">
        <v>599</v>
      </c>
      <c r="O9829" s="37" t="str">
        <f t="shared" si="768"/>
        <v>Digital Payment</v>
      </c>
      <c r="P9829">
        <v>195.02</v>
      </c>
      <c r="Q9829" s="37" t="str">
        <f>IF(P9829&gt;500,"High","low")</f>
        <v>low</v>
      </c>
      <c r="R9829" s="37" t="str">
        <f t="shared" si="769"/>
        <v>AVERAGE</v>
      </c>
      <c r="S9829" t="s">
        <v>605</v>
      </c>
    </row>
    <row r="9830" spans="1:19" x14ac:dyDescent="0.2">
      <c r="A9830" t="s">
        <v>10441</v>
      </c>
      <c r="B9830" t="s">
        <v>67</v>
      </c>
      <c r="C9830" t="s">
        <v>597</v>
      </c>
      <c r="D9830">
        <v>2064.12</v>
      </c>
      <c r="E9830" s="37" t="str">
        <f t="shared" si="765"/>
        <v xml:space="preserve"> </v>
      </c>
      <c r="F9830">
        <v>0.28000000000000003</v>
      </c>
      <c r="G9830" s="37" t="str">
        <f t="shared" si="766"/>
        <v>Normal Discount</v>
      </c>
      <c r="H9830" s="37" t="str">
        <f t="shared" si="767"/>
        <v>Medium</v>
      </c>
      <c r="I9830">
        <v>6</v>
      </c>
      <c r="J9830" t="str" cm="1">
        <f t="array" ref="J9830">_xlfn.IFS(I9830&lt;=3,"small",I9830&lt;=6,"Medium",I9830&lt;=9,"Large")</f>
        <v>Medium</v>
      </c>
      <c r="K9830" s="36">
        <v>45517</v>
      </c>
      <c r="L9830" s="36">
        <v>45519</v>
      </c>
      <c r="M9830" t="s">
        <v>603</v>
      </c>
      <c r="N9830" t="s">
        <v>608</v>
      </c>
      <c r="O9830" s="37" t="str">
        <f t="shared" si="768"/>
        <v>Cash Payment</v>
      </c>
      <c r="P9830">
        <v>191.46</v>
      </c>
      <c r="Q9830" s="37" t="str">
        <f>IF(P9830&gt;500,"High","low")</f>
        <v>low</v>
      </c>
      <c r="R9830" s="37" t="str">
        <f t="shared" si="769"/>
        <v>AVERAGE</v>
      </c>
      <c r="S9830" t="s">
        <v>620</v>
      </c>
    </row>
    <row r="9831" spans="1:19" x14ac:dyDescent="0.2">
      <c r="A9831" t="s">
        <v>10442</v>
      </c>
      <c r="B9831" t="s">
        <v>67</v>
      </c>
      <c r="C9831" t="s">
        <v>602</v>
      </c>
      <c r="D9831">
        <v>185.79</v>
      </c>
      <c r="E9831" s="37" t="str">
        <f t="shared" si="765"/>
        <v xml:space="preserve"> </v>
      </c>
      <c r="F9831">
        <v>0.18</v>
      </c>
      <c r="G9831" s="37" t="str">
        <f t="shared" si="766"/>
        <v>Normal Discount</v>
      </c>
      <c r="H9831" s="37" t="str">
        <f t="shared" si="767"/>
        <v>Low</v>
      </c>
      <c r="I9831">
        <v>4</v>
      </c>
      <c r="J9831" t="str" cm="1">
        <f t="array" ref="J9831">_xlfn.IFS(I9831&lt;=3,"small",I9831&lt;=6,"Medium",I9831&lt;=9,"Large")</f>
        <v>Medium</v>
      </c>
      <c r="K9831" s="36">
        <v>45295</v>
      </c>
      <c r="L9831" s="36">
        <v>45299</v>
      </c>
      <c r="M9831" t="s">
        <v>603</v>
      </c>
      <c r="N9831" t="s">
        <v>608</v>
      </c>
      <c r="O9831" s="37" t="str">
        <f t="shared" si="768"/>
        <v>Cash Payment</v>
      </c>
      <c r="P9831">
        <v>12.88</v>
      </c>
      <c r="Q9831" s="37" t="str">
        <f>IF(P9831&gt;500,"High","low")</f>
        <v>low</v>
      </c>
      <c r="R9831" s="37" t="str">
        <f t="shared" si="769"/>
        <v>AVERAGE</v>
      </c>
      <c r="S9831" t="s">
        <v>628</v>
      </c>
    </row>
    <row r="9832" spans="1:19" x14ac:dyDescent="0.2">
      <c r="A9832" t="s">
        <v>10443</v>
      </c>
      <c r="B9832" t="s">
        <v>75</v>
      </c>
      <c r="C9832" t="s">
        <v>617</v>
      </c>
      <c r="D9832">
        <v>2244.11</v>
      </c>
      <c r="E9832" s="37" t="str">
        <f t="shared" si="765"/>
        <v xml:space="preserve"> </v>
      </c>
      <c r="F9832">
        <v>0.14000000000000001</v>
      </c>
      <c r="G9832" s="37" t="str">
        <f t="shared" si="766"/>
        <v>Normal Discount</v>
      </c>
      <c r="H9832" s="37" t="str">
        <f t="shared" si="767"/>
        <v>Low</v>
      </c>
      <c r="I9832">
        <v>1</v>
      </c>
      <c r="J9832" t="str" cm="1">
        <f t="array" ref="J9832">_xlfn.IFS(I9832&lt;=3,"small",I9832&lt;=6,"Medium",I9832&lt;=9,"Large")</f>
        <v>small</v>
      </c>
      <c r="K9832" s="36">
        <v>45450</v>
      </c>
      <c r="L9832" s="36">
        <v>45454</v>
      </c>
      <c r="M9832" t="s">
        <v>612</v>
      </c>
      <c r="N9832" t="s">
        <v>608</v>
      </c>
      <c r="O9832" s="37" t="str">
        <f t="shared" si="768"/>
        <v>Cash Payment</v>
      </c>
      <c r="P9832">
        <v>563.65</v>
      </c>
      <c r="Q9832" s="37" t="str">
        <f>IF(P9832&gt;500,"High","low")</f>
        <v>High</v>
      </c>
      <c r="R9832" s="37" t="str">
        <f t="shared" si="769"/>
        <v>Good</v>
      </c>
      <c r="S9832" t="s">
        <v>620</v>
      </c>
    </row>
    <row r="9833" spans="1:19" x14ac:dyDescent="0.2">
      <c r="A9833" t="s">
        <v>10444</v>
      </c>
      <c r="B9833" t="s">
        <v>75</v>
      </c>
      <c r="C9833" t="s">
        <v>597</v>
      </c>
      <c r="D9833">
        <v>1747.96</v>
      </c>
      <c r="E9833" s="37" t="str">
        <f t="shared" si="765"/>
        <v xml:space="preserve"> </v>
      </c>
      <c r="F9833">
        <v>0.1</v>
      </c>
      <c r="G9833" s="37" t="str">
        <f t="shared" si="766"/>
        <v>Normal Discount</v>
      </c>
      <c r="H9833" s="37" t="str">
        <f t="shared" si="767"/>
        <v>Low</v>
      </c>
      <c r="I9833">
        <v>6</v>
      </c>
      <c r="J9833" t="str" cm="1">
        <f t="array" ref="J9833">_xlfn.IFS(I9833&lt;=3,"small",I9833&lt;=6,"Medium",I9833&lt;=9,"Large")</f>
        <v>Medium</v>
      </c>
      <c r="K9833" s="36">
        <v>45430</v>
      </c>
      <c r="L9833" s="36">
        <v>45434</v>
      </c>
      <c r="M9833" t="s">
        <v>603</v>
      </c>
      <c r="N9833" t="s">
        <v>608</v>
      </c>
      <c r="O9833" s="37" t="str">
        <f t="shared" si="768"/>
        <v>Cash Payment</v>
      </c>
      <c r="P9833">
        <v>219.44</v>
      </c>
      <c r="Q9833" s="37" t="str">
        <f>IF(P9833&gt;500,"High","low")</f>
        <v>low</v>
      </c>
      <c r="R9833" s="37" t="str">
        <f t="shared" si="769"/>
        <v>AVERAGE</v>
      </c>
      <c r="S9833" t="s">
        <v>620</v>
      </c>
    </row>
    <row r="9834" spans="1:19" x14ac:dyDescent="0.2">
      <c r="A9834" t="s">
        <v>10445</v>
      </c>
      <c r="B9834" t="s">
        <v>83</v>
      </c>
      <c r="C9834" t="s">
        <v>607</v>
      </c>
      <c r="D9834">
        <v>4038.81</v>
      </c>
      <c r="E9834" s="37" t="str">
        <f t="shared" si="765"/>
        <v xml:space="preserve"> </v>
      </c>
      <c r="F9834">
        <v>0.28000000000000003</v>
      </c>
      <c r="G9834" s="37" t="str">
        <f t="shared" si="766"/>
        <v>Normal Discount</v>
      </c>
      <c r="H9834" s="37" t="str">
        <f t="shared" si="767"/>
        <v>Medium</v>
      </c>
      <c r="I9834">
        <v>7</v>
      </c>
      <c r="J9834" t="str" cm="1">
        <f t="array" ref="J9834">_xlfn.IFS(I9834&lt;=3,"small",I9834&lt;=6,"Medium",I9834&lt;=9,"Large")</f>
        <v>Large</v>
      </c>
      <c r="K9834" s="36">
        <v>44984</v>
      </c>
      <c r="L9834" s="36">
        <v>44988</v>
      </c>
      <c r="M9834" t="s">
        <v>598</v>
      </c>
      <c r="N9834" t="s">
        <v>608</v>
      </c>
      <c r="O9834" s="37" t="str">
        <f t="shared" si="768"/>
        <v>Cash Payment</v>
      </c>
      <c r="P9834">
        <v>604.05999999999995</v>
      </c>
      <c r="Q9834" s="37" t="str">
        <f>IF(P9834&gt;500,"High","low")</f>
        <v>High</v>
      </c>
      <c r="R9834" s="37" t="str">
        <f t="shared" si="769"/>
        <v>Good</v>
      </c>
      <c r="S9834" t="s">
        <v>620</v>
      </c>
    </row>
    <row r="9835" spans="1:19" x14ac:dyDescent="0.2">
      <c r="A9835" t="s">
        <v>10446</v>
      </c>
      <c r="B9835" t="s">
        <v>75</v>
      </c>
      <c r="C9835" t="s">
        <v>617</v>
      </c>
      <c r="D9835">
        <v>624.85</v>
      </c>
      <c r="E9835" s="37" t="str">
        <f t="shared" si="765"/>
        <v xml:space="preserve"> </v>
      </c>
      <c r="F9835">
        <v>0.47</v>
      </c>
      <c r="G9835" s="37" t="str">
        <f t="shared" si="766"/>
        <v>Heavy Discount</v>
      </c>
      <c r="H9835" s="37" t="str">
        <f t="shared" si="767"/>
        <v>High</v>
      </c>
      <c r="I9835">
        <v>7</v>
      </c>
      <c r="J9835" t="str" cm="1">
        <f t="array" ref="J9835">_xlfn.IFS(I9835&lt;=3,"small",I9835&lt;=6,"Medium",I9835&lt;=9,"Large")</f>
        <v>Large</v>
      </c>
      <c r="K9835" s="36">
        <v>45431</v>
      </c>
      <c r="L9835" s="36">
        <v>45432</v>
      </c>
      <c r="M9835" t="s">
        <v>598</v>
      </c>
      <c r="N9835" t="s">
        <v>608</v>
      </c>
      <c r="O9835" s="37" t="str">
        <f t="shared" si="768"/>
        <v>Cash Payment</v>
      </c>
      <c r="P9835">
        <v>152.30000000000001</v>
      </c>
      <c r="Q9835" s="37" t="str">
        <f>IF(P9835&gt;500,"High","low")</f>
        <v>low</v>
      </c>
      <c r="R9835" s="37" t="str">
        <f t="shared" si="769"/>
        <v>AVERAGE</v>
      </c>
      <c r="S9835" t="s">
        <v>609</v>
      </c>
    </row>
    <row r="9836" spans="1:19" x14ac:dyDescent="0.2">
      <c r="A9836" t="s">
        <v>10447</v>
      </c>
      <c r="B9836" t="s">
        <v>75</v>
      </c>
      <c r="C9836" t="s">
        <v>607</v>
      </c>
      <c r="D9836">
        <v>3825.03</v>
      </c>
      <c r="E9836" s="37" t="str">
        <f t="shared" si="765"/>
        <v xml:space="preserve"> </v>
      </c>
      <c r="F9836">
        <v>0.09</v>
      </c>
      <c r="G9836" s="37" t="str">
        <f t="shared" si="766"/>
        <v>Normal Discount</v>
      </c>
      <c r="H9836" s="37" t="str">
        <f t="shared" si="767"/>
        <v>Low</v>
      </c>
      <c r="I9836">
        <v>9</v>
      </c>
      <c r="J9836" t="str" cm="1">
        <f t="array" ref="J9836">_xlfn.IFS(I9836&lt;=3,"small",I9836&lt;=6,"Medium",I9836&lt;=9,"Large")</f>
        <v>Large</v>
      </c>
      <c r="K9836" s="36">
        <v>45369</v>
      </c>
      <c r="L9836" s="36">
        <v>45375</v>
      </c>
      <c r="M9836" t="s">
        <v>612</v>
      </c>
      <c r="N9836" t="s">
        <v>604</v>
      </c>
      <c r="O9836" s="37" t="str">
        <f t="shared" si="768"/>
        <v>Digital Payment</v>
      </c>
      <c r="P9836">
        <v>225.36</v>
      </c>
      <c r="Q9836" s="37" t="str">
        <f>IF(P9836&gt;500,"High","low")</f>
        <v>low</v>
      </c>
      <c r="R9836" s="37" t="str">
        <f t="shared" si="769"/>
        <v>AVERAGE</v>
      </c>
      <c r="S9836" t="s">
        <v>600</v>
      </c>
    </row>
    <row r="9837" spans="1:19" x14ac:dyDescent="0.2">
      <c r="A9837" t="s">
        <v>10448</v>
      </c>
      <c r="B9837" t="s">
        <v>83</v>
      </c>
      <c r="C9837" t="s">
        <v>607</v>
      </c>
      <c r="D9837">
        <v>3598.66</v>
      </c>
      <c r="E9837" s="37" t="str">
        <f t="shared" si="765"/>
        <v xml:space="preserve"> </v>
      </c>
      <c r="F9837">
        <v>0.22</v>
      </c>
      <c r="G9837" s="37" t="str">
        <f t="shared" si="766"/>
        <v>Normal Discount</v>
      </c>
      <c r="H9837" s="37" t="str">
        <f t="shared" si="767"/>
        <v>Medium</v>
      </c>
      <c r="I9837">
        <v>4</v>
      </c>
      <c r="J9837" t="str" cm="1">
        <f t="array" ref="J9837">_xlfn.IFS(I9837&lt;=3,"small",I9837&lt;=6,"Medium",I9837&lt;=9,"Large")</f>
        <v>Medium</v>
      </c>
      <c r="K9837" s="36">
        <v>45506</v>
      </c>
      <c r="L9837" s="36">
        <v>45508</v>
      </c>
      <c r="M9837" t="s">
        <v>603</v>
      </c>
      <c r="N9837" t="s">
        <v>608</v>
      </c>
      <c r="O9837" s="37" t="str">
        <f t="shared" si="768"/>
        <v>Cash Payment</v>
      </c>
      <c r="P9837">
        <v>477.43</v>
      </c>
      <c r="Q9837" s="37" t="str">
        <f>IF(P9837&gt;500,"High","low")</f>
        <v>low</v>
      </c>
      <c r="R9837" s="37" t="str">
        <f t="shared" si="769"/>
        <v>AVERAGE</v>
      </c>
      <c r="S9837" t="s">
        <v>605</v>
      </c>
    </row>
    <row r="9838" spans="1:19" x14ac:dyDescent="0.2">
      <c r="A9838" t="s">
        <v>10449</v>
      </c>
      <c r="B9838" t="s">
        <v>75</v>
      </c>
      <c r="C9838" t="s">
        <v>614</v>
      </c>
      <c r="D9838">
        <v>1284.73</v>
      </c>
      <c r="E9838" s="37" t="str">
        <f t="shared" si="765"/>
        <v xml:space="preserve"> </v>
      </c>
      <c r="F9838">
        <v>0.1</v>
      </c>
      <c r="G9838" s="37" t="str">
        <f t="shared" si="766"/>
        <v>Normal Discount</v>
      </c>
      <c r="H9838" s="37" t="str">
        <f t="shared" si="767"/>
        <v>Low</v>
      </c>
      <c r="I9838">
        <v>4</v>
      </c>
      <c r="J9838" t="str" cm="1">
        <f t="array" ref="J9838">_xlfn.IFS(I9838&lt;=3,"small",I9838&lt;=6,"Medium",I9838&lt;=9,"Large")</f>
        <v>Medium</v>
      </c>
      <c r="K9838" s="36">
        <v>45127</v>
      </c>
      <c r="L9838" s="36">
        <v>45134</v>
      </c>
      <c r="M9838" t="s">
        <v>598</v>
      </c>
      <c r="N9838" t="s">
        <v>599</v>
      </c>
      <c r="O9838" s="37" t="str">
        <f t="shared" si="768"/>
        <v>Digital Payment</v>
      </c>
      <c r="P9838">
        <v>360.07</v>
      </c>
      <c r="Q9838" s="37" t="str">
        <f>IF(P9838&gt;500,"High","low")</f>
        <v>low</v>
      </c>
      <c r="R9838" s="37" t="str">
        <f t="shared" si="769"/>
        <v>AVERAGE</v>
      </c>
      <c r="S9838" t="s">
        <v>620</v>
      </c>
    </row>
    <row r="9839" spans="1:19" x14ac:dyDescent="0.2">
      <c r="A9839" t="s">
        <v>10450</v>
      </c>
      <c r="B9839" t="s">
        <v>75</v>
      </c>
      <c r="C9839" t="s">
        <v>617</v>
      </c>
      <c r="D9839">
        <v>508.03</v>
      </c>
      <c r="E9839" s="37" t="str">
        <f t="shared" si="765"/>
        <v xml:space="preserve"> </v>
      </c>
      <c r="F9839">
        <v>0.09</v>
      </c>
      <c r="G9839" s="37" t="str">
        <f t="shared" si="766"/>
        <v>Normal Discount</v>
      </c>
      <c r="H9839" s="37" t="str">
        <f t="shared" si="767"/>
        <v>Low</v>
      </c>
      <c r="I9839">
        <v>5</v>
      </c>
      <c r="J9839" t="str" cm="1">
        <f t="array" ref="J9839">_xlfn.IFS(I9839&lt;=3,"small",I9839&lt;=6,"Medium",I9839&lt;=9,"Large")</f>
        <v>Medium</v>
      </c>
      <c r="K9839" s="36">
        <v>45340</v>
      </c>
      <c r="L9839" s="36">
        <v>45346</v>
      </c>
      <c r="M9839" t="s">
        <v>598</v>
      </c>
      <c r="N9839" t="s">
        <v>599</v>
      </c>
      <c r="O9839" s="37" t="str">
        <f t="shared" si="768"/>
        <v>Digital Payment</v>
      </c>
      <c r="P9839">
        <v>51.2</v>
      </c>
      <c r="Q9839" s="37" t="str">
        <f>IF(P9839&gt;500,"High","low")</f>
        <v>low</v>
      </c>
      <c r="R9839" s="37" t="str">
        <f t="shared" si="769"/>
        <v>AVERAGE</v>
      </c>
      <c r="S9839" t="s">
        <v>620</v>
      </c>
    </row>
    <row r="9840" spans="1:19" x14ac:dyDescent="0.2">
      <c r="A9840" t="s">
        <v>10451</v>
      </c>
      <c r="B9840" t="s">
        <v>90</v>
      </c>
      <c r="C9840" t="s">
        <v>597</v>
      </c>
      <c r="D9840">
        <v>4224.9799999999996</v>
      </c>
      <c r="E9840" s="37" t="str">
        <f t="shared" si="765"/>
        <v xml:space="preserve"> </v>
      </c>
      <c r="F9840">
        <v>0.43</v>
      </c>
      <c r="G9840" s="37" t="str">
        <f t="shared" si="766"/>
        <v>Heavy Discount</v>
      </c>
      <c r="H9840" s="37" t="str">
        <f t="shared" si="767"/>
        <v>High</v>
      </c>
      <c r="I9840">
        <v>9</v>
      </c>
      <c r="J9840" t="str" cm="1">
        <f t="array" ref="J9840">_xlfn.IFS(I9840&lt;=3,"small",I9840&lt;=6,"Medium",I9840&lt;=9,"Large")</f>
        <v>Large</v>
      </c>
      <c r="K9840" s="36">
        <v>45373</v>
      </c>
      <c r="L9840" s="36">
        <v>45375</v>
      </c>
      <c r="M9840" t="s">
        <v>603</v>
      </c>
      <c r="N9840" t="s">
        <v>604</v>
      </c>
      <c r="O9840" s="37" t="str">
        <f t="shared" si="768"/>
        <v>Digital Payment</v>
      </c>
      <c r="P9840">
        <v>299.44</v>
      </c>
      <c r="Q9840" s="37" t="str">
        <f>IF(P9840&gt;500,"High","low")</f>
        <v>low</v>
      </c>
      <c r="R9840" s="37" t="str">
        <f t="shared" si="769"/>
        <v>AVERAGE</v>
      </c>
      <c r="S9840" t="s">
        <v>615</v>
      </c>
    </row>
    <row r="9841" spans="1:19" x14ac:dyDescent="0.2">
      <c r="A9841" t="s">
        <v>10452</v>
      </c>
      <c r="B9841" t="s">
        <v>67</v>
      </c>
      <c r="C9841" t="s">
        <v>617</v>
      </c>
      <c r="D9841">
        <v>1322.21</v>
      </c>
      <c r="E9841" s="37" t="str">
        <f t="shared" si="765"/>
        <v xml:space="preserve"> </v>
      </c>
      <c r="F9841">
        <v>0.13</v>
      </c>
      <c r="G9841" s="37" t="str">
        <f t="shared" si="766"/>
        <v>Normal Discount</v>
      </c>
      <c r="H9841" s="37" t="str">
        <f t="shared" si="767"/>
        <v>Low</v>
      </c>
      <c r="I9841">
        <v>2</v>
      </c>
      <c r="J9841" t="str" cm="1">
        <f t="array" ref="J9841">_xlfn.IFS(I9841&lt;=3,"small",I9841&lt;=6,"Medium",I9841&lt;=9,"Large")</f>
        <v>small</v>
      </c>
      <c r="K9841" s="36">
        <v>45372</v>
      </c>
      <c r="L9841" s="36">
        <v>45377</v>
      </c>
      <c r="M9841" t="s">
        <v>598</v>
      </c>
      <c r="N9841" t="s">
        <v>604</v>
      </c>
      <c r="O9841" s="37" t="str">
        <f t="shared" si="768"/>
        <v>Digital Payment</v>
      </c>
      <c r="P9841">
        <v>386.98</v>
      </c>
      <c r="Q9841" s="37" t="str">
        <f>IF(P9841&gt;500,"High","low")</f>
        <v>low</v>
      </c>
      <c r="R9841" s="37" t="str">
        <f t="shared" si="769"/>
        <v>AVERAGE</v>
      </c>
      <c r="S9841" t="s">
        <v>600</v>
      </c>
    </row>
    <row r="9842" spans="1:19" x14ac:dyDescent="0.2">
      <c r="A9842" t="s">
        <v>10453</v>
      </c>
      <c r="B9842" t="s">
        <v>83</v>
      </c>
      <c r="C9842" t="s">
        <v>617</v>
      </c>
      <c r="D9842">
        <v>813.24</v>
      </c>
      <c r="E9842" s="37" t="str">
        <f t="shared" si="765"/>
        <v xml:space="preserve"> </v>
      </c>
      <c r="F9842">
        <v>0.12</v>
      </c>
      <c r="G9842" s="37" t="str">
        <f t="shared" si="766"/>
        <v>Normal Discount</v>
      </c>
      <c r="H9842" s="37" t="str">
        <f t="shared" si="767"/>
        <v>Low</v>
      </c>
      <c r="I9842">
        <v>4</v>
      </c>
      <c r="J9842" t="str" cm="1">
        <f t="array" ref="J9842">_xlfn.IFS(I9842&lt;=3,"small",I9842&lt;=6,"Medium",I9842&lt;=9,"Large")</f>
        <v>Medium</v>
      </c>
      <c r="K9842" s="36">
        <v>45456</v>
      </c>
      <c r="L9842" s="36">
        <v>45457</v>
      </c>
      <c r="M9842" t="s">
        <v>603</v>
      </c>
      <c r="N9842" t="s">
        <v>608</v>
      </c>
      <c r="O9842" s="37" t="str">
        <f t="shared" si="768"/>
        <v>Cash Payment</v>
      </c>
      <c r="P9842">
        <v>177.8</v>
      </c>
      <c r="Q9842" s="37" t="str">
        <f>IF(P9842&gt;500,"High","low")</f>
        <v>low</v>
      </c>
      <c r="R9842" s="37" t="str">
        <f t="shared" si="769"/>
        <v>AVERAGE</v>
      </c>
      <c r="S9842" t="s">
        <v>600</v>
      </c>
    </row>
    <row r="9843" spans="1:19" x14ac:dyDescent="0.2">
      <c r="A9843" t="s">
        <v>10454</v>
      </c>
      <c r="B9843" t="s">
        <v>90</v>
      </c>
      <c r="C9843" t="s">
        <v>607</v>
      </c>
      <c r="D9843">
        <v>1859.28</v>
      </c>
      <c r="E9843" s="37" t="str">
        <f t="shared" si="765"/>
        <v xml:space="preserve"> </v>
      </c>
      <c r="F9843">
        <v>0.45</v>
      </c>
      <c r="G9843" s="37" t="str">
        <f t="shared" si="766"/>
        <v>Heavy Discount</v>
      </c>
      <c r="H9843" s="37" t="str">
        <f t="shared" si="767"/>
        <v>High</v>
      </c>
      <c r="I9843">
        <v>9</v>
      </c>
      <c r="J9843" t="str" cm="1">
        <f t="array" ref="J9843">_xlfn.IFS(I9843&lt;=3,"small",I9843&lt;=6,"Medium",I9843&lt;=9,"Large")</f>
        <v>Large</v>
      </c>
      <c r="K9843" s="36">
        <v>45331</v>
      </c>
      <c r="L9843" s="36">
        <v>45333</v>
      </c>
      <c r="M9843" t="s">
        <v>598</v>
      </c>
      <c r="N9843" t="s">
        <v>599</v>
      </c>
      <c r="O9843" s="37" t="str">
        <f t="shared" si="768"/>
        <v>Digital Payment</v>
      </c>
      <c r="P9843">
        <v>473.19</v>
      </c>
      <c r="Q9843" s="37" t="str">
        <f>IF(P9843&gt;500,"High","low")</f>
        <v>low</v>
      </c>
      <c r="R9843" s="37" t="str">
        <f t="shared" si="769"/>
        <v>AVERAGE</v>
      </c>
      <c r="S9843" t="s">
        <v>628</v>
      </c>
    </row>
    <row r="9844" spans="1:19" x14ac:dyDescent="0.2">
      <c r="A9844" t="s">
        <v>10455</v>
      </c>
      <c r="B9844" t="s">
        <v>67</v>
      </c>
      <c r="C9844" t="s">
        <v>607</v>
      </c>
      <c r="D9844">
        <v>2064.33</v>
      </c>
      <c r="E9844" s="37" t="str">
        <f t="shared" si="765"/>
        <v xml:space="preserve"> </v>
      </c>
      <c r="F9844">
        <v>0.19</v>
      </c>
      <c r="G9844" s="37" t="str">
        <f t="shared" si="766"/>
        <v>Normal Discount</v>
      </c>
      <c r="H9844" s="37" t="str">
        <f t="shared" si="767"/>
        <v>Low</v>
      </c>
      <c r="I9844">
        <v>6</v>
      </c>
      <c r="J9844" t="str" cm="1">
        <f t="array" ref="J9844">_xlfn.IFS(I9844&lt;=3,"small",I9844&lt;=6,"Medium",I9844&lt;=9,"Large")</f>
        <v>Medium</v>
      </c>
      <c r="K9844" s="36">
        <v>45135</v>
      </c>
      <c r="L9844" s="36">
        <v>45137</v>
      </c>
      <c r="M9844" t="s">
        <v>603</v>
      </c>
      <c r="N9844" t="s">
        <v>608</v>
      </c>
      <c r="O9844" s="37" t="str">
        <f t="shared" si="768"/>
        <v>Cash Payment</v>
      </c>
      <c r="P9844">
        <v>187.27</v>
      </c>
      <c r="Q9844" s="37" t="str">
        <f>IF(P9844&gt;500,"High","low")</f>
        <v>low</v>
      </c>
      <c r="R9844" s="37" t="str">
        <f t="shared" si="769"/>
        <v>AVERAGE</v>
      </c>
      <c r="S9844" t="s">
        <v>605</v>
      </c>
    </row>
    <row r="9845" spans="1:19" x14ac:dyDescent="0.2">
      <c r="A9845" t="s">
        <v>10456</v>
      </c>
      <c r="B9845" t="s">
        <v>67</v>
      </c>
      <c r="C9845" t="s">
        <v>607</v>
      </c>
      <c r="D9845">
        <v>1697.83</v>
      </c>
      <c r="E9845" s="37" t="str">
        <f t="shared" si="765"/>
        <v xml:space="preserve"> </v>
      </c>
      <c r="F9845">
        <v>0</v>
      </c>
      <c r="G9845" s="37" t="str">
        <f t="shared" si="766"/>
        <v>Normal Discount</v>
      </c>
      <c r="H9845" s="37" t="str">
        <f t="shared" si="767"/>
        <v>Low</v>
      </c>
      <c r="I9845">
        <v>6</v>
      </c>
      <c r="J9845" t="str" cm="1">
        <f t="array" ref="J9845">_xlfn.IFS(I9845&lt;=3,"small",I9845&lt;=6,"Medium",I9845&lt;=9,"Large")</f>
        <v>Medium</v>
      </c>
      <c r="K9845" s="36">
        <v>45601</v>
      </c>
      <c r="L9845" s="36">
        <v>45604</v>
      </c>
      <c r="M9845" t="s">
        <v>612</v>
      </c>
      <c r="N9845" t="s">
        <v>608</v>
      </c>
      <c r="O9845" s="37" t="str">
        <f t="shared" si="768"/>
        <v>Cash Payment</v>
      </c>
      <c r="P9845">
        <v>89.7</v>
      </c>
      <c r="Q9845" s="37" t="str">
        <f>IF(P9845&gt;500,"High","low")</f>
        <v>low</v>
      </c>
      <c r="R9845" s="37" t="str">
        <f t="shared" si="769"/>
        <v>AVERAGE</v>
      </c>
      <c r="S9845" t="s">
        <v>620</v>
      </c>
    </row>
    <row r="9846" spans="1:19" x14ac:dyDescent="0.2">
      <c r="A9846" t="s">
        <v>10457</v>
      </c>
      <c r="B9846" t="s">
        <v>67</v>
      </c>
      <c r="C9846" t="s">
        <v>607</v>
      </c>
      <c r="D9846">
        <v>4884.76</v>
      </c>
      <c r="E9846" s="37" t="str">
        <f t="shared" si="765"/>
        <v>Excellent Order</v>
      </c>
      <c r="F9846">
        <v>0.36</v>
      </c>
      <c r="G9846" s="37" t="str">
        <f t="shared" si="766"/>
        <v>Heavy Discount</v>
      </c>
      <c r="H9846" s="37" t="str">
        <f t="shared" si="767"/>
        <v>Medium</v>
      </c>
      <c r="I9846">
        <v>7</v>
      </c>
      <c r="J9846" t="str" cm="1">
        <f t="array" ref="J9846">_xlfn.IFS(I9846&lt;=3,"small",I9846&lt;=6,"Medium",I9846&lt;=9,"Large")</f>
        <v>Large</v>
      </c>
      <c r="K9846" s="36">
        <v>45327</v>
      </c>
      <c r="L9846" s="36">
        <v>45333</v>
      </c>
      <c r="M9846" t="s">
        <v>598</v>
      </c>
      <c r="N9846" t="s">
        <v>608</v>
      </c>
      <c r="O9846" s="37" t="str">
        <f t="shared" si="768"/>
        <v>Cash Payment</v>
      </c>
      <c r="P9846">
        <v>929.19</v>
      </c>
      <c r="Q9846" s="37" t="str">
        <f>IF(P9846&gt;500,"High","low")</f>
        <v>High</v>
      </c>
      <c r="R9846" s="37" t="str">
        <f t="shared" si="769"/>
        <v>Good</v>
      </c>
      <c r="S9846" t="s">
        <v>600</v>
      </c>
    </row>
    <row r="9847" spans="1:19" x14ac:dyDescent="0.2">
      <c r="A9847" t="s">
        <v>10458</v>
      </c>
      <c r="B9847" t="s">
        <v>90</v>
      </c>
      <c r="C9847" t="s">
        <v>597</v>
      </c>
      <c r="D9847">
        <v>4416.0200000000004</v>
      </c>
      <c r="E9847" s="37" t="str">
        <f t="shared" si="765"/>
        <v>Excellent Order</v>
      </c>
      <c r="F9847">
        <v>0.26</v>
      </c>
      <c r="G9847" s="37" t="str">
        <f t="shared" si="766"/>
        <v>Normal Discount</v>
      </c>
      <c r="H9847" s="37" t="str">
        <f t="shared" si="767"/>
        <v>Medium</v>
      </c>
      <c r="I9847">
        <v>5</v>
      </c>
      <c r="J9847" t="str" cm="1">
        <f t="array" ref="J9847">_xlfn.IFS(I9847&lt;=3,"small",I9847&lt;=6,"Medium",I9847&lt;=9,"Large")</f>
        <v>Medium</v>
      </c>
      <c r="K9847" s="36">
        <v>45527</v>
      </c>
      <c r="L9847" s="36">
        <v>45530</v>
      </c>
      <c r="M9847" t="s">
        <v>598</v>
      </c>
      <c r="N9847" t="s">
        <v>604</v>
      </c>
      <c r="O9847" s="37" t="str">
        <f t="shared" si="768"/>
        <v>Digital Payment</v>
      </c>
      <c r="P9847">
        <v>949.4</v>
      </c>
      <c r="Q9847" s="37" t="str">
        <f>IF(P9847&gt;500,"High","low")</f>
        <v>High</v>
      </c>
      <c r="R9847" s="37" t="str">
        <f t="shared" si="769"/>
        <v>Good</v>
      </c>
      <c r="S9847" t="s">
        <v>615</v>
      </c>
    </row>
    <row r="9848" spans="1:19" x14ac:dyDescent="0.2">
      <c r="A9848" t="s">
        <v>10459</v>
      </c>
      <c r="B9848" t="s">
        <v>90</v>
      </c>
      <c r="C9848" t="s">
        <v>602</v>
      </c>
      <c r="D9848">
        <v>4377.58</v>
      </c>
      <c r="E9848" s="37" t="str">
        <f t="shared" si="765"/>
        <v xml:space="preserve"> </v>
      </c>
      <c r="F9848">
        <v>0.39</v>
      </c>
      <c r="G9848" s="37" t="str">
        <f t="shared" si="766"/>
        <v>Heavy Discount</v>
      </c>
      <c r="H9848" s="37" t="str">
        <f t="shared" si="767"/>
        <v>Medium</v>
      </c>
      <c r="I9848">
        <v>4</v>
      </c>
      <c r="J9848" t="str" cm="1">
        <f t="array" ref="J9848">_xlfn.IFS(I9848&lt;=3,"small",I9848&lt;=6,"Medium",I9848&lt;=9,"Large")</f>
        <v>Medium</v>
      </c>
      <c r="K9848" s="36">
        <v>45108</v>
      </c>
      <c r="L9848" s="36">
        <v>45109</v>
      </c>
      <c r="M9848" t="s">
        <v>603</v>
      </c>
      <c r="N9848" t="s">
        <v>608</v>
      </c>
      <c r="O9848" s="37" t="str">
        <f t="shared" si="768"/>
        <v>Cash Payment</v>
      </c>
      <c r="P9848">
        <v>463.78</v>
      </c>
      <c r="Q9848" s="37" t="str">
        <f>IF(P9848&gt;500,"High","low")</f>
        <v>low</v>
      </c>
      <c r="R9848" s="37" t="str">
        <f t="shared" si="769"/>
        <v>AVERAGE</v>
      </c>
      <c r="S9848" t="s">
        <v>605</v>
      </c>
    </row>
    <row r="9849" spans="1:19" x14ac:dyDescent="0.2">
      <c r="A9849" t="s">
        <v>10460</v>
      </c>
      <c r="B9849" t="s">
        <v>67</v>
      </c>
      <c r="C9849" t="s">
        <v>614</v>
      </c>
      <c r="D9849">
        <v>2053.96</v>
      </c>
      <c r="E9849" s="37" t="str">
        <f t="shared" si="765"/>
        <v xml:space="preserve"> </v>
      </c>
      <c r="F9849">
        <v>0.28999999999999998</v>
      </c>
      <c r="G9849" s="37" t="str">
        <f t="shared" si="766"/>
        <v>Normal Discount</v>
      </c>
      <c r="H9849" s="37" t="str">
        <f t="shared" si="767"/>
        <v>Medium</v>
      </c>
      <c r="I9849">
        <v>3</v>
      </c>
      <c r="J9849" t="str" cm="1">
        <f t="array" ref="J9849">_xlfn.IFS(I9849&lt;=3,"small",I9849&lt;=6,"Medium",I9849&lt;=9,"Large")</f>
        <v>small</v>
      </c>
      <c r="K9849" s="36">
        <v>45078</v>
      </c>
      <c r="L9849" s="36">
        <v>45079</v>
      </c>
      <c r="M9849" t="s">
        <v>612</v>
      </c>
      <c r="N9849" t="s">
        <v>608</v>
      </c>
      <c r="O9849" s="37" t="str">
        <f t="shared" si="768"/>
        <v>Cash Payment</v>
      </c>
      <c r="P9849">
        <v>112.4</v>
      </c>
      <c r="Q9849" s="37" t="str">
        <f>IF(P9849&gt;500,"High","low")</f>
        <v>low</v>
      </c>
      <c r="R9849" s="37" t="str">
        <f t="shared" si="769"/>
        <v>AVERAGE</v>
      </c>
      <c r="S9849" t="s">
        <v>600</v>
      </c>
    </row>
    <row r="9850" spans="1:19" x14ac:dyDescent="0.2">
      <c r="A9850" t="s">
        <v>10461</v>
      </c>
      <c r="B9850" t="s">
        <v>75</v>
      </c>
      <c r="C9850" t="s">
        <v>607</v>
      </c>
      <c r="D9850">
        <v>4818.0600000000004</v>
      </c>
      <c r="E9850" s="37" t="str">
        <f t="shared" si="765"/>
        <v>Excellent Order</v>
      </c>
      <c r="F9850">
        <v>0.18</v>
      </c>
      <c r="G9850" s="37" t="str">
        <f t="shared" si="766"/>
        <v>Normal Discount</v>
      </c>
      <c r="H9850" s="37" t="str">
        <f t="shared" si="767"/>
        <v>Low</v>
      </c>
      <c r="I9850">
        <v>2</v>
      </c>
      <c r="J9850" t="str" cm="1">
        <f t="array" ref="J9850">_xlfn.IFS(I9850&lt;=3,"small",I9850&lt;=6,"Medium",I9850&lt;=9,"Large")</f>
        <v>small</v>
      </c>
      <c r="K9850" s="36">
        <v>44941</v>
      </c>
      <c r="L9850" s="36">
        <v>44943</v>
      </c>
      <c r="M9850" t="s">
        <v>598</v>
      </c>
      <c r="N9850" t="s">
        <v>604</v>
      </c>
      <c r="O9850" s="37" t="str">
        <f t="shared" si="768"/>
        <v>Digital Payment</v>
      </c>
      <c r="P9850">
        <v>1408.27</v>
      </c>
      <c r="Q9850" s="37" t="str">
        <f>IF(P9850&gt;500,"High","low")</f>
        <v>High</v>
      </c>
      <c r="R9850" s="37" t="str">
        <f t="shared" si="769"/>
        <v>Excellent</v>
      </c>
      <c r="S9850" t="s">
        <v>620</v>
      </c>
    </row>
    <row r="9851" spans="1:19" x14ac:dyDescent="0.2">
      <c r="A9851" t="s">
        <v>10462</v>
      </c>
      <c r="B9851" t="s">
        <v>75</v>
      </c>
      <c r="C9851" t="s">
        <v>607</v>
      </c>
      <c r="D9851">
        <v>3451.67</v>
      </c>
      <c r="E9851" s="37" t="str">
        <f t="shared" si="765"/>
        <v xml:space="preserve"> </v>
      </c>
      <c r="F9851">
        <v>0.03</v>
      </c>
      <c r="G9851" s="37" t="str">
        <f t="shared" si="766"/>
        <v>Normal Discount</v>
      </c>
      <c r="H9851" s="37" t="str">
        <f t="shared" si="767"/>
        <v>Low</v>
      </c>
      <c r="I9851">
        <v>7</v>
      </c>
      <c r="J9851" t="str" cm="1">
        <f t="array" ref="J9851">_xlfn.IFS(I9851&lt;=3,"small",I9851&lt;=6,"Medium",I9851&lt;=9,"Large")</f>
        <v>Large</v>
      </c>
      <c r="K9851" s="36">
        <v>45267</v>
      </c>
      <c r="L9851" s="36">
        <v>45270</v>
      </c>
      <c r="M9851" t="s">
        <v>603</v>
      </c>
      <c r="N9851" t="s">
        <v>599</v>
      </c>
      <c r="O9851" s="37" t="str">
        <f t="shared" si="768"/>
        <v>Digital Payment</v>
      </c>
      <c r="P9851">
        <v>488.36</v>
      </c>
      <c r="Q9851" s="37" t="str">
        <f>IF(P9851&gt;500,"High","low")</f>
        <v>low</v>
      </c>
      <c r="R9851" s="37" t="str">
        <f t="shared" si="769"/>
        <v>AVERAGE</v>
      </c>
      <c r="S9851" t="s">
        <v>628</v>
      </c>
    </row>
    <row r="9852" spans="1:19" x14ac:dyDescent="0.2">
      <c r="A9852" t="s">
        <v>10463</v>
      </c>
      <c r="B9852" t="s">
        <v>90</v>
      </c>
      <c r="C9852" t="s">
        <v>614</v>
      </c>
      <c r="D9852">
        <v>4176.7700000000004</v>
      </c>
      <c r="E9852" s="37" t="str">
        <f t="shared" si="765"/>
        <v>Excellent Order</v>
      </c>
      <c r="F9852">
        <v>0.43</v>
      </c>
      <c r="G9852" s="37" t="str">
        <f t="shared" si="766"/>
        <v>Heavy Discount</v>
      </c>
      <c r="H9852" s="37" t="str">
        <f t="shared" si="767"/>
        <v>High</v>
      </c>
      <c r="I9852">
        <v>5</v>
      </c>
      <c r="J9852" t="str" cm="1">
        <f t="array" ref="J9852">_xlfn.IFS(I9852&lt;=3,"small",I9852&lt;=6,"Medium",I9852&lt;=9,"Large")</f>
        <v>Medium</v>
      </c>
      <c r="K9852" s="36">
        <v>45178</v>
      </c>
      <c r="L9852" s="36">
        <v>45181</v>
      </c>
      <c r="M9852" t="s">
        <v>612</v>
      </c>
      <c r="N9852" t="s">
        <v>599</v>
      </c>
      <c r="O9852" s="37" t="str">
        <f t="shared" si="768"/>
        <v>Digital Payment</v>
      </c>
      <c r="P9852">
        <v>959.1</v>
      </c>
      <c r="Q9852" s="37" t="str">
        <f>IF(P9852&gt;500,"High","low")</f>
        <v>High</v>
      </c>
      <c r="R9852" s="37" t="str">
        <f t="shared" si="769"/>
        <v>Good</v>
      </c>
      <c r="S9852" t="s">
        <v>628</v>
      </c>
    </row>
    <row r="9853" spans="1:19" x14ac:dyDescent="0.2">
      <c r="A9853" t="s">
        <v>10464</v>
      </c>
      <c r="B9853" t="s">
        <v>90</v>
      </c>
      <c r="C9853" t="s">
        <v>607</v>
      </c>
      <c r="D9853">
        <v>2554.29</v>
      </c>
      <c r="E9853" s="37" t="str">
        <f t="shared" si="765"/>
        <v xml:space="preserve"> </v>
      </c>
      <c r="F9853">
        <v>0.1</v>
      </c>
      <c r="G9853" s="37" t="str">
        <f t="shared" si="766"/>
        <v>Normal Discount</v>
      </c>
      <c r="H9853" s="37" t="str">
        <f t="shared" si="767"/>
        <v>Low</v>
      </c>
      <c r="I9853">
        <v>1</v>
      </c>
      <c r="J9853" t="str" cm="1">
        <f t="array" ref="J9853">_xlfn.IFS(I9853&lt;=3,"small",I9853&lt;=6,"Medium",I9853&lt;=9,"Large")</f>
        <v>small</v>
      </c>
      <c r="K9853" s="36">
        <v>45514</v>
      </c>
      <c r="L9853" s="36">
        <v>45516</v>
      </c>
      <c r="M9853" t="s">
        <v>603</v>
      </c>
      <c r="N9853" t="s">
        <v>604</v>
      </c>
      <c r="O9853" s="37" t="str">
        <f t="shared" si="768"/>
        <v>Digital Payment</v>
      </c>
      <c r="P9853">
        <v>429.01</v>
      </c>
      <c r="Q9853" s="37" t="str">
        <f>IF(P9853&gt;500,"High","low")</f>
        <v>low</v>
      </c>
      <c r="R9853" s="37" t="str">
        <f t="shared" si="769"/>
        <v>AVERAGE</v>
      </c>
      <c r="S9853" t="s">
        <v>609</v>
      </c>
    </row>
    <row r="9854" spans="1:19" x14ac:dyDescent="0.2">
      <c r="A9854" t="s">
        <v>10465</v>
      </c>
      <c r="B9854" t="s">
        <v>90</v>
      </c>
      <c r="C9854" t="s">
        <v>602</v>
      </c>
      <c r="D9854">
        <v>887.02</v>
      </c>
      <c r="E9854" s="37" t="str">
        <f t="shared" si="765"/>
        <v xml:space="preserve"> </v>
      </c>
      <c r="F9854">
        <v>0.49</v>
      </c>
      <c r="G9854" s="37" t="str">
        <f t="shared" si="766"/>
        <v>Heavy Discount</v>
      </c>
      <c r="H9854" s="37" t="str">
        <f t="shared" si="767"/>
        <v>High</v>
      </c>
      <c r="I9854">
        <v>4</v>
      </c>
      <c r="J9854" t="str" cm="1">
        <f t="array" ref="J9854">_xlfn.IFS(I9854&lt;=3,"small",I9854&lt;=6,"Medium",I9854&lt;=9,"Large")</f>
        <v>Medium</v>
      </c>
      <c r="K9854" s="36">
        <v>45452</v>
      </c>
      <c r="L9854" s="36">
        <v>45459</v>
      </c>
      <c r="M9854" t="s">
        <v>603</v>
      </c>
      <c r="N9854" t="s">
        <v>608</v>
      </c>
      <c r="O9854" s="37" t="str">
        <f t="shared" si="768"/>
        <v>Cash Payment</v>
      </c>
      <c r="P9854">
        <v>101.32</v>
      </c>
      <c r="Q9854" s="37" t="str">
        <f>IF(P9854&gt;500,"High","low")</f>
        <v>low</v>
      </c>
      <c r="R9854" s="37" t="str">
        <f t="shared" si="769"/>
        <v>AVERAGE</v>
      </c>
      <c r="S9854" t="s">
        <v>628</v>
      </c>
    </row>
    <row r="9855" spans="1:19" x14ac:dyDescent="0.2">
      <c r="A9855" t="s">
        <v>10466</v>
      </c>
      <c r="B9855" t="s">
        <v>67</v>
      </c>
      <c r="C9855" t="s">
        <v>617</v>
      </c>
      <c r="D9855">
        <v>4445.74</v>
      </c>
      <c r="E9855" s="37" t="str">
        <f t="shared" si="765"/>
        <v>Excellent Order</v>
      </c>
      <c r="F9855">
        <v>0.12</v>
      </c>
      <c r="G9855" s="37" t="str">
        <f t="shared" si="766"/>
        <v>Normal Discount</v>
      </c>
      <c r="H9855" s="37" t="str">
        <f t="shared" si="767"/>
        <v>Low</v>
      </c>
      <c r="I9855">
        <v>9</v>
      </c>
      <c r="J9855" t="str" cm="1">
        <f t="array" ref="J9855">_xlfn.IFS(I9855&lt;=3,"small",I9855&lt;=6,"Medium",I9855&lt;=9,"Large")</f>
        <v>Large</v>
      </c>
      <c r="K9855" s="36">
        <v>45613</v>
      </c>
      <c r="L9855" s="36">
        <v>45615</v>
      </c>
      <c r="M9855" t="s">
        <v>612</v>
      </c>
      <c r="N9855" t="s">
        <v>608</v>
      </c>
      <c r="O9855" s="37" t="str">
        <f t="shared" si="768"/>
        <v>Cash Payment</v>
      </c>
      <c r="P9855">
        <v>1282.06</v>
      </c>
      <c r="Q9855" s="37" t="str">
        <f>IF(P9855&gt;500,"High","low")</f>
        <v>High</v>
      </c>
      <c r="R9855" s="37" t="str">
        <f t="shared" si="769"/>
        <v>Excellent</v>
      </c>
      <c r="S9855" t="s">
        <v>615</v>
      </c>
    </row>
    <row r="9856" spans="1:19" x14ac:dyDescent="0.2">
      <c r="A9856" t="s">
        <v>10467</v>
      </c>
      <c r="B9856" t="s">
        <v>75</v>
      </c>
      <c r="C9856" t="s">
        <v>614</v>
      </c>
      <c r="D9856">
        <v>2483.4899999999998</v>
      </c>
      <c r="E9856" s="37" t="str">
        <f t="shared" si="765"/>
        <v xml:space="preserve"> </v>
      </c>
      <c r="F9856">
        <v>0.41</v>
      </c>
      <c r="G9856" s="37" t="str">
        <f t="shared" si="766"/>
        <v>Heavy Discount</v>
      </c>
      <c r="H9856" s="37" t="str">
        <f t="shared" si="767"/>
        <v>High</v>
      </c>
      <c r="I9856">
        <v>8</v>
      </c>
      <c r="J9856" t="str" cm="1">
        <f t="array" ref="J9856">_xlfn.IFS(I9856&lt;=3,"small",I9856&lt;=6,"Medium",I9856&lt;=9,"Large")</f>
        <v>Large</v>
      </c>
      <c r="K9856" s="36">
        <v>45292</v>
      </c>
      <c r="L9856" s="36">
        <v>45297</v>
      </c>
      <c r="M9856" t="s">
        <v>603</v>
      </c>
      <c r="N9856" t="s">
        <v>599</v>
      </c>
      <c r="O9856" s="37" t="str">
        <f t="shared" si="768"/>
        <v>Digital Payment</v>
      </c>
      <c r="P9856">
        <v>466.03</v>
      </c>
      <c r="Q9856" s="37" t="str">
        <f>IF(P9856&gt;500,"High","low")</f>
        <v>low</v>
      </c>
      <c r="R9856" s="37" t="str">
        <f t="shared" si="769"/>
        <v>AVERAGE</v>
      </c>
      <c r="S9856" t="s">
        <v>628</v>
      </c>
    </row>
    <row r="9857" spans="1:19" x14ac:dyDescent="0.2">
      <c r="A9857" t="s">
        <v>10468</v>
      </c>
      <c r="B9857" t="s">
        <v>90</v>
      </c>
      <c r="C9857" t="s">
        <v>597</v>
      </c>
      <c r="D9857">
        <v>4845.92</v>
      </c>
      <c r="E9857" s="37" t="str">
        <f t="shared" si="765"/>
        <v xml:space="preserve"> </v>
      </c>
      <c r="F9857">
        <v>0.39</v>
      </c>
      <c r="G9857" s="37" t="str">
        <f t="shared" si="766"/>
        <v>Heavy Discount</v>
      </c>
      <c r="H9857" s="37" t="str">
        <f t="shared" si="767"/>
        <v>Medium</v>
      </c>
      <c r="I9857">
        <v>7</v>
      </c>
      <c r="J9857" t="str" cm="1">
        <f t="array" ref="J9857">_xlfn.IFS(I9857&lt;=3,"small",I9857&lt;=6,"Medium",I9857&lt;=9,"Large")</f>
        <v>Large</v>
      </c>
      <c r="K9857" s="36">
        <v>45018</v>
      </c>
      <c r="L9857" s="36">
        <v>45022</v>
      </c>
      <c r="M9857" t="s">
        <v>598</v>
      </c>
      <c r="N9857" t="s">
        <v>608</v>
      </c>
      <c r="O9857" s="37" t="str">
        <f t="shared" si="768"/>
        <v>Cash Payment</v>
      </c>
      <c r="P9857">
        <v>654.54999999999995</v>
      </c>
      <c r="Q9857" s="37" t="str">
        <f>IF(P9857&gt;500,"High","low")</f>
        <v>High</v>
      </c>
      <c r="R9857" s="37" t="str">
        <f t="shared" si="769"/>
        <v>Good</v>
      </c>
      <c r="S9857" t="s">
        <v>609</v>
      </c>
    </row>
    <row r="9858" spans="1:19" x14ac:dyDescent="0.2">
      <c r="A9858" t="s">
        <v>10469</v>
      </c>
      <c r="B9858" t="s">
        <v>90</v>
      </c>
      <c r="C9858" t="s">
        <v>614</v>
      </c>
      <c r="D9858">
        <v>1348.82</v>
      </c>
      <c r="E9858" s="37" t="str">
        <f t="shared" si="765"/>
        <v xml:space="preserve"> </v>
      </c>
      <c r="F9858">
        <v>0.23</v>
      </c>
      <c r="G9858" s="37" t="str">
        <f t="shared" si="766"/>
        <v>Normal Discount</v>
      </c>
      <c r="H9858" s="37" t="str">
        <f t="shared" si="767"/>
        <v>Medium</v>
      </c>
      <c r="I9858">
        <v>5</v>
      </c>
      <c r="J9858" t="str" cm="1">
        <f t="array" ref="J9858">_xlfn.IFS(I9858&lt;=3,"small",I9858&lt;=6,"Medium",I9858&lt;=9,"Large")</f>
        <v>Medium</v>
      </c>
      <c r="K9858" s="36">
        <v>45143</v>
      </c>
      <c r="L9858" s="36">
        <v>45149</v>
      </c>
      <c r="M9858" t="s">
        <v>598</v>
      </c>
      <c r="N9858" t="s">
        <v>608</v>
      </c>
      <c r="O9858" s="37" t="str">
        <f t="shared" si="768"/>
        <v>Cash Payment</v>
      </c>
      <c r="P9858">
        <v>315.77999999999997</v>
      </c>
      <c r="Q9858" s="37" t="str">
        <f>IF(P9858&gt;500,"High","low")</f>
        <v>low</v>
      </c>
      <c r="R9858" s="37" t="str">
        <f t="shared" si="769"/>
        <v>AVERAGE</v>
      </c>
      <c r="S9858" t="s">
        <v>600</v>
      </c>
    </row>
    <row r="9859" spans="1:19" x14ac:dyDescent="0.2">
      <c r="A9859" t="s">
        <v>10470</v>
      </c>
      <c r="B9859" t="s">
        <v>83</v>
      </c>
      <c r="C9859" t="s">
        <v>602</v>
      </c>
      <c r="D9859">
        <v>4962.66</v>
      </c>
      <c r="E9859" s="37" t="str">
        <f t="shared" ref="E9859:E9922" si="770">IF(AND(D9859&gt;4000,P9859&gt;800),"Excellent Order"," ")</f>
        <v>Excellent Order</v>
      </c>
      <c r="F9859">
        <v>0.2</v>
      </c>
      <c r="G9859" s="37" t="str">
        <f t="shared" ref="G9859:G9922" si="771">IF(F9859&gt;30%,"Heavy Discount","Normal Discount")</f>
        <v>Normal Discount</v>
      </c>
      <c r="H9859" s="37" t="str">
        <f t="shared" ref="H9859:H9922" si="772">IF(F9859&gt;0.4,"High",IF(F9859&gt;=0.2,"Medium","Low"))</f>
        <v>Medium</v>
      </c>
      <c r="I9859">
        <v>1</v>
      </c>
      <c r="J9859" t="str" cm="1">
        <f t="array" ref="J9859">_xlfn.IFS(I9859&lt;=3,"small",I9859&lt;=6,"Medium",I9859&lt;=9,"Large")</f>
        <v>small</v>
      </c>
      <c r="K9859" s="36">
        <v>45018</v>
      </c>
      <c r="L9859" s="36">
        <v>45019</v>
      </c>
      <c r="M9859" t="s">
        <v>612</v>
      </c>
      <c r="N9859" t="s">
        <v>608</v>
      </c>
      <c r="O9859" s="37" t="str">
        <f t="shared" ref="O9859:O9922" si="773">IF(OR(N9859="Card",N9859="UPI"),"Digital Payment","Cash Payment")</f>
        <v>Cash Payment</v>
      </c>
      <c r="P9859">
        <v>1018.78</v>
      </c>
      <c r="Q9859" s="37" t="str">
        <f>IF(P9859&gt;500,"High","low")</f>
        <v>High</v>
      </c>
      <c r="R9859" s="37" t="str">
        <f t="shared" ref="R9859:R9922" si="774">IF(P9859&gt;1000,"Excellent",IF(P9859&gt;=500,"Good","AVERAGE"))</f>
        <v>Excellent</v>
      </c>
      <c r="S9859" t="s">
        <v>605</v>
      </c>
    </row>
    <row r="9860" spans="1:19" x14ac:dyDescent="0.2">
      <c r="A9860" t="s">
        <v>10471</v>
      </c>
      <c r="B9860" t="s">
        <v>67</v>
      </c>
      <c r="C9860" t="s">
        <v>597</v>
      </c>
      <c r="D9860">
        <v>1189.8800000000001</v>
      </c>
      <c r="E9860" s="37" t="str">
        <f t="shared" si="770"/>
        <v xml:space="preserve"> </v>
      </c>
      <c r="F9860">
        <v>0.35</v>
      </c>
      <c r="G9860" s="37" t="str">
        <f t="shared" si="771"/>
        <v>Heavy Discount</v>
      </c>
      <c r="H9860" s="37" t="str">
        <f t="shared" si="772"/>
        <v>Medium</v>
      </c>
      <c r="I9860">
        <v>5</v>
      </c>
      <c r="J9860" t="str" cm="1">
        <f t="array" ref="J9860">_xlfn.IFS(I9860&lt;=3,"small",I9860&lt;=6,"Medium",I9860&lt;=9,"Large")</f>
        <v>Medium</v>
      </c>
      <c r="K9860" s="36">
        <v>45213</v>
      </c>
      <c r="L9860" s="36">
        <v>45214</v>
      </c>
      <c r="M9860" t="s">
        <v>598</v>
      </c>
      <c r="N9860" t="s">
        <v>604</v>
      </c>
      <c r="O9860" s="37" t="str">
        <f t="shared" si="773"/>
        <v>Digital Payment</v>
      </c>
      <c r="P9860">
        <v>268.88</v>
      </c>
      <c r="Q9860" s="37" t="str">
        <f>IF(P9860&gt;500,"High","low")</f>
        <v>low</v>
      </c>
      <c r="R9860" s="37" t="str">
        <f t="shared" si="774"/>
        <v>AVERAGE</v>
      </c>
      <c r="S9860" t="s">
        <v>609</v>
      </c>
    </row>
    <row r="9861" spans="1:19" x14ac:dyDescent="0.2">
      <c r="A9861" t="s">
        <v>10472</v>
      </c>
      <c r="B9861" t="s">
        <v>83</v>
      </c>
      <c r="C9861" t="s">
        <v>617</v>
      </c>
      <c r="D9861">
        <v>1904.02</v>
      </c>
      <c r="E9861" s="37" t="str">
        <f t="shared" si="770"/>
        <v xml:space="preserve"> </v>
      </c>
      <c r="F9861">
        <v>0.26</v>
      </c>
      <c r="G9861" s="37" t="str">
        <f t="shared" si="771"/>
        <v>Normal Discount</v>
      </c>
      <c r="H9861" s="37" t="str">
        <f t="shared" si="772"/>
        <v>Medium</v>
      </c>
      <c r="I9861">
        <v>8</v>
      </c>
      <c r="J9861" t="str" cm="1">
        <f t="array" ref="J9861">_xlfn.IFS(I9861&lt;=3,"small",I9861&lt;=6,"Medium",I9861&lt;=9,"Large")</f>
        <v>Large</v>
      </c>
      <c r="K9861" s="36">
        <v>45026</v>
      </c>
      <c r="L9861" s="36">
        <v>45031</v>
      </c>
      <c r="M9861" t="s">
        <v>612</v>
      </c>
      <c r="N9861" t="s">
        <v>608</v>
      </c>
      <c r="O9861" s="37" t="str">
        <f t="shared" si="773"/>
        <v>Cash Payment</v>
      </c>
      <c r="P9861">
        <v>490.41</v>
      </c>
      <c r="Q9861" s="37" t="str">
        <f>IF(P9861&gt;500,"High","low")</f>
        <v>low</v>
      </c>
      <c r="R9861" s="37" t="str">
        <f t="shared" si="774"/>
        <v>AVERAGE</v>
      </c>
      <c r="S9861" t="s">
        <v>600</v>
      </c>
    </row>
    <row r="9862" spans="1:19" x14ac:dyDescent="0.2">
      <c r="A9862" t="s">
        <v>10473</v>
      </c>
      <c r="B9862" t="s">
        <v>75</v>
      </c>
      <c r="C9862" t="s">
        <v>607</v>
      </c>
      <c r="D9862">
        <v>3010.68</v>
      </c>
      <c r="E9862" s="37" t="str">
        <f t="shared" si="770"/>
        <v xml:space="preserve"> </v>
      </c>
      <c r="F9862">
        <v>0.32</v>
      </c>
      <c r="G9862" s="37" t="str">
        <f t="shared" si="771"/>
        <v>Heavy Discount</v>
      </c>
      <c r="H9862" s="37" t="str">
        <f t="shared" si="772"/>
        <v>Medium</v>
      </c>
      <c r="I9862">
        <v>4</v>
      </c>
      <c r="J9862" t="str" cm="1">
        <f t="array" ref="J9862">_xlfn.IFS(I9862&lt;=3,"small",I9862&lt;=6,"Medium",I9862&lt;=9,"Large")</f>
        <v>Medium</v>
      </c>
      <c r="K9862" s="36">
        <v>44984</v>
      </c>
      <c r="L9862" s="36">
        <v>44991</v>
      </c>
      <c r="M9862" t="s">
        <v>603</v>
      </c>
      <c r="N9862" t="s">
        <v>608</v>
      </c>
      <c r="O9862" s="37" t="str">
        <f t="shared" si="773"/>
        <v>Cash Payment</v>
      </c>
      <c r="P9862">
        <v>272.83999999999997</v>
      </c>
      <c r="Q9862" s="37" t="str">
        <f>IF(P9862&gt;500,"High","low")</f>
        <v>low</v>
      </c>
      <c r="R9862" s="37" t="str">
        <f t="shared" si="774"/>
        <v>AVERAGE</v>
      </c>
      <c r="S9862" t="s">
        <v>609</v>
      </c>
    </row>
    <row r="9863" spans="1:19" x14ac:dyDescent="0.2">
      <c r="A9863" t="s">
        <v>10474</v>
      </c>
      <c r="B9863" t="s">
        <v>83</v>
      </c>
      <c r="C9863" t="s">
        <v>614</v>
      </c>
      <c r="D9863">
        <v>3497.28</v>
      </c>
      <c r="E9863" s="37" t="str">
        <f t="shared" si="770"/>
        <v xml:space="preserve"> </v>
      </c>
      <c r="F9863">
        <v>0.24</v>
      </c>
      <c r="G9863" s="37" t="str">
        <f t="shared" si="771"/>
        <v>Normal Discount</v>
      </c>
      <c r="H9863" s="37" t="str">
        <f t="shared" si="772"/>
        <v>Medium</v>
      </c>
      <c r="I9863">
        <v>5</v>
      </c>
      <c r="J9863" t="str" cm="1">
        <f t="array" ref="J9863">_xlfn.IFS(I9863&lt;=3,"small",I9863&lt;=6,"Medium",I9863&lt;=9,"Large")</f>
        <v>Medium</v>
      </c>
      <c r="K9863" s="36">
        <v>45606</v>
      </c>
      <c r="L9863" s="36">
        <v>45609</v>
      </c>
      <c r="M9863" t="s">
        <v>612</v>
      </c>
      <c r="N9863" t="s">
        <v>604</v>
      </c>
      <c r="O9863" s="37" t="str">
        <f t="shared" si="773"/>
        <v>Digital Payment</v>
      </c>
      <c r="P9863">
        <v>228.4</v>
      </c>
      <c r="Q9863" s="37" t="str">
        <f>IF(P9863&gt;500,"High","low")</f>
        <v>low</v>
      </c>
      <c r="R9863" s="37" t="str">
        <f t="shared" si="774"/>
        <v>AVERAGE</v>
      </c>
      <c r="S9863" t="s">
        <v>615</v>
      </c>
    </row>
    <row r="9864" spans="1:19" x14ac:dyDescent="0.2">
      <c r="A9864" t="s">
        <v>10475</v>
      </c>
      <c r="B9864" t="s">
        <v>83</v>
      </c>
      <c r="C9864" t="s">
        <v>597</v>
      </c>
      <c r="D9864">
        <v>3629.38</v>
      </c>
      <c r="E9864" s="37" t="str">
        <f t="shared" si="770"/>
        <v xml:space="preserve"> </v>
      </c>
      <c r="F9864">
        <v>0.28000000000000003</v>
      </c>
      <c r="G9864" s="37" t="str">
        <f t="shared" si="771"/>
        <v>Normal Discount</v>
      </c>
      <c r="H9864" s="37" t="str">
        <f t="shared" si="772"/>
        <v>Medium</v>
      </c>
      <c r="I9864">
        <v>8</v>
      </c>
      <c r="J9864" t="str" cm="1">
        <f t="array" ref="J9864">_xlfn.IFS(I9864&lt;=3,"small",I9864&lt;=6,"Medium",I9864&lt;=9,"Large")</f>
        <v>Large</v>
      </c>
      <c r="K9864" s="36">
        <v>45372</v>
      </c>
      <c r="L9864" s="36">
        <v>45378</v>
      </c>
      <c r="M9864" t="s">
        <v>598</v>
      </c>
      <c r="N9864" t="s">
        <v>599</v>
      </c>
      <c r="O9864" s="37" t="str">
        <f t="shared" si="773"/>
        <v>Digital Payment</v>
      </c>
      <c r="P9864">
        <v>601.36</v>
      </c>
      <c r="Q9864" s="37" t="str">
        <f>IF(P9864&gt;500,"High","low")</f>
        <v>High</v>
      </c>
      <c r="R9864" s="37" t="str">
        <f t="shared" si="774"/>
        <v>Good</v>
      </c>
      <c r="S9864" t="s">
        <v>605</v>
      </c>
    </row>
    <row r="9865" spans="1:19" x14ac:dyDescent="0.2">
      <c r="A9865" t="s">
        <v>10476</v>
      </c>
      <c r="B9865" t="s">
        <v>83</v>
      </c>
      <c r="C9865" t="s">
        <v>614</v>
      </c>
      <c r="D9865">
        <v>2433.64</v>
      </c>
      <c r="E9865" s="37" t="str">
        <f t="shared" si="770"/>
        <v xml:space="preserve"> </v>
      </c>
      <c r="F9865">
        <v>0.09</v>
      </c>
      <c r="G9865" s="37" t="str">
        <f t="shared" si="771"/>
        <v>Normal Discount</v>
      </c>
      <c r="H9865" s="37" t="str">
        <f t="shared" si="772"/>
        <v>Low</v>
      </c>
      <c r="I9865">
        <v>5</v>
      </c>
      <c r="J9865" t="str" cm="1">
        <f t="array" ref="J9865">_xlfn.IFS(I9865&lt;=3,"small",I9865&lt;=6,"Medium",I9865&lt;=9,"Large")</f>
        <v>Medium</v>
      </c>
      <c r="K9865" s="36">
        <v>45108</v>
      </c>
      <c r="L9865" s="36">
        <v>45115</v>
      </c>
      <c r="M9865" t="s">
        <v>598</v>
      </c>
      <c r="N9865" t="s">
        <v>604</v>
      </c>
      <c r="O9865" s="37" t="str">
        <f t="shared" si="773"/>
        <v>Digital Payment</v>
      </c>
      <c r="P9865">
        <v>135.31</v>
      </c>
      <c r="Q9865" s="37" t="str">
        <f>IF(P9865&gt;500,"High","low")</f>
        <v>low</v>
      </c>
      <c r="R9865" s="37" t="str">
        <f t="shared" si="774"/>
        <v>AVERAGE</v>
      </c>
      <c r="S9865" t="s">
        <v>628</v>
      </c>
    </row>
    <row r="9866" spans="1:19" x14ac:dyDescent="0.2">
      <c r="A9866" t="s">
        <v>10477</v>
      </c>
      <c r="B9866" t="s">
        <v>67</v>
      </c>
      <c r="C9866" t="s">
        <v>617</v>
      </c>
      <c r="D9866">
        <v>476.45</v>
      </c>
      <c r="E9866" s="37" t="str">
        <f t="shared" si="770"/>
        <v xml:space="preserve"> </v>
      </c>
      <c r="F9866">
        <v>0.03</v>
      </c>
      <c r="G9866" s="37" t="str">
        <f t="shared" si="771"/>
        <v>Normal Discount</v>
      </c>
      <c r="H9866" s="37" t="str">
        <f t="shared" si="772"/>
        <v>Low</v>
      </c>
      <c r="I9866">
        <v>4</v>
      </c>
      <c r="J9866" t="str" cm="1">
        <f t="array" ref="J9866">_xlfn.IFS(I9866&lt;=3,"small",I9866&lt;=6,"Medium",I9866&lt;=9,"Large")</f>
        <v>Medium</v>
      </c>
      <c r="K9866" s="36">
        <v>45435</v>
      </c>
      <c r="L9866" s="36">
        <v>45439</v>
      </c>
      <c r="M9866" t="s">
        <v>612</v>
      </c>
      <c r="N9866" t="s">
        <v>604</v>
      </c>
      <c r="O9866" s="37" t="str">
        <f t="shared" si="773"/>
        <v>Digital Payment</v>
      </c>
      <c r="P9866">
        <v>48.81</v>
      </c>
      <c r="Q9866" s="37" t="str">
        <f>IF(P9866&gt;500,"High","low")</f>
        <v>low</v>
      </c>
      <c r="R9866" s="37" t="str">
        <f t="shared" si="774"/>
        <v>AVERAGE</v>
      </c>
      <c r="S9866" t="s">
        <v>615</v>
      </c>
    </row>
    <row r="9867" spans="1:19" x14ac:dyDescent="0.2">
      <c r="A9867" t="s">
        <v>10478</v>
      </c>
      <c r="B9867" t="s">
        <v>75</v>
      </c>
      <c r="C9867" t="s">
        <v>614</v>
      </c>
      <c r="D9867">
        <v>2530.64</v>
      </c>
      <c r="E9867" s="37" t="str">
        <f t="shared" si="770"/>
        <v xml:space="preserve"> </v>
      </c>
      <c r="F9867">
        <v>0.18</v>
      </c>
      <c r="G9867" s="37" t="str">
        <f t="shared" si="771"/>
        <v>Normal Discount</v>
      </c>
      <c r="H9867" s="37" t="str">
        <f t="shared" si="772"/>
        <v>Low</v>
      </c>
      <c r="I9867">
        <v>4</v>
      </c>
      <c r="J9867" t="str" cm="1">
        <f t="array" ref="J9867">_xlfn.IFS(I9867&lt;=3,"small",I9867&lt;=6,"Medium",I9867&lt;=9,"Large")</f>
        <v>Medium</v>
      </c>
      <c r="K9867" s="36">
        <v>45626</v>
      </c>
      <c r="L9867" s="36">
        <v>45633</v>
      </c>
      <c r="M9867" t="s">
        <v>598</v>
      </c>
      <c r="N9867" t="s">
        <v>604</v>
      </c>
      <c r="O9867" s="37" t="str">
        <f t="shared" si="773"/>
        <v>Digital Payment</v>
      </c>
      <c r="P9867">
        <v>231.33</v>
      </c>
      <c r="Q9867" s="37" t="str">
        <f>IF(P9867&gt;500,"High","low")</f>
        <v>low</v>
      </c>
      <c r="R9867" s="37" t="str">
        <f t="shared" si="774"/>
        <v>AVERAGE</v>
      </c>
      <c r="S9867" t="s">
        <v>615</v>
      </c>
    </row>
    <row r="9868" spans="1:19" x14ac:dyDescent="0.2">
      <c r="A9868" t="s">
        <v>10479</v>
      </c>
      <c r="B9868" t="s">
        <v>83</v>
      </c>
      <c r="C9868" t="s">
        <v>597</v>
      </c>
      <c r="D9868">
        <v>1739.97</v>
      </c>
      <c r="E9868" s="37" t="str">
        <f t="shared" si="770"/>
        <v xml:space="preserve"> </v>
      </c>
      <c r="F9868">
        <v>0.23</v>
      </c>
      <c r="G9868" s="37" t="str">
        <f t="shared" si="771"/>
        <v>Normal Discount</v>
      </c>
      <c r="H9868" s="37" t="str">
        <f t="shared" si="772"/>
        <v>Medium</v>
      </c>
      <c r="I9868">
        <v>6</v>
      </c>
      <c r="J9868" t="str" cm="1">
        <f t="array" ref="J9868">_xlfn.IFS(I9868&lt;=3,"small",I9868&lt;=6,"Medium",I9868&lt;=9,"Large")</f>
        <v>Medium</v>
      </c>
      <c r="K9868" s="36">
        <v>45321</v>
      </c>
      <c r="L9868" s="36">
        <v>45324</v>
      </c>
      <c r="M9868" t="s">
        <v>612</v>
      </c>
      <c r="N9868" t="s">
        <v>608</v>
      </c>
      <c r="O9868" s="37" t="str">
        <f t="shared" si="773"/>
        <v>Cash Payment</v>
      </c>
      <c r="P9868">
        <v>419.92</v>
      </c>
      <c r="Q9868" s="37" t="str">
        <f>IF(P9868&gt;500,"High","low")</f>
        <v>low</v>
      </c>
      <c r="R9868" s="37" t="str">
        <f t="shared" si="774"/>
        <v>AVERAGE</v>
      </c>
      <c r="S9868" t="s">
        <v>605</v>
      </c>
    </row>
    <row r="9869" spans="1:19" x14ac:dyDescent="0.2">
      <c r="A9869" t="s">
        <v>10480</v>
      </c>
      <c r="B9869" t="s">
        <v>67</v>
      </c>
      <c r="C9869" t="s">
        <v>602</v>
      </c>
      <c r="D9869">
        <v>3322.51</v>
      </c>
      <c r="E9869" s="37" t="str">
        <f t="shared" si="770"/>
        <v xml:space="preserve"> </v>
      </c>
      <c r="F9869">
        <v>0.45</v>
      </c>
      <c r="G9869" s="37" t="str">
        <f t="shared" si="771"/>
        <v>Heavy Discount</v>
      </c>
      <c r="H9869" s="37" t="str">
        <f t="shared" si="772"/>
        <v>High</v>
      </c>
      <c r="I9869">
        <v>1</v>
      </c>
      <c r="J9869" t="str" cm="1">
        <f t="array" ref="J9869">_xlfn.IFS(I9869&lt;=3,"small",I9869&lt;=6,"Medium",I9869&lt;=9,"Large")</f>
        <v>small</v>
      </c>
      <c r="K9869" s="36">
        <v>45080</v>
      </c>
      <c r="L9869" s="36">
        <v>45085</v>
      </c>
      <c r="M9869" t="s">
        <v>598</v>
      </c>
      <c r="N9869" t="s">
        <v>599</v>
      </c>
      <c r="O9869" s="37" t="str">
        <f t="shared" si="773"/>
        <v>Digital Payment</v>
      </c>
      <c r="P9869">
        <v>816.77</v>
      </c>
      <c r="Q9869" s="37" t="str">
        <f>IF(P9869&gt;500,"High","low")</f>
        <v>High</v>
      </c>
      <c r="R9869" s="37" t="str">
        <f t="shared" si="774"/>
        <v>Good</v>
      </c>
      <c r="S9869" t="s">
        <v>628</v>
      </c>
    </row>
    <row r="9870" spans="1:19" x14ac:dyDescent="0.2">
      <c r="A9870" t="s">
        <v>10481</v>
      </c>
      <c r="B9870" t="s">
        <v>75</v>
      </c>
      <c r="C9870" t="s">
        <v>597</v>
      </c>
      <c r="D9870">
        <v>993.15</v>
      </c>
      <c r="E9870" s="37" t="str">
        <f t="shared" si="770"/>
        <v xml:space="preserve"> </v>
      </c>
      <c r="F9870">
        <v>0.21</v>
      </c>
      <c r="G9870" s="37" t="str">
        <f t="shared" si="771"/>
        <v>Normal Discount</v>
      </c>
      <c r="H9870" s="37" t="str">
        <f t="shared" si="772"/>
        <v>Medium</v>
      </c>
      <c r="I9870">
        <v>4</v>
      </c>
      <c r="J9870" t="str" cm="1">
        <f t="array" ref="J9870">_xlfn.IFS(I9870&lt;=3,"small",I9870&lt;=6,"Medium",I9870&lt;=9,"Large")</f>
        <v>Medium</v>
      </c>
      <c r="K9870" s="36">
        <v>45212</v>
      </c>
      <c r="L9870" s="36">
        <v>45217</v>
      </c>
      <c r="M9870" t="s">
        <v>612</v>
      </c>
      <c r="N9870" t="s">
        <v>608</v>
      </c>
      <c r="O9870" s="37" t="str">
        <f t="shared" si="773"/>
        <v>Cash Payment</v>
      </c>
      <c r="P9870">
        <v>82.75</v>
      </c>
      <c r="Q9870" s="37" t="str">
        <f>IF(P9870&gt;500,"High","low")</f>
        <v>low</v>
      </c>
      <c r="R9870" s="37" t="str">
        <f t="shared" si="774"/>
        <v>AVERAGE</v>
      </c>
      <c r="S9870" t="s">
        <v>615</v>
      </c>
    </row>
    <row r="9871" spans="1:19" x14ac:dyDescent="0.2">
      <c r="A9871" t="s">
        <v>10482</v>
      </c>
      <c r="B9871" t="s">
        <v>90</v>
      </c>
      <c r="C9871" t="s">
        <v>614</v>
      </c>
      <c r="D9871">
        <v>2030.17</v>
      </c>
      <c r="E9871" s="37" t="str">
        <f t="shared" si="770"/>
        <v xml:space="preserve"> </v>
      </c>
      <c r="F9871">
        <v>0.22</v>
      </c>
      <c r="G9871" s="37" t="str">
        <f t="shared" si="771"/>
        <v>Normal Discount</v>
      </c>
      <c r="H9871" s="37" t="str">
        <f t="shared" si="772"/>
        <v>Medium</v>
      </c>
      <c r="I9871">
        <v>1</v>
      </c>
      <c r="J9871" t="str" cm="1">
        <f t="array" ref="J9871">_xlfn.IFS(I9871&lt;=3,"small",I9871&lt;=6,"Medium",I9871&lt;=9,"Large")</f>
        <v>small</v>
      </c>
      <c r="K9871" s="36">
        <v>45219</v>
      </c>
      <c r="L9871" s="36">
        <v>45224</v>
      </c>
      <c r="M9871" t="s">
        <v>598</v>
      </c>
      <c r="N9871" t="s">
        <v>604</v>
      </c>
      <c r="O9871" s="37" t="str">
        <f t="shared" si="773"/>
        <v>Digital Payment</v>
      </c>
      <c r="P9871">
        <v>259.77</v>
      </c>
      <c r="Q9871" s="37" t="str">
        <f>IF(P9871&gt;500,"High","low")</f>
        <v>low</v>
      </c>
      <c r="R9871" s="37" t="str">
        <f t="shared" si="774"/>
        <v>AVERAGE</v>
      </c>
      <c r="S9871" t="s">
        <v>620</v>
      </c>
    </row>
    <row r="9872" spans="1:19" x14ac:dyDescent="0.2">
      <c r="A9872" t="s">
        <v>10483</v>
      </c>
      <c r="B9872" t="s">
        <v>83</v>
      </c>
      <c r="C9872" t="s">
        <v>617</v>
      </c>
      <c r="D9872">
        <v>4833.9799999999996</v>
      </c>
      <c r="E9872" s="37" t="str">
        <f t="shared" si="770"/>
        <v>Excellent Order</v>
      </c>
      <c r="F9872">
        <v>0.34</v>
      </c>
      <c r="G9872" s="37" t="str">
        <f t="shared" si="771"/>
        <v>Heavy Discount</v>
      </c>
      <c r="H9872" s="37" t="str">
        <f t="shared" si="772"/>
        <v>Medium</v>
      </c>
      <c r="I9872">
        <v>6</v>
      </c>
      <c r="J9872" t="str" cm="1">
        <f t="array" ref="J9872">_xlfn.IFS(I9872&lt;=3,"small",I9872&lt;=6,"Medium",I9872&lt;=9,"Large")</f>
        <v>Medium</v>
      </c>
      <c r="K9872" s="36">
        <v>45000</v>
      </c>
      <c r="L9872" s="36">
        <v>45001</v>
      </c>
      <c r="M9872" t="s">
        <v>598</v>
      </c>
      <c r="N9872" t="s">
        <v>608</v>
      </c>
      <c r="O9872" s="37" t="str">
        <f t="shared" si="773"/>
        <v>Cash Payment</v>
      </c>
      <c r="P9872">
        <v>1099.76</v>
      </c>
      <c r="Q9872" s="37" t="str">
        <f>IF(P9872&gt;500,"High","low")</f>
        <v>High</v>
      </c>
      <c r="R9872" s="37" t="str">
        <f t="shared" si="774"/>
        <v>Excellent</v>
      </c>
      <c r="S9872" t="s">
        <v>615</v>
      </c>
    </row>
    <row r="9873" spans="1:19" x14ac:dyDescent="0.2">
      <c r="A9873" t="s">
        <v>10484</v>
      </c>
      <c r="B9873" t="s">
        <v>75</v>
      </c>
      <c r="C9873" t="s">
        <v>607</v>
      </c>
      <c r="D9873">
        <v>535.45000000000005</v>
      </c>
      <c r="E9873" s="37" t="str">
        <f t="shared" si="770"/>
        <v xml:space="preserve"> </v>
      </c>
      <c r="F9873">
        <v>0.1</v>
      </c>
      <c r="G9873" s="37" t="str">
        <f t="shared" si="771"/>
        <v>Normal Discount</v>
      </c>
      <c r="H9873" s="37" t="str">
        <f t="shared" si="772"/>
        <v>Low</v>
      </c>
      <c r="I9873">
        <v>8</v>
      </c>
      <c r="J9873" t="str" cm="1">
        <f t="array" ref="J9873">_xlfn.IFS(I9873&lt;=3,"small",I9873&lt;=6,"Medium",I9873&lt;=9,"Large")</f>
        <v>Large</v>
      </c>
      <c r="K9873" s="36">
        <v>45278</v>
      </c>
      <c r="L9873" s="36">
        <v>45279</v>
      </c>
      <c r="M9873" t="s">
        <v>612</v>
      </c>
      <c r="N9873" t="s">
        <v>599</v>
      </c>
      <c r="O9873" s="37" t="str">
        <f t="shared" si="773"/>
        <v>Digital Payment</v>
      </c>
      <c r="P9873">
        <v>53.94</v>
      </c>
      <c r="Q9873" s="37" t="str">
        <f>IF(P9873&gt;500,"High","low")</f>
        <v>low</v>
      </c>
      <c r="R9873" s="37" t="str">
        <f t="shared" si="774"/>
        <v>AVERAGE</v>
      </c>
      <c r="S9873" t="s">
        <v>609</v>
      </c>
    </row>
    <row r="9874" spans="1:19" x14ac:dyDescent="0.2">
      <c r="A9874" t="s">
        <v>10485</v>
      </c>
      <c r="B9874" t="s">
        <v>83</v>
      </c>
      <c r="C9874" t="s">
        <v>607</v>
      </c>
      <c r="D9874">
        <v>3051.44</v>
      </c>
      <c r="E9874" s="37" t="str">
        <f t="shared" si="770"/>
        <v xml:space="preserve"> </v>
      </c>
      <c r="F9874">
        <v>0.44</v>
      </c>
      <c r="G9874" s="37" t="str">
        <f t="shared" si="771"/>
        <v>Heavy Discount</v>
      </c>
      <c r="H9874" s="37" t="str">
        <f t="shared" si="772"/>
        <v>High</v>
      </c>
      <c r="I9874">
        <v>4</v>
      </c>
      <c r="J9874" t="str" cm="1">
        <f t="array" ref="J9874">_xlfn.IFS(I9874&lt;=3,"small",I9874&lt;=6,"Medium",I9874&lt;=9,"Large")</f>
        <v>Medium</v>
      </c>
      <c r="K9874" s="36">
        <v>44995</v>
      </c>
      <c r="L9874" s="36">
        <v>44998</v>
      </c>
      <c r="M9874" t="s">
        <v>598</v>
      </c>
      <c r="N9874" t="s">
        <v>599</v>
      </c>
      <c r="O9874" s="37" t="str">
        <f t="shared" si="773"/>
        <v>Digital Payment</v>
      </c>
      <c r="P9874">
        <v>417.94</v>
      </c>
      <c r="Q9874" s="37" t="str">
        <f>IF(P9874&gt;500,"High","low")</f>
        <v>low</v>
      </c>
      <c r="R9874" s="37" t="str">
        <f t="shared" si="774"/>
        <v>AVERAGE</v>
      </c>
      <c r="S9874" t="s">
        <v>615</v>
      </c>
    </row>
    <row r="9875" spans="1:19" x14ac:dyDescent="0.2">
      <c r="A9875" t="s">
        <v>10486</v>
      </c>
      <c r="B9875" t="s">
        <v>90</v>
      </c>
      <c r="C9875" t="s">
        <v>617</v>
      </c>
      <c r="D9875">
        <v>544.17999999999995</v>
      </c>
      <c r="E9875" s="37" t="str">
        <f t="shared" si="770"/>
        <v xml:space="preserve"> </v>
      </c>
      <c r="F9875">
        <v>0.21</v>
      </c>
      <c r="G9875" s="37" t="str">
        <f t="shared" si="771"/>
        <v>Normal Discount</v>
      </c>
      <c r="H9875" s="37" t="str">
        <f t="shared" si="772"/>
        <v>Medium</v>
      </c>
      <c r="I9875">
        <v>8</v>
      </c>
      <c r="J9875" t="str" cm="1">
        <f t="array" ref="J9875">_xlfn.IFS(I9875&lt;=3,"small",I9875&lt;=6,"Medium",I9875&lt;=9,"Large")</f>
        <v>Large</v>
      </c>
      <c r="K9875" s="36">
        <v>45575</v>
      </c>
      <c r="L9875" s="36">
        <v>45581</v>
      </c>
      <c r="M9875" t="s">
        <v>598</v>
      </c>
      <c r="N9875" t="s">
        <v>604</v>
      </c>
      <c r="O9875" s="37" t="str">
        <f t="shared" si="773"/>
        <v>Digital Payment</v>
      </c>
      <c r="P9875">
        <v>77.17</v>
      </c>
      <c r="Q9875" s="37" t="str">
        <f>IF(P9875&gt;500,"High","low")</f>
        <v>low</v>
      </c>
      <c r="R9875" s="37" t="str">
        <f t="shared" si="774"/>
        <v>AVERAGE</v>
      </c>
      <c r="S9875" t="s">
        <v>628</v>
      </c>
    </row>
    <row r="9876" spans="1:19" x14ac:dyDescent="0.2">
      <c r="A9876" t="s">
        <v>10487</v>
      </c>
      <c r="B9876" t="s">
        <v>75</v>
      </c>
      <c r="C9876" t="s">
        <v>614</v>
      </c>
      <c r="D9876">
        <v>869.28</v>
      </c>
      <c r="E9876" s="37" t="str">
        <f t="shared" si="770"/>
        <v xml:space="preserve"> </v>
      </c>
      <c r="F9876">
        <v>0.47</v>
      </c>
      <c r="G9876" s="37" t="str">
        <f t="shared" si="771"/>
        <v>Heavy Discount</v>
      </c>
      <c r="H9876" s="37" t="str">
        <f t="shared" si="772"/>
        <v>High</v>
      </c>
      <c r="I9876">
        <v>2</v>
      </c>
      <c r="J9876" t="str" cm="1">
        <f t="array" ref="J9876">_xlfn.IFS(I9876&lt;=3,"small",I9876&lt;=6,"Medium",I9876&lt;=9,"Large")</f>
        <v>small</v>
      </c>
      <c r="K9876" s="36">
        <v>45080</v>
      </c>
      <c r="L9876" s="36">
        <v>45087</v>
      </c>
      <c r="M9876" t="s">
        <v>603</v>
      </c>
      <c r="N9876" t="s">
        <v>604</v>
      </c>
      <c r="O9876" s="37" t="str">
        <f t="shared" si="773"/>
        <v>Digital Payment</v>
      </c>
      <c r="P9876">
        <v>59.09</v>
      </c>
      <c r="Q9876" s="37" t="str">
        <f>IF(P9876&gt;500,"High","low")</f>
        <v>low</v>
      </c>
      <c r="R9876" s="37" t="str">
        <f t="shared" si="774"/>
        <v>AVERAGE</v>
      </c>
      <c r="S9876" t="s">
        <v>620</v>
      </c>
    </row>
    <row r="9877" spans="1:19" x14ac:dyDescent="0.2">
      <c r="A9877" t="s">
        <v>10488</v>
      </c>
      <c r="B9877" t="s">
        <v>67</v>
      </c>
      <c r="C9877" t="s">
        <v>617</v>
      </c>
      <c r="D9877">
        <v>3064.18</v>
      </c>
      <c r="E9877" s="37" t="str">
        <f t="shared" si="770"/>
        <v xml:space="preserve"> </v>
      </c>
      <c r="F9877">
        <v>0.14000000000000001</v>
      </c>
      <c r="G9877" s="37" t="str">
        <f t="shared" si="771"/>
        <v>Normal Discount</v>
      </c>
      <c r="H9877" s="37" t="str">
        <f t="shared" si="772"/>
        <v>Low</v>
      </c>
      <c r="I9877">
        <v>5</v>
      </c>
      <c r="J9877" t="str" cm="1">
        <f t="array" ref="J9877">_xlfn.IFS(I9877&lt;=3,"small",I9877&lt;=6,"Medium",I9877&lt;=9,"Large")</f>
        <v>Medium</v>
      </c>
      <c r="K9877" s="36">
        <v>45345</v>
      </c>
      <c r="L9877" s="36">
        <v>45347</v>
      </c>
      <c r="M9877" t="s">
        <v>603</v>
      </c>
      <c r="N9877" t="s">
        <v>608</v>
      </c>
      <c r="O9877" s="37" t="str">
        <f t="shared" si="773"/>
        <v>Cash Payment</v>
      </c>
      <c r="P9877">
        <v>305.19</v>
      </c>
      <c r="Q9877" s="37" t="str">
        <f>IF(P9877&gt;500,"High","low")</f>
        <v>low</v>
      </c>
      <c r="R9877" s="37" t="str">
        <f t="shared" si="774"/>
        <v>AVERAGE</v>
      </c>
      <c r="S9877" t="s">
        <v>628</v>
      </c>
    </row>
    <row r="9878" spans="1:19" x14ac:dyDescent="0.2">
      <c r="A9878" t="s">
        <v>10489</v>
      </c>
      <c r="B9878" t="s">
        <v>75</v>
      </c>
      <c r="C9878" t="s">
        <v>614</v>
      </c>
      <c r="D9878">
        <v>2275.58</v>
      </c>
      <c r="E9878" s="37" t="str">
        <f t="shared" si="770"/>
        <v xml:space="preserve"> </v>
      </c>
      <c r="F9878">
        <v>0.23</v>
      </c>
      <c r="G9878" s="37" t="str">
        <f t="shared" si="771"/>
        <v>Normal Discount</v>
      </c>
      <c r="H9878" s="37" t="str">
        <f t="shared" si="772"/>
        <v>Medium</v>
      </c>
      <c r="I9878">
        <v>3</v>
      </c>
      <c r="J9878" t="str" cm="1">
        <f t="array" ref="J9878">_xlfn.IFS(I9878&lt;=3,"small",I9878&lt;=6,"Medium",I9878&lt;=9,"Large")</f>
        <v>small</v>
      </c>
      <c r="K9878" s="36">
        <v>45251</v>
      </c>
      <c r="L9878" s="36">
        <v>45252</v>
      </c>
      <c r="M9878" t="s">
        <v>603</v>
      </c>
      <c r="N9878" t="s">
        <v>608</v>
      </c>
      <c r="O9878" s="37" t="str">
        <f t="shared" si="773"/>
        <v>Cash Payment</v>
      </c>
      <c r="P9878">
        <v>236.58</v>
      </c>
      <c r="Q9878" s="37" t="str">
        <f>IF(P9878&gt;500,"High","low")</f>
        <v>low</v>
      </c>
      <c r="R9878" s="37" t="str">
        <f t="shared" si="774"/>
        <v>AVERAGE</v>
      </c>
      <c r="S9878" t="s">
        <v>600</v>
      </c>
    </row>
    <row r="9879" spans="1:19" x14ac:dyDescent="0.2">
      <c r="A9879" t="s">
        <v>10490</v>
      </c>
      <c r="B9879" t="s">
        <v>67</v>
      </c>
      <c r="C9879" t="s">
        <v>597</v>
      </c>
      <c r="D9879">
        <v>2787.65</v>
      </c>
      <c r="E9879" s="37" t="str">
        <f t="shared" si="770"/>
        <v xml:space="preserve"> </v>
      </c>
      <c r="F9879">
        <v>0.39</v>
      </c>
      <c r="G9879" s="37" t="str">
        <f t="shared" si="771"/>
        <v>Heavy Discount</v>
      </c>
      <c r="H9879" s="37" t="str">
        <f t="shared" si="772"/>
        <v>Medium</v>
      </c>
      <c r="I9879">
        <v>7</v>
      </c>
      <c r="J9879" t="str" cm="1">
        <f t="array" ref="J9879">_xlfn.IFS(I9879&lt;=3,"small",I9879&lt;=6,"Medium",I9879&lt;=9,"Large")</f>
        <v>Large</v>
      </c>
      <c r="K9879" s="36">
        <v>45387</v>
      </c>
      <c r="L9879" s="36">
        <v>45393</v>
      </c>
      <c r="M9879" t="s">
        <v>612</v>
      </c>
      <c r="N9879" t="s">
        <v>604</v>
      </c>
      <c r="O9879" s="37" t="str">
        <f t="shared" si="773"/>
        <v>Digital Payment</v>
      </c>
      <c r="P9879">
        <v>648.25</v>
      </c>
      <c r="Q9879" s="37" t="str">
        <f>IF(P9879&gt;500,"High","low")</f>
        <v>High</v>
      </c>
      <c r="R9879" s="37" t="str">
        <f t="shared" si="774"/>
        <v>Good</v>
      </c>
      <c r="S9879" t="s">
        <v>628</v>
      </c>
    </row>
    <row r="9880" spans="1:19" x14ac:dyDescent="0.2">
      <c r="A9880" t="s">
        <v>10491</v>
      </c>
      <c r="B9880" t="s">
        <v>75</v>
      </c>
      <c r="C9880" t="s">
        <v>602</v>
      </c>
      <c r="D9880">
        <v>4411.37</v>
      </c>
      <c r="E9880" s="37" t="str">
        <f t="shared" si="770"/>
        <v xml:space="preserve"> </v>
      </c>
      <c r="F9880">
        <v>0.28000000000000003</v>
      </c>
      <c r="G9880" s="37" t="str">
        <f t="shared" si="771"/>
        <v>Normal Discount</v>
      </c>
      <c r="H9880" s="37" t="str">
        <f t="shared" si="772"/>
        <v>Medium</v>
      </c>
      <c r="I9880">
        <v>9</v>
      </c>
      <c r="J9880" t="str" cm="1">
        <f t="array" ref="J9880">_xlfn.IFS(I9880&lt;=3,"small",I9880&lt;=6,"Medium",I9880&lt;=9,"Large")</f>
        <v>Large</v>
      </c>
      <c r="K9880" s="36">
        <v>45065</v>
      </c>
      <c r="L9880" s="36">
        <v>45069</v>
      </c>
      <c r="M9880" t="s">
        <v>612</v>
      </c>
      <c r="N9880" t="s">
        <v>604</v>
      </c>
      <c r="O9880" s="37" t="str">
        <f t="shared" si="773"/>
        <v>Digital Payment</v>
      </c>
      <c r="P9880">
        <v>538.29999999999995</v>
      </c>
      <c r="Q9880" s="37" t="str">
        <f>IF(P9880&gt;500,"High","low")</f>
        <v>High</v>
      </c>
      <c r="R9880" s="37" t="str">
        <f t="shared" si="774"/>
        <v>Good</v>
      </c>
      <c r="S9880" t="s">
        <v>615</v>
      </c>
    </row>
    <row r="9881" spans="1:19" x14ac:dyDescent="0.2">
      <c r="A9881" t="s">
        <v>10492</v>
      </c>
      <c r="B9881" t="s">
        <v>67</v>
      </c>
      <c r="C9881" t="s">
        <v>614</v>
      </c>
      <c r="D9881">
        <v>4104.4799999999996</v>
      </c>
      <c r="E9881" s="37" t="str">
        <f t="shared" si="770"/>
        <v>Excellent Order</v>
      </c>
      <c r="F9881">
        <v>0.33</v>
      </c>
      <c r="G9881" s="37" t="str">
        <f t="shared" si="771"/>
        <v>Heavy Discount</v>
      </c>
      <c r="H9881" s="37" t="str">
        <f t="shared" si="772"/>
        <v>Medium</v>
      </c>
      <c r="I9881">
        <v>1</v>
      </c>
      <c r="J9881" t="str" cm="1">
        <f t="array" ref="J9881">_xlfn.IFS(I9881&lt;=3,"small",I9881&lt;=6,"Medium",I9881&lt;=9,"Large")</f>
        <v>small</v>
      </c>
      <c r="K9881" s="36">
        <v>45047</v>
      </c>
      <c r="L9881" s="36">
        <v>45054</v>
      </c>
      <c r="M9881" t="s">
        <v>598</v>
      </c>
      <c r="N9881" t="s">
        <v>604</v>
      </c>
      <c r="O9881" s="37" t="str">
        <f t="shared" si="773"/>
        <v>Digital Payment</v>
      </c>
      <c r="P9881">
        <v>967.15</v>
      </c>
      <c r="Q9881" s="37" t="str">
        <f>IF(P9881&gt;500,"High","low")</f>
        <v>High</v>
      </c>
      <c r="R9881" s="37" t="str">
        <f t="shared" si="774"/>
        <v>Good</v>
      </c>
      <c r="S9881" t="s">
        <v>600</v>
      </c>
    </row>
    <row r="9882" spans="1:19" x14ac:dyDescent="0.2">
      <c r="A9882" t="s">
        <v>10493</v>
      </c>
      <c r="B9882" t="s">
        <v>90</v>
      </c>
      <c r="C9882" t="s">
        <v>607</v>
      </c>
      <c r="D9882">
        <v>4451.1099999999997</v>
      </c>
      <c r="E9882" s="37" t="str">
        <f t="shared" si="770"/>
        <v xml:space="preserve"> </v>
      </c>
      <c r="F9882">
        <v>0.14000000000000001</v>
      </c>
      <c r="G9882" s="37" t="str">
        <f t="shared" si="771"/>
        <v>Normal Discount</v>
      </c>
      <c r="H9882" s="37" t="str">
        <f t="shared" si="772"/>
        <v>Low</v>
      </c>
      <c r="I9882">
        <v>8</v>
      </c>
      <c r="J9882" t="str" cm="1">
        <f t="array" ref="J9882">_xlfn.IFS(I9882&lt;=3,"small",I9882&lt;=6,"Medium",I9882&lt;=9,"Large")</f>
        <v>Large</v>
      </c>
      <c r="K9882" s="36">
        <v>45186</v>
      </c>
      <c r="L9882" s="36">
        <v>45190</v>
      </c>
      <c r="M9882" t="s">
        <v>598</v>
      </c>
      <c r="N9882" t="s">
        <v>599</v>
      </c>
      <c r="O9882" s="37" t="str">
        <f t="shared" si="773"/>
        <v>Digital Payment</v>
      </c>
      <c r="P9882">
        <v>797.43</v>
      </c>
      <c r="Q9882" s="37" t="str">
        <f>IF(P9882&gt;500,"High","low")</f>
        <v>High</v>
      </c>
      <c r="R9882" s="37" t="str">
        <f t="shared" si="774"/>
        <v>Good</v>
      </c>
      <c r="S9882" t="s">
        <v>628</v>
      </c>
    </row>
    <row r="9883" spans="1:19" x14ac:dyDescent="0.2">
      <c r="A9883" t="s">
        <v>10494</v>
      </c>
      <c r="B9883" t="s">
        <v>90</v>
      </c>
      <c r="C9883" t="s">
        <v>607</v>
      </c>
      <c r="D9883">
        <v>3119.65</v>
      </c>
      <c r="E9883" s="37" t="str">
        <f t="shared" si="770"/>
        <v xml:space="preserve"> </v>
      </c>
      <c r="F9883">
        <v>0.16</v>
      </c>
      <c r="G9883" s="37" t="str">
        <f t="shared" si="771"/>
        <v>Normal Discount</v>
      </c>
      <c r="H9883" s="37" t="str">
        <f t="shared" si="772"/>
        <v>Low</v>
      </c>
      <c r="I9883">
        <v>4</v>
      </c>
      <c r="J9883" t="str" cm="1">
        <f t="array" ref="J9883">_xlfn.IFS(I9883&lt;=3,"small",I9883&lt;=6,"Medium",I9883&lt;=9,"Large")</f>
        <v>Medium</v>
      </c>
      <c r="K9883" s="36">
        <v>45071</v>
      </c>
      <c r="L9883" s="36">
        <v>45075</v>
      </c>
      <c r="M9883" t="s">
        <v>603</v>
      </c>
      <c r="N9883" t="s">
        <v>604</v>
      </c>
      <c r="O9883" s="37" t="str">
        <f t="shared" si="773"/>
        <v>Digital Payment</v>
      </c>
      <c r="P9883">
        <v>218.96</v>
      </c>
      <c r="Q9883" s="37" t="str">
        <f>IF(P9883&gt;500,"High","low")</f>
        <v>low</v>
      </c>
      <c r="R9883" s="37" t="str">
        <f t="shared" si="774"/>
        <v>AVERAGE</v>
      </c>
      <c r="S9883" t="s">
        <v>620</v>
      </c>
    </row>
    <row r="9884" spans="1:19" x14ac:dyDescent="0.2">
      <c r="A9884" t="s">
        <v>10495</v>
      </c>
      <c r="B9884" t="s">
        <v>90</v>
      </c>
      <c r="C9884" t="s">
        <v>602</v>
      </c>
      <c r="D9884">
        <v>2499.25</v>
      </c>
      <c r="E9884" s="37" t="str">
        <f t="shared" si="770"/>
        <v xml:space="preserve"> </v>
      </c>
      <c r="F9884">
        <v>0.25</v>
      </c>
      <c r="G9884" s="37" t="str">
        <f t="shared" si="771"/>
        <v>Normal Discount</v>
      </c>
      <c r="H9884" s="37" t="str">
        <f t="shared" si="772"/>
        <v>Medium</v>
      </c>
      <c r="I9884">
        <v>5</v>
      </c>
      <c r="J9884" t="str" cm="1">
        <f t="array" ref="J9884">_xlfn.IFS(I9884&lt;=3,"small",I9884&lt;=6,"Medium",I9884&lt;=9,"Large")</f>
        <v>Medium</v>
      </c>
      <c r="K9884" s="36">
        <v>45429</v>
      </c>
      <c r="L9884" s="36">
        <v>45436</v>
      </c>
      <c r="M9884" t="s">
        <v>598</v>
      </c>
      <c r="N9884" t="s">
        <v>599</v>
      </c>
      <c r="O9884" s="37" t="str">
        <f t="shared" si="773"/>
        <v>Digital Payment</v>
      </c>
      <c r="P9884">
        <v>261.61</v>
      </c>
      <c r="Q9884" s="37" t="str">
        <f>IF(P9884&gt;500,"High","low")</f>
        <v>low</v>
      </c>
      <c r="R9884" s="37" t="str">
        <f t="shared" si="774"/>
        <v>AVERAGE</v>
      </c>
      <c r="S9884" t="s">
        <v>600</v>
      </c>
    </row>
    <row r="9885" spans="1:19" x14ac:dyDescent="0.2">
      <c r="A9885" t="s">
        <v>10496</v>
      </c>
      <c r="B9885" t="s">
        <v>75</v>
      </c>
      <c r="C9885" t="s">
        <v>614</v>
      </c>
      <c r="D9885">
        <v>2350.0700000000002</v>
      </c>
      <c r="E9885" s="37" t="str">
        <f t="shared" si="770"/>
        <v xml:space="preserve"> </v>
      </c>
      <c r="F9885">
        <v>0.1</v>
      </c>
      <c r="G9885" s="37" t="str">
        <f t="shared" si="771"/>
        <v>Normal Discount</v>
      </c>
      <c r="H9885" s="37" t="str">
        <f t="shared" si="772"/>
        <v>Low</v>
      </c>
      <c r="I9885">
        <v>1</v>
      </c>
      <c r="J9885" t="str" cm="1">
        <f t="array" ref="J9885">_xlfn.IFS(I9885&lt;=3,"small",I9885&lt;=6,"Medium",I9885&lt;=9,"Large")</f>
        <v>small</v>
      </c>
      <c r="K9885" s="36">
        <v>45597</v>
      </c>
      <c r="L9885" s="36">
        <v>45604</v>
      </c>
      <c r="M9885" t="s">
        <v>612</v>
      </c>
      <c r="N9885" t="s">
        <v>608</v>
      </c>
      <c r="O9885" s="37" t="str">
        <f t="shared" si="773"/>
        <v>Cash Payment</v>
      </c>
      <c r="P9885">
        <v>143.88</v>
      </c>
      <c r="Q9885" s="37" t="str">
        <f>IF(P9885&gt;500,"High","low")</f>
        <v>low</v>
      </c>
      <c r="R9885" s="37" t="str">
        <f t="shared" si="774"/>
        <v>AVERAGE</v>
      </c>
      <c r="S9885" t="s">
        <v>609</v>
      </c>
    </row>
    <row r="9886" spans="1:19" x14ac:dyDescent="0.2">
      <c r="A9886" t="s">
        <v>10497</v>
      </c>
      <c r="B9886" t="s">
        <v>90</v>
      </c>
      <c r="C9886" t="s">
        <v>602</v>
      </c>
      <c r="D9886">
        <v>3725.06</v>
      </c>
      <c r="E9886" s="37" t="str">
        <f t="shared" si="770"/>
        <v xml:space="preserve"> </v>
      </c>
      <c r="F9886">
        <v>0.06</v>
      </c>
      <c r="G9886" s="37" t="str">
        <f t="shared" si="771"/>
        <v>Normal Discount</v>
      </c>
      <c r="H9886" s="37" t="str">
        <f t="shared" si="772"/>
        <v>Low</v>
      </c>
      <c r="I9886">
        <v>5</v>
      </c>
      <c r="J9886" t="str" cm="1">
        <f t="array" ref="J9886">_xlfn.IFS(I9886&lt;=3,"small",I9886&lt;=6,"Medium",I9886&lt;=9,"Large")</f>
        <v>Medium</v>
      </c>
      <c r="K9886" s="36">
        <v>45444</v>
      </c>
      <c r="L9886" s="36">
        <v>45449</v>
      </c>
      <c r="M9886" t="s">
        <v>612</v>
      </c>
      <c r="N9886" t="s">
        <v>604</v>
      </c>
      <c r="O9886" s="37" t="str">
        <f t="shared" si="773"/>
        <v>Digital Payment</v>
      </c>
      <c r="P9886">
        <v>1085.5</v>
      </c>
      <c r="Q9886" s="37" t="str">
        <f>IF(P9886&gt;500,"High","low")</f>
        <v>High</v>
      </c>
      <c r="R9886" s="37" t="str">
        <f t="shared" si="774"/>
        <v>Excellent</v>
      </c>
      <c r="S9886" t="s">
        <v>600</v>
      </c>
    </row>
    <row r="9887" spans="1:19" x14ac:dyDescent="0.2">
      <c r="A9887" t="s">
        <v>10498</v>
      </c>
      <c r="B9887" t="s">
        <v>83</v>
      </c>
      <c r="C9887" t="s">
        <v>597</v>
      </c>
      <c r="D9887">
        <v>2654.37</v>
      </c>
      <c r="E9887" s="37" t="str">
        <f t="shared" si="770"/>
        <v xml:space="preserve"> </v>
      </c>
      <c r="F9887">
        <v>0.42</v>
      </c>
      <c r="G9887" s="37" t="str">
        <f t="shared" si="771"/>
        <v>Heavy Discount</v>
      </c>
      <c r="H9887" s="37" t="str">
        <f t="shared" si="772"/>
        <v>High</v>
      </c>
      <c r="I9887">
        <v>9</v>
      </c>
      <c r="J9887" t="str" cm="1">
        <f t="array" ref="J9887">_xlfn.IFS(I9887&lt;=3,"small",I9887&lt;=6,"Medium",I9887&lt;=9,"Large")</f>
        <v>Large</v>
      </c>
      <c r="K9887" s="36">
        <v>45042</v>
      </c>
      <c r="L9887" s="36">
        <v>45045</v>
      </c>
      <c r="M9887" t="s">
        <v>598</v>
      </c>
      <c r="N9887" t="s">
        <v>604</v>
      </c>
      <c r="O9887" s="37" t="str">
        <f t="shared" si="773"/>
        <v>Digital Payment</v>
      </c>
      <c r="P9887">
        <v>680.82</v>
      </c>
      <c r="Q9887" s="37" t="str">
        <f>IF(P9887&gt;500,"High","low")</f>
        <v>High</v>
      </c>
      <c r="R9887" s="37" t="str">
        <f t="shared" si="774"/>
        <v>Good</v>
      </c>
      <c r="S9887" t="s">
        <v>600</v>
      </c>
    </row>
    <row r="9888" spans="1:19" x14ac:dyDescent="0.2">
      <c r="A9888" t="s">
        <v>10499</v>
      </c>
      <c r="B9888" t="s">
        <v>90</v>
      </c>
      <c r="C9888" t="s">
        <v>602</v>
      </c>
      <c r="D9888">
        <v>618.27</v>
      </c>
      <c r="E9888" s="37" t="str">
        <f t="shared" si="770"/>
        <v xml:space="preserve"> </v>
      </c>
      <c r="F9888">
        <v>0.39</v>
      </c>
      <c r="G9888" s="37" t="str">
        <f t="shared" si="771"/>
        <v>Heavy Discount</v>
      </c>
      <c r="H9888" s="37" t="str">
        <f t="shared" si="772"/>
        <v>Medium</v>
      </c>
      <c r="I9888">
        <v>8</v>
      </c>
      <c r="J9888" t="str" cm="1">
        <f t="array" ref="J9888">_xlfn.IFS(I9888&lt;=3,"small",I9888&lt;=6,"Medium",I9888&lt;=9,"Large")</f>
        <v>Large</v>
      </c>
      <c r="K9888" s="36">
        <v>45477</v>
      </c>
      <c r="L9888" s="36">
        <v>45484</v>
      </c>
      <c r="M9888" t="s">
        <v>598</v>
      </c>
      <c r="N9888" t="s">
        <v>599</v>
      </c>
      <c r="O9888" s="37" t="str">
        <f t="shared" si="773"/>
        <v>Digital Payment</v>
      </c>
      <c r="P9888">
        <v>72.41</v>
      </c>
      <c r="Q9888" s="37" t="str">
        <f>IF(P9888&gt;500,"High","low")</f>
        <v>low</v>
      </c>
      <c r="R9888" s="37" t="str">
        <f t="shared" si="774"/>
        <v>AVERAGE</v>
      </c>
      <c r="S9888" t="s">
        <v>615</v>
      </c>
    </row>
    <row r="9889" spans="1:19" x14ac:dyDescent="0.2">
      <c r="A9889" t="s">
        <v>10500</v>
      </c>
      <c r="B9889" t="s">
        <v>67</v>
      </c>
      <c r="C9889" t="s">
        <v>597</v>
      </c>
      <c r="D9889">
        <v>795.5</v>
      </c>
      <c r="E9889" s="37" t="str">
        <f t="shared" si="770"/>
        <v xml:space="preserve"> </v>
      </c>
      <c r="F9889">
        <v>0.47</v>
      </c>
      <c r="G9889" s="37" t="str">
        <f t="shared" si="771"/>
        <v>Heavy Discount</v>
      </c>
      <c r="H9889" s="37" t="str">
        <f t="shared" si="772"/>
        <v>High</v>
      </c>
      <c r="I9889">
        <v>8</v>
      </c>
      <c r="J9889" t="str" cm="1">
        <f t="array" ref="J9889">_xlfn.IFS(I9889&lt;=3,"small",I9889&lt;=6,"Medium",I9889&lt;=9,"Large")</f>
        <v>Large</v>
      </c>
      <c r="K9889" s="36">
        <v>45033</v>
      </c>
      <c r="L9889" s="36">
        <v>45038</v>
      </c>
      <c r="M9889" t="s">
        <v>612</v>
      </c>
      <c r="N9889" t="s">
        <v>604</v>
      </c>
      <c r="O9889" s="37" t="str">
        <f t="shared" si="773"/>
        <v>Digital Payment</v>
      </c>
      <c r="P9889">
        <v>109.79</v>
      </c>
      <c r="Q9889" s="37" t="str">
        <f>IF(P9889&gt;500,"High","low")</f>
        <v>low</v>
      </c>
      <c r="R9889" s="37" t="str">
        <f t="shared" si="774"/>
        <v>AVERAGE</v>
      </c>
      <c r="S9889" t="s">
        <v>628</v>
      </c>
    </row>
    <row r="9890" spans="1:19" x14ac:dyDescent="0.2">
      <c r="A9890" t="s">
        <v>10501</v>
      </c>
      <c r="B9890" t="s">
        <v>67</v>
      </c>
      <c r="C9890" t="s">
        <v>607</v>
      </c>
      <c r="D9890">
        <v>1849.71</v>
      </c>
      <c r="E9890" s="37" t="str">
        <f t="shared" si="770"/>
        <v xml:space="preserve"> </v>
      </c>
      <c r="F9890">
        <v>0.28999999999999998</v>
      </c>
      <c r="G9890" s="37" t="str">
        <f t="shared" si="771"/>
        <v>Normal Discount</v>
      </c>
      <c r="H9890" s="37" t="str">
        <f t="shared" si="772"/>
        <v>Medium</v>
      </c>
      <c r="I9890">
        <v>6</v>
      </c>
      <c r="J9890" t="str" cm="1">
        <f t="array" ref="J9890">_xlfn.IFS(I9890&lt;=3,"small",I9890&lt;=6,"Medium",I9890&lt;=9,"Large")</f>
        <v>Medium</v>
      </c>
      <c r="K9890" s="36">
        <v>45556</v>
      </c>
      <c r="L9890" s="36">
        <v>45560</v>
      </c>
      <c r="M9890" t="s">
        <v>598</v>
      </c>
      <c r="N9890" t="s">
        <v>604</v>
      </c>
      <c r="O9890" s="37" t="str">
        <f t="shared" si="773"/>
        <v>Digital Payment</v>
      </c>
      <c r="P9890">
        <v>420.6</v>
      </c>
      <c r="Q9890" s="37" t="str">
        <f>IF(P9890&gt;500,"High","low")</f>
        <v>low</v>
      </c>
      <c r="R9890" s="37" t="str">
        <f t="shared" si="774"/>
        <v>AVERAGE</v>
      </c>
      <c r="S9890" t="s">
        <v>600</v>
      </c>
    </row>
    <row r="9891" spans="1:19" x14ac:dyDescent="0.2">
      <c r="A9891" t="s">
        <v>10502</v>
      </c>
      <c r="B9891" t="s">
        <v>67</v>
      </c>
      <c r="C9891" t="s">
        <v>597</v>
      </c>
      <c r="D9891">
        <v>432.33</v>
      </c>
      <c r="E9891" s="37" t="str">
        <f t="shared" si="770"/>
        <v xml:space="preserve"> </v>
      </c>
      <c r="F9891">
        <v>0.21</v>
      </c>
      <c r="G9891" s="37" t="str">
        <f t="shared" si="771"/>
        <v>Normal Discount</v>
      </c>
      <c r="H9891" s="37" t="str">
        <f t="shared" si="772"/>
        <v>Medium</v>
      </c>
      <c r="I9891">
        <v>9</v>
      </c>
      <c r="J9891" t="str" cm="1">
        <f t="array" ref="J9891">_xlfn.IFS(I9891&lt;=3,"small",I9891&lt;=6,"Medium",I9891&lt;=9,"Large")</f>
        <v>Large</v>
      </c>
      <c r="K9891" s="36">
        <v>44968</v>
      </c>
      <c r="L9891" s="36">
        <v>44972</v>
      </c>
      <c r="M9891" t="s">
        <v>612</v>
      </c>
      <c r="N9891" t="s">
        <v>599</v>
      </c>
      <c r="O9891" s="37" t="str">
        <f t="shared" si="773"/>
        <v>Digital Payment</v>
      </c>
      <c r="P9891">
        <v>70.95</v>
      </c>
      <c r="Q9891" s="37" t="str">
        <f>IF(P9891&gt;500,"High","low")</f>
        <v>low</v>
      </c>
      <c r="R9891" s="37" t="str">
        <f t="shared" si="774"/>
        <v>AVERAGE</v>
      </c>
      <c r="S9891" t="s">
        <v>600</v>
      </c>
    </row>
    <row r="9892" spans="1:19" x14ac:dyDescent="0.2">
      <c r="A9892" t="s">
        <v>10503</v>
      </c>
      <c r="B9892" t="s">
        <v>75</v>
      </c>
      <c r="C9892" t="s">
        <v>614</v>
      </c>
      <c r="D9892">
        <v>1272.23</v>
      </c>
      <c r="E9892" s="37" t="str">
        <f t="shared" si="770"/>
        <v xml:space="preserve"> </v>
      </c>
      <c r="F9892">
        <v>0.05</v>
      </c>
      <c r="G9892" s="37" t="str">
        <f t="shared" si="771"/>
        <v>Normal Discount</v>
      </c>
      <c r="H9892" s="37" t="str">
        <f t="shared" si="772"/>
        <v>Low</v>
      </c>
      <c r="I9892">
        <v>4</v>
      </c>
      <c r="J9892" t="str" cm="1">
        <f t="array" ref="J9892">_xlfn.IFS(I9892&lt;=3,"small",I9892&lt;=6,"Medium",I9892&lt;=9,"Large")</f>
        <v>Medium</v>
      </c>
      <c r="K9892" s="36">
        <v>45465</v>
      </c>
      <c r="L9892" s="36">
        <v>45472</v>
      </c>
      <c r="M9892" t="s">
        <v>603</v>
      </c>
      <c r="N9892" t="s">
        <v>608</v>
      </c>
      <c r="O9892" s="37" t="str">
        <f t="shared" si="773"/>
        <v>Cash Payment</v>
      </c>
      <c r="P9892">
        <v>254.47</v>
      </c>
      <c r="Q9892" s="37" t="str">
        <f>IF(P9892&gt;500,"High","low")</f>
        <v>low</v>
      </c>
      <c r="R9892" s="37" t="str">
        <f t="shared" si="774"/>
        <v>AVERAGE</v>
      </c>
      <c r="S9892" t="s">
        <v>600</v>
      </c>
    </row>
    <row r="9893" spans="1:19" x14ac:dyDescent="0.2">
      <c r="A9893" t="s">
        <v>10504</v>
      </c>
      <c r="B9893" t="s">
        <v>83</v>
      </c>
      <c r="C9893" t="s">
        <v>614</v>
      </c>
      <c r="D9893">
        <v>3316.36</v>
      </c>
      <c r="E9893" s="37" t="str">
        <f t="shared" si="770"/>
        <v xml:space="preserve"> </v>
      </c>
      <c r="F9893">
        <v>0.43</v>
      </c>
      <c r="G9893" s="37" t="str">
        <f t="shared" si="771"/>
        <v>Heavy Discount</v>
      </c>
      <c r="H9893" s="37" t="str">
        <f t="shared" si="772"/>
        <v>High</v>
      </c>
      <c r="I9893">
        <v>6</v>
      </c>
      <c r="J9893" t="str" cm="1">
        <f t="array" ref="J9893">_xlfn.IFS(I9893&lt;=3,"small",I9893&lt;=6,"Medium",I9893&lt;=9,"Large")</f>
        <v>Medium</v>
      </c>
      <c r="K9893" s="36">
        <v>45143</v>
      </c>
      <c r="L9893" s="36">
        <v>45148</v>
      </c>
      <c r="M9893" t="s">
        <v>612</v>
      </c>
      <c r="N9893" t="s">
        <v>599</v>
      </c>
      <c r="O9893" s="37" t="str">
        <f t="shared" si="773"/>
        <v>Digital Payment</v>
      </c>
      <c r="P9893">
        <v>187.71</v>
      </c>
      <c r="Q9893" s="37" t="str">
        <f>IF(P9893&gt;500,"High","low")</f>
        <v>low</v>
      </c>
      <c r="R9893" s="37" t="str">
        <f t="shared" si="774"/>
        <v>AVERAGE</v>
      </c>
      <c r="S9893" t="s">
        <v>628</v>
      </c>
    </row>
    <row r="9894" spans="1:19" x14ac:dyDescent="0.2">
      <c r="A9894" t="s">
        <v>10505</v>
      </c>
      <c r="B9894" t="s">
        <v>90</v>
      </c>
      <c r="C9894" t="s">
        <v>614</v>
      </c>
      <c r="D9894">
        <v>160.91</v>
      </c>
      <c r="E9894" s="37" t="str">
        <f t="shared" si="770"/>
        <v xml:space="preserve"> </v>
      </c>
      <c r="F9894">
        <v>0.23</v>
      </c>
      <c r="G9894" s="37" t="str">
        <f t="shared" si="771"/>
        <v>Normal Discount</v>
      </c>
      <c r="H9894" s="37" t="str">
        <f t="shared" si="772"/>
        <v>Medium</v>
      </c>
      <c r="I9894">
        <v>3</v>
      </c>
      <c r="J9894" t="str" cm="1">
        <f t="array" ref="J9894">_xlfn.IFS(I9894&lt;=3,"small",I9894&lt;=6,"Medium",I9894&lt;=9,"Large")</f>
        <v>small</v>
      </c>
      <c r="K9894" s="36">
        <v>45544</v>
      </c>
      <c r="L9894" s="36">
        <v>45548</v>
      </c>
      <c r="M9894" t="s">
        <v>612</v>
      </c>
      <c r="N9894" t="s">
        <v>599</v>
      </c>
      <c r="O9894" s="37" t="str">
        <f t="shared" si="773"/>
        <v>Digital Payment</v>
      </c>
      <c r="P9894">
        <v>45.24</v>
      </c>
      <c r="Q9894" s="37" t="str">
        <f>IF(P9894&gt;500,"High","low")</f>
        <v>low</v>
      </c>
      <c r="R9894" s="37" t="str">
        <f t="shared" si="774"/>
        <v>AVERAGE</v>
      </c>
      <c r="S9894" t="s">
        <v>620</v>
      </c>
    </row>
    <row r="9895" spans="1:19" x14ac:dyDescent="0.2">
      <c r="A9895" t="s">
        <v>10506</v>
      </c>
      <c r="B9895" t="s">
        <v>83</v>
      </c>
      <c r="C9895" t="s">
        <v>614</v>
      </c>
      <c r="D9895">
        <v>3060.06</v>
      </c>
      <c r="E9895" s="37" t="str">
        <f t="shared" si="770"/>
        <v xml:space="preserve"> </v>
      </c>
      <c r="F9895">
        <v>0.28000000000000003</v>
      </c>
      <c r="G9895" s="37" t="str">
        <f t="shared" si="771"/>
        <v>Normal Discount</v>
      </c>
      <c r="H9895" s="37" t="str">
        <f t="shared" si="772"/>
        <v>Medium</v>
      </c>
      <c r="I9895">
        <v>2</v>
      </c>
      <c r="J9895" t="str" cm="1">
        <f t="array" ref="J9895">_xlfn.IFS(I9895&lt;=3,"small",I9895&lt;=6,"Medium",I9895&lt;=9,"Large")</f>
        <v>small</v>
      </c>
      <c r="K9895" s="36">
        <v>45009</v>
      </c>
      <c r="L9895" s="36">
        <v>45013</v>
      </c>
      <c r="M9895" t="s">
        <v>598</v>
      </c>
      <c r="N9895" t="s">
        <v>608</v>
      </c>
      <c r="O9895" s="37" t="str">
        <f t="shared" si="773"/>
        <v>Cash Payment</v>
      </c>
      <c r="P9895">
        <v>350.77</v>
      </c>
      <c r="Q9895" s="37" t="str">
        <f>IF(P9895&gt;500,"High","low")</f>
        <v>low</v>
      </c>
      <c r="R9895" s="37" t="str">
        <f t="shared" si="774"/>
        <v>AVERAGE</v>
      </c>
      <c r="S9895" t="s">
        <v>628</v>
      </c>
    </row>
    <row r="9896" spans="1:19" x14ac:dyDescent="0.2">
      <c r="A9896" t="s">
        <v>10507</v>
      </c>
      <c r="B9896" t="s">
        <v>83</v>
      </c>
      <c r="C9896" t="s">
        <v>617</v>
      </c>
      <c r="D9896">
        <v>3884.55</v>
      </c>
      <c r="E9896" s="37" t="str">
        <f t="shared" si="770"/>
        <v xml:space="preserve"> </v>
      </c>
      <c r="F9896">
        <v>0.16</v>
      </c>
      <c r="G9896" s="37" t="str">
        <f t="shared" si="771"/>
        <v>Normal Discount</v>
      </c>
      <c r="H9896" s="37" t="str">
        <f t="shared" si="772"/>
        <v>Low</v>
      </c>
      <c r="I9896">
        <v>9</v>
      </c>
      <c r="J9896" t="str" cm="1">
        <f t="array" ref="J9896">_xlfn.IFS(I9896&lt;=3,"small",I9896&lt;=6,"Medium",I9896&lt;=9,"Large")</f>
        <v>Large</v>
      </c>
      <c r="K9896" s="36">
        <v>45247</v>
      </c>
      <c r="L9896" s="36">
        <v>45250</v>
      </c>
      <c r="M9896" t="s">
        <v>603</v>
      </c>
      <c r="N9896" t="s">
        <v>604</v>
      </c>
      <c r="O9896" s="37" t="str">
        <f t="shared" si="773"/>
        <v>Digital Payment</v>
      </c>
      <c r="P9896">
        <v>831.83</v>
      </c>
      <c r="Q9896" s="37" t="str">
        <f>IF(P9896&gt;500,"High","low")</f>
        <v>High</v>
      </c>
      <c r="R9896" s="37" t="str">
        <f t="shared" si="774"/>
        <v>Good</v>
      </c>
      <c r="S9896" t="s">
        <v>620</v>
      </c>
    </row>
    <row r="9897" spans="1:19" x14ac:dyDescent="0.2">
      <c r="A9897" t="s">
        <v>10508</v>
      </c>
      <c r="B9897" t="s">
        <v>67</v>
      </c>
      <c r="C9897" t="s">
        <v>597</v>
      </c>
      <c r="D9897">
        <v>933.75</v>
      </c>
      <c r="E9897" s="37" t="str">
        <f t="shared" si="770"/>
        <v xml:space="preserve"> </v>
      </c>
      <c r="F9897">
        <v>0.26</v>
      </c>
      <c r="G9897" s="37" t="str">
        <f t="shared" si="771"/>
        <v>Normal Discount</v>
      </c>
      <c r="H9897" s="37" t="str">
        <f t="shared" si="772"/>
        <v>Medium</v>
      </c>
      <c r="I9897">
        <v>5</v>
      </c>
      <c r="J9897" t="str" cm="1">
        <f t="array" ref="J9897">_xlfn.IFS(I9897&lt;=3,"small",I9897&lt;=6,"Medium",I9897&lt;=9,"Large")</f>
        <v>Medium</v>
      </c>
      <c r="K9897" s="36">
        <v>45196</v>
      </c>
      <c r="L9897" s="36">
        <v>45200</v>
      </c>
      <c r="M9897" t="s">
        <v>612</v>
      </c>
      <c r="N9897" t="s">
        <v>608</v>
      </c>
      <c r="O9897" s="37" t="str">
        <f t="shared" si="773"/>
        <v>Cash Payment</v>
      </c>
      <c r="P9897">
        <v>268.45</v>
      </c>
      <c r="Q9897" s="37" t="str">
        <f>IF(P9897&gt;500,"High","low")</f>
        <v>low</v>
      </c>
      <c r="R9897" s="37" t="str">
        <f t="shared" si="774"/>
        <v>AVERAGE</v>
      </c>
      <c r="S9897" t="s">
        <v>600</v>
      </c>
    </row>
    <row r="9898" spans="1:19" x14ac:dyDescent="0.2">
      <c r="A9898" t="s">
        <v>10509</v>
      </c>
      <c r="B9898" t="s">
        <v>67</v>
      </c>
      <c r="C9898" t="s">
        <v>614</v>
      </c>
      <c r="D9898">
        <v>986.75</v>
      </c>
      <c r="E9898" s="37" t="str">
        <f t="shared" si="770"/>
        <v xml:space="preserve"> </v>
      </c>
      <c r="F9898">
        <v>0.39</v>
      </c>
      <c r="G9898" s="37" t="str">
        <f t="shared" si="771"/>
        <v>Heavy Discount</v>
      </c>
      <c r="H9898" s="37" t="str">
        <f t="shared" si="772"/>
        <v>Medium</v>
      </c>
      <c r="I9898">
        <v>2</v>
      </c>
      <c r="J9898" t="str" cm="1">
        <f t="array" ref="J9898">_xlfn.IFS(I9898&lt;=3,"small",I9898&lt;=6,"Medium",I9898&lt;=9,"Large")</f>
        <v>small</v>
      </c>
      <c r="K9898" s="36">
        <v>45034</v>
      </c>
      <c r="L9898" s="36">
        <v>45039</v>
      </c>
      <c r="M9898" t="s">
        <v>603</v>
      </c>
      <c r="N9898" t="s">
        <v>604</v>
      </c>
      <c r="O9898" s="37" t="str">
        <f t="shared" si="773"/>
        <v>Digital Payment</v>
      </c>
      <c r="P9898">
        <v>212.3</v>
      </c>
      <c r="Q9898" s="37" t="str">
        <f>IF(P9898&gt;500,"High","low")</f>
        <v>low</v>
      </c>
      <c r="R9898" s="37" t="str">
        <f t="shared" si="774"/>
        <v>AVERAGE</v>
      </c>
      <c r="S9898" t="s">
        <v>628</v>
      </c>
    </row>
    <row r="9899" spans="1:19" x14ac:dyDescent="0.2">
      <c r="A9899" t="s">
        <v>10510</v>
      </c>
      <c r="B9899" t="s">
        <v>67</v>
      </c>
      <c r="C9899" t="s">
        <v>602</v>
      </c>
      <c r="D9899">
        <v>241.4</v>
      </c>
      <c r="E9899" s="37" t="str">
        <f t="shared" si="770"/>
        <v xml:space="preserve"> </v>
      </c>
      <c r="F9899">
        <v>0.36</v>
      </c>
      <c r="G9899" s="37" t="str">
        <f t="shared" si="771"/>
        <v>Heavy Discount</v>
      </c>
      <c r="H9899" s="37" t="str">
        <f t="shared" si="772"/>
        <v>Medium</v>
      </c>
      <c r="I9899">
        <v>5</v>
      </c>
      <c r="J9899" t="str" cm="1">
        <f t="array" ref="J9899">_xlfn.IFS(I9899&lt;=3,"small",I9899&lt;=6,"Medium",I9899&lt;=9,"Large")</f>
        <v>Medium</v>
      </c>
      <c r="K9899" s="36">
        <v>44941</v>
      </c>
      <c r="L9899" s="36">
        <v>44946</v>
      </c>
      <c r="M9899" t="s">
        <v>603</v>
      </c>
      <c r="N9899" t="s">
        <v>604</v>
      </c>
      <c r="O9899" s="37" t="str">
        <f t="shared" si="773"/>
        <v>Digital Payment</v>
      </c>
      <c r="P9899">
        <v>57.58</v>
      </c>
      <c r="Q9899" s="37" t="str">
        <f>IF(P9899&gt;500,"High","low")</f>
        <v>low</v>
      </c>
      <c r="R9899" s="37" t="str">
        <f t="shared" si="774"/>
        <v>AVERAGE</v>
      </c>
      <c r="S9899" t="s">
        <v>628</v>
      </c>
    </row>
    <row r="9900" spans="1:19" x14ac:dyDescent="0.2">
      <c r="A9900" t="s">
        <v>10511</v>
      </c>
      <c r="B9900" t="s">
        <v>75</v>
      </c>
      <c r="C9900" t="s">
        <v>602</v>
      </c>
      <c r="D9900">
        <v>2611.0100000000002</v>
      </c>
      <c r="E9900" s="37" t="str">
        <f t="shared" si="770"/>
        <v xml:space="preserve"> </v>
      </c>
      <c r="F9900">
        <v>0.49</v>
      </c>
      <c r="G9900" s="37" t="str">
        <f t="shared" si="771"/>
        <v>Heavy Discount</v>
      </c>
      <c r="H9900" s="37" t="str">
        <f t="shared" si="772"/>
        <v>High</v>
      </c>
      <c r="I9900">
        <v>6</v>
      </c>
      <c r="J9900" t="str" cm="1">
        <f t="array" ref="J9900">_xlfn.IFS(I9900&lt;=3,"small",I9900&lt;=6,"Medium",I9900&lt;=9,"Large")</f>
        <v>Medium</v>
      </c>
      <c r="K9900" s="36">
        <v>45588</v>
      </c>
      <c r="L9900" s="36">
        <v>45595</v>
      </c>
      <c r="M9900" t="s">
        <v>598</v>
      </c>
      <c r="N9900" t="s">
        <v>604</v>
      </c>
      <c r="O9900" s="37" t="str">
        <f t="shared" si="773"/>
        <v>Digital Payment</v>
      </c>
      <c r="P9900">
        <v>761.18</v>
      </c>
      <c r="Q9900" s="37" t="str">
        <f>IF(P9900&gt;500,"High","low")</f>
        <v>High</v>
      </c>
      <c r="R9900" s="37" t="str">
        <f t="shared" si="774"/>
        <v>Good</v>
      </c>
      <c r="S9900" t="s">
        <v>628</v>
      </c>
    </row>
    <row r="9901" spans="1:19" x14ac:dyDescent="0.2">
      <c r="A9901" t="s">
        <v>10512</v>
      </c>
      <c r="B9901" t="s">
        <v>83</v>
      </c>
      <c r="C9901" t="s">
        <v>617</v>
      </c>
      <c r="D9901">
        <v>3307.48</v>
      </c>
      <c r="E9901" s="37" t="str">
        <f t="shared" si="770"/>
        <v xml:space="preserve"> </v>
      </c>
      <c r="F9901">
        <v>0.25</v>
      </c>
      <c r="G9901" s="37" t="str">
        <f t="shared" si="771"/>
        <v>Normal Discount</v>
      </c>
      <c r="H9901" s="37" t="str">
        <f t="shared" si="772"/>
        <v>Medium</v>
      </c>
      <c r="I9901">
        <v>8</v>
      </c>
      <c r="J9901" t="str" cm="1">
        <f t="array" ref="J9901">_xlfn.IFS(I9901&lt;=3,"small",I9901&lt;=6,"Medium",I9901&lt;=9,"Large")</f>
        <v>Large</v>
      </c>
      <c r="K9901" s="36">
        <v>45628</v>
      </c>
      <c r="L9901" s="36">
        <v>45630</v>
      </c>
      <c r="M9901" t="s">
        <v>612</v>
      </c>
      <c r="N9901" t="s">
        <v>608</v>
      </c>
      <c r="O9901" s="37" t="str">
        <f t="shared" si="773"/>
        <v>Cash Payment</v>
      </c>
      <c r="P9901">
        <v>722.76</v>
      </c>
      <c r="Q9901" s="37" t="str">
        <f>IF(P9901&gt;500,"High","low")</f>
        <v>High</v>
      </c>
      <c r="R9901" s="37" t="str">
        <f t="shared" si="774"/>
        <v>Good</v>
      </c>
      <c r="S9901" t="s">
        <v>600</v>
      </c>
    </row>
    <row r="9902" spans="1:19" x14ac:dyDescent="0.2">
      <c r="A9902" t="s">
        <v>10513</v>
      </c>
      <c r="B9902" t="s">
        <v>83</v>
      </c>
      <c r="C9902" t="s">
        <v>597</v>
      </c>
      <c r="D9902">
        <v>2338.86</v>
      </c>
      <c r="E9902" s="37" t="str">
        <f t="shared" si="770"/>
        <v xml:space="preserve"> </v>
      </c>
      <c r="F9902">
        <v>0.26</v>
      </c>
      <c r="G9902" s="37" t="str">
        <f t="shared" si="771"/>
        <v>Normal Discount</v>
      </c>
      <c r="H9902" s="37" t="str">
        <f t="shared" si="772"/>
        <v>Medium</v>
      </c>
      <c r="I9902">
        <v>5</v>
      </c>
      <c r="J9902" t="str" cm="1">
        <f t="array" ref="J9902">_xlfn.IFS(I9902&lt;=3,"small",I9902&lt;=6,"Medium",I9902&lt;=9,"Large")</f>
        <v>Medium</v>
      </c>
      <c r="K9902" s="36">
        <v>45607</v>
      </c>
      <c r="L9902" s="36">
        <v>45611</v>
      </c>
      <c r="M9902" t="s">
        <v>603</v>
      </c>
      <c r="N9902" t="s">
        <v>604</v>
      </c>
      <c r="O9902" s="37" t="str">
        <f t="shared" si="773"/>
        <v>Digital Payment</v>
      </c>
      <c r="P9902">
        <v>412.91</v>
      </c>
      <c r="Q9902" s="37" t="str">
        <f>IF(P9902&gt;500,"High","low")</f>
        <v>low</v>
      </c>
      <c r="R9902" s="37" t="str">
        <f t="shared" si="774"/>
        <v>AVERAGE</v>
      </c>
      <c r="S9902" t="s">
        <v>605</v>
      </c>
    </row>
    <row r="9903" spans="1:19" x14ac:dyDescent="0.2">
      <c r="A9903" t="s">
        <v>10514</v>
      </c>
      <c r="B9903" t="s">
        <v>75</v>
      </c>
      <c r="C9903" t="s">
        <v>597</v>
      </c>
      <c r="D9903">
        <v>2008.3</v>
      </c>
      <c r="E9903" s="37" t="str">
        <f t="shared" si="770"/>
        <v xml:space="preserve"> </v>
      </c>
      <c r="F9903">
        <v>0.03</v>
      </c>
      <c r="G9903" s="37" t="str">
        <f t="shared" si="771"/>
        <v>Normal Discount</v>
      </c>
      <c r="H9903" s="37" t="str">
        <f t="shared" si="772"/>
        <v>Low</v>
      </c>
      <c r="I9903">
        <v>2</v>
      </c>
      <c r="J9903" t="str" cm="1">
        <f t="array" ref="J9903">_xlfn.IFS(I9903&lt;=3,"small",I9903&lt;=6,"Medium",I9903&lt;=9,"Large")</f>
        <v>small</v>
      </c>
      <c r="K9903" s="36">
        <v>45087</v>
      </c>
      <c r="L9903" s="36">
        <v>45094</v>
      </c>
      <c r="M9903" t="s">
        <v>603</v>
      </c>
      <c r="N9903" t="s">
        <v>604</v>
      </c>
      <c r="O9903" s="37" t="str">
        <f t="shared" si="773"/>
        <v>Digital Payment</v>
      </c>
      <c r="P9903">
        <v>367.08</v>
      </c>
      <c r="Q9903" s="37" t="str">
        <f>IF(P9903&gt;500,"High","low")</f>
        <v>low</v>
      </c>
      <c r="R9903" s="37" t="str">
        <f t="shared" si="774"/>
        <v>AVERAGE</v>
      </c>
      <c r="S9903" t="s">
        <v>600</v>
      </c>
    </row>
    <row r="9904" spans="1:19" x14ac:dyDescent="0.2">
      <c r="A9904" t="s">
        <v>10515</v>
      </c>
      <c r="B9904" t="s">
        <v>75</v>
      </c>
      <c r="C9904" t="s">
        <v>597</v>
      </c>
      <c r="D9904">
        <v>2326.62</v>
      </c>
      <c r="E9904" s="37" t="str">
        <f t="shared" si="770"/>
        <v xml:space="preserve"> </v>
      </c>
      <c r="F9904">
        <v>0.19</v>
      </c>
      <c r="G9904" s="37" t="str">
        <f t="shared" si="771"/>
        <v>Normal Discount</v>
      </c>
      <c r="H9904" s="37" t="str">
        <f t="shared" si="772"/>
        <v>Low</v>
      </c>
      <c r="I9904">
        <v>7</v>
      </c>
      <c r="J9904" t="str" cm="1">
        <f t="array" ref="J9904">_xlfn.IFS(I9904&lt;=3,"small",I9904&lt;=6,"Medium",I9904&lt;=9,"Large")</f>
        <v>Large</v>
      </c>
      <c r="K9904" s="36">
        <v>45375</v>
      </c>
      <c r="L9904" s="36">
        <v>45377</v>
      </c>
      <c r="M9904" t="s">
        <v>612</v>
      </c>
      <c r="N9904" t="s">
        <v>604</v>
      </c>
      <c r="O9904" s="37" t="str">
        <f t="shared" si="773"/>
        <v>Digital Payment</v>
      </c>
      <c r="P9904">
        <v>140.58000000000001</v>
      </c>
      <c r="Q9904" s="37" t="str">
        <f>IF(P9904&gt;500,"High","low")</f>
        <v>low</v>
      </c>
      <c r="R9904" s="37" t="str">
        <f t="shared" si="774"/>
        <v>AVERAGE</v>
      </c>
      <c r="S9904" t="s">
        <v>620</v>
      </c>
    </row>
    <row r="9905" spans="1:19" x14ac:dyDescent="0.2">
      <c r="A9905" t="s">
        <v>10516</v>
      </c>
      <c r="B9905" t="s">
        <v>75</v>
      </c>
      <c r="C9905" t="s">
        <v>617</v>
      </c>
      <c r="D9905">
        <v>3929.49</v>
      </c>
      <c r="E9905" s="37" t="str">
        <f t="shared" si="770"/>
        <v xml:space="preserve"> </v>
      </c>
      <c r="F9905">
        <v>0.46</v>
      </c>
      <c r="G9905" s="37" t="str">
        <f t="shared" si="771"/>
        <v>Heavy Discount</v>
      </c>
      <c r="H9905" s="37" t="str">
        <f t="shared" si="772"/>
        <v>High</v>
      </c>
      <c r="I9905">
        <v>5</v>
      </c>
      <c r="J9905" t="str" cm="1">
        <f t="array" ref="J9905">_xlfn.IFS(I9905&lt;=3,"small",I9905&lt;=6,"Medium",I9905&lt;=9,"Large")</f>
        <v>Medium</v>
      </c>
      <c r="K9905" s="36">
        <v>45009</v>
      </c>
      <c r="L9905" s="36">
        <v>45016</v>
      </c>
      <c r="M9905" t="s">
        <v>612</v>
      </c>
      <c r="N9905" t="s">
        <v>599</v>
      </c>
      <c r="O9905" s="37" t="str">
        <f t="shared" si="773"/>
        <v>Digital Payment</v>
      </c>
      <c r="P9905">
        <v>277.83999999999997</v>
      </c>
      <c r="Q9905" s="37" t="str">
        <f>IF(P9905&gt;500,"High","low")</f>
        <v>low</v>
      </c>
      <c r="R9905" s="37" t="str">
        <f t="shared" si="774"/>
        <v>AVERAGE</v>
      </c>
      <c r="S9905" t="s">
        <v>620</v>
      </c>
    </row>
    <row r="9906" spans="1:19" x14ac:dyDescent="0.2">
      <c r="A9906" t="s">
        <v>10517</v>
      </c>
      <c r="B9906" t="s">
        <v>83</v>
      </c>
      <c r="C9906" t="s">
        <v>597</v>
      </c>
      <c r="D9906">
        <v>264.22000000000003</v>
      </c>
      <c r="E9906" s="37" t="str">
        <f t="shared" si="770"/>
        <v xml:space="preserve"> </v>
      </c>
      <c r="F9906">
        <v>0.18</v>
      </c>
      <c r="G9906" s="37" t="str">
        <f t="shared" si="771"/>
        <v>Normal Discount</v>
      </c>
      <c r="H9906" s="37" t="str">
        <f t="shared" si="772"/>
        <v>Low</v>
      </c>
      <c r="I9906">
        <v>2</v>
      </c>
      <c r="J9906" t="str" cm="1">
        <f t="array" ref="J9906">_xlfn.IFS(I9906&lt;=3,"small",I9906&lt;=6,"Medium",I9906&lt;=9,"Large")</f>
        <v>small</v>
      </c>
      <c r="K9906" s="36">
        <v>45540</v>
      </c>
      <c r="L9906" s="36">
        <v>45547</v>
      </c>
      <c r="M9906" t="s">
        <v>612</v>
      </c>
      <c r="N9906" t="s">
        <v>608</v>
      </c>
      <c r="O9906" s="37" t="str">
        <f t="shared" si="773"/>
        <v>Cash Payment</v>
      </c>
      <c r="P9906">
        <v>50.22</v>
      </c>
      <c r="Q9906" s="37" t="str">
        <f>IF(P9906&gt;500,"High","low")</f>
        <v>low</v>
      </c>
      <c r="R9906" s="37" t="str">
        <f t="shared" si="774"/>
        <v>AVERAGE</v>
      </c>
      <c r="S9906" t="s">
        <v>628</v>
      </c>
    </row>
    <row r="9907" spans="1:19" x14ac:dyDescent="0.2">
      <c r="A9907" t="s">
        <v>10518</v>
      </c>
      <c r="B9907" t="s">
        <v>83</v>
      </c>
      <c r="C9907" t="s">
        <v>597</v>
      </c>
      <c r="D9907">
        <v>3940.71</v>
      </c>
      <c r="E9907" s="37" t="str">
        <f t="shared" si="770"/>
        <v xml:space="preserve"> </v>
      </c>
      <c r="F9907">
        <v>0.38</v>
      </c>
      <c r="G9907" s="37" t="str">
        <f t="shared" si="771"/>
        <v>Heavy Discount</v>
      </c>
      <c r="H9907" s="37" t="str">
        <f t="shared" si="772"/>
        <v>Medium</v>
      </c>
      <c r="I9907">
        <v>6</v>
      </c>
      <c r="J9907" t="str" cm="1">
        <f t="array" ref="J9907">_xlfn.IFS(I9907&lt;=3,"small",I9907&lt;=6,"Medium",I9907&lt;=9,"Large")</f>
        <v>Medium</v>
      </c>
      <c r="K9907" s="36">
        <v>45306</v>
      </c>
      <c r="L9907" s="36">
        <v>45312</v>
      </c>
      <c r="M9907" t="s">
        <v>612</v>
      </c>
      <c r="N9907" t="s">
        <v>599</v>
      </c>
      <c r="O9907" s="37" t="str">
        <f t="shared" si="773"/>
        <v>Digital Payment</v>
      </c>
      <c r="P9907">
        <v>725.71</v>
      </c>
      <c r="Q9907" s="37" t="str">
        <f>IF(P9907&gt;500,"High","low")</f>
        <v>High</v>
      </c>
      <c r="R9907" s="37" t="str">
        <f t="shared" si="774"/>
        <v>Good</v>
      </c>
      <c r="S9907" t="s">
        <v>609</v>
      </c>
    </row>
    <row r="9908" spans="1:19" x14ac:dyDescent="0.2">
      <c r="A9908" t="s">
        <v>10519</v>
      </c>
      <c r="B9908" t="s">
        <v>67</v>
      </c>
      <c r="C9908" t="s">
        <v>614</v>
      </c>
      <c r="D9908">
        <v>3365.08</v>
      </c>
      <c r="E9908" s="37" t="str">
        <f t="shared" si="770"/>
        <v xml:space="preserve"> </v>
      </c>
      <c r="F9908">
        <v>0.49</v>
      </c>
      <c r="G9908" s="37" t="str">
        <f t="shared" si="771"/>
        <v>Heavy Discount</v>
      </c>
      <c r="H9908" s="37" t="str">
        <f t="shared" si="772"/>
        <v>High</v>
      </c>
      <c r="I9908">
        <v>7</v>
      </c>
      <c r="J9908" t="str" cm="1">
        <f t="array" ref="J9908">_xlfn.IFS(I9908&lt;=3,"small",I9908&lt;=6,"Medium",I9908&lt;=9,"Large")</f>
        <v>Large</v>
      </c>
      <c r="K9908" s="36">
        <v>45041</v>
      </c>
      <c r="L9908" s="36">
        <v>45046</v>
      </c>
      <c r="M9908" t="s">
        <v>603</v>
      </c>
      <c r="N9908" t="s">
        <v>604</v>
      </c>
      <c r="O9908" s="37" t="str">
        <f t="shared" si="773"/>
        <v>Digital Payment</v>
      </c>
      <c r="P9908">
        <v>595.34</v>
      </c>
      <c r="Q9908" s="37" t="str">
        <f>IF(P9908&gt;500,"High","low")</f>
        <v>High</v>
      </c>
      <c r="R9908" s="37" t="str">
        <f t="shared" si="774"/>
        <v>Good</v>
      </c>
      <c r="S9908" t="s">
        <v>615</v>
      </c>
    </row>
    <row r="9909" spans="1:19" x14ac:dyDescent="0.2">
      <c r="A9909" t="s">
        <v>10520</v>
      </c>
      <c r="B9909" t="s">
        <v>67</v>
      </c>
      <c r="C9909" t="s">
        <v>597</v>
      </c>
      <c r="D9909">
        <v>1282.99</v>
      </c>
      <c r="E9909" s="37" t="str">
        <f t="shared" si="770"/>
        <v xml:space="preserve"> </v>
      </c>
      <c r="F9909">
        <v>0.06</v>
      </c>
      <c r="G9909" s="37" t="str">
        <f t="shared" si="771"/>
        <v>Normal Discount</v>
      </c>
      <c r="H9909" s="37" t="str">
        <f t="shared" si="772"/>
        <v>Low</v>
      </c>
      <c r="I9909">
        <v>8</v>
      </c>
      <c r="J9909" t="str" cm="1">
        <f t="array" ref="J9909">_xlfn.IFS(I9909&lt;=3,"small",I9909&lt;=6,"Medium",I9909&lt;=9,"Large")</f>
        <v>Large</v>
      </c>
      <c r="K9909" s="36">
        <v>45168</v>
      </c>
      <c r="L9909" s="36">
        <v>45170</v>
      </c>
      <c r="M9909" t="s">
        <v>603</v>
      </c>
      <c r="N9909" t="s">
        <v>599</v>
      </c>
      <c r="O9909" s="37" t="str">
        <f t="shared" si="773"/>
        <v>Digital Payment</v>
      </c>
      <c r="P9909">
        <v>108.91</v>
      </c>
      <c r="Q9909" s="37" t="str">
        <f>IF(P9909&gt;500,"High","low")</f>
        <v>low</v>
      </c>
      <c r="R9909" s="37" t="str">
        <f t="shared" si="774"/>
        <v>AVERAGE</v>
      </c>
      <c r="S9909" t="s">
        <v>600</v>
      </c>
    </row>
    <row r="9910" spans="1:19" x14ac:dyDescent="0.2">
      <c r="A9910" t="s">
        <v>10521</v>
      </c>
      <c r="B9910" t="s">
        <v>83</v>
      </c>
      <c r="C9910" t="s">
        <v>614</v>
      </c>
      <c r="D9910">
        <v>2671.22</v>
      </c>
      <c r="E9910" s="37" t="str">
        <f t="shared" si="770"/>
        <v xml:space="preserve"> </v>
      </c>
      <c r="F9910">
        <v>0.17</v>
      </c>
      <c r="G9910" s="37" t="str">
        <f t="shared" si="771"/>
        <v>Normal Discount</v>
      </c>
      <c r="H9910" s="37" t="str">
        <f t="shared" si="772"/>
        <v>Low</v>
      </c>
      <c r="I9910">
        <v>3</v>
      </c>
      <c r="J9910" t="str" cm="1">
        <f t="array" ref="J9910">_xlfn.IFS(I9910&lt;=3,"small",I9910&lt;=6,"Medium",I9910&lt;=9,"Large")</f>
        <v>small</v>
      </c>
      <c r="K9910" s="36">
        <v>44985</v>
      </c>
      <c r="L9910" s="36">
        <v>44991</v>
      </c>
      <c r="M9910" t="s">
        <v>598</v>
      </c>
      <c r="N9910" t="s">
        <v>599</v>
      </c>
      <c r="O9910" s="37" t="str">
        <f t="shared" si="773"/>
        <v>Digital Payment</v>
      </c>
      <c r="P9910">
        <v>753.79</v>
      </c>
      <c r="Q9910" s="37" t="str">
        <f>IF(P9910&gt;500,"High","low")</f>
        <v>High</v>
      </c>
      <c r="R9910" s="37" t="str">
        <f t="shared" si="774"/>
        <v>Good</v>
      </c>
      <c r="S9910" t="s">
        <v>615</v>
      </c>
    </row>
    <row r="9911" spans="1:19" x14ac:dyDescent="0.2">
      <c r="A9911" t="s">
        <v>10522</v>
      </c>
      <c r="B9911" t="s">
        <v>67</v>
      </c>
      <c r="C9911" t="s">
        <v>614</v>
      </c>
      <c r="D9911">
        <v>341.52</v>
      </c>
      <c r="E9911" s="37" t="str">
        <f t="shared" si="770"/>
        <v xml:space="preserve"> </v>
      </c>
      <c r="F9911">
        <v>0.24</v>
      </c>
      <c r="G9911" s="37" t="str">
        <f t="shared" si="771"/>
        <v>Normal Discount</v>
      </c>
      <c r="H9911" s="37" t="str">
        <f t="shared" si="772"/>
        <v>Medium</v>
      </c>
      <c r="I9911">
        <v>4</v>
      </c>
      <c r="J9911" t="str" cm="1">
        <f t="array" ref="J9911">_xlfn.IFS(I9911&lt;=3,"small",I9911&lt;=6,"Medium",I9911&lt;=9,"Large")</f>
        <v>Medium</v>
      </c>
      <c r="K9911" s="36">
        <v>45025</v>
      </c>
      <c r="L9911" s="36">
        <v>45029</v>
      </c>
      <c r="M9911" t="s">
        <v>612</v>
      </c>
      <c r="N9911" t="s">
        <v>604</v>
      </c>
      <c r="O9911" s="37" t="str">
        <f t="shared" si="773"/>
        <v>Digital Payment</v>
      </c>
      <c r="P9911">
        <v>94.58</v>
      </c>
      <c r="Q9911" s="37" t="str">
        <f>IF(P9911&gt;500,"High","low")</f>
        <v>low</v>
      </c>
      <c r="R9911" s="37" t="str">
        <f t="shared" si="774"/>
        <v>AVERAGE</v>
      </c>
      <c r="S9911" t="s">
        <v>615</v>
      </c>
    </row>
    <row r="9912" spans="1:19" x14ac:dyDescent="0.2">
      <c r="A9912" t="s">
        <v>10523</v>
      </c>
      <c r="B9912" t="s">
        <v>75</v>
      </c>
      <c r="C9912" t="s">
        <v>597</v>
      </c>
      <c r="D9912">
        <v>1959.98</v>
      </c>
      <c r="E9912" s="37" t="str">
        <f t="shared" si="770"/>
        <v xml:space="preserve"> </v>
      </c>
      <c r="F9912">
        <v>0.12</v>
      </c>
      <c r="G9912" s="37" t="str">
        <f t="shared" si="771"/>
        <v>Normal Discount</v>
      </c>
      <c r="H9912" s="37" t="str">
        <f t="shared" si="772"/>
        <v>Low</v>
      </c>
      <c r="I9912">
        <v>6</v>
      </c>
      <c r="J9912" t="str" cm="1">
        <f t="array" ref="J9912">_xlfn.IFS(I9912&lt;=3,"small",I9912&lt;=6,"Medium",I9912&lt;=9,"Large")</f>
        <v>Medium</v>
      </c>
      <c r="K9912" s="36">
        <v>45368</v>
      </c>
      <c r="L9912" s="36">
        <v>45369</v>
      </c>
      <c r="M9912" t="s">
        <v>603</v>
      </c>
      <c r="N9912" t="s">
        <v>604</v>
      </c>
      <c r="O9912" s="37" t="str">
        <f t="shared" si="773"/>
        <v>Digital Payment</v>
      </c>
      <c r="P9912">
        <v>244.06</v>
      </c>
      <c r="Q9912" s="37" t="str">
        <f>IF(P9912&gt;500,"High","low")</f>
        <v>low</v>
      </c>
      <c r="R9912" s="37" t="str">
        <f t="shared" si="774"/>
        <v>AVERAGE</v>
      </c>
      <c r="S9912" t="s">
        <v>615</v>
      </c>
    </row>
    <row r="9913" spans="1:19" x14ac:dyDescent="0.2">
      <c r="A9913" t="s">
        <v>10524</v>
      </c>
      <c r="B9913" t="s">
        <v>90</v>
      </c>
      <c r="C9913" t="s">
        <v>602</v>
      </c>
      <c r="D9913">
        <v>952.81</v>
      </c>
      <c r="E9913" s="37" t="str">
        <f t="shared" si="770"/>
        <v xml:space="preserve"> </v>
      </c>
      <c r="F9913">
        <v>0.01</v>
      </c>
      <c r="G9913" s="37" t="str">
        <f t="shared" si="771"/>
        <v>Normal Discount</v>
      </c>
      <c r="H9913" s="37" t="str">
        <f t="shared" si="772"/>
        <v>Low</v>
      </c>
      <c r="I9913">
        <v>3</v>
      </c>
      <c r="J9913" t="str" cm="1">
        <f t="array" ref="J9913">_xlfn.IFS(I9913&lt;=3,"small",I9913&lt;=6,"Medium",I9913&lt;=9,"Large")</f>
        <v>small</v>
      </c>
      <c r="K9913" s="36">
        <v>45314</v>
      </c>
      <c r="L9913" s="36">
        <v>45317</v>
      </c>
      <c r="M9913" t="s">
        <v>603</v>
      </c>
      <c r="N9913" t="s">
        <v>599</v>
      </c>
      <c r="O9913" s="37" t="str">
        <f t="shared" si="773"/>
        <v>Digital Payment</v>
      </c>
      <c r="P9913">
        <v>143.27000000000001</v>
      </c>
      <c r="Q9913" s="37" t="str">
        <f>IF(P9913&gt;500,"High","low")</f>
        <v>low</v>
      </c>
      <c r="R9913" s="37" t="str">
        <f t="shared" si="774"/>
        <v>AVERAGE</v>
      </c>
      <c r="S9913" t="s">
        <v>620</v>
      </c>
    </row>
    <row r="9914" spans="1:19" x14ac:dyDescent="0.2">
      <c r="A9914" t="s">
        <v>10525</v>
      </c>
      <c r="B9914" t="s">
        <v>67</v>
      </c>
      <c r="C9914" t="s">
        <v>607</v>
      </c>
      <c r="D9914">
        <v>209.27</v>
      </c>
      <c r="E9914" s="37" t="str">
        <f t="shared" si="770"/>
        <v xml:space="preserve"> </v>
      </c>
      <c r="F9914">
        <v>0.23</v>
      </c>
      <c r="G9914" s="37" t="str">
        <f t="shared" si="771"/>
        <v>Normal Discount</v>
      </c>
      <c r="H9914" s="37" t="str">
        <f t="shared" si="772"/>
        <v>Medium</v>
      </c>
      <c r="I9914">
        <v>6</v>
      </c>
      <c r="J9914" t="str" cm="1">
        <f t="array" ref="J9914">_xlfn.IFS(I9914&lt;=3,"small",I9914&lt;=6,"Medium",I9914&lt;=9,"Large")</f>
        <v>Medium</v>
      </c>
      <c r="K9914" s="36">
        <v>45001</v>
      </c>
      <c r="L9914" s="36">
        <v>45007</v>
      </c>
      <c r="M9914" t="s">
        <v>612</v>
      </c>
      <c r="N9914" t="s">
        <v>599</v>
      </c>
      <c r="O9914" s="37" t="str">
        <f t="shared" si="773"/>
        <v>Digital Payment</v>
      </c>
      <c r="P9914">
        <v>30.61</v>
      </c>
      <c r="Q9914" s="37" t="str">
        <f>IF(P9914&gt;500,"High","low")</f>
        <v>low</v>
      </c>
      <c r="R9914" s="37" t="str">
        <f t="shared" si="774"/>
        <v>AVERAGE</v>
      </c>
      <c r="S9914" t="s">
        <v>600</v>
      </c>
    </row>
    <row r="9915" spans="1:19" x14ac:dyDescent="0.2">
      <c r="A9915" t="s">
        <v>10526</v>
      </c>
      <c r="B9915" t="s">
        <v>83</v>
      </c>
      <c r="C9915" t="s">
        <v>602</v>
      </c>
      <c r="D9915">
        <v>1849.74</v>
      </c>
      <c r="E9915" s="37" t="str">
        <f t="shared" si="770"/>
        <v xml:space="preserve"> </v>
      </c>
      <c r="F9915">
        <v>0.27</v>
      </c>
      <c r="G9915" s="37" t="str">
        <f t="shared" si="771"/>
        <v>Normal Discount</v>
      </c>
      <c r="H9915" s="37" t="str">
        <f t="shared" si="772"/>
        <v>Medium</v>
      </c>
      <c r="I9915">
        <v>9</v>
      </c>
      <c r="J9915" t="str" cm="1">
        <f t="array" ref="J9915">_xlfn.IFS(I9915&lt;=3,"small",I9915&lt;=6,"Medium",I9915&lt;=9,"Large")</f>
        <v>Large</v>
      </c>
      <c r="K9915" s="36">
        <v>45167</v>
      </c>
      <c r="L9915" s="36">
        <v>45171</v>
      </c>
      <c r="M9915" t="s">
        <v>612</v>
      </c>
      <c r="N9915" t="s">
        <v>604</v>
      </c>
      <c r="O9915" s="37" t="str">
        <f t="shared" si="773"/>
        <v>Digital Payment</v>
      </c>
      <c r="P9915">
        <v>196.19</v>
      </c>
      <c r="Q9915" s="37" t="str">
        <f>IF(P9915&gt;500,"High","low")</f>
        <v>low</v>
      </c>
      <c r="R9915" s="37" t="str">
        <f t="shared" si="774"/>
        <v>AVERAGE</v>
      </c>
      <c r="S9915" t="s">
        <v>609</v>
      </c>
    </row>
    <row r="9916" spans="1:19" x14ac:dyDescent="0.2">
      <c r="A9916" t="s">
        <v>10527</v>
      </c>
      <c r="B9916" t="s">
        <v>67</v>
      </c>
      <c r="C9916" t="s">
        <v>597</v>
      </c>
      <c r="D9916">
        <v>3657.95</v>
      </c>
      <c r="E9916" s="37" t="str">
        <f t="shared" si="770"/>
        <v xml:space="preserve"> </v>
      </c>
      <c r="F9916">
        <v>0.31</v>
      </c>
      <c r="G9916" s="37" t="str">
        <f t="shared" si="771"/>
        <v>Heavy Discount</v>
      </c>
      <c r="H9916" s="37" t="str">
        <f t="shared" si="772"/>
        <v>Medium</v>
      </c>
      <c r="I9916">
        <v>5</v>
      </c>
      <c r="J9916" t="str" cm="1">
        <f t="array" ref="J9916">_xlfn.IFS(I9916&lt;=3,"small",I9916&lt;=6,"Medium",I9916&lt;=9,"Large")</f>
        <v>Medium</v>
      </c>
      <c r="K9916" s="36">
        <v>45441</v>
      </c>
      <c r="L9916" s="36">
        <v>45443</v>
      </c>
      <c r="M9916" t="s">
        <v>598</v>
      </c>
      <c r="N9916" t="s">
        <v>599</v>
      </c>
      <c r="O9916" s="37" t="str">
        <f t="shared" si="773"/>
        <v>Digital Payment</v>
      </c>
      <c r="P9916">
        <v>485.26</v>
      </c>
      <c r="Q9916" s="37" t="str">
        <f>IF(P9916&gt;500,"High","low")</f>
        <v>low</v>
      </c>
      <c r="R9916" s="37" t="str">
        <f t="shared" si="774"/>
        <v>AVERAGE</v>
      </c>
      <c r="S9916" t="s">
        <v>605</v>
      </c>
    </row>
    <row r="9917" spans="1:19" x14ac:dyDescent="0.2">
      <c r="A9917" t="s">
        <v>10528</v>
      </c>
      <c r="B9917" t="s">
        <v>67</v>
      </c>
      <c r="C9917" t="s">
        <v>597</v>
      </c>
      <c r="D9917">
        <v>4613.01</v>
      </c>
      <c r="E9917" s="37" t="str">
        <f t="shared" si="770"/>
        <v>Excellent Order</v>
      </c>
      <c r="F9917">
        <v>0.41</v>
      </c>
      <c r="G9917" s="37" t="str">
        <f t="shared" si="771"/>
        <v>Heavy Discount</v>
      </c>
      <c r="H9917" s="37" t="str">
        <f t="shared" si="772"/>
        <v>High</v>
      </c>
      <c r="I9917">
        <v>2</v>
      </c>
      <c r="J9917" t="str" cm="1">
        <f t="array" ref="J9917">_xlfn.IFS(I9917&lt;=3,"small",I9917&lt;=6,"Medium",I9917&lt;=9,"Large")</f>
        <v>small</v>
      </c>
      <c r="K9917" s="36">
        <v>45301</v>
      </c>
      <c r="L9917" s="36">
        <v>45303</v>
      </c>
      <c r="M9917" t="s">
        <v>603</v>
      </c>
      <c r="N9917" t="s">
        <v>604</v>
      </c>
      <c r="O9917" s="37" t="str">
        <f t="shared" si="773"/>
        <v>Digital Payment</v>
      </c>
      <c r="P9917">
        <v>1376.88</v>
      </c>
      <c r="Q9917" s="37" t="str">
        <f>IF(P9917&gt;500,"High","low")</f>
        <v>High</v>
      </c>
      <c r="R9917" s="37" t="str">
        <f t="shared" si="774"/>
        <v>Excellent</v>
      </c>
      <c r="S9917" t="s">
        <v>609</v>
      </c>
    </row>
    <row r="9918" spans="1:19" x14ac:dyDescent="0.2">
      <c r="A9918" t="s">
        <v>10529</v>
      </c>
      <c r="B9918" t="s">
        <v>67</v>
      </c>
      <c r="C9918" t="s">
        <v>602</v>
      </c>
      <c r="D9918">
        <v>3345.09</v>
      </c>
      <c r="E9918" s="37" t="str">
        <f t="shared" si="770"/>
        <v xml:space="preserve"> </v>
      </c>
      <c r="F9918">
        <v>0.13</v>
      </c>
      <c r="G9918" s="37" t="str">
        <f t="shared" si="771"/>
        <v>Normal Discount</v>
      </c>
      <c r="H9918" s="37" t="str">
        <f t="shared" si="772"/>
        <v>Low</v>
      </c>
      <c r="I9918">
        <v>2</v>
      </c>
      <c r="J9918" t="str" cm="1">
        <f t="array" ref="J9918">_xlfn.IFS(I9918&lt;=3,"small",I9918&lt;=6,"Medium",I9918&lt;=9,"Large")</f>
        <v>small</v>
      </c>
      <c r="K9918" s="36">
        <v>44992</v>
      </c>
      <c r="L9918" s="36">
        <v>44999</v>
      </c>
      <c r="M9918" t="s">
        <v>603</v>
      </c>
      <c r="N9918" t="s">
        <v>608</v>
      </c>
      <c r="O9918" s="37" t="str">
        <f t="shared" si="773"/>
        <v>Cash Payment</v>
      </c>
      <c r="P9918">
        <v>644.16999999999996</v>
      </c>
      <c r="Q9918" s="37" t="str">
        <f>IF(P9918&gt;500,"High","low")</f>
        <v>High</v>
      </c>
      <c r="R9918" s="37" t="str">
        <f t="shared" si="774"/>
        <v>Good</v>
      </c>
      <c r="S9918" t="s">
        <v>609</v>
      </c>
    </row>
    <row r="9919" spans="1:19" x14ac:dyDescent="0.2">
      <c r="A9919" t="s">
        <v>10530</v>
      </c>
      <c r="B9919" t="s">
        <v>90</v>
      </c>
      <c r="C9919" t="s">
        <v>597</v>
      </c>
      <c r="D9919">
        <v>2069.65</v>
      </c>
      <c r="E9919" s="37" t="str">
        <f t="shared" si="770"/>
        <v xml:space="preserve"> </v>
      </c>
      <c r="F9919">
        <v>0.03</v>
      </c>
      <c r="G9919" s="37" t="str">
        <f t="shared" si="771"/>
        <v>Normal Discount</v>
      </c>
      <c r="H9919" s="37" t="str">
        <f t="shared" si="772"/>
        <v>Low</v>
      </c>
      <c r="I9919">
        <v>7</v>
      </c>
      <c r="J9919" t="str" cm="1">
        <f t="array" ref="J9919">_xlfn.IFS(I9919&lt;=3,"small",I9919&lt;=6,"Medium",I9919&lt;=9,"Large")</f>
        <v>Large</v>
      </c>
      <c r="K9919" s="36">
        <v>45589</v>
      </c>
      <c r="L9919" s="36">
        <v>45595</v>
      </c>
      <c r="M9919" t="s">
        <v>603</v>
      </c>
      <c r="N9919" t="s">
        <v>608</v>
      </c>
      <c r="O9919" s="37" t="str">
        <f t="shared" si="773"/>
        <v>Cash Payment</v>
      </c>
      <c r="P9919">
        <v>568.53</v>
      </c>
      <c r="Q9919" s="37" t="str">
        <f>IF(P9919&gt;500,"High","low")</f>
        <v>High</v>
      </c>
      <c r="R9919" s="37" t="str">
        <f t="shared" si="774"/>
        <v>Good</v>
      </c>
      <c r="S9919" t="s">
        <v>628</v>
      </c>
    </row>
    <row r="9920" spans="1:19" x14ac:dyDescent="0.2">
      <c r="A9920" t="s">
        <v>10531</v>
      </c>
      <c r="B9920" t="s">
        <v>75</v>
      </c>
      <c r="C9920" t="s">
        <v>614</v>
      </c>
      <c r="D9920">
        <v>4997.53</v>
      </c>
      <c r="E9920" s="37" t="str">
        <f t="shared" si="770"/>
        <v>Excellent Order</v>
      </c>
      <c r="F9920">
        <v>0.04</v>
      </c>
      <c r="G9920" s="37" t="str">
        <f t="shared" si="771"/>
        <v>Normal Discount</v>
      </c>
      <c r="H9920" s="37" t="str">
        <f t="shared" si="772"/>
        <v>Low</v>
      </c>
      <c r="I9920">
        <v>4</v>
      </c>
      <c r="J9920" t="str" cm="1">
        <f t="array" ref="J9920">_xlfn.IFS(I9920&lt;=3,"small",I9920&lt;=6,"Medium",I9920&lt;=9,"Large")</f>
        <v>Medium</v>
      </c>
      <c r="K9920" s="36">
        <v>45089</v>
      </c>
      <c r="L9920" s="36">
        <v>45096</v>
      </c>
      <c r="M9920" t="s">
        <v>603</v>
      </c>
      <c r="N9920" t="s">
        <v>599</v>
      </c>
      <c r="O9920" s="37" t="str">
        <f t="shared" si="773"/>
        <v>Digital Payment</v>
      </c>
      <c r="P9920">
        <v>1164.75</v>
      </c>
      <c r="Q9920" s="37" t="str">
        <f>IF(P9920&gt;500,"High","low")</f>
        <v>High</v>
      </c>
      <c r="R9920" s="37" t="str">
        <f t="shared" si="774"/>
        <v>Excellent</v>
      </c>
      <c r="S9920" t="s">
        <v>600</v>
      </c>
    </row>
    <row r="9921" spans="1:19" x14ac:dyDescent="0.2">
      <c r="A9921" t="s">
        <v>10532</v>
      </c>
      <c r="B9921" t="s">
        <v>83</v>
      </c>
      <c r="C9921" t="s">
        <v>617</v>
      </c>
      <c r="D9921">
        <v>1486.42</v>
      </c>
      <c r="E9921" s="37" t="str">
        <f t="shared" si="770"/>
        <v xml:space="preserve"> </v>
      </c>
      <c r="F9921">
        <v>0.25</v>
      </c>
      <c r="G9921" s="37" t="str">
        <f t="shared" si="771"/>
        <v>Normal Discount</v>
      </c>
      <c r="H9921" s="37" t="str">
        <f t="shared" si="772"/>
        <v>Medium</v>
      </c>
      <c r="I9921">
        <v>9</v>
      </c>
      <c r="J9921" t="str" cm="1">
        <f t="array" ref="J9921">_xlfn.IFS(I9921&lt;=3,"small",I9921&lt;=6,"Medium",I9921&lt;=9,"Large")</f>
        <v>Large</v>
      </c>
      <c r="K9921" s="36">
        <v>45173</v>
      </c>
      <c r="L9921" s="36">
        <v>45175</v>
      </c>
      <c r="M9921" t="s">
        <v>598</v>
      </c>
      <c r="N9921" t="s">
        <v>608</v>
      </c>
      <c r="O9921" s="37" t="str">
        <f t="shared" si="773"/>
        <v>Cash Payment</v>
      </c>
      <c r="P9921">
        <v>400.6</v>
      </c>
      <c r="Q9921" s="37" t="str">
        <f>IF(P9921&gt;500,"High","low")</f>
        <v>low</v>
      </c>
      <c r="R9921" s="37" t="str">
        <f t="shared" si="774"/>
        <v>AVERAGE</v>
      </c>
      <c r="S9921" t="s">
        <v>620</v>
      </c>
    </row>
    <row r="9922" spans="1:19" x14ac:dyDescent="0.2">
      <c r="A9922" t="s">
        <v>10533</v>
      </c>
      <c r="B9922" t="s">
        <v>90</v>
      </c>
      <c r="C9922" t="s">
        <v>597</v>
      </c>
      <c r="D9922">
        <v>1016.94</v>
      </c>
      <c r="E9922" s="37" t="str">
        <f t="shared" si="770"/>
        <v xml:space="preserve"> </v>
      </c>
      <c r="F9922">
        <v>0.46</v>
      </c>
      <c r="G9922" s="37" t="str">
        <f t="shared" si="771"/>
        <v>Heavy Discount</v>
      </c>
      <c r="H9922" s="37" t="str">
        <f t="shared" si="772"/>
        <v>High</v>
      </c>
      <c r="I9922">
        <v>9</v>
      </c>
      <c r="J9922" t="str" cm="1">
        <f t="array" ref="J9922">_xlfn.IFS(I9922&lt;=3,"small",I9922&lt;=6,"Medium",I9922&lt;=9,"Large")</f>
        <v>Large</v>
      </c>
      <c r="K9922" s="36">
        <v>45211</v>
      </c>
      <c r="L9922" s="36">
        <v>45217</v>
      </c>
      <c r="M9922" t="s">
        <v>612</v>
      </c>
      <c r="N9922" t="s">
        <v>608</v>
      </c>
      <c r="O9922" s="37" t="str">
        <f t="shared" si="773"/>
        <v>Cash Payment</v>
      </c>
      <c r="P9922">
        <v>143.83000000000001</v>
      </c>
      <c r="Q9922" s="37" t="str">
        <f>IF(P9922&gt;500,"High","low")</f>
        <v>low</v>
      </c>
      <c r="R9922" s="37" t="str">
        <f t="shared" si="774"/>
        <v>AVERAGE</v>
      </c>
      <c r="S9922" t="s">
        <v>620</v>
      </c>
    </row>
    <row r="9923" spans="1:19" x14ac:dyDescent="0.2">
      <c r="A9923" t="s">
        <v>10534</v>
      </c>
      <c r="B9923" t="s">
        <v>83</v>
      </c>
      <c r="C9923" t="s">
        <v>597</v>
      </c>
      <c r="D9923">
        <v>2372.04</v>
      </c>
      <c r="E9923" s="37" t="str">
        <f t="shared" ref="E9923:E9986" si="775">IF(AND(D9923&gt;4000,P9923&gt;800),"Excellent Order"," ")</f>
        <v xml:space="preserve"> </v>
      </c>
      <c r="F9923">
        <v>0.49</v>
      </c>
      <c r="G9923" s="37" t="str">
        <f t="shared" ref="G9923:G9986" si="776">IF(F9923&gt;30%,"Heavy Discount","Normal Discount")</f>
        <v>Heavy Discount</v>
      </c>
      <c r="H9923" s="37" t="str">
        <f t="shared" ref="H9923:H9986" si="777">IF(F9923&gt;0.4,"High",IF(F9923&gt;=0.2,"Medium","Low"))</f>
        <v>High</v>
      </c>
      <c r="I9923">
        <v>6</v>
      </c>
      <c r="J9923" t="str" cm="1">
        <f t="array" ref="J9923">_xlfn.IFS(I9923&lt;=3,"small",I9923&lt;=6,"Medium",I9923&lt;=9,"Large")</f>
        <v>Medium</v>
      </c>
      <c r="K9923" s="36">
        <v>45243</v>
      </c>
      <c r="L9923" s="36">
        <v>45248</v>
      </c>
      <c r="M9923" t="s">
        <v>612</v>
      </c>
      <c r="N9923" t="s">
        <v>604</v>
      </c>
      <c r="O9923" s="37" t="str">
        <f t="shared" ref="O9923:O9986" si="778">IF(OR(N9923="Card",N9923="UPI"),"Digital Payment","Cash Payment")</f>
        <v>Digital Payment</v>
      </c>
      <c r="P9923">
        <v>499.33</v>
      </c>
      <c r="Q9923" s="37" t="str">
        <f>IF(P9923&gt;500,"High","low")</f>
        <v>low</v>
      </c>
      <c r="R9923" s="37" t="str">
        <f t="shared" ref="R9923:R9986" si="779">IF(P9923&gt;1000,"Excellent",IF(P9923&gt;=500,"Good","AVERAGE"))</f>
        <v>AVERAGE</v>
      </c>
      <c r="S9923" t="s">
        <v>628</v>
      </c>
    </row>
    <row r="9924" spans="1:19" x14ac:dyDescent="0.2">
      <c r="A9924" t="s">
        <v>10535</v>
      </c>
      <c r="B9924" t="s">
        <v>83</v>
      </c>
      <c r="C9924" t="s">
        <v>602</v>
      </c>
      <c r="D9924">
        <v>2574.0700000000002</v>
      </c>
      <c r="E9924" s="37" t="str">
        <f t="shared" si="775"/>
        <v xml:space="preserve"> </v>
      </c>
      <c r="F9924">
        <v>0.1</v>
      </c>
      <c r="G9924" s="37" t="str">
        <f t="shared" si="776"/>
        <v>Normal Discount</v>
      </c>
      <c r="H9924" s="37" t="str">
        <f t="shared" si="777"/>
        <v>Low</v>
      </c>
      <c r="I9924">
        <v>5</v>
      </c>
      <c r="J9924" t="str" cm="1">
        <f t="array" ref="J9924">_xlfn.IFS(I9924&lt;=3,"small",I9924&lt;=6,"Medium",I9924&lt;=9,"Large")</f>
        <v>Medium</v>
      </c>
      <c r="K9924" s="36">
        <v>45116</v>
      </c>
      <c r="L9924" s="36">
        <v>45120</v>
      </c>
      <c r="M9924" t="s">
        <v>612</v>
      </c>
      <c r="N9924" t="s">
        <v>604</v>
      </c>
      <c r="O9924" s="37" t="str">
        <f t="shared" si="778"/>
        <v>Digital Payment</v>
      </c>
      <c r="P9924">
        <v>367.97</v>
      </c>
      <c r="Q9924" s="37" t="str">
        <f>IF(P9924&gt;500,"High","low")</f>
        <v>low</v>
      </c>
      <c r="R9924" s="37" t="str">
        <f t="shared" si="779"/>
        <v>AVERAGE</v>
      </c>
      <c r="S9924" t="s">
        <v>605</v>
      </c>
    </row>
    <row r="9925" spans="1:19" x14ac:dyDescent="0.2">
      <c r="A9925" t="s">
        <v>10536</v>
      </c>
      <c r="B9925" t="s">
        <v>83</v>
      </c>
      <c r="C9925" t="s">
        <v>614</v>
      </c>
      <c r="D9925">
        <v>1838.63</v>
      </c>
      <c r="E9925" s="37" t="str">
        <f t="shared" si="775"/>
        <v xml:space="preserve"> </v>
      </c>
      <c r="F9925">
        <v>0.08</v>
      </c>
      <c r="G9925" s="37" t="str">
        <f t="shared" si="776"/>
        <v>Normal Discount</v>
      </c>
      <c r="H9925" s="37" t="str">
        <f t="shared" si="777"/>
        <v>Low</v>
      </c>
      <c r="I9925">
        <v>7</v>
      </c>
      <c r="J9925" t="str" cm="1">
        <f t="array" ref="J9925">_xlfn.IFS(I9925&lt;=3,"small",I9925&lt;=6,"Medium",I9925&lt;=9,"Large")</f>
        <v>Large</v>
      </c>
      <c r="K9925" s="36">
        <v>44933</v>
      </c>
      <c r="L9925" s="36">
        <v>44935</v>
      </c>
      <c r="M9925" t="s">
        <v>612</v>
      </c>
      <c r="N9925" t="s">
        <v>604</v>
      </c>
      <c r="O9925" s="37" t="str">
        <f t="shared" si="778"/>
        <v>Digital Payment</v>
      </c>
      <c r="P9925">
        <v>467.67</v>
      </c>
      <c r="Q9925" s="37" t="str">
        <f>IF(P9925&gt;500,"High","low")</f>
        <v>low</v>
      </c>
      <c r="R9925" s="37" t="str">
        <f t="shared" si="779"/>
        <v>AVERAGE</v>
      </c>
      <c r="S9925" t="s">
        <v>620</v>
      </c>
    </row>
    <row r="9926" spans="1:19" x14ac:dyDescent="0.2">
      <c r="A9926" t="s">
        <v>10537</v>
      </c>
      <c r="B9926" t="s">
        <v>90</v>
      </c>
      <c r="C9926" t="s">
        <v>602</v>
      </c>
      <c r="D9926">
        <v>3507.95</v>
      </c>
      <c r="E9926" s="37" t="str">
        <f t="shared" si="775"/>
        <v xml:space="preserve"> </v>
      </c>
      <c r="F9926">
        <v>0.18</v>
      </c>
      <c r="G9926" s="37" t="str">
        <f t="shared" si="776"/>
        <v>Normal Discount</v>
      </c>
      <c r="H9926" s="37" t="str">
        <f t="shared" si="777"/>
        <v>Low</v>
      </c>
      <c r="I9926">
        <v>5</v>
      </c>
      <c r="J9926" t="str" cm="1">
        <f t="array" ref="J9926">_xlfn.IFS(I9926&lt;=3,"small",I9926&lt;=6,"Medium",I9926&lt;=9,"Large")</f>
        <v>Medium</v>
      </c>
      <c r="K9926" s="36">
        <v>45457</v>
      </c>
      <c r="L9926" s="36">
        <v>45458</v>
      </c>
      <c r="M9926" t="s">
        <v>603</v>
      </c>
      <c r="N9926" t="s">
        <v>599</v>
      </c>
      <c r="O9926" s="37" t="str">
        <f t="shared" si="778"/>
        <v>Digital Payment</v>
      </c>
      <c r="P9926">
        <v>847.19</v>
      </c>
      <c r="Q9926" s="37" t="str">
        <f>IF(P9926&gt;500,"High","low")</f>
        <v>High</v>
      </c>
      <c r="R9926" s="37" t="str">
        <f t="shared" si="779"/>
        <v>Good</v>
      </c>
      <c r="S9926" t="s">
        <v>600</v>
      </c>
    </row>
    <row r="9927" spans="1:19" x14ac:dyDescent="0.2">
      <c r="A9927" t="s">
        <v>10538</v>
      </c>
      <c r="B9927" t="s">
        <v>75</v>
      </c>
      <c r="C9927" t="s">
        <v>602</v>
      </c>
      <c r="D9927">
        <v>1000.94</v>
      </c>
      <c r="E9927" s="37" t="str">
        <f t="shared" si="775"/>
        <v xml:space="preserve"> </v>
      </c>
      <c r="F9927">
        <v>0.23</v>
      </c>
      <c r="G9927" s="37" t="str">
        <f t="shared" si="776"/>
        <v>Normal Discount</v>
      </c>
      <c r="H9927" s="37" t="str">
        <f t="shared" si="777"/>
        <v>Medium</v>
      </c>
      <c r="I9927">
        <v>9</v>
      </c>
      <c r="J9927" t="str" cm="1">
        <f t="array" ref="J9927">_xlfn.IFS(I9927&lt;=3,"small",I9927&lt;=6,"Medium",I9927&lt;=9,"Large")</f>
        <v>Large</v>
      </c>
      <c r="K9927" s="36">
        <v>45252</v>
      </c>
      <c r="L9927" s="36">
        <v>45256</v>
      </c>
      <c r="M9927" t="s">
        <v>598</v>
      </c>
      <c r="N9927" t="s">
        <v>608</v>
      </c>
      <c r="O9927" s="37" t="str">
        <f t="shared" si="778"/>
        <v>Cash Payment</v>
      </c>
      <c r="P9927">
        <v>245.43</v>
      </c>
      <c r="Q9927" s="37" t="str">
        <f>IF(P9927&gt;500,"High","low")</f>
        <v>low</v>
      </c>
      <c r="R9927" s="37" t="str">
        <f t="shared" si="779"/>
        <v>AVERAGE</v>
      </c>
      <c r="S9927" t="s">
        <v>628</v>
      </c>
    </row>
    <row r="9928" spans="1:19" x14ac:dyDescent="0.2">
      <c r="A9928" t="s">
        <v>10539</v>
      </c>
      <c r="B9928" t="s">
        <v>83</v>
      </c>
      <c r="C9928" t="s">
        <v>597</v>
      </c>
      <c r="D9928">
        <v>2600.66</v>
      </c>
      <c r="E9928" s="37" t="str">
        <f t="shared" si="775"/>
        <v xml:space="preserve"> </v>
      </c>
      <c r="F9928">
        <v>0.4</v>
      </c>
      <c r="G9928" s="37" t="str">
        <f t="shared" si="776"/>
        <v>Heavy Discount</v>
      </c>
      <c r="H9928" s="37" t="str">
        <f t="shared" si="777"/>
        <v>Medium</v>
      </c>
      <c r="I9928">
        <v>9</v>
      </c>
      <c r="J9928" t="str" cm="1">
        <f t="array" ref="J9928">_xlfn.IFS(I9928&lt;=3,"small",I9928&lt;=6,"Medium",I9928&lt;=9,"Large")</f>
        <v>Large</v>
      </c>
      <c r="K9928" s="36">
        <v>45015</v>
      </c>
      <c r="L9928" s="36">
        <v>45020</v>
      </c>
      <c r="M9928" t="s">
        <v>612</v>
      </c>
      <c r="N9928" t="s">
        <v>604</v>
      </c>
      <c r="O9928" s="37" t="str">
        <f t="shared" si="778"/>
        <v>Digital Payment</v>
      </c>
      <c r="P9928">
        <v>257.57</v>
      </c>
      <c r="Q9928" s="37" t="str">
        <f>IF(P9928&gt;500,"High","low")</f>
        <v>low</v>
      </c>
      <c r="R9928" s="37" t="str">
        <f t="shared" si="779"/>
        <v>AVERAGE</v>
      </c>
      <c r="S9928" t="s">
        <v>609</v>
      </c>
    </row>
    <row r="9929" spans="1:19" x14ac:dyDescent="0.2">
      <c r="A9929" t="s">
        <v>10540</v>
      </c>
      <c r="B9929" t="s">
        <v>75</v>
      </c>
      <c r="C9929" t="s">
        <v>614</v>
      </c>
      <c r="D9929">
        <v>2550.62</v>
      </c>
      <c r="E9929" s="37" t="str">
        <f t="shared" si="775"/>
        <v xml:space="preserve"> </v>
      </c>
      <c r="F9929">
        <v>0.39</v>
      </c>
      <c r="G9929" s="37" t="str">
        <f t="shared" si="776"/>
        <v>Heavy Discount</v>
      </c>
      <c r="H9929" s="37" t="str">
        <f t="shared" si="777"/>
        <v>Medium</v>
      </c>
      <c r="I9929">
        <v>7</v>
      </c>
      <c r="J9929" t="str" cm="1">
        <f t="array" ref="J9929">_xlfn.IFS(I9929&lt;=3,"small",I9929&lt;=6,"Medium",I9929&lt;=9,"Large")</f>
        <v>Large</v>
      </c>
      <c r="K9929" s="36">
        <v>45646</v>
      </c>
      <c r="L9929" s="36">
        <v>45653</v>
      </c>
      <c r="M9929" t="s">
        <v>612</v>
      </c>
      <c r="N9929" t="s">
        <v>599</v>
      </c>
      <c r="O9929" s="37" t="str">
        <f t="shared" si="778"/>
        <v>Digital Payment</v>
      </c>
      <c r="P9929">
        <v>674.69</v>
      </c>
      <c r="Q9929" s="37" t="str">
        <f>IF(P9929&gt;500,"High","low")</f>
        <v>High</v>
      </c>
      <c r="R9929" s="37" t="str">
        <f t="shared" si="779"/>
        <v>Good</v>
      </c>
      <c r="S9929" t="s">
        <v>615</v>
      </c>
    </row>
    <row r="9930" spans="1:19" x14ac:dyDescent="0.2">
      <c r="A9930" t="s">
        <v>10541</v>
      </c>
      <c r="B9930" t="s">
        <v>75</v>
      </c>
      <c r="C9930" t="s">
        <v>597</v>
      </c>
      <c r="D9930">
        <v>4136.55</v>
      </c>
      <c r="E9930" s="37" t="str">
        <f t="shared" si="775"/>
        <v>Excellent Order</v>
      </c>
      <c r="F9930">
        <v>0.46</v>
      </c>
      <c r="G9930" s="37" t="str">
        <f t="shared" si="776"/>
        <v>Heavy Discount</v>
      </c>
      <c r="H9930" s="37" t="str">
        <f t="shared" si="777"/>
        <v>High</v>
      </c>
      <c r="I9930">
        <v>4</v>
      </c>
      <c r="J9930" t="str" cm="1">
        <f t="array" ref="J9930">_xlfn.IFS(I9930&lt;=3,"small",I9930&lt;=6,"Medium",I9930&lt;=9,"Large")</f>
        <v>Medium</v>
      </c>
      <c r="K9930" s="36">
        <v>45205</v>
      </c>
      <c r="L9930" s="36">
        <v>45209</v>
      </c>
      <c r="M9930" t="s">
        <v>603</v>
      </c>
      <c r="N9930" t="s">
        <v>604</v>
      </c>
      <c r="O9930" s="37" t="str">
        <f t="shared" si="778"/>
        <v>Digital Payment</v>
      </c>
      <c r="P9930">
        <v>1238.81</v>
      </c>
      <c r="Q9930" s="37" t="str">
        <f>IF(P9930&gt;500,"High","low")</f>
        <v>High</v>
      </c>
      <c r="R9930" s="37" t="str">
        <f t="shared" si="779"/>
        <v>Excellent</v>
      </c>
      <c r="S9930" t="s">
        <v>609</v>
      </c>
    </row>
    <row r="9931" spans="1:19" x14ac:dyDescent="0.2">
      <c r="A9931" t="s">
        <v>10542</v>
      </c>
      <c r="B9931" t="s">
        <v>67</v>
      </c>
      <c r="C9931" t="s">
        <v>597</v>
      </c>
      <c r="D9931">
        <v>4642.1400000000003</v>
      </c>
      <c r="E9931" s="37" t="str">
        <f t="shared" si="775"/>
        <v>Excellent Order</v>
      </c>
      <c r="F9931">
        <v>0.43</v>
      </c>
      <c r="G9931" s="37" t="str">
        <f t="shared" si="776"/>
        <v>Heavy Discount</v>
      </c>
      <c r="H9931" s="37" t="str">
        <f t="shared" si="777"/>
        <v>High</v>
      </c>
      <c r="I9931">
        <v>1</v>
      </c>
      <c r="J9931" t="str" cm="1">
        <f t="array" ref="J9931">_xlfn.IFS(I9931&lt;=3,"small",I9931&lt;=6,"Medium",I9931&lt;=9,"Large")</f>
        <v>small</v>
      </c>
      <c r="K9931" s="36">
        <v>44998</v>
      </c>
      <c r="L9931" s="36">
        <v>45004</v>
      </c>
      <c r="M9931" t="s">
        <v>612</v>
      </c>
      <c r="N9931" t="s">
        <v>599</v>
      </c>
      <c r="O9931" s="37" t="str">
        <f t="shared" si="778"/>
        <v>Digital Payment</v>
      </c>
      <c r="P9931">
        <v>1195.71</v>
      </c>
      <c r="Q9931" s="37" t="str">
        <f>IF(P9931&gt;500,"High","low")</f>
        <v>High</v>
      </c>
      <c r="R9931" s="37" t="str">
        <f t="shared" si="779"/>
        <v>Excellent</v>
      </c>
      <c r="S9931" t="s">
        <v>615</v>
      </c>
    </row>
    <row r="9932" spans="1:19" x14ac:dyDescent="0.2">
      <c r="A9932" t="s">
        <v>10543</v>
      </c>
      <c r="B9932" t="s">
        <v>90</v>
      </c>
      <c r="C9932" t="s">
        <v>597</v>
      </c>
      <c r="D9932">
        <v>3350</v>
      </c>
      <c r="E9932" s="37" t="str">
        <f t="shared" si="775"/>
        <v xml:space="preserve"> </v>
      </c>
      <c r="F9932">
        <v>0.22</v>
      </c>
      <c r="G9932" s="37" t="str">
        <f t="shared" si="776"/>
        <v>Normal Discount</v>
      </c>
      <c r="H9932" s="37" t="str">
        <f t="shared" si="777"/>
        <v>Medium</v>
      </c>
      <c r="I9932">
        <v>4</v>
      </c>
      <c r="J9932" t="str" cm="1">
        <f t="array" ref="J9932">_xlfn.IFS(I9932&lt;=3,"small",I9932&lt;=6,"Medium",I9932&lt;=9,"Large")</f>
        <v>Medium</v>
      </c>
      <c r="K9932" s="36">
        <v>45410</v>
      </c>
      <c r="L9932" s="36">
        <v>45416</v>
      </c>
      <c r="M9932" t="s">
        <v>612</v>
      </c>
      <c r="N9932" t="s">
        <v>604</v>
      </c>
      <c r="O9932" s="37" t="str">
        <f t="shared" si="778"/>
        <v>Digital Payment</v>
      </c>
      <c r="P9932">
        <v>572.01</v>
      </c>
      <c r="Q9932" s="37" t="str">
        <f>IF(P9932&gt;500,"High","low")</f>
        <v>High</v>
      </c>
      <c r="R9932" s="37" t="str">
        <f t="shared" si="779"/>
        <v>Good</v>
      </c>
      <c r="S9932" t="s">
        <v>600</v>
      </c>
    </row>
    <row r="9933" spans="1:19" x14ac:dyDescent="0.2">
      <c r="A9933" t="s">
        <v>10544</v>
      </c>
      <c r="B9933" t="s">
        <v>90</v>
      </c>
      <c r="C9933" t="s">
        <v>597</v>
      </c>
      <c r="D9933">
        <v>1596.32</v>
      </c>
      <c r="E9933" s="37" t="str">
        <f t="shared" si="775"/>
        <v xml:space="preserve"> </v>
      </c>
      <c r="F9933">
        <v>0.01</v>
      </c>
      <c r="G9933" s="37" t="str">
        <f t="shared" si="776"/>
        <v>Normal Discount</v>
      </c>
      <c r="H9933" s="37" t="str">
        <f t="shared" si="777"/>
        <v>Low</v>
      </c>
      <c r="I9933">
        <v>3</v>
      </c>
      <c r="J9933" t="str" cm="1">
        <f t="array" ref="J9933">_xlfn.IFS(I9933&lt;=3,"small",I9933&lt;=6,"Medium",I9933&lt;=9,"Large")</f>
        <v>small</v>
      </c>
      <c r="K9933" s="36">
        <v>45433</v>
      </c>
      <c r="L9933" s="36">
        <v>45438</v>
      </c>
      <c r="M9933" t="s">
        <v>603</v>
      </c>
      <c r="N9933" t="s">
        <v>608</v>
      </c>
      <c r="O9933" s="37" t="str">
        <f t="shared" si="778"/>
        <v>Cash Payment</v>
      </c>
      <c r="P9933">
        <v>201.71</v>
      </c>
      <c r="Q9933" s="37" t="str">
        <f>IF(P9933&gt;500,"High","low")</f>
        <v>low</v>
      </c>
      <c r="R9933" s="37" t="str">
        <f t="shared" si="779"/>
        <v>AVERAGE</v>
      </c>
      <c r="S9933" t="s">
        <v>605</v>
      </c>
    </row>
    <row r="9934" spans="1:19" x14ac:dyDescent="0.2">
      <c r="A9934" t="s">
        <v>10545</v>
      </c>
      <c r="B9934" t="s">
        <v>67</v>
      </c>
      <c r="C9934" t="s">
        <v>617</v>
      </c>
      <c r="D9934">
        <v>3479.09</v>
      </c>
      <c r="E9934" s="37" t="str">
        <f t="shared" si="775"/>
        <v xml:space="preserve"> </v>
      </c>
      <c r="F9934">
        <v>0.12</v>
      </c>
      <c r="G9934" s="37" t="str">
        <f t="shared" si="776"/>
        <v>Normal Discount</v>
      </c>
      <c r="H9934" s="37" t="str">
        <f t="shared" si="777"/>
        <v>Low</v>
      </c>
      <c r="I9934">
        <v>1</v>
      </c>
      <c r="J9934" t="str" cm="1">
        <f t="array" ref="J9934">_xlfn.IFS(I9934&lt;=3,"small",I9934&lt;=6,"Medium",I9934&lt;=9,"Large")</f>
        <v>small</v>
      </c>
      <c r="K9934" s="36">
        <v>45143</v>
      </c>
      <c r="L9934" s="36">
        <v>45148</v>
      </c>
      <c r="M9934" t="s">
        <v>598</v>
      </c>
      <c r="N9934" t="s">
        <v>608</v>
      </c>
      <c r="O9934" s="37" t="str">
        <f t="shared" si="778"/>
        <v>Cash Payment</v>
      </c>
      <c r="P9934">
        <v>286.94</v>
      </c>
      <c r="Q9934" s="37" t="str">
        <f>IF(P9934&gt;500,"High","low")</f>
        <v>low</v>
      </c>
      <c r="R9934" s="37" t="str">
        <f t="shared" si="779"/>
        <v>AVERAGE</v>
      </c>
      <c r="S9934" t="s">
        <v>600</v>
      </c>
    </row>
    <row r="9935" spans="1:19" x14ac:dyDescent="0.2">
      <c r="A9935" t="s">
        <v>10546</v>
      </c>
      <c r="B9935" t="s">
        <v>67</v>
      </c>
      <c r="C9935" t="s">
        <v>607</v>
      </c>
      <c r="D9935">
        <v>1331.72</v>
      </c>
      <c r="E9935" s="37" t="str">
        <f t="shared" si="775"/>
        <v xml:space="preserve"> </v>
      </c>
      <c r="F9935">
        <v>0.31</v>
      </c>
      <c r="G9935" s="37" t="str">
        <f t="shared" si="776"/>
        <v>Heavy Discount</v>
      </c>
      <c r="H9935" s="37" t="str">
        <f t="shared" si="777"/>
        <v>Medium</v>
      </c>
      <c r="I9935">
        <v>4</v>
      </c>
      <c r="J9935" t="str" cm="1">
        <f t="array" ref="J9935">_xlfn.IFS(I9935&lt;=3,"small",I9935&lt;=6,"Medium",I9935&lt;=9,"Large")</f>
        <v>Medium</v>
      </c>
      <c r="K9935" s="36">
        <v>45473</v>
      </c>
      <c r="L9935" s="36">
        <v>45476</v>
      </c>
      <c r="M9935" t="s">
        <v>603</v>
      </c>
      <c r="N9935" t="s">
        <v>608</v>
      </c>
      <c r="O9935" s="37" t="str">
        <f t="shared" si="778"/>
        <v>Cash Payment</v>
      </c>
      <c r="P9935">
        <v>203.54</v>
      </c>
      <c r="Q9935" s="37" t="str">
        <f>IF(P9935&gt;500,"High","low")</f>
        <v>low</v>
      </c>
      <c r="R9935" s="37" t="str">
        <f t="shared" si="779"/>
        <v>AVERAGE</v>
      </c>
      <c r="S9935" t="s">
        <v>600</v>
      </c>
    </row>
    <row r="9936" spans="1:19" x14ac:dyDescent="0.2">
      <c r="A9936" t="s">
        <v>10547</v>
      </c>
      <c r="B9936" t="s">
        <v>75</v>
      </c>
      <c r="C9936" t="s">
        <v>614</v>
      </c>
      <c r="D9936">
        <v>4836.07</v>
      </c>
      <c r="E9936" s="37" t="str">
        <f t="shared" si="775"/>
        <v xml:space="preserve"> </v>
      </c>
      <c r="F9936">
        <v>0.25</v>
      </c>
      <c r="G9936" s="37" t="str">
        <f t="shared" si="776"/>
        <v>Normal Discount</v>
      </c>
      <c r="H9936" s="37" t="str">
        <f t="shared" si="777"/>
        <v>Medium</v>
      </c>
      <c r="I9936">
        <v>7</v>
      </c>
      <c r="J9936" t="str" cm="1">
        <f t="array" ref="J9936">_xlfn.IFS(I9936&lt;=3,"small",I9936&lt;=6,"Medium",I9936&lt;=9,"Large")</f>
        <v>Large</v>
      </c>
      <c r="K9936" s="36">
        <v>45380</v>
      </c>
      <c r="L9936" s="36">
        <v>45383</v>
      </c>
      <c r="M9936" t="s">
        <v>598</v>
      </c>
      <c r="N9936" t="s">
        <v>608</v>
      </c>
      <c r="O9936" s="37" t="str">
        <f t="shared" si="778"/>
        <v>Cash Payment</v>
      </c>
      <c r="P9936">
        <v>568.11</v>
      </c>
      <c r="Q9936" s="37" t="str">
        <f>IF(P9936&gt;500,"High","low")</f>
        <v>High</v>
      </c>
      <c r="R9936" s="37" t="str">
        <f t="shared" si="779"/>
        <v>Good</v>
      </c>
      <c r="S9936" t="s">
        <v>620</v>
      </c>
    </row>
    <row r="9937" spans="1:19" x14ac:dyDescent="0.2">
      <c r="A9937" t="s">
        <v>10548</v>
      </c>
      <c r="B9937" t="s">
        <v>83</v>
      </c>
      <c r="C9937" t="s">
        <v>617</v>
      </c>
      <c r="D9937">
        <v>4129.57</v>
      </c>
      <c r="E9937" s="37" t="str">
        <f t="shared" si="775"/>
        <v xml:space="preserve"> </v>
      </c>
      <c r="F9937">
        <v>0.12</v>
      </c>
      <c r="G9937" s="37" t="str">
        <f t="shared" si="776"/>
        <v>Normal Discount</v>
      </c>
      <c r="H9937" s="37" t="str">
        <f t="shared" si="777"/>
        <v>Low</v>
      </c>
      <c r="I9937">
        <v>2</v>
      </c>
      <c r="J9937" t="str" cm="1">
        <f t="array" ref="J9937">_xlfn.IFS(I9937&lt;=3,"small",I9937&lt;=6,"Medium",I9937&lt;=9,"Large")</f>
        <v>small</v>
      </c>
      <c r="K9937" s="36">
        <v>45036</v>
      </c>
      <c r="L9937" s="36">
        <v>45037</v>
      </c>
      <c r="M9937" t="s">
        <v>598</v>
      </c>
      <c r="N9937" t="s">
        <v>608</v>
      </c>
      <c r="O9937" s="37" t="str">
        <f t="shared" si="778"/>
        <v>Cash Payment</v>
      </c>
      <c r="P9937">
        <v>652.54999999999995</v>
      </c>
      <c r="Q9937" s="37" t="str">
        <f>IF(P9937&gt;500,"High","low")</f>
        <v>High</v>
      </c>
      <c r="R9937" s="37" t="str">
        <f t="shared" si="779"/>
        <v>Good</v>
      </c>
      <c r="S9937" t="s">
        <v>600</v>
      </c>
    </row>
    <row r="9938" spans="1:19" x14ac:dyDescent="0.2">
      <c r="A9938" t="s">
        <v>10549</v>
      </c>
      <c r="B9938" t="s">
        <v>90</v>
      </c>
      <c r="C9938" t="s">
        <v>607</v>
      </c>
      <c r="D9938">
        <v>2212.83</v>
      </c>
      <c r="E9938" s="37" t="str">
        <f t="shared" si="775"/>
        <v xml:space="preserve"> </v>
      </c>
      <c r="F9938">
        <v>7.0000000000000007E-2</v>
      </c>
      <c r="G9938" s="37" t="str">
        <f t="shared" si="776"/>
        <v>Normal Discount</v>
      </c>
      <c r="H9938" s="37" t="str">
        <f t="shared" si="777"/>
        <v>Low</v>
      </c>
      <c r="I9938">
        <v>7</v>
      </c>
      <c r="J9938" t="str" cm="1">
        <f t="array" ref="J9938">_xlfn.IFS(I9938&lt;=3,"small",I9938&lt;=6,"Medium",I9938&lt;=9,"Large")</f>
        <v>Large</v>
      </c>
      <c r="K9938" s="36">
        <v>45093</v>
      </c>
      <c r="L9938" s="36">
        <v>45095</v>
      </c>
      <c r="M9938" t="s">
        <v>598</v>
      </c>
      <c r="N9938" t="s">
        <v>604</v>
      </c>
      <c r="O9938" s="37" t="str">
        <f t="shared" si="778"/>
        <v>Digital Payment</v>
      </c>
      <c r="P9938">
        <v>139.94</v>
      </c>
      <c r="Q9938" s="37" t="str">
        <f>IF(P9938&gt;500,"High","low")</f>
        <v>low</v>
      </c>
      <c r="R9938" s="37" t="str">
        <f t="shared" si="779"/>
        <v>AVERAGE</v>
      </c>
      <c r="S9938" t="s">
        <v>628</v>
      </c>
    </row>
    <row r="9939" spans="1:19" x14ac:dyDescent="0.2">
      <c r="A9939" t="s">
        <v>10550</v>
      </c>
      <c r="B9939" t="s">
        <v>83</v>
      </c>
      <c r="C9939" t="s">
        <v>607</v>
      </c>
      <c r="D9939">
        <v>3943.28</v>
      </c>
      <c r="E9939" s="37" t="str">
        <f t="shared" si="775"/>
        <v xml:space="preserve"> </v>
      </c>
      <c r="F9939">
        <v>0.11</v>
      </c>
      <c r="G9939" s="37" t="str">
        <f t="shared" si="776"/>
        <v>Normal Discount</v>
      </c>
      <c r="H9939" s="37" t="str">
        <f t="shared" si="777"/>
        <v>Low</v>
      </c>
      <c r="I9939">
        <v>6</v>
      </c>
      <c r="J9939" t="str" cm="1">
        <f t="array" ref="J9939">_xlfn.IFS(I9939&lt;=3,"small",I9939&lt;=6,"Medium",I9939&lt;=9,"Large")</f>
        <v>Medium</v>
      </c>
      <c r="K9939" s="36">
        <v>45424</v>
      </c>
      <c r="L9939" s="36">
        <v>45431</v>
      </c>
      <c r="M9939" t="s">
        <v>603</v>
      </c>
      <c r="N9939" t="s">
        <v>599</v>
      </c>
      <c r="O9939" s="37" t="str">
        <f t="shared" si="778"/>
        <v>Digital Payment</v>
      </c>
      <c r="P9939">
        <v>486.51</v>
      </c>
      <c r="Q9939" s="37" t="str">
        <f>IF(P9939&gt;500,"High","low")</f>
        <v>low</v>
      </c>
      <c r="R9939" s="37" t="str">
        <f t="shared" si="779"/>
        <v>AVERAGE</v>
      </c>
      <c r="S9939" t="s">
        <v>620</v>
      </c>
    </row>
    <row r="9940" spans="1:19" x14ac:dyDescent="0.2">
      <c r="A9940" t="s">
        <v>10551</v>
      </c>
      <c r="B9940" t="s">
        <v>83</v>
      </c>
      <c r="C9940" t="s">
        <v>607</v>
      </c>
      <c r="D9940">
        <v>2102.41</v>
      </c>
      <c r="E9940" s="37" t="str">
        <f t="shared" si="775"/>
        <v xml:space="preserve"> </v>
      </c>
      <c r="F9940">
        <v>0.13</v>
      </c>
      <c r="G9940" s="37" t="str">
        <f t="shared" si="776"/>
        <v>Normal Discount</v>
      </c>
      <c r="H9940" s="37" t="str">
        <f t="shared" si="777"/>
        <v>Low</v>
      </c>
      <c r="I9940">
        <v>9</v>
      </c>
      <c r="J9940" t="str" cm="1">
        <f t="array" ref="J9940">_xlfn.IFS(I9940&lt;=3,"small",I9940&lt;=6,"Medium",I9940&lt;=9,"Large")</f>
        <v>Large</v>
      </c>
      <c r="K9940" s="36">
        <v>45506</v>
      </c>
      <c r="L9940" s="36">
        <v>45510</v>
      </c>
      <c r="M9940" t="s">
        <v>603</v>
      </c>
      <c r="N9940" t="s">
        <v>604</v>
      </c>
      <c r="O9940" s="37" t="str">
        <f t="shared" si="778"/>
        <v>Digital Payment</v>
      </c>
      <c r="P9940">
        <v>610.30999999999995</v>
      </c>
      <c r="Q9940" s="37" t="str">
        <f>IF(P9940&gt;500,"High","low")</f>
        <v>High</v>
      </c>
      <c r="R9940" s="37" t="str">
        <f t="shared" si="779"/>
        <v>Good</v>
      </c>
      <c r="S9940" t="s">
        <v>620</v>
      </c>
    </row>
    <row r="9941" spans="1:19" x14ac:dyDescent="0.2">
      <c r="A9941" t="s">
        <v>10552</v>
      </c>
      <c r="B9941" t="s">
        <v>67</v>
      </c>
      <c r="C9941" t="s">
        <v>617</v>
      </c>
      <c r="D9941">
        <v>465.59</v>
      </c>
      <c r="E9941" s="37" t="str">
        <f t="shared" si="775"/>
        <v xml:space="preserve"> </v>
      </c>
      <c r="F9941">
        <v>0.43</v>
      </c>
      <c r="G9941" s="37" t="str">
        <f t="shared" si="776"/>
        <v>Heavy Discount</v>
      </c>
      <c r="H9941" s="37" t="str">
        <f t="shared" si="777"/>
        <v>High</v>
      </c>
      <c r="I9941">
        <v>2</v>
      </c>
      <c r="J9941" t="str" cm="1">
        <f t="array" ref="J9941">_xlfn.IFS(I9941&lt;=3,"small",I9941&lt;=6,"Medium",I9941&lt;=9,"Large")</f>
        <v>small</v>
      </c>
      <c r="K9941" s="36">
        <v>45353</v>
      </c>
      <c r="L9941" s="36">
        <v>45355</v>
      </c>
      <c r="M9941" t="s">
        <v>612</v>
      </c>
      <c r="N9941" t="s">
        <v>604</v>
      </c>
      <c r="O9941" s="37" t="str">
        <f t="shared" si="778"/>
        <v>Digital Payment</v>
      </c>
      <c r="P9941">
        <v>37.18</v>
      </c>
      <c r="Q9941" s="37" t="str">
        <f>IF(P9941&gt;500,"High","low")</f>
        <v>low</v>
      </c>
      <c r="R9941" s="37" t="str">
        <f t="shared" si="779"/>
        <v>AVERAGE</v>
      </c>
      <c r="S9941" t="s">
        <v>620</v>
      </c>
    </row>
    <row r="9942" spans="1:19" x14ac:dyDescent="0.2">
      <c r="A9942" t="s">
        <v>10553</v>
      </c>
      <c r="B9942" t="s">
        <v>83</v>
      </c>
      <c r="C9942" t="s">
        <v>614</v>
      </c>
      <c r="D9942">
        <v>3563.17</v>
      </c>
      <c r="E9942" s="37" t="str">
        <f t="shared" si="775"/>
        <v xml:space="preserve"> </v>
      </c>
      <c r="F9942">
        <v>0.36</v>
      </c>
      <c r="G9942" s="37" t="str">
        <f t="shared" si="776"/>
        <v>Heavy Discount</v>
      </c>
      <c r="H9942" s="37" t="str">
        <f t="shared" si="777"/>
        <v>Medium</v>
      </c>
      <c r="I9942">
        <v>6</v>
      </c>
      <c r="J9942" t="str" cm="1">
        <f t="array" ref="J9942">_xlfn.IFS(I9942&lt;=3,"small",I9942&lt;=6,"Medium",I9942&lt;=9,"Large")</f>
        <v>Medium</v>
      </c>
      <c r="K9942" s="36">
        <v>45310</v>
      </c>
      <c r="L9942" s="36">
        <v>45314</v>
      </c>
      <c r="M9942" t="s">
        <v>603</v>
      </c>
      <c r="N9942" t="s">
        <v>608</v>
      </c>
      <c r="O9942" s="37" t="str">
        <f t="shared" si="778"/>
        <v>Cash Payment</v>
      </c>
      <c r="P9942">
        <v>243.9</v>
      </c>
      <c r="Q9942" s="37" t="str">
        <f>IF(P9942&gt;500,"High","low")</f>
        <v>low</v>
      </c>
      <c r="R9942" s="37" t="str">
        <f t="shared" si="779"/>
        <v>AVERAGE</v>
      </c>
      <c r="S9942" t="s">
        <v>620</v>
      </c>
    </row>
    <row r="9943" spans="1:19" x14ac:dyDescent="0.2">
      <c r="A9943" t="s">
        <v>10554</v>
      </c>
      <c r="B9943" t="s">
        <v>75</v>
      </c>
      <c r="C9943" t="s">
        <v>602</v>
      </c>
      <c r="D9943">
        <v>2082.61</v>
      </c>
      <c r="E9943" s="37" t="str">
        <f t="shared" si="775"/>
        <v xml:space="preserve"> </v>
      </c>
      <c r="F9943">
        <v>0.28000000000000003</v>
      </c>
      <c r="G9943" s="37" t="str">
        <f t="shared" si="776"/>
        <v>Normal Discount</v>
      </c>
      <c r="H9943" s="37" t="str">
        <f t="shared" si="777"/>
        <v>Medium</v>
      </c>
      <c r="I9943">
        <v>6</v>
      </c>
      <c r="J9943" t="str" cm="1">
        <f t="array" ref="J9943">_xlfn.IFS(I9943&lt;=3,"small",I9943&lt;=6,"Medium",I9943&lt;=9,"Large")</f>
        <v>Medium</v>
      </c>
      <c r="K9943" s="36">
        <v>45352</v>
      </c>
      <c r="L9943" s="36">
        <v>45353</v>
      </c>
      <c r="M9943" t="s">
        <v>603</v>
      </c>
      <c r="N9943" t="s">
        <v>599</v>
      </c>
      <c r="O9943" s="37" t="str">
        <f t="shared" si="778"/>
        <v>Digital Payment</v>
      </c>
      <c r="P9943">
        <v>463.03</v>
      </c>
      <c r="Q9943" s="37" t="str">
        <f>IF(P9943&gt;500,"High","low")</f>
        <v>low</v>
      </c>
      <c r="R9943" s="37" t="str">
        <f t="shared" si="779"/>
        <v>AVERAGE</v>
      </c>
      <c r="S9943" t="s">
        <v>609</v>
      </c>
    </row>
    <row r="9944" spans="1:19" x14ac:dyDescent="0.2">
      <c r="A9944" t="s">
        <v>10555</v>
      </c>
      <c r="B9944" t="s">
        <v>67</v>
      </c>
      <c r="C9944" t="s">
        <v>607</v>
      </c>
      <c r="D9944">
        <v>4658.57</v>
      </c>
      <c r="E9944" s="37" t="str">
        <f t="shared" si="775"/>
        <v>Excellent Order</v>
      </c>
      <c r="F9944">
        <v>0.01</v>
      </c>
      <c r="G9944" s="37" t="str">
        <f t="shared" si="776"/>
        <v>Normal Discount</v>
      </c>
      <c r="H9944" s="37" t="str">
        <f t="shared" si="777"/>
        <v>Low</v>
      </c>
      <c r="I9944">
        <v>6</v>
      </c>
      <c r="J9944" t="str" cm="1">
        <f t="array" ref="J9944">_xlfn.IFS(I9944&lt;=3,"small",I9944&lt;=6,"Medium",I9944&lt;=9,"Large")</f>
        <v>Medium</v>
      </c>
      <c r="K9944" s="36">
        <v>45193</v>
      </c>
      <c r="L9944" s="36">
        <v>45194</v>
      </c>
      <c r="M9944" t="s">
        <v>598</v>
      </c>
      <c r="N9944" t="s">
        <v>608</v>
      </c>
      <c r="O9944" s="37" t="str">
        <f t="shared" si="778"/>
        <v>Cash Payment</v>
      </c>
      <c r="P9944">
        <v>1197.52</v>
      </c>
      <c r="Q9944" s="37" t="str">
        <f>IF(P9944&gt;500,"High","low")</f>
        <v>High</v>
      </c>
      <c r="R9944" s="37" t="str">
        <f t="shared" si="779"/>
        <v>Excellent</v>
      </c>
      <c r="S9944" t="s">
        <v>600</v>
      </c>
    </row>
    <row r="9945" spans="1:19" x14ac:dyDescent="0.2">
      <c r="A9945" t="s">
        <v>10556</v>
      </c>
      <c r="B9945" t="s">
        <v>83</v>
      </c>
      <c r="C9945" t="s">
        <v>602</v>
      </c>
      <c r="D9945">
        <v>1602.15</v>
      </c>
      <c r="E9945" s="37" t="str">
        <f t="shared" si="775"/>
        <v xml:space="preserve"> </v>
      </c>
      <c r="F9945">
        <v>0.41</v>
      </c>
      <c r="G9945" s="37" t="str">
        <f t="shared" si="776"/>
        <v>Heavy Discount</v>
      </c>
      <c r="H9945" s="37" t="str">
        <f t="shared" si="777"/>
        <v>High</v>
      </c>
      <c r="I9945">
        <v>3</v>
      </c>
      <c r="J9945" t="str" cm="1">
        <f t="array" ref="J9945">_xlfn.IFS(I9945&lt;=3,"small",I9945&lt;=6,"Medium",I9945&lt;=9,"Large")</f>
        <v>small</v>
      </c>
      <c r="K9945" s="36">
        <v>45526</v>
      </c>
      <c r="L9945" s="36">
        <v>45530</v>
      </c>
      <c r="M9945" t="s">
        <v>612</v>
      </c>
      <c r="N9945" t="s">
        <v>608</v>
      </c>
      <c r="O9945" s="37" t="str">
        <f t="shared" si="778"/>
        <v>Cash Payment</v>
      </c>
      <c r="P9945">
        <v>118.86</v>
      </c>
      <c r="Q9945" s="37" t="str">
        <f>IF(P9945&gt;500,"High","low")</f>
        <v>low</v>
      </c>
      <c r="R9945" s="37" t="str">
        <f t="shared" si="779"/>
        <v>AVERAGE</v>
      </c>
      <c r="S9945" t="s">
        <v>609</v>
      </c>
    </row>
    <row r="9946" spans="1:19" x14ac:dyDescent="0.2">
      <c r="A9946" t="s">
        <v>10557</v>
      </c>
      <c r="B9946" t="s">
        <v>67</v>
      </c>
      <c r="C9946" t="s">
        <v>602</v>
      </c>
      <c r="D9946">
        <v>4232.33</v>
      </c>
      <c r="E9946" s="37" t="str">
        <f t="shared" si="775"/>
        <v>Excellent Order</v>
      </c>
      <c r="F9946">
        <v>0.28000000000000003</v>
      </c>
      <c r="G9946" s="37" t="str">
        <f t="shared" si="776"/>
        <v>Normal Discount</v>
      </c>
      <c r="H9946" s="37" t="str">
        <f t="shared" si="777"/>
        <v>Medium</v>
      </c>
      <c r="I9946">
        <v>6</v>
      </c>
      <c r="J9946" t="str" cm="1">
        <f t="array" ref="J9946">_xlfn.IFS(I9946&lt;=3,"small",I9946&lt;=6,"Medium",I9946&lt;=9,"Large")</f>
        <v>Medium</v>
      </c>
      <c r="K9946" s="36">
        <v>45644</v>
      </c>
      <c r="L9946" s="36">
        <v>45649</v>
      </c>
      <c r="M9946" t="s">
        <v>612</v>
      </c>
      <c r="N9946" t="s">
        <v>608</v>
      </c>
      <c r="O9946" s="37" t="str">
        <f t="shared" si="778"/>
        <v>Cash Payment</v>
      </c>
      <c r="P9946">
        <v>1224.2</v>
      </c>
      <c r="Q9946" s="37" t="str">
        <f>IF(P9946&gt;500,"High","low")</f>
        <v>High</v>
      </c>
      <c r="R9946" s="37" t="str">
        <f t="shared" si="779"/>
        <v>Excellent</v>
      </c>
      <c r="S9946" t="s">
        <v>628</v>
      </c>
    </row>
    <row r="9947" spans="1:19" x14ac:dyDescent="0.2">
      <c r="A9947" t="s">
        <v>10558</v>
      </c>
      <c r="B9947" t="s">
        <v>75</v>
      </c>
      <c r="C9947" t="s">
        <v>597</v>
      </c>
      <c r="D9947">
        <v>3434.15</v>
      </c>
      <c r="E9947" s="37" t="str">
        <f t="shared" si="775"/>
        <v xml:space="preserve"> </v>
      </c>
      <c r="F9947">
        <v>0.31</v>
      </c>
      <c r="G9947" s="37" t="str">
        <f t="shared" si="776"/>
        <v>Heavy Discount</v>
      </c>
      <c r="H9947" s="37" t="str">
        <f t="shared" si="777"/>
        <v>Medium</v>
      </c>
      <c r="I9947">
        <v>9</v>
      </c>
      <c r="J9947" t="str" cm="1">
        <f t="array" ref="J9947">_xlfn.IFS(I9947&lt;=3,"small",I9947&lt;=6,"Medium",I9947&lt;=9,"Large")</f>
        <v>Large</v>
      </c>
      <c r="K9947" s="36">
        <v>45286</v>
      </c>
      <c r="L9947" s="36">
        <v>45289</v>
      </c>
      <c r="M9947" t="s">
        <v>603</v>
      </c>
      <c r="N9947" t="s">
        <v>604</v>
      </c>
      <c r="O9947" s="37" t="str">
        <f t="shared" si="778"/>
        <v>Digital Payment</v>
      </c>
      <c r="P9947">
        <v>203.29</v>
      </c>
      <c r="Q9947" s="37" t="str">
        <f>IF(P9947&gt;500,"High","low")</f>
        <v>low</v>
      </c>
      <c r="R9947" s="37" t="str">
        <f t="shared" si="779"/>
        <v>AVERAGE</v>
      </c>
      <c r="S9947" t="s">
        <v>628</v>
      </c>
    </row>
    <row r="9948" spans="1:19" x14ac:dyDescent="0.2">
      <c r="A9948" t="s">
        <v>10559</v>
      </c>
      <c r="B9948" t="s">
        <v>75</v>
      </c>
      <c r="C9948" t="s">
        <v>602</v>
      </c>
      <c r="D9948">
        <v>4281.29</v>
      </c>
      <c r="E9948" s="37" t="str">
        <f t="shared" si="775"/>
        <v>Excellent Order</v>
      </c>
      <c r="F9948">
        <v>0.03</v>
      </c>
      <c r="G9948" s="37" t="str">
        <f t="shared" si="776"/>
        <v>Normal Discount</v>
      </c>
      <c r="H9948" s="37" t="str">
        <f t="shared" si="777"/>
        <v>Low</v>
      </c>
      <c r="I9948">
        <v>3</v>
      </c>
      <c r="J9948" t="str" cm="1">
        <f t="array" ref="J9948">_xlfn.IFS(I9948&lt;=3,"small",I9948&lt;=6,"Medium",I9948&lt;=9,"Large")</f>
        <v>small</v>
      </c>
      <c r="K9948" s="36">
        <v>44989</v>
      </c>
      <c r="L9948" s="36">
        <v>44996</v>
      </c>
      <c r="M9948" t="s">
        <v>603</v>
      </c>
      <c r="N9948" t="s">
        <v>604</v>
      </c>
      <c r="O9948" s="37" t="str">
        <f t="shared" si="778"/>
        <v>Digital Payment</v>
      </c>
      <c r="P9948">
        <v>1151.52</v>
      </c>
      <c r="Q9948" s="37" t="str">
        <f>IF(P9948&gt;500,"High","low")</f>
        <v>High</v>
      </c>
      <c r="R9948" s="37" t="str">
        <f t="shared" si="779"/>
        <v>Excellent</v>
      </c>
      <c r="S9948" t="s">
        <v>609</v>
      </c>
    </row>
    <row r="9949" spans="1:19" x14ac:dyDescent="0.2">
      <c r="A9949" t="s">
        <v>10560</v>
      </c>
      <c r="B9949" t="s">
        <v>83</v>
      </c>
      <c r="C9949" t="s">
        <v>597</v>
      </c>
      <c r="D9949">
        <v>1530.22</v>
      </c>
      <c r="E9949" s="37" t="str">
        <f t="shared" si="775"/>
        <v xml:space="preserve"> </v>
      </c>
      <c r="F9949">
        <v>0.41</v>
      </c>
      <c r="G9949" s="37" t="str">
        <f t="shared" si="776"/>
        <v>Heavy Discount</v>
      </c>
      <c r="H9949" s="37" t="str">
        <f t="shared" si="777"/>
        <v>High</v>
      </c>
      <c r="I9949">
        <v>2</v>
      </c>
      <c r="J9949" t="str" cm="1">
        <f t="array" ref="J9949">_xlfn.IFS(I9949&lt;=3,"small",I9949&lt;=6,"Medium",I9949&lt;=9,"Large")</f>
        <v>small</v>
      </c>
      <c r="K9949" s="36">
        <v>45301</v>
      </c>
      <c r="L9949" s="36">
        <v>45305</v>
      </c>
      <c r="M9949" t="s">
        <v>603</v>
      </c>
      <c r="N9949" t="s">
        <v>599</v>
      </c>
      <c r="O9949" s="37" t="str">
        <f t="shared" si="778"/>
        <v>Digital Payment</v>
      </c>
      <c r="P9949">
        <v>394.37</v>
      </c>
      <c r="Q9949" s="37" t="str">
        <f>IF(P9949&gt;500,"High","low")</f>
        <v>low</v>
      </c>
      <c r="R9949" s="37" t="str">
        <f t="shared" si="779"/>
        <v>AVERAGE</v>
      </c>
      <c r="S9949" t="s">
        <v>628</v>
      </c>
    </row>
    <row r="9950" spans="1:19" x14ac:dyDescent="0.2">
      <c r="A9950" t="s">
        <v>10561</v>
      </c>
      <c r="B9950" t="s">
        <v>67</v>
      </c>
      <c r="C9950" t="s">
        <v>614</v>
      </c>
      <c r="D9950">
        <v>2360.59</v>
      </c>
      <c r="E9950" s="37" t="str">
        <f t="shared" si="775"/>
        <v xml:space="preserve"> </v>
      </c>
      <c r="F9950">
        <v>0.42</v>
      </c>
      <c r="G9950" s="37" t="str">
        <f t="shared" si="776"/>
        <v>Heavy Discount</v>
      </c>
      <c r="H9950" s="37" t="str">
        <f t="shared" si="777"/>
        <v>High</v>
      </c>
      <c r="I9950">
        <v>8</v>
      </c>
      <c r="J9950" t="str" cm="1">
        <f t="array" ref="J9950">_xlfn.IFS(I9950&lt;=3,"small",I9950&lt;=6,"Medium",I9950&lt;=9,"Large")</f>
        <v>Large</v>
      </c>
      <c r="K9950" s="36">
        <v>45404</v>
      </c>
      <c r="L9950" s="36">
        <v>45409</v>
      </c>
      <c r="M9950" t="s">
        <v>603</v>
      </c>
      <c r="N9950" t="s">
        <v>604</v>
      </c>
      <c r="O9950" s="37" t="str">
        <f t="shared" si="778"/>
        <v>Digital Payment</v>
      </c>
      <c r="P9950">
        <v>512.48</v>
      </c>
      <c r="Q9950" s="37" t="str">
        <f>IF(P9950&gt;500,"High","low")</f>
        <v>High</v>
      </c>
      <c r="R9950" s="37" t="str">
        <f t="shared" si="779"/>
        <v>Good</v>
      </c>
      <c r="S9950" t="s">
        <v>609</v>
      </c>
    </row>
    <row r="9951" spans="1:19" x14ac:dyDescent="0.2">
      <c r="A9951" t="s">
        <v>10562</v>
      </c>
      <c r="B9951" t="s">
        <v>83</v>
      </c>
      <c r="C9951" t="s">
        <v>614</v>
      </c>
      <c r="D9951">
        <v>4133.33</v>
      </c>
      <c r="E9951" s="37" t="str">
        <f t="shared" si="775"/>
        <v>Excellent Order</v>
      </c>
      <c r="F9951">
        <v>0.44</v>
      </c>
      <c r="G9951" s="37" t="str">
        <f t="shared" si="776"/>
        <v>Heavy Discount</v>
      </c>
      <c r="H9951" s="37" t="str">
        <f t="shared" si="777"/>
        <v>High</v>
      </c>
      <c r="I9951">
        <v>3</v>
      </c>
      <c r="J9951" t="str" cm="1">
        <f t="array" ref="J9951">_xlfn.IFS(I9951&lt;=3,"small",I9951&lt;=6,"Medium",I9951&lt;=9,"Large")</f>
        <v>small</v>
      </c>
      <c r="K9951" s="36">
        <v>45213</v>
      </c>
      <c r="L9951" s="36">
        <v>45217</v>
      </c>
      <c r="M9951" t="s">
        <v>598</v>
      </c>
      <c r="N9951" t="s">
        <v>608</v>
      </c>
      <c r="O9951" s="37" t="str">
        <f t="shared" si="778"/>
        <v>Cash Payment</v>
      </c>
      <c r="P9951">
        <v>861.49</v>
      </c>
      <c r="Q9951" s="37" t="str">
        <f>IF(P9951&gt;500,"High","low")</f>
        <v>High</v>
      </c>
      <c r="R9951" s="37" t="str">
        <f t="shared" si="779"/>
        <v>Good</v>
      </c>
      <c r="S9951" t="s">
        <v>620</v>
      </c>
    </row>
    <row r="9952" spans="1:19" x14ac:dyDescent="0.2">
      <c r="A9952" t="s">
        <v>10563</v>
      </c>
      <c r="B9952" t="s">
        <v>83</v>
      </c>
      <c r="C9952" t="s">
        <v>597</v>
      </c>
      <c r="D9952">
        <v>3254.71</v>
      </c>
      <c r="E9952" s="37" t="str">
        <f t="shared" si="775"/>
        <v xml:space="preserve"> </v>
      </c>
      <c r="F9952">
        <v>0.26</v>
      </c>
      <c r="G9952" s="37" t="str">
        <f t="shared" si="776"/>
        <v>Normal Discount</v>
      </c>
      <c r="H9952" s="37" t="str">
        <f t="shared" si="777"/>
        <v>Medium</v>
      </c>
      <c r="I9952">
        <v>5</v>
      </c>
      <c r="J9952" t="str" cm="1">
        <f t="array" ref="J9952">_xlfn.IFS(I9952&lt;=3,"small",I9952&lt;=6,"Medium",I9952&lt;=9,"Large")</f>
        <v>Medium</v>
      </c>
      <c r="K9952" s="36">
        <v>45380</v>
      </c>
      <c r="L9952" s="36">
        <v>45384</v>
      </c>
      <c r="M9952" t="s">
        <v>612</v>
      </c>
      <c r="N9952" t="s">
        <v>599</v>
      </c>
      <c r="O9952" s="37" t="str">
        <f t="shared" si="778"/>
        <v>Digital Payment</v>
      </c>
      <c r="P9952">
        <v>800.31</v>
      </c>
      <c r="Q9952" s="37" t="str">
        <f>IF(P9952&gt;500,"High","low")</f>
        <v>High</v>
      </c>
      <c r="R9952" s="37" t="str">
        <f t="shared" si="779"/>
        <v>Good</v>
      </c>
      <c r="S9952" t="s">
        <v>620</v>
      </c>
    </row>
    <row r="9953" spans="1:19" x14ac:dyDescent="0.2">
      <c r="A9953" t="s">
        <v>10564</v>
      </c>
      <c r="B9953" t="s">
        <v>67</v>
      </c>
      <c r="C9953" t="s">
        <v>614</v>
      </c>
      <c r="D9953">
        <v>1863.62</v>
      </c>
      <c r="E9953" s="37" t="str">
        <f t="shared" si="775"/>
        <v xml:space="preserve"> </v>
      </c>
      <c r="F9953">
        <v>0.2</v>
      </c>
      <c r="G9953" s="37" t="str">
        <f t="shared" si="776"/>
        <v>Normal Discount</v>
      </c>
      <c r="H9953" s="37" t="str">
        <f t="shared" si="777"/>
        <v>Medium</v>
      </c>
      <c r="I9953">
        <v>5</v>
      </c>
      <c r="J9953" t="str" cm="1">
        <f t="array" ref="J9953">_xlfn.IFS(I9953&lt;=3,"small",I9953&lt;=6,"Medium",I9953&lt;=9,"Large")</f>
        <v>Medium</v>
      </c>
      <c r="K9953" s="36">
        <v>45206</v>
      </c>
      <c r="L9953" s="36">
        <v>45212</v>
      </c>
      <c r="M9953" t="s">
        <v>598</v>
      </c>
      <c r="N9953" t="s">
        <v>599</v>
      </c>
      <c r="O9953" s="37" t="str">
        <f t="shared" si="778"/>
        <v>Digital Payment</v>
      </c>
      <c r="P9953">
        <v>129.5</v>
      </c>
      <c r="Q9953" s="37" t="str">
        <f>IF(P9953&gt;500,"High","low")</f>
        <v>low</v>
      </c>
      <c r="R9953" s="37" t="str">
        <f t="shared" si="779"/>
        <v>AVERAGE</v>
      </c>
      <c r="S9953" t="s">
        <v>615</v>
      </c>
    </row>
    <row r="9954" spans="1:19" x14ac:dyDescent="0.2">
      <c r="A9954" t="s">
        <v>10565</v>
      </c>
      <c r="B9954" t="s">
        <v>83</v>
      </c>
      <c r="C9954" t="s">
        <v>607</v>
      </c>
      <c r="D9954">
        <v>2608.7800000000002</v>
      </c>
      <c r="E9954" s="37" t="str">
        <f t="shared" si="775"/>
        <v xml:space="preserve"> </v>
      </c>
      <c r="F9954">
        <v>0.04</v>
      </c>
      <c r="G9954" s="37" t="str">
        <f t="shared" si="776"/>
        <v>Normal Discount</v>
      </c>
      <c r="H9954" s="37" t="str">
        <f t="shared" si="777"/>
        <v>Low</v>
      </c>
      <c r="I9954">
        <v>2</v>
      </c>
      <c r="J9954" t="str" cm="1">
        <f t="array" ref="J9954">_xlfn.IFS(I9954&lt;=3,"small",I9954&lt;=6,"Medium",I9954&lt;=9,"Large")</f>
        <v>small</v>
      </c>
      <c r="K9954" s="36">
        <v>45621</v>
      </c>
      <c r="L9954" s="36">
        <v>45625</v>
      </c>
      <c r="M9954" t="s">
        <v>612</v>
      </c>
      <c r="N9954" t="s">
        <v>599</v>
      </c>
      <c r="O9954" s="37" t="str">
        <f t="shared" si="778"/>
        <v>Digital Payment</v>
      </c>
      <c r="P9954">
        <v>376.38</v>
      </c>
      <c r="Q9954" s="37" t="str">
        <f>IF(P9954&gt;500,"High","low")</f>
        <v>low</v>
      </c>
      <c r="R9954" s="37" t="str">
        <f t="shared" si="779"/>
        <v>AVERAGE</v>
      </c>
      <c r="S9954" t="s">
        <v>620</v>
      </c>
    </row>
    <row r="9955" spans="1:19" x14ac:dyDescent="0.2">
      <c r="A9955" t="s">
        <v>10566</v>
      </c>
      <c r="B9955" t="s">
        <v>75</v>
      </c>
      <c r="C9955" t="s">
        <v>614</v>
      </c>
      <c r="D9955">
        <v>4980.88</v>
      </c>
      <c r="E9955" s="37" t="str">
        <f t="shared" si="775"/>
        <v xml:space="preserve"> </v>
      </c>
      <c r="F9955">
        <v>0.1</v>
      </c>
      <c r="G9955" s="37" t="str">
        <f t="shared" si="776"/>
        <v>Normal Discount</v>
      </c>
      <c r="H9955" s="37" t="str">
        <f t="shared" si="777"/>
        <v>Low</v>
      </c>
      <c r="I9955">
        <v>2</v>
      </c>
      <c r="J9955" t="str" cm="1">
        <f t="array" ref="J9955">_xlfn.IFS(I9955&lt;=3,"small",I9955&lt;=6,"Medium",I9955&lt;=9,"Large")</f>
        <v>small</v>
      </c>
      <c r="K9955" s="36">
        <v>45438</v>
      </c>
      <c r="L9955" s="36">
        <v>45442</v>
      </c>
      <c r="M9955" t="s">
        <v>612</v>
      </c>
      <c r="N9955" t="s">
        <v>608</v>
      </c>
      <c r="O9955" s="37" t="str">
        <f t="shared" si="778"/>
        <v>Cash Payment</v>
      </c>
      <c r="P9955">
        <v>363.72</v>
      </c>
      <c r="Q9955" s="37" t="str">
        <f>IF(P9955&gt;500,"High","low")</f>
        <v>low</v>
      </c>
      <c r="R9955" s="37" t="str">
        <f t="shared" si="779"/>
        <v>AVERAGE</v>
      </c>
      <c r="S9955" t="s">
        <v>609</v>
      </c>
    </row>
    <row r="9956" spans="1:19" x14ac:dyDescent="0.2">
      <c r="A9956" t="s">
        <v>10567</v>
      </c>
      <c r="B9956" t="s">
        <v>67</v>
      </c>
      <c r="C9956" t="s">
        <v>597</v>
      </c>
      <c r="D9956">
        <v>3735.06</v>
      </c>
      <c r="E9956" s="37" t="str">
        <f t="shared" si="775"/>
        <v xml:space="preserve"> </v>
      </c>
      <c r="F9956">
        <v>0.11</v>
      </c>
      <c r="G9956" s="37" t="str">
        <f t="shared" si="776"/>
        <v>Normal Discount</v>
      </c>
      <c r="H9956" s="37" t="str">
        <f t="shared" si="777"/>
        <v>Low</v>
      </c>
      <c r="I9956">
        <v>6</v>
      </c>
      <c r="J9956" t="str" cm="1">
        <f t="array" ref="J9956">_xlfn.IFS(I9956&lt;=3,"small",I9956&lt;=6,"Medium",I9956&lt;=9,"Large")</f>
        <v>Medium</v>
      </c>
      <c r="K9956" s="36">
        <v>45612</v>
      </c>
      <c r="L9956" s="36">
        <v>45616</v>
      </c>
      <c r="M9956" t="s">
        <v>612</v>
      </c>
      <c r="N9956" t="s">
        <v>608</v>
      </c>
      <c r="O9956" s="37" t="str">
        <f t="shared" si="778"/>
        <v>Cash Payment</v>
      </c>
      <c r="P9956">
        <v>330.88</v>
      </c>
      <c r="Q9956" s="37" t="str">
        <f>IF(P9956&gt;500,"High","low")</f>
        <v>low</v>
      </c>
      <c r="R9956" s="37" t="str">
        <f t="shared" si="779"/>
        <v>AVERAGE</v>
      </c>
      <c r="S9956" t="s">
        <v>628</v>
      </c>
    </row>
    <row r="9957" spans="1:19" x14ac:dyDescent="0.2">
      <c r="A9957" t="s">
        <v>10568</v>
      </c>
      <c r="B9957" t="s">
        <v>67</v>
      </c>
      <c r="C9957" t="s">
        <v>607</v>
      </c>
      <c r="D9957">
        <v>3111.16</v>
      </c>
      <c r="E9957" s="37" t="str">
        <f t="shared" si="775"/>
        <v xml:space="preserve"> </v>
      </c>
      <c r="F9957">
        <v>0.03</v>
      </c>
      <c r="G9957" s="37" t="str">
        <f t="shared" si="776"/>
        <v>Normal Discount</v>
      </c>
      <c r="H9957" s="37" t="str">
        <f t="shared" si="777"/>
        <v>Low</v>
      </c>
      <c r="I9957">
        <v>2</v>
      </c>
      <c r="J9957" t="str" cm="1">
        <f t="array" ref="J9957">_xlfn.IFS(I9957&lt;=3,"small",I9957&lt;=6,"Medium",I9957&lt;=9,"Large")</f>
        <v>small</v>
      </c>
      <c r="K9957" s="36">
        <v>45395</v>
      </c>
      <c r="L9957" s="36">
        <v>45402</v>
      </c>
      <c r="M9957" t="s">
        <v>598</v>
      </c>
      <c r="N9957" t="s">
        <v>599</v>
      </c>
      <c r="O9957" s="37" t="str">
        <f t="shared" si="778"/>
        <v>Digital Payment</v>
      </c>
      <c r="P9957">
        <v>800.21</v>
      </c>
      <c r="Q9957" s="37" t="str">
        <f>IF(P9957&gt;500,"High","low")</f>
        <v>High</v>
      </c>
      <c r="R9957" s="37" t="str">
        <f t="shared" si="779"/>
        <v>Good</v>
      </c>
      <c r="S9957" t="s">
        <v>609</v>
      </c>
    </row>
    <row r="9958" spans="1:19" x14ac:dyDescent="0.2">
      <c r="A9958" t="s">
        <v>10569</v>
      </c>
      <c r="B9958" t="s">
        <v>67</v>
      </c>
      <c r="C9958" t="s">
        <v>602</v>
      </c>
      <c r="D9958">
        <v>4156.7700000000004</v>
      </c>
      <c r="E9958" s="37" t="str">
        <f t="shared" si="775"/>
        <v>Excellent Order</v>
      </c>
      <c r="F9958">
        <v>0.08</v>
      </c>
      <c r="G9958" s="37" t="str">
        <f t="shared" si="776"/>
        <v>Normal Discount</v>
      </c>
      <c r="H9958" s="37" t="str">
        <f t="shared" si="777"/>
        <v>Low</v>
      </c>
      <c r="I9958">
        <v>6</v>
      </c>
      <c r="J9958" t="str" cm="1">
        <f t="array" ref="J9958">_xlfn.IFS(I9958&lt;=3,"small",I9958&lt;=6,"Medium",I9958&lt;=9,"Large")</f>
        <v>Medium</v>
      </c>
      <c r="K9958" s="36">
        <v>45060</v>
      </c>
      <c r="L9958" s="36">
        <v>45065</v>
      </c>
      <c r="M9958" t="s">
        <v>612</v>
      </c>
      <c r="N9958" t="s">
        <v>599</v>
      </c>
      <c r="O9958" s="37" t="str">
        <f t="shared" si="778"/>
        <v>Digital Payment</v>
      </c>
      <c r="P9958">
        <v>937.2</v>
      </c>
      <c r="Q9958" s="37" t="str">
        <f>IF(P9958&gt;500,"High","low")</f>
        <v>High</v>
      </c>
      <c r="R9958" s="37" t="str">
        <f t="shared" si="779"/>
        <v>Good</v>
      </c>
      <c r="S9958" t="s">
        <v>620</v>
      </c>
    </row>
    <row r="9959" spans="1:19" x14ac:dyDescent="0.2">
      <c r="A9959" t="s">
        <v>10570</v>
      </c>
      <c r="B9959" t="s">
        <v>67</v>
      </c>
      <c r="C9959" t="s">
        <v>602</v>
      </c>
      <c r="D9959">
        <v>2265.9499999999998</v>
      </c>
      <c r="E9959" s="37" t="str">
        <f t="shared" si="775"/>
        <v xml:space="preserve"> </v>
      </c>
      <c r="F9959">
        <v>0.44</v>
      </c>
      <c r="G9959" s="37" t="str">
        <f t="shared" si="776"/>
        <v>Heavy Discount</v>
      </c>
      <c r="H9959" s="37" t="str">
        <f t="shared" si="777"/>
        <v>High</v>
      </c>
      <c r="I9959">
        <v>7</v>
      </c>
      <c r="J9959" t="str" cm="1">
        <f t="array" ref="J9959">_xlfn.IFS(I9959&lt;=3,"small",I9959&lt;=6,"Medium",I9959&lt;=9,"Large")</f>
        <v>Large</v>
      </c>
      <c r="K9959" s="36">
        <v>45578</v>
      </c>
      <c r="L9959" s="36">
        <v>45579</v>
      </c>
      <c r="M9959" t="s">
        <v>598</v>
      </c>
      <c r="N9959" t="s">
        <v>604</v>
      </c>
      <c r="O9959" s="37" t="str">
        <f t="shared" si="778"/>
        <v>Digital Payment</v>
      </c>
      <c r="P9959">
        <v>321.19</v>
      </c>
      <c r="Q9959" s="37" t="str">
        <f>IF(P9959&gt;500,"High","low")</f>
        <v>low</v>
      </c>
      <c r="R9959" s="37" t="str">
        <f t="shared" si="779"/>
        <v>AVERAGE</v>
      </c>
      <c r="S9959" t="s">
        <v>605</v>
      </c>
    </row>
    <row r="9960" spans="1:19" x14ac:dyDescent="0.2">
      <c r="A9960" t="s">
        <v>10571</v>
      </c>
      <c r="B9960" t="s">
        <v>83</v>
      </c>
      <c r="C9960" t="s">
        <v>602</v>
      </c>
      <c r="D9960">
        <v>4755.3100000000004</v>
      </c>
      <c r="E9960" s="37" t="str">
        <f t="shared" si="775"/>
        <v xml:space="preserve"> </v>
      </c>
      <c r="F9960">
        <v>0.27</v>
      </c>
      <c r="G9960" s="37" t="str">
        <f t="shared" si="776"/>
        <v>Normal Discount</v>
      </c>
      <c r="H9960" s="37" t="str">
        <f t="shared" si="777"/>
        <v>Medium</v>
      </c>
      <c r="I9960">
        <v>4</v>
      </c>
      <c r="J9960" t="str" cm="1">
        <f t="array" ref="J9960">_xlfn.IFS(I9960&lt;=3,"small",I9960&lt;=6,"Medium",I9960&lt;=9,"Large")</f>
        <v>Medium</v>
      </c>
      <c r="K9960" s="36">
        <v>44960</v>
      </c>
      <c r="L9960" s="36">
        <v>44966</v>
      </c>
      <c r="M9960" t="s">
        <v>612</v>
      </c>
      <c r="N9960" t="s">
        <v>608</v>
      </c>
      <c r="O9960" s="37" t="str">
        <f t="shared" si="778"/>
        <v>Cash Payment</v>
      </c>
      <c r="P9960">
        <v>720.6</v>
      </c>
      <c r="Q9960" s="37" t="str">
        <f>IF(P9960&gt;500,"High","low")</f>
        <v>High</v>
      </c>
      <c r="R9960" s="37" t="str">
        <f t="shared" si="779"/>
        <v>Good</v>
      </c>
      <c r="S9960" t="s">
        <v>615</v>
      </c>
    </row>
    <row r="9961" spans="1:19" x14ac:dyDescent="0.2">
      <c r="A9961" t="s">
        <v>10572</v>
      </c>
      <c r="B9961" t="s">
        <v>83</v>
      </c>
      <c r="C9961" t="s">
        <v>597</v>
      </c>
      <c r="D9961">
        <v>2804.9</v>
      </c>
      <c r="E9961" s="37" t="str">
        <f t="shared" si="775"/>
        <v xml:space="preserve"> </v>
      </c>
      <c r="F9961">
        <v>0.38</v>
      </c>
      <c r="G9961" s="37" t="str">
        <f t="shared" si="776"/>
        <v>Heavy Discount</v>
      </c>
      <c r="H9961" s="37" t="str">
        <f t="shared" si="777"/>
        <v>Medium</v>
      </c>
      <c r="I9961">
        <v>4</v>
      </c>
      <c r="J9961" t="str" cm="1">
        <f t="array" ref="J9961">_xlfn.IFS(I9961&lt;=3,"small",I9961&lt;=6,"Medium",I9961&lt;=9,"Large")</f>
        <v>Medium</v>
      </c>
      <c r="K9961" s="36">
        <v>44992</v>
      </c>
      <c r="L9961" s="36">
        <v>44995</v>
      </c>
      <c r="M9961" t="s">
        <v>598</v>
      </c>
      <c r="N9961" t="s">
        <v>604</v>
      </c>
      <c r="O9961" s="37" t="str">
        <f t="shared" si="778"/>
        <v>Digital Payment</v>
      </c>
      <c r="P9961">
        <v>615.45000000000005</v>
      </c>
      <c r="Q9961" s="37" t="str">
        <f>IF(P9961&gt;500,"High","low")</f>
        <v>High</v>
      </c>
      <c r="R9961" s="37" t="str">
        <f t="shared" si="779"/>
        <v>Good</v>
      </c>
      <c r="S9961" t="s">
        <v>609</v>
      </c>
    </row>
    <row r="9962" spans="1:19" x14ac:dyDescent="0.2">
      <c r="A9962" t="s">
        <v>10573</v>
      </c>
      <c r="B9962" t="s">
        <v>75</v>
      </c>
      <c r="C9962" t="s">
        <v>602</v>
      </c>
      <c r="D9962">
        <v>1701.67</v>
      </c>
      <c r="E9962" s="37" t="str">
        <f t="shared" si="775"/>
        <v xml:space="preserve"> </v>
      </c>
      <c r="F9962">
        <v>0.14000000000000001</v>
      </c>
      <c r="G9962" s="37" t="str">
        <f t="shared" si="776"/>
        <v>Normal Discount</v>
      </c>
      <c r="H9962" s="37" t="str">
        <f t="shared" si="777"/>
        <v>Low</v>
      </c>
      <c r="I9962">
        <v>3</v>
      </c>
      <c r="J9962" t="str" cm="1">
        <f t="array" ref="J9962">_xlfn.IFS(I9962&lt;=3,"small",I9962&lt;=6,"Medium",I9962&lt;=9,"Large")</f>
        <v>small</v>
      </c>
      <c r="K9962" s="36">
        <v>45098</v>
      </c>
      <c r="L9962" s="36">
        <v>45101</v>
      </c>
      <c r="M9962" t="s">
        <v>612</v>
      </c>
      <c r="N9962" t="s">
        <v>608</v>
      </c>
      <c r="O9962" s="37" t="str">
        <f t="shared" si="778"/>
        <v>Cash Payment</v>
      </c>
      <c r="P9962">
        <v>356.84</v>
      </c>
      <c r="Q9962" s="37" t="str">
        <f>IF(P9962&gt;500,"High","low")</f>
        <v>low</v>
      </c>
      <c r="R9962" s="37" t="str">
        <f t="shared" si="779"/>
        <v>AVERAGE</v>
      </c>
      <c r="S9962" t="s">
        <v>609</v>
      </c>
    </row>
    <row r="9963" spans="1:19" x14ac:dyDescent="0.2">
      <c r="A9963" t="s">
        <v>10574</v>
      </c>
      <c r="B9963" t="s">
        <v>90</v>
      </c>
      <c r="C9963" t="s">
        <v>614</v>
      </c>
      <c r="D9963">
        <v>521.5</v>
      </c>
      <c r="E9963" s="37" t="str">
        <f t="shared" si="775"/>
        <v xml:space="preserve"> </v>
      </c>
      <c r="F9963">
        <v>7.0000000000000007E-2</v>
      </c>
      <c r="G9963" s="37" t="str">
        <f t="shared" si="776"/>
        <v>Normal Discount</v>
      </c>
      <c r="H9963" s="37" t="str">
        <f t="shared" si="777"/>
        <v>Low</v>
      </c>
      <c r="I9963">
        <v>1</v>
      </c>
      <c r="J9963" t="str" cm="1">
        <f t="array" ref="J9963">_xlfn.IFS(I9963&lt;=3,"small",I9963&lt;=6,"Medium",I9963&lt;=9,"Large")</f>
        <v>small</v>
      </c>
      <c r="K9963" s="36">
        <v>45459</v>
      </c>
      <c r="L9963" s="36">
        <v>45464</v>
      </c>
      <c r="M9963" t="s">
        <v>598</v>
      </c>
      <c r="N9963" t="s">
        <v>608</v>
      </c>
      <c r="O9963" s="37" t="str">
        <f t="shared" si="778"/>
        <v>Cash Payment</v>
      </c>
      <c r="P9963">
        <v>89.62</v>
      </c>
      <c r="Q9963" s="37" t="str">
        <f>IF(P9963&gt;500,"High","low")</f>
        <v>low</v>
      </c>
      <c r="R9963" s="37" t="str">
        <f t="shared" si="779"/>
        <v>AVERAGE</v>
      </c>
      <c r="S9963" t="s">
        <v>620</v>
      </c>
    </row>
    <row r="9964" spans="1:19" x14ac:dyDescent="0.2">
      <c r="A9964" t="s">
        <v>10575</v>
      </c>
      <c r="B9964" t="s">
        <v>90</v>
      </c>
      <c r="C9964" t="s">
        <v>602</v>
      </c>
      <c r="D9964">
        <v>1940.91</v>
      </c>
      <c r="E9964" s="37" t="str">
        <f t="shared" si="775"/>
        <v xml:space="preserve"> </v>
      </c>
      <c r="F9964">
        <v>0.19</v>
      </c>
      <c r="G9964" s="37" t="str">
        <f t="shared" si="776"/>
        <v>Normal Discount</v>
      </c>
      <c r="H9964" s="37" t="str">
        <f t="shared" si="777"/>
        <v>Low</v>
      </c>
      <c r="I9964">
        <v>4</v>
      </c>
      <c r="J9964" t="str" cm="1">
        <f t="array" ref="J9964">_xlfn.IFS(I9964&lt;=3,"small",I9964&lt;=6,"Medium",I9964&lt;=9,"Large")</f>
        <v>Medium</v>
      </c>
      <c r="K9964" s="36">
        <v>45636</v>
      </c>
      <c r="L9964" s="36">
        <v>45641</v>
      </c>
      <c r="M9964" t="s">
        <v>603</v>
      </c>
      <c r="N9964" t="s">
        <v>599</v>
      </c>
      <c r="O9964" s="37" t="str">
        <f t="shared" si="778"/>
        <v>Digital Payment</v>
      </c>
      <c r="P9964">
        <v>460.5</v>
      </c>
      <c r="Q9964" s="37" t="str">
        <f>IF(P9964&gt;500,"High","low")</f>
        <v>low</v>
      </c>
      <c r="R9964" s="37" t="str">
        <f t="shared" si="779"/>
        <v>AVERAGE</v>
      </c>
      <c r="S9964" t="s">
        <v>600</v>
      </c>
    </row>
    <row r="9965" spans="1:19" x14ac:dyDescent="0.2">
      <c r="A9965" t="s">
        <v>10576</v>
      </c>
      <c r="B9965" t="s">
        <v>75</v>
      </c>
      <c r="C9965" t="s">
        <v>617</v>
      </c>
      <c r="D9965">
        <v>2886.33</v>
      </c>
      <c r="E9965" s="37" t="str">
        <f t="shared" si="775"/>
        <v xml:space="preserve"> </v>
      </c>
      <c r="F9965">
        <v>0.4</v>
      </c>
      <c r="G9965" s="37" t="str">
        <f t="shared" si="776"/>
        <v>Heavy Discount</v>
      </c>
      <c r="H9965" s="37" t="str">
        <f t="shared" si="777"/>
        <v>Medium</v>
      </c>
      <c r="I9965">
        <v>3</v>
      </c>
      <c r="J9965" t="str" cm="1">
        <f t="array" ref="J9965">_xlfn.IFS(I9965&lt;=3,"small",I9965&lt;=6,"Medium",I9965&lt;=9,"Large")</f>
        <v>small</v>
      </c>
      <c r="K9965" s="36">
        <v>44932</v>
      </c>
      <c r="L9965" s="36">
        <v>44936</v>
      </c>
      <c r="M9965" t="s">
        <v>598</v>
      </c>
      <c r="N9965" t="s">
        <v>608</v>
      </c>
      <c r="O9965" s="37" t="str">
        <f t="shared" si="778"/>
        <v>Cash Payment</v>
      </c>
      <c r="P9965">
        <v>295.74</v>
      </c>
      <c r="Q9965" s="37" t="str">
        <f>IF(P9965&gt;500,"High","low")</f>
        <v>low</v>
      </c>
      <c r="R9965" s="37" t="str">
        <f t="shared" si="779"/>
        <v>AVERAGE</v>
      </c>
      <c r="S9965" t="s">
        <v>605</v>
      </c>
    </row>
    <row r="9966" spans="1:19" x14ac:dyDescent="0.2">
      <c r="A9966" t="s">
        <v>10577</v>
      </c>
      <c r="B9966" t="s">
        <v>90</v>
      </c>
      <c r="C9966" t="s">
        <v>617</v>
      </c>
      <c r="D9966">
        <v>3545.92</v>
      </c>
      <c r="E9966" s="37" t="str">
        <f t="shared" si="775"/>
        <v xml:space="preserve"> </v>
      </c>
      <c r="F9966">
        <v>0.15</v>
      </c>
      <c r="G9966" s="37" t="str">
        <f t="shared" si="776"/>
        <v>Normal Discount</v>
      </c>
      <c r="H9966" s="37" t="str">
        <f t="shared" si="777"/>
        <v>Low</v>
      </c>
      <c r="I9966">
        <v>8</v>
      </c>
      <c r="J9966" t="str" cm="1">
        <f t="array" ref="J9966">_xlfn.IFS(I9966&lt;=3,"small",I9966&lt;=6,"Medium",I9966&lt;=9,"Large")</f>
        <v>Large</v>
      </c>
      <c r="K9966" s="36">
        <v>45570</v>
      </c>
      <c r="L9966" s="36">
        <v>45577</v>
      </c>
      <c r="M9966" t="s">
        <v>603</v>
      </c>
      <c r="N9966" t="s">
        <v>599</v>
      </c>
      <c r="O9966" s="37" t="str">
        <f t="shared" si="778"/>
        <v>Digital Payment</v>
      </c>
      <c r="P9966">
        <v>444.85</v>
      </c>
      <c r="Q9966" s="37" t="str">
        <f>IF(P9966&gt;500,"High","low")</f>
        <v>low</v>
      </c>
      <c r="R9966" s="37" t="str">
        <f t="shared" si="779"/>
        <v>AVERAGE</v>
      </c>
      <c r="S9966" t="s">
        <v>620</v>
      </c>
    </row>
    <row r="9967" spans="1:19" x14ac:dyDescent="0.2">
      <c r="A9967" t="s">
        <v>10578</v>
      </c>
      <c r="B9967" t="s">
        <v>75</v>
      </c>
      <c r="C9967" t="s">
        <v>602</v>
      </c>
      <c r="D9967">
        <v>4388.07</v>
      </c>
      <c r="E9967" s="37" t="str">
        <f t="shared" si="775"/>
        <v xml:space="preserve"> </v>
      </c>
      <c r="F9967">
        <v>0.1</v>
      </c>
      <c r="G9967" s="37" t="str">
        <f t="shared" si="776"/>
        <v>Normal Discount</v>
      </c>
      <c r="H9967" s="37" t="str">
        <f t="shared" si="777"/>
        <v>Low</v>
      </c>
      <c r="I9967">
        <v>5</v>
      </c>
      <c r="J9967" t="str" cm="1">
        <f t="array" ref="J9967">_xlfn.IFS(I9967&lt;=3,"small",I9967&lt;=6,"Medium",I9967&lt;=9,"Large")</f>
        <v>Medium</v>
      </c>
      <c r="K9967" s="36">
        <v>45445</v>
      </c>
      <c r="L9967" s="36">
        <v>45446</v>
      </c>
      <c r="M9967" t="s">
        <v>598</v>
      </c>
      <c r="N9967" t="s">
        <v>599</v>
      </c>
      <c r="O9967" s="37" t="str">
        <f t="shared" si="778"/>
        <v>Digital Payment</v>
      </c>
      <c r="P9967">
        <v>290.51</v>
      </c>
      <c r="Q9967" s="37" t="str">
        <f>IF(P9967&gt;500,"High","low")</f>
        <v>low</v>
      </c>
      <c r="R9967" s="37" t="str">
        <f t="shared" si="779"/>
        <v>AVERAGE</v>
      </c>
      <c r="S9967" t="s">
        <v>620</v>
      </c>
    </row>
    <row r="9968" spans="1:19" x14ac:dyDescent="0.2">
      <c r="A9968" t="s">
        <v>10579</v>
      </c>
      <c r="B9968" t="s">
        <v>83</v>
      </c>
      <c r="C9968" t="s">
        <v>602</v>
      </c>
      <c r="D9968">
        <v>4725.41</v>
      </c>
      <c r="E9968" s="37" t="str">
        <f t="shared" si="775"/>
        <v>Excellent Order</v>
      </c>
      <c r="F9968">
        <v>0.01</v>
      </c>
      <c r="G9968" s="37" t="str">
        <f t="shared" si="776"/>
        <v>Normal Discount</v>
      </c>
      <c r="H9968" s="37" t="str">
        <f t="shared" si="777"/>
        <v>Low</v>
      </c>
      <c r="I9968">
        <v>7</v>
      </c>
      <c r="J9968" t="str" cm="1">
        <f t="array" ref="J9968">_xlfn.IFS(I9968&lt;=3,"small",I9968&lt;=6,"Medium",I9968&lt;=9,"Large")</f>
        <v>Large</v>
      </c>
      <c r="K9968" s="36">
        <v>45514</v>
      </c>
      <c r="L9968" s="36">
        <v>45520</v>
      </c>
      <c r="M9968" t="s">
        <v>603</v>
      </c>
      <c r="N9968" t="s">
        <v>604</v>
      </c>
      <c r="O9968" s="37" t="str">
        <f t="shared" si="778"/>
        <v>Digital Payment</v>
      </c>
      <c r="P9968">
        <v>913.96</v>
      </c>
      <c r="Q9968" s="37" t="str">
        <f>IF(P9968&gt;500,"High","low")</f>
        <v>High</v>
      </c>
      <c r="R9968" s="37" t="str">
        <f t="shared" si="779"/>
        <v>Good</v>
      </c>
      <c r="S9968" t="s">
        <v>615</v>
      </c>
    </row>
    <row r="9969" spans="1:19" x14ac:dyDescent="0.2">
      <c r="A9969" t="s">
        <v>10580</v>
      </c>
      <c r="B9969" t="s">
        <v>67</v>
      </c>
      <c r="C9969" t="s">
        <v>617</v>
      </c>
      <c r="D9969">
        <v>602.02</v>
      </c>
      <c r="E9969" s="37" t="str">
        <f t="shared" si="775"/>
        <v xml:space="preserve"> </v>
      </c>
      <c r="F9969">
        <v>0.31</v>
      </c>
      <c r="G9969" s="37" t="str">
        <f t="shared" si="776"/>
        <v>Heavy Discount</v>
      </c>
      <c r="H9969" s="37" t="str">
        <f t="shared" si="777"/>
        <v>Medium</v>
      </c>
      <c r="I9969">
        <v>3</v>
      </c>
      <c r="J9969" t="str" cm="1">
        <f t="array" ref="J9969">_xlfn.IFS(I9969&lt;=3,"small",I9969&lt;=6,"Medium",I9969&lt;=9,"Large")</f>
        <v>small</v>
      </c>
      <c r="K9969" s="36">
        <v>45445</v>
      </c>
      <c r="L9969" s="36">
        <v>45446</v>
      </c>
      <c r="M9969" t="s">
        <v>603</v>
      </c>
      <c r="N9969" t="s">
        <v>599</v>
      </c>
      <c r="O9969" s="37" t="str">
        <f t="shared" si="778"/>
        <v>Digital Payment</v>
      </c>
      <c r="P9969">
        <v>144.4</v>
      </c>
      <c r="Q9969" s="37" t="str">
        <f>IF(P9969&gt;500,"High","low")</f>
        <v>low</v>
      </c>
      <c r="R9969" s="37" t="str">
        <f t="shared" si="779"/>
        <v>AVERAGE</v>
      </c>
      <c r="S9969" t="s">
        <v>628</v>
      </c>
    </row>
    <row r="9970" spans="1:19" x14ac:dyDescent="0.2">
      <c r="A9970" t="s">
        <v>10581</v>
      </c>
      <c r="B9970" t="s">
        <v>67</v>
      </c>
      <c r="C9970" t="s">
        <v>602</v>
      </c>
      <c r="D9970">
        <v>3044.43</v>
      </c>
      <c r="E9970" s="37" t="str">
        <f t="shared" si="775"/>
        <v xml:space="preserve"> </v>
      </c>
      <c r="F9970">
        <v>0.22</v>
      </c>
      <c r="G9970" s="37" t="str">
        <f t="shared" si="776"/>
        <v>Normal Discount</v>
      </c>
      <c r="H9970" s="37" t="str">
        <f t="shared" si="777"/>
        <v>Medium</v>
      </c>
      <c r="I9970">
        <v>3</v>
      </c>
      <c r="J9970" t="str" cm="1">
        <f t="array" ref="J9970">_xlfn.IFS(I9970&lt;=3,"small",I9970&lt;=6,"Medium",I9970&lt;=9,"Large")</f>
        <v>small</v>
      </c>
      <c r="K9970" s="36">
        <v>45166</v>
      </c>
      <c r="L9970" s="36">
        <v>45168</v>
      </c>
      <c r="M9970" t="s">
        <v>598</v>
      </c>
      <c r="N9970" t="s">
        <v>599</v>
      </c>
      <c r="O9970" s="37" t="str">
        <f t="shared" si="778"/>
        <v>Digital Payment</v>
      </c>
      <c r="P9970">
        <v>552.09</v>
      </c>
      <c r="Q9970" s="37" t="str">
        <f>IF(P9970&gt;500,"High","low")</f>
        <v>High</v>
      </c>
      <c r="R9970" s="37" t="str">
        <f t="shared" si="779"/>
        <v>Good</v>
      </c>
      <c r="S9970" t="s">
        <v>600</v>
      </c>
    </row>
    <row r="9971" spans="1:19" x14ac:dyDescent="0.2">
      <c r="A9971" t="s">
        <v>10582</v>
      </c>
      <c r="B9971" t="s">
        <v>83</v>
      </c>
      <c r="C9971" t="s">
        <v>607</v>
      </c>
      <c r="D9971">
        <v>3366.29</v>
      </c>
      <c r="E9971" s="37" t="str">
        <f t="shared" si="775"/>
        <v xml:space="preserve"> </v>
      </c>
      <c r="F9971">
        <v>0.13</v>
      </c>
      <c r="G9971" s="37" t="str">
        <f t="shared" si="776"/>
        <v>Normal Discount</v>
      </c>
      <c r="H9971" s="37" t="str">
        <f t="shared" si="777"/>
        <v>Low</v>
      </c>
      <c r="I9971">
        <v>6</v>
      </c>
      <c r="J9971" t="str" cm="1">
        <f t="array" ref="J9971">_xlfn.IFS(I9971&lt;=3,"small",I9971&lt;=6,"Medium",I9971&lt;=9,"Large")</f>
        <v>Medium</v>
      </c>
      <c r="K9971" s="36">
        <v>44973</v>
      </c>
      <c r="L9971" s="36">
        <v>44980</v>
      </c>
      <c r="M9971" t="s">
        <v>612</v>
      </c>
      <c r="N9971" t="s">
        <v>604</v>
      </c>
      <c r="O9971" s="37" t="str">
        <f t="shared" si="778"/>
        <v>Digital Payment</v>
      </c>
      <c r="P9971">
        <v>477.4</v>
      </c>
      <c r="Q9971" s="37" t="str">
        <f>IF(P9971&gt;500,"High","low")</f>
        <v>low</v>
      </c>
      <c r="R9971" s="37" t="str">
        <f t="shared" si="779"/>
        <v>AVERAGE</v>
      </c>
      <c r="S9971" t="s">
        <v>600</v>
      </c>
    </row>
    <row r="9972" spans="1:19" x14ac:dyDescent="0.2">
      <c r="A9972" t="s">
        <v>10583</v>
      </c>
      <c r="B9972" t="s">
        <v>67</v>
      </c>
      <c r="C9972" t="s">
        <v>617</v>
      </c>
      <c r="D9972">
        <v>943.11</v>
      </c>
      <c r="E9972" s="37" t="str">
        <f t="shared" si="775"/>
        <v xml:space="preserve"> </v>
      </c>
      <c r="F9972">
        <v>0.26</v>
      </c>
      <c r="G9972" s="37" t="str">
        <f t="shared" si="776"/>
        <v>Normal Discount</v>
      </c>
      <c r="H9972" s="37" t="str">
        <f t="shared" si="777"/>
        <v>Medium</v>
      </c>
      <c r="I9972">
        <v>4</v>
      </c>
      <c r="J9972" t="str" cm="1">
        <f t="array" ref="J9972">_xlfn.IFS(I9972&lt;=3,"small",I9972&lt;=6,"Medium",I9972&lt;=9,"Large")</f>
        <v>Medium</v>
      </c>
      <c r="K9972" s="36">
        <v>45081</v>
      </c>
      <c r="L9972" s="36">
        <v>45082</v>
      </c>
      <c r="M9972" t="s">
        <v>612</v>
      </c>
      <c r="N9972" t="s">
        <v>608</v>
      </c>
      <c r="O9972" s="37" t="str">
        <f t="shared" si="778"/>
        <v>Cash Payment</v>
      </c>
      <c r="P9972">
        <v>94.22</v>
      </c>
      <c r="Q9972" s="37" t="str">
        <f>IF(P9972&gt;500,"High","low")</f>
        <v>low</v>
      </c>
      <c r="R9972" s="37" t="str">
        <f t="shared" si="779"/>
        <v>AVERAGE</v>
      </c>
      <c r="S9972" t="s">
        <v>628</v>
      </c>
    </row>
    <row r="9973" spans="1:19" x14ac:dyDescent="0.2">
      <c r="A9973" t="s">
        <v>10584</v>
      </c>
      <c r="B9973" t="s">
        <v>67</v>
      </c>
      <c r="C9973" t="s">
        <v>597</v>
      </c>
      <c r="D9973">
        <v>2773.44</v>
      </c>
      <c r="E9973" s="37" t="str">
        <f t="shared" si="775"/>
        <v xml:space="preserve"> </v>
      </c>
      <c r="F9973">
        <v>0.35</v>
      </c>
      <c r="G9973" s="37" t="str">
        <f t="shared" si="776"/>
        <v>Heavy Discount</v>
      </c>
      <c r="H9973" s="37" t="str">
        <f t="shared" si="777"/>
        <v>Medium</v>
      </c>
      <c r="I9973">
        <v>8</v>
      </c>
      <c r="J9973" t="str" cm="1">
        <f t="array" ref="J9973">_xlfn.IFS(I9973&lt;=3,"small",I9973&lt;=6,"Medium",I9973&lt;=9,"Large")</f>
        <v>Large</v>
      </c>
      <c r="K9973" s="36">
        <v>45178</v>
      </c>
      <c r="L9973" s="36">
        <v>45185</v>
      </c>
      <c r="M9973" t="s">
        <v>612</v>
      </c>
      <c r="N9973" t="s">
        <v>608</v>
      </c>
      <c r="O9973" s="37" t="str">
        <f t="shared" si="778"/>
        <v>Cash Payment</v>
      </c>
      <c r="P9973">
        <v>526.97</v>
      </c>
      <c r="Q9973" s="37" t="str">
        <f>IF(P9973&gt;500,"High","low")</f>
        <v>High</v>
      </c>
      <c r="R9973" s="37" t="str">
        <f t="shared" si="779"/>
        <v>Good</v>
      </c>
      <c r="S9973" t="s">
        <v>628</v>
      </c>
    </row>
    <row r="9974" spans="1:19" x14ac:dyDescent="0.2">
      <c r="A9974" t="s">
        <v>10585</v>
      </c>
      <c r="B9974" t="s">
        <v>90</v>
      </c>
      <c r="C9974" t="s">
        <v>617</v>
      </c>
      <c r="D9974">
        <v>1740.68</v>
      </c>
      <c r="E9974" s="37" t="str">
        <f t="shared" si="775"/>
        <v xml:space="preserve"> </v>
      </c>
      <c r="F9974">
        <v>0.12</v>
      </c>
      <c r="G9974" s="37" t="str">
        <f t="shared" si="776"/>
        <v>Normal Discount</v>
      </c>
      <c r="H9974" s="37" t="str">
        <f t="shared" si="777"/>
        <v>Low</v>
      </c>
      <c r="I9974">
        <v>3</v>
      </c>
      <c r="J9974" t="str" cm="1">
        <f t="array" ref="J9974">_xlfn.IFS(I9974&lt;=3,"small",I9974&lt;=6,"Medium",I9974&lt;=9,"Large")</f>
        <v>small</v>
      </c>
      <c r="K9974" s="36">
        <v>45476</v>
      </c>
      <c r="L9974" s="36">
        <v>45483</v>
      </c>
      <c r="M9974" t="s">
        <v>612</v>
      </c>
      <c r="N9974" t="s">
        <v>608</v>
      </c>
      <c r="O9974" s="37" t="str">
        <f t="shared" si="778"/>
        <v>Cash Payment</v>
      </c>
      <c r="P9974">
        <v>146.86000000000001</v>
      </c>
      <c r="Q9974" s="37" t="str">
        <f>IF(P9974&gt;500,"High","low")</f>
        <v>low</v>
      </c>
      <c r="R9974" s="37" t="str">
        <f t="shared" si="779"/>
        <v>AVERAGE</v>
      </c>
      <c r="S9974" t="s">
        <v>620</v>
      </c>
    </row>
    <row r="9975" spans="1:19" x14ac:dyDescent="0.2">
      <c r="A9975" t="s">
        <v>10586</v>
      </c>
      <c r="B9975" t="s">
        <v>83</v>
      </c>
      <c r="C9975" t="s">
        <v>614</v>
      </c>
      <c r="D9975">
        <v>479.34</v>
      </c>
      <c r="E9975" s="37" t="str">
        <f t="shared" si="775"/>
        <v xml:space="preserve"> </v>
      </c>
      <c r="F9975">
        <v>0.3</v>
      </c>
      <c r="G9975" s="37" t="str">
        <f t="shared" si="776"/>
        <v>Normal Discount</v>
      </c>
      <c r="H9975" s="37" t="str">
        <f t="shared" si="777"/>
        <v>Medium</v>
      </c>
      <c r="I9975">
        <v>5</v>
      </c>
      <c r="J9975" t="str" cm="1">
        <f t="array" ref="J9975">_xlfn.IFS(I9975&lt;=3,"small",I9975&lt;=6,"Medium",I9975&lt;=9,"Large")</f>
        <v>Medium</v>
      </c>
      <c r="K9975" s="36">
        <v>45014</v>
      </c>
      <c r="L9975" s="36">
        <v>45018</v>
      </c>
      <c r="M9975" t="s">
        <v>612</v>
      </c>
      <c r="N9975" t="s">
        <v>599</v>
      </c>
      <c r="O9975" s="37" t="str">
        <f t="shared" si="778"/>
        <v>Digital Payment</v>
      </c>
      <c r="P9975">
        <v>88.97</v>
      </c>
      <c r="Q9975" s="37" t="str">
        <f>IF(P9975&gt;500,"High","low")</f>
        <v>low</v>
      </c>
      <c r="R9975" s="37" t="str">
        <f t="shared" si="779"/>
        <v>AVERAGE</v>
      </c>
      <c r="S9975" t="s">
        <v>628</v>
      </c>
    </row>
    <row r="9976" spans="1:19" x14ac:dyDescent="0.2">
      <c r="A9976" t="s">
        <v>10587</v>
      </c>
      <c r="B9976" t="s">
        <v>90</v>
      </c>
      <c r="C9976" t="s">
        <v>607</v>
      </c>
      <c r="D9976">
        <v>422.74</v>
      </c>
      <c r="E9976" s="37" t="str">
        <f t="shared" si="775"/>
        <v xml:space="preserve"> </v>
      </c>
      <c r="F9976">
        <v>0.13</v>
      </c>
      <c r="G9976" s="37" t="str">
        <f t="shared" si="776"/>
        <v>Normal Discount</v>
      </c>
      <c r="H9976" s="37" t="str">
        <f t="shared" si="777"/>
        <v>Low</v>
      </c>
      <c r="I9976">
        <v>1</v>
      </c>
      <c r="J9976" t="str" cm="1">
        <f t="array" ref="J9976">_xlfn.IFS(I9976&lt;=3,"small",I9976&lt;=6,"Medium",I9976&lt;=9,"Large")</f>
        <v>small</v>
      </c>
      <c r="K9976" s="36">
        <v>45196</v>
      </c>
      <c r="L9976" s="36">
        <v>45198</v>
      </c>
      <c r="M9976" t="s">
        <v>612</v>
      </c>
      <c r="N9976" t="s">
        <v>608</v>
      </c>
      <c r="O9976" s="37" t="str">
        <f t="shared" si="778"/>
        <v>Cash Payment</v>
      </c>
      <c r="P9976">
        <v>40.729999999999997</v>
      </c>
      <c r="Q9976" s="37" t="str">
        <f>IF(P9976&gt;500,"High","low")</f>
        <v>low</v>
      </c>
      <c r="R9976" s="37" t="str">
        <f t="shared" si="779"/>
        <v>AVERAGE</v>
      </c>
      <c r="S9976" t="s">
        <v>600</v>
      </c>
    </row>
    <row r="9977" spans="1:19" x14ac:dyDescent="0.2">
      <c r="A9977" t="s">
        <v>10588</v>
      </c>
      <c r="B9977" t="s">
        <v>90</v>
      </c>
      <c r="C9977" t="s">
        <v>597</v>
      </c>
      <c r="D9977">
        <v>3820.14</v>
      </c>
      <c r="E9977" s="37" t="str">
        <f t="shared" si="775"/>
        <v xml:space="preserve"> </v>
      </c>
      <c r="F9977">
        <v>0.49</v>
      </c>
      <c r="G9977" s="37" t="str">
        <f t="shared" si="776"/>
        <v>Heavy Discount</v>
      </c>
      <c r="H9977" s="37" t="str">
        <f t="shared" si="777"/>
        <v>High</v>
      </c>
      <c r="I9977">
        <v>1</v>
      </c>
      <c r="J9977" t="str" cm="1">
        <f t="array" ref="J9977">_xlfn.IFS(I9977&lt;=3,"small",I9977&lt;=6,"Medium",I9977&lt;=9,"Large")</f>
        <v>small</v>
      </c>
      <c r="K9977" s="36">
        <v>45606</v>
      </c>
      <c r="L9977" s="36">
        <v>45611</v>
      </c>
      <c r="M9977" t="s">
        <v>598</v>
      </c>
      <c r="N9977" t="s">
        <v>604</v>
      </c>
      <c r="O9977" s="37" t="str">
        <f t="shared" si="778"/>
        <v>Digital Payment</v>
      </c>
      <c r="P9977">
        <v>282.3</v>
      </c>
      <c r="Q9977" s="37" t="str">
        <f>IF(P9977&gt;500,"High","low")</f>
        <v>low</v>
      </c>
      <c r="R9977" s="37" t="str">
        <f t="shared" si="779"/>
        <v>AVERAGE</v>
      </c>
      <c r="S9977" t="s">
        <v>615</v>
      </c>
    </row>
    <row r="9978" spans="1:19" x14ac:dyDescent="0.2">
      <c r="A9978" t="s">
        <v>10589</v>
      </c>
      <c r="B9978" t="s">
        <v>67</v>
      </c>
      <c r="C9978" t="s">
        <v>602</v>
      </c>
      <c r="D9978">
        <v>3115.73</v>
      </c>
      <c r="E9978" s="37" t="str">
        <f t="shared" si="775"/>
        <v xml:space="preserve"> </v>
      </c>
      <c r="F9978">
        <v>0.37</v>
      </c>
      <c r="G9978" s="37" t="str">
        <f t="shared" si="776"/>
        <v>Heavy Discount</v>
      </c>
      <c r="H9978" s="37" t="str">
        <f t="shared" si="777"/>
        <v>Medium</v>
      </c>
      <c r="I9978">
        <v>8</v>
      </c>
      <c r="J9978" t="str" cm="1">
        <f t="array" ref="J9978">_xlfn.IFS(I9978&lt;=3,"small",I9978&lt;=6,"Medium",I9978&lt;=9,"Large")</f>
        <v>Large</v>
      </c>
      <c r="K9978" s="36">
        <v>45282</v>
      </c>
      <c r="L9978" s="36">
        <v>45289</v>
      </c>
      <c r="M9978" t="s">
        <v>603</v>
      </c>
      <c r="N9978" t="s">
        <v>608</v>
      </c>
      <c r="O9978" s="37" t="str">
        <f t="shared" si="778"/>
        <v>Cash Payment</v>
      </c>
      <c r="P9978">
        <v>907.45</v>
      </c>
      <c r="Q9978" s="37" t="str">
        <f>IF(P9978&gt;500,"High","low")</f>
        <v>High</v>
      </c>
      <c r="R9978" s="37" t="str">
        <f t="shared" si="779"/>
        <v>Good</v>
      </c>
      <c r="S9978" t="s">
        <v>609</v>
      </c>
    </row>
    <row r="9979" spans="1:19" x14ac:dyDescent="0.2">
      <c r="A9979" t="s">
        <v>10590</v>
      </c>
      <c r="B9979" t="s">
        <v>67</v>
      </c>
      <c r="C9979" t="s">
        <v>614</v>
      </c>
      <c r="D9979">
        <v>3604.1</v>
      </c>
      <c r="E9979" s="37" t="str">
        <f t="shared" si="775"/>
        <v xml:space="preserve"> </v>
      </c>
      <c r="F9979">
        <v>0.3</v>
      </c>
      <c r="G9979" s="37" t="str">
        <f t="shared" si="776"/>
        <v>Normal Discount</v>
      </c>
      <c r="H9979" s="37" t="str">
        <f t="shared" si="777"/>
        <v>Medium</v>
      </c>
      <c r="I9979">
        <v>7</v>
      </c>
      <c r="J9979" t="str" cm="1">
        <f t="array" ref="J9979">_xlfn.IFS(I9979&lt;=3,"small",I9979&lt;=6,"Medium",I9979&lt;=9,"Large")</f>
        <v>Large</v>
      </c>
      <c r="K9979" s="36">
        <v>45643</v>
      </c>
      <c r="L9979" s="36">
        <v>45647</v>
      </c>
      <c r="M9979" t="s">
        <v>598</v>
      </c>
      <c r="N9979" t="s">
        <v>599</v>
      </c>
      <c r="O9979" s="37" t="str">
        <f t="shared" si="778"/>
        <v>Digital Payment</v>
      </c>
      <c r="P9979">
        <v>233.73</v>
      </c>
      <c r="Q9979" s="37" t="str">
        <f>IF(P9979&gt;500,"High","low")</f>
        <v>low</v>
      </c>
      <c r="R9979" s="37" t="str">
        <f t="shared" si="779"/>
        <v>AVERAGE</v>
      </c>
      <c r="S9979" t="s">
        <v>605</v>
      </c>
    </row>
    <row r="9980" spans="1:19" x14ac:dyDescent="0.2">
      <c r="A9980" t="s">
        <v>10591</v>
      </c>
      <c r="B9980" t="s">
        <v>83</v>
      </c>
      <c r="C9980" t="s">
        <v>614</v>
      </c>
      <c r="D9980">
        <v>3457.86</v>
      </c>
      <c r="E9980" s="37" t="str">
        <f t="shared" si="775"/>
        <v xml:space="preserve"> </v>
      </c>
      <c r="F9980">
        <v>0.09</v>
      </c>
      <c r="G9980" s="37" t="str">
        <f t="shared" si="776"/>
        <v>Normal Discount</v>
      </c>
      <c r="H9980" s="37" t="str">
        <f t="shared" si="777"/>
        <v>Low</v>
      </c>
      <c r="I9980">
        <v>1</v>
      </c>
      <c r="J9980" t="str" cm="1">
        <f t="array" ref="J9980">_xlfn.IFS(I9980&lt;=3,"small",I9980&lt;=6,"Medium",I9980&lt;=9,"Large")</f>
        <v>small</v>
      </c>
      <c r="K9980" s="36">
        <v>45539</v>
      </c>
      <c r="L9980" s="36">
        <v>45545</v>
      </c>
      <c r="M9980" t="s">
        <v>603</v>
      </c>
      <c r="N9980" t="s">
        <v>604</v>
      </c>
      <c r="O9980" s="37" t="str">
        <f t="shared" si="778"/>
        <v>Digital Payment</v>
      </c>
      <c r="P9980">
        <v>935.6</v>
      </c>
      <c r="Q9980" s="37" t="str">
        <f>IF(P9980&gt;500,"High","low")</f>
        <v>High</v>
      </c>
      <c r="R9980" s="37" t="str">
        <f t="shared" si="779"/>
        <v>Good</v>
      </c>
      <c r="S9980" t="s">
        <v>605</v>
      </c>
    </row>
    <row r="9981" spans="1:19" x14ac:dyDescent="0.2">
      <c r="A9981" t="s">
        <v>10592</v>
      </c>
      <c r="B9981" t="s">
        <v>67</v>
      </c>
      <c r="C9981" t="s">
        <v>607</v>
      </c>
      <c r="D9981">
        <v>758.13</v>
      </c>
      <c r="E9981" s="37" t="str">
        <f t="shared" si="775"/>
        <v xml:space="preserve"> </v>
      </c>
      <c r="F9981">
        <v>0.28999999999999998</v>
      </c>
      <c r="G9981" s="37" t="str">
        <f t="shared" si="776"/>
        <v>Normal Discount</v>
      </c>
      <c r="H9981" s="37" t="str">
        <f t="shared" si="777"/>
        <v>Medium</v>
      </c>
      <c r="I9981">
        <v>6</v>
      </c>
      <c r="J9981" t="str" cm="1">
        <f t="array" ref="J9981">_xlfn.IFS(I9981&lt;=3,"small",I9981&lt;=6,"Medium",I9981&lt;=9,"Large")</f>
        <v>Medium</v>
      </c>
      <c r="K9981" s="36">
        <v>45042</v>
      </c>
      <c r="L9981" s="36">
        <v>45048</v>
      </c>
      <c r="M9981" t="s">
        <v>603</v>
      </c>
      <c r="N9981" t="s">
        <v>604</v>
      </c>
      <c r="O9981" s="37" t="str">
        <f t="shared" si="778"/>
        <v>Digital Payment</v>
      </c>
      <c r="P9981">
        <v>219.45</v>
      </c>
      <c r="Q9981" s="37" t="str">
        <f>IF(P9981&gt;500,"High","low")</f>
        <v>low</v>
      </c>
      <c r="R9981" s="37" t="str">
        <f t="shared" si="779"/>
        <v>AVERAGE</v>
      </c>
      <c r="S9981" t="s">
        <v>628</v>
      </c>
    </row>
    <row r="9982" spans="1:19" x14ac:dyDescent="0.2">
      <c r="A9982" t="s">
        <v>10593</v>
      </c>
      <c r="B9982" t="s">
        <v>67</v>
      </c>
      <c r="C9982" t="s">
        <v>597</v>
      </c>
      <c r="D9982">
        <v>842.67</v>
      </c>
      <c r="E9982" s="37" t="str">
        <f t="shared" si="775"/>
        <v xml:space="preserve"> </v>
      </c>
      <c r="F9982">
        <v>0.4</v>
      </c>
      <c r="G9982" s="37" t="str">
        <f t="shared" si="776"/>
        <v>Heavy Discount</v>
      </c>
      <c r="H9982" s="37" t="str">
        <f t="shared" si="777"/>
        <v>Medium</v>
      </c>
      <c r="I9982">
        <v>2</v>
      </c>
      <c r="J9982" t="str" cm="1">
        <f t="array" ref="J9982">_xlfn.IFS(I9982&lt;=3,"small",I9982&lt;=6,"Medium",I9982&lt;=9,"Large")</f>
        <v>small</v>
      </c>
      <c r="K9982" s="36">
        <v>44976</v>
      </c>
      <c r="L9982" s="36">
        <v>44982</v>
      </c>
      <c r="M9982" t="s">
        <v>598</v>
      </c>
      <c r="N9982" t="s">
        <v>599</v>
      </c>
      <c r="O9982" s="37" t="str">
        <f t="shared" si="778"/>
        <v>Digital Payment</v>
      </c>
      <c r="P9982">
        <v>188.3</v>
      </c>
      <c r="Q9982" s="37" t="str">
        <f>IF(P9982&gt;500,"High","low")</f>
        <v>low</v>
      </c>
      <c r="R9982" s="37" t="str">
        <f t="shared" si="779"/>
        <v>AVERAGE</v>
      </c>
      <c r="S9982" t="s">
        <v>605</v>
      </c>
    </row>
    <row r="9983" spans="1:19" x14ac:dyDescent="0.2">
      <c r="A9983" t="s">
        <v>10594</v>
      </c>
      <c r="B9983" t="s">
        <v>83</v>
      </c>
      <c r="C9983" t="s">
        <v>614</v>
      </c>
      <c r="D9983">
        <v>1337.17</v>
      </c>
      <c r="E9983" s="37" t="str">
        <f t="shared" si="775"/>
        <v xml:space="preserve"> </v>
      </c>
      <c r="F9983">
        <v>0.37</v>
      </c>
      <c r="G9983" s="37" t="str">
        <f t="shared" si="776"/>
        <v>Heavy Discount</v>
      </c>
      <c r="H9983" s="37" t="str">
        <f t="shared" si="777"/>
        <v>Medium</v>
      </c>
      <c r="I9983">
        <v>1</v>
      </c>
      <c r="J9983" t="str" cm="1">
        <f t="array" ref="J9983">_xlfn.IFS(I9983&lt;=3,"small",I9983&lt;=6,"Medium",I9983&lt;=9,"Large")</f>
        <v>small</v>
      </c>
      <c r="K9983" s="36">
        <v>45385</v>
      </c>
      <c r="L9983" s="36">
        <v>45392</v>
      </c>
      <c r="M9983" t="s">
        <v>603</v>
      </c>
      <c r="N9983" t="s">
        <v>599</v>
      </c>
      <c r="O9983" s="37" t="str">
        <f t="shared" si="778"/>
        <v>Digital Payment</v>
      </c>
      <c r="P9983">
        <v>389.64</v>
      </c>
      <c r="Q9983" s="37" t="str">
        <f>IF(P9983&gt;500,"High","low")</f>
        <v>low</v>
      </c>
      <c r="R9983" s="37" t="str">
        <f t="shared" si="779"/>
        <v>AVERAGE</v>
      </c>
      <c r="S9983" t="s">
        <v>628</v>
      </c>
    </row>
    <row r="9984" spans="1:19" x14ac:dyDescent="0.2">
      <c r="A9984" t="s">
        <v>10595</v>
      </c>
      <c r="B9984" t="s">
        <v>67</v>
      </c>
      <c r="C9984" t="s">
        <v>597</v>
      </c>
      <c r="D9984">
        <v>2055.59</v>
      </c>
      <c r="E9984" s="37" t="str">
        <f t="shared" si="775"/>
        <v xml:space="preserve"> </v>
      </c>
      <c r="F9984">
        <v>0.39</v>
      </c>
      <c r="G9984" s="37" t="str">
        <f t="shared" si="776"/>
        <v>Heavy Discount</v>
      </c>
      <c r="H9984" s="37" t="str">
        <f t="shared" si="777"/>
        <v>Medium</v>
      </c>
      <c r="I9984">
        <v>5</v>
      </c>
      <c r="J9984" t="str" cm="1">
        <f t="array" ref="J9984">_xlfn.IFS(I9984&lt;=3,"small",I9984&lt;=6,"Medium",I9984&lt;=9,"Large")</f>
        <v>Medium</v>
      </c>
      <c r="K9984" s="36">
        <v>44958</v>
      </c>
      <c r="L9984" s="36">
        <v>44965</v>
      </c>
      <c r="M9984" t="s">
        <v>598</v>
      </c>
      <c r="N9984" t="s">
        <v>608</v>
      </c>
      <c r="O9984" s="37" t="str">
        <f t="shared" si="778"/>
        <v>Cash Payment</v>
      </c>
      <c r="P9984">
        <v>492.33</v>
      </c>
      <c r="Q9984" s="37" t="str">
        <f>IF(P9984&gt;500,"High","low")</f>
        <v>low</v>
      </c>
      <c r="R9984" s="37" t="str">
        <f t="shared" si="779"/>
        <v>AVERAGE</v>
      </c>
      <c r="S9984" t="s">
        <v>600</v>
      </c>
    </row>
    <row r="9985" spans="1:19" x14ac:dyDescent="0.2">
      <c r="A9985" t="s">
        <v>10596</v>
      </c>
      <c r="B9985" t="s">
        <v>90</v>
      </c>
      <c r="C9985" t="s">
        <v>597</v>
      </c>
      <c r="D9985">
        <v>4701.96</v>
      </c>
      <c r="E9985" s="37" t="str">
        <f t="shared" si="775"/>
        <v xml:space="preserve"> </v>
      </c>
      <c r="F9985">
        <v>0.16</v>
      </c>
      <c r="G9985" s="37" t="str">
        <f t="shared" si="776"/>
        <v>Normal Discount</v>
      </c>
      <c r="H9985" s="37" t="str">
        <f t="shared" si="777"/>
        <v>Low</v>
      </c>
      <c r="I9985">
        <v>5</v>
      </c>
      <c r="J9985" t="str" cm="1">
        <f t="array" ref="J9985">_xlfn.IFS(I9985&lt;=3,"small",I9985&lt;=6,"Medium",I9985&lt;=9,"Large")</f>
        <v>Medium</v>
      </c>
      <c r="K9985" s="36">
        <v>45135</v>
      </c>
      <c r="L9985" s="36">
        <v>45137</v>
      </c>
      <c r="M9985" t="s">
        <v>598</v>
      </c>
      <c r="N9985" t="s">
        <v>599</v>
      </c>
      <c r="O9985" s="37" t="str">
        <f t="shared" si="778"/>
        <v>Digital Payment</v>
      </c>
      <c r="P9985">
        <v>446.46</v>
      </c>
      <c r="Q9985" s="37" t="str">
        <f>IF(P9985&gt;500,"High","low")</f>
        <v>low</v>
      </c>
      <c r="R9985" s="37" t="str">
        <f t="shared" si="779"/>
        <v>AVERAGE</v>
      </c>
      <c r="S9985" t="s">
        <v>620</v>
      </c>
    </row>
    <row r="9986" spans="1:19" x14ac:dyDescent="0.2">
      <c r="A9986" t="s">
        <v>10597</v>
      </c>
      <c r="B9986" t="s">
        <v>83</v>
      </c>
      <c r="C9986" t="s">
        <v>614</v>
      </c>
      <c r="D9986">
        <v>3402.07</v>
      </c>
      <c r="E9986" s="37" t="str">
        <f t="shared" si="775"/>
        <v xml:space="preserve"> </v>
      </c>
      <c r="F9986">
        <v>0.16</v>
      </c>
      <c r="G9986" s="37" t="str">
        <f t="shared" si="776"/>
        <v>Normal Discount</v>
      </c>
      <c r="H9986" s="37" t="str">
        <f t="shared" si="777"/>
        <v>Low</v>
      </c>
      <c r="I9986">
        <v>2</v>
      </c>
      <c r="J9986" t="str" cm="1">
        <f t="array" ref="J9986">_xlfn.IFS(I9986&lt;=3,"small",I9986&lt;=6,"Medium",I9986&lt;=9,"Large")</f>
        <v>small</v>
      </c>
      <c r="K9986" s="36">
        <v>45120</v>
      </c>
      <c r="L9986" s="36">
        <v>45124</v>
      </c>
      <c r="M9986" t="s">
        <v>612</v>
      </c>
      <c r="N9986" t="s">
        <v>599</v>
      </c>
      <c r="O9986" s="37" t="str">
        <f t="shared" si="778"/>
        <v>Digital Payment</v>
      </c>
      <c r="P9986">
        <v>644.62</v>
      </c>
      <c r="Q9986" s="37" t="str">
        <f>IF(P9986&gt;500,"High","low")</f>
        <v>High</v>
      </c>
      <c r="R9986" s="37" t="str">
        <f t="shared" si="779"/>
        <v>Good</v>
      </c>
      <c r="S9986" t="s">
        <v>615</v>
      </c>
    </row>
    <row r="9987" spans="1:19" x14ac:dyDescent="0.2">
      <c r="A9987" t="s">
        <v>10598</v>
      </c>
      <c r="B9987" t="s">
        <v>67</v>
      </c>
      <c r="C9987" t="s">
        <v>597</v>
      </c>
      <c r="D9987">
        <v>1350.34</v>
      </c>
      <c r="E9987" s="37" t="str">
        <f t="shared" ref="E9987:E10050" si="780">IF(AND(D9987&gt;4000,P9987&gt;800),"Excellent Order"," ")</f>
        <v xml:space="preserve"> </v>
      </c>
      <c r="F9987">
        <v>0.27</v>
      </c>
      <c r="G9987" s="37" t="str">
        <f t="shared" ref="G9987:G10050" si="781">IF(F9987&gt;30%,"Heavy Discount","Normal Discount")</f>
        <v>Normal Discount</v>
      </c>
      <c r="H9987" s="37" t="str">
        <f t="shared" ref="H9987:H10050" si="782">IF(F9987&gt;0.4,"High",IF(F9987&gt;=0.2,"Medium","Low"))</f>
        <v>Medium</v>
      </c>
      <c r="I9987">
        <v>5</v>
      </c>
      <c r="J9987" t="str" cm="1">
        <f t="array" ref="J9987">_xlfn.IFS(I9987&lt;=3,"small",I9987&lt;=6,"Medium",I9987&lt;=9,"Large")</f>
        <v>Medium</v>
      </c>
      <c r="K9987" s="36">
        <v>45013</v>
      </c>
      <c r="L9987" s="36">
        <v>45018</v>
      </c>
      <c r="M9987" t="s">
        <v>603</v>
      </c>
      <c r="N9987" t="s">
        <v>604</v>
      </c>
      <c r="O9987" s="37" t="str">
        <f t="shared" ref="O9987:O10050" si="783">IF(OR(N9987="Card",N9987="UPI"),"Digital Payment","Cash Payment")</f>
        <v>Digital Payment</v>
      </c>
      <c r="P9987">
        <v>310.08</v>
      </c>
      <c r="Q9987" s="37" t="str">
        <f>IF(P9987&gt;500,"High","low")</f>
        <v>low</v>
      </c>
      <c r="R9987" s="37" t="str">
        <f t="shared" ref="R9987:R10050" si="784">IF(P9987&gt;1000,"Excellent",IF(P9987&gt;=500,"Good","AVERAGE"))</f>
        <v>AVERAGE</v>
      </c>
      <c r="S9987" t="s">
        <v>600</v>
      </c>
    </row>
    <row r="9988" spans="1:19" x14ac:dyDescent="0.2">
      <c r="A9988" t="s">
        <v>10599</v>
      </c>
      <c r="B9988" t="s">
        <v>75</v>
      </c>
      <c r="C9988" t="s">
        <v>607</v>
      </c>
      <c r="D9988">
        <v>374.32</v>
      </c>
      <c r="E9988" s="37" t="str">
        <f t="shared" si="780"/>
        <v xml:space="preserve"> </v>
      </c>
      <c r="F9988">
        <v>0.14000000000000001</v>
      </c>
      <c r="G9988" s="37" t="str">
        <f t="shared" si="781"/>
        <v>Normal Discount</v>
      </c>
      <c r="H9988" s="37" t="str">
        <f t="shared" si="782"/>
        <v>Low</v>
      </c>
      <c r="I9988">
        <v>7</v>
      </c>
      <c r="J9988" t="str" cm="1">
        <f t="array" ref="J9988">_xlfn.IFS(I9988&lt;=3,"small",I9988&lt;=6,"Medium",I9988&lt;=9,"Large")</f>
        <v>Large</v>
      </c>
      <c r="K9988" s="36">
        <v>45187</v>
      </c>
      <c r="L9988" s="36">
        <v>45189</v>
      </c>
      <c r="M9988" t="s">
        <v>612</v>
      </c>
      <c r="N9988" t="s">
        <v>608</v>
      </c>
      <c r="O9988" s="37" t="str">
        <f t="shared" si="783"/>
        <v>Cash Payment</v>
      </c>
      <c r="P9988">
        <v>74.22</v>
      </c>
      <c r="Q9988" s="37" t="str">
        <f>IF(P9988&gt;500,"High","low")</f>
        <v>low</v>
      </c>
      <c r="R9988" s="37" t="str">
        <f t="shared" si="784"/>
        <v>AVERAGE</v>
      </c>
      <c r="S9988" t="s">
        <v>615</v>
      </c>
    </row>
    <row r="9989" spans="1:19" x14ac:dyDescent="0.2">
      <c r="A9989" t="s">
        <v>10600</v>
      </c>
      <c r="B9989" t="s">
        <v>83</v>
      </c>
      <c r="C9989" t="s">
        <v>614</v>
      </c>
      <c r="D9989">
        <v>3452.7</v>
      </c>
      <c r="E9989" s="37" t="str">
        <f t="shared" si="780"/>
        <v xml:space="preserve"> </v>
      </c>
      <c r="F9989">
        <v>0.06</v>
      </c>
      <c r="G9989" s="37" t="str">
        <f t="shared" si="781"/>
        <v>Normal Discount</v>
      </c>
      <c r="H9989" s="37" t="str">
        <f t="shared" si="782"/>
        <v>Low</v>
      </c>
      <c r="I9989">
        <v>4</v>
      </c>
      <c r="J9989" t="str" cm="1">
        <f t="array" ref="J9989">_xlfn.IFS(I9989&lt;=3,"small",I9989&lt;=6,"Medium",I9989&lt;=9,"Large")</f>
        <v>Medium</v>
      </c>
      <c r="K9989" s="36">
        <v>45560</v>
      </c>
      <c r="L9989" s="36">
        <v>45564</v>
      </c>
      <c r="M9989" t="s">
        <v>598</v>
      </c>
      <c r="N9989" t="s">
        <v>608</v>
      </c>
      <c r="O9989" s="37" t="str">
        <f t="shared" si="783"/>
        <v>Cash Payment</v>
      </c>
      <c r="P9989">
        <v>536.03</v>
      </c>
      <c r="Q9989" s="37" t="str">
        <f>IF(P9989&gt;500,"High","low")</f>
        <v>High</v>
      </c>
      <c r="R9989" s="37" t="str">
        <f t="shared" si="784"/>
        <v>Good</v>
      </c>
      <c r="S9989" t="s">
        <v>628</v>
      </c>
    </row>
    <row r="9990" spans="1:19" x14ac:dyDescent="0.2">
      <c r="A9990" t="s">
        <v>10601</v>
      </c>
      <c r="B9990" t="s">
        <v>83</v>
      </c>
      <c r="C9990" t="s">
        <v>607</v>
      </c>
      <c r="D9990">
        <v>3164.06</v>
      </c>
      <c r="E9990" s="37" t="str">
        <f t="shared" si="780"/>
        <v xml:space="preserve"> </v>
      </c>
      <c r="F9990">
        <v>0.23</v>
      </c>
      <c r="G9990" s="37" t="str">
        <f t="shared" si="781"/>
        <v>Normal Discount</v>
      </c>
      <c r="H9990" s="37" t="str">
        <f t="shared" si="782"/>
        <v>Medium</v>
      </c>
      <c r="I9990">
        <v>2</v>
      </c>
      <c r="J9990" t="str" cm="1">
        <f t="array" ref="J9990">_xlfn.IFS(I9990&lt;=3,"small",I9990&lt;=6,"Medium",I9990&lt;=9,"Large")</f>
        <v>small</v>
      </c>
      <c r="K9990" s="36">
        <v>45604</v>
      </c>
      <c r="L9990" s="36">
        <v>45607</v>
      </c>
      <c r="M9990" t="s">
        <v>598</v>
      </c>
      <c r="N9990" t="s">
        <v>604</v>
      </c>
      <c r="O9990" s="37" t="str">
        <f t="shared" si="783"/>
        <v>Digital Payment</v>
      </c>
      <c r="P9990">
        <v>419.44</v>
      </c>
      <c r="Q9990" s="37" t="str">
        <f>IF(P9990&gt;500,"High","low")</f>
        <v>low</v>
      </c>
      <c r="R9990" s="37" t="str">
        <f t="shared" si="784"/>
        <v>AVERAGE</v>
      </c>
      <c r="S9990" t="s">
        <v>609</v>
      </c>
    </row>
    <row r="9991" spans="1:19" x14ac:dyDescent="0.2">
      <c r="A9991" t="s">
        <v>10602</v>
      </c>
      <c r="B9991" t="s">
        <v>75</v>
      </c>
      <c r="C9991" t="s">
        <v>607</v>
      </c>
      <c r="D9991">
        <v>3411.24</v>
      </c>
      <c r="E9991" s="37" t="str">
        <f t="shared" si="780"/>
        <v xml:space="preserve"> </v>
      </c>
      <c r="F9991">
        <v>0</v>
      </c>
      <c r="G9991" s="37" t="str">
        <f t="shared" si="781"/>
        <v>Normal Discount</v>
      </c>
      <c r="H9991" s="37" t="str">
        <f t="shared" si="782"/>
        <v>Low</v>
      </c>
      <c r="I9991">
        <v>5</v>
      </c>
      <c r="J9991" t="str" cm="1">
        <f t="array" ref="J9991">_xlfn.IFS(I9991&lt;=3,"small",I9991&lt;=6,"Medium",I9991&lt;=9,"Large")</f>
        <v>Medium</v>
      </c>
      <c r="K9991" s="36">
        <v>45401</v>
      </c>
      <c r="L9991" s="36">
        <v>45406</v>
      </c>
      <c r="M9991" t="s">
        <v>603</v>
      </c>
      <c r="N9991" t="s">
        <v>604</v>
      </c>
      <c r="O9991" s="37" t="str">
        <f t="shared" si="783"/>
        <v>Digital Payment</v>
      </c>
      <c r="P9991">
        <v>946.8</v>
      </c>
      <c r="Q9991" s="37" t="str">
        <f>IF(P9991&gt;500,"High","low")</f>
        <v>High</v>
      </c>
      <c r="R9991" s="37" t="str">
        <f t="shared" si="784"/>
        <v>Good</v>
      </c>
      <c r="S9991" t="s">
        <v>615</v>
      </c>
    </row>
    <row r="9992" spans="1:19" x14ac:dyDescent="0.2">
      <c r="A9992" t="s">
        <v>10603</v>
      </c>
      <c r="B9992" t="s">
        <v>67</v>
      </c>
      <c r="C9992" t="s">
        <v>597</v>
      </c>
      <c r="D9992">
        <v>1379.78</v>
      </c>
      <c r="E9992" s="37" t="str">
        <f t="shared" si="780"/>
        <v xml:space="preserve"> </v>
      </c>
      <c r="F9992">
        <v>0.38</v>
      </c>
      <c r="G9992" s="37" t="str">
        <f t="shared" si="781"/>
        <v>Heavy Discount</v>
      </c>
      <c r="H9992" s="37" t="str">
        <f t="shared" si="782"/>
        <v>Medium</v>
      </c>
      <c r="I9992">
        <v>6</v>
      </c>
      <c r="J9992" t="str" cm="1">
        <f t="array" ref="J9992">_xlfn.IFS(I9992&lt;=3,"small",I9992&lt;=6,"Medium",I9992&lt;=9,"Large")</f>
        <v>Medium</v>
      </c>
      <c r="K9992" s="36">
        <v>45116</v>
      </c>
      <c r="L9992" s="36">
        <v>45118</v>
      </c>
      <c r="M9992" t="s">
        <v>612</v>
      </c>
      <c r="N9992" t="s">
        <v>604</v>
      </c>
      <c r="O9992" s="37" t="str">
        <f t="shared" si="783"/>
        <v>Digital Payment</v>
      </c>
      <c r="P9992">
        <v>361.37</v>
      </c>
      <c r="Q9992" s="37" t="str">
        <f>IF(P9992&gt;500,"High","low")</f>
        <v>low</v>
      </c>
      <c r="R9992" s="37" t="str">
        <f t="shared" si="784"/>
        <v>AVERAGE</v>
      </c>
      <c r="S9992" t="s">
        <v>609</v>
      </c>
    </row>
    <row r="9993" spans="1:19" x14ac:dyDescent="0.2">
      <c r="A9993" t="s">
        <v>10604</v>
      </c>
      <c r="B9993" t="s">
        <v>67</v>
      </c>
      <c r="C9993" t="s">
        <v>597</v>
      </c>
      <c r="D9993">
        <v>2633.12</v>
      </c>
      <c r="E9993" s="37" t="str">
        <f t="shared" si="780"/>
        <v xml:space="preserve"> </v>
      </c>
      <c r="F9993">
        <v>0.37</v>
      </c>
      <c r="G9993" s="37" t="str">
        <f t="shared" si="781"/>
        <v>Heavy Discount</v>
      </c>
      <c r="H9993" s="37" t="str">
        <f t="shared" si="782"/>
        <v>Medium</v>
      </c>
      <c r="I9993">
        <v>8</v>
      </c>
      <c r="J9993" t="str" cm="1">
        <f t="array" ref="J9993">_xlfn.IFS(I9993&lt;=3,"small",I9993&lt;=6,"Medium",I9993&lt;=9,"Large")</f>
        <v>Large</v>
      </c>
      <c r="K9993" s="36">
        <v>45184</v>
      </c>
      <c r="L9993" s="36">
        <v>45187</v>
      </c>
      <c r="M9993" t="s">
        <v>612</v>
      </c>
      <c r="N9993" t="s">
        <v>608</v>
      </c>
      <c r="O9993" s="37" t="str">
        <f t="shared" si="783"/>
        <v>Cash Payment</v>
      </c>
      <c r="P9993">
        <v>694.71</v>
      </c>
      <c r="Q9993" s="37" t="str">
        <f>IF(P9993&gt;500,"High","low")</f>
        <v>High</v>
      </c>
      <c r="R9993" s="37" t="str">
        <f t="shared" si="784"/>
        <v>Good</v>
      </c>
      <c r="S9993" t="s">
        <v>600</v>
      </c>
    </row>
    <row r="9994" spans="1:19" x14ac:dyDescent="0.2">
      <c r="A9994" t="s">
        <v>10605</v>
      </c>
      <c r="B9994" t="s">
        <v>83</v>
      </c>
      <c r="C9994" t="s">
        <v>614</v>
      </c>
      <c r="D9994">
        <v>1872.34</v>
      </c>
      <c r="E9994" s="37" t="str">
        <f t="shared" si="780"/>
        <v xml:space="preserve"> </v>
      </c>
      <c r="F9994">
        <v>0.28000000000000003</v>
      </c>
      <c r="G9994" s="37" t="str">
        <f t="shared" si="781"/>
        <v>Normal Discount</v>
      </c>
      <c r="H9994" s="37" t="str">
        <f t="shared" si="782"/>
        <v>Medium</v>
      </c>
      <c r="I9994">
        <v>9</v>
      </c>
      <c r="J9994" t="str" cm="1">
        <f t="array" ref="J9994">_xlfn.IFS(I9994&lt;=3,"small",I9994&lt;=6,"Medium",I9994&lt;=9,"Large")</f>
        <v>Large</v>
      </c>
      <c r="K9994" s="36">
        <v>45431</v>
      </c>
      <c r="L9994" s="36">
        <v>45434</v>
      </c>
      <c r="M9994" t="s">
        <v>603</v>
      </c>
      <c r="N9994" t="s">
        <v>599</v>
      </c>
      <c r="O9994" s="37" t="str">
        <f t="shared" si="783"/>
        <v>Digital Payment</v>
      </c>
      <c r="P9994">
        <v>272.98</v>
      </c>
      <c r="Q9994" s="37" t="str">
        <f>IF(P9994&gt;500,"High","low")</f>
        <v>low</v>
      </c>
      <c r="R9994" s="37" t="str">
        <f t="shared" si="784"/>
        <v>AVERAGE</v>
      </c>
      <c r="S9994" t="s">
        <v>615</v>
      </c>
    </row>
    <row r="9995" spans="1:19" x14ac:dyDescent="0.2">
      <c r="A9995" t="s">
        <v>10606</v>
      </c>
      <c r="B9995" t="s">
        <v>83</v>
      </c>
      <c r="C9995" t="s">
        <v>602</v>
      </c>
      <c r="D9995">
        <v>4106.72</v>
      </c>
      <c r="E9995" s="37" t="str">
        <f t="shared" si="780"/>
        <v xml:space="preserve"> </v>
      </c>
      <c r="F9995">
        <v>0.37</v>
      </c>
      <c r="G9995" s="37" t="str">
        <f t="shared" si="781"/>
        <v>Heavy Discount</v>
      </c>
      <c r="H9995" s="37" t="str">
        <f t="shared" si="782"/>
        <v>Medium</v>
      </c>
      <c r="I9995">
        <v>8</v>
      </c>
      <c r="J9995" t="str" cm="1">
        <f t="array" ref="J9995">_xlfn.IFS(I9995&lt;=3,"small",I9995&lt;=6,"Medium",I9995&lt;=9,"Large")</f>
        <v>Large</v>
      </c>
      <c r="K9995" s="36">
        <v>45430</v>
      </c>
      <c r="L9995" s="36">
        <v>45432</v>
      </c>
      <c r="M9995" t="s">
        <v>598</v>
      </c>
      <c r="N9995" t="s">
        <v>608</v>
      </c>
      <c r="O9995" s="37" t="str">
        <f t="shared" si="783"/>
        <v>Cash Payment</v>
      </c>
      <c r="P9995">
        <v>647.79</v>
      </c>
      <c r="Q9995" s="37" t="str">
        <f>IF(P9995&gt;500,"High","low")</f>
        <v>High</v>
      </c>
      <c r="R9995" s="37" t="str">
        <f t="shared" si="784"/>
        <v>Good</v>
      </c>
      <c r="S9995" t="s">
        <v>600</v>
      </c>
    </row>
    <row r="9996" spans="1:19" x14ac:dyDescent="0.2">
      <c r="A9996" t="s">
        <v>10607</v>
      </c>
      <c r="B9996" t="s">
        <v>67</v>
      </c>
      <c r="C9996" t="s">
        <v>614</v>
      </c>
      <c r="D9996">
        <v>440.04</v>
      </c>
      <c r="E9996" s="37" t="str">
        <f t="shared" si="780"/>
        <v xml:space="preserve"> </v>
      </c>
      <c r="F9996">
        <v>0.31</v>
      </c>
      <c r="G9996" s="37" t="str">
        <f t="shared" si="781"/>
        <v>Heavy Discount</v>
      </c>
      <c r="H9996" s="37" t="str">
        <f t="shared" si="782"/>
        <v>Medium</v>
      </c>
      <c r="I9996">
        <v>7</v>
      </c>
      <c r="J9996" t="str" cm="1">
        <f t="array" ref="J9996">_xlfn.IFS(I9996&lt;=3,"small",I9996&lt;=6,"Medium",I9996&lt;=9,"Large")</f>
        <v>Large</v>
      </c>
      <c r="K9996" s="36">
        <v>45509</v>
      </c>
      <c r="L9996" s="36">
        <v>45510</v>
      </c>
      <c r="M9996" t="s">
        <v>598</v>
      </c>
      <c r="N9996" t="s">
        <v>608</v>
      </c>
      <c r="O9996" s="37" t="str">
        <f t="shared" si="783"/>
        <v>Cash Payment</v>
      </c>
      <c r="P9996">
        <v>129.29</v>
      </c>
      <c r="Q9996" s="37" t="str">
        <f>IF(P9996&gt;500,"High","low")</f>
        <v>low</v>
      </c>
      <c r="R9996" s="37" t="str">
        <f t="shared" si="784"/>
        <v>AVERAGE</v>
      </c>
      <c r="S9996" t="s">
        <v>628</v>
      </c>
    </row>
    <row r="9997" spans="1:19" x14ac:dyDescent="0.2">
      <c r="A9997" t="s">
        <v>10608</v>
      </c>
      <c r="B9997" t="s">
        <v>67</v>
      </c>
      <c r="C9997" t="s">
        <v>607</v>
      </c>
      <c r="D9997">
        <v>1449.66</v>
      </c>
      <c r="E9997" s="37" t="str">
        <f t="shared" si="780"/>
        <v xml:space="preserve"> </v>
      </c>
      <c r="F9997">
        <v>0.35</v>
      </c>
      <c r="G9997" s="37" t="str">
        <f t="shared" si="781"/>
        <v>Heavy Discount</v>
      </c>
      <c r="H9997" s="37" t="str">
        <f t="shared" si="782"/>
        <v>Medium</v>
      </c>
      <c r="I9997">
        <v>9</v>
      </c>
      <c r="J9997" t="str" cm="1">
        <f t="array" ref="J9997">_xlfn.IFS(I9997&lt;=3,"small",I9997&lt;=6,"Medium",I9997&lt;=9,"Large")</f>
        <v>Large</v>
      </c>
      <c r="K9997" s="36">
        <v>45158</v>
      </c>
      <c r="L9997" s="36">
        <v>45159</v>
      </c>
      <c r="M9997" t="s">
        <v>603</v>
      </c>
      <c r="N9997" t="s">
        <v>608</v>
      </c>
      <c r="O9997" s="37" t="str">
        <f t="shared" si="783"/>
        <v>Cash Payment</v>
      </c>
      <c r="P9997">
        <v>387.81</v>
      </c>
      <c r="Q9997" s="37" t="str">
        <f>IF(P9997&gt;500,"High","low")</f>
        <v>low</v>
      </c>
      <c r="R9997" s="37" t="str">
        <f t="shared" si="784"/>
        <v>AVERAGE</v>
      </c>
      <c r="S9997" t="s">
        <v>628</v>
      </c>
    </row>
    <row r="9998" spans="1:19" x14ac:dyDescent="0.2">
      <c r="A9998" t="s">
        <v>10609</v>
      </c>
      <c r="B9998" t="s">
        <v>90</v>
      </c>
      <c r="C9998" t="s">
        <v>597</v>
      </c>
      <c r="D9998">
        <v>3054.47</v>
      </c>
      <c r="E9998" s="37" t="str">
        <f t="shared" si="780"/>
        <v xml:space="preserve"> </v>
      </c>
      <c r="F9998">
        <v>0.03</v>
      </c>
      <c r="G9998" s="37" t="str">
        <f t="shared" si="781"/>
        <v>Normal Discount</v>
      </c>
      <c r="H9998" s="37" t="str">
        <f t="shared" si="782"/>
        <v>Low</v>
      </c>
      <c r="I9998">
        <v>9</v>
      </c>
      <c r="J9998" t="str" cm="1">
        <f t="array" ref="J9998">_xlfn.IFS(I9998&lt;=3,"small",I9998&lt;=6,"Medium",I9998&lt;=9,"Large")</f>
        <v>Large</v>
      </c>
      <c r="K9998" s="36">
        <v>45360</v>
      </c>
      <c r="L9998" s="36">
        <v>45364</v>
      </c>
      <c r="M9998" t="s">
        <v>603</v>
      </c>
      <c r="N9998" t="s">
        <v>599</v>
      </c>
      <c r="O9998" s="37" t="str">
        <f t="shared" si="783"/>
        <v>Digital Payment</v>
      </c>
      <c r="P9998">
        <v>661.78</v>
      </c>
      <c r="Q9998" s="37" t="str">
        <f>IF(P9998&gt;500,"High","low")</f>
        <v>High</v>
      </c>
      <c r="R9998" s="37" t="str">
        <f t="shared" si="784"/>
        <v>Good</v>
      </c>
      <c r="S9998" t="s">
        <v>605</v>
      </c>
    </row>
    <row r="9999" spans="1:19" x14ac:dyDescent="0.2">
      <c r="A9999" t="s">
        <v>10610</v>
      </c>
      <c r="B9999" t="s">
        <v>83</v>
      </c>
      <c r="C9999" t="s">
        <v>607</v>
      </c>
      <c r="D9999">
        <v>1105.5999999999999</v>
      </c>
      <c r="E9999" s="37" t="str">
        <f t="shared" si="780"/>
        <v xml:space="preserve"> </v>
      </c>
      <c r="F9999">
        <v>0.44</v>
      </c>
      <c r="G9999" s="37" t="str">
        <f t="shared" si="781"/>
        <v>Heavy Discount</v>
      </c>
      <c r="H9999" s="37" t="str">
        <f t="shared" si="782"/>
        <v>High</v>
      </c>
      <c r="I9999">
        <v>6</v>
      </c>
      <c r="J9999" t="str" cm="1">
        <f t="array" ref="J9999">_xlfn.IFS(I9999&lt;=3,"small",I9999&lt;=6,"Medium",I9999&lt;=9,"Large")</f>
        <v>Medium</v>
      </c>
      <c r="K9999" s="36">
        <v>45332</v>
      </c>
      <c r="L9999" s="36">
        <v>45334</v>
      </c>
      <c r="M9999" t="s">
        <v>603</v>
      </c>
      <c r="N9999" t="s">
        <v>604</v>
      </c>
      <c r="O9999" s="37" t="str">
        <f t="shared" si="783"/>
        <v>Digital Payment</v>
      </c>
      <c r="P9999">
        <v>140.75</v>
      </c>
      <c r="Q9999" s="37" t="str">
        <f>IF(P9999&gt;500,"High","low")</f>
        <v>low</v>
      </c>
      <c r="R9999" s="37" t="str">
        <f t="shared" si="784"/>
        <v>AVERAGE</v>
      </c>
      <c r="S9999" t="s">
        <v>605</v>
      </c>
    </row>
    <row r="10000" spans="1:19" x14ac:dyDescent="0.2">
      <c r="A10000" t="s">
        <v>10611</v>
      </c>
      <c r="B10000" t="s">
        <v>83</v>
      </c>
      <c r="C10000" t="s">
        <v>617</v>
      </c>
      <c r="D10000">
        <v>3396.3</v>
      </c>
      <c r="E10000" s="37" t="str">
        <f t="shared" si="780"/>
        <v xml:space="preserve"> </v>
      </c>
      <c r="F10000">
        <v>0.32</v>
      </c>
      <c r="G10000" s="37" t="str">
        <f t="shared" si="781"/>
        <v>Heavy Discount</v>
      </c>
      <c r="H10000" s="37" t="str">
        <f t="shared" si="782"/>
        <v>Medium</v>
      </c>
      <c r="I10000">
        <v>3</v>
      </c>
      <c r="J10000" t="str" cm="1">
        <f t="array" ref="J10000">_xlfn.IFS(I10000&lt;=3,"small",I10000&lt;=6,"Medium",I10000&lt;=9,"Large")</f>
        <v>small</v>
      </c>
      <c r="K10000" s="36">
        <v>45421</v>
      </c>
      <c r="L10000" s="36">
        <v>45428</v>
      </c>
      <c r="M10000" t="s">
        <v>612</v>
      </c>
      <c r="N10000" t="s">
        <v>604</v>
      </c>
      <c r="O10000" s="37" t="str">
        <f t="shared" si="783"/>
        <v>Digital Payment</v>
      </c>
      <c r="P10000">
        <v>478.99</v>
      </c>
      <c r="Q10000" s="37" t="str">
        <f>IF(P10000&gt;500,"High","low")</f>
        <v>low</v>
      </c>
      <c r="R10000" s="37" t="str">
        <f t="shared" si="784"/>
        <v>AVERAGE</v>
      </c>
      <c r="S10000" t="s">
        <v>615</v>
      </c>
    </row>
    <row r="10001" spans="1:19" x14ac:dyDescent="0.2">
      <c r="A10001" t="s">
        <v>10612</v>
      </c>
      <c r="B10001" t="s">
        <v>75</v>
      </c>
      <c r="C10001" t="s">
        <v>617</v>
      </c>
      <c r="D10001">
        <v>770.19</v>
      </c>
      <c r="E10001" s="37" t="str">
        <f t="shared" si="780"/>
        <v xml:space="preserve"> </v>
      </c>
      <c r="F10001">
        <v>0.31</v>
      </c>
      <c r="G10001" s="37" t="str">
        <f t="shared" si="781"/>
        <v>Heavy Discount</v>
      </c>
      <c r="H10001" s="37" t="str">
        <f t="shared" si="782"/>
        <v>Medium</v>
      </c>
      <c r="I10001">
        <v>8</v>
      </c>
      <c r="J10001" t="str" cm="1">
        <f t="array" ref="J10001">_xlfn.IFS(I10001&lt;=3,"small",I10001&lt;=6,"Medium",I10001&lt;=9,"Large")</f>
        <v>Large</v>
      </c>
      <c r="K10001" s="36">
        <v>45511</v>
      </c>
      <c r="L10001" s="36">
        <v>45513</v>
      </c>
      <c r="M10001" t="s">
        <v>603</v>
      </c>
      <c r="N10001" t="s">
        <v>599</v>
      </c>
      <c r="O10001" s="37" t="str">
        <f t="shared" si="783"/>
        <v>Digital Payment</v>
      </c>
      <c r="P10001">
        <v>174.67</v>
      </c>
      <c r="Q10001" s="37" t="str">
        <f>IF(P10001&gt;500,"High","low")</f>
        <v>low</v>
      </c>
      <c r="R10001" s="37" t="str">
        <f t="shared" si="784"/>
        <v>AVERAGE</v>
      </c>
      <c r="S10001" t="s">
        <v>609</v>
      </c>
    </row>
    <row r="10002" spans="1:19" x14ac:dyDescent="0.2">
      <c r="A10002" t="s">
        <v>10613</v>
      </c>
      <c r="B10002" t="s">
        <v>90</v>
      </c>
      <c r="C10002" t="s">
        <v>607</v>
      </c>
      <c r="D10002">
        <v>211.78</v>
      </c>
      <c r="E10002" s="37" t="str">
        <f t="shared" si="780"/>
        <v xml:space="preserve"> </v>
      </c>
      <c r="F10002">
        <v>0.19</v>
      </c>
      <c r="G10002" s="37" t="str">
        <f t="shared" si="781"/>
        <v>Normal Discount</v>
      </c>
      <c r="H10002" s="37" t="str">
        <f t="shared" si="782"/>
        <v>Low</v>
      </c>
      <c r="I10002">
        <v>3</v>
      </c>
      <c r="J10002" t="str" cm="1">
        <f t="array" ref="J10002">_xlfn.IFS(I10002&lt;=3,"small",I10002&lt;=6,"Medium",I10002&lt;=9,"Large")</f>
        <v>small</v>
      </c>
      <c r="K10002" s="36">
        <v>45164</v>
      </c>
      <c r="L10002" s="36">
        <v>45167</v>
      </c>
      <c r="M10002" t="s">
        <v>598</v>
      </c>
      <c r="N10002" t="s">
        <v>608</v>
      </c>
      <c r="O10002" s="37" t="str">
        <f t="shared" si="783"/>
        <v>Cash Payment</v>
      </c>
      <c r="P10002">
        <v>12.86</v>
      </c>
      <c r="Q10002" s="37" t="str">
        <f>IF(P10002&gt;500,"High","low")</f>
        <v>low</v>
      </c>
      <c r="R10002" s="37" t="str">
        <f t="shared" si="784"/>
        <v>AVERAGE</v>
      </c>
      <c r="S10002" t="s">
        <v>600</v>
      </c>
    </row>
    <row r="10003" spans="1:19" x14ac:dyDescent="0.2">
      <c r="A10003" t="s">
        <v>10614</v>
      </c>
      <c r="B10003" t="s">
        <v>67</v>
      </c>
      <c r="C10003" t="s">
        <v>602</v>
      </c>
      <c r="D10003">
        <v>4331.12</v>
      </c>
      <c r="E10003" s="37" t="str">
        <f t="shared" si="780"/>
        <v>Excellent Order</v>
      </c>
      <c r="F10003">
        <v>0.01</v>
      </c>
      <c r="G10003" s="37" t="str">
        <f t="shared" si="781"/>
        <v>Normal Discount</v>
      </c>
      <c r="H10003" s="37" t="str">
        <f t="shared" si="782"/>
        <v>Low</v>
      </c>
      <c r="I10003">
        <v>1</v>
      </c>
      <c r="J10003" t="str" cm="1">
        <f t="array" ref="J10003">_xlfn.IFS(I10003&lt;=3,"small",I10003&lt;=6,"Medium",I10003&lt;=9,"Large")</f>
        <v>small</v>
      </c>
      <c r="K10003" s="36">
        <v>45291</v>
      </c>
      <c r="L10003" s="36">
        <v>45294</v>
      </c>
      <c r="M10003" t="s">
        <v>603</v>
      </c>
      <c r="N10003" t="s">
        <v>608</v>
      </c>
      <c r="O10003" s="37" t="str">
        <f t="shared" si="783"/>
        <v>Cash Payment</v>
      </c>
      <c r="P10003">
        <v>1213.8900000000001</v>
      </c>
      <c r="Q10003" s="37" t="str">
        <f>IF(P10003&gt;500,"High","low")</f>
        <v>High</v>
      </c>
      <c r="R10003" s="37" t="str">
        <f t="shared" si="784"/>
        <v>Excellent</v>
      </c>
      <c r="S10003" t="s">
        <v>600</v>
      </c>
    </row>
    <row r="10004" spans="1:19" x14ac:dyDescent="0.2">
      <c r="A10004" t="s">
        <v>10615</v>
      </c>
      <c r="B10004" t="s">
        <v>90</v>
      </c>
      <c r="C10004" t="s">
        <v>602</v>
      </c>
      <c r="D10004">
        <v>1733.88</v>
      </c>
      <c r="E10004" s="37" t="str">
        <f t="shared" si="780"/>
        <v xml:space="preserve"> </v>
      </c>
      <c r="F10004">
        <v>0.45</v>
      </c>
      <c r="G10004" s="37" t="str">
        <f t="shared" si="781"/>
        <v>Heavy Discount</v>
      </c>
      <c r="H10004" s="37" t="str">
        <f t="shared" si="782"/>
        <v>High</v>
      </c>
      <c r="I10004">
        <v>4</v>
      </c>
      <c r="J10004" t="str" cm="1">
        <f t="array" ref="J10004">_xlfn.IFS(I10004&lt;=3,"small",I10004&lt;=6,"Medium",I10004&lt;=9,"Large")</f>
        <v>Medium</v>
      </c>
      <c r="K10004" s="36">
        <v>45345</v>
      </c>
      <c r="L10004" s="36">
        <v>45352</v>
      </c>
      <c r="M10004" t="s">
        <v>612</v>
      </c>
      <c r="N10004" t="s">
        <v>599</v>
      </c>
      <c r="O10004" s="37" t="str">
        <f t="shared" si="783"/>
        <v>Digital Payment</v>
      </c>
      <c r="P10004">
        <v>223.32</v>
      </c>
      <c r="Q10004" s="37" t="str">
        <f>IF(P10004&gt;500,"High","low")</f>
        <v>low</v>
      </c>
      <c r="R10004" s="37" t="str">
        <f t="shared" si="784"/>
        <v>AVERAGE</v>
      </c>
      <c r="S10004" t="s">
        <v>620</v>
      </c>
    </row>
    <row r="10005" spans="1:19" x14ac:dyDescent="0.2">
      <c r="A10005" t="s">
        <v>10616</v>
      </c>
      <c r="B10005" t="s">
        <v>67</v>
      </c>
      <c r="C10005" t="s">
        <v>614</v>
      </c>
      <c r="D10005">
        <v>868.56</v>
      </c>
      <c r="E10005" s="37" t="str">
        <f t="shared" si="780"/>
        <v xml:space="preserve"> </v>
      </c>
      <c r="F10005">
        <v>0.49</v>
      </c>
      <c r="G10005" s="37" t="str">
        <f t="shared" si="781"/>
        <v>Heavy Discount</v>
      </c>
      <c r="H10005" s="37" t="str">
        <f t="shared" si="782"/>
        <v>High</v>
      </c>
      <c r="I10005">
        <v>9</v>
      </c>
      <c r="J10005" t="str" cm="1">
        <f t="array" ref="J10005">_xlfn.IFS(I10005&lt;=3,"small",I10005&lt;=6,"Medium",I10005&lt;=9,"Large")</f>
        <v>Large</v>
      </c>
      <c r="K10005" s="36">
        <v>45284</v>
      </c>
      <c r="L10005" s="36">
        <v>45291</v>
      </c>
      <c r="M10005" t="s">
        <v>612</v>
      </c>
      <c r="N10005" t="s">
        <v>608</v>
      </c>
      <c r="O10005" s="37" t="str">
        <f t="shared" si="783"/>
        <v>Cash Payment</v>
      </c>
      <c r="P10005">
        <v>112.23</v>
      </c>
      <c r="Q10005" s="37" t="str">
        <f>IF(P10005&gt;500,"High","low")</f>
        <v>low</v>
      </c>
      <c r="R10005" s="37" t="str">
        <f t="shared" si="784"/>
        <v>AVERAGE</v>
      </c>
      <c r="S10005" t="s">
        <v>600</v>
      </c>
    </row>
    <row r="10006" spans="1:19" x14ac:dyDescent="0.2">
      <c r="A10006" t="s">
        <v>10617</v>
      </c>
      <c r="B10006" t="s">
        <v>67</v>
      </c>
      <c r="C10006" t="s">
        <v>614</v>
      </c>
      <c r="D10006">
        <v>946.27</v>
      </c>
      <c r="E10006" s="37" t="str">
        <f t="shared" si="780"/>
        <v xml:space="preserve"> </v>
      </c>
      <c r="F10006">
        <v>0.4</v>
      </c>
      <c r="G10006" s="37" t="str">
        <f t="shared" si="781"/>
        <v>Heavy Discount</v>
      </c>
      <c r="H10006" s="37" t="str">
        <f t="shared" si="782"/>
        <v>Medium</v>
      </c>
      <c r="I10006">
        <v>8</v>
      </c>
      <c r="J10006" t="str" cm="1">
        <f t="array" ref="J10006">_xlfn.IFS(I10006&lt;=3,"small",I10006&lt;=6,"Medium",I10006&lt;=9,"Large")</f>
        <v>Large</v>
      </c>
      <c r="K10006" s="36">
        <v>44950</v>
      </c>
      <c r="L10006" s="36">
        <v>44956</v>
      </c>
      <c r="M10006" t="s">
        <v>603</v>
      </c>
      <c r="N10006" t="s">
        <v>608</v>
      </c>
      <c r="O10006" s="37" t="str">
        <f t="shared" si="783"/>
        <v>Cash Payment</v>
      </c>
      <c r="P10006">
        <v>47.59</v>
      </c>
      <c r="Q10006" s="37" t="str">
        <f>IF(P10006&gt;500,"High","low")</f>
        <v>low</v>
      </c>
      <c r="R10006" s="37" t="str">
        <f t="shared" si="784"/>
        <v>AVERAGE</v>
      </c>
      <c r="S10006" t="s">
        <v>615</v>
      </c>
    </row>
    <row r="10007" spans="1:19" x14ac:dyDescent="0.2">
      <c r="A10007" t="s">
        <v>10618</v>
      </c>
      <c r="B10007" t="s">
        <v>90</v>
      </c>
      <c r="C10007" t="s">
        <v>614</v>
      </c>
      <c r="D10007">
        <v>4440.8900000000003</v>
      </c>
      <c r="E10007" s="37" t="str">
        <f t="shared" si="780"/>
        <v>Excellent Order</v>
      </c>
      <c r="F10007">
        <v>0.46</v>
      </c>
      <c r="G10007" s="37" t="str">
        <f t="shared" si="781"/>
        <v>Heavy Discount</v>
      </c>
      <c r="H10007" s="37" t="str">
        <f t="shared" si="782"/>
        <v>High</v>
      </c>
      <c r="I10007">
        <v>6</v>
      </c>
      <c r="J10007" t="str" cm="1">
        <f t="array" ref="J10007">_xlfn.IFS(I10007&lt;=3,"small",I10007&lt;=6,"Medium",I10007&lt;=9,"Large")</f>
        <v>Medium</v>
      </c>
      <c r="K10007" s="36">
        <v>45090</v>
      </c>
      <c r="L10007" s="36">
        <v>45093</v>
      </c>
      <c r="M10007" t="s">
        <v>598</v>
      </c>
      <c r="N10007" t="s">
        <v>604</v>
      </c>
      <c r="O10007" s="37" t="str">
        <f t="shared" si="783"/>
        <v>Digital Payment</v>
      </c>
      <c r="P10007">
        <v>955.21</v>
      </c>
      <c r="Q10007" s="37" t="str">
        <f>IF(P10007&gt;500,"High","low")</f>
        <v>High</v>
      </c>
      <c r="R10007" s="37" t="str">
        <f t="shared" si="784"/>
        <v>Good</v>
      </c>
      <c r="S10007" t="s">
        <v>605</v>
      </c>
    </row>
    <row r="10008" spans="1:19" x14ac:dyDescent="0.2">
      <c r="A10008" t="s">
        <v>10619</v>
      </c>
      <c r="B10008" t="s">
        <v>83</v>
      </c>
      <c r="C10008" t="s">
        <v>597</v>
      </c>
      <c r="D10008">
        <v>3306.71</v>
      </c>
      <c r="E10008" s="37" t="str">
        <f t="shared" si="780"/>
        <v xml:space="preserve"> </v>
      </c>
      <c r="F10008">
        <v>0.06</v>
      </c>
      <c r="G10008" s="37" t="str">
        <f t="shared" si="781"/>
        <v>Normal Discount</v>
      </c>
      <c r="H10008" s="37" t="str">
        <f t="shared" si="782"/>
        <v>Low</v>
      </c>
      <c r="I10008">
        <v>3</v>
      </c>
      <c r="J10008" t="str" cm="1">
        <f t="array" ref="J10008">_xlfn.IFS(I10008&lt;=3,"small",I10008&lt;=6,"Medium",I10008&lt;=9,"Large")</f>
        <v>small</v>
      </c>
      <c r="K10008" s="36">
        <v>45136</v>
      </c>
      <c r="L10008" s="36">
        <v>45141</v>
      </c>
      <c r="M10008" t="s">
        <v>603</v>
      </c>
      <c r="N10008" t="s">
        <v>604</v>
      </c>
      <c r="O10008" s="37" t="str">
        <f t="shared" si="783"/>
        <v>Digital Payment</v>
      </c>
      <c r="P10008">
        <v>594.77</v>
      </c>
      <c r="Q10008" s="37" t="str">
        <f>IF(P10008&gt;500,"High","low")</f>
        <v>High</v>
      </c>
      <c r="R10008" s="37" t="str">
        <f t="shared" si="784"/>
        <v>Good</v>
      </c>
      <c r="S10008" t="s">
        <v>620</v>
      </c>
    </row>
    <row r="10009" spans="1:19" x14ac:dyDescent="0.2">
      <c r="A10009" t="s">
        <v>10620</v>
      </c>
      <c r="B10009" t="s">
        <v>67</v>
      </c>
      <c r="C10009" t="s">
        <v>602</v>
      </c>
      <c r="D10009">
        <v>4786.1000000000004</v>
      </c>
      <c r="E10009" s="37" t="str">
        <f t="shared" si="780"/>
        <v>Excellent Order</v>
      </c>
      <c r="F10009">
        <v>0.06</v>
      </c>
      <c r="G10009" s="37" t="str">
        <f t="shared" si="781"/>
        <v>Normal Discount</v>
      </c>
      <c r="H10009" s="37" t="str">
        <f t="shared" si="782"/>
        <v>Low</v>
      </c>
      <c r="I10009">
        <v>3</v>
      </c>
      <c r="J10009" t="str" cm="1">
        <f t="array" ref="J10009">_xlfn.IFS(I10009&lt;=3,"small",I10009&lt;=6,"Medium",I10009&lt;=9,"Large")</f>
        <v>small</v>
      </c>
      <c r="K10009" s="36">
        <v>45545</v>
      </c>
      <c r="L10009" s="36">
        <v>45546</v>
      </c>
      <c r="M10009" t="s">
        <v>612</v>
      </c>
      <c r="N10009" t="s">
        <v>604</v>
      </c>
      <c r="O10009" s="37" t="str">
        <f t="shared" si="783"/>
        <v>Digital Payment</v>
      </c>
      <c r="P10009">
        <v>816.85</v>
      </c>
      <c r="Q10009" s="37" t="str">
        <f>IF(P10009&gt;500,"High","low")</f>
        <v>High</v>
      </c>
      <c r="R10009" s="37" t="str">
        <f t="shared" si="784"/>
        <v>Good</v>
      </c>
      <c r="S10009" t="s">
        <v>600</v>
      </c>
    </row>
    <row r="10010" spans="1:19" x14ac:dyDescent="0.2">
      <c r="A10010" t="s">
        <v>10621</v>
      </c>
      <c r="B10010" t="s">
        <v>90</v>
      </c>
      <c r="C10010" t="s">
        <v>607</v>
      </c>
      <c r="D10010">
        <v>4020.2</v>
      </c>
      <c r="E10010" s="37" t="str">
        <f t="shared" si="780"/>
        <v xml:space="preserve"> </v>
      </c>
      <c r="F10010">
        <v>0.44</v>
      </c>
      <c r="G10010" s="37" t="str">
        <f t="shared" si="781"/>
        <v>Heavy Discount</v>
      </c>
      <c r="H10010" s="37" t="str">
        <f t="shared" si="782"/>
        <v>High</v>
      </c>
      <c r="I10010">
        <v>7</v>
      </c>
      <c r="J10010" t="str" cm="1">
        <f t="array" ref="J10010">_xlfn.IFS(I10010&lt;=3,"small",I10010&lt;=6,"Medium",I10010&lt;=9,"Large")</f>
        <v>Large</v>
      </c>
      <c r="K10010" s="36">
        <v>45157</v>
      </c>
      <c r="L10010" s="36">
        <v>45161</v>
      </c>
      <c r="M10010" t="s">
        <v>598</v>
      </c>
      <c r="N10010" t="s">
        <v>608</v>
      </c>
      <c r="O10010" s="37" t="str">
        <f t="shared" si="783"/>
        <v>Cash Payment</v>
      </c>
      <c r="P10010">
        <v>626.17999999999995</v>
      </c>
      <c r="Q10010" s="37" t="str">
        <f>IF(P10010&gt;500,"High","low")</f>
        <v>High</v>
      </c>
      <c r="R10010" s="37" t="str">
        <f t="shared" si="784"/>
        <v>Good</v>
      </c>
      <c r="S10010" t="s">
        <v>600</v>
      </c>
    </row>
    <row r="10011" spans="1:19" x14ac:dyDescent="0.2">
      <c r="A10011" t="s">
        <v>10622</v>
      </c>
      <c r="B10011" t="s">
        <v>75</v>
      </c>
      <c r="C10011" t="s">
        <v>617</v>
      </c>
      <c r="D10011">
        <v>3860.96</v>
      </c>
      <c r="E10011" s="37" t="str">
        <f t="shared" si="780"/>
        <v xml:space="preserve"> </v>
      </c>
      <c r="F10011">
        <v>0.03</v>
      </c>
      <c r="G10011" s="37" t="str">
        <f t="shared" si="781"/>
        <v>Normal Discount</v>
      </c>
      <c r="H10011" s="37" t="str">
        <f t="shared" si="782"/>
        <v>Low</v>
      </c>
      <c r="I10011">
        <v>5</v>
      </c>
      <c r="J10011" t="str" cm="1">
        <f t="array" ref="J10011">_xlfn.IFS(I10011&lt;=3,"small",I10011&lt;=6,"Medium",I10011&lt;=9,"Large")</f>
        <v>Medium</v>
      </c>
      <c r="K10011" s="36">
        <v>45389</v>
      </c>
      <c r="L10011" s="36">
        <v>45393</v>
      </c>
      <c r="M10011" t="s">
        <v>612</v>
      </c>
      <c r="N10011" t="s">
        <v>604</v>
      </c>
      <c r="O10011" s="37" t="str">
        <f t="shared" si="783"/>
        <v>Digital Payment</v>
      </c>
      <c r="P10011">
        <v>478.69</v>
      </c>
      <c r="Q10011" s="37" t="str">
        <f>IF(P10011&gt;500,"High","low")</f>
        <v>low</v>
      </c>
      <c r="R10011" s="37" t="str">
        <f t="shared" si="784"/>
        <v>AVERAGE</v>
      </c>
      <c r="S10011" t="s">
        <v>615</v>
      </c>
    </row>
    <row r="10012" spans="1:19" x14ac:dyDescent="0.2">
      <c r="A10012" t="s">
        <v>10623</v>
      </c>
      <c r="B10012" t="s">
        <v>90</v>
      </c>
      <c r="C10012" t="s">
        <v>602</v>
      </c>
      <c r="D10012">
        <v>2549.12</v>
      </c>
      <c r="E10012" s="37" t="str">
        <f t="shared" si="780"/>
        <v xml:space="preserve"> </v>
      </c>
      <c r="F10012">
        <v>0.05</v>
      </c>
      <c r="G10012" s="37" t="str">
        <f t="shared" si="781"/>
        <v>Normal Discount</v>
      </c>
      <c r="H10012" s="37" t="str">
        <f t="shared" si="782"/>
        <v>Low</v>
      </c>
      <c r="I10012">
        <v>3</v>
      </c>
      <c r="J10012" t="str" cm="1">
        <f t="array" ref="J10012">_xlfn.IFS(I10012&lt;=3,"small",I10012&lt;=6,"Medium",I10012&lt;=9,"Large")</f>
        <v>small</v>
      </c>
      <c r="K10012" s="36">
        <v>45238</v>
      </c>
      <c r="L10012" s="36">
        <v>45240</v>
      </c>
      <c r="M10012" t="s">
        <v>612</v>
      </c>
      <c r="N10012" t="s">
        <v>604</v>
      </c>
      <c r="O10012" s="37" t="str">
        <f t="shared" si="783"/>
        <v>Digital Payment</v>
      </c>
      <c r="P10012">
        <v>397.21</v>
      </c>
      <c r="Q10012" s="37" t="str">
        <f>IF(P10012&gt;500,"High","low")</f>
        <v>low</v>
      </c>
      <c r="R10012" s="37" t="str">
        <f t="shared" si="784"/>
        <v>AVERAGE</v>
      </c>
      <c r="S10012" t="s">
        <v>600</v>
      </c>
    </row>
    <row r="10013" spans="1:19" x14ac:dyDescent="0.2">
      <c r="A10013" t="s">
        <v>10624</v>
      </c>
      <c r="B10013" t="s">
        <v>75</v>
      </c>
      <c r="C10013" t="s">
        <v>602</v>
      </c>
      <c r="D10013">
        <v>4121.9399999999996</v>
      </c>
      <c r="E10013" s="37" t="str">
        <f t="shared" si="780"/>
        <v xml:space="preserve"> </v>
      </c>
      <c r="F10013">
        <v>0.41</v>
      </c>
      <c r="G10013" s="37" t="str">
        <f t="shared" si="781"/>
        <v>Heavy Discount</v>
      </c>
      <c r="H10013" s="37" t="str">
        <f t="shared" si="782"/>
        <v>High</v>
      </c>
      <c r="I10013">
        <v>1</v>
      </c>
      <c r="J10013" t="str" cm="1">
        <f t="array" ref="J10013">_xlfn.IFS(I10013&lt;=3,"small",I10013&lt;=6,"Medium",I10013&lt;=9,"Large")</f>
        <v>small</v>
      </c>
      <c r="K10013" s="36">
        <v>45527</v>
      </c>
      <c r="L10013" s="36">
        <v>45530</v>
      </c>
      <c r="M10013" t="s">
        <v>612</v>
      </c>
      <c r="N10013" t="s">
        <v>599</v>
      </c>
      <c r="O10013" s="37" t="str">
        <f t="shared" si="783"/>
        <v>Digital Payment</v>
      </c>
      <c r="P10013">
        <v>211.2</v>
      </c>
      <c r="Q10013" s="37" t="str">
        <f>IF(P10013&gt;500,"High","low")</f>
        <v>low</v>
      </c>
      <c r="R10013" s="37" t="str">
        <f t="shared" si="784"/>
        <v>AVERAGE</v>
      </c>
      <c r="S10013" t="s">
        <v>615</v>
      </c>
    </row>
    <row r="10014" spans="1:19" x14ac:dyDescent="0.2">
      <c r="A10014" t="s">
        <v>10625</v>
      </c>
      <c r="B10014" t="s">
        <v>67</v>
      </c>
      <c r="C10014" t="s">
        <v>602</v>
      </c>
      <c r="D10014">
        <v>2122</v>
      </c>
      <c r="E10014" s="37" t="str">
        <f t="shared" si="780"/>
        <v xml:space="preserve"> </v>
      </c>
      <c r="F10014">
        <v>0.28000000000000003</v>
      </c>
      <c r="G10014" s="37" t="str">
        <f t="shared" si="781"/>
        <v>Normal Discount</v>
      </c>
      <c r="H10014" s="37" t="str">
        <f t="shared" si="782"/>
        <v>Medium</v>
      </c>
      <c r="I10014">
        <v>9</v>
      </c>
      <c r="J10014" t="str" cm="1">
        <f t="array" ref="J10014">_xlfn.IFS(I10014&lt;=3,"small",I10014&lt;=6,"Medium",I10014&lt;=9,"Large")</f>
        <v>Large</v>
      </c>
      <c r="K10014" s="36">
        <v>45481</v>
      </c>
      <c r="L10014" s="36">
        <v>45488</v>
      </c>
      <c r="M10014" t="s">
        <v>603</v>
      </c>
      <c r="N10014" t="s">
        <v>608</v>
      </c>
      <c r="O10014" s="37" t="str">
        <f t="shared" si="783"/>
        <v>Cash Payment</v>
      </c>
      <c r="P10014">
        <v>264.82</v>
      </c>
      <c r="Q10014" s="37" t="str">
        <f>IF(P10014&gt;500,"High","low")</f>
        <v>low</v>
      </c>
      <c r="R10014" s="37" t="str">
        <f t="shared" si="784"/>
        <v>AVERAGE</v>
      </c>
      <c r="S10014" t="s">
        <v>620</v>
      </c>
    </row>
    <row r="10015" spans="1:19" x14ac:dyDescent="0.2">
      <c r="A10015" t="s">
        <v>10626</v>
      </c>
      <c r="B10015" t="s">
        <v>90</v>
      </c>
      <c r="C10015" t="s">
        <v>614</v>
      </c>
      <c r="D10015">
        <v>4152.3</v>
      </c>
      <c r="E10015" s="37" t="str">
        <f t="shared" si="780"/>
        <v>Excellent Order</v>
      </c>
      <c r="F10015">
        <v>0.2</v>
      </c>
      <c r="G10015" s="37" t="str">
        <f t="shared" si="781"/>
        <v>Normal Discount</v>
      </c>
      <c r="H10015" s="37" t="str">
        <f t="shared" si="782"/>
        <v>Medium</v>
      </c>
      <c r="I10015">
        <v>5</v>
      </c>
      <c r="J10015" t="str" cm="1">
        <f t="array" ref="J10015">_xlfn.IFS(I10015&lt;=3,"small",I10015&lt;=6,"Medium",I10015&lt;=9,"Large")</f>
        <v>Medium</v>
      </c>
      <c r="K10015" s="36">
        <v>45527</v>
      </c>
      <c r="L10015" s="36">
        <v>45534</v>
      </c>
      <c r="M10015" t="s">
        <v>612</v>
      </c>
      <c r="N10015" t="s">
        <v>599</v>
      </c>
      <c r="O10015" s="37" t="str">
        <f t="shared" si="783"/>
        <v>Digital Payment</v>
      </c>
      <c r="P10015">
        <v>1168.51</v>
      </c>
      <c r="Q10015" s="37" t="str">
        <f>IF(P10015&gt;500,"High","low")</f>
        <v>High</v>
      </c>
      <c r="R10015" s="37" t="str">
        <f t="shared" si="784"/>
        <v>Excellent</v>
      </c>
      <c r="S10015" t="s">
        <v>605</v>
      </c>
    </row>
    <row r="10016" spans="1:19" x14ac:dyDescent="0.2">
      <c r="A10016" t="s">
        <v>10627</v>
      </c>
      <c r="B10016" t="s">
        <v>90</v>
      </c>
      <c r="C10016" t="s">
        <v>597</v>
      </c>
      <c r="D10016">
        <v>3812.93</v>
      </c>
      <c r="E10016" s="37" t="str">
        <f t="shared" si="780"/>
        <v xml:space="preserve"> </v>
      </c>
      <c r="F10016">
        <v>0.28000000000000003</v>
      </c>
      <c r="G10016" s="37" t="str">
        <f t="shared" si="781"/>
        <v>Normal Discount</v>
      </c>
      <c r="H10016" s="37" t="str">
        <f t="shared" si="782"/>
        <v>Medium</v>
      </c>
      <c r="I10016">
        <v>7</v>
      </c>
      <c r="J10016" t="str" cm="1">
        <f t="array" ref="J10016">_xlfn.IFS(I10016&lt;=3,"small",I10016&lt;=6,"Medium",I10016&lt;=9,"Large")</f>
        <v>Large</v>
      </c>
      <c r="K10016" s="36">
        <v>45527</v>
      </c>
      <c r="L10016" s="36">
        <v>45529</v>
      </c>
      <c r="M10016" t="s">
        <v>603</v>
      </c>
      <c r="N10016" t="s">
        <v>608</v>
      </c>
      <c r="O10016" s="37" t="str">
        <f t="shared" si="783"/>
        <v>Cash Payment</v>
      </c>
      <c r="P10016">
        <v>974.91</v>
      </c>
      <c r="Q10016" s="37" t="str">
        <f>IF(P10016&gt;500,"High","low")</f>
        <v>High</v>
      </c>
      <c r="R10016" s="37" t="str">
        <f t="shared" si="784"/>
        <v>Good</v>
      </c>
      <c r="S10016" t="s">
        <v>605</v>
      </c>
    </row>
    <row r="10017" spans="1:19" x14ac:dyDescent="0.2">
      <c r="A10017" t="s">
        <v>10628</v>
      </c>
      <c r="B10017" t="s">
        <v>75</v>
      </c>
      <c r="C10017" t="s">
        <v>607</v>
      </c>
      <c r="D10017">
        <v>3424.35</v>
      </c>
      <c r="E10017" s="37" t="str">
        <f t="shared" si="780"/>
        <v xml:space="preserve"> </v>
      </c>
      <c r="F10017">
        <v>0.44</v>
      </c>
      <c r="G10017" s="37" t="str">
        <f t="shared" si="781"/>
        <v>Heavy Discount</v>
      </c>
      <c r="H10017" s="37" t="str">
        <f t="shared" si="782"/>
        <v>High</v>
      </c>
      <c r="I10017">
        <v>9</v>
      </c>
      <c r="J10017" t="str" cm="1">
        <f t="array" ref="J10017">_xlfn.IFS(I10017&lt;=3,"small",I10017&lt;=6,"Medium",I10017&lt;=9,"Large")</f>
        <v>Large</v>
      </c>
      <c r="K10017" s="36">
        <v>45399</v>
      </c>
      <c r="L10017" s="36">
        <v>45400</v>
      </c>
      <c r="M10017" t="s">
        <v>603</v>
      </c>
      <c r="N10017" t="s">
        <v>599</v>
      </c>
      <c r="O10017" s="37" t="str">
        <f t="shared" si="783"/>
        <v>Digital Payment</v>
      </c>
      <c r="P10017">
        <v>711.34</v>
      </c>
      <c r="Q10017" s="37" t="str">
        <f>IF(P10017&gt;500,"High","low")</f>
        <v>High</v>
      </c>
      <c r="R10017" s="37" t="str">
        <f t="shared" si="784"/>
        <v>Good</v>
      </c>
      <c r="S10017" t="s">
        <v>600</v>
      </c>
    </row>
    <row r="10018" spans="1:19" x14ac:dyDescent="0.2">
      <c r="A10018" t="s">
        <v>10629</v>
      </c>
      <c r="B10018" t="s">
        <v>90</v>
      </c>
      <c r="C10018" t="s">
        <v>614</v>
      </c>
      <c r="D10018">
        <v>1715.61</v>
      </c>
      <c r="E10018" s="37" t="str">
        <f t="shared" si="780"/>
        <v xml:space="preserve"> </v>
      </c>
      <c r="F10018">
        <v>0.38</v>
      </c>
      <c r="G10018" s="37" t="str">
        <f t="shared" si="781"/>
        <v>Heavy Discount</v>
      </c>
      <c r="H10018" s="37" t="str">
        <f t="shared" si="782"/>
        <v>Medium</v>
      </c>
      <c r="I10018">
        <v>4</v>
      </c>
      <c r="J10018" t="str" cm="1">
        <f t="array" ref="J10018">_xlfn.IFS(I10018&lt;=3,"small",I10018&lt;=6,"Medium",I10018&lt;=9,"Large")</f>
        <v>Medium</v>
      </c>
      <c r="K10018" s="36">
        <v>45521</v>
      </c>
      <c r="L10018" s="36">
        <v>45528</v>
      </c>
      <c r="M10018" t="s">
        <v>603</v>
      </c>
      <c r="N10018" t="s">
        <v>599</v>
      </c>
      <c r="O10018" s="37" t="str">
        <f t="shared" si="783"/>
        <v>Digital Payment</v>
      </c>
      <c r="P10018">
        <v>441.05</v>
      </c>
      <c r="Q10018" s="37" t="str">
        <f>IF(P10018&gt;500,"High","low")</f>
        <v>low</v>
      </c>
      <c r="R10018" s="37" t="str">
        <f t="shared" si="784"/>
        <v>AVERAGE</v>
      </c>
      <c r="S10018" t="s">
        <v>620</v>
      </c>
    </row>
    <row r="10019" spans="1:19" x14ac:dyDescent="0.2">
      <c r="A10019" t="s">
        <v>10630</v>
      </c>
      <c r="B10019" t="s">
        <v>90</v>
      </c>
      <c r="C10019" t="s">
        <v>597</v>
      </c>
      <c r="D10019">
        <v>3190.49</v>
      </c>
      <c r="E10019" s="37" t="str">
        <f t="shared" si="780"/>
        <v xml:space="preserve"> </v>
      </c>
      <c r="F10019">
        <v>0.35</v>
      </c>
      <c r="G10019" s="37" t="str">
        <f t="shared" si="781"/>
        <v>Heavy Discount</v>
      </c>
      <c r="H10019" s="37" t="str">
        <f t="shared" si="782"/>
        <v>Medium</v>
      </c>
      <c r="I10019">
        <v>5</v>
      </c>
      <c r="J10019" t="str" cm="1">
        <f t="array" ref="J10019">_xlfn.IFS(I10019&lt;=3,"small",I10019&lt;=6,"Medium",I10019&lt;=9,"Large")</f>
        <v>Medium</v>
      </c>
      <c r="K10019" s="36">
        <v>45076</v>
      </c>
      <c r="L10019" s="36">
        <v>45081</v>
      </c>
      <c r="M10019" t="s">
        <v>612</v>
      </c>
      <c r="N10019" t="s">
        <v>599</v>
      </c>
      <c r="O10019" s="37" t="str">
        <f t="shared" si="783"/>
        <v>Digital Payment</v>
      </c>
      <c r="P10019">
        <v>592.04999999999995</v>
      </c>
      <c r="Q10019" s="37" t="str">
        <f>IF(P10019&gt;500,"High","low")</f>
        <v>High</v>
      </c>
      <c r="R10019" s="37" t="str">
        <f t="shared" si="784"/>
        <v>Good</v>
      </c>
      <c r="S10019" t="s">
        <v>628</v>
      </c>
    </row>
    <row r="10020" spans="1:19" x14ac:dyDescent="0.2">
      <c r="A10020" t="s">
        <v>10631</v>
      </c>
      <c r="B10020" t="s">
        <v>67</v>
      </c>
      <c r="C10020" t="s">
        <v>602</v>
      </c>
      <c r="D10020">
        <v>2583.2600000000002</v>
      </c>
      <c r="E10020" s="37" t="str">
        <f t="shared" si="780"/>
        <v xml:space="preserve"> </v>
      </c>
      <c r="F10020">
        <v>0.49</v>
      </c>
      <c r="G10020" s="37" t="str">
        <f t="shared" si="781"/>
        <v>Heavy Discount</v>
      </c>
      <c r="H10020" s="37" t="str">
        <f t="shared" si="782"/>
        <v>High</v>
      </c>
      <c r="I10020">
        <v>3</v>
      </c>
      <c r="J10020" t="str" cm="1">
        <f t="array" ref="J10020">_xlfn.IFS(I10020&lt;=3,"small",I10020&lt;=6,"Medium",I10020&lt;=9,"Large")</f>
        <v>small</v>
      </c>
      <c r="K10020" s="36">
        <v>45228</v>
      </c>
      <c r="L10020" s="36">
        <v>45235</v>
      </c>
      <c r="M10020" t="s">
        <v>612</v>
      </c>
      <c r="N10020" t="s">
        <v>604</v>
      </c>
      <c r="O10020" s="37" t="str">
        <f t="shared" si="783"/>
        <v>Digital Payment</v>
      </c>
      <c r="P10020">
        <v>190.68</v>
      </c>
      <c r="Q10020" s="37" t="str">
        <f>IF(P10020&gt;500,"High","low")</f>
        <v>low</v>
      </c>
      <c r="R10020" s="37" t="str">
        <f t="shared" si="784"/>
        <v>AVERAGE</v>
      </c>
      <c r="S10020" t="s">
        <v>600</v>
      </c>
    </row>
    <row r="10021" spans="1:19" x14ac:dyDescent="0.2">
      <c r="A10021" t="s">
        <v>10632</v>
      </c>
      <c r="B10021" t="s">
        <v>90</v>
      </c>
      <c r="C10021" t="s">
        <v>597</v>
      </c>
      <c r="D10021">
        <v>2361.56</v>
      </c>
      <c r="E10021" s="37" t="str">
        <f t="shared" si="780"/>
        <v xml:space="preserve"> </v>
      </c>
      <c r="F10021">
        <v>0.26</v>
      </c>
      <c r="G10021" s="37" t="str">
        <f t="shared" si="781"/>
        <v>Normal Discount</v>
      </c>
      <c r="H10021" s="37" t="str">
        <f t="shared" si="782"/>
        <v>Medium</v>
      </c>
      <c r="I10021">
        <v>7</v>
      </c>
      <c r="J10021" t="str" cm="1">
        <f t="array" ref="J10021">_xlfn.IFS(I10021&lt;=3,"small",I10021&lt;=6,"Medium",I10021&lt;=9,"Large")</f>
        <v>Large</v>
      </c>
      <c r="K10021" s="36">
        <v>44949</v>
      </c>
      <c r="L10021" s="36">
        <v>44956</v>
      </c>
      <c r="M10021" t="s">
        <v>612</v>
      </c>
      <c r="N10021" t="s">
        <v>604</v>
      </c>
      <c r="O10021" s="37" t="str">
        <f t="shared" si="783"/>
        <v>Digital Payment</v>
      </c>
      <c r="P10021">
        <v>390.39</v>
      </c>
      <c r="Q10021" s="37" t="str">
        <f>IF(P10021&gt;500,"High","low")</f>
        <v>low</v>
      </c>
      <c r="R10021" s="37" t="str">
        <f t="shared" si="784"/>
        <v>AVERAGE</v>
      </c>
      <c r="S10021" t="s">
        <v>605</v>
      </c>
    </row>
    <row r="10022" spans="1:19" x14ac:dyDescent="0.2">
      <c r="A10022" t="s">
        <v>10633</v>
      </c>
      <c r="B10022" t="s">
        <v>83</v>
      </c>
      <c r="C10022" t="s">
        <v>614</v>
      </c>
      <c r="D10022">
        <v>4952.21</v>
      </c>
      <c r="E10022" s="37" t="str">
        <f t="shared" si="780"/>
        <v>Excellent Order</v>
      </c>
      <c r="F10022">
        <v>0</v>
      </c>
      <c r="G10022" s="37" t="str">
        <f t="shared" si="781"/>
        <v>Normal Discount</v>
      </c>
      <c r="H10022" s="37" t="str">
        <f t="shared" si="782"/>
        <v>Low</v>
      </c>
      <c r="I10022">
        <v>1</v>
      </c>
      <c r="J10022" t="str" cm="1">
        <f t="array" ref="J10022">_xlfn.IFS(I10022&lt;=3,"small",I10022&lt;=6,"Medium",I10022&lt;=9,"Large")</f>
        <v>small</v>
      </c>
      <c r="K10022" s="36">
        <v>45522</v>
      </c>
      <c r="L10022" s="36">
        <v>45523</v>
      </c>
      <c r="M10022" t="s">
        <v>598</v>
      </c>
      <c r="N10022" t="s">
        <v>604</v>
      </c>
      <c r="O10022" s="37" t="str">
        <f t="shared" si="783"/>
        <v>Digital Payment</v>
      </c>
      <c r="P10022">
        <v>1391.29</v>
      </c>
      <c r="Q10022" s="37" t="str">
        <f>IF(P10022&gt;500,"High","low")</f>
        <v>High</v>
      </c>
      <c r="R10022" s="37" t="str">
        <f t="shared" si="784"/>
        <v>Excellent</v>
      </c>
      <c r="S10022" t="s">
        <v>620</v>
      </c>
    </row>
    <row r="10023" spans="1:19" x14ac:dyDescent="0.2">
      <c r="A10023" t="s">
        <v>10634</v>
      </c>
      <c r="B10023" t="s">
        <v>75</v>
      </c>
      <c r="C10023" t="s">
        <v>602</v>
      </c>
      <c r="D10023">
        <v>2571.5500000000002</v>
      </c>
      <c r="E10023" s="37" t="str">
        <f t="shared" si="780"/>
        <v xml:space="preserve"> </v>
      </c>
      <c r="F10023">
        <v>0.21</v>
      </c>
      <c r="G10023" s="37" t="str">
        <f t="shared" si="781"/>
        <v>Normal Discount</v>
      </c>
      <c r="H10023" s="37" t="str">
        <f t="shared" si="782"/>
        <v>Medium</v>
      </c>
      <c r="I10023">
        <v>8</v>
      </c>
      <c r="J10023" t="str" cm="1">
        <f t="array" ref="J10023">_xlfn.IFS(I10023&lt;=3,"small",I10023&lt;=6,"Medium",I10023&lt;=9,"Large")</f>
        <v>Large</v>
      </c>
      <c r="K10023" s="36">
        <v>45437</v>
      </c>
      <c r="L10023" s="36">
        <v>45439</v>
      </c>
      <c r="M10023" t="s">
        <v>598</v>
      </c>
      <c r="N10023" t="s">
        <v>608</v>
      </c>
      <c r="O10023" s="37" t="str">
        <f t="shared" si="783"/>
        <v>Cash Payment</v>
      </c>
      <c r="P10023">
        <v>170.27</v>
      </c>
      <c r="Q10023" s="37" t="str">
        <f>IF(P10023&gt;500,"High","low")</f>
        <v>low</v>
      </c>
      <c r="R10023" s="37" t="str">
        <f t="shared" si="784"/>
        <v>AVERAGE</v>
      </c>
      <c r="S10023" t="s">
        <v>609</v>
      </c>
    </row>
    <row r="10024" spans="1:19" x14ac:dyDescent="0.2">
      <c r="A10024" t="s">
        <v>10635</v>
      </c>
      <c r="B10024" t="s">
        <v>90</v>
      </c>
      <c r="C10024" t="s">
        <v>614</v>
      </c>
      <c r="D10024">
        <v>256.73</v>
      </c>
      <c r="E10024" s="37" t="str">
        <f t="shared" si="780"/>
        <v xml:space="preserve"> </v>
      </c>
      <c r="F10024">
        <v>0.05</v>
      </c>
      <c r="G10024" s="37" t="str">
        <f t="shared" si="781"/>
        <v>Normal Discount</v>
      </c>
      <c r="H10024" s="37" t="str">
        <f t="shared" si="782"/>
        <v>Low</v>
      </c>
      <c r="I10024">
        <v>3</v>
      </c>
      <c r="J10024" t="str" cm="1">
        <f t="array" ref="J10024">_xlfn.IFS(I10024&lt;=3,"small",I10024&lt;=6,"Medium",I10024&lt;=9,"Large")</f>
        <v>small</v>
      </c>
      <c r="K10024" s="36">
        <v>45266</v>
      </c>
      <c r="L10024" s="36">
        <v>45269</v>
      </c>
      <c r="M10024" t="s">
        <v>598</v>
      </c>
      <c r="N10024" t="s">
        <v>599</v>
      </c>
      <c r="O10024" s="37" t="str">
        <f t="shared" si="783"/>
        <v>Digital Payment</v>
      </c>
      <c r="P10024">
        <v>60.11</v>
      </c>
      <c r="Q10024" s="37" t="str">
        <f>IF(P10024&gt;500,"High","low")</f>
        <v>low</v>
      </c>
      <c r="R10024" s="37" t="str">
        <f t="shared" si="784"/>
        <v>AVERAGE</v>
      </c>
      <c r="S10024" t="s">
        <v>609</v>
      </c>
    </row>
    <row r="10025" spans="1:19" x14ac:dyDescent="0.2">
      <c r="A10025" t="s">
        <v>10636</v>
      </c>
      <c r="B10025" t="s">
        <v>75</v>
      </c>
      <c r="C10025" t="s">
        <v>607</v>
      </c>
      <c r="D10025">
        <v>3169.69</v>
      </c>
      <c r="E10025" s="37" t="str">
        <f t="shared" si="780"/>
        <v xml:space="preserve"> </v>
      </c>
      <c r="F10025">
        <v>0.06</v>
      </c>
      <c r="G10025" s="37" t="str">
        <f t="shared" si="781"/>
        <v>Normal Discount</v>
      </c>
      <c r="H10025" s="37" t="str">
        <f t="shared" si="782"/>
        <v>Low</v>
      </c>
      <c r="I10025">
        <v>4</v>
      </c>
      <c r="J10025" t="str" cm="1">
        <f t="array" ref="J10025">_xlfn.IFS(I10025&lt;=3,"small",I10025&lt;=6,"Medium",I10025&lt;=9,"Large")</f>
        <v>Medium</v>
      </c>
      <c r="K10025" s="36">
        <v>45573</v>
      </c>
      <c r="L10025" s="36">
        <v>45575</v>
      </c>
      <c r="M10025" t="s">
        <v>598</v>
      </c>
      <c r="N10025" t="s">
        <v>599</v>
      </c>
      <c r="O10025" s="37" t="str">
        <f t="shared" si="783"/>
        <v>Digital Payment</v>
      </c>
      <c r="P10025">
        <v>713.08</v>
      </c>
      <c r="Q10025" s="37" t="str">
        <f>IF(P10025&gt;500,"High","low")</f>
        <v>High</v>
      </c>
      <c r="R10025" s="37" t="str">
        <f t="shared" si="784"/>
        <v>Good</v>
      </c>
      <c r="S10025" t="s">
        <v>615</v>
      </c>
    </row>
    <row r="10026" spans="1:19" x14ac:dyDescent="0.2">
      <c r="A10026" t="s">
        <v>10637</v>
      </c>
      <c r="B10026" t="s">
        <v>75</v>
      </c>
      <c r="C10026" t="s">
        <v>602</v>
      </c>
      <c r="D10026">
        <v>3667.25</v>
      </c>
      <c r="E10026" s="37" t="str">
        <f t="shared" si="780"/>
        <v xml:space="preserve"> </v>
      </c>
      <c r="F10026">
        <v>0.13</v>
      </c>
      <c r="G10026" s="37" t="str">
        <f t="shared" si="781"/>
        <v>Normal Discount</v>
      </c>
      <c r="H10026" s="37" t="str">
        <f t="shared" si="782"/>
        <v>Low</v>
      </c>
      <c r="I10026">
        <v>4</v>
      </c>
      <c r="J10026" t="str" cm="1">
        <f t="array" ref="J10026">_xlfn.IFS(I10026&lt;=3,"small",I10026&lt;=6,"Medium",I10026&lt;=9,"Large")</f>
        <v>Medium</v>
      </c>
      <c r="K10026" s="36">
        <v>45321</v>
      </c>
      <c r="L10026" s="36">
        <v>45324</v>
      </c>
      <c r="M10026" t="s">
        <v>598</v>
      </c>
      <c r="N10026" t="s">
        <v>608</v>
      </c>
      <c r="O10026" s="37" t="str">
        <f t="shared" si="783"/>
        <v>Cash Payment</v>
      </c>
      <c r="P10026">
        <v>479.88</v>
      </c>
      <c r="Q10026" s="37" t="str">
        <f>IF(P10026&gt;500,"High","low")</f>
        <v>low</v>
      </c>
      <c r="R10026" s="37" t="str">
        <f t="shared" si="784"/>
        <v>AVERAGE</v>
      </c>
      <c r="S10026" t="s">
        <v>609</v>
      </c>
    </row>
    <row r="10027" spans="1:19" x14ac:dyDescent="0.2">
      <c r="A10027" t="s">
        <v>10638</v>
      </c>
      <c r="B10027" t="s">
        <v>75</v>
      </c>
      <c r="C10027" t="s">
        <v>597</v>
      </c>
      <c r="D10027">
        <v>4437.3999999999996</v>
      </c>
      <c r="E10027" s="37" t="str">
        <f t="shared" si="780"/>
        <v>Excellent Order</v>
      </c>
      <c r="F10027">
        <v>0.19</v>
      </c>
      <c r="G10027" s="37" t="str">
        <f t="shared" si="781"/>
        <v>Normal Discount</v>
      </c>
      <c r="H10027" s="37" t="str">
        <f t="shared" si="782"/>
        <v>Low</v>
      </c>
      <c r="I10027">
        <v>7</v>
      </c>
      <c r="J10027" t="str" cm="1">
        <f t="array" ref="J10027">_xlfn.IFS(I10027&lt;=3,"small",I10027&lt;=6,"Medium",I10027&lt;=9,"Large")</f>
        <v>Large</v>
      </c>
      <c r="K10027" s="36">
        <v>45254</v>
      </c>
      <c r="L10027" s="36">
        <v>45257</v>
      </c>
      <c r="M10027" t="s">
        <v>612</v>
      </c>
      <c r="N10027" t="s">
        <v>608</v>
      </c>
      <c r="O10027" s="37" t="str">
        <f t="shared" si="783"/>
        <v>Cash Payment</v>
      </c>
      <c r="P10027">
        <v>1183.33</v>
      </c>
      <c r="Q10027" s="37" t="str">
        <f>IF(P10027&gt;500,"High","low")</f>
        <v>High</v>
      </c>
      <c r="R10027" s="37" t="str">
        <f t="shared" si="784"/>
        <v>Excellent</v>
      </c>
      <c r="S10027" t="s">
        <v>620</v>
      </c>
    </row>
    <row r="10028" spans="1:19" x14ac:dyDescent="0.2">
      <c r="A10028" t="s">
        <v>10639</v>
      </c>
      <c r="B10028" t="s">
        <v>90</v>
      </c>
      <c r="C10028" t="s">
        <v>614</v>
      </c>
      <c r="D10028">
        <v>3200.16</v>
      </c>
      <c r="E10028" s="37" t="str">
        <f t="shared" si="780"/>
        <v xml:space="preserve"> </v>
      </c>
      <c r="F10028">
        <v>0.24</v>
      </c>
      <c r="G10028" s="37" t="str">
        <f t="shared" si="781"/>
        <v>Normal Discount</v>
      </c>
      <c r="H10028" s="37" t="str">
        <f t="shared" si="782"/>
        <v>Medium</v>
      </c>
      <c r="I10028">
        <v>7</v>
      </c>
      <c r="J10028" t="str" cm="1">
        <f t="array" ref="J10028">_xlfn.IFS(I10028&lt;=3,"small",I10028&lt;=6,"Medium",I10028&lt;=9,"Large")</f>
        <v>Large</v>
      </c>
      <c r="K10028" s="36">
        <v>45284</v>
      </c>
      <c r="L10028" s="36">
        <v>45291</v>
      </c>
      <c r="M10028" t="s">
        <v>612</v>
      </c>
      <c r="N10028" t="s">
        <v>604</v>
      </c>
      <c r="O10028" s="37" t="str">
        <f t="shared" si="783"/>
        <v>Digital Payment</v>
      </c>
      <c r="P10028">
        <v>689.54</v>
      </c>
      <c r="Q10028" s="37" t="str">
        <f>IF(P10028&gt;500,"High","low")</f>
        <v>High</v>
      </c>
      <c r="R10028" s="37" t="str">
        <f t="shared" si="784"/>
        <v>Good</v>
      </c>
      <c r="S10028" t="s">
        <v>605</v>
      </c>
    </row>
    <row r="10029" spans="1:19" x14ac:dyDescent="0.2">
      <c r="A10029" t="s">
        <v>10640</v>
      </c>
      <c r="B10029" t="s">
        <v>90</v>
      </c>
      <c r="C10029" t="s">
        <v>617</v>
      </c>
      <c r="D10029">
        <v>195.34</v>
      </c>
      <c r="E10029" s="37" t="str">
        <f t="shared" si="780"/>
        <v xml:space="preserve"> </v>
      </c>
      <c r="F10029">
        <v>0.08</v>
      </c>
      <c r="G10029" s="37" t="str">
        <f t="shared" si="781"/>
        <v>Normal Discount</v>
      </c>
      <c r="H10029" s="37" t="str">
        <f t="shared" si="782"/>
        <v>Low</v>
      </c>
      <c r="I10029">
        <v>4</v>
      </c>
      <c r="J10029" t="str" cm="1">
        <f t="array" ref="J10029">_xlfn.IFS(I10029&lt;=3,"small",I10029&lt;=6,"Medium",I10029&lt;=9,"Large")</f>
        <v>Medium</v>
      </c>
      <c r="K10029" s="36">
        <v>45321</v>
      </c>
      <c r="L10029" s="36">
        <v>45328</v>
      </c>
      <c r="M10029" t="s">
        <v>612</v>
      </c>
      <c r="N10029" t="s">
        <v>599</v>
      </c>
      <c r="O10029" s="37" t="str">
        <f t="shared" si="783"/>
        <v>Digital Payment</v>
      </c>
      <c r="P10029">
        <v>20.420000000000002</v>
      </c>
      <c r="Q10029" s="37" t="str">
        <f>IF(P10029&gt;500,"High","low")</f>
        <v>low</v>
      </c>
      <c r="R10029" s="37" t="str">
        <f t="shared" si="784"/>
        <v>AVERAGE</v>
      </c>
      <c r="S10029" t="s">
        <v>600</v>
      </c>
    </row>
    <row r="10030" spans="1:19" x14ac:dyDescent="0.2">
      <c r="A10030" t="s">
        <v>10641</v>
      </c>
      <c r="B10030" t="s">
        <v>75</v>
      </c>
      <c r="C10030" t="s">
        <v>597</v>
      </c>
      <c r="D10030">
        <v>686.75</v>
      </c>
      <c r="E10030" s="37" t="str">
        <f t="shared" si="780"/>
        <v xml:space="preserve"> </v>
      </c>
      <c r="F10030">
        <v>0.16</v>
      </c>
      <c r="G10030" s="37" t="str">
        <f t="shared" si="781"/>
        <v>Normal Discount</v>
      </c>
      <c r="H10030" s="37" t="str">
        <f t="shared" si="782"/>
        <v>Low</v>
      </c>
      <c r="I10030">
        <v>6</v>
      </c>
      <c r="J10030" t="str" cm="1">
        <f t="array" ref="J10030">_xlfn.IFS(I10030&lt;=3,"small",I10030&lt;=6,"Medium",I10030&lt;=9,"Large")</f>
        <v>Medium</v>
      </c>
      <c r="K10030" s="36">
        <v>45207</v>
      </c>
      <c r="L10030" s="36">
        <v>45213</v>
      </c>
      <c r="M10030" t="s">
        <v>603</v>
      </c>
      <c r="N10030" t="s">
        <v>599</v>
      </c>
      <c r="O10030" s="37" t="str">
        <f t="shared" si="783"/>
        <v>Digital Payment</v>
      </c>
      <c r="P10030">
        <v>144.24</v>
      </c>
      <c r="Q10030" s="37" t="str">
        <f>IF(P10030&gt;500,"High","low")</f>
        <v>low</v>
      </c>
      <c r="R10030" s="37" t="str">
        <f t="shared" si="784"/>
        <v>AVERAGE</v>
      </c>
      <c r="S10030" t="s">
        <v>615</v>
      </c>
    </row>
    <row r="10031" spans="1:19" x14ac:dyDescent="0.2">
      <c r="A10031" t="s">
        <v>10642</v>
      </c>
      <c r="B10031" t="s">
        <v>83</v>
      </c>
      <c r="C10031" t="s">
        <v>597</v>
      </c>
      <c r="D10031">
        <v>890.08</v>
      </c>
      <c r="E10031" s="37" t="str">
        <f t="shared" si="780"/>
        <v xml:space="preserve"> </v>
      </c>
      <c r="F10031">
        <v>0.14000000000000001</v>
      </c>
      <c r="G10031" s="37" t="str">
        <f t="shared" si="781"/>
        <v>Normal Discount</v>
      </c>
      <c r="H10031" s="37" t="str">
        <f t="shared" si="782"/>
        <v>Low</v>
      </c>
      <c r="I10031">
        <v>8</v>
      </c>
      <c r="J10031" t="str" cm="1">
        <f t="array" ref="J10031">_xlfn.IFS(I10031&lt;=3,"small",I10031&lt;=6,"Medium",I10031&lt;=9,"Large")</f>
        <v>Large</v>
      </c>
      <c r="K10031" s="36">
        <v>44957</v>
      </c>
      <c r="L10031" s="36">
        <v>44959</v>
      </c>
      <c r="M10031" t="s">
        <v>603</v>
      </c>
      <c r="N10031" t="s">
        <v>604</v>
      </c>
      <c r="O10031" s="37" t="str">
        <f t="shared" si="783"/>
        <v>Digital Payment</v>
      </c>
      <c r="P10031">
        <v>228.7</v>
      </c>
      <c r="Q10031" s="37" t="str">
        <f>IF(P10031&gt;500,"High","low")</f>
        <v>low</v>
      </c>
      <c r="R10031" s="37" t="str">
        <f t="shared" si="784"/>
        <v>AVERAGE</v>
      </c>
      <c r="S10031" t="s">
        <v>605</v>
      </c>
    </row>
    <row r="10032" spans="1:19" x14ac:dyDescent="0.2">
      <c r="A10032" t="s">
        <v>10643</v>
      </c>
      <c r="B10032" t="s">
        <v>75</v>
      </c>
      <c r="C10032" t="s">
        <v>602</v>
      </c>
      <c r="D10032">
        <v>1135.18</v>
      </c>
      <c r="E10032" s="37" t="str">
        <f t="shared" si="780"/>
        <v xml:space="preserve"> </v>
      </c>
      <c r="F10032">
        <v>0.18</v>
      </c>
      <c r="G10032" s="37" t="str">
        <f t="shared" si="781"/>
        <v>Normal Discount</v>
      </c>
      <c r="H10032" s="37" t="str">
        <f t="shared" si="782"/>
        <v>Low</v>
      </c>
      <c r="I10032">
        <v>4</v>
      </c>
      <c r="J10032" t="str" cm="1">
        <f t="array" ref="J10032">_xlfn.IFS(I10032&lt;=3,"small",I10032&lt;=6,"Medium",I10032&lt;=9,"Large")</f>
        <v>Medium</v>
      </c>
      <c r="K10032" s="36">
        <v>45182</v>
      </c>
      <c r="L10032" s="36">
        <v>45187</v>
      </c>
      <c r="M10032" t="s">
        <v>612</v>
      </c>
      <c r="N10032" t="s">
        <v>604</v>
      </c>
      <c r="O10032" s="37" t="str">
        <f t="shared" si="783"/>
        <v>Digital Payment</v>
      </c>
      <c r="P10032">
        <v>305.7</v>
      </c>
      <c r="Q10032" s="37" t="str">
        <f>IF(P10032&gt;500,"High","low")</f>
        <v>low</v>
      </c>
      <c r="R10032" s="37" t="str">
        <f t="shared" si="784"/>
        <v>AVERAGE</v>
      </c>
      <c r="S10032" t="s">
        <v>615</v>
      </c>
    </row>
    <row r="10033" spans="1:19" x14ac:dyDescent="0.2">
      <c r="A10033" t="s">
        <v>10644</v>
      </c>
      <c r="B10033" t="s">
        <v>83</v>
      </c>
      <c r="C10033" t="s">
        <v>597</v>
      </c>
      <c r="D10033">
        <v>4018.91</v>
      </c>
      <c r="E10033" s="37" t="str">
        <f t="shared" si="780"/>
        <v>Excellent Order</v>
      </c>
      <c r="F10033">
        <v>0.05</v>
      </c>
      <c r="G10033" s="37" t="str">
        <f t="shared" si="781"/>
        <v>Normal Discount</v>
      </c>
      <c r="H10033" s="37" t="str">
        <f t="shared" si="782"/>
        <v>Low</v>
      </c>
      <c r="I10033">
        <v>1</v>
      </c>
      <c r="J10033" t="str" cm="1">
        <f t="array" ref="J10033">_xlfn.IFS(I10033&lt;=3,"small",I10033&lt;=6,"Medium",I10033&lt;=9,"Large")</f>
        <v>small</v>
      </c>
      <c r="K10033" s="36">
        <v>45384</v>
      </c>
      <c r="L10033" s="36">
        <v>45390</v>
      </c>
      <c r="M10033" t="s">
        <v>612</v>
      </c>
      <c r="N10033" t="s">
        <v>604</v>
      </c>
      <c r="O10033" s="37" t="str">
        <f t="shared" si="783"/>
        <v>Digital Payment</v>
      </c>
      <c r="P10033">
        <v>1154.97</v>
      </c>
      <c r="Q10033" s="37" t="str">
        <f>IF(P10033&gt;500,"High","low")</f>
        <v>High</v>
      </c>
      <c r="R10033" s="37" t="str">
        <f t="shared" si="784"/>
        <v>Excellent</v>
      </c>
      <c r="S10033" t="s">
        <v>605</v>
      </c>
    </row>
    <row r="10034" spans="1:19" x14ac:dyDescent="0.2">
      <c r="A10034" t="s">
        <v>10645</v>
      </c>
      <c r="B10034" t="s">
        <v>75</v>
      </c>
      <c r="C10034" t="s">
        <v>614</v>
      </c>
      <c r="D10034">
        <v>1617.82</v>
      </c>
      <c r="E10034" s="37" t="str">
        <f t="shared" si="780"/>
        <v xml:space="preserve"> </v>
      </c>
      <c r="F10034">
        <v>0.2</v>
      </c>
      <c r="G10034" s="37" t="str">
        <f t="shared" si="781"/>
        <v>Normal Discount</v>
      </c>
      <c r="H10034" s="37" t="str">
        <f t="shared" si="782"/>
        <v>Medium</v>
      </c>
      <c r="I10034">
        <v>7</v>
      </c>
      <c r="J10034" t="str" cm="1">
        <f t="array" ref="J10034">_xlfn.IFS(I10034&lt;=3,"small",I10034&lt;=6,"Medium",I10034&lt;=9,"Large")</f>
        <v>Large</v>
      </c>
      <c r="K10034" s="36">
        <v>45253</v>
      </c>
      <c r="L10034" s="36">
        <v>45255</v>
      </c>
      <c r="M10034" t="s">
        <v>612</v>
      </c>
      <c r="N10034" t="s">
        <v>608</v>
      </c>
      <c r="O10034" s="37" t="str">
        <f t="shared" si="783"/>
        <v>Cash Payment</v>
      </c>
      <c r="P10034">
        <v>100.48</v>
      </c>
      <c r="Q10034" s="37" t="str">
        <f>IF(P10034&gt;500,"High","low")</f>
        <v>low</v>
      </c>
      <c r="R10034" s="37" t="str">
        <f t="shared" si="784"/>
        <v>AVERAGE</v>
      </c>
      <c r="S10034" t="s">
        <v>628</v>
      </c>
    </row>
    <row r="10035" spans="1:19" x14ac:dyDescent="0.2">
      <c r="A10035" t="s">
        <v>10646</v>
      </c>
      <c r="B10035" t="s">
        <v>67</v>
      </c>
      <c r="C10035" t="s">
        <v>617</v>
      </c>
      <c r="D10035">
        <v>1630.58</v>
      </c>
      <c r="E10035" s="37" t="str">
        <f t="shared" si="780"/>
        <v xml:space="preserve"> </v>
      </c>
      <c r="F10035">
        <v>0.28000000000000003</v>
      </c>
      <c r="G10035" s="37" t="str">
        <f t="shared" si="781"/>
        <v>Normal Discount</v>
      </c>
      <c r="H10035" s="37" t="str">
        <f t="shared" si="782"/>
        <v>Medium</v>
      </c>
      <c r="I10035">
        <v>2</v>
      </c>
      <c r="J10035" t="str" cm="1">
        <f t="array" ref="J10035">_xlfn.IFS(I10035&lt;=3,"small",I10035&lt;=6,"Medium",I10035&lt;=9,"Large")</f>
        <v>small</v>
      </c>
      <c r="K10035" s="36">
        <v>45410</v>
      </c>
      <c r="L10035" s="36">
        <v>45411</v>
      </c>
      <c r="M10035" t="s">
        <v>612</v>
      </c>
      <c r="N10035" t="s">
        <v>599</v>
      </c>
      <c r="O10035" s="37" t="str">
        <f t="shared" si="783"/>
        <v>Digital Payment</v>
      </c>
      <c r="P10035">
        <v>145.93</v>
      </c>
      <c r="Q10035" s="37" t="str">
        <f>IF(P10035&gt;500,"High","low")</f>
        <v>low</v>
      </c>
      <c r="R10035" s="37" t="str">
        <f t="shared" si="784"/>
        <v>AVERAGE</v>
      </c>
      <c r="S10035" t="s">
        <v>615</v>
      </c>
    </row>
    <row r="10036" spans="1:19" x14ac:dyDescent="0.2">
      <c r="A10036" t="s">
        <v>10647</v>
      </c>
      <c r="B10036" t="s">
        <v>75</v>
      </c>
      <c r="C10036" t="s">
        <v>607</v>
      </c>
      <c r="D10036">
        <v>3802.38</v>
      </c>
      <c r="E10036" s="37" t="str">
        <f t="shared" si="780"/>
        <v xml:space="preserve"> </v>
      </c>
      <c r="F10036">
        <v>0.05</v>
      </c>
      <c r="G10036" s="37" t="str">
        <f t="shared" si="781"/>
        <v>Normal Discount</v>
      </c>
      <c r="H10036" s="37" t="str">
        <f t="shared" si="782"/>
        <v>Low</v>
      </c>
      <c r="I10036">
        <v>3</v>
      </c>
      <c r="J10036" t="str" cm="1">
        <f t="array" ref="J10036">_xlfn.IFS(I10036&lt;=3,"small",I10036&lt;=6,"Medium",I10036&lt;=9,"Large")</f>
        <v>small</v>
      </c>
      <c r="K10036" s="36">
        <v>45099</v>
      </c>
      <c r="L10036" s="36">
        <v>45100</v>
      </c>
      <c r="M10036" t="s">
        <v>603</v>
      </c>
      <c r="N10036" t="s">
        <v>608</v>
      </c>
      <c r="O10036" s="37" t="str">
        <f t="shared" si="783"/>
        <v>Cash Payment</v>
      </c>
      <c r="P10036">
        <v>351.85</v>
      </c>
      <c r="Q10036" s="37" t="str">
        <f>IF(P10036&gt;500,"High","low")</f>
        <v>low</v>
      </c>
      <c r="R10036" s="37" t="str">
        <f t="shared" si="784"/>
        <v>AVERAGE</v>
      </c>
      <c r="S10036" t="s">
        <v>628</v>
      </c>
    </row>
    <row r="10037" spans="1:19" x14ac:dyDescent="0.2">
      <c r="A10037" t="s">
        <v>10648</v>
      </c>
      <c r="B10037" t="s">
        <v>75</v>
      </c>
      <c r="C10037" t="s">
        <v>617</v>
      </c>
      <c r="D10037">
        <v>2120.94</v>
      </c>
      <c r="E10037" s="37" t="str">
        <f t="shared" si="780"/>
        <v xml:space="preserve"> </v>
      </c>
      <c r="F10037">
        <v>0.26</v>
      </c>
      <c r="G10037" s="37" t="str">
        <f t="shared" si="781"/>
        <v>Normal Discount</v>
      </c>
      <c r="H10037" s="37" t="str">
        <f t="shared" si="782"/>
        <v>Medium</v>
      </c>
      <c r="I10037">
        <v>8</v>
      </c>
      <c r="J10037" t="str" cm="1">
        <f t="array" ref="J10037">_xlfn.IFS(I10037&lt;=3,"small",I10037&lt;=6,"Medium",I10037&lt;=9,"Large")</f>
        <v>Large</v>
      </c>
      <c r="K10037" s="36">
        <v>45112</v>
      </c>
      <c r="L10037" s="36">
        <v>45119</v>
      </c>
      <c r="M10037" t="s">
        <v>603</v>
      </c>
      <c r="N10037" t="s">
        <v>599</v>
      </c>
      <c r="O10037" s="37" t="str">
        <f t="shared" si="783"/>
        <v>Digital Payment</v>
      </c>
      <c r="P10037">
        <v>233.21</v>
      </c>
      <c r="Q10037" s="37" t="str">
        <f>IF(P10037&gt;500,"High","low")</f>
        <v>low</v>
      </c>
      <c r="R10037" s="37" t="str">
        <f t="shared" si="784"/>
        <v>AVERAGE</v>
      </c>
      <c r="S10037" t="s">
        <v>605</v>
      </c>
    </row>
    <row r="10038" spans="1:19" x14ac:dyDescent="0.2">
      <c r="A10038" t="s">
        <v>10649</v>
      </c>
      <c r="B10038" t="s">
        <v>90</v>
      </c>
      <c r="C10038" t="s">
        <v>614</v>
      </c>
      <c r="D10038">
        <v>416.73</v>
      </c>
      <c r="E10038" s="37" t="str">
        <f t="shared" si="780"/>
        <v xml:space="preserve"> </v>
      </c>
      <c r="F10038">
        <v>0.38</v>
      </c>
      <c r="G10038" s="37" t="str">
        <f t="shared" si="781"/>
        <v>Heavy Discount</v>
      </c>
      <c r="H10038" s="37" t="str">
        <f t="shared" si="782"/>
        <v>Medium</v>
      </c>
      <c r="I10038">
        <v>2</v>
      </c>
      <c r="J10038" t="str" cm="1">
        <f t="array" ref="J10038">_xlfn.IFS(I10038&lt;=3,"small",I10038&lt;=6,"Medium",I10038&lt;=9,"Large")</f>
        <v>small</v>
      </c>
      <c r="K10038" s="36">
        <v>45502</v>
      </c>
      <c r="L10038" s="36">
        <v>45506</v>
      </c>
      <c r="M10038" t="s">
        <v>612</v>
      </c>
      <c r="N10038" t="s">
        <v>604</v>
      </c>
      <c r="O10038" s="37" t="str">
        <f t="shared" si="783"/>
        <v>Digital Payment</v>
      </c>
      <c r="P10038">
        <v>92.19</v>
      </c>
      <c r="Q10038" s="37" t="str">
        <f>IF(P10038&gt;500,"High","low")</f>
        <v>low</v>
      </c>
      <c r="R10038" s="37" t="str">
        <f t="shared" si="784"/>
        <v>AVERAGE</v>
      </c>
      <c r="S10038" t="s">
        <v>609</v>
      </c>
    </row>
    <row r="10039" spans="1:19" x14ac:dyDescent="0.2">
      <c r="A10039" t="s">
        <v>10650</v>
      </c>
      <c r="B10039" t="s">
        <v>83</v>
      </c>
      <c r="C10039" t="s">
        <v>602</v>
      </c>
      <c r="D10039">
        <v>2967.12</v>
      </c>
      <c r="E10039" s="37" t="str">
        <f t="shared" si="780"/>
        <v xml:space="preserve"> </v>
      </c>
      <c r="F10039">
        <v>0</v>
      </c>
      <c r="G10039" s="37" t="str">
        <f t="shared" si="781"/>
        <v>Normal Discount</v>
      </c>
      <c r="H10039" s="37" t="str">
        <f t="shared" si="782"/>
        <v>Low</v>
      </c>
      <c r="I10039">
        <v>2</v>
      </c>
      <c r="J10039" t="str" cm="1">
        <f t="array" ref="J10039">_xlfn.IFS(I10039&lt;=3,"small",I10039&lt;=6,"Medium",I10039&lt;=9,"Large")</f>
        <v>small</v>
      </c>
      <c r="K10039" s="36">
        <v>45202</v>
      </c>
      <c r="L10039" s="36">
        <v>45203</v>
      </c>
      <c r="M10039" t="s">
        <v>612</v>
      </c>
      <c r="N10039" t="s">
        <v>608</v>
      </c>
      <c r="O10039" s="37" t="str">
        <f t="shared" si="783"/>
        <v>Cash Payment</v>
      </c>
      <c r="P10039">
        <v>457.63</v>
      </c>
      <c r="Q10039" s="37" t="str">
        <f>IF(P10039&gt;500,"High","low")</f>
        <v>low</v>
      </c>
      <c r="R10039" s="37" t="str">
        <f t="shared" si="784"/>
        <v>AVERAGE</v>
      </c>
      <c r="S10039" t="s">
        <v>609</v>
      </c>
    </row>
    <row r="10040" spans="1:19" x14ac:dyDescent="0.2">
      <c r="A10040" t="s">
        <v>10651</v>
      </c>
      <c r="B10040" t="s">
        <v>67</v>
      </c>
      <c r="C10040" t="s">
        <v>614</v>
      </c>
      <c r="D10040">
        <v>737.33</v>
      </c>
      <c r="E10040" s="37" t="str">
        <f t="shared" si="780"/>
        <v xml:space="preserve"> </v>
      </c>
      <c r="F10040">
        <v>0.02</v>
      </c>
      <c r="G10040" s="37" t="str">
        <f t="shared" si="781"/>
        <v>Normal Discount</v>
      </c>
      <c r="H10040" s="37" t="str">
        <f t="shared" si="782"/>
        <v>Low</v>
      </c>
      <c r="I10040">
        <v>4</v>
      </c>
      <c r="J10040" t="str" cm="1">
        <f t="array" ref="J10040">_xlfn.IFS(I10040&lt;=3,"small",I10040&lt;=6,"Medium",I10040&lt;=9,"Large")</f>
        <v>Medium</v>
      </c>
      <c r="K10040" s="36">
        <v>45518</v>
      </c>
      <c r="L10040" s="36">
        <v>45524</v>
      </c>
      <c r="M10040" t="s">
        <v>612</v>
      </c>
      <c r="N10040" t="s">
        <v>599</v>
      </c>
      <c r="O10040" s="37" t="str">
        <f t="shared" si="783"/>
        <v>Digital Payment</v>
      </c>
      <c r="P10040">
        <v>59.1</v>
      </c>
      <c r="Q10040" s="37" t="str">
        <f>IF(P10040&gt;500,"High","low")</f>
        <v>low</v>
      </c>
      <c r="R10040" s="37" t="str">
        <f t="shared" si="784"/>
        <v>AVERAGE</v>
      </c>
      <c r="S10040" t="s">
        <v>609</v>
      </c>
    </row>
    <row r="10041" spans="1:19" x14ac:dyDescent="0.2">
      <c r="A10041" t="s">
        <v>10652</v>
      </c>
      <c r="B10041" t="s">
        <v>83</v>
      </c>
      <c r="C10041" t="s">
        <v>597</v>
      </c>
      <c r="D10041">
        <v>2901.15</v>
      </c>
      <c r="E10041" s="37" t="str">
        <f t="shared" si="780"/>
        <v xml:space="preserve"> </v>
      </c>
      <c r="F10041">
        <v>0.23</v>
      </c>
      <c r="G10041" s="37" t="str">
        <f t="shared" si="781"/>
        <v>Normal Discount</v>
      </c>
      <c r="H10041" s="37" t="str">
        <f t="shared" si="782"/>
        <v>Medium</v>
      </c>
      <c r="I10041">
        <v>6</v>
      </c>
      <c r="J10041" t="str" cm="1">
        <f t="array" ref="J10041">_xlfn.IFS(I10041&lt;=3,"small",I10041&lt;=6,"Medium",I10041&lt;=9,"Large")</f>
        <v>Medium</v>
      </c>
      <c r="K10041" s="36">
        <v>45116</v>
      </c>
      <c r="L10041" s="36">
        <v>45117</v>
      </c>
      <c r="M10041" t="s">
        <v>598</v>
      </c>
      <c r="N10041" t="s">
        <v>599</v>
      </c>
      <c r="O10041" s="37" t="str">
        <f t="shared" si="783"/>
        <v>Digital Payment</v>
      </c>
      <c r="P10041">
        <v>852.03</v>
      </c>
      <c r="Q10041" s="37" t="str">
        <f>IF(P10041&gt;500,"High","low")</f>
        <v>High</v>
      </c>
      <c r="R10041" s="37" t="str">
        <f t="shared" si="784"/>
        <v>Good</v>
      </c>
      <c r="S10041" t="s">
        <v>615</v>
      </c>
    </row>
    <row r="10042" spans="1:19" x14ac:dyDescent="0.2">
      <c r="A10042" t="s">
        <v>10653</v>
      </c>
      <c r="B10042" t="s">
        <v>67</v>
      </c>
      <c r="C10042" t="s">
        <v>602</v>
      </c>
      <c r="D10042">
        <v>3920.23</v>
      </c>
      <c r="E10042" s="37" t="str">
        <f t="shared" si="780"/>
        <v xml:space="preserve"> </v>
      </c>
      <c r="F10042">
        <v>0.44</v>
      </c>
      <c r="G10042" s="37" t="str">
        <f t="shared" si="781"/>
        <v>Heavy Discount</v>
      </c>
      <c r="H10042" s="37" t="str">
        <f t="shared" si="782"/>
        <v>High</v>
      </c>
      <c r="I10042">
        <v>2</v>
      </c>
      <c r="J10042" t="str" cm="1">
        <f t="array" ref="J10042">_xlfn.IFS(I10042&lt;=3,"small",I10042&lt;=6,"Medium",I10042&lt;=9,"Large")</f>
        <v>small</v>
      </c>
      <c r="K10042" s="36">
        <v>45371</v>
      </c>
      <c r="L10042" s="36">
        <v>45378</v>
      </c>
      <c r="M10042" t="s">
        <v>612</v>
      </c>
      <c r="N10042" t="s">
        <v>608</v>
      </c>
      <c r="O10042" s="37" t="str">
        <f t="shared" si="783"/>
        <v>Cash Payment</v>
      </c>
      <c r="P10042">
        <v>295.07</v>
      </c>
      <c r="Q10042" s="37" t="str">
        <f>IF(P10042&gt;500,"High","low")</f>
        <v>low</v>
      </c>
      <c r="R10042" s="37" t="str">
        <f t="shared" si="784"/>
        <v>AVERAGE</v>
      </c>
      <c r="S10042" t="s">
        <v>620</v>
      </c>
    </row>
    <row r="10043" spans="1:19" x14ac:dyDescent="0.2">
      <c r="A10043" t="s">
        <v>10654</v>
      </c>
      <c r="B10043" t="s">
        <v>75</v>
      </c>
      <c r="C10043" t="s">
        <v>607</v>
      </c>
      <c r="D10043">
        <v>4654.5</v>
      </c>
      <c r="E10043" s="37" t="str">
        <f t="shared" si="780"/>
        <v>Excellent Order</v>
      </c>
      <c r="F10043">
        <v>0.5</v>
      </c>
      <c r="G10043" s="37" t="str">
        <f t="shared" si="781"/>
        <v>Heavy Discount</v>
      </c>
      <c r="H10043" s="37" t="str">
        <f t="shared" si="782"/>
        <v>High</v>
      </c>
      <c r="I10043">
        <v>9</v>
      </c>
      <c r="J10043" t="str" cm="1">
        <f t="array" ref="J10043">_xlfn.IFS(I10043&lt;=3,"small",I10043&lt;=6,"Medium",I10043&lt;=9,"Large")</f>
        <v>Large</v>
      </c>
      <c r="K10043" s="36">
        <v>45542</v>
      </c>
      <c r="L10043" s="36">
        <v>45544</v>
      </c>
      <c r="M10043" t="s">
        <v>612</v>
      </c>
      <c r="N10043" t="s">
        <v>599</v>
      </c>
      <c r="O10043" s="37" t="str">
        <f t="shared" si="783"/>
        <v>Digital Payment</v>
      </c>
      <c r="P10043">
        <v>1257.8399999999999</v>
      </c>
      <c r="Q10043" s="37" t="str">
        <f>IF(P10043&gt;500,"High","low")</f>
        <v>High</v>
      </c>
      <c r="R10043" s="37" t="str">
        <f t="shared" si="784"/>
        <v>Excellent</v>
      </c>
      <c r="S10043" t="s">
        <v>628</v>
      </c>
    </row>
    <row r="10044" spans="1:19" x14ac:dyDescent="0.2">
      <c r="A10044" t="s">
        <v>10655</v>
      </c>
      <c r="B10044" t="s">
        <v>90</v>
      </c>
      <c r="C10044" t="s">
        <v>607</v>
      </c>
      <c r="D10044">
        <v>428.56</v>
      </c>
      <c r="E10044" s="37" t="str">
        <f t="shared" si="780"/>
        <v xml:space="preserve"> </v>
      </c>
      <c r="F10044">
        <v>0.05</v>
      </c>
      <c r="G10044" s="37" t="str">
        <f t="shared" si="781"/>
        <v>Normal Discount</v>
      </c>
      <c r="H10044" s="37" t="str">
        <f t="shared" si="782"/>
        <v>Low</v>
      </c>
      <c r="I10044">
        <v>2</v>
      </c>
      <c r="J10044" t="str" cm="1">
        <f t="array" ref="J10044">_xlfn.IFS(I10044&lt;=3,"small",I10044&lt;=6,"Medium",I10044&lt;=9,"Large")</f>
        <v>small</v>
      </c>
      <c r="K10044" s="36">
        <v>45294</v>
      </c>
      <c r="L10044" s="36">
        <v>45301</v>
      </c>
      <c r="M10044" t="s">
        <v>612</v>
      </c>
      <c r="N10044" t="s">
        <v>608</v>
      </c>
      <c r="O10044" s="37" t="str">
        <f t="shared" si="783"/>
        <v>Cash Payment</v>
      </c>
      <c r="P10044">
        <v>57.74</v>
      </c>
      <c r="Q10044" s="37" t="str">
        <f>IF(P10044&gt;500,"High","low")</f>
        <v>low</v>
      </c>
      <c r="R10044" s="37" t="str">
        <f t="shared" si="784"/>
        <v>AVERAGE</v>
      </c>
      <c r="S10044" t="s">
        <v>628</v>
      </c>
    </row>
    <row r="10045" spans="1:19" x14ac:dyDescent="0.2">
      <c r="A10045" t="s">
        <v>10656</v>
      </c>
      <c r="B10045" t="s">
        <v>90</v>
      </c>
      <c r="C10045" t="s">
        <v>614</v>
      </c>
      <c r="D10045">
        <v>1589.44</v>
      </c>
      <c r="E10045" s="37" t="str">
        <f t="shared" si="780"/>
        <v xml:space="preserve"> </v>
      </c>
      <c r="F10045">
        <v>0.01</v>
      </c>
      <c r="G10045" s="37" t="str">
        <f t="shared" si="781"/>
        <v>Normal Discount</v>
      </c>
      <c r="H10045" s="37" t="str">
        <f t="shared" si="782"/>
        <v>Low</v>
      </c>
      <c r="I10045">
        <v>9</v>
      </c>
      <c r="J10045" t="str" cm="1">
        <f t="array" ref="J10045">_xlfn.IFS(I10045&lt;=3,"small",I10045&lt;=6,"Medium",I10045&lt;=9,"Large")</f>
        <v>Large</v>
      </c>
      <c r="K10045" s="36">
        <v>45285</v>
      </c>
      <c r="L10045" s="36">
        <v>45287</v>
      </c>
      <c r="M10045" t="s">
        <v>598</v>
      </c>
      <c r="N10045" t="s">
        <v>608</v>
      </c>
      <c r="O10045" s="37" t="str">
        <f t="shared" si="783"/>
        <v>Cash Payment</v>
      </c>
      <c r="P10045">
        <v>128.47</v>
      </c>
      <c r="Q10045" s="37" t="str">
        <f>IF(P10045&gt;500,"High","low")</f>
        <v>low</v>
      </c>
      <c r="R10045" s="37" t="str">
        <f t="shared" si="784"/>
        <v>AVERAGE</v>
      </c>
      <c r="S10045" t="s">
        <v>615</v>
      </c>
    </row>
    <row r="10046" spans="1:19" x14ac:dyDescent="0.2">
      <c r="A10046" t="s">
        <v>10657</v>
      </c>
      <c r="B10046" t="s">
        <v>83</v>
      </c>
      <c r="C10046" t="s">
        <v>597</v>
      </c>
      <c r="D10046">
        <v>3297.07</v>
      </c>
      <c r="E10046" s="37" t="str">
        <f t="shared" si="780"/>
        <v xml:space="preserve"> </v>
      </c>
      <c r="F10046">
        <v>0.11</v>
      </c>
      <c r="G10046" s="37" t="str">
        <f t="shared" si="781"/>
        <v>Normal Discount</v>
      </c>
      <c r="H10046" s="37" t="str">
        <f t="shared" si="782"/>
        <v>Low</v>
      </c>
      <c r="I10046">
        <v>7</v>
      </c>
      <c r="J10046" t="str" cm="1">
        <f t="array" ref="J10046">_xlfn.IFS(I10046&lt;=3,"small",I10046&lt;=6,"Medium",I10046&lt;=9,"Large")</f>
        <v>Large</v>
      </c>
      <c r="K10046" s="36">
        <v>45051</v>
      </c>
      <c r="L10046" s="36">
        <v>45056</v>
      </c>
      <c r="M10046" t="s">
        <v>598</v>
      </c>
      <c r="N10046" t="s">
        <v>604</v>
      </c>
      <c r="O10046" s="37" t="str">
        <f t="shared" si="783"/>
        <v>Digital Payment</v>
      </c>
      <c r="P10046">
        <v>208.07</v>
      </c>
      <c r="Q10046" s="37" t="str">
        <f>IF(P10046&gt;500,"High","low")</f>
        <v>low</v>
      </c>
      <c r="R10046" s="37" t="str">
        <f t="shared" si="784"/>
        <v>AVERAGE</v>
      </c>
      <c r="S10046" t="s">
        <v>620</v>
      </c>
    </row>
    <row r="10047" spans="1:19" x14ac:dyDescent="0.2">
      <c r="A10047" t="s">
        <v>10658</v>
      </c>
      <c r="B10047" t="s">
        <v>90</v>
      </c>
      <c r="C10047" t="s">
        <v>607</v>
      </c>
      <c r="D10047">
        <v>1645.72</v>
      </c>
      <c r="E10047" s="37" t="str">
        <f t="shared" si="780"/>
        <v xml:space="preserve"> </v>
      </c>
      <c r="F10047">
        <v>0.23</v>
      </c>
      <c r="G10047" s="37" t="str">
        <f t="shared" si="781"/>
        <v>Normal Discount</v>
      </c>
      <c r="H10047" s="37" t="str">
        <f t="shared" si="782"/>
        <v>Medium</v>
      </c>
      <c r="I10047">
        <v>3</v>
      </c>
      <c r="J10047" t="str" cm="1">
        <f t="array" ref="J10047">_xlfn.IFS(I10047&lt;=3,"small",I10047&lt;=6,"Medium",I10047&lt;=9,"Large")</f>
        <v>small</v>
      </c>
      <c r="K10047" s="36">
        <v>45567</v>
      </c>
      <c r="L10047" s="36">
        <v>45568</v>
      </c>
      <c r="M10047" t="s">
        <v>612</v>
      </c>
      <c r="N10047" t="s">
        <v>604</v>
      </c>
      <c r="O10047" s="37" t="str">
        <f t="shared" si="783"/>
        <v>Digital Payment</v>
      </c>
      <c r="P10047">
        <v>277.42</v>
      </c>
      <c r="Q10047" s="37" t="str">
        <f>IF(P10047&gt;500,"High","low")</f>
        <v>low</v>
      </c>
      <c r="R10047" s="37" t="str">
        <f t="shared" si="784"/>
        <v>AVERAGE</v>
      </c>
      <c r="S10047" t="s">
        <v>615</v>
      </c>
    </row>
    <row r="10048" spans="1:19" x14ac:dyDescent="0.2">
      <c r="A10048" t="s">
        <v>10659</v>
      </c>
      <c r="B10048" t="s">
        <v>83</v>
      </c>
      <c r="C10048" t="s">
        <v>617</v>
      </c>
      <c r="D10048">
        <v>2310.0300000000002</v>
      </c>
      <c r="E10048" s="37" t="str">
        <f t="shared" si="780"/>
        <v xml:space="preserve"> </v>
      </c>
      <c r="F10048">
        <v>0.28999999999999998</v>
      </c>
      <c r="G10048" s="37" t="str">
        <f t="shared" si="781"/>
        <v>Normal Discount</v>
      </c>
      <c r="H10048" s="37" t="str">
        <f t="shared" si="782"/>
        <v>Medium</v>
      </c>
      <c r="I10048">
        <v>9</v>
      </c>
      <c r="J10048" t="str" cm="1">
        <f t="array" ref="J10048">_xlfn.IFS(I10048&lt;=3,"small",I10048&lt;=6,"Medium",I10048&lt;=9,"Large")</f>
        <v>Large</v>
      </c>
      <c r="K10048" s="36">
        <v>44935</v>
      </c>
      <c r="L10048" s="36">
        <v>44940</v>
      </c>
      <c r="M10048" t="s">
        <v>598</v>
      </c>
      <c r="N10048" t="s">
        <v>604</v>
      </c>
      <c r="O10048" s="37" t="str">
        <f t="shared" si="783"/>
        <v>Digital Payment</v>
      </c>
      <c r="P10048">
        <v>354.43</v>
      </c>
      <c r="Q10048" s="37" t="str">
        <f>IF(P10048&gt;500,"High","low")</f>
        <v>low</v>
      </c>
      <c r="R10048" s="37" t="str">
        <f t="shared" si="784"/>
        <v>AVERAGE</v>
      </c>
      <c r="S10048" t="s">
        <v>628</v>
      </c>
    </row>
    <row r="10049" spans="1:19" x14ac:dyDescent="0.2">
      <c r="A10049" t="s">
        <v>10660</v>
      </c>
      <c r="B10049" t="s">
        <v>83</v>
      </c>
      <c r="C10049" t="s">
        <v>602</v>
      </c>
      <c r="D10049">
        <v>198.45</v>
      </c>
      <c r="E10049" s="37" t="str">
        <f t="shared" si="780"/>
        <v xml:space="preserve"> </v>
      </c>
      <c r="F10049">
        <v>0.49</v>
      </c>
      <c r="G10049" s="37" t="str">
        <f t="shared" si="781"/>
        <v>Heavy Discount</v>
      </c>
      <c r="H10049" s="37" t="str">
        <f t="shared" si="782"/>
        <v>High</v>
      </c>
      <c r="I10049">
        <v>9</v>
      </c>
      <c r="J10049" t="str" cm="1">
        <f t="array" ref="J10049">_xlfn.IFS(I10049&lt;=3,"small",I10049&lt;=6,"Medium",I10049&lt;=9,"Large")</f>
        <v>Large</v>
      </c>
      <c r="K10049" s="36">
        <v>45031</v>
      </c>
      <c r="L10049" s="36">
        <v>45036</v>
      </c>
      <c r="M10049" t="s">
        <v>598</v>
      </c>
      <c r="N10049" t="s">
        <v>604</v>
      </c>
      <c r="O10049" s="37" t="str">
        <f t="shared" si="783"/>
        <v>Digital Payment</v>
      </c>
      <c r="P10049">
        <v>34.119999999999997</v>
      </c>
      <c r="Q10049" s="37" t="str">
        <f>IF(P10049&gt;500,"High","low")</f>
        <v>low</v>
      </c>
      <c r="R10049" s="37" t="str">
        <f t="shared" si="784"/>
        <v>AVERAGE</v>
      </c>
      <c r="S10049" t="s">
        <v>620</v>
      </c>
    </row>
    <row r="10050" spans="1:19" x14ac:dyDescent="0.2">
      <c r="A10050" t="s">
        <v>10661</v>
      </c>
      <c r="B10050" t="s">
        <v>67</v>
      </c>
      <c r="C10050" t="s">
        <v>617</v>
      </c>
      <c r="D10050">
        <v>3498.14</v>
      </c>
      <c r="E10050" s="37" t="str">
        <f t="shared" si="780"/>
        <v xml:space="preserve"> </v>
      </c>
      <c r="F10050">
        <v>0.44</v>
      </c>
      <c r="G10050" s="37" t="str">
        <f t="shared" si="781"/>
        <v>Heavy Discount</v>
      </c>
      <c r="H10050" s="37" t="str">
        <f t="shared" si="782"/>
        <v>High</v>
      </c>
      <c r="I10050">
        <v>6</v>
      </c>
      <c r="J10050" t="str" cm="1">
        <f t="array" ref="J10050">_xlfn.IFS(I10050&lt;=3,"small",I10050&lt;=6,"Medium",I10050&lt;=9,"Large")</f>
        <v>Medium</v>
      </c>
      <c r="K10050" s="36">
        <v>45020</v>
      </c>
      <c r="L10050" s="36">
        <v>45021</v>
      </c>
      <c r="M10050" t="s">
        <v>603</v>
      </c>
      <c r="N10050" t="s">
        <v>608</v>
      </c>
      <c r="O10050" s="37" t="str">
        <f t="shared" si="783"/>
        <v>Cash Payment</v>
      </c>
      <c r="P10050">
        <v>759.24</v>
      </c>
      <c r="Q10050" s="37" t="str">
        <f>IF(P10050&gt;500,"High","low")</f>
        <v>High</v>
      </c>
      <c r="R10050" s="37" t="str">
        <f t="shared" si="784"/>
        <v>Good</v>
      </c>
      <c r="S10050" t="s">
        <v>609</v>
      </c>
    </row>
    <row r="10051" spans="1:19" x14ac:dyDescent="0.2">
      <c r="A10051" t="s">
        <v>10662</v>
      </c>
      <c r="B10051" t="s">
        <v>83</v>
      </c>
      <c r="C10051" t="s">
        <v>607</v>
      </c>
      <c r="D10051">
        <v>4428.07</v>
      </c>
      <c r="E10051" s="37" t="str">
        <f t="shared" ref="E10051:E10114" si="785">IF(AND(D10051&gt;4000,P10051&gt;800),"Excellent Order"," ")</f>
        <v xml:space="preserve"> </v>
      </c>
      <c r="F10051">
        <v>0.28000000000000003</v>
      </c>
      <c r="G10051" s="37" t="str">
        <f t="shared" ref="G10051:G10114" si="786">IF(F10051&gt;30%,"Heavy Discount","Normal Discount")</f>
        <v>Normal Discount</v>
      </c>
      <c r="H10051" s="37" t="str">
        <f t="shared" ref="H10051:H10114" si="787">IF(F10051&gt;0.4,"High",IF(F10051&gt;=0.2,"Medium","Low"))</f>
        <v>Medium</v>
      </c>
      <c r="I10051">
        <v>2</v>
      </c>
      <c r="J10051" t="str" cm="1">
        <f t="array" ref="J10051">_xlfn.IFS(I10051&lt;=3,"small",I10051&lt;=6,"Medium",I10051&lt;=9,"Large")</f>
        <v>small</v>
      </c>
      <c r="K10051" s="36">
        <v>45459</v>
      </c>
      <c r="L10051" s="36">
        <v>45461</v>
      </c>
      <c r="M10051" t="s">
        <v>612</v>
      </c>
      <c r="N10051" t="s">
        <v>608</v>
      </c>
      <c r="O10051" s="37" t="str">
        <f t="shared" ref="O10051:O10114" si="788">IF(OR(N10051="Card",N10051="UPI"),"Digital Payment","Cash Payment")</f>
        <v>Cash Payment</v>
      </c>
      <c r="P10051">
        <v>521.95000000000005</v>
      </c>
      <c r="Q10051" s="37" t="str">
        <f>IF(P10051&gt;500,"High","low")</f>
        <v>High</v>
      </c>
      <c r="R10051" s="37" t="str">
        <f t="shared" ref="R10051:R10114" si="789">IF(P10051&gt;1000,"Excellent",IF(P10051&gt;=500,"Good","AVERAGE"))</f>
        <v>Good</v>
      </c>
      <c r="S10051" t="s">
        <v>605</v>
      </c>
    </row>
    <row r="10052" spans="1:19" x14ac:dyDescent="0.2">
      <c r="A10052" t="s">
        <v>10663</v>
      </c>
      <c r="B10052" t="s">
        <v>67</v>
      </c>
      <c r="C10052" t="s">
        <v>607</v>
      </c>
      <c r="D10052">
        <v>4886.6099999999997</v>
      </c>
      <c r="E10052" s="37" t="str">
        <f t="shared" si="785"/>
        <v xml:space="preserve"> </v>
      </c>
      <c r="F10052">
        <v>0.18</v>
      </c>
      <c r="G10052" s="37" t="str">
        <f t="shared" si="786"/>
        <v>Normal Discount</v>
      </c>
      <c r="H10052" s="37" t="str">
        <f t="shared" si="787"/>
        <v>Low</v>
      </c>
      <c r="I10052">
        <v>7</v>
      </c>
      <c r="J10052" t="str" cm="1">
        <f t="array" ref="J10052">_xlfn.IFS(I10052&lt;=3,"small",I10052&lt;=6,"Medium",I10052&lt;=9,"Large")</f>
        <v>Large</v>
      </c>
      <c r="K10052" s="36">
        <v>45648</v>
      </c>
      <c r="L10052" s="36">
        <v>45651</v>
      </c>
      <c r="M10052" t="s">
        <v>603</v>
      </c>
      <c r="N10052" t="s">
        <v>604</v>
      </c>
      <c r="O10052" s="37" t="str">
        <f t="shared" si="788"/>
        <v>Digital Payment</v>
      </c>
      <c r="P10052">
        <v>246.22</v>
      </c>
      <c r="Q10052" s="37" t="str">
        <f>IF(P10052&gt;500,"High","low")</f>
        <v>low</v>
      </c>
      <c r="R10052" s="37" t="str">
        <f t="shared" si="789"/>
        <v>AVERAGE</v>
      </c>
      <c r="S10052" t="s">
        <v>609</v>
      </c>
    </row>
    <row r="10053" spans="1:19" x14ac:dyDescent="0.2">
      <c r="A10053" t="s">
        <v>10664</v>
      </c>
      <c r="B10053" t="s">
        <v>90</v>
      </c>
      <c r="C10053" t="s">
        <v>614</v>
      </c>
      <c r="D10053">
        <v>4169.6099999999997</v>
      </c>
      <c r="E10053" s="37" t="str">
        <f t="shared" si="785"/>
        <v xml:space="preserve"> </v>
      </c>
      <c r="F10053">
        <v>0.16</v>
      </c>
      <c r="G10053" s="37" t="str">
        <f t="shared" si="786"/>
        <v>Normal Discount</v>
      </c>
      <c r="H10053" s="37" t="str">
        <f t="shared" si="787"/>
        <v>Low</v>
      </c>
      <c r="I10053">
        <v>4</v>
      </c>
      <c r="J10053" t="str" cm="1">
        <f t="array" ref="J10053">_xlfn.IFS(I10053&lt;=3,"small",I10053&lt;=6,"Medium",I10053&lt;=9,"Large")</f>
        <v>Medium</v>
      </c>
      <c r="K10053" s="36">
        <v>44948</v>
      </c>
      <c r="L10053" s="36">
        <v>44955</v>
      </c>
      <c r="M10053" t="s">
        <v>612</v>
      </c>
      <c r="N10053" t="s">
        <v>608</v>
      </c>
      <c r="O10053" s="37" t="str">
        <f t="shared" si="788"/>
        <v>Cash Payment</v>
      </c>
      <c r="P10053">
        <v>770.12</v>
      </c>
      <c r="Q10053" s="37" t="str">
        <f>IF(P10053&gt;500,"High","low")</f>
        <v>High</v>
      </c>
      <c r="R10053" s="37" t="str">
        <f t="shared" si="789"/>
        <v>Good</v>
      </c>
      <c r="S10053" t="s">
        <v>605</v>
      </c>
    </row>
    <row r="10054" spans="1:19" x14ac:dyDescent="0.2">
      <c r="A10054" t="s">
        <v>10665</v>
      </c>
      <c r="B10054" t="s">
        <v>83</v>
      </c>
      <c r="C10054" t="s">
        <v>614</v>
      </c>
      <c r="D10054">
        <v>255.7</v>
      </c>
      <c r="E10054" s="37" t="str">
        <f t="shared" si="785"/>
        <v xml:space="preserve"> </v>
      </c>
      <c r="F10054">
        <v>0.28999999999999998</v>
      </c>
      <c r="G10054" s="37" t="str">
        <f t="shared" si="786"/>
        <v>Normal Discount</v>
      </c>
      <c r="H10054" s="37" t="str">
        <f t="shared" si="787"/>
        <v>Medium</v>
      </c>
      <c r="I10054">
        <v>4</v>
      </c>
      <c r="J10054" t="str" cm="1">
        <f t="array" ref="J10054">_xlfn.IFS(I10054&lt;=3,"small",I10054&lt;=6,"Medium",I10054&lt;=9,"Large")</f>
        <v>Medium</v>
      </c>
      <c r="K10054" s="36">
        <v>45290</v>
      </c>
      <c r="L10054" s="36">
        <v>45293</v>
      </c>
      <c r="M10054" t="s">
        <v>612</v>
      </c>
      <c r="N10054" t="s">
        <v>604</v>
      </c>
      <c r="O10054" s="37" t="str">
        <f t="shared" si="788"/>
        <v>Digital Payment</v>
      </c>
      <c r="P10054">
        <v>16.07</v>
      </c>
      <c r="Q10054" s="37" t="str">
        <f>IF(P10054&gt;500,"High","low")</f>
        <v>low</v>
      </c>
      <c r="R10054" s="37" t="str">
        <f t="shared" si="789"/>
        <v>AVERAGE</v>
      </c>
      <c r="S10054" t="s">
        <v>609</v>
      </c>
    </row>
    <row r="10055" spans="1:19" x14ac:dyDescent="0.2">
      <c r="A10055" t="s">
        <v>10666</v>
      </c>
      <c r="B10055" t="s">
        <v>83</v>
      </c>
      <c r="C10055" t="s">
        <v>602</v>
      </c>
      <c r="D10055">
        <v>3294.08</v>
      </c>
      <c r="E10055" s="37" t="str">
        <f t="shared" si="785"/>
        <v xml:space="preserve"> </v>
      </c>
      <c r="F10055">
        <v>0.36</v>
      </c>
      <c r="G10055" s="37" t="str">
        <f t="shared" si="786"/>
        <v>Heavy Discount</v>
      </c>
      <c r="H10055" s="37" t="str">
        <f t="shared" si="787"/>
        <v>Medium</v>
      </c>
      <c r="I10055">
        <v>7</v>
      </c>
      <c r="J10055" t="str" cm="1">
        <f t="array" ref="J10055">_xlfn.IFS(I10055&lt;=3,"small",I10055&lt;=6,"Medium",I10055&lt;=9,"Large")</f>
        <v>Large</v>
      </c>
      <c r="K10055" s="36">
        <v>45272</v>
      </c>
      <c r="L10055" s="36">
        <v>45275</v>
      </c>
      <c r="M10055" t="s">
        <v>598</v>
      </c>
      <c r="N10055" t="s">
        <v>599</v>
      </c>
      <c r="O10055" s="37" t="str">
        <f t="shared" si="788"/>
        <v>Digital Payment</v>
      </c>
      <c r="P10055">
        <v>837.91</v>
      </c>
      <c r="Q10055" s="37" t="str">
        <f>IF(P10055&gt;500,"High","low")</f>
        <v>High</v>
      </c>
      <c r="R10055" s="37" t="str">
        <f t="shared" si="789"/>
        <v>Good</v>
      </c>
      <c r="S10055" t="s">
        <v>600</v>
      </c>
    </row>
    <row r="10056" spans="1:19" x14ac:dyDescent="0.2">
      <c r="A10056" t="s">
        <v>10667</v>
      </c>
      <c r="B10056" t="s">
        <v>75</v>
      </c>
      <c r="C10056" t="s">
        <v>614</v>
      </c>
      <c r="D10056">
        <v>2528.73</v>
      </c>
      <c r="E10056" s="37" t="str">
        <f t="shared" si="785"/>
        <v xml:space="preserve"> </v>
      </c>
      <c r="F10056">
        <v>0.24</v>
      </c>
      <c r="G10056" s="37" t="str">
        <f t="shared" si="786"/>
        <v>Normal Discount</v>
      </c>
      <c r="H10056" s="37" t="str">
        <f t="shared" si="787"/>
        <v>Medium</v>
      </c>
      <c r="I10056">
        <v>5</v>
      </c>
      <c r="J10056" t="str" cm="1">
        <f t="array" ref="J10056">_xlfn.IFS(I10056&lt;=3,"small",I10056&lt;=6,"Medium",I10056&lt;=9,"Large")</f>
        <v>Medium</v>
      </c>
      <c r="K10056" s="36">
        <v>45642</v>
      </c>
      <c r="L10056" s="36">
        <v>45647</v>
      </c>
      <c r="M10056" t="s">
        <v>612</v>
      </c>
      <c r="N10056" t="s">
        <v>604</v>
      </c>
      <c r="O10056" s="37" t="str">
        <f t="shared" si="788"/>
        <v>Digital Payment</v>
      </c>
      <c r="P10056">
        <v>637.49</v>
      </c>
      <c r="Q10056" s="37" t="str">
        <f>IF(P10056&gt;500,"High","low")</f>
        <v>High</v>
      </c>
      <c r="R10056" s="37" t="str">
        <f t="shared" si="789"/>
        <v>Good</v>
      </c>
      <c r="S10056" t="s">
        <v>600</v>
      </c>
    </row>
    <row r="10057" spans="1:19" x14ac:dyDescent="0.2">
      <c r="A10057" t="s">
        <v>10668</v>
      </c>
      <c r="B10057" t="s">
        <v>83</v>
      </c>
      <c r="C10057" t="s">
        <v>597</v>
      </c>
      <c r="D10057">
        <v>4695.6899999999996</v>
      </c>
      <c r="E10057" s="37" t="str">
        <f t="shared" si="785"/>
        <v xml:space="preserve"> </v>
      </c>
      <c r="F10057">
        <v>0.15</v>
      </c>
      <c r="G10057" s="37" t="str">
        <f t="shared" si="786"/>
        <v>Normal Discount</v>
      </c>
      <c r="H10057" s="37" t="str">
        <f t="shared" si="787"/>
        <v>Low</v>
      </c>
      <c r="I10057">
        <v>1</v>
      </c>
      <c r="J10057" t="str" cm="1">
        <f t="array" ref="J10057">_xlfn.IFS(I10057&lt;=3,"small",I10057&lt;=6,"Medium",I10057&lt;=9,"Large")</f>
        <v>small</v>
      </c>
      <c r="K10057" s="36">
        <v>45475</v>
      </c>
      <c r="L10057" s="36">
        <v>45482</v>
      </c>
      <c r="M10057" t="s">
        <v>598</v>
      </c>
      <c r="N10057" t="s">
        <v>599</v>
      </c>
      <c r="O10057" s="37" t="str">
        <f t="shared" si="788"/>
        <v>Digital Payment</v>
      </c>
      <c r="P10057">
        <v>376.47</v>
      </c>
      <c r="Q10057" s="37" t="str">
        <f>IF(P10057&gt;500,"High","low")</f>
        <v>low</v>
      </c>
      <c r="R10057" s="37" t="str">
        <f t="shared" si="789"/>
        <v>AVERAGE</v>
      </c>
      <c r="S10057" t="s">
        <v>609</v>
      </c>
    </row>
    <row r="10058" spans="1:19" x14ac:dyDescent="0.2">
      <c r="A10058" t="s">
        <v>10669</v>
      </c>
      <c r="B10058" t="s">
        <v>83</v>
      </c>
      <c r="C10058" t="s">
        <v>602</v>
      </c>
      <c r="D10058">
        <v>4520.4799999999996</v>
      </c>
      <c r="E10058" s="37" t="str">
        <f t="shared" si="785"/>
        <v>Excellent Order</v>
      </c>
      <c r="F10058">
        <v>0.31</v>
      </c>
      <c r="G10058" s="37" t="str">
        <f t="shared" si="786"/>
        <v>Heavy Discount</v>
      </c>
      <c r="H10058" s="37" t="str">
        <f t="shared" si="787"/>
        <v>Medium</v>
      </c>
      <c r="I10058">
        <v>3</v>
      </c>
      <c r="J10058" t="str" cm="1">
        <f t="array" ref="J10058">_xlfn.IFS(I10058&lt;=3,"small",I10058&lt;=6,"Medium",I10058&lt;=9,"Large")</f>
        <v>small</v>
      </c>
      <c r="K10058" s="36">
        <v>45181</v>
      </c>
      <c r="L10058" s="36">
        <v>45184</v>
      </c>
      <c r="M10058" t="s">
        <v>598</v>
      </c>
      <c r="N10058" t="s">
        <v>599</v>
      </c>
      <c r="O10058" s="37" t="str">
        <f t="shared" si="788"/>
        <v>Digital Payment</v>
      </c>
      <c r="P10058">
        <v>1302.6099999999999</v>
      </c>
      <c r="Q10058" s="37" t="str">
        <f>IF(P10058&gt;500,"High","low")</f>
        <v>High</v>
      </c>
      <c r="R10058" s="37" t="str">
        <f t="shared" si="789"/>
        <v>Excellent</v>
      </c>
      <c r="S10058" t="s">
        <v>628</v>
      </c>
    </row>
    <row r="10059" spans="1:19" x14ac:dyDescent="0.2">
      <c r="A10059" t="s">
        <v>10670</v>
      </c>
      <c r="B10059" t="s">
        <v>75</v>
      </c>
      <c r="C10059" t="s">
        <v>597</v>
      </c>
      <c r="D10059">
        <v>4941.43</v>
      </c>
      <c r="E10059" s="37" t="str">
        <f t="shared" si="785"/>
        <v xml:space="preserve"> </v>
      </c>
      <c r="F10059">
        <v>0.28000000000000003</v>
      </c>
      <c r="G10059" s="37" t="str">
        <f t="shared" si="786"/>
        <v>Normal Discount</v>
      </c>
      <c r="H10059" s="37" t="str">
        <f t="shared" si="787"/>
        <v>Medium</v>
      </c>
      <c r="I10059">
        <v>7</v>
      </c>
      <c r="J10059" t="str" cm="1">
        <f t="array" ref="J10059">_xlfn.IFS(I10059&lt;=3,"small",I10059&lt;=6,"Medium",I10059&lt;=9,"Large")</f>
        <v>Large</v>
      </c>
      <c r="K10059" s="36">
        <v>45358</v>
      </c>
      <c r="L10059" s="36">
        <v>45364</v>
      </c>
      <c r="M10059" t="s">
        <v>603</v>
      </c>
      <c r="N10059" t="s">
        <v>608</v>
      </c>
      <c r="O10059" s="37" t="str">
        <f t="shared" si="788"/>
        <v>Cash Payment</v>
      </c>
      <c r="P10059">
        <v>744.5</v>
      </c>
      <c r="Q10059" s="37" t="str">
        <f>IF(P10059&gt;500,"High","low")</f>
        <v>High</v>
      </c>
      <c r="R10059" s="37" t="str">
        <f t="shared" si="789"/>
        <v>Good</v>
      </c>
      <c r="S10059" t="s">
        <v>620</v>
      </c>
    </row>
    <row r="10060" spans="1:19" x14ac:dyDescent="0.2">
      <c r="A10060" t="s">
        <v>10671</v>
      </c>
      <c r="B10060" t="s">
        <v>75</v>
      </c>
      <c r="C10060" t="s">
        <v>614</v>
      </c>
      <c r="D10060">
        <v>4323.4799999999996</v>
      </c>
      <c r="E10060" s="37" t="str">
        <f t="shared" si="785"/>
        <v>Excellent Order</v>
      </c>
      <c r="F10060">
        <v>0.21</v>
      </c>
      <c r="G10060" s="37" t="str">
        <f t="shared" si="786"/>
        <v>Normal Discount</v>
      </c>
      <c r="H10060" s="37" t="str">
        <f t="shared" si="787"/>
        <v>Medium</v>
      </c>
      <c r="I10060">
        <v>9</v>
      </c>
      <c r="J10060" t="str" cm="1">
        <f t="array" ref="J10060">_xlfn.IFS(I10060&lt;=3,"small",I10060&lt;=6,"Medium",I10060&lt;=9,"Large")</f>
        <v>Large</v>
      </c>
      <c r="K10060" s="36">
        <v>45056</v>
      </c>
      <c r="L10060" s="36">
        <v>45060</v>
      </c>
      <c r="M10060" t="s">
        <v>598</v>
      </c>
      <c r="N10060" t="s">
        <v>604</v>
      </c>
      <c r="O10060" s="37" t="str">
        <f t="shared" si="788"/>
        <v>Digital Payment</v>
      </c>
      <c r="P10060">
        <v>820.44</v>
      </c>
      <c r="Q10060" s="37" t="str">
        <f>IF(P10060&gt;500,"High","low")</f>
        <v>High</v>
      </c>
      <c r="R10060" s="37" t="str">
        <f t="shared" si="789"/>
        <v>Good</v>
      </c>
      <c r="S10060" t="s">
        <v>628</v>
      </c>
    </row>
    <row r="10061" spans="1:19" x14ac:dyDescent="0.2">
      <c r="A10061" t="s">
        <v>10672</v>
      </c>
      <c r="B10061" t="s">
        <v>90</v>
      </c>
      <c r="C10061" t="s">
        <v>602</v>
      </c>
      <c r="D10061">
        <v>2779.77</v>
      </c>
      <c r="E10061" s="37" t="str">
        <f t="shared" si="785"/>
        <v xml:space="preserve"> </v>
      </c>
      <c r="F10061">
        <v>0.37</v>
      </c>
      <c r="G10061" s="37" t="str">
        <f t="shared" si="786"/>
        <v>Heavy Discount</v>
      </c>
      <c r="H10061" s="37" t="str">
        <f t="shared" si="787"/>
        <v>Medium</v>
      </c>
      <c r="I10061">
        <v>9</v>
      </c>
      <c r="J10061" t="str" cm="1">
        <f t="array" ref="J10061">_xlfn.IFS(I10061&lt;=3,"small",I10061&lt;=6,"Medium",I10061&lt;=9,"Large")</f>
        <v>Large</v>
      </c>
      <c r="K10061" s="36">
        <v>45542</v>
      </c>
      <c r="L10061" s="36">
        <v>45546</v>
      </c>
      <c r="M10061" t="s">
        <v>603</v>
      </c>
      <c r="N10061" t="s">
        <v>599</v>
      </c>
      <c r="O10061" s="37" t="str">
        <f t="shared" si="788"/>
        <v>Digital Payment</v>
      </c>
      <c r="P10061">
        <v>660.43</v>
      </c>
      <c r="Q10061" s="37" t="str">
        <f>IF(P10061&gt;500,"High","low")</f>
        <v>High</v>
      </c>
      <c r="R10061" s="37" t="str">
        <f t="shared" si="789"/>
        <v>Good</v>
      </c>
      <c r="S10061" t="s">
        <v>600</v>
      </c>
    </row>
    <row r="10062" spans="1:19" x14ac:dyDescent="0.2">
      <c r="A10062" t="s">
        <v>10673</v>
      </c>
      <c r="B10062" t="s">
        <v>83</v>
      </c>
      <c r="C10062" t="s">
        <v>607</v>
      </c>
      <c r="D10062">
        <v>3603.01</v>
      </c>
      <c r="E10062" s="37" t="str">
        <f t="shared" si="785"/>
        <v xml:space="preserve"> </v>
      </c>
      <c r="F10062">
        <v>0.14000000000000001</v>
      </c>
      <c r="G10062" s="37" t="str">
        <f t="shared" si="786"/>
        <v>Normal Discount</v>
      </c>
      <c r="H10062" s="37" t="str">
        <f t="shared" si="787"/>
        <v>Low</v>
      </c>
      <c r="I10062">
        <v>7</v>
      </c>
      <c r="J10062" t="str" cm="1">
        <f t="array" ref="J10062">_xlfn.IFS(I10062&lt;=3,"small",I10062&lt;=6,"Medium",I10062&lt;=9,"Large")</f>
        <v>Large</v>
      </c>
      <c r="K10062" s="36">
        <v>45582</v>
      </c>
      <c r="L10062" s="36">
        <v>45588</v>
      </c>
      <c r="M10062" t="s">
        <v>598</v>
      </c>
      <c r="N10062" t="s">
        <v>604</v>
      </c>
      <c r="O10062" s="37" t="str">
        <f t="shared" si="788"/>
        <v>Digital Payment</v>
      </c>
      <c r="P10062">
        <v>351.43</v>
      </c>
      <c r="Q10062" s="37" t="str">
        <f>IF(P10062&gt;500,"High","low")</f>
        <v>low</v>
      </c>
      <c r="R10062" s="37" t="str">
        <f t="shared" si="789"/>
        <v>AVERAGE</v>
      </c>
      <c r="S10062" t="s">
        <v>620</v>
      </c>
    </row>
    <row r="10063" spans="1:19" x14ac:dyDescent="0.2">
      <c r="A10063" t="s">
        <v>10674</v>
      </c>
      <c r="B10063" t="s">
        <v>90</v>
      </c>
      <c r="C10063" t="s">
        <v>617</v>
      </c>
      <c r="D10063">
        <v>4826.92</v>
      </c>
      <c r="E10063" s="37" t="str">
        <f t="shared" si="785"/>
        <v xml:space="preserve"> </v>
      </c>
      <c r="F10063">
        <v>0.24</v>
      </c>
      <c r="G10063" s="37" t="str">
        <f t="shared" si="786"/>
        <v>Normal Discount</v>
      </c>
      <c r="H10063" s="37" t="str">
        <f t="shared" si="787"/>
        <v>Medium</v>
      </c>
      <c r="I10063">
        <v>5</v>
      </c>
      <c r="J10063" t="str" cm="1">
        <f t="array" ref="J10063">_xlfn.IFS(I10063&lt;=3,"small",I10063&lt;=6,"Medium",I10063&lt;=9,"Large")</f>
        <v>Medium</v>
      </c>
      <c r="K10063" s="36">
        <v>45232</v>
      </c>
      <c r="L10063" s="36">
        <v>45237</v>
      </c>
      <c r="M10063" t="s">
        <v>603</v>
      </c>
      <c r="N10063" t="s">
        <v>599</v>
      </c>
      <c r="O10063" s="37" t="str">
        <f t="shared" si="788"/>
        <v>Digital Payment</v>
      </c>
      <c r="P10063">
        <v>254.26</v>
      </c>
      <c r="Q10063" s="37" t="str">
        <f>IF(P10063&gt;500,"High","low")</f>
        <v>low</v>
      </c>
      <c r="R10063" s="37" t="str">
        <f t="shared" si="789"/>
        <v>AVERAGE</v>
      </c>
      <c r="S10063" t="s">
        <v>605</v>
      </c>
    </row>
    <row r="10064" spans="1:19" x14ac:dyDescent="0.2">
      <c r="A10064" t="s">
        <v>10675</v>
      </c>
      <c r="B10064" t="s">
        <v>90</v>
      </c>
      <c r="C10064" t="s">
        <v>607</v>
      </c>
      <c r="D10064">
        <v>2932.77</v>
      </c>
      <c r="E10064" s="37" t="str">
        <f t="shared" si="785"/>
        <v xml:space="preserve"> </v>
      </c>
      <c r="F10064">
        <v>0.47</v>
      </c>
      <c r="G10064" s="37" t="str">
        <f t="shared" si="786"/>
        <v>Heavy Discount</v>
      </c>
      <c r="H10064" s="37" t="str">
        <f t="shared" si="787"/>
        <v>High</v>
      </c>
      <c r="I10064">
        <v>4</v>
      </c>
      <c r="J10064" t="str" cm="1">
        <f t="array" ref="J10064">_xlfn.IFS(I10064&lt;=3,"small",I10064&lt;=6,"Medium",I10064&lt;=9,"Large")</f>
        <v>Medium</v>
      </c>
      <c r="K10064" s="36">
        <v>45307</v>
      </c>
      <c r="L10064" s="36">
        <v>45309</v>
      </c>
      <c r="M10064" t="s">
        <v>612</v>
      </c>
      <c r="N10064" t="s">
        <v>608</v>
      </c>
      <c r="O10064" s="37" t="str">
        <f t="shared" si="788"/>
        <v>Cash Payment</v>
      </c>
      <c r="P10064">
        <v>687.81</v>
      </c>
      <c r="Q10064" s="37" t="str">
        <f>IF(P10064&gt;500,"High","low")</f>
        <v>High</v>
      </c>
      <c r="R10064" s="37" t="str">
        <f t="shared" si="789"/>
        <v>Good</v>
      </c>
      <c r="S10064" t="s">
        <v>620</v>
      </c>
    </row>
    <row r="10065" spans="1:19" x14ac:dyDescent="0.2">
      <c r="A10065" t="s">
        <v>10676</v>
      </c>
      <c r="B10065" t="s">
        <v>75</v>
      </c>
      <c r="C10065" t="s">
        <v>597</v>
      </c>
      <c r="D10065">
        <v>4215.8999999999996</v>
      </c>
      <c r="E10065" s="37" t="str">
        <f t="shared" si="785"/>
        <v>Excellent Order</v>
      </c>
      <c r="F10065">
        <v>0.36</v>
      </c>
      <c r="G10065" s="37" t="str">
        <f t="shared" si="786"/>
        <v>Heavy Discount</v>
      </c>
      <c r="H10065" s="37" t="str">
        <f t="shared" si="787"/>
        <v>Medium</v>
      </c>
      <c r="I10065">
        <v>9</v>
      </c>
      <c r="J10065" t="str" cm="1">
        <f t="array" ref="J10065">_xlfn.IFS(I10065&lt;=3,"small",I10065&lt;=6,"Medium",I10065&lt;=9,"Large")</f>
        <v>Large</v>
      </c>
      <c r="K10065" s="36">
        <v>45306</v>
      </c>
      <c r="L10065" s="36">
        <v>45307</v>
      </c>
      <c r="M10065" t="s">
        <v>612</v>
      </c>
      <c r="N10065" t="s">
        <v>608</v>
      </c>
      <c r="O10065" s="37" t="str">
        <f t="shared" si="788"/>
        <v>Cash Payment</v>
      </c>
      <c r="P10065">
        <v>1044.32</v>
      </c>
      <c r="Q10065" s="37" t="str">
        <f>IF(P10065&gt;500,"High","low")</f>
        <v>High</v>
      </c>
      <c r="R10065" s="37" t="str">
        <f t="shared" si="789"/>
        <v>Excellent</v>
      </c>
      <c r="S10065" t="s">
        <v>615</v>
      </c>
    </row>
    <row r="10066" spans="1:19" x14ac:dyDescent="0.2">
      <c r="A10066" t="s">
        <v>10677</v>
      </c>
      <c r="B10066" t="s">
        <v>67</v>
      </c>
      <c r="C10066" t="s">
        <v>607</v>
      </c>
      <c r="D10066">
        <v>4716.83</v>
      </c>
      <c r="E10066" s="37" t="str">
        <f t="shared" si="785"/>
        <v>Excellent Order</v>
      </c>
      <c r="F10066">
        <v>0.19</v>
      </c>
      <c r="G10066" s="37" t="str">
        <f t="shared" si="786"/>
        <v>Normal Discount</v>
      </c>
      <c r="H10066" s="37" t="str">
        <f t="shared" si="787"/>
        <v>Low</v>
      </c>
      <c r="I10066">
        <v>6</v>
      </c>
      <c r="J10066" t="str" cm="1">
        <f t="array" ref="J10066">_xlfn.IFS(I10066&lt;=3,"small",I10066&lt;=6,"Medium",I10066&lt;=9,"Large")</f>
        <v>Medium</v>
      </c>
      <c r="K10066" s="36">
        <v>45537</v>
      </c>
      <c r="L10066" s="36">
        <v>45544</v>
      </c>
      <c r="M10066" t="s">
        <v>598</v>
      </c>
      <c r="N10066" t="s">
        <v>608</v>
      </c>
      <c r="O10066" s="37" t="str">
        <f t="shared" si="788"/>
        <v>Cash Payment</v>
      </c>
      <c r="P10066">
        <v>1013.61</v>
      </c>
      <c r="Q10066" s="37" t="str">
        <f>IF(P10066&gt;500,"High","low")</f>
        <v>High</v>
      </c>
      <c r="R10066" s="37" t="str">
        <f t="shared" si="789"/>
        <v>Excellent</v>
      </c>
      <c r="S10066" t="s">
        <v>609</v>
      </c>
    </row>
    <row r="10067" spans="1:19" x14ac:dyDescent="0.2">
      <c r="A10067" t="s">
        <v>10678</v>
      </c>
      <c r="B10067" t="s">
        <v>90</v>
      </c>
      <c r="C10067" t="s">
        <v>607</v>
      </c>
      <c r="D10067">
        <v>2895.63</v>
      </c>
      <c r="E10067" s="37" t="str">
        <f t="shared" si="785"/>
        <v xml:space="preserve"> </v>
      </c>
      <c r="F10067">
        <v>0.27</v>
      </c>
      <c r="G10067" s="37" t="str">
        <f t="shared" si="786"/>
        <v>Normal Discount</v>
      </c>
      <c r="H10067" s="37" t="str">
        <f t="shared" si="787"/>
        <v>Medium</v>
      </c>
      <c r="I10067">
        <v>2</v>
      </c>
      <c r="J10067" t="str" cm="1">
        <f t="array" ref="J10067">_xlfn.IFS(I10067&lt;=3,"small",I10067&lt;=6,"Medium",I10067&lt;=9,"Large")</f>
        <v>small</v>
      </c>
      <c r="K10067" s="36">
        <v>45444</v>
      </c>
      <c r="L10067" s="36">
        <v>45451</v>
      </c>
      <c r="M10067" t="s">
        <v>612</v>
      </c>
      <c r="N10067" t="s">
        <v>599</v>
      </c>
      <c r="O10067" s="37" t="str">
        <f t="shared" si="788"/>
        <v>Digital Payment</v>
      </c>
      <c r="P10067">
        <v>595.01</v>
      </c>
      <c r="Q10067" s="37" t="str">
        <f>IF(P10067&gt;500,"High","low")</f>
        <v>High</v>
      </c>
      <c r="R10067" s="37" t="str">
        <f t="shared" si="789"/>
        <v>Good</v>
      </c>
      <c r="S10067" t="s">
        <v>628</v>
      </c>
    </row>
    <row r="10068" spans="1:19" x14ac:dyDescent="0.2">
      <c r="A10068" t="s">
        <v>10679</v>
      </c>
      <c r="B10068" t="s">
        <v>67</v>
      </c>
      <c r="C10068" t="s">
        <v>617</v>
      </c>
      <c r="D10068">
        <v>879.86</v>
      </c>
      <c r="E10068" s="37" t="str">
        <f t="shared" si="785"/>
        <v xml:space="preserve"> </v>
      </c>
      <c r="F10068">
        <v>0.2</v>
      </c>
      <c r="G10068" s="37" t="str">
        <f t="shared" si="786"/>
        <v>Normal Discount</v>
      </c>
      <c r="H10068" s="37" t="str">
        <f t="shared" si="787"/>
        <v>Medium</v>
      </c>
      <c r="I10068">
        <v>3</v>
      </c>
      <c r="J10068" t="str" cm="1">
        <f t="array" ref="J10068">_xlfn.IFS(I10068&lt;=3,"small",I10068&lt;=6,"Medium",I10068&lt;=9,"Large")</f>
        <v>small</v>
      </c>
      <c r="K10068" s="36">
        <v>45627</v>
      </c>
      <c r="L10068" s="36">
        <v>45632</v>
      </c>
      <c r="M10068" t="s">
        <v>612</v>
      </c>
      <c r="N10068" t="s">
        <v>604</v>
      </c>
      <c r="O10068" s="37" t="str">
        <f t="shared" si="788"/>
        <v>Digital Payment</v>
      </c>
      <c r="P10068">
        <v>242.48</v>
      </c>
      <c r="Q10068" s="37" t="str">
        <f>IF(P10068&gt;500,"High","low")</f>
        <v>low</v>
      </c>
      <c r="R10068" s="37" t="str">
        <f t="shared" si="789"/>
        <v>AVERAGE</v>
      </c>
      <c r="S10068" t="s">
        <v>620</v>
      </c>
    </row>
    <row r="10069" spans="1:19" x14ac:dyDescent="0.2">
      <c r="A10069" t="s">
        <v>10680</v>
      </c>
      <c r="B10069" t="s">
        <v>83</v>
      </c>
      <c r="C10069" t="s">
        <v>617</v>
      </c>
      <c r="D10069">
        <v>862.26</v>
      </c>
      <c r="E10069" s="37" t="str">
        <f t="shared" si="785"/>
        <v xml:space="preserve"> </v>
      </c>
      <c r="F10069">
        <v>0.06</v>
      </c>
      <c r="G10069" s="37" t="str">
        <f t="shared" si="786"/>
        <v>Normal Discount</v>
      </c>
      <c r="H10069" s="37" t="str">
        <f t="shared" si="787"/>
        <v>Low</v>
      </c>
      <c r="I10069">
        <v>7</v>
      </c>
      <c r="J10069" t="str" cm="1">
        <f t="array" ref="J10069">_xlfn.IFS(I10069&lt;=3,"small",I10069&lt;=6,"Medium",I10069&lt;=9,"Large")</f>
        <v>Large</v>
      </c>
      <c r="K10069" s="36">
        <v>45588</v>
      </c>
      <c r="L10069" s="36">
        <v>45591</v>
      </c>
      <c r="M10069" t="s">
        <v>612</v>
      </c>
      <c r="N10069" t="s">
        <v>608</v>
      </c>
      <c r="O10069" s="37" t="str">
        <f t="shared" si="788"/>
        <v>Cash Payment</v>
      </c>
      <c r="P10069">
        <v>233.53</v>
      </c>
      <c r="Q10069" s="37" t="str">
        <f>IF(P10069&gt;500,"High","low")</f>
        <v>low</v>
      </c>
      <c r="R10069" s="37" t="str">
        <f t="shared" si="789"/>
        <v>AVERAGE</v>
      </c>
      <c r="S10069" t="s">
        <v>605</v>
      </c>
    </row>
    <row r="10070" spans="1:19" x14ac:dyDescent="0.2">
      <c r="A10070" t="s">
        <v>10681</v>
      </c>
      <c r="B10070" t="s">
        <v>75</v>
      </c>
      <c r="C10070" t="s">
        <v>607</v>
      </c>
      <c r="D10070">
        <v>665.05</v>
      </c>
      <c r="E10070" s="37" t="str">
        <f t="shared" si="785"/>
        <v xml:space="preserve"> </v>
      </c>
      <c r="F10070">
        <v>0.17</v>
      </c>
      <c r="G10070" s="37" t="str">
        <f t="shared" si="786"/>
        <v>Normal Discount</v>
      </c>
      <c r="H10070" s="37" t="str">
        <f t="shared" si="787"/>
        <v>Low</v>
      </c>
      <c r="I10070">
        <v>4</v>
      </c>
      <c r="J10070" t="str" cm="1">
        <f t="array" ref="J10070">_xlfn.IFS(I10070&lt;=3,"small",I10070&lt;=6,"Medium",I10070&lt;=9,"Large")</f>
        <v>Medium</v>
      </c>
      <c r="K10070" s="36">
        <v>45408</v>
      </c>
      <c r="L10070" s="36">
        <v>45409</v>
      </c>
      <c r="M10070" t="s">
        <v>598</v>
      </c>
      <c r="N10070" t="s">
        <v>599</v>
      </c>
      <c r="O10070" s="37" t="str">
        <f t="shared" si="788"/>
        <v>Digital Payment</v>
      </c>
      <c r="P10070">
        <v>49.07</v>
      </c>
      <c r="Q10070" s="37" t="str">
        <f>IF(P10070&gt;500,"High","low")</f>
        <v>low</v>
      </c>
      <c r="R10070" s="37" t="str">
        <f t="shared" si="789"/>
        <v>AVERAGE</v>
      </c>
      <c r="S10070" t="s">
        <v>605</v>
      </c>
    </row>
    <row r="10071" spans="1:19" x14ac:dyDescent="0.2">
      <c r="A10071" t="s">
        <v>10682</v>
      </c>
      <c r="B10071" t="s">
        <v>83</v>
      </c>
      <c r="C10071" t="s">
        <v>617</v>
      </c>
      <c r="D10071">
        <v>2433.98</v>
      </c>
      <c r="E10071" s="37" t="str">
        <f t="shared" si="785"/>
        <v xml:space="preserve"> </v>
      </c>
      <c r="F10071">
        <v>0.43</v>
      </c>
      <c r="G10071" s="37" t="str">
        <f t="shared" si="786"/>
        <v>Heavy Discount</v>
      </c>
      <c r="H10071" s="37" t="str">
        <f t="shared" si="787"/>
        <v>High</v>
      </c>
      <c r="I10071">
        <v>7</v>
      </c>
      <c r="J10071" t="str" cm="1">
        <f t="array" ref="J10071">_xlfn.IFS(I10071&lt;=3,"small",I10071&lt;=6,"Medium",I10071&lt;=9,"Large")</f>
        <v>Large</v>
      </c>
      <c r="K10071" s="36">
        <v>45560</v>
      </c>
      <c r="L10071" s="36">
        <v>45566</v>
      </c>
      <c r="M10071" t="s">
        <v>612</v>
      </c>
      <c r="N10071" t="s">
        <v>604</v>
      </c>
      <c r="O10071" s="37" t="str">
        <f t="shared" si="788"/>
        <v>Digital Payment</v>
      </c>
      <c r="P10071">
        <v>244.53</v>
      </c>
      <c r="Q10071" s="37" t="str">
        <f>IF(P10071&gt;500,"High","low")</f>
        <v>low</v>
      </c>
      <c r="R10071" s="37" t="str">
        <f t="shared" si="789"/>
        <v>AVERAGE</v>
      </c>
      <c r="S10071" t="s">
        <v>620</v>
      </c>
    </row>
    <row r="10072" spans="1:19" x14ac:dyDescent="0.2">
      <c r="A10072" t="s">
        <v>10683</v>
      </c>
      <c r="B10072" t="s">
        <v>83</v>
      </c>
      <c r="C10072" t="s">
        <v>607</v>
      </c>
      <c r="D10072">
        <v>2452.69</v>
      </c>
      <c r="E10072" s="37" t="str">
        <f t="shared" si="785"/>
        <v xml:space="preserve"> </v>
      </c>
      <c r="F10072">
        <v>0.23</v>
      </c>
      <c r="G10072" s="37" t="str">
        <f t="shared" si="786"/>
        <v>Normal Discount</v>
      </c>
      <c r="H10072" s="37" t="str">
        <f t="shared" si="787"/>
        <v>Medium</v>
      </c>
      <c r="I10072">
        <v>5</v>
      </c>
      <c r="J10072" t="str" cm="1">
        <f t="array" ref="J10072">_xlfn.IFS(I10072&lt;=3,"small",I10072&lt;=6,"Medium",I10072&lt;=9,"Large")</f>
        <v>Medium</v>
      </c>
      <c r="K10072" s="36">
        <v>45003</v>
      </c>
      <c r="L10072" s="36">
        <v>45005</v>
      </c>
      <c r="M10072" t="s">
        <v>612</v>
      </c>
      <c r="N10072" t="s">
        <v>599</v>
      </c>
      <c r="O10072" s="37" t="str">
        <f t="shared" si="788"/>
        <v>Digital Payment</v>
      </c>
      <c r="P10072">
        <v>517.20000000000005</v>
      </c>
      <c r="Q10072" s="37" t="str">
        <f>IF(P10072&gt;500,"High","low")</f>
        <v>High</v>
      </c>
      <c r="R10072" s="37" t="str">
        <f t="shared" si="789"/>
        <v>Good</v>
      </c>
      <c r="S10072" t="s">
        <v>615</v>
      </c>
    </row>
    <row r="10073" spans="1:19" x14ac:dyDescent="0.2">
      <c r="A10073" t="s">
        <v>10684</v>
      </c>
      <c r="B10073" t="s">
        <v>75</v>
      </c>
      <c r="C10073" t="s">
        <v>602</v>
      </c>
      <c r="D10073">
        <v>3125.12</v>
      </c>
      <c r="E10073" s="37" t="str">
        <f t="shared" si="785"/>
        <v xml:space="preserve"> </v>
      </c>
      <c r="F10073">
        <v>0.28999999999999998</v>
      </c>
      <c r="G10073" s="37" t="str">
        <f t="shared" si="786"/>
        <v>Normal Discount</v>
      </c>
      <c r="H10073" s="37" t="str">
        <f t="shared" si="787"/>
        <v>Medium</v>
      </c>
      <c r="I10073">
        <v>1</v>
      </c>
      <c r="J10073" t="str" cm="1">
        <f t="array" ref="J10073">_xlfn.IFS(I10073&lt;=3,"small",I10073&lt;=6,"Medium",I10073&lt;=9,"Large")</f>
        <v>small</v>
      </c>
      <c r="K10073" s="36">
        <v>45611</v>
      </c>
      <c r="L10073" s="36">
        <v>45614</v>
      </c>
      <c r="M10073" t="s">
        <v>612</v>
      </c>
      <c r="N10073" t="s">
        <v>604</v>
      </c>
      <c r="O10073" s="37" t="str">
        <f t="shared" si="788"/>
        <v>Digital Payment</v>
      </c>
      <c r="P10073">
        <v>219.47</v>
      </c>
      <c r="Q10073" s="37" t="str">
        <f>IF(P10073&gt;500,"High","low")</f>
        <v>low</v>
      </c>
      <c r="R10073" s="37" t="str">
        <f t="shared" si="789"/>
        <v>AVERAGE</v>
      </c>
      <c r="S10073" t="s">
        <v>609</v>
      </c>
    </row>
    <row r="10074" spans="1:19" x14ac:dyDescent="0.2">
      <c r="A10074" t="s">
        <v>10685</v>
      </c>
      <c r="B10074" t="s">
        <v>83</v>
      </c>
      <c r="C10074" t="s">
        <v>607</v>
      </c>
      <c r="D10074">
        <v>2466.08</v>
      </c>
      <c r="E10074" s="37" t="str">
        <f t="shared" si="785"/>
        <v xml:space="preserve"> </v>
      </c>
      <c r="F10074">
        <v>0.09</v>
      </c>
      <c r="G10074" s="37" t="str">
        <f t="shared" si="786"/>
        <v>Normal Discount</v>
      </c>
      <c r="H10074" s="37" t="str">
        <f t="shared" si="787"/>
        <v>Low</v>
      </c>
      <c r="I10074">
        <v>3</v>
      </c>
      <c r="J10074" t="str" cm="1">
        <f t="array" ref="J10074">_xlfn.IFS(I10074&lt;=3,"small",I10074&lt;=6,"Medium",I10074&lt;=9,"Large")</f>
        <v>small</v>
      </c>
      <c r="K10074" s="36">
        <v>45136</v>
      </c>
      <c r="L10074" s="36">
        <v>45142</v>
      </c>
      <c r="M10074" t="s">
        <v>603</v>
      </c>
      <c r="N10074" t="s">
        <v>599</v>
      </c>
      <c r="O10074" s="37" t="str">
        <f t="shared" si="788"/>
        <v>Digital Payment</v>
      </c>
      <c r="P10074">
        <v>460.58</v>
      </c>
      <c r="Q10074" s="37" t="str">
        <f>IF(P10074&gt;500,"High","low")</f>
        <v>low</v>
      </c>
      <c r="R10074" s="37" t="str">
        <f t="shared" si="789"/>
        <v>AVERAGE</v>
      </c>
      <c r="S10074" t="s">
        <v>609</v>
      </c>
    </row>
    <row r="10075" spans="1:19" x14ac:dyDescent="0.2">
      <c r="A10075" t="s">
        <v>10686</v>
      </c>
      <c r="B10075" t="s">
        <v>75</v>
      </c>
      <c r="C10075" t="s">
        <v>614</v>
      </c>
      <c r="D10075">
        <v>4867.97</v>
      </c>
      <c r="E10075" s="37" t="str">
        <f t="shared" si="785"/>
        <v xml:space="preserve"> </v>
      </c>
      <c r="F10075">
        <v>0.18</v>
      </c>
      <c r="G10075" s="37" t="str">
        <f t="shared" si="786"/>
        <v>Normal Discount</v>
      </c>
      <c r="H10075" s="37" t="str">
        <f t="shared" si="787"/>
        <v>Low</v>
      </c>
      <c r="I10075">
        <v>9</v>
      </c>
      <c r="J10075" t="str" cm="1">
        <f t="array" ref="J10075">_xlfn.IFS(I10075&lt;=3,"small",I10075&lt;=6,"Medium",I10075&lt;=9,"Large")</f>
        <v>Large</v>
      </c>
      <c r="K10075" s="36">
        <v>45238</v>
      </c>
      <c r="L10075" s="36">
        <v>45242</v>
      </c>
      <c r="M10075" t="s">
        <v>612</v>
      </c>
      <c r="N10075" t="s">
        <v>599</v>
      </c>
      <c r="O10075" s="37" t="str">
        <f t="shared" si="788"/>
        <v>Digital Payment</v>
      </c>
      <c r="P10075">
        <v>413.29</v>
      </c>
      <c r="Q10075" s="37" t="str">
        <f>IF(P10075&gt;500,"High","low")</f>
        <v>low</v>
      </c>
      <c r="R10075" s="37" t="str">
        <f t="shared" si="789"/>
        <v>AVERAGE</v>
      </c>
      <c r="S10075" t="s">
        <v>600</v>
      </c>
    </row>
    <row r="10076" spans="1:19" x14ac:dyDescent="0.2">
      <c r="A10076" t="s">
        <v>10687</v>
      </c>
      <c r="B10076" t="s">
        <v>67</v>
      </c>
      <c r="C10076" t="s">
        <v>617</v>
      </c>
      <c r="D10076">
        <v>1527.42</v>
      </c>
      <c r="E10076" s="37" t="str">
        <f t="shared" si="785"/>
        <v xml:space="preserve"> </v>
      </c>
      <c r="F10076">
        <v>0.46</v>
      </c>
      <c r="G10076" s="37" t="str">
        <f t="shared" si="786"/>
        <v>Heavy Discount</v>
      </c>
      <c r="H10076" s="37" t="str">
        <f t="shared" si="787"/>
        <v>High</v>
      </c>
      <c r="I10076">
        <v>4</v>
      </c>
      <c r="J10076" t="str" cm="1">
        <f t="array" ref="J10076">_xlfn.IFS(I10076&lt;=3,"small",I10076&lt;=6,"Medium",I10076&lt;=9,"Large")</f>
        <v>Medium</v>
      </c>
      <c r="K10076" s="36">
        <v>45610</v>
      </c>
      <c r="L10076" s="36">
        <v>45614</v>
      </c>
      <c r="M10076" t="s">
        <v>612</v>
      </c>
      <c r="N10076" t="s">
        <v>599</v>
      </c>
      <c r="O10076" s="37" t="str">
        <f t="shared" si="788"/>
        <v>Digital Payment</v>
      </c>
      <c r="P10076">
        <v>437.44</v>
      </c>
      <c r="Q10076" s="37" t="str">
        <f>IF(P10076&gt;500,"High","low")</f>
        <v>low</v>
      </c>
      <c r="R10076" s="37" t="str">
        <f t="shared" si="789"/>
        <v>AVERAGE</v>
      </c>
      <c r="S10076" t="s">
        <v>628</v>
      </c>
    </row>
    <row r="10077" spans="1:19" x14ac:dyDescent="0.2">
      <c r="A10077" t="s">
        <v>10688</v>
      </c>
      <c r="B10077" t="s">
        <v>83</v>
      </c>
      <c r="C10077" t="s">
        <v>617</v>
      </c>
      <c r="D10077">
        <v>4381.7</v>
      </c>
      <c r="E10077" s="37" t="str">
        <f t="shared" si="785"/>
        <v xml:space="preserve"> </v>
      </c>
      <c r="F10077">
        <v>0.16</v>
      </c>
      <c r="G10077" s="37" t="str">
        <f t="shared" si="786"/>
        <v>Normal Discount</v>
      </c>
      <c r="H10077" s="37" t="str">
        <f t="shared" si="787"/>
        <v>Low</v>
      </c>
      <c r="I10077">
        <v>5</v>
      </c>
      <c r="J10077" t="str" cm="1">
        <f t="array" ref="J10077">_xlfn.IFS(I10077&lt;=3,"small",I10077&lt;=6,"Medium",I10077&lt;=9,"Large")</f>
        <v>Medium</v>
      </c>
      <c r="K10077" s="36">
        <v>45031</v>
      </c>
      <c r="L10077" s="36">
        <v>45036</v>
      </c>
      <c r="M10077" t="s">
        <v>603</v>
      </c>
      <c r="N10077" t="s">
        <v>608</v>
      </c>
      <c r="O10077" s="37" t="str">
        <f t="shared" si="788"/>
        <v>Cash Payment</v>
      </c>
      <c r="P10077">
        <v>647.39</v>
      </c>
      <c r="Q10077" s="37" t="str">
        <f>IF(P10077&gt;500,"High","low")</f>
        <v>High</v>
      </c>
      <c r="R10077" s="37" t="str">
        <f t="shared" si="789"/>
        <v>Good</v>
      </c>
      <c r="S10077" t="s">
        <v>605</v>
      </c>
    </row>
    <row r="10078" spans="1:19" x14ac:dyDescent="0.2">
      <c r="A10078" t="s">
        <v>10689</v>
      </c>
      <c r="B10078" t="s">
        <v>75</v>
      </c>
      <c r="C10078" t="s">
        <v>597</v>
      </c>
      <c r="D10078">
        <v>591.62</v>
      </c>
      <c r="E10078" s="37" t="str">
        <f t="shared" si="785"/>
        <v xml:space="preserve"> </v>
      </c>
      <c r="F10078">
        <v>0.13</v>
      </c>
      <c r="G10078" s="37" t="str">
        <f t="shared" si="786"/>
        <v>Normal Discount</v>
      </c>
      <c r="H10078" s="37" t="str">
        <f t="shared" si="787"/>
        <v>Low</v>
      </c>
      <c r="I10078">
        <v>2</v>
      </c>
      <c r="J10078" t="str" cm="1">
        <f t="array" ref="J10078">_xlfn.IFS(I10078&lt;=3,"small",I10078&lt;=6,"Medium",I10078&lt;=9,"Large")</f>
        <v>small</v>
      </c>
      <c r="K10078" s="36">
        <v>45142</v>
      </c>
      <c r="L10078" s="36">
        <v>45144</v>
      </c>
      <c r="M10078" t="s">
        <v>598</v>
      </c>
      <c r="N10078" t="s">
        <v>599</v>
      </c>
      <c r="O10078" s="37" t="str">
        <f t="shared" si="788"/>
        <v>Digital Payment</v>
      </c>
      <c r="P10078">
        <v>63.89</v>
      </c>
      <c r="Q10078" s="37" t="str">
        <f>IF(P10078&gt;500,"High","low")</f>
        <v>low</v>
      </c>
      <c r="R10078" s="37" t="str">
        <f t="shared" si="789"/>
        <v>AVERAGE</v>
      </c>
      <c r="S10078" t="s">
        <v>628</v>
      </c>
    </row>
    <row r="10079" spans="1:19" x14ac:dyDescent="0.2">
      <c r="A10079" t="s">
        <v>10690</v>
      </c>
      <c r="B10079" t="s">
        <v>90</v>
      </c>
      <c r="C10079" t="s">
        <v>597</v>
      </c>
      <c r="D10079">
        <v>3049.4</v>
      </c>
      <c r="E10079" s="37" t="str">
        <f t="shared" si="785"/>
        <v xml:space="preserve"> </v>
      </c>
      <c r="F10079">
        <v>0.03</v>
      </c>
      <c r="G10079" s="37" t="str">
        <f t="shared" si="786"/>
        <v>Normal Discount</v>
      </c>
      <c r="H10079" s="37" t="str">
        <f t="shared" si="787"/>
        <v>Low</v>
      </c>
      <c r="I10079">
        <v>8</v>
      </c>
      <c r="J10079" t="str" cm="1">
        <f t="array" ref="J10079">_xlfn.IFS(I10079&lt;=3,"small",I10079&lt;=6,"Medium",I10079&lt;=9,"Large")</f>
        <v>Large</v>
      </c>
      <c r="K10079" s="36">
        <v>45567</v>
      </c>
      <c r="L10079" s="36">
        <v>45574</v>
      </c>
      <c r="M10079" t="s">
        <v>598</v>
      </c>
      <c r="N10079" t="s">
        <v>599</v>
      </c>
      <c r="O10079" s="37" t="str">
        <f t="shared" si="788"/>
        <v>Digital Payment</v>
      </c>
      <c r="P10079">
        <v>728.6</v>
      </c>
      <c r="Q10079" s="37" t="str">
        <f>IF(P10079&gt;500,"High","low")</f>
        <v>High</v>
      </c>
      <c r="R10079" s="37" t="str">
        <f t="shared" si="789"/>
        <v>Good</v>
      </c>
      <c r="S10079" t="s">
        <v>615</v>
      </c>
    </row>
    <row r="10080" spans="1:19" x14ac:dyDescent="0.2">
      <c r="A10080" t="s">
        <v>10691</v>
      </c>
      <c r="B10080" t="s">
        <v>83</v>
      </c>
      <c r="C10080" t="s">
        <v>614</v>
      </c>
      <c r="D10080">
        <v>3276.79</v>
      </c>
      <c r="E10080" s="37" t="str">
        <f t="shared" si="785"/>
        <v xml:space="preserve"> </v>
      </c>
      <c r="F10080">
        <v>0.05</v>
      </c>
      <c r="G10080" s="37" t="str">
        <f t="shared" si="786"/>
        <v>Normal Discount</v>
      </c>
      <c r="H10080" s="37" t="str">
        <f t="shared" si="787"/>
        <v>Low</v>
      </c>
      <c r="I10080">
        <v>1</v>
      </c>
      <c r="J10080" t="str" cm="1">
        <f t="array" ref="J10080">_xlfn.IFS(I10080&lt;=3,"small",I10080&lt;=6,"Medium",I10080&lt;=9,"Large")</f>
        <v>small</v>
      </c>
      <c r="K10080" s="36">
        <v>45155</v>
      </c>
      <c r="L10080" s="36">
        <v>45162</v>
      </c>
      <c r="M10080" t="s">
        <v>603</v>
      </c>
      <c r="N10080" t="s">
        <v>604</v>
      </c>
      <c r="O10080" s="37" t="str">
        <f t="shared" si="788"/>
        <v>Digital Payment</v>
      </c>
      <c r="P10080">
        <v>332.23</v>
      </c>
      <c r="Q10080" s="37" t="str">
        <f>IF(P10080&gt;500,"High","low")</f>
        <v>low</v>
      </c>
      <c r="R10080" s="37" t="str">
        <f t="shared" si="789"/>
        <v>AVERAGE</v>
      </c>
      <c r="S10080" t="s">
        <v>615</v>
      </c>
    </row>
    <row r="10081" spans="1:19" x14ac:dyDescent="0.2">
      <c r="A10081" t="s">
        <v>10692</v>
      </c>
      <c r="B10081" t="s">
        <v>67</v>
      </c>
      <c r="C10081" t="s">
        <v>617</v>
      </c>
      <c r="D10081">
        <v>3883.93</v>
      </c>
      <c r="E10081" s="37" t="str">
        <f t="shared" si="785"/>
        <v xml:space="preserve"> </v>
      </c>
      <c r="F10081">
        <v>0.28999999999999998</v>
      </c>
      <c r="G10081" s="37" t="str">
        <f t="shared" si="786"/>
        <v>Normal Discount</v>
      </c>
      <c r="H10081" s="37" t="str">
        <f t="shared" si="787"/>
        <v>Medium</v>
      </c>
      <c r="I10081">
        <v>4</v>
      </c>
      <c r="J10081" t="str" cm="1">
        <f t="array" ref="J10081">_xlfn.IFS(I10081&lt;=3,"small",I10081&lt;=6,"Medium",I10081&lt;=9,"Large")</f>
        <v>Medium</v>
      </c>
      <c r="K10081" s="36">
        <v>45442</v>
      </c>
      <c r="L10081" s="36">
        <v>45447</v>
      </c>
      <c r="M10081" t="s">
        <v>603</v>
      </c>
      <c r="N10081" t="s">
        <v>599</v>
      </c>
      <c r="O10081" s="37" t="str">
        <f t="shared" si="788"/>
        <v>Digital Payment</v>
      </c>
      <c r="P10081">
        <v>1025.22</v>
      </c>
      <c r="Q10081" s="37" t="str">
        <f>IF(P10081&gt;500,"High","low")</f>
        <v>High</v>
      </c>
      <c r="R10081" s="37" t="str">
        <f t="shared" si="789"/>
        <v>Excellent</v>
      </c>
      <c r="S10081" t="s">
        <v>615</v>
      </c>
    </row>
    <row r="10082" spans="1:19" x14ac:dyDescent="0.2">
      <c r="A10082" t="s">
        <v>10693</v>
      </c>
      <c r="B10082" t="s">
        <v>75</v>
      </c>
      <c r="C10082" t="s">
        <v>617</v>
      </c>
      <c r="D10082">
        <v>2564.81</v>
      </c>
      <c r="E10082" s="37" t="str">
        <f t="shared" si="785"/>
        <v xml:space="preserve"> </v>
      </c>
      <c r="F10082">
        <v>0.33</v>
      </c>
      <c r="G10082" s="37" t="str">
        <f t="shared" si="786"/>
        <v>Heavy Discount</v>
      </c>
      <c r="H10082" s="37" t="str">
        <f t="shared" si="787"/>
        <v>Medium</v>
      </c>
      <c r="I10082">
        <v>6</v>
      </c>
      <c r="J10082" t="str" cm="1">
        <f t="array" ref="J10082">_xlfn.IFS(I10082&lt;=3,"small",I10082&lt;=6,"Medium",I10082&lt;=9,"Large")</f>
        <v>Medium</v>
      </c>
      <c r="K10082" s="36">
        <v>45314</v>
      </c>
      <c r="L10082" s="36">
        <v>45320</v>
      </c>
      <c r="M10082" t="s">
        <v>598</v>
      </c>
      <c r="N10082" t="s">
        <v>608</v>
      </c>
      <c r="O10082" s="37" t="str">
        <f t="shared" si="788"/>
        <v>Cash Payment</v>
      </c>
      <c r="P10082">
        <v>658.27</v>
      </c>
      <c r="Q10082" s="37" t="str">
        <f>IF(P10082&gt;500,"High","low")</f>
        <v>High</v>
      </c>
      <c r="R10082" s="37" t="str">
        <f t="shared" si="789"/>
        <v>Good</v>
      </c>
      <c r="S10082" t="s">
        <v>605</v>
      </c>
    </row>
    <row r="10083" spans="1:19" x14ac:dyDescent="0.2">
      <c r="A10083" t="s">
        <v>10694</v>
      </c>
      <c r="B10083" t="s">
        <v>83</v>
      </c>
      <c r="C10083" t="s">
        <v>597</v>
      </c>
      <c r="D10083">
        <v>1066.4100000000001</v>
      </c>
      <c r="E10083" s="37" t="str">
        <f t="shared" si="785"/>
        <v xml:space="preserve"> </v>
      </c>
      <c r="F10083">
        <v>0.32</v>
      </c>
      <c r="G10083" s="37" t="str">
        <f t="shared" si="786"/>
        <v>Heavy Discount</v>
      </c>
      <c r="H10083" s="37" t="str">
        <f t="shared" si="787"/>
        <v>Medium</v>
      </c>
      <c r="I10083">
        <v>8</v>
      </c>
      <c r="J10083" t="str" cm="1">
        <f t="array" ref="J10083">_xlfn.IFS(I10083&lt;=3,"small",I10083&lt;=6,"Medium",I10083&lt;=9,"Large")</f>
        <v>Large</v>
      </c>
      <c r="K10083" s="36">
        <v>45260</v>
      </c>
      <c r="L10083" s="36">
        <v>45262</v>
      </c>
      <c r="M10083" t="s">
        <v>612</v>
      </c>
      <c r="N10083" t="s">
        <v>608</v>
      </c>
      <c r="O10083" s="37" t="str">
        <f t="shared" si="788"/>
        <v>Cash Payment</v>
      </c>
      <c r="P10083">
        <v>121.24</v>
      </c>
      <c r="Q10083" s="37" t="str">
        <f>IF(P10083&gt;500,"High","low")</f>
        <v>low</v>
      </c>
      <c r="R10083" s="37" t="str">
        <f t="shared" si="789"/>
        <v>AVERAGE</v>
      </c>
      <c r="S10083" t="s">
        <v>605</v>
      </c>
    </row>
    <row r="10084" spans="1:19" x14ac:dyDescent="0.2">
      <c r="A10084" t="s">
        <v>10695</v>
      </c>
      <c r="B10084" t="s">
        <v>83</v>
      </c>
      <c r="C10084" t="s">
        <v>597</v>
      </c>
      <c r="D10084">
        <v>1908.09</v>
      </c>
      <c r="E10084" s="37" t="str">
        <f t="shared" si="785"/>
        <v xml:space="preserve"> </v>
      </c>
      <c r="F10084">
        <v>0.27</v>
      </c>
      <c r="G10084" s="37" t="str">
        <f t="shared" si="786"/>
        <v>Normal Discount</v>
      </c>
      <c r="H10084" s="37" t="str">
        <f t="shared" si="787"/>
        <v>Medium</v>
      </c>
      <c r="I10084">
        <v>4</v>
      </c>
      <c r="J10084" t="str" cm="1">
        <f t="array" ref="J10084">_xlfn.IFS(I10084&lt;=3,"small",I10084&lt;=6,"Medium",I10084&lt;=9,"Large")</f>
        <v>Medium</v>
      </c>
      <c r="K10084" s="36">
        <v>45641</v>
      </c>
      <c r="L10084" s="36">
        <v>45646</v>
      </c>
      <c r="M10084" t="s">
        <v>598</v>
      </c>
      <c r="N10084" t="s">
        <v>599</v>
      </c>
      <c r="O10084" s="37" t="str">
        <f t="shared" si="788"/>
        <v>Digital Payment</v>
      </c>
      <c r="P10084">
        <v>253.95</v>
      </c>
      <c r="Q10084" s="37" t="str">
        <f>IF(P10084&gt;500,"High","low")</f>
        <v>low</v>
      </c>
      <c r="R10084" s="37" t="str">
        <f t="shared" si="789"/>
        <v>AVERAGE</v>
      </c>
      <c r="S10084" t="s">
        <v>609</v>
      </c>
    </row>
    <row r="10085" spans="1:19" x14ac:dyDescent="0.2">
      <c r="A10085" t="s">
        <v>10696</v>
      </c>
      <c r="B10085" t="s">
        <v>83</v>
      </c>
      <c r="C10085" t="s">
        <v>607</v>
      </c>
      <c r="D10085">
        <v>1433.59</v>
      </c>
      <c r="E10085" s="37" t="str">
        <f t="shared" si="785"/>
        <v xml:space="preserve"> </v>
      </c>
      <c r="F10085">
        <v>0.25</v>
      </c>
      <c r="G10085" s="37" t="str">
        <f t="shared" si="786"/>
        <v>Normal Discount</v>
      </c>
      <c r="H10085" s="37" t="str">
        <f t="shared" si="787"/>
        <v>Medium</v>
      </c>
      <c r="I10085">
        <v>2</v>
      </c>
      <c r="J10085" t="str" cm="1">
        <f t="array" ref="J10085">_xlfn.IFS(I10085&lt;=3,"small",I10085&lt;=6,"Medium",I10085&lt;=9,"Large")</f>
        <v>small</v>
      </c>
      <c r="K10085" s="36">
        <v>45013</v>
      </c>
      <c r="L10085" s="36">
        <v>45014</v>
      </c>
      <c r="M10085" t="s">
        <v>598</v>
      </c>
      <c r="N10085" t="s">
        <v>599</v>
      </c>
      <c r="O10085" s="37" t="str">
        <f t="shared" si="788"/>
        <v>Digital Payment</v>
      </c>
      <c r="P10085">
        <v>83.78</v>
      </c>
      <c r="Q10085" s="37" t="str">
        <f>IF(P10085&gt;500,"High","low")</f>
        <v>low</v>
      </c>
      <c r="R10085" s="37" t="str">
        <f t="shared" si="789"/>
        <v>AVERAGE</v>
      </c>
      <c r="S10085" t="s">
        <v>620</v>
      </c>
    </row>
    <row r="10086" spans="1:19" x14ac:dyDescent="0.2">
      <c r="A10086" t="s">
        <v>10697</v>
      </c>
      <c r="B10086" t="s">
        <v>67</v>
      </c>
      <c r="C10086" t="s">
        <v>617</v>
      </c>
      <c r="D10086">
        <v>2153.62</v>
      </c>
      <c r="E10086" s="37" t="str">
        <f t="shared" si="785"/>
        <v xml:space="preserve"> </v>
      </c>
      <c r="F10086">
        <v>0.04</v>
      </c>
      <c r="G10086" s="37" t="str">
        <f t="shared" si="786"/>
        <v>Normal Discount</v>
      </c>
      <c r="H10086" s="37" t="str">
        <f t="shared" si="787"/>
        <v>Low</v>
      </c>
      <c r="I10086">
        <v>4</v>
      </c>
      <c r="J10086" t="str" cm="1">
        <f t="array" ref="J10086">_xlfn.IFS(I10086&lt;=3,"small",I10086&lt;=6,"Medium",I10086&lt;=9,"Large")</f>
        <v>Medium</v>
      </c>
      <c r="K10086" s="36">
        <v>45420</v>
      </c>
      <c r="L10086" s="36">
        <v>45425</v>
      </c>
      <c r="M10086" t="s">
        <v>598</v>
      </c>
      <c r="N10086" t="s">
        <v>604</v>
      </c>
      <c r="O10086" s="37" t="str">
        <f t="shared" si="788"/>
        <v>Digital Payment</v>
      </c>
      <c r="P10086">
        <v>268.67</v>
      </c>
      <c r="Q10086" s="37" t="str">
        <f>IF(P10086&gt;500,"High","low")</f>
        <v>low</v>
      </c>
      <c r="R10086" s="37" t="str">
        <f t="shared" si="789"/>
        <v>AVERAGE</v>
      </c>
      <c r="S10086" t="s">
        <v>620</v>
      </c>
    </row>
    <row r="10087" spans="1:19" x14ac:dyDescent="0.2">
      <c r="A10087" t="s">
        <v>10698</v>
      </c>
      <c r="B10087" t="s">
        <v>75</v>
      </c>
      <c r="C10087" t="s">
        <v>617</v>
      </c>
      <c r="D10087">
        <v>2696.84</v>
      </c>
      <c r="E10087" s="37" t="str">
        <f t="shared" si="785"/>
        <v xml:space="preserve"> </v>
      </c>
      <c r="F10087">
        <v>0.42</v>
      </c>
      <c r="G10087" s="37" t="str">
        <f t="shared" si="786"/>
        <v>Heavy Discount</v>
      </c>
      <c r="H10087" s="37" t="str">
        <f t="shared" si="787"/>
        <v>High</v>
      </c>
      <c r="I10087">
        <v>1</v>
      </c>
      <c r="J10087" t="str" cm="1">
        <f t="array" ref="J10087">_xlfn.IFS(I10087&lt;=3,"small",I10087&lt;=6,"Medium",I10087&lt;=9,"Large")</f>
        <v>small</v>
      </c>
      <c r="K10087" s="36">
        <v>45386</v>
      </c>
      <c r="L10087" s="36">
        <v>45393</v>
      </c>
      <c r="M10087" t="s">
        <v>603</v>
      </c>
      <c r="N10087" t="s">
        <v>599</v>
      </c>
      <c r="O10087" s="37" t="str">
        <f t="shared" si="788"/>
        <v>Digital Payment</v>
      </c>
      <c r="P10087">
        <v>244.95</v>
      </c>
      <c r="Q10087" s="37" t="str">
        <f>IF(P10087&gt;500,"High","low")</f>
        <v>low</v>
      </c>
      <c r="R10087" s="37" t="str">
        <f t="shared" si="789"/>
        <v>AVERAGE</v>
      </c>
      <c r="S10087" t="s">
        <v>620</v>
      </c>
    </row>
    <row r="10088" spans="1:19" x14ac:dyDescent="0.2">
      <c r="A10088" t="s">
        <v>10699</v>
      </c>
      <c r="B10088" t="s">
        <v>90</v>
      </c>
      <c r="C10088" t="s">
        <v>607</v>
      </c>
      <c r="D10088">
        <v>3162.84</v>
      </c>
      <c r="E10088" s="37" t="str">
        <f t="shared" si="785"/>
        <v xml:space="preserve"> </v>
      </c>
      <c r="F10088">
        <v>0.26</v>
      </c>
      <c r="G10088" s="37" t="str">
        <f t="shared" si="786"/>
        <v>Normal Discount</v>
      </c>
      <c r="H10088" s="37" t="str">
        <f t="shared" si="787"/>
        <v>Medium</v>
      </c>
      <c r="I10088">
        <v>8</v>
      </c>
      <c r="J10088" t="str" cm="1">
        <f t="array" ref="J10088">_xlfn.IFS(I10088&lt;=3,"small",I10088&lt;=6,"Medium",I10088&lt;=9,"Large")</f>
        <v>Large</v>
      </c>
      <c r="K10088" s="36">
        <v>45166</v>
      </c>
      <c r="L10088" s="36">
        <v>45173</v>
      </c>
      <c r="M10088" t="s">
        <v>612</v>
      </c>
      <c r="N10088" t="s">
        <v>608</v>
      </c>
      <c r="O10088" s="37" t="str">
        <f t="shared" si="788"/>
        <v>Cash Payment</v>
      </c>
      <c r="P10088">
        <v>186.31</v>
      </c>
      <c r="Q10088" s="37" t="str">
        <f>IF(P10088&gt;500,"High","low")</f>
        <v>low</v>
      </c>
      <c r="R10088" s="37" t="str">
        <f t="shared" si="789"/>
        <v>AVERAGE</v>
      </c>
      <c r="S10088" t="s">
        <v>628</v>
      </c>
    </row>
    <row r="10089" spans="1:19" x14ac:dyDescent="0.2">
      <c r="A10089" t="s">
        <v>10700</v>
      </c>
      <c r="B10089" t="s">
        <v>90</v>
      </c>
      <c r="C10089" t="s">
        <v>617</v>
      </c>
      <c r="D10089">
        <v>4241.1000000000004</v>
      </c>
      <c r="E10089" s="37" t="str">
        <f t="shared" si="785"/>
        <v>Excellent Order</v>
      </c>
      <c r="F10089">
        <v>7.0000000000000007E-2</v>
      </c>
      <c r="G10089" s="37" t="str">
        <f t="shared" si="786"/>
        <v>Normal Discount</v>
      </c>
      <c r="H10089" s="37" t="str">
        <f t="shared" si="787"/>
        <v>Low</v>
      </c>
      <c r="I10089">
        <v>9</v>
      </c>
      <c r="J10089" t="str" cm="1">
        <f t="array" ref="J10089">_xlfn.IFS(I10089&lt;=3,"small",I10089&lt;=6,"Medium",I10089&lt;=9,"Large")</f>
        <v>Large</v>
      </c>
      <c r="K10089" s="36">
        <v>45240</v>
      </c>
      <c r="L10089" s="36">
        <v>45241</v>
      </c>
      <c r="M10089" t="s">
        <v>612</v>
      </c>
      <c r="N10089" t="s">
        <v>608</v>
      </c>
      <c r="O10089" s="37" t="str">
        <f t="shared" si="788"/>
        <v>Cash Payment</v>
      </c>
      <c r="P10089">
        <v>1220.24</v>
      </c>
      <c r="Q10089" s="37" t="str">
        <f>IF(P10089&gt;500,"High","low")</f>
        <v>High</v>
      </c>
      <c r="R10089" s="37" t="str">
        <f t="shared" si="789"/>
        <v>Excellent</v>
      </c>
      <c r="S10089" t="s">
        <v>620</v>
      </c>
    </row>
    <row r="10090" spans="1:19" x14ac:dyDescent="0.2">
      <c r="A10090" t="s">
        <v>10701</v>
      </c>
      <c r="B10090" t="s">
        <v>90</v>
      </c>
      <c r="C10090" t="s">
        <v>614</v>
      </c>
      <c r="D10090">
        <v>4559.05</v>
      </c>
      <c r="E10090" s="37" t="str">
        <f t="shared" si="785"/>
        <v>Excellent Order</v>
      </c>
      <c r="F10090">
        <v>7.0000000000000007E-2</v>
      </c>
      <c r="G10090" s="37" t="str">
        <f t="shared" si="786"/>
        <v>Normal Discount</v>
      </c>
      <c r="H10090" s="37" t="str">
        <f t="shared" si="787"/>
        <v>Low</v>
      </c>
      <c r="I10090">
        <v>3</v>
      </c>
      <c r="J10090" t="str" cm="1">
        <f t="array" ref="J10090">_xlfn.IFS(I10090&lt;=3,"small",I10090&lt;=6,"Medium",I10090&lt;=9,"Large")</f>
        <v>small</v>
      </c>
      <c r="K10090" s="36">
        <v>45037</v>
      </c>
      <c r="L10090" s="36">
        <v>45039</v>
      </c>
      <c r="M10090" t="s">
        <v>612</v>
      </c>
      <c r="N10090" t="s">
        <v>599</v>
      </c>
      <c r="O10090" s="37" t="str">
        <f t="shared" si="788"/>
        <v>Digital Payment</v>
      </c>
      <c r="P10090">
        <v>1301.74</v>
      </c>
      <c r="Q10090" s="37" t="str">
        <f>IF(P10090&gt;500,"High","low")</f>
        <v>High</v>
      </c>
      <c r="R10090" s="37" t="str">
        <f t="shared" si="789"/>
        <v>Excellent</v>
      </c>
      <c r="S10090" t="s">
        <v>628</v>
      </c>
    </row>
    <row r="10091" spans="1:19" x14ac:dyDescent="0.2">
      <c r="A10091" t="s">
        <v>10702</v>
      </c>
      <c r="B10091" t="s">
        <v>75</v>
      </c>
      <c r="C10091" t="s">
        <v>597</v>
      </c>
      <c r="D10091">
        <v>2366.65</v>
      </c>
      <c r="E10091" s="37" t="str">
        <f t="shared" si="785"/>
        <v xml:space="preserve"> </v>
      </c>
      <c r="F10091">
        <v>0.26</v>
      </c>
      <c r="G10091" s="37" t="str">
        <f t="shared" si="786"/>
        <v>Normal Discount</v>
      </c>
      <c r="H10091" s="37" t="str">
        <f t="shared" si="787"/>
        <v>Medium</v>
      </c>
      <c r="I10091">
        <v>8</v>
      </c>
      <c r="J10091" t="str" cm="1">
        <f t="array" ref="J10091">_xlfn.IFS(I10091&lt;=3,"small",I10091&lt;=6,"Medium",I10091&lt;=9,"Large")</f>
        <v>Large</v>
      </c>
      <c r="K10091" s="36">
        <v>45480</v>
      </c>
      <c r="L10091" s="36">
        <v>45481</v>
      </c>
      <c r="M10091" t="s">
        <v>612</v>
      </c>
      <c r="N10091" t="s">
        <v>604</v>
      </c>
      <c r="O10091" s="37" t="str">
        <f t="shared" si="788"/>
        <v>Digital Payment</v>
      </c>
      <c r="P10091">
        <v>487.84</v>
      </c>
      <c r="Q10091" s="37" t="str">
        <f>IF(P10091&gt;500,"High","low")</f>
        <v>low</v>
      </c>
      <c r="R10091" s="37" t="str">
        <f t="shared" si="789"/>
        <v>AVERAGE</v>
      </c>
      <c r="S10091" t="s">
        <v>600</v>
      </c>
    </row>
    <row r="10092" spans="1:19" x14ac:dyDescent="0.2">
      <c r="A10092" t="s">
        <v>10703</v>
      </c>
      <c r="B10092" t="s">
        <v>90</v>
      </c>
      <c r="C10092" t="s">
        <v>597</v>
      </c>
      <c r="D10092">
        <v>534.49</v>
      </c>
      <c r="E10092" s="37" t="str">
        <f t="shared" si="785"/>
        <v xml:space="preserve"> </v>
      </c>
      <c r="F10092">
        <v>0.12</v>
      </c>
      <c r="G10092" s="37" t="str">
        <f t="shared" si="786"/>
        <v>Normal Discount</v>
      </c>
      <c r="H10092" s="37" t="str">
        <f t="shared" si="787"/>
        <v>Low</v>
      </c>
      <c r="I10092">
        <v>9</v>
      </c>
      <c r="J10092" t="str" cm="1">
        <f t="array" ref="J10092">_xlfn.IFS(I10092&lt;=3,"small",I10092&lt;=6,"Medium",I10092&lt;=9,"Large")</f>
        <v>Large</v>
      </c>
      <c r="K10092" s="36">
        <v>45122</v>
      </c>
      <c r="L10092" s="36">
        <v>45123</v>
      </c>
      <c r="M10092" t="s">
        <v>598</v>
      </c>
      <c r="N10092" t="s">
        <v>599</v>
      </c>
      <c r="O10092" s="37" t="str">
        <f t="shared" si="788"/>
        <v>Digital Payment</v>
      </c>
      <c r="P10092">
        <v>88.68</v>
      </c>
      <c r="Q10092" s="37" t="str">
        <f>IF(P10092&gt;500,"High","low")</f>
        <v>low</v>
      </c>
      <c r="R10092" s="37" t="str">
        <f t="shared" si="789"/>
        <v>AVERAGE</v>
      </c>
      <c r="S10092" t="s">
        <v>605</v>
      </c>
    </row>
    <row r="10093" spans="1:19" x14ac:dyDescent="0.2">
      <c r="A10093" t="s">
        <v>10704</v>
      </c>
      <c r="B10093" t="s">
        <v>67</v>
      </c>
      <c r="C10093" t="s">
        <v>597</v>
      </c>
      <c r="D10093">
        <v>4005.62</v>
      </c>
      <c r="E10093" s="37" t="str">
        <f t="shared" si="785"/>
        <v xml:space="preserve"> </v>
      </c>
      <c r="F10093">
        <v>0.46</v>
      </c>
      <c r="G10093" s="37" t="str">
        <f t="shared" si="786"/>
        <v>Heavy Discount</v>
      </c>
      <c r="H10093" s="37" t="str">
        <f t="shared" si="787"/>
        <v>High</v>
      </c>
      <c r="I10093">
        <v>8</v>
      </c>
      <c r="J10093" t="str" cm="1">
        <f t="array" ref="J10093">_xlfn.IFS(I10093&lt;=3,"small",I10093&lt;=6,"Medium",I10093&lt;=9,"Large")</f>
        <v>Large</v>
      </c>
      <c r="K10093" s="36">
        <v>45375</v>
      </c>
      <c r="L10093" s="36">
        <v>45380</v>
      </c>
      <c r="M10093" t="s">
        <v>612</v>
      </c>
      <c r="N10093" t="s">
        <v>599</v>
      </c>
      <c r="O10093" s="37" t="str">
        <f t="shared" si="788"/>
        <v>Digital Payment</v>
      </c>
      <c r="P10093">
        <v>669.97</v>
      </c>
      <c r="Q10093" s="37" t="str">
        <f>IF(P10093&gt;500,"High","low")</f>
        <v>High</v>
      </c>
      <c r="R10093" s="37" t="str">
        <f t="shared" si="789"/>
        <v>Good</v>
      </c>
      <c r="S10093" t="s">
        <v>600</v>
      </c>
    </row>
    <row r="10094" spans="1:19" x14ac:dyDescent="0.2">
      <c r="A10094" t="s">
        <v>10705</v>
      </c>
      <c r="B10094" t="s">
        <v>75</v>
      </c>
      <c r="C10094" t="s">
        <v>602</v>
      </c>
      <c r="D10094">
        <v>2438.0700000000002</v>
      </c>
      <c r="E10094" s="37" t="str">
        <f t="shared" si="785"/>
        <v xml:space="preserve"> </v>
      </c>
      <c r="F10094">
        <v>0.25</v>
      </c>
      <c r="G10094" s="37" t="str">
        <f t="shared" si="786"/>
        <v>Normal Discount</v>
      </c>
      <c r="H10094" s="37" t="str">
        <f t="shared" si="787"/>
        <v>Medium</v>
      </c>
      <c r="I10094">
        <v>2</v>
      </c>
      <c r="J10094" t="str" cm="1">
        <f t="array" ref="J10094">_xlfn.IFS(I10094&lt;=3,"small",I10094&lt;=6,"Medium",I10094&lt;=9,"Large")</f>
        <v>small</v>
      </c>
      <c r="K10094" s="36">
        <v>45478</v>
      </c>
      <c r="L10094" s="36">
        <v>45479</v>
      </c>
      <c r="M10094" t="s">
        <v>612</v>
      </c>
      <c r="N10094" t="s">
        <v>604</v>
      </c>
      <c r="O10094" s="37" t="str">
        <f t="shared" si="788"/>
        <v>Digital Payment</v>
      </c>
      <c r="P10094">
        <v>507.52</v>
      </c>
      <c r="Q10094" s="37" t="str">
        <f>IF(P10094&gt;500,"High","low")</f>
        <v>High</v>
      </c>
      <c r="R10094" s="37" t="str">
        <f t="shared" si="789"/>
        <v>Good</v>
      </c>
      <c r="S10094" t="s">
        <v>620</v>
      </c>
    </row>
    <row r="10095" spans="1:19" x14ac:dyDescent="0.2">
      <c r="A10095" t="s">
        <v>10706</v>
      </c>
      <c r="B10095" t="s">
        <v>83</v>
      </c>
      <c r="C10095" t="s">
        <v>614</v>
      </c>
      <c r="D10095">
        <v>2777.59</v>
      </c>
      <c r="E10095" s="37" t="str">
        <f t="shared" si="785"/>
        <v xml:space="preserve"> </v>
      </c>
      <c r="F10095">
        <v>0.49</v>
      </c>
      <c r="G10095" s="37" t="str">
        <f t="shared" si="786"/>
        <v>Heavy Discount</v>
      </c>
      <c r="H10095" s="37" t="str">
        <f t="shared" si="787"/>
        <v>High</v>
      </c>
      <c r="I10095">
        <v>2</v>
      </c>
      <c r="J10095" t="str" cm="1">
        <f t="array" ref="J10095">_xlfn.IFS(I10095&lt;=3,"small",I10095&lt;=6,"Medium",I10095&lt;=9,"Large")</f>
        <v>small</v>
      </c>
      <c r="K10095" s="36">
        <v>45180</v>
      </c>
      <c r="L10095" s="36">
        <v>45183</v>
      </c>
      <c r="M10095" t="s">
        <v>612</v>
      </c>
      <c r="N10095" t="s">
        <v>599</v>
      </c>
      <c r="O10095" s="37" t="str">
        <f t="shared" si="788"/>
        <v>Digital Payment</v>
      </c>
      <c r="P10095">
        <v>309.93</v>
      </c>
      <c r="Q10095" s="37" t="str">
        <f>IF(P10095&gt;500,"High","low")</f>
        <v>low</v>
      </c>
      <c r="R10095" s="37" t="str">
        <f t="shared" si="789"/>
        <v>AVERAGE</v>
      </c>
      <c r="S10095" t="s">
        <v>605</v>
      </c>
    </row>
    <row r="10096" spans="1:19" x14ac:dyDescent="0.2">
      <c r="A10096" t="s">
        <v>10707</v>
      </c>
      <c r="B10096" t="s">
        <v>67</v>
      </c>
      <c r="C10096" t="s">
        <v>614</v>
      </c>
      <c r="D10096">
        <v>3019.39</v>
      </c>
      <c r="E10096" s="37" t="str">
        <f t="shared" si="785"/>
        <v xml:space="preserve"> </v>
      </c>
      <c r="F10096">
        <v>0.37</v>
      </c>
      <c r="G10096" s="37" t="str">
        <f t="shared" si="786"/>
        <v>Heavy Discount</v>
      </c>
      <c r="H10096" s="37" t="str">
        <f t="shared" si="787"/>
        <v>Medium</v>
      </c>
      <c r="I10096">
        <v>4</v>
      </c>
      <c r="J10096" t="str" cm="1">
        <f t="array" ref="J10096">_xlfn.IFS(I10096&lt;=3,"small",I10096&lt;=6,"Medium",I10096&lt;=9,"Large")</f>
        <v>Medium</v>
      </c>
      <c r="K10096" s="36">
        <v>45000</v>
      </c>
      <c r="L10096" s="36">
        <v>45003</v>
      </c>
      <c r="M10096" t="s">
        <v>612</v>
      </c>
      <c r="N10096" t="s">
        <v>604</v>
      </c>
      <c r="O10096" s="37" t="str">
        <f t="shared" si="788"/>
        <v>Digital Payment</v>
      </c>
      <c r="P10096">
        <v>669.63</v>
      </c>
      <c r="Q10096" s="37" t="str">
        <f>IF(P10096&gt;500,"High","low")</f>
        <v>High</v>
      </c>
      <c r="R10096" s="37" t="str">
        <f t="shared" si="789"/>
        <v>Good</v>
      </c>
      <c r="S10096" t="s">
        <v>600</v>
      </c>
    </row>
    <row r="10097" spans="1:19" x14ac:dyDescent="0.2">
      <c r="A10097" t="s">
        <v>10708</v>
      </c>
      <c r="B10097" t="s">
        <v>83</v>
      </c>
      <c r="C10097" t="s">
        <v>607</v>
      </c>
      <c r="D10097">
        <v>3372.55</v>
      </c>
      <c r="E10097" s="37" t="str">
        <f t="shared" si="785"/>
        <v xml:space="preserve"> </v>
      </c>
      <c r="F10097">
        <v>0.41</v>
      </c>
      <c r="G10097" s="37" t="str">
        <f t="shared" si="786"/>
        <v>Heavy Discount</v>
      </c>
      <c r="H10097" s="37" t="str">
        <f t="shared" si="787"/>
        <v>High</v>
      </c>
      <c r="I10097">
        <v>1</v>
      </c>
      <c r="J10097" t="str" cm="1">
        <f t="array" ref="J10097">_xlfn.IFS(I10097&lt;=3,"small",I10097&lt;=6,"Medium",I10097&lt;=9,"Large")</f>
        <v>small</v>
      </c>
      <c r="K10097" s="36">
        <v>45568</v>
      </c>
      <c r="L10097" s="36">
        <v>45570</v>
      </c>
      <c r="M10097" t="s">
        <v>603</v>
      </c>
      <c r="N10097" t="s">
        <v>604</v>
      </c>
      <c r="O10097" s="37" t="str">
        <f t="shared" si="788"/>
        <v>Digital Payment</v>
      </c>
      <c r="P10097">
        <v>191.13</v>
      </c>
      <c r="Q10097" s="37" t="str">
        <f>IF(P10097&gt;500,"High","low")</f>
        <v>low</v>
      </c>
      <c r="R10097" s="37" t="str">
        <f t="shared" si="789"/>
        <v>AVERAGE</v>
      </c>
      <c r="S10097" t="s">
        <v>605</v>
      </c>
    </row>
    <row r="10098" spans="1:19" x14ac:dyDescent="0.2">
      <c r="A10098" t="s">
        <v>10709</v>
      </c>
      <c r="B10098" t="s">
        <v>90</v>
      </c>
      <c r="C10098" t="s">
        <v>602</v>
      </c>
      <c r="D10098">
        <v>4461.49</v>
      </c>
      <c r="E10098" s="37" t="str">
        <f t="shared" si="785"/>
        <v>Excellent Order</v>
      </c>
      <c r="F10098">
        <v>0.19</v>
      </c>
      <c r="G10098" s="37" t="str">
        <f t="shared" si="786"/>
        <v>Normal Discount</v>
      </c>
      <c r="H10098" s="37" t="str">
        <f t="shared" si="787"/>
        <v>Low</v>
      </c>
      <c r="I10098">
        <v>3</v>
      </c>
      <c r="J10098" t="str" cm="1">
        <f t="array" ref="J10098">_xlfn.IFS(I10098&lt;=3,"small",I10098&lt;=6,"Medium",I10098&lt;=9,"Large")</f>
        <v>small</v>
      </c>
      <c r="K10098" s="36">
        <v>45653</v>
      </c>
      <c r="L10098" s="36">
        <v>45656</v>
      </c>
      <c r="M10098" t="s">
        <v>603</v>
      </c>
      <c r="N10098" t="s">
        <v>608</v>
      </c>
      <c r="O10098" s="37" t="str">
        <f t="shared" si="788"/>
        <v>Cash Payment</v>
      </c>
      <c r="P10098">
        <v>950.63</v>
      </c>
      <c r="Q10098" s="37" t="str">
        <f>IF(P10098&gt;500,"High","low")</f>
        <v>High</v>
      </c>
      <c r="R10098" s="37" t="str">
        <f t="shared" si="789"/>
        <v>Good</v>
      </c>
      <c r="S10098" t="s">
        <v>605</v>
      </c>
    </row>
    <row r="10099" spans="1:19" x14ac:dyDescent="0.2">
      <c r="A10099" t="s">
        <v>10710</v>
      </c>
      <c r="B10099" t="s">
        <v>67</v>
      </c>
      <c r="C10099" t="s">
        <v>617</v>
      </c>
      <c r="D10099">
        <v>4765.5200000000004</v>
      </c>
      <c r="E10099" s="37" t="str">
        <f t="shared" si="785"/>
        <v>Excellent Order</v>
      </c>
      <c r="F10099">
        <v>7.0000000000000007E-2</v>
      </c>
      <c r="G10099" s="37" t="str">
        <f t="shared" si="786"/>
        <v>Normal Discount</v>
      </c>
      <c r="H10099" s="37" t="str">
        <f t="shared" si="787"/>
        <v>Low</v>
      </c>
      <c r="I10099">
        <v>4</v>
      </c>
      <c r="J10099" t="str" cm="1">
        <f t="array" ref="J10099">_xlfn.IFS(I10099&lt;=3,"small",I10099&lt;=6,"Medium",I10099&lt;=9,"Large")</f>
        <v>Medium</v>
      </c>
      <c r="K10099" s="36">
        <v>45216</v>
      </c>
      <c r="L10099" s="36">
        <v>45221</v>
      </c>
      <c r="M10099" t="s">
        <v>612</v>
      </c>
      <c r="N10099" t="s">
        <v>599</v>
      </c>
      <c r="O10099" s="37" t="str">
        <f t="shared" si="788"/>
        <v>Digital Payment</v>
      </c>
      <c r="P10099">
        <v>856.15</v>
      </c>
      <c r="Q10099" s="37" t="str">
        <f>IF(P10099&gt;500,"High","low")</f>
        <v>High</v>
      </c>
      <c r="R10099" s="37" t="str">
        <f t="shared" si="789"/>
        <v>Good</v>
      </c>
      <c r="S10099" t="s">
        <v>615</v>
      </c>
    </row>
    <row r="10100" spans="1:19" x14ac:dyDescent="0.2">
      <c r="A10100" t="s">
        <v>10711</v>
      </c>
      <c r="B10100" t="s">
        <v>75</v>
      </c>
      <c r="C10100" t="s">
        <v>614</v>
      </c>
      <c r="D10100">
        <v>4706.83</v>
      </c>
      <c r="E10100" s="37" t="str">
        <f t="shared" si="785"/>
        <v>Excellent Order</v>
      </c>
      <c r="F10100">
        <v>0.34</v>
      </c>
      <c r="G10100" s="37" t="str">
        <f t="shared" si="786"/>
        <v>Heavy Discount</v>
      </c>
      <c r="H10100" s="37" t="str">
        <f t="shared" si="787"/>
        <v>Medium</v>
      </c>
      <c r="I10100">
        <v>2</v>
      </c>
      <c r="J10100" t="str" cm="1">
        <f t="array" ref="J10100">_xlfn.IFS(I10100&lt;=3,"small",I10100&lt;=6,"Medium",I10100&lt;=9,"Large")</f>
        <v>small</v>
      </c>
      <c r="K10100" s="36">
        <v>45558</v>
      </c>
      <c r="L10100" s="36">
        <v>45559</v>
      </c>
      <c r="M10100" t="s">
        <v>612</v>
      </c>
      <c r="N10100" t="s">
        <v>599</v>
      </c>
      <c r="O10100" s="37" t="str">
        <f t="shared" si="788"/>
        <v>Digital Payment</v>
      </c>
      <c r="P10100">
        <v>1053.57</v>
      </c>
      <c r="Q10100" s="37" t="str">
        <f>IF(P10100&gt;500,"High","low")</f>
        <v>High</v>
      </c>
      <c r="R10100" s="37" t="str">
        <f t="shared" si="789"/>
        <v>Excellent</v>
      </c>
      <c r="S10100" t="s">
        <v>605</v>
      </c>
    </row>
    <row r="10101" spans="1:19" x14ac:dyDescent="0.2">
      <c r="A10101" t="s">
        <v>10712</v>
      </c>
      <c r="B10101" t="s">
        <v>67</v>
      </c>
      <c r="C10101" t="s">
        <v>602</v>
      </c>
      <c r="D10101">
        <v>4066.37</v>
      </c>
      <c r="E10101" s="37" t="str">
        <f t="shared" si="785"/>
        <v>Excellent Order</v>
      </c>
      <c r="F10101">
        <v>0.2</v>
      </c>
      <c r="G10101" s="37" t="str">
        <f t="shared" si="786"/>
        <v>Normal Discount</v>
      </c>
      <c r="H10101" s="37" t="str">
        <f t="shared" si="787"/>
        <v>Medium</v>
      </c>
      <c r="I10101">
        <v>7</v>
      </c>
      <c r="J10101" t="str" cm="1">
        <f t="array" ref="J10101">_xlfn.IFS(I10101&lt;=3,"small",I10101&lt;=6,"Medium",I10101&lt;=9,"Large")</f>
        <v>Large</v>
      </c>
      <c r="K10101" s="36">
        <v>45169</v>
      </c>
      <c r="L10101" s="36">
        <v>45170</v>
      </c>
      <c r="M10101" t="s">
        <v>612</v>
      </c>
      <c r="N10101" t="s">
        <v>604</v>
      </c>
      <c r="O10101" s="37" t="str">
        <f t="shared" si="788"/>
        <v>Digital Payment</v>
      </c>
      <c r="P10101">
        <v>826.07</v>
      </c>
      <c r="Q10101" s="37" t="str">
        <f>IF(P10101&gt;500,"High","low")</f>
        <v>High</v>
      </c>
      <c r="R10101" s="37" t="str">
        <f t="shared" si="789"/>
        <v>Good</v>
      </c>
      <c r="S10101" t="s">
        <v>600</v>
      </c>
    </row>
    <row r="10102" spans="1:19" x14ac:dyDescent="0.2">
      <c r="A10102" t="s">
        <v>10713</v>
      </c>
      <c r="B10102" t="s">
        <v>83</v>
      </c>
      <c r="C10102" t="s">
        <v>602</v>
      </c>
      <c r="D10102">
        <v>4457.29</v>
      </c>
      <c r="E10102" s="37" t="str">
        <f t="shared" si="785"/>
        <v xml:space="preserve"> </v>
      </c>
      <c r="F10102">
        <v>0.47</v>
      </c>
      <c r="G10102" s="37" t="str">
        <f t="shared" si="786"/>
        <v>Heavy Discount</v>
      </c>
      <c r="H10102" s="37" t="str">
        <f t="shared" si="787"/>
        <v>High</v>
      </c>
      <c r="I10102">
        <v>3</v>
      </c>
      <c r="J10102" t="str" cm="1">
        <f t="array" ref="J10102">_xlfn.IFS(I10102&lt;=3,"small",I10102&lt;=6,"Medium",I10102&lt;=9,"Large")</f>
        <v>small</v>
      </c>
      <c r="K10102" s="36">
        <v>45163</v>
      </c>
      <c r="L10102" s="36">
        <v>45165</v>
      </c>
      <c r="M10102" t="s">
        <v>603</v>
      </c>
      <c r="N10102" t="s">
        <v>608</v>
      </c>
      <c r="O10102" s="37" t="str">
        <f t="shared" si="788"/>
        <v>Cash Payment</v>
      </c>
      <c r="P10102">
        <v>508.02</v>
      </c>
      <c r="Q10102" s="37" t="str">
        <f>IF(P10102&gt;500,"High","low")</f>
        <v>High</v>
      </c>
      <c r="R10102" s="37" t="str">
        <f t="shared" si="789"/>
        <v>Good</v>
      </c>
      <c r="S10102" t="s">
        <v>615</v>
      </c>
    </row>
    <row r="10103" spans="1:19" x14ac:dyDescent="0.2">
      <c r="A10103" t="s">
        <v>10714</v>
      </c>
      <c r="B10103" t="s">
        <v>75</v>
      </c>
      <c r="C10103" t="s">
        <v>614</v>
      </c>
      <c r="D10103">
        <v>343.31</v>
      </c>
      <c r="E10103" s="37" t="str">
        <f t="shared" si="785"/>
        <v xml:space="preserve"> </v>
      </c>
      <c r="F10103">
        <v>0.1</v>
      </c>
      <c r="G10103" s="37" t="str">
        <f t="shared" si="786"/>
        <v>Normal Discount</v>
      </c>
      <c r="H10103" s="37" t="str">
        <f t="shared" si="787"/>
        <v>Low</v>
      </c>
      <c r="I10103">
        <v>7</v>
      </c>
      <c r="J10103" t="str" cm="1">
        <f t="array" ref="J10103">_xlfn.IFS(I10103&lt;=3,"small",I10103&lt;=6,"Medium",I10103&lt;=9,"Large")</f>
        <v>Large</v>
      </c>
      <c r="K10103" s="36">
        <v>45062</v>
      </c>
      <c r="L10103" s="36">
        <v>45069</v>
      </c>
      <c r="M10103" t="s">
        <v>598</v>
      </c>
      <c r="N10103" t="s">
        <v>608</v>
      </c>
      <c r="O10103" s="37" t="str">
        <f t="shared" si="788"/>
        <v>Cash Payment</v>
      </c>
      <c r="P10103">
        <v>63.3</v>
      </c>
      <c r="Q10103" s="37" t="str">
        <f>IF(P10103&gt;500,"High","low")</f>
        <v>low</v>
      </c>
      <c r="R10103" s="37" t="str">
        <f t="shared" si="789"/>
        <v>AVERAGE</v>
      </c>
      <c r="S10103" t="s">
        <v>600</v>
      </c>
    </row>
    <row r="10104" spans="1:19" x14ac:dyDescent="0.2">
      <c r="A10104" t="s">
        <v>10715</v>
      </c>
      <c r="B10104" t="s">
        <v>67</v>
      </c>
      <c r="C10104" t="s">
        <v>607</v>
      </c>
      <c r="D10104">
        <v>4260.6499999999996</v>
      </c>
      <c r="E10104" s="37" t="str">
        <f t="shared" si="785"/>
        <v>Excellent Order</v>
      </c>
      <c r="F10104">
        <v>0.31</v>
      </c>
      <c r="G10104" s="37" t="str">
        <f t="shared" si="786"/>
        <v>Heavy Discount</v>
      </c>
      <c r="H10104" s="37" t="str">
        <f t="shared" si="787"/>
        <v>Medium</v>
      </c>
      <c r="I10104">
        <v>7</v>
      </c>
      <c r="J10104" t="str" cm="1">
        <f t="array" ref="J10104">_xlfn.IFS(I10104&lt;=3,"small",I10104&lt;=6,"Medium",I10104&lt;=9,"Large")</f>
        <v>Large</v>
      </c>
      <c r="K10104" s="36">
        <v>45608</v>
      </c>
      <c r="L10104" s="36">
        <v>45609</v>
      </c>
      <c r="M10104" t="s">
        <v>612</v>
      </c>
      <c r="N10104" t="s">
        <v>608</v>
      </c>
      <c r="O10104" s="37" t="str">
        <f t="shared" si="788"/>
        <v>Cash Payment</v>
      </c>
      <c r="P10104">
        <v>916.2</v>
      </c>
      <c r="Q10104" s="37" t="str">
        <f>IF(P10104&gt;500,"High","low")</f>
        <v>High</v>
      </c>
      <c r="R10104" s="37" t="str">
        <f t="shared" si="789"/>
        <v>Good</v>
      </c>
      <c r="S10104" t="s">
        <v>620</v>
      </c>
    </row>
    <row r="10105" spans="1:19" x14ac:dyDescent="0.2">
      <c r="A10105" t="s">
        <v>10716</v>
      </c>
      <c r="B10105" t="s">
        <v>67</v>
      </c>
      <c r="C10105" t="s">
        <v>602</v>
      </c>
      <c r="D10105">
        <v>454.1</v>
      </c>
      <c r="E10105" s="37" t="str">
        <f t="shared" si="785"/>
        <v xml:space="preserve"> </v>
      </c>
      <c r="F10105">
        <v>0.43</v>
      </c>
      <c r="G10105" s="37" t="str">
        <f t="shared" si="786"/>
        <v>Heavy Discount</v>
      </c>
      <c r="H10105" s="37" t="str">
        <f t="shared" si="787"/>
        <v>High</v>
      </c>
      <c r="I10105">
        <v>9</v>
      </c>
      <c r="J10105" t="str" cm="1">
        <f t="array" ref="J10105">_xlfn.IFS(I10105&lt;=3,"small",I10105&lt;=6,"Medium",I10105&lt;=9,"Large")</f>
        <v>Large</v>
      </c>
      <c r="K10105" s="36">
        <v>45444</v>
      </c>
      <c r="L10105" s="36">
        <v>45445</v>
      </c>
      <c r="M10105" t="s">
        <v>603</v>
      </c>
      <c r="N10105" t="s">
        <v>599</v>
      </c>
      <c r="O10105" s="37" t="str">
        <f t="shared" si="788"/>
        <v>Digital Payment</v>
      </c>
      <c r="P10105">
        <v>24.54</v>
      </c>
      <c r="Q10105" s="37" t="str">
        <f>IF(P10105&gt;500,"High","low")</f>
        <v>low</v>
      </c>
      <c r="R10105" s="37" t="str">
        <f t="shared" si="789"/>
        <v>AVERAGE</v>
      </c>
      <c r="S10105" t="s">
        <v>620</v>
      </c>
    </row>
    <row r="10106" spans="1:19" x14ac:dyDescent="0.2">
      <c r="A10106" t="s">
        <v>10717</v>
      </c>
      <c r="B10106" t="s">
        <v>67</v>
      </c>
      <c r="C10106" t="s">
        <v>597</v>
      </c>
      <c r="D10106">
        <v>3756.35</v>
      </c>
      <c r="E10106" s="37" t="str">
        <f t="shared" si="785"/>
        <v xml:space="preserve"> </v>
      </c>
      <c r="F10106">
        <v>0.2</v>
      </c>
      <c r="G10106" s="37" t="str">
        <f t="shared" si="786"/>
        <v>Normal Discount</v>
      </c>
      <c r="H10106" s="37" t="str">
        <f t="shared" si="787"/>
        <v>Medium</v>
      </c>
      <c r="I10106">
        <v>4</v>
      </c>
      <c r="J10106" t="str" cm="1">
        <f t="array" ref="J10106">_xlfn.IFS(I10106&lt;=3,"small",I10106&lt;=6,"Medium",I10106&lt;=9,"Large")</f>
        <v>Medium</v>
      </c>
      <c r="K10106" s="36">
        <v>45389</v>
      </c>
      <c r="L10106" s="36">
        <v>45390</v>
      </c>
      <c r="M10106" t="s">
        <v>598</v>
      </c>
      <c r="N10106" t="s">
        <v>599</v>
      </c>
      <c r="O10106" s="37" t="str">
        <f t="shared" si="788"/>
        <v>Digital Payment</v>
      </c>
      <c r="P10106">
        <v>1096.95</v>
      </c>
      <c r="Q10106" s="37" t="str">
        <f>IF(P10106&gt;500,"High","low")</f>
        <v>High</v>
      </c>
      <c r="R10106" s="37" t="str">
        <f t="shared" si="789"/>
        <v>Excellent</v>
      </c>
      <c r="S10106" t="s">
        <v>615</v>
      </c>
    </row>
    <row r="10107" spans="1:19" x14ac:dyDescent="0.2">
      <c r="A10107" t="s">
        <v>10718</v>
      </c>
      <c r="B10107" t="s">
        <v>67</v>
      </c>
      <c r="C10107" t="s">
        <v>602</v>
      </c>
      <c r="D10107">
        <v>929.88</v>
      </c>
      <c r="E10107" s="37" t="str">
        <f t="shared" si="785"/>
        <v xml:space="preserve"> </v>
      </c>
      <c r="F10107">
        <v>0.48</v>
      </c>
      <c r="G10107" s="37" t="str">
        <f t="shared" si="786"/>
        <v>Heavy Discount</v>
      </c>
      <c r="H10107" s="37" t="str">
        <f t="shared" si="787"/>
        <v>High</v>
      </c>
      <c r="I10107">
        <v>4</v>
      </c>
      <c r="J10107" t="str" cm="1">
        <f t="array" ref="J10107">_xlfn.IFS(I10107&lt;=3,"small",I10107&lt;=6,"Medium",I10107&lt;=9,"Large")</f>
        <v>Medium</v>
      </c>
      <c r="K10107" s="36">
        <v>45359</v>
      </c>
      <c r="L10107" s="36">
        <v>45361</v>
      </c>
      <c r="M10107" t="s">
        <v>603</v>
      </c>
      <c r="N10107" t="s">
        <v>599</v>
      </c>
      <c r="O10107" s="37" t="str">
        <f t="shared" si="788"/>
        <v>Digital Payment</v>
      </c>
      <c r="P10107">
        <v>133.88999999999999</v>
      </c>
      <c r="Q10107" s="37" t="str">
        <f>IF(P10107&gt;500,"High","low")</f>
        <v>low</v>
      </c>
      <c r="R10107" s="37" t="str">
        <f t="shared" si="789"/>
        <v>AVERAGE</v>
      </c>
      <c r="S10107" t="s">
        <v>605</v>
      </c>
    </row>
    <row r="10108" spans="1:19" x14ac:dyDescent="0.2">
      <c r="A10108" t="s">
        <v>10719</v>
      </c>
      <c r="B10108" t="s">
        <v>75</v>
      </c>
      <c r="C10108" t="s">
        <v>617</v>
      </c>
      <c r="D10108">
        <v>1864.54</v>
      </c>
      <c r="E10108" s="37" t="str">
        <f t="shared" si="785"/>
        <v xml:space="preserve"> </v>
      </c>
      <c r="F10108">
        <v>0.04</v>
      </c>
      <c r="G10108" s="37" t="str">
        <f t="shared" si="786"/>
        <v>Normal Discount</v>
      </c>
      <c r="H10108" s="37" t="str">
        <f t="shared" si="787"/>
        <v>Low</v>
      </c>
      <c r="I10108">
        <v>1</v>
      </c>
      <c r="J10108" t="str" cm="1">
        <f t="array" ref="J10108">_xlfn.IFS(I10108&lt;=3,"small",I10108&lt;=6,"Medium",I10108&lt;=9,"Large")</f>
        <v>small</v>
      </c>
      <c r="K10108" s="36">
        <v>45065</v>
      </c>
      <c r="L10108" s="36">
        <v>45068</v>
      </c>
      <c r="M10108" t="s">
        <v>612</v>
      </c>
      <c r="N10108" t="s">
        <v>604</v>
      </c>
      <c r="O10108" s="37" t="str">
        <f t="shared" si="788"/>
        <v>Digital Payment</v>
      </c>
      <c r="P10108">
        <v>220.01</v>
      </c>
      <c r="Q10108" s="37" t="str">
        <f>IF(P10108&gt;500,"High","low")</f>
        <v>low</v>
      </c>
      <c r="R10108" s="37" t="str">
        <f t="shared" si="789"/>
        <v>AVERAGE</v>
      </c>
      <c r="S10108" t="s">
        <v>600</v>
      </c>
    </row>
    <row r="10109" spans="1:19" x14ac:dyDescent="0.2">
      <c r="A10109" t="s">
        <v>10720</v>
      </c>
      <c r="B10109" t="s">
        <v>83</v>
      </c>
      <c r="C10109" t="s">
        <v>614</v>
      </c>
      <c r="D10109">
        <v>1002.5</v>
      </c>
      <c r="E10109" s="37" t="str">
        <f t="shared" si="785"/>
        <v xml:space="preserve"> </v>
      </c>
      <c r="F10109">
        <v>0.28999999999999998</v>
      </c>
      <c r="G10109" s="37" t="str">
        <f t="shared" si="786"/>
        <v>Normal Discount</v>
      </c>
      <c r="H10109" s="37" t="str">
        <f t="shared" si="787"/>
        <v>Medium</v>
      </c>
      <c r="I10109">
        <v>6</v>
      </c>
      <c r="J10109" t="str" cm="1">
        <f t="array" ref="J10109">_xlfn.IFS(I10109&lt;=3,"small",I10109&lt;=6,"Medium",I10109&lt;=9,"Large")</f>
        <v>Medium</v>
      </c>
      <c r="K10109" s="36">
        <v>45084</v>
      </c>
      <c r="L10109" s="36">
        <v>45090</v>
      </c>
      <c r="M10109" t="s">
        <v>598</v>
      </c>
      <c r="N10109" t="s">
        <v>604</v>
      </c>
      <c r="O10109" s="37" t="str">
        <f t="shared" si="788"/>
        <v>Digital Payment</v>
      </c>
      <c r="P10109">
        <v>228.79</v>
      </c>
      <c r="Q10109" s="37" t="str">
        <f>IF(P10109&gt;500,"High","low")</f>
        <v>low</v>
      </c>
      <c r="R10109" s="37" t="str">
        <f t="shared" si="789"/>
        <v>AVERAGE</v>
      </c>
      <c r="S10109" t="s">
        <v>615</v>
      </c>
    </row>
    <row r="10110" spans="1:19" x14ac:dyDescent="0.2">
      <c r="A10110" t="s">
        <v>10721</v>
      </c>
      <c r="B10110" t="s">
        <v>67</v>
      </c>
      <c r="C10110" t="s">
        <v>617</v>
      </c>
      <c r="D10110">
        <v>2272.96</v>
      </c>
      <c r="E10110" s="37" t="str">
        <f t="shared" si="785"/>
        <v xml:space="preserve"> </v>
      </c>
      <c r="F10110">
        <v>0.39</v>
      </c>
      <c r="G10110" s="37" t="str">
        <f t="shared" si="786"/>
        <v>Heavy Discount</v>
      </c>
      <c r="H10110" s="37" t="str">
        <f t="shared" si="787"/>
        <v>Medium</v>
      </c>
      <c r="I10110">
        <v>6</v>
      </c>
      <c r="J10110" t="str" cm="1">
        <f t="array" ref="J10110">_xlfn.IFS(I10110&lt;=3,"small",I10110&lt;=6,"Medium",I10110&lt;=9,"Large")</f>
        <v>Medium</v>
      </c>
      <c r="K10110" s="36">
        <v>45525</v>
      </c>
      <c r="L10110" s="36">
        <v>45528</v>
      </c>
      <c r="M10110" t="s">
        <v>612</v>
      </c>
      <c r="N10110" t="s">
        <v>599</v>
      </c>
      <c r="O10110" s="37" t="str">
        <f t="shared" si="788"/>
        <v>Digital Payment</v>
      </c>
      <c r="P10110">
        <v>561.66</v>
      </c>
      <c r="Q10110" s="37" t="str">
        <f>IF(P10110&gt;500,"High","low")</f>
        <v>High</v>
      </c>
      <c r="R10110" s="37" t="str">
        <f t="shared" si="789"/>
        <v>Good</v>
      </c>
      <c r="S10110" t="s">
        <v>615</v>
      </c>
    </row>
    <row r="10111" spans="1:19" x14ac:dyDescent="0.2">
      <c r="A10111" t="s">
        <v>10722</v>
      </c>
      <c r="B10111" t="s">
        <v>75</v>
      </c>
      <c r="C10111" t="s">
        <v>607</v>
      </c>
      <c r="D10111">
        <v>2117.56</v>
      </c>
      <c r="E10111" s="37" t="str">
        <f t="shared" si="785"/>
        <v xml:space="preserve"> </v>
      </c>
      <c r="F10111">
        <v>0.1</v>
      </c>
      <c r="G10111" s="37" t="str">
        <f t="shared" si="786"/>
        <v>Normal Discount</v>
      </c>
      <c r="H10111" s="37" t="str">
        <f t="shared" si="787"/>
        <v>Low</v>
      </c>
      <c r="I10111">
        <v>7</v>
      </c>
      <c r="J10111" t="str" cm="1">
        <f t="array" ref="J10111">_xlfn.IFS(I10111&lt;=3,"small",I10111&lt;=6,"Medium",I10111&lt;=9,"Large")</f>
        <v>Large</v>
      </c>
      <c r="K10111" s="36">
        <v>45456</v>
      </c>
      <c r="L10111" s="36">
        <v>45460</v>
      </c>
      <c r="M10111" t="s">
        <v>603</v>
      </c>
      <c r="N10111" t="s">
        <v>599</v>
      </c>
      <c r="O10111" s="37" t="str">
        <f t="shared" si="788"/>
        <v>Digital Payment</v>
      </c>
      <c r="P10111">
        <v>327.05</v>
      </c>
      <c r="Q10111" s="37" t="str">
        <f>IF(P10111&gt;500,"High","low")</f>
        <v>low</v>
      </c>
      <c r="R10111" s="37" t="str">
        <f t="shared" si="789"/>
        <v>AVERAGE</v>
      </c>
      <c r="S10111" t="s">
        <v>609</v>
      </c>
    </row>
    <row r="10112" spans="1:19" x14ac:dyDescent="0.2">
      <c r="A10112" t="s">
        <v>10723</v>
      </c>
      <c r="B10112" t="s">
        <v>83</v>
      </c>
      <c r="C10112" t="s">
        <v>597</v>
      </c>
      <c r="D10112">
        <v>335.51</v>
      </c>
      <c r="E10112" s="37" t="str">
        <f t="shared" si="785"/>
        <v xml:space="preserve"> </v>
      </c>
      <c r="F10112">
        <v>0.03</v>
      </c>
      <c r="G10112" s="37" t="str">
        <f t="shared" si="786"/>
        <v>Normal Discount</v>
      </c>
      <c r="H10112" s="37" t="str">
        <f t="shared" si="787"/>
        <v>Low</v>
      </c>
      <c r="I10112">
        <v>9</v>
      </c>
      <c r="J10112" t="str" cm="1">
        <f t="array" ref="J10112">_xlfn.IFS(I10112&lt;=3,"small",I10112&lt;=6,"Medium",I10112&lt;=9,"Large")</f>
        <v>Large</v>
      </c>
      <c r="K10112" s="36">
        <v>45447</v>
      </c>
      <c r="L10112" s="36">
        <v>45452</v>
      </c>
      <c r="M10112" t="s">
        <v>603</v>
      </c>
      <c r="N10112" t="s">
        <v>604</v>
      </c>
      <c r="O10112" s="37" t="str">
        <f t="shared" si="788"/>
        <v>Digital Payment</v>
      </c>
      <c r="P10112">
        <v>67.53</v>
      </c>
      <c r="Q10112" s="37" t="str">
        <f>IF(P10112&gt;500,"High","low")</f>
        <v>low</v>
      </c>
      <c r="R10112" s="37" t="str">
        <f t="shared" si="789"/>
        <v>AVERAGE</v>
      </c>
      <c r="S10112" t="s">
        <v>609</v>
      </c>
    </row>
    <row r="10113" spans="1:19" x14ac:dyDescent="0.2">
      <c r="A10113" t="s">
        <v>10724</v>
      </c>
      <c r="B10113" t="s">
        <v>67</v>
      </c>
      <c r="C10113" t="s">
        <v>614</v>
      </c>
      <c r="D10113">
        <v>4169.4399999999996</v>
      </c>
      <c r="E10113" s="37" t="str">
        <f t="shared" si="785"/>
        <v xml:space="preserve"> </v>
      </c>
      <c r="F10113">
        <v>0.04</v>
      </c>
      <c r="G10113" s="37" t="str">
        <f t="shared" si="786"/>
        <v>Normal Discount</v>
      </c>
      <c r="H10113" s="37" t="str">
        <f t="shared" si="787"/>
        <v>Low</v>
      </c>
      <c r="I10113">
        <v>9</v>
      </c>
      <c r="J10113" t="str" cm="1">
        <f t="array" ref="J10113">_xlfn.IFS(I10113&lt;=3,"small",I10113&lt;=6,"Medium",I10113&lt;=9,"Large")</f>
        <v>Large</v>
      </c>
      <c r="K10113" s="36">
        <v>45511</v>
      </c>
      <c r="L10113" s="36">
        <v>45515</v>
      </c>
      <c r="M10113" t="s">
        <v>603</v>
      </c>
      <c r="N10113" t="s">
        <v>608</v>
      </c>
      <c r="O10113" s="37" t="str">
        <f t="shared" si="788"/>
        <v>Cash Payment</v>
      </c>
      <c r="P10113">
        <v>483.8</v>
      </c>
      <c r="Q10113" s="37" t="str">
        <f>IF(P10113&gt;500,"High","low")</f>
        <v>low</v>
      </c>
      <c r="R10113" s="37" t="str">
        <f t="shared" si="789"/>
        <v>AVERAGE</v>
      </c>
      <c r="S10113" t="s">
        <v>605</v>
      </c>
    </row>
    <row r="10114" spans="1:19" x14ac:dyDescent="0.2">
      <c r="A10114" t="s">
        <v>10725</v>
      </c>
      <c r="B10114" t="s">
        <v>83</v>
      </c>
      <c r="C10114" t="s">
        <v>602</v>
      </c>
      <c r="D10114">
        <v>4285.51</v>
      </c>
      <c r="E10114" s="37" t="str">
        <f t="shared" si="785"/>
        <v>Excellent Order</v>
      </c>
      <c r="F10114">
        <v>0.16</v>
      </c>
      <c r="G10114" s="37" t="str">
        <f t="shared" si="786"/>
        <v>Normal Discount</v>
      </c>
      <c r="H10114" s="37" t="str">
        <f t="shared" si="787"/>
        <v>Low</v>
      </c>
      <c r="I10114">
        <v>5</v>
      </c>
      <c r="J10114" t="str" cm="1">
        <f t="array" ref="J10114">_xlfn.IFS(I10114&lt;=3,"small",I10114&lt;=6,"Medium",I10114&lt;=9,"Large")</f>
        <v>Medium</v>
      </c>
      <c r="K10114" s="36">
        <v>45552</v>
      </c>
      <c r="L10114" s="36">
        <v>45554</v>
      </c>
      <c r="M10114" t="s">
        <v>598</v>
      </c>
      <c r="N10114" t="s">
        <v>604</v>
      </c>
      <c r="O10114" s="37" t="str">
        <f t="shared" si="788"/>
        <v>Digital Payment</v>
      </c>
      <c r="P10114">
        <v>966.83</v>
      </c>
      <c r="Q10114" s="37" t="str">
        <f>IF(P10114&gt;500,"High","low")</f>
        <v>High</v>
      </c>
      <c r="R10114" s="37" t="str">
        <f t="shared" si="789"/>
        <v>Good</v>
      </c>
      <c r="S10114" t="s">
        <v>615</v>
      </c>
    </row>
    <row r="10115" spans="1:19" x14ac:dyDescent="0.2">
      <c r="A10115" t="s">
        <v>10726</v>
      </c>
      <c r="B10115" t="s">
        <v>83</v>
      </c>
      <c r="C10115" t="s">
        <v>597</v>
      </c>
      <c r="D10115">
        <v>3958.79</v>
      </c>
      <c r="E10115" s="37" t="str">
        <f t="shared" ref="E10115:E10178" si="790">IF(AND(D10115&gt;4000,P10115&gt;800),"Excellent Order"," ")</f>
        <v xml:space="preserve"> </v>
      </c>
      <c r="F10115">
        <v>0.11</v>
      </c>
      <c r="G10115" s="37" t="str">
        <f t="shared" ref="G10115:G10178" si="791">IF(F10115&gt;30%,"Heavy Discount","Normal Discount")</f>
        <v>Normal Discount</v>
      </c>
      <c r="H10115" s="37" t="str">
        <f t="shared" ref="H10115:H10178" si="792">IF(F10115&gt;0.4,"High",IF(F10115&gt;=0.2,"Medium","Low"))</f>
        <v>Low</v>
      </c>
      <c r="I10115">
        <v>2</v>
      </c>
      <c r="J10115" t="str" cm="1">
        <f t="array" ref="J10115">_xlfn.IFS(I10115&lt;=3,"small",I10115&lt;=6,"Medium",I10115&lt;=9,"Large")</f>
        <v>small</v>
      </c>
      <c r="K10115" s="36">
        <v>45060</v>
      </c>
      <c r="L10115" s="36">
        <v>45062</v>
      </c>
      <c r="M10115" t="s">
        <v>598</v>
      </c>
      <c r="N10115" t="s">
        <v>608</v>
      </c>
      <c r="O10115" s="37" t="str">
        <f t="shared" ref="O10115:O10178" si="793">IF(OR(N10115="Card",N10115="UPI"),"Digital Payment","Cash Payment")</f>
        <v>Cash Payment</v>
      </c>
      <c r="P10115">
        <v>690.28</v>
      </c>
      <c r="Q10115" s="37" t="str">
        <f>IF(P10115&gt;500,"High","low")</f>
        <v>High</v>
      </c>
      <c r="R10115" s="37" t="str">
        <f t="shared" ref="R10115:R10178" si="794">IF(P10115&gt;1000,"Excellent",IF(P10115&gt;=500,"Good","AVERAGE"))</f>
        <v>Good</v>
      </c>
      <c r="S10115" t="s">
        <v>628</v>
      </c>
    </row>
    <row r="10116" spans="1:19" x14ac:dyDescent="0.2">
      <c r="A10116" t="s">
        <v>10727</v>
      </c>
      <c r="B10116" t="s">
        <v>75</v>
      </c>
      <c r="C10116" t="s">
        <v>602</v>
      </c>
      <c r="D10116">
        <v>4253.2700000000004</v>
      </c>
      <c r="E10116" s="37" t="str">
        <f t="shared" si="790"/>
        <v xml:space="preserve"> </v>
      </c>
      <c r="F10116">
        <v>0.11</v>
      </c>
      <c r="G10116" s="37" t="str">
        <f t="shared" si="791"/>
        <v>Normal Discount</v>
      </c>
      <c r="H10116" s="37" t="str">
        <f t="shared" si="792"/>
        <v>Low</v>
      </c>
      <c r="I10116">
        <v>1</v>
      </c>
      <c r="J10116" t="str" cm="1">
        <f t="array" ref="J10116">_xlfn.IFS(I10116&lt;=3,"small",I10116&lt;=6,"Medium",I10116&lt;=9,"Large")</f>
        <v>small</v>
      </c>
      <c r="K10116" s="36">
        <v>45006</v>
      </c>
      <c r="L10116" s="36">
        <v>45012</v>
      </c>
      <c r="M10116" t="s">
        <v>603</v>
      </c>
      <c r="N10116" t="s">
        <v>608</v>
      </c>
      <c r="O10116" s="37" t="str">
        <f t="shared" si="793"/>
        <v>Cash Payment</v>
      </c>
      <c r="P10116">
        <v>360.99</v>
      </c>
      <c r="Q10116" s="37" t="str">
        <f>IF(P10116&gt;500,"High","low")</f>
        <v>low</v>
      </c>
      <c r="R10116" s="37" t="str">
        <f t="shared" si="794"/>
        <v>AVERAGE</v>
      </c>
      <c r="S10116" t="s">
        <v>620</v>
      </c>
    </row>
    <row r="10117" spans="1:19" x14ac:dyDescent="0.2">
      <c r="A10117" t="s">
        <v>10728</v>
      </c>
      <c r="B10117" t="s">
        <v>83</v>
      </c>
      <c r="C10117" t="s">
        <v>607</v>
      </c>
      <c r="D10117">
        <v>3779.31</v>
      </c>
      <c r="E10117" s="37" t="str">
        <f t="shared" si="790"/>
        <v xml:space="preserve"> </v>
      </c>
      <c r="F10117">
        <v>0.23</v>
      </c>
      <c r="G10117" s="37" t="str">
        <f t="shared" si="791"/>
        <v>Normal Discount</v>
      </c>
      <c r="H10117" s="37" t="str">
        <f t="shared" si="792"/>
        <v>Medium</v>
      </c>
      <c r="I10117">
        <v>2</v>
      </c>
      <c r="J10117" t="str" cm="1">
        <f t="array" ref="J10117">_xlfn.IFS(I10117&lt;=3,"small",I10117&lt;=6,"Medium",I10117&lt;=9,"Large")</f>
        <v>small</v>
      </c>
      <c r="K10117" s="36">
        <v>45568</v>
      </c>
      <c r="L10117" s="36">
        <v>45571</v>
      </c>
      <c r="M10117" t="s">
        <v>598</v>
      </c>
      <c r="N10117" t="s">
        <v>604</v>
      </c>
      <c r="O10117" s="37" t="str">
        <f t="shared" si="793"/>
        <v>Digital Payment</v>
      </c>
      <c r="P10117">
        <v>965.15</v>
      </c>
      <c r="Q10117" s="37" t="str">
        <f>IF(P10117&gt;500,"High","low")</f>
        <v>High</v>
      </c>
      <c r="R10117" s="37" t="str">
        <f t="shared" si="794"/>
        <v>Good</v>
      </c>
      <c r="S10117" t="s">
        <v>620</v>
      </c>
    </row>
    <row r="10118" spans="1:19" x14ac:dyDescent="0.2">
      <c r="A10118" t="s">
        <v>10729</v>
      </c>
      <c r="B10118" t="s">
        <v>75</v>
      </c>
      <c r="C10118" t="s">
        <v>614</v>
      </c>
      <c r="D10118">
        <v>4693.67</v>
      </c>
      <c r="E10118" s="37" t="str">
        <f t="shared" si="790"/>
        <v>Excellent Order</v>
      </c>
      <c r="F10118">
        <v>0.04</v>
      </c>
      <c r="G10118" s="37" t="str">
        <f t="shared" si="791"/>
        <v>Normal Discount</v>
      </c>
      <c r="H10118" s="37" t="str">
        <f t="shared" si="792"/>
        <v>Low</v>
      </c>
      <c r="I10118">
        <v>2</v>
      </c>
      <c r="J10118" t="str" cm="1">
        <f t="array" ref="J10118">_xlfn.IFS(I10118&lt;=3,"small",I10118&lt;=6,"Medium",I10118&lt;=9,"Large")</f>
        <v>small</v>
      </c>
      <c r="K10118" s="36">
        <v>45391</v>
      </c>
      <c r="L10118" s="36">
        <v>45397</v>
      </c>
      <c r="M10118" t="s">
        <v>603</v>
      </c>
      <c r="N10118" t="s">
        <v>599</v>
      </c>
      <c r="O10118" s="37" t="str">
        <f t="shared" si="793"/>
        <v>Digital Payment</v>
      </c>
      <c r="P10118">
        <v>1290.6300000000001</v>
      </c>
      <c r="Q10118" s="37" t="str">
        <f>IF(P10118&gt;500,"High","low")</f>
        <v>High</v>
      </c>
      <c r="R10118" s="37" t="str">
        <f t="shared" si="794"/>
        <v>Excellent</v>
      </c>
      <c r="S10118" t="s">
        <v>605</v>
      </c>
    </row>
    <row r="10119" spans="1:19" x14ac:dyDescent="0.2">
      <c r="A10119" t="s">
        <v>10730</v>
      </c>
      <c r="B10119" t="s">
        <v>67</v>
      </c>
      <c r="C10119" t="s">
        <v>607</v>
      </c>
      <c r="D10119">
        <v>2924.32</v>
      </c>
      <c r="E10119" s="37" t="str">
        <f t="shared" si="790"/>
        <v xml:space="preserve"> </v>
      </c>
      <c r="F10119">
        <v>0.5</v>
      </c>
      <c r="G10119" s="37" t="str">
        <f t="shared" si="791"/>
        <v>Heavy Discount</v>
      </c>
      <c r="H10119" s="37" t="str">
        <f t="shared" si="792"/>
        <v>High</v>
      </c>
      <c r="I10119">
        <v>1</v>
      </c>
      <c r="J10119" t="str" cm="1">
        <f t="array" ref="J10119">_xlfn.IFS(I10119&lt;=3,"small",I10119&lt;=6,"Medium",I10119&lt;=9,"Large")</f>
        <v>small</v>
      </c>
      <c r="K10119" s="36">
        <v>45530</v>
      </c>
      <c r="L10119" s="36">
        <v>45536</v>
      </c>
      <c r="M10119" t="s">
        <v>603</v>
      </c>
      <c r="N10119" t="s">
        <v>604</v>
      </c>
      <c r="O10119" s="37" t="str">
        <f t="shared" si="793"/>
        <v>Digital Payment</v>
      </c>
      <c r="P10119">
        <v>398.51</v>
      </c>
      <c r="Q10119" s="37" t="str">
        <f>IF(P10119&gt;500,"High","low")</f>
        <v>low</v>
      </c>
      <c r="R10119" s="37" t="str">
        <f t="shared" si="794"/>
        <v>AVERAGE</v>
      </c>
      <c r="S10119" t="s">
        <v>605</v>
      </c>
    </row>
    <row r="10120" spans="1:19" x14ac:dyDescent="0.2">
      <c r="A10120" t="s">
        <v>10731</v>
      </c>
      <c r="B10120" t="s">
        <v>83</v>
      </c>
      <c r="C10120" t="s">
        <v>607</v>
      </c>
      <c r="D10120">
        <v>2954.95</v>
      </c>
      <c r="E10120" s="37" t="str">
        <f t="shared" si="790"/>
        <v xml:space="preserve"> </v>
      </c>
      <c r="F10120">
        <v>0.35</v>
      </c>
      <c r="G10120" s="37" t="str">
        <f t="shared" si="791"/>
        <v>Heavy Discount</v>
      </c>
      <c r="H10120" s="37" t="str">
        <f t="shared" si="792"/>
        <v>Medium</v>
      </c>
      <c r="I10120">
        <v>8</v>
      </c>
      <c r="J10120" t="str" cm="1">
        <f t="array" ref="J10120">_xlfn.IFS(I10120&lt;=3,"small",I10120&lt;=6,"Medium",I10120&lt;=9,"Large")</f>
        <v>Large</v>
      </c>
      <c r="K10120" s="36">
        <v>45276</v>
      </c>
      <c r="L10120" s="36">
        <v>45277</v>
      </c>
      <c r="M10120" t="s">
        <v>603</v>
      </c>
      <c r="N10120" t="s">
        <v>604</v>
      </c>
      <c r="O10120" s="37" t="str">
        <f t="shared" si="793"/>
        <v>Digital Payment</v>
      </c>
      <c r="P10120">
        <v>422.05</v>
      </c>
      <c r="Q10120" s="37" t="str">
        <f>IF(P10120&gt;500,"High","low")</f>
        <v>low</v>
      </c>
      <c r="R10120" s="37" t="str">
        <f t="shared" si="794"/>
        <v>AVERAGE</v>
      </c>
      <c r="S10120" t="s">
        <v>605</v>
      </c>
    </row>
    <row r="10121" spans="1:19" x14ac:dyDescent="0.2">
      <c r="A10121" t="s">
        <v>10732</v>
      </c>
      <c r="B10121" t="s">
        <v>83</v>
      </c>
      <c r="C10121" t="s">
        <v>607</v>
      </c>
      <c r="D10121">
        <v>4313.5600000000004</v>
      </c>
      <c r="E10121" s="37" t="str">
        <f t="shared" si="790"/>
        <v>Excellent Order</v>
      </c>
      <c r="F10121">
        <v>0.02</v>
      </c>
      <c r="G10121" s="37" t="str">
        <f t="shared" si="791"/>
        <v>Normal Discount</v>
      </c>
      <c r="H10121" s="37" t="str">
        <f t="shared" si="792"/>
        <v>Low</v>
      </c>
      <c r="I10121">
        <v>3</v>
      </c>
      <c r="J10121" t="str" cm="1">
        <f t="array" ref="J10121">_xlfn.IFS(I10121&lt;=3,"small",I10121&lt;=6,"Medium",I10121&lt;=9,"Large")</f>
        <v>small</v>
      </c>
      <c r="K10121" s="36">
        <v>45071</v>
      </c>
      <c r="L10121" s="36">
        <v>45075</v>
      </c>
      <c r="M10121" t="s">
        <v>598</v>
      </c>
      <c r="N10121" t="s">
        <v>608</v>
      </c>
      <c r="O10121" s="37" t="str">
        <f t="shared" si="793"/>
        <v>Cash Payment</v>
      </c>
      <c r="P10121">
        <v>1048.31</v>
      </c>
      <c r="Q10121" s="37" t="str">
        <f>IF(P10121&gt;500,"High","low")</f>
        <v>High</v>
      </c>
      <c r="R10121" s="37" t="str">
        <f t="shared" si="794"/>
        <v>Excellent</v>
      </c>
      <c r="S10121" t="s">
        <v>620</v>
      </c>
    </row>
    <row r="10122" spans="1:19" x14ac:dyDescent="0.2">
      <c r="A10122" t="s">
        <v>10733</v>
      </c>
      <c r="B10122" t="s">
        <v>90</v>
      </c>
      <c r="C10122" t="s">
        <v>607</v>
      </c>
      <c r="D10122">
        <v>1812.14</v>
      </c>
      <c r="E10122" s="37" t="str">
        <f t="shared" si="790"/>
        <v xml:space="preserve"> </v>
      </c>
      <c r="F10122">
        <v>0.35</v>
      </c>
      <c r="G10122" s="37" t="str">
        <f t="shared" si="791"/>
        <v>Heavy Discount</v>
      </c>
      <c r="H10122" s="37" t="str">
        <f t="shared" si="792"/>
        <v>Medium</v>
      </c>
      <c r="I10122">
        <v>8</v>
      </c>
      <c r="J10122" t="str" cm="1">
        <f t="array" ref="J10122">_xlfn.IFS(I10122&lt;=3,"small",I10122&lt;=6,"Medium",I10122&lt;=9,"Large")</f>
        <v>Large</v>
      </c>
      <c r="K10122" s="36">
        <v>45485</v>
      </c>
      <c r="L10122" s="36">
        <v>45487</v>
      </c>
      <c r="M10122" t="s">
        <v>598</v>
      </c>
      <c r="N10122" t="s">
        <v>599</v>
      </c>
      <c r="O10122" s="37" t="str">
        <f t="shared" si="793"/>
        <v>Digital Payment</v>
      </c>
      <c r="P10122">
        <v>478.53</v>
      </c>
      <c r="Q10122" s="37" t="str">
        <f>IF(P10122&gt;500,"High","low")</f>
        <v>low</v>
      </c>
      <c r="R10122" s="37" t="str">
        <f t="shared" si="794"/>
        <v>AVERAGE</v>
      </c>
      <c r="S10122" t="s">
        <v>605</v>
      </c>
    </row>
    <row r="10123" spans="1:19" x14ac:dyDescent="0.2">
      <c r="A10123" t="s">
        <v>10734</v>
      </c>
      <c r="B10123" t="s">
        <v>67</v>
      </c>
      <c r="C10123" t="s">
        <v>602</v>
      </c>
      <c r="D10123">
        <v>345.4</v>
      </c>
      <c r="E10123" s="37" t="str">
        <f t="shared" si="790"/>
        <v xml:space="preserve"> </v>
      </c>
      <c r="F10123">
        <v>0.4</v>
      </c>
      <c r="G10123" s="37" t="str">
        <f t="shared" si="791"/>
        <v>Heavy Discount</v>
      </c>
      <c r="H10123" s="37" t="str">
        <f t="shared" si="792"/>
        <v>Medium</v>
      </c>
      <c r="I10123">
        <v>6</v>
      </c>
      <c r="J10123" t="str" cm="1">
        <f t="array" ref="J10123">_xlfn.IFS(I10123&lt;=3,"small",I10123&lt;=6,"Medium",I10123&lt;=9,"Large")</f>
        <v>Medium</v>
      </c>
      <c r="K10123" s="36">
        <v>45221</v>
      </c>
      <c r="L10123" s="36">
        <v>45226</v>
      </c>
      <c r="M10123" t="s">
        <v>612</v>
      </c>
      <c r="N10123" t="s">
        <v>599</v>
      </c>
      <c r="O10123" s="37" t="str">
        <f t="shared" si="793"/>
        <v>Digital Payment</v>
      </c>
      <c r="P10123">
        <v>62.59</v>
      </c>
      <c r="Q10123" s="37" t="str">
        <f>IF(P10123&gt;500,"High","low")</f>
        <v>low</v>
      </c>
      <c r="R10123" s="37" t="str">
        <f t="shared" si="794"/>
        <v>AVERAGE</v>
      </c>
      <c r="S10123" t="s">
        <v>605</v>
      </c>
    </row>
    <row r="10124" spans="1:19" x14ac:dyDescent="0.2">
      <c r="A10124" t="s">
        <v>10735</v>
      </c>
      <c r="B10124" t="s">
        <v>67</v>
      </c>
      <c r="C10124" t="s">
        <v>617</v>
      </c>
      <c r="D10124">
        <v>3774.29</v>
      </c>
      <c r="E10124" s="37" t="str">
        <f t="shared" si="790"/>
        <v xml:space="preserve"> </v>
      </c>
      <c r="F10124">
        <v>0.1</v>
      </c>
      <c r="G10124" s="37" t="str">
        <f t="shared" si="791"/>
        <v>Normal Discount</v>
      </c>
      <c r="H10124" s="37" t="str">
        <f t="shared" si="792"/>
        <v>Low</v>
      </c>
      <c r="I10124">
        <v>1</v>
      </c>
      <c r="J10124" t="str" cm="1">
        <f t="array" ref="J10124">_xlfn.IFS(I10124&lt;=3,"small",I10124&lt;=6,"Medium",I10124&lt;=9,"Large")</f>
        <v>small</v>
      </c>
      <c r="K10124" s="36">
        <v>45054</v>
      </c>
      <c r="L10124" s="36">
        <v>45058</v>
      </c>
      <c r="M10124" t="s">
        <v>598</v>
      </c>
      <c r="N10124" t="s">
        <v>604</v>
      </c>
      <c r="O10124" s="37" t="str">
        <f t="shared" si="793"/>
        <v>Digital Payment</v>
      </c>
      <c r="P10124">
        <v>1004.76</v>
      </c>
      <c r="Q10124" s="37" t="str">
        <f>IF(P10124&gt;500,"High","low")</f>
        <v>High</v>
      </c>
      <c r="R10124" s="37" t="str">
        <f t="shared" si="794"/>
        <v>Excellent</v>
      </c>
      <c r="S10124" t="s">
        <v>620</v>
      </c>
    </row>
    <row r="10125" spans="1:19" x14ac:dyDescent="0.2">
      <c r="A10125" t="s">
        <v>10736</v>
      </c>
      <c r="B10125" t="s">
        <v>90</v>
      </c>
      <c r="C10125" t="s">
        <v>602</v>
      </c>
      <c r="D10125">
        <v>1347.49</v>
      </c>
      <c r="E10125" s="37" t="str">
        <f t="shared" si="790"/>
        <v xml:space="preserve"> </v>
      </c>
      <c r="F10125">
        <v>0.42</v>
      </c>
      <c r="G10125" s="37" t="str">
        <f t="shared" si="791"/>
        <v>Heavy Discount</v>
      </c>
      <c r="H10125" s="37" t="str">
        <f t="shared" si="792"/>
        <v>High</v>
      </c>
      <c r="I10125">
        <v>7</v>
      </c>
      <c r="J10125" t="str" cm="1">
        <f t="array" ref="J10125">_xlfn.IFS(I10125&lt;=3,"small",I10125&lt;=6,"Medium",I10125&lt;=9,"Large")</f>
        <v>Large</v>
      </c>
      <c r="K10125" s="36">
        <v>45393</v>
      </c>
      <c r="L10125" s="36">
        <v>45398</v>
      </c>
      <c r="M10125" t="s">
        <v>612</v>
      </c>
      <c r="N10125" t="s">
        <v>604</v>
      </c>
      <c r="O10125" s="37" t="str">
        <f t="shared" si="793"/>
        <v>Digital Payment</v>
      </c>
      <c r="P10125">
        <v>73.55</v>
      </c>
      <c r="Q10125" s="37" t="str">
        <f>IF(P10125&gt;500,"High","low")</f>
        <v>low</v>
      </c>
      <c r="R10125" s="37" t="str">
        <f t="shared" si="794"/>
        <v>AVERAGE</v>
      </c>
      <c r="S10125" t="s">
        <v>609</v>
      </c>
    </row>
    <row r="10126" spans="1:19" x14ac:dyDescent="0.2">
      <c r="A10126" t="s">
        <v>10737</v>
      </c>
      <c r="B10126" t="s">
        <v>90</v>
      </c>
      <c r="C10126" t="s">
        <v>597</v>
      </c>
      <c r="D10126">
        <v>2423.7600000000002</v>
      </c>
      <c r="E10126" s="37" t="str">
        <f t="shared" si="790"/>
        <v xml:space="preserve"> </v>
      </c>
      <c r="F10126">
        <v>0.31</v>
      </c>
      <c r="G10126" s="37" t="str">
        <f t="shared" si="791"/>
        <v>Heavy Discount</v>
      </c>
      <c r="H10126" s="37" t="str">
        <f t="shared" si="792"/>
        <v>Medium</v>
      </c>
      <c r="I10126">
        <v>3</v>
      </c>
      <c r="J10126" t="str" cm="1">
        <f t="array" ref="J10126">_xlfn.IFS(I10126&lt;=3,"small",I10126&lt;=6,"Medium",I10126&lt;=9,"Large")</f>
        <v>small</v>
      </c>
      <c r="K10126" s="36">
        <v>45634</v>
      </c>
      <c r="L10126" s="36">
        <v>45640</v>
      </c>
      <c r="M10126" t="s">
        <v>612</v>
      </c>
      <c r="N10126" t="s">
        <v>599</v>
      </c>
      <c r="O10126" s="37" t="str">
        <f t="shared" si="793"/>
        <v>Digital Payment</v>
      </c>
      <c r="P10126">
        <v>221.06</v>
      </c>
      <c r="Q10126" s="37" t="str">
        <f>IF(P10126&gt;500,"High","low")</f>
        <v>low</v>
      </c>
      <c r="R10126" s="37" t="str">
        <f t="shared" si="794"/>
        <v>AVERAGE</v>
      </c>
      <c r="S10126" t="s">
        <v>609</v>
      </c>
    </row>
    <row r="10127" spans="1:19" x14ac:dyDescent="0.2">
      <c r="A10127" t="s">
        <v>10738</v>
      </c>
      <c r="B10127" t="s">
        <v>75</v>
      </c>
      <c r="C10127" t="s">
        <v>607</v>
      </c>
      <c r="D10127">
        <v>1278.1600000000001</v>
      </c>
      <c r="E10127" s="37" t="str">
        <f t="shared" si="790"/>
        <v xml:space="preserve"> </v>
      </c>
      <c r="F10127">
        <v>0.41</v>
      </c>
      <c r="G10127" s="37" t="str">
        <f t="shared" si="791"/>
        <v>Heavy Discount</v>
      </c>
      <c r="H10127" s="37" t="str">
        <f t="shared" si="792"/>
        <v>High</v>
      </c>
      <c r="I10127">
        <v>9</v>
      </c>
      <c r="J10127" t="str" cm="1">
        <f t="array" ref="J10127">_xlfn.IFS(I10127&lt;=3,"small",I10127&lt;=6,"Medium",I10127&lt;=9,"Large")</f>
        <v>Large</v>
      </c>
      <c r="K10127" s="36">
        <v>45418</v>
      </c>
      <c r="L10127" s="36">
        <v>45423</v>
      </c>
      <c r="M10127" t="s">
        <v>603</v>
      </c>
      <c r="N10127" t="s">
        <v>599</v>
      </c>
      <c r="O10127" s="37" t="str">
        <f t="shared" si="793"/>
        <v>Digital Payment</v>
      </c>
      <c r="P10127">
        <v>339.94</v>
      </c>
      <c r="Q10127" s="37" t="str">
        <f>IF(P10127&gt;500,"High","low")</f>
        <v>low</v>
      </c>
      <c r="R10127" s="37" t="str">
        <f t="shared" si="794"/>
        <v>AVERAGE</v>
      </c>
      <c r="S10127" t="s">
        <v>615</v>
      </c>
    </row>
    <row r="10128" spans="1:19" x14ac:dyDescent="0.2">
      <c r="A10128" t="s">
        <v>10739</v>
      </c>
      <c r="B10128" t="s">
        <v>75</v>
      </c>
      <c r="C10128" t="s">
        <v>597</v>
      </c>
      <c r="D10128">
        <v>4152.75</v>
      </c>
      <c r="E10128" s="37" t="str">
        <f t="shared" si="790"/>
        <v>Excellent Order</v>
      </c>
      <c r="F10128">
        <v>0.36</v>
      </c>
      <c r="G10128" s="37" t="str">
        <f t="shared" si="791"/>
        <v>Heavy Discount</v>
      </c>
      <c r="H10128" s="37" t="str">
        <f t="shared" si="792"/>
        <v>Medium</v>
      </c>
      <c r="I10128">
        <v>9</v>
      </c>
      <c r="J10128" t="str" cm="1">
        <f t="array" ref="J10128">_xlfn.IFS(I10128&lt;=3,"small",I10128&lt;=6,"Medium",I10128&lt;=9,"Large")</f>
        <v>Large</v>
      </c>
      <c r="K10128" s="36">
        <v>45297</v>
      </c>
      <c r="L10128" s="36">
        <v>45304</v>
      </c>
      <c r="M10128" t="s">
        <v>598</v>
      </c>
      <c r="N10128" t="s">
        <v>604</v>
      </c>
      <c r="O10128" s="37" t="str">
        <f t="shared" si="793"/>
        <v>Digital Payment</v>
      </c>
      <c r="P10128">
        <v>905.32</v>
      </c>
      <c r="Q10128" s="37" t="str">
        <f>IF(P10128&gt;500,"High","low")</f>
        <v>High</v>
      </c>
      <c r="R10128" s="37" t="str">
        <f t="shared" si="794"/>
        <v>Good</v>
      </c>
      <c r="S10128" t="s">
        <v>628</v>
      </c>
    </row>
    <row r="10129" spans="1:19" x14ac:dyDescent="0.2">
      <c r="A10129" t="s">
        <v>10740</v>
      </c>
      <c r="B10129" t="s">
        <v>83</v>
      </c>
      <c r="C10129" t="s">
        <v>602</v>
      </c>
      <c r="D10129">
        <v>4795.6400000000003</v>
      </c>
      <c r="E10129" s="37" t="str">
        <f t="shared" si="790"/>
        <v>Excellent Order</v>
      </c>
      <c r="F10129">
        <v>0.35</v>
      </c>
      <c r="G10129" s="37" t="str">
        <f t="shared" si="791"/>
        <v>Heavy Discount</v>
      </c>
      <c r="H10129" s="37" t="str">
        <f t="shared" si="792"/>
        <v>Medium</v>
      </c>
      <c r="I10129">
        <v>4</v>
      </c>
      <c r="J10129" t="str" cm="1">
        <f t="array" ref="J10129">_xlfn.IFS(I10129&lt;=3,"small",I10129&lt;=6,"Medium",I10129&lt;=9,"Large")</f>
        <v>Medium</v>
      </c>
      <c r="K10129" s="36">
        <v>45092</v>
      </c>
      <c r="L10129" s="36">
        <v>45095</v>
      </c>
      <c r="M10129" t="s">
        <v>598</v>
      </c>
      <c r="N10129" t="s">
        <v>599</v>
      </c>
      <c r="O10129" s="37" t="str">
        <f t="shared" si="793"/>
        <v>Digital Payment</v>
      </c>
      <c r="P10129">
        <v>1008.18</v>
      </c>
      <c r="Q10129" s="37" t="str">
        <f>IF(P10129&gt;500,"High","low")</f>
        <v>High</v>
      </c>
      <c r="R10129" s="37" t="str">
        <f t="shared" si="794"/>
        <v>Excellent</v>
      </c>
      <c r="S10129" t="s">
        <v>605</v>
      </c>
    </row>
    <row r="10130" spans="1:19" x14ac:dyDescent="0.2">
      <c r="A10130" t="s">
        <v>10741</v>
      </c>
      <c r="B10130" t="s">
        <v>83</v>
      </c>
      <c r="C10130" t="s">
        <v>607</v>
      </c>
      <c r="D10130">
        <v>369.61</v>
      </c>
      <c r="E10130" s="37" t="str">
        <f t="shared" si="790"/>
        <v xml:space="preserve"> </v>
      </c>
      <c r="F10130">
        <v>0.08</v>
      </c>
      <c r="G10130" s="37" t="str">
        <f t="shared" si="791"/>
        <v>Normal Discount</v>
      </c>
      <c r="H10130" s="37" t="str">
        <f t="shared" si="792"/>
        <v>Low</v>
      </c>
      <c r="I10130">
        <v>2</v>
      </c>
      <c r="J10130" t="str" cm="1">
        <f t="array" ref="J10130">_xlfn.IFS(I10130&lt;=3,"small",I10130&lt;=6,"Medium",I10130&lt;=9,"Large")</f>
        <v>small</v>
      </c>
      <c r="K10130" s="36">
        <v>45622</v>
      </c>
      <c r="L10130" s="36">
        <v>45625</v>
      </c>
      <c r="M10130" t="s">
        <v>612</v>
      </c>
      <c r="N10130" t="s">
        <v>608</v>
      </c>
      <c r="O10130" s="37" t="str">
        <f t="shared" si="793"/>
        <v>Cash Payment</v>
      </c>
      <c r="P10130">
        <v>79.06</v>
      </c>
      <c r="Q10130" s="37" t="str">
        <f>IF(P10130&gt;500,"High","low")</f>
        <v>low</v>
      </c>
      <c r="R10130" s="37" t="str">
        <f t="shared" si="794"/>
        <v>AVERAGE</v>
      </c>
      <c r="S10130" t="s">
        <v>615</v>
      </c>
    </row>
    <row r="10131" spans="1:19" x14ac:dyDescent="0.2">
      <c r="A10131" t="s">
        <v>10742</v>
      </c>
      <c r="B10131" t="s">
        <v>83</v>
      </c>
      <c r="C10131" t="s">
        <v>602</v>
      </c>
      <c r="D10131">
        <v>1243.52</v>
      </c>
      <c r="E10131" s="37" t="str">
        <f t="shared" si="790"/>
        <v xml:space="preserve"> </v>
      </c>
      <c r="F10131">
        <v>0.16</v>
      </c>
      <c r="G10131" s="37" t="str">
        <f t="shared" si="791"/>
        <v>Normal Discount</v>
      </c>
      <c r="H10131" s="37" t="str">
        <f t="shared" si="792"/>
        <v>Low</v>
      </c>
      <c r="I10131">
        <v>9</v>
      </c>
      <c r="J10131" t="str" cm="1">
        <f t="array" ref="J10131">_xlfn.IFS(I10131&lt;=3,"small",I10131&lt;=6,"Medium",I10131&lt;=9,"Large")</f>
        <v>Large</v>
      </c>
      <c r="K10131" s="36">
        <v>45172</v>
      </c>
      <c r="L10131" s="36">
        <v>45177</v>
      </c>
      <c r="M10131" t="s">
        <v>603</v>
      </c>
      <c r="N10131" t="s">
        <v>599</v>
      </c>
      <c r="O10131" s="37" t="str">
        <f t="shared" si="793"/>
        <v>Digital Payment</v>
      </c>
      <c r="P10131">
        <v>96.63</v>
      </c>
      <c r="Q10131" s="37" t="str">
        <f>IF(P10131&gt;500,"High","low")</f>
        <v>low</v>
      </c>
      <c r="R10131" s="37" t="str">
        <f t="shared" si="794"/>
        <v>AVERAGE</v>
      </c>
      <c r="S10131" t="s">
        <v>628</v>
      </c>
    </row>
    <row r="10132" spans="1:19" x14ac:dyDescent="0.2">
      <c r="A10132" t="s">
        <v>10743</v>
      </c>
      <c r="B10132" t="s">
        <v>83</v>
      </c>
      <c r="C10132" t="s">
        <v>607</v>
      </c>
      <c r="D10132">
        <v>1028.8499999999999</v>
      </c>
      <c r="E10132" s="37" t="str">
        <f t="shared" si="790"/>
        <v xml:space="preserve"> </v>
      </c>
      <c r="F10132">
        <v>0.26</v>
      </c>
      <c r="G10132" s="37" t="str">
        <f t="shared" si="791"/>
        <v>Normal Discount</v>
      </c>
      <c r="H10132" s="37" t="str">
        <f t="shared" si="792"/>
        <v>Medium</v>
      </c>
      <c r="I10132">
        <v>5</v>
      </c>
      <c r="J10132" t="str" cm="1">
        <f t="array" ref="J10132">_xlfn.IFS(I10132&lt;=3,"small",I10132&lt;=6,"Medium",I10132&lt;=9,"Large")</f>
        <v>Medium</v>
      </c>
      <c r="K10132" s="36">
        <v>45324</v>
      </c>
      <c r="L10132" s="36">
        <v>45328</v>
      </c>
      <c r="M10132" t="s">
        <v>603</v>
      </c>
      <c r="N10132" t="s">
        <v>608</v>
      </c>
      <c r="O10132" s="37" t="str">
        <f t="shared" si="793"/>
        <v>Cash Payment</v>
      </c>
      <c r="P10132">
        <v>273.73</v>
      </c>
      <c r="Q10132" s="37" t="str">
        <f>IF(P10132&gt;500,"High","low")</f>
        <v>low</v>
      </c>
      <c r="R10132" s="37" t="str">
        <f t="shared" si="794"/>
        <v>AVERAGE</v>
      </c>
      <c r="S10132" t="s">
        <v>600</v>
      </c>
    </row>
    <row r="10133" spans="1:19" x14ac:dyDescent="0.2">
      <c r="A10133" t="s">
        <v>10744</v>
      </c>
      <c r="B10133" t="s">
        <v>75</v>
      </c>
      <c r="C10133" t="s">
        <v>602</v>
      </c>
      <c r="D10133">
        <v>3398.7</v>
      </c>
      <c r="E10133" s="37" t="str">
        <f t="shared" si="790"/>
        <v xml:space="preserve"> </v>
      </c>
      <c r="F10133">
        <v>0.06</v>
      </c>
      <c r="G10133" s="37" t="str">
        <f t="shared" si="791"/>
        <v>Normal Discount</v>
      </c>
      <c r="H10133" s="37" t="str">
        <f t="shared" si="792"/>
        <v>Low</v>
      </c>
      <c r="I10133">
        <v>8</v>
      </c>
      <c r="J10133" t="str" cm="1">
        <f t="array" ref="J10133">_xlfn.IFS(I10133&lt;=3,"small",I10133&lt;=6,"Medium",I10133&lt;=9,"Large")</f>
        <v>Large</v>
      </c>
      <c r="K10133" s="36">
        <v>45620</v>
      </c>
      <c r="L10133" s="36">
        <v>45623</v>
      </c>
      <c r="M10133" t="s">
        <v>603</v>
      </c>
      <c r="N10133" t="s">
        <v>604</v>
      </c>
      <c r="O10133" s="37" t="str">
        <f t="shared" si="793"/>
        <v>Digital Payment</v>
      </c>
      <c r="P10133">
        <v>252.97</v>
      </c>
      <c r="Q10133" s="37" t="str">
        <f>IF(P10133&gt;500,"High","low")</f>
        <v>low</v>
      </c>
      <c r="R10133" s="37" t="str">
        <f t="shared" si="794"/>
        <v>AVERAGE</v>
      </c>
      <c r="S10133" t="s">
        <v>628</v>
      </c>
    </row>
    <row r="10134" spans="1:19" x14ac:dyDescent="0.2">
      <c r="A10134" t="s">
        <v>10745</v>
      </c>
      <c r="B10134" t="s">
        <v>67</v>
      </c>
      <c r="C10134" t="s">
        <v>614</v>
      </c>
      <c r="D10134">
        <v>2200.52</v>
      </c>
      <c r="E10134" s="37" t="str">
        <f t="shared" si="790"/>
        <v xml:space="preserve"> </v>
      </c>
      <c r="F10134">
        <v>0.24</v>
      </c>
      <c r="G10134" s="37" t="str">
        <f t="shared" si="791"/>
        <v>Normal Discount</v>
      </c>
      <c r="H10134" s="37" t="str">
        <f t="shared" si="792"/>
        <v>Medium</v>
      </c>
      <c r="I10134">
        <v>9</v>
      </c>
      <c r="J10134" t="str" cm="1">
        <f t="array" ref="J10134">_xlfn.IFS(I10134&lt;=3,"small",I10134&lt;=6,"Medium",I10134&lt;=9,"Large")</f>
        <v>Large</v>
      </c>
      <c r="K10134" s="36">
        <v>45027</v>
      </c>
      <c r="L10134" s="36">
        <v>45031</v>
      </c>
      <c r="M10134" t="s">
        <v>603</v>
      </c>
      <c r="N10134" t="s">
        <v>608</v>
      </c>
      <c r="O10134" s="37" t="str">
        <f t="shared" si="793"/>
        <v>Cash Payment</v>
      </c>
      <c r="P10134">
        <v>222.52</v>
      </c>
      <c r="Q10134" s="37" t="str">
        <f>IF(P10134&gt;500,"High","low")</f>
        <v>low</v>
      </c>
      <c r="R10134" s="37" t="str">
        <f t="shared" si="794"/>
        <v>AVERAGE</v>
      </c>
      <c r="S10134" t="s">
        <v>628</v>
      </c>
    </row>
    <row r="10135" spans="1:19" x14ac:dyDescent="0.2">
      <c r="A10135" t="s">
        <v>10746</v>
      </c>
      <c r="B10135" t="s">
        <v>83</v>
      </c>
      <c r="C10135" t="s">
        <v>617</v>
      </c>
      <c r="D10135">
        <v>2335.6799999999998</v>
      </c>
      <c r="E10135" s="37" t="str">
        <f t="shared" si="790"/>
        <v xml:space="preserve"> </v>
      </c>
      <c r="F10135">
        <v>0.22</v>
      </c>
      <c r="G10135" s="37" t="str">
        <f t="shared" si="791"/>
        <v>Normal Discount</v>
      </c>
      <c r="H10135" s="37" t="str">
        <f t="shared" si="792"/>
        <v>Medium</v>
      </c>
      <c r="I10135">
        <v>1</v>
      </c>
      <c r="J10135" t="str" cm="1">
        <f t="array" ref="J10135">_xlfn.IFS(I10135&lt;=3,"small",I10135&lt;=6,"Medium",I10135&lt;=9,"Large")</f>
        <v>small</v>
      </c>
      <c r="K10135" s="36">
        <v>45598</v>
      </c>
      <c r="L10135" s="36">
        <v>45601</v>
      </c>
      <c r="M10135" t="s">
        <v>612</v>
      </c>
      <c r="N10135" t="s">
        <v>599</v>
      </c>
      <c r="O10135" s="37" t="str">
        <f t="shared" si="793"/>
        <v>Digital Payment</v>
      </c>
      <c r="P10135">
        <v>548.05999999999995</v>
      </c>
      <c r="Q10135" s="37" t="str">
        <f>IF(P10135&gt;500,"High","low")</f>
        <v>High</v>
      </c>
      <c r="R10135" s="37" t="str">
        <f t="shared" si="794"/>
        <v>Good</v>
      </c>
      <c r="S10135" t="s">
        <v>605</v>
      </c>
    </row>
    <row r="10136" spans="1:19" x14ac:dyDescent="0.2">
      <c r="A10136" t="s">
        <v>10747</v>
      </c>
      <c r="B10136" t="s">
        <v>67</v>
      </c>
      <c r="C10136" t="s">
        <v>617</v>
      </c>
      <c r="D10136">
        <v>869.69</v>
      </c>
      <c r="E10136" s="37" t="str">
        <f t="shared" si="790"/>
        <v xml:space="preserve"> </v>
      </c>
      <c r="F10136">
        <v>0.12</v>
      </c>
      <c r="G10136" s="37" t="str">
        <f t="shared" si="791"/>
        <v>Normal Discount</v>
      </c>
      <c r="H10136" s="37" t="str">
        <f t="shared" si="792"/>
        <v>Low</v>
      </c>
      <c r="I10136">
        <v>3</v>
      </c>
      <c r="J10136" t="str" cm="1">
        <f t="array" ref="J10136">_xlfn.IFS(I10136&lt;=3,"small",I10136&lt;=6,"Medium",I10136&lt;=9,"Large")</f>
        <v>small</v>
      </c>
      <c r="K10136" s="36">
        <v>45085</v>
      </c>
      <c r="L10136" s="36">
        <v>45086</v>
      </c>
      <c r="M10136" t="s">
        <v>598</v>
      </c>
      <c r="N10136" t="s">
        <v>608</v>
      </c>
      <c r="O10136" s="37" t="str">
        <f t="shared" si="793"/>
        <v>Cash Payment</v>
      </c>
      <c r="P10136">
        <v>95.52</v>
      </c>
      <c r="Q10136" s="37" t="str">
        <f>IF(P10136&gt;500,"High","low")</f>
        <v>low</v>
      </c>
      <c r="R10136" s="37" t="str">
        <f t="shared" si="794"/>
        <v>AVERAGE</v>
      </c>
      <c r="S10136" t="s">
        <v>620</v>
      </c>
    </row>
    <row r="10137" spans="1:19" x14ac:dyDescent="0.2">
      <c r="A10137" t="s">
        <v>10748</v>
      </c>
      <c r="B10137" t="s">
        <v>83</v>
      </c>
      <c r="C10137" t="s">
        <v>607</v>
      </c>
      <c r="D10137">
        <v>2132.1999999999998</v>
      </c>
      <c r="E10137" s="37" t="str">
        <f t="shared" si="790"/>
        <v xml:space="preserve"> </v>
      </c>
      <c r="F10137">
        <v>0.1</v>
      </c>
      <c r="G10137" s="37" t="str">
        <f t="shared" si="791"/>
        <v>Normal Discount</v>
      </c>
      <c r="H10137" s="37" t="str">
        <f t="shared" si="792"/>
        <v>Low</v>
      </c>
      <c r="I10137">
        <v>7</v>
      </c>
      <c r="J10137" t="str" cm="1">
        <f t="array" ref="J10137">_xlfn.IFS(I10137&lt;=3,"small",I10137&lt;=6,"Medium",I10137&lt;=9,"Large")</f>
        <v>Large</v>
      </c>
      <c r="K10137" s="36">
        <v>45123</v>
      </c>
      <c r="L10137" s="36">
        <v>45125</v>
      </c>
      <c r="M10137" t="s">
        <v>598</v>
      </c>
      <c r="N10137" t="s">
        <v>599</v>
      </c>
      <c r="O10137" s="37" t="str">
        <f t="shared" si="793"/>
        <v>Digital Payment</v>
      </c>
      <c r="P10137">
        <v>535.16999999999996</v>
      </c>
      <c r="Q10137" s="37" t="str">
        <f>IF(P10137&gt;500,"High","low")</f>
        <v>High</v>
      </c>
      <c r="R10137" s="37" t="str">
        <f t="shared" si="794"/>
        <v>Good</v>
      </c>
      <c r="S10137" t="s">
        <v>628</v>
      </c>
    </row>
    <row r="10138" spans="1:19" x14ac:dyDescent="0.2">
      <c r="A10138" t="s">
        <v>10749</v>
      </c>
      <c r="B10138" t="s">
        <v>90</v>
      </c>
      <c r="C10138" t="s">
        <v>614</v>
      </c>
      <c r="D10138">
        <v>1585.82</v>
      </c>
      <c r="E10138" s="37" t="str">
        <f t="shared" si="790"/>
        <v xml:space="preserve"> </v>
      </c>
      <c r="F10138">
        <v>0.12</v>
      </c>
      <c r="G10138" s="37" t="str">
        <f t="shared" si="791"/>
        <v>Normal Discount</v>
      </c>
      <c r="H10138" s="37" t="str">
        <f t="shared" si="792"/>
        <v>Low</v>
      </c>
      <c r="I10138">
        <v>2</v>
      </c>
      <c r="J10138" t="str" cm="1">
        <f t="array" ref="J10138">_xlfn.IFS(I10138&lt;=3,"small",I10138&lt;=6,"Medium",I10138&lt;=9,"Large")</f>
        <v>small</v>
      </c>
      <c r="K10138" s="36">
        <v>45583</v>
      </c>
      <c r="L10138" s="36">
        <v>45584</v>
      </c>
      <c r="M10138" t="s">
        <v>603</v>
      </c>
      <c r="N10138" t="s">
        <v>608</v>
      </c>
      <c r="O10138" s="37" t="str">
        <f t="shared" si="793"/>
        <v>Cash Payment</v>
      </c>
      <c r="P10138">
        <v>367.31</v>
      </c>
      <c r="Q10138" s="37" t="str">
        <f>IF(P10138&gt;500,"High","low")</f>
        <v>low</v>
      </c>
      <c r="R10138" s="37" t="str">
        <f t="shared" si="794"/>
        <v>AVERAGE</v>
      </c>
      <c r="S10138" t="s">
        <v>605</v>
      </c>
    </row>
    <row r="10139" spans="1:19" x14ac:dyDescent="0.2">
      <c r="A10139" t="s">
        <v>10750</v>
      </c>
      <c r="B10139" t="s">
        <v>83</v>
      </c>
      <c r="C10139" t="s">
        <v>597</v>
      </c>
      <c r="D10139">
        <v>3094.84</v>
      </c>
      <c r="E10139" s="37" t="str">
        <f t="shared" si="790"/>
        <v xml:space="preserve"> </v>
      </c>
      <c r="F10139">
        <v>0.3</v>
      </c>
      <c r="G10139" s="37" t="str">
        <f t="shared" si="791"/>
        <v>Normal Discount</v>
      </c>
      <c r="H10139" s="37" t="str">
        <f t="shared" si="792"/>
        <v>Medium</v>
      </c>
      <c r="I10139">
        <v>4</v>
      </c>
      <c r="J10139" t="str" cm="1">
        <f t="array" ref="J10139">_xlfn.IFS(I10139&lt;=3,"small",I10139&lt;=6,"Medium",I10139&lt;=9,"Large")</f>
        <v>Medium</v>
      </c>
      <c r="K10139" s="36">
        <v>44930</v>
      </c>
      <c r="L10139" s="36">
        <v>44931</v>
      </c>
      <c r="M10139" t="s">
        <v>598</v>
      </c>
      <c r="N10139" t="s">
        <v>599</v>
      </c>
      <c r="O10139" s="37" t="str">
        <f t="shared" si="793"/>
        <v>Digital Payment</v>
      </c>
      <c r="P10139">
        <v>729.04</v>
      </c>
      <c r="Q10139" s="37" t="str">
        <f>IF(P10139&gt;500,"High","low")</f>
        <v>High</v>
      </c>
      <c r="R10139" s="37" t="str">
        <f t="shared" si="794"/>
        <v>Good</v>
      </c>
      <c r="S10139" t="s">
        <v>628</v>
      </c>
    </row>
    <row r="10140" spans="1:19" x14ac:dyDescent="0.2">
      <c r="A10140" t="s">
        <v>10751</v>
      </c>
      <c r="B10140" t="s">
        <v>83</v>
      </c>
      <c r="C10140" t="s">
        <v>614</v>
      </c>
      <c r="D10140">
        <v>1164.47</v>
      </c>
      <c r="E10140" s="37" t="str">
        <f t="shared" si="790"/>
        <v xml:space="preserve"> </v>
      </c>
      <c r="F10140">
        <v>0.21</v>
      </c>
      <c r="G10140" s="37" t="str">
        <f t="shared" si="791"/>
        <v>Normal Discount</v>
      </c>
      <c r="H10140" s="37" t="str">
        <f t="shared" si="792"/>
        <v>Medium</v>
      </c>
      <c r="I10140">
        <v>4</v>
      </c>
      <c r="J10140" t="str" cm="1">
        <f t="array" ref="J10140">_xlfn.IFS(I10140&lt;=3,"small",I10140&lt;=6,"Medium",I10140&lt;=9,"Large")</f>
        <v>Medium</v>
      </c>
      <c r="K10140" s="36">
        <v>45545</v>
      </c>
      <c r="L10140" s="36">
        <v>45547</v>
      </c>
      <c r="M10140" t="s">
        <v>612</v>
      </c>
      <c r="N10140" t="s">
        <v>604</v>
      </c>
      <c r="O10140" s="37" t="str">
        <f t="shared" si="793"/>
        <v>Digital Payment</v>
      </c>
      <c r="P10140">
        <v>181.39</v>
      </c>
      <c r="Q10140" s="37" t="str">
        <f>IF(P10140&gt;500,"High","low")</f>
        <v>low</v>
      </c>
      <c r="R10140" s="37" t="str">
        <f t="shared" si="794"/>
        <v>AVERAGE</v>
      </c>
      <c r="S10140" t="s">
        <v>628</v>
      </c>
    </row>
    <row r="10141" spans="1:19" x14ac:dyDescent="0.2">
      <c r="A10141" t="s">
        <v>10752</v>
      </c>
      <c r="B10141" t="s">
        <v>83</v>
      </c>
      <c r="C10141" t="s">
        <v>607</v>
      </c>
      <c r="D10141">
        <v>3112.58</v>
      </c>
      <c r="E10141" s="37" t="str">
        <f t="shared" si="790"/>
        <v xml:space="preserve"> </v>
      </c>
      <c r="F10141">
        <v>0.21</v>
      </c>
      <c r="G10141" s="37" t="str">
        <f t="shared" si="791"/>
        <v>Normal Discount</v>
      </c>
      <c r="H10141" s="37" t="str">
        <f t="shared" si="792"/>
        <v>Medium</v>
      </c>
      <c r="I10141">
        <v>7</v>
      </c>
      <c r="J10141" t="str" cm="1">
        <f t="array" ref="J10141">_xlfn.IFS(I10141&lt;=3,"small",I10141&lt;=6,"Medium",I10141&lt;=9,"Large")</f>
        <v>Large</v>
      </c>
      <c r="K10141" s="36">
        <v>45142</v>
      </c>
      <c r="L10141" s="36">
        <v>45145</v>
      </c>
      <c r="M10141" t="s">
        <v>612</v>
      </c>
      <c r="N10141" t="s">
        <v>604</v>
      </c>
      <c r="O10141" s="37" t="str">
        <f t="shared" si="793"/>
        <v>Digital Payment</v>
      </c>
      <c r="P10141">
        <v>590.64</v>
      </c>
      <c r="Q10141" s="37" t="str">
        <f>IF(P10141&gt;500,"High","low")</f>
        <v>High</v>
      </c>
      <c r="R10141" s="37" t="str">
        <f t="shared" si="794"/>
        <v>Good</v>
      </c>
      <c r="S10141" t="s">
        <v>620</v>
      </c>
    </row>
    <row r="10142" spans="1:19" x14ac:dyDescent="0.2">
      <c r="A10142" t="s">
        <v>10753</v>
      </c>
      <c r="B10142" t="s">
        <v>75</v>
      </c>
      <c r="C10142" t="s">
        <v>614</v>
      </c>
      <c r="D10142">
        <v>1950.95</v>
      </c>
      <c r="E10142" s="37" t="str">
        <f t="shared" si="790"/>
        <v xml:space="preserve"> </v>
      </c>
      <c r="F10142">
        <v>0.09</v>
      </c>
      <c r="G10142" s="37" t="str">
        <f t="shared" si="791"/>
        <v>Normal Discount</v>
      </c>
      <c r="H10142" s="37" t="str">
        <f t="shared" si="792"/>
        <v>Low</v>
      </c>
      <c r="I10142">
        <v>2</v>
      </c>
      <c r="J10142" t="str" cm="1">
        <f t="array" ref="J10142">_xlfn.IFS(I10142&lt;=3,"small",I10142&lt;=6,"Medium",I10142&lt;=9,"Large")</f>
        <v>small</v>
      </c>
      <c r="K10142" s="36">
        <v>44932</v>
      </c>
      <c r="L10142" s="36">
        <v>44935</v>
      </c>
      <c r="M10142" t="s">
        <v>598</v>
      </c>
      <c r="N10142" t="s">
        <v>599</v>
      </c>
      <c r="O10142" s="37" t="str">
        <f t="shared" si="793"/>
        <v>Digital Payment</v>
      </c>
      <c r="P10142">
        <v>315.66000000000003</v>
      </c>
      <c r="Q10142" s="37" t="str">
        <f>IF(P10142&gt;500,"High","low")</f>
        <v>low</v>
      </c>
      <c r="R10142" s="37" t="str">
        <f t="shared" si="794"/>
        <v>AVERAGE</v>
      </c>
      <c r="S10142" t="s">
        <v>620</v>
      </c>
    </row>
    <row r="10143" spans="1:19" x14ac:dyDescent="0.2">
      <c r="A10143" t="s">
        <v>10754</v>
      </c>
      <c r="B10143" t="s">
        <v>90</v>
      </c>
      <c r="C10143" t="s">
        <v>597</v>
      </c>
      <c r="D10143">
        <v>1796.84</v>
      </c>
      <c r="E10143" s="37" t="str">
        <f t="shared" si="790"/>
        <v xml:space="preserve"> </v>
      </c>
      <c r="F10143">
        <v>0.39</v>
      </c>
      <c r="G10143" s="37" t="str">
        <f t="shared" si="791"/>
        <v>Heavy Discount</v>
      </c>
      <c r="H10143" s="37" t="str">
        <f t="shared" si="792"/>
        <v>Medium</v>
      </c>
      <c r="I10143">
        <v>8</v>
      </c>
      <c r="J10143" t="str" cm="1">
        <f t="array" ref="J10143">_xlfn.IFS(I10143&lt;=3,"small",I10143&lt;=6,"Medium",I10143&lt;=9,"Large")</f>
        <v>Large</v>
      </c>
      <c r="K10143" s="36">
        <v>45374</v>
      </c>
      <c r="L10143" s="36">
        <v>45375</v>
      </c>
      <c r="M10143" t="s">
        <v>612</v>
      </c>
      <c r="N10143" t="s">
        <v>608</v>
      </c>
      <c r="O10143" s="37" t="str">
        <f t="shared" si="793"/>
        <v>Cash Payment</v>
      </c>
      <c r="P10143">
        <v>422.09</v>
      </c>
      <c r="Q10143" s="37" t="str">
        <f>IF(P10143&gt;500,"High","low")</f>
        <v>low</v>
      </c>
      <c r="R10143" s="37" t="str">
        <f t="shared" si="794"/>
        <v>AVERAGE</v>
      </c>
      <c r="S10143" t="s">
        <v>615</v>
      </c>
    </row>
    <row r="10144" spans="1:19" x14ac:dyDescent="0.2">
      <c r="A10144" t="s">
        <v>10755</v>
      </c>
      <c r="B10144" t="s">
        <v>83</v>
      </c>
      <c r="C10144" t="s">
        <v>607</v>
      </c>
      <c r="D10144">
        <v>1597.23</v>
      </c>
      <c r="E10144" s="37" t="str">
        <f t="shared" si="790"/>
        <v xml:space="preserve"> </v>
      </c>
      <c r="F10144">
        <v>0.35</v>
      </c>
      <c r="G10144" s="37" t="str">
        <f t="shared" si="791"/>
        <v>Heavy Discount</v>
      </c>
      <c r="H10144" s="37" t="str">
        <f t="shared" si="792"/>
        <v>Medium</v>
      </c>
      <c r="I10144">
        <v>8</v>
      </c>
      <c r="J10144" t="str" cm="1">
        <f t="array" ref="J10144">_xlfn.IFS(I10144&lt;=3,"small",I10144&lt;=6,"Medium",I10144&lt;=9,"Large")</f>
        <v>Large</v>
      </c>
      <c r="K10144" s="36">
        <v>45084</v>
      </c>
      <c r="L10144" s="36">
        <v>45087</v>
      </c>
      <c r="M10144" t="s">
        <v>603</v>
      </c>
      <c r="N10144" t="s">
        <v>604</v>
      </c>
      <c r="O10144" s="37" t="str">
        <f t="shared" si="793"/>
        <v>Digital Payment</v>
      </c>
      <c r="P10144">
        <v>128.28</v>
      </c>
      <c r="Q10144" s="37" t="str">
        <f>IF(P10144&gt;500,"High","low")</f>
        <v>low</v>
      </c>
      <c r="R10144" s="37" t="str">
        <f t="shared" si="794"/>
        <v>AVERAGE</v>
      </c>
      <c r="S10144" t="s">
        <v>605</v>
      </c>
    </row>
    <row r="10145" spans="1:19" x14ac:dyDescent="0.2">
      <c r="A10145" t="s">
        <v>10756</v>
      </c>
      <c r="B10145" t="s">
        <v>83</v>
      </c>
      <c r="C10145" t="s">
        <v>617</v>
      </c>
      <c r="D10145">
        <v>3401.78</v>
      </c>
      <c r="E10145" s="37" t="str">
        <f t="shared" si="790"/>
        <v xml:space="preserve"> </v>
      </c>
      <c r="F10145">
        <v>0.21</v>
      </c>
      <c r="G10145" s="37" t="str">
        <f t="shared" si="791"/>
        <v>Normal Discount</v>
      </c>
      <c r="H10145" s="37" t="str">
        <f t="shared" si="792"/>
        <v>Medium</v>
      </c>
      <c r="I10145">
        <v>6</v>
      </c>
      <c r="J10145" t="str" cm="1">
        <f t="array" ref="J10145">_xlfn.IFS(I10145&lt;=3,"small",I10145&lt;=6,"Medium",I10145&lt;=9,"Large")</f>
        <v>Medium</v>
      </c>
      <c r="K10145" s="36">
        <v>45529</v>
      </c>
      <c r="L10145" s="36">
        <v>45534</v>
      </c>
      <c r="M10145" t="s">
        <v>612</v>
      </c>
      <c r="N10145" t="s">
        <v>608</v>
      </c>
      <c r="O10145" s="37" t="str">
        <f t="shared" si="793"/>
        <v>Cash Payment</v>
      </c>
      <c r="P10145">
        <v>556.63</v>
      </c>
      <c r="Q10145" s="37" t="str">
        <f>IF(P10145&gt;500,"High","low")</f>
        <v>High</v>
      </c>
      <c r="R10145" s="37" t="str">
        <f t="shared" si="794"/>
        <v>Good</v>
      </c>
      <c r="S10145" t="s">
        <v>609</v>
      </c>
    </row>
    <row r="10146" spans="1:19" x14ac:dyDescent="0.2">
      <c r="A10146" t="s">
        <v>10757</v>
      </c>
      <c r="B10146" t="s">
        <v>67</v>
      </c>
      <c r="C10146" t="s">
        <v>614</v>
      </c>
      <c r="D10146">
        <v>2855.85</v>
      </c>
      <c r="E10146" s="37" t="str">
        <f t="shared" si="790"/>
        <v xml:space="preserve"> </v>
      </c>
      <c r="F10146">
        <v>7.0000000000000007E-2</v>
      </c>
      <c r="G10146" s="37" t="str">
        <f t="shared" si="791"/>
        <v>Normal Discount</v>
      </c>
      <c r="H10146" s="37" t="str">
        <f t="shared" si="792"/>
        <v>Low</v>
      </c>
      <c r="I10146">
        <v>4</v>
      </c>
      <c r="J10146" t="str" cm="1">
        <f t="array" ref="J10146">_xlfn.IFS(I10146&lt;=3,"small",I10146&lt;=6,"Medium",I10146&lt;=9,"Large")</f>
        <v>Medium</v>
      </c>
      <c r="K10146" s="36">
        <v>45191</v>
      </c>
      <c r="L10146" s="36">
        <v>45196</v>
      </c>
      <c r="M10146" t="s">
        <v>612</v>
      </c>
      <c r="N10146" t="s">
        <v>599</v>
      </c>
      <c r="O10146" s="37" t="str">
        <f t="shared" si="793"/>
        <v>Digital Payment</v>
      </c>
      <c r="P10146">
        <v>708.14</v>
      </c>
      <c r="Q10146" s="37" t="str">
        <f>IF(P10146&gt;500,"High","low")</f>
        <v>High</v>
      </c>
      <c r="R10146" s="37" t="str">
        <f t="shared" si="794"/>
        <v>Good</v>
      </c>
      <c r="S10146" t="s">
        <v>620</v>
      </c>
    </row>
    <row r="10147" spans="1:19" x14ac:dyDescent="0.2">
      <c r="A10147" t="s">
        <v>10758</v>
      </c>
      <c r="B10147" t="s">
        <v>90</v>
      </c>
      <c r="C10147" t="s">
        <v>617</v>
      </c>
      <c r="D10147">
        <v>4273.4399999999996</v>
      </c>
      <c r="E10147" s="37" t="str">
        <f t="shared" si="790"/>
        <v xml:space="preserve"> </v>
      </c>
      <c r="F10147">
        <v>0.36</v>
      </c>
      <c r="G10147" s="37" t="str">
        <f t="shared" si="791"/>
        <v>Heavy Discount</v>
      </c>
      <c r="H10147" s="37" t="str">
        <f t="shared" si="792"/>
        <v>Medium</v>
      </c>
      <c r="I10147">
        <v>2</v>
      </c>
      <c r="J10147" t="str" cm="1">
        <f t="array" ref="J10147">_xlfn.IFS(I10147&lt;=3,"small",I10147&lt;=6,"Medium",I10147&lt;=9,"Large")</f>
        <v>small</v>
      </c>
      <c r="K10147" s="36">
        <v>45334</v>
      </c>
      <c r="L10147" s="36">
        <v>45337</v>
      </c>
      <c r="M10147" t="s">
        <v>598</v>
      </c>
      <c r="N10147" t="s">
        <v>608</v>
      </c>
      <c r="O10147" s="37" t="str">
        <f t="shared" si="793"/>
        <v>Cash Payment</v>
      </c>
      <c r="P10147">
        <v>449.11</v>
      </c>
      <c r="Q10147" s="37" t="str">
        <f>IF(P10147&gt;500,"High","low")</f>
        <v>low</v>
      </c>
      <c r="R10147" s="37" t="str">
        <f t="shared" si="794"/>
        <v>AVERAGE</v>
      </c>
      <c r="S10147" t="s">
        <v>609</v>
      </c>
    </row>
    <row r="10148" spans="1:19" x14ac:dyDescent="0.2">
      <c r="A10148" t="s">
        <v>10759</v>
      </c>
      <c r="B10148" t="s">
        <v>83</v>
      </c>
      <c r="C10148" t="s">
        <v>617</v>
      </c>
      <c r="D10148">
        <v>1283.8900000000001</v>
      </c>
      <c r="E10148" s="37" t="str">
        <f t="shared" si="790"/>
        <v xml:space="preserve"> </v>
      </c>
      <c r="F10148">
        <v>0.45</v>
      </c>
      <c r="G10148" s="37" t="str">
        <f t="shared" si="791"/>
        <v>Heavy Discount</v>
      </c>
      <c r="H10148" s="37" t="str">
        <f t="shared" si="792"/>
        <v>High</v>
      </c>
      <c r="I10148">
        <v>3</v>
      </c>
      <c r="J10148" t="str" cm="1">
        <f t="array" ref="J10148">_xlfn.IFS(I10148&lt;=3,"small",I10148&lt;=6,"Medium",I10148&lt;=9,"Large")</f>
        <v>small</v>
      </c>
      <c r="K10148" s="36">
        <v>44939</v>
      </c>
      <c r="L10148" s="36">
        <v>44944</v>
      </c>
      <c r="M10148" t="s">
        <v>612</v>
      </c>
      <c r="N10148" t="s">
        <v>604</v>
      </c>
      <c r="O10148" s="37" t="str">
        <f t="shared" si="793"/>
        <v>Digital Payment</v>
      </c>
      <c r="P10148">
        <v>204.47</v>
      </c>
      <c r="Q10148" s="37" t="str">
        <f>IF(P10148&gt;500,"High","low")</f>
        <v>low</v>
      </c>
      <c r="R10148" s="37" t="str">
        <f t="shared" si="794"/>
        <v>AVERAGE</v>
      </c>
      <c r="S10148" t="s">
        <v>605</v>
      </c>
    </row>
    <row r="10149" spans="1:19" x14ac:dyDescent="0.2">
      <c r="A10149" t="s">
        <v>10760</v>
      </c>
      <c r="B10149" t="s">
        <v>67</v>
      </c>
      <c r="C10149" t="s">
        <v>602</v>
      </c>
      <c r="D10149">
        <v>296.58999999999997</v>
      </c>
      <c r="E10149" s="37" t="str">
        <f t="shared" si="790"/>
        <v xml:space="preserve"> </v>
      </c>
      <c r="F10149">
        <v>0.09</v>
      </c>
      <c r="G10149" s="37" t="str">
        <f t="shared" si="791"/>
        <v>Normal Discount</v>
      </c>
      <c r="H10149" s="37" t="str">
        <f t="shared" si="792"/>
        <v>Low</v>
      </c>
      <c r="I10149">
        <v>3</v>
      </c>
      <c r="J10149" t="str" cm="1">
        <f t="array" ref="J10149">_xlfn.IFS(I10149&lt;=3,"small",I10149&lt;=6,"Medium",I10149&lt;=9,"Large")</f>
        <v>small</v>
      </c>
      <c r="K10149" s="36">
        <v>45530</v>
      </c>
      <c r="L10149" s="36">
        <v>45537</v>
      </c>
      <c r="M10149" t="s">
        <v>612</v>
      </c>
      <c r="N10149" t="s">
        <v>599</v>
      </c>
      <c r="O10149" s="37" t="str">
        <f t="shared" si="793"/>
        <v>Digital Payment</v>
      </c>
      <c r="P10149">
        <v>36.409999999999997</v>
      </c>
      <c r="Q10149" s="37" t="str">
        <f>IF(P10149&gt;500,"High","low")</f>
        <v>low</v>
      </c>
      <c r="R10149" s="37" t="str">
        <f t="shared" si="794"/>
        <v>AVERAGE</v>
      </c>
      <c r="S10149" t="s">
        <v>620</v>
      </c>
    </row>
    <row r="10150" spans="1:19" x14ac:dyDescent="0.2">
      <c r="A10150" t="s">
        <v>10761</v>
      </c>
      <c r="B10150" t="s">
        <v>67</v>
      </c>
      <c r="C10150" t="s">
        <v>597</v>
      </c>
      <c r="D10150">
        <v>991.92</v>
      </c>
      <c r="E10150" s="37" t="str">
        <f t="shared" si="790"/>
        <v xml:space="preserve"> </v>
      </c>
      <c r="F10150">
        <v>0.3</v>
      </c>
      <c r="G10150" s="37" t="str">
        <f t="shared" si="791"/>
        <v>Normal Discount</v>
      </c>
      <c r="H10150" s="37" t="str">
        <f t="shared" si="792"/>
        <v>Medium</v>
      </c>
      <c r="I10150">
        <v>3</v>
      </c>
      <c r="J10150" t="str" cm="1">
        <f t="array" ref="J10150">_xlfn.IFS(I10150&lt;=3,"small",I10150&lt;=6,"Medium",I10150&lt;=9,"Large")</f>
        <v>small</v>
      </c>
      <c r="K10150" s="36">
        <v>45421</v>
      </c>
      <c r="L10150" s="36">
        <v>45423</v>
      </c>
      <c r="M10150" t="s">
        <v>612</v>
      </c>
      <c r="N10150" t="s">
        <v>599</v>
      </c>
      <c r="O10150" s="37" t="str">
        <f t="shared" si="793"/>
        <v>Digital Payment</v>
      </c>
      <c r="P10150">
        <v>160.54</v>
      </c>
      <c r="Q10150" s="37" t="str">
        <f>IF(P10150&gt;500,"High","low")</f>
        <v>low</v>
      </c>
      <c r="R10150" s="37" t="str">
        <f t="shared" si="794"/>
        <v>AVERAGE</v>
      </c>
      <c r="S10150" t="s">
        <v>605</v>
      </c>
    </row>
    <row r="10151" spans="1:19" x14ac:dyDescent="0.2">
      <c r="A10151" t="s">
        <v>10762</v>
      </c>
      <c r="B10151" t="s">
        <v>75</v>
      </c>
      <c r="C10151" t="s">
        <v>614</v>
      </c>
      <c r="D10151">
        <v>1782.45</v>
      </c>
      <c r="E10151" s="37" t="str">
        <f t="shared" si="790"/>
        <v xml:space="preserve"> </v>
      </c>
      <c r="F10151">
        <v>0.21</v>
      </c>
      <c r="G10151" s="37" t="str">
        <f t="shared" si="791"/>
        <v>Normal Discount</v>
      </c>
      <c r="H10151" s="37" t="str">
        <f t="shared" si="792"/>
        <v>Medium</v>
      </c>
      <c r="I10151">
        <v>4</v>
      </c>
      <c r="J10151" t="str" cm="1">
        <f t="array" ref="J10151">_xlfn.IFS(I10151&lt;=3,"small",I10151&lt;=6,"Medium",I10151&lt;=9,"Large")</f>
        <v>Medium</v>
      </c>
      <c r="K10151" s="36">
        <v>45534</v>
      </c>
      <c r="L10151" s="36">
        <v>45535</v>
      </c>
      <c r="M10151" t="s">
        <v>603</v>
      </c>
      <c r="N10151" t="s">
        <v>608</v>
      </c>
      <c r="O10151" s="37" t="str">
        <f t="shared" si="793"/>
        <v>Cash Payment</v>
      </c>
      <c r="P10151">
        <v>111.59</v>
      </c>
      <c r="Q10151" s="37" t="str">
        <f>IF(P10151&gt;500,"High","low")</f>
        <v>low</v>
      </c>
      <c r="R10151" s="37" t="str">
        <f t="shared" si="794"/>
        <v>AVERAGE</v>
      </c>
      <c r="S10151" t="s">
        <v>615</v>
      </c>
    </row>
    <row r="10152" spans="1:19" x14ac:dyDescent="0.2">
      <c r="A10152" t="s">
        <v>10763</v>
      </c>
      <c r="B10152" t="s">
        <v>67</v>
      </c>
      <c r="C10152" t="s">
        <v>617</v>
      </c>
      <c r="D10152">
        <v>980.31</v>
      </c>
      <c r="E10152" s="37" t="str">
        <f t="shared" si="790"/>
        <v xml:space="preserve"> </v>
      </c>
      <c r="F10152">
        <v>0.04</v>
      </c>
      <c r="G10152" s="37" t="str">
        <f t="shared" si="791"/>
        <v>Normal Discount</v>
      </c>
      <c r="H10152" s="37" t="str">
        <f t="shared" si="792"/>
        <v>Low</v>
      </c>
      <c r="I10152">
        <v>7</v>
      </c>
      <c r="J10152" t="str" cm="1">
        <f t="array" ref="J10152">_xlfn.IFS(I10152&lt;=3,"small",I10152&lt;=6,"Medium",I10152&lt;=9,"Large")</f>
        <v>Large</v>
      </c>
      <c r="K10152" s="36">
        <v>45283</v>
      </c>
      <c r="L10152" s="36">
        <v>45286</v>
      </c>
      <c r="M10152" t="s">
        <v>603</v>
      </c>
      <c r="N10152" t="s">
        <v>599</v>
      </c>
      <c r="O10152" s="37" t="str">
        <f t="shared" si="793"/>
        <v>Digital Payment</v>
      </c>
      <c r="P10152">
        <v>165.48</v>
      </c>
      <c r="Q10152" s="37" t="str">
        <f>IF(P10152&gt;500,"High","low")</f>
        <v>low</v>
      </c>
      <c r="R10152" s="37" t="str">
        <f t="shared" si="794"/>
        <v>AVERAGE</v>
      </c>
      <c r="S10152" t="s">
        <v>628</v>
      </c>
    </row>
    <row r="10153" spans="1:19" x14ac:dyDescent="0.2">
      <c r="A10153" t="s">
        <v>10764</v>
      </c>
      <c r="B10153" t="s">
        <v>83</v>
      </c>
      <c r="C10153" t="s">
        <v>617</v>
      </c>
      <c r="D10153">
        <v>509.2</v>
      </c>
      <c r="E10153" s="37" t="str">
        <f t="shared" si="790"/>
        <v xml:space="preserve"> </v>
      </c>
      <c r="F10153">
        <v>0.36</v>
      </c>
      <c r="G10153" s="37" t="str">
        <f t="shared" si="791"/>
        <v>Heavy Discount</v>
      </c>
      <c r="H10153" s="37" t="str">
        <f t="shared" si="792"/>
        <v>Medium</v>
      </c>
      <c r="I10153">
        <v>9</v>
      </c>
      <c r="J10153" t="str" cm="1">
        <f t="array" ref="J10153">_xlfn.IFS(I10153&lt;=3,"small",I10153&lt;=6,"Medium",I10153&lt;=9,"Large")</f>
        <v>Large</v>
      </c>
      <c r="K10153" s="36">
        <v>45201</v>
      </c>
      <c r="L10153" s="36">
        <v>45207</v>
      </c>
      <c r="M10153" t="s">
        <v>598</v>
      </c>
      <c r="N10153" t="s">
        <v>608</v>
      </c>
      <c r="O10153" s="37" t="str">
        <f t="shared" si="793"/>
        <v>Cash Payment</v>
      </c>
      <c r="P10153">
        <v>77.23</v>
      </c>
      <c r="Q10153" s="37" t="str">
        <f>IF(P10153&gt;500,"High","low")</f>
        <v>low</v>
      </c>
      <c r="R10153" s="37" t="str">
        <f t="shared" si="794"/>
        <v>AVERAGE</v>
      </c>
      <c r="S10153" t="s">
        <v>600</v>
      </c>
    </row>
    <row r="10154" spans="1:19" x14ac:dyDescent="0.2">
      <c r="A10154" t="s">
        <v>10765</v>
      </c>
      <c r="B10154" t="s">
        <v>75</v>
      </c>
      <c r="C10154" t="s">
        <v>597</v>
      </c>
      <c r="D10154">
        <v>2282.16</v>
      </c>
      <c r="E10154" s="37" t="str">
        <f t="shared" si="790"/>
        <v xml:space="preserve"> </v>
      </c>
      <c r="F10154">
        <v>0.04</v>
      </c>
      <c r="G10154" s="37" t="str">
        <f t="shared" si="791"/>
        <v>Normal Discount</v>
      </c>
      <c r="H10154" s="37" t="str">
        <f t="shared" si="792"/>
        <v>Low</v>
      </c>
      <c r="I10154">
        <v>4</v>
      </c>
      <c r="J10154" t="str" cm="1">
        <f t="array" ref="J10154">_xlfn.IFS(I10154&lt;=3,"small",I10154&lt;=6,"Medium",I10154&lt;=9,"Large")</f>
        <v>Medium</v>
      </c>
      <c r="K10154" s="36">
        <v>45229</v>
      </c>
      <c r="L10154" s="36">
        <v>45230</v>
      </c>
      <c r="M10154" t="s">
        <v>603</v>
      </c>
      <c r="N10154" t="s">
        <v>608</v>
      </c>
      <c r="O10154" s="37" t="str">
        <f t="shared" si="793"/>
        <v>Cash Payment</v>
      </c>
      <c r="P10154">
        <v>649</v>
      </c>
      <c r="Q10154" s="37" t="str">
        <f>IF(P10154&gt;500,"High","low")</f>
        <v>High</v>
      </c>
      <c r="R10154" s="37" t="str">
        <f t="shared" si="794"/>
        <v>Good</v>
      </c>
      <c r="S10154" t="s">
        <v>605</v>
      </c>
    </row>
    <row r="10155" spans="1:19" x14ac:dyDescent="0.2">
      <c r="A10155" t="s">
        <v>10766</v>
      </c>
      <c r="B10155" t="s">
        <v>75</v>
      </c>
      <c r="C10155" t="s">
        <v>617</v>
      </c>
      <c r="D10155">
        <v>3416.97</v>
      </c>
      <c r="E10155" s="37" t="str">
        <f t="shared" si="790"/>
        <v xml:space="preserve"> </v>
      </c>
      <c r="F10155">
        <v>0.35</v>
      </c>
      <c r="G10155" s="37" t="str">
        <f t="shared" si="791"/>
        <v>Heavy Discount</v>
      </c>
      <c r="H10155" s="37" t="str">
        <f t="shared" si="792"/>
        <v>Medium</v>
      </c>
      <c r="I10155">
        <v>7</v>
      </c>
      <c r="J10155" t="str" cm="1">
        <f t="array" ref="J10155">_xlfn.IFS(I10155&lt;=3,"small",I10155&lt;=6,"Medium",I10155&lt;=9,"Large")</f>
        <v>Large</v>
      </c>
      <c r="K10155" s="36">
        <v>45178</v>
      </c>
      <c r="L10155" s="36">
        <v>45180</v>
      </c>
      <c r="M10155" t="s">
        <v>612</v>
      </c>
      <c r="N10155" t="s">
        <v>608</v>
      </c>
      <c r="O10155" s="37" t="str">
        <f t="shared" si="793"/>
        <v>Cash Payment</v>
      </c>
      <c r="P10155">
        <v>387.79</v>
      </c>
      <c r="Q10155" s="37" t="str">
        <f>IF(P10155&gt;500,"High","low")</f>
        <v>low</v>
      </c>
      <c r="R10155" s="37" t="str">
        <f t="shared" si="794"/>
        <v>AVERAGE</v>
      </c>
      <c r="S10155" t="s">
        <v>605</v>
      </c>
    </row>
    <row r="10156" spans="1:19" x14ac:dyDescent="0.2">
      <c r="A10156" t="s">
        <v>10767</v>
      </c>
      <c r="B10156" t="s">
        <v>83</v>
      </c>
      <c r="C10156" t="s">
        <v>617</v>
      </c>
      <c r="D10156">
        <v>3782.7</v>
      </c>
      <c r="E10156" s="37" t="str">
        <f t="shared" si="790"/>
        <v xml:space="preserve"> </v>
      </c>
      <c r="F10156">
        <v>0.14000000000000001</v>
      </c>
      <c r="G10156" s="37" t="str">
        <f t="shared" si="791"/>
        <v>Normal Discount</v>
      </c>
      <c r="H10156" s="37" t="str">
        <f t="shared" si="792"/>
        <v>Low</v>
      </c>
      <c r="I10156">
        <v>6</v>
      </c>
      <c r="J10156" t="str" cm="1">
        <f t="array" ref="J10156">_xlfn.IFS(I10156&lt;=3,"small",I10156&lt;=6,"Medium",I10156&lt;=9,"Large")</f>
        <v>Medium</v>
      </c>
      <c r="K10156" s="36">
        <v>45509</v>
      </c>
      <c r="L10156" s="36">
        <v>45510</v>
      </c>
      <c r="M10156" t="s">
        <v>598</v>
      </c>
      <c r="N10156" t="s">
        <v>608</v>
      </c>
      <c r="O10156" s="37" t="str">
        <f t="shared" si="793"/>
        <v>Cash Payment</v>
      </c>
      <c r="P10156">
        <v>434.11</v>
      </c>
      <c r="Q10156" s="37" t="str">
        <f>IF(P10156&gt;500,"High","low")</f>
        <v>low</v>
      </c>
      <c r="R10156" s="37" t="str">
        <f t="shared" si="794"/>
        <v>AVERAGE</v>
      </c>
      <c r="S10156" t="s">
        <v>620</v>
      </c>
    </row>
    <row r="10157" spans="1:19" x14ac:dyDescent="0.2">
      <c r="A10157" t="s">
        <v>10768</v>
      </c>
      <c r="B10157" t="s">
        <v>90</v>
      </c>
      <c r="C10157" t="s">
        <v>617</v>
      </c>
      <c r="D10157">
        <v>2053.7600000000002</v>
      </c>
      <c r="E10157" s="37" t="str">
        <f t="shared" si="790"/>
        <v xml:space="preserve"> </v>
      </c>
      <c r="F10157">
        <v>0.28000000000000003</v>
      </c>
      <c r="G10157" s="37" t="str">
        <f t="shared" si="791"/>
        <v>Normal Discount</v>
      </c>
      <c r="H10157" s="37" t="str">
        <f t="shared" si="792"/>
        <v>Medium</v>
      </c>
      <c r="I10157">
        <v>9</v>
      </c>
      <c r="J10157" t="str" cm="1">
        <f t="array" ref="J10157">_xlfn.IFS(I10157&lt;=3,"small",I10157&lt;=6,"Medium",I10157&lt;=9,"Large")</f>
        <v>Large</v>
      </c>
      <c r="K10157" s="36">
        <v>45020</v>
      </c>
      <c r="L10157" s="36">
        <v>45023</v>
      </c>
      <c r="M10157" t="s">
        <v>612</v>
      </c>
      <c r="N10157" t="s">
        <v>604</v>
      </c>
      <c r="O10157" s="37" t="str">
        <f t="shared" si="793"/>
        <v>Digital Payment</v>
      </c>
      <c r="P10157">
        <v>179.99</v>
      </c>
      <c r="Q10157" s="37" t="str">
        <f>IF(P10157&gt;500,"High","low")</f>
        <v>low</v>
      </c>
      <c r="R10157" s="37" t="str">
        <f t="shared" si="794"/>
        <v>AVERAGE</v>
      </c>
      <c r="S10157" t="s">
        <v>615</v>
      </c>
    </row>
    <row r="10158" spans="1:19" x14ac:dyDescent="0.2">
      <c r="A10158" t="s">
        <v>10769</v>
      </c>
      <c r="B10158" t="s">
        <v>67</v>
      </c>
      <c r="C10158" t="s">
        <v>617</v>
      </c>
      <c r="D10158">
        <v>2442.42</v>
      </c>
      <c r="E10158" s="37" t="str">
        <f t="shared" si="790"/>
        <v xml:space="preserve"> </v>
      </c>
      <c r="F10158">
        <v>0.08</v>
      </c>
      <c r="G10158" s="37" t="str">
        <f t="shared" si="791"/>
        <v>Normal Discount</v>
      </c>
      <c r="H10158" s="37" t="str">
        <f t="shared" si="792"/>
        <v>Low</v>
      </c>
      <c r="I10158">
        <v>8</v>
      </c>
      <c r="J10158" t="str" cm="1">
        <f t="array" ref="J10158">_xlfn.IFS(I10158&lt;=3,"small",I10158&lt;=6,"Medium",I10158&lt;=9,"Large")</f>
        <v>Large</v>
      </c>
      <c r="K10158" s="36">
        <v>45496</v>
      </c>
      <c r="L10158" s="36">
        <v>45498</v>
      </c>
      <c r="M10158" t="s">
        <v>603</v>
      </c>
      <c r="N10158" t="s">
        <v>604</v>
      </c>
      <c r="O10158" s="37" t="str">
        <f t="shared" si="793"/>
        <v>Digital Payment</v>
      </c>
      <c r="P10158">
        <v>274.58</v>
      </c>
      <c r="Q10158" s="37" t="str">
        <f>IF(P10158&gt;500,"High","low")</f>
        <v>low</v>
      </c>
      <c r="R10158" s="37" t="str">
        <f t="shared" si="794"/>
        <v>AVERAGE</v>
      </c>
      <c r="S10158" t="s">
        <v>600</v>
      </c>
    </row>
    <row r="10159" spans="1:19" x14ac:dyDescent="0.2">
      <c r="A10159" t="s">
        <v>10770</v>
      </c>
      <c r="B10159" t="s">
        <v>75</v>
      </c>
      <c r="C10159" t="s">
        <v>602</v>
      </c>
      <c r="D10159">
        <v>3801.81</v>
      </c>
      <c r="E10159" s="37" t="str">
        <f t="shared" si="790"/>
        <v xml:space="preserve"> </v>
      </c>
      <c r="F10159">
        <v>0.19</v>
      </c>
      <c r="G10159" s="37" t="str">
        <f t="shared" si="791"/>
        <v>Normal Discount</v>
      </c>
      <c r="H10159" s="37" t="str">
        <f t="shared" si="792"/>
        <v>Low</v>
      </c>
      <c r="I10159">
        <v>2</v>
      </c>
      <c r="J10159" t="str" cm="1">
        <f t="array" ref="J10159">_xlfn.IFS(I10159&lt;=3,"small",I10159&lt;=6,"Medium",I10159&lt;=9,"Large")</f>
        <v>small</v>
      </c>
      <c r="K10159" s="36">
        <v>44957</v>
      </c>
      <c r="L10159" s="36">
        <v>44963</v>
      </c>
      <c r="M10159" t="s">
        <v>612</v>
      </c>
      <c r="N10159" t="s">
        <v>608</v>
      </c>
      <c r="O10159" s="37" t="str">
        <f t="shared" si="793"/>
        <v>Cash Payment</v>
      </c>
      <c r="P10159">
        <v>1086.72</v>
      </c>
      <c r="Q10159" s="37" t="str">
        <f>IF(P10159&gt;500,"High","low")</f>
        <v>High</v>
      </c>
      <c r="R10159" s="37" t="str">
        <f t="shared" si="794"/>
        <v>Excellent</v>
      </c>
      <c r="S10159" t="s">
        <v>605</v>
      </c>
    </row>
    <row r="10160" spans="1:19" x14ac:dyDescent="0.2">
      <c r="A10160" t="s">
        <v>10771</v>
      </c>
      <c r="B10160" t="s">
        <v>90</v>
      </c>
      <c r="C10160" t="s">
        <v>602</v>
      </c>
      <c r="D10160">
        <v>1828.27</v>
      </c>
      <c r="E10160" s="37" t="str">
        <f t="shared" si="790"/>
        <v xml:space="preserve"> </v>
      </c>
      <c r="F10160">
        <v>0.05</v>
      </c>
      <c r="G10160" s="37" t="str">
        <f t="shared" si="791"/>
        <v>Normal Discount</v>
      </c>
      <c r="H10160" s="37" t="str">
        <f t="shared" si="792"/>
        <v>Low</v>
      </c>
      <c r="I10160">
        <v>3</v>
      </c>
      <c r="J10160" t="str" cm="1">
        <f t="array" ref="J10160">_xlfn.IFS(I10160&lt;=3,"small",I10160&lt;=6,"Medium",I10160&lt;=9,"Large")</f>
        <v>small</v>
      </c>
      <c r="K10160" s="36">
        <v>45227</v>
      </c>
      <c r="L10160" s="36">
        <v>45229</v>
      </c>
      <c r="M10160" t="s">
        <v>598</v>
      </c>
      <c r="N10160" t="s">
        <v>608</v>
      </c>
      <c r="O10160" s="37" t="str">
        <f t="shared" si="793"/>
        <v>Cash Payment</v>
      </c>
      <c r="P10160">
        <v>378.22</v>
      </c>
      <c r="Q10160" s="37" t="str">
        <f>IF(P10160&gt;500,"High","low")</f>
        <v>low</v>
      </c>
      <c r="R10160" s="37" t="str">
        <f t="shared" si="794"/>
        <v>AVERAGE</v>
      </c>
      <c r="S10160" t="s">
        <v>605</v>
      </c>
    </row>
    <row r="10161" spans="1:19" x14ac:dyDescent="0.2">
      <c r="A10161" t="s">
        <v>10772</v>
      </c>
      <c r="B10161" t="s">
        <v>83</v>
      </c>
      <c r="C10161" t="s">
        <v>607</v>
      </c>
      <c r="D10161">
        <v>3945.35</v>
      </c>
      <c r="E10161" s="37" t="str">
        <f t="shared" si="790"/>
        <v xml:space="preserve"> </v>
      </c>
      <c r="F10161">
        <v>0.23</v>
      </c>
      <c r="G10161" s="37" t="str">
        <f t="shared" si="791"/>
        <v>Normal Discount</v>
      </c>
      <c r="H10161" s="37" t="str">
        <f t="shared" si="792"/>
        <v>Medium</v>
      </c>
      <c r="I10161">
        <v>6</v>
      </c>
      <c r="J10161" t="str" cm="1">
        <f t="array" ref="J10161">_xlfn.IFS(I10161&lt;=3,"small",I10161&lt;=6,"Medium",I10161&lt;=9,"Large")</f>
        <v>Medium</v>
      </c>
      <c r="K10161" s="36">
        <v>45422</v>
      </c>
      <c r="L10161" s="36">
        <v>45429</v>
      </c>
      <c r="M10161" t="s">
        <v>603</v>
      </c>
      <c r="N10161" t="s">
        <v>604</v>
      </c>
      <c r="O10161" s="37" t="str">
        <f t="shared" si="793"/>
        <v>Digital Payment</v>
      </c>
      <c r="P10161">
        <v>212.64</v>
      </c>
      <c r="Q10161" s="37" t="str">
        <f>IF(P10161&gt;500,"High","low")</f>
        <v>low</v>
      </c>
      <c r="R10161" s="37" t="str">
        <f t="shared" si="794"/>
        <v>AVERAGE</v>
      </c>
      <c r="S10161" t="s">
        <v>600</v>
      </c>
    </row>
    <row r="10162" spans="1:19" x14ac:dyDescent="0.2">
      <c r="A10162" t="s">
        <v>10773</v>
      </c>
      <c r="B10162" t="s">
        <v>67</v>
      </c>
      <c r="C10162" t="s">
        <v>614</v>
      </c>
      <c r="D10162">
        <v>4840.1400000000003</v>
      </c>
      <c r="E10162" s="37" t="str">
        <f t="shared" si="790"/>
        <v xml:space="preserve"> </v>
      </c>
      <c r="F10162">
        <v>0.11</v>
      </c>
      <c r="G10162" s="37" t="str">
        <f t="shared" si="791"/>
        <v>Normal Discount</v>
      </c>
      <c r="H10162" s="37" t="str">
        <f t="shared" si="792"/>
        <v>Low</v>
      </c>
      <c r="I10162">
        <v>5</v>
      </c>
      <c r="J10162" t="str" cm="1">
        <f t="array" ref="J10162">_xlfn.IFS(I10162&lt;=3,"small",I10162&lt;=6,"Medium",I10162&lt;=9,"Large")</f>
        <v>Medium</v>
      </c>
      <c r="K10162" s="36">
        <v>45030</v>
      </c>
      <c r="L10162" s="36">
        <v>45035</v>
      </c>
      <c r="M10162" t="s">
        <v>603</v>
      </c>
      <c r="N10162" t="s">
        <v>604</v>
      </c>
      <c r="O10162" s="37" t="str">
        <f t="shared" si="793"/>
        <v>Digital Payment</v>
      </c>
      <c r="P10162">
        <v>283.67</v>
      </c>
      <c r="Q10162" s="37" t="str">
        <f>IF(P10162&gt;500,"High","low")</f>
        <v>low</v>
      </c>
      <c r="R10162" s="37" t="str">
        <f t="shared" si="794"/>
        <v>AVERAGE</v>
      </c>
      <c r="S10162" t="s">
        <v>628</v>
      </c>
    </row>
    <row r="10163" spans="1:19" x14ac:dyDescent="0.2">
      <c r="A10163" t="s">
        <v>10774</v>
      </c>
      <c r="B10163" t="s">
        <v>67</v>
      </c>
      <c r="C10163" t="s">
        <v>597</v>
      </c>
      <c r="D10163">
        <v>4414.3599999999997</v>
      </c>
      <c r="E10163" s="37" t="str">
        <f t="shared" si="790"/>
        <v xml:space="preserve"> </v>
      </c>
      <c r="F10163">
        <v>0.09</v>
      </c>
      <c r="G10163" s="37" t="str">
        <f t="shared" si="791"/>
        <v>Normal Discount</v>
      </c>
      <c r="H10163" s="37" t="str">
        <f t="shared" si="792"/>
        <v>Low</v>
      </c>
      <c r="I10163">
        <v>2</v>
      </c>
      <c r="J10163" t="str" cm="1">
        <f t="array" ref="J10163">_xlfn.IFS(I10163&lt;=3,"small",I10163&lt;=6,"Medium",I10163&lt;=9,"Large")</f>
        <v>small</v>
      </c>
      <c r="K10163" s="36">
        <v>45236</v>
      </c>
      <c r="L10163" s="36">
        <v>45239</v>
      </c>
      <c r="M10163" t="s">
        <v>598</v>
      </c>
      <c r="N10163" t="s">
        <v>604</v>
      </c>
      <c r="O10163" s="37" t="str">
        <f t="shared" si="793"/>
        <v>Digital Payment</v>
      </c>
      <c r="P10163">
        <v>250.5</v>
      </c>
      <c r="Q10163" s="37" t="str">
        <f>IF(P10163&gt;500,"High","low")</f>
        <v>low</v>
      </c>
      <c r="R10163" s="37" t="str">
        <f t="shared" si="794"/>
        <v>AVERAGE</v>
      </c>
      <c r="S10163" t="s">
        <v>628</v>
      </c>
    </row>
    <row r="10164" spans="1:19" x14ac:dyDescent="0.2">
      <c r="A10164" t="s">
        <v>10775</v>
      </c>
      <c r="B10164" t="s">
        <v>75</v>
      </c>
      <c r="C10164" t="s">
        <v>607</v>
      </c>
      <c r="D10164">
        <v>2322.62</v>
      </c>
      <c r="E10164" s="37" t="str">
        <f t="shared" si="790"/>
        <v xml:space="preserve"> </v>
      </c>
      <c r="F10164">
        <v>0.05</v>
      </c>
      <c r="G10164" s="37" t="str">
        <f t="shared" si="791"/>
        <v>Normal Discount</v>
      </c>
      <c r="H10164" s="37" t="str">
        <f t="shared" si="792"/>
        <v>Low</v>
      </c>
      <c r="I10164">
        <v>2</v>
      </c>
      <c r="J10164" t="str" cm="1">
        <f t="array" ref="J10164">_xlfn.IFS(I10164&lt;=3,"small",I10164&lt;=6,"Medium",I10164&lt;=9,"Large")</f>
        <v>small</v>
      </c>
      <c r="K10164" s="36">
        <v>45255</v>
      </c>
      <c r="L10164" s="36">
        <v>45257</v>
      </c>
      <c r="M10164" t="s">
        <v>598</v>
      </c>
      <c r="N10164" t="s">
        <v>604</v>
      </c>
      <c r="O10164" s="37" t="str">
        <f t="shared" si="793"/>
        <v>Digital Payment</v>
      </c>
      <c r="P10164">
        <v>263.08</v>
      </c>
      <c r="Q10164" s="37" t="str">
        <f>IF(P10164&gt;500,"High","low")</f>
        <v>low</v>
      </c>
      <c r="R10164" s="37" t="str">
        <f t="shared" si="794"/>
        <v>AVERAGE</v>
      </c>
      <c r="S10164" t="s">
        <v>605</v>
      </c>
    </row>
    <row r="10165" spans="1:19" x14ac:dyDescent="0.2">
      <c r="A10165" t="s">
        <v>10776</v>
      </c>
      <c r="B10165" t="s">
        <v>67</v>
      </c>
      <c r="C10165" t="s">
        <v>602</v>
      </c>
      <c r="D10165">
        <v>2939.64</v>
      </c>
      <c r="E10165" s="37" t="str">
        <f t="shared" si="790"/>
        <v xml:space="preserve"> </v>
      </c>
      <c r="F10165">
        <v>0.38</v>
      </c>
      <c r="G10165" s="37" t="str">
        <f t="shared" si="791"/>
        <v>Heavy Discount</v>
      </c>
      <c r="H10165" s="37" t="str">
        <f t="shared" si="792"/>
        <v>Medium</v>
      </c>
      <c r="I10165">
        <v>5</v>
      </c>
      <c r="J10165" t="str" cm="1">
        <f t="array" ref="J10165">_xlfn.IFS(I10165&lt;=3,"small",I10165&lt;=6,"Medium",I10165&lt;=9,"Large")</f>
        <v>Medium</v>
      </c>
      <c r="K10165" s="36">
        <v>45024</v>
      </c>
      <c r="L10165" s="36">
        <v>45026</v>
      </c>
      <c r="M10165" t="s">
        <v>598</v>
      </c>
      <c r="N10165" t="s">
        <v>608</v>
      </c>
      <c r="O10165" s="37" t="str">
        <f t="shared" si="793"/>
        <v>Cash Payment</v>
      </c>
      <c r="P10165">
        <v>189.28</v>
      </c>
      <c r="Q10165" s="37" t="str">
        <f>IF(P10165&gt;500,"High","low")</f>
        <v>low</v>
      </c>
      <c r="R10165" s="37" t="str">
        <f t="shared" si="794"/>
        <v>AVERAGE</v>
      </c>
      <c r="S10165" t="s">
        <v>628</v>
      </c>
    </row>
    <row r="10166" spans="1:19" x14ac:dyDescent="0.2">
      <c r="A10166" t="s">
        <v>10777</v>
      </c>
      <c r="B10166" t="s">
        <v>67</v>
      </c>
      <c r="C10166" t="s">
        <v>602</v>
      </c>
      <c r="D10166">
        <v>3610.49</v>
      </c>
      <c r="E10166" s="37" t="str">
        <f t="shared" si="790"/>
        <v xml:space="preserve"> </v>
      </c>
      <c r="F10166">
        <v>0.32</v>
      </c>
      <c r="G10166" s="37" t="str">
        <f t="shared" si="791"/>
        <v>Heavy Discount</v>
      </c>
      <c r="H10166" s="37" t="str">
        <f t="shared" si="792"/>
        <v>Medium</v>
      </c>
      <c r="I10166">
        <v>5</v>
      </c>
      <c r="J10166" t="str" cm="1">
        <f t="array" ref="J10166">_xlfn.IFS(I10166&lt;=3,"small",I10166&lt;=6,"Medium",I10166&lt;=9,"Large")</f>
        <v>Medium</v>
      </c>
      <c r="K10166" s="36">
        <v>45396</v>
      </c>
      <c r="L10166" s="36">
        <v>45402</v>
      </c>
      <c r="M10166" t="s">
        <v>612</v>
      </c>
      <c r="N10166" t="s">
        <v>599</v>
      </c>
      <c r="O10166" s="37" t="str">
        <f t="shared" si="793"/>
        <v>Digital Payment</v>
      </c>
      <c r="P10166">
        <v>241.07</v>
      </c>
      <c r="Q10166" s="37" t="str">
        <f>IF(P10166&gt;500,"High","low")</f>
        <v>low</v>
      </c>
      <c r="R10166" s="37" t="str">
        <f t="shared" si="794"/>
        <v>AVERAGE</v>
      </c>
      <c r="S10166" t="s">
        <v>620</v>
      </c>
    </row>
    <row r="10167" spans="1:19" x14ac:dyDescent="0.2">
      <c r="A10167" t="s">
        <v>10778</v>
      </c>
      <c r="B10167" t="s">
        <v>67</v>
      </c>
      <c r="C10167" t="s">
        <v>602</v>
      </c>
      <c r="D10167">
        <v>1811.57</v>
      </c>
      <c r="E10167" s="37" t="str">
        <f t="shared" si="790"/>
        <v xml:space="preserve"> </v>
      </c>
      <c r="F10167">
        <v>0.08</v>
      </c>
      <c r="G10167" s="37" t="str">
        <f t="shared" si="791"/>
        <v>Normal Discount</v>
      </c>
      <c r="H10167" s="37" t="str">
        <f t="shared" si="792"/>
        <v>Low</v>
      </c>
      <c r="I10167">
        <v>1</v>
      </c>
      <c r="J10167" t="str" cm="1">
        <f t="array" ref="J10167">_xlfn.IFS(I10167&lt;=3,"small",I10167&lt;=6,"Medium",I10167&lt;=9,"Large")</f>
        <v>small</v>
      </c>
      <c r="K10167" s="36">
        <v>45337</v>
      </c>
      <c r="L10167" s="36">
        <v>45344</v>
      </c>
      <c r="M10167" t="s">
        <v>603</v>
      </c>
      <c r="N10167" t="s">
        <v>604</v>
      </c>
      <c r="O10167" s="37" t="str">
        <f t="shared" si="793"/>
        <v>Digital Payment</v>
      </c>
      <c r="P10167">
        <v>288.86</v>
      </c>
      <c r="Q10167" s="37" t="str">
        <f>IF(P10167&gt;500,"High","low")</f>
        <v>low</v>
      </c>
      <c r="R10167" s="37" t="str">
        <f t="shared" si="794"/>
        <v>AVERAGE</v>
      </c>
      <c r="S10167" t="s">
        <v>628</v>
      </c>
    </row>
    <row r="10168" spans="1:19" x14ac:dyDescent="0.2">
      <c r="A10168" t="s">
        <v>10779</v>
      </c>
      <c r="B10168" t="s">
        <v>67</v>
      </c>
      <c r="C10168" t="s">
        <v>607</v>
      </c>
      <c r="D10168">
        <v>4016.27</v>
      </c>
      <c r="E10168" s="37" t="str">
        <f t="shared" si="790"/>
        <v xml:space="preserve"> </v>
      </c>
      <c r="F10168">
        <v>0.24</v>
      </c>
      <c r="G10168" s="37" t="str">
        <f t="shared" si="791"/>
        <v>Normal Discount</v>
      </c>
      <c r="H10168" s="37" t="str">
        <f t="shared" si="792"/>
        <v>Medium</v>
      </c>
      <c r="I10168">
        <v>3</v>
      </c>
      <c r="J10168" t="str" cm="1">
        <f t="array" ref="J10168">_xlfn.IFS(I10168&lt;=3,"small",I10168&lt;=6,"Medium",I10168&lt;=9,"Large")</f>
        <v>small</v>
      </c>
      <c r="K10168" s="36">
        <v>44978</v>
      </c>
      <c r="L10168" s="36">
        <v>44984</v>
      </c>
      <c r="M10168" t="s">
        <v>612</v>
      </c>
      <c r="N10168" t="s">
        <v>608</v>
      </c>
      <c r="O10168" s="37" t="str">
        <f t="shared" si="793"/>
        <v>Cash Payment</v>
      </c>
      <c r="P10168">
        <v>208.52</v>
      </c>
      <c r="Q10168" s="37" t="str">
        <f>IF(P10168&gt;500,"High","low")</f>
        <v>low</v>
      </c>
      <c r="R10168" s="37" t="str">
        <f t="shared" si="794"/>
        <v>AVERAGE</v>
      </c>
      <c r="S10168" t="s">
        <v>615</v>
      </c>
    </row>
    <row r="10169" spans="1:19" x14ac:dyDescent="0.2">
      <c r="A10169" t="s">
        <v>10780</v>
      </c>
      <c r="B10169" t="s">
        <v>83</v>
      </c>
      <c r="C10169" t="s">
        <v>602</v>
      </c>
      <c r="D10169">
        <v>2240.89</v>
      </c>
      <c r="E10169" s="37" t="str">
        <f t="shared" si="790"/>
        <v xml:space="preserve"> </v>
      </c>
      <c r="F10169">
        <v>0.33</v>
      </c>
      <c r="G10169" s="37" t="str">
        <f t="shared" si="791"/>
        <v>Heavy Discount</v>
      </c>
      <c r="H10169" s="37" t="str">
        <f t="shared" si="792"/>
        <v>Medium</v>
      </c>
      <c r="I10169">
        <v>9</v>
      </c>
      <c r="J10169" t="str" cm="1">
        <f t="array" ref="J10169">_xlfn.IFS(I10169&lt;=3,"small",I10169&lt;=6,"Medium",I10169&lt;=9,"Large")</f>
        <v>Large</v>
      </c>
      <c r="K10169" s="36">
        <v>45493</v>
      </c>
      <c r="L10169" s="36">
        <v>45494</v>
      </c>
      <c r="M10169" t="s">
        <v>612</v>
      </c>
      <c r="N10169" t="s">
        <v>599</v>
      </c>
      <c r="O10169" s="37" t="str">
        <f t="shared" si="793"/>
        <v>Digital Payment</v>
      </c>
      <c r="P10169">
        <v>121.27</v>
      </c>
      <c r="Q10169" s="37" t="str">
        <f>IF(P10169&gt;500,"High","low")</f>
        <v>low</v>
      </c>
      <c r="R10169" s="37" t="str">
        <f t="shared" si="794"/>
        <v>AVERAGE</v>
      </c>
      <c r="S10169" t="s">
        <v>628</v>
      </c>
    </row>
    <row r="10170" spans="1:19" x14ac:dyDescent="0.2">
      <c r="A10170" t="s">
        <v>10781</v>
      </c>
      <c r="B10170" t="s">
        <v>90</v>
      </c>
      <c r="C10170" t="s">
        <v>607</v>
      </c>
      <c r="D10170">
        <v>4249.5200000000004</v>
      </c>
      <c r="E10170" s="37" t="str">
        <f t="shared" si="790"/>
        <v>Excellent Order</v>
      </c>
      <c r="F10170">
        <v>0.44</v>
      </c>
      <c r="G10170" s="37" t="str">
        <f t="shared" si="791"/>
        <v>Heavy Discount</v>
      </c>
      <c r="H10170" s="37" t="str">
        <f t="shared" si="792"/>
        <v>High</v>
      </c>
      <c r="I10170">
        <v>3</v>
      </c>
      <c r="J10170" t="str" cm="1">
        <f t="array" ref="J10170">_xlfn.IFS(I10170&lt;=3,"small",I10170&lt;=6,"Medium",I10170&lt;=9,"Large")</f>
        <v>small</v>
      </c>
      <c r="K10170" s="36">
        <v>44953</v>
      </c>
      <c r="L10170" s="36">
        <v>44958</v>
      </c>
      <c r="M10170" t="s">
        <v>612</v>
      </c>
      <c r="N10170" t="s">
        <v>604</v>
      </c>
      <c r="O10170" s="37" t="str">
        <f t="shared" si="793"/>
        <v>Digital Payment</v>
      </c>
      <c r="P10170">
        <v>870.98</v>
      </c>
      <c r="Q10170" s="37" t="str">
        <f>IF(P10170&gt;500,"High","low")</f>
        <v>High</v>
      </c>
      <c r="R10170" s="37" t="str">
        <f t="shared" si="794"/>
        <v>Good</v>
      </c>
      <c r="S10170" t="s">
        <v>620</v>
      </c>
    </row>
    <row r="10171" spans="1:19" x14ac:dyDescent="0.2">
      <c r="A10171" t="s">
        <v>10782</v>
      </c>
      <c r="B10171" t="s">
        <v>83</v>
      </c>
      <c r="C10171" t="s">
        <v>602</v>
      </c>
      <c r="D10171">
        <v>1348.2</v>
      </c>
      <c r="E10171" s="37" t="str">
        <f t="shared" si="790"/>
        <v xml:space="preserve"> </v>
      </c>
      <c r="F10171">
        <v>0.03</v>
      </c>
      <c r="G10171" s="37" t="str">
        <f t="shared" si="791"/>
        <v>Normal Discount</v>
      </c>
      <c r="H10171" s="37" t="str">
        <f t="shared" si="792"/>
        <v>Low</v>
      </c>
      <c r="I10171">
        <v>6</v>
      </c>
      <c r="J10171" t="str" cm="1">
        <f t="array" ref="J10171">_xlfn.IFS(I10171&lt;=3,"small",I10171&lt;=6,"Medium",I10171&lt;=9,"Large")</f>
        <v>Medium</v>
      </c>
      <c r="K10171" s="36">
        <v>45042</v>
      </c>
      <c r="L10171" s="36">
        <v>45049</v>
      </c>
      <c r="M10171" t="s">
        <v>603</v>
      </c>
      <c r="N10171" t="s">
        <v>604</v>
      </c>
      <c r="O10171" s="37" t="str">
        <f t="shared" si="793"/>
        <v>Digital Payment</v>
      </c>
      <c r="P10171">
        <v>302.55</v>
      </c>
      <c r="Q10171" s="37" t="str">
        <f>IF(P10171&gt;500,"High","low")</f>
        <v>low</v>
      </c>
      <c r="R10171" s="37" t="str">
        <f t="shared" si="794"/>
        <v>AVERAGE</v>
      </c>
      <c r="S10171" t="s">
        <v>605</v>
      </c>
    </row>
    <row r="10172" spans="1:19" x14ac:dyDescent="0.2">
      <c r="A10172" t="s">
        <v>10783</v>
      </c>
      <c r="B10172" t="s">
        <v>83</v>
      </c>
      <c r="C10172" t="s">
        <v>617</v>
      </c>
      <c r="D10172">
        <v>155.75</v>
      </c>
      <c r="E10172" s="37" t="str">
        <f t="shared" si="790"/>
        <v xml:space="preserve"> </v>
      </c>
      <c r="F10172">
        <v>0.18</v>
      </c>
      <c r="G10172" s="37" t="str">
        <f t="shared" si="791"/>
        <v>Normal Discount</v>
      </c>
      <c r="H10172" s="37" t="str">
        <f t="shared" si="792"/>
        <v>Low</v>
      </c>
      <c r="I10172">
        <v>6</v>
      </c>
      <c r="J10172" t="str" cm="1">
        <f t="array" ref="J10172">_xlfn.IFS(I10172&lt;=3,"small",I10172&lt;=6,"Medium",I10172&lt;=9,"Large")</f>
        <v>Medium</v>
      </c>
      <c r="K10172" s="36">
        <v>45291</v>
      </c>
      <c r="L10172" s="36">
        <v>45292</v>
      </c>
      <c r="M10172" t="s">
        <v>598</v>
      </c>
      <c r="N10172" t="s">
        <v>604</v>
      </c>
      <c r="O10172" s="37" t="str">
        <f t="shared" si="793"/>
        <v>Digital Payment</v>
      </c>
      <c r="P10172">
        <v>45.36</v>
      </c>
      <c r="Q10172" s="37" t="str">
        <f>IF(P10172&gt;500,"High","low")</f>
        <v>low</v>
      </c>
      <c r="R10172" s="37" t="str">
        <f t="shared" si="794"/>
        <v>AVERAGE</v>
      </c>
      <c r="S10172" t="s">
        <v>620</v>
      </c>
    </row>
    <row r="10173" spans="1:19" x14ac:dyDescent="0.2">
      <c r="A10173" t="s">
        <v>10784</v>
      </c>
      <c r="B10173" t="s">
        <v>75</v>
      </c>
      <c r="C10173" t="s">
        <v>617</v>
      </c>
      <c r="D10173">
        <v>3200.17</v>
      </c>
      <c r="E10173" s="37" t="str">
        <f t="shared" si="790"/>
        <v xml:space="preserve"> </v>
      </c>
      <c r="F10173">
        <v>0.31</v>
      </c>
      <c r="G10173" s="37" t="str">
        <f t="shared" si="791"/>
        <v>Heavy Discount</v>
      </c>
      <c r="H10173" s="37" t="str">
        <f t="shared" si="792"/>
        <v>Medium</v>
      </c>
      <c r="I10173">
        <v>2</v>
      </c>
      <c r="J10173" t="str" cm="1">
        <f t="array" ref="J10173">_xlfn.IFS(I10173&lt;=3,"small",I10173&lt;=6,"Medium",I10173&lt;=9,"Large")</f>
        <v>small</v>
      </c>
      <c r="K10173" s="36">
        <v>45611</v>
      </c>
      <c r="L10173" s="36">
        <v>45618</v>
      </c>
      <c r="M10173" t="s">
        <v>603</v>
      </c>
      <c r="N10173" t="s">
        <v>608</v>
      </c>
      <c r="O10173" s="37" t="str">
        <f t="shared" si="793"/>
        <v>Cash Payment</v>
      </c>
      <c r="P10173">
        <v>547.04</v>
      </c>
      <c r="Q10173" s="37" t="str">
        <f>IF(P10173&gt;500,"High","low")</f>
        <v>High</v>
      </c>
      <c r="R10173" s="37" t="str">
        <f t="shared" si="794"/>
        <v>Good</v>
      </c>
      <c r="S10173" t="s">
        <v>609</v>
      </c>
    </row>
    <row r="10174" spans="1:19" x14ac:dyDescent="0.2">
      <c r="A10174" t="s">
        <v>10785</v>
      </c>
      <c r="B10174" t="s">
        <v>67</v>
      </c>
      <c r="C10174" t="s">
        <v>614</v>
      </c>
      <c r="D10174">
        <v>2314.2600000000002</v>
      </c>
      <c r="E10174" s="37" t="str">
        <f t="shared" si="790"/>
        <v xml:space="preserve"> </v>
      </c>
      <c r="F10174">
        <v>0.01</v>
      </c>
      <c r="G10174" s="37" t="str">
        <f t="shared" si="791"/>
        <v>Normal Discount</v>
      </c>
      <c r="H10174" s="37" t="str">
        <f t="shared" si="792"/>
        <v>Low</v>
      </c>
      <c r="I10174">
        <v>7</v>
      </c>
      <c r="J10174" t="str" cm="1">
        <f t="array" ref="J10174">_xlfn.IFS(I10174&lt;=3,"small",I10174&lt;=6,"Medium",I10174&lt;=9,"Large")</f>
        <v>Large</v>
      </c>
      <c r="K10174" s="36">
        <v>45353</v>
      </c>
      <c r="L10174" s="36">
        <v>45360</v>
      </c>
      <c r="M10174" t="s">
        <v>612</v>
      </c>
      <c r="N10174" t="s">
        <v>608</v>
      </c>
      <c r="O10174" s="37" t="str">
        <f t="shared" si="793"/>
        <v>Cash Payment</v>
      </c>
      <c r="P10174">
        <v>444.4</v>
      </c>
      <c r="Q10174" s="37" t="str">
        <f>IF(P10174&gt;500,"High","low")</f>
        <v>low</v>
      </c>
      <c r="R10174" s="37" t="str">
        <f t="shared" si="794"/>
        <v>AVERAGE</v>
      </c>
      <c r="S10174" t="s">
        <v>600</v>
      </c>
    </row>
    <row r="10175" spans="1:19" x14ac:dyDescent="0.2">
      <c r="A10175" t="s">
        <v>10786</v>
      </c>
      <c r="B10175" t="s">
        <v>83</v>
      </c>
      <c r="C10175" t="s">
        <v>602</v>
      </c>
      <c r="D10175">
        <v>393.13</v>
      </c>
      <c r="E10175" s="37" t="str">
        <f t="shared" si="790"/>
        <v xml:space="preserve"> </v>
      </c>
      <c r="F10175">
        <v>0.12</v>
      </c>
      <c r="G10175" s="37" t="str">
        <f t="shared" si="791"/>
        <v>Normal Discount</v>
      </c>
      <c r="H10175" s="37" t="str">
        <f t="shared" si="792"/>
        <v>Low</v>
      </c>
      <c r="I10175">
        <v>9</v>
      </c>
      <c r="J10175" t="str" cm="1">
        <f t="array" ref="J10175">_xlfn.IFS(I10175&lt;=3,"small",I10175&lt;=6,"Medium",I10175&lt;=9,"Large")</f>
        <v>Large</v>
      </c>
      <c r="K10175" s="36">
        <v>45480</v>
      </c>
      <c r="L10175" s="36">
        <v>45482</v>
      </c>
      <c r="M10175" t="s">
        <v>598</v>
      </c>
      <c r="N10175" t="s">
        <v>599</v>
      </c>
      <c r="O10175" s="37" t="str">
        <f t="shared" si="793"/>
        <v>Digital Payment</v>
      </c>
      <c r="P10175">
        <v>77.89</v>
      </c>
      <c r="Q10175" s="37" t="str">
        <f>IF(P10175&gt;500,"High","low")</f>
        <v>low</v>
      </c>
      <c r="R10175" s="37" t="str">
        <f t="shared" si="794"/>
        <v>AVERAGE</v>
      </c>
      <c r="S10175" t="s">
        <v>605</v>
      </c>
    </row>
    <row r="10176" spans="1:19" x14ac:dyDescent="0.2">
      <c r="A10176" t="s">
        <v>10787</v>
      </c>
      <c r="B10176" t="s">
        <v>67</v>
      </c>
      <c r="C10176" t="s">
        <v>614</v>
      </c>
      <c r="D10176">
        <v>2489.3000000000002</v>
      </c>
      <c r="E10176" s="37" t="str">
        <f t="shared" si="790"/>
        <v xml:space="preserve"> </v>
      </c>
      <c r="F10176">
        <v>0.37</v>
      </c>
      <c r="G10176" s="37" t="str">
        <f t="shared" si="791"/>
        <v>Heavy Discount</v>
      </c>
      <c r="H10176" s="37" t="str">
        <f t="shared" si="792"/>
        <v>Medium</v>
      </c>
      <c r="I10176">
        <v>9</v>
      </c>
      <c r="J10176" t="str" cm="1">
        <f t="array" ref="J10176">_xlfn.IFS(I10176&lt;=3,"small",I10176&lt;=6,"Medium",I10176&lt;=9,"Large")</f>
        <v>Large</v>
      </c>
      <c r="K10176" s="36">
        <v>45230</v>
      </c>
      <c r="L10176" s="36">
        <v>45237</v>
      </c>
      <c r="M10176" t="s">
        <v>603</v>
      </c>
      <c r="N10176" t="s">
        <v>599</v>
      </c>
      <c r="O10176" s="37" t="str">
        <f t="shared" si="793"/>
        <v>Digital Payment</v>
      </c>
      <c r="P10176">
        <v>590.13</v>
      </c>
      <c r="Q10176" s="37" t="str">
        <f>IF(P10176&gt;500,"High","low")</f>
        <v>High</v>
      </c>
      <c r="R10176" s="37" t="str">
        <f t="shared" si="794"/>
        <v>Good</v>
      </c>
      <c r="S10176" t="s">
        <v>628</v>
      </c>
    </row>
    <row r="10177" spans="1:19" x14ac:dyDescent="0.2">
      <c r="A10177" t="s">
        <v>10788</v>
      </c>
      <c r="B10177" t="s">
        <v>83</v>
      </c>
      <c r="C10177" t="s">
        <v>607</v>
      </c>
      <c r="D10177">
        <v>925.99</v>
      </c>
      <c r="E10177" s="37" t="str">
        <f t="shared" si="790"/>
        <v xml:space="preserve"> </v>
      </c>
      <c r="F10177">
        <v>0.18</v>
      </c>
      <c r="G10177" s="37" t="str">
        <f t="shared" si="791"/>
        <v>Normal Discount</v>
      </c>
      <c r="H10177" s="37" t="str">
        <f t="shared" si="792"/>
        <v>Low</v>
      </c>
      <c r="I10177">
        <v>8</v>
      </c>
      <c r="J10177" t="str" cm="1">
        <f t="array" ref="J10177">_xlfn.IFS(I10177&lt;=3,"small",I10177&lt;=6,"Medium",I10177&lt;=9,"Large")</f>
        <v>Large</v>
      </c>
      <c r="K10177" s="36">
        <v>45368</v>
      </c>
      <c r="L10177" s="36">
        <v>45370</v>
      </c>
      <c r="M10177" t="s">
        <v>598</v>
      </c>
      <c r="N10177" t="s">
        <v>608</v>
      </c>
      <c r="O10177" s="37" t="str">
        <f t="shared" si="793"/>
        <v>Cash Payment</v>
      </c>
      <c r="P10177">
        <v>142.44</v>
      </c>
      <c r="Q10177" s="37" t="str">
        <f>IF(P10177&gt;500,"High","low")</f>
        <v>low</v>
      </c>
      <c r="R10177" s="37" t="str">
        <f t="shared" si="794"/>
        <v>AVERAGE</v>
      </c>
      <c r="S10177" t="s">
        <v>600</v>
      </c>
    </row>
    <row r="10178" spans="1:19" x14ac:dyDescent="0.2">
      <c r="A10178" t="s">
        <v>10789</v>
      </c>
      <c r="B10178" t="s">
        <v>83</v>
      </c>
      <c r="C10178" t="s">
        <v>614</v>
      </c>
      <c r="D10178">
        <v>3185.77</v>
      </c>
      <c r="E10178" s="37" t="str">
        <f t="shared" si="790"/>
        <v xml:space="preserve"> </v>
      </c>
      <c r="F10178">
        <v>0.04</v>
      </c>
      <c r="G10178" s="37" t="str">
        <f t="shared" si="791"/>
        <v>Normal Discount</v>
      </c>
      <c r="H10178" s="37" t="str">
        <f t="shared" si="792"/>
        <v>Low</v>
      </c>
      <c r="I10178">
        <v>5</v>
      </c>
      <c r="J10178" t="str" cm="1">
        <f t="array" ref="J10178">_xlfn.IFS(I10178&lt;=3,"small",I10178&lt;=6,"Medium",I10178&lt;=9,"Large")</f>
        <v>Medium</v>
      </c>
      <c r="K10178" s="36">
        <v>45465</v>
      </c>
      <c r="L10178" s="36">
        <v>45466</v>
      </c>
      <c r="M10178" t="s">
        <v>612</v>
      </c>
      <c r="N10178" t="s">
        <v>608</v>
      </c>
      <c r="O10178" s="37" t="str">
        <f t="shared" si="793"/>
        <v>Cash Payment</v>
      </c>
      <c r="P10178">
        <v>943.81</v>
      </c>
      <c r="Q10178" s="37" t="str">
        <f>IF(P10178&gt;500,"High","low")</f>
        <v>High</v>
      </c>
      <c r="R10178" s="37" t="str">
        <f t="shared" si="794"/>
        <v>Good</v>
      </c>
      <c r="S10178" t="s">
        <v>620</v>
      </c>
    </row>
    <row r="10179" spans="1:19" x14ac:dyDescent="0.2">
      <c r="A10179" t="s">
        <v>10790</v>
      </c>
      <c r="B10179" t="s">
        <v>75</v>
      </c>
      <c r="C10179" t="s">
        <v>602</v>
      </c>
      <c r="D10179">
        <v>2280.7199999999998</v>
      </c>
      <c r="E10179" s="37" t="str">
        <f t="shared" ref="E10179:E10242" si="795">IF(AND(D10179&gt;4000,P10179&gt;800),"Excellent Order"," ")</f>
        <v xml:space="preserve"> </v>
      </c>
      <c r="F10179">
        <v>0.31</v>
      </c>
      <c r="G10179" s="37" t="str">
        <f t="shared" ref="G10179:G10242" si="796">IF(F10179&gt;30%,"Heavy Discount","Normal Discount")</f>
        <v>Heavy Discount</v>
      </c>
      <c r="H10179" s="37" t="str">
        <f t="shared" ref="H10179:H10242" si="797">IF(F10179&gt;0.4,"High",IF(F10179&gt;=0.2,"Medium","Low"))</f>
        <v>Medium</v>
      </c>
      <c r="I10179">
        <v>8</v>
      </c>
      <c r="J10179" t="str" cm="1">
        <f t="array" ref="J10179">_xlfn.IFS(I10179&lt;=3,"small",I10179&lt;=6,"Medium",I10179&lt;=9,"Large")</f>
        <v>Large</v>
      </c>
      <c r="K10179" s="36">
        <v>45086</v>
      </c>
      <c r="L10179" s="36">
        <v>45087</v>
      </c>
      <c r="M10179" t="s">
        <v>598</v>
      </c>
      <c r="N10179" t="s">
        <v>604</v>
      </c>
      <c r="O10179" s="37" t="str">
        <f t="shared" ref="O10179:O10242" si="798">IF(OR(N10179="Card",N10179="UPI"),"Digital Payment","Cash Payment")</f>
        <v>Digital Payment</v>
      </c>
      <c r="P10179">
        <v>398.53</v>
      </c>
      <c r="Q10179" s="37" t="str">
        <f>IF(P10179&gt;500,"High","low")</f>
        <v>low</v>
      </c>
      <c r="R10179" s="37" t="str">
        <f t="shared" ref="R10179:R10242" si="799">IF(P10179&gt;1000,"Excellent",IF(P10179&gt;=500,"Good","AVERAGE"))</f>
        <v>AVERAGE</v>
      </c>
      <c r="S10179" t="s">
        <v>615</v>
      </c>
    </row>
    <row r="10180" spans="1:19" x14ac:dyDescent="0.2">
      <c r="A10180" t="s">
        <v>10791</v>
      </c>
      <c r="B10180" t="s">
        <v>90</v>
      </c>
      <c r="C10180" t="s">
        <v>607</v>
      </c>
      <c r="D10180">
        <v>938.51</v>
      </c>
      <c r="E10180" s="37" t="str">
        <f t="shared" si="795"/>
        <v xml:space="preserve"> </v>
      </c>
      <c r="F10180">
        <v>0.13</v>
      </c>
      <c r="G10180" s="37" t="str">
        <f t="shared" si="796"/>
        <v>Normal Discount</v>
      </c>
      <c r="H10180" s="37" t="str">
        <f t="shared" si="797"/>
        <v>Low</v>
      </c>
      <c r="I10180">
        <v>9</v>
      </c>
      <c r="J10180" t="str" cm="1">
        <f t="array" ref="J10180">_xlfn.IFS(I10180&lt;=3,"small",I10180&lt;=6,"Medium",I10180&lt;=9,"Large")</f>
        <v>Large</v>
      </c>
      <c r="K10180" s="36">
        <v>45604</v>
      </c>
      <c r="L10180" s="36">
        <v>45606</v>
      </c>
      <c r="M10180" t="s">
        <v>612</v>
      </c>
      <c r="N10180" t="s">
        <v>604</v>
      </c>
      <c r="O10180" s="37" t="str">
        <f t="shared" si="798"/>
        <v>Digital Payment</v>
      </c>
      <c r="P10180">
        <v>76.88</v>
      </c>
      <c r="Q10180" s="37" t="str">
        <f>IF(P10180&gt;500,"High","low")</f>
        <v>low</v>
      </c>
      <c r="R10180" s="37" t="str">
        <f t="shared" si="799"/>
        <v>AVERAGE</v>
      </c>
      <c r="S10180" t="s">
        <v>628</v>
      </c>
    </row>
    <row r="10181" spans="1:19" x14ac:dyDescent="0.2">
      <c r="A10181" t="s">
        <v>10792</v>
      </c>
      <c r="B10181" t="s">
        <v>90</v>
      </c>
      <c r="C10181" t="s">
        <v>607</v>
      </c>
      <c r="D10181">
        <v>2118.5</v>
      </c>
      <c r="E10181" s="37" t="str">
        <f t="shared" si="795"/>
        <v xml:space="preserve"> </v>
      </c>
      <c r="F10181">
        <v>0.35</v>
      </c>
      <c r="G10181" s="37" t="str">
        <f t="shared" si="796"/>
        <v>Heavy Discount</v>
      </c>
      <c r="H10181" s="37" t="str">
        <f t="shared" si="797"/>
        <v>Medium</v>
      </c>
      <c r="I10181">
        <v>1</v>
      </c>
      <c r="J10181" t="str" cm="1">
        <f t="array" ref="J10181">_xlfn.IFS(I10181&lt;=3,"small",I10181&lt;=6,"Medium",I10181&lt;=9,"Large")</f>
        <v>small</v>
      </c>
      <c r="K10181" s="36">
        <v>45268</v>
      </c>
      <c r="L10181" s="36">
        <v>45270</v>
      </c>
      <c r="M10181" t="s">
        <v>598</v>
      </c>
      <c r="N10181" t="s">
        <v>604</v>
      </c>
      <c r="O10181" s="37" t="str">
        <f t="shared" si="798"/>
        <v>Digital Payment</v>
      </c>
      <c r="P10181">
        <v>501.9</v>
      </c>
      <c r="Q10181" s="37" t="str">
        <f>IF(P10181&gt;500,"High","low")</f>
        <v>High</v>
      </c>
      <c r="R10181" s="37" t="str">
        <f t="shared" si="799"/>
        <v>Good</v>
      </c>
      <c r="S10181" t="s">
        <v>600</v>
      </c>
    </row>
    <row r="10182" spans="1:19" x14ac:dyDescent="0.2">
      <c r="A10182" t="s">
        <v>10793</v>
      </c>
      <c r="B10182" t="s">
        <v>83</v>
      </c>
      <c r="C10182" t="s">
        <v>617</v>
      </c>
      <c r="D10182">
        <v>1240.27</v>
      </c>
      <c r="E10182" s="37" t="str">
        <f t="shared" si="795"/>
        <v xml:space="preserve"> </v>
      </c>
      <c r="F10182">
        <v>0.45</v>
      </c>
      <c r="G10182" s="37" t="str">
        <f t="shared" si="796"/>
        <v>Heavy Discount</v>
      </c>
      <c r="H10182" s="37" t="str">
        <f t="shared" si="797"/>
        <v>High</v>
      </c>
      <c r="I10182">
        <v>1</v>
      </c>
      <c r="J10182" t="str" cm="1">
        <f t="array" ref="J10182">_xlfn.IFS(I10182&lt;=3,"small",I10182&lt;=6,"Medium",I10182&lt;=9,"Large")</f>
        <v>small</v>
      </c>
      <c r="K10182" s="36">
        <v>45426</v>
      </c>
      <c r="L10182" s="36">
        <v>45431</v>
      </c>
      <c r="M10182" t="s">
        <v>612</v>
      </c>
      <c r="N10182" t="s">
        <v>604</v>
      </c>
      <c r="O10182" s="37" t="str">
        <f t="shared" si="798"/>
        <v>Digital Payment</v>
      </c>
      <c r="P10182">
        <v>223.09</v>
      </c>
      <c r="Q10182" s="37" t="str">
        <f>IF(P10182&gt;500,"High","low")</f>
        <v>low</v>
      </c>
      <c r="R10182" s="37" t="str">
        <f t="shared" si="799"/>
        <v>AVERAGE</v>
      </c>
      <c r="S10182" t="s">
        <v>605</v>
      </c>
    </row>
    <row r="10183" spans="1:19" x14ac:dyDescent="0.2">
      <c r="A10183" t="s">
        <v>10794</v>
      </c>
      <c r="B10183" t="s">
        <v>75</v>
      </c>
      <c r="C10183" t="s">
        <v>607</v>
      </c>
      <c r="D10183">
        <v>3300.17</v>
      </c>
      <c r="E10183" s="37" t="str">
        <f t="shared" si="795"/>
        <v xml:space="preserve"> </v>
      </c>
      <c r="F10183">
        <v>0.26</v>
      </c>
      <c r="G10183" s="37" t="str">
        <f t="shared" si="796"/>
        <v>Normal Discount</v>
      </c>
      <c r="H10183" s="37" t="str">
        <f t="shared" si="797"/>
        <v>Medium</v>
      </c>
      <c r="I10183">
        <v>5</v>
      </c>
      <c r="J10183" t="str" cm="1">
        <f t="array" ref="J10183">_xlfn.IFS(I10183&lt;=3,"small",I10183&lt;=6,"Medium",I10183&lt;=9,"Large")</f>
        <v>Medium</v>
      </c>
      <c r="K10183" s="36">
        <v>45619</v>
      </c>
      <c r="L10183" s="36">
        <v>45626</v>
      </c>
      <c r="M10183" t="s">
        <v>598</v>
      </c>
      <c r="N10183" t="s">
        <v>604</v>
      </c>
      <c r="O10183" s="37" t="str">
        <f t="shared" si="798"/>
        <v>Digital Payment</v>
      </c>
      <c r="P10183">
        <v>701.29</v>
      </c>
      <c r="Q10183" s="37" t="str">
        <f>IF(P10183&gt;500,"High","low")</f>
        <v>High</v>
      </c>
      <c r="R10183" s="37" t="str">
        <f t="shared" si="799"/>
        <v>Good</v>
      </c>
      <c r="S10183" t="s">
        <v>609</v>
      </c>
    </row>
    <row r="10184" spans="1:19" x14ac:dyDescent="0.2">
      <c r="A10184" t="s">
        <v>10795</v>
      </c>
      <c r="B10184" t="s">
        <v>67</v>
      </c>
      <c r="C10184" t="s">
        <v>607</v>
      </c>
      <c r="D10184">
        <v>1546.2</v>
      </c>
      <c r="E10184" s="37" t="str">
        <f t="shared" si="795"/>
        <v xml:space="preserve"> </v>
      </c>
      <c r="F10184">
        <v>0.3</v>
      </c>
      <c r="G10184" s="37" t="str">
        <f t="shared" si="796"/>
        <v>Normal Discount</v>
      </c>
      <c r="H10184" s="37" t="str">
        <f t="shared" si="797"/>
        <v>Medium</v>
      </c>
      <c r="I10184">
        <v>7</v>
      </c>
      <c r="J10184" t="str" cm="1">
        <f t="array" ref="J10184">_xlfn.IFS(I10184&lt;=3,"small",I10184&lt;=6,"Medium",I10184&lt;=9,"Large")</f>
        <v>Large</v>
      </c>
      <c r="K10184" s="36">
        <v>45534</v>
      </c>
      <c r="L10184" s="36">
        <v>45536</v>
      </c>
      <c r="M10184" t="s">
        <v>603</v>
      </c>
      <c r="N10184" t="s">
        <v>604</v>
      </c>
      <c r="O10184" s="37" t="str">
        <f t="shared" si="798"/>
        <v>Digital Payment</v>
      </c>
      <c r="P10184">
        <v>276.02999999999997</v>
      </c>
      <c r="Q10184" s="37" t="str">
        <f>IF(P10184&gt;500,"High","low")</f>
        <v>low</v>
      </c>
      <c r="R10184" s="37" t="str">
        <f t="shared" si="799"/>
        <v>AVERAGE</v>
      </c>
      <c r="S10184" t="s">
        <v>620</v>
      </c>
    </row>
    <row r="10185" spans="1:19" x14ac:dyDescent="0.2">
      <c r="A10185" t="s">
        <v>10796</v>
      </c>
      <c r="B10185" t="s">
        <v>67</v>
      </c>
      <c r="C10185" t="s">
        <v>614</v>
      </c>
      <c r="D10185">
        <v>4127.8900000000003</v>
      </c>
      <c r="E10185" s="37" t="str">
        <f t="shared" si="795"/>
        <v>Excellent Order</v>
      </c>
      <c r="F10185">
        <v>0.26</v>
      </c>
      <c r="G10185" s="37" t="str">
        <f t="shared" si="796"/>
        <v>Normal Discount</v>
      </c>
      <c r="H10185" s="37" t="str">
        <f t="shared" si="797"/>
        <v>Medium</v>
      </c>
      <c r="I10185">
        <v>9</v>
      </c>
      <c r="J10185" t="str" cm="1">
        <f t="array" ref="J10185">_xlfn.IFS(I10185&lt;=3,"small",I10185&lt;=6,"Medium",I10185&lt;=9,"Large")</f>
        <v>Large</v>
      </c>
      <c r="K10185" s="36">
        <v>45209</v>
      </c>
      <c r="L10185" s="36">
        <v>45215</v>
      </c>
      <c r="M10185" t="s">
        <v>612</v>
      </c>
      <c r="N10185" t="s">
        <v>604</v>
      </c>
      <c r="O10185" s="37" t="str">
        <f t="shared" si="798"/>
        <v>Digital Payment</v>
      </c>
      <c r="P10185">
        <v>877.98</v>
      </c>
      <c r="Q10185" s="37" t="str">
        <f>IF(P10185&gt;500,"High","low")</f>
        <v>High</v>
      </c>
      <c r="R10185" s="37" t="str">
        <f t="shared" si="799"/>
        <v>Good</v>
      </c>
      <c r="S10185" t="s">
        <v>605</v>
      </c>
    </row>
    <row r="10186" spans="1:19" x14ac:dyDescent="0.2">
      <c r="A10186" t="s">
        <v>10797</v>
      </c>
      <c r="B10186" t="s">
        <v>83</v>
      </c>
      <c r="C10186" t="s">
        <v>607</v>
      </c>
      <c r="D10186">
        <v>169.4</v>
      </c>
      <c r="E10186" s="37" t="str">
        <f t="shared" si="795"/>
        <v xml:space="preserve"> </v>
      </c>
      <c r="F10186">
        <v>0.41</v>
      </c>
      <c r="G10186" s="37" t="str">
        <f t="shared" si="796"/>
        <v>Heavy Discount</v>
      </c>
      <c r="H10186" s="37" t="str">
        <f t="shared" si="797"/>
        <v>High</v>
      </c>
      <c r="I10186">
        <v>9</v>
      </c>
      <c r="J10186" t="str" cm="1">
        <f t="array" ref="J10186">_xlfn.IFS(I10186&lt;=3,"small",I10186&lt;=6,"Medium",I10186&lt;=9,"Large")</f>
        <v>Large</v>
      </c>
      <c r="K10186" s="36">
        <v>45222</v>
      </c>
      <c r="L10186" s="36">
        <v>45224</v>
      </c>
      <c r="M10186" t="s">
        <v>598</v>
      </c>
      <c r="N10186" t="s">
        <v>604</v>
      </c>
      <c r="O10186" s="37" t="str">
        <f t="shared" si="798"/>
        <v>Digital Payment</v>
      </c>
      <c r="P10186">
        <v>27.65</v>
      </c>
      <c r="Q10186" s="37" t="str">
        <f>IF(P10186&gt;500,"High","low")</f>
        <v>low</v>
      </c>
      <c r="R10186" s="37" t="str">
        <f t="shared" si="799"/>
        <v>AVERAGE</v>
      </c>
      <c r="S10186" t="s">
        <v>605</v>
      </c>
    </row>
    <row r="10187" spans="1:19" x14ac:dyDescent="0.2">
      <c r="A10187" t="s">
        <v>10798</v>
      </c>
      <c r="B10187" t="s">
        <v>90</v>
      </c>
      <c r="C10187" t="s">
        <v>597</v>
      </c>
      <c r="D10187">
        <v>2076.75</v>
      </c>
      <c r="E10187" s="37" t="str">
        <f t="shared" si="795"/>
        <v xml:space="preserve"> </v>
      </c>
      <c r="F10187">
        <v>0.12</v>
      </c>
      <c r="G10187" s="37" t="str">
        <f t="shared" si="796"/>
        <v>Normal Discount</v>
      </c>
      <c r="H10187" s="37" t="str">
        <f t="shared" si="797"/>
        <v>Low</v>
      </c>
      <c r="I10187">
        <v>3</v>
      </c>
      <c r="J10187" t="str" cm="1">
        <f t="array" ref="J10187">_xlfn.IFS(I10187&lt;=3,"small",I10187&lt;=6,"Medium",I10187&lt;=9,"Large")</f>
        <v>small</v>
      </c>
      <c r="K10187" s="36">
        <v>45020</v>
      </c>
      <c r="L10187" s="36">
        <v>45023</v>
      </c>
      <c r="M10187" t="s">
        <v>603</v>
      </c>
      <c r="N10187" t="s">
        <v>604</v>
      </c>
      <c r="O10187" s="37" t="str">
        <f t="shared" si="798"/>
        <v>Digital Payment</v>
      </c>
      <c r="P10187">
        <v>306.68</v>
      </c>
      <c r="Q10187" s="37" t="str">
        <f>IF(P10187&gt;500,"High","low")</f>
        <v>low</v>
      </c>
      <c r="R10187" s="37" t="str">
        <f t="shared" si="799"/>
        <v>AVERAGE</v>
      </c>
      <c r="S10187" t="s">
        <v>615</v>
      </c>
    </row>
    <row r="10188" spans="1:19" x14ac:dyDescent="0.2">
      <c r="A10188" t="s">
        <v>10799</v>
      </c>
      <c r="B10188" t="s">
        <v>75</v>
      </c>
      <c r="C10188" t="s">
        <v>617</v>
      </c>
      <c r="D10188">
        <v>3123.69</v>
      </c>
      <c r="E10188" s="37" t="str">
        <f t="shared" si="795"/>
        <v xml:space="preserve"> </v>
      </c>
      <c r="F10188">
        <v>0.2</v>
      </c>
      <c r="G10188" s="37" t="str">
        <f t="shared" si="796"/>
        <v>Normal Discount</v>
      </c>
      <c r="H10188" s="37" t="str">
        <f t="shared" si="797"/>
        <v>Medium</v>
      </c>
      <c r="I10188">
        <v>1</v>
      </c>
      <c r="J10188" t="str" cm="1">
        <f t="array" ref="J10188">_xlfn.IFS(I10188&lt;=3,"small",I10188&lt;=6,"Medium",I10188&lt;=9,"Large")</f>
        <v>small</v>
      </c>
      <c r="K10188" s="36">
        <v>45089</v>
      </c>
      <c r="L10188" s="36">
        <v>45096</v>
      </c>
      <c r="M10188" t="s">
        <v>598</v>
      </c>
      <c r="N10188" t="s">
        <v>604</v>
      </c>
      <c r="O10188" s="37" t="str">
        <f t="shared" si="798"/>
        <v>Digital Payment</v>
      </c>
      <c r="P10188">
        <v>303.67</v>
      </c>
      <c r="Q10188" s="37" t="str">
        <f>IF(P10188&gt;500,"High","low")</f>
        <v>low</v>
      </c>
      <c r="R10188" s="37" t="str">
        <f t="shared" si="799"/>
        <v>AVERAGE</v>
      </c>
      <c r="S10188" t="s">
        <v>605</v>
      </c>
    </row>
    <row r="10189" spans="1:19" x14ac:dyDescent="0.2">
      <c r="A10189" t="s">
        <v>10800</v>
      </c>
      <c r="B10189" t="s">
        <v>90</v>
      </c>
      <c r="C10189" t="s">
        <v>617</v>
      </c>
      <c r="D10189">
        <v>210.78</v>
      </c>
      <c r="E10189" s="37" t="str">
        <f t="shared" si="795"/>
        <v xml:space="preserve"> </v>
      </c>
      <c r="F10189">
        <v>0.45</v>
      </c>
      <c r="G10189" s="37" t="str">
        <f t="shared" si="796"/>
        <v>Heavy Discount</v>
      </c>
      <c r="H10189" s="37" t="str">
        <f t="shared" si="797"/>
        <v>High</v>
      </c>
      <c r="I10189">
        <v>3</v>
      </c>
      <c r="J10189" t="str" cm="1">
        <f t="array" ref="J10189">_xlfn.IFS(I10189&lt;=3,"small",I10189&lt;=6,"Medium",I10189&lt;=9,"Large")</f>
        <v>small</v>
      </c>
      <c r="K10189" s="36">
        <v>45387</v>
      </c>
      <c r="L10189" s="36">
        <v>45391</v>
      </c>
      <c r="M10189" t="s">
        <v>603</v>
      </c>
      <c r="N10189" t="s">
        <v>604</v>
      </c>
      <c r="O10189" s="37" t="str">
        <f t="shared" si="798"/>
        <v>Digital Payment</v>
      </c>
      <c r="P10189">
        <v>28.02</v>
      </c>
      <c r="Q10189" s="37" t="str">
        <f>IF(P10189&gt;500,"High","low")</f>
        <v>low</v>
      </c>
      <c r="R10189" s="37" t="str">
        <f t="shared" si="799"/>
        <v>AVERAGE</v>
      </c>
      <c r="S10189" t="s">
        <v>600</v>
      </c>
    </row>
    <row r="10190" spans="1:19" x14ac:dyDescent="0.2">
      <c r="A10190" t="s">
        <v>10801</v>
      </c>
      <c r="B10190" t="s">
        <v>67</v>
      </c>
      <c r="C10190" t="s">
        <v>607</v>
      </c>
      <c r="D10190">
        <v>1157.6300000000001</v>
      </c>
      <c r="E10190" s="37" t="str">
        <f t="shared" si="795"/>
        <v xml:space="preserve"> </v>
      </c>
      <c r="F10190">
        <v>0.36</v>
      </c>
      <c r="G10190" s="37" t="str">
        <f t="shared" si="796"/>
        <v>Heavy Discount</v>
      </c>
      <c r="H10190" s="37" t="str">
        <f t="shared" si="797"/>
        <v>Medium</v>
      </c>
      <c r="I10190">
        <v>8</v>
      </c>
      <c r="J10190" t="str" cm="1">
        <f t="array" ref="J10190">_xlfn.IFS(I10190&lt;=3,"small",I10190&lt;=6,"Medium",I10190&lt;=9,"Large")</f>
        <v>Large</v>
      </c>
      <c r="K10190" s="36">
        <v>45556</v>
      </c>
      <c r="L10190" s="36">
        <v>45560</v>
      </c>
      <c r="M10190" t="s">
        <v>598</v>
      </c>
      <c r="N10190" t="s">
        <v>608</v>
      </c>
      <c r="O10190" s="37" t="str">
        <f t="shared" si="798"/>
        <v>Cash Payment</v>
      </c>
      <c r="P10190">
        <v>68.75</v>
      </c>
      <c r="Q10190" s="37" t="str">
        <f>IF(P10190&gt;500,"High","low")</f>
        <v>low</v>
      </c>
      <c r="R10190" s="37" t="str">
        <f t="shared" si="799"/>
        <v>AVERAGE</v>
      </c>
      <c r="S10190" t="s">
        <v>615</v>
      </c>
    </row>
    <row r="10191" spans="1:19" x14ac:dyDescent="0.2">
      <c r="A10191" t="s">
        <v>10802</v>
      </c>
      <c r="B10191" t="s">
        <v>90</v>
      </c>
      <c r="C10191" t="s">
        <v>614</v>
      </c>
      <c r="D10191">
        <v>1704.36</v>
      </c>
      <c r="E10191" s="37" t="str">
        <f t="shared" si="795"/>
        <v xml:space="preserve"> </v>
      </c>
      <c r="F10191">
        <v>0.16</v>
      </c>
      <c r="G10191" s="37" t="str">
        <f t="shared" si="796"/>
        <v>Normal Discount</v>
      </c>
      <c r="H10191" s="37" t="str">
        <f t="shared" si="797"/>
        <v>Low</v>
      </c>
      <c r="I10191">
        <v>7</v>
      </c>
      <c r="J10191" t="str" cm="1">
        <f t="array" ref="J10191">_xlfn.IFS(I10191&lt;=3,"small",I10191&lt;=6,"Medium",I10191&lt;=9,"Large")</f>
        <v>Large</v>
      </c>
      <c r="K10191" s="36">
        <v>45311</v>
      </c>
      <c r="L10191" s="36">
        <v>45313</v>
      </c>
      <c r="M10191" t="s">
        <v>603</v>
      </c>
      <c r="N10191" t="s">
        <v>604</v>
      </c>
      <c r="O10191" s="37" t="str">
        <f t="shared" si="798"/>
        <v>Digital Payment</v>
      </c>
      <c r="P10191">
        <v>296.52999999999997</v>
      </c>
      <c r="Q10191" s="37" t="str">
        <f>IF(P10191&gt;500,"High","low")</f>
        <v>low</v>
      </c>
      <c r="R10191" s="37" t="str">
        <f t="shared" si="799"/>
        <v>AVERAGE</v>
      </c>
      <c r="S10191" t="s">
        <v>605</v>
      </c>
    </row>
    <row r="10192" spans="1:19" x14ac:dyDescent="0.2">
      <c r="A10192" t="s">
        <v>10803</v>
      </c>
      <c r="B10192" t="s">
        <v>67</v>
      </c>
      <c r="C10192" t="s">
        <v>617</v>
      </c>
      <c r="D10192">
        <v>207.04</v>
      </c>
      <c r="E10192" s="37" t="str">
        <f t="shared" si="795"/>
        <v xml:space="preserve"> </v>
      </c>
      <c r="F10192">
        <v>0.42</v>
      </c>
      <c r="G10192" s="37" t="str">
        <f t="shared" si="796"/>
        <v>Heavy Discount</v>
      </c>
      <c r="H10192" s="37" t="str">
        <f t="shared" si="797"/>
        <v>High</v>
      </c>
      <c r="I10192">
        <v>5</v>
      </c>
      <c r="J10192" t="str" cm="1">
        <f t="array" ref="J10192">_xlfn.IFS(I10192&lt;=3,"small",I10192&lt;=6,"Medium",I10192&lt;=9,"Large")</f>
        <v>Medium</v>
      </c>
      <c r="K10192" s="36">
        <v>45160</v>
      </c>
      <c r="L10192" s="36">
        <v>45165</v>
      </c>
      <c r="M10192" t="s">
        <v>603</v>
      </c>
      <c r="N10192" t="s">
        <v>599</v>
      </c>
      <c r="O10192" s="37" t="str">
        <f t="shared" si="798"/>
        <v>Digital Payment</v>
      </c>
      <c r="P10192">
        <v>32.64</v>
      </c>
      <c r="Q10192" s="37" t="str">
        <f>IF(P10192&gt;500,"High","low")</f>
        <v>low</v>
      </c>
      <c r="R10192" s="37" t="str">
        <f t="shared" si="799"/>
        <v>AVERAGE</v>
      </c>
      <c r="S10192" t="s">
        <v>620</v>
      </c>
    </row>
    <row r="10193" spans="1:19" x14ac:dyDescent="0.2">
      <c r="A10193" t="s">
        <v>10804</v>
      </c>
      <c r="B10193" t="s">
        <v>75</v>
      </c>
      <c r="C10193" t="s">
        <v>617</v>
      </c>
      <c r="D10193">
        <v>2778.78</v>
      </c>
      <c r="E10193" s="37" t="str">
        <f t="shared" si="795"/>
        <v xml:space="preserve"> </v>
      </c>
      <c r="F10193">
        <v>0.12</v>
      </c>
      <c r="G10193" s="37" t="str">
        <f t="shared" si="796"/>
        <v>Normal Discount</v>
      </c>
      <c r="H10193" s="37" t="str">
        <f t="shared" si="797"/>
        <v>Low</v>
      </c>
      <c r="I10193">
        <v>9</v>
      </c>
      <c r="J10193" t="str" cm="1">
        <f t="array" ref="J10193">_xlfn.IFS(I10193&lt;=3,"small",I10193&lt;=6,"Medium",I10193&lt;=9,"Large")</f>
        <v>Large</v>
      </c>
      <c r="K10193" s="36">
        <v>45081</v>
      </c>
      <c r="L10193" s="36">
        <v>45084</v>
      </c>
      <c r="M10193" t="s">
        <v>598</v>
      </c>
      <c r="N10193" t="s">
        <v>599</v>
      </c>
      <c r="O10193" s="37" t="str">
        <f t="shared" si="798"/>
        <v>Digital Payment</v>
      </c>
      <c r="P10193">
        <v>219.24</v>
      </c>
      <c r="Q10193" s="37" t="str">
        <f>IF(P10193&gt;500,"High","low")</f>
        <v>low</v>
      </c>
      <c r="R10193" s="37" t="str">
        <f t="shared" si="799"/>
        <v>AVERAGE</v>
      </c>
      <c r="S10193" t="s">
        <v>615</v>
      </c>
    </row>
    <row r="10194" spans="1:19" x14ac:dyDescent="0.2">
      <c r="A10194" t="s">
        <v>10805</v>
      </c>
      <c r="B10194" t="s">
        <v>75</v>
      </c>
      <c r="C10194" t="s">
        <v>597</v>
      </c>
      <c r="D10194">
        <v>3191.26</v>
      </c>
      <c r="E10194" s="37" t="str">
        <f t="shared" si="795"/>
        <v xml:space="preserve"> </v>
      </c>
      <c r="F10194">
        <v>0.32</v>
      </c>
      <c r="G10194" s="37" t="str">
        <f t="shared" si="796"/>
        <v>Heavy Discount</v>
      </c>
      <c r="H10194" s="37" t="str">
        <f t="shared" si="797"/>
        <v>Medium</v>
      </c>
      <c r="I10194">
        <v>4</v>
      </c>
      <c r="J10194" t="str" cm="1">
        <f t="array" ref="J10194">_xlfn.IFS(I10194&lt;=3,"small",I10194&lt;=6,"Medium",I10194&lt;=9,"Large")</f>
        <v>Medium</v>
      </c>
      <c r="K10194" s="36">
        <v>45204</v>
      </c>
      <c r="L10194" s="36">
        <v>45206</v>
      </c>
      <c r="M10194" t="s">
        <v>598</v>
      </c>
      <c r="N10194" t="s">
        <v>608</v>
      </c>
      <c r="O10194" s="37" t="str">
        <f t="shared" si="798"/>
        <v>Cash Payment</v>
      </c>
      <c r="P10194">
        <v>608.04</v>
      </c>
      <c r="Q10194" s="37" t="str">
        <f>IF(P10194&gt;500,"High","low")</f>
        <v>High</v>
      </c>
      <c r="R10194" s="37" t="str">
        <f t="shared" si="799"/>
        <v>Good</v>
      </c>
      <c r="S10194" t="s">
        <v>615</v>
      </c>
    </row>
    <row r="10195" spans="1:19" x14ac:dyDescent="0.2">
      <c r="A10195" t="s">
        <v>10806</v>
      </c>
      <c r="B10195" t="s">
        <v>83</v>
      </c>
      <c r="C10195" t="s">
        <v>607</v>
      </c>
      <c r="D10195">
        <v>1214.8599999999999</v>
      </c>
      <c r="E10195" s="37" t="str">
        <f t="shared" si="795"/>
        <v xml:space="preserve"> </v>
      </c>
      <c r="F10195">
        <v>0.48</v>
      </c>
      <c r="G10195" s="37" t="str">
        <f t="shared" si="796"/>
        <v>Heavy Discount</v>
      </c>
      <c r="H10195" s="37" t="str">
        <f t="shared" si="797"/>
        <v>High</v>
      </c>
      <c r="I10195">
        <v>6</v>
      </c>
      <c r="J10195" t="str" cm="1">
        <f t="array" ref="J10195">_xlfn.IFS(I10195&lt;=3,"small",I10195&lt;=6,"Medium",I10195&lt;=9,"Large")</f>
        <v>Medium</v>
      </c>
      <c r="K10195" s="36">
        <v>45431</v>
      </c>
      <c r="L10195" s="36">
        <v>45434</v>
      </c>
      <c r="M10195" t="s">
        <v>603</v>
      </c>
      <c r="N10195" t="s">
        <v>608</v>
      </c>
      <c r="O10195" s="37" t="str">
        <f t="shared" si="798"/>
        <v>Cash Payment</v>
      </c>
      <c r="P10195">
        <v>331.8</v>
      </c>
      <c r="Q10195" s="37" t="str">
        <f>IF(P10195&gt;500,"High","low")</f>
        <v>low</v>
      </c>
      <c r="R10195" s="37" t="str">
        <f t="shared" si="799"/>
        <v>AVERAGE</v>
      </c>
      <c r="S10195" t="s">
        <v>609</v>
      </c>
    </row>
    <row r="10196" spans="1:19" x14ac:dyDescent="0.2">
      <c r="A10196" t="s">
        <v>10807</v>
      </c>
      <c r="B10196" t="s">
        <v>83</v>
      </c>
      <c r="C10196" t="s">
        <v>617</v>
      </c>
      <c r="D10196">
        <v>2763.07</v>
      </c>
      <c r="E10196" s="37" t="str">
        <f t="shared" si="795"/>
        <v xml:space="preserve"> </v>
      </c>
      <c r="F10196">
        <v>0.28999999999999998</v>
      </c>
      <c r="G10196" s="37" t="str">
        <f t="shared" si="796"/>
        <v>Normal Discount</v>
      </c>
      <c r="H10196" s="37" t="str">
        <f t="shared" si="797"/>
        <v>Medium</v>
      </c>
      <c r="I10196">
        <v>5</v>
      </c>
      <c r="J10196" t="str" cm="1">
        <f t="array" ref="J10196">_xlfn.IFS(I10196&lt;=3,"small",I10196&lt;=6,"Medium",I10196&lt;=9,"Large")</f>
        <v>Medium</v>
      </c>
      <c r="K10196" s="36">
        <v>45549</v>
      </c>
      <c r="L10196" s="36">
        <v>45550</v>
      </c>
      <c r="M10196" t="s">
        <v>612</v>
      </c>
      <c r="N10196" t="s">
        <v>608</v>
      </c>
      <c r="O10196" s="37" t="str">
        <f t="shared" si="798"/>
        <v>Cash Payment</v>
      </c>
      <c r="P10196">
        <v>491.28</v>
      </c>
      <c r="Q10196" s="37" t="str">
        <f>IF(P10196&gt;500,"High","low")</f>
        <v>low</v>
      </c>
      <c r="R10196" s="37" t="str">
        <f t="shared" si="799"/>
        <v>AVERAGE</v>
      </c>
      <c r="S10196" t="s">
        <v>600</v>
      </c>
    </row>
    <row r="10197" spans="1:19" x14ac:dyDescent="0.2">
      <c r="A10197" t="s">
        <v>10808</v>
      </c>
      <c r="B10197" t="s">
        <v>90</v>
      </c>
      <c r="C10197" t="s">
        <v>617</v>
      </c>
      <c r="D10197">
        <v>4995.72</v>
      </c>
      <c r="E10197" s="37" t="str">
        <f t="shared" si="795"/>
        <v xml:space="preserve"> </v>
      </c>
      <c r="F10197">
        <v>0.4</v>
      </c>
      <c r="G10197" s="37" t="str">
        <f t="shared" si="796"/>
        <v>Heavy Discount</v>
      </c>
      <c r="H10197" s="37" t="str">
        <f t="shared" si="797"/>
        <v>Medium</v>
      </c>
      <c r="I10197">
        <v>6</v>
      </c>
      <c r="J10197" t="str" cm="1">
        <f t="array" ref="J10197">_xlfn.IFS(I10197&lt;=3,"small",I10197&lt;=6,"Medium",I10197&lt;=9,"Large")</f>
        <v>Medium</v>
      </c>
      <c r="K10197" s="36">
        <v>45077</v>
      </c>
      <c r="L10197" s="36">
        <v>45084</v>
      </c>
      <c r="M10197" t="s">
        <v>603</v>
      </c>
      <c r="N10197" t="s">
        <v>599</v>
      </c>
      <c r="O10197" s="37" t="str">
        <f t="shared" si="798"/>
        <v>Digital Payment</v>
      </c>
      <c r="P10197">
        <v>310.63</v>
      </c>
      <c r="Q10197" s="37" t="str">
        <f>IF(P10197&gt;500,"High","low")</f>
        <v>low</v>
      </c>
      <c r="R10197" s="37" t="str">
        <f t="shared" si="799"/>
        <v>AVERAGE</v>
      </c>
      <c r="S10197" t="s">
        <v>600</v>
      </c>
    </row>
    <row r="10198" spans="1:19" x14ac:dyDescent="0.2">
      <c r="A10198" t="s">
        <v>10809</v>
      </c>
      <c r="B10198" t="s">
        <v>75</v>
      </c>
      <c r="C10198" t="s">
        <v>617</v>
      </c>
      <c r="D10198">
        <v>4445.8999999999996</v>
      </c>
      <c r="E10198" s="37" t="str">
        <f t="shared" si="795"/>
        <v xml:space="preserve"> </v>
      </c>
      <c r="F10198">
        <v>0.37</v>
      </c>
      <c r="G10198" s="37" t="str">
        <f t="shared" si="796"/>
        <v>Heavy Discount</v>
      </c>
      <c r="H10198" s="37" t="str">
        <f t="shared" si="797"/>
        <v>Medium</v>
      </c>
      <c r="I10198">
        <v>4</v>
      </c>
      <c r="J10198" t="str" cm="1">
        <f t="array" ref="J10198">_xlfn.IFS(I10198&lt;=3,"small",I10198&lt;=6,"Medium",I10198&lt;=9,"Large")</f>
        <v>Medium</v>
      </c>
      <c r="K10198" s="36">
        <v>45107</v>
      </c>
      <c r="L10198" s="36">
        <v>45112</v>
      </c>
      <c r="M10198" t="s">
        <v>598</v>
      </c>
      <c r="N10198" t="s">
        <v>608</v>
      </c>
      <c r="O10198" s="37" t="str">
        <f t="shared" si="798"/>
        <v>Cash Payment</v>
      </c>
      <c r="P10198">
        <v>684.39</v>
      </c>
      <c r="Q10198" s="37" t="str">
        <f>IF(P10198&gt;500,"High","low")</f>
        <v>High</v>
      </c>
      <c r="R10198" s="37" t="str">
        <f t="shared" si="799"/>
        <v>Good</v>
      </c>
      <c r="S10198" t="s">
        <v>600</v>
      </c>
    </row>
    <row r="10199" spans="1:19" x14ac:dyDescent="0.2">
      <c r="A10199" t="s">
        <v>10810</v>
      </c>
      <c r="B10199" t="s">
        <v>75</v>
      </c>
      <c r="C10199" t="s">
        <v>617</v>
      </c>
      <c r="D10199">
        <v>387.44</v>
      </c>
      <c r="E10199" s="37" t="str">
        <f t="shared" si="795"/>
        <v xml:space="preserve"> </v>
      </c>
      <c r="F10199">
        <v>0.43</v>
      </c>
      <c r="G10199" s="37" t="str">
        <f t="shared" si="796"/>
        <v>Heavy Discount</v>
      </c>
      <c r="H10199" s="37" t="str">
        <f t="shared" si="797"/>
        <v>High</v>
      </c>
      <c r="I10199">
        <v>3</v>
      </c>
      <c r="J10199" t="str" cm="1">
        <f t="array" ref="J10199">_xlfn.IFS(I10199&lt;=3,"small",I10199&lt;=6,"Medium",I10199&lt;=9,"Large")</f>
        <v>small</v>
      </c>
      <c r="K10199" s="36">
        <v>45217</v>
      </c>
      <c r="L10199" s="36">
        <v>45221</v>
      </c>
      <c r="M10199" t="s">
        <v>603</v>
      </c>
      <c r="N10199" t="s">
        <v>608</v>
      </c>
      <c r="O10199" s="37" t="str">
        <f t="shared" si="798"/>
        <v>Cash Payment</v>
      </c>
      <c r="P10199">
        <v>107.74</v>
      </c>
      <c r="Q10199" s="37" t="str">
        <f>IF(P10199&gt;500,"High","low")</f>
        <v>low</v>
      </c>
      <c r="R10199" s="37" t="str">
        <f t="shared" si="799"/>
        <v>AVERAGE</v>
      </c>
      <c r="S10199" t="s">
        <v>600</v>
      </c>
    </row>
    <row r="10200" spans="1:19" x14ac:dyDescent="0.2">
      <c r="A10200" t="s">
        <v>10811</v>
      </c>
      <c r="B10200" t="s">
        <v>83</v>
      </c>
      <c r="C10200" t="s">
        <v>614</v>
      </c>
      <c r="D10200">
        <v>726.62</v>
      </c>
      <c r="E10200" s="37" t="str">
        <f t="shared" si="795"/>
        <v xml:space="preserve"> </v>
      </c>
      <c r="F10200">
        <v>0.48</v>
      </c>
      <c r="G10200" s="37" t="str">
        <f t="shared" si="796"/>
        <v>Heavy Discount</v>
      </c>
      <c r="H10200" s="37" t="str">
        <f t="shared" si="797"/>
        <v>High</v>
      </c>
      <c r="I10200">
        <v>5</v>
      </c>
      <c r="J10200" t="str" cm="1">
        <f t="array" ref="J10200">_xlfn.IFS(I10200&lt;=3,"small",I10200&lt;=6,"Medium",I10200&lt;=9,"Large")</f>
        <v>Medium</v>
      </c>
      <c r="K10200" s="36">
        <v>45445</v>
      </c>
      <c r="L10200" s="36">
        <v>45448</v>
      </c>
      <c r="M10200" t="s">
        <v>603</v>
      </c>
      <c r="N10200" t="s">
        <v>604</v>
      </c>
      <c r="O10200" s="37" t="str">
        <f t="shared" si="798"/>
        <v>Digital Payment</v>
      </c>
      <c r="P10200">
        <v>209.35</v>
      </c>
      <c r="Q10200" s="37" t="str">
        <f>IF(P10200&gt;500,"High","low")</f>
        <v>low</v>
      </c>
      <c r="R10200" s="37" t="str">
        <f t="shared" si="799"/>
        <v>AVERAGE</v>
      </c>
      <c r="S10200" t="s">
        <v>600</v>
      </c>
    </row>
    <row r="10201" spans="1:19" x14ac:dyDescent="0.2">
      <c r="A10201" t="s">
        <v>10812</v>
      </c>
      <c r="B10201" t="s">
        <v>67</v>
      </c>
      <c r="C10201" t="s">
        <v>602</v>
      </c>
      <c r="D10201">
        <v>2522.58</v>
      </c>
      <c r="E10201" s="37" t="str">
        <f t="shared" si="795"/>
        <v xml:space="preserve"> </v>
      </c>
      <c r="F10201">
        <v>0.01</v>
      </c>
      <c r="G10201" s="37" t="str">
        <f t="shared" si="796"/>
        <v>Normal Discount</v>
      </c>
      <c r="H10201" s="37" t="str">
        <f t="shared" si="797"/>
        <v>Low</v>
      </c>
      <c r="I10201">
        <v>5</v>
      </c>
      <c r="J10201" t="str" cm="1">
        <f t="array" ref="J10201">_xlfn.IFS(I10201&lt;=3,"small",I10201&lt;=6,"Medium",I10201&lt;=9,"Large")</f>
        <v>Medium</v>
      </c>
      <c r="K10201" s="36">
        <v>45334</v>
      </c>
      <c r="L10201" s="36">
        <v>45340</v>
      </c>
      <c r="M10201" t="s">
        <v>612</v>
      </c>
      <c r="N10201" t="s">
        <v>599</v>
      </c>
      <c r="O10201" s="37" t="str">
        <f t="shared" si="798"/>
        <v>Digital Payment</v>
      </c>
      <c r="P10201">
        <v>659.69</v>
      </c>
      <c r="Q10201" s="37" t="str">
        <f>IF(P10201&gt;500,"High","low")</f>
        <v>High</v>
      </c>
      <c r="R10201" s="37" t="str">
        <f t="shared" si="799"/>
        <v>Good</v>
      </c>
      <c r="S10201" t="s">
        <v>620</v>
      </c>
    </row>
    <row r="10202" spans="1:19" x14ac:dyDescent="0.2">
      <c r="A10202" t="s">
        <v>10813</v>
      </c>
      <c r="B10202" t="s">
        <v>90</v>
      </c>
      <c r="C10202" t="s">
        <v>597</v>
      </c>
      <c r="D10202">
        <v>1301.49</v>
      </c>
      <c r="E10202" s="37" t="str">
        <f t="shared" si="795"/>
        <v xml:space="preserve"> </v>
      </c>
      <c r="F10202">
        <v>0.01</v>
      </c>
      <c r="G10202" s="37" t="str">
        <f t="shared" si="796"/>
        <v>Normal Discount</v>
      </c>
      <c r="H10202" s="37" t="str">
        <f t="shared" si="797"/>
        <v>Low</v>
      </c>
      <c r="I10202">
        <v>2</v>
      </c>
      <c r="J10202" t="str" cm="1">
        <f t="array" ref="J10202">_xlfn.IFS(I10202&lt;=3,"small",I10202&lt;=6,"Medium",I10202&lt;=9,"Large")</f>
        <v>small</v>
      </c>
      <c r="K10202" s="36">
        <v>45134</v>
      </c>
      <c r="L10202" s="36">
        <v>45140</v>
      </c>
      <c r="M10202" t="s">
        <v>612</v>
      </c>
      <c r="N10202" t="s">
        <v>599</v>
      </c>
      <c r="O10202" s="37" t="str">
        <f t="shared" si="798"/>
        <v>Digital Payment</v>
      </c>
      <c r="P10202">
        <v>205.31</v>
      </c>
      <c r="Q10202" s="37" t="str">
        <f>IF(P10202&gt;500,"High","low")</f>
        <v>low</v>
      </c>
      <c r="R10202" s="37" t="str">
        <f t="shared" si="799"/>
        <v>AVERAGE</v>
      </c>
      <c r="S10202" t="s">
        <v>620</v>
      </c>
    </row>
    <row r="10203" spans="1:19" x14ac:dyDescent="0.2">
      <c r="A10203" t="s">
        <v>10814</v>
      </c>
      <c r="B10203" t="s">
        <v>90</v>
      </c>
      <c r="C10203" t="s">
        <v>614</v>
      </c>
      <c r="D10203">
        <v>496.75</v>
      </c>
      <c r="E10203" s="37" t="str">
        <f t="shared" si="795"/>
        <v xml:space="preserve"> </v>
      </c>
      <c r="F10203">
        <v>0.3</v>
      </c>
      <c r="G10203" s="37" t="str">
        <f t="shared" si="796"/>
        <v>Normal Discount</v>
      </c>
      <c r="H10203" s="37" t="str">
        <f t="shared" si="797"/>
        <v>Medium</v>
      </c>
      <c r="I10203">
        <v>4</v>
      </c>
      <c r="J10203" t="str" cm="1">
        <f t="array" ref="J10203">_xlfn.IFS(I10203&lt;=3,"small",I10203&lt;=6,"Medium",I10203&lt;=9,"Large")</f>
        <v>Medium</v>
      </c>
      <c r="K10203" s="36">
        <v>45054</v>
      </c>
      <c r="L10203" s="36">
        <v>45056</v>
      </c>
      <c r="M10203" t="s">
        <v>598</v>
      </c>
      <c r="N10203" t="s">
        <v>608</v>
      </c>
      <c r="O10203" s="37" t="str">
        <f t="shared" si="798"/>
        <v>Cash Payment</v>
      </c>
      <c r="P10203">
        <v>71.95</v>
      </c>
      <c r="Q10203" s="37" t="str">
        <f>IF(P10203&gt;500,"High","low")</f>
        <v>low</v>
      </c>
      <c r="R10203" s="37" t="str">
        <f t="shared" si="799"/>
        <v>AVERAGE</v>
      </c>
      <c r="S10203" t="s">
        <v>609</v>
      </c>
    </row>
    <row r="10204" spans="1:19" x14ac:dyDescent="0.2">
      <c r="A10204" t="s">
        <v>10815</v>
      </c>
      <c r="B10204" t="s">
        <v>83</v>
      </c>
      <c r="C10204" t="s">
        <v>597</v>
      </c>
      <c r="D10204">
        <v>1347.32</v>
      </c>
      <c r="E10204" s="37" t="str">
        <f t="shared" si="795"/>
        <v xml:space="preserve"> </v>
      </c>
      <c r="F10204">
        <v>0.48</v>
      </c>
      <c r="G10204" s="37" t="str">
        <f t="shared" si="796"/>
        <v>Heavy Discount</v>
      </c>
      <c r="H10204" s="37" t="str">
        <f t="shared" si="797"/>
        <v>High</v>
      </c>
      <c r="I10204">
        <v>3</v>
      </c>
      <c r="J10204" t="str" cm="1">
        <f t="array" ref="J10204">_xlfn.IFS(I10204&lt;=3,"small",I10204&lt;=6,"Medium",I10204&lt;=9,"Large")</f>
        <v>small</v>
      </c>
      <c r="K10204" s="36">
        <v>44949</v>
      </c>
      <c r="L10204" s="36">
        <v>44950</v>
      </c>
      <c r="M10204" t="s">
        <v>612</v>
      </c>
      <c r="N10204" t="s">
        <v>608</v>
      </c>
      <c r="O10204" s="37" t="str">
        <f t="shared" si="798"/>
        <v>Cash Payment</v>
      </c>
      <c r="P10204">
        <v>164.02</v>
      </c>
      <c r="Q10204" s="37" t="str">
        <f>IF(P10204&gt;500,"High","low")</f>
        <v>low</v>
      </c>
      <c r="R10204" s="37" t="str">
        <f t="shared" si="799"/>
        <v>AVERAGE</v>
      </c>
      <c r="S10204" t="s">
        <v>605</v>
      </c>
    </row>
    <row r="10205" spans="1:19" x14ac:dyDescent="0.2">
      <c r="A10205" t="s">
        <v>10816</v>
      </c>
      <c r="B10205" t="s">
        <v>75</v>
      </c>
      <c r="C10205" t="s">
        <v>617</v>
      </c>
      <c r="D10205">
        <v>399.77</v>
      </c>
      <c r="E10205" s="37" t="str">
        <f t="shared" si="795"/>
        <v xml:space="preserve"> </v>
      </c>
      <c r="F10205">
        <v>0.24</v>
      </c>
      <c r="G10205" s="37" t="str">
        <f t="shared" si="796"/>
        <v>Normal Discount</v>
      </c>
      <c r="H10205" s="37" t="str">
        <f t="shared" si="797"/>
        <v>Medium</v>
      </c>
      <c r="I10205">
        <v>7</v>
      </c>
      <c r="J10205" t="str" cm="1">
        <f t="array" ref="J10205">_xlfn.IFS(I10205&lt;=3,"small",I10205&lt;=6,"Medium",I10205&lt;=9,"Large")</f>
        <v>Large</v>
      </c>
      <c r="K10205" s="36">
        <v>44933</v>
      </c>
      <c r="L10205" s="36">
        <v>44938</v>
      </c>
      <c r="M10205" t="s">
        <v>603</v>
      </c>
      <c r="N10205" t="s">
        <v>599</v>
      </c>
      <c r="O10205" s="37" t="str">
        <f t="shared" si="798"/>
        <v>Digital Payment</v>
      </c>
      <c r="P10205">
        <v>34.29</v>
      </c>
      <c r="Q10205" s="37" t="str">
        <f>IF(P10205&gt;500,"High","low")</f>
        <v>low</v>
      </c>
      <c r="R10205" s="37" t="str">
        <f t="shared" si="799"/>
        <v>AVERAGE</v>
      </c>
      <c r="S10205" t="s">
        <v>615</v>
      </c>
    </row>
    <row r="10206" spans="1:19" x14ac:dyDescent="0.2">
      <c r="A10206" t="s">
        <v>10817</v>
      </c>
      <c r="B10206" t="s">
        <v>83</v>
      </c>
      <c r="C10206" t="s">
        <v>597</v>
      </c>
      <c r="D10206">
        <v>2696.57</v>
      </c>
      <c r="E10206" s="37" t="str">
        <f t="shared" si="795"/>
        <v xml:space="preserve"> </v>
      </c>
      <c r="F10206">
        <v>0.42</v>
      </c>
      <c r="G10206" s="37" t="str">
        <f t="shared" si="796"/>
        <v>Heavy Discount</v>
      </c>
      <c r="H10206" s="37" t="str">
        <f t="shared" si="797"/>
        <v>High</v>
      </c>
      <c r="I10206">
        <v>5</v>
      </c>
      <c r="J10206" t="str" cm="1">
        <f t="array" ref="J10206">_xlfn.IFS(I10206&lt;=3,"small",I10206&lt;=6,"Medium",I10206&lt;=9,"Large")</f>
        <v>Medium</v>
      </c>
      <c r="K10206" s="36">
        <v>45414</v>
      </c>
      <c r="L10206" s="36">
        <v>45421</v>
      </c>
      <c r="M10206" t="s">
        <v>598</v>
      </c>
      <c r="N10206" t="s">
        <v>604</v>
      </c>
      <c r="O10206" s="37" t="str">
        <f t="shared" si="798"/>
        <v>Digital Payment</v>
      </c>
      <c r="P10206">
        <v>742.05</v>
      </c>
      <c r="Q10206" s="37" t="str">
        <f>IF(P10206&gt;500,"High","low")</f>
        <v>High</v>
      </c>
      <c r="R10206" s="37" t="str">
        <f t="shared" si="799"/>
        <v>Good</v>
      </c>
      <c r="S10206" t="s">
        <v>620</v>
      </c>
    </row>
    <row r="10207" spans="1:19" x14ac:dyDescent="0.2">
      <c r="A10207" t="s">
        <v>10818</v>
      </c>
      <c r="B10207" t="s">
        <v>83</v>
      </c>
      <c r="C10207" t="s">
        <v>607</v>
      </c>
      <c r="D10207">
        <v>2502.23</v>
      </c>
      <c r="E10207" s="37" t="str">
        <f t="shared" si="795"/>
        <v xml:space="preserve"> </v>
      </c>
      <c r="F10207">
        <v>0.38</v>
      </c>
      <c r="G10207" s="37" t="str">
        <f t="shared" si="796"/>
        <v>Heavy Discount</v>
      </c>
      <c r="H10207" s="37" t="str">
        <f t="shared" si="797"/>
        <v>Medium</v>
      </c>
      <c r="I10207">
        <v>6</v>
      </c>
      <c r="J10207" t="str" cm="1">
        <f t="array" ref="J10207">_xlfn.IFS(I10207&lt;=3,"small",I10207&lt;=6,"Medium",I10207&lt;=9,"Large")</f>
        <v>Medium</v>
      </c>
      <c r="K10207" s="36">
        <v>45238</v>
      </c>
      <c r="L10207" s="36">
        <v>45244</v>
      </c>
      <c r="M10207" t="s">
        <v>598</v>
      </c>
      <c r="N10207" t="s">
        <v>604</v>
      </c>
      <c r="O10207" s="37" t="str">
        <f t="shared" si="798"/>
        <v>Digital Payment</v>
      </c>
      <c r="P10207">
        <v>549.83000000000004</v>
      </c>
      <c r="Q10207" s="37" t="str">
        <f>IF(P10207&gt;500,"High","low")</f>
        <v>High</v>
      </c>
      <c r="R10207" s="37" t="str">
        <f t="shared" si="799"/>
        <v>Good</v>
      </c>
      <c r="S10207" t="s">
        <v>605</v>
      </c>
    </row>
    <row r="10208" spans="1:19" x14ac:dyDescent="0.2">
      <c r="A10208" t="s">
        <v>10819</v>
      </c>
      <c r="B10208" t="s">
        <v>83</v>
      </c>
      <c r="C10208" t="s">
        <v>607</v>
      </c>
      <c r="D10208">
        <v>131</v>
      </c>
      <c r="E10208" s="37" t="str">
        <f t="shared" si="795"/>
        <v xml:space="preserve"> </v>
      </c>
      <c r="F10208">
        <v>0.25</v>
      </c>
      <c r="G10208" s="37" t="str">
        <f t="shared" si="796"/>
        <v>Normal Discount</v>
      </c>
      <c r="H10208" s="37" t="str">
        <f t="shared" si="797"/>
        <v>Medium</v>
      </c>
      <c r="I10208">
        <v>7</v>
      </c>
      <c r="J10208" t="str" cm="1">
        <f t="array" ref="J10208">_xlfn.IFS(I10208&lt;=3,"small",I10208&lt;=6,"Medium",I10208&lt;=9,"Large")</f>
        <v>Large</v>
      </c>
      <c r="K10208" s="36">
        <v>45588</v>
      </c>
      <c r="L10208" s="36">
        <v>45591</v>
      </c>
      <c r="M10208" t="s">
        <v>598</v>
      </c>
      <c r="N10208" t="s">
        <v>599</v>
      </c>
      <c r="O10208" s="37" t="str">
        <f t="shared" si="798"/>
        <v>Digital Payment</v>
      </c>
      <c r="P10208">
        <v>33.46</v>
      </c>
      <c r="Q10208" s="37" t="str">
        <f>IF(P10208&gt;500,"High","low")</f>
        <v>low</v>
      </c>
      <c r="R10208" s="37" t="str">
        <f t="shared" si="799"/>
        <v>AVERAGE</v>
      </c>
      <c r="S10208" t="s">
        <v>609</v>
      </c>
    </row>
    <row r="10209" spans="1:19" x14ac:dyDescent="0.2">
      <c r="A10209" t="s">
        <v>10820</v>
      </c>
      <c r="B10209" t="s">
        <v>83</v>
      </c>
      <c r="C10209" t="s">
        <v>602</v>
      </c>
      <c r="D10209">
        <v>2464.33</v>
      </c>
      <c r="E10209" s="37" t="str">
        <f t="shared" si="795"/>
        <v xml:space="preserve"> </v>
      </c>
      <c r="F10209">
        <v>0.26</v>
      </c>
      <c r="G10209" s="37" t="str">
        <f t="shared" si="796"/>
        <v>Normal Discount</v>
      </c>
      <c r="H10209" s="37" t="str">
        <f t="shared" si="797"/>
        <v>Medium</v>
      </c>
      <c r="I10209">
        <v>2</v>
      </c>
      <c r="J10209" t="str" cm="1">
        <f t="array" ref="J10209">_xlfn.IFS(I10209&lt;=3,"small",I10209&lt;=6,"Medium",I10209&lt;=9,"Large")</f>
        <v>small</v>
      </c>
      <c r="K10209" s="36">
        <v>45531</v>
      </c>
      <c r="L10209" s="36">
        <v>45532</v>
      </c>
      <c r="M10209" t="s">
        <v>612</v>
      </c>
      <c r="N10209" t="s">
        <v>608</v>
      </c>
      <c r="O10209" s="37" t="str">
        <f t="shared" si="798"/>
        <v>Cash Payment</v>
      </c>
      <c r="P10209">
        <v>184.64</v>
      </c>
      <c r="Q10209" s="37" t="str">
        <f>IF(P10209&gt;500,"High","low")</f>
        <v>low</v>
      </c>
      <c r="R10209" s="37" t="str">
        <f t="shared" si="799"/>
        <v>AVERAGE</v>
      </c>
      <c r="S10209" t="s">
        <v>605</v>
      </c>
    </row>
    <row r="10210" spans="1:19" x14ac:dyDescent="0.2">
      <c r="A10210" t="s">
        <v>10821</v>
      </c>
      <c r="B10210" t="s">
        <v>67</v>
      </c>
      <c r="C10210" t="s">
        <v>602</v>
      </c>
      <c r="D10210">
        <v>2647.05</v>
      </c>
      <c r="E10210" s="37" t="str">
        <f t="shared" si="795"/>
        <v xml:space="preserve"> </v>
      </c>
      <c r="F10210">
        <v>0.22</v>
      </c>
      <c r="G10210" s="37" t="str">
        <f t="shared" si="796"/>
        <v>Normal Discount</v>
      </c>
      <c r="H10210" s="37" t="str">
        <f t="shared" si="797"/>
        <v>Medium</v>
      </c>
      <c r="I10210">
        <v>4</v>
      </c>
      <c r="J10210" t="str" cm="1">
        <f t="array" ref="J10210">_xlfn.IFS(I10210&lt;=3,"small",I10210&lt;=6,"Medium",I10210&lt;=9,"Large")</f>
        <v>Medium</v>
      </c>
      <c r="K10210" s="36">
        <v>45330</v>
      </c>
      <c r="L10210" s="36">
        <v>45336</v>
      </c>
      <c r="M10210" t="s">
        <v>603</v>
      </c>
      <c r="N10210" t="s">
        <v>608</v>
      </c>
      <c r="O10210" s="37" t="str">
        <f t="shared" si="798"/>
        <v>Cash Payment</v>
      </c>
      <c r="P10210">
        <v>245.94</v>
      </c>
      <c r="Q10210" s="37" t="str">
        <f>IF(P10210&gt;500,"High","low")</f>
        <v>low</v>
      </c>
      <c r="R10210" s="37" t="str">
        <f t="shared" si="799"/>
        <v>AVERAGE</v>
      </c>
      <c r="S10210" t="s">
        <v>620</v>
      </c>
    </row>
    <row r="10211" spans="1:19" x14ac:dyDescent="0.2">
      <c r="A10211" t="s">
        <v>10822</v>
      </c>
      <c r="B10211" t="s">
        <v>67</v>
      </c>
      <c r="C10211" t="s">
        <v>597</v>
      </c>
      <c r="D10211">
        <v>3067.95</v>
      </c>
      <c r="E10211" s="37" t="str">
        <f t="shared" si="795"/>
        <v xml:space="preserve"> </v>
      </c>
      <c r="F10211">
        <v>0.13</v>
      </c>
      <c r="G10211" s="37" t="str">
        <f t="shared" si="796"/>
        <v>Normal Discount</v>
      </c>
      <c r="H10211" s="37" t="str">
        <f t="shared" si="797"/>
        <v>Low</v>
      </c>
      <c r="I10211">
        <v>6</v>
      </c>
      <c r="J10211" t="str" cm="1">
        <f t="array" ref="J10211">_xlfn.IFS(I10211&lt;=3,"small",I10211&lt;=6,"Medium",I10211&lt;=9,"Large")</f>
        <v>Medium</v>
      </c>
      <c r="K10211" s="36">
        <v>45469</v>
      </c>
      <c r="L10211" s="36">
        <v>45472</v>
      </c>
      <c r="M10211" t="s">
        <v>612</v>
      </c>
      <c r="N10211" t="s">
        <v>599</v>
      </c>
      <c r="O10211" s="37" t="str">
        <f t="shared" si="798"/>
        <v>Digital Payment</v>
      </c>
      <c r="P10211">
        <v>179.96</v>
      </c>
      <c r="Q10211" s="37" t="str">
        <f>IF(P10211&gt;500,"High","low")</f>
        <v>low</v>
      </c>
      <c r="R10211" s="37" t="str">
        <f t="shared" si="799"/>
        <v>AVERAGE</v>
      </c>
      <c r="S10211" t="s">
        <v>609</v>
      </c>
    </row>
    <row r="10212" spans="1:19" x14ac:dyDescent="0.2">
      <c r="A10212" t="s">
        <v>10823</v>
      </c>
      <c r="B10212" t="s">
        <v>75</v>
      </c>
      <c r="C10212" t="s">
        <v>614</v>
      </c>
      <c r="D10212">
        <v>4853.49</v>
      </c>
      <c r="E10212" s="37" t="str">
        <f t="shared" si="795"/>
        <v xml:space="preserve"> </v>
      </c>
      <c r="F10212">
        <v>0.43</v>
      </c>
      <c r="G10212" s="37" t="str">
        <f t="shared" si="796"/>
        <v>Heavy Discount</v>
      </c>
      <c r="H10212" s="37" t="str">
        <f t="shared" si="797"/>
        <v>High</v>
      </c>
      <c r="I10212">
        <v>3</v>
      </c>
      <c r="J10212" t="str" cm="1">
        <f t="array" ref="J10212">_xlfn.IFS(I10212&lt;=3,"small",I10212&lt;=6,"Medium",I10212&lt;=9,"Large")</f>
        <v>small</v>
      </c>
      <c r="K10212" s="36">
        <v>45401</v>
      </c>
      <c r="L10212" s="36">
        <v>45404</v>
      </c>
      <c r="M10212" t="s">
        <v>603</v>
      </c>
      <c r="N10212" t="s">
        <v>599</v>
      </c>
      <c r="O10212" s="37" t="str">
        <f t="shared" si="798"/>
        <v>Digital Payment</v>
      </c>
      <c r="P10212">
        <v>784.27</v>
      </c>
      <c r="Q10212" s="37" t="str">
        <f>IF(P10212&gt;500,"High","low")</f>
        <v>High</v>
      </c>
      <c r="R10212" s="37" t="str">
        <f t="shared" si="799"/>
        <v>Good</v>
      </c>
      <c r="S10212" t="s">
        <v>605</v>
      </c>
    </row>
    <row r="10213" spans="1:19" x14ac:dyDescent="0.2">
      <c r="A10213" t="s">
        <v>10824</v>
      </c>
      <c r="B10213" t="s">
        <v>83</v>
      </c>
      <c r="C10213" t="s">
        <v>614</v>
      </c>
      <c r="D10213">
        <v>4915.1899999999996</v>
      </c>
      <c r="E10213" s="37" t="str">
        <f t="shared" si="795"/>
        <v xml:space="preserve"> </v>
      </c>
      <c r="F10213">
        <v>0.1</v>
      </c>
      <c r="G10213" s="37" t="str">
        <f t="shared" si="796"/>
        <v>Normal Discount</v>
      </c>
      <c r="H10213" s="37" t="str">
        <f t="shared" si="797"/>
        <v>Low</v>
      </c>
      <c r="I10213">
        <v>6</v>
      </c>
      <c r="J10213" t="str" cm="1">
        <f t="array" ref="J10213">_xlfn.IFS(I10213&lt;=3,"small",I10213&lt;=6,"Medium",I10213&lt;=9,"Large")</f>
        <v>Medium</v>
      </c>
      <c r="K10213" s="36">
        <v>45543</v>
      </c>
      <c r="L10213" s="36">
        <v>45550</v>
      </c>
      <c r="M10213" t="s">
        <v>598</v>
      </c>
      <c r="N10213" t="s">
        <v>608</v>
      </c>
      <c r="O10213" s="37" t="str">
        <f t="shared" si="798"/>
        <v>Cash Payment</v>
      </c>
      <c r="P10213">
        <v>780.2</v>
      </c>
      <c r="Q10213" s="37" t="str">
        <f>IF(P10213&gt;500,"High","low")</f>
        <v>High</v>
      </c>
      <c r="R10213" s="37" t="str">
        <f t="shared" si="799"/>
        <v>Good</v>
      </c>
      <c r="S10213" t="s">
        <v>605</v>
      </c>
    </row>
    <row r="10214" spans="1:19" x14ac:dyDescent="0.2">
      <c r="A10214" t="s">
        <v>10825</v>
      </c>
      <c r="B10214" t="s">
        <v>67</v>
      </c>
      <c r="C10214" t="s">
        <v>617</v>
      </c>
      <c r="D10214">
        <v>2681.95</v>
      </c>
      <c r="E10214" s="37" t="str">
        <f t="shared" si="795"/>
        <v xml:space="preserve"> </v>
      </c>
      <c r="F10214">
        <v>0.45</v>
      </c>
      <c r="G10214" s="37" t="str">
        <f t="shared" si="796"/>
        <v>Heavy Discount</v>
      </c>
      <c r="H10214" s="37" t="str">
        <f t="shared" si="797"/>
        <v>High</v>
      </c>
      <c r="I10214">
        <v>1</v>
      </c>
      <c r="J10214" t="str" cm="1">
        <f t="array" ref="J10214">_xlfn.IFS(I10214&lt;=3,"small",I10214&lt;=6,"Medium",I10214&lt;=9,"Large")</f>
        <v>small</v>
      </c>
      <c r="K10214" s="36">
        <v>45411</v>
      </c>
      <c r="L10214" s="36">
        <v>45414</v>
      </c>
      <c r="M10214" t="s">
        <v>598</v>
      </c>
      <c r="N10214" t="s">
        <v>599</v>
      </c>
      <c r="O10214" s="37" t="str">
        <f t="shared" si="798"/>
        <v>Digital Payment</v>
      </c>
      <c r="P10214">
        <v>692.89</v>
      </c>
      <c r="Q10214" s="37" t="str">
        <f>IF(P10214&gt;500,"High","low")</f>
        <v>High</v>
      </c>
      <c r="R10214" s="37" t="str">
        <f t="shared" si="799"/>
        <v>Good</v>
      </c>
      <c r="S10214" t="s">
        <v>605</v>
      </c>
    </row>
    <row r="10215" spans="1:19" x14ac:dyDescent="0.2">
      <c r="A10215" t="s">
        <v>10826</v>
      </c>
      <c r="B10215" t="s">
        <v>75</v>
      </c>
      <c r="C10215" t="s">
        <v>614</v>
      </c>
      <c r="D10215">
        <v>4241.41</v>
      </c>
      <c r="E10215" s="37" t="str">
        <f t="shared" si="795"/>
        <v xml:space="preserve"> </v>
      </c>
      <c r="F10215">
        <v>0.18</v>
      </c>
      <c r="G10215" s="37" t="str">
        <f t="shared" si="796"/>
        <v>Normal Discount</v>
      </c>
      <c r="H10215" s="37" t="str">
        <f t="shared" si="797"/>
        <v>Low</v>
      </c>
      <c r="I10215">
        <v>8</v>
      </c>
      <c r="J10215" t="str" cm="1">
        <f t="array" ref="J10215">_xlfn.IFS(I10215&lt;=3,"small",I10215&lt;=6,"Medium",I10215&lt;=9,"Large")</f>
        <v>Large</v>
      </c>
      <c r="K10215" s="36">
        <v>45383</v>
      </c>
      <c r="L10215" s="36">
        <v>45388</v>
      </c>
      <c r="M10215" t="s">
        <v>603</v>
      </c>
      <c r="N10215" t="s">
        <v>599</v>
      </c>
      <c r="O10215" s="37" t="str">
        <f t="shared" si="798"/>
        <v>Digital Payment</v>
      </c>
      <c r="P10215">
        <v>243.25</v>
      </c>
      <c r="Q10215" s="37" t="str">
        <f>IF(P10215&gt;500,"High","low")</f>
        <v>low</v>
      </c>
      <c r="R10215" s="37" t="str">
        <f t="shared" si="799"/>
        <v>AVERAGE</v>
      </c>
      <c r="S10215" t="s">
        <v>600</v>
      </c>
    </row>
    <row r="10216" spans="1:19" x14ac:dyDescent="0.2">
      <c r="A10216" t="s">
        <v>10827</v>
      </c>
      <c r="B10216" t="s">
        <v>83</v>
      </c>
      <c r="C10216" t="s">
        <v>602</v>
      </c>
      <c r="D10216">
        <v>517.30999999999995</v>
      </c>
      <c r="E10216" s="37" t="str">
        <f t="shared" si="795"/>
        <v xml:space="preserve"> </v>
      </c>
      <c r="F10216">
        <v>0.01</v>
      </c>
      <c r="G10216" s="37" t="str">
        <f t="shared" si="796"/>
        <v>Normal Discount</v>
      </c>
      <c r="H10216" s="37" t="str">
        <f t="shared" si="797"/>
        <v>Low</v>
      </c>
      <c r="I10216">
        <v>5</v>
      </c>
      <c r="J10216" t="str" cm="1">
        <f t="array" ref="J10216">_xlfn.IFS(I10216&lt;=3,"small",I10216&lt;=6,"Medium",I10216&lt;=9,"Large")</f>
        <v>Medium</v>
      </c>
      <c r="K10216" s="36">
        <v>45271</v>
      </c>
      <c r="L10216" s="36">
        <v>45276</v>
      </c>
      <c r="M10216" t="s">
        <v>598</v>
      </c>
      <c r="N10216" t="s">
        <v>599</v>
      </c>
      <c r="O10216" s="37" t="str">
        <f t="shared" si="798"/>
        <v>Digital Payment</v>
      </c>
      <c r="P10216">
        <v>92.7</v>
      </c>
      <c r="Q10216" s="37" t="str">
        <f>IF(P10216&gt;500,"High","low")</f>
        <v>low</v>
      </c>
      <c r="R10216" s="37" t="str">
        <f t="shared" si="799"/>
        <v>AVERAGE</v>
      </c>
      <c r="S10216" t="s">
        <v>615</v>
      </c>
    </row>
    <row r="10217" spans="1:19" x14ac:dyDescent="0.2">
      <c r="A10217" t="s">
        <v>10828</v>
      </c>
      <c r="B10217" t="s">
        <v>90</v>
      </c>
      <c r="C10217" t="s">
        <v>614</v>
      </c>
      <c r="D10217">
        <v>2702.66</v>
      </c>
      <c r="E10217" s="37" t="str">
        <f t="shared" si="795"/>
        <v xml:space="preserve"> </v>
      </c>
      <c r="F10217">
        <v>0.08</v>
      </c>
      <c r="G10217" s="37" t="str">
        <f t="shared" si="796"/>
        <v>Normal Discount</v>
      </c>
      <c r="H10217" s="37" t="str">
        <f t="shared" si="797"/>
        <v>Low</v>
      </c>
      <c r="I10217">
        <v>1</v>
      </c>
      <c r="J10217" t="str" cm="1">
        <f t="array" ref="J10217">_xlfn.IFS(I10217&lt;=3,"small",I10217&lt;=6,"Medium",I10217&lt;=9,"Large")</f>
        <v>small</v>
      </c>
      <c r="K10217" s="36">
        <v>45566</v>
      </c>
      <c r="L10217" s="36">
        <v>45570</v>
      </c>
      <c r="M10217" t="s">
        <v>603</v>
      </c>
      <c r="N10217" t="s">
        <v>599</v>
      </c>
      <c r="O10217" s="37" t="str">
        <f t="shared" si="798"/>
        <v>Digital Payment</v>
      </c>
      <c r="P10217">
        <v>635.78</v>
      </c>
      <c r="Q10217" s="37" t="str">
        <f>IF(P10217&gt;500,"High","low")</f>
        <v>High</v>
      </c>
      <c r="R10217" s="37" t="str">
        <f t="shared" si="799"/>
        <v>Good</v>
      </c>
      <c r="S10217" t="s">
        <v>628</v>
      </c>
    </row>
    <row r="10218" spans="1:19" x14ac:dyDescent="0.2">
      <c r="A10218" t="s">
        <v>10829</v>
      </c>
      <c r="B10218" t="s">
        <v>67</v>
      </c>
      <c r="C10218" t="s">
        <v>617</v>
      </c>
      <c r="D10218">
        <v>3426.61</v>
      </c>
      <c r="E10218" s="37" t="str">
        <f t="shared" si="795"/>
        <v xml:space="preserve"> </v>
      </c>
      <c r="F10218">
        <v>0.44</v>
      </c>
      <c r="G10218" s="37" t="str">
        <f t="shared" si="796"/>
        <v>Heavy Discount</v>
      </c>
      <c r="H10218" s="37" t="str">
        <f t="shared" si="797"/>
        <v>High</v>
      </c>
      <c r="I10218">
        <v>1</v>
      </c>
      <c r="J10218" t="str" cm="1">
        <f t="array" ref="J10218">_xlfn.IFS(I10218&lt;=3,"small",I10218&lt;=6,"Medium",I10218&lt;=9,"Large")</f>
        <v>small</v>
      </c>
      <c r="K10218" s="36">
        <v>44968</v>
      </c>
      <c r="L10218" s="36">
        <v>44971</v>
      </c>
      <c r="M10218" t="s">
        <v>612</v>
      </c>
      <c r="N10218" t="s">
        <v>608</v>
      </c>
      <c r="O10218" s="37" t="str">
        <f t="shared" si="798"/>
        <v>Cash Payment</v>
      </c>
      <c r="P10218">
        <v>717.97</v>
      </c>
      <c r="Q10218" s="37" t="str">
        <f>IF(P10218&gt;500,"High","low")</f>
        <v>High</v>
      </c>
      <c r="R10218" s="37" t="str">
        <f t="shared" si="799"/>
        <v>Good</v>
      </c>
      <c r="S10218" t="s">
        <v>620</v>
      </c>
    </row>
    <row r="10219" spans="1:19" x14ac:dyDescent="0.2">
      <c r="A10219" t="s">
        <v>10830</v>
      </c>
      <c r="B10219" t="s">
        <v>75</v>
      </c>
      <c r="C10219" t="s">
        <v>607</v>
      </c>
      <c r="D10219">
        <v>2867.17</v>
      </c>
      <c r="E10219" s="37" t="str">
        <f t="shared" si="795"/>
        <v xml:space="preserve"> </v>
      </c>
      <c r="F10219">
        <v>0.06</v>
      </c>
      <c r="G10219" s="37" t="str">
        <f t="shared" si="796"/>
        <v>Normal Discount</v>
      </c>
      <c r="H10219" s="37" t="str">
        <f t="shared" si="797"/>
        <v>Low</v>
      </c>
      <c r="I10219">
        <v>3</v>
      </c>
      <c r="J10219" t="str" cm="1">
        <f t="array" ref="J10219">_xlfn.IFS(I10219&lt;=3,"small",I10219&lt;=6,"Medium",I10219&lt;=9,"Large")</f>
        <v>small</v>
      </c>
      <c r="K10219" s="36">
        <v>45540</v>
      </c>
      <c r="L10219" s="36">
        <v>45541</v>
      </c>
      <c r="M10219" t="s">
        <v>603</v>
      </c>
      <c r="N10219" t="s">
        <v>608</v>
      </c>
      <c r="O10219" s="37" t="str">
        <f t="shared" si="798"/>
        <v>Cash Payment</v>
      </c>
      <c r="P10219">
        <v>834.7</v>
      </c>
      <c r="Q10219" s="37" t="str">
        <f>IF(P10219&gt;500,"High","low")</f>
        <v>High</v>
      </c>
      <c r="R10219" s="37" t="str">
        <f t="shared" si="799"/>
        <v>Good</v>
      </c>
      <c r="S10219" t="s">
        <v>615</v>
      </c>
    </row>
    <row r="10220" spans="1:19" x14ac:dyDescent="0.2">
      <c r="A10220" t="s">
        <v>10831</v>
      </c>
      <c r="B10220" t="s">
        <v>90</v>
      </c>
      <c r="C10220" t="s">
        <v>614</v>
      </c>
      <c r="D10220">
        <v>1230.53</v>
      </c>
      <c r="E10220" s="37" t="str">
        <f t="shared" si="795"/>
        <v xml:space="preserve"> </v>
      </c>
      <c r="F10220">
        <v>0.37</v>
      </c>
      <c r="G10220" s="37" t="str">
        <f t="shared" si="796"/>
        <v>Heavy Discount</v>
      </c>
      <c r="H10220" s="37" t="str">
        <f t="shared" si="797"/>
        <v>Medium</v>
      </c>
      <c r="I10220">
        <v>6</v>
      </c>
      <c r="J10220" t="str" cm="1">
        <f t="array" ref="J10220">_xlfn.IFS(I10220&lt;=3,"small",I10220&lt;=6,"Medium",I10220&lt;=9,"Large")</f>
        <v>Medium</v>
      </c>
      <c r="K10220" s="36">
        <v>45151</v>
      </c>
      <c r="L10220" s="36">
        <v>45157</v>
      </c>
      <c r="M10220" t="s">
        <v>612</v>
      </c>
      <c r="N10220" t="s">
        <v>608</v>
      </c>
      <c r="O10220" s="37" t="str">
        <f t="shared" si="798"/>
        <v>Cash Payment</v>
      </c>
      <c r="P10220">
        <v>332.29</v>
      </c>
      <c r="Q10220" s="37" t="str">
        <f>IF(P10220&gt;500,"High","low")</f>
        <v>low</v>
      </c>
      <c r="R10220" s="37" t="str">
        <f t="shared" si="799"/>
        <v>AVERAGE</v>
      </c>
      <c r="S10220" t="s">
        <v>628</v>
      </c>
    </row>
    <row r="10221" spans="1:19" x14ac:dyDescent="0.2">
      <c r="A10221" t="s">
        <v>10832</v>
      </c>
      <c r="B10221" t="s">
        <v>83</v>
      </c>
      <c r="C10221" t="s">
        <v>614</v>
      </c>
      <c r="D10221">
        <v>407.02</v>
      </c>
      <c r="E10221" s="37" t="str">
        <f t="shared" si="795"/>
        <v xml:space="preserve"> </v>
      </c>
      <c r="F10221">
        <v>0.09</v>
      </c>
      <c r="G10221" s="37" t="str">
        <f t="shared" si="796"/>
        <v>Normal Discount</v>
      </c>
      <c r="H10221" s="37" t="str">
        <f t="shared" si="797"/>
        <v>Low</v>
      </c>
      <c r="I10221">
        <v>2</v>
      </c>
      <c r="J10221" t="str" cm="1">
        <f t="array" ref="J10221">_xlfn.IFS(I10221&lt;=3,"small",I10221&lt;=6,"Medium",I10221&lt;=9,"Large")</f>
        <v>small</v>
      </c>
      <c r="K10221" s="36">
        <v>45451</v>
      </c>
      <c r="L10221" s="36">
        <v>45453</v>
      </c>
      <c r="M10221" t="s">
        <v>598</v>
      </c>
      <c r="N10221" t="s">
        <v>604</v>
      </c>
      <c r="O10221" s="37" t="str">
        <f t="shared" si="798"/>
        <v>Digital Payment</v>
      </c>
      <c r="P10221">
        <v>37.94</v>
      </c>
      <c r="Q10221" s="37" t="str">
        <f>IF(P10221&gt;500,"High","low")</f>
        <v>low</v>
      </c>
      <c r="R10221" s="37" t="str">
        <f t="shared" si="799"/>
        <v>AVERAGE</v>
      </c>
      <c r="S10221" t="s">
        <v>609</v>
      </c>
    </row>
    <row r="10222" spans="1:19" x14ac:dyDescent="0.2">
      <c r="A10222" t="s">
        <v>10833</v>
      </c>
      <c r="B10222" t="s">
        <v>83</v>
      </c>
      <c r="C10222" t="s">
        <v>602</v>
      </c>
      <c r="D10222">
        <v>1994.68</v>
      </c>
      <c r="E10222" s="37" t="str">
        <f t="shared" si="795"/>
        <v xml:space="preserve"> </v>
      </c>
      <c r="F10222">
        <v>0.25</v>
      </c>
      <c r="G10222" s="37" t="str">
        <f t="shared" si="796"/>
        <v>Normal Discount</v>
      </c>
      <c r="H10222" s="37" t="str">
        <f t="shared" si="797"/>
        <v>Medium</v>
      </c>
      <c r="I10222">
        <v>8</v>
      </c>
      <c r="J10222" t="str" cm="1">
        <f t="array" ref="J10222">_xlfn.IFS(I10222&lt;=3,"small",I10222&lt;=6,"Medium",I10222&lt;=9,"Large")</f>
        <v>Large</v>
      </c>
      <c r="K10222" s="36">
        <v>45539</v>
      </c>
      <c r="L10222" s="36">
        <v>45542</v>
      </c>
      <c r="M10222" t="s">
        <v>598</v>
      </c>
      <c r="N10222" t="s">
        <v>608</v>
      </c>
      <c r="O10222" s="37" t="str">
        <f t="shared" si="798"/>
        <v>Cash Payment</v>
      </c>
      <c r="P10222">
        <v>295.35000000000002</v>
      </c>
      <c r="Q10222" s="37" t="str">
        <f>IF(P10222&gt;500,"High","low")</f>
        <v>low</v>
      </c>
      <c r="R10222" s="37" t="str">
        <f t="shared" si="799"/>
        <v>AVERAGE</v>
      </c>
      <c r="S10222" t="s">
        <v>615</v>
      </c>
    </row>
    <row r="10223" spans="1:19" x14ac:dyDescent="0.2">
      <c r="A10223" t="s">
        <v>10834</v>
      </c>
      <c r="B10223" t="s">
        <v>83</v>
      </c>
      <c r="C10223" t="s">
        <v>597</v>
      </c>
      <c r="D10223">
        <v>3273.45</v>
      </c>
      <c r="E10223" s="37" t="str">
        <f t="shared" si="795"/>
        <v xml:space="preserve"> </v>
      </c>
      <c r="F10223">
        <v>0.1</v>
      </c>
      <c r="G10223" s="37" t="str">
        <f t="shared" si="796"/>
        <v>Normal Discount</v>
      </c>
      <c r="H10223" s="37" t="str">
        <f t="shared" si="797"/>
        <v>Low</v>
      </c>
      <c r="I10223">
        <v>7</v>
      </c>
      <c r="J10223" t="str" cm="1">
        <f t="array" ref="J10223">_xlfn.IFS(I10223&lt;=3,"small",I10223&lt;=6,"Medium",I10223&lt;=9,"Large")</f>
        <v>Large</v>
      </c>
      <c r="K10223" s="36">
        <v>45518</v>
      </c>
      <c r="L10223" s="36">
        <v>45522</v>
      </c>
      <c r="M10223" t="s">
        <v>603</v>
      </c>
      <c r="N10223" t="s">
        <v>599</v>
      </c>
      <c r="O10223" s="37" t="str">
        <f t="shared" si="798"/>
        <v>Digital Payment</v>
      </c>
      <c r="P10223">
        <v>774.81</v>
      </c>
      <c r="Q10223" s="37" t="str">
        <f>IF(P10223&gt;500,"High","low")</f>
        <v>High</v>
      </c>
      <c r="R10223" s="37" t="str">
        <f t="shared" si="799"/>
        <v>Good</v>
      </c>
      <c r="S10223" t="s">
        <v>605</v>
      </c>
    </row>
    <row r="10224" spans="1:19" x14ac:dyDescent="0.2">
      <c r="A10224" t="s">
        <v>10835</v>
      </c>
      <c r="B10224" t="s">
        <v>67</v>
      </c>
      <c r="C10224" t="s">
        <v>607</v>
      </c>
      <c r="D10224">
        <v>4959.3900000000003</v>
      </c>
      <c r="E10224" s="37" t="str">
        <f t="shared" si="795"/>
        <v xml:space="preserve"> </v>
      </c>
      <c r="F10224">
        <v>0.17</v>
      </c>
      <c r="G10224" s="37" t="str">
        <f t="shared" si="796"/>
        <v>Normal Discount</v>
      </c>
      <c r="H10224" s="37" t="str">
        <f t="shared" si="797"/>
        <v>Low</v>
      </c>
      <c r="I10224">
        <v>2</v>
      </c>
      <c r="J10224" t="str" cm="1">
        <f t="array" ref="J10224">_xlfn.IFS(I10224&lt;=3,"small",I10224&lt;=6,"Medium",I10224&lt;=9,"Large")</f>
        <v>small</v>
      </c>
      <c r="K10224" s="36">
        <v>44973</v>
      </c>
      <c r="L10224" s="36">
        <v>44979</v>
      </c>
      <c r="M10224" t="s">
        <v>603</v>
      </c>
      <c r="N10224" t="s">
        <v>604</v>
      </c>
      <c r="O10224" s="37" t="str">
        <f t="shared" si="798"/>
        <v>Digital Payment</v>
      </c>
      <c r="P10224">
        <v>770.39</v>
      </c>
      <c r="Q10224" s="37" t="str">
        <f>IF(P10224&gt;500,"High","low")</f>
        <v>High</v>
      </c>
      <c r="R10224" s="37" t="str">
        <f t="shared" si="799"/>
        <v>Good</v>
      </c>
      <c r="S10224" t="s">
        <v>620</v>
      </c>
    </row>
    <row r="10225" spans="1:19" x14ac:dyDescent="0.2">
      <c r="A10225" t="s">
        <v>10836</v>
      </c>
      <c r="B10225" t="s">
        <v>75</v>
      </c>
      <c r="C10225" t="s">
        <v>597</v>
      </c>
      <c r="D10225">
        <v>1259.01</v>
      </c>
      <c r="E10225" s="37" t="str">
        <f t="shared" si="795"/>
        <v xml:space="preserve"> </v>
      </c>
      <c r="F10225">
        <v>0.06</v>
      </c>
      <c r="G10225" s="37" t="str">
        <f t="shared" si="796"/>
        <v>Normal Discount</v>
      </c>
      <c r="H10225" s="37" t="str">
        <f t="shared" si="797"/>
        <v>Low</v>
      </c>
      <c r="I10225">
        <v>1</v>
      </c>
      <c r="J10225" t="str" cm="1">
        <f t="array" ref="J10225">_xlfn.IFS(I10225&lt;=3,"small",I10225&lt;=6,"Medium",I10225&lt;=9,"Large")</f>
        <v>small</v>
      </c>
      <c r="K10225" s="36">
        <v>45367</v>
      </c>
      <c r="L10225" s="36">
        <v>45373</v>
      </c>
      <c r="M10225" t="s">
        <v>603</v>
      </c>
      <c r="N10225" t="s">
        <v>604</v>
      </c>
      <c r="O10225" s="37" t="str">
        <f t="shared" si="798"/>
        <v>Digital Payment</v>
      </c>
      <c r="P10225">
        <v>196.03</v>
      </c>
      <c r="Q10225" s="37" t="str">
        <f>IF(P10225&gt;500,"High","low")</f>
        <v>low</v>
      </c>
      <c r="R10225" s="37" t="str">
        <f t="shared" si="799"/>
        <v>AVERAGE</v>
      </c>
      <c r="S10225" t="s">
        <v>620</v>
      </c>
    </row>
    <row r="10226" spans="1:19" x14ac:dyDescent="0.2">
      <c r="A10226" t="s">
        <v>10837</v>
      </c>
      <c r="B10226" t="s">
        <v>90</v>
      </c>
      <c r="C10226" t="s">
        <v>617</v>
      </c>
      <c r="D10226">
        <v>4597.17</v>
      </c>
      <c r="E10226" s="37" t="str">
        <f t="shared" si="795"/>
        <v xml:space="preserve"> </v>
      </c>
      <c r="F10226">
        <v>0.28000000000000003</v>
      </c>
      <c r="G10226" s="37" t="str">
        <f t="shared" si="796"/>
        <v>Normal Discount</v>
      </c>
      <c r="H10226" s="37" t="str">
        <f t="shared" si="797"/>
        <v>Medium</v>
      </c>
      <c r="I10226">
        <v>7</v>
      </c>
      <c r="J10226" t="str" cm="1">
        <f t="array" ref="J10226">_xlfn.IFS(I10226&lt;=3,"small",I10226&lt;=6,"Medium",I10226&lt;=9,"Large")</f>
        <v>Large</v>
      </c>
      <c r="K10226" s="36">
        <v>45541</v>
      </c>
      <c r="L10226" s="36">
        <v>45548</v>
      </c>
      <c r="M10226" t="s">
        <v>598</v>
      </c>
      <c r="N10226" t="s">
        <v>604</v>
      </c>
      <c r="O10226" s="37" t="str">
        <f t="shared" si="798"/>
        <v>Digital Payment</v>
      </c>
      <c r="P10226">
        <v>474.45</v>
      </c>
      <c r="Q10226" s="37" t="str">
        <f>IF(P10226&gt;500,"High","low")</f>
        <v>low</v>
      </c>
      <c r="R10226" s="37" t="str">
        <f t="shared" si="799"/>
        <v>AVERAGE</v>
      </c>
      <c r="S10226" t="s">
        <v>620</v>
      </c>
    </row>
    <row r="10227" spans="1:19" x14ac:dyDescent="0.2">
      <c r="A10227" t="s">
        <v>10838</v>
      </c>
      <c r="B10227" t="s">
        <v>75</v>
      </c>
      <c r="C10227" t="s">
        <v>617</v>
      </c>
      <c r="D10227">
        <v>434.48</v>
      </c>
      <c r="E10227" s="37" t="str">
        <f t="shared" si="795"/>
        <v xml:space="preserve"> </v>
      </c>
      <c r="F10227">
        <v>0.18</v>
      </c>
      <c r="G10227" s="37" t="str">
        <f t="shared" si="796"/>
        <v>Normal Discount</v>
      </c>
      <c r="H10227" s="37" t="str">
        <f t="shared" si="797"/>
        <v>Low</v>
      </c>
      <c r="I10227">
        <v>7</v>
      </c>
      <c r="J10227" t="str" cm="1">
        <f t="array" ref="J10227">_xlfn.IFS(I10227&lt;=3,"small",I10227&lt;=6,"Medium",I10227&lt;=9,"Large")</f>
        <v>Large</v>
      </c>
      <c r="K10227" s="36">
        <v>45332</v>
      </c>
      <c r="L10227" s="36">
        <v>45337</v>
      </c>
      <c r="M10227" t="s">
        <v>603</v>
      </c>
      <c r="N10227" t="s">
        <v>599</v>
      </c>
      <c r="O10227" s="37" t="str">
        <f t="shared" si="798"/>
        <v>Digital Payment</v>
      </c>
      <c r="P10227">
        <v>39.76</v>
      </c>
      <c r="Q10227" s="37" t="str">
        <f>IF(P10227&gt;500,"High","low")</f>
        <v>low</v>
      </c>
      <c r="R10227" s="37" t="str">
        <f t="shared" si="799"/>
        <v>AVERAGE</v>
      </c>
      <c r="S10227" t="s">
        <v>600</v>
      </c>
    </row>
    <row r="10228" spans="1:19" x14ac:dyDescent="0.2">
      <c r="A10228" t="s">
        <v>10839</v>
      </c>
      <c r="B10228" t="s">
        <v>67</v>
      </c>
      <c r="C10228" t="s">
        <v>597</v>
      </c>
      <c r="D10228">
        <v>4661.8500000000004</v>
      </c>
      <c r="E10228" s="37" t="str">
        <f t="shared" si="795"/>
        <v>Excellent Order</v>
      </c>
      <c r="F10228">
        <v>0.18</v>
      </c>
      <c r="G10228" s="37" t="str">
        <f t="shared" si="796"/>
        <v>Normal Discount</v>
      </c>
      <c r="H10228" s="37" t="str">
        <f t="shared" si="797"/>
        <v>Low</v>
      </c>
      <c r="I10228">
        <v>3</v>
      </c>
      <c r="J10228" t="str" cm="1">
        <f t="array" ref="J10228">_xlfn.IFS(I10228&lt;=3,"small",I10228&lt;=6,"Medium",I10228&lt;=9,"Large")</f>
        <v>small</v>
      </c>
      <c r="K10228" s="36">
        <v>45492</v>
      </c>
      <c r="L10228" s="36">
        <v>45496</v>
      </c>
      <c r="M10228" t="s">
        <v>603</v>
      </c>
      <c r="N10228" t="s">
        <v>599</v>
      </c>
      <c r="O10228" s="37" t="str">
        <f t="shared" si="798"/>
        <v>Digital Payment</v>
      </c>
      <c r="P10228">
        <v>998.93</v>
      </c>
      <c r="Q10228" s="37" t="str">
        <f>IF(P10228&gt;500,"High","low")</f>
        <v>High</v>
      </c>
      <c r="R10228" s="37" t="str">
        <f t="shared" si="799"/>
        <v>Good</v>
      </c>
      <c r="S10228" t="s">
        <v>620</v>
      </c>
    </row>
    <row r="10229" spans="1:19" x14ac:dyDescent="0.2">
      <c r="A10229" t="s">
        <v>10840</v>
      </c>
      <c r="B10229" t="s">
        <v>75</v>
      </c>
      <c r="C10229" t="s">
        <v>602</v>
      </c>
      <c r="D10229">
        <v>4178.6000000000004</v>
      </c>
      <c r="E10229" s="37" t="str">
        <f t="shared" si="795"/>
        <v>Excellent Order</v>
      </c>
      <c r="F10229">
        <v>0.02</v>
      </c>
      <c r="G10229" s="37" t="str">
        <f t="shared" si="796"/>
        <v>Normal Discount</v>
      </c>
      <c r="H10229" s="37" t="str">
        <f t="shared" si="797"/>
        <v>Low</v>
      </c>
      <c r="I10229">
        <v>8</v>
      </c>
      <c r="J10229" t="str" cm="1">
        <f t="array" ref="J10229">_xlfn.IFS(I10229&lt;=3,"small",I10229&lt;=6,"Medium",I10229&lt;=9,"Large")</f>
        <v>Large</v>
      </c>
      <c r="K10229" s="36">
        <v>45055</v>
      </c>
      <c r="L10229" s="36">
        <v>45059</v>
      </c>
      <c r="M10229" t="s">
        <v>612</v>
      </c>
      <c r="N10229" t="s">
        <v>604</v>
      </c>
      <c r="O10229" s="37" t="str">
        <f t="shared" si="798"/>
        <v>Digital Payment</v>
      </c>
      <c r="P10229">
        <v>1241.04</v>
      </c>
      <c r="Q10229" s="37" t="str">
        <f>IF(P10229&gt;500,"High","low")</f>
        <v>High</v>
      </c>
      <c r="R10229" s="37" t="str">
        <f t="shared" si="799"/>
        <v>Excellent</v>
      </c>
      <c r="S10229" t="s">
        <v>620</v>
      </c>
    </row>
    <row r="10230" spans="1:19" x14ac:dyDescent="0.2">
      <c r="A10230" t="s">
        <v>10841</v>
      </c>
      <c r="B10230" t="s">
        <v>67</v>
      </c>
      <c r="C10230" t="s">
        <v>602</v>
      </c>
      <c r="D10230">
        <v>202.63</v>
      </c>
      <c r="E10230" s="37" t="str">
        <f t="shared" si="795"/>
        <v xml:space="preserve"> </v>
      </c>
      <c r="F10230">
        <v>7.0000000000000007E-2</v>
      </c>
      <c r="G10230" s="37" t="str">
        <f t="shared" si="796"/>
        <v>Normal Discount</v>
      </c>
      <c r="H10230" s="37" t="str">
        <f t="shared" si="797"/>
        <v>Low</v>
      </c>
      <c r="I10230">
        <v>8</v>
      </c>
      <c r="J10230" t="str" cm="1">
        <f t="array" ref="J10230">_xlfn.IFS(I10230&lt;=3,"small",I10230&lt;=6,"Medium",I10230&lt;=9,"Large")</f>
        <v>Large</v>
      </c>
      <c r="K10230" s="36">
        <v>45105</v>
      </c>
      <c r="L10230" s="36">
        <v>45108</v>
      </c>
      <c r="M10230" t="s">
        <v>598</v>
      </c>
      <c r="N10230" t="s">
        <v>604</v>
      </c>
      <c r="O10230" s="37" t="str">
        <f t="shared" si="798"/>
        <v>Digital Payment</v>
      </c>
      <c r="P10230">
        <v>57.14</v>
      </c>
      <c r="Q10230" s="37" t="str">
        <f>IF(P10230&gt;500,"High","low")</f>
        <v>low</v>
      </c>
      <c r="R10230" s="37" t="str">
        <f t="shared" si="799"/>
        <v>AVERAGE</v>
      </c>
      <c r="S10230" t="s">
        <v>620</v>
      </c>
    </row>
    <row r="10231" spans="1:19" x14ac:dyDescent="0.2">
      <c r="A10231" t="s">
        <v>10842</v>
      </c>
      <c r="B10231" t="s">
        <v>83</v>
      </c>
      <c r="C10231" t="s">
        <v>602</v>
      </c>
      <c r="D10231">
        <v>1561.11</v>
      </c>
      <c r="E10231" s="37" t="str">
        <f t="shared" si="795"/>
        <v xml:space="preserve"> </v>
      </c>
      <c r="F10231">
        <v>0.35</v>
      </c>
      <c r="G10231" s="37" t="str">
        <f t="shared" si="796"/>
        <v>Heavy Discount</v>
      </c>
      <c r="H10231" s="37" t="str">
        <f t="shared" si="797"/>
        <v>Medium</v>
      </c>
      <c r="I10231">
        <v>5</v>
      </c>
      <c r="J10231" t="str" cm="1">
        <f t="array" ref="J10231">_xlfn.IFS(I10231&lt;=3,"small",I10231&lt;=6,"Medium",I10231&lt;=9,"Large")</f>
        <v>Medium</v>
      </c>
      <c r="K10231" s="36">
        <v>45395</v>
      </c>
      <c r="L10231" s="36">
        <v>45398</v>
      </c>
      <c r="M10231" t="s">
        <v>603</v>
      </c>
      <c r="N10231" t="s">
        <v>604</v>
      </c>
      <c r="O10231" s="37" t="str">
        <f t="shared" si="798"/>
        <v>Digital Payment</v>
      </c>
      <c r="P10231">
        <v>416.27</v>
      </c>
      <c r="Q10231" s="37" t="str">
        <f>IF(P10231&gt;500,"High","low")</f>
        <v>low</v>
      </c>
      <c r="R10231" s="37" t="str">
        <f t="shared" si="799"/>
        <v>AVERAGE</v>
      </c>
      <c r="S10231" t="s">
        <v>620</v>
      </c>
    </row>
    <row r="10232" spans="1:19" x14ac:dyDescent="0.2">
      <c r="A10232" t="s">
        <v>10843</v>
      </c>
      <c r="B10232" t="s">
        <v>90</v>
      </c>
      <c r="C10232" t="s">
        <v>607</v>
      </c>
      <c r="D10232">
        <v>349.69</v>
      </c>
      <c r="E10232" s="37" t="str">
        <f t="shared" si="795"/>
        <v xml:space="preserve"> </v>
      </c>
      <c r="F10232">
        <v>0.15</v>
      </c>
      <c r="G10232" s="37" t="str">
        <f t="shared" si="796"/>
        <v>Normal Discount</v>
      </c>
      <c r="H10232" s="37" t="str">
        <f t="shared" si="797"/>
        <v>Low</v>
      </c>
      <c r="I10232">
        <v>7</v>
      </c>
      <c r="J10232" t="str" cm="1">
        <f t="array" ref="J10232">_xlfn.IFS(I10232&lt;=3,"small",I10232&lt;=6,"Medium",I10232&lt;=9,"Large")</f>
        <v>Large</v>
      </c>
      <c r="K10232" s="36">
        <v>45040</v>
      </c>
      <c r="L10232" s="36">
        <v>45041</v>
      </c>
      <c r="M10232" t="s">
        <v>612</v>
      </c>
      <c r="N10232" t="s">
        <v>604</v>
      </c>
      <c r="O10232" s="37" t="str">
        <f t="shared" si="798"/>
        <v>Digital Payment</v>
      </c>
      <c r="P10232">
        <v>103.22</v>
      </c>
      <c r="Q10232" s="37" t="str">
        <f>IF(P10232&gt;500,"High","low")</f>
        <v>low</v>
      </c>
      <c r="R10232" s="37" t="str">
        <f t="shared" si="799"/>
        <v>AVERAGE</v>
      </c>
      <c r="S10232" t="s">
        <v>620</v>
      </c>
    </row>
    <row r="10233" spans="1:19" x14ac:dyDescent="0.2">
      <c r="A10233" t="s">
        <v>10844</v>
      </c>
      <c r="B10233" t="s">
        <v>83</v>
      </c>
      <c r="C10233" t="s">
        <v>617</v>
      </c>
      <c r="D10233">
        <v>4977.9799999999996</v>
      </c>
      <c r="E10233" s="37" t="str">
        <f t="shared" si="795"/>
        <v xml:space="preserve"> </v>
      </c>
      <c r="F10233">
        <v>0.22</v>
      </c>
      <c r="G10233" s="37" t="str">
        <f t="shared" si="796"/>
        <v>Normal Discount</v>
      </c>
      <c r="H10233" s="37" t="str">
        <f t="shared" si="797"/>
        <v>Medium</v>
      </c>
      <c r="I10233">
        <v>3</v>
      </c>
      <c r="J10233" t="str" cm="1">
        <f t="array" ref="J10233">_xlfn.IFS(I10233&lt;=3,"small",I10233&lt;=6,"Medium",I10233&lt;=9,"Large")</f>
        <v>small</v>
      </c>
      <c r="K10233" s="36">
        <v>45501</v>
      </c>
      <c r="L10233" s="36">
        <v>45502</v>
      </c>
      <c r="M10233" t="s">
        <v>603</v>
      </c>
      <c r="N10233" t="s">
        <v>599</v>
      </c>
      <c r="O10233" s="37" t="str">
        <f t="shared" si="798"/>
        <v>Digital Payment</v>
      </c>
      <c r="P10233">
        <v>474.15</v>
      </c>
      <c r="Q10233" s="37" t="str">
        <f>IF(P10233&gt;500,"High","low")</f>
        <v>low</v>
      </c>
      <c r="R10233" s="37" t="str">
        <f t="shared" si="799"/>
        <v>AVERAGE</v>
      </c>
      <c r="S10233" t="s">
        <v>605</v>
      </c>
    </row>
    <row r="10234" spans="1:19" x14ac:dyDescent="0.2">
      <c r="A10234" t="s">
        <v>10845</v>
      </c>
      <c r="B10234" t="s">
        <v>75</v>
      </c>
      <c r="C10234" t="s">
        <v>617</v>
      </c>
      <c r="D10234">
        <v>2196.44</v>
      </c>
      <c r="E10234" s="37" t="str">
        <f t="shared" si="795"/>
        <v xml:space="preserve"> </v>
      </c>
      <c r="F10234">
        <v>0.38</v>
      </c>
      <c r="G10234" s="37" t="str">
        <f t="shared" si="796"/>
        <v>Heavy Discount</v>
      </c>
      <c r="H10234" s="37" t="str">
        <f t="shared" si="797"/>
        <v>Medium</v>
      </c>
      <c r="I10234">
        <v>6</v>
      </c>
      <c r="J10234" t="str" cm="1">
        <f t="array" ref="J10234">_xlfn.IFS(I10234&lt;=3,"small",I10234&lt;=6,"Medium",I10234&lt;=9,"Large")</f>
        <v>Medium</v>
      </c>
      <c r="K10234" s="36">
        <v>45529</v>
      </c>
      <c r="L10234" s="36">
        <v>45533</v>
      </c>
      <c r="M10234" t="s">
        <v>598</v>
      </c>
      <c r="N10234" t="s">
        <v>608</v>
      </c>
      <c r="O10234" s="37" t="str">
        <f t="shared" si="798"/>
        <v>Cash Payment</v>
      </c>
      <c r="P10234">
        <v>347.25</v>
      </c>
      <c r="Q10234" s="37" t="str">
        <f>IF(P10234&gt;500,"High","low")</f>
        <v>low</v>
      </c>
      <c r="R10234" s="37" t="str">
        <f t="shared" si="799"/>
        <v>AVERAGE</v>
      </c>
      <c r="S10234" t="s">
        <v>609</v>
      </c>
    </row>
    <row r="10235" spans="1:19" x14ac:dyDescent="0.2">
      <c r="A10235" t="s">
        <v>10846</v>
      </c>
      <c r="B10235" t="s">
        <v>83</v>
      </c>
      <c r="C10235" t="s">
        <v>617</v>
      </c>
      <c r="D10235">
        <v>3344.65</v>
      </c>
      <c r="E10235" s="37" t="str">
        <f t="shared" si="795"/>
        <v xml:space="preserve"> </v>
      </c>
      <c r="F10235">
        <v>0.22</v>
      </c>
      <c r="G10235" s="37" t="str">
        <f t="shared" si="796"/>
        <v>Normal Discount</v>
      </c>
      <c r="H10235" s="37" t="str">
        <f t="shared" si="797"/>
        <v>Medium</v>
      </c>
      <c r="I10235">
        <v>3</v>
      </c>
      <c r="J10235" t="str" cm="1">
        <f t="array" ref="J10235">_xlfn.IFS(I10235&lt;=3,"small",I10235&lt;=6,"Medium",I10235&lt;=9,"Large")</f>
        <v>small</v>
      </c>
      <c r="K10235" s="36">
        <v>45420</v>
      </c>
      <c r="L10235" s="36">
        <v>45421</v>
      </c>
      <c r="M10235" t="s">
        <v>603</v>
      </c>
      <c r="N10235" t="s">
        <v>604</v>
      </c>
      <c r="O10235" s="37" t="str">
        <f t="shared" si="798"/>
        <v>Digital Payment</v>
      </c>
      <c r="P10235">
        <v>284.14999999999998</v>
      </c>
      <c r="Q10235" s="37" t="str">
        <f>IF(P10235&gt;500,"High","low")</f>
        <v>low</v>
      </c>
      <c r="R10235" s="37" t="str">
        <f t="shared" si="799"/>
        <v>AVERAGE</v>
      </c>
      <c r="S10235" t="s">
        <v>620</v>
      </c>
    </row>
    <row r="10236" spans="1:19" x14ac:dyDescent="0.2">
      <c r="A10236" t="s">
        <v>10847</v>
      </c>
      <c r="B10236" t="s">
        <v>90</v>
      </c>
      <c r="C10236" t="s">
        <v>607</v>
      </c>
      <c r="D10236">
        <v>1247.53</v>
      </c>
      <c r="E10236" s="37" t="str">
        <f t="shared" si="795"/>
        <v xml:space="preserve"> </v>
      </c>
      <c r="F10236">
        <v>0.11</v>
      </c>
      <c r="G10236" s="37" t="str">
        <f t="shared" si="796"/>
        <v>Normal Discount</v>
      </c>
      <c r="H10236" s="37" t="str">
        <f t="shared" si="797"/>
        <v>Low</v>
      </c>
      <c r="I10236">
        <v>9</v>
      </c>
      <c r="J10236" t="str" cm="1">
        <f t="array" ref="J10236">_xlfn.IFS(I10236&lt;=3,"small",I10236&lt;=6,"Medium",I10236&lt;=9,"Large")</f>
        <v>Large</v>
      </c>
      <c r="K10236" s="36">
        <v>45088</v>
      </c>
      <c r="L10236" s="36">
        <v>45094</v>
      </c>
      <c r="M10236" t="s">
        <v>603</v>
      </c>
      <c r="N10236" t="s">
        <v>604</v>
      </c>
      <c r="O10236" s="37" t="str">
        <f t="shared" si="798"/>
        <v>Digital Payment</v>
      </c>
      <c r="P10236">
        <v>210.74</v>
      </c>
      <c r="Q10236" s="37" t="str">
        <f>IF(P10236&gt;500,"High","low")</f>
        <v>low</v>
      </c>
      <c r="R10236" s="37" t="str">
        <f t="shared" si="799"/>
        <v>AVERAGE</v>
      </c>
      <c r="S10236" t="s">
        <v>605</v>
      </c>
    </row>
    <row r="10237" spans="1:19" x14ac:dyDescent="0.2">
      <c r="A10237" t="s">
        <v>10848</v>
      </c>
      <c r="B10237" t="s">
        <v>83</v>
      </c>
      <c r="C10237" t="s">
        <v>617</v>
      </c>
      <c r="D10237">
        <v>4675.3100000000004</v>
      </c>
      <c r="E10237" s="37" t="str">
        <f t="shared" si="795"/>
        <v xml:space="preserve"> </v>
      </c>
      <c r="F10237">
        <v>0.27</v>
      </c>
      <c r="G10237" s="37" t="str">
        <f t="shared" si="796"/>
        <v>Normal Discount</v>
      </c>
      <c r="H10237" s="37" t="str">
        <f t="shared" si="797"/>
        <v>Medium</v>
      </c>
      <c r="I10237">
        <v>7</v>
      </c>
      <c r="J10237" t="str" cm="1">
        <f t="array" ref="J10237">_xlfn.IFS(I10237&lt;=3,"small",I10237&lt;=6,"Medium",I10237&lt;=9,"Large")</f>
        <v>Large</v>
      </c>
      <c r="K10237" s="36">
        <v>44955</v>
      </c>
      <c r="L10237" s="36">
        <v>44956</v>
      </c>
      <c r="M10237" t="s">
        <v>598</v>
      </c>
      <c r="N10237" t="s">
        <v>604</v>
      </c>
      <c r="O10237" s="37" t="str">
        <f t="shared" si="798"/>
        <v>Digital Payment</v>
      </c>
      <c r="P10237">
        <v>333.84</v>
      </c>
      <c r="Q10237" s="37" t="str">
        <f>IF(P10237&gt;500,"High","low")</f>
        <v>low</v>
      </c>
      <c r="R10237" s="37" t="str">
        <f t="shared" si="799"/>
        <v>AVERAGE</v>
      </c>
      <c r="S10237" t="s">
        <v>605</v>
      </c>
    </row>
    <row r="10238" spans="1:19" x14ac:dyDescent="0.2">
      <c r="A10238" t="s">
        <v>10849</v>
      </c>
      <c r="B10238" t="s">
        <v>90</v>
      </c>
      <c r="C10238" t="s">
        <v>597</v>
      </c>
      <c r="D10238">
        <v>1443.45</v>
      </c>
      <c r="E10238" s="37" t="str">
        <f t="shared" si="795"/>
        <v xml:space="preserve"> </v>
      </c>
      <c r="F10238">
        <v>0.4</v>
      </c>
      <c r="G10238" s="37" t="str">
        <f t="shared" si="796"/>
        <v>Heavy Discount</v>
      </c>
      <c r="H10238" s="37" t="str">
        <f t="shared" si="797"/>
        <v>Medium</v>
      </c>
      <c r="I10238">
        <v>1</v>
      </c>
      <c r="J10238" t="str" cm="1">
        <f t="array" ref="J10238">_xlfn.IFS(I10238&lt;=3,"small",I10238&lt;=6,"Medium",I10238&lt;=9,"Large")</f>
        <v>small</v>
      </c>
      <c r="K10238" s="36">
        <v>45506</v>
      </c>
      <c r="L10238" s="36">
        <v>45508</v>
      </c>
      <c r="M10238" t="s">
        <v>612</v>
      </c>
      <c r="N10238" t="s">
        <v>604</v>
      </c>
      <c r="O10238" s="37" t="str">
        <f t="shared" si="798"/>
        <v>Digital Payment</v>
      </c>
      <c r="P10238">
        <v>316.73</v>
      </c>
      <c r="Q10238" s="37" t="str">
        <f>IF(P10238&gt;500,"High","low")</f>
        <v>low</v>
      </c>
      <c r="R10238" s="37" t="str">
        <f t="shared" si="799"/>
        <v>AVERAGE</v>
      </c>
      <c r="S10238" t="s">
        <v>600</v>
      </c>
    </row>
    <row r="10239" spans="1:19" x14ac:dyDescent="0.2">
      <c r="A10239" t="s">
        <v>10850</v>
      </c>
      <c r="B10239" t="s">
        <v>90</v>
      </c>
      <c r="C10239" t="s">
        <v>614</v>
      </c>
      <c r="D10239">
        <v>1375.05</v>
      </c>
      <c r="E10239" s="37" t="str">
        <f t="shared" si="795"/>
        <v xml:space="preserve"> </v>
      </c>
      <c r="F10239">
        <v>0.3</v>
      </c>
      <c r="G10239" s="37" t="str">
        <f t="shared" si="796"/>
        <v>Normal Discount</v>
      </c>
      <c r="H10239" s="37" t="str">
        <f t="shared" si="797"/>
        <v>Medium</v>
      </c>
      <c r="I10239">
        <v>8</v>
      </c>
      <c r="J10239" t="str" cm="1">
        <f t="array" ref="J10239">_xlfn.IFS(I10239&lt;=3,"small",I10239&lt;=6,"Medium",I10239&lt;=9,"Large")</f>
        <v>Large</v>
      </c>
      <c r="K10239" s="36">
        <v>45637</v>
      </c>
      <c r="L10239" s="36">
        <v>45638</v>
      </c>
      <c r="M10239" t="s">
        <v>598</v>
      </c>
      <c r="N10239" t="s">
        <v>599</v>
      </c>
      <c r="O10239" s="37" t="str">
        <f t="shared" si="798"/>
        <v>Digital Payment</v>
      </c>
      <c r="P10239">
        <v>221.96</v>
      </c>
      <c r="Q10239" s="37" t="str">
        <f>IF(P10239&gt;500,"High","low")</f>
        <v>low</v>
      </c>
      <c r="R10239" s="37" t="str">
        <f t="shared" si="799"/>
        <v>AVERAGE</v>
      </c>
      <c r="S10239" t="s">
        <v>605</v>
      </c>
    </row>
    <row r="10240" spans="1:19" x14ac:dyDescent="0.2">
      <c r="A10240" t="s">
        <v>10851</v>
      </c>
      <c r="B10240" t="s">
        <v>83</v>
      </c>
      <c r="C10240" t="s">
        <v>607</v>
      </c>
      <c r="D10240">
        <v>1641.54</v>
      </c>
      <c r="E10240" s="37" t="str">
        <f t="shared" si="795"/>
        <v xml:space="preserve"> </v>
      </c>
      <c r="F10240">
        <v>0.21</v>
      </c>
      <c r="G10240" s="37" t="str">
        <f t="shared" si="796"/>
        <v>Normal Discount</v>
      </c>
      <c r="H10240" s="37" t="str">
        <f t="shared" si="797"/>
        <v>Medium</v>
      </c>
      <c r="I10240">
        <v>9</v>
      </c>
      <c r="J10240" t="str" cm="1">
        <f t="array" ref="J10240">_xlfn.IFS(I10240&lt;=3,"small",I10240&lt;=6,"Medium",I10240&lt;=9,"Large")</f>
        <v>Large</v>
      </c>
      <c r="K10240" s="36">
        <v>45386</v>
      </c>
      <c r="L10240" s="36">
        <v>45390</v>
      </c>
      <c r="M10240" t="s">
        <v>612</v>
      </c>
      <c r="N10240" t="s">
        <v>608</v>
      </c>
      <c r="O10240" s="37" t="str">
        <f t="shared" si="798"/>
        <v>Cash Payment</v>
      </c>
      <c r="P10240">
        <v>440.14</v>
      </c>
      <c r="Q10240" s="37" t="str">
        <f>IF(P10240&gt;500,"High","low")</f>
        <v>low</v>
      </c>
      <c r="R10240" s="37" t="str">
        <f t="shared" si="799"/>
        <v>AVERAGE</v>
      </c>
      <c r="S10240" t="s">
        <v>605</v>
      </c>
    </row>
    <row r="10241" spans="1:19" x14ac:dyDescent="0.2">
      <c r="A10241" t="s">
        <v>10852</v>
      </c>
      <c r="B10241" t="s">
        <v>67</v>
      </c>
      <c r="C10241" t="s">
        <v>614</v>
      </c>
      <c r="D10241">
        <v>2366.1999999999998</v>
      </c>
      <c r="E10241" s="37" t="str">
        <f t="shared" si="795"/>
        <v xml:space="preserve"> </v>
      </c>
      <c r="F10241">
        <v>0.06</v>
      </c>
      <c r="G10241" s="37" t="str">
        <f t="shared" si="796"/>
        <v>Normal Discount</v>
      </c>
      <c r="H10241" s="37" t="str">
        <f t="shared" si="797"/>
        <v>Low</v>
      </c>
      <c r="I10241">
        <v>2</v>
      </c>
      <c r="J10241" t="str" cm="1">
        <f t="array" ref="J10241">_xlfn.IFS(I10241&lt;=3,"small",I10241&lt;=6,"Medium",I10241&lt;=9,"Large")</f>
        <v>small</v>
      </c>
      <c r="K10241" s="36">
        <v>45215</v>
      </c>
      <c r="L10241" s="36">
        <v>45218</v>
      </c>
      <c r="M10241" t="s">
        <v>598</v>
      </c>
      <c r="N10241" t="s">
        <v>604</v>
      </c>
      <c r="O10241" s="37" t="str">
        <f t="shared" si="798"/>
        <v>Digital Payment</v>
      </c>
      <c r="P10241">
        <v>254.98</v>
      </c>
      <c r="Q10241" s="37" t="str">
        <f>IF(P10241&gt;500,"High","low")</f>
        <v>low</v>
      </c>
      <c r="R10241" s="37" t="str">
        <f t="shared" si="799"/>
        <v>AVERAGE</v>
      </c>
      <c r="S10241" t="s">
        <v>605</v>
      </c>
    </row>
    <row r="10242" spans="1:19" x14ac:dyDescent="0.2">
      <c r="A10242" t="s">
        <v>10853</v>
      </c>
      <c r="B10242" t="s">
        <v>75</v>
      </c>
      <c r="C10242" t="s">
        <v>597</v>
      </c>
      <c r="D10242">
        <v>190.81</v>
      </c>
      <c r="E10242" s="37" t="str">
        <f t="shared" si="795"/>
        <v xml:space="preserve"> </v>
      </c>
      <c r="F10242">
        <v>0.12</v>
      </c>
      <c r="G10242" s="37" t="str">
        <f t="shared" si="796"/>
        <v>Normal Discount</v>
      </c>
      <c r="H10242" s="37" t="str">
        <f t="shared" si="797"/>
        <v>Low</v>
      </c>
      <c r="I10242">
        <v>1</v>
      </c>
      <c r="J10242" t="str" cm="1">
        <f t="array" ref="J10242">_xlfn.IFS(I10242&lt;=3,"small",I10242&lt;=6,"Medium",I10242&lt;=9,"Large")</f>
        <v>small</v>
      </c>
      <c r="K10242" s="36">
        <v>45292</v>
      </c>
      <c r="L10242" s="36">
        <v>45297</v>
      </c>
      <c r="M10242" t="s">
        <v>603</v>
      </c>
      <c r="N10242" t="s">
        <v>608</v>
      </c>
      <c r="O10242" s="37" t="str">
        <f t="shared" si="798"/>
        <v>Cash Payment</v>
      </c>
      <c r="P10242">
        <v>28.34</v>
      </c>
      <c r="Q10242" s="37" t="str">
        <f>IF(P10242&gt;500,"High","low")</f>
        <v>low</v>
      </c>
      <c r="R10242" s="37" t="str">
        <f t="shared" si="799"/>
        <v>AVERAGE</v>
      </c>
      <c r="S10242" t="s">
        <v>620</v>
      </c>
    </row>
    <row r="10243" spans="1:19" x14ac:dyDescent="0.2">
      <c r="A10243" t="s">
        <v>10854</v>
      </c>
      <c r="B10243" t="s">
        <v>67</v>
      </c>
      <c r="C10243" t="s">
        <v>602</v>
      </c>
      <c r="D10243">
        <v>3029.4</v>
      </c>
      <c r="E10243" s="37" t="str">
        <f t="shared" ref="E10243:E10306" si="800">IF(AND(D10243&gt;4000,P10243&gt;800),"Excellent Order"," ")</f>
        <v xml:space="preserve"> </v>
      </c>
      <c r="F10243">
        <v>0.47</v>
      </c>
      <c r="G10243" s="37" t="str">
        <f t="shared" ref="G10243:G10306" si="801">IF(F10243&gt;30%,"Heavy Discount","Normal Discount")</f>
        <v>Heavy Discount</v>
      </c>
      <c r="H10243" s="37" t="str">
        <f t="shared" ref="H10243:H10306" si="802">IF(F10243&gt;0.4,"High",IF(F10243&gt;=0.2,"Medium","Low"))</f>
        <v>High</v>
      </c>
      <c r="I10243">
        <v>4</v>
      </c>
      <c r="J10243" t="str" cm="1">
        <f t="array" ref="J10243">_xlfn.IFS(I10243&lt;=3,"small",I10243&lt;=6,"Medium",I10243&lt;=9,"Large")</f>
        <v>Medium</v>
      </c>
      <c r="K10243" s="36">
        <v>45398</v>
      </c>
      <c r="L10243" s="36">
        <v>45401</v>
      </c>
      <c r="M10243" t="s">
        <v>598</v>
      </c>
      <c r="N10243" t="s">
        <v>604</v>
      </c>
      <c r="O10243" s="37" t="str">
        <f t="shared" ref="O10243:O10306" si="803">IF(OR(N10243="Card",N10243="UPI"),"Digital Payment","Cash Payment")</f>
        <v>Digital Payment</v>
      </c>
      <c r="P10243">
        <v>152.46</v>
      </c>
      <c r="Q10243" s="37" t="str">
        <f>IF(P10243&gt;500,"High","low")</f>
        <v>low</v>
      </c>
      <c r="R10243" s="37" t="str">
        <f t="shared" ref="R10243:R10306" si="804">IF(P10243&gt;1000,"Excellent",IF(P10243&gt;=500,"Good","AVERAGE"))</f>
        <v>AVERAGE</v>
      </c>
      <c r="S10243" t="s">
        <v>609</v>
      </c>
    </row>
    <row r="10244" spans="1:19" x14ac:dyDescent="0.2">
      <c r="A10244" t="s">
        <v>10855</v>
      </c>
      <c r="B10244" t="s">
        <v>67</v>
      </c>
      <c r="C10244" t="s">
        <v>602</v>
      </c>
      <c r="D10244">
        <v>255.16</v>
      </c>
      <c r="E10244" s="37" t="str">
        <f t="shared" si="800"/>
        <v xml:space="preserve"> </v>
      </c>
      <c r="F10244">
        <v>0.39</v>
      </c>
      <c r="G10244" s="37" t="str">
        <f t="shared" si="801"/>
        <v>Heavy Discount</v>
      </c>
      <c r="H10244" s="37" t="str">
        <f t="shared" si="802"/>
        <v>Medium</v>
      </c>
      <c r="I10244">
        <v>9</v>
      </c>
      <c r="J10244" t="str" cm="1">
        <f t="array" ref="J10244">_xlfn.IFS(I10244&lt;=3,"small",I10244&lt;=6,"Medium",I10244&lt;=9,"Large")</f>
        <v>Large</v>
      </c>
      <c r="K10244" s="36">
        <v>45028</v>
      </c>
      <c r="L10244" s="36">
        <v>45032</v>
      </c>
      <c r="M10244" t="s">
        <v>598</v>
      </c>
      <c r="N10244" t="s">
        <v>608</v>
      </c>
      <c r="O10244" s="37" t="str">
        <f t="shared" si="803"/>
        <v>Cash Payment</v>
      </c>
      <c r="P10244">
        <v>42.49</v>
      </c>
      <c r="Q10244" s="37" t="str">
        <f>IF(P10244&gt;500,"High","low")</f>
        <v>low</v>
      </c>
      <c r="R10244" s="37" t="str">
        <f t="shared" si="804"/>
        <v>AVERAGE</v>
      </c>
      <c r="S10244" t="s">
        <v>600</v>
      </c>
    </row>
    <row r="10245" spans="1:19" x14ac:dyDescent="0.2">
      <c r="A10245" t="s">
        <v>10856</v>
      </c>
      <c r="B10245" t="s">
        <v>83</v>
      </c>
      <c r="C10245" t="s">
        <v>602</v>
      </c>
      <c r="D10245">
        <v>2742.09</v>
      </c>
      <c r="E10245" s="37" t="str">
        <f t="shared" si="800"/>
        <v xml:space="preserve"> </v>
      </c>
      <c r="F10245">
        <v>0.04</v>
      </c>
      <c r="G10245" s="37" t="str">
        <f t="shared" si="801"/>
        <v>Normal Discount</v>
      </c>
      <c r="H10245" s="37" t="str">
        <f t="shared" si="802"/>
        <v>Low</v>
      </c>
      <c r="I10245">
        <v>6</v>
      </c>
      <c r="J10245" t="str" cm="1">
        <f t="array" ref="J10245">_xlfn.IFS(I10245&lt;=3,"small",I10245&lt;=6,"Medium",I10245&lt;=9,"Large")</f>
        <v>Medium</v>
      </c>
      <c r="K10245" s="36">
        <v>45631</v>
      </c>
      <c r="L10245" s="36">
        <v>45638</v>
      </c>
      <c r="M10245" t="s">
        <v>598</v>
      </c>
      <c r="N10245" t="s">
        <v>608</v>
      </c>
      <c r="O10245" s="37" t="str">
        <f t="shared" si="803"/>
        <v>Cash Payment</v>
      </c>
      <c r="P10245">
        <v>194.18</v>
      </c>
      <c r="Q10245" s="37" t="str">
        <f>IF(P10245&gt;500,"High","low")</f>
        <v>low</v>
      </c>
      <c r="R10245" s="37" t="str">
        <f t="shared" si="804"/>
        <v>AVERAGE</v>
      </c>
      <c r="S10245" t="s">
        <v>609</v>
      </c>
    </row>
    <row r="10246" spans="1:19" x14ac:dyDescent="0.2">
      <c r="A10246" t="s">
        <v>10857</v>
      </c>
      <c r="B10246" t="s">
        <v>75</v>
      </c>
      <c r="C10246" t="s">
        <v>607</v>
      </c>
      <c r="D10246">
        <v>2343.64</v>
      </c>
      <c r="E10246" s="37" t="str">
        <f t="shared" si="800"/>
        <v xml:space="preserve"> </v>
      </c>
      <c r="F10246">
        <v>0</v>
      </c>
      <c r="G10246" s="37" t="str">
        <f t="shared" si="801"/>
        <v>Normal Discount</v>
      </c>
      <c r="H10246" s="37" t="str">
        <f t="shared" si="802"/>
        <v>Low</v>
      </c>
      <c r="I10246">
        <v>8</v>
      </c>
      <c r="J10246" t="str" cm="1">
        <f t="array" ref="J10246">_xlfn.IFS(I10246&lt;=3,"small",I10246&lt;=6,"Medium",I10246&lt;=9,"Large")</f>
        <v>Large</v>
      </c>
      <c r="K10246" s="36">
        <v>45045</v>
      </c>
      <c r="L10246" s="36">
        <v>45050</v>
      </c>
      <c r="M10246" t="s">
        <v>598</v>
      </c>
      <c r="N10246" t="s">
        <v>608</v>
      </c>
      <c r="O10246" s="37" t="str">
        <f t="shared" si="803"/>
        <v>Cash Payment</v>
      </c>
      <c r="P10246">
        <v>663.23</v>
      </c>
      <c r="Q10246" s="37" t="str">
        <f>IF(P10246&gt;500,"High","low")</f>
        <v>High</v>
      </c>
      <c r="R10246" s="37" t="str">
        <f t="shared" si="804"/>
        <v>Good</v>
      </c>
      <c r="S10246" t="s">
        <v>628</v>
      </c>
    </row>
    <row r="10247" spans="1:19" x14ac:dyDescent="0.2">
      <c r="A10247" t="s">
        <v>10858</v>
      </c>
      <c r="B10247" t="s">
        <v>75</v>
      </c>
      <c r="C10247" t="s">
        <v>602</v>
      </c>
      <c r="D10247">
        <v>1288.48</v>
      </c>
      <c r="E10247" s="37" t="str">
        <f t="shared" si="800"/>
        <v xml:space="preserve"> </v>
      </c>
      <c r="F10247">
        <v>0.09</v>
      </c>
      <c r="G10247" s="37" t="str">
        <f t="shared" si="801"/>
        <v>Normal Discount</v>
      </c>
      <c r="H10247" s="37" t="str">
        <f t="shared" si="802"/>
        <v>Low</v>
      </c>
      <c r="I10247">
        <v>7</v>
      </c>
      <c r="J10247" t="str" cm="1">
        <f t="array" ref="J10247">_xlfn.IFS(I10247&lt;=3,"small",I10247&lt;=6,"Medium",I10247&lt;=9,"Large")</f>
        <v>Large</v>
      </c>
      <c r="K10247" s="36">
        <v>45344</v>
      </c>
      <c r="L10247" s="36">
        <v>45350</v>
      </c>
      <c r="M10247" t="s">
        <v>612</v>
      </c>
      <c r="N10247" t="s">
        <v>599</v>
      </c>
      <c r="O10247" s="37" t="str">
        <f t="shared" si="803"/>
        <v>Digital Payment</v>
      </c>
      <c r="P10247">
        <v>370.94</v>
      </c>
      <c r="Q10247" s="37" t="str">
        <f>IF(P10247&gt;500,"High","low")</f>
        <v>low</v>
      </c>
      <c r="R10247" s="37" t="str">
        <f t="shared" si="804"/>
        <v>AVERAGE</v>
      </c>
      <c r="S10247" t="s">
        <v>615</v>
      </c>
    </row>
    <row r="10248" spans="1:19" x14ac:dyDescent="0.2">
      <c r="A10248" t="s">
        <v>10859</v>
      </c>
      <c r="B10248" t="s">
        <v>67</v>
      </c>
      <c r="C10248" t="s">
        <v>607</v>
      </c>
      <c r="D10248">
        <v>1715.86</v>
      </c>
      <c r="E10248" s="37" t="str">
        <f t="shared" si="800"/>
        <v xml:space="preserve"> </v>
      </c>
      <c r="F10248">
        <v>0.47</v>
      </c>
      <c r="G10248" s="37" t="str">
        <f t="shared" si="801"/>
        <v>Heavy Discount</v>
      </c>
      <c r="H10248" s="37" t="str">
        <f t="shared" si="802"/>
        <v>High</v>
      </c>
      <c r="I10248">
        <v>5</v>
      </c>
      <c r="J10248" t="str" cm="1">
        <f t="array" ref="J10248">_xlfn.IFS(I10248&lt;=3,"small",I10248&lt;=6,"Medium",I10248&lt;=9,"Large")</f>
        <v>Medium</v>
      </c>
      <c r="K10248" s="36">
        <v>45391</v>
      </c>
      <c r="L10248" s="36">
        <v>45393</v>
      </c>
      <c r="M10248" t="s">
        <v>612</v>
      </c>
      <c r="N10248" t="s">
        <v>604</v>
      </c>
      <c r="O10248" s="37" t="str">
        <f t="shared" si="803"/>
        <v>Digital Payment</v>
      </c>
      <c r="P10248">
        <v>323.48</v>
      </c>
      <c r="Q10248" s="37" t="str">
        <f>IF(P10248&gt;500,"High","low")</f>
        <v>low</v>
      </c>
      <c r="R10248" s="37" t="str">
        <f t="shared" si="804"/>
        <v>AVERAGE</v>
      </c>
      <c r="S10248" t="s">
        <v>628</v>
      </c>
    </row>
    <row r="10249" spans="1:19" x14ac:dyDescent="0.2">
      <c r="A10249" t="s">
        <v>10860</v>
      </c>
      <c r="B10249" t="s">
        <v>83</v>
      </c>
      <c r="C10249" t="s">
        <v>607</v>
      </c>
      <c r="D10249">
        <v>3557.73</v>
      </c>
      <c r="E10249" s="37" t="str">
        <f t="shared" si="800"/>
        <v xml:space="preserve"> </v>
      </c>
      <c r="F10249">
        <v>0.28999999999999998</v>
      </c>
      <c r="G10249" s="37" t="str">
        <f t="shared" si="801"/>
        <v>Normal Discount</v>
      </c>
      <c r="H10249" s="37" t="str">
        <f t="shared" si="802"/>
        <v>Medium</v>
      </c>
      <c r="I10249">
        <v>5</v>
      </c>
      <c r="J10249" t="str" cm="1">
        <f t="array" ref="J10249">_xlfn.IFS(I10249&lt;=3,"small",I10249&lt;=6,"Medium",I10249&lt;=9,"Large")</f>
        <v>Medium</v>
      </c>
      <c r="K10249" s="36">
        <v>45030</v>
      </c>
      <c r="L10249" s="36">
        <v>45034</v>
      </c>
      <c r="M10249" t="s">
        <v>598</v>
      </c>
      <c r="N10249" t="s">
        <v>608</v>
      </c>
      <c r="O10249" s="37" t="str">
        <f t="shared" si="803"/>
        <v>Cash Payment</v>
      </c>
      <c r="P10249">
        <v>566.65</v>
      </c>
      <c r="Q10249" s="37" t="str">
        <f>IF(P10249&gt;500,"High","low")</f>
        <v>High</v>
      </c>
      <c r="R10249" s="37" t="str">
        <f t="shared" si="804"/>
        <v>Good</v>
      </c>
      <c r="S10249" t="s">
        <v>628</v>
      </c>
    </row>
    <row r="10250" spans="1:19" x14ac:dyDescent="0.2">
      <c r="A10250" t="s">
        <v>10861</v>
      </c>
      <c r="B10250" t="s">
        <v>75</v>
      </c>
      <c r="C10250" t="s">
        <v>614</v>
      </c>
      <c r="D10250">
        <v>147.03</v>
      </c>
      <c r="E10250" s="37" t="str">
        <f t="shared" si="800"/>
        <v xml:space="preserve"> </v>
      </c>
      <c r="F10250">
        <v>0.42</v>
      </c>
      <c r="G10250" s="37" t="str">
        <f t="shared" si="801"/>
        <v>Heavy Discount</v>
      </c>
      <c r="H10250" s="37" t="str">
        <f t="shared" si="802"/>
        <v>High</v>
      </c>
      <c r="I10250">
        <v>6</v>
      </c>
      <c r="J10250" t="str" cm="1">
        <f t="array" ref="J10250">_xlfn.IFS(I10250&lt;=3,"small",I10250&lt;=6,"Medium",I10250&lt;=9,"Large")</f>
        <v>Medium</v>
      </c>
      <c r="K10250" s="36">
        <v>44976</v>
      </c>
      <c r="L10250" s="36">
        <v>44980</v>
      </c>
      <c r="M10250" t="s">
        <v>612</v>
      </c>
      <c r="N10250" t="s">
        <v>604</v>
      </c>
      <c r="O10250" s="37" t="str">
        <f t="shared" si="803"/>
        <v>Digital Payment</v>
      </c>
      <c r="P10250">
        <v>24.83</v>
      </c>
      <c r="Q10250" s="37" t="str">
        <f>IF(P10250&gt;500,"High","low")</f>
        <v>low</v>
      </c>
      <c r="R10250" s="37" t="str">
        <f t="shared" si="804"/>
        <v>AVERAGE</v>
      </c>
      <c r="S10250" t="s">
        <v>600</v>
      </c>
    </row>
    <row r="10251" spans="1:19" x14ac:dyDescent="0.2">
      <c r="A10251" t="s">
        <v>10862</v>
      </c>
      <c r="B10251" t="s">
        <v>67</v>
      </c>
      <c r="C10251" t="s">
        <v>602</v>
      </c>
      <c r="D10251">
        <v>1651.57</v>
      </c>
      <c r="E10251" s="37" t="str">
        <f t="shared" si="800"/>
        <v xml:space="preserve"> </v>
      </c>
      <c r="F10251">
        <v>0.23</v>
      </c>
      <c r="G10251" s="37" t="str">
        <f t="shared" si="801"/>
        <v>Normal Discount</v>
      </c>
      <c r="H10251" s="37" t="str">
        <f t="shared" si="802"/>
        <v>Medium</v>
      </c>
      <c r="I10251">
        <v>6</v>
      </c>
      <c r="J10251" t="str" cm="1">
        <f t="array" ref="J10251">_xlfn.IFS(I10251&lt;=3,"small",I10251&lt;=6,"Medium",I10251&lt;=9,"Large")</f>
        <v>Medium</v>
      </c>
      <c r="K10251" s="36">
        <v>45623</v>
      </c>
      <c r="L10251" s="36">
        <v>45629</v>
      </c>
      <c r="M10251" t="s">
        <v>598</v>
      </c>
      <c r="N10251" t="s">
        <v>604</v>
      </c>
      <c r="O10251" s="37" t="str">
        <f t="shared" si="803"/>
        <v>Digital Payment</v>
      </c>
      <c r="P10251">
        <v>225.78</v>
      </c>
      <c r="Q10251" s="37" t="str">
        <f>IF(P10251&gt;500,"High","low")</f>
        <v>low</v>
      </c>
      <c r="R10251" s="37" t="str">
        <f t="shared" si="804"/>
        <v>AVERAGE</v>
      </c>
      <c r="S10251" t="s">
        <v>615</v>
      </c>
    </row>
    <row r="10252" spans="1:19" x14ac:dyDescent="0.2">
      <c r="A10252" t="s">
        <v>10863</v>
      </c>
      <c r="B10252" t="s">
        <v>75</v>
      </c>
      <c r="C10252" t="s">
        <v>617</v>
      </c>
      <c r="D10252">
        <v>3433.46</v>
      </c>
      <c r="E10252" s="37" t="str">
        <f t="shared" si="800"/>
        <v xml:space="preserve"> </v>
      </c>
      <c r="F10252">
        <v>0.41</v>
      </c>
      <c r="G10252" s="37" t="str">
        <f t="shared" si="801"/>
        <v>Heavy Discount</v>
      </c>
      <c r="H10252" s="37" t="str">
        <f t="shared" si="802"/>
        <v>High</v>
      </c>
      <c r="I10252">
        <v>5</v>
      </c>
      <c r="J10252" t="str" cm="1">
        <f t="array" ref="J10252">_xlfn.IFS(I10252&lt;=3,"small",I10252&lt;=6,"Medium",I10252&lt;=9,"Large")</f>
        <v>Medium</v>
      </c>
      <c r="K10252" s="36">
        <v>45401</v>
      </c>
      <c r="L10252" s="36">
        <v>45405</v>
      </c>
      <c r="M10252" t="s">
        <v>603</v>
      </c>
      <c r="N10252" t="s">
        <v>599</v>
      </c>
      <c r="O10252" s="37" t="str">
        <f t="shared" si="803"/>
        <v>Digital Payment</v>
      </c>
      <c r="P10252">
        <v>546.72</v>
      </c>
      <c r="Q10252" s="37" t="str">
        <f>IF(P10252&gt;500,"High","low")</f>
        <v>High</v>
      </c>
      <c r="R10252" s="37" t="str">
        <f t="shared" si="804"/>
        <v>Good</v>
      </c>
      <c r="S10252" t="s">
        <v>615</v>
      </c>
    </row>
    <row r="10253" spans="1:19" x14ac:dyDescent="0.2">
      <c r="A10253" t="s">
        <v>10864</v>
      </c>
      <c r="B10253" t="s">
        <v>83</v>
      </c>
      <c r="C10253" t="s">
        <v>602</v>
      </c>
      <c r="D10253">
        <v>846.14</v>
      </c>
      <c r="E10253" s="37" t="str">
        <f t="shared" si="800"/>
        <v xml:space="preserve"> </v>
      </c>
      <c r="F10253">
        <v>0.02</v>
      </c>
      <c r="G10253" s="37" t="str">
        <f t="shared" si="801"/>
        <v>Normal Discount</v>
      </c>
      <c r="H10253" s="37" t="str">
        <f t="shared" si="802"/>
        <v>Low</v>
      </c>
      <c r="I10253">
        <v>8</v>
      </c>
      <c r="J10253" t="str" cm="1">
        <f t="array" ref="J10253">_xlfn.IFS(I10253&lt;=3,"small",I10253&lt;=6,"Medium",I10253&lt;=9,"Large")</f>
        <v>Large</v>
      </c>
      <c r="K10253" s="36">
        <v>45645</v>
      </c>
      <c r="L10253" s="36">
        <v>45648</v>
      </c>
      <c r="M10253" t="s">
        <v>598</v>
      </c>
      <c r="N10253" t="s">
        <v>599</v>
      </c>
      <c r="O10253" s="37" t="str">
        <f t="shared" si="803"/>
        <v>Digital Payment</v>
      </c>
      <c r="P10253">
        <v>148.34</v>
      </c>
      <c r="Q10253" s="37" t="str">
        <f>IF(P10253&gt;500,"High","low")</f>
        <v>low</v>
      </c>
      <c r="R10253" s="37" t="str">
        <f t="shared" si="804"/>
        <v>AVERAGE</v>
      </c>
      <c r="S10253" t="s">
        <v>605</v>
      </c>
    </row>
    <row r="10254" spans="1:19" x14ac:dyDescent="0.2">
      <c r="A10254" t="s">
        <v>10865</v>
      </c>
      <c r="B10254" t="s">
        <v>83</v>
      </c>
      <c r="C10254" t="s">
        <v>602</v>
      </c>
      <c r="D10254">
        <v>2845.89</v>
      </c>
      <c r="E10254" s="37" t="str">
        <f t="shared" si="800"/>
        <v xml:space="preserve"> </v>
      </c>
      <c r="F10254">
        <v>0.21</v>
      </c>
      <c r="G10254" s="37" t="str">
        <f t="shared" si="801"/>
        <v>Normal Discount</v>
      </c>
      <c r="H10254" s="37" t="str">
        <f t="shared" si="802"/>
        <v>Medium</v>
      </c>
      <c r="I10254">
        <v>3</v>
      </c>
      <c r="J10254" t="str" cm="1">
        <f t="array" ref="J10254">_xlfn.IFS(I10254&lt;=3,"small",I10254&lt;=6,"Medium",I10254&lt;=9,"Large")</f>
        <v>small</v>
      </c>
      <c r="K10254" s="36">
        <v>45517</v>
      </c>
      <c r="L10254" s="36">
        <v>45523</v>
      </c>
      <c r="M10254" t="s">
        <v>598</v>
      </c>
      <c r="N10254" t="s">
        <v>599</v>
      </c>
      <c r="O10254" s="37" t="str">
        <f t="shared" si="803"/>
        <v>Digital Payment</v>
      </c>
      <c r="P10254">
        <v>827</v>
      </c>
      <c r="Q10254" s="37" t="str">
        <f>IF(P10254&gt;500,"High","low")</f>
        <v>High</v>
      </c>
      <c r="R10254" s="37" t="str">
        <f t="shared" si="804"/>
        <v>Good</v>
      </c>
      <c r="S10254" t="s">
        <v>628</v>
      </c>
    </row>
    <row r="10255" spans="1:19" x14ac:dyDescent="0.2">
      <c r="A10255" t="s">
        <v>10866</v>
      </c>
      <c r="B10255" t="s">
        <v>83</v>
      </c>
      <c r="C10255" t="s">
        <v>602</v>
      </c>
      <c r="D10255">
        <v>927.77</v>
      </c>
      <c r="E10255" s="37" t="str">
        <f t="shared" si="800"/>
        <v xml:space="preserve"> </v>
      </c>
      <c r="F10255">
        <v>0.19</v>
      </c>
      <c r="G10255" s="37" t="str">
        <f t="shared" si="801"/>
        <v>Normal Discount</v>
      </c>
      <c r="H10255" s="37" t="str">
        <f t="shared" si="802"/>
        <v>Low</v>
      </c>
      <c r="I10255">
        <v>9</v>
      </c>
      <c r="J10255" t="str" cm="1">
        <f t="array" ref="J10255">_xlfn.IFS(I10255&lt;=3,"small",I10255&lt;=6,"Medium",I10255&lt;=9,"Large")</f>
        <v>Large</v>
      </c>
      <c r="K10255" s="36">
        <v>45110</v>
      </c>
      <c r="L10255" s="36">
        <v>45117</v>
      </c>
      <c r="M10255" t="s">
        <v>598</v>
      </c>
      <c r="N10255" t="s">
        <v>608</v>
      </c>
      <c r="O10255" s="37" t="str">
        <f t="shared" si="803"/>
        <v>Cash Payment</v>
      </c>
      <c r="P10255">
        <v>139.24</v>
      </c>
      <c r="Q10255" s="37" t="str">
        <f>IF(P10255&gt;500,"High","low")</f>
        <v>low</v>
      </c>
      <c r="R10255" s="37" t="str">
        <f t="shared" si="804"/>
        <v>AVERAGE</v>
      </c>
      <c r="S10255" t="s">
        <v>605</v>
      </c>
    </row>
    <row r="10256" spans="1:19" x14ac:dyDescent="0.2">
      <c r="A10256" t="s">
        <v>10867</v>
      </c>
      <c r="B10256" t="s">
        <v>75</v>
      </c>
      <c r="C10256" t="s">
        <v>617</v>
      </c>
      <c r="D10256">
        <v>858.33</v>
      </c>
      <c r="E10256" s="37" t="str">
        <f t="shared" si="800"/>
        <v xml:space="preserve"> </v>
      </c>
      <c r="F10256">
        <v>0.49</v>
      </c>
      <c r="G10256" s="37" t="str">
        <f t="shared" si="801"/>
        <v>Heavy Discount</v>
      </c>
      <c r="H10256" s="37" t="str">
        <f t="shared" si="802"/>
        <v>High</v>
      </c>
      <c r="I10256">
        <v>5</v>
      </c>
      <c r="J10256" t="str" cm="1">
        <f t="array" ref="J10256">_xlfn.IFS(I10256&lt;=3,"small",I10256&lt;=6,"Medium",I10256&lt;=9,"Large")</f>
        <v>Medium</v>
      </c>
      <c r="K10256" s="36">
        <v>45066</v>
      </c>
      <c r="L10256" s="36">
        <v>45071</v>
      </c>
      <c r="M10256" t="s">
        <v>603</v>
      </c>
      <c r="N10256" t="s">
        <v>599</v>
      </c>
      <c r="O10256" s="37" t="str">
        <f t="shared" si="803"/>
        <v>Digital Payment</v>
      </c>
      <c r="P10256">
        <v>204.3</v>
      </c>
      <c r="Q10256" s="37" t="str">
        <f>IF(P10256&gt;500,"High","low")</f>
        <v>low</v>
      </c>
      <c r="R10256" s="37" t="str">
        <f t="shared" si="804"/>
        <v>AVERAGE</v>
      </c>
      <c r="S10256" t="s">
        <v>615</v>
      </c>
    </row>
    <row r="10257" spans="1:19" x14ac:dyDescent="0.2">
      <c r="A10257" t="s">
        <v>10868</v>
      </c>
      <c r="B10257" t="s">
        <v>90</v>
      </c>
      <c r="C10257" t="s">
        <v>617</v>
      </c>
      <c r="D10257">
        <v>3884.17</v>
      </c>
      <c r="E10257" s="37" t="str">
        <f t="shared" si="800"/>
        <v xml:space="preserve"> </v>
      </c>
      <c r="F10257">
        <v>0.15</v>
      </c>
      <c r="G10257" s="37" t="str">
        <f t="shared" si="801"/>
        <v>Normal Discount</v>
      </c>
      <c r="H10257" s="37" t="str">
        <f t="shared" si="802"/>
        <v>Low</v>
      </c>
      <c r="I10257">
        <v>9</v>
      </c>
      <c r="J10257" t="str" cm="1">
        <f t="array" ref="J10257">_xlfn.IFS(I10257&lt;=3,"small",I10257&lt;=6,"Medium",I10257&lt;=9,"Large")</f>
        <v>Large</v>
      </c>
      <c r="K10257" s="36">
        <v>45657</v>
      </c>
      <c r="L10257" s="36">
        <v>45659</v>
      </c>
      <c r="M10257" t="s">
        <v>603</v>
      </c>
      <c r="N10257" t="s">
        <v>608</v>
      </c>
      <c r="O10257" s="37" t="str">
        <f t="shared" si="803"/>
        <v>Cash Payment</v>
      </c>
      <c r="P10257">
        <v>905.27</v>
      </c>
      <c r="Q10257" s="37" t="str">
        <f>IF(P10257&gt;500,"High","low")</f>
        <v>High</v>
      </c>
      <c r="R10257" s="37" t="str">
        <f t="shared" si="804"/>
        <v>Good</v>
      </c>
      <c r="S10257" t="s">
        <v>628</v>
      </c>
    </row>
    <row r="10258" spans="1:19" x14ac:dyDescent="0.2">
      <c r="A10258" t="s">
        <v>10869</v>
      </c>
      <c r="B10258" t="s">
        <v>75</v>
      </c>
      <c r="C10258" t="s">
        <v>607</v>
      </c>
      <c r="D10258">
        <v>1405.97</v>
      </c>
      <c r="E10258" s="37" t="str">
        <f t="shared" si="800"/>
        <v xml:space="preserve"> </v>
      </c>
      <c r="F10258">
        <v>0.21</v>
      </c>
      <c r="G10258" s="37" t="str">
        <f t="shared" si="801"/>
        <v>Normal Discount</v>
      </c>
      <c r="H10258" s="37" t="str">
        <f t="shared" si="802"/>
        <v>Medium</v>
      </c>
      <c r="I10258">
        <v>5</v>
      </c>
      <c r="J10258" t="str" cm="1">
        <f t="array" ref="J10258">_xlfn.IFS(I10258&lt;=3,"small",I10258&lt;=6,"Medium",I10258&lt;=9,"Large")</f>
        <v>Medium</v>
      </c>
      <c r="K10258" s="36">
        <v>45039</v>
      </c>
      <c r="L10258" s="36">
        <v>45040</v>
      </c>
      <c r="M10258" t="s">
        <v>603</v>
      </c>
      <c r="N10258" t="s">
        <v>604</v>
      </c>
      <c r="O10258" s="37" t="str">
        <f t="shared" si="803"/>
        <v>Digital Payment</v>
      </c>
      <c r="P10258">
        <v>407.44</v>
      </c>
      <c r="Q10258" s="37" t="str">
        <f>IF(P10258&gt;500,"High","low")</f>
        <v>low</v>
      </c>
      <c r="R10258" s="37" t="str">
        <f t="shared" si="804"/>
        <v>AVERAGE</v>
      </c>
      <c r="S10258" t="s">
        <v>605</v>
      </c>
    </row>
    <row r="10259" spans="1:19" x14ac:dyDescent="0.2">
      <c r="A10259" t="s">
        <v>10870</v>
      </c>
      <c r="B10259" t="s">
        <v>90</v>
      </c>
      <c r="C10259" t="s">
        <v>617</v>
      </c>
      <c r="D10259">
        <v>1941.27</v>
      </c>
      <c r="E10259" s="37" t="str">
        <f t="shared" si="800"/>
        <v xml:space="preserve"> </v>
      </c>
      <c r="F10259">
        <v>0.38</v>
      </c>
      <c r="G10259" s="37" t="str">
        <f t="shared" si="801"/>
        <v>Heavy Discount</v>
      </c>
      <c r="H10259" s="37" t="str">
        <f t="shared" si="802"/>
        <v>Medium</v>
      </c>
      <c r="I10259">
        <v>3</v>
      </c>
      <c r="J10259" t="str" cm="1">
        <f t="array" ref="J10259">_xlfn.IFS(I10259&lt;=3,"small",I10259&lt;=6,"Medium",I10259&lt;=9,"Large")</f>
        <v>small</v>
      </c>
      <c r="K10259" s="36">
        <v>45494</v>
      </c>
      <c r="L10259" s="36">
        <v>45499</v>
      </c>
      <c r="M10259" t="s">
        <v>612</v>
      </c>
      <c r="N10259" t="s">
        <v>604</v>
      </c>
      <c r="O10259" s="37" t="str">
        <f t="shared" si="803"/>
        <v>Digital Payment</v>
      </c>
      <c r="P10259">
        <v>121.64</v>
      </c>
      <c r="Q10259" s="37" t="str">
        <f>IF(P10259&gt;500,"High","low")</f>
        <v>low</v>
      </c>
      <c r="R10259" s="37" t="str">
        <f t="shared" si="804"/>
        <v>AVERAGE</v>
      </c>
      <c r="S10259" t="s">
        <v>615</v>
      </c>
    </row>
    <row r="10260" spans="1:19" x14ac:dyDescent="0.2">
      <c r="A10260" t="s">
        <v>10871</v>
      </c>
      <c r="B10260" t="s">
        <v>83</v>
      </c>
      <c r="C10260" t="s">
        <v>607</v>
      </c>
      <c r="D10260">
        <v>3677.09</v>
      </c>
      <c r="E10260" s="37" t="str">
        <f t="shared" si="800"/>
        <v xml:space="preserve"> </v>
      </c>
      <c r="F10260">
        <v>0.44</v>
      </c>
      <c r="G10260" s="37" t="str">
        <f t="shared" si="801"/>
        <v>Heavy Discount</v>
      </c>
      <c r="H10260" s="37" t="str">
        <f t="shared" si="802"/>
        <v>High</v>
      </c>
      <c r="I10260">
        <v>9</v>
      </c>
      <c r="J10260" t="str" cm="1">
        <f t="array" ref="J10260">_xlfn.IFS(I10260&lt;=3,"small",I10260&lt;=6,"Medium",I10260&lt;=9,"Large")</f>
        <v>Large</v>
      </c>
      <c r="K10260" s="36">
        <v>45158</v>
      </c>
      <c r="L10260" s="36">
        <v>45165</v>
      </c>
      <c r="M10260" t="s">
        <v>603</v>
      </c>
      <c r="N10260" t="s">
        <v>599</v>
      </c>
      <c r="O10260" s="37" t="str">
        <f t="shared" si="803"/>
        <v>Digital Payment</v>
      </c>
      <c r="P10260">
        <v>263.82</v>
      </c>
      <c r="Q10260" s="37" t="str">
        <f>IF(P10260&gt;500,"High","low")</f>
        <v>low</v>
      </c>
      <c r="R10260" s="37" t="str">
        <f t="shared" si="804"/>
        <v>AVERAGE</v>
      </c>
      <c r="S10260" t="s">
        <v>609</v>
      </c>
    </row>
    <row r="10261" spans="1:19" x14ac:dyDescent="0.2">
      <c r="A10261" t="s">
        <v>10872</v>
      </c>
      <c r="B10261" t="s">
        <v>67</v>
      </c>
      <c r="C10261" t="s">
        <v>614</v>
      </c>
      <c r="D10261">
        <v>979.65</v>
      </c>
      <c r="E10261" s="37" t="str">
        <f t="shared" si="800"/>
        <v xml:space="preserve"> </v>
      </c>
      <c r="F10261">
        <v>0.44</v>
      </c>
      <c r="G10261" s="37" t="str">
        <f t="shared" si="801"/>
        <v>Heavy Discount</v>
      </c>
      <c r="H10261" s="37" t="str">
        <f t="shared" si="802"/>
        <v>High</v>
      </c>
      <c r="I10261">
        <v>2</v>
      </c>
      <c r="J10261" t="str" cm="1">
        <f t="array" ref="J10261">_xlfn.IFS(I10261&lt;=3,"small",I10261&lt;=6,"Medium",I10261&lt;=9,"Large")</f>
        <v>small</v>
      </c>
      <c r="K10261" s="36">
        <v>45063</v>
      </c>
      <c r="L10261" s="36">
        <v>45067</v>
      </c>
      <c r="M10261" t="s">
        <v>603</v>
      </c>
      <c r="N10261" t="s">
        <v>604</v>
      </c>
      <c r="O10261" s="37" t="str">
        <f t="shared" si="803"/>
        <v>Digital Payment</v>
      </c>
      <c r="P10261">
        <v>190.04</v>
      </c>
      <c r="Q10261" s="37" t="str">
        <f>IF(P10261&gt;500,"High","low")</f>
        <v>low</v>
      </c>
      <c r="R10261" s="37" t="str">
        <f t="shared" si="804"/>
        <v>AVERAGE</v>
      </c>
      <c r="S10261" t="s">
        <v>609</v>
      </c>
    </row>
    <row r="10262" spans="1:19" x14ac:dyDescent="0.2">
      <c r="A10262" t="s">
        <v>10873</v>
      </c>
      <c r="B10262" t="s">
        <v>90</v>
      </c>
      <c r="C10262" t="s">
        <v>607</v>
      </c>
      <c r="D10262">
        <v>2705.51</v>
      </c>
      <c r="E10262" s="37" t="str">
        <f t="shared" si="800"/>
        <v xml:space="preserve"> </v>
      </c>
      <c r="F10262">
        <v>0.2</v>
      </c>
      <c r="G10262" s="37" t="str">
        <f t="shared" si="801"/>
        <v>Normal Discount</v>
      </c>
      <c r="H10262" s="37" t="str">
        <f t="shared" si="802"/>
        <v>Medium</v>
      </c>
      <c r="I10262">
        <v>5</v>
      </c>
      <c r="J10262" t="str" cm="1">
        <f t="array" ref="J10262">_xlfn.IFS(I10262&lt;=3,"small",I10262&lt;=6,"Medium",I10262&lt;=9,"Large")</f>
        <v>Medium</v>
      </c>
      <c r="K10262" s="36">
        <v>45549</v>
      </c>
      <c r="L10262" s="36">
        <v>45556</v>
      </c>
      <c r="M10262" t="s">
        <v>603</v>
      </c>
      <c r="N10262" t="s">
        <v>608</v>
      </c>
      <c r="O10262" s="37" t="str">
        <f t="shared" si="803"/>
        <v>Cash Payment</v>
      </c>
      <c r="P10262">
        <v>457.79</v>
      </c>
      <c r="Q10262" s="37" t="str">
        <f>IF(P10262&gt;500,"High","low")</f>
        <v>low</v>
      </c>
      <c r="R10262" s="37" t="str">
        <f t="shared" si="804"/>
        <v>AVERAGE</v>
      </c>
      <c r="S10262" t="s">
        <v>628</v>
      </c>
    </row>
    <row r="10263" spans="1:19" x14ac:dyDescent="0.2">
      <c r="A10263" t="s">
        <v>10874</v>
      </c>
      <c r="B10263" t="s">
        <v>83</v>
      </c>
      <c r="C10263" t="s">
        <v>602</v>
      </c>
      <c r="D10263">
        <v>4597.32</v>
      </c>
      <c r="E10263" s="37" t="str">
        <f t="shared" si="800"/>
        <v>Excellent Order</v>
      </c>
      <c r="F10263">
        <v>0.47</v>
      </c>
      <c r="G10263" s="37" t="str">
        <f t="shared" si="801"/>
        <v>Heavy Discount</v>
      </c>
      <c r="H10263" s="37" t="str">
        <f t="shared" si="802"/>
        <v>High</v>
      </c>
      <c r="I10263">
        <v>3</v>
      </c>
      <c r="J10263" t="str" cm="1">
        <f t="array" ref="J10263">_xlfn.IFS(I10263&lt;=3,"small",I10263&lt;=6,"Medium",I10263&lt;=9,"Large")</f>
        <v>small</v>
      </c>
      <c r="K10263" s="36">
        <v>45091</v>
      </c>
      <c r="L10263" s="36">
        <v>45095</v>
      </c>
      <c r="M10263" t="s">
        <v>603</v>
      </c>
      <c r="N10263" t="s">
        <v>608</v>
      </c>
      <c r="O10263" s="37" t="str">
        <f t="shared" si="803"/>
        <v>Cash Payment</v>
      </c>
      <c r="P10263">
        <v>940.55</v>
      </c>
      <c r="Q10263" s="37" t="str">
        <f>IF(P10263&gt;500,"High","low")</f>
        <v>High</v>
      </c>
      <c r="R10263" s="37" t="str">
        <f t="shared" si="804"/>
        <v>Good</v>
      </c>
      <c r="S10263" t="s">
        <v>620</v>
      </c>
    </row>
    <row r="10264" spans="1:19" x14ac:dyDescent="0.2">
      <c r="A10264" t="s">
        <v>10875</v>
      </c>
      <c r="B10264" t="s">
        <v>83</v>
      </c>
      <c r="C10264" t="s">
        <v>597</v>
      </c>
      <c r="D10264">
        <v>2813.75</v>
      </c>
      <c r="E10264" s="37" t="str">
        <f t="shared" si="800"/>
        <v xml:space="preserve"> </v>
      </c>
      <c r="F10264">
        <v>0.33</v>
      </c>
      <c r="G10264" s="37" t="str">
        <f t="shared" si="801"/>
        <v>Heavy Discount</v>
      </c>
      <c r="H10264" s="37" t="str">
        <f t="shared" si="802"/>
        <v>Medium</v>
      </c>
      <c r="I10264">
        <v>7</v>
      </c>
      <c r="J10264" t="str" cm="1">
        <f t="array" ref="J10264">_xlfn.IFS(I10264&lt;=3,"small",I10264&lt;=6,"Medium",I10264&lt;=9,"Large")</f>
        <v>Large</v>
      </c>
      <c r="K10264" s="36">
        <v>45331</v>
      </c>
      <c r="L10264" s="36">
        <v>45335</v>
      </c>
      <c r="M10264" t="s">
        <v>612</v>
      </c>
      <c r="N10264" t="s">
        <v>599</v>
      </c>
      <c r="O10264" s="37" t="str">
        <f t="shared" si="803"/>
        <v>Digital Payment</v>
      </c>
      <c r="P10264">
        <v>516.04</v>
      </c>
      <c r="Q10264" s="37" t="str">
        <f>IF(P10264&gt;500,"High","low")</f>
        <v>High</v>
      </c>
      <c r="R10264" s="37" t="str">
        <f t="shared" si="804"/>
        <v>Good</v>
      </c>
      <c r="S10264" t="s">
        <v>628</v>
      </c>
    </row>
    <row r="10265" spans="1:19" x14ac:dyDescent="0.2">
      <c r="A10265" t="s">
        <v>10876</v>
      </c>
      <c r="B10265" t="s">
        <v>90</v>
      </c>
      <c r="C10265" t="s">
        <v>597</v>
      </c>
      <c r="D10265">
        <v>339.34</v>
      </c>
      <c r="E10265" s="37" t="str">
        <f t="shared" si="800"/>
        <v xml:space="preserve"> </v>
      </c>
      <c r="F10265">
        <v>0.43</v>
      </c>
      <c r="G10265" s="37" t="str">
        <f t="shared" si="801"/>
        <v>Heavy Discount</v>
      </c>
      <c r="H10265" s="37" t="str">
        <f t="shared" si="802"/>
        <v>High</v>
      </c>
      <c r="I10265">
        <v>4</v>
      </c>
      <c r="J10265" t="str" cm="1">
        <f t="array" ref="J10265">_xlfn.IFS(I10265&lt;=3,"small",I10265&lt;=6,"Medium",I10265&lt;=9,"Large")</f>
        <v>Medium</v>
      </c>
      <c r="K10265" s="36">
        <v>45045</v>
      </c>
      <c r="L10265" s="36">
        <v>45052</v>
      </c>
      <c r="M10265" t="s">
        <v>612</v>
      </c>
      <c r="N10265" t="s">
        <v>599</v>
      </c>
      <c r="O10265" s="37" t="str">
        <f t="shared" si="803"/>
        <v>Digital Payment</v>
      </c>
      <c r="P10265">
        <v>81.88</v>
      </c>
      <c r="Q10265" s="37" t="str">
        <f>IF(P10265&gt;500,"High","low")</f>
        <v>low</v>
      </c>
      <c r="R10265" s="37" t="str">
        <f t="shared" si="804"/>
        <v>AVERAGE</v>
      </c>
      <c r="S10265" t="s">
        <v>609</v>
      </c>
    </row>
    <row r="10266" spans="1:19" x14ac:dyDescent="0.2">
      <c r="A10266" t="s">
        <v>10877</v>
      </c>
      <c r="B10266" t="s">
        <v>67</v>
      </c>
      <c r="C10266" t="s">
        <v>602</v>
      </c>
      <c r="D10266">
        <v>2989.52</v>
      </c>
      <c r="E10266" s="37" t="str">
        <f t="shared" si="800"/>
        <v xml:space="preserve"> </v>
      </c>
      <c r="F10266">
        <v>0.46</v>
      </c>
      <c r="G10266" s="37" t="str">
        <f t="shared" si="801"/>
        <v>Heavy Discount</v>
      </c>
      <c r="H10266" s="37" t="str">
        <f t="shared" si="802"/>
        <v>High</v>
      </c>
      <c r="I10266">
        <v>8</v>
      </c>
      <c r="J10266" t="str" cm="1">
        <f t="array" ref="J10266">_xlfn.IFS(I10266&lt;=3,"small",I10266&lt;=6,"Medium",I10266&lt;=9,"Large")</f>
        <v>Large</v>
      </c>
      <c r="K10266" s="36">
        <v>45439</v>
      </c>
      <c r="L10266" s="36">
        <v>45443</v>
      </c>
      <c r="M10266" t="s">
        <v>612</v>
      </c>
      <c r="N10266" t="s">
        <v>599</v>
      </c>
      <c r="O10266" s="37" t="str">
        <f t="shared" si="803"/>
        <v>Digital Payment</v>
      </c>
      <c r="P10266">
        <v>813.91</v>
      </c>
      <c r="Q10266" s="37" t="str">
        <f>IF(P10266&gt;500,"High","low")</f>
        <v>High</v>
      </c>
      <c r="R10266" s="37" t="str">
        <f t="shared" si="804"/>
        <v>Good</v>
      </c>
      <c r="S10266" t="s">
        <v>600</v>
      </c>
    </row>
    <row r="10267" spans="1:19" x14ac:dyDescent="0.2">
      <c r="A10267" t="s">
        <v>10878</v>
      </c>
      <c r="B10267" t="s">
        <v>83</v>
      </c>
      <c r="C10267" t="s">
        <v>607</v>
      </c>
      <c r="D10267">
        <v>541.75</v>
      </c>
      <c r="E10267" s="37" t="str">
        <f t="shared" si="800"/>
        <v xml:space="preserve"> </v>
      </c>
      <c r="F10267">
        <v>0.12</v>
      </c>
      <c r="G10267" s="37" t="str">
        <f t="shared" si="801"/>
        <v>Normal Discount</v>
      </c>
      <c r="H10267" s="37" t="str">
        <f t="shared" si="802"/>
        <v>Low</v>
      </c>
      <c r="I10267">
        <v>1</v>
      </c>
      <c r="J10267" t="str" cm="1">
        <f t="array" ref="J10267">_xlfn.IFS(I10267&lt;=3,"small",I10267&lt;=6,"Medium",I10267&lt;=9,"Large")</f>
        <v>small</v>
      </c>
      <c r="K10267" s="36">
        <v>45427</v>
      </c>
      <c r="L10267" s="36">
        <v>45434</v>
      </c>
      <c r="M10267" t="s">
        <v>603</v>
      </c>
      <c r="N10267" t="s">
        <v>599</v>
      </c>
      <c r="O10267" s="37" t="str">
        <f t="shared" si="803"/>
        <v>Digital Payment</v>
      </c>
      <c r="P10267">
        <v>99.33</v>
      </c>
      <c r="Q10267" s="37" t="str">
        <f>IF(P10267&gt;500,"High","low")</f>
        <v>low</v>
      </c>
      <c r="R10267" s="37" t="str">
        <f t="shared" si="804"/>
        <v>AVERAGE</v>
      </c>
      <c r="S10267" t="s">
        <v>620</v>
      </c>
    </row>
    <row r="10268" spans="1:19" x14ac:dyDescent="0.2">
      <c r="A10268" t="s">
        <v>10879</v>
      </c>
      <c r="B10268" t="s">
        <v>90</v>
      </c>
      <c r="C10268" t="s">
        <v>602</v>
      </c>
      <c r="D10268">
        <v>1482.41</v>
      </c>
      <c r="E10268" s="37" t="str">
        <f t="shared" si="800"/>
        <v xml:space="preserve"> </v>
      </c>
      <c r="F10268">
        <v>0.25</v>
      </c>
      <c r="G10268" s="37" t="str">
        <f t="shared" si="801"/>
        <v>Normal Discount</v>
      </c>
      <c r="H10268" s="37" t="str">
        <f t="shared" si="802"/>
        <v>Medium</v>
      </c>
      <c r="I10268">
        <v>5</v>
      </c>
      <c r="J10268" t="str" cm="1">
        <f t="array" ref="J10268">_xlfn.IFS(I10268&lt;=3,"small",I10268&lt;=6,"Medium",I10268&lt;=9,"Large")</f>
        <v>Medium</v>
      </c>
      <c r="K10268" s="36">
        <v>45258</v>
      </c>
      <c r="L10268" s="36">
        <v>45260</v>
      </c>
      <c r="M10268" t="s">
        <v>612</v>
      </c>
      <c r="N10268" t="s">
        <v>599</v>
      </c>
      <c r="O10268" s="37" t="str">
        <f t="shared" si="803"/>
        <v>Digital Payment</v>
      </c>
      <c r="P10268">
        <v>107.14</v>
      </c>
      <c r="Q10268" s="37" t="str">
        <f>IF(P10268&gt;500,"High","low")</f>
        <v>low</v>
      </c>
      <c r="R10268" s="37" t="str">
        <f t="shared" si="804"/>
        <v>AVERAGE</v>
      </c>
      <c r="S10268" t="s">
        <v>605</v>
      </c>
    </row>
    <row r="10269" spans="1:19" x14ac:dyDescent="0.2">
      <c r="A10269" t="s">
        <v>10880</v>
      </c>
      <c r="B10269" t="s">
        <v>67</v>
      </c>
      <c r="C10269" t="s">
        <v>617</v>
      </c>
      <c r="D10269">
        <v>4263.41</v>
      </c>
      <c r="E10269" s="37" t="str">
        <f t="shared" si="800"/>
        <v xml:space="preserve"> </v>
      </c>
      <c r="F10269">
        <v>0.28999999999999998</v>
      </c>
      <c r="G10269" s="37" t="str">
        <f t="shared" si="801"/>
        <v>Normal Discount</v>
      </c>
      <c r="H10269" s="37" t="str">
        <f t="shared" si="802"/>
        <v>Medium</v>
      </c>
      <c r="I10269">
        <v>8</v>
      </c>
      <c r="J10269" t="str" cm="1">
        <f t="array" ref="J10269">_xlfn.IFS(I10269&lt;=3,"small",I10269&lt;=6,"Medium",I10269&lt;=9,"Large")</f>
        <v>Large</v>
      </c>
      <c r="K10269" s="36">
        <v>45503</v>
      </c>
      <c r="L10269" s="36">
        <v>45506</v>
      </c>
      <c r="M10269" t="s">
        <v>598</v>
      </c>
      <c r="N10269" t="s">
        <v>604</v>
      </c>
      <c r="O10269" s="37" t="str">
        <f t="shared" si="803"/>
        <v>Digital Payment</v>
      </c>
      <c r="P10269">
        <v>329.55</v>
      </c>
      <c r="Q10269" s="37" t="str">
        <f>IF(P10269&gt;500,"High","low")</f>
        <v>low</v>
      </c>
      <c r="R10269" s="37" t="str">
        <f t="shared" si="804"/>
        <v>AVERAGE</v>
      </c>
      <c r="S10269" t="s">
        <v>615</v>
      </c>
    </row>
    <row r="10270" spans="1:19" x14ac:dyDescent="0.2">
      <c r="A10270" t="s">
        <v>10881</v>
      </c>
      <c r="B10270" t="s">
        <v>67</v>
      </c>
      <c r="C10270" t="s">
        <v>607</v>
      </c>
      <c r="D10270">
        <v>154.24</v>
      </c>
      <c r="E10270" s="37" t="str">
        <f t="shared" si="800"/>
        <v xml:space="preserve"> </v>
      </c>
      <c r="F10270">
        <v>0.4</v>
      </c>
      <c r="G10270" s="37" t="str">
        <f t="shared" si="801"/>
        <v>Heavy Discount</v>
      </c>
      <c r="H10270" s="37" t="str">
        <f t="shared" si="802"/>
        <v>Medium</v>
      </c>
      <c r="I10270">
        <v>2</v>
      </c>
      <c r="J10270" t="str" cm="1">
        <f t="array" ref="J10270">_xlfn.IFS(I10270&lt;=3,"small",I10270&lt;=6,"Medium",I10270&lt;=9,"Large")</f>
        <v>small</v>
      </c>
      <c r="K10270" s="36">
        <v>45593</v>
      </c>
      <c r="L10270" s="36">
        <v>45598</v>
      </c>
      <c r="M10270" t="s">
        <v>612</v>
      </c>
      <c r="N10270" t="s">
        <v>599</v>
      </c>
      <c r="O10270" s="37" t="str">
        <f t="shared" si="803"/>
        <v>Digital Payment</v>
      </c>
      <c r="P10270">
        <v>16.329999999999998</v>
      </c>
      <c r="Q10270" s="37" t="str">
        <f>IF(P10270&gt;500,"High","low")</f>
        <v>low</v>
      </c>
      <c r="R10270" s="37" t="str">
        <f t="shared" si="804"/>
        <v>AVERAGE</v>
      </c>
      <c r="S10270" t="s">
        <v>600</v>
      </c>
    </row>
    <row r="10271" spans="1:19" x14ac:dyDescent="0.2">
      <c r="A10271" t="s">
        <v>10882</v>
      </c>
      <c r="B10271" t="s">
        <v>83</v>
      </c>
      <c r="C10271" t="s">
        <v>602</v>
      </c>
      <c r="D10271">
        <v>477.37</v>
      </c>
      <c r="E10271" s="37" t="str">
        <f t="shared" si="800"/>
        <v xml:space="preserve"> </v>
      </c>
      <c r="F10271">
        <v>0.2</v>
      </c>
      <c r="G10271" s="37" t="str">
        <f t="shared" si="801"/>
        <v>Normal Discount</v>
      </c>
      <c r="H10271" s="37" t="str">
        <f t="shared" si="802"/>
        <v>Medium</v>
      </c>
      <c r="I10271">
        <v>6</v>
      </c>
      <c r="J10271" t="str" cm="1">
        <f t="array" ref="J10271">_xlfn.IFS(I10271&lt;=3,"small",I10271&lt;=6,"Medium",I10271&lt;=9,"Large")</f>
        <v>Medium</v>
      </c>
      <c r="K10271" s="36">
        <v>45206</v>
      </c>
      <c r="L10271" s="36">
        <v>45208</v>
      </c>
      <c r="M10271" t="s">
        <v>612</v>
      </c>
      <c r="N10271" t="s">
        <v>604</v>
      </c>
      <c r="O10271" s="37" t="str">
        <f t="shared" si="803"/>
        <v>Digital Payment</v>
      </c>
      <c r="P10271">
        <v>126.59</v>
      </c>
      <c r="Q10271" s="37" t="str">
        <f>IF(P10271&gt;500,"High","low")</f>
        <v>low</v>
      </c>
      <c r="R10271" s="37" t="str">
        <f t="shared" si="804"/>
        <v>AVERAGE</v>
      </c>
      <c r="S10271" t="s">
        <v>600</v>
      </c>
    </row>
    <row r="10272" spans="1:19" x14ac:dyDescent="0.2">
      <c r="A10272" t="s">
        <v>10883</v>
      </c>
      <c r="B10272" t="s">
        <v>75</v>
      </c>
      <c r="C10272" t="s">
        <v>617</v>
      </c>
      <c r="D10272">
        <v>1880.48</v>
      </c>
      <c r="E10272" s="37" t="str">
        <f t="shared" si="800"/>
        <v xml:space="preserve"> </v>
      </c>
      <c r="F10272">
        <v>0.11</v>
      </c>
      <c r="G10272" s="37" t="str">
        <f t="shared" si="801"/>
        <v>Normal Discount</v>
      </c>
      <c r="H10272" s="37" t="str">
        <f t="shared" si="802"/>
        <v>Low</v>
      </c>
      <c r="I10272">
        <v>7</v>
      </c>
      <c r="J10272" t="str" cm="1">
        <f t="array" ref="J10272">_xlfn.IFS(I10272&lt;=3,"small",I10272&lt;=6,"Medium",I10272&lt;=9,"Large")</f>
        <v>Large</v>
      </c>
      <c r="K10272" s="36">
        <v>45270</v>
      </c>
      <c r="L10272" s="36">
        <v>45272</v>
      </c>
      <c r="M10272" t="s">
        <v>612</v>
      </c>
      <c r="N10272" t="s">
        <v>599</v>
      </c>
      <c r="O10272" s="37" t="str">
        <f t="shared" si="803"/>
        <v>Digital Payment</v>
      </c>
      <c r="P10272">
        <v>366.56</v>
      </c>
      <c r="Q10272" s="37" t="str">
        <f>IF(P10272&gt;500,"High","low")</f>
        <v>low</v>
      </c>
      <c r="R10272" s="37" t="str">
        <f t="shared" si="804"/>
        <v>AVERAGE</v>
      </c>
      <c r="S10272" t="s">
        <v>615</v>
      </c>
    </row>
    <row r="10273" spans="1:19" x14ac:dyDescent="0.2">
      <c r="A10273" t="s">
        <v>10884</v>
      </c>
      <c r="B10273" t="s">
        <v>75</v>
      </c>
      <c r="C10273" t="s">
        <v>617</v>
      </c>
      <c r="D10273">
        <v>4997.04</v>
      </c>
      <c r="E10273" s="37" t="str">
        <f t="shared" si="800"/>
        <v xml:space="preserve"> </v>
      </c>
      <c r="F10273">
        <v>0.37</v>
      </c>
      <c r="G10273" s="37" t="str">
        <f t="shared" si="801"/>
        <v>Heavy Discount</v>
      </c>
      <c r="H10273" s="37" t="str">
        <f t="shared" si="802"/>
        <v>Medium</v>
      </c>
      <c r="I10273">
        <v>6</v>
      </c>
      <c r="J10273" t="str" cm="1">
        <f t="array" ref="J10273">_xlfn.IFS(I10273&lt;=3,"small",I10273&lt;=6,"Medium",I10273&lt;=9,"Large")</f>
        <v>Medium</v>
      </c>
      <c r="K10273" s="36">
        <v>45103</v>
      </c>
      <c r="L10273" s="36">
        <v>45105</v>
      </c>
      <c r="M10273" t="s">
        <v>603</v>
      </c>
      <c r="N10273" t="s">
        <v>604</v>
      </c>
      <c r="O10273" s="37" t="str">
        <f t="shared" si="803"/>
        <v>Digital Payment</v>
      </c>
      <c r="P10273">
        <v>720.21</v>
      </c>
      <c r="Q10273" s="37" t="str">
        <f>IF(P10273&gt;500,"High","low")</f>
        <v>High</v>
      </c>
      <c r="R10273" s="37" t="str">
        <f t="shared" si="804"/>
        <v>Good</v>
      </c>
      <c r="S10273" t="s">
        <v>628</v>
      </c>
    </row>
    <row r="10274" spans="1:19" x14ac:dyDescent="0.2">
      <c r="A10274" t="s">
        <v>10885</v>
      </c>
      <c r="B10274" t="s">
        <v>83</v>
      </c>
      <c r="C10274" t="s">
        <v>607</v>
      </c>
      <c r="D10274">
        <v>1530.13</v>
      </c>
      <c r="E10274" s="37" t="str">
        <f t="shared" si="800"/>
        <v xml:space="preserve"> </v>
      </c>
      <c r="F10274">
        <v>0.3</v>
      </c>
      <c r="G10274" s="37" t="str">
        <f t="shared" si="801"/>
        <v>Normal Discount</v>
      </c>
      <c r="H10274" s="37" t="str">
        <f t="shared" si="802"/>
        <v>Medium</v>
      </c>
      <c r="I10274">
        <v>3</v>
      </c>
      <c r="J10274" t="str" cm="1">
        <f t="array" ref="J10274">_xlfn.IFS(I10274&lt;=3,"small",I10274&lt;=6,"Medium",I10274&lt;=9,"Large")</f>
        <v>small</v>
      </c>
      <c r="K10274" s="36">
        <v>45472</v>
      </c>
      <c r="L10274" s="36">
        <v>45474</v>
      </c>
      <c r="M10274" t="s">
        <v>603</v>
      </c>
      <c r="N10274" t="s">
        <v>599</v>
      </c>
      <c r="O10274" s="37" t="str">
        <f t="shared" si="803"/>
        <v>Digital Payment</v>
      </c>
      <c r="P10274">
        <v>215.15</v>
      </c>
      <c r="Q10274" s="37" t="str">
        <f>IF(P10274&gt;500,"High","low")</f>
        <v>low</v>
      </c>
      <c r="R10274" s="37" t="str">
        <f t="shared" si="804"/>
        <v>AVERAGE</v>
      </c>
      <c r="S10274" t="s">
        <v>609</v>
      </c>
    </row>
    <row r="10275" spans="1:19" x14ac:dyDescent="0.2">
      <c r="A10275" t="s">
        <v>10886</v>
      </c>
      <c r="B10275" t="s">
        <v>67</v>
      </c>
      <c r="C10275" t="s">
        <v>614</v>
      </c>
      <c r="D10275">
        <v>870.65</v>
      </c>
      <c r="E10275" s="37" t="str">
        <f t="shared" si="800"/>
        <v xml:space="preserve"> </v>
      </c>
      <c r="F10275">
        <v>0.45</v>
      </c>
      <c r="G10275" s="37" t="str">
        <f t="shared" si="801"/>
        <v>Heavy Discount</v>
      </c>
      <c r="H10275" s="37" t="str">
        <f t="shared" si="802"/>
        <v>High</v>
      </c>
      <c r="I10275">
        <v>6</v>
      </c>
      <c r="J10275" t="str" cm="1">
        <f t="array" ref="J10275">_xlfn.IFS(I10275&lt;=3,"small",I10275&lt;=6,"Medium",I10275&lt;=9,"Large")</f>
        <v>Medium</v>
      </c>
      <c r="K10275" s="36">
        <v>45029</v>
      </c>
      <c r="L10275" s="36">
        <v>45036</v>
      </c>
      <c r="M10275" t="s">
        <v>612</v>
      </c>
      <c r="N10275" t="s">
        <v>604</v>
      </c>
      <c r="O10275" s="37" t="str">
        <f t="shared" si="803"/>
        <v>Digital Payment</v>
      </c>
      <c r="P10275">
        <v>56.86</v>
      </c>
      <c r="Q10275" s="37" t="str">
        <f>IF(P10275&gt;500,"High","low")</f>
        <v>low</v>
      </c>
      <c r="R10275" s="37" t="str">
        <f t="shared" si="804"/>
        <v>AVERAGE</v>
      </c>
      <c r="S10275" t="s">
        <v>620</v>
      </c>
    </row>
    <row r="10276" spans="1:19" x14ac:dyDescent="0.2">
      <c r="A10276" t="s">
        <v>10887</v>
      </c>
      <c r="B10276" t="s">
        <v>83</v>
      </c>
      <c r="C10276" t="s">
        <v>614</v>
      </c>
      <c r="D10276">
        <v>2792.17</v>
      </c>
      <c r="E10276" s="37" t="str">
        <f t="shared" si="800"/>
        <v xml:space="preserve"> </v>
      </c>
      <c r="F10276">
        <v>0.33</v>
      </c>
      <c r="G10276" s="37" t="str">
        <f t="shared" si="801"/>
        <v>Heavy Discount</v>
      </c>
      <c r="H10276" s="37" t="str">
        <f t="shared" si="802"/>
        <v>Medium</v>
      </c>
      <c r="I10276">
        <v>7</v>
      </c>
      <c r="J10276" t="str" cm="1">
        <f t="array" ref="J10276">_xlfn.IFS(I10276&lt;=3,"small",I10276&lt;=6,"Medium",I10276&lt;=9,"Large")</f>
        <v>Large</v>
      </c>
      <c r="K10276" s="36">
        <v>45050</v>
      </c>
      <c r="L10276" s="36">
        <v>45052</v>
      </c>
      <c r="M10276" t="s">
        <v>603</v>
      </c>
      <c r="N10276" t="s">
        <v>599</v>
      </c>
      <c r="O10276" s="37" t="str">
        <f t="shared" si="803"/>
        <v>Digital Payment</v>
      </c>
      <c r="P10276">
        <v>333.75</v>
      </c>
      <c r="Q10276" s="37" t="str">
        <f>IF(P10276&gt;500,"High","low")</f>
        <v>low</v>
      </c>
      <c r="R10276" s="37" t="str">
        <f t="shared" si="804"/>
        <v>AVERAGE</v>
      </c>
      <c r="S10276" t="s">
        <v>609</v>
      </c>
    </row>
    <row r="10277" spans="1:19" x14ac:dyDescent="0.2">
      <c r="A10277" t="s">
        <v>10888</v>
      </c>
      <c r="B10277" t="s">
        <v>90</v>
      </c>
      <c r="C10277" t="s">
        <v>617</v>
      </c>
      <c r="D10277">
        <v>2644.35</v>
      </c>
      <c r="E10277" s="37" t="str">
        <f t="shared" si="800"/>
        <v xml:space="preserve"> </v>
      </c>
      <c r="F10277">
        <v>0.01</v>
      </c>
      <c r="G10277" s="37" t="str">
        <f t="shared" si="801"/>
        <v>Normal Discount</v>
      </c>
      <c r="H10277" s="37" t="str">
        <f t="shared" si="802"/>
        <v>Low</v>
      </c>
      <c r="I10277">
        <v>3</v>
      </c>
      <c r="J10277" t="str" cm="1">
        <f t="array" ref="J10277">_xlfn.IFS(I10277&lt;=3,"small",I10277&lt;=6,"Medium",I10277&lt;=9,"Large")</f>
        <v>small</v>
      </c>
      <c r="K10277" s="36">
        <v>45409</v>
      </c>
      <c r="L10277" s="36">
        <v>45411</v>
      </c>
      <c r="M10277" t="s">
        <v>598</v>
      </c>
      <c r="N10277" t="s">
        <v>599</v>
      </c>
      <c r="O10277" s="37" t="str">
        <f t="shared" si="803"/>
        <v>Digital Payment</v>
      </c>
      <c r="P10277">
        <v>370.24</v>
      </c>
      <c r="Q10277" s="37" t="str">
        <f>IF(P10277&gt;500,"High","low")</f>
        <v>low</v>
      </c>
      <c r="R10277" s="37" t="str">
        <f t="shared" si="804"/>
        <v>AVERAGE</v>
      </c>
      <c r="S10277" t="s">
        <v>620</v>
      </c>
    </row>
    <row r="10278" spans="1:19" x14ac:dyDescent="0.2">
      <c r="A10278" t="s">
        <v>10889</v>
      </c>
      <c r="B10278" t="s">
        <v>75</v>
      </c>
      <c r="C10278" t="s">
        <v>614</v>
      </c>
      <c r="D10278">
        <v>2303.14</v>
      </c>
      <c r="E10278" s="37" t="str">
        <f t="shared" si="800"/>
        <v xml:space="preserve"> </v>
      </c>
      <c r="F10278">
        <v>0.48</v>
      </c>
      <c r="G10278" s="37" t="str">
        <f t="shared" si="801"/>
        <v>Heavy Discount</v>
      </c>
      <c r="H10278" s="37" t="str">
        <f t="shared" si="802"/>
        <v>High</v>
      </c>
      <c r="I10278">
        <v>2</v>
      </c>
      <c r="J10278" t="str" cm="1">
        <f t="array" ref="J10278">_xlfn.IFS(I10278&lt;=3,"small",I10278&lt;=6,"Medium",I10278&lt;=9,"Large")</f>
        <v>small</v>
      </c>
      <c r="K10278" s="36">
        <v>44976</v>
      </c>
      <c r="L10278" s="36">
        <v>44978</v>
      </c>
      <c r="M10278" t="s">
        <v>598</v>
      </c>
      <c r="N10278" t="s">
        <v>608</v>
      </c>
      <c r="O10278" s="37" t="str">
        <f t="shared" si="803"/>
        <v>Cash Payment</v>
      </c>
      <c r="P10278">
        <v>164.53</v>
      </c>
      <c r="Q10278" s="37" t="str">
        <f>IF(P10278&gt;500,"High","low")</f>
        <v>low</v>
      </c>
      <c r="R10278" s="37" t="str">
        <f t="shared" si="804"/>
        <v>AVERAGE</v>
      </c>
      <c r="S10278" t="s">
        <v>609</v>
      </c>
    </row>
    <row r="10279" spans="1:19" x14ac:dyDescent="0.2">
      <c r="A10279" t="s">
        <v>10890</v>
      </c>
      <c r="B10279" t="s">
        <v>90</v>
      </c>
      <c r="C10279" t="s">
        <v>617</v>
      </c>
      <c r="D10279">
        <v>4738.6000000000004</v>
      </c>
      <c r="E10279" s="37" t="str">
        <f t="shared" si="800"/>
        <v xml:space="preserve"> </v>
      </c>
      <c r="F10279">
        <v>0.3</v>
      </c>
      <c r="G10279" s="37" t="str">
        <f t="shared" si="801"/>
        <v>Normal Discount</v>
      </c>
      <c r="H10279" s="37" t="str">
        <f t="shared" si="802"/>
        <v>Medium</v>
      </c>
      <c r="I10279">
        <v>3</v>
      </c>
      <c r="J10279" t="str" cm="1">
        <f t="array" ref="J10279">_xlfn.IFS(I10279&lt;=3,"small",I10279&lt;=6,"Medium",I10279&lt;=9,"Large")</f>
        <v>small</v>
      </c>
      <c r="K10279" s="36">
        <v>45612</v>
      </c>
      <c r="L10279" s="36">
        <v>45615</v>
      </c>
      <c r="M10279" t="s">
        <v>612</v>
      </c>
      <c r="N10279" t="s">
        <v>608</v>
      </c>
      <c r="O10279" s="37" t="str">
        <f t="shared" si="803"/>
        <v>Cash Payment</v>
      </c>
      <c r="P10279">
        <v>730.16</v>
      </c>
      <c r="Q10279" s="37" t="str">
        <f>IF(P10279&gt;500,"High","low")</f>
        <v>High</v>
      </c>
      <c r="R10279" s="37" t="str">
        <f t="shared" si="804"/>
        <v>Good</v>
      </c>
      <c r="S10279" t="s">
        <v>605</v>
      </c>
    </row>
    <row r="10280" spans="1:19" x14ac:dyDescent="0.2">
      <c r="A10280" t="s">
        <v>10891</v>
      </c>
      <c r="B10280" t="s">
        <v>83</v>
      </c>
      <c r="C10280" t="s">
        <v>614</v>
      </c>
      <c r="D10280">
        <v>1472.73</v>
      </c>
      <c r="E10280" s="37" t="str">
        <f t="shared" si="800"/>
        <v xml:space="preserve"> </v>
      </c>
      <c r="F10280">
        <v>0.3</v>
      </c>
      <c r="G10280" s="37" t="str">
        <f t="shared" si="801"/>
        <v>Normal Discount</v>
      </c>
      <c r="H10280" s="37" t="str">
        <f t="shared" si="802"/>
        <v>Medium</v>
      </c>
      <c r="I10280">
        <v>1</v>
      </c>
      <c r="J10280" t="str" cm="1">
        <f t="array" ref="J10280">_xlfn.IFS(I10280&lt;=3,"small",I10280&lt;=6,"Medium",I10280&lt;=9,"Large")</f>
        <v>small</v>
      </c>
      <c r="K10280" s="36">
        <v>45192</v>
      </c>
      <c r="L10280" s="36">
        <v>45195</v>
      </c>
      <c r="M10280" t="s">
        <v>598</v>
      </c>
      <c r="N10280" t="s">
        <v>604</v>
      </c>
      <c r="O10280" s="37" t="str">
        <f t="shared" si="803"/>
        <v>Digital Payment</v>
      </c>
      <c r="P10280">
        <v>216.82</v>
      </c>
      <c r="Q10280" s="37" t="str">
        <f>IF(P10280&gt;500,"High","low")</f>
        <v>low</v>
      </c>
      <c r="R10280" s="37" t="str">
        <f t="shared" si="804"/>
        <v>AVERAGE</v>
      </c>
      <c r="S10280" t="s">
        <v>609</v>
      </c>
    </row>
    <row r="10281" spans="1:19" x14ac:dyDescent="0.2">
      <c r="A10281" t="s">
        <v>10892</v>
      </c>
      <c r="B10281" t="s">
        <v>83</v>
      </c>
      <c r="C10281" t="s">
        <v>617</v>
      </c>
      <c r="D10281">
        <v>1537.29</v>
      </c>
      <c r="E10281" s="37" t="str">
        <f t="shared" si="800"/>
        <v xml:space="preserve"> </v>
      </c>
      <c r="F10281">
        <v>0.45</v>
      </c>
      <c r="G10281" s="37" t="str">
        <f t="shared" si="801"/>
        <v>Heavy Discount</v>
      </c>
      <c r="H10281" s="37" t="str">
        <f t="shared" si="802"/>
        <v>High</v>
      </c>
      <c r="I10281">
        <v>7</v>
      </c>
      <c r="J10281" t="str" cm="1">
        <f t="array" ref="J10281">_xlfn.IFS(I10281&lt;=3,"small",I10281&lt;=6,"Medium",I10281&lt;=9,"Large")</f>
        <v>Large</v>
      </c>
      <c r="K10281" s="36">
        <v>45654</v>
      </c>
      <c r="L10281" s="36">
        <v>45660</v>
      </c>
      <c r="M10281" t="s">
        <v>612</v>
      </c>
      <c r="N10281" t="s">
        <v>604</v>
      </c>
      <c r="O10281" s="37" t="str">
        <f t="shared" si="803"/>
        <v>Digital Payment</v>
      </c>
      <c r="P10281">
        <v>442.49</v>
      </c>
      <c r="Q10281" s="37" t="str">
        <f>IF(P10281&gt;500,"High","low")</f>
        <v>low</v>
      </c>
      <c r="R10281" s="37" t="str">
        <f t="shared" si="804"/>
        <v>AVERAGE</v>
      </c>
      <c r="S10281" t="s">
        <v>628</v>
      </c>
    </row>
    <row r="10282" spans="1:19" x14ac:dyDescent="0.2">
      <c r="A10282" t="s">
        <v>10893</v>
      </c>
      <c r="B10282" t="s">
        <v>67</v>
      </c>
      <c r="C10282" t="s">
        <v>617</v>
      </c>
      <c r="D10282">
        <v>787.26</v>
      </c>
      <c r="E10282" s="37" t="str">
        <f t="shared" si="800"/>
        <v xml:space="preserve"> </v>
      </c>
      <c r="F10282">
        <v>0.33</v>
      </c>
      <c r="G10282" s="37" t="str">
        <f t="shared" si="801"/>
        <v>Heavy Discount</v>
      </c>
      <c r="H10282" s="37" t="str">
        <f t="shared" si="802"/>
        <v>Medium</v>
      </c>
      <c r="I10282">
        <v>4</v>
      </c>
      <c r="J10282" t="str" cm="1">
        <f t="array" ref="J10282">_xlfn.IFS(I10282&lt;=3,"small",I10282&lt;=6,"Medium",I10282&lt;=9,"Large")</f>
        <v>Medium</v>
      </c>
      <c r="K10282" s="36">
        <v>45017</v>
      </c>
      <c r="L10282" s="36">
        <v>45019</v>
      </c>
      <c r="M10282" t="s">
        <v>598</v>
      </c>
      <c r="N10282" t="s">
        <v>599</v>
      </c>
      <c r="O10282" s="37" t="str">
        <f t="shared" si="803"/>
        <v>Digital Payment</v>
      </c>
      <c r="P10282">
        <v>132.57</v>
      </c>
      <c r="Q10282" s="37" t="str">
        <f>IF(P10282&gt;500,"High","low")</f>
        <v>low</v>
      </c>
      <c r="R10282" s="37" t="str">
        <f t="shared" si="804"/>
        <v>AVERAGE</v>
      </c>
      <c r="S10282" t="s">
        <v>628</v>
      </c>
    </row>
    <row r="10283" spans="1:19" x14ac:dyDescent="0.2">
      <c r="A10283" t="s">
        <v>10894</v>
      </c>
      <c r="B10283" t="s">
        <v>67</v>
      </c>
      <c r="C10283" t="s">
        <v>617</v>
      </c>
      <c r="D10283">
        <v>3516.71</v>
      </c>
      <c r="E10283" s="37" t="str">
        <f t="shared" si="800"/>
        <v xml:space="preserve"> </v>
      </c>
      <c r="F10283">
        <v>0.24</v>
      </c>
      <c r="G10283" s="37" t="str">
        <f t="shared" si="801"/>
        <v>Normal Discount</v>
      </c>
      <c r="H10283" s="37" t="str">
        <f t="shared" si="802"/>
        <v>Medium</v>
      </c>
      <c r="I10283">
        <v>3</v>
      </c>
      <c r="J10283" t="str" cm="1">
        <f t="array" ref="J10283">_xlfn.IFS(I10283&lt;=3,"small",I10283&lt;=6,"Medium",I10283&lt;=9,"Large")</f>
        <v>small</v>
      </c>
      <c r="K10283" s="36">
        <v>45189</v>
      </c>
      <c r="L10283" s="36">
        <v>45193</v>
      </c>
      <c r="M10283" t="s">
        <v>612</v>
      </c>
      <c r="N10283" t="s">
        <v>599</v>
      </c>
      <c r="O10283" s="37" t="str">
        <f t="shared" si="803"/>
        <v>Digital Payment</v>
      </c>
      <c r="P10283">
        <v>755.24</v>
      </c>
      <c r="Q10283" s="37" t="str">
        <f>IF(P10283&gt;500,"High","low")</f>
        <v>High</v>
      </c>
      <c r="R10283" s="37" t="str">
        <f t="shared" si="804"/>
        <v>Good</v>
      </c>
      <c r="S10283" t="s">
        <v>615</v>
      </c>
    </row>
    <row r="10284" spans="1:19" x14ac:dyDescent="0.2">
      <c r="A10284" t="s">
        <v>10895</v>
      </c>
      <c r="B10284" t="s">
        <v>67</v>
      </c>
      <c r="C10284" t="s">
        <v>617</v>
      </c>
      <c r="D10284">
        <v>1674.71</v>
      </c>
      <c r="E10284" s="37" t="str">
        <f t="shared" si="800"/>
        <v xml:space="preserve"> </v>
      </c>
      <c r="F10284">
        <v>0.05</v>
      </c>
      <c r="G10284" s="37" t="str">
        <f t="shared" si="801"/>
        <v>Normal Discount</v>
      </c>
      <c r="H10284" s="37" t="str">
        <f t="shared" si="802"/>
        <v>Low</v>
      </c>
      <c r="I10284">
        <v>6</v>
      </c>
      <c r="J10284" t="str" cm="1">
        <f t="array" ref="J10284">_xlfn.IFS(I10284&lt;=3,"small",I10284&lt;=6,"Medium",I10284&lt;=9,"Large")</f>
        <v>Medium</v>
      </c>
      <c r="K10284" s="36">
        <v>45324</v>
      </c>
      <c r="L10284" s="36">
        <v>45325</v>
      </c>
      <c r="M10284" t="s">
        <v>603</v>
      </c>
      <c r="N10284" t="s">
        <v>599</v>
      </c>
      <c r="O10284" s="37" t="str">
        <f t="shared" si="803"/>
        <v>Digital Payment</v>
      </c>
      <c r="P10284">
        <v>451.83</v>
      </c>
      <c r="Q10284" s="37" t="str">
        <f>IF(P10284&gt;500,"High","low")</f>
        <v>low</v>
      </c>
      <c r="R10284" s="37" t="str">
        <f t="shared" si="804"/>
        <v>AVERAGE</v>
      </c>
      <c r="S10284" t="s">
        <v>600</v>
      </c>
    </row>
    <row r="10285" spans="1:19" x14ac:dyDescent="0.2">
      <c r="A10285" t="s">
        <v>10896</v>
      </c>
      <c r="B10285" t="s">
        <v>90</v>
      </c>
      <c r="C10285" t="s">
        <v>597</v>
      </c>
      <c r="D10285">
        <v>4033.43</v>
      </c>
      <c r="E10285" s="37" t="str">
        <f t="shared" si="800"/>
        <v>Excellent Order</v>
      </c>
      <c r="F10285">
        <v>0.48</v>
      </c>
      <c r="G10285" s="37" t="str">
        <f t="shared" si="801"/>
        <v>Heavy Discount</v>
      </c>
      <c r="H10285" s="37" t="str">
        <f t="shared" si="802"/>
        <v>High</v>
      </c>
      <c r="I10285">
        <v>3</v>
      </c>
      <c r="J10285" t="str" cm="1">
        <f t="array" ref="J10285">_xlfn.IFS(I10285&lt;=3,"small",I10285&lt;=6,"Medium",I10285&lt;=9,"Large")</f>
        <v>small</v>
      </c>
      <c r="K10285" s="36">
        <v>45325</v>
      </c>
      <c r="L10285" s="36">
        <v>45327</v>
      </c>
      <c r="M10285" t="s">
        <v>603</v>
      </c>
      <c r="N10285" t="s">
        <v>599</v>
      </c>
      <c r="O10285" s="37" t="str">
        <f t="shared" si="803"/>
        <v>Digital Payment</v>
      </c>
      <c r="P10285">
        <v>1092.94</v>
      </c>
      <c r="Q10285" s="37" t="str">
        <f>IF(P10285&gt;500,"High","low")</f>
        <v>High</v>
      </c>
      <c r="R10285" s="37" t="str">
        <f t="shared" si="804"/>
        <v>Excellent</v>
      </c>
      <c r="S10285" t="s">
        <v>605</v>
      </c>
    </row>
    <row r="10286" spans="1:19" x14ac:dyDescent="0.2">
      <c r="A10286" t="s">
        <v>10897</v>
      </c>
      <c r="B10286" t="s">
        <v>67</v>
      </c>
      <c r="C10286" t="s">
        <v>614</v>
      </c>
      <c r="D10286">
        <v>4861.6099999999997</v>
      </c>
      <c r="E10286" s="37" t="str">
        <f t="shared" si="800"/>
        <v>Excellent Order</v>
      </c>
      <c r="F10286">
        <v>0.04</v>
      </c>
      <c r="G10286" s="37" t="str">
        <f t="shared" si="801"/>
        <v>Normal Discount</v>
      </c>
      <c r="H10286" s="37" t="str">
        <f t="shared" si="802"/>
        <v>Low</v>
      </c>
      <c r="I10286">
        <v>3</v>
      </c>
      <c r="J10286" t="str" cm="1">
        <f t="array" ref="J10286">_xlfn.IFS(I10286&lt;=3,"small",I10286&lt;=6,"Medium",I10286&lt;=9,"Large")</f>
        <v>small</v>
      </c>
      <c r="K10286" s="36">
        <v>45233</v>
      </c>
      <c r="L10286" s="36">
        <v>45238</v>
      </c>
      <c r="M10286" t="s">
        <v>603</v>
      </c>
      <c r="N10286" t="s">
        <v>608</v>
      </c>
      <c r="O10286" s="37" t="str">
        <f t="shared" si="803"/>
        <v>Cash Payment</v>
      </c>
      <c r="P10286">
        <v>994.87</v>
      </c>
      <c r="Q10286" s="37" t="str">
        <f>IF(P10286&gt;500,"High","low")</f>
        <v>High</v>
      </c>
      <c r="R10286" s="37" t="str">
        <f t="shared" si="804"/>
        <v>Good</v>
      </c>
      <c r="S10286" t="s">
        <v>628</v>
      </c>
    </row>
    <row r="10287" spans="1:19" x14ac:dyDescent="0.2">
      <c r="A10287" t="s">
        <v>10898</v>
      </c>
      <c r="B10287" t="s">
        <v>83</v>
      </c>
      <c r="C10287" t="s">
        <v>617</v>
      </c>
      <c r="D10287">
        <v>314.06</v>
      </c>
      <c r="E10287" s="37" t="str">
        <f t="shared" si="800"/>
        <v xml:space="preserve"> </v>
      </c>
      <c r="F10287">
        <v>0.09</v>
      </c>
      <c r="G10287" s="37" t="str">
        <f t="shared" si="801"/>
        <v>Normal Discount</v>
      </c>
      <c r="H10287" s="37" t="str">
        <f t="shared" si="802"/>
        <v>Low</v>
      </c>
      <c r="I10287">
        <v>9</v>
      </c>
      <c r="J10287" t="str" cm="1">
        <f t="array" ref="J10287">_xlfn.IFS(I10287&lt;=3,"small",I10287&lt;=6,"Medium",I10287&lt;=9,"Large")</f>
        <v>Large</v>
      </c>
      <c r="K10287" s="36">
        <v>45621</v>
      </c>
      <c r="L10287" s="36">
        <v>45626</v>
      </c>
      <c r="M10287" t="s">
        <v>612</v>
      </c>
      <c r="N10287" t="s">
        <v>599</v>
      </c>
      <c r="O10287" s="37" t="str">
        <f t="shared" si="803"/>
        <v>Digital Payment</v>
      </c>
      <c r="P10287">
        <v>56.58</v>
      </c>
      <c r="Q10287" s="37" t="str">
        <f>IF(P10287&gt;500,"High","low")</f>
        <v>low</v>
      </c>
      <c r="R10287" s="37" t="str">
        <f t="shared" si="804"/>
        <v>AVERAGE</v>
      </c>
      <c r="S10287" t="s">
        <v>620</v>
      </c>
    </row>
    <row r="10288" spans="1:19" x14ac:dyDescent="0.2">
      <c r="A10288" t="s">
        <v>10899</v>
      </c>
      <c r="B10288" t="s">
        <v>67</v>
      </c>
      <c r="C10288" t="s">
        <v>602</v>
      </c>
      <c r="D10288">
        <v>4966.3</v>
      </c>
      <c r="E10288" s="37" t="str">
        <f t="shared" si="800"/>
        <v xml:space="preserve"> </v>
      </c>
      <c r="F10288">
        <v>0.41</v>
      </c>
      <c r="G10288" s="37" t="str">
        <f t="shared" si="801"/>
        <v>Heavy Discount</v>
      </c>
      <c r="H10288" s="37" t="str">
        <f t="shared" si="802"/>
        <v>High</v>
      </c>
      <c r="I10288">
        <v>2</v>
      </c>
      <c r="J10288" t="str" cm="1">
        <f t="array" ref="J10288">_xlfn.IFS(I10288&lt;=3,"small",I10288&lt;=6,"Medium",I10288&lt;=9,"Large")</f>
        <v>small</v>
      </c>
      <c r="K10288" s="36">
        <v>45563</v>
      </c>
      <c r="L10288" s="36">
        <v>45565</v>
      </c>
      <c r="M10288" t="s">
        <v>612</v>
      </c>
      <c r="N10288" t="s">
        <v>608</v>
      </c>
      <c r="O10288" s="37" t="str">
        <f t="shared" si="803"/>
        <v>Cash Payment</v>
      </c>
      <c r="P10288">
        <v>646.51</v>
      </c>
      <c r="Q10288" s="37" t="str">
        <f>IF(P10288&gt;500,"High","low")</f>
        <v>High</v>
      </c>
      <c r="R10288" s="37" t="str">
        <f t="shared" si="804"/>
        <v>Good</v>
      </c>
      <c r="S10288" t="s">
        <v>620</v>
      </c>
    </row>
    <row r="10289" spans="1:19" x14ac:dyDescent="0.2">
      <c r="A10289" t="s">
        <v>10900</v>
      </c>
      <c r="B10289" t="s">
        <v>75</v>
      </c>
      <c r="C10289" t="s">
        <v>607</v>
      </c>
      <c r="D10289">
        <v>1345.11</v>
      </c>
      <c r="E10289" s="37" t="str">
        <f t="shared" si="800"/>
        <v xml:space="preserve"> </v>
      </c>
      <c r="F10289">
        <v>0.25</v>
      </c>
      <c r="G10289" s="37" t="str">
        <f t="shared" si="801"/>
        <v>Normal Discount</v>
      </c>
      <c r="H10289" s="37" t="str">
        <f t="shared" si="802"/>
        <v>Medium</v>
      </c>
      <c r="I10289">
        <v>5</v>
      </c>
      <c r="J10289" t="str" cm="1">
        <f t="array" ref="J10289">_xlfn.IFS(I10289&lt;=3,"small",I10289&lt;=6,"Medium",I10289&lt;=9,"Large")</f>
        <v>Medium</v>
      </c>
      <c r="K10289" s="36">
        <v>45290</v>
      </c>
      <c r="L10289" s="36">
        <v>45297</v>
      </c>
      <c r="M10289" t="s">
        <v>598</v>
      </c>
      <c r="N10289" t="s">
        <v>604</v>
      </c>
      <c r="O10289" s="37" t="str">
        <f t="shared" si="803"/>
        <v>Digital Payment</v>
      </c>
      <c r="P10289">
        <v>219.3</v>
      </c>
      <c r="Q10289" s="37" t="str">
        <f>IF(P10289&gt;500,"High","low")</f>
        <v>low</v>
      </c>
      <c r="R10289" s="37" t="str">
        <f t="shared" si="804"/>
        <v>AVERAGE</v>
      </c>
      <c r="S10289" t="s">
        <v>605</v>
      </c>
    </row>
    <row r="10290" spans="1:19" x14ac:dyDescent="0.2">
      <c r="A10290" t="s">
        <v>10901</v>
      </c>
      <c r="B10290" t="s">
        <v>67</v>
      </c>
      <c r="C10290" t="s">
        <v>602</v>
      </c>
      <c r="D10290">
        <v>2158.54</v>
      </c>
      <c r="E10290" s="37" t="str">
        <f t="shared" si="800"/>
        <v xml:space="preserve"> </v>
      </c>
      <c r="F10290">
        <v>0.09</v>
      </c>
      <c r="G10290" s="37" t="str">
        <f t="shared" si="801"/>
        <v>Normal Discount</v>
      </c>
      <c r="H10290" s="37" t="str">
        <f t="shared" si="802"/>
        <v>Low</v>
      </c>
      <c r="I10290">
        <v>2</v>
      </c>
      <c r="J10290" t="str" cm="1">
        <f t="array" ref="J10290">_xlfn.IFS(I10290&lt;=3,"small",I10290&lt;=6,"Medium",I10290&lt;=9,"Large")</f>
        <v>small</v>
      </c>
      <c r="K10290" s="36">
        <v>45113</v>
      </c>
      <c r="L10290" s="36">
        <v>45116</v>
      </c>
      <c r="M10290" t="s">
        <v>603</v>
      </c>
      <c r="N10290" t="s">
        <v>604</v>
      </c>
      <c r="O10290" s="37" t="str">
        <f t="shared" si="803"/>
        <v>Digital Payment</v>
      </c>
      <c r="P10290">
        <v>148.02000000000001</v>
      </c>
      <c r="Q10290" s="37" t="str">
        <f>IF(P10290&gt;500,"High","low")</f>
        <v>low</v>
      </c>
      <c r="R10290" s="37" t="str">
        <f t="shared" si="804"/>
        <v>AVERAGE</v>
      </c>
      <c r="S10290" t="s">
        <v>609</v>
      </c>
    </row>
    <row r="10291" spans="1:19" x14ac:dyDescent="0.2">
      <c r="A10291" t="s">
        <v>10902</v>
      </c>
      <c r="B10291" t="s">
        <v>90</v>
      </c>
      <c r="C10291" t="s">
        <v>602</v>
      </c>
      <c r="D10291">
        <v>3910.94</v>
      </c>
      <c r="E10291" s="37" t="str">
        <f t="shared" si="800"/>
        <v xml:space="preserve"> </v>
      </c>
      <c r="F10291">
        <v>0.14000000000000001</v>
      </c>
      <c r="G10291" s="37" t="str">
        <f t="shared" si="801"/>
        <v>Normal Discount</v>
      </c>
      <c r="H10291" s="37" t="str">
        <f t="shared" si="802"/>
        <v>Low</v>
      </c>
      <c r="I10291">
        <v>6</v>
      </c>
      <c r="J10291" t="str" cm="1">
        <f t="array" ref="J10291">_xlfn.IFS(I10291&lt;=3,"small",I10291&lt;=6,"Medium",I10291&lt;=9,"Large")</f>
        <v>Medium</v>
      </c>
      <c r="K10291" s="36">
        <v>45255</v>
      </c>
      <c r="L10291" s="36">
        <v>45261</v>
      </c>
      <c r="M10291" t="s">
        <v>603</v>
      </c>
      <c r="N10291" t="s">
        <v>608</v>
      </c>
      <c r="O10291" s="37" t="str">
        <f t="shared" si="803"/>
        <v>Cash Payment</v>
      </c>
      <c r="P10291">
        <v>356.18</v>
      </c>
      <c r="Q10291" s="37" t="str">
        <f>IF(P10291&gt;500,"High","low")</f>
        <v>low</v>
      </c>
      <c r="R10291" s="37" t="str">
        <f t="shared" si="804"/>
        <v>AVERAGE</v>
      </c>
      <c r="S10291" t="s">
        <v>605</v>
      </c>
    </row>
    <row r="10292" spans="1:19" x14ac:dyDescent="0.2">
      <c r="A10292" t="s">
        <v>10903</v>
      </c>
      <c r="B10292" t="s">
        <v>75</v>
      </c>
      <c r="C10292" t="s">
        <v>597</v>
      </c>
      <c r="D10292">
        <v>3360.12</v>
      </c>
      <c r="E10292" s="37" t="str">
        <f t="shared" si="800"/>
        <v xml:space="preserve"> </v>
      </c>
      <c r="F10292">
        <v>0.5</v>
      </c>
      <c r="G10292" s="37" t="str">
        <f t="shared" si="801"/>
        <v>Heavy Discount</v>
      </c>
      <c r="H10292" s="37" t="str">
        <f t="shared" si="802"/>
        <v>High</v>
      </c>
      <c r="I10292">
        <v>4</v>
      </c>
      <c r="J10292" t="str" cm="1">
        <f t="array" ref="J10292">_xlfn.IFS(I10292&lt;=3,"small",I10292&lt;=6,"Medium",I10292&lt;=9,"Large")</f>
        <v>Medium</v>
      </c>
      <c r="K10292" s="36">
        <v>45357</v>
      </c>
      <c r="L10292" s="36">
        <v>45362</v>
      </c>
      <c r="M10292" t="s">
        <v>612</v>
      </c>
      <c r="N10292" t="s">
        <v>604</v>
      </c>
      <c r="O10292" s="37" t="str">
        <f t="shared" si="803"/>
        <v>Digital Payment</v>
      </c>
      <c r="P10292">
        <v>482.28</v>
      </c>
      <c r="Q10292" s="37" t="str">
        <f>IF(P10292&gt;500,"High","low")</f>
        <v>low</v>
      </c>
      <c r="R10292" s="37" t="str">
        <f t="shared" si="804"/>
        <v>AVERAGE</v>
      </c>
      <c r="S10292" t="s">
        <v>600</v>
      </c>
    </row>
    <row r="10293" spans="1:19" x14ac:dyDescent="0.2">
      <c r="A10293" t="s">
        <v>10904</v>
      </c>
      <c r="B10293" t="s">
        <v>75</v>
      </c>
      <c r="C10293" t="s">
        <v>614</v>
      </c>
      <c r="D10293">
        <v>3914.34</v>
      </c>
      <c r="E10293" s="37" t="str">
        <f t="shared" si="800"/>
        <v xml:space="preserve"> </v>
      </c>
      <c r="F10293">
        <v>0.28999999999999998</v>
      </c>
      <c r="G10293" s="37" t="str">
        <f t="shared" si="801"/>
        <v>Normal Discount</v>
      </c>
      <c r="H10293" s="37" t="str">
        <f t="shared" si="802"/>
        <v>Medium</v>
      </c>
      <c r="I10293">
        <v>7</v>
      </c>
      <c r="J10293" t="str" cm="1">
        <f t="array" ref="J10293">_xlfn.IFS(I10293&lt;=3,"small",I10293&lt;=6,"Medium",I10293&lt;=9,"Large")</f>
        <v>Large</v>
      </c>
      <c r="K10293" s="36">
        <v>44959</v>
      </c>
      <c r="L10293" s="36">
        <v>44962</v>
      </c>
      <c r="M10293" t="s">
        <v>612</v>
      </c>
      <c r="N10293" t="s">
        <v>599</v>
      </c>
      <c r="O10293" s="37" t="str">
        <f t="shared" si="803"/>
        <v>Digital Payment</v>
      </c>
      <c r="P10293">
        <v>218.38</v>
      </c>
      <c r="Q10293" s="37" t="str">
        <f>IF(P10293&gt;500,"High","low")</f>
        <v>low</v>
      </c>
      <c r="R10293" s="37" t="str">
        <f t="shared" si="804"/>
        <v>AVERAGE</v>
      </c>
      <c r="S10293" t="s">
        <v>609</v>
      </c>
    </row>
    <row r="10294" spans="1:19" x14ac:dyDescent="0.2">
      <c r="A10294" t="s">
        <v>10905</v>
      </c>
      <c r="B10294" t="s">
        <v>75</v>
      </c>
      <c r="C10294" t="s">
        <v>597</v>
      </c>
      <c r="D10294">
        <v>2385.0300000000002</v>
      </c>
      <c r="E10294" s="37" t="str">
        <f t="shared" si="800"/>
        <v xml:space="preserve"> </v>
      </c>
      <c r="F10294">
        <v>0.2</v>
      </c>
      <c r="G10294" s="37" t="str">
        <f t="shared" si="801"/>
        <v>Normal Discount</v>
      </c>
      <c r="H10294" s="37" t="str">
        <f t="shared" si="802"/>
        <v>Medium</v>
      </c>
      <c r="I10294">
        <v>1</v>
      </c>
      <c r="J10294" t="str" cm="1">
        <f t="array" ref="J10294">_xlfn.IFS(I10294&lt;=3,"small",I10294&lt;=6,"Medium",I10294&lt;=9,"Large")</f>
        <v>small</v>
      </c>
      <c r="K10294" s="36">
        <v>45471</v>
      </c>
      <c r="L10294" s="36">
        <v>45478</v>
      </c>
      <c r="M10294" t="s">
        <v>598</v>
      </c>
      <c r="N10294" t="s">
        <v>604</v>
      </c>
      <c r="O10294" s="37" t="str">
        <f t="shared" si="803"/>
        <v>Digital Payment</v>
      </c>
      <c r="P10294">
        <v>546.23</v>
      </c>
      <c r="Q10294" s="37" t="str">
        <f>IF(P10294&gt;500,"High","low")</f>
        <v>High</v>
      </c>
      <c r="R10294" s="37" t="str">
        <f t="shared" si="804"/>
        <v>Good</v>
      </c>
      <c r="S10294" t="s">
        <v>600</v>
      </c>
    </row>
    <row r="10295" spans="1:19" x14ac:dyDescent="0.2">
      <c r="A10295" t="s">
        <v>10906</v>
      </c>
      <c r="B10295" t="s">
        <v>90</v>
      </c>
      <c r="C10295" t="s">
        <v>614</v>
      </c>
      <c r="D10295">
        <v>4588.7299999999996</v>
      </c>
      <c r="E10295" s="37" t="str">
        <f t="shared" si="800"/>
        <v>Excellent Order</v>
      </c>
      <c r="F10295">
        <v>0.44</v>
      </c>
      <c r="G10295" s="37" t="str">
        <f t="shared" si="801"/>
        <v>Heavy Discount</v>
      </c>
      <c r="H10295" s="37" t="str">
        <f t="shared" si="802"/>
        <v>High</v>
      </c>
      <c r="I10295">
        <v>8</v>
      </c>
      <c r="J10295" t="str" cm="1">
        <f t="array" ref="J10295">_xlfn.IFS(I10295&lt;=3,"small",I10295&lt;=6,"Medium",I10295&lt;=9,"Large")</f>
        <v>Large</v>
      </c>
      <c r="K10295" s="36">
        <v>44964</v>
      </c>
      <c r="L10295" s="36">
        <v>44965</v>
      </c>
      <c r="M10295" t="s">
        <v>612</v>
      </c>
      <c r="N10295" t="s">
        <v>604</v>
      </c>
      <c r="O10295" s="37" t="str">
        <f t="shared" si="803"/>
        <v>Digital Payment</v>
      </c>
      <c r="P10295">
        <v>904.71</v>
      </c>
      <c r="Q10295" s="37" t="str">
        <f>IF(P10295&gt;500,"High","low")</f>
        <v>High</v>
      </c>
      <c r="R10295" s="37" t="str">
        <f t="shared" si="804"/>
        <v>Good</v>
      </c>
      <c r="S10295" t="s">
        <v>609</v>
      </c>
    </row>
    <row r="10296" spans="1:19" x14ac:dyDescent="0.2">
      <c r="A10296" t="s">
        <v>10907</v>
      </c>
      <c r="B10296" t="s">
        <v>83</v>
      </c>
      <c r="C10296" t="s">
        <v>617</v>
      </c>
      <c r="D10296">
        <v>3970.71</v>
      </c>
      <c r="E10296" s="37" t="str">
        <f t="shared" si="800"/>
        <v xml:space="preserve"> </v>
      </c>
      <c r="F10296">
        <v>0.24</v>
      </c>
      <c r="G10296" s="37" t="str">
        <f t="shared" si="801"/>
        <v>Normal Discount</v>
      </c>
      <c r="H10296" s="37" t="str">
        <f t="shared" si="802"/>
        <v>Medium</v>
      </c>
      <c r="I10296">
        <v>2</v>
      </c>
      <c r="J10296" t="str" cm="1">
        <f t="array" ref="J10296">_xlfn.IFS(I10296&lt;=3,"small",I10296&lt;=6,"Medium",I10296&lt;=9,"Large")</f>
        <v>small</v>
      </c>
      <c r="K10296" s="36">
        <v>45459</v>
      </c>
      <c r="L10296" s="36">
        <v>45463</v>
      </c>
      <c r="M10296" t="s">
        <v>598</v>
      </c>
      <c r="N10296" t="s">
        <v>608</v>
      </c>
      <c r="O10296" s="37" t="str">
        <f t="shared" si="803"/>
        <v>Cash Payment</v>
      </c>
      <c r="P10296">
        <v>1047.6199999999999</v>
      </c>
      <c r="Q10296" s="37" t="str">
        <f>IF(P10296&gt;500,"High","low")</f>
        <v>High</v>
      </c>
      <c r="R10296" s="37" t="str">
        <f t="shared" si="804"/>
        <v>Excellent</v>
      </c>
      <c r="S10296" t="s">
        <v>600</v>
      </c>
    </row>
    <row r="10297" spans="1:19" x14ac:dyDescent="0.2">
      <c r="A10297" t="s">
        <v>10908</v>
      </c>
      <c r="B10297" t="s">
        <v>67</v>
      </c>
      <c r="C10297" t="s">
        <v>597</v>
      </c>
      <c r="D10297">
        <v>1615.22</v>
      </c>
      <c r="E10297" s="37" t="str">
        <f t="shared" si="800"/>
        <v xml:space="preserve"> </v>
      </c>
      <c r="F10297">
        <v>0.15</v>
      </c>
      <c r="G10297" s="37" t="str">
        <f t="shared" si="801"/>
        <v>Normal Discount</v>
      </c>
      <c r="H10297" s="37" t="str">
        <f t="shared" si="802"/>
        <v>Low</v>
      </c>
      <c r="I10297">
        <v>4</v>
      </c>
      <c r="J10297" t="str" cm="1">
        <f t="array" ref="J10297">_xlfn.IFS(I10297&lt;=3,"small",I10297&lt;=6,"Medium",I10297&lt;=9,"Large")</f>
        <v>Medium</v>
      </c>
      <c r="K10297" s="36">
        <v>45507</v>
      </c>
      <c r="L10297" s="36">
        <v>45510</v>
      </c>
      <c r="M10297" t="s">
        <v>598</v>
      </c>
      <c r="N10297" t="s">
        <v>604</v>
      </c>
      <c r="O10297" s="37" t="str">
        <f t="shared" si="803"/>
        <v>Digital Payment</v>
      </c>
      <c r="P10297">
        <v>148.38</v>
      </c>
      <c r="Q10297" s="37" t="str">
        <f>IF(P10297&gt;500,"High","low")</f>
        <v>low</v>
      </c>
      <c r="R10297" s="37" t="str">
        <f t="shared" si="804"/>
        <v>AVERAGE</v>
      </c>
      <c r="S10297" t="s">
        <v>628</v>
      </c>
    </row>
    <row r="10298" spans="1:19" x14ac:dyDescent="0.2">
      <c r="A10298" t="s">
        <v>10909</v>
      </c>
      <c r="B10298" t="s">
        <v>75</v>
      </c>
      <c r="C10298" t="s">
        <v>607</v>
      </c>
      <c r="D10298">
        <v>4747.55</v>
      </c>
      <c r="E10298" s="37" t="str">
        <f t="shared" si="800"/>
        <v>Excellent Order</v>
      </c>
      <c r="F10298">
        <v>0.08</v>
      </c>
      <c r="G10298" s="37" t="str">
        <f t="shared" si="801"/>
        <v>Normal Discount</v>
      </c>
      <c r="H10298" s="37" t="str">
        <f t="shared" si="802"/>
        <v>Low</v>
      </c>
      <c r="I10298">
        <v>7</v>
      </c>
      <c r="J10298" t="str" cm="1">
        <f t="array" ref="J10298">_xlfn.IFS(I10298&lt;=3,"small",I10298&lt;=6,"Medium",I10298&lt;=9,"Large")</f>
        <v>Large</v>
      </c>
      <c r="K10298" s="36">
        <v>45193</v>
      </c>
      <c r="L10298" s="36">
        <v>45198</v>
      </c>
      <c r="M10298" t="s">
        <v>603</v>
      </c>
      <c r="N10298" t="s">
        <v>599</v>
      </c>
      <c r="O10298" s="37" t="str">
        <f t="shared" si="803"/>
        <v>Digital Payment</v>
      </c>
      <c r="P10298">
        <v>1343.68</v>
      </c>
      <c r="Q10298" s="37" t="str">
        <f>IF(P10298&gt;500,"High","low")</f>
        <v>High</v>
      </c>
      <c r="R10298" s="37" t="str">
        <f t="shared" si="804"/>
        <v>Excellent</v>
      </c>
      <c r="S10298" t="s">
        <v>628</v>
      </c>
    </row>
    <row r="10299" spans="1:19" x14ac:dyDescent="0.2">
      <c r="A10299" t="s">
        <v>10910</v>
      </c>
      <c r="B10299" t="s">
        <v>75</v>
      </c>
      <c r="C10299" t="s">
        <v>614</v>
      </c>
      <c r="D10299">
        <v>4809.17</v>
      </c>
      <c r="E10299" s="37" t="str">
        <f t="shared" si="800"/>
        <v>Excellent Order</v>
      </c>
      <c r="F10299">
        <v>0.37</v>
      </c>
      <c r="G10299" s="37" t="str">
        <f t="shared" si="801"/>
        <v>Heavy Discount</v>
      </c>
      <c r="H10299" s="37" t="str">
        <f t="shared" si="802"/>
        <v>Medium</v>
      </c>
      <c r="I10299">
        <v>8</v>
      </c>
      <c r="J10299" t="str" cm="1">
        <f t="array" ref="J10299">_xlfn.IFS(I10299&lt;=3,"small",I10299&lt;=6,"Medium",I10299&lt;=9,"Large")</f>
        <v>Large</v>
      </c>
      <c r="K10299" s="36">
        <v>45403</v>
      </c>
      <c r="L10299" s="36">
        <v>45409</v>
      </c>
      <c r="M10299" t="s">
        <v>603</v>
      </c>
      <c r="N10299" t="s">
        <v>599</v>
      </c>
      <c r="O10299" s="37" t="str">
        <f t="shared" si="803"/>
        <v>Digital Payment</v>
      </c>
      <c r="P10299">
        <v>1324.74</v>
      </c>
      <c r="Q10299" s="37" t="str">
        <f>IF(P10299&gt;500,"High","low")</f>
        <v>High</v>
      </c>
      <c r="R10299" s="37" t="str">
        <f t="shared" si="804"/>
        <v>Excellent</v>
      </c>
      <c r="S10299" t="s">
        <v>628</v>
      </c>
    </row>
    <row r="10300" spans="1:19" x14ac:dyDescent="0.2">
      <c r="A10300" t="s">
        <v>10911</v>
      </c>
      <c r="B10300" t="s">
        <v>75</v>
      </c>
      <c r="C10300" t="s">
        <v>597</v>
      </c>
      <c r="D10300">
        <v>2133.7600000000002</v>
      </c>
      <c r="E10300" s="37" t="str">
        <f t="shared" si="800"/>
        <v xml:space="preserve"> </v>
      </c>
      <c r="F10300">
        <v>0.3</v>
      </c>
      <c r="G10300" s="37" t="str">
        <f t="shared" si="801"/>
        <v>Normal Discount</v>
      </c>
      <c r="H10300" s="37" t="str">
        <f t="shared" si="802"/>
        <v>Medium</v>
      </c>
      <c r="I10300">
        <v>9</v>
      </c>
      <c r="J10300" t="str" cm="1">
        <f t="array" ref="J10300">_xlfn.IFS(I10300&lt;=3,"small",I10300&lt;=6,"Medium",I10300&lt;=9,"Large")</f>
        <v>Large</v>
      </c>
      <c r="K10300" s="36">
        <v>45114</v>
      </c>
      <c r="L10300" s="36">
        <v>45115</v>
      </c>
      <c r="M10300" t="s">
        <v>612</v>
      </c>
      <c r="N10300" t="s">
        <v>608</v>
      </c>
      <c r="O10300" s="37" t="str">
        <f t="shared" si="803"/>
        <v>Cash Payment</v>
      </c>
      <c r="P10300">
        <v>393.45</v>
      </c>
      <c r="Q10300" s="37" t="str">
        <f>IF(P10300&gt;500,"High","low")</f>
        <v>low</v>
      </c>
      <c r="R10300" s="37" t="str">
        <f t="shared" si="804"/>
        <v>AVERAGE</v>
      </c>
      <c r="S10300" t="s">
        <v>628</v>
      </c>
    </row>
    <row r="10301" spans="1:19" x14ac:dyDescent="0.2">
      <c r="A10301" t="s">
        <v>10912</v>
      </c>
      <c r="B10301" t="s">
        <v>83</v>
      </c>
      <c r="C10301" t="s">
        <v>607</v>
      </c>
      <c r="D10301">
        <v>3294.61</v>
      </c>
      <c r="E10301" s="37" t="str">
        <f t="shared" si="800"/>
        <v xml:space="preserve"> </v>
      </c>
      <c r="F10301">
        <v>0.05</v>
      </c>
      <c r="G10301" s="37" t="str">
        <f t="shared" si="801"/>
        <v>Normal Discount</v>
      </c>
      <c r="H10301" s="37" t="str">
        <f t="shared" si="802"/>
        <v>Low</v>
      </c>
      <c r="I10301">
        <v>5</v>
      </c>
      <c r="J10301" t="str" cm="1">
        <f t="array" ref="J10301">_xlfn.IFS(I10301&lt;=3,"small",I10301&lt;=6,"Medium",I10301&lt;=9,"Large")</f>
        <v>Medium</v>
      </c>
      <c r="K10301" s="36">
        <v>45612</v>
      </c>
      <c r="L10301" s="36">
        <v>45619</v>
      </c>
      <c r="M10301" t="s">
        <v>598</v>
      </c>
      <c r="N10301" t="s">
        <v>608</v>
      </c>
      <c r="O10301" s="37" t="str">
        <f t="shared" si="803"/>
        <v>Cash Payment</v>
      </c>
      <c r="P10301">
        <v>466.86</v>
      </c>
      <c r="Q10301" s="37" t="str">
        <f>IF(P10301&gt;500,"High","low")</f>
        <v>low</v>
      </c>
      <c r="R10301" s="37" t="str">
        <f t="shared" si="804"/>
        <v>AVERAGE</v>
      </c>
      <c r="S10301" t="s">
        <v>605</v>
      </c>
    </row>
    <row r="10302" spans="1:19" x14ac:dyDescent="0.2">
      <c r="A10302" t="s">
        <v>10913</v>
      </c>
      <c r="B10302" t="s">
        <v>83</v>
      </c>
      <c r="C10302" t="s">
        <v>602</v>
      </c>
      <c r="D10302">
        <v>4092.37</v>
      </c>
      <c r="E10302" s="37" t="str">
        <f t="shared" si="800"/>
        <v>Excellent Order</v>
      </c>
      <c r="F10302">
        <v>0.3</v>
      </c>
      <c r="G10302" s="37" t="str">
        <f t="shared" si="801"/>
        <v>Normal Discount</v>
      </c>
      <c r="H10302" s="37" t="str">
        <f t="shared" si="802"/>
        <v>Medium</v>
      </c>
      <c r="I10302">
        <v>9</v>
      </c>
      <c r="J10302" t="str" cm="1">
        <f t="array" ref="J10302">_xlfn.IFS(I10302&lt;=3,"small",I10302&lt;=6,"Medium",I10302&lt;=9,"Large")</f>
        <v>Large</v>
      </c>
      <c r="K10302" s="36">
        <v>45308</v>
      </c>
      <c r="L10302" s="36">
        <v>45312</v>
      </c>
      <c r="M10302" t="s">
        <v>598</v>
      </c>
      <c r="N10302" t="s">
        <v>599</v>
      </c>
      <c r="O10302" s="37" t="str">
        <f t="shared" si="803"/>
        <v>Digital Payment</v>
      </c>
      <c r="P10302">
        <v>1090.5999999999999</v>
      </c>
      <c r="Q10302" s="37" t="str">
        <f>IF(P10302&gt;500,"High","low")</f>
        <v>High</v>
      </c>
      <c r="R10302" s="37" t="str">
        <f t="shared" si="804"/>
        <v>Excellent</v>
      </c>
      <c r="S10302" t="s">
        <v>615</v>
      </c>
    </row>
    <row r="10303" spans="1:19" x14ac:dyDescent="0.2">
      <c r="A10303" t="s">
        <v>10914</v>
      </c>
      <c r="B10303" t="s">
        <v>90</v>
      </c>
      <c r="C10303" t="s">
        <v>617</v>
      </c>
      <c r="D10303">
        <v>4104.7700000000004</v>
      </c>
      <c r="E10303" s="37" t="str">
        <f t="shared" si="800"/>
        <v>Excellent Order</v>
      </c>
      <c r="F10303">
        <v>0.08</v>
      </c>
      <c r="G10303" s="37" t="str">
        <f t="shared" si="801"/>
        <v>Normal Discount</v>
      </c>
      <c r="H10303" s="37" t="str">
        <f t="shared" si="802"/>
        <v>Low</v>
      </c>
      <c r="I10303">
        <v>9</v>
      </c>
      <c r="J10303" t="str" cm="1">
        <f t="array" ref="J10303">_xlfn.IFS(I10303&lt;=3,"small",I10303&lt;=6,"Medium",I10303&lt;=9,"Large")</f>
        <v>Large</v>
      </c>
      <c r="K10303" s="36">
        <v>45382</v>
      </c>
      <c r="L10303" s="36">
        <v>45388</v>
      </c>
      <c r="M10303" t="s">
        <v>598</v>
      </c>
      <c r="N10303" t="s">
        <v>604</v>
      </c>
      <c r="O10303" s="37" t="str">
        <f t="shared" si="803"/>
        <v>Digital Payment</v>
      </c>
      <c r="P10303">
        <v>1170.9100000000001</v>
      </c>
      <c r="Q10303" s="37" t="str">
        <f>IF(P10303&gt;500,"High","low")</f>
        <v>High</v>
      </c>
      <c r="R10303" s="37" t="str">
        <f t="shared" si="804"/>
        <v>Excellent</v>
      </c>
      <c r="S10303" t="s">
        <v>620</v>
      </c>
    </row>
    <row r="10304" spans="1:19" x14ac:dyDescent="0.2">
      <c r="A10304" t="s">
        <v>10915</v>
      </c>
      <c r="B10304" t="s">
        <v>83</v>
      </c>
      <c r="C10304" t="s">
        <v>617</v>
      </c>
      <c r="D10304">
        <v>169.21</v>
      </c>
      <c r="E10304" s="37" t="str">
        <f t="shared" si="800"/>
        <v xml:space="preserve"> </v>
      </c>
      <c r="F10304">
        <v>0.49</v>
      </c>
      <c r="G10304" s="37" t="str">
        <f t="shared" si="801"/>
        <v>Heavy Discount</v>
      </c>
      <c r="H10304" s="37" t="str">
        <f t="shared" si="802"/>
        <v>High</v>
      </c>
      <c r="I10304">
        <v>3</v>
      </c>
      <c r="J10304" t="str" cm="1">
        <f t="array" ref="J10304">_xlfn.IFS(I10304&lt;=3,"small",I10304&lt;=6,"Medium",I10304&lt;=9,"Large")</f>
        <v>small</v>
      </c>
      <c r="K10304" s="36">
        <v>45657</v>
      </c>
      <c r="L10304" s="36">
        <v>45663</v>
      </c>
      <c r="M10304" t="s">
        <v>598</v>
      </c>
      <c r="N10304" t="s">
        <v>604</v>
      </c>
      <c r="O10304" s="37" t="str">
        <f t="shared" si="803"/>
        <v>Digital Payment</v>
      </c>
      <c r="P10304">
        <v>15.3</v>
      </c>
      <c r="Q10304" s="37" t="str">
        <f>IF(P10304&gt;500,"High","low")</f>
        <v>low</v>
      </c>
      <c r="R10304" s="37" t="str">
        <f t="shared" si="804"/>
        <v>AVERAGE</v>
      </c>
      <c r="S10304" t="s">
        <v>628</v>
      </c>
    </row>
    <row r="10305" spans="1:19" x14ac:dyDescent="0.2">
      <c r="A10305" t="s">
        <v>10916</v>
      </c>
      <c r="B10305" t="s">
        <v>67</v>
      </c>
      <c r="C10305" t="s">
        <v>602</v>
      </c>
      <c r="D10305">
        <v>3182.17</v>
      </c>
      <c r="E10305" s="37" t="str">
        <f t="shared" si="800"/>
        <v xml:space="preserve"> </v>
      </c>
      <c r="F10305">
        <v>0.13</v>
      </c>
      <c r="G10305" s="37" t="str">
        <f t="shared" si="801"/>
        <v>Normal Discount</v>
      </c>
      <c r="H10305" s="37" t="str">
        <f t="shared" si="802"/>
        <v>Low</v>
      </c>
      <c r="I10305">
        <v>7</v>
      </c>
      <c r="J10305" t="str" cm="1">
        <f t="array" ref="J10305">_xlfn.IFS(I10305&lt;=3,"small",I10305&lt;=6,"Medium",I10305&lt;=9,"Large")</f>
        <v>Large</v>
      </c>
      <c r="K10305" s="36">
        <v>44982</v>
      </c>
      <c r="L10305" s="36">
        <v>44985</v>
      </c>
      <c r="M10305" t="s">
        <v>603</v>
      </c>
      <c r="N10305" t="s">
        <v>608</v>
      </c>
      <c r="O10305" s="37" t="str">
        <f t="shared" si="803"/>
        <v>Cash Payment</v>
      </c>
      <c r="P10305">
        <v>619.1</v>
      </c>
      <c r="Q10305" s="37" t="str">
        <f>IF(P10305&gt;500,"High","low")</f>
        <v>High</v>
      </c>
      <c r="R10305" s="37" t="str">
        <f t="shared" si="804"/>
        <v>Good</v>
      </c>
      <c r="S10305" t="s">
        <v>628</v>
      </c>
    </row>
    <row r="10306" spans="1:19" x14ac:dyDescent="0.2">
      <c r="A10306" t="s">
        <v>10917</v>
      </c>
      <c r="B10306" t="s">
        <v>90</v>
      </c>
      <c r="C10306" t="s">
        <v>597</v>
      </c>
      <c r="D10306">
        <v>4871.13</v>
      </c>
      <c r="E10306" s="37" t="str">
        <f t="shared" si="800"/>
        <v>Excellent Order</v>
      </c>
      <c r="F10306">
        <v>0.35</v>
      </c>
      <c r="G10306" s="37" t="str">
        <f t="shared" si="801"/>
        <v>Heavy Discount</v>
      </c>
      <c r="H10306" s="37" t="str">
        <f t="shared" si="802"/>
        <v>Medium</v>
      </c>
      <c r="I10306">
        <v>8</v>
      </c>
      <c r="J10306" t="str" cm="1">
        <f t="array" ref="J10306">_xlfn.IFS(I10306&lt;=3,"small",I10306&lt;=6,"Medium",I10306&lt;=9,"Large")</f>
        <v>Large</v>
      </c>
      <c r="K10306" s="36">
        <v>45420</v>
      </c>
      <c r="L10306" s="36">
        <v>45424</v>
      </c>
      <c r="M10306" t="s">
        <v>612</v>
      </c>
      <c r="N10306" t="s">
        <v>599</v>
      </c>
      <c r="O10306" s="37" t="str">
        <f t="shared" si="803"/>
        <v>Digital Payment</v>
      </c>
      <c r="P10306">
        <v>856.22</v>
      </c>
      <c r="Q10306" s="37" t="str">
        <f>IF(P10306&gt;500,"High","low")</f>
        <v>High</v>
      </c>
      <c r="R10306" s="37" t="str">
        <f t="shared" si="804"/>
        <v>Good</v>
      </c>
      <c r="S10306" t="s">
        <v>615</v>
      </c>
    </row>
    <row r="10307" spans="1:19" x14ac:dyDescent="0.2">
      <c r="A10307" t="s">
        <v>10918</v>
      </c>
      <c r="B10307" t="s">
        <v>90</v>
      </c>
      <c r="C10307" t="s">
        <v>602</v>
      </c>
      <c r="D10307">
        <v>1233.5999999999999</v>
      </c>
      <c r="E10307" s="37" t="str">
        <f t="shared" ref="E10307:E10370" si="805">IF(AND(D10307&gt;4000,P10307&gt;800),"Excellent Order"," ")</f>
        <v xml:space="preserve"> </v>
      </c>
      <c r="F10307">
        <v>0.33</v>
      </c>
      <c r="G10307" s="37" t="str">
        <f t="shared" ref="G10307:G10370" si="806">IF(F10307&gt;30%,"Heavy Discount","Normal Discount")</f>
        <v>Heavy Discount</v>
      </c>
      <c r="H10307" s="37" t="str">
        <f t="shared" ref="H10307:H10370" si="807">IF(F10307&gt;0.4,"High",IF(F10307&gt;=0.2,"Medium","Low"))</f>
        <v>Medium</v>
      </c>
      <c r="I10307">
        <v>1</v>
      </c>
      <c r="J10307" t="str" cm="1">
        <f t="array" ref="J10307">_xlfn.IFS(I10307&lt;=3,"small",I10307&lt;=6,"Medium",I10307&lt;=9,"Large")</f>
        <v>small</v>
      </c>
      <c r="K10307" s="36">
        <v>45289</v>
      </c>
      <c r="L10307" s="36">
        <v>45296</v>
      </c>
      <c r="M10307" t="s">
        <v>598</v>
      </c>
      <c r="N10307" t="s">
        <v>599</v>
      </c>
      <c r="O10307" s="37" t="str">
        <f t="shared" ref="O10307:O10370" si="808">IF(OR(N10307="Card",N10307="UPI"),"Digital Payment","Cash Payment")</f>
        <v>Digital Payment</v>
      </c>
      <c r="P10307">
        <v>227.08</v>
      </c>
      <c r="Q10307" s="37" t="str">
        <f>IF(P10307&gt;500,"High","low")</f>
        <v>low</v>
      </c>
      <c r="R10307" s="37" t="str">
        <f t="shared" ref="R10307:R10370" si="809">IF(P10307&gt;1000,"Excellent",IF(P10307&gt;=500,"Good","AVERAGE"))</f>
        <v>AVERAGE</v>
      </c>
      <c r="S10307" t="s">
        <v>620</v>
      </c>
    </row>
    <row r="10308" spans="1:19" x14ac:dyDescent="0.2">
      <c r="A10308" t="s">
        <v>10919</v>
      </c>
      <c r="B10308" t="s">
        <v>67</v>
      </c>
      <c r="C10308" t="s">
        <v>607</v>
      </c>
      <c r="D10308">
        <v>3998.48</v>
      </c>
      <c r="E10308" s="37" t="str">
        <f t="shared" si="805"/>
        <v xml:space="preserve"> </v>
      </c>
      <c r="F10308">
        <v>0.35</v>
      </c>
      <c r="G10308" s="37" t="str">
        <f t="shared" si="806"/>
        <v>Heavy Discount</v>
      </c>
      <c r="H10308" s="37" t="str">
        <f t="shared" si="807"/>
        <v>Medium</v>
      </c>
      <c r="I10308">
        <v>5</v>
      </c>
      <c r="J10308" t="str" cm="1">
        <f t="array" ref="J10308">_xlfn.IFS(I10308&lt;=3,"small",I10308&lt;=6,"Medium",I10308&lt;=9,"Large")</f>
        <v>Medium</v>
      </c>
      <c r="K10308" s="36">
        <v>45225</v>
      </c>
      <c r="L10308" s="36">
        <v>45226</v>
      </c>
      <c r="M10308" t="s">
        <v>612</v>
      </c>
      <c r="N10308" t="s">
        <v>599</v>
      </c>
      <c r="O10308" s="37" t="str">
        <f t="shared" si="808"/>
        <v>Digital Payment</v>
      </c>
      <c r="P10308">
        <v>269.07</v>
      </c>
      <c r="Q10308" s="37" t="str">
        <f>IF(P10308&gt;500,"High","low")</f>
        <v>low</v>
      </c>
      <c r="R10308" s="37" t="str">
        <f t="shared" si="809"/>
        <v>AVERAGE</v>
      </c>
      <c r="S10308" t="s">
        <v>609</v>
      </c>
    </row>
    <row r="10309" spans="1:19" x14ac:dyDescent="0.2">
      <c r="A10309" t="s">
        <v>10920</v>
      </c>
      <c r="B10309" t="s">
        <v>67</v>
      </c>
      <c r="C10309" t="s">
        <v>614</v>
      </c>
      <c r="D10309">
        <v>2717.81</v>
      </c>
      <c r="E10309" s="37" t="str">
        <f t="shared" si="805"/>
        <v xml:space="preserve"> </v>
      </c>
      <c r="F10309">
        <v>0.21</v>
      </c>
      <c r="G10309" s="37" t="str">
        <f t="shared" si="806"/>
        <v>Normal Discount</v>
      </c>
      <c r="H10309" s="37" t="str">
        <f t="shared" si="807"/>
        <v>Medium</v>
      </c>
      <c r="I10309">
        <v>1</v>
      </c>
      <c r="J10309" t="str" cm="1">
        <f t="array" ref="J10309">_xlfn.IFS(I10309&lt;=3,"small",I10309&lt;=6,"Medium",I10309&lt;=9,"Large")</f>
        <v>small</v>
      </c>
      <c r="K10309" s="36">
        <v>45490</v>
      </c>
      <c r="L10309" s="36">
        <v>45491</v>
      </c>
      <c r="M10309" t="s">
        <v>612</v>
      </c>
      <c r="N10309" t="s">
        <v>599</v>
      </c>
      <c r="O10309" s="37" t="str">
        <f t="shared" si="808"/>
        <v>Digital Payment</v>
      </c>
      <c r="P10309">
        <v>395.31</v>
      </c>
      <c r="Q10309" s="37" t="str">
        <f>IF(P10309&gt;500,"High","low")</f>
        <v>low</v>
      </c>
      <c r="R10309" s="37" t="str">
        <f t="shared" si="809"/>
        <v>AVERAGE</v>
      </c>
      <c r="S10309" t="s">
        <v>620</v>
      </c>
    </row>
    <row r="10310" spans="1:19" x14ac:dyDescent="0.2">
      <c r="A10310" t="s">
        <v>10921</v>
      </c>
      <c r="B10310" t="s">
        <v>67</v>
      </c>
      <c r="C10310" t="s">
        <v>597</v>
      </c>
      <c r="D10310">
        <v>1185.2</v>
      </c>
      <c r="E10310" s="37" t="str">
        <f t="shared" si="805"/>
        <v xml:space="preserve"> </v>
      </c>
      <c r="F10310">
        <v>0.04</v>
      </c>
      <c r="G10310" s="37" t="str">
        <f t="shared" si="806"/>
        <v>Normal Discount</v>
      </c>
      <c r="H10310" s="37" t="str">
        <f t="shared" si="807"/>
        <v>Low</v>
      </c>
      <c r="I10310">
        <v>3</v>
      </c>
      <c r="J10310" t="str" cm="1">
        <f t="array" ref="J10310">_xlfn.IFS(I10310&lt;=3,"small",I10310&lt;=6,"Medium",I10310&lt;=9,"Large")</f>
        <v>small</v>
      </c>
      <c r="K10310" s="36">
        <v>45230</v>
      </c>
      <c r="L10310" s="36">
        <v>45232</v>
      </c>
      <c r="M10310" t="s">
        <v>603</v>
      </c>
      <c r="N10310" t="s">
        <v>604</v>
      </c>
      <c r="O10310" s="37" t="str">
        <f t="shared" si="808"/>
        <v>Digital Payment</v>
      </c>
      <c r="P10310">
        <v>103.41</v>
      </c>
      <c r="Q10310" s="37" t="str">
        <f>IF(P10310&gt;500,"High","low")</f>
        <v>low</v>
      </c>
      <c r="R10310" s="37" t="str">
        <f t="shared" si="809"/>
        <v>AVERAGE</v>
      </c>
      <c r="S10310" t="s">
        <v>600</v>
      </c>
    </row>
    <row r="10311" spans="1:19" x14ac:dyDescent="0.2">
      <c r="A10311" t="s">
        <v>10922</v>
      </c>
      <c r="B10311" t="s">
        <v>90</v>
      </c>
      <c r="C10311" t="s">
        <v>614</v>
      </c>
      <c r="D10311">
        <v>350.09</v>
      </c>
      <c r="E10311" s="37" t="str">
        <f t="shared" si="805"/>
        <v xml:space="preserve"> </v>
      </c>
      <c r="F10311">
        <v>0.49</v>
      </c>
      <c r="G10311" s="37" t="str">
        <f t="shared" si="806"/>
        <v>Heavy Discount</v>
      </c>
      <c r="H10311" s="37" t="str">
        <f t="shared" si="807"/>
        <v>High</v>
      </c>
      <c r="I10311">
        <v>2</v>
      </c>
      <c r="J10311" t="str" cm="1">
        <f t="array" ref="J10311">_xlfn.IFS(I10311&lt;=3,"small",I10311&lt;=6,"Medium",I10311&lt;=9,"Large")</f>
        <v>small</v>
      </c>
      <c r="K10311" s="36">
        <v>45573</v>
      </c>
      <c r="L10311" s="36">
        <v>45575</v>
      </c>
      <c r="M10311" t="s">
        <v>612</v>
      </c>
      <c r="N10311" t="s">
        <v>604</v>
      </c>
      <c r="O10311" s="37" t="str">
        <f t="shared" si="808"/>
        <v>Digital Payment</v>
      </c>
      <c r="P10311">
        <v>93.84</v>
      </c>
      <c r="Q10311" s="37" t="str">
        <f>IF(P10311&gt;500,"High","low")</f>
        <v>low</v>
      </c>
      <c r="R10311" s="37" t="str">
        <f t="shared" si="809"/>
        <v>AVERAGE</v>
      </c>
      <c r="S10311" t="s">
        <v>609</v>
      </c>
    </row>
    <row r="10312" spans="1:19" x14ac:dyDescent="0.2">
      <c r="A10312" t="s">
        <v>10923</v>
      </c>
      <c r="B10312" t="s">
        <v>90</v>
      </c>
      <c r="C10312" t="s">
        <v>602</v>
      </c>
      <c r="D10312">
        <v>3823.62</v>
      </c>
      <c r="E10312" s="37" t="str">
        <f t="shared" si="805"/>
        <v xml:space="preserve"> </v>
      </c>
      <c r="F10312">
        <v>0.1</v>
      </c>
      <c r="G10312" s="37" t="str">
        <f t="shared" si="806"/>
        <v>Normal Discount</v>
      </c>
      <c r="H10312" s="37" t="str">
        <f t="shared" si="807"/>
        <v>Low</v>
      </c>
      <c r="I10312">
        <v>2</v>
      </c>
      <c r="J10312" t="str" cm="1">
        <f t="array" ref="J10312">_xlfn.IFS(I10312&lt;=3,"small",I10312&lt;=6,"Medium",I10312&lt;=9,"Large")</f>
        <v>small</v>
      </c>
      <c r="K10312" s="36">
        <v>45025</v>
      </c>
      <c r="L10312" s="36">
        <v>45028</v>
      </c>
      <c r="M10312" t="s">
        <v>603</v>
      </c>
      <c r="N10312" t="s">
        <v>608</v>
      </c>
      <c r="O10312" s="37" t="str">
        <f t="shared" si="808"/>
        <v>Cash Payment</v>
      </c>
      <c r="P10312">
        <v>625.20000000000005</v>
      </c>
      <c r="Q10312" s="37" t="str">
        <f>IF(P10312&gt;500,"High","low")</f>
        <v>High</v>
      </c>
      <c r="R10312" s="37" t="str">
        <f t="shared" si="809"/>
        <v>Good</v>
      </c>
      <c r="S10312" t="s">
        <v>609</v>
      </c>
    </row>
    <row r="10313" spans="1:19" x14ac:dyDescent="0.2">
      <c r="A10313" t="s">
        <v>10924</v>
      </c>
      <c r="B10313" t="s">
        <v>90</v>
      </c>
      <c r="C10313" t="s">
        <v>617</v>
      </c>
      <c r="D10313">
        <v>1650.7</v>
      </c>
      <c r="E10313" s="37" t="str">
        <f t="shared" si="805"/>
        <v xml:space="preserve"> </v>
      </c>
      <c r="F10313">
        <v>0.38</v>
      </c>
      <c r="G10313" s="37" t="str">
        <f t="shared" si="806"/>
        <v>Heavy Discount</v>
      </c>
      <c r="H10313" s="37" t="str">
        <f t="shared" si="807"/>
        <v>Medium</v>
      </c>
      <c r="I10313">
        <v>4</v>
      </c>
      <c r="J10313" t="str" cm="1">
        <f t="array" ref="J10313">_xlfn.IFS(I10313&lt;=3,"small",I10313&lt;=6,"Medium",I10313&lt;=9,"Large")</f>
        <v>Medium</v>
      </c>
      <c r="K10313" s="36">
        <v>45482</v>
      </c>
      <c r="L10313" s="36">
        <v>45487</v>
      </c>
      <c r="M10313" t="s">
        <v>598</v>
      </c>
      <c r="N10313" t="s">
        <v>608</v>
      </c>
      <c r="O10313" s="37" t="str">
        <f t="shared" si="808"/>
        <v>Cash Payment</v>
      </c>
      <c r="P10313">
        <v>428.13</v>
      </c>
      <c r="Q10313" s="37" t="str">
        <f>IF(P10313&gt;500,"High","low")</f>
        <v>low</v>
      </c>
      <c r="R10313" s="37" t="str">
        <f t="shared" si="809"/>
        <v>AVERAGE</v>
      </c>
      <c r="S10313" t="s">
        <v>600</v>
      </c>
    </row>
    <row r="10314" spans="1:19" x14ac:dyDescent="0.2">
      <c r="A10314" t="s">
        <v>10925</v>
      </c>
      <c r="B10314" t="s">
        <v>67</v>
      </c>
      <c r="C10314" t="s">
        <v>614</v>
      </c>
      <c r="D10314">
        <v>1940.37</v>
      </c>
      <c r="E10314" s="37" t="str">
        <f t="shared" si="805"/>
        <v xml:space="preserve"> </v>
      </c>
      <c r="F10314">
        <v>7.0000000000000007E-2</v>
      </c>
      <c r="G10314" s="37" t="str">
        <f t="shared" si="806"/>
        <v>Normal Discount</v>
      </c>
      <c r="H10314" s="37" t="str">
        <f t="shared" si="807"/>
        <v>Low</v>
      </c>
      <c r="I10314">
        <v>5</v>
      </c>
      <c r="J10314" t="str" cm="1">
        <f t="array" ref="J10314">_xlfn.IFS(I10314&lt;=3,"small",I10314&lt;=6,"Medium",I10314&lt;=9,"Large")</f>
        <v>Medium</v>
      </c>
      <c r="K10314" s="36">
        <v>45060</v>
      </c>
      <c r="L10314" s="36">
        <v>45062</v>
      </c>
      <c r="M10314" t="s">
        <v>612</v>
      </c>
      <c r="N10314" t="s">
        <v>608</v>
      </c>
      <c r="O10314" s="37" t="str">
        <f t="shared" si="808"/>
        <v>Cash Payment</v>
      </c>
      <c r="P10314">
        <v>202.49</v>
      </c>
      <c r="Q10314" s="37" t="str">
        <f>IF(P10314&gt;500,"High","low")</f>
        <v>low</v>
      </c>
      <c r="R10314" s="37" t="str">
        <f t="shared" si="809"/>
        <v>AVERAGE</v>
      </c>
      <c r="S10314" t="s">
        <v>628</v>
      </c>
    </row>
    <row r="10315" spans="1:19" x14ac:dyDescent="0.2">
      <c r="A10315" t="s">
        <v>10926</v>
      </c>
      <c r="B10315" t="s">
        <v>67</v>
      </c>
      <c r="C10315" t="s">
        <v>614</v>
      </c>
      <c r="D10315">
        <v>2477.63</v>
      </c>
      <c r="E10315" s="37" t="str">
        <f t="shared" si="805"/>
        <v xml:space="preserve"> </v>
      </c>
      <c r="F10315">
        <v>0.14000000000000001</v>
      </c>
      <c r="G10315" s="37" t="str">
        <f t="shared" si="806"/>
        <v>Normal Discount</v>
      </c>
      <c r="H10315" s="37" t="str">
        <f t="shared" si="807"/>
        <v>Low</v>
      </c>
      <c r="I10315">
        <v>1</v>
      </c>
      <c r="J10315" t="str" cm="1">
        <f t="array" ref="J10315">_xlfn.IFS(I10315&lt;=3,"small",I10315&lt;=6,"Medium",I10315&lt;=9,"Large")</f>
        <v>small</v>
      </c>
      <c r="K10315" s="36">
        <v>45073</v>
      </c>
      <c r="L10315" s="36">
        <v>45076</v>
      </c>
      <c r="M10315" t="s">
        <v>598</v>
      </c>
      <c r="N10315" t="s">
        <v>599</v>
      </c>
      <c r="O10315" s="37" t="str">
        <f t="shared" si="808"/>
        <v>Digital Payment</v>
      </c>
      <c r="P10315">
        <v>659.36</v>
      </c>
      <c r="Q10315" s="37" t="str">
        <f>IF(P10315&gt;500,"High","low")</f>
        <v>High</v>
      </c>
      <c r="R10315" s="37" t="str">
        <f t="shared" si="809"/>
        <v>Good</v>
      </c>
      <c r="S10315" t="s">
        <v>620</v>
      </c>
    </row>
    <row r="10316" spans="1:19" x14ac:dyDescent="0.2">
      <c r="A10316" t="s">
        <v>10927</v>
      </c>
      <c r="B10316" t="s">
        <v>75</v>
      </c>
      <c r="C10316" t="s">
        <v>617</v>
      </c>
      <c r="D10316">
        <v>2585.2600000000002</v>
      </c>
      <c r="E10316" s="37" t="str">
        <f t="shared" si="805"/>
        <v xml:space="preserve"> </v>
      </c>
      <c r="F10316">
        <v>0.28000000000000003</v>
      </c>
      <c r="G10316" s="37" t="str">
        <f t="shared" si="806"/>
        <v>Normal Discount</v>
      </c>
      <c r="H10316" s="37" t="str">
        <f t="shared" si="807"/>
        <v>Medium</v>
      </c>
      <c r="I10316">
        <v>6</v>
      </c>
      <c r="J10316" t="str" cm="1">
        <f t="array" ref="J10316">_xlfn.IFS(I10316&lt;=3,"small",I10316&lt;=6,"Medium",I10316&lt;=9,"Large")</f>
        <v>Medium</v>
      </c>
      <c r="K10316" s="36">
        <v>45154</v>
      </c>
      <c r="L10316" s="36">
        <v>45158</v>
      </c>
      <c r="M10316" t="s">
        <v>598</v>
      </c>
      <c r="N10316" t="s">
        <v>608</v>
      </c>
      <c r="O10316" s="37" t="str">
        <f t="shared" si="808"/>
        <v>Cash Payment</v>
      </c>
      <c r="P10316">
        <v>219.37</v>
      </c>
      <c r="Q10316" s="37" t="str">
        <f>IF(P10316&gt;500,"High","low")</f>
        <v>low</v>
      </c>
      <c r="R10316" s="37" t="str">
        <f t="shared" si="809"/>
        <v>AVERAGE</v>
      </c>
      <c r="S10316" t="s">
        <v>600</v>
      </c>
    </row>
    <row r="10317" spans="1:19" x14ac:dyDescent="0.2">
      <c r="A10317" t="s">
        <v>10928</v>
      </c>
      <c r="B10317" t="s">
        <v>83</v>
      </c>
      <c r="C10317" t="s">
        <v>614</v>
      </c>
      <c r="D10317">
        <v>1110.31</v>
      </c>
      <c r="E10317" s="37" t="str">
        <f t="shared" si="805"/>
        <v xml:space="preserve"> </v>
      </c>
      <c r="F10317">
        <v>0.21</v>
      </c>
      <c r="G10317" s="37" t="str">
        <f t="shared" si="806"/>
        <v>Normal Discount</v>
      </c>
      <c r="H10317" s="37" t="str">
        <f t="shared" si="807"/>
        <v>Medium</v>
      </c>
      <c r="I10317">
        <v>5</v>
      </c>
      <c r="J10317" t="str" cm="1">
        <f t="array" ref="J10317">_xlfn.IFS(I10317&lt;=3,"small",I10317&lt;=6,"Medium",I10317&lt;=9,"Large")</f>
        <v>Medium</v>
      </c>
      <c r="K10317" s="36">
        <v>45158</v>
      </c>
      <c r="L10317" s="36">
        <v>45159</v>
      </c>
      <c r="M10317" t="s">
        <v>603</v>
      </c>
      <c r="N10317" t="s">
        <v>608</v>
      </c>
      <c r="O10317" s="37" t="str">
        <f t="shared" si="808"/>
        <v>Cash Payment</v>
      </c>
      <c r="P10317">
        <v>98.3</v>
      </c>
      <c r="Q10317" s="37" t="str">
        <f>IF(P10317&gt;500,"High","low")</f>
        <v>low</v>
      </c>
      <c r="R10317" s="37" t="str">
        <f t="shared" si="809"/>
        <v>AVERAGE</v>
      </c>
      <c r="S10317" t="s">
        <v>620</v>
      </c>
    </row>
    <row r="10318" spans="1:19" x14ac:dyDescent="0.2">
      <c r="A10318" t="s">
        <v>10929</v>
      </c>
      <c r="B10318" t="s">
        <v>75</v>
      </c>
      <c r="C10318" t="s">
        <v>614</v>
      </c>
      <c r="D10318">
        <v>3386.15</v>
      </c>
      <c r="E10318" s="37" t="str">
        <f t="shared" si="805"/>
        <v xml:space="preserve"> </v>
      </c>
      <c r="F10318">
        <v>0.48</v>
      </c>
      <c r="G10318" s="37" t="str">
        <f t="shared" si="806"/>
        <v>Heavy Discount</v>
      </c>
      <c r="H10318" s="37" t="str">
        <f t="shared" si="807"/>
        <v>High</v>
      </c>
      <c r="I10318">
        <v>4</v>
      </c>
      <c r="J10318" t="str" cm="1">
        <f t="array" ref="J10318">_xlfn.IFS(I10318&lt;=3,"small",I10318&lt;=6,"Medium",I10318&lt;=9,"Large")</f>
        <v>Medium</v>
      </c>
      <c r="K10318" s="36">
        <v>45326</v>
      </c>
      <c r="L10318" s="36">
        <v>45328</v>
      </c>
      <c r="M10318" t="s">
        <v>603</v>
      </c>
      <c r="N10318" t="s">
        <v>604</v>
      </c>
      <c r="O10318" s="37" t="str">
        <f t="shared" si="808"/>
        <v>Digital Payment</v>
      </c>
      <c r="P10318">
        <v>1005.45</v>
      </c>
      <c r="Q10318" s="37" t="str">
        <f>IF(P10318&gt;500,"High","low")</f>
        <v>High</v>
      </c>
      <c r="R10318" s="37" t="str">
        <f t="shared" si="809"/>
        <v>Excellent</v>
      </c>
      <c r="S10318" t="s">
        <v>605</v>
      </c>
    </row>
    <row r="10319" spans="1:19" x14ac:dyDescent="0.2">
      <c r="A10319" t="s">
        <v>10930</v>
      </c>
      <c r="B10319" t="s">
        <v>67</v>
      </c>
      <c r="C10319" t="s">
        <v>617</v>
      </c>
      <c r="D10319">
        <v>3493.45</v>
      </c>
      <c r="E10319" s="37" t="str">
        <f t="shared" si="805"/>
        <v xml:space="preserve"> </v>
      </c>
      <c r="F10319">
        <v>0.42</v>
      </c>
      <c r="G10319" s="37" t="str">
        <f t="shared" si="806"/>
        <v>Heavy Discount</v>
      </c>
      <c r="H10319" s="37" t="str">
        <f t="shared" si="807"/>
        <v>High</v>
      </c>
      <c r="I10319">
        <v>6</v>
      </c>
      <c r="J10319" t="str" cm="1">
        <f t="array" ref="J10319">_xlfn.IFS(I10319&lt;=3,"small",I10319&lt;=6,"Medium",I10319&lt;=9,"Large")</f>
        <v>Medium</v>
      </c>
      <c r="K10319" s="36">
        <v>45321</v>
      </c>
      <c r="L10319" s="36">
        <v>45324</v>
      </c>
      <c r="M10319" t="s">
        <v>598</v>
      </c>
      <c r="N10319" t="s">
        <v>599</v>
      </c>
      <c r="O10319" s="37" t="str">
        <f t="shared" si="808"/>
        <v>Digital Payment</v>
      </c>
      <c r="P10319">
        <v>199.81</v>
      </c>
      <c r="Q10319" s="37" t="str">
        <f>IF(P10319&gt;500,"High","low")</f>
        <v>low</v>
      </c>
      <c r="R10319" s="37" t="str">
        <f t="shared" si="809"/>
        <v>AVERAGE</v>
      </c>
      <c r="S10319" t="s">
        <v>609</v>
      </c>
    </row>
    <row r="10320" spans="1:19" x14ac:dyDescent="0.2">
      <c r="A10320" t="s">
        <v>10931</v>
      </c>
      <c r="B10320" t="s">
        <v>90</v>
      </c>
      <c r="C10320" t="s">
        <v>617</v>
      </c>
      <c r="D10320">
        <v>797.27</v>
      </c>
      <c r="E10320" s="37" t="str">
        <f t="shared" si="805"/>
        <v xml:space="preserve"> </v>
      </c>
      <c r="F10320">
        <v>0.46</v>
      </c>
      <c r="G10320" s="37" t="str">
        <f t="shared" si="806"/>
        <v>Heavy Discount</v>
      </c>
      <c r="H10320" s="37" t="str">
        <f t="shared" si="807"/>
        <v>High</v>
      </c>
      <c r="I10320">
        <v>2</v>
      </c>
      <c r="J10320" t="str" cm="1">
        <f t="array" ref="J10320">_xlfn.IFS(I10320&lt;=3,"small",I10320&lt;=6,"Medium",I10320&lt;=9,"Large")</f>
        <v>small</v>
      </c>
      <c r="K10320" s="36">
        <v>45497</v>
      </c>
      <c r="L10320" s="36">
        <v>45504</v>
      </c>
      <c r="M10320" t="s">
        <v>598</v>
      </c>
      <c r="N10320" t="s">
        <v>608</v>
      </c>
      <c r="O10320" s="37" t="str">
        <f t="shared" si="808"/>
        <v>Cash Payment</v>
      </c>
      <c r="P10320">
        <v>46.15</v>
      </c>
      <c r="Q10320" s="37" t="str">
        <f>IF(P10320&gt;500,"High","low")</f>
        <v>low</v>
      </c>
      <c r="R10320" s="37" t="str">
        <f t="shared" si="809"/>
        <v>AVERAGE</v>
      </c>
      <c r="S10320" t="s">
        <v>609</v>
      </c>
    </row>
    <row r="10321" spans="1:19" x14ac:dyDescent="0.2">
      <c r="A10321" t="s">
        <v>10932</v>
      </c>
      <c r="B10321" t="s">
        <v>67</v>
      </c>
      <c r="C10321" t="s">
        <v>602</v>
      </c>
      <c r="D10321">
        <v>2711.26</v>
      </c>
      <c r="E10321" s="37" t="str">
        <f t="shared" si="805"/>
        <v xml:space="preserve"> </v>
      </c>
      <c r="F10321">
        <v>0.32</v>
      </c>
      <c r="G10321" s="37" t="str">
        <f t="shared" si="806"/>
        <v>Heavy Discount</v>
      </c>
      <c r="H10321" s="37" t="str">
        <f t="shared" si="807"/>
        <v>Medium</v>
      </c>
      <c r="I10321">
        <v>8</v>
      </c>
      <c r="J10321" t="str" cm="1">
        <f t="array" ref="J10321">_xlfn.IFS(I10321&lt;=3,"small",I10321&lt;=6,"Medium",I10321&lt;=9,"Large")</f>
        <v>Large</v>
      </c>
      <c r="K10321" s="36">
        <v>45530</v>
      </c>
      <c r="L10321" s="36">
        <v>45536</v>
      </c>
      <c r="M10321" t="s">
        <v>612</v>
      </c>
      <c r="N10321" t="s">
        <v>608</v>
      </c>
      <c r="O10321" s="37" t="str">
        <f t="shared" si="808"/>
        <v>Cash Payment</v>
      </c>
      <c r="P10321">
        <v>206.87</v>
      </c>
      <c r="Q10321" s="37" t="str">
        <f>IF(P10321&gt;500,"High","low")</f>
        <v>low</v>
      </c>
      <c r="R10321" s="37" t="str">
        <f t="shared" si="809"/>
        <v>AVERAGE</v>
      </c>
      <c r="S10321" t="s">
        <v>628</v>
      </c>
    </row>
    <row r="10322" spans="1:19" x14ac:dyDescent="0.2">
      <c r="A10322" t="s">
        <v>10933</v>
      </c>
      <c r="B10322" t="s">
        <v>83</v>
      </c>
      <c r="C10322" t="s">
        <v>602</v>
      </c>
      <c r="D10322">
        <v>3085.37</v>
      </c>
      <c r="E10322" s="37" t="str">
        <f t="shared" si="805"/>
        <v xml:space="preserve"> </v>
      </c>
      <c r="F10322">
        <v>0.11</v>
      </c>
      <c r="G10322" s="37" t="str">
        <f t="shared" si="806"/>
        <v>Normal Discount</v>
      </c>
      <c r="H10322" s="37" t="str">
        <f t="shared" si="807"/>
        <v>Low</v>
      </c>
      <c r="I10322">
        <v>6</v>
      </c>
      <c r="J10322" t="str" cm="1">
        <f t="array" ref="J10322">_xlfn.IFS(I10322&lt;=3,"small",I10322&lt;=6,"Medium",I10322&lt;=9,"Large")</f>
        <v>Medium</v>
      </c>
      <c r="K10322" s="36">
        <v>45554</v>
      </c>
      <c r="L10322" s="36">
        <v>45560</v>
      </c>
      <c r="M10322" t="s">
        <v>598</v>
      </c>
      <c r="N10322" t="s">
        <v>599</v>
      </c>
      <c r="O10322" s="37" t="str">
        <f t="shared" si="808"/>
        <v>Digital Payment</v>
      </c>
      <c r="P10322">
        <v>300.10000000000002</v>
      </c>
      <c r="Q10322" s="37" t="str">
        <f>IF(P10322&gt;500,"High","low")</f>
        <v>low</v>
      </c>
      <c r="R10322" s="37" t="str">
        <f t="shared" si="809"/>
        <v>AVERAGE</v>
      </c>
      <c r="S10322" t="s">
        <v>605</v>
      </c>
    </row>
    <row r="10323" spans="1:19" x14ac:dyDescent="0.2">
      <c r="A10323" t="s">
        <v>10934</v>
      </c>
      <c r="B10323" t="s">
        <v>75</v>
      </c>
      <c r="C10323" t="s">
        <v>614</v>
      </c>
      <c r="D10323">
        <v>1012.63</v>
      </c>
      <c r="E10323" s="37" t="str">
        <f t="shared" si="805"/>
        <v xml:space="preserve"> </v>
      </c>
      <c r="F10323">
        <v>0.26</v>
      </c>
      <c r="G10323" s="37" t="str">
        <f t="shared" si="806"/>
        <v>Normal Discount</v>
      </c>
      <c r="H10323" s="37" t="str">
        <f t="shared" si="807"/>
        <v>Medium</v>
      </c>
      <c r="I10323">
        <v>3</v>
      </c>
      <c r="J10323" t="str" cm="1">
        <f t="array" ref="J10323">_xlfn.IFS(I10323&lt;=3,"small",I10323&lt;=6,"Medium",I10323&lt;=9,"Large")</f>
        <v>small</v>
      </c>
      <c r="K10323" s="36">
        <v>45013</v>
      </c>
      <c r="L10323" s="36">
        <v>45014</v>
      </c>
      <c r="M10323" t="s">
        <v>612</v>
      </c>
      <c r="N10323" t="s">
        <v>608</v>
      </c>
      <c r="O10323" s="37" t="str">
        <f t="shared" si="808"/>
        <v>Cash Payment</v>
      </c>
      <c r="P10323">
        <v>67.97</v>
      </c>
      <c r="Q10323" s="37" t="str">
        <f>IF(P10323&gt;500,"High","low")</f>
        <v>low</v>
      </c>
      <c r="R10323" s="37" t="str">
        <f t="shared" si="809"/>
        <v>AVERAGE</v>
      </c>
      <c r="S10323" t="s">
        <v>628</v>
      </c>
    </row>
    <row r="10324" spans="1:19" x14ac:dyDescent="0.2">
      <c r="A10324" t="s">
        <v>10935</v>
      </c>
      <c r="B10324" t="s">
        <v>75</v>
      </c>
      <c r="C10324" t="s">
        <v>597</v>
      </c>
      <c r="D10324">
        <v>4482.8599999999997</v>
      </c>
      <c r="E10324" s="37" t="str">
        <f t="shared" si="805"/>
        <v>Excellent Order</v>
      </c>
      <c r="F10324">
        <v>0.38</v>
      </c>
      <c r="G10324" s="37" t="str">
        <f t="shared" si="806"/>
        <v>Heavy Discount</v>
      </c>
      <c r="H10324" s="37" t="str">
        <f t="shared" si="807"/>
        <v>Medium</v>
      </c>
      <c r="I10324">
        <v>4</v>
      </c>
      <c r="J10324" t="str" cm="1">
        <f t="array" ref="J10324">_xlfn.IFS(I10324&lt;=3,"small",I10324&lt;=6,"Medium",I10324&lt;=9,"Large")</f>
        <v>Medium</v>
      </c>
      <c r="K10324" s="36">
        <v>45345</v>
      </c>
      <c r="L10324" s="36">
        <v>45349</v>
      </c>
      <c r="M10324" t="s">
        <v>598</v>
      </c>
      <c r="N10324" t="s">
        <v>604</v>
      </c>
      <c r="O10324" s="37" t="str">
        <f t="shared" si="808"/>
        <v>Digital Payment</v>
      </c>
      <c r="P10324">
        <v>1289.45</v>
      </c>
      <c r="Q10324" s="37" t="str">
        <f>IF(P10324&gt;500,"High","low")</f>
        <v>High</v>
      </c>
      <c r="R10324" s="37" t="str">
        <f t="shared" si="809"/>
        <v>Excellent</v>
      </c>
      <c r="S10324" t="s">
        <v>600</v>
      </c>
    </row>
    <row r="10325" spans="1:19" x14ac:dyDescent="0.2">
      <c r="A10325" t="s">
        <v>10936</v>
      </c>
      <c r="B10325" t="s">
        <v>90</v>
      </c>
      <c r="C10325" t="s">
        <v>602</v>
      </c>
      <c r="D10325">
        <v>2465.85</v>
      </c>
      <c r="E10325" s="37" t="str">
        <f t="shared" si="805"/>
        <v xml:space="preserve"> </v>
      </c>
      <c r="F10325">
        <v>0.03</v>
      </c>
      <c r="G10325" s="37" t="str">
        <f t="shared" si="806"/>
        <v>Normal Discount</v>
      </c>
      <c r="H10325" s="37" t="str">
        <f t="shared" si="807"/>
        <v>Low</v>
      </c>
      <c r="I10325">
        <v>2</v>
      </c>
      <c r="J10325" t="str" cm="1">
        <f t="array" ref="J10325">_xlfn.IFS(I10325&lt;=3,"small",I10325&lt;=6,"Medium",I10325&lt;=9,"Large")</f>
        <v>small</v>
      </c>
      <c r="K10325" s="36">
        <v>44986</v>
      </c>
      <c r="L10325" s="36">
        <v>44988</v>
      </c>
      <c r="M10325" t="s">
        <v>612</v>
      </c>
      <c r="N10325" t="s">
        <v>608</v>
      </c>
      <c r="O10325" s="37" t="str">
        <f t="shared" si="808"/>
        <v>Cash Payment</v>
      </c>
      <c r="P10325">
        <v>309.2</v>
      </c>
      <c r="Q10325" s="37" t="str">
        <f>IF(P10325&gt;500,"High","low")</f>
        <v>low</v>
      </c>
      <c r="R10325" s="37" t="str">
        <f t="shared" si="809"/>
        <v>AVERAGE</v>
      </c>
      <c r="S10325" t="s">
        <v>620</v>
      </c>
    </row>
    <row r="10326" spans="1:19" x14ac:dyDescent="0.2">
      <c r="A10326" t="s">
        <v>10937</v>
      </c>
      <c r="B10326" t="s">
        <v>75</v>
      </c>
      <c r="C10326" t="s">
        <v>602</v>
      </c>
      <c r="D10326">
        <v>663.64</v>
      </c>
      <c r="E10326" s="37" t="str">
        <f t="shared" si="805"/>
        <v xml:space="preserve"> </v>
      </c>
      <c r="F10326">
        <v>0.43</v>
      </c>
      <c r="G10326" s="37" t="str">
        <f t="shared" si="806"/>
        <v>Heavy Discount</v>
      </c>
      <c r="H10326" s="37" t="str">
        <f t="shared" si="807"/>
        <v>High</v>
      </c>
      <c r="I10326">
        <v>4</v>
      </c>
      <c r="J10326" t="str" cm="1">
        <f t="array" ref="J10326">_xlfn.IFS(I10326&lt;=3,"small",I10326&lt;=6,"Medium",I10326&lt;=9,"Large")</f>
        <v>Medium</v>
      </c>
      <c r="K10326" s="36">
        <v>45601</v>
      </c>
      <c r="L10326" s="36">
        <v>45603</v>
      </c>
      <c r="M10326" t="s">
        <v>603</v>
      </c>
      <c r="N10326" t="s">
        <v>604</v>
      </c>
      <c r="O10326" s="37" t="str">
        <f t="shared" si="808"/>
        <v>Digital Payment</v>
      </c>
      <c r="P10326">
        <v>193.34</v>
      </c>
      <c r="Q10326" s="37" t="str">
        <f>IF(P10326&gt;500,"High","low")</f>
        <v>low</v>
      </c>
      <c r="R10326" s="37" t="str">
        <f t="shared" si="809"/>
        <v>AVERAGE</v>
      </c>
      <c r="S10326" t="s">
        <v>605</v>
      </c>
    </row>
    <row r="10327" spans="1:19" x14ac:dyDescent="0.2">
      <c r="A10327" t="s">
        <v>10938</v>
      </c>
      <c r="B10327" t="s">
        <v>75</v>
      </c>
      <c r="C10327" t="s">
        <v>597</v>
      </c>
      <c r="D10327">
        <v>1738.54</v>
      </c>
      <c r="E10327" s="37" t="str">
        <f t="shared" si="805"/>
        <v xml:space="preserve"> </v>
      </c>
      <c r="F10327">
        <v>0.32</v>
      </c>
      <c r="G10327" s="37" t="str">
        <f t="shared" si="806"/>
        <v>Heavy Discount</v>
      </c>
      <c r="H10327" s="37" t="str">
        <f t="shared" si="807"/>
        <v>Medium</v>
      </c>
      <c r="I10327">
        <v>9</v>
      </c>
      <c r="J10327" t="str" cm="1">
        <f t="array" ref="J10327">_xlfn.IFS(I10327&lt;=3,"small",I10327&lt;=6,"Medium",I10327&lt;=9,"Large")</f>
        <v>Large</v>
      </c>
      <c r="K10327" s="36">
        <v>45433</v>
      </c>
      <c r="L10327" s="36">
        <v>45437</v>
      </c>
      <c r="M10327" t="s">
        <v>603</v>
      </c>
      <c r="N10327" t="s">
        <v>604</v>
      </c>
      <c r="O10327" s="37" t="str">
        <f t="shared" si="808"/>
        <v>Digital Payment</v>
      </c>
      <c r="P10327">
        <v>467.86</v>
      </c>
      <c r="Q10327" s="37" t="str">
        <f>IF(P10327&gt;500,"High","low")</f>
        <v>low</v>
      </c>
      <c r="R10327" s="37" t="str">
        <f t="shared" si="809"/>
        <v>AVERAGE</v>
      </c>
      <c r="S10327" t="s">
        <v>628</v>
      </c>
    </row>
    <row r="10328" spans="1:19" x14ac:dyDescent="0.2">
      <c r="A10328" t="s">
        <v>10939</v>
      </c>
      <c r="B10328" t="s">
        <v>67</v>
      </c>
      <c r="C10328" t="s">
        <v>597</v>
      </c>
      <c r="D10328">
        <v>2437.11</v>
      </c>
      <c r="E10328" s="37" t="str">
        <f t="shared" si="805"/>
        <v xml:space="preserve"> </v>
      </c>
      <c r="F10328">
        <v>0.36</v>
      </c>
      <c r="G10328" s="37" t="str">
        <f t="shared" si="806"/>
        <v>Heavy Discount</v>
      </c>
      <c r="H10328" s="37" t="str">
        <f t="shared" si="807"/>
        <v>Medium</v>
      </c>
      <c r="I10328">
        <v>4</v>
      </c>
      <c r="J10328" t="str" cm="1">
        <f t="array" ref="J10328">_xlfn.IFS(I10328&lt;=3,"small",I10328&lt;=6,"Medium",I10328&lt;=9,"Large")</f>
        <v>Medium</v>
      </c>
      <c r="K10328" s="36">
        <v>45583</v>
      </c>
      <c r="L10328" s="36">
        <v>45589</v>
      </c>
      <c r="M10328" t="s">
        <v>612</v>
      </c>
      <c r="N10328" t="s">
        <v>599</v>
      </c>
      <c r="O10328" s="37" t="str">
        <f t="shared" si="808"/>
        <v>Digital Payment</v>
      </c>
      <c r="P10328">
        <v>588.24</v>
      </c>
      <c r="Q10328" s="37" t="str">
        <f>IF(P10328&gt;500,"High","low")</f>
        <v>High</v>
      </c>
      <c r="R10328" s="37" t="str">
        <f t="shared" si="809"/>
        <v>Good</v>
      </c>
      <c r="S10328" t="s">
        <v>620</v>
      </c>
    </row>
    <row r="10329" spans="1:19" x14ac:dyDescent="0.2">
      <c r="A10329" t="s">
        <v>10940</v>
      </c>
      <c r="B10329" t="s">
        <v>75</v>
      </c>
      <c r="C10329" t="s">
        <v>617</v>
      </c>
      <c r="D10329">
        <v>149.71</v>
      </c>
      <c r="E10329" s="37" t="str">
        <f t="shared" si="805"/>
        <v xml:space="preserve"> </v>
      </c>
      <c r="F10329">
        <v>0.35</v>
      </c>
      <c r="G10329" s="37" t="str">
        <f t="shared" si="806"/>
        <v>Heavy Discount</v>
      </c>
      <c r="H10329" s="37" t="str">
        <f t="shared" si="807"/>
        <v>Medium</v>
      </c>
      <c r="I10329">
        <v>8</v>
      </c>
      <c r="J10329" t="str" cm="1">
        <f t="array" ref="J10329">_xlfn.IFS(I10329&lt;=3,"small",I10329&lt;=6,"Medium",I10329&lt;=9,"Large")</f>
        <v>Large</v>
      </c>
      <c r="K10329" s="36">
        <v>45093</v>
      </c>
      <c r="L10329" s="36">
        <v>45098</v>
      </c>
      <c r="M10329" t="s">
        <v>612</v>
      </c>
      <c r="N10329" t="s">
        <v>599</v>
      </c>
      <c r="O10329" s="37" t="str">
        <f t="shared" si="808"/>
        <v>Digital Payment</v>
      </c>
      <c r="P10329">
        <v>8.5</v>
      </c>
      <c r="Q10329" s="37" t="str">
        <f>IF(P10329&gt;500,"High","low")</f>
        <v>low</v>
      </c>
      <c r="R10329" s="37" t="str">
        <f t="shared" si="809"/>
        <v>AVERAGE</v>
      </c>
      <c r="S10329" t="s">
        <v>615</v>
      </c>
    </row>
    <row r="10330" spans="1:19" x14ac:dyDescent="0.2">
      <c r="A10330" t="s">
        <v>10941</v>
      </c>
      <c r="B10330" t="s">
        <v>75</v>
      </c>
      <c r="C10330" t="s">
        <v>602</v>
      </c>
      <c r="D10330">
        <v>256.36</v>
      </c>
      <c r="E10330" s="37" t="str">
        <f t="shared" si="805"/>
        <v xml:space="preserve"> </v>
      </c>
      <c r="F10330">
        <v>0.42</v>
      </c>
      <c r="G10330" s="37" t="str">
        <f t="shared" si="806"/>
        <v>Heavy Discount</v>
      </c>
      <c r="H10330" s="37" t="str">
        <f t="shared" si="807"/>
        <v>High</v>
      </c>
      <c r="I10330">
        <v>3</v>
      </c>
      <c r="J10330" t="str" cm="1">
        <f t="array" ref="J10330">_xlfn.IFS(I10330&lt;=3,"small",I10330&lt;=6,"Medium",I10330&lt;=9,"Large")</f>
        <v>small</v>
      </c>
      <c r="K10330" s="36">
        <v>45417</v>
      </c>
      <c r="L10330" s="36">
        <v>45420</v>
      </c>
      <c r="M10330" t="s">
        <v>612</v>
      </c>
      <c r="N10330" t="s">
        <v>599</v>
      </c>
      <c r="O10330" s="37" t="str">
        <f t="shared" si="808"/>
        <v>Digital Payment</v>
      </c>
      <c r="P10330">
        <v>59.44</v>
      </c>
      <c r="Q10330" s="37" t="str">
        <f>IF(P10330&gt;500,"High","low")</f>
        <v>low</v>
      </c>
      <c r="R10330" s="37" t="str">
        <f t="shared" si="809"/>
        <v>AVERAGE</v>
      </c>
      <c r="S10330" t="s">
        <v>600</v>
      </c>
    </row>
    <row r="10331" spans="1:19" x14ac:dyDescent="0.2">
      <c r="A10331" t="s">
        <v>10942</v>
      </c>
      <c r="B10331" t="s">
        <v>75</v>
      </c>
      <c r="C10331" t="s">
        <v>607</v>
      </c>
      <c r="D10331">
        <v>372.05</v>
      </c>
      <c r="E10331" s="37" t="str">
        <f t="shared" si="805"/>
        <v xml:space="preserve"> </v>
      </c>
      <c r="F10331">
        <v>0.04</v>
      </c>
      <c r="G10331" s="37" t="str">
        <f t="shared" si="806"/>
        <v>Normal Discount</v>
      </c>
      <c r="H10331" s="37" t="str">
        <f t="shared" si="807"/>
        <v>Low</v>
      </c>
      <c r="I10331">
        <v>5</v>
      </c>
      <c r="J10331" t="str" cm="1">
        <f t="array" ref="J10331">_xlfn.IFS(I10331&lt;=3,"small",I10331&lt;=6,"Medium",I10331&lt;=9,"Large")</f>
        <v>Medium</v>
      </c>
      <c r="K10331" s="36">
        <v>45058</v>
      </c>
      <c r="L10331" s="36">
        <v>45062</v>
      </c>
      <c r="M10331" t="s">
        <v>598</v>
      </c>
      <c r="N10331" t="s">
        <v>608</v>
      </c>
      <c r="O10331" s="37" t="str">
        <f t="shared" si="808"/>
        <v>Cash Payment</v>
      </c>
      <c r="P10331">
        <v>53.71</v>
      </c>
      <c r="Q10331" s="37" t="str">
        <f>IF(P10331&gt;500,"High","low")</f>
        <v>low</v>
      </c>
      <c r="R10331" s="37" t="str">
        <f t="shared" si="809"/>
        <v>AVERAGE</v>
      </c>
      <c r="S10331" t="s">
        <v>605</v>
      </c>
    </row>
    <row r="10332" spans="1:19" x14ac:dyDescent="0.2">
      <c r="A10332" t="s">
        <v>10943</v>
      </c>
      <c r="B10332" t="s">
        <v>90</v>
      </c>
      <c r="C10332" t="s">
        <v>607</v>
      </c>
      <c r="D10332">
        <v>2736.86</v>
      </c>
      <c r="E10332" s="37" t="str">
        <f t="shared" si="805"/>
        <v xml:space="preserve"> </v>
      </c>
      <c r="F10332">
        <v>0.19</v>
      </c>
      <c r="G10332" s="37" t="str">
        <f t="shared" si="806"/>
        <v>Normal Discount</v>
      </c>
      <c r="H10332" s="37" t="str">
        <f t="shared" si="807"/>
        <v>Low</v>
      </c>
      <c r="I10332">
        <v>2</v>
      </c>
      <c r="J10332" t="str" cm="1">
        <f t="array" ref="J10332">_xlfn.IFS(I10332&lt;=3,"small",I10332&lt;=6,"Medium",I10332&lt;=9,"Large")</f>
        <v>small</v>
      </c>
      <c r="K10332" s="36">
        <v>45102</v>
      </c>
      <c r="L10332" s="36">
        <v>45108</v>
      </c>
      <c r="M10332" t="s">
        <v>598</v>
      </c>
      <c r="N10332" t="s">
        <v>599</v>
      </c>
      <c r="O10332" s="37" t="str">
        <f t="shared" si="808"/>
        <v>Digital Payment</v>
      </c>
      <c r="P10332">
        <v>735.72</v>
      </c>
      <c r="Q10332" s="37" t="str">
        <f>IF(P10332&gt;500,"High","low")</f>
        <v>High</v>
      </c>
      <c r="R10332" s="37" t="str">
        <f t="shared" si="809"/>
        <v>Good</v>
      </c>
      <c r="S10332" t="s">
        <v>620</v>
      </c>
    </row>
    <row r="10333" spans="1:19" x14ac:dyDescent="0.2">
      <c r="A10333" t="s">
        <v>10944</v>
      </c>
      <c r="B10333" t="s">
        <v>90</v>
      </c>
      <c r="C10333" t="s">
        <v>614</v>
      </c>
      <c r="D10333">
        <v>1746.83</v>
      </c>
      <c r="E10333" s="37" t="str">
        <f t="shared" si="805"/>
        <v xml:space="preserve"> </v>
      </c>
      <c r="F10333">
        <v>0.25</v>
      </c>
      <c r="G10333" s="37" t="str">
        <f t="shared" si="806"/>
        <v>Normal Discount</v>
      </c>
      <c r="H10333" s="37" t="str">
        <f t="shared" si="807"/>
        <v>Medium</v>
      </c>
      <c r="I10333">
        <v>9</v>
      </c>
      <c r="J10333" t="str" cm="1">
        <f t="array" ref="J10333">_xlfn.IFS(I10333&lt;=3,"small",I10333&lt;=6,"Medium",I10333&lt;=9,"Large")</f>
        <v>Large</v>
      </c>
      <c r="K10333" s="36">
        <v>45381</v>
      </c>
      <c r="L10333" s="36">
        <v>45382</v>
      </c>
      <c r="M10333" t="s">
        <v>603</v>
      </c>
      <c r="N10333" t="s">
        <v>604</v>
      </c>
      <c r="O10333" s="37" t="str">
        <f t="shared" si="808"/>
        <v>Digital Payment</v>
      </c>
      <c r="P10333">
        <v>328.52</v>
      </c>
      <c r="Q10333" s="37" t="str">
        <f>IF(P10333&gt;500,"High","low")</f>
        <v>low</v>
      </c>
      <c r="R10333" s="37" t="str">
        <f t="shared" si="809"/>
        <v>AVERAGE</v>
      </c>
      <c r="S10333" t="s">
        <v>628</v>
      </c>
    </row>
    <row r="10334" spans="1:19" x14ac:dyDescent="0.2">
      <c r="A10334" t="s">
        <v>10945</v>
      </c>
      <c r="B10334" t="s">
        <v>67</v>
      </c>
      <c r="C10334" t="s">
        <v>602</v>
      </c>
      <c r="D10334">
        <v>4476.21</v>
      </c>
      <c r="E10334" s="37" t="str">
        <f t="shared" si="805"/>
        <v xml:space="preserve"> </v>
      </c>
      <c r="F10334">
        <v>0.27</v>
      </c>
      <c r="G10334" s="37" t="str">
        <f t="shared" si="806"/>
        <v>Normal Discount</v>
      </c>
      <c r="H10334" s="37" t="str">
        <f t="shared" si="807"/>
        <v>Medium</v>
      </c>
      <c r="I10334">
        <v>9</v>
      </c>
      <c r="J10334" t="str" cm="1">
        <f t="array" ref="J10334">_xlfn.IFS(I10334&lt;=3,"small",I10334&lt;=6,"Medium",I10334&lt;=9,"Large")</f>
        <v>Large</v>
      </c>
      <c r="K10334" s="36">
        <v>45486</v>
      </c>
      <c r="L10334" s="36">
        <v>45487</v>
      </c>
      <c r="M10334" t="s">
        <v>612</v>
      </c>
      <c r="N10334" t="s">
        <v>608</v>
      </c>
      <c r="O10334" s="37" t="str">
        <f t="shared" si="808"/>
        <v>Cash Payment</v>
      </c>
      <c r="P10334">
        <v>484.09</v>
      </c>
      <c r="Q10334" s="37" t="str">
        <f>IF(P10334&gt;500,"High","low")</f>
        <v>low</v>
      </c>
      <c r="R10334" s="37" t="str">
        <f t="shared" si="809"/>
        <v>AVERAGE</v>
      </c>
      <c r="S10334" t="s">
        <v>628</v>
      </c>
    </row>
    <row r="10335" spans="1:19" x14ac:dyDescent="0.2">
      <c r="A10335" t="s">
        <v>10946</v>
      </c>
      <c r="B10335" t="s">
        <v>75</v>
      </c>
      <c r="C10335" t="s">
        <v>607</v>
      </c>
      <c r="D10335">
        <v>2840.25</v>
      </c>
      <c r="E10335" s="37" t="str">
        <f t="shared" si="805"/>
        <v xml:space="preserve"> </v>
      </c>
      <c r="F10335">
        <v>0.47</v>
      </c>
      <c r="G10335" s="37" t="str">
        <f t="shared" si="806"/>
        <v>Heavy Discount</v>
      </c>
      <c r="H10335" s="37" t="str">
        <f t="shared" si="807"/>
        <v>High</v>
      </c>
      <c r="I10335">
        <v>7</v>
      </c>
      <c r="J10335" t="str" cm="1">
        <f t="array" ref="J10335">_xlfn.IFS(I10335&lt;=3,"small",I10335&lt;=6,"Medium",I10335&lt;=9,"Large")</f>
        <v>Large</v>
      </c>
      <c r="K10335" s="36">
        <v>45264</v>
      </c>
      <c r="L10335" s="36">
        <v>45271</v>
      </c>
      <c r="M10335" t="s">
        <v>603</v>
      </c>
      <c r="N10335" t="s">
        <v>604</v>
      </c>
      <c r="O10335" s="37" t="str">
        <f t="shared" si="808"/>
        <v>Digital Payment</v>
      </c>
      <c r="P10335">
        <v>572.65</v>
      </c>
      <c r="Q10335" s="37" t="str">
        <f>IF(P10335&gt;500,"High","low")</f>
        <v>High</v>
      </c>
      <c r="R10335" s="37" t="str">
        <f t="shared" si="809"/>
        <v>Good</v>
      </c>
      <c r="S10335" t="s">
        <v>605</v>
      </c>
    </row>
    <row r="10336" spans="1:19" x14ac:dyDescent="0.2">
      <c r="A10336" t="s">
        <v>10947</v>
      </c>
      <c r="B10336" t="s">
        <v>90</v>
      </c>
      <c r="C10336" t="s">
        <v>602</v>
      </c>
      <c r="D10336">
        <v>3823.49</v>
      </c>
      <c r="E10336" s="37" t="str">
        <f t="shared" si="805"/>
        <v xml:space="preserve"> </v>
      </c>
      <c r="F10336">
        <v>0.02</v>
      </c>
      <c r="G10336" s="37" t="str">
        <f t="shared" si="806"/>
        <v>Normal Discount</v>
      </c>
      <c r="H10336" s="37" t="str">
        <f t="shared" si="807"/>
        <v>Low</v>
      </c>
      <c r="I10336">
        <v>2</v>
      </c>
      <c r="J10336" t="str" cm="1">
        <f t="array" ref="J10336">_xlfn.IFS(I10336&lt;=3,"small",I10336&lt;=6,"Medium",I10336&lt;=9,"Large")</f>
        <v>small</v>
      </c>
      <c r="K10336" s="36">
        <v>45427</v>
      </c>
      <c r="L10336" s="36">
        <v>45432</v>
      </c>
      <c r="M10336" t="s">
        <v>612</v>
      </c>
      <c r="N10336" t="s">
        <v>604</v>
      </c>
      <c r="O10336" s="37" t="str">
        <f t="shared" si="808"/>
        <v>Digital Payment</v>
      </c>
      <c r="P10336">
        <v>698.49</v>
      </c>
      <c r="Q10336" s="37" t="str">
        <f>IF(P10336&gt;500,"High","low")</f>
        <v>High</v>
      </c>
      <c r="R10336" s="37" t="str">
        <f t="shared" si="809"/>
        <v>Good</v>
      </c>
      <c r="S10336" t="s">
        <v>620</v>
      </c>
    </row>
    <row r="10337" spans="1:19" x14ac:dyDescent="0.2">
      <c r="A10337" t="s">
        <v>10948</v>
      </c>
      <c r="B10337" t="s">
        <v>90</v>
      </c>
      <c r="C10337" t="s">
        <v>602</v>
      </c>
      <c r="D10337">
        <v>3466.95</v>
      </c>
      <c r="E10337" s="37" t="str">
        <f t="shared" si="805"/>
        <v xml:space="preserve"> </v>
      </c>
      <c r="F10337">
        <v>0.43</v>
      </c>
      <c r="G10337" s="37" t="str">
        <f t="shared" si="806"/>
        <v>Heavy Discount</v>
      </c>
      <c r="H10337" s="37" t="str">
        <f t="shared" si="807"/>
        <v>High</v>
      </c>
      <c r="I10337">
        <v>4</v>
      </c>
      <c r="J10337" t="str" cm="1">
        <f t="array" ref="J10337">_xlfn.IFS(I10337&lt;=3,"small",I10337&lt;=6,"Medium",I10337&lt;=9,"Large")</f>
        <v>Medium</v>
      </c>
      <c r="K10337" s="36">
        <v>44988</v>
      </c>
      <c r="L10337" s="36">
        <v>44995</v>
      </c>
      <c r="M10337" t="s">
        <v>612</v>
      </c>
      <c r="N10337" t="s">
        <v>599</v>
      </c>
      <c r="O10337" s="37" t="str">
        <f t="shared" si="808"/>
        <v>Digital Payment</v>
      </c>
      <c r="P10337">
        <v>773.33</v>
      </c>
      <c r="Q10337" s="37" t="str">
        <f>IF(P10337&gt;500,"High","low")</f>
        <v>High</v>
      </c>
      <c r="R10337" s="37" t="str">
        <f t="shared" si="809"/>
        <v>Good</v>
      </c>
      <c r="S10337" t="s">
        <v>609</v>
      </c>
    </row>
    <row r="10338" spans="1:19" x14ac:dyDescent="0.2">
      <c r="A10338" t="s">
        <v>10949</v>
      </c>
      <c r="B10338" t="s">
        <v>67</v>
      </c>
      <c r="C10338" t="s">
        <v>607</v>
      </c>
      <c r="D10338">
        <v>2649.57</v>
      </c>
      <c r="E10338" s="37" t="str">
        <f t="shared" si="805"/>
        <v xml:space="preserve"> </v>
      </c>
      <c r="F10338">
        <v>0.28000000000000003</v>
      </c>
      <c r="G10338" s="37" t="str">
        <f t="shared" si="806"/>
        <v>Normal Discount</v>
      </c>
      <c r="H10338" s="37" t="str">
        <f t="shared" si="807"/>
        <v>Medium</v>
      </c>
      <c r="I10338">
        <v>6</v>
      </c>
      <c r="J10338" t="str" cm="1">
        <f t="array" ref="J10338">_xlfn.IFS(I10338&lt;=3,"small",I10338&lt;=6,"Medium",I10338&lt;=9,"Large")</f>
        <v>Medium</v>
      </c>
      <c r="K10338" s="36">
        <v>45053</v>
      </c>
      <c r="L10338" s="36">
        <v>45057</v>
      </c>
      <c r="M10338" t="s">
        <v>603</v>
      </c>
      <c r="N10338" t="s">
        <v>604</v>
      </c>
      <c r="O10338" s="37" t="str">
        <f t="shared" si="808"/>
        <v>Digital Payment</v>
      </c>
      <c r="P10338">
        <v>300.49</v>
      </c>
      <c r="Q10338" s="37" t="str">
        <f>IF(P10338&gt;500,"High","low")</f>
        <v>low</v>
      </c>
      <c r="R10338" s="37" t="str">
        <f t="shared" si="809"/>
        <v>AVERAGE</v>
      </c>
      <c r="S10338" t="s">
        <v>615</v>
      </c>
    </row>
    <row r="10339" spans="1:19" x14ac:dyDescent="0.2">
      <c r="A10339" t="s">
        <v>10950</v>
      </c>
      <c r="B10339" t="s">
        <v>83</v>
      </c>
      <c r="C10339" t="s">
        <v>602</v>
      </c>
      <c r="D10339">
        <v>3749.13</v>
      </c>
      <c r="E10339" s="37" t="str">
        <f t="shared" si="805"/>
        <v xml:space="preserve"> </v>
      </c>
      <c r="F10339">
        <v>0.28000000000000003</v>
      </c>
      <c r="G10339" s="37" t="str">
        <f t="shared" si="806"/>
        <v>Normal Discount</v>
      </c>
      <c r="H10339" s="37" t="str">
        <f t="shared" si="807"/>
        <v>Medium</v>
      </c>
      <c r="I10339">
        <v>9</v>
      </c>
      <c r="J10339" t="str" cm="1">
        <f t="array" ref="J10339">_xlfn.IFS(I10339&lt;=3,"small",I10339&lt;=6,"Medium",I10339&lt;=9,"Large")</f>
        <v>Large</v>
      </c>
      <c r="K10339" s="36">
        <v>44949</v>
      </c>
      <c r="L10339" s="36">
        <v>44955</v>
      </c>
      <c r="M10339" t="s">
        <v>612</v>
      </c>
      <c r="N10339" t="s">
        <v>604</v>
      </c>
      <c r="O10339" s="37" t="str">
        <f t="shared" si="808"/>
        <v>Digital Payment</v>
      </c>
      <c r="P10339">
        <v>1115.19</v>
      </c>
      <c r="Q10339" s="37" t="str">
        <f>IF(P10339&gt;500,"High","low")</f>
        <v>High</v>
      </c>
      <c r="R10339" s="37" t="str">
        <f t="shared" si="809"/>
        <v>Excellent</v>
      </c>
      <c r="S10339" t="s">
        <v>600</v>
      </c>
    </row>
    <row r="10340" spans="1:19" x14ac:dyDescent="0.2">
      <c r="A10340" t="s">
        <v>10951</v>
      </c>
      <c r="B10340" t="s">
        <v>75</v>
      </c>
      <c r="C10340" t="s">
        <v>597</v>
      </c>
      <c r="D10340">
        <v>2769.06</v>
      </c>
      <c r="E10340" s="37" t="str">
        <f t="shared" si="805"/>
        <v xml:space="preserve"> </v>
      </c>
      <c r="F10340">
        <v>0.16</v>
      </c>
      <c r="G10340" s="37" t="str">
        <f t="shared" si="806"/>
        <v>Normal Discount</v>
      </c>
      <c r="H10340" s="37" t="str">
        <f t="shared" si="807"/>
        <v>Low</v>
      </c>
      <c r="I10340">
        <v>6</v>
      </c>
      <c r="J10340" t="str" cm="1">
        <f t="array" ref="J10340">_xlfn.IFS(I10340&lt;=3,"small",I10340&lt;=6,"Medium",I10340&lt;=9,"Large")</f>
        <v>Medium</v>
      </c>
      <c r="K10340" s="36">
        <v>45114</v>
      </c>
      <c r="L10340" s="36">
        <v>45117</v>
      </c>
      <c r="M10340" t="s">
        <v>612</v>
      </c>
      <c r="N10340" t="s">
        <v>599</v>
      </c>
      <c r="O10340" s="37" t="str">
        <f t="shared" si="808"/>
        <v>Digital Payment</v>
      </c>
      <c r="P10340">
        <v>601.91</v>
      </c>
      <c r="Q10340" s="37" t="str">
        <f>IF(P10340&gt;500,"High","low")</f>
        <v>High</v>
      </c>
      <c r="R10340" s="37" t="str">
        <f t="shared" si="809"/>
        <v>Good</v>
      </c>
      <c r="S10340" t="s">
        <v>620</v>
      </c>
    </row>
    <row r="10341" spans="1:19" x14ac:dyDescent="0.2">
      <c r="A10341" t="s">
        <v>10952</v>
      </c>
      <c r="B10341" t="s">
        <v>90</v>
      </c>
      <c r="C10341" t="s">
        <v>614</v>
      </c>
      <c r="D10341">
        <v>1988.74</v>
      </c>
      <c r="E10341" s="37" t="str">
        <f t="shared" si="805"/>
        <v xml:space="preserve"> </v>
      </c>
      <c r="F10341">
        <v>0.32</v>
      </c>
      <c r="G10341" s="37" t="str">
        <f t="shared" si="806"/>
        <v>Heavy Discount</v>
      </c>
      <c r="H10341" s="37" t="str">
        <f t="shared" si="807"/>
        <v>Medium</v>
      </c>
      <c r="I10341">
        <v>4</v>
      </c>
      <c r="J10341" t="str" cm="1">
        <f t="array" ref="J10341">_xlfn.IFS(I10341&lt;=3,"small",I10341&lt;=6,"Medium",I10341&lt;=9,"Large")</f>
        <v>Medium</v>
      </c>
      <c r="K10341" s="36">
        <v>45594</v>
      </c>
      <c r="L10341" s="36">
        <v>45598</v>
      </c>
      <c r="M10341" t="s">
        <v>612</v>
      </c>
      <c r="N10341" t="s">
        <v>604</v>
      </c>
      <c r="O10341" s="37" t="str">
        <f t="shared" si="808"/>
        <v>Digital Payment</v>
      </c>
      <c r="P10341">
        <v>291.24</v>
      </c>
      <c r="Q10341" s="37" t="str">
        <f>IF(P10341&gt;500,"High","low")</f>
        <v>low</v>
      </c>
      <c r="R10341" s="37" t="str">
        <f t="shared" si="809"/>
        <v>AVERAGE</v>
      </c>
      <c r="S10341" t="s">
        <v>628</v>
      </c>
    </row>
    <row r="10342" spans="1:19" x14ac:dyDescent="0.2">
      <c r="A10342" t="s">
        <v>10953</v>
      </c>
      <c r="B10342" t="s">
        <v>67</v>
      </c>
      <c r="C10342" t="s">
        <v>617</v>
      </c>
      <c r="D10342">
        <v>2235.44</v>
      </c>
      <c r="E10342" s="37" t="str">
        <f t="shared" si="805"/>
        <v xml:space="preserve"> </v>
      </c>
      <c r="F10342">
        <v>0.32</v>
      </c>
      <c r="G10342" s="37" t="str">
        <f t="shared" si="806"/>
        <v>Heavy Discount</v>
      </c>
      <c r="H10342" s="37" t="str">
        <f t="shared" si="807"/>
        <v>Medium</v>
      </c>
      <c r="I10342">
        <v>1</v>
      </c>
      <c r="J10342" t="str" cm="1">
        <f t="array" ref="J10342">_xlfn.IFS(I10342&lt;=3,"small",I10342&lt;=6,"Medium",I10342&lt;=9,"Large")</f>
        <v>small</v>
      </c>
      <c r="K10342" s="36">
        <v>45031</v>
      </c>
      <c r="L10342" s="36">
        <v>45036</v>
      </c>
      <c r="M10342" t="s">
        <v>603</v>
      </c>
      <c r="N10342" t="s">
        <v>608</v>
      </c>
      <c r="O10342" s="37" t="str">
        <f t="shared" si="808"/>
        <v>Cash Payment</v>
      </c>
      <c r="P10342">
        <v>441.14</v>
      </c>
      <c r="Q10342" s="37" t="str">
        <f>IF(P10342&gt;500,"High","low")</f>
        <v>low</v>
      </c>
      <c r="R10342" s="37" t="str">
        <f t="shared" si="809"/>
        <v>AVERAGE</v>
      </c>
      <c r="S10342" t="s">
        <v>600</v>
      </c>
    </row>
    <row r="10343" spans="1:19" x14ac:dyDescent="0.2">
      <c r="A10343" t="s">
        <v>10954</v>
      </c>
      <c r="B10343" t="s">
        <v>67</v>
      </c>
      <c r="C10343" t="s">
        <v>607</v>
      </c>
      <c r="D10343">
        <v>4208.66</v>
      </c>
      <c r="E10343" s="37" t="str">
        <f t="shared" si="805"/>
        <v xml:space="preserve"> </v>
      </c>
      <c r="F10343">
        <v>0.09</v>
      </c>
      <c r="G10343" s="37" t="str">
        <f t="shared" si="806"/>
        <v>Normal Discount</v>
      </c>
      <c r="H10343" s="37" t="str">
        <f t="shared" si="807"/>
        <v>Low</v>
      </c>
      <c r="I10343">
        <v>7</v>
      </c>
      <c r="J10343" t="str" cm="1">
        <f t="array" ref="J10343">_xlfn.IFS(I10343&lt;=3,"small",I10343&lt;=6,"Medium",I10343&lt;=9,"Large")</f>
        <v>Large</v>
      </c>
      <c r="K10343" s="36">
        <v>45224</v>
      </c>
      <c r="L10343" s="36">
        <v>45231</v>
      </c>
      <c r="M10343" t="s">
        <v>612</v>
      </c>
      <c r="N10343" t="s">
        <v>604</v>
      </c>
      <c r="O10343" s="37" t="str">
        <f t="shared" si="808"/>
        <v>Digital Payment</v>
      </c>
      <c r="P10343">
        <v>639.51</v>
      </c>
      <c r="Q10343" s="37" t="str">
        <f>IF(P10343&gt;500,"High","low")</f>
        <v>High</v>
      </c>
      <c r="R10343" s="37" t="str">
        <f t="shared" si="809"/>
        <v>Good</v>
      </c>
      <c r="S10343" t="s">
        <v>620</v>
      </c>
    </row>
    <row r="10344" spans="1:19" x14ac:dyDescent="0.2">
      <c r="A10344" t="s">
        <v>10955</v>
      </c>
      <c r="B10344" t="s">
        <v>67</v>
      </c>
      <c r="C10344" t="s">
        <v>617</v>
      </c>
      <c r="D10344">
        <v>2860.04</v>
      </c>
      <c r="E10344" s="37" t="str">
        <f t="shared" si="805"/>
        <v xml:space="preserve"> </v>
      </c>
      <c r="F10344">
        <v>0.34</v>
      </c>
      <c r="G10344" s="37" t="str">
        <f t="shared" si="806"/>
        <v>Heavy Discount</v>
      </c>
      <c r="H10344" s="37" t="str">
        <f t="shared" si="807"/>
        <v>Medium</v>
      </c>
      <c r="I10344">
        <v>7</v>
      </c>
      <c r="J10344" t="str" cm="1">
        <f t="array" ref="J10344">_xlfn.IFS(I10344&lt;=3,"small",I10344&lt;=6,"Medium",I10344&lt;=9,"Large")</f>
        <v>Large</v>
      </c>
      <c r="K10344" s="36">
        <v>45092</v>
      </c>
      <c r="L10344" s="36">
        <v>45094</v>
      </c>
      <c r="M10344" t="s">
        <v>603</v>
      </c>
      <c r="N10344" t="s">
        <v>604</v>
      </c>
      <c r="O10344" s="37" t="str">
        <f t="shared" si="808"/>
        <v>Digital Payment</v>
      </c>
      <c r="P10344">
        <v>762.3</v>
      </c>
      <c r="Q10344" s="37" t="str">
        <f>IF(P10344&gt;500,"High","low")</f>
        <v>High</v>
      </c>
      <c r="R10344" s="37" t="str">
        <f t="shared" si="809"/>
        <v>Good</v>
      </c>
      <c r="S10344" t="s">
        <v>628</v>
      </c>
    </row>
    <row r="10345" spans="1:19" x14ac:dyDescent="0.2">
      <c r="A10345" t="s">
        <v>10956</v>
      </c>
      <c r="B10345" t="s">
        <v>90</v>
      </c>
      <c r="C10345" t="s">
        <v>614</v>
      </c>
      <c r="D10345">
        <v>1948.75</v>
      </c>
      <c r="E10345" s="37" t="str">
        <f t="shared" si="805"/>
        <v xml:space="preserve"> </v>
      </c>
      <c r="F10345">
        <v>0.13</v>
      </c>
      <c r="G10345" s="37" t="str">
        <f t="shared" si="806"/>
        <v>Normal Discount</v>
      </c>
      <c r="H10345" s="37" t="str">
        <f t="shared" si="807"/>
        <v>Low</v>
      </c>
      <c r="I10345">
        <v>6</v>
      </c>
      <c r="J10345" t="str" cm="1">
        <f t="array" ref="J10345">_xlfn.IFS(I10345&lt;=3,"small",I10345&lt;=6,"Medium",I10345&lt;=9,"Large")</f>
        <v>Medium</v>
      </c>
      <c r="K10345" s="36">
        <v>44984</v>
      </c>
      <c r="L10345" s="36">
        <v>44991</v>
      </c>
      <c r="M10345" t="s">
        <v>598</v>
      </c>
      <c r="N10345" t="s">
        <v>604</v>
      </c>
      <c r="O10345" s="37" t="str">
        <f t="shared" si="808"/>
        <v>Digital Payment</v>
      </c>
      <c r="P10345">
        <v>555.75</v>
      </c>
      <c r="Q10345" s="37" t="str">
        <f>IF(P10345&gt;500,"High","low")</f>
        <v>High</v>
      </c>
      <c r="R10345" s="37" t="str">
        <f t="shared" si="809"/>
        <v>Good</v>
      </c>
      <c r="S10345" t="s">
        <v>605</v>
      </c>
    </row>
    <row r="10346" spans="1:19" x14ac:dyDescent="0.2">
      <c r="A10346" t="s">
        <v>10957</v>
      </c>
      <c r="B10346" t="s">
        <v>75</v>
      </c>
      <c r="C10346" t="s">
        <v>597</v>
      </c>
      <c r="D10346">
        <v>980.74</v>
      </c>
      <c r="E10346" s="37" t="str">
        <f t="shared" si="805"/>
        <v xml:space="preserve"> </v>
      </c>
      <c r="F10346">
        <v>0.34</v>
      </c>
      <c r="G10346" s="37" t="str">
        <f t="shared" si="806"/>
        <v>Heavy Discount</v>
      </c>
      <c r="H10346" s="37" t="str">
        <f t="shared" si="807"/>
        <v>Medium</v>
      </c>
      <c r="I10346">
        <v>3</v>
      </c>
      <c r="J10346" t="str" cm="1">
        <f t="array" ref="J10346">_xlfn.IFS(I10346&lt;=3,"small",I10346&lt;=6,"Medium",I10346&lt;=9,"Large")</f>
        <v>small</v>
      </c>
      <c r="K10346" s="36">
        <v>45373</v>
      </c>
      <c r="L10346" s="36">
        <v>45380</v>
      </c>
      <c r="M10346" t="s">
        <v>603</v>
      </c>
      <c r="N10346" t="s">
        <v>599</v>
      </c>
      <c r="O10346" s="37" t="str">
        <f t="shared" si="808"/>
        <v>Digital Payment</v>
      </c>
      <c r="P10346">
        <v>271.83999999999997</v>
      </c>
      <c r="Q10346" s="37" t="str">
        <f>IF(P10346&gt;500,"High","low")</f>
        <v>low</v>
      </c>
      <c r="R10346" s="37" t="str">
        <f t="shared" si="809"/>
        <v>AVERAGE</v>
      </c>
      <c r="S10346" t="s">
        <v>615</v>
      </c>
    </row>
    <row r="10347" spans="1:19" x14ac:dyDescent="0.2">
      <c r="A10347" t="s">
        <v>10958</v>
      </c>
      <c r="B10347" t="s">
        <v>83</v>
      </c>
      <c r="C10347" t="s">
        <v>597</v>
      </c>
      <c r="D10347">
        <v>2527.25</v>
      </c>
      <c r="E10347" s="37" t="str">
        <f t="shared" si="805"/>
        <v xml:space="preserve"> </v>
      </c>
      <c r="F10347">
        <v>0.31</v>
      </c>
      <c r="G10347" s="37" t="str">
        <f t="shared" si="806"/>
        <v>Heavy Discount</v>
      </c>
      <c r="H10347" s="37" t="str">
        <f t="shared" si="807"/>
        <v>Medium</v>
      </c>
      <c r="I10347">
        <v>5</v>
      </c>
      <c r="J10347" t="str" cm="1">
        <f t="array" ref="J10347">_xlfn.IFS(I10347&lt;=3,"small",I10347&lt;=6,"Medium",I10347&lt;=9,"Large")</f>
        <v>Medium</v>
      </c>
      <c r="K10347" s="36">
        <v>45369</v>
      </c>
      <c r="L10347" s="36">
        <v>45376</v>
      </c>
      <c r="M10347" t="s">
        <v>612</v>
      </c>
      <c r="N10347" t="s">
        <v>604</v>
      </c>
      <c r="O10347" s="37" t="str">
        <f t="shared" si="808"/>
        <v>Digital Payment</v>
      </c>
      <c r="P10347">
        <v>396.89</v>
      </c>
      <c r="Q10347" s="37" t="str">
        <f>IF(P10347&gt;500,"High","low")</f>
        <v>low</v>
      </c>
      <c r="R10347" s="37" t="str">
        <f t="shared" si="809"/>
        <v>AVERAGE</v>
      </c>
      <c r="S10347" t="s">
        <v>605</v>
      </c>
    </row>
    <row r="10348" spans="1:19" x14ac:dyDescent="0.2">
      <c r="A10348" t="s">
        <v>10959</v>
      </c>
      <c r="B10348" t="s">
        <v>75</v>
      </c>
      <c r="C10348" t="s">
        <v>597</v>
      </c>
      <c r="D10348">
        <v>1336.78</v>
      </c>
      <c r="E10348" s="37" t="str">
        <f t="shared" si="805"/>
        <v xml:space="preserve"> </v>
      </c>
      <c r="F10348">
        <v>0.36</v>
      </c>
      <c r="G10348" s="37" t="str">
        <f t="shared" si="806"/>
        <v>Heavy Discount</v>
      </c>
      <c r="H10348" s="37" t="str">
        <f t="shared" si="807"/>
        <v>Medium</v>
      </c>
      <c r="I10348">
        <v>7</v>
      </c>
      <c r="J10348" t="str" cm="1">
        <f t="array" ref="J10348">_xlfn.IFS(I10348&lt;=3,"small",I10348&lt;=6,"Medium",I10348&lt;=9,"Large")</f>
        <v>Large</v>
      </c>
      <c r="K10348" s="36">
        <v>45437</v>
      </c>
      <c r="L10348" s="36">
        <v>45443</v>
      </c>
      <c r="M10348" t="s">
        <v>603</v>
      </c>
      <c r="N10348" t="s">
        <v>604</v>
      </c>
      <c r="O10348" s="37" t="str">
        <f t="shared" si="808"/>
        <v>Digital Payment</v>
      </c>
      <c r="P10348">
        <v>139.54</v>
      </c>
      <c r="Q10348" s="37" t="str">
        <f>IF(P10348&gt;500,"High","low")</f>
        <v>low</v>
      </c>
      <c r="R10348" s="37" t="str">
        <f t="shared" si="809"/>
        <v>AVERAGE</v>
      </c>
      <c r="S10348" t="s">
        <v>620</v>
      </c>
    </row>
    <row r="10349" spans="1:19" x14ac:dyDescent="0.2">
      <c r="A10349" t="s">
        <v>10960</v>
      </c>
      <c r="B10349" t="s">
        <v>67</v>
      </c>
      <c r="C10349" t="s">
        <v>597</v>
      </c>
      <c r="D10349">
        <v>4782.34</v>
      </c>
      <c r="E10349" s="37" t="str">
        <f t="shared" si="805"/>
        <v>Excellent Order</v>
      </c>
      <c r="F10349">
        <v>0.01</v>
      </c>
      <c r="G10349" s="37" t="str">
        <f t="shared" si="806"/>
        <v>Normal Discount</v>
      </c>
      <c r="H10349" s="37" t="str">
        <f t="shared" si="807"/>
        <v>Low</v>
      </c>
      <c r="I10349">
        <v>6</v>
      </c>
      <c r="J10349" t="str" cm="1">
        <f t="array" ref="J10349">_xlfn.IFS(I10349&lt;=3,"small",I10349&lt;=6,"Medium",I10349&lt;=9,"Large")</f>
        <v>Medium</v>
      </c>
      <c r="K10349" s="36">
        <v>45459</v>
      </c>
      <c r="L10349" s="36">
        <v>45463</v>
      </c>
      <c r="M10349" t="s">
        <v>603</v>
      </c>
      <c r="N10349" t="s">
        <v>604</v>
      </c>
      <c r="O10349" s="37" t="str">
        <f t="shared" si="808"/>
        <v>Digital Payment</v>
      </c>
      <c r="P10349">
        <v>963.35</v>
      </c>
      <c r="Q10349" s="37" t="str">
        <f>IF(P10349&gt;500,"High","low")</f>
        <v>High</v>
      </c>
      <c r="R10349" s="37" t="str">
        <f t="shared" si="809"/>
        <v>Good</v>
      </c>
      <c r="S10349" t="s">
        <v>620</v>
      </c>
    </row>
    <row r="10350" spans="1:19" x14ac:dyDescent="0.2">
      <c r="A10350" t="s">
        <v>10961</v>
      </c>
      <c r="B10350" t="s">
        <v>67</v>
      </c>
      <c r="C10350" t="s">
        <v>607</v>
      </c>
      <c r="D10350">
        <v>2505.81</v>
      </c>
      <c r="E10350" s="37" t="str">
        <f t="shared" si="805"/>
        <v xml:space="preserve"> </v>
      </c>
      <c r="F10350">
        <v>0.06</v>
      </c>
      <c r="G10350" s="37" t="str">
        <f t="shared" si="806"/>
        <v>Normal Discount</v>
      </c>
      <c r="H10350" s="37" t="str">
        <f t="shared" si="807"/>
        <v>Low</v>
      </c>
      <c r="I10350">
        <v>7</v>
      </c>
      <c r="J10350" t="str" cm="1">
        <f t="array" ref="J10350">_xlfn.IFS(I10350&lt;=3,"small",I10350&lt;=6,"Medium",I10350&lt;=9,"Large")</f>
        <v>Large</v>
      </c>
      <c r="K10350" s="36">
        <v>45488</v>
      </c>
      <c r="L10350" s="36">
        <v>45493</v>
      </c>
      <c r="M10350" t="s">
        <v>603</v>
      </c>
      <c r="N10350" t="s">
        <v>604</v>
      </c>
      <c r="O10350" s="37" t="str">
        <f t="shared" si="808"/>
        <v>Digital Payment</v>
      </c>
      <c r="P10350">
        <v>477.74</v>
      </c>
      <c r="Q10350" s="37" t="str">
        <f>IF(P10350&gt;500,"High","low")</f>
        <v>low</v>
      </c>
      <c r="R10350" s="37" t="str">
        <f t="shared" si="809"/>
        <v>AVERAGE</v>
      </c>
      <c r="S10350" t="s">
        <v>600</v>
      </c>
    </row>
    <row r="10351" spans="1:19" x14ac:dyDescent="0.2">
      <c r="A10351" t="s">
        <v>10962</v>
      </c>
      <c r="B10351" t="s">
        <v>83</v>
      </c>
      <c r="C10351" t="s">
        <v>607</v>
      </c>
      <c r="D10351">
        <v>143.85</v>
      </c>
      <c r="E10351" s="37" t="str">
        <f t="shared" si="805"/>
        <v xml:space="preserve"> </v>
      </c>
      <c r="F10351">
        <v>0.42</v>
      </c>
      <c r="G10351" s="37" t="str">
        <f t="shared" si="806"/>
        <v>Heavy Discount</v>
      </c>
      <c r="H10351" s="37" t="str">
        <f t="shared" si="807"/>
        <v>High</v>
      </c>
      <c r="I10351">
        <v>5</v>
      </c>
      <c r="J10351" t="str" cm="1">
        <f t="array" ref="J10351">_xlfn.IFS(I10351&lt;=3,"small",I10351&lt;=6,"Medium",I10351&lt;=9,"Large")</f>
        <v>Medium</v>
      </c>
      <c r="K10351" s="36">
        <v>45263</v>
      </c>
      <c r="L10351" s="36">
        <v>45268</v>
      </c>
      <c r="M10351" t="s">
        <v>598</v>
      </c>
      <c r="N10351" t="s">
        <v>599</v>
      </c>
      <c r="O10351" s="37" t="str">
        <f t="shared" si="808"/>
        <v>Digital Payment</v>
      </c>
      <c r="P10351">
        <v>9.49</v>
      </c>
      <c r="Q10351" s="37" t="str">
        <f>IF(P10351&gt;500,"High","low")</f>
        <v>low</v>
      </c>
      <c r="R10351" s="37" t="str">
        <f t="shared" si="809"/>
        <v>AVERAGE</v>
      </c>
      <c r="S10351" t="s">
        <v>600</v>
      </c>
    </row>
    <row r="10352" spans="1:19" x14ac:dyDescent="0.2">
      <c r="A10352" t="s">
        <v>10963</v>
      </c>
      <c r="B10352" t="s">
        <v>75</v>
      </c>
      <c r="C10352" t="s">
        <v>602</v>
      </c>
      <c r="D10352">
        <v>555.1</v>
      </c>
      <c r="E10352" s="37" t="str">
        <f t="shared" si="805"/>
        <v xml:space="preserve"> </v>
      </c>
      <c r="F10352">
        <v>0.19</v>
      </c>
      <c r="G10352" s="37" t="str">
        <f t="shared" si="806"/>
        <v>Normal Discount</v>
      </c>
      <c r="H10352" s="37" t="str">
        <f t="shared" si="807"/>
        <v>Low</v>
      </c>
      <c r="I10352">
        <v>1</v>
      </c>
      <c r="J10352" t="str" cm="1">
        <f t="array" ref="J10352">_xlfn.IFS(I10352&lt;=3,"small",I10352&lt;=6,"Medium",I10352&lt;=9,"Large")</f>
        <v>small</v>
      </c>
      <c r="K10352" s="36">
        <v>45195</v>
      </c>
      <c r="L10352" s="36">
        <v>45197</v>
      </c>
      <c r="M10352" t="s">
        <v>612</v>
      </c>
      <c r="N10352" t="s">
        <v>599</v>
      </c>
      <c r="O10352" s="37" t="str">
        <f t="shared" si="808"/>
        <v>Digital Payment</v>
      </c>
      <c r="P10352">
        <v>145.79</v>
      </c>
      <c r="Q10352" s="37" t="str">
        <f>IF(P10352&gt;500,"High","low")</f>
        <v>low</v>
      </c>
      <c r="R10352" s="37" t="str">
        <f t="shared" si="809"/>
        <v>AVERAGE</v>
      </c>
      <c r="S10352" t="s">
        <v>628</v>
      </c>
    </row>
    <row r="10353" spans="1:19" x14ac:dyDescent="0.2">
      <c r="A10353" t="s">
        <v>10964</v>
      </c>
      <c r="B10353" t="s">
        <v>67</v>
      </c>
      <c r="C10353" t="s">
        <v>602</v>
      </c>
      <c r="D10353">
        <v>1493.19</v>
      </c>
      <c r="E10353" s="37" t="str">
        <f t="shared" si="805"/>
        <v xml:space="preserve"> </v>
      </c>
      <c r="F10353">
        <v>0.42</v>
      </c>
      <c r="G10353" s="37" t="str">
        <f t="shared" si="806"/>
        <v>Heavy Discount</v>
      </c>
      <c r="H10353" s="37" t="str">
        <f t="shared" si="807"/>
        <v>High</v>
      </c>
      <c r="I10353">
        <v>5</v>
      </c>
      <c r="J10353" t="str" cm="1">
        <f t="array" ref="J10353">_xlfn.IFS(I10353&lt;=3,"small",I10353&lt;=6,"Medium",I10353&lt;=9,"Large")</f>
        <v>Medium</v>
      </c>
      <c r="K10353" s="36">
        <v>44982</v>
      </c>
      <c r="L10353" s="36">
        <v>44987</v>
      </c>
      <c r="M10353" t="s">
        <v>598</v>
      </c>
      <c r="N10353" t="s">
        <v>604</v>
      </c>
      <c r="O10353" s="37" t="str">
        <f t="shared" si="808"/>
        <v>Digital Payment</v>
      </c>
      <c r="P10353">
        <v>88.71</v>
      </c>
      <c r="Q10353" s="37" t="str">
        <f>IF(P10353&gt;500,"High","low")</f>
        <v>low</v>
      </c>
      <c r="R10353" s="37" t="str">
        <f t="shared" si="809"/>
        <v>AVERAGE</v>
      </c>
      <c r="S10353" t="s">
        <v>609</v>
      </c>
    </row>
    <row r="10354" spans="1:19" x14ac:dyDescent="0.2">
      <c r="A10354" t="s">
        <v>10965</v>
      </c>
      <c r="B10354" t="s">
        <v>67</v>
      </c>
      <c r="C10354" t="s">
        <v>614</v>
      </c>
      <c r="D10354">
        <v>551.6</v>
      </c>
      <c r="E10354" s="37" t="str">
        <f t="shared" si="805"/>
        <v xml:space="preserve"> </v>
      </c>
      <c r="F10354">
        <v>0.03</v>
      </c>
      <c r="G10354" s="37" t="str">
        <f t="shared" si="806"/>
        <v>Normal Discount</v>
      </c>
      <c r="H10354" s="37" t="str">
        <f t="shared" si="807"/>
        <v>Low</v>
      </c>
      <c r="I10354">
        <v>2</v>
      </c>
      <c r="J10354" t="str" cm="1">
        <f t="array" ref="J10354">_xlfn.IFS(I10354&lt;=3,"small",I10354&lt;=6,"Medium",I10354&lt;=9,"Large")</f>
        <v>small</v>
      </c>
      <c r="K10354" s="36">
        <v>45146</v>
      </c>
      <c r="L10354" s="36">
        <v>45153</v>
      </c>
      <c r="M10354" t="s">
        <v>598</v>
      </c>
      <c r="N10354" t="s">
        <v>604</v>
      </c>
      <c r="O10354" s="37" t="str">
        <f t="shared" si="808"/>
        <v>Digital Payment</v>
      </c>
      <c r="P10354">
        <v>32.49</v>
      </c>
      <c r="Q10354" s="37" t="str">
        <f>IF(P10354&gt;500,"High","low")</f>
        <v>low</v>
      </c>
      <c r="R10354" s="37" t="str">
        <f t="shared" si="809"/>
        <v>AVERAGE</v>
      </c>
      <c r="S10354" t="s">
        <v>615</v>
      </c>
    </row>
    <row r="10355" spans="1:19" x14ac:dyDescent="0.2">
      <c r="A10355" t="s">
        <v>10966</v>
      </c>
      <c r="B10355" t="s">
        <v>75</v>
      </c>
      <c r="C10355" t="s">
        <v>602</v>
      </c>
      <c r="D10355">
        <v>4480.41</v>
      </c>
      <c r="E10355" s="37" t="str">
        <f t="shared" si="805"/>
        <v>Excellent Order</v>
      </c>
      <c r="F10355">
        <v>0.38</v>
      </c>
      <c r="G10355" s="37" t="str">
        <f t="shared" si="806"/>
        <v>Heavy Discount</v>
      </c>
      <c r="H10355" s="37" t="str">
        <f t="shared" si="807"/>
        <v>Medium</v>
      </c>
      <c r="I10355">
        <v>2</v>
      </c>
      <c r="J10355" t="str" cm="1">
        <f t="array" ref="J10355">_xlfn.IFS(I10355&lt;=3,"small",I10355&lt;=6,"Medium",I10355&lt;=9,"Large")</f>
        <v>small</v>
      </c>
      <c r="K10355" s="36">
        <v>44943</v>
      </c>
      <c r="L10355" s="36">
        <v>44946</v>
      </c>
      <c r="M10355" t="s">
        <v>598</v>
      </c>
      <c r="N10355" t="s">
        <v>604</v>
      </c>
      <c r="O10355" s="37" t="str">
        <f t="shared" si="808"/>
        <v>Digital Payment</v>
      </c>
      <c r="P10355">
        <v>1046.83</v>
      </c>
      <c r="Q10355" s="37" t="str">
        <f>IF(P10355&gt;500,"High","low")</f>
        <v>High</v>
      </c>
      <c r="R10355" s="37" t="str">
        <f t="shared" si="809"/>
        <v>Excellent</v>
      </c>
      <c r="S10355" t="s">
        <v>628</v>
      </c>
    </row>
    <row r="10356" spans="1:19" x14ac:dyDescent="0.2">
      <c r="A10356" t="s">
        <v>10967</v>
      </c>
      <c r="B10356" t="s">
        <v>67</v>
      </c>
      <c r="C10356" t="s">
        <v>614</v>
      </c>
      <c r="D10356">
        <v>4286.32</v>
      </c>
      <c r="E10356" s="37" t="str">
        <f t="shared" si="805"/>
        <v>Excellent Order</v>
      </c>
      <c r="F10356">
        <v>0.04</v>
      </c>
      <c r="G10356" s="37" t="str">
        <f t="shared" si="806"/>
        <v>Normal Discount</v>
      </c>
      <c r="H10356" s="37" t="str">
        <f t="shared" si="807"/>
        <v>Low</v>
      </c>
      <c r="I10356">
        <v>4</v>
      </c>
      <c r="J10356" t="str" cm="1">
        <f t="array" ref="J10356">_xlfn.IFS(I10356&lt;=3,"small",I10356&lt;=6,"Medium",I10356&lt;=9,"Large")</f>
        <v>Medium</v>
      </c>
      <c r="K10356" s="36">
        <v>45235</v>
      </c>
      <c r="L10356" s="36">
        <v>45240</v>
      </c>
      <c r="M10356" t="s">
        <v>598</v>
      </c>
      <c r="N10356" t="s">
        <v>599</v>
      </c>
      <c r="O10356" s="37" t="str">
        <f t="shared" si="808"/>
        <v>Digital Payment</v>
      </c>
      <c r="P10356">
        <v>1225.3699999999999</v>
      </c>
      <c r="Q10356" s="37" t="str">
        <f>IF(P10356&gt;500,"High","low")</f>
        <v>High</v>
      </c>
      <c r="R10356" s="37" t="str">
        <f t="shared" si="809"/>
        <v>Excellent</v>
      </c>
      <c r="S10356" t="s">
        <v>605</v>
      </c>
    </row>
    <row r="10357" spans="1:19" x14ac:dyDescent="0.2">
      <c r="A10357" t="s">
        <v>10968</v>
      </c>
      <c r="B10357" t="s">
        <v>75</v>
      </c>
      <c r="C10357" t="s">
        <v>614</v>
      </c>
      <c r="D10357">
        <v>4857.22</v>
      </c>
      <c r="E10357" s="37" t="str">
        <f t="shared" si="805"/>
        <v>Excellent Order</v>
      </c>
      <c r="F10357">
        <v>0.23</v>
      </c>
      <c r="G10357" s="37" t="str">
        <f t="shared" si="806"/>
        <v>Normal Discount</v>
      </c>
      <c r="H10357" s="37" t="str">
        <f t="shared" si="807"/>
        <v>Medium</v>
      </c>
      <c r="I10357">
        <v>6</v>
      </c>
      <c r="J10357" t="str" cm="1">
        <f t="array" ref="J10357">_xlfn.IFS(I10357&lt;=3,"small",I10357&lt;=6,"Medium",I10357&lt;=9,"Large")</f>
        <v>Medium</v>
      </c>
      <c r="K10357" s="36">
        <v>45014</v>
      </c>
      <c r="L10357" s="36">
        <v>45021</v>
      </c>
      <c r="M10357" t="s">
        <v>612</v>
      </c>
      <c r="N10357" t="s">
        <v>604</v>
      </c>
      <c r="O10357" s="37" t="str">
        <f t="shared" si="808"/>
        <v>Digital Payment</v>
      </c>
      <c r="P10357">
        <v>1090.6300000000001</v>
      </c>
      <c r="Q10357" s="37" t="str">
        <f>IF(P10357&gt;500,"High","low")</f>
        <v>High</v>
      </c>
      <c r="R10357" s="37" t="str">
        <f t="shared" si="809"/>
        <v>Excellent</v>
      </c>
      <c r="S10357" t="s">
        <v>605</v>
      </c>
    </row>
    <row r="10358" spans="1:19" x14ac:dyDescent="0.2">
      <c r="A10358" t="s">
        <v>10969</v>
      </c>
      <c r="B10358" t="s">
        <v>67</v>
      </c>
      <c r="C10358" t="s">
        <v>614</v>
      </c>
      <c r="D10358">
        <v>3561.68</v>
      </c>
      <c r="E10358" s="37" t="str">
        <f t="shared" si="805"/>
        <v xml:space="preserve"> </v>
      </c>
      <c r="F10358">
        <v>0.47</v>
      </c>
      <c r="G10358" s="37" t="str">
        <f t="shared" si="806"/>
        <v>Heavy Discount</v>
      </c>
      <c r="H10358" s="37" t="str">
        <f t="shared" si="807"/>
        <v>High</v>
      </c>
      <c r="I10358">
        <v>5</v>
      </c>
      <c r="J10358" t="str" cm="1">
        <f t="array" ref="J10358">_xlfn.IFS(I10358&lt;=3,"small",I10358&lt;=6,"Medium",I10358&lt;=9,"Large")</f>
        <v>Medium</v>
      </c>
      <c r="K10358" s="36">
        <v>45408</v>
      </c>
      <c r="L10358" s="36">
        <v>45410</v>
      </c>
      <c r="M10358" t="s">
        <v>603</v>
      </c>
      <c r="N10358" t="s">
        <v>608</v>
      </c>
      <c r="O10358" s="37" t="str">
        <f t="shared" si="808"/>
        <v>Cash Payment</v>
      </c>
      <c r="P10358">
        <v>874.91</v>
      </c>
      <c r="Q10358" s="37" t="str">
        <f>IF(P10358&gt;500,"High","low")</f>
        <v>High</v>
      </c>
      <c r="R10358" s="37" t="str">
        <f t="shared" si="809"/>
        <v>Good</v>
      </c>
      <c r="S10358" t="s">
        <v>628</v>
      </c>
    </row>
    <row r="10359" spans="1:19" x14ac:dyDescent="0.2">
      <c r="A10359" t="s">
        <v>10970</v>
      </c>
      <c r="B10359" t="s">
        <v>75</v>
      </c>
      <c r="C10359" t="s">
        <v>597</v>
      </c>
      <c r="D10359">
        <v>3262.78</v>
      </c>
      <c r="E10359" s="37" t="str">
        <f t="shared" si="805"/>
        <v xml:space="preserve"> </v>
      </c>
      <c r="F10359">
        <v>0.04</v>
      </c>
      <c r="G10359" s="37" t="str">
        <f t="shared" si="806"/>
        <v>Normal Discount</v>
      </c>
      <c r="H10359" s="37" t="str">
        <f t="shared" si="807"/>
        <v>Low</v>
      </c>
      <c r="I10359">
        <v>7</v>
      </c>
      <c r="J10359" t="str" cm="1">
        <f t="array" ref="J10359">_xlfn.IFS(I10359&lt;=3,"small",I10359&lt;=6,"Medium",I10359&lt;=9,"Large")</f>
        <v>Large</v>
      </c>
      <c r="K10359" s="36">
        <v>44963</v>
      </c>
      <c r="L10359" s="36">
        <v>44970</v>
      </c>
      <c r="M10359" t="s">
        <v>598</v>
      </c>
      <c r="N10359" t="s">
        <v>599</v>
      </c>
      <c r="O10359" s="37" t="str">
        <f t="shared" si="808"/>
        <v>Digital Payment</v>
      </c>
      <c r="P10359">
        <v>911.34</v>
      </c>
      <c r="Q10359" s="37" t="str">
        <f>IF(P10359&gt;500,"High","low")</f>
        <v>High</v>
      </c>
      <c r="R10359" s="37" t="str">
        <f t="shared" si="809"/>
        <v>Good</v>
      </c>
      <c r="S10359" t="s">
        <v>600</v>
      </c>
    </row>
    <row r="10360" spans="1:19" x14ac:dyDescent="0.2">
      <c r="A10360" t="s">
        <v>10971</v>
      </c>
      <c r="B10360" t="s">
        <v>83</v>
      </c>
      <c r="C10360" t="s">
        <v>617</v>
      </c>
      <c r="D10360">
        <v>4625.13</v>
      </c>
      <c r="E10360" s="37" t="str">
        <f t="shared" si="805"/>
        <v xml:space="preserve"> </v>
      </c>
      <c r="F10360">
        <v>0.18</v>
      </c>
      <c r="G10360" s="37" t="str">
        <f t="shared" si="806"/>
        <v>Normal Discount</v>
      </c>
      <c r="H10360" s="37" t="str">
        <f t="shared" si="807"/>
        <v>Low</v>
      </c>
      <c r="I10360">
        <v>8</v>
      </c>
      <c r="J10360" t="str" cm="1">
        <f t="array" ref="J10360">_xlfn.IFS(I10360&lt;=3,"small",I10360&lt;=6,"Medium",I10360&lt;=9,"Large")</f>
        <v>Large</v>
      </c>
      <c r="K10360" s="36">
        <v>45580</v>
      </c>
      <c r="L10360" s="36">
        <v>45586</v>
      </c>
      <c r="M10360" t="s">
        <v>612</v>
      </c>
      <c r="N10360" t="s">
        <v>599</v>
      </c>
      <c r="O10360" s="37" t="str">
        <f t="shared" si="808"/>
        <v>Digital Payment</v>
      </c>
      <c r="P10360">
        <v>607.66999999999996</v>
      </c>
      <c r="Q10360" s="37" t="str">
        <f>IF(P10360&gt;500,"High","low")</f>
        <v>High</v>
      </c>
      <c r="R10360" s="37" t="str">
        <f t="shared" si="809"/>
        <v>Good</v>
      </c>
      <c r="S10360" t="s">
        <v>628</v>
      </c>
    </row>
    <row r="10361" spans="1:19" x14ac:dyDescent="0.2">
      <c r="A10361" t="s">
        <v>10972</v>
      </c>
      <c r="B10361" t="s">
        <v>67</v>
      </c>
      <c r="C10361" t="s">
        <v>617</v>
      </c>
      <c r="D10361">
        <v>4737.33</v>
      </c>
      <c r="E10361" s="37" t="str">
        <f t="shared" si="805"/>
        <v>Excellent Order</v>
      </c>
      <c r="F10361">
        <v>0.26</v>
      </c>
      <c r="G10361" s="37" t="str">
        <f t="shared" si="806"/>
        <v>Normal Discount</v>
      </c>
      <c r="H10361" s="37" t="str">
        <f t="shared" si="807"/>
        <v>Medium</v>
      </c>
      <c r="I10361">
        <v>1</v>
      </c>
      <c r="J10361" t="str" cm="1">
        <f t="array" ref="J10361">_xlfn.IFS(I10361&lt;=3,"small",I10361&lt;=6,"Medium",I10361&lt;=9,"Large")</f>
        <v>small</v>
      </c>
      <c r="K10361" s="36">
        <v>45039</v>
      </c>
      <c r="L10361" s="36">
        <v>45046</v>
      </c>
      <c r="M10361" t="s">
        <v>598</v>
      </c>
      <c r="N10361" t="s">
        <v>604</v>
      </c>
      <c r="O10361" s="37" t="str">
        <f t="shared" si="808"/>
        <v>Digital Payment</v>
      </c>
      <c r="P10361">
        <v>965.41</v>
      </c>
      <c r="Q10361" s="37" t="str">
        <f>IF(P10361&gt;500,"High","low")</f>
        <v>High</v>
      </c>
      <c r="R10361" s="37" t="str">
        <f t="shared" si="809"/>
        <v>Good</v>
      </c>
      <c r="S10361" t="s">
        <v>605</v>
      </c>
    </row>
    <row r="10362" spans="1:19" x14ac:dyDescent="0.2">
      <c r="A10362" t="s">
        <v>10973</v>
      </c>
      <c r="B10362" t="s">
        <v>83</v>
      </c>
      <c r="C10362" t="s">
        <v>607</v>
      </c>
      <c r="D10362">
        <v>4399.6899999999996</v>
      </c>
      <c r="E10362" s="37" t="str">
        <f t="shared" si="805"/>
        <v xml:space="preserve"> </v>
      </c>
      <c r="F10362">
        <v>0.45</v>
      </c>
      <c r="G10362" s="37" t="str">
        <f t="shared" si="806"/>
        <v>Heavy Discount</v>
      </c>
      <c r="H10362" s="37" t="str">
        <f t="shared" si="807"/>
        <v>High</v>
      </c>
      <c r="I10362">
        <v>8</v>
      </c>
      <c r="J10362" t="str" cm="1">
        <f t="array" ref="J10362">_xlfn.IFS(I10362&lt;=3,"small",I10362&lt;=6,"Medium",I10362&lt;=9,"Large")</f>
        <v>Large</v>
      </c>
      <c r="K10362" s="36">
        <v>45124</v>
      </c>
      <c r="L10362" s="36">
        <v>45128</v>
      </c>
      <c r="M10362" t="s">
        <v>603</v>
      </c>
      <c r="N10362" t="s">
        <v>604</v>
      </c>
      <c r="O10362" s="37" t="str">
        <f t="shared" si="808"/>
        <v>Digital Payment</v>
      </c>
      <c r="P10362">
        <v>614.72</v>
      </c>
      <c r="Q10362" s="37" t="str">
        <f>IF(P10362&gt;500,"High","low")</f>
        <v>High</v>
      </c>
      <c r="R10362" s="37" t="str">
        <f t="shared" si="809"/>
        <v>Good</v>
      </c>
      <c r="S10362" t="s">
        <v>615</v>
      </c>
    </row>
    <row r="10363" spans="1:19" x14ac:dyDescent="0.2">
      <c r="A10363" t="s">
        <v>10974</v>
      </c>
      <c r="B10363" t="s">
        <v>67</v>
      </c>
      <c r="C10363" t="s">
        <v>614</v>
      </c>
      <c r="D10363">
        <v>4321.22</v>
      </c>
      <c r="E10363" s="37" t="str">
        <f t="shared" si="805"/>
        <v>Excellent Order</v>
      </c>
      <c r="F10363">
        <v>0.17</v>
      </c>
      <c r="G10363" s="37" t="str">
        <f t="shared" si="806"/>
        <v>Normal Discount</v>
      </c>
      <c r="H10363" s="37" t="str">
        <f t="shared" si="807"/>
        <v>Low</v>
      </c>
      <c r="I10363">
        <v>3</v>
      </c>
      <c r="J10363" t="str" cm="1">
        <f t="array" ref="J10363">_xlfn.IFS(I10363&lt;=3,"small",I10363&lt;=6,"Medium",I10363&lt;=9,"Large")</f>
        <v>small</v>
      </c>
      <c r="K10363" s="36">
        <v>45110</v>
      </c>
      <c r="L10363" s="36">
        <v>45115</v>
      </c>
      <c r="M10363" t="s">
        <v>598</v>
      </c>
      <c r="N10363" t="s">
        <v>604</v>
      </c>
      <c r="O10363" s="37" t="str">
        <f t="shared" si="808"/>
        <v>Digital Payment</v>
      </c>
      <c r="P10363">
        <v>1066.71</v>
      </c>
      <c r="Q10363" s="37" t="str">
        <f>IF(P10363&gt;500,"High","low")</f>
        <v>High</v>
      </c>
      <c r="R10363" s="37" t="str">
        <f t="shared" si="809"/>
        <v>Excellent</v>
      </c>
      <c r="S10363" t="s">
        <v>620</v>
      </c>
    </row>
    <row r="10364" spans="1:19" x14ac:dyDescent="0.2">
      <c r="A10364" t="s">
        <v>10975</v>
      </c>
      <c r="B10364" t="s">
        <v>67</v>
      </c>
      <c r="C10364" t="s">
        <v>597</v>
      </c>
      <c r="D10364">
        <v>3391.35</v>
      </c>
      <c r="E10364" s="37" t="str">
        <f t="shared" si="805"/>
        <v xml:space="preserve"> </v>
      </c>
      <c r="F10364">
        <v>0.4</v>
      </c>
      <c r="G10364" s="37" t="str">
        <f t="shared" si="806"/>
        <v>Heavy Discount</v>
      </c>
      <c r="H10364" s="37" t="str">
        <f t="shared" si="807"/>
        <v>Medium</v>
      </c>
      <c r="I10364">
        <v>2</v>
      </c>
      <c r="J10364" t="str" cm="1">
        <f t="array" ref="J10364">_xlfn.IFS(I10364&lt;=3,"small",I10364&lt;=6,"Medium",I10364&lt;=9,"Large")</f>
        <v>small</v>
      </c>
      <c r="K10364" s="36">
        <v>45333</v>
      </c>
      <c r="L10364" s="36">
        <v>45338</v>
      </c>
      <c r="M10364" t="s">
        <v>612</v>
      </c>
      <c r="N10364" t="s">
        <v>608</v>
      </c>
      <c r="O10364" s="37" t="str">
        <f t="shared" si="808"/>
        <v>Cash Payment</v>
      </c>
      <c r="P10364">
        <v>844.92</v>
      </c>
      <c r="Q10364" s="37" t="str">
        <f>IF(P10364&gt;500,"High","low")</f>
        <v>High</v>
      </c>
      <c r="R10364" s="37" t="str">
        <f t="shared" si="809"/>
        <v>Good</v>
      </c>
      <c r="S10364" t="s">
        <v>609</v>
      </c>
    </row>
    <row r="10365" spans="1:19" x14ac:dyDescent="0.2">
      <c r="A10365" t="s">
        <v>10976</v>
      </c>
      <c r="B10365" t="s">
        <v>90</v>
      </c>
      <c r="C10365" t="s">
        <v>602</v>
      </c>
      <c r="D10365">
        <v>107.87</v>
      </c>
      <c r="E10365" s="37" t="str">
        <f t="shared" si="805"/>
        <v xml:space="preserve"> </v>
      </c>
      <c r="F10365">
        <v>0.36</v>
      </c>
      <c r="G10365" s="37" t="str">
        <f t="shared" si="806"/>
        <v>Heavy Discount</v>
      </c>
      <c r="H10365" s="37" t="str">
        <f t="shared" si="807"/>
        <v>Medium</v>
      </c>
      <c r="I10365">
        <v>2</v>
      </c>
      <c r="J10365" t="str" cm="1">
        <f t="array" ref="J10365">_xlfn.IFS(I10365&lt;=3,"small",I10365&lt;=6,"Medium",I10365&lt;=9,"Large")</f>
        <v>small</v>
      </c>
      <c r="K10365" s="36">
        <v>45610</v>
      </c>
      <c r="L10365" s="36">
        <v>45613</v>
      </c>
      <c r="M10365" t="s">
        <v>603</v>
      </c>
      <c r="N10365" t="s">
        <v>604</v>
      </c>
      <c r="O10365" s="37" t="str">
        <f t="shared" si="808"/>
        <v>Digital Payment</v>
      </c>
      <c r="P10365">
        <v>18.5</v>
      </c>
      <c r="Q10365" s="37" t="str">
        <f>IF(P10365&gt;500,"High","low")</f>
        <v>low</v>
      </c>
      <c r="R10365" s="37" t="str">
        <f t="shared" si="809"/>
        <v>AVERAGE</v>
      </c>
      <c r="S10365" t="s">
        <v>609</v>
      </c>
    </row>
    <row r="10366" spans="1:19" x14ac:dyDescent="0.2">
      <c r="A10366" t="s">
        <v>10977</v>
      </c>
      <c r="B10366" t="s">
        <v>75</v>
      </c>
      <c r="C10366" t="s">
        <v>602</v>
      </c>
      <c r="D10366">
        <v>2204.63</v>
      </c>
      <c r="E10366" s="37" t="str">
        <f t="shared" si="805"/>
        <v xml:space="preserve"> </v>
      </c>
      <c r="F10366">
        <v>0.15</v>
      </c>
      <c r="G10366" s="37" t="str">
        <f t="shared" si="806"/>
        <v>Normal Discount</v>
      </c>
      <c r="H10366" s="37" t="str">
        <f t="shared" si="807"/>
        <v>Low</v>
      </c>
      <c r="I10366">
        <v>5</v>
      </c>
      <c r="J10366" t="str" cm="1">
        <f t="array" ref="J10366">_xlfn.IFS(I10366&lt;=3,"small",I10366&lt;=6,"Medium",I10366&lt;=9,"Large")</f>
        <v>Medium</v>
      </c>
      <c r="K10366" s="36">
        <v>45342</v>
      </c>
      <c r="L10366" s="36">
        <v>45344</v>
      </c>
      <c r="M10366" t="s">
        <v>603</v>
      </c>
      <c r="N10366" t="s">
        <v>599</v>
      </c>
      <c r="O10366" s="37" t="str">
        <f t="shared" si="808"/>
        <v>Digital Payment</v>
      </c>
      <c r="P10366">
        <v>533.6</v>
      </c>
      <c r="Q10366" s="37" t="str">
        <f>IF(P10366&gt;500,"High","low")</f>
        <v>High</v>
      </c>
      <c r="R10366" s="37" t="str">
        <f t="shared" si="809"/>
        <v>Good</v>
      </c>
      <c r="S10366" t="s">
        <v>620</v>
      </c>
    </row>
    <row r="10367" spans="1:19" x14ac:dyDescent="0.2">
      <c r="A10367" t="s">
        <v>10978</v>
      </c>
      <c r="B10367" t="s">
        <v>83</v>
      </c>
      <c r="C10367" t="s">
        <v>607</v>
      </c>
      <c r="D10367">
        <v>3214.75</v>
      </c>
      <c r="E10367" s="37" t="str">
        <f t="shared" si="805"/>
        <v xml:space="preserve"> </v>
      </c>
      <c r="F10367">
        <v>0.17</v>
      </c>
      <c r="G10367" s="37" t="str">
        <f t="shared" si="806"/>
        <v>Normal Discount</v>
      </c>
      <c r="H10367" s="37" t="str">
        <f t="shared" si="807"/>
        <v>Low</v>
      </c>
      <c r="I10367">
        <v>2</v>
      </c>
      <c r="J10367" t="str" cm="1">
        <f t="array" ref="J10367">_xlfn.IFS(I10367&lt;=3,"small",I10367&lt;=6,"Medium",I10367&lt;=9,"Large")</f>
        <v>small</v>
      </c>
      <c r="K10367" s="36">
        <v>45652</v>
      </c>
      <c r="L10367" s="36">
        <v>45654</v>
      </c>
      <c r="M10367" t="s">
        <v>603</v>
      </c>
      <c r="N10367" t="s">
        <v>599</v>
      </c>
      <c r="O10367" s="37" t="str">
        <f t="shared" si="808"/>
        <v>Digital Payment</v>
      </c>
      <c r="P10367">
        <v>473.57</v>
      </c>
      <c r="Q10367" s="37" t="str">
        <f>IF(P10367&gt;500,"High","low")</f>
        <v>low</v>
      </c>
      <c r="R10367" s="37" t="str">
        <f t="shared" si="809"/>
        <v>AVERAGE</v>
      </c>
      <c r="S10367" t="s">
        <v>600</v>
      </c>
    </row>
    <row r="10368" spans="1:19" x14ac:dyDescent="0.2">
      <c r="A10368" t="s">
        <v>10979</v>
      </c>
      <c r="B10368" t="s">
        <v>83</v>
      </c>
      <c r="C10368" t="s">
        <v>607</v>
      </c>
      <c r="D10368">
        <v>2780.92</v>
      </c>
      <c r="E10368" s="37" t="str">
        <f t="shared" si="805"/>
        <v xml:space="preserve"> </v>
      </c>
      <c r="F10368">
        <v>0.1</v>
      </c>
      <c r="G10368" s="37" t="str">
        <f t="shared" si="806"/>
        <v>Normal Discount</v>
      </c>
      <c r="H10368" s="37" t="str">
        <f t="shared" si="807"/>
        <v>Low</v>
      </c>
      <c r="I10368">
        <v>4</v>
      </c>
      <c r="J10368" t="str" cm="1">
        <f t="array" ref="J10368">_xlfn.IFS(I10368&lt;=3,"small",I10368&lt;=6,"Medium",I10368&lt;=9,"Large")</f>
        <v>Medium</v>
      </c>
      <c r="K10368" s="36">
        <v>45040</v>
      </c>
      <c r="L10368" s="36">
        <v>45046</v>
      </c>
      <c r="M10368" t="s">
        <v>612</v>
      </c>
      <c r="N10368" t="s">
        <v>604</v>
      </c>
      <c r="O10368" s="37" t="str">
        <f t="shared" si="808"/>
        <v>Digital Payment</v>
      </c>
      <c r="P10368">
        <v>612.13</v>
      </c>
      <c r="Q10368" s="37" t="str">
        <f>IF(P10368&gt;500,"High","low")</f>
        <v>High</v>
      </c>
      <c r="R10368" s="37" t="str">
        <f t="shared" si="809"/>
        <v>Good</v>
      </c>
      <c r="S10368" t="s">
        <v>605</v>
      </c>
    </row>
    <row r="10369" spans="1:19" x14ac:dyDescent="0.2">
      <c r="A10369" t="s">
        <v>10980</v>
      </c>
      <c r="B10369" t="s">
        <v>83</v>
      </c>
      <c r="C10369" t="s">
        <v>614</v>
      </c>
      <c r="D10369">
        <v>4123.5200000000004</v>
      </c>
      <c r="E10369" s="37" t="str">
        <f t="shared" si="805"/>
        <v xml:space="preserve"> </v>
      </c>
      <c r="F10369">
        <v>0.35</v>
      </c>
      <c r="G10369" s="37" t="str">
        <f t="shared" si="806"/>
        <v>Heavy Discount</v>
      </c>
      <c r="H10369" s="37" t="str">
        <f t="shared" si="807"/>
        <v>Medium</v>
      </c>
      <c r="I10369">
        <v>3</v>
      </c>
      <c r="J10369" t="str" cm="1">
        <f t="array" ref="J10369">_xlfn.IFS(I10369&lt;=3,"small",I10369&lt;=6,"Medium",I10369&lt;=9,"Large")</f>
        <v>small</v>
      </c>
      <c r="K10369" s="36">
        <v>45269</v>
      </c>
      <c r="L10369" s="36">
        <v>45271</v>
      </c>
      <c r="M10369" t="s">
        <v>598</v>
      </c>
      <c r="N10369" t="s">
        <v>599</v>
      </c>
      <c r="O10369" s="37" t="str">
        <f t="shared" si="808"/>
        <v>Digital Payment</v>
      </c>
      <c r="P10369">
        <v>528.48</v>
      </c>
      <c r="Q10369" s="37" t="str">
        <f>IF(P10369&gt;500,"High","low")</f>
        <v>High</v>
      </c>
      <c r="R10369" s="37" t="str">
        <f t="shared" si="809"/>
        <v>Good</v>
      </c>
      <c r="S10369" t="s">
        <v>628</v>
      </c>
    </row>
    <row r="10370" spans="1:19" x14ac:dyDescent="0.2">
      <c r="A10370" t="s">
        <v>10981</v>
      </c>
      <c r="B10370" t="s">
        <v>75</v>
      </c>
      <c r="C10370" t="s">
        <v>614</v>
      </c>
      <c r="D10370">
        <v>4112.62</v>
      </c>
      <c r="E10370" s="37" t="str">
        <f t="shared" si="805"/>
        <v xml:space="preserve"> </v>
      </c>
      <c r="F10370">
        <v>0.28000000000000003</v>
      </c>
      <c r="G10370" s="37" t="str">
        <f t="shared" si="806"/>
        <v>Normal Discount</v>
      </c>
      <c r="H10370" s="37" t="str">
        <f t="shared" si="807"/>
        <v>Medium</v>
      </c>
      <c r="I10370">
        <v>8</v>
      </c>
      <c r="J10370" t="str" cm="1">
        <f t="array" ref="J10370">_xlfn.IFS(I10370&lt;=3,"small",I10370&lt;=6,"Medium",I10370&lt;=9,"Large")</f>
        <v>Large</v>
      </c>
      <c r="K10370" s="36">
        <v>45309</v>
      </c>
      <c r="L10370" s="36">
        <v>45311</v>
      </c>
      <c r="M10370" t="s">
        <v>598</v>
      </c>
      <c r="N10370" t="s">
        <v>608</v>
      </c>
      <c r="O10370" s="37" t="str">
        <f t="shared" si="808"/>
        <v>Cash Payment</v>
      </c>
      <c r="P10370">
        <v>334.61</v>
      </c>
      <c r="Q10370" s="37" t="str">
        <f>IF(P10370&gt;500,"High","low")</f>
        <v>low</v>
      </c>
      <c r="R10370" s="37" t="str">
        <f t="shared" si="809"/>
        <v>AVERAGE</v>
      </c>
      <c r="S10370" t="s">
        <v>609</v>
      </c>
    </row>
    <row r="10371" spans="1:19" x14ac:dyDescent="0.2">
      <c r="A10371" t="s">
        <v>10982</v>
      </c>
      <c r="B10371" t="s">
        <v>90</v>
      </c>
      <c r="C10371" t="s">
        <v>602</v>
      </c>
      <c r="D10371">
        <v>3033.54</v>
      </c>
      <c r="E10371" s="37" t="str">
        <f t="shared" ref="E10371:E10434" si="810">IF(AND(D10371&gt;4000,P10371&gt;800),"Excellent Order"," ")</f>
        <v xml:space="preserve"> </v>
      </c>
      <c r="F10371">
        <v>0.08</v>
      </c>
      <c r="G10371" s="37" t="str">
        <f t="shared" ref="G10371:G10434" si="811">IF(F10371&gt;30%,"Heavy Discount","Normal Discount")</f>
        <v>Normal Discount</v>
      </c>
      <c r="H10371" s="37" t="str">
        <f t="shared" ref="H10371:H10434" si="812">IF(F10371&gt;0.4,"High",IF(F10371&gt;=0.2,"Medium","Low"))</f>
        <v>Low</v>
      </c>
      <c r="I10371">
        <v>9</v>
      </c>
      <c r="J10371" t="str" cm="1">
        <f t="array" ref="J10371">_xlfn.IFS(I10371&lt;=3,"small",I10371&lt;=6,"Medium",I10371&lt;=9,"Large")</f>
        <v>Large</v>
      </c>
      <c r="K10371" s="36">
        <v>45432</v>
      </c>
      <c r="L10371" s="36">
        <v>45438</v>
      </c>
      <c r="M10371" t="s">
        <v>612</v>
      </c>
      <c r="N10371" t="s">
        <v>608</v>
      </c>
      <c r="O10371" s="37" t="str">
        <f t="shared" ref="O10371:O10434" si="813">IF(OR(N10371="Card",N10371="UPI"),"Digital Payment","Cash Payment")</f>
        <v>Cash Payment</v>
      </c>
      <c r="P10371">
        <v>778.08</v>
      </c>
      <c r="Q10371" s="37" t="str">
        <f>IF(P10371&gt;500,"High","low")</f>
        <v>High</v>
      </c>
      <c r="R10371" s="37" t="str">
        <f t="shared" ref="R10371:R10434" si="814">IF(P10371&gt;1000,"Excellent",IF(P10371&gt;=500,"Good","AVERAGE"))</f>
        <v>Good</v>
      </c>
      <c r="S10371" t="s">
        <v>600</v>
      </c>
    </row>
    <row r="10372" spans="1:19" x14ac:dyDescent="0.2">
      <c r="A10372" t="s">
        <v>10983</v>
      </c>
      <c r="B10372" t="s">
        <v>83</v>
      </c>
      <c r="C10372" t="s">
        <v>602</v>
      </c>
      <c r="D10372">
        <v>207.77</v>
      </c>
      <c r="E10372" s="37" t="str">
        <f t="shared" si="810"/>
        <v xml:space="preserve"> </v>
      </c>
      <c r="F10372">
        <v>0.31</v>
      </c>
      <c r="G10372" s="37" t="str">
        <f t="shared" si="811"/>
        <v>Heavy Discount</v>
      </c>
      <c r="H10372" s="37" t="str">
        <f t="shared" si="812"/>
        <v>Medium</v>
      </c>
      <c r="I10372">
        <v>6</v>
      </c>
      <c r="J10372" t="str" cm="1">
        <f t="array" ref="J10372">_xlfn.IFS(I10372&lt;=3,"small",I10372&lt;=6,"Medium",I10372&lt;=9,"Large")</f>
        <v>Medium</v>
      </c>
      <c r="K10372" s="36">
        <v>45010</v>
      </c>
      <c r="L10372" s="36">
        <v>45012</v>
      </c>
      <c r="M10372" t="s">
        <v>612</v>
      </c>
      <c r="N10372" t="s">
        <v>608</v>
      </c>
      <c r="O10372" s="37" t="str">
        <f t="shared" si="813"/>
        <v>Cash Payment</v>
      </c>
      <c r="P10372">
        <v>12.11</v>
      </c>
      <c r="Q10372" s="37" t="str">
        <f>IF(P10372&gt;500,"High","low")</f>
        <v>low</v>
      </c>
      <c r="R10372" s="37" t="str">
        <f t="shared" si="814"/>
        <v>AVERAGE</v>
      </c>
      <c r="S10372" t="s">
        <v>628</v>
      </c>
    </row>
    <row r="10373" spans="1:19" x14ac:dyDescent="0.2">
      <c r="A10373" t="s">
        <v>10984</v>
      </c>
      <c r="B10373" t="s">
        <v>75</v>
      </c>
      <c r="C10373" t="s">
        <v>602</v>
      </c>
      <c r="D10373">
        <v>1909.72</v>
      </c>
      <c r="E10373" s="37" t="str">
        <f t="shared" si="810"/>
        <v xml:space="preserve"> </v>
      </c>
      <c r="F10373">
        <v>0.25</v>
      </c>
      <c r="G10373" s="37" t="str">
        <f t="shared" si="811"/>
        <v>Normal Discount</v>
      </c>
      <c r="H10373" s="37" t="str">
        <f t="shared" si="812"/>
        <v>Medium</v>
      </c>
      <c r="I10373">
        <v>4</v>
      </c>
      <c r="J10373" t="str" cm="1">
        <f t="array" ref="J10373">_xlfn.IFS(I10373&lt;=3,"small",I10373&lt;=6,"Medium",I10373&lt;=9,"Large")</f>
        <v>Medium</v>
      </c>
      <c r="K10373" s="36">
        <v>45603</v>
      </c>
      <c r="L10373" s="36">
        <v>45604</v>
      </c>
      <c r="M10373" t="s">
        <v>603</v>
      </c>
      <c r="N10373" t="s">
        <v>604</v>
      </c>
      <c r="O10373" s="37" t="str">
        <f t="shared" si="813"/>
        <v>Digital Payment</v>
      </c>
      <c r="P10373">
        <v>324.38</v>
      </c>
      <c r="Q10373" s="37" t="str">
        <f>IF(P10373&gt;500,"High","low")</f>
        <v>low</v>
      </c>
      <c r="R10373" s="37" t="str">
        <f t="shared" si="814"/>
        <v>AVERAGE</v>
      </c>
      <c r="S10373" t="s">
        <v>609</v>
      </c>
    </row>
    <row r="10374" spans="1:19" x14ac:dyDescent="0.2">
      <c r="A10374" t="s">
        <v>10985</v>
      </c>
      <c r="B10374" t="s">
        <v>67</v>
      </c>
      <c r="C10374" t="s">
        <v>602</v>
      </c>
      <c r="D10374">
        <v>1221.2</v>
      </c>
      <c r="E10374" s="37" t="str">
        <f t="shared" si="810"/>
        <v xml:space="preserve"> </v>
      </c>
      <c r="F10374">
        <v>0.05</v>
      </c>
      <c r="G10374" s="37" t="str">
        <f t="shared" si="811"/>
        <v>Normal Discount</v>
      </c>
      <c r="H10374" s="37" t="str">
        <f t="shared" si="812"/>
        <v>Low</v>
      </c>
      <c r="I10374">
        <v>2</v>
      </c>
      <c r="J10374" t="str" cm="1">
        <f t="array" ref="J10374">_xlfn.IFS(I10374&lt;=3,"small",I10374&lt;=6,"Medium",I10374&lt;=9,"Large")</f>
        <v>small</v>
      </c>
      <c r="K10374" s="36">
        <v>45417</v>
      </c>
      <c r="L10374" s="36">
        <v>45421</v>
      </c>
      <c r="M10374" t="s">
        <v>598</v>
      </c>
      <c r="N10374" t="s">
        <v>599</v>
      </c>
      <c r="O10374" s="37" t="str">
        <f t="shared" si="813"/>
        <v>Digital Payment</v>
      </c>
      <c r="P10374">
        <v>353.01</v>
      </c>
      <c r="Q10374" s="37" t="str">
        <f>IF(P10374&gt;500,"High","low")</f>
        <v>low</v>
      </c>
      <c r="R10374" s="37" t="str">
        <f t="shared" si="814"/>
        <v>AVERAGE</v>
      </c>
      <c r="S10374" t="s">
        <v>609</v>
      </c>
    </row>
    <row r="10375" spans="1:19" x14ac:dyDescent="0.2">
      <c r="A10375" t="s">
        <v>10986</v>
      </c>
      <c r="B10375" t="s">
        <v>83</v>
      </c>
      <c r="C10375" t="s">
        <v>617</v>
      </c>
      <c r="D10375">
        <v>1760.06</v>
      </c>
      <c r="E10375" s="37" t="str">
        <f t="shared" si="810"/>
        <v xml:space="preserve"> </v>
      </c>
      <c r="F10375">
        <v>0.48</v>
      </c>
      <c r="G10375" s="37" t="str">
        <f t="shared" si="811"/>
        <v>Heavy Discount</v>
      </c>
      <c r="H10375" s="37" t="str">
        <f t="shared" si="812"/>
        <v>High</v>
      </c>
      <c r="I10375">
        <v>8</v>
      </c>
      <c r="J10375" t="str" cm="1">
        <f t="array" ref="J10375">_xlfn.IFS(I10375&lt;=3,"small",I10375&lt;=6,"Medium",I10375&lt;=9,"Large")</f>
        <v>Large</v>
      </c>
      <c r="K10375" s="36">
        <v>45477</v>
      </c>
      <c r="L10375" s="36">
        <v>45482</v>
      </c>
      <c r="M10375" t="s">
        <v>598</v>
      </c>
      <c r="N10375" t="s">
        <v>599</v>
      </c>
      <c r="O10375" s="37" t="str">
        <f t="shared" si="813"/>
        <v>Digital Payment</v>
      </c>
      <c r="P10375">
        <v>88.45</v>
      </c>
      <c r="Q10375" s="37" t="str">
        <f>IF(P10375&gt;500,"High","low")</f>
        <v>low</v>
      </c>
      <c r="R10375" s="37" t="str">
        <f t="shared" si="814"/>
        <v>AVERAGE</v>
      </c>
      <c r="S10375" t="s">
        <v>620</v>
      </c>
    </row>
    <row r="10376" spans="1:19" x14ac:dyDescent="0.2">
      <c r="A10376" t="s">
        <v>10987</v>
      </c>
      <c r="B10376" t="s">
        <v>83</v>
      </c>
      <c r="C10376" t="s">
        <v>614</v>
      </c>
      <c r="D10376">
        <v>3124.73</v>
      </c>
      <c r="E10376" s="37" t="str">
        <f t="shared" si="810"/>
        <v xml:space="preserve"> </v>
      </c>
      <c r="F10376">
        <v>0.42</v>
      </c>
      <c r="G10376" s="37" t="str">
        <f t="shared" si="811"/>
        <v>Heavy Discount</v>
      </c>
      <c r="H10376" s="37" t="str">
        <f t="shared" si="812"/>
        <v>High</v>
      </c>
      <c r="I10376">
        <v>3</v>
      </c>
      <c r="J10376" t="str" cm="1">
        <f t="array" ref="J10376">_xlfn.IFS(I10376&lt;=3,"small",I10376&lt;=6,"Medium",I10376&lt;=9,"Large")</f>
        <v>small</v>
      </c>
      <c r="K10376" s="36">
        <v>45176</v>
      </c>
      <c r="L10376" s="36">
        <v>45181</v>
      </c>
      <c r="M10376" t="s">
        <v>598</v>
      </c>
      <c r="N10376" t="s">
        <v>599</v>
      </c>
      <c r="O10376" s="37" t="str">
        <f t="shared" si="813"/>
        <v>Digital Payment</v>
      </c>
      <c r="P10376">
        <v>886.83</v>
      </c>
      <c r="Q10376" s="37" t="str">
        <f>IF(P10376&gt;500,"High","low")</f>
        <v>High</v>
      </c>
      <c r="R10376" s="37" t="str">
        <f t="shared" si="814"/>
        <v>Good</v>
      </c>
      <c r="S10376" t="s">
        <v>600</v>
      </c>
    </row>
    <row r="10377" spans="1:19" x14ac:dyDescent="0.2">
      <c r="A10377" t="s">
        <v>10988</v>
      </c>
      <c r="B10377" t="s">
        <v>90</v>
      </c>
      <c r="C10377" t="s">
        <v>614</v>
      </c>
      <c r="D10377">
        <v>425.66</v>
      </c>
      <c r="E10377" s="37" t="str">
        <f t="shared" si="810"/>
        <v xml:space="preserve"> </v>
      </c>
      <c r="F10377">
        <v>0.04</v>
      </c>
      <c r="G10377" s="37" t="str">
        <f t="shared" si="811"/>
        <v>Normal Discount</v>
      </c>
      <c r="H10377" s="37" t="str">
        <f t="shared" si="812"/>
        <v>Low</v>
      </c>
      <c r="I10377">
        <v>2</v>
      </c>
      <c r="J10377" t="str" cm="1">
        <f t="array" ref="J10377">_xlfn.IFS(I10377&lt;=3,"small",I10377&lt;=6,"Medium",I10377&lt;=9,"Large")</f>
        <v>small</v>
      </c>
      <c r="K10377" s="36">
        <v>45545</v>
      </c>
      <c r="L10377" s="36">
        <v>45550</v>
      </c>
      <c r="M10377" t="s">
        <v>598</v>
      </c>
      <c r="N10377" t="s">
        <v>599</v>
      </c>
      <c r="O10377" s="37" t="str">
        <f t="shared" si="813"/>
        <v>Digital Payment</v>
      </c>
      <c r="P10377">
        <v>30.77</v>
      </c>
      <c r="Q10377" s="37" t="str">
        <f>IF(P10377&gt;500,"High","low")</f>
        <v>low</v>
      </c>
      <c r="R10377" s="37" t="str">
        <f t="shared" si="814"/>
        <v>AVERAGE</v>
      </c>
      <c r="S10377" t="s">
        <v>615</v>
      </c>
    </row>
    <row r="10378" spans="1:19" x14ac:dyDescent="0.2">
      <c r="A10378" t="s">
        <v>10989</v>
      </c>
      <c r="B10378" t="s">
        <v>83</v>
      </c>
      <c r="C10378" t="s">
        <v>602</v>
      </c>
      <c r="D10378">
        <v>208.99</v>
      </c>
      <c r="E10378" s="37" t="str">
        <f t="shared" si="810"/>
        <v xml:space="preserve"> </v>
      </c>
      <c r="F10378">
        <v>0.47</v>
      </c>
      <c r="G10378" s="37" t="str">
        <f t="shared" si="811"/>
        <v>Heavy Discount</v>
      </c>
      <c r="H10378" s="37" t="str">
        <f t="shared" si="812"/>
        <v>High</v>
      </c>
      <c r="I10378">
        <v>4</v>
      </c>
      <c r="J10378" t="str" cm="1">
        <f t="array" ref="J10378">_xlfn.IFS(I10378&lt;=3,"small",I10378&lt;=6,"Medium",I10378&lt;=9,"Large")</f>
        <v>Medium</v>
      </c>
      <c r="K10378" s="36">
        <v>45344</v>
      </c>
      <c r="L10378" s="36">
        <v>45347</v>
      </c>
      <c r="M10378" t="s">
        <v>612</v>
      </c>
      <c r="N10378" t="s">
        <v>604</v>
      </c>
      <c r="O10378" s="37" t="str">
        <f t="shared" si="813"/>
        <v>Digital Payment</v>
      </c>
      <c r="P10378">
        <v>40.42</v>
      </c>
      <c r="Q10378" s="37" t="str">
        <f>IF(P10378&gt;500,"High","low")</f>
        <v>low</v>
      </c>
      <c r="R10378" s="37" t="str">
        <f t="shared" si="814"/>
        <v>AVERAGE</v>
      </c>
      <c r="S10378" t="s">
        <v>609</v>
      </c>
    </row>
    <row r="10379" spans="1:19" x14ac:dyDescent="0.2">
      <c r="A10379" t="s">
        <v>10990</v>
      </c>
      <c r="B10379" t="s">
        <v>83</v>
      </c>
      <c r="C10379" t="s">
        <v>597</v>
      </c>
      <c r="D10379">
        <v>2240.6799999999998</v>
      </c>
      <c r="E10379" s="37" t="str">
        <f t="shared" si="810"/>
        <v xml:space="preserve"> </v>
      </c>
      <c r="F10379">
        <v>0.46</v>
      </c>
      <c r="G10379" s="37" t="str">
        <f t="shared" si="811"/>
        <v>Heavy Discount</v>
      </c>
      <c r="H10379" s="37" t="str">
        <f t="shared" si="812"/>
        <v>High</v>
      </c>
      <c r="I10379">
        <v>2</v>
      </c>
      <c r="J10379" t="str" cm="1">
        <f t="array" ref="J10379">_xlfn.IFS(I10379&lt;=3,"small",I10379&lt;=6,"Medium",I10379&lt;=9,"Large")</f>
        <v>small</v>
      </c>
      <c r="K10379" s="36">
        <v>45263</v>
      </c>
      <c r="L10379" s="36">
        <v>45265</v>
      </c>
      <c r="M10379" t="s">
        <v>612</v>
      </c>
      <c r="N10379" t="s">
        <v>599</v>
      </c>
      <c r="O10379" s="37" t="str">
        <f t="shared" si="813"/>
        <v>Digital Payment</v>
      </c>
      <c r="P10379">
        <v>358.33</v>
      </c>
      <c r="Q10379" s="37" t="str">
        <f>IF(P10379&gt;500,"High","low")</f>
        <v>low</v>
      </c>
      <c r="R10379" s="37" t="str">
        <f t="shared" si="814"/>
        <v>AVERAGE</v>
      </c>
      <c r="S10379" t="s">
        <v>628</v>
      </c>
    </row>
    <row r="10380" spans="1:19" x14ac:dyDescent="0.2">
      <c r="A10380" t="s">
        <v>10991</v>
      </c>
      <c r="B10380" t="s">
        <v>67</v>
      </c>
      <c r="C10380" t="s">
        <v>602</v>
      </c>
      <c r="D10380">
        <v>3988.51</v>
      </c>
      <c r="E10380" s="37" t="str">
        <f t="shared" si="810"/>
        <v xml:space="preserve"> </v>
      </c>
      <c r="F10380">
        <v>0.02</v>
      </c>
      <c r="G10380" s="37" t="str">
        <f t="shared" si="811"/>
        <v>Normal Discount</v>
      </c>
      <c r="H10380" s="37" t="str">
        <f t="shared" si="812"/>
        <v>Low</v>
      </c>
      <c r="I10380">
        <v>3</v>
      </c>
      <c r="J10380" t="str" cm="1">
        <f t="array" ref="J10380">_xlfn.IFS(I10380&lt;=3,"small",I10380&lt;=6,"Medium",I10380&lt;=9,"Large")</f>
        <v>small</v>
      </c>
      <c r="K10380" s="36">
        <v>45389</v>
      </c>
      <c r="L10380" s="36">
        <v>45393</v>
      </c>
      <c r="M10380" t="s">
        <v>603</v>
      </c>
      <c r="N10380" t="s">
        <v>604</v>
      </c>
      <c r="O10380" s="37" t="str">
        <f t="shared" si="813"/>
        <v>Digital Payment</v>
      </c>
      <c r="P10380">
        <v>396.06</v>
      </c>
      <c r="Q10380" s="37" t="str">
        <f>IF(P10380&gt;500,"High","low")</f>
        <v>low</v>
      </c>
      <c r="R10380" s="37" t="str">
        <f t="shared" si="814"/>
        <v>AVERAGE</v>
      </c>
      <c r="S10380" t="s">
        <v>600</v>
      </c>
    </row>
    <row r="10381" spans="1:19" x14ac:dyDescent="0.2">
      <c r="A10381" t="s">
        <v>10992</v>
      </c>
      <c r="B10381" t="s">
        <v>75</v>
      </c>
      <c r="C10381" t="s">
        <v>607</v>
      </c>
      <c r="D10381">
        <v>250.42</v>
      </c>
      <c r="E10381" s="37" t="str">
        <f t="shared" si="810"/>
        <v xml:space="preserve"> </v>
      </c>
      <c r="F10381">
        <v>0.1</v>
      </c>
      <c r="G10381" s="37" t="str">
        <f t="shared" si="811"/>
        <v>Normal Discount</v>
      </c>
      <c r="H10381" s="37" t="str">
        <f t="shared" si="812"/>
        <v>Low</v>
      </c>
      <c r="I10381">
        <v>9</v>
      </c>
      <c r="J10381" t="str" cm="1">
        <f t="array" ref="J10381">_xlfn.IFS(I10381&lt;=3,"small",I10381&lt;=6,"Medium",I10381&lt;=9,"Large")</f>
        <v>Large</v>
      </c>
      <c r="K10381" s="36">
        <v>45523</v>
      </c>
      <c r="L10381" s="36">
        <v>45528</v>
      </c>
      <c r="M10381" t="s">
        <v>603</v>
      </c>
      <c r="N10381" t="s">
        <v>599</v>
      </c>
      <c r="O10381" s="37" t="str">
        <f t="shared" si="813"/>
        <v>Digital Payment</v>
      </c>
      <c r="P10381">
        <v>56.98</v>
      </c>
      <c r="Q10381" s="37" t="str">
        <f>IF(P10381&gt;500,"High","low")</f>
        <v>low</v>
      </c>
      <c r="R10381" s="37" t="str">
        <f t="shared" si="814"/>
        <v>AVERAGE</v>
      </c>
      <c r="S10381" t="s">
        <v>605</v>
      </c>
    </row>
    <row r="10382" spans="1:19" x14ac:dyDescent="0.2">
      <c r="A10382" t="s">
        <v>10993</v>
      </c>
      <c r="B10382" t="s">
        <v>75</v>
      </c>
      <c r="C10382" t="s">
        <v>597</v>
      </c>
      <c r="D10382">
        <v>4260.34</v>
      </c>
      <c r="E10382" s="37" t="str">
        <f t="shared" si="810"/>
        <v xml:space="preserve"> </v>
      </c>
      <c r="F10382">
        <v>0.35</v>
      </c>
      <c r="G10382" s="37" t="str">
        <f t="shared" si="811"/>
        <v>Heavy Discount</v>
      </c>
      <c r="H10382" s="37" t="str">
        <f t="shared" si="812"/>
        <v>Medium</v>
      </c>
      <c r="I10382">
        <v>7</v>
      </c>
      <c r="J10382" t="str" cm="1">
        <f t="array" ref="J10382">_xlfn.IFS(I10382&lt;=3,"small",I10382&lt;=6,"Medium",I10382&lt;=9,"Large")</f>
        <v>Large</v>
      </c>
      <c r="K10382" s="36">
        <v>45048</v>
      </c>
      <c r="L10382" s="36">
        <v>45054</v>
      </c>
      <c r="M10382" t="s">
        <v>612</v>
      </c>
      <c r="N10382" t="s">
        <v>608</v>
      </c>
      <c r="O10382" s="37" t="str">
        <f t="shared" si="813"/>
        <v>Cash Payment</v>
      </c>
      <c r="P10382">
        <v>525.91999999999996</v>
      </c>
      <c r="Q10382" s="37" t="str">
        <f>IF(P10382&gt;500,"High","low")</f>
        <v>High</v>
      </c>
      <c r="R10382" s="37" t="str">
        <f t="shared" si="814"/>
        <v>Good</v>
      </c>
      <c r="S10382" t="s">
        <v>605</v>
      </c>
    </row>
    <row r="10383" spans="1:19" x14ac:dyDescent="0.2">
      <c r="A10383" t="s">
        <v>10994</v>
      </c>
      <c r="B10383" t="s">
        <v>90</v>
      </c>
      <c r="C10383" t="s">
        <v>607</v>
      </c>
      <c r="D10383">
        <v>1981.01</v>
      </c>
      <c r="E10383" s="37" t="str">
        <f t="shared" si="810"/>
        <v xml:space="preserve"> </v>
      </c>
      <c r="F10383">
        <v>0.47</v>
      </c>
      <c r="G10383" s="37" t="str">
        <f t="shared" si="811"/>
        <v>Heavy Discount</v>
      </c>
      <c r="H10383" s="37" t="str">
        <f t="shared" si="812"/>
        <v>High</v>
      </c>
      <c r="I10383">
        <v>1</v>
      </c>
      <c r="J10383" t="str" cm="1">
        <f t="array" ref="J10383">_xlfn.IFS(I10383&lt;=3,"small",I10383&lt;=6,"Medium",I10383&lt;=9,"Large")</f>
        <v>small</v>
      </c>
      <c r="K10383" s="36">
        <v>45183</v>
      </c>
      <c r="L10383" s="36">
        <v>45185</v>
      </c>
      <c r="M10383" t="s">
        <v>598</v>
      </c>
      <c r="N10383" t="s">
        <v>604</v>
      </c>
      <c r="O10383" s="37" t="str">
        <f t="shared" si="813"/>
        <v>Digital Payment</v>
      </c>
      <c r="P10383">
        <v>468.56</v>
      </c>
      <c r="Q10383" s="37" t="str">
        <f>IF(P10383&gt;500,"High","low")</f>
        <v>low</v>
      </c>
      <c r="R10383" s="37" t="str">
        <f t="shared" si="814"/>
        <v>AVERAGE</v>
      </c>
      <c r="S10383" t="s">
        <v>605</v>
      </c>
    </row>
    <row r="10384" spans="1:19" x14ac:dyDescent="0.2">
      <c r="A10384" t="s">
        <v>10995</v>
      </c>
      <c r="B10384" t="s">
        <v>67</v>
      </c>
      <c r="C10384" t="s">
        <v>597</v>
      </c>
      <c r="D10384">
        <v>679.35</v>
      </c>
      <c r="E10384" s="37" t="str">
        <f t="shared" si="810"/>
        <v xml:space="preserve"> </v>
      </c>
      <c r="F10384">
        <v>0.41</v>
      </c>
      <c r="G10384" s="37" t="str">
        <f t="shared" si="811"/>
        <v>Heavy Discount</v>
      </c>
      <c r="H10384" s="37" t="str">
        <f t="shared" si="812"/>
        <v>High</v>
      </c>
      <c r="I10384">
        <v>5</v>
      </c>
      <c r="J10384" t="str" cm="1">
        <f t="array" ref="J10384">_xlfn.IFS(I10384&lt;=3,"small",I10384&lt;=6,"Medium",I10384&lt;=9,"Large")</f>
        <v>Medium</v>
      </c>
      <c r="K10384" s="36">
        <v>45291</v>
      </c>
      <c r="L10384" s="36">
        <v>45293</v>
      </c>
      <c r="M10384" t="s">
        <v>603</v>
      </c>
      <c r="N10384" t="s">
        <v>604</v>
      </c>
      <c r="O10384" s="37" t="str">
        <f t="shared" si="813"/>
        <v>Digital Payment</v>
      </c>
      <c r="P10384">
        <v>100.88</v>
      </c>
      <c r="Q10384" s="37" t="str">
        <f>IF(P10384&gt;500,"High","low")</f>
        <v>low</v>
      </c>
      <c r="R10384" s="37" t="str">
        <f t="shared" si="814"/>
        <v>AVERAGE</v>
      </c>
      <c r="S10384" t="s">
        <v>609</v>
      </c>
    </row>
    <row r="10385" spans="1:19" x14ac:dyDescent="0.2">
      <c r="A10385" t="s">
        <v>10996</v>
      </c>
      <c r="B10385" t="s">
        <v>75</v>
      </c>
      <c r="C10385" t="s">
        <v>607</v>
      </c>
      <c r="D10385">
        <v>2880.74</v>
      </c>
      <c r="E10385" s="37" t="str">
        <f t="shared" si="810"/>
        <v xml:space="preserve"> </v>
      </c>
      <c r="F10385">
        <v>0.14000000000000001</v>
      </c>
      <c r="G10385" s="37" t="str">
        <f t="shared" si="811"/>
        <v>Normal Discount</v>
      </c>
      <c r="H10385" s="37" t="str">
        <f t="shared" si="812"/>
        <v>Low</v>
      </c>
      <c r="I10385">
        <v>5</v>
      </c>
      <c r="J10385" t="str" cm="1">
        <f t="array" ref="J10385">_xlfn.IFS(I10385&lt;=3,"small",I10385&lt;=6,"Medium",I10385&lt;=9,"Large")</f>
        <v>Medium</v>
      </c>
      <c r="K10385" s="36">
        <v>45092</v>
      </c>
      <c r="L10385" s="36">
        <v>45094</v>
      </c>
      <c r="M10385" t="s">
        <v>612</v>
      </c>
      <c r="N10385" t="s">
        <v>599</v>
      </c>
      <c r="O10385" s="37" t="str">
        <f t="shared" si="813"/>
        <v>Digital Payment</v>
      </c>
      <c r="P10385">
        <v>174.66</v>
      </c>
      <c r="Q10385" s="37" t="str">
        <f>IF(P10385&gt;500,"High","low")</f>
        <v>low</v>
      </c>
      <c r="R10385" s="37" t="str">
        <f t="shared" si="814"/>
        <v>AVERAGE</v>
      </c>
      <c r="S10385" t="s">
        <v>605</v>
      </c>
    </row>
    <row r="10386" spans="1:19" x14ac:dyDescent="0.2">
      <c r="A10386" t="s">
        <v>10997</v>
      </c>
      <c r="B10386" t="s">
        <v>67</v>
      </c>
      <c r="C10386" t="s">
        <v>602</v>
      </c>
      <c r="D10386">
        <v>4766.57</v>
      </c>
      <c r="E10386" s="37" t="str">
        <f t="shared" si="810"/>
        <v xml:space="preserve"> </v>
      </c>
      <c r="F10386">
        <v>0.02</v>
      </c>
      <c r="G10386" s="37" t="str">
        <f t="shared" si="811"/>
        <v>Normal Discount</v>
      </c>
      <c r="H10386" s="37" t="str">
        <f t="shared" si="812"/>
        <v>Low</v>
      </c>
      <c r="I10386">
        <v>9</v>
      </c>
      <c r="J10386" t="str" cm="1">
        <f t="array" ref="J10386">_xlfn.IFS(I10386&lt;=3,"small",I10386&lt;=6,"Medium",I10386&lt;=9,"Large")</f>
        <v>Large</v>
      </c>
      <c r="K10386" s="36">
        <v>45632</v>
      </c>
      <c r="L10386" s="36">
        <v>45635</v>
      </c>
      <c r="M10386" t="s">
        <v>598</v>
      </c>
      <c r="N10386" t="s">
        <v>599</v>
      </c>
      <c r="O10386" s="37" t="str">
        <f t="shared" si="813"/>
        <v>Digital Payment</v>
      </c>
      <c r="P10386">
        <v>751.89</v>
      </c>
      <c r="Q10386" s="37" t="str">
        <f>IF(P10386&gt;500,"High","low")</f>
        <v>High</v>
      </c>
      <c r="R10386" s="37" t="str">
        <f t="shared" si="814"/>
        <v>Good</v>
      </c>
      <c r="S10386" t="s">
        <v>605</v>
      </c>
    </row>
    <row r="10387" spans="1:19" x14ac:dyDescent="0.2">
      <c r="A10387" t="s">
        <v>10998</v>
      </c>
      <c r="B10387" t="s">
        <v>75</v>
      </c>
      <c r="C10387" t="s">
        <v>602</v>
      </c>
      <c r="D10387">
        <v>2758.31</v>
      </c>
      <c r="E10387" s="37" t="str">
        <f t="shared" si="810"/>
        <v xml:space="preserve"> </v>
      </c>
      <c r="F10387">
        <v>0.24</v>
      </c>
      <c r="G10387" s="37" t="str">
        <f t="shared" si="811"/>
        <v>Normal Discount</v>
      </c>
      <c r="H10387" s="37" t="str">
        <f t="shared" si="812"/>
        <v>Medium</v>
      </c>
      <c r="I10387">
        <v>1</v>
      </c>
      <c r="J10387" t="str" cm="1">
        <f t="array" ref="J10387">_xlfn.IFS(I10387&lt;=3,"small",I10387&lt;=6,"Medium",I10387&lt;=9,"Large")</f>
        <v>small</v>
      </c>
      <c r="K10387" s="36">
        <v>44968</v>
      </c>
      <c r="L10387" s="36">
        <v>44972</v>
      </c>
      <c r="M10387" t="s">
        <v>612</v>
      </c>
      <c r="N10387" t="s">
        <v>599</v>
      </c>
      <c r="O10387" s="37" t="str">
        <f t="shared" si="813"/>
        <v>Digital Payment</v>
      </c>
      <c r="P10387">
        <v>587.79</v>
      </c>
      <c r="Q10387" s="37" t="str">
        <f>IF(P10387&gt;500,"High","low")</f>
        <v>High</v>
      </c>
      <c r="R10387" s="37" t="str">
        <f t="shared" si="814"/>
        <v>Good</v>
      </c>
      <c r="S10387" t="s">
        <v>615</v>
      </c>
    </row>
    <row r="10388" spans="1:19" x14ac:dyDescent="0.2">
      <c r="A10388" t="s">
        <v>10999</v>
      </c>
      <c r="B10388" t="s">
        <v>67</v>
      </c>
      <c r="C10388" t="s">
        <v>597</v>
      </c>
      <c r="D10388">
        <v>3464.51</v>
      </c>
      <c r="E10388" s="37" t="str">
        <f t="shared" si="810"/>
        <v xml:space="preserve"> </v>
      </c>
      <c r="F10388">
        <v>0.05</v>
      </c>
      <c r="G10388" s="37" t="str">
        <f t="shared" si="811"/>
        <v>Normal Discount</v>
      </c>
      <c r="H10388" s="37" t="str">
        <f t="shared" si="812"/>
        <v>Low</v>
      </c>
      <c r="I10388">
        <v>1</v>
      </c>
      <c r="J10388" t="str" cm="1">
        <f t="array" ref="J10388">_xlfn.IFS(I10388&lt;=3,"small",I10388&lt;=6,"Medium",I10388&lt;=9,"Large")</f>
        <v>small</v>
      </c>
      <c r="K10388" s="36">
        <v>45495</v>
      </c>
      <c r="L10388" s="36">
        <v>45501</v>
      </c>
      <c r="M10388" t="s">
        <v>612</v>
      </c>
      <c r="N10388" t="s">
        <v>608</v>
      </c>
      <c r="O10388" s="37" t="str">
        <f t="shared" si="813"/>
        <v>Cash Payment</v>
      </c>
      <c r="P10388">
        <v>278.92</v>
      </c>
      <c r="Q10388" s="37" t="str">
        <f>IF(P10388&gt;500,"High","low")</f>
        <v>low</v>
      </c>
      <c r="R10388" s="37" t="str">
        <f t="shared" si="814"/>
        <v>AVERAGE</v>
      </c>
      <c r="S10388" t="s">
        <v>615</v>
      </c>
    </row>
    <row r="10389" spans="1:19" x14ac:dyDescent="0.2">
      <c r="A10389" t="s">
        <v>11000</v>
      </c>
      <c r="B10389" t="s">
        <v>90</v>
      </c>
      <c r="C10389" t="s">
        <v>607</v>
      </c>
      <c r="D10389">
        <v>4100.46</v>
      </c>
      <c r="E10389" s="37" t="str">
        <f t="shared" si="810"/>
        <v>Excellent Order</v>
      </c>
      <c r="F10389">
        <v>0.12</v>
      </c>
      <c r="G10389" s="37" t="str">
        <f t="shared" si="811"/>
        <v>Normal Discount</v>
      </c>
      <c r="H10389" s="37" t="str">
        <f t="shared" si="812"/>
        <v>Low</v>
      </c>
      <c r="I10389">
        <v>7</v>
      </c>
      <c r="J10389" t="str" cm="1">
        <f t="array" ref="J10389">_xlfn.IFS(I10389&lt;=3,"small",I10389&lt;=6,"Medium",I10389&lt;=9,"Large")</f>
        <v>Large</v>
      </c>
      <c r="K10389" s="36">
        <v>45162</v>
      </c>
      <c r="L10389" s="36">
        <v>45167</v>
      </c>
      <c r="M10389" t="s">
        <v>603</v>
      </c>
      <c r="N10389" t="s">
        <v>608</v>
      </c>
      <c r="O10389" s="37" t="str">
        <f t="shared" si="813"/>
        <v>Cash Payment</v>
      </c>
      <c r="P10389">
        <v>1050.21</v>
      </c>
      <c r="Q10389" s="37" t="str">
        <f>IF(P10389&gt;500,"High","low")</f>
        <v>High</v>
      </c>
      <c r="R10389" s="37" t="str">
        <f t="shared" si="814"/>
        <v>Excellent</v>
      </c>
      <c r="S10389" t="s">
        <v>609</v>
      </c>
    </row>
    <row r="10390" spans="1:19" x14ac:dyDescent="0.2">
      <c r="A10390" t="s">
        <v>11001</v>
      </c>
      <c r="B10390" t="s">
        <v>83</v>
      </c>
      <c r="C10390" t="s">
        <v>617</v>
      </c>
      <c r="D10390">
        <v>4016.77</v>
      </c>
      <c r="E10390" s="37" t="str">
        <f t="shared" si="810"/>
        <v>Excellent Order</v>
      </c>
      <c r="F10390">
        <v>0.32</v>
      </c>
      <c r="G10390" s="37" t="str">
        <f t="shared" si="811"/>
        <v>Heavy Discount</v>
      </c>
      <c r="H10390" s="37" t="str">
        <f t="shared" si="812"/>
        <v>Medium</v>
      </c>
      <c r="I10390">
        <v>7</v>
      </c>
      <c r="J10390" t="str" cm="1">
        <f t="array" ref="J10390">_xlfn.IFS(I10390&lt;=3,"small",I10390&lt;=6,"Medium",I10390&lt;=9,"Large")</f>
        <v>Large</v>
      </c>
      <c r="K10390" s="36">
        <v>45446</v>
      </c>
      <c r="L10390" s="36">
        <v>45447</v>
      </c>
      <c r="M10390" t="s">
        <v>612</v>
      </c>
      <c r="N10390" t="s">
        <v>604</v>
      </c>
      <c r="O10390" s="37" t="str">
        <f t="shared" si="813"/>
        <v>Digital Payment</v>
      </c>
      <c r="P10390">
        <v>806.1</v>
      </c>
      <c r="Q10390" s="37" t="str">
        <f>IF(P10390&gt;500,"High","low")</f>
        <v>High</v>
      </c>
      <c r="R10390" s="37" t="str">
        <f t="shared" si="814"/>
        <v>Good</v>
      </c>
      <c r="S10390" t="s">
        <v>620</v>
      </c>
    </row>
    <row r="10391" spans="1:19" x14ac:dyDescent="0.2">
      <c r="A10391" t="s">
        <v>11002</v>
      </c>
      <c r="B10391" t="s">
        <v>90</v>
      </c>
      <c r="C10391" t="s">
        <v>597</v>
      </c>
      <c r="D10391">
        <v>458.28</v>
      </c>
      <c r="E10391" s="37" t="str">
        <f t="shared" si="810"/>
        <v xml:space="preserve"> </v>
      </c>
      <c r="F10391">
        <v>0.25</v>
      </c>
      <c r="G10391" s="37" t="str">
        <f t="shared" si="811"/>
        <v>Normal Discount</v>
      </c>
      <c r="H10391" s="37" t="str">
        <f t="shared" si="812"/>
        <v>Medium</v>
      </c>
      <c r="I10391">
        <v>8</v>
      </c>
      <c r="J10391" t="str" cm="1">
        <f t="array" ref="J10391">_xlfn.IFS(I10391&lt;=3,"small",I10391&lt;=6,"Medium",I10391&lt;=9,"Large")</f>
        <v>Large</v>
      </c>
      <c r="K10391" s="36">
        <v>45141</v>
      </c>
      <c r="L10391" s="36">
        <v>45148</v>
      </c>
      <c r="M10391" t="s">
        <v>612</v>
      </c>
      <c r="N10391" t="s">
        <v>604</v>
      </c>
      <c r="O10391" s="37" t="str">
        <f t="shared" si="813"/>
        <v>Digital Payment</v>
      </c>
      <c r="P10391">
        <v>126.57</v>
      </c>
      <c r="Q10391" s="37" t="str">
        <f>IF(P10391&gt;500,"High","low")</f>
        <v>low</v>
      </c>
      <c r="R10391" s="37" t="str">
        <f t="shared" si="814"/>
        <v>AVERAGE</v>
      </c>
      <c r="S10391" t="s">
        <v>605</v>
      </c>
    </row>
    <row r="10392" spans="1:19" x14ac:dyDescent="0.2">
      <c r="A10392" t="s">
        <v>11003</v>
      </c>
      <c r="B10392" t="s">
        <v>75</v>
      </c>
      <c r="C10392" t="s">
        <v>597</v>
      </c>
      <c r="D10392">
        <v>3730.88</v>
      </c>
      <c r="E10392" s="37" t="str">
        <f t="shared" si="810"/>
        <v xml:space="preserve"> </v>
      </c>
      <c r="F10392">
        <v>0.19</v>
      </c>
      <c r="G10392" s="37" t="str">
        <f t="shared" si="811"/>
        <v>Normal Discount</v>
      </c>
      <c r="H10392" s="37" t="str">
        <f t="shared" si="812"/>
        <v>Low</v>
      </c>
      <c r="I10392">
        <v>4</v>
      </c>
      <c r="J10392" t="str" cm="1">
        <f t="array" ref="J10392">_xlfn.IFS(I10392&lt;=3,"small",I10392&lt;=6,"Medium",I10392&lt;=9,"Large")</f>
        <v>Medium</v>
      </c>
      <c r="K10392" s="36">
        <v>44985</v>
      </c>
      <c r="L10392" s="36">
        <v>44988</v>
      </c>
      <c r="M10392" t="s">
        <v>603</v>
      </c>
      <c r="N10392" t="s">
        <v>604</v>
      </c>
      <c r="O10392" s="37" t="str">
        <f t="shared" si="813"/>
        <v>Digital Payment</v>
      </c>
      <c r="P10392">
        <v>1043.77</v>
      </c>
      <c r="Q10392" s="37" t="str">
        <f>IF(P10392&gt;500,"High","low")</f>
        <v>High</v>
      </c>
      <c r="R10392" s="37" t="str">
        <f t="shared" si="814"/>
        <v>Excellent</v>
      </c>
      <c r="S10392" t="s">
        <v>609</v>
      </c>
    </row>
    <row r="10393" spans="1:19" x14ac:dyDescent="0.2">
      <c r="A10393" t="s">
        <v>11004</v>
      </c>
      <c r="B10393" t="s">
        <v>90</v>
      </c>
      <c r="C10393" t="s">
        <v>614</v>
      </c>
      <c r="D10393">
        <v>4752.3</v>
      </c>
      <c r="E10393" s="37" t="str">
        <f t="shared" si="810"/>
        <v>Excellent Order</v>
      </c>
      <c r="F10393">
        <v>0.46</v>
      </c>
      <c r="G10393" s="37" t="str">
        <f t="shared" si="811"/>
        <v>Heavy Discount</v>
      </c>
      <c r="H10393" s="37" t="str">
        <f t="shared" si="812"/>
        <v>High</v>
      </c>
      <c r="I10393">
        <v>7</v>
      </c>
      <c r="J10393" t="str" cm="1">
        <f t="array" ref="J10393">_xlfn.IFS(I10393&lt;=3,"small",I10393&lt;=6,"Medium",I10393&lt;=9,"Large")</f>
        <v>Large</v>
      </c>
      <c r="K10393" s="36">
        <v>45321</v>
      </c>
      <c r="L10393" s="36">
        <v>45327</v>
      </c>
      <c r="M10393" t="s">
        <v>612</v>
      </c>
      <c r="N10393" t="s">
        <v>608</v>
      </c>
      <c r="O10393" s="37" t="str">
        <f t="shared" si="813"/>
        <v>Cash Payment</v>
      </c>
      <c r="P10393">
        <v>1384.86</v>
      </c>
      <c r="Q10393" s="37" t="str">
        <f>IF(P10393&gt;500,"High","low")</f>
        <v>High</v>
      </c>
      <c r="R10393" s="37" t="str">
        <f t="shared" si="814"/>
        <v>Excellent</v>
      </c>
      <c r="S10393" t="s">
        <v>609</v>
      </c>
    </row>
    <row r="10394" spans="1:19" x14ac:dyDescent="0.2">
      <c r="A10394" t="s">
        <v>11005</v>
      </c>
      <c r="B10394" t="s">
        <v>83</v>
      </c>
      <c r="C10394" t="s">
        <v>597</v>
      </c>
      <c r="D10394">
        <v>3533.2</v>
      </c>
      <c r="E10394" s="37" t="str">
        <f t="shared" si="810"/>
        <v xml:space="preserve"> </v>
      </c>
      <c r="F10394">
        <v>0.1</v>
      </c>
      <c r="G10394" s="37" t="str">
        <f t="shared" si="811"/>
        <v>Normal Discount</v>
      </c>
      <c r="H10394" s="37" t="str">
        <f t="shared" si="812"/>
        <v>Low</v>
      </c>
      <c r="I10394">
        <v>6</v>
      </c>
      <c r="J10394" t="str" cm="1">
        <f t="array" ref="J10394">_xlfn.IFS(I10394&lt;=3,"small",I10394&lt;=6,"Medium",I10394&lt;=9,"Large")</f>
        <v>Medium</v>
      </c>
      <c r="K10394" s="36">
        <v>45269</v>
      </c>
      <c r="L10394" s="36">
        <v>45276</v>
      </c>
      <c r="M10394" t="s">
        <v>603</v>
      </c>
      <c r="N10394" t="s">
        <v>604</v>
      </c>
      <c r="O10394" s="37" t="str">
        <f t="shared" si="813"/>
        <v>Digital Payment</v>
      </c>
      <c r="P10394">
        <v>557.41</v>
      </c>
      <c r="Q10394" s="37" t="str">
        <f>IF(P10394&gt;500,"High","low")</f>
        <v>High</v>
      </c>
      <c r="R10394" s="37" t="str">
        <f t="shared" si="814"/>
        <v>Good</v>
      </c>
      <c r="S10394" t="s">
        <v>605</v>
      </c>
    </row>
    <row r="10395" spans="1:19" x14ac:dyDescent="0.2">
      <c r="A10395" t="s">
        <v>11006</v>
      </c>
      <c r="B10395" t="s">
        <v>90</v>
      </c>
      <c r="C10395" t="s">
        <v>617</v>
      </c>
      <c r="D10395">
        <v>4198.57</v>
      </c>
      <c r="E10395" s="37" t="str">
        <f t="shared" si="810"/>
        <v xml:space="preserve"> </v>
      </c>
      <c r="F10395">
        <v>0.24</v>
      </c>
      <c r="G10395" s="37" t="str">
        <f t="shared" si="811"/>
        <v>Normal Discount</v>
      </c>
      <c r="H10395" s="37" t="str">
        <f t="shared" si="812"/>
        <v>Medium</v>
      </c>
      <c r="I10395">
        <v>1</v>
      </c>
      <c r="J10395" t="str" cm="1">
        <f t="array" ref="J10395">_xlfn.IFS(I10395&lt;=3,"small",I10395&lt;=6,"Medium",I10395&lt;=9,"Large")</f>
        <v>small</v>
      </c>
      <c r="K10395" s="36">
        <v>45170</v>
      </c>
      <c r="L10395" s="36">
        <v>45173</v>
      </c>
      <c r="M10395" t="s">
        <v>612</v>
      </c>
      <c r="N10395" t="s">
        <v>604</v>
      </c>
      <c r="O10395" s="37" t="str">
        <f t="shared" si="813"/>
        <v>Digital Payment</v>
      </c>
      <c r="P10395">
        <v>560.88</v>
      </c>
      <c r="Q10395" s="37" t="str">
        <f>IF(P10395&gt;500,"High","low")</f>
        <v>High</v>
      </c>
      <c r="R10395" s="37" t="str">
        <f t="shared" si="814"/>
        <v>Good</v>
      </c>
      <c r="S10395" t="s">
        <v>628</v>
      </c>
    </row>
    <row r="10396" spans="1:19" x14ac:dyDescent="0.2">
      <c r="A10396" t="s">
        <v>11007</v>
      </c>
      <c r="B10396" t="s">
        <v>75</v>
      </c>
      <c r="C10396" t="s">
        <v>602</v>
      </c>
      <c r="D10396">
        <v>2479.19</v>
      </c>
      <c r="E10396" s="37" t="str">
        <f t="shared" si="810"/>
        <v xml:space="preserve"> </v>
      </c>
      <c r="F10396">
        <v>0.28999999999999998</v>
      </c>
      <c r="G10396" s="37" t="str">
        <f t="shared" si="811"/>
        <v>Normal Discount</v>
      </c>
      <c r="H10396" s="37" t="str">
        <f t="shared" si="812"/>
        <v>Medium</v>
      </c>
      <c r="I10396">
        <v>2</v>
      </c>
      <c r="J10396" t="str" cm="1">
        <f t="array" ref="J10396">_xlfn.IFS(I10396&lt;=3,"small",I10396&lt;=6,"Medium",I10396&lt;=9,"Large")</f>
        <v>small</v>
      </c>
      <c r="K10396" s="36">
        <v>45474</v>
      </c>
      <c r="L10396" s="36">
        <v>45475</v>
      </c>
      <c r="M10396" t="s">
        <v>612</v>
      </c>
      <c r="N10396" t="s">
        <v>604</v>
      </c>
      <c r="O10396" s="37" t="str">
        <f t="shared" si="813"/>
        <v>Digital Payment</v>
      </c>
      <c r="P10396">
        <v>650.23</v>
      </c>
      <c r="Q10396" s="37" t="str">
        <f>IF(P10396&gt;500,"High","low")</f>
        <v>High</v>
      </c>
      <c r="R10396" s="37" t="str">
        <f t="shared" si="814"/>
        <v>Good</v>
      </c>
      <c r="S10396" t="s">
        <v>628</v>
      </c>
    </row>
    <row r="10397" spans="1:19" x14ac:dyDescent="0.2">
      <c r="A10397" t="s">
        <v>11008</v>
      </c>
      <c r="B10397" t="s">
        <v>75</v>
      </c>
      <c r="C10397" t="s">
        <v>607</v>
      </c>
      <c r="D10397">
        <v>1663.44</v>
      </c>
      <c r="E10397" s="37" t="str">
        <f t="shared" si="810"/>
        <v xml:space="preserve"> </v>
      </c>
      <c r="F10397">
        <v>0.16</v>
      </c>
      <c r="G10397" s="37" t="str">
        <f t="shared" si="811"/>
        <v>Normal Discount</v>
      </c>
      <c r="H10397" s="37" t="str">
        <f t="shared" si="812"/>
        <v>Low</v>
      </c>
      <c r="I10397">
        <v>8</v>
      </c>
      <c r="J10397" t="str" cm="1">
        <f t="array" ref="J10397">_xlfn.IFS(I10397&lt;=3,"small",I10397&lt;=6,"Medium",I10397&lt;=9,"Large")</f>
        <v>Large</v>
      </c>
      <c r="K10397" s="36">
        <v>45210</v>
      </c>
      <c r="L10397" s="36">
        <v>45213</v>
      </c>
      <c r="M10397" t="s">
        <v>598</v>
      </c>
      <c r="N10397" t="s">
        <v>599</v>
      </c>
      <c r="O10397" s="37" t="str">
        <f t="shared" si="813"/>
        <v>Digital Payment</v>
      </c>
      <c r="P10397">
        <v>359.9</v>
      </c>
      <c r="Q10397" s="37" t="str">
        <f>IF(P10397&gt;500,"High","low")</f>
        <v>low</v>
      </c>
      <c r="R10397" s="37" t="str">
        <f t="shared" si="814"/>
        <v>AVERAGE</v>
      </c>
      <c r="S10397" t="s">
        <v>620</v>
      </c>
    </row>
    <row r="10398" spans="1:19" x14ac:dyDescent="0.2">
      <c r="A10398" t="s">
        <v>11009</v>
      </c>
      <c r="B10398" t="s">
        <v>90</v>
      </c>
      <c r="C10398" t="s">
        <v>614</v>
      </c>
      <c r="D10398">
        <v>3413.57</v>
      </c>
      <c r="E10398" s="37" t="str">
        <f t="shared" si="810"/>
        <v xml:space="preserve"> </v>
      </c>
      <c r="F10398">
        <v>0.35</v>
      </c>
      <c r="G10398" s="37" t="str">
        <f t="shared" si="811"/>
        <v>Heavy Discount</v>
      </c>
      <c r="H10398" s="37" t="str">
        <f t="shared" si="812"/>
        <v>Medium</v>
      </c>
      <c r="I10398">
        <v>6</v>
      </c>
      <c r="J10398" t="str" cm="1">
        <f t="array" ref="J10398">_xlfn.IFS(I10398&lt;=3,"small",I10398&lt;=6,"Medium",I10398&lt;=9,"Large")</f>
        <v>Medium</v>
      </c>
      <c r="K10398" s="36">
        <v>45007</v>
      </c>
      <c r="L10398" s="36">
        <v>45012</v>
      </c>
      <c r="M10398" t="s">
        <v>603</v>
      </c>
      <c r="N10398" t="s">
        <v>608</v>
      </c>
      <c r="O10398" s="37" t="str">
        <f t="shared" si="813"/>
        <v>Cash Payment</v>
      </c>
      <c r="P10398">
        <v>478.63</v>
      </c>
      <c r="Q10398" s="37" t="str">
        <f>IF(P10398&gt;500,"High","low")</f>
        <v>low</v>
      </c>
      <c r="R10398" s="37" t="str">
        <f t="shared" si="814"/>
        <v>AVERAGE</v>
      </c>
      <c r="S10398" t="s">
        <v>628</v>
      </c>
    </row>
    <row r="10399" spans="1:19" x14ac:dyDescent="0.2">
      <c r="A10399" t="s">
        <v>11010</v>
      </c>
      <c r="B10399" t="s">
        <v>83</v>
      </c>
      <c r="C10399" t="s">
        <v>607</v>
      </c>
      <c r="D10399">
        <v>2511.7800000000002</v>
      </c>
      <c r="E10399" s="37" t="str">
        <f t="shared" si="810"/>
        <v xml:space="preserve"> </v>
      </c>
      <c r="F10399">
        <v>0.43</v>
      </c>
      <c r="G10399" s="37" t="str">
        <f t="shared" si="811"/>
        <v>Heavy Discount</v>
      </c>
      <c r="H10399" s="37" t="str">
        <f t="shared" si="812"/>
        <v>High</v>
      </c>
      <c r="I10399">
        <v>7</v>
      </c>
      <c r="J10399" t="str" cm="1">
        <f t="array" ref="J10399">_xlfn.IFS(I10399&lt;=3,"small",I10399&lt;=6,"Medium",I10399&lt;=9,"Large")</f>
        <v>Large</v>
      </c>
      <c r="K10399" s="36">
        <v>45510</v>
      </c>
      <c r="L10399" s="36">
        <v>45514</v>
      </c>
      <c r="M10399" t="s">
        <v>598</v>
      </c>
      <c r="N10399" t="s">
        <v>604</v>
      </c>
      <c r="O10399" s="37" t="str">
        <f t="shared" si="813"/>
        <v>Digital Payment</v>
      </c>
      <c r="P10399">
        <v>687.57</v>
      </c>
      <c r="Q10399" s="37" t="str">
        <f>IF(P10399&gt;500,"High","low")</f>
        <v>High</v>
      </c>
      <c r="R10399" s="37" t="str">
        <f t="shared" si="814"/>
        <v>Good</v>
      </c>
      <c r="S10399" t="s">
        <v>609</v>
      </c>
    </row>
    <row r="10400" spans="1:19" x14ac:dyDescent="0.2">
      <c r="A10400" t="s">
        <v>11011</v>
      </c>
      <c r="B10400" t="s">
        <v>90</v>
      </c>
      <c r="C10400" t="s">
        <v>602</v>
      </c>
      <c r="D10400">
        <v>4486.92</v>
      </c>
      <c r="E10400" s="37" t="str">
        <f t="shared" si="810"/>
        <v xml:space="preserve"> </v>
      </c>
      <c r="F10400">
        <v>0.27</v>
      </c>
      <c r="G10400" s="37" t="str">
        <f t="shared" si="811"/>
        <v>Normal Discount</v>
      </c>
      <c r="H10400" s="37" t="str">
        <f t="shared" si="812"/>
        <v>Medium</v>
      </c>
      <c r="I10400">
        <v>8</v>
      </c>
      <c r="J10400" t="str" cm="1">
        <f t="array" ref="J10400">_xlfn.IFS(I10400&lt;=3,"small",I10400&lt;=6,"Medium",I10400&lt;=9,"Large")</f>
        <v>Large</v>
      </c>
      <c r="K10400" s="36">
        <v>45439</v>
      </c>
      <c r="L10400" s="36">
        <v>45443</v>
      </c>
      <c r="M10400" t="s">
        <v>598</v>
      </c>
      <c r="N10400" t="s">
        <v>604</v>
      </c>
      <c r="O10400" s="37" t="str">
        <f t="shared" si="813"/>
        <v>Digital Payment</v>
      </c>
      <c r="P10400">
        <v>512.86</v>
      </c>
      <c r="Q10400" s="37" t="str">
        <f>IF(P10400&gt;500,"High","low")</f>
        <v>High</v>
      </c>
      <c r="R10400" s="37" t="str">
        <f t="shared" si="814"/>
        <v>Good</v>
      </c>
      <c r="S10400" t="s">
        <v>620</v>
      </c>
    </row>
    <row r="10401" spans="1:19" x14ac:dyDescent="0.2">
      <c r="A10401" t="s">
        <v>11012</v>
      </c>
      <c r="B10401" t="s">
        <v>83</v>
      </c>
      <c r="C10401" t="s">
        <v>597</v>
      </c>
      <c r="D10401">
        <v>4874.47</v>
      </c>
      <c r="E10401" s="37" t="str">
        <f t="shared" si="810"/>
        <v>Excellent Order</v>
      </c>
      <c r="F10401">
        <v>0.39</v>
      </c>
      <c r="G10401" s="37" t="str">
        <f t="shared" si="811"/>
        <v>Heavy Discount</v>
      </c>
      <c r="H10401" s="37" t="str">
        <f t="shared" si="812"/>
        <v>Medium</v>
      </c>
      <c r="I10401">
        <v>5</v>
      </c>
      <c r="J10401" t="str" cm="1">
        <f t="array" ref="J10401">_xlfn.IFS(I10401&lt;=3,"small",I10401&lt;=6,"Medium",I10401&lt;=9,"Large")</f>
        <v>Medium</v>
      </c>
      <c r="K10401" s="36">
        <v>45275</v>
      </c>
      <c r="L10401" s="36">
        <v>45280</v>
      </c>
      <c r="M10401" t="s">
        <v>598</v>
      </c>
      <c r="N10401" t="s">
        <v>608</v>
      </c>
      <c r="O10401" s="37" t="str">
        <f t="shared" si="813"/>
        <v>Cash Payment</v>
      </c>
      <c r="P10401">
        <v>1352.65</v>
      </c>
      <c r="Q10401" s="37" t="str">
        <f>IF(P10401&gt;500,"High","low")</f>
        <v>High</v>
      </c>
      <c r="R10401" s="37" t="str">
        <f t="shared" si="814"/>
        <v>Excellent</v>
      </c>
      <c r="S10401" t="s">
        <v>628</v>
      </c>
    </row>
    <row r="10402" spans="1:19" x14ac:dyDescent="0.2">
      <c r="A10402" t="s">
        <v>11013</v>
      </c>
      <c r="B10402" t="s">
        <v>67</v>
      </c>
      <c r="C10402" t="s">
        <v>617</v>
      </c>
      <c r="D10402">
        <v>4117.03</v>
      </c>
      <c r="E10402" s="37" t="str">
        <f t="shared" si="810"/>
        <v>Excellent Order</v>
      </c>
      <c r="F10402">
        <v>0.03</v>
      </c>
      <c r="G10402" s="37" t="str">
        <f t="shared" si="811"/>
        <v>Normal Discount</v>
      </c>
      <c r="H10402" s="37" t="str">
        <f t="shared" si="812"/>
        <v>Low</v>
      </c>
      <c r="I10402">
        <v>5</v>
      </c>
      <c r="J10402" t="str" cm="1">
        <f t="array" ref="J10402">_xlfn.IFS(I10402&lt;=3,"small",I10402&lt;=6,"Medium",I10402&lt;=9,"Large")</f>
        <v>Medium</v>
      </c>
      <c r="K10402" s="36">
        <v>45362</v>
      </c>
      <c r="L10402" s="36">
        <v>45367</v>
      </c>
      <c r="M10402" t="s">
        <v>598</v>
      </c>
      <c r="N10402" t="s">
        <v>599</v>
      </c>
      <c r="O10402" s="37" t="str">
        <f t="shared" si="813"/>
        <v>Digital Payment</v>
      </c>
      <c r="P10402">
        <v>1031.18</v>
      </c>
      <c r="Q10402" s="37" t="str">
        <f>IF(P10402&gt;500,"High","low")</f>
        <v>High</v>
      </c>
      <c r="R10402" s="37" t="str">
        <f t="shared" si="814"/>
        <v>Excellent</v>
      </c>
      <c r="S10402" t="s">
        <v>628</v>
      </c>
    </row>
    <row r="10403" spans="1:19" x14ac:dyDescent="0.2">
      <c r="A10403" t="s">
        <v>11014</v>
      </c>
      <c r="B10403" t="s">
        <v>83</v>
      </c>
      <c r="C10403" t="s">
        <v>614</v>
      </c>
      <c r="D10403">
        <v>4964.13</v>
      </c>
      <c r="E10403" s="37" t="str">
        <f t="shared" si="810"/>
        <v xml:space="preserve"> </v>
      </c>
      <c r="F10403">
        <v>0.08</v>
      </c>
      <c r="G10403" s="37" t="str">
        <f t="shared" si="811"/>
        <v>Normal Discount</v>
      </c>
      <c r="H10403" s="37" t="str">
        <f t="shared" si="812"/>
        <v>Low</v>
      </c>
      <c r="I10403">
        <v>2</v>
      </c>
      <c r="J10403" t="str" cm="1">
        <f t="array" ref="J10403">_xlfn.IFS(I10403&lt;=3,"small",I10403&lt;=6,"Medium",I10403&lt;=9,"Large")</f>
        <v>small</v>
      </c>
      <c r="K10403" s="36">
        <v>45195</v>
      </c>
      <c r="L10403" s="36">
        <v>45199</v>
      </c>
      <c r="M10403" t="s">
        <v>603</v>
      </c>
      <c r="N10403" t="s">
        <v>604</v>
      </c>
      <c r="O10403" s="37" t="str">
        <f t="shared" si="813"/>
        <v>Digital Payment</v>
      </c>
      <c r="P10403">
        <v>759.76</v>
      </c>
      <c r="Q10403" s="37" t="str">
        <f>IF(P10403&gt;500,"High","low")</f>
        <v>High</v>
      </c>
      <c r="R10403" s="37" t="str">
        <f t="shared" si="814"/>
        <v>Good</v>
      </c>
      <c r="S10403" t="s">
        <v>609</v>
      </c>
    </row>
    <row r="10404" spans="1:19" x14ac:dyDescent="0.2">
      <c r="A10404" t="s">
        <v>11015</v>
      </c>
      <c r="B10404" t="s">
        <v>67</v>
      </c>
      <c r="C10404" t="s">
        <v>617</v>
      </c>
      <c r="D10404">
        <v>1807.02</v>
      </c>
      <c r="E10404" s="37" t="str">
        <f t="shared" si="810"/>
        <v xml:space="preserve"> </v>
      </c>
      <c r="F10404">
        <v>0.23</v>
      </c>
      <c r="G10404" s="37" t="str">
        <f t="shared" si="811"/>
        <v>Normal Discount</v>
      </c>
      <c r="H10404" s="37" t="str">
        <f t="shared" si="812"/>
        <v>Medium</v>
      </c>
      <c r="I10404">
        <v>4</v>
      </c>
      <c r="J10404" t="str" cm="1">
        <f t="array" ref="J10404">_xlfn.IFS(I10404&lt;=3,"small",I10404&lt;=6,"Medium",I10404&lt;=9,"Large")</f>
        <v>Medium</v>
      </c>
      <c r="K10404" s="36">
        <v>45205</v>
      </c>
      <c r="L10404" s="36">
        <v>45211</v>
      </c>
      <c r="M10404" t="s">
        <v>612</v>
      </c>
      <c r="N10404" t="s">
        <v>599</v>
      </c>
      <c r="O10404" s="37" t="str">
        <f t="shared" si="813"/>
        <v>Digital Payment</v>
      </c>
      <c r="P10404">
        <v>251.98</v>
      </c>
      <c r="Q10404" s="37" t="str">
        <f>IF(P10404&gt;500,"High","low")</f>
        <v>low</v>
      </c>
      <c r="R10404" s="37" t="str">
        <f t="shared" si="814"/>
        <v>AVERAGE</v>
      </c>
      <c r="S10404" t="s">
        <v>620</v>
      </c>
    </row>
    <row r="10405" spans="1:19" x14ac:dyDescent="0.2">
      <c r="A10405" t="s">
        <v>11016</v>
      </c>
      <c r="B10405" t="s">
        <v>90</v>
      </c>
      <c r="C10405" t="s">
        <v>617</v>
      </c>
      <c r="D10405">
        <v>4489.2</v>
      </c>
      <c r="E10405" s="37" t="str">
        <f t="shared" si="810"/>
        <v>Excellent Order</v>
      </c>
      <c r="F10405">
        <v>0.46</v>
      </c>
      <c r="G10405" s="37" t="str">
        <f t="shared" si="811"/>
        <v>Heavy Discount</v>
      </c>
      <c r="H10405" s="37" t="str">
        <f t="shared" si="812"/>
        <v>High</v>
      </c>
      <c r="I10405">
        <v>2</v>
      </c>
      <c r="J10405" t="str" cm="1">
        <f t="array" ref="J10405">_xlfn.IFS(I10405&lt;=3,"small",I10405&lt;=6,"Medium",I10405&lt;=9,"Large")</f>
        <v>small</v>
      </c>
      <c r="K10405" s="36">
        <v>45653</v>
      </c>
      <c r="L10405" s="36">
        <v>45658</v>
      </c>
      <c r="M10405" t="s">
        <v>598</v>
      </c>
      <c r="N10405" t="s">
        <v>604</v>
      </c>
      <c r="O10405" s="37" t="str">
        <f t="shared" si="813"/>
        <v>Digital Payment</v>
      </c>
      <c r="P10405">
        <v>1215.1500000000001</v>
      </c>
      <c r="Q10405" s="37" t="str">
        <f>IF(P10405&gt;500,"High","low")</f>
        <v>High</v>
      </c>
      <c r="R10405" s="37" t="str">
        <f t="shared" si="814"/>
        <v>Excellent</v>
      </c>
      <c r="S10405" t="s">
        <v>628</v>
      </c>
    </row>
    <row r="10406" spans="1:19" x14ac:dyDescent="0.2">
      <c r="A10406" t="s">
        <v>11017</v>
      </c>
      <c r="B10406" t="s">
        <v>83</v>
      </c>
      <c r="C10406" t="s">
        <v>617</v>
      </c>
      <c r="D10406">
        <v>1716.67</v>
      </c>
      <c r="E10406" s="37" t="str">
        <f t="shared" si="810"/>
        <v xml:space="preserve"> </v>
      </c>
      <c r="F10406">
        <v>0.27</v>
      </c>
      <c r="G10406" s="37" t="str">
        <f t="shared" si="811"/>
        <v>Normal Discount</v>
      </c>
      <c r="H10406" s="37" t="str">
        <f t="shared" si="812"/>
        <v>Medium</v>
      </c>
      <c r="I10406">
        <v>7</v>
      </c>
      <c r="J10406" t="str" cm="1">
        <f t="array" ref="J10406">_xlfn.IFS(I10406&lt;=3,"small",I10406&lt;=6,"Medium",I10406&lt;=9,"Large")</f>
        <v>Large</v>
      </c>
      <c r="K10406" s="36">
        <v>45216</v>
      </c>
      <c r="L10406" s="36">
        <v>45223</v>
      </c>
      <c r="M10406" t="s">
        <v>603</v>
      </c>
      <c r="N10406" t="s">
        <v>604</v>
      </c>
      <c r="O10406" s="37" t="str">
        <f t="shared" si="813"/>
        <v>Digital Payment</v>
      </c>
      <c r="P10406">
        <v>294.06</v>
      </c>
      <c r="Q10406" s="37" t="str">
        <f>IF(P10406&gt;500,"High","low")</f>
        <v>low</v>
      </c>
      <c r="R10406" s="37" t="str">
        <f t="shared" si="814"/>
        <v>AVERAGE</v>
      </c>
      <c r="S10406" t="s">
        <v>600</v>
      </c>
    </row>
    <row r="10407" spans="1:19" x14ac:dyDescent="0.2">
      <c r="A10407" t="s">
        <v>11018</v>
      </c>
      <c r="B10407" t="s">
        <v>67</v>
      </c>
      <c r="C10407" t="s">
        <v>617</v>
      </c>
      <c r="D10407">
        <v>678.39</v>
      </c>
      <c r="E10407" s="37" t="str">
        <f t="shared" si="810"/>
        <v xml:space="preserve"> </v>
      </c>
      <c r="F10407">
        <v>0.22</v>
      </c>
      <c r="G10407" s="37" t="str">
        <f t="shared" si="811"/>
        <v>Normal Discount</v>
      </c>
      <c r="H10407" s="37" t="str">
        <f t="shared" si="812"/>
        <v>Medium</v>
      </c>
      <c r="I10407">
        <v>9</v>
      </c>
      <c r="J10407" t="str" cm="1">
        <f t="array" ref="J10407">_xlfn.IFS(I10407&lt;=3,"small",I10407&lt;=6,"Medium",I10407&lt;=9,"Large")</f>
        <v>Large</v>
      </c>
      <c r="K10407" s="36">
        <v>45592</v>
      </c>
      <c r="L10407" s="36">
        <v>45595</v>
      </c>
      <c r="M10407" t="s">
        <v>612</v>
      </c>
      <c r="N10407" t="s">
        <v>604</v>
      </c>
      <c r="O10407" s="37" t="str">
        <f t="shared" si="813"/>
        <v>Digital Payment</v>
      </c>
      <c r="P10407">
        <v>164.05</v>
      </c>
      <c r="Q10407" s="37" t="str">
        <f>IF(P10407&gt;500,"High","low")</f>
        <v>low</v>
      </c>
      <c r="R10407" s="37" t="str">
        <f t="shared" si="814"/>
        <v>AVERAGE</v>
      </c>
      <c r="S10407" t="s">
        <v>609</v>
      </c>
    </row>
    <row r="10408" spans="1:19" x14ac:dyDescent="0.2">
      <c r="A10408" t="s">
        <v>11019</v>
      </c>
      <c r="B10408" t="s">
        <v>67</v>
      </c>
      <c r="C10408" t="s">
        <v>602</v>
      </c>
      <c r="D10408">
        <v>3144.73</v>
      </c>
      <c r="E10408" s="37" t="str">
        <f t="shared" si="810"/>
        <v xml:space="preserve"> </v>
      </c>
      <c r="F10408">
        <v>0.3</v>
      </c>
      <c r="G10408" s="37" t="str">
        <f t="shared" si="811"/>
        <v>Normal Discount</v>
      </c>
      <c r="H10408" s="37" t="str">
        <f t="shared" si="812"/>
        <v>Medium</v>
      </c>
      <c r="I10408">
        <v>2</v>
      </c>
      <c r="J10408" t="str" cm="1">
        <f t="array" ref="J10408">_xlfn.IFS(I10408&lt;=3,"small",I10408&lt;=6,"Medium",I10408&lt;=9,"Large")</f>
        <v>small</v>
      </c>
      <c r="K10408" s="36">
        <v>45519</v>
      </c>
      <c r="L10408" s="36">
        <v>45523</v>
      </c>
      <c r="M10408" t="s">
        <v>612</v>
      </c>
      <c r="N10408" t="s">
        <v>599</v>
      </c>
      <c r="O10408" s="37" t="str">
        <f t="shared" si="813"/>
        <v>Digital Payment</v>
      </c>
      <c r="P10408">
        <v>664.33</v>
      </c>
      <c r="Q10408" s="37" t="str">
        <f>IF(P10408&gt;500,"High","low")</f>
        <v>High</v>
      </c>
      <c r="R10408" s="37" t="str">
        <f t="shared" si="814"/>
        <v>Good</v>
      </c>
      <c r="S10408" t="s">
        <v>600</v>
      </c>
    </row>
    <row r="10409" spans="1:19" x14ac:dyDescent="0.2">
      <c r="A10409" t="s">
        <v>11020</v>
      </c>
      <c r="B10409" t="s">
        <v>67</v>
      </c>
      <c r="C10409" t="s">
        <v>617</v>
      </c>
      <c r="D10409">
        <v>2329.44</v>
      </c>
      <c r="E10409" s="37" t="str">
        <f t="shared" si="810"/>
        <v xml:space="preserve"> </v>
      </c>
      <c r="F10409">
        <v>0.06</v>
      </c>
      <c r="G10409" s="37" t="str">
        <f t="shared" si="811"/>
        <v>Normal Discount</v>
      </c>
      <c r="H10409" s="37" t="str">
        <f t="shared" si="812"/>
        <v>Low</v>
      </c>
      <c r="I10409">
        <v>4</v>
      </c>
      <c r="J10409" t="str" cm="1">
        <f t="array" ref="J10409">_xlfn.IFS(I10409&lt;=3,"small",I10409&lt;=6,"Medium",I10409&lt;=9,"Large")</f>
        <v>Medium</v>
      </c>
      <c r="K10409" s="36">
        <v>45591</v>
      </c>
      <c r="L10409" s="36">
        <v>45592</v>
      </c>
      <c r="M10409" t="s">
        <v>598</v>
      </c>
      <c r="N10409" t="s">
        <v>608</v>
      </c>
      <c r="O10409" s="37" t="str">
        <f t="shared" si="813"/>
        <v>Cash Payment</v>
      </c>
      <c r="P10409">
        <v>219.66</v>
      </c>
      <c r="Q10409" s="37" t="str">
        <f>IF(P10409&gt;500,"High","low")</f>
        <v>low</v>
      </c>
      <c r="R10409" s="37" t="str">
        <f t="shared" si="814"/>
        <v>AVERAGE</v>
      </c>
      <c r="S10409" t="s">
        <v>615</v>
      </c>
    </row>
    <row r="10410" spans="1:19" x14ac:dyDescent="0.2">
      <c r="A10410" t="s">
        <v>11021</v>
      </c>
      <c r="B10410" t="s">
        <v>75</v>
      </c>
      <c r="C10410" t="s">
        <v>617</v>
      </c>
      <c r="D10410">
        <v>4616.33</v>
      </c>
      <c r="E10410" s="37" t="str">
        <f t="shared" si="810"/>
        <v>Excellent Order</v>
      </c>
      <c r="F10410">
        <v>0.33</v>
      </c>
      <c r="G10410" s="37" t="str">
        <f t="shared" si="811"/>
        <v>Heavy Discount</v>
      </c>
      <c r="H10410" s="37" t="str">
        <f t="shared" si="812"/>
        <v>Medium</v>
      </c>
      <c r="I10410">
        <v>8</v>
      </c>
      <c r="J10410" t="str" cm="1">
        <f t="array" ref="J10410">_xlfn.IFS(I10410&lt;=3,"small",I10410&lt;=6,"Medium",I10410&lt;=9,"Large")</f>
        <v>Large</v>
      </c>
      <c r="K10410" s="36">
        <v>45397</v>
      </c>
      <c r="L10410" s="36">
        <v>45398</v>
      </c>
      <c r="M10410" t="s">
        <v>603</v>
      </c>
      <c r="N10410" t="s">
        <v>608</v>
      </c>
      <c r="O10410" s="37" t="str">
        <f t="shared" si="813"/>
        <v>Cash Payment</v>
      </c>
      <c r="P10410">
        <v>1271.54</v>
      </c>
      <c r="Q10410" s="37" t="str">
        <f>IF(P10410&gt;500,"High","low")</f>
        <v>High</v>
      </c>
      <c r="R10410" s="37" t="str">
        <f t="shared" si="814"/>
        <v>Excellent</v>
      </c>
      <c r="S10410" t="s">
        <v>628</v>
      </c>
    </row>
    <row r="10411" spans="1:19" x14ac:dyDescent="0.2">
      <c r="A10411" t="s">
        <v>11022</v>
      </c>
      <c r="B10411" t="s">
        <v>90</v>
      </c>
      <c r="C10411" t="s">
        <v>602</v>
      </c>
      <c r="D10411">
        <v>2511.75</v>
      </c>
      <c r="E10411" s="37" t="str">
        <f t="shared" si="810"/>
        <v xml:space="preserve"> </v>
      </c>
      <c r="F10411">
        <v>0.05</v>
      </c>
      <c r="G10411" s="37" t="str">
        <f t="shared" si="811"/>
        <v>Normal Discount</v>
      </c>
      <c r="H10411" s="37" t="str">
        <f t="shared" si="812"/>
        <v>Low</v>
      </c>
      <c r="I10411">
        <v>9</v>
      </c>
      <c r="J10411" t="str" cm="1">
        <f t="array" ref="J10411">_xlfn.IFS(I10411&lt;=3,"small",I10411&lt;=6,"Medium",I10411&lt;=9,"Large")</f>
        <v>Large</v>
      </c>
      <c r="K10411" s="36">
        <v>45365</v>
      </c>
      <c r="L10411" s="36">
        <v>45370</v>
      </c>
      <c r="M10411" t="s">
        <v>598</v>
      </c>
      <c r="N10411" t="s">
        <v>599</v>
      </c>
      <c r="O10411" s="37" t="str">
        <f t="shared" si="813"/>
        <v>Digital Payment</v>
      </c>
      <c r="P10411">
        <v>514.27</v>
      </c>
      <c r="Q10411" s="37" t="str">
        <f>IF(P10411&gt;500,"High","low")</f>
        <v>High</v>
      </c>
      <c r="R10411" s="37" t="str">
        <f t="shared" si="814"/>
        <v>Good</v>
      </c>
      <c r="S10411" t="s">
        <v>600</v>
      </c>
    </row>
    <row r="10412" spans="1:19" x14ac:dyDescent="0.2">
      <c r="A10412" t="s">
        <v>11023</v>
      </c>
      <c r="B10412" t="s">
        <v>67</v>
      </c>
      <c r="C10412" t="s">
        <v>607</v>
      </c>
      <c r="D10412">
        <v>4645.3999999999996</v>
      </c>
      <c r="E10412" s="37" t="str">
        <f t="shared" si="810"/>
        <v xml:space="preserve"> </v>
      </c>
      <c r="F10412">
        <v>0.28999999999999998</v>
      </c>
      <c r="G10412" s="37" t="str">
        <f t="shared" si="811"/>
        <v>Normal Discount</v>
      </c>
      <c r="H10412" s="37" t="str">
        <f t="shared" si="812"/>
        <v>Medium</v>
      </c>
      <c r="I10412">
        <v>4</v>
      </c>
      <c r="J10412" t="str" cm="1">
        <f t="array" ref="J10412">_xlfn.IFS(I10412&lt;=3,"small",I10412&lt;=6,"Medium",I10412&lt;=9,"Large")</f>
        <v>Medium</v>
      </c>
      <c r="K10412" s="36">
        <v>45466</v>
      </c>
      <c r="L10412" s="36">
        <v>45467</v>
      </c>
      <c r="M10412" t="s">
        <v>612</v>
      </c>
      <c r="N10412" t="s">
        <v>604</v>
      </c>
      <c r="O10412" s="37" t="str">
        <f t="shared" si="813"/>
        <v>Digital Payment</v>
      </c>
      <c r="P10412">
        <v>610.87</v>
      </c>
      <c r="Q10412" s="37" t="str">
        <f>IF(P10412&gt;500,"High","low")</f>
        <v>High</v>
      </c>
      <c r="R10412" s="37" t="str">
        <f t="shared" si="814"/>
        <v>Good</v>
      </c>
      <c r="S10412" t="s">
        <v>615</v>
      </c>
    </row>
    <row r="10413" spans="1:19" x14ac:dyDescent="0.2">
      <c r="A10413" t="s">
        <v>11024</v>
      </c>
      <c r="B10413" t="s">
        <v>83</v>
      </c>
      <c r="C10413" t="s">
        <v>602</v>
      </c>
      <c r="D10413">
        <v>485.31</v>
      </c>
      <c r="E10413" s="37" t="str">
        <f t="shared" si="810"/>
        <v xml:space="preserve"> </v>
      </c>
      <c r="F10413">
        <v>0.36</v>
      </c>
      <c r="G10413" s="37" t="str">
        <f t="shared" si="811"/>
        <v>Heavy Discount</v>
      </c>
      <c r="H10413" s="37" t="str">
        <f t="shared" si="812"/>
        <v>Medium</v>
      </c>
      <c r="I10413">
        <v>8</v>
      </c>
      <c r="J10413" t="str" cm="1">
        <f t="array" ref="J10413">_xlfn.IFS(I10413&lt;=3,"small",I10413&lt;=6,"Medium",I10413&lt;=9,"Large")</f>
        <v>Large</v>
      </c>
      <c r="K10413" s="36">
        <v>45201</v>
      </c>
      <c r="L10413" s="36">
        <v>45202</v>
      </c>
      <c r="M10413" t="s">
        <v>612</v>
      </c>
      <c r="N10413" t="s">
        <v>599</v>
      </c>
      <c r="O10413" s="37" t="str">
        <f t="shared" si="813"/>
        <v>Digital Payment</v>
      </c>
      <c r="P10413">
        <v>68.099999999999994</v>
      </c>
      <c r="Q10413" s="37" t="str">
        <f>IF(P10413&gt;500,"High","low")</f>
        <v>low</v>
      </c>
      <c r="R10413" s="37" t="str">
        <f t="shared" si="814"/>
        <v>AVERAGE</v>
      </c>
      <c r="S10413" t="s">
        <v>609</v>
      </c>
    </row>
    <row r="10414" spans="1:19" x14ac:dyDescent="0.2">
      <c r="A10414" t="s">
        <v>11025</v>
      </c>
      <c r="B10414" t="s">
        <v>67</v>
      </c>
      <c r="C10414" t="s">
        <v>597</v>
      </c>
      <c r="D10414">
        <v>4169.51</v>
      </c>
      <c r="E10414" s="37" t="str">
        <f t="shared" si="810"/>
        <v xml:space="preserve"> </v>
      </c>
      <c r="F10414">
        <v>0.21</v>
      </c>
      <c r="G10414" s="37" t="str">
        <f t="shared" si="811"/>
        <v>Normal Discount</v>
      </c>
      <c r="H10414" s="37" t="str">
        <f t="shared" si="812"/>
        <v>Medium</v>
      </c>
      <c r="I10414">
        <v>7</v>
      </c>
      <c r="J10414" t="str" cm="1">
        <f t="array" ref="J10414">_xlfn.IFS(I10414&lt;=3,"small",I10414&lt;=6,"Medium",I10414&lt;=9,"Large")</f>
        <v>Large</v>
      </c>
      <c r="K10414" s="36">
        <v>45067</v>
      </c>
      <c r="L10414" s="36">
        <v>45071</v>
      </c>
      <c r="M10414" t="s">
        <v>603</v>
      </c>
      <c r="N10414" t="s">
        <v>608</v>
      </c>
      <c r="O10414" s="37" t="str">
        <f t="shared" si="813"/>
        <v>Cash Payment</v>
      </c>
      <c r="P10414">
        <v>454.76</v>
      </c>
      <c r="Q10414" s="37" t="str">
        <f>IF(P10414&gt;500,"High","low")</f>
        <v>low</v>
      </c>
      <c r="R10414" s="37" t="str">
        <f t="shared" si="814"/>
        <v>AVERAGE</v>
      </c>
      <c r="S10414" t="s">
        <v>600</v>
      </c>
    </row>
    <row r="10415" spans="1:19" x14ac:dyDescent="0.2">
      <c r="A10415" t="s">
        <v>11026</v>
      </c>
      <c r="B10415" t="s">
        <v>75</v>
      </c>
      <c r="C10415" t="s">
        <v>602</v>
      </c>
      <c r="D10415">
        <v>3819.66</v>
      </c>
      <c r="E10415" s="37" t="str">
        <f t="shared" si="810"/>
        <v xml:space="preserve"> </v>
      </c>
      <c r="F10415">
        <v>0.46</v>
      </c>
      <c r="G10415" s="37" t="str">
        <f t="shared" si="811"/>
        <v>Heavy Discount</v>
      </c>
      <c r="H10415" s="37" t="str">
        <f t="shared" si="812"/>
        <v>High</v>
      </c>
      <c r="I10415">
        <v>5</v>
      </c>
      <c r="J10415" t="str" cm="1">
        <f t="array" ref="J10415">_xlfn.IFS(I10415&lt;=3,"small",I10415&lt;=6,"Medium",I10415&lt;=9,"Large")</f>
        <v>Medium</v>
      </c>
      <c r="K10415" s="36">
        <v>45605</v>
      </c>
      <c r="L10415" s="36">
        <v>45608</v>
      </c>
      <c r="M10415" t="s">
        <v>612</v>
      </c>
      <c r="N10415" t="s">
        <v>608</v>
      </c>
      <c r="O10415" s="37" t="str">
        <f t="shared" si="813"/>
        <v>Cash Payment</v>
      </c>
      <c r="P10415">
        <v>752.66</v>
      </c>
      <c r="Q10415" s="37" t="str">
        <f>IF(P10415&gt;500,"High","low")</f>
        <v>High</v>
      </c>
      <c r="R10415" s="37" t="str">
        <f t="shared" si="814"/>
        <v>Good</v>
      </c>
      <c r="S10415" t="s">
        <v>620</v>
      </c>
    </row>
    <row r="10416" spans="1:19" x14ac:dyDescent="0.2">
      <c r="A10416" t="s">
        <v>11027</v>
      </c>
      <c r="B10416" t="s">
        <v>90</v>
      </c>
      <c r="C10416" t="s">
        <v>607</v>
      </c>
      <c r="D10416">
        <v>3627.89</v>
      </c>
      <c r="E10416" s="37" t="str">
        <f t="shared" si="810"/>
        <v xml:space="preserve"> </v>
      </c>
      <c r="F10416">
        <v>0.08</v>
      </c>
      <c r="G10416" s="37" t="str">
        <f t="shared" si="811"/>
        <v>Normal Discount</v>
      </c>
      <c r="H10416" s="37" t="str">
        <f t="shared" si="812"/>
        <v>Low</v>
      </c>
      <c r="I10416">
        <v>4</v>
      </c>
      <c r="J10416" t="str" cm="1">
        <f t="array" ref="J10416">_xlfn.IFS(I10416&lt;=3,"small",I10416&lt;=6,"Medium",I10416&lt;=9,"Large")</f>
        <v>Medium</v>
      </c>
      <c r="K10416" s="36">
        <v>45233</v>
      </c>
      <c r="L10416" s="36">
        <v>45235</v>
      </c>
      <c r="M10416" t="s">
        <v>612</v>
      </c>
      <c r="N10416" t="s">
        <v>608</v>
      </c>
      <c r="O10416" s="37" t="str">
        <f t="shared" si="813"/>
        <v>Cash Payment</v>
      </c>
      <c r="P10416">
        <v>351.1</v>
      </c>
      <c r="Q10416" s="37" t="str">
        <f>IF(P10416&gt;500,"High","low")</f>
        <v>low</v>
      </c>
      <c r="R10416" s="37" t="str">
        <f t="shared" si="814"/>
        <v>AVERAGE</v>
      </c>
      <c r="S10416" t="s">
        <v>609</v>
      </c>
    </row>
    <row r="10417" spans="1:19" x14ac:dyDescent="0.2">
      <c r="A10417" t="s">
        <v>11028</v>
      </c>
      <c r="B10417" t="s">
        <v>75</v>
      </c>
      <c r="C10417" t="s">
        <v>597</v>
      </c>
      <c r="D10417">
        <v>1840.17</v>
      </c>
      <c r="E10417" s="37" t="str">
        <f t="shared" si="810"/>
        <v xml:space="preserve"> </v>
      </c>
      <c r="F10417">
        <v>0.09</v>
      </c>
      <c r="G10417" s="37" t="str">
        <f t="shared" si="811"/>
        <v>Normal Discount</v>
      </c>
      <c r="H10417" s="37" t="str">
        <f t="shared" si="812"/>
        <v>Low</v>
      </c>
      <c r="I10417">
        <v>6</v>
      </c>
      <c r="J10417" t="str" cm="1">
        <f t="array" ref="J10417">_xlfn.IFS(I10417&lt;=3,"small",I10417&lt;=6,"Medium",I10417&lt;=9,"Large")</f>
        <v>Medium</v>
      </c>
      <c r="K10417" s="36">
        <v>45195</v>
      </c>
      <c r="L10417" s="36">
        <v>45196</v>
      </c>
      <c r="M10417" t="s">
        <v>603</v>
      </c>
      <c r="N10417" t="s">
        <v>604</v>
      </c>
      <c r="O10417" s="37" t="str">
        <f t="shared" si="813"/>
        <v>Digital Payment</v>
      </c>
      <c r="P10417">
        <v>258.05</v>
      </c>
      <c r="Q10417" s="37" t="str">
        <f>IF(P10417&gt;500,"High","low")</f>
        <v>low</v>
      </c>
      <c r="R10417" s="37" t="str">
        <f t="shared" si="814"/>
        <v>AVERAGE</v>
      </c>
      <c r="S10417" t="s">
        <v>609</v>
      </c>
    </row>
    <row r="10418" spans="1:19" x14ac:dyDescent="0.2">
      <c r="A10418" t="s">
        <v>11029</v>
      </c>
      <c r="B10418" t="s">
        <v>75</v>
      </c>
      <c r="C10418" t="s">
        <v>597</v>
      </c>
      <c r="D10418">
        <v>3940.42</v>
      </c>
      <c r="E10418" s="37" t="str">
        <f t="shared" si="810"/>
        <v xml:space="preserve"> </v>
      </c>
      <c r="F10418">
        <v>0.26</v>
      </c>
      <c r="G10418" s="37" t="str">
        <f t="shared" si="811"/>
        <v>Normal Discount</v>
      </c>
      <c r="H10418" s="37" t="str">
        <f t="shared" si="812"/>
        <v>Medium</v>
      </c>
      <c r="I10418">
        <v>6</v>
      </c>
      <c r="J10418" t="str" cm="1">
        <f t="array" ref="J10418">_xlfn.IFS(I10418&lt;=3,"small",I10418&lt;=6,"Medium",I10418&lt;=9,"Large")</f>
        <v>Medium</v>
      </c>
      <c r="K10418" s="36">
        <v>45423</v>
      </c>
      <c r="L10418" s="36">
        <v>45428</v>
      </c>
      <c r="M10418" t="s">
        <v>598</v>
      </c>
      <c r="N10418" t="s">
        <v>608</v>
      </c>
      <c r="O10418" s="37" t="str">
        <f t="shared" si="813"/>
        <v>Cash Payment</v>
      </c>
      <c r="P10418">
        <v>1122.5899999999999</v>
      </c>
      <c r="Q10418" s="37" t="str">
        <f>IF(P10418&gt;500,"High","low")</f>
        <v>High</v>
      </c>
      <c r="R10418" s="37" t="str">
        <f t="shared" si="814"/>
        <v>Excellent</v>
      </c>
      <c r="S10418" t="s">
        <v>605</v>
      </c>
    </row>
    <row r="10419" spans="1:19" x14ac:dyDescent="0.2">
      <c r="A10419" t="s">
        <v>11030</v>
      </c>
      <c r="B10419" t="s">
        <v>75</v>
      </c>
      <c r="C10419" t="s">
        <v>614</v>
      </c>
      <c r="D10419">
        <v>2468.15</v>
      </c>
      <c r="E10419" s="37" t="str">
        <f t="shared" si="810"/>
        <v xml:space="preserve"> </v>
      </c>
      <c r="F10419">
        <v>0.47</v>
      </c>
      <c r="G10419" s="37" t="str">
        <f t="shared" si="811"/>
        <v>Heavy Discount</v>
      </c>
      <c r="H10419" s="37" t="str">
        <f t="shared" si="812"/>
        <v>High</v>
      </c>
      <c r="I10419">
        <v>2</v>
      </c>
      <c r="J10419" t="str" cm="1">
        <f t="array" ref="J10419">_xlfn.IFS(I10419&lt;=3,"small",I10419&lt;=6,"Medium",I10419&lt;=9,"Large")</f>
        <v>small</v>
      </c>
      <c r="K10419" s="36">
        <v>44978</v>
      </c>
      <c r="L10419" s="36">
        <v>44980</v>
      </c>
      <c r="M10419" t="s">
        <v>603</v>
      </c>
      <c r="N10419" t="s">
        <v>599</v>
      </c>
      <c r="O10419" s="37" t="str">
        <f t="shared" si="813"/>
        <v>Digital Payment</v>
      </c>
      <c r="P10419">
        <v>150.54</v>
      </c>
      <c r="Q10419" s="37" t="str">
        <f>IF(P10419&gt;500,"High","low")</f>
        <v>low</v>
      </c>
      <c r="R10419" s="37" t="str">
        <f t="shared" si="814"/>
        <v>AVERAGE</v>
      </c>
      <c r="S10419" t="s">
        <v>620</v>
      </c>
    </row>
    <row r="10420" spans="1:19" x14ac:dyDescent="0.2">
      <c r="A10420" t="s">
        <v>11031</v>
      </c>
      <c r="B10420" t="s">
        <v>83</v>
      </c>
      <c r="C10420" t="s">
        <v>617</v>
      </c>
      <c r="D10420">
        <v>3604.5</v>
      </c>
      <c r="E10420" s="37" t="str">
        <f t="shared" si="810"/>
        <v xml:space="preserve"> </v>
      </c>
      <c r="F10420">
        <v>0.2</v>
      </c>
      <c r="G10420" s="37" t="str">
        <f t="shared" si="811"/>
        <v>Normal Discount</v>
      </c>
      <c r="H10420" s="37" t="str">
        <f t="shared" si="812"/>
        <v>Medium</v>
      </c>
      <c r="I10420">
        <v>3</v>
      </c>
      <c r="J10420" t="str" cm="1">
        <f t="array" ref="J10420">_xlfn.IFS(I10420&lt;=3,"small",I10420&lt;=6,"Medium",I10420&lt;=9,"Large")</f>
        <v>small</v>
      </c>
      <c r="K10420" s="36">
        <v>45431</v>
      </c>
      <c r="L10420" s="36">
        <v>45432</v>
      </c>
      <c r="M10420" t="s">
        <v>603</v>
      </c>
      <c r="N10420" t="s">
        <v>604</v>
      </c>
      <c r="O10420" s="37" t="str">
        <f t="shared" si="813"/>
        <v>Digital Payment</v>
      </c>
      <c r="P10420">
        <v>829.97</v>
      </c>
      <c r="Q10420" s="37" t="str">
        <f>IF(P10420&gt;500,"High","low")</f>
        <v>High</v>
      </c>
      <c r="R10420" s="37" t="str">
        <f t="shared" si="814"/>
        <v>Good</v>
      </c>
      <c r="S10420" t="s">
        <v>605</v>
      </c>
    </row>
    <row r="10421" spans="1:19" x14ac:dyDescent="0.2">
      <c r="A10421" t="s">
        <v>11032</v>
      </c>
      <c r="B10421" t="s">
        <v>90</v>
      </c>
      <c r="C10421" t="s">
        <v>597</v>
      </c>
      <c r="D10421">
        <v>2805.91</v>
      </c>
      <c r="E10421" s="37" t="str">
        <f t="shared" si="810"/>
        <v xml:space="preserve"> </v>
      </c>
      <c r="F10421">
        <v>0.46</v>
      </c>
      <c r="G10421" s="37" t="str">
        <f t="shared" si="811"/>
        <v>Heavy Discount</v>
      </c>
      <c r="H10421" s="37" t="str">
        <f t="shared" si="812"/>
        <v>High</v>
      </c>
      <c r="I10421">
        <v>6</v>
      </c>
      <c r="J10421" t="str" cm="1">
        <f t="array" ref="J10421">_xlfn.IFS(I10421&lt;=3,"small",I10421&lt;=6,"Medium",I10421&lt;=9,"Large")</f>
        <v>Medium</v>
      </c>
      <c r="K10421" s="36">
        <v>45173</v>
      </c>
      <c r="L10421" s="36">
        <v>45180</v>
      </c>
      <c r="M10421" t="s">
        <v>598</v>
      </c>
      <c r="N10421" t="s">
        <v>608</v>
      </c>
      <c r="O10421" s="37" t="str">
        <f t="shared" si="813"/>
        <v>Cash Payment</v>
      </c>
      <c r="P10421">
        <v>234.65</v>
      </c>
      <c r="Q10421" s="37" t="str">
        <f>IF(P10421&gt;500,"High","low")</f>
        <v>low</v>
      </c>
      <c r="R10421" s="37" t="str">
        <f t="shared" si="814"/>
        <v>AVERAGE</v>
      </c>
      <c r="S10421" t="s">
        <v>609</v>
      </c>
    </row>
    <row r="10422" spans="1:19" x14ac:dyDescent="0.2">
      <c r="A10422" t="s">
        <v>11033</v>
      </c>
      <c r="B10422" t="s">
        <v>90</v>
      </c>
      <c r="C10422" t="s">
        <v>597</v>
      </c>
      <c r="D10422">
        <v>871.45</v>
      </c>
      <c r="E10422" s="37" t="str">
        <f t="shared" si="810"/>
        <v xml:space="preserve"> </v>
      </c>
      <c r="F10422">
        <v>0.35</v>
      </c>
      <c r="G10422" s="37" t="str">
        <f t="shared" si="811"/>
        <v>Heavy Discount</v>
      </c>
      <c r="H10422" s="37" t="str">
        <f t="shared" si="812"/>
        <v>Medium</v>
      </c>
      <c r="I10422">
        <v>4</v>
      </c>
      <c r="J10422" t="str" cm="1">
        <f t="array" ref="J10422">_xlfn.IFS(I10422&lt;=3,"small",I10422&lt;=6,"Medium",I10422&lt;=9,"Large")</f>
        <v>Medium</v>
      </c>
      <c r="K10422" s="36">
        <v>44962</v>
      </c>
      <c r="L10422" s="36">
        <v>44965</v>
      </c>
      <c r="M10422" t="s">
        <v>612</v>
      </c>
      <c r="N10422" t="s">
        <v>608</v>
      </c>
      <c r="O10422" s="37" t="str">
        <f t="shared" si="813"/>
        <v>Cash Payment</v>
      </c>
      <c r="P10422">
        <v>122.45</v>
      </c>
      <c r="Q10422" s="37" t="str">
        <f>IF(P10422&gt;500,"High","low")</f>
        <v>low</v>
      </c>
      <c r="R10422" s="37" t="str">
        <f t="shared" si="814"/>
        <v>AVERAGE</v>
      </c>
      <c r="S10422" t="s">
        <v>605</v>
      </c>
    </row>
    <row r="10423" spans="1:19" x14ac:dyDescent="0.2">
      <c r="A10423" t="s">
        <v>11034</v>
      </c>
      <c r="B10423" t="s">
        <v>83</v>
      </c>
      <c r="C10423" t="s">
        <v>607</v>
      </c>
      <c r="D10423">
        <v>416.34</v>
      </c>
      <c r="E10423" s="37" t="str">
        <f t="shared" si="810"/>
        <v xml:space="preserve"> </v>
      </c>
      <c r="F10423">
        <v>0.39</v>
      </c>
      <c r="G10423" s="37" t="str">
        <f t="shared" si="811"/>
        <v>Heavy Discount</v>
      </c>
      <c r="H10423" s="37" t="str">
        <f t="shared" si="812"/>
        <v>Medium</v>
      </c>
      <c r="I10423">
        <v>3</v>
      </c>
      <c r="J10423" t="str" cm="1">
        <f t="array" ref="J10423">_xlfn.IFS(I10423&lt;=3,"small",I10423&lt;=6,"Medium",I10423&lt;=9,"Large")</f>
        <v>small</v>
      </c>
      <c r="K10423" s="36">
        <v>45033</v>
      </c>
      <c r="L10423" s="36">
        <v>45039</v>
      </c>
      <c r="M10423" t="s">
        <v>603</v>
      </c>
      <c r="N10423" t="s">
        <v>604</v>
      </c>
      <c r="O10423" s="37" t="str">
        <f t="shared" si="813"/>
        <v>Digital Payment</v>
      </c>
      <c r="P10423">
        <v>80.52</v>
      </c>
      <c r="Q10423" s="37" t="str">
        <f>IF(P10423&gt;500,"High","low")</f>
        <v>low</v>
      </c>
      <c r="R10423" s="37" t="str">
        <f t="shared" si="814"/>
        <v>AVERAGE</v>
      </c>
      <c r="S10423" t="s">
        <v>615</v>
      </c>
    </row>
    <row r="10424" spans="1:19" x14ac:dyDescent="0.2">
      <c r="A10424" t="s">
        <v>11035</v>
      </c>
      <c r="B10424" t="s">
        <v>90</v>
      </c>
      <c r="C10424" t="s">
        <v>597</v>
      </c>
      <c r="D10424">
        <v>1894.31</v>
      </c>
      <c r="E10424" s="37" t="str">
        <f t="shared" si="810"/>
        <v xml:space="preserve"> </v>
      </c>
      <c r="F10424">
        <v>0.47</v>
      </c>
      <c r="G10424" s="37" t="str">
        <f t="shared" si="811"/>
        <v>Heavy Discount</v>
      </c>
      <c r="H10424" s="37" t="str">
        <f t="shared" si="812"/>
        <v>High</v>
      </c>
      <c r="I10424">
        <v>4</v>
      </c>
      <c r="J10424" t="str" cm="1">
        <f t="array" ref="J10424">_xlfn.IFS(I10424&lt;=3,"small",I10424&lt;=6,"Medium",I10424&lt;=9,"Large")</f>
        <v>Medium</v>
      </c>
      <c r="K10424" s="36">
        <v>45481</v>
      </c>
      <c r="L10424" s="36">
        <v>45482</v>
      </c>
      <c r="M10424" t="s">
        <v>598</v>
      </c>
      <c r="N10424" t="s">
        <v>608</v>
      </c>
      <c r="O10424" s="37" t="str">
        <f t="shared" si="813"/>
        <v>Cash Payment</v>
      </c>
      <c r="P10424">
        <v>560.28</v>
      </c>
      <c r="Q10424" s="37" t="str">
        <f>IF(P10424&gt;500,"High","low")</f>
        <v>High</v>
      </c>
      <c r="R10424" s="37" t="str">
        <f t="shared" si="814"/>
        <v>Good</v>
      </c>
      <c r="S10424" t="s">
        <v>628</v>
      </c>
    </row>
    <row r="10425" spans="1:19" x14ac:dyDescent="0.2">
      <c r="A10425" t="s">
        <v>11036</v>
      </c>
      <c r="B10425" t="s">
        <v>75</v>
      </c>
      <c r="C10425" t="s">
        <v>607</v>
      </c>
      <c r="D10425">
        <v>4670.67</v>
      </c>
      <c r="E10425" s="37" t="str">
        <f t="shared" si="810"/>
        <v xml:space="preserve"> </v>
      </c>
      <c r="F10425">
        <v>0.28999999999999998</v>
      </c>
      <c r="G10425" s="37" t="str">
        <f t="shared" si="811"/>
        <v>Normal Discount</v>
      </c>
      <c r="H10425" s="37" t="str">
        <f t="shared" si="812"/>
        <v>Medium</v>
      </c>
      <c r="I10425">
        <v>6</v>
      </c>
      <c r="J10425" t="str" cm="1">
        <f t="array" ref="J10425">_xlfn.IFS(I10425&lt;=3,"small",I10425&lt;=6,"Medium",I10425&lt;=9,"Large")</f>
        <v>Medium</v>
      </c>
      <c r="K10425" s="36">
        <v>45067</v>
      </c>
      <c r="L10425" s="36">
        <v>45072</v>
      </c>
      <c r="M10425" t="s">
        <v>603</v>
      </c>
      <c r="N10425" t="s">
        <v>604</v>
      </c>
      <c r="O10425" s="37" t="str">
        <f t="shared" si="813"/>
        <v>Digital Payment</v>
      </c>
      <c r="P10425">
        <v>607.48</v>
      </c>
      <c r="Q10425" s="37" t="str">
        <f>IF(P10425&gt;500,"High","low")</f>
        <v>High</v>
      </c>
      <c r="R10425" s="37" t="str">
        <f t="shared" si="814"/>
        <v>Good</v>
      </c>
      <c r="S10425" t="s">
        <v>609</v>
      </c>
    </row>
    <row r="10426" spans="1:19" x14ac:dyDescent="0.2">
      <c r="A10426" t="s">
        <v>11037</v>
      </c>
      <c r="B10426" t="s">
        <v>90</v>
      </c>
      <c r="C10426" t="s">
        <v>617</v>
      </c>
      <c r="D10426">
        <v>2695.7</v>
      </c>
      <c r="E10426" s="37" t="str">
        <f t="shared" si="810"/>
        <v xml:space="preserve"> </v>
      </c>
      <c r="F10426">
        <v>0.32</v>
      </c>
      <c r="G10426" s="37" t="str">
        <f t="shared" si="811"/>
        <v>Heavy Discount</v>
      </c>
      <c r="H10426" s="37" t="str">
        <f t="shared" si="812"/>
        <v>Medium</v>
      </c>
      <c r="I10426">
        <v>3</v>
      </c>
      <c r="J10426" t="str" cm="1">
        <f t="array" ref="J10426">_xlfn.IFS(I10426&lt;=3,"small",I10426&lt;=6,"Medium",I10426&lt;=9,"Large")</f>
        <v>small</v>
      </c>
      <c r="K10426" s="36">
        <v>45018</v>
      </c>
      <c r="L10426" s="36">
        <v>45025</v>
      </c>
      <c r="M10426" t="s">
        <v>603</v>
      </c>
      <c r="N10426" t="s">
        <v>604</v>
      </c>
      <c r="O10426" s="37" t="str">
        <f t="shared" si="813"/>
        <v>Digital Payment</v>
      </c>
      <c r="P10426">
        <v>263.69</v>
      </c>
      <c r="Q10426" s="37" t="str">
        <f>IF(P10426&gt;500,"High","low")</f>
        <v>low</v>
      </c>
      <c r="R10426" s="37" t="str">
        <f t="shared" si="814"/>
        <v>AVERAGE</v>
      </c>
      <c r="S10426" t="s">
        <v>600</v>
      </c>
    </row>
    <row r="10427" spans="1:19" x14ac:dyDescent="0.2">
      <c r="A10427" t="s">
        <v>11038</v>
      </c>
      <c r="B10427" t="s">
        <v>83</v>
      </c>
      <c r="C10427" t="s">
        <v>614</v>
      </c>
      <c r="D10427">
        <v>4030.74</v>
      </c>
      <c r="E10427" s="37" t="str">
        <f t="shared" si="810"/>
        <v>Excellent Order</v>
      </c>
      <c r="F10427">
        <v>0.28999999999999998</v>
      </c>
      <c r="G10427" s="37" t="str">
        <f t="shared" si="811"/>
        <v>Normal Discount</v>
      </c>
      <c r="H10427" s="37" t="str">
        <f t="shared" si="812"/>
        <v>Medium</v>
      </c>
      <c r="I10427">
        <v>1</v>
      </c>
      <c r="J10427" t="str" cm="1">
        <f t="array" ref="J10427">_xlfn.IFS(I10427&lt;=3,"small",I10427&lt;=6,"Medium",I10427&lt;=9,"Large")</f>
        <v>small</v>
      </c>
      <c r="K10427" s="36">
        <v>45117</v>
      </c>
      <c r="L10427" s="36">
        <v>45120</v>
      </c>
      <c r="M10427" t="s">
        <v>598</v>
      </c>
      <c r="N10427" t="s">
        <v>608</v>
      </c>
      <c r="O10427" s="37" t="str">
        <f t="shared" si="813"/>
        <v>Cash Payment</v>
      </c>
      <c r="P10427">
        <v>832.18</v>
      </c>
      <c r="Q10427" s="37" t="str">
        <f>IF(P10427&gt;500,"High","low")</f>
        <v>High</v>
      </c>
      <c r="R10427" s="37" t="str">
        <f t="shared" si="814"/>
        <v>Good</v>
      </c>
      <c r="S10427" t="s">
        <v>609</v>
      </c>
    </row>
    <row r="10428" spans="1:19" x14ac:dyDescent="0.2">
      <c r="A10428" t="s">
        <v>11039</v>
      </c>
      <c r="B10428" t="s">
        <v>75</v>
      </c>
      <c r="C10428" t="s">
        <v>614</v>
      </c>
      <c r="D10428">
        <v>2922.17</v>
      </c>
      <c r="E10428" s="37" t="str">
        <f t="shared" si="810"/>
        <v xml:space="preserve"> </v>
      </c>
      <c r="F10428">
        <v>0.39</v>
      </c>
      <c r="G10428" s="37" t="str">
        <f t="shared" si="811"/>
        <v>Heavy Discount</v>
      </c>
      <c r="H10428" s="37" t="str">
        <f t="shared" si="812"/>
        <v>Medium</v>
      </c>
      <c r="I10428">
        <v>6</v>
      </c>
      <c r="J10428" t="str" cm="1">
        <f t="array" ref="J10428">_xlfn.IFS(I10428&lt;=3,"small",I10428&lt;=6,"Medium",I10428&lt;=9,"Large")</f>
        <v>Medium</v>
      </c>
      <c r="K10428" s="36">
        <v>45109</v>
      </c>
      <c r="L10428" s="36">
        <v>45114</v>
      </c>
      <c r="M10428" t="s">
        <v>598</v>
      </c>
      <c r="N10428" t="s">
        <v>604</v>
      </c>
      <c r="O10428" s="37" t="str">
        <f t="shared" si="813"/>
        <v>Digital Payment</v>
      </c>
      <c r="P10428">
        <v>493.57</v>
      </c>
      <c r="Q10428" s="37" t="str">
        <f>IF(P10428&gt;500,"High","low")</f>
        <v>low</v>
      </c>
      <c r="R10428" s="37" t="str">
        <f t="shared" si="814"/>
        <v>AVERAGE</v>
      </c>
      <c r="S10428" t="s">
        <v>620</v>
      </c>
    </row>
    <row r="10429" spans="1:19" x14ac:dyDescent="0.2">
      <c r="A10429" t="s">
        <v>11040</v>
      </c>
      <c r="B10429" t="s">
        <v>83</v>
      </c>
      <c r="C10429" t="s">
        <v>617</v>
      </c>
      <c r="D10429">
        <v>4793.74</v>
      </c>
      <c r="E10429" s="37" t="str">
        <f t="shared" si="810"/>
        <v xml:space="preserve"> </v>
      </c>
      <c r="F10429">
        <v>0.14000000000000001</v>
      </c>
      <c r="G10429" s="37" t="str">
        <f t="shared" si="811"/>
        <v>Normal Discount</v>
      </c>
      <c r="H10429" s="37" t="str">
        <f t="shared" si="812"/>
        <v>Low</v>
      </c>
      <c r="I10429">
        <v>2</v>
      </c>
      <c r="J10429" t="str" cm="1">
        <f t="array" ref="J10429">_xlfn.IFS(I10429&lt;=3,"small",I10429&lt;=6,"Medium",I10429&lt;=9,"Large")</f>
        <v>small</v>
      </c>
      <c r="K10429" s="36">
        <v>45132</v>
      </c>
      <c r="L10429" s="36">
        <v>45137</v>
      </c>
      <c r="M10429" t="s">
        <v>612</v>
      </c>
      <c r="N10429" t="s">
        <v>604</v>
      </c>
      <c r="O10429" s="37" t="str">
        <f t="shared" si="813"/>
        <v>Digital Payment</v>
      </c>
      <c r="P10429">
        <v>552.1</v>
      </c>
      <c r="Q10429" s="37" t="str">
        <f>IF(P10429&gt;500,"High","low")</f>
        <v>High</v>
      </c>
      <c r="R10429" s="37" t="str">
        <f t="shared" si="814"/>
        <v>Good</v>
      </c>
      <c r="S10429" t="s">
        <v>600</v>
      </c>
    </row>
    <row r="10430" spans="1:19" x14ac:dyDescent="0.2">
      <c r="A10430" t="s">
        <v>11041</v>
      </c>
      <c r="B10430" t="s">
        <v>67</v>
      </c>
      <c r="C10430" t="s">
        <v>617</v>
      </c>
      <c r="D10430">
        <v>1910.33</v>
      </c>
      <c r="E10430" s="37" t="str">
        <f t="shared" si="810"/>
        <v xml:space="preserve"> </v>
      </c>
      <c r="F10430">
        <v>0.39</v>
      </c>
      <c r="G10430" s="37" t="str">
        <f t="shared" si="811"/>
        <v>Heavy Discount</v>
      </c>
      <c r="H10430" s="37" t="str">
        <f t="shared" si="812"/>
        <v>Medium</v>
      </c>
      <c r="I10430">
        <v>9</v>
      </c>
      <c r="J10430" t="str" cm="1">
        <f t="array" ref="J10430">_xlfn.IFS(I10430&lt;=3,"small",I10430&lt;=6,"Medium",I10430&lt;=9,"Large")</f>
        <v>Large</v>
      </c>
      <c r="K10430" s="36">
        <v>45580</v>
      </c>
      <c r="L10430" s="36">
        <v>45585</v>
      </c>
      <c r="M10430" t="s">
        <v>598</v>
      </c>
      <c r="N10430" t="s">
        <v>599</v>
      </c>
      <c r="O10430" s="37" t="str">
        <f t="shared" si="813"/>
        <v>Digital Payment</v>
      </c>
      <c r="P10430">
        <v>445.1</v>
      </c>
      <c r="Q10430" s="37" t="str">
        <f>IF(P10430&gt;500,"High","low")</f>
        <v>low</v>
      </c>
      <c r="R10430" s="37" t="str">
        <f t="shared" si="814"/>
        <v>AVERAGE</v>
      </c>
      <c r="S10430" t="s">
        <v>620</v>
      </c>
    </row>
    <row r="10431" spans="1:19" x14ac:dyDescent="0.2">
      <c r="A10431" t="s">
        <v>11042</v>
      </c>
      <c r="B10431" t="s">
        <v>75</v>
      </c>
      <c r="C10431" t="s">
        <v>602</v>
      </c>
      <c r="D10431">
        <v>379.55</v>
      </c>
      <c r="E10431" s="37" t="str">
        <f t="shared" si="810"/>
        <v xml:space="preserve"> </v>
      </c>
      <c r="F10431">
        <v>0.36</v>
      </c>
      <c r="G10431" s="37" t="str">
        <f t="shared" si="811"/>
        <v>Heavy Discount</v>
      </c>
      <c r="H10431" s="37" t="str">
        <f t="shared" si="812"/>
        <v>Medium</v>
      </c>
      <c r="I10431">
        <v>6</v>
      </c>
      <c r="J10431" t="str" cm="1">
        <f t="array" ref="J10431">_xlfn.IFS(I10431&lt;=3,"small",I10431&lt;=6,"Medium",I10431&lt;=9,"Large")</f>
        <v>Medium</v>
      </c>
      <c r="K10431" s="36">
        <v>45637</v>
      </c>
      <c r="L10431" s="36">
        <v>45642</v>
      </c>
      <c r="M10431" t="s">
        <v>598</v>
      </c>
      <c r="N10431" t="s">
        <v>608</v>
      </c>
      <c r="O10431" s="37" t="str">
        <f t="shared" si="813"/>
        <v>Cash Payment</v>
      </c>
      <c r="P10431">
        <v>92.68</v>
      </c>
      <c r="Q10431" s="37" t="str">
        <f>IF(P10431&gt;500,"High","low")</f>
        <v>low</v>
      </c>
      <c r="R10431" s="37" t="str">
        <f t="shared" si="814"/>
        <v>AVERAGE</v>
      </c>
      <c r="S10431" t="s">
        <v>609</v>
      </c>
    </row>
    <row r="10432" spans="1:19" x14ac:dyDescent="0.2">
      <c r="A10432" t="s">
        <v>11043</v>
      </c>
      <c r="B10432" t="s">
        <v>75</v>
      </c>
      <c r="C10432" t="s">
        <v>597</v>
      </c>
      <c r="D10432">
        <v>3925.28</v>
      </c>
      <c r="E10432" s="37" t="str">
        <f t="shared" si="810"/>
        <v xml:space="preserve"> </v>
      </c>
      <c r="F10432">
        <v>0.3</v>
      </c>
      <c r="G10432" s="37" t="str">
        <f t="shared" si="811"/>
        <v>Normal Discount</v>
      </c>
      <c r="H10432" s="37" t="str">
        <f t="shared" si="812"/>
        <v>Medium</v>
      </c>
      <c r="I10432">
        <v>1</v>
      </c>
      <c r="J10432" t="str" cm="1">
        <f t="array" ref="J10432">_xlfn.IFS(I10432&lt;=3,"small",I10432&lt;=6,"Medium",I10432&lt;=9,"Large")</f>
        <v>small</v>
      </c>
      <c r="K10432" s="36">
        <v>45539</v>
      </c>
      <c r="L10432" s="36">
        <v>45544</v>
      </c>
      <c r="M10432" t="s">
        <v>598</v>
      </c>
      <c r="N10432" t="s">
        <v>608</v>
      </c>
      <c r="O10432" s="37" t="str">
        <f t="shared" si="813"/>
        <v>Cash Payment</v>
      </c>
      <c r="P10432">
        <v>915.38</v>
      </c>
      <c r="Q10432" s="37" t="str">
        <f>IF(P10432&gt;500,"High","low")</f>
        <v>High</v>
      </c>
      <c r="R10432" s="37" t="str">
        <f t="shared" si="814"/>
        <v>Good</v>
      </c>
      <c r="S10432" t="s">
        <v>615</v>
      </c>
    </row>
    <row r="10433" spans="1:19" x14ac:dyDescent="0.2">
      <c r="A10433" t="s">
        <v>11044</v>
      </c>
      <c r="B10433" t="s">
        <v>90</v>
      </c>
      <c r="C10433" t="s">
        <v>597</v>
      </c>
      <c r="D10433">
        <v>3556.74</v>
      </c>
      <c r="E10433" s="37" t="str">
        <f t="shared" si="810"/>
        <v xml:space="preserve"> </v>
      </c>
      <c r="F10433">
        <v>0.02</v>
      </c>
      <c r="G10433" s="37" t="str">
        <f t="shared" si="811"/>
        <v>Normal Discount</v>
      </c>
      <c r="H10433" s="37" t="str">
        <f t="shared" si="812"/>
        <v>Low</v>
      </c>
      <c r="I10433">
        <v>4</v>
      </c>
      <c r="J10433" t="str" cm="1">
        <f t="array" ref="J10433">_xlfn.IFS(I10433&lt;=3,"small",I10433&lt;=6,"Medium",I10433&lt;=9,"Large")</f>
        <v>Medium</v>
      </c>
      <c r="K10433" s="36">
        <v>44967</v>
      </c>
      <c r="L10433" s="36">
        <v>44970</v>
      </c>
      <c r="M10433" t="s">
        <v>612</v>
      </c>
      <c r="N10433" t="s">
        <v>604</v>
      </c>
      <c r="O10433" s="37" t="str">
        <f t="shared" si="813"/>
        <v>Digital Payment</v>
      </c>
      <c r="P10433">
        <v>919.45</v>
      </c>
      <c r="Q10433" s="37" t="str">
        <f>IF(P10433&gt;500,"High","low")</f>
        <v>High</v>
      </c>
      <c r="R10433" s="37" t="str">
        <f t="shared" si="814"/>
        <v>Good</v>
      </c>
      <c r="S10433" t="s">
        <v>600</v>
      </c>
    </row>
    <row r="10434" spans="1:19" x14ac:dyDescent="0.2">
      <c r="A10434" t="s">
        <v>11045</v>
      </c>
      <c r="B10434" t="s">
        <v>75</v>
      </c>
      <c r="C10434" t="s">
        <v>597</v>
      </c>
      <c r="D10434">
        <v>2684.92</v>
      </c>
      <c r="E10434" s="37" t="str">
        <f t="shared" si="810"/>
        <v xml:space="preserve"> </v>
      </c>
      <c r="F10434">
        <v>0.39</v>
      </c>
      <c r="G10434" s="37" t="str">
        <f t="shared" si="811"/>
        <v>Heavy Discount</v>
      </c>
      <c r="H10434" s="37" t="str">
        <f t="shared" si="812"/>
        <v>Medium</v>
      </c>
      <c r="I10434">
        <v>5</v>
      </c>
      <c r="J10434" t="str" cm="1">
        <f t="array" ref="J10434">_xlfn.IFS(I10434&lt;=3,"small",I10434&lt;=6,"Medium",I10434&lt;=9,"Large")</f>
        <v>Medium</v>
      </c>
      <c r="K10434" s="36">
        <v>45353</v>
      </c>
      <c r="L10434" s="36">
        <v>45357</v>
      </c>
      <c r="M10434" t="s">
        <v>612</v>
      </c>
      <c r="N10434" t="s">
        <v>608</v>
      </c>
      <c r="O10434" s="37" t="str">
        <f t="shared" si="813"/>
        <v>Cash Payment</v>
      </c>
      <c r="P10434">
        <v>590.32000000000005</v>
      </c>
      <c r="Q10434" s="37" t="str">
        <f>IF(P10434&gt;500,"High","low")</f>
        <v>High</v>
      </c>
      <c r="R10434" s="37" t="str">
        <f t="shared" si="814"/>
        <v>Good</v>
      </c>
      <c r="S10434" t="s">
        <v>609</v>
      </c>
    </row>
    <row r="10435" spans="1:19" x14ac:dyDescent="0.2">
      <c r="A10435" t="s">
        <v>11046</v>
      </c>
      <c r="B10435" t="s">
        <v>83</v>
      </c>
      <c r="C10435" t="s">
        <v>607</v>
      </c>
      <c r="D10435">
        <v>1699.32</v>
      </c>
      <c r="E10435" s="37" t="str">
        <f t="shared" ref="E10435:E10498" si="815">IF(AND(D10435&gt;4000,P10435&gt;800),"Excellent Order"," ")</f>
        <v xml:space="preserve"> </v>
      </c>
      <c r="F10435">
        <v>7.0000000000000007E-2</v>
      </c>
      <c r="G10435" s="37" t="str">
        <f t="shared" ref="G10435:G10498" si="816">IF(F10435&gt;30%,"Heavy Discount","Normal Discount")</f>
        <v>Normal Discount</v>
      </c>
      <c r="H10435" s="37" t="str">
        <f t="shared" ref="H10435:H10498" si="817">IF(F10435&gt;0.4,"High",IF(F10435&gt;=0.2,"Medium","Low"))</f>
        <v>Low</v>
      </c>
      <c r="I10435">
        <v>8</v>
      </c>
      <c r="J10435" t="str" cm="1">
        <f t="array" ref="J10435">_xlfn.IFS(I10435&lt;=3,"small",I10435&lt;=6,"Medium",I10435&lt;=9,"Large")</f>
        <v>Large</v>
      </c>
      <c r="K10435" s="36">
        <v>45629</v>
      </c>
      <c r="L10435" s="36">
        <v>45636</v>
      </c>
      <c r="M10435" t="s">
        <v>612</v>
      </c>
      <c r="N10435" t="s">
        <v>599</v>
      </c>
      <c r="O10435" s="37" t="str">
        <f t="shared" ref="O10435:O10498" si="818">IF(OR(N10435="Card",N10435="UPI"),"Digital Payment","Cash Payment")</f>
        <v>Digital Payment</v>
      </c>
      <c r="P10435">
        <v>375.36</v>
      </c>
      <c r="Q10435" s="37" t="str">
        <f>IF(P10435&gt;500,"High","low")</f>
        <v>low</v>
      </c>
      <c r="R10435" s="37" t="str">
        <f t="shared" ref="R10435:R10498" si="819">IF(P10435&gt;1000,"Excellent",IF(P10435&gt;=500,"Good","AVERAGE"))</f>
        <v>AVERAGE</v>
      </c>
      <c r="S10435" t="s">
        <v>609</v>
      </c>
    </row>
    <row r="10436" spans="1:19" x14ac:dyDescent="0.2">
      <c r="A10436" t="s">
        <v>11047</v>
      </c>
      <c r="B10436" t="s">
        <v>90</v>
      </c>
      <c r="C10436" t="s">
        <v>602</v>
      </c>
      <c r="D10436">
        <v>1022.5</v>
      </c>
      <c r="E10436" s="37" t="str">
        <f t="shared" si="815"/>
        <v xml:space="preserve"> </v>
      </c>
      <c r="F10436">
        <v>0.48</v>
      </c>
      <c r="G10436" s="37" t="str">
        <f t="shared" si="816"/>
        <v>Heavy Discount</v>
      </c>
      <c r="H10436" s="37" t="str">
        <f t="shared" si="817"/>
        <v>High</v>
      </c>
      <c r="I10436">
        <v>3</v>
      </c>
      <c r="J10436" t="str" cm="1">
        <f t="array" ref="J10436">_xlfn.IFS(I10436&lt;=3,"small",I10436&lt;=6,"Medium",I10436&lt;=9,"Large")</f>
        <v>small</v>
      </c>
      <c r="K10436" s="36">
        <v>45264</v>
      </c>
      <c r="L10436" s="36">
        <v>45267</v>
      </c>
      <c r="M10436" t="s">
        <v>612</v>
      </c>
      <c r="N10436" t="s">
        <v>599</v>
      </c>
      <c r="O10436" s="37" t="str">
        <f t="shared" si="818"/>
        <v>Digital Payment</v>
      </c>
      <c r="P10436">
        <v>164.61</v>
      </c>
      <c r="Q10436" s="37" t="str">
        <f>IF(P10436&gt;500,"High","low")</f>
        <v>low</v>
      </c>
      <c r="R10436" s="37" t="str">
        <f t="shared" si="819"/>
        <v>AVERAGE</v>
      </c>
      <c r="S10436" t="s">
        <v>620</v>
      </c>
    </row>
    <row r="10437" spans="1:19" x14ac:dyDescent="0.2">
      <c r="A10437" t="s">
        <v>11048</v>
      </c>
      <c r="B10437" t="s">
        <v>67</v>
      </c>
      <c r="C10437" t="s">
        <v>597</v>
      </c>
      <c r="D10437">
        <v>2463.15</v>
      </c>
      <c r="E10437" s="37" t="str">
        <f t="shared" si="815"/>
        <v xml:space="preserve"> </v>
      </c>
      <c r="F10437">
        <v>0.04</v>
      </c>
      <c r="G10437" s="37" t="str">
        <f t="shared" si="816"/>
        <v>Normal Discount</v>
      </c>
      <c r="H10437" s="37" t="str">
        <f t="shared" si="817"/>
        <v>Low</v>
      </c>
      <c r="I10437">
        <v>9</v>
      </c>
      <c r="J10437" t="str" cm="1">
        <f t="array" ref="J10437">_xlfn.IFS(I10437&lt;=3,"small",I10437&lt;=6,"Medium",I10437&lt;=9,"Large")</f>
        <v>Large</v>
      </c>
      <c r="K10437" s="36">
        <v>45607</v>
      </c>
      <c r="L10437" s="36">
        <v>45611</v>
      </c>
      <c r="M10437" t="s">
        <v>612</v>
      </c>
      <c r="N10437" t="s">
        <v>599</v>
      </c>
      <c r="O10437" s="37" t="str">
        <f t="shared" si="818"/>
        <v>Digital Payment</v>
      </c>
      <c r="P10437">
        <v>479.98</v>
      </c>
      <c r="Q10437" s="37" t="str">
        <f>IF(P10437&gt;500,"High","low")</f>
        <v>low</v>
      </c>
      <c r="R10437" s="37" t="str">
        <f t="shared" si="819"/>
        <v>AVERAGE</v>
      </c>
      <c r="S10437" t="s">
        <v>605</v>
      </c>
    </row>
    <row r="10438" spans="1:19" x14ac:dyDescent="0.2">
      <c r="A10438" t="s">
        <v>11049</v>
      </c>
      <c r="B10438" t="s">
        <v>83</v>
      </c>
      <c r="C10438" t="s">
        <v>607</v>
      </c>
      <c r="D10438">
        <v>3364.39</v>
      </c>
      <c r="E10438" s="37" t="str">
        <f t="shared" si="815"/>
        <v xml:space="preserve"> </v>
      </c>
      <c r="F10438">
        <v>0.36</v>
      </c>
      <c r="G10438" s="37" t="str">
        <f t="shared" si="816"/>
        <v>Heavy Discount</v>
      </c>
      <c r="H10438" s="37" t="str">
        <f t="shared" si="817"/>
        <v>Medium</v>
      </c>
      <c r="I10438">
        <v>9</v>
      </c>
      <c r="J10438" t="str" cm="1">
        <f t="array" ref="J10438">_xlfn.IFS(I10438&lt;=3,"small",I10438&lt;=6,"Medium",I10438&lt;=9,"Large")</f>
        <v>Large</v>
      </c>
      <c r="K10438" s="36">
        <v>45447</v>
      </c>
      <c r="L10438" s="36">
        <v>45454</v>
      </c>
      <c r="M10438" t="s">
        <v>603</v>
      </c>
      <c r="N10438" t="s">
        <v>599</v>
      </c>
      <c r="O10438" s="37" t="str">
        <f t="shared" si="818"/>
        <v>Digital Payment</v>
      </c>
      <c r="P10438">
        <v>741.85</v>
      </c>
      <c r="Q10438" s="37" t="str">
        <f>IF(P10438&gt;500,"High","low")</f>
        <v>High</v>
      </c>
      <c r="R10438" s="37" t="str">
        <f t="shared" si="819"/>
        <v>Good</v>
      </c>
      <c r="S10438" t="s">
        <v>609</v>
      </c>
    </row>
    <row r="10439" spans="1:19" x14ac:dyDescent="0.2">
      <c r="A10439" t="s">
        <v>11050</v>
      </c>
      <c r="B10439" t="s">
        <v>67</v>
      </c>
      <c r="C10439" t="s">
        <v>607</v>
      </c>
      <c r="D10439">
        <v>2936.54</v>
      </c>
      <c r="E10439" s="37" t="str">
        <f t="shared" si="815"/>
        <v xml:space="preserve"> </v>
      </c>
      <c r="F10439">
        <v>0.18</v>
      </c>
      <c r="G10439" s="37" t="str">
        <f t="shared" si="816"/>
        <v>Normal Discount</v>
      </c>
      <c r="H10439" s="37" t="str">
        <f t="shared" si="817"/>
        <v>Low</v>
      </c>
      <c r="I10439">
        <v>5</v>
      </c>
      <c r="J10439" t="str" cm="1">
        <f t="array" ref="J10439">_xlfn.IFS(I10439&lt;=3,"small",I10439&lt;=6,"Medium",I10439&lt;=9,"Large")</f>
        <v>Medium</v>
      </c>
      <c r="K10439" s="36">
        <v>45586</v>
      </c>
      <c r="L10439" s="36">
        <v>45592</v>
      </c>
      <c r="M10439" t="s">
        <v>612</v>
      </c>
      <c r="N10439" t="s">
        <v>608</v>
      </c>
      <c r="O10439" s="37" t="str">
        <f t="shared" si="818"/>
        <v>Cash Payment</v>
      </c>
      <c r="P10439">
        <v>528.71</v>
      </c>
      <c r="Q10439" s="37" t="str">
        <f>IF(P10439&gt;500,"High","low")</f>
        <v>High</v>
      </c>
      <c r="R10439" s="37" t="str">
        <f t="shared" si="819"/>
        <v>Good</v>
      </c>
      <c r="S10439" t="s">
        <v>615</v>
      </c>
    </row>
    <row r="10440" spans="1:19" x14ac:dyDescent="0.2">
      <c r="A10440" t="s">
        <v>11051</v>
      </c>
      <c r="B10440" t="s">
        <v>67</v>
      </c>
      <c r="C10440" t="s">
        <v>614</v>
      </c>
      <c r="D10440">
        <v>2243.6999999999998</v>
      </c>
      <c r="E10440" s="37" t="str">
        <f t="shared" si="815"/>
        <v xml:space="preserve"> </v>
      </c>
      <c r="F10440">
        <v>0.37</v>
      </c>
      <c r="G10440" s="37" t="str">
        <f t="shared" si="816"/>
        <v>Heavy Discount</v>
      </c>
      <c r="H10440" s="37" t="str">
        <f t="shared" si="817"/>
        <v>Medium</v>
      </c>
      <c r="I10440">
        <v>4</v>
      </c>
      <c r="J10440" t="str" cm="1">
        <f t="array" ref="J10440">_xlfn.IFS(I10440&lt;=3,"small",I10440&lt;=6,"Medium",I10440&lt;=9,"Large")</f>
        <v>Medium</v>
      </c>
      <c r="K10440" s="36">
        <v>45540</v>
      </c>
      <c r="L10440" s="36">
        <v>45543</v>
      </c>
      <c r="M10440" t="s">
        <v>598</v>
      </c>
      <c r="N10440" t="s">
        <v>604</v>
      </c>
      <c r="O10440" s="37" t="str">
        <f t="shared" si="818"/>
        <v>Digital Payment</v>
      </c>
      <c r="P10440">
        <v>498.08</v>
      </c>
      <c r="Q10440" s="37" t="str">
        <f>IF(P10440&gt;500,"High","low")</f>
        <v>low</v>
      </c>
      <c r="R10440" s="37" t="str">
        <f t="shared" si="819"/>
        <v>AVERAGE</v>
      </c>
      <c r="S10440" t="s">
        <v>605</v>
      </c>
    </row>
    <row r="10441" spans="1:19" x14ac:dyDescent="0.2">
      <c r="A10441" t="s">
        <v>11052</v>
      </c>
      <c r="B10441" t="s">
        <v>67</v>
      </c>
      <c r="C10441" t="s">
        <v>607</v>
      </c>
      <c r="D10441">
        <v>2744.5</v>
      </c>
      <c r="E10441" s="37" t="str">
        <f t="shared" si="815"/>
        <v xml:space="preserve"> </v>
      </c>
      <c r="F10441">
        <v>0.26</v>
      </c>
      <c r="G10441" s="37" t="str">
        <f t="shared" si="816"/>
        <v>Normal Discount</v>
      </c>
      <c r="H10441" s="37" t="str">
        <f t="shared" si="817"/>
        <v>Medium</v>
      </c>
      <c r="I10441">
        <v>7</v>
      </c>
      <c r="J10441" t="str" cm="1">
        <f t="array" ref="J10441">_xlfn.IFS(I10441&lt;=3,"small",I10441&lt;=6,"Medium",I10441&lt;=9,"Large")</f>
        <v>Large</v>
      </c>
      <c r="K10441" s="36">
        <v>45463</v>
      </c>
      <c r="L10441" s="36">
        <v>45468</v>
      </c>
      <c r="M10441" t="s">
        <v>598</v>
      </c>
      <c r="N10441" t="s">
        <v>604</v>
      </c>
      <c r="O10441" s="37" t="str">
        <f t="shared" si="818"/>
        <v>Digital Payment</v>
      </c>
      <c r="P10441">
        <v>743.3</v>
      </c>
      <c r="Q10441" s="37" t="str">
        <f>IF(P10441&gt;500,"High","low")</f>
        <v>High</v>
      </c>
      <c r="R10441" s="37" t="str">
        <f t="shared" si="819"/>
        <v>Good</v>
      </c>
      <c r="S10441" t="s">
        <v>600</v>
      </c>
    </row>
    <row r="10442" spans="1:19" x14ac:dyDescent="0.2">
      <c r="A10442" t="s">
        <v>11053</v>
      </c>
      <c r="B10442" t="s">
        <v>75</v>
      </c>
      <c r="C10442" t="s">
        <v>617</v>
      </c>
      <c r="D10442">
        <v>628.98</v>
      </c>
      <c r="E10442" s="37" t="str">
        <f t="shared" si="815"/>
        <v xml:space="preserve"> </v>
      </c>
      <c r="F10442">
        <v>0.31</v>
      </c>
      <c r="G10442" s="37" t="str">
        <f t="shared" si="816"/>
        <v>Heavy Discount</v>
      </c>
      <c r="H10442" s="37" t="str">
        <f t="shared" si="817"/>
        <v>Medium</v>
      </c>
      <c r="I10442">
        <v>9</v>
      </c>
      <c r="J10442" t="str" cm="1">
        <f t="array" ref="J10442">_xlfn.IFS(I10442&lt;=3,"small",I10442&lt;=6,"Medium",I10442&lt;=9,"Large")</f>
        <v>Large</v>
      </c>
      <c r="K10442" s="36">
        <v>45212</v>
      </c>
      <c r="L10442" s="36">
        <v>45215</v>
      </c>
      <c r="M10442" t="s">
        <v>598</v>
      </c>
      <c r="N10442" t="s">
        <v>599</v>
      </c>
      <c r="O10442" s="37" t="str">
        <f t="shared" si="818"/>
        <v>Digital Payment</v>
      </c>
      <c r="P10442">
        <v>98.73</v>
      </c>
      <c r="Q10442" s="37" t="str">
        <f>IF(P10442&gt;500,"High","low")</f>
        <v>low</v>
      </c>
      <c r="R10442" s="37" t="str">
        <f t="shared" si="819"/>
        <v>AVERAGE</v>
      </c>
      <c r="S10442" t="s">
        <v>609</v>
      </c>
    </row>
    <row r="10443" spans="1:19" x14ac:dyDescent="0.2">
      <c r="A10443" t="s">
        <v>11054</v>
      </c>
      <c r="B10443" t="s">
        <v>83</v>
      </c>
      <c r="C10443" t="s">
        <v>607</v>
      </c>
      <c r="D10443">
        <v>3509.62</v>
      </c>
      <c r="E10443" s="37" t="str">
        <f t="shared" si="815"/>
        <v xml:space="preserve"> </v>
      </c>
      <c r="F10443">
        <v>0.04</v>
      </c>
      <c r="G10443" s="37" t="str">
        <f t="shared" si="816"/>
        <v>Normal Discount</v>
      </c>
      <c r="H10443" s="37" t="str">
        <f t="shared" si="817"/>
        <v>Low</v>
      </c>
      <c r="I10443">
        <v>6</v>
      </c>
      <c r="J10443" t="str" cm="1">
        <f t="array" ref="J10443">_xlfn.IFS(I10443&lt;=3,"small",I10443&lt;=6,"Medium",I10443&lt;=9,"Large")</f>
        <v>Medium</v>
      </c>
      <c r="K10443" s="36">
        <v>45310</v>
      </c>
      <c r="L10443" s="36">
        <v>45313</v>
      </c>
      <c r="M10443" t="s">
        <v>612</v>
      </c>
      <c r="N10443" t="s">
        <v>599</v>
      </c>
      <c r="O10443" s="37" t="str">
        <f t="shared" si="818"/>
        <v>Digital Payment</v>
      </c>
      <c r="P10443">
        <v>562.64</v>
      </c>
      <c r="Q10443" s="37" t="str">
        <f>IF(P10443&gt;500,"High","low")</f>
        <v>High</v>
      </c>
      <c r="R10443" s="37" t="str">
        <f t="shared" si="819"/>
        <v>Good</v>
      </c>
      <c r="S10443" t="s">
        <v>620</v>
      </c>
    </row>
    <row r="10444" spans="1:19" x14ac:dyDescent="0.2">
      <c r="A10444" t="s">
        <v>11055</v>
      </c>
      <c r="B10444" t="s">
        <v>83</v>
      </c>
      <c r="C10444" t="s">
        <v>617</v>
      </c>
      <c r="D10444">
        <v>3697.85</v>
      </c>
      <c r="E10444" s="37" t="str">
        <f t="shared" si="815"/>
        <v xml:space="preserve"> </v>
      </c>
      <c r="F10444">
        <v>0.48</v>
      </c>
      <c r="G10444" s="37" t="str">
        <f t="shared" si="816"/>
        <v>Heavy Discount</v>
      </c>
      <c r="H10444" s="37" t="str">
        <f t="shared" si="817"/>
        <v>High</v>
      </c>
      <c r="I10444">
        <v>7</v>
      </c>
      <c r="J10444" t="str" cm="1">
        <f t="array" ref="J10444">_xlfn.IFS(I10444&lt;=3,"small",I10444&lt;=6,"Medium",I10444&lt;=9,"Large")</f>
        <v>Large</v>
      </c>
      <c r="K10444" s="36">
        <v>45510</v>
      </c>
      <c r="L10444" s="36">
        <v>45514</v>
      </c>
      <c r="M10444" t="s">
        <v>598</v>
      </c>
      <c r="N10444" t="s">
        <v>599</v>
      </c>
      <c r="O10444" s="37" t="str">
        <f t="shared" si="818"/>
        <v>Digital Payment</v>
      </c>
      <c r="P10444">
        <v>903.2</v>
      </c>
      <c r="Q10444" s="37" t="str">
        <f>IF(P10444&gt;500,"High","low")</f>
        <v>High</v>
      </c>
      <c r="R10444" s="37" t="str">
        <f t="shared" si="819"/>
        <v>Good</v>
      </c>
      <c r="S10444" t="s">
        <v>615</v>
      </c>
    </row>
    <row r="10445" spans="1:19" x14ac:dyDescent="0.2">
      <c r="A10445" t="s">
        <v>11056</v>
      </c>
      <c r="B10445" t="s">
        <v>75</v>
      </c>
      <c r="C10445" t="s">
        <v>617</v>
      </c>
      <c r="D10445">
        <v>156.12</v>
      </c>
      <c r="E10445" s="37" t="str">
        <f t="shared" si="815"/>
        <v xml:space="preserve"> </v>
      </c>
      <c r="F10445">
        <v>0</v>
      </c>
      <c r="G10445" s="37" t="str">
        <f t="shared" si="816"/>
        <v>Normal Discount</v>
      </c>
      <c r="H10445" s="37" t="str">
        <f t="shared" si="817"/>
        <v>Low</v>
      </c>
      <c r="I10445">
        <v>1</v>
      </c>
      <c r="J10445" t="str" cm="1">
        <f t="array" ref="J10445">_xlfn.IFS(I10445&lt;=3,"small",I10445&lt;=6,"Medium",I10445&lt;=9,"Large")</f>
        <v>small</v>
      </c>
      <c r="K10445" s="36">
        <v>45463</v>
      </c>
      <c r="L10445" s="36">
        <v>45466</v>
      </c>
      <c r="M10445" t="s">
        <v>612</v>
      </c>
      <c r="N10445" t="s">
        <v>608</v>
      </c>
      <c r="O10445" s="37" t="str">
        <f t="shared" si="818"/>
        <v>Cash Payment</v>
      </c>
      <c r="P10445">
        <v>20.13</v>
      </c>
      <c r="Q10445" s="37" t="str">
        <f>IF(P10445&gt;500,"High","low")</f>
        <v>low</v>
      </c>
      <c r="R10445" s="37" t="str">
        <f t="shared" si="819"/>
        <v>AVERAGE</v>
      </c>
      <c r="S10445" t="s">
        <v>628</v>
      </c>
    </row>
    <row r="10446" spans="1:19" x14ac:dyDescent="0.2">
      <c r="A10446" t="s">
        <v>11057</v>
      </c>
      <c r="B10446" t="s">
        <v>90</v>
      </c>
      <c r="C10446" t="s">
        <v>614</v>
      </c>
      <c r="D10446">
        <v>1425.55</v>
      </c>
      <c r="E10446" s="37" t="str">
        <f t="shared" si="815"/>
        <v xml:space="preserve"> </v>
      </c>
      <c r="F10446">
        <v>0.47</v>
      </c>
      <c r="G10446" s="37" t="str">
        <f t="shared" si="816"/>
        <v>Heavy Discount</v>
      </c>
      <c r="H10446" s="37" t="str">
        <f t="shared" si="817"/>
        <v>High</v>
      </c>
      <c r="I10446">
        <v>4</v>
      </c>
      <c r="J10446" t="str" cm="1">
        <f t="array" ref="J10446">_xlfn.IFS(I10446&lt;=3,"small",I10446&lt;=6,"Medium",I10446&lt;=9,"Large")</f>
        <v>Medium</v>
      </c>
      <c r="K10446" s="36">
        <v>45182</v>
      </c>
      <c r="L10446" s="36">
        <v>45188</v>
      </c>
      <c r="M10446" t="s">
        <v>598</v>
      </c>
      <c r="N10446" t="s">
        <v>604</v>
      </c>
      <c r="O10446" s="37" t="str">
        <f t="shared" si="818"/>
        <v>Digital Payment</v>
      </c>
      <c r="P10446">
        <v>98.75</v>
      </c>
      <c r="Q10446" s="37" t="str">
        <f>IF(P10446&gt;500,"High","low")</f>
        <v>low</v>
      </c>
      <c r="R10446" s="37" t="str">
        <f t="shared" si="819"/>
        <v>AVERAGE</v>
      </c>
      <c r="S10446" t="s">
        <v>615</v>
      </c>
    </row>
    <row r="10447" spans="1:19" x14ac:dyDescent="0.2">
      <c r="A10447" t="s">
        <v>11058</v>
      </c>
      <c r="B10447" t="s">
        <v>67</v>
      </c>
      <c r="C10447" t="s">
        <v>614</v>
      </c>
      <c r="D10447">
        <v>551.37</v>
      </c>
      <c r="E10447" s="37" t="str">
        <f t="shared" si="815"/>
        <v xml:space="preserve"> </v>
      </c>
      <c r="F10447">
        <v>0.28000000000000003</v>
      </c>
      <c r="G10447" s="37" t="str">
        <f t="shared" si="816"/>
        <v>Normal Discount</v>
      </c>
      <c r="H10447" s="37" t="str">
        <f t="shared" si="817"/>
        <v>Medium</v>
      </c>
      <c r="I10447">
        <v>2</v>
      </c>
      <c r="J10447" t="str" cm="1">
        <f t="array" ref="J10447">_xlfn.IFS(I10447&lt;=3,"small",I10447&lt;=6,"Medium",I10447&lt;=9,"Large")</f>
        <v>small</v>
      </c>
      <c r="K10447" s="36">
        <v>45020</v>
      </c>
      <c r="L10447" s="36">
        <v>45027</v>
      </c>
      <c r="M10447" t="s">
        <v>603</v>
      </c>
      <c r="N10447" t="s">
        <v>604</v>
      </c>
      <c r="O10447" s="37" t="str">
        <f t="shared" si="818"/>
        <v>Digital Payment</v>
      </c>
      <c r="P10447">
        <v>80.290000000000006</v>
      </c>
      <c r="Q10447" s="37" t="str">
        <f>IF(P10447&gt;500,"High","low")</f>
        <v>low</v>
      </c>
      <c r="R10447" s="37" t="str">
        <f t="shared" si="819"/>
        <v>AVERAGE</v>
      </c>
      <c r="S10447" t="s">
        <v>609</v>
      </c>
    </row>
    <row r="10448" spans="1:19" x14ac:dyDescent="0.2">
      <c r="A10448" t="s">
        <v>11059</v>
      </c>
      <c r="B10448" t="s">
        <v>83</v>
      </c>
      <c r="C10448" t="s">
        <v>607</v>
      </c>
      <c r="D10448">
        <v>4991.34</v>
      </c>
      <c r="E10448" s="37" t="str">
        <f t="shared" si="815"/>
        <v>Excellent Order</v>
      </c>
      <c r="F10448">
        <v>0.13</v>
      </c>
      <c r="G10448" s="37" t="str">
        <f t="shared" si="816"/>
        <v>Normal Discount</v>
      </c>
      <c r="H10448" s="37" t="str">
        <f t="shared" si="817"/>
        <v>Low</v>
      </c>
      <c r="I10448">
        <v>1</v>
      </c>
      <c r="J10448" t="str" cm="1">
        <f t="array" ref="J10448">_xlfn.IFS(I10448&lt;=3,"small",I10448&lt;=6,"Medium",I10448&lt;=9,"Large")</f>
        <v>small</v>
      </c>
      <c r="K10448" s="36">
        <v>45596</v>
      </c>
      <c r="L10448" s="36">
        <v>45599</v>
      </c>
      <c r="M10448" t="s">
        <v>612</v>
      </c>
      <c r="N10448" t="s">
        <v>604</v>
      </c>
      <c r="O10448" s="37" t="str">
        <f t="shared" si="818"/>
        <v>Digital Payment</v>
      </c>
      <c r="P10448">
        <v>890.76</v>
      </c>
      <c r="Q10448" s="37" t="str">
        <f>IF(P10448&gt;500,"High","low")</f>
        <v>High</v>
      </c>
      <c r="R10448" s="37" t="str">
        <f t="shared" si="819"/>
        <v>Good</v>
      </c>
      <c r="S10448" t="s">
        <v>609</v>
      </c>
    </row>
    <row r="10449" spans="1:19" x14ac:dyDescent="0.2">
      <c r="A10449" t="s">
        <v>11060</v>
      </c>
      <c r="B10449" t="s">
        <v>75</v>
      </c>
      <c r="C10449" t="s">
        <v>614</v>
      </c>
      <c r="D10449">
        <v>3007.38</v>
      </c>
      <c r="E10449" s="37" t="str">
        <f t="shared" si="815"/>
        <v xml:space="preserve"> </v>
      </c>
      <c r="F10449">
        <v>0.32</v>
      </c>
      <c r="G10449" s="37" t="str">
        <f t="shared" si="816"/>
        <v>Heavy Discount</v>
      </c>
      <c r="H10449" s="37" t="str">
        <f t="shared" si="817"/>
        <v>Medium</v>
      </c>
      <c r="I10449">
        <v>7</v>
      </c>
      <c r="J10449" t="str" cm="1">
        <f t="array" ref="J10449">_xlfn.IFS(I10449&lt;=3,"small",I10449&lt;=6,"Medium",I10449&lt;=9,"Large")</f>
        <v>Large</v>
      </c>
      <c r="K10449" s="36">
        <v>45387</v>
      </c>
      <c r="L10449" s="36">
        <v>45388</v>
      </c>
      <c r="M10449" t="s">
        <v>598</v>
      </c>
      <c r="N10449" t="s">
        <v>608</v>
      </c>
      <c r="O10449" s="37" t="str">
        <f t="shared" si="818"/>
        <v>Cash Payment</v>
      </c>
      <c r="P10449">
        <v>360.06</v>
      </c>
      <c r="Q10449" s="37" t="str">
        <f>IF(P10449&gt;500,"High","low")</f>
        <v>low</v>
      </c>
      <c r="R10449" s="37" t="str">
        <f t="shared" si="819"/>
        <v>AVERAGE</v>
      </c>
      <c r="S10449" t="s">
        <v>600</v>
      </c>
    </row>
    <row r="10450" spans="1:19" x14ac:dyDescent="0.2">
      <c r="A10450" t="s">
        <v>11061</v>
      </c>
      <c r="B10450" t="s">
        <v>67</v>
      </c>
      <c r="C10450" t="s">
        <v>614</v>
      </c>
      <c r="D10450">
        <v>2382.12</v>
      </c>
      <c r="E10450" s="37" t="str">
        <f t="shared" si="815"/>
        <v xml:space="preserve"> </v>
      </c>
      <c r="F10450">
        <v>0.34</v>
      </c>
      <c r="G10450" s="37" t="str">
        <f t="shared" si="816"/>
        <v>Heavy Discount</v>
      </c>
      <c r="H10450" s="37" t="str">
        <f t="shared" si="817"/>
        <v>Medium</v>
      </c>
      <c r="I10450">
        <v>4</v>
      </c>
      <c r="J10450" t="str" cm="1">
        <f t="array" ref="J10450">_xlfn.IFS(I10450&lt;=3,"small",I10450&lt;=6,"Medium",I10450&lt;=9,"Large")</f>
        <v>Medium</v>
      </c>
      <c r="K10450" s="36">
        <v>44957</v>
      </c>
      <c r="L10450" s="36">
        <v>44962</v>
      </c>
      <c r="M10450" t="s">
        <v>598</v>
      </c>
      <c r="N10450" t="s">
        <v>599</v>
      </c>
      <c r="O10450" s="37" t="str">
        <f t="shared" si="818"/>
        <v>Digital Payment</v>
      </c>
      <c r="P10450">
        <v>520.48</v>
      </c>
      <c r="Q10450" s="37" t="str">
        <f>IF(P10450&gt;500,"High","low")</f>
        <v>High</v>
      </c>
      <c r="R10450" s="37" t="str">
        <f t="shared" si="819"/>
        <v>Good</v>
      </c>
      <c r="S10450" t="s">
        <v>609</v>
      </c>
    </row>
    <row r="10451" spans="1:19" x14ac:dyDescent="0.2">
      <c r="A10451" t="s">
        <v>11062</v>
      </c>
      <c r="B10451" t="s">
        <v>90</v>
      </c>
      <c r="C10451" t="s">
        <v>597</v>
      </c>
      <c r="D10451">
        <v>2368.6999999999998</v>
      </c>
      <c r="E10451" s="37" t="str">
        <f t="shared" si="815"/>
        <v xml:space="preserve"> </v>
      </c>
      <c r="F10451">
        <v>0.37</v>
      </c>
      <c r="G10451" s="37" t="str">
        <f t="shared" si="816"/>
        <v>Heavy Discount</v>
      </c>
      <c r="H10451" s="37" t="str">
        <f t="shared" si="817"/>
        <v>Medium</v>
      </c>
      <c r="I10451">
        <v>2</v>
      </c>
      <c r="J10451" t="str" cm="1">
        <f t="array" ref="J10451">_xlfn.IFS(I10451&lt;=3,"small",I10451&lt;=6,"Medium",I10451&lt;=9,"Large")</f>
        <v>small</v>
      </c>
      <c r="K10451" s="36">
        <v>45534</v>
      </c>
      <c r="L10451" s="36">
        <v>45539</v>
      </c>
      <c r="M10451" t="s">
        <v>598</v>
      </c>
      <c r="N10451" t="s">
        <v>599</v>
      </c>
      <c r="O10451" s="37" t="str">
        <f t="shared" si="818"/>
        <v>Digital Payment</v>
      </c>
      <c r="P10451">
        <v>436.78</v>
      </c>
      <c r="Q10451" s="37" t="str">
        <f>IF(P10451&gt;500,"High","low")</f>
        <v>low</v>
      </c>
      <c r="R10451" s="37" t="str">
        <f t="shared" si="819"/>
        <v>AVERAGE</v>
      </c>
      <c r="S10451" t="s">
        <v>615</v>
      </c>
    </row>
    <row r="10452" spans="1:19" x14ac:dyDescent="0.2">
      <c r="A10452" t="s">
        <v>11063</v>
      </c>
      <c r="B10452" t="s">
        <v>90</v>
      </c>
      <c r="C10452" t="s">
        <v>607</v>
      </c>
      <c r="D10452">
        <v>4827.3900000000003</v>
      </c>
      <c r="E10452" s="37" t="str">
        <f t="shared" si="815"/>
        <v xml:space="preserve"> </v>
      </c>
      <c r="F10452">
        <v>0.01</v>
      </c>
      <c r="G10452" s="37" t="str">
        <f t="shared" si="816"/>
        <v>Normal Discount</v>
      </c>
      <c r="H10452" s="37" t="str">
        <f t="shared" si="817"/>
        <v>Low</v>
      </c>
      <c r="I10452">
        <v>5</v>
      </c>
      <c r="J10452" t="str" cm="1">
        <f t="array" ref="J10452">_xlfn.IFS(I10452&lt;=3,"small",I10452&lt;=6,"Medium",I10452&lt;=9,"Large")</f>
        <v>Medium</v>
      </c>
      <c r="K10452" s="36">
        <v>45218</v>
      </c>
      <c r="L10452" s="36">
        <v>45219</v>
      </c>
      <c r="M10452" t="s">
        <v>598</v>
      </c>
      <c r="N10452" t="s">
        <v>599</v>
      </c>
      <c r="O10452" s="37" t="str">
        <f t="shared" si="818"/>
        <v>Digital Payment</v>
      </c>
      <c r="P10452">
        <v>603.12</v>
      </c>
      <c r="Q10452" s="37" t="str">
        <f>IF(P10452&gt;500,"High","low")</f>
        <v>High</v>
      </c>
      <c r="R10452" s="37" t="str">
        <f t="shared" si="819"/>
        <v>Good</v>
      </c>
      <c r="S10452" t="s">
        <v>628</v>
      </c>
    </row>
    <row r="10453" spans="1:19" x14ac:dyDescent="0.2">
      <c r="A10453" t="s">
        <v>11064</v>
      </c>
      <c r="B10453" t="s">
        <v>67</v>
      </c>
      <c r="C10453" t="s">
        <v>607</v>
      </c>
      <c r="D10453">
        <v>3333.29</v>
      </c>
      <c r="E10453" s="37" t="str">
        <f t="shared" si="815"/>
        <v xml:space="preserve"> </v>
      </c>
      <c r="F10453">
        <v>0.49</v>
      </c>
      <c r="G10453" s="37" t="str">
        <f t="shared" si="816"/>
        <v>Heavy Discount</v>
      </c>
      <c r="H10453" s="37" t="str">
        <f t="shared" si="817"/>
        <v>High</v>
      </c>
      <c r="I10453">
        <v>7</v>
      </c>
      <c r="J10453" t="str" cm="1">
        <f t="array" ref="J10453">_xlfn.IFS(I10453&lt;=3,"small",I10453&lt;=6,"Medium",I10453&lt;=9,"Large")</f>
        <v>Large</v>
      </c>
      <c r="K10453" s="36">
        <v>45607</v>
      </c>
      <c r="L10453" s="36">
        <v>45613</v>
      </c>
      <c r="M10453" t="s">
        <v>603</v>
      </c>
      <c r="N10453" t="s">
        <v>604</v>
      </c>
      <c r="O10453" s="37" t="str">
        <f t="shared" si="818"/>
        <v>Digital Payment</v>
      </c>
      <c r="P10453">
        <v>309.45</v>
      </c>
      <c r="Q10453" s="37" t="str">
        <f>IF(P10453&gt;500,"High","low")</f>
        <v>low</v>
      </c>
      <c r="R10453" s="37" t="str">
        <f t="shared" si="819"/>
        <v>AVERAGE</v>
      </c>
      <c r="S10453" t="s">
        <v>615</v>
      </c>
    </row>
    <row r="10454" spans="1:19" x14ac:dyDescent="0.2">
      <c r="A10454" t="s">
        <v>11065</v>
      </c>
      <c r="B10454" t="s">
        <v>90</v>
      </c>
      <c r="C10454" t="s">
        <v>607</v>
      </c>
      <c r="D10454">
        <v>926.43</v>
      </c>
      <c r="E10454" s="37" t="str">
        <f t="shared" si="815"/>
        <v xml:space="preserve"> </v>
      </c>
      <c r="F10454">
        <v>0.31</v>
      </c>
      <c r="G10454" s="37" t="str">
        <f t="shared" si="816"/>
        <v>Heavy Discount</v>
      </c>
      <c r="H10454" s="37" t="str">
        <f t="shared" si="817"/>
        <v>Medium</v>
      </c>
      <c r="I10454">
        <v>2</v>
      </c>
      <c r="J10454" t="str" cm="1">
        <f t="array" ref="J10454">_xlfn.IFS(I10454&lt;=3,"small",I10454&lt;=6,"Medium",I10454&lt;=9,"Large")</f>
        <v>small</v>
      </c>
      <c r="K10454" s="36">
        <v>45499</v>
      </c>
      <c r="L10454" s="36">
        <v>45502</v>
      </c>
      <c r="M10454" t="s">
        <v>603</v>
      </c>
      <c r="N10454" t="s">
        <v>608</v>
      </c>
      <c r="O10454" s="37" t="str">
        <f t="shared" si="818"/>
        <v>Cash Payment</v>
      </c>
      <c r="P10454">
        <v>216</v>
      </c>
      <c r="Q10454" s="37" t="str">
        <f>IF(P10454&gt;500,"High","low")</f>
        <v>low</v>
      </c>
      <c r="R10454" s="37" t="str">
        <f t="shared" si="819"/>
        <v>AVERAGE</v>
      </c>
      <c r="S10454" t="s">
        <v>609</v>
      </c>
    </row>
    <row r="10455" spans="1:19" x14ac:dyDescent="0.2">
      <c r="A10455" t="s">
        <v>11066</v>
      </c>
      <c r="B10455" t="s">
        <v>83</v>
      </c>
      <c r="C10455" t="s">
        <v>614</v>
      </c>
      <c r="D10455">
        <v>2295.98</v>
      </c>
      <c r="E10455" s="37" t="str">
        <f t="shared" si="815"/>
        <v xml:space="preserve"> </v>
      </c>
      <c r="F10455">
        <v>0.19</v>
      </c>
      <c r="G10455" s="37" t="str">
        <f t="shared" si="816"/>
        <v>Normal Discount</v>
      </c>
      <c r="H10455" s="37" t="str">
        <f t="shared" si="817"/>
        <v>Low</v>
      </c>
      <c r="I10455">
        <v>7</v>
      </c>
      <c r="J10455" t="str" cm="1">
        <f t="array" ref="J10455">_xlfn.IFS(I10455&lt;=3,"small",I10455&lt;=6,"Medium",I10455&lt;=9,"Large")</f>
        <v>Large</v>
      </c>
      <c r="K10455" s="36">
        <v>45457</v>
      </c>
      <c r="L10455" s="36">
        <v>45459</v>
      </c>
      <c r="M10455" t="s">
        <v>612</v>
      </c>
      <c r="N10455" t="s">
        <v>608</v>
      </c>
      <c r="O10455" s="37" t="str">
        <f t="shared" si="818"/>
        <v>Cash Payment</v>
      </c>
      <c r="P10455">
        <v>115.4</v>
      </c>
      <c r="Q10455" s="37" t="str">
        <f>IF(P10455&gt;500,"High","low")</f>
        <v>low</v>
      </c>
      <c r="R10455" s="37" t="str">
        <f t="shared" si="819"/>
        <v>AVERAGE</v>
      </c>
      <c r="S10455" t="s">
        <v>609</v>
      </c>
    </row>
    <row r="10456" spans="1:19" x14ac:dyDescent="0.2">
      <c r="A10456" t="s">
        <v>11067</v>
      </c>
      <c r="B10456" t="s">
        <v>83</v>
      </c>
      <c r="C10456" t="s">
        <v>614</v>
      </c>
      <c r="D10456">
        <v>3893.56</v>
      </c>
      <c r="E10456" s="37" t="str">
        <f t="shared" si="815"/>
        <v xml:space="preserve"> </v>
      </c>
      <c r="F10456">
        <v>0.28999999999999998</v>
      </c>
      <c r="G10456" s="37" t="str">
        <f t="shared" si="816"/>
        <v>Normal Discount</v>
      </c>
      <c r="H10456" s="37" t="str">
        <f t="shared" si="817"/>
        <v>Medium</v>
      </c>
      <c r="I10456">
        <v>3</v>
      </c>
      <c r="J10456" t="str" cm="1">
        <f t="array" ref="J10456">_xlfn.IFS(I10456&lt;=3,"small",I10456&lt;=6,"Medium",I10456&lt;=9,"Large")</f>
        <v>small</v>
      </c>
      <c r="K10456" s="36">
        <v>45586</v>
      </c>
      <c r="L10456" s="36">
        <v>45589</v>
      </c>
      <c r="M10456" t="s">
        <v>603</v>
      </c>
      <c r="N10456" t="s">
        <v>608</v>
      </c>
      <c r="O10456" s="37" t="str">
        <f t="shared" si="818"/>
        <v>Cash Payment</v>
      </c>
      <c r="P10456">
        <v>551.23</v>
      </c>
      <c r="Q10456" s="37" t="str">
        <f>IF(P10456&gt;500,"High","low")</f>
        <v>High</v>
      </c>
      <c r="R10456" s="37" t="str">
        <f t="shared" si="819"/>
        <v>Good</v>
      </c>
      <c r="S10456" t="s">
        <v>628</v>
      </c>
    </row>
    <row r="10457" spans="1:19" x14ac:dyDescent="0.2">
      <c r="A10457" t="s">
        <v>11068</v>
      </c>
      <c r="B10457" t="s">
        <v>83</v>
      </c>
      <c r="C10457" t="s">
        <v>617</v>
      </c>
      <c r="D10457">
        <v>2174.42</v>
      </c>
      <c r="E10457" s="37" t="str">
        <f t="shared" si="815"/>
        <v xml:space="preserve"> </v>
      </c>
      <c r="F10457">
        <v>0.09</v>
      </c>
      <c r="G10457" s="37" t="str">
        <f t="shared" si="816"/>
        <v>Normal Discount</v>
      </c>
      <c r="H10457" s="37" t="str">
        <f t="shared" si="817"/>
        <v>Low</v>
      </c>
      <c r="I10457">
        <v>8</v>
      </c>
      <c r="J10457" t="str" cm="1">
        <f t="array" ref="J10457">_xlfn.IFS(I10457&lt;=3,"small",I10457&lt;=6,"Medium",I10457&lt;=9,"Large")</f>
        <v>Large</v>
      </c>
      <c r="K10457" s="36">
        <v>45161</v>
      </c>
      <c r="L10457" s="36">
        <v>45166</v>
      </c>
      <c r="M10457" t="s">
        <v>612</v>
      </c>
      <c r="N10457" t="s">
        <v>604</v>
      </c>
      <c r="O10457" s="37" t="str">
        <f t="shared" si="818"/>
        <v>Digital Payment</v>
      </c>
      <c r="P10457">
        <v>279.31</v>
      </c>
      <c r="Q10457" s="37" t="str">
        <f>IF(P10457&gt;500,"High","low")</f>
        <v>low</v>
      </c>
      <c r="R10457" s="37" t="str">
        <f t="shared" si="819"/>
        <v>AVERAGE</v>
      </c>
      <c r="S10457" t="s">
        <v>628</v>
      </c>
    </row>
    <row r="10458" spans="1:19" x14ac:dyDescent="0.2">
      <c r="A10458" t="s">
        <v>11069</v>
      </c>
      <c r="B10458" t="s">
        <v>90</v>
      </c>
      <c r="C10458" t="s">
        <v>602</v>
      </c>
      <c r="D10458">
        <v>1616.71</v>
      </c>
      <c r="E10458" s="37" t="str">
        <f t="shared" si="815"/>
        <v xml:space="preserve"> </v>
      </c>
      <c r="F10458">
        <v>0.12</v>
      </c>
      <c r="G10458" s="37" t="str">
        <f t="shared" si="816"/>
        <v>Normal Discount</v>
      </c>
      <c r="H10458" s="37" t="str">
        <f t="shared" si="817"/>
        <v>Low</v>
      </c>
      <c r="I10458">
        <v>7</v>
      </c>
      <c r="J10458" t="str" cm="1">
        <f t="array" ref="J10458">_xlfn.IFS(I10458&lt;=3,"small",I10458&lt;=6,"Medium",I10458&lt;=9,"Large")</f>
        <v>Large</v>
      </c>
      <c r="K10458" s="36">
        <v>45211</v>
      </c>
      <c r="L10458" s="36">
        <v>45218</v>
      </c>
      <c r="M10458" t="s">
        <v>612</v>
      </c>
      <c r="N10458" t="s">
        <v>599</v>
      </c>
      <c r="O10458" s="37" t="str">
        <f t="shared" si="818"/>
        <v>Digital Payment</v>
      </c>
      <c r="P10458">
        <v>130.13999999999999</v>
      </c>
      <c r="Q10458" s="37" t="str">
        <f>IF(P10458&gt;500,"High","low")</f>
        <v>low</v>
      </c>
      <c r="R10458" s="37" t="str">
        <f t="shared" si="819"/>
        <v>AVERAGE</v>
      </c>
      <c r="S10458" t="s">
        <v>600</v>
      </c>
    </row>
    <row r="10459" spans="1:19" x14ac:dyDescent="0.2">
      <c r="A10459" t="s">
        <v>11070</v>
      </c>
      <c r="B10459" t="s">
        <v>83</v>
      </c>
      <c r="C10459" t="s">
        <v>602</v>
      </c>
      <c r="D10459">
        <v>4956.96</v>
      </c>
      <c r="E10459" s="37" t="str">
        <f t="shared" si="815"/>
        <v>Excellent Order</v>
      </c>
      <c r="F10459">
        <v>0.04</v>
      </c>
      <c r="G10459" s="37" t="str">
        <f t="shared" si="816"/>
        <v>Normal Discount</v>
      </c>
      <c r="H10459" s="37" t="str">
        <f t="shared" si="817"/>
        <v>Low</v>
      </c>
      <c r="I10459">
        <v>1</v>
      </c>
      <c r="J10459" t="str" cm="1">
        <f t="array" ref="J10459">_xlfn.IFS(I10459&lt;=3,"small",I10459&lt;=6,"Medium",I10459&lt;=9,"Large")</f>
        <v>small</v>
      </c>
      <c r="K10459" s="36">
        <v>45441</v>
      </c>
      <c r="L10459" s="36">
        <v>45448</v>
      </c>
      <c r="M10459" t="s">
        <v>603</v>
      </c>
      <c r="N10459" t="s">
        <v>604</v>
      </c>
      <c r="O10459" s="37" t="str">
        <f t="shared" si="818"/>
        <v>Digital Payment</v>
      </c>
      <c r="P10459">
        <v>1439.95</v>
      </c>
      <c r="Q10459" s="37" t="str">
        <f>IF(P10459&gt;500,"High","low")</f>
        <v>High</v>
      </c>
      <c r="R10459" s="37" t="str">
        <f t="shared" si="819"/>
        <v>Excellent</v>
      </c>
      <c r="S10459" t="s">
        <v>628</v>
      </c>
    </row>
    <row r="10460" spans="1:19" x14ac:dyDescent="0.2">
      <c r="A10460" t="s">
        <v>11071</v>
      </c>
      <c r="B10460" t="s">
        <v>75</v>
      </c>
      <c r="C10460" t="s">
        <v>602</v>
      </c>
      <c r="D10460">
        <v>4684.62</v>
      </c>
      <c r="E10460" s="37" t="str">
        <f t="shared" si="815"/>
        <v xml:space="preserve"> </v>
      </c>
      <c r="F10460">
        <v>0.44</v>
      </c>
      <c r="G10460" s="37" t="str">
        <f t="shared" si="816"/>
        <v>Heavy Discount</v>
      </c>
      <c r="H10460" s="37" t="str">
        <f t="shared" si="817"/>
        <v>High</v>
      </c>
      <c r="I10460">
        <v>9</v>
      </c>
      <c r="J10460" t="str" cm="1">
        <f t="array" ref="J10460">_xlfn.IFS(I10460&lt;=3,"small",I10460&lt;=6,"Medium",I10460&lt;=9,"Large")</f>
        <v>Large</v>
      </c>
      <c r="K10460" s="36">
        <v>45266</v>
      </c>
      <c r="L10460" s="36">
        <v>45269</v>
      </c>
      <c r="M10460" t="s">
        <v>612</v>
      </c>
      <c r="N10460" t="s">
        <v>608</v>
      </c>
      <c r="O10460" s="37" t="str">
        <f t="shared" si="818"/>
        <v>Cash Payment</v>
      </c>
      <c r="P10460">
        <v>619.14</v>
      </c>
      <c r="Q10460" s="37" t="str">
        <f>IF(P10460&gt;500,"High","low")</f>
        <v>High</v>
      </c>
      <c r="R10460" s="37" t="str">
        <f t="shared" si="819"/>
        <v>Good</v>
      </c>
      <c r="S10460" t="s">
        <v>620</v>
      </c>
    </row>
    <row r="10461" spans="1:19" x14ac:dyDescent="0.2">
      <c r="A10461" t="s">
        <v>11072</v>
      </c>
      <c r="B10461" t="s">
        <v>83</v>
      </c>
      <c r="C10461" t="s">
        <v>597</v>
      </c>
      <c r="D10461">
        <v>4713.6499999999996</v>
      </c>
      <c r="E10461" s="37" t="str">
        <f t="shared" si="815"/>
        <v>Excellent Order</v>
      </c>
      <c r="F10461">
        <v>0.13</v>
      </c>
      <c r="G10461" s="37" t="str">
        <f t="shared" si="816"/>
        <v>Normal Discount</v>
      </c>
      <c r="H10461" s="37" t="str">
        <f t="shared" si="817"/>
        <v>Low</v>
      </c>
      <c r="I10461">
        <v>6</v>
      </c>
      <c r="J10461" t="str" cm="1">
        <f t="array" ref="J10461">_xlfn.IFS(I10461&lt;=3,"small",I10461&lt;=6,"Medium",I10461&lt;=9,"Large")</f>
        <v>Medium</v>
      </c>
      <c r="K10461" s="36">
        <v>45463</v>
      </c>
      <c r="L10461" s="36">
        <v>45465</v>
      </c>
      <c r="M10461" t="s">
        <v>612</v>
      </c>
      <c r="N10461" t="s">
        <v>608</v>
      </c>
      <c r="O10461" s="37" t="str">
        <f t="shared" si="818"/>
        <v>Cash Payment</v>
      </c>
      <c r="P10461">
        <v>1238.03</v>
      </c>
      <c r="Q10461" s="37" t="str">
        <f>IF(P10461&gt;500,"High","low")</f>
        <v>High</v>
      </c>
      <c r="R10461" s="37" t="str">
        <f t="shared" si="819"/>
        <v>Excellent</v>
      </c>
      <c r="S10461" t="s">
        <v>609</v>
      </c>
    </row>
    <row r="10462" spans="1:19" x14ac:dyDescent="0.2">
      <c r="A10462" t="s">
        <v>11073</v>
      </c>
      <c r="B10462" t="s">
        <v>83</v>
      </c>
      <c r="C10462" t="s">
        <v>614</v>
      </c>
      <c r="D10462">
        <v>745.2</v>
      </c>
      <c r="E10462" s="37" t="str">
        <f t="shared" si="815"/>
        <v xml:space="preserve"> </v>
      </c>
      <c r="F10462">
        <v>0.37</v>
      </c>
      <c r="G10462" s="37" t="str">
        <f t="shared" si="816"/>
        <v>Heavy Discount</v>
      </c>
      <c r="H10462" s="37" t="str">
        <f t="shared" si="817"/>
        <v>Medium</v>
      </c>
      <c r="I10462">
        <v>4</v>
      </c>
      <c r="J10462" t="str" cm="1">
        <f t="array" ref="J10462">_xlfn.IFS(I10462&lt;=3,"small",I10462&lt;=6,"Medium",I10462&lt;=9,"Large")</f>
        <v>Medium</v>
      </c>
      <c r="K10462" s="36">
        <v>45159</v>
      </c>
      <c r="L10462" s="36">
        <v>45160</v>
      </c>
      <c r="M10462" t="s">
        <v>603</v>
      </c>
      <c r="N10462" t="s">
        <v>599</v>
      </c>
      <c r="O10462" s="37" t="str">
        <f t="shared" si="818"/>
        <v>Digital Payment</v>
      </c>
      <c r="P10462">
        <v>122.95</v>
      </c>
      <c r="Q10462" s="37" t="str">
        <f>IF(P10462&gt;500,"High","low")</f>
        <v>low</v>
      </c>
      <c r="R10462" s="37" t="str">
        <f t="shared" si="819"/>
        <v>AVERAGE</v>
      </c>
      <c r="S10462" t="s">
        <v>600</v>
      </c>
    </row>
    <row r="10463" spans="1:19" x14ac:dyDescent="0.2">
      <c r="A10463" t="s">
        <v>11074</v>
      </c>
      <c r="B10463" t="s">
        <v>90</v>
      </c>
      <c r="C10463" t="s">
        <v>617</v>
      </c>
      <c r="D10463">
        <v>1247.8499999999999</v>
      </c>
      <c r="E10463" s="37" t="str">
        <f t="shared" si="815"/>
        <v xml:space="preserve"> </v>
      </c>
      <c r="F10463">
        <v>0.14000000000000001</v>
      </c>
      <c r="G10463" s="37" t="str">
        <f t="shared" si="816"/>
        <v>Normal Discount</v>
      </c>
      <c r="H10463" s="37" t="str">
        <f t="shared" si="817"/>
        <v>Low</v>
      </c>
      <c r="I10463">
        <v>6</v>
      </c>
      <c r="J10463" t="str" cm="1">
        <f t="array" ref="J10463">_xlfn.IFS(I10463&lt;=3,"small",I10463&lt;=6,"Medium",I10463&lt;=9,"Large")</f>
        <v>Medium</v>
      </c>
      <c r="K10463" s="36">
        <v>45251</v>
      </c>
      <c r="L10463" s="36">
        <v>45256</v>
      </c>
      <c r="M10463" t="s">
        <v>603</v>
      </c>
      <c r="N10463" t="s">
        <v>599</v>
      </c>
      <c r="O10463" s="37" t="str">
        <f t="shared" si="818"/>
        <v>Digital Payment</v>
      </c>
      <c r="P10463">
        <v>243.94</v>
      </c>
      <c r="Q10463" s="37" t="str">
        <f>IF(P10463&gt;500,"High","low")</f>
        <v>low</v>
      </c>
      <c r="R10463" s="37" t="str">
        <f t="shared" si="819"/>
        <v>AVERAGE</v>
      </c>
      <c r="S10463" t="s">
        <v>605</v>
      </c>
    </row>
    <row r="10464" spans="1:19" x14ac:dyDescent="0.2">
      <c r="A10464" t="s">
        <v>11075</v>
      </c>
      <c r="B10464" t="s">
        <v>83</v>
      </c>
      <c r="C10464" t="s">
        <v>617</v>
      </c>
      <c r="D10464">
        <v>2266.13</v>
      </c>
      <c r="E10464" s="37" t="str">
        <f t="shared" si="815"/>
        <v xml:space="preserve"> </v>
      </c>
      <c r="F10464">
        <v>7.0000000000000007E-2</v>
      </c>
      <c r="G10464" s="37" t="str">
        <f t="shared" si="816"/>
        <v>Normal Discount</v>
      </c>
      <c r="H10464" s="37" t="str">
        <f t="shared" si="817"/>
        <v>Low</v>
      </c>
      <c r="I10464">
        <v>2</v>
      </c>
      <c r="J10464" t="str" cm="1">
        <f t="array" ref="J10464">_xlfn.IFS(I10464&lt;=3,"small",I10464&lt;=6,"Medium",I10464&lt;=9,"Large")</f>
        <v>small</v>
      </c>
      <c r="K10464" s="36">
        <v>44981</v>
      </c>
      <c r="L10464" s="36">
        <v>44983</v>
      </c>
      <c r="M10464" t="s">
        <v>598</v>
      </c>
      <c r="N10464" t="s">
        <v>604</v>
      </c>
      <c r="O10464" s="37" t="str">
        <f t="shared" si="818"/>
        <v>Digital Payment</v>
      </c>
      <c r="P10464">
        <v>449.79</v>
      </c>
      <c r="Q10464" s="37" t="str">
        <f>IF(P10464&gt;500,"High","low")</f>
        <v>low</v>
      </c>
      <c r="R10464" s="37" t="str">
        <f t="shared" si="819"/>
        <v>AVERAGE</v>
      </c>
      <c r="S10464" t="s">
        <v>615</v>
      </c>
    </row>
    <row r="10465" spans="1:19" x14ac:dyDescent="0.2">
      <c r="A10465" t="s">
        <v>11076</v>
      </c>
      <c r="B10465" t="s">
        <v>67</v>
      </c>
      <c r="C10465" t="s">
        <v>602</v>
      </c>
      <c r="D10465">
        <v>4177.43</v>
      </c>
      <c r="E10465" s="37" t="str">
        <f t="shared" si="815"/>
        <v xml:space="preserve"> </v>
      </c>
      <c r="F10465">
        <v>0.05</v>
      </c>
      <c r="G10465" s="37" t="str">
        <f t="shared" si="816"/>
        <v>Normal Discount</v>
      </c>
      <c r="H10465" s="37" t="str">
        <f t="shared" si="817"/>
        <v>Low</v>
      </c>
      <c r="I10465">
        <v>2</v>
      </c>
      <c r="J10465" t="str" cm="1">
        <f t="array" ref="J10465">_xlfn.IFS(I10465&lt;=3,"small",I10465&lt;=6,"Medium",I10465&lt;=9,"Large")</f>
        <v>small</v>
      </c>
      <c r="K10465" s="36">
        <v>45366</v>
      </c>
      <c r="L10465" s="36">
        <v>45368</v>
      </c>
      <c r="M10465" t="s">
        <v>598</v>
      </c>
      <c r="N10465" t="s">
        <v>608</v>
      </c>
      <c r="O10465" s="37" t="str">
        <f t="shared" si="818"/>
        <v>Cash Payment</v>
      </c>
      <c r="P10465">
        <v>792.97</v>
      </c>
      <c r="Q10465" s="37" t="str">
        <f>IF(P10465&gt;500,"High","low")</f>
        <v>High</v>
      </c>
      <c r="R10465" s="37" t="str">
        <f t="shared" si="819"/>
        <v>Good</v>
      </c>
      <c r="S10465" t="s">
        <v>600</v>
      </c>
    </row>
    <row r="10466" spans="1:19" x14ac:dyDescent="0.2">
      <c r="A10466" t="s">
        <v>11077</v>
      </c>
      <c r="B10466" t="s">
        <v>75</v>
      </c>
      <c r="C10466" t="s">
        <v>597</v>
      </c>
      <c r="D10466">
        <v>3710.45</v>
      </c>
      <c r="E10466" s="37" t="str">
        <f t="shared" si="815"/>
        <v xml:space="preserve"> </v>
      </c>
      <c r="F10466">
        <v>0.43</v>
      </c>
      <c r="G10466" s="37" t="str">
        <f t="shared" si="816"/>
        <v>Heavy Discount</v>
      </c>
      <c r="H10466" s="37" t="str">
        <f t="shared" si="817"/>
        <v>High</v>
      </c>
      <c r="I10466">
        <v>8</v>
      </c>
      <c r="J10466" t="str" cm="1">
        <f t="array" ref="J10466">_xlfn.IFS(I10466&lt;=3,"small",I10466&lt;=6,"Medium",I10466&lt;=9,"Large")</f>
        <v>Large</v>
      </c>
      <c r="K10466" s="36">
        <v>45168</v>
      </c>
      <c r="L10466" s="36">
        <v>45170</v>
      </c>
      <c r="M10466" t="s">
        <v>598</v>
      </c>
      <c r="N10466" t="s">
        <v>604</v>
      </c>
      <c r="O10466" s="37" t="str">
        <f t="shared" si="818"/>
        <v>Digital Payment</v>
      </c>
      <c r="P10466">
        <v>1056.78</v>
      </c>
      <c r="Q10466" s="37" t="str">
        <f>IF(P10466&gt;500,"High","low")</f>
        <v>High</v>
      </c>
      <c r="R10466" s="37" t="str">
        <f t="shared" si="819"/>
        <v>Excellent</v>
      </c>
      <c r="S10466" t="s">
        <v>609</v>
      </c>
    </row>
    <row r="10467" spans="1:19" x14ac:dyDescent="0.2">
      <c r="A10467" t="s">
        <v>11078</v>
      </c>
      <c r="B10467" t="s">
        <v>90</v>
      </c>
      <c r="C10467" t="s">
        <v>597</v>
      </c>
      <c r="D10467">
        <v>4263.37</v>
      </c>
      <c r="E10467" s="37" t="str">
        <f t="shared" si="815"/>
        <v>Excellent Order</v>
      </c>
      <c r="F10467">
        <v>0.06</v>
      </c>
      <c r="G10467" s="37" t="str">
        <f t="shared" si="816"/>
        <v>Normal Discount</v>
      </c>
      <c r="H10467" s="37" t="str">
        <f t="shared" si="817"/>
        <v>Low</v>
      </c>
      <c r="I10467">
        <v>5</v>
      </c>
      <c r="J10467" t="str" cm="1">
        <f t="array" ref="J10467">_xlfn.IFS(I10467&lt;=3,"small",I10467&lt;=6,"Medium",I10467&lt;=9,"Large")</f>
        <v>Medium</v>
      </c>
      <c r="K10467" s="36">
        <v>45563</v>
      </c>
      <c r="L10467" s="36">
        <v>45567</v>
      </c>
      <c r="M10467" t="s">
        <v>603</v>
      </c>
      <c r="N10467" t="s">
        <v>608</v>
      </c>
      <c r="O10467" s="37" t="str">
        <f t="shared" si="818"/>
        <v>Cash Payment</v>
      </c>
      <c r="P10467">
        <v>833.91</v>
      </c>
      <c r="Q10467" s="37" t="str">
        <f>IF(P10467&gt;500,"High","low")</f>
        <v>High</v>
      </c>
      <c r="R10467" s="37" t="str">
        <f t="shared" si="819"/>
        <v>Good</v>
      </c>
      <c r="S10467" t="s">
        <v>609</v>
      </c>
    </row>
    <row r="10468" spans="1:19" x14ac:dyDescent="0.2">
      <c r="A10468" t="s">
        <v>11079</v>
      </c>
      <c r="B10468" t="s">
        <v>75</v>
      </c>
      <c r="C10468" t="s">
        <v>602</v>
      </c>
      <c r="D10468">
        <v>4611.74</v>
      </c>
      <c r="E10468" s="37" t="str">
        <f t="shared" si="815"/>
        <v>Excellent Order</v>
      </c>
      <c r="F10468">
        <v>0.04</v>
      </c>
      <c r="G10468" s="37" t="str">
        <f t="shared" si="816"/>
        <v>Normal Discount</v>
      </c>
      <c r="H10468" s="37" t="str">
        <f t="shared" si="817"/>
        <v>Low</v>
      </c>
      <c r="I10468">
        <v>7</v>
      </c>
      <c r="J10468" t="str" cm="1">
        <f t="array" ref="J10468">_xlfn.IFS(I10468&lt;=3,"small",I10468&lt;=6,"Medium",I10468&lt;=9,"Large")</f>
        <v>Large</v>
      </c>
      <c r="K10468" s="36">
        <v>45223</v>
      </c>
      <c r="L10468" s="36">
        <v>45224</v>
      </c>
      <c r="M10468" t="s">
        <v>612</v>
      </c>
      <c r="N10468" t="s">
        <v>608</v>
      </c>
      <c r="O10468" s="37" t="str">
        <f t="shared" si="818"/>
        <v>Cash Payment</v>
      </c>
      <c r="P10468">
        <v>1374.09</v>
      </c>
      <c r="Q10468" s="37" t="str">
        <f>IF(P10468&gt;500,"High","low")</f>
        <v>High</v>
      </c>
      <c r="R10468" s="37" t="str">
        <f t="shared" si="819"/>
        <v>Excellent</v>
      </c>
      <c r="S10468" t="s">
        <v>628</v>
      </c>
    </row>
    <row r="10469" spans="1:19" x14ac:dyDescent="0.2">
      <c r="A10469" t="s">
        <v>11080</v>
      </c>
      <c r="B10469" t="s">
        <v>67</v>
      </c>
      <c r="C10469" t="s">
        <v>602</v>
      </c>
      <c r="D10469">
        <v>3925.76</v>
      </c>
      <c r="E10469" s="37" t="str">
        <f t="shared" si="815"/>
        <v xml:space="preserve"> </v>
      </c>
      <c r="F10469">
        <v>0</v>
      </c>
      <c r="G10469" s="37" t="str">
        <f t="shared" si="816"/>
        <v>Normal Discount</v>
      </c>
      <c r="H10469" s="37" t="str">
        <f t="shared" si="817"/>
        <v>Low</v>
      </c>
      <c r="I10469">
        <v>1</v>
      </c>
      <c r="J10469" t="str" cm="1">
        <f t="array" ref="J10469">_xlfn.IFS(I10469&lt;=3,"small",I10469&lt;=6,"Medium",I10469&lt;=9,"Large")</f>
        <v>small</v>
      </c>
      <c r="K10469" s="36">
        <v>45056</v>
      </c>
      <c r="L10469" s="36">
        <v>45061</v>
      </c>
      <c r="M10469" t="s">
        <v>603</v>
      </c>
      <c r="N10469" t="s">
        <v>608</v>
      </c>
      <c r="O10469" s="37" t="str">
        <f t="shared" si="818"/>
        <v>Cash Payment</v>
      </c>
      <c r="P10469">
        <v>537.79999999999995</v>
      </c>
      <c r="Q10469" s="37" t="str">
        <f>IF(P10469&gt;500,"High","low")</f>
        <v>High</v>
      </c>
      <c r="R10469" s="37" t="str">
        <f t="shared" si="819"/>
        <v>Good</v>
      </c>
      <c r="S10469" t="s">
        <v>628</v>
      </c>
    </row>
    <row r="10470" spans="1:19" x14ac:dyDescent="0.2">
      <c r="A10470" t="s">
        <v>11081</v>
      </c>
      <c r="B10470" t="s">
        <v>90</v>
      </c>
      <c r="C10470" t="s">
        <v>614</v>
      </c>
      <c r="D10470">
        <v>1382.67</v>
      </c>
      <c r="E10470" s="37" t="str">
        <f t="shared" si="815"/>
        <v xml:space="preserve"> </v>
      </c>
      <c r="F10470">
        <v>0.18</v>
      </c>
      <c r="G10470" s="37" t="str">
        <f t="shared" si="816"/>
        <v>Normal Discount</v>
      </c>
      <c r="H10470" s="37" t="str">
        <f t="shared" si="817"/>
        <v>Low</v>
      </c>
      <c r="I10470">
        <v>6</v>
      </c>
      <c r="J10470" t="str" cm="1">
        <f t="array" ref="J10470">_xlfn.IFS(I10470&lt;=3,"small",I10470&lt;=6,"Medium",I10470&lt;=9,"Large")</f>
        <v>Medium</v>
      </c>
      <c r="K10470" s="36">
        <v>45444</v>
      </c>
      <c r="L10470" s="36">
        <v>45445</v>
      </c>
      <c r="M10470" t="s">
        <v>612</v>
      </c>
      <c r="N10470" t="s">
        <v>604</v>
      </c>
      <c r="O10470" s="37" t="str">
        <f t="shared" si="818"/>
        <v>Digital Payment</v>
      </c>
      <c r="P10470">
        <v>283.47000000000003</v>
      </c>
      <c r="Q10470" s="37" t="str">
        <f>IF(P10470&gt;500,"High","low")</f>
        <v>low</v>
      </c>
      <c r="R10470" s="37" t="str">
        <f t="shared" si="819"/>
        <v>AVERAGE</v>
      </c>
      <c r="S10470" t="s">
        <v>620</v>
      </c>
    </row>
    <row r="10471" spans="1:19" x14ac:dyDescent="0.2">
      <c r="A10471" t="s">
        <v>11082</v>
      </c>
      <c r="B10471" t="s">
        <v>90</v>
      </c>
      <c r="C10471" t="s">
        <v>597</v>
      </c>
      <c r="D10471">
        <v>1498.68</v>
      </c>
      <c r="E10471" s="37" t="str">
        <f t="shared" si="815"/>
        <v xml:space="preserve"> </v>
      </c>
      <c r="F10471">
        <v>0.47</v>
      </c>
      <c r="G10471" s="37" t="str">
        <f t="shared" si="816"/>
        <v>Heavy Discount</v>
      </c>
      <c r="H10471" s="37" t="str">
        <f t="shared" si="817"/>
        <v>High</v>
      </c>
      <c r="I10471">
        <v>7</v>
      </c>
      <c r="J10471" t="str" cm="1">
        <f t="array" ref="J10471">_xlfn.IFS(I10471&lt;=3,"small",I10471&lt;=6,"Medium",I10471&lt;=9,"Large")</f>
        <v>Large</v>
      </c>
      <c r="K10471" s="36">
        <v>45154</v>
      </c>
      <c r="L10471" s="36">
        <v>45160</v>
      </c>
      <c r="M10471" t="s">
        <v>612</v>
      </c>
      <c r="N10471" t="s">
        <v>608</v>
      </c>
      <c r="O10471" s="37" t="str">
        <f t="shared" si="818"/>
        <v>Cash Payment</v>
      </c>
      <c r="P10471">
        <v>429.06</v>
      </c>
      <c r="Q10471" s="37" t="str">
        <f>IF(P10471&gt;500,"High","low")</f>
        <v>low</v>
      </c>
      <c r="R10471" s="37" t="str">
        <f t="shared" si="819"/>
        <v>AVERAGE</v>
      </c>
      <c r="S10471" t="s">
        <v>620</v>
      </c>
    </row>
    <row r="10472" spans="1:19" x14ac:dyDescent="0.2">
      <c r="A10472" t="s">
        <v>11083</v>
      </c>
      <c r="B10472" t="s">
        <v>83</v>
      </c>
      <c r="C10472" t="s">
        <v>617</v>
      </c>
      <c r="D10472">
        <v>1827.19</v>
      </c>
      <c r="E10472" s="37" t="str">
        <f t="shared" si="815"/>
        <v xml:space="preserve"> </v>
      </c>
      <c r="F10472">
        <v>0.45</v>
      </c>
      <c r="G10472" s="37" t="str">
        <f t="shared" si="816"/>
        <v>Heavy Discount</v>
      </c>
      <c r="H10472" s="37" t="str">
        <f t="shared" si="817"/>
        <v>High</v>
      </c>
      <c r="I10472">
        <v>7</v>
      </c>
      <c r="J10472" t="str" cm="1">
        <f t="array" ref="J10472">_xlfn.IFS(I10472&lt;=3,"small",I10472&lt;=6,"Medium",I10472&lt;=9,"Large")</f>
        <v>Large</v>
      </c>
      <c r="K10472" s="36">
        <v>45113</v>
      </c>
      <c r="L10472" s="36">
        <v>45117</v>
      </c>
      <c r="M10472" t="s">
        <v>612</v>
      </c>
      <c r="N10472" t="s">
        <v>599</v>
      </c>
      <c r="O10472" s="37" t="str">
        <f t="shared" si="818"/>
        <v>Digital Payment</v>
      </c>
      <c r="P10472">
        <v>398.79</v>
      </c>
      <c r="Q10472" s="37" t="str">
        <f>IF(P10472&gt;500,"High","low")</f>
        <v>low</v>
      </c>
      <c r="R10472" s="37" t="str">
        <f t="shared" si="819"/>
        <v>AVERAGE</v>
      </c>
      <c r="S10472" t="s">
        <v>609</v>
      </c>
    </row>
    <row r="10473" spans="1:19" x14ac:dyDescent="0.2">
      <c r="A10473" t="s">
        <v>11084</v>
      </c>
      <c r="B10473" t="s">
        <v>75</v>
      </c>
      <c r="C10473" t="s">
        <v>602</v>
      </c>
      <c r="D10473">
        <v>1585.07</v>
      </c>
      <c r="E10473" s="37" t="str">
        <f t="shared" si="815"/>
        <v xml:space="preserve"> </v>
      </c>
      <c r="F10473">
        <v>0.06</v>
      </c>
      <c r="G10473" s="37" t="str">
        <f t="shared" si="816"/>
        <v>Normal Discount</v>
      </c>
      <c r="H10473" s="37" t="str">
        <f t="shared" si="817"/>
        <v>Low</v>
      </c>
      <c r="I10473">
        <v>3</v>
      </c>
      <c r="J10473" t="str" cm="1">
        <f t="array" ref="J10473">_xlfn.IFS(I10473&lt;=3,"small",I10473&lt;=6,"Medium",I10473&lt;=9,"Large")</f>
        <v>small</v>
      </c>
      <c r="K10473" s="36">
        <v>45119</v>
      </c>
      <c r="L10473" s="36">
        <v>45125</v>
      </c>
      <c r="M10473" t="s">
        <v>603</v>
      </c>
      <c r="N10473" t="s">
        <v>599</v>
      </c>
      <c r="O10473" s="37" t="str">
        <f t="shared" si="818"/>
        <v>Digital Payment</v>
      </c>
      <c r="P10473">
        <v>179.04</v>
      </c>
      <c r="Q10473" s="37" t="str">
        <f>IF(P10473&gt;500,"High","low")</f>
        <v>low</v>
      </c>
      <c r="R10473" s="37" t="str">
        <f t="shared" si="819"/>
        <v>AVERAGE</v>
      </c>
      <c r="S10473" t="s">
        <v>609</v>
      </c>
    </row>
    <row r="10474" spans="1:19" x14ac:dyDescent="0.2">
      <c r="A10474" t="s">
        <v>11085</v>
      </c>
      <c r="B10474" t="s">
        <v>67</v>
      </c>
      <c r="C10474" t="s">
        <v>614</v>
      </c>
      <c r="D10474">
        <v>1320.58</v>
      </c>
      <c r="E10474" s="37" t="str">
        <f t="shared" si="815"/>
        <v xml:space="preserve"> </v>
      </c>
      <c r="F10474">
        <v>0.01</v>
      </c>
      <c r="G10474" s="37" t="str">
        <f t="shared" si="816"/>
        <v>Normal Discount</v>
      </c>
      <c r="H10474" s="37" t="str">
        <f t="shared" si="817"/>
        <v>Low</v>
      </c>
      <c r="I10474">
        <v>9</v>
      </c>
      <c r="J10474" t="str" cm="1">
        <f t="array" ref="J10474">_xlfn.IFS(I10474&lt;=3,"small",I10474&lt;=6,"Medium",I10474&lt;=9,"Large")</f>
        <v>Large</v>
      </c>
      <c r="K10474" s="36">
        <v>45213</v>
      </c>
      <c r="L10474" s="36">
        <v>45218</v>
      </c>
      <c r="M10474" t="s">
        <v>598</v>
      </c>
      <c r="N10474" t="s">
        <v>604</v>
      </c>
      <c r="O10474" s="37" t="str">
        <f t="shared" si="818"/>
        <v>Digital Payment</v>
      </c>
      <c r="P10474">
        <v>342.47</v>
      </c>
      <c r="Q10474" s="37" t="str">
        <f>IF(P10474&gt;500,"High","low")</f>
        <v>low</v>
      </c>
      <c r="R10474" s="37" t="str">
        <f t="shared" si="819"/>
        <v>AVERAGE</v>
      </c>
      <c r="S10474" t="s">
        <v>620</v>
      </c>
    </row>
    <row r="10475" spans="1:19" x14ac:dyDescent="0.2">
      <c r="A10475" t="s">
        <v>11086</v>
      </c>
      <c r="B10475" t="s">
        <v>67</v>
      </c>
      <c r="C10475" t="s">
        <v>617</v>
      </c>
      <c r="D10475">
        <v>3787.18</v>
      </c>
      <c r="E10475" s="37" t="str">
        <f t="shared" si="815"/>
        <v xml:space="preserve"> </v>
      </c>
      <c r="F10475">
        <v>0.38</v>
      </c>
      <c r="G10475" s="37" t="str">
        <f t="shared" si="816"/>
        <v>Heavy Discount</v>
      </c>
      <c r="H10475" s="37" t="str">
        <f t="shared" si="817"/>
        <v>Medium</v>
      </c>
      <c r="I10475">
        <v>9</v>
      </c>
      <c r="J10475" t="str" cm="1">
        <f t="array" ref="J10475">_xlfn.IFS(I10475&lt;=3,"small",I10475&lt;=6,"Medium",I10475&lt;=9,"Large")</f>
        <v>Large</v>
      </c>
      <c r="K10475" s="36">
        <v>45291</v>
      </c>
      <c r="L10475" s="36">
        <v>45294</v>
      </c>
      <c r="M10475" t="s">
        <v>612</v>
      </c>
      <c r="N10475" t="s">
        <v>608</v>
      </c>
      <c r="O10475" s="37" t="str">
        <f t="shared" si="818"/>
        <v>Cash Payment</v>
      </c>
      <c r="P10475">
        <v>686.32</v>
      </c>
      <c r="Q10475" s="37" t="str">
        <f>IF(P10475&gt;500,"High","low")</f>
        <v>High</v>
      </c>
      <c r="R10475" s="37" t="str">
        <f t="shared" si="819"/>
        <v>Good</v>
      </c>
      <c r="S10475" t="s">
        <v>620</v>
      </c>
    </row>
    <row r="10476" spans="1:19" x14ac:dyDescent="0.2">
      <c r="A10476" t="s">
        <v>11087</v>
      </c>
      <c r="B10476" t="s">
        <v>90</v>
      </c>
      <c r="C10476" t="s">
        <v>597</v>
      </c>
      <c r="D10476">
        <v>266.56</v>
      </c>
      <c r="E10476" s="37" t="str">
        <f t="shared" si="815"/>
        <v xml:space="preserve"> </v>
      </c>
      <c r="F10476">
        <v>0.15</v>
      </c>
      <c r="G10476" s="37" t="str">
        <f t="shared" si="816"/>
        <v>Normal Discount</v>
      </c>
      <c r="H10476" s="37" t="str">
        <f t="shared" si="817"/>
        <v>Low</v>
      </c>
      <c r="I10476">
        <v>5</v>
      </c>
      <c r="J10476" t="str" cm="1">
        <f t="array" ref="J10476">_xlfn.IFS(I10476&lt;=3,"small",I10476&lt;=6,"Medium",I10476&lt;=9,"Large")</f>
        <v>Medium</v>
      </c>
      <c r="K10476" s="36">
        <v>45027</v>
      </c>
      <c r="L10476" s="36">
        <v>45034</v>
      </c>
      <c r="M10476" t="s">
        <v>598</v>
      </c>
      <c r="N10476" t="s">
        <v>599</v>
      </c>
      <c r="O10476" s="37" t="str">
        <f t="shared" si="818"/>
        <v>Digital Payment</v>
      </c>
      <c r="P10476">
        <v>61.8</v>
      </c>
      <c r="Q10476" s="37" t="str">
        <f>IF(P10476&gt;500,"High","low")</f>
        <v>low</v>
      </c>
      <c r="R10476" s="37" t="str">
        <f t="shared" si="819"/>
        <v>AVERAGE</v>
      </c>
      <c r="S10476" t="s">
        <v>628</v>
      </c>
    </row>
    <row r="10477" spans="1:19" x14ac:dyDescent="0.2">
      <c r="A10477" t="s">
        <v>11088</v>
      </c>
      <c r="B10477" t="s">
        <v>83</v>
      </c>
      <c r="C10477" t="s">
        <v>602</v>
      </c>
      <c r="D10477">
        <v>3669.13</v>
      </c>
      <c r="E10477" s="37" t="str">
        <f t="shared" si="815"/>
        <v xml:space="preserve"> </v>
      </c>
      <c r="F10477">
        <v>0.42</v>
      </c>
      <c r="G10477" s="37" t="str">
        <f t="shared" si="816"/>
        <v>Heavy Discount</v>
      </c>
      <c r="H10477" s="37" t="str">
        <f t="shared" si="817"/>
        <v>High</v>
      </c>
      <c r="I10477">
        <v>9</v>
      </c>
      <c r="J10477" t="str" cm="1">
        <f t="array" ref="J10477">_xlfn.IFS(I10477&lt;=3,"small",I10477&lt;=6,"Medium",I10477&lt;=9,"Large")</f>
        <v>Large</v>
      </c>
      <c r="K10477" s="36">
        <v>44972</v>
      </c>
      <c r="L10477" s="36">
        <v>44973</v>
      </c>
      <c r="M10477" t="s">
        <v>598</v>
      </c>
      <c r="N10477" t="s">
        <v>599</v>
      </c>
      <c r="O10477" s="37" t="str">
        <f t="shared" si="818"/>
        <v>Digital Payment</v>
      </c>
      <c r="P10477">
        <v>207.5</v>
      </c>
      <c r="Q10477" s="37" t="str">
        <f>IF(P10477&gt;500,"High","low")</f>
        <v>low</v>
      </c>
      <c r="R10477" s="37" t="str">
        <f t="shared" si="819"/>
        <v>AVERAGE</v>
      </c>
      <c r="S10477" t="s">
        <v>605</v>
      </c>
    </row>
    <row r="10478" spans="1:19" x14ac:dyDescent="0.2">
      <c r="A10478" t="s">
        <v>11089</v>
      </c>
      <c r="B10478" t="s">
        <v>90</v>
      </c>
      <c r="C10478" t="s">
        <v>602</v>
      </c>
      <c r="D10478">
        <v>4135.46</v>
      </c>
      <c r="E10478" s="37" t="str">
        <f t="shared" si="815"/>
        <v xml:space="preserve"> </v>
      </c>
      <c r="F10478">
        <v>0.11</v>
      </c>
      <c r="G10478" s="37" t="str">
        <f t="shared" si="816"/>
        <v>Normal Discount</v>
      </c>
      <c r="H10478" s="37" t="str">
        <f t="shared" si="817"/>
        <v>Low</v>
      </c>
      <c r="I10478">
        <v>7</v>
      </c>
      <c r="J10478" t="str" cm="1">
        <f t="array" ref="J10478">_xlfn.IFS(I10478&lt;=3,"small",I10478&lt;=6,"Medium",I10478&lt;=9,"Large")</f>
        <v>Large</v>
      </c>
      <c r="K10478" s="36">
        <v>45498</v>
      </c>
      <c r="L10478" s="36">
        <v>45502</v>
      </c>
      <c r="M10478" t="s">
        <v>598</v>
      </c>
      <c r="N10478" t="s">
        <v>608</v>
      </c>
      <c r="O10478" s="37" t="str">
        <f t="shared" si="818"/>
        <v>Cash Payment</v>
      </c>
      <c r="P10478">
        <v>619.25</v>
      </c>
      <c r="Q10478" s="37" t="str">
        <f>IF(P10478&gt;500,"High","low")</f>
        <v>High</v>
      </c>
      <c r="R10478" s="37" t="str">
        <f t="shared" si="819"/>
        <v>Good</v>
      </c>
      <c r="S10478" t="s">
        <v>600</v>
      </c>
    </row>
    <row r="10479" spans="1:19" x14ac:dyDescent="0.2">
      <c r="A10479" t="s">
        <v>11090</v>
      </c>
      <c r="B10479" t="s">
        <v>90</v>
      </c>
      <c r="C10479" t="s">
        <v>614</v>
      </c>
      <c r="D10479">
        <v>423.62</v>
      </c>
      <c r="E10479" s="37" t="str">
        <f t="shared" si="815"/>
        <v xml:space="preserve"> </v>
      </c>
      <c r="F10479">
        <v>0.25</v>
      </c>
      <c r="G10479" s="37" t="str">
        <f t="shared" si="816"/>
        <v>Normal Discount</v>
      </c>
      <c r="H10479" s="37" t="str">
        <f t="shared" si="817"/>
        <v>Medium</v>
      </c>
      <c r="I10479">
        <v>7</v>
      </c>
      <c r="J10479" t="str" cm="1">
        <f t="array" ref="J10479">_xlfn.IFS(I10479&lt;=3,"small",I10479&lt;=6,"Medium",I10479&lt;=9,"Large")</f>
        <v>Large</v>
      </c>
      <c r="K10479" s="36">
        <v>45484</v>
      </c>
      <c r="L10479" s="36">
        <v>45487</v>
      </c>
      <c r="M10479" t="s">
        <v>598</v>
      </c>
      <c r="N10479" t="s">
        <v>608</v>
      </c>
      <c r="O10479" s="37" t="str">
        <f t="shared" si="818"/>
        <v>Cash Payment</v>
      </c>
      <c r="P10479">
        <v>88.95</v>
      </c>
      <c r="Q10479" s="37" t="str">
        <f>IF(P10479&gt;500,"High","low")</f>
        <v>low</v>
      </c>
      <c r="R10479" s="37" t="str">
        <f t="shared" si="819"/>
        <v>AVERAGE</v>
      </c>
      <c r="S10479" t="s">
        <v>628</v>
      </c>
    </row>
    <row r="10480" spans="1:19" x14ac:dyDescent="0.2">
      <c r="A10480" t="s">
        <v>11091</v>
      </c>
      <c r="B10480" t="s">
        <v>90</v>
      </c>
      <c r="C10480" t="s">
        <v>614</v>
      </c>
      <c r="D10480">
        <v>403.05</v>
      </c>
      <c r="E10480" s="37" t="str">
        <f t="shared" si="815"/>
        <v xml:space="preserve"> </v>
      </c>
      <c r="F10480">
        <v>0.02</v>
      </c>
      <c r="G10480" s="37" t="str">
        <f t="shared" si="816"/>
        <v>Normal Discount</v>
      </c>
      <c r="H10480" s="37" t="str">
        <f t="shared" si="817"/>
        <v>Low</v>
      </c>
      <c r="I10480">
        <v>9</v>
      </c>
      <c r="J10480" t="str" cm="1">
        <f t="array" ref="J10480">_xlfn.IFS(I10480&lt;=3,"small",I10480&lt;=6,"Medium",I10480&lt;=9,"Large")</f>
        <v>Large</v>
      </c>
      <c r="K10480" s="36">
        <v>45201</v>
      </c>
      <c r="L10480" s="36">
        <v>45207</v>
      </c>
      <c r="M10480" t="s">
        <v>598</v>
      </c>
      <c r="N10480" t="s">
        <v>599</v>
      </c>
      <c r="O10480" s="37" t="str">
        <f t="shared" si="818"/>
        <v>Digital Payment</v>
      </c>
      <c r="P10480">
        <v>88.31</v>
      </c>
      <c r="Q10480" s="37" t="str">
        <f>IF(P10480&gt;500,"High","low")</f>
        <v>low</v>
      </c>
      <c r="R10480" s="37" t="str">
        <f t="shared" si="819"/>
        <v>AVERAGE</v>
      </c>
      <c r="S10480" t="s">
        <v>620</v>
      </c>
    </row>
    <row r="10481" spans="1:19" x14ac:dyDescent="0.2">
      <c r="A10481" t="s">
        <v>11092</v>
      </c>
      <c r="B10481" t="s">
        <v>90</v>
      </c>
      <c r="C10481" t="s">
        <v>597</v>
      </c>
      <c r="D10481">
        <v>1498.77</v>
      </c>
      <c r="E10481" s="37" t="str">
        <f t="shared" si="815"/>
        <v xml:space="preserve"> </v>
      </c>
      <c r="F10481">
        <v>0.45</v>
      </c>
      <c r="G10481" s="37" t="str">
        <f t="shared" si="816"/>
        <v>Heavy Discount</v>
      </c>
      <c r="H10481" s="37" t="str">
        <f t="shared" si="817"/>
        <v>High</v>
      </c>
      <c r="I10481">
        <v>2</v>
      </c>
      <c r="J10481" t="str" cm="1">
        <f t="array" ref="J10481">_xlfn.IFS(I10481&lt;=3,"small",I10481&lt;=6,"Medium",I10481&lt;=9,"Large")</f>
        <v>small</v>
      </c>
      <c r="K10481" s="36">
        <v>45183</v>
      </c>
      <c r="L10481" s="36">
        <v>45187</v>
      </c>
      <c r="M10481" t="s">
        <v>612</v>
      </c>
      <c r="N10481" t="s">
        <v>599</v>
      </c>
      <c r="O10481" s="37" t="str">
        <f t="shared" si="818"/>
        <v>Digital Payment</v>
      </c>
      <c r="P10481">
        <v>276.36</v>
      </c>
      <c r="Q10481" s="37" t="str">
        <f>IF(P10481&gt;500,"High","low")</f>
        <v>low</v>
      </c>
      <c r="R10481" s="37" t="str">
        <f t="shared" si="819"/>
        <v>AVERAGE</v>
      </c>
      <c r="S10481" t="s">
        <v>615</v>
      </c>
    </row>
    <row r="10482" spans="1:19" x14ac:dyDescent="0.2">
      <c r="A10482" t="s">
        <v>11093</v>
      </c>
      <c r="B10482" t="s">
        <v>67</v>
      </c>
      <c r="C10482" t="s">
        <v>602</v>
      </c>
      <c r="D10482">
        <v>1120.7</v>
      </c>
      <c r="E10482" s="37" t="str">
        <f t="shared" si="815"/>
        <v xml:space="preserve"> </v>
      </c>
      <c r="F10482">
        <v>0.09</v>
      </c>
      <c r="G10482" s="37" t="str">
        <f t="shared" si="816"/>
        <v>Normal Discount</v>
      </c>
      <c r="H10482" s="37" t="str">
        <f t="shared" si="817"/>
        <v>Low</v>
      </c>
      <c r="I10482">
        <v>5</v>
      </c>
      <c r="J10482" t="str" cm="1">
        <f t="array" ref="J10482">_xlfn.IFS(I10482&lt;=3,"small",I10482&lt;=6,"Medium",I10482&lt;=9,"Large")</f>
        <v>Medium</v>
      </c>
      <c r="K10482" s="36">
        <v>44944</v>
      </c>
      <c r="L10482" s="36">
        <v>44949</v>
      </c>
      <c r="M10482" t="s">
        <v>612</v>
      </c>
      <c r="N10482" t="s">
        <v>599</v>
      </c>
      <c r="O10482" s="37" t="str">
        <f t="shared" si="818"/>
        <v>Digital Payment</v>
      </c>
      <c r="P10482">
        <v>67.400000000000006</v>
      </c>
      <c r="Q10482" s="37" t="str">
        <f>IF(P10482&gt;500,"High","low")</f>
        <v>low</v>
      </c>
      <c r="R10482" s="37" t="str">
        <f t="shared" si="819"/>
        <v>AVERAGE</v>
      </c>
      <c r="S10482" t="s">
        <v>620</v>
      </c>
    </row>
    <row r="10483" spans="1:19" x14ac:dyDescent="0.2">
      <c r="A10483" t="s">
        <v>11094</v>
      </c>
      <c r="B10483" t="s">
        <v>67</v>
      </c>
      <c r="C10483" t="s">
        <v>614</v>
      </c>
      <c r="D10483">
        <v>2947.56</v>
      </c>
      <c r="E10483" s="37" t="str">
        <f t="shared" si="815"/>
        <v xml:space="preserve"> </v>
      </c>
      <c r="F10483">
        <v>0.15</v>
      </c>
      <c r="G10483" s="37" t="str">
        <f t="shared" si="816"/>
        <v>Normal Discount</v>
      </c>
      <c r="H10483" s="37" t="str">
        <f t="shared" si="817"/>
        <v>Low</v>
      </c>
      <c r="I10483">
        <v>8</v>
      </c>
      <c r="J10483" t="str" cm="1">
        <f t="array" ref="J10483">_xlfn.IFS(I10483&lt;=3,"small",I10483&lt;=6,"Medium",I10483&lt;=9,"Large")</f>
        <v>Large</v>
      </c>
      <c r="K10483" s="36">
        <v>45342</v>
      </c>
      <c r="L10483" s="36">
        <v>45348</v>
      </c>
      <c r="M10483" t="s">
        <v>612</v>
      </c>
      <c r="N10483" t="s">
        <v>599</v>
      </c>
      <c r="O10483" s="37" t="str">
        <f t="shared" si="818"/>
        <v>Digital Payment</v>
      </c>
      <c r="P10483">
        <v>737.25</v>
      </c>
      <c r="Q10483" s="37" t="str">
        <f>IF(P10483&gt;500,"High","low")</f>
        <v>High</v>
      </c>
      <c r="R10483" s="37" t="str">
        <f t="shared" si="819"/>
        <v>Good</v>
      </c>
      <c r="S10483" t="s">
        <v>615</v>
      </c>
    </row>
    <row r="10484" spans="1:19" x14ac:dyDescent="0.2">
      <c r="A10484" t="s">
        <v>11095</v>
      </c>
      <c r="B10484" t="s">
        <v>90</v>
      </c>
      <c r="C10484" t="s">
        <v>602</v>
      </c>
      <c r="D10484">
        <v>3409.71</v>
      </c>
      <c r="E10484" s="37" t="str">
        <f t="shared" si="815"/>
        <v xml:space="preserve"> </v>
      </c>
      <c r="F10484">
        <v>0.24</v>
      </c>
      <c r="G10484" s="37" t="str">
        <f t="shared" si="816"/>
        <v>Normal Discount</v>
      </c>
      <c r="H10484" s="37" t="str">
        <f t="shared" si="817"/>
        <v>Medium</v>
      </c>
      <c r="I10484">
        <v>8</v>
      </c>
      <c r="J10484" t="str" cm="1">
        <f t="array" ref="J10484">_xlfn.IFS(I10484&lt;=3,"small",I10484&lt;=6,"Medium",I10484&lt;=9,"Large")</f>
        <v>Large</v>
      </c>
      <c r="K10484" s="36">
        <v>45153</v>
      </c>
      <c r="L10484" s="36">
        <v>45160</v>
      </c>
      <c r="M10484" t="s">
        <v>603</v>
      </c>
      <c r="N10484" t="s">
        <v>608</v>
      </c>
      <c r="O10484" s="37" t="str">
        <f t="shared" si="818"/>
        <v>Cash Payment</v>
      </c>
      <c r="P10484">
        <v>708.31</v>
      </c>
      <c r="Q10484" s="37" t="str">
        <f>IF(P10484&gt;500,"High","low")</f>
        <v>High</v>
      </c>
      <c r="R10484" s="37" t="str">
        <f t="shared" si="819"/>
        <v>Good</v>
      </c>
      <c r="S10484" t="s">
        <v>628</v>
      </c>
    </row>
    <row r="10485" spans="1:19" x14ac:dyDescent="0.2">
      <c r="A10485" t="s">
        <v>11096</v>
      </c>
      <c r="B10485" t="s">
        <v>90</v>
      </c>
      <c r="C10485" t="s">
        <v>597</v>
      </c>
      <c r="D10485">
        <v>3207.3</v>
      </c>
      <c r="E10485" s="37" t="str">
        <f t="shared" si="815"/>
        <v xml:space="preserve"> </v>
      </c>
      <c r="F10485">
        <v>0.14000000000000001</v>
      </c>
      <c r="G10485" s="37" t="str">
        <f t="shared" si="816"/>
        <v>Normal Discount</v>
      </c>
      <c r="H10485" s="37" t="str">
        <f t="shared" si="817"/>
        <v>Low</v>
      </c>
      <c r="I10485">
        <v>3</v>
      </c>
      <c r="J10485" t="str" cm="1">
        <f t="array" ref="J10485">_xlfn.IFS(I10485&lt;=3,"small",I10485&lt;=6,"Medium",I10485&lt;=9,"Large")</f>
        <v>small</v>
      </c>
      <c r="K10485" s="36">
        <v>45150</v>
      </c>
      <c r="L10485" s="36">
        <v>45151</v>
      </c>
      <c r="M10485" t="s">
        <v>603</v>
      </c>
      <c r="N10485" t="s">
        <v>604</v>
      </c>
      <c r="O10485" s="37" t="str">
        <f t="shared" si="818"/>
        <v>Digital Payment</v>
      </c>
      <c r="P10485">
        <v>237.26</v>
      </c>
      <c r="Q10485" s="37" t="str">
        <f>IF(P10485&gt;500,"High","low")</f>
        <v>low</v>
      </c>
      <c r="R10485" s="37" t="str">
        <f t="shared" si="819"/>
        <v>AVERAGE</v>
      </c>
      <c r="S10485" t="s">
        <v>628</v>
      </c>
    </row>
    <row r="10486" spans="1:19" x14ac:dyDescent="0.2">
      <c r="A10486" t="s">
        <v>11097</v>
      </c>
      <c r="B10486" t="s">
        <v>83</v>
      </c>
      <c r="C10486" t="s">
        <v>602</v>
      </c>
      <c r="D10486">
        <v>1851</v>
      </c>
      <c r="E10486" s="37" t="str">
        <f t="shared" si="815"/>
        <v xml:space="preserve"> </v>
      </c>
      <c r="F10486">
        <v>0.02</v>
      </c>
      <c r="G10486" s="37" t="str">
        <f t="shared" si="816"/>
        <v>Normal Discount</v>
      </c>
      <c r="H10486" s="37" t="str">
        <f t="shared" si="817"/>
        <v>Low</v>
      </c>
      <c r="I10486">
        <v>5</v>
      </c>
      <c r="J10486" t="str" cm="1">
        <f t="array" ref="J10486">_xlfn.IFS(I10486&lt;=3,"small",I10486&lt;=6,"Medium",I10486&lt;=9,"Large")</f>
        <v>Medium</v>
      </c>
      <c r="K10486" s="36">
        <v>45241</v>
      </c>
      <c r="L10486" s="36">
        <v>45245</v>
      </c>
      <c r="M10486" t="s">
        <v>603</v>
      </c>
      <c r="N10486" t="s">
        <v>608</v>
      </c>
      <c r="O10486" s="37" t="str">
        <f t="shared" si="818"/>
        <v>Cash Payment</v>
      </c>
      <c r="P10486">
        <v>492.65</v>
      </c>
      <c r="Q10486" s="37" t="str">
        <f>IF(P10486&gt;500,"High","low")</f>
        <v>low</v>
      </c>
      <c r="R10486" s="37" t="str">
        <f t="shared" si="819"/>
        <v>AVERAGE</v>
      </c>
      <c r="S10486" t="s">
        <v>628</v>
      </c>
    </row>
    <row r="10487" spans="1:19" x14ac:dyDescent="0.2">
      <c r="A10487" t="s">
        <v>11098</v>
      </c>
      <c r="B10487" t="s">
        <v>90</v>
      </c>
      <c r="C10487" t="s">
        <v>617</v>
      </c>
      <c r="D10487">
        <v>2542.15</v>
      </c>
      <c r="E10487" s="37" t="str">
        <f t="shared" si="815"/>
        <v xml:space="preserve"> </v>
      </c>
      <c r="F10487">
        <v>0.01</v>
      </c>
      <c r="G10487" s="37" t="str">
        <f t="shared" si="816"/>
        <v>Normal Discount</v>
      </c>
      <c r="H10487" s="37" t="str">
        <f t="shared" si="817"/>
        <v>Low</v>
      </c>
      <c r="I10487">
        <v>4</v>
      </c>
      <c r="J10487" t="str" cm="1">
        <f t="array" ref="J10487">_xlfn.IFS(I10487&lt;=3,"small",I10487&lt;=6,"Medium",I10487&lt;=9,"Large")</f>
        <v>Medium</v>
      </c>
      <c r="K10487" s="36">
        <v>44991</v>
      </c>
      <c r="L10487" s="36">
        <v>44998</v>
      </c>
      <c r="M10487" t="s">
        <v>598</v>
      </c>
      <c r="N10487" t="s">
        <v>604</v>
      </c>
      <c r="O10487" s="37" t="str">
        <f t="shared" si="818"/>
        <v>Digital Payment</v>
      </c>
      <c r="P10487">
        <v>523.49</v>
      </c>
      <c r="Q10487" s="37" t="str">
        <f>IF(P10487&gt;500,"High","low")</f>
        <v>High</v>
      </c>
      <c r="R10487" s="37" t="str">
        <f t="shared" si="819"/>
        <v>Good</v>
      </c>
      <c r="S10487" t="s">
        <v>605</v>
      </c>
    </row>
    <row r="10488" spans="1:19" x14ac:dyDescent="0.2">
      <c r="A10488" t="s">
        <v>11099</v>
      </c>
      <c r="B10488" t="s">
        <v>67</v>
      </c>
      <c r="C10488" t="s">
        <v>602</v>
      </c>
      <c r="D10488">
        <v>3235.96</v>
      </c>
      <c r="E10488" s="37" t="str">
        <f t="shared" si="815"/>
        <v xml:space="preserve"> </v>
      </c>
      <c r="F10488">
        <v>0.48</v>
      </c>
      <c r="G10488" s="37" t="str">
        <f t="shared" si="816"/>
        <v>Heavy Discount</v>
      </c>
      <c r="H10488" s="37" t="str">
        <f t="shared" si="817"/>
        <v>High</v>
      </c>
      <c r="I10488">
        <v>4</v>
      </c>
      <c r="J10488" t="str" cm="1">
        <f t="array" ref="J10488">_xlfn.IFS(I10488&lt;=3,"small",I10488&lt;=6,"Medium",I10488&lt;=9,"Large")</f>
        <v>Medium</v>
      </c>
      <c r="K10488" s="36">
        <v>45099</v>
      </c>
      <c r="L10488" s="36">
        <v>45105</v>
      </c>
      <c r="M10488" t="s">
        <v>612</v>
      </c>
      <c r="N10488" t="s">
        <v>608</v>
      </c>
      <c r="O10488" s="37" t="str">
        <f t="shared" si="818"/>
        <v>Cash Payment</v>
      </c>
      <c r="P10488">
        <v>847.28</v>
      </c>
      <c r="Q10488" s="37" t="str">
        <f>IF(P10488&gt;500,"High","low")</f>
        <v>High</v>
      </c>
      <c r="R10488" s="37" t="str">
        <f t="shared" si="819"/>
        <v>Good</v>
      </c>
      <c r="S10488" t="s">
        <v>609</v>
      </c>
    </row>
    <row r="10489" spans="1:19" x14ac:dyDescent="0.2">
      <c r="A10489" t="s">
        <v>11100</v>
      </c>
      <c r="B10489" t="s">
        <v>75</v>
      </c>
      <c r="C10489" t="s">
        <v>607</v>
      </c>
      <c r="D10489">
        <v>685.19</v>
      </c>
      <c r="E10489" s="37" t="str">
        <f t="shared" si="815"/>
        <v xml:space="preserve"> </v>
      </c>
      <c r="F10489">
        <v>0.16</v>
      </c>
      <c r="G10489" s="37" t="str">
        <f t="shared" si="816"/>
        <v>Normal Discount</v>
      </c>
      <c r="H10489" s="37" t="str">
        <f t="shared" si="817"/>
        <v>Low</v>
      </c>
      <c r="I10489">
        <v>2</v>
      </c>
      <c r="J10489" t="str" cm="1">
        <f t="array" ref="J10489">_xlfn.IFS(I10489&lt;=3,"small",I10489&lt;=6,"Medium",I10489&lt;=9,"Large")</f>
        <v>small</v>
      </c>
      <c r="K10489" s="36">
        <v>45590</v>
      </c>
      <c r="L10489" s="36">
        <v>45595</v>
      </c>
      <c r="M10489" t="s">
        <v>598</v>
      </c>
      <c r="N10489" t="s">
        <v>608</v>
      </c>
      <c r="O10489" s="37" t="str">
        <f t="shared" si="818"/>
        <v>Cash Payment</v>
      </c>
      <c r="P10489">
        <v>177.11</v>
      </c>
      <c r="Q10489" s="37" t="str">
        <f>IF(P10489&gt;500,"High","low")</f>
        <v>low</v>
      </c>
      <c r="R10489" s="37" t="str">
        <f t="shared" si="819"/>
        <v>AVERAGE</v>
      </c>
      <c r="S10489" t="s">
        <v>609</v>
      </c>
    </row>
    <row r="10490" spans="1:19" x14ac:dyDescent="0.2">
      <c r="A10490" t="s">
        <v>11101</v>
      </c>
      <c r="B10490" t="s">
        <v>67</v>
      </c>
      <c r="C10490" t="s">
        <v>607</v>
      </c>
      <c r="D10490">
        <v>1224.6099999999999</v>
      </c>
      <c r="E10490" s="37" t="str">
        <f t="shared" si="815"/>
        <v xml:space="preserve"> </v>
      </c>
      <c r="F10490">
        <v>0.17</v>
      </c>
      <c r="G10490" s="37" t="str">
        <f t="shared" si="816"/>
        <v>Normal Discount</v>
      </c>
      <c r="H10490" s="37" t="str">
        <f t="shared" si="817"/>
        <v>Low</v>
      </c>
      <c r="I10490">
        <v>6</v>
      </c>
      <c r="J10490" t="str" cm="1">
        <f t="array" ref="J10490">_xlfn.IFS(I10490&lt;=3,"small",I10490&lt;=6,"Medium",I10490&lt;=9,"Large")</f>
        <v>Medium</v>
      </c>
      <c r="K10490" s="36">
        <v>45364</v>
      </c>
      <c r="L10490" s="36">
        <v>45368</v>
      </c>
      <c r="M10490" t="s">
        <v>603</v>
      </c>
      <c r="N10490" t="s">
        <v>604</v>
      </c>
      <c r="O10490" s="37" t="str">
        <f t="shared" si="818"/>
        <v>Digital Payment</v>
      </c>
      <c r="P10490">
        <v>273.11</v>
      </c>
      <c r="Q10490" s="37" t="str">
        <f>IF(P10490&gt;500,"High","low")</f>
        <v>low</v>
      </c>
      <c r="R10490" s="37" t="str">
        <f t="shared" si="819"/>
        <v>AVERAGE</v>
      </c>
      <c r="S10490" t="s">
        <v>628</v>
      </c>
    </row>
    <row r="10491" spans="1:19" x14ac:dyDescent="0.2">
      <c r="A10491" t="s">
        <v>11102</v>
      </c>
      <c r="B10491" t="s">
        <v>83</v>
      </c>
      <c r="C10491" t="s">
        <v>597</v>
      </c>
      <c r="D10491">
        <v>4463.43</v>
      </c>
      <c r="E10491" s="37" t="str">
        <f t="shared" si="815"/>
        <v xml:space="preserve"> </v>
      </c>
      <c r="F10491">
        <v>0.46</v>
      </c>
      <c r="G10491" s="37" t="str">
        <f t="shared" si="816"/>
        <v>Heavy Discount</v>
      </c>
      <c r="H10491" s="37" t="str">
        <f t="shared" si="817"/>
        <v>High</v>
      </c>
      <c r="I10491">
        <v>1</v>
      </c>
      <c r="J10491" t="str" cm="1">
        <f t="array" ref="J10491">_xlfn.IFS(I10491&lt;=3,"small",I10491&lt;=6,"Medium",I10491&lt;=9,"Large")</f>
        <v>small</v>
      </c>
      <c r="K10491" s="36">
        <v>45005</v>
      </c>
      <c r="L10491" s="36">
        <v>45007</v>
      </c>
      <c r="M10491" t="s">
        <v>598</v>
      </c>
      <c r="N10491" t="s">
        <v>599</v>
      </c>
      <c r="O10491" s="37" t="str">
        <f t="shared" si="818"/>
        <v>Digital Payment</v>
      </c>
      <c r="P10491">
        <v>542.87</v>
      </c>
      <c r="Q10491" s="37" t="str">
        <f>IF(P10491&gt;500,"High","low")</f>
        <v>High</v>
      </c>
      <c r="R10491" s="37" t="str">
        <f t="shared" si="819"/>
        <v>Good</v>
      </c>
      <c r="S10491" t="s">
        <v>605</v>
      </c>
    </row>
    <row r="10492" spans="1:19" x14ac:dyDescent="0.2">
      <c r="A10492" t="s">
        <v>11103</v>
      </c>
      <c r="B10492" t="s">
        <v>67</v>
      </c>
      <c r="C10492" t="s">
        <v>597</v>
      </c>
      <c r="D10492">
        <v>1777.4</v>
      </c>
      <c r="E10492" s="37" t="str">
        <f t="shared" si="815"/>
        <v xml:space="preserve"> </v>
      </c>
      <c r="F10492">
        <v>0.42</v>
      </c>
      <c r="G10492" s="37" t="str">
        <f t="shared" si="816"/>
        <v>Heavy Discount</v>
      </c>
      <c r="H10492" s="37" t="str">
        <f t="shared" si="817"/>
        <v>High</v>
      </c>
      <c r="I10492">
        <v>8</v>
      </c>
      <c r="J10492" t="str" cm="1">
        <f t="array" ref="J10492">_xlfn.IFS(I10492&lt;=3,"small",I10492&lt;=6,"Medium",I10492&lt;=9,"Large")</f>
        <v>Large</v>
      </c>
      <c r="K10492" s="36">
        <v>45150</v>
      </c>
      <c r="L10492" s="36">
        <v>45156</v>
      </c>
      <c r="M10492" t="s">
        <v>598</v>
      </c>
      <c r="N10492" t="s">
        <v>599</v>
      </c>
      <c r="O10492" s="37" t="str">
        <f t="shared" si="818"/>
        <v>Digital Payment</v>
      </c>
      <c r="P10492">
        <v>432</v>
      </c>
      <c r="Q10492" s="37" t="str">
        <f>IF(P10492&gt;500,"High","low")</f>
        <v>low</v>
      </c>
      <c r="R10492" s="37" t="str">
        <f t="shared" si="819"/>
        <v>AVERAGE</v>
      </c>
      <c r="S10492" t="s">
        <v>600</v>
      </c>
    </row>
    <row r="10493" spans="1:19" x14ac:dyDescent="0.2">
      <c r="A10493" t="s">
        <v>11104</v>
      </c>
      <c r="B10493" t="s">
        <v>75</v>
      </c>
      <c r="C10493" t="s">
        <v>597</v>
      </c>
      <c r="D10493">
        <v>4025.67</v>
      </c>
      <c r="E10493" s="37" t="str">
        <f t="shared" si="815"/>
        <v xml:space="preserve"> </v>
      </c>
      <c r="F10493">
        <v>0.34</v>
      </c>
      <c r="G10493" s="37" t="str">
        <f t="shared" si="816"/>
        <v>Heavy Discount</v>
      </c>
      <c r="H10493" s="37" t="str">
        <f t="shared" si="817"/>
        <v>Medium</v>
      </c>
      <c r="I10493">
        <v>9</v>
      </c>
      <c r="J10493" t="str" cm="1">
        <f t="array" ref="J10493">_xlfn.IFS(I10493&lt;=3,"small",I10493&lt;=6,"Medium",I10493&lt;=9,"Large")</f>
        <v>Large</v>
      </c>
      <c r="K10493" s="36">
        <v>45206</v>
      </c>
      <c r="L10493" s="36">
        <v>45212</v>
      </c>
      <c r="M10493" t="s">
        <v>598</v>
      </c>
      <c r="N10493" t="s">
        <v>608</v>
      </c>
      <c r="O10493" s="37" t="str">
        <f t="shared" si="818"/>
        <v>Cash Payment</v>
      </c>
      <c r="P10493">
        <v>532.02</v>
      </c>
      <c r="Q10493" s="37" t="str">
        <f>IF(P10493&gt;500,"High","low")</f>
        <v>High</v>
      </c>
      <c r="R10493" s="37" t="str">
        <f t="shared" si="819"/>
        <v>Good</v>
      </c>
      <c r="S10493" t="s">
        <v>605</v>
      </c>
    </row>
    <row r="10494" spans="1:19" x14ac:dyDescent="0.2">
      <c r="A10494" t="s">
        <v>11105</v>
      </c>
      <c r="B10494" t="s">
        <v>90</v>
      </c>
      <c r="C10494" t="s">
        <v>617</v>
      </c>
      <c r="D10494">
        <v>1329.85</v>
      </c>
      <c r="E10494" s="37" t="str">
        <f t="shared" si="815"/>
        <v xml:space="preserve"> </v>
      </c>
      <c r="F10494">
        <v>0.33</v>
      </c>
      <c r="G10494" s="37" t="str">
        <f t="shared" si="816"/>
        <v>Heavy Discount</v>
      </c>
      <c r="H10494" s="37" t="str">
        <f t="shared" si="817"/>
        <v>Medium</v>
      </c>
      <c r="I10494">
        <v>5</v>
      </c>
      <c r="J10494" t="str" cm="1">
        <f t="array" ref="J10494">_xlfn.IFS(I10494&lt;=3,"small",I10494&lt;=6,"Medium",I10494&lt;=9,"Large")</f>
        <v>Medium</v>
      </c>
      <c r="K10494" s="36">
        <v>44949</v>
      </c>
      <c r="L10494" s="36">
        <v>44955</v>
      </c>
      <c r="M10494" t="s">
        <v>603</v>
      </c>
      <c r="N10494" t="s">
        <v>604</v>
      </c>
      <c r="O10494" s="37" t="str">
        <f t="shared" si="818"/>
        <v>Digital Payment</v>
      </c>
      <c r="P10494">
        <v>179.95</v>
      </c>
      <c r="Q10494" s="37" t="str">
        <f>IF(P10494&gt;500,"High","low")</f>
        <v>low</v>
      </c>
      <c r="R10494" s="37" t="str">
        <f t="shared" si="819"/>
        <v>AVERAGE</v>
      </c>
      <c r="S10494" t="s">
        <v>609</v>
      </c>
    </row>
    <row r="10495" spans="1:19" x14ac:dyDescent="0.2">
      <c r="A10495" t="s">
        <v>11106</v>
      </c>
      <c r="B10495" t="s">
        <v>75</v>
      </c>
      <c r="C10495" t="s">
        <v>617</v>
      </c>
      <c r="D10495">
        <v>304.04000000000002</v>
      </c>
      <c r="E10495" s="37" t="str">
        <f t="shared" si="815"/>
        <v xml:space="preserve"> </v>
      </c>
      <c r="F10495">
        <v>0.4</v>
      </c>
      <c r="G10495" s="37" t="str">
        <f t="shared" si="816"/>
        <v>Heavy Discount</v>
      </c>
      <c r="H10495" s="37" t="str">
        <f t="shared" si="817"/>
        <v>Medium</v>
      </c>
      <c r="I10495">
        <v>6</v>
      </c>
      <c r="J10495" t="str" cm="1">
        <f t="array" ref="J10495">_xlfn.IFS(I10495&lt;=3,"small",I10495&lt;=6,"Medium",I10495&lt;=9,"Large")</f>
        <v>Medium</v>
      </c>
      <c r="K10495" s="36">
        <v>45271</v>
      </c>
      <c r="L10495" s="36">
        <v>45272</v>
      </c>
      <c r="M10495" t="s">
        <v>598</v>
      </c>
      <c r="N10495" t="s">
        <v>599</v>
      </c>
      <c r="O10495" s="37" t="str">
        <f t="shared" si="818"/>
        <v>Digital Payment</v>
      </c>
      <c r="P10495">
        <v>65.900000000000006</v>
      </c>
      <c r="Q10495" s="37" t="str">
        <f>IF(P10495&gt;500,"High","low")</f>
        <v>low</v>
      </c>
      <c r="R10495" s="37" t="str">
        <f t="shared" si="819"/>
        <v>AVERAGE</v>
      </c>
      <c r="S10495" t="s">
        <v>600</v>
      </c>
    </row>
    <row r="10496" spans="1:19" x14ac:dyDescent="0.2">
      <c r="A10496" t="s">
        <v>11107</v>
      </c>
      <c r="B10496" t="s">
        <v>90</v>
      </c>
      <c r="C10496" t="s">
        <v>602</v>
      </c>
      <c r="D10496">
        <v>2551.96</v>
      </c>
      <c r="E10496" s="37" t="str">
        <f t="shared" si="815"/>
        <v xml:space="preserve"> </v>
      </c>
      <c r="F10496">
        <v>0.08</v>
      </c>
      <c r="G10496" s="37" t="str">
        <f t="shared" si="816"/>
        <v>Normal Discount</v>
      </c>
      <c r="H10496" s="37" t="str">
        <f t="shared" si="817"/>
        <v>Low</v>
      </c>
      <c r="I10496">
        <v>1</v>
      </c>
      <c r="J10496" t="str" cm="1">
        <f t="array" ref="J10496">_xlfn.IFS(I10496&lt;=3,"small",I10496&lt;=6,"Medium",I10496&lt;=9,"Large")</f>
        <v>small</v>
      </c>
      <c r="K10496" s="36">
        <v>45656</v>
      </c>
      <c r="L10496" s="36">
        <v>45663</v>
      </c>
      <c r="M10496" t="s">
        <v>612</v>
      </c>
      <c r="N10496" t="s">
        <v>608</v>
      </c>
      <c r="O10496" s="37" t="str">
        <f t="shared" si="818"/>
        <v>Cash Payment</v>
      </c>
      <c r="P10496">
        <v>705.33</v>
      </c>
      <c r="Q10496" s="37" t="str">
        <f>IF(P10496&gt;500,"High","low")</f>
        <v>High</v>
      </c>
      <c r="R10496" s="37" t="str">
        <f t="shared" si="819"/>
        <v>Good</v>
      </c>
      <c r="S10496" t="s">
        <v>609</v>
      </c>
    </row>
    <row r="10497" spans="1:19" x14ac:dyDescent="0.2">
      <c r="A10497" t="s">
        <v>11108</v>
      </c>
      <c r="B10497" t="s">
        <v>90</v>
      </c>
      <c r="C10497" t="s">
        <v>614</v>
      </c>
      <c r="D10497">
        <v>4473.16</v>
      </c>
      <c r="E10497" s="37" t="str">
        <f t="shared" si="815"/>
        <v xml:space="preserve"> </v>
      </c>
      <c r="F10497">
        <v>0.33</v>
      </c>
      <c r="G10497" s="37" t="str">
        <f t="shared" si="816"/>
        <v>Heavy Discount</v>
      </c>
      <c r="H10497" s="37" t="str">
        <f t="shared" si="817"/>
        <v>Medium</v>
      </c>
      <c r="I10497">
        <v>6</v>
      </c>
      <c r="J10497" t="str" cm="1">
        <f t="array" ref="J10497">_xlfn.IFS(I10497&lt;=3,"small",I10497&lt;=6,"Medium",I10497&lt;=9,"Large")</f>
        <v>Medium</v>
      </c>
      <c r="K10497" s="36">
        <v>45203</v>
      </c>
      <c r="L10497" s="36">
        <v>45210</v>
      </c>
      <c r="M10497" t="s">
        <v>598</v>
      </c>
      <c r="N10497" t="s">
        <v>608</v>
      </c>
      <c r="O10497" s="37" t="str">
        <f t="shared" si="818"/>
        <v>Cash Payment</v>
      </c>
      <c r="P10497">
        <v>722.77</v>
      </c>
      <c r="Q10497" s="37" t="str">
        <f>IF(P10497&gt;500,"High","low")</f>
        <v>High</v>
      </c>
      <c r="R10497" s="37" t="str">
        <f t="shared" si="819"/>
        <v>Good</v>
      </c>
      <c r="S10497" t="s">
        <v>620</v>
      </c>
    </row>
    <row r="10498" spans="1:19" x14ac:dyDescent="0.2">
      <c r="A10498" t="s">
        <v>11109</v>
      </c>
      <c r="B10498" t="s">
        <v>67</v>
      </c>
      <c r="C10498" t="s">
        <v>607</v>
      </c>
      <c r="D10498">
        <v>4114.49</v>
      </c>
      <c r="E10498" s="37" t="str">
        <f t="shared" si="815"/>
        <v xml:space="preserve"> </v>
      </c>
      <c r="F10498">
        <v>0.05</v>
      </c>
      <c r="G10498" s="37" t="str">
        <f t="shared" si="816"/>
        <v>Normal Discount</v>
      </c>
      <c r="H10498" s="37" t="str">
        <f t="shared" si="817"/>
        <v>Low</v>
      </c>
      <c r="I10498">
        <v>1</v>
      </c>
      <c r="J10498" t="str" cm="1">
        <f t="array" ref="J10498">_xlfn.IFS(I10498&lt;=3,"small",I10498&lt;=6,"Medium",I10498&lt;=9,"Large")</f>
        <v>small</v>
      </c>
      <c r="K10498" s="36">
        <v>45636</v>
      </c>
      <c r="L10498" s="36">
        <v>45642</v>
      </c>
      <c r="M10498" t="s">
        <v>598</v>
      </c>
      <c r="N10498" t="s">
        <v>608</v>
      </c>
      <c r="O10498" s="37" t="str">
        <f t="shared" si="818"/>
        <v>Cash Payment</v>
      </c>
      <c r="P10498">
        <v>783.59</v>
      </c>
      <c r="Q10498" s="37" t="str">
        <f>IF(P10498&gt;500,"High","low")</f>
        <v>High</v>
      </c>
      <c r="R10498" s="37" t="str">
        <f t="shared" si="819"/>
        <v>Good</v>
      </c>
      <c r="S10498" t="s">
        <v>628</v>
      </c>
    </row>
    <row r="10499" spans="1:19" x14ac:dyDescent="0.2">
      <c r="A10499" t="s">
        <v>11110</v>
      </c>
      <c r="B10499" t="s">
        <v>67</v>
      </c>
      <c r="C10499" t="s">
        <v>607</v>
      </c>
      <c r="D10499">
        <v>1339.4</v>
      </c>
      <c r="E10499" s="37" t="str">
        <f t="shared" ref="E10499:E10562" si="820">IF(AND(D10499&gt;4000,P10499&gt;800),"Excellent Order"," ")</f>
        <v xml:space="preserve"> </v>
      </c>
      <c r="F10499">
        <v>0.06</v>
      </c>
      <c r="G10499" s="37" t="str">
        <f t="shared" ref="G10499:G10562" si="821">IF(F10499&gt;30%,"Heavy Discount","Normal Discount")</f>
        <v>Normal Discount</v>
      </c>
      <c r="H10499" s="37" t="str">
        <f t="shared" ref="H10499:H10562" si="822">IF(F10499&gt;0.4,"High",IF(F10499&gt;=0.2,"Medium","Low"))</f>
        <v>Low</v>
      </c>
      <c r="I10499">
        <v>5</v>
      </c>
      <c r="J10499" t="str" cm="1">
        <f t="array" ref="J10499">_xlfn.IFS(I10499&lt;=3,"small",I10499&lt;=6,"Medium",I10499&lt;=9,"Large")</f>
        <v>Medium</v>
      </c>
      <c r="K10499" s="36">
        <v>45076</v>
      </c>
      <c r="L10499" s="36">
        <v>45082</v>
      </c>
      <c r="M10499" t="s">
        <v>603</v>
      </c>
      <c r="N10499" t="s">
        <v>599</v>
      </c>
      <c r="O10499" s="37" t="str">
        <f t="shared" ref="O10499:O10562" si="823">IF(OR(N10499="Card",N10499="UPI"),"Digital Payment","Cash Payment")</f>
        <v>Digital Payment</v>
      </c>
      <c r="P10499">
        <v>142.44</v>
      </c>
      <c r="Q10499" s="37" t="str">
        <f>IF(P10499&gt;500,"High","low")</f>
        <v>low</v>
      </c>
      <c r="R10499" s="37" t="str">
        <f t="shared" ref="R10499:R10562" si="824">IF(P10499&gt;1000,"Excellent",IF(P10499&gt;=500,"Good","AVERAGE"))</f>
        <v>AVERAGE</v>
      </c>
      <c r="S10499" t="s">
        <v>609</v>
      </c>
    </row>
    <row r="10500" spans="1:19" x14ac:dyDescent="0.2">
      <c r="A10500" t="s">
        <v>11111</v>
      </c>
      <c r="B10500" t="s">
        <v>67</v>
      </c>
      <c r="C10500" t="s">
        <v>607</v>
      </c>
      <c r="D10500">
        <v>4558.6899999999996</v>
      </c>
      <c r="E10500" s="37" t="str">
        <f t="shared" si="820"/>
        <v>Excellent Order</v>
      </c>
      <c r="F10500">
        <v>0.12</v>
      </c>
      <c r="G10500" s="37" t="str">
        <f t="shared" si="821"/>
        <v>Normal Discount</v>
      </c>
      <c r="H10500" s="37" t="str">
        <f t="shared" si="822"/>
        <v>Low</v>
      </c>
      <c r="I10500">
        <v>9</v>
      </c>
      <c r="J10500" t="str" cm="1">
        <f t="array" ref="J10500">_xlfn.IFS(I10500&lt;=3,"small",I10500&lt;=6,"Medium",I10500&lt;=9,"Large")</f>
        <v>Large</v>
      </c>
      <c r="K10500" s="36">
        <v>45560</v>
      </c>
      <c r="L10500" s="36">
        <v>45562</v>
      </c>
      <c r="M10500" t="s">
        <v>598</v>
      </c>
      <c r="N10500" t="s">
        <v>608</v>
      </c>
      <c r="O10500" s="37" t="str">
        <f t="shared" si="823"/>
        <v>Cash Payment</v>
      </c>
      <c r="P10500">
        <v>991.65</v>
      </c>
      <c r="Q10500" s="37" t="str">
        <f>IF(P10500&gt;500,"High","low")</f>
        <v>High</v>
      </c>
      <c r="R10500" s="37" t="str">
        <f t="shared" si="824"/>
        <v>Good</v>
      </c>
      <c r="S10500" t="s">
        <v>620</v>
      </c>
    </row>
    <row r="10501" spans="1:19" x14ac:dyDescent="0.2">
      <c r="A10501" t="s">
        <v>11112</v>
      </c>
      <c r="B10501" t="s">
        <v>83</v>
      </c>
      <c r="C10501" t="s">
        <v>602</v>
      </c>
      <c r="D10501">
        <v>2450.61</v>
      </c>
      <c r="E10501" s="37" t="str">
        <f t="shared" si="820"/>
        <v xml:space="preserve"> </v>
      </c>
      <c r="F10501">
        <v>0.35</v>
      </c>
      <c r="G10501" s="37" t="str">
        <f t="shared" si="821"/>
        <v>Heavy Discount</v>
      </c>
      <c r="H10501" s="37" t="str">
        <f t="shared" si="822"/>
        <v>Medium</v>
      </c>
      <c r="I10501">
        <v>5</v>
      </c>
      <c r="J10501" t="str" cm="1">
        <f t="array" ref="J10501">_xlfn.IFS(I10501&lt;=3,"small",I10501&lt;=6,"Medium",I10501&lt;=9,"Large")</f>
        <v>Medium</v>
      </c>
      <c r="K10501" s="36">
        <v>45035</v>
      </c>
      <c r="L10501" s="36">
        <v>45039</v>
      </c>
      <c r="M10501" t="s">
        <v>612</v>
      </c>
      <c r="N10501" t="s">
        <v>608</v>
      </c>
      <c r="O10501" s="37" t="str">
        <f t="shared" si="823"/>
        <v>Cash Payment</v>
      </c>
      <c r="P10501">
        <v>311.23</v>
      </c>
      <c r="Q10501" s="37" t="str">
        <f>IF(P10501&gt;500,"High","low")</f>
        <v>low</v>
      </c>
      <c r="R10501" s="37" t="str">
        <f t="shared" si="824"/>
        <v>AVERAGE</v>
      </c>
      <c r="S10501" t="s">
        <v>600</v>
      </c>
    </row>
    <row r="10502" spans="1:19" x14ac:dyDescent="0.2">
      <c r="A10502" t="s">
        <v>11113</v>
      </c>
      <c r="B10502" t="s">
        <v>67</v>
      </c>
      <c r="C10502" t="s">
        <v>602</v>
      </c>
      <c r="D10502">
        <v>340.1</v>
      </c>
      <c r="E10502" s="37" t="str">
        <f t="shared" si="820"/>
        <v xml:space="preserve"> </v>
      </c>
      <c r="F10502">
        <v>0.45</v>
      </c>
      <c r="G10502" s="37" t="str">
        <f t="shared" si="821"/>
        <v>Heavy Discount</v>
      </c>
      <c r="H10502" s="37" t="str">
        <f t="shared" si="822"/>
        <v>High</v>
      </c>
      <c r="I10502">
        <v>3</v>
      </c>
      <c r="J10502" t="str" cm="1">
        <f t="array" ref="J10502">_xlfn.IFS(I10502&lt;=3,"small",I10502&lt;=6,"Medium",I10502&lt;=9,"Large")</f>
        <v>small</v>
      </c>
      <c r="K10502" s="36">
        <v>45641</v>
      </c>
      <c r="L10502" s="36">
        <v>45644</v>
      </c>
      <c r="M10502" t="s">
        <v>612</v>
      </c>
      <c r="N10502" t="s">
        <v>599</v>
      </c>
      <c r="O10502" s="37" t="str">
        <f t="shared" si="823"/>
        <v>Digital Payment</v>
      </c>
      <c r="P10502">
        <v>92.45</v>
      </c>
      <c r="Q10502" s="37" t="str">
        <f>IF(P10502&gt;500,"High","low")</f>
        <v>low</v>
      </c>
      <c r="R10502" s="37" t="str">
        <f t="shared" si="824"/>
        <v>AVERAGE</v>
      </c>
      <c r="S10502" t="s">
        <v>609</v>
      </c>
    </row>
    <row r="10503" spans="1:19" x14ac:dyDescent="0.2">
      <c r="A10503" t="s">
        <v>11114</v>
      </c>
      <c r="B10503" t="s">
        <v>83</v>
      </c>
      <c r="C10503" t="s">
        <v>597</v>
      </c>
      <c r="D10503">
        <v>236.83</v>
      </c>
      <c r="E10503" s="37" t="str">
        <f t="shared" si="820"/>
        <v xml:space="preserve"> </v>
      </c>
      <c r="F10503">
        <v>0.35</v>
      </c>
      <c r="G10503" s="37" t="str">
        <f t="shared" si="821"/>
        <v>Heavy Discount</v>
      </c>
      <c r="H10503" s="37" t="str">
        <f t="shared" si="822"/>
        <v>Medium</v>
      </c>
      <c r="I10503">
        <v>4</v>
      </c>
      <c r="J10503" t="str" cm="1">
        <f t="array" ref="J10503">_xlfn.IFS(I10503&lt;=3,"small",I10503&lt;=6,"Medium",I10503&lt;=9,"Large")</f>
        <v>Medium</v>
      </c>
      <c r="K10503" s="36">
        <v>45212</v>
      </c>
      <c r="L10503" s="36">
        <v>45217</v>
      </c>
      <c r="M10503" t="s">
        <v>603</v>
      </c>
      <c r="N10503" t="s">
        <v>604</v>
      </c>
      <c r="O10503" s="37" t="str">
        <f t="shared" si="823"/>
        <v>Digital Payment</v>
      </c>
      <c r="P10503">
        <v>11.95</v>
      </c>
      <c r="Q10503" s="37" t="str">
        <f>IF(P10503&gt;500,"High","low")</f>
        <v>low</v>
      </c>
      <c r="R10503" s="37" t="str">
        <f t="shared" si="824"/>
        <v>AVERAGE</v>
      </c>
      <c r="S10503" t="s">
        <v>605</v>
      </c>
    </row>
    <row r="10504" spans="1:19" x14ac:dyDescent="0.2">
      <c r="A10504" t="s">
        <v>11115</v>
      </c>
      <c r="B10504" t="s">
        <v>67</v>
      </c>
      <c r="C10504" t="s">
        <v>614</v>
      </c>
      <c r="D10504">
        <v>2477.06</v>
      </c>
      <c r="E10504" s="37" t="str">
        <f t="shared" si="820"/>
        <v xml:space="preserve"> </v>
      </c>
      <c r="F10504">
        <v>0.21</v>
      </c>
      <c r="G10504" s="37" t="str">
        <f t="shared" si="821"/>
        <v>Normal Discount</v>
      </c>
      <c r="H10504" s="37" t="str">
        <f t="shared" si="822"/>
        <v>Medium</v>
      </c>
      <c r="I10504">
        <v>3</v>
      </c>
      <c r="J10504" t="str" cm="1">
        <f t="array" ref="J10504">_xlfn.IFS(I10504&lt;=3,"small",I10504&lt;=6,"Medium",I10504&lt;=9,"Large")</f>
        <v>small</v>
      </c>
      <c r="K10504" s="36">
        <v>45213</v>
      </c>
      <c r="L10504" s="36">
        <v>45216</v>
      </c>
      <c r="M10504" t="s">
        <v>603</v>
      </c>
      <c r="N10504" t="s">
        <v>608</v>
      </c>
      <c r="O10504" s="37" t="str">
        <f t="shared" si="823"/>
        <v>Cash Payment</v>
      </c>
      <c r="P10504">
        <v>420.12</v>
      </c>
      <c r="Q10504" s="37" t="str">
        <f>IF(P10504&gt;500,"High","low")</f>
        <v>low</v>
      </c>
      <c r="R10504" s="37" t="str">
        <f t="shared" si="824"/>
        <v>AVERAGE</v>
      </c>
      <c r="S10504" t="s">
        <v>600</v>
      </c>
    </row>
    <row r="10505" spans="1:19" x14ac:dyDescent="0.2">
      <c r="A10505" t="s">
        <v>11116</v>
      </c>
      <c r="B10505" t="s">
        <v>90</v>
      </c>
      <c r="C10505" t="s">
        <v>597</v>
      </c>
      <c r="D10505">
        <v>2776.98</v>
      </c>
      <c r="E10505" s="37" t="str">
        <f t="shared" si="820"/>
        <v xml:space="preserve"> </v>
      </c>
      <c r="F10505">
        <v>0.26</v>
      </c>
      <c r="G10505" s="37" t="str">
        <f t="shared" si="821"/>
        <v>Normal Discount</v>
      </c>
      <c r="H10505" s="37" t="str">
        <f t="shared" si="822"/>
        <v>Medium</v>
      </c>
      <c r="I10505">
        <v>4</v>
      </c>
      <c r="J10505" t="str" cm="1">
        <f t="array" ref="J10505">_xlfn.IFS(I10505&lt;=3,"small",I10505&lt;=6,"Medium",I10505&lt;=9,"Large")</f>
        <v>Medium</v>
      </c>
      <c r="K10505" s="36">
        <v>45215</v>
      </c>
      <c r="L10505" s="36">
        <v>45218</v>
      </c>
      <c r="M10505" t="s">
        <v>598</v>
      </c>
      <c r="N10505" t="s">
        <v>608</v>
      </c>
      <c r="O10505" s="37" t="str">
        <f t="shared" si="823"/>
        <v>Cash Payment</v>
      </c>
      <c r="P10505">
        <v>716.13</v>
      </c>
      <c r="Q10505" s="37" t="str">
        <f>IF(P10505&gt;500,"High","low")</f>
        <v>High</v>
      </c>
      <c r="R10505" s="37" t="str">
        <f t="shared" si="824"/>
        <v>Good</v>
      </c>
      <c r="S10505" t="s">
        <v>605</v>
      </c>
    </row>
    <row r="10506" spans="1:19" x14ac:dyDescent="0.2">
      <c r="A10506" t="s">
        <v>11117</v>
      </c>
      <c r="B10506" t="s">
        <v>83</v>
      </c>
      <c r="C10506" t="s">
        <v>602</v>
      </c>
      <c r="D10506">
        <v>491.57</v>
      </c>
      <c r="E10506" s="37" t="str">
        <f t="shared" si="820"/>
        <v xml:space="preserve"> </v>
      </c>
      <c r="F10506">
        <v>0.36</v>
      </c>
      <c r="G10506" s="37" t="str">
        <f t="shared" si="821"/>
        <v>Heavy Discount</v>
      </c>
      <c r="H10506" s="37" t="str">
        <f t="shared" si="822"/>
        <v>Medium</v>
      </c>
      <c r="I10506">
        <v>6</v>
      </c>
      <c r="J10506" t="str" cm="1">
        <f t="array" ref="J10506">_xlfn.IFS(I10506&lt;=3,"small",I10506&lt;=6,"Medium",I10506&lt;=9,"Large")</f>
        <v>Medium</v>
      </c>
      <c r="K10506" s="36">
        <v>45002</v>
      </c>
      <c r="L10506" s="36">
        <v>45004</v>
      </c>
      <c r="M10506" t="s">
        <v>598</v>
      </c>
      <c r="N10506" t="s">
        <v>608</v>
      </c>
      <c r="O10506" s="37" t="str">
        <f t="shared" si="823"/>
        <v>Cash Payment</v>
      </c>
      <c r="P10506">
        <v>60.69</v>
      </c>
      <c r="Q10506" s="37" t="str">
        <f>IF(P10506&gt;500,"High","low")</f>
        <v>low</v>
      </c>
      <c r="R10506" s="37" t="str">
        <f t="shared" si="824"/>
        <v>AVERAGE</v>
      </c>
      <c r="S10506" t="s">
        <v>628</v>
      </c>
    </row>
    <row r="10507" spans="1:19" x14ac:dyDescent="0.2">
      <c r="A10507" t="s">
        <v>11118</v>
      </c>
      <c r="B10507" t="s">
        <v>75</v>
      </c>
      <c r="C10507" t="s">
        <v>617</v>
      </c>
      <c r="D10507">
        <v>4618.9799999999996</v>
      </c>
      <c r="E10507" s="37" t="str">
        <f t="shared" si="820"/>
        <v xml:space="preserve"> </v>
      </c>
      <c r="F10507">
        <v>0.31</v>
      </c>
      <c r="G10507" s="37" t="str">
        <f t="shared" si="821"/>
        <v>Heavy Discount</v>
      </c>
      <c r="H10507" s="37" t="str">
        <f t="shared" si="822"/>
        <v>Medium</v>
      </c>
      <c r="I10507">
        <v>3</v>
      </c>
      <c r="J10507" t="str" cm="1">
        <f t="array" ref="J10507">_xlfn.IFS(I10507&lt;=3,"small",I10507&lt;=6,"Medium",I10507&lt;=9,"Large")</f>
        <v>small</v>
      </c>
      <c r="K10507" s="36">
        <v>45337</v>
      </c>
      <c r="L10507" s="36">
        <v>45343</v>
      </c>
      <c r="M10507" t="s">
        <v>598</v>
      </c>
      <c r="N10507" t="s">
        <v>604</v>
      </c>
      <c r="O10507" s="37" t="str">
        <f t="shared" si="823"/>
        <v>Digital Payment</v>
      </c>
      <c r="P10507">
        <v>791.05</v>
      </c>
      <c r="Q10507" s="37" t="str">
        <f>IF(P10507&gt;500,"High","low")</f>
        <v>High</v>
      </c>
      <c r="R10507" s="37" t="str">
        <f t="shared" si="824"/>
        <v>Good</v>
      </c>
      <c r="S10507" t="s">
        <v>609</v>
      </c>
    </row>
    <row r="10508" spans="1:19" x14ac:dyDescent="0.2">
      <c r="A10508" t="s">
        <v>11119</v>
      </c>
      <c r="B10508" t="s">
        <v>83</v>
      </c>
      <c r="C10508" t="s">
        <v>597</v>
      </c>
      <c r="D10508">
        <v>3619.26</v>
      </c>
      <c r="E10508" s="37" t="str">
        <f t="shared" si="820"/>
        <v xml:space="preserve"> </v>
      </c>
      <c r="F10508">
        <v>0.26</v>
      </c>
      <c r="G10508" s="37" t="str">
        <f t="shared" si="821"/>
        <v>Normal Discount</v>
      </c>
      <c r="H10508" s="37" t="str">
        <f t="shared" si="822"/>
        <v>Medium</v>
      </c>
      <c r="I10508">
        <v>5</v>
      </c>
      <c r="J10508" t="str" cm="1">
        <f t="array" ref="J10508">_xlfn.IFS(I10508&lt;=3,"small",I10508&lt;=6,"Medium",I10508&lt;=9,"Large")</f>
        <v>Medium</v>
      </c>
      <c r="K10508" s="36">
        <v>45176</v>
      </c>
      <c r="L10508" s="36">
        <v>45181</v>
      </c>
      <c r="M10508" t="s">
        <v>598</v>
      </c>
      <c r="N10508" t="s">
        <v>599</v>
      </c>
      <c r="O10508" s="37" t="str">
        <f t="shared" si="823"/>
        <v>Digital Payment</v>
      </c>
      <c r="P10508">
        <v>276.64</v>
      </c>
      <c r="Q10508" s="37" t="str">
        <f>IF(P10508&gt;500,"High","low")</f>
        <v>low</v>
      </c>
      <c r="R10508" s="37" t="str">
        <f t="shared" si="824"/>
        <v>AVERAGE</v>
      </c>
      <c r="S10508" t="s">
        <v>628</v>
      </c>
    </row>
    <row r="10509" spans="1:19" x14ac:dyDescent="0.2">
      <c r="A10509" t="s">
        <v>11120</v>
      </c>
      <c r="B10509" t="s">
        <v>83</v>
      </c>
      <c r="C10509" t="s">
        <v>602</v>
      </c>
      <c r="D10509">
        <v>4026.28</v>
      </c>
      <c r="E10509" s="37" t="str">
        <f t="shared" si="820"/>
        <v xml:space="preserve"> </v>
      </c>
      <c r="F10509">
        <v>0.12</v>
      </c>
      <c r="G10509" s="37" t="str">
        <f t="shared" si="821"/>
        <v>Normal Discount</v>
      </c>
      <c r="H10509" s="37" t="str">
        <f t="shared" si="822"/>
        <v>Low</v>
      </c>
      <c r="I10509">
        <v>7</v>
      </c>
      <c r="J10509" t="str" cm="1">
        <f t="array" ref="J10509">_xlfn.IFS(I10509&lt;=3,"small",I10509&lt;=6,"Medium",I10509&lt;=9,"Large")</f>
        <v>Large</v>
      </c>
      <c r="K10509" s="36">
        <v>45004</v>
      </c>
      <c r="L10509" s="36">
        <v>45010</v>
      </c>
      <c r="M10509" t="s">
        <v>598</v>
      </c>
      <c r="N10509" t="s">
        <v>604</v>
      </c>
      <c r="O10509" s="37" t="str">
        <f t="shared" si="823"/>
        <v>Digital Payment</v>
      </c>
      <c r="P10509">
        <v>318.02999999999997</v>
      </c>
      <c r="Q10509" s="37" t="str">
        <f>IF(P10509&gt;500,"High","low")</f>
        <v>low</v>
      </c>
      <c r="R10509" s="37" t="str">
        <f t="shared" si="824"/>
        <v>AVERAGE</v>
      </c>
      <c r="S10509" t="s">
        <v>605</v>
      </c>
    </row>
    <row r="10510" spans="1:19" x14ac:dyDescent="0.2">
      <c r="A10510" t="s">
        <v>11121</v>
      </c>
      <c r="B10510" t="s">
        <v>75</v>
      </c>
      <c r="C10510" t="s">
        <v>602</v>
      </c>
      <c r="D10510">
        <v>2961.71</v>
      </c>
      <c r="E10510" s="37" t="str">
        <f t="shared" si="820"/>
        <v xml:space="preserve"> </v>
      </c>
      <c r="F10510">
        <v>0.31</v>
      </c>
      <c r="G10510" s="37" t="str">
        <f t="shared" si="821"/>
        <v>Heavy Discount</v>
      </c>
      <c r="H10510" s="37" t="str">
        <f t="shared" si="822"/>
        <v>Medium</v>
      </c>
      <c r="I10510">
        <v>1</v>
      </c>
      <c r="J10510" t="str" cm="1">
        <f t="array" ref="J10510">_xlfn.IFS(I10510&lt;=3,"small",I10510&lt;=6,"Medium",I10510&lt;=9,"Large")</f>
        <v>small</v>
      </c>
      <c r="K10510" s="36">
        <v>45240</v>
      </c>
      <c r="L10510" s="36">
        <v>45244</v>
      </c>
      <c r="M10510" t="s">
        <v>598</v>
      </c>
      <c r="N10510" t="s">
        <v>599</v>
      </c>
      <c r="O10510" s="37" t="str">
        <f t="shared" si="823"/>
        <v>Digital Payment</v>
      </c>
      <c r="P10510">
        <v>619.95000000000005</v>
      </c>
      <c r="Q10510" s="37" t="str">
        <f>IF(P10510&gt;500,"High","low")</f>
        <v>High</v>
      </c>
      <c r="R10510" s="37" t="str">
        <f t="shared" si="824"/>
        <v>Good</v>
      </c>
      <c r="S10510" t="s">
        <v>615</v>
      </c>
    </row>
    <row r="10511" spans="1:19" x14ac:dyDescent="0.2">
      <c r="A10511" t="s">
        <v>11122</v>
      </c>
      <c r="B10511" t="s">
        <v>83</v>
      </c>
      <c r="C10511" t="s">
        <v>617</v>
      </c>
      <c r="D10511">
        <v>3351.37</v>
      </c>
      <c r="E10511" s="37" t="str">
        <f t="shared" si="820"/>
        <v xml:space="preserve"> </v>
      </c>
      <c r="F10511">
        <v>0.01</v>
      </c>
      <c r="G10511" s="37" t="str">
        <f t="shared" si="821"/>
        <v>Normal Discount</v>
      </c>
      <c r="H10511" s="37" t="str">
        <f t="shared" si="822"/>
        <v>Low</v>
      </c>
      <c r="I10511">
        <v>3</v>
      </c>
      <c r="J10511" t="str" cm="1">
        <f t="array" ref="J10511">_xlfn.IFS(I10511&lt;=3,"small",I10511&lt;=6,"Medium",I10511&lt;=9,"Large")</f>
        <v>small</v>
      </c>
      <c r="K10511" s="36">
        <v>45502</v>
      </c>
      <c r="L10511" s="36">
        <v>45506</v>
      </c>
      <c r="M10511" t="s">
        <v>598</v>
      </c>
      <c r="N10511" t="s">
        <v>608</v>
      </c>
      <c r="O10511" s="37" t="str">
        <f t="shared" si="823"/>
        <v>Cash Payment</v>
      </c>
      <c r="P10511">
        <v>844.65</v>
      </c>
      <c r="Q10511" s="37" t="str">
        <f>IF(P10511&gt;500,"High","low")</f>
        <v>High</v>
      </c>
      <c r="R10511" s="37" t="str">
        <f t="shared" si="824"/>
        <v>Good</v>
      </c>
      <c r="S10511" t="s">
        <v>605</v>
      </c>
    </row>
    <row r="10512" spans="1:19" x14ac:dyDescent="0.2">
      <c r="A10512" t="s">
        <v>11123</v>
      </c>
      <c r="B10512" t="s">
        <v>90</v>
      </c>
      <c r="C10512" t="s">
        <v>617</v>
      </c>
      <c r="D10512">
        <v>2000.52</v>
      </c>
      <c r="E10512" s="37" t="str">
        <f t="shared" si="820"/>
        <v xml:space="preserve"> </v>
      </c>
      <c r="F10512">
        <v>0.28000000000000003</v>
      </c>
      <c r="G10512" s="37" t="str">
        <f t="shared" si="821"/>
        <v>Normal Discount</v>
      </c>
      <c r="H10512" s="37" t="str">
        <f t="shared" si="822"/>
        <v>Medium</v>
      </c>
      <c r="I10512">
        <v>6</v>
      </c>
      <c r="J10512" t="str" cm="1">
        <f t="array" ref="J10512">_xlfn.IFS(I10512&lt;=3,"small",I10512&lt;=6,"Medium",I10512&lt;=9,"Large")</f>
        <v>Medium</v>
      </c>
      <c r="K10512" s="36">
        <v>45035</v>
      </c>
      <c r="L10512" s="36">
        <v>45039</v>
      </c>
      <c r="M10512" t="s">
        <v>612</v>
      </c>
      <c r="N10512" t="s">
        <v>604</v>
      </c>
      <c r="O10512" s="37" t="str">
        <f t="shared" si="823"/>
        <v>Digital Payment</v>
      </c>
      <c r="P10512">
        <v>130.28</v>
      </c>
      <c r="Q10512" s="37" t="str">
        <f>IF(P10512&gt;500,"High","low")</f>
        <v>low</v>
      </c>
      <c r="R10512" s="37" t="str">
        <f t="shared" si="824"/>
        <v>AVERAGE</v>
      </c>
      <c r="S10512" t="s">
        <v>628</v>
      </c>
    </row>
    <row r="10513" spans="1:19" x14ac:dyDescent="0.2">
      <c r="A10513" t="s">
        <v>11124</v>
      </c>
      <c r="B10513" t="s">
        <v>67</v>
      </c>
      <c r="C10513" t="s">
        <v>617</v>
      </c>
      <c r="D10513">
        <v>3428.56</v>
      </c>
      <c r="E10513" s="37" t="str">
        <f t="shared" si="820"/>
        <v xml:space="preserve"> </v>
      </c>
      <c r="F10513">
        <v>0.41</v>
      </c>
      <c r="G10513" s="37" t="str">
        <f t="shared" si="821"/>
        <v>Heavy Discount</v>
      </c>
      <c r="H10513" s="37" t="str">
        <f t="shared" si="822"/>
        <v>High</v>
      </c>
      <c r="I10513">
        <v>2</v>
      </c>
      <c r="J10513" t="str" cm="1">
        <f t="array" ref="J10513">_xlfn.IFS(I10513&lt;=3,"small",I10513&lt;=6,"Medium",I10513&lt;=9,"Large")</f>
        <v>small</v>
      </c>
      <c r="K10513" s="36">
        <v>45552</v>
      </c>
      <c r="L10513" s="36">
        <v>45556</v>
      </c>
      <c r="M10513" t="s">
        <v>612</v>
      </c>
      <c r="N10513" t="s">
        <v>608</v>
      </c>
      <c r="O10513" s="37" t="str">
        <f t="shared" si="823"/>
        <v>Cash Payment</v>
      </c>
      <c r="P10513">
        <v>354.16</v>
      </c>
      <c r="Q10513" s="37" t="str">
        <f>IF(P10513&gt;500,"High","low")</f>
        <v>low</v>
      </c>
      <c r="R10513" s="37" t="str">
        <f t="shared" si="824"/>
        <v>AVERAGE</v>
      </c>
      <c r="S10513" t="s">
        <v>600</v>
      </c>
    </row>
    <row r="10514" spans="1:19" x14ac:dyDescent="0.2">
      <c r="A10514" t="s">
        <v>11125</v>
      </c>
      <c r="B10514" t="s">
        <v>75</v>
      </c>
      <c r="C10514" t="s">
        <v>614</v>
      </c>
      <c r="D10514">
        <v>4893.1000000000004</v>
      </c>
      <c r="E10514" s="37" t="str">
        <f t="shared" si="820"/>
        <v xml:space="preserve"> </v>
      </c>
      <c r="F10514">
        <v>0.09</v>
      </c>
      <c r="G10514" s="37" t="str">
        <f t="shared" si="821"/>
        <v>Normal Discount</v>
      </c>
      <c r="H10514" s="37" t="str">
        <f t="shared" si="822"/>
        <v>Low</v>
      </c>
      <c r="I10514">
        <v>8</v>
      </c>
      <c r="J10514" t="str" cm="1">
        <f t="array" ref="J10514">_xlfn.IFS(I10514&lt;=3,"small",I10514&lt;=6,"Medium",I10514&lt;=9,"Large")</f>
        <v>Large</v>
      </c>
      <c r="K10514" s="36">
        <v>45254</v>
      </c>
      <c r="L10514" s="36">
        <v>45260</v>
      </c>
      <c r="M10514" t="s">
        <v>603</v>
      </c>
      <c r="N10514" t="s">
        <v>599</v>
      </c>
      <c r="O10514" s="37" t="str">
        <f t="shared" si="823"/>
        <v>Digital Payment</v>
      </c>
      <c r="P10514">
        <v>771.49</v>
      </c>
      <c r="Q10514" s="37" t="str">
        <f>IF(P10514&gt;500,"High","low")</f>
        <v>High</v>
      </c>
      <c r="R10514" s="37" t="str">
        <f t="shared" si="824"/>
        <v>Good</v>
      </c>
      <c r="S10514" t="s">
        <v>600</v>
      </c>
    </row>
    <row r="10515" spans="1:19" x14ac:dyDescent="0.2">
      <c r="A10515" t="s">
        <v>11126</v>
      </c>
      <c r="B10515" t="s">
        <v>67</v>
      </c>
      <c r="C10515" t="s">
        <v>602</v>
      </c>
      <c r="D10515">
        <v>3273.81</v>
      </c>
      <c r="E10515" s="37" t="str">
        <f t="shared" si="820"/>
        <v xml:space="preserve"> </v>
      </c>
      <c r="F10515">
        <v>0.06</v>
      </c>
      <c r="G10515" s="37" t="str">
        <f t="shared" si="821"/>
        <v>Normal Discount</v>
      </c>
      <c r="H10515" s="37" t="str">
        <f t="shared" si="822"/>
        <v>Low</v>
      </c>
      <c r="I10515">
        <v>7</v>
      </c>
      <c r="J10515" t="str" cm="1">
        <f t="array" ref="J10515">_xlfn.IFS(I10515&lt;=3,"small",I10515&lt;=6,"Medium",I10515&lt;=9,"Large")</f>
        <v>Large</v>
      </c>
      <c r="K10515" s="36">
        <v>45158</v>
      </c>
      <c r="L10515" s="36">
        <v>45160</v>
      </c>
      <c r="M10515" t="s">
        <v>603</v>
      </c>
      <c r="N10515" t="s">
        <v>608</v>
      </c>
      <c r="O10515" s="37" t="str">
        <f t="shared" si="823"/>
        <v>Cash Payment</v>
      </c>
      <c r="P10515">
        <v>948.06</v>
      </c>
      <c r="Q10515" s="37" t="str">
        <f>IF(P10515&gt;500,"High","low")</f>
        <v>High</v>
      </c>
      <c r="R10515" s="37" t="str">
        <f t="shared" si="824"/>
        <v>Good</v>
      </c>
      <c r="S10515" t="s">
        <v>628</v>
      </c>
    </row>
    <row r="10516" spans="1:19" x14ac:dyDescent="0.2">
      <c r="A10516" t="s">
        <v>11127</v>
      </c>
      <c r="B10516" t="s">
        <v>90</v>
      </c>
      <c r="C10516" t="s">
        <v>617</v>
      </c>
      <c r="D10516">
        <v>1774.01</v>
      </c>
      <c r="E10516" s="37" t="str">
        <f t="shared" si="820"/>
        <v xml:space="preserve"> </v>
      </c>
      <c r="F10516">
        <v>0.49</v>
      </c>
      <c r="G10516" s="37" t="str">
        <f t="shared" si="821"/>
        <v>Heavy Discount</v>
      </c>
      <c r="H10516" s="37" t="str">
        <f t="shared" si="822"/>
        <v>High</v>
      </c>
      <c r="I10516">
        <v>2</v>
      </c>
      <c r="J10516" t="str" cm="1">
        <f t="array" ref="J10516">_xlfn.IFS(I10516&lt;=3,"small",I10516&lt;=6,"Medium",I10516&lt;=9,"Large")</f>
        <v>small</v>
      </c>
      <c r="K10516" s="36">
        <v>45403</v>
      </c>
      <c r="L10516" s="36">
        <v>45410</v>
      </c>
      <c r="M10516" t="s">
        <v>603</v>
      </c>
      <c r="N10516" t="s">
        <v>599</v>
      </c>
      <c r="O10516" s="37" t="str">
        <f t="shared" si="823"/>
        <v>Digital Payment</v>
      </c>
      <c r="P10516">
        <v>131.21</v>
      </c>
      <c r="Q10516" s="37" t="str">
        <f>IF(P10516&gt;500,"High","low")</f>
        <v>low</v>
      </c>
      <c r="R10516" s="37" t="str">
        <f t="shared" si="824"/>
        <v>AVERAGE</v>
      </c>
      <c r="S10516" t="s">
        <v>609</v>
      </c>
    </row>
    <row r="10517" spans="1:19" x14ac:dyDescent="0.2">
      <c r="A10517" t="s">
        <v>11128</v>
      </c>
      <c r="B10517" t="s">
        <v>75</v>
      </c>
      <c r="C10517" t="s">
        <v>614</v>
      </c>
      <c r="D10517">
        <v>1497.67</v>
      </c>
      <c r="E10517" s="37" t="str">
        <f t="shared" si="820"/>
        <v xml:space="preserve"> </v>
      </c>
      <c r="F10517">
        <v>0.42</v>
      </c>
      <c r="G10517" s="37" t="str">
        <f t="shared" si="821"/>
        <v>Heavy Discount</v>
      </c>
      <c r="H10517" s="37" t="str">
        <f t="shared" si="822"/>
        <v>High</v>
      </c>
      <c r="I10517">
        <v>5</v>
      </c>
      <c r="J10517" t="str" cm="1">
        <f t="array" ref="J10517">_xlfn.IFS(I10517&lt;=3,"small",I10517&lt;=6,"Medium",I10517&lt;=9,"Large")</f>
        <v>Medium</v>
      </c>
      <c r="K10517" s="36">
        <v>45464</v>
      </c>
      <c r="L10517" s="36">
        <v>45469</v>
      </c>
      <c r="M10517" t="s">
        <v>598</v>
      </c>
      <c r="N10517" t="s">
        <v>599</v>
      </c>
      <c r="O10517" s="37" t="str">
        <f t="shared" si="823"/>
        <v>Digital Payment</v>
      </c>
      <c r="P10517">
        <v>360.78</v>
      </c>
      <c r="Q10517" s="37" t="str">
        <f>IF(P10517&gt;500,"High","low")</f>
        <v>low</v>
      </c>
      <c r="R10517" s="37" t="str">
        <f t="shared" si="824"/>
        <v>AVERAGE</v>
      </c>
      <c r="S10517" t="s">
        <v>609</v>
      </c>
    </row>
    <row r="10518" spans="1:19" x14ac:dyDescent="0.2">
      <c r="A10518" t="s">
        <v>11129</v>
      </c>
      <c r="B10518" t="s">
        <v>67</v>
      </c>
      <c r="C10518" t="s">
        <v>607</v>
      </c>
      <c r="D10518">
        <v>4820.3999999999996</v>
      </c>
      <c r="E10518" s="37" t="str">
        <f t="shared" si="820"/>
        <v>Excellent Order</v>
      </c>
      <c r="F10518">
        <v>0.15</v>
      </c>
      <c r="G10518" s="37" t="str">
        <f t="shared" si="821"/>
        <v>Normal Discount</v>
      </c>
      <c r="H10518" s="37" t="str">
        <f t="shared" si="822"/>
        <v>Low</v>
      </c>
      <c r="I10518">
        <v>4</v>
      </c>
      <c r="J10518" t="str" cm="1">
        <f t="array" ref="J10518">_xlfn.IFS(I10518&lt;=3,"small",I10518&lt;=6,"Medium",I10518&lt;=9,"Large")</f>
        <v>Medium</v>
      </c>
      <c r="K10518" s="36">
        <v>45615</v>
      </c>
      <c r="L10518" s="36">
        <v>45619</v>
      </c>
      <c r="M10518" t="s">
        <v>612</v>
      </c>
      <c r="N10518" t="s">
        <v>608</v>
      </c>
      <c r="O10518" s="37" t="str">
        <f t="shared" si="823"/>
        <v>Cash Payment</v>
      </c>
      <c r="P10518">
        <v>977.95</v>
      </c>
      <c r="Q10518" s="37" t="str">
        <f>IF(P10518&gt;500,"High","low")</f>
        <v>High</v>
      </c>
      <c r="R10518" s="37" t="str">
        <f t="shared" si="824"/>
        <v>Good</v>
      </c>
      <c r="S10518" t="s">
        <v>600</v>
      </c>
    </row>
    <row r="10519" spans="1:19" x14ac:dyDescent="0.2">
      <c r="A10519" t="s">
        <v>11130</v>
      </c>
      <c r="B10519" t="s">
        <v>67</v>
      </c>
      <c r="C10519" t="s">
        <v>607</v>
      </c>
      <c r="D10519">
        <v>1006.51</v>
      </c>
      <c r="E10519" s="37" t="str">
        <f t="shared" si="820"/>
        <v xml:space="preserve"> </v>
      </c>
      <c r="F10519">
        <v>0.1</v>
      </c>
      <c r="G10519" s="37" t="str">
        <f t="shared" si="821"/>
        <v>Normal Discount</v>
      </c>
      <c r="H10519" s="37" t="str">
        <f t="shared" si="822"/>
        <v>Low</v>
      </c>
      <c r="I10519">
        <v>2</v>
      </c>
      <c r="J10519" t="str" cm="1">
        <f t="array" ref="J10519">_xlfn.IFS(I10519&lt;=3,"small",I10519&lt;=6,"Medium",I10519&lt;=9,"Large")</f>
        <v>small</v>
      </c>
      <c r="K10519" s="36">
        <v>45354</v>
      </c>
      <c r="L10519" s="36">
        <v>45355</v>
      </c>
      <c r="M10519" t="s">
        <v>598</v>
      </c>
      <c r="N10519" t="s">
        <v>604</v>
      </c>
      <c r="O10519" s="37" t="str">
        <f t="shared" si="823"/>
        <v>Digital Payment</v>
      </c>
      <c r="P10519">
        <v>156.1</v>
      </c>
      <c r="Q10519" s="37" t="str">
        <f>IF(P10519&gt;500,"High","low")</f>
        <v>low</v>
      </c>
      <c r="R10519" s="37" t="str">
        <f t="shared" si="824"/>
        <v>AVERAGE</v>
      </c>
      <c r="S10519" t="s">
        <v>600</v>
      </c>
    </row>
    <row r="10520" spans="1:19" x14ac:dyDescent="0.2">
      <c r="A10520" t="s">
        <v>11131</v>
      </c>
      <c r="B10520" t="s">
        <v>90</v>
      </c>
      <c r="C10520" t="s">
        <v>607</v>
      </c>
      <c r="D10520">
        <v>4050.36</v>
      </c>
      <c r="E10520" s="37" t="str">
        <f t="shared" si="820"/>
        <v xml:space="preserve"> </v>
      </c>
      <c r="F10520">
        <v>0.17</v>
      </c>
      <c r="G10520" s="37" t="str">
        <f t="shared" si="821"/>
        <v>Normal Discount</v>
      </c>
      <c r="H10520" s="37" t="str">
        <f t="shared" si="822"/>
        <v>Low</v>
      </c>
      <c r="I10520">
        <v>4</v>
      </c>
      <c r="J10520" t="str" cm="1">
        <f t="array" ref="J10520">_xlfn.IFS(I10520&lt;=3,"small",I10520&lt;=6,"Medium",I10520&lt;=9,"Large")</f>
        <v>Medium</v>
      </c>
      <c r="K10520" s="36">
        <v>45481</v>
      </c>
      <c r="L10520" s="36">
        <v>45488</v>
      </c>
      <c r="M10520" t="s">
        <v>598</v>
      </c>
      <c r="N10520" t="s">
        <v>608</v>
      </c>
      <c r="O10520" s="37" t="str">
        <f t="shared" si="823"/>
        <v>Cash Payment</v>
      </c>
      <c r="P10520">
        <v>499.39</v>
      </c>
      <c r="Q10520" s="37" t="str">
        <f>IF(P10520&gt;500,"High","low")</f>
        <v>low</v>
      </c>
      <c r="R10520" s="37" t="str">
        <f t="shared" si="824"/>
        <v>AVERAGE</v>
      </c>
      <c r="S10520" t="s">
        <v>605</v>
      </c>
    </row>
    <row r="10521" spans="1:19" x14ac:dyDescent="0.2">
      <c r="A10521" t="s">
        <v>11132</v>
      </c>
      <c r="B10521" t="s">
        <v>67</v>
      </c>
      <c r="C10521" t="s">
        <v>602</v>
      </c>
      <c r="D10521">
        <v>2379.79</v>
      </c>
      <c r="E10521" s="37" t="str">
        <f t="shared" si="820"/>
        <v xml:space="preserve"> </v>
      </c>
      <c r="F10521">
        <v>0.22</v>
      </c>
      <c r="G10521" s="37" t="str">
        <f t="shared" si="821"/>
        <v>Normal Discount</v>
      </c>
      <c r="H10521" s="37" t="str">
        <f t="shared" si="822"/>
        <v>Medium</v>
      </c>
      <c r="I10521">
        <v>9</v>
      </c>
      <c r="J10521" t="str" cm="1">
        <f t="array" ref="J10521">_xlfn.IFS(I10521&lt;=3,"small",I10521&lt;=6,"Medium",I10521&lt;=9,"Large")</f>
        <v>Large</v>
      </c>
      <c r="K10521" s="36">
        <v>44975</v>
      </c>
      <c r="L10521" s="36">
        <v>44979</v>
      </c>
      <c r="M10521" t="s">
        <v>612</v>
      </c>
      <c r="N10521" t="s">
        <v>604</v>
      </c>
      <c r="O10521" s="37" t="str">
        <f t="shared" si="823"/>
        <v>Digital Payment</v>
      </c>
      <c r="P10521">
        <v>342</v>
      </c>
      <c r="Q10521" s="37" t="str">
        <f>IF(P10521&gt;500,"High","low")</f>
        <v>low</v>
      </c>
      <c r="R10521" s="37" t="str">
        <f t="shared" si="824"/>
        <v>AVERAGE</v>
      </c>
      <c r="S10521" t="s">
        <v>620</v>
      </c>
    </row>
    <row r="10522" spans="1:19" x14ac:dyDescent="0.2">
      <c r="A10522" t="s">
        <v>11133</v>
      </c>
      <c r="B10522" t="s">
        <v>90</v>
      </c>
      <c r="C10522" t="s">
        <v>614</v>
      </c>
      <c r="D10522">
        <v>2274.42</v>
      </c>
      <c r="E10522" s="37" t="str">
        <f t="shared" si="820"/>
        <v xml:space="preserve"> </v>
      </c>
      <c r="F10522">
        <v>0.41</v>
      </c>
      <c r="G10522" s="37" t="str">
        <f t="shared" si="821"/>
        <v>Heavy Discount</v>
      </c>
      <c r="H10522" s="37" t="str">
        <f t="shared" si="822"/>
        <v>High</v>
      </c>
      <c r="I10522">
        <v>2</v>
      </c>
      <c r="J10522" t="str" cm="1">
        <f t="array" ref="J10522">_xlfn.IFS(I10522&lt;=3,"small",I10522&lt;=6,"Medium",I10522&lt;=9,"Large")</f>
        <v>small</v>
      </c>
      <c r="K10522" s="36">
        <v>45106</v>
      </c>
      <c r="L10522" s="36">
        <v>45113</v>
      </c>
      <c r="M10522" t="s">
        <v>598</v>
      </c>
      <c r="N10522" t="s">
        <v>599</v>
      </c>
      <c r="O10522" s="37" t="str">
        <f t="shared" si="823"/>
        <v>Digital Payment</v>
      </c>
      <c r="P10522">
        <v>354.17</v>
      </c>
      <c r="Q10522" s="37" t="str">
        <f>IF(P10522&gt;500,"High","low")</f>
        <v>low</v>
      </c>
      <c r="R10522" s="37" t="str">
        <f t="shared" si="824"/>
        <v>AVERAGE</v>
      </c>
      <c r="S10522" t="s">
        <v>609</v>
      </c>
    </row>
    <row r="10523" spans="1:19" x14ac:dyDescent="0.2">
      <c r="A10523" t="s">
        <v>11134</v>
      </c>
      <c r="B10523" t="s">
        <v>83</v>
      </c>
      <c r="C10523" t="s">
        <v>614</v>
      </c>
      <c r="D10523">
        <v>3762.94</v>
      </c>
      <c r="E10523" s="37" t="str">
        <f t="shared" si="820"/>
        <v xml:space="preserve"> </v>
      </c>
      <c r="F10523">
        <v>0.12</v>
      </c>
      <c r="G10523" s="37" t="str">
        <f t="shared" si="821"/>
        <v>Normal Discount</v>
      </c>
      <c r="H10523" s="37" t="str">
        <f t="shared" si="822"/>
        <v>Low</v>
      </c>
      <c r="I10523">
        <v>6</v>
      </c>
      <c r="J10523" t="str" cm="1">
        <f t="array" ref="J10523">_xlfn.IFS(I10523&lt;=3,"small",I10523&lt;=6,"Medium",I10523&lt;=9,"Large")</f>
        <v>Medium</v>
      </c>
      <c r="K10523" s="36">
        <v>45253</v>
      </c>
      <c r="L10523" s="36">
        <v>45255</v>
      </c>
      <c r="M10523" t="s">
        <v>603</v>
      </c>
      <c r="N10523" t="s">
        <v>608</v>
      </c>
      <c r="O10523" s="37" t="str">
        <f t="shared" si="823"/>
        <v>Cash Payment</v>
      </c>
      <c r="P10523">
        <v>1011.69</v>
      </c>
      <c r="Q10523" s="37" t="str">
        <f>IF(P10523&gt;500,"High","low")</f>
        <v>High</v>
      </c>
      <c r="R10523" s="37" t="str">
        <f t="shared" si="824"/>
        <v>Excellent</v>
      </c>
      <c r="S10523" t="s">
        <v>620</v>
      </c>
    </row>
    <row r="10524" spans="1:19" x14ac:dyDescent="0.2">
      <c r="A10524" t="s">
        <v>11135</v>
      </c>
      <c r="B10524" t="s">
        <v>90</v>
      </c>
      <c r="C10524" t="s">
        <v>607</v>
      </c>
      <c r="D10524">
        <v>825.39</v>
      </c>
      <c r="E10524" s="37" t="str">
        <f t="shared" si="820"/>
        <v xml:space="preserve"> </v>
      </c>
      <c r="F10524">
        <v>0.36</v>
      </c>
      <c r="G10524" s="37" t="str">
        <f t="shared" si="821"/>
        <v>Heavy Discount</v>
      </c>
      <c r="H10524" s="37" t="str">
        <f t="shared" si="822"/>
        <v>Medium</v>
      </c>
      <c r="I10524">
        <v>4</v>
      </c>
      <c r="J10524" t="str" cm="1">
        <f t="array" ref="J10524">_xlfn.IFS(I10524&lt;=3,"small",I10524&lt;=6,"Medium",I10524&lt;=9,"Large")</f>
        <v>Medium</v>
      </c>
      <c r="K10524" s="36">
        <v>45598</v>
      </c>
      <c r="L10524" s="36">
        <v>45599</v>
      </c>
      <c r="M10524" t="s">
        <v>598</v>
      </c>
      <c r="N10524" t="s">
        <v>608</v>
      </c>
      <c r="O10524" s="37" t="str">
        <f t="shared" si="823"/>
        <v>Cash Payment</v>
      </c>
      <c r="P10524">
        <v>244.72</v>
      </c>
      <c r="Q10524" s="37" t="str">
        <f>IF(P10524&gt;500,"High","low")</f>
        <v>low</v>
      </c>
      <c r="R10524" s="37" t="str">
        <f t="shared" si="824"/>
        <v>AVERAGE</v>
      </c>
      <c r="S10524" t="s">
        <v>600</v>
      </c>
    </row>
    <row r="10525" spans="1:19" x14ac:dyDescent="0.2">
      <c r="A10525" t="s">
        <v>11136</v>
      </c>
      <c r="B10525" t="s">
        <v>83</v>
      </c>
      <c r="C10525" t="s">
        <v>597</v>
      </c>
      <c r="D10525">
        <v>2384.85</v>
      </c>
      <c r="E10525" s="37" t="str">
        <f t="shared" si="820"/>
        <v xml:space="preserve"> </v>
      </c>
      <c r="F10525">
        <v>0.46</v>
      </c>
      <c r="G10525" s="37" t="str">
        <f t="shared" si="821"/>
        <v>Heavy Discount</v>
      </c>
      <c r="H10525" s="37" t="str">
        <f t="shared" si="822"/>
        <v>High</v>
      </c>
      <c r="I10525">
        <v>8</v>
      </c>
      <c r="J10525" t="str" cm="1">
        <f t="array" ref="J10525">_xlfn.IFS(I10525&lt;=3,"small",I10525&lt;=6,"Medium",I10525&lt;=9,"Large")</f>
        <v>Large</v>
      </c>
      <c r="K10525" s="36">
        <v>45544</v>
      </c>
      <c r="L10525" s="36">
        <v>45547</v>
      </c>
      <c r="M10525" t="s">
        <v>612</v>
      </c>
      <c r="N10525" t="s">
        <v>604</v>
      </c>
      <c r="O10525" s="37" t="str">
        <f t="shared" si="823"/>
        <v>Digital Payment</v>
      </c>
      <c r="P10525">
        <v>689.62</v>
      </c>
      <c r="Q10525" s="37" t="str">
        <f>IF(P10525&gt;500,"High","low")</f>
        <v>High</v>
      </c>
      <c r="R10525" s="37" t="str">
        <f t="shared" si="824"/>
        <v>Good</v>
      </c>
      <c r="S10525" t="s">
        <v>600</v>
      </c>
    </row>
    <row r="10526" spans="1:19" x14ac:dyDescent="0.2">
      <c r="A10526" t="s">
        <v>11137</v>
      </c>
      <c r="B10526" t="s">
        <v>75</v>
      </c>
      <c r="C10526" t="s">
        <v>607</v>
      </c>
      <c r="D10526">
        <v>275.58999999999997</v>
      </c>
      <c r="E10526" s="37" t="str">
        <f t="shared" si="820"/>
        <v xml:space="preserve"> </v>
      </c>
      <c r="F10526">
        <v>0.19</v>
      </c>
      <c r="G10526" s="37" t="str">
        <f t="shared" si="821"/>
        <v>Normal Discount</v>
      </c>
      <c r="H10526" s="37" t="str">
        <f t="shared" si="822"/>
        <v>Low</v>
      </c>
      <c r="I10526">
        <v>4</v>
      </c>
      <c r="J10526" t="str" cm="1">
        <f t="array" ref="J10526">_xlfn.IFS(I10526&lt;=3,"small",I10526&lt;=6,"Medium",I10526&lt;=9,"Large")</f>
        <v>Medium</v>
      </c>
      <c r="K10526" s="36">
        <v>45039</v>
      </c>
      <c r="L10526" s="36">
        <v>45046</v>
      </c>
      <c r="M10526" t="s">
        <v>603</v>
      </c>
      <c r="N10526" t="s">
        <v>604</v>
      </c>
      <c r="O10526" s="37" t="str">
        <f t="shared" si="823"/>
        <v>Digital Payment</v>
      </c>
      <c r="P10526">
        <v>23.86</v>
      </c>
      <c r="Q10526" s="37" t="str">
        <f>IF(P10526&gt;500,"High","low")</f>
        <v>low</v>
      </c>
      <c r="R10526" s="37" t="str">
        <f t="shared" si="824"/>
        <v>AVERAGE</v>
      </c>
      <c r="S10526" t="s">
        <v>620</v>
      </c>
    </row>
    <row r="10527" spans="1:19" x14ac:dyDescent="0.2">
      <c r="A10527" t="s">
        <v>11138</v>
      </c>
      <c r="B10527" t="s">
        <v>67</v>
      </c>
      <c r="C10527" t="s">
        <v>602</v>
      </c>
      <c r="D10527">
        <v>3384.99</v>
      </c>
      <c r="E10527" s="37" t="str">
        <f t="shared" si="820"/>
        <v xml:space="preserve"> </v>
      </c>
      <c r="F10527">
        <v>0.01</v>
      </c>
      <c r="G10527" s="37" t="str">
        <f t="shared" si="821"/>
        <v>Normal Discount</v>
      </c>
      <c r="H10527" s="37" t="str">
        <f t="shared" si="822"/>
        <v>Low</v>
      </c>
      <c r="I10527">
        <v>9</v>
      </c>
      <c r="J10527" t="str" cm="1">
        <f t="array" ref="J10527">_xlfn.IFS(I10527&lt;=3,"small",I10527&lt;=6,"Medium",I10527&lt;=9,"Large")</f>
        <v>Large</v>
      </c>
      <c r="K10527" s="36">
        <v>45176</v>
      </c>
      <c r="L10527" s="36">
        <v>45178</v>
      </c>
      <c r="M10527" t="s">
        <v>598</v>
      </c>
      <c r="N10527" t="s">
        <v>599</v>
      </c>
      <c r="O10527" s="37" t="str">
        <f t="shared" si="823"/>
        <v>Digital Payment</v>
      </c>
      <c r="P10527">
        <v>193.8</v>
      </c>
      <c r="Q10527" s="37" t="str">
        <f>IF(P10527&gt;500,"High","low")</f>
        <v>low</v>
      </c>
      <c r="R10527" s="37" t="str">
        <f t="shared" si="824"/>
        <v>AVERAGE</v>
      </c>
      <c r="S10527" t="s">
        <v>609</v>
      </c>
    </row>
    <row r="10528" spans="1:19" x14ac:dyDescent="0.2">
      <c r="A10528" t="s">
        <v>11139</v>
      </c>
      <c r="B10528" t="s">
        <v>90</v>
      </c>
      <c r="C10528" t="s">
        <v>607</v>
      </c>
      <c r="D10528">
        <v>386.05</v>
      </c>
      <c r="E10528" s="37" t="str">
        <f t="shared" si="820"/>
        <v xml:space="preserve"> </v>
      </c>
      <c r="F10528">
        <v>0.41</v>
      </c>
      <c r="G10528" s="37" t="str">
        <f t="shared" si="821"/>
        <v>Heavy Discount</v>
      </c>
      <c r="H10528" s="37" t="str">
        <f t="shared" si="822"/>
        <v>High</v>
      </c>
      <c r="I10528">
        <v>3</v>
      </c>
      <c r="J10528" t="str" cm="1">
        <f t="array" ref="J10528">_xlfn.IFS(I10528&lt;=3,"small",I10528&lt;=6,"Medium",I10528&lt;=9,"Large")</f>
        <v>small</v>
      </c>
      <c r="K10528" s="36">
        <v>45456</v>
      </c>
      <c r="L10528" s="36">
        <v>45462</v>
      </c>
      <c r="M10528" t="s">
        <v>598</v>
      </c>
      <c r="N10528" t="s">
        <v>604</v>
      </c>
      <c r="O10528" s="37" t="str">
        <f t="shared" si="823"/>
        <v>Digital Payment</v>
      </c>
      <c r="P10528">
        <v>39.840000000000003</v>
      </c>
      <c r="Q10528" s="37" t="str">
        <f>IF(P10528&gt;500,"High","low")</f>
        <v>low</v>
      </c>
      <c r="R10528" s="37" t="str">
        <f t="shared" si="824"/>
        <v>AVERAGE</v>
      </c>
      <c r="S10528" t="s">
        <v>609</v>
      </c>
    </row>
    <row r="10529" spans="1:19" x14ac:dyDescent="0.2">
      <c r="A10529" t="s">
        <v>11140</v>
      </c>
      <c r="B10529" t="s">
        <v>90</v>
      </c>
      <c r="C10529" t="s">
        <v>607</v>
      </c>
      <c r="D10529">
        <v>527.72</v>
      </c>
      <c r="E10529" s="37" t="str">
        <f t="shared" si="820"/>
        <v xml:space="preserve"> </v>
      </c>
      <c r="F10529">
        <v>0.35</v>
      </c>
      <c r="G10529" s="37" t="str">
        <f t="shared" si="821"/>
        <v>Heavy Discount</v>
      </c>
      <c r="H10529" s="37" t="str">
        <f t="shared" si="822"/>
        <v>Medium</v>
      </c>
      <c r="I10529">
        <v>7</v>
      </c>
      <c r="J10529" t="str" cm="1">
        <f t="array" ref="J10529">_xlfn.IFS(I10529&lt;=3,"small",I10529&lt;=6,"Medium",I10529&lt;=9,"Large")</f>
        <v>Large</v>
      </c>
      <c r="K10529" s="36">
        <v>45049</v>
      </c>
      <c r="L10529" s="36">
        <v>45053</v>
      </c>
      <c r="M10529" t="s">
        <v>598</v>
      </c>
      <c r="N10529" t="s">
        <v>604</v>
      </c>
      <c r="O10529" s="37" t="str">
        <f t="shared" si="823"/>
        <v>Digital Payment</v>
      </c>
      <c r="P10529">
        <v>66.44</v>
      </c>
      <c r="Q10529" s="37" t="str">
        <f>IF(P10529&gt;500,"High","low")</f>
        <v>low</v>
      </c>
      <c r="R10529" s="37" t="str">
        <f t="shared" si="824"/>
        <v>AVERAGE</v>
      </c>
      <c r="S10529" t="s">
        <v>600</v>
      </c>
    </row>
    <row r="10530" spans="1:19" x14ac:dyDescent="0.2">
      <c r="A10530" t="s">
        <v>11141</v>
      </c>
      <c r="B10530" t="s">
        <v>67</v>
      </c>
      <c r="C10530" t="s">
        <v>614</v>
      </c>
      <c r="D10530">
        <v>4239.6499999999996</v>
      </c>
      <c r="E10530" s="37" t="str">
        <f t="shared" si="820"/>
        <v xml:space="preserve"> </v>
      </c>
      <c r="F10530">
        <v>7.0000000000000007E-2</v>
      </c>
      <c r="G10530" s="37" t="str">
        <f t="shared" si="821"/>
        <v>Normal Discount</v>
      </c>
      <c r="H10530" s="37" t="str">
        <f t="shared" si="822"/>
        <v>Low</v>
      </c>
      <c r="I10530">
        <v>5</v>
      </c>
      <c r="J10530" t="str" cm="1">
        <f t="array" ref="J10530">_xlfn.IFS(I10530&lt;=3,"small",I10530&lt;=6,"Medium",I10530&lt;=9,"Large")</f>
        <v>Medium</v>
      </c>
      <c r="K10530" s="36">
        <v>45598</v>
      </c>
      <c r="L10530" s="36">
        <v>45603</v>
      </c>
      <c r="M10530" t="s">
        <v>603</v>
      </c>
      <c r="N10530" t="s">
        <v>604</v>
      </c>
      <c r="O10530" s="37" t="str">
        <f t="shared" si="823"/>
        <v>Digital Payment</v>
      </c>
      <c r="P10530">
        <v>698.99</v>
      </c>
      <c r="Q10530" s="37" t="str">
        <f>IF(P10530&gt;500,"High","low")</f>
        <v>High</v>
      </c>
      <c r="R10530" s="37" t="str">
        <f t="shared" si="824"/>
        <v>Good</v>
      </c>
      <c r="S10530" t="s">
        <v>615</v>
      </c>
    </row>
    <row r="10531" spans="1:19" x14ac:dyDescent="0.2">
      <c r="A10531" t="s">
        <v>11142</v>
      </c>
      <c r="B10531" t="s">
        <v>67</v>
      </c>
      <c r="C10531" t="s">
        <v>607</v>
      </c>
      <c r="D10531">
        <v>2270.48</v>
      </c>
      <c r="E10531" s="37" t="str">
        <f t="shared" si="820"/>
        <v xml:space="preserve"> </v>
      </c>
      <c r="F10531">
        <v>0.3</v>
      </c>
      <c r="G10531" s="37" t="str">
        <f t="shared" si="821"/>
        <v>Normal Discount</v>
      </c>
      <c r="H10531" s="37" t="str">
        <f t="shared" si="822"/>
        <v>Medium</v>
      </c>
      <c r="I10531">
        <v>1</v>
      </c>
      <c r="J10531" t="str" cm="1">
        <f t="array" ref="J10531">_xlfn.IFS(I10531&lt;=3,"small",I10531&lt;=6,"Medium",I10531&lt;=9,"Large")</f>
        <v>small</v>
      </c>
      <c r="K10531" s="36">
        <v>45108</v>
      </c>
      <c r="L10531" s="36">
        <v>45113</v>
      </c>
      <c r="M10531" t="s">
        <v>603</v>
      </c>
      <c r="N10531" t="s">
        <v>608</v>
      </c>
      <c r="O10531" s="37" t="str">
        <f t="shared" si="823"/>
        <v>Cash Payment</v>
      </c>
      <c r="P10531">
        <v>404.4</v>
      </c>
      <c r="Q10531" s="37" t="str">
        <f>IF(P10531&gt;500,"High","low")</f>
        <v>low</v>
      </c>
      <c r="R10531" s="37" t="str">
        <f t="shared" si="824"/>
        <v>AVERAGE</v>
      </c>
      <c r="S10531" t="s">
        <v>615</v>
      </c>
    </row>
    <row r="10532" spans="1:19" x14ac:dyDescent="0.2">
      <c r="A10532" t="s">
        <v>11143</v>
      </c>
      <c r="B10532" t="s">
        <v>75</v>
      </c>
      <c r="C10532" t="s">
        <v>617</v>
      </c>
      <c r="D10532">
        <v>1084.78</v>
      </c>
      <c r="E10532" s="37" t="str">
        <f t="shared" si="820"/>
        <v xml:space="preserve"> </v>
      </c>
      <c r="F10532">
        <v>0.41</v>
      </c>
      <c r="G10532" s="37" t="str">
        <f t="shared" si="821"/>
        <v>Heavy Discount</v>
      </c>
      <c r="H10532" s="37" t="str">
        <f t="shared" si="822"/>
        <v>High</v>
      </c>
      <c r="I10532">
        <v>3</v>
      </c>
      <c r="J10532" t="str" cm="1">
        <f t="array" ref="J10532">_xlfn.IFS(I10532&lt;=3,"small",I10532&lt;=6,"Medium",I10532&lt;=9,"Large")</f>
        <v>small</v>
      </c>
      <c r="K10532" s="36">
        <v>45423</v>
      </c>
      <c r="L10532" s="36">
        <v>45424</v>
      </c>
      <c r="M10532" t="s">
        <v>603</v>
      </c>
      <c r="N10532" t="s">
        <v>604</v>
      </c>
      <c r="O10532" s="37" t="str">
        <f t="shared" si="823"/>
        <v>Digital Payment</v>
      </c>
      <c r="P10532">
        <v>154.78</v>
      </c>
      <c r="Q10532" s="37" t="str">
        <f>IF(P10532&gt;500,"High","low")</f>
        <v>low</v>
      </c>
      <c r="R10532" s="37" t="str">
        <f t="shared" si="824"/>
        <v>AVERAGE</v>
      </c>
      <c r="S10532" t="s">
        <v>600</v>
      </c>
    </row>
    <row r="10533" spans="1:19" x14ac:dyDescent="0.2">
      <c r="A10533" t="s">
        <v>11144</v>
      </c>
      <c r="B10533" t="s">
        <v>75</v>
      </c>
      <c r="C10533" t="s">
        <v>617</v>
      </c>
      <c r="D10533">
        <v>3003.66</v>
      </c>
      <c r="E10533" s="37" t="str">
        <f t="shared" si="820"/>
        <v xml:space="preserve"> </v>
      </c>
      <c r="F10533">
        <v>0.09</v>
      </c>
      <c r="G10533" s="37" t="str">
        <f t="shared" si="821"/>
        <v>Normal Discount</v>
      </c>
      <c r="H10533" s="37" t="str">
        <f t="shared" si="822"/>
        <v>Low</v>
      </c>
      <c r="I10533">
        <v>9</v>
      </c>
      <c r="J10533" t="str" cm="1">
        <f t="array" ref="J10533">_xlfn.IFS(I10533&lt;=3,"small",I10533&lt;=6,"Medium",I10533&lt;=9,"Large")</f>
        <v>Large</v>
      </c>
      <c r="K10533" s="36">
        <v>45522</v>
      </c>
      <c r="L10533" s="36">
        <v>45524</v>
      </c>
      <c r="M10533" t="s">
        <v>598</v>
      </c>
      <c r="N10533" t="s">
        <v>599</v>
      </c>
      <c r="O10533" s="37" t="str">
        <f t="shared" si="823"/>
        <v>Digital Payment</v>
      </c>
      <c r="P10533">
        <v>844.01</v>
      </c>
      <c r="Q10533" s="37" t="str">
        <f>IF(P10533&gt;500,"High","low")</f>
        <v>High</v>
      </c>
      <c r="R10533" s="37" t="str">
        <f t="shared" si="824"/>
        <v>Good</v>
      </c>
      <c r="S10533" t="s">
        <v>605</v>
      </c>
    </row>
    <row r="10534" spans="1:19" x14ac:dyDescent="0.2">
      <c r="A10534" t="s">
        <v>11145</v>
      </c>
      <c r="B10534" t="s">
        <v>90</v>
      </c>
      <c r="C10534" t="s">
        <v>597</v>
      </c>
      <c r="D10534">
        <v>2644.49</v>
      </c>
      <c r="E10534" s="37" t="str">
        <f t="shared" si="820"/>
        <v xml:space="preserve"> </v>
      </c>
      <c r="F10534">
        <v>0.11</v>
      </c>
      <c r="G10534" s="37" t="str">
        <f t="shared" si="821"/>
        <v>Normal Discount</v>
      </c>
      <c r="H10534" s="37" t="str">
        <f t="shared" si="822"/>
        <v>Low</v>
      </c>
      <c r="I10534">
        <v>9</v>
      </c>
      <c r="J10534" t="str" cm="1">
        <f t="array" ref="J10534">_xlfn.IFS(I10534&lt;=3,"small",I10534&lt;=6,"Medium",I10534&lt;=9,"Large")</f>
        <v>Large</v>
      </c>
      <c r="K10534" s="36">
        <v>45609</v>
      </c>
      <c r="L10534" s="36">
        <v>45610</v>
      </c>
      <c r="M10534" t="s">
        <v>612</v>
      </c>
      <c r="N10534" t="s">
        <v>604</v>
      </c>
      <c r="O10534" s="37" t="str">
        <f t="shared" si="823"/>
        <v>Digital Payment</v>
      </c>
      <c r="P10534">
        <v>611.48</v>
      </c>
      <c r="Q10534" s="37" t="str">
        <f>IF(P10534&gt;500,"High","low")</f>
        <v>High</v>
      </c>
      <c r="R10534" s="37" t="str">
        <f t="shared" si="824"/>
        <v>Good</v>
      </c>
      <c r="S10534" t="s">
        <v>615</v>
      </c>
    </row>
    <row r="10535" spans="1:19" x14ac:dyDescent="0.2">
      <c r="A10535" t="s">
        <v>11146</v>
      </c>
      <c r="B10535" t="s">
        <v>75</v>
      </c>
      <c r="C10535" t="s">
        <v>602</v>
      </c>
      <c r="D10535">
        <v>2113.4499999999998</v>
      </c>
      <c r="E10535" s="37" t="str">
        <f t="shared" si="820"/>
        <v xml:space="preserve"> </v>
      </c>
      <c r="F10535">
        <v>0.1</v>
      </c>
      <c r="G10535" s="37" t="str">
        <f t="shared" si="821"/>
        <v>Normal Discount</v>
      </c>
      <c r="H10535" s="37" t="str">
        <f t="shared" si="822"/>
        <v>Low</v>
      </c>
      <c r="I10535">
        <v>5</v>
      </c>
      <c r="J10535" t="str" cm="1">
        <f t="array" ref="J10535">_xlfn.IFS(I10535&lt;=3,"small",I10535&lt;=6,"Medium",I10535&lt;=9,"Large")</f>
        <v>Medium</v>
      </c>
      <c r="K10535" s="36">
        <v>45607</v>
      </c>
      <c r="L10535" s="36">
        <v>45613</v>
      </c>
      <c r="M10535" t="s">
        <v>612</v>
      </c>
      <c r="N10535" t="s">
        <v>608</v>
      </c>
      <c r="O10535" s="37" t="str">
        <f t="shared" si="823"/>
        <v>Cash Payment</v>
      </c>
      <c r="P10535">
        <v>472.53</v>
      </c>
      <c r="Q10535" s="37" t="str">
        <f>IF(P10535&gt;500,"High","low")</f>
        <v>low</v>
      </c>
      <c r="R10535" s="37" t="str">
        <f t="shared" si="824"/>
        <v>AVERAGE</v>
      </c>
      <c r="S10535" t="s">
        <v>600</v>
      </c>
    </row>
    <row r="10536" spans="1:19" x14ac:dyDescent="0.2">
      <c r="A10536" t="s">
        <v>11147</v>
      </c>
      <c r="B10536" t="s">
        <v>83</v>
      </c>
      <c r="C10536" t="s">
        <v>602</v>
      </c>
      <c r="D10536">
        <v>4536.54</v>
      </c>
      <c r="E10536" s="37" t="str">
        <f t="shared" si="820"/>
        <v>Excellent Order</v>
      </c>
      <c r="F10536">
        <v>0.5</v>
      </c>
      <c r="G10536" s="37" t="str">
        <f t="shared" si="821"/>
        <v>Heavy Discount</v>
      </c>
      <c r="H10536" s="37" t="str">
        <f t="shared" si="822"/>
        <v>High</v>
      </c>
      <c r="I10536">
        <v>5</v>
      </c>
      <c r="J10536" t="str" cm="1">
        <f t="array" ref="J10536">_xlfn.IFS(I10536&lt;=3,"small",I10536&lt;=6,"Medium",I10536&lt;=9,"Large")</f>
        <v>Medium</v>
      </c>
      <c r="K10536" s="36">
        <v>45062</v>
      </c>
      <c r="L10536" s="36">
        <v>45063</v>
      </c>
      <c r="M10536" t="s">
        <v>612</v>
      </c>
      <c r="N10536" t="s">
        <v>604</v>
      </c>
      <c r="O10536" s="37" t="str">
        <f t="shared" si="823"/>
        <v>Digital Payment</v>
      </c>
      <c r="P10536">
        <v>881.43</v>
      </c>
      <c r="Q10536" s="37" t="str">
        <f>IF(P10536&gt;500,"High","low")</f>
        <v>High</v>
      </c>
      <c r="R10536" s="37" t="str">
        <f t="shared" si="824"/>
        <v>Good</v>
      </c>
      <c r="S10536" t="s">
        <v>609</v>
      </c>
    </row>
    <row r="10537" spans="1:19" x14ac:dyDescent="0.2">
      <c r="A10537" t="s">
        <v>11148</v>
      </c>
      <c r="B10537" t="s">
        <v>75</v>
      </c>
      <c r="C10537" t="s">
        <v>614</v>
      </c>
      <c r="D10537">
        <v>3772.34</v>
      </c>
      <c r="E10537" s="37" t="str">
        <f t="shared" si="820"/>
        <v xml:space="preserve"> </v>
      </c>
      <c r="F10537">
        <v>0.11</v>
      </c>
      <c r="G10537" s="37" t="str">
        <f t="shared" si="821"/>
        <v>Normal Discount</v>
      </c>
      <c r="H10537" s="37" t="str">
        <f t="shared" si="822"/>
        <v>Low</v>
      </c>
      <c r="I10537">
        <v>4</v>
      </c>
      <c r="J10537" t="str" cm="1">
        <f t="array" ref="J10537">_xlfn.IFS(I10537&lt;=3,"small",I10537&lt;=6,"Medium",I10537&lt;=9,"Large")</f>
        <v>Medium</v>
      </c>
      <c r="K10537" s="36">
        <v>45563</v>
      </c>
      <c r="L10537" s="36">
        <v>45569</v>
      </c>
      <c r="M10537" t="s">
        <v>612</v>
      </c>
      <c r="N10537" t="s">
        <v>604</v>
      </c>
      <c r="O10537" s="37" t="str">
        <f t="shared" si="823"/>
        <v>Digital Payment</v>
      </c>
      <c r="P10537">
        <v>714.96</v>
      </c>
      <c r="Q10537" s="37" t="str">
        <f>IF(P10537&gt;500,"High","low")</f>
        <v>High</v>
      </c>
      <c r="R10537" s="37" t="str">
        <f t="shared" si="824"/>
        <v>Good</v>
      </c>
      <c r="S10537" t="s">
        <v>609</v>
      </c>
    </row>
    <row r="10538" spans="1:19" x14ac:dyDescent="0.2">
      <c r="A10538" t="s">
        <v>11149</v>
      </c>
      <c r="B10538" t="s">
        <v>75</v>
      </c>
      <c r="C10538" t="s">
        <v>602</v>
      </c>
      <c r="D10538">
        <v>842.81</v>
      </c>
      <c r="E10538" s="37" t="str">
        <f t="shared" si="820"/>
        <v xml:space="preserve"> </v>
      </c>
      <c r="F10538">
        <v>0.13</v>
      </c>
      <c r="G10538" s="37" t="str">
        <f t="shared" si="821"/>
        <v>Normal Discount</v>
      </c>
      <c r="H10538" s="37" t="str">
        <f t="shared" si="822"/>
        <v>Low</v>
      </c>
      <c r="I10538">
        <v>4</v>
      </c>
      <c r="J10538" t="str" cm="1">
        <f t="array" ref="J10538">_xlfn.IFS(I10538&lt;=3,"small",I10538&lt;=6,"Medium",I10538&lt;=9,"Large")</f>
        <v>Medium</v>
      </c>
      <c r="K10538" s="36">
        <v>45447</v>
      </c>
      <c r="L10538" s="36">
        <v>45452</v>
      </c>
      <c r="M10538" t="s">
        <v>598</v>
      </c>
      <c r="N10538" t="s">
        <v>604</v>
      </c>
      <c r="O10538" s="37" t="str">
        <f t="shared" si="823"/>
        <v>Digital Payment</v>
      </c>
      <c r="P10538">
        <v>133.06</v>
      </c>
      <c r="Q10538" s="37" t="str">
        <f>IF(P10538&gt;500,"High","low")</f>
        <v>low</v>
      </c>
      <c r="R10538" s="37" t="str">
        <f t="shared" si="824"/>
        <v>AVERAGE</v>
      </c>
      <c r="S10538" t="s">
        <v>605</v>
      </c>
    </row>
    <row r="10539" spans="1:19" x14ac:dyDescent="0.2">
      <c r="A10539" t="s">
        <v>11150</v>
      </c>
      <c r="B10539" t="s">
        <v>90</v>
      </c>
      <c r="C10539" t="s">
        <v>597</v>
      </c>
      <c r="D10539">
        <v>2896.8</v>
      </c>
      <c r="E10539" s="37" t="str">
        <f t="shared" si="820"/>
        <v xml:space="preserve"> </v>
      </c>
      <c r="F10539">
        <v>0.02</v>
      </c>
      <c r="G10539" s="37" t="str">
        <f t="shared" si="821"/>
        <v>Normal Discount</v>
      </c>
      <c r="H10539" s="37" t="str">
        <f t="shared" si="822"/>
        <v>Low</v>
      </c>
      <c r="I10539">
        <v>4</v>
      </c>
      <c r="J10539" t="str" cm="1">
        <f t="array" ref="J10539">_xlfn.IFS(I10539&lt;=3,"small",I10539&lt;=6,"Medium",I10539&lt;=9,"Large")</f>
        <v>Medium</v>
      </c>
      <c r="K10539" s="36">
        <v>45516</v>
      </c>
      <c r="L10539" s="36">
        <v>45523</v>
      </c>
      <c r="M10539" t="s">
        <v>603</v>
      </c>
      <c r="N10539" t="s">
        <v>604</v>
      </c>
      <c r="O10539" s="37" t="str">
        <f t="shared" si="823"/>
        <v>Digital Payment</v>
      </c>
      <c r="P10539">
        <v>463.02</v>
      </c>
      <c r="Q10539" s="37" t="str">
        <f>IF(P10539&gt;500,"High","low")</f>
        <v>low</v>
      </c>
      <c r="R10539" s="37" t="str">
        <f t="shared" si="824"/>
        <v>AVERAGE</v>
      </c>
      <c r="S10539" t="s">
        <v>615</v>
      </c>
    </row>
    <row r="10540" spans="1:19" x14ac:dyDescent="0.2">
      <c r="A10540" t="s">
        <v>11151</v>
      </c>
      <c r="B10540" t="s">
        <v>83</v>
      </c>
      <c r="C10540" t="s">
        <v>617</v>
      </c>
      <c r="D10540">
        <v>534.85</v>
      </c>
      <c r="E10540" s="37" t="str">
        <f t="shared" si="820"/>
        <v xml:space="preserve"> </v>
      </c>
      <c r="F10540">
        <v>0.49</v>
      </c>
      <c r="G10540" s="37" t="str">
        <f t="shared" si="821"/>
        <v>Heavy Discount</v>
      </c>
      <c r="H10540" s="37" t="str">
        <f t="shared" si="822"/>
        <v>High</v>
      </c>
      <c r="I10540">
        <v>2</v>
      </c>
      <c r="J10540" t="str" cm="1">
        <f t="array" ref="J10540">_xlfn.IFS(I10540&lt;=3,"small",I10540&lt;=6,"Medium",I10540&lt;=9,"Large")</f>
        <v>small</v>
      </c>
      <c r="K10540" s="36">
        <v>45356</v>
      </c>
      <c r="L10540" s="36">
        <v>45358</v>
      </c>
      <c r="M10540" t="s">
        <v>598</v>
      </c>
      <c r="N10540" t="s">
        <v>599</v>
      </c>
      <c r="O10540" s="37" t="str">
        <f t="shared" si="823"/>
        <v>Digital Payment</v>
      </c>
      <c r="P10540">
        <v>152.34</v>
      </c>
      <c r="Q10540" s="37" t="str">
        <f>IF(P10540&gt;500,"High","low")</f>
        <v>low</v>
      </c>
      <c r="R10540" s="37" t="str">
        <f t="shared" si="824"/>
        <v>AVERAGE</v>
      </c>
      <c r="S10540" t="s">
        <v>605</v>
      </c>
    </row>
    <row r="10541" spans="1:19" x14ac:dyDescent="0.2">
      <c r="A10541" t="s">
        <v>11152</v>
      </c>
      <c r="B10541" t="s">
        <v>75</v>
      </c>
      <c r="C10541" t="s">
        <v>614</v>
      </c>
      <c r="D10541">
        <v>1298.8</v>
      </c>
      <c r="E10541" s="37" t="str">
        <f t="shared" si="820"/>
        <v xml:space="preserve"> </v>
      </c>
      <c r="F10541">
        <v>0.12</v>
      </c>
      <c r="G10541" s="37" t="str">
        <f t="shared" si="821"/>
        <v>Normal Discount</v>
      </c>
      <c r="H10541" s="37" t="str">
        <f t="shared" si="822"/>
        <v>Low</v>
      </c>
      <c r="I10541">
        <v>7</v>
      </c>
      <c r="J10541" t="str" cm="1">
        <f t="array" ref="J10541">_xlfn.IFS(I10541&lt;=3,"small",I10541&lt;=6,"Medium",I10541&lt;=9,"Large")</f>
        <v>Large</v>
      </c>
      <c r="K10541" s="36">
        <v>45471</v>
      </c>
      <c r="L10541" s="36">
        <v>45478</v>
      </c>
      <c r="M10541" t="s">
        <v>603</v>
      </c>
      <c r="N10541" t="s">
        <v>599</v>
      </c>
      <c r="O10541" s="37" t="str">
        <f t="shared" si="823"/>
        <v>Digital Payment</v>
      </c>
      <c r="P10541">
        <v>255.85</v>
      </c>
      <c r="Q10541" s="37" t="str">
        <f>IF(P10541&gt;500,"High","low")</f>
        <v>low</v>
      </c>
      <c r="R10541" s="37" t="str">
        <f t="shared" si="824"/>
        <v>AVERAGE</v>
      </c>
      <c r="S10541" t="s">
        <v>615</v>
      </c>
    </row>
    <row r="10542" spans="1:19" x14ac:dyDescent="0.2">
      <c r="A10542" t="s">
        <v>11153</v>
      </c>
      <c r="B10542" t="s">
        <v>83</v>
      </c>
      <c r="C10542" t="s">
        <v>617</v>
      </c>
      <c r="D10542">
        <v>4558.32</v>
      </c>
      <c r="E10542" s="37" t="str">
        <f t="shared" si="820"/>
        <v xml:space="preserve"> </v>
      </c>
      <c r="F10542">
        <v>0.36</v>
      </c>
      <c r="G10542" s="37" t="str">
        <f t="shared" si="821"/>
        <v>Heavy Discount</v>
      </c>
      <c r="H10542" s="37" t="str">
        <f t="shared" si="822"/>
        <v>Medium</v>
      </c>
      <c r="I10542">
        <v>3</v>
      </c>
      <c r="J10542" t="str" cm="1">
        <f t="array" ref="J10542">_xlfn.IFS(I10542&lt;=3,"small",I10542&lt;=6,"Medium",I10542&lt;=9,"Large")</f>
        <v>small</v>
      </c>
      <c r="K10542" s="36">
        <v>45240</v>
      </c>
      <c r="L10542" s="36">
        <v>45245</v>
      </c>
      <c r="M10542" t="s">
        <v>598</v>
      </c>
      <c r="N10542" t="s">
        <v>599</v>
      </c>
      <c r="O10542" s="37" t="str">
        <f t="shared" si="823"/>
        <v>Digital Payment</v>
      </c>
      <c r="P10542">
        <v>700.71</v>
      </c>
      <c r="Q10542" s="37" t="str">
        <f>IF(P10542&gt;500,"High","low")</f>
        <v>High</v>
      </c>
      <c r="R10542" s="37" t="str">
        <f t="shared" si="824"/>
        <v>Good</v>
      </c>
      <c r="S10542" t="s">
        <v>609</v>
      </c>
    </row>
    <row r="10543" spans="1:19" x14ac:dyDescent="0.2">
      <c r="A10543" t="s">
        <v>11154</v>
      </c>
      <c r="B10543" t="s">
        <v>83</v>
      </c>
      <c r="C10543" t="s">
        <v>597</v>
      </c>
      <c r="D10543">
        <v>2364.19</v>
      </c>
      <c r="E10543" s="37" t="str">
        <f t="shared" si="820"/>
        <v xml:space="preserve"> </v>
      </c>
      <c r="F10543">
        <v>0.01</v>
      </c>
      <c r="G10543" s="37" t="str">
        <f t="shared" si="821"/>
        <v>Normal Discount</v>
      </c>
      <c r="H10543" s="37" t="str">
        <f t="shared" si="822"/>
        <v>Low</v>
      </c>
      <c r="I10543">
        <v>1</v>
      </c>
      <c r="J10543" t="str" cm="1">
        <f t="array" ref="J10543">_xlfn.IFS(I10543&lt;=3,"small",I10543&lt;=6,"Medium",I10543&lt;=9,"Large")</f>
        <v>small</v>
      </c>
      <c r="K10543" s="36">
        <v>45005</v>
      </c>
      <c r="L10543" s="36">
        <v>45007</v>
      </c>
      <c r="M10543" t="s">
        <v>598</v>
      </c>
      <c r="N10543" t="s">
        <v>604</v>
      </c>
      <c r="O10543" s="37" t="str">
        <f t="shared" si="823"/>
        <v>Digital Payment</v>
      </c>
      <c r="P10543">
        <v>407.65</v>
      </c>
      <c r="Q10543" s="37" t="str">
        <f>IF(P10543&gt;500,"High","low")</f>
        <v>low</v>
      </c>
      <c r="R10543" s="37" t="str">
        <f t="shared" si="824"/>
        <v>AVERAGE</v>
      </c>
      <c r="S10543" t="s">
        <v>628</v>
      </c>
    </row>
    <row r="10544" spans="1:19" x14ac:dyDescent="0.2">
      <c r="A10544" t="s">
        <v>11155</v>
      </c>
      <c r="B10544" t="s">
        <v>83</v>
      </c>
      <c r="C10544" t="s">
        <v>614</v>
      </c>
      <c r="D10544">
        <v>4471.32</v>
      </c>
      <c r="E10544" s="37" t="str">
        <f t="shared" si="820"/>
        <v>Excellent Order</v>
      </c>
      <c r="F10544">
        <v>0.39</v>
      </c>
      <c r="G10544" s="37" t="str">
        <f t="shared" si="821"/>
        <v>Heavy Discount</v>
      </c>
      <c r="H10544" s="37" t="str">
        <f t="shared" si="822"/>
        <v>Medium</v>
      </c>
      <c r="I10544">
        <v>3</v>
      </c>
      <c r="J10544" t="str" cm="1">
        <f t="array" ref="J10544">_xlfn.IFS(I10544&lt;=3,"small",I10544&lt;=6,"Medium",I10544&lt;=9,"Large")</f>
        <v>small</v>
      </c>
      <c r="K10544" s="36">
        <v>45148</v>
      </c>
      <c r="L10544" s="36">
        <v>45153</v>
      </c>
      <c r="M10544" t="s">
        <v>603</v>
      </c>
      <c r="N10544" t="s">
        <v>604</v>
      </c>
      <c r="O10544" s="37" t="str">
        <f t="shared" si="823"/>
        <v>Digital Payment</v>
      </c>
      <c r="P10544">
        <v>1262.54</v>
      </c>
      <c r="Q10544" s="37" t="str">
        <f>IF(P10544&gt;500,"High","low")</f>
        <v>High</v>
      </c>
      <c r="R10544" s="37" t="str">
        <f t="shared" si="824"/>
        <v>Excellent</v>
      </c>
      <c r="S10544" t="s">
        <v>628</v>
      </c>
    </row>
    <row r="10545" spans="1:19" x14ac:dyDescent="0.2">
      <c r="A10545" t="s">
        <v>11156</v>
      </c>
      <c r="B10545" t="s">
        <v>67</v>
      </c>
      <c r="C10545" t="s">
        <v>607</v>
      </c>
      <c r="D10545">
        <v>913.39</v>
      </c>
      <c r="E10545" s="37" t="str">
        <f t="shared" si="820"/>
        <v xml:space="preserve"> </v>
      </c>
      <c r="F10545">
        <v>0.38</v>
      </c>
      <c r="G10545" s="37" t="str">
        <f t="shared" si="821"/>
        <v>Heavy Discount</v>
      </c>
      <c r="H10545" s="37" t="str">
        <f t="shared" si="822"/>
        <v>Medium</v>
      </c>
      <c r="I10545">
        <v>9</v>
      </c>
      <c r="J10545" t="str" cm="1">
        <f t="array" ref="J10545">_xlfn.IFS(I10545&lt;=3,"small",I10545&lt;=6,"Medium",I10545&lt;=9,"Large")</f>
        <v>Large</v>
      </c>
      <c r="K10545" s="36">
        <v>45276</v>
      </c>
      <c r="L10545" s="36">
        <v>45278</v>
      </c>
      <c r="M10545" t="s">
        <v>603</v>
      </c>
      <c r="N10545" t="s">
        <v>604</v>
      </c>
      <c r="O10545" s="37" t="str">
        <f t="shared" si="823"/>
        <v>Digital Payment</v>
      </c>
      <c r="P10545">
        <v>124.57</v>
      </c>
      <c r="Q10545" s="37" t="str">
        <f>IF(P10545&gt;500,"High","low")</f>
        <v>low</v>
      </c>
      <c r="R10545" s="37" t="str">
        <f t="shared" si="824"/>
        <v>AVERAGE</v>
      </c>
      <c r="S10545" t="s">
        <v>620</v>
      </c>
    </row>
    <row r="10546" spans="1:19" x14ac:dyDescent="0.2">
      <c r="A10546" t="s">
        <v>11157</v>
      </c>
      <c r="B10546" t="s">
        <v>67</v>
      </c>
      <c r="C10546" t="s">
        <v>602</v>
      </c>
      <c r="D10546">
        <v>1106.17</v>
      </c>
      <c r="E10546" s="37" t="str">
        <f t="shared" si="820"/>
        <v xml:space="preserve"> </v>
      </c>
      <c r="F10546">
        <v>0.04</v>
      </c>
      <c r="G10546" s="37" t="str">
        <f t="shared" si="821"/>
        <v>Normal Discount</v>
      </c>
      <c r="H10546" s="37" t="str">
        <f t="shared" si="822"/>
        <v>Low</v>
      </c>
      <c r="I10546">
        <v>9</v>
      </c>
      <c r="J10546" t="str" cm="1">
        <f t="array" ref="J10546">_xlfn.IFS(I10546&lt;=3,"small",I10546&lt;=6,"Medium",I10546&lt;=9,"Large")</f>
        <v>Large</v>
      </c>
      <c r="K10546" s="36">
        <v>45158</v>
      </c>
      <c r="L10546" s="36">
        <v>45161</v>
      </c>
      <c r="M10546" t="s">
        <v>598</v>
      </c>
      <c r="N10546" t="s">
        <v>599</v>
      </c>
      <c r="O10546" s="37" t="str">
        <f t="shared" si="823"/>
        <v>Digital Payment</v>
      </c>
      <c r="P10546">
        <v>331.17</v>
      </c>
      <c r="Q10546" s="37" t="str">
        <f>IF(P10546&gt;500,"High","low")</f>
        <v>low</v>
      </c>
      <c r="R10546" s="37" t="str">
        <f t="shared" si="824"/>
        <v>AVERAGE</v>
      </c>
      <c r="S10546" t="s">
        <v>620</v>
      </c>
    </row>
    <row r="10547" spans="1:19" x14ac:dyDescent="0.2">
      <c r="A10547" t="s">
        <v>11158</v>
      </c>
      <c r="B10547" t="s">
        <v>67</v>
      </c>
      <c r="C10547" t="s">
        <v>597</v>
      </c>
      <c r="D10547">
        <v>1828.84</v>
      </c>
      <c r="E10547" s="37" t="str">
        <f t="shared" si="820"/>
        <v xml:space="preserve"> </v>
      </c>
      <c r="F10547">
        <v>0.06</v>
      </c>
      <c r="G10547" s="37" t="str">
        <f t="shared" si="821"/>
        <v>Normal Discount</v>
      </c>
      <c r="H10547" s="37" t="str">
        <f t="shared" si="822"/>
        <v>Low</v>
      </c>
      <c r="I10547">
        <v>7</v>
      </c>
      <c r="J10547" t="str" cm="1">
        <f t="array" ref="J10547">_xlfn.IFS(I10547&lt;=3,"small",I10547&lt;=6,"Medium",I10547&lt;=9,"Large")</f>
        <v>Large</v>
      </c>
      <c r="K10547" s="36">
        <v>45009</v>
      </c>
      <c r="L10547" s="36">
        <v>45014</v>
      </c>
      <c r="M10547" t="s">
        <v>603</v>
      </c>
      <c r="N10547" t="s">
        <v>604</v>
      </c>
      <c r="O10547" s="37" t="str">
        <f t="shared" si="823"/>
        <v>Digital Payment</v>
      </c>
      <c r="P10547">
        <v>268.7</v>
      </c>
      <c r="Q10547" s="37" t="str">
        <f>IF(P10547&gt;500,"High","low")</f>
        <v>low</v>
      </c>
      <c r="R10547" s="37" t="str">
        <f t="shared" si="824"/>
        <v>AVERAGE</v>
      </c>
      <c r="S10547" t="s">
        <v>605</v>
      </c>
    </row>
    <row r="10548" spans="1:19" x14ac:dyDescent="0.2">
      <c r="A10548" t="s">
        <v>11159</v>
      </c>
      <c r="B10548" t="s">
        <v>67</v>
      </c>
      <c r="C10548" t="s">
        <v>614</v>
      </c>
      <c r="D10548">
        <v>1895</v>
      </c>
      <c r="E10548" s="37" t="str">
        <f t="shared" si="820"/>
        <v xml:space="preserve"> </v>
      </c>
      <c r="F10548">
        <v>0.15</v>
      </c>
      <c r="G10548" s="37" t="str">
        <f t="shared" si="821"/>
        <v>Normal Discount</v>
      </c>
      <c r="H10548" s="37" t="str">
        <f t="shared" si="822"/>
        <v>Low</v>
      </c>
      <c r="I10548">
        <v>1</v>
      </c>
      <c r="J10548" t="str" cm="1">
        <f t="array" ref="J10548">_xlfn.IFS(I10548&lt;=3,"small",I10548&lt;=6,"Medium",I10548&lt;=9,"Large")</f>
        <v>small</v>
      </c>
      <c r="K10548" s="36">
        <v>45230</v>
      </c>
      <c r="L10548" s="36">
        <v>45236</v>
      </c>
      <c r="M10548" t="s">
        <v>603</v>
      </c>
      <c r="N10548" t="s">
        <v>604</v>
      </c>
      <c r="O10548" s="37" t="str">
        <f t="shared" si="823"/>
        <v>Digital Payment</v>
      </c>
      <c r="P10548">
        <v>470.05</v>
      </c>
      <c r="Q10548" s="37" t="str">
        <f>IF(P10548&gt;500,"High","low")</f>
        <v>low</v>
      </c>
      <c r="R10548" s="37" t="str">
        <f t="shared" si="824"/>
        <v>AVERAGE</v>
      </c>
      <c r="S10548" t="s">
        <v>615</v>
      </c>
    </row>
    <row r="10549" spans="1:19" x14ac:dyDescent="0.2">
      <c r="A10549" t="s">
        <v>11160</v>
      </c>
      <c r="B10549" t="s">
        <v>90</v>
      </c>
      <c r="C10549" t="s">
        <v>617</v>
      </c>
      <c r="D10549">
        <v>3751.86</v>
      </c>
      <c r="E10549" s="37" t="str">
        <f t="shared" si="820"/>
        <v xml:space="preserve"> </v>
      </c>
      <c r="F10549">
        <v>0.18</v>
      </c>
      <c r="G10549" s="37" t="str">
        <f t="shared" si="821"/>
        <v>Normal Discount</v>
      </c>
      <c r="H10549" s="37" t="str">
        <f t="shared" si="822"/>
        <v>Low</v>
      </c>
      <c r="I10549">
        <v>6</v>
      </c>
      <c r="J10549" t="str" cm="1">
        <f t="array" ref="J10549">_xlfn.IFS(I10549&lt;=3,"small",I10549&lt;=6,"Medium",I10549&lt;=9,"Large")</f>
        <v>Medium</v>
      </c>
      <c r="K10549" s="36">
        <v>45577</v>
      </c>
      <c r="L10549" s="36">
        <v>45580</v>
      </c>
      <c r="M10549" t="s">
        <v>598</v>
      </c>
      <c r="N10549" t="s">
        <v>599</v>
      </c>
      <c r="O10549" s="37" t="str">
        <f t="shared" si="823"/>
        <v>Digital Payment</v>
      </c>
      <c r="P10549">
        <v>251.41</v>
      </c>
      <c r="Q10549" s="37" t="str">
        <f>IF(P10549&gt;500,"High","low")</f>
        <v>low</v>
      </c>
      <c r="R10549" s="37" t="str">
        <f t="shared" si="824"/>
        <v>AVERAGE</v>
      </c>
      <c r="S10549" t="s">
        <v>605</v>
      </c>
    </row>
    <row r="10550" spans="1:19" x14ac:dyDescent="0.2">
      <c r="A10550" t="s">
        <v>11161</v>
      </c>
      <c r="B10550" t="s">
        <v>75</v>
      </c>
      <c r="C10550" t="s">
        <v>614</v>
      </c>
      <c r="D10550">
        <v>3037.11</v>
      </c>
      <c r="E10550" s="37" t="str">
        <f t="shared" si="820"/>
        <v xml:space="preserve"> </v>
      </c>
      <c r="F10550">
        <v>0.39</v>
      </c>
      <c r="G10550" s="37" t="str">
        <f t="shared" si="821"/>
        <v>Heavy Discount</v>
      </c>
      <c r="H10550" s="37" t="str">
        <f t="shared" si="822"/>
        <v>Medium</v>
      </c>
      <c r="I10550">
        <v>1</v>
      </c>
      <c r="J10550" t="str" cm="1">
        <f t="array" ref="J10550">_xlfn.IFS(I10550&lt;=3,"small",I10550&lt;=6,"Medium",I10550&lt;=9,"Large")</f>
        <v>small</v>
      </c>
      <c r="K10550" s="36">
        <v>45411</v>
      </c>
      <c r="L10550" s="36">
        <v>45418</v>
      </c>
      <c r="M10550" t="s">
        <v>612</v>
      </c>
      <c r="N10550" t="s">
        <v>604</v>
      </c>
      <c r="O10550" s="37" t="str">
        <f t="shared" si="823"/>
        <v>Digital Payment</v>
      </c>
      <c r="P10550">
        <v>462.41</v>
      </c>
      <c r="Q10550" s="37" t="str">
        <f>IF(P10550&gt;500,"High","low")</f>
        <v>low</v>
      </c>
      <c r="R10550" s="37" t="str">
        <f t="shared" si="824"/>
        <v>AVERAGE</v>
      </c>
      <c r="S10550" t="s">
        <v>620</v>
      </c>
    </row>
    <row r="10551" spans="1:19" x14ac:dyDescent="0.2">
      <c r="A10551" t="s">
        <v>11162</v>
      </c>
      <c r="B10551" t="s">
        <v>67</v>
      </c>
      <c r="C10551" t="s">
        <v>607</v>
      </c>
      <c r="D10551">
        <v>2810.92</v>
      </c>
      <c r="E10551" s="37" t="str">
        <f t="shared" si="820"/>
        <v xml:space="preserve"> </v>
      </c>
      <c r="F10551">
        <v>0.03</v>
      </c>
      <c r="G10551" s="37" t="str">
        <f t="shared" si="821"/>
        <v>Normal Discount</v>
      </c>
      <c r="H10551" s="37" t="str">
        <f t="shared" si="822"/>
        <v>Low</v>
      </c>
      <c r="I10551">
        <v>2</v>
      </c>
      <c r="J10551" t="str" cm="1">
        <f t="array" ref="J10551">_xlfn.IFS(I10551&lt;=3,"small",I10551&lt;=6,"Medium",I10551&lt;=9,"Large")</f>
        <v>small</v>
      </c>
      <c r="K10551" s="36">
        <v>45256</v>
      </c>
      <c r="L10551" s="36">
        <v>45263</v>
      </c>
      <c r="M10551" t="s">
        <v>598</v>
      </c>
      <c r="N10551" t="s">
        <v>599</v>
      </c>
      <c r="O10551" s="37" t="str">
        <f t="shared" si="823"/>
        <v>Digital Payment</v>
      </c>
      <c r="P10551">
        <v>243.61</v>
      </c>
      <c r="Q10551" s="37" t="str">
        <f>IF(P10551&gt;500,"High","low")</f>
        <v>low</v>
      </c>
      <c r="R10551" s="37" t="str">
        <f t="shared" si="824"/>
        <v>AVERAGE</v>
      </c>
      <c r="S10551" t="s">
        <v>628</v>
      </c>
    </row>
    <row r="10552" spans="1:19" x14ac:dyDescent="0.2">
      <c r="A10552" t="s">
        <v>11163</v>
      </c>
      <c r="B10552" t="s">
        <v>90</v>
      </c>
      <c r="C10552" t="s">
        <v>597</v>
      </c>
      <c r="D10552">
        <v>3051.64</v>
      </c>
      <c r="E10552" s="37" t="str">
        <f t="shared" si="820"/>
        <v xml:space="preserve"> </v>
      </c>
      <c r="F10552">
        <v>0.33</v>
      </c>
      <c r="G10552" s="37" t="str">
        <f t="shared" si="821"/>
        <v>Heavy Discount</v>
      </c>
      <c r="H10552" s="37" t="str">
        <f t="shared" si="822"/>
        <v>Medium</v>
      </c>
      <c r="I10552">
        <v>3</v>
      </c>
      <c r="J10552" t="str" cm="1">
        <f t="array" ref="J10552">_xlfn.IFS(I10552&lt;=3,"small",I10552&lt;=6,"Medium",I10552&lt;=9,"Large")</f>
        <v>small</v>
      </c>
      <c r="K10552" s="36">
        <v>45566</v>
      </c>
      <c r="L10552" s="36">
        <v>45567</v>
      </c>
      <c r="M10552" t="s">
        <v>598</v>
      </c>
      <c r="N10552" t="s">
        <v>604</v>
      </c>
      <c r="O10552" s="37" t="str">
        <f t="shared" si="823"/>
        <v>Digital Payment</v>
      </c>
      <c r="P10552">
        <v>375.21</v>
      </c>
      <c r="Q10552" s="37" t="str">
        <f>IF(P10552&gt;500,"High","low")</f>
        <v>low</v>
      </c>
      <c r="R10552" s="37" t="str">
        <f t="shared" si="824"/>
        <v>AVERAGE</v>
      </c>
      <c r="S10552" t="s">
        <v>600</v>
      </c>
    </row>
    <row r="10553" spans="1:19" x14ac:dyDescent="0.2">
      <c r="A10553" t="s">
        <v>11164</v>
      </c>
      <c r="B10553" t="s">
        <v>75</v>
      </c>
      <c r="C10553" t="s">
        <v>614</v>
      </c>
      <c r="D10553">
        <v>3687.74</v>
      </c>
      <c r="E10553" s="37" t="str">
        <f t="shared" si="820"/>
        <v xml:space="preserve"> </v>
      </c>
      <c r="F10553">
        <v>0.11</v>
      </c>
      <c r="G10553" s="37" t="str">
        <f t="shared" si="821"/>
        <v>Normal Discount</v>
      </c>
      <c r="H10553" s="37" t="str">
        <f t="shared" si="822"/>
        <v>Low</v>
      </c>
      <c r="I10553">
        <v>6</v>
      </c>
      <c r="J10553" t="str" cm="1">
        <f t="array" ref="J10553">_xlfn.IFS(I10553&lt;=3,"small",I10553&lt;=6,"Medium",I10553&lt;=9,"Large")</f>
        <v>Medium</v>
      </c>
      <c r="K10553" s="36">
        <v>45282</v>
      </c>
      <c r="L10553" s="36">
        <v>45287</v>
      </c>
      <c r="M10553" t="s">
        <v>598</v>
      </c>
      <c r="N10553" t="s">
        <v>599</v>
      </c>
      <c r="O10553" s="37" t="str">
        <f t="shared" si="823"/>
        <v>Digital Payment</v>
      </c>
      <c r="P10553">
        <v>557.88</v>
      </c>
      <c r="Q10553" s="37" t="str">
        <f>IF(P10553&gt;500,"High","low")</f>
        <v>High</v>
      </c>
      <c r="R10553" s="37" t="str">
        <f t="shared" si="824"/>
        <v>Good</v>
      </c>
      <c r="S10553" t="s">
        <v>600</v>
      </c>
    </row>
    <row r="10554" spans="1:19" x14ac:dyDescent="0.2">
      <c r="A10554" t="s">
        <v>11165</v>
      </c>
      <c r="B10554" t="s">
        <v>67</v>
      </c>
      <c r="C10554" t="s">
        <v>597</v>
      </c>
      <c r="D10554">
        <v>4474.8</v>
      </c>
      <c r="E10554" s="37" t="str">
        <f t="shared" si="820"/>
        <v>Excellent Order</v>
      </c>
      <c r="F10554">
        <v>0.19</v>
      </c>
      <c r="G10554" s="37" t="str">
        <f t="shared" si="821"/>
        <v>Normal Discount</v>
      </c>
      <c r="H10554" s="37" t="str">
        <f t="shared" si="822"/>
        <v>Low</v>
      </c>
      <c r="I10554">
        <v>7</v>
      </c>
      <c r="J10554" t="str" cm="1">
        <f t="array" ref="J10554">_xlfn.IFS(I10554&lt;=3,"small",I10554&lt;=6,"Medium",I10554&lt;=9,"Large")</f>
        <v>Large</v>
      </c>
      <c r="K10554" s="36">
        <v>45371</v>
      </c>
      <c r="L10554" s="36">
        <v>45378</v>
      </c>
      <c r="M10554" t="s">
        <v>598</v>
      </c>
      <c r="N10554" t="s">
        <v>599</v>
      </c>
      <c r="O10554" s="37" t="str">
        <f t="shared" si="823"/>
        <v>Digital Payment</v>
      </c>
      <c r="P10554">
        <v>849.95</v>
      </c>
      <c r="Q10554" s="37" t="str">
        <f>IF(P10554&gt;500,"High","low")</f>
        <v>High</v>
      </c>
      <c r="R10554" s="37" t="str">
        <f t="shared" si="824"/>
        <v>Good</v>
      </c>
      <c r="S10554" t="s">
        <v>628</v>
      </c>
    </row>
    <row r="10555" spans="1:19" x14ac:dyDescent="0.2">
      <c r="A10555" t="s">
        <v>11166</v>
      </c>
      <c r="B10555" t="s">
        <v>75</v>
      </c>
      <c r="C10555" t="s">
        <v>597</v>
      </c>
      <c r="D10555">
        <v>2132.23</v>
      </c>
      <c r="E10555" s="37" t="str">
        <f t="shared" si="820"/>
        <v xml:space="preserve"> </v>
      </c>
      <c r="F10555">
        <v>0</v>
      </c>
      <c r="G10555" s="37" t="str">
        <f t="shared" si="821"/>
        <v>Normal Discount</v>
      </c>
      <c r="H10555" s="37" t="str">
        <f t="shared" si="822"/>
        <v>Low</v>
      </c>
      <c r="I10555">
        <v>8</v>
      </c>
      <c r="J10555" t="str" cm="1">
        <f t="array" ref="J10555">_xlfn.IFS(I10555&lt;=3,"small",I10555&lt;=6,"Medium",I10555&lt;=9,"Large")</f>
        <v>Large</v>
      </c>
      <c r="K10555" s="36">
        <v>45014</v>
      </c>
      <c r="L10555" s="36">
        <v>45020</v>
      </c>
      <c r="M10555" t="s">
        <v>612</v>
      </c>
      <c r="N10555" t="s">
        <v>604</v>
      </c>
      <c r="O10555" s="37" t="str">
        <f t="shared" si="823"/>
        <v>Digital Payment</v>
      </c>
      <c r="P10555">
        <v>180.89</v>
      </c>
      <c r="Q10555" s="37" t="str">
        <f>IF(P10555&gt;500,"High","low")</f>
        <v>low</v>
      </c>
      <c r="R10555" s="37" t="str">
        <f t="shared" si="824"/>
        <v>AVERAGE</v>
      </c>
      <c r="S10555" t="s">
        <v>600</v>
      </c>
    </row>
    <row r="10556" spans="1:19" x14ac:dyDescent="0.2">
      <c r="A10556" t="s">
        <v>11167</v>
      </c>
      <c r="B10556" t="s">
        <v>67</v>
      </c>
      <c r="C10556" t="s">
        <v>617</v>
      </c>
      <c r="D10556">
        <v>4034.34</v>
      </c>
      <c r="E10556" s="37" t="str">
        <f t="shared" si="820"/>
        <v xml:space="preserve"> </v>
      </c>
      <c r="F10556">
        <v>0.15</v>
      </c>
      <c r="G10556" s="37" t="str">
        <f t="shared" si="821"/>
        <v>Normal Discount</v>
      </c>
      <c r="H10556" s="37" t="str">
        <f t="shared" si="822"/>
        <v>Low</v>
      </c>
      <c r="I10556">
        <v>9</v>
      </c>
      <c r="J10556" t="str" cm="1">
        <f t="array" ref="J10556">_xlfn.IFS(I10556&lt;=3,"small",I10556&lt;=6,"Medium",I10556&lt;=9,"Large")</f>
        <v>Large</v>
      </c>
      <c r="K10556" s="36">
        <v>45197</v>
      </c>
      <c r="L10556" s="36">
        <v>45198</v>
      </c>
      <c r="M10556" t="s">
        <v>603</v>
      </c>
      <c r="N10556" t="s">
        <v>604</v>
      </c>
      <c r="O10556" s="37" t="str">
        <f t="shared" si="823"/>
        <v>Digital Payment</v>
      </c>
      <c r="P10556">
        <v>649.01</v>
      </c>
      <c r="Q10556" s="37" t="str">
        <f>IF(P10556&gt;500,"High","low")</f>
        <v>High</v>
      </c>
      <c r="R10556" s="37" t="str">
        <f t="shared" si="824"/>
        <v>Good</v>
      </c>
      <c r="S10556" t="s">
        <v>620</v>
      </c>
    </row>
    <row r="10557" spans="1:19" x14ac:dyDescent="0.2">
      <c r="A10557" t="s">
        <v>11168</v>
      </c>
      <c r="B10557" t="s">
        <v>90</v>
      </c>
      <c r="C10557" t="s">
        <v>602</v>
      </c>
      <c r="D10557">
        <v>2525.9699999999998</v>
      </c>
      <c r="E10557" s="37" t="str">
        <f t="shared" si="820"/>
        <v xml:space="preserve"> </v>
      </c>
      <c r="F10557">
        <v>0.09</v>
      </c>
      <c r="G10557" s="37" t="str">
        <f t="shared" si="821"/>
        <v>Normal Discount</v>
      </c>
      <c r="H10557" s="37" t="str">
        <f t="shared" si="822"/>
        <v>Low</v>
      </c>
      <c r="I10557">
        <v>7</v>
      </c>
      <c r="J10557" t="str" cm="1">
        <f t="array" ref="J10557">_xlfn.IFS(I10557&lt;=3,"small",I10557&lt;=6,"Medium",I10557&lt;=9,"Large")</f>
        <v>Large</v>
      </c>
      <c r="K10557" s="36">
        <v>45467</v>
      </c>
      <c r="L10557" s="36">
        <v>45472</v>
      </c>
      <c r="M10557" t="s">
        <v>612</v>
      </c>
      <c r="N10557" t="s">
        <v>604</v>
      </c>
      <c r="O10557" s="37" t="str">
        <f t="shared" si="823"/>
        <v>Digital Payment</v>
      </c>
      <c r="P10557">
        <v>714.45</v>
      </c>
      <c r="Q10557" s="37" t="str">
        <f>IF(P10557&gt;500,"High","low")</f>
        <v>High</v>
      </c>
      <c r="R10557" s="37" t="str">
        <f t="shared" si="824"/>
        <v>Good</v>
      </c>
      <c r="S10557" t="s">
        <v>615</v>
      </c>
    </row>
    <row r="10558" spans="1:19" x14ac:dyDescent="0.2">
      <c r="A10558" t="s">
        <v>11169</v>
      </c>
      <c r="B10558" t="s">
        <v>83</v>
      </c>
      <c r="C10558" t="s">
        <v>607</v>
      </c>
      <c r="D10558">
        <v>3638.18</v>
      </c>
      <c r="E10558" s="37" t="str">
        <f t="shared" si="820"/>
        <v xml:space="preserve"> </v>
      </c>
      <c r="F10558">
        <v>0.25</v>
      </c>
      <c r="G10558" s="37" t="str">
        <f t="shared" si="821"/>
        <v>Normal Discount</v>
      </c>
      <c r="H10558" s="37" t="str">
        <f t="shared" si="822"/>
        <v>Medium</v>
      </c>
      <c r="I10558">
        <v>6</v>
      </c>
      <c r="J10558" t="str" cm="1">
        <f t="array" ref="J10558">_xlfn.IFS(I10558&lt;=3,"small",I10558&lt;=6,"Medium",I10558&lt;=9,"Large")</f>
        <v>Medium</v>
      </c>
      <c r="K10558" s="36">
        <v>45081</v>
      </c>
      <c r="L10558" s="36">
        <v>45082</v>
      </c>
      <c r="M10558" t="s">
        <v>603</v>
      </c>
      <c r="N10558" t="s">
        <v>608</v>
      </c>
      <c r="O10558" s="37" t="str">
        <f t="shared" si="823"/>
        <v>Cash Payment</v>
      </c>
      <c r="P10558">
        <v>643.57000000000005</v>
      </c>
      <c r="Q10558" s="37" t="str">
        <f>IF(P10558&gt;500,"High","low")</f>
        <v>High</v>
      </c>
      <c r="R10558" s="37" t="str">
        <f t="shared" si="824"/>
        <v>Good</v>
      </c>
      <c r="S10558" t="s">
        <v>628</v>
      </c>
    </row>
    <row r="10559" spans="1:19" x14ac:dyDescent="0.2">
      <c r="A10559" t="s">
        <v>11170</v>
      </c>
      <c r="B10559" t="s">
        <v>83</v>
      </c>
      <c r="C10559" t="s">
        <v>614</v>
      </c>
      <c r="D10559">
        <v>4386.6400000000003</v>
      </c>
      <c r="E10559" s="37" t="str">
        <f t="shared" si="820"/>
        <v xml:space="preserve"> </v>
      </c>
      <c r="F10559">
        <v>0.08</v>
      </c>
      <c r="G10559" s="37" t="str">
        <f t="shared" si="821"/>
        <v>Normal Discount</v>
      </c>
      <c r="H10559" s="37" t="str">
        <f t="shared" si="822"/>
        <v>Low</v>
      </c>
      <c r="I10559">
        <v>5</v>
      </c>
      <c r="J10559" t="str" cm="1">
        <f t="array" ref="J10559">_xlfn.IFS(I10559&lt;=3,"small",I10559&lt;=6,"Medium",I10559&lt;=9,"Large")</f>
        <v>Medium</v>
      </c>
      <c r="K10559" s="36">
        <v>44940</v>
      </c>
      <c r="L10559" s="36">
        <v>44944</v>
      </c>
      <c r="M10559" t="s">
        <v>612</v>
      </c>
      <c r="N10559" t="s">
        <v>599</v>
      </c>
      <c r="O10559" s="37" t="str">
        <f t="shared" si="823"/>
        <v>Digital Payment</v>
      </c>
      <c r="P10559">
        <v>293.63</v>
      </c>
      <c r="Q10559" s="37" t="str">
        <f>IF(P10559&gt;500,"High","low")</f>
        <v>low</v>
      </c>
      <c r="R10559" s="37" t="str">
        <f t="shared" si="824"/>
        <v>AVERAGE</v>
      </c>
      <c r="S10559" t="s">
        <v>609</v>
      </c>
    </row>
    <row r="10560" spans="1:19" x14ac:dyDescent="0.2">
      <c r="A10560" t="s">
        <v>11171</v>
      </c>
      <c r="B10560" t="s">
        <v>75</v>
      </c>
      <c r="C10560" t="s">
        <v>602</v>
      </c>
      <c r="D10560">
        <v>257.85000000000002</v>
      </c>
      <c r="E10560" s="37" t="str">
        <f t="shared" si="820"/>
        <v xml:space="preserve"> </v>
      </c>
      <c r="F10560">
        <v>0.42</v>
      </c>
      <c r="G10560" s="37" t="str">
        <f t="shared" si="821"/>
        <v>Heavy Discount</v>
      </c>
      <c r="H10560" s="37" t="str">
        <f t="shared" si="822"/>
        <v>High</v>
      </c>
      <c r="I10560">
        <v>2</v>
      </c>
      <c r="J10560" t="str" cm="1">
        <f t="array" ref="J10560">_xlfn.IFS(I10560&lt;=3,"small",I10560&lt;=6,"Medium",I10560&lt;=9,"Large")</f>
        <v>small</v>
      </c>
      <c r="K10560" s="36">
        <v>45435</v>
      </c>
      <c r="L10560" s="36">
        <v>45442</v>
      </c>
      <c r="M10560" t="s">
        <v>598</v>
      </c>
      <c r="N10560" t="s">
        <v>599</v>
      </c>
      <c r="O10560" s="37" t="str">
        <f t="shared" si="823"/>
        <v>Digital Payment</v>
      </c>
      <c r="P10560">
        <v>25.56</v>
      </c>
      <c r="Q10560" s="37" t="str">
        <f>IF(P10560&gt;500,"High","low")</f>
        <v>low</v>
      </c>
      <c r="R10560" s="37" t="str">
        <f t="shared" si="824"/>
        <v>AVERAGE</v>
      </c>
      <c r="S10560" t="s">
        <v>609</v>
      </c>
    </row>
    <row r="10561" spans="1:19" x14ac:dyDescent="0.2">
      <c r="A10561" t="s">
        <v>11172</v>
      </c>
      <c r="B10561" t="s">
        <v>90</v>
      </c>
      <c r="C10561" t="s">
        <v>617</v>
      </c>
      <c r="D10561">
        <v>2778.49</v>
      </c>
      <c r="E10561" s="37" t="str">
        <f t="shared" si="820"/>
        <v xml:space="preserve"> </v>
      </c>
      <c r="F10561">
        <v>0.44</v>
      </c>
      <c r="G10561" s="37" t="str">
        <f t="shared" si="821"/>
        <v>Heavy Discount</v>
      </c>
      <c r="H10561" s="37" t="str">
        <f t="shared" si="822"/>
        <v>High</v>
      </c>
      <c r="I10561">
        <v>8</v>
      </c>
      <c r="J10561" t="str" cm="1">
        <f t="array" ref="J10561">_xlfn.IFS(I10561&lt;=3,"small",I10561&lt;=6,"Medium",I10561&lt;=9,"Large")</f>
        <v>Large</v>
      </c>
      <c r="K10561" s="36">
        <v>45475</v>
      </c>
      <c r="L10561" s="36">
        <v>45477</v>
      </c>
      <c r="M10561" t="s">
        <v>612</v>
      </c>
      <c r="N10561" t="s">
        <v>599</v>
      </c>
      <c r="O10561" s="37" t="str">
        <f t="shared" si="823"/>
        <v>Digital Payment</v>
      </c>
      <c r="P10561">
        <v>695.64</v>
      </c>
      <c r="Q10561" s="37" t="str">
        <f>IF(P10561&gt;500,"High","low")</f>
        <v>High</v>
      </c>
      <c r="R10561" s="37" t="str">
        <f t="shared" si="824"/>
        <v>Good</v>
      </c>
      <c r="S10561" t="s">
        <v>615</v>
      </c>
    </row>
    <row r="10562" spans="1:19" x14ac:dyDescent="0.2">
      <c r="A10562" t="s">
        <v>11173</v>
      </c>
      <c r="B10562" t="s">
        <v>83</v>
      </c>
      <c r="C10562" t="s">
        <v>602</v>
      </c>
      <c r="D10562">
        <v>4947.97</v>
      </c>
      <c r="E10562" s="37" t="str">
        <f t="shared" si="820"/>
        <v xml:space="preserve"> </v>
      </c>
      <c r="F10562">
        <v>0.42</v>
      </c>
      <c r="G10562" s="37" t="str">
        <f t="shared" si="821"/>
        <v>Heavy Discount</v>
      </c>
      <c r="H10562" s="37" t="str">
        <f t="shared" si="822"/>
        <v>High</v>
      </c>
      <c r="I10562">
        <v>5</v>
      </c>
      <c r="J10562" t="str" cm="1">
        <f t="array" ref="J10562">_xlfn.IFS(I10562&lt;=3,"small",I10562&lt;=6,"Medium",I10562&lt;=9,"Large")</f>
        <v>Medium</v>
      </c>
      <c r="K10562" s="36">
        <v>45410</v>
      </c>
      <c r="L10562" s="36">
        <v>45411</v>
      </c>
      <c r="M10562" t="s">
        <v>612</v>
      </c>
      <c r="N10562" t="s">
        <v>599</v>
      </c>
      <c r="O10562" s="37" t="str">
        <f t="shared" si="823"/>
        <v>Digital Payment</v>
      </c>
      <c r="P10562">
        <v>625.52</v>
      </c>
      <c r="Q10562" s="37" t="str">
        <f>IF(P10562&gt;500,"High","low")</f>
        <v>High</v>
      </c>
      <c r="R10562" s="37" t="str">
        <f t="shared" si="824"/>
        <v>Good</v>
      </c>
      <c r="S10562" t="s">
        <v>600</v>
      </c>
    </row>
    <row r="10563" spans="1:19" x14ac:dyDescent="0.2">
      <c r="A10563" t="s">
        <v>11174</v>
      </c>
      <c r="B10563" t="s">
        <v>67</v>
      </c>
      <c r="C10563" t="s">
        <v>597</v>
      </c>
      <c r="D10563">
        <v>2531.5</v>
      </c>
      <c r="E10563" s="37" t="str">
        <f t="shared" ref="E10563:E10626" si="825">IF(AND(D10563&gt;4000,P10563&gt;800),"Excellent Order"," ")</f>
        <v xml:space="preserve"> </v>
      </c>
      <c r="F10563">
        <v>0.49</v>
      </c>
      <c r="G10563" s="37" t="str">
        <f t="shared" ref="G10563:G10626" si="826">IF(F10563&gt;30%,"Heavy Discount","Normal Discount")</f>
        <v>Heavy Discount</v>
      </c>
      <c r="H10563" s="37" t="str">
        <f t="shared" ref="H10563:H10626" si="827">IF(F10563&gt;0.4,"High",IF(F10563&gt;=0.2,"Medium","Low"))</f>
        <v>High</v>
      </c>
      <c r="I10563">
        <v>2</v>
      </c>
      <c r="J10563" t="str" cm="1">
        <f t="array" ref="J10563">_xlfn.IFS(I10563&lt;=3,"small",I10563&lt;=6,"Medium",I10563&lt;=9,"Large")</f>
        <v>small</v>
      </c>
      <c r="K10563" s="36">
        <v>45142</v>
      </c>
      <c r="L10563" s="36">
        <v>45144</v>
      </c>
      <c r="M10563" t="s">
        <v>598</v>
      </c>
      <c r="N10563" t="s">
        <v>608</v>
      </c>
      <c r="O10563" s="37" t="str">
        <f t="shared" ref="O10563:O10626" si="828">IF(OR(N10563="Card",N10563="UPI"),"Digital Payment","Cash Payment")</f>
        <v>Cash Payment</v>
      </c>
      <c r="P10563">
        <v>663.92</v>
      </c>
      <c r="Q10563" s="37" t="str">
        <f>IF(P10563&gt;500,"High","low")</f>
        <v>High</v>
      </c>
      <c r="R10563" s="37" t="str">
        <f t="shared" ref="R10563:R10626" si="829">IF(P10563&gt;1000,"Excellent",IF(P10563&gt;=500,"Good","AVERAGE"))</f>
        <v>Good</v>
      </c>
      <c r="S10563" t="s">
        <v>609</v>
      </c>
    </row>
    <row r="10564" spans="1:19" x14ac:dyDescent="0.2">
      <c r="A10564" t="s">
        <v>11175</v>
      </c>
      <c r="B10564" t="s">
        <v>83</v>
      </c>
      <c r="C10564" t="s">
        <v>597</v>
      </c>
      <c r="D10564">
        <v>4335.09</v>
      </c>
      <c r="E10564" s="37" t="str">
        <f t="shared" si="825"/>
        <v xml:space="preserve"> </v>
      </c>
      <c r="F10564">
        <v>0.46</v>
      </c>
      <c r="G10564" s="37" t="str">
        <f t="shared" si="826"/>
        <v>Heavy Discount</v>
      </c>
      <c r="H10564" s="37" t="str">
        <f t="shared" si="827"/>
        <v>High</v>
      </c>
      <c r="I10564">
        <v>3</v>
      </c>
      <c r="J10564" t="str" cm="1">
        <f t="array" ref="J10564">_xlfn.IFS(I10564&lt;=3,"small",I10564&lt;=6,"Medium",I10564&lt;=9,"Large")</f>
        <v>small</v>
      </c>
      <c r="K10564" s="36">
        <v>44975</v>
      </c>
      <c r="L10564" s="36">
        <v>44976</v>
      </c>
      <c r="M10564" t="s">
        <v>612</v>
      </c>
      <c r="N10564" t="s">
        <v>599</v>
      </c>
      <c r="O10564" s="37" t="str">
        <f t="shared" si="828"/>
        <v>Digital Payment</v>
      </c>
      <c r="P10564">
        <v>542.89</v>
      </c>
      <c r="Q10564" s="37" t="str">
        <f>IF(P10564&gt;500,"High","low")</f>
        <v>High</v>
      </c>
      <c r="R10564" s="37" t="str">
        <f t="shared" si="829"/>
        <v>Good</v>
      </c>
      <c r="S10564" t="s">
        <v>605</v>
      </c>
    </row>
    <row r="10565" spans="1:19" x14ac:dyDescent="0.2">
      <c r="A10565" t="s">
        <v>11176</v>
      </c>
      <c r="B10565" t="s">
        <v>75</v>
      </c>
      <c r="C10565" t="s">
        <v>607</v>
      </c>
      <c r="D10565">
        <v>1010.91</v>
      </c>
      <c r="E10565" s="37" t="str">
        <f t="shared" si="825"/>
        <v xml:space="preserve"> </v>
      </c>
      <c r="F10565">
        <v>0.14000000000000001</v>
      </c>
      <c r="G10565" s="37" t="str">
        <f t="shared" si="826"/>
        <v>Normal Discount</v>
      </c>
      <c r="H10565" s="37" t="str">
        <f t="shared" si="827"/>
        <v>Low</v>
      </c>
      <c r="I10565">
        <v>7</v>
      </c>
      <c r="J10565" t="str" cm="1">
        <f t="array" ref="J10565">_xlfn.IFS(I10565&lt;=3,"small",I10565&lt;=6,"Medium",I10565&lt;=9,"Large")</f>
        <v>Large</v>
      </c>
      <c r="K10565" s="36">
        <v>45368</v>
      </c>
      <c r="L10565" s="36">
        <v>45373</v>
      </c>
      <c r="M10565" t="s">
        <v>603</v>
      </c>
      <c r="N10565" t="s">
        <v>608</v>
      </c>
      <c r="O10565" s="37" t="str">
        <f t="shared" si="828"/>
        <v>Cash Payment</v>
      </c>
      <c r="P10565">
        <v>191.84</v>
      </c>
      <c r="Q10565" s="37" t="str">
        <f>IF(P10565&gt;500,"High","low")</f>
        <v>low</v>
      </c>
      <c r="R10565" s="37" t="str">
        <f t="shared" si="829"/>
        <v>AVERAGE</v>
      </c>
      <c r="S10565" t="s">
        <v>609</v>
      </c>
    </row>
    <row r="10566" spans="1:19" x14ac:dyDescent="0.2">
      <c r="A10566" t="s">
        <v>11177</v>
      </c>
      <c r="B10566" t="s">
        <v>75</v>
      </c>
      <c r="C10566" t="s">
        <v>614</v>
      </c>
      <c r="D10566">
        <v>3061.01</v>
      </c>
      <c r="E10566" s="37" t="str">
        <f t="shared" si="825"/>
        <v xml:space="preserve"> </v>
      </c>
      <c r="F10566">
        <v>0.16</v>
      </c>
      <c r="G10566" s="37" t="str">
        <f t="shared" si="826"/>
        <v>Normal Discount</v>
      </c>
      <c r="H10566" s="37" t="str">
        <f t="shared" si="827"/>
        <v>Low</v>
      </c>
      <c r="I10566">
        <v>8</v>
      </c>
      <c r="J10566" t="str" cm="1">
        <f t="array" ref="J10566">_xlfn.IFS(I10566&lt;=3,"small",I10566&lt;=6,"Medium",I10566&lt;=9,"Large")</f>
        <v>Large</v>
      </c>
      <c r="K10566" s="36">
        <v>44941</v>
      </c>
      <c r="L10566" s="36">
        <v>44943</v>
      </c>
      <c r="M10566" t="s">
        <v>598</v>
      </c>
      <c r="N10566" t="s">
        <v>599</v>
      </c>
      <c r="O10566" s="37" t="str">
        <f t="shared" si="828"/>
        <v>Digital Payment</v>
      </c>
      <c r="P10566">
        <v>601.54</v>
      </c>
      <c r="Q10566" s="37" t="str">
        <f>IF(P10566&gt;500,"High","low")</f>
        <v>High</v>
      </c>
      <c r="R10566" s="37" t="str">
        <f t="shared" si="829"/>
        <v>Good</v>
      </c>
      <c r="S10566" t="s">
        <v>628</v>
      </c>
    </row>
    <row r="10567" spans="1:19" x14ac:dyDescent="0.2">
      <c r="A10567" t="s">
        <v>11178</v>
      </c>
      <c r="B10567" t="s">
        <v>90</v>
      </c>
      <c r="C10567" t="s">
        <v>614</v>
      </c>
      <c r="D10567">
        <v>4364.5</v>
      </c>
      <c r="E10567" s="37" t="str">
        <f t="shared" si="825"/>
        <v>Excellent Order</v>
      </c>
      <c r="F10567">
        <v>0.27</v>
      </c>
      <c r="G10567" s="37" t="str">
        <f t="shared" si="826"/>
        <v>Normal Discount</v>
      </c>
      <c r="H10567" s="37" t="str">
        <f t="shared" si="827"/>
        <v>Medium</v>
      </c>
      <c r="I10567">
        <v>5</v>
      </c>
      <c r="J10567" t="str" cm="1">
        <f t="array" ref="J10567">_xlfn.IFS(I10567&lt;=3,"small",I10567&lt;=6,"Medium",I10567&lt;=9,"Large")</f>
        <v>Medium</v>
      </c>
      <c r="K10567" s="36">
        <v>45443</v>
      </c>
      <c r="L10567" s="36">
        <v>45449</v>
      </c>
      <c r="M10567" t="s">
        <v>603</v>
      </c>
      <c r="N10567" t="s">
        <v>608</v>
      </c>
      <c r="O10567" s="37" t="str">
        <f t="shared" si="828"/>
        <v>Cash Payment</v>
      </c>
      <c r="P10567">
        <v>931.44</v>
      </c>
      <c r="Q10567" s="37" t="str">
        <f>IF(P10567&gt;500,"High","low")</f>
        <v>High</v>
      </c>
      <c r="R10567" s="37" t="str">
        <f t="shared" si="829"/>
        <v>Good</v>
      </c>
      <c r="S10567" t="s">
        <v>600</v>
      </c>
    </row>
    <row r="10568" spans="1:19" x14ac:dyDescent="0.2">
      <c r="A10568" t="s">
        <v>11179</v>
      </c>
      <c r="B10568" t="s">
        <v>75</v>
      </c>
      <c r="C10568" t="s">
        <v>617</v>
      </c>
      <c r="D10568">
        <v>2214.5100000000002</v>
      </c>
      <c r="E10568" s="37" t="str">
        <f t="shared" si="825"/>
        <v xml:space="preserve"> </v>
      </c>
      <c r="F10568">
        <v>0.19</v>
      </c>
      <c r="G10568" s="37" t="str">
        <f t="shared" si="826"/>
        <v>Normal Discount</v>
      </c>
      <c r="H10568" s="37" t="str">
        <f t="shared" si="827"/>
        <v>Low</v>
      </c>
      <c r="I10568">
        <v>8</v>
      </c>
      <c r="J10568" t="str" cm="1">
        <f t="array" ref="J10568">_xlfn.IFS(I10568&lt;=3,"small",I10568&lt;=6,"Medium",I10568&lt;=9,"Large")</f>
        <v>Large</v>
      </c>
      <c r="K10568" s="36">
        <v>45535</v>
      </c>
      <c r="L10568" s="36">
        <v>45537</v>
      </c>
      <c r="M10568" t="s">
        <v>603</v>
      </c>
      <c r="N10568" t="s">
        <v>599</v>
      </c>
      <c r="O10568" s="37" t="str">
        <f t="shared" si="828"/>
        <v>Digital Payment</v>
      </c>
      <c r="P10568">
        <v>521.59</v>
      </c>
      <c r="Q10568" s="37" t="str">
        <f>IF(P10568&gt;500,"High","low")</f>
        <v>High</v>
      </c>
      <c r="R10568" s="37" t="str">
        <f t="shared" si="829"/>
        <v>Good</v>
      </c>
      <c r="S10568" t="s">
        <v>600</v>
      </c>
    </row>
    <row r="10569" spans="1:19" x14ac:dyDescent="0.2">
      <c r="A10569" t="s">
        <v>11180</v>
      </c>
      <c r="B10569" t="s">
        <v>83</v>
      </c>
      <c r="C10569" t="s">
        <v>607</v>
      </c>
      <c r="D10569">
        <v>2484.94</v>
      </c>
      <c r="E10569" s="37" t="str">
        <f t="shared" si="825"/>
        <v xml:space="preserve"> </v>
      </c>
      <c r="F10569">
        <v>0.48</v>
      </c>
      <c r="G10569" s="37" t="str">
        <f t="shared" si="826"/>
        <v>Heavy Discount</v>
      </c>
      <c r="H10569" s="37" t="str">
        <f t="shared" si="827"/>
        <v>High</v>
      </c>
      <c r="I10569">
        <v>6</v>
      </c>
      <c r="J10569" t="str" cm="1">
        <f t="array" ref="J10569">_xlfn.IFS(I10569&lt;=3,"small",I10569&lt;=6,"Medium",I10569&lt;=9,"Large")</f>
        <v>Medium</v>
      </c>
      <c r="K10569" s="36">
        <v>45229</v>
      </c>
      <c r="L10569" s="36">
        <v>45232</v>
      </c>
      <c r="M10569" t="s">
        <v>598</v>
      </c>
      <c r="N10569" t="s">
        <v>608</v>
      </c>
      <c r="O10569" s="37" t="str">
        <f t="shared" si="828"/>
        <v>Cash Payment</v>
      </c>
      <c r="P10569">
        <v>742.92</v>
      </c>
      <c r="Q10569" s="37" t="str">
        <f>IF(P10569&gt;500,"High","low")</f>
        <v>High</v>
      </c>
      <c r="R10569" s="37" t="str">
        <f t="shared" si="829"/>
        <v>Good</v>
      </c>
      <c r="S10569" t="s">
        <v>615</v>
      </c>
    </row>
    <row r="10570" spans="1:19" x14ac:dyDescent="0.2">
      <c r="A10570" t="s">
        <v>11181</v>
      </c>
      <c r="B10570" t="s">
        <v>83</v>
      </c>
      <c r="C10570" t="s">
        <v>614</v>
      </c>
      <c r="D10570">
        <v>501.89</v>
      </c>
      <c r="E10570" s="37" t="str">
        <f t="shared" si="825"/>
        <v xml:space="preserve"> </v>
      </c>
      <c r="F10570">
        <v>0.17</v>
      </c>
      <c r="G10570" s="37" t="str">
        <f t="shared" si="826"/>
        <v>Normal Discount</v>
      </c>
      <c r="H10570" s="37" t="str">
        <f t="shared" si="827"/>
        <v>Low</v>
      </c>
      <c r="I10570">
        <v>2</v>
      </c>
      <c r="J10570" t="str" cm="1">
        <f t="array" ref="J10570">_xlfn.IFS(I10570&lt;=3,"small",I10570&lt;=6,"Medium",I10570&lt;=9,"Large")</f>
        <v>small</v>
      </c>
      <c r="K10570" s="36">
        <v>45216</v>
      </c>
      <c r="L10570" s="36">
        <v>45222</v>
      </c>
      <c r="M10570" t="s">
        <v>603</v>
      </c>
      <c r="N10570" t="s">
        <v>599</v>
      </c>
      <c r="O10570" s="37" t="str">
        <f t="shared" si="828"/>
        <v>Digital Payment</v>
      </c>
      <c r="P10570">
        <v>25.95</v>
      </c>
      <c r="Q10570" s="37" t="str">
        <f>IF(P10570&gt;500,"High","low")</f>
        <v>low</v>
      </c>
      <c r="R10570" s="37" t="str">
        <f t="shared" si="829"/>
        <v>AVERAGE</v>
      </c>
      <c r="S10570" t="s">
        <v>605</v>
      </c>
    </row>
    <row r="10571" spans="1:19" x14ac:dyDescent="0.2">
      <c r="A10571" t="s">
        <v>11182</v>
      </c>
      <c r="B10571" t="s">
        <v>83</v>
      </c>
      <c r="C10571" t="s">
        <v>597</v>
      </c>
      <c r="D10571">
        <v>306.64</v>
      </c>
      <c r="E10571" s="37" t="str">
        <f t="shared" si="825"/>
        <v xml:space="preserve"> </v>
      </c>
      <c r="F10571">
        <v>0.37</v>
      </c>
      <c r="G10571" s="37" t="str">
        <f t="shared" si="826"/>
        <v>Heavy Discount</v>
      </c>
      <c r="H10571" s="37" t="str">
        <f t="shared" si="827"/>
        <v>Medium</v>
      </c>
      <c r="I10571">
        <v>2</v>
      </c>
      <c r="J10571" t="str" cm="1">
        <f t="array" ref="J10571">_xlfn.IFS(I10571&lt;=3,"small",I10571&lt;=6,"Medium",I10571&lt;=9,"Large")</f>
        <v>small</v>
      </c>
      <c r="K10571" s="36">
        <v>45062</v>
      </c>
      <c r="L10571" s="36">
        <v>45068</v>
      </c>
      <c r="M10571" t="s">
        <v>603</v>
      </c>
      <c r="N10571" t="s">
        <v>608</v>
      </c>
      <c r="O10571" s="37" t="str">
        <f t="shared" si="828"/>
        <v>Cash Payment</v>
      </c>
      <c r="P10571">
        <v>74.77</v>
      </c>
      <c r="Q10571" s="37" t="str">
        <f>IF(P10571&gt;500,"High","low")</f>
        <v>low</v>
      </c>
      <c r="R10571" s="37" t="str">
        <f t="shared" si="829"/>
        <v>AVERAGE</v>
      </c>
      <c r="S10571" t="s">
        <v>628</v>
      </c>
    </row>
    <row r="10572" spans="1:19" x14ac:dyDescent="0.2">
      <c r="A10572" t="s">
        <v>11183</v>
      </c>
      <c r="B10572" t="s">
        <v>83</v>
      </c>
      <c r="C10572" t="s">
        <v>607</v>
      </c>
      <c r="D10572">
        <v>2396.67</v>
      </c>
      <c r="E10572" s="37" t="str">
        <f t="shared" si="825"/>
        <v xml:space="preserve"> </v>
      </c>
      <c r="F10572">
        <v>0.28999999999999998</v>
      </c>
      <c r="G10572" s="37" t="str">
        <f t="shared" si="826"/>
        <v>Normal Discount</v>
      </c>
      <c r="H10572" s="37" t="str">
        <f t="shared" si="827"/>
        <v>Medium</v>
      </c>
      <c r="I10572">
        <v>8</v>
      </c>
      <c r="J10572" t="str" cm="1">
        <f t="array" ref="J10572">_xlfn.IFS(I10572&lt;=3,"small",I10572&lt;=6,"Medium",I10572&lt;=9,"Large")</f>
        <v>Large</v>
      </c>
      <c r="K10572" s="36">
        <v>45164</v>
      </c>
      <c r="L10572" s="36">
        <v>45170</v>
      </c>
      <c r="M10572" t="s">
        <v>598</v>
      </c>
      <c r="N10572" t="s">
        <v>608</v>
      </c>
      <c r="O10572" s="37" t="str">
        <f t="shared" si="828"/>
        <v>Cash Payment</v>
      </c>
      <c r="P10572">
        <v>598.54</v>
      </c>
      <c r="Q10572" s="37" t="str">
        <f>IF(P10572&gt;500,"High","low")</f>
        <v>High</v>
      </c>
      <c r="R10572" s="37" t="str">
        <f t="shared" si="829"/>
        <v>Good</v>
      </c>
      <c r="S10572" t="s">
        <v>615</v>
      </c>
    </row>
    <row r="10573" spans="1:19" x14ac:dyDescent="0.2">
      <c r="A10573" t="s">
        <v>11184</v>
      </c>
      <c r="B10573" t="s">
        <v>90</v>
      </c>
      <c r="C10573" t="s">
        <v>602</v>
      </c>
      <c r="D10573">
        <v>4233.03</v>
      </c>
      <c r="E10573" s="37" t="str">
        <f t="shared" si="825"/>
        <v xml:space="preserve"> </v>
      </c>
      <c r="F10573">
        <v>0.48</v>
      </c>
      <c r="G10573" s="37" t="str">
        <f t="shared" si="826"/>
        <v>Heavy Discount</v>
      </c>
      <c r="H10573" s="37" t="str">
        <f t="shared" si="827"/>
        <v>High</v>
      </c>
      <c r="I10573">
        <v>4</v>
      </c>
      <c r="J10573" t="str" cm="1">
        <f t="array" ref="J10573">_xlfn.IFS(I10573&lt;=3,"small",I10573&lt;=6,"Medium",I10573&lt;=9,"Large")</f>
        <v>Medium</v>
      </c>
      <c r="K10573" s="36">
        <v>45492</v>
      </c>
      <c r="L10573" s="36">
        <v>45494</v>
      </c>
      <c r="M10573" t="s">
        <v>598</v>
      </c>
      <c r="N10573" t="s">
        <v>604</v>
      </c>
      <c r="O10573" s="37" t="str">
        <f t="shared" si="828"/>
        <v>Digital Payment</v>
      </c>
      <c r="P10573">
        <v>437.7</v>
      </c>
      <c r="Q10573" s="37" t="str">
        <f>IF(P10573&gt;500,"High","low")</f>
        <v>low</v>
      </c>
      <c r="R10573" s="37" t="str">
        <f t="shared" si="829"/>
        <v>AVERAGE</v>
      </c>
      <c r="S10573" t="s">
        <v>620</v>
      </c>
    </row>
    <row r="10574" spans="1:19" x14ac:dyDescent="0.2">
      <c r="A10574" t="s">
        <v>11185</v>
      </c>
      <c r="B10574" t="s">
        <v>67</v>
      </c>
      <c r="C10574" t="s">
        <v>607</v>
      </c>
      <c r="D10574">
        <v>4663.49</v>
      </c>
      <c r="E10574" s="37" t="str">
        <f t="shared" si="825"/>
        <v xml:space="preserve"> </v>
      </c>
      <c r="F10574">
        <v>0.37</v>
      </c>
      <c r="G10574" s="37" t="str">
        <f t="shared" si="826"/>
        <v>Heavy Discount</v>
      </c>
      <c r="H10574" s="37" t="str">
        <f t="shared" si="827"/>
        <v>Medium</v>
      </c>
      <c r="I10574">
        <v>8</v>
      </c>
      <c r="J10574" t="str" cm="1">
        <f t="array" ref="J10574">_xlfn.IFS(I10574&lt;=3,"small",I10574&lt;=6,"Medium",I10574&lt;=9,"Large")</f>
        <v>Large</v>
      </c>
      <c r="K10574" s="36">
        <v>45013</v>
      </c>
      <c r="L10574" s="36">
        <v>45015</v>
      </c>
      <c r="M10574" t="s">
        <v>612</v>
      </c>
      <c r="N10574" t="s">
        <v>599</v>
      </c>
      <c r="O10574" s="37" t="str">
        <f t="shared" si="828"/>
        <v>Digital Payment</v>
      </c>
      <c r="P10574">
        <v>554.22</v>
      </c>
      <c r="Q10574" s="37" t="str">
        <f>IF(P10574&gt;500,"High","low")</f>
        <v>High</v>
      </c>
      <c r="R10574" s="37" t="str">
        <f t="shared" si="829"/>
        <v>Good</v>
      </c>
      <c r="S10574" t="s">
        <v>615</v>
      </c>
    </row>
    <row r="10575" spans="1:19" x14ac:dyDescent="0.2">
      <c r="A10575" t="s">
        <v>11186</v>
      </c>
      <c r="B10575" t="s">
        <v>67</v>
      </c>
      <c r="C10575" t="s">
        <v>607</v>
      </c>
      <c r="D10575">
        <v>3327.4</v>
      </c>
      <c r="E10575" s="37" t="str">
        <f t="shared" si="825"/>
        <v xml:space="preserve"> </v>
      </c>
      <c r="F10575">
        <v>0.15</v>
      </c>
      <c r="G10575" s="37" t="str">
        <f t="shared" si="826"/>
        <v>Normal Discount</v>
      </c>
      <c r="H10575" s="37" t="str">
        <f t="shared" si="827"/>
        <v>Low</v>
      </c>
      <c r="I10575">
        <v>9</v>
      </c>
      <c r="J10575" t="str" cm="1">
        <f t="array" ref="J10575">_xlfn.IFS(I10575&lt;=3,"small",I10575&lt;=6,"Medium",I10575&lt;=9,"Large")</f>
        <v>Large</v>
      </c>
      <c r="K10575" s="36">
        <v>45154</v>
      </c>
      <c r="L10575" s="36">
        <v>45156</v>
      </c>
      <c r="M10575" t="s">
        <v>598</v>
      </c>
      <c r="N10575" t="s">
        <v>604</v>
      </c>
      <c r="O10575" s="37" t="str">
        <f t="shared" si="828"/>
        <v>Digital Payment</v>
      </c>
      <c r="P10575">
        <v>664.75</v>
      </c>
      <c r="Q10575" s="37" t="str">
        <f>IF(P10575&gt;500,"High","low")</f>
        <v>High</v>
      </c>
      <c r="R10575" s="37" t="str">
        <f t="shared" si="829"/>
        <v>Good</v>
      </c>
      <c r="S10575" t="s">
        <v>620</v>
      </c>
    </row>
    <row r="10576" spans="1:19" x14ac:dyDescent="0.2">
      <c r="A10576" t="s">
        <v>11187</v>
      </c>
      <c r="B10576" t="s">
        <v>90</v>
      </c>
      <c r="C10576" t="s">
        <v>614</v>
      </c>
      <c r="D10576">
        <v>4149.3500000000004</v>
      </c>
      <c r="E10576" s="37" t="str">
        <f t="shared" si="825"/>
        <v xml:space="preserve"> </v>
      </c>
      <c r="F10576">
        <v>0.1</v>
      </c>
      <c r="G10576" s="37" t="str">
        <f t="shared" si="826"/>
        <v>Normal Discount</v>
      </c>
      <c r="H10576" s="37" t="str">
        <f t="shared" si="827"/>
        <v>Low</v>
      </c>
      <c r="I10576">
        <v>6</v>
      </c>
      <c r="J10576" t="str" cm="1">
        <f t="array" ref="J10576">_xlfn.IFS(I10576&lt;=3,"small",I10576&lt;=6,"Medium",I10576&lt;=9,"Large")</f>
        <v>Medium</v>
      </c>
      <c r="K10576" s="36">
        <v>45498</v>
      </c>
      <c r="L10576" s="36">
        <v>45504</v>
      </c>
      <c r="M10576" t="s">
        <v>612</v>
      </c>
      <c r="N10576" t="s">
        <v>608</v>
      </c>
      <c r="O10576" s="37" t="str">
        <f t="shared" si="828"/>
        <v>Cash Payment</v>
      </c>
      <c r="P10576">
        <v>425.52</v>
      </c>
      <c r="Q10576" s="37" t="str">
        <f>IF(P10576&gt;500,"High","low")</f>
        <v>low</v>
      </c>
      <c r="R10576" s="37" t="str">
        <f t="shared" si="829"/>
        <v>AVERAGE</v>
      </c>
      <c r="S10576" t="s">
        <v>600</v>
      </c>
    </row>
    <row r="10577" spans="1:19" x14ac:dyDescent="0.2">
      <c r="A10577" t="s">
        <v>11188</v>
      </c>
      <c r="B10577" t="s">
        <v>75</v>
      </c>
      <c r="C10577" t="s">
        <v>617</v>
      </c>
      <c r="D10577">
        <v>3700.79</v>
      </c>
      <c r="E10577" s="37" t="str">
        <f t="shared" si="825"/>
        <v xml:space="preserve"> </v>
      </c>
      <c r="F10577">
        <v>0.43</v>
      </c>
      <c r="G10577" s="37" t="str">
        <f t="shared" si="826"/>
        <v>Heavy Discount</v>
      </c>
      <c r="H10577" s="37" t="str">
        <f t="shared" si="827"/>
        <v>High</v>
      </c>
      <c r="I10577">
        <v>9</v>
      </c>
      <c r="J10577" t="str" cm="1">
        <f t="array" ref="J10577">_xlfn.IFS(I10577&lt;=3,"small",I10577&lt;=6,"Medium",I10577&lt;=9,"Large")</f>
        <v>Large</v>
      </c>
      <c r="K10577" s="36">
        <v>45356</v>
      </c>
      <c r="L10577" s="36">
        <v>45357</v>
      </c>
      <c r="M10577" t="s">
        <v>598</v>
      </c>
      <c r="N10577" t="s">
        <v>604</v>
      </c>
      <c r="O10577" s="37" t="str">
        <f t="shared" si="828"/>
        <v>Digital Payment</v>
      </c>
      <c r="P10577">
        <v>742.53</v>
      </c>
      <c r="Q10577" s="37" t="str">
        <f>IF(P10577&gt;500,"High","low")</f>
        <v>High</v>
      </c>
      <c r="R10577" s="37" t="str">
        <f t="shared" si="829"/>
        <v>Good</v>
      </c>
      <c r="S10577" t="s">
        <v>615</v>
      </c>
    </row>
    <row r="10578" spans="1:19" x14ac:dyDescent="0.2">
      <c r="A10578" t="s">
        <v>11189</v>
      </c>
      <c r="B10578" t="s">
        <v>67</v>
      </c>
      <c r="C10578" t="s">
        <v>617</v>
      </c>
      <c r="D10578">
        <v>3537.28</v>
      </c>
      <c r="E10578" s="37" t="str">
        <f t="shared" si="825"/>
        <v xml:space="preserve"> </v>
      </c>
      <c r="F10578">
        <v>0.46</v>
      </c>
      <c r="G10578" s="37" t="str">
        <f t="shared" si="826"/>
        <v>Heavy Discount</v>
      </c>
      <c r="H10578" s="37" t="str">
        <f t="shared" si="827"/>
        <v>High</v>
      </c>
      <c r="I10578">
        <v>6</v>
      </c>
      <c r="J10578" t="str" cm="1">
        <f t="array" ref="J10578">_xlfn.IFS(I10578&lt;=3,"small",I10578&lt;=6,"Medium",I10578&lt;=9,"Large")</f>
        <v>Medium</v>
      </c>
      <c r="K10578" s="36">
        <v>45200</v>
      </c>
      <c r="L10578" s="36">
        <v>45206</v>
      </c>
      <c r="M10578" t="s">
        <v>603</v>
      </c>
      <c r="N10578" t="s">
        <v>604</v>
      </c>
      <c r="O10578" s="37" t="str">
        <f t="shared" si="828"/>
        <v>Digital Payment</v>
      </c>
      <c r="P10578">
        <v>337.03</v>
      </c>
      <c r="Q10578" s="37" t="str">
        <f>IF(P10578&gt;500,"High","low")</f>
        <v>low</v>
      </c>
      <c r="R10578" s="37" t="str">
        <f t="shared" si="829"/>
        <v>AVERAGE</v>
      </c>
      <c r="S10578" t="s">
        <v>605</v>
      </c>
    </row>
    <row r="10579" spans="1:19" x14ac:dyDescent="0.2">
      <c r="A10579" t="s">
        <v>11190</v>
      </c>
      <c r="B10579" t="s">
        <v>75</v>
      </c>
      <c r="C10579" t="s">
        <v>614</v>
      </c>
      <c r="D10579">
        <v>3868.26</v>
      </c>
      <c r="E10579" s="37" t="str">
        <f t="shared" si="825"/>
        <v xml:space="preserve"> </v>
      </c>
      <c r="F10579">
        <v>0.42</v>
      </c>
      <c r="G10579" s="37" t="str">
        <f t="shared" si="826"/>
        <v>Heavy Discount</v>
      </c>
      <c r="H10579" s="37" t="str">
        <f t="shared" si="827"/>
        <v>High</v>
      </c>
      <c r="I10579">
        <v>3</v>
      </c>
      <c r="J10579" t="str" cm="1">
        <f t="array" ref="J10579">_xlfn.IFS(I10579&lt;=3,"small",I10579&lt;=6,"Medium",I10579&lt;=9,"Large")</f>
        <v>small</v>
      </c>
      <c r="K10579" s="36">
        <v>45448</v>
      </c>
      <c r="L10579" s="36">
        <v>45454</v>
      </c>
      <c r="M10579" t="s">
        <v>603</v>
      </c>
      <c r="N10579" t="s">
        <v>608</v>
      </c>
      <c r="O10579" s="37" t="str">
        <f t="shared" si="828"/>
        <v>Cash Payment</v>
      </c>
      <c r="P10579">
        <v>729.88</v>
      </c>
      <c r="Q10579" s="37" t="str">
        <f>IF(P10579&gt;500,"High","low")</f>
        <v>High</v>
      </c>
      <c r="R10579" s="37" t="str">
        <f t="shared" si="829"/>
        <v>Good</v>
      </c>
      <c r="S10579" t="s">
        <v>628</v>
      </c>
    </row>
    <row r="10580" spans="1:19" x14ac:dyDescent="0.2">
      <c r="A10580" t="s">
        <v>11191</v>
      </c>
      <c r="B10580" t="s">
        <v>67</v>
      </c>
      <c r="C10580" t="s">
        <v>614</v>
      </c>
      <c r="D10580">
        <v>2575.98</v>
      </c>
      <c r="E10580" s="37" t="str">
        <f t="shared" si="825"/>
        <v xml:space="preserve"> </v>
      </c>
      <c r="F10580">
        <v>0.37</v>
      </c>
      <c r="G10580" s="37" t="str">
        <f t="shared" si="826"/>
        <v>Heavy Discount</v>
      </c>
      <c r="H10580" s="37" t="str">
        <f t="shared" si="827"/>
        <v>Medium</v>
      </c>
      <c r="I10580">
        <v>8</v>
      </c>
      <c r="J10580" t="str" cm="1">
        <f t="array" ref="J10580">_xlfn.IFS(I10580&lt;=3,"small",I10580&lt;=6,"Medium",I10580&lt;=9,"Large")</f>
        <v>Large</v>
      </c>
      <c r="K10580" s="36">
        <v>45506</v>
      </c>
      <c r="L10580" s="36">
        <v>45510</v>
      </c>
      <c r="M10580" t="s">
        <v>598</v>
      </c>
      <c r="N10580" t="s">
        <v>604</v>
      </c>
      <c r="O10580" s="37" t="str">
        <f t="shared" si="828"/>
        <v>Digital Payment</v>
      </c>
      <c r="P10580">
        <v>637.05999999999995</v>
      </c>
      <c r="Q10580" s="37" t="str">
        <f>IF(P10580&gt;500,"High","low")</f>
        <v>High</v>
      </c>
      <c r="R10580" s="37" t="str">
        <f t="shared" si="829"/>
        <v>Good</v>
      </c>
      <c r="S10580" t="s">
        <v>605</v>
      </c>
    </row>
    <row r="10581" spans="1:19" x14ac:dyDescent="0.2">
      <c r="A10581" t="s">
        <v>11192</v>
      </c>
      <c r="B10581" t="s">
        <v>75</v>
      </c>
      <c r="C10581" t="s">
        <v>614</v>
      </c>
      <c r="D10581">
        <v>2343.9</v>
      </c>
      <c r="E10581" s="37" t="str">
        <f t="shared" si="825"/>
        <v xml:space="preserve"> </v>
      </c>
      <c r="F10581">
        <v>0.16</v>
      </c>
      <c r="G10581" s="37" t="str">
        <f t="shared" si="826"/>
        <v>Normal Discount</v>
      </c>
      <c r="H10581" s="37" t="str">
        <f t="shared" si="827"/>
        <v>Low</v>
      </c>
      <c r="I10581">
        <v>1</v>
      </c>
      <c r="J10581" t="str" cm="1">
        <f t="array" ref="J10581">_xlfn.IFS(I10581&lt;=3,"small",I10581&lt;=6,"Medium",I10581&lt;=9,"Large")</f>
        <v>small</v>
      </c>
      <c r="K10581" s="36">
        <v>45637</v>
      </c>
      <c r="L10581" s="36">
        <v>45639</v>
      </c>
      <c r="M10581" t="s">
        <v>612</v>
      </c>
      <c r="N10581" t="s">
        <v>604</v>
      </c>
      <c r="O10581" s="37" t="str">
        <f t="shared" si="828"/>
        <v>Digital Payment</v>
      </c>
      <c r="P10581">
        <v>687.85</v>
      </c>
      <c r="Q10581" s="37" t="str">
        <f>IF(P10581&gt;500,"High","low")</f>
        <v>High</v>
      </c>
      <c r="R10581" s="37" t="str">
        <f t="shared" si="829"/>
        <v>Good</v>
      </c>
      <c r="S10581" t="s">
        <v>605</v>
      </c>
    </row>
    <row r="10582" spans="1:19" x14ac:dyDescent="0.2">
      <c r="A10582" t="s">
        <v>11193</v>
      </c>
      <c r="B10582" t="s">
        <v>90</v>
      </c>
      <c r="C10582" t="s">
        <v>617</v>
      </c>
      <c r="D10582">
        <v>879.8</v>
      </c>
      <c r="E10582" s="37" t="str">
        <f t="shared" si="825"/>
        <v xml:space="preserve"> </v>
      </c>
      <c r="F10582">
        <v>0.25</v>
      </c>
      <c r="G10582" s="37" t="str">
        <f t="shared" si="826"/>
        <v>Normal Discount</v>
      </c>
      <c r="H10582" s="37" t="str">
        <f t="shared" si="827"/>
        <v>Medium</v>
      </c>
      <c r="I10582">
        <v>6</v>
      </c>
      <c r="J10582" t="str" cm="1">
        <f t="array" ref="J10582">_xlfn.IFS(I10582&lt;=3,"small",I10582&lt;=6,"Medium",I10582&lt;=9,"Large")</f>
        <v>Medium</v>
      </c>
      <c r="K10582" s="36">
        <v>45410</v>
      </c>
      <c r="L10582" s="36">
        <v>45414</v>
      </c>
      <c r="M10582" t="s">
        <v>598</v>
      </c>
      <c r="N10582" t="s">
        <v>604</v>
      </c>
      <c r="O10582" s="37" t="str">
        <f t="shared" si="828"/>
        <v>Digital Payment</v>
      </c>
      <c r="P10582">
        <v>141.15</v>
      </c>
      <c r="Q10582" s="37" t="str">
        <f>IF(P10582&gt;500,"High","low")</f>
        <v>low</v>
      </c>
      <c r="R10582" s="37" t="str">
        <f t="shared" si="829"/>
        <v>AVERAGE</v>
      </c>
      <c r="S10582" t="s">
        <v>609</v>
      </c>
    </row>
    <row r="10583" spans="1:19" x14ac:dyDescent="0.2">
      <c r="A10583" t="s">
        <v>11194</v>
      </c>
      <c r="B10583" t="s">
        <v>83</v>
      </c>
      <c r="C10583" t="s">
        <v>614</v>
      </c>
      <c r="D10583">
        <v>4234.7</v>
      </c>
      <c r="E10583" s="37" t="str">
        <f t="shared" si="825"/>
        <v xml:space="preserve"> </v>
      </c>
      <c r="F10583">
        <v>0.46</v>
      </c>
      <c r="G10583" s="37" t="str">
        <f t="shared" si="826"/>
        <v>Heavy Discount</v>
      </c>
      <c r="H10583" s="37" t="str">
        <f t="shared" si="827"/>
        <v>High</v>
      </c>
      <c r="I10583">
        <v>3</v>
      </c>
      <c r="J10583" t="str" cm="1">
        <f t="array" ref="J10583">_xlfn.IFS(I10583&lt;=3,"small",I10583&lt;=6,"Medium",I10583&lt;=9,"Large")</f>
        <v>small</v>
      </c>
      <c r="K10583" s="36">
        <v>45524</v>
      </c>
      <c r="L10583" s="36">
        <v>45530</v>
      </c>
      <c r="M10583" t="s">
        <v>612</v>
      </c>
      <c r="N10583" t="s">
        <v>604</v>
      </c>
      <c r="O10583" s="37" t="str">
        <f t="shared" si="828"/>
        <v>Digital Payment</v>
      </c>
      <c r="P10583">
        <v>593.44000000000005</v>
      </c>
      <c r="Q10583" s="37" t="str">
        <f>IF(P10583&gt;500,"High","low")</f>
        <v>High</v>
      </c>
      <c r="R10583" s="37" t="str">
        <f t="shared" si="829"/>
        <v>Good</v>
      </c>
      <c r="S10583" t="s">
        <v>628</v>
      </c>
    </row>
    <row r="10584" spans="1:19" x14ac:dyDescent="0.2">
      <c r="A10584" t="s">
        <v>11195</v>
      </c>
      <c r="B10584" t="s">
        <v>75</v>
      </c>
      <c r="C10584" t="s">
        <v>602</v>
      </c>
      <c r="D10584">
        <v>318.61</v>
      </c>
      <c r="E10584" s="37" t="str">
        <f t="shared" si="825"/>
        <v xml:space="preserve"> </v>
      </c>
      <c r="F10584">
        <v>7.0000000000000007E-2</v>
      </c>
      <c r="G10584" s="37" t="str">
        <f t="shared" si="826"/>
        <v>Normal Discount</v>
      </c>
      <c r="H10584" s="37" t="str">
        <f t="shared" si="827"/>
        <v>Low</v>
      </c>
      <c r="I10584">
        <v>3</v>
      </c>
      <c r="J10584" t="str" cm="1">
        <f t="array" ref="J10584">_xlfn.IFS(I10584&lt;=3,"small",I10584&lt;=6,"Medium",I10584&lt;=9,"Large")</f>
        <v>small</v>
      </c>
      <c r="K10584" s="36">
        <v>45417</v>
      </c>
      <c r="L10584" s="36">
        <v>45419</v>
      </c>
      <c r="M10584" t="s">
        <v>598</v>
      </c>
      <c r="N10584" t="s">
        <v>608</v>
      </c>
      <c r="O10584" s="37" t="str">
        <f t="shared" si="828"/>
        <v>Cash Payment</v>
      </c>
      <c r="P10584">
        <v>79.7</v>
      </c>
      <c r="Q10584" s="37" t="str">
        <f>IF(P10584&gt;500,"High","low")</f>
        <v>low</v>
      </c>
      <c r="R10584" s="37" t="str">
        <f t="shared" si="829"/>
        <v>AVERAGE</v>
      </c>
      <c r="S10584" t="s">
        <v>609</v>
      </c>
    </row>
    <row r="10585" spans="1:19" x14ac:dyDescent="0.2">
      <c r="A10585" t="s">
        <v>11196</v>
      </c>
      <c r="B10585" t="s">
        <v>83</v>
      </c>
      <c r="C10585" t="s">
        <v>602</v>
      </c>
      <c r="D10585">
        <v>1410.48</v>
      </c>
      <c r="E10585" s="37" t="str">
        <f t="shared" si="825"/>
        <v xml:space="preserve"> </v>
      </c>
      <c r="F10585">
        <v>0.25</v>
      </c>
      <c r="G10585" s="37" t="str">
        <f t="shared" si="826"/>
        <v>Normal Discount</v>
      </c>
      <c r="H10585" s="37" t="str">
        <f t="shared" si="827"/>
        <v>Medium</v>
      </c>
      <c r="I10585">
        <v>9</v>
      </c>
      <c r="J10585" t="str" cm="1">
        <f t="array" ref="J10585">_xlfn.IFS(I10585&lt;=3,"small",I10585&lt;=6,"Medium",I10585&lt;=9,"Large")</f>
        <v>Large</v>
      </c>
      <c r="K10585" s="36">
        <v>45334</v>
      </c>
      <c r="L10585" s="36">
        <v>45339</v>
      </c>
      <c r="M10585" t="s">
        <v>612</v>
      </c>
      <c r="N10585" t="s">
        <v>608</v>
      </c>
      <c r="O10585" s="37" t="str">
        <f t="shared" si="828"/>
        <v>Cash Payment</v>
      </c>
      <c r="P10585">
        <v>164.11</v>
      </c>
      <c r="Q10585" s="37" t="str">
        <f>IF(P10585&gt;500,"High","low")</f>
        <v>low</v>
      </c>
      <c r="R10585" s="37" t="str">
        <f t="shared" si="829"/>
        <v>AVERAGE</v>
      </c>
      <c r="S10585" t="s">
        <v>609</v>
      </c>
    </row>
    <row r="10586" spans="1:19" x14ac:dyDescent="0.2">
      <c r="A10586" t="s">
        <v>11197</v>
      </c>
      <c r="B10586" t="s">
        <v>75</v>
      </c>
      <c r="C10586" t="s">
        <v>597</v>
      </c>
      <c r="D10586">
        <v>2647.59</v>
      </c>
      <c r="E10586" s="37" t="str">
        <f t="shared" si="825"/>
        <v xml:space="preserve"> </v>
      </c>
      <c r="F10586">
        <v>0.18</v>
      </c>
      <c r="G10586" s="37" t="str">
        <f t="shared" si="826"/>
        <v>Normal Discount</v>
      </c>
      <c r="H10586" s="37" t="str">
        <f t="shared" si="827"/>
        <v>Low</v>
      </c>
      <c r="I10586">
        <v>7</v>
      </c>
      <c r="J10586" t="str" cm="1">
        <f t="array" ref="J10586">_xlfn.IFS(I10586&lt;=3,"small",I10586&lt;=6,"Medium",I10586&lt;=9,"Large")</f>
        <v>Large</v>
      </c>
      <c r="K10586" s="36">
        <v>44963</v>
      </c>
      <c r="L10586" s="36">
        <v>44967</v>
      </c>
      <c r="M10586" t="s">
        <v>598</v>
      </c>
      <c r="N10586" t="s">
        <v>604</v>
      </c>
      <c r="O10586" s="37" t="str">
        <f t="shared" si="828"/>
        <v>Digital Payment</v>
      </c>
      <c r="P10586">
        <v>430.63</v>
      </c>
      <c r="Q10586" s="37" t="str">
        <f>IF(P10586&gt;500,"High","low")</f>
        <v>low</v>
      </c>
      <c r="R10586" s="37" t="str">
        <f t="shared" si="829"/>
        <v>AVERAGE</v>
      </c>
      <c r="S10586" t="s">
        <v>615</v>
      </c>
    </row>
    <row r="10587" spans="1:19" x14ac:dyDescent="0.2">
      <c r="A10587" t="s">
        <v>11198</v>
      </c>
      <c r="B10587" t="s">
        <v>75</v>
      </c>
      <c r="C10587" t="s">
        <v>602</v>
      </c>
      <c r="D10587">
        <v>4860.83</v>
      </c>
      <c r="E10587" s="37" t="str">
        <f t="shared" si="825"/>
        <v xml:space="preserve"> </v>
      </c>
      <c r="F10587">
        <v>0.34</v>
      </c>
      <c r="G10587" s="37" t="str">
        <f t="shared" si="826"/>
        <v>Heavy Discount</v>
      </c>
      <c r="H10587" s="37" t="str">
        <f t="shared" si="827"/>
        <v>Medium</v>
      </c>
      <c r="I10587">
        <v>2</v>
      </c>
      <c r="J10587" t="str" cm="1">
        <f t="array" ref="J10587">_xlfn.IFS(I10587&lt;=3,"small",I10587&lt;=6,"Medium",I10587&lt;=9,"Large")</f>
        <v>small</v>
      </c>
      <c r="K10587" s="36">
        <v>45126</v>
      </c>
      <c r="L10587" s="36">
        <v>45129</v>
      </c>
      <c r="M10587" t="s">
        <v>603</v>
      </c>
      <c r="N10587" t="s">
        <v>599</v>
      </c>
      <c r="O10587" s="37" t="str">
        <f t="shared" si="828"/>
        <v>Digital Payment</v>
      </c>
      <c r="P10587">
        <v>470.77</v>
      </c>
      <c r="Q10587" s="37" t="str">
        <f>IF(P10587&gt;500,"High","low")</f>
        <v>low</v>
      </c>
      <c r="R10587" s="37" t="str">
        <f t="shared" si="829"/>
        <v>AVERAGE</v>
      </c>
      <c r="S10587" t="s">
        <v>628</v>
      </c>
    </row>
    <row r="10588" spans="1:19" x14ac:dyDescent="0.2">
      <c r="A10588" t="s">
        <v>11199</v>
      </c>
      <c r="B10588" t="s">
        <v>75</v>
      </c>
      <c r="C10588" t="s">
        <v>607</v>
      </c>
      <c r="D10588">
        <v>3951.27</v>
      </c>
      <c r="E10588" s="37" t="str">
        <f t="shared" si="825"/>
        <v xml:space="preserve"> </v>
      </c>
      <c r="F10588">
        <v>0.32</v>
      </c>
      <c r="G10588" s="37" t="str">
        <f t="shared" si="826"/>
        <v>Heavy Discount</v>
      </c>
      <c r="H10588" s="37" t="str">
        <f t="shared" si="827"/>
        <v>Medium</v>
      </c>
      <c r="I10588">
        <v>6</v>
      </c>
      <c r="J10588" t="str" cm="1">
        <f t="array" ref="J10588">_xlfn.IFS(I10588&lt;=3,"small",I10588&lt;=6,"Medium",I10588&lt;=9,"Large")</f>
        <v>Medium</v>
      </c>
      <c r="K10588" s="36">
        <v>45394</v>
      </c>
      <c r="L10588" s="36">
        <v>45396</v>
      </c>
      <c r="M10588" t="s">
        <v>612</v>
      </c>
      <c r="N10588" t="s">
        <v>599</v>
      </c>
      <c r="O10588" s="37" t="str">
        <f t="shared" si="828"/>
        <v>Digital Payment</v>
      </c>
      <c r="P10588">
        <v>969.33</v>
      </c>
      <c r="Q10588" s="37" t="str">
        <f>IF(P10588&gt;500,"High","low")</f>
        <v>High</v>
      </c>
      <c r="R10588" s="37" t="str">
        <f t="shared" si="829"/>
        <v>Good</v>
      </c>
      <c r="S10588" t="s">
        <v>600</v>
      </c>
    </row>
    <row r="10589" spans="1:19" x14ac:dyDescent="0.2">
      <c r="A10589" t="s">
        <v>11200</v>
      </c>
      <c r="B10589" t="s">
        <v>75</v>
      </c>
      <c r="C10589" t="s">
        <v>597</v>
      </c>
      <c r="D10589">
        <v>1906.49</v>
      </c>
      <c r="E10589" s="37" t="str">
        <f t="shared" si="825"/>
        <v xml:space="preserve"> </v>
      </c>
      <c r="F10589">
        <v>0.28000000000000003</v>
      </c>
      <c r="G10589" s="37" t="str">
        <f t="shared" si="826"/>
        <v>Normal Discount</v>
      </c>
      <c r="H10589" s="37" t="str">
        <f t="shared" si="827"/>
        <v>Medium</v>
      </c>
      <c r="I10589">
        <v>4</v>
      </c>
      <c r="J10589" t="str" cm="1">
        <f t="array" ref="J10589">_xlfn.IFS(I10589&lt;=3,"small",I10589&lt;=6,"Medium",I10589&lt;=9,"Large")</f>
        <v>Medium</v>
      </c>
      <c r="K10589" s="36">
        <v>44969</v>
      </c>
      <c r="L10589" s="36">
        <v>44974</v>
      </c>
      <c r="M10589" t="s">
        <v>612</v>
      </c>
      <c r="N10589" t="s">
        <v>604</v>
      </c>
      <c r="O10589" s="37" t="str">
        <f t="shared" si="828"/>
        <v>Digital Payment</v>
      </c>
      <c r="P10589">
        <v>294.68</v>
      </c>
      <c r="Q10589" s="37" t="str">
        <f>IF(P10589&gt;500,"High","low")</f>
        <v>low</v>
      </c>
      <c r="R10589" s="37" t="str">
        <f t="shared" si="829"/>
        <v>AVERAGE</v>
      </c>
      <c r="S10589" t="s">
        <v>628</v>
      </c>
    </row>
    <row r="10590" spans="1:19" x14ac:dyDescent="0.2">
      <c r="A10590" t="s">
        <v>11201</v>
      </c>
      <c r="B10590" t="s">
        <v>75</v>
      </c>
      <c r="C10590" t="s">
        <v>602</v>
      </c>
      <c r="D10590">
        <v>3598.35</v>
      </c>
      <c r="E10590" s="37" t="str">
        <f t="shared" si="825"/>
        <v xml:space="preserve"> </v>
      </c>
      <c r="F10590">
        <v>0.14000000000000001</v>
      </c>
      <c r="G10590" s="37" t="str">
        <f t="shared" si="826"/>
        <v>Normal Discount</v>
      </c>
      <c r="H10590" s="37" t="str">
        <f t="shared" si="827"/>
        <v>Low</v>
      </c>
      <c r="I10590">
        <v>7</v>
      </c>
      <c r="J10590" t="str" cm="1">
        <f t="array" ref="J10590">_xlfn.IFS(I10590&lt;=3,"small",I10590&lt;=6,"Medium",I10590&lt;=9,"Large")</f>
        <v>Large</v>
      </c>
      <c r="K10590" s="36">
        <v>45136</v>
      </c>
      <c r="L10590" s="36">
        <v>45143</v>
      </c>
      <c r="M10590" t="s">
        <v>603</v>
      </c>
      <c r="N10590" t="s">
        <v>608</v>
      </c>
      <c r="O10590" s="37" t="str">
        <f t="shared" si="828"/>
        <v>Cash Payment</v>
      </c>
      <c r="P10590">
        <v>723.24</v>
      </c>
      <c r="Q10590" s="37" t="str">
        <f>IF(P10590&gt;500,"High","low")</f>
        <v>High</v>
      </c>
      <c r="R10590" s="37" t="str">
        <f t="shared" si="829"/>
        <v>Good</v>
      </c>
      <c r="S10590" t="s">
        <v>609</v>
      </c>
    </row>
    <row r="10591" spans="1:19" x14ac:dyDescent="0.2">
      <c r="A10591" t="s">
        <v>11202</v>
      </c>
      <c r="B10591" t="s">
        <v>83</v>
      </c>
      <c r="C10591" t="s">
        <v>607</v>
      </c>
      <c r="D10591">
        <v>4663.71</v>
      </c>
      <c r="E10591" s="37" t="str">
        <f t="shared" si="825"/>
        <v xml:space="preserve"> </v>
      </c>
      <c r="F10591">
        <v>0.08</v>
      </c>
      <c r="G10591" s="37" t="str">
        <f t="shared" si="826"/>
        <v>Normal Discount</v>
      </c>
      <c r="H10591" s="37" t="str">
        <f t="shared" si="827"/>
        <v>Low</v>
      </c>
      <c r="I10591">
        <v>4</v>
      </c>
      <c r="J10591" t="str" cm="1">
        <f t="array" ref="J10591">_xlfn.IFS(I10591&lt;=3,"small",I10591&lt;=6,"Medium",I10591&lt;=9,"Large")</f>
        <v>Medium</v>
      </c>
      <c r="K10591" s="36">
        <v>45207</v>
      </c>
      <c r="L10591" s="36">
        <v>45211</v>
      </c>
      <c r="M10591" t="s">
        <v>598</v>
      </c>
      <c r="N10591" t="s">
        <v>604</v>
      </c>
      <c r="O10591" s="37" t="str">
        <f t="shared" si="828"/>
        <v>Digital Payment</v>
      </c>
      <c r="P10591">
        <v>421.13</v>
      </c>
      <c r="Q10591" s="37" t="str">
        <f>IF(P10591&gt;500,"High","low")</f>
        <v>low</v>
      </c>
      <c r="R10591" s="37" t="str">
        <f t="shared" si="829"/>
        <v>AVERAGE</v>
      </c>
      <c r="S10591" t="s">
        <v>600</v>
      </c>
    </row>
    <row r="10592" spans="1:19" x14ac:dyDescent="0.2">
      <c r="A10592" t="s">
        <v>11203</v>
      </c>
      <c r="B10592" t="s">
        <v>75</v>
      </c>
      <c r="C10592" t="s">
        <v>602</v>
      </c>
      <c r="D10592">
        <v>2740.53</v>
      </c>
      <c r="E10592" s="37" t="str">
        <f t="shared" si="825"/>
        <v xml:space="preserve"> </v>
      </c>
      <c r="F10592">
        <v>0.39</v>
      </c>
      <c r="G10592" s="37" t="str">
        <f t="shared" si="826"/>
        <v>Heavy Discount</v>
      </c>
      <c r="H10592" s="37" t="str">
        <f t="shared" si="827"/>
        <v>Medium</v>
      </c>
      <c r="I10592">
        <v>7</v>
      </c>
      <c r="J10592" t="str" cm="1">
        <f t="array" ref="J10592">_xlfn.IFS(I10592&lt;=3,"small",I10592&lt;=6,"Medium",I10592&lt;=9,"Large")</f>
        <v>Large</v>
      </c>
      <c r="K10592" s="36">
        <v>45412</v>
      </c>
      <c r="L10592" s="36">
        <v>45418</v>
      </c>
      <c r="M10592" t="s">
        <v>598</v>
      </c>
      <c r="N10592" t="s">
        <v>608</v>
      </c>
      <c r="O10592" s="37" t="str">
        <f t="shared" si="828"/>
        <v>Cash Payment</v>
      </c>
      <c r="P10592">
        <v>779.18</v>
      </c>
      <c r="Q10592" s="37" t="str">
        <f>IF(P10592&gt;500,"High","low")</f>
        <v>High</v>
      </c>
      <c r="R10592" s="37" t="str">
        <f t="shared" si="829"/>
        <v>Good</v>
      </c>
      <c r="S10592" t="s">
        <v>600</v>
      </c>
    </row>
    <row r="10593" spans="1:19" x14ac:dyDescent="0.2">
      <c r="A10593" t="s">
        <v>11204</v>
      </c>
      <c r="B10593" t="s">
        <v>83</v>
      </c>
      <c r="C10593" t="s">
        <v>607</v>
      </c>
      <c r="D10593">
        <v>2363.5100000000002</v>
      </c>
      <c r="E10593" s="37" t="str">
        <f t="shared" si="825"/>
        <v xml:space="preserve"> </v>
      </c>
      <c r="F10593">
        <v>0.5</v>
      </c>
      <c r="G10593" s="37" t="str">
        <f t="shared" si="826"/>
        <v>Heavy Discount</v>
      </c>
      <c r="H10593" s="37" t="str">
        <f t="shared" si="827"/>
        <v>High</v>
      </c>
      <c r="I10593">
        <v>6</v>
      </c>
      <c r="J10593" t="str" cm="1">
        <f t="array" ref="J10593">_xlfn.IFS(I10593&lt;=3,"small",I10593&lt;=6,"Medium",I10593&lt;=9,"Large")</f>
        <v>Medium</v>
      </c>
      <c r="K10593" s="36">
        <v>45584</v>
      </c>
      <c r="L10593" s="36">
        <v>45589</v>
      </c>
      <c r="M10593" t="s">
        <v>598</v>
      </c>
      <c r="N10593" t="s">
        <v>599</v>
      </c>
      <c r="O10593" s="37" t="str">
        <f t="shared" si="828"/>
        <v>Digital Payment</v>
      </c>
      <c r="P10593">
        <v>702.63</v>
      </c>
      <c r="Q10593" s="37" t="str">
        <f>IF(P10593&gt;500,"High","low")</f>
        <v>High</v>
      </c>
      <c r="R10593" s="37" t="str">
        <f t="shared" si="829"/>
        <v>Good</v>
      </c>
      <c r="S10593" t="s">
        <v>620</v>
      </c>
    </row>
    <row r="10594" spans="1:19" x14ac:dyDescent="0.2">
      <c r="A10594" t="s">
        <v>11205</v>
      </c>
      <c r="B10594" t="s">
        <v>90</v>
      </c>
      <c r="C10594" t="s">
        <v>614</v>
      </c>
      <c r="D10594">
        <v>2809.67</v>
      </c>
      <c r="E10594" s="37" t="str">
        <f t="shared" si="825"/>
        <v xml:space="preserve"> </v>
      </c>
      <c r="F10594">
        <v>0.08</v>
      </c>
      <c r="G10594" s="37" t="str">
        <f t="shared" si="826"/>
        <v>Normal Discount</v>
      </c>
      <c r="H10594" s="37" t="str">
        <f t="shared" si="827"/>
        <v>Low</v>
      </c>
      <c r="I10594">
        <v>8</v>
      </c>
      <c r="J10594" t="str" cm="1">
        <f t="array" ref="J10594">_xlfn.IFS(I10594&lt;=3,"small",I10594&lt;=6,"Medium",I10594&lt;=9,"Large")</f>
        <v>Large</v>
      </c>
      <c r="K10594" s="36">
        <v>45228</v>
      </c>
      <c r="L10594" s="36">
        <v>45235</v>
      </c>
      <c r="M10594" t="s">
        <v>598</v>
      </c>
      <c r="N10594" t="s">
        <v>604</v>
      </c>
      <c r="O10594" s="37" t="str">
        <f t="shared" si="828"/>
        <v>Digital Payment</v>
      </c>
      <c r="P10594">
        <v>414.87</v>
      </c>
      <c r="Q10594" s="37" t="str">
        <f>IF(P10594&gt;500,"High","low")</f>
        <v>low</v>
      </c>
      <c r="R10594" s="37" t="str">
        <f t="shared" si="829"/>
        <v>AVERAGE</v>
      </c>
      <c r="S10594" t="s">
        <v>620</v>
      </c>
    </row>
    <row r="10595" spans="1:19" x14ac:dyDescent="0.2">
      <c r="A10595" t="s">
        <v>11206</v>
      </c>
      <c r="B10595" t="s">
        <v>67</v>
      </c>
      <c r="C10595" t="s">
        <v>607</v>
      </c>
      <c r="D10595">
        <v>1626.5</v>
      </c>
      <c r="E10595" s="37" t="str">
        <f t="shared" si="825"/>
        <v xml:space="preserve"> </v>
      </c>
      <c r="F10595">
        <v>0.04</v>
      </c>
      <c r="G10595" s="37" t="str">
        <f t="shared" si="826"/>
        <v>Normal Discount</v>
      </c>
      <c r="H10595" s="37" t="str">
        <f t="shared" si="827"/>
        <v>Low</v>
      </c>
      <c r="I10595">
        <v>7</v>
      </c>
      <c r="J10595" t="str" cm="1">
        <f t="array" ref="J10595">_xlfn.IFS(I10595&lt;=3,"small",I10595&lt;=6,"Medium",I10595&lt;=9,"Large")</f>
        <v>Large</v>
      </c>
      <c r="K10595" s="36">
        <v>45641</v>
      </c>
      <c r="L10595" s="36">
        <v>45644</v>
      </c>
      <c r="M10595" t="s">
        <v>612</v>
      </c>
      <c r="N10595" t="s">
        <v>604</v>
      </c>
      <c r="O10595" s="37" t="str">
        <f t="shared" si="828"/>
        <v>Digital Payment</v>
      </c>
      <c r="P10595">
        <v>423.82</v>
      </c>
      <c r="Q10595" s="37" t="str">
        <f>IF(P10595&gt;500,"High","low")</f>
        <v>low</v>
      </c>
      <c r="R10595" s="37" t="str">
        <f t="shared" si="829"/>
        <v>AVERAGE</v>
      </c>
      <c r="S10595" t="s">
        <v>605</v>
      </c>
    </row>
    <row r="10596" spans="1:19" x14ac:dyDescent="0.2">
      <c r="A10596" t="s">
        <v>11207</v>
      </c>
      <c r="B10596" t="s">
        <v>75</v>
      </c>
      <c r="C10596" t="s">
        <v>614</v>
      </c>
      <c r="D10596">
        <v>4546.01</v>
      </c>
      <c r="E10596" s="37" t="str">
        <f t="shared" si="825"/>
        <v xml:space="preserve"> </v>
      </c>
      <c r="F10596">
        <v>0.37</v>
      </c>
      <c r="G10596" s="37" t="str">
        <f t="shared" si="826"/>
        <v>Heavy Discount</v>
      </c>
      <c r="H10596" s="37" t="str">
        <f t="shared" si="827"/>
        <v>Medium</v>
      </c>
      <c r="I10596">
        <v>9</v>
      </c>
      <c r="J10596" t="str" cm="1">
        <f t="array" ref="J10596">_xlfn.IFS(I10596&lt;=3,"small",I10596&lt;=6,"Medium",I10596&lt;=9,"Large")</f>
        <v>Large</v>
      </c>
      <c r="K10596" s="36">
        <v>45093</v>
      </c>
      <c r="L10596" s="36">
        <v>45096</v>
      </c>
      <c r="M10596" t="s">
        <v>598</v>
      </c>
      <c r="N10596" t="s">
        <v>608</v>
      </c>
      <c r="O10596" s="37" t="str">
        <f t="shared" si="828"/>
        <v>Cash Payment</v>
      </c>
      <c r="P10596">
        <v>392.31</v>
      </c>
      <c r="Q10596" s="37" t="str">
        <f>IF(P10596&gt;500,"High","low")</f>
        <v>low</v>
      </c>
      <c r="R10596" s="37" t="str">
        <f t="shared" si="829"/>
        <v>AVERAGE</v>
      </c>
      <c r="S10596" t="s">
        <v>620</v>
      </c>
    </row>
    <row r="10597" spans="1:19" x14ac:dyDescent="0.2">
      <c r="A10597" t="s">
        <v>11208</v>
      </c>
      <c r="B10597" t="s">
        <v>67</v>
      </c>
      <c r="C10597" t="s">
        <v>607</v>
      </c>
      <c r="D10597">
        <v>4006.68</v>
      </c>
      <c r="E10597" s="37" t="str">
        <f t="shared" si="825"/>
        <v>Excellent Order</v>
      </c>
      <c r="F10597">
        <v>0.17</v>
      </c>
      <c r="G10597" s="37" t="str">
        <f t="shared" si="826"/>
        <v>Normal Discount</v>
      </c>
      <c r="H10597" s="37" t="str">
        <f t="shared" si="827"/>
        <v>Low</v>
      </c>
      <c r="I10597">
        <v>4</v>
      </c>
      <c r="J10597" t="str" cm="1">
        <f t="array" ref="J10597">_xlfn.IFS(I10597&lt;=3,"small",I10597&lt;=6,"Medium",I10597&lt;=9,"Large")</f>
        <v>Medium</v>
      </c>
      <c r="K10597" s="36">
        <v>45260</v>
      </c>
      <c r="L10597" s="36">
        <v>45263</v>
      </c>
      <c r="M10597" t="s">
        <v>598</v>
      </c>
      <c r="N10597" t="s">
        <v>608</v>
      </c>
      <c r="O10597" s="37" t="str">
        <f t="shared" si="828"/>
        <v>Cash Payment</v>
      </c>
      <c r="P10597">
        <v>957.67</v>
      </c>
      <c r="Q10597" s="37" t="str">
        <f>IF(P10597&gt;500,"High","low")</f>
        <v>High</v>
      </c>
      <c r="R10597" s="37" t="str">
        <f t="shared" si="829"/>
        <v>Good</v>
      </c>
      <c r="S10597" t="s">
        <v>609</v>
      </c>
    </row>
    <row r="10598" spans="1:19" x14ac:dyDescent="0.2">
      <c r="A10598" t="s">
        <v>11209</v>
      </c>
      <c r="B10598" t="s">
        <v>83</v>
      </c>
      <c r="C10598" t="s">
        <v>607</v>
      </c>
      <c r="D10598">
        <v>3556.87</v>
      </c>
      <c r="E10598" s="37" t="str">
        <f t="shared" si="825"/>
        <v xml:space="preserve"> </v>
      </c>
      <c r="F10598">
        <v>0.11</v>
      </c>
      <c r="G10598" s="37" t="str">
        <f t="shared" si="826"/>
        <v>Normal Discount</v>
      </c>
      <c r="H10598" s="37" t="str">
        <f t="shared" si="827"/>
        <v>Low</v>
      </c>
      <c r="I10598">
        <v>9</v>
      </c>
      <c r="J10598" t="str" cm="1">
        <f t="array" ref="J10598">_xlfn.IFS(I10598&lt;=3,"small",I10598&lt;=6,"Medium",I10598&lt;=9,"Large")</f>
        <v>Large</v>
      </c>
      <c r="K10598" s="36">
        <v>45180</v>
      </c>
      <c r="L10598" s="36">
        <v>45183</v>
      </c>
      <c r="M10598" t="s">
        <v>603</v>
      </c>
      <c r="N10598" t="s">
        <v>599</v>
      </c>
      <c r="O10598" s="37" t="str">
        <f t="shared" si="828"/>
        <v>Digital Payment</v>
      </c>
      <c r="P10598">
        <v>905.51</v>
      </c>
      <c r="Q10598" s="37" t="str">
        <f>IF(P10598&gt;500,"High","low")</f>
        <v>High</v>
      </c>
      <c r="R10598" s="37" t="str">
        <f t="shared" si="829"/>
        <v>Good</v>
      </c>
      <c r="S10598" t="s">
        <v>605</v>
      </c>
    </row>
    <row r="10599" spans="1:19" x14ac:dyDescent="0.2">
      <c r="A10599" t="s">
        <v>11210</v>
      </c>
      <c r="B10599" t="s">
        <v>90</v>
      </c>
      <c r="C10599" t="s">
        <v>602</v>
      </c>
      <c r="D10599">
        <v>2986.55</v>
      </c>
      <c r="E10599" s="37" t="str">
        <f t="shared" si="825"/>
        <v xml:space="preserve"> </v>
      </c>
      <c r="F10599">
        <v>0.26</v>
      </c>
      <c r="G10599" s="37" t="str">
        <f t="shared" si="826"/>
        <v>Normal Discount</v>
      </c>
      <c r="H10599" s="37" t="str">
        <f t="shared" si="827"/>
        <v>Medium</v>
      </c>
      <c r="I10599">
        <v>5</v>
      </c>
      <c r="J10599" t="str" cm="1">
        <f t="array" ref="J10599">_xlfn.IFS(I10599&lt;=3,"small",I10599&lt;=6,"Medium",I10599&lt;=9,"Large")</f>
        <v>Medium</v>
      </c>
      <c r="K10599" s="36">
        <v>45163</v>
      </c>
      <c r="L10599" s="36">
        <v>45168</v>
      </c>
      <c r="M10599" t="s">
        <v>603</v>
      </c>
      <c r="N10599" t="s">
        <v>599</v>
      </c>
      <c r="O10599" s="37" t="str">
        <f t="shared" si="828"/>
        <v>Digital Payment</v>
      </c>
      <c r="P10599">
        <v>559.15</v>
      </c>
      <c r="Q10599" s="37" t="str">
        <f>IF(P10599&gt;500,"High","low")</f>
        <v>High</v>
      </c>
      <c r="R10599" s="37" t="str">
        <f t="shared" si="829"/>
        <v>Good</v>
      </c>
      <c r="S10599" t="s">
        <v>605</v>
      </c>
    </row>
    <row r="10600" spans="1:19" x14ac:dyDescent="0.2">
      <c r="A10600" t="s">
        <v>11211</v>
      </c>
      <c r="B10600" t="s">
        <v>90</v>
      </c>
      <c r="C10600" t="s">
        <v>607</v>
      </c>
      <c r="D10600">
        <v>4850.43</v>
      </c>
      <c r="E10600" s="37" t="str">
        <f t="shared" si="825"/>
        <v>Excellent Order</v>
      </c>
      <c r="F10600">
        <v>0.34</v>
      </c>
      <c r="G10600" s="37" t="str">
        <f t="shared" si="826"/>
        <v>Heavy Discount</v>
      </c>
      <c r="H10600" s="37" t="str">
        <f t="shared" si="827"/>
        <v>Medium</v>
      </c>
      <c r="I10600">
        <v>9</v>
      </c>
      <c r="J10600" t="str" cm="1">
        <f t="array" ref="J10600">_xlfn.IFS(I10600&lt;=3,"small",I10600&lt;=6,"Medium",I10600&lt;=9,"Large")</f>
        <v>Large</v>
      </c>
      <c r="K10600" s="36">
        <v>45348</v>
      </c>
      <c r="L10600" s="36">
        <v>45354</v>
      </c>
      <c r="M10600" t="s">
        <v>612</v>
      </c>
      <c r="N10600" t="s">
        <v>604</v>
      </c>
      <c r="O10600" s="37" t="str">
        <f t="shared" si="828"/>
        <v>Digital Payment</v>
      </c>
      <c r="P10600">
        <v>935.98</v>
      </c>
      <c r="Q10600" s="37" t="str">
        <f>IF(P10600&gt;500,"High","low")</f>
        <v>High</v>
      </c>
      <c r="R10600" s="37" t="str">
        <f t="shared" si="829"/>
        <v>Good</v>
      </c>
      <c r="S10600" t="s">
        <v>605</v>
      </c>
    </row>
    <row r="10601" spans="1:19" x14ac:dyDescent="0.2">
      <c r="A10601" t="s">
        <v>11212</v>
      </c>
      <c r="B10601" t="s">
        <v>90</v>
      </c>
      <c r="C10601" t="s">
        <v>602</v>
      </c>
      <c r="D10601">
        <v>1558.76</v>
      </c>
      <c r="E10601" s="37" t="str">
        <f t="shared" si="825"/>
        <v xml:space="preserve"> </v>
      </c>
      <c r="F10601">
        <v>0.11</v>
      </c>
      <c r="G10601" s="37" t="str">
        <f t="shared" si="826"/>
        <v>Normal Discount</v>
      </c>
      <c r="H10601" s="37" t="str">
        <f t="shared" si="827"/>
        <v>Low</v>
      </c>
      <c r="I10601">
        <v>4</v>
      </c>
      <c r="J10601" t="str" cm="1">
        <f t="array" ref="J10601">_xlfn.IFS(I10601&lt;=3,"small",I10601&lt;=6,"Medium",I10601&lt;=9,"Large")</f>
        <v>Medium</v>
      </c>
      <c r="K10601" s="36">
        <v>45621</v>
      </c>
      <c r="L10601" s="36">
        <v>45625</v>
      </c>
      <c r="M10601" t="s">
        <v>612</v>
      </c>
      <c r="N10601" t="s">
        <v>604</v>
      </c>
      <c r="O10601" s="37" t="str">
        <f t="shared" si="828"/>
        <v>Digital Payment</v>
      </c>
      <c r="P10601">
        <v>383.22</v>
      </c>
      <c r="Q10601" s="37" t="str">
        <f>IF(P10601&gt;500,"High","low")</f>
        <v>low</v>
      </c>
      <c r="R10601" s="37" t="str">
        <f t="shared" si="829"/>
        <v>AVERAGE</v>
      </c>
      <c r="S10601" t="s">
        <v>605</v>
      </c>
    </row>
    <row r="10602" spans="1:19" x14ac:dyDescent="0.2">
      <c r="A10602" t="s">
        <v>11213</v>
      </c>
      <c r="B10602" t="s">
        <v>67</v>
      </c>
      <c r="C10602" t="s">
        <v>607</v>
      </c>
      <c r="D10602">
        <v>1487.36</v>
      </c>
      <c r="E10602" s="37" t="str">
        <f t="shared" si="825"/>
        <v xml:space="preserve"> </v>
      </c>
      <c r="F10602">
        <v>0.5</v>
      </c>
      <c r="G10602" s="37" t="str">
        <f t="shared" si="826"/>
        <v>Heavy Discount</v>
      </c>
      <c r="H10602" s="37" t="str">
        <f t="shared" si="827"/>
        <v>High</v>
      </c>
      <c r="I10602">
        <v>3</v>
      </c>
      <c r="J10602" t="str" cm="1">
        <f t="array" ref="J10602">_xlfn.IFS(I10602&lt;=3,"small",I10602&lt;=6,"Medium",I10602&lt;=9,"Large")</f>
        <v>small</v>
      </c>
      <c r="K10602" s="36">
        <v>45261</v>
      </c>
      <c r="L10602" s="36">
        <v>45264</v>
      </c>
      <c r="M10602" t="s">
        <v>603</v>
      </c>
      <c r="N10602" t="s">
        <v>608</v>
      </c>
      <c r="O10602" s="37" t="str">
        <f t="shared" si="828"/>
        <v>Cash Payment</v>
      </c>
      <c r="P10602">
        <v>166.72</v>
      </c>
      <c r="Q10602" s="37" t="str">
        <f>IF(P10602&gt;500,"High","low")</f>
        <v>low</v>
      </c>
      <c r="R10602" s="37" t="str">
        <f t="shared" si="829"/>
        <v>AVERAGE</v>
      </c>
      <c r="S10602" t="s">
        <v>620</v>
      </c>
    </row>
    <row r="10603" spans="1:19" x14ac:dyDescent="0.2">
      <c r="A10603" t="s">
        <v>11214</v>
      </c>
      <c r="B10603" t="s">
        <v>83</v>
      </c>
      <c r="C10603" t="s">
        <v>617</v>
      </c>
      <c r="D10603">
        <v>1286.48</v>
      </c>
      <c r="E10603" s="37" t="str">
        <f t="shared" si="825"/>
        <v xml:space="preserve"> </v>
      </c>
      <c r="F10603">
        <v>0.16</v>
      </c>
      <c r="G10603" s="37" t="str">
        <f t="shared" si="826"/>
        <v>Normal Discount</v>
      </c>
      <c r="H10603" s="37" t="str">
        <f t="shared" si="827"/>
        <v>Low</v>
      </c>
      <c r="I10603">
        <v>7</v>
      </c>
      <c r="J10603" t="str" cm="1">
        <f t="array" ref="J10603">_xlfn.IFS(I10603&lt;=3,"small",I10603&lt;=6,"Medium",I10603&lt;=9,"Large")</f>
        <v>Large</v>
      </c>
      <c r="K10603" s="36">
        <v>45039</v>
      </c>
      <c r="L10603" s="36">
        <v>45044</v>
      </c>
      <c r="M10603" t="s">
        <v>598</v>
      </c>
      <c r="N10603" t="s">
        <v>599</v>
      </c>
      <c r="O10603" s="37" t="str">
        <f t="shared" si="828"/>
        <v>Digital Payment</v>
      </c>
      <c r="P10603">
        <v>121.58</v>
      </c>
      <c r="Q10603" s="37" t="str">
        <f>IF(P10603&gt;500,"High","low")</f>
        <v>low</v>
      </c>
      <c r="R10603" s="37" t="str">
        <f t="shared" si="829"/>
        <v>AVERAGE</v>
      </c>
      <c r="S10603" t="s">
        <v>600</v>
      </c>
    </row>
    <row r="10604" spans="1:19" x14ac:dyDescent="0.2">
      <c r="A10604" t="s">
        <v>11215</v>
      </c>
      <c r="B10604" t="s">
        <v>75</v>
      </c>
      <c r="C10604" t="s">
        <v>597</v>
      </c>
      <c r="D10604">
        <v>3734.7</v>
      </c>
      <c r="E10604" s="37" t="str">
        <f t="shared" si="825"/>
        <v xml:space="preserve"> </v>
      </c>
      <c r="F10604">
        <v>0.16</v>
      </c>
      <c r="G10604" s="37" t="str">
        <f t="shared" si="826"/>
        <v>Normal Discount</v>
      </c>
      <c r="H10604" s="37" t="str">
        <f t="shared" si="827"/>
        <v>Low</v>
      </c>
      <c r="I10604">
        <v>4</v>
      </c>
      <c r="J10604" t="str" cm="1">
        <f t="array" ref="J10604">_xlfn.IFS(I10604&lt;=3,"small",I10604&lt;=6,"Medium",I10604&lt;=9,"Large")</f>
        <v>Medium</v>
      </c>
      <c r="K10604" s="36">
        <v>45315</v>
      </c>
      <c r="L10604" s="36">
        <v>45321</v>
      </c>
      <c r="M10604" t="s">
        <v>612</v>
      </c>
      <c r="N10604" t="s">
        <v>599</v>
      </c>
      <c r="O10604" s="37" t="str">
        <f t="shared" si="828"/>
        <v>Digital Payment</v>
      </c>
      <c r="P10604">
        <v>878.7</v>
      </c>
      <c r="Q10604" s="37" t="str">
        <f>IF(P10604&gt;500,"High","low")</f>
        <v>High</v>
      </c>
      <c r="R10604" s="37" t="str">
        <f t="shared" si="829"/>
        <v>Good</v>
      </c>
      <c r="S10604" t="s">
        <v>605</v>
      </c>
    </row>
    <row r="10605" spans="1:19" x14ac:dyDescent="0.2">
      <c r="A10605" t="s">
        <v>11216</v>
      </c>
      <c r="B10605" t="s">
        <v>75</v>
      </c>
      <c r="C10605" t="s">
        <v>602</v>
      </c>
      <c r="D10605">
        <v>4006.7</v>
      </c>
      <c r="E10605" s="37" t="str">
        <f t="shared" si="825"/>
        <v xml:space="preserve"> </v>
      </c>
      <c r="F10605">
        <v>0.21</v>
      </c>
      <c r="G10605" s="37" t="str">
        <f t="shared" si="826"/>
        <v>Normal Discount</v>
      </c>
      <c r="H10605" s="37" t="str">
        <f t="shared" si="827"/>
        <v>Medium</v>
      </c>
      <c r="I10605">
        <v>5</v>
      </c>
      <c r="J10605" t="str" cm="1">
        <f t="array" ref="J10605">_xlfn.IFS(I10605&lt;=3,"small",I10605&lt;=6,"Medium",I10605&lt;=9,"Large")</f>
        <v>Medium</v>
      </c>
      <c r="K10605" s="36">
        <v>45616</v>
      </c>
      <c r="L10605" s="36">
        <v>45621</v>
      </c>
      <c r="M10605" t="s">
        <v>603</v>
      </c>
      <c r="N10605" t="s">
        <v>604</v>
      </c>
      <c r="O10605" s="37" t="str">
        <f t="shared" si="828"/>
        <v>Digital Payment</v>
      </c>
      <c r="P10605">
        <v>692.25</v>
      </c>
      <c r="Q10605" s="37" t="str">
        <f>IF(P10605&gt;500,"High","low")</f>
        <v>High</v>
      </c>
      <c r="R10605" s="37" t="str">
        <f t="shared" si="829"/>
        <v>Good</v>
      </c>
      <c r="S10605" t="s">
        <v>615</v>
      </c>
    </row>
    <row r="10606" spans="1:19" x14ac:dyDescent="0.2">
      <c r="A10606" t="s">
        <v>11217</v>
      </c>
      <c r="B10606" t="s">
        <v>83</v>
      </c>
      <c r="C10606" t="s">
        <v>602</v>
      </c>
      <c r="D10606">
        <v>3025.86</v>
      </c>
      <c r="E10606" s="37" t="str">
        <f t="shared" si="825"/>
        <v xml:space="preserve"> </v>
      </c>
      <c r="F10606">
        <v>0.37</v>
      </c>
      <c r="G10606" s="37" t="str">
        <f t="shared" si="826"/>
        <v>Heavy Discount</v>
      </c>
      <c r="H10606" s="37" t="str">
        <f t="shared" si="827"/>
        <v>Medium</v>
      </c>
      <c r="I10606">
        <v>3</v>
      </c>
      <c r="J10606" t="str" cm="1">
        <f t="array" ref="J10606">_xlfn.IFS(I10606&lt;=3,"small",I10606&lt;=6,"Medium",I10606&lt;=9,"Large")</f>
        <v>small</v>
      </c>
      <c r="K10606" s="36">
        <v>45329</v>
      </c>
      <c r="L10606" s="36">
        <v>45333</v>
      </c>
      <c r="M10606" t="s">
        <v>603</v>
      </c>
      <c r="N10606" t="s">
        <v>599</v>
      </c>
      <c r="O10606" s="37" t="str">
        <f t="shared" si="828"/>
        <v>Digital Payment</v>
      </c>
      <c r="P10606">
        <v>822</v>
      </c>
      <c r="Q10606" s="37" t="str">
        <f>IF(P10606&gt;500,"High","low")</f>
        <v>High</v>
      </c>
      <c r="R10606" s="37" t="str">
        <f t="shared" si="829"/>
        <v>Good</v>
      </c>
      <c r="S10606" t="s">
        <v>628</v>
      </c>
    </row>
    <row r="10607" spans="1:19" x14ac:dyDescent="0.2">
      <c r="A10607" t="s">
        <v>11218</v>
      </c>
      <c r="B10607" t="s">
        <v>67</v>
      </c>
      <c r="C10607" t="s">
        <v>614</v>
      </c>
      <c r="D10607">
        <v>3294.72</v>
      </c>
      <c r="E10607" s="37" t="str">
        <f t="shared" si="825"/>
        <v xml:space="preserve"> </v>
      </c>
      <c r="F10607">
        <v>0.44</v>
      </c>
      <c r="G10607" s="37" t="str">
        <f t="shared" si="826"/>
        <v>Heavy Discount</v>
      </c>
      <c r="H10607" s="37" t="str">
        <f t="shared" si="827"/>
        <v>High</v>
      </c>
      <c r="I10607">
        <v>6</v>
      </c>
      <c r="J10607" t="str" cm="1">
        <f t="array" ref="J10607">_xlfn.IFS(I10607&lt;=3,"small",I10607&lt;=6,"Medium",I10607&lt;=9,"Large")</f>
        <v>Medium</v>
      </c>
      <c r="K10607" s="36">
        <v>45600</v>
      </c>
      <c r="L10607" s="36">
        <v>45605</v>
      </c>
      <c r="M10607" t="s">
        <v>603</v>
      </c>
      <c r="N10607" t="s">
        <v>608</v>
      </c>
      <c r="O10607" s="37" t="str">
        <f t="shared" si="828"/>
        <v>Cash Payment</v>
      </c>
      <c r="P10607">
        <v>982.5</v>
      </c>
      <c r="Q10607" s="37" t="str">
        <f>IF(P10607&gt;500,"High","low")</f>
        <v>High</v>
      </c>
      <c r="R10607" s="37" t="str">
        <f t="shared" si="829"/>
        <v>Good</v>
      </c>
      <c r="S10607" t="s">
        <v>605</v>
      </c>
    </row>
    <row r="10608" spans="1:19" x14ac:dyDescent="0.2">
      <c r="A10608" t="s">
        <v>11219</v>
      </c>
      <c r="B10608" t="s">
        <v>75</v>
      </c>
      <c r="C10608" t="s">
        <v>617</v>
      </c>
      <c r="D10608">
        <v>1809.91</v>
      </c>
      <c r="E10608" s="37" t="str">
        <f t="shared" si="825"/>
        <v xml:space="preserve"> </v>
      </c>
      <c r="F10608">
        <v>0.16</v>
      </c>
      <c r="G10608" s="37" t="str">
        <f t="shared" si="826"/>
        <v>Normal Discount</v>
      </c>
      <c r="H10608" s="37" t="str">
        <f t="shared" si="827"/>
        <v>Low</v>
      </c>
      <c r="I10608">
        <v>4</v>
      </c>
      <c r="J10608" t="str" cm="1">
        <f t="array" ref="J10608">_xlfn.IFS(I10608&lt;=3,"small",I10608&lt;=6,"Medium",I10608&lt;=9,"Large")</f>
        <v>Medium</v>
      </c>
      <c r="K10608" s="36">
        <v>45235</v>
      </c>
      <c r="L10608" s="36">
        <v>45242</v>
      </c>
      <c r="M10608" t="s">
        <v>612</v>
      </c>
      <c r="N10608" t="s">
        <v>608</v>
      </c>
      <c r="O10608" s="37" t="str">
        <f t="shared" si="828"/>
        <v>Cash Payment</v>
      </c>
      <c r="P10608">
        <v>476.79</v>
      </c>
      <c r="Q10608" s="37" t="str">
        <f>IF(P10608&gt;500,"High","low")</f>
        <v>low</v>
      </c>
      <c r="R10608" s="37" t="str">
        <f t="shared" si="829"/>
        <v>AVERAGE</v>
      </c>
      <c r="S10608" t="s">
        <v>620</v>
      </c>
    </row>
    <row r="10609" spans="1:19" x14ac:dyDescent="0.2">
      <c r="A10609" t="s">
        <v>11220</v>
      </c>
      <c r="B10609" t="s">
        <v>83</v>
      </c>
      <c r="C10609" t="s">
        <v>614</v>
      </c>
      <c r="D10609">
        <v>294.81</v>
      </c>
      <c r="E10609" s="37" t="str">
        <f t="shared" si="825"/>
        <v xml:space="preserve"> </v>
      </c>
      <c r="F10609">
        <v>0.06</v>
      </c>
      <c r="G10609" s="37" t="str">
        <f t="shared" si="826"/>
        <v>Normal Discount</v>
      </c>
      <c r="H10609" s="37" t="str">
        <f t="shared" si="827"/>
        <v>Low</v>
      </c>
      <c r="I10609">
        <v>1</v>
      </c>
      <c r="J10609" t="str" cm="1">
        <f t="array" ref="J10609">_xlfn.IFS(I10609&lt;=3,"small",I10609&lt;=6,"Medium",I10609&lt;=9,"Large")</f>
        <v>small</v>
      </c>
      <c r="K10609" s="36">
        <v>44947</v>
      </c>
      <c r="L10609" s="36">
        <v>44953</v>
      </c>
      <c r="M10609" t="s">
        <v>612</v>
      </c>
      <c r="N10609" t="s">
        <v>608</v>
      </c>
      <c r="O10609" s="37" t="str">
        <f t="shared" si="828"/>
        <v>Cash Payment</v>
      </c>
      <c r="P10609">
        <v>28.6</v>
      </c>
      <c r="Q10609" s="37" t="str">
        <f>IF(P10609&gt;500,"High","low")</f>
        <v>low</v>
      </c>
      <c r="R10609" s="37" t="str">
        <f t="shared" si="829"/>
        <v>AVERAGE</v>
      </c>
      <c r="S10609" t="s">
        <v>628</v>
      </c>
    </row>
    <row r="10610" spans="1:19" x14ac:dyDescent="0.2">
      <c r="A10610" t="s">
        <v>11221</v>
      </c>
      <c r="B10610" t="s">
        <v>75</v>
      </c>
      <c r="C10610" t="s">
        <v>617</v>
      </c>
      <c r="D10610">
        <v>1342.82</v>
      </c>
      <c r="E10610" s="37" t="str">
        <f t="shared" si="825"/>
        <v xml:space="preserve"> </v>
      </c>
      <c r="F10610">
        <v>0.13</v>
      </c>
      <c r="G10610" s="37" t="str">
        <f t="shared" si="826"/>
        <v>Normal Discount</v>
      </c>
      <c r="H10610" s="37" t="str">
        <f t="shared" si="827"/>
        <v>Low</v>
      </c>
      <c r="I10610">
        <v>2</v>
      </c>
      <c r="J10610" t="str" cm="1">
        <f t="array" ref="J10610">_xlfn.IFS(I10610&lt;=3,"small",I10610&lt;=6,"Medium",I10610&lt;=9,"Large")</f>
        <v>small</v>
      </c>
      <c r="K10610" s="36">
        <v>45227</v>
      </c>
      <c r="L10610" s="36">
        <v>45228</v>
      </c>
      <c r="M10610" t="s">
        <v>598</v>
      </c>
      <c r="N10610" t="s">
        <v>599</v>
      </c>
      <c r="O10610" s="37" t="str">
        <f t="shared" si="828"/>
        <v>Digital Payment</v>
      </c>
      <c r="P10610">
        <v>216.33</v>
      </c>
      <c r="Q10610" s="37" t="str">
        <f>IF(P10610&gt;500,"High","low")</f>
        <v>low</v>
      </c>
      <c r="R10610" s="37" t="str">
        <f t="shared" si="829"/>
        <v>AVERAGE</v>
      </c>
      <c r="S10610" t="s">
        <v>605</v>
      </c>
    </row>
    <row r="10611" spans="1:19" x14ac:dyDescent="0.2">
      <c r="A10611" t="s">
        <v>11222</v>
      </c>
      <c r="B10611" t="s">
        <v>90</v>
      </c>
      <c r="C10611" t="s">
        <v>617</v>
      </c>
      <c r="D10611">
        <v>2963.09</v>
      </c>
      <c r="E10611" s="37" t="str">
        <f t="shared" si="825"/>
        <v xml:space="preserve"> </v>
      </c>
      <c r="F10611">
        <v>0.04</v>
      </c>
      <c r="G10611" s="37" t="str">
        <f t="shared" si="826"/>
        <v>Normal Discount</v>
      </c>
      <c r="H10611" s="37" t="str">
        <f t="shared" si="827"/>
        <v>Low</v>
      </c>
      <c r="I10611">
        <v>8</v>
      </c>
      <c r="J10611" t="str" cm="1">
        <f t="array" ref="J10611">_xlfn.IFS(I10611&lt;=3,"small",I10611&lt;=6,"Medium",I10611&lt;=9,"Large")</f>
        <v>Large</v>
      </c>
      <c r="K10611" s="36">
        <v>45498</v>
      </c>
      <c r="L10611" s="36">
        <v>45504</v>
      </c>
      <c r="M10611" t="s">
        <v>612</v>
      </c>
      <c r="N10611" t="s">
        <v>608</v>
      </c>
      <c r="O10611" s="37" t="str">
        <f t="shared" si="828"/>
        <v>Cash Payment</v>
      </c>
      <c r="P10611">
        <v>630.16999999999996</v>
      </c>
      <c r="Q10611" s="37" t="str">
        <f>IF(P10611&gt;500,"High","low")</f>
        <v>High</v>
      </c>
      <c r="R10611" s="37" t="str">
        <f t="shared" si="829"/>
        <v>Good</v>
      </c>
      <c r="S10611" t="s">
        <v>609</v>
      </c>
    </row>
    <row r="10612" spans="1:19" x14ac:dyDescent="0.2">
      <c r="A10612" t="s">
        <v>11223</v>
      </c>
      <c r="B10612" t="s">
        <v>75</v>
      </c>
      <c r="C10612" t="s">
        <v>607</v>
      </c>
      <c r="D10612">
        <v>4083.37</v>
      </c>
      <c r="E10612" s="37" t="str">
        <f t="shared" si="825"/>
        <v xml:space="preserve"> </v>
      </c>
      <c r="F10612">
        <v>0.32</v>
      </c>
      <c r="G10612" s="37" t="str">
        <f t="shared" si="826"/>
        <v>Heavy Discount</v>
      </c>
      <c r="H10612" s="37" t="str">
        <f t="shared" si="827"/>
        <v>Medium</v>
      </c>
      <c r="I10612">
        <v>4</v>
      </c>
      <c r="J10612" t="str" cm="1">
        <f t="array" ref="J10612">_xlfn.IFS(I10612&lt;=3,"small",I10612&lt;=6,"Medium",I10612&lt;=9,"Large")</f>
        <v>Medium</v>
      </c>
      <c r="K10612" s="36">
        <v>45457</v>
      </c>
      <c r="L10612" s="36">
        <v>45464</v>
      </c>
      <c r="M10612" t="s">
        <v>603</v>
      </c>
      <c r="N10612" t="s">
        <v>604</v>
      </c>
      <c r="O10612" s="37" t="str">
        <f t="shared" si="828"/>
        <v>Digital Payment</v>
      </c>
      <c r="P10612">
        <v>505.13</v>
      </c>
      <c r="Q10612" s="37" t="str">
        <f>IF(P10612&gt;500,"High","low")</f>
        <v>High</v>
      </c>
      <c r="R10612" s="37" t="str">
        <f t="shared" si="829"/>
        <v>Good</v>
      </c>
      <c r="S10612" t="s">
        <v>605</v>
      </c>
    </row>
    <row r="10613" spans="1:19" x14ac:dyDescent="0.2">
      <c r="A10613" t="s">
        <v>11224</v>
      </c>
      <c r="B10613" t="s">
        <v>67</v>
      </c>
      <c r="C10613" t="s">
        <v>614</v>
      </c>
      <c r="D10613">
        <v>3908.26</v>
      </c>
      <c r="E10613" s="37" t="str">
        <f t="shared" si="825"/>
        <v xml:space="preserve"> </v>
      </c>
      <c r="F10613">
        <v>0.37</v>
      </c>
      <c r="G10613" s="37" t="str">
        <f t="shared" si="826"/>
        <v>Heavy Discount</v>
      </c>
      <c r="H10613" s="37" t="str">
        <f t="shared" si="827"/>
        <v>Medium</v>
      </c>
      <c r="I10613">
        <v>2</v>
      </c>
      <c r="J10613" t="str" cm="1">
        <f t="array" ref="J10613">_xlfn.IFS(I10613&lt;=3,"small",I10613&lt;=6,"Medium",I10613&lt;=9,"Large")</f>
        <v>small</v>
      </c>
      <c r="K10613" s="36">
        <v>45398</v>
      </c>
      <c r="L10613" s="36">
        <v>45402</v>
      </c>
      <c r="M10613" t="s">
        <v>598</v>
      </c>
      <c r="N10613" t="s">
        <v>599</v>
      </c>
      <c r="O10613" s="37" t="str">
        <f t="shared" si="828"/>
        <v>Digital Payment</v>
      </c>
      <c r="P10613">
        <v>1014.79</v>
      </c>
      <c r="Q10613" s="37" t="str">
        <f>IF(P10613&gt;500,"High","low")</f>
        <v>High</v>
      </c>
      <c r="R10613" s="37" t="str">
        <f t="shared" si="829"/>
        <v>Excellent</v>
      </c>
      <c r="S10613" t="s">
        <v>605</v>
      </c>
    </row>
    <row r="10614" spans="1:19" x14ac:dyDescent="0.2">
      <c r="A10614" t="s">
        <v>11225</v>
      </c>
      <c r="B10614" t="s">
        <v>83</v>
      </c>
      <c r="C10614" t="s">
        <v>597</v>
      </c>
      <c r="D10614">
        <v>979.49</v>
      </c>
      <c r="E10614" s="37" t="str">
        <f t="shared" si="825"/>
        <v xml:space="preserve"> </v>
      </c>
      <c r="F10614">
        <v>0.21</v>
      </c>
      <c r="G10614" s="37" t="str">
        <f t="shared" si="826"/>
        <v>Normal Discount</v>
      </c>
      <c r="H10614" s="37" t="str">
        <f t="shared" si="827"/>
        <v>Medium</v>
      </c>
      <c r="I10614">
        <v>4</v>
      </c>
      <c r="J10614" t="str" cm="1">
        <f t="array" ref="J10614">_xlfn.IFS(I10614&lt;=3,"small",I10614&lt;=6,"Medium",I10614&lt;=9,"Large")</f>
        <v>Medium</v>
      </c>
      <c r="K10614" s="36">
        <v>44940</v>
      </c>
      <c r="L10614" s="36">
        <v>44946</v>
      </c>
      <c r="M10614" t="s">
        <v>598</v>
      </c>
      <c r="N10614" t="s">
        <v>599</v>
      </c>
      <c r="O10614" s="37" t="str">
        <f t="shared" si="828"/>
        <v>Digital Payment</v>
      </c>
      <c r="P10614">
        <v>158.34</v>
      </c>
      <c r="Q10614" s="37" t="str">
        <f>IF(P10614&gt;500,"High","low")</f>
        <v>low</v>
      </c>
      <c r="R10614" s="37" t="str">
        <f t="shared" si="829"/>
        <v>AVERAGE</v>
      </c>
      <c r="S10614" t="s">
        <v>600</v>
      </c>
    </row>
    <row r="10615" spans="1:19" x14ac:dyDescent="0.2">
      <c r="A10615" t="s">
        <v>11226</v>
      </c>
      <c r="B10615" t="s">
        <v>67</v>
      </c>
      <c r="C10615" t="s">
        <v>617</v>
      </c>
      <c r="D10615">
        <v>352.09</v>
      </c>
      <c r="E10615" s="37" t="str">
        <f t="shared" si="825"/>
        <v xml:space="preserve"> </v>
      </c>
      <c r="F10615">
        <v>0.48</v>
      </c>
      <c r="G10615" s="37" t="str">
        <f t="shared" si="826"/>
        <v>Heavy Discount</v>
      </c>
      <c r="H10615" s="37" t="str">
        <f t="shared" si="827"/>
        <v>High</v>
      </c>
      <c r="I10615">
        <v>7</v>
      </c>
      <c r="J10615" t="str" cm="1">
        <f t="array" ref="J10615">_xlfn.IFS(I10615&lt;=3,"small",I10615&lt;=6,"Medium",I10615&lt;=9,"Large")</f>
        <v>Large</v>
      </c>
      <c r="K10615" s="36">
        <v>45524</v>
      </c>
      <c r="L10615" s="36">
        <v>45531</v>
      </c>
      <c r="M10615" t="s">
        <v>612</v>
      </c>
      <c r="N10615" t="s">
        <v>608</v>
      </c>
      <c r="O10615" s="37" t="str">
        <f t="shared" si="828"/>
        <v>Cash Payment</v>
      </c>
      <c r="P10615">
        <v>27.22</v>
      </c>
      <c r="Q10615" s="37" t="str">
        <f>IF(P10615&gt;500,"High","low")</f>
        <v>low</v>
      </c>
      <c r="R10615" s="37" t="str">
        <f t="shared" si="829"/>
        <v>AVERAGE</v>
      </c>
      <c r="S10615" t="s">
        <v>609</v>
      </c>
    </row>
    <row r="10616" spans="1:19" x14ac:dyDescent="0.2">
      <c r="A10616" t="s">
        <v>11227</v>
      </c>
      <c r="B10616" t="s">
        <v>83</v>
      </c>
      <c r="C10616" t="s">
        <v>617</v>
      </c>
      <c r="D10616">
        <v>4267.74</v>
      </c>
      <c r="E10616" s="37" t="str">
        <f t="shared" si="825"/>
        <v xml:space="preserve"> </v>
      </c>
      <c r="F10616">
        <v>0.36</v>
      </c>
      <c r="G10616" s="37" t="str">
        <f t="shared" si="826"/>
        <v>Heavy Discount</v>
      </c>
      <c r="H10616" s="37" t="str">
        <f t="shared" si="827"/>
        <v>Medium</v>
      </c>
      <c r="I10616">
        <v>2</v>
      </c>
      <c r="J10616" t="str" cm="1">
        <f t="array" ref="J10616">_xlfn.IFS(I10616&lt;=3,"small",I10616&lt;=6,"Medium",I10616&lt;=9,"Large")</f>
        <v>small</v>
      </c>
      <c r="K10616" s="36">
        <v>45541</v>
      </c>
      <c r="L10616" s="36">
        <v>45546</v>
      </c>
      <c r="M10616" t="s">
        <v>612</v>
      </c>
      <c r="N10616" t="s">
        <v>599</v>
      </c>
      <c r="O10616" s="37" t="str">
        <f t="shared" si="828"/>
        <v>Digital Payment</v>
      </c>
      <c r="P10616">
        <v>468.31</v>
      </c>
      <c r="Q10616" s="37" t="str">
        <f>IF(P10616&gt;500,"High","low")</f>
        <v>low</v>
      </c>
      <c r="R10616" s="37" t="str">
        <f t="shared" si="829"/>
        <v>AVERAGE</v>
      </c>
      <c r="S10616" t="s">
        <v>605</v>
      </c>
    </row>
    <row r="10617" spans="1:19" x14ac:dyDescent="0.2">
      <c r="A10617" t="s">
        <v>11228</v>
      </c>
      <c r="B10617" t="s">
        <v>90</v>
      </c>
      <c r="C10617" t="s">
        <v>602</v>
      </c>
      <c r="D10617">
        <v>470.39</v>
      </c>
      <c r="E10617" s="37" t="str">
        <f t="shared" si="825"/>
        <v xml:space="preserve"> </v>
      </c>
      <c r="F10617">
        <v>0.19</v>
      </c>
      <c r="G10617" s="37" t="str">
        <f t="shared" si="826"/>
        <v>Normal Discount</v>
      </c>
      <c r="H10617" s="37" t="str">
        <f t="shared" si="827"/>
        <v>Low</v>
      </c>
      <c r="I10617">
        <v>6</v>
      </c>
      <c r="J10617" t="str" cm="1">
        <f t="array" ref="J10617">_xlfn.IFS(I10617&lt;=3,"small",I10617&lt;=6,"Medium",I10617&lt;=9,"Large")</f>
        <v>Medium</v>
      </c>
      <c r="K10617" s="36">
        <v>45148</v>
      </c>
      <c r="L10617" s="36">
        <v>45150</v>
      </c>
      <c r="M10617" t="s">
        <v>612</v>
      </c>
      <c r="N10617" t="s">
        <v>604</v>
      </c>
      <c r="O10617" s="37" t="str">
        <f t="shared" si="828"/>
        <v>Digital Payment</v>
      </c>
      <c r="P10617">
        <v>93.56</v>
      </c>
      <c r="Q10617" s="37" t="str">
        <f>IF(P10617&gt;500,"High","low")</f>
        <v>low</v>
      </c>
      <c r="R10617" s="37" t="str">
        <f t="shared" si="829"/>
        <v>AVERAGE</v>
      </c>
      <c r="S10617" t="s">
        <v>605</v>
      </c>
    </row>
    <row r="10618" spans="1:19" x14ac:dyDescent="0.2">
      <c r="A10618" t="s">
        <v>11229</v>
      </c>
      <c r="B10618" t="s">
        <v>83</v>
      </c>
      <c r="C10618" t="s">
        <v>607</v>
      </c>
      <c r="D10618">
        <v>2027.23</v>
      </c>
      <c r="E10618" s="37" t="str">
        <f t="shared" si="825"/>
        <v xml:space="preserve"> </v>
      </c>
      <c r="F10618">
        <v>0.05</v>
      </c>
      <c r="G10618" s="37" t="str">
        <f t="shared" si="826"/>
        <v>Normal Discount</v>
      </c>
      <c r="H10618" s="37" t="str">
        <f t="shared" si="827"/>
        <v>Low</v>
      </c>
      <c r="I10618">
        <v>1</v>
      </c>
      <c r="J10618" t="str" cm="1">
        <f t="array" ref="J10618">_xlfn.IFS(I10618&lt;=3,"small",I10618&lt;=6,"Medium",I10618&lt;=9,"Large")</f>
        <v>small</v>
      </c>
      <c r="K10618" s="36">
        <v>45194</v>
      </c>
      <c r="L10618" s="36">
        <v>45196</v>
      </c>
      <c r="M10618" t="s">
        <v>612</v>
      </c>
      <c r="N10618" t="s">
        <v>604</v>
      </c>
      <c r="O10618" s="37" t="str">
        <f t="shared" si="828"/>
        <v>Digital Payment</v>
      </c>
      <c r="P10618">
        <v>448.21</v>
      </c>
      <c r="Q10618" s="37" t="str">
        <f>IF(P10618&gt;500,"High","low")</f>
        <v>low</v>
      </c>
      <c r="R10618" s="37" t="str">
        <f t="shared" si="829"/>
        <v>AVERAGE</v>
      </c>
      <c r="S10618" t="s">
        <v>615</v>
      </c>
    </row>
    <row r="10619" spans="1:19" x14ac:dyDescent="0.2">
      <c r="A10619" t="s">
        <v>11230</v>
      </c>
      <c r="B10619" t="s">
        <v>75</v>
      </c>
      <c r="C10619" t="s">
        <v>597</v>
      </c>
      <c r="D10619">
        <v>561.71</v>
      </c>
      <c r="E10619" s="37" t="str">
        <f t="shared" si="825"/>
        <v xml:space="preserve"> </v>
      </c>
      <c r="F10619">
        <v>0.25</v>
      </c>
      <c r="G10619" s="37" t="str">
        <f t="shared" si="826"/>
        <v>Normal Discount</v>
      </c>
      <c r="H10619" s="37" t="str">
        <f t="shared" si="827"/>
        <v>Medium</v>
      </c>
      <c r="I10619">
        <v>3</v>
      </c>
      <c r="J10619" t="str" cm="1">
        <f t="array" ref="J10619">_xlfn.IFS(I10619&lt;=3,"small",I10619&lt;=6,"Medium",I10619&lt;=9,"Large")</f>
        <v>small</v>
      </c>
      <c r="K10619" s="36">
        <v>45615</v>
      </c>
      <c r="L10619" s="36">
        <v>45622</v>
      </c>
      <c r="M10619" t="s">
        <v>598</v>
      </c>
      <c r="N10619" t="s">
        <v>599</v>
      </c>
      <c r="O10619" s="37" t="str">
        <f t="shared" si="828"/>
        <v>Digital Payment</v>
      </c>
      <c r="P10619">
        <v>126.14</v>
      </c>
      <c r="Q10619" s="37" t="str">
        <f>IF(P10619&gt;500,"High","low")</f>
        <v>low</v>
      </c>
      <c r="R10619" s="37" t="str">
        <f t="shared" si="829"/>
        <v>AVERAGE</v>
      </c>
      <c r="S10619" t="s">
        <v>605</v>
      </c>
    </row>
    <row r="10620" spans="1:19" x14ac:dyDescent="0.2">
      <c r="A10620" t="s">
        <v>11231</v>
      </c>
      <c r="B10620" t="s">
        <v>75</v>
      </c>
      <c r="C10620" t="s">
        <v>617</v>
      </c>
      <c r="D10620">
        <v>2863.84</v>
      </c>
      <c r="E10620" s="37" t="str">
        <f t="shared" si="825"/>
        <v xml:space="preserve"> </v>
      </c>
      <c r="F10620">
        <v>0.25</v>
      </c>
      <c r="G10620" s="37" t="str">
        <f t="shared" si="826"/>
        <v>Normal Discount</v>
      </c>
      <c r="H10620" s="37" t="str">
        <f t="shared" si="827"/>
        <v>Medium</v>
      </c>
      <c r="I10620">
        <v>9</v>
      </c>
      <c r="J10620" t="str" cm="1">
        <f t="array" ref="J10620">_xlfn.IFS(I10620&lt;=3,"small",I10620&lt;=6,"Medium",I10620&lt;=9,"Large")</f>
        <v>Large</v>
      </c>
      <c r="K10620" s="36">
        <v>45642</v>
      </c>
      <c r="L10620" s="36">
        <v>45645</v>
      </c>
      <c r="M10620" t="s">
        <v>603</v>
      </c>
      <c r="N10620" t="s">
        <v>599</v>
      </c>
      <c r="O10620" s="37" t="str">
        <f t="shared" si="828"/>
        <v>Digital Payment</v>
      </c>
      <c r="P10620">
        <v>260.69</v>
      </c>
      <c r="Q10620" s="37" t="str">
        <f>IF(P10620&gt;500,"High","low")</f>
        <v>low</v>
      </c>
      <c r="R10620" s="37" t="str">
        <f t="shared" si="829"/>
        <v>AVERAGE</v>
      </c>
      <c r="S10620" t="s">
        <v>609</v>
      </c>
    </row>
    <row r="10621" spans="1:19" x14ac:dyDescent="0.2">
      <c r="A10621" t="s">
        <v>11232</v>
      </c>
      <c r="B10621" t="s">
        <v>90</v>
      </c>
      <c r="C10621" t="s">
        <v>602</v>
      </c>
      <c r="D10621">
        <v>1880.35</v>
      </c>
      <c r="E10621" s="37" t="str">
        <f t="shared" si="825"/>
        <v xml:space="preserve"> </v>
      </c>
      <c r="F10621">
        <v>0.28000000000000003</v>
      </c>
      <c r="G10621" s="37" t="str">
        <f t="shared" si="826"/>
        <v>Normal Discount</v>
      </c>
      <c r="H10621" s="37" t="str">
        <f t="shared" si="827"/>
        <v>Medium</v>
      </c>
      <c r="I10621">
        <v>5</v>
      </c>
      <c r="J10621" t="str" cm="1">
        <f t="array" ref="J10621">_xlfn.IFS(I10621&lt;=3,"small",I10621&lt;=6,"Medium",I10621&lt;=9,"Large")</f>
        <v>Medium</v>
      </c>
      <c r="K10621" s="36">
        <v>45404</v>
      </c>
      <c r="L10621" s="36">
        <v>45408</v>
      </c>
      <c r="M10621" t="s">
        <v>598</v>
      </c>
      <c r="N10621" t="s">
        <v>599</v>
      </c>
      <c r="O10621" s="37" t="str">
        <f t="shared" si="828"/>
        <v>Digital Payment</v>
      </c>
      <c r="P10621">
        <v>453.4</v>
      </c>
      <c r="Q10621" s="37" t="str">
        <f>IF(P10621&gt;500,"High","low")</f>
        <v>low</v>
      </c>
      <c r="R10621" s="37" t="str">
        <f t="shared" si="829"/>
        <v>AVERAGE</v>
      </c>
      <c r="S10621" t="s">
        <v>620</v>
      </c>
    </row>
    <row r="10622" spans="1:19" x14ac:dyDescent="0.2">
      <c r="A10622" t="s">
        <v>11233</v>
      </c>
      <c r="B10622" t="s">
        <v>83</v>
      </c>
      <c r="C10622" t="s">
        <v>614</v>
      </c>
      <c r="D10622">
        <v>1092.22</v>
      </c>
      <c r="E10622" s="37" t="str">
        <f t="shared" si="825"/>
        <v xml:space="preserve"> </v>
      </c>
      <c r="F10622">
        <v>0.34</v>
      </c>
      <c r="G10622" s="37" t="str">
        <f t="shared" si="826"/>
        <v>Heavy Discount</v>
      </c>
      <c r="H10622" s="37" t="str">
        <f t="shared" si="827"/>
        <v>Medium</v>
      </c>
      <c r="I10622">
        <v>8</v>
      </c>
      <c r="J10622" t="str" cm="1">
        <f t="array" ref="J10622">_xlfn.IFS(I10622&lt;=3,"small",I10622&lt;=6,"Medium",I10622&lt;=9,"Large")</f>
        <v>Large</v>
      </c>
      <c r="K10622" s="36">
        <v>44929</v>
      </c>
      <c r="L10622" s="36">
        <v>44935</v>
      </c>
      <c r="M10622" t="s">
        <v>603</v>
      </c>
      <c r="N10622" t="s">
        <v>599</v>
      </c>
      <c r="O10622" s="37" t="str">
        <f t="shared" si="828"/>
        <v>Digital Payment</v>
      </c>
      <c r="P10622">
        <v>81.03</v>
      </c>
      <c r="Q10622" s="37" t="str">
        <f>IF(P10622&gt;500,"High","low")</f>
        <v>low</v>
      </c>
      <c r="R10622" s="37" t="str">
        <f t="shared" si="829"/>
        <v>AVERAGE</v>
      </c>
      <c r="S10622" t="s">
        <v>600</v>
      </c>
    </row>
    <row r="10623" spans="1:19" x14ac:dyDescent="0.2">
      <c r="A10623" t="s">
        <v>11234</v>
      </c>
      <c r="B10623" t="s">
        <v>90</v>
      </c>
      <c r="C10623" t="s">
        <v>617</v>
      </c>
      <c r="D10623">
        <v>3016.32</v>
      </c>
      <c r="E10623" s="37" t="str">
        <f t="shared" si="825"/>
        <v xml:space="preserve"> </v>
      </c>
      <c r="F10623">
        <v>0.13</v>
      </c>
      <c r="G10623" s="37" t="str">
        <f t="shared" si="826"/>
        <v>Normal Discount</v>
      </c>
      <c r="H10623" s="37" t="str">
        <f t="shared" si="827"/>
        <v>Low</v>
      </c>
      <c r="I10623">
        <v>1</v>
      </c>
      <c r="J10623" t="str" cm="1">
        <f t="array" ref="J10623">_xlfn.IFS(I10623&lt;=3,"small",I10623&lt;=6,"Medium",I10623&lt;=9,"Large")</f>
        <v>small</v>
      </c>
      <c r="K10623" s="36">
        <v>45045</v>
      </c>
      <c r="L10623" s="36">
        <v>45050</v>
      </c>
      <c r="M10623" t="s">
        <v>603</v>
      </c>
      <c r="N10623" t="s">
        <v>599</v>
      </c>
      <c r="O10623" s="37" t="str">
        <f t="shared" si="828"/>
        <v>Digital Payment</v>
      </c>
      <c r="P10623">
        <v>871.08</v>
      </c>
      <c r="Q10623" s="37" t="str">
        <f>IF(P10623&gt;500,"High","low")</f>
        <v>High</v>
      </c>
      <c r="R10623" s="37" t="str">
        <f t="shared" si="829"/>
        <v>Good</v>
      </c>
      <c r="S10623" t="s">
        <v>615</v>
      </c>
    </row>
    <row r="10624" spans="1:19" x14ac:dyDescent="0.2">
      <c r="A10624" t="s">
        <v>11235</v>
      </c>
      <c r="B10624" t="s">
        <v>75</v>
      </c>
      <c r="C10624" t="s">
        <v>602</v>
      </c>
      <c r="D10624">
        <v>1880.62</v>
      </c>
      <c r="E10624" s="37" t="str">
        <f t="shared" si="825"/>
        <v xml:space="preserve"> </v>
      </c>
      <c r="F10624">
        <v>0</v>
      </c>
      <c r="G10624" s="37" t="str">
        <f t="shared" si="826"/>
        <v>Normal Discount</v>
      </c>
      <c r="H10624" s="37" t="str">
        <f t="shared" si="827"/>
        <v>Low</v>
      </c>
      <c r="I10624">
        <v>4</v>
      </c>
      <c r="J10624" t="str" cm="1">
        <f t="array" ref="J10624">_xlfn.IFS(I10624&lt;=3,"small",I10624&lt;=6,"Medium",I10624&lt;=9,"Large")</f>
        <v>Medium</v>
      </c>
      <c r="K10624" s="36">
        <v>45030</v>
      </c>
      <c r="L10624" s="36">
        <v>45035</v>
      </c>
      <c r="M10624" t="s">
        <v>612</v>
      </c>
      <c r="N10624" t="s">
        <v>604</v>
      </c>
      <c r="O10624" s="37" t="str">
        <f t="shared" si="828"/>
        <v>Digital Payment</v>
      </c>
      <c r="P10624">
        <v>456.03</v>
      </c>
      <c r="Q10624" s="37" t="str">
        <f>IF(P10624&gt;500,"High","low")</f>
        <v>low</v>
      </c>
      <c r="R10624" s="37" t="str">
        <f t="shared" si="829"/>
        <v>AVERAGE</v>
      </c>
      <c r="S10624" t="s">
        <v>620</v>
      </c>
    </row>
    <row r="10625" spans="1:19" x14ac:dyDescent="0.2">
      <c r="A10625" t="s">
        <v>11236</v>
      </c>
      <c r="B10625" t="s">
        <v>67</v>
      </c>
      <c r="C10625" t="s">
        <v>614</v>
      </c>
      <c r="D10625">
        <v>917.26</v>
      </c>
      <c r="E10625" s="37" t="str">
        <f t="shared" si="825"/>
        <v xml:space="preserve"> </v>
      </c>
      <c r="F10625">
        <v>0.41</v>
      </c>
      <c r="G10625" s="37" t="str">
        <f t="shared" si="826"/>
        <v>Heavy Discount</v>
      </c>
      <c r="H10625" s="37" t="str">
        <f t="shared" si="827"/>
        <v>High</v>
      </c>
      <c r="I10625">
        <v>3</v>
      </c>
      <c r="J10625" t="str" cm="1">
        <f t="array" ref="J10625">_xlfn.IFS(I10625&lt;=3,"small",I10625&lt;=6,"Medium",I10625&lt;=9,"Large")</f>
        <v>small</v>
      </c>
      <c r="K10625" s="36">
        <v>45278</v>
      </c>
      <c r="L10625" s="36">
        <v>45279</v>
      </c>
      <c r="M10625" t="s">
        <v>603</v>
      </c>
      <c r="N10625" t="s">
        <v>604</v>
      </c>
      <c r="O10625" s="37" t="str">
        <f t="shared" si="828"/>
        <v>Digital Payment</v>
      </c>
      <c r="P10625">
        <v>206.73</v>
      </c>
      <c r="Q10625" s="37" t="str">
        <f>IF(P10625&gt;500,"High","low")</f>
        <v>low</v>
      </c>
      <c r="R10625" s="37" t="str">
        <f t="shared" si="829"/>
        <v>AVERAGE</v>
      </c>
      <c r="S10625" t="s">
        <v>628</v>
      </c>
    </row>
    <row r="10626" spans="1:19" x14ac:dyDescent="0.2">
      <c r="A10626" t="s">
        <v>11237</v>
      </c>
      <c r="B10626" t="s">
        <v>90</v>
      </c>
      <c r="C10626" t="s">
        <v>607</v>
      </c>
      <c r="D10626">
        <v>3530.42</v>
      </c>
      <c r="E10626" s="37" t="str">
        <f t="shared" si="825"/>
        <v xml:space="preserve"> </v>
      </c>
      <c r="F10626">
        <v>0.41</v>
      </c>
      <c r="G10626" s="37" t="str">
        <f t="shared" si="826"/>
        <v>Heavy Discount</v>
      </c>
      <c r="H10626" s="37" t="str">
        <f t="shared" si="827"/>
        <v>High</v>
      </c>
      <c r="I10626">
        <v>9</v>
      </c>
      <c r="J10626" t="str" cm="1">
        <f t="array" ref="J10626">_xlfn.IFS(I10626&lt;=3,"small",I10626&lt;=6,"Medium",I10626&lt;=9,"Large")</f>
        <v>Large</v>
      </c>
      <c r="K10626" s="36">
        <v>45593</v>
      </c>
      <c r="L10626" s="36">
        <v>45594</v>
      </c>
      <c r="M10626" t="s">
        <v>598</v>
      </c>
      <c r="N10626" t="s">
        <v>604</v>
      </c>
      <c r="O10626" s="37" t="str">
        <f t="shared" si="828"/>
        <v>Digital Payment</v>
      </c>
      <c r="P10626">
        <v>368.05</v>
      </c>
      <c r="Q10626" s="37" t="str">
        <f>IF(P10626&gt;500,"High","low")</f>
        <v>low</v>
      </c>
      <c r="R10626" s="37" t="str">
        <f t="shared" si="829"/>
        <v>AVERAGE</v>
      </c>
      <c r="S10626" t="s">
        <v>628</v>
      </c>
    </row>
    <row r="10627" spans="1:19" x14ac:dyDescent="0.2">
      <c r="A10627" t="s">
        <v>11238</v>
      </c>
      <c r="B10627" t="s">
        <v>67</v>
      </c>
      <c r="C10627" t="s">
        <v>614</v>
      </c>
      <c r="D10627">
        <v>4200.3599999999997</v>
      </c>
      <c r="E10627" s="37" t="str">
        <f t="shared" ref="E10627:E10690" si="830">IF(AND(D10627&gt;4000,P10627&gt;800),"Excellent Order"," ")</f>
        <v xml:space="preserve"> </v>
      </c>
      <c r="F10627">
        <v>0.46</v>
      </c>
      <c r="G10627" s="37" t="str">
        <f t="shared" ref="G10627:G10690" si="831">IF(F10627&gt;30%,"Heavy Discount","Normal Discount")</f>
        <v>Heavy Discount</v>
      </c>
      <c r="H10627" s="37" t="str">
        <f t="shared" ref="H10627:H10690" si="832">IF(F10627&gt;0.4,"High",IF(F10627&gt;=0.2,"Medium","Low"))</f>
        <v>High</v>
      </c>
      <c r="I10627">
        <v>7</v>
      </c>
      <c r="J10627" t="str" cm="1">
        <f t="array" ref="J10627">_xlfn.IFS(I10627&lt;=3,"small",I10627&lt;=6,"Medium",I10627&lt;=9,"Large")</f>
        <v>Large</v>
      </c>
      <c r="K10627" s="36">
        <v>45392</v>
      </c>
      <c r="L10627" s="36">
        <v>45395</v>
      </c>
      <c r="M10627" t="s">
        <v>612</v>
      </c>
      <c r="N10627" t="s">
        <v>599</v>
      </c>
      <c r="O10627" s="37" t="str">
        <f t="shared" ref="O10627:O10690" si="833">IF(OR(N10627="Card",N10627="UPI"),"Digital Payment","Cash Payment")</f>
        <v>Digital Payment</v>
      </c>
      <c r="P10627">
        <v>358.59</v>
      </c>
      <c r="Q10627" s="37" t="str">
        <f>IF(P10627&gt;500,"High","low")</f>
        <v>low</v>
      </c>
      <c r="R10627" s="37" t="str">
        <f t="shared" ref="R10627:R10690" si="834">IF(P10627&gt;1000,"Excellent",IF(P10627&gt;=500,"Good","AVERAGE"))</f>
        <v>AVERAGE</v>
      </c>
      <c r="S10627" t="s">
        <v>620</v>
      </c>
    </row>
    <row r="10628" spans="1:19" x14ac:dyDescent="0.2">
      <c r="A10628" t="s">
        <v>11239</v>
      </c>
      <c r="B10628" t="s">
        <v>67</v>
      </c>
      <c r="C10628" t="s">
        <v>617</v>
      </c>
      <c r="D10628">
        <v>1441.34</v>
      </c>
      <c r="E10628" s="37" t="str">
        <f t="shared" si="830"/>
        <v xml:space="preserve"> </v>
      </c>
      <c r="F10628">
        <v>0.48</v>
      </c>
      <c r="G10628" s="37" t="str">
        <f t="shared" si="831"/>
        <v>Heavy Discount</v>
      </c>
      <c r="H10628" s="37" t="str">
        <f t="shared" si="832"/>
        <v>High</v>
      </c>
      <c r="I10628">
        <v>3</v>
      </c>
      <c r="J10628" t="str" cm="1">
        <f t="array" ref="J10628">_xlfn.IFS(I10628&lt;=3,"small",I10628&lt;=6,"Medium",I10628&lt;=9,"Large")</f>
        <v>small</v>
      </c>
      <c r="K10628" s="36">
        <v>45299</v>
      </c>
      <c r="L10628" s="36">
        <v>45303</v>
      </c>
      <c r="M10628" t="s">
        <v>598</v>
      </c>
      <c r="N10628" t="s">
        <v>604</v>
      </c>
      <c r="O10628" s="37" t="str">
        <f t="shared" si="833"/>
        <v>Digital Payment</v>
      </c>
      <c r="P10628">
        <v>124.85</v>
      </c>
      <c r="Q10628" s="37" t="str">
        <f>IF(P10628&gt;500,"High","low")</f>
        <v>low</v>
      </c>
      <c r="R10628" s="37" t="str">
        <f t="shared" si="834"/>
        <v>AVERAGE</v>
      </c>
      <c r="S10628" t="s">
        <v>620</v>
      </c>
    </row>
    <row r="10629" spans="1:19" x14ac:dyDescent="0.2">
      <c r="A10629" t="s">
        <v>11240</v>
      </c>
      <c r="B10629" t="s">
        <v>83</v>
      </c>
      <c r="C10629" t="s">
        <v>597</v>
      </c>
      <c r="D10629">
        <v>1013.48</v>
      </c>
      <c r="E10629" s="37" t="str">
        <f t="shared" si="830"/>
        <v xml:space="preserve"> </v>
      </c>
      <c r="F10629">
        <v>0.08</v>
      </c>
      <c r="G10629" s="37" t="str">
        <f t="shared" si="831"/>
        <v>Normal Discount</v>
      </c>
      <c r="H10629" s="37" t="str">
        <f t="shared" si="832"/>
        <v>Low</v>
      </c>
      <c r="I10629">
        <v>1</v>
      </c>
      <c r="J10629" t="str" cm="1">
        <f t="array" ref="J10629">_xlfn.IFS(I10629&lt;=3,"small",I10629&lt;=6,"Medium",I10629&lt;=9,"Large")</f>
        <v>small</v>
      </c>
      <c r="K10629" s="36">
        <v>45591</v>
      </c>
      <c r="L10629" s="36">
        <v>45594</v>
      </c>
      <c r="M10629" t="s">
        <v>598</v>
      </c>
      <c r="N10629" t="s">
        <v>604</v>
      </c>
      <c r="O10629" s="37" t="str">
        <f t="shared" si="833"/>
        <v>Digital Payment</v>
      </c>
      <c r="P10629">
        <v>109.22</v>
      </c>
      <c r="Q10629" s="37" t="str">
        <f>IF(P10629&gt;500,"High","low")</f>
        <v>low</v>
      </c>
      <c r="R10629" s="37" t="str">
        <f t="shared" si="834"/>
        <v>AVERAGE</v>
      </c>
      <c r="S10629" t="s">
        <v>628</v>
      </c>
    </row>
    <row r="10630" spans="1:19" x14ac:dyDescent="0.2">
      <c r="A10630" t="s">
        <v>11241</v>
      </c>
      <c r="B10630" t="s">
        <v>90</v>
      </c>
      <c r="C10630" t="s">
        <v>614</v>
      </c>
      <c r="D10630">
        <v>468.73</v>
      </c>
      <c r="E10630" s="37" t="str">
        <f t="shared" si="830"/>
        <v xml:space="preserve"> </v>
      </c>
      <c r="F10630">
        <v>0.18</v>
      </c>
      <c r="G10630" s="37" t="str">
        <f t="shared" si="831"/>
        <v>Normal Discount</v>
      </c>
      <c r="H10630" s="37" t="str">
        <f t="shared" si="832"/>
        <v>Low</v>
      </c>
      <c r="I10630">
        <v>5</v>
      </c>
      <c r="J10630" t="str" cm="1">
        <f t="array" ref="J10630">_xlfn.IFS(I10630&lt;=3,"small",I10630&lt;=6,"Medium",I10630&lt;=9,"Large")</f>
        <v>Medium</v>
      </c>
      <c r="K10630" s="36">
        <v>45437</v>
      </c>
      <c r="L10630" s="36">
        <v>45438</v>
      </c>
      <c r="M10630" t="s">
        <v>612</v>
      </c>
      <c r="N10630" t="s">
        <v>599</v>
      </c>
      <c r="O10630" s="37" t="str">
        <f t="shared" si="833"/>
        <v>Digital Payment</v>
      </c>
      <c r="P10630">
        <v>121.31</v>
      </c>
      <c r="Q10630" s="37" t="str">
        <f>IF(P10630&gt;500,"High","low")</f>
        <v>low</v>
      </c>
      <c r="R10630" s="37" t="str">
        <f t="shared" si="834"/>
        <v>AVERAGE</v>
      </c>
      <c r="S10630" t="s">
        <v>615</v>
      </c>
    </row>
    <row r="10631" spans="1:19" x14ac:dyDescent="0.2">
      <c r="A10631" t="s">
        <v>11242</v>
      </c>
      <c r="B10631" t="s">
        <v>67</v>
      </c>
      <c r="C10631" t="s">
        <v>597</v>
      </c>
      <c r="D10631">
        <v>2686.72</v>
      </c>
      <c r="E10631" s="37" t="str">
        <f t="shared" si="830"/>
        <v xml:space="preserve"> </v>
      </c>
      <c r="F10631">
        <v>0.43</v>
      </c>
      <c r="G10631" s="37" t="str">
        <f t="shared" si="831"/>
        <v>Heavy Discount</v>
      </c>
      <c r="H10631" s="37" t="str">
        <f t="shared" si="832"/>
        <v>High</v>
      </c>
      <c r="I10631">
        <v>3</v>
      </c>
      <c r="J10631" t="str" cm="1">
        <f t="array" ref="J10631">_xlfn.IFS(I10631&lt;=3,"small",I10631&lt;=6,"Medium",I10631&lt;=9,"Large")</f>
        <v>small</v>
      </c>
      <c r="K10631" s="36">
        <v>45419</v>
      </c>
      <c r="L10631" s="36">
        <v>45420</v>
      </c>
      <c r="M10631" t="s">
        <v>603</v>
      </c>
      <c r="N10631" t="s">
        <v>608</v>
      </c>
      <c r="O10631" s="37" t="str">
        <f t="shared" si="833"/>
        <v>Cash Payment</v>
      </c>
      <c r="P10631">
        <v>577.74</v>
      </c>
      <c r="Q10631" s="37" t="str">
        <f>IF(P10631&gt;500,"High","low")</f>
        <v>High</v>
      </c>
      <c r="R10631" s="37" t="str">
        <f t="shared" si="834"/>
        <v>Good</v>
      </c>
      <c r="S10631" t="s">
        <v>605</v>
      </c>
    </row>
    <row r="10632" spans="1:19" x14ac:dyDescent="0.2">
      <c r="A10632" t="s">
        <v>11243</v>
      </c>
      <c r="B10632" t="s">
        <v>67</v>
      </c>
      <c r="C10632" t="s">
        <v>597</v>
      </c>
      <c r="D10632">
        <v>4173.34</v>
      </c>
      <c r="E10632" s="37" t="str">
        <f t="shared" si="830"/>
        <v>Excellent Order</v>
      </c>
      <c r="F10632">
        <v>0.47</v>
      </c>
      <c r="G10632" s="37" t="str">
        <f t="shared" si="831"/>
        <v>Heavy Discount</v>
      </c>
      <c r="H10632" s="37" t="str">
        <f t="shared" si="832"/>
        <v>High</v>
      </c>
      <c r="I10632">
        <v>2</v>
      </c>
      <c r="J10632" t="str" cm="1">
        <f t="array" ref="J10632">_xlfn.IFS(I10632&lt;=3,"small",I10632&lt;=6,"Medium",I10632&lt;=9,"Large")</f>
        <v>small</v>
      </c>
      <c r="K10632" s="36">
        <v>44953</v>
      </c>
      <c r="L10632" s="36">
        <v>44957</v>
      </c>
      <c r="M10632" t="s">
        <v>598</v>
      </c>
      <c r="N10632" t="s">
        <v>604</v>
      </c>
      <c r="O10632" s="37" t="str">
        <f t="shared" si="833"/>
        <v>Digital Payment</v>
      </c>
      <c r="P10632">
        <v>1218.6199999999999</v>
      </c>
      <c r="Q10632" s="37" t="str">
        <f>IF(P10632&gt;500,"High","low")</f>
        <v>High</v>
      </c>
      <c r="R10632" s="37" t="str">
        <f t="shared" si="834"/>
        <v>Excellent</v>
      </c>
      <c r="S10632" t="s">
        <v>600</v>
      </c>
    </row>
    <row r="10633" spans="1:19" x14ac:dyDescent="0.2">
      <c r="A10633" t="s">
        <v>11244</v>
      </c>
      <c r="B10633" t="s">
        <v>83</v>
      </c>
      <c r="C10633" t="s">
        <v>614</v>
      </c>
      <c r="D10633">
        <v>1328.87</v>
      </c>
      <c r="E10633" s="37" t="str">
        <f t="shared" si="830"/>
        <v xml:space="preserve"> </v>
      </c>
      <c r="F10633">
        <v>0.01</v>
      </c>
      <c r="G10633" s="37" t="str">
        <f t="shared" si="831"/>
        <v>Normal Discount</v>
      </c>
      <c r="H10633" s="37" t="str">
        <f t="shared" si="832"/>
        <v>Low</v>
      </c>
      <c r="I10633">
        <v>3</v>
      </c>
      <c r="J10633" t="str" cm="1">
        <f t="array" ref="J10633">_xlfn.IFS(I10633&lt;=3,"small",I10633&lt;=6,"Medium",I10633&lt;=9,"Large")</f>
        <v>small</v>
      </c>
      <c r="K10633" s="36">
        <v>45084</v>
      </c>
      <c r="L10633" s="36">
        <v>45090</v>
      </c>
      <c r="M10633" t="s">
        <v>603</v>
      </c>
      <c r="N10633" t="s">
        <v>599</v>
      </c>
      <c r="O10633" s="37" t="str">
        <f t="shared" si="833"/>
        <v>Digital Payment</v>
      </c>
      <c r="P10633">
        <v>97.24</v>
      </c>
      <c r="Q10633" s="37" t="str">
        <f>IF(P10633&gt;500,"High","low")</f>
        <v>low</v>
      </c>
      <c r="R10633" s="37" t="str">
        <f t="shared" si="834"/>
        <v>AVERAGE</v>
      </c>
      <c r="S10633" t="s">
        <v>628</v>
      </c>
    </row>
    <row r="10634" spans="1:19" x14ac:dyDescent="0.2">
      <c r="A10634" t="s">
        <v>11245</v>
      </c>
      <c r="B10634" t="s">
        <v>83</v>
      </c>
      <c r="C10634" t="s">
        <v>607</v>
      </c>
      <c r="D10634">
        <v>2357.13</v>
      </c>
      <c r="E10634" s="37" t="str">
        <f t="shared" si="830"/>
        <v xml:space="preserve"> </v>
      </c>
      <c r="F10634">
        <v>0.19</v>
      </c>
      <c r="G10634" s="37" t="str">
        <f t="shared" si="831"/>
        <v>Normal Discount</v>
      </c>
      <c r="H10634" s="37" t="str">
        <f t="shared" si="832"/>
        <v>Low</v>
      </c>
      <c r="I10634">
        <v>5</v>
      </c>
      <c r="J10634" t="str" cm="1">
        <f t="array" ref="J10634">_xlfn.IFS(I10634&lt;=3,"small",I10634&lt;=6,"Medium",I10634&lt;=9,"Large")</f>
        <v>Medium</v>
      </c>
      <c r="K10634" s="36">
        <v>45641</v>
      </c>
      <c r="L10634" s="36">
        <v>45644</v>
      </c>
      <c r="M10634" t="s">
        <v>603</v>
      </c>
      <c r="N10634" t="s">
        <v>599</v>
      </c>
      <c r="O10634" s="37" t="str">
        <f t="shared" si="833"/>
        <v>Digital Payment</v>
      </c>
      <c r="P10634">
        <v>533.77</v>
      </c>
      <c r="Q10634" s="37" t="str">
        <f>IF(P10634&gt;500,"High","low")</f>
        <v>High</v>
      </c>
      <c r="R10634" s="37" t="str">
        <f t="shared" si="834"/>
        <v>Good</v>
      </c>
      <c r="S10634" t="s">
        <v>628</v>
      </c>
    </row>
    <row r="10635" spans="1:19" x14ac:dyDescent="0.2">
      <c r="A10635" t="s">
        <v>11246</v>
      </c>
      <c r="B10635" t="s">
        <v>75</v>
      </c>
      <c r="C10635" t="s">
        <v>614</v>
      </c>
      <c r="D10635">
        <v>887.94</v>
      </c>
      <c r="E10635" s="37" t="str">
        <f t="shared" si="830"/>
        <v xml:space="preserve"> </v>
      </c>
      <c r="F10635">
        <v>0.06</v>
      </c>
      <c r="G10635" s="37" t="str">
        <f t="shared" si="831"/>
        <v>Normal Discount</v>
      </c>
      <c r="H10635" s="37" t="str">
        <f t="shared" si="832"/>
        <v>Low</v>
      </c>
      <c r="I10635">
        <v>5</v>
      </c>
      <c r="J10635" t="str" cm="1">
        <f t="array" ref="J10635">_xlfn.IFS(I10635&lt;=3,"small",I10635&lt;=6,"Medium",I10635&lt;=9,"Large")</f>
        <v>Medium</v>
      </c>
      <c r="K10635" s="36">
        <v>45625</v>
      </c>
      <c r="L10635" s="36">
        <v>45626</v>
      </c>
      <c r="M10635" t="s">
        <v>598</v>
      </c>
      <c r="N10635" t="s">
        <v>604</v>
      </c>
      <c r="O10635" s="37" t="str">
        <f t="shared" si="833"/>
        <v>Digital Payment</v>
      </c>
      <c r="P10635">
        <v>233.7</v>
      </c>
      <c r="Q10635" s="37" t="str">
        <f>IF(P10635&gt;500,"High","low")</f>
        <v>low</v>
      </c>
      <c r="R10635" s="37" t="str">
        <f t="shared" si="834"/>
        <v>AVERAGE</v>
      </c>
      <c r="S10635" t="s">
        <v>600</v>
      </c>
    </row>
    <row r="10636" spans="1:19" x14ac:dyDescent="0.2">
      <c r="A10636" t="s">
        <v>11247</v>
      </c>
      <c r="B10636" t="s">
        <v>67</v>
      </c>
      <c r="C10636" t="s">
        <v>602</v>
      </c>
      <c r="D10636">
        <v>2080.58</v>
      </c>
      <c r="E10636" s="37" t="str">
        <f t="shared" si="830"/>
        <v xml:space="preserve"> </v>
      </c>
      <c r="F10636">
        <v>0.39</v>
      </c>
      <c r="G10636" s="37" t="str">
        <f t="shared" si="831"/>
        <v>Heavy Discount</v>
      </c>
      <c r="H10636" s="37" t="str">
        <f t="shared" si="832"/>
        <v>Medium</v>
      </c>
      <c r="I10636">
        <v>8</v>
      </c>
      <c r="J10636" t="str" cm="1">
        <f t="array" ref="J10636">_xlfn.IFS(I10636&lt;=3,"small",I10636&lt;=6,"Medium",I10636&lt;=9,"Large")</f>
        <v>Large</v>
      </c>
      <c r="K10636" s="36">
        <v>45107</v>
      </c>
      <c r="L10636" s="36">
        <v>45112</v>
      </c>
      <c r="M10636" t="s">
        <v>603</v>
      </c>
      <c r="N10636" t="s">
        <v>608</v>
      </c>
      <c r="O10636" s="37" t="str">
        <f t="shared" si="833"/>
        <v>Cash Payment</v>
      </c>
      <c r="P10636">
        <v>354.14</v>
      </c>
      <c r="Q10636" s="37" t="str">
        <f>IF(P10636&gt;500,"High","low")</f>
        <v>low</v>
      </c>
      <c r="R10636" s="37" t="str">
        <f t="shared" si="834"/>
        <v>AVERAGE</v>
      </c>
      <c r="S10636" t="s">
        <v>605</v>
      </c>
    </row>
    <row r="10637" spans="1:19" x14ac:dyDescent="0.2">
      <c r="A10637" t="s">
        <v>11248</v>
      </c>
      <c r="B10637" t="s">
        <v>75</v>
      </c>
      <c r="C10637" t="s">
        <v>597</v>
      </c>
      <c r="D10637">
        <v>175.68</v>
      </c>
      <c r="E10637" s="37" t="str">
        <f t="shared" si="830"/>
        <v xml:space="preserve"> </v>
      </c>
      <c r="F10637">
        <v>0.37</v>
      </c>
      <c r="G10637" s="37" t="str">
        <f t="shared" si="831"/>
        <v>Heavy Discount</v>
      </c>
      <c r="H10637" s="37" t="str">
        <f t="shared" si="832"/>
        <v>Medium</v>
      </c>
      <c r="I10637">
        <v>4</v>
      </c>
      <c r="J10637" t="str" cm="1">
        <f t="array" ref="J10637">_xlfn.IFS(I10637&lt;=3,"small",I10637&lt;=6,"Medium",I10637&lt;=9,"Large")</f>
        <v>Medium</v>
      </c>
      <c r="K10637" s="36">
        <v>45516</v>
      </c>
      <c r="L10637" s="36">
        <v>45518</v>
      </c>
      <c r="M10637" t="s">
        <v>612</v>
      </c>
      <c r="N10637" t="s">
        <v>604</v>
      </c>
      <c r="O10637" s="37" t="str">
        <f t="shared" si="833"/>
        <v>Digital Payment</v>
      </c>
      <c r="P10637">
        <v>11.37</v>
      </c>
      <c r="Q10637" s="37" t="str">
        <f>IF(P10637&gt;500,"High","low")</f>
        <v>low</v>
      </c>
      <c r="R10637" s="37" t="str">
        <f t="shared" si="834"/>
        <v>AVERAGE</v>
      </c>
      <c r="S10637" t="s">
        <v>600</v>
      </c>
    </row>
    <row r="10638" spans="1:19" x14ac:dyDescent="0.2">
      <c r="A10638" t="s">
        <v>11249</v>
      </c>
      <c r="B10638" t="s">
        <v>67</v>
      </c>
      <c r="C10638" t="s">
        <v>617</v>
      </c>
      <c r="D10638">
        <v>4562.57</v>
      </c>
      <c r="E10638" s="37" t="str">
        <f t="shared" si="830"/>
        <v>Excellent Order</v>
      </c>
      <c r="F10638">
        <v>0.38</v>
      </c>
      <c r="G10638" s="37" t="str">
        <f t="shared" si="831"/>
        <v>Heavy Discount</v>
      </c>
      <c r="H10638" s="37" t="str">
        <f t="shared" si="832"/>
        <v>Medium</v>
      </c>
      <c r="I10638">
        <v>2</v>
      </c>
      <c r="J10638" t="str" cm="1">
        <f t="array" ref="J10638">_xlfn.IFS(I10638&lt;=3,"small",I10638&lt;=6,"Medium",I10638&lt;=9,"Large")</f>
        <v>small</v>
      </c>
      <c r="K10638" s="36">
        <v>45227</v>
      </c>
      <c r="L10638" s="36">
        <v>45228</v>
      </c>
      <c r="M10638" t="s">
        <v>598</v>
      </c>
      <c r="N10638" t="s">
        <v>599</v>
      </c>
      <c r="O10638" s="37" t="str">
        <f t="shared" si="833"/>
        <v>Digital Payment</v>
      </c>
      <c r="P10638">
        <v>967.49</v>
      </c>
      <c r="Q10638" s="37" t="str">
        <f>IF(P10638&gt;500,"High","low")</f>
        <v>High</v>
      </c>
      <c r="R10638" s="37" t="str">
        <f t="shared" si="834"/>
        <v>Good</v>
      </c>
      <c r="S10638" t="s">
        <v>620</v>
      </c>
    </row>
    <row r="10639" spans="1:19" x14ac:dyDescent="0.2">
      <c r="A10639" t="s">
        <v>11250</v>
      </c>
      <c r="B10639" t="s">
        <v>75</v>
      </c>
      <c r="C10639" t="s">
        <v>597</v>
      </c>
      <c r="D10639">
        <v>3415.2</v>
      </c>
      <c r="E10639" s="37" t="str">
        <f t="shared" si="830"/>
        <v xml:space="preserve"> </v>
      </c>
      <c r="F10639">
        <v>0.2</v>
      </c>
      <c r="G10639" s="37" t="str">
        <f t="shared" si="831"/>
        <v>Normal Discount</v>
      </c>
      <c r="H10639" s="37" t="str">
        <f t="shared" si="832"/>
        <v>Medium</v>
      </c>
      <c r="I10639">
        <v>8</v>
      </c>
      <c r="J10639" t="str" cm="1">
        <f t="array" ref="J10639">_xlfn.IFS(I10639&lt;=3,"small",I10639&lt;=6,"Medium",I10639&lt;=9,"Large")</f>
        <v>Large</v>
      </c>
      <c r="K10639" s="36">
        <v>45126</v>
      </c>
      <c r="L10639" s="36">
        <v>45132</v>
      </c>
      <c r="M10639" t="s">
        <v>598</v>
      </c>
      <c r="N10639" t="s">
        <v>599</v>
      </c>
      <c r="O10639" s="37" t="str">
        <f t="shared" si="833"/>
        <v>Digital Payment</v>
      </c>
      <c r="P10639">
        <v>701.16</v>
      </c>
      <c r="Q10639" s="37" t="str">
        <f>IF(P10639&gt;500,"High","low")</f>
        <v>High</v>
      </c>
      <c r="R10639" s="37" t="str">
        <f t="shared" si="834"/>
        <v>Good</v>
      </c>
      <c r="S10639" t="s">
        <v>609</v>
      </c>
    </row>
    <row r="10640" spans="1:19" x14ac:dyDescent="0.2">
      <c r="A10640" t="s">
        <v>11251</v>
      </c>
      <c r="B10640" t="s">
        <v>83</v>
      </c>
      <c r="C10640" t="s">
        <v>617</v>
      </c>
      <c r="D10640">
        <v>1730.79</v>
      </c>
      <c r="E10640" s="37" t="str">
        <f t="shared" si="830"/>
        <v xml:space="preserve"> </v>
      </c>
      <c r="F10640">
        <v>0.2</v>
      </c>
      <c r="G10640" s="37" t="str">
        <f t="shared" si="831"/>
        <v>Normal Discount</v>
      </c>
      <c r="H10640" s="37" t="str">
        <f t="shared" si="832"/>
        <v>Medium</v>
      </c>
      <c r="I10640">
        <v>8</v>
      </c>
      <c r="J10640" t="str" cm="1">
        <f t="array" ref="J10640">_xlfn.IFS(I10640&lt;=3,"small",I10640&lt;=6,"Medium",I10640&lt;=9,"Large")</f>
        <v>Large</v>
      </c>
      <c r="K10640" s="36">
        <v>45371</v>
      </c>
      <c r="L10640" s="36">
        <v>45374</v>
      </c>
      <c r="M10640" t="s">
        <v>603</v>
      </c>
      <c r="N10640" t="s">
        <v>599</v>
      </c>
      <c r="O10640" s="37" t="str">
        <f t="shared" si="833"/>
        <v>Digital Payment</v>
      </c>
      <c r="P10640">
        <v>494.65</v>
      </c>
      <c r="Q10640" s="37" t="str">
        <f>IF(P10640&gt;500,"High","low")</f>
        <v>low</v>
      </c>
      <c r="R10640" s="37" t="str">
        <f t="shared" si="834"/>
        <v>AVERAGE</v>
      </c>
      <c r="S10640" t="s">
        <v>605</v>
      </c>
    </row>
    <row r="10641" spans="1:19" x14ac:dyDescent="0.2">
      <c r="A10641" t="s">
        <v>11252</v>
      </c>
      <c r="B10641" t="s">
        <v>90</v>
      </c>
      <c r="C10641" t="s">
        <v>602</v>
      </c>
      <c r="D10641">
        <v>4417.87</v>
      </c>
      <c r="E10641" s="37" t="str">
        <f t="shared" si="830"/>
        <v>Excellent Order</v>
      </c>
      <c r="F10641">
        <v>0.13</v>
      </c>
      <c r="G10641" s="37" t="str">
        <f t="shared" si="831"/>
        <v>Normal Discount</v>
      </c>
      <c r="H10641" s="37" t="str">
        <f t="shared" si="832"/>
        <v>Low</v>
      </c>
      <c r="I10641">
        <v>8</v>
      </c>
      <c r="J10641" t="str" cm="1">
        <f t="array" ref="J10641">_xlfn.IFS(I10641&lt;=3,"small",I10641&lt;=6,"Medium",I10641&lt;=9,"Large")</f>
        <v>Large</v>
      </c>
      <c r="K10641" s="36">
        <v>45193</v>
      </c>
      <c r="L10641" s="36">
        <v>45194</v>
      </c>
      <c r="M10641" t="s">
        <v>598</v>
      </c>
      <c r="N10641" t="s">
        <v>599</v>
      </c>
      <c r="O10641" s="37" t="str">
        <f t="shared" si="833"/>
        <v>Digital Payment</v>
      </c>
      <c r="P10641">
        <v>1131.8399999999999</v>
      </c>
      <c r="Q10641" s="37" t="str">
        <f>IF(P10641&gt;500,"High","low")</f>
        <v>High</v>
      </c>
      <c r="R10641" s="37" t="str">
        <f t="shared" si="834"/>
        <v>Excellent</v>
      </c>
      <c r="S10641" t="s">
        <v>605</v>
      </c>
    </row>
    <row r="10642" spans="1:19" x14ac:dyDescent="0.2">
      <c r="A10642" t="s">
        <v>11253</v>
      </c>
      <c r="B10642" t="s">
        <v>83</v>
      </c>
      <c r="C10642" t="s">
        <v>602</v>
      </c>
      <c r="D10642">
        <v>996.36</v>
      </c>
      <c r="E10642" s="37" t="str">
        <f t="shared" si="830"/>
        <v xml:space="preserve"> </v>
      </c>
      <c r="F10642">
        <v>0.18</v>
      </c>
      <c r="G10642" s="37" t="str">
        <f t="shared" si="831"/>
        <v>Normal Discount</v>
      </c>
      <c r="H10642" s="37" t="str">
        <f t="shared" si="832"/>
        <v>Low</v>
      </c>
      <c r="I10642">
        <v>1</v>
      </c>
      <c r="J10642" t="str" cm="1">
        <f t="array" ref="J10642">_xlfn.IFS(I10642&lt;=3,"small",I10642&lt;=6,"Medium",I10642&lt;=9,"Large")</f>
        <v>small</v>
      </c>
      <c r="K10642" s="36">
        <v>45004</v>
      </c>
      <c r="L10642" s="36">
        <v>45009</v>
      </c>
      <c r="M10642" t="s">
        <v>603</v>
      </c>
      <c r="N10642" t="s">
        <v>599</v>
      </c>
      <c r="O10642" s="37" t="str">
        <f t="shared" si="833"/>
        <v>Digital Payment</v>
      </c>
      <c r="P10642">
        <v>185.35</v>
      </c>
      <c r="Q10642" s="37" t="str">
        <f>IF(P10642&gt;500,"High","low")</f>
        <v>low</v>
      </c>
      <c r="R10642" s="37" t="str">
        <f t="shared" si="834"/>
        <v>AVERAGE</v>
      </c>
      <c r="S10642" t="s">
        <v>600</v>
      </c>
    </row>
    <row r="10643" spans="1:19" x14ac:dyDescent="0.2">
      <c r="A10643" t="s">
        <v>11254</v>
      </c>
      <c r="B10643" t="s">
        <v>75</v>
      </c>
      <c r="C10643" t="s">
        <v>602</v>
      </c>
      <c r="D10643">
        <v>485.8</v>
      </c>
      <c r="E10643" s="37" t="str">
        <f t="shared" si="830"/>
        <v xml:space="preserve"> </v>
      </c>
      <c r="F10643">
        <v>0.49</v>
      </c>
      <c r="G10643" s="37" t="str">
        <f t="shared" si="831"/>
        <v>Heavy Discount</v>
      </c>
      <c r="H10643" s="37" t="str">
        <f t="shared" si="832"/>
        <v>High</v>
      </c>
      <c r="I10643">
        <v>9</v>
      </c>
      <c r="J10643" t="str" cm="1">
        <f t="array" ref="J10643">_xlfn.IFS(I10643&lt;=3,"small",I10643&lt;=6,"Medium",I10643&lt;=9,"Large")</f>
        <v>Large</v>
      </c>
      <c r="K10643" s="36">
        <v>45617</v>
      </c>
      <c r="L10643" s="36">
        <v>45619</v>
      </c>
      <c r="M10643" t="s">
        <v>603</v>
      </c>
      <c r="N10643" t="s">
        <v>599</v>
      </c>
      <c r="O10643" s="37" t="str">
        <f t="shared" si="833"/>
        <v>Digital Payment</v>
      </c>
      <c r="P10643">
        <v>38.049999999999997</v>
      </c>
      <c r="Q10643" s="37" t="str">
        <f>IF(P10643&gt;500,"High","low")</f>
        <v>low</v>
      </c>
      <c r="R10643" s="37" t="str">
        <f t="shared" si="834"/>
        <v>AVERAGE</v>
      </c>
      <c r="S10643" t="s">
        <v>600</v>
      </c>
    </row>
    <row r="10644" spans="1:19" x14ac:dyDescent="0.2">
      <c r="A10644" t="s">
        <v>11255</v>
      </c>
      <c r="B10644" t="s">
        <v>75</v>
      </c>
      <c r="C10644" t="s">
        <v>614</v>
      </c>
      <c r="D10644">
        <v>4718.8500000000004</v>
      </c>
      <c r="E10644" s="37" t="str">
        <f t="shared" si="830"/>
        <v xml:space="preserve"> </v>
      </c>
      <c r="F10644">
        <v>0.02</v>
      </c>
      <c r="G10644" s="37" t="str">
        <f t="shared" si="831"/>
        <v>Normal Discount</v>
      </c>
      <c r="H10644" s="37" t="str">
        <f t="shared" si="832"/>
        <v>Low</v>
      </c>
      <c r="I10644">
        <v>4</v>
      </c>
      <c r="J10644" t="str" cm="1">
        <f t="array" ref="J10644">_xlfn.IFS(I10644&lt;=3,"small",I10644&lt;=6,"Medium",I10644&lt;=9,"Large")</f>
        <v>Medium</v>
      </c>
      <c r="K10644" s="36">
        <v>45549</v>
      </c>
      <c r="L10644" s="36">
        <v>45551</v>
      </c>
      <c r="M10644" t="s">
        <v>598</v>
      </c>
      <c r="N10644" t="s">
        <v>599</v>
      </c>
      <c r="O10644" s="37" t="str">
        <f t="shared" si="833"/>
        <v>Digital Payment</v>
      </c>
      <c r="P10644">
        <v>301.39</v>
      </c>
      <c r="Q10644" s="37" t="str">
        <f>IF(P10644&gt;500,"High","low")</f>
        <v>low</v>
      </c>
      <c r="R10644" s="37" t="str">
        <f t="shared" si="834"/>
        <v>AVERAGE</v>
      </c>
      <c r="S10644" t="s">
        <v>609</v>
      </c>
    </row>
    <row r="10645" spans="1:19" x14ac:dyDescent="0.2">
      <c r="A10645" t="s">
        <v>11256</v>
      </c>
      <c r="B10645" t="s">
        <v>90</v>
      </c>
      <c r="C10645" t="s">
        <v>597</v>
      </c>
      <c r="D10645">
        <v>1614.18</v>
      </c>
      <c r="E10645" s="37" t="str">
        <f t="shared" si="830"/>
        <v xml:space="preserve"> </v>
      </c>
      <c r="F10645">
        <v>0.16</v>
      </c>
      <c r="G10645" s="37" t="str">
        <f t="shared" si="831"/>
        <v>Normal Discount</v>
      </c>
      <c r="H10645" s="37" t="str">
        <f t="shared" si="832"/>
        <v>Low</v>
      </c>
      <c r="I10645">
        <v>4</v>
      </c>
      <c r="J10645" t="str" cm="1">
        <f t="array" ref="J10645">_xlfn.IFS(I10645&lt;=3,"small",I10645&lt;=6,"Medium",I10645&lt;=9,"Large")</f>
        <v>Medium</v>
      </c>
      <c r="K10645" s="36">
        <v>45652</v>
      </c>
      <c r="L10645" s="36">
        <v>45657</v>
      </c>
      <c r="M10645" t="s">
        <v>598</v>
      </c>
      <c r="N10645" t="s">
        <v>604</v>
      </c>
      <c r="O10645" s="37" t="str">
        <f t="shared" si="833"/>
        <v>Digital Payment</v>
      </c>
      <c r="P10645">
        <v>444.99</v>
      </c>
      <c r="Q10645" s="37" t="str">
        <f>IF(P10645&gt;500,"High","low")</f>
        <v>low</v>
      </c>
      <c r="R10645" s="37" t="str">
        <f t="shared" si="834"/>
        <v>AVERAGE</v>
      </c>
      <c r="S10645" t="s">
        <v>609</v>
      </c>
    </row>
    <row r="10646" spans="1:19" x14ac:dyDescent="0.2">
      <c r="A10646" t="s">
        <v>11257</v>
      </c>
      <c r="B10646" t="s">
        <v>67</v>
      </c>
      <c r="C10646" t="s">
        <v>617</v>
      </c>
      <c r="D10646">
        <v>4686.2700000000004</v>
      </c>
      <c r="E10646" s="37" t="str">
        <f t="shared" si="830"/>
        <v xml:space="preserve"> </v>
      </c>
      <c r="F10646">
        <v>0.39</v>
      </c>
      <c r="G10646" s="37" t="str">
        <f t="shared" si="831"/>
        <v>Heavy Discount</v>
      </c>
      <c r="H10646" s="37" t="str">
        <f t="shared" si="832"/>
        <v>Medium</v>
      </c>
      <c r="I10646">
        <v>8</v>
      </c>
      <c r="J10646" t="str" cm="1">
        <f t="array" ref="J10646">_xlfn.IFS(I10646&lt;=3,"small",I10646&lt;=6,"Medium",I10646&lt;=9,"Large")</f>
        <v>Large</v>
      </c>
      <c r="K10646" s="36">
        <v>45128</v>
      </c>
      <c r="L10646" s="36">
        <v>45131</v>
      </c>
      <c r="M10646" t="s">
        <v>598</v>
      </c>
      <c r="N10646" t="s">
        <v>608</v>
      </c>
      <c r="O10646" s="37" t="str">
        <f t="shared" si="833"/>
        <v>Cash Payment</v>
      </c>
      <c r="P10646">
        <v>790.01</v>
      </c>
      <c r="Q10646" s="37" t="str">
        <f>IF(P10646&gt;500,"High","low")</f>
        <v>High</v>
      </c>
      <c r="R10646" s="37" t="str">
        <f t="shared" si="834"/>
        <v>Good</v>
      </c>
      <c r="S10646" t="s">
        <v>609</v>
      </c>
    </row>
    <row r="10647" spans="1:19" x14ac:dyDescent="0.2">
      <c r="A10647" t="s">
        <v>11258</v>
      </c>
      <c r="B10647" t="s">
        <v>75</v>
      </c>
      <c r="C10647" t="s">
        <v>602</v>
      </c>
      <c r="D10647">
        <v>3224.3</v>
      </c>
      <c r="E10647" s="37" t="str">
        <f t="shared" si="830"/>
        <v xml:space="preserve"> </v>
      </c>
      <c r="F10647">
        <v>0.19</v>
      </c>
      <c r="G10647" s="37" t="str">
        <f t="shared" si="831"/>
        <v>Normal Discount</v>
      </c>
      <c r="H10647" s="37" t="str">
        <f t="shared" si="832"/>
        <v>Low</v>
      </c>
      <c r="I10647">
        <v>8</v>
      </c>
      <c r="J10647" t="str" cm="1">
        <f t="array" ref="J10647">_xlfn.IFS(I10647&lt;=3,"small",I10647&lt;=6,"Medium",I10647&lt;=9,"Large")</f>
        <v>Large</v>
      </c>
      <c r="K10647" s="36">
        <v>45154</v>
      </c>
      <c r="L10647" s="36">
        <v>45159</v>
      </c>
      <c r="M10647" t="s">
        <v>598</v>
      </c>
      <c r="N10647" t="s">
        <v>608</v>
      </c>
      <c r="O10647" s="37" t="str">
        <f t="shared" si="833"/>
        <v>Cash Payment</v>
      </c>
      <c r="P10647">
        <v>678.6</v>
      </c>
      <c r="Q10647" s="37" t="str">
        <f>IF(P10647&gt;500,"High","low")</f>
        <v>High</v>
      </c>
      <c r="R10647" s="37" t="str">
        <f t="shared" si="834"/>
        <v>Good</v>
      </c>
      <c r="S10647" t="s">
        <v>620</v>
      </c>
    </row>
    <row r="10648" spans="1:19" x14ac:dyDescent="0.2">
      <c r="A10648" t="s">
        <v>11259</v>
      </c>
      <c r="B10648" t="s">
        <v>75</v>
      </c>
      <c r="C10648" t="s">
        <v>602</v>
      </c>
      <c r="D10648">
        <v>4902.21</v>
      </c>
      <c r="E10648" s="37" t="str">
        <f t="shared" si="830"/>
        <v>Excellent Order</v>
      </c>
      <c r="F10648">
        <v>0.47</v>
      </c>
      <c r="G10648" s="37" t="str">
        <f t="shared" si="831"/>
        <v>Heavy Discount</v>
      </c>
      <c r="H10648" s="37" t="str">
        <f t="shared" si="832"/>
        <v>High</v>
      </c>
      <c r="I10648">
        <v>6</v>
      </c>
      <c r="J10648" t="str" cm="1">
        <f t="array" ref="J10648">_xlfn.IFS(I10648&lt;=3,"small",I10648&lt;=6,"Medium",I10648&lt;=9,"Large")</f>
        <v>Medium</v>
      </c>
      <c r="K10648" s="36">
        <v>45349</v>
      </c>
      <c r="L10648" s="36">
        <v>45355</v>
      </c>
      <c r="M10648" t="s">
        <v>603</v>
      </c>
      <c r="N10648" t="s">
        <v>608</v>
      </c>
      <c r="O10648" s="37" t="str">
        <f t="shared" si="833"/>
        <v>Cash Payment</v>
      </c>
      <c r="P10648">
        <v>1122.8699999999999</v>
      </c>
      <c r="Q10648" s="37" t="str">
        <f>IF(P10648&gt;500,"High","low")</f>
        <v>High</v>
      </c>
      <c r="R10648" s="37" t="str">
        <f t="shared" si="834"/>
        <v>Excellent</v>
      </c>
      <c r="S10648" t="s">
        <v>615</v>
      </c>
    </row>
    <row r="10649" spans="1:19" x14ac:dyDescent="0.2">
      <c r="A10649" t="s">
        <v>11260</v>
      </c>
      <c r="B10649" t="s">
        <v>75</v>
      </c>
      <c r="C10649" t="s">
        <v>617</v>
      </c>
      <c r="D10649">
        <v>3791.8</v>
      </c>
      <c r="E10649" s="37" t="str">
        <f t="shared" si="830"/>
        <v xml:space="preserve"> </v>
      </c>
      <c r="F10649">
        <v>0.17</v>
      </c>
      <c r="G10649" s="37" t="str">
        <f t="shared" si="831"/>
        <v>Normal Discount</v>
      </c>
      <c r="H10649" s="37" t="str">
        <f t="shared" si="832"/>
        <v>Low</v>
      </c>
      <c r="I10649">
        <v>4</v>
      </c>
      <c r="J10649" t="str" cm="1">
        <f t="array" ref="J10649">_xlfn.IFS(I10649&lt;=3,"small",I10649&lt;=6,"Medium",I10649&lt;=9,"Large")</f>
        <v>Medium</v>
      </c>
      <c r="K10649" s="36">
        <v>44950</v>
      </c>
      <c r="L10649" s="36">
        <v>44957</v>
      </c>
      <c r="M10649" t="s">
        <v>603</v>
      </c>
      <c r="N10649" t="s">
        <v>599</v>
      </c>
      <c r="O10649" s="37" t="str">
        <f t="shared" si="833"/>
        <v>Digital Payment</v>
      </c>
      <c r="P10649">
        <v>716.04</v>
      </c>
      <c r="Q10649" s="37" t="str">
        <f>IF(P10649&gt;500,"High","low")</f>
        <v>High</v>
      </c>
      <c r="R10649" s="37" t="str">
        <f t="shared" si="834"/>
        <v>Good</v>
      </c>
      <c r="S10649" t="s">
        <v>628</v>
      </c>
    </row>
    <row r="10650" spans="1:19" x14ac:dyDescent="0.2">
      <c r="A10650" t="s">
        <v>11261</v>
      </c>
      <c r="B10650" t="s">
        <v>90</v>
      </c>
      <c r="C10650" t="s">
        <v>597</v>
      </c>
      <c r="D10650">
        <v>616.87</v>
      </c>
      <c r="E10650" s="37" t="str">
        <f t="shared" si="830"/>
        <v xml:space="preserve"> </v>
      </c>
      <c r="F10650">
        <v>0.42</v>
      </c>
      <c r="G10650" s="37" t="str">
        <f t="shared" si="831"/>
        <v>Heavy Discount</v>
      </c>
      <c r="H10650" s="37" t="str">
        <f t="shared" si="832"/>
        <v>High</v>
      </c>
      <c r="I10650">
        <v>3</v>
      </c>
      <c r="J10650" t="str" cm="1">
        <f t="array" ref="J10650">_xlfn.IFS(I10650&lt;=3,"small",I10650&lt;=6,"Medium",I10650&lt;=9,"Large")</f>
        <v>small</v>
      </c>
      <c r="K10650" s="36">
        <v>45572</v>
      </c>
      <c r="L10650" s="36">
        <v>45577</v>
      </c>
      <c r="M10650" t="s">
        <v>603</v>
      </c>
      <c r="N10650" t="s">
        <v>608</v>
      </c>
      <c r="O10650" s="37" t="str">
        <f t="shared" si="833"/>
        <v>Cash Payment</v>
      </c>
      <c r="P10650">
        <v>163.71</v>
      </c>
      <c r="Q10650" s="37" t="str">
        <f>IF(P10650&gt;500,"High","low")</f>
        <v>low</v>
      </c>
      <c r="R10650" s="37" t="str">
        <f t="shared" si="834"/>
        <v>AVERAGE</v>
      </c>
      <c r="S10650" t="s">
        <v>628</v>
      </c>
    </row>
    <row r="10651" spans="1:19" x14ac:dyDescent="0.2">
      <c r="A10651" t="s">
        <v>11262</v>
      </c>
      <c r="B10651" t="s">
        <v>83</v>
      </c>
      <c r="C10651" t="s">
        <v>597</v>
      </c>
      <c r="D10651">
        <v>4275.92</v>
      </c>
      <c r="E10651" s="37" t="str">
        <f t="shared" si="830"/>
        <v xml:space="preserve"> </v>
      </c>
      <c r="F10651">
        <v>0.41</v>
      </c>
      <c r="G10651" s="37" t="str">
        <f t="shared" si="831"/>
        <v>Heavy Discount</v>
      </c>
      <c r="H10651" s="37" t="str">
        <f t="shared" si="832"/>
        <v>High</v>
      </c>
      <c r="I10651">
        <v>5</v>
      </c>
      <c r="J10651" t="str" cm="1">
        <f t="array" ref="J10651">_xlfn.IFS(I10651&lt;=3,"small",I10651&lt;=6,"Medium",I10651&lt;=9,"Large")</f>
        <v>Medium</v>
      </c>
      <c r="K10651" s="36">
        <v>45471</v>
      </c>
      <c r="L10651" s="36">
        <v>45475</v>
      </c>
      <c r="M10651" t="s">
        <v>612</v>
      </c>
      <c r="N10651" t="s">
        <v>599</v>
      </c>
      <c r="O10651" s="37" t="str">
        <f t="shared" si="833"/>
        <v>Digital Payment</v>
      </c>
      <c r="P10651">
        <v>277.91000000000003</v>
      </c>
      <c r="Q10651" s="37" t="str">
        <f>IF(P10651&gt;500,"High","low")</f>
        <v>low</v>
      </c>
      <c r="R10651" s="37" t="str">
        <f t="shared" si="834"/>
        <v>AVERAGE</v>
      </c>
      <c r="S10651" t="s">
        <v>615</v>
      </c>
    </row>
    <row r="10652" spans="1:19" x14ac:dyDescent="0.2">
      <c r="A10652" t="s">
        <v>11263</v>
      </c>
      <c r="B10652" t="s">
        <v>75</v>
      </c>
      <c r="C10652" t="s">
        <v>617</v>
      </c>
      <c r="D10652">
        <v>824.6</v>
      </c>
      <c r="E10652" s="37" t="str">
        <f t="shared" si="830"/>
        <v xml:space="preserve"> </v>
      </c>
      <c r="F10652">
        <v>0</v>
      </c>
      <c r="G10652" s="37" t="str">
        <f t="shared" si="831"/>
        <v>Normal Discount</v>
      </c>
      <c r="H10652" s="37" t="str">
        <f t="shared" si="832"/>
        <v>Low</v>
      </c>
      <c r="I10652">
        <v>8</v>
      </c>
      <c r="J10652" t="str" cm="1">
        <f t="array" ref="J10652">_xlfn.IFS(I10652&lt;=3,"small",I10652&lt;=6,"Medium",I10652&lt;=9,"Large")</f>
        <v>Large</v>
      </c>
      <c r="K10652" s="36">
        <v>45332</v>
      </c>
      <c r="L10652" s="36">
        <v>45339</v>
      </c>
      <c r="M10652" t="s">
        <v>603</v>
      </c>
      <c r="N10652" t="s">
        <v>604</v>
      </c>
      <c r="O10652" s="37" t="str">
        <f t="shared" si="833"/>
        <v>Digital Payment</v>
      </c>
      <c r="P10652">
        <v>198.81</v>
      </c>
      <c r="Q10652" s="37" t="str">
        <f>IF(P10652&gt;500,"High","low")</f>
        <v>low</v>
      </c>
      <c r="R10652" s="37" t="str">
        <f t="shared" si="834"/>
        <v>AVERAGE</v>
      </c>
      <c r="S10652" t="s">
        <v>615</v>
      </c>
    </row>
    <row r="10653" spans="1:19" x14ac:dyDescent="0.2">
      <c r="A10653" t="s">
        <v>11264</v>
      </c>
      <c r="B10653" t="s">
        <v>90</v>
      </c>
      <c r="C10653" t="s">
        <v>607</v>
      </c>
      <c r="D10653">
        <v>3491.77</v>
      </c>
      <c r="E10653" s="37" t="str">
        <f t="shared" si="830"/>
        <v xml:space="preserve"> </v>
      </c>
      <c r="F10653">
        <v>0.2</v>
      </c>
      <c r="G10653" s="37" t="str">
        <f t="shared" si="831"/>
        <v>Normal Discount</v>
      </c>
      <c r="H10653" s="37" t="str">
        <f t="shared" si="832"/>
        <v>Medium</v>
      </c>
      <c r="I10653">
        <v>7</v>
      </c>
      <c r="J10653" t="str" cm="1">
        <f t="array" ref="J10653">_xlfn.IFS(I10653&lt;=3,"small",I10653&lt;=6,"Medium",I10653&lt;=9,"Large")</f>
        <v>Large</v>
      </c>
      <c r="K10653" s="36">
        <v>45330</v>
      </c>
      <c r="L10653" s="36">
        <v>45336</v>
      </c>
      <c r="M10653" t="s">
        <v>603</v>
      </c>
      <c r="N10653" t="s">
        <v>604</v>
      </c>
      <c r="O10653" s="37" t="str">
        <f t="shared" si="833"/>
        <v>Digital Payment</v>
      </c>
      <c r="P10653">
        <v>840.06</v>
      </c>
      <c r="Q10653" s="37" t="str">
        <f>IF(P10653&gt;500,"High","low")</f>
        <v>High</v>
      </c>
      <c r="R10653" s="37" t="str">
        <f t="shared" si="834"/>
        <v>Good</v>
      </c>
      <c r="S10653" t="s">
        <v>609</v>
      </c>
    </row>
    <row r="10654" spans="1:19" x14ac:dyDescent="0.2">
      <c r="A10654" t="s">
        <v>11265</v>
      </c>
      <c r="B10654" t="s">
        <v>75</v>
      </c>
      <c r="C10654" t="s">
        <v>597</v>
      </c>
      <c r="D10654">
        <v>2552</v>
      </c>
      <c r="E10654" s="37" t="str">
        <f t="shared" si="830"/>
        <v xml:space="preserve"> </v>
      </c>
      <c r="F10654">
        <v>0.14000000000000001</v>
      </c>
      <c r="G10654" s="37" t="str">
        <f t="shared" si="831"/>
        <v>Normal Discount</v>
      </c>
      <c r="H10654" s="37" t="str">
        <f t="shared" si="832"/>
        <v>Low</v>
      </c>
      <c r="I10654">
        <v>8</v>
      </c>
      <c r="J10654" t="str" cm="1">
        <f t="array" ref="J10654">_xlfn.IFS(I10654&lt;=3,"small",I10654&lt;=6,"Medium",I10654&lt;=9,"Large")</f>
        <v>Large</v>
      </c>
      <c r="K10654" s="36">
        <v>44937</v>
      </c>
      <c r="L10654" s="36">
        <v>44941</v>
      </c>
      <c r="M10654" t="s">
        <v>612</v>
      </c>
      <c r="N10654" t="s">
        <v>599</v>
      </c>
      <c r="O10654" s="37" t="str">
        <f t="shared" si="833"/>
        <v>Digital Payment</v>
      </c>
      <c r="P10654">
        <v>275.62</v>
      </c>
      <c r="Q10654" s="37" t="str">
        <f>IF(P10654&gt;500,"High","low")</f>
        <v>low</v>
      </c>
      <c r="R10654" s="37" t="str">
        <f t="shared" si="834"/>
        <v>AVERAGE</v>
      </c>
      <c r="S10654" t="s">
        <v>609</v>
      </c>
    </row>
    <row r="10655" spans="1:19" x14ac:dyDescent="0.2">
      <c r="A10655" t="s">
        <v>11266</v>
      </c>
      <c r="B10655" t="s">
        <v>67</v>
      </c>
      <c r="C10655" t="s">
        <v>617</v>
      </c>
      <c r="D10655">
        <v>3567.85</v>
      </c>
      <c r="E10655" s="37" t="str">
        <f t="shared" si="830"/>
        <v xml:space="preserve"> </v>
      </c>
      <c r="F10655">
        <v>0.24</v>
      </c>
      <c r="G10655" s="37" t="str">
        <f t="shared" si="831"/>
        <v>Normal Discount</v>
      </c>
      <c r="H10655" s="37" t="str">
        <f t="shared" si="832"/>
        <v>Medium</v>
      </c>
      <c r="I10655">
        <v>1</v>
      </c>
      <c r="J10655" t="str" cm="1">
        <f t="array" ref="J10655">_xlfn.IFS(I10655&lt;=3,"small",I10655&lt;=6,"Medium",I10655&lt;=9,"Large")</f>
        <v>small</v>
      </c>
      <c r="K10655" s="36">
        <v>45041</v>
      </c>
      <c r="L10655" s="36">
        <v>45045</v>
      </c>
      <c r="M10655" t="s">
        <v>598</v>
      </c>
      <c r="N10655" t="s">
        <v>608</v>
      </c>
      <c r="O10655" s="37" t="str">
        <f t="shared" si="833"/>
        <v>Cash Payment</v>
      </c>
      <c r="P10655">
        <v>285.91000000000003</v>
      </c>
      <c r="Q10655" s="37" t="str">
        <f>IF(P10655&gt;500,"High","low")</f>
        <v>low</v>
      </c>
      <c r="R10655" s="37" t="str">
        <f t="shared" si="834"/>
        <v>AVERAGE</v>
      </c>
      <c r="S10655" t="s">
        <v>605</v>
      </c>
    </row>
    <row r="10656" spans="1:19" x14ac:dyDescent="0.2">
      <c r="A10656" t="s">
        <v>11267</v>
      </c>
      <c r="B10656" t="s">
        <v>90</v>
      </c>
      <c r="C10656" t="s">
        <v>617</v>
      </c>
      <c r="D10656">
        <v>3848.45</v>
      </c>
      <c r="E10656" s="37" t="str">
        <f t="shared" si="830"/>
        <v xml:space="preserve"> </v>
      </c>
      <c r="F10656">
        <v>0.23</v>
      </c>
      <c r="G10656" s="37" t="str">
        <f t="shared" si="831"/>
        <v>Normal Discount</v>
      </c>
      <c r="H10656" s="37" t="str">
        <f t="shared" si="832"/>
        <v>Medium</v>
      </c>
      <c r="I10656">
        <v>4</v>
      </c>
      <c r="J10656" t="str" cm="1">
        <f t="array" ref="J10656">_xlfn.IFS(I10656&lt;=3,"small",I10656&lt;=6,"Medium",I10656&lt;=9,"Large")</f>
        <v>Medium</v>
      </c>
      <c r="K10656" s="36">
        <v>44991</v>
      </c>
      <c r="L10656" s="36">
        <v>44993</v>
      </c>
      <c r="M10656" t="s">
        <v>598</v>
      </c>
      <c r="N10656" t="s">
        <v>599</v>
      </c>
      <c r="O10656" s="37" t="str">
        <f t="shared" si="833"/>
        <v>Digital Payment</v>
      </c>
      <c r="P10656">
        <v>806.62</v>
      </c>
      <c r="Q10656" s="37" t="str">
        <f>IF(P10656&gt;500,"High","low")</f>
        <v>High</v>
      </c>
      <c r="R10656" s="37" t="str">
        <f t="shared" si="834"/>
        <v>Good</v>
      </c>
      <c r="S10656" t="s">
        <v>609</v>
      </c>
    </row>
    <row r="10657" spans="1:19" x14ac:dyDescent="0.2">
      <c r="A10657" t="s">
        <v>11268</v>
      </c>
      <c r="B10657" t="s">
        <v>75</v>
      </c>
      <c r="C10657" t="s">
        <v>602</v>
      </c>
      <c r="D10657">
        <v>4037.96</v>
      </c>
      <c r="E10657" s="37" t="str">
        <f t="shared" si="830"/>
        <v xml:space="preserve"> </v>
      </c>
      <c r="F10657">
        <v>0.45</v>
      </c>
      <c r="G10657" s="37" t="str">
        <f t="shared" si="831"/>
        <v>Heavy Discount</v>
      </c>
      <c r="H10657" s="37" t="str">
        <f t="shared" si="832"/>
        <v>High</v>
      </c>
      <c r="I10657">
        <v>9</v>
      </c>
      <c r="J10657" t="str" cm="1">
        <f t="array" ref="J10657">_xlfn.IFS(I10657&lt;=3,"small",I10657&lt;=6,"Medium",I10657&lt;=9,"Large")</f>
        <v>Large</v>
      </c>
      <c r="K10657" s="36">
        <v>45288</v>
      </c>
      <c r="L10657" s="36">
        <v>45290</v>
      </c>
      <c r="M10657" t="s">
        <v>603</v>
      </c>
      <c r="N10657" t="s">
        <v>599</v>
      </c>
      <c r="O10657" s="37" t="str">
        <f t="shared" si="833"/>
        <v>Digital Payment</v>
      </c>
      <c r="P10657">
        <v>537.54999999999995</v>
      </c>
      <c r="Q10657" s="37" t="str">
        <f>IF(P10657&gt;500,"High","low")</f>
        <v>High</v>
      </c>
      <c r="R10657" s="37" t="str">
        <f t="shared" si="834"/>
        <v>Good</v>
      </c>
      <c r="S10657" t="s">
        <v>620</v>
      </c>
    </row>
    <row r="10658" spans="1:19" x14ac:dyDescent="0.2">
      <c r="A10658" t="s">
        <v>11269</v>
      </c>
      <c r="B10658" t="s">
        <v>90</v>
      </c>
      <c r="C10658" t="s">
        <v>617</v>
      </c>
      <c r="D10658">
        <v>4191.3999999999996</v>
      </c>
      <c r="E10658" s="37" t="str">
        <f t="shared" si="830"/>
        <v xml:space="preserve"> </v>
      </c>
      <c r="F10658">
        <v>0.09</v>
      </c>
      <c r="G10658" s="37" t="str">
        <f t="shared" si="831"/>
        <v>Normal Discount</v>
      </c>
      <c r="H10658" s="37" t="str">
        <f t="shared" si="832"/>
        <v>Low</v>
      </c>
      <c r="I10658">
        <v>6</v>
      </c>
      <c r="J10658" t="str" cm="1">
        <f t="array" ref="J10658">_xlfn.IFS(I10658&lt;=3,"small",I10658&lt;=6,"Medium",I10658&lt;=9,"Large")</f>
        <v>Medium</v>
      </c>
      <c r="K10658" s="36">
        <v>45132</v>
      </c>
      <c r="L10658" s="36">
        <v>45133</v>
      </c>
      <c r="M10658" t="s">
        <v>603</v>
      </c>
      <c r="N10658" t="s">
        <v>599</v>
      </c>
      <c r="O10658" s="37" t="str">
        <f t="shared" si="833"/>
        <v>Digital Payment</v>
      </c>
      <c r="P10658">
        <v>225.6</v>
      </c>
      <c r="Q10658" s="37" t="str">
        <f>IF(P10658&gt;500,"High","low")</f>
        <v>low</v>
      </c>
      <c r="R10658" s="37" t="str">
        <f t="shared" si="834"/>
        <v>AVERAGE</v>
      </c>
      <c r="S10658" t="s">
        <v>615</v>
      </c>
    </row>
    <row r="10659" spans="1:19" x14ac:dyDescent="0.2">
      <c r="A10659" t="s">
        <v>11270</v>
      </c>
      <c r="B10659" t="s">
        <v>75</v>
      </c>
      <c r="C10659" t="s">
        <v>614</v>
      </c>
      <c r="D10659">
        <v>4251.3999999999996</v>
      </c>
      <c r="E10659" s="37" t="str">
        <f t="shared" si="830"/>
        <v xml:space="preserve"> </v>
      </c>
      <c r="F10659">
        <v>0.09</v>
      </c>
      <c r="G10659" s="37" t="str">
        <f t="shared" si="831"/>
        <v>Normal Discount</v>
      </c>
      <c r="H10659" s="37" t="str">
        <f t="shared" si="832"/>
        <v>Low</v>
      </c>
      <c r="I10659">
        <v>8</v>
      </c>
      <c r="J10659" t="str" cm="1">
        <f t="array" ref="J10659">_xlfn.IFS(I10659&lt;=3,"small",I10659&lt;=6,"Medium",I10659&lt;=9,"Large")</f>
        <v>Large</v>
      </c>
      <c r="K10659" s="36">
        <v>45359</v>
      </c>
      <c r="L10659" s="36">
        <v>45363</v>
      </c>
      <c r="M10659" t="s">
        <v>612</v>
      </c>
      <c r="N10659" t="s">
        <v>604</v>
      </c>
      <c r="O10659" s="37" t="str">
        <f t="shared" si="833"/>
        <v>Digital Payment</v>
      </c>
      <c r="P10659">
        <v>679.5</v>
      </c>
      <c r="Q10659" s="37" t="str">
        <f>IF(P10659&gt;500,"High","low")</f>
        <v>High</v>
      </c>
      <c r="R10659" s="37" t="str">
        <f t="shared" si="834"/>
        <v>Good</v>
      </c>
      <c r="S10659" t="s">
        <v>615</v>
      </c>
    </row>
    <row r="10660" spans="1:19" x14ac:dyDescent="0.2">
      <c r="A10660" t="s">
        <v>11271</v>
      </c>
      <c r="B10660" t="s">
        <v>83</v>
      </c>
      <c r="C10660" t="s">
        <v>602</v>
      </c>
      <c r="D10660">
        <v>2121.61</v>
      </c>
      <c r="E10660" s="37" t="str">
        <f t="shared" si="830"/>
        <v xml:space="preserve"> </v>
      </c>
      <c r="F10660">
        <v>0.05</v>
      </c>
      <c r="G10660" s="37" t="str">
        <f t="shared" si="831"/>
        <v>Normal Discount</v>
      </c>
      <c r="H10660" s="37" t="str">
        <f t="shared" si="832"/>
        <v>Low</v>
      </c>
      <c r="I10660">
        <v>8</v>
      </c>
      <c r="J10660" t="str" cm="1">
        <f t="array" ref="J10660">_xlfn.IFS(I10660&lt;=3,"small",I10660&lt;=6,"Medium",I10660&lt;=9,"Large")</f>
        <v>Large</v>
      </c>
      <c r="K10660" s="36">
        <v>44992</v>
      </c>
      <c r="L10660" s="36">
        <v>44995</v>
      </c>
      <c r="M10660" t="s">
        <v>603</v>
      </c>
      <c r="N10660" t="s">
        <v>608</v>
      </c>
      <c r="O10660" s="37" t="str">
        <f t="shared" si="833"/>
        <v>Cash Payment</v>
      </c>
      <c r="P10660">
        <v>444.76</v>
      </c>
      <c r="Q10660" s="37" t="str">
        <f>IF(P10660&gt;500,"High","low")</f>
        <v>low</v>
      </c>
      <c r="R10660" s="37" t="str">
        <f t="shared" si="834"/>
        <v>AVERAGE</v>
      </c>
      <c r="S10660" t="s">
        <v>620</v>
      </c>
    </row>
    <row r="10661" spans="1:19" x14ac:dyDescent="0.2">
      <c r="A10661" t="s">
        <v>11272</v>
      </c>
      <c r="B10661" t="s">
        <v>75</v>
      </c>
      <c r="C10661" t="s">
        <v>602</v>
      </c>
      <c r="D10661">
        <v>4457.22</v>
      </c>
      <c r="E10661" s="37" t="str">
        <f t="shared" si="830"/>
        <v>Excellent Order</v>
      </c>
      <c r="F10661">
        <v>0.37</v>
      </c>
      <c r="G10661" s="37" t="str">
        <f t="shared" si="831"/>
        <v>Heavy Discount</v>
      </c>
      <c r="H10661" s="37" t="str">
        <f t="shared" si="832"/>
        <v>Medium</v>
      </c>
      <c r="I10661">
        <v>5</v>
      </c>
      <c r="J10661" t="str" cm="1">
        <f t="array" ref="J10661">_xlfn.IFS(I10661&lt;=3,"small",I10661&lt;=6,"Medium",I10661&lt;=9,"Large")</f>
        <v>Medium</v>
      </c>
      <c r="K10661" s="36">
        <v>45356</v>
      </c>
      <c r="L10661" s="36">
        <v>45359</v>
      </c>
      <c r="M10661" t="s">
        <v>598</v>
      </c>
      <c r="N10661" t="s">
        <v>604</v>
      </c>
      <c r="O10661" s="37" t="str">
        <f t="shared" si="833"/>
        <v>Digital Payment</v>
      </c>
      <c r="P10661">
        <v>1245.4000000000001</v>
      </c>
      <c r="Q10661" s="37" t="str">
        <f>IF(P10661&gt;500,"High","low")</f>
        <v>High</v>
      </c>
      <c r="R10661" s="37" t="str">
        <f t="shared" si="834"/>
        <v>Excellent</v>
      </c>
      <c r="S10661" t="s">
        <v>615</v>
      </c>
    </row>
    <row r="10662" spans="1:19" x14ac:dyDescent="0.2">
      <c r="A10662" t="s">
        <v>11273</v>
      </c>
      <c r="B10662" t="s">
        <v>90</v>
      </c>
      <c r="C10662" t="s">
        <v>597</v>
      </c>
      <c r="D10662">
        <v>3625.94</v>
      </c>
      <c r="E10662" s="37" t="str">
        <f t="shared" si="830"/>
        <v xml:space="preserve"> </v>
      </c>
      <c r="F10662">
        <v>0.46</v>
      </c>
      <c r="G10662" s="37" t="str">
        <f t="shared" si="831"/>
        <v>Heavy Discount</v>
      </c>
      <c r="H10662" s="37" t="str">
        <f t="shared" si="832"/>
        <v>High</v>
      </c>
      <c r="I10662">
        <v>8</v>
      </c>
      <c r="J10662" t="str" cm="1">
        <f t="array" ref="J10662">_xlfn.IFS(I10662&lt;=3,"small",I10662&lt;=6,"Medium",I10662&lt;=9,"Large")</f>
        <v>Large</v>
      </c>
      <c r="K10662" s="36">
        <v>45571</v>
      </c>
      <c r="L10662" s="36">
        <v>45575</v>
      </c>
      <c r="M10662" t="s">
        <v>598</v>
      </c>
      <c r="N10662" t="s">
        <v>608</v>
      </c>
      <c r="O10662" s="37" t="str">
        <f t="shared" si="833"/>
        <v>Cash Payment</v>
      </c>
      <c r="P10662">
        <v>573.63</v>
      </c>
      <c r="Q10662" s="37" t="str">
        <f>IF(P10662&gt;500,"High","low")</f>
        <v>High</v>
      </c>
      <c r="R10662" s="37" t="str">
        <f t="shared" si="834"/>
        <v>Good</v>
      </c>
      <c r="S10662" t="s">
        <v>605</v>
      </c>
    </row>
    <row r="10663" spans="1:19" x14ac:dyDescent="0.2">
      <c r="A10663" t="s">
        <v>11274</v>
      </c>
      <c r="B10663" t="s">
        <v>67</v>
      </c>
      <c r="C10663" t="s">
        <v>607</v>
      </c>
      <c r="D10663">
        <v>4210.96</v>
      </c>
      <c r="E10663" s="37" t="str">
        <f t="shared" si="830"/>
        <v xml:space="preserve"> </v>
      </c>
      <c r="F10663">
        <v>0.18</v>
      </c>
      <c r="G10663" s="37" t="str">
        <f t="shared" si="831"/>
        <v>Normal Discount</v>
      </c>
      <c r="H10663" s="37" t="str">
        <f t="shared" si="832"/>
        <v>Low</v>
      </c>
      <c r="I10663">
        <v>4</v>
      </c>
      <c r="J10663" t="str" cm="1">
        <f t="array" ref="J10663">_xlfn.IFS(I10663&lt;=3,"small",I10663&lt;=6,"Medium",I10663&lt;=9,"Large")</f>
        <v>Medium</v>
      </c>
      <c r="K10663" s="36">
        <v>45605</v>
      </c>
      <c r="L10663" s="36">
        <v>45607</v>
      </c>
      <c r="M10663" t="s">
        <v>603</v>
      </c>
      <c r="N10663" t="s">
        <v>604</v>
      </c>
      <c r="O10663" s="37" t="str">
        <f t="shared" si="833"/>
        <v>Digital Payment</v>
      </c>
      <c r="P10663">
        <v>362.25</v>
      </c>
      <c r="Q10663" s="37" t="str">
        <f>IF(P10663&gt;500,"High","low")</f>
        <v>low</v>
      </c>
      <c r="R10663" s="37" t="str">
        <f t="shared" si="834"/>
        <v>AVERAGE</v>
      </c>
      <c r="S10663" t="s">
        <v>609</v>
      </c>
    </row>
    <row r="10664" spans="1:19" x14ac:dyDescent="0.2">
      <c r="A10664" t="s">
        <v>11275</v>
      </c>
      <c r="B10664" t="s">
        <v>67</v>
      </c>
      <c r="C10664" t="s">
        <v>597</v>
      </c>
      <c r="D10664">
        <v>4947.04</v>
      </c>
      <c r="E10664" s="37" t="str">
        <f t="shared" si="830"/>
        <v xml:space="preserve"> </v>
      </c>
      <c r="F10664">
        <v>0.03</v>
      </c>
      <c r="G10664" s="37" t="str">
        <f t="shared" si="831"/>
        <v>Normal Discount</v>
      </c>
      <c r="H10664" s="37" t="str">
        <f t="shared" si="832"/>
        <v>Low</v>
      </c>
      <c r="I10664">
        <v>6</v>
      </c>
      <c r="J10664" t="str" cm="1">
        <f t="array" ref="J10664">_xlfn.IFS(I10664&lt;=3,"small",I10664&lt;=6,"Medium",I10664&lt;=9,"Large")</f>
        <v>Medium</v>
      </c>
      <c r="K10664" s="36">
        <v>45005</v>
      </c>
      <c r="L10664" s="36">
        <v>45010</v>
      </c>
      <c r="M10664" t="s">
        <v>603</v>
      </c>
      <c r="N10664" t="s">
        <v>599</v>
      </c>
      <c r="O10664" s="37" t="str">
        <f t="shared" si="833"/>
        <v>Digital Payment</v>
      </c>
      <c r="P10664">
        <v>779.86</v>
      </c>
      <c r="Q10664" s="37" t="str">
        <f>IF(P10664&gt;500,"High","low")</f>
        <v>High</v>
      </c>
      <c r="R10664" s="37" t="str">
        <f t="shared" si="834"/>
        <v>Good</v>
      </c>
      <c r="S10664" t="s">
        <v>609</v>
      </c>
    </row>
    <row r="10665" spans="1:19" x14ac:dyDescent="0.2">
      <c r="A10665" t="s">
        <v>11276</v>
      </c>
      <c r="B10665" t="s">
        <v>67</v>
      </c>
      <c r="C10665" t="s">
        <v>614</v>
      </c>
      <c r="D10665">
        <v>670.43</v>
      </c>
      <c r="E10665" s="37" t="str">
        <f t="shared" si="830"/>
        <v xml:space="preserve"> </v>
      </c>
      <c r="F10665">
        <v>0.08</v>
      </c>
      <c r="G10665" s="37" t="str">
        <f t="shared" si="831"/>
        <v>Normal Discount</v>
      </c>
      <c r="H10665" s="37" t="str">
        <f t="shared" si="832"/>
        <v>Low</v>
      </c>
      <c r="I10665">
        <v>7</v>
      </c>
      <c r="J10665" t="str" cm="1">
        <f t="array" ref="J10665">_xlfn.IFS(I10665&lt;=3,"small",I10665&lt;=6,"Medium",I10665&lt;=9,"Large")</f>
        <v>Large</v>
      </c>
      <c r="K10665" s="36">
        <v>45361</v>
      </c>
      <c r="L10665" s="36">
        <v>45367</v>
      </c>
      <c r="M10665" t="s">
        <v>612</v>
      </c>
      <c r="N10665" t="s">
        <v>608</v>
      </c>
      <c r="O10665" s="37" t="str">
        <f t="shared" si="833"/>
        <v>Cash Payment</v>
      </c>
      <c r="P10665">
        <v>161.61000000000001</v>
      </c>
      <c r="Q10665" s="37" t="str">
        <f>IF(P10665&gt;500,"High","low")</f>
        <v>low</v>
      </c>
      <c r="R10665" s="37" t="str">
        <f t="shared" si="834"/>
        <v>AVERAGE</v>
      </c>
      <c r="S10665" t="s">
        <v>605</v>
      </c>
    </row>
    <row r="10666" spans="1:19" x14ac:dyDescent="0.2">
      <c r="A10666" t="s">
        <v>11277</v>
      </c>
      <c r="B10666" t="s">
        <v>75</v>
      </c>
      <c r="C10666" t="s">
        <v>602</v>
      </c>
      <c r="D10666">
        <v>1915.84</v>
      </c>
      <c r="E10666" s="37" t="str">
        <f t="shared" si="830"/>
        <v xml:space="preserve"> </v>
      </c>
      <c r="F10666">
        <v>0.05</v>
      </c>
      <c r="G10666" s="37" t="str">
        <f t="shared" si="831"/>
        <v>Normal Discount</v>
      </c>
      <c r="H10666" s="37" t="str">
        <f t="shared" si="832"/>
        <v>Low</v>
      </c>
      <c r="I10666">
        <v>6</v>
      </c>
      <c r="J10666" t="str" cm="1">
        <f t="array" ref="J10666">_xlfn.IFS(I10666&lt;=3,"small",I10666&lt;=6,"Medium",I10666&lt;=9,"Large")</f>
        <v>Medium</v>
      </c>
      <c r="K10666" s="36">
        <v>45331</v>
      </c>
      <c r="L10666" s="36">
        <v>45333</v>
      </c>
      <c r="M10666" t="s">
        <v>612</v>
      </c>
      <c r="N10666" t="s">
        <v>604</v>
      </c>
      <c r="O10666" s="37" t="str">
        <f t="shared" si="833"/>
        <v>Digital Payment</v>
      </c>
      <c r="P10666">
        <v>142.21</v>
      </c>
      <c r="Q10666" s="37" t="str">
        <f>IF(P10666&gt;500,"High","low")</f>
        <v>low</v>
      </c>
      <c r="R10666" s="37" t="str">
        <f t="shared" si="834"/>
        <v>AVERAGE</v>
      </c>
      <c r="S10666" t="s">
        <v>609</v>
      </c>
    </row>
    <row r="10667" spans="1:19" x14ac:dyDescent="0.2">
      <c r="A10667" t="s">
        <v>11278</v>
      </c>
      <c r="B10667" t="s">
        <v>83</v>
      </c>
      <c r="C10667" t="s">
        <v>602</v>
      </c>
      <c r="D10667">
        <v>4052.08</v>
      </c>
      <c r="E10667" s="37" t="str">
        <f t="shared" si="830"/>
        <v xml:space="preserve"> </v>
      </c>
      <c r="F10667">
        <v>0.3</v>
      </c>
      <c r="G10667" s="37" t="str">
        <f t="shared" si="831"/>
        <v>Normal Discount</v>
      </c>
      <c r="H10667" s="37" t="str">
        <f t="shared" si="832"/>
        <v>Medium</v>
      </c>
      <c r="I10667">
        <v>6</v>
      </c>
      <c r="J10667" t="str" cm="1">
        <f t="array" ref="J10667">_xlfn.IFS(I10667&lt;=3,"small",I10667&lt;=6,"Medium",I10667&lt;=9,"Large")</f>
        <v>Medium</v>
      </c>
      <c r="K10667" s="36">
        <v>45092</v>
      </c>
      <c r="L10667" s="36">
        <v>45093</v>
      </c>
      <c r="M10667" t="s">
        <v>603</v>
      </c>
      <c r="N10667" t="s">
        <v>604</v>
      </c>
      <c r="O10667" s="37" t="str">
        <f t="shared" si="833"/>
        <v>Digital Payment</v>
      </c>
      <c r="P10667">
        <v>390.67</v>
      </c>
      <c r="Q10667" s="37" t="str">
        <f>IF(P10667&gt;500,"High","low")</f>
        <v>low</v>
      </c>
      <c r="R10667" s="37" t="str">
        <f t="shared" si="834"/>
        <v>AVERAGE</v>
      </c>
      <c r="S10667" t="s">
        <v>609</v>
      </c>
    </row>
    <row r="10668" spans="1:19" x14ac:dyDescent="0.2">
      <c r="A10668" t="s">
        <v>11279</v>
      </c>
      <c r="B10668" t="s">
        <v>75</v>
      </c>
      <c r="C10668" t="s">
        <v>617</v>
      </c>
      <c r="D10668">
        <v>522.89</v>
      </c>
      <c r="E10668" s="37" t="str">
        <f t="shared" si="830"/>
        <v xml:space="preserve"> </v>
      </c>
      <c r="F10668">
        <v>0.14000000000000001</v>
      </c>
      <c r="G10668" s="37" t="str">
        <f t="shared" si="831"/>
        <v>Normal Discount</v>
      </c>
      <c r="H10668" s="37" t="str">
        <f t="shared" si="832"/>
        <v>Low</v>
      </c>
      <c r="I10668">
        <v>8</v>
      </c>
      <c r="J10668" t="str" cm="1">
        <f t="array" ref="J10668">_xlfn.IFS(I10668&lt;=3,"small",I10668&lt;=6,"Medium",I10668&lt;=9,"Large")</f>
        <v>Large</v>
      </c>
      <c r="K10668" s="36">
        <v>45426</v>
      </c>
      <c r="L10668" s="36">
        <v>45430</v>
      </c>
      <c r="M10668" t="s">
        <v>612</v>
      </c>
      <c r="N10668" t="s">
        <v>608</v>
      </c>
      <c r="O10668" s="37" t="str">
        <f t="shared" si="833"/>
        <v>Cash Payment</v>
      </c>
      <c r="P10668">
        <v>61.98</v>
      </c>
      <c r="Q10668" s="37" t="str">
        <f>IF(P10668&gt;500,"High","low")</f>
        <v>low</v>
      </c>
      <c r="R10668" s="37" t="str">
        <f t="shared" si="834"/>
        <v>AVERAGE</v>
      </c>
      <c r="S10668" t="s">
        <v>605</v>
      </c>
    </row>
    <row r="10669" spans="1:19" x14ac:dyDescent="0.2">
      <c r="A10669" t="s">
        <v>11280</v>
      </c>
      <c r="B10669" t="s">
        <v>67</v>
      </c>
      <c r="C10669" t="s">
        <v>607</v>
      </c>
      <c r="D10669">
        <v>2749.83</v>
      </c>
      <c r="E10669" s="37" t="str">
        <f t="shared" si="830"/>
        <v xml:space="preserve"> </v>
      </c>
      <c r="F10669">
        <v>0.45</v>
      </c>
      <c r="G10669" s="37" t="str">
        <f t="shared" si="831"/>
        <v>Heavy Discount</v>
      </c>
      <c r="H10669" s="37" t="str">
        <f t="shared" si="832"/>
        <v>High</v>
      </c>
      <c r="I10669">
        <v>5</v>
      </c>
      <c r="J10669" t="str" cm="1">
        <f t="array" ref="J10669">_xlfn.IFS(I10669&lt;=3,"small",I10669&lt;=6,"Medium",I10669&lt;=9,"Large")</f>
        <v>Medium</v>
      </c>
      <c r="K10669" s="36">
        <v>45346</v>
      </c>
      <c r="L10669" s="36">
        <v>45348</v>
      </c>
      <c r="M10669" t="s">
        <v>598</v>
      </c>
      <c r="N10669" t="s">
        <v>604</v>
      </c>
      <c r="O10669" s="37" t="str">
        <f t="shared" si="833"/>
        <v>Digital Payment</v>
      </c>
      <c r="P10669">
        <v>451.27</v>
      </c>
      <c r="Q10669" s="37" t="str">
        <f>IF(P10669&gt;500,"High","low")</f>
        <v>low</v>
      </c>
      <c r="R10669" s="37" t="str">
        <f t="shared" si="834"/>
        <v>AVERAGE</v>
      </c>
      <c r="S10669" t="s">
        <v>609</v>
      </c>
    </row>
    <row r="10670" spans="1:19" x14ac:dyDescent="0.2">
      <c r="A10670" t="s">
        <v>11281</v>
      </c>
      <c r="B10670" t="s">
        <v>90</v>
      </c>
      <c r="C10670" t="s">
        <v>607</v>
      </c>
      <c r="D10670">
        <v>4306.1499999999996</v>
      </c>
      <c r="E10670" s="37" t="str">
        <f t="shared" si="830"/>
        <v>Excellent Order</v>
      </c>
      <c r="F10670">
        <v>0.08</v>
      </c>
      <c r="G10670" s="37" t="str">
        <f t="shared" si="831"/>
        <v>Normal Discount</v>
      </c>
      <c r="H10670" s="37" t="str">
        <f t="shared" si="832"/>
        <v>Low</v>
      </c>
      <c r="I10670">
        <v>8</v>
      </c>
      <c r="J10670" t="str" cm="1">
        <f t="array" ref="J10670">_xlfn.IFS(I10670&lt;=3,"small",I10670&lt;=6,"Medium",I10670&lt;=9,"Large")</f>
        <v>Large</v>
      </c>
      <c r="K10670" s="36">
        <v>45343</v>
      </c>
      <c r="L10670" s="36">
        <v>45350</v>
      </c>
      <c r="M10670" t="s">
        <v>598</v>
      </c>
      <c r="N10670" t="s">
        <v>599</v>
      </c>
      <c r="O10670" s="37" t="str">
        <f t="shared" si="833"/>
        <v>Digital Payment</v>
      </c>
      <c r="P10670">
        <v>1202.3699999999999</v>
      </c>
      <c r="Q10670" s="37" t="str">
        <f>IF(P10670&gt;500,"High","low")</f>
        <v>High</v>
      </c>
      <c r="R10670" s="37" t="str">
        <f t="shared" si="834"/>
        <v>Excellent</v>
      </c>
      <c r="S10670" t="s">
        <v>600</v>
      </c>
    </row>
    <row r="10671" spans="1:19" x14ac:dyDescent="0.2">
      <c r="A10671" t="s">
        <v>11282</v>
      </c>
      <c r="B10671" t="s">
        <v>67</v>
      </c>
      <c r="C10671" t="s">
        <v>617</v>
      </c>
      <c r="D10671">
        <v>193.06</v>
      </c>
      <c r="E10671" s="37" t="str">
        <f t="shared" si="830"/>
        <v xml:space="preserve"> </v>
      </c>
      <c r="F10671">
        <v>0.47</v>
      </c>
      <c r="G10671" s="37" t="str">
        <f t="shared" si="831"/>
        <v>Heavy Discount</v>
      </c>
      <c r="H10671" s="37" t="str">
        <f t="shared" si="832"/>
        <v>High</v>
      </c>
      <c r="I10671">
        <v>9</v>
      </c>
      <c r="J10671" t="str" cm="1">
        <f t="array" ref="J10671">_xlfn.IFS(I10671&lt;=3,"small",I10671&lt;=6,"Medium",I10671&lt;=9,"Large")</f>
        <v>Large</v>
      </c>
      <c r="K10671" s="36">
        <v>45461</v>
      </c>
      <c r="L10671" s="36">
        <v>45466</v>
      </c>
      <c r="M10671" t="s">
        <v>612</v>
      </c>
      <c r="N10671" t="s">
        <v>604</v>
      </c>
      <c r="O10671" s="37" t="str">
        <f t="shared" si="833"/>
        <v>Digital Payment</v>
      </c>
      <c r="P10671">
        <v>46.57</v>
      </c>
      <c r="Q10671" s="37" t="str">
        <f>IF(P10671&gt;500,"High","low")</f>
        <v>low</v>
      </c>
      <c r="R10671" s="37" t="str">
        <f t="shared" si="834"/>
        <v>AVERAGE</v>
      </c>
      <c r="S10671" t="s">
        <v>609</v>
      </c>
    </row>
    <row r="10672" spans="1:19" x14ac:dyDescent="0.2">
      <c r="A10672" t="s">
        <v>11283</v>
      </c>
      <c r="B10672" t="s">
        <v>90</v>
      </c>
      <c r="C10672" t="s">
        <v>614</v>
      </c>
      <c r="D10672">
        <v>4703.6400000000003</v>
      </c>
      <c r="E10672" s="37" t="str">
        <f t="shared" si="830"/>
        <v>Excellent Order</v>
      </c>
      <c r="F10672">
        <v>0.17</v>
      </c>
      <c r="G10672" s="37" t="str">
        <f t="shared" si="831"/>
        <v>Normal Discount</v>
      </c>
      <c r="H10672" s="37" t="str">
        <f t="shared" si="832"/>
        <v>Low</v>
      </c>
      <c r="I10672">
        <v>4</v>
      </c>
      <c r="J10672" t="str" cm="1">
        <f t="array" ref="J10672">_xlfn.IFS(I10672&lt;=3,"small",I10672&lt;=6,"Medium",I10672&lt;=9,"Large")</f>
        <v>Medium</v>
      </c>
      <c r="K10672" s="36">
        <v>44998</v>
      </c>
      <c r="L10672" s="36">
        <v>44999</v>
      </c>
      <c r="M10672" t="s">
        <v>598</v>
      </c>
      <c r="N10672" t="s">
        <v>599</v>
      </c>
      <c r="O10672" s="37" t="str">
        <f t="shared" si="833"/>
        <v>Digital Payment</v>
      </c>
      <c r="P10672">
        <v>968.7</v>
      </c>
      <c r="Q10672" s="37" t="str">
        <f>IF(P10672&gt;500,"High","low")</f>
        <v>High</v>
      </c>
      <c r="R10672" s="37" t="str">
        <f t="shared" si="834"/>
        <v>Good</v>
      </c>
      <c r="S10672" t="s">
        <v>600</v>
      </c>
    </row>
    <row r="10673" spans="1:19" x14ac:dyDescent="0.2">
      <c r="A10673" t="s">
        <v>11284</v>
      </c>
      <c r="B10673" t="s">
        <v>83</v>
      </c>
      <c r="C10673" t="s">
        <v>607</v>
      </c>
      <c r="D10673">
        <v>4892.91</v>
      </c>
      <c r="E10673" s="37" t="str">
        <f t="shared" si="830"/>
        <v>Excellent Order</v>
      </c>
      <c r="F10673">
        <v>0.43</v>
      </c>
      <c r="G10673" s="37" t="str">
        <f t="shared" si="831"/>
        <v>Heavy Discount</v>
      </c>
      <c r="H10673" s="37" t="str">
        <f t="shared" si="832"/>
        <v>High</v>
      </c>
      <c r="I10673">
        <v>3</v>
      </c>
      <c r="J10673" t="str" cm="1">
        <f t="array" ref="J10673">_xlfn.IFS(I10673&lt;=3,"small",I10673&lt;=6,"Medium",I10673&lt;=9,"Large")</f>
        <v>small</v>
      </c>
      <c r="K10673" s="36">
        <v>45138</v>
      </c>
      <c r="L10673" s="36">
        <v>45140</v>
      </c>
      <c r="M10673" t="s">
        <v>598</v>
      </c>
      <c r="N10673" t="s">
        <v>608</v>
      </c>
      <c r="O10673" s="37" t="str">
        <f t="shared" si="833"/>
        <v>Cash Payment</v>
      </c>
      <c r="P10673">
        <v>1232.33</v>
      </c>
      <c r="Q10673" s="37" t="str">
        <f>IF(P10673&gt;500,"High","low")</f>
        <v>High</v>
      </c>
      <c r="R10673" s="37" t="str">
        <f t="shared" si="834"/>
        <v>Excellent</v>
      </c>
      <c r="S10673" t="s">
        <v>605</v>
      </c>
    </row>
    <row r="10674" spans="1:19" x14ac:dyDescent="0.2">
      <c r="A10674" t="s">
        <v>11285</v>
      </c>
      <c r="B10674" t="s">
        <v>90</v>
      </c>
      <c r="C10674" t="s">
        <v>602</v>
      </c>
      <c r="D10674">
        <v>1679.18</v>
      </c>
      <c r="E10674" s="37" t="str">
        <f t="shared" si="830"/>
        <v xml:space="preserve"> </v>
      </c>
      <c r="F10674">
        <v>0.47</v>
      </c>
      <c r="G10674" s="37" t="str">
        <f t="shared" si="831"/>
        <v>Heavy Discount</v>
      </c>
      <c r="H10674" s="37" t="str">
        <f t="shared" si="832"/>
        <v>High</v>
      </c>
      <c r="I10674">
        <v>5</v>
      </c>
      <c r="J10674" t="str" cm="1">
        <f t="array" ref="J10674">_xlfn.IFS(I10674&lt;=3,"small",I10674&lt;=6,"Medium",I10674&lt;=9,"Large")</f>
        <v>Medium</v>
      </c>
      <c r="K10674" s="36">
        <v>45092</v>
      </c>
      <c r="L10674" s="36">
        <v>45096</v>
      </c>
      <c r="M10674" t="s">
        <v>598</v>
      </c>
      <c r="N10674" t="s">
        <v>608</v>
      </c>
      <c r="O10674" s="37" t="str">
        <f t="shared" si="833"/>
        <v>Cash Payment</v>
      </c>
      <c r="P10674">
        <v>454.61</v>
      </c>
      <c r="Q10674" s="37" t="str">
        <f>IF(P10674&gt;500,"High","low")</f>
        <v>low</v>
      </c>
      <c r="R10674" s="37" t="str">
        <f t="shared" si="834"/>
        <v>AVERAGE</v>
      </c>
      <c r="S10674" t="s">
        <v>620</v>
      </c>
    </row>
    <row r="10675" spans="1:19" x14ac:dyDescent="0.2">
      <c r="A10675" t="s">
        <v>11286</v>
      </c>
      <c r="B10675" t="s">
        <v>75</v>
      </c>
      <c r="C10675" t="s">
        <v>614</v>
      </c>
      <c r="D10675">
        <v>3857.28</v>
      </c>
      <c r="E10675" s="37" t="str">
        <f t="shared" si="830"/>
        <v xml:space="preserve"> </v>
      </c>
      <c r="F10675">
        <v>0.49</v>
      </c>
      <c r="G10675" s="37" t="str">
        <f t="shared" si="831"/>
        <v>Heavy Discount</v>
      </c>
      <c r="H10675" s="37" t="str">
        <f t="shared" si="832"/>
        <v>High</v>
      </c>
      <c r="I10675">
        <v>5</v>
      </c>
      <c r="J10675" t="str" cm="1">
        <f t="array" ref="J10675">_xlfn.IFS(I10675&lt;=3,"small",I10675&lt;=6,"Medium",I10675&lt;=9,"Large")</f>
        <v>Medium</v>
      </c>
      <c r="K10675" s="36">
        <v>45502</v>
      </c>
      <c r="L10675" s="36">
        <v>45507</v>
      </c>
      <c r="M10675" t="s">
        <v>598</v>
      </c>
      <c r="N10675" t="s">
        <v>599</v>
      </c>
      <c r="O10675" s="37" t="str">
        <f t="shared" si="833"/>
        <v>Digital Payment</v>
      </c>
      <c r="P10675">
        <v>638.82000000000005</v>
      </c>
      <c r="Q10675" s="37" t="str">
        <f>IF(P10675&gt;500,"High","low")</f>
        <v>High</v>
      </c>
      <c r="R10675" s="37" t="str">
        <f t="shared" si="834"/>
        <v>Good</v>
      </c>
      <c r="S10675" t="s">
        <v>620</v>
      </c>
    </row>
    <row r="10676" spans="1:19" x14ac:dyDescent="0.2">
      <c r="A10676" t="s">
        <v>11287</v>
      </c>
      <c r="B10676" t="s">
        <v>75</v>
      </c>
      <c r="C10676" t="s">
        <v>597</v>
      </c>
      <c r="D10676">
        <v>723.16</v>
      </c>
      <c r="E10676" s="37" t="str">
        <f t="shared" si="830"/>
        <v xml:space="preserve"> </v>
      </c>
      <c r="F10676">
        <v>0.4</v>
      </c>
      <c r="G10676" s="37" t="str">
        <f t="shared" si="831"/>
        <v>Heavy Discount</v>
      </c>
      <c r="H10676" s="37" t="str">
        <f t="shared" si="832"/>
        <v>Medium</v>
      </c>
      <c r="I10676">
        <v>7</v>
      </c>
      <c r="J10676" t="str" cm="1">
        <f t="array" ref="J10676">_xlfn.IFS(I10676&lt;=3,"small",I10676&lt;=6,"Medium",I10676&lt;=9,"Large")</f>
        <v>Large</v>
      </c>
      <c r="K10676" s="36">
        <v>45357</v>
      </c>
      <c r="L10676" s="36">
        <v>45359</v>
      </c>
      <c r="M10676" t="s">
        <v>612</v>
      </c>
      <c r="N10676" t="s">
        <v>608</v>
      </c>
      <c r="O10676" s="37" t="str">
        <f t="shared" si="833"/>
        <v>Cash Payment</v>
      </c>
      <c r="P10676">
        <v>170.33</v>
      </c>
      <c r="Q10676" s="37" t="str">
        <f>IF(P10676&gt;500,"High","low")</f>
        <v>low</v>
      </c>
      <c r="R10676" s="37" t="str">
        <f t="shared" si="834"/>
        <v>AVERAGE</v>
      </c>
      <c r="S10676" t="s">
        <v>600</v>
      </c>
    </row>
    <row r="10677" spans="1:19" x14ac:dyDescent="0.2">
      <c r="A10677" t="s">
        <v>11288</v>
      </c>
      <c r="B10677" t="s">
        <v>75</v>
      </c>
      <c r="C10677" t="s">
        <v>597</v>
      </c>
      <c r="D10677">
        <v>3887.03</v>
      </c>
      <c r="E10677" s="37" t="str">
        <f t="shared" si="830"/>
        <v xml:space="preserve"> </v>
      </c>
      <c r="F10677">
        <v>0.05</v>
      </c>
      <c r="G10677" s="37" t="str">
        <f t="shared" si="831"/>
        <v>Normal Discount</v>
      </c>
      <c r="H10677" s="37" t="str">
        <f t="shared" si="832"/>
        <v>Low</v>
      </c>
      <c r="I10677">
        <v>3</v>
      </c>
      <c r="J10677" t="str" cm="1">
        <f t="array" ref="J10677">_xlfn.IFS(I10677&lt;=3,"small",I10677&lt;=6,"Medium",I10677&lt;=9,"Large")</f>
        <v>small</v>
      </c>
      <c r="K10677" s="36">
        <v>45250</v>
      </c>
      <c r="L10677" s="36">
        <v>45256</v>
      </c>
      <c r="M10677" t="s">
        <v>598</v>
      </c>
      <c r="N10677" t="s">
        <v>608</v>
      </c>
      <c r="O10677" s="37" t="str">
        <f t="shared" si="833"/>
        <v>Cash Payment</v>
      </c>
      <c r="P10677">
        <v>1093.0999999999999</v>
      </c>
      <c r="Q10677" s="37" t="str">
        <f>IF(P10677&gt;500,"High","low")</f>
        <v>High</v>
      </c>
      <c r="R10677" s="37" t="str">
        <f t="shared" si="834"/>
        <v>Excellent</v>
      </c>
      <c r="S10677" t="s">
        <v>605</v>
      </c>
    </row>
    <row r="10678" spans="1:19" x14ac:dyDescent="0.2">
      <c r="A10678" t="s">
        <v>11289</v>
      </c>
      <c r="B10678" t="s">
        <v>90</v>
      </c>
      <c r="C10678" t="s">
        <v>614</v>
      </c>
      <c r="D10678">
        <v>2459.46</v>
      </c>
      <c r="E10678" s="37" t="str">
        <f t="shared" si="830"/>
        <v xml:space="preserve"> </v>
      </c>
      <c r="F10678">
        <v>0.03</v>
      </c>
      <c r="G10678" s="37" t="str">
        <f t="shared" si="831"/>
        <v>Normal Discount</v>
      </c>
      <c r="H10678" s="37" t="str">
        <f t="shared" si="832"/>
        <v>Low</v>
      </c>
      <c r="I10678">
        <v>9</v>
      </c>
      <c r="J10678" t="str" cm="1">
        <f t="array" ref="J10678">_xlfn.IFS(I10678&lt;=3,"small",I10678&lt;=6,"Medium",I10678&lt;=9,"Large")</f>
        <v>Large</v>
      </c>
      <c r="K10678" s="36">
        <v>45140</v>
      </c>
      <c r="L10678" s="36">
        <v>45144</v>
      </c>
      <c r="M10678" t="s">
        <v>603</v>
      </c>
      <c r="N10678" t="s">
        <v>604</v>
      </c>
      <c r="O10678" s="37" t="str">
        <f t="shared" si="833"/>
        <v>Digital Payment</v>
      </c>
      <c r="P10678">
        <v>450.08</v>
      </c>
      <c r="Q10678" s="37" t="str">
        <f>IF(P10678&gt;500,"High","low")</f>
        <v>low</v>
      </c>
      <c r="R10678" s="37" t="str">
        <f t="shared" si="834"/>
        <v>AVERAGE</v>
      </c>
      <c r="S10678" t="s">
        <v>615</v>
      </c>
    </row>
    <row r="10679" spans="1:19" x14ac:dyDescent="0.2">
      <c r="A10679" t="s">
        <v>11290</v>
      </c>
      <c r="B10679" t="s">
        <v>75</v>
      </c>
      <c r="C10679" t="s">
        <v>602</v>
      </c>
      <c r="D10679">
        <v>4315.34</v>
      </c>
      <c r="E10679" s="37" t="str">
        <f t="shared" si="830"/>
        <v>Excellent Order</v>
      </c>
      <c r="F10679">
        <v>0.37</v>
      </c>
      <c r="G10679" s="37" t="str">
        <f t="shared" si="831"/>
        <v>Heavy Discount</v>
      </c>
      <c r="H10679" s="37" t="str">
        <f t="shared" si="832"/>
        <v>Medium</v>
      </c>
      <c r="I10679">
        <v>6</v>
      </c>
      <c r="J10679" t="str" cm="1">
        <f t="array" ref="J10679">_xlfn.IFS(I10679&lt;=3,"small",I10679&lt;=6,"Medium",I10679&lt;=9,"Large")</f>
        <v>Medium</v>
      </c>
      <c r="K10679" s="36">
        <v>45642</v>
      </c>
      <c r="L10679" s="36">
        <v>45646</v>
      </c>
      <c r="M10679" t="s">
        <v>612</v>
      </c>
      <c r="N10679" t="s">
        <v>604</v>
      </c>
      <c r="O10679" s="37" t="str">
        <f t="shared" si="833"/>
        <v>Digital Payment</v>
      </c>
      <c r="P10679">
        <v>1039.24</v>
      </c>
      <c r="Q10679" s="37" t="str">
        <f>IF(P10679&gt;500,"High","low")</f>
        <v>High</v>
      </c>
      <c r="R10679" s="37" t="str">
        <f t="shared" si="834"/>
        <v>Excellent</v>
      </c>
      <c r="S10679" t="s">
        <v>609</v>
      </c>
    </row>
    <row r="10680" spans="1:19" x14ac:dyDescent="0.2">
      <c r="A10680" t="s">
        <v>11291</v>
      </c>
      <c r="B10680" t="s">
        <v>75</v>
      </c>
      <c r="C10680" t="s">
        <v>597</v>
      </c>
      <c r="D10680">
        <v>1141.77</v>
      </c>
      <c r="E10680" s="37" t="str">
        <f t="shared" si="830"/>
        <v xml:space="preserve"> </v>
      </c>
      <c r="F10680">
        <v>0.45</v>
      </c>
      <c r="G10680" s="37" t="str">
        <f t="shared" si="831"/>
        <v>Heavy Discount</v>
      </c>
      <c r="H10680" s="37" t="str">
        <f t="shared" si="832"/>
        <v>High</v>
      </c>
      <c r="I10680">
        <v>9</v>
      </c>
      <c r="J10680" t="str" cm="1">
        <f t="array" ref="J10680">_xlfn.IFS(I10680&lt;=3,"small",I10680&lt;=6,"Medium",I10680&lt;=9,"Large")</f>
        <v>Large</v>
      </c>
      <c r="K10680" s="36">
        <v>45463</v>
      </c>
      <c r="L10680" s="36">
        <v>45465</v>
      </c>
      <c r="M10680" t="s">
        <v>612</v>
      </c>
      <c r="N10680" t="s">
        <v>599</v>
      </c>
      <c r="O10680" s="37" t="str">
        <f t="shared" si="833"/>
        <v>Digital Payment</v>
      </c>
      <c r="P10680">
        <v>337.48</v>
      </c>
      <c r="Q10680" s="37" t="str">
        <f>IF(P10680&gt;500,"High","low")</f>
        <v>low</v>
      </c>
      <c r="R10680" s="37" t="str">
        <f t="shared" si="834"/>
        <v>AVERAGE</v>
      </c>
      <c r="S10680" t="s">
        <v>628</v>
      </c>
    </row>
    <row r="10681" spans="1:19" x14ac:dyDescent="0.2">
      <c r="A10681" t="s">
        <v>11292</v>
      </c>
      <c r="B10681" t="s">
        <v>75</v>
      </c>
      <c r="C10681" t="s">
        <v>602</v>
      </c>
      <c r="D10681">
        <v>3396.02</v>
      </c>
      <c r="E10681" s="37" t="str">
        <f t="shared" si="830"/>
        <v xml:space="preserve"> </v>
      </c>
      <c r="F10681">
        <v>0.08</v>
      </c>
      <c r="G10681" s="37" t="str">
        <f t="shared" si="831"/>
        <v>Normal Discount</v>
      </c>
      <c r="H10681" s="37" t="str">
        <f t="shared" si="832"/>
        <v>Low</v>
      </c>
      <c r="I10681">
        <v>1</v>
      </c>
      <c r="J10681" t="str" cm="1">
        <f t="array" ref="J10681">_xlfn.IFS(I10681&lt;=3,"small",I10681&lt;=6,"Medium",I10681&lt;=9,"Large")</f>
        <v>small</v>
      </c>
      <c r="K10681" s="36">
        <v>45554</v>
      </c>
      <c r="L10681" s="36">
        <v>45556</v>
      </c>
      <c r="M10681" t="s">
        <v>598</v>
      </c>
      <c r="N10681" t="s">
        <v>608</v>
      </c>
      <c r="O10681" s="37" t="str">
        <f t="shared" si="833"/>
        <v>Cash Payment</v>
      </c>
      <c r="P10681">
        <v>570.92999999999995</v>
      </c>
      <c r="Q10681" s="37" t="str">
        <f>IF(P10681&gt;500,"High","low")</f>
        <v>High</v>
      </c>
      <c r="R10681" s="37" t="str">
        <f t="shared" si="834"/>
        <v>Good</v>
      </c>
      <c r="S10681" t="s">
        <v>605</v>
      </c>
    </row>
    <row r="10682" spans="1:19" x14ac:dyDescent="0.2">
      <c r="A10682" t="s">
        <v>11293</v>
      </c>
      <c r="B10682" t="s">
        <v>83</v>
      </c>
      <c r="C10682" t="s">
        <v>617</v>
      </c>
      <c r="D10682">
        <v>3951.98</v>
      </c>
      <c r="E10682" s="37" t="str">
        <f t="shared" si="830"/>
        <v xml:space="preserve"> </v>
      </c>
      <c r="F10682">
        <v>0.47</v>
      </c>
      <c r="G10682" s="37" t="str">
        <f t="shared" si="831"/>
        <v>Heavy Discount</v>
      </c>
      <c r="H10682" s="37" t="str">
        <f t="shared" si="832"/>
        <v>High</v>
      </c>
      <c r="I10682">
        <v>2</v>
      </c>
      <c r="J10682" t="str" cm="1">
        <f t="array" ref="J10682">_xlfn.IFS(I10682&lt;=3,"small",I10682&lt;=6,"Medium",I10682&lt;=9,"Large")</f>
        <v>small</v>
      </c>
      <c r="K10682" s="36">
        <v>45294</v>
      </c>
      <c r="L10682" s="36">
        <v>45301</v>
      </c>
      <c r="M10682" t="s">
        <v>603</v>
      </c>
      <c r="N10682" t="s">
        <v>604</v>
      </c>
      <c r="O10682" s="37" t="str">
        <f t="shared" si="833"/>
        <v>Digital Payment</v>
      </c>
      <c r="P10682">
        <v>861.6</v>
      </c>
      <c r="Q10682" s="37" t="str">
        <f>IF(P10682&gt;500,"High","low")</f>
        <v>High</v>
      </c>
      <c r="R10682" s="37" t="str">
        <f t="shared" si="834"/>
        <v>Good</v>
      </c>
      <c r="S10682" t="s">
        <v>615</v>
      </c>
    </row>
    <row r="10683" spans="1:19" x14ac:dyDescent="0.2">
      <c r="A10683" t="s">
        <v>11294</v>
      </c>
      <c r="B10683" t="s">
        <v>90</v>
      </c>
      <c r="C10683" t="s">
        <v>607</v>
      </c>
      <c r="D10683">
        <v>1092.21</v>
      </c>
      <c r="E10683" s="37" t="str">
        <f t="shared" si="830"/>
        <v xml:space="preserve"> </v>
      </c>
      <c r="F10683">
        <v>0.31</v>
      </c>
      <c r="G10683" s="37" t="str">
        <f t="shared" si="831"/>
        <v>Heavy Discount</v>
      </c>
      <c r="H10683" s="37" t="str">
        <f t="shared" si="832"/>
        <v>Medium</v>
      </c>
      <c r="I10683">
        <v>2</v>
      </c>
      <c r="J10683" t="str" cm="1">
        <f t="array" ref="J10683">_xlfn.IFS(I10683&lt;=3,"small",I10683&lt;=6,"Medium",I10683&lt;=9,"Large")</f>
        <v>small</v>
      </c>
      <c r="K10683" s="36">
        <v>45111</v>
      </c>
      <c r="L10683" s="36">
        <v>45113</v>
      </c>
      <c r="M10683" t="s">
        <v>598</v>
      </c>
      <c r="N10683" t="s">
        <v>599</v>
      </c>
      <c r="O10683" s="37" t="str">
        <f t="shared" si="833"/>
        <v>Digital Payment</v>
      </c>
      <c r="P10683">
        <v>176.56</v>
      </c>
      <c r="Q10683" s="37" t="str">
        <f>IF(P10683&gt;500,"High","low")</f>
        <v>low</v>
      </c>
      <c r="R10683" s="37" t="str">
        <f t="shared" si="834"/>
        <v>AVERAGE</v>
      </c>
      <c r="S10683" t="s">
        <v>615</v>
      </c>
    </row>
    <row r="10684" spans="1:19" x14ac:dyDescent="0.2">
      <c r="A10684" t="s">
        <v>11295</v>
      </c>
      <c r="B10684" t="s">
        <v>90</v>
      </c>
      <c r="C10684" t="s">
        <v>614</v>
      </c>
      <c r="D10684">
        <v>4109.6099999999997</v>
      </c>
      <c r="E10684" s="37" t="str">
        <f t="shared" si="830"/>
        <v>Excellent Order</v>
      </c>
      <c r="F10684">
        <v>0.06</v>
      </c>
      <c r="G10684" s="37" t="str">
        <f t="shared" si="831"/>
        <v>Normal Discount</v>
      </c>
      <c r="H10684" s="37" t="str">
        <f t="shared" si="832"/>
        <v>Low</v>
      </c>
      <c r="I10684">
        <v>8</v>
      </c>
      <c r="J10684" t="str" cm="1">
        <f t="array" ref="J10684">_xlfn.IFS(I10684&lt;=3,"small",I10684&lt;=6,"Medium",I10684&lt;=9,"Large")</f>
        <v>Large</v>
      </c>
      <c r="K10684" s="36">
        <v>45106</v>
      </c>
      <c r="L10684" s="36">
        <v>45111</v>
      </c>
      <c r="M10684" t="s">
        <v>598</v>
      </c>
      <c r="N10684" t="s">
        <v>608</v>
      </c>
      <c r="O10684" s="37" t="str">
        <f t="shared" si="833"/>
        <v>Cash Payment</v>
      </c>
      <c r="P10684">
        <v>940.76</v>
      </c>
      <c r="Q10684" s="37" t="str">
        <f>IF(P10684&gt;500,"High","low")</f>
        <v>High</v>
      </c>
      <c r="R10684" s="37" t="str">
        <f t="shared" si="834"/>
        <v>Good</v>
      </c>
      <c r="S10684" t="s">
        <v>628</v>
      </c>
    </row>
    <row r="10685" spans="1:19" x14ac:dyDescent="0.2">
      <c r="A10685" t="s">
        <v>11296</v>
      </c>
      <c r="B10685" t="s">
        <v>67</v>
      </c>
      <c r="C10685" t="s">
        <v>607</v>
      </c>
      <c r="D10685">
        <v>4794.13</v>
      </c>
      <c r="E10685" s="37" t="str">
        <f t="shared" si="830"/>
        <v xml:space="preserve"> </v>
      </c>
      <c r="F10685">
        <v>0.08</v>
      </c>
      <c r="G10685" s="37" t="str">
        <f t="shared" si="831"/>
        <v>Normal Discount</v>
      </c>
      <c r="H10685" s="37" t="str">
        <f t="shared" si="832"/>
        <v>Low</v>
      </c>
      <c r="I10685">
        <v>4</v>
      </c>
      <c r="J10685" t="str" cm="1">
        <f t="array" ref="J10685">_xlfn.IFS(I10685&lt;=3,"small",I10685&lt;=6,"Medium",I10685&lt;=9,"Large")</f>
        <v>Medium</v>
      </c>
      <c r="K10685" s="36">
        <v>45009</v>
      </c>
      <c r="L10685" s="36">
        <v>45011</v>
      </c>
      <c r="M10685" t="s">
        <v>612</v>
      </c>
      <c r="N10685" t="s">
        <v>604</v>
      </c>
      <c r="O10685" s="37" t="str">
        <f t="shared" si="833"/>
        <v>Digital Payment</v>
      </c>
      <c r="P10685">
        <v>704.72</v>
      </c>
      <c r="Q10685" s="37" t="str">
        <f>IF(P10685&gt;500,"High","low")</f>
        <v>High</v>
      </c>
      <c r="R10685" s="37" t="str">
        <f t="shared" si="834"/>
        <v>Good</v>
      </c>
      <c r="S10685" t="s">
        <v>628</v>
      </c>
    </row>
    <row r="10686" spans="1:19" x14ac:dyDescent="0.2">
      <c r="A10686" t="s">
        <v>11297</v>
      </c>
      <c r="B10686" t="s">
        <v>90</v>
      </c>
      <c r="C10686" t="s">
        <v>617</v>
      </c>
      <c r="D10686">
        <v>3118.79</v>
      </c>
      <c r="E10686" s="37" t="str">
        <f t="shared" si="830"/>
        <v xml:space="preserve"> </v>
      </c>
      <c r="F10686">
        <v>0.03</v>
      </c>
      <c r="G10686" s="37" t="str">
        <f t="shared" si="831"/>
        <v>Normal Discount</v>
      </c>
      <c r="H10686" s="37" t="str">
        <f t="shared" si="832"/>
        <v>Low</v>
      </c>
      <c r="I10686">
        <v>7</v>
      </c>
      <c r="J10686" t="str" cm="1">
        <f t="array" ref="J10686">_xlfn.IFS(I10686&lt;=3,"small",I10686&lt;=6,"Medium",I10686&lt;=9,"Large")</f>
        <v>Large</v>
      </c>
      <c r="K10686" s="36">
        <v>45368</v>
      </c>
      <c r="L10686" s="36">
        <v>45374</v>
      </c>
      <c r="M10686" t="s">
        <v>598</v>
      </c>
      <c r="N10686" t="s">
        <v>599</v>
      </c>
      <c r="O10686" s="37" t="str">
        <f t="shared" si="833"/>
        <v>Digital Payment</v>
      </c>
      <c r="P10686">
        <v>255.43</v>
      </c>
      <c r="Q10686" s="37" t="str">
        <f>IF(P10686&gt;500,"High","low")</f>
        <v>low</v>
      </c>
      <c r="R10686" s="37" t="str">
        <f t="shared" si="834"/>
        <v>AVERAGE</v>
      </c>
      <c r="S10686" t="s">
        <v>609</v>
      </c>
    </row>
    <row r="10687" spans="1:19" x14ac:dyDescent="0.2">
      <c r="A10687" t="s">
        <v>11298</v>
      </c>
      <c r="B10687" t="s">
        <v>83</v>
      </c>
      <c r="C10687" t="s">
        <v>597</v>
      </c>
      <c r="D10687">
        <v>3945.77</v>
      </c>
      <c r="E10687" s="37" t="str">
        <f t="shared" si="830"/>
        <v xml:space="preserve"> </v>
      </c>
      <c r="F10687">
        <v>7.0000000000000007E-2</v>
      </c>
      <c r="G10687" s="37" t="str">
        <f t="shared" si="831"/>
        <v>Normal Discount</v>
      </c>
      <c r="H10687" s="37" t="str">
        <f t="shared" si="832"/>
        <v>Low</v>
      </c>
      <c r="I10687">
        <v>4</v>
      </c>
      <c r="J10687" t="str" cm="1">
        <f t="array" ref="J10687">_xlfn.IFS(I10687&lt;=3,"small",I10687&lt;=6,"Medium",I10687&lt;=9,"Large")</f>
        <v>Medium</v>
      </c>
      <c r="K10687" s="36">
        <v>45077</v>
      </c>
      <c r="L10687" s="36">
        <v>45083</v>
      </c>
      <c r="M10687" t="s">
        <v>603</v>
      </c>
      <c r="N10687" t="s">
        <v>608</v>
      </c>
      <c r="O10687" s="37" t="str">
        <f t="shared" si="833"/>
        <v>Cash Payment</v>
      </c>
      <c r="P10687">
        <v>1073.4100000000001</v>
      </c>
      <c r="Q10687" s="37" t="str">
        <f>IF(P10687&gt;500,"High","low")</f>
        <v>High</v>
      </c>
      <c r="R10687" s="37" t="str">
        <f t="shared" si="834"/>
        <v>Excellent</v>
      </c>
      <c r="S10687" t="s">
        <v>605</v>
      </c>
    </row>
    <row r="10688" spans="1:19" x14ac:dyDescent="0.2">
      <c r="A10688" t="s">
        <v>11299</v>
      </c>
      <c r="B10688" t="s">
        <v>90</v>
      </c>
      <c r="C10688" t="s">
        <v>602</v>
      </c>
      <c r="D10688">
        <v>2709.66</v>
      </c>
      <c r="E10688" s="37" t="str">
        <f t="shared" si="830"/>
        <v xml:space="preserve"> </v>
      </c>
      <c r="F10688">
        <v>0.37</v>
      </c>
      <c r="G10688" s="37" t="str">
        <f t="shared" si="831"/>
        <v>Heavy Discount</v>
      </c>
      <c r="H10688" s="37" t="str">
        <f t="shared" si="832"/>
        <v>Medium</v>
      </c>
      <c r="I10688">
        <v>4</v>
      </c>
      <c r="J10688" t="str" cm="1">
        <f t="array" ref="J10688">_xlfn.IFS(I10688&lt;=3,"small",I10688&lt;=6,"Medium",I10688&lt;=9,"Large")</f>
        <v>Medium</v>
      </c>
      <c r="K10688" s="36">
        <v>45044</v>
      </c>
      <c r="L10688" s="36">
        <v>45047</v>
      </c>
      <c r="M10688" t="s">
        <v>612</v>
      </c>
      <c r="N10688" t="s">
        <v>599</v>
      </c>
      <c r="O10688" s="37" t="str">
        <f t="shared" si="833"/>
        <v>Digital Payment</v>
      </c>
      <c r="P10688">
        <v>617.27</v>
      </c>
      <c r="Q10688" s="37" t="str">
        <f>IF(P10688&gt;500,"High","low")</f>
        <v>High</v>
      </c>
      <c r="R10688" s="37" t="str">
        <f t="shared" si="834"/>
        <v>Good</v>
      </c>
      <c r="S10688" t="s">
        <v>600</v>
      </c>
    </row>
    <row r="10689" spans="1:19" x14ac:dyDescent="0.2">
      <c r="A10689" t="s">
        <v>11300</v>
      </c>
      <c r="B10689" t="s">
        <v>83</v>
      </c>
      <c r="C10689" t="s">
        <v>602</v>
      </c>
      <c r="D10689">
        <v>3030.71</v>
      </c>
      <c r="E10689" s="37" t="str">
        <f t="shared" si="830"/>
        <v xml:space="preserve"> </v>
      </c>
      <c r="F10689">
        <v>0.11</v>
      </c>
      <c r="G10689" s="37" t="str">
        <f t="shared" si="831"/>
        <v>Normal Discount</v>
      </c>
      <c r="H10689" s="37" t="str">
        <f t="shared" si="832"/>
        <v>Low</v>
      </c>
      <c r="I10689">
        <v>8</v>
      </c>
      <c r="J10689" t="str" cm="1">
        <f t="array" ref="J10689">_xlfn.IFS(I10689&lt;=3,"small",I10689&lt;=6,"Medium",I10689&lt;=9,"Large")</f>
        <v>Large</v>
      </c>
      <c r="K10689" s="36">
        <v>45576</v>
      </c>
      <c r="L10689" s="36">
        <v>45582</v>
      </c>
      <c r="M10689" t="s">
        <v>603</v>
      </c>
      <c r="N10689" t="s">
        <v>608</v>
      </c>
      <c r="O10689" s="37" t="str">
        <f t="shared" si="833"/>
        <v>Cash Payment</v>
      </c>
      <c r="P10689">
        <v>905.39</v>
      </c>
      <c r="Q10689" s="37" t="str">
        <f>IF(P10689&gt;500,"High","low")</f>
        <v>High</v>
      </c>
      <c r="R10689" s="37" t="str">
        <f t="shared" si="834"/>
        <v>Good</v>
      </c>
      <c r="S10689" t="s">
        <v>605</v>
      </c>
    </row>
    <row r="10690" spans="1:19" x14ac:dyDescent="0.2">
      <c r="A10690" t="s">
        <v>11301</v>
      </c>
      <c r="B10690" t="s">
        <v>83</v>
      </c>
      <c r="C10690" t="s">
        <v>617</v>
      </c>
      <c r="D10690">
        <v>165.43</v>
      </c>
      <c r="E10690" s="37" t="str">
        <f t="shared" si="830"/>
        <v xml:space="preserve"> </v>
      </c>
      <c r="F10690">
        <v>0.28000000000000003</v>
      </c>
      <c r="G10690" s="37" t="str">
        <f t="shared" si="831"/>
        <v>Normal Discount</v>
      </c>
      <c r="H10690" s="37" t="str">
        <f t="shared" si="832"/>
        <v>Medium</v>
      </c>
      <c r="I10690">
        <v>4</v>
      </c>
      <c r="J10690" t="str" cm="1">
        <f t="array" ref="J10690">_xlfn.IFS(I10690&lt;=3,"small",I10690&lt;=6,"Medium",I10690&lt;=9,"Large")</f>
        <v>Medium</v>
      </c>
      <c r="K10690" s="36">
        <v>45602</v>
      </c>
      <c r="L10690" s="36">
        <v>45604</v>
      </c>
      <c r="M10690" t="s">
        <v>598</v>
      </c>
      <c r="N10690" t="s">
        <v>599</v>
      </c>
      <c r="O10690" s="37" t="str">
        <f t="shared" si="833"/>
        <v>Digital Payment</v>
      </c>
      <c r="P10690">
        <v>38.33</v>
      </c>
      <c r="Q10690" s="37" t="str">
        <f>IF(P10690&gt;500,"High","low")</f>
        <v>low</v>
      </c>
      <c r="R10690" s="37" t="str">
        <f t="shared" si="834"/>
        <v>AVERAGE</v>
      </c>
      <c r="S10690" t="s">
        <v>609</v>
      </c>
    </row>
    <row r="10691" spans="1:19" x14ac:dyDescent="0.2">
      <c r="A10691" t="s">
        <v>11302</v>
      </c>
      <c r="B10691" t="s">
        <v>90</v>
      </c>
      <c r="C10691" t="s">
        <v>614</v>
      </c>
      <c r="D10691">
        <v>2669.01</v>
      </c>
      <c r="E10691" s="37" t="str">
        <f t="shared" ref="E10691:E10754" si="835">IF(AND(D10691&gt;4000,P10691&gt;800),"Excellent Order"," ")</f>
        <v xml:space="preserve"> </v>
      </c>
      <c r="F10691">
        <v>0.36</v>
      </c>
      <c r="G10691" s="37" t="str">
        <f t="shared" ref="G10691:G10754" si="836">IF(F10691&gt;30%,"Heavy Discount","Normal Discount")</f>
        <v>Heavy Discount</v>
      </c>
      <c r="H10691" s="37" t="str">
        <f t="shared" ref="H10691:H10754" si="837">IF(F10691&gt;0.4,"High",IF(F10691&gt;=0.2,"Medium","Low"))</f>
        <v>Medium</v>
      </c>
      <c r="I10691">
        <v>3</v>
      </c>
      <c r="J10691" t="str" cm="1">
        <f t="array" ref="J10691">_xlfn.IFS(I10691&lt;=3,"small",I10691&lt;=6,"Medium",I10691&lt;=9,"Large")</f>
        <v>small</v>
      </c>
      <c r="K10691" s="36">
        <v>45569</v>
      </c>
      <c r="L10691" s="36">
        <v>45570</v>
      </c>
      <c r="M10691" t="s">
        <v>598</v>
      </c>
      <c r="N10691" t="s">
        <v>604</v>
      </c>
      <c r="O10691" s="37" t="str">
        <f t="shared" ref="O10691:O10754" si="838">IF(OR(N10691="Card",N10691="UPI"),"Digital Payment","Cash Payment")</f>
        <v>Digital Payment</v>
      </c>
      <c r="P10691">
        <v>697.32</v>
      </c>
      <c r="Q10691" s="37" t="str">
        <f>IF(P10691&gt;500,"High","low")</f>
        <v>High</v>
      </c>
      <c r="R10691" s="37" t="str">
        <f t="shared" ref="R10691:R10754" si="839">IF(P10691&gt;1000,"Excellent",IF(P10691&gt;=500,"Good","AVERAGE"))</f>
        <v>Good</v>
      </c>
      <c r="S10691" t="s">
        <v>609</v>
      </c>
    </row>
    <row r="10692" spans="1:19" x14ac:dyDescent="0.2">
      <c r="A10692" t="s">
        <v>11303</v>
      </c>
      <c r="B10692" t="s">
        <v>67</v>
      </c>
      <c r="C10692" t="s">
        <v>607</v>
      </c>
      <c r="D10692">
        <v>2920.26</v>
      </c>
      <c r="E10692" s="37" t="str">
        <f t="shared" si="835"/>
        <v xml:space="preserve"> </v>
      </c>
      <c r="F10692">
        <v>0.45</v>
      </c>
      <c r="G10692" s="37" t="str">
        <f t="shared" si="836"/>
        <v>Heavy Discount</v>
      </c>
      <c r="H10692" s="37" t="str">
        <f t="shared" si="837"/>
        <v>High</v>
      </c>
      <c r="I10692">
        <v>9</v>
      </c>
      <c r="J10692" t="str" cm="1">
        <f t="array" ref="J10692">_xlfn.IFS(I10692&lt;=3,"small",I10692&lt;=6,"Medium",I10692&lt;=9,"Large")</f>
        <v>Large</v>
      </c>
      <c r="K10692" s="36">
        <v>44998</v>
      </c>
      <c r="L10692" s="36">
        <v>45001</v>
      </c>
      <c r="M10692" t="s">
        <v>603</v>
      </c>
      <c r="N10692" t="s">
        <v>599</v>
      </c>
      <c r="O10692" s="37" t="str">
        <f t="shared" si="838"/>
        <v>Digital Payment</v>
      </c>
      <c r="P10692">
        <v>844.5</v>
      </c>
      <c r="Q10692" s="37" t="str">
        <f>IF(P10692&gt;500,"High","low")</f>
        <v>High</v>
      </c>
      <c r="R10692" s="37" t="str">
        <f t="shared" si="839"/>
        <v>Good</v>
      </c>
      <c r="S10692" t="s">
        <v>609</v>
      </c>
    </row>
    <row r="10693" spans="1:19" x14ac:dyDescent="0.2">
      <c r="A10693" t="s">
        <v>11304</v>
      </c>
      <c r="B10693" t="s">
        <v>75</v>
      </c>
      <c r="C10693" t="s">
        <v>597</v>
      </c>
      <c r="D10693">
        <v>3383.23</v>
      </c>
      <c r="E10693" s="37" t="str">
        <f t="shared" si="835"/>
        <v xml:space="preserve"> </v>
      </c>
      <c r="F10693">
        <v>0.28999999999999998</v>
      </c>
      <c r="G10693" s="37" t="str">
        <f t="shared" si="836"/>
        <v>Normal Discount</v>
      </c>
      <c r="H10693" s="37" t="str">
        <f t="shared" si="837"/>
        <v>Medium</v>
      </c>
      <c r="I10693">
        <v>3</v>
      </c>
      <c r="J10693" t="str" cm="1">
        <f t="array" ref="J10693">_xlfn.IFS(I10693&lt;=3,"small",I10693&lt;=6,"Medium",I10693&lt;=9,"Large")</f>
        <v>small</v>
      </c>
      <c r="K10693" s="36">
        <v>45259</v>
      </c>
      <c r="L10693" s="36">
        <v>45260</v>
      </c>
      <c r="M10693" t="s">
        <v>603</v>
      </c>
      <c r="N10693" t="s">
        <v>608</v>
      </c>
      <c r="O10693" s="37" t="str">
        <f t="shared" si="838"/>
        <v>Cash Payment</v>
      </c>
      <c r="P10693">
        <v>219.27</v>
      </c>
      <c r="Q10693" s="37" t="str">
        <f>IF(P10693&gt;500,"High","low")</f>
        <v>low</v>
      </c>
      <c r="R10693" s="37" t="str">
        <f t="shared" si="839"/>
        <v>AVERAGE</v>
      </c>
      <c r="S10693" t="s">
        <v>605</v>
      </c>
    </row>
    <row r="10694" spans="1:19" x14ac:dyDescent="0.2">
      <c r="A10694" t="s">
        <v>11305</v>
      </c>
      <c r="B10694" t="s">
        <v>75</v>
      </c>
      <c r="C10694" t="s">
        <v>614</v>
      </c>
      <c r="D10694">
        <v>930.01</v>
      </c>
      <c r="E10694" s="37" t="str">
        <f t="shared" si="835"/>
        <v xml:space="preserve"> </v>
      </c>
      <c r="F10694">
        <v>0.28000000000000003</v>
      </c>
      <c r="G10694" s="37" t="str">
        <f t="shared" si="836"/>
        <v>Normal Discount</v>
      </c>
      <c r="H10694" s="37" t="str">
        <f t="shared" si="837"/>
        <v>Medium</v>
      </c>
      <c r="I10694">
        <v>5</v>
      </c>
      <c r="J10694" t="str" cm="1">
        <f t="array" ref="J10694">_xlfn.IFS(I10694&lt;=3,"small",I10694&lt;=6,"Medium",I10694&lt;=9,"Large")</f>
        <v>Medium</v>
      </c>
      <c r="K10694" s="36">
        <v>45405</v>
      </c>
      <c r="L10694" s="36">
        <v>45411</v>
      </c>
      <c r="M10694" t="s">
        <v>598</v>
      </c>
      <c r="N10694" t="s">
        <v>608</v>
      </c>
      <c r="O10694" s="37" t="str">
        <f t="shared" si="838"/>
        <v>Cash Payment</v>
      </c>
      <c r="P10694">
        <v>245.73</v>
      </c>
      <c r="Q10694" s="37" t="str">
        <f>IF(P10694&gt;500,"High","low")</f>
        <v>low</v>
      </c>
      <c r="R10694" s="37" t="str">
        <f t="shared" si="839"/>
        <v>AVERAGE</v>
      </c>
      <c r="S10694" t="s">
        <v>609</v>
      </c>
    </row>
    <row r="10695" spans="1:19" x14ac:dyDescent="0.2">
      <c r="A10695" t="s">
        <v>11306</v>
      </c>
      <c r="B10695" t="s">
        <v>90</v>
      </c>
      <c r="C10695" t="s">
        <v>617</v>
      </c>
      <c r="D10695">
        <v>1282.73</v>
      </c>
      <c r="E10695" s="37" t="str">
        <f t="shared" si="835"/>
        <v xml:space="preserve"> </v>
      </c>
      <c r="F10695">
        <v>0.46</v>
      </c>
      <c r="G10695" s="37" t="str">
        <f t="shared" si="836"/>
        <v>Heavy Discount</v>
      </c>
      <c r="H10695" s="37" t="str">
        <f t="shared" si="837"/>
        <v>High</v>
      </c>
      <c r="I10695">
        <v>1</v>
      </c>
      <c r="J10695" t="str" cm="1">
        <f t="array" ref="J10695">_xlfn.IFS(I10695&lt;=3,"small",I10695&lt;=6,"Medium",I10695&lt;=9,"Large")</f>
        <v>small</v>
      </c>
      <c r="K10695" s="36">
        <v>45323</v>
      </c>
      <c r="L10695" s="36">
        <v>45324</v>
      </c>
      <c r="M10695" t="s">
        <v>598</v>
      </c>
      <c r="N10695" t="s">
        <v>599</v>
      </c>
      <c r="O10695" s="37" t="str">
        <f t="shared" si="838"/>
        <v>Digital Payment</v>
      </c>
      <c r="P10695">
        <v>99.68</v>
      </c>
      <c r="Q10695" s="37" t="str">
        <f>IF(P10695&gt;500,"High","low")</f>
        <v>low</v>
      </c>
      <c r="R10695" s="37" t="str">
        <f t="shared" si="839"/>
        <v>AVERAGE</v>
      </c>
      <c r="S10695" t="s">
        <v>615</v>
      </c>
    </row>
    <row r="10696" spans="1:19" x14ac:dyDescent="0.2">
      <c r="A10696" t="s">
        <v>11307</v>
      </c>
      <c r="B10696" t="s">
        <v>90</v>
      </c>
      <c r="C10696" t="s">
        <v>617</v>
      </c>
      <c r="D10696">
        <v>3804.42</v>
      </c>
      <c r="E10696" s="37" t="str">
        <f t="shared" si="835"/>
        <v xml:space="preserve"> </v>
      </c>
      <c r="F10696">
        <v>0.15</v>
      </c>
      <c r="G10696" s="37" t="str">
        <f t="shared" si="836"/>
        <v>Normal Discount</v>
      </c>
      <c r="H10696" s="37" t="str">
        <f t="shared" si="837"/>
        <v>Low</v>
      </c>
      <c r="I10696">
        <v>9</v>
      </c>
      <c r="J10696" t="str" cm="1">
        <f t="array" ref="J10696">_xlfn.IFS(I10696&lt;=3,"small",I10696&lt;=6,"Medium",I10696&lt;=9,"Large")</f>
        <v>Large</v>
      </c>
      <c r="K10696" s="36">
        <v>45102</v>
      </c>
      <c r="L10696" s="36">
        <v>45106</v>
      </c>
      <c r="M10696" t="s">
        <v>598</v>
      </c>
      <c r="N10696" t="s">
        <v>604</v>
      </c>
      <c r="O10696" s="37" t="str">
        <f t="shared" si="838"/>
        <v>Digital Payment</v>
      </c>
      <c r="P10696">
        <v>1025.92</v>
      </c>
      <c r="Q10696" s="37" t="str">
        <f>IF(P10696&gt;500,"High","low")</f>
        <v>High</v>
      </c>
      <c r="R10696" s="37" t="str">
        <f t="shared" si="839"/>
        <v>Excellent</v>
      </c>
      <c r="S10696" t="s">
        <v>615</v>
      </c>
    </row>
    <row r="10697" spans="1:19" x14ac:dyDescent="0.2">
      <c r="A10697" t="s">
        <v>11308</v>
      </c>
      <c r="B10697" t="s">
        <v>83</v>
      </c>
      <c r="C10697" t="s">
        <v>602</v>
      </c>
      <c r="D10697">
        <v>921.43</v>
      </c>
      <c r="E10697" s="37" t="str">
        <f t="shared" si="835"/>
        <v xml:space="preserve"> </v>
      </c>
      <c r="F10697">
        <v>0.1</v>
      </c>
      <c r="G10697" s="37" t="str">
        <f t="shared" si="836"/>
        <v>Normal Discount</v>
      </c>
      <c r="H10697" s="37" t="str">
        <f t="shared" si="837"/>
        <v>Low</v>
      </c>
      <c r="I10697">
        <v>6</v>
      </c>
      <c r="J10697" t="str" cm="1">
        <f t="array" ref="J10697">_xlfn.IFS(I10697&lt;=3,"small",I10697&lt;=6,"Medium",I10697&lt;=9,"Large")</f>
        <v>Medium</v>
      </c>
      <c r="K10697" s="36">
        <v>45550</v>
      </c>
      <c r="L10697" s="36">
        <v>45555</v>
      </c>
      <c r="M10697" t="s">
        <v>612</v>
      </c>
      <c r="N10697" t="s">
        <v>608</v>
      </c>
      <c r="O10697" s="37" t="str">
        <f t="shared" si="838"/>
        <v>Cash Payment</v>
      </c>
      <c r="P10697">
        <v>224.18</v>
      </c>
      <c r="Q10697" s="37" t="str">
        <f>IF(P10697&gt;500,"High","low")</f>
        <v>low</v>
      </c>
      <c r="R10697" s="37" t="str">
        <f t="shared" si="839"/>
        <v>AVERAGE</v>
      </c>
      <c r="S10697" t="s">
        <v>600</v>
      </c>
    </row>
    <row r="10698" spans="1:19" x14ac:dyDescent="0.2">
      <c r="A10698" t="s">
        <v>11309</v>
      </c>
      <c r="B10698" t="s">
        <v>90</v>
      </c>
      <c r="C10698" t="s">
        <v>597</v>
      </c>
      <c r="D10698">
        <v>2138.5300000000002</v>
      </c>
      <c r="E10698" s="37" t="str">
        <f t="shared" si="835"/>
        <v xml:space="preserve"> </v>
      </c>
      <c r="F10698">
        <v>0.44</v>
      </c>
      <c r="G10698" s="37" t="str">
        <f t="shared" si="836"/>
        <v>Heavy Discount</v>
      </c>
      <c r="H10698" s="37" t="str">
        <f t="shared" si="837"/>
        <v>High</v>
      </c>
      <c r="I10698">
        <v>5</v>
      </c>
      <c r="J10698" t="str" cm="1">
        <f t="array" ref="J10698">_xlfn.IFS(I10698&lt;=3,"small",I10698&lt;=6,"Medium",I10698&lt;=9,"Large")</f>
        <v>Medium</v>
      </c>
      <c r="K10698" s="36">
        <v>45504</v>
      </c>
      <c r="L10698" s="36">
        <v>45507</v>
      </c>
      <c r="M10698" t="s">
        <v>603</v>
      </c>
      <c r="N10698" t="s">
        <v>599</v>
      </c>
      <c r="O10698" s="37" t="str">
        <f t="shared" si="838"/>
        <v>Digital Payment</v>
      </c>
      <c r="P10698">
        <v>356.03</v>
      </c>
      <c r="Q10698" s="37" t="str">
        <f>IF(P10698&gt;500,"High","low")</f>
        <v>low</v>
      </c>
      <c r="R10698" s="37" t="str">
        <f t="shared" si="839"/>
        <v>AVERAGE</v>
      </c>
      <c r="S10698" t="s">
        <v>628</v>
      </c>
    </row>
    <row r="10699" spans="1:19" x14ac:dyDescent="0.2">
      <c r="A10699" t="s">
        <v>11310</v>
      </c>
      <c r="B10699" t="s">
        <v>83</v>
      </c>
      <c r="C10699" t="s">
        <v>614</v>
      </c>
      <c r="D10699">
        <v>1327.4</v>
      </c>
      <c r="E10699" s="37" t="str">
        <f t="shared" si="835"/>
        <v xml:space="preserve"> </v>
      </c>
      <c r="F10699">
        <v>0.04</v>
      </c>
      <c r="G10699" s="37" t="str">
        <f t="shared" si="836"/>
        <v>Normal Discount</v>
      </c>
      <c r="H10699" s="37" t="str">
        <f t="shared" si="837"/>
        <v>Low</v>
      </c>
      <c r="I10699">
        <v>4</v>
      </c>
      <c r="J10699" t="str" cm="1">
        <f t="array" ref="J10699">_xlfn.IFS(I10699&lt;=3,"small",I10699&lt;=6,"Medium",I10699&lt;=9,"Large")</f>
        <v>Medium</v>
      </c>
      <c r="K10699" s="36">
        <v>45569</v>
      </c>
      <c r="L10699" s="36">
        <v>45572</v>
      </c>
      <c r="M10699" t="s">
        <v>612</v>
      </c>
      <c r="N10699" t="s">
        <v>599</v>
      </c>
      <c r="O10699" s="37" t="str">
        <f t="shared" si="838"/>
        <v>Digital Payment</v>
      </c>
      <c r="P10699">
        <v>336.19</v>
      </c>
      <c r="Q10699" s="37" t="str">
        <f>IF(P10699&gt;500,"High","low")</f>
        <v>low</v>
      </c>
      <c r="R10699" s="37" t="str">
        <f t="shared" si="839"/>
        <v>AVERAGE</v>
      </c>
      <c r="S10699" t="s">
        <v>620</v>
      </c>
    </row>
    <row r="10700" spans="1:19" x14ac:dyDescent="0.2">
      <c r="A10700" t="s">
        <v>11311</v>
      </c>
      <c r="B10700" t="s">
        <v>67</v>
      </c>
      <c r="C10700" t="s">
        <v>602</v>
      </c>
      <c r="D10700">
        <v>2771.4</v>
      </c>
      <c r="E10700" s="37" t="str">
        <f t="shared" si="835"/>
        <v xml:space="preserve"> </v>
      </c>
      <c r="F10700">
        <v>0.09</v>
      </c>
      <c r="G10700" s="37" t="str">
        <f t="shared" si="836"/>
        <v>Normal Discount</v>
      </c>
      <c r="H10700" s="37" t="str">
        <f t="shared" si="837"/>
        <v>Low</v>
      </c>
      <c r="I10700">
        <v>8</v>
      </c>
      <c r="J10700" t="str" cm="1">
        <f t="array" ref="J10700">_xlfn.IFS(I10700&lt;=3,"small",I10700&lt;=6,"Medium",I10700&lt;=9,"Large")</f>
        <v>Large</v>
      </c>
      <c r="K10700" s="36">
        <v>45501</v>
      </c>
      <c r="L10700" s="36">
        <v>45508</v>
      </c>
      <c r="M10700" t="s">
        <v>603</v>
      </c>
      <c r="N10700" t="s">
        <v>599</v>
      </c>
      <c r="O10700" s="37" t="str">
        <f t="shared" si="838"/>
        <v>Digital Payment</v>
      </c>
      <c r="P10700">
        <v>417.04</v>
      </c>
      <c r="Q10700" s="37" t="str">
        <f>IF(P10700&gt;500,"High","low")</f>
        <v>low</v>
      </c>
      <c r="R10700" s="37" t="str">
        <f t="shared" si="839"/>
        <v>AVERAGE</v>
      </c>
      <c r="S10700" t="s">
        <v>600</v>
      </c>
    </row>
    <row r="10701" spans="1:19" x14ac:dyDescent="0.2">
      <c r="A10701" t="s">
        <v>11312</v>
      </c>
      <c r="B10701" t="s">
        <v>90</v>
      </c>
      <c r="C10701" t="s">
        <v>597</v>
      </c>
      <c r="D10701">
        <v>4935.67</v>
      </c>
      <c r="E10701" s="37" t="str">
        <f t="shared" si="835"/>
        <v>Excellent Order</v>
      </c>
      <c r="F10701">
        <v>0.21</v>
      </c>
      <c r="G10701" s="37" t="str">
        <f t="shared" si="836"/>
        <v>Normal Discount</v>
      </c>
      <c r="H10701" s="37" t="str">
        <f t="shared" si="837"/>
        <v>Medium</v>
      </c>
      <c r="I10701">
        <v>2</v>
      </c>
      <c r="J10701" t="str" cm="1">
        <f t="array" ref="J10701">_xlfn.IFS(I10701&lt;=3,"small",I10701&lt;=6,"Medium",I10701&lt;=9,"Large")</f>
        <v>small</v>
      </c>
      <c r="K10701" s="36">
        <v>44941</v>
      </c>
      <c r="L10701" s="36">
        <v>44945</v>
      </c>
      <c r="M10701" t="s">
        <v>598</v>
      </c>
      <c r="N10701" t="s">
        <v>604</v>
      </c>
      <c r="O10701" s="37" t="str">
        <f t="shared" si="838"/>
        <v>Digital Payment</v>
      </c>
      <c r="P10701">
        <v>1145.71</v>
      </c>
      <c r="Q10701" s="37" t="str">
        <f>IF(P10701&gt;500,"High","low")</f>
        <v>High</v>
      </c>
      <c r="R10701" s="37" t="str">
        <f t="shared" si="839"/>
        <v>Excellent</v>
      </c>
      <c r="S10701" t="s">
        <v>605</v>
      </c>
    </row>
    <row r="10702" spans="1:19" x14ac:dyDescent="0.2">
      <c r="A10702" t="s">
        <v>11313</v>
      </c>
      <c r="B10702" t="s">
        <v>75</v>
      </c>
      <c r="C10702" t="s">
        <v>607</v>
      </c>
      <c r="D10702">
        <v>4274.99</v>
      </c>
      <c r="E10702" s="37" t="str">
        <f t="shared" si="835"/>
        <v xml:space="preserve"> </v>
      </c>
      <c r="F10702">
        <v>0.18</v>
      </c>
      <c r="G10702" s="37" t="str">
        <f t="shared" si="836"/>
        <v>Normal Discount</v>
      </c>
      <c r="H10702" s="37" t="str">
        <f t="shared" si="837"/>
        <v>Low</v>
      </c>
      <c r="I10702">
        <v>5</v>
      </c>
      <c r="J10702" t="str" cm="1">
        <f t="array" ref="J10702">_xlfn.IFS(I10702&lt;=3,"small",I10702&lt;=6,"Medium",I10702&lt;=9,"Large")</f>
        <v>Medium</v>
      </c>
      <c r="K10702" s="36">
        <v>45568</v>
      </c>
      <c r="L10702" s="36">
        <v>45569</v>
      </c>
      <c r="M10702" t="s">
        <v>598</v>
      </c>
      <c r="N10702" t="s">
        <v>599</v>
      </c>
      <c r="O10702" s="37" t="str">
        <f t="shared" si="838"/>
        <v>Digital Payment</v>
      </c>
      <c r="P10702">
        <v>425.53</v>
      </c>
      <c r="Q10702" s="37" t="str">
        <f>IF(P10702&gt;500,"High","low")</f>
        <v>low</v>
      </c>
      <c r="R10702" s="37" t="str">
        <f t="shared" si="839"/>
        <v>AVERAGE</v>
      </c>
      <c r="S10702" t="s">
        <v>605</v>
      </c>
    </row>
    <row r="10703" spans="1:19" x14ac:dyDescent="0.2">
      <c r="A10703" t="s">
        <v>11314</v>
      </c>
      <c r="B10703" t="s">
        <v>75</v>
      </c>
      <c r="C10703" t="s">
        <v>607</v>
      </c>
      <c r="D10703">
        <v>1420.42</v>
      </c>
      <c r="E10703" s="37" t="str">
        <f t="shared" si="835"/>
        <v xml:space="preserve"> </v>
      </c>
      <c r="F10703">
        <v>0.35</v>
      </c>
      <c r="G10703" s="37" t="str">
        <f t="shared" si="836"/>
        <v>Heavy Discount</v>
      </c>
      <c r="H10703" s="37" t="str">
        <f t="shared" si="837"/>
        <v>Medium</v>
      </c>
      <c r="I10703">
        <v>8</v>
      </c>
      <c r="J10703" t="str" cm="1">
        <f t="array" ref="J10703">_xlfn.IFS(I10703&lt;=3,"small",I10703&lt;=6,"Medium",I10703&lt;=9,"Large")</f>
        <v>Large</v>
      </c>
      <c r="K10703" s="36">
        <v>45071</v>
      </c>
      <c r="L10703" s="36">
        <v>45078</v>
      </c>
      <c r="M10703" t="s">
        <v>598</v>
      </c>
      <c r="N10703" t="s">
        <v>599</v>
      </c>
      <c r="O10703" s="37" t="str">
        <f t="shared" si="838"/>
        <v>Digital Payment</v>
      </c>
      <c r="P10703">
        <v>96.29</v>
      </c>
      <c r="Q10703" s="37" t="str">
        <f>IF(P10703&gt;500,"High","low")</f>
        <v>low</v>
      </c>
      <c r="R10703" s="37" t="str">
        <f t="shared" si="839"/>
        <v>AVERAGE</v>
      </c>
      <c r="S10703" t="s">
        <v>609</v>
      </c>
    </row>
    <row r="10704" spans="1:19" x14ac:dyDescent="0.2">
      <c r="A10704" t="s">
        <v>11315</v>
      </c>
      <c r="B10704" t="s">
        <v>90</v>
      </c>
      <c r="C10704" t="s">
        <v>602</v>
      </c>
      <c r="D10704">
        <v>1906.2</v>
      </c>
      <c r="E10704" s="37" t="str">
        <f t="shared" si="835"/>
        <v xml:space="preserve"> </v>
      </c>
      <c r="F10704">
        <v>0.05</v>
      </c>
      <c r="G10704" s="37" t="str">
        <f t="shared" si="836"/>
        <v>Normal Discount</v>
      </c>
      <c r="H10704" s="37" t="str">
        <f t="shared" si="837"/>
        <v>Low</v>
      </c>
      <c r="I10704">
        <v>1</v>
      </c>
      <c r="J10704" t="str" cm="1">
        <f t="array" ref="J10704">_xlfn.IFS(I10704&lt;=3,"small",I10704&lt;=6,"Medium",I10704&lt;=9,"Large")</f>
        <v>small</v>
      </c>
      <c r="K10704" s="36">
        <v>45412</v>
      </c>
      <c r="L10704" s="36">
        <v>45417</v>
      </c>
      <c r="M10704" t="s">
        <v>598</v>
      </c>
      <c r="N10704" t="s">
        <v>604</v>
      </c>
      <c r="O10704" s="37" t="str">
        <f t="shared" si="838"/>
        <v>Digital Payment</v>
      </c>
      <c r="P10704">
        <v>412.5</v>
      </c>
      <c r="Q10704" s="37" t="str">
        <f>IF(P10704&gt;500,"High","low")</f>
        <v>low</v>
      </c>
      <c r="R10704" s="37" t="str">
        <f t="shared" si="839"/>
        <v>AVERAGE</v>
      </c>
      <c r="S10704" t="s">
        <v>609</v>
      </c>
    </row>
    <row r="10705" spans="1:19" x14ac:dyDescent="0.2">
      <c r="A10705" t="s">
        <v>11316</v>
      </c>
      <c r="B10705" t="s">
        <v>83</v>
      </c>
      <c r="C10705" t="s">
        <v>614</v>
      </c>
      <c r="D10705">
        <v>4601.3</v>
      </c>
      <c r="E10705" s="37" t="str">
        <f t="shared" si="835"/>
        <v xml:space="preserve"> </v>
      </c>
      <c r="F10705">
        <v>0.24</v>
      </c>
      <c r="G10705" s="37" t="str">
        <f t="shared" si="836"/>
        <v>Normal Discount</v>
      </c>
      <c r="H10705" s="37" t="str">
        <f t="shared" si="837"/>
        <v>Medium</v>
      </c>
      <c r="I10705">
        <v>3</v>
      </c>
      <c r="J10705" t="str" cm="1">
        <f t="array" ref="J10705">_xlfn.IFS(I10705&lt;=3,"small",I10705&lt;=6,"Medium",I10705&lt;=9,"Large")</f>
        <v>small</v>
      </c>
      <c r="K10705" s="36">
        <v>45187</v>
      </c>
      <c r="L10705" s="36">
        <v>45192</v>
      </c>
      <c r="M10705" t="s">
        <v>603</v>
      </c>
      <c r="N10705" t="s">
        <v>599</v>
      </c>
      <c r="O10705" s="37" t="str">
        <f t="shared" si="838"/>
        <v>Digital Payment</v>
      </c>
      <c r="P10705">
        <v>705.57</v>
      </c>
      <c r="Q10705" s="37" t="str">
        <f>IF(P10705&gt;500,"High","low")</f>
        <v>High</v>
      </c>
      <c r="R10705" s="37" t="str">
        <f t="shared" si="839"/>
        <v>Good</v>
      </c>
      <c r="S10705" t="s">
        <v>615</v>
      </c>
    </row>
    <row r="10706" spans="1:19" x14ac:dyDescent="0.2">
      <c r="A10706" t="s">
        <v>11317</v>
      </c>
      <c r="B10706" t="s">
        <v>75</v>
      </c>
      <c r="C10706" t="s">
        <v>597</v>
      </c>
      <c r="D10706">
        <v>4501.6499999999996</v>
      </c>
      <c r="E10706" s="37" t="str">
        <f t="shared" si="835"/>
        <v xml:space="preserve"> </v>
      </c>
      <c r="F10706">
        <v>0.4</v>
      </c>
      <c r="G10706" s="37" t="str">
        <f t="shared" si="836"/>
        <v>Heavy Discount</v>
      </c>
      <c r="H10706" s="37" t="str">
        <f t="shared" si="837"/>
        <v>Medium</v>
      </c>
      <c r="I10706">
        <v>7</v>
      </c>
      <c r="J10706" t="str" cm="1">
        <f t="array" ref="J10706">_xlfn.IFS(I10706&lt;=3,"small",I10706&lt;=6,"Medium",I10706&lt;=9,"Large")</f>
        <v>Large</v>
      </c>
      <c r="K10706" s="36">
        <v>45534</v>
      </c>
      <c r="L10706" s="36">
        <v>45538</v>
      </c>
      <c r="M10706" t="s">
        <v>598</v>
      </c>
      <c r="N10706" t="s">
        <v>608</v>
      </c>
      <c r="O10706" s="37" t="str">
        <f t="shared" si="838"/>
        <v>Cash Payment</v>
      </c>
      <c r="P10706">
        <v>473.43</v>
      </c>
      <c r="Q10706" s="37" t="str">
        <f>IF(P10706&gt;500,"High","low")</f>
        <v>low</v>
      </c>
      <c r="R10706" s="37" t="str">
        <f t="shared" si="839"/>
        <v>AVERAGE</v>
      </c>
      <c r="S10706" t="s">
        <v>600</v>
      </c>
    </row>
    <row r="10707" spans="1:19" x14ac:dyDescent="0.2">
      <c r="A10707" t="s">
        <v>11318</v>
      </c>
      <c r="B10707" t="s">
        <v>83</v>
      </c>
      <c r="C10707" t="s">
        <v>607</v>
      </c>
      <c r="D10707">
        <v>886.59</v>
      </c>
      <c r="E10707" s="37" t="str">
        <f t="shared" si="835"/>
        <v xml:space="preserve"> </v>
      </c>
      <c r="F10707">
        <v>0.34</v>
      </c>
      <c r="G10707" s="37" t="str">
        <f t="shared" si="836"/>
        <v>Heavy Discount</v>
      </c>
      <c r="H10707" s="37" t="str">
        <f t="shared" si="837"/>
        <v>Medium</v>
      </c>
      <c r="I10707">
        <v>5</v>
      </c>
      <c r="J10707" t="str" cm="1">
        <f t="array" ref="J10707">_xlfn.IFS(I10707&lt;=3,"small",I10707&lt;=6,"Medium",I10707&lt;=9,"Large")</f>
        <v>Medium</v>
      </c>
      <c r="K10707" s="36">
        <v>45501</v>
      </c>
      <c r="L10707" s="36">
        <v>45503</v>
      </c>
      <c r="M10707" t="s">
        <v>603</v>
      </c>
      <c r="N10707" t="s">
        <v>599</v>
      </c>
      <c r="O10707" s="37" t="str">
        <f t="shared" si="838"/>
        <v>Digital Payment</v>
      </c>
      <c r="P10707">
        <v>80.290000000000006</v>
      </c>
      <c r="Q10707" s="37" t="str">
        <f>IF(P10707&gt;500,"High","low")</f>
        <v>low</v>
      </c>
      <c r="R10707" s="37" t="str">
        <f t="shared" si="839"/>
        <v>AVERAGE</v>
      </c>
      <c r="S10707" t="s">
        <v>628</v>
      </c>
    </row>
    <row r="10708" spans="1:19" x14ac:dyDescent="0.2">
      <c r="A10708" t="s">
        <v>11319</v>
      </c>
      <c r="B10708" t="s">
        <v>90</v>
      </c>
      <c r="C10708" t="s">
        <v>607</v>
      </c>
      <c r="D10708">
        <v>4163.43</v>
      </c>
      <c r="E10708" s="37" t="str">
        <f t="shared" si="835"/>
        <v>Excellent Order</v>
      </c>
      <c r="F10708">
        <v>0.32</v>
      </c>
      <c r="G10708" s="37" t="str">
        <f t="shared" si="836"/>
        <v>Heavy Discount</v>
      </c>
      <c r="H10708" s="37" t="str">
        <f t="shared" si="837"/>
        <v>Medium</v>
      </c>
      <c r="I10708">
        <v>9</v>
      </c>
      <c r="J10708" t="str" cm="1">
        <f t="array" ref="J10708">_xlfn.IFS(I10708&lt;=3,"small",I10708&lt;=6,"Medium",I10708&lt;=9,"Large")</f>
        <v>Large</v>
      </c>
      <c r="K10708" s="36">
        <v>45314</v>
      </c>
      <c r="L10708" s="36">
        <v>45319</v>
      </c>
      <c r="M10708" t="s">
        <v>612</v>
      </c>
      <c r="N10708" t="s">
        <v>599</v>
      </c>
      <c r="O10708" s="37" t="str">
        <f t="shared" si="838"/>
        <v>Digital Payment</v>
      </c>
      <c r="P10708">
        <v>1118.17</v>
      </c>
      <c r="Q10708" s="37" t="str">
        <f>IF(P10708&gt;500,"High","low")</f>
        <v>High</v>
      </c>
      <c r="R10708" s="37" t="str">
        <f t="shared" si="839"/>
        <v>Excellent</v>
      </c>
      <c r="S10708" t="s">
        <v>605</v>
      </c>
    </row>
    <row r="10709" spans="1:19" x14ac:dyDescent="0.2">
      <c r="A10709" t="s">
        <v>11320</v>
      </c>
      <c r="B10709" t="s">
        <v>90</v>
      </c>
      <c r="C10709" t="s">
        <v>614</v>
      </c>
      <c r="D10709">
        <v>1558.28</v>
      </c>
      <c r="E10709" s="37" t="str">
        <f t="shared" si="835"/>
        <v xml:space="preserve"> </v>
      </c>
      <c r="F10709">
        <v>0.12</v>
      </c>
      <c r="G10709" s="37" t="str">
        <f t="shared" si="836"/>
        <v>Normal Discount</v>
      </c>
      <c r="H10709" s="37" t="str">
        <f t="shared" si="837"/>
        <v>Low</v>
      </c>
      <c r="I10709">
        <v>1</v>
      </c>
      <c r="J10709" t="str" cm="1">
        <f t="array" ref="J10709">_xlfn.IFS(I10709&lt;=3,"small",I10709&lt;=6,"Medium",I10709&lt;=9,"Large")</f>
        <v>small</v>
      </c>
      <c r="K10709" s="36">
        <v>45467</v>
      </c>
      <c r="L10709" s="36">
        <v>45469</v>
      </c>
      <c r="M10709" t="s">
        <v>598</v>
      </c>
      <c r="N10709" t="s">
        <v>608</v>
      </c>
      <c r="O10709" s="37" t="str">
        <f t="shared" si="838"/>
        <v>Cash Payment</v>
      </c>
      <c r="P10709">
        <v>213.55</v>
      </c>
      <c r="Q10709" s="37" t="str">
        <f>IF(P10709&gt;500,"High","low")</f>
        <v>low</v>
      </c>
      <c r="R10709" s="37" t="str">
        <f t="shared" si="839"/>
        <v>AVERAGE</v>
      </c>
      <c r="S10709" t="s">
        <v>620</v>
      </c>
    </row>
    <row r="10710" spans="1:19" x14ac:dyDescent="0.2">
      <c r="A10710" t="s">
        <v>11321</v>
      </c>
      <c r="B10710" t="s">
        <v>75</v>
      </c>
      <c r="C10710" t="s">
        <v>602</v>
      </c>
      <c r="D10710">
        <v>2764.64</v>
      </c>
      <c r="E10710" s="37" t="str">
        <f t="shared" si="835"/>
        <v xml:space="preserve"> </v>
      </c>
      <c r="F10710">
        <v>0.2</v>
      </c>
      <c r="G10710" s="37" t="str">
        <f t="shared" si="836"/>
        <v>Normal Discount</v>
      </c>
      <c r="H10710" s="37" t="str">
        <f t="shared" si="837"/>
        <v>Medium</v>
      </c>
      <c r="I10710">
        <v>7</v>
      </c>
      <c r="J10710" t="str" cm="1">
        <f t="array" ref="J10710">_xlfn.IFS(I10710&lt;=3,"small",I10710&lt;=6,"Medium",I10710&lt;=9,"Large")</f>
        <v>Large</v>
      </c>
      <c r="K10710" s="36">
        <v>45071</v>
      </c>
      <c r="L10710" s="36">
        <v>45075</v>
      </c>
      <c r="M10710" t="s">
        <v>612</v>
      </c>
      <c r="N10710" t="s">
        <v>599</v>
      </c>
      <c r="O10710" s="37" t="str">
        <f t="shared" si="838"/>
        <v>Digital Payment</v>
      </c>
      <c r="P10710">
        <v>709.71</v>
      </c>
      <c r="Q10710" s="37" t="str">
        <f>IF(P10710&gt;500,"High","low")</f>
        <v>High</v>
      </c>
      <c r="R10710" s="37" t="str">
        <f t="shared" si="839"/>
        <v>Good</v>
      </c>
      <c r="S10710" t="s">
        <v>600</v>
      </c>
    </row>
    <row r="10711" spans="1:19" x14ac:dyDescent="0.2">
      <c r="A10711" t="s">
        <v>11322</v>
      </c>
      <c r="B10711" t="s">
        <v>90</v>
      </c>
      <c r="C10711" t="s">
        <v>617</v>
      </c>
      <c r="D10711">
        <v>124.98</v>
      </c>
      <c r="E10711" s="37" t="str">
        <f t="shared" si="835"/>
        <v xml:space="preserve"> </v>
      </c>
      <c r="F10711">
        <v>0.09</v>
      </c>
      <c r="G10711" s="37" t="str">
        <f t="shared" si="836"/>
        <v>Normal Discount</v>
      </c>
      <c r="H10711" s="37" t="str">
        <f t="shared" si="837"/>
        <v>Low</v>
      </c>
      <c r="I10711">
        <v>6</v>
      </c>
      <c r="J10711" t="str" cm="1">
        <f t="array" ref="J10711">_xlfn.IFS(I10711&lt;=3,"small",I10711&lt;=6,"Medium",I10711&lt;=9,"Large")</f>
        <v>Medium</v>
      </c>
      <c r="K10711" s="36">
        <v>45601</v>
      </c>
      <c r="L10711" s="36">
        <v>45602</v>
      </c>
      <c r="M10711" t="s">
        <v>603</v>
      </c>
      <c r="N10711" t="s">
        <v>599</v>
      </c>
      <c r="O10711" s="37" t="str">
        <f t="shared" si="838"/>
        <v>Digital Payment</v>
      </c>
      <c r="P10711">
        <v>11.66</v>
      </c>
      <c r="Q10711" s="37" t="str">
        <f>IF(P10711&gt;500,"High","low")</f>
        <v>low</v>
      </c>
      <c r="R10711" s="37" t="str">
        <f t="shared" si="839"/>
        <v>AVERAGE</v>
      </c>
      <c r="S10711" t="s">
        <v>628</v>
      </c>
    </row>
    <row r="10712" spans="1:19" x14ac:dyDescent="0.2">
      <c r="A10712" t="s">
        <v>11323</v>
      </c>
      <c r="B10712" t="s">
        <v>67</v>
      </c>
      <c r="C10712" t="s">
        <v>597</v>
      </c>
      <c r="D10712">
        <v>4993.09</v>
      </c>
      <c r="E10712" s="37" t="str">
        <f t="shared" si="835"/>
        <v>Excellent Order</v>
      </c>
      <c r="F10712">
        <v>0.25</v>
      </c>
      <c r="G10712" s="37" t="str">
        <f t="shared" si="836"/>
        <v>Normal Discount</v>
      </c>
      <c r="H10712" s="37" t="str">
        <f t="shared" si="837"/>
        <v>Medium</v>
      </c>
      <c r="I10712">
        <v>4</v>
      </c>
      <c r="J10712" t="str" cm="1">
        <f t="array" ref="J10712">_xlfn.IFS(I10712&lt;=3,"small",I10712&lt;=6,"Medium",I10712&lt;=9,"Large")</f>
        <v>Medium</v>
      </c>
      <c r="K10712" s="36">
        <v>45614</v>
      </c>
      <c r="L10712" s="36">
        <v>45616</v>
      </c>
      <c r="M10712" t="s">
        <v>603</v>
      </c>
      <c r="N10712" t="s">
        <v>608</v>
      </c>
      <c r="O10712" s="37" t="str">
        <f t="shared" si="838"/>
        <v>Cash Payment</v>
      </c>
      <c r="P10712">
        <v>824.62</v>
      </c>
      <c r="Q10712" s="37" t="str">
        <f>IF(P10712&gt;500,"High","low")</f>
        <v>High</v>
      </c>
      <c r="R10712" s="37" t="str">
        <f t="shared" si="839"/>
        <v>Good</v>
      </c>
      <c r="S10712" t="s">
        <v>609</v>
      </c>
    </row>
    <row r="10713" spans="1:19" x14ac:dyDescent="0.2">
      <c r="A10713" t="s">
        <v>11324</v>
      </c>
      <c r="B10713" t="s">
        <v>67</v>
      </c>
      <c r="C10713" t="s">
        <v>607</v>
      </c>
      <c r="D10713">
        <v>3829.37</v>
      </c>
      <c r="E10713" s="37" t="str">
        <f t="shared" si="835"/>
        <v xml:space="preserve"> </v>
      </c>
      <c r="F10713">
        <v>0.28999999999999998</v>
      </c>
      <c r="G10713" s="37" t="str">
        <f t="shared" si="836"/>
        <v>Normal Discount</v>
      </c>
      <c r="H10713" s="37" t="str">
        <f t="shared" si="837"/>
        <v>Medium</v>
      </c>
      <c r="I10713">
        <v>6</v>
      </c>
      <c r="J10713" t="str" cm="1">
        <f t="array" ref="J10713">_xlfn.IFS(I10713&lt;=3,"small",I10713&lt;=6,"Medium",I10713&lt;=9,"Large")</f>
        <v>Medium</v>
      </c>
      <c r="K10713" s="36">
        <v>45267</v>
      </c>
      <c r="L10713" s="36">
        <v>45270</v>
      </c>
      <c r="M10713" t="s">
        <v>603</v>
      </c>
      <c r="N10713" t="s">
        <v>599</v>
      </c>
      <c r="O10713" s="37" t="str">
        <f t="shared" si="838"/>
        <v>Digital Payment</v>
      </c>
      <c r="P10713">
        <v>609.99</v>
      </c>
      <c r="Q10713" s="37" t="str">
        <f>IF(P10713&gt;500,"High","low")</f>
        <v>High</v>
      </c>
      <c r="R10713" s="37" t="str">
        <f t="shared" si="839"/>
        <v>Good</v>
      </c>
      <c r="S10713" t="s">
        <v>605</v>
      </c>
    </row>
    <row r="10714" spans="1:19" x14ac:dyDescent="0.2">
      <c r="A10714" t="s">
        <v>11325</v>
      </c>
      <c r="B10714" t="s">
        <v>75</v>
      </c>
      <c r="C10714" t="s">
        <v>617</v>
      </c>
      <c r="D10714">
        <v>1284.49</v>
      </c>
      <c r="E10714" s="37" t="str">
        <f t="shared" si="835"/>
        <v xml:space="preserve"> </v>
      </c>
      <c r="F10714">
        <v>0.32</v>
      </c>
      <c r="G10714" s="37" t="str">
        <f t="shared" si="836"/>
        <v>Heavy Discount</v>
      </c>
      <c r="H10714" s="37" t="str">
        <f t="shared" si="837"/>
        <v>Medium</v>
      </c>
      <c r="I10714">
        <v>9</v>
      </c>
      <c r="J10714" t="str" cm="1">
        <f t="array" ref="J10714">_xlfn.IFS(I10714&lt;=3,"small",I10714&lt;=6,"Medium",I10714&lt;=9,"Large")</f>
        <v>Large</v>
      </c>
      <c r="K10714" s="36">
        <v>45013</v>
      </c>
      <c r="L10714" s="36">
        <v>45015</v>
      </c>
      <c r="M10714" t="s">
        <v>612</v>
      </c>
      <c r="N10714" t="s">
        <v>608</v>
      </c>
      <c r="O10714" s="37" t="str">
        <f t="shared" si="838"/>
        <v>Cash Payment</v>
      </c>
      <c r="P10714">
        <v>138.27000000000001</v>
      </c>
      <c r="Q10714" s="37" t="str">
        <f>IF(P10714&gt;500,"High","low")</f>
        <v>low</v>
      </c>
      <c r="R10714" s="37" t="str">
        <f t="shared" si="839"/>
        <v>AVERAGE</v>
      </c>
      <c r="S10714" t="s">
        <v>620</v>
      </c>
    </row>
    <row r="10715" spans="1:19" x14ac:dyDescent="0.2">
      <c r="A10715" t="s">
        <v>11326</v>
      </c>
      <c r="B10715" t="s">
        <v>67</v>
      </c>
      <c r="C10715" t="s">
        <v>614</v>
      </c>
      <c r="D10715">
        <v>3450.59</v>
      </c>
      <c r="E10715" s="37" t="str">
        <f t="shared" si="835"/>
        <v xml:space="preserve"> </v>
      </c>
      <c r="F10715">
        <v>0.44</v>
      </c>
      <c r="G10715" s="37" t="str">
        <f t="shared" si="836"/>
        <v>Heavy Discount</v>
      </c>
      <c r="H10715" s="37" t="str">
        <f t="shared" si="837"/>
        <v>High</v>
      </c>
      <c r="I10715">
        <v>9</v>
      </c>
      <c r="J10715" t="str" cm="1">
        <f t="array" ref="J10715">_xlfn.IFS(I10715&lt;=3,"small",I10715&lt;=6,"Medium",I10715&lt;=9,"Large")</f>
        <v>Large</v>
      </c>
      <c r="K10715" s="36">
        <v>45230</v>
      </c>
      <c r="L10715" s="36">
        <v>45231</v>
      </c>
      <c r="M10715" t="s">
        <v>603</v>
      </c>
      <c r="N10715" t="s">
        <v>599</v>
      </c>
      <c r="O10715" s="37" t="str">
        <f t="shared" si="838"/>
        <v>Digital Payment</v>
      </c>
      <c r="P10715">
        <v>342.01</v>
      </c>
      <c r="Q10715" s="37" t="str">
        <f>IF(P10715&gt;500,"High","low")</f>
        <v>low</v>
      </c>
      <c r="R10715" s="37" t="str">
        <f t="shared" si="839"/>
        <v>AVERAGE</v>
      </c>
      <c r="S10715" t="s">
        <v>620</v>
      </c>
    </row>
    <row r="10716" spans="1:19" x14ac:dyDescent="0.2">
      <c r="A10716" t="s">
        <v>11327</v>
      </c>
      <c r="B10716" t="s">
        <v>83</v>
      </c>
      <c r="C10716" t="s">
        <v>602</v>
      </c>
      <c r="D10716">
        <v>1537.21</v>
      </c>
      <c r="E10716" s="37" t="str">
        <f t="shared" si="835"/>
        <v xml:space="preserve"> </v>
      </c>
      <c r="F10716">
        <v>0.03</v>
      </c>
      <c r="G10716" s="37" t="str">
        <f t="shared" si="836"/>
        <v>Normal Discount</v>
      </c>
      <c r="H10716" s="37" t="str">
        <f t="shared" si="837"/>
        <v>Low</v>
      </c>
      <c r="I10716">
        <v>2</v>
      </c>
      <c r="J10716" t="str" cm="1">
        <f t="array" ref="J10716">_xlfn.IFS(I10716&lt;=3,"small",I10716&lt;=6,"Medium",I10716&lt;=9,"Large")</f>
        <v>small</v>
      </c>
      <c r="K10716" s="36">
        <v>45555</v>
      </c>
      <c r="L10716" s="36">
        <v>45557</v>
      </c>
      <c r="M10716" t="s">
        <v>603</v>
      </c>
      <c r="N10716" t="s">
        <v>608</v>
      </c>
      <c r="O10716" s="37" t="str">
        <f t="shared" si="838"/>
        <v>Cash Payment</v>
      </c>
      <c r="P10716">
        <v>267.08999999999997</v>
      </c>
      <c r="Q10716" s="37" t="str">
        <f>IF(P10716&gt;500,"High","low")</f>
        <v>low</v>
      </c>
      <c r="R10716" s="37" t="str">
        <f t="shared" si="839"/>
        <v>AVERAGE</v>
      </c>
      <c r="S10716" t="s">
        <v>628</v>
      </c>
    </row>
    <row r="10717" spans="1:19" x14ac:dyDescent="0.2">
      <c r="A10717" t="s">
        <v>11328</v>
      </c>
      <c r="B10717" t="s">
        <v>75</v>
      </c>
      <c r="C10717" t="s">
        <v>597</v>
      </c>
      <c r="D10717">
        <v>538.33000000000004</v>
      </c>
      <c r="E10717" s="37" t="str">
        <f t="shared" si="835"/>
        <v xml:space="preserve"> </v>
      </c>
      <c r="F10717">
        <v>0.19</v>
      </c>
      <c r="G10717" s="37" t="str">
        <f t="shared" si="836"/>
        <v>Normal Discount</v>
      </c>
      <c r="H10717" s="37" t="str">
        <f t="shared" si="837"/>
        <v>Low</v>
      </c>
      <c r="I10717">
        <v>9</v>
      </c>
      <c r="J10717" t="str" cm="1">
        <f t="array" ref="J10717">_xlfn.IFS(I10717&lt;=3,"small",I10717&lt;=6,"Medium",I10717&lt;=9,"Large")</f>
        <v>Large</v>
      </c>
      <c r="K10717" s="36">
        <v>45129</v>
      </c>
      <c r="L10717" s="36">
        <v>45133</v>
      </c>
      <c r="M10717" t="s">
        <v>612</v>
      </c>
      <c r="N10717" t="s">
        <v>608</v>
      </c>
      <c r="O10717" s="37" t="str">
        <f t="shared" si="838"/>
        <v>Cash Payment</v>
      </c>
      <c r="P10717">
        <v>88.13</v>
      </c>
      <c r="Q10717" s="37" t="str">
        <f>IF(P10717&gt;500,"High","low")</f>
        <v>low</v>
      </c>
      <c r="R10717" s="37" t="str">
        <f t="shared" si="839"/>
        <v>AVERAGE</v>
      </c>
      <c r="S10717" t="s">
        <v>605</v>
      </c>
    </row>
    <row r="10718" spans="1:19" x14ac:dyDescent="0.2">
      <c r="A10718" t="s">
        <v>11329</v>
      </c>
      <c r="B10718" t="s">
        <v>75</v>
      </c>
      <c r="C10718" t="s">
        <v>614</v>
      </c>
      <c r="D10718">
        <v>2184.02</v>
      </c>
      <c r="E10718" s="37" t="str">
        <f t="shared" si="835"/>
        <v xml:space="preserve"> </v>
      </c>
      <c r="F10718">
        <v>0.3</v>
      </c>
      <c r="G10718" s="37" t="str">
        <f t="shared" si="836"/>
        <v>Normal Discount</v>
      </c>
      <c r="H10718" s="37" t="str">
        <f t="shared" si="837"/>
        <v>Medium</v>
      </c>
      <c r="I10718">
        <v>2</v>
      </c>
      <c r="J10718" t="str" cm="1">
        <f t="array" ref="J10718">_xlfn.IFS(I10718&lt;=3,"small",I10718&lt;=6,"Medium",I10718&lt;=9,"Large")</f>
        <v>small</v>
      </c>
      <c r="K10718" s="36">
        <v>45183</v>
      </c>
      <c r="L10718" s="36">
        <v>45185</v>
      </c>
      <c r="M10718" t="s">
        <v>598</v>
      </c>
      <c r="N10718" t="s">
        <v>599</v>
      </c>
      <c r="O10718" s="37" t="str">
        <f t="shared" si="838"/>
        <v>Digital Payment</v>
      </c>
      <c r="P10718">
        <v>537.45000000000005</v>
      </c>
      <c r="Q10718" s="37" t="str">
        <f>IF(P10718&gt;500,"High","low")</f>
        <v>High</v>
      </c>
      <c r="R10718" s="37" t="str">
        <f t="shared" si="839"/>
        <v>Good</v>
      </c>
      <c r="S10718" t="s">
        <v>605</v>
      </c>
    </row>
    <row r="10719" spans="1:19" x14ac:dyDescent="0.2">
      <c r="A10719" t="s">
        <v>11330</v>
      </c>
      <c r="B10719" t="s">
        <v>83</v>
      </c>
      <c r="C10719" t="s">
        <v>602</v>
      </c>
      <c r="D10719">
        <v>3107.22</v>
      </c>
      <c r="E10719" s="37" t="str">
        <f t="shared" si="835"/>
        <v xml:space="preserve"> </v>
      </c>
      <c r="F10719">
        <v>0.28999999999999998</v>
      </c>
      <c r="G10719" s="37" t="str">
        <f t="shared" si="836"/>
        <v>Normal Discount</v>
      </c>
      <c r="H10719" s="37" t="str">
        <f t="shared" si="837"/>
        <v>Medium</v>
      </c>
      <c r="I10719">
        <v>6</v>
      </c>
      <c r="J10719" t="str" cm="1">
        <f t="array" ref="J10719">_xlfn.IFS(I10719&lt;=3,"small",I10719&lt;=6,"Medium",I10719&lt;=9,"Large")</f>
        <v>Medium</v>
      </c>
      <c r="K10719" s="36">
        <v>45573</v>
      </c>
      <c r="L10719" s="36">
        <v>45580</v>
      </c>
      <c r="M10719" t="s">
        <v>612</v>
      </c>
      <c r="N10719" t="s">
        <v>604</v>
      </c>
      <c r="O10719" s="37" t="str">
        <f t="shared" si="838"/>
        <v>Digital Payment</v>
      </c>
      <c r="P10719">
        <v>523.44000000000005</v>
      </c>
      <c r="Q10719" s="37" t="str">
        <f>IF(P10719&gt;500,"High","low")</f>
        <v>High</v>
      </c>
      <c r="R10719" s="37" t="str">
        <f t="shared" si="839"/>
        <v>Good</v>
      </c>
      <c r="S10719" t="s">
        <v>600</v>
      </c>
    </row>
    <row r="10720" spans="1:19" x14ac:dyDescent="0.2">
      <c r="A10720" t="s">
        <v>11331</v>
      </c>
      <c r="B10720" t="s">
        <v>67</v>
      </c>
      <c r="C10720" t="s">
        <v>614</v>
      </c>
      <c r="D10720">
        <v>539.91</v>
      </c>
      <c r="E10720" s="37" t="str">
        <f t="shared" si="835"/>
        <v xml:space="preserve"> </v>
      </c>
      <c r="F10720">
        <v>0.01</v>
      </c>
      <c r="G10720" s="37" t="str">
        <f t="shared" si="836"/>
        <v>Normal Discount</v>
      </c>
      <c r="H10720" s="37" t="str">
        <f t="shared" si="837"/>
        <v>Low</v>
      </c>
      <c r="I10720">
        <v>7</v>
      </c>
      <c r="J10720" t="str" cm="1">
        <f t="array" ref="J10720">_xlfn.IFS(I10720&lt;=3,"small",I10720&lt;=6,"Medium",I10720&lt;=9,"Large")</f>
        <v>Large</v>
      </c>
      <c r="K10720" s="36">
        <v>45159</v>
      </c>
      <c r="L10720" s="36">
        <v>45165</v>
      </c>
      <c r="M10720" t="s">
        <v>612</v>
      </c>
      <c r="N10720" t="s">
        <v>608</v>
      </c>
      <c r="O10720" s="37" t="str">
        <f t="shared" si="838"/>
        <v>Cash Payment</v>
      </c>
      <c r="P10720">
        <v>71.75</v>
      </c>
      <c r="Q10720" s="37" t="str">
        <f>IF(P10720&gt;500,"High","low")</f>
        <v>low</v>
      </c>
      <c r="R10720" s="37" t="str">
        <f t="shared" si="839"/>
        <v>AVERAGE</v>
      </c>
      <c r="S10720" t="s">
        <v>600</v>
      </c>
    </row>
    <row r="10721" spans="1:19" x14ac:dyDescent="0.2">
      <c r="A10721" t="s">
        <v>11332</v>
      </c>
      <c r="B10721" t="s">
        <v>67</v>
      </c>
      <c r="C10721" t="s">
        <v>607</v>
      </c>
      <c r="D10721">
        <v>2640.19</v>
      </c>
      <c r="E10721" s="37" t="str">
        <f t="shared" si="835"/>
        <v xml:space="preserve"> </v>
      </c>
      <c r="F10721">
        <v>0.09</v>
      </c>
      <c r="G10721" s="37" t="str">
        <f t="shared" si="836"/>
        <v>Normal Discount</v>
      </c>
      <c r="H10721" s="37" t="str">
        <f t="shared" si="837"/>
        <v>Low</v>
      </c>
      <c r="I10721">
        <v>9</v>
      </c>
      <c r="J10721" t="str" cm="1">
        <f t="array" ref="J10721">_xlfn.IFS(I10721&lt;=3,"small",I10721&lt;=6,"Medium",I10721&lt;=9,"Large")</f>
        <v>Large</v>
      </c>
      <c r="K10721" s="36">
        <v>45515</v>
      </c>
      <c r="L10721" s="36">
        <v>45518</v>
      </c>
      <c r="M10721" t="s">
        <v>603</v>
      </c>
      <c r="N10721" t="s">
        <v>608</v>
      </c>
      <c r="O10721" s="37" t="str">
        <f t="shared" si="838"/>
        <v>Cash Payment</v>
      </c>
      <c r="P10721">
        <v>449.34</v>
      </c>
      <c r="Q10721" s="37" t="str">
        <f>IF(P10721&gt;500,"High","low")</f>
        <v>low</v>
      </c>
      <c r="R10721" s="37" t="str">
        <f t="shared" si="839"/>
        <v>AVERAGE</v>
      </c>
      <c r="S10721" t="s">
        <v>600</v>
      </c>
    </row>
    <row r="10722" spans="1:19" x14ac:dyDescent="0.2">
      <c r="A10722" t="s">
        <v>11333</v>
      </c>
      <c r="B10722" t="s">
        <v>67</v>
      </c>
      <c r="C10722" t="s">
        <v>607</v>
      </c>
      <c r="D10722">
        <v>2622.83</v>
      </c>
      <c r="E10722" s="37" t="str">
        <f t="shared" si="835"/>
        <v xml:space="preserve"> </v>
      </c>
      <c r="F10722">
        <v>0.42</v>
      </c>
      <c r="G10722" s="37" t="str">
        <f t="shared" si="836"/>
        <v>Heavy Discount</v>
      </c>
      <c r="H10722" s="37" t="str">
        <f t="shared" si="837"/>
        <v>High</v>
      </c>
      <c r="I10722">
        <v>6</v>
      </c>
      <c r="J10722" t="str" cm="1">
        <f t="array" ref="J10722">_xlfn.IFS(I10722&lt;=3,"small",I10722&lt;=6,"Medium",I10722&lt;=9,"Large")</f>
        <v>Medium</v>
      </c>
      <c r="K10722" s="36">
        <v>45300</v>
      </c>
      <c r="L10722" s="36">
        <v>45302</v>
      </c>
      <c r="M10722" t="s">
        <v>612</v>
      </c>
      <c r="N10722" t="s">
        <v>608</v>
      </c>
      <c r="O10722" s="37" t="str">
        <f t="shared" si="838"/>
        <v>Cash Payment</v>
      </c>
      <c r="P10722">
        <v>733.06</v>
      </c>
      <c r="Q10722" s="37" t="str">
        <f>IF(P10722&gt;500,"High","low")</f>
        <v>High</v>
      </c>
      <c r="R10722" s="37" t="str">
        <f t="shared" si="839"/>
        <v>Good</v>
      </c>
      <c r="S10722" t="s">
        <v>620</v>
      </c>
    </row>
    <row r="10723" spans="1:19" x14ac:dyDescent="0.2">
      <c r="A10723" t="s">
        <v>11334</v>
      </c>
      <c r="B10723" t="s">
        <v>75</v>
      </c>
      <c r="C10723" t="s">
        <v>617</v>
      </c>
      <c r="D10723">
        <v>3180.36</v>
      </c>
      <c r="E10723" s="37" t="str">
        <f t="shared" si="835"/>
        <v xml:space="preserve"> </v>
      </c>
      <c r="F10723">
        <v>0.26</v>
      </c>
      <c r="G10723" s="37" t="str">
        <f t="shared" si="836"/>
        <v>Normal Discount</v>
      </c>
      <c r="H10723" s="37" t="str">
        <f t="shared" si="837"/>
        <v>Medium</v>
      </c>
      <c r="I10723">
        <v>8</v>
      </c>
      <c r="J10723" t="str" cm="1">
        <f t="array" ref="J10723">_xlfn.IFS(I10723&lt;=3,"small",I10723&lt;=6,"Medium",I10723&lt;=9,"Large")</f>
        <v>Large</v>
      </c>
      <c r="K10723" s="36">
        <v>45522</v>
      </c>
      <c r="L10723" s="36">
        <v>45526</v>
      </c>
      <c r="M10723" t="s">
        <v>603</v>
      </c>
      <c r="N10723" t="s">
        <v>599</v>
      </c>
      <c r="O10723" s="37" t="str">
        <f t="shared" si="838"/>
        <v>Digital Payment</v>
      </c>
      <c r="P10723">
        <v>277.5</v>
      </c>
      <c r="Q10723" s="37" t="str">
        <f>IF(P10723&gt;500,"High","low")</f>
        <v>low</v>
      </c>
      <c r="R10723" s="37" t="str">
        <f t="shared" si="839"/>
        <v>AVERAGE</v>
      </c>
      <c r="S10723" t="s">
        <v>628</v>
      </c>
    </row>
    <row r="10724" spans="1:19" x14ac:dyDescent="0.2">
      <c r="A10724" t="s">
        <v>11335</v>
      </c>
      <c r="B10724" t="s">
        <v>75</v>
      </c>
      <c r="C10724" t="s">
        <v>614</v>
      </c>
      <c r="D10724">
        <v>1298.76</v>
      </c>
      <c r="E10724" s="37" t="str">
        <f t="shared" si="835"/>
        <v xml:space="preserve"> </v>
      </c>
      <c r="F10724">
        <v>0.21</v>
      </c>
      <c r="G10724" s="37" t="str">
        <f t="shared" si="836"/>
        <v>Normal Discount</v>
      </c>
      <c r="H10724" s="37" t="str">
        <f t="shared" si="837"/>
        <v>Medium</v>
      </c>
      <c r="I10724">
        <v>3</v>
      </c>
      <c r="J10724" t="str" cm="1">
        <f t="array" ref="J10724">_xlfn.IFS(I10724&lt;=3,"small",I10724&lt;=6,"Medium",I10724&lt;=9,"Large")</f>
        <v>small</v>
      </c>
      <c r="K10724" s="36">
        <v>45636</v>
      </c>
      <c r="L10724" s="36">
        <v>45638</v>
      </c>
      <c r="M10724" t="s">
        <v>598</v>
      </c>
      <c r="N10724" t="s">
        <v>599</v>
      </c>
      <c r="O10724" s="37" t="str">
        <f t="shared" si="838"/>
        <v>Digital Payment</v>
      </c>
      <c r="P10724">
        <v>362.5</v>
      </c>
      <c r="Q10724" s="37" t="str">
        <f>IF(P10724&gt;500,"High","low")</f>
        <v>low</v>
      </c>
      <c r="R10724" s="37" t="str">
        <f t="shared" si="839"/>
        <v>AVERAGE</v>
      </c>
      <c r="S10724" t="s">
        <v>615</v>
      </c>
    </row>
    <row r="10725" spans="1:19" x14ac:dyDescent="0.2">
      <c r="A10725" t="s">
        <v>11336</v>
      </c>
      <c r="B10725" t="s">
        <v>67</v>
      </c>
      <c r="C10725" t="s">
        <v>607</v>
      </c>
      <c r="D10725">
        <v>201.14</v>
      </c>
      <c r="E10725" s="37" t="str">
        <f t="shared" si="835"/>
        <v xml:space="preserve"> </v>
      </c>
      <c r="F10725">
        <v>0.45</v>
      </c>
      <c r="G10725" s="37" t="str">
        <f t="shared" si="836"/>
        <v>Heavy Discount</v>
      </c>
      <c r="H10725" s="37" t="str">
        <f t="shared" si="837"/>
        <v>High</v>
      </c>
      <c r="I10725">
        <v>6</v>
      </c>
      <c r="J10725" t="str" cm="1">
        <f t="array" ref="J10725">_xlfn.IFS(I10725&lt;=3,"small",I10725&lt;=6,"Medium",I10725&lt;=9,"Large")</f>
        <v>Medium</v>
      </c>
      <c r="K10725" s="36">
        <v>45508</v>
      </c>
      <c r="L10725" s="36">
        <v>45513</v>
      </c>
      <c r="M10725" t="s">
        <v>603</v>
      </c>
      <c r="N10725" t="s">
        <v>599</v>
      </c>
      <c r="O10725" s="37" t="str">
        <f t="shared" si="838"/>
        <v>Digital Payment</v>
      </c>
      <c r="P10725">
        <v>45.15</v>
      </c>
      <c r="Q10725" s="37" t="str">
        <f>IF(P10725&gt;500,"High","low")</f>
        <v>low</v>
      </c>
      <c r="R10725" s="37" t="str">
        <f t="shared" si="839"/>
        <v>AVERAGE</v>
      </c>
      <c r="S10725" t="s">
        <v>620</v>
      </c>
    </row>
    <row r="10726" spans="1:19" x14ac:dyDescent="0.2">
      <c r="A10726" t="s">
        <v>11337</v>
      </c>
      <c r="B10726" t="s">
        <v>90</v>
      </c>
      <c r="C10726" t="s">
        <v>602</v>
      </c>
      <c r="D10726">
        <v>1691.8</v>
      </c>
      <c r="E10726" s="37" t="str">
        <f t="shared" si="835"/>
        <v xml:space="preserve"> </v>
      </c>
      <c r="F10726">
        <v>0.04</v>
      </c>
      <c r="G10726" s="37" t="str">
        <f t="shared" si="836"/>
        <v>Normal Discount</v>
      </c>
      <c r="H10726" s="37" t="str">
        <f t="shared" si="837"/>
        <v>Low</v>
      </c>
      <c r="I10726">
        <v>2</v>
      </c>
      <c r="J10726" t="str" cm="1">
        <f t="array" ref="J10726">_xlfn.IFS(I10726&lt;=3,"small",I10726&lt;=6,"Medium",I10726&lt;=9,"Large")</f>
        <v>small</v>
      </c>
      <c r="K10726" s="36">
        <v>45024</v>
      </c>
      <c r="L10726" s="36">
        <v>45025</v>
      </c>
      <c r="M10726" t="s">
        <v>612</v>
      </c>
      <c r="N10726" t="s">
        <v>608</v>
      </c>
      <c r="O10726" s="37" t="str">
        <f t="shared" si="838"/>
        <v>Cash Payment</v>
      </c>
      <c r="P10726">
        <v>366.05</v>
      </c>
      <c r="Q10726" s="37" t="str">
        <f>IF(P10726&gt;500,"High","low")</f>
        <v>low</v>
      </c>
      <c r="R10726" s="37" t="str">
        <f t="shared" si="839"/>
        <v>AVERAGE</v>
      </c>
      <c r="S10726" t="s">
        <v>605</v>
      </c>
    </row>
    <row r="10727" spans="1:19" x14ac:dyDescent="0.2">
      <c r="A10727" t="s">
        <v>11338</v>
      </c>
      <c r="B10727" t="s">
        <v>67</v>
      </c>
      <c r="C10727" t="s">
        <v>617</v>
      </c>
      <c r="D10727">
        <v>2053.0500000000002</v>
      </c>
      <c r="E10727" s="37" t="str">
        <f t="shared" si="835"/>
        <v xml:space="preserve"> </v>
      </c>
      <c r="F10727">
        <v>0.46</v>
      </c>
      <c r="G10727" s="37" t="str">
        <f t="shared" si="836"/>
        <v>Heavy Discount</v>
      </c>
      <c r="H10727" s="37" t="str">
        <f t="shared" si="837"/>
        <v>High</v>
      </c>
      <c r="I10727">
        <v>1</v>
      </c>
      <c r="J10727" t="str" cm="1">
        <f t="array" ref="J10727">_xlfn.IFS(I10727&lt;=3,"small",I10727&lt;=6,"Medium",I10727&lt;=9,"Large")</f>
        <v>small</v>
      </c>
      <c r="K10727" s="36">
        <v>45537</v>
      </c>
      <c r="L10727" s="36">
        <v>45540</v>
      </c>
      <c r="M10727" t="s">
        <v>612</v>
      </c>
      <c r="N10727" t="s">
        <v>604</v>
      </c>
      <c r="O10727" s="37" t="str">
        <f t="shared" si="838"/>
        <v>Digital Payment</v>
      </c>
      <c r="P10727">
        <v>324.87</v>
      </c>
      <c r="Q10727" s="37" t="str">
        <f>IF(P10727&gt;500,"High","low")</f>
        <v>low</v>
      </c>
      <c r="R10727" s="37" t="str">
        <f t="shared" si="839"/>
        <v>AVERAGE</v>
      </c>
      <c r="S10727" t="s">
        <v>620</v>
      </c>
    </row>
    <row r="10728" spans="1:19" x14ac:dyDescent="0.2">
      <c r="A10728" t="s">
        <v>11339</v>
      </c>
      <c r="B10728" t="s">
        <v>83</v>
      </c>
      <c r="C10728" t="s">
        <v>597</v>
      </c>
      <c r="D10728">
        <v>3215.13</v>
      </c>
      <c r="E10728" s="37" t="str">
        <f t="shared" si="835"/>
        <v xml:space="preserve"> </v>
      </c>
      <c r="F10728">
        <v>0.01</v>
      </c>
      <c r="G10728" s="37" t="str">
        <f t="shared" si="836"/>
        <v>Normal Discount</v>
      </c>
      <c r="H10728" s="37" t="str">
        <f t="shared" si="837"/>
        <v>Low</v>
      </c>
      <c r="I10728">
        <v>6</v>
      </c>
      <c r="J10728" t="str" cm="1">
        <f t="array" ref="J10728">_xlfn.IFS(I10728&lt;=3,"small",I10728&lt;=6,"Medium",I10728&lt;=9,"Large")</f>
        <v>Medium</v>
      </c>
      <c r="K10728" s="36">
        <v>45010</v>
      </c>
      <c r="L10728" s="36">
        <v>45017</v>
      </c>
      <c r="M10728" t="s">
        <v>612</v>
      </c>
      <c r="N10728" t="s">
        <v>599</v>
      </c>
      <c r="O10728" s="37" t="str">
        <f t="shared" si="838"/>
        <v>Digital Payment</v>
      </c>
      <c r="P10728">
        <v>450.78</v>
      </c>
      <c r="Q10728" s="37" t="str">
        <f>IF(P10728&gt;500,"High","low")</f>
        <v>low</v>
      </c>
      <c r="R10728" s="37" t="str">
        <f t="shared" si="839"/>
        <v>AVERAGE</v>
      </c>
      <c r="S10728" t="s">
        <v>600</v>
      </c>
    </row>
    <row r="10729" spans="1:19" x14ac:dyDescent="0.2">
      <c r="A10729" t="s">
        <v>11340</v>
      </c>
      <c r="B10729" t="s">
        <v>75</v>
      </c>
      <c r="C10729" t="s">
        <v>614</v>
      </c>
      <c r="D10729">
        <v>4657.84</v>
      </c>
      <c r="E10729" s="37" t="str">
        <f t="shared" si="835"/>
        <v>Excellent Order</v>
      </c>
      <c r="F10729">
        <v>0.28000000000000003</v>
      </c>
      <c r="G10729" s="37" t="str">
        <f t="shared" si="836"/>
        <v>Normal Discount</v>
      </c>
      <c r="H10729" s="37" t="str">
        <f t="shared" si="837"/>
        <v>Medium</v>
      </c>
      <c r="I10729">
        <v>3</v>
      </c>
      <c r="J10729" t="str" cm="1">
        <f t="array" ref="J10729">_xlfn.IFS(I10729&lt;=3,"small",I10729&lt;=6,"Medium",I10729&lt;=9,"Large")</f>
        <v>small</v>
      </c>
      <c r="K10729" s="36">
        <v>45092</v>
      </c>
      <c r="L10729" s="36">
        <v>45093</v>
      </c>
      <c r="M10729" t="s">
        <v>598</v>
      </c>
      <c r="N10729" t="s">
        <v>604</v>
      </c>
      <c r="O10729" s="37" t="str">
        <f t="shared" si="838"/>
        <v>Digital Payment</v>
      </c>
      <c r="P10729">
        <v>1102.45</v>
      </c>
      <c r="Q10729" s="37" t="str">
        <f>IF(P10729&gt;500,"High","low")</f>
        <v>High</v>
      </c>
      <c r="R10729" s="37" t="str">
        <f t="shared" si="839"/>
        <v>Excellent</v>
      </c>
      <c r="S10729" t="s">
        <v>615</v>
      </c>
    </row>
    <row r="10730" spans="1:19" x14ac:dyDescent="0.2">
      <c r="A10730" t="s">
        <v>11341</v>
      </c>
      <c r="B10730" t="s">
        <v>83</v>
      </c>
      <c r="C10730" t="s">
        <v>607</v>
      </c>
      <c r="D10730">
        <v>1096.5899999999999</v>
      </c>
      <c r="E10730" s="37" t="str">
        <f t="shared" si="835"/>
        <v xml:space="preserve"> </v>
      </c>
      <c r="F10730">
        <v>0.28000000000000003</v>
      </c>
      <c r="G10730" s="37" t="str">
        <f t="shared" si="836"/>
        <v>Normal Discount</v>
      </c>
      <c r="H10730" s="37" t="str">
        <f t="shared" si="837"/>
        <v>Medium</v>
      </c>
      <c r="I10730">
        <v>5</v>
      </c>
      <c r="J10730" t="str" cm="1">
        <f t="array" ref="J10730">_xlfn.IFS(I10730&lt;=3,"small",I10730&lt;=6,"Medium",I10730&lt;=9,"Large")</f>
        <v>Medium</v>
      </c>
      <c r="K10730" s="36">
        <v>45084</v>
      </c>
      <c r="L10730" s="36">
        <v>45087</v>
      </c>
      <c r="M10730" t="s">
        <v>598</v>
      </c>
      <c r="N10730" t="s">
        <v>599</v>
      </c>
      <c r="O10730" s="37" t="str">
        <f t="shared" si="838"/>
        <v>Digital Payment</v>
      </c>
      <c r="P10730">
        <v>222.11</v>
      </c>
      <c r="Q10730" s="37" t="str">
        <f>IF(P10730&gt;500,"High","low")</f>
        <v>low</v>
      </c>
      <c r="R10730" s="37" t="str">
        <f t="shared" si="839"/>
        <v>AVERAGE</v>
      </c>
      <c r="S10730" t="s">
        <v>605</v>
      </c>
    </row>
    <row r="10731" spans="1:19" x14ac:dyDescent="0.2">
      <c r="A10731" t="s">
        <v>11342</v>
      </c>
      <c r="B10731" t="s">
        <v>83</v>
      </c>
      <c r="C10731" t="s">
        <v>602</v>
      </c>
      <c r="D10731">
        <v>3467.93</v>
      </c>
      <c r="E10731" s="37" t="str">
        <f t="shared" si="835"/>
        <v xml:space="preserve"> </v>
      </c>
      <c r="F10731">
        <v>0.32</v>
      </c>
      <c r="G10731" s="37" t="str">
        <f t="shared" si="836"/>
        <v>Heavy Discount</v>
      </c>
      <c r="H10731" s="37" t="str">
        <f t="shared" si="837"/>
        <v>Medium</v>
      </c>
      <c r="I10731">
        <v>6</v>
      </c>
      <c r="J10731" t="str" cm="1">
        <f t="array" ref="J10731">_xlfn.IFS(I10731&lt;=3,"small",I10731&lt;=6,"Medium",I10731&lt;=9,"Large")</f>
        <v>Medium</v>
      </c>
      <c r="K10731" s="36">
        <v>45425</v>
      </c>
      <c r="L10731" s="36">
        <v>45426</v>
      </c>
      <c r="M10731" t="s">
        <v>603</v>
      </c>
      <c r="N10731" t="s">
        <v>608</v>
      </c>
      <c r="O10731" s="37" t="str">
        <f t="shared" si="838"/>
        <v>Cash Payment</v>
      </c>
      <c r="P10731">
        <v>739.08</v>
      </c>
      <c r="Q10731" s="37" t="str">
        <f>IF(P10731&gt;500,"High","low")</f>
        <v>High</v>
      </c>
      <c r="R10731" s="37" t="str">
        <f t="shared" si="839"/>
        <v>Good</v>
      </c>
      <c r="S10731" t="s">
        <v>615</v>
      </c>
    </row>
    <row r="10732" spans="1:19" x14ac:dyDescent="0.2">
      <c r="A10732" t="s">
        <v>11343</v>
      </c>
      <c r="B10732" t="s">
        <v>75</v>
      </c>
      <c r="C10732" t="s">
        <v>614</v>
      </c>
      <c r="D10732">
        <v>577.26</v>
      </c>
      <c r="E10732" s="37" t="str">
        <f t="shared" si="835"/>
        <v xml:space="preserve"> </v>
      </c>
      <c r="F10732">
        <v>0.01</v>
      </c>
      <c r="G10732" s="37" t="str">
        <f t="shared" si="836"/>
        <v>Normal Discount</v>
      </c>
      <c r="H10732" s="37" t="str">
        <f t="shared" si="837"/>
        <v>Low</v>
      </c>
      <c r="I10732">
        <v>6</v>
      </c>
      <c r="J10732" t="str" cm="1">
        <f t="array" ref="J10732">_xlfn.IFS(I10732&lt;=3,"small",I10732&lt;=6,"Medium",I10732&lt;=9,"Large")</f>
        <v>Medium</v>
      </c>
      <c r="K10732" s="36">
        <v>45023</v>
      </c>
      <c r="L10732" s="36">
        <v>45029</v>
      </c>
      <c r="M10732" t="s">
        <v>612</v>
      </c>
      <c r="N10732" t="s">
        <v>599</v>
      </c>
      <c r="O10732" s="37" t="str">
        <f t="shared" si="838"/>
        <v>Digital Payment</v>
      </c>
      <c r="P10732">
        <v>118.26</v>
      </c>
      <c r="Q10732" s="37" t="str">
        <f>IF(P10732&gt;500,"High","low")</f>
        <v>low</v>
      </c>
      <c r="R10732" s="37" t="str">
        <f t="shared" si="839"/>
        <v>AVERAGE</v>
      </c>
      <c r="S10732" t="s">
        <v>609</v>
      </c>
    </row>
    <row r="10733" spans="1:19" x14ac:dyDescent="0.2">
      <c r="A10733" t="s">
        <v>11344</v>
      </c>
      <c r="B10733" t="s">
        <v>90</v>
      </c>
      <c r="C10733" t="s">
        <v>602</v>
      </c>
      <c r="D10733">
        <v>1034.05</v>
      </c>
      <c r="E10733" s="37" t="str">
        <f t="shared" si="835"/>
        <v xml:space="preserve"> </v>
      </c>
      <c r="F10733">
        <v>0.27</v>
      </c>
      <c r="G10733" s="37" t="str">
        <f t="shared" si="836"/>
        <v>Normal Discount</v>
      </c>
      <c r="H10733" s="37" t="str">
        <f t="shared" si="837"/>
        <v>Medium</v>
      </c>
      <c r="I10733">
        <v>7</v>
      </c>
      <c r="J10733" t="str" cm="1">
        <f t="array" ref="J10733">_xlfn.IFS(I10733&lt;=3,"small",I10733&lt;=6,"Medium",I10733&lt;=9,"Large")</f>
        <v>Large</v>
      </c>
      <c r="K10733" s="36">
        <v>45236</v>
      </c>
      <c r="L10733" s="36">
        <v>45239</v>
      </c>
      <c r="M10733" t="s">
        <v>598</v>
      </c>
      <c r="N10733" t="s">
        <v>608</v>
      </c>
      <c r="O10733" s="37" t="str">
        <f t="shared" si="838"/>
        <v>Cash Payment</v>
      </c>
      <c r="P10733">
        <v>67.069999999999993</v>
      </c>
      <c r="Q10733" s="37" t="str">
        <f>IF(P10733&gt;500,"High","low")</f>
        <v>low</v>
      </c>
      <c r="R10733" s="37" t="str">
        <f t="shared" si="839"/>
        <v>AVERAGE</v>
      </c>
      <c r="S10733" t="s">
        <v>615</v>
      </c>
    </row>
    <row r="10734" spans="1:19" x14ac:dyDescent="0.2">
      <c r="A10734" t="s">
        <v>11345</v>
      </c>
      <c r="B10734" t="s">
        <v>67</v>
      </c>
      <c r="C10734" t="s">
        <v>617</v>
      </c>
      <c r="D10734">
        <v>2594.7600000000002</v>
      </c>
      <c r="E10734" s="37" t="str">
        <f t="shared" si="835"/>
        <v xml:space="preserve"> </v>
      </c>
      <c r="F10734">
        <v>0.06</v>
      </c>
      <c r="G10734" s="37" t="str">
        <f t="shared" si="836"/>
        <v>Normal Discount</v>
      </c>
      <c r="H10734" s="37" t="str">
        <f t="shared" si="837"/>
        <v>Low</v>
      </c>
      <c r="I10734">
        <v>7</v>
      </c>
      <c r="J10734" t="str" cm="1">
        <f t="array" ref="J10734">_xlfn.IFS(I10734&lt;=3,"small",I10734&lt;=6,"Medium",I10734&lt;=9,"Large")</f>
        <v>Large</v>
      </c>
      <c r="K10734" s="36">
        <v>45542</v>
      </c>
      <c r="L10734" s="36">
        <v>45544</v>
      </c>
      <c r="M10734" t="s">
        <v>603</v>
      </c>
      <c r="N10734" t="s">
        <v>604</v>
      </c>
      <c r="O10734" s="37" t="str">
        <f t="shared" si="838"/>
        <v>Digital Payment</v>
      </c>
      <c r="P10734">
        <v>464.3</v>
      </c>
      <c r="Q10734" s="37" t="str">
        <f>IF(P10734&gt;500,"High","low")</f>
        <v>low</v>
      </c>
      <c r="R10734" s="37" t="str">
        <f t="shared" si="839"/>
        <v>AVERAGE</v>
      </c>
      <c r="S10734" t="s">
        <v>600</v>
      </c>
    </row>
    <row r="10735" spans="1:19" x14ac:dyDescent="0.2">
      <c r="A10735" t="s">
        <v>11346</v>
      </c>
      <c r="B10735" t="s">
        <v>83</v>
      </c>
      <c r="C10735" t="s">
        <v>607</v>
      </c>
      <c r="D10735">
        <v>3571.05</v>
      </c>
      <c r="E10735" s="37" t="str">
        <f t="shared" si="835"/>
        <v xml:space="preserve"> </v>
      </c>
      <c r="F10735">
        <v>0.08</v>
      </c>
      <c r="G10735" s="37" t="str">
        <f t="shared" si="836"/>
        <v>Normal Discount</v>
      </c>
      <c r="H10735" s="37" t="str">
        <f t="shared" si="837"/>
        <v>Low</v>
      </c>
      <c r="I10735">
        <v>6</v>
      </c>
      <c r="J10735" t="str" cm="1">
        <f t="array" ref="J10735">_xlfn.IFS(I10735&lt;=3,"small",I10735&lt;=6,"Medium",I10735&lt;=9,"Large")</f>
        <v>Medium</v>
      </c>
      <c r="K10735" s="36">
        <v>45198</v>
      </c>
      <c r="L10735" s="36">
        <v>45199</v>
      </c>
      <c r="M10735" t="s">
        <v>603</v>
      </c>
      <c r="N10735" t="s">
        <v>599</v>
      </c>
      <c r="O10735" s="37" t="str">
        <f t="shared" si="838"/>
        <v>Digital Payment</v>
      </c>
      <c r="P10735">
        <v>501.05</v>
      </c>
      <c r="Q10735" s="37" t="str">
        <f>IF(P10735&gt;500,"High","low")</f>
        <v>High</v>
      </c>
      <c r="R10735" s="37" t="str">
        <f t="shared" si="839"/>
        <v>Good</v>
      </c>
      <c r="S10735" t="s">
        <v>609</v>
      </c>
    </row>
    <row r="10736" spans="1:19" x14ac:dyDescent="0.2">
      <c r="A10736" t="s">
        <v>11347</v>
      </c>
      <c r="B10736" t="s">
        <v>75</v>
      </c>
      <c r="C10736" t="s">
        <v>607</v>
      </c>
      <c r="D10736">
        <v>4306.99</v>
      </c>
      <c r="E10736" s="37" t="str">
        <f t="shared" si="835"/>
        <v>Excellent Order</v>
      </c>
      <c r="F10736">
        <v>0.11</v>
      </c>
      <c r="G10736" s="37" t="str">
        <f t="shared" si="836"/>
        <v>Normal Discount</v>
      </c>
      <c r="H10736" s="37" t="str">
        <f t="shared" si="837"/>
        <v>Low</v>
      </c>
      <c r="I10736">
        <v>1</v>
      </c>
      <c r="J10736" t="str" cm="1">
        <f t="array" ref="J10736">_xlfn.IFS(I10736&lt;=3,"small",I10736&lt;=6,"Medium",I10736&lt;=9,"Large")</f>
        <v>small</v>
      </c>
      <c r="K10736" s="36">
        <v>45209</v>
      </c>
      <c r="L10736" s="36">
        <v>45216</v>
      </c>
      <c r="M10736" t="s">
        <v>612</v>
      </c>
      <c r="N10736" t="s">
        <v>599</v>
      </c>
      <c r="O10736" s="37" t="str">
        <f t="shared" si="838"/>
        <v>Digital Payment</v>
      </c>
      <c r="P10736">
        <v>1078.79</v>
      </c>
      <c r="Q10736" s="37" t="str">
        <f>IF(P10736&gt;500,"High","low")</f>
        <v>High</v>
      </c>
      <c r="R10736" s="37" t="str">
        <f t="shared" si="839"/>
        <v>Excellent</v>
      </c>
      <c r="S10736" t="s">
        <v>615</v>
      </c>
    </row>
    <row r="10737" spans="1:19" x14ac:dyDescent="0.2">
      <c r="A10737" t="s">
        <v>11348</v>
      </c>
      <c r="B10737" t="s">
        <v>83</v>
      </c>
      <c r="C10737" t="s">
        <v>617</v>
      </c>
      <c r="D10737">
        <v>3745.13</v>
      </c>
      <c r="E10737" s="37" t="str">
        <f t="shared" si="835"/>
        <v xml:space="preserve"> </v>
      </c>
      <c r="F10737">
        <v>0.31</v>
      </c>
      <c r="G10737" s="37" t="str">
        <f t="shared" si="836"/>
        <v>Heavy Discount</v>
      </c>
      <c r="H10737" s="37" t="str">
        <f t="shared" si="837"/>
        <v>Medium</v>
      </c>
      <c r="I10737">
        <v>8</v>
      </c>
      <c r="J10737" t="str" cm="1">
        <f t="array" ref="J10737">_xlfn.IFS(I10737&lt;=3,"small",I10737&lt;=6,"Medium",I10737&lt;=9,"Large")</f>
        <v>Large</v>
      </c>
      <c r="K10737" s="36">
        <v>45538</v>
      </c>
      <c r="L10737" s="36">
        <v>45541</v>
      </c>
      <c r="M10737" t="s">
        <v>612</v>
      </c>
      <c r="N10737" t="s">
        <v>599</v>
      </c>
      <c r="O10737" s="37" t="str">
        <f t="shared" si="838"/>
        <v>Digital Payment</v>
      </c>
      <c r="P10737">
        <v>738.44</v>
      </c>
      <c r="Q10737" s="37" t="str">
        <f>IF(P10737&gt;500,"High","low")</f>
        <v>High</v>
      </c>
      <c r="R10737" s="37" t="str">
        <f t="shared" si="839"/>
        <v>Good</v>
      </c>
      <c r="S10737" t="s">
        <v>628</v>
      </c>
    </row>
    <row r="10738" spans="1:19" x14ac:dyDescent="0.2">
      <c r="A10738" t="s">
        <v>11349</v>
      </c>
      <c r="B10738" t="s">
        <v>67</v>
      </c>
      <c r="C10738" t="s">
        <v>602</v>
      </c>
      <c r="D10738">
        <v>175.23</v>
      </c>
      <c r="E10738" s="37" t="str">
        <f t="shared" si="835"/>
        <v xml:space="preserve"> </v>
      </c>
      <c r="F10738">
        <v>0.2</v>
      </c>
      <c r="G10738" s="37" t="str">
        <f t="shared" si="836"/>
        <v>Normal Discount</v>
      </c>
      <c r="H10738" s="37" t="str">
        <f t="shared" si="837"/>
        <v>Medium</v>
      </c>
      <c r="I10738">
        <v>4</v>
      </c>
      <c r="J10738" t="str" cm="1">
        <f t="array" ref="J10738">_xlfn.IFS(I10738&lt;=3,"small",I10738&lt;=6,"Medium",I10738&lt;=9,"Large")</f>
        <v>Medium</v>
      </c>
      <c r="K10738" s="36">
        <v>45325</v>
      </c>
      <c r="L10738" s="36">
        <v>45332</v>
      </c>
      <c r="M10738" t="s">
        <v>598</v>
      </c>
      <c r="N10738" t="s">
        <v>599</v>
      </c>
      <c r="O10738" s="37" t="str">
        <f t="shared" si="838"/>
        <v>Digital Payment</v>
      </c>
      <c r="P10738">
        <v>27.84</v>
      </c>
      <c r="Q10738" s="37" t="str">
        <f>IF(P10738&gt;500,"High","low")</f>
        <v>low</v>
      </c>
      <c r="R10738" s="37" t="str">
        <f t="shared" si="839"/>
        <v>AVERAGE</v>
      </c>
      <c r="S10738" t="s">
        <v>609</v>
      </c>
    </row>
    <row r="10739" spans="1:19" x14ac:dyDescent="0.2">
      <c r="A10739" t="s">
        <v>11350</v>
      </c>
      <c r="B10739" t="s">
        <v>90</v>
      </c>
      <c r="C10739" t="s">
        <v>614</v>
      </c>
      <c r="D10739">
        <v>3451.26</v>
      </c>
      <c r="E10739" s="37" t="str">
        <f t="shared" si="835"/>
        <v xml:space="preserve"> </v>
      </c>
      <c r="F10739">
        <v>0.04</v>
      </c>
      <c r="G10739" s="37" t="str">
        <f t="shared" si="836"/>
        <v>Normal Discount</v>
      </c>
      <c r="H10739" s="37" t="str">
        <f t="shared" si="837"/>
        <v>Low</v>
      </c>
      <c r="I10739">
        <v>1</v>
      </c>
      <c r="J10739" t="str" cm="1">
        <f t="array" ref="J10739">_xlfn.IFS(I10739&lt;=3,"small",I10739&lt;=6,"Medium",I10739&lt;=9,"Large")</f>
        <v>small</v>
      </c>
      <c r="K10739" s="36">
        <v>44972</v>
      </c>
      <c r="L10739" s="36">
        <v>44979</v>
      </c>
      <c r="M10739" t="s">
        <v>612</v>
      </c>
      <c r="N10739" t="s">
        <v>608</v>
      </c>
      <c r="O10739" s="37" t="str">
        <f t="shared" si="838"/>
        <v>Cash Payment</v>
      </c>
      <c r="P10739">
        <v>1029.1600000000001</v>
      </c>
      <c r="Q10739" s="37" t="str">
        <f>IF(P10739&gt;500,"High","low")</f>
        <v>High</v>
      </c>
      <c r="R10739" s="37" t="str">
        <f t="shared" si="839"/>
        <v>Excellent</v>
      </c>
      <c r="S10739" t="s">
        <v>609</v>
      </c>
    </row>
    <row r="10740" spans="1:19" x14ac:dyDescent="0.2">
      <c r="A10740" t="s">
        <v>11351</v>
      </c>
      <c r="B10740" t="s">
        <v>90</v>
      </c>
      <c r="C10740" t="s">
        <v>602</v>
      </c>
      <c r="D10740">
        <v>4140.82</v>
      </c>
      <c r="E10740" s="37" t="str">
        <f t="shared" si="835"/>
        <v>Excellent Order</v>
      </c>
      <c r="F10740">
        <v>0.14000000000000001</v>
      </c>
      <c r="G10740" s="37" t="str">
        <f t="shared" si="836"/>
        <v>Normal Discount</v>
      </c>
      <c r="H10740" s="37" t="str">
        <f t="shared" si="837"/>
        <v>Low</v>
      </c>
      <c r="I10740">
        <v>2</v>
      </c>
      <c r="J10740" t="str" cm="1">
        <f t="array" ref="J10740">_xlfn.IFS(I10740&lt;=3,"small",I10740&lt;=6,"Medium",I10740&lt;=9,"Large")</f>
        <v>small</v>
      </c>
      <c r="K10740" s="36">
        <v>45311</v>
      </c>
      <c r="L10740" s="36">
        <v>45313</v>
      </c>
      <c r="M10740" t="s">
        <v>598</v>
      </c>
      <c r="N10740" t="s">
        <v>604</v>
      </c>
      <c r="O10740" s="37" t="str">
        <f t="shared" si="838"/>
        <v>Digital Payment</v>
      </c>
      <c r="P10740">
        <v>904.16</v>
      </c>
      <c r="Q10740" s="37" t="str">
        <f>IF(P10740&gt;500,"High","low")</f>
        <v>High</v>
      </c>
      <c r="R10740" s="37" t="str">
        <f t="shared" si="839"/>
        <v>Good</v>
      </c>
      <c r="S10740" t="s">
        <v>605</v>
      </c>
    </row>
    <row r="10741" spans="1:19" x14ac:dyDescent="0.2">
      <c r="A10741" t="s">
        <v>11352</v>
      </c>
      <c r="B10741" t="s">
        <v>90</v>
      </c>
      <c r="C10741" t="s">
        <v>614</v>
      </c>
      <c r="D10741">
        <v>2675.11</v>
      </c>
      <c r="E10741" s="37" t="str">
        <f t="shared" si="835"/>
        <v xml:space="preserve"> </v>
      </c>
      <c r="F10741">
        <v>0.04</v>
      </c>
      <c r="G10741" s="37" t="str">
        <f t="shared" si="836"/>
        <v>Normal Discount</v>
      </c>
      <c r="H10741" s="37" t="str">
        <f t="shared" si="837"/>
        <v>Low</v>
      </c>
      <c r="I10741">
        <v>3</v>
      </c>
      <c r="J10741" t="str" cm="1">
        <f t="array" ref="J10741">_xlfn.IFS(I10741&lt;=3,"small",I10741&lt;=6,"Medium",I10741&lt;=9,"Large")</f>
        <v>small</v>
      </c>
      <c r="K10741" s="36">
        <v>45428</v>
      </c>
      <c r="L10741" s="36">
        <v>45431</v>
      </c>
      <c r="M10741" t="s">
        <v>598</v>
      </c>
      <c r="N10741" t="s">
        <v>599</v>
      </c>
      <c r="O10741" s="37" t="str">
        <f t="shared" si="838"/>
        <v>Digital Payment</v>
      </c>
      <c r="P10741">
        <v>723.87</v>
      </c>
      <c r="Q10741" s="37" t="str">
        <f>IF(P10741&gt;500,"High","low")</f>
        <v>High</v>
      </c>
      <c r="R10741" s="37" t="str">
        <f t="shared" si="839"/>
        <v>Good</v>
      </c>
      <c r="S10741" t="s">
        <v>605</v>
      </c>
    </row>
    <row r="10742" spans="1:19" x14ac:dyDescent="0.2">
      <c r="A10742" t="s">
        <v>11353</v>
      </c>
      <c r="B10742" t="s">
        <v>75</v>
      </c>
      <c r="C10742" t="s">
        <v>617</v>
      </c>
      <c r="D10742">
        <v>4831.43</v>
      </c>
      <c r="E10742" s="37" t="str">
        <f t="shared" si="835"/>
        <v>Excellent Order</v>
      </c>
      <c r="F10742">
        <v>0.33</v>
      </c>
      <c r="G10742" s="37" t="str">
        <f t="shared" si="836"/>
        <v>Heavy Discount</v>
      </c>
      <c r="H10742" s="37" t="str">
        <f t="shared" si="837"/>
        <v>Medium</v>
      </c>
      <c r="I10742">
        <v>6</v>
      </c>
      <c r="J10742" t="str" cm="1">
        <f t="array" ref="J10742">_xlfn.IFS(I10742&lt;=3,"small",I10742&lt;=6,"Medium",I10742&lt;=9,"Large")</f>
        <v>Medium</v>
      </c>
      <c r="K10742" s="36">
        <v>45599</v>
      </c>
      <c r="L10742" s="36">
        <v>45602</v>
      </c>
      <c r="M10742" t="s">
        <v>598</v>
      </c>
      <c r="N10742" t="s">
        <v>604</v>
      </c>
      <c r="O10742" s="37" t="str">
        <f t="shared" si="838"/>
        <v>Digital Payment</v>
      </c>
      <c r="P10742">
        <v>1354.77</v>
      </c>
      <c r="Q10742" s="37" t="str">
        <f>IF(P10742&gt;500,"High","low")</f>
        <v>High</v>
      </c>
      <c r="R10742" s="37" t="str">
        <f t="shared" si="839"/>
        <v>Excellent</v>
      </c>
      <c r="S10742" t="s">
        <v>600</v>
      </c>
    </row>
    <row r="10743" spans="1:19" x14ac:dyDescent="0.2">
      <c r="A10743" t="s">
        <v>11354</v>
      </c>
      <c r="B10743" t="s">
        <v>75</v>
      </c>
      <c r="C10743" t="s">
        <v>597</v>
      </c>
      <c r="D10743">
        <v>121.13</v>
      </c>
      <c r="E10743" s="37" t="str">
        <f t="shared" si="835"/>
        <v xml:space="preserve"> </v>
      </c>
      <c r="F10743">
        <v>0.28000000000000003</v>
      </c>
      <c r="G10743" s="37" t="str">
        <f t="shared" si="836"/>
        <v>Normal Discount</v>
      </c>
      <c r="H10743" s="37" t="str">
        <f t="shared" si="837"/>
        <v>Medium</v>
      </c>
      <c r="I10743">
        <v>2</v>
      </c>
      <c r="J10743" t="str" cm="1">
        <f t="array" ref="J10743">_xlfn.IFS(I10743&lt;=3,"small",I10743&lt;=6,"Medium",I10743&lt;=9,"Large")</f>
        <v>small</v>
      </c>
      <c r="K10743" s="36">
        <v>45538</v>
      </c>
      <c r="L10743" s="36">
        <v>45542</v>
      </c>
      <c r="M10743" t="s">
        <v>603</v>
      </c>
      <c r="N10743" t="s">
        <v>604</v>
      </c>
      <c r="O10743" s="37" t="str">
        <f t="shared" si="838"/>
        <v>Digital Payment</v>
      </c>
      <c r="P10743">
        <v>28.55</v>
      </c>
      <c r="Q10743" s="37" t="str">
        <f>IF(P10743&gt;500,"High","low")</f>
        <v>low</v>
      </c>
      <c r="R10743" s="37" t="str">
        <f t="shared" si="839"/>
        <v>AVERAGE</v>
      </c>
      <c r="S10743" t="s">
        <v>615</v>
      </c>
    </row>
    <row r="10744" spans="1:19" x14ac:dyDescent="0.2">
      <c r="A10744" t="s">
        <v>11355</v>
      </c>
      <c r="B10744" t="s">
        <v>90</v>
      </c>
      <c r="C10744" t="s">
        <v>614</v>
      </c>
      <c r="D10744">
        <v>4111.42</v>
      </c>
      <c r="E10744" s="37" t="str">
        <f t="shared" si="835"/>
        <v xml:space="preserve"> </v>
      </c>
      <c r="F10744">
        <v>0.2</v>
      </c>
      <c r="G10744" s="37" t="str">
        <f t="shared" si="836"/>
        <v>Normal Discount</v>
      </c>
      <c r="H10744" s="37" t="str">
        <f t="shared" si="837"/>
        <v>Medium</v>
      </c>
      <c r="I10744">
        <v>2</v>
      </c>
      <c r="J10744" t="str" cm="1">
        <f t="array" ref="J10744">_xlfn.IFS(I10744&lt;=3,"small",I10744&lt;=6,"Medium",I10744&lt;=9,"Large")</f>
        <v>small</v>
      </c>
      <c r="K10744" s="36">
        <v>45325</v>
      </c>
      <c r="L10744" s="36">
        <v>45332</v>
      </c>
      <c r="M10744" t="s">
        <v>598</v>
      </c>
      <c r="N10744" t="s">
        <v>604</v>
      </c>
      <c r="O10744" s="37" t="str">
        <f t="shared" si="838"/>
        <v>Digital Payment</v>
      </c>
      <c r="P10744">
        <v>636.83000000000004</v>
      </c>
      <c r="Q10744" s="37" t="str">
        <f>IF(P10744&gt;500,"High","low")</f>
        <v>High</v>
      </c>
      <c r="R10744" s="37" t="str">
        <f t="shared" si="839"/>
        <v>Good</v>
      </c>
      <c r="S10744" t="s">
        <v>615</v>
      </c>
    </row>
    <row r="10745" spans="1:19" x14ac:dyDescent="0.2">
      <c r="A10745" t="s">
        <v>11356</v>
      </c>
      <c r="B10745" t="s">
        <v>67</v>
      </c>
      <c r="C10745" t="s">
        <v>607</v>
      </c>
      <c r="D10745">
        <v>1740.62</v>
      </c>
      <c r="E10745" s="37" t="str">
        <f t="shared" si="835"/>
        <v xml:space="preserve"> </v>
      </c>
      <c r="F10745">
        <v>0.46</v>
      </c>
      <c r="G10745" s="37" t="str">
        <f t="shared" si="836"/>
        <v>Heavy Discount</v>
      </c>
      <c r="H10745" s="37" t="str">
        <f t="shared" si="837"/>
        <v>High</v>
      </c>
      <c r="I10745">
        <v>6</v>
      </c>
      <c r="J10745" t="str" cm="1">
        <f t="array" ref="J10745">_xlfn.IFS(I10745&lt;=3,"small",I10745&lt;=6,"Medium",I10745&lt;=9,"Large")</f>
        <v>Medium</v>
      </c>
      <c r="K10745" s="36">
        <v>45239</v>
      </c>
      <c r="L10745" s="36">
        <v>45246</v>
      </c>
      <c r="M10745" t="s">
        <v>598</v>
      </c>
      <c r="N10745" t="s">
        <v>604</v>
      </c>
      <c r="O10745" s="37" t="str">
        <f t="shared" si="838"/>
        <v>Digital Payment</v>
      </c>
      <c r="P10745">
        <v>301.27999999999997</v>
      </c>
      <c r="Q10745" s="37" t="str">
        <f>IF(P10745&gt;500,"High","low")</f>
        <v>low</v>
      </c>
      <c r="R10745" s="37" t="str">
        <f t="shared" si="839"/>
        <v>AVERAGE</v>
      </c>
      <c r="S10745" t="s">
        <v>620</v>
      </c>
    </row>
    <row r="10746" spans="1:19" x14ac:dyDescent="0.2">
      <c r="A10746" t="s">
        <v>11357</v>
      </c>
      <c r="B10746" t="s">
        <v>67</v>
      </c>
      <c r="C10746" t="s">
        <v>607</v>
      </c>
      <c r="D10746">
        <v>3287.2</v>
      </c>
      <c r="E10746" s="37" t="str">
        <f t="shared" si="835"/>
        <v xml:space="preserve"> </v>
      </c>
      <c r="F10746">
        <v>0.26</v>
      </c>
      <c r="G10746" s="37" t="str">
        <f t="shared" si="836"/>
        <v>Normal Discount</v>
      </c>
      <c r="H10746" s="37" t="str">
        <f t="shared" si="837"/>
        <v>Medium</v>
      </c>
      <c r="I10746">
        <v>4</v>
      </c>
      <c r="J10746" t="str" cm="1">
        <f t="array" ref="J10746">_xlfn.IFS(I10746&lt;=3,"small",I10746&lt;=6,"Medium",I10746&lt;=9,"Large")</f>
        <v>Medium</v>
      </c>
      <c r="K10746" s="36">
        <v>45252</v>
      </c>
      <c r="L10746" s="36">
        <v>45256</v>
      </c>
      <c r="M10746" t="s">
        <v>598</v>
      </c>
      <c r="N10746" t="s">
        <v>599</v>
      </c>
      <c r="O10746" s="37" t="str">
        <f t="shared" si="838"/>
        <v>Digital Payment</v>
      </c>
      <c r="P10746">
        <v>294.3</v>
      </c>
      <c r="Q10746" s="37" t="str">
        <f>IF(P10746&gt;500,"High","low")</f>
        <v>low</v>
      </c>
      <c r="R10746" s="37" t="str">
        <f t="shared" si="839"/>
        <v>AVERAGE</v>
      </c>
      <c r="S10746" t="s">
        <v>600</v>
      </c>
    </row>
    <row r="10747" spans="1:19" x14ac:dyDescent="0.2">
      <c r="A10747" t="s">
        <v>11358</v>
      </c>
      <c r="B10747" t="s">
        <v>75</v>
      </c>
      <c r="C10747" t="s">
        <v>607</v>
      </c>
      <c r="D10747">
        <v>3498.06</v>
      </c>
      <c r="E10747" s="37" t="str">
        <f t="shared" si="835"/>
        <v xml:space="preserve"> </v>
      </c>
      <c r="F10747">
        <v>0.44</v>
      </c>
      <c r="G10747" s="37" t="str">
        <f t="shared" si="836"/>
        <v>Heavy Discount</v>
      </c>
      <c r="H10747" s="37" t="str">
        <f t="shared" si="837"/>
        <v>High</v>
      </c>
      <c r="I10747">
        <v>5</v>
      </c>
      <c r="J10747" t="str" cm="1">
        <f t="array" ref="J10747">_xlfn.IFS(I10747&lt;=3,"small",I10747&lt;=6,"Medium",I10747&lt;=9,"Large")</f>
        <v>Medium</v>
      </c>
      <c r="K10747" s="36">
        <v>45634</v>
      </c>
      <c r="L10747" s="36">
        <v>45635</v>
      </c>
      <c r="M10747" t="s">
        <v>603</v>
      </c>
      <c r="N10747" t="s">
        <v>599</v>
      </c>
      <c r="O10747" s="37" t="str">
        <f t="shared" si="838"/>
        <v>Digital Payment</v>
      </c>
      <c r="P10747">
        <v>713.95</v>
      </c>
      <c r="Q10747" s="37" t="str">
        <f>IF(P10747&gt;500,"High","low")</f>
        <v>High</v>
      </c>
      <c r="R10747" s="37" t="str">
        <f t="shared" si="839"/>
        <v>Good</v>
      </c>
      <c r="S10747" t="s">
        <v>615</v>
      </c>
    </row>
    <row r="10748" spans="1:19" x14ac:dyDescent="0.2">
      <c r="A10748" t="s">
        <v>11359</v>
      </c>
      <c r="B10748" t="s">
        <v>90</v>
      </c>
      <c r="C10748" t="s">
        <v>602</v>
      </c>
      <c r="D10748">
        <v>1600.62</v>
      </c>
      <c r="E10748" s="37" t="str">
        <f t="shared" si="835"/>
        <v xml:space="preserve"> </v>
      </c>
      <c r="F10748">
        <v>0.28999999999999998</v>
      </c>
      <c r="G10748" s="37" t="str">
        <f t="shared" si="836"/>
        <v>Normal Discount</v>
      </c>
      <c r="H10748" s="37" t="str">
        <f t="shared" si="837"/>
        <v>Medium</v>
      </c>
      <c r="I10748">
        <v>8</v>
      </c>
      <c r="J10748" t="str" cm="1">
        <f t="array" ref="J10748">_xlfn.IFS(I10748&lt;=3,"small",I10748&lt;=6,"Medium",I10748&lt;=9,"Large")</f>
        <v>Large</v>
      </c>
      <c r="K10748" s="36">
        <v>45442</v>
      </c>
      <c r="L10748" s="36">
        <v>45444</v>
      </c>
      <c r="M10748" t="s">
        <v>612</v>
      </c>
      <c r="N10748" t="s">
        <v>599</v>
      </c>
      <c r="O10748" s="37" t="str">
        <f t="shared" si="838"/>
        <v>Digital Payment</v>
      </c>
      <c r="P10748">
        <v>285.02999999999997</v>
      </c>
      <c r="Q10748" s="37" t="str">
        <f>IF(P10748&gt;500,"High","low")</f>
        <v>low</v>
      </c>
      <c r="R10748" s="37" t="str">
        <f t="shared" si="839"/>
        <v>AVERAGE</v>
      </c>
      <c r="S10748" t="s">
        <v>628</v>
      </c>
    </row>
    <row r="10749" spans="1:19" x14ac:dyDescent="0.2">
      <c r="A10749" t="s">
        <v>11360</v>
      </c>
      <c r="B10749" t="s">
        <v>67</v>
      </c>
      <c r="C10749" t="s">
        <v>602</v>
      </c>
      <c r="D10749">
        <v>4977.58</v>
      </c>
      <c r="E10749" s="37" t="str">
        <f t="shared" si="835"/>
        <v xml:space="preserve"> </v>
      </c>
      <c r="F10749">
        <v>0.19</v>
      </c>
      <c r="G10749" s="37" t="str">
        <f t="shared" si="836"/>
        <v>Normal Discount</v>
      </c>
      <c r="H10749" s="37" t="str">
        <f t="shared" si="837"/>
        <v>Low</v>
      </c>
      <c r="I10749">
        <v>3</v>
      </c>
      <c r="J10749" t="str" cm="1">
        <f t="array" ref="J10749">_xlfn.IFS(I10749&lt;=3,"small",I10749&lt;=6,"Medium",I10749&lt;=9,"Large")</f>
        <v>small</v>
      </c>
      <c r="K10749" s="36">
        <v>44936</v>
      </c>
      <c r="L10749" s="36">
        <v>44941</v>
      </c>
      <c r="M10749" t="s">
        <v>598</v>
      </c>
      <c r="N10749" t="s">
        <v>599</v>
      </c>
      <c r="O10749" s="37" t="str">
        <f t="shared" si="838"/>
        <v>Digital Payment</v>
      </c>
      <c r="P10749">
        <v>515.17999999999995</v>
      </c>
      <c r="Q10749" s="37" t="str">
        <f>IF(P10749&gt;500,"High","low")</f>
        <v>High</v>
      </c>
      <c r="R10749" s="37" t="str">
        <f t="shared" si="839"/>
        <v>Good</v>
      </c>
      <c r="S10749" t="s">
        <v>620</v>
      </c>
    </row>
    <row r="10750" spans="1:19" x14ac:dyDescent="0.2">
      <c r="A10750" t="s">
        <v>11361</v>
      </c>
      <c r="B10750" t="s">
        <v>67</v>
      </c>
      <c r="C10750" t="s">
        <v>602</v>
      </c>
      <c r="D10750">
        <v>605.92999999999995</v>
      </c>
      <c r="E10750" s="37" t="str">
        <f t="shared" si="835"/>
        <v xml:space="preserve"> </v>
      </c>
      <c r="F10750">
        <v>0.27</v>
      </c>
      <c r="G10750" s="37" t="str">
        <f t="shared" si="836"/>
        <v>Normal Discount</v>
      </c>
      <c r="H10750" s="37" t="str">
        <f t="shared" si="837"/>
        <v>Medium</v>
      </c>
      <c r="I10750">
        <v>5</v>
      </c>
      <c r="J10750" t="str" cm="1">
        <f t="array" ref="J10750">_xlfn.IFS(I10750&lt;=3,"small",I10750&lt;=6,"Medium",I10750&lt;=9,"Large")</f>
        <v>Medium</v>
      </c>
      <c r="K10750" s="36">
        <v>45239</v>
      </c>
      <c r="L10750" s="36">
        <v>45245</v>
      </c>
      <c r="M10750" t="s">
        <v>603</v>
      </c>
      <c r="N10750" t="s">
        <v>604</v>
      </c>
      <c r="O10750" s="37" t="str">
        <f t="shared" si="838"/>
        <v>Digital Payment</v>
      </c>
      <c r="P10750">
        <v>36.51</v>
      </c>
      <c r="Q10750" s="37" t="str">
        <f>IF(P10750&gt;500,"High","low")</f>
        <v>low</v>
      </c>
      <c r="R10750" s="37" t="str">
        <f t="shared" si="839"/>
        <v>AVERAGE</v>
      </c>
      <c r="S10750" t="s">
        <v>605</v>
      </c>
    </row>
    <row r="10751" spans="1:19" x14ac:dyDescent="0.2">
      <c r="A10751" t="s">
        <v>11362</v>
      </c>
      <c r="B10751" t="s">
        <v>67</v>
      </c>
      <c r="C10751" t="s">
        <v>607</v>
      </c>
      <c r="D10751">
        <v>869.44</v>
      </c>
      <c r="E10751" s="37" t="str">
        <f t="shared" si="835"/>
        <v xml:space="preserve"> </v>
      </c>
      <c r="F10751">
        <v>0.08</v>
      </c>
      <c r="G10751" s="37" t="str">
        <f t="shared" si="836"/>
        <v>Normal Discount</v>
      </c>
      <c r="H10751" s="37" t="str">
        <f t="shared" si="837"/>
        <v>Low</v>
      </c>
      <c r="I10751">
        <v>1</v>
      </c>
      <c r="J10751" t="str" cm="1">
        <f t="array" ref="J10751">_xlfn.IFS(I10751&lt;=3,"small",I10751&lt;=6,"Medium",I10751&lt;=9,"Large")</f>
        <v>small</v>
      </c>
      <c r="K10751" s="36">
        <v>45237</v>
      </c>
      <c r="L10751" s="36">
        <v>45240</v>
      </c>
      <c r="M10751" t="s">
        <v>612</v>
      </c>
      <c r="N10751" t="s">
        <v>604</v>
      </c>
      <c r="O10751" s="37" t="str">
        <f t="shared" si="838"/>
        <v>Digital Payment</v>
      </c>
      <c r="P10751">
        <v>232.37</v>
      </c>
      <c r="Q10751" s="37" t="str">
        <f>IF(P10751&gt;500,"High","low")</f>
        <v>low</v>
      </c>
      <c r="R10751" s="37" t="str">
        <f t="shared" si="839"/>
        <v>AVERAGE</v>
      </c>
      <c r="S10751" t="s">
        <v>628</v>
      </c>
    </row>
    <row r="10752" spans="1:19" x14ac:dyDescent="0.2">
      <c r="A10752" t="s">
        <v>11363</v>
      </c>
      <c r="B10752" t="s">
        <v>75</v>
      </c>
      <c r="C10752" t="s">
        <v>614</v>
      </c>
      <c r="D10752">
        <v>4471.74</v>
      </c>
      <c r="E10752" s="37" t="str">
        <f t="shared" si="835"/>
        <v xml:space="preserve"> </v>
      </c>
      <c r="F10752">
        <v>0.34</v>
      </c>
      <c r="G10752" s="37" t="str">
        <f t="shared" si="836"/>
        <v>Heavy Discount</v>
      </c>
      <c r="H10752" s="37" t="str">
        <f t="shared" si="837"/>
        <v>Medium</v>
      </c>
      <c r="I10752">
        <v>4</v>
      </c>
      <c r="J10752" t="str" cm="1">
        <f t="array" ref="J10752">_xlfn.IFS(I10752&lt;=3,"small",I10752&lt;=6,"Medium",I10752&lt;=9,"Large")</f>
        <v>Medium</v>
      </c>
      <c r="K10752" s="36">
        <v>45597</v>
      </c>
      <c r="L10752" s="36">
        <v>45604</v>
      </c>
      <c r="M10752" t="s">
        <v>603</v>
      </c>
      <c r="N10752" t="s">
        <v>608</v>
      </c>
      <c r="O10752" s="37" t="str">
        <f t="shared" si="838"/>
        <v>Cash Payment</v>
      </c>
      <c r="P10752">
        <v>257.70999999999998</v>
      </c>
      <c r="Q10752" s="37" t="str">
        <f>IF(P10752&gt;500,"High","low")</f>
        <v>low</v>
      </c>
      <c r="R10752" s="37" t="str">
        <f t="shared" si="839"/>
        <v>AVERAGE</v>
      </c>
      <c r="S10752" t="s">
        <v>609</v>
      </c>
    </row>
    <row r="10753" spans="1:19" x14ac:dyDescent="0.2">
      <c r="A10753" t="s">
        <v>11364</v>
      </c>
      <c r="B10753" t="s">
        <v>90</v>
      </c>
      <c r="C10753" t="s">
        <v>607</v>
      </c>
      <c r="D10753">
        <v>683.98</v>
      </c>
      <c r="E10753" s="37" t="str">
        <f t="shared" si="835"/>
        <v xml:space="preserve"> </v>
      </c>
      <c r="F10753">
        <v>0.49</v>
      </c>
      <c r="G10753" s="37" t="str">
        <f t="shared" si="836"/>
        <v>Heavy Discount</v>
      </c>
      <c r="H10753" s="37" t="str">
        <f t="shared" si="837"/>
        <v>High</v>
      </c>
      <c r="I10753">
        <v>5</v>
      </c>
      <c r="J10753" t="str" cm="1">
        <f t="array" ref="J10753">_xlfn.IFS(I10753&lt;=3,"small",I10753&lt;=6,"Medium",I10753&lt;=9,"Large")</f>
        <v>Medium</v>
      </c>
      <c r="K10753" s="36">
        <v>45246</v>
      </c>
      <c r="L10753" s="36">
        <v>45247</v>
      </c>
      <c r="M10753" t="s">
        <v>598</v>
      </c>
      <c r="N10753" t="s">
        <v>608</v>
      </c>
      <c r="O10753" s="37" t="str">
        <f t="shared" si="838"/>
        <v>Cash Payment</v>
      </c>
      <c r="P10753">
        <v>99.27</v>
      </c>
      <c r="Q10753" s="37" t="str">
        <f>IF(P10753&gt;500,"High","low")</f>
        <v>low</v>
      </c>
      <c r="R10753" s="37" t="str">
        <f t="shared" si="839"/>
        <v>AVERAGE</v>
      </c>
      <c r="S10753" t="s">
        <v>605</v>
      </c>
    </row>
    <row r="10754" spans="1:19" x14ac:dyDescent="0.2">
      <c r="A10754" t="s">
        <v>11365</v>
      </c>
      <c r="B10754" t="s">
        <v>83</v>
      </c>
      <c r="C10754" t="s">
        <v>614</v>
      </c>
      <c r="D10754">
        <v>1968.3</v>
      </c>
      <c r="E10754" s="37" t="str">
        <f t="shared" si="835"/>
        <v xml:space="preserve"> </v>
      </c>
      <c r="F10754">
        <v>0.12</v>
      </c>
      <c r="G10754" s="37" t="str">
        <f t="shared" si="836"/>
        <v>Normal Discount</v>
      </c>
      <c r="H10754" s="37" t="str">
        <f t="shared" si="837"/>
        <v>Low</v>
      </c>
      <c r="I10754">
        <v>4</v>
      </c>
      <c r="J10754" t="str" cm="1">
        <f t="array" ref="J10754">_xlfn.IFS(I10754&lt;=3,"small",I10754&lt;=6,"Medium",I10754&lt;=9,"Large")</f>
        <v>Medium</v>
      </c>
      <c r="K10754" s="36">
        <v>45346</v>
      </c>
      <c r="L10754" s="36">
        <v>45350</v>
      </c>
      <c r="M10754" t="s">
        <v>603</v>
      </c>
      <c r="N10754" t="s">
        <v>604</v>
      </c>
      <c r="O10754" s="37" t="str">
        <f t="shared" si="838"/>
        <v>Digital Payment</v>
      </c>
      <c r="P10754">
        <v>373.98</v>
      </c>
      <c r="Q10754" s="37" t="str">
        <f>IF(P10754&gt;500,"High","low")</f>
        <v>low</v>
      </c>
      <c r="R10754" s="37" t="str">
        <f t="shared" si="839"/>
        <v>AVERAGE</v>
      </c>
      <c r="S10754" t="s">
        <v>605</v>
      </c>
    </row>
    <row r="10755" spans="1:19" x14ac:dyDescent="0.2">
      <c r="A10755" t="s">
        <v>11366</v>
      </c>
      <c r="B10755" t="s">
        <v>90</v>
      </c>
      <c r="C10755" t="s">
        <v>602</v>
      </c>
      <c r="D10755">
        <v>3692.4</v>
      </c>
      <c r="E10755" s="37" t="str">
        <f t="shared" ref="E10755:E10818" si="840">IF(AND(D10755&gt;4000,P10755&gt;800),"Excellent Order"," ")</f>
        <v xml:space="preserve"> </v>
      </c>
      <c r="F10755">
        <v>0.16</v>
      </c>
      <c r="G10755" s="37" t="str">
        <f t="shared" ref="G10755:G10818" si="841">IF(F10755&gt;30%,"Heavy Discount","Normal Discount")</f>
        <v>Normal Discount</v>
      </c>
      <c r="H10755" s="37" t="str">
        <f t="shared" ref="H10755:H10818" si="842">IF(F10755&gt;0.4,"High",IF(F10755&gt;=0.2,"Medium","Low"))</f>
        <v>Low</v>
      </c>
      <c r="I10755">
        <v>9</v>
      </c>
      <c r="J10755" t="str" cm="1">
        <f t="array" ref="J10755">_xlfn.IFS(I10755&lt;=3,"small",I10755&lt;=6,"Medium",I10755&lt;=9,"Large")</f>
        <v>Large</v>
      </c>
      <c r="K10755" s="36">
        <v>45017</v>
      </c>
      <c r="L10755" s="36">
        <v>45019</v>
      </c>
      <c r="M10755" t="s">
        <v>603</v>
      </c>
      <c r="N10755" t="s">
        <v>608</v>
      </c>
      <c r="O10755" s="37" t="str">
        <f t="shared" ref="O10755:O10818" si="843">IF(OR(N10755="Card",N10755="UPI"),"Digital Payment","Cash Payment")</f>
        <v>Cash Payment</v>
      </c>
      <c r="P10755">
        <v>673.21</v>
      </c>
      <c r="Q10755" s="37" t="str">
        <f>IF(P10755&gt;500,"High","low")</f>
        <v>High</v>
      </c>
      <c r="R10755" s="37" t="str">
        <f t="shared" ref="R10755:R10818" si="844">IF(P10755&gt;1000,"Excellent",IF(P10755&gt;=500,"Good","AVERAGE"))</f>
        <v>Good</v>
      </c>
      <c r="S10755" t="s">
        <v>600</v>
      </c>
    </row>
    <row r="10756" spans="1:19" x14ac:dyDescent="0.2">
      <c r="A10756" t="s">
        <v>11367</v>
      </c>
      <c r="B10756" t="s">
        <v>90</v>
      </c>
      <c r="C10756" t="s">
        <v>597</v>
      </c>
      <c r="D10756">
        <v>3978.31</v>
      </c>
      <c r="E10756" s="37" t="str">
        <f t="shared" si="840"/>
        <v xml:space="preserve"> </v>
      </c>
      <c r="F10756">
        <v>0.2</v>
      </c>
      <c r="G10756" s="37" t="str">
        <f t="shared" si="841"/>
        <v>Normal Discount</v>
      </c>
      <c r="H10756" s="37" t="str">
        <f t="shared" si="842"/>
        <v>Medium</v>
      </c>
      <c r="I10756">
        <v>8</v>
      </c>
      <c r="J10756" t="str" cm="1">
        <f t="array" ref="J10756">_xlfn.IFS(I10756&lt;=3,"small",I10756&lt;=6,"Medium",I10756&lt;=9,"Large")</f>
        <v>Large</v>
      </c>
      <c r="K10756" s="36">
        <v>44939</v>
      </c>
      <c r="L10756" s="36">
        <v>44943</v>
      </c>
      <c r="M10756" t="s">
        <v>612</v>
      </c>
      <c r="N10756" t="s">
        <v>604</v>
      </c>
      <c r="O10756" s="37" t="str">
        <f t="shared" si="843"/>
        <v>Digital Payment</v>
      </c>
      <c r="P10756">
        <v>730</v>
      </c>
      <c r="Q10756" s="37" t="str">
        <f>IF(P10756&gt;500,"High","low")</f>
        <v>High</v>
      </c>
      <c r="R10756" s="37" t="str">
        <f t="shared" si="844"/>
        <v>Good</v>
      </c>
      <c r="S10756" t="s">
        <v>605</v>
      </c>
    </row>
    <row r="10757" spans="1:19" x14ac:dyDescent="0.2">
      <c r="A10757" t="s">
        <v>11368</v>
      </c>
      <c r="B10757" t="s">
        <v>75</v>
      </c>
      <c r="C10757" t="s">
        <v>602</v>
      </c>
      <c r="D10757">
        <v>4777.88</v>
      </c>
      <c r="E10757" s="37" t="str">
        <f t="shared" si="840"/>
        <v xml:space="preserve"> </v>
      </c>
      <c r="F10757">
        <v>0.24</v>
      </c>
      <c r="G10757" s="37" t="str">
        <f t="shared" si="841"/>
        <v>Normal Discount</v>
      </c>
      <c r="H10757" s="37" t="str">
        <f t="shared" si="842"/>
        <v>Medium</v>
      </c>
      <c r="I10757">
        <v>2</v>
      </c>
      <c r="J10757" t="str" cm="1">
        <f t="array" ref="J10757">_xlfn.IFS(I10757&lt;=3,"small",I10757&lt;=6,"Medium",I10757&lt;=9,"Large")</f>
        <v>small</v>
      </c>
      <c r="K10757" s="36">
        <v>45001</v>
      </c>
      <c r="L10757" s="36">
        <v>45004</v>
      </c>
      <c r="M10757" t="s">
        <v>612</v>
      </c>
      <c r="N10757" t="s">
        <v>608</v>
      </c>
      <c r="O10757" s="37" t="str">
        <f t="shared" si="843"/>
        <v>Cash Payment</v>
      </c>
      <c r="P10757">
        <v>509.73</v>
      </c>
      <c r="Q10757" s="37" t="str">
        <f>IF(P10757&gt;500,"High","low")</f>
        <v>High</v>
      </c>
      <c r="R10757" s="37" t="str">
        <f t="shared" si="844"/>
        <v>Good</v>
      </c>
      <c r="S10757" t="s">
        <v>628</v>
      </c>
    </row>
    <row r="10758" spans="1:19" x14ac:dyDescent="0.2">
      <c r="A10758" t="s">
        <v>11369</v>
      </c>
      <c r="B10758" t="s">
        <v>67</v>
      </c>
      <c r="C10758" t="s">
        <v>617</v>
      </c>
      <c r="D10758">
        <v>3968.91</v>
      </c>
      <c r="E10758" s="37" t="str">
        <f t="shared" si="840"/>
        <v xml:space="preserve"> </v>
      </c>
      <c r="F10758">
        <v>0.36</v>
      </c>
      <c r="G10758" s="37" t="str">
        <f t="shared" si="841"/>
        <v>Heavy Discount</v>
      </c>
      <c r="H10758" s="37" t="str">
        <f t="shared" si="842"/>
        <v>Medium</v>
      </c>
      <c r="I10758">
        <v>9</v>
      </c>
      <c r="J10758" t="str" cm="1">
        <f t="array" ref="J10758">_xlfn.IFS(I10758&lt;=3,"small",I10758&lt;=6,"Medium",I10758&lt;=9,"Large")</f>
        <v>Large</v>
      </c>
      <c r="K10758" s="36">
        <v>45299</v>
      </c>
      <c r="L10758" s="36">
        <v>45303</v>
      </c>
      <c r="M10758" t="s">
        <v>603</v>
      </c>
      <c r="N10758" t="s">
        <v>608</v>
      </c>
      <c r="O10758" s="37" t="str">
        <f t="shared" si="843"/>
        <v>Cash Payment</v>
      </c>
      <c r="P10758">
        <v>527.01</v>
      </c>
      <c r="Q10758" s="37" t="str">
        <f>IF(P10758&gt;500,"High","low")</f>
        <v>High</v>
      </c>
      <c r="R10758" s="37" t="str">
        <f t="shared" si="844"/>
        <v>Good</v>
      </c>
      <c r="S10758" t="s">
        <v>600</v>
      </c>
    </row>
    <row r="10759" spans="1:19" x14ac:dyDescent="0.2">
      <c r="A10759" t="s">
        <v>11370</v>
      </c>
      <c r="B10759" t="s">
        <v>67</v>
      </c>
      <c r="C10759" t="s">
        <v>614</v>
      </c>
      <c r="D10759">
        <v>4238.21</v>
      </c>
      <c r="E10759" s="37" t="str">
        <f t="shared" si="840"/>
        <v xml:space="preserve"> </v>
      </c>
      <c r="F10759">
        <v>7.0000000000000007E-2</v>
      </c>
      <c r="G10759" s="37" t="str">
        <f t="shared" si="841"/>
        <v>Normal Discount</v>
      </c>
      <c r="H10759" s="37" t="str">
        <f t="shared" si="842"/>
        <v>Low</v>
      </c>
      <c r="I10759">
        <v>2</v>
      </c>
      <c r="J10759" t="str" cm="1">
        <f t="array" ref="J10759">_xlfn.IFS(I10759&lt;=3,"small",I10759&lt;=6,"Medium",I10759&lt;=9,"Large")</f>
        <v>small</v>
      </c>
      <c r="K10759" s="36">
        <v>45255</v>
      </c>
      <c r="L10759" s="36">
        <v>45261</v>
      </c>
      <c r="M10759" t="s">
        <v>598</v>
      </c>
      <c r="N10759" t="s">
        <v>608</v>
      </c>
      <c r="O10759" s="37" t="str">
        <f t="shared" si="843"/>
        <v>Cash Payment</v>
      </c>
      <c r="P10759">
        <v>218.26</v>
      </c>
      <c r="Q10759" s="37" t="str">
        <f>IF(P10759&gt;500,"High","low")</f>
        <v>low</v>
      </c>
      <c r="R10759" s="37" t="str">
        <f t="shared" si="844"/>
        <v>AVERAGE</v>
      </c>
      <c r="S10759" t="s">
        <v>609</v>
      </c>
    </row>
    <row r="10760" spans="1:19" x14ac:dyDescent="0.2">
      <c r="A10760" t="s">
        <v>11371</v>
      </c>
      <c r="B10760" t="s">
        <v>75</v>
      </c>
      <c r="C10760" t="s">
        <v>597</v>
      </c>
      <c r="D10760">
        <v>4751.9399999999996</v>
      </c>
      <c r="E10760" s="37" t="str">
        <f t="shared" si="840"/>
        <v>Excellent Order</v>
      </c>
      <c r="F10760">
        <v>0.15</v>
      </c>
      <c r="G10760" s="37" t="str">
        <f t="shared" si="841"/>
        <v>Normal Discount</v>
      </c>
      <c r="H10760" s="37" t="str">
        <f t="shared" si="842"/>
        <v>Low</v>
      </c>
      <c r="I10760">
        <v>6</v>
      </c>
      <c r="J10760" t="str" cm="1">
        <f t="array" ref="J10760">_xlfn.IFS(I10760&lt;=3,"small",I10760&lt;=6,"Medium",I10760&lt;=9,"Large")</f>
        <v>Medium</v>
      </c>
      <c r="K10760" s="36">
        <v>45627</v>
      </c>
      <c r="L10760" s="36">
        <v>45631</v>
      </c>
      <c r="M10760" t="s">
        <v>603</v>
      </c>
      <c r="N10760" t="s">
        <v>608</v>
      </c>
      <c r="O10760" s="37" t="str">
        <f t="shared" si="843"/>
        <v>Cash Payment</v>
      </c>
      <c r="P10760">
        <v>1336.42</v>
      </c>
      <c r="Q10760" s="37" t="str">
        <f>IF(P10760&gt;500,"High","low")</f>
        <v>High</v>
      </c>
      <c r="R10760" s="37" t="str">
        <f t="shared" si="844"/>
        <v>Excellent</v>
      </c>
      <c r="S10760" t="s">
        <v>609</v>
      </c>
    </row>
    <row r="10761" spans="1:19" x14ac:dyDescent="0.2">
      <c r="A10761" t="s">
        <v>11372</v>
      </c>
      <c r="B10761" t="s">
        <v>75</v>
      </c>
      <c r="C10761" t="s">
        <v>602</v>
      </c>
      <c r="D10761">
        <v>2813.07</v>
      </c>
      <c r="E10761" s="37" t="str">
        <f t="shared" si="840"/>
        <v xml:space="preserve"> </v>
      </c>
      <c r="F10761">
        <v>0.27</v>
      </c>
      <c r="G10761" s="37" t="str">
        <f t="shared" si="841"/>
        <v>Normal Discount</v>
      </c>
      <c r="H10761" s="37" t="str">
        <f t="shared" si="842"/>
        <v>Medium</v>
      </c>
      <c r="I10761">
        <v>2</v>
      </c>
      <c r="J10761" t="str" cm="1">
        <f t="array" ref="J10761">_xlfn.IFS(I10761&lt;=3,"small",I10761&lt;=6,"Medium",I10761&lt;=9,"Large")</f>
        <v>small</v>
      </c>
      <c r="K10761" s="36">
        <v>44936</v>
      </c>
      <c r="L10761" s="36">
        <v>44942</v>
      </c>
      <c r="M10761" t="s">
        <v>603</v>
      </c>
      <c r="N10761" t="s">
        <v>604</v>
      </c>
      <c r="O10761" s="37" t="str">
        <f t="shared" si="843"/>
        <v>Digital Payment</v>
      </c>
      <c r="P10761">
        <v>566.6</v>
      </c>
      <c r="Q10761" s="37" t="str">
        <f>IF(P10761&gt;500,"High","low")</f>
        <v>High</v>
      </c>
      <c r="R10761" s="37" t="str">
        <f t="shared" si="844"/>
        <v>Good</v>
      </c>
      <c r="S10761" t="s">
        <v>620</v>
      </c>
    </row>
    <row r="10762" spans="1:19" x14ac:dyDescent="0.2">
      <c r="A10762" t="s">
        <v>11373</v>
      </c>
      <c r="B10762" t="s">
        <v>75</v>
      </c>
      <c r="C10762" t="s">
        <v>597</v>
      </c>
      <c r="D10762">
        <v>1782.82</v>
      </c>
      <c r="E10762" s="37" t="str">
        <f t="shared" si="840"/>
        <v xml:space="preserve"> </v>
      </c>
      <c r="F10762">
        <v>0.28999999999999998</v>
      </c>
      <c r="G10762" s="37" t="str">
        <f t="shared" si="841"/>
        <v>Normal Discount</v>
      </c>
      <c r="H10762" s="37" t="str">
        <f t="shared" si="842"/>
        <v>Medium</v>
      </c>
      <c r="I10762">
        <v>6</v>
      </c>
      <c r="J10762" t="str" cm="1">
        <f t="array" ref="J10762">_xlfn.IFS(I10762&lt;=3,"small",I10762&lt;=6,"Medium",I10762&lt;=9,"Large")</f>
        <v>Medium</v>
      </c>
      <c r="K10762" s="36">
        <v>45376</v>
      </c>
      <c r="L10762" s="36">
        <v>45378</v>
      </c>
      <c r="M10762" t="s">
        <v>612</v>
      </c>
      <c r="N10762" t="s">
        <v>608</v>
      </c>
      <c r="O10762" s="37" t="str">
        <f t="shared" si="843"/>
        <v>Cash Payment</v>
      </c>
      <c r="P10762">
        <v>453.98</v>
      </c>
      <c r="Q10762" s="37" t="str">
        <f>IF(P10762&gt;500,"High","low")</f>
        <v>low</v>
      </c>
      <c r="R10762" s="37" t="str">
        <f t="shared" si="844"/>
        <v>AVERAGE</v>
      </c>
      <c r="S10762" t="s">
        <v>628</v>
      </c>
    </row>
    <row r="10763" spans="1:19" x14ac:dyDescent="0.2">
      <c r="A10763" t="s">
        <v>11374</v>
      </c>
      <c r="B10763" t="s">
        <v>75</v>
      </c>
      <c r="C10763" t="s">
        <v>607</v>
      </c>
      <c r="D10763">
        <v>3831.9</v>
      </c>
      <c r="E10763" s="37" t="str">
        <f t="shared" si="840"/>
        <v xml:space="preserve"> </v>
      </c>
      <c r="F10763">
        <v>0.27</v>
      </c>
      <c r="G10763" s="37" t="str">
        <f t="shared" si="841"/>
        <v>Normal Discount</v>
      </c>
      <c r="H10763" s="37" t="str">
        <f t="shared" si="842"/>
        <v>Medium</v>
      </c>
      <c r="I10763">
        <v>6</v>
      </c>
      <c r="J10763" t="str" cm="1">
        <f t="array" ref="J10763">_xlfn.IFS(I10763&lt;=3,"small",I10763&lt;=6,"Medium",I10763&lt;=9,"Large")</f>
        <v>Medium</v>
      </c>
      <c r="K10763" s="36">
        <v>45590</v>
      </c>
      <c r="L10763" s="36">
        <v>45596</v>
      </c>
      <c r="M10763" t="s">
        <v>612</v>
      </c>
      <c r="N10763" t="s">
        <v>604</v>
      </c>
      <c r="O10763" s="37" t="str">
        <f t="shared" si="843"/>
        <v>Digital Payment</v>
      </c>
      <c r="P10763">
        <v>883.52</v>
      </c>
      <c r="Q10763" s="37" t="str">
        <f>IF(P10763&gt;500,"High","low")</f>
        <v>High</v>
      </c>
      <c r="R10763" s="37" t="str">
        <f t="shared" si="844"/>
        <v>Good</v>
      </c>
      <c r="S10763" t="s">
        <v>609</v>
      </c>
    </row>
    <row r="10764" spans="1:19" x14ac:dyDescent="0.2">
      <c r="A10764" t="s">
        <v>11375</v>
      </c>
      <c r="B10764" t="s">
        <v>75</v>
      </c>
      <c r="C10764" t="s">
        <v>614</v>
      </c>
      <c r="D10764">
        <v>901.35</v>
      </c>
      <c r="E10764" s="37" t="str">
        <f t="shared" si="840"/>
        <v xml:space="preserve"> </v>
      </c>
      <c r="F10764">
        <v>0.22</v>
      </c>
      <c r="G10764" s="37" t="str">
        <f t="shared" si="841"/>
        <v>Normal Discount</v>
      </c>
      <c r="H10764" s="37" t="str">
        <f t="shared" si="842"/>
        <v>Medium</v>
      </c>
      <c r="I10764">
        <v>7</v>
      </c>
      <c r="J10764" t="str" cm="1">
        <f t="array" ref="J10764">_xlfn.IFS(I10764&lt;=3,"small",I10764&lt;=6,"Medium",I10764&lt;=9,"Large")</f>
        <v>Large</v>
      </c>
      <c r="K10764" s="36">
        <v>45281</v>
      </c>
      <c r="L10764" s="36">
        <v>45282</v>
      </c>
      <c r="M10764" t="s">
        <v>612</v>
      </c>
      <c r="N10764" t="s">
        <v>608</v>
      </c>
      <c r="O10764" s="37" t="str">
        <f t="shared" si="843"/>
        <v>Cash Payment</v>
      </c>
      <c r="P10764">
        <v>172.03</v>
      </c>
      <c r="Q10764" s="37" t="str">
        <f>IF(P10764&gt;500,"High","low")</f>
        <v>low</v>
      </c>
      <c r="R10764" s="37" t="str">
        <f t="shared" si="844"/>
        <v>AVERAGE</v>
      </c>
      <c r="S10764" t="s">
        <v>605</v>
      </c>
    </row>
    <row r="10765" spans="1:19" x14ac:dyDescent="0.2">
      <c r="A10765" t="s">
        <v>11376</v>
      </c>
      <c r="B10765" t="s">
        <v>83</v>
      </c>
      <c r="C10765" t="s">
        <v>617</v>
      </c>
      <c r="D10765">
        <v>434.34</v>
      </c>
      <c r="E10765" s="37" t="str">
        <f t="shared" si="840"/>
        <v xml:space="preserve"> </v>
      </c>
      <c r="F10765">
        <v>0.36</v>
      </c>
      <c r="G10765" s="37" t="str">
        <f t="shared" si="841"/>
        <v>Heavy Discount</v>
      </c>
      <c r="H10765" s="37" t="str">
        <f t="shared" si="842"/>
        <v>Medium</v>
      </c>
      <c r="I10765">
        <v>5</v>
      </c>
      <c r="J10765" t="str" cm="1">
        <f t="array" ref="J10765">_xlfn.IFS(I10765&lt;=3,"small",I10765&lt;=6,"Medium",I10765&lt;=9,"Large")</f>
        <v>Medium</v>
      </c>
      <c r="K10765" s="36">
        <v>45360</v>
      </c>
      <c r="L10765" s="36">
        <v>45363</v>
      </c>
      <c r="M10765" t="s">
        <v>612</v>
      </c>
      <c r="N10765" t="s">
        <v>608</v>
      </c>
      <c r="O10765" s="37" t="str">
        <f t="shared" si="843"/>
        <v>Cash Payment</v>
      </c>
      <c r="P10765">
        <v>77.489999999999995</v>
      </c>
      <c r="Q10765" s="37" t="str">
        <f>IF(P10765&gt;500,"High","low")</f>
        <v>low</v>
      </c>
      <c r="R10765" s="37" t="str">
        <f t="shared" si="844"/>
        <v>AVERAGE</v>
      </c>
      <c r="S10765" t="s">
        <v>628</v>
      </c>
    </row>
    <row r="10766" spans="1:19" x14ac:dyDescent="0.2">
      <c r="A10766" t="s">
        <v>11377</v>
      </c>
      <c r="B10766" t="s">
        <v>90</v>
      </c>
      <c r="C10766" t="s">
        <v>607</v>
      </c>
      <c r="D10766">
        <v>3948.12</v>
      </c>
      <c r="E10766" s="37" t="str">
        <f t="shared" si="840"/>
        <v xml:space="preserve"> </v>
      </c>
      <c r="F10766">
        <v>0.1</v>
      </c>
      <c r="G10766" s="37" t="str">
        <f t="shared" si="841"/>
        <v>Normal Discount</v>
      </c>
      <c r="H10766" s="37" t="str">
        <f t="shared" si="842"/>
        <v>Low</v>
      </c>
      <c r="I10766">
        <v>3</v>
      </c>
      <c r="J10766" t="str" cm="1">
        <f t="array" ref="J10766">_xlfn.IFS(I10766&lt;=3,"small",I10766&lt;=6,"Medium",I10766&lt;=9,"Large")</f>
        <v>small</v>
      </c>
      <c r="K10766" s="36">
        <v>45257</v>
      </c>
      <c r="L10766" s="36">
        <v>45264</v>
      </c>
      <c r="M10766" t="s">
        <v>612</v>
      </c>
      <c r="N10766" t="s">
        <v>608</v>
      </c>
      <c r="O10766" s="37" t="str">
        <f t="shared" si="843"/>
        <v>Cash Payment</v>
      </c>
      <c r="P10766">
        <v>638.12</v>
      </c>
      <c r="Q10766" s="37" t="str">
        <f>IF(P10766&gt;500,"High","low")</f>
        <v>High</v>
      </c>
      <c r="R10766" s="37" t="str">
        <f t="shared" si="844"/>
        <v>Good</v>
      </c>
      <c r="S10766" t="s">
        <v>600</v>
      </c>
    </row>
    <row r="10767" spans="1:19" x14ac:dyDescent="0.2">
      <c r="A10767" t="s">
        <v>11378</v>
      </c>
      <c r="B10767" t="s">
        <v>90</v>
      </c>
      <c r="C10767" t="s">
        <v>597</v>
      </c>
      <c r="D10767">
        <v>4758.29</v>
      </c>
      <c r="E10767" s="37" t="str">
        <f t="shared" si="840"/>
        <v>Excellent Order</v>
      </c>
      <c r="F10767">
        <v>0.14000000000000001</v>
      </c>
      <c r="G10767" s="37" t="str">
        <f t="shared" si="841"/>
        <v>Normal Discount</v>
      </c>
      <c r="H10767" s="37" t="str">
        <f t="shared" si="842"/>
        <v>Low</v>
      </c>
      <c r="I10767">
        <v>2</v>
      </c>
      <c r="J10767" t="str" cm="1">
        <f t="array" ref="J10767">_xlfn.IFS(I10767&lt;=3,"small",I10767&lt;=6,"Medium",I10767&lt;=9,"Large")</f>
        <v>small</v>
      </c>
      <c r="K10767" s="36">
        <v>45554</v>
      </c>
      <c r="L10767" s="36">
        <v>45557</v>
      </c>
      <c r="M10767" t="s">
        <v>598</v>
      </c>
      <c r="N10767" t="s">
        <v>604</v>
      </c>
      <c r="O10767" s="37" t="str">
        <f t="shared" si="843"/>
        <v>Digital Payment</v>
      </c>
      <c r="P10767">
        <v>895.57</v>
      </c>
      <c r="Q10767" s="37" t="str">
        <f>IF(P10767&gt;500,"High","low")</f>
        <v>High</v>
      </c>
      <c r="R10767" s="37" t="str">
        <f t="shared" si="844"/>
        <v>Good</v>
      </c>
      <c r="S10767" t="s">
        <v>620</v>
      </c>
    </row>
    <row r="10768" spans="1:19" x14ac:dyDescent="0.2">
      <c r="A10768" t="s">
        <v>11379</v>
      </c>
      <c r="B10768" t="s">
        <v>90</v>
      </c>
      <c r="C10768" t="s">
        <v>602</v>
      </c>
      <c r="D10768">
        <v>2267.9899999999998</v>
      </c>
      <c r="E10768" s="37" t="str">
        <f t="shared" si="840"/>
        <v xml:space="preserve"> </v>
      </c>
      <c r="F10768">
        <v>0.22</v>
      </c>
      <c r="G10768" s="37" t="str">
        <f t="shared" si="841"/>
        <v>Normal Discount</v>
      </c>
      <c r="H10768" s="37" t="str">
        <f t="shared" si="842"/>
        <v>Medium</v>
      </c>
      <c r="I10768">
        <v>4</v>
      </c>
      <c r="J10768" t="str" cm="1">
        <f t="array" ref="J10768">_xlfn.IFS(I10768&lt;=3,"small",I10768&lt;=6,"Medium",I10768&lt;=9,"Large")</f>
        <v>Medium</v>
      </c>
      <c r="K10768" s="36">
        <v>45567</v>
      </c>
      <c r="L10768" s="36">
        <v>45573</v>
      </c>
      <c r="M10768" t="s">
        <v>598</v>
      </c>
      <c r="N10768" t="s">
        <v>599</v>
      </c>
      <c r="O10768" s="37" t="str">
        <f t="shared" si="843"/>
        <v>Digital Payment</v>
      </c>
      <c r="P10768">
        <v>227.97</v>
      </c>
      <c r="Q10768" s="37" t="str">
        <f>IF(P10768&gt;500,"High","low")</f>
        <v>low</v>
      </c>
      <c r="R10768" s="37" t="str">
        <f t="shared" si="844"/>
        <v>AVERAGE</v>
      </c>
      <c r="S10768" t="s">
        <v>609</v>
      </c>
    </row>
    <row r="10769" spans="1:19" x14ac:dyDescent="0.2">
      <c r="A10769" t="s">
        <v>11380</v>
      </c>
      <c r="B10769" t="s">
        <v>67</v>
      </c>
      <c r="C10769" t="s">
        <v>614</v>
      </c>
      <c r="D10769">
        <v>889.55</v>
      </c>
      <c r="E10769" s="37" t="str">
        <f t="shared" si="840"/>
        <v xml:space="preserve"> </v>
      </c>
      <c r="F10769">
        <v>0.35</v>
      </c>
      <c r="G10769" s="37" t="str">
        <f t="shared" si="841"/>
        <v>Heavy Discount</v>
      </c>
      <c r="H10769" s="37" t="str">
        <f t="shared" si="842"/>
        <v>Medium</v>
      </c>
      <c r="I10769">
        <v>1</v>
      </c>
      <c r="J10769" t="str" cm="1">
        <f t="array" ref="J10769">_xlfn.IFS(I10769&lt;=3,"small",I10769&lt;=6,"Medium",I10769&lt;=9,"Large")</f>
        <v>small</v>
      </c>
      <c r="K10769" s="36">
        <v>45443</v>
      </c>
      <c r="L10769" s="36">
        <v>45445</v>
      </c>
      <c r="M10769" t="s">
        <v>603</v>
      </c>
      <c r="N10769" t="s">
        <v>604</v>
      </c>
      <c r="O10769" s="37" t="str">
        <f t="shared" si="843"/>
        <v>Digital Payment</v>
      </c>
      <c r="P10769">
        <v>132.47999999999999</v>
      </c>
      <c r="Q10769" s="37" t="str">
        <f>IF(P10769&gt;500,"High","low")</f>
        <v>low</v>
      </c>
      <c r="R10769" s="37" t="str">
        <f t="shared" si="844"/>
        <v>AVERAGE</v>
      </c>
      <c r="S10769" t="s">
        <v>628</v>
      </c>
    </row>
    <row r="10770" spans="1:19" x14ac:dyDescent="0.2">
      <c r="A10770" t="s">
        <v>11381</v>
      </c>
      <c r="B10770" t="s">
        <v>83</v>
      </c>
      <c r="C10770" t="s">
        <v>617</v>
      </c>
      <c r="D10770">
        <v>2535.4</v>
      </c>
      <c r="E10770" s="37" t="str">
        <f t="shared" si="840"/>
        <v xml:space="preserve"> </v>
      </c>
      <c r="F10770">
        <v>0.04</v>
      </c>
      <c r="G10770" s="37" t="str">
        <f t="shared" si="841"/>
        <v>Normal Discount</v>
      </c>
      <c r="H10770" s="37" t="str">
        <f t="shared" si="842"/>
        <v>Low</v>
      </c>
      <c r="I10770">
        <v>2</v>
      </c>
      <c r="J10770" t="str" cm="1">
        <f t="array" ref="J10770">_xlfn.IFS(I10770&lt;=3,"small",I10770&lt;=6,"Medium",I10770&lt;=9,"Large")</f>
        <v>small</v>
      </c>
      <c r="K10770" s="36">
        <v>45337</v>
      </c>
      <c r="L10770" s="36">
        <v>45343</v>
      </c>
      <c r="M10770" t="s">
        <v>612</v>
      </c>
      <c r="N10770" t="s">
        <v>599</v>
      </c>
      <c r="O10770" s="37" t="str">
        <f t="shared" si="843"/>
        <v>Digital Payment</v>
      </c>
      <c r="P10770">
        <v>476.01</v>
      </c>
      <c r="Q10770" s="37" t="str">
        <f>IF(P10770&gt;500,"High","low")</f>
        <v>low</v>
      </c>
      <c r="R10770" s="37" t="str">
        <f t="shared" si="844"/>
        <v>AVERAGE</v>
      </c>
      <c r="S10770" t="s">
        <v>609</v>
      </c>
    </row>
    <row r="10771" spans="1:19" x14ac:dyDescent="0.2">
      <c r="A10771" t="s">
        <v>11382</v>
      </c>
      <c r="B10771" t="s">
        <v>90</v>
      </c>
      <c r="C10771" t="s">
        <v>602</v>
      </c>
      <c r="D10771">
        <v>2027.26</v>
      </c>
      <c r="E10771" s="37" t="str">
        <f t="shared" si="840"/>
        <v xml:space="preserve"> </v>
      </c>
      <c r="F10771">
        <v>0.06</v>
      </c>
      <c r="G10771" s="37" t="str">
        <f t="shared" si="841"/>
        <v>Normal Discount</v>
      </c>
      <c r="H10771" s="37" t="str">
        <f t="shared" si="842"/>
        <v>Low</v>
      </c>
      <c r="I10771">
        <v>8</v>
      </c>
      <c r="J10771" t="str" cm="1">
        <f t="array" ref="J10771">_xlfn.IFS(I10771&lt;=3,"small",I10771&lt;=6,"Medium",I10771&lt;=9,"Large")</f>
        <v>Large</v>
      </c>
      <c r="K10771" s="36">
        <v>44933</v>
      </c>
      <c r="L10771" s="36">
        <v>44939</v>
      </c>
      <c r="M10771" t="s">
        <v>612</v>
      </c>
      <c r="N10771" t="s">
        <v>599</v>
      </c>
      <c r="O10771" s="37" t="str">
        <f t="shared" si="843"/>
        <v>Digital Payment</v>
      </c>
      <c r="P10771">
        <v>473.15</v>
      </c>
      <c r="Q10771" s="37" t="str">
        <f>IF(P10771&gt;500,"High","low")</f>
        <v>low</v>
      </c>
      <c r="R10771" s="37" t="str">
        <f t="shared" si="844"/>
        <v>AVERAGE</v>
      </c>
      <c r="S10771" t="s">
        <v>628</v>
      </c>
    </row>
    <row r="10772" spans="1:19" x14ac:dyDescent="0.2">
      <c r="A10772" t="s">
        <v>11383</v>
      </c>
      <c r="B10772" t="s">
        <v>67</v>
      </c>
      <c r="C10772" t="s">
        <v>617</v>
      </c>
      <c r="D10772">
        <v>1925.12</v>
      </c>
      <c r="E10772" s="37" t="str">
        <f t="shared" si="840"/>
        <v xml:space="preserve"> </v>
      </c>
      <c r="F10772">
        <v>0.39</v>
      </c>
      <c r="G10772" s="37" t="str">
        <f t="shared" si="841"/>
        <v>Heavy Discount</v>
      </c>
      <c r="H10772" s="37" t="str">
        <f t="shared" si="842"/>
        <v>Medium</v>
      </c>
      <c r="I10772">
        <v>5</v>
      </c>
      <c r="J10772" t="str" cm="1">
        <f t="array" ref="J10772">_xlfn.IFS(I10772&lt;=3,"small",I10772&lt;=6,"Medium",I10772&lt;=9,"Large")</f>
        <v>Medium</v>
      </c>
      <c r="K10772" s="36">
        <v>45168</v>
      </c>
      <c r="L10772" s="36">
        <v>45169</v>
      </c>
      <c r="M10772" t="s">
        <v>603</v>
      </c>
      <c r="N10772" t="s">
        <v>604</v>
      </c>
      <c r="O10772" s="37" t="str">
        <f t="shared" si="843"/>
        <v>Digital Payment</v>
      </c>
      <c r="P10772">
        <v>474.52</v>
      </c>
      <c r="Q10772" s="37" t="str">
        <f>IF(P10772&gt;500,"High","low")</f>
        <v>low</v>
      </c>
      <c r="R10772" s="37" t="str">
        <f t="shared" si="844"/>
        <v>AVERAGE</v>
      </c>
      <c r="S10772" t="s">
        <v>620</v>
      </c>
    </row>
    <row r="10773" spans="1:19" x14ac:dyDescent="0.2">
      <c r="A10773" t="s">
        <v>11384</v>
      </c>
      <c r="B10773" t="s">
        <v>83</v>
      </c>
      <c r="C10773" t="s">
        <v>614</v>
      </c>
      <c r="D10773">
        <v>3177.6</v>
      </c>
      <c r="E10773" s="37" t="str">
        <f t="shared" si="840"/>
        <v xml:space="preserve"> </v>
      </c>
      <c r="F10773">
        <v>0.13</v>
      </c>
      <c r="G10773" s="37" t="str">
        <f t="shared" si="841"/>
        <v>Normal Discount</v>
      </c>
      <c r="H10773" s="37" t="str">
        <f t="shared" si="842"/>
        <v>Low</v>
      </c>
      <c r="I10773">
        <v>5</v>
      </c>
      <c r="J10773" t="str" cm="1">
        <f t="array" ref="J10773">_xlfn.IFS(I10773&lt;=3,"small",I10773&lt;=6,"Medium",I10773&lt;=9,"Large")</f>
        <v>Medium</v>
      </c>
      <c r="K10773" s="36">
        <v>45027</v>
      </c>
      <c r="L10773" s="36">
        <v>45029</v>
      </c>
      <c r="M10773" t="s">
        <v>612</v>
      </c>
      <c r="N10773" t="s">
        <v>608</v>
      </c>
      <c r="O10773" s="37" t="str">
        <f t="shared" si="843"/>
        <v>Cash Payment</v>
      </c>
      <c r="P10773">
        <v>843.97</v>
      </c>
      <c r="Q10773" s="37" t="str">
        <f>IF(P10773&gt;500,"High","low")</f>
        <v>High</v>
      </c>
      <c r="R10773" s="37" t="str">
        <f t="shared" si="844"/>
        <v>Good</v>
      </c>
      <c r="S10773" t="s">
        <v>628</v>
      </c>
    </row>
    <row r="10774" spans="1:19" x14ac:dyDescent="0.2">
      <c r="A10774" t="s">
        <v>11385</v>
      </c>
      <c r="B10774" t="s">
        <v>83</v>
      </c>
      <c r="C10774" t="s">
        <v>597</v>
      </c>
      <c r="D10774">
        <v>956.21</v>
      </c>
      <c r="E10774" s="37" t="str">
        <f t="shared" si="840"/>
        <v xml:space="preserve"> </v>
      </c>
      <c r="F10774">
        <v>0.48</v>
      </c>
      <c r="G10774" s="37" t="str">
        <f t="shared" si="841"/>
        <v>Heavy Discount</v>
      </c>
      <c r="H10774" s="37" t="str">
        <f t="shared" si="842"/>
        <v>High</v>
      </c>
      <c r="I10774">
        <v>3</v>
      </c>
      <c r="J10774" t="str" cm="1">
        <f t="array" ref="J10774">_xlfn.IFS(I10774&lt;=3,"small",I10774&lt;=6,"Medium",I10774&lt;=9,"Large")</f>
        <v>small</v>
      </c>
      <c r="K10774" s="36">
        <v>45426</v>
      </c>
      <c r="L10774" s="36">
        <v>45432</v>
      </c>
      <c r="M10774" t="s">
        <v>603</v>
      </c>
      <c r="N10774" t="s">
        <v>608</v>
      </c>
      <c r="O10774" s="37" t="str">
        <f t="shared" si="843"/>
        <v>Cash Payment</v>
      </c>
      <c r="P10774">
        <v>131.47</v>
      </c>
      <c r="Q10774" s="37" t="str">
        <f>IF(P10774&gt;500,"High","low")</f>
        <v>low</v>
      </c>
      <c r="R10774" s="37" t="str">
        <f t="shared" si="844"/>
        <v>AVERAGE</v>
      </c>
      <c r="S10774" t="s">
        <v>620</v>
      </c>
    </row>
    <row r="10775" spans="1:19" x14ac:dyDescent="0.2">
      <c r="A10775" t="s">
        <v>11386</v>
      </c>
      <c r="B10775" t="s">
        <v>67</v>
      </c>
      <c r="C10775" t="s">
        <v>617</v>
      </c>
      <c r="D10775">
        <v>1964.36</v>
      </c>
      <c r="E10775" s="37" t="str">
        <f t="shared" si="840"/>
        <v xml:space="preserve"> </v>
      </c>
      <c r="F10775">
        <v>0.48</v>
      </c>
      <c r="G10775" s="37" t="str">
        <f t="shared" si="841"/>
        <v>Heavy Discount</v>
      </c>
      <c r="H10775" s="37" t="str">
        <f t="shared" si="842"/>
        <v>High</v>
      </c>
      <c r="I10775">
        <v>1</v>
      </c>
      <c r="J10775" t="str" cm="1">
        <f t="array" ref="J10775">_xlfn.IFS(I10775&lt;=3,"small",I10775&lt;=6,"Medium",I10775&lt;=9,"Large")</f>
        <v>small</v>
      </c>
      <c r="K10775" s="36">
        <v>45156</v>
      </c>
      <c r="L10775" s="36">
        <v>45158</v>
      </c>
      <c r="M10775" t="s">
        <v>598</v>
      </c>
      <c r="N10775" t="s">
        <v>604</v>
      </c>
      <c r="O10775" s="37" t="str">
        <f t="shared" si="843"/>
        <v>Digital Payment</v>
      </c>
      <c r="P10775">
        <v>387.92</v>
      </c>
      <c r="Q10775" s="37" t="str">
        <f>IF(P10775&gt;500,"High","low")</f>
        <v>low</v>
      </c>
      <c r="R10775" s="37" t="str">
        <f t="shared" si="844"/>
        <v>AVERAGE</v>
      </c>
      <c r="S10775" t="s">
        <v>600</v>
      </c>
    </row>
    <row r="10776" spans="1:19" x14ac:dyDescent="0.2">
      <c r="A10776" t="s">
        <v>11387</v>
      </c>
      <c r="B10776" t="s">
        <v>83</v>
      </c>
      <c r="C10776" t="s">
        <v>614</v>
      </c>
      <c r="D10776">
        <v>4356.5200000000004</v>
      </c>
      <c r="E10776" s="37" t="str">
        <f t="shared" si="840"/>
        <v>Excellent Order</v>
      </c>
      <c r="F10776">
        <v>0.34</v>
      </c>
      <c r="G10776" s="37" t="str">
        <f t="shared" si="841"/>
        <v>Heavy Discount</v>
      </c>
      <c r="H10776" s="37" t="str">
        <f t="shared" si="842"/>
        <v>Medium</v>
      </c>
      <c r="I10776">
        <v>6</v>
      </c>
      <c r="J10776" t="str" cm="1">
        <f t="array" ref="J10776">_xlfn.IFS(I10776&lt;=3,"small",I10776&lt;=6,"Medium",I10776&lt;=9,"Large")</f>
        <v>Medium</v>
      </c>
      <c r="K10776" s="36">
        <v>45214</v>
      </c>
      <c r="L10776" s="36">
        <v>45220</v>
      </c>
      <c r="M10776" t="s">
        <v>598</v>
      </c>
      <c r="N10776" t="s">
        <v>599</v>
      </c>
      <c r="O10776" s="37" t="str">
        <f t="shared" si="843"/>
        <v>Digital Payment</v>
      </c>
      <c r="P10776">
        <v>802.84</v>
      </c>
      <c r="Q10776" s="37" t="str">
        <f>IF(P10776&gt;500,"High","low")</f>
        <v>High</v>
      </c>
      <c r="R10776" s="37" t="str">
        <f t="shared" si="844"/>
        <v>Good</v>
      </c>
      <c r="S10776" t="s">
        <v>600</v>
      </c>
    </row>
    <row r="10777" spans="1:19" x14ac:dyDescent="0.2">
      <c r="A10777" t="s">
        <v>11388</v>
      </c>
      <c r="B10777" t="s">
        <v>67</v>
      </c>
      <c r="C10777" t="s">
        <v>617</v>
      </c>
      <c r="D10777">
        <v>3675.36</v>
      </c>
      <c r="E10777" s="37" t="str">
        <f t="shared" si="840"/>
        <v xml:space="preserve"> </v>
      </c>
      <c r="F10777">
        <v>0.36</v>
      </c>
      <c r="G10777" s="37" t="str">
        <f t="shared" si="841"/>
        <v>Heavy Discount</v>
      </c>
      <c r="H10777" s="37" t="str">
        <f t="shared" si="842"/>
        <v>Medium</v>
      </c>
      <c r="I10777">
        <v>1</v>
      </c>
      <c r="J10777" t="str" cm="1">
        <f t="array" ref="J10777">_xlfn.IFS(I10777&lt;=3,"small",I10777&lt;=6,"Medium",I10777&lt;=9,"Large")</f>
        <v>small</v>
      </c>
      <c r="K10777" s="36">
        <v>45583</v>
      </c>
      <c r="L10777" s="36">
        <v>45587</v>
      </c>
      <c r="M10777" t="s">
        <v>598</v>
      </c>
      <c r="N10777" t="s">
        <v>604</v>
      </c>
      <c r="O10777" s="37" t="str">
        <f t="shared" si="843"/>
        <v>Digital Payment</v>
      </c>
      <c r="P10777">
        <v>553.28</v>
      </c>
      <c r="Q10777" s="37" t="str">
        <f>IF(P10777&gt;500,"High","low")</f>
        <v>High</v>
      </c>
      <c r="R10777" s="37" t="str">
        <f t="shared" si="844"/>
        <v>Good</v>
      </c>
      <c r="S10777" t="s">
        <v>605</v>
      </c>
    </row>
    <row r="10778" spans="1:19" x14ac:dyDescent="0.2">
      <c r="A10778" t="s">
        <v>11389</v>
      </c>
      <c r="B10778" t="s">
        <v>90</v>
      </c>
      <c r="C10778" t="s">
        <v>602</v>
      </c>
      <c r="D10778">
        <v>372.38</v>
      </c>
      <c r="E10778" s="37" t="str">
        <f t="shared" si="840"/>
        <v xml:space="preserve"> </v>
      </c>
      <c r="F10778">
        <v>0.33</v>
      </c>
      <c r="G10778" s="37" t="str">
        <f t="shared" si="841"/>
        <v>Heavy Discount</v>
      </c>
      <c r="H10778" s="37" t="str">
        <f t="shared" si="842"/>
        <v>Medium</v>
      </c>
      <c r="I10778">
        <v>4</v>
      </c>
      <c r="J10778" t="str" cm="1">
        <f t="array" ref="J10778">_xlfn.IFS(I10778&lt;=3,"small",I10778&lt;=6,"Medium",I10778&lt;=9,"Large")</f>
        <v>Medium</v>
      </c>
      <c r="K10778" s="36">
        <v>45200</v>
      </c>
      <c r="L10778" s="36">
        <v>45201</v>
      </c>
      <c r="M10778" t="s">
        <v>598</v>
      </c>
      <c r="N10778" t="s">
        <v>608</v>
      </c>
      <c r="O10778" s="37" t="str">
        <f t="shared" si="843"/>
        <v>Cash Payment</v>
      </c>
      <c r="P10778">
        <v>49.9</v>
      </c>
      <c r="Q10778" s="37" t="str">
        <f>IF(P10778&gt;500,"High","low")</f>
        <v>low</v>
      </c>
      <c r="R10778" s="37" t="str">
        <f t="shared" si="844"/>
        <v>AVERAGE</v>
      </c>
      <c r="S10778" t="s">
        <v>600</v>
      </c>
    </row>
    <row r="10779" spans="1:19" x14ac:dyDescent="0.2">
      <c r="A10779" t="s">
        <v>11390</v>
      </c>
      <c r="B10779" t="s">
        <v>67</v>
      </c>
      <c r="C10779" t="s">
        <v>617</v>
      </c>
      <c r="D10779">
        <v>2618.13</v>
      </c>
      <c r="E10779" s="37" t="str">
        <f t="shared" si="840"/>
        <v xml:space="preserve"> </v>
      </c>
      <c r="F10779">
        <v>0.09</v>
      </c>
      <c r="G10779" s="37" t="str">
        <f t="shared" si="841"/>
        <v>Normal Discount</v>
      </c>
      <c r="H10779" s="37" t="str">
        <f t="shared" si="842"/>
        <v>Low</v>
      </c>
      <c r="I10779">
        <v>4</v>
      </c>
      <c r="J10779" t="str" cm="1">
        <f t="array" ref="J10779">_xlfn.IFS(I10779&lt;=3,"small",I10779&lt;=6,"Medium",I10779&lt;=9,"Large")</f>
        <v>Medium</v>
      </c>
      <c r="K10779" s="36">
        <v>45506</v>
      </c>
      <c r="L10779" s="36">
        <v>45512</v>
      </c>
      <c r="M10779" t="s">
        <v>603</v>
      </c>
      <c r="N10779" t="s">
        <v>599</v>
      </c>
      <c r="O10779" s="37" t="str">
        <f t="shared" si="843"/>
        <v>Digital Payment</v>
      </c>
      <c r="P10779">
        <v>137.13999999999999</v>
      </c>
      <c r="Q10779" s="37" t="str">
        <f>IF(P10779&gt;500,"High","low")</f>
        <v>low</v>
      </c>
      <c r="R10779" s="37" t="str">
        <f t="shared" si="844"/>
        <v>AVERAGE</v>
      </c>
      <c r="S10779" t="s">
        <v>609</v>
      </c>
    </row>
    <row r="10780" spans="1:19" x14ac:dyDescent="0.2">
      <c r="A10780" t="s">
        <v>11391</v>
      </c>
      <c r="B10780" t="s">
        <v>83</v>
      </c>
      <c r="C10780" t="s">
        <v>602</v>
      </c>
      <c r="D10780">
        <v>547.35</v>
      </c>
      <c r="E10780" s="37" t="str">
        <f t="shared" si="840"/>
        <v xml:space="preserve"> </v>
      </c>
      <c r="F10780">
        <v>0.25</v>
      </c>
      <c r="G10780" s="37" t="str">
        <f t="shared" si="841"/>
        <v>Normal Discount</v>
      </c>
      <c r="H10780" s="37" t="str">
        <f t="shared" si="842"/>
        <v>Medium</v>
      </c>
      <c r="I10780">
        <v>3</v>
      </c>
      <c r="J10780" t="str" cm="1">
        <f t="array" ref="J10780">_xlfn.IFS(I10780&lt;=3,"small",I10780&lt;=6,"Medium",I10780&lt;=9,"Large")</f>
        <v>small</v>
      </c>
      <c r="K10780" s="36">
        <v>45487</v>
      </c>
      <c r="L10780" s="36">
        <v>45490</v>
      </c>
      <c r="M10780" t="s">
        <v>612</v>
      </c>
      <c r="N10780" t="s">
        <v>599</v>
      </c>
      <c r="O10780" s="37" t="str">
        <f t="shared" si="843"/>
        <v>Digital Payment</v>
      </c>
      <c r="P10780">
        <v>51.62</v>
      </c>
      <c r="Q10780" s="37" t="str">
        <f>IF(P10780&gt;500,"High","low")</f>
        <v>low</v>
      </c>
      <c r="R10780" s="37" t="str">
        <f t="shared" si="844"/>
        <v>AVERAGE</v>
      </c>
      <c r="S10780" t="s">
        <v>620</v>
      </c>
    </row>
    <row r="10781" spans="1:19" x14ac:dyDescent="0.2">
      <c r="A10781" t="s">
        <v>11392</v>
      </c>
      <c r="B10781" t="s">
        <v>90</v>
      </c>
      <c r="C10781" t="s">
        <v>602</v>
      </c>
      <c r="D10781">
        <v>4791.7299999999996</v>
      </c>
      <c r="E10781" s="37" t="str">
        <f t="shared" si="840"/>
        <v xml:space="preserve"> </v>
      </c>
      <c r="F10781">
        <v>0.4</v>
      </c>
      <c r="G10781" s="37" t="str">
        <f t="shared" si="841"/>
        <v>Heavy Discount</v>
      </c>
      <c r="H10781" s="37" t="str">
        <f t="shared" si="842"/>
        <v>Medium</v>
      </c>
      <c r="I10781">
        <v>4</v>
      </c>
      <c r="J10781" t="str" cm="1">
        <f t="array" ref="J10781">_xlfn.IFS(I10781&lt;=3,"small",I10781&lt;=6,"Medium",I10781&lt;=9,"Large")</f>
        <v>Medium</v>
      </c>
      <c r="K10781" s="36">
        <v>44995</v>
      </c>
      <c r="L10781" s="36">
        <v>45001</v>
      </c>
      <c r="M10781" t="s">
        <v>603</v>
      </c>
      <c r="N10781" t="s">
        <v>599</v>
      </c>
      <c r="O10781" s="37" t="str">
        <f t="shared" si="843"/>
        <v>Digital Payment</v>
      </c>
      <c r="P10781">
        <v>404.14</v>
      </c>
      <c r="Q10781" s="37" t="str">
        <f>IF(P10781&gt;500,"High","low")</f>
        <v>low</v>
      </c>
      <c r="R10781" s="37" t="str">
        <f t="shared" si="844"/>
        <v>AVERAGE</v>
      </c>
      <c r="S10781" t="s">
        <v>628</v>
      </c>
    </row>
    <row r="10782" spans="1:19" x14ac:dyDescent="0.2">
      <c r="A10782" t="s">
        <v>11393</v>
      </c>
      <c r="B10782" t="s">
        <v>90</v>
      </c>
      <c r="C10782" t="s">
        <v>614</v>
      </c>
      <c r="D10782">
        <v>1298.74</v>
      </c>
      <c r="E10782" s="37" t="str">
        <f t="shared" si="840"/>
        <v xml:space="preserve"> </v>
      </c>
      <c r="F10782">
        <v>0.39</v>
      </c>
      <c r="G10782" s="37" t="str">
        <f t="shared" si="841"/>
        <v>Heavy Discount</v>
      </c>
      <c r="H10782" s="37" t="str">
        <f t="shared" si="842"/>
        <v>Medium</v>
      </c>
      <c r="I10782">
        <v>6</v>
      </c>
      <c r="J10782" t="str" cm="1">
        <f t="array" ref="J10782">_xlfn.IFS(I10782&lt;=3,"small",I10782&lt;=6,"Medium",I10782&lt;=9,"Large")</f>
        <v>Medium</v>
      </c>
      <c r="K10782" s="36">
        <v>45250</v>
      </c>
      <c r="L10782" s="36">
        <v>45255</v>
      </c>
      <c r="M10782" t="s">
        <v>612</v>
      </c>
      <c r="N10782" t="s">
        <v>604</v>
      </c>
      <c r="O10782" s="37" t="str">
        <f t="shared" si="843"/>
        <v>Digital Payment</v>
      </c>
      <c r="P10782">
        <v>162.47999999999999</v>
      </c>
      <c r="Q10782" s="37" t="str">
        <f>IF(P10782&gt;500,"High","low")</f>
        <v>low</v>
      </c>
      <c r="R10782" s="37" t="str">
        <f t="shared" si="844"/>
        <v>AVERAGE</v>
      </c>
      <c r="S10782" t="s">
        <v>605</v>
      </c>
    </row>
    <row r="10783" spans="1:19" x14ac:dyDescent="0.2">
      <c r="A10783" t="s">
        <v>11394</v>
      </c>
      <c r="B10783" t="s">
        <v>75</v>
      </c>
      <c r="C10783" t="s">
        <v>607</v>
      </c>
      <c r="D10783">
        <v>4669.84</v>
      </c>
      <c r="E10783" s="37" t="str">
        <f t="shared" si="840"/>
        <v xml:space="preserve"> </v>
      </c>
      <c r="F10783">
        <v>0.45</v>
      </c>
      <c r="G10783" s="37" t="str">
        <f t="shared" si="841"/>
        <v>Heavy Discount</v>
      </c>
      <c r="H10783" s="37" t="str">
        <f t="shared" si="842"/>
        <v>High</v>
      </c>
      <c r="I10783">
        <v>6</v>
      </c>
      <c r="J10783" t="str" cm="1">
        <f t="array" ref="J10783">_xlfn.IFS(I10783&lt;=3,"small",I10783&lt;=6,"Medium",I10783&lt;=9,"Large")</f>
        <v>Medium</v>
      </c>
      <c r="K10783" s="36">
        <v>45013</v>
      </c>
      <c r="L10783" s="36">
        <v>45019</v>
      </c>
      <c r="M10783" t="s">
        <v>603</v>
      </c>
      <c r="N10783" t="s">
        <v>604</v>
      </c>
      <c r="O10783" s="37" t="str">
        <f t="shared" si="843"/>
        <v>Digital Payment</v>
      </c>
      <c r="P10783">
        <v>653.64</v>
      </c>
      <c r="Q10783" s="37" t="str">
        <f>IF(P10783&gt;500,"High","low")</f>
        <v>High</v>
      </c>
      <c r="R10783" s="37" t="str">
        <f t="shared" si="844"/>
        <v>Good</v>
      </c>
      <c r="S10783" t="s">
        <v>615</v>
      </c>
    </row>
    <row r="10784" spans="1:19" x14ac:dyDescent="0.2">
      <c r="A10784" t="s">
        <v>11395</v>
      </c>
      <c r="B10784" t="s">
        <v>75</v>
      </c>
      <c r="C10784" t="s">
        <v>617</v>
      </c>
      <c r="D10784">
        <v>4186.6400000000003</v>
      </c>
      <c r="E10784" s="37" t="str">
        <f t="shared" si="840"/>
        <v xml:space="preserve"> </v>
      </c>
      <c r="F10784">
        <v>0.45</v>
      </c>
      <c r="G10784" s="37" t="str">
        <f t="shared" si="841"/>
        <v>Heavy Discount</v>
      </c>
      <c r="H10784" s="37" t="str">
        <f t="shared" si="842"/>
        <v>High</v>
      </c>
      <c r="I10784">
        <v>6</v>
      </c>
      <c r="J10784" t="str" cm="1">
        <f t="array" ref="J10784">_xlfn.IFS(I10784&lt;=3,"small",I10784&lt;=6,"Medium",I10784&lt;=9,"Large")</f>
        <v>Medium</v>
      </c>
      <c r="K10784" s="36">
        <v>45571</v>
      </c>
      <c r="L10784" s="36">
        <v>45574</v>
      </c>
      <c r="M10784" t="s">
        <v>598</v>
      </c>
      <c r="N10784" t="s">
        <v>599</v>
      </c>
      <c r="O10784" s="37" t="str">
        <f t="shared" si="843"/>
        <v>Digital Payment</v>
      </c>
      <c r="P10784">
        <v>502.09</v>
      </c>
      <c r="Q10784" s="37" t="str">
        <f>IF(P10784&gt;500,"High","low")</f>
        <v>High</v>
      </c>
      <c r="R10784" s="37" t="str">
        <f t="shared" si="844"/>
        <v>Good</v>
      </c>
      <c r="S10784" t="s">
        <v>600</v>
      </c>
    </row>
    <row r="10785" spans="1:19" x14ac:dyDescent="0.2">
      <c r="A10785" t="s">
        <v>11396</v>
      </c>
      <c r="B10785" t="s">
        <v>83</v>
      </c>
      <c r="C10785" t="s">
        <v>597</v>
      </c>
      <c r="D10785">
        <v>2801.69</v>
      </c>
      <c r="E10785" s="37" t="str">
        <f t="shared" si="840"/>
        <v xml:space="preserve"> </v>
      </c>
      <c r="F10785">
        <v>0.13</v>
      </c>
      <c r="G10785" s="37" t="str">
        <f t="shared" si="841"/>
        <v>Normal Discount</v>
      </c>
      <c r="H10785" s="37" t="str">
        <f t="shared" si="842"/>
        <v>Low</v>
      </c>
      <c r="I10785">
        <v>6</v>
      </c>
      <c r="J10785" t="str" cm="1">
        <f t="array" ref="J10785">_xlfn.IFS(I10785&lt;=3,"small",I10785&lt;=6,"Medium",I10785&lt;=9,"Large")</f>
        <v>Medium</v>
      </c>
      <c r="K10785" s="36">
        <v>45003</v>
      </c>
      <c r="L10785" s="36">
        <v>45005</v>
      </c>
      <c r="M10785" t="s">
        <v>598</v>
      </c>
      <c r="N10785" t="s">
        <v>608</v>
      </c>
      <c r="O10785" s="37" t="str">
        <f t="shared" si="843"/>
        <v>Cash Payment</v>
      </c>
      <c r="P10785">
        <v>695.21</v>
      </c>
      <c r="Q10785" s="37" t="str">
        <f>IF(P10785&gt;500,"High","low")</f>
        <v>High</v>
      </c>
      <c r="R10785" s="37" t="str">
        <f t="shared" si="844"/>
        <v>Good</v>
      </c>
      <c r="S10785" t="s">
        <v>609</v>
      </c>
    </row>
    <row r="10786" spans="1:19" x14ac:dyDescent="0.2">
      <c r="A10786" t="s">
        <v>11397</v>
      </c>
      <c r="B10786" t="s">
        <v>67</v>
      </c>
      <c r="C10786" t="s">
        <v>602</v>
      </c>
      <c r="D10786">
        <v>1747.89</v>
      </c>
      <c r="E10786" s="37" t="str">
        <f t="shared" si="840"/>
        <v xml:space="preserve"> </v>
      </c>
      <c r="F10786">
        <v>0.36</v>
      </c>
      <c r="G10786" s="37" t="str">
        <f t="shared" si="841"/>
        <v>Heavy Discount</v>
      </c>
      <c r="H10786" s="37" t="str">
        <f t="shared" si="842"/>
        <v>Medium</v>
      </c>
      <c r="I10786">
        <v>4</v>
      </c>
      <c r="J10786" t="str" cm="1">
        <f t="array" ref="J10786">_xlfn.IFS(I10786&lt;=3,"small",I10786&lt;=6,"Medium",I10786&lt;=9,"Large")</f>
        <v>Medium</v>
      </c>
      <c r="K10786" s="36">
        <v>45500</v>
      </c>
      <c r="L10786" s="36">
        <v>45505</v>
      </c>
      <c r="M10786" t="s">
        <v>598</v>
      </c>
      <c r="N10786" t="s">
        <v>599</v>
      </c>
      <c r="O10786" s="37" t="str">
        <f t="shared" si="843"/>
        <v>Digital Payment</v>
      </c>
      <c r="P10786">
        <v>174.02</v>
      </c>
      <c r="Q10786" s="37" t="str">
        <f>IF(P10786&gt;500,"High","low")</f>
        <v>low</v>
      </c>
      <c r="R10786" s="37" t="str">
        <f t="shared" si="844"/>
        <v>AVERAGE</v>
      </c>
      <c r="S10786" t="s">
        <v>600</v>
      </c>
    </row>
    <row r="10787" spans="1:19" x14ac:dyDescent="0.2">
      <c r="A10787" t="s">
        <v>11398</v>
      </c>
      <c r="B10787" t="s">
        <v>67</v>
      </c>
      <c r="C10787" t="s">
        <v>607</v>
      </c>
      <c r="D10787">
        <v>4303.9399999999996</v>
      </c>
      <c r="E10787" s="37" t="str">
        <f t="shared" si="840"/>
        <v xml:space="preserve"> </v>
      </c>
      <c r="F10787">
        <v>0.33</v>
      </c>
      <c r="G10787" s="37" t="str">
        <f t="shared" si="841"/>
        <v>Heavy Discount</v>
      </c>
      <c r="H10787" s="37" t="str">
        <f t="shared" si="842"/>
        <v>Medium</v>
      </c>
      <c r="I10787">
        <v>7</v>
      </c>
      <c r="J10787" t="str" cm="1">
        <f t="array" ref="J10787">_xlfn.IFS(I10787&lt;=3,"small",I10787&lt;=6,"Medium",I10787&lt;=9,"Large")</f>
        <v>Large</v>
      </c>
      <c r="K10787" s="36">
        <v>44999</v>
      </c>
      <c r="L10787" s="36">
        <v>45001</v>
      </c>
      <c r="M10787" t="s">
        <v>598</v>
      </c>
      <c r="N10787" t="s">
        <v>608</v>
      </c>
      <c r="O10787" s="37" t="str">
        <f t="shared" si="843"/>
        <v>Cash Payment</v>
      </c>
      <c r="P10787">
        <v>498.4</v>
      </c>
      <c r="Q10787" s="37" t="str">
        <f>IF(P10787&gt;500,"High","low")</f>
        <v>low</v>
      </c>
      <c r="R10787" s="37" t="str">
        <f t="shared" si="844"/>
        <v>AVERAGE</v>
      </c>
      <c r="S10787" t="s">
        <v>600</v>
      </c>
    </row>
    <row r="10788" spans="1:19" x14ac:dyDescent="0.2">
      <c r="A10788" t="s">
        <v>11399</v>
      </c>
      <c r="B10788" t="s">
        <v>83</v>
      </c>
      <c r="C10788" t="s">
        <v>602</v>
      </c>
      <c r="D10788">
        <v>848.64</v>
      </c>
      <c r="E10788" s="37" t="str">
        <f t="shared" si="840"/>
        <v xml:space="preserve"> </v>
      </c>
      <c r="F10788">
        <v>0.44</v>
      </c>
      <c r="G10788" s="37" t="str">
        <f t="shared" si="841"/>
        <v>Heavy Discount</v>
      </c>
      <c r="H10788" s="37" t="str">
        <f t="shared" si="842"/>
        <v>High</v>
      </c>
      <c r="I10788">
        <v>7</v>
      </c>
      <c r="J10788" t="str" cm="1">
        <f t="array" ref="J10788">_xlfn.IFS(I10788&lt;=3,"small",I10788&lt;=6,"Medium",I10788&lt;=9,"Large")</f>
        <v>Large</v>
      </c>
      <c r="K10788" s="36">
        <v>44994</v>
      </c>
      <c r="L10788" s="36">
        <v>44999</v>
      </c>
      <c r="M10788" t="s">
        <v>603</v>
      </c>
      <c r="N10788" t="s">
        <v>604</v>
      </c>
      <c r="O10788" s="37" t="str">
        <f t="shared" si="843"/>
        <v>Digital Payment</v>
      </c>
      <c r="P10788">
        <v>149.12</v>
      </c>
      <c r="Q10788" s="37" t="str">
        <f>IF(P10788&gt;500,"High","low")</f>
        <v>low</v>
      </c>
      <c r="R10788" s="37" t="str">
        <f t="shared" si="844"/>
        <v>AVERAGE</v>
      </c>
      <c r="S10788" t="s">
        <v>605</v>
      </c>
    </row>
    <row r="10789" spans="1:19" x14ac:dyDescent="0.2">
      <c r="A10789" t="s">
        <v>11400</v>
      </c>
      <c r="B10789" t="s">
        <v>90</v>
      </c>
      <c r="C10789" t="s">
        <v>607</v>
      </c>
      <c r="D10789">
        <v>981.87</v>
      </c>
      <c r="E10789" s="37" t="str">
        <f t="shared" si="840"/>
        <v xml:space="preserve"> </v>
      </c>
      <c r="F10789">
        <v>0.09</v>
      </c>
      <c r="G10789" s="37" t="str">
        <f t="shared" si="841"/>
        <v>Normal Discount</v>
      </c>
      <c r="H10789" s="37" t="str">
        <f t="shared" si="842"/>
        <v>Low</v>
      </c>
      <c r="I10789">
        <v>2</v>
      </c>
      <c r="J10789" t="str" cm="1">
        <f t="array" ref="J10789">_xlfn.IFS(I10789&lt;=3,"small",I10789&lt;=6,"Medium",I10789&lt;=9,"Large")</f>
        <v>small</v>
      </c>
      <c r="K10789" s="36">
        <v>45144</v>
      </c>
      <c r="L10789" s="36">
        <v>45150</v>
      </c>
      <c r="M10789" t="s">
        <v>598</v>
      </c>
      <c r="N10789" t="s">
        <v>604</v>
      </c>
      <c r="O10789" s="37" t="str">
        <f t="shared" si="843"/>
        <v>Digital Payment</v>
      </c>
      <c r="P10789">
        <v>118.9</v>
      </c>
      <c r="Q10789" s="37" t="str">
        <f>IF(P10789&gt;500,"High","low")</f>
        <v>low</v>
      </c>
      <c r="R10789" s="37" t="str">
        <f t="shared" si="844"/>
        <v>AVERAGE</v>
      </c>
      <c r="S10789" t="s">
        <v>609</v>
      </c>
    </row>
    <row r="10790" spans="1:19" x14ac:dyDescent="0.2">
      <c r="A10790" t="s">
        <v>11401</v>
      </c>
      <c r="B10790" t="s">
        <v>83</v>
      </c>
      <c r="C10790" t="s">
        <v>607</v>
      </c>
      <c r="D10790">
        <v>1201.1400000000001</v>
      </c>
      <c r="E10790" s="37" t="str">
        <f t="shared" si="840"/>
        <v xml:space="preserve"> </v>
      </c>
      <c r="F10790">
        <v>0.37</v>
      </c>
      <c r="G10790" s="37" t="str">
        <f t="shared" si="841"/>
        <v>Heavy Discount</v>
      </c>
      <c r="H10790" s="37" t="str">
        <f t="shared" si="842"/>
        <v>Medium</v>
      </c>
      <c r="I10790">
        <v>6</v>
      </c>
      <c r="J10790" t="str" cm="1">
        <f t="array" ref="J10790">_xlfn.IFS(I10790&lt;=3,"small",I10790&lt;=6,"Medium",I10790&lt;=9,"Large")</f>
        <v>Medium</v>
      </c>
      <c r="K10790" s="36">
        <v>45516</v>
      </c>
      <c r="L10790" s="36">
        <v>45522</v>
      </c>
      <c r="M10790" t="s">
        <v>612</v>
      </c>
      <c r="N10790" t="s">
        <v>608</v>
      </c>
      <c r="O10790" s="37" t="str">
        <f t="shared" si="843"/>
        <v>Cash Payment</v>
      </c>
      <c r="P10790">
        <v>329.07</v>
      </c>
      <c r="Q10790" s="37" t="str">
        <f>IF(P10790&gt;500,"High","low")</f>
        <v>low</v>
      </c>
      <c r="R10790" s="37" t="str">
        <f t="shared" si="844"/>
        <v>AVERAGE</v>
      </c>
      <c r="S10790" t="s">
        <v>620</v>
      </c>
    </row>
    <row r="10791" spans="1:19" x14ac:dyDescent="0.2">
      <c r="A10791" t="s">
        <v>11402</v>
      </c>
      <c r="B10791" t="s">
        <v>83</v>
      </c>
      <c r="C10791" t="s">
        <v>597</v>
      </c>
      <c r="D10791">
        <v>3028.71</v>
      </c>
      <c r="E10791" s="37" t="str">
        <f t="shared" si="840"/>
        <v xml:space="preserve"> </v>
      </c>
      <c r="F10791">
        <v>0.21</v>
      </c>
      <c r="G10791" s="37" t="str">
        <f t="shared" si="841"/>
        <v>Normal Discount</v>
      </c>
      <c r="H10791" s="37" t="str">
        <f t="shared" si="842"/>
        <v>Medium</v>
      </c>
      <c r="I10791">
        <v>5</v>
      </c>
      <c r="J10791" t="str" cm="1">
        <f t="array" ref="J10791">_xlfn.IFS(I10791&lt;=3,"small",I10791&lt;=6,"Medium",I10791&lt;=9,"Large")</f>
        <v>Medium</v>
      </c>
      <c r="K10791" s="36">
        <v>45172</v>
      </c>
      <c r="L10791" s="36">
        <v>45176</v>
      </c>
      <c r="M10791" t="s">
        <v>612</v>
      </c>
      <c r="N10791" t="s">
        <v>608</v>
      </c>
      <c r="O10791" s="37" t="str">
        <f t="shared" si="843"/>
        <v>Cash Payment</v>
      </c>
      <c r="P10791">
        <v>614.86</v>
      </c>
      <c r="Q10791" s="37" t="str">
        <f>IF(P10791&gt;500,"High","low")</f>
        <v>High</v>
      </c>
      <c r="R10791" s="37" t="str">
        <f t="shared" si="844"/>
        <v>Good</v>
      </c>
      <c r="S10791" t="s">
        <v>605</v>
      </c>
    </row>
    <row r="10792" spans="1:19" x14ac:dyDescent="0.2">
      <c r="A10792" t="s">
        <v>11403</v>
      </c>
      <c r="B10792" t="s">
        <v>90</v>
      </c>
      <c r="C10792" t="s">
        <v>607</v>
      </c>
      <c r="D10792">
        <v>1640.19</v>
      </c>
      <c r="E10792" s="37" t="str">
        <f t="shared" si="840"/>
        <v xml:space="preserve"> </v>
      </c>
      <c r="F10792">
        <v>0.2</v>
      </c>
      <c r="G10792" s="37" t="str">
        <f t="shared" si="841"/>
        <v>Normal Discount</v>
      </c>
      <c r="H10792" s="37" t="str">
        <f t="shared" si="842"/>
        <v>Medium</v>
      </c>
      <c r="I10792">
        <v>1</v>
      </c>
      <c r="J10792" t="str" cm="1">
        <f t="array" ref="J10792">_xlfn.IFS(I10792&lt;=3,"small",I10792&lt;=6,"Medium",I10792&lt;=9,"Large")</f>
        <v>small</v>
      </c>
      <c r="K10792" s="36">
        <v>45021</v>
      </c>
      <c r="L10792" s="36">
        <v>45023</v>
      </c>
      <c r="M10792" t="s">
        <v>598</v>
      </c>
      <c r="N10792" t="s">
        <v>604</v>
      </c>
      <c r="O10792" s="37" t="str">
        <f t="shared" si="843"/>
        <v>Digital Payment</v>
      </c>
      <c r="P10792">
        <v>220.23</v>
      </c>
      <c r="Q10792" s="37" t="str">
        <f>IF(P10792&gt;500,"High","low")</f>
        <v>low</v>
      </c>
      <c r="R10792" s="37" t="str">
        <f t="shared" si="844"/>
        <v>AVERAGE</v>
      </c>
      <c r="S10792" t="s">
        <v>605</v>
      </c>
    </row>
    <row r="10793" spans="1:19" x14ac:dyDescent="0.2">
      <c r="A10793" t="s">
        <v>11404</v>
      </c>
      <c r="B10793" t="s">
        <v>67</v>
      </c>
      <c r="C10793" t="s">
        <v>597</v>
      </c>
      <c r="D10793">
        <v>4946.99</v>
      </c>
      <c r="E10793" s="37" t="str">
        <f t="shared" si="840"/>
        <v>Excellent Order</v>
      </c>
      <c r="F10793">
        <v>0.02</v>
      </c>
      <c r="G10793" s="37" t="str">
        <f t="shared" si="841"/>
        <v>Normal Discount</v>
      </c>
      <c r="H10793" s="37" t="str">
        <f t="shared" si="842"/>
        <v>Low</v>
      </c>
      <c r="I10793">
        <v>3</v>
      </c>
      <c r="J10793" t="str" cm="1">
        <f t="array" ref="J10793">_xlfn.IFS(I10793&lt;=3,"small",I10793&lt;=6,"Medium",I10793&lt;=9,"Large")</f>
        <v>small</v>
      </c>
      <c r="K10793" s="36">
        <v>45616</v>
      </c>
      <c r="L10793" s="36">
        <v>45621</v>
      </c>
      <c r="M10793" t="s">
        <v>612</v>
      </c>
      <c r="N10793" t="s">
        <v>604</v>
      </c>
      <c r="O10793" s="37" t="str">
        <f t="shared" si="843"/>
        <v>Digital Payment</v>
      </c>
      <c r="P10793">
        <v>806.71</v>
      </c>
      <c r="Q10793" s="37" t="str">
        <f>IF(P10793&gt;500,"High","low")</f>
        <v>High</v>
      </c>
      <c r="R10793" s="37" t="str">
        <f t="shared" si="844"/>
        <v>Good</v>
      </c>
      <c r="S10793" t="s">
        <v>609</v>
      </c>
    </row>
    <row r="10794" spans="1:19" x14ac:dyDescent="0.2">
      <c r="A10794" t="s">
        <v>11405</v>
      </c>
      <c r="B10794" t="s">
        <v>83</v>
      </c>
      <c r="C10794" t="s">
        <v>614</v>
      </c>
      <c r="D10794">
        <v>1056.05</v>
      </c>
      <c r="E10794" s="37" t="str">
        <f t="shared" si="840"/>
        <v xml:space="preserve"> </v>
      </c>
      <c r="F10794">
        <v>0.48</v>
      </c>
      <c r="G10794" s="37" t="str">
        <f t="shared" si="841"/>
        <v>Heavy Discount</v>
      </c>
      <c r="H10794" s="37" t="str">
        <f t="shared" si="842"/>
        <v>High</v>
      </c>
      <c r="I10794">
        <v>9</v>
      </c>
      <c r="J10794" t="str" cm="1">
        <f t="array" ref="J10794">_xlfn.IFS(I10794&lt;=3,"small",I10794&lt;=6,"Medium",I10794&lt;=9,"Large")</f>
        <v>Large</v>
      </c>
      <c r="K10794" s="36">
        <v>45400</v>
      </c>
      <c r="L10794" s="36">
        <v>45403</v>
      </c>
      <c r="M10794" t="s">
        <v>603</v>
      </c>
      <c r="N10794" t="s">
        <v>604</v>
      </c>
      <c r="O10794" s="37" t="str">
        <f t="shared" si="843"/>
        <v>Digital Payment</v>
      </c>
      <c r="P10794">
        <v>164.39</v>
      </c>
      <c r="Q10794" s="37" t="str">
        <f>IF(P10794&gt;500,"High","low")</f>
        <v>low</v>
      </c>
      <c r="R10794" s="37" t="str">
        <f t="shared" si="844"/>
        <v>AVERAGE</v>
      </c>
      <c r="S10794" t="s">
        <v>600</v>
      </c>
    </row>
    <row r="10795" spans="1:19" x14ac:dyDescent="0.2">
      <c r="A10795" t="s">
        <v>11406</v>
      </c>
      <c r="B10795" t="s">
        <v>67</v>
      </c>
      <c r="C10795" t="s">
        <v>602</v>
      </c>
      <c r="D10795">
        <v>4047.49</v>
      </c>
      <c r="E10795" s="37" t="str">
        <f t="shared" si="840"/>
        <v>Excellent Order</v>
      </c>
      <c r="F10795">
        <v>0.34</v>
      </c>
      <c r="G10795" s="37" t="str">
        <f t="shared" si="841"/>
        <v>Heavy Discount</v>
      </c>
      <c r="H10795" s="37" t="str">
        <f t="shared" si="842"/>
        <v>Medium</v>
      </c>
      <c r="I10795">
        <v>9</v>
      </c>
      <c r="J10795" t="str" cm="1">
        <f t="array" ref="J10795">_xlfn.IFS(I10795&lt;=3,"small",I10795&lt;=6,"Medium",I10795&lt;=9,"Large")</f>
        <v>Large</v>
      </c>
      <c r="K10795" s="36">
        <v>44928</v>
      </c>
      <c r="L10795" s="36">
        <v>44932</v>
      </c>
      <c r="M10795" t="s">
        <v>603</v>
      </c>
      <c r="N10795" t="s">
        <v>604</v>
      </c>
      <c r="O10795" s="37" t="str">
        <f t="shared" si="843"/>
        <v>Digital Payment</v>
      </c>
      <c r="P10795">
        <v>1103.48</v>
      </c>
      <c r="Q10795" s="37" t="str">
        <f>IF(P10795&gt;500,"High","low")</f>
        <v>High</v>
      </c>
      <c r="R10795" s="37" t="str">
        <f t="shared" si="844"/>
        <v>Excellent</v>
      </c>
      <c r="S10795" t="s">
        <v>609</v>
      </c>
    </row>
    <row r="10796" spans="1:19" x14ac:dyDescent="0.2">
      <c r="A10796" t="s">
        <v>11407</v>
      </c>
      <c r="B10796" t="s">
        <v>83</v>
      </c>
      <c r="C10796" t="s">
        <v>597</v>
      </c>
      <c r="D10796">
        <v>569.6</v>
      </c>
      <c r="E10796" s="37" t="str">
        <f t="shared" si="840"/>
        <v xml:space="preserve"> </v>
      </c>
      <c r="F10796">
        <v>0.3</v>
      </c>
      <c r="G10796" s="37" t="str">
        <f t="shared" si="841"/>
        <v>Normal Discount</v>
      </c>
      <c r="H10796" s="37" t="str">
        <f t="shared" si="842"/>
        <v>Medium</v>
      </c>
      <c r="I10796">
        <v>9</v>
      </c>
      <c r="J10796" t="str" cm="1">
        <f t="array" ref="J10796">_xlfn.IFS(I10796&lt;=3,"small",I10796&lt;=6,"Medium",I10796&lt;=9,"Large")</f>
        <v>Large</v>
      </c>
      <c r="K10796" s="36">
        <v>45420</v>
      </c>
      <c r="L10796" s="36">
        <v>45422</v>
      </c>
      <c r="M10796" t="s">
        <v>603</v>
      </c>
      <c r="N10796" t="s">
        <v>608</v>
      </c>
      <c r="O10796" s="37" t="str">
        <f t="shared" si="843"/>
        <v>Cash Payment</v>
      </c>
      <c r="P10796">
        <v>111.68</v>
      </c>
      <c r="Q10796" s="37" t="str">
        <f>IF(P10796&gt;500,"High","low")</f>
        <v>low</v>
      </c>
      <c r="R10796" s="37" t="str">
        <f t="shared" si="844"/>
        <v>AVERAGE</v>
      </c>
      <c r="S10796" t="s">
        <v>628</v>
      </c>
    </row>
    <row r="10797" spans="1:19" x14ac:dyDescent="0.2">
      <c r="A10797" t="s">
        <v>11408</v>
      </c>
      <c r="B10797" t="s">
        <v>90</v>
      </c>
      <c r="C10797" t="s">
        <v>602</v>
      </c>
      <c r="D10797">
        <v>1831.89</v>
      </c>
      <c r="E10797" s="37" t="str">
        <f t="shared" si="840"/>
        <v xml:space="preserve"> </v>
      </c>
      <c r="F10797">
        <v>0.13</v>
      </c>
      <c r="G10797" s="37" t="str">
        <f t="shared" si="841"/>
        <v>Normal Discount</v>
      </c>
      <c r="H10797" s="37" t="str">
        <f t="shared" si="842"/>
        <v>Low</v>
      </c>
      <c r="I10797">
        <v>5</v>
      </c>
      <c r="J10797" t="str" cm="1">
        <f t="array" ref="J10797">_xlfn.IFS(I10797&lt;=3,"small",I10797&lt;=6,"Medium",I10797&lt;=9,"Large")</f>
        <v>Medium</v>
      </c>
      <c r="K10797" s="36">
        <v>45610</v>
      </c>
      <c r="L10797" s="36">
        <v>45611</v>
      </c>
      <c r="M10797" t="s">
        <v>603</v>
      </c>
      <c r="N10797" t="s">
        <v>599</v>
      </c>
      <c r="O10797" s="37" t="str">
        <f t="shared" si="843"/>
        <v>Digital Payment</v>
      </c>
      <c r="P10797">
        <v>261.83</v>
      </c>
      <c r="Q10797" s="37" t="str">
        <f>IF(P10797&gt;500,"High","low")</f>
        <v>low</v>
      </c>
      <c r="R10797" s="37" t="str">
        <f t="shared" si="844"/>
        <v>AVERAGE</v>
      </c>
      <c r="S10797" t="s">
        <v>600</v>
      </c>
    </row>
    <row r="10798" spans="1:19" x14ac:dyDescent="0.2">
      <c r="A10798" t="s">
        <v>11409</v>
      </c>
      <c r="B10798" t="s">
        <v>90</v>
      </c>
      <c r="C10798" t="s">
        <v>617</v>
      </c>
      <c r="D10798">
        <v>1294.44</v>
      </c>
      <c r="E10798" s="37" t="str">
        <f t="shared" si="840"/>
        <v xml:space="preserve"> </v>
      </c>
      <c r="F10798">
        <v>0.33</v>
      </c>
      <c r="G10798" s="37" t="str">
        <f t="shared" si="841"/>
        <v>Heavy Discount</v>
      </c>
      <c r="H10798" s="37" t="str">
        <f t="shared" si="842"/>
        <v>Medium</v>
      </c>
      <c r="I10798">
        <v>6</v>
      </c>
      <c r="J10798" t="str" cm="1">
        <f t="array" ref="J10798">_xlfn.IFS(I10798&lt;=3,"small",I10798&lt;=6,"Medium",I10798&lt;=9,"Large")</f>
        <v>Medium</v>
      </c>
      <c r="K10798" s="36">
        <v>45490</v>
      </c>
      <c r="L10798" s="36">
        <v>45496</v>
      </c>
      <c r="M10798" t="s">
        <v>603</v>
      </c>
      <c r="N10798" t="s">
        <v>604</v>
      </c>
      <c r="O10798" s="37" t="str">
        <f t="shared" si="843"/>
        <v>Digital Payment</v>
      </c>
      <c r="P10798">
        <v>225</v>
      </c>
      <c r="Q10798" s="37" t="str">
        <f>IF(P10798&gt;500,"High","low")</f>
        <v>low</v>
      </c>
      <c r="R10798" s="37" t="str">
        <f t="shared" si="844"/>
        <v>AVERAGE</v>
      </c>
      <c r="S10798" t="s">
        <v>605</v>
      </c>
    </row>
    <row r="10799" spans="1:19" x14ac:dyDescent="0.2">
      <c r="A10799" t="s">
        <v>11410</v>
      </c>
      <c r="B10799" t="s">
        <v>75</v>
      </c>
      <c r="C10799" t="s">
        <v>614</v>
      </c>
      <c r="D10799">
        <v>4886.5</v>
      </c>
      <c r="E10799" s="37" t="str">
        <f t="shared" si="840"/>
        <v xml:space="preserve"> </v>
      </c>
      <c r="F10799">
        <v>0.47</v>
      </c>
      <c r="G10799" s="37" t="str">
        <f t="shared" si="841"/>
        <v>Heavy Discount</v>
      </c>
      <c r="H10799" s="37" t="str">
        <f t="shared" si="842"/>
        <v>High</v>
      </c>
      <c r="I10799">
        <v>9</v>
      </c>
      <c r="J10799" t="str" cm="1">
        <f t="array" ref="J10799">_xlfn.IFS(I10799&lt;=3,"small",I10799&lt;=6,"Medium",I10799&lt;=9,"Large")</f>
        <v>Large</v>
      </c>
      <c r="K10799" s="36">
        <v>45475</v>
      </c>
      <c r="L10799" s="36">
        <v>45481</v>
      </c>
      <c r="M10799" t="s">
        <v>598</v>
      </c>
      <c r="N10799" t="s">
        <v>608</v>
      </c>
      <c r="O10799" s="37" t="str">
        <f t="shared" si="843"/>
        <v>Cash Payment</v>
      </c>
      <c r="P10799">
        <v>687.33</v>
      </c>
      <c r="Q10799" s="37" t="str">
        <f>IF(P10799&gt;500,"High","low")</f>
        <v>High</v>
      </c>
      <c r="R10799" s="37" t="str">
        <f t="shared" si="844"/>
        <v>Good</v>
      </c>
      <c r="S10799" t="s">
        <v>628</v>
      </c>
    </row>
    <row r="10800" spans="1:19" x14ac:dyDescent="0.2">
      <c r="A10800" t="s">
        <v>11411</v>
      </c>
      <c r="B10800" t="s">
        <v>90</v>
      </c>
      <c r="C10800" t="s">
        <v>617</v>
      </c>
      <c r="D10800">
        <v>226.08</v>
      </c>
      <c r="E10800" s="37" t="str">
        <f t="shared" si="840"/>
        <v xml:space="preserve"> </v>
      </c>
      <c r="F10800">
        <v>0.08</v>
      </c>
      <c r="G10800" s="37" t="str">
        <f t="shared" si="841"/>
        <v>Normal Discount</v>
      </c>
      <c r="H10800" s="37" t="str">
        <f t="shared" si="842"/>
        <v>Low</v>
      </c>
      <c r="I10800">
        <v>4</v>
      </c>
      <c r="J10800" t="str" cm="1">
        <f t="array" ref="J10800">_xlfn.IFS(I10800&lt;=3,"small",I10800&lt;=6,"Medium",I10800&lt;=9,"Large")</f>
        <v>Medium</v>
      </c>
      <c r="K10800" s="36">
        <v>44992</v>
      </c>
      <c r="L10800" s="36">
        <v>44996</v>
      </c>
      <c r="M10800" t="s">
        <v>598</v>
      </c>
      <c r="N10800" t="s">
        <v>604</v>
      </c>
      <c r="O10800" s="37" t="str">
        <f t="shared" si="843"/>
        <v>Digital Payment</v>
      </c>
      <c r="P10800">
        <v>54.76</v>
      </c>
      <c r="Q10800" s="37" t="str">
        <f>IF(P10800&gt;500,"High","low")</f>
        <v>low</v>
      </c>
      <c r="R10800" s="37" t="str">
        <f t="shared" si="844"/>
        <v>AVERAGE</v>
      </c>
      <c r="S10800" t="s">
        <v>628</v>
      </c>
    </row>
    <row r="10801" spans="1:19" x14ac:dyDescent="0.2">
      <c r="A10801" t="s">
        <v>11412</v>
      </c>
      <c r="B10801" t="s">
        <v>75</v>
      </c>
      <c r="C10801" t="s">
        <v>617</v>
      </c>
      <c r="D10801">
        <v>3636.18</v>
      </c>
      <c r="E10801" s="37" t="str">
        <f t="shared" si="840"/>
        <v xml:space="preserve"> </v>
      </c>
      <c r="F10801">
        <v>0.49</v>
      </c>
      <c r="G10801" s="37" t="str">
        <f t="shared" si="841"/>
        <v>Heavy Discount</v>
      </c>
      <c r="H10801" s="37" t="str">
        <f t="shared" si="842"/>
        <v>High</v>
      </c>
      <c r="I10801">
        <v>4</v>
      </c>
      <c r="J10801" t="str" cm="1">
        <f t="array" ref="J10801">_xlfn.IFS(I10801&lt;=3,"small",I10801&lt;=6,"Medium",I10801&lt;=9,"Large")</f>
        <v>Medium</v>
      </c>
      <c r="K10801" s="36">
        <v>45018</v>
      </c>
      <c r="L10801" s="36">
        <v>45023</v>
      </c>
      <c r="M10801" t="s">
        <v>612</v>
      </c>
      <c r="N10801" t="s">
        <v>599</v>
      </c>
      <c r="O10801" s="37" t="str">
        <f t="shared" si="843"/>
        <v>Digital Payment</v>
      </c>
      <c r="P10801">
        <v>198.81</v>
      </c>
      <c r="Q10801" s="37" t="str">
        <f>IF(P10801&gt;500,"High","low")</f>
        <v>low</v>
      </c>
      <c r="R10801" s="37" t="str">
        <f t="shared" si="844"/>
        <v>AVERAGE</v>
      </c>
      <c r="S10801" t="s">
        <v>615</v>
      </c>
    </row>
    <row r="10802" spans="1:19" x14ac:dyDescent="0.2">
      <c r="A10802" t="s">
        <v>11413</v>
      </c>
      <c r="B10802" t="s">
        <v>83</v>
      </c>
      <c r="C10802" t="s">
        <v>607</v>
      </c>
      <c r="D10802">
        <v>1313.84</v>
      </c>
      <c r="E10802" s="37" t="str">
        <f t="shared" si="840"/>
        <v xml:space="preserve"> </v>
      </c>
      <c r="F10802">
        <v>0.21</v>
      </c>
      <c r="G10802" s="37" t="str">
        <f t="shared" si="841"/>
        <v>Normal Discount</v>
      </c>
      <c r="H10802" s="37" t="str">
        <f t="shared" si="842"/>
        <v>Medium</v>
      </c>
      <c r="I10802">
        <v>9</v>
      </c>
      <c r="J10802" t="str" cm="1">
        <f t="array" ref="J10802">_xlfn.IFS(I10802&lt;=3,"small",I10802&lt;=6,"Medium",I10802&lt;=9,"Large")</f>
        <v>Large</v>
      </c>
      <c r="K10802" s="36">
        <v>45110</v>
      </c>
      <c r="L10802" s="36">
        <v>45116</v>
      </c>
      <c r="M10802" t="s">
        <v>603</v>
      </c>
      <c r="N10802" t="s">
        <v>608</v>
      </c>
      <c r="O10802" s="37" t="str">
        <f t="shared" si="843"/>
        <v>Cash Payment</v>
      </c>
      <c r="P10802">
        <v>229.22</v>
      </c>
      <c r="Q10802" s="37" t="str">
        <f>IF(P10802&gt;500,"High","low")</f>
        <v>low</v>
      </c>
      <c r="R10802" s="37" t="str">
        <f t="shared" si="844"/>
        <v>AVERAGE</v>
      </c>
      <c r="S10802" t="s">
        <v>615</v>
      </c>
    </row>
    <row r="10803" spans="1:19" x14ac:dyDescent="0.2">
      <c r="A10803" t="s">
        <v>11414</v>
      </c>
      <c r="B10803" t="s">
        <v>67</v>
      </c>
      <c r="C10803" t="s">
        <v>607</v>
      </c>
      <c r="D10803">
        <v>4075.12</v>
      </c>
      <c r="E10803" s="37" t="str">
        <f t="shared" si="840"/>
        <v xml:space="preserve"> </v>
      </c>
      <c r="F10803">
        <v>0.49</v>
      </c>
      <c r="G10803" s="37" t="str">
        <f t="shared" si="841"/>
        <v>Heavy Discount</v>
      </c>
      <c r="H10803" s="37" t="str">
        <f t="shared" si="842"/>
        <v>High</v>
      </c>
      <c r="I10803">
        <v>7</v>
      </c>
      <c r="J10803" t="str" cm="1">
        <f t="array" ref="J10803">_xlfn.IFS(I10803&lt;=3,"small",I10803&lt;=6,"Medium",I10803&lt;=9,"Large")</f>
        <v>Large</v>
      </c>
      <c r="K10803" s="36">
        <v>45125</v>
      </c>
      <c r="L10803" s="36">
        <v>45126</v>
      </c>
      <c r="M10803" t="s">
        <v>598</v>
      </c>
      <c r="N10803" t="s">
        <v>604</v>
      </c>
      <c r="O10803" s="37" t="str">
        <f t="shared" si="843"/>
        <v>Digital Payment</v>
      </c>
      <c r="P10803">
        <v>455.67</v>
      </c>
      <c r="Q10803" s="37" t="str">
        <f>IF(P10803&gt;500,"High","low")</f>
        <v>low</v>
      </c>
      <c r="R10803" s="37" t="str">
        <f t="shared" si="844"/>
        <v>AVERAGE</v>
      </c>
      <c r="S10803" t="s">
        <v>600</v>
      </c>
    </row>
    <row r="10804" spans="1:19" x14ac:dyDescent="0.2">
      <c r="A10804" t="s">
        <v>11415</v>
      </c>
      <c r="B10804" t="s">
        <v>90</v>
      </c>
      <c r="C10804" t="s">
        <v>617</v>
      </c>
      <c r="D10804">
        <v>1625</v>
      </c>
      <c r="E10804" s="37" t="str">
        <f t="shared" si="840"/>
        <v xml:space="preserve"> </v>
      </c>
      <c r="F10804">
        <v>0.32</v>
      </c>
      <c r="G10804" s="37" t="str">
        <f t="shared" si="841"/>
        <v>Heavy Discount</v>
      </c>
      <c r="H10804" s="37" t="str">
        <f t="shared" si="842"/>
        <v>Medium</v>
      </c>
      <c r="I10804">
        <v>6</v>
      </c>
      <c r="J10804" t="str" cm="1">
        <f t="array" ref="J10804">_xlfn.IFS(I10804&lt;=3,"small",I10804&lt;=6,"Medium",I10804&lt;=9,"Large")</f>
        <v>Medium</v>
      </c>
      <c r="K10804" s="36">
        <v>45605</v>
      </c>
      <c r="L10804" s="36">
        <v>45606</v>
      </c>
      <c r="M10804" t="s">
        <v>612</v>
      </c>
      <c r="N10804" t="s">
        <v>599</v>
      </c>
      <c r="O10804" s="37" t="str">
        <f t="shared" si="843"/>
        <v>Digital Payment</v>
      </c>
      <c r="P10804">
        <v>175.64</v>
      </c>
      <c r="Q10804" s="37" t="str">
        <f>IF(P10804&gt;500,"High","low")</f>
        <v>low</v>
      </c>
      <c r="R10804" s="37" t="str">
        <f t="shared" si="844"/>
        <v>AVERAGE</v>
      </c>
      <c r="S10804" t="s">
        <v>609</v>
      </c>
    </row>
    <row r="10805" spans="1:19" x14ac:dyDescent="0.2">
      <c r="A10805" t="s">
        <v>11416</v>
      </c>
      <c r="B10805" t="s">
        <v>90</v>
      </c>
      <c r="C10805" t="s">
        <v>607</v>
      </c>
      <c r="D10805">
        <v>1017.69</v>
      </c>
      <c r="E10805" s="37" t="str">
        <f t="shared" si="840"/>
        <v xml:space="preserve"> </v>
      </c>
      <c r="F10805">
        <v>0.16</v>
      </c>
      <c r="G10805" s="37" t="str">
        <f t="shared" si="841"/>
        <v>Normal Discount</v>
      </c>
      <c r="H10805" s="37" t="str">
        <f t="shared" si="842"/>
        <v>Low</v>
      </c>
      <c r="I10805">
        <v>6</v>
      </c>
      <c r="J10805" t="str" cm="1">
        <f t="array" ref="J10805">_xlfn.IFS(I10805&lt;=3,"small",I10805&lt;=6,"Medium",I10805&lt;=9,"Large")</f>
        <v>Medium</v>
      </c>
      <c r="K10805" s="36">
        <v>45298</v>
      </c>
      <c r="L10805" s="36">
        <v>45304</v>
      </c>
      <c r="M10805" t="s">
        <v>598</v>
      </c>
      <c r="N10805" t="s">
        <v>608</v>
      </c>
      <c r="O10805" s="37" t="str">
        <f t="shared" si="843"/>
        <v>Cash Payment</v>
      </c>
      <c r="P10805">
        <v>97.96</v>
      </c>
      <c r="Q10805" s="37" t="str">
        <f>IF(P10805&gt;500,"High","low")</f>
        <v>low</v>
      </c>
      <c r="R10805" s="37" t="str">
        <f t="shared" si="844"/>
        <v>AVERAGE</v>
      </c>
      <c r="S10805" t="s">
        <v>605</v>
      </c>
    </row>
    <row r="10806" spans="1:19" x14ac:dyDescent="0.2">
      <c r="A10806" t="s">
        <v>11417</v>
      </c>
      <c r="B10806" t="s">
        <v>90</v>
      </c>
      <c r="C10806" t="s">
        <v>602</v>
      </c>
      <c r="D10806">
        <v>3495.9</v>
      </c>
      <c r="E10806" s="37" t="str">
        <f t="shared" si="840"/>
        <v xml:space="preserve"> </v>
      </c>
      <c r="F10806">
        <v>0.19</v>
      </c>
      <c r="G10806" s="37" t="str">
        <f t="shared" si="841"/>
        <v>Normal Discount</v>
      </c>
      <c r="H10806" s="37" t="str">
        <f t="shared" si="842"/>
        <v>Low</v>
      </c>
      <c r="I10806">
        <v>5</v>
      </c>
      <c r="J10806" t="str" cm="1">
        <f t="array" ref="J10806">_xlfn.IFS(I10806&lt;=3,"small",I10806&lt;=6,"Medium",I10806&lt;=9,"Large")</f>
        <v>Medium</v>
      </c>
      <c r="K10806" s="36">
        <v>45012</v>
      </c>
      <c r="L10806" s="36">
        <v>45018</v>
      </c>
      <c r="M10806" t="s">
        <v>603</v>
      </c>
      <c r="N10806" t="s">
        <v>608</v>
      </c>
      <c r="O10806" s="37" t="str">
        <f t="shared" si="843"/>
        <v>Cash Payment</v>
      </c>
      <c r="P10806">
        <v>612.28</v>
      </c>
      <c r="Q10806" s="37" t="str">
        <f>IF(P10806&gt;500,"High","low")</f>
        <v>High</v>
      </c>
      <c r="R10806" s="37" t="str">
        <f t="shared" si="844"/>
        <v>Good</v>
      </c>
      <c r="S10806" t="s">
        <v>605</v>
      </c>
    </row>
    <row r="10807" spans="1:19" x14ac:dyDescent="0.2">
      <c r="A10807" t="s">
        <v>11418</v>
      </c>
      <c r="B10807" t="s">
        <v>83</v>
      </c>
      <c r="C10807" t="s">
        <v>607</v>
      </c>
      <c r="D10807">
        <v>1362.13</v>
      </c>
      <c r="E10807" s="37" t="str">
        <f t="shared" si="840"/>
        <v xml:space="preserve"> </v>
      </c>
      <c r="F10807">
        <v>0.15</v>
      </c>
      <c r="G10807" s="37" t="str">
        <f t="shared" si="841"/>
        <v>Normal Discount</v>
      </c>
      <c r="H10807" s="37" t="str">
        <f t="shared" si="842"/>
        <v>Low</v>
      </c>
      <c r="I10807">
        <v>4</v>
      </c>
      <c r="J10807" t="str" cm="1">
        <f t="array" ref="J10807">_xlfn.IFS(I10807&lt;=3,"small",I10807&lt;=6,"Medium",I10807&lt;=9,"Large")</f>
        <v>Medium</v>
      </c>
      <c r="K10807" s="36">
        <v>45238</v>
      </c>
      <c r="L10807" s="36">
        <v>45239</v>
      </c>
      <c r="M10807" t="s">
        <v>603</v>
      </c>
      <c r="N10807" t="s">
        <v>599</v>
      </c>
      <c r="O10807" s="37" t="str">
        <f t="shared" si="843"/>
        <v>Digital Payment</v>
      </c>
      <c r="P10807">
        <v>104.41</v>
      </c>
      <c r="Q10807" s="37" t="str">
        <f>IF(P10807&gt;500,"High","low")</f>
        <v>low</v>
      </c>
      <c r="R10807" s="37" t="str">
        <f t="shared" si="844"/>
        <v>AVERAGE</v>
      </c>
      <c r="S10807" t="s">
        <v>600</v>
      </c>
    </row>
    <row r="10808" spans="1:19" x14ac:dyDescent="0.2">
      <c r="A10808" t="s">
        <v>11419</v>
      </c>
      <c r="B10808" t="s">
        <v>75</v>
      </c>
      <c r="C10808" t="s">
        <v>617</v>
      </c>
      <c r="D10808">
        <v>2479.1799999999998</v>
      </c>
      <c r="E10808" s="37" t="str">
        <f t="shared" si="840"/>
        <v xml:space="preserve"> </v>
      </c>
      <c r="F10808">
        <v>0.17</v>
      </c>
      <c r="G10808" s="37" t="str">
        <f t="shared" si="841"/>
        <v>Normal Discount</v>
      </c>
      <c r="H10808" s="37" t="str">
        <f t="shared" si="842"/>
        <v>Low</v>
      </c>
      <c r="I10808">
        <v>3</v>
      </c>
      <c r="J10808" t="str" cm="1">
        <f t="array" ref="J10808">_xlfn.IFS(I10808&lt;=3,"small",I10808&lt;=6,"Medium",I10808&lt;=9,"Large")</f>
        <v>small</v>
      </c>
      <c r="K10808" s="36">
        <v>45302</v>
      </c>
      <c r="L10808" s="36">
        <v>45307</v>
      </c>
      <c r="M10808" t="s">
        <v>612</v>
      </c>
      <c r="N10808" t="s">
        <v>599</v>
      </c>
      <c r="O10808" s="37" t="str">
        <f t="shared" si="843"/>
        <v>Digital Payment</v>
      </c>
      <c r="P10808">
        <v>446.03</v>
      </c>
      <c r="Q10808" s="37" t="str">
        <f>IF(P10808&gt;500,"High","low")</f>
        <v>low</v>
      </c>
      <c r="R10808" s="37" t="str">
        <f t="shared" si="844"/>
        <v>AVERAGE</v>
      </c>
      <c r="S10808" t="s">
        <v>628</v>
      </c>
    </row>
    <row r="10809" spans="1:19" x14ac:dyDescent="0.2">
      <c r="A10809" t="s">
        <v>11420</v>
      </c>
      <c r="B10809" t="s">
        <v>83</v>
      </c>
      <c r="C10809" t="s">
        <v>607</v>
      </c>
      <c r="D10809">
        <v>744.51</v>
      </c>
      <c r="E10809" s="37" t="str">
        <f t="shared" si="840"/>
        <v xml:space="preserve"> </v>
      </c>
      <c r="F10809">
        <v>0.32</v>
      </c>
      <c r="G10809" s="37" t="str">
        <f t="shared" si="841"/>
        <v>Heavy Discount</v>
      </c>
      <c r="H10809" s="37" t="str">
        <f t="shared" si="842"/>
        <v>Medium</v>
      </c>
      <c r="I10809">
        <v>7</v>
      </c>
      <c r="J10809" t="str" cm="1">
        <f t="array" ref="J10809">_xlfn.IFS(I10809&lt;=3,"small",I10809&lt;=6,"Medium",I10809&lt;=9,"Large")</f>
        <v>Large</v>
      </c>
      <c r="K10809" s="36">
        <v>45346</v>
      </c>
      <c r="L10809" s="36">
        <v>45350</v>
      </c>
      <c r="M10809" t="s">
        <v>598</v>
      </c>
      <c r="N10809" t="s">
        <v>604</v>
      </c>
      <c r="O10809" s="37" t="str">
        <f t="shared" si="843"/>
        <v>Digital Payment</v>
      </c>
      <c r="P10809">
        <v>149.51</v>
      </c>
      <c r="Q10809" s="37" t="str">
        <f>IF(P10809&gt;500,"High","low")</f>
        <v>low</v>
      </c>
      <c r="R10809" s="37" t="str">
        <f t="shared" si="844"/>
        <v>AVERAGE</v>
      </c>
      <c r="S10809" t="s">
        <v>600</v>
      </c>
    </row>
    <row r="10810" spans="1:19" x14ac:dyDescent="0.2">
      <c r="A10810" t="s">
        <v>11421</v>
      </c>
      <c r="B10810" t="s">
        <v>67</v>
      </c>
      <c r="C10810" t="s">
        <v>607</v>
      </c>
      <c r="D10810">
        <v>3650.53</v>
      </c>
      <c r="E10810" s="37" t="str">
        <f t="shared" si="840"/>
        <v xml:space="preserve"> </v>
      </c>
      <c r="F10810">
        <v>0.01</v>
      </c>
      <c r="G10810" s="37" t="str">
        <f t="shared" si="841"/>
        <v>Normal Discount</v>
      </c>
      <c r="H10810" s="37" t="str">
        <f t="shared" si="842"/>
        <v>Low</v>
      </c>
      <c r="I10810">
        <v>5</v>
      </c>
      <c r="J10810" t="str" cm="1">
        <f t="array" ref="J10810">_xlfn.IFS(I10810&lt;=3,"small",I10810&lt;=6,"Medium",I10810&lt;=9,"Large")</f>
        <v>Medium</v>
      </c>
      <c r="K10810" s="36">
        <v>45280</v>
      </c>
      <c r="L10810" s="36">
        <v>45287</v>
      </c>
      <c r="M10810" t="s">
        <v>612</v>
      </c>
      <c r="N10810" t="s">
        <v>604</v>
      </c>
      <c r="O10810" s="37" t="str">
        <f t="shared" si="843"/>
        <v>Digital Payment</v>
      </c>
      <c r="P10810">
        <v>1002.64</v>
      </c>
      <c r="Q10810" s="37" t="str">
        <f>IF(P10810&gt;500,"High","low")</f>
        <v>High</v>
      </c>
      <c r="R10810" s="37" t="str">
        <f t="shared" si="844"/>
        <v>Excellent</v>
      </c>
      <c r="S10810" t="s">
        <v>605</v>
      </c>
    </row>
    <row r="10811" spans="1:19" x14ac:dyDescent="0.2">
      <c r="A10811" t="s">
        <v>11422</v>
      </c>
      <c r="B10811" t="s">
        <v>83</v>
      </c>
      <c r="C10811" t="s">
        <v>597</v>
      </c>
      <c r="D10811">
        <v>2093.5</v>
      </c>
      <c r="E10811" s="37" t="str">
        <f t="shared" si="840"/>
        <v xml:space="preserve"> </v>
      </c>
      <c r="F10811">
        <v>0.48</v>
      </c>
      <c r="G10811" s="37" t="str">
        <f t="shared" si="841"/>
        <v>Heavy Discount</v>
      </c>
      <c r="H10811" s="37" t="str">
        <f t="shared" si="842"/>
        <v>High</v>
      </c>
      <c r="I10811">
        <v>2</v>
      </c>
      <c r="J10811" t="str" cm="1">
        <f t="array" ref="J10811">_xlfn.IFS(I10811&lt;=3,"small",I10811&lt;=6,"Medium",I10811&lt;=9,"Large")</f>
        <v>small</v>
      </c>
      <c r="K10811" s="36">
        <v>45186</v>
      </c>
      <c r="L10811" s="36">
        <v>45187</v>
      </c>
      <c r="M10811" t="s">
        <v>612</v>
      </c>
      <c r="N10811" t="s">
        <v>599</v>
      </c>
      <c r="O10811" s="37" t="str">
        <f t="shared" si="843"/>
        <v>Digital Payment</v>
      </c>
      <c r="P10811">
        <v>505.3</v>
      </c>
      <c r="Q10811" s="37" t="str">
        <f>IF(P10811&gt;500,"High","low")</f>
        <v>High</v>
      </c>
      <c r="R10811" s="37" t="str">
        <f t="shared" si="844"/>
        <v>Good</v>
      </c>
      <c r="S10811" t="s">
        <v>620</v>
      </c>
    </row>
    <row r="10812" spans="1:19" x14ac:dyDescent="0.2">
      <c r="A10812" t="s">
        <v>11423</v>
      </c>
      <c r="B10812" t="s">
        <v>67</v>
      </c>
      <c r="C10812" t="s">
        <v>597</v>
      </c>
      <c r="D10812">
        <v>788.84</v>
      </c>
      <c r="E10812" s="37" t="str">
        <f t="shared" si="840"/>
        <v xml:space="preserve"> </v>
      </c>
      <c r="F10812">
        <v>0.38</v>
      </c>
      <c r="G10812" s="37" t="str">
        <f t="shared" si="841"/>
        <v>Heavy Discount</v>
      </c>
      <c r="H10812" s="37" t="str">
        <f t="shared" si="842"/>
        <v>Medium</v>
      </c>
      <c r="I10812">
        <v>3</v>
      </c>
      <c r="J10812" t="str" cm="1">
        <f t="array" ref="J10812">_xlfn.IFS(I10812&lt;=3,"small",I10812&lt;=6,"Medium",I10812&lt;=9,"Large")</f>
        <v>small</v>
      </c>
      <c r="K10812" s="36">
        <v>45479</v>
      </c>
      <c r="L10812" s="36">
        <v>45485</v>
      </c>
      <c r="M10812" t="s">
        <v>603</v>
      </c>
      <c r="N10812" t="s">
        <v>599</v>
      </c>
      <c r="O10812" s="37" t="str">
        <f t="shared" si="843"/>
        <v>Digital Payment</v>
      </c>
      <c r="P10812">
        <v>167.56</v>
      </c>
      <c r="Q10812" s="37" t="str">
        <f>IF(P10812&gt;500,"High","low")</f>
        <v>low</v>
      </c>
      <c r="R10812" s="37" t="str">
        <f t="shared" si="844"/>
        <v>AVERAGE</v>
      </c>
      <c r="S10812" t="s">
        <v>609</v>
      </c>
    </row>
    <row r="10813" spans="1:19" x14ac:dyDescent="0.2">
      <c r="A10813" t="s">
        <v>11424</v>
      </c>
      <c r="B10813" t="s">
        <v>90</v>
      </c>
      <c r="C10813" t="s">
        <v>617</v>
      </c>
      <c r="D10813">
        <v>3733.82</v>
      </c>
      <c r="E10813" s="37" t="str">
        <f t="shared" si="840"/>
        <v xml:space="preserve"> </v>
      </c>
      <c r="F10813">
        <v>0.47</v>
      </c>
      <c r="G10813" s="37" t="str">
        <f t="shared" si="841"/>
        <v>Heavy Discount</v>
      </c>
      <c r="H10813" s="37" t="str">
        <f t="shared" si="842"/>
        <v>High</v>
      </c>
      <c r="I10813">
        <v>5</v>
      </c>
      <c r="J10813" t="str" cm="1">
        <f t="array" ref="J10813">_xlfn.IFS(I10813&lt;=3,"small",I10813&lt;=6,"Medium",I10813&lt;=9,"Large")</f>
        <v>Medium</v>
      </c>
      <c r="K10813" s="36">
        <v>45025</v>
      </c>
      <c r="L10813" s="36">
        <v>45026</v>
      </c>
      <c r="M10813" t="s">
        <v>603</v>
      </c>
      <c r="N10813" t="s">
        <v>604</v>
      </c>
      <c r="O10813" s="37" t="str">
        <f t="shared" si="843"/>
        <v>Digital Payment</v>
      </c>
      <c r="P10813">
        <v>939.87</v>
      </c>
      <c r="Q10813" s="37" t="str">
        <f>IF(P10813&gt;500,"High","low")</f>
        <v>High</v>
      </c>
      <c r="R10813" s="37" t="str">
        <f t="shared" si="844"/>
        <v>Good</v>
      </c>
      <c r="S10813" t="s">
        <v>605</v>
      </c>
    </row>
    <row r="10814" spans="1:19" x14ac:dyDescent="0.2">
      <c r="A10814" t="s">
        <v>11425</v>
      </c>
      <c r="B10814" t="s">
        <v>67</v>
      </c>
      <c r="C10814" t="s">
        <v>602</v>
      </c>
      <c r="D10814">
        <v>606.47</v>
      </c>
      <c r="E10814" s="37" t="str">
        <f t="shared" si="840"/>
        <v xml:space="preserve"> </v>
      </c>
      <c r="F10814">
        <v>0.36</v>
      </c>
      <c r="G10814" s="37" t="str">
        <f t="shared" si="841"/>
        <v>Heavy Discount</v>
      </c>
      <c r="H10814" s="37" t="str">
        <f t="shared" si="842"/>
        <v>Medium</v>
      </c>
      <c r="I10814">
        <v>9</v>
      </c>
      <c r="J10814" t="str" cm="1">
        <f t="array" ref="J10814">_xlfn.IFS(I10814&lt;=3,"small",I10814&lt;=6,"Medium",I10814&lt;=9,"Large")</f>
        <v>Large</v>
      </c>
      <c r="K10814" s="36">
        <v>45085</v>
      </c>
      <c r="L10814" s="36">
        <v>45091</v>
      </c>
      <c r="M10814" t="s">
        <v>612</v>
      </c>
      <c r="N10814" t="s">
        <v>599</v>
      </c>
      <c r="O10814" s="37" t="str">
        <f t="shared" si="843"/>
        <v>Digital Payment</v>
      </c>
      <c r="P10814">
        <v>83.63</v>
      </c>
      <c r="Q10814" s="37" t="str">
        <f>IF(P10814&gt;500,"High","low")</f>
        <v>low</v>
      </c>
      <c r="R10814" s="37" t="str">
        <f t="shared" si="844"/>
        <v>AVERAGE</v>
      </c>
      <c r="S10814" t="s">
        <v>609</v>
      </c>
    </row>
    <row r="10815" spans="1:19" x14ac:dyDescent="0.2">
      <c r="A10815" t="s">
        <v>11426</v>
      </c>
      <c r="B10815" t="s">
        <v>67</v>
      </c>
      <c r="C10815" t="s">
        <v>614</v>
      </c>
      <c r="D10815">
        <v>2916.62</v>
      </c>
      <c r="E10815" s="37" t="str">
        <f t="shared" si="840"/>
        <v xml:space="preserve"> </v>
      </c>
      <c r="F10815">
        <v>0.24</v>
      </c>
      <c r="G10815" s="37" t="str">
        <f t="shared" si="841"/>
        <v>Normal Discount</v>
      </c>
      <c r="H10815" s="37" t="str">
        <f t="shared" si="842"/>
        <v>Medium</v>
      </c>
      <c r="I10815">
        <v>6</v>
      </c>
      <c r="J10815" t="str" cm="1">
        <f t="array" ref="J10815">_xlfn.IFS(I10815&lt;=3,"small",I10815&lt;=6,"Medium",I10815&lt;=9,"Large")</f>
        <v>Medium</v>
      </c>
      <c r="K10815" s="36">
        <v>45343</v>
      </c>
      <c r="L10815" s="36">
        <v>45350</v>
      </c>
      <c r="M10815" t="s">
        <v>603</v>
      </c>
      <c r="N10815" t="s">
        <v>608</v>
      </c>
      <c r="O10815" s="37" t="str">
        <f t="shared" si="843"/>
        <v>Cash Payment</v>
      </c>
      <c r="P10815">
        <v>533.80999999999995</v>
      </c>
      <c r="Q10815" s="37" t="str">
        <f>IF(P10815&gt;500,"High","low")</f>
        <v>High</v>
      </c>
      <c r="R10815" s="37" t="str">
        <f t="shared" si="844"/>
        <v>Good</v>
      </c>
      <c r="S10815" t="s">
        <v>609</v>
      </c>
    </row>
    <row r="10816" spans="1:19" x14ac:dyDescent="0.2">
      <c r="A10816" t="s">
        <v>11427</v>
      </c>
      <c r="B10816" t="s">
        <v>75</v>
      </c>
      <c r="C10816" t="s">
        <v>614</v>
      </c>
      <c r="D10816">
        <v>3076.68</v>
      </c>
      <c r="E10816" s="37" t="str">
        <f t="shared" si="840"/>
        <v xml:space="preserve"> </v>
      </c>
      <c r="F10816">
        <v>0.09</v>
      </c>
      <c r="G10816" s="37" t="str">
        <f t="shared" si="841"/>
        <v>Normal Discount</v>
      </c>
      <c r="H10816" s="37" t="str">
        <f t="shared" si="842"/>
        <v>Low</v>
      </c>
      <c r="I10816">
        <v>2</v>
      </c>
      <c r="J10816" t="str" cm="1">
        <f t="array" ref="J10816">_xlfn.IFS(I10816&lt;=3,"small",I10816&lt;=6,"Medium",I10816&lt;=9,"Large")</f>
        <v>small</v>
      </c>
      <c r="K10816" s="36">
        <v>45315</v>
      </c>
      <c r="L10816" s="36">
        <v>45320</v>
      </c>
      <c r="M10816" t="s">
        <v>603</v>
      </c>
      <c r="N10816" t="s">
        <v>599</v>
      </c>
      <c r="O10816" s="37" t="str">
        <f t="shared" si="843"/>
        <v>Digital Payment</v>
      </c>
      <c r="P10816">
        <v>219.61</v>
      </c>
      <c r="Q10816" s="37" t="str">
        <f>IF(P10816&gt;500,"High","low")</f>
        <v>low</v>
      </c>
      <c r="R10816" s="37" t="str">
        <f t="shared" si="844"/>
        <v>AVERAGE</v>
      </c>
      <c r="S10816" t="s">
        <v>628</v>
      </c>
    </row>
    <row r="10817" spans="1:19" x14ac:dyDescent="0.2">
      <c r="A10817" t="s">
        <v>11428</v>
      </c>
      <c r="B10817" t="s">
        <v>67</v>
      </c>
      <c r="C10817" t="s">
        <v>617</v>
      </c>
      <c r="D10817">
        <v>4658.72</v>
      </c>
      <c r="E10817" s="37" t="str">
        <f t="shared" si="840"/>
        <v>Excellent Order</v>
      </c>
      <c r="F10817">
        <v>0.26</v>
      </c>
      <c r="G10817" s="37" t="str">
        <f t="shared" si="841"/>
        <v>Normal Discount</v>
      </c>
      <c r="H10817" s="37" t="str">
        <f t="shared" si="842"/>
        <v>Medium</v>
      </c>
      <c r="I10817">
        <v>8</v>
      </c>
      <c r="J10817" t="str" cm="1">
        <f t="array" ref="J10817">_xlfn.IFS(I10817&lt;=3,"small",I10817&lt;=6,"Medium",I10817&lt;=9,"Large")</f>
        <v>Large</v>
      </c>
      <c r="K10817" s="36">
        <v>45353</v>
      </c>
      <c r="L10817" s="36">
        <v>45355</v>
      </c>
      <c r="M10817" t="s">
        <v>598</v>
      </c>
      <c r="N10817" t="s">
        <v>599</v>
      </c>
      <c r="O10817" s="37" t="str">
        <f t="shared" si="843"/>
        <v>Digital Payment</v>
      </c>
      <c r="P10817">
        <v>841.57</v>
      </c>
      <c r="Q10817" s="37" t="str">
        <f>IF(P10817&gt;500,"High","low")</f>
        <v>High</v>
      </c>
      <c r="R10817" s="37" t="str">
        <f t="shared" si="844"/>
        <v>Good</v>
      </c>
      <c r="S10817" t="s">
        <v>628</v>
      </c>
    </row>
    <row r="10818" spans="1:19" x14ac:dyDescent="0.2">
      <c r="A10818" t="s">
        <v>11429</v>
      </c>
      <c r="B10818" t="s">
        <v>67</v>
      </c>
      <c r="C10818" t="s">
        <v>602</v>
      </c>
      <c r="D10818">
        <v>839.8</v>
      </c>
      <c r="E10818" s="37" t="str">
        <f t="shared" si="840"/>
        <v xml:space="preserve"> </v>
      </c>
      <c r="F10818">
        <v>0.36</v>
      </c>
      <c r="G10818" s="37" t="str">
        <f t="shared" si="841"/>
        <v>Heavy Discount</v>
      </c>
      <c r="H10818" s="37" t="str">
        <f t="shared" si="842"/>
        <v>Medium</v>
      </c>
      <c r="I10818">
        <v>6</v>
      </c>
      <c r="J10818" t="str" cm="1">
        <f t="array" ref="J10818">_xlfn.IFS(I10818&lt;=3,"small",I10818&lt;=6,"Medium",I10818&lt;=9,"Large")</f>
        <v>Medium</v>
      </c>
      <c r="K10818" s="36">
        <v>45161</v>
      </c>
      <c r="L10818" s="36">
        <v>45163</v>
      </c>
      <c r="M10818" t="s">
        <v>612</v>
      </c>
      <c r="N10818" t="s">
        <v>599</v>
      </c>
      <c r="O10818" s="37" t="str">
        <f t="shared" si="843"/>
        <v>Digital Payment</v>
      </c>
      <c r="P10818">
        <v>123.64</v>
      </c>
      <c r="Q10818" s="37" t="str">
        <f>IF(P10818&gt;500,"High","low")</f>
        <v>low</v>
      </c>
      <c r="R10818" s="37" t="str">
        <f t="shared" si="844"/>
        <v>AVERAGE</v>
      </c>
      <c r="S10818" t="s">
        <v>620</v>
      </c>
    </row>
    <row r="10819" spans="1:19" x14ac:dyDescent="0.2">
      <c r="A10819" t="s">
        <v>11430</v>
      </c>
      <c r="B10819" t="s">
        <v>83</v>
      </c>
      <c r="C10819" t="s">
        <v>602</v>
      </c>
      <c r="D10819">
        <v>3301.4</v>
      </c>
      <c r="E10819" s="37" t="str">
        <f t="shared" ref="E10819:E10882" si="845">IF(AND(D10819&gt;4000,P10819&gt;800),"Excellent Order"," ")</f>
        <v xml:space="preserve"> </v>
      </c>
      <c r="F10819">
        <v>0.43</v>
      </c>
      <c r="G10819" s="37" t="str">
        <f t="shared" ref="G10819:G10882" si="846">IF(F10819&gt;30%,"Heavy Discount","Normal Discount")</f>
        <v>Heavy Discount</v>
      </c>
      <c r="H10819" s="37" t="str">
        <f t="shared" ref="H10819:H10882" si="847">IF(F10819&gt;0.4,"High",IF(F10819&gt;=0.2,"Medium","Low"))</f>
        <v>High</v>
      </c>
      <c r="I10819">
        <v>6</v>
      </c>
      <c r="J10819" t="str" cm="1">
        <f t="array" ref="J10819">_xlfn.IFS(I10819&lt;=3,"small",I10819&lt;=6,"Medium",I10819&lt;=9,"Large")</f>
        <v>Medium</v>
      </c>
      <c r="K10819" s="36">
        <v>45321</v>
      </c>
      <c r="L10819" s="36">
        <v>45327</v>
      </c>
      <c r="M10819" t="s">
        <v>603</v>
      </c>
      <c r="N10819" t="s">
        <v>604</v>
      </c>
      <c r="O10819" s="37" t="str">
        <f t="shared" ref="O10819:O10882" si="848">IF(OR(N10819="Card",N10819="UPI"),"Digital Payment","Cash Payment")</f>
        <v>Digital Payment</v>
      </c>
      <c r="P10819">
        <v>918.6</v>
      </c>
      <c r="Q10819" s="37" t="str">
        <f>IF(P10819&gt;500,"High","low")</f>
        <v>High</v>
      </c>
      <c r="R10819" s="37" t="str">
        <f t="shared" ref="R10819:R10882" si="849">IF(P10819&gt;1000,"Excellent",IF(P10819&gt;=500,"Good","AVERAGE"))</f>
        <v>Good</v>
      </c>
      <c r="S10819" t="s">
        <v>605</v>
      </c>
    </row>
    <row r="10820" spans="1:19" x14ac:dyDescent="0.2">
      <c r="A10820" t="s">
        <v>11431</v>
      </c>
      <c r="B10820" t="s">
        <v>90</v>
      </c>
      <c r="C10820" t="s">
        <v>602</v>
      </c>
      <c r="D10820">
        <v>1965.77</v>
      </c>
      <c r="E10820" s="37" t="str">
        <f t="shared" si="845"/>
        <v xml:space="preserve"> </v>
      </c>
      <c r="F10820">
        <v>0.16</v>
      </c>
      <c r="G10820" s="37" t="str">
        <f t="shared" si="846"/>
        <v>Normal Discount</v>
      </c>
      <c r="H10820" s="37" t="str">
        <f t="shared" si="847"/>
        <v>Low</v>
      </c>
      <c r="I10820">
        <v>8</v>
      </c>
      <c r="J10820" t="str" cm="1">
        <f t="array" ref="J10820">_xlfn.IFS(I10820&lt;=3,"small",I10820&lt;=6,"Medium",I10820&lt;=9,"Large")</f>
        <v>Large</v>
      </c>
      <c r="K10820" s="36">
        <v>44958</v>
      </c>
      <c r="L10820" s="36">
        <v>44962</v>
      </c>
      <c r="M10820" t="s">
        <v>603</v>
      </c>
      <c r="N10820" t="s">
        <v>608</v>
      </c>
      <c r="O10820" s="37" t="str">
        <f t="shared" si="848"/>
        <v>Cash Payment</v>
      </c>
      <c r="P10820">
        <v>246.56</v>
      </c>
      <c r="Q10820" s="37" t="str">
        <f>IF(P10820&gt;500,"High","low")</f>
        <v>low</v>
      </c>
      <c r="R10820" s="37" t="str">
        <f t="shared" si="849"/>
        <v>AVERAGE</v>
      </c>
      <c r="S10820" t="s">
        <v>628</v>
      </c>
    </row>
    <row r="10821" spans="1:19" x14ac:dyDescent="0.2">
      <c r="A10821" t="s">
        <v>11432</v>
      </c>
      <c r="B10821" t="s">
        <v>83</v>
      </c>
      <c r="C10821" t="s">
        <v>597</v>
      </c>
      <c r="D10821">
        <v>2063.9899999999998</v>
      </c>
      <c r="E10821" s="37" t="str">
        <f t="shared" si="845"/>
        <v xml:space="preserve"> </v>
      </c>
      <c r="F10821">
        <v>0.26</v>
      </c>
      <c r="G10821" s="37" t="str">
        <f t="shared" si="846"/>
        <v>Normal Discount</v>
      </c>
      <c r="H10821" s="37" t="str">
        <f t="shared" si="847"/>
        <v>Medium</v>
      </c>
      <c r="I10821">
        <v>7</v>
      </c>
      <c r="J10821" t="str" cm="1">
        <f t="array" ref="J10821">_xlfn.IFS(I10821&lt;=3,"small",I10821&lt;=6,"Medium",I10821&lt;=9,"Large")</f>
        <v>Large</v>
      </c>
      <c r="K10821" s="36">
        <v>45293</v>
      </c>
      <c r="L10821" s="36">
        <v>45299</v>
      </c>
      <c r="M10821" t="s">
        <v>603</v>
      </c>
      <c r="N10821" t="s">
        <v>608</v>
      </c>
      <c r="O10821" s="37" t="str">
        <f t="shared" si="848"/>
        <v>Cash Payment</v>
      </c>
      <c r="P10821">
        <v>457.53</v>
      </c>
      <c r="Q10821" s="37" t="str">
        <f>IF(P10821&gt;500,"High","low")</f>
        <v>low</v>
      </c>
      <c r="R10821" s="37" t="str">
        <f t="shared" si="849"/>
        <v>AVERAGE</v>
      </c>
      <c r="S10821" t="s">
        <v>600</v>
      </c>
    </row>
    <row r="10822" spans="1:19" x14ac:dyDescent="0.2">
      <c r="A10822" t="s">
        <v>11433</v>
      </c>
      <c r="B10822" t="s">
        <v>83</v>
      </c>
      <c r="C10822" t="s">
        <v>617</v>
      </c>
      <c r="D10822">
        <v>2558.94</v>
      </c>
      <c r="E10822" s="37" t="str">
        <f t="shared" si="845"/>
        <v xml:space="preserve"> </v>
      </c>
      <c r="F10822">
        <v>0.31</v>
      </c>
      <c r="G10822" s="37" t="str">
        <f t="shared" si="846"/>
        <v>Heavy Discount</v>
      </c>
      <c r="H10822" s="37" t="str">
        <f t="shared" si="847"/>
        <v>Medium</v>
      </c>
      <c r="I10822">
        <v>5</v>
      </c>
      <c r="J10822" t="str" cm="1">
        <f t="array" ref="J10822">_xlfn.IFS(I10822&lt;=3,"small",I10822&lt;=6,"Medium",I10822&lt;=9,"Large")</f>
        <v>Medium</v>
      </c>
      <c r="K10822" s="36">
        <v>45311</v>
      </c>
      <c r="L10822" s="36">
        <v>45318</v>
      </c>
      <c r="M10822" t="s">
        <v>603</v>
      </c>
      <c r="N10822" t="s">
        <v>599</v>
      </c>
      <c r="O10822" s="37" t="str">
        <f t="shared" si="848"/>
        <v>Digital Payment</v>
      </c>
      <c r="P10822">
        <v>567.84</v>
      </c>
      <c r="Q10822" s="37" t="str">
        <f>IF(P10822&gt;500,"High","low")</f>
        <v>High</v>
      </c>
      <c r="R10822" s="37" t="str">
        <f t="shared" si="849"/>
        <v>Good</v>
      </c>
      <c r="S10822" t="s">
        <v>605</v>
      </c>
    </row>
    <row r="10823" spans="1:19" x14ac:dyDescent="0.2">
      <c r="A10823" t="s">
        <v>11434</v>
      </c>
      <c r="B10823" t="s">
        <v>90</v>
      </c>
      <c r="C10823" t="s">
        <v>614</v>
      </c>
      <c r="D10823">
        <v>1245.54</v>
      </c>
      <c r="E10823" s="37" t="str">
        <f t="shared" si="845"/>
        <v xml:space="preserve"> </v>
      </c>
      <c r="F10823">
        <v>0.28999999999999998</v>
      </c>
      <c r="G10823" s="37" t="str">
        <f t="shared" si="846"/>
        <v>Normal Discount</v>
      </c>
      <c r="H10823" s="37" t="str">
        <f t="shared" si="847"/>
        <v>Medium</v>
      </c>
      <c r="I10823">
        <v>9</v>
      </c>
      <c r="J10823" t="str" cm="1">
        <f t="array" ref="J10823">_xlfn.IFS(I10823&lt;=3,"small",I10823&lt;=6,"Medium",I10823&lt;=9,"Large")</f>
        <v>Large</v>
      </c>
      <c r="K10823" s="36">
        <v>44969</v>
      </c>
      <c r="L10823" s="36">
        <v>44975</v>
      </c>
      <c r="M10823" t="s">
        <v>603</v>
      </c>
      <c r="N10823" t="s">
        <v>604</v>
      </c>
      <c r="O10823" s="37" t="str">
        <f t="shared" si="848"/>
        <v>Digital Payment</v>
      </c>
      <c r="P10823">
        <v>284.35000000000002</v>
      </c>
      <c r="Q10823" s="37" t="str">
        <f>IF(P10823&gt;500,"High","low")</f>
        <v>low</v>
      </c>
      <c r="R10823" s="37" t="str">
        <f t="shared" si="849"/>
        <v>AVERAGE</v>
      </c>
      <c r="S10823" t="s">
        <v>615</v>
      </c>
    </row>
    <row r="10824" spans="1:19" x14ac:dyDescent="0.2">
      <c r="A10824" t="s">
        <v>11435</v>
      </c>
      <c r="B10824" t="s">
        <v>90</v>
      </c>
      <c r="C10824" t="s">
        <v>602</v>
      </c>
      <c r="D10824">
        <v>2359.8000000000002</v>
      </c>
      <c r="E10824" s="37" t="str">
        <f t="shared" si="845"/>
        <v xml:space="preserve"> </v>
      </c>
      <c r="F10824">
        <v>0.03</v>
      </c>
      <c r="G10824" s="37" t="str">
        <f t="shared" si="846"/>
        <v>Normal Discount</v>
      </c>
      <c r="H10824" s="37" t="str">
        <f t="shared" si="847"/>
        <v>Low</v>
      </c>
      <c r="I10824">
        <v>1</v>
      </c>
      <c r="J10824" t="str" cm="1">
        <f t="array" ref="J10824">_xlfn.IFS(I10824&lt;=3,"small",I10824&lt;=6,"Medium",I10824&lt;=9,"Large")</f>
        <v>small</v>
      </c>
      <c r="K10824" s="36">
        <v>45530</v>
      </c>
      <c r="L10824" s="36">
        <v>45531</v>
      </c>
      <c r="M10824" t="s">
        <v>603</v>
      </c>
      <c r="N10824" t="s">
        <v>604</v>
      </c>
      <c r="O10824" s="37" t="str">
        <f t="shared" si="848"/>
        <v>Digital Payment</v>
      </c>
      <c r="P10824">
        <v>519.72</v>
      </c>
      <c r="Q10824" s="37" t="str">
        <f>IF(P10824&gt;500,"High","low")</f>
        <v>High</v>
      </c>
      <c r="R10824" s="37" t="str">
        <f t="shared" si="849"/>
        <v>Good</v>
      </c>
      <c r="S10824" t="s">
        <v>605</v>
      </c>
    </row>
    <row r="10825" spans="1:19" x14ac:dyDescent="0.2">
      <c r="A10825" t="s">
        <v>11436</v>
      </c>
      <c r="B10825" t="s">
        <v>67</v>
      </c>
      <c r="C10825" t="s">
        <v>617</v>
      </c>
      <c r="D10825">
        <v>3465.55</v>
      </c>
      <c r="E10825" s="37" t="str">
        <f t="shared" si="845"/>
        <v xml:space="preserve"> </v>
      </c>
      <c r="F10825">
        <v>0.24</v>
      </c>
      <c r="G10825" s="37" t="str">
        <f t="shared" si="846"/>
        <v>Normal Discount</v>
      </c>
      <c r="H10825" s="37" t="str">
        <f t="shared" si="847"/>
        <v>Medium</v>
      </c>
      <c r="I10825">
        <v>4</v>
      </c>
      <c r="J10825" t="str" cm="1">
        <f t="array" ref="J10825">_xlfn.IFS(I10825&lt;=3,"small",I10825&lt;=6,"Medium",I10825&lt;=9,"Large")</f>
        <v>Medium</v>
      </c>
      <c r="K10825" s="36">
        <v>45135</v>
      </c>
      <c r="L10825" s="36">
        <v>45138</v>
      </c>
      <c r="M10825" t="s">
        <v>612</v>
      </c>
      <c r="N10825" t="s">
        <v>599</v>
      </c>
      <c r="O10825" s="37" t="str">
        <f t="shared" si="848"/>
        <v>Digital Payment</v>
      </c>
      <c r="P10825">
        <v>937.9</v>
      </c>
      <c r="Q10825" s="37" t="str">
        <f>IF(P10825&gt;500,"High","low")</f>
        <v>High</v>
      </c>
      <c r="R10825" s="37" t="str">
        <f t="shared" si="849"/>
        <v>Good</v>
      </c>
      <c r="S10825" t="s">
        <v>615</v>
      </c>
    </row>
    <row r="10826" spans="1:19" x14ac:dyDescent="0.2">
      <c r="A10826" t="s">
        <v>11437</v>
      </c>
      <c r="B10826" t="s">
        <v>67</v>
      </c>
      <c r="C10826" t="s">
        <v>614</v>
      </c>
      <c r="D10826">
        <v>2339.85</v>
      </c>
      <c r="E10826" s="37" t="str">
        <f t="shared" si="845"/>
        <v xml:space="preserve"> </v>
      </c>
      <c r="F10826">
        <v>0.4</v>
      </c>
      <c r="G10826" s="37" t="str">
        <f t="shared" si="846"/>
        <v>Heavy Discount</v>
      </c>
      <c r="H10826" s="37" t="str">
        <f t="shared" si="847"/>
        <v>Medium</v>
      </c>
      <c r="I10826">
        <v>9</v>
      </c>
      <c r="J10826" t="str" cm="1">
        <f t="array" ref="J10826">_xlfn.IFS(I10826&lt;=3,"small",I10826&lt;=6,"Medium",I10826&lt;=9,"Large")</f>
        <v>Large</v>
      </c>
      <c r="K10826" s="36">
        <v>45607</v>
      </c>
      <c r="L10826" s="36">
        <v>45609</v>
      </c>
      <c r="M10826" t="s">
        <v>598</v>
      </c>
      <c r="N10826" t="s">
        <v>599</v>
      </c>
      <c r="O10826" s="37" t="str">
        <f t="shared" si="848"/>
        <v>Digital Payment</v>
      </c>
      <c r="P10826">
        <v>465.61</v>
      </c>
      <c r="Q10826" s="37" t="str">
        <f>IF(P10826&gt;500,"High","low")</f>
        <v>low</v>
      </c>
      <c r="R10826" s="37" t="str">
        <f t="shared" si="849"/>
        <v>AVERAGE</v>
      </c>
      <c r="S10826" t="s">
        <v>620</v>
      </c>
    </row>
    <row r="10827" spans="1:19" x14ac:dyDescent="0.2">
      <c r="A10827" t="s">
        <v>11438</v>
      </c>
      <c r="B10827" t="s">
        <v>75</v>
      </c>
      <c r="C10827" t="s">
        <v>597</v>
      </c>
      <c r="D10827">
        <v>308.29000000000002</v>
      </c>
      <c r="E10827" s="37" t="str">
        <f t="shared" si="845"/>
        <v xml:space="preserve"> </v>
      </c>
      <c r="F10827">
        <v>0.4</v>
      </c>
      <c r="G10827" s="37" t="str">
        <f t="shared" si="846"/>
        <v>Heavy Discount</v>
      </c>
      <c r="H10827" s="37" t="str">
        <f t="shared" si="847"/>
        <v>Medium</v>
      </c>
      <c r="I10827">
        <v>2</v>
      </c>
      <c r="J10827" t="str" cm="1">
        <f t="array" ref="J10827">_xlfn.IFS(I10827&lt;=3,"small",I10827&lt;=6,"Medium",I10827&lt;=9,"Large")</f>
        <v>small</v>
      </c>
      <c r="K10827" s="36">
        <v>45209</v>
      </c>
      <c r="L10827" s="36">
        <v>45216</v>
      </c>
      <c r="M10827" t="s">
        <v>598</v>
      </c>
      <c r="N10827" t="s">
        <v>604</v>
      </c>
      <c r="O10827" s="37" t="str">
        <f t="shared" si="848"/>
        <v>Digital Payment</v>
      </c>
      <c r="P10827">
        <v>81.34</v>
      </c>
      <c r="Q10827" s="37" t="str">
        <f>IF(P10827&gt;500,"High","low")</f>
        <v>low</v>
      </c>
      <c r="R10827" s="37" t="str">
        <f t="shared" si="849"/>
        <v>AVERAGE</v>
      </c>
      <c r="S10827" t="s">
        <v>605</v>
      </c>
    </row>
    <row r="10828" spans="1:19" x14ac:dyDescent="0.2">
      <c r="A10828" t="s">
        <v>11439</v>
      </c>
      <c r="B10828" t="s">
        <v>83</v>
      </c>
      <c r="C10828" t="s">
        <v>607</v>
      </c>
      <c r="D10828">
        <v>1363.35</v>
      </c>
      <c r="E10828" s="37" t="str">
        <f t="shared" si="845"/>
        <v xml:space="preserve"> </v>
      </c>
      <c r="F10828">
        <v>0.25</v>
      </c>
      <c r="G10828" s="37" t="str">
        <f t="shared" si="846"/>
        <v>Normal Discount</v>
      </c>
      <c r="H10828" s="37" t="str">
        <f t="shared" si="847"/>
        <v>Medium</v>
      </c>
      <c r="I10828">
        <v>3</v>
      </c>
      <c r="J10828" t="str" cm="1">
        <f t="array" ref="J10828">_xlfn.IFS(I10828&lt;=3,"small",I10828&lt;=6,"Medium",I10828&lt;=9,"Large")</f>
        <v>small</v>
      </c>
      <c r="K10828" s="36">
        <v>45627</v>
      </c>
      <c r="L10828" s="36">
        <v>45628</v>
      </c>
      <c r="M10828" t="s">
        <v>612</v>
      </c>
      <c r="N10828" t="s">
        <v>604</v>
      </c>
      <c r="O10828" s="37" t="str">
        <f t="shared" si="848"/>
        <v>Digital Payment</v>
      </c>
      <c r="P10828">
        <v>297.76</v>
      </c>
      <c r="Q10828" s="37" t="str">
        <f>IF(P10828&gt;500,"High","low")</f>
        <v>low</v>
      </c>
      <c r="R10828" s="37" t="str">
        <f t="shared" si="849"/>
        <v>AVERAGE</v>
      </c>
      <c r="S10828" t="s">
        <v>609</v>
      </c>
    </row>
    <row r="10829" spans="1:19" x14ac:dyDescent="0.2">
      <c r="A10829" t="s">
        <v>11440</v>
      </c>
      <c r="B10829" t="s">
        <v>90</v>
      </c>
      <c r="C10829" t="s">
        <v>614</v>
      </c>
      <c r="D10829">
        <v>1822.16</v>
      </c>
      <c r="E10829" s="37" t="str">
        <f t="shared" si="845"/>
        <v xml:space="preserve"> </v>
      </c>
      <c r="F10829">
        <v>0.48</v>
      </c>
      <c r="G10829" s="37" t="str">
        <f t="shared" si="846"/>
        <v>Heavy Discount</v>
      </c>
      <c r="H10829" s="37" t="str">
        <f t="shared" si="847"/>
        <v>High</v>
      </c>
      <c r="I10829">
        <v>3</v>
      </c>
      <c r="J10829" t="str" cm="1">
        <f t="array" ref="J10829">_xlfn.IFS(I10829&lt;=3,"small",I10829&lt;=6,"Medium",I10829&lt;=9,"Large")</f>
        <v>small</v>
      </c>
      <c r="K10829" s="36">
        <v>45002</v>
      </c>
      <c r="L10829" s="36">
        <v>45009</v>
      </c>
      <c r="M10829" t="s">
        <v>603</v>
      </c>
      <c r="N10829" t="s">
        <v>608</v>
      </c>
      <c r="O10829" s="37" t="str">
        <f t="shared" si="848"/>
        <v>Cash Payment</v>
      </c>
      <c r="P10829">
        <v>492.57</v>
      </c>
      <c r="Q10829" s="37" t="str">
        <f>IF(P10829&gt;500,"High","low")</f>
        <v>low</v>
      </c>
      <c r="R10829" s="37" t="str">
        <f t="shared" si="849"/>
        <v>AVERAGE</v>
      </c>
      <c r="S10829" t="s">
        <v>620</v>
      </c>
    </row>
    <row r="10830" spans="1:19" x14ac:dyDescent="0.2">
      <c r="A10830" t="s">
        <v>11441</v>
      </c>
      <c r="B10830" t="s">
        <v>67</v>
      </c>
      <c r="C10830" t="s">
        <v>614</v>
      </c>
      <c r="D10830">
        <v>1838.13</v>
      </c>
      <c r="E10830" s="37" t="str">
        <f t="shared" si="845"/>
        <v xml:space="preserve"> </v>
      </c>
      <c r="F10830">
        <v>0.41</v>
      </c>
      <c r="G10830" s="37" t="str">
        <f t="shared" si="846"/>
        <v>Heavy Discount</v>
      </c>
      <c r="H10830" s="37" t="str">
        <f t="shared" si="847"/>
        <v>High</v>
      </c>
      <c r="I10830">
        <v>6</v>
      </c>
      <c r="J10830" t="str" cm="1">
        <f t="array" ref="J10830">_xlfn.IFS(I10830&lt;=3,"small",I10830&lt;=6,"Medium",I10830&lt;=9,"Large")</f>
        <v>Medium</v>
      </c>
      <c r="K10830" s="36">
        <v>44939</v>
      </c>
      <c r="L10830" s="36">
        <v>44943</v>
      </c>
      <c r="M10830" t="s">
        <v>603</v>
      </c>
      <c r="N10830" t="s">
        <v>599</v>
      </c>
      <c r="O10830" s="37" t="str">
        <f t="shared" si="848"/>
        <v>Digital Payment</v>
      </c>
      <c r="P10830">
        <v>426.78</v>
      </c>
      <c r="Q10830" s="37" t="str">
        <f>IF(P10830&gt;500,"High","low")</f>
        <v>low</v>
      </c>
      <c r="R10830" s="37" t="str">
        <f t="shared" si="849"/>
        <v>AVERAGE</v>
      </c>
      <c r="S10830" t="s">
        <v>620</v>
      </c>
    </row>
    <row r="10831" spans="1:19" x14ac:dyDescent="0.2">
      <c r="A10831" t="s">
        <v>11442</v>
      </c>
      <c r="B10831" t="s">
        <v>90</v>
      </c>
      <c r="C10831" t="s">
        <v>614</v>
      </c>
      <c r="D10831">
        <v>496.93</v>
      </c>
      <c r="E10831" s="37" t="str">
        <f t="shared" si="845"/>
        <v xml:space="preserve"> </v>
      </c>
      <c r="F10831">
        <v>0.37</v>
      </c>
      <c r="G10831" s="37" t="str">
        <f t="shared" si="846"/>
        <v>Heavy Discount</v>
      </c>
      <c r="H10831" s="37" t="str">
        <f t="shared" si="847"/>
        <v>Medium</v>
      </c>
      <c r="I10831">
        <v>3</v>
      </c>
      <c r="J10831" t="str" cm="1">
        <f t="array" ref="J10831">_xlfn.IFS(I10831&lt;=3,"small",I10831&lt;=6,"Medium",I10831&lt;=9,"Large")</f>
        <v>small</v>
      </c>
      <c r="K10831" s="36">
        <v>45277</v>
      </c>
      <c r="L10831" s="36">
        <v>45280</v>
      </c>
      <c r="M10831" t="s">
        <v>612</v>
      </c>
      <c r="N10831" t="s">
        <v>604</v>
      </c>
      <c r="O10831" s="37" t="str">
        <f t="shared" si="848"/>
        <v>Digital Payment</v>
      </c>
      <c r="P10831">
        <v>81.709999999999994</v>
      </c>
      <c r="Q10831" s="37" t="str">
        <f>IF(P10831&gt;500,"High","low")</f>
        <v>low</v>
      </c>
      <c r="R10831" s="37" t="str">
        <f t="shared" si="849"/>
        <v>AVERAGE</v>
      </c>
      <c r="S10831" t="s">
        <v>620</v>
      </c>
    </row>
    <row r="10832" spans="1:19" x14ac:dyDescent="0.2">
      <c r="A10832" t="s">
        <v>11443</v>
      </c>
      <c r="B10832" t="s">
        <v>67</v>
      </c>
      <c r="C10832" t="s">
        <v>607</v>
      </c>
      <c r="D10832">
        <v>2302.9</v>
      </c>
      <c r="E10832" s="37" t="str">
        <f t="shared" si="845"/>
        <v xml:space="preserve"> </v>
      </c>
      <c r="F10832">
        <v>0.26</v>
      </c>
      <c r="G10832" s="37" t="str">
        <f t="shared" si="846"/>
        <v>Normal Discount</v>
      </c>
      <c r="H10832" s="37" t="str">
        <f t="shared" si="847"/>
        <v>Medium</v>
      </c>
      <c r="I10832">
        <v>3</v>
      </c>
      <c r="J10832" t="str" cm="1">
        <f t="array" ref="J10832">_xlfn.IFS(I10832&lt;=3,"small",I10832&lt;=6,"Medium",I10832&lt;=9,"Large")</f>
        <v>small</v>
      </c>
      <c r="K10832" s="36">
        <v>45473</v>
      </c>
      <c r="L10832" s="36">
        <v>45475</v>
      </c>
      <c r="M10832" t="s">
        <v>603</v>
      </c>
      <c r="N10832" t="s">
        <v>604</v>
      </c>
      <c r="O10832" s="37" t="str">
        <f t="shared" si="848"/>
        <v>Digital Payment</v>
      </c>
      <c r="P10832">
        <v>270.92</v>
      </c>
      <c r="Q10832" s="37" t="str">
        <f>IF(P10832&gt;500,"High","low")</f>
        <v>low</v>
      </c>
      <c r="R10832" s="37" t="str">
        <f t="shared" si="849"/>
        <v>AVERAGE</v>
      </c>
      <c r="S10832" t="s">
        <v>615</v>
      </c>
    </row>
    <row r="10833" spans="1:19" x14ac:dyDescent="0.2">
      <c r="A10833" t="s">
        <v>11444</v>
      </c>
      <c r="B10833" t="s">
        <v>75</v>
      </c>
      <c r="C10833" t="s">
        <v>602</v>
      </c>
      <c r="D10833">
        <v>3490.55</v>
      </c>
      <c r="E10833" s="37" t="str">
        <f t="shared" si="845"/>
        <v xml:space="preserve"> </v>
      </c>
      <c r="F10833">
        <v>0.3</v>
      </c>
      <c r="G10833" s="37" t="str">
        <f t="shared" si="846"/>
        <v>Normal Discount</v>
      </c>
      <c r="H10833" s="37" t="str">
        <f t="shared" si="847"/>
        <v>Medium</v>
      </c>
      <c r="I10833">
        <v>5</v>
      </c>
      <c r="J10833" t="str" cm="1">
        <f t="array" ref="J10833">_xlfn.IFS(I10833&lt;=3,"small",I10833&lt;=6,"Medium",I10833&lt;=9,"Large")</f>
        <v>Medium</v>
      </c>
      <c r="K10833" s="36">
        <v>45463</v>
      </c>
      <c r="L10833" s="36">
        <v>45465</v>
      </c>
      <c r="M10833" t="s">
        <v>598</v>
      </c>
      <c r="N10833" t="s">
        <v>608</v>
      </c>
      <c r="O10833" s="37" t="str">
        <f t="shared" si="848"/>
        <v>Cash Payment</v>
      </c>
      <c r="P10833">
        <v>967.84</v>
      </c>
      <c r="Q10833" s="37" t="str">
        <f>IF(P10833&gt;500,"High","low")</f>
        <v>High</v>
      </c>
      <c r="R10833" s="37" t="str">
        <f t="shared" si="849"/>
        <v>Good</v>
      </c>
      <c r="S10833" t="s">
        <v>620</v>
      </c>
    </row>
    <row r="10834" spans="1:19" x14ac:dyDescent="0.2">
      <c r="A10834" t="s">
        <v>11445</v>
      </c>
      <c r="B10834" t="s">
        <v>75</v>
      </c>
      <c r="C10834" t="s">
        <v>607</v>
      </c>
      <c r="D10834">
        <v>338.49</v>
      </c>
      <c r="E10834" s="37" t="str">
        <f t="shared" si="845"/>
        <v xml:space="preserve"> </v>
      </c>
      <c r="F10834">
        <v>0.11</v>
      </c>
      <c r="G10834" s="37" t="str">
        <f t="shared" si="846"/>
        <v>Normal Discount</v>
      </c>
      <c r="H10834" s="37" t="str">
        <f t="shared" si="847"/>
        <v>Low</v>
      </c>
      <c r="I10834">
        <v>3</v>
      </c>
      <c r="J10834" t="str" cm="1">
        <f t="array" ref="J10834">_xlfn.IFS(I10834&lt;=3,"small",I10834&lt;=6,"Medium",I10834&lt;=9,"Large")</f>
        <v>small</v>
      </c>
      <c r="K10834" s="36">
        <v>45587</v>
      </c>
      <c r="L10834" s="36">
        <v>45593</v>
      </c>
      <c r="M10834" t="s">
        <v>598</v>
      </c>
      <c r="N10834" t="s">
        <v>608</v>
      </c>
      <c r="O10834" s="37" t="str">
        <f t="shared" si="848"/>
        <v>Cash Payment</v>
      </c>
      <c r="P10834">
        <v>28.1</v>
      </c>
      <c r="Q10834" s="37" t="str">
        <f>IF(P10834&gt;500,"High","low")</f>
        <v>low</v>
      </c>
      <c r="R10834" s="37" t="str">
        <f t="shared" si="849"/>
        <v>AVERAGE</v>
      </c>
      <c r="S10834" t="s">
        <v>609</v>
      </c>
    </row>
    <row r="10835" spans="1:19" x14ac:dyDescent="0.2">
      <c r="A10835" t="s">
        <v>11446</v>
      </c>
      <c r="B10835" t="s">
        <v>90</v>
      </c>
      <c r="C10835" t="s">
        <v>614</v>
      </c>
      <c r="D10835">
        <v>3779.53</v>
      </c>
      <c r="E10835" s="37" t="str">
        <f t="shared" si="845"/>
        <v xml:space="preserve"> </v>
      </c>
      <c r="F10835">
        <v>0.27</v>
      </c>
      <c r="G10835" s="37" t="str">
        <f t="shared" si="846"/>
        <v>Normal Discount</v>
      </c>
      <c r="H10835" s="37" t="str">
        <f t="shared" si="847"/>
        <v>Medium</v>
      </c>
      <c r="I10835">
        <v>5</v>
      </c>
      <c r="J10835" t="str" cm="1">
        <f t="array" ref="J10835">_xlfn.IFS(I10835&lt;=3,"small",I10835&lt;=6,"Medium",I10835&lt;=9,"Large")</f>
        <v>Medium</v>
      </c>
      <c r="K10835" s="36">
        <v>45038</v>
      </c>
      <c r="L10835" s="36">
        <v>45044</v>
      </c>
      <c r="M10835" t="s">
        <v>612</v>
      </c>
      <c r="N10835" t="s">
        <v>599</v>
      </c>
      <c r="O10835" s="37" t="str">
        <f t="shared" si="848"/>
        <v>Digital Payment</v>
      </c>
      <c r="P10835">
        <v>1010.61</v>
      </c>
      <c r="Q10835" s="37" t="str">
        <f>IF(P10835&gt;500,"High","low")</f>
        <v>High</v>
      </c>
      <c r="R10835" s="37" t="str">
        <f t="shared" si="849"/>
        <v>Excellent</v>
      </c>
      <c r="S10835" t="s">
        <v>605</v>
      </c>
    </row>
    <row r="10836" spans="1:19" x14ac:dyDescent="0.2">
      <c r="A10836" t="s">
        <v>11447</v>
      </c>
      <c r="B10836" t="s">
        <v>75</v>
      </c>
      <c r="C10836" t="s">
        <v>597</v>
      </c>
      <c r="D10836">
        <v>4780.0200000000004</v>
      </c>
      <c r="E10836" s="37" t="str">
        <f t="shared" si="845"/>
        <v>Excellent Order</v>
      </c>
      <c r="F10836">
        <v>0.26</v>
      </c>
      <c r="G10836" s="37" t="str">
        <f t="shared" si="846"/>
        <v>Normal Discount</v>
      </c>
      <c r="H10836" s="37" t="str">
        <f t="shared" si="847"/>
        <v>Medium</v>
      </c>
      <c r="I10836">
        <v>3</v>
      </c>
      <c r="J10836" t="str" cm="1">
        <f t="array" ref="J10836">_xlfn.IFS(I10836&lt;=3,"small",I10836&lt;=6,"Medium",I10836&lt;=9,"Large")</f>
        <v>small</v>
      </c>
      <c r="K10836" s="36">
        <v>45237</v>
      </c>
      <c r="L10836" s="36">
        <v>45238</v>
      </c>
      <c r="M10836" t="s">
        <v>603</v>
      </c>
      <c r="N10836" t="s">
        <v>608</v>
      </c>
      <c r="O10836" s="37" t="str">
        <f t="shared" si="848"/>
        <v>Cash Payment</v>
      </c>
      <c r="P10836">
        <v>1018.42</v>
      </c>
      <c r="Q10836" s="37" t="str">
        <f>IF(P10836&gt;500,"High","low")</f>
        <v>High</v>
      </c>
      <c r="R10836" s="37" t="str">
        <f t="shared" si="849"/>
        <v>Excellent</v>
      </c>
      <c r="S10836" t="s">
        <v>628</v>
      </c>
    </row>
    <row r="10837" spans="1:19" x14ac:dyDescent="0.2">
      <c r="A10837" t="s">
        <v>11448</v>
      </c>
      <c r="B10837" t="s">
        <v>90</v>
      </c>
      <c r="C10837" t="s">
        <v>614</v>
      </c>
      <c r="D10837">
        <v>145.76</v>
      </c>
      <c r="E10837" s="37" t="str">
        <f t="shared" si="845"/>
        <v xml:space="preserve"> </v>
      </c>
      <c r="F10837">
        <v>0.1</v>
      </c>
      <c r="G10837" s="37" t="str">
        <f t="shared" si="846"/>
        <v>Normal Discount</v>
      </c>
      <c r="H10837" s="37" t="str">
        <f t="shared" si="847"/>
        <v>Low</v>
      </c>
      <c r="I10837">
        <v>2</v>
      </c>
      <c r="J10837" t="str" cm="1">
        <f t="array" ref="J10837">_xlfn.IFS(I10837&lt;=3,"small",I10837&lt;=6,"Medium",I10837&lt;=9,"Large")</f>
        <v>small</v>
      </c>
      <c r="K10837" s="36">
        <v>44962</v>
      </c>
      <c r="L10837" s="36">
        <v>44963</v>
      </c>
      <c r="M10837" t="s">
        <v>603</v>
      </c>
      <c r="N10837" t="s">
        <v>599</v>
      </c>
      <c r="O10837" s="37" t="str">
        <f t="shared" si="848"/>
        <v>Digital Payment</v>
      </c>
      <c r="P10837">
        <v>29.52</v>
      </c>
      <c r="Q10837" s="37" t="str">
        <f>IF(P10837&gt;500,"High","low")</f>
        <v>low</v>
      </c>
      <c r="R10837" s="37" t="str">
        <f t="shared" si="849"/>
        <v>AVERAGE</v>
      </c>
      <c r="S10837" t="s">
        <v>628</v>
      </c>
    </row>
    <row r="10838" spans="1:19" x14ac:dyDescent="0.2">
      <c r="A10838" t="s">
        <v>11449</v>
      </c>
      <c r="B10838" t="s">
        <v>67</v>
      </c>
      <c r="C10838" t="s">
        <v>597</v>
      </c>
      <c r="D10838">
        <v>1049.0899999999999</v>
      </c>
      <c r="E10838" s="37" t="str">
        <f t="shared" si="845"/>
        <v xml:space="preserve"> </v>
      </c>
      <c r="F10838">
        <v>0.48</v>
      </c>
      <c r="G10838" s="37" t="str">
        <f t="shared" si="846"/>
        <v>Heavy Discount</v>
      </c>
      <c r="H10838" s="37" t="str">
        <f t="shared" si="847"/>
        <v>High</v>
      </c>
      <c r="I10838">
        <v>8</v>
      </c>
      <c r="J10838" t="str" cm="1">
        <f t="array" ref="J10838">_xlfn.IFS(I10838&lt;=3,"small",I10838&lt;=6,"Medium",I10838&lt;=9,"Large")</f>
        <v>Large</v>
      </c>
      <c r="K10838" s="36">
        <v>45081</v>
      </c>
      <c r="L10838" s="36">
        <v>45084</v>
      </c>
      <c r="M10838" t="s">
        <v>603</v>
      </c>
      <c r="N10838" t="s">
        <v>608</v>
      </c>
      <c r="O10838" s="37" t="str">
        <f t="shared" si="848"/>
        <v>Cash Payment</v>
      </c>
      <c r="P10838">
        <v>193.12</v>
      </c>
      <c r="Q10838" s="37" t="str">
        <f>IF(P10838&gt;500,"High","low")</f>
        <v>low</v>
      </c>
      <c r="R10838" s="37" t="str">
        <f t="shared" si="849"/>
        <v>AVERAGE</v>
      </c>
      <c r="S10838" t="s">
        <v>615</v>
      </c>
    </row>
    <row r="10839" spans="1:19" x14ac:dyDescent="0.2">
      <c r="A10839" t="s">
        <v>11450</v>
      </c>
      <c r="B10839" t="s">
        <v>83</v>
      </c>
      <c r="C10839" t="s">
        <v>617</v>
      </c>
      <c r="D10839">
        <v>2763.09</v>
      </c>
      <c r="E10839" s="37" t="str">
        <f t="shared" si="845"/>
        <v xml:space="preserve"> </v>
      </c>
      <c r="F10839">
        <v>0.12</v>
      </c>
      <c r="G10839" s="37" t="str">
        <f t="shared" si="846"/>
        <v>Normal Discount</v>
      </c>
      <c r="H10839" s="37" t="str">
        <f t="shared" si="847"/>
        <v>Low</v>
      </c>
      <c r="I10839">
        <v>3</v>
      </c>
      <c r="J10839" t="str" cm="1">
        <f t="array" ref="J10839">_xlfn.IFS(I10839&lt;=3,"small",I10839&lt;=6,"Medium",I10839&lt;=9,"Large")</f>
        <v>small</v>
      </c>
      <c r="K10839" s="36">
        <v>45322</v>
      </c>
      <c r="L10839" s="36">
        <v>45327</v>
      </c>
      <c r="M10839" t="s">
        <v>603</v>
      </c>
      <c r="N10839" t="s">
        <v>599</v>
      </c>
      <c r="O10839" s="37" t="str">
        <f t="shared" si="848"/>
        <v>Digital Payment</v>
      </c>
      <c r="P10839">
        <v>340.12</v>
      </c>
      <c r="Q10839" s="37" t="str">
        <f>IF(P10839&gt;500,"High","low")</f>
        <v>low</v>
      </c>
      <c r="R10839" s="37" t="str">
        <f t="shared" si="849"/>
        <v>AVERAGE</v>
      </c>
      <c r="S10839" t="s">
        <v>609</v>
      </c>
    </row>
    <row r="10840" spans="1:19" x14ac:dyDescent="0.2">
      <c r="A10840" t="s">
        <v>11451</v>
      </c>
      <c r="B10840" t="s">
        <v>75</v>
      </c>
      <c r="C10840" t="s">
        <v>597</v>
      </c>
      <c r="D10840">
        <v>1168.44</v>
      </c>
      <c r="E10840" s="37" t="str">
        <f t="shared" si="845"/>
        <v xml:space="preserve"> </v>
      </c>
      <c r="F10840">
        <v>0.05</v>
      </c>
      <c r="G10840" s="37" t="str">
        <f t="shared" si="846"/>
        <v>Normal Discount</v>
      </c>
      <c r="H10840" s="37" t="str">
        <f t="shared" si="847"/>
        <v>Low</v>
      </c>
      <c r="I10840">
        <v>6</v>
      </c>
      <c r="J10840" t="str" cm="1">
        <f t="array" ref="J10840">_xlfn.IFS(I10840&lt;=3,"small",I10840&lt;=6,"Medium",I10840&lt;=9,"Large")</f>
        <v>Medium</v>
      </c>
      <c r="K10840" s="36">
        <v>45128</v>
      </c>
      <c r="L10840" s="36">
        <v>45134</v>
      </c>
      <c r="M10840" t="s">
        <v>598</v>
      </c>
      <c r="N10840" t="s">
        <v>599</v>
      </c>
      <c r="O10840" s="37" t="str">
        <f t="shared" si="848"/>
        <v>Digital Payment</v>
      </c>
      <c r="P10840">
        <v>236</v>
      </c>
      <c r="Q10840" s="37" t="str">
        <f>IF(P10840&gt;500,"High","low")</f>
        <v>low</v>
      </c>
      <c r="R10840" s="37" t="str">
        <f t="shared" si="849"/>
        <v>AVERAGE</v>
      </c>
      <c r="S10840" t="s">
        <v>628</v>
      </c>
    </row>
    <row r="10841" spans="1:19" x14ac:dyDescent="0.2">
      <c r="A10841" t="s">
        <v>11452</v>
      </c>
      <c r="B10841" t="s">
        <v>67</v>
      </c>
      <c r="C10841" t="s">
        <v>614</v>
      </c>
      <c r="D10841">
        <v>3846.67</v>
      </c>
      <c r="E10841" s="37" t="str">
        <f t="shared" si="845"/>
        <v xml:space="preserve"> </v>
      </c>
      <c r="F10841">
        <v>0.23</v>
      </c>
      <c r="G10841" s="37" t="str">
        <f t="shared" si="846"/>
        <v>Normal Discount</v>
      </c>
      <c r="H10841" s="37" t="str">
        <f t="shared" si="847"/>
        <v>Medium</v>
      </c>
      <c r="I10841">
        <v>2</v>
      </c>
      <c r="J10841" t="str" cm="1">
        <f t="array" ref="J10841">_xlfn.IFS(I10841&lt;=3,"small",I10841&lt;=6,"Medium",I10841&lt;=9,"Large")</f>
        <v>small</v>
      </c>
      <c r="K10841" s="36">
        <v>45464</v>
      </c>
      <c r="L10841" s="36">
        <v>45468</v>
      </c>
      <c r="M10841" t="s">
        <v>598</v>
      </c>
      <c r="N10841" t="s">
        <v>599</v>
      </c>
      <c r="O10841" s="37" t="str">
        <f t="shared" si="848"/>
        <v>Digital Payment</v>
      </c>
      <c r="P10841">
        <v>650.55999999999995</v>
      </c>
      <c r="Q10841" s="37" t="str">
        <f>IF(P10841&gt;500,"High","low")</f>
        <v>High</v>
      </c>
      <c r="R10841" s="37" t="str">
        <f t="shared" si="849"/>
        <v>Good</v>
      </c>
      <c r="S10841" t="s">
        <v>605</v>
      </c>
    </row>
    <row r="10842" spans="1:19" x14ac:dyDescent="0.2">
      <c r="A10842" t="s">
        <v>11453</v>
      </c>
      <c r="B10842" t="s">
        <v>83</v>
      </c>
      <c r="C10842" t="s">
        <v>607</v>
      </c>
      <c r="D10842">
        <v>1629.46</v>
      </c>
      <c r="E10842" s="37" t="str">
        <f t="shared" si="845"/>
        <v xml:space="preserve"> </v>
      </c>
      <c r="F10842">
        <v>0.34</v>
      </c>
      <c r="G10842" s="37" t="str">
        <f t="shared" si="846"/>
        <v>Heavy Discount</v>
      </c>
      <c r="H10842" s="37" t="str">
        <f t="shared" si="847"/>
        <v>Medium</v>
      </c>
      <c r="I10842">
        <v>1</v>
      </c>
      <c r="J10842" t="str" cm="1">
        <f t="array" ref="J10842">_xlfn.IFS(I10842&lt;=3,"small",I10842&lt;=6,"Medium",I10842&lt;=9,"Large")</f>
        <v>small</v>
      </c>
      <c r="K10842" s="36">
        <v>45099</v>
      </c>
      <c r="L10842" s="36">
        <v>45100</v>
      </c>
      <c r="M10842" t="s">
        <v>603</v>
      </c>
      <c r="N10842" t="s">
        <v>604</v>
      </c>
      <c r="O10842" s="37" t="str">
        <f t="shared" si="848"/>
        <v>Digital Payment</v>
      </c>
      <c r="P10842">
        <v>244.13</v>
      </c>
      <c r="Q10842" s="37" t="str">
        <f>IF(P10842&gt;500,"High","low")</f>
        <v>low</v>
      </c>
      <c r="R10842" s="37" t="str">
        <f t="shared" si="849"/>
        <v>AVERAGE</v>
      </c>
      <c r="S10842" t="s">
        <v>615</v>
      </c>
    </row>
    <row r="10843" spans="1:19" x14ac:dyDescent="0.2">
      <c r="A10843" t="s">
        <v>11454</v>
      </c>
      <c r="B10843" t="s">
        <v>83</v>
      </c>
      <c r="C10843" t="s">
        <v>614</v>
      </c>
      <c r="D10843">
        <v>1538.76</v>
      </c>
      <c r="E10843" s="37" t="str">
        <f t="shared" si="845"/>
        <v xml:space="preserve"> </v>
      </c>
      <c r="F10843">
        <v>0.1</v>
      </c>
      <c r="G10843" s="37" t="str">
        <f t="shared" si="846"/>
        <v>Normal Discount</v>
      </c>
      <c r="H10843" s="37" t="str">
        <f t="shared" si="847"/>
        <v>Low</v>
      </c>
      <c r="I10843">
        <v>8</v>
      </c>
      <c r="J10843" t="str" cm="1">
        <f t="array" ref="J10843">_xlfn.IFS(I10843&lt;=3,"small",I10843&lt;=6,"Medium",I10843&lt;=9,"Large")</f>
        <v>Large</v>
      </c>
      <c r="K10843" s="36">
        <v>45446</v>
      </c>
      <c r="L10843" s="36">
        <v>45453</v>
      </c>
      <c r="M10843" t="s">
        <v>612</v>
      </c>
      <c r="N10843" t="s">
        <v>599</v>
      </c>
      <c r="O10843" s="37" t="str">
        <f t="shared" si="848"/>
        <v>Digital Payment</v>
      </c>
      <c r="P10843">
        <v>323.63</v>
      </c>
      <c r="Q10843" s="37" t="str">
        <f>IF(P10843&gt;500,"High","low")</f>
        <v>low</v>
      </c>
      <c r="R10843" s="37" t="str">
        <f t="shared" si="849"/>
        <v>AVERAGE</v>
      </c>
      <c r="S10843" t="s">
        <v>620</v>
      </c>
    </row>
    <row r="10844" spans="1:19" x14ac:dyDescent="0.2">
      <c r="A10844" t="s">
        <v>11455</v>
      </c>
      <c r="B10844" t="s">
        <v>83</v>
      </c>
      <c r="C10844" t="s">
        <v>614</v>
      </c>
      <c r="D10844">
        <v>104.53</v>
      </c>
      <c r="E10844" s="37" t="str">
        <f t="shared" si="845"/>
        <v xml:space="preserve"> </v>
      </c>
      <c r="F10844">
        <v>0.09</v>
      </c>
      <c r="G10844" s="37" t="str">
        <f t="shared" si="846"/>
        <v>Normal Discount</v>
      </c>
      <c r="H10844" s="37" t="str">
        <f t="shared" si="847"/>
        <v>Low</v>
      </c>
      <c r="I10844">
        <v>3</v>
      </c>
      <c r="J10844" t="str" cm="1">
        <f t="array" ref="J10844">_xlfn.IFS(I10844&lt;=3,"small",I10844&lt;=6,"Medium",I10844&lt;=9,"Large")</f>
        <v>small</v>
      </c>
      <c r="K10844" s="36">
        <v>45563</v>
      </c>
      <c r="L10844" s="36">
        <v>45564</v>
      </c>
      <c r="M10844" t="s">
        <v>612</v>
      </c>
      <c r="N10844" t="s">
        <v>604</v>
      </c>
      <c r="O10844" s="37" t="str">
        <f t="shared" si="848"/>
        <v>Digital Payment</v>
      </c>
      <c r="P10844">
        <v>7.37</v>
      </c>
      <c r="Q10844" s="37" t="str">
        <f>IF(P10844&gt;500,"High","low")</f>
        <v>low</v>
      </c>
      <c r="R10844" s="37" t="str">
        <f t="shared" si="849"/>
        <v>AVERAGE</v>
      </c>
      <c r="S10844" t="s">
        <v>605</v>
      </c>
    </row>
    <row r="10845" spans="1:19" x14ac:dyDescent="0.2">
      <c r="A10845" t="s">
        <v>11456</v>
      </c>
      <c r="B10845" t="s">
        <v>67</v>
      </c>
      <c r="C10845" t="s">
        <v>617</v>
      </c>
      <c r="D10845">
        <v>1423.62</v>
      </c>
      <c r="E10845" s="37" t="str">
        <f t="shared" si="845"/>
        <v xml:space="preserve"> </v>
      </c>
      <c r="F10845">
        <v>0.13</v>
      </c>
      <c r="G10845" s="37" t="str">
        <f t="shared" si="846"/>
        <v>Normal Discount</v>
      </c>
      <c r="H10845" s="37" t="str">
        <f t="shared" si="847"/>
        <v>Low</v>
      </c>
      <c r="I10845">
        <v>2</v>
      </c>
      <c r="J10845" t="str" cm="1">
        <f t="array" ref="J10845">_xlfn.IFS(I10845&lt;=3,"small",I10845&lt;=6,"Medium",I10845&lt;=9,"Large")</f>
        <v>small</v>
      </c>
      <c r="K10845" s="36">
        <v>45348</v>
      </c>
      <c r="L10845" s="36">
        <v>45355</v>
      </c>
      <c r="M10845" t="s">
        <v>598</v>
      </c>
      <c r="N10845" t="s">
        <v>608</v>
      </c>
      <c r="O10845" s="37" t="str">
        <f t="shared" si="848"/>
        <v>Cash Payment</v>
      </c>
      <c r="P10845">
        <v>286.5</v>
      </c>
      <c r="Q10845" s="37" t="str">
        <f>IF(P10845&gt;500,"High","low")</f>
        <v>low</v>
      </c>
      <c r="R10845" s="37" t="str">
        <f t="shared" si="849"/>
        <v>AVERAGE</v>
      </c>
      <c r="S10845" t="s">
        <v>628</v>
      </c>
    </row>
    <row r="10846" spans="1:19" x14ac:dyDescent="0.2">
      <c r="A10846" t="s">
        <v>11457</v>
      </c>
      <c r="B10846" t="s">
        <v>67</v>
      </c>
      <c r="C10846" t="s">
        <v>602</v>
      </c>
      <c r="D10846">
        <v>1166.5899999999999</v>
      </c>
      <c r="E10846" s="37" t="str">
        <f t="shared" si="845"/>
        <v xml:space="preserve"> </v>
      </c>
      <c r="F10846">
        <v>0.15</v>
      </c>
      <c r="G10846" s="37" t="str">
        <f t="shared" si="846"/>
        <v>Normal Discount</v>
      </c>
      <c r="H10846" s="37" t="str">
        <f t="shared" si="847"/>
        <v>Low</v>
      </c>
      <c r="I10846">
        <v>2</v>
      </c>
      <c r="J10846" t="str" cm="1">
        <f t="array" ref="J10846">_xlfn.IFS(I10846&lt;=3,"small",I10846&lt;=6,"Medium",I10846&lt;=9,"Large")</f>
        <v>small</v>
      </c>
      <c r="K10846" s="36">
        <v>45165</v>
      </c>
      <c r="L10846" s="36">
        <v>45172</v>
      </c>
      <c r="M10846" t="s">
        <v>612</v>
      </c>
      <c r="N10846" t="s">
        <v>604</v>
      </c>
      <c r="O10846" s="37" t="str">
        <f t="shared" si="848"/>
        <v>Digital Payment</v>
      </c>
      <c r="P10846">
        <v>349.28</v>
      </c>
      <c r="Q10846" s="37" t="str">
        <f>IF(P10846&gt;500,"High","low")</f>
        <v>low</v>
      </c>
      <c r="R10846" s="37" t="str">
        <f t="shared" si="849"/>
        <v>AVERAGE</v>
      </c>
      <c r="S10846" t="s">
        <v>628</v>
      </c>
    </row>
    <row r="10847" spans="1:19" x14ac:dyDescent="0.2">
      <c r="A10847" t="s">
        <v>11458</v>
      </c>
      <c r="B10847" t="s">
        <v>90</v>
      </c>
      <c r="C10847" t="s">
        <v>614</v>
      </c>
      <c r="D10847">
        <v>1781.88</v>
      </c>
      <c r="E10847" s="37" t="str">
        <f t="shared" si="845"/>
        <v xml:space="preserve"> </v>
      </c>
      <c r="F10847">
        <v>0.12</v>
      </c>
      <c r="G10847" s="37" t="str">
        <f t="shared" si="846"/>
        <v>Normal Discount</v>
      </c>
      <c r="H10847" s="37" t="str">
        <f t="shared" si="847"/>
        <v>Low</v>
      </c>
      <c r="I10847">
        <v>5</v>
      </c>
      <c r="J10847" t="str" cm="1">
        <f t="array" ref="J10847">_xlfn.IFS(I10847&lt;=3,"small",I10847&lt;=6,"Medium",I10847&lt;=9,"Large")</f>
        <v>Medium</v>
      </c>
      <c r="K10847" s="36">
        <v>45131</v>
      </c>
      <c r="L10847" s="36">
        <v>45133</v>
      </c>
      <c r="M10847" t="s">
        <v>598</v>
      </c>
      <c r="N10847" t="s">
        <v>604</v>
      </c>
      <c r="O10847" s="37" t="str">
        <f t="shared" si="848"/>
        <v>Digital Payment</v>
      </c>
      <c r="P10847">
        <v>108.13</v>
      </c>
      <c r="Q10847" s="37" t="str">
        <f>IF(P10847&gt;500,"High","low")</f>
        <v>low</v>
      </c>
      <c r="R10847" s="37" t="str">
        <f t="shared" si="849"/>
        <v>AVERAGE</v>
      </c>
      <c r="S10847" t="s">
        <v>628</v>
      </c>
    </row>
    <row r="10848" spans="1:19" x14ac:dyDescent="0.2">
      <c r="A10848" t="s">
        <v>11459</v>
      </c>
      <c r="B10848" t="s">
        <v>83</v>
      </c>
      <c r="C10848" t="s">
        <v>617</v>
      </c>
      <c r="D10848">
        <v>823.52</v>
      </c>
      <c r="E10848" s="37" t="str">
        <f t="shared" si="845"/>
        <v xml:space="preserve"> </v>
      </c>
      <c r="F10848">
        <v>0.24</v>
      </c>
      <c r="G10848" s="37" t="str">
        <f t="shared" si="846"/>
        <v>Normal Discount</v>
      </c>
      <c r="H10848" s="37" t="str">
        <f t="shared" si="847"/>
        <v>Medium</v>
      </c>
      <c r="I10848">
        <v>6</v>
      </c>
      <c r="J10848" t="str" cm="1">
        <f t="array" ref="J10848">_xlfn.IFS(I10848&lt;=3,"small",I10848&lt;=6,"Medium",I10848&lt;=9,"Large")</f>
        <v>Medium</v>
      </c>
      <c r="K10848" s="36">
        <v>45607</v>
      </c>
      <c r="L10848" s="36">
        <v>45610</v>
      </c>
      <c r="M10848" t="s">
        <v>598</v>
      </c>
      <c r="N10848" t="s">
        <v>604</v>
      </c>
      <c r="O10848" s="37" t="str">
        <f t="shared" si="848"/>
        <v>Digital Payment</v>
      </c>
      <c r="P10848">
        <v>138.87</v>
      </c>
      <c r="Q10848" s="37" t="str">
        <f>IF(P10848&gt;500,"High","low")</f>
        <v>low</v>
      </c>
      <c r="R10848" s="37" t="str">
        <f t="shared" si="849"/>
        <v>AVERAGE</v>
      </c>
      <c r="S10848" t="s">
        <v>605</v>
      </c>
    </row>
    <row r="10849" spans="1:19" x14ac:dyDescent="0.2">
      <c r="A10849" t="s">
        <v>11460</v>
      </c>
      <c r="B10849" t="s">
        <v>83</v>
      </c>
      <c r="C10849" t="s">
        <v>607</v>
      </c>
      <c r="D10849">
        <v>3013.78</v>
      </c>
      <c r="E10849" s="37" t="str">
        <f t="shared" si="845"/>
        <v xml:space="preserve"> </v>
      </c>
      <c r="F10849">
        <v>0.01</v>
      </c>
      <c r="G10849" s="37" t="str">
        <f t="shared" si="846"/>
        <v>Normal Discount</v>
      </c>
      <c r="H10849" s="37" t="str">
        <f t="shared" si="847"/>
        <v>Low</v>
      </c>
      <c r="I10849">
        <v>2</v>
      </c>
      <c r="J10849" t="str" cm="1">
        <f t="array" ref="J10849">_xlfn.IFS(I10849&lt;=3,"small",I10849&lt;=6,"Medium",I10849&lt;=9,"Large")</f>
        <v>small</v>
      </c>
      <c r="K10849" s="36">
        <v>45325</v>
      </c>
      <c r="L10849" s="36">
        <v>45332</v>
      </c>
      <c r="M10849" t="s">
        <v>612</v>
      </c>
      <c r="N10849" t="s">
        <v>608</v>
      </c>
      <c r="O10849" s="37" t="str">
        <f t="shared" si="848"/>
        <v>Cash Payment</v>
      </c>
      <c r="P10849">
        <v>492.48</v>
      </c>
      <c r="Q10849" s="37" t="str">
        <f>IF(P10849&gt;500,"High","low")</f>
        <v>low</v>
      </c>
      <c r="R10849" s="37" t="str">
        <f t="shared" si="849"/>
        <v>AVERAGE</v>
      </c>
      <c r="S10849" t="s">
        <v>620</v>
      </c>
    </row>
    <row r="10850" spans="1:19" x14ac:dyDescent="0.2">
      <c r="A10850" t="s">
        <v>11461</v>
      </c>
      <c r="B10850" t="s">
        <v>83</v>
      </c>
      <c r="C10850" t="s">
        <v>617</v>
      </c>
      <c r="D10850">
        <v>1269.83</v>
      </c>
      <c r="E10850" s="37" t="str">
        <f t="shared" si="845"/>
        <v xml:space="preserve"> </v>
      </c>
      <c r="F10850">
        <v>0.04</v>
      </c>
      <c r="G10850" s="37" t="str">
        <f t="shared" si="846"/>
        <v>Normal Discount</v>
      </c>
      <c r="H10850" s="37" t="str">
        <f t="shared" si="847"/>
        <v>Low</v>
      </c>
      <c r="I10850">
        <v>6</v>
      </c>
      <c r="J10850" t="str" cm="1">
        <f t="array" ref="J10850">_xlfn.IFS(I10850&lt;=3,"small",I10850&lt;=6,"Medium",I10850&lt;=9,"Large")</f>
        <v>Medium</v>
      </c>
      <c r="K10850" s="36">
        <v>45521</v>
      </c>
      <c r="L10850" s="36">
        <v>45527</v>
      </c>
      <c r="M10850" t="s">
        <v>603</v>
      </c>
      <c r="N10850" t="s">
        <v>599</v>
      </c>
      <c r="O10850" s="37" t="str">
        <f t="shared" si="848"/>
        <v>Digital Payment</v>
      </c>
      <c r="P10850">
        <v>86.98</v>
      </c>
      <c r="Q10850" s="37" t="str">
        <f>IF(P10850&gt;500,"High","low")</f>
        <v>low</v>
      </c>
      <c r="R10850" s="37" t="str">
        <f t="shared" si="849"/>
        <v>AVERAGE</v>
      </c>
      <c r="S10850" t="s">
        <v>605</v>
      </c>
    </row>
    <row r="10851" spans="1:19" x14ac:dyDescent="0.2">
      <c r="A10851" t="s">
        <v>11462</v>
      </c>
      <c r="B10851" t="s">
        <v>90</v>
      </c>
      <c r="C10851" t="s">
        <v>617</v>
      </c>
      <c r="D10851">
        <v>4175.58</v>
      </c>
      <c r="E10851" s="37" t="str">
        <f t="shared" si="845"/>
        <v xml:space="preserve"> </v>
      </c>
      <c r="F10851">
        <v>0.36</v>
      </c>
      <c r="G10851" s="37" t="str">
        <f t="shared" si="846"/>
        <v>Heavy Discount</v>
      </c>
      <c r="H10851" s="37" t="str">
        <f t="shared" si="847"/>
        <v>Medium</v>
      </c>
      <c r="I10851">
        <v>1</v>
      </c>
      <c r="J10851" t="str" cm="1">
        <f t="array" ref="J10851">_xlfn.IFS(I10851&lt;=3,"small",I10851&lt;=6,"Medium",I10851&lt;=9,"Large")</f>
        <v>small</v>
      </c>
      <c r="K10851" s="36">
        <v>45521</v>
      </c>
      <c r="L10851" s="36">
        <v>45528</v>
      </c>
      <c r="M10851" t="s">
        <v>603</v>
      </c>
      <c r="N10851" t="s">
        <v>599</v>
      </c>
      <c r="O10851" s="37" t="str">
        <f t="shared" si="848"/>
        <v>Digital Payment</v>
      </c>
      <c r="P10851">
        <v>723.52</v>
      </c>
      <c r="Q10851" s="37" t="str">
        <f>IF(P10851&gt;500,"High","low")</f>
        <v>High</v>
      </c>
      <c r="R10851" s="37" t="str">
        <f t="shared" si="849"/>
        <v>Good</v>
      </c>
      <c r="S10851" t="s">
        <v>615</v>
      </c>
    </row>
    <row r="10852" spans="1:19" x14ac:dyDescent="0.2">
      <c r="A10852" t="s">
        <v>11463</v>
      </c>
      <c r="B10852" t="s">
        <v>83</v>
      </c>
      <c r="C10852" t="s">
        <v>597</v>
      </c>
      <c r="D10852">
        <v>1494.33</v>
      </c>
      <c r="E10852" s="37" t="str">
        <f t="shared" si="845"/>
        <v xml:space="preserve"> </v>
      </c>
      <c r="F10852">
        <v>0.21</v>
      </c>
      <c r="G10852" s="37" t="str">
        <f t="shared" si="846"/>
        <v>Normal Discount</v>
      </c>
      <c r="H10852" s="37" t="str">
        <f t="shared" si="847"/>
        <v>Medium</v>
      </c>
      <c r="I10852">
        <v>9</v>
      </c>
      <c r="J10852" t="str" cm="1">
        <f t="array" ref="J10852">_xlfn.IFS(I10852&lt;=3,"small",I10852&lt;=6,"Medium",I10852&lt;=9,"Large")</f>
        <v>Large</v>
      </c>
      <c r="K10852" s="36">
        <v>45435</v>
      </c>
      <c r="L10852" s="36">
        <v>45440</v>
      </c>
      <c r="M10852" t="s">
        <v>598</v>
      </c>
      <c r="N10852" t="s">
        <v>608</v>
      </c>
      <c r="O10852" s="37" t="str">
        <f t="shared" si="848"/>
        <v>Cash Payment</v>
      </c>
      <c r="P10852">
        <v>130.81</v>
      </c>
      <c r="Q10852" s="37" t="str">
        <f>IF(P10852&gt;500,"High","low")</f>
        <v>low</v>
      </c>
      <c r="R10852" s="37" t="str">
        <f t="shared" si="849"/>
        <v>AVERAGE</v>
      </c>
      <c r="S10852" t="s">
        <v>628</v>
      </c>
    </row>
    <row r="10853" spans="1:19" x14ac:dyDescent="0.2">
      <c r="A10853" t="s">
        <v>11464</v>
      </c>
      <c r="B10853" t="s">
        <v>67</v>
      </c>
      <c r="C10853" t="s">
        <v>602</v>
      </c>
      <c r="D10853">
        <v>1133.26</v>
      </c>
      <c r="E10853" s="37" t="str">
        <f t="shared" si="845"/>
        <v xml:space="preserve"> </v>
      </c>
      <c r="F10853">
        <v>0.18</v>
      </c>
      <c r="G10853" s="37" t="str">
        <f t="shared" si="846"/>
        <v>Normal Discount</v>
      </c>
      <c r="H10853" s="37" t="str">
        <f t="shared" si="847"/>
        <v>Low</v>
      </c>
      <c r="I10853">
        <v>4</v>
      </c>
      <c r="J10853" t="str" cm="1">
        <f t="array" ref="J10853">_xlfn.IFS(I10853&lt;=3,"small",I10853&lt;=6,"Medium",I10853&lt;=9,"Large")</f>
        <v>Medium</v>
      </c>
      <c r="K10853" s="36">
        <v>45000</v>
      </c>
      <c r="L10853" s="36">
        <v>45005</v>
      </c>
      <c r="M10853" t="s">
        <v>603</v>
      </c>
      <c r="N10853" t="s">
        <v>599</v>
      </c>
      <c r="O10853" s="37" t="str">
        <f t="shared" si="848"/>
        <v>Digital Payment</v>
      </c>
      <c r="P10853">
        <v>289.58999999999997</v>
      </c>
      <c r="Q10853" s="37" t="str">
        <f>IF(P10853&gt;500,"High","low")</f>
        <v>low</v>
      </c>
      <c r="R10853" s="37" t="str">
        <f t="shared" si="849"/>
        <v>AVERAGE</v>
      </c>
      <c r="S10853" t="s">
        <v>620</v>
      </c>
    </row>
    <row r="10854" spans="1:19" x14ac:dyDescent="0.2">
      <c r="A10854" t="s">
        <v>11465</v>
      </c>
      <c r="B10854" t="s">
        <v>83</v>
      </c>
      <c r="C10854" t="s">
        <v>602</v>
      </c>
      <c r="D10854">
        <v>378.08</v>
      </c>
      <c r="E10854" s="37" t="str">
        <f t="shared" si="845"/>
        <v xml:space="preserve"> </v>
      </c>
      <c r="F10854">
        <v>0.01</v>
      </c>
      <c r="G10854" s="37" t="str">
        <f t="shared" si="846"/>
        <v>Normal Discount</v>
      </c>
      <c r="H10854" s="37" t="str">
        <f t="shared" si="847"/>
        <v>Low</v>
      </c>
      <c r="I10854">
        <v>5</v>
      </c>
      <c r="J10854" t="str" cm="1">
        <f t="array" ref="J10854">_xlfn.IFS(I10854&lt;=3,"small",I10854&lt;=6,"Medium",I10854&lt;=9,"Large")</f>
        <v>Medium</v>
      </c>
      <c r="K10854" s="36">
        <v>45411</v>
      </c>
      <c r="L10854" s="36">
        <v>45415</v>
      </c>
      <c r="M10854" t="s">
        <v>598</v>
      </c>
      <c r="N10854" t="s">
        <v>599</v>
      </c>
      <c r="O10854" s="37" t="str">
        <f t="shared" si="848"/>
        <v>Digital Payment</v>
      </c>
      <c r="P10854">
        <v>104</v>
      </c>
      <c r="Q10854" s="37" t="str">
        <f>IF(P10854&gt;500,"High","low")</f>
        <v>low</v>
      </c>
      <c r="R10854" s="37" t="str">
        <f t="shared" si="849"/>
        <v>AVERAGE</v>
      </c>
      <c r="S10854" t="s">
        <v>605</v>
      </c>
    </row>
    <row r="10855" spans="1:19" x14ac:dyDescent="0.2">
      <c r="A10855" t="s">
        <v>11466</v>
      </c>
      <c r="B10855" t="s">
        <v>75</v>
      </c>
      <c r="C10855" t="s">
        <v>607</v>
      </c>
      <c r="D10855">
        <v>3725.54</v>
      </c>
      <c r="E10855" s="37" t="str">
        <f t="shared" si="845"/>
        <v xml:space="preserve"> </v>
      </c>
      <c r="F10855">
        <v>0.15</v>
      </c>
      <c r="G10855" s="37" t="str">
        <f t="shared" si="846"/>
        <v>Normal Discount</v>
      </c>
      <c r="H10855" s="37" t="str">
        <f t="shared" si="847"/>
        <v>Low</v>
      </c>
      <c r="I10855">
        <v>3</v>
      </c>
      <c r="J10855" t="str" cm="1">
        <f t="array" ref="J10855">_xlfn.IFS(I10855&lt;=3,"small",I10855&lt;=6,"Medium",I10855&lt;=9,"Large")</f>
        <v>small</v>
      </c>
      <c r="K10855" s="36">
        <v>45079</v>
      </c>
      <c r="L10855" s="36">
        <v>45083</v>
      </c>
      <c r="M10855" t="s">
        <v>603</v>
      </c>
      <c r="N10855" t="s">
        <v>599</v>
      </c>
      <c r="O10855" s="37" t="str">
        <f t="shared" si="848"/>
        <v>Digital Payment</v>
      </c>
      <c r="P10855">
        <v>953.8</v>
      </c>
      <c r="Q10855" s="37" t="str">
        <f>IF(P10855&gt;500,"High","low")</f>
        <v>High</v>
      </c>
      <c r="R10855" s="37" t="str">
        <f t="shared" si="849"/>
        <v>Good</v>
      </c>
      <c r="S10855" t="s">
        <v>620</v>
      </c>
    </row>
    <row r="10856" spans="1:19" x14ac:dyDescent="0.2">
      <c r="A10856" t="s">
        <v>11467</v>
      </c>
      <c r="B10856" t="s">
        <v>67</v>
      </c>
      <c r="C10856" t="s">
        <v>617</v>
      </c>
      <c r="D10856">
        <v>2590.2199999999998</v>
      </c>
      <c r="E10856" s="37" t="str">
        <f t="shared" si="845"/>
        <v xml:space="preserve"> </v>
      </c>
      <c r="F10856">
        <v>0.41</v>
      </c>
      <c r="G10856" s="37" t="str">
        <f t="shared" si="846"/>
        <v>Heavy Discount</v>
      </c>
      <c r="H10856" s="37" t="str">
        <f t="shared" si="847"/>
        <v>High</v>
      </c>
      <c r="I10856">
        <v>6</v>
      </c>
      <c r="J10856" t="str" cm="1">
        <f t="array" ref="J10856">_xlfn.IFS(I10856&lt;=3,"small",I10856&lt;=6,"Medium",I10856&lt;=9,"Large")</f>
        <v>Medium</v>
      </c>
      <c r="K10856" s="36">
        <v>45261</v>
      </c>
      <c r="L10856" s="36">
        <v>45262</v>
      </c>
      <c r="M10856" t="s">
        <v>598</v>
      </c>
      <c r="N10856" t="s">
        <v>599</v>
      </c>
      <c r="O10856" s="37" t="str">
        <f t="shared" si="848"/>
        <v>Digital Payment</v>
      </c>
      <c r="P10856">
        <v>730.54</v>
      </c>
      <c r="Q10856" s="37" t="str">
        <f>IF(P10856&gt;500,"High","low")</f>
        <v>High</v>
      </c>
      <c r="R10856" s="37" t="str">
        <f t="shared" si="849"/>
        <v>Good</v>
      </c>
      <c r="S10856" t="s">
        <v>605</v>
      </c>
    </row>
    <row r="10857" spans="1:19" x14ac:dyDescent="0.2">
      <c r="A10857" t="s">
        <v>11468</v>
      </c>
      <c r="B10857" t="s">
        <v>90</v>
      </c>
      <c r="C10857" t="s">
        <v>607</v>
      </c>
      <c r="D10857">
        <v>657.54</v>
      </c>
      <c r="E10857" s="37" t="str">
        <f t="shared" si="845"/>
        <v xml:space="preserve"> </v>
      </c>
      <c r="F10857">
        <v>0.17</v>
      </c>
      <c r="G10857" s="37" t="str">
        <f t="shared" si="846"/>
        <v>Normal Discount</v>
      </c>
      <c r="H10857" s="37" t="str">
        <f t="shared" si="847"/>
        <v>Low</v>
      </c>
      <c r="I10857">
        <v>1</v>
      </c>
      <c r="J10857" t="str" cm="1">
        <f t="array" ref="J10857">_xlfn.IFS(I10857&lt;=3,"small",I10857&lt;=6,"Medium",I10857&lt;=9,"Large")</f>
        <v>small</v>
      </c>
      <c r="K10857" s="36">
        <v>45601</v>
      </c>
      <c r="L10857" s="36">
        <v>45608</v>
      </c>
      <c r="M10857" t="s">
        <v>612</v>
      </c>
      <c r="N10857" t="s">
        <v>608</v>
      </c>
      <c r="O10857" s="37" t="str">
        <f t="shared" si="848"/>
        <v>Cash Payment</v>
      </c>
      <c r="P10857">
        <v>139.28</v>
      </c>
      <c r="Q10857" s="37" t="str">
        <f>IF(P10857&gt;500,"High","low")</f>
        <v>low</v>
      </c>
      <c r="R10857" s="37" t="str">
        <f t="shared" si="849"/>
        <v>AVERAGE</v>
      </c>
      <c r="S10857" t="s">
        <v>615</v>
      </c>
    </row>
    <row r="10858" spans="1:19" x14ac:dyDescent="0.2">
      <c r="A10858" t="s">
        <v>11469</v>
      </c>
      <c r="B10858" t="s">
        <v>83</v>
      </c>
      <c r="C10858" t="s">
        <v>607</v>
      </c>
      <c r="D10858">
        <v>1184.54</v>
      </c>
      <c r="E10858" s="37" t="str">
        <f t="shared" si="845"/>
        <v xml:space="preserve"> </v>
      </c>
      <c r="F10858">
        <v>0.48</v>
      </c>
      <c r="G10858" s="37" t="str">
        <f t="shared" si="846"/>
        <v>Heavy Discount</v>
      </c>
      <c r="H10858" s="37" t="str">
        <f t="shared" si="847"/>
        <v>High</v>
      </c>
      <c r="I10858">
        <v>7</v>
      </c>
      <c r="J10858" t="str" cm="1">
        <f t="array" ref="J10858">_xlfn.IFS(I10858&lt;=3,"small",I10858&lt;=6,"Medium",I10858&lt;=9,"Large")</f>
        <v>Large</v>
      </c>
      <c r="K10858" s="36">
        <v>44963</v>
      </c>
      <c r="L10858" s="36">
        <v>44966</v>
      </c>
      <c r="M10858" t="s">
        <v>603</v>
      </c>
      <c r="N10858" t="s">
        <v>599</v>
      </c>
      <c r="O10858" s="37" t="str">
        <f t="shared" si="848"/>
        <v>Digital Payment</v>
      </c>
      <c r="P10858">
        <v>309.04000000000002</v>
      </c>
      <c r="Q10858" s="37" t="str">
        <f>IF(P10858&gt;500,"High","low")</f>
        <v>low</v>
      </c>
      <c r="R10858" s="37" t="str">
        <f t="shared" si="849"/>
        <v>AVERAGE</v>
      </c>
      <c r="S10858" t="s">
        <v>615</v>
      </c>
    </row>
    <row r="10859" spans="1:19" x14ac:dyDescent="0.2">
      <c r="A10859" t="s">
        <v>11470</v>
      </c>
      <c r="B10859" t="s">
        <v>75</v>
      </c>
      <c r="C10859" t="s">
        <v>602</v>
      </c>
      <c r="D10859">
        <v>4993.72</v>
      </c>
      <c r="E10859" s="37" t="str">
        <f t="shared" si="845"/>
        <v>Excellent Order</v>
      </c>
      <c r="F10859">
        <v>0.19</v>
      </c>
      <c r="G10859" s="37" t="str">
        <f t="shared" si="846"/>
        <v>Normal Discount</v>
      </c>
      <c r="H10859" s="37" t="str">
        <f t="shared" si="847"/>
        <v>Low</v>
      </c>
      <c r="I10859">
        <v>8</v>
      </c>
      <c r="J10859" t="str" cm="1">
        <f t="array" ref="J10859">_xlfn.IFS(I10859&lt;=3,"small",I10859&lt;=6,"Medium",I10859&lt;=9,"Large")</f>
        <v>Large</v>
      </c>
      <c r="K10859" s="36">
        <v>45593</v>
      </c>
      <c r="L10859" s="36">
        <v>45595</v>
      </c>
      <c r="M10859" t="s">
        <v>598</v>
      </c>
      <c r="N10859" t="s">
        <v>599</v>
      </c>
      <c r="O10859" s="37" t="str">
        <f t="shared" si="848"/>
        <v>Digital Payment</v>
      </c>
      <c r="P10859">
        <v>872.93</v>
      </c>
      <c r="Q10859" s="37" t="str">
        <f>IF(P10859&gt;500,"High","low")</f>
        <v>High</v>
      </c>
      <c r="R10859" s="37" t="str">
        <f t="shared" si="849"/>
        <v>Good</v>
      </c>
      <c r="S10859" t="s">
        <v>615</v>
      </c>
    </row>
    <row r="10860" spans="1:19" x14ac:dyDescent="0.2">
      <c r="A10860" t="s">
        <v>11471</v>
      </c>
      <c r="B10860" t="s">
        <v>90</v>
      </c>
      <c r="C10860" t="s">
        <v>602</v>
      </c>
      <c r="D10860">
        <v>4049.54</v>
      </c>
      <c r="E10860" s="37" t="str">
        <f t="shared" si="845"/>
        <v>Excellent Order</v>
      </c>
      <c r="F10860">
        <v>0.23</v>
      </c>
      <c r="G10860" s="37" t="str">
        <f t="shared" si="846"/>
        <v>Normal Discount</v>
      </c>
      <c r="H10860" s="37" t="str">
        <f t="shared" si="847"/>
        <v>Medium</v>
      </c>
      <c r="I10860">
        <v>3</v>
      </c>
      <c r="J10860" t="str" cm="1">
        <f t="array" ref="J10860">_xlfn.IFS(I10860&lt;=3,"small",I10860&lt;=6,"Medium",I10860&lt;=9,"Large")</f>
        <v>small</v>
      </c>
      <c r="K10860" s="36">
        <v>45526</v>
      </c>
      <c r="L10860" s="36">
        <v>45530</v>
      </c>
      <c r="M10860" t="s">
        <v>612</v>
      </c>
      <c r="N10860" t="s">
        <v>604</v>
      </c>
      <c r="O10860" s="37" t="str">
        <f t="shared" si="848"/>
        <v>Digital Payment</v>
      </c>
      <c r="P10860">
        <v>1002.45</v>
      </c>
      <c r="Q10860" s="37" t="str">
        <f>IF(P10860&gt;500,"High","low")</f>
        <v>High</v>
      </c>
      <c r="R10860" s="37" t="str">
        <f t="shared" si="849"/>
        <v>Excellent</v>
      </c>
      <c r="S10860" t="s">
        <v>605</v>
      </c>
    </row>
    <row r="10861" spans="1:19" x14ac:dyDescent="0.2">
      <c r="A10861" t="s">
        <v>11472</v>
      </c>
      <c r="B10861" t="s">
        <v>90</v>
      </c>
      <c r="C10861" t="s">
        <v>602</v>
      </c>
      <c r="D10861">
        <v>1814.36</v>
      </c>
      <c r="E10861" s="37" t="str">
        <f t="shared" si="845"/>
        <v xml:space="preserve"> </v>
      </c>
      <c r="F10861">
        <v>0.4</v>
      </c>
      <c r="G10861" s="37" t="str">
        <f t="shared" si="846"/>
        <v>Heavy Discount</v>
      </c>
      <c r="H10861" s="37" t="str">
        <f t="shared" si="847"/>
        <v>Medium</v>
      </c>
      <c r="I10861">
        <v>2</v>
      </c>
      <c r="J10861" t="str" cm="1">
        <f t="array" ref="J10861">_xlfn.IFS(I10861&lt;=3,"small",I10861&lt;=6,"Medium",I10861&lt;=9,"Large")</f>
        <v>small</v>
      </c>
      <c r="K10861" s="36">
        <v>45632</v>
      </c>
      <c r="L10861" s="36">
        <v>45639</v>
      </c>
      <c r="M10861" t="s">
        <v>612</v>
      </c>
      <c r="N10861" t="s">
        <v>604</v>
      </c>
      <c r="O10861" s="37" t="str">
        <f t="shared" si="848"/>
        <v>Digital Payment</v>
      </c>
      <c r="P10861">
        <v>520.07000000000005</v>
      </c>
      <c r="Q10861" s="37" t="str">
        <f>IF(P10861&gt;500,"High","low")</f>
        <v>High</v>
      </c>
      <c r="R10861" s="37" t="str">
        <f t="shared" si="849"/>
        <v>Good</v>
      </c>
      <c r="S10861" t="s">
        <v>615</v>
      </c>
    </row>
    <row r="10862" spans="1:19" x14ac:dyDescent="0.2">
      <c r="A10862" t="s">
        <v>11473</v>
      </c>
      <c r="B10862" t="s">
        <v>67</v>
      </c>
      <c r="C10862" t="s">
        <v>614</v>
      </c>
      <c r="D10862">
        <v>2758.52</v>
      </c>
      <c r="E10862" s="37" t="str">
        <f t="shared" si="845"/>
        <v xml:space="preserve"> </v>
      </c>
      <c r="F10862">
        <v>0.49</v>
      </c>
      <c r="G10862" s="37" t="str">
        <f t="shared" si="846"/>
        <v>Heavy Discount</v>
      </c>
      <c r="H10862" s="37" t="str">
        <f t="shared" si="847"/>
        <v>High</v>
      </c>
      <c r="I10862">
        <v>4</v>
      </c>
      <c r="J10862" t="str" cm="1">
        <f t="array" ref="J10862">_xlfn.IFS(I10862&lt;=3,"small",I10862&lt;=6,"Medium",I10862&lt;=9,"Large")</f>
        <v>Medium</v>
      </c>
      <c r="K10862" s="36">
        <v>45495</v>
      </c>
      <c r="L10862" s="36">
        <v>45502</v>
      </c>
      <c r="M10862" t="s">
        <v>612</v>
      </c>
      <c r="N10862" t="s">
        <v>599</v>
      </c>
      <c r="O10862" s="37" t="str">
        <f t="shared" si="848"/>
        <v>Digital Payment</v>
      </c>
      <c r="P10862">
        <v>400.46</v>
      </c>
      <c r="Q10862" s="37" t="str">
        <f>IF(P10862&gt;500,"High","low")</f>
        <v>low</v>
      </c>
      <c r="R10862" s="37" t="str">
        <f t="shared" si="849"/>
        <v>AVERAGE</v>
      </c>
      <c r="S10862" t="s">
        <v>620</v>
      </c>
    </row>
    <row r="10863" spans="1:19" x14ac:dyDescent="0.2">
      <c r="A10863" t="s">
        <v>11474</v>
      </c>
      <c r="B10863" t="s">
        <v>90</v>
      </c>
      <c r="C10863" t="s">
        <v>617</v>
      </c>
      <c r="D10863">
        <v>2138.48</v>
      </c>
      <c r="E10863" s="37" t="str">
        <f t="shared" si="845"/>
        <v xml:space="preserve"> </v>
      </c>
      <c r="F10863">
        <v>0.19</v>
      </c>
      <c r="G10863" s="37" t="str">
        <f t="shared" si="846"/>
        <v>Normal Discount</v>
      </c>
      <c r="H10863" s="37" t="str">
        <f t="shared" si="847"/>
        <v>Low</v>
      </c>
      <c r="I10863">
        <v>8</v>
      </c>
      <c r="J10863" t="str" cm="1">
        <f t="array" ref="J10863">_xlfn.IFS(I10863&lt;=3,"small",I10863&lt;=6,"Medium",I10863&lt;=9,"Large")</f>
        <v>Large</v>
      </c>
      <c r="K10863" s="36">
        <v>45627</v>
      </c>
      <c r="L10863" s="36">
        <v>45632</v>
      </c>
      <c r="M10863" t="s">
        <v>612</v>
      </c>
      <c r="N10863" t="s">
        <v>604</v>
      </c>
      <c r="O10863" s="37" t="str">
        <f t="shared" si="848"/>
        <v>Digital Payment</v>
      </c>
      <c r="P10863">
        <v>552.88</v>
      </c>
      <c r="Q10863" s="37" t="str">
        <f>IF(P10863&gt;500,"High","low")</f>
        <v>High</v>
      </c>
      <c r="R10863" s="37" t="str">
        <f t="shared" si="849"/>
        <v>Good</v>
      </c>
      <c r="S10863" t="s">
        <v>605</v>
      </c>
    </row>
    <row r="10864" spans="1:19" x14ac:dyDescent="0.2">
      <c r="A10864" t="s">
        <v>11475</v>
      </c>
      <c r="B10864" t="s">
        <v>90</v>
      </c>
      <c r="C10864" t="s">
        <v>607</v>
      </c>
      <c r="D10864">
        <v>278.31</v>
      </c>
      <c r="E10864" s="37" t="str">
        <f t="shared" si="845"/>
        <v xml:space="preserve"> </v>
      </c>
      <c r="F10864">
        <v>0.06</v>
      </c>
      <c r="G10864" s="37" t="str">
        <f t="shared" si="846"/>
        <v>Normal Discount</v>
      </c>
      <c r="H10864" s="37" t="str">
        <f t="shared" si="847"/>
        <v>Low</v>
      </c>
      <c r="I10864">
        <v>8</v>
      </c>
      <c r="J10864" t="str" cm="1">
        <f t="array" ref="J10864">_xlfn.IFS(I10864&lt;=3,"small",I10864&lt;=6,"Medium",I10864&lt;=9,"Large")</f>
        <v>Large</v>
      </c>
      <c r="K10864" s="36">
        <v>45565</v>
      </c>
      <c r="L10864" s="36">
        <v>45566</v>
      </c>
      <c r="M10864" t="s">
        <v>603</v>
      </c>
      <c r="N10864" t="s">
        <v>599</v>
      </c>
      <c r="O10864" s="37" t="str">
        <f t="shared" si="848"/>
        <v>Digital Payment</v>
      </c>
      <c r="P10864">
        <v>46.9</v>
      </c>
      <c r="Q10864" s="37" t="str">
        <f>IF(P10864&gt;500,"High","low")</f>
        <v>low</v>
      </c>
      <c r="R10864" s="37" t="str">
        <f t="shared" si="849"/>
        <v>AVERAGE</v>
      </c>
      <c r="S10864" t="s">
        <v>600</v>
      </c>
    </row>
    <row r="10865" spans="1:19" x14ac:dyDescent="0.2">
      <c r="A10865" t="s">
        <v>11476</v>
      </c>
      <c r="B10865" t="s">
        <v>90</v>
      </c>
      <c r="C10865" t="s">
        <v>617</v>
      </c>
      <c r="D10865">
        <v>3915.52</v>
      </c>
      <c r="E10865" s="37" t="str">
        <f t="shared" si="845"/>
        <v xml:space="preserve"> </v>
      </c>
      <c r="F10865">
        <v>0.26</v>
      </c>
      <c r="G10865" s="37" t="str">
        <f t="shared" si="846"/>
        <v>Normal Discount</v>
      </c>
      <c r="H10865" s="37" t="str">
        <f t="shared" si="847"/>
        <v>Medium</v>
      </c>
      <c r="I10865">
        <v>8</v>
      </c>
      <c r="J10865" t="str" cm="1">
        <f t="array" ref="J10865">_xlfn.IFS(I10865&lt;=3,"small",I10865&lt;=6,"Medium",I10865&lt;=9,"Large")</f>
        <v>Large</v>
      </c>
      <c r="K10865" s="36">
        <v>45433</v>
      </c>
      <c r="L10865" s="36">
        <v>45440</v>
      </c>
      <c r="M10865" t="s">
        <v>603</v>
      </c>
      <c r="N10865" t="s">
        <v>599</v>
      </c>
      <c r="O10865" s="37" t="str">
        <f t="shared" si="848"/>
        <v>Digital Payment</v>
      </c>
      <c r="P10865">
        <v>795.62</v>
      </c>
      <c r="Q10865" s="37" t="str">
        <f>IF(P10865&gt;500,"High","low")</f>
        <v>High</v>
      </c>
      <c r="R10865" s="37" t="str">
        <f t="shared" si="849"/>
        <v>Good</v>
      </c>
      <c r="S10865" t="s">
        <v>628</v>
      </c>
    </row>
    <row r="10866" spans="1:19" x14ac:dyDescent="0.2">
      <c r="A10866" t="s">
        <v>11477</v>
      </c>
      <c r="B10866" t="s">
        <v>90</v>
      </c>
      <c r="C10866" t="s">
        <v>607</v>
      </c>
      <c r="D10866">
        <v>3613.23</v>
      </c>
      <c r="E10866" s="37" t="str">
        <f t="shared" si="845"/>
        <v xml:space="preserve"> </v>
      </c>
      <c r="F10866">
        <v>0.3</v>
      </c>
      <c r="G10866" s="37" t="str">
        <f t="shared" si="846"/>
        <v>Normal Discount</v>
      </c>
      <c r="H10866" s="37" t="str">
        <f t="shared" si="847"/>
        <v>Medium</v>
      </c>
      <c r="I10866">
        <v>2</v>
      </c>
      <c r="J10866" t="str" cm="1">
        <f t="array" ref="J10866">_xlfn.IFS(I10866&lt;=3,"small",I10866&lt;=6,"Medium",I10866&lt;=9,"Large")</f>
        <v>small</v>
      </c>
      <c r="K10866" s="36">
        <v>45407</v>
      </c>
      <c r="L10866" s="36">
        <v>45413</v>
      </c>
      <c r="M10866" t="s">
        <v>603</v>
      </c>
      <c r="N10866" t="s">
        <v>604</v>
      </c>
      <c r="O10866" s="37" t="str">
        <f t="shared" si="848"/>
        <v>Digital Payment</v>
      </c>
      <c r="P10866">
        <v>978.08</v>
      </c>
      <c r="Q10866" s="37" t="str">
        <f>IF(P10866&gt;500,"High","low")</f>
        <v>High</v>
      </c>
      <c r="R10866" s="37" t="str">
        <f t="shared" si="849"/>
        <v>Good</v>
      </c>
      <c r="S10866" t="s">
        <v>620</v>
      </c>
    </row>
    <row r="10867" spans="1:19" x14ac:dyDescent="0.2">
      <c r="A10867" t="s">
        <v>11478</v>
      </c>
      <c r="B10867" t="s">
        <v>83</v>
      </c>
      <c r="C10867" t="s">
        <v>607</v>
      </c>
      <c r="D10867">
        <v>2103.13</v>
      </c>
      <c r="E10867" s="37" t="str">
        <f t="shared" si="845"/>
        <v xml:space="preserve"> </v>
      </c>
      <c r="F10867">
        <v>0.48</v>
      </c>
      <c r="G10867" s="37" t="str">
        <f t="shared" si="846"/>
        <v>Heavy Discount</v>
      </c>
      <c r="H10867" s="37" t="str">
        <f t="shared" si="847"/>
        <v>High</v>
      </c>
      <c r="I10867">
        <v>4</v>
      </c>
      <c r="J10867" t="str" cm="1">
        <f t="array" ref="J10867">_xlfn.IFS(I10867&lt;=3,"small",I10867&lt;=6,"Medium",I10867&lt;=9,"Large")</f>
        <v>Medium</v>
      </c>
      <c r="K10867" s="36">
        <v>45406</v>
      </c>
      <c r="L10867" s="36">
        <v>45407</v>
      </c>
      <c r="M10867" t="s">
        <v>603</v>
      </c>
      <c r="N10867" t="s">
        <v>599</v>
      </c>
      <c r="O10867" s="37" t="str">
        <f t="shared" si="848"/>
        <v>Digital Payment</v>
      </c>
      <c r="P10867">
        <v>568.30999999999995</v>
      </c>
      <c r="Q10867" s="37" t="str">
        <f>IF(P10867&gt;500,"High","low")</f>
        <v>High</v>
      </c>
      <c r="R10867" s="37" t="str">
        <f t="shared" si="849"/>
        <v>Good</v>
      </c>
      <c r="S10867" t="s">
        <v>609</v>
      </c>
    </row>
    <row r="10868" spans="1:19" x14ac:dyDescent="0.2">
      <c r="A10868" t="s">
        <v>11479</v>
      </c>
      <c r="B10868" t="s">
        <v>83</v>
      </c>
      <c r="C10868" t="s">
        <v>607</v>
      </c>
      <c r="D10868">
        <v>4244.8999999999996</v>
      </c>
      <c r="E10868" s="37" t="str">
        <f t="shared" si="845"/>
        <v>Excellent Order</v>
      </c>
      <c r="F10868">
        <v>0.21</v>
      </c>
      <c r="G10868" s="37" t="str">
        <f t="shared" si="846"/>
        <v>Normal Discount</v>
      </c>
      <c r="H10868" s="37" t="str">
        <f t="shared" si="847"/>
        <v>Medium</v>
      </c>
      <c r="I10868">
        <v>1</v>
      </c>
      <c r="J10868" t="str" cm="1">
        <f t="array" ref="J10868">_xlfn.IFS(I10868&lt;=3,"small",I10868&lt;=6,"Medium",I10868&lt;=9,"Large")</f>
        <v>small</v>
      </c>
      <c r="K10868" s="36">
        <v>45374</v>
      </c>
      <c r="L10868" s="36">
        <v>45381</v>
      </c>
      <c r="M10868" t="s">
        <v>598</v>
      </c>
      <c r="N10868" t="s">
        <v>604</v>
      </c>
      <c r="O10868" s="37" t="str">
        <f t="shared" si="848"/>
        <v>Digital Payment</v>
      </c>
      <c r="P10868">
        <v>999.84</v>
      </c>
      <c r="Q10868" s="37" t="str">
        <f>IF(P10868&gt;500,"High","low")</f>
        <v>High</v>
      </c>
      <c r="R10868" s="37" t="str">
        <f t="shared" si="849"/>
        <v>Good</v>
      </c>
      <c r="S10868" t="s">
        <v>605</v>
      </c>
    </row>
    <row r="10869" spans="1:19" x14ac:dyDescent="0.2">
      <c r="A10869" t="s">
        <v>11480</v>
      </c>
      <c r="B10869" t="s">
        <v>83</v>
      </c>
      <c r="C10869" t="s">
        <v>607</v>
      </c>
      <c r="D10869">
        <v>2720.22</v>
      </c>
      <c r="E10869" s="37" t="str">
        <f t="shared" si="845"/>
        <v xml:space="preserve"> </v>
      </c>
      <c r="F10869">
        <v>0.05</v>
      </c>
      <c r="G10869" s="37" t="str">
        <f t="shared" si="846"/>
        <v>Normal Discount</v>
      </c>
      <c r="H10869" s="37" t="str">
        <f t="shared" si="847"/>
        <v>Low</v>
      </c>
      <c r="I10869">
        <v>7</v>
      </c>
      <c r="J10869" t="str" cm="1">
        <f t="array" ref="J10869">_xlfn.IFS(I10869&lt;=3,"small",I10869&lt;=6,"Medium",I10869&lt;=9,"Large")</f>
        <v>Large</v>
      </c>
      <c r="K10869" s="36">
        <v>45470</v>
      </c>
      <c r="L10869" s="36">
        <v>45472</v>
      </c>
      <c r="M10869" t="s">
        <v>612</v>
      </c>
      <c r="N10869" t="s">
        <v>608</v>
      </c>
      <c r="O10869" s="37" t="str">
        <f t="shared" si="848"/>
        <v>Cash Payment</v>
      </c>
      <c r="P10869">
        <v>348.54</v>
      </c>
      <c r="Q10869" s="37" t="str">
        <f>IF(P10869&gt;500,"High","low")</f>
        <v>low</v>
      </c>
      <c r="R10869" s="37" t="str">
        <f t="shared" si="849"/>
        <v>AVERAGE</v>
      </c>
      <c r="S10869" t="s">
        <v>605</v>
      </c>
    </row>
    <row r="10870" spans="1:19" x14ac:dyDescent="0.2">
      <c r="A10870" t="s">
        <v>11481</v>
      </c>
      <c r="B10870" t="s">
        <v>83</v>
      </c>
      <c r="C10870" t="s">
        <v>597</v>
      </c>
      <c r="D10870">
        <v>419.52</v>
      </c>
      <c r="E10870" s="37" t="str">
        <f t="shared" si="845"/>
        <v xml:space="preserve"> </v>
      </c>
      <c r="F10870">
        <v>0.33</v>
      </c>
      <c r="G10870" s="37" t="str">
        <f t="shared" si="846"/>
        <v>Heavy Discount</v>
      </c>
      <c r="H10870" s="37" t="str">
        <f t="shared" si="847"/>
        <v>Medium</v>
      </c>
      <c r="I10870">
        <v>6</v>
      </c>
      <c r="J10870" t="str" cm="1">
        <f t="array" ref="J10870">_xlfn.IFS(I10870&lt;=3,"small",I10870&lt;=6,"Medium",I10870&lt;=9,"Large")</f>
        <v>Medium</v>
      </c>
      <c r="K10870" s="36">
        <v>45326</v>
      </c>
      <c r="L10870" s="36">
        <v>45332</v>
      </c>
      <c r="M10870" t="s">
        <v>598</v>
      </c>
      <c r="N10870" t="s">
        <v>604</v>
      </c>
      <c r="O10870" s="37" t="str">
        <f t="shared" si="848"/>
        <v>Digital Payment</v>
      </c>
      <c r="P10870">
        <v>30.05</v>
      </c>
      <c r="Q10870" s="37" t="str">
        <f>IF(P10870&gt;500,"High","low")</f>
        <v>low</v>
      </c>
      <c r="R10870" s="37" t="str">
        <f t="shared" si="849"/>
        <v>AVERAGE</v>
      </c>
      <c r="S10870" t="s">
        <v>600</v>
      </c>
    </row>
    <row r="10871" spans="1:19" x14ac:dyDescent="0.2">
      <c r="A10871" t="s">
        <v>11482</v>
      </c>
      <c r="B10871" t="s">
        <v>75</v>
      </c>
      <c r="C10871" t="s">
        <v>597</v>
      </c>
      <c r="D10871">
        <v>1371.09</v>
      </c>
      <c r="E10871" s="37" t="str">
        <f t="shared" si="845"/>
        <v xml:space="preserve"> </v>
      </c>
      <c r="F10871">
        <v>0.01</v>
      </c>
      <c r="G10871" s="37" t="str">
        <f t="shared" si="846"/>
        <v>Normal Discount</v>
      </c>
      <c r="H10871" s="37" t="str">
        <f t="shared" si="847"/>
        <v>Low</v>
      </c>
      <c r="I10871">
        <v>7</v>
      </c>
      <c r="J10871" t="str" cm="1">
        <f t="array" ref="J10871">_xlfn.IFS(I10871&lt;=3,"small",I10871&lt;=6,"Medium",I10871&lt;=9,"Large")</f>
        <v>Large</v>
      </c>
      <c r="K10871" s="36">
        <v>45291</v>
      </c>
      <c r="L10871" s="36">
        <v>45294</v>
      </c>
      <c r="M10871" t="s">
        <v>598</v>
      </c>
      <c r="N10871" t="s">
        <v>608</v>
      </c>
      <c r="O10871" s="37" t="str">
        <f t="shared" si="848"/>
        <v>Cash Payment</v>
      </c>
      <c r="P10871">
        <v>406.79</v>
      </c>
      <c r="Q10871" s="37" t="str">
        <f>IF(P10871&gt;500,"High","low")</f>
        <v>low</v>
      </c>
      <c r="R10871" s="37" t="str">
        <f t="shared" si="849"/>
        <v>AVERAGE</v>
      </c>
      <c r="S10871" t="s">
        <v>609</v>
      </c>
    </row>
    <row r="10872" spans="1:19" x14ac:dyDescent="0.2">
      <c r="A10872" t="s">
        <v>11483</v>
      </c>
      <c r="B10872" t="s">
        <v>83</v>
      </c>
      <c r="C10872" t="s">
        <v>614</v>
      </c>
      <c r="D10872">
        <v>2362.69</v>
      </c>
      <c r="E10872" s="37" t="str">
        <f t="shared" si="845"/>
        <v xml:space="preserve"> </v>
      </c>
      <c r="F10872">
        <v>0.21</v>
      </c>
      <c r="G10872" s="37" t="str">
        <f t="shared" si="846"/>
        <v>Normal Discount</v>
      </c>
      <c r="H10872" s="37" t="str">
        <f t="shared" si="847"/>
        <v>Medium</v>
      </c>
      <c r="I10872">
        <v>5</v>
      </c>
      <c r="J10872" t="str" cm="1">
        <f t="array" ref="J10872">_xlfn.IFS(I10872&lt;=3,"small",I10872&lt;=6,"Medium",I10872&lt;=9,"Large")</f>
        <v>Medium</v>
      </c>
      <c r="K10872" s="36">
        <v>45226</v>
      </c>
      <c r="L10872" s="36">
        <v>45231</v>
      </c>
      <c r="M10872" t="s">
        <v>603</v>
      </c>
      <c r="N10872" t="s">
        <v>604</v>
      </c>
      <c r="O10872" s="37" t="str">
        <f t="shared" si="848"/>
        <v>Digital Payment</v>
      </c>
      <c r="P10872">
        <v>453.92</v>
      </c>
      <c r="Q10872" s="37" t="str">
        <f>IF(P10872&gt;500,"High","low")</f>
        <v>low</v>
      </c>
      <c r="R10872" s="37" t="str">
        <f t="shared" si="849"/>
        <v>AVERAGE</v>
      </c>
      <c r="S10872" t="s">
        <v>628</v>
      </c>
    </row>
    <row r="10873" spans="1:19" x14ac:dyDescent="0.2">
      <c r="A10873" t="s">
        <v>11484</v>
      </c>
      <c r="B10873" t="s">
        <v>90</v>
      </c>
      <c r="C10873" t="s">
        <v>602</v>
      </c>
      <c r="D10873">
        <v>606.9</v>
      </c>
      <c r="E10873" s="37" t="str">
        <f t="shared" si="845"/>
        <v xml:space="preserve"> </v>
      </c>
      <c r="F10873">
        <v>0.2</v>
      </c>
      <c r="G10873" s="37" t="str">
        <f t="shared" si="846"/>
        <v>Normal Discount</v>
      </c>
      <c r="H10873" s="37" t="str">
        <f t="shared" si="847"/>
        <v>Medium</v>
      </c>
      <c r="I10873">
        <v>6</v>
      </c>
      <c r="J10873" t="str" cm="1">
        <f t="array" ref="J10873">_xlfn.IFS(I10873&lt;=3,"small",I10873&lt;=6,"Medium",I10873&lt;=9,"Large")</f>
        <v>Medium</v>
      </c>
      <c r="K10873" s="36">
        <v>45141</v>
      </c>
      <c r="L10873" s="36">
        <v>45147</v>
      </c>
      <c r="M10873" t="s">
        <v>612</v>
      </c>
      <c r="N10873" t="s">
        <v>608</v>
      </c>
      <c r="O10873" s="37" t="str">
        <f t="shared" si="848"/>
        <v>Cash Payment</v>
      </c>
      <c r="P10873">
        <v>47.13</v>
      </c>
      <c r="Q10873" s="37" t="str">
        <f>IF(P10873&gt;500,"High","low")</f>
        <v>low</v>
      </c>
      <c r="R10873" s="37" t="str">
        <f t="shared" si="849"/>
        <v>AVERAGE</v>
      </c>
      <c r="S10873" t="s">
        <v>609</v>
      </c>
    </row>
    <row r="10874" spans="1:19" x14ac:dyDescent="0.2">
      <c r="A10874" t="s">
        <v>11485</v>
      </c>
      <c r="B10874" t="s">
        <v>83</v>
      </c>
      <c r="C10874" t="s">
        <v>607</v>
      </c>
      <c r="D10874">
        <v>2898.3</v>
      </c>
      <c r="E10874" s="37" t="str">
        <f t="shared" si="845"/>
        <v xml:space="preserve"> </v>
      </c>
      <c r="F10874">
        <v>0.13</v>
      </c>
      <c r="G10874" s="37" t="str">
        <f t="shared" si="846"/>
        <v>Normal Discount</v>
      </c>
      <c r="H10874" s="37" t="str">
        <f t="shared" si="847"/>
        <v>Low</v>
      </c>
      <c r="I10874">
        <v>6</v>
      </c>
      <c r="J10874" t="str" cm="1">
        <f t="array" ref="J10874">_xlfn.IFS(I10874&lt;=3,"small",I10874&lt;=6,"Medium",I10874&lt;=9,"Large")</f>
        <v>Medium</v>
      </c>
      <c r="K10874" s="36">
        <v>45272</v>
      </c>
      <c r="L10874" s="36">
        <v>45278</v>
      </c>
      <c r="M10874" t="s">
        <v>612</v>
      </c>
      <c r="N10874" t="s">
        <v>599</v>
      </c>
      <c r="O10874" s="37" t="str">
        <f t="shared" si="848"/>
        <v>Digital Payment</v>
      </c>
      <c r="P10874">
        <v>840.08</v>
      </c>
      <c r="Q10874" s="37" t="str">
        <f>IF(P10874&gt;500,"High","low")</f>
        <v>High</v>
      </c>
      <c r="R10874" s="37" t="str">
        <f t="shared" si="849"/>
        <v>Good</v>
      </c>
      <c r="S10874" t="s">
        <v>620</v>
      </c>
    </row>
    <row r="10875" spans="1:19" x14ac:dyDescent="0.2">
      <c r="A10875" t="s">
        <v>11486</v>
      </c>
      <c r="B10875" t="s">
        <v>83</v>
      </c>
      <c r="C10875" t="s">
        <v>617</v>
      </c>
      <c r="D10875">
        <v>690.78</v>
      </c>
      <c r="E10875" s="37" t="str">
        <f t="shared" si="845"/>
        <v xml:space="preserve"> </v>
      </c>
      <c r="F10875">
        <v>0.48</v>
      </c>
      <c r="G10875" s="37" t="str">
        <f t="shared" si="846"/>
        <v>Heavy Discount</v>
      </c>
      <c r="H10875" s="37" t="str">
        <f t="shared" si="847"/>
        <v>High</v>
      </c>
      <c r="I10875">
        <v>6</v>
      </c>
      <c r="J10875" t="str" cm="1">
        <f t="array" ref="J10875">_xlfn.IFS(I10875&lt;=3,"small",I10875&lt;=6,"Medium",I10875&lt;=9,"Large")</f>
        <v>Medium</v>
      </c>
      <c r="K10875" s="36">
        <v>45048</v>
      </c>
      <c r="L10875" s="36">
        <v>45054</v>
      </c>
      <c r="M10875" t="s">
        <v>612</v>
      </c>
      <c r="N10875" t="s">
        <v>599</v>
      </c>
      <c r="O10875" s="37" t="str">
        <f t="shared" si="848"/>
        <v>Digital Payment</v>
      </c>
      <c r="P10875">
        <v>113.51</v>
      </c>
      <c r="Q10875" s="37" t="str">
        <f>IF(P10875&gt;500,"High","low")</f>
        <v>low</v>
      </c>
      <c r="R10875" s="37" t="str">
        <f t="shared" si="849"/>
        <v>AVERAGE</v>
      </c>
      <c r="S10875" t="s">
        <v>628</v>
      </c>
    </row>
    <row r="10876" spans="1:19" x14ac:dyDescent="0.2">
      <c r="A10876" t="s">
        <v>11487</v>
      </c>
      <c r="B10876" t="s">
        <v>67</v>
      </c>
      <c r="C10876" t="s">
        <v>597</v>
      </c>
      <c r="D10876">
        <v>1082.49</v>
      </c>
      <c r="E10876" s="37" t="str">
        <f t="shared" si="845"/>
        <v xml:space="preserve"> </v>
      </c>
      <c r="F10876">
        <v>0.2</v>
      </c>
      <c r="G10876" s="37" t="str">
        <f t="shared" si="846"/>
        <v>Normal Discount</v>
      </c>
      <c r="H10876" s="37" t="str">
        <f t="shared" si="847"/>
        <v>Medium</v>
      </c>
      <c r="I10876">
        <v>9</v>
      </c>
      <c r="J10876" t="str" cm="1">
        <f t="array" ref="J10876">_xlfn.IFS(I10876&lt;=3,"small",I10876&lt;=6,"Medium",I10876&lt;=9,"Large")</f>
        <v>Large</v>
      </c>
      <c r="K10876" s="36">
        <v>45627</v>
      </c>
      <c r="L10876" s="36">
        <v>45628</v>
      </c>
      <c r="M10876" t="s">
        <v>598</v>
      </c>
      <c r="N10876" t="s">
        <v>604</v>
      </c>
      <c r="O10876" s="37" t="str">
        <f t="shared" si="848"/>
        <v>Digital Payment</v>
      </c>
      <c r="P10876">
        <v>314.54000000000002</v>
      </c>
      <c r="Q10876" s="37" t="str">
        <f>IF(P10876&gt;500,"High","low")</f>
        <v>low</v>
      </c>
      <c r="R10876" s="37" t="str">
        <f t="shared" si="849"/>
        <v>AVERAGE</v>
      </c>
      <c r="S10876" t="s">
        <v>620</v>
      </c>
    </row>
    <row r="10877" spans="1:19" x14ac:dyDescent="0.2">
      <c r="A10877" t="s">
        <v>11488</v>
      </c>
      <c r="B10877" t="s">
        <v>90</v>
      </c>
      <c r="C10877" t="s">
        <v>602</v>
      </c>
      <c r="D10877">
        <v>4480.5200000000004</v>
      </c>
      <c r="E10877" s="37" t="str">
        <f t="shared" si="845"/>
        <v xml:space="preserve"> </v>
      </c>
      <c r="F10877">
        <v>0.45</v>
      </c>
      <c r="G10877" s="37" t="str">
        <f t="shared" si="846"/>
        <v>Heavy Discount</v>
      </c>
      <c r="H10877" s="37" t="str">
        <f t="shared" si="847"/>
        <v>High</v>
      </c>
      <c r="I10877">
        <v>4</v>
      </c>
      <c r="J10877" t="str" cm="1">
        <f t="array" ref="J10877">_xlfn.IFS(I10877&lt;=3,"small",I10877&lt;=6,"Medium",I10877&lt;=9,"Large")</f>
        <v>Medium</v>
      </c>
      <c r="K10877" s="36">
        <v>45253</v>
      </c>
      <c r="L10877" s="36">
        <v>45260</v>
      </c>
      <c r="M10877" t="s">
        <v>603</v>
      </c>
      <c r="N10877" t="s">
        <v>599</v>
      </c>
      <c r="O10877" s="37" t="str">
        <f t="shared" si="848"/>
        <v>Digital Payment</v>
      </c>
      <c r="P10877">
        <v>633.08000000000004</v>
      </c>
      <c r="Q10877" s="37" t="str">
        <f>IF(P10877&gt;500,"High","low")</f>
        <v>High</v>
      </c>
      <c r="R10877" s="37" t="str">
        <f t="shared" si="849"/>
        <v>Good</v>
      </c>
      <c r="S10877" t="s">
        <v>609</v>
      </c>
    </row>
    <row r="10878" spans="1:19" x14ac:dyDescent="0.2">
      <c r="A10878" t="s">
        <v>11489</v>
      </c>
      <c r="B10878" t="s">
        <v>83</v>
      </c>
      <c r="C10878" t="s">
        <v>614</v>
      </c>
      <c r="D10878">
        <v>4999.08</v>
      </c>
      <c r="E10878" s="37" t="str">
        <f t="shared" si="845"/>
        <v>Excellent Order</v>
      </c>
      <c r="F10878">
        <v>0.26</v>
      </c>
      <c r="G10878" s="37" t="str">
        <f t="shared" si="846"/>
        <v>Normal Discount</v>
      </c>
      <c r="H10878" s="37" t="str">
        <f t="shared" si="847"/>
        <v>Medium</v>
      </c>
      <c r="I10878">
        <v>2</v>
      </c>
      <c r="J10878" t="str" cm="1">
        <f t="array" ref="J10878">_xlfn.IFS(I10878&lt;=3,"small",I10878&lt;=6,"Medium",I10878&lt;=9,"Large")</f>
        <v>small</v>
      </c>
      <c r="K10878" s="36">
        <v>45600</v>
      </c>
      <c r="L10878" s="36">
        <v>45606</v>
      </c>
      <c r="M10878" t="s">
        <v>598</v>
      </c>
      <c r="N10878" t="s">
        <v>604</v>
      </c>
      <c r="O10878" s="37" t="str">
        <f t="shared" si="848"/>
        <v>Digital Payment</v>
      </c>
      <c r="P10878">
        <v>1386.43</v>
      </c>
      <c r="Q10878" s="37" t="str">
        <f>IF(P10878&gt;500,"High","low")</f>
        <v>High</v>
      </c>
      <c r="R10878" s="37" t="str">
        <f t="shared" si="849"/>
        <v>Excellent</v>
      </c>
      <c r="S10878" t="s">
        <v>615</v>
      </c>
    </row>
    <row r="10879" spans="1:19" x14ac:dyDescent="0.2">
      <c r="A10879" t="s">
        <v>11490</v>
      </c>
      <c r="B10879" t="s">
        <v>83</v>
      </c>
      <c r="C10879" t="s">
        <v>602</v>
      </c>
      <c r="D10879">
        <v>2796.24</v>
      </c>
      <c r="E10879" s="37" t="str">
        <f t="shared" si="845"/>
        <v xml:space="preserve"> </v>
      </c>
      <c r="F10879">
        <v>0.41</v>
      </c>
      <c r="G10879" s="37" t="str">
        <f t="shared" si="846"/>
        <v>Heavy Discount</v>
      </c>
      <c r="H10879" s="37" t="str">
        <f t="shared" si="847"/>
        <v>High</v>
      </c>
      <c r="I10879">
        <v>9</v>
      </c>
      <c r="J10879" t="str" cm="1">
        <f t="array" ref="J10879">_xlfn.IFS(I10879&lt;=3,"small",I10879&lt;=6,"Medium",I10879&lt;=9,"Large")</f>
        <v>Large</v>
      </c>
      <c r="K10879" s="36">
        <v>45168</v>
      </c>
      <c r="L10879" s="36">
        <v>45169</v>
      </c>
      <c r="M10879" t="s">
        <v>603</v>
      </c>
      <c r="N10879" t="s">
        <v>599</v>
      </c>
      <c r="O10879" s="37" t="str">
        <f t="shared" si="848"/>
        <v>Digital Payment</v>
      </c>
      <c r="P10879">
        <v>736.35</v>
      </c>
      <c r="Q10879" s="37" t="str">
        <f>IF(P10879&gt;500,"High","low")</f>
        <v>High</v>
      </c>
      <c r="R10879" s="37" t="str">
        <f t="shared" si="849"/>
        <v>Good</v>
      </c>
      <c r="S10879" t="s">
        <v>609</v>
      </c>
    </row>
    <row r="10880" spans="1:19" x14ac:dyDescent="0.2">
      <c r="A10880" t="s">
        <v>11491</v>
      </c>
      <c r="B10880" t="s">
        <v>83</v>
      </c>
      <c r="C10880" t="s">
        <v>607</v>
      </c>
      <c r="D10880">
        <v>3136.28</v>
      </c>
      <c r="E10880" s="37" t="str">
        <f t="shared" si="845"/>
        <v xml:space="preserve"> </v>
      </c>
      <c r="F10880">
        <v>0.23</v>
      </c>
      <c r="G10880" s="37" t="str">
        <f t="shared" si="846"/>
        <v>Normal Discount</v>
      </c>
      <c r="H10880" s="37" t="str">
        <f t="shared" si="847"/>
        <v>Medium</v>
      </c>
      <c r="I10880">
        <v>7</v>
      </c>
      <c r="J10880" t="str" cm="1">
        <f t="array" ref="J10880">_xlfn.IFS(I10880&lt;=3,"small",I10880&lt;=6,"Medium",I10880&lt;=9,"Large")</f>
        <v>Large</v>
      </c>
      <c r="K10880" s="36">
        <v>45558</v>
      </c>
      <c r="L10880" s="36">
        <v>45562</v>
      </c>
      <c r="M10880" t="s">
        <v>598</v>
      </c>
      <c r="N10880" t="s">
        <v>599</v>
      </c>
      <c r="O10880" s="37" t="str">
        <f t="shared" si="848"/>
        <v>Digital Payment</v>
      </c>
      <c r="P10880">
        <v>526.30999999999995</v>
      </c>
      <c r="Q10880" s="37" t="str">
        <f>IF(P10880&gt;500,"High","low")</f>
        <v>High</v>
      </c>
      <c r="R10880" s="37" t="str">
        <f t="shared" si="849"/>
        <v>Good</v>
      </c>
      <c r="S10880" t="s">
        <v>609</v>
      </c>
    </row>
    <row r="10881" spans="1:19" x14ac:dyDescent="0.2">
      <c r="A10881" t="s">
        <v>11492</v>
      </c>
      <c r="B10881" t="s">
        <v>75</v>
      </c>
      <c r="C10881" t="s">
        <v>602</v>
      </c>
      <c r="D10881">
        <v>4007.41</v>
      </c>
      <c r="E10881" s="37" t="str">
        <f t="shared" si="845"/>
        <v xml:space="preserve"> </v>
      </c>
      <c r="F10881">
        <v>0.5</v>
      </c>
      <c r="G10881" s="37" t="str">
        <f t="shared" si="846"/>
        <v>Heavy Discount</v>
      </c>
      <c r="H10881" s="37" t="str">
        <f t="shared" si="847"/>
        <v>High</v>
      </c>
      <c r="I10881">
        <v>5</v>
      </c>
      <c r="J10881" t="str" cm="1">
        <f t="array" ref="J10881">_xlfn.IFS(I10881&lt;=3,"small",I10881&lt;=6,"Medium",I10881&lt;=9,"Large")</f>
        <v>Medium</v>
      </c>
      <c r="K10881" s="36">
        <v>45524</v>
      </c>
      <c r="L10881" s="36">
        <v>45529</v>
      </c>
      <c r="M10881" t="s">
        <v>603</v>
      </c>
      <c r="N10881" t="s">
        <v>599</v>
      </c>
      <c r="O10881" s="37" t="str">
        <f t="shared" si="848"/>
        <v>Digital Payment</v>
      </c>
      <c r="P10881">
        <v>513.29</v>
      </c>
      <c r="Q10881" s="37" t="str">
        <f>IF(P10881&gt;500,"High","low")</f>
        <v>High</v>
      </c>
      <c r="R10881" s="37" t="str">
        <f t="shared" si="849"/>
        <v>Good</v>
      </c>
      <c r="S10881" t="s">
        <v>615</v>
      </c>
    </row>
    <row r="10882" spans="1:19" x14ac:dyDescent="0.2">
      <c r="A10882" t="s">
        <v>11493</v>
      </c>
      <c r="B10882" t="s">
        <v>83</v>
      </c>
      <c r="C10882" t="s">
        <v>607</v>
      </c>
      <c r="D10882">
        <v>3511.08</v>
      </c>
      <c r="E10882" s="37" t="str">
        <f t="shared" si="845"/>
        <v xml:space="preserve"> </v>
      </c>
      <c r="F10882">
        <v>0.32</v>
      </c>
      <c r="G10882" s="37" t="str">
        <f t="shared" si="846"/>
        <v>Heavy Discount</v>
      </c>
      <c r="H10882" s="37" t="str">
        <f t="shared" si="847"/>
        <v>Medium</v>
      </c>
      <c r="I10882">
        <v>6</v>
      </c>
      <c r="J10882" t="str" cm="1">
        <f t="array" ref="J10882">_xlfn.IFS(I10882&lt;=3,"small",I10882&lt;=6,"Medium",I10882&lt;=9,"Large")</f>
        <v>Medium</v>
      </c>
      <c r="K10882" s="36">
        <v>45203</v>
      </c>
      <c r="L10882" s="36">
        <v>45205</v>
      </c>
      <c r="M10882" t="s">
        <v>612</v>
      </c>
      <c r="N10882" t="s">
        <v>599</v>
      </c>
      <c r="O10882" s="37" t="str">
        <f t="shared" si="848"/>
        <v>Digital Payment</v>
      </c>
      <c r="P10882">
        <v>825.53</v>
      </c>
      <c r="Q10882" s="37" t="str">
        <f>IF(P10882&gt;500,"High","low")</f>
        <v>High</v>
      </c>
      <c r="R10882" s="37" t="str">
        <f t="shared" si="849"/>
        <v>Good</v>
      </c>
      <c r="S10882" t="s">
        <v>605</v>
      </c>
    </row>
    <row r="10883" spans="1:19" x14ac:dyDescent="0.2">
      <c r="A10883" t="s">
        <v>11494</v>
      </c>
      <c r="B10883" t="s">
        <v>67</v>
      </c>
      <c r="C10883" t="s">
        <v>597</v>
      </c>
      <c r="D10883">
        <v>994.09</v>
      </c>
      <c r="E10883" s="37" t="str">
        <f t="shared" ref="E10883:E10946" si="850">IF(AND(D10883&gt;4000,P10883&gt;800),"Excellent Order"," ")</f>
        <v xml:space="preserve"> </v>
      </c>
      <c r="F10883">
        <v>0.08</v>
      </c>
      <c r="G10883" s="37" t="str">
        <f t="shared" ref="G10883:G10946" si="851">IF(F10883&gt;30%,"Heavy Discount","Normal Discount")</f>
        <v>Normal Discount</v>
      </c>
      <c r="H10883" s="37" t="str">
        <f t="shared" ref="H10883:H10946" si="852">IF(F10883&gt;0.4,"High",IF(F10883&gt;=0.2,"Medium","Low"))</f>
        <v>Low</v>
      </c>
      <c r="I10883">
        <v>7</v>
      </c>
      <c r="J10883" t="str" cm="1">
        <f t="array" ref="J10883">_xlfn.IFS(I10883&lt;=3,"small",I10883&lt;=6,"Medium",I10883&lt;=9,"Large")</f>
        <v>Large</v>
      </c>
      <c r="K10883" s="36">
        <v>45490</v>
      </c>
      <c r="L10883" s="36">
        <v>45491</v>
      </c>
      <c r="M10883" t="s">
        <v>598</v>
      </c>
      <c r="N10883" t="s">
        <v>604</v>
      </c>
      <c r="O10883" s="37" t="str">
        <f t="shared" ref="O10883:O10946" si="853">IF(OR(N10883="Card",N10883="UPI"),"Digital Payment","Cash Payment")</f>
        <v>Digital Payment</v>
      </c>
      <c r="P10883">
        <v>261.05</v>
      </c>
      <c r="Q10883" s="37" t="str">
        <f>IF(P10883&gt;500,"High","low")</f>
        <v>low</v>
      </c>
      <c r="R10883" s="37" t="str">
        <f t="shared" ref="R10883:R10946" si="854">IF(P10883&gt;1000,"Excellent",IF(P10883&gt;=500,"Good","AVERAGE"))</f>
        <v>AVERAGE</v>
      </c>
      <c r="S10883" t="s">
        <v>615</v>
      </c>
    </row>
    <row r="10884" spans="1:19" x14ac:dyDescent="0.2">
      <c r="A10884" t="s">
        <v>11495</v>
      </c>
      <c r="B10884" t="s">
        <v>90</v>
      </c>
      <c r="C10884" t="s">
        <v>597</v>
      </c>
      <c r="D10884">
        <v>2117.19</v>
      </c>
      <c r="E10884" s="37" t="str">
        <f t="shared" si="850"/>
        <v xml:space="preserve"> </v>
      </c>
      <c r="F10884">
        <v>0</v>
      </c>
      <c r="G10884" s="37" t="str">
        <f t="shared" si="851"/>
        <v>Normal Discount</v>
      </c>
      <c r="H10884" s="37" t="str">
        <f t="shared" si="852"/>
        <v>Low</v>
      </c>
      <c r="I10884">
        <v>5</v>
      </c>
      <c r="J10884" t="str" cm="1">
        <f t="array" ref="J10884">_xlfn.IFS(I10884&lt;=3,"small",I10884&lt;=6,"Medium",I10884&lt;=9,"Large")</f>
        <v>Medium</v>
      </c>
      <c r="K10884" s="36">
        <v>45046</v>
      </c>
      <c r="L10884" s="36">
        <v>45052</v>
      </c>
      <c r="M10884" t="s">
        <v>603</v>
      </c>
      <c r="N10884" t="s">
        <v>599</v>
      </c>
      <c r="O10884" s="37" t="str">
        <f t="shared" si="853"/>
        <v>Digital Payment</v>
      </c>
      <c r="P10884">
        <v>128.44999999999999</v>
      </c>
      <c r="Q10884" s="37" t="str">
        <f>IF(P10884&gt;500,"High","low")</f>
        <v>low</v>
      </c>
      <c r="R10884" s="37" t="str">
        <f t="shared" si="854"/>
        <v>AVERAGE</v>
      </c>
      <c r="S10884" t="s">
        <v>615</v>
      </c>
    </row>
    <row r="10885" spans="1:19" x14ac:dyDescent="0.2">
      <c r="A10885" t="s">
        <v>11496</v>
      </c>
      <c r="B10885" t="s">
        <v>90</v>
      </c>
      <c r="C10885" t="s">
        <v>607</v>
      </c>
      <c r="D10885">
        <v>2722.07</v>
      </c>
      <c r="E10885" s="37" t="str">
        <f t="shared" si="850"/>
        <v xml:space="preserve"> </v>
      </c>
      <c r="F10885">
        <v>0.46</v>
      </c>
      <c r="G10885" s="37" t="str">
        <f t="shared" si="851"/>
        <v>Heavy Discount</v>
      </c>
      <c r="H10885" s="37" t="str">
        <f t="shared" si="852"/>
        <v>High</v>
      </c>
      <c r="I10885">
        <v>5</v>
      </c>
      <c r="J10885" t="str" cm="1">
        <f t="array" ref="J10885">_xlfn.IFS(I10885&lt;=3,"small",I10885&lt;=6,"Medium",I10885&lt;=9,"Large")</f>
        <v>Medium</v>
      </c>
      <c r="K10885" s="36">
        <v>44965</v>
      </c>
      <c r="L10885" s="36">
        <v>44970</v>
      </c>
      <c r="M10885" t="s">
        <v>612</v>
      </c>
      <c r="N10885" t="s">
        <v>604</v>
      </c>
      <c r="O10885" s="37" t="str">
        <f t="shared" si="853"/>
        <v>Digital Payment</v>
      </c>
      <c r="P10885">
        <v>289.11</v>
      </c>
      <c r="Q10885" s="37" t="str">
        <f>IF(P10885&gt;500,"High","low")</f>
        <v>low</v>
      </c>
      <c r="R10885" s="37" t="str">
        <f t="shared" si="854"/>
        <v>AVERAGE</v>
      </c>
      <c r="S10885" t="s">
        <v>605</v>
      </c>
    </row>
    <row r="10886" spans="1:19" x14ac:dyDescent="0.2">
      <c r="A10886" t="s">
        <v>11497</v>
      </c>
      <c r="B10886" t="s">
        <v>83</v>
      </c>
      <c r="C10886" t="s">
        <v>617</v>
      </c>
      <c r="D10886">
        <v>1862.59</v>
      </c>
      <c r="E10886" s="37" t="str">
        <f t="shared" si="850"/>
        <v xml:space="preserve"> </v>
      </c>
      <c r="F10886">
        <v>0.34</v>
      </c>
      <c r="G10886" s="37" t="str">
        <f t="shared" si="851"/>
        <v>Heavy Discount</v>
      </c>
      <c r="H10886" s="37" t="str">
        <f t="shared" si="852"/>
        <v>Medium</v>
      </c>
      <c r="I10886">
        <v>6</v>
      </c>
      <c r="J10886" t="str" cm="1">
        <f t="array" ref="J10886">_xlfn.IFS(I10886&lt;=3,"small",I10886&lt;=6,"Medium",I10886&lt;=9,"Large")</f>
        <v>Medium</v>
      </c>
      <c r="K10886" s="36">
        <v>45271</v>
      </c>
      <c r="L10886" s="36">
        <v>45274</v>
      </c>
      <c r="M10886" t="s">
        <v>612</v>
      </c>
      <c r="N10886" t="s">
        <v>608</v>
      </c>
      <c r="O10886" s="37" t="str">
        <f t="shared" si="853"/>
        <v>Cash Payment</v>
      </c>
      <c r="P10886">
        <v>293.31</v>
      </c>
      <c r="Q10886" s="37" t="str">
        <f>IF(P10886&gt;500,"High","low")</f>
        <v>low</v>
      </c>
      <c r="R10886" s="37" t="str">
        <f t="shared" si="854"/>
        <v>AVERAGE</v>
      </c>
      <c r="S10886" t="s">
        <v>609</v>
      </c>
    </row>
    <row r="10887" spans="1:19" x14ac:dyDescent="0.2">
      <c r="A10887" t="s">
        <v>11498</v>
      </c>
      <c r="B10887" t="s">
        <v>83</v>
      </c>
      <c r="C10887" t="s">
        <v>597</v>
      </c>
      <c r="D10887">
        <v>962.92</v>
      </c>
      <c r="E10887" s="37" t="str">
        <f t="shared" si="850"/>
        <v xml:space="preserve"> </v>
      </c>
      <c r="F10887">
        <v>0.05</v>
      </c>
      <c r="G10887" s="37" t="str">
        <f t="shared" si="851"/>
        <v>Normal Discount</v>
      </c>
      <c r="H10887" s="37" t="str">
        <f t="shared" si="852"/>
        <v>Low</v>
      </c>
      <c r="I10887">
        <v>8</v>
      </c>
      <c r="J10887" t="str" cm="1">
        <f t="array" ref="J10887">_xlfn.IFS(I10887&lt;=3,"small",I10887&lt;=6,"Medium",I10887&lt;=9,"Large")</f>
        <v>Large</v>
      </c>
      <c r="K10887" s="36">
        <v>45609</v>
      </c>
      <c r="L10887" s="36">
        <v>45614</v>
      </c>
      <c r="M10887" t="s">
        <v>603</v>
      </c>
      <c r="N10887" t="s">
        <v>599</v>
      </c>
      <c r="O10887" s="37" t="str">
        <f t="shared" si="853"/>
        <v>Digital Payment</v>
      </c>
      <c r="P10887">
        <v>98.19</v>
      </c>
      <c r="Q10887" s="37" t="str">
        <f>IF(P10887&gt;500,"High","low")</f>
        <v>low</v>
      </c>
      <c r="R10887" s="37" t="str">
        <f t="shared" si="854"/>
        <v>AVERAGE</v>
      </c>
      <c r="S10887" t="s">
        <v>605</v>
      </c>
    </row>
    <row r="10888" spans="1:19" x14ac:dyDescent="0.2">
      <c r="A10888" t="s">
        <v>11499</v>
      </c>
      <c r="B10888" t="s">
        <v>83</v>
      </c>
      <c r="C10888" t="s">
        <v>617</v>
      </c>
      <c r="D10888">
        <v>3706.96</v>
      </c>
      <c r="E10888" s="37" t="str">
        <f t="shared" si="850"/>
        <v xml:space="preserve"> </v>
      </c>
      <c r="F10888">
        <v>0.37</v>
      </c>
      <c r="G10888" s="37" t="str">
        <f t="shared" si="851"/>
        <v>Heavy Discount</v>
      </c>
      <c r="H10888" s="37" t="str">
        <f t="shared" si="852"/>
        <v>Medium</v>
      </c>
      <c r="I10888">
        <v>2</v>
      </c>
      <c r="J10888" t="str" cm="1">
        <f t="array" ref="J10888">_xlfn.IFS(I10888&lt;=3,"small",I10888&lt;=6,"Medium",I10888&lt;=9,"Large")</f>
        <v>small</v>
      </c>
      <c r="K10888" s="36">
        <v>45300</v>
      </c>
      <c r="L10888" s="36">
        <v>45303</v>
      </c>
      <c r="M10888" t="s">
        <v>612</v>
      </c>
      <c r="N10888" t="s">
        <v>599</v>
      </c>
      <c r="O10888" s="37" t="str">
        <f t="shared" si="853"/>
        <v>Digital Payment</v>
      </c>
      <c r="P10888">
        <v>436.78</v>
      </c>
      <c r="Q10888" s="37" t="str">
        <f>IF(P10888&gt;500,"High","low")</f>
        <v>low</v>
      </c>
      <c r="R10888" s="37" t="str">
        <f t="shared" si="854"/>
        <v>AVERAGE</v>
      </c>
      <c r="S10888" t="s">
        <v>600</v>
      </c>
    </row>
    <row r="10889" spans="1:19" x14ac:dyDescent="0.2">
      <c r="A10889" t="s">
        <v>11500</v>
      </c>
      <c r="B10889" t="s">
        <v>90</v>
      </c>
      <c r="C10889" t="s">
        <v>607</v>
      </c>
      <c r="D10889">
        <v>1074.3499999999999</v>
      </c>
      <c r="E10889" s="37" t="str">
        <f t="shared" si="850"/>
        <v xml:space="preserve"> </v>
      </c>
      <c r="F10889">
        <v>0.11</v>
      </c>
      <c r="G10889" s="37" t="str">
        <f t="shared" si="851"/>
        <v>Normal Discount</v>
      </c>
      <c r="H10889" s="37" t="str">
        <f t="shared" si="852"/>
        <v>Low</v>
      </c>
      <c r="I10889">
        <v>9</v>
      </c>
      <c r="J10889" t="str" cm="1">
        <f t="array" ref="J10889">_xlfn.IFS(I10889&lt;=3,"small",I10889&lt;=6,"Medium",I10889&lt;=9,"Large")</f>
        <v>Large</v>
      </c>
      <c r="K10889" s="36">
        <v>45637</v>
      </c>
      <c r="L10889" s="36">
        <v>45640</v>
      </c>
      <c r="M10889" t="s">
        <v>612</v>
      </c>
      <c r="N10889" t="s">
        <v>608</v>
      </c>
      <c r="O10889" s="37" t="str">
        <f t="shared" si="853"/>
        <v>Cash Payment</v>
      </c>
      <c r="P10889">
        <v>191.97</v>
      </c>
      <c r="Q10889" s="37" t="str">
        <f>IF(P10889&gt;500,"High","low")</f>
        <v>low</v>
      </c>
      <c r="R10889" s="37" t="str">
        <f t="shared" si="854"/>
        <v>AVERAGE</v>
      </c>
      <c r="S10889" t="s">
        <v>628</v>
      </c>
    </row>
    <row r="10890" spans="1:19" x14ac:dyDescent="0.2">
      <c r="A10890" t="s">
        <v>11501</v>
      </c>
      <c r="B10890" t="s">
        <v>90</v>
      </c>
      <c r="C10890" t="s">
        <v>607</v>
      </c>
      <c r="D10890">
        <v>1376.38</v>
      </c>
      <c r="E10890" s="37" t="str">
        <f t="shared" si="850"/>
        <v xml:space="preserve"> </v>
      </c>
      <c r="F10890">
        <v>0.4</v>
      </c>
      <c r="G10890" s="37" t="str">
        <f t="shared" si="851"/>
        <v>Heavy Discount</v>
      </c>
      <c r="H10890" s="37" t="str">
        <f t="shared" si="852"/>
        <v>Medium</v>
      </c>
      <c r="I10890">
        <v>5</v>
      </c>
      <c r="J10890" t="str" cm="1">
        <f t="array" ref="J10890">_xlfn.IFS(I10890&lt;=3,"small",I10890&lt;=6,"Medium",I10890&lt;=9,"Large")</f>
        <v>Medium</v>
      </c>
      <c r="K10890" s="36">
        <v>45405</v>
      </c>
      <c r="L10890" s="36">
        <v>45407</v>
      </c>
      <c r="M10890" t="s">
        <v>598</v>
      </c>
      <c r="N10890" t="s">
        <v>604</v>
      </c>
      <c r="O10890" s="37" t="str">
        <f t="shared" si="853"/>
        <v>Digital Payment</v>
      </c>
      <c r="P10890">
        <v>200.57</v>
      </c>
      <c r="Q10890" s="37" t="str">
        <f>IF(P10890&gt;500,"High","low")</f>
        <v>low</v>
      </c>
      <c r="R10890" s="37" t="str">
        <f t="shared" si="854"/>
        <v>AVERAGE</v>
      </c>
      <c r="S10890" t="s">
        <v>620</v>
      </c>
    </row>
    <row r="10891" spans="1:19" x14ac:dyDescent="0.2">
      <c r="A10891" t="s">
        <v>11502</v>
      </c>
      <c r="B10891" t="s">
        <v>75</v>
      </c>
      <c r="C10891" t="s">
        <v>597</v>
      </c>
      <c r="D10891">
        <v>1503.95</v>
      </c>
      <c r="E10891" s="37" t="str">
        <f t="shared" si="850"/>
        <v xml:space="preserve"> </v>
      </c>
      <c r="F10891">
        <v>0.3</v>
      </c>
      <c r="G10891" s="37" t="str">
        <f t="shared" si="851"/>
        <v>Normal Discount</v>
      </c>
      <c r="H10891" s="37" t="str">
        <f t="shared" si="852"/>
        <v>Medium</v>
      </c>
      <c r="I10891">
        <v>4</v>
      </c>
      <c r="J10891" t="str" cm="1">
        <f t="array" ref="J10891">_xlfn.IFS(I10891&lt;=3,"small",I10891&lt;=6,"Medium",I10891&lt;=9,"Large")</f>
        <v>Medium</v>
      </c>
      <c r="K10891" s="36">
        <v>45120</v>
      </c>
      <c r="L10891" s="36">
        <v>45121</v>
      </c>
      <c r="M10891" t="s">
        <v>598</v>
      </c>
      <c r="N10891" t="s">
        <v>604</v>
      </c>
      <c r="O10891" s="37" t="str">
        <f t="shared" si="853"/>
        <v>Digital Payment</v>
      </c>
      <c r="P10891">
        <v>426.54</v>
      </c>
      <c r="Q10891" s="37" t="str">
        <f>IF(P10891&gt;500,"High","low")</f>
        <v>low</v>
      </c>
      <c r="R10891" s="37" t="str">
        <f t="shared" si="854"/>
        <v>AVERAGE</v>
      </c>
      <c r="S10891" t="s">
        <v>605</v>
      </c>
    </row>
    <row r="10892" spans="1:19" x14ac:dyDescent="0.2">
      <c r="A10892" t="s">
        <v>11503</v>
      </c>
      <c r="B10892" t="s">
        <v>67</v>
      </c>
      <c r="C10892" t="s">
        <v>617</v>
      </c>
      <c r="D10892">
        <v>892.72</v>
      </c>
      <c r="E10892" s="37" t="str">
        <f t="shared" si="850"/>
        <v xml:space="preserve"> </v>
      </c>
      <c r="F10892">
        <v>0.06</v>
      </c>
      <c r="G10892" s="37" t="str">
        <f t="shared" si="851"/>
        <v>Normal Discount</v>
      </c>
      <c r="H10892" s="37" t="str">
        <f t="shared" si="852"/>
        <v>Low</v>
      </c>
      <c r="I10892">
        <v>8</v>
      </c>
      <c r="J10892" t="str" cm="1">
        <f t="array" ref="J10892">_xlfn.IFS(I10892&lt;=3,"small",I10892&lt;=6,"Medium",I10892&lt;=9,"Large")</f>
        <v>Large</v>
      </c>
      <c r="K10892" s="36">
        <v>45034</v>
      </c>
      <c r="L10892" s="36">
        <v>45037</v>
      </c>
      <c r="M10892" t="s">
        <v>603</v>
      </c>
      <c r="N10892" t="s">
        <v>604</v>
      </c>
      <c r="O10892" s="37" t="str">
        <f t="shared" si="853"/>
        <v>Digital Payment</v>
      </c>
      <c r="P10892">
        <v>232.52</v>
      </c>
      <c r="Q10892" s="37" t="str">
        <f>IF(P10892&gt;500,"High","low")</f>
        <v>low</v>
      </c>
      <c r="R10892" s="37" t="str">
        <f t="shared" si="854"/>
        <v>AVERAGE</v>
      </c>
      <c r="S10892" t="s">
        <v>605</v>
      </c>
    </row>
    <row r="10893" spans="1:19" x14ac:dyDescent="0.2">
      <c r="A10893" t="s">
        <v>11504</v>
      </c>
      <c r="B10893" t="s">
        <v>75</v>
      </c>
      <c r="C10893" t="s">
        <v>607</v>
      </c>
      <c r="D10893">
        <v>4262.8</v>
      </c>
      <c r="E10893" s="37" t="str">
        <f t="shared" si="850"/>
        <v xml:space="preserve"> </v>
      </c>
      <c r="F10893">
        <v>0.04</v>
      </c>
      <c r="G10893" s="37" t="str">
        <f t="shared" si="851"/>
        <v>Normal Discount</v>
      </c>
      <c r="H10893" s="37" t="str">
        <f t="shared" si="852"/>
        <v>Low</v>
      </c>
      <c r="I10893">
        <v>4</v>
      </c>
      <c r="J10893" t="str" cm="1">
        <f t="array" ref="J10893">_xlfn.IFS(I10893&lt;=3,"small",I10893&lt;=6,"Medium",I10893&lt;=9,"Large")</f>
        <v>Medium</v>
      </c>
      <c r="K10893" s="36">
        <v>45570</v>
      </c>
      <c r="L10893" s="36">
        <v>45572</v>
      </c>
      <c r="M10893" t="s">
        <v>603</v>
      </c>
      <c r="N10893" t="s">
        <v>604</v>
      </c>
      <c r="O10893" s="37" t="str">
        <f t="shared" si="853"/>
        <v>Digital Payment</v>
      </c>
      <c r="P10893">
        <v>435.04</v>
      </c>
      <c r="Q10893" s="37" t="str">
        <f>IF(P10893&gt;500,"High","low")</f>
        <v>low</v>
      </c>
      <c r="R10893" s="37" t="str">
        <f t="shared" si="854"/>
        <v>AVERAGE</v>
      </c>
      <c r="S10893" t="s">
        <v>628</v>
      </c>
    </row>
    <row r="10894" spans="1:19" x14ac:dyDescent="0.2">
      <c r="A10894" t="s">
        <v>11505</v>
      </c>
      <c r="B10894" t="s">
        <v>67</v>
      </c>
      <c r="C10894" t="s">
        <v>597</v>
      </c>
      <c r="D10894">
        <v>3092.02</v>
      </c>
      <c r="E10894" s="37" t="str">
        <f t="shared" si="850"/>
        <v xml:space="preserve"> </v>
      </c>
      <c r="F10894">
        <v>0.23</v>
      </c>
      <c r="G10894" s="37" t="str">
        <f t="shared" si="851"/>
        <v>Normal Discount</v>
      </c>
      <c r="H10894" s="37" t="str">
        <f t="shared" si="852"/>
        <v>Medium</v>
      </c>
      <c r="I10894">
        <v>2</v>
      </c>
      <c r="J10894" t="str" cm="1">
        <f t="array" ref="J10894">_xlfn.IFS(I10894&lt;=3,"small",I10894&lt;=6,"Medium",I10894&lt;=9,"Large")</f>
        <v>small</v>
      </c>
      <c r="K10894" s="36">
        <v>45311</v>
      </c>
      <c r="L10894" s="36">
        <v>45316</v>
      </c>
      <c r="M10894" t="s">
        <v>603</v>
      </c>
      <c r="N10894" t="s">
        <v>599</v>
      </c>
      <c r="O10894" s="37" t="str">
        <f t="shared" si="853"/>
        <v>Digital Payment</v>
      </c>
      <c r="P10894">
        <v>887.58</v>
      </c>
      <c r="Q10894" s="37" t="str">
        <f>IF(P10894&gt;500,"High","low")</f>
        <v>High</v>
      </c>
      <c r="R10894" s="37" t="str">
        <f t="shared" si="854"/>
        <v>Good</v>
      </c>
      <c r="S10894" t="s">
        <v>609</v>
      </c>
    </row>
    <row r="10895" spans="1:19" x14ac:dyDescent="0.2">
      <c r="A10895" t="s">
        <v>11506</v>
      </c>
      <c r="B10895" t="s">
        <v>75</v>
      </c>
      <c r="C10895" t="s">
        <v>607</v>
      </c>
      <c r="D10895">
        <v>4190.2700000000004</v>
      </c>
      <c r="E10895" s="37" t="str">
        <f t="shared" si="850"/>
        <v xml:space="preserve"> </v>
      </c>
      <c r="F10895">
        <v>0.47</v>
      </c>
      <c r="G10895" s="37" t="str">
        <f t="shared" si="851"/>
        <v>Heavy Discount</v>
      </c>
      <c r="H10895" s="37" t="str">
        <f t="shared" si="852"/>
        <v>High</v>
      </c>
      <c r="I10895">
        <v>5</v>
      </c>
      <c r="J10895" t="str" cm="1">
        <f t="array" ref="J10895">_xlfn.IFS(I10895&lt;=3,"small",I10895&lt;=6,"Medium",I10895&lt;=9,"Large")</f>
        <v>Medium</v>
      </c>
      <c r="K10895" s="36">
        <v>45037</v>
      </c>
      <c r="L10895" s="36">
        <v>45044</v>
      </c>
      <c r="M10895" t="s">
        <v>612</v>
      </c>
      <c r="N10895" t="s">
        <v>608</v>
      </c>
      <c r="O10895" s="37" t="str">
        <f t="shared" si="853"/>
        <v>Cash Payment</v>
      </c>
      <c r="P10895">
        <v>436.78</v>
      </c>
      <c r="Q10895" s="37" t="str">
        <f>IF(P10895&gt;500,"High","low")</f>
        <v>low</v>
      </c>
      <c r="R10895" s="37" t="str">
        <f t="shared" si="854"/>
        <v>AVERAGE</v>
      </c>
      <c r="S10895" t="s">
        <v>620</v>
      </c>
    </row>
    <row r="10896" spans="1:19" x14ac:dyDescent="0.2">
      <c r="A10896" t="s">
        <v>11507</v>
      </c>
      <c r="B10896" t="s">
        <v>90</v>
      </c>
      <c r="C10896" t="s">
        <v>602</v>
      </c>
      <c r="D10896">
        <v>2519.27</v>
      </c>
      <c r="E10896" s="37" t="str">
        <f t="shared" si="850"/>
        <v xml:space="preserve"> </v>
      </c>
      <c r="F10896">
        <v>0.28000000000000003</v>
      </c>
      <c r="G10896" s="37" t="str">
        <f t="shared" si="851"/>
        <v>Normal Discount</v>
      </c>
      <c r="H10896" s="37" t="str">
        <f t="shared" si="852"/>
        <v>Medium</v>
      </c>
      <c r="I10896">
        <v>5</v>
      </c>
      <c r="J10896" t="str" cm="1">
        <f t="array" ref="J10896">_xlfn.IFS(I10896&lt;=3,"small",I10896&lt;=6,"Medium",I10896&lt;=9,"Large")</f>
        <v>Medium</v>
      </c>
      <c r="K10896" s="36">
        <v>45498</v>
      </c>
      <c r="L10896" s="36">
        <v>45499</v>
      </c>
      <c r="M10896" t="s">
        <v>603</v>
      </c>
      <c r="N10896" t="s">
        <v>608</v>
      </c>
      <c r="O10896" s="37" t="str">
        <f t="shared" si="853"/>
        <v>Cash Payment</v>
      </c>
      <c r="P10896">
        <v>501.67</v>
      </c>
      <c r="Q10896" s="37" t="str">
        <f>IF(P10896&gt;500,"High","low")</f>
        <v>High</v>
      </c>
      <c r="R10896" s="37" t="str">
        <f t="shared" si="854"/>
        <v>Good</v>
      </c>
      <c r="S10896" t="s">
        <v>609</v>
      </c>
    </row>
    <row r="10897" spans="1:19" x14ac:dyDescent="0.2">
      <c r="A10897" t="s">
        <v>11508</v>
      </c>
      <c r="B10897" t="s">
        <v>75</v>
      </c>
      <c r="C10897" t="s">
        <v>602</v>
      </c>
      <c r="D10897">
        <v>2645.86</v>
      </c>
      <c r="E10897" s="37" t="str">
        <f t="shared" si="850"/>
        <v xml:space="preserve"> </v>
      </c>
      <c r="F10897">
        <v>0.38</v>
      </c>
      <c r="G10897" s="37" t="str">
        <f t="shared" si="851"/>
        <v>Heavy Discount</v>
      </c>
      <c r="H10897" s="37" t="str">
        <f t="shared" si="852"/>
        <v>Medium</v>
      </c>
      <c r="I10897">
        <v>4</v>
      </c>
      <c r="J10897" t="str" cm="1">
        <f t="array" ref="J10897">_xlfn.IFS(I10897&lt;=3,"small",I10897&lt;=6,"Medium",I10897&lt;=9,"Large")</f>
        <v>Medium</v>
      </c>
      <c r="K10897" s="36">
        <v>45232</v>
      </c>
      <c r="L10897" s="36">
        <v>45233</v>
      </c>
      <c r="M10897" t="s">
        <v>598</v>
      </c>
      <c r="N10897" t="s">
        <v>608</v>
      </c>
      <c r="O10897" s="37" t="str">
        <f t="shared" si="853"/>
        <v>Cash Payment</v>
      </c>
      <c r="P10897">
        <v>335.29</v>
      </c>
      <c r="Q10897" s="37" t="str">
        <f>IF(P10897&gt;500,"High","low")</f>
        <v>low</v>
      </c>
      <c r="R10897" s="37" t="str">
        <f t="shared" si="854"/>
        <v>AVERAGE</v>
      </c>
      <c r="S10897" t="s">
        <v>600</v>
      </c>
    </row>
    <row r="10898" spans="1:19" x14ac:dyDescent="0.2">
      <c r="A10898" t="s">
        <v>11509</v>
      </c>
      <c r="B10898" t="s">
        <v>67</v>
      </c>
      <c r="C10898" t="s">
        <v>597</v>
      </c>
      <c r="D10898">
        <v>3119.11</v>
      </c>
      <c r="E10898" s="37" t="str">
        <f t="shared" si="850"/>
        <v xml:space="preserve"> </v>
      </c>
      <c r="F10898">
        <v>0.23</v>
      </c>
      <c r="G10898" s="37" t="str">
        <f t="shared" si="851"/>
        <v>Normal Discount</v>
      </c>
      <c r="H10898" s="37" t="str">
        <f t="shared" si="852"/>
        <v>Medium</v>
      </c>
      <c r="I10898">
        <v>3</v>
      </c>
      <c r="J10898" t="str" cm="1">
        <f t="array" ref="J10898">_xlfn.IFS(I10898&lt;=3,"small",I10898&lt;=6,"Medium",I10898&lt;=9,"Large")</f>
        <v>small</v>
      </c>
      <c r="K10898" s="36">
        <v>45269</v>
      </c>
      <c r="L10898" s="36">
        <v>45271</v>
      </c>
      <c r="M10898" t="s">
        <v>612</v>
      </c>
      <c r="N10898" t="s">
        <v>608</v>
      </c>
      <c r="O10898" s="37" t="str">
        <f t="shared" si="853"/>
        <v>Cash Payment</v>
      </c>
      <c r="P10898">
        <v>377.96</v>
      </c>
      <c r="Q10898" s="37" t="str">
        <f>IF(P10898&gt;500,"High","low")</f>
        <v>low</v>
      </c>
      <c r="R10898" s="37" t="str">
        <f t="shared" si="854"/>
        <v>AVERAGE</v>
      </c>
      <c r="S10898" t="s">
        <v>620</v>
      </c>
    </row>
    <row r="10899" spans="1:19" x14ac:dyDescent="0.2">
      <c r="A10899" t="s">
        <v>11510</v>
      </c>
      <c r="B10899" t="s">
        <v>83</v>
      </c>
      <c r="C10899" t="s">
        <v>607</v>
      </c>
      <c r="D10899">
        <v>1917.51</v>
      </c>
      <c r="E10899" s="37" t="str">
        <f t="shared" si="850"/>
        <v xml:space="preserve"> </v>
      </c>
      <c r="F10899">
        <v>0.19</v>
      </c>
      <c r="G10899" s="37" t="str">
        <f t="shared" si="851"/>
        <v>Normal Discount</v>
      </c>
      <c r="H10899" s="37" t="str">
        <f t="shared" si="852"/>
        <v>Low</v>
      </c>
      <c r="I10899">
        <v>5</v>
      </c>
      <c r="J10899" t="str" cm="1">
        <f t="array" ref="J10899">_xlfn.IFS(I10899&lt;=3,"small",I10899&lt;=6,"Medium",I10899&lt;=9,"Large")</f>
        <v>Medium</v>
      </c>
      <c r="K10899" s="36">
        <v>45229</v>
      </c>
      <c r="L10899" s="36">
        <v>45231</v>
      </c>
      <c r="M10899" t="s">
        <v>598</v>
      </c>
      <c r="N10899" t="s">
        <v>608</v>
      </c>
      <c r="O10899" s="37" t="str">
        <f t="shared" si="853"/>
        <v>Cash Payment</v>
      </c>
      <c r="P10899">
        <v>354.88</v>
      </c>
      <c r="Q10899" s="37" t="str">
        <f>IF(P10899&gt;500,"High","low")</f>
        <v>low</v>
      </c>
      <c r="R10899" s="37" t="str">
        <f t="shared" si="854"/>
        <v>AVERAGE</v>
      </c>
      <c r="S10899" t="s">
        <v>609</v>
      </c>
    </row>
    <row r="10900" spans="1:19" x14ac:dyDescent="0.2">
      <c r="A10900" t="s">
        <v>11511</v>
      </c>
      <c r="B10900" t="s">
        <v>67</v>
      </c>
      <c r="C10900" t="s">
        <v>597</v>
      </c>
      <c r="D10900">
        <v>2533.2600000000002</v>
      </c>
      <c r="E10900" s="37" t="str">
        <f t="shared" si="850"/>
        <v xml:space="preserve"> </v>
      </c>
      <c r="F10900">
        <v>0.41</v>
      </c>
      <c r="G10900" s="37" t="str">
        <f t="shared" si="851"/>
        <v>Heavy Discount</v>
      </c>
      <c r="H10900" s="37" t="str">
        <f t="shared" si="852"/>
        <v>High</v>
      </c>
      <c r="I10900">
        <v>9</v>
      </c>
      <c r="J10900" t="str" cm="1">
        <f t="array" ref="J10900">_xlfn.IFS(I10900&lt;=3,"small",I10900&lt;=6,"Medium",I10900&lt;=9,"Large")</f>
        <v>Large</v>
      </c>
      <c r="K10900" s="36">
        <v>44943</v>
      </c>
      <c r="L10900" s="36">
        <v>44947</v>
      </c>
      <c r="M10900" t="s">
        <v>598</v>
      </c>
      <c r="N10900" t="s">
        <v>599</v>
      </c>
      <c r="O10900" s="37" t="str">
        <f t="shared" si="853"/>
        <v>Digital Payment</v>
      </c>
      <c r="P10900">
        <v>726.35</v>
      </c>
      <c r="Q10900" s="37" t="str">
        <f>IF(P10900&gt;500,"High","low")</f>
        <v>High</v>
      </c>
      <c r="R10900" s="37" t="str">
        <f t="shared" si="854"/>
        <v>Good</v>
      </c>
      <c r="S10900" t="s">
        <v>620</v>
      </c>
    </row>
    <row r="10901" spans="1:19" x14ac:dyDescent="0.2">
      <c r="A10901" t="s">
        <v>11512</v>
      </c>
      <c r="B10901" t="s">
        <v>83</v>
      </c>
      <c r="C10901" t="s">
        <v>614</v>
      </c>
      <c r="D10901">
        <v>2779.88</v>
      </c>
      <c r="E10901" s="37" t="str">
        <f t="shared" si="850"/>
        <v xml:space="preserve"> </v>
      </c>
      <c r="F10901">
        <v>0.23</v>
      </c>
      <c r="G10901" s="37" t="str">
        <f t="shared" si="851"/>
        <v>Normal Discount</v>
      </c>
      <c r="H10901" s="37" t="str">
        <f t="shared" si="852"/>
        <v>Medium</v>
      </c>
      <c r="I10901">
        <v>9</v>
      </c>
      <c r="J10901" t="str" cm="1">
        <f t="array" ref="J10901">_xlfn.IFS(I10901&lt;=3,"small",I10901&lt;=6,"Medium",I10901&lt;=9,"Large")</f>
        <v>Large</v>
      </c>
      <c r="K10901" s="36">
        <v>45601</v>
      </c>
      <c r="L10901" s="36">
        <v>45607</v>
      </c>
      <c r="M10901" t="s">
        <v>598</v>
      </c>
      <c r="N10901" t="s">
        <v>599</v>
      </c>
      <c r="O10901" s="37" t="str">
        <f t="shared" si="853"/>
        <v>Digital Payment</v>
      </c>
      <c r="P10901">
        <v>430.11</v>
      </c>
      <c r="Q10901" s="37" t="str">
        <f>IF(P10901&gt;500,"High","low")</f>
        <v>low</v>
      </c>
      <c r="R10901" s="37" t="str">
        <f t="shared" si="854"/>
        <v>AVERAGE</v>
      </c>
      <c r="S10901" t="s">
        <v>628</v>
      </c>
    </row>
    <row r="10902" spans="1:19" x14ac:dyDescent="0.2">
      <c r="A10902" t="s">
        <v>11513</v>
      </c>
      <c r="B10902" t="s">
        <v>90</v>
      </c>
      <c r="C10902" t="s">
        <v>597</v>
      </c>
      <c r="D10902">
        <v>4772.3599999999997</v>
      </c>
      <c r="E10902" s="37" t="str">
        <f t="shared" si="850"/>
        <v xml:space="preserve"> </v>
      </c>
      <c r="F10902">
        <v>7.0000000000000007E-2</v>
      </c>
      <c r="G10902" s="37" t="str">
        <f t="shared" si="851"/>
        <v>Normal Discount</v>
      </c>
      <c r="H10902" s="37" t="str">
        <f t="shared" si="852"/>
        <v>Low</v>
      </c>
      <c r="I10902">
        <v>9</v>
      </c>
      <c r="J10902" t="str" cm="1">
        <f t="array" ref="J10902">_xlfn.IFS(I10902&lt;=3,"small",I10902&lt;=6,"Medium",I10902&lt;=9,"Large")</f>
        <v>Large</v>
      </c>
      <c r="K10902" s="36">
        <v>45446</v>
      </c>
      <c r="L10902" s="36">
        <v>45451</v>
      </c>
      <c r="M10902" t="s">
        <v>612</v>
      </c>
      <c r="N10902" t="s">
        <v>604</v>
      </c>
      <c r="O10902" s="37" t="str">
        <f t="shared" si="853"/>
        <v>Digital Payment</v>
      </c>
      <c r="P10902">
        <v>574.28</v>
      </c>
      <c r="Q10902" s="37" t="str">
        <f>IF(P10902&gt;500,"High","low")</f>
        <v>High</v>
      </c>
      <c r="R10902" s="37" t="str">
        <f t="shared" si="854"/>
        <v>Good</v>
      </c>
      <c r="S10902" t="s">
        <v>628</v>
      </c>
    </row>
    <row r="10903" spans="1:19" x14ac:dyDescent="0.2">
      <c r="A10903" t="s">
        <v>11514</v>
      </c>
      <c r="B10903" t="s">
        <v>67</v>
      </c>
      <c r="C10903" t="s">
        <v>597</v>
      </c>
      <c r="D10903">
        <v>4426.25</v>
      </c>
      <c r="E10903" s="37" t="str">
        <f t="shared" si="850"/>
        <v xml:space="preserve"> </v>
      </c>
      <c r="F10903">
        <v>0.14000000000000001</v>
      </c>
      <c r="G10903" s="37" t="str">
        <f t="shared" si="851"/>
        <v>Normal Discount</v>
      </c>
      <c r="H10903" s="37" t="str">
        <f t="shared" si="852"/>
        <v>Low</v>
      </c>
      <c r="I10903">
        <v>6</v>
      </c>
      <c r="J10903" t="str" cm="1">
        <f t="array" ref="J10903">_xlfn.IFS(I10903&lt;=3,"small",I10903&lt;=6,"Medium",I10903&lt;=9,"Large")</f>
        <v>Medium</v>
      </c>
      <c r="K10903" s="36">
        <v>45494</v>
      </c>
      <c r="L10903" s="36">
        <v>45498</v>
      </c>
      <c r="M10903" t="s">
        <v>603</v>
      </c>
      <c r="N10903" t="s">
        <v>599</v>
      </c>
      <c r="O10903" s="37" t="str">
        <f t="shared" si="853"/>
        <v>Digital Payment</v>
      </c>
      <c r="P10903">
        <v>498.29</v>
      </c>
      <c r="Q10903" s="37" t="str">
        <f>IF(P10903&gt;500,"High","low")</f>
        <v>low</v>
      </c>
      <c r="R10903" s="37" t="str">
        <f t="shared" si="854"/>
        <v>AVERAGE</v>
      </c>
      <c r="S10903" t="s">
        <v>600</v>
      </c>
    </row>
    <row r="10904" spans="1:19" x14ac:dyDescent="0.2">
      <c r="A10904" t="s">
        <v>11515</v>
      </c>
      <c r="B10904" t="s">
        <v>75</v>
      </c>
      <c r="C10904" t="s">
        <v>602</v>
      </c>
      <c r="D10904">
        <v>733.3</v>
      </c>
      <c r="E10904" s="37" t="str">
        <f t="shared" si="850"/>
        <v xml:space="preserve"> </v>
      </c>
      <c r="F10904">
        <v>0.28000000000000003</v>
      </c>
      <c r="G10904" s="37" t="str">
        <f t="shared" si="851"/>
        <v>Normal Discount</v>
      </c>
      <c r="H10904" s="37" t="str">
        <f t="shared" si="852"/>
        <v>Medium</v>
      </c>
      <c r="I10904">
        <v>8</v>
      </c>
      <c r="J10904" t="str" cm="1">
        <f t="array" ref="J10904">_xlfn.IFS(I10904&lt;=3,"small",I10904&lt;=6,"Medium",I10904&lt;=9,"Large")</f>
        <v>Large</v>
      </c>
      <c r="K10904" s="36">
        <v>45626</v>
      </c>
      <c r="L10904" s="36">
        <v>45633</v>
      </c>
      <c r="M10904" t="s">
        <v>603</v>
      </c>
      <c r="N10904" t="s">
        <v>604</v>
      </c>
      <c r="O10904" s="37" t="str">
        <f t="shared" si="853"/>
        <v>Digital Payment</v>
      </c>
      <c r="P10904">
        <v>93.33</v>
      </c>
      <c r="Q10904" s="37" t="str">
        <f>IF(P10904&gt;500,"High","low")</f>
        <v>low</v>
      </c>
      <c r="R10904" s="37" t="str">
        <f t="shared" si="854"/>
        <v>AVERAGE</v>
      </c>
      <c r="S10904" t="s">
        <v>600</v>
      </c>
    </row>
    <row r="10905" spans="1:19" x14ac:dyDescent="0.2">
      <c r="A10905" t="s">
        <v>11516</v>
      </c>
      <c r="B10905" t="s">
        <v>67</v>
      </c>
      <c r="C10905" t="s">
        <v>602</v>
      </c>
      <c r="D10905">
        <v>302.27999999999997</v>
      </c>
      <c r="E10905" s="37" t="str">
        <f t="shared" si="850"/>
        <v xml:space="preserve"> </v>
      </c>
      <c r="F10905">
        <v>0.2</v>
      </c>
      <c r="G10905" s="37" t="str">
        <f t="shared" si="851"/>
        <v>Normal Discount</v>
      </c>
      <c r="H10905" s="37" t="str">
        <f t="shared" si="852"/>
        <v>Medium</v>
      </c>
      <c r="I10905">
        <v>1</v>
      </c>
      <c r="J10905" t="str" cm="1">
        <f t="array" ref="J10905">_xlfn.IFS(I10905&lt;=3,"small",I10905&lt;=6,"Medium",I10905&lt;=9,"Large")</f>
        <v>small</v>
      </c>
      <c r="K10905" s="36">
        <v>45109</v>
      </c>
      <c r="L10905" s="36">
        <v>45113</v>
      </c>
      <c r="M10905" t="s">
        <v>598</v>
      </c>
      <c r="N10905" t="s">
        <v>599</v>
      </c>
      <c r="O10905" s="37" t="str">
        <f t="shared" si="853"/>
        <v>Digital Payment</v>
      </c>
      <c r="P10905">
        <v>48.72</v>
      </c>
      <c r="Q10905" s="37" t="str">
        <f>IF(P10905&gt;500,"High","low")</f>
        <v>low</v>
      </c>
      <c r="R10905" s="37" t="str">
        <f t="shared" si="854"/>
        <v>AVERAGE</v>
      </c>
      <c r="S10905" t="s">
        <v>605</v>
      </c>
    </row>
    <row r="10906" spans="1:19" x14ac:dyDescent="0.2">
      <c r="A10906" t="s">
        <v>11517</v>
      </c>
      <c r="B10906" t="s">
        <v>83</v>
      </c>
      <c r="C10906" t="s">
        <v>607</v>
      </c>
      <c r="D10906">
        <v>3433.64</v>
      </c>
      <c r="E10906" s="37" t="str">
        <f t="shared" si="850"/>
        <v xml:space="preserve"> </v>
      </c>
      <c r="F10906">
        <v>0.18</v>
      </c>
      <c r="G10906" s="37" t="str">
        <f t="shared" si="851"/>
        <v>Normal Discount</v>
      </c>
      <c r="H10906" s="37" t="str">
        <f t="shared" si="852"/>
        <v>Low</v>
      </c>
      <c r="I10906">
        <v>1</v>
      </c>
      <c r="J10906" t="str" cm="1">
        <f t="array" ref="J10906">_xlfn.IFS(I10906&lt;=3,"small",I10906&lt;=6,"Medium",I10906&lt;=9,"Large")</f>
        <v>small</v>
      </c>
      <c r="K10906" s="36">
        <v>45189</v>
      </c>
      <c r="L10906" s="36">
        <v>45190</v>
      </c>
      <c r="M10906" t="s">
        <v>612</v>
      </c>
      <c r="N10906" t="s">
        <v>599</v>
      </c>
      <c r="O10906" s="37" t="str">
        <f t="shared" si="853"/>
        <v>Digital Payment</v>
      </c>
      <c r="P10906">
        <v>921.19</v>
      </c>
      <c r="Q10906" s="37" t="str">
        <f>IF(P10906&gt;500,"High","low")</f>
        <v>High</v>
      </c>
      <c r="R10906" s="37" t="str">
        <f t="shared" si="854"/>
        <v>Good</v>
      </c>
      <c r="S10906" t="s">
        <v>600</v>
      </c>
    </row>
    <row r="10907" spans="1:19" x14ac:dyDescent="0.2">
      <c r="A10907" t="s">
        <v>11518</v>
      </c>
      <c r="B10907" t="s">
        <v>90</v>
      </c>
      <c r="C10907" t="s">
        <v>597</v>
      </c>
      <c r="D10907">
        <v>341.07</v>
      </c>
      <c r="E10907" s="37" t="str">
        <f t="shared" si="850"/>
        <v xml:space="preserve"> </v>
      </c>
      <c r="F10907">
        <v>0.33</v>
      </c>
      <c r="G10907" s="37" t="str">
        <f t="shared" si="851"/>
        <v>Heavy Discount</v>
      </c>
      <c r="H10907" s="37" t="str">
        <f t="shared" si="852"/>
        <v>Medium</v>
      </c>
      <c r="I10907">
        <v>7</v>
      </c>
      <c r="J10907" t="str" cm="1">
        <f t="array" ref="J10907">_xlfn.IFS(I10907&lt;=3,"small",I10907&lt;=6,"Medium",I10907&lt;=9,"Large")</f>
        <v>Large</v>
      </c>
      <c r="K10907" s="36">
        <v>44991</v>
      </c>
      <c r="L10907" s="36">
        <v>44995</v>
      </c>
      <c r="M10907" t="s">
        <v>612</v>
      </c>
      <c r="N10907" t="s">
        <v>608</v>
      </c>
      <c r="O10907" s="37" t="str">
        <f t="shared" si="853"/>
        <v>Cash Payment</v>
      </c>
      <c r="P10907">
        <v>43.89</v>
      </c>
      <c r="Q10907" s="37" t="str">
        <f>IF(P10907&gt;500,"High","low")</f>
        <v>low</v>
      </c>
      <c r="R10907" s="37" t="str">
        <f t="shared" si="854"/>
        <v>AVERAGE</v>
      </c>
      <c r="S10907" t="s">
        <v>605</v>
      </c>
    </row>
    <row r="10908" spans="1:19" x14ac:dyDescent="0.2">
      <c r="A10908" t="s">
        <v>11519</v>
      </c>
      <c r="B10908" t="s">
        <v>75</v>
      </c>
      <c r="C10908" t="s">
        <v>597</v>
      </c>
      <c r="D10908">
        <v>395.72</v>
      </c>
      <c r="E10908" s="37" t="str">
        <f t="shared" si="850"/>
        <v xml:space="preserve"> </v>
      </c>
      <c r="F10908">
        <v>0.32</v>
      </c>
      <c r="G10908" s="37" t="str">
        <f t="shared" si="851"/>
        <v>Heavy Discount</v>
      </c>
      <c r="H10908" s="37" t="str">
        <f t="shared" si="852"/>
        <v>Medium</v>
      </c>
      <c r="I10908">
        <v>5</v>
      </c>
      <c r="J10908" t="str" cm="1">
        <f t="array" ref="J10908">_xlfn.IFS(I10908&lt;=3,"small",I10908&lt;=6,"Medium",I10908&lt;=9,"Large")</f>
        <v>Medium</v>
      </c>
      <c r="K10908" s="36">
        <v>45207</v>
      </c>
      <c r="L10908" s="36">
        <v>45212</v>
      </c>
      <c r="M10908" t="s">
        <v>598</v>
      </c>
      <c r="N10908" t="s">
        <v>604</v>
      </c>
      <c r="O10908" s="37" t="str">
        <f t="shared" si="853"/>
        <v>Digital Payment</v>
      </c>
      <c r="P10908">
        <v>46.74</v>
      </c>
      <c r="Q10908" s="37" t="str">
        <f>IF(P10908&gt;500,"High","low")</f>
        <v>low</v>
      </c>
      <c r="R10908" s="37" t="str">
        <f t="shared" si="854"/>
        <v>AVERAGE</v>
      </c>
      <c r="S10908" t="s">
        <v>600</v>
      </c>
    </row>
    <row r="10909" spans="1:19" x14ac:dyDescent="0.2">
      <c r="A10909" t="s">
        <v>11520</v>
      </c>
      <c r="B10909" t="s">
        <v>67</v>
      </c>
      <c r="C10909" t="s">
        <v>607</v>
      </c>
      <c r="D10909">
        <v>880.39</v>
      </c>
      <c r="E10909" s="37" t="str">
        <f t="shared" si="850"/>
        <v xml:space="preserve"> </v>
      </c>
      <c r="F10909">
        <v>0.16</v>
      </c>
      <c r="G10909" s="37" t="str">
        <f t="shared" si="851"/>
        <v>Normal Discount</v>
      </c>
      <c r="H10909" s="37" t="str">
        <f t="shared" si="852"/>
        <v>Low</v>
      </c>
      <c r="I10909">
        <v>2</v>
      </c>
      <c r="J10909" t="str" cm="1">
        <f t="array" ref="J10909">_xlfn.IFS(I10909&lt;=3,"small",I10909&lt;=6,"Medium",I10909&lt;=9,"Large")</f>
        <v>small</v>
      </c>
      <c r="K10909" s="36">
        <v>45425</v>
      </c>
      <c r="L10909" s="36">
        <v>45427</v>
      </c>
      <c r="M10909" t="s">
        <v>603</v>
      </c>
      <c r="N10909" t="s">
        <v>604</v>
      </c>
      <c r="O10909" s="37" t="str">
        <f t="shared" si="853"/>
        <v>Digital Payment</v>
      </c>
      <c r="P10909">
        <v>170.4</v>
      </c>
      <c r="Q10909" s="37" t="str">
        <f>IF(P10909&gt;500,"High","low")</f>
        <v>low</v>
      </c>
      <c r="R10909" s="37" t="str">
        <f t="shared" si="854"/>
        <v>AVERAGE</v>
      </c>
      <c r="S10909" t="s">
        <v>600</v>
      </c>
    </row>
    <row r="10910" spans="1:19" x14ac:dyDescent="0.2">
      <c r="A10910" t="s">
        <v>11521</v>
      </c>
      <c r="B10910" t="s">
        <v>83</v>
      </c>
      <c r="C10910" t="s">
        <v>617</v>
      </c>
      <c r="D10910">
        <v>1823.36</v>
      </c>
      <c r="E10910" s="37" t="str">
        <f t="shared" si="850"/>
        <v xml:space="preserve"> </v>
      </c>
      <c r="F10910">
        <v>0.18</v>
      </c>
      <c r="G10910" s="37" t="str">
        <f t="shared" si="851"/>
        <v>Normal Discount</v>
      </c>
      <c r="H10910" s="37" t="str">
        <f t="shared" si="852"/>
        <v>Low</v>
      </c>
      <c r="I10910">
        <v>4</v>
      </c>
      <c r="J10910" t="str" cm="1">
        <f t="array" ref="J10910">_xlfn.IFS(I10910&lt;=3,"small",I10910&lt;=6,"Medium",I10910&lt;=9,"Large")</f>
        <v>Medium</v>
      </c>
      <c r="K10910" s="36">
        <v>45462</v>
      </c>
      <c r="L10910" s="36">
        <v>45463</v>
      </c>
      <c r="M10910" t="s">
        <v>612</v>
      </c>
      <c r="N10910" t="s">
        <v>604</v>
      </c>
      <c r="O10910" s="37" t="str">
        <f t="shared" si="853"/>
        <v>Digital Payment</v>
      </c>
      <c r="P10910">
        <v>360.65</v>
      </c>
      <c r="Q10910" s="37" t="str">
        <f>IF(P10910&gt;500,"High","low")</f>
        <v>low</v>
      </c>
      <c r="R10910" s="37" t="str">
        <f t="shared" si="854"/>
        <v>AVERAGE</v>
      </c>
      <c r="S10910" t="s">
        <v>600</v>
      </c>
    </row>
    <row r="10911" spans="1:19" x14ac:dyDescent="0.2">
      <c r="A10911" t="s">
        <v>11522</v>
      </c>
      <c r="B10911" t="s">
        <v>75</v>
      </c>
      <c r="C10911" t="s">
        <v>607</v>
      </c>
      <c r="D10911">
        <v>2231.48</v>
      </c>
      <c r="E10911" s="37" t="str">
        <f t="shared" si="850"/>
        <v xml:space="preserve"> </v>
      </c>
      <c r="F10911">
        <v>0.38</v>
      </c>
      <c r="G10911" s="37" t="str">
        <f t="shared" si="851"/>
        <v>Heavy Discount</v>
      </c>
      <c r="H10911" s="37" t="str">
        <f t="shared" si="852"/>
        <v>Medium</v>
      </c>
      <c r="I10911">
        <v>4</v>
      </c>
      <c r="J10911" t="str" cm="1">
        <f t="array" ref="J10911">_xlfn.IFS(I10911&lt;=3,"small",I10911&lt;=6,"Medium",I10911&lt;=9,"Large")</f>
        <v>Medium</v>
      </c>
      <c r="K10911" s="36">
        <v>45552</v>
      </c>
      <c r="L10911" s="36">
        <v>45559</v>
      </c>
      <c r="M10911" t="s">
        <v>603</v>
      </c>
      <c r="N10911" t="s">
        <v>604</v>
      </c>
      <c r="O10911" s="37" t="str">
        <f t="shared" si="853"/>
        <v>Digital Payment</v>
      </c>
      <c r="P10911">
        <v>360.19</v>
      </c>
      <c r="Q10911" s="37" t="str">
        <f>IF(P10911&gt;500,"High","low")</f>
        <v>low</v>
      </c>
      <c r="R10911" s="37" t="str">
        <f t="shared" si="854"/>
        <v>AVERAGE</v>
      </c>
      <c r="S10911" t="s">
        <v>628</v>
      </c>
    </row>
    <row r="10912" spans="1:19" x14ac:dyDescent="0.2">
      <c r="A10912" t="s">
        <v>11523</v>
      </c>
      <c r="B10912" t="s">
        <v>90</v>
      </c>
      <c r="C10912" t="s">
        <v>602</v>
      </c>
      <c r="D10912">
        <v>2644.95</v>
      </c>
      <c r="E10912" s="37" t="str">
        <f t="shared" si="850"/>
        <v xml:space="preserve"> </v>
      </c>
      <c r="F10912">
        <v>0.46</v>
      </c>
      <c r="G10912" s="37" t="str">
        <f t="shared" si="851"/>
        <v>Heavy Discount</v>
      </c>
      <c r="H10912" s="37" t="str">
        <f t="shared" si="852"/>
        <v>High</v>
      </c>
      <c r="I10912">
        <v>6</v>
      </c>
      <c r="J10912" t="str" cm="1">
        <f t="array" ref="J10912">_xlfn.IFS(I10912&lt;=3,"small",I10912&lt;=6,"Medium",I10912&lt;=9,"Large")</f>
        <v>Medium</v>
      </c>
      <c r="K10912" s="36">
        <v>45023</v>
      </c>
      <c r="L10912" s="36">
        <v>45029</v>
      </c>
      <c r="M10912" t="s">
        <v>603</v>
      </c>
      <c r="N10912" t="s">
        <v>604</v>
      </c>
      <c r="O10912" s="37" t="str">
        <f t="shared" si="853"/>
        <v>Digital Payment</v>
      </c>
      <c r="P10912">
        <v>258.27999999999997</v>
      </c>
      <c r="Q10912" s="37" t="str">
        <f>IF(P10912&gt;500,"High","low")</f>
        <v>low</v>
      </c>
      <c r="R10912" s="37" t="str">
        <f t="shared" si="854"/>
        <v>AVERAGE</v>
      </c>
      <c r="S10912" t="s">
        <v>600</v>
      </c>
    </row>
    <row r="10913" spans="1:19" x14ac:dyDescent="0.2">
      <c r="A10913" t="s">
        <v>11524</v>
      </c>
      <c r="B10913" t="s">
        <v>75</v>
      </c>
      <c r="C10913" t="s">
        <v>602</v>
      </c>
      <c r="D10913">
        <v>4962.21</v>
      </c>
      <c r="E10913" s="37" t="str">
        <f t="shared" si="850"/>
        <v xml:space="preserve"> </v>
      </c>
      <c r="F10913">
        <v>0.16</v>
      </c>
      <c r="G10913" s="37" t="str">
        <f t="shared" si="851"/>
        <v>Normal Discount</v>
      </c>
      <c r="H10913" s="37" t="str">
        <f t="shared" si="852"/>
        <v>Low</v>
      </c>
      <c r="I10913">
        <v>8</v>
      </c>
      <c r="J10913" t="str" cm="1">
        <f t="array" ref="J10913">_xlfn.IFS(I10913&lt;=3,"small",I10913&lt;=6,"Medium",I10913&lt;=9,"Large")</f>
        <v>Large</v>
      </c>
      <c r="K10913" s="36">
        <v>45385</v>
      </c>
      <c r="L10913" s="36">
        <v>45386</v>
      </c>
      <c r="M10913" t="s">
        <v>612</v>
      </c>
      <c r="N10913" t="s">
        <v>599</v>
      </c>
      <c r="O10913" s="37" t="str">
        <f t="shared" si="853"/>
        <v>Digital Payment</v>
      </c>
      <c r="P10913">
        <v>485.17</v>
      </c>
      <c r="Q10913" s="37" t="str">
        <f>IF(P10913&gt;500,"High","low")</f>
        <v>low</v>
      </c>
      <c r="R10913" s="37" t="str">
        <f t="shared" si="854"/>
        <v>AVERAGE</v>
      </c>
      <c r="S10913" t="s">
        <v>615</v>
      </c>
    </row>
    <row r="10914" spans="1:19" x14ac:dyDescent="0.2">
      <c r="A10914" t="s">
        <v>11525</v>
      </c>
      <c r="B10914" t="s">
        <v>90</v>
      </c>
      <c r="C10914" t="s">
        <v>597</v>
      </c>
      <c r="D10914">
        <v>1987.64</v>
      </c>
      <c r="E10914" s="37" t="str">
        <f t="shared" si="850"/>
        <v xml:space="preserve"> </v>
      </c>
      <c r="F10914">
        <v>0.15</v>
      </c>
      <c r="G10914" s="37" t="str">
        <f t="shared" si="851"/>
        <v>Normal Discount</v>
      </c>
      <c r="H10914" s="37" t="str">
        <f t="shared" si="852"/>
        <v>Low</v>
      </c>
      <c r="I10914">
        <v>3</v>
      </c>
      <c r="J10914" t="str" cm="1">
        <f t="array" ref="J10914">_xlfn.IFS(I10914&lt;=3,"small",I10914&lt;=6,"Medium",I10914&lt;=9,"Large")</f>
        <v>small</v>
      </c>
      <c r="K10914" s="36">
        <v>45534</v>
      </c>
      <c r="L10914" s="36">
        <v>45541</v>
      </c>
      <c r="M10914" t="s">
        <v>603</v>
      </c>
      <c r="N10914" t="s">
        <v>608</v>
      </c>
      <c r="O10914" s="37" t="str">
        <f t="shared" si="853"/>
        <v>Cash Payment</v>
      </c>
      <c r="P10914">
        <v>357.87</v>
      </c>
      <c r="Q10914" s="37" t="str">
        <f>IF(P10914&gt;500,"High","low")</f>
        <v>low</v>
      </c>
      <c r="R10914" s="37" t="str">
        <f t="shared" si="854"/>
        <v>AVERAGE</v>
      </c>
      <c r="S10914" t="s">
        <v>609</v>
      </c>
    </row>
    <row r="10915" spans="1:19" x14ac:dyDescent="0.2">
      <c r="A10915" t="s">
        <v>11526</v>
      </c>
      <c r="B10915" t="s">
        <v>75</v>
      </c>
      <c r="C10915" t="s">
        <v>602</v>
      </c>
      <c r="D10915">
        <v>1289.49</v>
      </c>
      <c r="E10915" s="37" t="str">
        <f t="shared" si="850"/>
        <v xml:space="preserve"> </v>
      </c>
      <c r="F10915">
        <v>0.13</v>
      </c>
      <c r="G10915" s="37" t="str">
        <f t="shared" si="851"/>
        <v>Normal Discount</v>
      </c>
      <c r="H10915" s="37" t="str">
        <f t="shared" si="852"/>
        <v>Low</v>
      </c>
      <c r="I10915">
        <v>7</v>
      </c>
      <c r="J10915" t="str" cm="1">
        <f t="array" ref="J10915">_xlfn.IFS(I10915&lt;=3,"small",I10915&lt;=6,"Medium",I10915&lt;=9,"Large")</f>
        <v>Large</v>
      </c>
      <c r="K10915" s="36">
        <v>45275</v>
      </c>
      <c r="L10915" s="36">
        <v>45279</v>
      </c>
      <c r="M10915" t="s">
        <v>612</v>
      </c>
      <c r="N10915" t="s">
        <v>599</v>
      </c>
      <c r="O10915" s="37" t="str">
        <f t="shared" si="853"/>
        <v>Digital Payment</v>
      </c>
      <c r="P10915">
        <v>156.32</v>
      </c>
      <c r="Q10915" s="37" t="str">
        <f>IF(P10915&gt;500,"High","low")</f>
        <v>low</v>
      </c>
      <c r="R10915" s="37" t="str">
        <f t="shared" si="854"/>
        <v>AVERAGE</v>
      </c>
      <c r="S10915" t="s">
        <v>628</v>
      </c>
    </row>
    <row r="10916" spans="1:19" x14ac:dyDescent="0.2">
      <c r="A10916" t="s">
        <v>11527</v>
      </c>
      <c r="B10916" t="s">
        <v>67</v>
      </c>
      <c r="C10916" t="s">
        <v>607</v>
      </c>
      <c r="D10916">
        <v>2918.74</v>
      </c>
      <c r="E10916" s="37" t="str">
        <f t="shared" si="850"/>
        <v xml:space="preserve"> </v>
      </c>
      <c r="F10916">
        <v>7.0000000000000007E-2</v>
      </c>
      <c r="G10916" s="37" t="str">
        <f t="shared" si="851"/>
        <v>Normal Discount</v>
      </c>
      <c r="H10916" s="37" t="str">
        <f t="shared" si="852"/>
        <v>Low</v>
      </c>
      <c r="I10916">
        <v>2</v>
      </c>
      <c r="J10916" t="str" cm="1">
        <f t="array" ref="J10916">_xlfn.IFS(I10916&lt;=3,"small",I10916&lt;=6,"Medium",I10916&lt;=9,"Large")</f>
        <v>small</v>
      </c>
      <c r="K10916" s="36">
        <v>45503</v>
      </c>
      <c r="L10916" s="36">
        <v>45508</v>
      </c>
      <c r="M10916" t="s">
        <v>598</v>
      </c>
      <c r="N10916" t="s">
        <v>599</v>
      </c>
      <c r="O10916" s="37" t="str">
        <f t="shared" si="853"/>
        <v>Digital Payment</v>
      </c>
      <c r="P10916">
        <v>257.61</v>
      </c>
      <c r="Q10916" s="37" t="str">
        <f>IF(P10916&gt;500,"High","low")</f>
        <v>low</v>
      </c>
      <c r="R10916" s="37" t="str">
        <f t="shared" si="854"/>
        <v>AVERAGE</v>
      </c>
      <c r="S10916" t="s">
        <v>609</v>
      </c>
    </row>
    <row r="10917" spans="1:19" x14ac:dyDescent="0.2">
      <c r="A10917" t="s">
        <v>11528</v>
      </c>
      <c r="B10917" t="s">
        <v>83</v>
      </c>
      <c r="C10917" t="s">
        <v>597</v>
      </c>
      <c r="D10917">
        <v>1154.24</v>
      </c>
      <c r="E10917" s="37" t="str">
        <f t="shared" si="850"/>
        <v xml:space="preserve"> </v>
      </c>
      <c r="F10917">
        <v>0.19</v>
      </c>
      <c r="G10917" s="37" t="str">
        <f t="shared" si="851"/>
        <v>Normal Discount</v>
      </c>
      <c r="H10917" s="37" t="str">
        <f t="shared" si="852"/>
        <v>Low</v>
      </c>
      <c r="I10917">
        <v>9</v>
      </c>
      <c r="J10917" t="str" cm="1">
        <f t="array" ref="J10917">_xlfn.IFS(I10917&lt;=3,"small",I10917&lt;=6,"Medium",I10917&lt;=9,"Large")</f>
        <v>Large</v>
      </c>
      <c r="K10917" s="36">
        <v>45229</v>
      </c>
      <c r="L10917" s="36">
        <v>45231</v>
      </c>
      <c r="M10917" t="s">
        <v>612</v>
      </c>
      <c r="N10917" t="s">
        <v>599</v>
      </c>
      <c r="O10917" s="37" t="str">
        <f t="shared" si="853"/>
        <v>Digital Payment</v>
      </c>
      <c r="P10917">
        <v>65.34</v>
      </c>
      <c r="Q10917" s="37" t="str">
        <f>IF(P10917&gt;500,"High","low")</f>
        <v>low</v>
      </c>
      <c r="R10917" s="37" t="str">
        <f t="shared" si="854"/>
        <v>AVERAGE</v>
      </c>
      <c r="S10917" t="s">
        <v>628</v>
      </c>
    </row>
    <row r="10918" spans="1:19" x14ac:dyDescent="0.2">
      <c r="A10918" t="s">
        <v>11529</v>
      </c>
      <c r="B10918" t="s">
        <v>67</v>
      </c>
      <c r="C10918" t="s">
        <v>607</v>
      </c>
      <c r="D10918">
        <v>4708.66</v>
      </c>
      <c r="E10918" s="37" t="str">
        <f t="shared" si="850"/>
        <v xml:space="preserve"> </v>
      </c>
      <c r="F10918">
        <v>0.26</v>
      </c>
      <c r="G10918" s="37" t="str">
        <f t="shared" si="851"/>
        <v>Normal Discount</v>
      </c>
      <c r="H10918" s="37" t="str">
        <f t="shared" si="852"/>
        <v>Medium</v>
      </c>
      <c r="I10918">
        <v>7</v>
      </c>
      <c r="J10918" t="str" cm="1">
        <f t="array" ref="J10918">_xlfn.IFS(I10918&lt;=3,"small",I10918&lt;=6,"Medium",I10918&lt;=9,"Large")</f>
        <v>Large</v>
      </c>
      <c r="K10918" s="36">
        <v>45574</v>
      </c>
      <c r="L10918" s="36">
        <v>45579</v>
      </c>
      <c r="M10918" t="s">
        <v>603</v>
      </c>
      <c r="N10918" t="s">
        <v>608</v>
      </c>
      <c r="O10918" s="37" t="str">
        <f t="shared" si="853"/>
        <v>Cash Payment</v>
      </c>
      <c r="P10918">
        <v>393.51</v>
      </c>
      <c r="Q10918" s="37" t="str">
        <f>IF(P10918&gt;500,"High","low")</f>
        <v>low</v>
      </c>
      <c r="R10918" s="37" t="str">
        <f t="shared" si="854"/>
        <v>AVERAGE</v>
      </c>
      <c r="S10918" t="s">
        <v>605</v>
      </c>
    </row>
    <row r="10919" spans="1:19" x14ac:dyDescent="0.2">
      <c r="A10919" t="s">
        <v>11530</v>
      </c>
      <c r="B10919" t="s">
        <v>67</v>
      </c>
      <c r="C10919" t="s">
        <v>607</v>
      </c>
      <c r="D10919">
        <v>1370.35</v>
      </c>
      <c r="E10919" s="37" t="str">
        <f t="shared" si="850"/>
        <v xml:space="preserve"> </v>
      </c>
      <c r="F10919">
        <v>0.27</v>
      </c>
      <c r="G10919" s="37" t="str">
        <f t="shared" si="851"/>
        <v>Normal Discount</v>
      </c>
      <c r="H10919" s="37" t="str">
        <f t="shared" si="852"/>
        <v>Medium</v>
      </c>
      <c r="I10919">
        <v>1</v>
      </c>
      <c r="J10919" t="str" cm="1">
        <f t="array" ref="J10919">_xlfn.IFS(I10919&lt;=3,"small",I10919&lt;=6,"Medium",I10919&lt;=9,"Large")</f>
        <v>small</v>
      </c>
      <c r="K10919" s="36">
        <v>45099</v>
      </c>
      <c r="L10919" s="36">
        <v>45102</v>
      </c>
      <c r="M10919" t="s">
        <v>603</v>
      </c>
      <c r="N10919" t="s">
        <v>604</v>
      </c>
      <c r="O10919" s="37" t="str">
        <f t="shared" si="853"/>
        <v>Digital Payment</v>
      </c>
      <c r="P10919">
        <v>353.26</v>
      </c>
      <c r="Q10919" s="37" t="str">
        <f>IF(P10919&gt;500,"High","low")</f>
        <v>low</v>
      </c>
      <c r="R10919" s="37" t="str">
        <f t="shared" si="854"/>
        <v>AVERAGE</v>
      </c>
      <c r="S10919" t="s">
        <v>628</v>
      </c>
    </row>
    <row r="10920" spans="1:19" x14ac:dyDescent="0.2">
      <c r="A10920" t="s">
        <v>11531</v>
      </c>
      <c r="B10920" t="s">
        <v>90</v>
      </c>
      <c r="C10920" t="s">
        <v>597</v>
      </c>
      <c r="D10920">
        <v>4950.68</v>
      </c>
      <c r="E10920" s="37" t="str">
        <f t="shared" si="850"/>
        <v xml:space="preserve"> </v>
      </c>
      <c r="F10920">
        <v>0.35</v>
      </c>
      <c r="G10920" s="37" t="str">
        <f t="shared" si="851"/>
        <v>Heavy Discount</v>
      </c>
      <c r="H10920" s="37" t="str">
        <f t="shared" si="852"/>
        <v>Medium</v>
      </c>
      <c r="I10920">
        <v>4</v>
      </c>
      <c r="J10920" t="str" cm="1">
        <f t="array" ref="J10920">_xlfn.IFS(I10920&lt;=3,"small",I10920&lt;=6,"Medium",I10920&lt;=9,"Large")</f>
        <v>Medium</v>
      </c>
      <c r="K10920" s="36">
        <v>45339</v>
      </c>
      <c r="L10920" s="36">
        <v>45344</v>
      </c>
      <c r="M10920" t="s">
        <v>603</v>
      </c>
      <c r="N10920" t="s">
        <v>608</v>
      </c>
      <c r="O10920" s="37" t="str">
        <f t="shared" si="853"/>
        <v>Cash Payment</v>
      </c>
      <c r="P10920">
        <v>440.4</v>
      </c>
      <c r="Q10920" s="37" t="str">
        <f>IF(P10920&gt;500,"High","low")</f>
        <v>low</v>
      </c>
      <c r="R10920" s="37" t="str">
        <f t="shared" si="854"/>
        <v>AVERAGE</v>
      </c>
      <c r="S10920" t="s">
        <v>609</v>
      </c>
    </row>
    <row r="10921" spans="1:19" x14ac:dyDescent="0.2">
      <c r="A10921" t="s">
        <v>11532</v>
      </c>
      <c r="B10921" t="s">
        <v>90</v>
      </c>
      <c r="C10921" t="s">
        <v>617</v>
      </c>
      <c r="D10921">
        <v>2151.4699999999998</v>
      </c>
      <c r="E10921" s="37" t="str">
        <f t="shared" si="850"/>
        <v xml:space="preserve"> </v>
      </c>
      <c r="F10921">
        <v>0.03</v>
      </c>
      <c r="G10921" s="37" t="str">
        <f t="shared" si="851"/>
        <v>Normal Discount</v>
      </c>
      <c r="H10921" s="37" t="str">
        <f t="shared" si="852"/>
        <v>Low</v>
      </c>
      <c r="I10921">
        <v>2</v>
      </c>
      <c r="J10921" t="str" cm="1">
        <f t="array" ref="J10921">_xlfn.IFS(I10921&lt;=3,"small",I10921&lt;=6,"Medium",I10921&lt;=9,"Large")</f>
        <v>small</v>
      </c>
      <c r="K10921" s="36">
        <v>44957</v>
      </c>
      <c r="L10921" s="36">
        <v>44960</v>
      </c>
      <c r="M10921" t="s">
        <v>598</v>
      </c>
      <c r="N10921" t="s">
        <v>604</v>
      </c>
      <c r="O10921" s="37" t="str">
        <f t="shared" si="853"/>
        <v>Digital Payment</v>
      </c>
      <c r="P10921">
        <v>109.03</v>
      </c>
      <c r="Q10921" s="37" t="str">
        <f>IF(P10921&gt;500,"High","low")</f>
        <v>low</v>
      </c>
      <c r="R10921" s="37" t="str">
        <f t="shared" si="854"/>
        <v>AVERAGE</v>
      </c>
      <c r="S10921" t="s">
        <v>600</v>
      </c>
    </row>
    <row r="10922" spans="1:19" x14ac:dyDescent="0.2">
      <c r="A10922" t="s">
        <v>11533</v>
      </c>
      <c r="B10922" t="s">
        <v>90</v>
      </c>
      <c r="C10922" t="s">
        <v>602</v>
      </c>
      <c r="D10922">
        <v>4082.16</v>
      </c>
      <c r="E10922" s="37" t="str">
        <f t="shared" si="850"/>
        <v xml:space="preserve"> </v>
      </c>
      <c r="F10922">
        <v>0.28000000000000003</v>
      </c>
      <c r="G10922" s="37" t="str">
        <f t="shared" si="851"/>
        <v>Normal Discount</v>
      </c>
      <c r="H10922" s="37" t="str">
        <f t="shared" si="852"/>
        <v>Medium</v>
      </c>
      <c r="I10922">
        <v>5</v>
      </c>
      <c r="J10922" t="str" cm="1">
        <f t="array" ref="J10922">_xlfn.IFS(I10922&lt;=3,"small",I10922&lt;=6,"Medium",I10922&lt;=9,"Large")</f>
        <v>Medium</v>
      </c>
      <c r="K10922" s="36">
        <v>45409</v>
      </c>
      <c r="L10922" s="36">
        <v>45410</v>
      </c>
      <c r="M10922" t="s">
        <v>598</v>
      </c>
      <c r="N10922" t="s">
        <v>604</v>
      </c>
      <c r="O10922" s="37" t="str">
        <f t="shared" si="853"/>
        <v>Digital Payment</v>
      </c>
      <c r="P10922">
        <v>603.51</v>
      </c>
      <c r="Q10922" s="37" t="str">
        <f>IF(P10922&gt;500,"High","low")</f>
        <v>High</v>
      </c>
      <c r="R10922" s="37" t="str">
        <f t="shared" si="854"/>
        <v>Good</v>
      </c>
      <c r="S10922" t="s">
        <v>605</v>
      </c>
    </row>
    <row r="10923" spans="1:19" x14ac:dyDescent="0.2">
      <c r="A10923" t="s">
        <v>11534</v>
      </c>
      <c r="B10923" t="s">
        <v>67</v>
      </c>
      <c r="C10923" t="s">
        <v>614</v>
      </c>
      <c r="D10923">
        <v>3276.57</v>
      </c>
      <c r="E10923" s="37" t="str">
        <f t="shared" si="850"/>
        <v xml:space="preserve"> </v>
      </c>
      <c r="F10923">
        <v>0.13</v>
      </c>
      <c r="G10923" s="37" t="str">
        <f t="shared" si="851"/>
        <v>Normal Discount</v>
      </c>
      <c r="H10923" s="37" t="str">
        <f t="shared" si="852"/>
        <v>Low</v>
      </c>
      <c r="I10923">
        <v>9</v>
      </c>
      <c r="J10923" t="str" cm="1">
        <f t="array" ref="J10923">_xlfn.IFS(I10923&lt;=3,"small",I10923&lt;=6,"Medium",I10923&lt;=9,"Large")</f>
        <v>Large</v>
      </c>
      <c r="K10923" s="36">
        <v>45061</v>
      </c>
      <c r="L10923" s="36">
        <v>45068</v>
      </c>
      <c r="M10923" t="s">
        <v>603</v>
      </c>
      <c r="N10923" t="s">
        <v>608</v>
      </c>
      <c r="O10923" s="37" t="str">
        <f t="shared" si="853"/>
        <v>Cash Payment</v>
      </c>
      <c r="P10923">
        <v>924.12</v>
      </c>
      <c r="Q10923" s="37" t="str">
        <f>IF(P10923&gt;500,"High","low")</f>
        <v>High</v>
      </c>
      <c r="R10923" s="37" t="str">
        <f t="shared" si="854"/>
        <v>Good</v>
      </c>
      <c r="S10923" t="s">
        <v>628</v>
      </c>
    </row>
    <row r="10924" spans="1:19" x14ac:dyDescent="0.2">
      <c r="A10924" t="s">
        <v>11535</v>
      </c>
      <c r="B10924" t="s">
        <v>75</v>
      </c>
      <c r="C10924" t="s">
        <v>614</v>
      </c>
      <c r="D10924">
        <v>4674.12</v>
      </c>
      <c r="E10924" s="37" t="str">
        <f t="shared" si="850"/>
        <v>Excellent Order</v>
      </c>
      <c r="F10924">
        <v>0.12</v>
      </c>
      <c r="G10924" s="37" t="str">
        <f t="shared" si="851"/>
        <v>Normal Discount</v>
      </c>
      <c r="H10924" s="37" t="str">
        <f t="shared" si="852"/>
        <v>Low</v>
      </c>
      <c r="I10924">
        <v>3</v>
      </c>
      <c r="J10924" t="str" cm="1">
        <f t="array" ref="J10924">_xlfn.IFS(I10924&lt;=3,"small",I10924&lt;=6,"Medium",I10924&lt;=9,"Large")</f>
        <v>small</v>
      </c>
      <c r="K10924" s="36">
        <v>45085</v>
      </c>
      <c r="L10924" s="36">
        <v>45090</v>
      </c>
      <c r="M10924" t="s">
        <v>598</v>
      </c>
      <c r="N10924" t="s">
        <v>608</v>
      </c>
      <c r="O10924" s="37" t="str">
        <f t="shared" si="853"/>
        <v>Cash Payment</v>
      </c>
      <c r="P10924">
        <v>843.12</v>
      </c>
      <c r="Q10924" s="37" t="str">
        <f>IF(P10924&gt;500,"High","low")</f>
        <v>High</v>
      </c>
      <c r="R10924" s="37" t="str">
        <f t="shared" si="854"/>
        <v>Good</v>
      </c>
      <c r="S10924" t="s">
        <v>620</v>
      </c>
    </row>
    <row r="10925" spans="1:19" x14ac:dyDescent="0.2">
      <c r="A10925" t="s">
        <v>11536</v>
      </c>
      <c r="B10925" t="s">
        <v>75</v>
      </c>
      <c r="C10925" t="s">
        <v>614</v>
      </c>
      <c r="D10925">
        <v>3164.59</v>
      </c>
      <c r="E10925" s="37" t="str">
        <f t="shared" si="850"/>
        <v xml:space="preserve"> </v>
      </c>
      <c r="F10925">
        <v>0.39</v>
      </c>
      <c r="G10925" s="37" t="str">
        <f t="shared" si="851"/>
        <v>Heavy Discount</v>
      </c>
      <c r="H10925" s="37" t="str">
        <f t="shared" si="852"/>
        <v>Medium</v>
      </c>
      <c r="I10925">
        <v>5</v>
      </c>
      <c r="J10925" t="str" cm="1">
        <f t="array" ref="J10925">_xlfn.IFS(I10925&lt;=3,"small",I10925&lt;=6,"Medium",I10925&lt;=9,"Large")</f>
        <v>Medium</v>
      </c>
      <c r="K10925" s="36">
        <v>45547</v>
      </c>
      <c r="L10925" s="36">
        <v>45552</v>
      </c>
      <c r="M10925" t="s">
        <v>612</v>
      </c>
      <c r="N10925" t="s">
        <v>604</v>
      </c>
      <c r="O10925" s="37" t="str">
        <f t="shared" si="853"/>
        <v>Digital Payment</v>
      </c>
      <c r="P10925">
        <v>166.37</v>
      </c>
      <c r="Q10925" s="37" t="str">
        <f>IF(P10925&gt;500,"High","low")</f>
        <v>low</v>
      </c>
      <c r="R10925" s="37" t="str">
        <f t="shared" si="854"/>
        <v>AVERAGE</v>
      </c>
      <c r="S10925" t="s">
        <v>600</v>
      </c>
    </row>
    <row r="10926" spans="1:19" x14ac:dyDescent="0.2">
      <c r="A10926" t="s">
        <v>11537</v>
      </c>
      <c r="B10926" t="s">
        <v>67</v>
      </c>
      <c r="C10926" t="s">
        <v>602</v>
      </c>
      <c r="D10926">
        <v>2947.97</v>
      </c>
      <c r="E10926" s="37" t="str">
        <f t="shared" si="850"/>
        <v xml:space="preserve"> </v>
      </c>
      <c r="F10926">
        <v>0.08</v>
      </c>
      <c r="G10926" s="37" t="str">
        <f t="shared" si="851"/>
        <v>Normal Discount</v>
      </c>
      <c r="H10926" s="37" t="str">
        <f t="shared" si="852"/>
        <v>Low</v>
      </c>
      <c r="I10926">
        <v>2</v>
      </c>
      <c r="J10926" t="str" cm="1">
        <f t="array" ref="J10926">_xlfn.IFS(I10926&lt;=3,"small",I10926&lt;=6,"Medium",I10926&lt;=9,"Large")</f>
        <v>small</v>
      </c>
      <c r="K10926" s="36">
        <v>45168</v>
      </c>
      <c r="L10926" s="36">
        <v>45173</v>
      </c>
      <c r="M10926" t="s">
        <v>612</v>
      </c>
      <c r="N10926" t="s">
        <v>599</v>
      </c>
      <c r="O10926" s="37" t="str">
        <f t="shared" si="853"/>
        <v>Digital Payment</v>
      </c>
      <c r="P10926">
        <v>670.13</v>
      </c>
      <c r="Q10926" s="37" t="str">
        <f>IF(P10926&gt;500,"High","low")</f>
        <v>High</v>
      </c>
      <c r="R10926" s="37" t="str">
        <f t="shared" si="854"/>
        <v>Good</v>
      </c>
      <c r="S10926" t="s">
        <v>609</v>
      </c>
    </row>
    <row r="10927" spans="1:19" x14ac:dyDescent="0.2">
      <c r="A10927" t="s">
        <v>11538</v>
      </c>
      <c r="B10927" t="s">
        <v>67</v>
      </c>
      <c r="C10927" t="s">
        <v>617</v>
      </c>
      <c r="D10927">
        <v>3298.98</v>
      </c>
      <c r="E10927" s="37" t="str">
        <f t="shared" si="850"/>
        <v xml:space="preserve"> </v>
      </c>
      <c r="F10927">
        <v>0.16</v>
      </c>
      <c r="G10927" s="37" t="str">
        <f t="shared" si="851"/>
        <v>Normal Discount</v>
      </c>
      <c r="H10927" s="37" t="str">
        <f t="shared" si="852"/>
        <v>Low</v>
      </c>
      <c r="I10927">
        <v>4</v>
      </c>
      <c r="J10927" t="str" cm="1">
        <f t="array" ref="J10927">_xlfn.IFS(I10927&lt;=3,"small",I10927&lt;=6,"Medium",I10927&lt;=9,"Large")</f>
        <v>Medium</v>
      </c>
      <c r="K10927" s="36">
        <v>45114</v>
      </c>
      <c r="L10927" s="36">
        <v>45121</v>
      </c>
      <c r="M10927" t="s">
        <v>603</v>
      </c>
      <c r="N10927" t="s">
        <v>604</v>
      </c>
      <c r="O10927" s="37" t="str">
        <f t="shared" si="853"/>
        <v>Digital Payment</v>
      </c>
      <c r="P10927">
        <v>495.42</v>
      </c>
      <c r="Q10927" s="37" t="str">
        <f>IF(P10927&gt;500,"High","low")</f>
        <v>low</v>
      </c>
      <c r="R10927" s="37" t="str">
        <f t="shared" si="854"/>
        <v>AVERAGE</v>
      </c>
      <c r="S10927" t="s">
        <v>609</v>
      </c>
    </row>
    <row r="10928" spans="1:19" x14ac:dyDescent="0.2">
      <c r="A10928" t="s">
        <v>11539</v>
      </c>
      <c r="B10928" t="s">
        <v>83</v>
      </c>
      <c r="C10928" t="s">
        <v>607</v>
      </c>
      <c r="D10928">
        <v>3953.68</v>
      </c>
      <c r="E10928" s="37" t="str">
        <f t="shared" si="850"/>
        <v xml:space="preserve"> </v>
      </c>
      <c r="F10928">
        <v>0.32</v>
      </c>
      <c r="G10928" s="37" t="str">
        <f t="shared" si="851"/>
        <v>Heavy Discount</v>
      </c>
      <c r="H10928" s="37" t="str">
        <f t="shared" si="852"/>
        <v>Medium</v>
      </c>
      <c r="I10928">
        <v>2</v>
      </c>
      <c r="J10928" t="str" cm="1">
        <f t="array" ref="J10928">_xlfn.IFS(I10928&lt;=3,"small",I10928&lt;=6,"Medium",I10928&lt;=9,"Large")</f>
        <v>small</v>
      </c>
      <c r="K10928" s="36">
        <v>45110</v>
      </c>
      <c r="L10928" s="36">
        <v>45114</v>
      </c>
      <c r="M10928" t="s">
        <v>612</v>
      </c>
      <c r="N10928" t="s">
        <v>608</v>
      </c>
      <c r="O10928" s="37" t="str">
        <f t="shared" si="853"/>
        <v>Cash Payment</v>
      </c>
      <c r="P10928">
        <v>957.53</v>
      </c>
      <c r="Q10928" s="37" t="str">
        <f>IF(P10928&gt;500,"High","low")</f>
        <v>High</v>
      </c>
      <c r="R10928" s="37" t="str">
        <f t="shared" si="854"/>
        <v>Good</v>
      </c>
      <c r="S10928" t="s">
        <v>628</v>
      </c>
    </row>
    <row r="10929" spans="1:19" x14ac:dyDescent="0.2">
      <c r="A10929" t="s">
        <v>11540</v>
      </c>
      <c r="B10929" t="s">
        <v>90</v>
      </c>
      <c r="C10929" t="s">
        <v>597</v>
      </c>
      <c r="D10929">
        <v>4504.32</v>
      </c>
      <c r="E10929" s="37" t="str">
        <f t="shared" si="850"/>
        <v>Excellent Order</v>
      </c>
      <c r="F10929">
        <v>0.32</v>
      </c>
      <c r="G10929" s="37" t="str">
        <f t="shared" si="851"/>
        <v>Heavy Discount</v>
      </c>
      <c r="H10929" s="37" t="str">
        <f t="shared" si="852"/>
        <v>Medium</v>
      </c>
      <c r="I10929">
        <v>8</v>
      </c>
      <c r="J10929" t="str" cm="1">
        <f t="array" ref="J10929">_xlfn.IFS(I10929&lt;=3,"small",I10929&lt;=6,"Medium",I10929&lt;=9,"Large")</f>
        <v>Large</v>
      </c>
      <c r="K10929" s="36">
        <v>45598</v>
      </c>
      <c r="L10929" s="36">
        <v>45599</v>
      </c>
      <c r="M10929" t="s">
        <v>603</v>
      </c>
      <c r="N10929" t="s">
        <v>608</v>
      </c>
      <c r="O10929" s="37" t="str">
        <f t="shared" si="853"/>
        <v>Cash Payment</v>
      </c>
      <c r="P10929">
        <v>897.31</v>
      </c>
      <c r="Q10929" s="37" t="str">
        <f>IF(P10929&gt;500,"High","low")</f>
        <v>High</v>
      </c>
      <c r="R10929" s="37" t="str">
        <f t="shared" si="854"/>
        <v>Good</v>
      </c>
      <c r="S10929" t="s">
        <v>628</v>
      </c>
    </row>
    <row r="10930" spans="1:19" x14ac:dyDescent="0.2">
      <c r="A10930" t="s">
        <v>11541</v>
      </c>
      <c r="B10930" t="s">
        <v>90</v>
      </c>
      <c r="C10930" t="s">
        <v>617</v>
      </c>
      <c r="D10930">
        <v>1407.39</v>
      </c>
      <c r="E10930" s="37" t="str">
        <f t="shared" si="850"/>
        <v xml:space="preserve"> </v>
      </c>
      <c r="F10930">
        <v>0.02</v>
      </c>
      <c r="G10930" s="37" t="str">
        <f t="shared" si="851"/>
        <v>Normal Discount</v>
      </c>
      <c r="H10930" s="37" t="str">
        <f t="shared" si="852"/>
        <v>Low</v>
      </c>
      <c r="I10930">
        <v>7</v>
      </c>
      <c r="J10930" t="str" cm="1">
        <f t="array" ref="J10930">_xlfn.IFS(I10930&lt;=3,"small",I10930&lt;=6,"Medium",I10930&lt;=9,"Large")</f>
        <v>Large</v>
      </c>
      <c r="K10930" s="36">
        <v>45532</v>
      </c>
      <c r="L10930" s="36">
        <v>45537</v>
      </c>
      <c r="M10930" t="s">
        <v>598</v>
      </c>
      <c r="N10930" t="s">
        <v>599</v>
      </c>
      <c r="O10930" s="37" t="str">
        <f t="shared" si="853"/>
        <v>Digital Payment</v>
      </c>
      <c r="P10930">
        <v>119.44</v>
      </c>
      <c r="Q10930" s="37" t="str">
        <f>IF(P10930&gt;500,"High","low")</f>
        <v>low</v>
      </c>
      <c r="R10930" s="37" t="str">
        <f t="shared" si="854"/>
        <v>AVERAGE</v>
      </c>
      <c r="S10930" t="s">
        <v>605</v>
      </c>
    </row>
    <row r="10931" spans="1:19" x14ac:dyDescent="0.2">
      <c r="A10931" t="s">
        <v>11542</v>
      </c>
      <c r="B10931" t="s">
        <v>67</v>
      </c>
      <c r="C10931" t="s">
        <v>614</v>
      </c>
      <c r="D10931">
        <v>1084.3499999999999</v>
      </c>
      <c r="E10931" s="37" t="str">
        <f t="shared" si="850"/>
        <v xml:space="preserve"> </v>
      </c>
      <c r="F10931">
        <v>0.04</v>
      </c>
      <c r="G10931" s="37" t="str">
        <f t="shared" si="851"/>
        <v>Normal Discount</v>
      </c>
      <c r="H10931" s="37" t="str">
        <f t="shared" si="852"/>
        <v>Low</v>
      </c>
      <c r="I10931">
        <v>7</v>
      </c>
      <c r="J10931" t="str" cm="1">
        <f t="array" ref="J10931">_xlfn.IFS(I10931&lt;=3,"small",I10931&lt;=6,"Medium",I10931&lt;=9,"Large")</f>
        <v>Large</v>
      </c>
      <c r="K10931" s="36">
        <v>45243</v>
      </c>
      <c r="L10931" s="36">
        <v>45245</v>
      </c>
      <c r="M10931" t="s">
        <v>603</v>
      </c>
      <c r="N10931" t="s">
        <v>599</v>
      </c>
      <c r="O10931" s="37" t="str">
        <f t="shared" si="853"/>
        <v>Digital Payment</v>
      </c>
      <c r="P10931">
        <v>182.14</v>
      </c>
      <c r="Q10931" s="37" t="str">
        <f>IF(P10931&gt;500,"High","low")</f>
        <v>low</v>
      </c>
      <c r="R10931" s="37" t="str">
        <f t="shared" si="854"/>
        <v>AVERAGE</v>
      </c>
      <c r="S10931" t="s">
        <v>620</v>
      </c>
    </row>
    <row r="10932" spans="1:19" x14ac:dyDescent="0.2">
      <c r="A10932" t="s">
        <v>11543</v>
      </c>
      <c r="B10932" t="s">
        <v>67</v>
      </c>
      <c r="C10932" t="s">
        <v>602</v>
      </c>
      <c r="D10932">
        <v>268.31</v>
      </c>
      <c r="E10932" s="37" t="str">
        <f t="shared" si="850"/>
        <v xml:space="preserve"> </v>
      </c>
      <c r="F10932">
        <v>0.33</v>
      </c>
      <c r="G10932" s="37" t="str">
        <f t="shared" si="851"/>
        <v>Heavy Discount</v>
      </c>
      <c r="H10932" s="37" t="str">
        <f t="shared" si="852"/>
        <v>Medium</v>
      </c>
      <c r="I10932">
        <v>7</v>
      </c>
      <c r="J10932" t="str" cm="1">
        <f t="array" ref="J10932">_xlfn.IFS(I10932&lt;=3,"small",I10932&lt;=6,"Medium",I10932&lt;=9,"Large")</f>
        <v>Large</v>
      </c>
      <c r="K10932" s="36">
        <v>45115</v>
      </c>
      <c r="L10932" s="36">
        <v>45116</v>
      </c>
      <c r="M10932" t="s">
        <v>603</v>
      </c>
      <c r="N10932" t="s">
        <v>604</v>
      </c>
      <c r="O10932" s="37" t="str">
        <f t="shared" si="853"/>
        <v>Digital Payment</v>
      </c>
      <c r="P10932">
        <v>50.66</v>
      </c>
      <c r="Q10932" s="37" t="str">
        <f>IF(P10932&gt;500,"High","low")</f>
        <v>low</v>
      </c>
      <c r="R10932" s="37" t="str">
        <f t="shared" si="854"/>
        <v>AVERAGE</v>
      </c>
      <c r="S10932" t="s">
        <v>615</v>
      </c>
    </row>
    <row r="10933" spans="1:19" x14ac:dyDescent="0.2">
      <c r="A10933" t="s">
        <v>11544</v>
      </c>
      <c r="B10933" t="s">
        <v>75</v>
      </c>
      <c r="C10933" t="s">
        <v>602</v>
      </c>
      <c r="D10933">
        <v>1913.39</v>
      </c>
      <c r="E10933" s="37" t="str">
        <f t="shared" si="850"/>
        <v xml:space="preserve"> </v>
      </c>
      <c r="F10933">
        <v>0.48</v>
      </c>
      <c r="G10933" s="37" t="str">
        <f t="shared" si="851"/>
        <v>Heavy Discount</v>
      </c>
      <c r="H10933" s="37" t="str">
        <f t="shared" si="852"/>
        <v>High</v>
      </c>
      <c r="I10933">
        <v>9</v>
      </c>
      <c r="J10933" t="str" cm="1">
        <f t="array" ref="J10933">_xlfn.IFS(I10933&lt;=3,"small",I10933&lt;=6,"Medium",I10933&lt;=9,"Large")</f>
        <v>Large</v>
      </c>
      <c r="K10933" s="36">
        <v>45514</v>
      </c>
      <c r="L10933" s="36">
        <v>45519</v>
      </c>
      <c r="M10933" t="s">
        <v>598</v>
      </c>
      <c r="N10933" t="s">
        <v>604</v>
      </c>
      <c r="O10933" s="37" t="str">
        <f t="shared" si="853"/>
        <v>Digital Payment</v>
      </c>
      <c r="P10933">
        <v>335.04</v>
      </c>
      <c r="Q10933" s="37" t="str">
        <f>IF(P10933&gt;500,"High","low")</f>
        <v>low</v>
      </c>
      <c r="R10933" s="37" t="str">
        <f t="shared" si="854"/>
        <v>AVERAGE</v>
      </c>
      <c r="S10933" t="s">
        <v>620</v>
      </c>
    </row>
    <row r="10934" spans="1:19" x14ac:dyDescent="0.2">
      <c r="A10934" t="s">
        <v>11545</v>
      </c>
      <c r="B10934" t="s">
        <v>67</v>
      </c>
      <c r="C10934" t="s">
        <v>597</v>
      </c>
      <c r="D10934">
        <v>4246.3100000000004</v>
      </c>
      <c r="E10934" s="37" t="str">
        <f t="shared" si="850"/>
        <v>Excellent Order</v>
      </c>
      <c r="F10934">
        <v>0.5</v>
      </c>
      <c r="G10934" s="37" t="str">
        <f t="shared" si="851"/>
        <v>Heavy Discount</v>
      </c>
      <c r="H10934" s="37" t="str">
        <f t="shared" si="852"/>
        <v>High</v>
      </c>
      <c r="I10934">
        <v>2</v>
      </c>
      <c r="J10934" t="str" cm="1">
        <f t="array" ref="J10934">_xlfn.IFS(I10934&lt;=3,"small",I10934&lt;=6,"Medium",I10934&lt;=9,"Large")</f>
        <v>small</v>
      </c>
      <c r="K10934" s="36">
        <v>45281</v>
      </c>
      <c r="L10934" s="36">
        <v>45288</v>
      </c>
      <c r="M10934" t="s">
        <v>598</v>
      </c>
      <c r="N10934" t="s">
        <v>604</v>
      </c>
      <c r="O10934" s="37" t="str">
        <f t="shared" si="853"/>
        <v>Digital Payment</v>
      </c>
      <c r="P10934">
        <v>1048.46</v>
      </c>
      <c r="Q10934" s="37" t="str">
        <f>IF(P10934&gt;500,"High","low")</f>
        <v>High</v>
      </c>
      <c r="R10934" s="37" t="str">
        <f t="shared" si="854"/>
        <v>Excellent</v>
      </c>
      <c r="S10934" t="s">
        <v>605</v>
      </c>
    </row>
    <row r="10935" spans="1:19" x14ac:dyDescent="0.2">
      <c r="A10935" t="s">
        <v>11546</v>
      </c>
      <c r="B10935" t="s">
        <v>75</v>
      </c>
      <c r="C10935" t="s">
        <v>607</v>
      </c>
      <c r="D10935">
        <v>442.3</v>
      </c>
      <c r="E10935" s="37" t="str">
        <f t="shared" si="850"/>
        <v xml:space="preserve"> </v>
      </c>
      <c r="F10935">
        <v>0.49</v>
      </c>
      <c r="G10935" s="37" t="str">
        <f t="shared" si="851"/>
        <v>Heavy Discount</v>
      </c>
      <c r="H10935" s="37" t="str">
        <f t="shared" si="852"/>
        <v>High</v>
      </c>
      <c r="I10935">
        <v>6</v>
      </c>
      <c r="J10935" t="str" cm="1">
        <f t="array" ref="J10935">_xlfn.IFS(I10935&lt;=3,"small",I10935&lt;=6,"Medium",I10935&lt;=9,"Large")</f>
        <v>Medium</v>
      </c>
      <c r="K10935" s="36">
        <v>45374</v>
      </c>
      <c r="L10935" s="36">
        <v>45380</v>
      </c>
      <c r="M10935" t="s">
        <v>612</v>
      </c>
      <c r="N10935" t="s">
        <v>604</v>
      </c>
      <c r="O10935" s="37" t="str">
        <f t="shared" si="853"/>
        <v>Digital Payment</v>
      </c>
      <c r="P10935">
        <v>116.06</v>
      </c>
      <c r="Q10935" s="37" t="str">
        <f>IF(P10935&gt;500,"High","low")</f>
        <v>low</v>
      </c>
      <c r="R10935" s="37" t="str">
        <f t="shared" si="854"/>
        <v>AVERAGE</v>
      </c>
      <c r="S10935" t="s">
        <v>620</v>
      </c>
    </row>
    <row r="10936" spans="1:19" x14ac:dyDescent="0.2">
      <c r="A10936" t="s">
        <v>11547</v>
      </c>
      <c r="B10936" t="s">
        <v>67</v>
      </c>
      <c r="C10936" t="s">
        <v>617</v>
      </c>
      <c r="D10936">
        <v>2738.75</v>
      </c>
      <c r="E10936" s="37" t="str">
        <f t="shared" si="850"/>
        <v xml:space="preserve"> </v>
      </c>
      <c r="F10936">
        <v>0.18</v>
      </c>
      <c r="G10936" s="37" t="str">
        <f t="shared" si="851"/>
        <v>Normal Discount</v>
      </c>
      <c r="H10936" s="37" t="str">
        <f t="shared" si="852"/>
        <v>Low</v>
      </c>
      <c r="I10936">
        <v>4</v>
      </c>
      <c r="J10936" t="str" cm="1">
        <f t="array" ref="J10936">_xlfn.IFS(I10936&lt;=3,"small",I10936&lt;=6,"Medium",I10936&lt;=9,"Large")</f>
        <v>Medium</v>
      </c>
      <c r="K10936" s="36">
        <v>45192</v>
      </c>
      <c r="L10936" s="36">
        <v>45194</v>
      </c>
      <c r="M10936" t="s">
        <v>603</v>
      </c>
      <c r="N10936" t="s">
        <v>604</v>
      </c>
      <c r="O10936" s="37" t="str">
        <f t="shared" si="853"/>
        <v>Digital Payment</v>
      </c>
      <c r="P10936">
        <v>593.38</v>
      </c>
      <c r="Q10936" s="37" t="str">
        <f>IF(P10936&gt;500,"High","low")</f>
        <v>High</v>
      </c>
      <c r="R10936" s="37" t="str">
        <f t="shared" si="854"/>
        <v>Good</v>
      </c>
      <c r="S10936" t="s">
        <v>600</v>
      </c>
    </row>
    <row r="10937" spans="1:19" x14ac:dyDescent="0.2">
      <c r="A10937" t="s">
        <v>11548</v>
      </c>
      <c r="B10937" t="s">
        <v>83</v>
      </c>
      <c r="C10937" t="s">
        <v>617</v>
      </c>
      <c r="D10937">
        <v>3504.46</v>
      </c>
      <c r="E10937" s="37" t="str">
        <f t="shared" si="850"/>
        <v xml:space="preserve"> </v>
      </c>
      <c r="F10937">
        <v>0.12</v>
      </c>
      <c r="G10937" s="37" t="str">
        <f t="shared" si="851"/>
        <v>Normal Discount</v>
      </c>
      <c r="H10937" s="37" t="str">
        <f t="shared" si="852"/>
        <v>Low</v>
      </c>
      <c r="I10937">
        <v>6</v>
      </c>
      <c r="J10937" t="str" cm="1">
        <f t="array" ref="J10937">_xlfn.IFS(I10937&lt;=3,"small",I10937&lt;=6,"Medium",I10937&lt;=9,"Large")</f>
        <v>Medium</v>
      </c>
      <c r="K10937" s="36">
        <v>45336</v>
      </c>
      <c r="L10937" s="36">
        <v>45342</v>
      </c>
      <c r="M10937" t="s">
        <v>603</v>
      </c>
      <c r="N10937" t="s">
        <v>604</v>
      </c>
      <c r="O10937" s="37" t="str">
        <f t="shared" si="853"/>
        <v>Digital Payment</v>
      </c>
      <c r="P10937">
        <v>207.92</v>
      </c>
      <c r="Q10937" s="37" t="str">
        <f>IF(P10937&gt;500,"High","low")</f>
        <v>low</v>
      </c>
      <c r="R10937" s="37" t="str">
        <f t="shared" si="854"/>
        <v>AVERAGE</v>
      </c>
      <c r="S10937" t="s">
        <v>620</v>
      </c>
    </row>
    <row r="10938" spans="1:19" x14ac:dyDescent="0.2">
      <c r="A10938" t="s">
        <v>11549</v>
      </c>
      <c r="B10938" t="s">
        <v>83</v>
      </c>
      <c r="C10938" t="s">
        <v>617</v>
      </c>
      <c r="D10938">
        <v>4200.58</v>
      </c>
      <c r="E10938" s="37" t="str">
        <f t="shared" si="850"/>
        <v xml:space="preserve"> </v>
      </c>
      <c r="F10938">
        <v>0.05</v>
      </c>
      <c r="G10938" s="37" t="str">
        <f t="shared" si="851"/>
        <v>Normal Discount</v>
      </c>
      <c r="H10938" s="37" t="str">
        <f t="shared" si="852"/>
        <v>Low</v>
      </c>
      <c r="I10938">
        <v>9</v>
      </c>
      <c r="J10938" t="str" cm="1">
        <f t="array" ref="J10938">_xlfn.IFS(I10938&lt;=3,"small",I10938&lt;=6,"Medium",I10938&lt;=9,"Large")</f>
        <v>Large</v>
      </c>
      <c r="K10938" s="36">
        <v>44995</v>
      </c>
      <c r="L10938" s="36">
        <v>44999</v>
      </c>
      <c r="M10938" t="s">
        <v>612</v>
      </c>
      <c r="N10938" t="s">
        <v>599</v>
      </c>
      <c r="O10938" s="37" t="str">
        <f t="shared" si="853"/>
        <v>Digital Payment</v>
      </c>
      <c r="P10938">
        <v>580.17999999999995</v>
      </c>
      <c r="Q10938" s="37" t="str">
        <f>IF(P10938&gt;500,"High","low")</f>
        <v>High</v>
      </c>
      <c r="R10938" s="37" t="str">
        <f t="shared" si="854"/>
        <v>Good</v>
      </c>
      <c r="S10938" t="s">
        <v>615</v>
      </c>
    </row>
    <row r="10939" spans="1:19" x14ac:dyDescent="0.2">
      <c r="A10939" t="s">
        <v>11550</v>
      </c>
      <c r="B10939" t="s">
        <v>75</v>
      </c>
      <c r="C10939" t="s">
        <v>607</v>
      </c>
      <c r="D10939">
        <v>2958.81</v>
      </c>
      <c r="E10939" s="37" t="str">
        <f t="shared" si="850"/>
        <v xml:space="preserve"> </v>
      </c>
      <c r="F10939">
        <v>0.16</v>
      </c>
      <c r="G10939" s="37" t="str">
        <f t="shared" si="851"/>
        <v>Normal Discount</v>
      </c>
      <c r="H10939" s="37" t="str">
        <f t="shared" si="852"/>
        <v>Low</v>
      </c>
      <c r="I10939">
        <v>1</v>
      </c>
      <c r="J10939" t="str" cm="1">
        <f t="array" ref="J10939">_xlfn.IFS(I10939&lt;=3,"small",I10939&lt;=6,"Medium",I10939&lt;=9,"Large")</f>
        <v>small</v>
      </c>
      <c r="K10939" s="36">
        <v>45525</v>
      </c>
      <c r="L10939" s="36">
        <v>45527</v>
      </c>
      <c r="M10939" t="s">
        <v>603</v>
      </c>
      <c r="N10939" t="s">
        <v>604</v>
      </c>
      <c r="O10939" s="37" t="str">
        <f t="shared" si="853"/>
        <v>Digital Payment</v>
      </c>
      <c r="P10939">
        <v>420.79</v>
      </c>
      <c r="Q10939" s="37" t="str">
        <f>IF(P10939&gt;500,"High","low")</f>
        <v>low</v>
      </c>
      <c r="R10939" s="37" t="str">
        <f t="shared" si="854"/>
        <v>AVERAGE</v>
      </c>
      <c r="S10939" t="s">
        <v>628</v>
      </c>
    </row>
    <row r="10940" spans="1:19" x14ac:dyDescent="0.2">
      <c r="A10940" t="s">
        <v>11551</v>
      </c>
      <c r="B10940" t="s">
        <v>90</v>
      </c>
      <c r="C10940" t="s">
        <v>607</v>
      </c>
      <c r="D10940">
        <v>1012.97</v>
      </c>
      <c r="E10940" s="37" t="str">
        <f t="shared" si="850"/>
        <v xml:space="preserve"> </v>
      </c>
      <c r="F10940">
        <v>0.14000000000000001</v>
      </c>
      <c r="G10940" s="37" t="str">
        <f t="shared" si="851"/>
        <v>Normal Discount</v>
      </c>
      <c r="H10940" s="37" t="str">
        <f t="shared" si="852"/>
        <v>Low</v>
      </c>
      <c r="I10940">
        <v>2</v>
      </c>
      <c r="J10940" t="str" cm="1">
        <f t="array" ref="J10940">_xlfn.IFS(I10940&lt;=3,"small",I10940&lt;=6,"Medium",I10940&lt;=9,"Large")</f>
        <v>small</v>
      </c>
      <c r="K10940" s="36">
        <v>45255</v>
      </c>
      <c r="L10940" s="36">
        <v>45262</v>
      </c>
      <c r="M10940" t="s">
        <v>598</v>
      </c>
      <c r="N10940" t="s">
        <v>599</v>
      </c>
      <c r="O10940" s="37" t="str">
        <f t="shared" si="853"/>
        <v>Digital Payment</v>
      </c>
      <c r="P10940">
        <v>106.99</v>
      </c>
      <c r="Q10940" s="37" t="str">
        <f>IF(P10940&gt;500,"High","low")</f>
        <v>low</v>
      </c>
      <c r="R10940" s="37" t="str">
        <f t="shared" si="854"/>
        <v>AVERAGE</v>
      </c>
      <c r="S10940" t="s">
        <v>605</v>
      </c>
    </row>
    <row r="10941" spans="1:19" x14ac:dyDescent="0.2">
      <c r="A10941" t="s">
        <v>11552</v>
      </c>
      <c r="B10941" t="s">
        <v>83</v>
      </c>
      <c r="C10941" t="s">
        <v>607</v>
      </c>
      <c r="D10941">
        <v>4826.2299999999996</v>
      </c>
      <c r="E10941" s="37" t="str">
        <f t="shared" si="850"/>
        <v xml:space="preserve"> </v>
      </c>
      <c r="F10941">
        <v>0.28999999999999998</v>
      </c>
      <c r="G10941" s="37" t="str">
        <f t="shared" si="851"/>
        <v>Normal Discount</v>
      </c>
      <c r="H10941" s="37" t="str">
        <f t="shared" si="852"/>
        <v>Medium</v>
      </c>
      <c r="I10941">
        <v>6</v>
      </c>
      <c r="J10941" t="str" cm="1">
        <f t="array" ref="J10941">_xlfn.IFS(I10941&lt;=3,"small",I10941&lt;=6,"Medium",I10941&lt;=9,"Large")</f>
        <v>Medium</v>
      </c>
      <c r="K10941" s="36">
        <v>45023</v>
      </c>
      <c r="L10941" s="36">
        <v>45024</v>
      </c>
      <c r="M10941" t="s">
        <v>603</v>
      </c>
      <c r="N10941" t="s">
        <v>608</v>
      </c>
      <c r="O10941" s="37" t="str">
        <f t="shared" si="853"/>
        <v>Cash Payment</v>
      </c>
      <c r="P10941">
        <v>757.27</v>
      </c>
      <c r="Q10941" s="37" t="str">
        <f>IF(P10941&gt;500,"High","low")</f>
        <v>High</v>
      </c>
      <c r="R10941" s="37" t="str">
        <f t="shared" si="854"/>
        <v>Good</v>
      </c>
      <c r="S10941" t="s">
        <v>605</v>
      </c>
    </row>
    <row r="10942" spans="1:19" x14ac:dyDescent="0.2">
      <c r="A10942" t="s">
        <v>11553</v>
      </c>
      <c r="B10942" t="s">
        <v>75</v>
      </c>
      <c r="C10942" t="s">
        <v>597</v>
      </c>
      <c r="D10942">
        <v>563.79</v>
      </c>
      <c r="E10942" s="37" t="str">
        <f t="shared" si="850"/>
        <v xml:space="preserve"> </v>
      </c>
      <c r="F10942">
        <v>0.18</v>
      </c>
      <c r="G10942" s="37" t="str">
        <f t="shared" si="851"/>
        <v>Normal Discount</v>
      </c>
      <c r="H10942" s="37" t="str">
        <f t="shared" si="852"/>
        <v>Low</v>
      </c>
      <c r="I10942">
        <v>7</v>
      </c>
      <c r="J10942" t="str" cm="1">
        <f t="array" ref="J10942">_xlfn.IFS(I10942&lt;=3,"small",I10942&lt;=6,"Medium",I10942&lt;=9,"Large")</f>
        <v>Large</v>
      </c>
      <c r="K10942" s="36">
        <v>45180</v>
      </c>
      <c r="L10942" s="36">
        <v>45181</v>
      </c>
      <c r="M10942" t="s">
        <v>598</v>
      </c>
      <c r="N10942" t="s">
        <v>599</v>
      </c>
      <c r="O10942" s="37" t="str">
        <f t="shared" si="853"/>
        <v>Digital Payment</v>
      </c>
      <c r="P10942">
        <v>54.65</v>
      </c>
      <c r="Q10942" s="37" t="str">
        <f>IF(P10942&gt;500,"High","low")</f>
        <v>low</v>
      </c>
      <c r="R10942" s="37" t="str">
        <f t="shared" si="854"/>
        <v>AVERAGE</v>
      </c>
      <c r="S10942" t="s">
        <v>609</v>
      </c>
    </row>
    <row r="10943" spans="1:19" x14ac:dyDescent="0.2">
      <c r="A10943" t="s">
        <v>11554</v>
      </c>
      <c r="B10943" t="s">
        <v>67</v>
      </c>
      <c r="C10943" t="s">
        <v>602</v>
      </c>
      <c r="D10943">
        <v>3868.1</v>
      </c>
      <c r="E10943" s="37" t="str">
        <f t="shared" si="850"/>
        <v xml:space="preserve"> </v>
      </c>
      <c r="F10943">
        <v>0.12</v>
      </c>
      <c r="G10943" s="37" t="str">
        <f t="shared" si="851"/>
        <v>Normal Discount</v>
      </c>
      <c r="H10943" s="37" t="str">
        <f t="shared" si="852"/>
        <v>Low</v>
      </c>
      <c r="I10943">
        <v>3</v>
      </c>
      <c r="J10943" t="str" cm="1">
        <f t="array" ref="J10943">_xlfn.IFS(I10943&lt;=3,"small",I10943&lt;=6,"Medium",I10943&lt;=9,"Large")</f>
        <v>small</v>
      </c>
      <c r="K10943" s="36">
        <v>45440</v>
      </c>
      <c r="L10943" s="36">
        <v>45443</v>
      </c>
      <c r="M10943" t="s">
        <v>598</v>
      </c>
      <c r="N10943" t="s">
        <v>604</v>
      </c>
      <c r="O10943" s="37" t="str">
        <f t="shared" si="853"/>
        <v>Digital Payment</v>
      </c>
      <c r="P10943">
        <v>924.07</v>
      </c>
      <c r="Q10943" s="37" t="str">
        <f>IF(P10943&gt;500,"High","low")</f>
        <v>High</v>
      </c>
      <c r="R10943" s="37" t="str">
        <f t="shared" si="854"/>
        <v>Good</v>
      </c>
      <c r="S10943" t="s">
        <v>609</v>
      </c>
    </row>
    <row r="10944" spans="1:19" x14ac:dyDescent="0.2">
      <c r="A10944" t="s">
        <v>11555</v>
      </c>
      <c r="B10944" t="s">
        <v>67</v>
      </c>
      <c r="C10944" t="s">
        <v>614</v>
      </c>
      <c r="D10944">
        <v>524.14</v>
      </c>
      <c r="E10944" s="37" t="str">
        <f t="shared" si="850"/>
        <v xml:space="preserve"> </v>
      </c>
      <c r="F10944">
        <v>0.31</v>
      </c>
      <c r="G10944" s="37" t="str">
        <f t="shared" si="851"/>
        <v>Heavy Discount</v>
      </c>
      <c r="H10944" s="37" t="str">
        <f t="shared" si="852"/>
        <v>Medium</v>
      </c>
      <c r="I10944">
        <v>1</v>
      </c>
      <c r="J10944" t="str" cm="1">
        <f t="array" ref="J10944">_xlfn.IFS(I10944&lt;=3,"small",I10944&lt;=6,"Medium",I10944&lt;=9,"Large")</f>
        <v>small</v>
      </c>
      <c r="K10944" s="36">
        <v>45224</v>
      </c>
      <c r="L10944" s="36">
        <v>45227</v>
      </c>
      <c r="M10944" t="s">
        <v>598</v>
      </c>
      <c r="N10944" t="s">
        <v>599</v>
      </c>
      <c r="O10944" s="37" t="str">
        <f t="shared" si="853"/>
        <v>Digital Payment</v>
      </c>
      <c r="P10944">
        <v>135.55000000000001</v>
      </c>
      <c r="Q10944" s="37" t="str">
        <f>IF(P10944&gt;500,"High","low")</f>
        <v>low</v>
      </c>
      <c r="R10944" s="37" t="str">
        <f t="shared" si="854"/>
        <v>AVERAGE</v>
      </c>
      <c r="S10944" t="s">
        <v>615</v>
      </c>
    </row>
    <row r="10945" spans="1:19" x14ac:dyDescent="0.2">
      <c r="A10945" t="s">
        <v>11556</v>
      </c>
      <c r="B10945" t="s">
        <v>75</v>
      </c>
      <c r="C10945" t="s">
        <v>607</v>
      </c>
      <c r="D10945">
        <v>802.75</v>
      </c>
      <c r="E10945" s="37" t="str">
        <f t="shared" si="850"/>
        <v xml:space="preserve"> </v>
      </c>
      <c r="F10945">
        <v>0.16</v>
      </c>
      <c r="G10945" s="37" t="str">
        <f t="shared" si="851"/>
        <v>Normal Discount</v>
      </c>
      <c r="H10945" s="37" t="str">
        <f t="shared" si="852"/>
        <v>Low</v>
      </c>
      <c r="I10945">
        <v>7</v>
      </c>
      <c r="J10945" t="str" cm="1">
        <f t="array" ref="J10945">_xlfn.IFS(I10945&lt;=3,"small",I10945&lt;=6,"Medium",I10945&lt;=9,"Large")</f>
        <v>Large</v>
      </c>
      <c r="K10945" s="36">
        <v>45122</v>
      </c>
      <c r="L10945" s="36">
        <v>45125</v>
      </c>
      <c r="M10945" t="s">
        <v>598</v>
      </c>
      <c r="N10945" t="s">
        <v>604</v>
      </c>
      <c r="O10945" s="37" t="str">
        <f t="shared" si="853"/>
        <v>Digital Payment</v>
      </c>
      <c r="P10945">
        <v>227.66</v>
      </c>
      <c r="Q10945" s="37" t="str">
        <f>IF(P10945&gt;500,"High","low")</f>
        <v>low</v>
      </c>
      <c r="R10945" s="37" t="str">
        <f t="shared" si="854"/>
        <v>AVERAGE</v>
      </c>
      <c r="S10945" t="s">
        <v>628</v>
      </c>
    </row>
    <row r="10946" spans="1:19" x14ac:dyDescent="0.2">
      <c r="A10946" t="s">
        <v>11557</v>
      </c>
      <c r="B10946" t="s">
        <v>90</v>
      </c>
      <c r="C10946" t="s">
        <v>602</v>
      </c>
      <c r="D10946">
        <v>4501.26</v>
      </c>
      <c r="E10946" s="37" t="str">
        <f t="shared" si="850"/>
        <v xml:space="preserve"> </v>
      </c>
      <c r="F10946">
        <v>0.18</v>
      </c>
      <c r="G10946" s="37" t="str">
        <f t="shared" si="851"/>
        <v>Normal Discount</v>
      </c>
      <c r="H10946" s="37" t="str">
        <f t="shared" si="852"/>
        <v>Low</v>
      </c>
      <c r="I10946">
        <v>2</v>
      </c>
      <c r="J10946" t="str" cm="1">
        <f t="array" ref="J10946">_xlfn.IFS(I10946&lt;=3,"small",I10946&lt;=6,"Medium",I10946&lt;=9,"Large")</f>
        <v>small</v>
      </c>
      <c r="K10946" s="36">
        <v>45576</v>
      </c>
      <c r="L10946" s="36">
        <v>45580</v>
      </c>
      <c r="M10946" t="s">
        <v>603</v>
      </c>
      <c r="N10946" t="s">
        <v>599</v>
      </c>
      <c r="O10946" s="37" t="str">
        <f t="shared" si="853"/>
        <v>Digital Payment</v>
      </c>
      <c r="P10946">
        <v>240.96</v>
      </c>
      <c r="Q10946" s="37" t="str">
        <f>IF(P10946&gt;500,"High","low")</f>
        <v>low</v>
      </c>
      <c r="R10946" s="37" t="str">
        <f t="shared" si="854"/>
        <v>AVERAGE</v>
      </c>
      <c r="S10946" t="s">
        <v>600</v>
      </c>
    </row>
    <row r="10947" spans="1:19" x14ac:dyDescent="0.2">
      <c r="A10947" t="s">
        <v>11558</v>
      </c>
      <c r="B10947" t="s">
        <v>75</v>
      </c>
      <c r="C10947" t="s">
        <v>607</v>
      </c>
      <c r="D10947">
        <v>3790.07</v>
      </c>
      <c r="E10947" s="37" t="str">
        <f t="shared" ref="E10947:E11010" si="855">IF(AND(D10947&gt;4000,P10947&gt;800),"Excellent Order"," ")</f>
        <v xml:space="preserve"> </v>
      </c>
      <c r="F10947">
        <v>0.3</v>
      </c>
      <c r="G10947" s="37" t="str">
        <f t="shared" ref="G10947:G11010" si="856">IF(F10947&gt;30%,"Heavy Discount","Normal Discount")</f>
        <v>Normal Discount</v>
      </c>
      <c r="H10947" s="37" t="str">
        <f t="shared" ref="H10947:H11010" si="857">IF(F10947&gt;0.4,"High",IF(F10947&gt;=0.2,"Medium","Low"))</f>
        <v>Medium</v>
      </c>
      <c r="I10947">
        <v>6</v>
      </c>
      <c r="J10947" t="str" cm="1">
        <f t="array" ref="J10947">_xlfn.IFS(I10947&lt;=3,"small",I10947&lt;=6,"Medium",I10947&lt;=9,"Large")</f>
        <v>Medium</v>
      </c>
      <c r="K10947" s="36">
        <v>45469</v>
      </c>
      <c r="L10947" s="36">
        <v>45470</v>
      </c>
      <c r="M10947" t="s">
        <v>612</v>
      </c>
      <c r="N10947" t="s">
        <v>599</v>
      </c>
      <c r="O10947" s="37" t="str">
        <f t="shared" ref="O10947:O11010" si="858">IF(OR(N10947="Card",N10947="UPI"),"Digital Payment","Cash Payment")</f>
        <v>Digital Payment</v>
      </c>
      <c r="P10947">
        <v>700.02</v>
      </c>
      <c r="Q10947" s="37" t="str">
        <f>IF(P10947&gt;500,"High","low")</f>
        <v>High</v>
      </c>
      <c r="R10947" s="37" t="str">
        <f t="shared" ref="R10947:R11010" si="859">IF(P10947&gt;1000,"Excellent",IF(P10947&gt;=500,"Good","AVERAGE"))</f>
        <v>Good</v>
      </c>
      <c r="S10947" t="s">
        <v>628</v>
      </c>
    </row>
    <row r="10948" spans="1:19" x14ac:dyDescent="0.2">
      <c r="A10948" t="s">
        <v>11559</v>
      </c>
      <c r="B10948" t="s">
        <v>75</v>
      </c>
      <c r="C10948" t="s">
        <v>614</v>
      </c>
      <c r="D10948">
        <v>1890.99</v>
      </c>
      <c r="E10948" s="37" t="str">
        <f t="shared" si="855"/>
        <v xml:space="preserve"> </v>
      </c>
      <c r="F10948">
        <v>0.06</v>
      </c>
      <c r="G10948" s="37" t="str">
        <f t="shared" si="856"/>
        <v>Normal Discount</v>
      </c>
      <c r="H10948" s="37" t="str">
        <f t="shared" si="857"/>
        <v>Low</v>
      </c>
      <c r="I10948">
        <v>4</v>
      </c>
      <c r="J10948" t="str" cm="1">
        <f t="array" ref="J10948">_xlfn.IFS(I10948&lt;=3,"small",I10948&lt;=6,"Medium",I10948&lt;=9,"Large")</f>
        <v>Medium</v>
      </c>
      <c r="K10948" s="36">
        <v>45645</v>
      </c>
      <c r="L10948" s="36">
        <v>45649</v>
      </c>
      <c r="M10948" t="s">
        <v>598</v>
      </c>
      <c r="N10948" t="s">
        <v>604</v>
      </c>
      <c r="O10948" s="37" t="str">
        <f t="shared" si="858"/>
        <v>Digital Payment</v>
      </c>
      <c r="P10948">
        <v>193.4</v>
      </c>
      <c r="Q10948" s="37" t="str">
        <f>IF(P10948&gt;500,"High","low")</f>
        <v>low</v>
      </c>
      <c r="R10948" s="37" t="str">
        <f t="shared" si="859"/>
        <v>AVERAGE</v>
      </c>
      <c r="S10948" t="s">
        <v>600</v>
      </c>
    </row>
    <row r="10949" spans="1:19" x14ac:dyDescent="0.2">
      <c r="A10949" t="s">
        <v>11560</v>
      </c>
      <c r="B10949" t="s">
        <v>83</v>
      </c>
      <c r="C10949" t="s">
        <v>607</v>
      </c>
      <c r="D10949">
        <v>3229.75</v>
      </c>
      <c r="E10949" s="37" t="str">
        <f t="shared" si="855"/>
        <v xml:space="preserve"> </v>
      </c>
      <c r="F10949">
        <v>0.39</v>
      </c>
      <c r="G10949" s="37" t="str">
        <f t="shared" si="856"/>
        <v>Heavy Discount</v>
      </c>
      <c r="H10949" s="37" t="str">
        <f t="shared" si="857"/>
        <v>Medium</v>
      </c>
      <c r="I10949">
        <v>4</v>
      </c>
      <c r="J10949" t="str" cm="1">
        <f t="array" ref="J10949">_xlfn.IFS(I10949&lt;=3,"small",I10949&lt;=6,"Medium",I10949&lt;=9,"Large")</f>
        <v>Medium</v>
      </c>
      <c r="K10949" s="36">
        <v>45395</v>
      </c>
      <c r="L10949" s="36">
        <v>45396</v>
      </c>
      <c r="M10949" t="s">
        <v>612</v>
      </c>
      <c r="N10949" t="s">
        <v>599</v>
      </c>
      <c r="O10949" s="37" t="str">
        <f t="shared" si="858"/>
        <v>Digital Payment</v>
      </c>
      <c r="P10949">
        <v>590.05999999999995</v>
      </c>
      <c r="Q10949" s="37" t="str">
        <f>IF(P10949&gt;500,"High","low")</f>
        <v>High</v>
      </c>
      <c r="R10949" s="37" t="str">
        <f t="shared" si="859"/>
        <v>Good</v>
      </c>
      <c r="S10949" t="s">
        <v>605</v>
      </c>
    </row>
    <row r="10950" spans="1:19" x14ac:dyDescent="0.2">
      <c r="A10950" t="s">
        <v>11561</v>
      </c>
      <c r="B10950" t="s">
        <v>75</v>
      </c>
      <c r="C10950" t="s">
        <v>602</v>
      </c>
      <c r="D10950">
        <v>2340.5100000000002</v>
      </c>
      <c r="E10950" s="37" t="str">
        <f t="shared" si="855"/>
        <v xml:space="preserve"> </v>
      </c>
      <c r="F10950">
        <v>0.48</v>
      </c>
      <c r="G10950" s="37" t="str">
        <f t="shared" si="856"/>
        <v>Heavy Discount</v>
      </c>
      <c r="H10950" s="37" t="str">
        <f t="shared" si="857"/>
        <v>High</v>
      </c>
      <c r="I10950">
        <v>9</v>
      </c>
      <c r="J10950" t="str" cm="1">
        <f t="array" ref="J10950">_xlfn.IFS(I10950&lt;=3,"small",I10950&lt;=6,"Medium",I10950&lt;=9,"Large")</f>
        <v>Large</v>
      </c>
      <c r="K10950" s="36">
        <v>45444</v>
      </c>
      <c r="L10950" s="36">
        <v>45451</v>
      </c>
      <c r="M10950" t="s">
        <v>612</v>
      </c>
      <c r="N10950" t="s">
        <v>604</v>
      </c>
      <c r="O10950" s="37" t="str">
        <f t="shared" si="858"/>
        <v>Digital Payment</v>
      </c>
      <c r="P10950">
        <v>158.44</v>
      </c>
      <c r="Q10950" s="37" t="str">
        <f>IF(P10950&gt;500,"High","low")</f>
        <v>low</v>
      </c>
      <c r="R10950" s="37" t="str">
        <f t="shared" si="859"/>
        <v>AVERAGE</v>
      </c>
      <c r="S10950" t="s">
        <v>600</v>
      </c>
    </row>
    <row r="10951" spans="1:19" x14ac:dyDescent="0.2">
      <c r="A10951" t="s">
        <v>11562</v>
      </c>
      <c r="B10951" t="s">
        <v>75</v>
      </c>
      <c r="C10951" t="s">
        <v>597</v>
      </c>
      <c r="D10951">
        <v>426.04</v>
      </c>
      <c r="E10951" s="37" t="str">
        <f t="shared" si="855"/>
        <v xml:space="preserve"> </v>
      </c>
      <c r="F10951">
        <v>0.25</v>
      </c>
      <c r="G10951" s="37" t="str">
        <f t="shared" si="856"/>
        <v>Normal Discount</v>
      </c>
      <c r="H10951" s="37" t="str">
        <f t="shared" si="857"/>
        <v>Medium</v>
      </c>
      <c r="I10951">
        <v>7</v>
      </c>
      <c r="J10951" t="str" cm="1">
        <f t="array" ref="J10951">_xlfn.IFS(I10951&lt;=3,"small",I10951&lt;=6,"Medium",I10951&lt;=9,"Large")</f>
        <v>Large</v>
      </c>
      <c r="K10951" s="36">
        <v>44991</v>
      </c>
      <c r="L10951" s="36">
        <v>44997</v>
      </c>
      <c r="M10951" t="s">
        <v>598</v>
      </c>
      <c r="N10951" t="s">
        <v>604</v>
      </c>
      <c r="O10951" s="37" t="str">
        <f t="shared" si="858"/>
        <v>Digital Payment</v>
      </c>
      <c r="P10951">
        <v>102.81</v>
      </c>
      <c r="Q10951" s="37" t="str">
        <f>IF(P10951&gt;500,"High","low")</f>
        <v>low</v>
      </c>
      <c r="R10951" s="37" t="str">
        <f t="shared" si="859"/>
        <v>AVERAGE</v>
      </c>
      <c r="S10951" t="s">
        <v>605</v>
      </c>
    </row>
    <row r="10952" spans="1:19" x14ac:dyDescent="0.2">
      <c r="A10952" t="s">
        <v>11563</v>
      </c>
      <c r="B10952" t="s">
        <v>67</v>
      </c>
      <c r="C10952" t="s">
        <v>614</v>
      </c>
      <c r="D10952">
        <v>3633.53</v>
      </c>
      <c r="E10952" s="37" t="str">
        <f t="shared" si="855"/>
        <v xml:space="preserve"> </v>
      </c>
      <c r="F10952">
        <v>0.28000000000000003</v>
      </c>
      <c r="G10952" s="37" t="str">
        <f t="shared" si="856"/>
        <v>Normal Discount</v>
      </c>
      <c r="H10952" s="37" t="str">
        <f t="shared" si="857"/>
        <v>Medium</v>
      </c>
      <c r="I10952">
        <v>1</v>
      </c>
      <c r="J10952" t="str" cm="1">
        <f t="array" ref="J10952">_xlfn.IFS(I10952&lt;=3,"small",I10952&lt;=6,"Medium",I10952&lt;=9,"Large")</f>
        <v>small</v>
      </c>
      <c r="K10952" s="36">
        <v>45640</v>
      </c>
      <c r="L10952" s="36">
        <v>45643</v>
      </c>
      <c r="M10952" t="s">
        <v>598</v>
      </c>
      <c r="N10952" t="s">
        <v>608</v>
      </c>
      <c r="O10952" s="37" t="str">
        <f t="shared" si="858"/>
        <v>Cash Payment</v>
      </c>
      <c r="P10952">
        <v>449.55</v>
      </c>
      <c r="Q10952" s="37" t="str">
        <f>IF(P10952&gt;500,"High","low")</f>
        <v>low</v>
      </c>
      <c r="R10952" s="37" t="str">
        <f t="shared" si="859"/>
        <v>AVERAGE</v>
      </c>
      <c r="S10952" t="s">
        <v>600</v>
      </c>
    </row>
    <row r="10953" spans="1:19" x14ac:dyDescent="0.2">
      <c r="A10953" t="s">
        <v>11564</v>
      </c>
      <c r="B10953" t="s">
        <v>83</v>
      </c>
      <c r="C10953" t="s">
        <v>602</v>
      </c>
      <c r="D10953">
        <v>3839.95</v>
      </c>
      <c r="E10953" s="37" t="str">
        <f t="shared" si="855"/>
        <v xml:space="preserve"> </v>
      </c>
      <c r="F10953">
        <v>0.19</v>
      </c>
      <c r="G10953" s="37" t="str">
        <f t="shared" si="856"/>
        <v>Normal Discount</v>
      </c>
      <c r="H10953" s="37" t="str">
        <f t="shared" si="857"/>
        <v>Low</v>
      </c>
      <c r="I10953">
        <v>4</v>
      </c>
      <c r="J10953" t="str" cm="1">
        <f t="array" ref="J10953">_xlfn.IFS(I10953&lt;=3,"small",I10953&lt;=6,"Medium",I10953&lt;=9,"Large")</f>
        <v>Medium</v>
      </c>
      <c r="K10953" s="36">
        <v>45430</v>
      </c>
      <c r="L10953" s="36">
        <v>45433</v>
      </c>
      <c r="M10953" t="s">
        <v>612</v>
      </c>
      <c r="N10953" t="s">
        <v>604</v>
      </c>
      <c r="O10953" s="37" t="str">
        <f t="shared" si="858"/>
        <v>Digital Payment</v>
      </c>
      <c r="P10953">
        <v>736</v>
      </c>
      <c r="Q10953" s="37" t="str">
        <f>IF(P10953&gt;500,"High","low")</f>
        <v>High</v>
      </c>
      <c r="R10953" s="37" t="str">
        <f t="shared" si="859"/>
        <v>Good</v>
      </c>
      <c r="S10953" t="s">
        <v>628</v>
      </c>
    </row>
    <row r="10954" spans="1:19" x14ac:dyDescent="0.2">
      <c r="A10954" t="s">
        <v>11565</v>
      </c>
      <c r="B10954" t="s">
        <v>67</v>
      </c>
      <c r="C10954" t="s">
        <v>617</v>
      </c>
      <c r="D10954">
        <v>4423.47</v>
      </c>
      <c r="E10954" s="37" t="str">
        <f t="shared" si="855"/>
        <v>Excellent Order</v>
      </c>
      <c r="F10954">
        <v>0.48</v>
      </c>
      <c r="G10954" s="37" t="str">
        <f t="shared" si="856"/>
        <v>Heavy Discount</v>
      </c>
      <c r="H10954" s="37" t="str">
        <f t="shared" si="857"/>
        <v>High</v>
      </c>
      <c r="I10954">
        <v>6</v>
      </c>
      <c r="J10954" t="str" cm="1">
        <f t="array" ref="J10954">_xlfn.IFS(I10954&lt;=3,"small",I10954&lt;=6,"Medium",I10954&lt;=9,"Large")</f>
        <v>Medium</v>
      </c>
      <c r="K10954" s="36">
        <v>45319</v>
      </c>
      <c r="L10954" s="36">
        <v>45321</v>
      </c>
      <c r="M10954" t="s">
        <v>612</v>
      </c>
      <c r="N10954" t="s">
        <v>608</v>
      </c>
      <c r="O10954" s="37" t="str">
        <f t="shared" si="858"/>
        <v>Cash Payment</v>
      </c>
      <c r="P10954">
        <v>1102.06</v>
      </c>
      <c r="Q10954" s="37" t="str">
        <f>IF(P10954&gt;500,"High","low")</f>
        <v>High</v>
      </c>
      <c r="R10954" s="37" t="str">
        <f t="shared" si="859"/>
        <v>Excellent</v>
      </c>
      <c r="S10954" t="s">
        <v>600</v>
      </c>
    </row>
    <row r="10955" spans="1:19" x14ac:dyDescent="0.2">
      <c r="A10955" t="s">
        <v>11566</v>
      </c>
      <c r="B10955" t="s">
        <v>67</v>
      </c>
      <c r="C10955" t="s">
        <v>617</v>
      </c>
      <c r="D10955">
        <v>2749.12</v>
      </c>
      <c r="E10955" s="37" t="str">
        <f t="shared" si="855"/>
        <v xml:space="preserve"> </v>
      </c>
      <c r="F10955">
        <v>7.0000000000000007E-2</v>
      </c>
      <c r="G10955" s="37" t="str">
        <f t="shared" si="856"/>
        <v>Normal Discount</v>
      </c>
      <c r="H10955" s="37" t="str">
        <f t="shared" si="857"/>
        <v>Low</v>
      </c>
      <c r="I10955">
        <v>2</v>
      </c>
      <c r="J10955" t="str" cm="1">
        <f t="array" ref="J10955">_xlfn.IFS(I10955&lt;=3,"small",I10955&lt;=6,"Medium",I10955&lt;=9,"Large")</f>
        <v>small</v>
      </c>
      <c r="K10955" s="36">
        <v>45519</v>
      </c>
      <c r="L10955" s="36">
        <v>45525</v>
      </c>
      <c r="M10955" t="s">
        <v>603</v>
      </c>
      <c r="N10955" t="s">
        <v>608</v>
      </c>
      <c r="O10955" s="37" t="str">
        <f t="shared" si="858"/>
        <v>Cash Payment</v>
      </c>
      <c r="P10955">
        <v>435.84</v>
      </c>
      <c r="Q10955" s="37" t="str">
        <f>IF(P10955&gt;500,"High","low")</f>
        <v>low</v>
      </c>
      <c r="R10955" s="37" t="str">
        <f t="shared" si="859"/>
        <v>AVERAGE</v>
      </c>
      <c r="S10955" t="s">
        <v>605</v>
      </c>
    </row>
    <row r="10956" spans="1:19" x14ac:dyDescent="0.2">
      <c r="A10956" t="s">
        <v>11567</v>
      </c>
      <c r="B10956" t="s">
        <v>90</v>
      </c>
      <c r="C10956" t="s">
        <v>617</v>
      </c>
      <c r="D10956">
        <v>3398.38</v>
      </c>
      <c r="E10956" s="37" t="str">
        <f t="shared" si="855"/>
        <v xml:space="preserve"> </v>
      </c>
      <c r="F10956">
        <v>0.41</v>
      </c>
      <c r="G10956" s="37" t="str">
        <f t="shared" si="856"/>
        <v>Heavy Discount</v>
      </c>
      <c r="H10956" s="37" t="str">
        <f t="shared" si="857"/>
        <v>High</v>
      </c>
      <c r="I10956">
        <v>4</v>
      </c>
      <c r="J10956" t="str" cm="1">
        <f t="array" ref="J10956">_xlfn.IFS(I10956&lt;=3,"small",I10956&lt;=6,"Medium",I10956&lt;=9,"Large")</f>
        <v>Medium</v>
      </c>
      <c r="K10956" s="36">
        <v>45376</v>
      </c>
      <c r="L10956" s="36">
        <v>45382</v>
      </c>
      <c r="M10956" t="s">
        <v>598</v>
      </c>
      <c r="N10956" t="s">
        <v>599</v>
      </c>
      <c r="O10956" s="37" t="str">
        <f t="shared" si="858"/>
        <v>Digital Payment</v>
      </c>
      <c r="P10956">
        <v>1013.44</v>
      </c>
      <c r="Q10956" s="37" t="str">
        <f>IF(P10956&gt;500,"High","low")</f>
        <v>High</v>
      </c>
      <c r="R10956" s="37" t="str">
        <f t="shared" si="859"/>
        <v>Excellent</v>
      </c>
      <c r="S10956" t="s">
        <v>628</v>
      </c>
    </row>
    <row r="10957" spans="1:19" x14ac:dyDescent="0.2">
      <c r="A10957" t="s">
        <v>11568</v>
      </c>
      <c r="B10957" t="s">
        <v>90</v>
      </c>
      <c r="C10957" t="s">
        <v>597</v>
      </c>
      <c r="D10957">
        <v>2246.4499999999998</v>
      </c>
      <c r="E10957" s="37" t="str">
        <f t="shared" si="855"/>
        <v xml:space="preserve"> </v>
      </c>
      <c r="F10957">
        <v>0.33</v>
      </c>
      <c r="G10957" s="37" t="str">
        <f t="shared" si="856"/>
        <v>Heavy Discount</v>
      </c>
      <c r="H10957" s="37" t="str">
        <f t="shared" si="857"/>
        <v>Medium</v>
      </c>
      <c r="I10957">
        <v>2</v>
      </c>
      <c r="J10957" t="str" cm="1">
        <f t="array" ref="J10957">_xlfn.IFS(I10957&lt;=3,"small",I10957&lt;=6,"Medium",I10957&lt;=9,"Large")</f>
        <v>small</v>
      </c>
      <c r="K10957" s="36">
        <v>45262</v>
      </c>
      <c r="L10957" s="36">
        <v>45268</v>
      </c>
      <c r="M10957" t="s">
        <v>603</v>
      </c>
      <c r="N10957" t="s">
        <v>608</v>
      </c>
      <c r="O10957" s="37" t="str">
        <f t="shared" si="858"/>
        <v>Cash Payment</v>
      </c>
      <c r="P10957">
        <v>564.53</v>
      </c>
      <c r="Q10957" s="37" t="str">
        <f>IF(P10957&gt;500,"High","low")</f>
        <v>High</v>
      </c>
      <c r="R10957" s="37" t="str">
        <f t="shared" si="859"/>
        <v>Good</v>
      </c>
      <c r="S10957" t="s">
        <v>620</v>
      </c>
    </row>
    <row r="10958" spans="1:19" x14ac:dyDescent="0.2">
      <c r="A10958" t="s">
        <v>11569</v>
      </c>
      <c r="B10958" t="s">
        <v>83</v>
      </c>
      <c r="C10958" t="s">
        <v>607</v>
      </c>
      <c r="D10958">
        <v>1662.66</v>
      </c>
      <c r="E10958" s="37" t="str">
        <f t="shared" si="855"/>
        <v xml:space="preserve"> </v>
      </c>
      <c r="F10958">
        <v>0.4</v>
      </c>
      <c r="G10958" s="37" t="str">
        <f t="shared" si="856"/>
        <v>Heavy Discount</v>
      </c>
      <c r="H10958" s="37" t="str">
        <f t="shared" si="857"/>
        <v>Medium</v>
      </c>
      <c r="I10958">
        <v>1</v>
      </c>
      <c r="J10958" t="str" cm="1">
        <f t="array" ref="J10958">_xlfn.IFS(I10958&lt;=3,"small",I10958&lt;=6,"Medium",I10958&lt;=9,"Large")</f>
        <v>small</v>
      </c>
      <c r="K10958" s="36">
        <v>45497</v>
      </c>
      <c r="L10958" s="36">
        <v>45500</v>
      </c>
      <c r="M10958" t="s">
        <v>598</v>
      </c>
      <c r="N10958" t="s">
        <v>608</v>
      </c>
      <c r="O10958" s="37" t="str">
        <f t="shared" si="858"/>
        <v>Cash Payment</v>
      </c>
      <c r="P10958">
        <v>259.22000000000003</v>
      </c>
      <c r="Q10958" s="37" t="str">
        <f>IF(P10958&gt;500,"High","low")</f>
        <v>low</v>
      </c>
      <c r="R10958" s="37" t="str">
        <f t="shared" si="859"/>
        <v>AVERAGE</v>
      </c>
      <c r="S10958" t="s">
        <v>609</v>
      </c>
    </row>
    <row r="10959" spans="1:19" x14ac:dyDescent="0.2">
      <c r="A10959" t="s">
        <v>11570</v>
      </c>
      <c r="B10959" t="s">
        <v>83</v>
      </c>
      <c r="C10959" t="s">
        <v>607</v>
      </c>
      <c r="D10959">
        <v>2117.33</v>
      </c>
      <c r="E10959" s="37" t="str">
        <f t="shared" si="855"/>
        <v xml:space="preserve"> </v>
      </c>
      <c r="F10959">
        <v>0.48</v>
      </c>
      <c r="G10959" s="37" t="str">
        <f t="shared" si="856"/>
        <v>Heavy Discount</v>
      </c>
      <c r="H10959" s="37" t="str">
        <f t="shared" si="857"/>
        <v>High</v>
      </c>
      <c r="I10959">
        <v>1</v>
      </c>
      <c r="J10959" t="str" cm="1">
        <f t="array" ref="J10959">_xlfn.IFS(I10959&lt;=3,"small",I10959&lt;=6,"Medium",I10959&lt;=9,"Large")</f>
        <v>small</v>
      </c>
      <c r="K10959" s="36">
        <v>45169</v>
      </c>
      <c r="L10959" s="36">
        <v>45172</v>
      </c>
      <c r="M10959" t="s">
        <v>612</v>
      </c>
      <c r="N10959" t="s">
        <v>604</v>
      </c>
      <c r="O10959" s="37" t="str">
        <f t="shared" si="858"/>
        <v>Digital Payment</v>
      </c>
      <c r="P10959">
        <v>478.84</v>
      </c>
      <c r="Q10959" s="37" t="str">
        <f>IF(P10959&gt;500,"High","low")</f>
        <v>low</v>
      </c>
      <c r="R10959" s="37" t="str">
        <f t="shared" si="859"/>
        <v>AVERAGE</v>
      </c>
      <c r="S10959" t="s">
        <v>605</v>
      </c>
    </row>
    <row r="10960" spans="1:19" x14ac:dyDescent="0.2">
      <c r="A10960" t="s">
        <v>11571</v>
      </c>
      <c r="B10960" t="s">
        <v>90</v>
      </c>
      <c r="C10960" t="s">
        <v>607</v>
      </c>
      <c r="D10960">
        <v>4567.59</v>
      </c>
      <c r="E10960" s="37" t="str">
        <f t="shared" si="855"/>
        <v>Excellent Order</v>
      </c>
      <c r="F10960">
        <v>0.25</v>
      </c>
      <c r="G10960" s="37" t="str">
        <f t="shared" si="856"/>
        <v>Normal Discount</v>
      </c>
      <c r="H10960" s="37" t="str">
        <f t="shared" si="857"/>
        <v>Medium</v>
      </c>
      <c r="I10960">
        <v>9</v>
      </c>
      <c r="J10960" t="str" cm="1">
        <f t="array" ref="J10960">_xlfn.IFS(I10960&lt;=3,"small",I10960&lt;=6,"Medium",I10960&lt;=9,"Large")</f>
        <v>Large</v>
      </c>
      <c r="K10960" s="36">
        <v>45579</v>
      </c>
      <c r="L10960" s="36">
        <v>45584</v>
      </c>
      <c r="M10960" t="s">
        <v>612</v>
      </c>
      <c r="N10960" t="s">
        <v>608</v>
      </c>
      <c r="O10960" s="37" t="str">
        <f t="shared" si="858"/>
        <v>Cash Payment</v>
      </c>
      <c r="P10960">
        <v>993.06</v>
      </c>
      <c r="Q10960" s="37" t="str">
        <f>IF(P10960&gt;500,"High","low")</f>
        <v>High</v>
      </c>
      <c r="R10960" s="37" t="str">
        <f t="shared" si="859"/>
        <v>Good</v>
      </c>
      <c r="S10960" t="s">
        <v>628</v>
      </c>
    </row>
    <row r="10961" spans="1:19" x14ac:dyDescent="0.2">
      <c r="A10961" t="s">
        <v>11572</v>
      </c>
      <c r="B10961" t="s">
        <v>90</v>
      </c>
      <c r="C10961" t="s">
        <v>597</v>
      </c>
      <c r="D10961">
        <v>904.44</v>
      </c>
      <c r="E10961" s="37" t="str">
        <f t="shared" si="855"/>
        <v xml:space="preserve"> </v>
      </c>
      <c r="F10961">
        <v>0.14000000000000001</v>
      </c>
      <c r="G10961" s="37" t="str">
        <f t="shared" si="856"/>
        <v>Normal Discount</v>
      </c>
      <c r="H10961" s="37" t="str">
        <f t="shared" si="857"/>
        <v>Low</v>
      </c>
      <c r="I10961">
        <v>9</v>
      </c>
      <c r="J10961" t="str" cm="1">
        <f t="array" ref="J10961">_xlfn.IFS(I10961&lt;=3,"small",I10961&lt;=6,"Medium",I10961&lt;=9,"Large")</f>
        <v>Large</v>
      </c>
      <c r="K10961" s="36">
        <v>45188</v>
      </c>
      <c r="L10961" s="36">
        <v>45189</v>
      </c>
      <c r="M10961" t="s">
        <v>612</v>
      </c>
      <c r="N10961" t="s">
        <v>599</v>
      </c>
      <c r="O10961" s="37" t="str">
        <f t="shared" si="858"/>
        <v>Digital Payment</v>
      </c>
      <c r="P10961">
        <v>55.04</v>
      </c>
      <c r="Q10961" s="37" t="str">
        <f>IF(P10961&gt;500,"High","low")</f>
        <v>low</v>
      </c>
      <c r="R10961" s="37" t="str">
        <f t="shared" si="859"/>
        <v>AVERAGE</v>
      </c>
      <c r="S10961" t="s">
        <v>609</v>
      </c>
    </row>
    <row r="10962" spans="1:19" x14ac:dyDescent="0.2">
      <c r="A10962" t="s">
        <v>11573</v>
      </c>
      <c r="B10962" t="s">
        <v>90</v>
      </c>
      <c r="C10962" t="s">
        <v>617</v>
      </c>
      <c r="D10962">
        <v>1317.65</v>
      </c>
      <c r="E10962" s="37" t="str">
        <f t="shared" si="855"/>
        <v xml:space="preserve"> </v>
      </c>
      <c r="F10962">
        <v>0.39</v>
      </c>
      <c r="G10962" s="37" t="str">
        <f t="shared" si="856"/>
        <v>Heavy Discount</v>
      </c>
      <c r="H10962" s="37" t="str">
        <f t="shared" si="857"/>
        <v>Medium</v>
      </c>
      <c r="I10962">
        <v>4</v>
      </c>
      <c r="J10962" t="str" cm="1">
        <f t="array" ref="J10962">_xlfn.IFS(I10962&lt;=3,"small",I10962&lt;=6,"Medium",I10962&lt;=9,"Large")</f>
        <v>Medium</v>
      </c>
      <c r="K10962" s="36">
        <v>45335</v>
      </c>
      <c r="L10962" s="36">
        <v>45338</v>
      </c>
      <c r="M10962" t="s">
        <v>612</v>
      </c>
      <c r="N10962" t="s">
        <v>599</v>
      </c>
      <c r="O10962" s="37" t="str">
        <f t="shared" si="858"/>
        <v>Digital Payment</v>
      </c>
      <c r="P10962">
        <v>188.01</v>
      </c>
      <c r="Q10962" s="37" t="str">
        <f>IF(P10962&gt;500,"High","low")</f>
        <v>low</v>
      </c>
      <c r="R10962" s="37" t="str">
        <f t="shared" si="859"/>
        <v>AVERAGE</v>
      </c>
      <c r="S10962" t="s">
        <v>628</v>
      </c>
    </row>
    <row r="10963" spans="1:19" x14ac:dyDescent="0.2">
      <c r="A10963" t="s">
        <v>11574</v>
      </c>
      <c r="B10963" t="s">
        <v>90</v>
      </c>
      <c r="C10963" t="s">
        <v>607</v>
      </c>
      <c r="D10963">
        <v>3070.33</v>
      </c>
      <c r="E10963" s="37" t="str">
        <f t="shared" si="855"/>
        <v xml:space="preserve"> </v>
      </c>
      <c r="F10963">
        <v>0.42</v>
      </c>
      <c r="G10963" s="37" t="str">
        <f t="shared" si="856"/>
        <v>Heavy Discount</v>
      </c>
      <c r="H10963" s="37" t="str">
        <f t="shared" si="857"/>
        <v>High</v>
      </c>
      <c r="I10963">
        <v>8</v>
      </c>
      <c r="J10963" t="str" cm="1">
        <f t="array" ref="J10963">_xlfn.IFS(I10963&lt;=3,"small",I10963&lt;=6,"Medium",I10963&lt;=9,"Large")</f>
        <v>Large</v>
      </c>
      <c r="K10963" s="36">
        <v>45373</v>
      </c>
      <c r="L10963" s="36">
        <v>45378</v>
      </c>
      <c r="M10963" t="s">
        <v>603</v>
      </c>
      <c r="N10963" t="s">
        <v>599</v>
      </c>
      <c r="O10963" s="37" t="str">
        <f t="shared" si="858"/>
        <v>Digital Payment</v>
      </c>
      <c r="P10963">
        <v>556.94000000000005</v>
      </c>
      <c r="Q10963" s="37" t="str">
        <f>IF(P10963&gt;500,"High","low")</f>
        <v>High</v>
      </c>
      <c r="R10963" s="37" t="str">
        <f t="shared" si="859"/>
        <v>Good</v>
      </c>
      <c r="S10963" t="s">
        <v>600</v>
      </c>
    </row>
    <row r="10964" spans="1:19" x14ac:dyDescent="0.2">
      <c r="A10964" t="s">
        <v>11575</v>
      </c>
      <c r="B10964" t="s">
        <v>90</v>
      </c>
      <c r="C10964" t="s">
        <v>597</v>
      </c>
      <c r="D10964">
        <v>669.78</v>
      </c>
      <c r="E10964" s="37" t="str">
        <f t="shared" si="855"/>
        <v xml:space="preserve"> </v>
      </c>
      <c r="F10964">
        <v>0.34</v>
      </c>
      <c r="G10964" s="37" t="str">
        <f t="shared" si="856"/>
        <v>Heavy Discount</v>
      </c>
      <c r="H10964" s="37" t="str">
        <f t="shared" si="857"/>
        <v>Medium</v>
      </c>
      <c r="I10964">
        <v>7</v>
      </c>
      <c r="J10964" t="str" cm="1">
        <f t="array" ref="J10964">_xlfn.IFS(I10964&lt;=3,"small",I10964&lt;=6,"Medium",I10964&lt;=9,"Large")</f>
        <v>Large</v>
      </c>
      <c r="K10964" s="36">
        <v>45113</v>
      </c>
      <c r="L10964" s="36">
        <v>45118</v>
      </c>
      <c r="M10964" t="s">
        <v>612</v>
      </c>
      <c r="N10964" t="s">
        <v>599</v>
      </c>
      <c r="O10964" s="37" t="str">
        <f t="shared" si="858"/>
        <v>Digital Payment</v>
      </c>
      <c r="P10964">
        <v>102.98</v>
      </c>
      <c r="Q10964" s="37" t="str">
        <f>IF(P10964&gt;500,"High","low")</f>
        <v>low</v>
      </c>
      <c r="R10964" s="37" t="str">
        <f t="shared" si="859"/>
        <v>AVERAGE</v>
      </c>
      <c r="S10964" t="s">
        <v>609</v>
      </c>
    </row>
    <row r="10965" spans="1:19" x14ac:dyDescent="0.2">
      <c r="A10965" t="s">
        <v>11576</v>
      </c>
      <c r="B10965" t="s">
        <v>67</v>
      </c>
      <c r="C10965" t="s">
        <v>597</v>
      </c>
      <c r="D10965">
        <v>4470.1400000000003</v>
      </c>
      <c r="E10965" s="37" t="str">
        <f t="shared" si="855"/>
        <v xml:space="preserve"> </v>
      </c>
      <c r="F10965">
        <v>0.42</v>
      </c>
      <c r="G10965" s="37" t="str">
        <f t="shared" si="856"/>
        <v>Heavy Discount</v>
      </c>
      <c r="H10965" s="37" t="str">
        <f t="shared" si="857"/>
        <v>High</v>
      </c>
      <c r="I10965">
        <v>5</v>
      </c>
      <c r="J10965" t="str" cm="1">
        <f t="array" ref="J10965">_xlfn.IFS(I10965&lt;=3,"small",I10965&lt;=6,"Medium",I10965&lt;=9,"Large")</f>
        <v>Medium</v>
      </c>
      <c r="K10965" s="36">
        <v>45528</v>
      </c>
      <c r="L10965" s="36">
        <v>45533</v>
      </c>
      <c r="M10965" t="s">
        <v>603</v>
      </c>
      <c r="N10965" t="s">
        <v>599</v>
      </c>
      <c r="O10965" s="37" t="str">
        <f t="shared" si="858"/>
        <v>Digital Payment</v>
      </c>
      <c r="P10965">
        <v>426.83</v>
      </c>
      <c r="Q10965" s="37" t="str">
        <f>IF(P10965&gt;500,"High","low")</f>
        <v>low</v>
      </c>
      <c r="R10965" s="37" t="str">
        <f t="shared" si="859"/>
        <v>AVERAGE</v>
      </c>
      <c r="S10965" t="s">
        <v>600</v>
      </c>
    </row>
    <row r="10966" spans="1:19" x14ac:dyDescent="0.2">
      <c r="A10966" t="s">
        <v>11577</v>
      </c>
      <c r="B10966" t="s">
        <v>83</v>
      </c>
      <c r="C10966" t="s">
        <v>602</v>
      </c>
      <c r="D10966">
        <v>331.46</v>
      </c>
      <c r="E10966" s="37" t="str">
        <f t="shared" si="855"/>
        <v xml:space="preserve"> </v>
      </c>
      <c r="F10966">
        <v>0.37</v>
      </c>
      <c r="G10966" s="37" t="str">
        <f t="shared" si="856"/>
        <v>Heavy Discount</v>
      </c>
      <c r="H10966" s="37" t="str">
        <f t="shared" si="857"/>
        <v>Medium</v>
      </c>
      <c r="I10966">
        <v>2</v>
      </c>
      <c r="J10966" t="str" cm="1">
        <f t="array" ref="J10966">_xlfn.IFS(I10966&lt;=3,"small",I10966&lt;=6,"Medium",I10966&lt;=9,"Large")</f>
        <v>small</v>
      </c>
      <c r="K10966" s="36">
        <v>45172</v>
      </c>
      <c r="L10966" s="36">
        <v>45178</v>
      </c>
      <c r="M10966" t="s">
        <v>612</v>
      </c>
      <c r="N10966" t="s">
        <v>608</v>
      </c>
      <c r="O10966" s="37" t="str">
        <f t="shared" si="858"/>
        <v>Cash Payment</v>
      </c>
      <c r="P10966">
        <v>71.39</v>
      </c>
      <c r="Q10966" s="37" t="str">
        <f>IF(P10966&gt;500,"High","low")</f>
        <v>low</v>
      </c>
      <c r="R10966" s="37" t="str">
        <f t="shared" si="859"/>
        <v>AVERAGE</v>
      </c>
      <c r="S10966" t="s">
        <v>620</v>
      </c>
    </row>
    <row r="10967" spans="1:19" x14ac:dyDescent="0.2">
      <c r="A10967" t="s">
        <v>11578</v>
      </c>
      <c r="B10967" t="s">
        <v>67</v>
      </c>
      <c r="C10967" t="s">
        <v>607</v>
      </c>
      <c r="D10967">
        <v>3801.03</v>
      </c>
      <c r="E10967" s="37" t="str">
        <f t="shared" si="855"/>
        <v xml:space="preserve"> </v>
      </c>
      <c r="F10967">
        <v>0.48</v>
      </c>
      <c r="G10967" s="37" t="str">
        <f t="shared" si="856"/>
        <v>Heavy Discount</v>
      </c>
      <c r="H10967" s="37" t="str">
        <f t="shared" si="857"/>
        <v>High</v>
      </c>
      <c r="I10967">
        <v>9</v>
      </c>
      <c r="J10967" t="str" cm="1">
        <f t="array" ref="J10967">_xlfn.IFS(I10967&lt;=3,"small",I10967&lt;=6,"Medium",I10967&lt;=9,"Large")</f>
        <v>Large</v>
      </c>
      <c r="K10967" s="36">
        <v>45268</v>
      </c>
      <c r="L10967" s="36">
        <v>45274</v>
      </c>
      <c r="M10967" t="s">
        <v>603</v>
      </c>
      <c r="N10967" t="s">
        <v>608</v>
      </c>
      <c r="O10967" s="37" t="str">
        <f t="shared" si="858"/>
        <v>Cash Payment</v>
      </c>
      <c r="P10967">
        <v>1128.8699999999999</v>
      </c>
      <c r="Q10967" s="37" t="str">
        <f>IF(P10967&gt;500,"High","low")</f>
        <v>High</v>
      </c>
      <c r="R10967" s="37" t="str">
        <f t="shared" si="859"/>
        <v>Excellent</v>
      </c>
      <c r="S10967" t="s">
        <v>609</v>
      </c>
    </row>
    <row r="10968" spans="1:19" x14ac:dyDescent="0.2">
      <c r="A10968" t="s">
        <v>11579</v>
      </c>
      <c r="B10968" t="s">
        <v>67</v>
      </c>
      <c r="C10968" t="s">
        <v>617</v>
      </c>
      <c r="D10968">
        <v>1931.27</v>
      </c>
      <c r="E10968" s="37" t="str">
        <f t="shared" si="855"/>
        <v xml:space="preserve"> </v>
      </c>
      <c r="F10968">
        <v>0.28999999999999998</v>
      </c>
      <c r="G10968" s="37" t="str">
        <f t="shared" si="856"/>
        <v>Normal Discount</v>
      </c>
      <c r="H10968" s="37" t="str">
        <f t="shared" si="857"/>
        <v>Medium</v>
      </c>
      <c r="I10968">
        <v>7</v>
      </c>
      <c r="J10968" t="str" cm="1">
        <f t="array" ref="J10968">_xlfn.IFS(I10968&lt;=3,"small",I10968&lt;=6,"Medium",I10968&lt;=9,"Large")</f>
        <v>Large</v>
      </c>
      <c r="K10968" s="36">
        <v>44968</v>
      </c>
      <c r="L10968" s="36">
        <v>44974</v>
      </c>
      <c r="M10968" t="s">
        <v>598</v>
      </c>
      <c r="N10968" t="s">
        <v>604</v>
      </c>
      <c r="O10968" s="37" t="str">
        <f t="shared" si="858"/>
        <v>Digital Payment</v>
      </c>
      <c r="P10968">
        <v>261.06</v>
      </c>
      <c r="Q10968" s="37" t="str">
        <f>IF(P10968&gt;500,"High","low")</f>
        <v>low</v>
      </c>
      <c r="R10968" s="37" t="str">
        <f t="shared" si="859"/>
        <v>AVERAGE</v>
      </c>
      <c r="S10968" t="s">
        <v>620</v>
      </c>
    </row>
    <row r="10969" spans="1:19" x14ac:dyDescent="0.2">
      <c r="A10969" t="s">
        <v>11580</v>
      </c>
      <c r="B10969" t="s">
        <v>75</v>
      </c>
      <c r="C10969" t="s">
        <v>614</v>
      </c>
      <c r="D10969">
        <v>350.71</v>
      </c>
      <c r="E10969" s="37" t="str">
        <f t="shared" si="855"/>
        <v xml:space="preserve"> </v>
      </c>
      <c r="F10969">
        <v>0.19</v>
      </c>
      <c r="G10969" s="37" t="str">
        <f t="shared" si="856"/>
        <v>Normal Discount</v>
      </c>
      <c r="H10969" s="37" t="str">
        <f t="shared" si="857"/>
        <v>Low</v>
      </c>
      <c r="I10969">
        <v>4</v>
      </c>
      <c r="J10969" t="str" cm="1">
        <f t="array" ref="J10969">_xlfn.IFS(I10969&lt;=3,"small",I10969&lt;=6,"Medium",I10969&lt;=9,"Large")</f>
        <v>Medium</v>
      </c>
      <c r="K10969" s="36">
        <v>45583</v>
      </c>
      <c r="L10969" s="36">
        <v>45586</v>
      </c>
      <c r="M10969" t="s">
        <v>598</v>
      </c>
      <c r="N10969" t="s">
        <v>599</v>
      </c>
      <c r="O10969" s="37" t="str">
        <f t="shared" si="858"/>
        <v>Digital Payment</v>
      </c>
      <c r="P10969">
        <v>101.71</v>
      </c>
      <c r="Q10969" s="37" t="str">
        <f>IF(P10969&gt;500,"High","low")</f>
        <v>low</v>
      </c>
      <c r="R10969" s="37" t="str">
        <f t="shared" si="859"/>
        <v>AVERAGE</v>
      </c>
      <c r="S10969" t="s">
        <v>600</v>
      </c>
    </row>
    <row r="10970" spans="1:19" x14ac:dyDescent="0.2">
      <c r="A10970" t="s">
        <v>11581</v>
      </c>
      <c r="B10970" t="s">
        <v>67</v>
      </c>
      <c r="C10970" t="s">
        <v>597</v>
      </c>
      <c r="D10970">
        <v>4230.3500000000004</v>
      </c>
      <c r="E10970" s="37" t="str">
        <f t="shared" si="855"/>
        <v>Excellent Order</v>
      </c>
      <c r="F10970">
        <v>0.34</v>
      </c>
      <c r="G10970" s="37" t="str">
        <f t="shared" si="856"/>
        <v>Heavy Discount</v>
      </c>
      <c r="H10970" s="37" t="str">
        <f t="shared" si="857"/>
        <v>Medium</v>
      </c>
      <c r="I10970">
        <v>2</v>
      </c>
      <c r="J10970" t="str" cm="1">
        <f t="array" ref="J10970">_xlfn.IFS(I10970&lt;=3,"small",I10970&lt;=6,"Medium",I10970&lt;=9,"Large")</f>
        <v>small</v>
      </c>
      <c r="K10970" s="36">
        <v>45309</v>
      </c>
      <c r="L10970" s="36">
        <v>45313</v>
      </c>
      <c r="M10970" t="s">
        <v>603</v>
      </c>
      <c r="N10970" t="s">
        <v>599</v>
      </c>
      <c r="O10970" s="37" t="str">
        <f t="shared" si="858"/>
        <v>Digital Payment</v>
      </c>
      <c r="P10970">
        <v>1011.55</v>
      </c>
      <c r="Q10970" s="37" t="str">
        <f>IF(P10970&gt;500,"High","low")</f>
        <v>High</v>
      </c>
      <c r="R10970" s="37" t="str">
        <f t="shared" si="859"/>
        <v>Excellent</v>
      </c>
      <c r="S10970" t="s">
        <v>615</v>
      </c>
    </row>
    <row r="10971" spans="1:19" x14ac:dyDescent="0.2">
      <c r="A10971" t="s">
        <v>11582</v>
      </c>
      <c r="B10971" t="s">
        <v>90</v>
      </c>
      <c r="C10971" t="s">
        <v>602</v>
      </c>
      <c r="D10971">
        <v>3238.26</v>
      </c>
      <c r="E10971" s="37" t="str">
        <f t="shared" si="855"/>
        <v xml:space="preserve"> </v>
      </c>
      <c r="F10971">
        <v>0.03</v>
      </c>
      <c r="G10971" s="37" t="str">
        <f t="shared" si="856"/>
        <v>Normal Discount</v>
      </c>
      <c r="H10971" s="37" t="str">
        <f t="shared" si="857"/>
        <v>Low</v>
      </c>
      <c r="I10971">
        <v>2</v>
      </c>
      <c r="J10971" t="str" cm="1">
        <f t="array" ref="J10971">_xlfn.IFS(I10971&lt;=3,"small",I10971&lt;=6,"Medium",I10971&lt;=9,"Large")</f>
        <v>small</v>
      </c>
      <c r="K10971" s="36">
        <v>44949</v>
      </c>
      <c r="L10971" s="36">
        <v>44953</v>
      </c>
      <c r="M10971" t="s">
        <v>603</v>
      </c>
      <c r="N10971" t="s">
        <v>608</v>
      </c>
      <c r="O10971" s="37" t="str">
        <f t="shared" si="858"/>
        <v>Cash Payment</v>
      </c>
      <c r="P10971">
        <v>427.62</v>
      </c>
      <c r="Q10971" s="37" t="str">
        <f>IF(P10971&gt;500,"High","low")</f>
        <v>low</v>
      </c>
      <c r="R10971" s="37" t="str">
        <f t="shared" si="859"/>
        <v>AVERAGE</v>
      </c>
      <c r="S10971" t="s">
        <v>620</v>
      </c>
    </row>
    <row r="10972" spans="1:19" x14ac:dyDescent="0.2">
      <c r="A10972" t="s">
        <v>11583</v>
      </c>
      <c r="B10972" t="s">
        <v>90</v>
      </c>
      <c r="C10972" t="s">
        <v>614</v>
      </c>
      <c r="D10972">
        <v>143.41</v>
      </c>
      <c r="E10972" s="37" t="str">
        <f t="shared" si="855"/>
        <v xml:space="preserve"> </v>
      </c>
      <c r="F10972">
        <v>0.25</v>
      </c>
      <c r="G10972" s="37" t="str">
        <f t="shared" si="856"/>
        <v>Normal Discount</v>
      </c>
      <c r="H10972" s="37" t="str">
        <f t="shared" si="857"/>
        <v>Medium</v>
      </c>
      <c r="I10972">
        <v>3</v>
      </c>
      <c r="J10972" t="str" cm="1">
        <f t="array" ref="J10972">_xlfn.IFS(I10972&lt;=3,"small",I10972&lt;=6,"Medium",I10972&lt;=9,"Large")</f>
        <v>small</v>
      </c>
      <c r="K10972" s="36">
        <v>45581</v>
      </c>
      <c r="L10972" s="36">
        <v>45587</v>
      </c>
      <c r="M10972" t="s">
        <v>598</v>
      </c>
      <c r="N10972" t="s">
        <v>608</v>
      </c>
      <c r="O10972" s="37" t="str">
        <f t="shared" si="858"/>
        <v>Cash Payment</v>
      </c>
      <c r="P10972">
        <v>22.22</v>
      </c>
      <c r="Q10972" s="37" t="str">
        <f>IF(P10972&gt;500,"High","low")</f>
        <v>low</v>
      </c>
      <c r="R10972" s="37" t="str">
        <f t="shared" si="859"/>
        <v>AVERAGE</v>
      </c>
      <c r="S10972" t="s">
        <v>620</v>
      </c>
    </row>
    <row r="10973" spans="1:19" x14ac:dyDescent="0.2">
      <c r="A10973" t="s">
        <v>11584</v>
      </c>
      <c r="B10973" t="s">
        <v>75</v>
      </c>
      <c r="C10973" t="s">
        <v>597</v>
      </c>
      <c r="D10973">
        <v>1410.91</v>
      </c>
      <c r="E10973" s="37" t="str">
        <f t="shared" si="855"/>
        <v xml:space="preserve"> </v>
      </c>
      <c r="F10973">
        <v>0.39</v>
      </c>
      <c r="G10973" s="37" t="str">
        <f t="shared" si="856"/>
        <v>Heavy Discount</v>
      </c>
      <c r="H10973" s="37" t="str">
        <f t="shared" si="857"/>
        <v>Medium</v>
      </c>
      <c r="I10973">
        <v>6</v>
      </c>
      <c r="J10973" t="str" cm="1">
        <f t="array" ref="J10973">_xlfn.IFS(I10973&lt;=3,"small",I10973&lt;=6,"Medium",I10973&lt;=9,"Large")</f>
        <v>Medium</v>
      </c>
      <c r="K10973" s="36">
        <v>45494</v>
      </c>
      <c r="L10973" s="36">
        <v>45495</v>
      </c>
      <c r="M10973" t="s">
        <v>598</v>
      </c>
      <c r="N10973" t="s">
        <v>604</v>
      </c>
      <c r="O10973" s="37" t="str">
        <f t="shared" si="858"/>
        <v>Digital Payment</v>
      </c>
      <c r="P10973">
        <v>291.72000000000003</v>
      </c>
      <c r="Q10973" s="37" t="str">
        <f>IF(P10973&gt;500,"High","low")</f>
        <v>low</v>
      </c>
      <c r="R10973" s="37" t="str">
        <f t="shared" si="859"/>
        <v>AVERAGE</v>
      </c>
      <c r="S10973" t="s">
        <v>620</v>
      </c>
    </row>
    <row r="10974" spans="1:19" x14ac:dyDescent="0.2">
      <c r="A10974" t="s">
        <v>11585</v>
      </c>
      <c r="B10974" t="s">
        <v>75</v>
      </c>
      <c r="C10974" t="s">
        <v>602</v>
      </c>
      <c r="D10974">
        <v>1825.02</v>
      </c>
      <c r="E10974" s="37" t="str">
        <f t="shared" si="855"/>
        <v xml:space="preserve"> </v>
      </c>
      <c r="F10974">
        <v>0.08</v>
      </c>
      <c r="G10974" s="37" t="str">
        <f t="shared" si="856"/>
        <v>Normal Discount</v>
      </c>
      <c r="H10974" s="37" t="str">
        <f t="shared" si="857"/>
        <v>Low</v>
      </c>
      <c r="I10974">
        <v>1</v>
      </c>
      <c r="J10974" t="str" cm="1">
        <f t="array" ref="J10974">_xlfn.IFS(I10974&lt;=3,"small",I10974&lt;=6,"Medium",I10974&lt;=9,"Large")</f>
        <v>small</v>
      </c>
      <c r="K10974" s="36">
        <v>45344</v>
      </c>
      <c r="L10974" s="36">
        <v>45348</v>
      </c>
      <c r="M10974" t="s">
        <v>612</v>
      </c>
      <c r="N10974" t="s">
        <v>599</v>
      </c>
      <c r="O10974" s="37" t="str">
        <f t="shared" si="858"/>
        <v>Digital Payment</v>
      </c>
      <c r="P10974">
        <v>432.43</v>
      </c>
      <c r="Q10974" s="37" t="str">
        <f>IF(P10974&gt;500,"High","low")</f>
        <v>low</v>
      </c>
      <c r="R10974" s="37" t="str">
        <f t="shared" si="859"/>
        <v>AVERAGE</v>
      </c>
      <c r="S10974" t="s">
        <v>620</v>
      </c>
    </row>
    <row r="10975" spans="1:19" x14ac:dyDescent="0.2">
      <c r="A10975" t="s">
        <v>11586</v>
      </c>
      <c r="B10975" t="s">
        <v>75</v>
      </c>
      <c r="C10975" t="s">
        <v>607</v>
      </c>
      <c r="D10975">
        <v>1680.63</v>
      </c>
      <c r="E10975" s="37" t="str">
        <f t="shared" si="855"/>
        <v xml:space="preserve"> </v>
      </c>
      <c r="F10975">
        <v>0.2</v>
      </c>
      <c r="G10975" s="37" t="str">
        <f t="shared" si="856"/>
        <v>Normal Discount</v>
      </c>
      <c r="H10975" s="37" t="str">
        <f t="shared" si="857"/>
        <v>Medium</v>
      </c>
      <c r="I10975">
        <v>5</v>
      </c>
      <c r="J10975" t="str" cm="1">
        <f t="array" ref="J10975">_xlfn.IFS(I10975&lt;=3,"small",I10975&lt;=6,"Medium",I10975&lt;=9,"Large")</f>
        <v>Medium</v>
      </c>
      <c r="K10975" s="36">
        <v>45503</v>
      </c>
      <c r="L10975" s="36">
        <v>45506</v>
      </c>
      <c r="M10975" t="s">
        <v>598</v>
      </c>
      <c r="N10975" t="s">
        <v>599</v>
      </c>
      <c r="O10975" s="37" t="str">
        <f t="shared" si="858"/>
        <v>Digital Payment</v>
      </c>
      <c r="P10975">
        <v>397.84</v>
      </c>
      <c r="Q10975" s="37" t="str">
        <f>IF(P10975&gt;500,"High","low")</f>
        <v>low</v>
      </c>
      <c r="R10975" s="37" t="str">
        <f t="shared" si="859"/>
        <v>AVERAGE</v>
      </c>
      <c r="S10975" t="s">
        <v>600</v>
      </c>
    </row>
    <row r="10976" spans="1:19" x14ac:dyDescent="0.2">
      <c r="A10976" t="s">
        <v>11587</v>
      </c>
      <c r="B10976" t="s">
        <v>75</v>
      </c>
      <c r="C10976" t="s">
        <v>602</v>
      </c>
      <c r="D10976">
        <v>2541.88</v>
      </c>
      <c r="E10976" s="37" t="str">
        <f t="shared" si="855"/>
        <v xml:space="preserve"> </v>
      </c>
      <c r="F10976">
        <v>0.18</v>
      </c>
      <c r="G10976" s="37" t="str">
        <f t="shared" si="856"/>
        <v>Normal Discount</v>
      </c>
      <c r="H10976" s="37" t="str">
        <f t="shared" si="857"/>
        <v>Low</v>
      </c>
      <c r="I10976">
        <v>3</v>
      </c>
      <c r="J10976" t="str" cm="1">
        <f t="array" ref="J10976">_xlfn.IFS(I10976&lt;=3,"small",I10976&lt;=6,"Medium",I10976&lt;=9,"Large")</f>
        <v>small</v>
      </c>
      <c r="K10976" s="36">
        <v>45287</v>
      </c>
      <c r="L10976" s="36">
        <v>45294</v>
      </c>
      <c r="M10976" t="s">
        <v>612</v>
      </c>
      <c r="N10976" t="s">
        <v>608</v>
      </c>
      <c r="O10976" s="37" t="str">
        <f t="shared" si="858"/>
        <v>Cash Payment</v>
      </c>
      <c r="P10976">
        <v>534.51</v>
      </c>
      <c r="Q10976" s="37" t="str">
        <f>IF(P10976&gt;500,"High","low")</f>
        <v>High</v>
      </c>
      <c r="R10976" s="37" t="str">
        <f t="shared" si="859"/>
        <v>Good</v>
      </c>
      <c r="S10976" t="s">
        <v>615</v>
      </c>
    </row>
    <row r="10977" spans="1:19" x14ac:dyDescent="0.2">
      <c r="A10977" t="s">
        <v>11588</v>
      </c>
      <c r="B10977" t="s">
        <v>75</v>
      </c>
      <c r="C10977" t="s">
        <v>597</v>
      </c>
      <c r="D10977">
        <v>2681.33</v>
      </c>
      <c r="E10977" s="37" t="str">
        <f t="shared" si="855"/>
        <v xml:space="preserve"> </v>
      </c>
      <c r="F10977">
        <v>0.17</v>
      </c>
      <c r="G10977" s="37" t="str">
        <f t="shared" si="856"/>
        <v>Normal Discount</v>
      </c>
      <c r="H10977" s="37" t="str">
        <f t="shared" si="857"/>
        <v>Low</v>
      </c>
      <c r="I10977">
        <v>7</v>
      </c>
      <c r="J10977" t="str" cm="1">
        <f t="array" ref="J10977">_xlfn.IFS(I10977&lt;=3,"small",I10977&lt;=6,"Medium",I10977&lt;=9,"Large")</f>
        <v>Large</v>
      </c>
      <c r="K10977" s="36">
        <v>45143</v>
      </c>
      <c r="L10977" s="36">
        <v>45144</v>
      </c>
      <c r="M10977" t="s">
        <v>603</v>
      </c>
      <c r="N10977" t="s">
        <v>604</v>
      </c>
      <c r="O10977" s="37" t="str">
        <f t="shared" si="858"/>
        <v>Digital Payment</v>
      </c>
      <c r="P10977">
        <v>209.44</v>
      </c>
      <c r="Q10977" s="37" t="str">
        <f>IF(P10977&gt;500,"High","low")</f>
        <v>low</v>
      </c>
      <c r="R10977" s="37" t="str">
        <f t="shared" si="859"/>
        <v>AVERAGE</v>
      </c>
      <c r="S10977" t="s">
        <v>628</v>
      </c>
    </row>
    <row r="10978" spans="1:19" x14ac:dyDescent="0.2">
      <c r="A10978" t="s">
        <v>11589</v>
      </c>
      <c r="B10978" t="s">
        <v>67</v>
      </c>
      <c r="C10978" t="s">
        <v>607</v>
      </c>
      <c r="D10978">
        <v>2044.09</v>
      </c>
      <c r="E10978" s="37" t="str">
        <f t="shared" si="855"/>
        <v xml:space="preserve"> </v>
      </c>
      <c r="F10978">
        <v>0.33</v>
      </c>
      <c r="G10978" s="37" t="str">
        <f t="shared" si="856"/>
        <v>Heavy Discount</v>
      </c>
      <c r="H10978" s="37" t="str">
        <f t="shared" si="857"/>
        <v>Medium</v>
      </c>
      <c r="I10978">
        <v>7</v>
      </c>
      <c r="J10978" t="str" cm="1">
        <f t="array" ref="J10978">_xlfn.IFS(I10978&lt;=3,"small",I10978&lt;=6,"Medium",I10978&lt;=9,"Large")</f>
        <v>Large</v>
      </c>
      <c r="K10978" s="36">
        <v>45550</v>
      </c>
      <c r="L10978" s="36">
        <v>45551</v>
      </c>
      <c r="M10978" t="s">
        <v>598</v>
      </c>
      <c r="N10978" t="s">
        <v>604</v>
      </c>
      <c r="O10978" s="37" t="str">
        <f t="shared" si="858"/>
        <v>Digital Payment</v>
      </c>
      <c r="P10978">
        <v>538.70000000000005</v>
      </c>
      <c r="Q10978" s="37" t="str">
        <f>IF(P10978&gt;500,"High","low")</f>
        <v>High</v>
      </c>
      <c r="R10978" s="37" t="str">
        <f t="shared" si="859"/>
        <v>Good</v>
      </c>
      <c r="S10978" t="s">
        <v>605</v>
      </c>
    </row>
    <row r="10979" spans="1:19" x14ac:dyDescent="0.2">
      <c r="A10979" t="s">
        <v>11590</v>
      </c>
      <c r="B10979" t="s">
        <v>75</v>
      </c>
      <c r="C10979" t="s">
        <v>617</v>
      </c>
      <c r="D10979">
        <v>1725.67</v>
      </c>
      <c r="E10979" s="37" t="str">
        <f t="shared" si="855"/>
        <v xml:space="preserve"> </v>
      </c>
      <c r="F10979">
        <v>0.25</v>
      </c>
      <c r="G10979" s="37" t="str">
        <f t="shared" si="856"/>
        <v>Normal Discount</v>
      </c>
      <c r="H10979" s="37" t="str">
        <f t="shared" si="857"/>
        <v>Medium</v>
      </c>
      <c r="I10979">
        <v>5</v>
      </c>
      <c r="J10979" t="str" cm="1">
        <f t="array" ref="J10979">_xlfn.IFS(I10979&lt;=3,"small",I10979&lt;=6,"Medium",I10979&lt;=9,"Large")</f>
        <v>Medium</v>
      </c>
      <c r="K10979" s="36">
        <v>45013</v>
      </c>
      <c r="L10979" s="36">
        <v>45019</v>
      </c>
      <c r="M10979" t="s">
        <v>612</v>
      </c>
      <c r="N10979" t="s">
        <v>599</v>
      </c>
      <c r="O10979" s="37" t="str">
        <f t="shared" si="858"/>
        <v>Digital Payment</v>
      </c>
      <c r="P10979">
        <v>201.58</v>
      </c>
      <c r="Q10979" s="37" t="str">
        <f>IF(P10979&gt;500,"High","low")</f>
        <v>low</v>
      </c>
      <c r="R10979" s="37" t="str">
        <f t="shared" si="859"/>
        <v>AVERAGE</v>
      </c>
      <c r="S10979" t="s">
        <v>605</v>
      </c>
    </row>
    <row r="10980" spans="1:19" x14ac:dyDescent="0.2">
      <c r="A10980" t="s">
        <v>11591</v>
      </c>
      <c r="B10980" t="s">
        <v>67</v>
      </c>
      <c r="C10980" t="s">
        <v>602</v>
      </c>
      <c r="D10980">
        <v>2571.61</v>
      </c>
      <c r="E10980" s="37" t="str">
        <f t="shared" si="855"/>
        <v xml:space="preserve"> </v>
      </c>
      <c r="F10980">
        <v>0.4</v>
      </c>
      <c r="G10980" s="37" t="str">
        <f t="shared" si="856"/>
        <v>Heavy Discount</v>
      </c>
      <c r="H10980" s="37" t="str">
        <f t="shared" si="857"/>
        <v>Medium</v>
      </c>
      <c r="I10980">
        <v>9</v>
      </c>
      <c r="J10980" t="str" cm="1">
        <f t="array" ref="J10980">_xlfn.IFS(I10980&lt;=3,"small",I10980&lt;=6,"Medium",I10980&lt;=9,"Large")</f>
        <v>Large</v>
      </c>
      <c r="K10980" s="36">
        <v>45216</v>
      </c>
      <c r="L10980" s="36">
        <v>45217</v>
      </c>
      <c r="M10980" t="s">
        <v>598</v>
      </c>
      <c r="N10980" t="s">
        <v>604</v>
      </c>
      <c r="O10980" s="37" t="str">
        <f t="shared" si="858"/>
        <v>Digital Payment</v>
      </c>
      <c r="P10980">
        <v>241.28</v>
      </c>
      <c r="Q10980" s="37" t="str">
        <f>IF(P10980&gt;500,"High","low")</f>
        <v>low</v>
      </c>
      <c r="R10980" s="37" t="str">
        <f t="shared" si="859"/>
        <v>AVERAGE</v>
      </c>
      <c r="S10980" t="s">
        <v>628</v>
      </c>
    </row>
    <row r="10981" spans="1:19" x14ac:dyDescent="0.2">
      <c r="A10981" t="s">
        <v>11592</v>
      </c>
      <c r="B10981" t="s">
        <v>83</v>
      </c>
      <c r="C10981" t="s">
        <v>614</v>
      </c>
      <c r="D10981">
        <v>264.72000000000003</v>
      </c>
      <c r="E10981" s="37" t="str">
        <f t="shared" si="855"/>
        <v xml:space="preserve"> </v>
      </c>
      <c r="F10981">
        <v>0.03</v>
      </c>
      <c r="G10981" s="37" t="str">
        <f t="shared" si="856"/>
        <v>Normal Discount</v>
      </c>
      <c r="H10981" s="37" t="str">
        <f t="shared" si="857"/>
        <v>Low</v>
      </c>
      <c r="I10981">
        <v>8</v>
      </c>
      <c r="J10981" t="str" cm="1">
        <f t="array" ref="J10981">_xlfn.IFS(I10981&lt;=3,"small",I10981&lt;=6,"Medium",I10981&lt;=9,"Large")</f>
        <v>Large</v>
      </c>
      <c r="K10981" s="36">
        <v>45383</v>
      </c>
      <c r="L10981" s="36">
        <v>45385</v>
      </c>
      <c r="M10981" t="s">
        <v>598</v>
      </c>
      <c r="N10981" t="s">
        <v>608</v>
      </c>
      <c r="O10981" s="37" t="str">
        <f t="shared" si="858"/>
        <v>Cash Payment</v>
      </c>
      <c r="P10981">
        <v>27.27</v>
      </c>
      <c r="Q10981" s="37" t="str">
        <f>IF(P10981&gt;500,"High","low")</f>
        <v>low</v>
      </c>
      <c r="R10981" s="37" t="str">
        <f t="shared" si="859"/>
        <v>AVERAGE</v>
      </c>
      <c r="S10981" t="s">
        <v>628</v>
      </c>
    </row>
    <row r="10982" spans="1:19" x14ac:dyDescent="0.2">
      <c r="A10982" t="s">
        <v>11593</v>
      </c>
      <c r="B10982" t="s">
        <v>75</v>
      </c>
      <c r="C10982" t="s">
        <v>607</v>
      </c>
      <c r="D10982">
        <v>3261.49</v>
      </c>
      <c r="E10982" s="37" t="str">
        <f t="shared" si="855"/>
        <v xml:space="preserve"> </v>
      </c>
      <c r="F10982">
        <v>0.23</v>
      </c>
      <c r="G10982" s="37" t="str">
        <f t="shared" si="856"/>
        <v>Normal Discount</v>
      </c>
      <c r="H10982" s="37" t="str">
        <f t="shared" si="857"/>
        <v>Medium</v>
      </c>
      <c r="I10982">
        <v>9</v>
      </c>
      <c r="J10982" t="str" cm="1">
        <f t="array" ref="J10982">_xlfn.IFS(I10982&lt;=3,"small",I10982&lt;=6,"Medium",I10982&lt;=9,"Large")</f>
        <v>Large</v>
      </c>
      <c r="K10982" s="36">
        <v>45283</v>
      </c>
      <c r="L10982" s="36">
        <v>45286</v>
      </c>
      <c r="M10982" t="s">
        <v>603</v>
      </c>
      <c r="N10982" t="s">
        <v>604</v>
      </c>
      <c r="O10982" s="37" t="str">
        <f t="shared" si="858"/>
        <v>Digital Payment</v>
      </c>
      <c r="P10982">
        <v>196.04</v>
      </c>
      <c r="Q10982" s="37" t="str">
        <f>IF(P10982&gt;500,"High","low")</f>
        <v>low</v>
      </c>
      <c r="R10982" s="37" t="str">
        <f t="shared" si="859"/>
        <v>AVERAGE</v>
      </c>
      <c r="S10982" t="s">
        <v>605</v>
      </c>
    </row>
    <row r="10983" spans="1:19" x14ac:dyDescent="0.2">
      <c r="A10983" t="s">
        <v>11594</v>
      </c>
      <c r="B10983" t="s">
        <v>75</v>
      </c>
      <c r="C10983" t="s">
        <v>607</v>
      </c>
      <c r="D10983">
        <v>3069.31</v>
      </c>
      <c r="E10983" s="37" t="str">
        <f t="shared" si="855"/>
        <v xml:space="preserve"> </v>
      </c>
      <c r="F10983">
        <v>0.01</v>
      </c>
      <c r="G10983" s="37" t="str">
        <f t="shared" si="856"/>
        <v>Normal Discount</v>
      </c>
      <c r="H10983" s="37" t="str">
        <f t="shared" si="857"/>
        <v>Low</v>
      </c>
      <c r="I10983">
        <v>6</v>
      </c>
      <c r="J10983" t="str" cm="1">
        <f t="array" ref="J10983">_xlfn.IFS(I10983&lt;=3,"small",I10983&lt;=6,"Medium",I10983&lt;=9,"Large")</f>
        <v>Medium</v>
      </c>
      <c r="K10983" s="36">
        <v>45550</v>
      </c>
      <c r="L10983" s="36">
        <v>45556</v>
      </c>
      <c r="M10983" t="s">
        <v>603</v>
      </c>
      <c r="N10983" t="s">
        <v>599</v>
      </c>
      <c r="O10983" s="37" t="str">
        <f t="shared" si="858"/>
        <v>Digital Payment</v>
      </c>
      <c r="P10983">
        <v>718.05</v>
      </c>
      <c r="Q10983" s="37" t="str">
        <f>IF(P10983&gt;500,"High","low")</f>
        <v>High</v>
      </c>
      <c r="R10983" s="37" t="str">
        <f t="shared" si="859"/>
        <v>Good</v>
      </c>
      <c r="S10983" t="s">
        <v>600</v>
      </c>
    </row>
    <row r="10984" spans="1:19" x14ac:dyDescent="0.2">
      <c r="A10984" t="s">
        <v>11595</v>
      </c>
      <c r="B10984" t="s">
        <v>67</v>
      </c>
      <c r="C10984" t="s">
        <v>617</v>
      </c>
      <c r="D10984">
        <v>1468.18</v>
      </c>
      <c r="E10984" s="37" t="str">
        <f t="shared" si="855"/>
        <v xml:space="preserve"> </v>
      </c>
      <c r="F10984">
        <v>0.11</v>
      </c>
      <c r="G10984" s="37" t="str">
        <f t="shared" si="856"/>
        <v>Normal Discount</v>
      </c>
      <c r="H10984" s="37" t="str">
        <f t="shared" si="857"/>
        <v>Low</v>
      </c>
      <c r="I10984">
        <v>8</v>
      </c>
      <c r="J10984" t="str" cm="1">
        <f t="array" ref="J10984">_xlfn.IFS(I10984&lt;=3,"small",I10984&lt;=6,"Medium",I10984&lt;=9,"Large")</f>
        <v>Large</v>
      </c>
      <c r="K10984" s="36">
        <v>45372</v>
      </c>
      <c r="L10984" s="36">
        <v>45375</v>
      </c>
      <c r="M10984" t="s">
        <v>603</v>
      </c>
      <c r="N10984" t="s">
        <v>608</v>
      </c>
      <c r="O10984" s="37" t="str">
        <f t="shared" si="858"/>
        <v>Cash Payment</v>
      </c>
      <c r="P10984">
        <v>92.46</v>
      </c>
      <c r="Q10984" s="37" t="str">
        <f>IF(P10984&gt;500,"High","low")</f>
        <v>low</v>
      </c>
      <c r="R10984" s="37" t="str">
        <f t="shared" si="859"/>
        <v>AVERAGE</v>
      </c>
      <c r="S10984" t="s">
        <v>600</v>
      </c>
    </row>
    <row r="10985" spans="1:19" x14ac:dyDescent="0.2">
      <c r="A10985" t="s">
        <v>11596</v>
      </c>
      <c r="B10985" t="s">
        <v>83</v>
      </c>
      <c r="C10985" t="s">
        <v>602</v>
      </c>
      <c r="D10985">
        <v>979.63</v>
      </c>
      <c r="E10985" s="37" t="str">
        <f t="shared" si="855"/>
        <v xml:space="preserve"> </v>
      </c>
      <c r="F10985">
        <v>0.39</v>
      </c>
      <c r="G10985" s="37" t="str">
        <f t="shared" si="856"/>
        <v>Heavy Discount</v>
      </c>
      <c r="H10985" s="37" t="str">
        <f t="shared" si="857"/>
        <v>Medium</v>
      </c>
      <c r="I10985">
        <v>2</v>
      </c>
      <c r="J10985" t="str" cm="1">
        <f t="array" ref="J10985">_xlfn.IFS(I10985&lt;=3,"small",I10985&lt;=6,"Medium",I10985&lt;=9,"Large")</f>
        <v>small</v>
      </c>
      <c r="K10985" s="36">
        <v>45194</v>
      </c>
      <c r="L10985" s="36">
        <v>45198</v>
      </c>
      <c r="M10985" t="s">
        <v>603</v>
      </c>
      <c r="N10985" t="s">
        <v>604</v>
      </c>
      <c r="O10985" s="37" t="str">
        <f t="shared" si="858"/>
        <v>Digital Payment</v>
      </c>
      <c r="P10985">
        <v>59.22</v>
      </c>
      <c r="Q10985" s="37" t="str">
        <f>IF(P10985&gt;500,"High","low")</f>
        <v>low</v>
      </c>
      <c r="R10985" s="37" t="str">
        <f t="shared" si="859"/>
        <v>AVERAGE</v>
      </c>
      <c r="S10985" t="s">
        <v>615</v>
      </c>
    </row>
    <row r="10986" spans="1:19" x14ac:dyDescent="0.2">
      <c r="A10986" t="s">
        <v>11597</v>
      </c>
      <c r="B10986" t="s">
        <v>67</v>
      </c>
      <c r="C10986" t="s">
        <v>614</v>
      </c>
      <c r="D10986">
        <v>457.63</v>
      </c>
      <c r="E10986" s="37" t="str">
        <f t="shared" si="855"/>
        <v xml:space="preserve"> </v>
      </c>
      <c r="F10986">
        <v>0.05</v>
      </c>
      <c r="G10986" s="37" t="str">
        <f t="shared" si="856"/>
        <v>Normal Discount</v>
      </c>
      <c r="H10986" s="37" t="str">
        <f t="shared" si="857"/>
        <v>Low</v>
      </c>
      <c r="I10986">
        <v>5</v>
      </c>
      <c r="J10986" t="str" cm="1">
        <f t="array" ref="J10986">_xlfn.IFS(I10986&lt;=3,"small",I10986&lt;=6,"Medium",I10986&lt;=9,"Large")</f>
        <v>Medium</v>
      </c>
      <c r="K10986" s="36">
        <v>45525</v>
      </c>
      <c r="L10986" s="36">
        <v>45529</v>
      </c>
      <c r="M10986" t="s">
        <v>598</v>
      </c>
      <c r="N10986" t="s">
        <v>599</v>
      </c>
      <c r="O10986" s="37" t="str">
        <f t="shared" si="858"/>
        <v>Digital Payment</v>
      </c>
      <c r="P10986">
        <v>23.06</v>
      </c>
      <c r="Q10986" s="37" t="str">
        <f>IF(P10986&gt;500,"High","low")</f>
        <v>low</v>
      </c>
      <c r="R10986" s="37" t="str">
        <f t="shared" si="859"/>
        <v>AVERAGE</v>
      </c>
      <c r="S10986" t="s">
        <v>628</v>
      </c>
    </row>
    <row r="10987" spans="1:19" x14ac:dyDescent="0.2">
      <c r="A10987" t="s">
        <v>11598</v>
      </c>
      <c r="B10987" t="s">
        <v>67</v>
      </c>
      <c r="C10987" t="s">
        <v>617</v>
      </c>
      <c r="D10987">
        <v>2977.98</v>
      </c>
      <c r="E10987" s="37" t="str">
        <f t="shared" si="855"/>
        <v xml:space="preserve"> </v>
      </c>
      <c r="F10987">
        <v>0.05</v>
      </c>
      <c r="G10987" s="37" t="str">
        <f t="shared" si="856"/>
        <v>Normal Discount</v>
      </c>
      <c r="H10987" s="37" t="str">
        <f t="shared" si="857"/>
        <v>Low</v>
      </c>
      <c r="I10987">
        <v>8</v>
      </c>
      <c r="J10987" t="str" cm="1">
        <f t="array" ref="J10987">_xlfn.IFS(I10987&lt;=3,"small",I10987&lt;=6,"Medium",I10987&lt;=9,"Large")</f>
        <v>Large</v>
      </c>
      <c r="K10987" s="36">
        <v>45510</v>
      </c>
      <c r="L10987" s="36">
        <v>45513</v>
      </c>
      <c r="M10987" t="s">
        <v>612</v>
      </c>
      <c r="N10987" t="s">
        <v>599</v>
      </c>
      <c r="O10987" s="37" t="str">
        <f t="shared" si="858"/>
        <v>Digital Payment</v>
      </c>
      <c r="P10987">
        <v>152.43</v>
      </c>
      <c r="Q10987" s="37" t="str">
        <f>IF(P10987&gt;500,"High","low")</f>
        <v>low</v>
      </c>
      <c r="R10987" s="37" t="str">
        <f t="shared" si="859"/>
        <v>AVERAGE</v>
      </c>
      <c r="S10987" t="s">
        <v>628</v>
      </c>
    </row>
    <row r="10988" spans="1:19" x14ac:dyDescent="0.2">
      <c r="A10988" t="s">
        <v>11599</v>
      </c>
      <c r="B10988" t="s">
        <v>75</v>
      </c>
      <c r="C10988" t="s">
        <v>602</v>
      </c>
      <c r="D10988">
        <v>2887.61</v>
      </c>
      <c r="E10988" s="37" t="str">
        <f t="shared" si="855"/>
        <v xml:space="preserve"> </v>
      </c>
      <c r="F10988">
        <v>0.2</v>
      </c>
      <c r="G10988" s="37" t="str">
        <f t="shared" si="856"/>
        <v>Normal Discount</v>
      </c>
      <c r="H10988" s="37" t="str">
        <f t="shared" si="857"/>
        <v>Medium</v>
      </c>
      <c r="I10988">
        <v>2</v>
      </c>
      <c r="J10988" t="str" cm="1">
        <f t="array" ref="J10988">_xlfn.IFS(I10988&lt;=3,"small",I10988&lt;=6,"Medium",I10988&lt;=9,"Large")</f>
        <v>small</v>
      </c>
      <c r="K10988" s="36">
        <v>45054</v>
      </c>
      <c r="L10988" s="36">
        <v>45056</v>
      </c>
      <c r="M10988" t="s">
        <v>603</v>
      </c>
      <c r="N10988" t="s">
        <v>608</v>
      </c>
      <c r="O10988" s="37" t="str">
        <f t="shared" si="858"/>
        <v>Cash Payment</v>
      </c>
      <c r="P10988">
        <v>635.25</v>
      </c>
      <c r="Q10988" s="37" t="str">
        <f>IF(P10988&gt;500,"High","low")</f>
        <v>High</v>
      </c>
      <c r="R10988" s="37" t="str">
        <f t="shared" si="859"/>
        <v>Good</v>
      </c>
      <c r="S10988" t="s">
        <v>628</v>
      </c>
    </row>
    <row r="10989" spans="1:19" x14ac:dyDescent="0.2">
      <c r="A10989" t="s">
        <v>11600</v>
      </c>
      <c r="B10989" t="s">
        <v>90</v>
      </c>
      <c r="C10989" t="s">
        <v>614</v>
      </c>
      <c r="D10989">
        <v>2713.26</v>
      </c>
      <c r="E10989" s="37" t="str">
        <f t="shared" si="855"/>
        <v xml:space="preserve"> </v>
      </c>
      <c r="F10989">
        <v>0.39</v>
      </c>
      <c r="G10989" s="37" t="str">
        <f t="shared" si="856"/>
        <v>Heavy Discount</v>
      </c>
      <c r="H10989" s="37" t="str">
        <f t="shared" si="857"/>
        <v>Medium</v>
      </c>
      <c r="I10989">
        <v>2</v>
      </c>
      <c r="J10989" t="str" cm="1">
        <f t="array" ref="J10989">_xlfn.IFS(I10989&lt;=3,"small",I10989&lt;=6,"Medium",I10989&lt;=9,"Large")</f>
        <v>small</v>
      </c>
      <c r="K10989" s="36">
        <v>45006</v>
      </c>
      <c r="L10989" s="36">
        <v>45013</v>
      </c>
      <c r="M10989" t="s">
        <v>598</v>
      </c>
      <c r="N10989" t="s">
        <v>604</v>
      </c>
      <c r="O10989" s="37" t="str">
        <f t="shared" si="858"/>
        <v>Digital Payment</v>
      </c>
      <c r="P10989">
        <v>471.68</v>
      </c>
      <c r="Q10989" s="37" t="str">
        <f>IF(P10989&gt;500,"High","low")</f>
        <v>low</v>
      </c>
      <c r="R10989" s="37" t="str">
        <f t="shared" si="859"/>
        <v>AVERAGE</v>
      </c>
      <c r="S10989" t="s">
        <v>609</v>
      </c>
    </row>
    <row r="10990" spans="1:19" x14ac:dyDescent="0.2">
      <c r="A10990" t="s">
        <v>11601</v>
      </c>
      <c r="B10990" t="s">
        <v>90</v>
      </c>
      <c r="C10990" t="s">
        <v>614</v>
      </c>
      <c r="D10990">
        <v>4929.53</v>
      </c>
      <c r="E10990" s="37" t="str">
        <f t="shared" si="855"/>
        <v>Excellent Order</v>
      </c>
      <c r="F10990">
        <v>0.32</v>
      </c>
      <c r="G10990" s="37" t="str">
        <f t="shared" si="856"/>
        <v>Heavy Discount</v>
      </c>
      <c r="H10990" s="37" t="str">
        <f t="shared" si="857"/>
        <v>Medium</v>
      </c>
      <c r="I10990">
        <v>3</v>
      </c>
      <c r="J10990" t="str" cm="1">
        <f t="array" ref="J10990">_xlfn.IFS(I10990&lt;=3,"small",I10990&lt;=6,"Medium",I10990&lt;=9,"Large")</f>
        <v>small</v>
      </c>
      <c r="K10990" s="36">
        <v>45010</v>
      </c>
      <c r="L10990" s="36">
        <v>45015</v>
      </c>
      <c r="M10990" t="s">
        <v>598</v>
      </c>
      <c r="N10990" t="s">
        <v>608</v>
      </c>
      <c r="O10990" s="37" t="str">
        <f t="shared" si="858"/>
        <v>Cash Payment</v>
      </c>
      <c r="P10990">
        <v>1075.03</v>
      </c>
      <c r="Q10990" s="37" t="str">
        <f>IF(P10990&gt;500,"High","low")</f>
        <v>High</v>
      </c>
      <c r="R10990" s="37" t="str">
        <f t="shared" si="859"/>
        <v>Excellent</v>
      </c>
      <c r="S10990" t="s">
        <v>628</v>
      </c>
    </row>
    <row r="10991" spans="1:19" x14ac:dyDescent="0.2">
      <c r="A10991" t="s">
        <v>11602</v>
      </c>
      <c r="B10991" t="s">
        <v>67</v>
      </c>
      <c r="C10991" t="s">
        <v>597</v>
      </c>
      <c r="D10991">
        <v>2704.57</v>
      </c>
      <c r="E10991" s="37" t="str">
        <f t="shared" si="855"/>
        <v xml:space="preserve"> </v>
      </c>
      <c r="F10991">
        <v>0.39</v>
      </c>
      <c r="G10991" s="37" t="str">
        <f t="shared" si="856"/>
        <v>Heavy Discount</v>
      </c>
      <c r="H10991" s="37" t="str">
        <f t="shared" si="857"/>
        <v>Medium</v>
      </c>
      <c r="I10991">
        <v>2</v>
      </c>
      <c r="J10991" t="str" cm="1">
        <f t="array" ref="J10991">_xlfn.IFS(I10991&lt;=3,"small",I10991&lt;=6,"Medium",I10991&lt;=9,"Large")</f>
        <v>small</v>
      </c>
      <c r="K10991" s="36">
        <v>45466</v>
      </c>
      <c r="L10991" s="36">
        <v>45473</v>
      </c>
      <c r="M10991" t="s">
        <v>603</v>
      </c>
      <c r="N10991" t="s">
        <v>604</v>
      </c>
      <c r="O10991" s="37" t="str">
        <f t="shared" si="858"/>
        <v>Digital Payment</v>
      </c>
      <c r="P10991">
        <v>291.93</v>
      </c>
      <c r="Q10991" s="37" t="str">
        <f>IF(P10991&gt;500,"High","low")</f>
        <v>low</v>
      </c>
      <c r="R10991" s="37" t="str">
        <f t="shared" si="859"/>
        <v>AVERAGE</v>
      </c>
      <c r="S10991" t="s">
        <v>609</v>
      </c>
    </row>
    <row r="10992" spans="1:19" x14ac:dyDescent="0.2">
      <c r="A10992" t="s">
        <v>11603</v>
      </c>
      <c r="B10992" t="s">
        <v>75</v>
      </c>
      <c r="C10992" t="s">
        <v>614</v>
      </c>
      <c r="D10992">
        <v>3636.77</v>
      </c>
      <c r="E10992" s="37" t="str">
        <f t="shared" si="855"/>
        <v xml:space="preserve"> </v>
      </c>
      <c r="F10992">
        <v>0.02</v>
      </c>
      <c r="G10992" s="37" t="str">
        <f t="shared" si="856"/>
        <v>Normal Discount</v>
      </c>
      <c r="H10992" s="37" t="str">
        <f t="shared" si="857"/>
        <v>Low</v>
      </c>
      <c r="I10992">
        <v>4</v>
      </c>
      <c r="J10992" t="str" cm="1">
        <f t="array" ref="J10992">_xlfn.IFS(I10992&lt;=3,"small",I10992&lt;=6,"Medium",I10992&lt;=9,"Large")</f>
        <v>Medium</v>
      </c>
      <c r="K10992" s="36">
        <v>45340</v>
      </c>
      <c r="L10992" s="36">
        <v>45342</v>
      </c>
      <c r="M10992" t="s">
        <v>603</v>
      </c>
      <c r="N10992" t="s">
        <v>608</v>
      </c>
      <c r="O10992" s="37" t="str">
        <f t="shared" si="858"/>
        <v>Cash Payment</v>
      </c>
      <c r="P10992">
        <v>835.97</v>
      </c>
      <c r="Q10992" s="37" t="str">
        <f>IF(P10992&gt;500,"High","low")</f>
        <v>High</v>
      </c>
      <c r="R10992" s="37" t="str">
        <f t="shared" si="859"/>
        <v>Good</v>
      </c>
      <c r="S10992" t="s">
        <v>605</v>
      </c>
    </row>
    <row r="10993" spans="1:19" x14ac:dyDescent="0.2">
      <c r="A10993" t="s">
        <v>11604</v>
      </c>
      <c r="B10993" t="s">
        <v>83</v>
      </c>
      <c r="C10993" t="s">
        <v>602</v>
      </c>
      <c r="D10993">
        <v>653.29999999999995</v>
      </c>
      <c r="E10993" s="37" t="str">
        <f t="shared" si="855"/>
        <v xml:space="preserve"> </v>
      </c>
      <c r="F10993">
        <v>0.28000000000000003</v>
      </c>
      <c r="G10993" s="37" t="str">
        <f t="shared" si="856"/>
        <v>Normal Discount</v>
      </c>
      <c r="H10993" s="37" t="str">
        <f t="shared" si="857"/>
        <v>Medium</v>
      </c>
      <c r="I10993">
        <v>4</v>
      </c>
      <c r="J10993" t="str" cm="1">
        <f t="array" ref="J10993">_xlfn.IFS(I10993&lt;=3,"small",I10993&lt;=6,"Medium",I10993&lt;=9,"Large")</f>
        <v>Medium</v>
      </c>
      <c r="K10993" s="36">
        <v>45385</v>
      </c>
      <c r="L10993" s="36">
        <v>45392</v>
      </c>
      <c r="M10993" t="s">
        <v>598</v>
      </c>
      <c r="N10993" t="s">
        <v>608</v>
      </c>
      <c r="O10993" s="37" t="str">
        <f t="shared" si="858"/>
        <v>Cash Payment</v>
      </c>
      <c r="P10993">
        <v>83.55</v>
      </c>
      <c r="Q10993" s="37" t="str">
        <f>IF(P10993&gt;500,"High","low")</f>
        <v>low</v>
      </c>
      <c r="R10993" s="37" t="str">
        <f t="shared" si="859"/>
        <v>AVERAGE</v>
      </c>
      <c r="S10993" t="s">
        <v>609</v>
      </c>
    </row>
    <row r="10994" spans="1:19" x14ac:dyDescent="0.2">
      <c r="A10994" t="s">
        <v>11605</v>
      </c>
      <c r="B10994" t="s">
        <v>90</v>
      </c>
      <c r="C10994" t="s">
        <v>617</v>
      </c>
      <c r="D10994">
        <v>1564.96</v>
      </c>
      <c r="E10994" s="37" t="str">
        <f t="shared" si="855"/>
        <v xml:space="preserve"> </v>
      </c>
      <c r="F10994">
        <v>0.23</v>
      </c>
      <c r="G10994" s="37" t="str">
        <f t="shared" si="856"/>
        <v>Normal Discount</v>
      </c>
      <c r="H10994" s="37" t="str">
        <f t="shared" si="857"/>
        <v>Medium</v>
      </c>
      <c r="I10994">
        <v>1</v>
      </c>
      <c r="J10994" t="str" cm="1">
        <f t="array" ref="J10994">_xlfn.IFS(I10994&lt;=3,"small",I10994&lt;=6,"Medium",I10994&lt;=9,"Large")</f>
        <v>small</v>
      </c>
      <c r="K10994" s="36">
        <v>45327</v>
      </c>
      <c r="L10994" s="36">
        <v>45329</v>
      </c>
      <c r="M10994" t="s">
        <v>603</v>
      </c>
      <c r="N10994" t="s">
        <v>608</v>
      </c>
      <c r="O10994" s="37" t="str">
        <f t="shared" si="858"/>
        <v>Cash Payment</v>
      </c>
      <c r="P10994">
        <v>272.73</v>
      </c>
      <c r="Q10994" s="37" t="str">
        <f>IF(P10994&gt;500,"High","low")</f>
        <v>low</v>
      </c>
      <c r="R10994" s="37" t="str">
        <f t="shared" si="859"/>
        <v>AVERAGE</v>
      </c>
      <c r="S10994" t="s">
        <v>600</v>
      </c>
    </row>
    <row r="10995" spans="1:19" x14ac:dyDescent="0.2">
      <c r="A10995" t="s">
        <v>11606</v>
      </c>
      <c r="B10995" t="s">
        <v>83</v>
      </c>
      <c r="C10995" t="s">
        <v>617</v>
      </c>
      <c r="D10995">
        <v>1449.69</v>
      </c>
      <c r="E10995" s="37" t="str">
        <f t="shared" si="855"/>
        <v xml:space="preserve"> </v>
      </c>
      <c r="F10995">
        <v>0.45</v>
      </c>
      <c r="G10995" s="37" t="str">
        <f t="shared" si="856"/>
        <v>Heavy Discount</v>
      </c>
      <c r="H10995" s="37" t="str">
        <f t="shared" si="857"/>
        <v>High</v>
      </c>
      <c r="I10995">
        <v>6</v>
      </c>
      <c r="J10995" t="str" cm="1">
        <f t="array" ref="J10995">_xlfn.IFS(I10995&lt;=3,"small",I10995&lt;=6,"Medium",I10995&lt;=9,"Large")</f>
        <v>Medium</v>
      </c>
      <c r="K10995" s="36">
        <v>45576</v>
      </c>
      <c r="L10995" s="36">
        <v>45580</v>
      </c>
      <c r="M10995" t="s">
        <v>598</v>
      </c>
      <c r="N10995" t="s">
        <v>604</v>
      </c>
      <c r="O10995" s="37" t="str">
        <f t="shared" si="858"/>
        <v>Digital Payment</v>
      </c>
      <c r="P10995">
        <v>385.06</v>
      </c>
      <c r="Q10995" s="37" t="str">
        <f>IF(P10995&gt;500,"High","low")</f>
        <v>low</v>
      </c>
      <c r="R10995" s="37" t="str">
        <f t="shared" si="859"/>
        <v>AVERAGE</v>
      </c>
      <c r="S10995" t="s">
        <v>615</v>
      </c>
    </row>
    <row r="10996" spans="1:19" x14ac:dyDescent="0.2">
      <c r="A10996" t="s">
        <v>11607</v>
      </c>
      <c r="B10996" t="s">
        <v>90</v>
      </c>
      <c r="C10996" t="s">
        <v>597</v>
      </c>
      <c r="D10996">
        <v>2922.28</v>
      </c>
      <c r="E10996" s="37" t="str">
        <f t="shared" si="855"/>
        <v xml:space="preserve"> </v>
      </c>
      <c r="F10996">
        <v>0.37</v>
      </c>
      <c r="G10996" s="37" t="str">
        <f t="shared" si="856"/>
        <v>Heavy Discount</v>
      </c>
      <c r="H10996" s="37" t="str">
        <f t="shared" si="857"/>
        <v>Medium</v>
      </c>
      <c r="I10996">
        <v>7</v>
      </c>
      <c r="J10996" t="str" cm="1">
        <f t="array" ref="J10996">_xlfn.IFS(I10996&lt;=3,"small",I10996&lt;=6,"Medium",I10996&lt;=9,"Large")</f>
        <v>Large</v>
      </c>
      <c r="K10996" s="36">
        <v>45429</v>
      </c>
      <c r="L10996" s="36">
        <v>45431</v>
      </c>
      <c r="M10996" t="s">
        <v>598</v>
      </c>
      <c r="N10996" t="s">
        <v>599</v>
      </c>
      <c r="O10996" s="37" t="str">
        <f t="shared" si="858"/>
        <v>Digital Payment</v>
      </c>
      <c r="P10996">
        <v>193.39</v>
      </c>
      <c r="Q10996" s="37" t="str">
        <f>IF(P10996&gt;500,"High","low")</f>
        <v>low</v>
      </c>
      <c r="R10996" s="37" t="str">
        <f t="shared" si="859"/>
        <v>AVERAGE</v>
      </c>
      <c r="S10996" t="s">
        <v>628</v>
      </c>
    </row>
    <row r="10997" spans="1:19" x14ac:dyDescent="0.2">
      <c r="A10997" t="s">
        <v>11608</v>
      </c>
      <c r="B10997" t="s">
        <v>75</v>
      </c>
      <c r="C10997" t="s">
        <v>602</v>
      </c>
      <c r="D10997">
        <v>1720.98</v>
      </c>
      <c r="E10997" s="37" t="str">
        <f t="shared" si="855"/>
        <v xml:space="preserve"> </v>
      </c>
      <c r="F10997">
        <v>0.21</v>
      </c>
      <c r="G10997" s="37" t="str">
        <f t="shared" si="856"/>
        <v>Normal Discount</v>
      </c>
      <c r="H10997" s="37" t="str">
        <f t="shared" si="857"/>
        <v>Medium</v>
      </c>
      <c r="I10997">
        <v>7</v>
      </c>
      <c r="J10997" t="str" cm="1">
        <f t="array" ref="J10997">_xlfn.IFS(I10997&lt;=3,"small",I10997&lt;=6,"Medium",I10997&lt;=9,"Large")</f>
        <v>Large</v>
      </c>
      <c r="K10997" s="36">
        <v>45277</v>
      </c>
      <c r="L10997" s="36">
        <v>45281</v>
      </c>
      <c r="M10997" t="s">
        <v>603</v>
      </c>
      <c r="N10997" t="s">
        <v>604</v>
      </c>
      <c r="O10997" s="37" t="str">
        <f t="shared" si="858"/>
        <v>Digital Payment</v>
      </c>
      <c r="P10997">
        <v>454.01</v>
      </c>
      <c r="Q10997" s="37" t="str">
        <f>IF(P10997&gt;500,"High","low")</f>
        <v>low</v>
      </c>
      <c r="R10997" s="37" t="str">
        <f t="shared" si="859"/>
        <v>AVERAGE</v>
      </c>
      <c r="S10997" t="s">
        <v>609</v>
      </c>
    </row>
    <row r="10998" spans="1:19" x14ac:dyDescent="0.2">
      <c r="A10998" t="s">
        <v>11609</v>
      </c>
      <c r="B10998" t="s">
        <v>67</v>
      </c>
      <c r="C10998" t="s">
        <v>614</v>
      </c>
      <c r="D10998">
        <v>3241.23</v>
      </c>
      <c r="E10998" s="37" t="str">
        <f t="shared" si="855"/>
        <v xml:space="preserve"> </v>
      </c>
      <c r="F10998">
        <v>0.28000000000000003</v>
      </c>
      <c r="G10998" s="37" t="str">
        <f t="shared" si="856"/>
        <v>Normal Discount</v>
      </c>
      <c r="H10998" s="37" t="str">
        <f t="shared" si="857"/>
        <v>Medium</v>
      </c>
      <c r="I10998">
        <v>5</v>
      </c>
      <c r="J10998" t="str" cm="1">
        <f t="array" ref="J10998">_xlfn.IFS(I10998&lt;=3,"small",I10998&lt;=6,"Medium",I10998&lt;=9,"Large")</f>
        <v>Medium</v>
      </c>
      <c r="K10998" s="36">
        <v>45449</v>
      </c>
      <c r="L10998" s="36">
        <v>45453</v>
      </c>
      <c r="M10998" t="s">
        <v>598</v>
      </c>
      <c r="N10998" t="s">
        <v>604</v>
      </c>
      <c r="O10998" s="37" t="str">
        <f t="shared" si="858"/>
        <v>Digital Payment</v>
      </c>
      <c r="P10998">
        <v>430.68</v>
      </c>
      <c r="Q10998" s="37" t="str">
        <f>IF(P10998&gt;500,"High","low")</f>
        <v>low</v>
      </c>
      <c r="R10998" s="37" t="str">
        <f t="shared" si="859"/>
        <v>AVERAGE</v>
      </c>
      <c r="S10998" t="s">
        <v>600</v>
      </c>
    </row>
    <row r="10999" spans="1:19" x14ac:dyDescent="0.2">
      <c r="A10999" t="s">
        <v>11610</v>
      </c>
      <c r="B10999" t="s">
        <v>83</v>
      </c>
      <c r="C10999" t="s">
        <v>597</v>
      </c>
      <c r="D10999">
        <v>3481.44</v>
      </c>
      <c r="E10999" s="37" t="str">
        <f t="shared" si="855"/>
        <v xml:space="preserve"> </v>
      </c>
      <c r="F10999">
        <v>0.21</v>
      </c>
      <c r="G10999" s="37" t="str">
        <f t="shared" si="856"/>
        <v>Normal Discount</v>
      </c>
      <c r="H10999" s="37" t="str">
        <f t="shared" si="857"/>
        <v>Medium</v>
      </c>
      <c r="I10999">
        <v>4</v>
      </c>
      <c r="J10999" t="str" cm="1">
        <f t="array" ref="J10999">_xlfn.IFS(I10999&lt;=3,"small",I10999&lt;=6,"Medium",I10999&lt;=9,"Large")</f>
        <v>Medium</v>
      </c>
      <c r="K10999" s="36">
        <v>45613</v>
      </c>
      <c r="L10999" s="36">
        <v>45619</v>
      </c>
      <c r="M10999" t="s">
        <v>603</v>
      </c>
      <c r="N10999" t="s">
        <v>608</v>
      </c>
      <c r="O10999" s="37" t="str">
        <f t="shared" si="858"/>
        <v>Cash Payment</v>
      </c>
      <c r="P10999">
        <v>387.86</v>
      </c>
      <c r="Q10999" s="37" t="str">
        <f>IF(P10999&gt;500,"High","low")</f>
        <v>low</v>
      </c>
      <c r="R10999" s="37" t="str">
        <f t="shared" si="859"/>
        <v>AVERAGE</v>
      </c>
      <c r="S10999" t="s">
        <v>628</v>
      </c>
    </row>
    <row r="11000" spans="1:19" x14ac:dyDescent="0.2">
      <c r="A11000" t="s">
        <v>11611</v>
      </c>
      <c r="B11000" t="s">
        <v>83</v>
      </c>
      <c r="C11000" t="s">
        <v>607</v>
      </c>
      <c r="D11000">
        <v>265.08</v>
      </c>
      <c r="E11000" s="37" t="str">
        <f t="shared" si="855"/>
        <v xml:space="preserve"> </v>
      </c>
      <c r="F11000">
        <v>0.22</v>
      </c>
      <c r="G11000" s="37" t="str">
        <f t="shared" si="856"/>
        <v>Normal Discount</v>
      </c>
      <c r="H11000" s="37" t="str">
        <f t="shared" si="857"/>
        <v>Medium</v>
      </c>
      <c r="I11000">
        <v>2</v>
      </c>
      <c r="J11000" t="str" cm="1">
        <f t="array" ref="J11000">_xlfn.IFS(I11000&lt;=3,"small",I11000&lt;=6,"Medium",I11000&lt;=9,"Large")</f>
        <v>small</v>
      </c>
      <c r="K11000" s="36">
        <v>45574</v>
      </c>
      <c r="L11000" s="36">
        <v>45581</v>
      </c>
      <c r="M11000" t="s">
        <v>612</v>
      </c>
      <c r="N11000" t="s">
        <v>604</v>
      </c>
      <c r="O11000" s="37" t="str">
        <f t="shared" si="858"/>
        <v>Digital Payment</v>
      </c>
      <c r="P11000">
        <v>69.5</v>
      </c>
      <c r="Q11000" s="37" t="str">
        <f>IF(P11000&gt;500,"High","low")</f>
        <v>low</v>
      </c>
      <c r="R11000" s="37" t="str">
        <f t="shared" si="859"/>
        <v>AVERAGE</v>
      </c>
      <c r="S11000" t="s">
        <v>609</v>
      </c>
    </row>
    <row r="11001" spans="1:19" x14ac:dyDescent="0.2">
      <c r="A11001" t="s">
        <v>11612</v>
      </c>
      <c r="B11001" t="s">
        <v>67</v>
      </c>
      <c r="C11001" t="s">
        <v>602</v>
      </c>
      <c r="D11001">
        <v>3234.81</v>
      </c>
      <c r="E11001" s="37" t="str">
        <f t="shared" si="855"/>
        <v xml:space="preserve"> </v>
      </c>
      <c r="F11001">
        <v>0.32</v>
      </c>
      <c r="G11001" s="37" t="str">
        <f t="shared" si="856"/>
        <v>Heavy Discount</v>
      </c>
      <c r="H11001" s="37" t="str">
        <f t="shared" si="857"/>
        <v>Medium</v>
      </c>
      <c r="I11001">
        <v>5</v>
      </c>
      <c r="J11001" t="str" cm="1">
        <f t="array" ref="J11001">_xlfn.IFS(I11001&lt;=3,"small",I11001&lt;=6,"Medium",I11001&lt;=9,"Large")</f>
        <v>Medium</v>
      </c>
      <c r="K11001" s="36">
        <v>44957</v>
      </c>
      <c r="L11001" s="36">
        <v>44958</v>
      </c>
      <c r="M11001" t="s">
        <v>612</v>
      </c>
      <c r="N11001" t="s">
        <v>599</v>
      </c>
      <c r="O11001" s="37" t="str">
        <f t="shared" si="858"/>
        <v>Digital Payment</v>
      </c>
      <c r="P11001">
        <v>723.79</v>
      </c>
      <c r="Q11001" s="37" t="str">
        <f>IF(P11001&gt;500,"High","low")</f>
        <v>High</v>
      </c>
      <c r="R11001" s="37" t="str">
        <f t="shared" si="859"/>
        <v>Good</v>
      </c>
      <c r="S11001" t="s">
        <v>620</v>
      </c>
    </row>
    <row r="11002" spans="1:19" x14ac:dyDescent="0.2">
      <c r="A11002" t="s">
        <v>11613</v>
      </c>
      <c r="B11002" t="s">
        <v>83</v>
      </c>
      <c r="C11002" t="s">
        <v>597</v>
      </c>
      <c r="D11002">
        <v>672.26</v>
      </c>
      <c r="E11002" s="37" t="str">
        <f t="shared" si="855"/>
        <v xml:space="preserve"> </v>
      </c>
      <c r="F11002">
        <v>0.11</v>
      </c>
      <c r="G11002" s="37" t="str">
        <f t="shared" si="856"/>
        <v>Normal Discount</v>
      </c>
      <c r="H11002" s="37" t="str">
        <f t="shared" si="857"/>
        <v>Low</v>
      </c>
      <c r="I11002">
        <v>4</v>
      </c>
      <c r="J11002" t="str" cm="1">
        <f t="array" ref="J11002">_xlfn.IFS(I11002&lt;=3,"small",I11002&lt;=6,"Medium",I11002&lt;=9,"Large")</f>
        <v>Medium</v>
      </c>
      <c r="K11002" s="36">
        <v>45283</v>
      </c>
      <c r="L11002" s="36">
        <v>45290</v>
      </c>
      <c r="M11002" t="s">
        <v>598</v>
      </c>
      <c r="N11002" t="s">
        <v>604</v>
      </c>
      <c r="O11002" s="37" t="str">
        <f t="shared" si="858"/>
        <v>Digital Payment</v>
      </c>
      <c r="P11002">
        <v>83.36</v>
      </c>
      <c r="Q11002" s="37" t="str">
        <f>IF(P11002&gt;500,"High","low")</f>
        <v>low</v>
      </c>
      <c r="R11002" s="37" t="str">
        <f t="shared" si="859"/>
        <v>AVERAGE</v>
      </c>
      <c r="S11002" t="s">
        <v>615</v>
      </c>
    </row>
    <row r="11003" spans="1:19" x14ac:dyDescent="0.2">
      <c r="A11003" t="s">
        <v>11614</v>
      </c>
      <c r="B11003" t="s">
        <v>90</v>
      </c>
      <c r="C11003" t="s">
        <v>617</v>
      </c>
      <c r="D11003">
        <v>2379.16</v>
      </c>
      <c r="E11003" s="37" t="str">
        <f t="shared" si="855"/>
        <v xml:space="preserve"> </v>
      </c>
      <c r="F11003">
        <v>0.17</v>
      </c>
      <c r="G11003" s="37" t="str">
        <f t="shared" si="856"/>
        <v>Normal Discount</v>
      </c>
      <c r="H11003" s="37" t="str">
        <f t="shared" si="857"/>
        <v>Low</v>
      </c>
      <c r="I11003">
        <v>8</v>
      </c>
      <c r="J11003" t="str" cm="1">
        <f t="array" ref="J11003">_xlfn.IFS(I11003&lt;=3,"small",I11003&lt;=6,"Medium",I11003&lt;=9,"Large")</f>
        <v>Large</v>
      </c>
      <c r="K11003" s="36">
        <v>45603</v>
      </c>
      <c r="L11003" s="36">
        <v>45609</v>
      </c>
      <c r="M11003" t="s">
        <v>598</v>
      </c>
      <c r="N11003" t="s">
        <v>608</v>
      </c>
      <c r="O11003" s="37" t="str">
        <f t="shared" si="858"/>
        <v>Cash Payment</v>
      </c>
      <c r="P11003">
        <v>533.44000000000005</v>
      </c>
      <c r="Q11003" s="37" t="str">
        <f>IF(P11003&gt;500,"High","low")</f>
        <v>High</v>
      </c>
      <c r="R11003" s="37" t="str">
        <f t="shared" si="859"/>
        <v>Good</v>
      </c>
      <c r="S11003" t="s">
        <v>605</v>
      </c>
    </row>
    <row r="11004" spans="1:19" x14ac:dyDescent="0.2">
      <c r="A11004" t="s">
        <v>11615</v>
      </c>
      <c r="B11004" t="s">
        <v>67</v>
      </c>
      <c r="C11004" t="s">
        <v>597</v>
      </c>
      <c r="D11004">
        <v>3660.23</v>
      </c>
      <c r="E11004" s="37" t="str">
        <f t="shared" si="855"/>
        <v xml:space="preserve"> </v>
      </c>
      <c r="F11004">
        <v>0.14000000000000001</v>
      </c>
      <c r="G11004" s="37" t="str">
        <f t="shared" si="856"/>
        <v>Normal Discount</v>
      </c>
      <c r="H11004" s="37" t="str">
        <f t="shared" si="857"/>
        <v>Low</v>
      </c>
      <c r="I11004">
        <v>1</v>
      </c>
      <c r="J11004" t="str" cm="1">
        <f t="array" ref="J11004">_xlfn.IFS(I11004&lt;=3,"small",I11004&lt;=6,"Medium",I11004&lt;=9,"Large")</f>
        <v>small</v>
      </c>
      <c r="K11004" s="36">
        <v>45087</v>
      </c>
      <c r="L11004" s="36">
        <v>45089</v>
      </c>
      <c r="M11004" t="s">
        <v>603</v>
      </c>
      <c r="N11004" t="s">
        <v>608</v>
      </c>
      <c r="O11004" s="37" t="str">
        <f t="shared" si="858"/>
        <v>Cash Payment</v>
      </c>
      <c r="P11004">
        <v>1009.75</v>
      </c>
      <c r="Q11004" s="37" t="str">
        <f>IF(P11004&gt;500,"High","low")</f>
        <v>High</v>
      </c>
      <c r="R11004" s="37" t="str">
        <f t="shared" si="859"/>
        <v>Excellent</v>
      </c>
      <c r="S11004" t="s">
        <v>620</v>
      </c>
    </row>
    <row r="11005" spans="1:19" x14ac:dyDescent="0.2">
      <c r="A11005" t="s">
        <v>11616</v>
      </c>
      <c r="B11005" t="s">
        <v>90</v>
      </c>
      <c r="C11005" t="s">
        <v>607</v>
      </c>
      <c r="D11005">
        <v>3546.39</v>
      </c>
      <c r="E11005" s="37" t="str">
        <f t="shared" si="855"/>
        <v xml:space="preserve"> </v>
      </c>
      <c r="F11005">
        <v>0.4</v>
      </c>
      <c r="G11005" s="37" t="str">
        <f t="shared" si="856"/>
        <v>Heavy Discount</v>
      </c>
      <c r="H11005" s="37" t="str">
        <f t="shared" si="857"/>
        <v>Medium</v>
      </c>
      <c r="I11005">
        <v>7</v>
      </c>
      <c r="J11005" t="str" cm="1">
        <f t="array" ref="J11005">_xlfn.IFS(I11005&lt;=3,"small",I11005&lt;=6,"Medium",I11005&lt;=9,"Large")</f>
        <v>Large</v>
      </c>
      <c r="K11005" s="36">
        <v>45575</v>
      </c>
      <c r="L11005" s="36">
        <v>45582</v>
      </c>
      <c r="M11005" t="s">
        <v>603</v>
      </c>
      <c r="N11005" t="s">
        <v>608</v>
      </c>
      <c r="O11005" s="37" t="str">
        <f t="shared" si="858"/>
        <v>Cash Payment</v>
      </c>
      <c r="P11005">
        <v>949.09</v>
      </c>
      <c r="Q11005" s="37" t="str">
        <f>IF(P11005&gt;500,"High","low")</f>
        <v>High</v>
      </c>
      <c r="R11005" s="37" t="str">
        <f t="shared" si="859"/>
        <v>Good</v>
      </c>
      <c r="S11005" t="s">
        <v>600</v>
      </c>
    </row>
    <row r="11006" spans="1:19" x14ac:dyDescent="0.2">
      <c r="A11006" t="s">
        <v>11617</v>
      </c>
      <c r="B11006" t="s">
        <v>90</v>
      </c>
      <c r="C11006" t="s">
        <v>602</v>
      </c>
      <c r="D11006">
        <v>1569.13</v>
      </c>
      <c r="E11006" s="37" t="str">
        <f t="shared" si="855"/>
        <v xml:space="preserve"> </v>
      </c>
      <c r="F11006">
        <v>0.47</v>
      </c>
      <c r="G11006" s="37" t="str">
        <f t="shared" si="856"/>
        <v>Heavy Discount</v>
      </c>
      <c r="H11006" s="37" t="str">
        <f t="shared" si="857"/>
        <v>High</v>
      </c>
      <c r="I11006">
        <v>5</v>
      </c>
      <c r="J11006" t="str" cm="1">
        <f t="array" ref="J11006">_xlfn.IFS(I11006&lt;=3,"small",I11006&lt;=6,"Medium",I11006&lt;=9,"Large")</f>
        <v>Medium</v>
      </c>
      <c r="K11006" s="36">
        <v>45612</v>
      </c>
      <c r="L11006" s="36">
        <v>45614</v>
      </c>
      <c r="M11006" t="s">
        <v>603</v>
      </c>
      <c r="N11006" t="s">
        <v>608</v>
      </c>
      <c r="O11006" s="37" t="str">
        <f t="shared" si="858"/>
        <v>Cash Payment</v>
      </c>
      <c r="P11006">
        <v>394.73</v>
      </c>
      <c r="Q11006" s="37" t="str">
        <f>IF(P11006&gt;500,"High","low")</f>
        <v>low</v>
      </c>
      <c r="R11006" s="37" t="str">
        <f t="shared" si="859"/>
        <v>AVERAGE</v>
      </c>
      <c r="S11006" t="s">
        <v>620</v>
      </c>
    </row>
    <row r="11007" spans="1:19" x14ac:dyDescent="0.2">
      <c r="A11007" t="s">
        <v>11618</v>
      </c>
      <c r="B11007" t="s">
        <v>75</v>
      </c>
      <c r="C11007" t="s">
        <v>597</v>
      </c>
      <c r="D11007">
        <v>1434.59</v>
      </c>
      <c r="E11007" s="37" t="str">
        <f t="shared" si="855"/>
        <v xml:space="preserve"> </v>
      </c>
      <c r="F11007">
        <v>0.21</v>
      </c>
      <c r="G11007" s="37" t="str">
        <f t="shared" si="856"/>
        <v>Normal Discount</v>
      </c>
      <c r="H11007" s="37" t="str">
        <f t="shared" si="857"/>
        <v>Medium</v>
      </c>
      <c r="I11007">
        <v>5</v>
      </c>
      <c r="J11007" t="str" cm="1">
        <f t="array" ref="J11007">_xlfn.IFS(I11007&lt;=3,"small",I11007&lt;=6,"Medium",I11007&lt;=9,"Large")</f>
        <v>Medium</v>
      </c>
      <c r="K11007" s="36">
        <v>45423</v>
      </c>
      <c r="L11007" s="36">
        <v>45425</v>
      </c>
      <c r="M11007" t="s">
        <v>598</v>
      </c>
      <c r="N11007" t="s">
        <v>604</v>
      </c>
      <c r="O11007" s="37" t="str">
        <f t="shared" si="858"/>
        <v>Digital Payment</v>
      </c>
      <c r="P11007">
        <v>429.21</v>
      </c>
      <c r="Q11007" s="37" t="str">
        <f>IF(P11007&gt;500,"High","low")</f>
        <v>low</v>
      </c>
      <c r="R11007" s="37" t="str">
        <f t="shared" si="859"/>
        <v>AVERAGE</v>
      </c>
      <c r="S11007" t="s">
        <v>615</v>
      </c>
    </row>
    <row r="11008" spans="1:19" x14ac:dyDescent="0.2">
      <c r="A11008" t="s">
        <v>11619</v>
      </c>
      <c r="B11008" t="s">
        <v>90</v>
      </c>
      <c r="C11008" t="s">
        <v>614</v>
      </c>
      <c r="D11008">
        <v>2257.11</v>
      </c>
      <c r="E11008" s="37" t="str">
        <f t="shared" si="855"/>
        <v xml:space="preserve"> </v>
      </c>
      <c r="F11008">
        <v>0.04</v>
      </c>
      <c r="G11008" s="37" t="str">
        <f t="shared" si="856"/>
        <v>Normal Discount</v>
      </c>
      <c r="H11008" s="37" t="str">
        <f t="shared" si="857"/>
        <v>Low</v>
      </c>
      <c r="I11008">
        <v>1</v>
      </c>
      <c r="J11008" t="str" cm="1">
        <f t="array" ref="J11008">_xlfn.IFS(I11008&lt;=3,"small",I11008&lt;=6,"Medium",I11008&lt;=9,"Large")</f>
        <v>small</v>
      </c>
      <c r="K11008" s="36">
        <v>45195</v>
      </c>
      <c r="L11008" s="36">
        <v>45201</v>
      </c>
      <c r="M11008" t="s">
        <v>598</v>
      </c>
      <c r="N11008" t="s">
        <v>604</v>
      </c>
      <c r="O11008" s="37" t="str">
        <f t="shared" si="858"/>
        <v>Digital Payment</v>
      </c>
      <c r="P11008">
        <v>208.14</v>
      </c>
      <c r="Q11008" s="37" t="str">
        <f>IF(P11008&gt;500,"High","low")</f>
        <v>low</v>
      </c>
      <c r="R11008" s="37" t="str">
        <f t="shared" si="859"/>
        <v>AVERAGE</v>
      </c>
      <c r="S11008" t="s">
        <v>628</v>
      </c>
    </row>
    <row r="11009" spans="1:19" x14ac:dyDescent="0.2">
      <c r="A11009" t="s">
        <v>11620</v>
      </c>
      <c r="B11009" t="s">
        <v>75</v>
      </c>
      <c r="C11009" t="s">
        <v>602</v>
      </c>
      <c r="D11009">
        <v>1024.47</v>
      </c>
      <c r="E11009" s="37" t="str">
        <f t="shared" si="855"/>
        <v xml:space="preserve"> </v>
      </c>
      <c r="F11009">
        <v>0.05</v>
      </c>
      <c r="G11009" s="37" t="str">
        <f t="shared" si="856"/>
        <v>Normal Discount</v>
      </c>
      <c r="H11009" s="37" t="str">
        <f t="shared" si="857"/>
        <v>Low</v>
      </c>
      <c r="I11009">
        <v>9</v>
      </c>
      <c r="J11009" t="str" cm="1">
        <f t="array" ref="J11009">_xlfn.IFS(I11009&lt;=3,"small",I11009&lt;=6,"Medium",I11009&lt;=9,"Large")</f>
        <v>Large</v>
      </c>
      <c r="K11009" s="36">
        <v>45170</v>
      </c>
      <c r="L11009" s="36">
        <v>45177</v>
      </c>
      <c r="M11009" t="s">
        <v>603</v>
      </c>
      <c r="N11009" t="s">
        <v>604</v>
      </c>
      <c r="O11009" s="37" t="str">
        <f t="shared" si="858"/>
        <v>Digital Payment</v>
      </c>
      <c r="P11009">
        <v>243.16</v>
      </c>
      <c r="Q11009" s="37" t="str">
        <f>IF(P11009&gt;500,"High","low")</f>
        <v>low</v>
      </c>
      <c r="R11009" s="37" t="str">
        <f t="shared" si="859"/>
        <v>AVERAGE</v>
      </c>
      <c r="S11009" t="s">
        <v>620</v>
      </c>
    </row>
    <row r="11010" spans="1:19" x14ac:dyDescent="0.2">
      <c r="A11010" t="s">
        <v>11621</v>
      </c>
      <c r="B11010" t="s">
        <v>83</v>
      </c>
      <c r="C11010" t="s">
        <v>597</v>
      </c>
      <c r="D11010">
        <v>4876.03</v>
      </c>
      <c r="E11010" s="37" t="str">
        <f t="shared" si="855"/>
        <v xml:space="preserve"> </v>
      </c>
      <c r="F11010">
        <v>0.2</v>
      </c>
      <c r="G11010" s="37" t="str">
        <f t="shared" si="856"/>
        <v>Normal Discount</v>
      </c>
      <c r="H11010" s="37" t="str">
        <f t="shared" si="857"/>
        <v>Medium</v>
      </c>
      <c r="I11010">
        <v>7</v>
      </c>
      <c r="J11010" t="str" cm="1">
        <f t="array" ref="J11010">_xlfn.IFS(I11010&lt;=3,"small",I11010&lt;=6,"Medium",I11010&lt;=9,"Large")</f>
        <v>Large</v>
      </c>
      <c r="K11010" s="36">
        <v>45338</v>
      </c>
      <c r="L11010" s="36">
        <v>45341</v>
      </c>
      <c r="M11010" t="s">
        <v>603</v>
      </c>
      <c r="N11010" t="s">
        <v>604</v>
      </c>
      <c r="O11010" s="37" t="str">
        <f t="shared" si="858"/>
        <v>Digital Payment</v>
      </c>
      <c r="P11010">
        <v>602.71</v>
      </c>
      <c r="Q11010" s="37" t="str">
        <f>IF(P11010&gt;500,"High","low")</f>
        <v>High</v>
      </c>
      <c r="R11010" s="37" t="str">
        <f t="shared" si="859"/>
        <v>Good</v>
      </c>
      <c r="S11010" t="s">
        <v>609</v>
      </c>
    </row>
    <row r="11011" spans="1:19" x14ac:dyDescent="0.2">
      <c r="A11011" t="s">
        <v>11622</v>
      </c>
      <c r="B11011" t="s">
        <v>83</v>
      </c>
      <c r="C11011" t="s">
        <v>597</v>
      </c>
      <c r="D11011">
        <v>1790.09</v>
      </c>
      <c r="E11011" s="37" t="str">
        <f t="shared" ref="E11011:E11074" si="860">IF(AND(D11011&gt;4000,P11011&gt;800),"Excellent Order"," ")</f>
        <v xml:space="preserve"> </v>
      </c>
      <c r="F11011">
        <v>0.2</v>
      </c>
      <c r="G11011" s="37" t="str">
        <f t="shared" ref="G11011:G11074" si="861">IF(F11011&gt;30%,"Heavy Discount","Normal Discount")</f>
        <v>Normal Discount</v>
      </c>
      <c r="H11011" s="37" t="str">
        <f t="shared" ref="H11011:H11074" si="862">IF(F11011&gt;0.4,"High",IF(F11011&gt;=0.2,"Medium","Low"))</f>
        <v>Medium</v>
      </c>
      <c r="I11011">
        <v>2</v>
      </c>
      <c r="J11011" t="str" cm="1">
        <f t="array" ref="J11011">_xlfn.IFS(I11011&lt;=3,"small",I11011&lt;=6,"Medium",I11011&lt;=9,"Large")</f>
        <v>small</v>
      </c>
      <c r="K11011" s="36">
        <v>45490</v>
      </c>
      <c r="L11011" s="36">
        <v>45495</v>
      </c>
      <c r="M11011" t="s">
        <v>598</v>
      </c>
      <c r="N11011" t="s">
        <v>604</v>
      </c>
      <c r="O11011" s="37" t="str">
        <f t="shared" ref="O11011:O11074" si="863">IF(OR(N11011="Card",N11011="UPI"),"Digital Payment","Cash Payment")</f>
        <v>Digital Payment</v>
      </c>
      <c r="P11011">
        <v>506.54</v>
      </c>
      <c r="Q11011" s="37" t="str">
        <f>IF(P11011&gt;500,"High","low")</f>
        <v>High</v>
      </c>
      <c r="R11011" s="37" t="str">
        <f t="shared" ref="R11011:R11074" si="864">IF(P11011&gt;1000,"Excellent",IF(P11011&gt;=500,"Good","AVERAGE"))</f>
        <v>Good</v>
      </c>
      <c r="S11011" t="s">
        <v>628</v>
      </c>
    </row>
    <row r="11012" spans="1:19" x14ac:dyDescent="0.2">
      <c r="A11012" t="s">
        <v>11623</v>
      </c>
      <c r="B11012" t="s">
        <v>75</v>
      </c>
      <c r="C11012" t="s">
        <v>602</v>
      </c>
      <c r="D11012">
        <v>4622.67</v>
      </c>
      <c r="E11012" s="37" t="str">
        <f t="shared" si="860"/>
        <v xml:space="preserve"> </v>
      </c>
      <c r="F11012">
        <v>7.0000000000000007E-2</v>
      </c>
      <c r="G11012" s="37" t="str">
        <f t="shared" si="861"/>
        <v>Normal Discount</v>
      </c>
      <c r="H11012" s="37" t="str">
        <f t="shared" si="862"/>
        <v>Low</v>
      </c>
      <c r="I11012">
        <v>5</v>
      </c>
      <c r="J11012" t="str" cm="1">
        <f t="array" ref="J11012">_xlfn.IFS(I11012&lt;=3,"small",I11012&lt;=6,"Medium",I11012&lt;=9,"Large")</f>
        <v>Medium</v>
      </c>
      <c r="K11012" s="36">
        <v>45115</v>
      </c>
      <c r="L11012" s="36">
        <v>45120</v>
      </c>
      <c r="M11012" t="s">
        <v>612</v>
      </c>
      <c r="N11012" t="s">
        <v>599</v>
      </c>
      <c r="O11012" s="37" t="str">
        <f t="shared" si="863"/>
        <v>Digital Payment</v>
      </c>
      <c r="P11012">
        <v>324.13</v>
      </c>
      <c r="Q11012" s="37" t="str">
        <f>IF(P11012&gt;500,"High","low")</f>
        <v>low</v>
      </c>
      <c r="R11012" s="37" t="str">
        <f t="shared" si="864"/>
        <v>AVERAGE</v>
      </c>
      <c r="S11012" t="s">
        <v>600</v>
      </c>
    </row>
    <row r="11013" spans="1:19" x14ac:dyDescent="0.2">
      <c r="A11013" t="s">
        <v>11624</v>
      </c>
      <c r="B11013" t="s">
        <v>90</v>
      </c>
      <c r="C11013" t="s">
        <v>617</v>
      </c>
      <c r="D11013">
        <v>4550.5</v>
      </c>
      <c r="E11013" s="37" t="str">
        <f t="shared" si="860"/>
        <v>Excellent Order</v>
      </c>
      <c r="F11013">
        <v>0.4</v>
      </c>
      <c r="G11013" s="37" t="str">
        <f t="shared" si="861"/>
        <v>Heavy Discount</v>
      </c>
      <c r="H11013" s="37" t="str">
        <f t="shared" si="862"/>
        <v>Medium</v>
      </c>
      <c r="I11013">
        <v>8</v>
      </c>
      <c r="J11013" t="str" cm="1">
        <f t="array" ref="J11013">_xlfn.IFS(I11013&lt;=3,"small",I11013&lt;=6,"Medium",I11013&lt;=9,"Large")</f>
        <v>Large</v>
      </c>
      <c r="K11013" s="36">
        <v>44936</v>
      </c>
      <c r="L11013" s="36">
        <v>44939</v>
      </c>
      <c r="M11013" t="s">
        <v>598</v>
      </c>
      <c r="N11013" t="s">
        <v>608</v>
      </c>
      <c r="O11013" s="37" t="str">
        <f t="shared" si="863"/>
        <v>Cash Payment</v>
      </c>
      <c r="P11013">
        <v>987.07</v>
      </c>
      <c r="Q11013" s="37" t="str">
        <f>IF(P11013&gt;500,"High","low")</f>
        <v>High</v>
      </c>
      <c r="R11013" s="37" t="str">
        <f t="shared" si="864"/>
        <v>Good</v>
      </c>
      <c r="S11013" t="s">
        <v>628</v>
      </c>
    </row>
    <row r="11014" spans="1:19" x14ac:dyDescent="0.2">
      <c r="A11014" t="s">
        <v>11625</v>
      </c>
      <c r="B11014" t="s">
        <v>67</v>
      </c>
      <c r="C11014" t="s">
        <v>614</v>
      </c>
      <c r="D11014">
        <v>1887.76</v>
      </c>
      <c r="E11014" s="37" t="str">
        <f t="shared" si="860"/>
        <v xml:space="preserve"> </v>
      </c>
      <c r="F11014">
        <v>0.25</v>
      </c>
      <c r="G11014" s="37" t="str">
        <f t="shared" si="861"/>
        <v>Normal Discount</v>
      </c>
      <c r="H11014" s="37" t="str">
        <f t="shared" si="862"/>
        <v>Medium</v>
      </c>
      <c r="I11014">
        <v>7</v>
      </c>
      <c r="J11014" t="str" cm="1">
        <f t="array" ref="J11014">_xlfn.IFS(I11014&lt;=3,"small",I11014&lt;=6,"Medium",I11014&lt;=9,"Large")</f>
        <v>Large</v>
      </c>
      <c r="K11014" s="36">
        <v>45608</v>
      </c>
      <c r="L11014" s="36">
        <v>45614</v>
      </c>
      <c r="M11014" t="s">
        <v>612</v>
      </c>
      <c r="N11014" t="s">
        <v>604</v>
      </c>
      <c r="O11014" s="37" t="str">
        <f t="shared" si="863"/>
        <v>Digital Payment</v>
      </c>
      <c r="P11014">
        <v>189.71</v>
      </c>
      <c r="Q11014" s="37" t="str">
        <f>IF(P11014&gt;500,"High","low")</f>
        <v>low</v>
      </c>
      <c r="R11014" s="37" t="str">
        <f t="shared" si="864"/>
        <v>AVERAGE</v>
      </c>
      <c r="S11014" t="s">
        <v>600</v>
      </c>
    </row>
    <row r="11015" spans="1:19" x14ac:dyDescent="0.2">
      <c r="A11015" t="s">
        <v>11626</v>
      </c>
      <c r="B11015" t="s">
        <v>67</v>
      </c>
      <c r="C11015" t="s">
        <v>602</v>
      </c>
      <c r="D11015">
        <v>1345.01</v>
      </c>
      <c r="E11015" s="37" t="str">
        <f t="shared" si="860"/>
        <v xml:space="preserve"> </v>
      </c>
      <c r="F11015">
        <v>0.05</v>
      </c>
      <c r="G11015" s="37" t="str">
        <f t="shared" si="861"/>
        <v>Normal Discount</v>
      </c>
      <c r="H11015" s="37" t="str">
        <f t="shared" si="862"/>
        <v>Low</v>
      </c>
      <c r="I11015">
        <v>2</v>
      </c>
      <c r="J11015" t="str" cm="1">
        <f t="array" ref="J11015">_xlfn.IFS(I11015&lt;=3,"small",I11015&lt;=6,"Medium",I11015&lt;=9,"Large")</f>
        <v>small</v>
      </c>
      <c r="K11015" s="36">
        <v>45091</v>
      </c>
      <c r="L11015" s="36">
        <v>45097</v>
      </c>
      <c r="M11015" t="s">
        <v>598</v>
      </c>
      <c r="N11015" t="s">
        <v>604</v>
      </c>
      <c r="O11015" s="37" t="str">
        <f t="shared" si="863"/>
        <v>Digital Payment</v>
      </c>
      <c r="P11015">
        <v>400.31</v>
      </c>
      <c r="Q11015" s="37" t="str">
        <f>IF(P11015&gt;500,"High","low")</f>
        <v>low</v>
      </c>
      <c r="R11015" s="37" t="str">
        <f t="shared" si="864"/>
        <v>AVERAGE</v>
      </c>
      <c r="S11015" t="s">
        <v>605</v>
      </c>
    </row>
    <row r="11016" spans="1:19" x14ac:dyDescent="0.2">
      <c r="A11016" t="s">
        <v>11627</v>
      </c>
      <c r="B11016" t="s">
        <v>75</v>
      </c>
      <c r="C11016" t="s">
        <v>614</v>
      </c>
      <c r="D11016">
        <v>3877.09</v>
      </c>
      <c r="E11016" s="37" t="str">
        <f t="shared" si="860"/>
        <v xml:space="preserve"> </v>
      </c>
      <c r="F11016">
        <v>0.05</v>
      </c>
      <c r="G11016" s="37" t="str">
        <f t="shared" si="861"/>
        <v>Normal Discount</v>
      </c>
      <c r="H11016" s="37" t="str">
        <f t="shared" si="862"/>
        <v>Low</v>
      </c>
      <c r="I11016">
        <v>7</v>
      </c>
      <c r="J11016" t="str" cm="1">
        <f t="array" ref="J11016">_xlfn.IFS(I11016&lt;=3,"small",I11016&lt;=6,"Medium",I11016&lt;=9,"Large")</f>
        <v>Large</v>
      </c>
      <c r="K11016" s="36">
        <v>45453</v>
      </c>
      <c r="L11016" s="36">
        <v>45455</v>
      </c>
      <c r="M11016" t="s">
        <v>612</v>
      </c>
      <c r="N11016" t="s">
        <v>599</v>
      </c>
      <c r="O11016" s="37" t="str">
        <f t="shared" si="863"/>
        <v>Digital Payment</v>
      </c>
      <c r="P11016">
        <v>697.53</v>
      </c>
      <c r="Q11016" s="37" t="str">
        <f>IF(P11016&gt;500,"High","low")</f>
        <v>High</v>
      </c>
      <c r="R11016" s="37" t="str">
        <f t="shared" si="864"/>
        <v>Good</v>
      </c>
      <c r="S11016" t="s">
        <v>628</v>
      </c>
    </row>
    <row r="11017" spans="1:19" x14ac:dyDescent="0.2">
      <c r="A11017" t="s">
        <v>11628</v>
      </c>
      <c r="B11017" t="s">
        <v>83</v>
      </c>
      <c r="C11017" t="s">
        <v>614</v>
      </c>
      <c r="D11017">
        <v>1223.95</v>
      </c>
      <c r="E11017" s="37" t="str">
        <f t="shared" si="860"/>
        <v xml:space="preserve"> </v>
      </c>
      <c r="F11017">
        <v>0.22</v>
      </c>
      <c r="G11017" s="37" t="str">
        <f t="shared" si="861"/>
        <v>Normal Discount</v>
      </c>
      <c r="H11017" s="37" t="str">
        <f t="shared" si="862"/>
        <v>Medium</v>
      </c>
      <c r="I11017">
        <v>6</v>
      </c>
      <c r="J11017" t="str" cm="1">
        <f t="array" ref="J11017">_xlfn.IFS(I11017&lt;=3,"small",I11017&lt;=6,"Medium",I11017&lt;=9,"Large")</f>
        <v>Medium</v>
      </c>
      <c r="K11017" s="36">
        <v>45288</v>
      </c>
      <c r="L11017" s="36">
        <v>45292</v>
      </c>
      <c r="M11017" t="s">
        <v>598</v>
      </c>
      <c r="N11017" t="s">
        <v>599</v>
      </c>
      <c r="O11017" s="37" t="str">
        <f t="shared" si="863"/>
        <v>Digital Payment</v>
      </c>
      <c r="P11017">
        <v>224.32</v>
      </c>
      <c r="Q11017" s="37" t="str">
        <f>IF(P11017&gt;500,"High","low")</f>
        <v>low</v>
      </c>
      <c r="R11017" s="37" t="str">
        <f t="shared" si="864"/>
        <v>AVERAGE</v>
      </c>
      <c r="S11017" t="s">
        <v>620</v>
      </c>
    </row>
    <row r="11018" spans="1:19" x14ac:dyDescent="0.2">
      <c r="A11018" t="s">
        <v>11629</v>
      </c>
      <c r="B11018" t="s">
        <v>83</v>
      </c>
      <c r="C11018" t="s">
        <v>602</v>
      </c>
      <c r="D11018">
        <v>2654.11</v>
      </c>
      <c r="E11018" s="37" t="str">
        <f t="shared" si="860"/>
        <v xml:space="preserve"> </v>
      </c>
      <c r="F11018">
        <v>0.06</v>
      </c>
      <c r="G11018" s="37" t="str">
        <f t="shared" si="861"/>
        <v>Normal Discount</v>
      </c>
      <c r="H11018" s="37" t="str">
        <f t="shared" si="862"/>
        <v>Low</v>
      </c>
      <c r="I11018">
        <v>8</v>
      </c>
      <c r="J11018" t="str" cm="1">
        <f t="array" ref="J11018">_xlfn.IFS(I11018&lt;=3,"small",I11018&lt;=6,"Medium",I11018&lt;=9,"Large")</f>
        <v>Large</v>
      </c>
      <c r="K11018" s="36">
        <v>45594</v>
      </c>
      <c r="L11018" s="36">
        <v>45601</v>
      </c>
      <c r="M11018" t="s">
        <v>603</v>
      </c>
      <c r="N11018" t="s">
        <v>608</v>
      </c>
      <c r="O11018" s="37" t="str">
        <f t="shared" si="863"/>
        <v>Cash Payment</v>
      </c>
      <c r="P11018">
        <v>482.6</v>
      </c>
      <c r="Q11018" s="37" t="str">
        <f>IF(P11018&gt;500,"High","low")</f>
        <v>low</v>
      </c>
      <c r="R11018" s="37" t="str">
        <f t="shared" si="864"/>
        <v>AVERAGE</v>
      </c>
      <c r="S11018" t="s">
        <v>615</v>
      </c>
    </row>
    <row r="11019" spans="1:19" x14ac:dyDescent="0.2">
      <c r="A11019" t="s">
        <v>11630</v>
      </c>
      <c r="B11019" t="s">
        <v>67</v>
      </c>
      <c r="C11019" t="s">
        <v>597</v>
      </c>
      <c r="D11019">
        <v>642.38</v>
      </c>
      <c r="E11019" s="37" t="str">
        <f t="shared" si="860"/>
        <v xml:space="preserve"> </v>
      </c>
      <c r="F11019">
        <v>0.28000000000000003</v>
      </c>
      <c r="G11019" s="37" t="str">
        <f t="shared" si="861"/>
        <v>Normal Discount</v>
      </c>
      <c r="H11019" s="37" t="str">
        <f t="shared" si="862"/>
        <v>Medium</v>
      </c>
      <c r="I11019">
        <v>9</v>
      </c>
      <c r="J11019" t="str" cm="1">
        <f t="array" ref="J11019">_xlfn.IFS(I11019&lt;=3,"small",I11019&lt;=6,"Medium",I11019&lt;=9,"Large")</f>
        <v>Large</v>
      </c>
      <c r="K11019" s="36">
        <v>45603</v>
      </c>
      <c r="L11019" s="36">
        <v>45606</v>
      </c>
      <c r="M11019" t="s">
        <v>612</v>
      </c>
      <c r="N11019" t="s">
        <v>599</v>
      </c>
      <c r="O11019" s="37" t="str">
        <f t="shared" si="863"/>
        <v>Digital Payment</v>
      </c>
      <c r="P11019">
        <v>153.97999999999999</v>
      </c>
      <c r="Q11019" s="37" t="str">
        <f>IF(P11019&gt;500,"High","low")</f>
        <v>low</v>
      </c>
      <c r="R11019" s="37" t="str">
        <f t="shared" si="864"/>
        <v>AVERAGE</v>
      </c>
      <c r="S11019" t="s">
        <v>605</v>
      </c>
    </row>
    <row r="11020" spans="1:19" x14ac:dyDescent="0.2">
      <c r="A11020" t="s">
        <v>11631</v>
      </c>
      <c r="B11020" t="s">
        <v>75</v>
      </c>
      <c r="C11020" t="s">
        <v>617</v>
      </c>
      <c r="D11020">
        <v>1991.07</v>
      </c>
      <c r="E11020" s="37" t="str">
        <f t="shared" si="860"/>
        <v xml:space="preserve"> </v>
      </c>
      <c r="F11020">
        <v>0.19</v>
      </c>
      <c r="G11020" s="37" t="str">
        <f t="shared" si="861"/>
        <v>Normal Discount</v>
      </c>
      <c r="H11020" s="37" t="str">
        <f t="shared" si="862"/>
        <v>Low</v>
      </c>
      <c r="I11020">
        <v>7</v>
      </c>
      <c r="J11020" t="str" cm="1">
        <f t="array" ref="J11020">_xlfn.IFS(I11020&lt;=3,"small",I11020&lt;=6,"Medium",I11020&lt;=9,"Large")</f>
        <v>Large</v>
      </c>
      <c r="K11020" s="36">
        <v>45119</v>
      </c>
      <c r="L11020" s="36">
        <v>45123</v>
      </c>
      <c r="M11020" t="s">
        <v>612</v>
      </c>
      <c r="N11020" t="s">
        <v>608</v>
      </c>
      <c r="O11020" s="37" t="str">
        <f t="shared" si="863"/>
        <v>Cash Payment</v>
      </c>
      <c r="P11020">
        <v>583.08000000000004</v>
      </c>
      <c r="Q11020" s="37" t="str">
        <f>IF(P11020&gt;500,"High","low")</f>
        <v>High</v>
      </c>
      <c r="R11020" s="37" t="str">
        <f t="shared" si="864"/>
        <v>Good</v>
      </c>
      <c r="S11020" t="s">
        <v>609</v>
      </c>
    </row>
    <row r="11021" spans="1:19" x14ac:dyDescent="0.2">
      <c r="A11021" t="s">
        <v>11632</v>
      </c>
      <c r="B11021" t="s">
        <v>67</v>
      </c>
      <c r="C11021" t="s">
        <v>614</v>
      </c>
      <c r="D11021">
        <v>482.96</v>
      </c>
      <c r="E11021" s="37" t="str">
        <f t="shared" si="860"/>
        <v xml:space="preserve"> </v>
      </c>
      <c r="F11021">
        <v>0.46</v>
      </c>
      <c r="G11021" s="37" t="str">
        <f t="shared" si="861"/>
        <v>Heavy Discount</v>
      </c>
      <c r="H11021" s="37" t="str">
        <f t="shared" si="862"/>
        <v>High</v>
      </c>
      <c r="I11021">
        <v>8</v>
      </c>
      <c r="J11021" t="str" cm="1">
        <f t="array" ref="J11021">_xlfn.IFS(I11021&lt;=3,"small",I11021&lt;=6,"Medium",I11021&lt;=9,"Large")</f>
        <v>Large</v>
      </c>
      <c r="K11021" s="36">
        <v>45323</v>
      </c>
      <c r="L11021" s="36">
        <v>45326</v>
      </c>
      <c r="M11021" t="s">
        <v>612</v>
      </c>
      <c r="N11021" t="s">
        <v>599</v>
      </c>
      <c r="O11021" s="37" t="str">
        <f t="shared" si="863"/>
        <v>Digital Payment</v>
      </c>
      <c r="P11021">
        <v>140.13</v>
      </c>
      <c r="Q11021" s="37" t="str">
        <f>IF(P11021&gt;500,"High","low")</f>
        <v>low</v>
      </c>
      <c r="R11021" s="37" t="str">
        <f t="shared" si="864"/>
        <v>AVERAGE</v>
      </c>
      <c r="S11021" t="s">
        <v>628</v>
      </c>
    </row>
    <row r="11022" spans="1:19" x14ac:dyDescent="0.2">
      <c r="A11022" t="s">
        <v>11633</v>
      </c>
      <c r="B11022" t="s">
        <v>90</v>
      </c>
      <c r="C11022" t="s">
        <v>614</v>
      </c>
      <c r="D11022">
        <v>1488.85</v>
      </c>
      <c r="E11022" s="37" t="str">
        <f t="shared" si="860"/>
        <v xml:space="preserve"> </v>
      </c>
      <c r="F11022">
        <v>0.21</v>
      </c>
      <c r="G11022" s="37" t="str">
        <f t="shared" si="861"/>
        <v>Normal Discount</v>
      </c>
      <c r="H11022" s="37" t="str">
        <f t="shared" si="862"/>
        <v>Medium</v>
      </c>
      <c r="I11022">
        <v>7</v>
      </c>
      <c r="J11022" t="str" cm="1">
        <f t="array" ref="J11022">_xlfn.IFS(I11022&lt;=3,"small",I11022&lt;=6,"Medium",I11022&lt;=9,"Large")</f>
        <v>Large</v>
      </c>
      <c r="K11022" s="36">
        <v>44982</v>
      </c>
      <c r="L11022" s="36">
        <v>44984</v>
      </c>
      <c r="M11022" t="s">
        <v>598</v>
      </c>
      <c r="N11022" t="s">
        <v>599</v>
      </c>
      <c r="O11022" s="37" t="str">
        <f t="shared" si="863"/>
        <v>Digital Payment</v>
      </c>
      <c r="P11022">
        <v>161.28</v>
      </c>
      <c r="Q11022" s="37" t="str">
        <f>IF(P11022&gt;500,"High","low")</f>
        <v>low</v>
      </c>
      <c r="R11022" s="37" t="str">
        <f t="shared" si="864"/>
        <v>AVERAGE</v>
      </c>
      <c r="S11022" t="s">
        <v>628</v>
      </c>
    </row>
    <row r="11023" spans="1:19" x14ac:dyDescent="0.2">
      <c r="A11023" t="s">
        <v>11634</v>
      </c>
      <c r="B11023" t="s">
        <v>90</v>
      </c>
      <c r="C11023" t="s">
        <v>597</v>
      </c>
      <c r="D11023">
        <v>3359.94</v>
      </c>
      <c r="E11023" s="37" t="str">
        <f t="shared" si="860"/>
        <v xml:space="preserve"> </v>
      </c>
      <c r="F11023">
        <v>0.31</v>
      </c>
      <c r="G11023" s="37" t="str">
        <f t="shared" si="861"/>
        <v>Heavy Discount</v>
      </c>
      <c r="H11023" s="37" t="str">
        <f t="shared" si="862"/>
        <v>Medium</v>
      </c>
      <c r="I11023">
        <v>7</v>
      </c>
      <c r="J11023" t="str" cm="1">
        <f t="array" ref="J11023">_xlfn.IFS(I11023&lt;=3,"small",I11023&lt;=6,"Medium",I11023&lt;=9,"Large")</f>
        <v>Large</v>
      </c>
      <c r="K11023" s="36">
        <v>45414</v>
      </c>
      <c r="L11023" s="36">
        <v>45420</v>
      </c>
      <c r="M11023" t="s">
        <v>598</v>
      </c>
      <c r="N11023" t="s">
        <v>599</v>
      </c>
      <c r="O11023" s="37" t="str">
        <f t="shared" si="863"/>
        <v>Digital Payment</v>
      </c>
      <c r="P11023">
        <v>637.34</v>
      </c>
      <c r="Q11023" s="37" t="str">
        <f>IF(P11023&gt;500,"High","low")</f>
        <v>High</v>
      </c>
      <c r="R11023" s="37" t="str">
        <f t="shared" si="864"/>
        <v>Good</v>
      </c>
      <c r="S11023" t="s">
        <v>609</v>
      </c>
    </row>
    <row r="11024" spans="1:19" x14ac:dyDescent="0.2">
      <c r="A11024" t="s">
        <v>11635</v>
      </c>
      <c r="B11024" t="s">
        <v>75</v>
      </c>
      <c r="C11024" t="s">
        <v>602</v>
      </c>
      <c r="D11024">
        <v>4957.41</v>
      </c>
      <c r="E11024" s="37" t="str">
        <f t="shared" si="860"/>
        <v>Excellent Order</v>
      </c>
      <c r="F11024">
        <v>0.41</v>
      </c>
      <c r="G11024" s="37" t="str">
        <f t="shared" si="861"/>
        <v>Heavy Discount</v>
      </c>
      <c r="H11024" s="37" t="str">
        <f t="shared" si="862"/>
        <v>High</v>
      </c>
      <c r="I11024">
        <v>1</v>
      </c>
      <c r="J11024" t="str" cm="1">
        <f t="array" ref="J11024">_xlfn.IFS(I11024&lt;=3,"small",I11024&lt;=6,"Medium",I11024&lt;=9,"Large")</f>
        <v>small</v>
      </c>
      <c r="K11024" s="36">
        <v>45212</v>
      </c>
      <c r="L11024" s="36">
        <v>45218</v>
      </c>
      <c r="M11024" t="s">
        <v>598</v>
      </c>
      <c r="N11024" t="s">
        <v>604</v>
      </c>
      <c r="O11024" s="37" t="str">
        <f t="shared" si="863"/>
        <v>Digital Payment</v>
      </c>
      <c r="P11024">
        <v>924.4</v>
      </c>
      <c r="Q11024" s="37" t="str">
        <f>IF(P11024&gt;500,"High","low")</f>
        <v>High</v>
      </c>
      <c r="R11024" s="37" t="str">
        <f t="shared" si="864"/>
        <v>Good</v>
      </c>
      <c r="S11024" t="s">
        <v>620</v>
      </c>
    </row>
    <row r="11025" spans="1:19" x14ac:dyDescent="0.2">
      <c r="A11025" t="s">
        <v>11636</v>
      </c>
      <c r="B11025" t="s">
        <v>75</v>
      </c>
      <c r="C11025" t="s">
        <v>617</v>
      </c>
      <c r="D11025">
        <v>1348.56</v>
      </c>
      <c r="E11025" s="37" t="str">
        <f t="shared" si="860"/>
        <v xml:space="preserve"> </v>
      </c>
      <c r="F11025">
        <v>0.15</v>
      </c>
      <c r="G11025" s="37" t="str">
        <f t="shared" si="861"/>
        <v>Normal Discount</v>
      </c>
      <c r="H11025" s="37" t="str">
        <f t="shared" si="862"/>
        <v>Low</v>
      </c>
      <c r="I11025">
        <v>5</v>
      </c>
      <c r="J11025" t="str" cm="1">
        <f t="array" ref="J11025">_xlfn.IFS(I11025&lt;=3,"small",I11025&lt;=6,"Medium",I11025&lt;=9,"Large")</f>
        <v>Medium</v>
      </c>
      <c r="K11025" s="36">
        <v>45170</v>
      </c>
      <c r="L11025" s="36">
        <v>45177</v>
      </c>
      <c r="M11025" t="s">
        <v>612</v>
      </c>
      <c r="N11025" t="s">
        <v>599</v>
      </c>
      <c r="O11025" s="37" t="str">
        <f t="shared" si="863"/>
        <v>Digital Payment</v>
      </c>
      <c r="P11025">
        <v>109.41</v>
      </c>
      <c r="Q11025" s="37" t="str">
        <f>IF(P11025&gt;500,"High","low")</f>
        <v>low</v>
      </c>
      <c r="R11025" s="37" t="str">
        <f t="shared" si="864"/>
        <v>AVERAGE</v>
      </c>
      <c r="S11025" t="s">
        <v>600</v>
      </c>
    </row>
    <row r="11026" spans="1:19" x14ac:dyDescent="0.2">
      <c r="A11026" t="s">
        <v>11637</v>
      </c>
      <c r="B11026" t="s">
        <v>90</v>
      </c>
      <c r="C11026" t="s">
        <v>614</v>
      </c>
      <c r="D11026">
        <v>2419.27</v>
      </c>
      <c r="E11026" s="37" t="str">
        <f t="shared" si="860"/>
        <v xml:space="preserve"> </v>
      </c>
      <c r="F11026">
        <v>0.26</v>
      </c>
      <c r="G11026" s="37" t="str">
        <f t="shared" si="861"/>
        <v>Normal Discount</v>
      </c>
      <c r="H11026" s="37" t="str">
        <f t="shared" si="862"/>
        <v>Medium</v>
      </c>
      <c r="I11026">
        <v>5</v>
      </c>
      <c r="J11026" t="str" cm="1">
        <f t="array" ref="J11026">_xlfn.IFS(I11026&lt;=3,"small",I11026&lt;=6,"Medium",I11026&lt;=9,"Large")</f>
        <v>Medium</v>
      </c>
      <c r="K11026" s="36">
        <v>44990</v>
      </c>
      <c r="L11026" s="36">
        <v>44992</v>
      </c>
      <c r="M11026" t="s">
        <v>603</v>
      </c>
      <c r="N11026" t="s">
        <v>604</v>
      </c>
      <c r="O11026" s="37" t="str">
        <f t="shared" si="863"/>
        <v>Digital Payment</v>
      </c>
      <c r="P11026">
        <v>542.59</v>
      </c>
      <c r="Q11026" s="37" t="str">
        <f>IF(P11026&gt;500,"High","low")</f>
        <v>High</v>
      </c>
      <c r="R11026" s="37" t="str">
        <f t="shared" si="864"/>
        <v>Good</v>
      </c>
      <c r="S11026" t="s">
        <v>620</v>
      </c>
    </row>
    <row r="11027" spans="1:19" x14ac:dyDescent="0.2">
      <c r="A11027" t="s">
        <v>11638</v>
      </c>
      <c r="B11027" t="s">
        <v>83</v>
      </c>
      <c r="C11027" t="s">
        <v>614</v>
      </c>
      <c r="D11027">
        <v>2295.4299999999998</v>
      </c>
      <c r="E11027" s="37" t="str">
        <f t="shared" si="860"/>
        <v xml:space="preserve"> </v>
      </c>
      <c r="F11027">
        <v>0.06</v>
      </c>
      <c r="G11027" s="37" t="str">
        <f t="shared" si="861"/>
        <v>Normal Discount</v>
      </c>
      <c r="H11027" s="37" t="str">
        <f t="shared" si="862"/>
        <v>Low</v>
      </c>
      <c r="I11027">
        <v>4</v>
      </c>
      <c r="J11027" t="str" cm="1">
        <f t="array" ref="J11027">_xlfn.IFS(I11027&lt;=3,"small",I11027&lt;=6,"Medium",I11027&lt;=9,"Large")</f>
        <v>Medium</v>
      </c>
      <c r="K11027" s="36">
        <v>45202</v>
      </c>
      <c r="L11027" s="36">
        <v>45205</v>
      </c>
      <c r="M11027" t="s">
        <v>598</v>
      </c>
      <c r="N11027" t="s">
        <v>608</v>
      </c>
      <c r="O11027" s="37" t="str">
        <f t="shared" si="863"/>
        <v>Cash Payment</v>
      </c>
      <c r="P11027">
        <v>550.39</v>
      </c>
      <c r="Q11027" s="37" t="str">
        <f>IF(P11027&gt;500,"High","low")</f>
        <v>High</v>
      </c>
      <c r="R11027" s="37" t="str">
        <f t="shared" si="864"/>
        <v>Good</v>
      </c>
      <c r="S11027" t="s">
        <v>605</v>
      </c>
    </row>
    <row r="11028" spans="1:19" x14ac:dyDescent="0.2">
      <c r="A11028" t="s">
        <v>11639</v>
      </c>
      <c r="B11028" t="s">
        <v>75</v>
      </c>
      <c r="C11028" t="s">
        <v>602</v>
      </c>
      <c r="D11028">
        <v>1002.35</v>
      </c>
      <c r="E11028" s="37" t="str">
        <f t="shared" si="860"/>
        <v xml:space="preserve"> </v>
      </c>
      <c r="F11028">
        <v>0.22</v>
      </c>
      <c r="G11028" s="37" t="str">
        <f t="shared" si="861"/>
        <v>Normal Discount</v>
      </c>
      <c r="H11028" s="37" t="str">
        <f t="shared" si="862"/>
        <v>Medium</v>
      </c>
      <c r="I11028">
        <v>1</v>
      </c>
      <c r="J11028" t="str" cm="1">
        <f t="array" ref="J11028">_xlfn.IFS(I11028&lt;=3,"small",I11028&lt;=6,"Medium",I11028&lt;=9,"Large")</f>
        <v>small</v>
      </c>
      <c r="K11028" s="36">
        <v>45172</v>
      </c>
      <c r="L11028" s="36">
        <v>45179</v>
      </c>
      <c r="M11028" t="s">
        <v>612</v>
      </c>
      <c r="N11028" t="s">
        <v>599</v>
      </c>
      <c r="O11028" s="37" t="str">
        <f t="shared" si="863"/>
        <v>Digital Payment</v>
      </c>
      <c r="P11028">
        <v>267.95999999999998</v>
      </c>
      <c r="Q11028" s="37" t="str">
        <f>IF(P11028&gt;500,"High","low")</f>
        <v>low</v>
      </c>
      <c r="R11028" s="37" t="str">
        <f t="shared" si="864"/>
        <v>AVERAGE</v>
      </c>
      <c r="S11028" t="s">
        <v>620</v>
      </c>
    </row>
    <row r="11029" spans="1:19" x14ac:dyDescent="0.2">
      <c r="A11029" t="s">
        <v>11640</v>
      </c>
      <c r="B11029" t="s">
        <v>90</v>
      </c>
      <c r="C11029" t="s">
        <v>597</v>
      </c>
      <c r="D11029">
        <v>3089.34</v>
      </c>
      <c r="E11029" s="37" t="str">
        <f t="shared" si="860"/>
        <v xml:space="preserve"> </v>
      </c>
      <c r="F11029">
        <v>0.19</v>
      </c>
      <c r="G11029" s="37" t="str">
        <f t="shared" si="861"/>
        <v>Normal Discount</v>
      </c>
      <c r="H11029" s="37" t="str">
        <f t="shared" si="862"/>
        <v>Low</v>
      </c>
      <c r="I11029">
        <v>7</v>
      </c>
      <c r="J11029" t="str" cm="1">
        <f t="array" ref="J11029">_xlfn.IFS(I11029&lt;=3,"small",I11029&lt;=6,"Medium",I11029&lt;=9,"Large")</f>
        <v>Large</v>
      </c>
      <c r="K11029" s="36">
        <v>45025</v>
      </c>
      <c r="L11029" s="36">
        <v>45027</v>
      </c>
      <c r="M11029" t="s">
        <v>603</v>
      </c>
      <c r="N11029" t="s">
        <v>604</v>
      </c>
      <c r="O11029" s="37" t="str">
        <f t="shared" si="863"/>
        <v>Digital Payment</v>
      </c>
      <c r="P11029">
        <v>722.54</v>
      </c>
      <c r="Q11029" s="37" t="str">
        <f>IF(P11029&gt;500,"High","low")</f>
        <v>High</v>
      </c>
      <c r="R11029" s="37" t="str">
        <f t="shared" si="864"/>
        <v>Good</v>
      </c>
      <c r="S11029" t="s">
        <v>628</v>
      </c>
    </row>
    <row r="11030" spans="1:19" x14ac:dyDescent="0.2">
      <c r="A11030" t="s">
        <v>11641</v>
      </c>
      <c r="B11030" t="s">
        <v>90</v>
      </c>
      <c r="C11030" t="s">
        <v>607</v>
      </c>
      <c r="D11030">
        <v>3651.05</v>
      </c>
      <c r="E11030" s="37" t="str">
        <f t="shared" si="860"/>
        <v xml:space="preserve"> </v>
      </c>
      <c r="F11030">
        <v>0.21</v>
      </c>
      <c r="G11030" s="37" t="str">
        <f t="shared" si="861"/>
        <v>Normal Discount</v>
      </c>
      <c r="H11030" s="37" t="str">
        <f t="shared" si="862"/>
        <v>Medium</v>
      </c>
      <c r="I11030">
        <v>8</v>
      </c>
      <c r="J11030" t="str" cm="1">
        <f t="array" ref="J11030">_xlfn.IFS(I11030&lt;=3,"small",I11030&lt;=6,"Medium",I11030&lt;=9,"Large")</f>
        <v>Large</v>
      </c>
      <c r="K11030" s="36">
        <v>45436</v>
      </c>
      <c r="L11030" s="36">
        <v>45437</v>
      </c>
      <c r="M11030" t="s">
        <v>598</v>
      </c>
      <c r="N11030" t="s">
        <v>608</v>
      </c>
      <c r="O11030" s="37" t="str">
        <f t="shared" si="863"/>
        <v>Cash Payment</v>
      </c>
      <c r="P11030">
        <v>290.87</v>
      </c>
      <c r="Q11030" s="37" t="str">
        <f>IF(P11030&gt;500,"High","low")</f>
        <v>low</v>
      </c>
      <c r="R11030" s="37" t="str">
        <f t="shared" si="864"/>
        <v>AVERAGE</v>
      </c>
      <c r="S11030" t="s">
        <v>600</v>
      </c>
    </row>
    <row r="11031" spans="1:19" x14ac:dyDescent="0.2">
      <c r="A11031" t="s">
        <v>11642</v>
      </c>
      <c r="B11031" t="s">
        <v>83</v>
      </c>
      <c r="C11031" t="s">
        <v>597</v>
      </c>
      <c r="D11031">
        <v>821.38</v>
      </c>
      <c r="E11031" s="37" t="str">
        <f t="shared" si="860"/>
        <v xml:space="preserve"> </v>
      </c>
      <c r="F11031">
        <v>0.05</v>
      </c>
      <c r="G11031" s="37" t="str">
        <f t="shared" si="861"/>
        <v>Normal Discount</v>
      </c>
      <c r="H11031" s="37" t="str">
        <f t="shared" si="862"/>
        <v>Low</v>
      </c>
      <c r="I11031">
        <v>5</v>
      </c>
      <c r="J11031" t="str" cm="1">
        <f t="array" ref="J11031">_xlfn.IFS(I11031&lt;=3,"small",I11031&lt;=6,"Medium",I11031&lt;=9,"Large")</f>
        <v>Medium</v>
      </c>
      <c r="K11031" s="36">
        <v>45209</v>
      </c>
      <c r="L11031" s="36">
        <v>45212</v>
      </c>
      <c r="M11031" t="s">
        <v>612</v>
      </c>
      <c r="N11031" t="s">
        <v>608</v>
      </c>
      <c r="O11031" s="37" t="str">
        <f t="shared" si="863"/>
        <v>Cash Payment</v>
      </c>
      <c r="P11031">
        <v>229.77</v>
      </c>
      <c r="Q11031" s="37" t="str">
        <f>IF(P11031&gt;500,"High","low")</f>
        <v>low</v>
      </c>
      <c r="R11031" s="37" t="str">
        <f t="shared" si="864"/>
        <v>AVERAGE</v>
      </c>
      <c r="S11031" t="s">
        <v>615</v>
      </c>
    </row>
    <row r="11032" spans="1:19" x14ac:dyDescent="0.2">
      <c r="A11032" t="s">
        <v>11643</v>
      </c>
      <c r="B11032" t="s">
        <v>83</v>
      </c>
      <c r="C11032" t="s">
        <v>614</v>
      </c>
      <c r="D11032">
        <v>3809.91</v>
      </c>
      <c r="E11032" s="37" t="str">
        <f t="shared" si="860"/>
        <v xml:space="preserve"> </v>
      </c>
      <c r="F11032">
        <v>0.2</v>
      </c>
      <c r="G11032" s="37" t="str">
        <f t="shared" si="861"/>
        <v>Normal Discount</v>
      </c>
      <c r="H11032" s="37" t="str">
        <f t="shared" si="862"/>
        <v>Medium</v>
      </c>
      <c r="I11032">
        <v>4</v>
      </c>
      <c r="J11032" t="str" cm="1">
        <f t="array" ref="J11032">_xlfn.IFS(I11032&lt;=3,"small",I11032&lt;=6,"Medium",I11032&lt;=9,"Large")</f>
        <v>Medium</v>
      </c>
      <c r="K11032" s="36">
        <v>45066</v>
      </c>
      <c r="L11032" s="36">
        <v>45073</v>
      </c>
      <c r="M11032" t="s">
        <v>612</v>
      </c>
      <c r="N11032" t="s">
        <v>604</v>
      </c>
      <c r="O11032" s="37" t="str">
        <f t="shared" si="863"/>
        <v>Digital Payment</v>
      </c>
      <c r="P11032">
        <v>391.37</v>
      </c>
      <c r="Q11032" s="37" t="str">
        <f>IF(P11032&gt;500,"High","low")</f>
        <v>low</v>
      </c>
      <c r="R11032" s="37" t="str">
        <f t="shared" si="864"/>
        <v>AVERAGE</v>
      </c>
      <c r="S11032" t="s">
        <v>600</v>
      </c>
    </row>
    <row r="11033" spans="1:19" x14ac:dyDescent="0.2">
      <c r="A11033" t="s">
        <v>11644</v>
      </c>
      <c r="B11033" t="s">
        <v>83</v>
      </c>
      <c r="C11033" t="s">
        <v>614</v>
      </c>
      <c r="D11033">
        <v>3530.79</v>
      </c>
      <c r="E11033" s="37" t="str">
        <f t="shared" si="860"/>
        <v xml:space="preserve"> </v>
      </c>
      <c r="F11033">
        <v>0.44</v>
      </c>
      <c r="G11033" s="37" t="str">
        <f t="shared" si="861"/>
        <v>Heavy Discount</v>
      </c>
      <c r="H11033" s="37" t="str">
        <f t="shared" si="862"/>
        <v>High</v>
      </c>
      <c r="I11033">
        <v>9</v>
      </c>
      <c r="J11033" t="str" cm="1">
        <f t="array" ref="J11033">_xlfn.IFS(I11033&lt;=3,"small",I11033&lt;=6,"Medium",I11033&lt;=9,"Large")</f>
        <v>Large</v>
      </c>
      <c r="K11033" s="36">
        <v>45035</v>
      </c>
      <c r="L11033" s="36">
        <v>45037</v>
      </c>
      <c r="M11033" t="s">
        <v>598</v>
      </c>
      <c r="N11033" t="s">
        <v>608</v>
      </c>
      <c r="O11033" s="37" t="str">
        <f t="shared" si="863"/>
        <v>Cash Payment</v>
      </c>
      <c r="P11033">
        <v>714.62</v>
      </c>
      <c r="Q11033" s="37" t="str">
        <f>IF(P11033&gt;500,"High","low")</f>
        <v>High</v>
      </c>
      <c r="R11033" s="37" t="str">
        <f t="shared" si="864"/>
        <v>Good</v>
      </c>
      <c r="S11033" t="s">
        <v>609</v>
      </c>
    </row>
    <row r="11034" spans="1:19" x14ac:dyDescent="0.2">
      <c r="A11034" t="s">
        <v>11645</v>
      </c>
      <c r="B11034" t="s">
        <v>83</v>
      </c>
      <c r="C11034" t="s">
        <v>617</v>
      </c>
      <c r="D11034">
        <v>1066.98</v>
      </c>
      <c r="E11034" s="37" t="str">
        <f t="shared" si="860"/>
        <v xml:space="preserve"> </v>
      </c>
      <c r="F11034">
        <v>0.47</v>
      </c>
      <c r="G11034" s="37" t="str">
        <f t="shared" si="861"/>
        <v>Heavy Discount</v>
      </c>
      <c r="H11034" s="37" t="str">
        <f t="shared" si="862"/>
        <v>High</v>
      </c>
      <c r="I11034">
        <v>3</v>
      </c>
      <c r="J11034" t="str" cm="1">
        <f t="array" ref="J11034">_xlfn.IFS(I11034&lt;=3,"small",I11034&lt;=6,"Medium",I11034&lt;=9,"Large")</f>
        <v>small</v>
      </c>
      <c r="K11034" s="36">
        <v>45169</v>
      </c>
      <c r="L11034" s="36">
        <v>45173</v>
      </c>
      <c r="M11034" t="s">
        <v>612</v>
      </c>
      <c r="N11034" t="s">
        <v>604</v>
      </c>
      <c r="O11034" s="37" t="str">
        <f t="shared" si="863"/>
        <v>Digital Payment</v>
      </c>
      <c r="P11034">
        <v>225.37</v>
      </c>
      <c r="Q11034" s="37" t="str">
        <f>IF(P11034&gt;500,"High","low")</f>
        <v>low</v>
      </c>
      <c r="R11034" s="37" t="str">
        <f t="shared" si="864"/>
        <v>AVERAGE</v>
      </c>
      <c r="S11034" t="s">
        <v>605</v>
      </c>
    </row>
    <row r="11035" spans="1:19" x14ac:dyDescent="0.2">
      <c r="A11035" t="s">
        <v>11646</v>
      </c>
      <c r="B11035" t="s">
        <v>67</v>
      </c>
      <c r="C11035" t="s">
        <v>597</v>
      </c>
      <c r="D11035">
        <v>3279.84</v>
      </c>
      <c r="E11035" s="37" t="str">
        <f t="shared" si="860"/>
        <v xml:space="preserve"> </v>
      </c>
      <c r="F11035">
        <v>0.12</v>
      </c>
      <c r="G11035" s="37" t="str">
        <f t="shared" si="861"/>
        <v>Normal Discount</v>
      </c>
      <c r="H11035" s="37" t="str">
        <f t="shared" si="862"/>
        <v>Low</v>
      </c>
      <c r="I11035">
        <v>3</v>
      </c>
      <c r="J11035" t="str" cm="1">
        <f t="array" ref="J11035">_xlfn.IFS(I11035&lt;=3,"small",I11035&lt;=6,"Medium",I11035&lt;=9,"Large")</f>
        <v>small</v>
      </c>
      <c r="K11035" s="36">
        <v>44967</v>
      </c>
      <c r="L11035" s="36">
        <v>44972</v>
      </c>
      <c r="M11035" t="s">
        <v>603</v>
      </c>
      <c r="N11035" t="s">
        <v>599</v>
      </c>
      <c r="O11035" s="37" t="str">
        <f t="shared" si="863"/>
        <v>Digital Payment</v>
      </c>
      <c r="P11035">
        <v>288.63</v>
      </c>
      <c r="Q11035" s="37" t="str">
        <f>IF(P11035&gt;500,"High","low")</f>
        <v>low</v>
      </c>
      <c r="R11035" s="37" t="str">
        <f t="shared" si="864"/>
        <v>AVERAGE</v>
      </c>
      <c r="S11035" t="s">
        <v>600</v>
      </c>
    </row>
    <row r="11036" spans="1:19" x14ac:dyDescent="0.2">
      <c r="A11036" t="s">
        <v>11647</v>
      </c>
      <c r="B11036" t="s">
        <v>83</v>
      </c>
      <c r="C11036" t="s">
        <v>607</v>
      </c>
      <c r="D11036">
        <v>2028.99</v>
      </c>
      <c r="E11036" s="37" t="str">
        <f t="shared" si="860"/>
        <v xml:space="preserve"> </v>
      </c>
      <c r="F11036">
        <v>0.15</v>
      </c>
      <c r="G11036" s="37" t="str">
        <f t="shared" si="861"/>
        <v>Normal Discount</v>
      </c>
      <c r="H11036" s="37" t="str">
        <f t="shared" si="862"/>
        <v>Low</v>
      </c>
      <c r="I11036">
        <v>4</v>
      </c>
      <c r="J11036" t="str" cm="1">
        <f t="array" ref="J11036">_xlfn.IFS(I11036&lt;=3,"small",I11036&lt;=6,"Medium",I11036&lt;=9,"Large")</f>
        <v>Medium</v>
      </c>
      <c r="K11036" s="36">
        <v>45646</v>
      </c>
      <c r="L11036" s="36">
        <v>45651</v>
      </c>
      <c r="M11036" t="s">
        <v>603</v>
      </c>
      <c r="N11036" t="s">
        <v>608</v>
      </c>
      <c r="O11036" s="37" t="str">
        <f t="shared" si="863"/>
        <v>Cash Payment</v>
      </c>
      <c r="P11036">
        <v>275.58999999999997</v>
      </c>
      <c r="Q11036" s="37" t="str">
        <f>IF(P11036&gt;500,"High","low")</f>
        <v>low</v>
      </c>
      <c r="R11036" s="37" t="str">
        <f t="shared" si="864"/>
        <v>AVERAGE</v>
      </c>
      <c r="S11036" t="s">
        <v>609</v>
      </c>
    </row>
    <row r="11037" spans="1:19" x14ac:dyDescent="0.2">
      <c r="A11037" t="s">
        <v>11648</v>
      </c>
      <c r="B11037" t="s">
        <v>67</v>
      </c>
      <c r="C11037" t="s">
        <v>617</v>
      </c>
      <c r="D11037">
        <v>3437.57</v>
      </c>
      <c r="E11037" s="37" t="str">
        <f t="shared" si="860"/>
        <v xml:space="preserve"> </v>
      </c>
      <c r="F11037">
        <v>0</v>
      </c>
      <c r="G11037" s="37" t="str">
        <f t="shared" si="861"/>
        <v>Normal Discount</v>
      </c>
      <c r="H11037" s="37" t="str">
        <f t="shared" si="862"/>
        <v>Low</v>
      </c>
      <c r="I11037">
        <v>7</v>
      </c>
      <c r="J11037" t="str" cm="1">
        <f t="array" ref="J11037">_xlfn.IFS(I11037&lt;=3,"small",I11037&lt;=6,"Medium",I11037&lt;=9,"Large")</f>
        <v>Large</v>
      </c>
      <c r="K11037" s="36">
        <v>45150</v>
      </c>
      <c r="L11037" s="36">
        <v>45152</v>
      </c>
      <c r="M11037" t="s">
        <v>603</v>
      </c>
      <c r="N11037" t="s">
        <v>604</v>
      </c>
      <c r="O11037" s="37" t="str">
        <f t="shared" si="863"/>
        <v>Digital Payment</v>
      </c>
      <c r="P11037">
        <v>429.55</v>
      </c>
      <c r="Q11037" s="37" t="str">
        <f>IF(P11037&gt;500,"High","low")</f>
        <v>low</v>
      </c>
      <c r="R11037" s="37" t="str">
        <f t="shared" si="864"/>
        <v>AVERAGE</v>
      </c>
      <c r="S11037" t="s">
        <v>628</v>
      </c>
    </row>
    <row r="11038" spans="1:19" x14ac:dyDescent="0.2">
      <c r="A11038" t="s">
        <v>11649</v>
      </c>
      <c r="B11038" t="s">
        <v>75</v>
      </c>
      <c r="C11038" t="s">
        <v>607</v>
      </c>
      <c r="D11038">
        <v>2530.87</v>
      </c>
      <c r="E11038" s="37" t="str">
        <f t="shared" si="860"/>
        <v xml:space="preserve"> </v>
      </c>
      <c r="F11038">
        <v>0.06</v>
      </c>
      <c r="G11038" s="37" t="str">
        <f t="shared" si="861"/>
        <v>Normal Discount</v>
      </c>
      <c r="H11038" s="37" t="str">
        <f t="shared" si="862"/>
        <v>Low</v>
      </c>
      <c r="I11038">
        <v>2</v>
      </c>
      <c r="J11038" t="str" cm="1">
        <f t="array" ref="J11038">_xlfn.IFS(I11038&lt;=3,"small",I11038&lt;=6,"Medium",I11038&lt;=9,"Large")</f>
        <v>small</v>
      </c>
      <c r="K11038" s="36">
        <v>44977</v>
      </c>
      <c r="L11038" s="36">
        <v>44981</v>
      </c>
      <c r="M11038" t="s">
        <v>603</v>
      </c>
      <c r="N11038" t="s">
        <v>604</v>
      </c>
      <c r="O11038" s="37" t="str">
        <f t="shared" si="863"/>
        <v>Digital Payment</v>
      </c>
      <c r="P11038">
        <v>575.64</v>
      </c>
      <c r="Q11038" s="37" t="str">
        <f>IF(P11038&gt;500,"High","low")</f>
        <v>High</v>
      </c>
      <c r="R11038" s="37" t="str">
        <f t="shared" si="864"/>
        <v>Good</v>
      </c>
      <c r="S11038" t="s">
        <v>609</v>
      </c>
    </row>
    <row r="11039" spans="1:19" x14ac:dyDescent="0.2">
      <c r="A11039" t="s">
        <v>11650</v>
      </c>
      <c r="B11039" t="s">
        <v>90</v>
      </c>
      <c r="C11039" t="s">
        <v>617</v>
      </c>
      <c r="D11039">
        <v>335.87</v>
      </c>
      <c r="E11039" s="37" t="str">
        <f t="shared" si="860"/>
        <v xml:space="preserve"> </v>
      </c>
      <c r="F11039">
        <v>0.17</v>
      </c>
      <c r="G11039" s="37" t="str">
        <f t="shared" si="861"/>
        <v>Normal Discount</v>
      </c>
      <c r="H11039" s="37" t="str">
        <f t="shared" si="862"/>
        <v>Low</v>
      </c>
      <c r="I11039">
        <v>8</v>
      </c>
      <c r="J11039" t="str" cm="1">
        <f t="array" ref="J11039">_xlfn.IFS(I11039&lt;=3,"small",I11039&lt;=6,"Medium",I11039&lt;=9,"Large")</f>
        <v>Large</v>
      </c>
      <c r="K11039" s="36">
        <v>45279</v>
      </c>
      <c r="L11039" s="36">
        <v>45283</v>
      </c>
      <c r="M11039" t="s">
        <v>598</v>
      </c>
      <c r="N11039" t="s">
        <v>608</v>
      </c>
      <c r="O11039" s="37" t="str">
        <f t="shared" si="863"/>
        <v>Cash Payment</v>
      </c>
      <c r="P11039">
        <v>69.27</v>
      </c>
      <c r="Q11039" s="37" t="str">
        <f>IF(P11039&gt;500,"High","low")</f>
        <v>low</v>
      </c>
      <c r="R11039" s="37" t="str">
        <f t="shared" si="864"/>
        <v>AVERAGE</v>
      </c>
      <c r="S11039" t="s">
        <v>605</v>
      </c>
    </row>
    <row r="11040" spans="1:19" x14ac:dyDescent="0.2">
      <c r="A11040" t="s">
        <v>11651</v>
      </c>
      <c r="B11040" t="s">
        <v>67</v>
      </c>
      <c r="C11040" t="s">
        <v>597</v>
      </c>
      <c r="D11040">
        <v>3956.14</v>
      </c>
      <c r="E11040" s="37" t="str">
        <f t="shared" si="860"/>
        <v xml:space="preserve"> </v>
      </c>
      <c r="F11040">
        <v>0.34</v>
      </c>
      <c r="G11040" s="37" t="str">
        <f t="shared" si="861"/>
        <v>Heavy Discount</v>
      </c>
      <c r="H11040" s="37" t="str">
        <f t="shared" si="862"/>
        <v>Medium</v>
      </c>
      <c r="I11040">
        <v>2</v>
      </c>
      <c r="J11040" t="str" cm="1">
        <f t="array" ref="J11040">_xlfn.IFS(I11040&lt;=3,"small",I11040&lt;=6,"Medium",I11040&lt;=9,"Large")</f>
        <v>small</v>
      </c>
      <c r="K11040" s="36">
        <v>45006</v>
      </c>
      <c r="L11040" s="36">
        <v>45011</v>
      </c>
      <c r="M11040" t="s">
        <v>612</v>
      </c>
      <c r="N11040" t="s">
        <v>604</v>
      </c>
      <c r="O11040" s="37" t="str">
        <f t="shared" si="863"/>
        <v>Digital Payment</v>
      </c>
      <c r="P11040">
        <v>615.61</v>
      </c>
      <c r="Q11040" s="37" t="str">
        <f>IF(P11040&gt;500,"High","low")</f>
        <v>High</v>
      </c>
      <c r="R11040" s="37" t="str">
        <f t="shared" si="864"/>
        <v>Good</v>
      </c>
      <c r="S11040" t="s">
        <v>628</v>
      </c>
    </row>
    <row r="11041" spans="1:19" x14ac:dyDescent="0.2">
      <c r="A11041" t="s">
        <v>11652</v>
      </c>
      <c r="B11041" t="s">
        <v>75</v>
      </c>
      <c r="C11041" t="s">
        <v>614</v>
      </c>
      <c r="D11041">
        <v>2822.44</v>
      </c>
      <c r="E11041" s="37" t="str">
        <f t="shared" si="860"/>
        <v xml:space="preserve"> </v>
      </c>
      <c r="F11041">
        <v>0.15</v>
      </c>
      <c r="G11041" s="37" t="str">
        <f t="shared" si="861"/>
        <v>Normal Discount</v>
      </c>
      <c r="H11041" s="37" t="str">
        <f t="shared" si="862"/>
        <v>Low</v>
      </c>
      <c r="I11041">
        <v>4</v>
      </c>
      <c r="J11041" t="str" cm="1">
        <f t="array" ref="J11041">_xlfn.IFS(I11041&lt;=3,"small",I11041&lt;=6,"Medium",I11041&lt;=9,"Large")</f>
        <v>Medium</v>
      </c>
      <c r="K11041" s="36">
        <v>45467</v>
      </c>
      <c r="L11041" s="36">
        <v>45473</v>
      </c>
      <c r="M11041" t="s">
        <v>598</v>
      </c>
      <c r="N11041" t="s">
        <v>599</v>
      </c>
      <c r="O11041" s="37" t="str">
        <f t="shared" si="863"/>
        <v>Digital Payment</v>
      </c>
      <c r="P11041">
        <v>257.81</v>
      </c>
      <c r="Q11041" s="37" t="str">
        <f>IF(P11041&gt;500,"High","low")</f>
        <v>low</v>
      </c>
      <c r="R11041" s="37" t="str">
        <f t="shared" si="864"/>
        <v>AVERAGE</v>
      </c>
      <c r="S11041" t="s">
        <v>605</v>
      </c>
    </row>
    <row r="11042" spans="1:19" x14ac:dyDescent="0.2">
      <c r="A11042" t="s">
        <v>11653</v>
      </c>
      <c r="B11042" t="s">
        <v>75</v>
      </c>
      <c r="C11042" t="s">
        <v>607</v>
      </c>
      <c r="D11042">
        <v>3651.49</v>
      </c>
      <c r="E11042" s="37" t="str">
        <f t="shared" si="860"/>
        <v xml:space="preserve"> </v>
      </c>
      <c r="F11042">
        <v>0.04</v>
      </c>
      <c r="G11042" s="37" t="str">
        <f t="shared" si="861"/>
        <v>Normal Discount</v>
      </c>
      <c r="H11042" s="37" t="str">
        <f t="shared" si="862"/>
        <v>Low</v>
      </c>
      <c r="I11042">
        <v>2</v>
      </c>
      <c r="J11042" t="str" cm="1">
        <f t="array" ref="J11042">_xlfn.IFS(I11042&lt;=3,"small",I11042&lt;=6,"Medium",I11042&lt;=9,"Large")</f>
        <v>small</v>
      </c>
      <c r="K11042" s="36">
        <v>45273</v>
      </c>
      <c r="L11042" s="36">
        <v>45279</v>
      </c>
      <c r="M11042" t="s">
        <v>612</v>
      </c>
      <c r="N11042" t="s">
        <v>599</v>
      </c>
      <c r="O11042" s="37" t="str">
        <f t="shared" si="863"/>
        <v>Digital Payment</v>
      </c>
      <c r="P11042">
        <v>857.2</v>
      </c>
      <c r="Q11042" s="37" t="str">
        <f>IF(P11042&gt;500,"High","low")</f>
        <v>High</v>
      </c>
      <c r="R11042" s="37" t="str">
        <f t="shared" si="864"/>
        <v>Good</v>
      </c>
      <c r="S11042" t="s">
        <v>615</v>
      </c>
    </row>
    <row r="11043" spans="1:19" x14ac:dyDescent="0.2">
      <c r="A11043" t="s">
        <v>11654</v>
      </c>
      <c r="B11043" t="s">
        <v>67</v>
      </c>
      <c r="C11043" t="s">
        <v>597</v>
      </c>
      <c r="D11043">
        <v>717.75</v>
      </c>
      <c r="E11043" s="37" t="str">
        <f t="shared" si="860"/>
        <v xml:space="preserve"> </v>
      </c>
      <c r="F11043">
        <v>0.37</v>
      </c>
      <c r="G11043" s="37" t="str">
        <f t="shared" si="861"/>
        <v>Heavy Discount</v>
      </c>
      <c r="H11043" s="37" t="str">
        <f t="shared" si="862"/>
        <v>Medium</v>
      </c>
      <c r="I11043">
        <v>9</v>
      </c>
      <c r="J11043" t="str" cm="1">
        <f t="array" ref="J11043">_xlfn.IFS(I11043&lt;=3,"small",I11043&lt;=6,"Medium",I11043&lt;=9,"Large")</f>
        <v>Large</v>
      </c>
      <c r="K11043" s="36">
        <v>44977</v>
      </c>
      <c r="L11043" s="36">
        <v>44978</v>
      </c>
      <c r="M11043" t="s">
        <v>612</v>
      </c>
      <c r="N11043" t="s">
        <v>604</v>
      </c>
      <c r="O11043" s="37" t="str">
        <f t="shared" si="863"/>
        <v>Digital Payment</v>
      </c>
      <c r="P11043">
        <v>204.37</v>
      </c>
      <c r="Q11043" s="37" t="str">
        <f>IF(P11043&gt;500,"High","low")</f>
        <v>low</v>
      </c>
      <c r="R11043" s="37" t="str">
        <f t="shared" si="864"/>
        <v>AVERAGE</v>
      </c>
      <c r="S11043" t="s">
        <v>600</v>
      </c>
    </row>
    <row r="11044" spans="1:19" x14ac:dyDescent="0.2">
      <c r="A11044" t="s">
        <v>11655</v>
      </c>
      <c r="B11044" t="s">
        <v>75</v>
      </c>
      <c r="C11044" t="s">
        <v>607</v>
      </c>
      <c r="D11044">
        <v>3634.24</v>
      </c>
      <c r="E11044" s="37" t="str">
        <f t="shared" si="860"/>
        <v xml:space="preserve"> </v>
      </c>
      <c r="F11044">
        <v>0.23</v>
      </c>
      <c r="G11044" s="37" t="str">
        <f t="shared" si="861"/>
        <v>Normal Discount</v>
      </c>
      <c r="H11044" s="37" t="str">
        <f t="shared" si="862"/>
        <v>Medium</v>
      </c>
      <c r="I11044">
        <v>4</v>
      </c>
      <c r="J11044" t="str" cm="1">
        <f t="array" ref="J11044">_xlfn.IFS(I11044&lt;=3,"small",I11044&lt;=6,"Medium",I11044&lt;=9,"Large")</f>
        <v>Medium</v>
      </c>
      <c r="K11044" s="36">
        <v>45241</v>
      </c>
      <c r="L11044" s="36">
        <v>45248</v>
      </c>
      <c r="M11044" t="s">
        <v>603</v>
      </c>
      <c r="N11044" t="s">
        <v>604</v>
      </c>
      <c r="O11044" s="37" t="str">
        <f t="shared" si="863"/>
        <v>Digital Payment</v>
      </c>
      <c r="P11044">
        <v>706</v>
      </c>
      <c r="Q11044" s="37" t="str">
        <f>IF(P11044&gt;500,"High","low")</f>
        <v>High</v>
      </c>
      <c r="R11044" s="37" t="str">
        <f t="shared" si="864"/>
        <v>Good</v>
      </c>
      <c r="S11044" t="s">
        <v>615</v>
      </c>
    </row>
    <row r="11045" spans="1:19" x14ac:dyDescent="0.2">
      <c r="A11045" t="s">
        <v>11656</v>
      </c>
      <c r="B11045" t="s">
        <v>75</v>
      </c>
      <c r="C11045" t="s">
        <v>597</v>
      </c>
      <c r="D11045">
        <v>2126.96</v>
      </c>
      <c r="E11045" s="37" t="str">
        <f t="shared" si="860"/>
        <v xml:space="preserve"> </v>
      </c>
      <c r="F11045">
        <v>0.26</v>
      </c>
      <c r="G11045" s="37" t="str">
        <f t="shared" si="861"/>
        <v>Normal Discount</v>
      </c>
      <c r="H11045" s="37" t="str">
        <f t="shared" si="862"/>
        <v>Medium</v>
      </c>
      <c r="I11045">
        <v>5</v>
      </c>
      <c r="J11045" t="str" cm="1">
        <f t="array" ref="J11045">_xlfn.IFS(I11045&lt;=3,"small",I11045&lt;=6,"Medium",I11045&lt;=9,"Large")</f>
        <v>Medium</v>
      </c>
      <c r="K11045" s="36">
        <v>45526</v>
      </c>
      <c r="L11045" s="36">
        <v>45527</v>
      </c>
      <c r="M11045" t="s">
        <v>603</v>
      </c>
      <c r="N11045" t="s">
        <v>608</v>
      </c>
      <c r="O11045" s="37" t="str">
        <f t="shared" si="863"/>
        <v>Cash Payment</v>
      </c>
      <c r="P11045">
        <v>591.32000000000005</v>
      </c>
      <c r="Q11045" s="37" t="str">
        <f>IF(P11045&gt;500,"High","low")</f>
        <v>High</v>
      </c>
      <c r="R11045" s="37" t="str">
        <f t="shared" si="864"/>
        <v>Good</v>
      </c>
      <c r="S11045" t="s">
        <v>615</v>
      </c>
    </row>
    <row r="11046" spans="1:19" x14ac:dyDescent="0.2">
      <c r="A11046" t="s">
        <v>11657</v>
      </c>
      <c r="B11046" t="s">
        <v>67</v>
      </c>
      <c r="C11046" t="s">
        <v>617</v>
      </c>
      <c r="D11046">
        <v>4016.41</v>
      </c>
      <c r="E11046" s="37" t="str">
        <f t="shared" si="860"/>
        <v>Excellent Order</v>
      </c>
      <c r="F11046">
        <v>0.16</v>
      </c>
      <c r="G11046" s="37" t="str">
        <f t="shared" si="861"/>
        <v>Normal Discount</v>
      </c>
      <c r="H11046" s="37" t="str">
        <f t="shared" si="862"/>
        <v>Low</v>
      </c>
      <c r="I11046">
        <v>9</v>
      </c>
      <c r="J11046" t="str" cm="1">
        <f t="array" ref="J11046">_xlfn.IFS(I11046&lt;=3,"small",I11046&lt;=6,"Medium",I11046&lt;=9,"Large")</f>
        <v>Large</v>
      </c>
      <c r="K11046" s="36">
        <v>45085</v>
      </c>
      <c r="L11046" s="36">
        <v>45088</v>
      </c>
      <c r="M11046" t="s">
        <v>612</v>
      </c>
      <c r="N11046" t="s">
        <v>599</v>
      </c>
      <c r="O11046" s="37" t="str">
        <f t="shared" si="863"/>
        <v>Digital Payment</v>
      </c>
      <c r="P11046">
        <v>1015.16</v>
      </c>
      <c r="Q11046" s="37" t="str">
        <f>IF(P11046&gt;500,"High","low")</f>
        <v>High</v>
      </c>
      <c r="R11046" s="37" t="str">
        <f t="shared" si="864"/>
        <v>Excellent</v>
      </c>
      <c r="S11046" t="s">
        <v>620</v>
      </c>
    </row>
    <row r="11047" spans="1:19" x14ac:dyDescent="0.2">
      <c r="A11047" t="s">
        <v>11658</v>
      </c>
      <c r="B11047" t="s">
        <v>75</v>
      </c>
      <c r="C11047" t="s">
        <v>597</v>
      </c>
      <c r="D11047">
        <v>3035.91</v>
      </c>
      <c r="E11047" s="37" t="str">
        <f t="shared" si="860"/>
        <v xml:space="preserve"> </v>
      </c>
      <c r="F11047">
        <v>0.31</v>
      </c>
      <c r="G11047" s="37" t="str">
        <f t="shared" si="861"/>
        <v>Heavy Discount</v>
      </c>
      <c r="H11047" s="37" t="str">
        <f t="shared" si="862"/>
        <v>Medium</v>
      </c>
      <c r="I11047">
        <v>2</v>
      </c>
      <c r="J11047" t="str" cm="1">
        <f t="array" ref="J11047">_xlfn.IFS(I11047&lt;=3,"small",I11047&lt;=6,"Medium",I11047&lt;=9,"Large")</f>
        <v>small</v>
      </c>
      <c r="K11047" s="36">
        <v>45575</v>
      </c>
      <c r="L11047" s="36">
        <v>45582</v>
      </c>
      <c r="M11047" t="s">
        <v>598</v>
      </c>
      <c r="N11047" t="s">
        <v>599</v>
      </c>
      <c r="O11047" s="37" t="str">
        <f t="shared" si="863"/>
        <v>Digital Payment</v>
      </c>
      <c r="P11047">
        <v>872.94</v>
      </c>
      <c r="Q11047" s="37" t="str">
        <f>IF(P11047&gt;500,"High","low")</f>
        <v>High</v>
      </c>
      <c r="R11047" s="37" t="str">
        <f t="shared" si="864"/>
        <v>Good</v>
      </c>
      <c r="S11047" t="s">
        <v>600</v>
      </c>
    </row>
    <row r="11048" spans="1:19" x14ac:dyDescent="0.2">
      <c r="A11048" t="s">
        <v>11659</v>
      </c>
      <c r="B11048" t="s">
        <v>83</v>
      </c>
      <c r="C11048" t="s">
        <v>617</v>
      </c>
      <c r="D11048">
        <v>1839.02</v>
      </c>
      <c r="E11048" s="37" t="str">
        <f t="shared" si="860"/>
        <v xml:space="preserve"> </v>
      </c>
      <c r="F11048">
        <v>0.45</v>
      </c>
      <c r="G11048" s="37" t="str">
        <f t="shared" si="861"/>
        <v>Heavy Discount</v>
      </c>
      <c r="H11048" s="37" t="str">
        <f t="shared" si="862"/>
        <v>High</v>
      </c>
      <c r="I11048">
        <v>4</v>
      </c>
      <c r="J11048" t="str" cm="1">
        <f t="array" ref="J11048">_xlfn.IFS(I11048&lt;=3,"small",I11048&lt;=6,"Medium",I11048&lt;=9,"Large")</f>
        <v>Medium</v>
      </c>
      <c r="K11048" s="36">
        <v>45035</v>
      </c>
      <c r="L11048" s="36">
        <v>45038</v>
      </c>
      <c r="M11048" t="s">
        <v>603</v>
      </c>
      <c r="N11048" t="s">
        <v>604</v>
      </c>
      <c r="O11048" s="37" t="str">
        <f t="shared" si="863"/>
        <v>Digital Payment</v>
      </c>
      <c r="P11048">
        <v>247.94</v>
      </c>
      <c r="Q11048" s="37" t="str">
        <f>IF(P11048&gt;500,"High","low")</f>
        <v>low</v>
      </c>
      <c r="R11048" s="37" t="str">
        <f t="shared" si="864"/>
        <v>AVERAGE</v>
      </c>
      <c r="S11048" t="s">
        <v>620</v>
      </c>
    </row>
    <row r="11049" spans="1:19" x14ac:dyDescent="0.2">
      <c r="A11049" t="s">
        <v>11660</v>
      </c>
      <c r="B11049" t="s">
        <v>83</v>
      </c>
      <c r="C11049" t="s">
        <v>614</v>
      </c>
      <c r="D11049">
        <v>1089.3900000000001</v>
      </c>
      <c r="E11049" s="37" t="str">
        <f t="shared" si="860"/>
        <v xml:space="preserve"> </v>
      </c>
      <c r="F11049">
        <v>0.28000000000000003</v>
      </c>
      <c r="G11049" s="37" t="str">
        <f t="shared" si="861"/>
        <v>Normal Discount</v>
      </c>
      <c r="H11049" s="37" t="str">
        <f t="shared" si="862"/>
        <v>Medium</v>
      </c>
      <c r="I11049">
        <v>6</v>
      </c>
      <c r="J11049" t="str" cm="1">
        <f t="array" ref="J11049">_xlfn.IFS(I11049&lt;=3,"small",I11049&lt;=6,"Medium",I11049&lt;=9,"Large")</f>
        <v>Medium</v>
      </c>
      <c r="K11049" s="36">
        <v>45380</v>
      </c>
      <c r="L11049" s="36">
        <v>45384</v>
      </c>
      <c r="M11049" t="s">
        <v>603</v>
      </c>
      <c r="N11049" t="s">
        <v>604</v>
      </c>
      <c r="O11049" s="37" t="str">
        <f t="shared" si="863"/>
        <v>Digital Payment</v>
      </c>
      <c r="P11049">
        <v>226.63</v>
      </c>
      <c r="Q11049" s="37" t="str">
        <f>IF(P11049&gt;500,"High","low")</f>
        <v>low</v>
      </c>
      <c r="R11049" s="37" t="str">
        <f t="shared" si="864"/>
        <v>AVERAGE</v>
      </c>
      <c r="S11049" t="s">
        <v>609</v>
      </c>
    </row>
    <row r="11050" spans="1:19" x14ac:dyDescent="0.2">
      <c r="A11050" t="s">
        <v>11661</v>
      </c>
      <c r="B11050" t="s">
        <v>90</v>
      </c>
      <c r="C11050" t="s">
        <v>617</v>
      </c>
      <c r="D11050">
        <v>4098.03</v>
      </c>
      <c r="E11050" s="37" t="str">
        <f t="shared" si="860"/>
        <v xml:space="preserve"> </v>
      </c>
      <c r="F11050">
        <v>0.28999999999999998</v>
      </c>
      <c r="G11050" s="37" t="str">
        <f t="shared" si="861"/>
        <v>Normal Discount</v>
      </c>
      <c r="H11050" s="37" t="str">
        <f t="shared" si="862"/>
        <v>Medium</v>
      </c>
      <c r="I11050">
        <v>1</v>
      </c>
      <c r="J11050" t="str" cm="1">
        <f t="array" ref="J11050">_xlfn.IFS(I11050&lt;=3,"small",I11050&lt;=6,"Medium",I11050&lt;=9,"Large")</f>
        <v>small</v>
      </c>
      <c r="K11050" s="36">
        <v>45212</v>
      </c>
      <c r="L11050" s="36">
        <v>45217</v>
      </c>
      <c r="M11050" t="s">
        <v>598</v>
      </c>
      <c r="N11050" t="s">
        <v>604</v>
      </c>
      <c r="O11050" s="37" t="str">
        <f t="shared" si="863"/>
        <v>Digital Payment</v>
      </c>
      <c r="P11050">
        <v>438.95</v>
      </c>
      <c r="Q11050" s="37" t="str">
        <f>IF(P11050&gt;500,"High","low")</f>
        <v>low</v>
      </c>
      <c r="R11050" s="37" t="str">
        <f t="shared" si="864"/>
        <v>AVERAGE</v>
      </c>
      <c r="S11050" t="s">
        <v>628</v>
      </c>
    </row>
    <row r="11051" spans="1:19" x14ac:dyDescent="0.2">
      <c r="A11051" t="s">
        <v>11662</v>
      </c>
      <c r="B11051" t="s">
        <v>75</v>
      </c>
      <c r="C11051" t="s">
        <v>602</v>
      </c>
      <c r="D11051">
        <v>2844.94</v>
      </c>
      <c r="E11051" s="37" t="str">
        <f t="shared" si="860"/>
        <v xml:space="preserve"> </v>
      </c>
      <c r="F11051">
        <v>0.19</v>
      </c>
      <c r="G11051" s="37" t="str">
        <f t="shared" si="861"/>
        <v>Normal Discount</v>
      </c>
      <c r="H11051" s="37" t="str">
        <f t="shared" si="862"/>
        <v>Low</v>
      </c>
      <c r="I11051">
        <v>1</v>
      </c>
      <c r="J11051" t="str" cm="1">
        <f t="array" ref="J11051">_xlfn.IFS(I11051&lt;=3,"small",I11051&lt;=6,"Medium",I11051&lt;=9,"Large")</f>
        <v>small</v>
      </c>
      <c r="K11051" s="36">
        <v>45016</v>
      </c>
      <c r="L11051" s="36">
        <v>45023</v>
      </c>
      <c r="M11051" t="s">
        <v>612</v>
      </c>
      <c r="N11051" t="s">
        <v>604</v>
      </c>
      <c r="O11051" s="37" t="str">
        <f t="shared" si="863"/>
        <v>Digital Payment</v>
      </c>
      <c r="P11051">
        <v>667.09</v>
      </c>
      <c r="Q11051" s="37" t="str">
        <f>IF(P11051&gt;500,"High","low")</f>
        <v>High</v>
      </c>
      <c r="R11051" s="37" t="str">
        <f t="shared" si="864"/>
        <v>Good</v>
      </c>
      <c r="S11051" t="s">
        <v>609</v>
      </c>
    </row>
    <row r="11052" spans="1:19" x14ac:dyDescent="0.2">
      <c r="A11052" t="s">
        <v>11663</v>
      </c>
      <c r="B11052" t="s">
        <v>90</v>
      </c>
      <c r="C11052" t="s">
        <v>614</v>
      </c>
      <c r="D11052">
        <v>4938.59</v>
      </c>
      <c r="E11052" s="37" t="str">
        <f t="shared" si="860"/>
        <v>Excellent Order</v>
      </c>
      <c r="F11052">
        <v>0.04</v>
      </c>
      <c r="G11052" s="37" t="str">
        <f t="shared" si="861"/>
        <v>Normal Discount</v>
      </c>
      <c r="H11052" s="37" t="str">
        <f t="shared" si="862"/>
        <v>Low</v>
      </c>
      <c r="I11052">
        <v>7</v>
      </c>
      <c r="J11052" t="str" cm="1">
        <f t="array" ref="J11052">_xlfn.IFS(I11052&lt;=3,"small",I11052&lt;=6,"Medium",I11052&lt;=9,"Large")</f>
        <v>Large</v>
      </c>
      <c r="K11052" s="36">
        <v>45222</v>
      </c>
      <c r="L11052" s="36">
        <v>45228</v>
      </c>
      <c r="M11052" t="s">
        <v>598</v>
      </c>
      <c r="N11052" t="s">
        <v>608</v>
      </c>
      <c r="O11052" s="37" t="str">
        <f t="shared" si="863"/>
        <v>Cash Payment</v>
      </c>
      <c r="P11052">
        <v>1462.02</v>
      </c>
      <c r="Q11052" s="37" t="str">
        <f>IF(P11052&gt;500,"High","low")</f>
        <v>High</v>
      </c>
      <c r="R11052" s="37" t="str">
        <f t="shared" si="864"/>
        <v>Excellent</v>
      </c>
      <c r="S11052" t="s">
        <v>620</v>
      </c>
    </row>
    <row r="11053" spans="1:19" x14ac:dyDescent="0.2">
      <c r="A11053" t="s">
        <v>11664</v>
      </c>
      <c r="B11053" t="s">
        <v>83</v>
      </c>
      <c r="C11053" t="s">
        <v>597</v>
      </c>
      <c r="D11053">
        <v>1930.09</v>
      </c>
      <c r="E11053" s="37" t="str">
        <f t="shared" si="860"/>
        <v xml:space="preserve"> </v>
      </c>
      <c r="F11053">
        <v>0.21</v>
      </c>
      <c r="G11053" s="37" t="str">
        <f t="shared" si="861"/>
        <v>Normal Discount</v>
      </c>
      <c r="H11053" s="37" t="str">
        <f t="shared" si="862"/>
        <v>Medium</v>
      </c>
      <c r="I11053">
        <v>6</v>
      </c>
      <c r="J11053" t="str" cm="1">
        <f t="array" ref="J11053">_xlfn.IFS(I11053&lt;=3,"small",I11053&lt;=6,"Medium",I11053&lt;=9,"Large")</f>
        <v>Medium</v>
      </c>
      <c r="K11053" s="36">
        <v>45445</v>
      </c>
      <c r="L11053" s="36">
        <v>45447</v>
      </c>
      <c r="M11053" t="s">
        <v>603</v>
      </c>
      <c r="N11053" t="s">
        <v>604</v>
      </c>
      <c r="O11053" s="37" t="str">
        <f t="shared" si="863"/>
        <v>Digital Payment</v>
      </c>
      <c r="P11053">
        <v>251.68</v>
      </c>
      <c r="Q11053" s="37" t="str">
        <f>IF(P11053&gt;500,"High","low")</f>
        <v>low</v>
      </c>
      <c r="R11053" s="37" t="str">
        <f t="shared" si="864"/>
        <v>AVERAGE</v>
      </c>
      <c r="S11053" t="s">
        <v>609</v>
      </c>
    </row>
    <row r="11054" spans="1:19" x14ac:dyDescent="0.2">
      <c r="A11054" t="s">
        <v>11665</v>
      </c>
      <c r="B11054" t="s">
        <v>83</v>
      </c>
      <c r="C11054" t="s">
        <v>597</v>
      </c>
      <c r="D11054">
        <v>3460.02</v>
      </c>
      <c r="E11054" s="37" t="str">
        <f t="shared" si="860"/>
        <v xml:space="preserve"> </v>
      </c>
      <c r="F11054">
        <v>0.46</v>
      </c>
      <c r="G11054" s="37" t="str">
        <f t="shared" si="861"/>
        <v>Heavy Discount</v>
      </c>
      <c r="H11054" s="37" t="str">
        <f t="shared" si="862"/>
        <v>High</v>
      </c>
      <c r="I11054">
        <v>4</v>
      </c>
      <c r="J11054" t="str" cm="1">
        <f t="array" ref="J11054">_xlfn.IFS(I11054&lt;=3,"small",I11054&lt;=6,"Medium",I11054&lt;=9,"Large")</f>
        <v>Medium</v>
      </c>
      <c r="K11054" s="36">
        <v>45382</v>
      </c>
      <c r="L11054" s="36">
        <v>45385</v>
      </c>
      <c r="M11054" t="s">
        <v>612</v>
      </c>
      <c r="N11054" t="s">
        <v>604</v>
      </c>
      <c r="O11054" s="37" t="str">
        <f t="shared" si="863"/>
        <v>Digital Payment</v>
      </c>
      <c r="P11054">
        <v>229.7</v>
      </c>
      <c r="Q11054" s="37" t="str">
        <f>IF(P11054&gt;500,"High","low")</f>
        <v>low</v>
      </c>
      <c r="R11054" s="37" t="str">
        <f t="shared" si="864"/>
        <v>AVERAGE</v>
      </c>
      <c r="S11054" t="s">
        <v>628</v>
      </c>
    </row>
    <row r="11055" spans="1:19" x14ac:dyDescent="0.2">
      <c r="A11055" t="s">
        <v>11666</v>
      </c>
      <c r="B11055" t="s">
        <v>83</v>
      </c>
      <c r="C11055" t="s">
        <v>602</v>
      </c>
      <c r="D11055">
        <v>3151.82</v>
      </c>
      <c r="E11055" s="37" t="str">
        <f t="shared" si="860"/>
        <v xml:space="preserve"> </v>
      </c>
      <c r="F11055">
        <v>0.34</v>
      </c>
      <c r="G11055" s="37" t="str">
        <f t="shared" si="861"/>
        <v>Heavy Discount</v>
      </c>
      <c r="H11055" s="37" t="str">
        <f t="shared" si="862"/>
        <v>Medium</v>
      </c>
      <c r="I11055">
        <v>5</v>
      </c>
      <c r="J11055" t="str" cm="1">
        <f t="array" ref="J11055">_xlfn.IFS(I11055&lt;=3,"small",I11055&lt;=6,"Medium",I11055&lt;=9,"Large")</f>
        <v>Medium</v>
      </c>
      <c r="K11055" s="36">
        <v>45065</v>
      </c>
      <c r="L11055" s="36">
        <v>45066</v>
      </c>
      <c r="M11055" t="s">
        <v>612</v>
      </c>
      <c r="N11055" t="s">
        <v>599</v>
      </c>
      <c r="O11055" s="37" t="str">
        <f t="shared" si="863"/>
        <v>Digital Payment</v>
      </c>
      <c r="P11055">
        <v>924.55</v>
      </c>
      <c r="Q11055" s="37" t="str">
        <f>IF(P11055&gt;500,"High","low")</f>
        <v>High</v>
      </c>
      <c r="R11055" s="37" t="str">
        <f t="shared" si="864"/>
        <v>Good</v>
      </c>
      <c r="S11055" t="s">
        <v>628</v>
      </c>
    </row>
    <row r="11056" spans="1:19" x14ac:dyDescent="0.2">
      <c r="A11056" t="s">
        <v>11667</v>
      </c>
      <c r="B11056" t="s">
        <v>75</v>
      </c>
      <c r="C11056" t="s">
        <v>597</v>
      </c>
      <c r="D11056">
        <v>3224.15</v>
      </c>
      <c r="E11056" s="37" t="str">
        <f t="shared" si="860"/>
        <v xml:space="preserve"> </v>
      </c>
      <c r="F11056">
        <v>0.25</v>
      </c>
      <c r="G11056" s="37" t="str">
        <f t="shared" si="861"/>
        <v>Normal Discount</v>
      </c>
      <c r="H11056" s="37" t="str">
        <f t="shared" si="862"/>
        <v>Medium</v>
      </c>
      <c r="I11056">
        <v>5</v>
      </c>
      <c r="J11056" t="str" cm="1">
        <f t="array" ref="J11056">_xlfn.IFS(I11056&lt;=3,"small",I11056&lt;=6,"Medium",I11056&lt;=9,"Large")</f>
        <v>Medium</v>
      </c>
      <c r="K11056" s="36">
        <v>45441</v>
      </c>
      <c r="L11056" s="36">
        <v>45445</v>
      </c>
      <c r="M11056" t="s">
        <v>612</v>
      </c>
      <c r="N11056" t="s">
        <v>604</v>
      </c>
      <c r="O11056" s="37" t="str">
        <f t="shared" si="863"/>
        <v>Digital Payment</v>
      </c>
      <c r="P11056">
        <v>186.35</v>
      </c>
      <c r="Q11056" s="37" t="str">
        <f>IF(P11056&gt;500,"High","low")</f>
        <v>low</v>
      </c>
      <c r="R11056" s="37" t="str">
        <f t="shared" si="864"/>
        <v>AVERAGE</v>
      </c>
      <c r="S11056" t="s">
        <v>609</v>
      </c>
    </row>
    <row r="11057" spans="1:19" x14ac:dyDescent="0.2">
      <c r="A11057" t="s">
        <v>11668</v>
      </c>
      <c r="B11057" t="s">
        <v>75</v>
      </c>
      <c r="C11057" t="s">
        <v>614</v>
      </c>
      <c r="D11057">
        <v>3711.2</v>
      </c>
      <c r="E11057" s="37" t="str">
        <f t="shared" si="860"/>
        <v xml:space="preserve"> </v>
      </c>
      <c r="F11057">
        <v>0.31</v>
      </c>
      <c r="G11057" s="37" t="str">
        <f t="shared" si="861"/>
        <v>Heavy Discount</v>
      </c>
      <c r="H11057" s="37" t="str">
        <f t="shared" si="862"/>
        <v>Medium</v>
      </c>
      <c r="I11057">
        <v>9</v>
      </c>
      <c r="J11057" t="str" cm="1">
        <f t="array" ref="J11057">_xlfn.IFS(I11057&lt;=3,"small",I11057&lt;=6,"Medium",I11057&lt;=9,"Large")</f>
        <v>Large</v>
      </c>
      <c r="K11057" s="36">
        <v>45151</v>
      </c>
      <c r="L11057" s="36">
        <v>45154</v>
      </c>
      <c r="M11057" t="s">
        <v>603</v>
      </c>
      <c r="N11057" t="s">
        <v>599</v>
      </c>
      <c r="O11057" s="37" t="str">
        <f t="shared" si="863"/>
        <v>Digital Payment</v>
      </c>
      <c r="P11057">
        <v>523.47</v>
      </c>
      <c r="Q11057" s="37" t="str">
        <f>IF(P11057&gt;500,"High","low")</f>
        <v>High</v>
      </c>
      <c r="R11057" s="37" t="str">
        <f t="shared" si="864"/>
        <v>Good</v>
      </c>
      <c r="S11057" t="s">
        <v>600</v>
      </c>
    </row>
    <row r="11058" spans="1:19" x14ac:dyDescent="0.2">
      <c r="A11058" t="s">
        <v>11669</v>
      </c>
      <c r="B11058" t="s">
        <v>83</v>
      </c>
      <c r="C11058" t="s">
        <v>614</v>
      </c>
      <c r="D11058">
        <v>781.63</v>
      </c>
      <c r="E11058" s="37" t="str">
        <f t="shared" si="860"/>
        <v xml:space="preserve"> </v>
      </c>
      <c r="F11058">
        <v>0.28000000000000003</v>
      </c>
      <c r="G11058" s="37" t="str">
        <f t="shared" si="861"/>
        <v>Normal Discount</v>
      </c>
      <c r="H11058" s="37" t="str">
        <f t="shared" si="862"/>
        <v>Medium</v>
      </c>
      <c r="I11058">
        <v>5</v>
      </c>
      <c r="J11058" t="str" cm="1">
        <f t="array" ref="J11058">_xlfn.IFS(I11058&lt;=3,"small",I11058&lt;=6,"Medium",I11058&lt;=9,"Large")</f>
        <v>Medium</v>
      </c>
      <c r="K11058" s="36">
        <v>44946</v>
      </c>
      <c r="L11058" s="36">
        <v>44950</v>
      </c>
      <c r="M11058" t="s">
        <v>603</v>
      </c>
      <c r="N11058" t="s">
        <v>604</v>
      </c>
      <c r="O11058" s="37" t="str">
        <f t="shared" si="863"/>
        <v>Digital Payment</v>
      </c>
      <c r="P11058">
        <v>148.46</v>
      </c>
      <c r="Q11058" s="37" t="str">
        <f>IF(P11058&gt;500,"High","low")</f>
        <v>low</v>
      </c>
      <c r="R11058" s="37" t="str">
        <f t="shared" si="864"/>
        <v>AVERAGE</v>
      </c>
      <c r="S11058" t="s">
        <v>615</v>
      </c>
    </row>
    <row r="11059" spans="1:19" x14ac:dyDescent="0.2">
      <c r="A11059" t="s">
        <v>11670</v>
      </c>
      <c r="B11059" t="s">
        <v>90</v>
      </c>
      <c r="C11059" t="s">
        <v>617</v>
      </c>
      <c r="D11059">
        <v>2793.26</v>
      </c>
      <c r="E11059" s="37" t="str">
        <f t="shared" si="860"/>
        <v xml:space="preserve"> </v>
      </c>
      <c r="F11059">
        <v>0.46</v>
      </c>
      <c r="G11059" s="37" t="str">
        <f t="shared" si="861"/>
        <v>Heavy Discount</v>
      </c>
      <c r="H11059" s="37" t="str">
        <f t="shared" si="862"/>
        <v>High</v>
      </c>
      <c r="I11059">
        <v>2</v>
      </c>
      <c r="J11059" t="str" cm="1">
        <f t="array" ref="J11059">_xlfn.IFS(I11059&lt;=3,"small",I11059&lt;=6,"Medium",I11059&lt;=9,"Large")</f>
        <v>small</v>
      </c>
      <c r="K11059" s="36">
        <v>45600</v>
      </c>
      <c r="L11059" s="36">
        <v>45606</v>
      </c>
      <c r="M11059" t="s">
        <v>598</v>
      </c>
      <c r="N11059" t="s">
        <v>608</v>
      </c>
      <c r="O11059" s="37" t="str">
        <f t="shared" si="863"/>
        <v>Cash Payment</v>
      </c>
      <c r="P11059">
        <v>685.7</v>
      </c>
      <c r="Q11059" s="37" t="str">
        <f>IF(P11059&gt;500,"High","low")</f>
        <v>High</v>
      </c>
      <c r="R11059" s="37" t="str">
        <f t="shared" si="864"/>
        <v>Good</v>
      </c>
      <c r="S11059" t="s">
        <v>628</v>
      </c>
    </row>
    <row r="11060" spans="1:19" x14ac:dyDescent="0.2">
      <c r="A11060" t="s">
        <v>11671</v>
      </c>
      <c r="B11060" t="s">
        <v>90</v>
      </c>
      <c r="C11060" t="s">
        <v>607</v>
      </c>
      <c r="D11060">
        <v>2594.7399999999998</v>
      </c>
      <c r="E11060" s="37" t="str">
        <f t="shared" si="860"/>
        <v xml:space="preserve"> </v>
      </c>
      <c r="F11060">
        <v>0.11</v>
      </c>
      <c r="G11060" s="37" t="str">
        <f t="shared" si="861"/>
        <v>Normal Discount</v>
      </c>
      <c r="H11060" s="37" t="str">
        <f t="shared" si="862"/>
        <v>Low</v>
      </c>
      <c r="I11060">
        <v>7</v>
      </c>
      <c r="J11060" t="str" cm="1">
        <f t="array" ref="J11060">_xlfn.IFS(I11060&lt;=3,"small",I11060&lt;=6,"Medium",I11060&lt;=9,"Large")</f>
        <v>Large</v>
      </c>
      <c r="K11060" s="36">
        <v>45580</v>
      </c>
      <c r="L11060" s="36">
        <v>45582</v>
      </c>
      <c r="M11060" t="s">
        <v>612</v>
      </c>
      <c r="N11060" t="s">
        <v>599</v>
      </c>
      <c r="O11060" s="37" t="str">
        <f t="shared" si="863"/>
        <v>Digital Payment</v>
      </c>
      <c r="P11060">
        <v>270.20999999999998</v>
      </c>
      <c r="Q11060" s="37" t="str">
        <f>IF(P11060&gt;500,"High","low")</f>
        <v>low</v>
      </c>
      <c r="R11060" s="37" t="str">
        <f t="shared" si="864"/>
        <v>AVERAGE</v>
      </c>
      <c r="S11060" t="s">
        <v>600</v>
      </c>
    </row>
    <row r="11061" spans="1:19" x14ac:dyDescent="0.2">
      <c r="A11061" t="s">
        <v>11672</v>
      </c>
      <c r="B11061" t="s">
        <v>67</v>
      </c>
      <c r="C11061" t="s">
        <v>597</v>
      </c>
      <c r="D11061">
        <v>1778.4</v>
      </c>
      <c r="E11061" s="37" t="str">
        <f t="shared" si="860"/>
        <v xml:space="preserve"> </v>
      </c>
      <c r="F11061">
        <v>0.44</v>
      </c>
      <c r="G11061" s="37" t="str">
        <f t="shared" si="861"/>
        <v>Heavy Discount</v>
      </c>
      <c r="H11061" s="37" t="str">
        <f t="shared" si="862"/>
        <v>High</v>
      </c>
      <c r="I11061">
        <v>9</v>
      </c>
      <c r="J11061" t="str" cm="1">
        <f t="array" ref="J11061">_xlfn.IFS(I11061&lt;=3,"small",I11061&lt;=6,"Medium",I11061&lt;=9,"Large")</f>
        <v>Large</v>
      </c>
      <c r="K11061" s="36">
        <v>45323</v>
      </c>
      <c r="L11061" s="36">
        <v>45326</v>
      </c>
      <c r="M11061" t="s">
        <v>603</v>
      </c>
      <c r="N11061" t="s">
        <v>604</v>
      </c>
      <c r="O11061" s="37" t="str">
        <f t="shared" si="863"/>
        <v>Digital Payment</v>
      </c>
      <c r="P11061">
        <v>112.96</v>
      </c>
      <c r="Q11061" s="37" t="str">
        <f>IF(P11061&gt;500,"High","low")</f>
        <v>low</v>
      </c>
      <c r="R11061" s="37" t="str">
        <f t="shared" si="864"/>
        <v>AVERAGE</v>
      </c>
      <c r="S11061" t="s">
        <v>609</v>
      </c>
    </row>
    <row r="11062" spans="1:19" x14ac:dyDescent="0.2">
      <c r="A11062" t="s">
        <v>11673</v>
      </c>
      <c r="B11062" t="s">
        <v>83</v>
      </c>
      <c r="C11062" t="s">
        <v>602</v>
      </c>
      <c r="D11062">
        <v>2237.14</v>
      </c>
      <c r="E11062" s="37" t="str">
        <f t="shared" si="860"/>
        <v xml:space="preserve"> </v>
      </c>
      <c r="F11062">
        <v>0.34</v>
      </c>
      <c r="G11062" s="37" t="str">
        <f t="shared" si="861"/>
        <v>Heavy Discount</v>
      </c>
      <c r="H11062" s="37" t="str">
        <f t="shared" si="862"/>
        <v>Medium</v>
      </c>
      <c r="I11062">
        <v>7</v>
      </c>
      <c r="J11062" t="str" cm="1">
        <f t="array" ref="J11062">_xlfn.IFS(I11062&lt;=3,"small",I11062&lt;=6,"Medium",I11062&lt;=9,"Large")</f>
        <v>Large</v>
      </c>
      <c r="K11062" s="36">
        <v>45371</v>
      </c>
      <c r="L11062" s="36">
        <v>45376</v>
      </c>
      <c r="M11062" t="s">
        <v>603</v>
      </c>
      <c r="N11062" t="s">
        <v>604</v>
      </c>
      <c r="O11062" s="37" t="str">
        <f t="shared" si="863"/>
        <v>Digital Payment</v>
      </c>
      <c r="P11062">
        <v>501.63</v>
      </c>
      <c r="Q11062" s="37" t="str">
        <f>IF(P11062&gt;500,"High","low")</f>
        <v>High</v>
      </c>
      <c r="R11062" s="37" t="str">
        <f t="shared" si="864"/>
        <v>Good</v>
      </c>
      <c r="S11062" t="s">
        <v>615</v>
      </c>
    </row>
    <row r="11063" spans="1:19" x14ac:dyDescent="0.2">
      <c r="A11063" t="s">
        <v>11674</v>
      </c>
      <c r="B11063" t="s">
        <v>90</v>
      </c>
      <c r="C11063" t="s">
        <v>614</v>
      </c>
      <c r="D11063">
        <v>2642.18</v>
      </c>
      <c r="E11063" s="37" t="str">
        <f t="shared" si="860"/>
        <v xml:space="preserve"> </v>
      </c>
      <c r="F11063">
        <v>0.06</v>
      </c>
      <c r="G11063" s="37" t="str">
        <f t="shared" si="861"/>
        <v>Normal Discount</v>
      </c>
      <c r="H11063" s="37" t="str">
        <f t="shared" si="862"/>
        <v>Low</v>
      </c>
      <c r="I11063">
        <v>8</v>
      </c>
      <c r="J11063" t="str" cm="1">
        <f t="array" ref="J11063">_xlfn.IFS(I11063&lt;=3,"small",I11063&lt;=6,"Medium",I11063&lt;=9,"Large")</f>
        <v>Large</v>
      </c>
      <c r="K11063" s="36">
        <v>45359</v>
      </c>
      <c r="L11063" s="36">
        <v>45361</v>
      </c>
      <c r="M11063" t="s">
        <v>612</v>
      </c>
      <c r="N11063" t="s">
        <v>604</v>
      </c>
      <c r="O11063" s="37" t="str">
        <f t="shared" si="863"/>
        <v>Digital Payment</v>
      </c>
      <c r="P11063">
        <v>196.25</v>
      </c>
      <c r="Q11063" s="37" t="str">
        <f>IF(P11063&gt;500,"High","low")</f>
        <v>low</v>
      </c>
      <c r="R11063" s="37" t="str">
        <f t="shared" si="864"/>
        <v>AVERAGE</v>
      </c>
      <c r="S11063" t="s">
        <v>628</v>
      </c>
    </row>
    <row r="11064" spans="1:19" x14ac:dyDescent="0.2">
      <c r="A11064" t="s">
        <v>11675</v>
      </c>
      <c r="B11064" t="s">
        <v>83</v>
      </c>
      <c r="C11064" t="s">
        <v>614</v>
      </c>
      <c r="D11064">
        <v>1672.52</v>
      </c>
      <c r="E11064" s="37" t="str">
        <f t="shared" si="860"/>
        <v xml:space="preserve"> </v>
      </c>
      <c r="F11064">
        <v>0.19</v>
      </c>
      <c r="G11064" s="37" t="str">
        <f t="shared" si="861"/>
        <v>Normal Discount</v>
      </c>
      <c r="H11064" s="37" t="str">
        <f t="shared" si="862"/>
        <v>Low</v>
      </c>
      <c r="I11064">
        <v>3</v>
      </c>
      <c r="J11064" t="str" cm="1">
        <f t="array" ref="J11064">_xlfn.IFS(I11064&lt;=3,"small",I11064&lt;=6,"Medium",I11064&lt;=9,"Large")</f>
        <v>small</v>
      </c>
      <c r="K11064" s="36">
        <v>44971</v>
      </c>
      <c r="L11064" s="36">
        <v>44972</v>
      </c>
      <c r="M11064" t="s">
        <v>598</v>
      </c>
      <c r="N11064" t="s">
        <v>604</v>
      </c>
      <c r="O11064" s="37" t="str">
        <f t="shared" si="863"/>
        <v>Digital Payment</v>
      </c>
      <c r="P11064">
        <v>185.59</v>
      </c>
      <c r="Q11064" s="37" t="str">
        <f>IF(P11064&gt;500,"High","low")</f>
        <v>low</v>
      </c>
      <c r="R11064" s="37" t="str">
        <f t="shared" si="864"/>
        <v>AVERAGE</v>
      </c>
      <c r="S11064" t="s">
        <v>605</v>
      </c>
    </row>
    <row r="11065" spans="1:19" x14ac:dyDescent="0.2">
      <c r="A11065" t="s">
        <v>11676</v>
      </c>
      <c r="B11065" t="s">
        <v>90</v>
      </c>
      <c r="C11065" t="s">
        <v>614</v>
      </c>
      <c r="D11065">
        <v>1536.48</v>
      </c>
      <c r="E11065" s="37" t="str">
        <f t="shared" si="860"/>
        <v xml:space="preserve"> </v>
      </c>
      <c r="F11065">
        <v>0.22</v>
      </c>
      <c r="G11065" s="37" t="str">
        <f t="shared" si="861"/>
        <v>Normal Discount</v>
      </c>
      <c r="H11065" s="37" t="str">
        <f t="shared" si="862"/>
        <v>Medium</v>
      </c>
      <c r="I11065">
        <v>9</v>
      </c>
      <c r="J11065" t="str" cm="1">
        <f t="array" ref="J11065">_xlfn.IFS(I11065&lt;=3,"small",I11065&lt;=6,"Medium",I11065&lt;=9,"Large")</f>
        <v>Large</v>
      </c>
      <c r="K11065" s="36">
        <v>45206</v>
      </c>
      <c r="L11065" s="36">
        <v>45210</v>
      </c>
      <c r="M11065" t="s">
        <v>598</v>
      </c>
      <c r="N11065" t="s">
        <v>599</v>
      </c>
      <c r="O11065" s="37" t="str">
        <f t="shared" si="863"/>
        <v>Digital Payment</v>
      </c>
      <c r="P11065">
        <v>179.68</v>
      </c>
      <c r="Q11065" s="37" t="str">
        <f>IF(P11065&gt;500,"High","low")</f>
        <v>low</v>
      </c>
      <c r="R11065" s="37" t="str">
        <f t="shared" si="864"/>
        <v>AVERAGE</v>
      </c>
      <c r="S11065" t="s">
        <v>605</v>
      </c>
    </row>
    <row r="11066" spans="1:19" x14ac:dyDescent="0.2">
      <c r="A11066" t="s">
        <v>11677</v>
      </c>
      <c r="B11066" t="s">
        <v>67</v>
      </c>
      <c r="C11066" t="s">
        <v>607</v>
      </c>
      <c r="D11066">
        <v>3717.54</v>
      </c>
      <c r="E11066" s="37" t="str">
        <f t="shared" si="860"/>
        <v xml:space="preserve"> </v>
      </c>
      <c r="F11066">
        <v>0.04</v>
      </c>
      <c r="G11066" s="37" t="str">
        <f t="shared" si="861"/>
        <v>Normal Discount</v>
      </c>
      <c r="H11066" s="37" t="str">
        <f t="shared" si="862"/>
        <v>Low</v>
      </c>
      <c r="I11066">
        <v>7</v>
      </c>
      <c r="J11066" t="str" cm="1">
        <f t="array" ref="J11066">_xlfn.IFS(I11066&lt;=3,"small",I11066&lt;=6,"Medium",I11066&lt;=9,"Large")</f>
        <v>Large</v>
      </c>
      <c r="K11066" s="36">
        <v>45148</v>
      </c>
      <c r="L11066" s="36">
        <v>45150</v>
      </c>
      <c r="M11066" t="s">
        <v>612</v>
      </c>
      <c r="N11066" t="s">
        <v>604</v>
      </c>
      <c r="O11066" s="37" t="str">
        <f t="shared" si="863"/>
        <v>Digital Payment</v>
      </c>
      <c r="P11066">
        <v>964.5</v>
      </c>
      <c r="Q11066" s="37" t="str">
        <f>IF(P11066&gt;500,"High","low")</f>
        <v>High</v>
      </c>
      <c r="R11066" s="37" t="str">
        <f t="shared" si="864"/>
        <v>Good</v>
      </c>
      <c r="S11066" t="s">
        <v>605</v>
      </c>
    </row>
    <row r="11067" spans="1:19" x14ac:dyDescent="0.2">
      <c r="A11067" t="s">
        <v>11678</v>
      </c>
      <c r="B11067" t="s">
        <v>67</v>
      </c>
      <c r="C11067" t="s">
        <v>607</v>
      </c>
      <c r="D11067">
        <v>427.9</v>
      </c>
      <c r="E11067" s="37" t="str">
        <f t="shared" si="860"/>
        <v xml:space="preserve"> </v>
      </c>
      <c r="F11067">
        <v>0.28000000000000003</v>
      </c>
      <c r="G11067" s="37" t="str">
        <f t="shared" si="861"/>
        <v>Normal Discount</v>
      </c>
      <c r="H11067" s="37" t="str">
        <f t="shared" si="862"/>
        <v>Medium</v>
      </c>
      <c r="I11067">
        <v>4</v>
      </c>
      <c r="J11067" t="str" cm="1">
        <f t="array" ref="J11067">_xlfn.IFS(I11067&lt;=3,"small",I11067&lt;=6,"Medium",I11067&lt;=9,"Large")</f>
        <v>Medium</v>
      </c>
      <c r="K11067" s="36">
        <v>45117</v>
      </c>
      <c r="L11067" s="36">
        <v>45119</v>
      </c>
      <c r="M11067" t="s">
        <v>598</v>
      </c>
      <c r="N11067" t="s">
        <v>604</v>
      </c>
      <c r="O11067" s="37" t="str">
        <f t="shared" si="863"/>
        <v>Digital Payment</v>
      </c>
      <c r="P11067">
        <v>83.38</v>
      </c>
      <c r="Q11067" s="37" t="str">
        <f>IF(P11067&gt;500,"High","low")</f>
        <v>low</v>
      </c>
      <c r="R11067" s="37" t="str">
        <f t="shared" si="864"/>
        <v>AVERAGE</v>
      </c>
      <c r="S11067" t="s">
        <v>615</v>
      </c>
    </row>
    <row r="11068" spans="1:19" x14ac:dyDescent="0.2">
      <c r="A11068" t="s">
        <v>11679</v>
      </c>
      <c r="B11068" t="s">
        <v>83</v>
      </c>
      <c r="C11068" t="s">
        <v>597</v>
      </c>
      <c r="D11068">
        <v>1633.52</v>
      </c>
      <c r="E11068" s="37" t="str">
        <f t="shared" si="860"/>
        <v xml:space="preserve"> </v>
      </c>
      <c r="F11068">
        <v>0.13</v>
      </c>
      <c r="G11068" s="37" t="str">
        <f t="shared" si="861"/>
        <v>Normal Discount</v>
      </c>
      <c r="H11068" s="37" t="str">
        <f t="shared" si="862"/>
        <v>Low</v>
      </c>
      <c r="I11068">
        <v>7</v>
      </c>
      <c r="J11068" t="str" cm="1">
        <f t="array" ref="J11068">_xlfn.IFS(I11068&lt;=3,"small",I11068&lt;=6,"Medium",I11068&lt;=9,"Large")</f>
        <v>Large</v>
      </c>
      <c r="K11068" s="36">
        <v>45447</v>
      </c>
      <c r="L11068" s="36">
        <v>45454</v>
      </c>
      <c r="M11068" t="s">
        <v>612</v>
      </c>
      <c r="N11068" t="s">
        <v>604</v>
      </c>
      <c r="O11068" s="37" t="str">
        <f t="shared" si="863"/>
        <v>Digital Payment</v>
      </c>
      <c r="P11068">
        <v>266.14</v>
      </c>
      <c r="Q11068" s="37" t="str">
        <f>IF(P11068&gt;500,"High","low")</f>
        <v>low</v>
      </c>
      <c r="R11068" s="37" t="str">
        <f t="shared" si="864"/>
        <v>AVERAGE</v>
      </c>
      <c r="S11068" t="s">
        <v>600</v>
      </c>
    </row>
    <row r="11069" spans="1:19" x14ac:dyDescent="0.2">
      <c r="A11069" t="s">
        <v>11680</v>
      </c>
      <c r="B11069" t="s">
        <v>90</v>
      </c>
      <c r="C11069" t="s">
        <v>602</v>
      </c>
      <c r="D11069">
        <v>3303.18</v>
      </c>
      <c r="E11069" s="37" t="str">
        <f t="shared" si="860"/>
        <v xml:space="preserve"> </v>
      </c>
      <c r="F11069">
        <v>0.23</v>
      </c>
      <c r="G11069" s="37" t="str">
        <f t="shared" si="861"/>
        <v>Normal Discount</v>
      </c>
      <c r="H11069" s="37" t="str">
        <f t="shared" si="862"/>
        <v>Medium</v>
      </c>
      <c r="I11069">
        <v>3</v>
      </c>
      <c r="J11069" t="str" cm="1">
        <f t="array" ref="J11069">_xlfn.IFS(I11069&lt;=3,"small",I11069&lt;=6,"Medium",I11069&lt;=9,"Large")</f>
        <v>small</v>
      </c>
      <c r="K11069" s="36">
        <v>45629</v>
      </c>
      <c r="L11069" s="36">
        <v>45631</v>
      </c>
      <c r="M11069" t="s">
        <v>603</v>
      </c>
      <c r="N11069" t="s">
        <v>599</v>
      </c>
      <c r="O11069" s="37" t="str">
        <f t="shared" si="863"/>
        <v>Digital Payment</v>
      </c>
      <c r="P11069">
        <v>186.34</v>
      </c>
      <c r="Q11069" s="37" t="str">
        <f>IF(P11069&gt;500,"High","low")</f>
        <v>low</v>
      </c>
      <c r="R11069" s="37" t="str">
        <f t="shared" si="864"/>
        <v>AVERAGE</v>
      </c>
      <c r="S11069" t="s">
        <v>600</v>
      </c>
    </row>
    <row r="11070" spans="1:19" x14ac:dyDescent="0.2">
      <c r="A11070" t="s">
        <v>11681</v>
      </c>
      <c r="B11070" t="s">
        <v>75</v>
      </c>
      <c r="C11070" t="s">
        <v>607</v>
      </c>
      <c r="D11070">
        <v>1122.99</v>
      </c>
      <c r="E11070" s="37" t="str">
        <f t="shared" si="860"/>
        <v xml:space="preserve"> </v>
      </c>
      <c r="F11070">
        <v>0.22</v>
      </c>
      <c r="G11070" s="37" t="str">
        <f t="shared" si="861"/>
        <v>Normal Discount</v>
      </c>
      <c r="H11070" s="37" t="str">
        <f t="shared" si="862"/>
        <v>Medium</v>
      </c>
      <c r="I11070">
        <v>7</v>
      </c>
      <c r="J11070" t="str" cm="1">
        <f t="array" ref="J11070">_xlfn.IFS(I11070&lt;=3,"small",I11070&lt;=6,"Medium",I11070&lt;=9,"Large")</f>
        <v>Large</v>
      </c>
      <c r="K11070" s="36">
        <v>45238</v>
      </c>
      <c r="L11070" s="36">
        <v>45242</v>
      </c>
      <c r="M11070" t="s">
        <v>603</v>
      </c>
      <c r="N11070" t="s">
        <v>608</v>
      </c>
      <c r="O11070" s="37" t="str">
        <f t="shared" si="863"/>
        <v>Cash Payment</v>
      </c>
      <c r="P11070">
        <v>198.8</v>
      </c>
      <c r="Q11070" s="37" t="str">
        <f>IF(P11070&gt;500,"High","low")</f>
        <v>low</v>
      </c>
      <c r="R11070" s="37" t="str">
        <f t="shared" si="864"/>
        <v>AVERAGE</v>
      </c>
      <c r="S11070" t="s">
        <v>600</v>
      </c>
    </row>
    <row r="11071" spans="1:19" x14ac:dyDescent="0.2">
      <c r="A11071" t="s">
        <v>11682</v>
      </c>
      <c r="B11071" t="s">
        <v>67</v>
      </c>
      <c r="C11071" t="s">
        <v>617</v>
      </c>
      <c r="D11071">
        <v>2904.14</v>
      </c>
      <c r="E11071" s="37" t="str">
        <f t="shared" si="860"/>
        <v xml:space="preserve"> </v>
      </c>
      <c r="F11071">
        <v>0.26</v>
      </c>
      <c r="G11071" s="37" t="str">
        <f t="shared" si="861"/>
        <v>Normal Discount</v>
      </c>
      <c r="H11071" s="37" t="str">
        <f t="shared" si="862"/>
        <v>Medium</v>
      </c>
      <c r="I11071">
        <v>3</v>
      </c>
      <c r="J11071" t="str" cm="1">
        <f t="array" ref="J11071">_xlfn.IFS(I11071&lt;=3,"small",I11071&lt;=6,"Medium",I11071&lt;=9,"Large")</f>
        <v>small</v>
      </c>
      <c r="K11071" s="36">
        <v>45259</v>
      </c>
      <c r="L11071" s="36">
        <v>45266</v>
      </c>
      <c r="M11071" t="s">
        <v>603</v>
      </c>
      <c r="N11071" t="s">
        <v>608</v>
      </c>
      <c r="O11071" s="37" t="str">
        <f t="shared" si="863"/>
        <v>Cash Payment</v>
      </c>
      <c r="P11071">
        <v>662.63</v>
      </c>
      <c r="Q11071" s="37" t="str">
        <f>IF(P11071&gt;500,"High","low")</f>
        <v>High</v>
      </c>
      <c r="R11071" s="37" t="str">
        <f t="shared" si="864"/>
        <v>Good</v>
      </c>
      <c r="S11071" t="s">
        <v>620</v>
      </c>
    </row>
    <row r="11072" spans="1:19" x14ac:dyDescent="0.2">
      <c r="A11072" t="s">
        <v>11683</v>
      </c>
      <c r="B11072" t="s">
        <v>83</v>
      </c>
      <c r="C11072" t="s">
        <v>607</v>
      </c>
      <c r="D11072">
        <v>1580.6</v>
      </c>
      <c r="E11072" s="37" t="str">
        <f t="shared" si="860"/>
        <v xml:space="preserve"> </v>
      </c>
      <c r="F11072">
        <v>0.42</v>
      </c>
      <c r="G11072" s="37" t="str">
        <f t="shared" si="861"/>
        <v>Heavy Discount</v>
      </c>
      <c r="H11072" s="37" t="str">
        <f t="shared" si="862"/>
        <v>High</v>
      </c>
      <c r="I11072">
        <v>2</v>
      </c>
      <c r="J11072" t="str" cm="1">
        <f t="array" ref="J11072">_xlfn.IFS(I11072&lt;=3,"small",I11072&lt;=6,"Medium",I11072&lt;=9,"Large")</f>
        <v>small</v>
      </c>
      <c r="K11072" s="36">
        <v>45259</v>
      </c>
      <c r="L11072" s="36">
        <v>45265</v>
      </c>
      <c r="M11072" t="s">
        <v>598</v>
      </c>
      <c r="N11072" t="s">
        <v>604</v>
      </c>
      <c r="O11072" s="37" t="str">
        <f t="shared" si="863"/>
        <v>Digital Payment</v>
      </c>
      <c r="P11072">
        <v>464.96</v>
      </c>
      <c r="Q11072" s="37" t="str">
        <f>IF(P11072&gt;500,"High","low")</f>
        <v>low</v>
      </c>
      <c r="R11072" s="37" t="str">
        <f t="shared" si="864"/>
        <v>AVERAGE</v>
      </c>
      <c r="S11072" t="s">
        <v>628</v>
      </c>
    </row>
    <row r="11073" spans="1:19" x14ac:dyDescent="0.2">
      <c r="A11073" t="s">
        <v>11684</v>
      </c>
      <c r="B11073" t="s">
        <v>83</v>
      </c>
      <c r="C11073" t="s">
        <v>614</v>
      </c>
      <c r="D11073">
        <v>4232.18</v>
      </c>
      <c r="E11073" s="37" t="str">
        <f t="shared" si="860"/>
        <v xml:space="preserve"> </v>
      </c>
      <c r="F11073">
        <v>0.39</v>
      </c>
      <c r="G11073" s="37" t="str">
        <f t="shared" si="861"/>
        <v>Heavy Discount</v>
      </c>
      <c r="H11073" s="37" t="str">
        <f t="shared" si="862"/>
        <v>Medium</v>
      </c>
      <c r="I11073">
        <v>1</v>
      </c>
      <c r="J11073" t="str" cm="1">
        <f t="array" ref="J11073">_xlfn.IFS(I11073&lt;=3,"small",I11073&lt;=6,"Medium",I11073&lt;=9,"Large")</f>
        <v>small</v>
      </c>
      <c r="K11073" s="36">
        <v>45125</v>
      </c>
      <c r="L11073" s="36">
        <v>45131</v>
      </c>
      <c r="M11073" t="s">
        <v>598</v>
      </c>
      <c r="N11073" t="s">
        <v>604</v>
      </c>
      <c r="O11073" s="37" t="str">
        <f t="shared" si="863"/>
        <v>Digital Payment</v>
      </c>
      <c r="P11073">
        <v>722.38</v>
      </c>
      <c r="Q11073" s="37" t="str">
        <f>IF(P11073&gt;500,"High","low")</f>
        <v>High</v>
      </c>
      <c r="R11073" s="37" t="str">
        <f t="shared" si="864"/>
        <v>Good</v>
      </c>
      <c r="S11073" t="s">
        <v>609</v>
      </c>
    </row>
    <row r="11074" spans="1:19" x14ac:dyDescent="0.2">
      <c r="A11074" t="s">
        <v>11685</v>
      </c>
      <c r="B11074" t="s">
        <v>90</v>
      </c>
      <c r="C11074" t="s">
        <v>602</v>
      </c>
      <c r="D11074">
        <v>1814.95</v>
      </c>
      <c r="E11074" s="37" t="str">
        <f t="shared" si="860"/>
        <v xml:space="preserve"> </v>
      </c>
      <c r="F11074">
        <v>0.44</v>
      </c>
      <c r="G11074" s="37" t="str">
        <f t="shared" si="861"/>
        <v>Heavy Discount</v>
      </c>
      <c r="H11074" s="37" t="str">
        <f t="shared" si="862"/>
        <v>High</v>
      </c>
      <c r="I11074">
        <v>6</v>
      </c>
      <c r="J11074" t="str" cm="1">
        <f t="array" ref="J11074">_xlfn.IFS(I11074&lt;=3,"small",I11074&lt;=6,"Medium",I11074&lt;=9,"Large")</f>
        <v>Medium</v>
      </c>
      <c r="K11074" s="36">
        <v>45310</v>
      </c>
      <c r="L11074" s="36">
        <v>45315</v>
      </c>
      <c r="M11074" t="s">
        <v>598</v>
      </c>
      <c r="N11074" t="s">
        <v>608</v>
      </c>
      <c r="O11074" s="37" t="str">
        <f t="shared" si="863"/>
        <v>Cash Payment</v>
      </c>
      <c r="P11074">
        <v>343.46</v>
      </c>
      <c r="Q11074" s="37" t="str">
        <f>IF(P11074&gt;500,"High","low")</f>
        <v>low</v>
      </c>
      <c r="R11074" s="37" t="str">
        <f t="shared" si="864"/>
        <v>AVERAGE</v>
      </c>
      <c r="S11074" t="s">
        <v>609</v>
      </c>
    </row>
    <row r="11075" spans="1:19" x14ac:dyDescent="0.2">
      <c r="A11075" t="s">
        <v>11686</v>
      </c>
      <c r="B11075" t="s">
        <v>83</v>
      </c>
      <c r="C11075" t="s">
        <v>597</v>
      </c>
      <c r="D11075">
        <v>1224.6300000000001</v>
      </c>
      <c r="E11075" s="37" t="str">
        <f t="shared" ref="E11075:E11138" si="865">IF(AND(D11075&gt;4000,P11075&gt;800),"Excellent Order"," ")</f>
        <v xml:space="preserve"> </v>
      </c>
      <c r="F11075">
        <v>0.28999999999999998</v>
      </c>
      <c r="G11075" s="37" t="str">
        <f t="shared" ref="G11075:G11138" si="866">IF(F11075&gt;30%,"Heavy Discount","Normal Discount")</f>
        <v>Normal Discount</v>
      </c>
      <c r="H11075" s="37" t="str">
        <f t="shared" ref="H11075:H11138" si="867">IF(F11075&gt;0.4,"High",IF(F11075&gt;=0.2,"Medium","Low"))</f>
        <v>Medium</v>
      </c>
      <c r="I11075">
        <v>3</v>
      </c>
      <c r="J11075" t="str" cm="1">
        <f t="array" ref="J11075">_xlfn.IFS(I11075&lt;=3,"small",I11075&lt;=6,"Medium",I11075&lt;=9,"Large")</f>
        <v>small</v>
      </c>
      <c r="K11075" s="36">
        <v>45641</v>
      </c>
      <c r="L11075" s="36">
        <v>45648</v>
      </c>
      <c r="M11075" t="s">
        <v>598</v>
      </c>
      <c r="N11075" t="s">
        <v>608</v>
      </c>
      <c r="O11075" s="37" t="str">
        <f t="shared" ref="O11075:O11138" si="868">IF(OR(N11075="Card",N11075="UPI"),"Digital Payment","Cash Payment")</f>
        <v>Cash Payment</v>
      </c>
      <c r="P11075">
        <v>159.63999999999999</v>
      </c>
      <c r="Q11075" s="37" t="str">
        <f>IF(P11075&gt;500,"High","low")</f>
        <v>low</v>
      </c>
      <c r="R11075" s="37" t="str">
        <f t="shared" ref="R11075:R11138" si="869">IF(P11075&gt;1000,"Excellent",IF(P11075&gt;=500,"Good","AVERAGE"))</f>
        <v>AVERAGE</v>
      </c>
      <c r="S11075" t="s">
        <v>628</v>
      </c>
    </row>
    <row r="11076" spans="1:19" x14ac:dyDescent="0.2">
      <c r="A11076" t="s">
        <v>11687</v>
      </c>
      <c r="B11076" t="s">
        <v>67</v>
      </c>
      <c r="C11076" t="s">
        <v>607</v>
      </c>
      <c r="D11076">
        <v>2697.51</v>
      </c>
      <c r="E11076" s="37" t="str">
        <f t="shared" si="865"/>
        <v xml:space="preserve"> </v>
      </c>
      <c r="F11076">
        <v>0.31</v>
      </c>
      <c r="G11076" s="37" t="str">
        <f t="shared" si="866"/>
        <v>Heavy Discount</v>
      </c>
      <c r="H11076" s="37" t="str">
        <f t="shared" si="867"/>
        <v>Medium</v>
      </c>
      <c r="I11076">
        <v>2</v>
      </c>
      <c r="J11076" t="str" cm="1">
        <f t="array" ref="J11076">_xlfn.IFS(I11076&lt;=3,"small",I11076&lt;=6,"Medium",I11076&lt;=9,"Large")</f>
        <v>small</v>
      </c>
      <c r="K11076" s="36">
        <v>45437</v>
      </c>
      <c r="L11076" s="36">
        <v>45441</v>
      </c>
      <c r="M11076" t="s">
        <v>612</v>
      </c>
      <c r="N11076" t="s">
        <v>608</v>
      </c>
      <c r="O11076" s="37" t="str">
        <f t="shared" si="868"/>
        <v>Cash Payment</v>
      </c>
      <c r="P11076">
        <v>685</v>
      </c>
      <c r="Q11076" s="37" t="str">
        <f>IF(P11076&gt;500,"High","low")</f>
        <v>High</v>
      </c>
      <c r="R11076" s="37" t="str">
        <f t="shared" si="869"/>
        <v>Good</v>
      </c>
      <c r="S11076" t="s">
        <v>605</v>
      </c>
    </row>
    <row r="11077" spans="1:19" x14ac:dyDescent="0.2">
      <c r="A11077" t="s">
        <v>11688</v>
      </c>
      <c r="B11077" t="s">
        <v>83</v>
      </c>
      <c r="C11077" t="s">
        <v>614</v>
      </c>
      <c r="D11077">
        <v>764.74</v>
      </c>
      <c r="E11077" s="37" t="str">
        <f t="shared" si="865"/>
        <v xml:space="preserve"> </v>
      </c>
      <c r="F11077">
        <v>0.22</v>
      </c>
      <c r="G11077" s="37" t="str">
        <f t="shared" si="866"/>
        <v>Normal Discount</v>
      </c>
      <c r="H11077" s="37" t="str">
        <f t="shared" si="867"/>
        <v>Medium</v>
      </c>
      <c r="I11077">
        <v>3</v>
      </c>
      <c r="J11077" t="str" cm="1">
        <f t="array" ref="J11077">_xlfn.IFS(I11077&lt;=3,"small",I11077&lt;=6,"Medium",I11077&lt;=9,"Large")</f>
        <v>small</v>
      </c>
      <c r="K11077" s="36">
        <v>45054</v>
      </c>
      <c r="L11077" s="36">
        <v>45058</v>
      </c>
      <c r="M11077" t="s">
        <v>598</v>
      </c>
      <c r="N11077" t="s">
        <v>608</v>
      </c>
      <c r="O11077" s="37" t="str">
        <f t="shared" si="868"/>
        <v>Cash Payment</v>
      </c>
      <c r="P11077">
        <v>141.54</v>
      </c>
      <c r="Q11077" s="37" t="str">
        <f>IF(P11077&gt;500,"High","low")</f>
        <v>low</v>
      </c>
      <c r="R11077" s="37" t="str">
        <f t="shared" si="869"/>
        <v>AVERAGE</v>
      </c>
      <c r="S11077" t="s">
        <v>600</v>
      </c>
    </row>
    <row r="11078" spans="1:19" x14ac:dyDescent="0.2">
      <c r="A11078" t="s">
        <v>11689</v>
      </c>
      <c r="B11078" t="s">
        <v>83</v>
      </c>
      <c r="C11078" t="s">
        <v>617</v>
      </c>
      <c r="D11078">
        <v>4007.67</v>
      </c>
      <c r="E11078" s="37" t="str">
        <f t="shared" si="865"/>
        <v xml:space="preserve"> </v>
      </c>
      <c r="F11078">
        <v>0.36</v>
      </c>
      <c r="G11078" s="37" t="str">
        <f t="shared" si="866"/>
        <v>Heavy Discount</v>
      </c>
      <c r="H11078" s="37" t="str">
        <f t="shared" si="867"/>
        <v>Medium</v>
      </c>
      <c r="I11078">
        <v>8</v>
      </c>
      <c r="J11078" t="str" cm="1">
        <f t="array" ref="J11078">_xlfn.IFS(I11078&lt;=3,"small",I11078&lt;=6,"Medium",I11078&lt;=9,"Large")</f>
        <v>Large</v>
      </c>
      <c r="K11078" s="36">
        <v>45039</v>
      </c>
      <c r="L11078" s="36">
        <v>45040</v>
      </c>
      <c r="M11078" t="s">
        <v>598</v>
      </c>
      <c r="N11078" t="s">
        <v>599</v>
      </c>
      <c r="O11078" s="37" t="str">
        <f t="shared" si="868"/>
        <v>Digital Payment</v>
      </c>
      <c r="P11078">
        <v>577.24</v>
      </c>
      <c r="Q11078" s="37" t="str">
        <f>IF(P11078&gt;500,"High","low")</f>
        <v>High</v>
      </c>
      <c r="R11078" s="37" t="str">
        <f t="shared" si="869"/>
        <v>Good</v>
      </c>
      <c r="S11078" t="s">
        <v>600</v>
      </c>
    </row>
    <row r="11079" spans="1:19" x14ac:dyDescent="0.2">
      <c r="A11079" t="s">
        <v>11690</v>
      </c>
      <c r="B11079" t="s">
        <v>75</v>
      </c>
      <c r="C11079" t="s">
        <v>617</v>
      </c>
      <c r="D11079">
        <v>3432.14</v>
      </c>
      <c r="E11079" s="37" t="str">
        <f t="shared" si="865"/>
        <v xml:space="preserve"> </v>
      </c>
      <c r="F11079">
        <v>0.1</v>
      </c>
      <c r="G11079" s="37" t="str">
        <f t="shared" si="866"/>
        <v>Normal Discount</v>
      </c>
      <c r="H11079" s="37" t="str">
        <f t="shared" si="867"/>
        <v>Low</v>
      </c>
      <c r="I11079">
        <v>3</v>
      </c>
      <c r="J11079" t="str" cm="1">
        <f t="array" ref="J11079">_xlfn.IFS(I11079&lt;=3,"small",I11079&lt;=6,"Medium",I11079&lt;=9,"Large")</f>
        <v>small</v>
      </c>
      <c r="K11079" s="36">
        <v>44968</v>
      </c>
      <c r="L11079" s="36">
        <v>44975</v>
      </c>
      <c r="M11079" t="s">
        <v>598</v>
      </c>
      <c r="N11079" t="s">
        <v>604</v>
      </c>
      <c r="O11079" s="37" t="str">
        <f t="shared" si="868"/>
        <v>Digital Payment</v>
      </c>
      <c r="P11079">
        <v>271.55</v>
      </c>
      <c r="Q11079" s="37" t="str">
        <f>IF(P11079&gt;500,"High","low")</f>
        <v>low</v>
      </c>
      <c r="R11079" s="37" t="str">
        <f t="shared" si="869"/>
        <v>AVERAGE</v>
      </c>
      <c r="S11079" t="s">
        <v>620</v>
      </c>
    </row>
    <row r="11080" spans="1:19" x14ac:dyDescent="0.2">
      <c r="A11080" t="s">
        <v>11691</v>
      </c>
      <c r="B11080" t="s">
        <v>75</v>
      </c>
      <c r="C11080" t="s">
        <v>597</v>
      </c>
      <c r="D11080">
        <v>3875.49</v>
      </c>
      <c r="E11080" s="37" t="str">
        <f t="shared" si="865"/>
        <v xml:space="preserve"> </v>
      </c>
      <c r="F11080">
        <v>0.24</v>
      </c>
      <c r="G11080" s="37" t="str">
        <f t="shared" si="866"/>
        <v>Normal Discount</v>
      </c>
      <c r="H11080" s="37" t="str">
        <f t="shared" si="867"/>
        <v>Medium</v>
      </c>
      <c r="I11080">
        <v>4</v>
      </c>
      <c r="J11080" t="str" cm="1">
        <f t="array" ref="J11080">_xlfn.IFS(I11080&lt;=3,"small",I11080&lt;=6,"Medium",I11080&lt;=9,"Large")</f>
        <v>Medium</v>
      </c>
      <c r="K11080" s="36">
        <v>45439</v>
      </c>
      <c r="L11080" s="36">
        <v>45443</v>
      </c>
      <c r="M11080" t="s">
        <v>598</v>
      </c>
      <c r="N11080" t="s">
        <v>608</v>
      </c>
      <c r="O11080" s="37" t="str">
        <f t="shared" si="868"/>
        <v>Cash Payment</v>
      </c>
      <c r="P11080">
        <v>1057.8900000000001</v>
      </c>
      <c r="Q11080" s="37" t="str">
        <f>IF(P11080&gt;500,"High","low")</f>
        <v>High</v>
      </c>
      <c r="R11080" s="37" t="str">
        <f t="shared" si="869"/>
        <v>Excellent</v>
      </c>
      <c r="S11080" t="s">
        <v>600</v>
      </c>
    </row>
    <row r="11081" spans="1:19" x14ac:dyDescent="0.2">
      <c r="A11081" t="s">
        <v>11692</v>
      </c>
      <c r="B11081" t="s">
        <v>67</v>
      </c>
      <c r="C11081" t="s">
        <v>597</v>
      </c>
      <c r="D11081">
        <v>2054.5</v>
      </c>
      <c r="E11081" s="37" t="str">
        <f t="shared" si="865"/>
        <v xml:space="preserve"> </v>
      </c>
      <c r="F11081">
        <v>0.36</v>
      </c>
      <c r="G11081" s="37" t="str">
        <f t="shared" si="866"/>
        <v>Heavy Discount</v>
      </c>
      <c r="H11081" s="37" t="str">
        <f t="shared" si="867"/>
        <v>Medium</v>
      </c>
      <c r="I11081">
        <v>2</v>
      </c>
      <c r="J11081" t="str" cm="1">
        <f t="array" ref="J11081">_xlfn.IFS(I11081&lt;=3,"small",I11081&lt;=6,"Medium",I11081&lt;=9,"Large")</f>
        <v>small</v>
      </c>
      <c r="K11081" s="36">
        <v>44990</v>
      </c>
      <c r="L11081" s="36">
        <v>44994</v>
      </c>
      <c r="M11081" t="s">
        <v>598</v>
      </c>
      <c r="N11081" t="s">
        <v>599</v>
      </c>
      <c r="O11081" s="37" t="str">
        <f t="shared" si="868"/>
        <v>Digital Payment</v>
      </c>
      <c r="P11081">
        <v>514.36</v>
      </c>
      <c r="Q11081" s="37" t="str">
        <f>IF(P11081&gt;500,"High","low")</f>
        <v>High</v>
      </c>
      <c r="R11081" s="37" t="str">
        <f t="shared" si="869"/>
        <v>Good</v>
      </c>
      <c r="S11081" t="s">
        <v>615</v>
      </c>
    </row>
    <row r="11082" spans="1:19" x14ac:dyDescent="0.2">
      <c r="A11082" t="s">
        <v>11693</v>
      </c>
      <c r="B11082" t="s">
        <v>90</v>
      </c>
      <c r="C11082" t="s">
        <v>607</v>
      </c>
      <c r="D11082">
        <v>4191.5200000000004</v>
      </c>
      <c r="E11082" s="37" t="str">
        <f t="shared" si="865"/>
        <v xml:space="preserve"> </v>
      </c>
      <c r="F11082">
        <v>0.39</v>
      </c>
      <c r="G11082" s="37" t="str">
        <f t="shared" si="866"/>
        <v>Heavy Discount</v>
      </c>
      <c r="H11082" s="37" t="str">
        <f t="shared" si="867"/>
        <v>Medium</v>
      </c>
      <c r="I11082">
        <v>8</v>
      </c>
      <c r="J11082" t="str" cm="1">
        <f t="array" ref="J11082">_xlfn.IFS(I11082&lt;=3,"small",I11082&lt;=6,"Medium",I11082&lt;=9,"Large")</f>
        <v>Large</v>
      </c>
      <c r="K11082" s="36">
        <v>45146</v>
      </c>
      <c r="L11082" s="36">
        <v>45151</v>
      </c>
      <c r="M11082" t="s">
        <v>612</v>
      </c>
      <c r="N11082" t="s">
        <v>599</v>
      </c>
      <c r="O11082" s="37" t="str">
        <f t="shared" si="868"/>
        <v>Digital Payment</v>
      </c>
      <c r="P11082">
        <v>426.77</v>
      </c>
      <c r="Q11082" s="37" t="str">
        <f>IF(P11082&gt;500,"High","low")</f>
        <v>low</v>
      </c>
      <c r="R11082" s="37" t="str">
        <f t="shared" si="869"/>
        <v>AVERAGE</v>
      </c>
      <c r="S11082" t="s">
        <v>620</v>
      </c>
    </row>
    <row r="11083" spans="1:19" x14ac:dyDescent="0.2">
      <c r="A11083" t="s">
        <v>11694</v>
      </c>
      <c r="B11083" t="s">
        <v>75</v>
      </c>
      <c r="C11083" t="s">
        <v>597</v>
      </c>
      <c r="D11083">
        <v>2518.39</v>
      </c>
      <c r="E11083" s="37" t="str">
        <f t="shared" si="865"/>
        <v xml:space="preserve"> </v>
      </c>
      <c r="F11083">
        <v>0.12</v>
      </c>
      <c r="G11083" s="37" t="str">
        <f t="shared" si="866"/>
        <v>Normal Discount</v>
      </c>
      <c r="H11083" s="37" t="str">
        <f t="shared" si="867"/>
        <v>Low</v>
      </c>
      <c r="I11083">
        <v>6</v>
      </c>
      <c r="J11083" t="str" cm="1">
        <f t="array" ref="J11083">_xlfn.IFS(I11083&lt;=3,"small",I11083&lt;=6,"Medium",I11083&lt;=9,"Large")</f>
        <v>Medium</v>
      </c>
      <c r="K11083" s="36">
        <v>45510</v>
      </c>
      <c r="L11083" s="36">
        <v>45516</v>
      </c>
      <c r="M11083" t="s">
        <v>603</v>
      </c>
      <c r="N11083" t="s">
        <v>599</v>
      </c>
      <c r="O11083" s="37" t="str">
        <f t="shared" si="868"/>
        <v>Digital Payment</v>
      </c>
      <c r="P11083">
        <v>676.88</v>
      </c>
      <c r="Q11083" s="37" t="str">
        <f>IF(P11083&gt;500,"High","low")</f>
        <v>High</v>
      </c>
      <c r="R11083" s="37" t="str">
        <f t="shared" si="869"/>
        <v>Good</v>
      </c>
      <c r="S11083" t="s">
        <v>600</v>
      </c>
    </row>
    <row r="11084" spans="1:19" x14ac:dyDescent="0.2">
      <c r="A11084" t="s">
        <v>11695</v>
      </c>
      <c r="B11084" t="s">
        <v>90</v>
      </c>
      <c r="C11084" t="s">
        <v>614</v>
      </c>
      <c r="D11084">
        <v>564.03</v>
      </c>
      <c r="E11084" s="37" t="str">
        <f t="shared" si="865"/>
        <v xml:space="preserve"> </v>
      </c>
      <c r="F11084">
        <v>0.09</v>
      </c>
      <c r="G11084" s="37" t="str">
        <f t="shared" si="866"/>
        <v>Normal Discount</v>
      </c>
      <c r="H11084" s="37" t="str">
        <f t="shared" si="867"/>
        <v>Low</v>
      </c>
      <c r="I11084">
        <v>9</v>
      </c>
      <c r="J11084" t="str" cm="1">
        <f t="array" ref="J11084">_xlfn.IFS(I11084&lt;=3,"small",I11084&lt;=6,"Medium",I11084&lt;=9,"Large")</f>
        <v>Large</v>
      </c>
      <c r="K11084" s="36">
        <v>45453</v>
      </c>
      <c r="L11084" s="36">
        <v>45457</v>
      </c>
      <c r="M11084" t="s">
        <v>598</v>
      </c>
      <c r="N11084" t="s">
        <v>608</v>
      </c>
      <c r="O11084" s="37" t="str">
        <f t="shared" si="868"/>
        <v>Cash Payment</v>
      </c>
      <c r="P11084">
        <v>106.78</v>
      </c>
      <c r="Q11084" s="37" t="str">
        <f>IF(P11084&gt;500,"High","low")</f>
        <v>low</v>
      </c>
      <c r="R11084" s="37" t="str">
        <f t="shared" si="869"/>
        <v>AVERAGE</v>
      </c>
      <c r="S11084" t="s">
        <v>628</v>
      </c>
    </row>
    <row r="11085" spans="1:19" x14ac:dyDescent="0.2">
      <c r="A11085" t="s">
        <v>11696</v>
      </c>
      <c r="B11085" t="s">
        <v>67</v>
      </c>
      <c r="C11085" t="s">
        <v>614</v>
      </c>
      <c r="D11085">
        <v>1197.74</v>
      </c>
      <c r="E11085" s="37" t="str">
        <f t="shared" si="865"/>
        <v xml:space="preserve"> </v>
      </c>
      <c r="F11085">
        <v>0.14000000000000001</v>
      </c>
      <c r="G11085" s="37" t="str">
        <f t="shared" si="866"/>
        <v>Normal Discount</v>
      </c>
      <c r="H11085" s="37" t="str">
        <f t="shared" si="867"/>
        <v>Low</v>
      </c>
      <c r="I11085">
        <v>8</v>
      </c>
      <c r="J11085" t="str" cm="1">
        <f t="array" ref="J11085">_xlfn.IFS(I11085&lt;=3,"small",I11085&lt;=6,"Medium",I11085&lt;=9,"Large")</f>
        <v>Large</v>
      </c>
      <c r="K11085" s="36">
        <v>45332</v>
      </c>
      <c r="L11085" s="36">
        <v>45339</v>
      </c>
      <c r="M11085" t="s">
        <v>603</v>
      </c>
      <c r="N11085" t="s">
        <v>599</v>
      </c>
      <c r="O11085" s="37" t="str">
        <f t="shared" si="868"/>
        <v>Digital Payment</v>
      </c>
      <c r="P11085">
        <v>290.61</v>
      </c>
      <c r="Q11085" s="37" t="str">
        <f>IF(P11085&gt;500,"High","low")</f>
        <v>low</v>
      </c>
      <c r="R11085" s="37" t="str">
        <f t="shared" si="869"/>
        <v>AVERAGE</v>
      </c>
      <c r="S11085" t="s">
        <v>609</v>
      </c>
    </row>
    <row r="11086" spans="1:19" x14ac:dyDescent="0.2">
      <c r="A11086" t="s">
        <v>11697</v>
      </c>
      <c r="B11086" t="s">
        <v>75</v>
      </c>
      <c r="C11086" t="s">
        <v>614</v>
      </c>
      <c r="D11086">
        <v>3584.16</v>
      </c>
      <c r="E11086" s="37" t="str">
        <f t="shared" si="865"/>
        <v xml:space="preserve"> </v>
      </c>
      <c r="F11086">
        <v>0.46</v>
      </c>
      <c r="G11086" s="37" t="str">
        <f t="shared" si="866"/>
        <v>Heavy Discount</v>
      </c>
      <c r="H11086" s="37" t="str">
        <f t="shared" si="867"/>
        <v>High</v>
      </c>
      <c r="I11086">
        <v>4</v>
      </c>
      <c r="J11086" t="str" cm="1">
        <f t="array" ref="J11086">_xlfn.IFS(I11086&lt;=3,"small",I11086&lt;=6,"Medium",I11086&lt;=9,"Large")</f>
        <v>Medium</v>
      </c>
      <c r="K11086" s="36">
        <v>45330</v>
      </c>
      <c r="L11086" s="36">
        <v>45334</v>
      </c>
      <c r="M11086" t="s">
        <v>598</v>
      </c>
      <c r="N11086" t="s">
        <v>604</v>
      </c>
      <c r="O11086" s="37" t="str">
        <f t="shared" si="868"/>
        <v>Digital Payment</v>
      </c>
      <c r="P11086">
        <v>762.78</v>
      </c>
      <c r="Q11086" s="37" t="str">
        <f>IF(P11086&gt;500,"High","low")</f>
        <v>High</v>
      </c>
      <c r="R11086" s="37" t="str">
        <f t="shared" si="869"/>
        <v>Good</v>
      </c>
      <c r="S11086" t="s">
        <v>609</v>
      </c>
    </row>
    <row r="11087" spans="1:19" x14ac:dyDescent="0.2">
      <c r="A11087" t="s">
        <v>11698</v>
      </c>
      <c r="B11087" t="s">
        <v>90</v>
      </c>
      <c r="C11087" t="s">
        <v>607</v>
      </c>
      <c r="D11087">
        <v>4492.47</v>
      </c>
      <c r="E11087" s="37" t="str">
        <f t="shared" si="865"/>
        <v xml:space="preserve"> </v>
      </c>
      <c r="F11087">
        <v>0.06</v>
      </c>
      <c r="G11087" s="37" t="str">
        <f t="shared" si="866"/>
        <v>Normal Discount</v>
      </c>
      <c r="H11087" s="37" t="str">
        <f t="shared" si="867"/>
        <v>Low</v>
      </c>
      <c r="I11087">
        <v>8</v>
      </c>
      <c r="J11087" t="str" cm="1">
        <f t="array" ref="J11087">_xlfn.IFS(I11087&lt;=3,"small",I11087&lt;=6,"Medium",I11087&lt;=9,"Large")</f>
        <v>Large</v>
      </c>
      <c r="K11087" s="36">
        <v>45432</v>
      </c>
      <c r="L11087" s="36">
        <v>45436</v>
      </c>
      <c r="M11087" t="s">
        <v>598</v>
      </c>
      <c r="N11087" t="s">
        <v>604</v>
      </c>
      <c r="O11087" s="37" t="str">
        <f t="shared" si="868"/>
        <v>Digital Payment</v>
      </c>
      <c r="P11087">
        <v>303.43</v>
      </c>
      <c r="Q11087" s="37" t="str">
        <f>IF(P11087&gt;500,"High","low")</f>
        <v>low</v>
      </c>
      <c r="R11087" s="37" t="str">
        <f t="shared" si="869"/>
        <v>AVERAGE</v>
      </c>
      <c r="S11087" t="s">
        <v>600</v>
      </c>
    </row>
    <row r="11088" spans="1:19" x14ac:dyDescent="0.2">
      <c r="A11088" t="s">
        <v>11699</v>
      </c>
      <c r="B11088" t="s">
        <v>75</v>
      </c>
      <c r="C11088" t="s">
        <v>607</v>
      </c>
      <c r="D11088">
        <v>566.41</v>
      </c>
      <c r="E11088" s="37" t="str">
        <f t="shared" si="865"/>
        <v xml:space="preserve"> </v>
      </c>
      <c r="F11088">
        <v>0.48</v>
      </c>
      <c r="G11088" s="37" t="str">
        <f t="shared" si="866"/>
        <v>Heavy Discount</v>
      </c>
      <c r="H11088" s="37" t="str">
        <f t="shared" si="867"/>
        <v>High</v>
      </c>
      <c r="I11088">
        <v>1</v>
      </c>
      <c r="J11088" t="str" cm="1">
        <f t="array" ref="J11088">_xlfn.IFS(I11088&lt;=3,"small",I11088&lt;=6,"Medium",I11088&lt;=9,"Large")</f>
        <v>small</v>
      </c>
      <c r="K11088" s="36">
        <v>45015</v>
      </c>
      <c r="L11088" s="36">
        <v>45022</v>
      </c>
      <c r="M11088" t="s">
        <v>612</v>
      </c>
      <c r="N11088" t="s">
        <v>599</v>
      </c>
      <c r="O11088" s="37" t="str">
        <f t="shared" si="868"/>
        <v>Digital Payment</v>
      </c>
      <c r="P11088">
        <v>63.54</v>
      </c>
      <c r="Q11088" s="37" t="str">
        <f>IF(P11088&gt;500,"High","low")</f>
        <v>low</v>
      </c>
      <c r="R11088" s="37" t="str">
        <f t="shared" si="869"/>
        <v>AVERAGE</v>
      </c>
      <c r="S11088" t="s">
        <v>600</v>
      </c>
    </row>
    <row r="11089" spans="1:19" x14ac:dyDescent="0.2">
      <c r="A11089" t="s">
        <v>11700</v>
      </c>
      <c r="B11089" t="s">
        <v>67</v>
      </c>
      <c r="C11089" t="s">
        <v>597</v>
      </c>
      <c r="D11089">
        <v>4334.6499999999996</v>
      </c>
      <c r="E11089" s="37" t="str">
        <f t="shared" si="865"/>
        <v xml:space="preserve"> </v>
      </c>
      <c r="F11089">
        <v>0.5</v>
      </c>
      <c r="G11089" s="37" t="str">
        <f t="shared" si="866"/>
        <v>Heavy Discount</v>
      </c>
      <c r="H11089" s="37" t="str">
        <f t="shared" si="867"/>
        <v>High</v>
      </c>
      <c r="I11089">
        <v>9</v>
      </c>
      <c r="J11089" t="str" cm="1">
        <f t="array" ref="J11089">_xlfn.IFS(I11089&lt;=3,"small",I11089&lt;=6,"Medium",I11089&lt;=9,"Large")</f>
        <v>Large</v>
      </c>
      <c r="K11089" s="36">
        <v>45518</v>
      </c>
      <c r="L11089" s="36">
        <v>45525</v>
      </c>
      <c r="M11089" t="s">
        <v>603</v>
      </c>
      <c r="N11089" t="s">
        <v>608</v>
      </c>
      <c r="O11089" s="37" t="str">
        <f t="shared" si="868"/>
        <v>Cash Payment</v>
      </c>
      <c r="P11089">
        <v>674.84</v>
      </c>
      <c r="Q11089" s="37" t="str">
        <f>IF(P11089&gt;500,"High","low")</f>
        <v>High</v>
      </c>
      <c r="R11089" s="37" t="str">
        <f t="shared" si="869"/>
        <v>Good</v>
      </c>
      <c r="S11089" t="s">
        <v>609</v>
      </c>
    </row>
    <row r="11090" spans="1:19" x14ac:dyDescent="0.2">
      <c r="A11090" t="s">
        <v>11701</v>
      </c>
      <c r="B11090" t="s">
        <v>67</v>
      </c>
      <c r="C11090" t="s">
        <v>607</v>
      </c>
      <c r="D11090">
        <v>4015.44</v>
      </c>
      <c r="E11090" s="37" t="str">
        <f t="shared" si="865"/>
        <v xml:space="preserve"> </v>
      </c>
      <c r="F11090">
        <v>0.39</v>
      </c>
      <c r="G11090" s="37" t="str">
        <f t="shared" si="866"/>
        <v>Heavy Discount</v>
      </c>
      <c r="H11090" s="37" t="str">
        <f t="shared" si="867"/>
        <v>Medium</v>
      </c>
      <c r="I11090">
        <v>5</v>
      </c>
      <c r="J11090" t="str" cm="1">
        <f t="array" ref="J11090">_xlfn.IFS(I11090&lt;=3,"small",I11090&lt;=6,"Medium",I11090&lt;=9,"Large")</f>
        <v>Medium</v>
      </c>
      <c r="K11090" s="36">
        <v>45094</v>
      </c>
      <c r="L11090" s="36">
        <v>45100</v>
      </c>
      <c r="M11090" t="s">
        <v>612</v>
      </c>
      <c r="N11090" t="s">
        <v>608</v>
      </c>
      <c r="O11090" s="37" t="str">
        <f t="shared" si="868"/>
        <v>Cash Payment</v>
      </c>
      <c r="P11090">
        <v>312.88</v>
      </c>
      <c r="Q11090" s="37" t="str">
        <f>IF(P11090&gt;500,"High","low")</f>
        <v>low</v>
      </c>
      <c r="R11090" s="37" t="str">
        <f t="shared" si="869"/>
        <v>AVERAGE</v>
      </c>
      <c r="S11090" t="s">
        <v>605</v>
      </c>
    </row>
    <row r="11091" spans="1:19" x14ac:dyDescent="0.2">
      <c r="A11091" t="s">
        <v>11702</v>
      </c>
      <c r="B11091" t="s">
        <v>75</v>
      </c>
      <c r="C11091" t="s">
        <v>614</v>
      </c>
      <c r="D11091">
        <v>1847.15</v>
      </c>
      <c r="E11091" s="37" t="str">
        <f t="shared" si="865"/>
        <v xml:space="preserve"> </v>
      </c>
      <c r="F11091">
        <v>0.38</v>
      </c>
      <c r="G11091" s="37" t="str">
        <f t="shared" si="866"/>
        <v>Heavy Discount</v>
      </c>
      <c r="H11091" s="37" t="str">
        <f t="shared" si="867"/>
        <v>Medium</v>
      </c>
      <c r="I11091">
        <v>4</v>
      </c>
      <c r="J11091" t="str" cm="1">
        <f t="array" ref="J11091">_xlfn.IFS(I11091&lt;=3,"small",I11091&lt;=6,"Medium",I11091&lt;=9,"Large")</f>
        <v>Medium</v>
      </c>
      <c r="K11091" s="36">
        <v>45356</v>
      </c>
      <c r="L11091" s="36">
        <v>45360</v>
      </c>
      <c r="M11091" t="s">
        <v>603</v>
      </c>
      <c r="N11091" t="s">
        <v>608</v>
      </c>
      <c r="O11091" s="37" t="str">
        <f t="shared" si="868"/>
        <v>Cash Payment</v>
      </c>
      <c r="P11091">
        <v>264.45999999999998</v>
      </c>
      <c r="Q11091" s="37" t="str">
        <f>IF(P11091&gt;500,"High","low")</f>
        <v>low</v>
      </c>
      <c r="R11091" s="37" t="str">
        <f t="shared" si="869"/>
        <v>AVERAGE</v>
      </c>
      <c r="S11091" t="s">
        <v>620</v>
      </c>
    </row>
    <row r="11092" spans="1:19" x14ac:dyDescent="0.2">
      <c r="A11092" t="s">
        <v>11703</v>
      </c>
      <c r="B11092" t="s">
        <v>90</v>
      </c>
      <c r="C11092" t="s">
        <v>602</v>
      </c>
      <c r="D11092">
        <v>3477.46</v>
      </c>
      <c r="E11092" s="37" t="str">
        <f t="shared" si="865"/>
        <v xml:space="preserve"> </v>
      </c>
      <c r="F11092">
        <v>0.48</v>
      </c>
      <c r="G11092" s="37" t="str">
        <f t="shared" si="866"/>
        <v>Heavy Discount</v>
      </c>
      <c r="H11092" s="37" t="str">
        <f t="shared" si="867"/>
        <v>High</v>
      </c>
      <c r="I11092">
        <v>5</v>
      </c>
      <c r="J11092" t="str" cm="1">
        <f t="array" ref="J11092">_xlfn.IFS(I11092&lt;=3,"small",I11092&lt;=6,"Medium",I11092&lt;=9,"Large")</f>
        <v>Medium</v>
      </c>
      <c r="K11092" s="36">
        <v>45529</v>
      </c>
      <c r="L11092" s="36">
        <v>45535</v>
      </c>
      <c r="M11092" t="s">
        <v>612</v>
      </c>
      <c r="N11092" t="s">
        <v>604</v>
      </c>
      <c r="O11092" s="37" t="str">
        <f t="shared" si="868"/>
        <v>Digital Payment</v>
      </c>
      <c r="P11092">
        <v>205.22</v>
      </c>
      <c r="Q11092" s="37" t="str">
        <f>IF(P11092&gt;500,"High","low")</f>
        <v>low</v>
      </c>
      <c r="R11092" s="37" t="str">
        <f t="shared" si="869"/>
        <v>AVERAGE</v>
      </c>
      <c r="S11092" t="s">
        <v>609</v>
      </c>
    </row>
    <row r="11093" spans="1:19" x14ac:dyDescent="0.2">
      <c r="A11093" t="s">
        <v>11704</v>
      </c>
      <c r="B11093" t="s">
        <v>83</v>
      </c>
      <c r="C11093" t="s">
        <v>614</v>
      </c>
      <c r="D11093">
        <v>1016.06</v>
      </c>
      <c r="E11093" s="37" t="str">
        <f t="shared" si="865"/>
        <v xml:space="preserve"> </v>
      </c>
      <c r="F11093">
        <v>0.15</v>
      </c>
      <c r="G11093" s="37" t="str">
        <f t="shared" si="866"/>
        <v>Normal Discount</v>
      </c>
      <c r="H11093" s="37" t="str">
        <f t="shared" si="867"/>
        <v>Low</v>
      </c>
      <c r="I11093">
        <v>1</v>
      </c>
      <c r="J11093" t="str" cm="1">
        <f t="array" ref="J11093">_xlfn.IFS(I11093&lt;=3,"small",I11093&lt;=6,"Medium",I11093&lt;=9,"Large")</f>
        <v>small</v>
      </c>
      <c r="K11093" s="36">
        <v>45501</v>
      </c>
      <c r="L11093" s="36">
        <v>45508</v>
      </c>
      <c r="M11093" t="s">
        <v>612</v>
      </c>
      <c r="N11093" t="s">
        <v>599</v>
      </c>
      <c r="O11093" s="37" t="str">
        <f t="shared" si="868"/>
        <v>Digital Payment</v>
      </c>
      <c r="P11093">
        <v>275.24</v>
      </c>
      <c r="Q11093" s="37" t="str">
        <f>IF(P11093&gt;500,"High","low")</f>
        <v>low</v>
      </c>
      <c r="R11093" s="37" t="str">
        <f t="shared" si="869"/>
        <v>AVERAGE</v>
      </c>
      <c r="S11093" t="s">
        <v>615</v>
      </c>
    </row>
    <row r="11094" spans="1:19" x14ac:dyDescent="0.2">
      <c r="A11094" t="s">
        <v>11705</v>
      </c>
      <c r="B11094" t="s">
        <v>83</v>
      </c>
      <c r="C11094" t="s">
        <v>602</v>
      </c>
      <c r="D11094">
        <v>4085.63</v>
      </c>
      <c r="E11094" s="37" t="str">
        <f t="shared" si="865"/>
        <v xml:space="preserve"> </v>
      </c>
      <c r="F11094">
        <v>0.06</v>
      </c>
      <c r="G11094" s="37" t="str">
        <f t="shared" si="866"/>
        <v>Normal Discount</v>
      </c>
      <c r="H11094" s="37" t="str">
        <f t="shared" si="867"/>
        <v>Low</v>
      </c>
      <c r="I11094">
        <v>2</v>
      </c>
      <c r="J11094" t="str" cm="1">
        <f t="array" ref="J11094">_xlfn.IFS(I11094&lt;=3,"small",I11094&lt;=6,"Medium",I11094&lt;=9,"Large")</f>
        <v>small</v>
      </c>
      <c r="K11094" s="36">
        <v>45618</v>
      </c>
      <c r="L11094" s="36">
        <v>45619</v>
      </c>
      <c r="M11094" t="s">
        <v>603</v>
      </c>
      <c r="N11094" t="s">
        <v>604</v>
      </c>
      <c r="O11094" s="37" t="str">
        <f t="shared" si="868"/>
        <v>Digital Payment</v>
      </c>
      <c r="P11094">
        <v>248.41</v>
      </c>
      <c r="Q11094" s="37" t="str">
        <f>IF(P11094&gt;500,"High","low")</f>
        <v>low</v>
      </c>
      <c r="R11094" s="37" t="str">
        <f t="shared" si="869"/>
        <v>AVERAGE</v>
      </c>
      <c r="S11094" t="s">
        <v>620</v>
      </c>
    </row>
    <row r="11095" spans="1:19" x14ac:dyDescent="0.2">
      <c r="A11095" t="s">
        <v>11706</v>
      </c>
      <c r="B11095" t="s">
        <v>75</v>
      </c>
      <c r="C11095" t="s">
        <v>597</v>
      </c>
      <c r="D11095">
        <v>3320.96</v>
      </c>
      <c r="E11095" s="37" t="str">
        <f t="shared" si="865"/>
        <v xml:space="preserve"> </v>
      </c>
      <c r="F11095">
        <v>0.41</v>
      </c>
      <c r="G11095" s="37" t="str">
        <f t="shared" si="866"/>
        <v>Heavy Discount</v>
      </c>
      <c r="H11095" s="37" t="str">
        <f t="shared" si="867"/>
        <v>High</v>
      </c>
      <c r="I11095">
        <v>2</v>
      </c>
      <c r="J11095" t="str" cm="1">
        <f t="array" ref="J11095">_xlfn.IFS(I11095&lt;=3,"small",I11095&lt;=6,"Medium",I11095&lt;=9,"Large")</f>
        <v>small</v>
      </c>
      <c r="K11095" s="36">
        <v>45142</v>
      </c>
      <c r="L11095" s="36">
        <v>45143</v>
      </c>
      <c r="M11095" t="s">
        <v>612</v>
      </c>
      <c r="N11095" t="s">
        <v>604</v>
      </c>
      <c r="O11095" s="37" t="str">
        <f t="shared" si="868"/>
        <v>Digital Payment</v>
      </c>
      <c r="P11095">
        <v>621.32000000000005</v>
      </c>
      <c r="Q11095" s="37" t="str">
        <f>IF(P11095&gt;500,"High","low")</f>
        <v>High</v>
      </c>
      <c r="R11095" s="37" t="str">
        <f t="shared" si="869"/>
        <v>Good</v>
      </c>
      <c r="S11095" t="s">
        <v>609</v>
      </c>
    </row>
    <row r="11096" spans="1:19" x14ac:dyDescent="0.2">
      <c r="A11096" t="s">
        <v>11707</v>
      </c>
      <c r="B11096" t="s">
        <v>90</v>
      </c>
      <c r="C11096" t="s">
        <v>617</v>
      </c>
      <c r="D11096">
        <v>2250.2600000000002</v>
      </c>
      <c r="E11096" s="37" t="str">
        <f t="shared" si="865"/>
        <v xml:space="preserve"> </v>
      </c>
      <c r="F11096">
        <v>0.09</v>
      </c>
      <c r="G11096" s="37" t="str">
        <f t="shared" si="866"/>
        <v>Normal Discount</v>
      </c>
      <c r="H11096" s="37" t="str">
        <f t="shared" si="867"/>
        <v>Low</v>
      </c>
      <c r="I11096">
        <v>9</v>
      </c>
      <c r="J11096" t="str" cm="1">
        <f t="array" ref="J11096">_xlfn.IFS(I11096&lt;=3,"small",I11096&lt;=6,"Medium",I11096&lt;=9,"Large")</f>
        <v>Large</v>
      </c>
      <c r="K11096" s="36">
        <v>45237</v>
      </c>
      <c r="L11096" s="36">
        <v>45243</v>
      </c>
      <c r="M11096" t="s">
        <v>612</v>
      </c>
      <c r="N11096" t="s">
        <v>599</v>
      </c>
      <c r="O11096" s="37" t="str">
        <f t="shared" si="868"/>
        <v>Digital Payment</v>
      </c>
      <c r="P11096">
        <v>500.45</v>
      </c>
      <c r="Q11096" s="37" t="str">
        <f>IF(P11096&gt;500,"High","low")</f>
        <v>High</v>
      </c>
      <c r="R11096" s="37" t="str">
        <f t="shared" si="869"/>
        <v>Good</v>
      </c>
      <c r="S11096" t="s">
        <v>628</v>
      </c>
    </row>
    <row r="11097" spans="1:19" x14ac:dyDescent="0.2">
      <c r="A11097" t="s">
        <v>11708</v>
      </c>
      <c r="B11097" t="s">
        <v>83</v>
      </c>
      <c r="C11097" t="s">
        <v>607</v>
      </c>
      <c r="D11097">
        <v>4336.13</v>
      </c>
      <c r="E11097" s="37" t="str">
        <f t="shared" si="865"/>
        <v xml:space="preserve"> </v>
      </c>
      <c r="F11097">
        <v>0.02</v>
      </c>
      <c r="G11097" s="37" t="str">
        <f t="shared" si="866"/>
        <v>Normal Discount</v>
      </c>
      <c r="H11097" s="37" t="str">
        <f t="shared" si="867"/>
        <v>Low</v>
      </c>
      <c r="I11097">
        <v>6</v>
      </c>
      <c r="J11097" t="str" cm="1">
        <f t="array" ref="J11097">_xlfn.IFS(I11097&lt;=3,"small",I11097&lt;=6,"Medium",I11097&lt;=9,"Large")</f>
        <v>Medium</v>
      </c>
      <c r="K11097" s="36">
        <v>45315</v>
      </c>
      <c r="L11097" s="36">
        <v>45319</v>
      </c>
      <c r="M11097" t="s">
        <v>598</v>
      </c>
      <c r="N11097" t="s">
        <v>608</v>
      </c>
      <c r="O11097" s="37" t="str">
        <f t="shared" si="868"/>
        <v>Cash Payment</v>
      </c>
      <c r="P11097">
        <v>534.23</v>
      </c>
      <c r="Q11097" s="37" t="str">
        <f>IF(P11097&gt;500,"High","low")</f>
        <v>High</v>
      </c>
      <c r="R11097" s="37" t="str">
        <f t="shared" si="869"/>
        <v>Good</v>
      </c>
      <c r="S11097" t="s">
        <v>620</v>
      </c>
    </row>
    <row r="11098" spans="1:19" x14ac:dyDescent="0.2">
      <c r="A11098" t="s">
        <v>11709</v>
      </c>
      <c r="B11098" t="s">
        <v>67</v>
      </c>
      <c r="C11098" t="s">
        <v>607</v>
      </c>
      <c r="D11098">
        <v>782.25</v>
      </c>
      <c r="E11098" s="37" t="str">
        <f t="shared" si="865"/>
        <v xml:space="preserve"> </v>
      </c>
      <c r="F11098">
        <v>0.1</v>
      </c>
      <c r="G11098" s="37" t="str">
        <f t="shared" si="866"/>
        <v>Normal Discount</v>
      </c>
      <c r="H11098" s="37" t="str">
        <f t="shared" si="867"/>
        <v>Low</v>
      </c>
      <c r="I11098">
        <v>3</v>
      </c>
      <c r="J11098" t="str" cm="1">
        <f t="array" ref="J11098">_xlfn.IFS(I11098&lt;=3,"small",I11098&lt;=6,"Medium",I11098&lt;=9,"Large")</f>
        <v>small</v>
      </c>
      <c r="K11098" s="36">
        <v>45485</v>
      </c>
      <c r="L11098" s="36">
        <v>45491</v>
      </c>
      <c r="M11098" t="s">
        <v>603</v>
      </c>
      <c r="N11098" t="s">
        <v>608</v>
      </c>
      <c r="O11098" s="37" t="str">
        <f t="shared" si="868"/>
        <v>Cash Payment</v>
      </c>
      <c r="P11098">
        <v>39.53</v>
      </c>
      <c r="Q11098" s="37" t="str">
        <f>IF(P11098&gt;500,"High","low")</f>
        <v>low</v>
      </c>
      <c r="R11098" s="37" t="str">
        <f t="shared" si="869"/>
        <v>AVERAGE</v>
      </c>
      <c r="S11098" t="s">
        <v>600</v>
      </c>
    </row>
    <row r="11099" spans="1:19" x14ac:dyDescent="0.2">
      <c r="A11099" t="s">
        <v>11710</v>
      </c>
      <c r="B11099" t="s">
        <v>90</v>
      </c>
      <c r="C11099" t="s">
        <v>614</v>
      </c>
      <c r="D11099">
        <v>4244.3500000000004</v>
      </c>
      <c r="E11099" s="37" t="str">
        <f t="shared" si="865"/>
        <v>Excellent Order</v>
      </c>
      <c r="F11099">
        <v>0.22</v>
      </c>
      <c r="G11099" s="37" t="str">
        <f t="shared" si="866"/>
        <v>Normal Discount</v>
      </c>
      <c r="H11099" s="37" t="str">
        <f t="shared" si="867"/>
        <v>Medium</v>
      </c>
      <c r="I11099">
        <v>4</v>
      </c>
      <c r="J11099" t="str" cm="1">
        <f t="array" ref="J11099">_xlfn.IFS(I11099&lt;=3,"small",I11099&lt;=6,"Medium",I11099&lt;=9,"Large")</f>
        <v>Medium</v>
      </c>
      <c r="K11099" s="36">
        <v>45416</v>
      </c>
      <c r="L11099" s="36">
        <v>45420</v>
      </c>
      <c r="M11099" t="s">
        <v>612</v>
      </c>
      <c r="N11099" t="s">
        <v>604</v>
      </c>
      <c r="O11099" s="37" t="str">
        <f t="shared" si="868"/>
        <v>Digital Payment</v>
      </c>
      <c r="P11099">
        <v>800.01</v>
      </c>
      <c r="Q11099" s="37" t="str">
        <f>IF(P11099&gt;500,"High","low")</f>
        <v>High</v>
      </c>
      <c r="R11099" s="37" t="str">
        <f t="shared" si="869"/>
        <v>Good</v>
      </c>
      <c r="S11099" t="s">
        <v>628</v>
      </c>
    </row>
    <row r="11100" spans="1:19" x14ac:dyDescent="0.2">
      <c r="A11100" t="s">
        <v>11711</v>
      </c>
      <c r="B11100" t="s">
        <v>83</v>
      </c>
      <c r="C11100" t="s">
        <v>614</v>
      </c>
      <c r="D11100">
        <v>217.04</v>
      </c>
      <c r="E11100" s="37" t="str">
        <f t="shared" si="865"/>
        <v xml:space="preserve"> </v>
      </c>
      <c r="F11100">
        <v>0.25</v>
      </c>
      <c r="G11100" s="37" t="str">
        <f t="shared" si="866"/>
        <v>Normal Discount</v>
      </c>
      <c r="H11100" s="37" t="str">
        <f t="shared" si="867"/>
        <v>Medium</v>
      </c>
      <c r="I11100">
        <v>1</v>
      </c>
      <c r="J11100" t="str" cm="1">
        <f t="array" ref="J11100">_xlfn.IFS(I11100&lt;=3,"small",I11100&lt;=6,"Medium",I11100&lt;=9,"Large")</f>
        <v>small</v>
      </c>
      <c r="K11100" s="36">
        <v>45092</v>
      </c>
      <c r="L11100" s="36">
        <v>45093</v>
      </c>
      <c r="M11100" t="s">
        <v>603</v>
      </c>
      <c r="N11100" t="s">
        <v>608</v>
      </c>
      <c r="O11100" s="37" t="str">
        <f t="shared" si="868"/>
        <v>Cash Payment</v>
      </c>
      <c r="P11100">
        <v>36.08</v>
      </c>
      <c r="Q11100" s="37" t="str">
        <f>IF(P11100&gt;500,"High","low")</f>
        <v>low</v>
      </c>
      <c r="R11100" s="37" t="str">
        <f t="shared" si="869"/>
        <v>AVERAGE</v>
      </c>
      <c r="S11100" t="s">
        <v>620</v>
      </c>
    </row>
    <row r="11101" spans="1:19" x14ac:dyDescent="0.2">
      <c r="A11101" t="s">
        <v>11712</v>
      </c>
      <c r="B11101" t="s">
        <v>90</v>
      </c>
      <c r="C11101" t="s">
        <v>602</v>
      </c>
      <c r="D11101">
        <v>3790.68</v>
      </c>
      <c r="E11101" s="37" t="str">
        <f t="shared" si="865"/>
        <v xml:space="preserve"> </v>
      </c>
      <c r="F11101">
        <v>0.03</v>
      </c>
      <c r="G11101" s="37" t="str">
        <f t="shared" si="866"/>
        <v>Normal Discount</v>
      </c>
      <c r="H11101" s="37" t="str">
        <f t="shared" si="867"/>
        <v>Low</v>
      </c>
      <c r="I11101">
        <v>7</v>
      </c>
      <c r="J11101" t="str" cm="1">
        <f t="array" ref="J11101">_xlfn.IFS(I11101&lt;=3,"small",I11101&lt;=6,"Medium",I11101&lt;=9,"Large")</f>
        <v>Large</v>
      </c>
      <c r="K11101" s="36">
        <v>45636</v>
      </c>
      <c r="L11101" s="36">
        <v>45637</v>
      </c>
      <c r="M11101" t="s">
        <v>612</v>
      </c>
      <c r="N11101" t="s">
        <v>608</v>
      </c>
      <c r="O11101" s="37" t="str">
        <f t="shared" si="868"/>
        <v>Cash Payment</v>
      </c>
      <c r="P11101">
        <v>366.66</v>
      </c>
      <c r="Q11101" s="37" t="str">
        <f>IF(P11101&gt;500,"High","low")</f>
        <v>low</v>
      </c>
      <c r="R11101" s="37" t="str">
        <f t="shared" si="869"/>
        <v>AVERAGE</v>
      </c>
      <c r="S11101" t="s">
        <v>605</v>
      </c>
    </row>
    <row r="11102" spans="1:19" x14ac:dyDescent="0.2">
      <c r="A11102" t="s">
        <v>11713</v>
      </c>
      <c r="B11102" t="s">
        <v>75</v>
      </c>
      <c r="C11102" t="s">
        <v>607</v>
      </c>
      <c r="D11102">
        <v>2909.48</v>
      </c>
      <c r="E11102" s="37" t="str">
        <f t="shared" si="865"/>
        <v xml:space="preserve"> </v>
      </c>
      <c r="F11102">
        <v>0.22</v>
      </c>
      <c r="G11102" s="37" t="str">
        <f t="shared" si="866"/>
        <v>Normal Discount</v>
      </c>
      <c r="H11102" s="37" t="str">
        <f t="shared" si="867"/>
        <v>Medium</v>
      </c>
      <c r="I11102">
        <v>7</v>
      </c>
      <c r="J11102" t="str" cm="1">
        <f t="array" ref="J11102">_xlfn.IFS(I11102&lt;=3,"small",I11102&lt;=6,"Medium",I11102&lt;=9,"Large")</f>
        <v>Large</v>
      </c>
      <c r="K11102" s="36">
        <v>45062</v>
      </c>
      <c r="L11102" s="36">
        <v>45068</v>
      </c>
      <c r="M11102" t="s">
        <v>612</v>
      </c>
      <c r="N11102" t="s">
        <v>604</v>
      </c>
      <c r="O11102" s="37" t="str">
        <f t="shared" si="868"/>
        <v>Digital Payment</v>
      </c>
      <c r="P11102">
        <v>212.49</v>
      </c>
      <c r="Q11102" s="37" t="str">
        <f>IF(P11102&gt;500,"High","low")</f>
        <v>low</v>
      </c>
      <c r="R11102" s="37" t="str">
        <f t="shared" si="869"/>
        <v>AVERAGE</v>
      </c>
      <c r="S11102" t="s">
        <v>605</v>
      </c>
    </row>
    <row r="11103" spans="1:19" x14ac:dyDescent="0.2">
      <c r="A11103" t="s">
        <v>11714</v>
      </c>
      <c r="B11103" t="s">
        <v>90</v>
      </c>
      <c r="C11103" t="s">
        <v>597</v>
      </c>
      <c r="D11103">
        <v>3513.94</v>
      </c>
      <c r="E11103" s="37" t="str">
        <f t="shared" si="865"/>
        <v xml:space="preserve"> </v>
      </c>
      <c r="F11103">
        <v>0.3</v>
      </c>
      <c r="G11103" s="37" t="str">
        <f t="shared" si="866"/>
        <v>Normal Discount</v>
      </c>
      <c r="H11103" s="37" t="str">
        <f t="shared" si="867"/>
        <v>Medium</v>
      </c>
      <c r="I11103">
        <v>8</v>
      </c>
      <c r="J11103" t="str" cm="1">
        <f t="array" ref="J11103">_xlfn.IFS(I11103&lt;=3,"small",I11103&lt;=6,"Medium",I11103&lt;=9,"Large")</f>
        <v>Large</v>
      </c>
      <c r="K11103" s="36">
        <v>45616</v>
      </c>
      <c r="L11103" s="36">
        <v>45620</v>
      </c>
      <c r="M11103" t="s">
        <v>598</v>
      </c>
      <c r="N11103" t="s">
        <v>599</v>
      </c>
      <c r="O11103" s="37" t="str">
        <f t="shared" si="868"/>
        <v>Digital Payment</v>
      </c>
      <c r="P11103">
        <v>876.52</v>
      </c>
      <c r="Q11103" s="37" t="str">
        <f>IF(P11103&gt;500,"High","low")</f>
        <v>High</v>
      </c>
      <c r="R11103" s="37" t="str">
        <f t="shared" si="869"/>
        <v>Good</v>
      </c>
      <c r="S11103" t="s">
        <v>620</v>
      </c>
    </row>
    <row r="11104" spans="1:19" x14ac:dyDescent="0.2">
      <c r="A11104" t="s">
        <v>11715</v>
      </c>
      <c r="B11104" t="s">
        <v>83</v>
      </c>
      <c r="C11104" t="s">
        <v>614</v>
      </c>
      <c r="D11104">
        <v>2120.4899999999998</v>
      </c>
      <c r="E11104" s="37" t="str">
        <f t="shared" si="865"/>
        <v xml:space="preserve"> </v>
      </c>
      <c r="F11104">
        <v>0.47</v>
      </c>
      <c r="G11104" s="37" t="str">
        <f t="shared" si="866"/>
        <v>Heavy Discount</v>
      </c>
      <c r="H11104" s="37" t="str">
        <f t="shared" si="867"/>
        <v>High</v>
      </c>
      <c r="I11104">
        <v>1</v>
      </c>
      <c r="J11104" t="str" cm="1">
        <f t="array" ref="J11104">_xlfn.IFS(I11104&lt;=3,"small",I11104&lt;=6,"Medium",I11104&lt;=9,"Large")</f>
        <v>small</v>
      </c>
      <c r="K11104" s="36">
        <v>45516</v>
      </c>
      <c r="L11104" s="36">
        <v>45520</v>
      </c>
      <c r="M11104" t="s">
        <v>598</v>
      </c>
      <c r="N11104" t="s">
        <v>608</v>
      </c>
      <c r="O11104" s="37" t="str">
        <f t="shared" si="868"/>
        <v>Cash Payment</v>
      </c>
      <c r="P11104">
        <v>209.41</v>
      </c>
      <c r="Q11104" s="37" t="str">
        <f>IF(P11104&gt;500,"High","low")</f>
        <v>low</v>
      </c>
      <c r="R11104" s="37" t="str">
        <f t="shared" si="869"/>
        <v>AVERAGE</v>
      </c>
      <c r="S11104" t="s">
        <v>620</v>
      </c>
    </row>
    <row r="11105" spans="1:19" x14ac:dyDescent="0.2">
      <c r="A11105" t="s">
        <v>11716</v>
      </c>
      <c r="B11105" t="s">
        <v>75</v>
      </c>
      <c r="C11105" t="s">
        <v>607</v>
      </c>
      <c r="D11105">
        <v>4335.76</v>
      </c>
      <c r="E11105" s="37" t="str">
        <f t="shared" si="865"/>
        <v xml:space="preserve"> </v>
      </c>
      <c r="F11105">
        <v>0.11</v>
      </c>
      <c r="G11105" s="37" t="str">
        <f t="shared" si="866"/>
        <v>Normal Discount</v>
      </c>
      <c r="H11105" s="37" t="str">
        <f t="shared" si="867"/>
        <v>Low</v>
      </c>
      <c r="I11105">
        <v>9</v>
      </c>
      <c r="J11105" t="str" cm="1">
        <f t="array" ref="J11105">_xlfn.IFS(I11105&lt;=3,"small",I11105&lt;=6,"Medium",I11105&lt;=9,"Large")</f>
        <v>Large</v>
      </c>
      <c r="K11105" s="36">
        <v>45067</v>
      </c>
      <c r="L11105" s="36">
        <v>45072</v>
      </c>
      <c r="M11105" t="s">
        <v>598</v>
      </c>
      <c r="N11105" t="s">
        <v>604</v>
      </c>
      <c r="O11105" s="37" t="str">
        <f t="shared" si="868"/>
        <v>Digital Payment</v>
      </c>
      <c r="P11105">
        <v>677.45</v>
      </c>
      <c r="Q11105" s="37" t="str">
        <f>IF(P11105&gt;500,"High","low")</f>
        <v>High</v>
      </c>
      <c r="R11105" s="37" t="str">
        <f t="shared" si="869"/>
        <v>Good</v>
      </c>
      <c r="S11105" t="s">
        <v>620</v>
      </c>
    </row>
    <row r="11106" spans="1:19" x14ac:dyDescent="0.2">
      <c r="A11106" t="s">
        <v>11717</v>
      </c>
      <c r="B11106" t="s">
        <v>90</v>
      </c>
      <c r="C11106" t="s">
        <v>617</v>
      </c>
      <c r="D11106">
        <v>1634.43</v>
      </c>
      <c r="E11106" s="37" t="str">
        <f t="shared" si="865"/>
        <v xml:space="preserve"> </v>
      </c>
      <c r="F11106">
        <v>0.11</v>
      </c>
      <c r="G11106" s="37" t="str">
        <f t="shared" si="866"/>
        <v>Normal Discount</v>
      </c>
      <c r="H11106" s="37" t="str">
        <f t="shared" si="867"/>
        <v>Low</v>
      </c>
      <c r="I11106">
        <v>2</v>
      </c>
      <c r="J11106" t="str" cm="1">
        <f t="array" ref="J11106">_xlfn.IFS(I11106&lt;=3,"small",I11106&lt;=6,"Medium",I11106&lt;=9,"Large")</f>
        <v>small</v>
      </c>
      <c r="K11106" s="36">
        <v>45022</v>
      </c>
      <c r="L11106" s="36">
        <v>45023</v>
      </c>
      <c r="M11106" t="s">
        <v>598</v>
      </c>
      <c r="N11106" t="s">
        <v>599</v>
      </c>
      <c r="O11106" s="37" t="str">
        <f t="shared" si="868"/>
        <v>Digital Payment</v>
      </c>
      <c r="P11106">
        <v>403.65</v>
      </c>
      <c r="Q11106" s="37" t="str">
        <f>IF(P11106&gt;500,"High","low")</f>
        <v>low</v>
      </c>
      <c r="R11106" s="37" t="str">
        <f t="shared" si="869"/>
        <v>AVERAGE</v>
      </c>
      <c r="S11106" t="s">
        <v>600</v>
      </c>
    </row>
    <row r="11107" spans="1:19" x14ac:dyDescent="0.2">
      <c r="A11107" t="s">
        <v>11718</v>
      </c>
      <c r="B11107" t="s">
        <v>67</v>
      </c>
      <c r="C11107" t="s">
        <v>602</v>
      </c>
      <c r="D11107">
        <v>1447.28</v>
      </c>
      <c r="E11107" s="37" t="str">
        <f t="shared" si="865"/>
        <v xml:space="preserve"> </v>
      </c>
      <c r="F11107">
        <v>0.19</v>
      </c>
      <c r="G11107" s="37" t="str">
        <f t="shared" si="866"/>
        <v>Normal Discount</v>
      </c>
      <c r="H11107" s="37" t="str">
        <f t="shared" si="867"/>
        <v>Low</v>
      </c>
      <c r="I11107">
        <v>1</v>
      </c>
      <c r="J11107" t="str" cm="1">
        <f t="array" ref="J11107">_xlfn.IFS(I11107&lt;=3,"small",I11107&lt;=6,"Medium",I11107&lt;=9,"Large")</f>
        <v>small</v>
      </c>
      <c r="K11107" s="36">
        <v>45089</v>
      </c>
      <c r="L11107" s="36">
        <v>45090</v>
      </c>
      <c r="M11107" t="s">
        <v>612</v>
      </c>
      <c r="N11107" t="s">
        <v>608</v>
      </c>
      <c r="O11107" s="37" t="str">
        <f t="shared" si="868"/>
        <v>Cash Payment</v>
      </c>
      <c r="P11107">
        <v>403.58</v>
      </c>
      <c r="Q11107" s="37" t="str">
        <f>IF(P11107&gt;500,"High","low")</f>
        <v>low</v>
      </c>
      <c r="R11107" s="37" t="str">
        <f t="shared" si="869"/>
        <v>AVERAGE</v>
      </c>
      <c r="S11107" t="s">
        <v>615</v>
      </c>
    </row>
    <row r="11108" spans="1:19" x14ac:dyDescent="0.2">
      <c r="A11108" t="s">
        <v>11719</v>
      </c>
      <c r="B11108" t="s">
        <v>83</v>
      </c>
      <c r="C11108" t="s">
        <v>614</v>
      </c>
      <c r="D11108">
        <v>1578.58</v>
      </c>
      <c r="E11108" s="37" t="str">
        <f t="shared" si="865"/>
        <v xml:space="preserve"> </v>
      </c>
      <c r="F11108">
        <v>0.49</v>
      </c>
      <c r="G11108" s="37" t="str">
        <f t="shared" si="866"/>
        <v>Heavy Discount</v>
      </c>
      <c r="H11108" s="37" t="str">
        <f t="shared" si="867"/>
        <v>High</v>
      </c>
      <c r="I11108">
        <v>1</v>
      </c>
      <c r="J11108" t="str" cm="1">
        <f t="array" ref="J11108">_xlfn.IFS(I11108&lt;=3,"small",I11108&lt;=6,"Medium",I11108&lt;=9,"Large")</f>
        <v>small</v>
      </c>
      <c r="K11108" s="36">
        <v>44951</v>
      </c>
      <c r="L11108" s="36">
        <v>44957</v>
      </c>
      <c r="M11108" t="s">
        <v>603</v>
      </c>
      <c r="N11108" t="s">
        <v>608</v>
      </c>
      <c r="O11108" s="37" t="str">
        <f t="shared" si="868"/>
        <v>Cash Payment</v>
      </c>
      <c r="P11108">
        <v>236.2</v>
      </c>
      <c r="Q11108" s="37" t="str">
        <f>IF(P11108&gt;500,"High","low")</f>
        <v>low</v>
      </c>
      <c r="R11108" s="37" t="str">
        <f t="shared" si="869"/>
        <v>AVERAGE</v>
      </c>
      <c r="S11108" t="s">
        <v>600</v>
      </c>
    </row>
    <row r="11109" spans="1:19" x14ac:dyDescent="0.2">
      <c r="A11109" t="s">
        <v>11720</v>
      </c>
      <c r="B11109" t="s">
        <v>75</v>
      </c>
      <c r="C11109" t="s">
        <v>614</v>
      </c>
      <c r="D11109">
        <v>3894.38</v>
      </c>
      <c r="E11109" s="37" t="str">
        <f t="shared" si="865"/>
        <v xml:space="preserve"> </v>
      </c>
      <c r="F11109">
        <v>0.17</v>
      </c>
      <c r="G11109" s="37" t="str">
        <f t="shared" si="866"/>
        <v>Normal Discount</v>
      </c>
      <c r="H11109" s="37" t="str">
        <f t="shared" si="867"/>
        <v>Low</v>
      </c>
      <c r="I11109">
        <v>8</v>
      </c>
      <c r="J11109" t="str" cm="1">
        <f t="array" ref="J11109">_xlfn.IFS(I11109&lt;=3,"small",I11109&lt;=6,"Medium",I11109&lt;=9,"Large")</f>
        <v>Large</v>
      </c>
      <c r="K11109" s="36">
        <v>45371</v>
      </c>
      <c r="L11109" s="36">
        <v>45372</v>
      </c>
      <c r="M11109" t="s">
        <v>598</v>
      </c>
      <c r="N11109" t="s">
        <v>599</v>
      </c>
      <c r="O11109" s="37" t="str">
        <f t="shared" si="868"/>
        <v>Digital Payment</v>
      </c>
      <c r="P11109">
        <v>648.27</v>
      </c>
      <c r="Q11109" s="37" t="str">
        <f>IF(P11109&gt;500,"High","low")</f>
        <v>High</v>
      </c>
      <c r="R11109" s="37" t="str">
        <f t="shared" si="869"/>
        <v>Good</v>
      </c>
      <c r="S11109" t="s">
        <v>628</v>
      </c>
    </row>
    <row r="11110" spans="1:19" x14ac:dyDescent="0.2">
      <c r="A11110" t="s">
        <v>11721</v>
      </c>
      <c r="B11110" t="s">
        <v>90</v>
      </c>
      <c r="C11110" t="s">
        <v>597</v>
      </c>
      <c r="D11110">
        <v>2526.9299999999998</v>
      </c>
      <c r="E11110" s="37" t="str">
        <f t="shared" si="865"/>
        <v xml:space="preserve"> </v>
      </c>
      <c r="F11110">
        <v>0.02</v>
      </c>
      <c r="G11110" s="37" t="str">
        <f t="shared" si="866"/>
        <v>Normal Discount</v>
      </c>
      <c r="H11110" s="37" t="str">
        <f t="shared" si="867"/>
        <v>Low</v>
      </c>
      <c r="I11110">
        <v>3</v>
      </c>
      <c r="J11110" t="str" cm="1">
        <f t="array" ref="J11110">_xlfn.IFS(I11110&lt;=3,"small",I11110&lt;=6,"Medium",I11110&lt;=9,"Large")</f>
        <v>small</v>
      </c>
      <c r="K11110" s="36">
        <v>44957</v>
      </c>
      <c r="L11110" s="36">
        <v>44960</v>
      </c>
      <c r="M11110" t="s">
        <v>612</v>
      </c>
      <c r="N11110" t="s">
        <v>608</v>
      </c>
      <c r="O11110" s="37" t="str">
        <f t="shared" si="868"/>
        <v>Cash Payment</v>
      </c>
      <c r="P11110">
        <v>575.25</v>
      </c>
      <c r="Q11110" s="37" t="str">
        <f>IF(P11110&gt;500,"High","low")</f>
        <v>High</v>
      </c>
      <c r="R11110" s="37" t="str">
        <f t="shared" si="869"/>
        <v>Good</v>
      </c>
      <c r="S11110" t="s">
        <v>615</v>
      </c>
    </row>
    <row r="11111" spans="1:19" x14ac:dyDescent="0.2">
      <c r="A11111" t="s">
        <v>11722</v>
      </c>
      <c r="B11111" t="s">
        <v>67</v>
      </c>
      <c r="C11111" t="s">
        <v>614</v>
      </c>
      <c r="D11111">
        <v>2731.72</v>
      </c>
      <c r="E11111" s="37" t="str">
        <f t="shared" si="865"/>
        <v xml:space="preserve"> </v>
      </c>
      <c r="F11111">
        <v>0.13</v>
      </c>
      <c r="G11111" s="37" t="str">
        <f t="shared" si="866"/>
        <v>Normal Discount</v>
      </c>
      <c r="H11111" s="37" t="str">
        <f t="shared" si="867"/>
        <v>Low</v>
      </c>
      <c r="I11111">
        <v>6</v>
      </c>
      <c r="J11111" t="str" cm="1">
        <f t="array" ref="J11111">_xlfn.IFS(I11111&lt;=3,"small",I11111&lt;=6,"Medium",I11111&lt;=9,"Large")</f>
        <v>Medium</v>
      </c>
      <c r="K11111" s="36">
        <v>45487</v>
      </c>
      <c r="L11111" s="36">
        <v>45489</v>
      </c>
      <c r="M11111" t="s">
        <v>598</v>
      </c>
      <c r="N11111" t="s">
        <v>599</v>
      </c>
      <c r="O11111" s="37" t="str">
        <f t="shared" si="868"/>
        <v>Digital Payment</v>
      </c>
      <c r="P11111">
        <v>241.17</v>
      </c>
      <c r="Q11111" s="37" t="str">
        <f>IF(P11111&gt;500,"High","low")</f>
        <v>low</v>
      </c>
      <c r="R11111" s="37" t="str">
        <f t="shared" si="869"/>
        <v>AVERAGE</v>
      </c>
      <c r="S11111" t="s">
        <v>628</v>
      </c>
    </row>
    <row r="11112" spans="1:19" x14ac:dyDescent="0.2">
      <c r="A11112" t="s">
        <v>11723</v>
      </c>
      <c r="B11112" t="s">
        <v>83</v>
      </c>
      <c r="C11112" t="s">
        <v>607</v>
      </c>
      <c r="D11112">
        <v>4175.1099999999997</v>
      </c>
      <c r="E11112" s="37" t="str">
        <f t="shared" si="865"/>
        <v>Excellent Order</v>
      </c>
      <c r="F11112">
        <v>0.28000000000000003</v>
      </c>
      <c r="G11112" s="37" t="str">
        <f t="shared" si="866"/>
        <v>Normal Discount</v>
      </c>
      <c r="H11112" s="37" t="str">
        <f t="shared" si="867"/>
        <v>Medium</v>
      </c>
      <c r="I11112">
        <v>6</v>
      </c>
      <c r="J11112" t="str" cm="1">
        <f t="array" ref="J11112">_xlfn.IFS(I11112&lt;=3,"small",I11112&lt;=6,"Medium",I11112&lt;=9,"Large")</f>
        <v>Medium</v>
      </c>
      <c r="K11112" s="36">
        <v>45609</v>
      </c>
      <c r="L11112" s="36">
        <v>45616</v>
      </c>
      <c r="M11112" t="s">
        <v>612</v>
      </c>
      <c r="N11112" t="s">
        <v>599</v>
      </c>
      <c r="O11112" s="37" t="str">
        <f t="shared" si="868"/>
        <v>Digital Payment</v>
      </c>
      <c r="P11112">
        <v>1085.25</v>
      </c>
      <c r="Q11112" s="37" t="str">
        <f>IF(P11112&gt;500,"High","low")</f>
        <v>High</v>
      </c>
      <c r="R11112" s="37" t="str">
        <f t="shared" si="869"/>
        <v>Excellent</v>
      </c>
      <c r="S11112" t="s">
        <v>615</v>
      </c>
    </row>
    <row r="11113" spans="1:19" x14ac:dyDescent="0.2">
      <c r="A11113" t="s">
        <v>11724</v>
      </c>
      <c r="B11113" t="s">
        <v>67</v>
      </c>
      <c r="C11113" t="s">
        <v>607</v>
      </c>
      <c r="D11113">
        <v>4183.49</v>
      </c>
      <c r="E11113" s="37" t="str">
        <f t="shared" si="865"/>
        <v xml:space="preserve"> </v>
      </c>
      <c r="F11113">
        <v>0.21</v>
      </c>
      <c r="G11113" s="37" t="str">
        <f t="shared" si="866"/>
        <v>Normal Discount</v>
      </c>
      <c r="H11113" s="37" t="str">
        <f t="shared" si="867"/>
        <v>Medium</v>
      </c>
      <c r="I11113">
        <v>2</v>
      </c>
      <c r="J11113" t="str" cm="1">
        <f t="array" ref="J11113">_xlfn.IFS(I11113&lt;=3,"small",I11113&lt;=6,"Medium",I11113&lt;=9,"Large")</f>
        <v>small</v>
      </c>
      <c r="K11113" s="36">
        <v>45227</v>
      </c>
      <c r="L11113" s="36">
        <v>45234</v>
      </c>
      <c r="M11113" t="s">
        <v>603</v>
      </c>
      <c r="N11113" t="s">
        <v>599</v>
      </c>
      <c r="O11113" s="37" t="str">
        <f t="shared" si="868"/>
        <v>Digital Payment</v>
      </c>
      <c r="P11113">
        <v>493.72</v>
      </c>
      <c r="Q11113" s="37" t="str">
        <f>IF(P11113&gt;500,"High","low")</f>
        <v>low</v>
      </c>
      <c r="R11113" s="37" t="str">
        <f t="shared" si="869"/>
        <v>AVERAGE</v>
      </c>
      <c r="S11113" t="s">
        <v>615</v>
      </c>
    </row>
    <row r="11114" spans="1:19" x14ac:dyDescent="0.2">
      <c r="A11114" t="s">
        <v>11725</v>
      </c>
      <c r="B11114" t="s">
        <v>90</v>
      </c>
      <c r="C11114" t="s">
        <v>607</v>
      </c>
      <c r="D11114">
        <v>892.52</v>
      </c>
      <c r="E11114" s="37" t="str">
        <f t="shared" si="865"/>
        <v xml:space="preserve"> </v>
      </c>
      <c r="F11114">
        <v>0.39</v>
      </c>
      <c r="G11114" s="37" t="str">
        <f t="shared" si="866"/>
        <v>Heavy Discount</v>
      </c>
      <c r="H11114" s="37" t="str">
        <f t="shared" si="867"/>
        <v>Medium</v>
      </c>
      <c r="I11114">
        <v>2</v>
      </c>
      <c r="J11114" t="str" cm="1">
        <f t="array" ref="J11114">_xlfn.IFS(I11114&lt;=3,"small",I11114&lt;=6,"Medium",I11114&lt;=9,"Large")</f>
        <v>small</v>
      </c>
      <c r="K11114" s="36">
        <v>45554</v>
      </c>
      <c r="L11114" s="36">
        <v>45555</v>
      </c>
      <c r="M11114" t="s">
        <v>612</v>
      </c>
      <c r="N11114" t="s">
        <v>604</v>
      </c>
      <c r="O11114" s="37" t="str">
        <f t="shared" si="868"/>
        <v>Digital Payment</v>
      </c>
      <c r="P11114">
        <v>137.49</v>
      </c>
      <c r="Q11114" s="37" t="str">
        <f>IF(P11114&gt;500,"High","low")</f>
        <v>low</v>
      </c>
      <c r="R11114" s="37" t="str">
        <f t="shared" si="869"/>
        <v>AVERAGE</v>
      </c>
      <c r="S11114" t="s">
        <v>605</v>
      </c>
    </row>
    <row r="11115" spans="1:19" x14ac:dyDescent="0.2">
      <c r="A11115" t="s">
        <v>11726</v>
      </c>
      <c r="B11115" t="s">
        <v>90</v>
      </c>
      <c r="C11115" t="s">
        <v>617</v>
      </c>
      <c r="D11115">
        <v>2793.86</v>
      </c>
      <c r="E11115" s="37" t="str">
        <f t="shared" si="865"/>
        <v xml:space="preserve"> </v>
      </c>
      <c r="F11115">
        <v>0.3</v>
      </c>
      <c r="G11115" s="37" t="str">
        <f t="shared" si="866"/>
        <v>Normal Discount</v>
      </c>
      <c r="H11115" s="37" t="str">
        <f t="shared" si="867"/>
        <v>Medium</v>
      </c>
      <c r="I11115">
        <v>1</v>
      </c>
      <c r="J11115" t="str" cm="1">
        <f t="array" ref="J11115">_xlfn.IFS(I11115&lt;=3,"small",I11115&lt;=6,"Medium",I11115&lt;=9,"Large")</f>
        <v>small</v>
      </c>
      <c r="K11115" s="36">
        <v>45138</v>
      </c>
      <c r="L11115" s="36">
        <v>45141</v>
      </c>
      <c r="M11115" t="s">
        <v>598</v>
      </c>
      <c r="N11115" t="s">
        <v>604</v>
      </c>
      <c r="O11115" s="37" t="str">
        <f t="shared" si="868"/>
        <v>Digital Payment</v>
      </c>
      <c r="P11115">
        <v>795.13</v>
      </c>
      <c r="Q11115" s="37" t="str">
        <f>IF(P11115&gt;500,"High","low")</f>
        <v>High</v>
      </c>
      <c r="R11115" s="37" t="str">
        <f t="shared" si="869"/>
        <v>Good</v>
      </c>
      <c r="S11115" t="s">
        <v>615</v>
      </c>
    </row>
    <row r="11116" spans="1:19" x14ac:dyDescent="0.2">
      <c r="A11116" t="s">
        <v>11727</v>
      </c>
      <c r="B11116" t="s">
        <v>75</v>
      </c>
      <c r="C11116" t="s">
        <v>617</v>
      </c>
      <c r="D11116">
        <v>717.49</v>
      </c>
      <c r="E11116" s="37" t="str">
        <f t="shared" si="865"/>
        <v xml:space="preserve"> </v>
      </c>
      <c r="F11116">
        <v>0.28000000000000003</v>
      </c>
      <c r="G11116" s="37" t="str">
        <f t="shared" si="866"/>
        <v>Normal Discount</v>
      </c>
      <c r="H11116" s="37" t="str">
        <f t="shared" si="867"/>
        <v>Medium</v>
      </c>
      <c r="I11116">
        <v>9</v>
      </c>
      <c r="J11116" t="str" cm="1">
        <f t="array" ref="J11116">_xlfn.IFS(I11116&lt;=3,"small",I11116&lt;=6,"Medium",I11116&lt;=9,"Large")</f>
        <v>Large</v>
      </c>
      <c r="K11116" s="36">
        <v>45416</v>
      </c>
      <c r="L11116" s="36">
        <v>45422</v>
      </c>
      <c r="M11116" t="s">
        <v>603</v>
      </c>
      <c r="N11116" t="s">
        <v>604</v>
      </c>
      <c r="O11116" s="37" t="str">
        <f t="shared" si="868"/>
        <v>Digital Payment</v>
      </c>
      <c r="P11116">
        <v>209.9</v>
      </c>
      <c r="Q11116" s="37" t="str">
        <f>IF(P11116&gt;500,"High","low")</f>
        <v>low</v>
      </c>
      <c r="R11116" s="37" t="str">
        <f t="shared" si="869"/>
        <v>AVERAGE</v>
      </c>
      <c r="S11116" t="s">
        <v>620</v>
      </c>
    </row>
    <row r="11117" spans="1:19" x14ac:dyDescent="0.2">
      <c r="A11117" t="s">
        <v>11728</v>
      </c>
      <c r="B11117" t="s">
        <v>67</v>
      </c>
      <c r="C11117" t="s">
        <v>614</v>
      </c>
      <c r="D11117">
        <v>4355.79</v>
      </c>
      <c r="E11117" s="37" t="str">
        <f t="shared" si="865"/>
        <v xml:space="preserve"> </v>
      </c>
      <c r="F11117">
        <v>0.16</v>
      </c>
      <c r="G11117" s="37" t="str">
        <f t="shared" si="866"/>
        <v>Normal Discount</v>
      </c>
      <c r="H11117" s="37" t="str">
        <f t="shared" si="867"/>
        <v>Low</v>
      </c>
      <c r="I11117">
        <v>1</v>
      </c>
      <c r="J11117" t="str" cm="1">
        <f t="array" ref="J11117">_xlfn.IFS(I11117&lt;=3,"small",I11117&lt;=6,"Medium",I11117&lt;=9,"Large")</f>
        <v>small</v>
      </c>
      <c r="K11117" s="36">
        <v>45283</v>
      </c>
      <c r="L11117" s="36">
        <v>45289</v>
      </c>
      <c r="M11117" t="s">
        <v>612</v>
      </c>
      <c r="N11117" t="s">
        <v>599</v>
      </c>
      <c r="O11117" s="37" t="str">
        <f t="shared" si="868"/>
        <v>Digital Payment</v>
      </c>
      <c r="P11117">
        <v>689.82</v>
      </c>
      <c r="Q11117" s="37" t="str">
        <f>IF(P11117&gt;500,"High","low")</f>
        <v>High</v>
      </c>
      <c r="R11117" s="37" t="str">
        <f t="shared" si="869"/>
        <v>Good</v>
      </c>
      <c r="S11117" t="s">
        <v>609</v>
      </c>
    </row>
    <row r="11118" spans="1:19" x14ac:dyDescent="0.2">
      <c r="A11118" t="s">
        <v>11729</v>
      </c>
      <c r="B11118" t="s">
        <v>75</v>
      </c>
      <c r="C11118" t="s">
        <v>617</v>
      </c>
      <c r="D11118">
        <v>4201.33</v>
      </c>
      <c r="E11118" s="37" t="str">
        <f t="shared" si="865"/>
        <v xml:space="preserve"> </v>
      </c>
      <c r="F11118">
        <v>0.28000000000000003</v>
      </c>
      <c r="G11118" s="37" t="str">
        <f t="shared" si="866"/>
        <v>Normal Discount</v>
      </c>
      <c r="H11118" s="37" t="str">
        <f t="shared" si="867"/>
        <v>Medium</v>
      </c>
      <c r="I11118">
        <v>6</v>
      </c>
      <c r="J11118" t="str" cm="1">
        <f t="array" ref="J11118">_xlfn.IFS(I11118&lt;=3,"small",I11118&lt;=6,"Medium",I11118&lt;=9,"Large")</f>
        <v>Medium</v>
      </c>
      <c r="K11118" s="36">
        <v>44933</v>
      </c>
      <c r="L11118" s="36">
        <v>44935</v>
      </c>
      <c r="M11118" t="s">
        <v>612</v>
      </c>
      <c r="N11118" t="s">
        <v>608</v>
      </c>
      <c r="O11118" s="37" t="str">
        <f t="shared" si="868"/>
        <v>Cash Payment</v>
      </c>
      <c r="P11118">
        <v>492.42</v>
      </c>
      <c r="Q11118" s="37" t="str">
        <f>IF(P11118&gt;500,"High","low")</f>
        <v>low</v>
      </c>
      <c r="R11118" s="37" t="str">
        <f t="shared" si="869"/>
        <v>AVERAGE</v>
      </c>
      <c r="S11118" t="s">
        <v>615</v>
      </c>
    </row>
    <row r="11119" spans="1:19" x14ac:dyDescent="0.2">
      <c r="A11119" t="s">
        <v>11730</v>
      </c>
      <c r="B11119" t="s">
        <v>83</v>
      </c>
      <c r="C11119" t="s">
        <v>617</v>
      </c>
      <c r="D11119">
        <v>4261.8100000000004</v>
      </c>
      <c r="E11119" s="37" t="str">
        <f t="shared" si="865"/>
        <v xml:space="preserve"> </v>
      </c>
      <c r="F11119">
        <v>0.31</v>
      </c>
      <c r="G11119" s="37" t="str">
        <f t="shared" si="866"/>
        <v>Heavy Discount</v>
      </c>
      <c r="H11119" s="37" t="str">
        <f t="shared" si="867"/>
        <v>Medium</v>
      </c>
      <c r="I11119">
        <v>9</v>
      </c>
      <c r="J11119" t="str" cm="1">
        <f t="array" ref="J11119">_xlfn.IFS(I11119&lt;=3,"small",I11119&lt;=6,"Medium",I11119&lt;=9,"Large")</f>
        <v>Large</v>
      </c>
      <c r="K11119" s="36">
        <v>45427</v>
      </c>
      <c r="L11119" s="36">
        <v>45429</v>
      </c>
      <c r="M11119" t="s">
        <v>612</v>
      </c>
      <c r="N11119" t="s">
        <v>599</v>
      </c>
      <c r="O11119" s="37" t="str">
        <f t="shared" si="868"/>
        <v>Digital Payment</v>
      </c>
      <c r="P11119">
        <v>359.15</v>
      </c>
      <c r="Q11119" s="37" t="str">
        <f>IF(P11119&gt;500,"High","low")</f>
        <v>low</v>
      </c>
      <c r="R11119" s="37" t="str">
        <f t="shared" si="869"/>
        <v>AVERAGE</v>
      </c>
      <c r="S11119" t="s">
        <v>620</v>
      </c>
    </row>
    <row r="11120" spans="1:19" x14ac:dyDescent="0.2">
      <c r="A11120" t="s">
        <v>11731</v>
      </c>
      <c r="B11120" t="s">
        <v>75</v>
      </c>
      <c r="C11120" t="s">
        <v>597</v>
      </c>
      <c r="D11120">
        <v>3553.81</v>
      </c>
      <c r="E11120" s="37" t="str">
        <f t="shared" si="865"/>
        <v xml:space="preserve"> </v>
      </c>
      <c r="F11120">
        <v>0.09</v>
      </c>
      <c r="G11120" s="37" t="str">
        <f t="shared" si="866"/>
        <v>Normal Discount</v>
      </c>
      <c r="H11120" s="37" t="str">
        <f t="shared" si="867"/>
        <v>Low</v>
      </c>
      <c r="I11120">
        <v>6</v>
      </c>
      <c r="J11120" t="str" cm="1">
        <f t="array" ref="J11120">_xlfn.IFS(I11120&lt;=3,"small",I11120&lt;=6,"Medium",I11120&lt;=9,"Large")</f>
        <v>Medium</v>
      </c>
      <c r="K11120" s="36">
        <v>45128</v>
      </c>
      <c r="L11120" s="36">
        <v>45129</v>
      </c>
      <c r="M11120" t="s">
        <v>603</v>
      </c>
      <c r="N11120" t="s">
        <v>604</v>
      </c>
      <c r="O11120" s="37" t="str">
        <f t="shared" si="868"/>
        <v>Digital Payment</v>
      </c>
      <c r="P11120">
        <v>315.89</v>
      </c>
      <c r="Q11120" s="37" t="str">
        <f>IF(P11120&gt;500,"High","low")</f>
        <v>low</v>
      </c>
      <c r="R11120" s="37" t="str">
        <f t="shared" si="869"/>
        <v>AVERAGE</v>
      </c>
      <c r="S11120" t="s">
        <v>605</v>
      </c>
    </row>
    <row r="11121" spans="1:19" x14ac:dyDescent="0.2">
      <c r="A11121" t="s">
        <v>11732</v>
      </c>
      <c r="B11121" t="s">
        <v>83</v>
      </c>
      <c r="C11121" t="s">
        <v>617</v>
      </c>
      <c r="D11121">
        <v>2387.6999999999998</v>
      </c>
      <c r="E11121" s="37" t="str">
        <f t="shared" si="865"/>
        <v xml:space="preserve"> </v>
      </c>
      <c r="F11121">
        <v>0.37</v>
      </c>
      <c r="G11121" s="37" t="str">
        <f t="shared" si="866"/>
        <v>Heavy Discount</v>
      </c>
      <c r="H11121" s="37" t="str">
        <f t="shared" si="867"/>
        <v>Medium</v>
      </c>
      <c r="I11121">
        <v>6</v>
      </c>
      <c r="J11121" t="str" cm="1">
        <f t="array" ref="J11121">_xlfn.IFS(I11121&lt;=3,"small",I11121&lt;=6,"Medium",I11121&lt;=9,"Large")</f>
        <v>Medium</v>
      </c>
      <c r="K11121" s="36">
        <v>45572</v>
      </c>
      <c r="L11121" s="36">
        <v>45574</v>
      </c>
      <c r="M11121" t="s">
        <v>612</v>
      </c>
      <c r="N11121" t="s">
        <v>599</v>
      </c>
      <c r="O11121" s="37" t="str">
        <f t="shared" si="868"/>
        <v>Digital Payment</v>
      </c>
      <c r="P11121">
        <v>423.94</v>
      </c>
      <c r="Q11121" s="37" t="str">
        <f>IF(P11121&gt;500,"High","low")</f>
        <v>low</v>
      </c>
      <c r="R11121" s="37" t="str">
        <f t="shared" si="869"/>
        <v>AVERAGE</v>
      </c>
      <c r="S11121" t="s">
        <v>620</v>
      </c>
    </row>
    <row r="11122" spans="1:19" x14ac:dyDescent="0.2">
      <c r="A11122" t="s">
        <v>11733</v>
      </c>
      <c r="B11122" t="s">
        <v>90</v>
      </c>
      <c r="C11122" t="s">
        <v>602</v>
      </c>
      <c r="D11122">
        <v>2083.13</v>
      </c>
      <c r="E11122" s="37" t="str">
        <f t="shared" si="865"/>
        <v xml:space="preserve"> </v>
      </c>
      <c r="F11122">
        <v>0.2</v>
      </c>
      <c r="G11122" s="37" t="str">
        <f t="shared" si="866"/>
        <v>Normal Discount</v>
      </c>
      <c r="H11122" s="37" t="str">
        <f t="shared" si="867"/>
        <v>Medium</v>
      </c>
      <c r="I11122">
        <v>4</v>
      </c>
      <c r="J11122" t="str" cm="1">
        <f t="array" ref="J11122">_xlfn.IFS(I11122&lt;=3,"small",I11122&lt;=6,"Medium",I11122&lt;=9,"Large")</f>
        <v>Medium</v>
      </c>
      <c r="K11122" s="36">
        <v>45143</v>
      </c>
      <c r="L11122" s="36">
        <v>45146</v>
      </c>
      <c r="M11122" t="s">
        <v>612</v>
      </c>
      <c r="N11122" t="s">
        <v>599</v>
      </c>
      <c r="O11122" s="37" t="str">
        <f t="shared" si="868"/>
        <v>Digital Payment</v>
      </c>
      <c r="P11122">
        <v>461.3</v>
      </c>
      <c r="Q11122" s="37" t="str">
        <f>IF(P11122&gt;500,"High","low")</f>
        <v>low</v>
      </c>
      <c r="R11122" s="37" t="str">
        <f t="shared" si="869"/>
        <v>AVERAGE</v>
      </c>
      <c r="S11122" t="s">
        <v>615</v>
      </c>
    </row>
    <row r="11123" spans="1:19" x14ac:dyDescent="0.2">
      <c r="A11123" t="s">
        <v>11734</v>
      </c>
      <c r="B11123" t="s">
        <v>90</v>
      </c>
      <c r="C11123" t="s">
        <v>602</v>
      </c>
      <c r="D11123">
        <v>2036.6</v>
      </c>
      <c r="E11123" s="37" t="str">
        <f t="shared" si="865"/>
        <v xml:space="preserve"> </v>
      </c>
      <c r="F11123">
        <v>0.37</v>
      </c>
      <c r="G11123" s="37" t="str">
        <f t="shared" si="866"/>
        <v>Heavy Discount</v>
      </c>
      <c r="H11123" s="37" t="str">
        <f t="shared" si="867"/>
        <v>Medium</v>
      </c>
      <c r="I11123">
        <v>5</v>
      </c>
      <c r="J11123" t="str" cm="1">
        <f t="array" ref="J11123">_xlfn.IFS(I11123&lt;=3,"small",I11123&lt;=6,"Medium",I11123&lt;=9,"Large")</f>
        <v>Medium</v>
      </c>
      <c r="K11123" s="36">
        <v>45380</v>
      </c>
      <c r="L11123" s="36">
        <v>45381</v>
      </c>
      <c r="M11123" t="s">
        <v>603</v>
      </c>
      <c r="N11123" t="s">
        <v>599</v>
      </c>
      <c r="O11123" s="37" t="str">
        <f t="shared" si="868"/>
        <v>Digital Payment</v>
      </c>
      <c r="P11123">
        <v>286.58</v>
      </c>
      <c r="Q11123" s="37" t="str">
        <f>IF(P11123&gt;500,"High","low")</f>
        <v>low</v>
      </c>
      <c r="R11123" s="37" t="str">
        <f t="shared" si="869"/>
        <v>AVERAGE</v>
      </c>
      <c r="S11123" t="s">
        <v>609</v>
      </c>
    </row>
    <row r="11124" spans="1:19" x14ac:dyDescent="0.2">
      <c r="A11124" t="s">
        <v>11735</v>
      </c>
      <c r="B11124" t="s">
        <v>67</v>
      </c>
      <c r="C11124" t="s">
        <v>602</v>
      </c>
      <c r="D11124">
        <v>424.44</v>
      </c>
      <c r="E11124" s="37" t="str">
        <f t="shared" si="865"/>
        <v xml:space="preserve"> </v>
      </c>
      <c r="F11124">
        <v>0.09</v>
      </c>
      <c r="G11124" s="37" t="str">
        <f t="shared" si="866"/>
        <v>Normal Discount</v>
      </c>
      <c r="H11124" s="37" t="str">
        <f t="shared" si="867"/>
        <v>Low</v>
      </c>
      <c r="I11124">
        <v>1</v>
      </c>
      <c r="J11124" t="str" cm="1">
        <f t="array" ref="J11124">_xlfn.IFS(I11124&lt;=3,"small",I11124&lt;=6,"Medium",I11124&lt;=9,"Large")</f>
        <v>small</v>
      </c>
      <c r="K11124" s="36">
        <v>45227</v>
      </c>
      <c r="L11124" s="36">
        <v>45231</v>
      </c>
      <c r="M11124" t="s">
        <v>612</v>
      </c>
      <c r="N11124" t="s">
        <v>599</v>
      </c>
      <c r="O11124" s="37" t="str">
        <f t="shared" si="868"/>
        <v>Digital Payment</v>
      </c>
      <c r="P11124">
        <v>46.58</v>
      </c>
      <c r="Q11124" s="37" t="str">
        <f>IF(P11124&gt;500,"High","low")</f>
        <v>low</v>
      </c>
      <c r="R11124" s="37" t="str">
        <f t="shared" si="869"/>
        <v>AVERAGE</v>
      </c>
      <c r="S11124" t="s">
        <v>620</v>
      </c>
    </row>
    <row r="11125" spans="1:19" x14ac:dyDescent="0.2">
      <c r="A11125" t="s">
        <v>11736</v>
      </c>
      <c r="B11125" t="s">
        <v>83</v>
      </c>
      <c r="C11125" t="s">
        <v>614</v>
      </c>
      <c r="D11125">
        <v>4749.46</v>
      </c>
      <c r="E11125" s="37" t="str">
        <f t="shared" si="865"/>
        <v xml:space="preserve"> </v>
      </c>
      <c r="F11125">
        <v>0.33</v>
      </c>
      <c r="G11125" s="37" t="str">
        <f t="shared" si="866"/>
        <v>Heavy Discount</v>
      </c>
      <c r="H11125" s="37" t="str">
        <f t="shared" si="867"/>
        <v>Medium</v>
      </c>
      <c r="I11125">
        <v>3</v>
      </c>
      <c r="J11125" t="str" cm="1">
        <f t="array" ref="J11125">_xlfn.IFS(I11125&lt;=3,"small",I11125&lt;=6,"Medium",I11125&lt;=9,"Large")</f>
        <v>small</v>
      </c>
      <c r="K11125" s="36">
        <v>45620</v>
      </c>
      <c r="L11125" s="36">
        <v>45624</v>
      </c>
      <c r="M11125" t="s">
        <v>598</v>
      </c>
      <c r="N11125" t="s">
        <v>599</v>
      </c>
      <c r="O11125" s="37" t="str">
        <f t="shared" si="868"/>
        <v>Digital Payment</v>
      </c>
      <c r="P11125">
        <v>241.16</v>
      </c>
      <c r="Q11125" s="37" t="str">
        <f>IF(P11125&gt;500,"High","low")</f>
        <v>low</v>
      </c>
      <c r="R11125" s="37" t="str">
        <f t="shared" si="869"/>
        <v>AVERAGE</v>
      </c>
      <c r="S11125" t="s">
        <v>609</v>
      </c>
    </row>
    <row r="11126" spans="1:19" x14ac:dyDescent="0.2">
      <c r="A11126" t="s">
        <v>11737</v>
      </c>
      <c r="B11126" t="s">
        <v>90</v>
      </c>
      <c r="C11126" t="s">
        <v>607</v>
      </c>
      <c r="D11126">
        <v>2306.35</v>
      </c>
      <c r="E11126" s="37" t="str">
        <f t="shared" si="865"/>
        <v xml:space="preserve"> </v>
      </c>
      <c r="F11126">
        <v>0.01</v>
      </c>
      <c r="G11126" s="37" t="str">
        <f t="shared" si="866"/>
        <v>Normal Discount</v>
      </c>
      <c r="H11126" s="37" t="str">
        <f t="shared" si="867"/>
        <v>Low</v>
      </c>
      <c r="I11126">
        <v>6</v>
      </c>
      <c r="J11126" t="str" cm="1">
        <f t="array" ref="J11126">_xlfn.IFS(I11126&lt;=3,"small",I11126&lt;=6,"Medium",I11126&lt;=9,"Large")</f>
        <v>Medium</v>
      </c>
      <c r="K11126" s="36">
        <v>45562</v>
      </c>
      <c r="L11126" s="36">
        <v>45568</v>
      </c>
      <c r="M11126" t="s">
        <v>603</v>
      </c>
      <c r="N11126" t="s">
        <v>599</v>
      </c>
      <c r="O11126" s="37" t="str">
        <f t="shared" si="868"/>
        <v>Digital Payment</v>
      </c>
      <c r="P11126">
        <v>282.79000000000002</v>
      </c>
      <c r="Q11126" s="37" t="str">
        <f>IF(P11126&gt;500,"High","low")</f>
        <v>low</v>
      </c>
      <c r="R11126" s="37" t="str">
        <f t="shared" si="869"/>
        <v>AVERAGE</v>
      </c>
      <c r="S11126" t="s">
        <v>628</v>
      </c>
    </row>
    <row r="11127" spans="1:19" x14ac:dyDescent="0.2">
      <c r="A11127" t="s">
        <v>11738</v>
      </c>
      <c r="B11127" t="s">
        <v>67</v>
      </c>
      <c r="C11127" t="s">
        <v>597</v>
      </c>
      <c r="D11127">
        <v>4657.5600000000004</v>
      </c>
      <c r="E11127" s="37" t="str">
        <f t="shared" si="865"/>
        <v>Excellent Order</v>
      </c>
      <c r="F11127">
        <v>0.08</v>
      </c>
      <c r="G11127" s="37" t="str">
        <f t="shared" si="866"/>
        <v>Normal Discount</v>
      </c>
      <c r="H11127" s="37" t="str">
        <f t="shared" si="867"/>
        <v>Low</v>
      </c>
      <c r="I11127">
        <v>2</v>
      </c>
      <c r="J11127" t="str" cm="1">
        <f t="array" ref="J11127">_xlfn.IFS(I11127&lt;=3,"small",I11127&lt;=6,"Medium",I11127&lt;=9,"Large")</f>
        <v>small</v>
      </c>
      <c r="K11127" s="36">
        <v>45071</v>
      </c>
      <c r="L11127" s="36">
        <v>45075</v>
      </c>
      <c r="M11127" t="s">
        <v>612</v>
      </c>
      <c r="N11127" t="s">
        <v>599</v>
      </c>
      <c r="O11127" s="37" t="str">
        <f t="shared" si="868"/>
        <v>Digital Payment</v>
      </c>
      <c r="P11127">
        <v>966.21</v>
      </c>
      <c r="Q11127" s="37" t="str">
        <f>IF(P11127&gt;500,"High","low")</f>
        <v>High</v>
      </c>
      <c r="R11127" s="37" t="str">
        <f t="shared" si="869"/>
        <v>Good</v>
      </c>
      <c r="S11127" t="s">
        <v>615</v>
      </c>
    </row>
    <row r="11128" spans="1:19" x14ac:dyDescent="0.2">
      <c r="A11128" t="s">
        <v>11739</v>
      </c>
      <c r="B11128" t="s">
        <v>67</v>
      </c>
      <c r="C11128" t="s">
        <v>614</v>
      </c>
      <c r="D11128">
        <v>4408.3599999999997</v>
      </c>
      <c r="E11128" s="37" t="str">
        <f t="shared" si="865"/>
        <v>Excellent Order</v>
      </c>
      <c r="F11128">
        <v>0.45</v>
      </c>
      <c r="G11128" s="37" t="str">
        <f t="shared" si="866"/>
        <v>Heavy Discount</v>
      </c>
      <c r="H11128" s="37" t="str">
        <f t="shared" si="867"/>
        <v>High</v>
      </c>
      <c r="I11128">
        <v>1</v>
      </c>
      <c r="J11128" t="str" cm="1">
        <f t="array" ref="J11128">_xlfn.IFS(I11128&lt;=3,"small",I11128&lt;=6,"Medium",I11128&lt;=9,"Large")</f>
        <v>small</v>
      </c>
      <c r="K11128" s="36">
        <v>45269</v>
      </c>
      <c r="L11128" s="36">
        <v>45272</v>
      </c>
      <c r="M11128" t="s">
        <v>612</v>
      </c>
      <c r="N11128" t="s">
        <v>599</v>
      </c>
      <c r="O11128" s="37" t="str">
        <f t="shared" si="868"/>
        <v>Digital Payment</v>
      </c>
      <c r="P11128">
        <v>1037.07</v>
      </c>
      <c r="Q11128" s="37" t="str">
        <f>IF(P11128&gt;500,"High","low")</f>
        <v>High</v>
      </c>
      <c r="R11128" s="37" t="str">
        <f t="shared" si="869"/>
        <v>Excellent</v>
      </c>
      <c r="S11128" t="s">
        <v>605</v>
      </c>
    </row>
    <row r="11129" spans="1:19" x14ac:dyDescent="0.2">
      <c r="A11129" t="s">
        <v>11740</v>
      </c>
      <c r="B11129" t="s">
        <v>75</v>
      </c>
      <c r="C11129" t="s">
        <v>607</v>
      </c>
      <c r="D11129">
        <v>4160.1899999999996</v>
      </c>
      <c r="E11129" s="37" t="str">
        <f t="shared" si="865"/>
        <v>Excellent Order</v>
      </c>
      <c r="F11129">
        <v>0.23</v>
      </c>
      <c r="G11129" s="37" t="str">
        <f t="shared" si="866"/>
        <v>Normal Discount</v>
      </c>
      <c r="H11129" s="37" t="str">
        <f t="shared" si="867"/>
        <v>Medium</v>
      </c>
      <c r="I11129">
        <v>1</v>
      </c>
      <c r="J11129" t="str" cm="1">
        <f t="array" ref="J11129">_xlfn.IFS(I11129&lt;=3,"small",I11129&lt;=6,"Medium",I11129&lt;=9,"Large")</f>
        <v>small</v>
      </c>
      <c r="K11129" s="36">
        <v>45339</v>
      </c>
      <c r="L11129" s="36">
        <v>45342</v>
      </c>
      <c r="M11129" t="s">
        <v>603</v>
      </c>
      <c r="N11129" t="s">
        <v>608</v>
      </c>
      <c r="O11129" s="37" t="str">
        <f t="shared" si="868"/>
        <v>Cash Payment</v>
      </c>
      <c r="P11129">
        <v>1055.3800000000001</v>
      </c>
      <c r="Q11129" s="37" t="str">
        <f>IF(P11129&gt;500,"High","low")</f>
        <v>High</v>
      </c>
      <c r="R11129" s="37" t="str">
        <f t="shared" si="869"/>
        <v>Excellent</v>
      </c>
      <c r="S11129" t="s">
        <v>609</v>
      </c>
    </row>
    <row r="11130" spans="1:19" x14ac:dyDescent="0.2">
      <c r="A11130" t="s">
        <v>11741</v>
      </c>
      <c r="B11130" t="s">
        <v>67</v>
      </c>
      <c r="C11130" t="s">
        <v>597</v>
      </c>
      <c r="D11130">
        <v>2982.71</v>
      </c>
      <c r="E11130" s="37" t="str">
        <f t="shared" si="865"/>
        <v xml:space="preserve"> </v>
      </c>
      <c r="F11130">
        <v>0.25</v>
      </c>
      <c r="G11130" s="37" t="str">
        <f t="shared" si="866"/>
        <v>Normal Discount</v>
      </c>
      <c r="H11130" s="37" t="str">
        <f t="shared" si="867"/>
        <v>Medium</v>
      </c>
      <c r="I11130">
        <v>1</v>
      </c>
      <c r="J11130" t="str" cm="1">
        <f t="array" ref="J11130">_xlfn.IFS(I11130&lt;=3,"small",I11130&lt;=6,"Medium",I11130&lt;=9,"Large")</f>
        <v>small</v>
      </c>
      <c r="K11130" s="36">
        <v>45630</v>
      </c>
      <c r="L11130" s="36">
        <v>45636</v>
      </c>
      <c r="M11130" t="s">
        <v>612</v>
      </c>
      <c r="N11130" t="s">
        <v>604</v>
      </c>
      <c r="O11130" s="37" t="str">
        <f t="shared" si="868"/>
        <v>Digital Payment</v>
      </c>
      <c r="P11130">
        <v>538.53</v>
      </c>
      <c r="Q11130" s="37" t="str">
        <f>IF(P11130&gt;500,"High","low")</f>
        <v>High</v>
      </c>
      <c r="R11130" s="37" t="str">
        <f t="shared" si="869"/>
        <v>Good</v>
      </c>
      <c r="S11130" t="s">
        <v>628</v>
      </c>
    </row>
    <row r="11131" spans="1:19" x14ac:dyDescent="0.2">
      <c r="A11131" t="s">
        <v>11742</v>
      </c>
      <c r="B11131" t="s">
        <v>90</v>
      </c>
      <c r="C11131" t="s">
        <v>597</v>
      </c>
      <c r="D11131">
        <v>597.62</v>
      </c>
      <c r="E11131" s="37" t="str">
        <f t="shared" si="865"/>
        <v xml:space="preserve"> </v>
      </c>
      <c r="F11131">
        <v>0.45</v>
      </c>
      <c r="G11131" s="37" t="str">
        <f t="shared" si="866"/>
        <v>Heavy Discount</v>
      </c>
      <c r="H11131" s="37" t="str">
        <f t="shared" si="867"/>
        <v>High</v>
      </c>
      <c r="I11131">
        <v>1</v>
      </c>
      <c r="J11131" t="str" cm="1">
        <f t="array" ref="J11131">_xlfn.IFS(I11131&lt;=3,"small",I11131&lt;=6,"Medium",I11131&lt;=9,"Large")</f>
        <v>small</v>
      </c>
      <c r="K11131" s="36">
        <v>45381</v>
      </c>
      <c r="L11131" s="36">
        <v>45383</v>
      </c>
      <c r="M11131" t="s">
        <v>612</v>
      </c>
      <c r="N11131" t="s">
        <v>608</v>
      </c>
      <c r="O11131" s="37" t="str">
        <f t="shared" si="868"/>
        <v>Cash Payment</v>
      </c>
      <c r="P11131">
        <v>167.68</v>
      </c>
      <c r="Q11131" s="37" t="str">
        <f>IF(P11131&gt;500,"High","low")</f>
        <v>low</v>
      </c>
      <c r="R11131" s="37" t="str">
        <f t="shared" si="869"/>
        <v>AVERAGE</v>
      </c>
      <c r="S11131" t="s">
        <v>605</v>
      </c>
    </row>
    <row r="11132" spans="1:19" x14ac:dyDescent="0.2">
      <c r="A11132" t="s">
        <v>11743</v>
      </c>
      <c r="B11132" t="s">
        <v>75</v>
      </c>
      <c r="C11132" t="s">
        <v>597</v>
      </c>
      <c r="D11132">
        <v>1687.17</v>
      </c>
      <c r="E11132" s="37" t="str">
        <f t="shared" si="865"/>
        <v xml:space="preserve"> </v>
      </c>
      <c r="F11132">
        <v>0.24</v>
      </c>
      <c r="G11132" s="37" t="str">
        <f t="shared" si="866"/>
        <v>Normal Discount</v>
      </c>
      <c r="H11132" s="37" t="str">
        <f t="shared" si="867"/>
        <v>Medium</v>
      </c>
      <c r="I11132">
        <v>6</v>
      </c>
      <c r="J11132" t="str" cm="1">
        <f t="array" ref="J11132">_xlfn.IFS(I11132&lt;=3,"small",I11132&lt;=6,"Medium",I11132&lt;=9,"Large")</f>
        <v>Medium</v>
      </c>
      <c r="K11132" s="36">
        <v>45537</v>
      </c>
      <c r="L11132" s="36">
        <v>45544</v>
      </c>
      <c r="M11132" t="s">
        <v>603</v>
      </c>
      <c r="N11132" t="s">
        <v>599</v>
      </c>
      <c r="O11132" s="37" t="str">
        <f t="shared" si="868"/>
        <v>Digital Payment</v>
      </c>
      <c r="P11132">
        <v>417.26</v>
      </c>
      <c r="Q11132" s="37" t="str">
        <f>IF(P11132&gt;500,"High","low")</f>
        <v>low</v>
      </c>
      <c r="R11132" s="37" t="str">
        <f t="shared" si="869"/>
        <v>AVERAGE</v>
      </c>
      <c r="S11132" t="s">
        <v>605</v>
      </c>
    </row>
    <row r="11133" spans="1:19" x14ac:dyDescent="0.2">
      <c r="A11133" t="s">
        <v>11744</v>
      </c>
      <c r="B11133" t="s">
        <v>83</v>
      </c>
      <c r="C11133" t="s">
        <v>602</v>
      </c>
      <c r="D11133">
        <v>3057.57</v>
      </c>
      <c r="E11133" s="37" t="str">
        <f t="shared" si="865"/>
        <v xml:space="preserve"> </v>
      </c>
      <c r="F11133">
        <v>0.33</v>
      </c>
      <c r="G11133" s="37" t="str">
        <f t="shared" si="866"/>
        <v>Heavy Discount</v>
      </c>
      <c r="H11133" s="37" t="str">
        <f t="shared" si="867"/>
        <v>Medium</v>
      </c>
      <c r="I11133">
        <v>4</v>
      </c>
      <c r="J11133" t="str" cm="1">
        <f t="array" ref="J11133">_xlfn.IFS(I11133&lt;=3,"small",I11133&lt;=6,"Medium",I11133&lt;=9,"Large")</f>
        <v>Medium</v>
      </c>
      <c r="K11133" s="36">
        <v>45558</v>
      </c>
      <c r="L11133" s="36">
        <v>45565</v>
      </c>
      <c r="M11133" t="s">
        <v>603</v>
      </c>
      <c r="N11133" t="s">
        <v>604</v>
      </c>
      <c r="O11133" s="37" t="str">
        <f t="shared" si="868"/>
        <v>Digital Payment</v>
      </c>
      <c r="P11133">
        <v>754.03</v>
      </c>
      <c r="Q11133" s="37" t="str">
        <f>IF(P11133&gt;500,"High","low")</f>
        <v>High</v>
      </c>
      <c r="R11133" s="37" t="str">
        <f t="shared" si="869"/>
        <v>Good</v>
      </c>
      <c r="S11133" t="s">
        <v>615</v>
      </c>
    </row>
    <row r="11134" spans="1:19" x14ac:dyDescent="0.2">
      <c r="A11134" t="s">
        <v>11745</v>
      </c>
      <c r="B11134" t="s">
        <v>83</v>
      </c>
      <c r="C11134" t="s">
        <v>602</v>
      </c>
      <c r="D11134">
        <v>165.93</v>
      </c>
      <c r="E11134" s="37" t="str">
        <f t="shared" si="865"/>
        <v xml:space="preserve"> </v>
      </c>
      <c r="F11134">
        <v>0.11</v>
      </c>
      <c r="G11134" s="37" t="str">
        <f t="shared" si="866"/>
        <v>Normal Discount</v>
      </c>
      <c r="H11134" s="37" t="str">
        <f t="shared" si="867"/>
        <v>Low</v>
      </c>
      <c r="I11134">
        <v>4</v>
      </c>
      <c r="J11134" t="str" cm="1">
        <f t="array" ref="J11134">_xlfn.IFS(I11134&lt;=3,"small",I11134&lt;=6,"Medium",I11134&lt;=9,"Large")</f>
        <v>Medium</v>
      </c>
      <c r="K11134" s="36">
        <v>45042</v>
      </c>
      <c r="L11134" s="36">
        <v>45048</v>
      </c>
      <c r="M11134" t="s">
        <v>603</v>
      </c>
      <c r="N11134" t="s">
        <v>604</v>
      </c>
      <c r="O11134" s="37" t="str">
        <f t="shared" si="868"/>
        <v>Digital Payment</v>
      </c>
      <c r="P11134">
        <v>9.02</v>
      </c>
      <c r="Q11134" s="37" t="str">
        <f>IF(P11134&gt;500,"High","low")</f>
        <v>low</v>
      </c>
      <c r="R11134" s="37" t="str">
        <f t="shared" si="869"/>
        <v>AVERAGE</v>
      </c>
      <c r="S11134" t="s">
        <v>620</v>
      </c>
    </row>
    <row r="11135" spans="1:19" x14ac:dyDescent="0.2">
      <c r="A11135" t="s">
        <v>11746</v>
      </c>
      <c r="B11135" t="s">
        <v>90</v>
      </c>
      <c r="C11135" t="s">
        <v>602</v>
      </c>
      <c r="D11135">
        <v>308.89</v>
      </c>
      <c r="E11135" s="37" t="str">
        <f t="shared" si="865"/>
        <v xml:space="preserve"> </v>
      </c>
      <c r="F11135">
        <v>0.04</v>
      </c>
      <c r="G11135" s="37" t="str">
        <f t="shared" si="866"/>
        <v>Normal Discount</v>
      </c>
      <c r="H11135" s="37" t="str">
        <f t="shared" si="867"/>
        <v>Low</v>
      </c>
      <c r="I11135">
        <v>4</v>
      </c>
      <c r="J11135" t="str" cm="1">
        <f t="array" ref="J11135">_xlfn.IFS(I11135&lt;=3,"small",I11135&lt;=6,"Medium",I11135&lt;=9,"Large")</f>
        <v>Medium</v>
      </c>
      <c r="K11135" s="36">
        <v>45330</v>
      </c>
      <c r="L11135" s="36">
        <v>45333</v>
      </c>
      <c r="M11135" t="s">
        <v>612</v>
      </c>
      <c r="N11135" t="s">
        <v>608</v>
      </c>
      <c r="O11135" s="37" t="str">
        <f t="shared" si="868"/>
        <v>Cash Payment</v>
      </c>
      <c r="P11135">
        <v>19.22</v>
      </c>
      <c r="Q11135" s="37" t="str">
        <f>IF(P11135&gt;500,"High","low")</f>
        <v>low</v>
      </c>
      <c r="R11135" s="37" t="str">
        <f t="shared" si="869"/>
        <v>AVERAGE</v>
      </c>
      <c r="S11135" t="s">
        <v>615</v>
      </c>
    </row>
    <row r="11136" spans="1:19" x14ac:dyDescent="0.2">
      <c r="A11136" t="s">
        <v>11747</v>
      </c>
      <c r="B11136" t="s">
        <v>90</v>
      </c>
      <c r="C11136" t="s">
        <v>597</v>
      </c>
      <c r="D11136">
        <v>3420.55</v>
      </c>
      <c r="E11136" s="37" t="str">
        <f t="shared" si="865"/>
        <v xml:space="preserve"> </v>
      </c>
      <c r="F11136">
        <v>0.18</v>
      </c>
      <c r="G11136" s="37" t="str">
        <f t="shared" si="866"/>
        <v>Normal Discount</v>
      </c>
      <c r="H11136" s="37" t="str">
        <f t="shared" si="867"/>
        <v>Low</v>
      </c>
      <c r="I11136">
        <v>8</v>
      </c>
      <c r="J11136" t="str" cm="1">
        <f t="array" ref="J11136">_xlfn.IFS(I11136&lt;=3,"small",I11136&lt;=6,"Medium",I11136&lt;=9,"Large")</f>
        <v>Large</v>
      </c>
      <c r="K11136" s="36">
        <v>45403</v>
      </c>
      <c r="L11136" s="36">
        <v>45409</v>
      </c>
      <c r="M11136" t="s">
        <v>612</v>
      </c>
      <c r="N11136" t="s">
        <v>604</v>
      </c>
      <c r="O11136" s="37" t="str">
        <f t="shared" si="868"/>
        <v>Digital Payment</v>
      </c>
      <c r="P11136">
        <v>825.5</v>
      </c>
      <c r="Q11136" s="37" t="str">
        <f>IF(P11136&gt;500,"High","low")</f>
        <v>High</v>
      </c>
      <c r="R11136" s="37" t="str">
        <f t="shared" si="869"/>
        <v>Good</v>
      </c>
      <c r="S11136" t="s">
        <v>628</v>
      </c>
    </row>
    <row r="11137" spans="1:19" x14ac:dyDescent="0.2">
      <c r="A11137" t="s">
        <v>11748</v>
      </c>
      <c r="B11137" t="s">
        <v>75</v>
      </c>
      <c r="C11137" t="s">
        <v>597</v>
      </c>
      <c r="D11137">
        <v>4452.1899999999996</v>
      </c>
      <c r="E11137" s="37" t="str">
        <f t="shared" si="865"/>
        <v xml:space="preserve"> </v>
      </c>
      <c r="F11137">
        <v>0.4</v>
      </c>
      <c r="G11137" s="37" t="str">
        <f t="shared" si="866"/>
        <v>Heavy Discount</v>
      </c>
      <c r="H11137" s="37" t="str">
        <f t="shared" si="867"/>
        <v>Medium</v>
      </c>
      <c r="I11137">
        <v>7</v>
      </c>
      <c r="J11137" t="str" cm="1">
        <f t="array" ref="J11137">_xlfn.IFS(I11137&lt;=3,"small",I11137&lt;=6,"Medium",I11137&lt;=9,"Large")</f>
        <v>Large</v>
      </c>
      <c r="K11137" s="36">
        <v>45189</v>
      </c>
      <c r="L11137" s="36">
        <v>45190</v>
      </c>
      <c r="M11137" t="s">
        <v>598</v>
      </c>
      <c r="N11137" t="s">
        <v>599</v>
      </c>
      <c r="O11137" s="37" t="str">
        <f t="shared" si="868"/>
        <v>Digital Payment</v>
      </c>
      <c r="P11137">
        <v>560.4</v>
      </c>
      <c r="Q11137" s="37" t="str">
        <f>IF(P11137&gt;500,"High","low")</f>
        <v>High</v>
      </c>
      <c r="R11137" s="37" t="str">
        <f t="shared" si="869"/>
        <v>Good</v>
      </c>
      <c r="S11137" t="s">
        <v>600</v>
      </c>
    </row>
    <row r="11138" spans="1:19" x14ac:dyDescent="0.2">
      <c r="A11138" t="s">
        <v>11749</v>
      </c>
      <c r="B11138" t="s">
        <v>75</v>
      </c>
      <c r="C11138" t="s">
        <v>602</v>
      </c>
      <c r="D11138">
        <v>4290.3</v>
      </c>
      <c r="E11138" s="37" t="str">
        <f t="shared" si="865"/>
        <v xml:space="preserve"> </v>
      </c>
      <c r="F11138">
        <v>0.22</v>
      </c>
      <c r="G11138" s="37" t="str">
        <f t="shared" si="866"/>
        <v>Normal Discount</v>
      </c>
      <c r="H11138" s="37" t="str">
        <f t="shared" si="867"/>
        <v>Medium</v>
      </c>
      <c r="I11138">
        <v>5</v>
      </c>
      <c r="J11138" t="str" cm="1">
        <f t="array" ref="J11138">_xlfn.IFS(I11138&lt;=3,"small",I11138&lt;=6,"Medium",I11138&lt;=9,"Large")</f>
        <v>Medium</v>
      </c>
      <c r="K11138" s="36">
        <v>45309</v>
      </c>
      <c r="L11138" s="36">
        <v>45314</v>
      </c>
      <c r="M11138" t="s">
        <v>612</v>
      </c>
      <c r="N11138" t="s">
        <v>604</v>
      </c>
      <c r="O11138" s="37" t="str">
        <f t="shared" si="868"/>
        <v>Digital Payment</v>
      </c>
      <c r="P11138">
        <v>517.52</v>
      </c>
      <c r="Q11138" s="37" t="str">
        <f>IF(P11138&gt;500,"High","low")</f>
        <v>High</v>
      </c>
      <c r="R11138" s="37" t="str">
        <f t="shared" si="869"/>
        <v>Good</v>
      </c>
      <c r="S11138" t="s">
        <v>605</v>
      </c>
    </row>
    <row r="11139" spans="1:19" x14ac:dyDescent="0.2">
      <c r="A11139" t="s">
        <v>11750</v>
      </c>
      <c r="B11139" t="s">
        <v>90</v>
      </c>
      <c r="C11139" t="s">
        <v>597</v>
      </c>
      <c r="D11139">
        <v>923.91</v>
      </c>
      <c r="E11139" s="37" t="str">
        <f t="shared" ref="E11139:E11202" si="870">IF(AND(D11139&gt;4000,P11139&gt;800),"Excellent Order"," ")</f>
        <v xml:space="preserve"> </v>
      </c>
      <c r="F11139">
        <v>0.08</v>
      </c>
      <c r="G11139" s="37" t="str">
        <f t="shared" ref="G11139:G11202" si="871">IF(F11139&gt;30%,"Heavy Discount","Normal Discount")</f>
        <v>Normal Discount</v>
      </c>
      <c r="H11139" s="37" t="str">
        <f t="shared" ref="H11139:H11202" si="872">IF(F11139&gt;0.4,"High",IF(F11139&gt;=0.2,"Medium","Low"))</f>
        <v>Low</v>
      </c>
      <c r="I11139">
        <v>7</v>
      </c>
      <c r="J11139" t="str" cm="1">
        <f t="array" ref="J11139">_xlfn.IFS(I11139&lt;=3,"small",I11139&lt;=6,"Medium",I11139&lt;=9,"Large")</f>
        <v>Large</v>
      </c>
      <c r="K11139" s="36">
        <v>45088</v>
      </c>
      <c r="L11139" s="36">
        <v>45092</v>
      </c>
      <c r="M11139" t="s">
        <v>612</v>
      </c>
      <c r="N11139" t="s">
        <v>608</v>
      </c>
      <c r="O11139" s="37" t="str">
        <f t="shared" ref="O11139:O11202" si="873">IF(OR(N11139="Card",N11139="UPI"),"Digital Payment","Cash Payment")</f>
        <v>Cash Payment</v>
      </c>
      <c r="P11139">
        <v>114.52</v>
      </c>
      <c r="Q11139" s="37" t="str">
        <f>IF(P11139&gt;500,"High","low")</f>
        <v>low</v>
      </c>
      <c r="R11139" s="37" t="str">
        <f t="shared" ref="R11139:R11202" si="874">IF(P11139&gt;1000,"Excellent",IF(P11139&gt;=500,"Good","AVERAGE"))</f>
        <v>AVERAGE</v>
      </c>
      <c r="S11139" t="s">
        <v>600</v>
      </c>
    </row>
    <row r="11140" spans="1:19" x14ac:dyDescent="0.2">
      <c r="A11140" t="s">
        <v>11751</v>
      </c>
      <c r="B11140" t="s">
        <v>90</v>
      </c>
      <c r="C11140" t="s">
        <v>602</v>
      </c>
      <c r="D11140">
        <v>4565.04</v>
      </c>
      <c r="E11140" s="37" t="str">
        <f t="shared" si="870"/>
        <v>Excellent Order</v>
      </c>
      <c r="F11140">
        <v>0.27</v>
      </c>
      <c r="G11140" s="37" t="str">
        <f t="shared" si="871"/>
        <v>Normal Discount</v>
      </c>
      <c r="H11140" s="37" t="str">
        <f t="shared" si="872"/>
        <v>Medium</v>
      </c>
      <c r="I11140">
        <v>8</v>
      </c>
      <c r="J11140" t="str" cm="1">
        <f t="array" ref="J11140">_xlfn.IFS(I11140&lt;=3,"small",I11140&lt;=6,"Medium",I11140&lt;=9,"Large")</f>
        <v>Large</v>
      </c>
      <c r="K11140" s="36">
        <v>45443</v>
      </c>
      <c r="L11140" s="36">
        <v>45449</v>
      </c>
      <c r="M11140" t="s">
        <v>603</v>
      </c>
      <c r="N11140" t="s">
        <v>608</v>
      </c>
      <c r="O11140" s="37" t="str">
        <f t="shared" si="873"/>
        <v>Cash Payment</v>
      </c>
      <c r="P11140">
        <v>1086.44</v>
      </c>
      <c r="Q11140" s="37" t="str">
        <f>IF(P11140&gt;500,"High","low")</f>
        <v>High</v>
      </c>
      <c r="R11140" s="37" t="str">
        <f t="shared" si="874"/>
        <v>Excellent</v>
      </c>
      <c r="S11140" t="s">
        <v>615</v>
      </c>
    </row>
    <row r="11141" spans="1:19" x14ac:dyDescent="0.2">
      <c r="A11141" t="s">
        <v>11752</v>
      </c>
      <c r="B11141" t="s">
        <v>83</v>
      </c>
      <c r="C11141" t="s">
        <v>602</v>
      </c>
      <c r="D11141">
        <v>3511.88</v>
      </c>
      <c r="E11141" s="37" t="str">
        <f t="shared" si="870"/>
        <v xml:space="preserve"> </v>
      </c>
      <c r="F11141">
        <v>0.13</v>
      </c>
      <c r="G11141" s="37" t="str">
        <f t="shared" si="871"/>
        <v>Normal Discount</v>
      </c>
      <c r="H11141" s="37" t="str">
        <f t="shared" si="872"/>
        <v>Low</v>
      </c>
      <c r="I11141">
        <v>8</v>
      </c>
      <c r="J11141" t="str" cm="1">
        <f t="array" ref="J11141">_xlfn.IFS(I11141&lt;=3,"small",I11141&lt;=6,"Medium",I11141&lt;=9,"Large")</f>
        <v>Large</v>
      </c>
      <c r="K11141" s="36">
        <v>45131</v>
      </c>
      <c r="L11141" s="36">
        <v>45133</v>
      </c>
      <c r="M11141" t="s">
        <v>603</v>
      </c>
      <c r="N11141" t="s">
        <v>608</v>
      </c>
      <c r="O11141" s="37" t="str">
        <f t="shared" si="873"/>
        <v>Cash Payment</v>
      </c>
      <c r="P11141">
        <v>770.62</v>
      </c>
      <c r="Q11141" s="37" t="str">
        <f>IF(P11141&gt;500,"High","low")</f>
        <v>High</v>
      </c>
      <c r="R11141" s="37" t="str">
        <f t="shared" si="874"/>
        <v>Good</v>
      </c>
      <c r="S11141" t="s">
        <v>620</v>
      </c>
    </row>
    <row r="11142" spans="1:19" x14ac:dyDescent="0.2">
      <c r="A11142" t="s">
        <v>11753</v>
      </c>
      <c r="B11142" t="s">
        <v>83</v>
      </c>
      <c r="C11142" t="s">
        <v>602</v>
      </c>
      <c r="D11142">
        <v>3610</v>
      </c>
      <c r="E11142" s="37" t="str">
        <f t="shared" si="870"/>
        <v xml:space="preserve"> </v>
      </c>
      <c r="F11142">
        <v>0.47</v>
      </c>
      <c r="G11142" s="37" t="str">
        <f t="shared" si="871"/>
        <v>Heavy Discount</v>
      </c>
      <c r="H11142" s="37" t="str">
        <f t="shared" si="872"/>
        <v>High</v>
      </c>
      <c r="I11142">
        <v>7</v>
      </c>
      <c r="J11142" t="str" cm="1">
        <f t="array" ref="J11142">_xlfn.IFS(I11142&lt;=3,"small",I11142&lt;=6,"Medium",I11142&lt;=9,"Large")</f>
        <v>Large</v>
      </c>
      <c r="K11142" s="36">
        <v>45316</v>
      </c>
      <c r="L11142" s="36">
        <v>45318</v>
      </c>
      <c r="M11142" t="s">
        <v>612</v>
      </c>
      <c r="N11142" t="s">
        <v>608</v>
      </c>
      <c r="O11142" s="37" t="str">
        <f t="shared" si="873"/>
        <v>Cash Payment</v>
      </c>
      <c r="P11142">
        <v>225.25</v>
      </c>
      <c r="Q11142" s="37" t="str">
        <f>IF(P11142&gt;500,"High","low")</f>
        <v>low</v>
      </c>
      <c r="R11142" s="37" t="str">
        <f t="shared" si="874"/>
        <v>AVERAGE</v>
      </c>
      <c r="S11142" t="s">
        <v>605</v>
      </c>
    </row>
    <row r="11143" spans="1:19" x14ac:dyDescent="0.2">
      <c r="A11143" t="s">
        <v>11754</v>
      </c>
      <c r="B11143" t="s">
        <v>83</v>
      </c>
      <c r="C11143" t="s">
        <v>607</v>
      </c>
      <c r="D11143">
        <v>1589.8</v>
      </c>
      <c r="E11143" s="37" t="str">
        <f t="shared" si="870"/>
        <v xml:space="preserve"> </v>
      </c>
      <c r="F11143">
        <v>0.28999999999999998</v>
      </c>
      <c r="G11143" s="37" t="str">
        <f t="shared" si="871"/>
        <v>Normal Discount</v>
      </c>
      <c r="H11143" s="37" t="str">
        <f t="shared" si="872"/>
        <v>Medium</v>
      </c>
      <c r="I11143">
        <v>7</v>
      </c>
      <c r="J11143" t="str" cm="1">
        <f t="array" ref="J11143">_xlfn.IFS(I11143&lt;=3,"small",I11143&lt;=6,"Medium",I11143&lt;=9,"Large")</f>
        <v>Large</v>
      </c>
      <c r="K11143" s="36">
        <v>45406</v>
      </c>
      <c r="L11143" s="36">
        <v>45410</v>
      </c>
      <c r="M11143" t="s">
        <v>612</v>
      </c>
      <c r="N11143" t="s">
        <v>599</v>
      </c>
      <c r="O11143" s="37" t="str">
        <f t="shared" si="873"/>
        <v>Digital Payment</v>
      </c>
      <c r="P11143">
        <v>394.01</v>
      </c>
      <c r="Q11143" s="37" t="str">
        <f>IF(P11143&gt;500,"High","low")</f>
        <v>low</v>
      </c>
      <c r="R11143" s="37" t="str">
        <f t="shared" si="874"/>
        <v>AVERAGE</v>
      </c>
      <c r="S11143" t="s">
        <v>600</v>
      </c>
    </row>
    <row r="11144" spans="1:19" x14ac:dyDescent="0.2">
      <c r="A11144" t="s">
        <v>11755</v>
      </c>
      <c r="B11144" t="s">
        <v>90</v>
      </c>
      <c r="C11144" t="s">
        <v>597</v>
      </c>
      <c r="D11144">
        <v>3608.38</v>
      </c>
      <c r="E11144" s="37" t="str">
        <f t="shared" si="870"/>
        <v xml:space="preserve"> </v>
      </c>
      <c r="F11144">
        <v>0.49</v>
      </c>
      <c r="G11144" s="37" t="str">
        <f t="shared" si="871"/>
        <v>Heavy Discount</v>
      </c>
      <c r="H11144" s="37" t="str">
        <f t="shared" si="872"/>
        <v>High</v>
      </c>
      <c r="I11144">
        <v>9</v>
      </c>
      <c r="J11144" t="str" cm="1">
        <f t="array" ref="J11144">_xlfn.IFS(I11144&lt;=3,"small",I11144&lt;=6,"Medium",I11144&lt;=9,"Large")</f>
        <v>Large</v>
      </c>
      <c r="K11144" s="36">
        <v>45215</v>
      </c>
      <c r="L11144" s="36">
        <v>45222</v>
      </c>
      <c r="M11144" t="s">
        <v>603</v>
      </c>
      <c r="N11144" t="s">
        <v>608</v>
      </c>
      <c r="O11144" s="37" t="str">
        <f t="shared" si="873"/>
        <v>Cash Payment</v>
      </c>
      <c r="P11144">
        <v>575.28</v>
      </c>
      <c r="Q11144" s="37" t="str">
        <f>IF(P11144&gt;500,"High","low")</f>
        <v>High</v>
      </c>
      <c r="R11144" s="37" t="str">
        <f t="shared" si="874"/>
        <v>Good</v>
      </c>
      <c r="S11144" t="s">
        <v>628</v>
      </c>
    </row>
    <row r="11145" spans="1:19" x14ac:dyDescent="0.2">
      <c r="A11145" t="s">
        <v>11756</v>
      </c>
      <c r="B11145" t="s">
        <v>67</v>
      </c>
      <c r="C11145" t="s">
        <v>614</v>
      </c>
      <c r="D11145">
        <v>3577.88</v>
      </c>
      <c r="E11145" s="37" t="str">
        <f t="shared" si="870"/>
        <v xml:space="preserve"> </v>
      </c>
      <c r="F11145">
        <v>0.02</v>
      </c>
      <c r="G11145" s="37" t="str">
        <f t="shared" si="871"/>
        <v>Normal Discount</v>
      </c>
      <c r="H11145" s="37" t="str">
        <f t="shared" si="872"/>
        <v>Low</v>
      </c>
      <c r="I11145">
        <v>5</v>
      </c>
      <c r="J11145" t="str" cm="1">
        <f t="array" ref="J11145">_xlfn.IFS(I11145&lt;=3,"small",I11145&lt;=6,"Medium",I11145&lt;=9,"Large")</f>
        <v>Medium</v>
      </c>
      <c r="K11145" s="36">
        <v>45609</v>
      </c>
      <c r="L11145" s="36">
        <v>45616</v>
      </c>
      <c r="M11145" t="s">
        <v>603</v>
      </c>
      <c r="N11145" t="s">
        <v>599</v>
      </c>
      <c r="O11145" s="37" t="str">
        <f t="shared" si="873"/>
        <v>Digital Payment</v>
      </c>
      <c r="P11145">
        <v>841.15</v>
      </c>
      <c r="Q11145" s="37" t="str">
        <f>IF(P11145&gt;500,"High","low")</f>
        <v>High</v>
      </c>
      <c r="R11145" s="37" t="str">
        <f t="shared" si="874"/>
        <v>Good</v>
      </c>
      <c r="S11145" t="s">
        <v>620</v>
      </c>
    </row>
    <row r="11146" spans="1:19" x14ac:dyDescent="0.2">
      <c r="A11146" t="s">
        <v>11757</v>
      </c>
      <c r="B11146" t="s">
        <v>90</v>
      </c>
      <c r="C11146" t="s">
        <v>602</v>
      </c>
      <c r="D11146">
        <v>3013.86</v>
      </c>
      <c r="E11146" s="37" t="str">
        <f t="shared" si="870"/>
        <v xml:space="preserve"> </v>
      </c>
      <c r="F11146">
        <v>0.01</v>
      </c>
      <c r="G11146" s="37" t="str">
        <f t="shared" si="871"/>
        <v>Normal Discount</v>
      </c>
      <c r="H11146" s="37" t="str">
        <f t="shared" si="872"/>
        <v>Low</v>
      </c>
      <c r="I11146">
        <v>8</v>
      </c>
      <c r="J11146" t="str" cm="1">
        <f t="array" ref="J11146">_xlfn.IFS(I11146&lt;=3,"small",I11146&lt;=6,"Medium",I11146&lt;=9,"Large")</f>
        <v>Large</v>
      </c>
      <c r="K11146" s="36">
        <v>45137</v>
      </c>
      <c r="L11146" s="36">
        <v>45141</v>
      </c>
      <c r="M11146" t="s">
        <v>598</v>
      </c>
      <c r="N11146" t="s">
        <v>604</v>
      </c>
      <c r="O11146" s="37" t="str">
        <f t="shared" si="873"/>
        <v>Digital Payment</v>
      </c>
      <c r="P11146">
        <v>863.91</v>
      </c>
      <c r="Q11146" s="37" t="str">
        <f>IF(P11146&gt;500,"High","low")</f>
        <v>High</v>
      </c>
      <c r="R11146" s="37" t="str">
        <f t="shared" si="874"/>
        <v>Good</v>
      </c>
      <c r="S11146" t="s">
        <v>605</v>
      </c>
    </row>
    <row r="11147" spans="1:19" x14ac:dyDescent="0.2">
      <c r="A11147" t="s">
        <v>11758</v>
      </c>
      <c r="B11147" t="s">
        <v>90</v>
      </c>
      <c r="C11147" t="s">
        <v>614</v>
      </c>
      <c r="D11147">
        <v>1850.71</v>
      </c>
      <c r="E11147" s="37" t="str">
        <f t="shared" si="870"/>
        <v xml:space="preserve"> </v>
      </c>
      <c r="F11147">
        <v>0.24</v>
      </c>
      <c r="G11147" s="37" t="str">
        <f t="shared" si="871"/>
        <v>Normal Discount</v>
      </c>
      <c r="H11147" s="37" t="str">
        <f t="shared" si="872"/>
        <v>Medium</v>
      </c>
      <c r="I11147">
        <v>2</v>
      </c>
      <c r="J11147" t="str" cm="1">
        <f t="array" ref="J11147">_xlfn.IFS(I11147&lt;=3,"small",I11147&lt;=6,"Medium",I11147&lt;=9,"Large")</f>
        <v>small</v>
      </c>
      <c r="K11147" s="36">
        <v>45115</v>
      </c>
      <c r="L11147" s="36">
        <v>45116</v>
      </c>
      <c r="M11147" t="s">
        <v>603</v>
      </c>
      <c r="N11147" t="s">
        <v>608</v>
      </c>
      <c r="O11147" s="37" t="str">
        <f t="shared" si="873"/>
        <v>Cash Payment</v>
      </c>
      <c r="P11147">
        <v>387.05</v>
      </c>
      <c r="Q11147" s="37" t="str">
        <f>IF(P11147&gt;500,"High","low")</f>
        <v>low</v>
      </c>
      <c r="R11147" s="37" t="str">
        <f t="shared" si="874"/>
        <v>AVERAGE</v>
      </c>
      <c r="S11147" t="s">
        <v>620</v>
      </c>
    </row>
    <row r="11148" spans="1:19" x14ac:dyDescent="0.2">
      <c r="A11148" t="s">
        <v>11759</v>
      </c>
      <c r="B11148" t="s">
        <v>83</v>
      </c>
      <c r="C11148" t="s">
        <v>607</v>
      </c>
      <c r="D11148">
        <v>4073.97</v>
      </c>
      <c r="E11148" s="37" t="str">
        <f t="shared" si="870"/>
        <v>Excellent Order</v>
      </c>
      <c r="F11148">
        <v>0.43</v>
      </c>
      <c r="G11148" s="37" t="str">
        <f t="shared" si="871"/>
        <v>Heavy Discount</v>
      </c>
      <c r="H11148" s="37" t="str">
        <f t="shared" si="872"/>
        <v>High</v>
      </c>
      <c r="I11148">
        <v>8</v>
      </c>
      <c r="J11148" t="str" cm="1">
        <f t="array" ref="J11148">_xlfn.IFS(I11148&lt;=3,"small",I11148&lt;=6,"Medium",I11148&lt;=9,"Large")</f>
        <v>Large</v>
      </c>
      <c r="K11148" s="36">
        <v>45072</v>
      </c>
      <c r="L11148" s="36">
        <v>45074</v>
      </c>
      <c r="M11148" t="s">
        <v>598</v>
      </c>
      <c r="N11148" t="s">
        <v>604</v>
      </c>
      <c r="O11148" s="37" t="str">
        <f t="shared" si="873"/>
        <v>Digital Payment</v>
      </c>
      <c r="P11148">
        <v>898.76</v>
      </c>
      <c r="Q11148" s="37" t="str">
        <f>IF(P11148&gt;500,"High","low")</f>
        <v>High</v>
      </c>
      <c r="R11148" s="37" t="str">
        <f t="shared" si="874"/>
        <v>Good</v>
      </c>
      <c r="S11148" t="s">
        <v>628</v>
      </c>
    </row>
    <row r="11149" spans="1:19" x14ac:dyDescent="0.2">
      <c r="A11149" t="s">
        <v>11760</v>
      </c>
      <c r="B11149" t="s">
        <v>90</v>
      </c>
      <c r="C11149" t="s">
        <v>597</v>
      </c>
      <c r="D11149">
        <v>4693.84</v>
      </c>
      <c r="E11149" s="37" t="str">
        <f t="shared" si="870"/>
        <v xml:space="preserve"> </v>
      </c>
      <c r="F11149">
        <v>0.26</v>
      </c>
      <c r="G11149" s="37" t="str">
        <f t="shared" si="871"/>
        <v>Normal Discount</v>
      </c>
      <c r="H11149" s="37" t="str">
        <f t="shared" si="872"/>
        <v>Medium</v>
      </c>
      <c r="I11149">
        <v>1</v>
      </c>
      <c r="J11149" t="str" cm="1">
        <f t="array" ref="J11149">_xlfn.IFS(I11149&lt;=3,"small",I11149&lt;=6,"Medium",I11149&lt;=9,"Large")</f>
        <v>small</v>
      </c>
      <c r="K11149" s="36">
        <v>45068</v>
      </c>
      <c r="L11149" s="36">
        <v>45074</v>
      </c>
      <c r="M11149" t="s">
        <v>612</v>
      </c>
      <c r="N11149" t="s">
        <v>599</v>
      </c>
      <c r="O11149" s="37" t="str">
        <f t="shared" si="873"/>
        <v>Digital Payment</v>
      </c>
      <c r="P11149">
        <v>633.19000000000005</v>
      </c>
      <c r="Q11149" s="37" t="str">
        <f>IF(P11149&gt;500,"High","low")</f>
        <v>High</v>
      </c>
      <c r="R11149" s="37" t="str">
        <f t="shared" si="874"/>
        <v>Good</v>
      </c>
      <c r="S11149" t="s">
        <v>609</v>
      </c>
    </row>
    <row r="11150" spans="1:19" x14ac:dyDescent="0.2">
      <c r="A11150" t="s">
        <v>11761</v>
      </c>
      <c r="B11150" t="s">
        <v>75</v>
      </c>
      <c r="C11150" t="s">
        <v>602</v>
      </c>
      <c r="D11150">
        <v>4362.45</v>
      </c>
      <c r="E11150" s="37" t="str">
        <f t="shared" si="870"/>
        <v>Excellent Order</v>
      </c>
      <c r="F11150">
        <v>0.44</v>
      </c>
      <c r="G11150" s="37" t="str">
        <f t="shared" si="871"/>
        <v>Heavy Discount</v>
      </c>
      <c r="H11150" s="37" t="str">
        <f t="shared" si="872"/>
        <v>High</v>
      </c>
      <c r="I11150">
        <v>9</v>
      </c>
      <c r="J11150" t="str" cm="1">
        <f t="array" ref="J11150">_xlfn.IFS(I11150&lt;=3,"small",I11150&lt;=6,"Medium",I11150&lt;=9,"Large")</f>
        <v>Large</v>
      </c>
      <c r="K11150" s="36">
        <v>45085</v>
      </c>
      <c r="L11150" s="36">
        <v>45089</v>
      </c>
      <c r="M11150" t="s">
        <v>598</v>
      </c>
      <c r="N11150" t="s">
        <v>608</v>
      </c>
      <c r="O11150" s="37" t="str">
        <f t="shared" si="873"/>
        <v>Cash Payment</v>
      </c>
      <c r="P11150">
        <v>896.54</v>
      </c>
      <c r="Q11150" s="37" t="str">
        <f>IF(P11150&gt;500,"High","low")</f>
        <v>High</v>
      </c>
      <c r="R11150" s="37" t="str">
        <f t="shared" si="874"/>
        <v>Good</v>
      </c>
      <c r="S11150" t="s">
        <v>605</v>
      </c>
    </row>
    <row r="11151" spans="1:19" x14ac:dyDescent="0.2">
      <c r="A11151" t="s">
        <v>11762</v>
      </c>
      <c r="B11151" t="s">
        <v>90</v>
      </c>
      <c r="C11151" t="s">
        <v>602</v>
      </c>
      <c r="D11151">
        <v>1290.5999999999999</v>
      </c>
      <c r="E11151" s="37" t="str">
        <f t="shared" si="870"/>
        <v xml:space="preserve"> </v>
      </c>
      <c r="F11151">
        <v>7.0000000000000007E-2</v>
      </c>
      <c r="G11151" s="37" t="str">
        <f t="shared" si="871"/>
        <v>Normal Discount</v>
      </c>
      <c r="H11151" s="37" t="str">
        <f t="shared" si="872"/>
        <v>Low</v>
      </c>
      <c r="I11151">
        <v>1</v>
      </c>
      <c r="J11151" t="str" cm="1">
        <f t="array" ref="J11151">_xlfn.IFS(I11151&lt;=3,"small",I11151&lt;=6,"Medium",I11151&lt;=9,"Large")</f>
        <v>small</v>
      </c>
      <c r="K11151" s="36">
        <v>45007</v>
      </c>
      <c r="L11151" s="36">
        <v>45013</v>
      </c>
      <c r="M11151" t="s">
        <v>598</v>
      </c>
      <c r="N11151" t="s">
        <v>608</v>
      </c>
      <c r="O11151" s="37" t="str">
        <f t="shared" si="873"/>
        <v>Cash Payment</v>
      </c>
      <c r="P11151">
        <v>295.76</v>
      </c>
      <c r="Q11151" s="37" t="str">
        <f>IF(P11151&gt;500,"High","low")</f>
        <v>low</v>
      </c>
      <c r="R11151" s="37" t="str">
        <f t="shared" si="874"/>
        <v>AVERAGE</v>
      </c>
      <c r="S11151" t="s">
        <v>620</v>
      </c>
    </row>
    <row r="11152" spans="1:19" x14ac:dyDescent="0.2">
      <c r="A11152" t="s">
        <v>11763</v>
      </c>
      <c r="B11152" t="s">
        <v>90</v>
      </c>
      <c r="C11152" t="s">
        <v>602</v>
      </c>
      <c r="D11152">
        <v>2283.8000000000002</v>
      </c>
      <c r="E11152" s="37" t="str">
        <f t="shared" si="870"/>
        <v xml:space="preserve"> </v>
      </c>
      <c r="F11152">
        <v>0.35</v>
      </c>
      <c r="G11152" s="37" t="str">
        <f t="shared" si="871"/>
        <v>Heavy Discount</v>
      </c>
      <c r="H11152" s="37" t="str">
        <f t="shared" si="872"/>
        <v>Medium</v>
      </c>
      <c r="I11152">
        <v>8</v>
      </c>
      <c r="J11152" t="str" cm="1">
        <f t="array" ref="J11152">_xlfn.IFS(I11152&lt;=3,"small",I11152&lt;=6,"Medium",I11152&lt;=9,"Large")</f>
        <v>Large</v>
      </c>
      <c r="K11152" s="36">
        <v>45061</v>
      </c>
      <c r="L11152" s="36">
        <v>45064</v>
      </c>
      <c r="M11152" t="s">
        <v>603</v>
      </c>
      <c r="N11152" t="s">
        <v>608</v>
      </c>
      <c r="O11152" s="37" t="str">
        <f t="shared" si="873"/>
        <v>Cash Payment</v>
      </c>
      <c r="P11152">
        <v>263.12</v>
      </c>
      <c r="Q11152" s="37" t="str">
        <f>IF(P11152&gt;500,"High","low")</f>
        <v>low</v>
      </c>
      <c r="R11152" s="37" t="str">
        <f t="shared" si="874"/>
        <v>AVERAGE</v>
      </c>
      <c r="S11152" t="s">
        <v>600</v>
      </c>
    </row>
    <row r="11153" spans="1:19" x14ac:dyDescent="0.2">
      <c r="A11153" t="s">
        <v>11764</v>
      </c>
      <c r="B11153" t="s">
        <v>90</v>
      </c>
      <c r="C11153" t="s">
        <v>614</v>
      </c>
      <c r="D11153">
        <v>1777.83</v>
      </c>
      <c r="E11153" s="37" t="str">
        <f t="shared" si="870"/>
        <v xml:space="preserve"> </v>
      </c>
      <c r="F11153">
        <v>0.33</v>
      </c>
      <c r="G11153" s="37" t="str">
        <f t="shared" si="871"/>
        <v>Heavy Discount</v>
      </c>
      <c r="H11153" s="37" t="str">
        <f t="shared" si="872"/>
        <v>Medium</v>
      </c>
      <c r="I11153">
        <v>3</v>
      </c>
      <c r="J11153" t="str" cm="1">
        <f t="array" ref="J11153">_xlfn.IFS(I11153&lt;=3,"small",I11153&lt;=6,"Medium",I11153&lt;=9,"Large")</f>
        <v>small</v>
      </c>
      <c r="K11153" s="36">
        <v>45267</v>
      </c>
      <c r="L11153" s="36">
        <v>45269</v>
      </c>
      <c r="M11153" t="s">
        <v>603</v>
      </c>
      <c r="N11153" t="s">
        <v>599</v>
      </c>
      <c r="O11153" s="37" t="str">
        <f t="shared" si="873"/>
        <v>Digital Payment</v>
      </c>
      <c r="P11153">
        <v>236.05</v>
      </c>
      <c r="Q11153" s="37" t="str">
        <f>IF(P11153&gt;500,"High","low")</f>
        <v>low</v>
      </c>
      <c r="R11153" s="37" t="str">
        <f t="shared" si="874"/>
        <v>AVERAGE</v>
      </c>
      <c r="S11153" t="s">
        <v>620</v>
      </c>
    </row>
    <row r="11154" spans="1:19" x14ac:dyDescent="0.2">
      <c r="A11154" t="s">
        <v>11765</v>
      </c>
      <c r="B11154" t="s">
        <v>90</v>
      </c>
      <c r="C11154" t="s">
        <v>607</v>
      </c>
      <c r="D11154">
        <v>3566.65</v>
      </c>
      <c r="E11154" s="37" t="str">
        <f t="shared" si="870"/>
        <v xml:space="preserve"> </v>
      </c>
      <c r="F11154">
        <v>0.27</v>
      </c>
      <c r="G11154" s="37" t="str">
        <f t="shared" si="871"/>
        <v>Normal Discount</v>
      </c>
      <c r="H11154" s="37" t="str">
        <f t="shared" si="872"/>
        <v>Medium</v>
      </c>
      <c r="I11154">
        <v>4</v>
      </c>
      <c r="J11154" t="str" cm="1">
        <f t="array" ref="J11154">_xlfn.IFS(I11154&lt;=3,"small",I11154&lt;=6,"Medium",I11154&lt;=9,"Large")</f>
        <v>Medium</v>
      </c>
      <c r="K11154" s="36">
        <v>44997</v>
      </c>
      <c r="L11154" s="36">
        <v>45000</v>
      </c>
      <c r="M11154" t="s">
        <v>603</v>
      </c>
      <c r="N11154" t="s">
        <v>608</v>
      </c>
      <c r="O11154" s="37" t="str">
        <f t="shared" si="873"/>
        <v>Cash Payment</v>
      </c>
      <c r="P11154">
        <v>258.36</v>
      </c>
      <c r="Q11154" s="37" t="str">
        <f>IF(P11154&gt;500,"High","low")</f>
        <v>low</v>
      </c>
      <c r="R11154" s="37" t="str">
        <f t="shared" si="874"/>
        <v>AVERAGE</v>
      </c>
      <c r="S11154" t="s">
        <v>615</v>
      </c>
    </row>
    <row r="11155" spans="1:19" x14ac:dyDescent="0.2">
      <c r="A11155" t="s">
        <v>11766</v>
      </c>
      <c r="B11155" t="s">
        <v>67</v>
      </c>
      <c r="C11155" t="s">
        <v>597</v>
      </c>
      <c r="D11155">
        <v>4174.3</v>
      </c>
      <c r="E11155" s="37" t="str">
        <f t="shared" si="870"/>
        <v>Excellent Order</v>
      </c>
      <c r="F11155">
        <v>0.2</v>
      </c>
      <c r="G11155" s="37" t="str">
        <f t="shared" si="871"/>
        <v>Normal Discount</v>
      </c>
      <c r="H11155" s="37" t="str">
        <f t="shared" si="872"/>
        <v>Medium</v>
      </c>
      <c r="I11155">
        <v>7</v>
      </c>
      <c r="J11155" t="str" cm="1">
        <f t="array" ref="J11155">_xlfn.IFS(I11155&lt;=3,"small",I11155&lt;=6,"Medium",I11155&lt;=9,"Large")</f>
        <v>Large</v>
      </c>
      <c r="K11155" s="36">
        <v>45567</v>
      </c>
      <c r="L11155" s="36">
        <v>45571</v>
      </c>
      <c r="M11155" t="s">
        <v>603</v>
      </c>
      <c r="N11155" t="s">
        <v>608</v>
      </c>
      <c r="O11155" s="37" t="str">
        <f t="shared" si="873"/>
        <v>Cash Payment</v>
      </c>
      <c r="P11155">
        <v>1008.28</v>
      </c>
      <c r="Q11155" s="37" t="str">
        <f>IF(P11155&gt;500,"High","low")</f>
        <v>High</v>
      </c>
      <c r="R11155" s="37" t="str">
        <f t="shared" si="874"/>
        <v>Excellent</v>
      </c>
      <c r="S11155" t="s">
        <v>628</v>
      </c>
    </row>
    <row r="11156" spans="1:19" x14ac:dyDescent="0.2">
      <c r="A11156" t="s">
        <v>11767</v>
      </c>
      <c r="B11156" t="s">
        <v>90</v>
      </c>
      <c r="C11156" t="s">
        <v>607</v>
      </c>
      <c r="D11156">
        <v>1157.4000000000001</v>
      </c>
      <c r="E11156" s="37" t="str">
        <f t="shared" si="870"/>
        <v xml:space="preserve"> </v>
      </c>
      <c r="F11156">
        <v>0.32</v>
      </c>
      <c r="G11156" s="37" t="str">
        <f t="shared" si="871"/>
        <v>Heavy Discount</v>
      </c>
      <c r="H11156" s="37" t="str">
        <f t="shared" si="872"/>
        <v>Medium</v>
      </c>
      <c r="I11156">
        <v>3</v>
      </c>
      <c r="J11156" t="str" cm="1">
        <f t="array" ref="J11156">_xlfn.IFS(I11156&lt;=3,"small",I11156&lt;=6,"Medium",I11156&lt;=9,"Large")</f>
        <v>small</v>
      </c>
      <c r="K11156" s="36">
        <v>45268</v>
      </c>
      <c r="L11156" s="36">
        <v>45269</v>
      </c>
      <c r="M11156" t="s">
        <v>603</v>
      </c>
      <c r="N11156" t="s">
        <v>608</v>
      </c>
      <c r="O11156" s="37" t="str">
        <f t="shared" si="873"/>
        <v>Cash Payment</v>
      </c>
      <c r="P11156">
        <v>239.57</v>
      </c>
      <c r="Q11156" s="37" t="str">
        <f>IF(P11156&gt;500,"High","low")</f>
        <v>low</v>
      </c>
      <c r="R11156" s="37" t="str">
        <f t="shared" si="874"/>
        <v>AVERAGE</v>
      </c>
      <c r="S11156" t="s">
        <v>620</v>
      </c>
    </row>
    <row r="11157" spans="1:19" x14ac:dyDescent="0.2">
      <c r="A11157" t="s">
        <v>11768</v>
      </c>
      <c r="B11157" t="s">
        <v>75</v>
      </c>
      <c r="C11157" t="s">
        <v>602</v>
      </c>
      <c r="D11157">
        <v>4741.6499999999996</v>
      </c>
      <c r="E11157" s="37" t="str">
        <f t="shared" si="870"/>
        <v xml:space="preserve"> </v>
      </c>
      <c r="F11157">
        <v>0.28000000000000003</v>
      </c>
      <c r="G11157" s="37" t="str">
        <f t="shared" si="871"/>
        <v>Normal Discount</v>
      </c>
      <c r="H11157" s="37" t="str">
        <f t="shared" si="872"/>
        <v>Medium</v>
      </c>
      <c r="I11157">
        <v>9</v>
      </c>
      <c r="J11157" t="str" cm="1">
        <f t="array" ref="J11157">_xlfn.IFS(I11157&lt;=3,"small",I11157&lt;=6,"Medium",I11157&lt;=9,"Large")</f>
        <v>Large</v>
      </c>
      <c r="K11157" s="36">
        <v>45204</v>
      </c>
      <c r="L11157" s="36">
        <v>45206</v>
      </c>
      <c r="M11157" t="s">
        <v>612</v>
      </c>
      <c r="N11157" t="s">
        <v>604</v>
      </c>
      <c r="O11157" s="37" t="str">
        <f t="shared" si="873"/>
        <v>Digital Payment</v>
      </c>
      <c r="P11157">
        <v>692.21</v>
      </c>
      <c r="Q11157" s="37" t="str">
        <f>IF(P11157&gt;500,"High","low")</f>
        <v>High</v>
      </c>
      <c r="R11157" s="37" t="str">
        <f t="shared" si="874"/>
        <v>Good</v>
      </c>
      <c r="S11157" t="s">
        <v>600</v>
      </c>
    </row>
    <row r="11158" spans="1:19" x14ac:dyDescent="0.2">
      <c r="A11158" t="s">
        <v>11769</v>
      </c>
      <c r="B11158" t="s">
        <v>75</v>
      </c>
      <c r="C11158" t="s">
        <v>607</v>
      </c>
      <c r="D11158">
        <v>3418.91</v>
      </c>
      <c r="E11158" s="37" t="str">
        <f t="shared" si="870"/>
        <v xml:space="preserve"> </v>
      </c>
      <c r="F11158">
        <v>0.14000000000000001</v>
      </c>
      <c r="G11158" s="37" t="str">
        <f t="shared" si="871"/>
        <v>Normal Discount</v>
      </c>
      <c r="H11158" s="37" t="str">
        <f t="shared" si="872"/>
        <v>Low</v>
      </c>
      <c r="I11158">
        <v>3</v>
      </c>
      <c r="J11158" t="str" cm="1">
        <f t="array" ref="J11158">_xlfn.IFS(I11158&lt;=3,"small",I11158&lt;=6,"Medium",I11158&lt;=9,"Large")</f>
        <v>small</v>
      </c>
      <c r="K11158" s="36">
        <v>45013</v>
      </c>
      <c r="L11158" s="36">
        <v>45015</v>
      </c>
      <c r="M11158" t="s">
        <v>612</v>
      </c>
      <c r="N11158" t="s">
        <v>599</v>
      </c>
      <c r="O11158" s="37" t="str">
        <f t="shared" si="873"/>
        <v>Digital Payment</v>
      </c>
      <c r="P11158">
        <v>626.64</v>
      </c>
      <c r="Q11158" s="37" t="str">
        <f>IF(P11158&gt;500,"High","low")</f>
        <v>High</v>
      </c>
      <c r="R11158" s="37" t="str">
        <f t="shared" si="874"/>
        <v>Good</v>
      </c>
      <c r="S11158" t="s">
        <v>628</v>
      </c>
    </row>
    <row r="11159" spans="1:19" x14ac:dyDescent="0.2">
      <c r="A11159" t="s">
        <v>11770</v>
      </c>
      <c r="B11159" t="s">
        <v>90</v>
      </c>
      <c r="C11159" t="s">
        <v>614</v>
      </c>
      <c r="D11159">
        <v>1170.3900000000001</v>
      </c>
      <c r="E11159" s="37" t="str">
        <f t="shared" si="870"/>
        <v xml:space="preserve"> </v>
      </c>
      <c r="F11159">
        <v>0.05</v>
      </c>
      <c r="G11159" s="37" t="str">
        <f t="shared" si="871"/>
        <v>Normal Discount</v>
      </c>
      <c r="H11159" s="37" t="str">
        <f t="shared" si="872"/>
        <v>Low</v>
      </c>
      <c r="I11159">
        <v>8</v>
      </c>
      <c r="J11159" t="str" cm="1">
        <f t="array" ref="J11159">_xlfn.IFS(I11159&lt;=3,"small",I11159&lt;=6,"Medium",I11159&lt;=9,"Large")</f>
        <v>Large</v>
      </c>
      <c r="K11159" s="36">
        <v>45018</v>
      </c>
      <c r="L11159" s="36">
        <v>45025</v>
      </c>
      <c r="M11159" t="s">
        <v>612</v>
      </c>
      <c r="N11159" t="s">
        <v>608</v>
      </c>
      <c r="O11159" s="37" t="str">
        <f t="shared" si="873"/>
        <v>Cash Payment</v>
      </c>
      <c r="P11159">
        <v>256.72000000000003</v>
      </c>
      <c r="Q11159" s="37" t="str">
        <f>IF(P11159&gt;500,"High","low")</f>
        <v>low</v>
      </c>
      <c r="R11159" s="37" t="str">
        <f t="shared" si="874"/>
        <v>AVERAGE</v>
      </c>
      <c r="S11159" t="s">
        <v>628</v>
      </c>
    </row>
    <row r="11160" spans="1:19" x14ac:dyDescent="0.2">
      <c r="A11160" t="s">
        <v>11771</v>
      </c>
      <c r="B11160" t="s">
        <v>83</v>
      </c>
      <c r="C11160" t="s">
        <v>617</v>
      </c>
      <c r="D11160">
        <v>1918.36</v>
      </c>
      <c r="E11160" s="37" t="str">
        <f t="shared" si="870"/>
        <v xml:space="preserve"> </v>
      </c>
      <c r="F11160">
        <v>0.19</v>
      </c>
      <c r="G11160" s="37" t="str">
        <f t="shared" si="871"/>
        <v>Normal Discount</v>
      </c>
      <c r="H11160" s="37" t="str">
        <f t="shared" si="872"/>
        <v>Low</v>
      </c>
      <c r="I11160">
        <v>8</v>
      </c>
      <c r="J11160" t="str" cm="1">
        <f t="array" ref="J11160">_xlfn.IFS(I11160&lt;=3,"small",I11160&lt;=6,"Medium",I11160&lt;=9,"Large")</f>
        <v>Large</v>
      </c>
      <c r="K11160" s="36">
        <v>45117</v>
      </c>
      <c r="L11160" s="36">
        <v>45123</v>
      </c>
      <c r="M11160" t="s">
        <v>603</v>
      </c>
      <c r="N11160" t="s">
        <v>599</v>
      </c>
      <c r="O11160" s="37" t="str">
        <f t="shared" si="873"/>
        <v>Digital Payment</v>
      </c>
      <c r="P11160">
        <v>183.8</v>
      </c>
      <c r="Q11160" s="37" t="str">
        <f>IF(P11160&gt;500,"High","low")</f>
        <v>low</v>
      </c>
      <c r="R11160" s="37" t="str">
        <f t="shared" si="874"/>
        <v>AVERAGE</v>
      </c>
      <c r="S11160" t="s">
        <v>609</v>
      </c>
    </row>
    <row r="11161" spans="1:19" x14ac:dyDescent="0.2">
      <c r="A11161" t="s">
        <v>11772</v>
      </c>
      <c r="B11161" t="s">
        <v>67</v>
      </c>
      <c r="C11161" t="s">
        <v>617</v>
      </c>
      <c r="D11161">
        <v>612.57000000000005</v>
      </c>
      <c r="E11161" s="37" t="str">
        <f t="shared" si="870"/>
        <v xml:space="preserve"> </v>
      </c>
      <c r="F11161">
        <v>0.26</v>
      </c>
      <c r="G11161" s="37" t="str">
        <f t="shared" si="871"/>
        <v>Normal Discount</v>
      </c>
      <c r="H11161" s="37" t="str">
        <f t="shared" si="872"/>
        <v>Medium</v>
      </c>
      <c r="I11161">
        <v>3</v>
      </c>
      <c r="J11161" t="str" cm="1">
        <f t="array" ref="J11161">_xlfn.IFS(I11161&lt;=3,"small",I11161&lt;=6,"Medium",I11161&lt;=9,"Large")</f>
        <v>small</v>
      </c>
      <c r="K11161" s="36">
        <v>45158</v>
      </c>
      <c r="L11161" s="36">
        <v>45162</v>
      </c>
      <c r="M11161" t="s">
        <v>598</v>
      </c>
      <c r="N11161" t="s">
        <v>599</v>
      </c>
      <c r="O11161" s="37" t="str">
        <f t="shared" si="873"/>
        <v>Digital Payment</v>
      </c>
      <c r="P11161">
        <v>134.33000000000001</v>
      </c>
      <c r="Q11161" s="37" t="str">
        <f>IF(P11161&gt;500,"High","low")</f>
        <v>low</v>
      </c>
      <c r="R11161" s="37" t="str">
        <f t="shared" si="874"/>
        <v>AVERAGE</v>
      </c>
      <c r="S11161" t="s">
        <v>620</v>
      </c>
    </row>
    <row r="11162" spans="1:19" x14ac:dyDescent="0.2">
      <c r="A11162" t="s">
        <v>11773</v>
      </c>
      <c r="B11162" t="s">
        <v>90</v>
      </c>
      <c r="C11162" t="s">
        <v>597</v>
      </c>
      <c r="D11162">
        <v>3025.64</v>
      </c>
      <c r="E11162" s="37" t="str">
        <f t="shared" si="870"/>
        <v xml:space="preserve"> </v>
      </c>
      <c r="F11162">
        <v>0.25</v>
      </c>
      <c r="G11162" s="37" t="str">
        <f t="shared" si="871"/>
        <v>Normal Discount</v>
      </c>
      <c r="H11162" s="37" t="str">
        <f t="shared" si="872"/>
        <v>Medium</v>
      </c>
      <c r="I11162">
        <v>3</v>
      </c>
      <c r="J11162" t="str" cm="1">
        <f t="array" ref="J11162">_xlfn.IFS(I11162&lt;=3,"small",I11162&lt;=6,"Medium",I11162&lt;=9,"Large")</f>
        <v>small</v>
      </c>
      <c r="K11162" s="36">
        <v>45372</v>
      </c>
      <c r="L11162" s="36">
        <v>45375</v>
      </c>
      <c r="M11162" t="s">
        <v>598</v>
      </c>
      <c r="N11162" t="s">
        <v>608</v>
      </c>
      <c r="O11162" s="37" t="str">
        <f t="shared" si="873"/>
        <v>Cash Payment</v>
      </c>
      <c r="P11162">
        <v>626.67999999999995</v>
      </c>
      <c r="Q11162" s="37" t="str">
        <f>IF(P11162&gt;500,"High","low")</f>
        <v>High</v>
      </c>
      <c r="R11162" s="37" t="str">
        <f t="shared" si="874"/>
        <v>Good</v>
      </c>
      <c r="S11162" t="s">
        <v>600</v>
      </c>
    </row>
    <row r="11163" spans="1:19" x14ac:dyDescent="0.2">
      <c r="A11163" t="s">
        <v>11774</v>
      </c>
      <c r="B11163" t="s">
        <v>90</v>
      </c>
      <c r="C11163" t="s">
        <v>597</v>
      </c>
      <c r="D11163">
        <v>929.04</v>
      </c>
      <c r="E11163" s="37" t="str">
        <f t="shared" si="870"/>
        <v xml:space="preserve"> </v>
      </c>
      <c r="F11163">
        <v>0.21</v>
      </c>
      <c r="G11163" s="37" t="str">
        <f t="shared" si="871"/>
        <v>Normal Discount</v>
      </c>
      <c r="H11163" s="37" t="str">
        <f t="shared" si="872"/>
        <v>Medium</v>
      </c>
      <c r="I11163">
        <v>5</v>
      </c>
      <c r="J11163" t="str" cm="1">
        <f t="array" ref="J11163">_xlfn.IFS(I11163&lt;=3,"small",I11163&lt;=6,"Medium",I11163&lt;=9,"Large")</f>
        <v>Medium</v>
      </c>
      <c r="K11163" s="36">
        <v>45182</v>
      </c>
      <c r="L11163" s="36">
        <v>45188</v>
      </c>
      <c r="M11163" t="s">
        <v>598</v>
      </c>
      <c r="N11163" t="s">
        <v>608</v>
      </c>
      <c r="O11163" s="37" t="str">
        <f t="shared" si="873"/>
        <v>Cash Payment</v>
      </c>
      <c r="P11163">
        <v>196.87</v>
      </c>
      <c r="Q11163" s="37" t="str">
        <f>IF(P11163&gt;500,"High","low")</f>
        <v>low</v>
      </c>
      <c r="R11163" s="37" t="str">
        <f t="shared" si="874"/>
        <v>AVERAGE</v>
      </c>
      <c r="S11163" t="s">
        <v>600</v>
      </c>
    </row>
    <row r="11164" spans="1:19" x14ac:dyDescent="0.2">
      <c r="A11164" t="s">
        <v>11775</v>
      </c>
      <c r="B11164" t="s">
        <v>90</v>
      </c>
      <c r="C11164" t="s">
        <v>607</v>
      </c>
      <c r="D11164">
        <v>3496.14</v>
      </c>
      <c r="E11164" s="37" t="str">
        <f t="shared" si="870"/>
        <v xml:space="preserve"> </v>
      </c>
      <c r="F11164">
        <v>0.16</v>
      </c>
      <c r="G11164" s="37" t="str">
        <f t="shared" si="871"/>
        <v>Normal Discount</v>
      </c>
      <c r="H11164" s="37" t="str">
        <f t="shared" si="872"/>
        <v>Low</v>
      </c>
      <c r="I11164">
        <v>8</v>
      </c>
      <c r="J11164" t="str" cm="1">
        <f t="array" ref="J11164">_xlfn.IFS(I11164&lt;=3,"small",I11164&lt;=6,"Medium",I11164&lt;=9,"Large")</f>
        <v>Large</v>
      </c>
      <c r="K11164" s="36">
        <v>45484</v>
      </c>
      <c r="L11164" s="36">
        <v>45489</v>
      </c>
      <c r="M11164" t="s">
        <v>598</v>
      </c>
      <c r="N11164" t="s">
        <v>608</v>
      </c>
      <c r="O11164" s="37" t="str">
        <f t="shared" si="873"/>
        <v>Cash Payment</v>
      </c>
      <c r="P11164">
        <v>458.98</v>
      </c>
      <c r="Q11164" s="37" t="str">
        <f>IF(P11164&gt;500,"High","low")</f>
        <v>low</v>
      </c>
      <c r="R11164" s="37" t="str">
        <f t="shared" si="874"/>
        <v>AVERAGE</v>
      </c>
      <c r="S11164" t="s">
        <v>609</v>
      </c>
    </row>
    <row r="11165" spans="1:19" x14ac:dyDescent="0.2">
      <c r="A11165" t="s">
        <v>11776</v>
      </c>
      <c r="B11165" t="s">
        <v>83</v>
      </c>
      <c r="C11165" t="s">
        <v>597</v>
      </c>
      <c r="D11165">
        <v>3712.51</v>
      </c>
      <c r="E11165" s="37" t="str">
        <f t="shared" si="870"/>
        <v xml:space="preserve"> </v>
      </c>
      <c r="F11165">
        <v>0.18</v>
      </c>
      <c r="G11165" s="37" t="str">
        <f t="shared" si="871"/>
        <v>Normal Discount</v>
      </c>
      <c r="H11165" s="37" t="str">
        <f t="shared" si="872"/>
        <v>Low</v>
      </c>
      <c r="I11165">
        <v>6</v>
      </c>
      <c r="J11165" t="str" cm="1">
        <f t="array" ref="J11165">_xlfn.IFS(I11165&lt;=3,"small",I11165&lt;=6,"Medium",I11165&lt;=9,"Large")</f>
        <v>Medium</v>
      </c>
      <c r="K11165" s="36">
        <v>45495</v>
      </c>
      <c r="L11165" s="36">
        <v>45501</v>
      </c>
      <c r="M11165" t="s">
        <v>603</v>
      </c>
      <c r="N11165" t="s">
        <v>604</v>
      </c>
      <c r="O11165" s="37" t="str">
        <f t="shared" si="873"/>
        <v>Digital Payment</v>
      </c>
      <c r="P11165">
        <v>325.63</v>
      </c>
      <c r="Q11165" s="37" t="str">
        <f>IF(P11165&gt;500,"High","low")</f>
        <v>low</v>
      </c>
      <c r="R11165" s="37" t="str">
        <f t="shared" si="874"/>
        <v>AVERAGE</v>
      </c>
      <c r="S11165" t="s">
        <v>605</v>
      </c>
    </row>
    <row r="11166" spans="1:19" x14ac:dyDescent="0.2">
      <c r="A11166" t="s">
        <v>11777</v>
      </c>
      <c r="B11166" t="s">
        <v>83</v>
      </c>
      <c r="C11166" t="s">
        <v>614</v>
      </c>
      <c r="D11166">
        <v>2448.7399999999998</v>
      </c>
      <c r="E11166" s="37" t="str">
        <f t="shared" si="870"/>
        <v xml:space="preserve"> </v>
      </c>
      <c r="F11166">
        <v>0.13</v>
      </c>
      <c r="G11166" s="37" t="str">
        <f t="shared" si="871"/>
        <v>Normal Discount</v>
      </c>
      <c r="H11166" s="37" t="str">
        <f t="shared" si="872"/>
        <v>Low</v>
      </c>
      <c r="I11166">
        <v>5</v>
      </c>
      <c r="J11166" t="str" cm="1">
        <f t="array" ref="J11166">_xlfn.IFS(I11166&lt;=3,"small",I11166&lt;=6,"Medium",I11166&lt;=9,"Large")</f>
        <v>Medium</v>
      </c>
      <c r="K11166" s="36">
        <v>45099</v>
      </c>
      <c r="L11166" s="36">
        <v>45106</v>
      </c>
      <c r="M11166" t="s">
        <v>598</v>
      </c>
      <c r="N11166" t="s">
        <v>599</v>
      </c>
      <c r="O11166" s="37" t="str">
        <f t="shared" si="873"/>
        <v>Digital Payment</v>
      </c>
      <c r="P11166">
        <v>361.91</v>
      </c>
      <c r="Q11166" s="37" t="str">
        <f>IF(P11166&gt;500,"High","low")</f>
        <v>low</v>
      </c>
      <c r="R11166" s="37" t="str">
        <f t="shared" si="874"/>
        <v>AVERAGE</v>
      </c>
      <c r="S11166" t="s">
        <v>605</v>
      </c>
    </row>
    <row r="11167" spans="1:19" x14ac:dyDescent="0.2">
      <c r="A11167" t="s">
        <v>11778</v>
      </c>
      <c r="B11167" t="s">
        <v>83</v>
      </c>
      <c r="C11167" t="s">
        <v>602</v>
      </c>
      <c r="D11167">
        <v>559.70000000000005</v>
      </c>
      <c r="E11167" s="37" t="str">
        <f t="shared" si="870"/>
        <v xml:space="preserve"> </v>
      </c>
      <c r="F11167">
        <v>0.28999999999999998</v>
      </c>
      <c r="G11167" s="37" t="str">
        <f t="shared" si="871"/>
        <v>Normal Discount</v>
      </c>
      <c r="H11167" s="37" t="str">
        <f t="shared" si="872"/>
        <v>Medium</v>
      </c>
      <c r="I11167">
        <v>5</v>
      </c>
      <c r="J11167" t="str" cm="1">
        <f t="array" ref="J11167">_xlfn.IFS(I11167&lt;=3,"small",I11167&lt;=6,"Medium",I11167&lt;=9,"Large")</f>
        <v>Medium</v>
      </c>
      <c r="K11167" s="36">
        <v>45640</v>
      </c>
      <c r="L11167" s="36">
        <v>45644</v>
      </c>
      <c r="M11167" t="s">
        <v>598</v>
      </c>
      <c r="N11167" t="s">
        <v>599</v>
      </c>
      <c r="O11167" s="37" t="str">
        <f t="shared" si="873"/>
        <v>Digital Payment</v>
      </c>
      <c r="P11167">
        <v>41.14</v>
      </c>
      <c r="Q11167" s="37" t="str">
        <f>IF(P11167&gt;500,"High","low")</f>
        <v>low</v>
      </c>
      <c r="R11167" s="37" t="str">
        <f t="shared" si="874"/>
        <v>AVERAGE</v>
      </c>
      <c r="S11167" t="s">
        <v>620</v>
      </c>
    </row>
    <row r="11168" spans="1:19" x14ac:dyDescent="0.2">
      <c r="A11168" t="s">
        <v>11779</v>
      </c>
      <c r="B11168" t="s">
        <v>67</v>
      </c>
      <c r="C11168" t="s">
        <v>602</v>
      </c>
      <c r="D11168">
        <v>3093.28</v>
      </c>
      <c r="E11168" s="37" t="str">
        <f t="shared" si="870"/>
        <v xml:space="preserve"> </v>
      </c>
      <c r="F11168">
        <v>0.42</v>
      </c>
      <c r="G11168" s="37" t="str">
        <f t="shared" si="871"/>
        <v>Heavy Discount</v>
      </c>
      <c r="H11168" s="37" t="str">
        <f t="shared" si="872"/>
        <v>High</v>
      </c>
      <c r="I11168">
        <v>6</v>
      </c>
      <c r="J11168" t="str" cm="1">
        <f t="array" ref="J11168">_xlfn.IFS(I11168&lt;=3,"small",I11168&lt;=6,"Medium",I11168&lt;=9,"Large")</f>
        <v>Medium</v>
      </c>
      <c r="K11168" s="36">
        <v>45390</v>
      </c>
      <c r="L11168" s="36">
        <v>45396</v>
      </c>
      <c r="M11168" t="s">
        <v>603</v>
      </c>
      <c r="N11168" t="s">
        <v>608</v>
      </c>
      <c r="O11168" s="37" t="str">
        <f t="shared" si="873"/>
        <v>Cash Payment</v>
      </c>
      <c r="P11168">
        <v>281.07</v>
      </c>
      <c r="Q11168" s="37" t="str">
        <f>IF(P11168&gt;500,"High","low")</f>
        <v>low</v>
      </c>
      <c r="R11168" s="37" t="str">
        <f t="shared" si="874"/>
        <v>AVERAGE</v>
      </c>
      <c r="S11168" t="s">
        <v>628</v>
      </c>
    </row>
    <row r="11169" spans="1:19" x14ac:dyDescent="0.2">
      <c r="A11169" t="s">
        <v>11780</v>
      </c>
      <c r="B11169" t="s">
        <v>75</v>
      </c>
      <c r="C11169" t="s">
        <v>607</v>
      </c>
      <c r="D11169">
        <v>1923.81</v>
      </c>
      <c r="E11169" s="37" t="str">
        <f t="shared" si="870"/>
        <v xml:space="preserve"> </v>
      </c>
      <c r="F11169">
        <v>0.44</v>
      </c>
      <c r="G11169" s="37" t="str">
        <f t="shared" si="871"/>
        <v>Heavy Discount</v>
      </c>
      <c r="H11169" s="37" t="str">
        <f t="shared" si="872"/>
        <v>High</v>
      </c>
      <c r="I11169">
        <v>8</v>
      </c>
      <c r="J11169" t="str" cm="1">
        <f t="array" ref="J11169">_xlfn.IFS(I11169&lt;=3,"small",I11169&lt;=6,"Medium",I11169&lt;=9,"Large")</f>
        <v>Large</v>
      </c>
      <c r="K11169" s="36">
        <v>45395</v>
      </c>
      <c r="L11169" s="36">
        <v>45398</v>
      </c>
      <c r="M11169" t="s">
        <v>598</v>
      </c>
      <c r="N11169" t="s">
        <v>604</v>
      </c>
      <c r="O11169" s="37" t="str">
        <f t="shared" si="873"/>
        <v>Digital Payment</v>
      </c>
      <c r="P11169">
        <v>362.59</v>
      </c>
      <c r="Q11169" s="37" t="str">
        <f>IF(P11169&gt;500,"High","low")</f>
        <v>low</v>
      </c>
      <c r="R11169" s="37" t="str">
        <f t="shared" si="874"/>
        <v>AVERAGE</v>
      </c>
      <c r="S11169" t="s">
        <v>620</v>
      </c>
    </row>
    <row r="11170" spans="1:19" x14ac:dyDescent="0.2">
      <c r="A11170" t="s">
        <v>11781</v>
      </c>
      <c r="B11170" t="s">
        <v>67</v>
      </c>
      <c r="C11170" t="s">
        <v>602</v>
      </c>
      <c r="D11170">
        <v>4753.2700000000004</v>
      </c>
      <c r="E11170" s="37" t="str">
        <f t="shared" si="870"/>
        <v>Excellent Order</v>
      </c>
      <c r="F11170">
        <v>0.5</v>
      </c>
      <c r="G11170" s="37" t="str">
        <f t="shared" si="871"/>
        <v>Heavy Discount</v>
      </c>
      <c r="H11170" s="37" t="str">
        <f t="shared" si="872"/>
        <v>High</v>
      </c>
      <c r="I11170">
        <v>6</v>
      </c>
      <c r="J11170" t="str" cm="1">
        <f t="array" ref="J11170">_xlfn.IFS(I11170&lt;=3,"small",I11170&lt;=6,"Medium",I11170&lt;=9,"Large")</f>
        <v>Medium</v>
      </c>
      <c r="K11170" s="36">
        <v>45451</v>
      </c>
      <c r="L11170" s="36">
        <v>45457</v>
      </c>
      <c r="M11170" t="s">
        <v>612</v>
      </c>
      <c r="N11170" t="s">
        <v>604</v>
      </c>
      <c r="O11170" s="37" t="str">
        <f t="shared" si="873"/>
        <v>Digital Payment</v>
      </c>
      <c r="P11170">
        <v>1337.34</v>
      </c>
      <c r="Q11170" s="37" t="str">
        <f>IF(P11170&gt;500,"High","low")</f>
        <v>High</v>
      </c>
      <c r="R11170" s="37" t="str">
        <f t="shared" si="874"/>
        <v>Excellent</v>
      </c>
      <c r="S11170" t="s">
        <v>609</v>
      </c>
    </row>
    <row r="11171" spans="1:19" x14ac:dyDescent="0.2">
      <c r="A11171" t="s">
        <v>11782</v>
      </c>
      <c r="B11171" t="s">
        <v>83</v>
      </c>
      <c r="C11171" t="s">
        <v>607</v>
      </c>
      <c r="D11171">
        <v>2614.71</v>
      </c>
      <c r="E11171" s="37" t="str">
        <f t="shared" si="870"/>
        <v xml:space="preserve"> </v>
      </c>
      <c r="F11171">
        <v>0.04</v>
      </c>
      <c r="G11171" s="37" t="str">
        <f t="shared" si="871"/>
        <v>Normal Discount</v>
      </c>
      <c r="H11171" s="37" t="str">
        <f t="shared" si="872"/>
        <v>Low</v>
      </c>
      <c r="I11171">
        <v>7</v>
      </c>
      <c r="J11171" t="str" cm="1">
        <f t="array" ref="J11171">_xlfn.IFS(I11171&lt;=3,"small",I11171&lt;=6,"Medium",I11171&lt;=9,"Large")</f>
        <v>Large</v>
      </c>
      <c r="K11171" s="36">
        <v>45421</v>
      </c>
      <c r="L11171" s="36">
        <v>45424</v>
      </c>
      <c r="M11171" t="s">
        <v>598</v>
      </c>
      <c r="N11171" t="s">
        <v>608</v>
      </c>
      <c r="O11171" s="37" t="str">
        <f t="shared" si="873"/>
        <v>Cash Payment</v>
      </c>
      <c r="P11171">
        <v>276.38</v>
      </c>
      <c r="Q11171" s="37" t="str">
        <f>IF(P11171&gt;500,"High","low")</f>
        <v>low</v>
      </c>
      <c r="R11171" s="37" t="str">
        <f t="shared" si="874"/>
        <v>AVERAGE</v>
      </c>
      <c r="S11171" t="s">
        <v>615</v>
      </c>
    </row>
    <row r="11172" spans="1:19" x14ac:dyDescent="0.2">
      <c r="A11172" t="s">
        <v>11783</v>
      </c>
      <c r="B11172" t="s">
        <v>75</v>
      </c>
      <c r="C11172" t="s">
        <v>597</v>
      </c>
      <c r="D11172">
        <v>454.1</v>
      </c>
      <c r="E11172" s="37" t="str">
        <f t="shared" si="870"/>
        <v xml:space="preserve"> </v>
      </c>
      <c r="F11172">
        <v>0.11</v>
      </c>
      <c r="G11172" s="37" t="str">
        <f t="shared" si="871"/>
        <v>Normal Discount</v>
      </c>
      <c r="H11172" s="37" t="str">
        <f t="shared" si="872"/>
        <v>Low</v>
      </c>
      <c r="I11172">
        <v>9</v>
      </c>
      <c r="J11172" t="str" cm="1">
        <f t="array" ref="J11172">_xlfn.IFS(I11172&lt;=3,"small",I11172&lt;=6,"Medium",I11172&lt;=9,"Large")</f>
        <v>Large</v>
      </c>
      <c r="K11172" s="36">
        <v>45532</v>
      </c>
      <c r="L11172" s="36">
        <v>45538</v>
      </c>
      <c r="M11172" t="s">
        <v>612</v>
      </c>
      <c r="N11172" t="s">
        <v>604</v>
      </c>
      <c r="O11172" s="37" t="str">
        <f t="shared" si="873"/>
        <v>Digital Payment</v>
      </c>
      <c r="P11172">
        <v>83.62</v>
      </c>
      <c r="Q11172" s="37" t="str">
        <f>IF(P11172&gt;500,"High","low")</f>
        <v>low</v>
      </c>
      <c r="R11172" s="37" t="str">
        <f t="shared" si="874"/>
        <v>AVERAGE</v>
      </c>
      <c r="S11172" t="s">
        <v>620</v>
      </c>
    </row>
    <row r="11173" spans="1:19" x14ac:dyDescent="0.2">
      <c r="A11173" t="s">
        <v>11784</v>
      </c>
      <c r="B11173" t="s">
        <v>75</v>
      </c>
      <c r="C11173" t="s">
        <v>597</v>
      </c>
      <c r="D11173">
        <v>3216.64</v>
      </c>
      <c r="E11173" s="37" t="str">
        <f t="shared" si="870"/>
        <v xml:space="preserve"> </v>
      </c>
      <c r="F11173">
        <v>0.37</v>
      </c>
      <c r="G11173" s="37" t="str">
        <f t="shared" si="871"/>
        <v>Heavy Discount</v>
      </c>
      <c r="H11173" s="37" t="str">
        <f t="shared" si="872"/>
        <v>Medium</v>
      </c>
      <c r="I11173">
        <v>7</v>
      </c>
      <c r="J11173" t="str" cm="1">
        <f t="array" ref="J11173">_xlfn.IFS(I11173&lt;=3,"small",I11173&lt;=6,"Medium",I11173&lt;=9,"Large")</f>
        <v>Large</v>
      </c>
      <c r="K11173" s="36">
        <v>45068</v>
      </c>
      <c r="L11173" s="36">
        <v>45073</v>
      </c>
      <c r="M11173" t="s">
        <v>612</v>
      </c>
      <c r="N11173" t="s">
        <v>604</v>
      </c>
      <c r="O11173" s="37" t="str">
        <f t="shared" si="873"/>
        <v>Digital Payment</v>
      </c>
      <c r="P11173">
        <v>287.93</v>
      </c>
      <c r="Q11173" s="37" t="str">
        <f>IF(P11173&gt;500,"High","low")</f>
        <v>low</v>
      </c>
      <c r="R11173" s="37" t="str">
        <f t="shared" si="874"/>
        <v>AVERAGE</v>
      </c>
      <c r="S11173" t="s">
        <v>615</v>
      </c>
    </row>
    <row r="11174" spans="1:19" x14ac:dyDescent="0.2">
      <c r="A11174" t="s">
        <v>11785</v>
      </c>
      <c r="B11174" t="s">
        <v>83</v>
      </c>
      <c r="C11174" t="s">
        <v>614</v>
      </c>
      <c r="D11174">
        <v>3918.83</v>
      </c>
      <c r="E11174" s="37" t="str">
        <f t="shared" si="870"/>
        <v xml:space="preserve"> </v>
      </c>
      <c r="F11174">
        <v>0.32</v>
      </c>
      <c r="G11174" s="37" t="str">
        <f t="shared" si="871"/>
        <v>Heavy Discount</v>
      </c>
      <c r="H11174" s="37" t="str">
        <f t="shared" si="872"/>
        <v>Medium</v>
      </c>
      <c r="I11174">
        <v>9</v>
      </c>
      <c r="J11174" t="str" cm="1">
        <f t="array" ref="J11174">_xlfn.IFS(I11174&lt;=3,"small",I11174&lt;=6,"Medium",I11174&lt;=9,"Large")</f>
        <v>Large</v>
      </c>
      <c r="K11174" s="36">
        <v>45219</v>
      </c>
      <c r="L11174" s="36">
        <v>45221</v>
      </c>
      <c r="M11174" t="s">
        <v>603</v>
      </c>
      <c r="N11174" t="s">
        <v>608</v>
      </c>
      <c r="O11174" s="37" t="str">
        <f t="shared" si="873"/>
        <v>Cash Payment</v>
      </c>
      <c r="P11174">
        <v>721.91</v>
      </c>
      <c r="Q11174" s="37" t="str">
        <f>IF(P11174&gt;500,"High","low")</f>
        <v>High</v>
      </c>
      <c r="R11174" s="37" t="str">
        <f t="shared" si="874"/>
        <v>Good</v>
      </c>
      <c r="S11174" t="s">
        <v>615</v>
      </c>
    </row>
    <row r="11175" spans="1:19" x14ac:dyDescent="0.2">
      <c r="A11175" t="s">
        <v>11786</v>
      </c>
      <c r="B11175" t="s">
        <v>83</v>
      </c>
      <c r="C11175" t="s">
        <v>602</v>
      </c>
      <c r="D11175">
        <v>886.46</v>
      </c>
      <c r="E11175" s="37" t="str">
        <f t="shared" si="870"/>
        <v xml:space="preserve"> </v>
      </c>
      <c r="F11175">
        <v>7.0000000000000007E-2</v>
      </c>
      <c r="G11175" s="37" t="str">
        <f t="shared" si="871"/>
        <v>Normal Discount</v>
      </c>
      <c r="H11175" s="37" t="str">
        <f t="shared" si="872"/>
        <v>Low</v>
      </c>
      <c r="I11175">
        <v>1</v>
      </c>
      <c r="J11175" t="str" cm="1">
        <f t="array" ref="J11175">_xlfn.IFS(I11175&lt;=3,"small",I11175&lt;=6,"Medium",I11175&lt;=9,"Large")</f>
        <v>small</v>
      </c>
      <c r="K11175" s="36">
        <v>45399</v>
      </c>
      <c r="L11175" s="36">
        <v>45406</v>
      </c>
      <c r="M11175" t="s">
        <v>612</v>
      </c>
      <c r="N11175" t="s">
        <v>604</v>
      </c>
      <c r="O11175" s="37" t="str">
        <f t="shared" si="873"/>
        <v>Digital Payment</v>
      </c>
      <c r="P11175">
        <v>211.53</v>
      </c>
      <c r="Q11175" s="37" t="str">
        <f>IF(P11175&gt;500,"High","low")</f>
        <v>low</v>
      </c>
      <c r="R11175" s="37" t="str">
        <f t="shared" si="874"/>
        <v>AVERAGE</v>
      </c>
      <c r="S11175" t="s">
        <v>615</v>
      </c>
    </row>
    <row r="11176" spans="1:19" x14ac:dyDescent="0.2">
      <c r="A11176" t="s">
        <v>11787</v>
      </c>
      <c r="B11176" t="s">
        <v>67</v>
      </c>
      <c r="C11176" t="s">
        <v>614</v>
      </c>
      <c r="D11176">
        <v>2300.38</v>
      </c>
      <c r="E11176" s="37" t="str">
        <f t="shared" si="870"/>
        <v xml:space="preserve"> </v>
      </c>
      <c r="F11176">
        <v>0.32</v>
      </c>
      <c r="G11176" s="37" t="str">
        <f t="shared" si="871"/>
        <v>Heavy Discount</v>
      </c>
      <c r="H11176" s="37" t="str">
        <f t="shared" si="872"/>
        <v>Medium</v>
      </c>
      <c r="I11176">
        <v>3</v>
      </c>
      <c r="J11176" t="str" cm="1">
        <f t="array" ref="J11176">_xlfn.IFS(I11176&lt;=3,"small",I11176&lt;=6,"Medium",I11176&lt;=9,"Large")</f>
        <v>small</v>
      </c>
      <c r="K11176" s="36">
        <v>45541</v>
      </c>
      <c r="L11176" s="36">
        <v>45542</v>
      </c>
      <c r="M11176" t="s">
        <v>598</v>
      </c>
      <c r="N11176" t="s">
        <v>599</v>
      </c>
      <c r="O11176" s="37" t="str">
        <f t="shared" si="873"/>
        <v>Digital Payment</v>
      </c>
      <c r="P11176">
        <v>582.47</v>
      </c>
      <c r="Q11176" s="37" t="str">
        <f>IF(P11176&gt;500,"High","low")</f>
        <v>High</v>
      </c>
      <c r="R11176" s="37" t="str">
        <f t="shared" si="874"/>
        <v>Good</v>
      </c>
      <c r="S11176" t="s">
        <v>620</v>
      </c>
    </row>
    <row r="11177" spans="1:19" x14ac:dyDescent="0.2">
      <c r="A11177" t="s">
        <v>11788</v>
      </c>
      <c r="B11177" t="s">
        <v>83</v>
      </c>
      <c r="C11177" t="s">
        <v>617</v>
      </c>
      <c r="D11177">
        <v>3741.67</v>
      </c>
      <c r="E11177" s="37" t="str">
        <f t="shared" si="870"/>
        <v xml:space="preserve"> </v>
      </c>
      <c r="F11177">
        <v>0.2</v>
      </c>
      <c r="G11177" s="37" t="str">
        <f t="shared" si="871"/>
        <v>Normal Discount</v>
      </c>
      <c r="H11177" s="37" t="str">
        <f t="shared" si="872"/>
        <v>Medium</v>
      </c>
      <c r="I11177">
        <v>6</v>
      </c>
      <c r="J11177" t="str" cm="1">
        <f t="array" ref="J11177">_xlfn.IFS(I11177&lt;=3,"small",I11177&lt;=6,"Medium",I11177&lt;=9,"Large")</f>
        <v>Medium</v>
      </c>
      <c r="K11177" s="36">
        <v>45273</v>
      </c>
      <c r="L11177" s="36">
        <v>45278</v>
      </c>
      <c r="M11177" t="s">
        <v>603</v>
      </c>
      <c r="N11177" t="s">
        <v>599</v>
      </c>
      <c r="O11177" s="37" t="str">
        <f t="shared" si="873"/>
        <v>Digital Payment</v>
      </c>
      <c r="P11177">
        <v>841.57</v>
      </c>
      <c r="Q11177" s="37" t="str">
        <f>IF(P11177&gt;500,"High","low")</f>
        <v>High</v>
      </c>
      <c r="R11177" s="37" t="str">
        <f t="shared" si="874"/>
        <v>Good</v>
      </c>
      <c r="S11177" t="s">
        <v>620</v>
      </c>
    </row>
    <row r="11178" spans="1:19" x14ac:dyDescent="0.2">
      <c r="A11178" t="s">
        <v>11789</v>
      </c>
      <c r="B11178" t="s">
        <v>75</v>
      </c>
      <c r="C11178" t="s">
        <v>614</v>
      </c>
      <c r="D11178">
        <v>200.42</v>
      </c>
      <c r="E11178" s="37" t="str">
        <f t="shared" si="870"/>
        <v xml:space="preserve"> </v>
      </c>
      <c r="F11178">
        <v>0.48</v>
      </c>
      <c r="G11178" s="37" t="str">
        <f t="shared" si="871"/>
        <v>Heavy Discount</v>
      </c>
      <c r="H11178" s="37" t="str">
        <f t="shared" si="872"/>
        <v>High</v>
      </c>
      <c r="I11178">
        <v>3</v>
      </c>
      <c r="J11178" t="str" cm="1">
        <f t="array" ref="J11178">_xlfn.IFS(I11178&lt;=3,"small",I11178&lt;=6,"Medium",I11178&lt;=9,"Large")</f>
        <v>small</v>
      </c>
      <c r="K11178" s="36">
        <v>45196</v>
      </c>
      <c r="L11178" s="36">
        <v>45200</v>
      </c>
      <c r="M11178" t="s">
        <v>612</v>
      </c>
      <c r="N11178" t="s">
        <v>599</v>
      </c>
      <c r="O11178" s="37" t="str">
        <f t="shared" si="873"/>
        <v>Digital Payment</v>
      </c>
      <c r="P11178">
        <v>20.16</v>
      </c>
      <c r="Q11178" s="37" t="str">
        <f>IF(P11178&gt;500,"High","low")</f>
        <v>low</v>
      </c>
      <c r="R11178" s="37" t="str">
        <f t="shared" si="874"/>
        <v>AVERAGE</v>
      </c>
      <c r="S11178" t="s">
        <v>600</v>
      </c>
    </row>
    <row r="11179" spans="1:19" x14ac:dyDescent="0.2">
      <c r="A11179" t="s">
        <v>11790</v>
      </c>
      <c r="B11179" t="s">
        <v>90</v>
      </c>
      <c r="C11179" t="s">
        <v>607</v>
      </c>
      <c r="D11179">
        <v>241.95</v>
      </c>
      <c r="E11179" s="37" t="str">
        <f t="shared" si="870"/>
        <v xml:space="preserve"> </v>
      </c>
      <c r="F11179">
        <v>0.43</v>
      </c>
      <c r="G11179" s="37" t="str">
        <f t="shared" si="871"/>
        <v>Heavy Discount</v>
      </c>
      <c r="H11179" s="37" t="str">
        <f t="shared" si="872"/>
        <v>High</v>
      </c>
      <c r="I11179">
        <v>2</v>
      </c>
      <c r="J11179" t="str" cm="1">
        <f t="array" ref="J11179">_xlfn.IFS(I11179&lt;=3,"small",I11179&lt;=6,"Medium",I11179&lt;=9,"Large")</f>
        <v>small</v>
      </c>
      <c r="K11179" s="36">
        <v>45376</v>
      </c>
      <c r="L11179" s="36">
        <v>45383</v>
      </c>
      <c r="M11179" t="s">
        <v>612</v>
      </c>
      <c r="N11179" t="s">
        <v>604</v>
      </c>
      <c r="O11179" s="37" t="str">
        <f t="shared" si="873"/>
        <v>Digital Payment</v>
      </c>
      <c r="P11179">
        <v>39.299999999999997</v>
      </c>
      <c r="Q11179" s="37" t="str">
        <f>IF(P11179&gt;500,"High","low")</f>
        <v>low</v>
      </c>
      <c r="R11179" s="37" t="str">
        <f t="shared" si="874"/>
        <v>AVERAGE</v>
      </c>
      <c r="S11179" t="s">
        <v>605</v>
      </c>
    </row>
    <row r="11180" spans="1:19" x14ac:dyDescent="0.2">
      <c r="A11180" t="s">
        <v>11791</v>
      </c>
      <c r="B11180" t="s">
        <v>83</v>
      </c>
      <c r="C11180" t="s">
        <v>607</v>
      </c>
      <c r="D11180">
        <v>3416.87</v>
      </c>
      <c r="E11180" s="37" t="str">
        <f t="shared" si="870"/>
        <v xml:space="preserve"> </v>
      </c>
      <c r="F11180">
        <v>0.04</v>
      </c>
      <c r="G11180" s="37" t="str">
        <f t="shared" si="871"/>
        <v>Normal Discount</v>
      </c>
      <c r="H11180" s="37" t="str">
        <f t="shared" si="872"/>
        <v>Low</v>
      </c>
      <c r="I11180">
        <v>5</v>
      </c>
      <c r="J11180" t="str" cm="1">
        <f t="array" ref="J11180">_xlfn.IFS(I11180&lt;=3,"small",I11180&lt;=6,"Medium",I11180&lt;=9,"Large")</f>
        <v>Medium</v>
      </c>
      <c r="K11180" s="36">
        <v>45632</v>
      </c>
      <c r="L11180" s="36">
        <v>45635</v>
      </c>
      <c r="M11180" t="s">
        <v>612</v>
      </c>
      <c r="N11180" t="s">
        <v>608</v>
      </c>
      <c r="O11180" s="37" t="str">
        <f t="shared" si="873"/>
        <v>Cash Payment</v>
      </c>
      <c r="P11180">
        <v>868.85</v>
      </c>
      <c r="Q11180" s="37" t="str">
        <f>IF(P11180&gt;500,"High","low")</f>
        <v>High</v>
      </c>
      <c r="R11180" s="37" t="str">
        <f t="shared" si="874"/>
        <v>Good</v>
      </c>
      <c r="S11180" t="s">
        <v>600</v>
      </c>
    </row>
    <row r="11181" spans="1:19" x14ac:dyDescent="0.2">
      <c r="A11181" t="s">
        <v>11792</v>
      </c>
      <c r="B11181" t="s">
        <v>83</v>
      </c>
      <c r="C11181" t="s">
        <v>614</v>
      </c>
      <c r="D11181">
        <v>3653.12</v>
      </c>
      <c r="E11181" s="37" t="str">
        <f t="shared" si="870"/>
        <v xml:space="preserve"> </v>
      </c>
      <c r="F11181">
        <v>0.04</v>
      </c>
      <c r="G11181" s="37" t="str">
        <f t="shared" si="871"/>
        <v>Normal Discount</v>
      </c>
      <c r="H11181" s="37" t="str">
        <f t="shared" si="872"/>
        <v>Low</v>
      </c>
      <c r="I11181">
        <v>1</v>
      </c>
      <c r="J11181" t="str" cm="1">
        <f t="array" ref="J11181">_xlfn.IFS(I11181&lt;=3,"small",I11181&lt;=6,"Medium",I11181&lt;=9,"Large")</f>
        <v>small</v>
      </c>
      <c r="K11181" s="36">
        <v>45599</v>
      </c>
      <c r="L11181" s="36">
        <v>45605</v>
      </c>
      <c r="M11181" t="s">
        <v>612</v>
      </c>
      <c r="N11181" t="s">
        <v>608</v>
      </c>
      <c r="O11181" s="37" t="str">
        <f t="shared" si="873"/>
        <v>Cash Payment</v>
      </c>
      <c r="P11181">
        <v>854.33</v>
      </c>
      <c r="Q11181" s="37" t="str">
        <f>IF(P11181&gt;500,"High","low")</f>
        <v>High</v>
      </c>
      <c r="R11181" s="37" t="str">
        <f t="shared" si="874"/>
        <v>Good</v>
      </c>
      <c r="S11181" t="s">
        <v>605</v>
      </c>
    </row>
    <row r="11182" spans="1:19" x14ac:dyDescent="0.2">
      <c r="A11182" t="s">
        <v>11793</v>
      </c>
      <c r="B11182" t="s">
        <v>67</v>
      </c>
      <c r="C11182" t="s">
        <v>597</v>
      </c>
      <c r="D11182">
        <v>4244.76</v>
      </c>
      <c r="E11182" s="37" t="str">
        <f t="shared" si="870"/>
        <v>Excellent Order</v>
      </c>
      <c r="F11182">
        <v>0.21</v>
      </c>
      <c r="G11182" s="37" t="str">
        <f t="shared" si="871"/>
        <v>Normal Discount</v>
      </c>
      <c r="H11182" s="37" t="str">
        <f t="shared" si="872"/>
        <v>Medium</v>
      </c>
      <c r="I11182">
        <v>5</v>
      </c>
      <c r="J11182" t="str" cm="1">
        <f t="array" ref="J11182">_xlfn.IFS(I11182&lt;=3,"small",I11182&lt;=6,"Medium",I11182&lt;=9,"Large")</f>
        <v>Medium</v>
      </c>
      <c r="K11182" s="36">
        <v>45182</v>
      </c>
      <c r="L11182" s="36">
        <v>45187</v>
      </c>
      <c r="M11182" t="s">
        <v>598</v>
      </c>
      <c r="N11182" t="s">
        <v>599</v>
      </c>
      <c r="O11182" s="37" t="str">
        <f t="shared" si="873"/>
        <v>Digital Payment</v>
      </c>
      <c r="P11182">
        <v>1064.26</v>
      </c>
      <c r="Q11182" s="37" t="str">
        <f>IF(P11182&gt;500,"High","low")</f>
        <v>High</v>
      </c>
      <c r="R11182" s="37" t="str">
        <f t="shared" si="874"/>
        <v>Excellent</v>
      </c>
      <c r="S11182" t="s">
        <v>628</v>
      </c>
    </row>
    <row r="11183" spans="1:19" x14ac:dyDescent="0.2">
      <c r="A11183" t="s">
        <v>11794</v>
      </c>
      <c r="B11183" t="s">
        <v>67</v>
      </c>
      <c r="C11183" t="s">
        <v>617</v>
      </c>
      <c r="D11183">
        <v>2058.04</v>
      </c>
      <c r="E11183" s="37" t="str">
        <f t="shared" si="870"/>
        <v xml:space="preserve"> </v>
      </c>
      <c r="F11183">
        <v>0</v>
      </c>
      <c r="G11183" s="37" t="str">
        <f t="shared" si="871"/>
        <v>Normal Discount</v>
      </c>
      <c r="H11183" s="37" t="str">
        <f t="shared" si="872"/>
        <v>Low</v>
      </c>
      <c r="I11183">
        <v>8</v>
      </c>
      <c r="J11183" t="str" cm="1">
        <f t="array" ref="J11183">_xlfn.IFS(I11183&lt;=3,"small",I11183&lt;=6,"Medium",I11183&lt;=9,"Large")</f>
        <v>Large</v>
      </c>
      <c r="K11183" s="36">
        <v>45619</v>
      </c>
      <c r="L11183" s="36">
        <v>45622</v>
      </c>
      <c r="M11183" t="s">
        <v>598</v>
      </c>
      <c r="N11183" t="s">
        <v>604</v>
      </c>
      <c r="O11183" s="37" t="str">
        <f t="shared" si="873"/>
        <v>Digital Payment</v>
      </c>
      <c r="P11183">
        <v>151.81</v>
      </c>
      <c r="Q11183" s="37" t="str">
        <f>IF(P11183&gt;500,"High","low")</f>
        <v>low</v>
      </c>
      <c r="R11183" s="37" t="str">
        <f t="shared" si="874"/>
        <v>AVERAGE</v>
      </c>
      <c r="S11183" t="s">
        <v>615</v>
      </c>
    </row>
    <row r="11184" spans="1:19" x14ac:dyDescent="0.2">
      <c r="A11184" t="s">
        <v>11795</v>
      </c>
      <c r="B11184" t="s">
        <v>83</v>
      </c>
      <c r="C11184" t="s">
        <v>614</v>
      </c>
      <c r="D11184">
        <v>2009.91</v>
      </c>
      <c r="E11184" s="37" t="str">
        <f t="shared" si="870"/>
        <v xml:space="preserve"> </v>
      </c>
      <c r="F11184">
        <v>0.05</v>
      </c>
      <c r="G11184" s="37" t="str">
        <f t="shared" si="871"/>
        <v>Normal Discount</v>
      </c>
      <c r="H11184" s="37" t="str">
        <f t="shared" si="872"/>
        <v>Low</v>
      </c>
      <c r="I11184">
        <v>9</v>
      </c>
      <c r="J11184" t="str" cm="1">
        <f t="array" ref="J11184">_xlfn.IFS(I11184&lt;=3,"small",I11184&lt;=6,"Medium",I11184&lt;=9,"Large")</f>
        <v>Large</v>
      </c>
      <c r="K11184" s="36">
        <v>45527</v>
      </c>
      <c r="L11184" s="36">
        <v>45529</v>
      </c>
      <c r="M11184" t="s">
        <v>603</v>
      </c>
      <c r="N11184" t="s">
        <v>604</v>
      </c>
      <c r="O11184" s="37" t="str">
        <f t="shared" si="873"/>
        <v>Digital Payment</v>
      </c>
      <c r="P11184">
        <v>466.13</v>
      </c>
      <c r="Q11184" s="37" t="str">
        <f>IF(P11184&gt;500,"High","low")</f>
        <v>low</v>
      </c>
      <c r="R11184" s="37" t="str">
        <f t="shared" si="874"/>
        <v>AVERAGE</v>
      </c>
      <c r="S11184" t="s">
        <v>600</v>
      </c>
    </row>
    <row r="11185" spans="1:19" x14ac:dyDescent="0.2">
      <c r="A11185" t="s">
        <v>11796</v>
      </c>
      <c r="B11185" t="s">
        <v>75</v>
      </c>
      <c r="C11185" t="s">
        <v>597</v>
      </c>
      <c r="D11185">
        <v>2806.6</v>
      </c>
      <c r="E11185" s="37" t="str">
        <f t="shared" si="870"/>
        <v xml:space="preserve"> </v>
      </c>
      <c r="F11185">
        <v>0.47</v>
      </c>
      <c r="G11185" s="37" t="str">
        <f t="shared" si="871"/>
        <v>Heavy Discount</v>
      </c>
      <c r="H11185" s="37" t="str">
        <f t="shared" si="872"/>
        <v>High</v>
      </c>
      <c r="I11185">
        <v>6</v>
      </c>
      <c r="J11185" t="str" cm="1">
        <f t="array" ref="J11185">_xlfn.IFS(I11185&lt;=3,"small",I11185&lt;=6,"Medium",I11185&lt;=9,"Large")</f>
        <v>Medium</v>
      </c>
      <c r="K11185" s="36">
        <v>44981</v>
      </c>
      <c r="L11185" s="36">
        <v>44987</v>
      </c>
      <c r="M11185" t="s">
        <v>603</v>
      </c>
      <c r="N11185" t="s">
        <v>599</v>
      </c>
      <c r="O11185" s="37" t="str">
        <f t="shared" si="873"/>
        <v>Digital Payment</v>
      </c>
      <c r="P11185">
        <v>451.2</v>
      </c>
      <c r="Q11185" s="37" t="str">
        <f>IF(P11185&gt;500,"High","low")</f>
        <v>low</v>
      </c>
      <c r="R11185" s="37" t="str">
        <f t="shared" si="874"/>
        <v>AVERAGE</v>
      </c>
      <c r="S11185" t="s">
        <v>609</v>
      </c>
    </row>
    <row r="11186" spans="1:19" x14ac:dyDescent="0.2">
      <c r="A11186" t="s">
        <v>11797</v>
      </c>
      <c r="B11186" t="s">
        <v>75</v>
      </c>
      <c r="C11186" t="s">
        <v>614</v>
      </c>
      <c r="D11186">
        <v>3810.9</v>
      </c>
      <c r="E11186" s="37" t="str">
        <f t="shared" si="870"/>
        <v xml:space="preserve"> </v>
      </c>
      <c r="F11186">
        <v>0.4</v>
      </c>
      <c r="G11186" s="37" t="str">
        <f t="shared" si="871"/>
        <v>Heavy Discount</v>
      </c>
      <c r="H11186" s="37" t="str">
        <f t="shared" si="872"/>
        <v>Medium</v>
      </c>
      <c r="I11186">
        <v>4</v>
      </c>
      <c r="J11186" t="str" cm="1">
        <f t="array" ref="J11186">_xlfn.IFS(I11186&lt;=3,"small",I11186&lt;=6,"Medium",I11186&lt;=9,"Large")</f>
        <v>Medium</v>
      </c>
      <c r="K11186" s="36">
        <v>45433</v>
      </c>
      <c r="L11186" s="36">
        <v>45436</v>
      </c>
      <c r="M11186" t="s">
        <v>612</v>
      </c>
      <c r="N11186" t="s">
        <v>608</v>
      </c>
      <c r="O11186" s="37" t="str">
        <f t="shared" si="873"/>
        <v>Cash Payment</v>
      </c>
      <c r="P11186">
        <v>530.58000000000004</v>
      </c>
      <c r="Q11186" s="37" t="str">
        <f>IF(P11186&gt;500,"High","low")</f>
        <v>High</v>
      </c>
      <c r="R11186" s="37" t="str">
        <f t="shared" si="874"/>
        <v>Good</v>
      </c>
      <c r="S11186" t="s">
        <v>600</v>
      </c>
    </row>
    <row r="11187" spans="1:19" x14ac:dyDescent="0.2">
      <c r="A11187" t="s">
        <v>11798</v>
      </c>
      <c r="B11187" t="s">
        <v>90</v>
      </c>
      <c r="C11187" t="s">
        <v>602</v>
      </c>
      <c r="D11187">
        <v>3240.86</v>
      </c>
      <c r="E11187" s="37" t="str">
        <f t="shared" si="870"/>
        <v xml:space="preserve"> </v>
      </c>
      <c r="F11187">
        <v>0.34</v>
      </c>
      <c r="G11187" s="37" t="str">
        <f t="shared" si="871"/>
        <v>Heavy Discount</v>
      </c>
      <c r="H11187" s="37" t="str">
        <f t="shared" si="872"/>
        <v>Medium</v>
      </c>
      <c r="I11187">
        <v>3</v>
      </c>
      <c r="J11187" t="str" cm="1">
        <f t="array" ref="J11187">_xlfn.IFS(I11187&lt;=3,"small",I11187&lt;=6,"Medium",I11187&lt;=9,"Large")</f>
        <v>small</v>
      </c>
      <c r="K11187" s="36">
        <v>45099</v>
      </c>
      <c r="L11187" s="36">
        <v>45100</v>
      </c>
      <c r="M11187" t="s">
        <v>598</v>
      </c>
      <c r="N11187" t="s">
        <v>604</v>
      </c>
      <c r="O11187" s="37" t="str">
        <f t="shared" si="873"/>
        <v>Digital Payment</v>
      </c>
      <c r="P11187">
        <v>293.06</v>
      </c>
      <c r="Q11187" s="37" t="str">
        <f>IF(P11187&gt;500,"High","low")</f>
        <v>low</v>
      </c>
      <c r="R11187" s="37" t="str">
        <f t="shared" si="874"/>
        <v>AVERAGE</v>
      </c>
      <c r="S11187" t="s">
        <v>628</v>
      </c>
    </row>
    <row r="11188" spans="1:19" x14ac:dyDescent="0.2">
      <c r="A11188" t="s">
        <v>11799</v>
      </c>
      <c r="B11188" t="s">
        <v>83</v>
      </c>
      <c r="C11188" t="s">
        <v>607</v>
      </c>
      <c r="D11188">
        <v>1703.88</v>
      </c>
      <c r="E11188" s="37" t="str">
        <f t="shared" si="870"/>
        <v xml:space="preserve"> </v>
      </c>
      <c r="F11188">
        <v>0.42</v>
      </c>
      <c r="G11188" s="37" t="str">
        <f t="shared" si="871"/>
        <v>Heavy Discount</v>
      </c>
      <c r="H11188" s="37" t="str">
        <f t="shared" si="872"/>
        <v>High</v>
      </c>
      <c r="I11188">
        <v>8</v>
      </c>
      <c r="J11188" t="str" cm="1">
        <f t="array" ref="J11188">_xlfn.IFS(I11188&lt;=3,"small",I11188&lt;=6,"Medium",I11188&lt;=9,"Large")</f>
        <v>Large</v>
      </c>
      <c r="K11188" s="36">
        <v>45081</v>
      </c>
      <c r="L11188" s="36">
        <v>45088</v>
      </c>
      <c r="M11188" t="s">
        <v>598</v>
      </c>
      <c r="N11188" t="s">
        <v>599</v>
      </c>
      <c r="O11188" s="37" t="str">
        <f t="shared" si="873"/>
        <v>Digital Payment</v>
      </c>
      <c r="P11188">
        <v>186.61</v>
      </c>
      <c r="Q11188" s="37" t="str">
        <f>IF(P11188&gt;500,"High","low")</f>
        <v>low</v>
      </c>
      <c r="R11188" s="37" t="str">
        <f t="shared" si="874"/>
        <v>AVERAGE</v>
      </c>
      <c r="S11188" t="s">
        <v>605</v>
      </c>
    </row>
    <row r="11189" spans="1:19" x14ac:dyDescent="0.2">
      <c r="A11189" t="s">
        <v>11800</v>
      </c>
      <c r="B11189" t="s">
        <v>67</v>
      </c>
      <c r="C11189" t="s">
        <v>602</v>
      </c>
      <c r="D11189">
        <v>1798.08</v>
      </c>
      <c r="E11189" s="37" t="str">
        <f t="shared" si="870"/>
        <v xml:space="preserve"> </v>
      </c>
      <c r="F11189">
        <v>0.13</v>
      </c>
      <c r="G11189" s="37" t="str">
        <f t="shared" si="871"/>
        <v>Normal Discount</v>
      </c>
      <c r="H11189" s="37" t="str">
        <f t="shared" si="872"/>
        <v>Low</v>
      </c>
      <c r="I11189">
        <v>2</v>
      </c>
      <c r="J11189" t="str" cm="1">
        <f t="array" ref="J11189">_xlfn.IFS(I11189&lt;=3,"small",I11189&lt;=6,"Medium",I11189&lt;=9,"Large")</f>
        <v>small</v>
      </c>
      <c r="K11189" s="36">
        <v>45656</v>
      </c>
      <c r="L11189" s="36">
        <v>45662</v>
      </c>
      <c r="M11189" t="s">
        <v>612</v>
      </c>
      <c r="N11189" t="s">
        <v>608</v>
      </c>
      <c r="O11189" s="37" t="str">
        <f t="shared" si="873"/>
        <v>Cash Payment</v>
      </c>
      <c r="P11189">
        <v>359.69</v>
      </c>
      <c r="Q11189" s="37" t="str">
        <f>IF(P11189&gt;500,"High","low")</f>
        <v>low</v>
      </c>
      <c r="R11189" s="37" t="str">
        <f t="shared" si="874"/>
        <v>AVERAGE</v>
      </c>
      <c r="S11189" t="s">
        <v>605</v>
      </c>
    </row>
    <row r="11190" spans="1:19" x14ac:dyDescent="0.2">
      <c r="A11190" t="s">
        <v>11801</v>
      </c>
      <c r="B11190" t="s">
        <v>75</v>
      </c>
      <c r="C11190" t="s">
        <v>602</v>
      </c>
      <c r="D11190">
        <v>3838.72</v>
      </c>
      <c r="E11190" s="37" t="str">
        <f t="shared" si="870"/>
        <v xml:space="preserve"> </v>
      </c>
      <c r="F11190">
        <v>0.36</v>
      </c>
      <c r="G11190" s="37" t="str">
        <f t="shared" si="871"/>
        <v>Heavy Discount</v>
      </c>
      <c r="H11190" s="37" t="str">
        <f t="shared" si="872"/>
        <v>Medium</v>
      </c>
      <c r="I11190">
        <v>8</v>
      </c>
      <c r="J11190" t="str" cm="1">
        <f t="array" ref="J11190">_xlfn.IFS(I11190&lt;=3,"small",I11190&lt;=6,"Medium",I11190&lt;=9,"Large")</f>
        <v>Large</v>
      </c>
      <c r="K11190" s="36">
        <v>45106</v>
      </c>
      <c r="L11190" s="36">
        <v>45113</v>
      </c>
      <c r="M11190" t="s">
        <v>603</v>
      </c>
      <c r="N11190" t="s">
        <v>604</v>
      </c>
      <c r="O11190" s="37" t="str">
        <f t="shared" si="873"/>
        <v>Digital Payment</v>
      </c>
      <c r="P11190">
        <v>865.77</v>
      </c>
      <c r="Q11190" s="37" t="str">
        <f>IF(P11190&gt;500,"High","low")</f>
        <v>High</v>
      </c>
      <c r="R11190" s="37" t="str">
        <f t="shared" si="874"/>
        <v>Good</v>
      </c>
      <c r="S11190" t="s">
        <v>605</v>
      </c>
    </row>
    <row r="11191" spans="1:19" x14ac:dyDescent="0.2">
      <c r="A11191" t="s">
        <v>11802</v>
      </c>
      <c r="B11191" t="s">
        <v>90</v>
      </c>
      <c r="C11191" t="s">
        <v>617</v>
      </c>
      <c r="D11191">
        <v>2719.77</v>
      </c>
      <c r="E11191" s="37" t="str">
        <f t="shared" si="870"/>
        <v xml:space="preserve"> </v>
      </c>
      <c r="F11191">
        <v>0.31</v>
      </c>
      <c r="G11191" s="37" t="str">
        <f t="shared" si="871"/>
        <v>Heavy Discount</v>
      </c>
      <c r="H11191" s="37" t="str">
        <f t="shared" si="872"/>
        <v>Medium</v>
      </c>
      <c r="I11191">
        <v>7</v>
      </c>
      <c r="J11191" t="str" cm="1">
        <f t="array" ref="J11191">_xlfn.IFS(I11191&lt;=3,"small",I11191&lt;=6,"Medium",I11191&lt;=9,"Large")</f>
        <v>Large</v>
      </c>
      <c r="K11191" s="36">
        <v>45565</v>
      </c>
      <c r="L11191" s="36">
        <v>45569</v>
      </c>
      <c r="M11191" t="s">
        <v>612</v>
      </c>
      <c r="N11191" t="s">
        <v>599</v>
      </c>
      <c r="O11191" s="37" t="str">
        <f t="shared" si="873"/>
        <v>Digital Payment</v>
      </c>
      <c r="P11191">
        <v>506.31</v>
      </c>
      <c r="Q11191" s="37" t="str">
        <f>IF(P11191&gt;500,"High","low")</f>
        <v>High</v>
      </c>
      <c r="R11191" s="37" t="str">
        <f t="shared" si="874"/>
        <v>Good</v>
      </c>
      <c r="S11191" t="s">
        <v>609</v>
      </c>
    </row>
    <row r="11192" spans="1:19" x14ac:dyDescent="0.2">
      <c r="A11192" t="s">
        <v>11803</v>
      </c>
      <c r="B11192" t="s">
        <v>83</v>
      </c>
      <c r="C11192" t="s">
        <v>597</v>
      </c>
      <c r="D11192">
        <v>580.08000000000004</v>
      </c>
      <c r="E11192" s="37" t="str">
        <f t="shared" si="870"/>
        <v xml:space="preserve"> </v>
      </c>
      <c r="F11192">
        <v>0.42</v>
      </c>
      <c r="G11192" s="37" t="str">
        <f t="shared" si="871"/>
        <v>Heavy Discount</v>
      </c>
      <c r="H11192" s="37" t="str">
        <f t="shared" si="872"/>
        <v>High</v>
      </c>
      <c r="I11192">
        <v>2</v>
      </c>
      <c r="J11192" t="str" cm="1">
        <f t="array" ref="J11192">_xlfn.IFS(I11192&lt;=3,"small",I11192&lt;=6,"Medium",I11192&lt;=9,"Large")</f>
        <v>small</v>
      </c>
      <c r="K11192" s="36">
        <v>45298</v>
      </c>
      <c r="L11192" s="36">
        <v>45300</v>
      </c>
      <c r="M11192" t="s">
        <v>603</v>
      </c>
      <c r="N11192" t="s">
        <v>604</v>
      </c>
      <c r="O11192" s="37" t="str">
        <f t="shared" si="873"/>
        <v>Digital Payment</v>
      </c>
      <c r="P11192">
        <v>168.97</v>
      </c>
      <c r="Q11192" s="37" t="str">
        <f>IF(P11192&gt;500,"High","low")</f>
        <v>low</v>
      </c>
      <c r="R11192" s="37" t="str">
        <f t="shared" si="874"/>
        <v>AVERAGE</v>
      </c>
      <c r="S11192" t="s">
        <v>605</v>
      </c>
    </row>
    <row r="11193" spans="1:19" x14ac:dyDescent="0.2">
      <c r="A11193" t="s">
        <v>11804</v>
      </c>
      <c r="B11193" t="s">
        <v>75</v>
      </c>
      <c r="C11193" t="s">
        <v>607</v>
      </c>
      <c r="D11193">
        <v>849.68</v>
      </c>
      <c r="E11193" s="37" t="str">
        <f t="shared" si="870"/>
        <v xml:space="preserve"> </v>
      </c>
      <c r="F11193">
        <v>0.14000000000000001</v>
      </c>
      <c r="G11193" s="37" t="str">
        <f t="shared" si="871"/>
        <v>Normal Discount</v>
      </c>
      <c r="H11193" s="37" t="str">
        <f t="shared" si="872"/>
        <v>Low</v>
      </c>
      <c r="I11193">
        <v>2</v>
      </c>
      <c r="J11193" t="str" cm="1">
        <f t="array" ref="J11193">_xlfn.IFS(I11193&lt;=3,"small",I11193&lt;=6,"Medium",I11193&lt;=9,"Large")</f>
        <v>small</v>
      </c>
      <c r="K11193" s="36">
        <v>45613</v>
      </c>
      <c r="L11193" s="36">
        <v>45616</v>
      </c>
      <c r="M11193" t="s">
        <v>598</v>
      </c>
      <c r="N11193" t="s">
        <v>604</v>
      </c>
      <c r="O11193" s="37" t="str">
        <f t="shared" si="873"/>
        <v>Digital Payment</v>
      </c>
      <c r="P11193">
        <v>82.2</v>
      </c>
      <c r="Q11193" s="37" t="str">
        <f>IF(P11193&gt;500,"High","low")</f>
        <v>low</v>
      </c>
      <c r="R11193" s="37" t="str">
        <f t="shared" si="874"/>
        <v>AVERAGE</v>
      </c>
      <c r="S11193" t="s">
        <v>628</v>
      </c>
    </row>
    <row r="11194" spans="1:19" x14ac:dyDescent="0.2">
      <c r="A11194" t="s">
        <v>11805</v>
      </c>
      <c r="B11194" t="s">
        <v>83</v>
      </c>
      <c r="C11194" t="s">
        <v>602</v>
      </c>
      <c r="D11194">
        <v>4270.83</v>
      </c>
      <c r="E11194" s="37" t="str">
        <f t="shared" si="870"/>
        <v>Excellent Order</v>
      </c>
      <c r="F11194">
        <v>0.38</v>
      </c>
      <c r="G11194" s="37" t="str">
        <f t="shared" si="871"/>
        <v>Heavy Discount</v>
      </c>
      <c r="H11194" s="37" t="str">
        <f t="shared" si="872"/>
        <v>Medium</v>
      </c>
      <c r="I11194">
        <v>2</v>
      </c>
      <c r="J11194" t="str" cm="1">
        <f t="array" ref="J11194">_xlfn.IFS(I11194&lt;=3,"small",I11194&lt;=6,"Medium",I11194&lt;=9,"Large")</f>
        <v>small</v>
      </c>
      <c r="K11194" s="36">
        <v>44984</v>
      </c>
      <c r="L11194" s="36">
        <v>44991</v>
      </c>
      <c r="M11194" t="s">
        <v>612</v>
      </c>
      <c r="N11194" t="s">
        <v>608</v>
      </c>
      <c r="O11194" s="37" t="str">
        <f t="shared" si="873"/>
        <v>Cash Payment</v>
      </c>
      <c r="P11194">
        <v>826.96</v>
      </c>
      <c r="Q11194" s="37" t="str">
        <f>IF(P11194&gt;500,"High","low")</f>
        <v>High</v>
      </c>
      <c r="R11194" s="37" t="str">
        <f t="shared" si="874"/>
        <v>Good</v>
      </c>
      <c r="S11194" t="s">
        <v>609</v>
      </c>
    </row>
    <row r="11195" spans="1:19" x14ac:dyDescent="0.2">
      <c r="A11195" t="s">
        <v>11806</v>
      </c>
      <c r="B11195" t="s">
        <v>83</v>
      </c>
      <c r="C11195" t="s">
        <v>607</v>
      </c>
      <c r="D11195">
        <v>4994.1400000000003</v>
      </c>
      <c r="E11195" s="37" t="str">
        <f t="shared" si="870"/>
        <v>Excellent Order</v>
      </c>
      <c r="F11195">
        <v>0.43</v>
      </c>
      <c r="G11195" s="37" t="str">
        <f t="shared" si="871"/>
        <v>Heavy Discount</v>
      </c>
      <c r="H11195" s="37" t="str">
        <f t="shared" si="872"/>
        <v>High</v>
      </c>
      <c r="I11195">
        <v>1</v>
      </c>
      <c r="J11195" t="str" cm="1">
        <f t="array" ref="J11195">_xlfn.IFS(I11195&lt;=3,"small",I11195&lt;=6,"Medium",I11195&lt;=9,"Large")</f>
        <v>small</v>
      </c>
      <c r="K11195" s="36">
        <v>45573</v>
      </c>
      <c r="L11195" s="36">
        <v>45574</v>
      </c>
      <c r="M11195" t="s">
        <v>603</v>
      </c>
      <c r="N11195" t="s">
        <v>608</v>
      </c>
      <c r="O11195" s="37" t="str">
        <f t="shared" si="873"/>
        <v>Cash Payment</v>
      </c>
      <c r="P11195">
        <v>1177.17</v>
      </c>
      <c r="Q11195" s="37" t="str">
        <f>IF(P11195&gt;500,"High","low")</f>
        <v>High</v>
      </c>
      <c r="R11195" s="37" t="str">
        <f t="shared" si="874"/>
        <v>Excellent</v>
      </c>
      <c r="S11195" t="s">
        <v>609</v>
      </c>
    </row>
    <row r="11196" spans="1:19" x14ac:dyDescent="0.2">
      <c r="A11196" t="s">
        <v>11807</v>
      </c>
      <c r="B11196" t="s">
        <v>75</v>
      </c>
      <c r="C11196" t="s">
        <v>597</v>
      </c>
      <c r="D11196">
        <v>1744.85</v>
      </c>
      <c r="E11196" s="37" t="str">
        <f t="shared" si="870"/>
        <v xml:space="preserve"> </v>
      </c>
      <c r="F11196">
        <v>0.27</v>
      </c>
      <c r="G11196" s="37" t="str">
        <f t="shared" si="871"/>
        <v>Normal Discount</v>
      </c>
      <c r="H11196" s="37" t="str">
        <f t="shared" si="872"/>
        <v>Medium</v>
      </c>
      <c r="I11196">
        <v>7</v>
      </c>
      <c r="J11196" t="str" cm="1">
        <f t="array" ref="J11196">_xlfn.IFS(I11196&lt;=3,"small",I11196&lt;=6,"Medium",I11196&lt;=9,"Large")</f>
        <v>Large</v>
      </c>
      <c r="K11196" s="36">
        <v>45067</v>
      </c>
      <c r="L11196" s="36">
        <v>45068</v>
      </c>
      <c r="M11196" t="s">
        <v>603</v>
      </c>
      <c r="N11196" t="s">
        <v>604</v>
      </c>
      <c r="O11196" s="37" t="str">
        <f t="shared" si="873"/>
        <v>Digital Payment</v>
      </c>
      <c r="P11196">
        <v>192.09</v>
      </c>
      <c r="Q11196" s="37" t="str">
        <f>IF(P11196&gt;500,"High","low")</f>
        <v>low</v>
      </c>
      <c r="R11196" s="37" t="str">
        <f t="shared" si="874"/>
        <v>AVERAGE</v>
      </c>
      <c r="S11196" t="s">
        <v>609</v>
      </c>
    </row>
    <row r="11197" spans="1:19" x14ac:dyDescent="0.2">
      <c r="A11197" t="s">
        <v>11808</v>
      </c>
      <c r="B11197" t="s">
        <v>75</v>
      </c>
      <c r="C11197" t="s">
        <v>614</v>
      </c>
      <c r="D11197">
        <v>1994.84</v>
      </c>
      <c r="E11197" s="37" t="str">
        <f t="shared" si="870"/>
        <v xml:space="preserve"> </v>
      </c>
      <c r="F11197">
        <v>0.21</v>
      </c>
      <c r="G11197" s="37" t="str">
        <f t="shared" si="871"/>
        <v>Normal Discount</v>
      </c>
      <c r="H11197" s="37" t="str">
        <f t="shared" si="872"/>
        <v>Medium</v>
      </c>
      <c r="I11197">
        <v>8</v>
      </c>
      <c r="J11197" t="str" cm="1">
        <f t="array" ref="J11197">_xlfn.IFS(I11197&lt;=3,"small",I11197&lt;=6,"Medium",I11197&lt;=9,"Large")</f>
        <v>Large</v>
      </c>
      <c r="K11197" s="36">
        <v>44974</v>
      </c>
      <c r="L11197" s="36">
        <v>44978</v>
      </c>
      <c r="M11197" t="s">
        <v>603</v>
      </c>
      <c r="N11197" t="s">
        <v>608</v>
      </c>
      <c r="O11197" s="37" t="str">
        <f t="shared" si="873"/>
        <v>Cash Payment</v>
      </c>
      <c r="P11197">
        <v>121.36</v>
      </c>
      <c r="Q11197" s="37" t="str">
        <f>IF(P11197&gt;500,"High","low")</f>
        <v>low</v>
      </c>
      <c r="R11197" s="37" t="str">
        <f t="shared" si="874"/>
        <v>AVERAGE</v>
      </c>
      <c r="S11197" t="s">
        <v>628</v>
      </c>
    </row>
    <row r="11198" spans="1:19" x14ac:dyDescent="0.2">
      <c r="A11198" t="s">
        <v>11809</v>
      </c>
      <c r="B11198" t="s">
        <v>75</v>
      </c>
      <c r="C11198" t="s">
        <v>602</v>
      </c>
      <c r="D11198">
        <v>856.99</v>
      </c>
      <c r="E11198" s="37" t="str">
        <f t="shared" si="870"/>
        <v xml:space="preserve"> </v>
      </c>
      <c r="F11198">
        <v>0.47</v>
      </c>
      <c r="G11198" s="37" t="str">
        <f t="shared" si="871"/>
        <v>Heavy Discount</v>
      </c>
      <c r="H11198" s="37" t="str">
        <f t="shared" si="872"/>
        <v>High</v>
      </c>
      <c r="I11198">
        <v>7</v>
      </c>
      <c r="J11198" t="str" cm="1">
        <f t="array" ref="J11198">_xlfn.IFS(I11198&lt;=3,"small",I11198&lt;=6,"Medium",I11198&lt;=9,"Large")</f>
        <v>Large</v>
      </c>
      <c r="K11198" s="36">
        <v>45594</v>
      </c>
      <c r="L11198" s="36">
        <v>45596</v>
      </c>
      <c r="M11198" t="s">
        <v>612</v>
      </c>
      <c r="N11198" t="s">
        <v>599</v>
      </c>
      <c r="O11198" s="37" t="str">
        <f t="shared" si="873"/>
        <v>Digital Payment</v>
      </c>
      <c r="P11198">
        <v>93.97</v>
      </c>
      <c r="Q11198" s="37" t="str">
        <f>IF(P11198&gt;500,"High","low")</f>
        <v>low</v>
      </c>
      <c r="R11198" s="37" t="str">
        <f t="shared" si="874"/>
        <v>AVERAGE</v>
      </c>
      <c r="S11198" t="s">
        <v>600</v>
      </c>
    </row>
    <row r="11199" spans="1:19" x14ac:dyDescent="0.2">
      <c r="A11199" t="s">
        <v>11810</v>
      </c>
      <c r="B11199" t="s">
        <v>83</v>
      </c>
      <c r="C11199" t="s">
        <v>597</v>
      </c>
      <c r="D11199">
        <v>1254.99</v>
      </c>
      <c r="E11199" s="37" t="str">
        <f t="shared" si="870"/>
        <v xml:space="preserve"> </v>
      </c>
      <c r="F11199">
        <v>0.08</v>
      </c>
      <c r="G11199" s="37" t="str">
        <f t="shared" si="871"/>
        <v>Normal Discount</v>
      </c>
      <c r="H11199" s="37" t="str">
        <f t="shared" si="872"/>
        <v>Low</v>
      </c>
      <c r="I11199">
        <v>4</v>
      </c>
      <c r="J11199" t="str" cm="1">
        <f t="array" ref="J11199">_xlfn.IFS(I11199&lt;=3,"small",I11199&lt;=6,"Medium",I11199&lt;=9,"Large")</f>
        <v>Medium</v>
      </c>
      <c r="K11199" s="36">
        <v>45355</v>
      </c>
      <c r="L11199" s="36">
        <v>45359</v>
      </c>
      <c r="M11199" t="s">
        <v>612</v>
      </c>
      <c r="N11199" t="s">
        <v>608</v>
      </c>
      <c r="O11199" s="37" t="str">
        <f t="shared" si="873"/>
        <v>Cash Payment</v>
      </c>
      <c r="P11199">
        <v>64.91</v>
      </c>
      <c r="Q11199" s="37" t="str">
        <f>IF(P11199&gt;500,"High","low")</f>
        <v>low</v>
      </c>
      <c r="R11199" s="37" t="str">
        <f t="shared" si="874"/>
        <v>AVERAGE</v>
      </c>
      <c r="S11199" t="s">
        <v>600</v>
      </c>
    </row>
    <row r="11200" spans="1:19" x14ac:dyDescent="0.2">
      <c r="A11200" t="s">
        <v>11811</v>
      </c>
      <c r="B11200" t="s">
        <v>83</v>
      </c>
      <c r="C11200" t="s">
        <v>607</v>
      </c>
      <c r="D11200">
        <v>2180.69</v>
      </c>
      <c r="E11200" s="37" t="str">
        <f t="shared" si="870"/>
        <v xml:space="preserve"> </v>
      </c>
      <c r="F11200">
        <v>0.02</v>
      </c>
      <c r="G11200" s="37" t="str">
        <f t="shared" si="871"/>
        <v>Normal Discount</v>
      </c>
      <c r="H11200" s="37" t="str">
        <f t="shared" si="872"/>
        <v>Low</v>
      </c>
      <c r="I11200">
        <v>9</v>
      </c>
      <c r="J11200" t="str" cm="1">
        <f t="array" ref="J11200">_xlfn.IFS(I11200&lt;=3,"small",I11200&lt;=6,"Medium",I11200&lt;=9,"Large")</f>
        <v>Large</v>
      </c>
      <c r="K11200" s="36">
        <v>45622</v>
      </c>
      <c r="L11200" s="36">
        <v>45626</v>
      </c>
      <c r="M11200" t="s">
        <v>598</v>
      </c>
      <c r="N11200" t="s">
        <v>599</v>
      </c>
      <c r="O11200" s="37" t="str">
        <f t="shared" si="873"/>
        <v>Digital Payment</v>
      </c>
      <c r="P11200">
        <v>358.85</v>
      </c>
      <c r="Q11200" s="37" t="str">
        <f>IF(P11200&gt;500,"High","low")</f>
        <v>low</v>
      </c>
      <c r="R11200" s="37" t="str">
        <f t="shared" si="874"/>
        <v>AVERAGE</v>
      </c>
      <c r="S11200" t="s">
        <v>600</v>
      </c>
    </row>
    <row r="11201" spans="1:19" x14ac:dyDescent="0.2">
      <c r="A11201" t="s">
        <v>11812</v>
      </c>
      <c r="B11201" t="s">
        <v>90</v>
      </c>
      <c r="C11201" t="s">
        <v>597</v>
      </c>
      <c r="D11201">
        <v>1493.51</v>
      </c>
      <c r="E11201" s="37" t="str">
        <f t="shared" si="870"/>
        <v xml:space="preserve"> </v>
      </c>
      <c r="F11201">
        <v>0.09</v>
      </c>
      <c r="G11201" s="37" t="str">
        <f t="shared" si="871"/>
        <v>Normal Discount</v>
      </c>
      <c r="H11201" s="37" t="str">
        <f t="shared" si="872"/>
        <v>Low</v>
      </c>
      <c r="I11201">
        <v>2</v>
      </c>
      <c r="J11201" t="str" cm="1">
        <f t="array" ref="J11201">_xlfn.IFS(I11201&lt;=3,"small",I11201&lt;=6,"Medium",I11201&lt;=9,"Large")</f>
        <v>small</v>
      </c>
      <c r="K11201" s="36">
        <v>45402</v>
      </c>
      <c r="L11201" s="36">
        <v>45403</v>
      </c>
      <c r="M11201" t="s">
        <v>603</v>
      </c>
      <c r="N11201" t="s">
        <v>599</v>
      </c>
      <c r="O11201" s="37" t="str">
        <f t="shared" si="873"/>
        <v>Digital Payment</v>
      </c>
      <c r="P11201">
        <v>91.02</v>
      </c>
      <c r="Q11201" s="37" t="str">
        <f>IF(P11201&gt;500,"High","low")</f>
        <v>low</v>
      </c>
      <c r="R11201" s="37" t="str">
        <f t="shared" si="874"/>
        <v>AVERAGE</v>
      </c>
      <c r="S11201" t="s">
        <v>615</v>
      </c>
    </row>
    <row r="11202" spans="1:19" x14ac:dyDescent="0.2">
      <c r="A11202" t="s">
        <v>11813</v>
      </c>
      <c r="B11202" t="s">
        <v>67</v>
      </c>
      <c r="C11202" t="s">
        <v>614</v>
      </c>
      <c r="D11202">
        <v>3536.98</v>
      </c>
      <c r="E11202" s="37" t="str">
        <f t="shared" si="870"/>
        <v xml:space="preserve"> </v>
      </c>
      <c r="F11202">
        <v>0.34</v>
      </c>
      <c r="G11202" s="37" t="str">
        <f t="shared" si="871"/>
        <v>Heavy Discount</v>
      </c>
      <c r="H11202" s="37" t="str">
        <f t="shared" si="872"/>
        <v>Medium</v>
      </c>
      <c r="I11202">
        <v>5</v>
      </c>
      <c r="J11202" t="str" cm="1">
        <f t="array" ref="J11202">_xlfn.IFS(I11202&lt;=3,"small",I11202&lt;=6,"Medium",I11202&lt;=9,"Large")</f>
        <v>Medium</v>
      </c>
      <c r="K11202" s="36">
        <v>45142</v>
      </c>
      <c r="L11202" s="36">
        <v>45149</v>
      </c>
      <c r="M11202" t="s">
        <v>612</v>
      </c>
      <c r="N11202" t="s">
        <v>604</v>
      </c>
      <c r="O11202" s="37" t="str">
        <f t="shared" si="873"/>
        <v>Digital Payment</v>
      </c>
      <c r="P11202">
        <v>841.35</v>
      </c>
      <c r="Q11202" s="37" t="str">
        <f>IF(P11202&gt;500,"High","low")</f>
        <v>High</v>
      </c>
      <c r="R11202" s="37" t="str">
        <f t="shared" si="874"/>
        <v>Good</v>
      </c>
      <c r="S11202" t="s">
        <v>605</v>
      </c>
    </row>
    <row r="11203" spans="1:19" x14ac:dyDescent="0.2">
      <c r="A11203" t="s">
        <v>11814</v>
      </c>
      <c r="B11203" t="s">
        <v>83</v>
      </c>
      <c r="C11203" t="s">
        <v>597</v>
      </c>
      <c r="D11203">
        <v>2735.46</v>
      </c>
      <c r="E11203" s="37" t="str">
        <f t="shared" ref="E11203:E11266" si="875">IF(AND(D11203&gt;4000,P11203&gt;800),"Excellent Order"," ")</f>
        <v xml:space="preserve"> </v>
      </c>
      <c r="F11203">
        <v>0.39</v>
      </c>
      <c r="G11203" s="37" t="str">
        <f t="shared" ref="G11203:G11266" si="876">IF(F11203&gt;30%,"Heavy Discount","Normal Discount")</f>
        <v>Heavy Discount</v>
      </c>
      <c r="H11203" s="37" t="str">
        <f t="shared" ref="H11203:H11266" si="877">IF(F11203&gt;0.4,"High",IF(F11203&gt;=0.2,"Medium","Low"))</f>
        <v>Medium</v>
      </c>
      <c r="I11203">
        <v>2</v>
      </c>
      <c r="J11203" t="str" cm="1">
        <f t="array" ref="J11203">_xlfn.IFS(I11203&lt;=3,"small",I11203&lt;=6,"Medium",I11203&lt;=9,"Large")</f>
        <v>small</v>
      </c>
      <c r="K11203" s="36">
        <v>45601</v>
      </c>
      <c r="L11203" s="36">
        <v>45606</v>
      </c>
      <c r="M11203" t="s">
        <v>612</v>
      </c>
      <c r="N11203" t="s">
        <v>608</v>
      </c>
      <c r="O11203" s="37" t="str">
        <f t="shared" ref="O11203:O11266" si="878">IF(OR(N11203="Card",N11203="UPI"),"Digital Payment","Cash Payment")</f>
        <v>Cash Payment</v>
      </c>
      <c r="P11203">
        <v>752.61</v>
      </c>
      <c r="Q11203" s="37" t="str">
        <f>IF(P11203&gt;500,"High","low")</f>
        <v>High</v>
      </c>
      <c r="R11203" s="37" t="str">
        <f t="shared" ref="R11203:R11266" si="879">IF(P11203&gt;1000,"Excellent",IF(P11203&gt;=500,"Good","AVERAGE"))</f>
        <v>Good</v>
      </c>
      <c r="S11203" t="s">
        <v>605</v>
      </c>
    </row>
    <row r="11204" spans="1:19" x14ac:dyDescent="0.2">
      <c r="A11204" t="s">
        <v>11815</v>
      </c>
      <c r="B11204" t="s">
        <v>67</v>
      </c>
      <c r="C11204" t="s">
        <v>607</v>
      </c>
      <c r="D11204">
        <v>4129.26</v>
      </c>
      <c r="E11204" s="37" t="str">
        <f t="shared" si="875"/>
        <v xml:space="preserve"> </v>
      </c>
      <c r="F11204">
        <v>0.36</v>
      </c>
      <c r="G11204" s="37" t="str">
        <f t="shared" si="876"/>
        <v>Heavy Discount</v>
      </c>
      <c r="H11204" s="37" t="str">
        <f t="shared" si="877"/>
        <v>Medium</v>
      </c>
      <c r="I11204">
        <v>3</v>
      </c>
      <c r="J11204" t="str" cm="1">
        <f t="array" ref="J11204">_xlfn.IFS(I11204&lt;=3,"small",I11204&lt;=6,"Medium",I11204&lt;=9,"Large")</f>
        <v>small</v>
      </c>
      <c r="K11204" s="36">
        <v>45051</v>
      </c>
      <c r="L11204" s="36">
        <v>45054</v>
      </c>
      <c r="M11204" t="s">
        <v>598</v>
      </c>
      <c r="N11204" t="s">
        <v>608</v>
      </c>
      <c r="O11204" s="37" t="str">
        <f t="shared" si="878"/>
        <v>Cash Payment</v>
      </c>
      <c r="P11204">
        <v>537.64</v>
      </c>
      <c r="Q11204" s="37" t="str">
        <f>IF(P11204&gt;500,"High","low")</f>
        <v>High</v>
      </c>
      <c r="R11204" s="37" t="str">
        <f t="shared" si="879"/>
        <v>Good</v>
      </c>
      <c r="S11204" t="s">
        <v>628</v>
      </c>
    </row>
    <row r="11205" spans="1:19" x14ac:dyDescent="0.2">
      <c r="A11205" t="s">
        <v>11816</v>
      </c>
      <c r="B11205" t="s">
        <v>75</v>
      </c>
      <c r="C11205" t="s">
        <v>602</v>
      </c>
      <c r="D11205">
        <v>3650.17</v>
      </c>
      <c r="E11205" s="37" t="str">
        <f t="shared" si="875"/>
        <v xml:space="preserve"> </v>
      </c>
      <c r="F11205">
        <v>0.21</v>
      </c>
      <c r="G11205" s="37" t="str">
        <f t="shared" si="876"/>
        <v>Normal Discount</v>
      </c>
      <c r="H11205" s="37" t="str">
        <f t="shared" si="877"/>
        <v>Medium</v>
      </c>
      <c r="I11205">
        <v>2</v>
      </c>
      <c r="J11205" t="str" cm="1">
        <f t="array" ref="J11205">_xlfn.IFS(I11205&lt;=3,"small",I11205&lt;=6,"Medium",I11205&lt;=9,"Large")</f>
        <v>small</v>
      </c>
      <c r="K11205" s="36">
        <v>45237</v>
      </c>
      <c r="L11205" s="36">
        <v>45244</v>
      </c>
      <c r="M11205" t="s">
        <v>603</v>
      </c>
      <c r="N11205" t="s">
        <v>599</v>
      </c>
      <c r="O11205" s="37" t="str">
        <f t="shared" si="878"/>
        <v>Digital Payment</v>
      </c>
      <c r="P11205">
        <v>718.71</v>
      </c>
      <c r="Q11205" s="37" t="str">
        <f>IF(P11205&gt;500,"High","low")</f>
        <v>High</v>
      </c>
      <c r="R11205" s="37" t="str">
        <f t="shared" si="879"/>
        <v>Good</v>
      </c>
      <c r="S11205" t="s">
        <v>620</v>
      </c>
    </row>
    <row r="11206" spans="1:19" x14ac:dyDescent="0.2">
      <c r="A11206" t="s">
        <v>11817</v>
      </c>
      <c r="B11206" t="s">
        <v>83</v>
      </c>
      <c r="C11206" t="s">
        <v>602</v>
      </c>
      <c r="D11206">
        <v>727.69</v>
      </c>
      <c r="E11206" s="37" t="str">
        <f t="shared" si="875"/>
        <v xml:space="preserve"> </v>
      </c>
      <c r="F11206">
        <v>0.48</v>
      </c>
      <c r="G11206" s="37" t="str">
        <f t="shared" si="876"/>
        <v>Heavy Discount</v>
      </c>
      <c r="H11206" s="37" t="str">
        <f t="shared" si="877"/>
        <v>High</v>
      </c>
      <c r="I11206">
        <v>8</v>
      </c>
      <c r="J11206" t="str" cm="1">
        <f t="array" ref="J11206">_xlfn.IFS(I11206&lt;=3,"small",I11206&lt;=6,"Medium",I11206&lt;=9,"Large")</f>
        <v>Large</v>
      </c>
      <c r="K11206" s="36">
        <v>45437</v>
      </c>
      <c r="L11206" s="36">
        <v>45439</v>
      </c>
      <c r="M11206" t="s">
        <v>612</v>
      </c>
      <c r="N11206" t="s">
        <v>608</v>
      </c>
      <c r="O11206" s="37" t="str">
        <f t="shared" si="878"/>
        <v>Cash Payment</v>
      </c>
      <c r="P11206">
        <v>186.63</v>
      </c>
      <c r="Q11206" s="37" t="str">
        <f>IF(P11206&gt;500,"High","low")</f>
        <v>low</v>
      </c>
      <c r="R11206" s="37" t="str">
        <f t="shared" si="879"/>
        <v>AVERAGE</v>
      </c>
      <c r="S11206" t="s">
        <v>605</v>
      </c>
    </row>
    <row r="11207" spans="1:19" x14ac:dyDescent="0.2">
      <c r="A11207" t="s">
        <v>11818</v>
      </c>
      <c r="B11207" t="s">
        <v>90</v>
      </c>
      <c r="C11207" t="s">
        <v>617</v>
      </c>
      <c r="D11207">
        <v>704.61</v>
      </c>
      <c r="E11207" s="37" t="str">
        <f t="shared" si="875"/>
        <v xml:space="preserve"> </v>
      </c>
      <c r="F11207">
        <v>0.22</v>
      </c>
      <c r="G11207" s="37" t="str">
        <f t="shared" si="876"/>
        <v>Normal Discount</v>
      </c>
      <c r="H11207" s="37" t="str">
        <f t="shared" si="877"/>
        <v>Medium</v>
      </c>
      <c r="I11207">
        <v>6</v>
      </c>
      <c r="J11207" t="str" cm="1">
        <f t="array" ref="J11207">_xlfn.IFS(I11207&lt;=3,"small",I11207&lt;=6,"Medium",I11207&lt;=9,"Large")</f>
        <v>Medium</v>
      </c>
      <c r="K11207" s="36">
        <v>45063</v>
      </c>
      <c r="L11207" s="36">
        <v>45068</v>
      </c>
      <c r="M11207" t="s">
        <v>612</v>
      </c>
      <c r="N11207" t="s">
        <v>599</v>
      </c>
      <c r="O11207" s="37" t="str">
        <f t="shared" si="878"/>
        <v>Digital Payment</v>
      </c>
      <c r="P11207">
        <v>81.47</v>
      </c>
      <c r="Q11207" s="37" t="str">
        <f>IF(P11207&gt;500,"High","low")</f>
        <v>low</v>
      </c>
      <c r="R11207" s="37" t="str">
        <f t="shared" si="879"/>
        <v>AVERAGE</v>
      </c>
      <c r="S11207" t="s">
        <v>609</v>
      </c>
    </row>
    <row r="11208" spans="1:19" x14ac:dyDescent="0.2">
      <c r="A11208" t="s">
        <v>11819</v>
      </c>
      <c r="B11208" t="s">
        <v>90</v>
      </c>
      <c r="C11208" t="s">
        <v>607</v>
      </c>
      <c r="D11208">
        <v>4488.68</v>
      </c>
      <c r="E11208" s="37" t="str">
        <f t="shared" si="875"/>
        <v>Excellent Order</v>
      </c>
      <c r="F11208">
        <v>0.49</v>
      </c>
      <c r="G11208" s="37" t="str">
        <f t="shared" si="876"/>
        <v>Heavy Discount</v>
      </c>
      <c r="H11208" s="37" t="str">
        <f t="shared" si="877"/>
        <v>High</v>
      </c>
      <c r="I11208">
        <v>5</v>
      </c>
      <c r="J11208" t="str" cm="1">
        <f t="array" ref="J11208">_xlfn.IFS(I11208&lt;=3,"small",I11208&lt;=6,"Medium",I11208&lt;=9,"Large")</f>
        <v>Medium</v>
      </c>
      <c r="K11208" s="36">
        <v>45042</v>
      </c>
      <c r="L11208" s="36">
        <v>45046</v>
      </c>
      <c r="M11208" t="s">
        <v>612</v>
      </c>
      <c r="N11208" t="s">
        <v>604</v>
      </c>
      <c r="O11208" s="37" t="str">
        <f t="shared" si="878"/>
        <v>Digital Payment</v>
      </c>
      <c r="P11208">
        <v>1017.86</v>
      </c>
      <c r="Q11208" s="37" t="str">
        <f>IF(P11208&gt;500,"High","low")</f>
        <v>High</v>
      </c>
      <c r="R11208" s="37" t="str">
        <f t="shared" si="879"/>
        <v>Excellent</v>
      </c>
      <c r="S11208" t="s">
        <v>600</v>
      </c>
    </row>
    <row r="11209" spans="1:19" x14ac:dyDescent="0.2">
      <c r="A11209" t="s">
        <v>11820</v>
      </c>
      <c r="B11209" t="s">
        <v>67</v>
      </c>
      <c r="C11209" t="s">
        <v>617</v>
      </c>
      <c r="D11209">
        <v>4115.6099999999997</v>
      </c>
      <c r="E11209" s="37" t="str">
        <f t="shared" si="875"/>
        <v>Excellent Order</v>
      </c>
      <c r="F11209">
        <v>0.46</v>
      </c>
      <c r="G11209" s="37" t="str">
        <f t="shared" si="876"/>
        <v>Heavy Discount</v>
      </c>
      <c r="H11209" s="37" t="str">
        <f t="shared" si="877"/>
        <v>High</v>
      </c>
      <c r="I11209">
        <v>5</v>
      </c>
      <c r="J11209" t="str" cm="1">
        <f t="array" ref="J11209">_xlfn.IFS(I11209&lt;=3,"small",I11209&lt;=6,"Medium",I11209&lt;=9,"Large")</f>
        <v>Medium</v>
      </c>
      <c r="K11209" s="36">
        <v>45056</v>
      </c>
      <c r="L11209" s="36">
        <v>45058</v>
      </c>
      <c r="M11209" t="s">
        <v>612</v>
      </c>
      <c r="N11209" t="s">
        <v>608</v>
      </c>
      <c r="O11209" s="37" t="str">
        <f t="shared" si="878"/>
        <v>Cash Payment</v>
      </c>
      <c r="P11209">
        <v>1126.54</v>
      </c>
      <c r="Q11209" s="37" t="str">
        <f>IF(P11209&gt;500,"High","low")</f>
        <v>High</v>
      </c>
      <c r="R11209" s="37" t="str">
        <f t="shared" si="879"/>
        <v>Excellent</v>
      </c>
      <c r="S11209" t="s">
        <v>620</v>
      </c>
    </row>
    <row r="11210" spans="1:19" x14ac:dyDescent="0.2">
      <c r="A11210" t="s">
        <v>11821</v>
      </c>
      <c r="B11210" t="s">
        <v>75</v>
      </c>
      <c r="C11210" t="s">
        <v>617</v>
      </c>
      <c r="D11210">
        <v>2392.79</v>
      </c>
      <c r="E11210" s="37" t="str">
        <f t="shared" si="875"/>
        <v xml:space="preserve"> </v>
      </c>
      <c r="F11210">
        <v>0.2</v>
      </c>
      <c r="G11210" s="37" t="str">
        <f t="shared" si="876"/>
        <v>Normal Discount</v>
      </c>
      <c r="H11210" s="37" t="str">
        <f t="shared" si="877"/>
        <v>Medium</v>
      </c>
      <c r="I11210">
        <v>9</v>
      </c>
      <c r="J11210" t="str" cm="1">
        <f t="array" ref="J11210">_xlfn.IFS(I11210&lt;=3,"small",I11210&lt;=6,"Medium",I11210&lt;=9,"Large")</f>
        <v>Large</v>
      </c>
      <c r="K11210" s="36">
        <v>45368</v>
      </c>
      <c r="L11210" s="36">
        <v>45375</v>
      </c>
      <c r="M11210" t="s">
        <v>598</v>
      </c>
      <c r="N11210" t="s">
        <v>604</v>
      </c>
      <c r="O11210" s="37" t="str">
        <f t="shared" si="878"/>
        <v>Digital Payment</v>
      </c>
      <c r="P11210">
        <v>530.38</v>
      </c>
      <c r="Q11210" s="37" t="str">
        <f>IF(P11210&gt;500,"High","low")</f>
        <v>High</v>
      </c>
      <c r="R11210" s="37" t="str">
        <f t="shared" si="879"/>
        <v>Good</v>
      </c>
      <c r="S11210" t="s">
        <v>605</v>
      </c>
    </row>
    <row r="11211" spans="1:19" x14ac:dyDescent="0.2">
      <c r="A11211" t="s">
        <v>11822</v>
      </c>
      <c r="B11211" t="s">
        <v>67</v>
      </c>
      <c r="C11211" t="s">
        <v>614</v>
      </c>
      <c r="D11211">
        <v>738.78</v>
      </c>
      <c r="E11211" s="37" t="str">
        <f t="shared" si="875"/>
        <v xml:space="preserve"> </v>
      </c>
      <c r="F11211">
        <v>0.08</v>
      </c>
      <c r="G11211" s="37" t="str">
        <f t="shared" si="876"/>
        <v>Normal Discount</v>
      </c>
      <c r="H11211" s="37" t="str">
        <f t="shared" si="877"/>
        <v>Low</v>
      </c>
      <c r="I11211">
        <v>2</v>
      </c>
      <c r="J11211" t="str" cm="1">
        <f t="array" ref="J11211">_xlfn.IFS(I11211&lt;=3,"small",I11211&lt;=6,"Medium",I11211&lt;=9,"Large")</f>
        <v>small</v>
      </c>
      <c r="K11211" s="36">
        <v>45204</v>
      </c>
      <c r="L11211" s="36">
        <v>45208</v>
      </c>
      <c r="M11211" t="s">
        <v>598</v>
      </c>
      <c r="N11211" t="s">
        <v>604</v>
      </c>
      <c r="O11211" s="37" t="str">
        <f t="shared" si="878"/>
        <v>Digital Payment</v>
      </c>
      <c r="P11211">
        <v>162.57</v>
      </c>
      <c r="Q11211" s="37" t="str">
        <f>IF(P11211&gt;500,"High","low")</f>
        <v>low</v>
      </c>
      <c r="R11211" s="37" t="str">
        <f t="shared" si="879"/>
        <v>AVERAGE</v>
      </c>
      <c r="S11211" t="s">
        <v>600</v>
      </c>
    </row>
    <row r="11212" spans="1:19" x14ac:dyDescent="0.2">
      <c r="A11212" t="s">
        <v>11823</v>
      </c>
      <c r="B11212" t="s">
        <v>75</v>
      </c>
      <c r="C11212" t="s">
        <v>607</v>
      </c>
      <c r="D11212">
        <v>4503.0200000000004</v>
      </c>
      <c r="E11212" s="37" t="str">
        <f t="shared" si="875"/>
        <v xml:space="preserve"> </v>
      </c>
      <c r="F11212">
        <v>0.04</v>
      </c>
      <c r="G11212" s="37" t="str">
        <f t="shared" si="876"/>
        <v>Normal Discount</v>
      </c>
      <c r="H11212" s="37" t="str">
        <f t="shared" si="877"/>
        <v>Low</v>
      </c>
      <c r="I11212">
        <v>1</v>
      </c>
      <c r="J11212" t="str" cm="1">
        <f t="array" ref="J11212">_xlfn.IFS(I11212&lt;=3,"small",I11212&lt;=6,"Medium",I11212&lt;=9,"Large")</f>
        <v>small</v>
      </c>
      <c r="K11212" s="36">
        <v>45436</v>
      </c>
      <c r="L11212" s="36">
        <v>45443</v>
      </c>
      <c r="M11212" t="s">
        <v>603</v>
      </c>
      <c r="N11212" t="s">
        <v>599</v>
      </c>
      <c r="O11212" s="37" t="str">
        <f t="shared" si="878"/>
        <v>Digital Payment</v>
      </c>
      <c r="P11212">
        <v>345.53</v>
      </c>
      <c r="Q11212" s="37" t="str">
        <f>IF(P11212&gt;500,"High","low")</f>
        <v>low</v>
      </c>
      <c r="R11212" s="37" t="str">
        <f t="shared" si="879"/>
        <v>AVERAGE</v>
      </c>
      <c r="S11212" t="s">
        <v>605</v>
      </c>
    </row>
    <row r="11213" spans="1:19" x14ac:dyDescent="0.2">
      <c r="A11213" t="s">
        <v>11824</v>
      </c>
      <c r="B11213" t="s">
        <v>90</v>
      </c>
      <c r="C11213" t="s">
        <v>602</v>
      </c>
      <c r="D11213">
        <v>1230.43</v>
      </c>
      <c r="E11213" s="37" t="str">
        <f t="shared" si="875"/>
        <v xml:space="preserve"> </v>
      </c>
      <c r="F11213">
        <v>0.27</v>
      </c>
      <c r="G11213" s="37" t="str">
        <f t="shared" si="876"/>
        <v>Normal Discount</v>
      </c>
      <c r="H11213" s="37" t="str">
        <f t="shared" si="877"/>
        <v>Medium</v>
      </c>
      <c r="I11213">
        <v>6</v>
      </c>
      <c r="J11213" t="str" cm="1">
        <f t="array" ref="J11213">_xlfn.IFS(I11213&lt;=3,"small",I11213&lt;=6,"Medium",I11213&lt;=9,"Large")</f>
        <v>Medium</v>
      </c>
      <c r="K11213" s="36">
        <v>45139</v>
      </c>
      <c r="L11213" s="36">
        <v>45145</v>
      </c>
      <c r="M11213" t="s">
        <v>598</v>
      </c>
      <c r="N11213" t="s">
        <v>608</v>
      </c>
      <c r="O11213" s="37" t="str">
        <f t="shared" si="878"/>
        <v>Cash Payment</v>
      </c>
      <c r="P11213">
        <v>110.29</v>
      </c>
      <c r="Q11213" s="37" t="str">
        <f>IF(P11213&gt;500,"High","low")</f>
        <v>low</v>
      </c>
      <c r="R11213" s="37" t="str">
        <f t="shared" si="879"/>
        <v>AVERAGE</v>
      </c>
      <c r="S11213" t="s">
        <v>628</v>
      </c>
    </row>
    <row r="11214" spans="1:19" x14ac:dyDescent="0.2">
      <c r="A11214" t="s">
        <v>11825</v>
      </c>
      <c r="B11214" t="s">
        <v>67</v>
      </c>
      <c r="C11214" t="s">
        <v>607</v>
      </c>
      <c r="D11214">
        <v>274.12</v>
      </c>
      <c r="E11214" s="37" t="str">
        <f t="shared" si="875"/>
        <v xml:space="preserve"> </v>
      </c>
      <c r="F11214">
        <v>0.38</v>
      </c>
      <c r="G11214" s="37" t="str">
        <f t="shared" si="876"/>
        <v>Heavy Discount</v>
      </c>
      <c r="H11214" s="37" t="str">
        <f t="shared" si="877"/>
        <v>Medium</v>
      </c>
      <c r="I11214">
        <v>8</v>
      </c>
      <c r="J11214" t="str" cm="1">
        <f t="array" ref="J11214">_xlfn.IFS(I11214&lt;=3,"small",I11214&lt;=6,"Medium",I11214&lt;=9,"Large")</f>
        <v>Large</v>
      </c>
      <c r="K11214" s="36">
        <v>45411</v>
      </c>
      <c r="L11214" s="36">
        <v>45413</v>
      </c>
      <c r="M11214" t="s">
        <v>603</v>
      </c>
      <c r="N11214" t="s">
        <v>608</v>
      </c>
      <c r="O11214" s="37" t="str">
        <f t="shared" si="878"/>
        <v>Cash Payment</v>
      </c>
      <c r="P11214">
        <v>53.87</v>
      </c>
      <c r="Q11214" s="37" t="str">
        <f>IF(P11214&gt;500,"High","low")</f>
        <v>low</v>
      </c>
      <c r="R11214" s="37" t="str">
        <f t="shared" si="879"/>
        <v>AVERAGE</v>
      </c>
      <c r="S11214" t="s">
        <v>620</v>
      </c>
    </row>
    <row r="11215" spans="1:19" x14ac:dyDescent="0.2">
      <c r="A11215" t="s">
        <v>11826</v>
      </c>
      <c r="B11215" t="s">
        <v>90</v>
      </c>
      <c r="C11215" t="s">
        <v>614</v>
      </c>
      <c r="D11215">
        <v>4628.7700000000004</v>
      </c>
      <c r="E11215" s="37" t="str">
        <f t="shared" si="875"/>
        <v xml:space="preserve"> </v>
      </c>
      <c r="F11215">
        <v>0.09</v>
      </c>
      <c r="G11215" s="37" t="str">
        <f t="shared" si="876"/>
        <v>Normal Discount</v>
      </c>
      <c r="H11215" s="37" t="str">
        <f t="shared" si="877"/>
        <v>Low</v>
      </c>
      <c r="I11215">
        <v>8</v>
      </c>
      <c r="J11215" t="str" cm="1">
        <f t="array" ref="J11215">_xlfn.IFS(I11215&lt;=3,"small",I11215&lt;=6,"Medium",I11215&lt;=9,"Large")</f>
        <v>Large</v>
      </c>
      <c r="K11215" s="36">
        <v>45206</v>
      </c>
      <c r="L11215" s="36">
        <v>45208</v>
      </c>
      <c r="M11215" t="s">
        <v>603</v>
      </c>
      <c r="N11215" t="s">
        <v>608</v>
      </c>
      <c r="O11215" s="37" t="str">
        <f t="shared" si="878"/>
        <v>Cash Payment</v>
      </c>
      <c r="P11215">
        <v>451.72</v>
      </c>
      <c r="Q11215" s="37" t="str">
        <f>IF(P11215&gt;500,"High","low")</f>
        <v>low</v>
      </c>
      <c r="R11215" s="37" t="str">
        <f t="shared" si="879"/>
        <v>AVERAGE</v>
      </c>
      <c r="S11215" t="s">
        <v>620</v>
      </c>
    </row>
    <row r="11216" spans="1:19" x14ac:dyDescent="0.2">
      <c r="A11216" t="s">
        <v>11827</v>
      </c>
      <c r="B11216" t="s">
        <v>90</v>
      </c>
      <c r="C11216" t="s">
        <v>607</v>
      </c>
      <c r="D11216">
        <v>4063.78</v>
      </c>
      <c r="E11216" s="37" t="str">
        <f t="shared" si="875"/>
        <v xml:space="preserve"> </v>
      </c>
      <c r="F11216">
        <v>0.16</v>
      </c>
      <c r="G11216" s="37" t="str">
        <f t="shared" si="876"/>
        <v>Normal Discount</v>
      </c>
      <c r="H11216" s="37" t="str">
        <f t="shared" si="877"/>
        <v>Low</v>
      </c>
      <c r="I11216">
        <v>6</v>
      </c>
      <c r="J11216" t="str" cm="1">
        <f t="array" ref="J11216">_xlfn.IFS(I11216&lt;=3,"small",I11216&lt;=6,"Medium",I11216&lt;=9,"Large")</f>
        <v>Medium</v>
      </c>
      <c r="K11216" s="36">
        <v>45132</v>
      </c>
      <c r="L11216" s="36">
        <v>45135</v>
      </c>
      <c r="M11216" t="s">
        <v>612</v>
      </c>
      <c r="N11216" t="s">
        <v>599</v>
      </c>
      <c r="O11216" s="37" t="str">
        <f t="shared" si="878"/>
        <v>Digital Payment</v>
      </c>
      <c r="P11216">
        <v>677.81</v>
      </c>
      <c r="Q11216" s="37" t="str">
        <f>IF(P11216&gt;500,"High","low")</f>
        <v>High</v>
      </c>
      <c r="R11216" s="37" t="str">
        <f t="shared" si="879"/>
        <v>Good</v>
      </c>
      <c r="S11216" t="s">
        <v>620</v>
      </c>
    </row>
    <row r="11217" spans="1:19" x14ac:dyDescent="0.2">
      <c r="A11217" t="s">
        <v>11828</v>
      </c>
      <c r="B11217" t="s">
        <v>75</v>
      </c>
      <c r="C11217" t="s">
        <v>607</v>
      </c>
      <c r="D11217">
        <v>3498.06</v>
      </c>
      <c r="E11217" s="37" t="str">
        <f t="shared" si="875"/>
        <v xml:space="preserve"> </v>
      </c>
      <c r="F11217">
        <v>0.32</v>
      </c>
      <c r="G11217" s="37" t="str">
        <f t="shared" si="876"/>
        <v>Heavy Discount</v>
      </c>
      <c r="H11217" s="37" t="str">
        <f t="shared" si="877"/>
        <v>Medium</v>
      </c>
      <c r="I11217">
        <v>3</v>
      </c>
      <c r="J11217" t="str" cm="1">
        <f t="array" ref="J11217">_xlfn.IFS(I11217&lt;=3,"small",I11217&lt;=6,"Medium",I11217&lt;=9,"Large")</f>
        <v>small</v>
      </c>
      <c r="K11217" s="36">
        <v>45624</v>
      </c>
      <c r="L11217" s="36">
        <v>45625</v>
      </c>
      <c r="M11217" t="s">
        <v>612</v>
      </c>
      <c r="N11217" t="s">
        <v>604</v>
      </c>
      <c r="O11217" s="37" t="str">
        <f t="shared" si="878"/>
        <v>Digital Payment</v>
      </c>
      <c r="P11217">
        <v>935.85</v>
      </c>
      <c r="Q11217" s="37" t="str">
        <f>IF(P11217&gt;500,"High","low")</f>
        <v>High</v>
      </c>
      <c r="R11217" s="37" t="str">
        <f t="shared" si="879"/>
        <v>Good</v>
      </c>
      <c r="S11217" t="s">
        <v>609</v>
      </c>
    </row>
    <row r="11218" spans="1:19" x14ac:dyDescent="0.2">
      <c r="A11218" t="s">
        <v>11829</v>
      </c>
      <c r="B11218" t="s">
        <v>67</v>
      </c>
      <c r="C11218" t="s">
        <v>617</v>
      </c>
      <c r="D11218">
        <v>266.75</v>
      </c>
      <c r="E11218" s="37" t="str">
        <f t="shared" si="875"/>
        <v xml:space="preserve"> </v>
      </c>
      <c r="F11218">
        <v>0.23</v>
      </c>
      <c r="G11218" s="37" t="str">
        <f t="shared" si="876"/>
        <v>Normal Discount</v>
      </c>
      <c r="H11218" s="37" t="str">
        <f t="shared" si="877"/>
        <v>Medium</v>
      </c>
      <c r="I11218">
        <v>3</v>
      </c>
      <c r="J11218" t="str" cm="1">
        <f t="array" ref="J11218">_xlfn.IFS(I11218&lt;=3,"small",I11218&lt;=6,"Medium",I11218&lt;=9,"Large")</f>
        <v>small</v>
      </c>
      <c r="K11218" s="36">
        <v>45112</v>
      </c>
      <c r="L11218" s="36">
        <v>45115</v>
      </c>
      <c r="M11218" t="s">
        <v>612</v>
      </c>
      <c r="N11218" t="s">
        <v>599</v>
      </c>
      <c r="O11218" s="37" t="str">
        <f t="shared" si="878"/>
        <v>Digital Payment</v>
      </c>
      <c r="P11218">
        <v>76.75</v>
      </c>
      <c r="Q11218" s="37" t="str">
        <f>IF(P11218&gt;500,"High","low")</f>
        <v>low</v>
      </c>
      <c r="R11218" s="37" t="str">
        <f t="shared" si="879"/>
        <v>AVERAGE</v>
      </c>
      <c r="S11218" t="s">
        <v>605</v>
      </c>
    </row>
    <row r="11219" spans="1:19" x14ac:dyDescent="0.2">
      <c r="A11219" t="s">
        <v>11830</v>
      </c>
      <c r="B11219" t="s">
        <v>67</v>
      </c>
      <c r="C11219" t="s">
        <v>607</v>
      </c>
      <c r="D11219">
        <v>2689.31</v>
      </c>
      <c r="E11219" s="37" t="str">
        <f t="shared" si="875"/>
        <v xml:space="preserve"> </v>
      </c>
      <c r="F11219">
        <v>0.3</v>
      </c>
      <c r="G11219" s="37" t="str">
        <f t="shared" si="876"/>
        <v>Normal Discount</v>
      </c>
      <c r="H11219" s="37" t="str">
        <f t="shared" si="877"/>
        <v>Medium</v>
      </c>
      <c r="I11219">
        <v>2</v>
      </c>
      <c r="J11219" t="str" cm="1">
        <f t="array" ref="J11219">_xlfn.IFS(I11219&lt;=3,"small",I11219&lt;=6,"Medium",I11219&lt;=9,"Large")</f>
        <v>small</v>
      </c>
      <c r="K11219" s="36">
        <v>45331</v>
      </c>
      <c r="L11219" s="36">
        <v>45338</v>
      </c>
      <c r="M11219" t="s">
        <v>603</v>
      </c>
      <c r="N11219" t="s">
        <v>604</v>
      </c>
      <c r="O11219" s="37" t="str">
        <f t="shared" si="878"/>
        <v>Digital Payment</v>
      </c>
      <c r="P11219">
        <v>412.03</v>
      </c>
      <c r="Q11219" s="37" t="str">
        <f>IF(P11219&gt;500,"High","low")</f>
        <v>low</v>
      </c>
      <c r="R11219" s="37" t="str">
        <f t="shared" si="879"/>
        <v>AVERAGE</v>
      </c>
      <c r="S11219" t="s">
        <v>600</v>
      </c>
    </row>
    <row r="11220" spans="1:19" x14ac:dyDescent="0.2">
      <c r="A11220" t="s">
        <v>11831</v>
      </c>
      <c r="B11220" t="s">
        <v>90</v>
      </c>
      <c r="C11220" t="s">
        <v>617</v>
      </c>
      <c r="D11220">
        <v>3302.82</v>
      </c>
      <c r="E11220" s="37" t="str">
        <f t="shared" si="875"/>
        <v xml:space="preserve"> </v>
      </c>
      <c r="F11220">
        <v>0.34</v>
      </c>
      <c r="G11220" s="37" t="str">
        <f t="shared" si="876"/>
        <v>Heavy Discount</v>
      </c>
      <c r="H11220" s="37" t="str">
        <f t="shared" si="877"/>
        <v>Medium</v>
      </c>
      <c r="I11220">
        <v>2</v>
      </c>
      <c r="J11220" t="str" cm="1">
        <f t="array" ref="J11220">_xlfn.IFS(I11220&lt;=3,"small",I11220&lt;=6,"Medium",I11220&lt;=9,"Large")</f>
        <v>small</v>
      </c>
      <c r="K11220" s="36">
        <v>45259</v>
      </c>
      <c r="L11220" s="36">
        <v>45266</v>
      </c>
      <c r="M11220" t="s">
        <v>612</v>
      </c>
      <c r="N11220" t="s">
        <v>599</v>
      </c>
      <c r="O11220" s="37" t="str">
        <f t="shared" si="878"/>
        <v>Digital Payment</v>
      </c>
      <c r="P11220">
        <v>289.67</v>
      </c>
      <c r="Q11220" s="37" t="str">
        <f>IF(P11220&gt;500,"High","low")</f>
        <v>low</v>
      </c>
      <c r="R11220" s="37" t="str">
        <f t="shared" si="879"/>
        <v>AVERAGE</v>
      </c>
      <c r="S11220" t="s">
        <v>600</v>
      </c>
    </row>
    <row r="11221" spans="1:19" x14ac:dyDescent="0.2">
      <c r="A11221" t="s">
        <v>11832</v>
      </c>
      <c r="B11221" t="s">
        <v>90</v>
      </c>
      <c r="C11221" t="s">
        <v>617</v>
      </c>
      <c r="D11221">
        <v>3820.8</v>
      </c>
      <c r="E11221" s="37" t="str">
        <f t="shared" si="875"/>
        <v xml:space="preserve"> </v>
      </c>
      <c r="F11221">
        <v>0.19</v>
      </c>
      <c r="G11221" s="37" t="str">
        <f t="shared" si="876"/>
        <v>Normal Discount</v>
      </c>
      <c r="H11221" s="37" t="str">
        <f t="shared" si="877"/>
        <v>Low</v>
      </c>
      <c r="I11221">
        <v>2</v>
      </c>
      <c r="J11221" t="str" cm="1">
        <f t="array" ref="J11221">_xlfn.IFS(I11221&lt;=3,"small",I11221&lt;=6,"Medium",I11221&lt;=9,"Large")</f>
        <v>small</v>
      </c>
      <c r="K11221" s="36">
        <v>44989</v>
      </c>
      <c r="L11221" s="36">
        <v>44992</v>
      </c>
      <c r="M11221" t="s">
        <v>612</v>
      </c>
      <c r="N11221" t="s">
        <v>608</v>
      </c>
      <c r="O11221" s="37" t="str">
        <f t="shared" si="878"/>
        <v>Cash Payment</v>
      </c>
      <c r="P11221">
        <v>1063.27</v>
      </c>
      <c r="Q11221" s="37" t="str">
        <f>IF(P11221&gt;500,"High","low")</f>
        <v>High</v>
      </c>
      <c r="R11221" s="37" t="str">
        <f t="shared" si="879"/>
        <v>Excellent</v>
      </c>
      <c r="S11221" t="s">
        <v>615</v>
      </c>
    </row>
    <row r="11222" spans="1:19" x14ac:dyDescent="0.2">
      <c r="A11222" t="s">
        <v>11833</v>
      </c>
      <c r="B11222" t="s">
        <v>75</v>
      </c>
      <c r="C11222" t="s">
        <v>597</v>
      </c>
      <c r="D11222">
        <v>2408.2600000000002</v>
      </c>
      <c r="E11222" s="37" t="str">
        <f t="shared" si="875"/>
        <v xml:space="preserve"> </v>
      </c>
      <c r="F11222">
        <v>0.39</v>
      </c>
      <c r="G11222" s="37" t="str">
        <f t="shared" si="876"/>
        <v>Heavy Discount</v>
      </c>
      <c r="H11222" s="37" t="str">
        <f t="shared" si="877"/>
        <v>Medium</v>
      </c>
      <c r="I11222">
        <v>7</v>
      </c>
      <c r="J11222" t="str" cm="1">
        <f t="array" ref="J11222">_xlfn.IFS(I11222&lt;=3,"small",I11222&lt;=6,"Medium",I11222&lt;=9,"Large")</f>
        <v>Large</v>
      </c>
      <c r="K11222" s="36">
        <v>45117</v>
      </c>
      <c r="L11222" s="36">
        <v>45122</v>
      </c>
      <c r="M11222" t="s">
        <v>598</v>
      </c>
      <c r="N11222" t="s">
        <v>599</v>
      </c>
      <c r="O11222" s="37" t="str">
        <f t="shared" si="878"/>
        <v>Digital Payment</v>
      </c>
      <c r="P11222">
        <v>401.9</v>
      </c>
      <c r="Q11222" s="37" t="str">
        <f>IF(P11222&gt;500,"High","low")</f>
        <v>low</v>
      </c>
      <c r="R11222" s="37" t="str">
        <f t="shared" si="879"/>
        <v>AVERAGE</v>
      </c>
      <c r="S11222" t="s">
        <v>600</v>
      </c>
    </row>
    <row r="11223" spans="1:19" x14ac:dyDescent="0.2">
      <c r="A11223" t="s">
        <v>11834</v>
      </c>
      <c r="B11223" t="s">
        <v>83</v>
      </c>
      <c r="C11223" t="s">
        <v>614</v>
      </c>
      <c r="D11223">
        <v>4771.41</v>
      </c>
      <c r="E11223" s="37" t="str">
        <f t="shared" si="875"/>
        <v xml:space="preserve"> </v>
      </c>
      <c r="F11223">
        <v>0.35</v>
      </c>
      <c r="G11223" s="37" t="str">
        <f t="shared" si="876"/>
        <v>Heavy Discount</v>
      </c>
      <c r="H11223" s="37" t="str">
        <f t="shared" si="877"/>
        <v>Medium</v>
      </c>
      <c r="I11223">
        <v>9</v>
      </c>
      <c r="J11223" t="str" cm="1">
        <f t="array" ref="J11223">_xlfn.IFS(I11223&lt;=3,"small",I11223&lt;=6,"Medium",I11223&lt;=9,"Large")</f>
        <v>Large</v>
      </c>
      <c r="K11223" s="36">
        <v>45290</v>
      </c>
      <c r="L11223" s="36">
        <v>45293</v>
      </c>
      <c r="M11223" t="s">
        <v>598</v>
      </c>
      <c r="N11223" t="s">
        <v>599</v>
      </c>
      <c r="O11223" s="37" t="str">
        <f t="shared" si="878"/>
        <v>Digital Payment</v>
      </c>
      <c r="P11223">
        <v>584.17999999999995</v>
      </c>
      <c r="Q11223" s="37" t="str">
        <f>IF(P11223&gt;500,"High","low")</f>
        <v>High</v>
      </c>
      <c r="R11223" s="37" t="str">
        <f t="shared" si="879"/>
        <v>Good</v>
      </c>
      <c r="S11223" t="s">
        <v>609</v>
      </c>
    </row>
    <row r="11224" spans="1:19" x14ac:dyDescent="0.2">
      <c r="A11224" t="s">
        <v>11835</v>
      </c>
      <c r="B11224" t="s">
        <v>83</v>
      </c>
      <c r="C11224" t="s">
        <v>617</v>
      </c>
      <c r="D11224">
        <v>1299.43</v>
      </c>
      <c r="E11224" s="37" t="str">
        <f t="shared" si="875"/>
        <v xml:space="preserve"> </v>
      </c>
      <c r="F11224">
        <v>0.34</v>
      </c>
      <c r="G11224" s="37" t="str">
        <f t="shared" si="876"/>
        <v>Heavy Discount</v>
      </c>
      <c r="H11224" s="37" t="str">
        <f t="shared" si="877"/>
        <v>Medium</v>
      </c>
      <c r="I11224">
        <v>7</v>
      </c>
      <c r="J11224" t="str" cm="1">
        <f t="array" ref="J11224">_xlfn.IFS(I11224&lt;=3,"small",I11224&lt;=6,"Medium",I11224&lt;=9,"Large")</f>
        <v>Large</v>
      </c>
      <c r="K11224" s="36">
        <v>45297</v>
      </c>
      <c r="L11224" s="36">
        <v>45299</v>
      </c>
      <c r="M11224" t="s">
        <v>598</v>
      </c>
      <c r="N11224" t="s">
        <v>604</v>
      </c>
      <c r="O11224" s="37" t="str">
        <f t="shared" si="878"/>
        <v>Digital Payment</v>
      </c>
      <c r="P11224">
        <v>387.77</v>
      </c>
      <c r="Q11224" s="37" t="str">
        <f>IF(P11224&gt;500,"High","low")</f>
        <v>low</v>
      </c>
      <c r="R11224" s="37" t="str">
        <f t="shared" si="879"/>
        <v>AVERAGE</v>
      </c>
      <c r="S11224" t="s">
        <v>605</v>
      </c>
    </row>
    <row r="11225" spans="1:19" x14ac:dyDescent="0.2">
      <c r="A11225" t="s">
        <v>11836</v>
      </c>
      <c r="B11225" t="s">
        <v>90</v>
      </c>
      <c r="C11225" t="s">
        <v>607</v>
      </c>
      <c r="D11225">
        <v>441.7</v>
      </c>
      <c r="E11225" s="37" t="str">
        <f t="shared" si="875"/>
        <v xml:space="preserve"> </v>
      </c>
      <c r="F11225">
        <v>7.0000000000000007E-2</v>
      </c>
      <c r="G11225" s="37" t="str">
        <f t="shared" si="876"/>
        <v>Normal Discount</v>
      </c>
      <c r="H11225" s="37" t="str">
        <f t="shared" si="877"/>
        <v>Low</v>
      </c>
      <c r="I11225">
        <v>8</v>
      </c>
      <c r="J11225" t="str" cm="1">
        <f t="array" ref="J11225">_xlfn.IFS(I11225&lt;=3,"small",I11225&lt;=6,"Medium",I11225&lt;=9,"Large")</f>
        <v>Large</v>
      </c>
      <c r="K11225" s="36">
        <v>45350</v>
      </c>
      <c r="L11225" s="36">
        <v>45354</v>
      </c>
      <c r="M11225" t="s">
        <v>598</v>
      </c>
      <c r="N11225" t="s">
        <v>599</v>
      </c>
      <c r="O11225" s="37" t="str">
        <f t="shared" si="878"/>
        <v>Digital Payment</v>
      </c>
      <c r="P11225">
        <v>121.42</v>
      </c>
      <c r="Q11225" s="37" t="str">
        <f>IF(P11225&gt;500,"High","low")</f>
        <v>low</v>
      </c>
      <c r="R11225" s="37" t="str">
        <f t="shared" si="879"/>
        <v>AVERAGE</v>
      </c>
      <c r="S11225" t="s">
        <v>605</v>
      </c>
    </row>
    <row r="11226" spans="1:19" x14ac:dyDescent="0.2">
      <c r="A11226" t="s">
        <v>11837</v>
      </c>
      <c r="B11226" t="s">
        <v>83</v>
      </c>
      <c r="C11226" t="s">
        <v>617</v>
      </c>
      <c r="D11226">
        <v>1730.55</v>
      </c>
      <c r="E11226" s="37" t="str">
        <f t="shared" si="875"/>
        <v xml:space="preserve"> </v>
      </c>
      <c r="F11226">
        <v>0.24</v>
      </c>
      <c r="G11226" s="37" t="str">
        <f t="shared" si="876"/>
        <v>Normal Discount</v>
      </c>
      <c r="H11226" s="37" t="str">
        <f t="shared" si="877"/>
        <v>Medium</v>
      </c>
      <c r="I11226">
        <v>5</v>
      </c>
      <c r="J11226" t="str" cm="1">
        <f t="array" ref="J11226">_xlfn.IFS(I11226&lt;=3,"small",I11226&lt;=6,"Medium",I11226&lt;=9,"Large")</f>
        <v>Medium</v>
      </c>
      <c r="K11226" s="36">
        <v>45001</v>
      </c>
      <c r="L11226" s="36">
        <v>45006</v>
      </c>
      <c r="M11226" t="s">
        <v>603</v>
      </c>
      <c r="N11226" t="s">
        <v>599</v>
      </c>
      <c r="O11226" s="37" t="str">
        <f t="shared" si="878"/>
        <v>Digital Payment</v>
      </c>
      <c r="P11226">
        <v>273.44</v>
      </c>
      <c r="Q11226" s="37" t="str">
        <f>IF(P11226&gt;500,"High","low")</f>
        <v>low</v>
      </c>
      <c r="R11226" s="37" t="str">
        <f t="shared" si="879"/>
        <v>AVERAGE</v>
      </c>
      <c r="S11226" t="s">
        <v>605</v>
      </c>
    </row>
    <row r="11227" spans="1:19" x14ac:dyDescent="0.2">
      <c r="A11227" t="s">
        <v>11838</v>
      </c>
      <c r="B11227" t="s">
        <v>83</v>
      </c>
      <c r="C11227" t="s">
        <v>617</v>
      </c>
      <c r="D11227">
        <v>3342.84</v>
      </c>
      <c r="E11227" s="37" t="str">
        <f t="shared" si="875"/>
        <v xml:space="preserve"> </v>
      </c>
      <c r="F11227">
        <v>0.28999999999999998</v>
      </c>
      <c r="G11227" s="37" t="str">
        <f t="shared" si="876"/>
        <v>Normal Discount</v>
      </c>
      <c r="H11227" s="37" t="str">
        <f t="shared" si="877"/>
        <v>Medium</v>
      </c>
      <c r="I11227">
        <v>2</v>
      </c>
      <c r="J11227" t="str" cm="1">
        <f t="array" ref="J11227">_xlfn.IFS(I11227&lt;=3,"small",I11227&lt;=6,"Medium",I11227&lt;=9,"Large")</f>
        <v>small</v>
      </c>
      <c r="K11227" s="36">
        <v>45632</v>
      </c>
      <c r="L11227" s="36">
        <v>45634</v>
      </c>
      <c r="M11227" t="s">
        <v>612</v>
      </c>
      <c r="N11227" t="s">
        <v>608</v>
      </c>
      <c r="O11227" s="37" t="str">
        <f t="shared" si="878"/>
        <v>Cash Payment</v>
      </c>
      <c r="P11227">
        <v>209.38</v>
      </c>
      <c r="Q11227" s="37" t="str">
        <f>IF(P11227&gt;500,"High","low")</f>
        <v>low</v>
      </c>
      <c r="R11227" s="37" t="str">
        <f t="shared" si="879"/>
        <v>AVERAGE</v>
      </c>
      <c r="S11227" t="s">
        <v>620</v>
      </c>
    </row>
    <row r="11228" spans="1:19" x14ac:dyDescent="0.2">
      <c r="A11228" t="s">
        <v>11839</v>
      </c>
      <c r="B11228" t="s">
        <v>83</v>
      </c>
      <c r="C11228" t="s">
        <v>617</v>
      </c>
      <c r="D11228">
        <v>3712.07</v>
      </c>
      <c r="E11228" s="37" t="str">
        <f t="shared" si="875"/>
        <v xml:space="preserve"> </v>
      </c>
      <c r="F11228">
        <v>0.11</v>
      </c>
      <c r="G11228" s="37" t="str">
        <f t="shared" si="876"/>
        <v>Normal Discount</v>
      </c>
      <c r="H11228" s="37" t="str">
        <f t="shared" si="877"/>
        <v>Low</v>
      </c>
      <c r="I11228">
        <v>8</v>
      </c>
      <c r="J11228" t="str" cm="1">
        <f t="array" ref="J11228">_xlfn.IFS(I11228&lt;=3,"small",I11228&lt;=6,"Medium",I11228&lt;=9,"Large")</f>
        <v>Large</v>
      </c>
      <c r="K11228" s="36">
        <v>45155</v>
      </c>
      <c r="L11228" s="36">
        <v>45161</v>
      </c>
      <c r="M11228" t="s">
        <v>598</v>
      </c>
      <c r="N11228" t="s">
        <v>608</v>
      </c>
      <c r="O11228" s="37" t="str">
        <f t="shared" si="878"/>
        <v>Cash Payment</v>
      </c>
      <c r="P11228">
        <v>727.88</v>
      </c>
      <c r="Q11228" s="37" t="str">
        <f>IF(P11228&gt;500,"High","low")</f>
        <v>High</v>
      </c>
      <c r="R11228" s="37" t="str">
        <f t="shared" si="879"/>
        <v>Good</v>
      </c>
      <c r="S11228" t="s">
        <v>628</v>
      </c>
    </row>
    <row r="11229" spans="1:19" x14ac:dyDescent="0.2">
      <c r="A11229" t="s">
        <v>11840</v>
      </c>
      <c r="B11229" t="s">
        <v>83</v>
      </c>
      <c r="C11229" t="s">
        <v>602</v>
      </c>
      <c r="D11229">
        <v>3718.63</v>
      </c>
      <c r="E11229" s="37" t="str">
        <f t="shared" si="875"/>
        <v xml:space="preserve"> </v>
      </c>
      <c r="F11229">
        <v>0.38</v>
      </c>
      <c r="G11229" s="37" t="str">
        <f t="shared" si="876"/>
        <v>Heavy Discount</v>
      </c>
      <c r="H11229" s="37" t="str">
        <f t="shared" si="877"/>
        <v>Medium</v>
      </c>
      <c r="I11229">
        <v>5</v>
      </c>
      <c r="J11229" t="str" cm="1">
        <f t="array" ref="J11229">_xlfn.IFS(I11229&lt;=3,"small",I11229&lt;=6,"Medium",I11229&lt;=9,"Large")</f>
        <v>Medium</v>
      </c>
      <c r="K11229" s="36">
        <v>45274</v>
      </c>
      <c r="L11229" s="36">
        <v>45281</v>
      </c>
      <c r="M11229" t="s">
        <v>603</v>
      </c>
      <c r="N11229" t="s">
        <v>604</v>
      </c>
      <c r="O11229" s="37" t="str">
        <f t="shared" si="878"/>
        <v>Digital Payment</v>
      </c>
      <c r="P11229">
        <v>852.07</v>
      </c>
      <c r="Q11229" s="37" t="str">
        <f>IF(P11229&gt;500,"High","low")</f>
        <v>High</v>
      </c>
      <c r="R11229" s="37" t="str">
        <f t="shared" si="879"/>
        <v>Good</v>
      </c>
      <c r="S11229" t="s">
        <v>605</v>
      </c>
    </row>
    <row r="11230" spans="1:19" x14ac:dyDescent="0.2">
      <c r="A11230" t="s">
        <v>11841</v>
      </c>
      <c r="B11230" t="s">
        <v>90</v>
      </c>
      <c r="C11230" t="s">
        <v>602</v>
      </c>
      <c r="D11230">
        <v>642.29999999999995</v>
      </c>
      <c r="E11230" s="37" t="str">
        <f t="shared" si="875"/>
        <v xml:space="preserve"> </v>
      </c>
      <c r="F11230">
        <v>0.06</v>
      </c>
      <c r="G11230" s="37" t="str">
        <f t="shared" si="876"/>
        <v>Normal Discount</v>
      </c>
      <c r="H11230" s="37" t="str">
        <f t="shared" si="877"/>
        <v>Low</v>
      </c>
      <c r="I11230">
        <v>9</v>
      </c>
      <c r="J11230" t="str" cm="1">
        <f t="array" ref="J11230">_xlfn.IFS(I11230&lt;=3,"small",I11230&lt;=6,"Medium",I11230&lt;=9,"Large")</f>
        <v>Large</v>
      </c>
      <c r="K11230" s="36">
        <v>45556</v>
      </c>
      <c r="L11230" s="36">
        <v>45560</v>
      </c>
      <c r="M11230" t="s">
        <v>603</v>
      </c>
      <c r="N11230" t="s">
        <v>604</v>
      </c>
      <c r="O11230" s="37" t="str">
        <f t="shared" si="878"/>
        <v>Digital Payment</v>
      </c>
      <c r="P11230">
        <v>32.96</v>
      </c>
      <c r="Q11230" s="37" t="str">
        <f>IF(P11230&gt;500,"High","low")</f>
        <v>low</v>
      </c>
      <c r="R11230" s="37" t="str">
        <f t="shared" si="879"/>
        <v>AVERAGE</v>
      </c>
      <c r="S11230" t="s">
        <v>628</v>
      </c>
    </row>
    <row r="11231" spans="1:19" x14ac:dyDescent="0.2">
      <c r="A11231" t="s">
        <v>11842</v>
      </c>
      <c r="B11231" t="s">
        <v>83</v>
      </c>
      <c r="C11231" t="s">
        <v>602</v>
      </c>
      <c r="D11231">
        <v>4436.9399999999996</v>
      </c>
      <c r="E11231" s="37" t="str">
        <f t="shared" si="875"/>
        <v xml:space="preserve"> </v>
      </c>
      <c r="F11231">
        <v>7.0000000000000007E-2</v>
      </c>
      <c r="G11231" s="37" t="str">
        <f t="shared" si="876"/>
        <v>Normal Discount</v>
      </c>
      <c r="H11231" s="37" t="str">
        <f t="shared" si="877"/>
        <v>Low</v>
      </c>
      <c r="I11231">
        <v>6</v>
      </c>
      <c r="J11231" t="str" cm="1">
        <f t="array" ref="J11231">_xlfn.IFS(I11231&lt;=3,"small",I11231&lt;=6,"Medium",I11231&lt;=9,"Large")</f>
        <v>Medium</v>
      </c>
      <c r="K11231" s="36">
        <v>45121</v>
      </c>
      <c r="L11231" s="36">
        <v>45125</v>
      </c>
      <c r="M11231" t="s">
        <v>612</v>
      </c>
      <c r="N11231" t="s">
        <v>599</v>
      </c>
      <c r="O11231" s="37" t="str">
        <f t="shared" si="878"/>
        <v>Digital Payment</v>
      </c>
      <c r="P11231">
        <v>589.23</v>
      </c>
      <c r="Q11231" s="37" t="str">
        <f>IF(P11231&gt;500,"High","low")</f>
        <v>High</v>
      </c>
      <c r="R11231" s="37" t="str">
        <f t="shared" si="879"/>
        <v>Good</v>
      </c>
      <c r="S11231" t="s">
        <v>615</v>
      </c>
    </row>
    <row r="11232" spans="1:19" x14ac:dyDescent="0.2">
      <c r="A11232" t="s">
        <v>11843</v>
      </c>
      <c r="B11232" t="s">
        <v>83</v>
      </c>
      <c r="C11232" t="s">
        <v>602</v>
      </c>
      <c r="D11232">
        <v>1476.09</v>
      </c>
      <c r="E11232" s="37" t="str">
        <f t="shared" si="875"/>
        <v xml:space="preserve"> </v>
      </c>
      <c r="F11232">
        <v>0.21</v>
      </c>
      <c r="G11232" s="37" t="str">
        <f t="shared" si="876"/>
        <v>Normal Discount</v>
      </c>
      <c r="H11232" s="37" t="str">
        <f t="shared" si="877"/>
        <v>Medium</v>
      </c>
      <c r="I11232">
        <v>7</v>
      </c>
      <c r="J11232" t="str" cm="1">
        <f t="array" ref="J11232">_xlfn.IFS(I11232&lt;=3,"small",I11232&lt;=6,"Medium",I11232&lt;=9,"Large")</f>
        <v>Large</v>
      </c>
      <c r="K11232" s="36">
        <v>45389</v>
      </c>
      <c r="L11232" s="36">
        <v>45394</v>
      </c>
      <c r="M11232" t="s">
        <v>603</v>
      </c>
      <c r="N11232" t="s">
        <v>608</v>
      </c>
      <c r="O11232" s="37" t="str">
        <f t="shared" si="878"/>
        <v>Cash Payment</v>
      </c>
      <c r="P11232">
        <v>108.65</v>
      </c>
      <c r="Q11232" s="37" t="str">
        <f>IF(P11232&gt;500,"High","low")</f>
        <v>low</v>
      </c>
      <c r="R11232" s="37" t="str">
        <f t="shared" si="879"/>
        <v>AVERAGE</v>
      </c>
      <c r="S11232" t="s">
        <v>615</v>
      </c>
    </row>
    <row r="11233" spans="1:19" x14ac:dyDescent="0.2">
      <c r="A11233" t="s">
        <v>11844</v>
      </c>
      <c r="B11233" t="s">
        <v>75</v>
      </c>
      <c r="C11233" t="s">
        <v>597</v>
      </c>
      <c r="D11233">
        <v>1128.56</v>
      </c>
      <c r="E11233" s="37" t="str">
        <f t="shared" si="875"/>
        <v xml:space="preserve"> </v>
      </c>
      <c r="F11233">
        <v>7.0000000000000007E-2</v>
      </c>
      <c r="G11233" s="37" t="str">
        <f t="shared" si="876"/>
        <v>Normal Discount</v>
      </c>
      <c r="H11233" s="37" t="str">
        <f t="shared" si="877"/>
        <v>Low</v>
      </c>
      <c r="I11233">
        <v>1</v>
      </c>
      <c r="J11233" t="str" cm="1">
        <f t="array" ref="J11233">_xlfn.IFS(I11233&lt;=3,"small",I11233&lt;=6,"Medium",I11233&lt;=9,"Large")</f>
        <v>small</v>
      </c>
      <c r="K11233" s="36">
        <v>45078</v>
      </c>
      <c r="L11233" s="36">
        <v>45081</v>
      </c>
      <c r="M11233" t="s">
        <v>603</v>
      </c>
      <c r="N11233" t="s">
        <v>599</v>
      </c>
      <c r="O11233" s="37" t="str">
        <f t="shared" si="878"/>
        <v>Digital Payment</v>
      </c>
      <c r="P11233">
        <v>304.44</v>
      </c>
      <c r="Q11233" s="37" t="str">
        <f>IF(P11233&gt;500,"High","low")</f>
        <v>low</v>
      </c>
      <c r="R11233" s="37" t="str">
        <f t="shared" si="879"/>
        <v>AVERAGE</v>
      </c>
      <c r="S11233" t="s">
        <v>620</v>
      </c>
    </row>
    <row r="11234" spans="1:19" x14ac:dyDescent="0.2">
      <c r="A11234" t="s">
        <v>11845</v>
      </c>
      <c r="B11234" t="s">
        <v>90</v>
      </c>
      <c r="C11234" t="s">
        <v>617</v>
      </c>
      <c r="D11234">
        <v>3110.84</v>
      </c>
      <c r="E11234" s="37" t="str">
        <f t="shared" si="875"/>
        <v xml:space="preserve"> </v>
      </c>
      <c r="F11234">
        <v>0.01</v>
      </c>
      <c r="G11234" s="37" t="str">
        <f t="shared" si="876"/>
        <v>Normal Discount</v>
      </c>
      <c r="H11234" s="37" t="str">
        <f t="shared" si="877"/>
        <v>Low</v>
      </c>
      <c r="I11234">
        <v>8</v>
      </c>
      <c r="J11234" t="str" cm="1">
        <f t="array" ref="J11234">_xlfn.IFS(I11234&lt;=3,"small",I11234&lt;=6,"Medium",I11234&lt;=9,"Large")</f>
        <v>Large</v>
      </c>
      <c r="K11234" s="36">
        <v>45636</v>
      </c>
      <c r="L11234" s="36">
        <v>45641</v>
      </c>
      <c r="M11234" t="s">
        <v>603</v>
      </c>
      <c r="N11234" t="s">
        <v>608</v>
      </c>
      <c r="O11234" s="37" t="str">
        <f t="shared" si="878"/>
        <v>Cash Payment</v>
      </c>
      <c r="P11234">
        <v>188.16</v>
      </c>
      <c r="Q11234" s="37" t="str">
        <f>IF(P11234&gt;500,"High","low")</f>
        <v>low</v>
      </c>
      <c r="R11234" s="37" t="str">
        <f t="shared" si="879"/>
        <v>AVERAGE</v>
      </c>
      <c r="S11234" t="s">
        <v>609</v>
      </c>
    </row>
    <row r="11235" spans="1:19" x14ac:dyDescent="0.2">
      <c r="A11235" t="s">
        <v>11846</v>
      </c>
      <c r="B11235" t="s">
        <v>67</v>
      </c>
      <c r="C11235" t="s">
        <v>597</v>
      </c>
      <c r="D11235">
        <v>1138.06</v>
      </c>
      <c r="E11235" s="37" t="str">
        <f t="shared" si="875"/>
        <v xml:space="preserve"> </v>
      </c>
      <c r="F11235">
        <v>0.21</v>
      </c>
      <c r="G11235" s="37" t="str">
        <f t="shared" si="876"/>
        <v>Normal Discount</v>
      </c>
      <c r="H11235" s="37" t="str">
        <f t="shared" si="877"/>
        <v>Medium</v>
      </c>
      <c r="I11235">
        <v>7</v>
      </c>
      <c r="J11235" t="str" cm="1">
        <f t="array" ref="J11235">_xlfn.IFS(I11235&lt;=3,"small",I11235&lt;=6,"Medium",I11235&lt;=9,"Large")</f>
        <v>Large</v>
      </c>
      <c r="K11235" s="36">
        <v>45361</v>
      </c>
      <c r="L11235" s="36">
        <v>45366</v>
      </c>
      <c r="M11235" t="s">
        <v>598</v>
      </c>
      <c r="N11235" t="s">
        <v>604</v>
      </c>
      <c r="O11235" s="37" t="str">
        <f t="shared" si="878"/>
        <v>Digital Payment</v>
      </c>
      <c r="P11235">
        <v>327.3</v>
      </c>
      <c r="Q11235" s="37" t="str">
        <f>IF(P11235&gt;500,"High","low")</f>
        <v>low</v>
      </c>
      <c r="R11235" s="37" t="str">
        <f t="shared" si="879"/>
        <v>AVERAGE</v>
      </c>
      <c r="S11235" t="s">
        <v>620</v>
      </c>
    </row>
    <row r="11236" spans="1:19" x14ac:dyDescent="0.2">
      <c r="A11236" t="s">
        <v>11847</v>
      </c>
      <c r="B11236" t="s">
        <v>67</v>
      </c>
      <c r="C11236" t="s">
        <v>607</v>
      </c>
      <c r="D11236">
        <v>2589.39</v>
      </c>
      <c r="E11236" s="37" t="str">
        <f t="shared" si="875"/>
        <v xml:space="preserve"> </v>
      </c>
      <c r="F11236">
        <v>0.32</v>
      </c>
      <c r="G11236" s="37" t="str">
        <f t="shared" si="876"/>
        <v>Heavy Discount</v>
      </c>
      <c r="H11236" s="37" t="str">
        <f t="shared" si="877"/>
        <v>Medium</v>
      </c>
      <c r="I11236">
        <v>7</v>
      </c>
      <c r="J11236" t="str" cm="1">
        <f t="array" ref="J11236">_xlfn.IFS(I11236&lt;=3,"small",I11236&lt;=6,"Medium",I11236&lt;=9,"Large")</f>
        <v>Large</v>
      </c>
      <c r="K11236" s="36">
        <v>45537</v>
      </c>
      <c r="L11236" s="36">
        <v>45543</v>
      </c>
      <c r="M11236" t="s">
        <v>598</v>
      </c>
      <c r="N11236" t="s">
        <v>604</v>
      </c>
      <c r="O11236" s="37" t="str">
        <f t="shared" si="878"/>
        <v>Digital Payment</v>
      </c>
      <c r="P11236">
        <v>152.18</v>
      </c>
      <c r="Q11236" s="37" t="str">
        <f>IF(P11236&gt;500,"High","low")</f>
        <v>low</v>
      </c>
      <c r="R11236" s="37" t="str">
        <f t="shared" si="879"/>
        <v>AVERAGE</v>
      </c>
      <c r="S11236" t="s">
        <v>609</v>
      </c>
    </row>
    <row r="11237" spans="1:19" x14ac:dyDescent="0.2">
      <c r="A11237" t="s">
        <v>11848</v>
      </c>
      <c r="B11237" t="s">
        <v>75</v>
      </c>
      <c r="C11237" t="s">
        <v>614</v>
      </c>
      <c r="D11237">
        <v>2094.4499999999998</v>
      </c>
      <c r="E11237" s="37" t="str">
        <f t="shared" si="875"/>
        <v xml:space="preserve"> </v>
      </c>
      <c r="F11237">
        <v>0.25</v>
      </c>
      <c r="G11237" s="37" t="str">
        <f t="shared" si="876"/>
        <v>Normal Discount</v>
      </c>
      <c r="H11237" s="37" t="str">
        <f t="shared" si="877"/>
        <v>Medium</v>
      </c>
      <c r="I11237">
        <v>7</v>
      </c>
      <c r="J11237" t="str" cm="1">
        <f t="array" ref="J11237">_xlfn.IFS(I11237&lt;=3,"small",I11237&lt;=6,"Medium",I11237&lt;=9,"Large")</f>
        <v>Large</v>
      </c>
      <c r="K11237" s="36">
        <v>45046</v>
      </c>
      <c r="L11237" s="36">
        <v>45051</v>
      </c>
      <c r="M11237" t="s">
        <v>598</v>
      </c>
      <c r="N11237" t="s">
        <v>608</v>
      </c>
      <c r="O11237" s="37" t="str">
        <f t="shared" si="878"/>
        <v>Cash Payment</v>
      </c>
      <c r="P11237">
        <v>122.49</v>
      </c>
      <c r="Q11237" s="37" t="str">
        <f>IF(P11237&gt;500,"High","low")</f>
        <v>low</v>
      </c>
      <c r="R11237" s="37" t="str">
        <f t="shared" si="879"/>
        <v>AVERAGE</v>
      </c>
      <c r="S11237" t="s">
        <v>615</v>
      </c>
    </row>
    <row r="11238" spans="1:19" x14ac:dyDescent="0.2">
      <c r="A11238" t="s">
        <v>11849</v>
      </c>
      <c r="B11238" t="s">
        <v>75</v>
      </c>
      <c r="C11238" t="s">
        <v>597</v>
      </c>
      <c r="D11238">
        <v>1236.97</v>
      </c>
      <c r="E11238" s="37" t="str">
        <f t="shared" si="875"/>
        <v xml:space="preserve"> </v>
      </c>
      <c r="F11238">
        <v>0.03</v>
      </c>
      <c r="G11238" s="37" t="str">
        <f t="shared" si="876"/>
        <v>Normal Discount</v>
      </c>
      <c r="H11238" s="37" t="str">
        <f t="shared" si="877"/>
        <v>Low</v>
      </c>
      <c r="I11238">
        <v>7</v>
      </c>
      <c r="J11238" t="str" cm="1">
        <f t="array" ref="J11238">_xlfn.IFS(I11238&lt;=3,"small",I11238&lt;=6,"Medium",I11238&lt;=9,"Large")</f>
        <v>Large</v>
      </c>
      <c r="K11238" s="36">
        <v>45180</v>
      </c>
      <c r="L11238" s="36">
        <v>45186</v>
      </c>
      <c r="M11238" t="s">
        <v>612</v>
      </c>
      <c r="N11238" t="s">
        <v>599</v>
      </c>
      <c r="O11238" s="37" t="str">
        <f t="shared" si="878"/>
        <v>Digital Payment</v>
      </c>
      <c r="P11238">
        <v>196</v>
      </c>
      <c r="Q11238" s="37" t="str">
        <f>IF(P11238&gt;500,"High","low")</f>
        <v>low</v>
      </c>
      <c r="R11238" s="37" t="str">
        <f t="shared" si="879"/>
        <v>AVERAGE</v>
      </c>
      <c r="S11238" t="s">
        <v>609</v>
      </c>
    </row>
    <row r="11239" spans="1:19" x14ac:dyDescent="0.2">
      <c r="A11239" t="s">
        <v>11850</v>
      </c>
      <c r="B11239" t="s">
        <v>90</v>
      </c>
      <c r="C11239" t="s">
        <v>602</v>
      </c>
      <c r="D11239">
        <v>1531.09</v>
      </c>
      <c r="E11239" s="37" t="str">
        <f t="shared" si="875"/>
        <v xml:space="preserve"> </v>
      </c>
      <c r="F11239">
        <v>0.12</v>
      </c>
      <c r="G11239" s="37" t="str">
        <f t="shared" si="876"/>
        <v>Normal Discount</v>
      </c>
      <c r="H11239" s="37" t="str">
        <f t="shared" si="877"/>
        <v>Low</v>
      </c>
      <c r="I11239">
        <v>1</v>
      </c>
      <c r="J11239" t="str" cm="1">
        <f t="array" ref="J11239">_xlfn.IFS(I11239&lt;=3,"small",I11239&lt;=6,"Medium",I11239&lt;=9,"Large")</f>
        <v>small</v>
      </c>
      <c r="K11239" s="36">
        <v>45131</v>
      </c>
      <c r="L11239" s="36">
        <v>45135</v>
      </c>
      <c r="M11239" t="s">
        <v>612</v>
      </c>
      <c r="N11239" t="s">
        <v>604</v>
      </c>
      <c r="O11239" s="37" t="str">
        <f t="shared" si="878"/>
        <v>Digital Payment</v>
      </c>
      <c r="P11239">
        <v>211.68</v>
      </c>
      <c r="Q11239" s="37" t="str">
        <f>IF(P11239&gt;500,"High","low")</f>
        <v>low</v>
      </c>
      <c r="R11239" s="37" t="str">
        <f t="shared" si="879"/>
        <v>AVERAGE</v>
      </c>
      <c r="S11239" t="s">
        <v>620</v>
      </c>
    </row>
    <row r="11240" spans="1:19" x14ac:dyDescent="0.2">
      <c r="A11240" t="s">
        <v>11851</v>
      </c>
      <c r="B11240" t="s">
        <v>67</v>
      </c>
      <c r="C11240" t="s">
        <v>602</v>
      </c>
      <c r="D11240">
        <v>2194.3000000000002</v>
      </c>
      <c r="E11240" s="37" t="str">
        <f t="shared" si="875"/>
        <v xml:space="preserve"> </v>
      </c>
      <c r="F11240">
        <v>0.26</v>
      </c>
      <c r="G11240" s="37" t="str">
        <f t="shared" si="876"/>
        <v>Normal Discount</v>
      </c>
      <c r="H11240" s="37" t="str">
        <f t="shared" si="877"/>
        <v>Medium</v>
      </c>
      <c r="I11240">
        <v>9</v>
      </c>
      <c r="J11240" t="str" cm="1">
        <f t="array" ref="J11240">_xlfn.IFS(I11240&lt;=3,"small",I11240&lt;=6,"Medium",I11240&lt;=9,"Large")</f>
        <v>Large</v>
      </c>
      <c r="K11240" s="36">
        <v>45288</v>
      </c>
      <c r="L11240" s="36">
        <v>45291</v>
      </c>
      <c r="M11240" t="s">
        <v>612</v>
      </c>
      <c r="N11240" t="s">
        <v>604</v>
      </c>
      <c r="O11240" s="37" t="str">
        <f t="shared" si="878"/>
        <v>Digital Payment</v>
      </c>
      <c r="P11240">
        <v>136.56</v>
      </c>
      <c r="Q11240" s="37" t="str">
        <f>IF(P11240&gt;500,"High","low")</f>
        <v>low</v>
      </c>
      <c r="R11240" s="37" t="str">
        <f t="shared" si="879"/>
        <v>AVERAGE</v>
      </c>
      <c r="S11240" t="s">
        <v>620</v>
      </c>
    </row>
    <row r="11241" spans="1:19" x14ac:dyDescent="0.2">
      <c r="A11241" t="s">
        <v>11852</v>
      </c>
      <c r="B11241" t="s">
        <v>83</v>
      </c>
      <c r="C11241" t="s">
        <v>607</v>
      </c>
      <c r="D11241">
        <v>1796.19</v>
      </c>
      <c r="E11241" s="37" t="str">
        <f t="shared" si="875"/>
        <v xml:space="preserve"> </v>
      </c>
      <c r="F11241">
        <v>0.37</v>
      </c>
      <c r="G11241" s="37" t="str">
        <f t="shared" si="876"/>
        <v>Heavy Discount</v>
      </c>
      <c r="H11241" s="37" t="str">
        <f t="shared" si="877"/>
        <v>Medium</v>
      </c>
      <c r="I11241">
        <v>7</v>
      </c>
      <c r="J11241" t="str" cm="1">
        <f t="array" ref="J11241">_xlfn.IFS(I11241&lt;=3,"small",I11241&lt;=6,"Medium",I11241&lt;=9,"Large")</f>
        <v>Large</v>
      </c>
      <c r="K11241" s="36">
        <v>45180</v>
      </c>
      <c r="L11241" s="36">
        <v>45186</v>
      </c>
      <c r="M11241" t="s">
        <v>598</v>
      </c>
      <c r="N11241" t="s">
        <v>608</v>
      </c>
      <c r="O11241" s="37" t="str">
        <f t="shared" si="878"/>
        <v>Cash Payment</v>
      </c>
      <c r="P11241">
        <v>445.23</v>
      </c>
      <c r="Q11241" s="37" t="str">
        <f>IF(P11241&gt;500,"High","low")</f>
        <v>low</v>
      </c>
      <c r="R11241" s="37" t="str">
        <f t="shared" si="879"/>
        <v>AVERAGE</v>
      </c>
      <c r="S11241" t="s">
        <v>600</v>
      </c>
    </row>
    <row r="11242" spans="1:19" x14ac:dyDescent="0.2">
      <c r="A11242" t="s">
        <v>11853</v>
      </c>
      <c r="B11242" t="s">
        <v>75</v>
      </c>
      <c r="C11242" t="s">
        <v>617</v>
      </c>
      <c r="D11242">
        <v>1969.72</v>
      </c>
      <c r="E11242" s="37" t="str">
        <f t="shared" si="875"/>
        <v xml:space="preserve"> </v>
      </c>
      <c r="F11242">
        <v>0.4</v>
      </c>
      <c r="G11242" s="37" t="str">
        <f t="shared" si="876"/>
        <v>Heavy Discount</v>
      </c>
      <c r="H11242" s="37" t="str">
        <f t="shared" si="877"/>
        <v>Medium</v>
      </c>
      <c r="I11242">
        <v>7</v>
      </c>
      <c r="J11242" t="str" cm="1">
        <f t="array" ref="J11242">_xlfn.IFS(I11242&lt;=3,"small",I11242&lt;=6,"Medium",I11242&lt;=9,"Large")</f>
        <v>Large</v>
      </c>
      <c r="K11242" s="36">
        <v>45597</v>
      </c>
      <c r="L11242" s="36">
        <v>45603</v>
      </c>
      <c r="M11242" t="s">
        <v>603</v>
      </c>
      <c r="N11242" t="s">
        <v>599</v>
      </c>
      <c r="O11242" s="37" t="str">
        <f t="shared" si="878"/>
        <v>Digital Payment</v>
      </c>
      <c r="P11242">
        <v>130.84</v>
      </c>
      <c r="Q11242" s="37" t="str">
        <f>IF(P11242&gt;500,"High","low")</f>
        <v>low</v>
      </c>
      <c r="R11242" s="37" t="str">
        <f t="shared" si="879"/>
        <v>AVERAGE</v>
      </c>
      <c r="S11242" t="s">
        <v>609</v>
      </c>
    </row>
    <row r="11243" spans="1:19" x14ac:dyDescent="0.2">
      <c r="A11243" t="s">
        <v>11854</v>
      </c>
      <c r="B11243" t="s">
        <v>67</v>
      </c>
      <c r="C11243" t="s">
        <v>614</v>
      </c>
      <c r="D11243">
        <v>3703.63</v>
      </c>
      <c r="E11243" s="37" t="str">
        <f t="shared" si="875"/>
        <v xml:space="preserve"> </v>
      </c>
      <c r="F11243">
        <v>0.26</v>
      </c>
      <c r="G11243" s="37" t="str">
        <f t="shared" si="876"/>
        <v>Normal Discount</v>
      </c>
      <c r="H11243" s="37" t="str">
        <f t="shared" si="877"/>
        <v>Medium</v>
      </c>
      <c r="I11243">
        <v>1</v>
      </c>
      <c r="J11243" t="str" cm="1">
        <f t="array" ref="J11243">_xlfn.IFS(I11243&lt;=3,"small",I11243&lt;=6,"Medium",I11243&lt;=9,"Large")</f>
        <v>small</v>
      </c>
      <c r="K11243" s="36">
        <v>45212</v>
      </c>
      <c r="L11243" s="36">
        <v>45213</v>
      </c>
      <c r="M11243" t="s">
        <v>603</v>
      </c>
      <c r="N11243" t="s">
        <v>608</v>
      </c>
      <c r="O11243" s="37" t="str">
        <f t="shared" si="878"/>
        <v>Cash Payment</v>
      </c>
      <c r="P11243">
        <v>241.3</v>
      </c>
      <c r="Q11243" s="37" t="str">
        <f>IF(P11243&gt;500,"High","low")</f>
        <v>low</v>
      </c>
      <c r="R11243" s="37" t="str">
        <f t="shared" si="879"/>
        <v>AVERAGE</v>
      </c>
      <c r="S11243" t="s">
        <v>615</v>
      </c>
    </row>
    <row r="11244" spans="1:19" x14ac:dyDescent="0.2">
      <c r="A11244" t="s">
        <v>11855</v>
      </c>
      <c r="B11244" t="s">
        <v>90</v>
      </c>
      <c r="C11244" t="s">
        <v>597</v>
      </c>
      <c r="D11244">
        <v>925.06</v>
      </c>
      <c r="E11244" s="37" t="str">
        <f t="shared" si="875"/>
        <v xml:space="preserve"> </v>
      </c>
      <c r="F11244">
        <v>0.32</v>
      </c>
      <c r="G11244" s="37" t="str">
        <f t="shared" si="876"/>
        <v>Heavy Discount</v>
      </c>
      <c r="H11244" s="37" t="str">
        <f t="shared" si="877"/>
        <v>Medium</v>
      </c>
      <c r="I11244">
        <v>6</v>
      </c>
      <c r="J11244" t="str" cm="1">
        <f t="array" ref="J11244">_xlfn.IFS(I11244&lt;=3,"small",I11244&lt;=6,"Medium",I11244&lt;=9,"Large")</f>
        <v>Medium</v>
      </c>
      <c r="K11244" s="36">
        <v>45478</v>
      </c>
      <c r="L11244" s="36">
        <v>45482</v>
      </c>
      <c r="M11244" t="s">
        <v>612</v>
      </c>
      <c r="N11244" t="s">
        <v>604</v>
      </c>
      <c r="O11244" s="37" t="str">
        <f t="shared" si="878"/>
        <v>Digital Payment</v>
      </c>
      <c r="P11244">
        <v>158.59</v>
      </c>
      <c r="Q11244" s="37" t="str">
        <f>IF(P11244&gt;500,"High","low")</f>
        <v>low</v>
      </c>
      <c r="R11244" s="37" t="str">
        <f t="shared" si="879"/>
        <v>AVERAGE</v>
      </c>
      <c r="S11244" t="s">
        <v>628</v>
      </c>
    </row>
    <row r="11245" spans="1:19" x14ac:dyDescent="0.2">
      <c r="A11245" t="s">
        <v>11856</v>
      </c>
      <c r="B11245" t="s">
        <v>83</v>
      </c>
      <c r="C11245" t="s">
        <v>617</v>
      </c>
      <c r="D11245">
        <v>3175.33</v>
      </c>
      <c r="E11245" s="37" t="str">
        <f t="shared" si="875"/>
        <v xml:space="preserve"> </v>
      </c>
      <c r="F11245">
        <v>0.45</v>
      </c>
      <c r="G11245" s="37" t="str">
        <f t="shared" si="876"/>
        <v>Heavy Discount</v>
      </c>
      <c r="H11245" s="37" t="str">
        <f t="shared" si="877"/>
        <v>High</v>
      </c>
      <c r="I11245">
        <v>8</v>
      </c>
      <c r="J11245" t="str" cm="1">
        <f t="array" ref="J11245">_xlfn.IFS(I11245&lt;=3,"small",I11245&lt;=6,"Medium",I11245&lt;=9,"Large")</f>
        <v>Large</v>
      </c>
      <c r="K11245" s="36">
        <v>45164</v>
      </c>
      <c r="L11245" s="36">
        <v>45169</v>
      </c>
      <c r="M11245" t="s">
        <v>612</v>
      </c>
      <c r="N11245" t="s">
        <v>599</v>
      </c>
      <c r="O11245" s="37" t="str">
        <f t="shared" si="878"/>
        <v>Digital Payment</v>
      </c>
      <c r="P11245">
        <v>435.92</v>
      </c>
      <c r="Q11245" s="37" t="str">
        <f>IF(P11245&gt;500,"High","low")</f>
        <v>low</v>
      </c>
      <c r="R11245" s="37" t="str">
        <f t="shared" si="879"/>
        <v>AVERAGE</v>
      </c>
      <c r="S11245" t="s">
        <v>600</v>
      </c>
    </row>
    <row r="11246" spans="1:19" x14ac:dyDescent="0.2">
      <c r="A11246" t="s">
        <v>11857</v>
      </c>
      <c r="B11246" t="s">
        <v>90</v>
      </c>
      <c r="C11246" t="s">
        <v>617</v>
      </c>
      <c r="D11246">
        <v>3422.97</v>
      </c>
      <c r="E11246" s="37" t="str">
        <f t="shared" si="875"/>
        <v xml:space="preserve"> </v>
      </c>
      <c r="F11246">
        <v>0.03</v>
      </c>
      <c r="G11246" s="37" t="str">
        <f t="shared" si="876"/>
        <v>Normal Discount</v>
      </c>
      <c r="H11246" s="37" t="str">
        <f t="shared" si="877"/>
        <v>Low</v>
      </c>
      <c r="I11246">
        <v>5</v>
      </c>
      <c r="J11246" t="str" cm="1">
        <f t="array" ref="J11246">_xlfn.IFS(I11246&lt;=3,"small",I11246&lt;=6,"Medium",I11246&lt;=9,"Large")</f>
        <v>Medium</v>
      </c>
      <c r="K11246" s="36">
        <v>45555</v>
      </c>
      <c r="L11246" s="36">
        <v>45561</v>
      </c>
      <c r="M11246" t="s">
        <v>598</v>
      </c>
      <c r="N11246" t="s">
        <v>599</v>
      </c>
      <c r="O11246" s="37" t="str">
        <f t="shared" si="878"/>
        <v>Digital Payment</v>
      </c>
      <c r="P11246">
        <v>292.27999999999997</v>
      </c>
      <c r="Q11246" s="37" t="str">
        <f>IF(P11246&gt;500,"High","low")</f>
        <v>low</v>
      </c>
      <c r="R11246" s="37" t="str">
        <f t="shared" si="879"/>
        <v>AVERAGE</v>
      </c>
      <c r="S11246" t="s">
        <v>615</v>
      </c>
    </row>
    <row r="11247" spans="1:19" x14ac:dyDescent="0.2">
      <c r="A11247" t="s">
        <v>11858</v>
      </c>
      <c r="B11247" t="s">
        <v>75</v>
      </c>
      <c r="C11247" t="s">
        <v>597</v>
      </c>
      <c r="D11247">
        <v>4030.23</v>
      </c>
      <c r="E11247" s="37" t="str">
        <f t="shared" si="875"/>
        <v xml:space="preserve"> </v>
      </c>
      <c r="F11247">
        <v>0.05</v>
      </c>
      <c r="G11247" s="37" t="str">
        <f t="shared" si="876"/>
        <v>Normal Discount</v>
      </c>
      <c r="H11247" s="37" t="str">
        <f t="shared" si="877"/>
        <v>Low</v>
      </c>
      <c r="I11247">
        <v>1</v>
      </c>
      <c r="J11247" t="str" cm="1">
        <f t="array" ref="J11247">_xlfn.IFS(I11247&lt;=3,"small",I11247&lt;=6,"Medium",I11247&lt;=9,"Large")</f>
        <v>small</v>
      </c>
      <c r="K11247" s="36">
        <v>45305</v>
      </c>
      <c r="L11247" s="36">
        <v>45312</v>
      </c>
      <c r="M11247" t="s">
        <v>612</v>
      </c>
      <c r="N11247" t="s">
        <v>608</v>
      </c>
      <c r="O11247" s="37" t="str">
        <f t="shared" si="878"/>
        <v>Cash Payment</v>
      </c>
      <c r="P11247">
        <v>325.08</v>
      </c>
      <c r="Q11247" s="37" t="str">
        <f>IF(P11247&gt;500,"High","low")</f>
        <v>low</v>
      </c>
      <c r="R11247" s="37" t="str">
        <f t="shared" si="879"/>
        <v>AVERAGE</v>
      </c>
      <c r="S11247" t="s">
        <v>605</v>
      </c>
    </row>
    <row r="11248" spans="1:19" x14ac:dyDescent="0.2">
      <c r="A11248" t="s">
        <v>11859</v>
      </c>
      <c r="B11248" t="s">
        <v>67</v>
      </c>
      <c r="C11248" t="s">
        <v>597</v>
      </c>
      <c r="D11248">
        <v>4251.8999999999996</v>
      </c>
      <c r="E11248" s="37" t="str">
        <f t="shared" si="875"/>
        <v>Excellent Order</v>
      </c>
      <c r="F11248">
        <v>0.23</v>
      </c>
      <c r="G11248" s="37" t="str">
        <f t="shared" si="876"/>
        <v>Normal Discount</v>
      </c>
      <c r="H11248" s="37" t="str">
        <f t="shared" si="877"/>
        <v>Medium</v>
      </c>
      <c r="I11248">
        <v>5</v>
      </c>
      <c r="J11248" t="str" cm="1">
        <f t="array" ref="J11248">_xlfn.IFS(I11248&lt;=3,"small",I11248&lt;=6,"Medium",I11248&lt;=9,"Large")</f>
        <v>Medium</v>
      </c>
      <c r="K11248" s="36">
        <v>45452</v>
      </c>
      <c r="L11248" s="36">
        <v>45456</v>
      </c>
      <c r="M11248" t="s">
        <v>598</v>
      </c>
      <c r="N11248" t="s">
        <v>608</v>
      </c>
      <c r="O11248" s="37" t="str">
        <f t="shared" si="878"/>
        <v>Cash Payment</v>
      </c>
      <c r="P11248">
        <v>1243.53</v>
      </c>
      <c r="Q11248" s="37" t="str">
        <f>IF(P11248&gt;500,"High","low")</f>
        <v>High</v>
      </c>
      <c r="R11248" s="37" t="str">
        <f t="shared" si="879"/>
        <v>Excellent</v>
      </c>
      <c r="S11248" t="s">
        <v>615</v>
      </c>
    </row>
    <row r="11249" spans="1:19" x14ac:dyDescent="0.2">
      <c r="A11249" t="s">
        <v>11860</v>
      </c>
      <c r="B11249" t="s">
        <v>67</v>
      </c>
      <c r="C11249" t="s">
        <v>597</v>
      </c>
      <c r="D11249">
        <v>877.46</v>
      </c>
      <c r="E11249" s="37" t="str">
        <f t="shared" si="875"/>
        <v xml:space="preserve"> </v>
      </c>
      <c r="F11249">
        <v>0.3</v>
      </c>
      <c r="G11249" s="37" t="str">
        <f t="shared" si="876"/>
        <v>Normal Discount</v>
      </c>
      <c r="H11249" s="37" t="str">
        <f t="shared" si="877"/>
        <v>Medium</v>
      </c>
      <c r="I11249">
        <v>2</v>
      </c>
      <c r="J11249" t="str" cm="1">
        <f t="array" ref="J11249">_xlfn.IFS(I11249&lt;=3,"small",I11249&lt;=6,"Medium",I11249&lt;=9,"Large")</f>
        <v>small</v>
      </c>
      <c r="K11249" s="36">
        <v>45482</v>
      </c>
      <c r="L11249" s="36">
        <v>45484</v>
      </c>
      <c r="M11249" t="s">
        <v>612</v>
      </c>
      <c r="N11249" t="s">
        <v>604</v>
      </c>
      <c r="O11249" s="37" t="str">
        <f t="shared" si="878"/>
        <v>Digital Payment</v>
      </c>
      <c r="P11249">
        <v>185.03</v>
      </c>
      <c r="Q11249" s="37" t="str">
        <f>IF(P11249&gt;500,"High","low")</f>
        <v>low</v>
      </c>
      <c r="R11249" s="37" t="str">
        <f t="shared" si="879"/>
        <v>AVERAGE</v>
      </c>
      <c r="S11249" t="s">
        <v>605</v>
      </c>
    </row>
    <row r="11250" spans="1:19" x14ac:dyDescent="0.2">
      <c r="A11250" t="s">
        <v>11861</v>
      </c>
      <c r="B11250" t="s">
        <v>67</v>
      </c>
      <c r="C11250" t="s">
        <v>597</v>
      </c>
      <c r="D11250">
        <v>777.48</v>
      </c>
      <c r="E11250" s="37" t="str">
        <f t="shared" si="875"/>
        <v xml:space="preserve"> </v>
      </c>
      <c r="F11250">
        <v>0</v>
      </c>
      <c r="G11250" s="37" t="str">
        <f t="shared" si="876"/>
        <v>Normal Discount</v>
      </c>
      <c r="H11250" s="37" t="str">
        <f t="shared" si="877"/>
        <v>Low</v>
      </c>
      <c r="I11250">
        <v>2</v>
      </c>
      <c r="J11250" t="str" cm="1">
        <f t="array" ref="J11250">_xlfn.IFS(I11250&lt;=3,"small",I11250&lt;=6,"Medium",I11250&lt;=9,"Large")</f>
        <v>small</v>
      </c>
      <c r="K11250" s="36">
        <v>45600</v>
      </c>
      <c r="L11250" s="36">
        <v>45603</v>
      </c>
      <c r="M11250" t="s">
        <v>603</v>
      </c>
      <c r="N11250" t="s">
        <v>608</v>
      </c>
      <c r="O11250" s="37" t="str">
        <f t="shared" si="878"/>
        <v>Cash Payment</v>
      </c>
      <c r="P11250">
        <v>79.52</v>
      </c>
      <c r="Q11250" s="37" t="str">
        <f>IF(P11250&gt;500,"High","low")</f>
        <v>low</v>
      </c>
      <c r="R11250" s="37" t="str">
        <f t="shared" si="879"/>
        <v>AVERAGE</v>
      </c>
      <c r="S11250" t="s">
        <v>605</v>
      </c>
    </row>
    <row r="11251" spans="1:19" x14ac:dyDescent="0.2">
      <c r="A11251" t="s">
        <v>11862</v>
      </c>
      <c r="B11251" t="s">
        <v>67</v>
      </c>
      <c r="C11251" t="s">
        <v>602</v>
      </c>
      <c r="D11251">
        <v>3112.38</v>
      </c>
      <c r="E11251" s="37" t="str">
        <f t="shared" si="875"/>
        <v xml:space="preserve"> </v>
      </c>
      <c r="F11251">
        <v>0.23</v>
      </c>
      <c r="G11251" s="37" t="str">
        <f t="shared" si="876"/>
        <v>Normal Discount</v>
      </c>
      <c r="H11251" s="37" t="str">
        <f t="shared" si="877"/>
        <v>Medium</v>
      </c>
      <c r="I11251">
        <v>4</v>
      </c>
      <c r="J11251" t="str" cm="1">
        <f t="array" ref="J11251">_xlfn.IFS(I11251&lt;=3,"small",I11251&lt;=6,"Medium",I11251&lt;=9,"Large")</f>
        <v>Medium</v>
      </c>
      <c r="K11251" s="36">
        <v>45093</v>
      </c>
      <c r="L11251" s="36">
        <v>45100</v>
      </c>
      <c r="M11251" t="s">
        <v>603</v>
      </c>
      <c r="N11251" t="s">
        <v>599</v>
      </c>
      <c r="O11251" s="37" t="str">
        <f t="shared" si="878"/>
        <v>Digital Payment</v>
      </c>
      <c r="P11251">
        <v>405.53</v>
      </c>
      <c r="Q11251" s="37" t="str">
        <f>IF(P11251&gt;500,"High","low")</f>
        <v>low</v>
      </c>
      <c r="R11251" s="37" t="str">
        <f t="shared" si="879"/>
        <v>AVERAGE</v>
      </c>
      <c r="S11251" t="s">
        <v>615</v>
      </c>
    </row>
    <row r="11252" spans="1:19" x14ac:dyDescent="0.2">
      <c r="A11252" t="s">
        <v>11863</v>
      </c>
      <c r="B11252" t="s">
        <v>83</v>
      </c>
      <c r="C11252" t="s">
        <v>617</v>
      </c>
      <c r="D11252">
        <v>3808.89</v>
      </c>
      <c r="E11252" s="37" t="str">
        <f t="shared" si="875"/>
        <v xml:space="preserve"> </v>
      </c>
      <c r="F11252">
        <v>0.09</v>
      </c>
      <c r="G11252" s="37" t="str">
        <f t="shared" si="876"/>
        <v>Normal Discount</v>
      </c>
      <c r="H11252" s="37" t="str">
        <f t="shared" si="877"/>
        <v>Low</v>
      </c>
      <c r="I11252">
        <v>4</v>
      </c>
      <c r="J11252" t="str" cm="1">
        <f t="array" ref="J11252">_xlfn.IFS(I11252&lt;=3,"small",I11252&lt;=6,"Medium",I11252&lt;=9,"Large")</f>
        <v>Medium</v>
      </c>
      <c r="K11252" s="36">
        <v>45570</v>
      </c>
      <c r="L11252" s="36">
        <v>45571</v>
      </c>
      <c r="M11252" t="s">
        <v>598</v>
      </c>
      <c r="N11252" t="s">
        <v>608</v>
      </c>
      <c r="O11252" s="37" t="str">
        <f t="shared" si="878"/>
        <v>Cash Payment</v>
      </c>
      <c r="P11252">
        <v>820.72</v>
      </c>
      <c r="Q11252" s="37" t="str">
        <f>IF(P11252&gt;500,"High","low")</f>
        <v>High</v>
      </c>
      <c r="R11252" s="37" t="str">
        <f t="shared" si="879"/>
        <v>Good</v>
      </c>
      <c r="S11252" t="s">
        <v>609</v>
      </c>
    </row>
    <row r="11253" spans="1:19" x14ac:dyDescent="0.2">
      <c r="A11253" t="s">
        <v>11864</v>
      </c>
      <c r="B11253" t="s">
        <v>83</v>
      </c>
      <c r="C11253" t="s">
        <v>617</v>
      </c>
      <c r="D11253">
        <v>1434.4</v>
      </c>
      <c r="E11253" s="37" t="str">
        <f t="shared" si="875"/>
        <v xml:space="preserve"> </v>
      </c>
      <c r="F11253">
        <v>0.32</v>
      </c>
      <c r="G11253" s="37" t="str">
        <f t="shared" si="876"/>
        <v>Heavy Discount</v>
      </c>
      <c r="H11253" s="37" t="str">
        <f t="shared" si="877"/>
        <v>Medium</v>
      </c>
      <c r="I11253">
        <v>7</v>
      </c>
      <c r="J11253" t="str" cm="1">
        <f t="array" ref="J11253">_xlfn.IFS(I11253&lt;=3,"small",I11253&lt;=6,"Medium",I11253&lt;=9,"Large")</f>
        <v>Large</v>
      </c>
      <c r="K11253" s="36">
        <v>45142</v>
      </c>
      <c r="L11253" s="36">
        <v>45145</v>
      </c>
      <c r="M11253" t="s">
        <v>603</v>
      </c>
      <c r="N11253" t="s">
        <v>608</v>
      </c>
      <c r="O11253" s="37" t="str">
        <f t="shared" si="878"/>
        <v>Cash Payment</v>
      </c>
      <c r="P11253">
        <v>103.04</v>
      </c>
      <c r="Q11253" s="37" t="str">
        <f>IF(P11253&gt;500,"High","low")</f>
        <v>low</v>
      </c>
      <c r="R11253" s="37" t="str">
        <f t="shared" si="879"/>
        <v>AVERAGE</v>
      </c>
      <c r="S11253" t="s">
        <v>615</v>
      </c>
    </row>
    <row r="11254" spans="1:19" x14ac:dyDescent="0.2">
      <c r="A11254" t="s">
        <v>11865</v>
      </c>
      <c r="B11254" t="s">
        <v>90</v>
      </c>
      <c r="C11254" t="s">
        <v>602</v>
      </c>
      <c r="D11254">
        <v>2676.65</v>
      </c>
      <c r="E11254" s="37" t="str">
        <f t="shared" si="875"/>
        <v xml:space="preserve"> </v>
      </c>
      <c r="F11254">
        <v>0.13</v>
      </c>
      <c r="G11254" s="37" t="str">
        <f t="shared" si="876"/>
        <v>Normal Discount</v>
      </c>
      <c r="H11254" s="37" t="str">
        <f t="shared" si="877"/>
        <v>Low</v>
      </c>
      <c r="I11254">
        <v>9</v>
      </c>
      <c r="J11254" t="str" cm="1">
        <f t="array" ref="J11254">_xlfn.IFS(I11254&lt;=3,"small",I11254&lt;=6,"Medium",I11254&lt;=9,"Large")</f>
        <v>Large</v>
      </c>
      <c r="K11254" s="36">
        <v>45337</v>
      </c>
      <c r="L11254" s="36">
        <v>45339</v>
      </c>
      <c r="M11254" t="s">
        <v>603</v>
      </c>
      <c r="N11254" t="s">
        <v>608</v>
      </c>
      <c r="O11254" s="37" t="str">
        <f t="shared" si="878"/>
        <v>Cash Payment</v>
      </c>
      <c r="P11254">
        <v>372.99</v>
      </c>
      <c r="Q11254" s="37" t="str">
        <f>IF(P11254&gt;500,"High","low")</f>
        <v>low</v>
      </c>
      <c r="R11254" s="37" t="str">
        <f t="shared" si="879"/>
        <v>AVERAGE</v>
      </c>
      <c r="S11254" t="s">
        <v>628</v>
      </c>
    </row>
    <row r="11255" spans="1:19" x14ac:dyDescent="0.2">
      <c r="A11255" t="s">
        <v>11866</v>
      </c>
      <c r="B11255" t="s">
        <v>83</v>
      </c>
      <c r="C11255" t="s">
        <v>617</v>
      </c>
      <c r="D11255">
        <v>3883.97</v>
      </c>
      <c r="E11255" s="37" t="str">
        <f t="shared" si="875"/>
        <v xml:space="preserve"> </v>
      </c>
      <c r="F11255">
        <v>0.45</v>
      </c>
      <c r="G11255" s="37" t="str">
        <f t="shared" si="876"/>
        <v>Heavy Discount</v>
      </c>
      <c r="H11255" s="37" t="str">
        <f t="shared" si="877"/>
        <v>High</v>
      </c>
      <c r="I11255">
        <v>2</v>
      </c>
      <c r="J11255" t="str" cm="1">
        <f t="array" ref="J11255">_xlfn.IFS(I11255&lt;=3,"small",I11255&lt;=6,"Medium",I11255&lt;=9,"Large")</f>
        <v>small</v>
      </c>
      <c r="K11255" s="36">
        <v>45224</v>
      </c>
      <c r="L11255" s="36">
        <v>45225</v>
      </c>
      <c r="M11255" t="s">
        <v>603</v>
      </c>
      <c r="N11255" t="s">
        <v>608</v>
      </c>
      <c r="O11255" s="37" t="str">
        <f t="shared" si="878"/>
        <v>Cash Payment</v>
      </c>
      <c r="P11255">
        <v>221.35</v>
      </c>
      <c r="Q11255" s="37" t="str">
        <f>IF(P11255&gt;500,"High","low")</f>
        <v>low</v>
      </c>
      <c r="R11255" s="37" t="str">
        <f t="shared" si="879"/>
        <v>AVERAGE</v>
      </c>
      <c r="S11255" t="s">
        <v>628</v>
      </c>
    </row>
    <row r="11256" spans="1:19" x14ac:dyDescent="0.2">
      <c r="A11256" t="s">
        <v>11867</v>
      </c>
      <c r="B11256" t="s">
        <v>75</v>
      </c>
      <c r="C11256" t="s">
        <v>597</v>
      </c>
      <c r="D11256">
        <v>3860.77</v>
      </c>
      <c r="E11256" s="37" t="str">
        <f t="shared" si="875"/>
        <v xml:space="preserve"> </v>
      </c>
      <c r="F11256">
        <v>0.03</v>
      </c>
      <c r="G11256" s="37" t="str">
        <f t="shared" si="876"/>
        <v>Normal Discount</v>
      </c>
      <c r="H11256" s="37" t="str">
        <f t="shared" si="877"/>
        <v>Low</v>
      </c>
      <c r="I11256">
        <v>8</v>
      </c>
      <c r="J11256" t="str" cm="1">
        <f t="array" ref="J11256">_xlfn.IFS(I11256&lt;=3,"small",I11256&lt;=6,"Medium",I11256&lt;=9,"Large")</f>
        <v>Large</v>
      </c>
      <c r="K11256" s="36">
        <v>45065</v>
      </c>
      <c r="L11256" s="36">
        <v>45069</v>
      </c>
      <c r="M11256" t="s">
        <v>598</v>
      </c>
      <c r="N11256" t="s">
        <v>604</v>
      </c>
      <c r="O11256" s="37" t="str">
        <f t="shared" si="878"/>
        <v>Digital Payment</v>
      </c>
      <c r="P11256">
        <v>777.49</v>
      </c>
      <c r="Q11256" s="37" t="str">
        <f>IF(P11256&gt;500,"High","low")</f>
        <v>High</v>
      </c>
      <c r="R11256" s="37" t="str">
        <f t="shared" si="879"/>
        <v>Good</v>
      </c>
      <c r="S11256" t="s">
        <v>620</v>
      </c>
    </row>
    <row r="11257" spans="1:19" x14ac:dyDescent="0.2">
      <c r="A11257" t="s">
        <v>11868</v>
      </c>
      <c r="B11257" t="s">
        <v>75</v>
      </c>
      <c r="C11257" t="s">
        <v>614</v>
      </c>
      <c r="D11257">
        <v>3303.72</v>
      </c>
      <c r="E11257" s="37" t="str">
        <f t="shared" si="875"/>
        <v xml:space="preserve"> </v>
      </c>
      <c r="F11257">
        <v>0.4</v>
      </c>
      <c r="G11257" s="37" t="str">
        <f t="shared" si="876"/>
        <v>Heavy Discount</v>
      </c>
      <c r="H11257" s="37" t="str">
        <f t="shared" si="877"/>
        <v>Medium</v>
      </c>
      <c r="I11257">
        <v>8</v>
      </c>
      <c r="J11257" t="str" cm="1">
        <f t="array" ref="J11257">_xlfn.IFS(I11257&lt;=3,"small",I11257&lt;=6,"Medium",I11257&lt;=9,"Large")</f>
        <v>Large</v>
      </c>
      <c r="K11257" s="36">
        <v>45544</v>
      </c>
      <c r="L11257" s="36">
        <v>45545</v>
      </c>
      <c r="M11257" t="s">
        <v>612</v>
      </c>
      <c r="N11257" t="s">
        <v>608</v>
      </c>
      <c r="O11257" s="37" t="str">
        <f t="shared" si="878"/>
        <v>Cash Payment</v>
      </c>
      <c r="P11257">
        <v>870.92</v>
      </c>
      <c r="Q11257" s="37" t="str">
        <f>IF(P11257&gt;500,"High","low")</f>
        <v>High</v>
      </c>
      <c r="R11257" s="37" t="str">
        <f t="shared" si="879"/>
        <v>Good</v>
      </c>
      <c r="S11257" t="s">
        <v>600</v>
      </c>
    </row>
    <row r="11258" spans="1:19" x14ac:dyDescent="0.2">
      <c r="A11258" t="s">
        <v>11869</v>
      </c>
      <c r="B11258" t="s">
        <v>67</v>
      </c>
      <c r="C11258" t="s">
        <v>617</v>
      </c>
      <c r="D11258">
        <v>486.06</v>
      </c>
      <c r="E11258" s="37" t="str">
        <f t="shared" si="875"/>
        <v xml:space="preserve"> </v>
      </c>
      <c r="F11258">
        <v>0.2</v>
      </c>
      <c r="G11258" s="37" t="str">
        <f t="shared" si="876"/>
        <v>Normal Discount</v>
      </c>
      <c r="H11258" s="37" t="str">
        <f t="shared" si="877"/>
        <v>Medium</v>
      </c>
      <c r="I11258">
        <v>8</v>
      </c>
      <c r="J11258" t="str" cm="1">
        <f t="array" ref="J11258">_xlfn.IFS(I11258&lt;=3,"small",I11258&lt;=6,"Medium",I11258&lt;=9,"Large")</f>
        <v>Large</v>
      </c>
      <c r="K11258" s="36">
        <v>45049</v>
      </c>
      <c r="L11258" s="36">
        <v>45054</v>
      </c>
      <c r="M11258" t="s">
        <v>612</v>
      </c>
      <c r="N11258" t="s">
        <v>599</v>
      </c>
      <c r="O11258" s="37" t="str">
        <f t="shared" si="878"/>
        <v>Digital Payment</v>
      </c>
      <c r="P11258">
        <v>133.93</v>
      </c>
      <c r="Q11258" s="37" t="str">
        <f>IF(P11258&gt;500,"High","low")</f>
        <v>low</v>
      </c>
      <c r="R11258" s="37" t="str">
        <f t="shared" si="879"/>
        <v>AVERAGE</v>
      </c>
      <c r="S11258" t="s">
        <v>628</v>
      </c>
    </row>
    <row r="11259" spans="1:19" x14ac:dyDescent="0.2">
      <c r="A11259" t="s">
        <v>11870</v>
      </c>
      <c r="B11259" t="s">
        <v>75</v>
      </c>
      <c r="C11259" t="s">
        <v>614</v>
      </c>
      <c r="D11259">
        <v>348.15</v>
      </c>
      <c r="E11259" s="37" t="str">
        <f t="shared" si="875"/>
        <v xml:space="preserve"> </v>
      </c>
      <c r="F11259">
        <v>0.43</v>
      </c>
      <c r="G11259" s="37" t="str">
        <f t="shared" si="876"/>
        <v>Heavy Discount</v>
      </c>
      <c r="H11259" s="37" t="str">
        <f t="shared" si="877"/>
        <v>High</v>
      </c>
      <c r="I11259">
        <v>9</v>
      </c>
      <c r="J11259" t="str" cm="1">
        <f t="array" ref="J11259">_xlfn.IFS(I11259&lt;=3,"small",I11259&lt;=6,"Medium",I11259&lt;=9,"Large")</f>
        <v>Large</v>
      </c>
      <c r="K11259" s="36">
        <v>45232</v>
      </c>
      <c r="L11259" s="36">
        <v>45239</v>
      </c>
      <c r="M11259" t="s">
        <v>598</v>
      </c>
      <c r="N11259" t="s">
        <v>608</v>
      </c>
      <c r="O11259" s="37" t="str">
        <f t="shared" si="878"/>
        <v>Cash Payment</v>
      </c>
      <c r="P11259">
        <v>73.52</v>
      </c>
      <c r="Q11259" s="37" t="str">
        <f>IF(P11259&gt;500,"High","low")</f>
        <v>low</v>
      </c>
      <c r="R11259" s="37" t="str">
        <f t="shared" si="879"/>
        <v>AVERAGE</v>
      </c>
      <c r="S11259" t="s">
        <v>609</v>
      </c>
    </row>
    <row r="11260" spans="1:19" x14ac:dyDescent="0.2">
      <c r="A11260" t="s">
        <v>11871</v>
      </c>
      <c r="B11260" t="s">
        <v>90</v>
      </c>
      <c r="C11260" t="s">
        <v>614</v>
      </c>
      <c r="D11260">
        <v>2003.38</v>
      </c>
      <c r="E11260" s="37" t="str">
        <f t="shared" si="875"/>
        <v xml:space="preserve"> </v>
      </c>
      <c r="F11260">
        <v>0.41</v>
      </c>
      <c r="G11260" s="37" t="str">
        <f t="shared" si="876"/>
        <v>Heavy Discount</v>
      </c>
      <c r="H11260" s="37" t="str">
        <f t="shared" si="877"/>
        <v>High</v>
      </c>
      <c r="I11260">
        <v>9</v>
      </c>
      <c r="J11260" t="str" cm="1">
        <f t="array" ref="J11260">_xlfn.IFS(I11260&lt;=3,"small",I11260&lt;=6,"Medium",I11260&lt;=9,"Large")</f>
        <v>Large</v>
      </c>
      <c r="K11260" s="36">
        <v>45491</v>
      </c>
      <c r="L11260" s="36">
        <v>45493</v>
      </c>
      <c r="M11260" t="s">
        <v>612</v>
      </c>
      <c r="N11260" t="s">
        <v>599</v>
      </c>
      <c r="O11260" s="37" t="str">
        <f t="shared" si="878"/>
        <v>Digital Payment</v>
      </c>
      <c r="P11260">
        <v>505.24</v>
      </c>
      <c r="Q11260" s="37" t="str">
        <f>IF(P11260&gt;500,"High","low")</f>
        <v>High</v>
      </c>
      <c r="R11260" s="37" t="str">
        <f t="shared" si="879"/>
        <v>Good</v>
      </c>
      <c r="S11260" t="s">
        <v>600</v>
      </c>
    </row>
    <row r="11261" spans="1:19" x14ac:dyDescent="0.2">
      <c r="A11261" t="s">
        <v>11872</v>
      </c>
      <c r="B11261" t="s">
        <v>83</v>
      </c>
      <c r="C11261" t="s">
        <v>602</v>
      </c>
      <c r="D11261">
        <v>230.77</v>
      </c>
      <c r="E11261" s="37" t="str">
        <f t="shared" si="875"/>
        <v xml:space="preserve"> </v>
      </c>
      <c r="F11261">
        <v>0.12</v>
      </c>
      <c r="G11261" s="37" t="str">
        <f t="shared" si="876"/>
        <v>Normal Discount</v>
      </c>
      <c r="H11261" s="37" t="str">
        <f t="shared" si="877"/>
        <v>Low</v>
      </c>
      <c r="I11261">
        <v>7</v>
      </c>
      <c r="J11261" t="str" cm="1">
        <f t="array" ref="J11261">_xlfn.IFS(I11261&lt;=3,"small",I11261&lt;=6,"Medium",I11261&lt;=9,"Large")</f>
        <v>Large</v>
      </c>
      <c r="K11261" s="36">
        <v>45570</v>
      </c>
      <c r="L11261" s="36">
        <v>45576</v>
      </c>
      <c r="M11261" t="s">
        <v>603</v>
      </c>
      <c r="N11261" t="s">
        <v>608</v>
      </c>
      <c r="O11261" s="37" t="str">
        <f t="shared" si="878"/>
        <v>Cash Payment</v>
      </c>
      <c r="P11261">
        <v>55.46</v>
      </c>
      <c r="Q11261" s="37" t="str">
        <f>IF(P11261&gt;500,"High","low")</f>
        <v>low</v>
      </c>
      <c r="R11261" s="37" t="str">
        <f t="shared" si="879"/>
        <v>AVERAGE</v>
      </c>
      <c r="S11261" t="s">
        <v>609</v>
      </c>
    </row>
    <row r="11262" spans="1:19" x14ac:dyDescent="0.2">
      <c r="A11262" t="s">
        <v>11873</v>
      </c>
      <c r="B11262" t="s">
        <v>83</v>
      </c>
      <c r="C11262" t="s">
        <v>607</v>
      </c>
      <c r="D11262">
        <v>4530.3100000000004</v>
      </c>
      <c r="E11262" s="37" t="str">
        <f t="shared" si="875"/>
        <v xml:space="preserve"> </v>
      </c>
      <c r="F11262">
        <v>0.03</v>
      </c>
      <c r="G11262" s="37" t="str">
        <f t="shared" si="876"/>
        <v>Normal Discount</v>
      </c>
      <c r="H11262" s="37" t="str">
        <f t="shared" si="877"/>
        <v>Low</v>
      </c>
      <c r="I11262">
        <v>5</v>
      </c>
      <c r="J11262" t="str" cm="1">
        <f t="array" ref="J11262">_xlfn.IFS(I11262&lt;=3,"small",I11262&lt;=6,"Medium",I11262&lt;=9,"Large")</f>
        <v>Medium</v>
      </c>
      <c r="K11262" s="36">
        <v>45585</v>
      </c>
      <c r="L11262" s="36">
        <v>45590</v>
      </c>
      <c r="M11262" t="s">
        <v>603</v>
      </c>
      <c r="N11262" t="s">
        <v>608</v>
      </c>
      <c r="O11262" s="37" t="str">
        <f t="shared" si="878"/>
        <v>Cash Payment</v>
      </c>
      <c r="P11262">
        <v>249.78</v>
      </c>
      <c r="Q11262" s="37" t="str">
        <f>IF(P11262&gt;500,"High","low")</f>
        <v>low</v>
      </c>
      <c r="R11262" s="37" t="str">
        <f t="shared" si="879"/>
        <v>AVERAGE</v>
      </c>
      <c r="S11262" t="s">
        <v>628</v>
      </c>
    </row>
    <row r="11263" spans="1:19" x14ac:dyDescent="0.2">
      <c r="A11263" t="s">
        <v>11874</v>
      </c>
      <c r="B11263" t="s">
        <v>83</v>
      </c>
      <c r="C11263" t="s">
        <v>617</v>
      </c>
      <c r="D11263">
        <v>198.71</v>
      </c>
      <c r="E11263" s="37" t="str">
        <f t="shared" si="875"/>
        <v xml:space="preserve"> </v>
      </c>
      <c r="F11263">
        <v>0.35</v>
      </c>
      <c r="G11263" s="37" t="str">
        <f t="shared" si="876"/>
        <v>Heavy Discount</v>
      </c>
      <c r="H11263" s="37" t="str">
        <f t="shared" si="877"/>
        <v>Medium</v>
      </c>
      <c r="I11263">
        <v>7</v>
      </c>
      <c r="J11263" t="str" cm="1">
        <f t="array" ref="J11263">_xlfn.IFS(I11263&lt;=3,"small",I11263&lt;=6,"Medium",I11263&lt;=9,"Large")</f>
        <v>Large</v>
      </c>
      <c r="K11263" s="36">
        <v>45253</v>
      </c>
      <c r="L11263" s="36">
        <v>45260</v>
      </c>
      <c r="M11263" t="s">
        <v>603</v>
      </c>
      <c r="N11263" t="s">
        <v>604</v>
      </c>
      <c r="O11263" s="37" t="str">
        <f t="shared" si="878"/>
        <v>Digital Payment</v>
      </c>
      <c r="P11263">
        <v>18.43</v>
      </c>
      <c r="Q11263" s="37" t="str">
        <f>IF(P11263&gt;500,"High","low")</f>
        <v>low</v>
      </c>
      <c r="R11263" s="37" t="str">
        <f t="shared" si="879"/>
        <v>AVERAGE</v>
      </c>
      <c r="S11263" t="s">
        <v>600</v>
      </c>
    </row>
    <row r="11264" spans="1:19" x14ac:dyDescent="0.2">
      <c r="A11264" t="s">
        <v>11875</v>
      </c>
      <c r="B11264" t="s">
        <v>75</v>
      </c>
      <c r="C11264" t="s">
        <v>602</v>
      </c>
      <c r="D11264">
        <v>245.1</v>
      </c>
      <c r="E11264" s="37" t="str">
        <f t="shared" si="875"/>
        <v xml:space="preserve"> </v>
      </c>
      <c r="F11264">
        <v>0.1</v>
      </c>
      <c r="G11264" s="37" t="str">
        <f t="shared" si="876"/>
        <v>Normal Discount</v>
      </c>
      <c r="H11264" s="37" t="str">
        <f t="shared" si="877"/>
        <v>Low</v>
      </c>
      <c r="I11264">
        <v>7</v>
      </c>
      <c r="J11264" t="str" cm="1">
        <f t="array" ref="J11264">_xlfn.IFS(I11264&lt;=3,"small",I11264&lt;=6,"Medium",I11264&lt;=9,"Large")</f>
        <v>Large</v>
      </c>
      <c r="K11264" s="36">
        <v>44959</v>
      </c>
      <c r="L11264" s="36">
        <v>44961</v>
      </c>
      <c r="M11264" t="s">
        <v>598</v>
      </c>
      <c r="N11264" t="s">
        <v>599</v>
      </c>
      <c r="O11264" s="37" t="str">
        <f t="shared" si="878"/>
        <v>Digital Payment</v>
      </c>
      <c r="P11264">
        <v>16.29</v>
      </c>
      <c r="Q11264" s="37" t="str">
        <f>IF(P11264&gt;500,"High","low")</f>
        <v>low</v>
      </c>
      <c r="R11264" s="37" t="str">
        <f t="shared" si="879"/>
        <v>AVERAGE</v>
      </c>
      <c r="S11264" t="s">
        <v>628</v>
      </c>
    </row>
    <row r="11265" spans="1:19" x14ac:dyDescent="0.2">
      <c r="A11265" t="s">
        <v>11876</v>
      </c>
      <c r="B11265" t="s">
        <v>83</v>
      </c>
      <c r="C11265" t="s">
        <v>602</v>
      </c>
      <c r="D11265">
        <v>910.1</v>
      </c>
      <c r="E11265" s="37" t="str">
        <f t="shared" si="875"/>
        <v xml:space="preserve"> </v>
      </c>
      <c r="F11265">
        <v>0.47</v>
      </c>
      <c r="G11265" s="37" t="str">
        <f t="shared" si="876"/>
        <v>Heavy Discount</v>
      </c>
      <c r="H11265" s="37" t="str">
        <f t="shared" si="877"/>
        <v>High</v>
      </c>
      <c r="I11265">
        <v>7</v>
      </c>
      <c r="J11265" t="str" cm="1">
        <f t="array" ref="J11265">_xlfn.IFS(I11265&lt;=3,"small",I11265&lt;=6,"Medium",I11265&lt;=9,"Large")</f>
        <v>Large</v>
      </c>
      <c r="K11265" s="36">
        <v>45516</v>
      </c>
      <c r="L11265" s="36">
        <v>45520</v>
      </c>
      <c r="M11265" t="s">
        <v>598</v>
      </c>
      <c r="N11265" t="s">
        <v>608</v>
      </c>
      <c r="O11265" s="37" t="str">
        <f t="shared" si="878"/>
        <v>Cash Payment</v>
      </c>
      <c r="P11265">
        <v>109.23</v>
      </c>
      <c r="Q11265" s="37" t="str">
        <f>IF(P11265&gt;500,"High","low")</f>
        <v>low</v>
      </c>
      <c r="R11265" s="37" t="str">
        <f t="shared" si="879"/>
        <v>AVERAGE</v>
      </c>
      <c r="S11265" t="s">
        <v>615</v>
      </c>
    </row>
    <row r="11266" spans="1:19" x14ac:dyDescent="0.2">
      <c r="A11266" t="s">
        <v>11877</v>
      </c>
      <c r="B11266" t="s">
        <v>67</v>
      </c>
      <c r="C11266" t="s">
        <v>614</v>
      </c>
      <c r="D11266">
        <v>3172.37</v>
      </c>
      <c r="E11266" s="37" t="str">
        <f t="shared" si="875"/>
        <v xml:space="preserve"> </v>
      </c>
      <c r="F11266">
        <v>0.03</v>
      </c>
      <c r="G11266" s="37" t="str">
        <f t="shared" si="876"/>
        <v>Normal Discount</v>
      </c>
      <c r="H11266" s="37" t="str">
        <f t="shared" si="877"/>
        <v>Low</v>
      </c>
      <c r="I11266">
        <v>8</v>
      </c>
      <c r="J11266" t="str" cm="1">
        <f t="array" ref="J11266">_xlfn.IFS(I11266&lt;=3,"small",I11266&lt;=6,"Medium",I11266&lt;=9,"Large")</f>
        <v>Large</v>
      </c>
      <c r="K11266" s="36">
        <v>45380</v>
      </c>
      <c r="L11266" s="36">
        <v>45387</v>
      </c>
      <c r="M11266" t="s">
        <v>603</v>
      </c>
      <c r="N11266" t="s">
        <v>608</v>
      </c>
      <c r="O11266" s="37" t="str">
        <f t="shared" si="878"/>
        <v>Cash Payment</v>
      </c>
      <c r="P11266">
        <v>225.38</v>
      </c>
      <c r="Q11266" s="37" t="str">
        <f>IF(P11266&gt;500,"High","low")</f>
        <v>low</v>
      </c>
      <c r="R11266" s="37" t="str">
        <f t="shared" si="879"/>
        <v>AVERAGE</v>
      </c>
      <c r="S11266" t="s">
        <v>605</v>
      </c>
    </row>
    <row r="11267" spans="1:19" x14ac:dyDescent="0.2">
      <c r="A11267" t="s">
        <v>11878</v>
      </c>
      <c r="B11267" t="s">
        <v>67</v>
      </c>
      <c r="C11267" t="s">
        <v>617</v>
      </c>
      <c r="D11267">
        <v>2753.62</v>
      </c>
      <c r="E11267" s="37" t="str">
        <f t="shared" ref="E11267:E11330" si="880">IF(AND(D11267&gt;4000,P11267&gt;800),"Excellent Order"," ")</f>
        <v xml:space="preserve"> </v>
      </c>
      <c r="F11267">
        <v>0.16</v>
      </c>
      <c r="G11267" s="37" t="str">
        <f t="shared" ref="G11267:G11330" si="881">IF(F11267&gt;30%,"Heavy Discount","Normal Discount")</f>
        <v>Normal Discount</v>
      </c>
      <c r="H11267" s="37" t="str">
        <f t="shared" ref="H11267:H11330" si="882">IF(F11267&gt;0.4,"High",IF(F11267&gt;=0.2,"Medium","Low"))</f>
        <v>Low</v>
      </c>
      <c r="I11267">
        <v>2</v>
      </c>
      <c r="J11267" t="str" cm="1">
        <f t="array" ref="J11267">_xlfn.IFS(I11267&lt;=3,"small",I11267&lt;=6,"Medium",I11267&lt;=9,"Large")</f>
        <v>small</v>
      </c>
      <c r="K11267" s="36">
        <v>45561</v>
      </c>
      <c r="L11267" s="36">
        <v>45565</v>
      </c>
      <c r="M11267" t="s">
        <v>598</v>
      </c>
      <c r="N11267" t="s">
        <v>599</v>
      </c>
      <c r="O11267" s="37" t="str">
        <f t="shared" ref="O11267:O11330" si="883">IF(OR(N11267="Card",N11267="UPI"),"Digital Payment","Cash Payment")</f>
        <v>Digital Payment</v>
      </c>
      <c r="P11267">
        <v>488.17</v>
      </c>
      <c r="Q11267" s="37" t="str">
        <f>IF(P11267&gt;500,"High","low")</f>
        <v>low</v>
      </c>
      <c r="R11267" s="37" t="str">
        <f t="shared" ref="R11267:R11330" si="884">IF(P11267&gt;1000,"Excellent",IF(P11267&gt;=500,"Good","AVERAGE"))</f>
        <v>AVERAGE</v>
      </c>
      <c r="S11267" t="s">
        <v>600</v>
      </c>
    </row>
    <row r="11268" spans="1:19" x14ac:dyDescent="0.2">
      <c r="A11268" t="s">
        <v>11879</v>
      </c>
      <c r="B11268" t="s">
        <v>67</v>
      </c>
      <c r="C11268" t="s">
        <v>602</v>
      </c>
      <c r="D11268">
        <v>3331.49</v>
      </c>
      <c r="E11268" s="37" t="str">
        <f t="shared" si="880"/>
        <v xml:space="preserve"> </v>
      </c>
      <c r="F11268">
        <v>0.01</v>
      </c>
      <c r="G11268" s="37" t="str">
        <f t="shared" si="881"/>
        <v>Normal Discount</v>
      </c>
      <c r="H11268" s="37" t="str">
        <f t="shared" si="882"/>
        <v>Low</v>
      </c>
      <c r="I11268">
        <v>4</v>
      </c>
      <c r="J11268" t="str" cm="1">
        <f t="array" ref="J11268">_xlfn.IFS(I11268&lt;=3,"small",I11268&lt;=6,"Medium",I11268&lt;=9,"Large")</f>
        <v>Medium</v>
      </c>
      <c r="K11268" s="36">
        <v>45521</v>
      </c>
      <c r="L11268" s="36">
        <v>45526</v>
      </c>
      <c r="M11268" t="s">
        <v>598</v>
      </c>
      <c r="N11268" t="s">
        <v>599</v>
      </c>
      <c r="O11268" s="37" t="str">
        <f t="shared" si="883"/>
        <v>Digital Payment</v>
      </c>
      <c r="P11268">
        <v>326.25</v>
      </c>
      <c r="Q11268" s="37" t="str">
        <f>IF(P11268&gt;500,"High","low")</f>
        <v>low</v>
      </c>
      <c r="R11268" s="37" t="str">
        <f t="shared" si="884"/>
        <v>AVERAGE</v>
      </c>
      <c r="S11268" t="s">
        <v>605</v>
      </c>
    </row>
    <row r="11269" spans="1:19" x14ac:dyDescent="0.2">
      <c r="A11269" t="s">
        <v>11880</v>
      </c>
      <c r="B11269" t="s">
        <v>75</v>
      </c>
      <c r="C11269" t="s">
        <v>597</v>
      </c>
      <c r="D11269">
        <v>4478.42</v>
      </c>
      <c r="E11269" s="37" t="str">
        <f t="shared" si="880"/>
        <v xml:space="preserve"> </v>
      </c>
      <c r="F11269">
        <v>0.16</v>
      </c>
      <c r="G11269" s="37" t="str">
        <f t="shared" si="881"/>
        <v>Normal Discount</v>
      </c>
      <c r="H11269" s="37" t="str">
        <f t="shared" si="882"/>
        <v>Low</v>
      </c>
      <c r="I11269">
        <v>9</v>
      </c>
      <c r="J11269" t="str" cm="1">
        <f t="array" ref="J11269">_xlfn.IFS(I11269&lt;=3,"small",I11269&lt;=6,"Medium",I11269&lt;=9,"Large")</f>
        <v>Large</v>
      </c>
      <c r="K11269" s="36">
        <v>45493</v>
      </c>
      <c r="L11269" s="36">
        <v>45495</v>
      </c>
      <c r="M11269" t="s">
        <v>598</v>
      </c>
      <c r="N11269" t="s">
        <v>608</v>
      </c>
      <c r="O11269" s="37" t="str">
        <f t="shared" si="883"/>
        <v>Cash Payment</v>
      </c>
      <c r="P11269">
        <v>414.82</v>
      </c>
      <c r="Q11269" s="37" t="str">
        <f>IF(P11269&gt;500,"High","low")</f>
        <v>low</v>
      </c>
      <c r="R11269" s="37" t="str">
        <f t="shared" si="884"/>
        <v>AVERAGE</v>
      </c>
      <c r="S11269" t="s">
        <v>628</v>
      </c>
    </row>
    <row r="11270" spans="1:19" x14ac:dyDescent="0.2">
      <c r="A11270" t="s">
        <v>11881</v>
      </c>
      <c r="B11270" t="s">
        <v>83</v>
      </c>
      <c r="C11270" t="s">
        <v>602</v>
      </c>
      <c r="D11270">
        <v>2329.23</v>
      </c>
      <c r="E11270" s="37" t="str">
        <f t="shared" si="880"/>
        <v xml:space="preserve"> </v>
      </c>
      <c r="F11270">
        <v>0.27</v>
      </c>
      <c r="G11270" s="37" t="str">
        <f t="shared" si="881"/>
        <v>Normal Discount</v>
      </c>
      <c r="H11270" s="37" t="str">
        <f t="shared" si="882"/>
        <v>Medium</v>
      </c>
      <c r="I11270">
        <v>4</v>
      </c>
      <c r="J11270" t="str" cm="1">
        <f t="array" ref="J11270">_xlfn.IFS(I11270&lt;=3,"small",I11270&lt;=6,"Medium",I11270&lt;=9,"Large")</f>
        <v>Medium</v>
      </c>
      <c r="K11270" s="36">
        <v>45447</v>
      </c>
      <c r="L11270" s="36">
        <v>45449</v>
      </c>
      <c r="M11270" t="s">
        <v>603</v>
      </c>
      <c r="N11270" t="s">
        <v>604</v>
      </c>
      <c r="O11270" s="37" t="str">
        <f t="shared" si="883"/>
        <v>Digital Payment</v>
      </c>
      <c r="P11270">
        <v>689.64</v>
      </c>
      <c r="Q11270" s="37" t="str">
        <f>IF(P11270&gt;500,"High","low")</f>
        <v>High</v>
      </c>
      <c r="R11270" s="37" t="str">
        <f t="shared" si="884"/>
        <v>Good</v>
      </c>
      <c r="S11270" t="s">
        <v>605</v>
      </c>
    </row>
    <row r="11271" spans="1:19" x14ac:dyDescent="0.2">
      <c r="A11271" t="s">
        <v>11882</v>
      </c>
      <c r="B11271" t="s">
        <v>75</v>
      </c>
      <c r="C11271" t="s">
        <v>597</v>
      </c>
      <c r="D11271">
        <v>314.99</v>
      </c>
      <c r="E11271" s="37" t="str">
        <f t="shared" si="880"/>
        <v xml:space="preserve"> </v>
      </c>
      <c r="F11271">
        <v>0.33</v>
      </c>
      <c r="G11271" s="37" t="str">
        <f t="shared" si="881"/>
        <v>Heavy Discount</v>
      </c>
      <c r="H11271" s="37" t="str">
        <f t="shared" si="882"/>
        <v>Medium</v>
      </c>
      <c r="I11271">
        <v>2</v>
      </c>
      <c r="J11271" t="str" cm="1">
        <f t="array" ref="J11271">_xlfn.IFS(I11271&lt;=3,"small",I11271&lt;=6,"Medium",I11271&lt;=9,"Large")</f>
        <v>small</v>
      </c>
      <c r="K11271" s="36">
        <v>45116</v>
      </c>
      <c r="L11271" s="36">
        <v>45120</v>
      </c>
      <c r="M11271" t="s">
        <v>598</v>
      </c>
      <c r="N11271" t="s">
        <v>604</v>
      </c>
      <c r="O11271" s="37" t="str">
        <f t="shared" si="883"/>
        <v>Digital Payment</v>
      </c>
      <c r="P11271">
        <v>87.79</v>
      </c>
      <c r="Q11271" s="37" t="str">
        <f>IF(P11271&gt;500,"High","low")</f>
        <v>low</v>
      </c>
      <c r="R11271" s="37" t="str">
        <f t="shared" si="884"/>
        <v>AVERAGE</v>
      </c>
      <c r="S11271" t="s">
        <v>605</v>
      </c>
    </row>
    <row r="11272" spans="1:19" x14ac:dyDescent="0.2">
      <c r="A11272" t="s">
        <v>11883</v>
      </c>
      <c r="B11272" t="s">
        <v>83</v>
      </c>
      <c r="C11272" t="s">
        <v>607</v>
      </c>
      <c r="D11272">
        <v>3841.13</v>
      </c>
      <c r="E11272" s="37" t="str">
        <f t="shared" si="880"/>
        <v xml:space="preserve"> </v>
      </c>
      <c r="F11272">
        <v>0.36</v>
      </c>
      <c r="G11272" s="37" t="str">
        <f t="shared" si="881"/>
        <v>Heavy Discount</v>
      </c>
      <c r="H11272" s="37" t="str">
        <f t="shared" si="882"/>
        <v>Medium</v>
      </c>
      <c r="I11272">
        <v>7</v>
      </c>
      <c r="J11272" t="str" cm="1">
        <f t="array" ref="J11272">_xlfn.IFS(I11272&lt;=3,"small",I11272&lt;=6,"Medium",I11272&lt;=9,"Large")</f>
        <v>Large</v>
      </c>
      <c r="K11272" s="36">
        <v>45244</v>
      </c>
      <c r="L11272" s="36">
        <v>45247</v>
      </c>
      <c r="M11272" t="s">
        <v>598</v>
      </c>
      <c r="N11272" t="s">
        <v>599</v>
      </c>
      <c r="O11272" s="37" t="str">
        <f t="shared" si="883"/>
        <v>Digital Payment</v>
      </c>
      <c r="P11272">
        <v>383.46</v>
      </c>
      <c r="Q11272" s="37" t="str">
        <f>IF(P11272&gt;500,"High","low")</f>
        <v>low</v>
      </c>
      <c r="R11272" s="37" t="str">
        <f t="shared" si="884"/>
        <v>AVERAGE</v>
      </c>
      <c r="S11272" t="s">
        <v>609</v>
      </c>
    </row>
    <row r="11273" spans="1:19" x14ac:dyDescent="0.2">
      <c r="A11273" t="s">
        <v>11884</v>
      </c>
      <c r="B11273" t="s">
        <v>90</v>
      </c>
      <c r="C11273" t="s">
        <v>597</v>
      </c>
      <c r="D11273">
        <v>4078.63</v>
      </c>
      <c r="E11273" s="37" t="str">
        <f t="shared" si="880"/>
        <v xml:space="preserve"> </v>
      </c>
      <c r="F11273">
        <v>0.42</v>
      </c>
      <c r="G11273" s="37" t="str">
        <f t="shared" si="881"/>
        <v>Heavy Discount</v>
      </c>
      <c r="H11273" s="37" t="str">
        <f t="shared" si="882"/>
        <v>High</v>
      </c>
      <c r="I11273">
        <v>6</v>
      </c>
      <c r="J11273" t="str" cm="1">
        <f t="array" ref="J11273">_xlfn.IFS(I11273&lt;=3,"small",I11273&lt;=6,"Medium",I11273&lt;=9,"Large")</f>
        <v>Medium</v>
      </c>
      <c r="K11273" s="36">
        <v>45486</v>
      </c>
      <c r="L11273" s="36">
        <v>45493</v>
      </c>
      <c r="M11273" t="s">
        <v>603</v>
      </c>
      <c r="N11273" t="s">
        <v>608</v>
      </c>
      <c r="O11273" s="37" t="str">
        <f t="shared" si="883"/>
        <v>Cash Payment</v>
      </c>
      <c r="P11273">
        <v>414.74</v>
      </c>
      <c r="Q11273" s="37" t="str">
        <f>IF(P11273&gt;500,"High","low")</f>
        <v>low</v>
      </c>
      <c r="R11273" s="37" t="str">
        <f t="shared" si="884"/>
        <v>AVERAGE</v>
      </c>
      <c r="S11273" t="s">
        <v>605</v>
      </c>
    </row>
    <row r="11274" spans="1:19" x14ac:dyDescent="0.2">
      <c r="A11274" t="s">
        <v>11885</v>
      </c>
      <c r="B11274" t="s">
        <v>90</v>
      </c>
      <c r="C11274" t="s">
        <v>597</v>
      </c>
      <c r="D11274">
        <v>344.45</v>
      </c>
      <c r="E11274" s="37" t="str">
        <f t="shared" si="880"/>
        <v xml:space="preserve"> </v>
      </c>
      <c r="F11274">
        <v>0.06</v>
      </c>
      <c r="G11274" s="37" t="str">
        <f t="shared" si="881"/>
        <v>Normal Discount</v>
      </c>
      <c r="H11274" s="37" t="str">
        <f t="shared" si="882"/>
        <v>Low</v>
      </c>
      <c r="I11274">
        <v>4</v>
      </c>
      <c r="J11274" t="str" cm="1">
        <f t="array" ref="J11274">_xlfn.IFS(I11274&lt;=3,"small",I11274&lt;=6,"Medium",I11274&lt;=9,"Large")</f>
        <v>Medium</v>
      </c>
      <c r="K11274" s="36">
        <v>45272</v>
      </c>
      <c r="L11274" s="36">
        <v>45277</v>
      </c>
      <c r="M11274" t="s">
        <v>612</v>
      </c>
      <c r="N11274" t="s">
        <v>604</v>
      </c>
      <c r="O11274" s="37" t="str">
        <f t="shared" si="883"/>
        <v>Digital Payment</v>
      </c>
      <c r="P11274">
        <v>80.38</v>
      </c>
      <c r="Q11274" s="37" t="str">
        <f>IF(P11274&gt;500,"High","low")</f>
        <v>low</v>
      </c>
      <c r="R11274" s="37" t="str">
        <f t="shared" si="884"/>
        <v>AVERAGE</v>
      </c>
      <c r="S11274" t="s">
        <v>605</v>
      </c>
    </row>
    <row r="11275" spans="1:19" x14ac:dyDescent="0.2">
      <c r="A11275" t="s">
        <v>11886</v>
      </c>
      <c r="B11275" t="s">
        <v>75</v>
      </c>
      <c r="C11275" t="s">
        <v>614</v>
      </c>
      <c r="D11275">
        <v>1289.96</v>
      </c>
      <c r="E11275" s="37" t="str">
        <f t="shared" si="880"/>
        <v xml:space="preserve"> </v>
      </c>
      <c r="F11275">
        <v>0.38</v>
      </c>
      <c r="G11275" s="37" t="str">
        <f t="shared" si="881"/>
        <v>Heavy Discount</v>
      </c>
      <c r="H11275" s="37" t="str">
        <f t="shared" si="882"/>
        <v>Medium</v>
      </c>
      <c r="I11275">
        <v>8</v>
      </c>
      <c r="J11275" t="str" cm="1">
        <f t="array" ref="J11275">_xlfn.IFS(I11275&lt;=3,"small",I11275&lt;=6,"Medium",I11275&lt;=9,"Large")</f>
        <v>Large</v>
      </c>
      <c r="K11275" s="36">
        <v>45506</v>
      </c>
      <c r="L11275" s="36">
        <v>45511</v>
      </c>
      <c r="M11275" t="s">
        <v>603</v>
      </c>
      <c r="N11275" t="s">
        <v>604</v>
      </c>
      <c r="O11275" s="37" t="str">
        <f t="shared" si="883"/>
        <v>Digital Payment</v>
      </c>
      <c r="P11275">
        <v>276.08999999999997</v>
      </c>
      <c r="Q11275" s="37" t="str">
        <f>IF(P11275&gt;500,"High","low")</f>
        <v>low</v>
      </c>
      <c r="R11275" s="37" t="str">
        <f t="shared" si="884"/>
        <v>AVERAGE</v>
      </c>
      <c r="S11275" t="s">
        <v>600</v>
      </c>
    </row>
    <row r="11276" spans="1:19" x14ac:dyDescent="0.2">
      <c r="A11276" t="s">
        <v>11887</v>
      </c>
      <c r="B11276" t="s">
        <v>67</v>
      </c>
      <c r="C11276" t="s">
        <v>602</v>
      </c>
      <c r="D11276">
        <v>3875.92</v>
      </c>
      <c r="E11276" s="37" t="str">
        <f t="shared" si="880"/>
        <v xml:space="preserve"> </v>
      </c>
      <c r="F11276">
        <v>0.14000000000000001</v>
      </c>
      <c r="G11276" s="37" t="str">
        <f t="shared" si="881"/>
        <v>Normal Discount</v>
      </c>
      <c r="H11276" s="37" t="str">
        <f t="shared" si="882"/>
        <v>Low</v>
      </c>
      <c r="I11276">
        <v>6</v>
      </c>
      <c r="J11276" t="str" cm="1">
        <f t="array" ref="J11276">_xlfn.IFS(I11276&lt;=3,"small",I11276&lt;=6,"Medium",I11276&lt;=9,"Large")</f>
        <v>Medium</v>
      </c>
      <c r="K11276" s="36">
        <v>45337</v>
      </c>
      <c r="L11276" s="36">
        <v>45339</v>
      </c>
      <c r="M11276" t="s">
        <v>603</v>
      </c>
      <c r="N11276" t="s">
        <v>608</v>
      </c>
      <c r="O11276" s="37" t="str">
        <f t="shared" si="883"/>
        <v>Cash Payment</v>
      </c>
      <c r="P11276">
        <v>487.21</v>
      </c>
      <c r="Q11276" s="37" t="str">
        <f>IF(P11276&gt;500,"High","low")</f>
        <v>low</v>
      </c>
      <c r="R11276" s="37" t="str">
        <f t="shared" si="884"/>
        <v>AVERAGE</v>
      </c>
      <c r="S11276" t="s">
        <v>600</v>
      </c>
    </row>
    <row r="11277" spans="1:19" x14ac:dyDescent="0.2">
      <c r="A11277" t="s">
        <v>11888</v>
      </c>
      <c r="B11277" t="s">
        <v>75</v>
      </c>
      <c r="C11277" t="s">
        <v>607</v>
      </c>
      <c r="D11277">
        <v>1943.16</v>
      </c>
      <c r="E11277" s="37" t="str">
        <f t="shared" si="880"/>
        <v xml:space="preserve"> </v>
      </c>
      <c r="F11277">
        <v>7.0000000000000007E-2</v>
      </c>
      <c r="G11277" s="37" t="str">
        <f t="shared" si="881"/>
        <v>Normal Discount</v>
      </c>
      <c r="H11277" s="37" t="str">
        <f t="shared" si="882"/>
        <v>Low</v>
      </c>
      <c r="I11277">
        <v>8</v>
      </c>
      <c r="J11277" t="str" cm="1">
        <f t="array" ref="J11277">_xlfn.IFS(I11277&lt;=3,"small",I11277&lt;=6,"Medium",I11277&lt;=9,"Large")</f>
        <v>Large</v>
      </c>
      <c r="K11277" s="36">
        <v>45237</v>
      </c>
      <c r="L11277" s="36">
        <v>45243</v>
      </c>
      <c r="M11277" t="s">
        <v>598</v>
      </c>
      <c r="N11277" t="s">
        <v>604</v>
      </c>
      <c r="O11277" s="37" t="str">
        <f t="shared" si="883"/>
        <v>Digital Payment</v>
      </c>
      <c r="P11277">
        <v>517.80999999999995</v>
      </c>
      <c r="Q11277" s="37" t="str">
        <f>IF(P11277&gt;500,"High","low")</f>
        <v>High</v>
      </c>
      <c r="R11277" s="37" t="str">
        <f t="shared" si="884"/>
        <v>Good</v>
      </c>
      <c r="S11277" t="s">
        <v>600</v>
      </c>
    </row>
    <row r="11278" spans="1:19" x14ac:dyDescent="0.2">
      <c r="A11278" t="s">
        <v>11889</v>
      </c>
      <c r="B11278" t="s">
        <v>67</v>
      </c>
      <c r="C11278" t="s">
        <v>602</v>
      </c>
      <c r="D11278">
        <v>2415.9899999999998</v>
      </c>
      <c r="E11278" s="37" t="str">
        <f t="shared" si="880"/>
        <v xml:space="preserve"> </v>
      </c>
      <c r="F11278">
        <v>0.13</v>
      </c>
      <c r="G11278" s="37" t="str">
        <f t="shared" si="881"/>
        <v>Normal Discount</v>
      </c>
      <c r="H11278" s="37" t="str">
        <f t="shared" si="882"/>
        <v>Low</v>
      </c>
      <c r="I11278">
        <v>4</v>
      </c>
      <c r="J11278" t="str" cm="1">
        <f t="array" ref="J11278">_xlfn.IFS(I11278&lt;=3,"small",I11278&lt;=6,"Medium",I11278&lt;=9,"Large")</f>
        <v>Medium</v>
      </c>
      <c r="K11278" s="36">
        <v>45098</v>
      </c>
      <c r="L11278" s="36">
        <v>45099</v>
      </c>
      <c r="M11278" t="s">
        <v>612</v>
      </c>
      <c r="N11278" t="s">
        <v>604</v>
      </c>
      <c r="O11278" s="37" t="str">
        <f t="shared" si="883"/>
        <v>Digital Payment</v>
      </c>
      <c r="P11278">
        <v>194.31</v>
      </c>
      <c r="Q11278" s="37" t="str">
        <f>IF(P11278&gt;500,"High","low")</f>
        <v>low</v>
      </c>
      <c r="R11278" s="37" t="str">
        <f t="shared" si="884"/>
        <v>AVERAGE</v>
      </c>
      <c r="S11278" t="s">
        <v>620</v>
      </c>
    </row>
    <row r="11279" spans="1:19" x14ac:dyDescent="0.2">
      <c r="A11279" t="s">
        <v>11890</v>
      </c>
      <c r="B11279" t="s">
        <v>83</v>
      </c>
      <c r="C11279" t="s">
        <v>597</v>
      </c>
      <c r="D11279">
        <v>4133.5600000000004</v>
      </c>
      <c r="E11279" s="37" t="str">
        <f t="shared" si="880"/>
        <v>Excellent Order</v>
      </c>
      <c r="F11279">
        <v>0.43</v>
      </c>
      <c r="G11279" s="37" t="str">
        <f t="shared" si="881"/>
        <v>Heavy Discount</v>
      </c>
      <c r="H11279" s="37" t="str">
        <f t="shared" si="882"/>
        <v>High</v>
      </c>
      <c r="I11279">
        <v>2</v>
      </c>
      <c r="J11279" t="str" cm="1">
        <f t="array" ref="J11279">_xlfn.IFS(I11279&lt;=3,"small",I11279&lt;=6,"Medium",I11279&lt;=9,"Large")</f>
        <v>small</v>
      </c>
      <c r="K11279" s="36">
        <v>45253</v>
      </c>
      <c r="L11279" s="36">
        <v>45259</v>
      </c>
      <c r="M11279" t="s">
        <v>598</v>
      </c>
      <c r="N11279" t="s">
        <v>608</v>
      </c>
      <c r="O11279" s="37" t="str">
        <f t="shared" si="883"/>
        <v>Cash Payment</v>
      </c>
      <c r="P11279">
        <v>1007.77</v>
      </c>
      <c r="Q11279" s="37" t="str">
        <f>IF(P11279&gt;500,"High","low")</f>
        <v>High</v>
      </c>
      <c r="R11279" s="37" t="str">
        <f t="shared" si="884"/>
        <v>Excellent</v>
      </c>
      <c r="S11279" t="s">
        <v>615</v>
      </c>
    </row>
    <row r="11280" spans="1:19" x14ac:dyDescent="0.2">
      <c r="A11280" t="s">
        <v>11891</v>
      </c>
      <c r="B11280" t="s">
        <v>67</v>
      </c>
      <c r="C11280" t="s">
        <v>597</v>
      </c>
      <c r="D11280">
        <v>563.64</v>
      </c>
      <c r="E11280" s="37" t="str">
        <f t="shared" si="880"/>
        <v xml:space="preserve"> </v>
      </c>
      <c r="F11280">
        <v>0.31</v>
      </c>
      <c r="G11280" s="37" t="str">
        <f t="shared" si="881"/>
        <v>Heavy Discount</v>
      </c>
      <c r="H11280" s="37" t="str">
        <f t="shared" si="882"/>
        <v>Medium</v>
      </c>
      <c r="I11280">
        <v>6</v>
      </c>
      <c r="J11280" t="str" cm="1">
        <f t="array" ref="J11280">_xlfn.IFS(I11280&lt;=3,"small",I11280&lt;=6,"Medium",I11280&lt;=9,"Large")</f>
        <v>Medium</v>
      </c>
      <c r="K11280" s="36">
        <v>45362</v>
      </c>
      <c r="L11280" s="36">
        <v>45366</v>
      </c>
      <c r="M11280" t="s">
        <v>598</v>
      </c>
      <c r="N11280" t="s">
        <v>608</v>
      </c>
      <c r="O11280" s="37" t="str">
        <f t="shared" si="883"/>
        <v>Cash Payment</v>
      </c>
      <c r="P11280">
        <v>155.97</v>
      </c>
      <c r="Q11280" s="37" t="str">
        <f>IF(P11280&gt;500,"High","low")</f>
        <v>low</v>
      </c>
      <c r="R11280" s="37" t="str">
        <f t="shared" si="884"/>
        <v>AVERAGE</v>
      </c>
      <c r="S11280" t="s">
        <v>600</v>
      </c>
    </row>
    <row r="11281" spans="1:19" x14ac:dyDescent="0.2">
      <c r="A11281" t="s">
        <v>11892</v>
      </c>
      <c r="B11281" t="s">
        <v>67</v>
      </c>
      <c r="C11281" t="s">
        <v>602</v>
      </c>
      <c r="D11281">
        <v>3418.69</v>
      </c>
      <c r="E11281" s="37" t="str">
        <f t="shared" si="880"/>
        <v xml:space="preserve"> </v>
      </c>
      <c r="F11281">
        <v>0.3</v>
      </c>
      <c r="G11281" s="37" t="str">
        <f t="shared" si="881"/>
        <v>Normal Discount</v>
      </c>
      <c r="H11281" s="37" t="str">
        <f t="shared" si="882"/>
        <v>Medium</v>
      </c>
      <c r="I11281">
        <v>9</v>
      </c>
      <c r="J11281" t="str" cm="1">
        <f t="array" ref="J11281">_xlfn.IFS(I11281&lt;=3,"small",I11281&lt;=6,"Medium",I11281&lt;=9,"Large")</f>
        <v>Large</v>
      </c>
      <c r="K11281" s="36">
        <v>45239</v>
      </c>
      <c r="L11281" s="36">
        <v>45245</v>
      </c>
      <c r="M11281" t="s">
        <v>612</v>
      </c>
      <c r="N11281" t="s">
        <v>604</v>
      </c>
      <c r="O11281" s="37" t="str">
        <f t="shared" si="883"/>
        <v>Digital Payment</v>
      </c>
      <c r="P11281">
        <v>299.98</v>
      </c>
      <c r="Q11281" s="37" t="str">
        <f>IF(P11281&gt;500,"High","low")</f>
        <v>low</v>
      </c>
      <c r="R11281" s="37" t="str">
        <f t="shared" si="884"/>
        <v>AVERAGE</v>
      </c>
      <c r="S11281" t="s">
        <v>605</v>
      </c>
    </row>
    <row r="11282" spans="1:19" x14ac:dyDescent="0.2">
      <c r="A11282" t="s">
        <v>11893</v>
      </c>
      <c r="B11282" t="s">
        <v>83</v>
      </c>
      <c r="C11282" t="s">
        <v>607</v>
      </c>
      <c r="D11282">
        <v>1153.42</v>
      </c>
      <c r="E11282" s="37" t="str">
        <f t="shared" si="880"/>
        <v xml:space="preserve"> </v>
      </c>
      <c r="F11282">
        <v>0.28999999999999998</v>
      </c>
      <c r="G11282" s="37" t="str">
        <f t="shared" si="881"/>
        <v>Normal Discount</v>
      </c>
      <c r="H11282" s="37" t="str">
        <f t="shared" si="882"/>
        <v>Medium</v>
      </c>
      <c r="I11282">
        <v>9</v>
      </c>
      <c r="J11282" t="str" cm="1">
        <f t="array" ref="J11282">_xlfn.IFS(I11282&lt;=3,"small",I11282&lt;=6,"Medium",I11282&lt;=9,"Large")</f>
        <v>Large</v>
      </c>
      <c r="K11282" s="36">
        <v>45319</v>
      </c>
      <c r="L11282" s="36">
        <v>45323</v>
      </c>
      <c r="M11282" t="s">
        <v>612</v>
      </c>
      <c r="N11282" t="s">
        <v>604</v>
      </c>
      <c r="O11282" s="37" t="str">
        <f t="shared" si="883"/>
        <v>Digital Payment</v>
      </c>
      <c r="P11282">
        <v>218.32</v>
      </c>
      <c r="Q11282" s="37" t="str">
        <f>IF(P11282&gt;500,"High","low")</f>
        <v>low</v>
      </c>
      <c r="R11282" s="37" t="str">
        <f t="shared" si="884"/>
        <v>AVERAGE</v>
      </c>
      <c r="S11282" t="s">
        <v>628</v>
      </c>
    </row>
    <row r="11283" spans="1:19" x14ac:dyDescent="0.2">
      <c r="A11283" t="s">
        <v>11894</v>
      </c>
      <c r="B11283" t="s">
        <v>90</v>
      </c>
      <c r="C11283" t="s">
        <v>607</v>
      </c>
      <c r="D11283">
        <v>406.99</v>
      </c>
      <c r="E11283" s="37" t="str">
        <f t="shared" si="880"/>
        <v xml:space="preserve"> </v>
      </c>
      <c r="F11283">
        <v>0.2</v>
      </c>
      <c r="G11283" s="37" t="str">
        <f t="shared" si="881"/>
        <v>Normal Discount</v>
      </c>
      <c r="H11283" s="37" t="str">
        <f t="shared" si="882"/>
        <v>Medium</v>
      </c>
      <c r="I11283">
        <v>9</v>
      </c>
      <c r="J11283" t="str" cm="1">
        <f t="array" ref="J11283">_xlfn.IFS(I11283&lt;=3,"small",I11283&lt;=6,"Medium",I11283&lt;=9,"Large")</f>
        <v>Large</v>
      </c>
      <c r="K11283" s="36">
        <v>45280</v>
      </c>
      <c r="L11283" s="36">
        <v>45287</v>
      </c>
      <c r="M11283" t="s">
        <v>603</v>
      </c>
      <c r="N11283" t="s">
        <v>599</v>
      </c>
      <c r="O11283" s="37" t="str">
        <f t="shared" si="883"/>
        <v>Digital Payment</v>
      </c>
      <c r="P11283">
        <v>26.15</v>
      </c>
      <c r="Q11283" s="37" t="str">
        <f>IF(P11283&gt;500,"High","low")</f>
        <v>low</v>
      </c>
      <c r="R11283" s="37" t="str">
        <f t="shared" si="884"/>
        <v>AVERAGE</v>
      </c>
      <c r="S11283" t="s">
        <v>609</v>
      </c>
    </row>
    <row r="11284" spans="1:19" x14ac:dyDescent="0.2">
      <c r="A11284" t="s">
        <v>11895</v>
      </c>
      <c r="B11284" t="s">
        <v>83</v>
      </c>
      <c r="C11284" t="s">
        <v>614</v>
      </c>
      <c r="D11284">
        <v>3346.24</v>
      </c>
      <c r="E11284" s="37" t="str">
        <f t="shared" si="880"/>
        <v xml:space="preserve"> </v>
      </c>
      <c r="F11284">
        <v>0.21</v>
      </c>
      <c r="G11284" s="37" t="str">
        <f t="shared" si="881"/>
        <v>Normal Discount</v>
      </c>
      <c r="H11284" s="37" t="str">
        <f t="shared" si="882"/>
        <v>Medium</v>
      </c>
      <c r="I11284">
        <v>3</v>
      </c>
      <c r="J11284" t="str" cm="1">
        <f t="array" ref="J11284">_xlfn.IFS(I11284&lt;=3,"small",I11284&lt;=6,"Medium",I11284&lt;=9,"Large")</f>
        <v>small</v>
      </c>
      <c r="K11284" s="36">
        <v>45190</v>
      </c>
      <c r="L11284" s="36">
        <v>45196</v>
      </c>
      <c r="M11284" t="s">
        <v>603</v>
      </c>
      <c r="N11284" t="s">
        <v>604</v>
      </c>
      <c r="O11284" s="37" t="str">
        <f t="shared" si="883"/>
        <v>Digital Payment</v>
      </c>
      <c r="P11284">
        <v>844.73</v>
      </c>
      <c r="Q11284" s="37" t="str">
        <f>IF(P11284&gt;500,"High","low")</f>
        <v>High</v>
      </c>
      <c r="R11284" s="37" t="str">
        <f t="shared" si="884"/>
        <v>Good</v>
      </c>
      <c r="S11284" t="s">
        <v>628</v>
      </c>
    </row>
    <row r="11285" spans="1:19" x14ac:dyDescent="0.2">
      <c r="A11285" t="s">
        <v>11896</v>
      </c>
      <c r="B11285" t="s">
        <v>75</v>
      </c>
      <c r="C11285" t="s">
        <v>597</v>
      </c>
      <c r="D11285">
        <v>694.92</v>
      </c>
      <c r="E11285" s="37" t="str">
        <f t="shared" si="880"/>
        <v xml:space="preserve"> </v>
      </c>
      <c r="F11285">
        <v>7.0000000000000007E-2</v>
      </c>
      <c r="G11285" s="37" t="str">
        <f t="shared" si="881"/>
        <v>Normal Discount</v>
      </c>
      <c r="H11285" s="37" t="str">
        <f t="shared" si="882"/>
        <v>Low</v>
      </c>
      <c r="I11285">
        <v>3</v>
      </c>
      <c r="J11285" t="str" cm="1">
        <f t="array" ref="J11285">_xlfn.IFS(I11285&lt;=3,"small",I11285&lt;=6,"Medium",I11285&lt;=9,"Large")</f>
        <v>small</v>
      </c>
      <c r="K11285" s="36">
        <v>45622</v>
      </c>
      <c r="L11285" s="36">
        <v>45625</v>
      </c>
      <c r="M11285" t="s">
        <v>603</v>
      </c>
      <c r="N11285" t="s">
        <v>604</v>
      </c>
      <c r="O11285" s="37" t="str">
        <f t="shared" si="883"/>
        <v>Digital Payment</v>
      </c>
      <c r="P11285">
        <v>161.19999999999999</v>
      </c>
      <c r="Q11285" s="37" t="str">
        <f>IF(P11285&gt;500,"High","low")</f>
        <v>low</v>
      </c>
      <c r="R11285" s="37" t="str">
        <f t="shared" si="884"/>
        <v>AVERAGE</v>
      </c>
      <c r="S11285" t="s">
        <v>620</v>
      </c>
    </row>
    <row r="11286" spans="1:19" x14ac:dyDescent="0.2">
      <c r="A11286" t="s">
        <v>11897</v>
      </c>
      <c r="B11286" t="s">
        <v>75</v>
      </c>
      <c r="C11286" t="s">
        <v>597</v>
      </c>
      <c r="D11286">
        <v>3760.34</v>
      </c>
      <c r="E11286" s="37" t="str">
        <f t="shared" si="880"/>
        <v xml:space="preserve"> </v>
      </c>
      <c r="F11286">
        <v>0.17</v>
      </c>
      <c r="G11286" s="37" t="str">
        <f t="shared" si="881"/>
        <v>Normal Discount</v>
      </c>
      <c r="H11286" s="37" t="str">
        <f t="shared" si="882"/>
        <v>Low</v>
      </c>
      <c r="I11286">
        <v>3</v>
      </c>
      <c r="J11286" t="str" cm="1">
        <f t="array" ref="J11286">_xlfn.IFS(I11286&lt;=3,"small",I11286&lt;=6,"Medium",I11286&lt;=9,"Large")</f>
        <v>small</v>
      </c>
      <c r="K11286" s="36">
        <v>45448</v>
      </c>
      <c r="L11286" s="36">
        <v>45449</v>
      </c>
      <c r="M11286" t="s">
        <v>598</v>
      </c>
      <c r="N11286" t="s">
        <v>608</v>
      </c>
      <c r="O11286" s="37" t="str">
        <f t="shared" si="883"/>
        <v>Cash Payment</v>
      </c>
      <c r="P11286">
        <v>628.92999999999995</v>
      </c>
      <c r="Q11286" s="37" t="str">
        <f>IF(P11286&gt;500,"High","low")</f>
        <v>High</v>
      </c>
      <c r="R11286" s="37" t="str">
        <f t="shared" si="884"/>
        <v>Good</v>
      </c>
      <c r="S11286" t="s">
        <v>605</v>
      </c>
    </row>
    <row r="11287" spans="1:19" x14ac:dyDescent="0.2">
      <c r="A11287" t="s">
        <v>11898</v>
      </c>
      <c r="B11287" t="s">
        <v>75</v>
      </c>
      <c r="C11287" t="s">
        <v>614</v>
      </c>
      <c r="D11287">
        <v>1093.26</v>
      </c>
      <c r="E11287" s="37" t="str">
        <f t="shared" si="880"/>
        <v xml:space="preserve"> </v>
      </c>
      <c r="F11287">
        <v>0.26</v>
      </c>
      <c r="G11287" s="37" t="str">
        <f t="shared" si="881"/>
        <v>Normal Discount</v>
      </c>
      <c r="H11287" s="37" t="str">
        <f t="shared" si="882"/>
        <v>Medium</v>
      </c>
      <c r="I11287">
        <v>5</v>
      </c>
      <c r="J11287" t="str" cm="1">
        <f t="array" ref="J11287">_xlfn.IFS(I11287&lt;=3,"small",I11287&lt;=6,"Medium",I11287&lt;=9,"Large")</f>
        <v>Medium</v>
      </c>
      <c r="K11287" s="36">
        <v>45631</v>
      </c>
      <c r="L11287" s="36">
        <v>45632</v>
      </c>
      <c r="M11287" t="s">
        <v>598</v>
      </c>
      <c r="N11287" t="s">
        <v>608</v>
      </c>
      <c r="O11287" s="37" t="str">
        <f t="shared" si="883"/>
        <v>Cash Payment</v>
      </c>
      <c r="P11287">
        <v>134.34</v>
      </c>
      <c r="Q11287" s="37" t="str">
        <f>IF(P11287&gt;500,"High","low")</f>
        <v>low</v>
      </c>
      <c r="R11287" s="37" t="str">
        <f t="shared" si="884"/>
        <v>AVERAGE</v>
      </c>
      <c r="S11287" t="s">
        <v>605</v>
      </c>
    </row>
    <row r="11288" spans="1:19" x14ac:dyDescent="0.2">
      <c r="A11288" t="s">
        <v>11899</v>
      </c>
      <c r="B11288" t="s">
        <v>75</v>
      </c>
      <c r="C11288" t="s">
        <v>602</v>
      </c>
      <c r="D11288">
        <v>337.71</v>
      </c>
      <c r="E11288" s="37" t="str">
        <f t="shared" si="880"/>
        <v xml:space="preserve"> </v>
      </c>
      <c r="F11288">
        <v>0.3</v>
      </c>
      <c r="G11288" s="37" t="str">
        <f t="shared" si="881"/>
        <v>Normal Discount</v>
      </c>
      <c r="H11288" s="37" t="str">
        <f t="shared" si="882"/>
        <v>Medium</v>
      </c>
      <c r="I11288">
        <v>5</v>
      </c>
      <c r="J11288" t="str" cm="1">
        <f t="array" ref="J11288">_xlfn.IFS(I11288&lt;=3,"small",I11288&lt;=6,"Medium",I11288&lt;=9,"Large")</f>
        <v>Medium</v>
      </c>
      <c r="K11288" s="36">
        <v>45296</v>
      </c>
      <c r="L11288" s="36">
        <v>45297</v>
      </c>
      <c r="M11288" t="s">
        <v>612</v>
      </c>
      <c r="N11288" t="s">
        <v>604</v>
      </c>
      <c r="O11288" s="37" t="str">
        <f t="shared" si="883"/>
        <v>Digital Payment</v>
      </c>
      <c r="P11288">
        <v>32.04</v>
      </c>
      <c r="Q11288" s="37" t="str">
        <f>IF(P11288&gt;500,"High","low")</f>
        <v>low</v>
      </c>
      <c r="R11288" s="37" t="str">
        <f t="shared" si="884"/>
        <v>AVERAGE</v>
      </c>
      <c r="S11288" t="s">
        <v>600</v>
      </c>
    </row>
    <row r="11289" spans="1:19" x14ac:dyDescent="0.2">
      <c r="A11289" t="s">
        <v>11900</v>
      </c>
      <c r="B11289" t="s">
        <v>75</v>
      </c>
      <c r="C11289" t="s">
        <v>597</v>
      </c>
      <c r="D11289">
        <v>586.55999999999995</v>
      </c>
      <c r="E11289" s="37" t="str">
        <f t="shared" si="880"/>
        <v xml:space="preserve"> </v>
      </c>
      <c r="F11289">
        <v>0.04</v>
      </c>
      <c r="G11289" s="37" t="str">
        <f t="shared" si="881"/>
        <v>Normal Discount</v>
      </c>
      <c r="H11289" s="37" t="str">
        <f t="shared" si="882"/>
        <v>Low</v>
      </c>
      <c r="I11289">
        <v>5</v>
      </c>
      <c r="J11289" t="str" cm="1">
        <f t="array" ref="J11289">_xlfn.IFS(I11289&lt;=3,"small",I11289&lt;=6,"Medium",I11289&lt;=9,"Large")</f>
        <v>Medium</v>
      </c>
      <c r="K11289" s="36">
        <v>45182</v>
      </c>
      <c r="L11289" s="36">
        <v>45185</v>
      </c>
      <c r="M11289" t="s">
        <v>612</v>
      </c>
      <c r="N11289" t="s">
        <v>604</v>
      </c>
      <c r="O11289" s="37" t="str">
        <f t="shared" si="883"/>
        <v>Digital Payment</v>
      </c>
      <c r="P11289">
        <v>135.41</v>
      </c>
      <c r="Q11289" s="37" t="str">
        <f>IF(P11289&gt;500,"High","low")</f>
        <v>low</v>
      </c>
      <c r="R11289" s="37" t="str">
        <f t="shared" si="884"/>
        <v>AVERAGE</v>
      </c>
      <c r="S11289" t="s">
        <v>615</v>
      </c>
    </row>
    <row r="11290" spans="1:19" x14ac:dyDescent="0.2">
      <c r="A11290" t="s">
        <v>11901</v>
      </c>
      <c r="B11290" t="s">
        <v>90</v>
      </c>
      <c r="C11290" t="s">
        <v>602</v>
      </c>
      <c r="D11290">
        <v>4222.22</v>
      </c>
      <c r="E11290" s="37" t="str">
        <f t="shared" si="880"/>
        <v>Excellent Order</v>
      </c>
      <c r="F11290">
        <v>0.17</v>
      </c>
      <c r="G11290" s="37" t="str">
        <f t="shared" si="881"/>
        <v>Normal Discount</v>
      </c>
      <c r="H11290" s="37" t="str">
        <f t="shared" si="882"/>
        <v>Low</v>
      </c>
      <c r="I11290">
        <v>8</v>
      </c>
      <c r="J11290" t="str" cm="1">
        <f t="array" ref="J11290">_xlfn.IFS(I11290&lt;=3,"small",I11290&lt;=6,"Medium",I11290&lt;=9,"Large")</f>
        <v>Large</v>
      </c>
      <c r="K11290" s="36">
        <v>44971</v>
      </c>
      <c r="L11290" s="36">
        <v>44975</v>
      </c>
      <c r="M11290" t="s">
        <v>603</v>
      </c>
      <c r="N11290" t="s">
        <v>604</v>
      </c>
      <c r="O11290" s="37" t="str">
        <f t="shared" si="883"/>
        <v>Digital Payment</v>
      </c>
      <c r="P11290">
        <v>942.94</v>
      </c>
      <c r="Q11290" s="37" t="str">
        <f>IF(P11290&gt;500,"High","low")</f>
        <v>High</v>
      </c>
      <c r="R11290" s="37" t="str">
        <f t="shared" si="884"/>
        <v>Good</v>
      </c>
      <c r="S11290" t="s">
        <v>605</v>
      </c>
    </row>
    <row r="11291" spans="1:19" x14ac:dyDescent="0.2">
      <c r="A11291" t="s">
        <v>11902</v>
      </c>
      <c r="B11291" t="s">
        <v>90</v>
      </c>
      <c r="C11291" t="s">
        <v>607</v>
      </c>
      <c r="D11291">
        <v>1917.74</v>
      </c>
      <c r="E11291" s="37" t="str">
        <f t="shared" si="880"/>
        <v xml:space="preserve"> </v>
      </c>
      <c r="F11291">
        <v>0.17</v>
      </c>
      <c r="G11291" s="37" t="str">
        <f t="shared" si="881"/>
        <v>Normal Discount</v>
      </c>
      <c r="H11291" s="37" t="str">
        <f t="shared" si="882"/>
        <v>Low</v>
      </c>
      <c r="I11291">
        <v>8</v>
      </c>
      <c r="J11291" t="str" cm="1">
        <f t="array" ref="J11291">_xlfn.IFS(I11291&lt;=3,"small",I11291&lt;=6,"Medium",I11291&lt;=9,"Large")</f>
        <v>Large</v>
      </c>
      <c r="K11291" s="36">
        <v>45605</v>
      </c>
      <c r="L11291" s="36">
        <v>45606</v>
      </c>
      <c r="M11291" t="s">
        <v>598</v>
      </c>
      <c r="N11291" t="s">
        <v>604</v>
      </c>
      <c r="O11291" s="37" t="str">
        <f t="shared" si="883"/>
        <v>Digital Payment</v>
      </c>
      <c r="P11291">
        <v>345.66</v>
      </c>
      <c r="Q11291" s="37" t="str">
        <f>IF(P11291&gt;500,"High","low")</f>
        <v>low</v>
      </c>
      <c r="R11291" s="37" t="str">
        <f t="shared" si="884"/>
        <v>AVERAGE</v>
      </c>
      <c r="S11291" t="s">
        <v>609</v>
      </c>
    </row>
    <row r="11292" spans="1:19" x14ac:dyDescent="0.2">
      <c r="A11292" t="s">
        <v>11903</v>
      </c>
      <c r="B11292" t="s">
        <v>67</v>
      </c>
      <c r="C11292" t="s">
        <v>617</v>
      </c>
      <c r="D11292">
        <v>1581.11</v>
      </c>
      <c r="E11292" s="37" t="str">
        <f t="shared" si="880"/>
        <v xml:space="preserve"> </v>
      </c>
      <c r="F11292">
        <v>0.26</v>
      </c>
      <c r="G11292" s="37" t="str">
        <f t="shared" si="881"/>
        <v>Normal Discount</v>
      </c>
      <c r="H11292" s="37" t="str">
        <f t="shared" si="882"/>
        <v>Medium</v>
      </c>
      <c r="I11292">
        <v>8</v>
      </c>
      <c r="J11292" t="str" cm="1">
        <f t="array" ref="J11292">_xlfn.IFS(I11292&lt;=3,"small",I11292&lt;=6,"Medium",I11292&lt;=9,"Large")</f>
        <v>Large</v>
      </c>
      <c r="K11292" s="36">
        <v>45228</v>
      </c>
      <c r="L11292" s="36">
        <v>45232</v>
      </c>
      <c r="M11292" t="s">
        <v>612</v>
      </c>
      <c r="N11292" t="s">
        <v>599</v>
      </c>
      <c r="O11292" s="37" t="str">
        <f t="shared" si="883"/>
        <v>Digital Payment</v>
      </c>
      <c r="P11292">
        <v>135.12</v>
      </c>
      <c r="Q11292" s="37" t="str">
        <f>IF(P11292&gt;500,"High","low")</f>
        <v>low</v>
      </c>
      <c r="R11292" s="37" t="str">
        <f t="shared" si="884"/>
        <v>AVERAGE</v>
      </c>
      <c r="S11292" t="s">
        <v>620</v>
      </c>
    </row>
    <row r="11293" spans="1:19" x14ac:dyDescent="0.2">
      <c r="A11293" t="s">
        <v>11904</v>
      </c>
      <c r="B11293" t="s">
        <v>75</v>
      </c>
      <c r="C11293" t="s">
        <v>614</v>
      </c>
      <c r="D11293">
        <v>2506.87</v>
      </c>
      <c r="E11293" s="37" t="str">
        <f t="shared" si="880"/>
        <v xml:space="preserve"> </v>
      </c>
      <c r="F11293">
        <v>0.36</v>
      </c>
      <c r="G11293" s="37" t="str">
        <f t="shared" si="881"/>
        <v>Heavy Discount</v>
      </c>
      <c r="H11293" s="37" t="str">
        <f t="shared" si="882"/>
        <v>Medium</v>
      </c>
      <c r="I11293">
        <v>9</v>
      </c>
      <c r="J11293" t="str" cm="1">
        <f t="array" ref="J11293">_xlfn.IFS(I11293&lt;=3,"small",I11293&lt;=6,"Medium",I11293&lt;=9,"Large")</f>
        <v>Large</v>
      </c>
      <c r="K11293" s="36">
        <v>45008</v>
      </c>
      <c r="L11293" s="36">
        <v>45012</v>
      </c>
      <c r="M11293" t="s">
        <v>603</v>
      </c>
      <c r="N11293" t="s">
        <v>599</v>
      </c>
      <c r="O11293" s="37" t="str">
        <f t="shared" si="883"/>
        <v>Digital Payment</v>
      </c>
      <c r="P11293">
        <v>157.71</v>
      </c>
      <c r="Q11293" s="37" t="str">
        <f>IF(P11293&gt;500,"High","low")</f>
        <v>low</v>
      </c>
      <c r="R11293" s="37" t="str">
        <f t="shared" si="884"/>
        <v>AVERAGE</v>
      </c>
      <c r="S11293" t="s">
        <v>605</v>
      </c>
    </row>
    <row r="11294" spans="1:19" x14ac:dyDescent="0.2">
      <c r="A11294" t="s">
        <v>11905</v>
      </c>
      <c r="B11294" t="s">
        <v>83</v>
      </c>
      <c r="C11294" t="s">
        <v>597</v>
      </c>
      <c r="D11294">
        <v>3201.37</v>
      </c>
      <c r="E11294" s="37" t="str">
        <f t="shared" si="880"/>
        <v xml:space="preserve"> </v>
      </c>
      <c r="F11294">
        <v>0.32</v>
      </c>
      <c r="G11294" s="37" t="str">
        <f t="shared" si="881"/>
        <v>Heavy Discount</v>
      </c>
      <c r="H11294" s="37" t="str">
        <f t="shared" si="882"/>
        <v>Medium</v>
      </c>
      <c r="I11294">
        <v>6</v>
      </c>
      <c r="J11294" t="str" cm="1">
        <f t="array" ref="J11294">_xlfn.IFS(I11294&lt;=3,"small",I11294&lt;=6,"Medium",I11294&lt;=9,"Large")</f>
        <v>Medium</v>
      </c>
      <c r="K11294" s="36">
        <v>45152</v>
      </c>
      <c r="L11294" s="36">
        <v>45155</v>
      </c>
      <c r="M11294" t="s">
        <v>598</v>
      </c>
      <c r="N11294" t="s">
        <v>599</v>
      </c>
      <c r="O11294" s="37" t="str">
        <f t="shared" si="883"/>
        <v>Digital Payment</v>
      </c>
      <c r="P11294">
        <v>186.66</v>
      </c>
      <c r="Q11294" s="37" t="str">
        <f>IF(P11294&gt;500,"High","low")</f>
        <v>low</v>
      </c>
      <c r="R11294" s="37" t="str">
        <f t="shared" si="884"/>
        <v>AVERAGE</v>
      </c>
      <c r="S11294" t="s">
        <v>600</v>
      </c>
    </row>
    <row r="11295" spans="1:19" x14ac:dyDescent="0.2">
      <c r="A11295" t="s">
        <v>11906</v>
      </c>
      <c r="B11295" t="s">
        <v>75</v>
      </c>
      <c r="C11295" t="s">
        <v>614</v>
      </c>
      <c r="D11295">
        <v>281.8</v>
      </c>
      <c r="E11295" s="37" t="str">
        <f t="shared" si="880"/>
        <v xml:space="preserve"> </v>
      </c>
      <c r="F11295">
        <v>0.28999999999999998</v>
      </c>
      <c r="G11295" s="37" t="str">
        <f t="shared" si="881"/>
        <v>Normal Discount</v>
      </c>
      <c r="H11295" s="37" t="str">
        <f t="shared" si="882"/>
        <v>Medium</v>
      </c>
      <c r="I11295">
        <v>2</v>
      </c>
      <c r="J11295" t="str" cm="1">
        <f t="array" ref="J11295">_xlfn.IFS(I11295&lt;=3,"small",I11295&lt;=6,"Medium",I11295&lt;=9,"Large")</f>
        <v>small</v>
      </c>
      <c r="K11295" s="36">
        <v>45054</v>
      </c>
      <c r="L11295" s="36">
        <v>45058</v>
      </c>
      <c r="M11295" t="s">
        <v>603</v>
      </c>
      <c r="N11295" t="s">
        <v>599</v>
      </c>
      <c r="O11295" s="37" t="str">
        <f t="shared" si="883"/>
        <v>Digital Payment</v>
      </c>
      <c r="P11295">
        <v>76.290000000000006</v>
      </c>
      <c r="Q11295" s="37" t="str">
        <f>IF(P11295&gt;500,"High","low")</f>
        <v>low</v>
      </c>
      <c r="R11295" s="37" t="str">
        <f t="shared" si="884"/>
        <v>AVERAGE</v>
      </c>
      <c r="S11295" t="s">
        <v>615</v>
      </c>
    </row>
    <row r="11296" spans="1:19" x14ac:dyDescent="0.2">
      <c r="A11296" t="s">
        <v>11907</v>
      </c>
      <c r="B11296" t="s">
        <v>90</v>
      </c>
      <c r="C11296" t="s">
        <v>607</v>
      </c>
      <c r="D11296">
        <v>4501.12</v>
      </c>
      <c r="E11296" s="37" t="str">
        <f t="shared" si="880"/>
        <v xml:space="preserve"> </v>
      </c>
      <c r="F11296">
        <v>0.15</v>
      </c>
      <c r="G11296" s="37" t="str">
        <f t="shared" si="881"/>
        <v>Normal Discount</v>
      </c>
      <c r="H11296" s="37" t="str">
        <f t="shared" si="882"/>
        <v>Low</v>
      </c>
      <c r="I11296">
        <v>9</v>
      </c>
      <c r="J11296" t="str" cm="1">
        <f t="array" ref="J11296">_xlfn.IFS(I11296&lt;=3,"small",I11296&lt;=6,"Medium",I11296&lt;=9,"Large")</f>
        <v>Large</v>
      </c>
      <c r="K11296" s="36">
        <v>45297</v>
      </c>
      <c r="L11296" s="36">
        <v>45299</v>
      </c>
      <c r="M11296" t="s">
        <v>612</v>
      </c>
      <c r="N11296" t="s">
        <v>599</v>
      </c>
      <c r="O11296" s="37" t="str">
        <f t="shared" si="883"/>
        <v>Digital Payment</v>
      </c>
      <c r="P11296">
        <v>363.79</v>
      </c>
      <c r="Q11296" s="37" t="str">
        <f>IF(P11296&gt;500,"High","low")</f>
        <v>low</v>
      </c>
      <c r="R11296" s="37" t="str">
        <f t="shared" si="884"/>
        <v>AVERAGE</v>
      </c>
      <c r="S11296" t="s">
        <v>609</v>
      </c>
    </row>
    <row r="11297" spans="1:19" x14ac:dyDescent="0.2">
      <c r="A11297" t="s">
        <v>11908</v>
      </c>
      <c r="B11297" t="s">
        <v>75</v>
      </c>
      <c r="C11297" t="s">
        <v>607</v>
      </c>
      <c r="D11297">
        <v>4796.5600000000004</v>
      </c>
      <c r="E11297" s="37" t="str">
        <f t="shared" si="880"/>
        <v>Excellent Order</v>
      </c>
      <c r="F11297">
        <v>0.42</v>
      </c>
      <c r="G11297" s="37" t="str">
        <f t="shared" si="881"/>
        <v>Heavy Discount</v>
      </c>
      <c r="H11297" s="37" t="str">
        <f t="shared" si="882"/>
        <v>High</v>
      </c>
      <c r="I11297">
        <v>6</v>
      </c>
      <c r="J11297" t="str" cm="1">
        <f t="array" ref="J11297">_xlfn.IFS(I11297&lt;=3,"small",I11297&lt;=6,"Medium",I11297&lt;=9,"Large")</f>
        <v>Medium</v>
      </c>
      <c r="K11297" s="36">
        <v>45249</v>
      </c>
      <c r="L11297" s="36">
        <v>45253</v>
      </c>
      <c r="M11297" t="s">
        <v>598</v>
      </c>
      <c r="N11297" t="s">
        <v>599</v>
      </c>
      <c r="O11297" s="37" t="str">
        <f t="shared" si="883"/>
        <v>Digital Payment</v>
      </c>
      <c r="P11297">
        <v>822.93</v>
      </c>
      <c r="Q11297" s="37" t="str">
        <f>IF(P11297&gt;500,"High","low")</f>
        <v>High</v>
      </c>
      <c r="R11297" s="37" t="str">
        <f t="shared" si="884"/>
        <v>Good</v>
      </c>
      <c r="S11297" t="s">
        <v>609</v>
      </c>
    </row>
    <row r="11298" spans="1:19" x14ac:dyDescent="0.2">
      <c r="A11298" t="s">
        <v>11909</v>
      </c>
      <c r="B11298" t="s">
        <v>90</v>
      </c>
      <c r="C11298" t="s">
        <v>607</v>
      </c>
      <c r="D11298">
        <v>2144.8000000000002</v>
      </c>
      <c r="E11298" s="37" t="str">
        <f t="shared" si="880"/>
        <v xml:space="preserve"> </v>
      </c>
      <c r="F11298">
        <v>0.39</v>
      </c>
      <c r="G11298" s="37" t="str">
        <f t="shared" si="881"/>
        <v>Heavy Discount</v>
      </c>
      <c r="H11298" s="37" t="str">
        <f t="shared" si="882"/>
        <v>Medium</v>
      </c>
      <c r="I11298">
        <v>1</v>
      </c>
      <c r="J11298" t="str" cm="1">
        <f t="array" ref="J11298">_xlfn.IFS(I11298&lt;=3,"small",I11298&lt;=6,"Medium",I11298&lt;=9,"Large")</f>
        <v>small</v>
      </c>
      <c r="K11298" s="36">
        <v>45116</v>
      </c>
      <c r="L11298" s="36">
        <v>45123</v>
      </c>
      <c r="M11298" t="s">
        <v>603</v>
      </c>
      <c r="N11298" t="s">
        <v>599</v>
      </c>
      <c r="O11298" s="37" t="str">
        <f t="shared" si="883"/>
        <v>Digital Payment</v>
      </c>
      <c r="P11298">
        <v>549.72</v>
      </c>
      <c r="Q11298" s="37" t="str">
        <f>IF(P11298&gt;500,"High","low")</f>
        <v>High</v>
      </c>
      <c r="R11298" s="37" t="str">
        <f t="shared" si="884"/>
        <v>Good</v>
      </c>
      <c r="S11298" t="s">
        <v>609</v>
      </c>
    </row>
    <row r="11299" spans="1:19" x14ac:dyDescent="0.2">
      <c r="A11299" t="s">
        <v>11910</v>
      </c>
      <c r="B11299" t="s">
        <v>67</v>
      </c>
      <c r="C11299" t="s">
        <v>607</v>
      </c>
      <c r="D11299">
        <v>2121.88</v>
      </c>
      <c r="E11299" s="37" t="str">
        <f t="shared" si="880"/>
        <v xml:space="preserve"> </v>
      </c>
      <c r="F11299">
        <v>0.09</v>
      </c>
      <c r="G11299" s="37" t="str">
        <f t="shared" si="881"/>
        <v>Normal Discount</v>
      </c>
      <c r="H11299" s="37" t="str">
        <f t="shared" si="882"/>
        <v>Low</v>
      </c>
      <c r="I11299">
        <v>5</v>
      </c>
      <c r="J11299" t="str" cm="1">
        <f t="array" ref="J11299">_xlfn.IFS(I11299&lt;=3,"small",I11299&lt;=6,"Medium",I11299&lt;=9,"Large")</f>
        <v>Medium</v>
      </c>
      <c r="K11299" s="36">
        <v>45506</v>
      </c>
      <c r="L11299" s="36">
        <v>45508</v>
      </c>
      <c r="M11299" t="s">
        <v>603</v>
      </c>
      <c r="N11299" t="s">
        <v>608</v>
      </c>
      <c r="O11299" s="37" t="str">
        <f t="shared" si="883"/>
        <v>Cash Payment</v>
      </c>
      <c r="P11299">
        <v>350.64</v>
      </c>
      <c r="Q11299" s="37" t="str">
        <f>IF(P11299&gt;500,"High","low")</f>
        <v>low</v>
      </c>
      <c r="R11299" s="37" t="str">
        <f t="shared" si="884"/>
        <v>AVERAGE</v>
      </c>
      <c r="S11299" t="s">
        <v>609</v>
      </c>
    </row>
    <row r="11300" spans="1:19" x14ac:dyDescent="0.2">
      <c r="A11300" t="s">
        <v>11911</v>
      </c>
      <c r="B11300" t="s">
        <v>67</v>
      </c>
      <c r="C11300" t="s">
        <v>617</v>
      </c>
      <c r="D11300">
        <v>4404.9399999999996</v>
      </c>
      <c r="E11300" s="37" t="str">
        <f t="shared" si="880"/>
        <v xml:space="preserve"> </v>
      </c>
      <c r="F11300">
        <v>0.33</v>
      </c>
      <c r="G11300" s="37" t="str">
        <f t="shared" si="881"/>
        <v>Heavy Discount</v>
      </c>
      <c r="H11300" s="37" t="str">
        <f t="shared" si="882"/>
        <v>Medium</v>
      </c>
      <c r="I11300">
        <v>7</v>
      </c>
      <c r="J11300" t="str" cm="1">
        <f t="array" ref="J11300">_xlfn.IFS(I11300&lt;=3,"small",I11300&lt;=6,"Medium",I11300&lt;=9,"Large")</f>
        <v>Large</v>
      </c>
      <c r="K11300" s="36">
        <v>45602</v>
      </c>
      <c r="L11300" s="36">
        <v>45603</v>
      </c>
      <c r="M11300" t="s">
        <v>603</v>
      </c>
      <c r="N11300" t="s">
        <v>604</v>
      </c>
      <c r="O11300" s="37" t="str">
        <f t="shared" si="883"/>
        <v>Digital Payment</v>
      </c>
      <c r="P11300">
        <v>232.6</v>
      </c>
      <c r="Q11300" s="37" t="str">
        <f>IF(P11300&gt;500,"High","low")</f>
        <v>low</v>
      </c>
      <c r="R11300" s="37" t="str">
        <f t="shared" si="884"/>
        <v>AVERAGE</v>
      </c>
      <c r="S11300" t="s">
        <v>615</v>
      </c>
    </row>
    <row r="11301" spans="1:19" x14ac:dyDescent="0.2">
      <c r="A11301" t="s">
        <v>11912</v>
      </c>
      <c r="B11301" t="s">
        <v>67</v>
      </c>
      <c r="C11301" t="s">
        <v>602</v>
      </c>
      <c r="D11301">
        <v>2203.63</v>
      </c>
      <c r="E11301" s="37" t="str">
        <f t="shared" si="880"/>
        <v xml:space="preserve"> </v>
      </c>
      <c r="F11301">
        <v>0.45</v>
      </c>
      <c r="G11301" s="37" t="str">
        <f t="shared" si="881"/>
        <v>Heavy Discount</v>
      </c>
      <c r="H11301" s="37" t="str">
        <f t="shared" si="882"/>
        <v>High</v>
      </c>
      <c r="I11301">
        <v>1</v>
      </c>
      <c r="J11301" t="str" cm="1">
        <f t="array" ref="J11301">_xlfn.IFS(I11301&lt;=3,"small",I11301&lt;=6,"Medium",I11301&lt;=9,"Large")</f>
        <v>small</v>
      </c>
      <c r="K11301" s="36">
        <v>44935</v>
      </c>
      <c r="L11301" s="36">
        <v>44941</v>
      </c>
      <c r="M11301" t="s">
        <v>598</v>
      </c>
      <c r="N11301" t="s">
        <v>608</v>
      </c>
      <c r="O11301" s="37" t="str">
        <f t="shared" si="883"/>
        <v>Cash Payment</v>
      </c>
      <c r="P11301">
        <v>555.35</v>
      </c>
      <c r="Q11301" s="37" t="str">
        <f>IF(P11301&gt;500,"High","low")</f>
        <v>High</v>
      </c>
      <c r="R11301" s="37" t="str">
        <f t="shared" si="884"/>
        <v>Good</v>
      </c>
      <c r="S11301" t="s">
        <v>600</v>
      </c>
    </row>
    <row r="11302" spans="1:19" x14ac:dyDescent="0.2">
      <c r="A11302" t="s">
        <v>11913</v>
      </c>
      <c r="B11302" t="s">
        <v>90</v>
      </c>
      <c r="C11302" t="s">
        <v>602</v>
      </c>
      <c r="D11302">
        <v>4295.33</v>
      </c>
      <c r="E11302" s="37" t="str">
        <f t="shared" si="880"/>
        <v xml:space="preserve"> </v>
      </c>
      <c r="F11302">
        <v>0.22</v>
      </c>
      <c r="G11302" s="37" t="str">
        <f t="shared" si="881"/>
        <v>Normal Discount</v>
      </c>
      <c r="H11302" s="37" t="str">
        <f t="shared" si="882"/>
        <v>Medium</v>
      </c>
      <c r="I11302">
        <v>7</v>
      </c>
      <c r="J11302" t="str" cm="1">
        <f t="array" ref="J11302">_xlfn.IFS(I11302&lt;=3,"small",I11302&lt;=6,"Medium",I11302&lt;=9,"Large")</f>
        <v>Large</v>
      </c>
      <c r="K11302" s="36">
        <v>45089</v>
      </c>
      <c r="L11302" s="36">
        <v>45091</v>
      </c>
      <c r="M11302" t="s">
        <v>603</v>
      </c>
      <c r="N11302" t="s">
        <v>599</v>
      </c>
      <c r="O11302" s="37" t="str">
        <f t="shared" si="883"/>
        <v>Digital Payment</v>
      </c>
      <c r="P11302">
        <v>316.27</v>
      </c>
      <c r="Q11302" s="37" t="str">
        <f>IF(P11302&gt;500,"High","low")</f>
        <v>low</v>
      </c>
      <c r="R11302" s="37" t="str">
        <f t="shared" si="884"/>
        <v>AVERAGE</v>
      </c>
      <c r="S11302" t="s">
        <v>600</v>
      </c>
    </row>
    <row r="11303" spans="1:19" x14ac:dyDescent="0.2">
      <c r="A11303" t="s">
        <v>11914</v>
      </c>
      <c r="B11303" t="s">
        <v>75</v>
      </c>
      <c r="C11303" t="s">
        <v>617</v>
      </c>
      <c r="D11303">
        <v>238.85</v>
      </c>
      <c r="E11303" s="37" t="str">
        <f t="shared" si="880"/>
        <v xml:space="preserve"> </v>
      </c>
      <c r="F11303">
        <v>0.46</v>
      </c>
      <c r="G11303" s="37" t="str">
        <f t="shared" si="881"/>
        <v>Heavy Discount</v>
      </c>
      <c r="H11303" s="37" t="str">
        <f t="shared" si="882"/>
        <v>High</v>
      </c>
      <c r="I11303">
        <v>5</v>
      </c>
      <c r="J11303" t="str" cm="1">
        <f t="array" ref="J11303">_xlfn.IFS(I11303&lt;=3,"small",I11303&lt;=6,"Medium",I11303&lt;=9,"Large")</f>
        <v>Medium</v>
      </c>
      <c r="K11303" s="36">
        <v>45655</v>
      </c>
      <c r="L11303" s="36">
        <v>45656</v>
      </c>
      <c r="M11303" t="s">
        <v>612</v>
      </c>
      <c r="N11303" t="s">
        <v>604</v>
      </c>
      <c r="O11303" s="37" t="str">
        <f t="shared" si="883"/>
        <v>Digital Payment</v>
      </c>
      <c r="P11303">
        <v>42.33</v>
      </c>
      <c r="Q11303" s="37" t="str">
        <f>IF(P11303&gt;500,"High","low")</f>
        <v>low</v>
      </c>
      <c r="R11303" s="37" t="str">
        <f t="shared" si="884"/>
        <v>AVERAGE</v>
      </c>
      <c r="S11303" t="s">
        <v>615</v>
      </c>
    </row>
    <row r="11304" spans="1:19" x14ac:dyDescent="0.2">
      <c r="A11304" t="s">
        <v>11915</v>
      </c>
      <c r="B11304" t="s">
        <v>75</v>
      </c>
      <c r="C11304" t="s">
        <v>602</v>
      </c>
      <c r="D11304">
        <v>2499.29</v>
      </c>
      <c r="E11304" s="37" t="str">
        <f t="shared" si="880"/>
        <v xml:space="preserve"> </v>
      </c>
      <c r="F11304">
        <v>0.01</v>
      </c>
      <c r="G11304" s="37" t="str">
        <f t="shared" si="881"/>
        <v>Normal Discount</v>
      </c>
      <c r="H11304" s="37" t="str">
        <f t="shared" si="882"/>
        <v>Low</v>
      </c>
      <c r="I11304">
        <v>5</v>
      </c>
      <c r="J11304" t="str" cm="1">
        <f t="array" ref="J11304">_xlfn.IFS(I11304&lt;=3,"small",I11304&lt;=6,"Medium",I11304&lt;=9,"Large")</f>
        <v>Medium</v>
      </c>
      <c r="K11304" s="36">
        <v>44978</v>
      </c>
      <c r="L11304" s="36">
        <v>44984</v>
      </c>
      <c r="M11304" t="s">
        <v>598</v>
      </c>
      <c r="N11304" t="s">
        <v>599</v>
      </c>
      <c r="O11304" s="37" t="str">
        <f t="shared" si="883"/>
        <v>Digital Payment</v>
      </c>
      <c r="P11304">
        <v>636.82000000000005</v>
      </c>
      <c r="Q11304" s="37" t="str">
        <f>IF(P11304&gt;500,"High","low")</f>
        <v>High</v>
      </c>
      <c r="R11304" s="37" t="str">
        <f t="shared" si="884"/>
        <v>Good</v>
      </c>
      <c r="S11304" t="s">
        <v>609</v>
      </c>
    </row>
    <row r="11305" spans="1:19" x14ac:dyDescent="0.2">
      <c r="A11305" t="s">
        <v>11916</v>
      </c>
      <c r="B11305" t="s">
        <v>83</v>
      </c>
      <c r="C11305" t="s">
        <v>607</v>
      </c>
      <c r="D11305">
        <v>4766.8999999999996</v>
      </c>
      <c r="E11305" s="37" t="str">
        <f t="shared" si="880"/>
        <v>Excellent Order</v>
      </c>
      <c r="F11305">
        <v>0.26</v>
      </c>
      <c r="G11305" s="37" t="str">
        <f t="shared" si="881"/>
        <v>Normal Discount</v>
      </c>
      <c r="H11305" s="37" t="str">
        <f t="shared" si="882"/>
        <v>Medium</v>
      </c>
      <c r="I11305">
        <v>2</v>
      </c>
      <c r="J11305" t="str" cm="1">
        <f t="array" ref="J11305">_xlfn.IFS(I11305&lt;=3,"small",I11305&lt;=6,"Medium",I11305&lt;=9,"Large")</f>
        <v>small</v>
      </c>
      <c r="K11305" s="36">
        <v>45044</v>
      </c>
      <c r="L11305" s="36">
        <v>45046</v>
      </c>
      <c r="M11305" t="s">
        <v>612</v>
      </c>
      <c r="N11305" t="s">
        <v>604</v>
      </c>
      <c r="O11305" s="37" t="str">
        <f t="shared" si="883"/>
        <v>Digital Payment</v>
      </c>
      <c r="P11305">
        <v>917.86</v>
      </c>
      <c r="Q11305" s="37" t="str">
        <f>IF(P11305&gt;500,"High","low")</f>
        <v>High</v>
      </c>
      <c r="R11305" s="37" t="str">
        <f t="shared" si="884"/>
        <v>Good</v>
      </c>
      <c r="S11305" t="s">
        <v>628</v>
      </c>
    </row>
    <row r="11306" spans="1:19" x14ac:dyDescent="0.2">
      <c r="A11306" t="s">
        <v>11917</v>
      </c>
      <c r="B11306" t="s">
        <v>90</v>
      </c>
      <c r="C11306" t="s">
        <v>602</v>
      </c>
      <c r="D11306">
        <v>1338.74</v>
      </c>
      <c r="E11306" s="37" t="str">
        <f t="shared" si="880"/>
        <v xml:space="preserve"> </v>
      </c>
      <c r="F11306">
        <v>0.13</v>
      </c>
      <c r="G11306" s="37" t="str">
        <f t="shared" si="881"/>
        <v>Normal Discount</v>
      </c>
      <c r="H11306" s="37" t="str">
        <f t="shared" si="882"/>
        <v>Low</v>
      </c>
      <c r="I11306">
        <v>4</v>
      </c>
      <c r="J11306" t="str" cm="1">
        <f t="array" ref="J11306">_xlfn.IFS(I11306&lt;=3,"small",I11306&lt;=6,"Medium",I11306&lt;=9,"Large")</f>
        <v>Medium</v>
      </c>
      <c r="K11306" s="36">
        <v>45027</v>
      </c>
      <c r="L11306" s="36">
        <v>45034</v>
      </c>
      <c r="M11306" t="s">
        <v>603</v>
      </c>
      <c r="N11306" t="s">
        <v>604</v>
      </c>
      <c r="O11306" s="37" t="str">
        <f t="shared" si="883"/>
        <v>Digital Payment</v>
      </c>
      <c r="P11306">
        <v>133.54</v>
      </c>
      <c r="Q11306" s="37" t="str">
        <f>IF(P11306&gt;500,"High","low")</f>
        <v>low</v>
      </c>
      <c r="R11306" s="37" t="str">
        <f t="shared" si="884"/>
        <v>AVERAGE</v>
      </c>
      <c r="S11306" t="s">
        <v>609</v>
      </c>
    </row>
    <row r="11307" spans="1:19" x14ac:dyDescent="0.2">
      <c r="A11307" t="s">
        <v>11918</v>
      </c>
      <c r="B11307" t="s">
        <v>83</v>
      </c>
      <c r="C11307" t="s">
        <v>614</v>
      </c>
      <c r="D11307">
        <v>1404.16</v>
      </c>
      <c r="E11307" s="37" t="str">
        <f t="shared" si="880"/>
        <v xml:space="preserve"> </v>
      </c>
      <c r="F11307">
        <v>0.13</v>
      </c>
      <c r="G11307" s="37" t="str">
        <f t="shared" si="881"/>
        <v>Normal Discount</v>
      </c>
      <c r="H11307" s="37" t="str">
        <f t="shared" si="882"/>
        <v>Low</v>
      </c>
      <c r="I11307">
        <v>9</v>
      </c>
      <c r="J11307" t="str" cm="1">
        <f t="array" ref="J11307">_xlfn.IFS(I11307&lt;=3,"small",I11307&lt;=6,"Medium",I11307&lt;=9,"Large")</f>
        <v>Large</v>
      </c>
      <c r="K11307" s="36">
        <v>45550</v>
      </c>
      <c r="L11307" s="36">
        <v>45552</v>
      </c>
      <c r="M11307" t="s">
        <v>598</v>
      </c>
      <c r="N11307" t="s">
        <v>608</v>
      </c>
      <c r="O11307" s="37" t="str">
        <f t="shared" si="883"/>
        <v>Cash Payment</v>
      </c>
      <c r="P11307">
        <v>114.14</v>
      </c>
      <c r="Q11307" s="37" t="str">
        <f>IF(P11307&gt;500,"High","low")</f>
        <v>low</v>
      </c>
      <c r="R11307" s="37" t="str">
        <f t="shared" si="884"/>
        <v>AVERAGE</v>
      </c>
      <c r="S11307" t="s">
        <v>605</v>
      </c>
    </row>
    <row r="11308" spans="1:19" x14ac:dyDescent="0.2">
      <c r="A11308" t="s">
        <v>11919</v>
      </c>
      <c r="B11308" t="s">
        <v>67</v>
      </c>
      <c r="C11308" t="s">
        <v>602</v>
      </c>
      <c r="D11308">
        <v>3187.6</v>
      </c>
      <c r="E11308" s="37" t="str">
        <f t="shared" si="880"/>
        <v xml:space="preserve"> </v>
      </c>
      <c r="F11308">
        <v>0.44</v>
      </c>
      <c r="G11308" s="37" t="str">
        <f t="shared" si="881"/>
        <v>Heavy Discount</v>
      </c>
      <c r="H11308" s="37" t="str">
        <f t="shared" si="882"/>
        <v>High</v>
      </c>
      <c r="I11308">
        <v>2</v>
      </c>
      <c r="J11308" t="str" cm="1">
        <f t="array" ref="J11308">_xlfn.IFS(I11308&lt;=3,"small",I11308&lt;=6,"Medium",I11308&lt;=9,"Large")</f>
        <v>small</v>
      </c>
      <c r="K11308" s="36">
        <v>45338</v>
      </c>
      <c r="L11308" s="36">
        <v>45339</v>
      </c>
      <c r="M11308" t="s">
        <v>598</v>
      </c>
      <c r="N11308" t="s">
        <v>604</v>
      </c>
      <c r="O11308" s="37" t="str">
        <f t="shared" si="883"/>
        <v>Digital Payment</v>
      </c>
      <c r="P11308">
        <v>945.26</v>
      </c>
      <c r="Q11308" s="37" t="str">
        <f>IF(P11308&gt;500,"High","low")</f>
        <v>High</v>
      </c>
      <c r="R11308" s="37" t="str">
        <f t="shared" si="884"/>
        <v>Good</v>
      </c>
      <c r="S11308" t="s">
        <v>600</v>
      </c>
    </row>
    <row r="11309" spans="1:19" x14ac:dyDescent="0.2">
      <c r="A11309" t="s">
        <v>11920</v>
      </c>
      <c r="B11309" t="s">
        <v>75</v>
      </c>
      <c r="C11309" t="s">
        <v>614</v>
      </c>
      <c r="D11309">
        <v>4638.34</v>
      </c>
      <c r="E11309" s="37" t="str">
        <f t="shared" si="880"/>
        <v xml:space="preserve"> </v>
      </c>
      <c r="F11309">
        <v>0.16</v>
      </c>
      <c r="G11309" s="37" t="str">
        <f t="shared" si="881"/>
        <v>Normal Discount</v>
      </c>
      <c r="H11309" s="37" t="str">
        <f t="shared" si="882"/>
        <v>Low</v>
      </c>
      <c r="I11309">
        <v>9</v>
      </c>
      <c r="J11309" t="str" cm="1">
        <f t="array" ref="J11309">_xlfn.IFS(I11309&lt;=3,"small",I11309&lt;=6,"Medium",I11309&lt;=9,"Large")</f>
        <v>Large</v>
      </c>
      <c r="K11309" s="36">
        <v>45393</v>
      </c>
      <c r="L11309" s="36">
        <v>45396</v>
      </c>
      <c r="M11309" t="s">
        <v>612</v>
      </c>
      <c r="N11309" t="s">
        <v>608</v>
      </c>
      <c r="O11309" s="37" t="str">
        <f t="shared" si="883"/>
        <v>Cash Payment</v>
      </c>
      <c r="P11309">
        <v>519.73</v>
      </c>
      <c r="Q11309" s="37" t="str">
        <f>IF(P11309&gt;500,"High","low")</f>
        <v>High</v>
      </c>
      <c r="R11309" s="37" t="str">
        <f t="shared" si="884"/>
        <v>Good</v>
      </c>
      <c r="S11309" t="s">
        <v>615</v>
      </c>
    </row>
    <row r="11310" spans="1:19" x14ac:dyDescent="0.2">
      <c r="A11310" t="s">
        <v>11921</v>
      </c>
      <c r="B11310" t="s">
        <v>90</v>
      </c>
      <c r="C11310" t="s">
        <v>597</v>
      </c>
      <c r="D11310">
        <v>1073.8399999999999</v>
      </c>
      <c r="E11310" s="37" t="str">
        <f t="shared" si="880"/>
        <v xml:space="preserve"> </v>
      </c>
      <c r="F11310">
        <v>0.01</v>
      </c>
      <c r="G11310" s="37" t="str">
        <f t="shared" si="881"/>
        <v>Normal Discount</v>
      </c>
      <c r="H11310" s="37" t="str">
        <f t="shared" si="882"/>
        <v>Low</v>
      </c>
      <c r="I11310">
        <v>8</v>
      </c>
      <c r="J11310" t="str" cm="1">
        <f t="array" ref="J11310">_xlfn.IFS(I11310&lt;=3,"small",I11310&lt;=6,"Medium",I11310&lt;=9,"Large")</f>
        <v>Large</v>
      </c>
      <c r="K11310" s="36">
        <v>45590</v>
      </c>
      <c r="L11310" s="36">
        <v>45594</v>
      </c>
      <c r="M11310" t="s">
        <v>603</v>
      </c>
      <c r="N11310" t="s">
        <v>599</v>
      </c>
      <c r="O11310" s="37" t="str">
        <f t="shared" si="883"/>
        <v>Digital Payment</v>
      </c>
      <c r="P11310">
        <v>57.45</v>
      </c>
      <c r="Q11310" s="37" t="str">
        <f>IF(P11310&gt;500,"High","low")</f>
        <v>low</v>
      </c>
      <c r="R11310" s="37" t="str">
        <f t="shared" si="884"/>
        <v>AVERAGE</v>
      </c>
      <c r="S11310" t="s">
        <v>605</v>
      </c>
    </row>
    <row r="11311" spans="1:19" x14ac:dyDescent="0.2">
      <c r="A11311" t="s">
        <v>11922</v>
      </c>
      <c r="B11311" t="s">
        <v>83</v>
      </c>
      <c r="C11311" t="s">
        <v>614</v>
      </c>
      <c r="D11311">
        <v>4616.09</v>
      </c>
      <c r="E11311" s="37" t="str">
        <f t="shared" si="880"/>
        <v xml:space="preserve"> </v>
      </c>
      <c r="F11311">
        <v>0.27</v>
      </c>
      <c r="G11311" s="37" t="str">
        <f t="shared" si="881"/>
        <v>Normal Discount</v>
      </c>
      <c r="H11311" s="37" t="str">
        <f t="shared" si="882"/>
        <v>Medium</v>
      </c>
      <c r="I11311">
        <v>4</v>
      </c>
      <c r="J11311" t="str" cm="1">
        <f t="array" ref="J11311">_xlfn.IFS(I11311&lt;=3,"small",I11311&lt;=6,"Medium",I11311&lt;=9,"Large")</f>
        <v>Medium</v>
      </c>
      <c r="K11311" s="36">
        <v>45497</v>
      </c>
      <c r="L11311" s="36">
        <v>45499</v>
      </c>
      <c r="M11311" t="s">
        <v>598</v>
      </c>
      <c r="N11311" t="s">
        <v>608</v>
      </c>
      <c r="O11311" s="37" t="str">
        <f t="shared" si="883"/>
        <v>Cash Payment</v>
      </c>
      <c r="P11311">
        <v>660.47</v>
      </c>
      <c r="Q11311" s="37" t="str">
        <f>IF(P11311&gt;500,"High","low")</f>
        <v>High</v>
      </c>
      <c r="R11311" s="37" t="str">
        <f t="shared" si="884"/>
        <v>Good</v>
      </c>
      <c r="S11311" t="s">
        <v>605</v>
      </c>
    </row>
    <row r="11312" spans="1:19" x14ac:dyDescent="0.2">
      <c r="A11312" t="s">
        <v>11923</v>
      </c>
      <c r="B11312" t="s">
        <v>83</v>
      </c>
      <c r="C11312" t="s">
        <v>614</v>
      </c>
      <c r="D11312">
        <v>3348.72</v>
      </c>
      <c r="E11312" s="37" t="str">
        <f t="shared" si="880"/>
        <v xml:space="preserve"> </v>
      </c>
      <c r="F11312">
        <v>0.49</v>
      </c>
      <c r="G11312" s="37" t="str">
        <f t="shared" si="881"/>
        <v>Heavy Discount</v>
      </c>
      <c r="H11312" s="37" t="str">
        <f t="shared" si="882"/>
        <v>High</v>
      </c>
      <c r="I11312">
        <v>2</v>
      </c>
      <c r="J11312" t="str" cm="1">
        <f t="array" ref="J11312">_xlfn.IFS(I11312&lt;=3,"small",I11312&lt;=6,"Medium",I11312&lt;=9,"Large")</f>
        <v>small</v>
      </c>
      <c r="K11312" s="36">
        <v>44963</v>
      </c>
      <c r="L11312" s="36">
        <v>44968</v>
      </c>
      <c r="M11312" t="s">
        <v>603</v>
      </c>
      <c r="N11312" t="s">
        <v>599</v>
      </c>
      <c r="O11312" s="37" t="str">
        <f t="shared" si="883"/>
        <v>Digital Payment</v>
      </c>
      <c r="P11312">
        <v>781.95</v>
      </c>
      <c r="Q11312" s="37" t="str">
        <f>IF(P11312&gt;500,"High","low")</f>
        <v>High</v>
      </c>
      <c r="R11312" s="37" t="str">
        <f t="shared" si="884"/>
        <v>Good</v>
      </c>
      <c r="S11312" t="s">
        <v>609</v>
      </c>
    </row>
    <row r="11313" spans="1:19" x14ac:dyDescent="0.2">
      <c r="A11313" t="s">
        <v>11924</v>
      </c>
      <c r="B11313" t="s">
        <v>83</v>
      </c>
      <c r="C11313" t="s">
        <v>607</v>
      </c>
      <c r="D11313">
        <v>4965.93</v>
      </c>
      <c r="E11313" s="37" t="str">
        <f t="shared" si="880"/>
        <v xml:space="preserve"> </v>
      </c>
      <c r="F11313">
        <v>0.04</v>
      </c>
      <c r="G11313" s="37" t="str">
        <f t="shared" si="881"/>
        <v>Normal Discount</v>
      </c>
      <c r="H11313" s="37" t="str">
        <f t="shared" si="882"/>
        <v>Low</v>
      </c>
      <c r="I11313">
        <v>6</v>
      </c>
      <c r="J11313" t="str" cm="1">
        <f t="array" ref="J11313">_xlfn.IFS(I11313&lt;=3,"small",I11313&lt;=6,"Medium",I11313&lt;=9,"Large")</f>
        <v>Medium</v>
      </c>
      <c r="K11313" s="36">
        <v>45030</v>
      </c>
      <c r="L11313" s="36">
        <v>45033</v>
      </c>
      <c r="M11313" t="s">
        <v>603</v>
      </c>
      <c r="N11313" t="s">
        <v>604</v>
      </c>
      <c r="O11313" s="37" t="str">
        <f t="shared" si="883"/>
        <v>Digital Payment</v>
      </c>
      <c r="P11313">
        <v>763.94</v>
      </c>
      <c r="Q11313" s="37" t="str">
        <f>IF(P11313&gt;500,"High","low")</f>
        <v>High</v>
      </c>
      <c r="R11313" s="37" t="str">
        <f t="shared" si="884"/>
        <v>Good</v>
      </c>
      <c r="S11313" t="s">
        <v>605</v>
      </c>
    </row>
    <row r="11314" spans="1:19" x14ac:dyDescent="0.2">
      <c r="A11314" t="s">
        <v>11925</v>
      </c>
      <c r="B11314" t="s">
        <v>75</v>
      </c>
      <c r="C11314" t="s">
        <v>607</v>
      </c>
      <c r="D11314">
        <v>3708.65</v>
      </c>
      <c r="E11314" s="37" t="str">
        <f t="shared" si="880"/>
        <v xml:space="preserve"> </v>
      </c>
      <c r="F11314">
        <v>0.14000000000000001</v>
      </c>
      <c r="G11314" s="37" t="str">
        <f t="shared" si="881"/>
        <v>Normal Discount</v>
      </c>
      <c r="H11314" s="37" t="str">
        <f t="shared" si="882"/>
        <v>Low</v>
      </c>
      <c r="I11314">
        <v>7</v>
      </c>
      <c r="J11314" t="str" cm="1">
        <f t="array" ref="J11314">_xlfn.IFS(I11314&lt;=3,"small",I11314&lt;=6,"Medium",I11314&lt;=9,"Large")</f>
        <v>Large</v>
      </c>
      <c r="K11314" s="36">
        <v>45476</v>
      </c>
      <c r="L11314" s="36">
        <v>45483</v>
      </c>
      <c r="M11314" t="s">
        <v>598</v>
      </c>
      <c r="N11314" t="s">
        <v>604</v>
      </c>
      <c r="O11314" s="37" t="str">
        <f t="shared" si="883"/>
        <v>Digital Payment</v>
      </c>
      <c r="P11314">
        <v>332.28</v>
      </c>
      <c r="Q11314" s="37" t="str">
        <f>IF(P11314&gt;500,"High","low")</f>
        <v>low</v>
      </c>
      <c r="R11314" s="37" t="str">
        <f t="shared" si="884"/>
        <v>AVERAGE</v>
      </c>
      <c r="S11314" t="s">
        <v>615</v>
      </c>
    </row>
    <row r="11315" spans="1:19" x14ac:dyDescent="0.2">
      <c r="A11315" t="s">
        <v>11926</v>
      </c>
      <c r="B11315" t="s">
        <v>75</v>
      </c>
      <c r="C11315" t="s">
        <v>607</v>
      </c>
      <c r="D11315">
        <v>3372.22</v>
      </c>
      <c r="E11315" s="37" t="str">
        <f t="shared" si="880"/>
        <v xml:space="preserve"> </v>
      </c>
      <c r="F11315">
        <v>0.23</v>
      </c>
      <c r="G11315" s="37" t="str">
        <f t="shared" si="881"/>
        <v>Normal Discount</v>
      </c>
      <c r="H11315" s="37" t="str">
        <f t="shared" si="882"/>
        <v>Medium</v>
      </c>
      <c r="I11315">
        <v>2</v>
      </c>
      <c r="J11315" t="str" cm="1">
        <f t="array" ref="J11315">_xlfn.IFS(I11315&lt;=3,"small",I11315&lt;=6,"Medium",I11315&lt;=9,"Large")</f>
        <v>small</v>
      </c>
      <c r="K11315" s="36">
        <v>44941</v>
      </c>
      <c r="L11315" s="36">
        <v>44947</v>
      </c>
      <c r="M11315" t="s">
        <v>603</v>
      </c>
      <c r="N11315" t="s">
        <v>604</v>
      </c>
      <c r="O11315" s="37" t="str">
        <f t="shared" si="883"/>
        <v>Digital Payment</v>
      </c>
      <c r="P11315">
        <v>332.15</v>
      </c>
      <c r="Q11315" s="37" t="str">
        <f>IF(P11315&gt;500,"High","low")</f>
        <v>low</v>
      </c>
      <c r="R11315" s="37" t="str">
        <f t="shared" si="884"/>
        <v>AVERAGE</v>
      </c>
      <c r="S11315" t="s">
        <v>609</v>
      </c>
    </row>
    <row r="11316" spans="1:19" x14ac:dyDescent="0.2">
      <c r="A11316" t="s">
        <v>11927</v>
      </c>
      <c r="B11316" t="s">
        <v>75</v>
      </c>
      <c r="C11316" t="s">
        <v>614</v>
      </c>
      <c r="D11316">
        <v>4093.03</v>
      </c>
      <c r="E11316" s="37" t="str">
        <f t="shared" si="880"/>
        <v>Excellent Order</v>
      </c>
      <c r="F11316">
        <v>0.42</v>
      </c>
      <c r="G11316" s="37" t="str">
        <f t="shared" si="881"/>
        <v>Heavy Discount</v>
      </c>
      <c r="H11316" s="37" t="str">
        <f t="shared" si="882"/>
        <v>High</v>
      </c>
      <c r="I11316">
        <v>8</v>
      </c>
      <c r="J11316" t="str" cm="1">
        <f t="array" ref="J11316">_xlfn.IFS(I11316&lt;=3,"small",I11316&lt;=6,"Medium",I11316&lt;=9,"Large")</f>
        <v>Large</v>
      </c>
      <c r="K11316" s="36">
        <v>45070</v>
      </c>
      <c r="L11316" s="36">
        <v>45074</v>
      </c>
      <c r="M11316" t="s">
        <v>598</v>
      </c>
      <c r="N11316" t="s">
        <v>608</v>
      </c>
      <c r="O11316" s="37" t="str">
        <f t="shared" si="883"/>
        <v>Cash Payment</v>
      </c>
      <c r="P11316">
        <v>939.25</v>
      </c>
      <c r="Q11316" s="37" t="str">
        <f>IF(P11316&gt;500,"High","low")</f>
        <v>High</v>
      </c>
      <c r="R11316" s="37" t="str">
        <f t="shared" si="884"/>
        <v>Good</v>
      </c>
      <c r="S11316" t="s">
        <v>628</v>
      </c>
    </row>
    <row r="11317" spans="1:19" x14ac:dyDescent="0.2">
      <c r="A11317" t="s">
        <v>11928</v>
      </c>
      <c r="B11317" t="s">
        <v>90</v>
      </c>
      <c r="C11317" t="s">
        <v>617</v>
      </c>
      <c r="D11317">
        <v>958.19</v>
      </c>
      <c r="E11317" s="37" t="str">
        <f t="shared" si="880"/>
        <v xml:space="preserve"> </v>
      </c>
      <c r="F11317">
        <v>0.13</v>
      </c>
      <c r="G11317" s="37" t="str">
        <f t="shared" si="881"/>
        <v>Normal Discount</v>
      </c>
      <c r="H11317" s="37" t="str">
        <f t="shared" si="882"/>
        <v>Low</v>
      </c>
      <c r="I11317">
        <v>9</v>
      </c>
      <c r="J11317" t="str" cm="1">
        <f t="array" ref="J11317">_xlfn.IFS(I11317&lt;=3,"small",I11317&lt;=6,"Medium",I11317&lt;=9,"Large")</f>
        <v>Large</v>
      </c>
      <c r="K11317" s="36">
        <v>45176</v>
      </c>
      <c r="L11317" s="36">
        <v>45179</v>
      </c>
      <c r="M11317" t="s">
        <v>612</v>
      </c>
      <c r="N11317" t="s">
        <v>599</v>
      </c>
      <c r="O11317" s="37" t="str">
        <f t="shared" si="883"/>
        <v>Digital Payment</v>
      </c>
      <c r="P11317">
        <v>271.64999999999998</v>
      </c>
      <c r="Q11317" s="37" t="str">
        <f>IF(P11317&gt;500,"High","low")</f>
        <v>low</v>
      </c>
      <c r="R11317" s="37" t="str">
        <f t="shared" si="884"/>
        <v>AVERAGE</v>
      </c>
      <c r="S11317" t="s">
        <v>615</v>
      </c>
    </row>
    <row r="11318" spans="1:19" x14ac:dyDescent="0.2">
      <c r="A11318" t="s">
        <v>11929</v>
      </c>
      <c r="B11318" t="s">
        <v>75</v>
      </c>
      <c r="C11318" t="s">
        <v>607</v>
      </c>
      <c r="D11318">
        <v>4735.33</v>
      </c>
      <c r="E11318" s="37" t="str">
        <f t="shared" si="880"/>
        <v xml:space="preserve"> </v>
      </c>
      <c r="F11318">
        <v>0.17</v>
      </c>
      <c r="G11318" s="37" t="str">
        <f t="shared" si="881"/>
        <v>Normal Discount</v>
      </c>
      <c r="H11318" s="37" t="str">
        <f t="shared" si="882"/>
        <v>Low</v>
      </c>
      <c r="I11318">
        <v>5</v>
      </c>
      <c r="J11318" t="str" cm="1">
        <f t="array" ref="J11318">_xlfn.IFS(I11318&lt;=3,"small",I11318&lt;=6,"Medium",I11318&lt;=9,"Large")</f>
        <v>Medium</v>
      </c>
      <c r="K11318" s="36">
        <v>45314</v>
      </c>
      <c r="L11318" s="36">
        <v>45317</v>
      </c>
      <c r="M11318" t="s">
        <v>612</v>
      </c>
      <c r="N11318" t="s">
        <v>599</v>
      </c>
      <c r="O11318" s="37" t="str">
        <f t="shared" si="883"/>
        <v>Digital Payment</v>
      </c>
      <c r="P11318">
        <v>554.05999999999995</v>
      </c>
      <c r="Q11318" s="37" t="str">
        <f>IF(P11318&gt;500,"High","low")</f>
        <v>High</v>
      </c>
      <c r="R11318" s="37" t="str">
        <f t="shared" si="884"/>
        <v>Good</v>
      </c>
      <c r="S11318" t="s">
        <v>628</v>
      </c>
    </row>
    <row r="11319" spans="1:19" x14ac:dyDescent="0.2">
      <c r="A11319" t="s">
        <v>11930</v>
      </c>
      <c r="B11319" t="s">
        <v>90</v>
      </c>
      <c r="C11319" t="s">
        <v>607</v>
      </c>
      <c r="D11319">
        <v>911.42</v>
      </c>
      <c r="E11319" s="37" t="str">
        <f t="shared" si="880"/>
        <v xml:space="preserve"> </v>
      </c>
      <c r="F11319">
        <v>0.19</v>
      </c>
      <c r="G11319" s="37" t="str">
        <f t="shared" si="881"/>
        <v>Normal Discount</v>
      </c>
      <c r="H11319" s="37" t="str">
        <f t="shared" si="882"/>
        <v>Low</v>
      </c>
      <c r="I11319">
        <v>6</v>
      </c>
      <c r="J11319" t="str" cm="1">
        <f t="array" ref="J11319">_xlfn.IFS(I11319&lt;=3,"small",I11319&lt;=6,"Medium",I11319&lt;=9,"Large")</f>
        <v>Medium</v>
      </c>
      <c r="K11319" s="36">
        <v>45208</v>
      </c>
      <c r="L11319" s="36">
        <v>45209</v>
      </c>
      <c r="M11319" t="s">
        <v>598</v>
      </c>
      <c r="N11319" t="s">
        <v>604</v>
      </c>
      <c r="O11319" s="37" t="str">
        <f t="shared" si="883"/>
        <v>Digital Payment</v>
      </c>
      <c r="P11319">
        <v>257.19</v>
      </c>
      <c r="Q11319" s="37" t="str">
        <f>IF(P11319&gt;500,"High","low")</f>
        <v>low</v>
      </c>
      <c r="R11319" s="37" t="str">
        <f t="shared" si="884"/>
        <v>AVERAGE</v>
      </c>
      <c r="S11319" t="s">
        <v>615</v>
      </c>
    </row>
    <row r="11320" spans="1:19" x14ac:dyDescent="0.2">
      <c r="A11320" t="s">
        <v>11931</v>
      </c>
      <c r="B11320" t="s">
        <v>83</v>
      </c>
      <c r="C11320" t="s">
        <v>614</v>
      </c>
      <c r="D11320">
        <v>225.78</v>
      </c>
      <c r="E11320" s="37" t="str">
        <f t="shared" si="880"/>
        <v xml:space="preserve"> </v>
      </c>
      <c r="F11320">
        <v>0.19</v>
      </c>
      <c r="G11320" s="37" t="str">
        <f t="shared" si="881"/>
        <v>Normal Discount</v>
      </c>
      <c r="H11320" s="37" t="str">
        <f t="shared" si="882"/>
        <v>Low</v>
      </c>
      <c r="I11320">
        <v>6</v>
      </c>
      <c r="J11320" t="str" cm="1">
        <f t="array" ref="J11320">_xlfn.IFS(I11320&lt;=3,"small",I11320&lt;=6,"Medium",I11320&lt;=9,"Large")</f>
        <v>Medium</v>
      </c>
      <c r="K11320" s="36">
        <v>45221</v>
      </c>
      <c r="L11320" s="36">
        <v>45226</v>
      </c>
      <c r="M11320" t="s">
        <v>598</v>
      </c>
      <c r="N11320" t="s">
        <v>599</v>
      </c>
      <c r="O11320" s="37" t="str">
        <f t="shared" si="883"/>
        <v>Digital Payment</v>
      </c>
      <c r="P11320">
        <v>18.54</v>
      </c>
      <c r="Q11320" s="37" t="str">
        <f>IF(P11320&gt;500,"High","low")</f>
        <v>low</v>
      </c>
      <c r="R11320" s="37" t="str">
        <f t="shared" si="884"/>
        <v>AVERAGE</v>
      </c>
      <c r="S11320" t="s">
        <v>609</v>
      </c>
    </row>
    <row r="11321" spans="1:19" x14ac:dyDescent="0.2">
      <c r="A11321" t="s">
        <v>11932</v>
      </c>
      <c r="B11321" t="s">
        <v>83</v>
      </c>
      <c r="C11321" t="s">
        <v>597</v>
      </c>
      <c r="D11321">
        <v>3519.5</v>
      </c>
      <c r="E11321" s="37" t="str">
        <f t="shared" si="880"/>
        <v xml:space="preserve"> </v>
      </c>
      <c r="F11321">
        <v>0.1</v>
      </c>
      <c r="G11321" s="37" t="str">
        <f t="shared" si="881"/>
        <v>Normal Discount</v>
      </c>
      <c r="H11321" s="37" t="str">
        <f t="shared" si="882"/>
        <v>Low</v>
      </c>
      <c r="I11321">
        <v>2</v>
      </c>
      <c r="J11321" t="str" cm="1">
        <f t="array" ref="J11321">_xlfn.IFS(I11321&lt;=3,"small",I11321&lt;=6,"Medium",I11321&lt;=9,"Large")</f>
        <v>small</v>
      </c>
      <c r="K11321" s="36">
        <v>45367</v>
      </c>
      <c r="L11321" s="36">
        <v>45374</v>
      </c>
      <c r="M11321" t="s">
        <v>603</v>
      </c>
      <c r="N11321" t="s">
        <v>604</v>
      </c>
      <c r="O11321" s="37" t="str">
        <f t="shared" si="883"/>
        <v>Digital Payment</v>
      </c>
      <c r="P11321">
        <v>257.70999999999998</v>
      </c>
      <c r="Q11321" s="37" t="str">
        <f>IF(P11321&gt;500,"High","low")</f>
        <v>low</v>
      </c>
      <c r="R11321" s="37" t="str">
        <f t="shared" si="884"/>
        <v>AVERAGE</v>
      </c>
      <c r="S11321" t="s">
        <v>615</v>
      </c>
    </row>
    <row r="11322" spans="1:19" x14ac:dyDescent="0.2">
      <c r="A11322" t="s">
        <v>11933</v>
      </c>
      <c r="B11322" t="s">
        <v>67</v>
      </c>
      <c r="C11322" t="s">
        <v>597</v>
      </c>
      <c r="D11322">
        <v>1004.52</v>
      </c>
      <c r="E11322" s="37" t="str">
        <f t="shared" si="880"/>
        <v xml:space="preserve"> </v>
      </c>
      <c r="F11322">
        <v>0.46</v>
      </c>
      <c r="G11322" s="37" t="str">
        <f t="shared" si="881"/>
        <v>Heavy Discount</v>
      </c>
      <c r="H11322" s="37" t="str">
        <f t="shared" si="882"/>
        <v>High</v>
      </c>
      <c r="I11322">
        <v>1</v>
      </c>
      <c r="J11322" t="str" cm="1">
        <f t="array" ref="J11322">_xlfn.IFS(I11322&lt;=3,"small",I11322&lt;=6,"Medium",I11322&lt;=9,"Large")</f>
        <v>small</v>
      </c>
      <c r="K11322" s="36">
        <v>45310</v>
      </c>
      <c r="L11322" s="36">
        <v>45317</v>
      </c>
      <c r="M11322" t="s">
        <v>598</v>
      </c>
      <c r="N11322" t="s">
        <v>608</v>
      </c>
      <c r="O11322" s="37" t="str">
        <f t="shared" si="883"/>
        <v>Cash Payment</v>
      </c>
      <c r="P11322">
        <v>92.96</v>
      </c>
      <c r="Q11322" s="37" t="str">
        <f>IF(P11322&gt;500,"High","low")</f>
        <v>low</v>
      </c>
      <c r="R11322" s="37" t="str">
        <f t="shared" si="884"/>
        <v>AVERAGE</v>
      </c>
      <c r="S11322" t="s">
        <v>628</v>
      </c>
    </row>
    <row r="11323" spans="1:19" x14ac:dyDescent="0.2">
      <c r="A11323" t="s">
        <v>11934</v>
      </c>
      <c r="B11323" t="s">
        <v>75</v>
      </c>
      <c r="C11323" t="s">
        <v>602</v>
      </c>
      <c r="D11323">
        <v>3817.89</v>
      </c>
      <c r="E11323" s="37" t="str">
        <f t="shared" si="880"/>
        <v xml:space="preserve"> </v>
      </c>
      <c r="F11323">
        <v>0.4</v>
      </c>
      <c r="G11323" s="37" t="str">
        <f t="shared" si="881"/>
        <v>Heavy Discount</v>
      </c>
      <c r="H11323" s="37" t="str">
        <f t="shared" si="882"/>
        <v>Medium</v>
      </c>
      <c r="I11323">
        <v>5</v>
      </c>
      <c r="J11323" t="str" cm="1">
        <f t="array" ref="J11323">_xlfn.IFS(I11323&lt;=3,"small",I11323&lt;=6,"Medium",I11323&lt;=9,"Large")</f>
        <v>Medium</v>
      </c>
      <c r="K11323" s="36">
        <v>44973</v>
      </c>
      <c r="L11323" s="36">
        <v>44977</v>
      </c>
      <c r="M11323" t="s">
        <v>612</v>
      </c>
      <c r="N11323" t="s">
        <v>604</v>
      </c>
      <c r="O11323" s="37" t="str">
        <f t="shared" si="883"/>
        <v>Digital Payment</v>
      </c>
      <c r="P11323">
        <v>565.39</v>
      </c>
      <c r="Q11323" s="37" t="str">
        <f>IF(P11323&gt;500,"High","low")</f>
        <v>High</v>
      </c>
      <c r="R11323" s="37" t="str">
        <f t="shared" si="884"/>
        <v>Good</v>
      </c>
      <c r="S11323" t="s">
        <v>600</v>
      </c>
    </row>
    <row r="11324" spans="1:19" x14ac:dyDescent="0.2">
      <c r="A11324" t="s">
        <v>11935</v>
      </c>
      <c r="B11324" t="s">
        <v>83</v>
      </c>
      <c r="C11324" t="s">
        <v>597</v>
      </c>
      <c r="D11324">
        <v>3995.69</v>
      </c>
      <c r="E11324" s="37" t="str">
        <f t="shared" si="880"/>
        <v xml:space="preserve"> </v>
      </c>
      <c r="F11324">
        <v>0.49</v>
      </c>
      <c r="G11324" s="37" t="str">
        <f t="shared" si="881"/>
        <v>Heavy Discount</v>
      </c>
      <c r="H11324" s="37" t="str">
        <f t="shared" si="882"/>
        <v>High</v>
      </c>
      <c r="I11324">
        <v>6</v>
      </c>
      <c r="J11324" t="str" cm="1">
        <f t="array" ref="J11324">_xlfn.IFS(I11324&lt;=3,"small",I11324&lt;=6,"Medium",I11324&lt;=9,"Large")</f>
        <v>Medium</v>
      </c>
      <c r="K11324" s="36">
        <v>45400</v>
      </c>
      <c r="L11324" s="36">
        <v>45407</v>
      </c>
      <c r="M11324" t="s">
        <v>603</v>
      </c>
      <c r="N11324" t="s">
        <v>604</v>
      </c>
      <c r="O11324" s="37" t="str">
        <f t="shared" si="883"/>
        <v>Digital Payment</v>
      </c>
      <c r="P11324">
        <v>734.39</v>
      </c>
      <c r="Q11324" s="37" t="str">
        <f>IF(P11324&gt;500,"High","low")</f>
        <v>High</v>
      </c>
      <c r="R11324" s="37" t="str">
        <f t="shared" si="884"/>
        <v>Good</v>
      </c>
      <c r="S11324" t="s">
        <v>628</v>
      </c>
    </row>
    <row r="11325" spans="1:19" x14ac:dyDescent="0.2">
      <c r="A11325" t="s">
        <v>11936</v>
      </c>
      <c r="B11325" t="s">
        <v>75</v>
      </c>
      <c r="C11325" t="s">
        <v>607</v>
      </c>
      <c r="D11325">
        <v>1259.83</v>
      </c>
      <c r="E11325" s="37" t="str">
        <f t="shared" si="880"/>
        <v xml:space="preserve"> </v>
      </c>
      <c r="F11325">
        <v>0.19</v>
      </c>
      <c r="G11325" s="37" t="str">
        <f t="shared" si="881"/>
        <v>Normal Discount</v>
      </c>
      <c r="H11325" s="37" t="str">
        <f t="shared" si="882"/>
        <v>Low</v>
      </c>
      <c r="I11325">
        <v>1</v>
      </c>
      <c r="J11325" t="str" cm="1">
        <f t="array" ref="J11325">_xlfn.IFS(I11325&lt;=3,"small",I11325&lt;=6,"Medium",I11325&lt;=9,"Large")</f>
        <v>small</v>
      </c>
      <c r="K11325" s="36">
        <v>45530</v>
      </c>
      <c r="L11325" s="36">
        <v>45537</v>
      </c>
      <c r="M11325" t="s">
        <v>612</v>
      </c>
      <c r="N11325" t="s">
        <v>599</v>
      </c>
      <c r="O11325" s="37" t="str">
        <f t="shared" si="883"/>
        <v>Digital Payment</v>
      </c>
      <c r="P11325">
        <v>135.33000000000001</v>
      </c>
      <c r="Q11325" s="37" t="str">
        <f>IF(P11325&gt;500,"High","low")</f>
        <v>low</v>
      </c>
      <c r="R11325" s="37" t="str">
        <f t="shared" si="884"/>
        <v>AVERAGE</v>
      </c>
      <c r="S11325" t="s">
        <v>609</v>
      </c>
    </row>
    <row r="11326" spans="1:19" x14ac:dyDescent="0.2">
      <c r="A11326" t="s">
        <v>11937</v>
      </c>
      <c r="B11326" t="s">
        <v>90</v>
      </c>
      <c r="C11326" t="s">
        <v>617</v>
      </c>
      <c r="D11326">
        <v>524.92999999999995</v>
      </c>
      <c r="E11326" s="37" t="str">
        <f t="shared" si="880"/>
        <v xml:space="preserve"> </v>
      </c>
      <c r="F11326">
        <v>0.02</v>
      </c>
      <c r="G11326" s="37" t="str">
        <f t="shared" si="881"/>
        <v>Normal Discount</v>
      </c>
      <c r="H11326" s="37" t="str">
        <f t="shared" si="882"/>
        <v>Low</v>
      </c>
      <c r="I11326">
        <v>8</v>
      </c>
      <c r="J11326" t="str" cm="1">
        <f t="array" ref="J11326">_xlfn.IFS(I11326&lt;=3,"small",I11326&lt;=6,"Medium",I11326&lt;=9,"Large")</f>
        <v>Large</v>
      </c>
      <c r="K11326" s="36">
        <v>45615</v>
      </c>
      <c r="L11326" s="36">
        <v>45618</v>
      </c>
      <c r="M11326" t="s">
        <v>612</v>
      </c>
      <c r="N11326" t="s">
        <v>608</v>
      </c>
      <c r="O11326" s="37" t="str">
        <f t="shared" si="883"/>
        <v>Cash Payment</v>
      </c>
      <c r="P11326">
        <v>37</v>
      </c>
      <c r="Q11326" s="37" t="str">
        <f>IF(P11326&gt;500,"High","low")</f>
        <v>low</v>
      </c>
      <c r="R11326" s="37" t="str">
        <f t="shared" si="884"/>
        <v>AVERAGE</v>
      </c>
      <c r="S11326" t="s">
        <v>600</v>
      </c>
    </row>
    <row r="11327" spans="1:19" x14ac:dyDescent="0.2">
      <c r="A11327" t="s">
        <v>11938</v>
      </c>
      <c r="B11327" t="s">
        <v>83</v>
      </c>
      <c r="C11327" t="s">
        <v>602</v>
      </c>
      <c r="D11327">
        <v>2554.02</v>
      </c>
      <c r="E11327" s="37" t="str">
        <f t="shared" si="880"/>
        <v xml:space="preserve"> </v>
      </c>
      <c r="F11327">
        <v>0.06</v>
      </c>
      <c r="G11327" s="37" t="str">
        <f t="shared" si="881"/>
        <v>Normal Discount</v>
      </c>
      <c r="H11327" s="37" t="str">
        <f t="shared" si="882"/>
        <v>Low</v>
      </c>
      <c r="I11327">
        <v>5</v>
      </c>
      <c r="J11327" t="str" cm="1">
        <f t="array" ref="J11327">_xlfn.IFS(I11327&lt;=3,"small",I11327&lt;=6,"Medium",I11327&lt;=9,"Large")</f>
        <v>Medium</v>
      </c>
      <c r="K11327" s="36">
        <v>45091</v>
      </c>
      <c r="L11327" s="36">
        <v>45092</v>
      </c>
      <c r="M11327" t="s">
        <v>612</v>
      </c>
      <c r="N11327" t="s">
        <v>608</v>
      </c>
      <c r="O11327" s="37" t="str">
        <f t="shared" si="883"/>
        <v>Cash Payment</v>
      </c>
      <c r="P11327">
        <v>597.54999999999995</v>
      </c>
      <c r="Q11327" s="37" t="str">
        <f>IF(P11327&gt;500,"High","low")</f>
        <v>High</v>
      </c>
      <c r="R11327" s="37" t="str">
        <f t="shared" si="884"/>
        <v>Good</v>
      </c>
      <c r="S11327" t="s">
        <v>600</v>
      </c>
    </row>
    <row r="11328" spans="1:19" x14ac:dyDescent="0.2">
      <c r="A11328" t="s">
        <v>11939</v>
      </c>
      <c r="B11328" t="s">
        <v>75</v>
      </c>
      <c r="C11328" t="s">
        <v>617</v>
      </c>
      <c r="D11328">
        <v>4462.07</v>
      </c>
      <c r="E11328" s="37" t="str">
        <f t="shared" si="880"/>
        <v xml:space="preserve"> </v>
      </c>
      <c r="F11328">
        <v>0.18</v>
      </c>
      <c r="G11328" s="37" t="str">
        <f t="shared" si="881"/>
        <v>Normal Discount</v>
      </c>
      <c r="H11328" s="37" t="str">
        <f t="shared" si="882"/>
        <v>Low</v>
      </c>
      <c r="I11328">
        <v>5</v>
      </c>
      <c r="J11328" t="str" cm="1">
        <f t="array" ref="J11328">_xlfn.IFS(I11328&lt;=3,"small",I11328&lt;=6,"Medium",I11328&lt;=9,"Large")</f>
        <v>Medium</v>
      </c>
      <c r="K11328" s="36">
        <v>44964</v>
      </c>
      <c r="L11328" s="36">
        <v>44968</v>
      </c>
      <c r="M11328" t="s">
        <v>603</v>
      </c>
      <c r="N11328" t="s">
        <v>608</v>
      </c>
      <c r="O11328" s="37" t="str">
        <f t="shared" si="883"/>
        <v>Cash Payment</v>
      </c>
      <c r="P11328">
        <v>549.96</v>
      </c>
      <c r="Q11328" s="37" t="str">
        <f>IF(P11328&gt;500,"High","low")</f>
        <v>High</v>
      </c>
      <c r="R11328" s="37" t="str">
        <f t="shared" si="884"/>
        <v>Good</v>
      </c>
      <c r="S11328" t="s">
        <v>628</v>
      </c>
    </row>
    <row r="11329" spans="1:19" x14ac:dyDescent="0.2">
      <c r="A11329" t="s">
        <v>11940</v>
      </c>
      <c r="B11329" t="s">
        <v>83</v>
      </c>
      <c r="C11329" t="s">
        <v>617</v>
      </c>
      <c r="D11329">
        <v>4251.7299999999996</v>
      </c>
      <c r="E11329" s="37" t="str">
        <f t="shared" si="880"/>
        <v xml:space="preserve"> </v>
      </c>
      <c r="F11329">
        <v>0.46</v>
      </c>
      <c r="G11329" s="37" t="str">
        <f t="shared" si="881"/>
        <v>Heavy Discount</v>
      </c>
      <c r="H11329" s="37" t="str">
        <f t="shared" si="882"/>
        <v>High</v>
      </c>
      <c r="I11329">
        <v>8</v>
      </c>
      <c r="J11329" t="str" cm="1">
        <f t="array" ref="J11329">_xlfn.IFS(I11329&lt;=3,"small",I11329&lt;=6,"Medium",I11329&lt;=9,"Large")</f>
        <v>Large</v>
      </c>
      <c r="K11329" s="36">
        <v>45538</v>
      </c>
      <c r="L11329" s="36">
        <v>45539</v>
      </c>
      <c r="M11329" t="s">
        <v>612</v>
      </c>
      <c r="N11329" t="s">
        <v>604</v>
      </c>
      <c r="O11329" s="37" t="str">
        <f t="shared" si="883"/>
        <v>Digital Payment</v>
      </c>
      <c r="P11329">
        <v>793.21</v>
      </c>
      <c r="Q11329" s="37" t="str">
        <f>IF(P11329&gt;500,"High","low")</f>
        <v>High</v>
      </c>
      <c r="R11329" s="37" t="str">
        <f t="shared" si="884"/>
        <v>Good</v>
      </c>
      <c r="S11329" t="s">
        <v>600</v>
      </c>
    </row>
    <row r="11330" spans="1:19" x14ac:dyDescent="0.2">
      <c r="A11330" t="s">
        <v>11941</v>
      </c>
      <c r="B11330" t="s">
        <v>83</v>
      </c>
      <c r="C11330" t="s">
        <v>607</v>
      </c>
      <c r="D11330">
        <v>673.7</v>
      </c>
      <c r="E11330" s="37" t="str">
        <f t="shared" si="880"/>
        <v xml:space="preserve"> </v>
      </c>
      <c r="F11330">
        <v>0.49</v>
      </c>
      <c r="G11330" s="37" t="str">
        <f t="shared" si="881"/>
        <v>Heavy Discount</v>
      </c>
      <c r="H11330" s="37" t="str">
        <f t="shared" si="882"/>
        <v>High</v>
      </c>
      <c r="I11330">
        <v>8</v>
      </c>
      <c r="J11330" t="str" cm="1">
        <f t="array" ref="J11330">_xlfn.IFS(I11330&lt;=3,"small",I11330&lt;=6,"Medium",I11330&lt;=9,"Large")</f>
        <v>Large</v>
      </c>
      <c r="K11330" s="36">
        <v>44988</v>
      </c>
      <c r="L11330" s="36">
        <v>44992</v>
      </c>
      <c r="M11330" t="s">
        <v>612</v>
      </c>
      <c r="N11330" t="s">
        <v>599</v>
      </c>
      <c r="O11330" s="37" t="str">
        <f t="shared" si="883"/>
        <v>Digital Payment</v>
      </c>
      <c r="P11330">
        <v>162.44999999999999</v>
      </c>
      <c r="Q11330" s="37" t="str">
        <f>IF(P11330&gt;500,"High","low")</f>
        <v>low</v>
      </c>
      <c r="R11330" s="37" t="str">
        <f t="shared" si="884"/>
        <v>AVERAGE</v>
      </c>
      <c r="S11330" t="s">
        <v>609</v>
      </c>
    </row>
    <row r="11331" spans="1:19" x14ac:dyDescent="0.2">
      <c r="A11331" t="s">
        <v>11942</v>
      </c>
      <c r="B11331" t="s">
        <v>75</v>
      </c>
      <c r="C11331" t="s">
        <v>614</v>
      </c>
      <c r="D11331">
        <v>4827.4399999999996</v>
      </c>
      <c r="E11331" s="37" t="str">
        <f t="shared" ref="E11331:E11394" si="885">IF(AND(D11331&gt;4000,P11331&gt;800),"Excellent Order"," ")</f>
        <v xml:space="preserve"> </v>
      </c>
      <c r="F11331">
        <v>0.41</v>
      </c>
      <c r="G11331" s="37" t="str">
        <f t="shared" ref="G11331:G11394" si="886">IF(F11331&gt;30%,"Heavy Discount","Normal Discount")</f>
        <v>Heavy Discount</v>
      </c>
      <c r="H11331" s="37" t="str">
        <f t="shared" ref="H11331:H11394" si="887">IF(F11331&gt;0.4,"High",IF(F11331&gt;=0.2,"Medium","Low"))</f>
        <v>High</v>
      </c>
      <c r="I11331">
        <v>9</v>
      </c>
      <c r="J11331" t="str" cm="1">
        <f t="array" ref="J11331">_xlfn.IFS(I11331&lt;=3,"small",I11331&lt;=6,"Medium",I11331&lt;=9,"Large")</f>
        <v>Large</v>
      </c>
      <c r="K11331" s="36">
        <v>45499</v>
      </c>
      <c r="L11331" s="36">
        <v>45502</v>
      </c>
      <c r="M11331" t="s">
        <v>612</v>
      </c>
      <c r="N11331" t="s">
        <v>608</v>
      </c>
      <c r="O11331" s="37" t="str">
        <f t="shared" ref="O11331:O11394" si="888">IF(OR(N11331="Card",N11331="UPI"),"Digital Payment","Cash Payment")</f>
        <v>Cash Payment</v>
      </c>
      <c r="P11331">
        <v>368.56</v>
      </c>
      <c r="Q11331" s="37" t="str">
        <f>IF(P11331&gt;500,"High","low")</f>
        <v>low</v>
      </c>
      <c r="R11331" s="37" t="str">
        <f t="shared" ref="R11331:R11394" si="889">IF(P11331&gt;1000,"Excellent",IF(P11331&gt;=500,"Good","AVERAGE"))</f>
        <v>AVERAGE</v>
      </c>
      <c r="S11331" t="s">
        <v>615</v>
      </c>
    </row>
    <row r="11332" spans="1:19" x14ac:dyDescent="0.2">
      <c r="A11332" t="s">
        <v>11943</v>
      </c>
      <c r="B11332" t="s">
        <v>83</v>
      </c>
      <c r="C11332" t="s">
        <v>614</v>
      </c>
      <c r="D11332">
        <v>1393.35</v>
      </c>
      <c r="E11332" s="37" t="str">
        <f t="shared" si="885"/>
        <v xml:space="preserve"> </v>
      </c>
      <c r="F11332">
        <v>0.12</v>
      </c>
      <c r="G11332" s="37" t="str">
        <f t="shared" si="886"/>
        <v>Normal Discount</v>
      </c>
      <c r="H11332" s="37" t="str">
        <f t="shared" si="887"/>
        <v>Low</v>
      </c>
      <c r="I11332">
        <v>4</v>
      </c>
      <c r="J11332" t="str" cm="1">
        <f t="array" ref="J11332">_xlfn.IFS(I11332&lt;=3,"small",I11332&lt;=6,"Medium",I11332&lt;=9,"Large")</f>
        <v>Medium</v>
      </c>
      <c r="K11332" s="36">
        <v>45640</v>
      </c>
      <c r="L11332" s="36">
        <v>45642</v>
      </c>
      <c r="M11332" t="s">
        <v>598</v>
      </c>
      <c r="N11332" t="s">
        <v>604</v>
      </c>
      <c r="O11332" s="37" t="str">
        <f t="shared" si="888"/>
        <v>Digital Payment</v>
      </c>
      <c r="P11332">
        <v>248.36</v>
      </c>
      <c r="Q11332" s="37" t="str">
        <f>IF(P11332&gt;500,"High","low")</f>
        <v>low</v>
      </c>
      <c r="R11332" s="37" t="str">
        <f t="shared" si="889"/>
        <v>AVERAGE</v>
      </c>
      <c r="S11332" t="s">
        <v>628</v>
      </c>
    </row>
    <row r="11333" spans="1:19" x14ac:dyDescent="0.2">
      <c r="A11333" t="s">
        <v>11944</v>
      </c>
      <c r="B11333" t="s">
        <v>83</v>
      </c>
      <c r="C11333" t="s">
        <v>614</v>
      </c>
      <c r="D11333">
        <v>1812.02</v>
      </c>
      <c r="E11333" s="37" t="str">
        <f t="shared" si="885"/>
        <v xml:space="preserve"> </v>
      </c>
      <c r="F11333">
        <v>0.33</v>
      </c>
      <c r="G11333" s="37" t="str">
        <f t="shared" si="886"/>
        <v>Heavy Discount</v>
      </c>
      <c r="H11333" s="37" t="str">
        <f t="shared" si="887"/>
        <v>Medium</v>
      </c>
      <c r="I11333">
        <v>3</v>
      </c>
      <c r="J11333" t="str" cm="1">
        <f t="array" ref="J11333">_xlfn.IFS(I11333&lt;=3,"small",I11333&lt;=6,"Medium",I11333&lt;=9,"Large")</f>
        <v>small</v>
      </c>
      <c r="K11333" s="36">
        <v>45044</v>
      </c>
      <c r="L11333" s="36">
        <v>45050</v>
      </c>
      <c r="M11333" t="s">
        <v>612</v>
      </c>
      <c r="N11333" t="s">
        <v>604</v>
      </c>
      <c r="O11333" s="37" t="str">
        <f t="shared" si="888"/>
        <v>Digital Payment</v>
      </c>
      <c r="P11333">
        <v>468.68</v>
      </c>
      <c r="Q11333" s="37" t="str">
        <f>IF(P11333&gt;500,"High","low")</f>
        <v>low</v>
      </c>
      <c r="R11333" s="37" t="str">
        <f t="shared" si="889"/>
        <v>AVERAGE</v>
      </c>
      <c r="S11333" t="s">
        <v>609</v>
      </c>
    </row>
    <row r="11334" spans="1:19" x14ac:dyDescent="0.2">
      <c r="A11334" t="s">
        <v>11945</v>
      </c>
      <c r="B11334" t="s">
        <v>83</v>
      </c>
      <c r="C11334" t="s">
        <v>597</v>
      </c>
      <c r="D11334">
        <v>830.35</v>
      </c>
      <c r="E11334" s="37" t="str">
        <f t="shared" si="885"/>
        <v xml:space="preserve"> </v>
      </c>
      <c r="F11334">
        <v>0.3</v>
      </c>
      <c r="G11334" s="37" t="str">
        <f t="shared" si="886"/>
        <v>Normal Discount</v>
      </c>
      <c r="H11334" s="37" t="str">
        <f t="shared" si="887"/>
        <v>Medium</v>
      </c>
      <c r="I11334">
        <v>2</v>
      </c>
      <c r="J11334" t="str" cm="1">
        <f t="array" ref="J11334">_xlfn.IFS(I11334&lt;=3,"small",I11334&lt;=6,"Medium",I11334&lt;=9,"Large")</f>
        <v>small</v>
      </c>
      <c r="K11334" s="36">
        <v>45407</v>
      </c>
      <c r="L11334" s="36">
        <v>45413</v>
      </c>
      <c r="M11334" t="s">
        <v>603</v>
      </c>
      <c r="N11334" t="s">
        <v>599</v>
      </c>
      <c r="O11334" s="37" t="str">
        <f t="shared" si="888"/>
        <v>Digital Payment</v>
      </c>
      <c r="P11334">
        <v>116.15</v>
      </c>
      <c r="Q11334" s="37" t="str">
        <f>IF(P11334&gt;500,"High","low")</f>
        <v>low</v>
      </c>
      <c r="R11334" s="37" t="str">
        <f t="shared" si="889"/>
        <v>AVERAGE</v>
      </c>
      <c r="S11334" t="s">
        <v>605</v>
      </c>
    </row>
    <row r="11335" spans="1:19" x14ac:dyDescent="0.2">
      <c r="A11335" t="s">
        <v>11946</v>
      </c>
      <c r="B11335" t="s">
        <v>83</v>
      </c>
      <c r="C11335" t="s">
        <v>614</v>
      </c>
      <c r="D11335">
        <v>1951.23</v>
      </c>
      <c r="E11335" s="37" t="str">
        <f t="shared" si="885"/>
        <v xml:space="preserve"> </v>
      </c>
      <c r="F11335">
        <v>0.41</v>
      </c>
      <c r="G11335" s="37" t="str">
        <f t="shared" si="886"/>
        <v>Heavy Discount</v>
      </c>
      <c r="H11335" s="37" t="str">
        <f t="shared" si="887"/>
        <v>High</v>
      </c>
      <c r="I11335">
        <v>1</v>
      </c>
      <c r="J11335" t="str" cm="1">
        <f t="array" ref="J11335">_xlfn.IFS(I11335&lt;=3,"small",I11335&lt;=6,"Medium",I11335&lt;=9,"Large")</f>
        <v>small</v>
      </c>
      <c r="K11335" s="36">
        <v>44934</v>
      </c>
      <c r="L11335" s="36">
        <v>44939</v>
      </c>
      <c r="M11335" t="s">
        <v>598</v>
      </c>
      <c r="N11335" t="s">
        <v>604</v>
      </c>
      <c r="O11335" s="37" t="str">
        <f t="shared" si="888"/>
        <v>Digital Payment</v>
      </c>
      <c r="P11335">
        <v>356.71</v>
      </c>
      <c r="Q11335" s="37" t="str">
        <f>IF(P11335&gt;500,"High","low")</f>
        <v>low</v>
      </c>
      <c r="R11335" s="37" t="str">
        <f t="shared" si="889"/>
        <v>AVERAGE</v>
      </c>
      <c r="S11335" t="s">
        <v>609</v>
      </c>
    </row>
    <row r="11336" spans="1:19" x14ac:dyDescent="0.2">
      <c r="A11336" t="s">
        <v>11947</v>
      </c>
      <c r="B11336" t="s">
        <v>90</v>
      </c>
      <c r="C11336" t="s">
        <v>607</v>
      </c>
      <c r="D11336">
        <v>3214.64</v>
      </c>
      <c r="E11336" s="37" t="str">
        <f t="shared" si="885"/>
        <v xml:space="preserve"> </v>
      </c>
      <c r="F11336">
        <v>0.25</v>
      </c>
      <c r="G11336" s="37" t="str">
        <f t="shared" si="886"/>
        <v>Normal Discount</v>
      </c>
      <c r="H11336" s="37" t="str">
        <f t="shared" si="887"/>
        <v>Medium</v>
      </c>
      <c r="I11336">
        <v>5</v>
      </c>
      <c r="J11336" t="str" cm="1">
        <f t="array" ref="J11336">_xlfn.IFS(I11336&lt;=3,"small",I11336&lt;=6,"Medium",I11336&lt;=9,"Large")</f>
        <v>Medium</v>
      </c>
      <c r="K11336" s="36">
        <v>45032</v>
      </c>
      <c r="L11336" s="36">
        <v>45039</v>
      </c>
      <c r="M11336" t="s">
        <v>612</v>
      </c>
      <c r="N11336" t="s">
        <v>604</v>
      </c>
      <c r="O11336" s="37" t="str">
        <f t="shared" si="888"/>
        <v>Digital Payment</v>
      </c>
      <c r="P11336">
        <v>916.05</v>
      </c>
      <c r="Q11336" s="37" t="str">
        <f>IF(P11336&gt;500,"High","low")</f>
        <v>High</v>
      </c>
      <c r="R11336" s="37" t="str">
        <f t="shared" si="889"/>
        <v>Good</v>
      </c>
      <c r="S11336" t="s">
        <v>605</v>
      </c>
    </row>
    <row r="11337" spans="1:19" x14ac:dyDescent="0.2">
      <c r="A11337" t="s">
        <v>11948</v>
      </c>
      <c r="B11337" t="s">
        <v>83</v>
      </c>
      <c r="C11337" t="s">
        <v>597</v>
      </c>
      <c r="D11337">
        <v>2579.7800000000002</v>
      </c>
      <c r="E11337" s="37" t="str">
        <f t="shared" si="885"/>
        <v xml:space="preserve"> </v>
      </c>
      <c r="F11337">
        <v>0.16</v>
      </c>
      <c r="G11337" s="37" t="str">
        <f t="shared" si="886"/>
        <v>Normal Discount</v>
      </c>
      <c r="H11337" s="37" t="str">
        <f t="shared" si="887"/>
        <v>Low</v>
      </c>
      <c r="I11337">
        <v>6</v>
      </c>
      <c r="J11337" t="str" cm="1">
        <f t="array" ref="J11337">_xlfn.IFS(I11337&lt;=3,"small",I11337&lt;=6,"Medium",I11337&lt;=9,"Large")</f>
        <v>Medium</v>
      </c>
      <c r="K11337" s="36">
        <v>45218</v>
      </c>
      <c r="L11337" s="36">
        <v>45224</v>
      </c>
      <c r="M11337" t="s">
        <v>598</v>
      </c>
      <c r="N11337" t="s">
        <v>599</v>
      </c>
      <c r="O11337" s="37" t="str">
        <f t="shared" si="888"/>
        <v>Digital Payment</v>
      </c>
      <c r="P11337">
        <v>609.07000000000005</v>
      </c>
      <c r="Q11337" s="37" t="str">
        <f>IF(P11337&gt;500,"High","low")</f>
        <v>High</v>
      </c>
      <c r="R11337" s="37" t="str">
        <f t="shared" si="889"/>
        <v>Good</v>
      </c>
      <c r="S11337" t="s">
        <v>615</v>
      </c>
    </row>
    <row r="11338" spans="1:19" x14ac:dyDescent="0.2">
      <c r="A11338" t="s">
        <v>11949</v>
      </c>
      <c r="B11338" t="s">
        <v>67</v>
      </c>
      <c r="C11338" t="s">
        <v>614</v>
      </c>
      <c r="D11338">
        <v>4154.9399999999996</v>
      </c>
      <c r="E11338" s="37" t="str">
        <f t="shared" si="885"/>
        <v xml:space="preserve"> </v>
      </c>
      <c r="F11338">
        <v>0.01</v>
      </c>
      <c r="G11338" s="37" t="str">
        <f t="shared" si="886"/>
        <v>Normal Discount</v>
      </c>
      <c r="H11338" s="37" t="str">
        <f t="shared" si="887"/>
        <v>Low</v>
      </c>
      <c r="I11338">
        <v>8</v>
      </c>
      <c r="J11338" t="str" cm="1">
        <f t="array" ref="J11338">_xlfn.IFS(I11338&lt;=3,"small",I11338&lt;=6,"Medium",I11338&lt;=9,"Large")</f>
        <v>Large</v>
      </c>
      <c r="K11338" s="36">
        <v>45494</v>
      </c>
      <c r="L11338" s="36">
        <v>45496</v>
      </c>
      <c r="M11338" t="s">
        <v>603</v>
      </c>
      <c r="N11338" t="s">
        <v>604</v>
      </c>
      <c r="O11338" s="37" t="str">
        <f t="shared" si="888"/>
        <v>Digital Payment</v>
      </c>
      <c r="P11338">
        <v>614.03</v>
      </c>
      <c r="Q11338" s="37" t="str">
        <f>IF(P11338&gt;500,"High","low")</f>
        <v>High</v>
      </c>
      <c r="R11338" s="37" t="str">
        <f t="shared" si="889"/>
        <v>Good</v>
      </c>
      <c r="S11338" t="s">
        <v>605</v>
      </c>
    </row>
    <row r="11339" spans="1:19" x14ac:dyDescent="0.2">
      <c r="A11339" t="s">
        <v>11950</v>
      </c>
      <c r="B11339" t="s">
        <v>83</v>
      </c>
      <c r="C11339" t="s">
        <v>617</v>
      </c>
      <c r="D11339">
        <v>3242.37</v>
      </c>
      <c r="E11339" s="37" t="str">
        <f t="shared" si="885"/>
        <v xml:space="preserve"> </v>
      </c>
      <c r="F11339">
        <v>0.4</v>
      </c>
      <c r="G11339" s="37" t="str">
        <f t="shared" si="886"/>
        <v>Heavy Discount</v>
      </c>
      <c r="H11339" s="37" t="str">
        <f t="shared" si="887"/>
        <v>Medium</v>
      </c>
      <c r="I11339">
        <v>6</v>
      </c>
      <c r="J11339" t="str" cm="1">
        <f t="array" ref="J11339">_xlfn.IFS(I11339&lt;=3,"small",I11339&lt;=6,"Medium",I11339&lt;=9,"Large")</f>
        <v>Medium</v>
      </c>
      <c r="K11339" s="36">
        <v>45483</v>
      </c>
      <c r="L11339" s="36">
        <v>45485</v>
      </c>
      <c r="M11339" t="s">
        <v>598</v>
      </c>
      <c r="N11339" t="s">
        <v>604</v>
      </c>
      <c r="O11339" s="37" t="str">
        <f t="shared" si="888"/>
        <v>Digital Payment</v>
      </c>
      <c r="P11339">
        <v>279.39999999999998</v>
      </c>
      <c r="Q11339" s="37" t="str">
        <f>IF(P11339&gt;500,"High","low")</f>
        <v>low</v>
      </c>
      <c r="R11339" s="37" t="str">
        <f t="shared" si="889"/>
        <v>AVERAGE</v>
      </c>
      <c r="S11339" t="s">
        <v>628</v>
      </c>
    </row>
    <row r="11340" spans="1:19" x14ac:dyDescent="0.2">
      <c r="A11340" t="s">
        <v>11951</v>
      </c>
      <c r="B11340" t="s">
        <v>75</v>
      </c>
      <c r="C11340" t="s">
        <v>607</v>
      </c>
      <c r="D11340">
        <v>1391.37</v>
      </c>
      <c r="E11340" s="37" t="str">
        <f t="shared" si="885"/>
        <v xml:space="preserve"> </v>
      </c>
      <c r="F11340">
        <v>0.27</v>
      </c>
      <c r="G11340" s="37" t="str">
        <f t="shared" si="886"/>
        <v>Normal Discount</v>
      </c>
      <c r="H11340" s="37" t="str">
        <f t="shared" si="887"/>
        <v>Medium</v>
      </c>
      <c r="I11340">
        <v>2</v>
      </c>
      <c r="J11340" t="str" cm="1">
        <f t="array" ref="J11340">_xlfn.IFS(I11340&lt;=3,"small",I11340&lt;=6,"Medium",I11340&lt;=9,"Large")</f>
        <v>small</v>
      </c>
      <c r="K11340" s="36">
        <v>45458</v>
      </c>
      <c r="L11340" s="36">
        <v>45461</v>
      </c>
      <c r="M11340" t="s">
        <v>603</v>
      </c>
      <c r="N11340" t="s">
        <v>604</v>
      </c>
      <c r="O11340" s="37" t="str">
        <f t="shared" si="888"/>
        <v>Digital Payment</v>
      </c>
      <c r="P11340">
        <v>164.29</v>
      </c>
      <c r="Q11340" s="37" t="str">
        <f>IF(P11340&gt;500,"High","low")</f>
        <v>low</v>
      </c>
      <c r="R11340" s="37" t="str">
        <f t="shared" si="889"/>
        <v>AVERAGE</v>
      </c>
      <c r="S11340" t="s">
        <v>615</v>
      </c>
    </row>
    <row r="11341" spans="1:19" x14ac:dyDescent="0.2">
      <c r="A11341" t="s">
        <v>11952</v>
      </c>
      <c r="B11341" t="s">
        <v>67</v>
      </c>
      <c r="C11341" t="s">
        <v>607</v>
      </c>
      <c r="D11341">
        <v>2831.45</v>
      </c>
      <c r="E11341" s="37" t="str">
        <f t="shared" si="885"/>
        <v xml:space="preserve"> </v>
      </c>
      <c r="F11341">
        <v>0.27</v>
      </c>
      <c r="G11341" s="37" t="str">
        <f t="shared" si="886"/>
        <v>Normal Discount</v>
      </c>
      <c r="H11341" s="37" t="str">
        <f t="shared" si="887"/>
        <v>Medium</v>
      </c>
      <c r="I11341">
        <v>8</v>
      </c>
      <c r="J11341" t="str" cm="1">
        <f t="array" ref="J11341">_xlfn.IFS(I11341&lt;=3,"small",I11341&lt;=6,"Medium",I11341&lt;=9,"Large")</f>
        <v>Large</v>
      </c>
      <c r="K11341" s="36">
        <v>45109</v>
      </c>
      <c r="L11341" s="36">
        <v>45116</v>
      </c>
      <c r="M11341" t="s">
        <v>612</v>
      </c>
      <c r="N11341" t="s">
        <v>608</v>
      </c>
      <c r="O11341" s="37" t="str">
        <f t="shared" si="888"/>
        <v>Cash Payment</v>
      </c>
      <c r="P11341">
        <v>533.19000000000005</v>
      </c>
      <c r="Q11341" s="37" t="str">
        <f>IF(P11341&gt;500,"High","low")</f>
        <v>High</v>
      </c>
      <c r="R11341" s="37" t="str">
        <f t="shared" si="889"/>
        <v>Good</v>
      </c>
      <c r="S11341" t="s">
        <v>615</v>
      </c>
    </row>
    <row r="11342" spans="1:19" x14ac:dyDescent="0.2">
      <c r="A11342" t="s">
        <v>11953</v>
      </c>
      <c r="B11342" t="s">
        <v>90</v>
      </c>
      <c r="C11342" t="s">
        <v>602</v>
      </c>
      <c r="D11342">
        <v>414.54</v>
      </c>
      <c r="E11342" s="37" t="str">
        <f t="shared" si="885"/>
        <v xml:space="preserve"> </v>
      </c>
      <c r="F11342">
        <v>0.48</v>
      </c>
      <c r="G11342" s="37" t="str">
        <f t="shared" si="886"/>
        <v>Heavy Discount</v>
      </c>
      <c r="H11342" s="37" t="str">
        <f t="shared" si="887"/>
        <v>High</v>
      </c>
      <c r="I11342">
        <v>5</v>
      </c>
      <c r="J11342" t="str" cm="1">
        <f t="array" ref="J11342">_xlfn.IFS(I11342&lt;=3,"small",I11342&lt;=6,"Medium",I11342&lt;=9,"Large")</f>
        <v>Medium</v>
      </c>
      <c r="K11342" s="36">
        <v>45540</v>
      </c>
      <c r="L11342" s="36">
        <v>45541</v>
      </c>
      <c r="M11342" t="s">
        <v>598</v>
      </c>
      <c r="N11342" t="s">
        <v>608</v>
      </c>
      <c r="O11342" s="37" t="str">
        <f t="shared" si="888"/>
        <v>Cash Payment</v>
      </c>
      <c r="P11342">
        <v>37.979999999999997</v>
      </c>
      <c r="Q11342" s="37" t="str">
        <f>IF(P11342&gt;500,"High","low")</f>
        <v>low</v>
      </c>
      <c r="R11342" s="37" t="str">
        <f t="shared" si="889"/>
        <v>AVERAGE</v>
      </c>
      <c r="S11342" t="s">
        <v>628</v>
      </c>
    </row>
    <row r="11343" spans="1:19" x14ac:dyDescent="0.2">
      <c r="A11343" t="s">
        <v>11954</v>
      </c>
      <c r="B11343" t="s">
        <v>67</v>
      </c>
      <c r="C11343" t="s">
        <v>607</v>
      </c>
      <c r="D11343">
        <v>2945.87</v>
      </c>
      <c r="E11343" s="37" t="str">
        <f t="shared" si="885"/>
        <v xml:space="preserve"> </v>
      </c>
      <c r="F11343">
        <v>0.24</v>
      </c>
      <c r="G11343" s="37" t="str">
        <f t="shared" si="886"/>
        <v>Normal Discount</v>
      </c>
      <c r="H11343" s="37" t="str">
        <f t="shared" si="887"/>
        <v>Medium</v>
      </c>
      <c r="I11343">
        <v>3</v>
      </c>
      <c r="J11343" t="str" cm="1">
        <f t="array" ref="J11343">_xlfn.IFS(I11343&lt;=3,"small",I11343&lt;=6,"Medium",I11343&lt;=9,"Large")</f>
        <v>small</v>
      </c>
      <c r="K11343" s="36">
        <v>45274</v>
      </c>
      <c r="L11343" s="36">
        <v>45281</v>
      </c>
      <c r="M11343" t="s">
        <v>598</v>
      </c>
      <c r="N11343" t="s">
        <v>604</v>
      </c>
      <c r="O11343" s="37" t="str">
        <f t="shared" si="888"/>
        <v>Digital Payment</v>
      </c>
      <c r="P11343">
        <v>409.71</v>
      </c>
      <c r="Q11343" s="37" t="str">
        <f>IF(P11343&gt;500,"High","low")</f>
        <v>low</v>
      </c>
      <c r="R11343" s="37" t="str">
        <f t="shared" si="889"/>
        <v>AVERAGE</v>
      </c>
      <c r="S11343" t="s">
        <v>620</v>
      </c>
    </row>
    <row r="11344" spans="1:19" x14ac:dyDescent="0.2">
      <c r="A11344" t="s">
        <v>11955</v>
      </c>
      <c r="B11344" t="s">
        <v>67</v>
      </c>
      <c r="C11344" t="s">
        <v>617</v>
      </c>
      <c r="D11344">
        <v>2009.35</v>
      </c>
      <c r="E11344" s="37" t="str">
        <f t="shared" si="885"/>
        <v xml:space="preserve"> </v>
      </c>
      <c r="F11344">
        <v>0.16</v>
      </c>
      <c r="G11344" s="37" t="str">
        <f t="shared" si="886"/>
        <v>Normal Discount</v>
      </c>
      <c r="H11344" s="37" t="str">
        <f t="shared" si="887"/>
        <v>Low</v>
      </c>
      <c r="I11344">
        <v>6</v>
      </c>
      <c r="J11344" t="str" cm="1">
        <f t="array" ref="J11344">_xlfn.IFS(I11344&lt;=3,"small",I11344&lt;=6,"Medium",I11344&lt;=9,"Large")</f>
        <v>Medium</v>
      </c>
      <c r="K11344" s="36">
        <v>45214</v>
      </c>
      <c r="L11344" s="36">
        <v>45219</v>
      </c>
      <c r="M11344" t="s">
        <v>603</v>
      </c>
      <c r="N11344" t="s">
        <v>604</v>
      </c>
      <c r="O11344" s="37" t="str">
        <f t="shared" si="888"/>
        <v>Digital Payment</v>
      </c>
      <c r="P11344">
        <v>428.56</v>
      </c>
      <c r="Q11344" s="37" t="str">
        <f>IF(P11344&gt;500,"High","low")</f>
        <v>low</v>
      </c>
      <c r="R11344" s="37" t="str">
        <f t="shared" si="889"/>
        <v>AVERAGE</v>
      </c>
      <c r="S11344" t="s">
        <v>600</v>
      </c>
    </row>
    <row r="11345" spans="1:19" x14ac:dyDescent="0.2">
      <c r="A11345" t="s">
        <v>11956</v>
      </c>
      <c r="B11345" t="s">
        <v>67</v>
      </c>
      <c r="C11345" t="s">
        <v>607</v>
      </c>
      <c r="D11345">
        <v>582.15</v>
      </c>
      <c r="E11345" s="37" t="str">
        <f t="shared" si="885"/>
        <v xml:space="preserve"> </v>
      </c>
      <c r="F11345">
        <v>0.17</v>
      </c>
      <c r="G11345" s="37" t="str">
        <f t="shared" si="886"/>
        <v>Normal Discount</v>
      </c>
      <c r="H11345" s="37" t="str">
        <f t="shared" si="887"/>
        <v>Low</v>
      </c>
      <c r="I11345">
        <v>6</v>
      </c>
      <c r="J11345" t="str" cm="1">
        <f t="array" ref="J11345">_xlfn.IFS(I11345&lt;=3,"small",I11345&lt;=6,"Medium",I11345&lt;=9,"Large")</f>
        <v>Medium</v>
      </c>
      <c r="K11345" s="36">
        <v>45130</v>
      </c>
      <c r="L11345" s="36">
        <v>45132</v>
      </c>
      <c r="M11345" t="s">
        <v>612</v>
      </c>
      <c r="N11345" t="s">
        <v>604</v>
      </c>
      <c r="O11345" s="37" t="str">
        <f t="shared" si="888"/>
        <v>Digital Payment</v>
      </c>
      <c r="P11345">
        <v>164.68</v>
      </c>
      <c r="Q11345" s="37" t="str">
        <f>IF(P11345&gt;500,"High","low")</f>
        <v>low</v>
      </c>
      <c r="R11345" s="37" t="str">
        <f t="shared" si="889"/>
        <v>AVERAGE</v>
      </c>
      <c r="S11345" t="s">
        <v>620</v>
      </c>
    </row>
    <row r="11346" spans="1:19" x14ac:dyDescent="0.2">
      <c r="A11346" t="s">
        <v>11957</v>
      </c>
      <c r="B11346" t="s">
        <v>75</v>
      </c>
      <c r="C11346" t="s">
        <v>602</v>
      </c>
      <c r="D11346">
        <v>1606.57</v>
      </c>
      <c r="E11346" s="37" t="str">
        <f t="shared" si="885"/>
        <v xml:space="preserve"> </v>
      </c>
      <c r="F11346">
        <v>0.01</v>
      </c>
      <c r="G11346" s="37" t="str">
        <f t="shared" si="886"/>
        <v>Normal Discount</v>
      </c>
      <c r="H11346" s="37" t="str">
        <f t="shared" si="887"/>
        <v>Low</v>
      </c>
      <c r="I11346">
        <v>3</v>
      </c>
      <c r="J11346" t="str" cm="1">
        <f t="array" ref="J11346">_xlfn.IFS(I11346&lt;=3,"small",I11346&lt;=6,"Medium",I11346&lt;=9,"Large")</f>
        <v>small</v>
      </c>
      <c r="K11346" s="36">
        <v>45639</v>
      </c>
      <c r="L11346" s="36">
        <v>45640</v>
      </c>
      <c r="M11346" t="s">
        <v>603</v>
      </c>
      <c r="N11346" t="s">
        <v>599</v>
      </c>
      <c r="O11346" s="37" t="str">
        <f t="shared" si="888"/>
        <v>Digital Payment</v>
      </c>
      <c r="P11346">
        <v>170.69</v>
      </c>
      <c r="Q11346" s="37" t="str">
        <f>IF(P11346&gt;500,"High","low")</f>
        <v>low</v>
      </c>
      <c r="R11346" s="37" t="str">
        <f t="shared" si="889"/>
        <v>AVERAGE</v>
      </c>
      <c r="S11346" t="s">
        <v>628</v>
      </c>
    </row>
    <row r="11347" spans="1:19" x14ac:dyDescent="0.2">
      <c r="A11347" t="s">
        <v>11958</v>
      </c>
      <c r="B11347" t="s">
        <v>75</v>
      </c>
      <c r="C11347" t="s">
        <v>607</v>
      </c>
      <c r="D11347">
        <v>4500.63</v>
      </c>
      <c r="E11347" s="37" t="str">
        <f t="shared" si="885"/>
        <v xml:space="preserve"> </v>
      </c>
      <c r="F11347">
        <v>0.06</v>
      </c>
      <c r="G11347" s="37" t="str">
        <f t="shared" si="886"/>
        <v>Normal Discount</v>
      </c>
      <c r="H11347" s="37" t="str">
        <f t="shared" si="887"/>
        <v>Low</v>
      </c>
      <c r="I11347">
        <v>7</v>
      </c>
      <c r="J11347" t="str" cm="1">
        <f t="array" ref="J11347">_xlfn.IFS(I11347&lt;=3,"small",I11347&lt;=6,"Medium",I11347&lt;=9,"Large")</f>
        <v>Large</v>
      </c>
      <c r="K11347" s="36">
        <v>44969</v>
      </c>
      <c r="L11347" s="36">
        <v>44974</v>
      </c>
      <c r="M11347" t="s">
        <v>598</v>
      </c>
      <c r="N11347" t="s">
        <v>608</v>
      </c>
      <c r="O11347" s="37" t="str">
        <f t="shared" si="888"/>
        <v>Cash Payment</v>
      </c>
      <c r="P11347">
        <v>510.91</v>
      </c>
      <c r="Q11347" s="37" t="str">
        <f>IF(P11347&gt;500,"High","low")</f>
        <v>High</v>
      </c>
      <c r="R11347" s="37" t="str">
        <f t="shared" si="889"/>
        <v>Good</v>
      </c>
      <c r="S11347" t="s">
        <v>620</v>
      </c>
    </row>
    <row r="11348" spans="1:19" x14ac:dyDescent="0.2">
      <c r="A11348" t="s">
        <v>11959</v>
      </c>
      <c r="B11348" t="s">
        <v>75</v>
      </c>
      <c r="C11348" t="s">
        <v>607</v>
      </c>
      <c r="D11348">
        <v>2971.59</v>
      </c>
      <c r="E11348" s="37" t="str">
        <f t="shared" si="885"/>
        <v xml:space="preserve"> </v>
      </c>
      <c r="F11348">
        <v>0.02</v>
      </c>
      <c r="G11348" s="37" t="str">
        <f t="shared" si="886"/>
        <v>Normal Discount</v>
      </c>
      <c r="H11348" s="37" t="str">
        <f t="shared" si="887"/>
        <v>Low</v>
      </c>
      <c r="I11348">
        <v>7</v>
      </c>
      <c r="J11348" t="str" cm="1">
        <f t="array" ref="J11348">_xlfn.IFS(I11348&lt;=3,"small",I11348&lt;=6,"Medium",I11348&lt;=9,"Large")</f>
        <v>Large</v>
      </c>
      <c r="K11348" s="36">
        <v>45261</v>
      </c>
      <c r="L11348" s="36">
        <v>45264</v>
      </c>
      <c r="M11348" t="s">
        <v>603</v>
      </c>
      <c r="N11348" t="s">
        <v>604</v>
      </c>
      <c r="O11348" s="37" t="str">
        <f t="shared" si="888"/>
        <v>Digital Payment</v>
      </c>
      <c r="P11348">
        <v>657.8</v>
      </c>
      <c r="Q11348" s="37" t="str">
        <f>IF(P11348&gt;500,"High","low")</f>
        <v>High</v>
      </c>
      <c r="R11348" s="37" t="str">
        <f t="shared" si="889"/>
        <v>Good</v>
      </c>
      <c r="S11348" t="s">
        <v>628</v>
      </c>
    </row>
    <row r="11349" spans="1:19" x14ac:dyDescent="0.2">
      <c r="A11349" t="s">
        <v>11960</v>
      </c>
      <c r="B11349" t="s">
        <v>90</v>
      </c>
      <c r="C11349" t="s">
        <v>602</v>
      </c>
      <c r="D11349">
        <v>4526</v>
      </c>
      <c r="E11349" s="37" t="str">
        <f t="shared" si="885"/>
        <v xml:space="preserve"> </v>
      </c>
      <c r="F11349">
        <v>0.12</v>
      </c>
      <c r="G11349" s="37" t="str">
        <f t="shared" si="886"/>
        <v>Normal Discount</v>
      </c>
      <c r="H11349" s="37" t="str">
        <f t="shared" si="887"/>
        <v>Low</v>
      </c>
      <c r="I11349">
        <v>7</v>
      </c>
      <c r="J11349" t="str" cm="1">
        <f t="array" ref="J11349">_xlfn.IFS(I11349&lt;=3,"small",I11349&lt;=6,"Medium",I11349&lt;=9,"Large")</f>
        <v>Large</v>
      </c>
      <c r="K11349" s="36">
        <v>45323</v>
      </c>
      <c r="L11349" s="36">
        <v>45329</v>
      </c>
      <c r="M11349" t="s">
        <v>603</v>
      </c>
      <c r="N11349" t="s">
        <v>599</v>
      </c>
      <c r="O11349" s="37" t="str">
        <f t="shared" si="888"/>
        <v>Digital Payment</v>
      </c>
      <c r="P11349">
        <v>362.55</v>
      </c>
      <c r="Q11349" s="37" t="str">
        <f>IF(P11349&gt;500,"High","low")</f>
        <v>low</v>
      </c>
      <c r="R11349" s="37" t="str">
        <f t="shared" si="889"/>
        <v>AVERAGE</v>
      </c>
      <c r="S11349" t="s">
        <v>620</v>
      </c>
    </row>
    <row r="11350" spans="1:19" x14ac:dyDescent="0.2">
      <c r="A11350" t="s">
        <v>11961</v>
      </c>
      <c r="B11350" t="s">
        <v>75</v>
      </c>
      <c r="C11350" t="s">
        <v>607</v>
      </c>
      <c r="D11350">
        <v>2112.94</v>
      </c>
      <c r="E11350" s="37" t="str">
        <f t="shared" si="885"/>
        <v xml:space="preserve"> </v>
      </c>
      <c r="F11350">
        <v>0.03</v>
      </c>
      <c r="G11350" s="37" t="str">
        <f t="shared" si="886"/>
        <v>Normal Discount</v>
      </c>
      <c r="H11350" s="37" t="str">
        <f t="shared" si="887"/>
        <v>Low</v>
      </c>
      <c r="I11350">
        <v>8</v>
      </c>
      <c r="J11350" t="str" cm="1">
        <f t="array" ref="J11350">_xlfn.IFS(I11350&lt;=3,"small",I11350&lt;=6,"Medium",I11350&lt;=9,"Large")</f>
        <v>Large</v>
      </c>
      <c r="K11350" s="36">
        <v>44928</v>
      </c>
      <c r="L11350" s="36">
        <v>44933</v>
      </c>
      <c r="M11350" t="s">
        <v>612</v>
      </c>
      <c r="N11350" t="s">
        <v>599</v>
      </c>
      <c r="O11350" s="37" t="str">
        <f t="shared" si="888"/>
        <v>Digital Payment</v>
      </c>
      <c r="P11350">
        <v>192.82</v>
      </c>
      <c r="Q11350" s="37" t="str">
        <f>IF(P11350&gt;500,"High","low")</f>
        <v>low</v>
      </c>
      <c r="R11350" s="37" t="str">
        <f t="shared" si="889"/>
        <v>AVERAGE</v>
      </c>
      <c r="S11350" t="s">
        <v>620</v>
      </c>
    </row>
    <row r="11351" spans="1:19" x14ac:dyDescent="0.2">
      <c r="A11351" t="s">
        <v>11962</v>
      </c>
      <c r="B11351" t="s">
        <v>75</v>
      </c>
      <c r="C11351" t="s">
        <v>597</v>
      </c>
      <c r="D11351">
        <v>4896.6499999999996</v>
      </c>
      <c r="E11351" s="37" t="str">
        <f t="shared" si="885"/>
        <v xml:space="preserve"> </v>
      </c>
      <c r="F11351">
        <v>0.17</v>
      </c>
      <c r="G11351" s="37" t="str">
        <f t="shared" si="886"/>
        <v>Normal Discount</v>
      </c>
      <c r="H11351" s="37" t="str">
        <f t="shared" si="887"/>
        <v>Low</v>
      </c>
      <c r="I11351">
        <v>7</v>
      </c>
      <c r="J11351" t="str" cm="1">
        <f t="array" ref="J11351">_xlfn.IFS(I11351&lt;=3,"small",I11351&lt;=6,"Medium",I11351&lt;=9,"Large")</f>
        <v>Large</v>
      </c>
      <c r="K11351" s="36">
        <v>45138</v>
      </c>
      <c r="L11351" s="36">
        <v>45144</v>
      </c>
      <c r="M11351" t="s">
        <v>598</v>
      </c>
      <c r="N11351" t="s">
        <v>604</v>
      </c>
      <c r="O11351" s="37" t="str">
        <f t="shared" si="888"/>
        <v>Digital Payment</v>
      </c>
      <c r="P11351">
        <v>458.66</v>
      </c>
      <c r="Q11351" s="37" t="str">
        <f>IF(P11351&gt;500,"High","low")</f>
        <v>low</v>
      </c>
      <c r="R11351" s="37" t="str">
        <f t="shared" si="889"/>
        <v>AVERAGE</v>
      </c>
      <c r="S11351" t="s">
        <v>609</v>
      </c>
    </row>
    <row r="11352" spans="1:19" x14ac:dyDescent="0.2">
      <c r="A11352" t="s">
        <v>11963</v>
      </c>
      <c r="B11352" t="s">
        <v>67</v>
      </c>
      <c r="C11352" t="s">
        <v>607</v>
      </c>
      <c r="D11352">
        <v>1864.09</v>
      </c>
      <c r="E11352" s="37" t="str">
        <f t="shared" si="885"/>
        <v xml:space="preserve"> </v>
      </c>
      <c r="F11352">
        <v>0.06</v>
      </c>
      <c r="G11352" s="37" t="str">
        <f t="shared" si="886"/>
        <v>Normal Discount</v>
      </c>
      <c r="H11352" s="37" t="str">
        <f t="shared" si="887"/>
        <v>Low</v>
      </c>
      <c r="I11352">
        <v>4</v>
      </c>
      <c r="J11352" t="str" cm="1">
        <f t="array" ref="J11352">_xlfn.IFS(I11352&lt;=3,"small",I11352&lt;=6,"Medium",I11352&lt;=9,"Large")</f>
        <v>Medium</v>
      </c>
      <c r="K11352" s="36">
        <v>45608</v>
      </c>
      <c r="L11352" s="36">
        <v>45612</v>
      </c>
      <c r="M11352" t="s">
        <v>603</v>
      </c>
      <c r="N11352" t="s">
        <v>608</v>
      </c>
      <c r="O11352" s="37" t="str">
        <f t="shared" si="888"/>
        <v>Cash Payment</v>
      </c>
      <c r="P11352">
        <v>396.44</v>
      </c>
      <c r="Q11352" s="37" t="str">
        <f>IF(P11352&gt;500,"High","low")</f>
        <v>low</v>
      </c>
      <c r="R11352" s="37" t="str">
        <f t="shared" si="889"/>
        <v>AVERAGE</v>
      </c>
      <c r="S11352" t="s">
        <v>600</v>
      </c>
    </row>
    <row r="11353" spans="1:19" x14ac:dyDescent="0.2">
      <c r="A11353" t="s">
        <v>11964</v>
      </c>
      <c r="B11353" t="s">
        <v>75</v>
      </c>
      <c r="C11353" t="s">
        <v>614</v>
      </c>
      <c r="D11353">
        <v>3808.34</v>
      </c>
      <c r="E11353" s="37" t="str">
        <f t="shared" si="885"/>
        <v xml:space="preserve"> </v>
      </c>
      <c r="F11353">
        <v>0.46</v>
      </c>
      <c r="G11353" s="37" t="str">
        <f t="shared" si="886"/>
        <v>Heavy Discount</v>
      </c>
      <c r="H11353" s="37" t="str">
        <f t="shared" si="887"/>
        <v>High</v>
      </c>
      <c r="I11353">
        <v>5</v>
      </c>
      <c r="J11353" t="str" cm="1">
        <f t="array" ref="J11353">_xlfn.IFS(I11353&lt;=3,"small",I11353&lt;=6,"Medium",I11353&lt;=9,"Large")</f>
        <v>Medium</v>
      </c>
      <c r="K11353" s="36">
        <v>45069</v>
      </c>
      <c r="L11353" s="36">
        <v>45075</v>
      </c>
      <c r="M11353" t="s">
        <v>612</v>
      </c>
      <c r="N11353" t="s">
        <v>599</v>
      </c>
      <c r="O11353" s="37" t="str">
        <f t="shared" si="888"/>
        <v>Digital Payment</v>
      </c>
      <c r="P11353">
        <v>634.96</v>
      </c>
      <c r="Q11353" s="37" t="str">
        <f>IF(P11353&gt;500,"High","low")</f>
        <v>High</v>
      </c>
      <c r="R11353" s="37" t="str">
        <f t="shared" si="889"/>
        <v>Good</v>
      </c>
      <c r="S11353" t="s">
        <v>605</v>
      </c>
    </row>
    <row r="11354" spans="1:19" x14ac:dyDescent="0.2">
      <c r="A11354" t="s">
        <v>11965</v>
      </c>
      <c r="B11354" t="s">
        <v>83</v>
      </c>
      <c r="C11354" t="s">
        <v>614</v>
      </c>
      <c r="D11354">
        <v>1596.48</v>
      </c>
      <c r="E11354" s="37" t="str">
        <f t="shared" si="885"/>
        <v xml:space="preserve"> </v>
      </c>
      <c r="F11354">
        <v>0.47</v>
      </c>
      <c r="G11354" s="37" t="str">
        <f t="shared" si="886"/>
        <v>Heavy Discount</v>
      </c>
      <c r="H11354" s="37" t="str">
        <f t="shared" si="887"/>
        <v>High</v>
      </c>
      <c r="I11354">
        <v>4</v>
      </c>
      <c r="J11354" t="str" cm="1">
        <f t="array" ref="J11354">_xlfn.IFS(I11354&lt;=3,"small",I11354&lt;=6,"Medium",I11354&lt;=9,"Large")</f>
        <v>Medium</v>
      </c>
      <c r="K11354" s="36">
        <v>45019</v>
      </c>
      <c r="L11354" s="36">
        <v>45022</v>
      </c>
      <c r="M11354" t="s">
        <v>598</v>
      </c>
      <c r="N11354" t="s">
        <v>604</v>
      </c>
      <c r="O11354" s="37" t="str">
        <f t="shared" si="888"/>
        <v>Digital Payment</v>
      </c>
      <c r="P11354">
        <v>128.66999999999999</v>
      </c>
      <c r="Q11354" s="37" t="str">
        <f>IF(P11354&gt;500,"High","low")</f>
        <v>low</v>
      </c>
      <c r="R11354" s="37" t="str">
        <f t="shared" si="889"/>
        <v>AVERAGE</v>
      </c>
      <c r="S11354" t="s">
        <v>605</v>
      </c>
    </row>
    <row r="11355" spans="1:19" x14ac:dyDescent="0.2">
      <c r="A11355" t="s">
        <v>11966</v>
      </c>
      <c r="B11355" t="s">
        <v>75</v>
      </c>
      <c r="C11355" t="s">
        <v>597</v>
      </c>
      <c r="D11355">
        <v>619.35</v>
      </c>
      <c r="E11355" s="37" t="str">
        <f t="shared" si="885"/>
        <v xml:space="preserve"> </v>
      </c>
      <c r="F11355">
        <v>0.3</v>
      </c>
      <c r="G11355" s="37" t="str">
        <f t="shared" si="886"/>
        <v>Normal Discount</v>
      </c>
      <c r="H11355" s="37" t="str">
        <f t="shared" si="887"/>
        <v>Medium</v>
      </c>
      <c r="I11355">
        <v>2</v>
      </c>
      <c r="J11355" t="str" cm="1">
        <f t="array" ref="J11355">_xlfn.IFS(I11355&lt;=3,"small",I11355&lt;=6,"Medium",I11355&lt;=9,"Large")</f>
        <v>small</v>
      </c>
      <c r="K11355" s="36">
        <v>45048</v>
      </c>
      <c r="L11355" s="36">
        <v>45050</v>
      </c>
      <c r="M11355" t="s">
        <v>612</v>
      </c>
      <c r="N11355" t="s">
        <v>604</v>
      </c>
      <c r="O11355" s="37" t="str">
        <f t="shared" si="888"/>
        <v>Digital Payment</v>
      </c>
      <c r="P11355">
        <v>73.239999999999995</v>
      </c>
      <c r="Q11355" s="37" t="str">
        <f>IF(P11355&gt;500,"High","low")</f>
        <v>low</v>
      </c>
      <c r="R11355" s="37" t="str">
        <f t="shared" si="889"/>
        <v>AVERAGE</v>
      </c>
      <c r="S11355" t="s">
        <v>615</v>
      </c>
    </row>
    <row r="11356" spans="1:19" x14ac:dyDescent="0.2">
      <c r="A11356" t="s">
        <v>11967</v>
      </c>
      <c r="B11356" t="s">
        <v>90</v>
      </c>
      <c r="C11356" t="s">
        <v>607</v>
      </c>
      <c r="D11356">
        <v>4181.9799999999996</v>
      </c>
      <c r="E11356" s="37" t="str">
        <f t="shared" si="885"/>
        <v xml:space="preserve"> </v>
      </c>
      <c r="F11356">
        <v>0.4</v>
      </c>
      <c r="G11356" s="37" t="str">
        <f t="shared" si="886"/>
        <v>Heavy Discount</v>
      </c>
      <c r="H11356" s="37" t="str">
        <f t="shared" si="887"/>
        <v>Medium</v>
      </c>
      <c r="I11356">
        <v>7</v>
      </c>
      <c r="J11356" t="str" cm="1">
        <f t="array" ref="J11356">_xlfn.IFS(I11356&lt;=3,"small",I11356&lt;=6,"Medium",I11356&lt;=9,"Large")</f>
        <v>Large</v>
      </c>
      <c r="K11356" s="36">
        <v>45651</v>
      </c>
      <c r="L11356" s="36">
        <v>45655</v>
      </c>
      <c r="M11356" t="s">
        <v>612</v>
      </c>
      <c r="N11356" t="s">
        <v>608</v>
      </c>
      <c r="O11356" s="37" t="str">
        <f t="shared" si="888"/>
        <v>Cash Payment</v>
      </c>
      <c r="P11356">
        <v>690.95</v>
      </c>
      <c r="Q11356" s="37" t="str">
        <f>IF(P11356&gt;500,"High","low")</f>
        <v>High</v>
      </c>
      <c r="R11356" s="37" t="str">
        <f t="shared" si="889"/>
        <v>Good</v>
      </c>
      <c r="S11356" t="s">
        <v>609</v>
      </c>
    </row>
    <row r="11357" spans="1:19" x14ac:dyDescent="0.2">
      <c r="A11357" t="s">
        <v>11968</v>
      </c>
      <c r="B11357" t="s">
        <v>90</v>
      </c>
      <c r="C11357" t="s">
        <v>617</v>
      </c>
      <c r="D11357">
        <v>3836.65</v>
      </c>
      <c r="E11357" s="37" t="str">
        <f t="shared" si="885"/>
        <v xml:space="preserve"> </v>
      </c>
      <c r="F11357">
        <v>0.34</v>
      </c>
      <c r="G11357" s="37" t="str">
        <f t="shared" si="886"/>
        <v>Heavy Discount</v>
      </c>
      <c r="H11357" s="37" t="str">
        <f t="shared" si="887"/>
        <v>Medium</v>
      </c>
      <c r="I11357">
        <v>3</v>
      </c>
      <c r="J11357" t="str" cm="1">
        <f t="array" ref="J11357">_xlfn.IFS(I11357&lt;=3,"small",I11357&lt;=6,"Medium",I11357&lt;=9,"Large")</f>
        <v>small</v>
      </c>
      <c r="K11357" s="36">
        <v>45320</v>
      </c>
      <c r="L11357" s="36">
        <v>45321</v>
      </c>
      <c r="M11357" t="s">
        <v>612</v>
      </c>
      <c r="N11357" t="s">
        <v>608</v>
      </c>
      <c r="O11357" s="37" t="str">
        <f t="shared" si="888"/>
        <v>Cash Payment</v>
      </c>
      <c r="P11357">
        <v>488.67</v>
      </c>
      <c r="Q11357" s="37" t="str">
        <f>IF(P11357&gt;500,"High","low")</f>
        <v>low</v>
      </c>
      <c r="R11357" s="37" t="str">
        <f t="shared" si="889"/>
        <v>AVERAGE</v>
      </c>
      <c r="S11357" t="s">
        <v>628</v>
      </c>
    </row>
    <row r="11358" spans="1:19" x14ac:dyDescent="0.2">
      <c r="A11358" t="s">
        <v>11969</v>
      </c>
      <c r="B11358" t="s">
        <v>83</v>
      </c>
      <c r="C11358" t="s">
        <v>607</v>
      </c>
      <c r="D11358">
        <v>4121.08</v>
      </c>
      <c r="E11358" s="37" t="str">
        <f t="shared" si="885"/>
        <v xml:space="preserve"> </v>
      </c>
      <c r="F11358">
        <v>0.41</v>
      </c>
      <c r="G11358" s="37" t="str">
        <f t="shared" si="886"/>
        <v>Heavy Discount</v>
      </c>
      <c r="H11358" s="37" t="str">
        <f t="shared" si="887"/>
        <v>High</v>
      </c>
      <c r="I11358">
        <v>1</v>
      </c>
      <c r="J11358" t="str" cm="1">
        <f t="array" ref="J11358">_xlfn.IFS(I11358&lt;=3,"small",I11358&lt;=6,"Medium",I11358&lt;=9,"Large")</f>
        <v>small</v>
      </c>
      <c r="K11358" s="36">
        <v>45366</v>
      </c>
      <c r="L11358" s="36">
        <v>45368</v>
      </c>
      <c r="M11358" t="s">
        <v>598</v>
      </c>
      <c r="N11358" t="s">
        <v>604</v>
      </c>
      <c r="O11358" s="37" t="str">
        <f t="shared" si="888"/>
        <v>Digital Payment</v>
      </c>
      <c r="P11358">
        <v>635.05999999999995</v>
      </c>
      <c r="Q11358" s="37" t="str">
        <f>IF(P11358&gt;500,"High","low")</f>
        <v>High</v>
      </c>
      <c r="R11358" s="37" t="str">
        <f t="shared" si="889"/>
        <v>Good</v>
      </c>
      <c r="S11358" t="s">
        <v>628</v>
      </c>
    </row>
    <row r="11359" spans="1:19" x14ac:dyDescent="0.2">
      <c r="A11359" t="s">
        <v>11970</v>
      </c>
      <c r="B11359" t="s">
        <v>90</v>
      </c>
      <c r="C11359" t="s">
        <v>614</v>
      </c>
      <c r="D11359">
        <v>1568.5</v>
      </c>
      <c r="E11359" s="37" t="str">
        <f t="shared" si="885"/>
        <v xml:space="preserve"> </v>
      </c>
      <c r="F11359">
        <v>0.32</v>
      </c>
      <c r="G11359" s="37" t="str">
        <f t="shared" si="886"/>
        <v>Heavy Discount</v>
      </c>
      <c r="H11359" s="37" t="str">
        <f t="shared" si="887"/>
        <v>Medium</v>
      </c>
      <c r="I11359">
        <v>1</v>
      </c>
      <c r="J11359" t="str" cm="1">
        <f t="array" ref="J11359">_xlfn.IFS(I11359&lt;=3,"small",I11359&lt;=6,"Medium",I11359&lt;=9,"Large")</f>
        <v>small</v>
      </c>
      <c r="K11359" s="36">
        <v>45182</v>
      </c>
      <c r="L11359" s="36">
        <v>45186</v>
      </c>
      <c r="M11359" t="s">
        <v>598</v>
      </c>
      <c r="N11359" t="s">
        <v>599</v>
      </c>
      <c r="O11359" s="37" t="str">
        <f t="shared" si="888"/>
        <v>Digital Payment</v>
      </c>
      <c r="P11359">
        <v>438</v>
      </c>
      <c r="Q11359" s="37" t="str">
        <f>IF(P11359&gt;500,"High","low")</f>
        <v>low</v>
      </c>
      <c r="R11359" s="37" t="str">
        <f t="shared" si="889"/>
        <v>AVERAGE</v>
      </c>
      <c r="S11359" t="s">
        <v>615</v>
      </c>
    </row>
    <row r="11360" spans="1:19" x14ac:dyDescent="0.2">
      <c r="A11360" t="s">
        <v>11971</v>
      </c>
      <c r="B11360" t="s">
        <v>90</v>
      </c>
      <c r="C11360" t="s">
        <v>602</v>
      </c>
      <c r="D11360">
        <v>3547.94</v>
      </c>
      <c r="E11360" s="37" t="str">
        <f t="shared" si="885"/>
        <v xml:space="preserve"> </v>
      </c>
      <c r="F11360">
        <v>0.22</v>
      </c>
      <c r="G11360" s="37" t="str">
        <f t="shared" si="886"/>
        <v>Normal Discount</v>
      </c>
      <c r="H11360" s="37" t="str">
        <f t="shared" si="887"/>
        <v>Medium</v>
      </c>
      <c r="I11360">
        <v>9</v>
      </c>
      <c r="J11360" t="str" cm="1">
        <f t="array" ref="J11360">_xlfn.IFS(I11360&lt;=3,"small",I11360&lt;=6,"Medium",I11360&lt;=9,"Large")</f>
        <v>Large</v>
      </c>
      <c r="K11360" s="36">
        <v>45176</v>
      </c>
      <c r="L11360" s="36">
        <v>45182</v>
      </c>
      <c r="M11360" t="s">
        <v>612</v>
      </c>
      <c r="N11360" t="s">
        <v>608</v>
      </c>
      <c r="O11360" s="37" t="str">
        <f t="shared" si="888"/>
        <v>Cash Payment</v>
      </c>
      <c r="P11360">
        <v>1033.73</v>
      </c>
      <c r="Q11360" s="37" t="str">
        <f>IF(P11360&gt;500,"High","low")</f>
        <v>High</v>
      </c>
      <c r="R11360" s="37" t="str">
        <f t="shared" si="889"/>
        <v>Excellent</v>
      </c>
      <c r="S11360" t="s">
        <v>609</v>
      </c>
    </row>
    <row r="11361" spans="1:19" x14ac:dyDescent="0.2">
      <c r="A11361" t="s">
        <v>11972</v>
      </c>
      <c r="B11361" t="s">
        <v>67</v>
      </c>
      <c r="C11361" t="s">
        <v>597</v>
      </c>
      <c r="D11361">
        <v>1177.6199999999999</v>
      </c>
      <c r="E11361" s="37" t="str">
        <f t="shared" si="885"/>
        <v xml:space="preserve"> </v>
      </c>
      <c r="F11361">
        <v>0.44</v>
      </c>
      <c r="G11361" s="37" t="str">
        <f t="shared" si="886"/>
        <v>Heavy Discount</v>
      </c>
      <c r="H11361" s="37" t="str">
        <f t="shared" si="887"/>
        <v>High</v>
      </c>
      <c r="I11361">
        <v>3</v>
      </c>
      <c r="J11361" t="str" cm="1">
        <f t="array" ref="J11361">_xlfn.IFS(I11361&lt;=3,"small",I11361&lt;=6,"Medium",I11361&lt;=9,"Large")</f>
        <v>small</v>
      </c>
      <c r="K11361" s="36">
        <v>45543</v>
      </c>
      <c r="L11361" s="36">
        <v>45549</v>
      </c>
      <c r="M11361" t="s">
        <v>598</v>
      </c>
      <c r="N11361" t="s">
        <v>604</v>
      </c>
      <c r="O11361" s="37" t="str">
        <f t="shared" si="888"/>
        <v>Digital Payment</v>
      </c>
      <c r="P11361">
        <v>350.96</v>
      </c>
      <c r="Q11361" s="37" t="str">
        <f>IF(P11361&gt;500,"High","low")</f>
        <v>low</v>
      </c>
      <c r="R11361" s="37" t="str">
        <f t="shared" si="889"/>
        <v>AVERAGE</v>
      </c>
      <c r="S11361" t="s">
        <v>609</v>
      </c>
    </row>
    <row r="11362" spans="1:19" x14ac:dyDescent="0.2">
      <c r="A11362" t="s">
        <v>11973</v>
      </c>
      <c r="B11362" t="s">
        <v>83</v>
      </c>
      <c r="C11362" t="s">
        <v>602</v>
      </c>
      <c r="D11362">
        <v>155.43</v>
      </c>
      <c r="E11362" s="37" t="str">
        <f t="shared" si="885"/>
        <v xml:space="preserve"> </v>
      </c>
      <c r="F11362">
        <v>0.22</v>
      </c>
      <c r="G11362" s="37" t="str">
        <f t="shared" si="886"/>
        <v>Normal Discount</v>
      </c>
      <c r="H11362" s="37" t="str">
        <f t="shared" si="887"/>
        <v>Medium</v>
      </c>
      <c r="I11362">
        <v>7</v>
      </c>
      <c r="J11362" t="str" cm="1">
        <f t="array" ref="J11362">_xlfn.IFS(I11362&lt;=3,"small",I11362&lt;=6,"Medium",I11362&lt;=9,"Large")</f>
        <v>Large</v>
      </c>
      <c r="K11362" s="36">
        <v>45156</v>
      </c>
      <c r="L11362" s="36">
        <v>45159</v>
      </c>
      <c r="M11362" t="s">
        <v>612</v>
      </c>
      <c r="N11362" t="s">
        <v>608</v>
      </c>
      <c r="O11362" s="37" t="str">
        <f t="shared" si="888"/>
        <v>Cash Payment</v>
      </c>
      <c r="P11362">
        <v>8.7899999999999991</v>
      </c>
      <c r="Q11362" s="37" t="str">
        <f>IF(P11362&gt;500,"High","low")</f>
        <v>low</v>
      </c>
      <c r="R11362" s="37" t="str">
        <f t="shared" si="889"/>
        <v>AVERAGE</v>
      </c>
      <c r="S11362" t="s">
        <v>600</v>
      </c>
    </row>
    <row r="11363" spans="1:19" x14ac:dyDescent="0.2">
      <c r="A11363" t="s">
        <v>11974</v>
      </c>
      <c r="B11363" t="s">
        <v>67</v>
      </c>
      <c r="C11363" t="s">
        <v>617</v>
      </c>
      <c r="D11363">
        <v>4345.8</v>
      </c>
      <c r="E11363" s="37" t="str">
        <f t="shared" si="885"/>
        <v>Excellent Order</v>
      </c>
      <c r="F11363">
        <v>0.2</v>
      </c>
      <c r="G11363" s="37" t="str">
        <f t="shared" si="886"/>
        <v>Normal Discount</v>
      </c>
      <c r="H11363" s="37" t="str">
        <f t="shared" si="887"/>
        <v>Medium</v>
      </c>
      <c r="I11363">
        <v>9</v>
      </c>
      <c r="J11363" t="str" cm="1">
        <f t="array" ref="J11363">_xlfn.IFS(I11363&lt;=3,"small",I11363&lt;=6,"Medium",I11363&lt;=9,"Large")</f>
        <v>Large</v>
      </c>
      <c r="K11363" s="36">
        <v>45395</v>
      </c>
      <c r="L11363" s="36">
        <v>45399</v>
      </c>
      <c r="M11363" t="s">
        <v>612</v>
      </c>
      <c r="N11363" t="s">
        <v>599</v>
      </c>
      <c r="O11363" s="37" t="str">
        <f t="shared" si="888"/>
        <v>Digital Payment</v>
      </c>
      <c r="P11363">
        <v>993.72</v>
      </c>
      <c r="Q11363" s="37" t="str">
        <f>IF(P11363&gt;500,"High","low")</f>
        <v>High</v>
      </c>
      <c r="R11363" s="37" t="str">
        <f t="shared" si="889"/>
        <v>Good</v>
      </c>
      <c r="S11363" t="s">
        <v>605</v>
      </c>
    </row>
    <row r="11364" spans="1:19" x14ac:dyDescent="0.2">
      <c r="A11364" t="s">
        <v>11975</v>
      </c>
      <c r="B11364" t="s">
        <v>67</v>
      </c>
      <c r="C11364" t="s">
        <v>607</v>
      </c>
      <c r="D11364">
        <v>2665.27</v>
      </c>
      <c r="E11364" s="37" t="str">
        <f t="shared" si="885"/>
        <v xml:space="preserve"> </v>
      </c>
      <c r="F11364">
        <v>0.31</v>
      </c>
      <c r="G11364" s="37" t="str">
        <f t="shared" si="886"/>
        <v>Heavy Discount</v>
      </c>
      <c r="H11364" s="37" t="str">
        <f t="shared" si="887"/>
        <v>Medium</v>
      </c>
      <c r="I11364">
        <v>7</v>
      </c>
      <c r="J11364" t="str" cm="1">
        <f t="array" ref="J11364">_xlfn.IFS(I11364&lt;=3,"small",I11364&lt;=6,"Medium",I11364&lt;=9,"Large")</f>
        <v>Large</v>
      </c>
      <c r="K11364" s="36">
        <v>45418</v>
      </c>
      <c r="L11364" s="36">
        <v>45425</v>
      </c>
      <c r="M11364" t="s">
        <v>603</v>
      </c>
      <c r="N11364" t="s">
        <v>608</v>
      </c>
      <c r="O11364" s="37" t="str">
        <f t="shared" si="888"/>
        <v>Cash Payment</v>
      </c>
      <c r="P11364">
        <v>756.33</v>
      </c>
      <c r="Q11364" s="37" t="str">
        <f>IF(P11364&gt;500,"High","low")</f>
        <v>High</v>
      </c>
      <c r="R11364" s="37" t="str">
        <f t="shared" si="889"/>
        <v>Good</v>
      </c>
      <c r="S11364" t="s">
        <v>609</v>
      </c>
    </row>
    <row r="11365" spans="1:19" x14ac:dyDescent="0.2">
      <c r="A11365" t="s">
        <v>11976</v>
      </c>
      <c r="B11365" t="s">
        <v>75</v>
      </c>
      <c r="C11365" t="s">
        <v>617</v>
      </c>
      <c r="D11365">
        <v>4919.8999999999996</v>
      </c>
      <c r="E11365" s="37" t="str">
        <f t="shared" si="885"/>
        <v>Excellent Order</v>
      </c>
      <c r="F11365">
        <v>0.47</v>
      </c>
      <c r="G11365" s="37" t="str">
        <f t="shared" si="886"/>
        <v>Heavy Discount</v>
      </c>
      <c r="H11365" s="37" t="str">
        <f t="shared" si="887"/>
        <v>High</v>
      </c>
      <c r="I11365">
        <v>8</v>
      </c>
      <c r="J11365" t="str" cm="1">
        <f t="array" ref="J11365">_xlfn.IFS(I11365&lt;=3,"small",I11365&lt;=6,"Medium",I11365&lt;=9,"Large")</f>
        <v>Large</v>
      </c>
      <c r="K11365" s="36">
        <v>45391</v>
      </c>
      <c r="L11365" s="36">
        <v>45395</v>
      </c>
      <c r="M11365" t="s">
        <v>598</v>
      </c>
      <c r="N11365" t="s">
        <v>599</v>
      </c>
      <c r="O11365" s="37" t="str">
        <f t="shared" si="888"/>
        <v>Digital Payment</v>
      </c>
      <c r="P11365">
        <v>1358.03</v>
      </c>
      <c r="Q11365" s="37" t="str">
        <f>IF(P11365&gt;500,"High","low")</f>
        <v>High</v>
      </c>
      <c r="R11365" s="37" t="str">
        <f t="shared" si="889"/>
        <v>Excellent</v>
      </c>
      <c r="S11365" t="s">
        <v>609</v>
      </c>
    </row>
    <row r="11366" spans="1:19" x14ac:dyDescent="0.2">
      <c r="A11366" t="s">
        <v>11977</v>
      </c>
      <c r="B11366" t="s">
        <v>83</v>
      </c>
      <c r="C11366" t="s">
        <v>602</v>
      </c>
      <c r="D11366">
        <v>1986.67</v>
      </c>
      <c r="E11366" s="37" t="str">
        <f t="shared" si="885"/>
        <v xml:space="preserve"> </v>
      </c>
      <c r="F11366">
        <v>0.22</v>
      </c>
      <c r="G11366" s="37" t="str">
        <f t="shared" si="886"/>
        <v>Normal Discount</v>
      </c>
      <c r="H11366" s="37" t="str">
        <f t="shared" si="887"/>
        <v>Medium</v>
      </c>
      <c r="I11366">
        <v>6</v>
      </c>
      <c r="J11366" t="str" cm="1">
        <f t="array" ref="J11366">_xlfn.IFS(I11366&lt;=3,"small",I11366&lt;=6,"Medium",I11366&lt;=9,"Large")</f>
        <v>Medium</v>
      </c>
      <c r="K11366" s="36">
        <v>45300</v>
      </c>
      <c r="L11366" s="36">
        <v>45306</v>
      </c>
      <c r="M11366" t="s">
        <v>612</v>
      </c>
      <c r="N11366" t="s">
        <v>599</v>
      </c>
      <c r="O11366" s="37" t="str">
        <f t="shared" si="888"/>
        <v>Digital Payment</v>
      </c>
      <c r="P11366">
        <v>111.65</v>
      </c>
      <c r="Q11366" s="37" t="str">
        <f>IF(P11366&gt;500,"High","low")</f>
        <v>low</v>
      </c>
      <c r="R11366" s="37" t="str">
        <f t="shared" si="889"/>
        <v>AVERAGE</v>
      </c>
      <c r="S11366" t="s">
        <v>628</v>
      </c>
    </row>
    <row r="11367" spans="1:19" x14ac:dyDescent="0.2">
      <c r="A11367" t="s">
        <v>11978</v>
      </c>
      <c r="B11367" t="s">
        <v>75</v>
      </c>
      <c r="C11367" t="s">
        <v>607</v>
      </c>
      <c r="D11367">
        <v>4788.68</v>
      </c>
      <c r="E11367" s="37" t="str">
        <f t="shared" si="885"/>
        <v>Excellent Order</v>
      </c>
      <c r="F11367">
        <v>0.28999999999999998</v>
      </c>
      <c r="G11367" s="37" t="str">
        <f t="shared" si="886"/>
        <v>Normal Discount</v>
      </c>
      <c r="H11367" s="37" t="str">
        <f t="shared" si="887"/>
        <v>Medium</v>
      </c>
      <c r="I11367">
        <v>3</v>
      </c>
      <c r="J11367" t="str" cm="1">
        <f t="array" ref="J11367">_xlfn.IFS(I11367&lt;=3,"small",I11367&lt;=6,"Medium",I11367&lt;=9,"Large")</f>
        <v>small</v>
      </c>
      <c r="K11367" s="36">
        <v>45034</v>
      </c>
      <c r="L11367" s="36">
        <v>45040</v>
      </c>
      <c r="M11367" t="s">
        <v>612</v>
      </c>
      <c r="N11367" t="s">
        <v>604</v>
      </c>
      <c r="O11367" s="37" t="str">
        <f t="shared" si="888"/>
        <v>Digital Payment</v>
      </c>
      <c r="P11367">
        <v>1205.82</v>
      </c>
      <c r="Q11367" s="37" t="str">
        <f>IF(P11367&gt;500,"High","low")</f>
        <v>High</v>
      </c>
      <c r="R11367" s="37" t="str">
        <f t="shared" si="889"/>
        <v>Excellent</v>
      </c>
      <c r="S11367" t="s">
        <v>600</v>
      </c>
    </row>
    <row r="11368" spans="1:19" x14ac:dyDescent="0.2">
      <c r="A11368" t="s">
        <v>11979</v>
      </c>
      <c r="B11368" t="s">
        <v>75</v>
      </c>
      <c r="C11368" t="s">
        <v>617</v>
      </c>
      <c r="D11368">
        <v>3113.78</v>
      </c>
      <c r="E11368" s="37" t="str">
        <f t="shared" si="885"/>
        <v xml:space="preserve"> </v>
      </c>
      <c r="F11368">
        <v>0.25</v>
      </c>
      <c r="G11368" s="37" t="str">
        <f t="shared" si="886"/>
        <v>Normal Discount</v>
      </c>
      <c r="H11368" s="37" t="str">
        <f t="shared" si="887"/>
        <v>Medium</v>
      </c>
      <c r="I11368">
        <v>1</v>
      </c>
      <c r="J11368" t="str" cm="1">
        <f t="array" ref="J11368">_xlfn.IFS(I11368&lt;=3,"small",I11368&lt;=6,"Medium",I11368&lt;=9,"Large")</f>
        <v>small</v>
      </c>
      <c r="K11368" s="36">
        <v>44988</v>
      </c>
      <c r="L11368" s="36">
        <v>44990</v>
      </c>
      <c r="M11368" t="s">
        <v>603</v>
      </c>
      <c r="N11368" t="s">
        <v>604</v>
      </c>
      <c r="O11368" s="37" t="str">
        <f t="shared" si="888"/>
        <v>Digital Payment</v>
      </c>
      <c r="P11368">
        <v>512.9</v>
      </c>
      <c r="Q11368" s="37" t="str">
        <f>IF(P11368&gt;500,"High","low")</f>
        <v>High</v>
      </c>
      <c r="R11368" s="37" t="str">
        <f t="shared" si="889"/>
        <v>Good</v>
      </c>
      <c r="S11368" t="s">
        <v>600</v>
      </c>
    </row>
    <row r="11369" spans="1:19" x14ac:dyDescent="0.2">
      <c r="A11369" t="s">
        <v>11980</v>
      </c>
      <c r="B11369" t="s">
        <v>67</v>
      </c>
      <c r="C11369" t="s">
        <v>614</v>
      </c>
      <c r="D11369">
        <v>2609.8000000000002</v>
      </c>
      <c r="E11369" s="37" t="str">
        <f t="shared" si="885"/>
        <v xml:space="preserve"> </v>
      </c>
      <c r="F11369">
        <v>0.45</v>
      </c>
      <c r="G11369" s="37" t="str">
        <f t="shared" si="886"/>
        <v>Heavy Discount</v>
      </c>
      <c r="H11369" s="37" t="str">
        <f t="shared" si="887"/>
        <v>High</v>
      </c>
      <c r="I11369">
        <v>8</v>
      </c>
      <c r="J11369" t="str" cm="1">
        <f t="array" ref="J11369">_xlfn.IFS(I11369&lt;=3,"small",I11369&lt;=6,"Medium",I11369&lt;=9,"Large")</f>
        <v>Large</v>
      </c>
      <c r="K11369" s="36">
        <v>44983</v>
      </c>
      <c r="L11369" s="36">
        <v>44989</v>
      </c>
      <c r="M11369" t="s">
        <v>603</v>
      </c>
      <c r="N11369" t="s">
        <v>599</v>
      </c>
      <c r="O11369" s="37" t="str">
        <f t="shared" si="888"/>
        <v>Digital Payment</v>
      </c>
      <c r="P11369">
        <v>685.19</v>
      </c>
      <c r="Q11369" s="37" t="str">
        <f>IF(P11369&gt;500,"High","low")</f>
        <v>High</v>
      </c>
      <c r="R11369" s="37" t="str">
        <f t="shared" si="889"/>
        <v>Good</v>
      </c>
      <c r="S11369" t="s">
        <v>609</v>
      </c>
    </row>
    <row r="11370" spans="1:19" x14ac:dyDescent="0.2">
      <c r="A11370" t="s">
        <v>11981</v>
      </c>
      <c r="B11370" t="s">
        <v>90</v>
      </c>
      <c r="C11370" t="s">
        <v>614</v>
      </c>
      <c r="D11370">
        <v>1583.77</v>
      </c>
      <c r="E11370" s="37" t="str">
        <f t="shared" si="885"/>
        <v xml:space="preserve"> </v>
      </c>
      <c r="F11370">
        <v>0.34</v>
      </c>
      <c r="G11370" s="37" t="str">
        <f t="shared" si="886"/>
        <v>Heavy Discount</v>
      </c>
      <c r="H11370" s="37" t="str">
        <f t="shared" si="887"/>
        <v>Medium</v>
      </c>
      <c r="I11370">
        <v>6</v>
      </c>
      <c r="J11370" t="str" cm="1">
        <f t="array" ref="J11370">_xlfn.IFS(I11370&lt;=3,"small",I11370&lt;=6,"Medium",I11370&lt;=9,"Large")</f>
        <v>Medium</v>
      </c>
      <c r="K11370" s="36">
        <v>45058</v>
      </c>
      <c r="L11370" s="36">
        <v>45062</v>
      </c>
      <c r="M11370" t="s">
        <v>612</v>
      </c>
      <c r="N11370" t="s">
        <v>604</v>
      </c>
      <c r="O11370" s="37" t="str">
        <f t="shared" si="888"/>
        <v>Digital Payment</v>
      </c>
      <c r="P11370">
        <v>362.51</v>
      </c>
      <c r="Q11370" s="37" t="str">
        <f>IF(P11370&gt;500,"High","low")</f>
        <v>low</v>
      </c>
      <c r="R11370" s="37" t="str">
        <f t="shared" si="889"/>
        <v>AVERAGE</v>
      </c>
      <c r="S11370" t="s">
        <v>605</v>
      </c>
    </row>
    <row r="11371" spans="1:19" x14ac:dyDescent="0.2">
      <c r="A11371" t="s">
        <v>11982</v>
      </c>
      <c r="B11371" t="s">
        <v>83</v>
      </c>
      <c r="C11371" t="s">
        <v>597</v>
      </c>
      <c r="D11371">
        <v>4143.8500000000004</v>
      </c>
      <c r="E11371" s="37" t="str">
        <f t="shared" si="885"/>
        <v xml:space="preserve"> </v>
      </c>
      <c r="F11371">
        <v>0.21</v>
      </c>
      <c r="G11371" s="37" t="str">
        <f t="shared" si="886"/>
        <v>Normal Discount</v>
      </c>
      <c r="H11371" s="37" t="str">
        <f t="shared" si="887"/>
        <v>Medium</v>
      </c>
      <c r="I11371">
        <v>2</v>
      </c>
      <c r="J11371" t="str" cm="1">
        <f t="array" ref="J11371">_xlfn.IFS(I11371&lt;=3,"small",I11371&lt;=6,"Medium",I11371&lt;=9,"Large")</f>
        <v>small</v>
      </c>
      <c r="K11371" s="36">
        <v>45004</v>
      </c>
      <c r="L11371" s="36">
        <v>45009</v>
      </c>
      <c r="M11371" t="s">
        <v>612</v>
      </c>
      <c r="N11371" t="s">
        <v>599</v>
      </c>
      <c r="O11371" s="37" t="str">
        <f t="shared" si="888"/>
        <v>Digital Payment</v>
      </c>
      <c r="P11371">
        <v>663.1</v>
      </c>
      <c r="Q11371" s="37" t="str">
        <f>IF(P11371&gt;500,"High","low")</f>
        <v>High</v>
      </c>
      <c r="R11371" s="37" t="str">
        <f t="shared" si="889"/>
        <v>Good</v>
      </c>
      <c r="S11371" t="s">
        <v>609</v>
      </c>
    </row>
    <row r="11372" spans="1:19" x14ac:dyDescent="0.2">
      <c r="A11372" t="s">
        <v>11983</v>
      </c>
      <c r="B11372" t="s">
        <v>90</v>
      </c>
      <c r="C11372" t="s">
        <v>614</v>
      </c>
      <c r="D11372">
        <v>4161.09</v>
      </c>
      <c r="E11372" s="37" t="str">
        <f t="shared" si="885"/>
        <v xml:space="preserve"> </v>
      </c>
      <c r="F11372">
        <v>0.3</v>
      </c>
      <c r="G11372" s="37" t="str">
        <f t="shared" si="886"/>
        <v>Normal Discount</v>
      </c>
      <c r="H11372" s="37" t="str">
        <f t="shared" si="887"/>
        <v>Medium</v>
      </c>
      <c r="I11372">
        <v>8</v>
      </c>
      <c r="J11372" t="str" cm="1">
        <f t="array" ref="J11372">_xlfn.IFS(I11372&lt;=3,"small",I11372&lt;=6,"Medium",I11372&lt;=9,"Large")</f>
        <v>Large</v>
      </c>
      <c r="K11372" s="36">
        <v>45344</v>
      </c>
      <c r="L11372" s="36">
        <v>45350</v>
      </c>
      <c r="M11372" t="s">
        <v>603</v>
      </c>
      <c r="N11372" t="s">
        <v>604</v>
      </c>
      <c r="O11372" s="37" t="str">
        <f t="shared" si="888"/>
        <v>Digital Payment</v>
      </c>
      <c r="P11372">
        <v>515.33000000000004</v>
      </c>
      <c r="Q11372" s="37" t="str">
        <f>IF(P11372&gt;500,"High","low")</f>
        <v>High</v>
      </c>
      <c r="R11372" s="37" t="str">
        <f t="shared" si="889"/>
        <v>Good</v>
      </c>
      <c r="S11372" t="s">
        <v>615</v>
      </c>
    </row>
    <row r="11373" spans="1:19" x14ac:dyDescent="0.2">
      <c r="A11373" t="s">
        <v>11984</v>
      </c>
      <c r="B11373" t="s">
        <v>67</v>
      </c>
      <c r="C11373" t="s">
        <v>614</v>
      </c>
      <c r="D11373">
        <v>2142.9499999999998</v>
      </c>
      <c r="E11373" s="37" t="str">
        <f t="shared" si="885"/>
        <v xml:space="preserve"> </v>
      </c>
      <c r="F11373">
        <v>0.08</v>
      </c>
      <c r="G11373" s="37" t="str">
        <f t="shared" si="886"/>
        <v>Normal Discount</v>
      </c>
      <c r="H11373" s="37" t="str">
        <f t="shared" si="887"/>
        <v>Low</v>
      </c>
      <c r="I11373">
        <v>4</v>
      </c>
      <c r="J11373" t="str" cm="1">
        <f t="array" ref="J11373">_xlfn.IFS(I11373&lt;=3,"small",I11373&lt;=6,"Medium",I11373&lt;=9,"Large")</f>
        <v>Medium</v>
      </c>
      <c r="K11373" s="36">
        <v>45088</v>
      </c>
      <c r="L11373" s="36">
        <v>45090</v>
      </c>
      <c r="M11373" t="s">
        <v>603</v>
      </c>
      <c r="N11373" t="s">
        <v>599</v>
      </c>
      <c r="O11373" s="37" t="str">
        <f t="shared" si="888"/>
        <v>Digital Payment</v>
      </c>
      <c r="P11373">
        <v>107.6</v>
      </c>
      <c r="Q11373" s="37" t="str">
        <f>IF(P11373&gt;500,"High","low")</f>
        <v>low</v>
      </c>
      <c r="R11373" s="37" t="str">
        <f t="shared" si="889"/>
        <v>AVERAGE</v>
      </c>
      <c r="S11373" t="s">
        <v>609</v>
      </c>
    </row>
    <row r="11374" spans="1:19" x14ac:dyDescent="0.2">
      <c r="A11374" t="s">
        <v>11985</v>
      </c>
      <c r="B11374" t="s">
        <v>67</v>
      </c>
      <c r="C11374" t="s">
        <v>602</v>
      </c>
      <c r="D11374">
        <v>3663.74</v>
      </c>
      <c r="E11374" s="37" t="str">
        <f t="shared" si="885"/>
        <v xml:space="preserve"> </v>
      </c>
      <c r="F11374">
        <v>0.17</v>
      </c>
      <c r="G11374" s="37" t="str">
        <f t="shared" si="886"/>
        <v>Normal Discount</v>
      </c>
      <c r="H11374" s="37" t="str">
        <f t="shared" si="887"/>
        <v>Low</v>
      </c>
      <c r="I11374">
        <v>9</v>
      </c>
      <c r="J11374" t="str" cm="1">
        <f t="array" ref="J11374">_xlfn.IFS(I11374&lt;=3,"small",I11374&lt;=6,"Medium",I11374&lt;=9,"Large")</f>
        <v>Large</v>
      </c>
      <c r="K11374" s="36">
        <v>45473</v>
      </c>
      <c r="L11374" s="36">
        <v>45478</v>
      </c>
      <c r="M11374" t="s">
        <v>598</v>
      </c>
      <c r="N11374" t="s">
        <v>599</v>
      </c>
      <c r="O11374" s="37" t="str">
        <f t="shared" si="888"/>
        <v>Digital Payment</v>
      </c>
      <c r="P11374">
        <v>678.03</v>
      </c>
      <c r="Q11374" s="37" t="str">
        <f>IF(P11374&gt;500,"High","low")</f>
        <v>High</v>
      </c>
      <c r="R11374" s="37" t="str">
        <f t="shared" si="889"/>
        <v>Good</v>
      </c>
      <c r="S11374" t="s">
        <v>605</v>
      </c>
    </row>
    <row r="11375" spans="1:19" x14ac:dyDescent="0.2">
      <c r="A11375" t="s">
        <v>11986</v>
      </c>
      <c r="B11375" t="s">
        <v>67</v>
      </c>
      <c r="C11375" t="s">
        <v>614</v>
      </c>
      <c r="D11375">
        <v>2291.4699999999998</v>
      </c>
      <c r="E11375" s="37" t="str">
        <f t="shared" si="885"/>
        <v xml:space="preserve"> </v>
      </c>
      <c r="F11375">
        <v>0.37</v>
      </c>
      <c r="G11375" s="37" t="str">
        <f t="shared" si="886"/>
        <v>Heavy Discount</v>
      </c>
      <c r="H11375" s="37" t="str">
        <f t="shared" si="887"/>
        <v>Medium</v>
      </c>
      <c r="I11375">
        <v>9</v>
      </c>
      <c r="J11375" t="str" cm="1">
        <f t="array" ref="J11375">_xlfn.IFS(I11375&lt;=3,"small",I11375&lt;=6,"Medium",I11375&lt;=9,"Large")</f>
        <v>Large</v>
      </c>
      <c r="K11375" s="36">
        <v>45453</v>
      </c>
      <c r="L11375" s="36">
        <v>45457</v>
      </c>
      <c r="M11375" t="s">
        <v>603</v>
      </c>
      <c r="N11375" t="s">
        <v>604</v>
      </c>
      <c r="O11375" s="37" t="str">
        <f t="shared" si="888"/>
        <v>Digital Payment</v>
      </c>
      <c r="P11375">
        <v>343.19</v>
      </c>
      <c r="Q11375" s="37" t="str">
        <f>IF(P11375&gt;500,"High","low")</f>
        <v>low</v>
      </c>
      <c r="R11375" s="37" t="str">
        <f t="shared" si="889"/>
        <v>AVERAGE</v>
      </c>
      <c r="S11375" t="s">
        <v>620</v>
      </c>
    </row>
    <row r="11376" spans="1:19" x14ac:dyDescent="0.2">
      <c r="A11376" t="s">
        <v>11987</v>
      </c>
      <c r="B11376" t="s">
        <v>67</v>
      </c>
      <c r="C11376" t="s">
        <v>614</v>
      </c>
      <c r="D11376">
        <v>3724.33</v>
      </c>
      <c r="E11376" s="37" t="str">
        <f t="shared" si="885"/>
        <v xml:space="preserve"> </v>
      </c>
      <c r="F11376">
        <v>0.28000000000000003</v>
      </c>
      <c r="G11376" s="37" t="str">
        <f t="shared" si="886"/>
        <v>Normal Discount</v>
      </c>
      <c r="H11376" s="37" t="str">
        <f t="shared" si="887"/>
        <v>Medium</v>
      </c>
      <c r="I11376">
        <v>9</v>
      </c>
      <c r="J11376" t="str" cm="1">
        <f t="array" ref="J11376">_xlfn.IFS(I11376&lt;=3,"small",I11376&lt;=6,"Medium",I11376&lt;=9,"Large")</f>
        <v>Large</v>
      </c>
      <c r="K11376" s="36">
        <v>44946</v>
      </c>
      <c r="L11376" s="36">
        <v>44952</v>
      </c>
      <c r="M11376" t="s">
        <v>598</v>
      </c>
      <c r="N11376" t="s">
        <v>604</v>
      </c>
      <c r="O11376" s="37" t="str">
        <f t="shared" si="888"/>
        <v>Digital Payment</v>
      </c>
      <c r="P11376">
        <v>502.14</v>
      </c>
      <c r="Q11376" s="37" t="str">
        <f>IF(P11376&gt;500,"High","low")</f>
        <v>High</v>
      </c>
      <c r="R11376" s="37" t="str">
        <f t="shared" si="889"/>
        <v>Good</v>
      </c>
      <c r="S11376" t="s">
        <v>605</v>
      </c>
    </row>
    <row r="11377" spans="1:19" x14ac:dyDescent="0.2">
      <c r="A11377" t="s">
        <v>11988</v>
      </c>
      <c r="B11377" t="s">
        <v>67</v>
      </c>
      <c r="C11377" t="s">
        <v>602</v>
      </c>
      <c r="D11377">
        <v>4971.53</v>
      </c>
      <c r="E11377" s="37" t="str">
        <f t="shared" si="885"/>
        <v>Excellent Order</v>
      </c>
      <c r="F11377">
        <v>0.16</v>
      </c>
      <c r="G11377" s="37" t="str">
        <f t="shared" si="886"/>
        <v>Normal Discount</v>
      </c>
      <c r="H11377" s="37" t="str">
        <f t="shared" si="887"/>
        <v>Low</v>
      </c>
      <c r="I11377">
        <v>4</v>
      </c>
      <c r="J11377" t="str" cm="1">
        <f t="array" ref="J11377">_xlfn.IFS(I11377&lt;=3,"small",I11377&lt;=6,"Medium",I11377&lt;=9,"Large")</f>
        <v>Medium</v>
      </c>
      <c r="K11377" s="36">
        <v>45402</v>
      </c>
      <c r="L11377" s="36">
        <v>45409</v>
      </c>
      <c r="M11377" t="s">
        <v>603</v>
      </c>
      <c r="N11377" t="s">
        <v>604</v>
      </c>
      <c r="O11377" s="37" t="str">
        <f t="shared" si="888"/>
        <v>Digital Payment</v>
      </c>
      <c r="P11377">
        <v>830.62</v>
      </c>
      <c r="Q11377" s="37" t="str">
        <f>IF(P11377&gt;500,"High","low")</f>
        <v>High</v>
      </c>
      <c r="R11377" s="37" t="str">
        <f t="shared" si="889"/>
        <v>Good</v>
      </c>
      <c r="S11377" t="s">
        <v>628</v>
      </c>
    </row>
    <row r="11378" spans="1:19" x14ac:dyDescent="0.2">
      <c r="A11378" t="s">
        <v>11989</v>
      </c>
      <c r="B11378" t="s">
        <v>67</v>
      </c>
      <c r="C11378" t="s">
        <v>614</v>
      </c>
      <c r="D11378">
        <v>1386.23</v>
      </c>
      <c r="E11378" s="37" t="str">
        <f t="shared" si="885"/>
        <v xml:space="preserve"> </v>
      </c>
      <c r="F11378">
        <v>0.18</v>
      </c>
      <c r="G11378" s="37" t="str">
        <f t="shared" si="886"/>
        <v>Normal Discount</v>
      </c>
      <c r="H11378" s="37" t="str">
        <f t="shared" si="887"/>
        <v>Low</v>
      </c>
      <c r="I11378">
        <v>6</v>
      </c>
      <c r="J11378" t="str" cm="1">
        <f t="array" ref="J11378">_xlfn.IFS(I11378&lt;=3,"small",I11378&lt;=6,"Medium",I11378&lt;=9,"Large")</f>
        <v>Medium</v>
      </c>
      <c r="K11378" s="36">
        <v>44964</v>
      </c>
      <c r="L11378" s="36">
        <v>44969</v>
      </c>
      <c r="M11378" t="s">
        <v>612</v>
      </c>
      <c r="N11378" t="s">
        <v>608</v>
      </c>
      <c r="O11378" s="37" t="str">
        <f t="shared" si="888"/>
        <v>Cash Payment</v>
      </c>
      <c r="P11378">
        <v>234.36</v>
      </c>
      <c r="Q11378" s="37" t="str">
        <f>IF(P11378&gt;500,"High","low")</f>
        <v>low</v>
      </c>
      <c r="R11378" s="37" t="str">
        <f t="shared" si="889"/>
        <v>AVERAGE</v>
      </c>
      <c r="S11378" t="s">
        <v>620</v>
      </c>
    </row>
    <row r="11379" spans="1:19" x14ac:dyDescent="0.2">
      <c r="A11379" t="s">
        <v>11990</v>
      </c>
      <c r="B11379" t="s">
        <v>90</v>
      </c>
      <c r="C11379" t="s">
        <v>614</v>
      </c>
      <c r="D11379">
        <v>3206.86</v>
      </c>
      <c r="E11379" s="37" t="str">
        <f t="shared" si="885"/>
        <v xml:space="preserve"> </v>
      </c>
      <c r="F11379">
        <v>0.4</v>
      </c>
      <c r="G11379" s="37" t="str">
        <f t="shared" si="886"/>
        <v>Heavy Discount</v>
      </c>
      <c r="H11379" s="37" t="str">
        <f t="shared" si="887"/>
        <v>Medium</v>
      </c>
      <c r="I11379">
        <v>4</v>
      </c>
      <c r="J11379" t="str" cm="1">
        <f t="array" ref="J11379">_xlfn.IFS(I11379&lt;=3,"small",I11379&lt;=6,"Medium",I11379&lt;=9,"Large")</f>
        <v>Medium</v>
      </c>
      <c r="K11379" s="36">
        <v>45587</v>
      </c>
      <c r="L11379" s="36">
        <v>45594</v>
      </c>
      <c r="M11379" t="s">
        <v>598</v>
      </c>
      <c r="N11379" t="s">
        <v>604</v>
      </c>
      <c r="O11379" s="37" t="str">
        <f t="shared" si="888"/>
        <v>Digital Payment</v>
      </c>
      <c r="P11379">
        <v>622.45000000000005</v>
      </c>
      <c r="Q11379" s="37" t="str">
        <f>IF(P11379&gt;500,"High","low")</f>
        <v>High</v>
      </c>
      <c r="R11379" s="37" t="str">
        <f t="shared" si="889"/>
        <v>Good</v>
      </c>
      <c r="S11379" t="s">
        <v>605</v>
      </c>
    </row>
    <row r="11380" spans="1:19" x14ac:dyDescent="0.2">
      <c r="A11380" t="s">
        <v>11991</v>
      </c>
      <c r="B11380" t="s">
        <v>75</v>
      </c>
      <c r="C11380" t="s">
        <v>597</v>
      </c>
      <c r="D11380">
        <v>1961.4</v>
      </c>
      <c r="E11380" s="37" t="str">
        <f t="shared" si="885"/>
        <v xml:space="preserve"> </v>
      </c>
      <c r="F11380">
        <v>0.27</v>
      </c>
      <c r="G11380" s="37" t="str">
        <f t="shared" si="886"/>
        <v>Normal Discount</v>
      </c>
      <c r="H11380" s="37" t="str">
        <f t="shared" si="887"/>
        <v>Medium</v>
      </c>
      <c r="I11380">
        <v>5</v>
      </c>
      <c r="J11380" t="str" cm="1">
        <f t="array" ref="J11380">_xlfn.IFS(I11380&lt;=3,"small",I11380&lt;=6,"Medium",I11380&lt;=9,"Large")</f>
        <v>Medium</v>
      </c>
      <c r="K11380" s="36">
        <v>45142</v>
      </c>
      <c r="L11380" s="36">
        <v>45145</v>
      </c>
      <c r="M11380" t="s">
        <v>598</v>
      </c>
      <c r="N11380" t="s">
        <v>599</v>
      </c>
      <c r="O11380" s="37" t="str">
        <f t="shared" si="888"/>
        <v>Digital Payment</v>
      </c>
      <c r="P11380">
        <v>420.94</v>
      </c>
      <c r="Q11380" s="37" t="str">
        <f>IF(P11380&gt;500,"High","low")</f>
        <v>low</v>
      </c>
      <c r="R11380" s="37" t="str">
        <f t="shared" si="889"/>
        <v>AVERAGE</v>
      </c>
      <c r="S11380" t="s">
        <v>600</v>
      </c>
    </row>
    <row r="11381" spans="1:19" x14ac:dyDescent="0.2">
      <c r="A11381" t="s">
        <v>11992</v>
      </c>
      <c r="B11381" t="s">
        <v>90</v>
      </c>
      <c r="C11381" t="s">
        <v>614</v>
      </c>
      <c r="D11381">
        <v>2787.02</v>
      </c>
      <c r="E11381" s="37" t="str">
        <f t="shared" si="885"/>
        <v xml:space="preserve"> </v>
      </c>
      <c r="F11381">
        <v>0.12</v>
      </c>
      <c r="G11381" s="37" t="str">
        <f t="shared" si="886"/>
        <v>Normal Discount</v>
      </c>
      <c r="H11381" s="37" t="str">
        <f t="shared" si="887"/>
        <v>Low</v>
      </c>
      <c r="I11381">
        <v>7</v>
      </c>
      <c r="J11381" t="str" cm="1">
        <f t="array" ref="J11381">_xlfn.IFS(I11381&lt;=3,"small",I11381&lt;=6,"Medium",I11381&lt;=9,"Large")</f>
        <v>Large</v>
      </c>
      <c r="K11381" s="36">
        <v>44936</v>
      </c>
      <c r="L11381" s="36">
        <v>44942</v>
      </c>
      <c r="M11381" t="s">
        <v>612</v>
      </c>
      <c r="N11381" t="s">
        <v>604</v>
      </c>
      <c r="O11381" s="37" t="str">
        <f t="shared" si="888"/>
        <v>Digital Payment</v>
      </c>
      <c r="P11381">
        <v>253.34</v>
      </c>
      <c r="Q11381" s="37" t="str">
        <f>IF(P11381&gt;500,"High","low")</f>
        <v>low</v>
      </c>
      <c r="R11381" s="37" t="str">
        <f t="shared" si="889"/>
        <v>AVERAGE</v>
      </c>
      <c r="S11381" t="s">
        <v>628</v>
      </c>
    </row>
    <row r="11382" spans="1:19" x14ac:dyDescent="0.2">
      <c r="A11382" t="s">
        <v>11993</v>
      </c>
      <c r="B11382" t="s">
        <v>83</v>
      </c>
      <c r="C11382" t="s">
        <v>614</v>
      </c>
      <c r="D11382">
        <v>4383.32</v>
      </c>
      <c r="E11382" s="37" t="str">
        <f t="shared" si="885"/>
        <v xml:space="preserve"> </v>
      </c>
      <c r="F11382">
        <v>0.15</v>
      </c>
      <c r="G11382" s="37" t="str">
        <f t="shared" si="886"/>
        <v>Normal Discount</v>
      </c>
      <c r="H11382" s="37" t="str">
        <f t="shared" si="887"/>
        <v>Low</v>
      </c>
      <c r="I11382">
        <v>7</v>
      </c>
      <c r="J11382" t="str" cm="1">
        <f t="array" ref="J11382">_xlfn.IFS(I11382&lt;=3,"small",I11382&lt;=6,"Medium",I11382&lt;=9,"Large")</f>
        <v>Large</v>
      </c>
      <c r="K11382" s="36">
        <v>45026</v>
      </c>
      <c r="L11382" s="36">
        <v>45029</v>
      </c>
      <c r="M11382" t="s">
        <v>612</v>
      </c>
      <c r="N11382" t="s">
        <v>599</v>
      </c>
      <c r="O11382" s="37" t="str">
        <f t="shared" si="888"/>
        <v>Digital Payment</v>
      </c>
      <c r="P11382">
        <v>462.49</v>
      </c>
      <c r="Q11382" s="37" t="str">
        <f>IF(P11382&gt;500,"High","low")</f>
        <v>low</v>
      </c>
      <c r="R11382" s="37" t="str">
        <f t="shared" si="889"/>
        <v>AVERAGE</v>
      </c>
      <c r="S11382" t="s">
        <v>620</v>
      </c>
    </row>
    <row r="11383" spans="1:19" x14ac:dyDescent="0.2">
      <c r="A11383" t="s">
        <v>11994</v>
      </c>
      <c r="B11383" t="s">
        <v>90</v>
      </c>
      <c r="C11383" t="s">
        <v>597</v>
      </c>
      <c r="D11383">
        <v>1803.12</v>
      </c>
      <c r="E11383" s="37" t="str">
        <f t="shared" si="885"/>
        <v xml:space="preserve"> </v>
      </c>
      <c r="F11383">
        <v>0.23</v>
      </c>
      <c r="G11383" s="37" t="str">
        <f t="shared" si="886"/>
        <v>Normal Discount</v>
      </c>
      <c r="H11383" s="37" t="str">
        <f t="shared" si="887"/>
        <v>Medium</v>
      </c>
      <c r="I11383">
        <v>6</v>
      </c>
      <c r="J11383" t="str" cm="1">
        <f t="array" ref="J11383">_xlfn.IFS(I11383&lt;=3,"small",I11383&lt;=6,"Medium",I11383&lt;=9,"Large")</f>
        <v>Medium</v>
      </c>
      <c r="K11383" s="36">
        <v>45364</v>
      </c>
      <c r="L11383" s="36">
        <v>45368</v>
      </c>
      <c r="M11383" t="s">
        <v>603</v>
      </c>
      <c r="N11383" t="s">
        <v>604</v>
      </c>
      <c r="O11383" s="37" t="str">
        <f t="shared" si="888"/>
        <v>Digital Payment</v>
      </c>
      <c r="P11383">
        <v>296.07</v>
      </c>
      <c r="Q11383" s="37" t="str">
        <f>IF(P11383&gt;500,"High","low")</f>
        <v>low</v>
      </c>
      <c r="R11383" s="37" t="str">
        <f t="shared" si="889"/>
        <v>AVERAGE</v>
      </c>
      <c r="S11383" t="s">
        <v>609</v>
      </c>
    </row>
    <row r="11384" spans="1:19" x14ac:dyDescent="0.2">
      <c r="A11384" t="s">
        <v>11995</v>
      </c>
      <c r="B11384" t="s">
        <v>67</v>
      </c>
      <c r="C11384" t="s">
        <v>602</v>
      </c>
      <c r="D11384">
        <v>454.7</v>
      </c>
      <c r="E11384" s="37" t="str">
        <f t="shared" si="885"/>
        <v xml:space="preserve"> </v>
      </c>
      <c r="F11384">
        <v>0.38</v>
      </c>
      <c r="G11384" s="37" t="str">
        <f t="shared" si="886"/>
        <v>Heavy Discount</v>
      </c>
      <c r="H11384" s="37" t="str">
        <f t="shared" si="887"/>
        <v>Medium</v>
      </c>
      <c r="I11384">
        <v>4</v>
      </c>
      <c r="J11384" t="str" cm="1">
        <f t="array" ref="J11384">_xlfn.IFS(I11384&lt;=3,"small",I11384&lt;=6,"Medium",I11384&lt;=9,"Large")</f>
        <v>Medium</v>
      </c>
      <c r="K11384" s="36">
        <v>45319</v>
      </c>
      <c r="L11384" s="36">
        <v>45324</v>
      </c>
      <c r="M11384" t="s">
        <v>598</v>
      </c>
      <c r="N11384" t="s">
        <v>599</v>
      </c>
      <c r="O11384" s="37" t="str">
        <f t="shared" si="888"/>
        <v>Digital Payment</v>
      </c>
      <c r="P11384">
        <v>52.95</v>
      </c>
      <c r="Q11384" s="37" t="str">
        <f>IF(P11384&gt;500,"High","low")</f>
        <v>low</v>
      </c>
      <c r="R11384" s="37" t="str">
        <f t="shared" si="889"/>
        <v>AVERAGE</v>
      </c>
      <c r="S11384" t="s">
        <v>620</v>
      </c>
    </row>
    <row r="11385" spans="1:19" x14ac:dyDescent="0.2">
      <c r="A11385" t="s">
        <v>11996</v>
      </c>
      <c r="B11385" t="s">
        <v>90</v>
      </c>
      <c r="C11385" t="s">
        <v>614</v>
      </c>
      <c r="D11385">
        <v>4014.79</v>
      </c>
      <c r="E11385" s="37" t="str">
        <f t="shared" si="885"/>
        <v>Excellent Order</v>
      </c>
      <c r="F11385">
        <v>0.5</v>
      </c>
      <c r="G11385" s="37" t="str">
        <f t="shared" si="886"/>
        <v>Heavy Discount</v>
      </c>
      <c r="H11385" s="37" t="str">
        <f t="shared" si="887"/>
        <v>High</v>
      </c>
      <c r="I11385">
        <v>5</v>
      </c>
      <c r="J11385" t="str" cm="1">
        <f t="array" ref="J11385">_xlfn.IFS(I11385&lt;=3,"small",I11385&lt;=6,"Medium",I11385&lt;=9,"Large")</f>
        <v>Medium</v>
      </c>
      <c r="K11385" s="36">
        <v>45652</v>
      </c>
      <c r="L11385" s="36">
        <v>45656</v>
      </c>
      <c r="M11385" t="s">
        <v>612</v>
      </c>
      <c r="N11385" t="s">
        <v>599</v>
      </c>
      <c r="O11385" s="37" t="str">
        <f t="shared" si="888"/>
        <v>Digital Payment</v>
      </c>
      <c r="P11385">
        <v>998.41</v>
      </c>
      <c r="Q11385" s="37" t="str">
        <f>IF(P11385&gt;500,"High","low")</f>
        <v>High</v>
      </c>
      <c r="R11385" s="37" t="str">
        <f t="shared" si="889"/>
        <v>Good</v>
      </c>
      <c r="S11385" t="s">
        <v>620</v>
      </c>
    </row>
    <row r="11386" spans="1:19" x14ac:dyDescent="0.2">
      <c r="A11386" t="s">
        <v>11997</v>
      </c>
      <c r="B11386" t="s">
        <v>75</v>
      </c>
      <c r="C11386" t="s">
        <v>617</v>
      </c>
      <c r="D11386">
        <v>2819.62</v>
      </c>
      <c r="E11386" s="37" t="str">
        <f t="shared" si="885"/>
        <v xml:space="preserve"> </v>
      </c>
      <c r="F11386">
        <v>0.09</v>
      </c>
      <c r="G11386" s="37" t="str">
        <f t="shared" si="886"/>
        <v>Normal Discount</v>
      </c>
      <c r="H11386" s="37" t="str">
        <f t="shared" si="887"/>
        <v>Low</v>
      </c>
      <c r="I11386">
        <v>5</v>
      </c>
      <c r="J11386" t="str" cm="1">
        <f t="array" ref="J11386">_xlfn.IFS(I11386&lt;=3,"small",I11386&lt;=6,"Medium",I11386&lt;=9,"Large")</f>
        <v>Medium</v>
      </c>
      <c r="K11386" s="36">
        <v>45027</v>
      </c>
      <c r="L11386" s="36">
        <v>45030</v>
      </c>
      <c r="M11386" t="s">
        <v>598</v>
      </c>
      <c r="N11386" t="s">
        <v>608</v>
      </c>
      <c r="O11386" s="37" t="str">
        <f t="shared" si="888"/>
        <v>Cash Payment</v>
      </c>
      <c r="P11386">
        <v>480.2</v>
      </c>
      <c r="Q11386" s="37" t="str">
        <f>IF(P11386&gt;500,"High","low")</f>
        <v>low</v>
      </c>
      <c r="R11386" s="37" t="str">
        <f t="shared" si="889"/>
        <v>AVERAGE</v>
      </c>
      <c r="S11386" t="s">
        <v>609</v>
      </c>
    </row>
    <row r="11387" spans="1:19" x14ac:dyDescent="0.2">
      <c r="A11387" t="s">
        <v>11998</v>
      </c>
      <c r="B11387" t="s">
        <v>83</v>
      </c>
      <c r="C11387" t="s">
        <v>602</v>
      </c>
      <c r="D11387">
        <v>2302.06</v>
      </c>
      <c r="E11387" s="37" t="str">
        <f t="shared" si="885"/>
        <v xml:space="preserve"> </v>
      </c>
      <c r="F11387">
        <v>0.38</v>
      </c>
      <c r="G11387" s="37" t="str">
        <f t="shared" si="886"/>
        <v>Heavy Discount</v>
      </c>
      <c r="H11387" s="37" t="str">
        <f t="shared" si="887"/>
        <v>Medium</v>
      </c>
      <c r="I11387">
        <v>9</v>
      </c>
      <c r="J11387" t="str" cm="1">
        <f t="array" ref="J11387">_xlfn.IFS(I11387&lt;=3,"small",I11387&lt;=6,"Medium",I11387&lt;=9,"Large")</f>
        <v>Large</v>
      </c>
      <c r="K11387" s="36">
        <v>45289</v>
      </c>
      <c r="L11387" s="36">
        <v>45294</v>
      </c>
      <c r="M11387" t="s">
        <v>598</v>
      </c>
      <c r="N11387" t="s">
        <v>608</v>
      </c>
      <c r="O11387" s="37" t="str">
        <f t="shared" si="888"/>
        <v>Cash Payment</v>
      </c>
      <c r="P11387">
        <v>423.21</v>
      </c>
      <c r="Q11387" s="37" t="str">
        <f>IF(P11387&gt;500,"High","low")</f>
        <v>low</v>
      </c>
      <c r="R11387" s="37" t="str">
        <f t="shared" si="889"/>
        <v>AVERAGE</v>
      </c>
      <c r="S11387" t="s">
        <v>605</v>
      </c>
    </row>
    <row r="11388" spans="1:19" x14ac:dyDescent="0.2">
      <c r="A11388" t="s">
        <v>11999</v>
      </c>
      <c r="B11388" t="s">
        <v>90</v>
      </c>
      <c r="C11388" t="s">
        <v>602</v>
      </c>
      <c r="D11388">
        <v>998.33</v>
      </c>
      <c r="E11388" s="37" t="str">
        <f t="shared" si="885"/>
        <v xml:space="preserve"> </v>
      </c>
      <c r="F11388">
        <v>0.31</v>
      </c>
      <c r="G11388" s="37" t="str">
        <f t="shared" si="886"/>
        <v>Heavy Discount</v>
      </c>
      <c r="H11388" s="37" t="str">
        <f t="shared" si="887"/>
        <v>Medium</v>
      </c>
      <c r="I11388">
        <v>6</v>
      </c>
      <c r="J11388" t="str" cm="1">
        <f t="array" ref="J11388">_xlfn.IFS(I11388&lt;=3,"small",I11388&lt;=6,"Medium",I11388&lt;=9,"Large")</f>
        <v>Medium</v>
      </c>
      <c r="K11388" s="36">
        <v>45206</v>
      </c>
      <c r="L11388" s="36">
        <v>45209</v>
      </c>
      <c r="M11388" t="s">
        <v>603</v>
      </c>
      <c r="N11388" t="s">
        <v>599</v>
      </c>
      <c r="O11388" s="37" t="str">
        <f t="shared" si="888"/>
        <v>Digital Payment</v>
      </c>
      <c r="P11388">
        <v>189.88</v>
      </c>
      <c r="Q11388" s="37" t="str">
        <f>IF(P11388&gt;500,"High","low")</f>
        <v>low</v>
      </c>
      <c r="R11388" s="37" t="str">
        <f t="shared" si="889"/>
        <v>AVERAGE</v>
      </c>
      <c r="S11388" t="s">
        <v>605</v>
      </c>
    </row>
    <row r="11389" spans="1:19" x14ac:dyDescent="0.2">
      <c r="A11389" t="s">
        <v>12000</v>
      </c>
      <c r="B11389" t="s">
        <v>75</v>
      </c>
      <c r="C11389" t="s">
        <v>614</v>
      </c>
      <c r="D11389">
        <v>554.98</v>
      </c>
      <c r="E11389" s="37" t="str">
        <f t="shared" si="885"/>
        <v xml:space="preserve"> </v>
      </c>
      <c r="F11389">
        <v>0.27</v>
      </c>
      <c r="G11389" s="37" t="str">
        <f t="shared" si="886"/>
        <v>Normal Discount</v>
      </c>
      <c r="H11389" s="37" t="str">
        <f t="shared" si="887"/>
        <v>Medium</v>
      </c>
      <c r="I11389">
        <v>4</v>
      </c>
      <c r="J11389" t="str" cm="1">
        <f t="array" ref="J11389">_xlfn.IFS(I11389&lt;=3,"small",I11389&lt;=6,"Medium",I11389&lt;=9,"Large")</f>
        <v>Medium</v>
      </c>
      <c r="K11389" s="36">
        <v>44930</v>
      </c>
      <c r="L11389" s="36">
        <v>44935</v>
      </c>
      <c r="M11389" t="s">
        <v>598</v>
      </c>
      <c r="N11389" t="s">
        <v>599</v>
      </c>
      <c r="O11389" s="37" t="str">
        <f t="shared" si="888"/>
        <v>Digital Payment</v>
      </c>
      <c r="P11389">
        <v>128.5</v>
      </c>
      <c r="Q11389" s="37" t="str">
        <f>IF(P11389&gt;500,"High","low")</f>
        <v>low</v>
      </c>
      <c r="R11389" s="37" t="str">
        <f t="shared" si="889"/>
        <v>AVERAGE</v>
      </c>
      <c r="S11389" t="s">
        <v>628</v>
      </c>
    </row>
    <row r="11390" spans="1:19" x14ac:dyDescent="0.2">
      <c r="A11390" t="s">
        <v>12001</v>
      </c>
      <c r="B11390" t="s">
        <v>90</v>
      </c>
      <c r="C11390" t="s">
        <v>597</v>
      </c>
      <c r="D11390">
        <v>1465.8</v>
      </c>
      <c r="E11390" s="37" t="str">
        <f t="shared" si="885"/>
        <v xml:space="preserve"> </v>
      </c>
      <c r="F11390">
        <v>0.48</v>
      </c>
      <c r="G11390" s="37" t="str">
        <f t="shared" si="886"/>
        <v>Heavy Discount</v>
      </c>
      <c r="H11390" s="37" t="str">
        <f t="shared" si="887"/>
        <v>High</v>
      </c>
      <c r="I11390">
        <v>6</v>
      </c>
      <c r="J11390" t="str" cm="1">
        <f t="array" ref="J11390">_xlfn.IFS(I11390&lt;=3,"small",I11390&lt;=6,"Medium",I11390&lt;=9,"Large")</f>
        <v>Medium</v>
      </c>
      <c r="K11390" s="36">
        <v>45556</v>
      </c>
      <c r="L11390" s="36">
        <v>45562</v>
      </c>
      <c r="M11390" t="s">
        <v>603</v>
      </c>
      <c r="N11390" t="s">
        <v>599</v>
      </c>
      <c r="O11390" s="37" t="str">
        <f t="shared" si="888"/>
        <v>Digital Payment</v>
      </c>
      <c r="P11390">
        <v>332.1</v>
      </c>
      <c r="Q11390" s="37" t="str">
        <f>IF(P11390&gt;500,"High","low")</f>
        <v>low</v>
      </c>
      <c r="R11390" s="37" t="str">
        <f t="shared" si="889"/>
        <v>AVERAGE</v>
      </c>
      <c r="S11390" t="s">
        <v>615</v>
      </c>
    </row>
    <row r="11391" spans="1:19" x14ac:dyDescent="0.2">
      <c r="A11391" t="s">
        <v>12002</v>
      </c>
      <c r="B11391" t="s">
        <v>83</v>
      </c>
      <c r="C11391" t="s">
        <v>602</v>
      </c>
      <c r="D11391">
        <v>3622.63</v>
      </c>
      <c r="E11391" s="37" t="str">
        <f t="shared" si="885"/>
        <v xml:space="preserve"> </v>
      </c>
      <c r="F11391">
        <v>0.16</v>
      </c>
      <c r="G11391" s="37" t="str">
        <f t="shared" si="886"/>
        <v>Normal Discount</v>
      </c>
      <c r="H11391" s="37" t="str">
        <f t="shared" si="887"/>
        <v>Low</v>
      </c>
      <c r="I11391">
        <v>7</v>
      </c>
      <c r="J11391" t="str" cm="1">
        <f t="array" ref="J11391">_xlfn.IFS(I11391&lt;=3,"small",I11391&lt;=6,"Medium",I11391&lt;=9,"Large")</f>
        <v>Large</v>
      </c>
      <c r="K11391" s="36">
        <v>45077</v>
      </c>
      <c r="L11391" s="36">
        <v>45079</v>
      </c>
      <c r="M11391" t="s">
        <v>598</v>
      </c>
      <c r="N11391" t="s">
        <v>604</v>
      </c>
      <c r="O11391" s="37" t="str">
        <f t="shared" si="888"/>
        <v>Digital Payment</v>
      </c>
      <c r="P11391">
        <v>803.64</v>
      </c>
      <c r="Q11391" s="37" t="str">
        <f>IF(P11391&gt;500,"High","low")</f>
        <v>High</v>
      </c>
      <c r="R11391" s="37" t="str">
        <f t="shared" si="889"/>
        <v>Good</v>
      </c>
      <c r="S11391" t="s">
        <v>605</v>
      </c>
    </row>
    <row r="11392" spans="1:19" x14ac:dyDescent="0.2">
      <c r="A11392" t="s">
        <v>12003</v>
      </c>
      <c r="B11392" t="s">
        <v>90</v>
      </c>
      <c r="C11392" t="s">
        <v>597</v>
      </c>
      <c r="D11392">
        <v>2117.6799999999998</v>
      </c>
      <c r="E11392" s="37" t="str">
        <f t="shared" si="885"/>
        <v xml:space="preserve"> </v>
      </c>
      <c r="F11392">
        <v>0.09</v>
      </c>
      <c r="G11392" s="37" t="str">
        <f t="shared" si="886"/>
        <v>Normal Discount</v>
      </c>
      <c r="H11392" s="37" t="str">
        <f t="shared" si="887"/>
        <v>Low</v>
      </c>
      <c r="I11392">
        <v>7</v>
      </c>
      <c r="J11392" t="str" cm="1">
        <f t="array" ref="J11392">_xlfn.IFS(I11392&lt;=3,"small",I11392&lt;=6,"Medium",I11392&lt;=9,"Large")</f>
        <v>Large</v>
      </c>
      <c r="K11392" s="36">
        <v>44968</v>
      </c>
      <c r="L11392" s="36">
        <v>44972</v>
      </c>
      <c r="M11392" t="s">
        <v>598</v>
      </c>
      <c r="N11392" t="s">
        <v>604</v>
      </c>
      <c r="O11392" s="37" t="str">
        <f t="shared" si="888"/>
        <v>Digital Payment</v>
      </c>
      <c r="P11392">
        <v>149.06</v>
      </c>
      <c r="Q11392" s="37" t="str">
        <f>IF(P11392&gt;500,"High","low")</f>
        <v>low</v>
      </c>
      <c r="R11392" s="37" t="str">
        <f t="shared" si="889"/>
        <v>AVERAGE</v>
      </c>
      <c r="S11392" t="s">
        <v>609</v>
      </c>
    </row>
    <row r="11393" spans="1:19" x14ac:dyDescent="0.2">
      <c r="A11393" t="s">
        <v>12004</v>
      </c>
      <c r="B11393" t="s">
        <v>67</v>
      </c>
      <c r="C11393" t="s">
        <v>617</v>
      </c>
      <c r="D11393">
        <v>2894.12</v>
      </c>
      <c r="E11393" s="37" t="str">
        <f t="shared" si="885"/>
        <v xml:space="preserve"> </v>
      </c>
      <c r="F11393">
        <v>0.44</v>
      </c>
      <c r="G11393" s="37" t="str">
        <f t="shared" si="886"/>
        <v>Heavy Discount</v>
      </c>
      <c r="H11393" s="37" t="str">
        <f t="shared" si="887"/>
        <v>High</v>
      </c>
      <c r="I11393">
        <v>3</v>
      </c>
      <c r="J11393" t="str" cm="1">
        <f t="array" ref="J11393">_xlfn.IFS(I11393&lt;=3,"small",I11393&lt;=6,"Medium",I11393&lt;=9,"Large")</f>
        <v>small</v>
      </c>
      <c r="K11393" s="36">
        <v>45302</v>
      </c>
      <c r="L11393" s="36">
        <v>45309</v>
      </c>
      <c r="M11393" t="s">
        <v>598</v>
      </c>
      <c r="N11393" t="s">
        <v>604</v>
      </c>
      <c r="O11393" s="37" t="str">
        <f t="shared" si="888"/>
        <v>Digital Payment</v>
      </c>
      <c r="P11393">
        <v>688.53</v>
      </c>
      <c r="Q11393" s="37" t="str">
        <f>IF(P11393&gt;500,"High","low")</f>
        <v>High</v>
      </c>
      <c r="R11393" s="37" t="str">
        <f t="shared" si="889"/>
        <v>Good</v>
      </c>
      <c r="S11393" t="s">
        <v>609</v>
      </c>
    </row>
    <row r="11394" spans="1:19" x14ac:dyDescent="0.2">
      <c r="A11394" t="s">
        <v>12005</v>
      </c>
      <c r="B11394" t="s">
        <v>90</v>
      </c>
      <c r="C11394" t="s">
        <v>597</v>
      </c>
      <c r="D11394">
        <v>502.02</v>
      </c>
      <c r="E11394" s="37" t="str">
        <f t="shared" si="885"/>
        <v xml:space="preserve"> </v>
      </c>
      <c r="F11394">
        <v>0.03</v>
      </c>
      <c r="G11394" s="37" t="str">
        <f t="shared" si="886"/>
        <v>Normal Discount</v>
      </c>
      <c r="H11394" s="37" t="str">
        <f t="shared" si="887"/>
        <v>Low</v>
      </c>
      <c r="I11394">
        <v>6</v>
      </c>
      <c r="J11394" t="str" cm="1">
        <f t="array" ref="J11394">_xlfn.IFS(I11394&lt;=3,"small",I11394&lt;=6,"Medium",I11394&lt;=9,"Large")</f>
        <v>Medium</v>
      </c>
      <c r="K11394" s="36">
        <v>45555</v>
      </c>
      <c r="L11394" s="36">
        <v>45562</v>
      </c>
      <c r="M11394" t="s">
        <v>603</v>
      </c>
      <c r="N11394" t="s">
        <v>599</v>
      </c>
      <c r="O11394" s="37" t="str">
        <f t="shared" si="888"/>
        <v>Digital Payment</v>
      </c>
      <c r="P11394">
        <v>124.36</v>
      </c>
      <c r="Q11394" s="37" t="str">
        <f>IF(P11394&gt;500,"High","low")</f>
        <v>low</v>
      </c>
      <c r="R11394" s="37" t="str">
        <f t="shared" si="889"/>
        <v>AVERAGE</v>
      </c>
      <c r="S11394" t="s">
        <v>628</v>
      </c>
    </row>
    <row r="11395" spans="1:19" x14ac:dyDescent="0.2">
      <c r="A11395" t="s">
        <v>12006</v>
      </c>
      <c r="B11395" t="s">
        <v>75</v>
      </c>
      <c r="C11395" t="s">
        <v>607</v>
      </c>
      <c r="D11395">
        <v>703.89</v>
      </c>
      <c r="E11395" s="37" t="str">
        <f t="shared" ref="E11395:E11458" si="890">IF(AND(D11395&gt;4000,P11395&gt;800),"Excellent Order"," ")</f>
        <v xml:space="preserve"> </v>
      </c>
      <c r="F11395">
        <v>0.41</v>
      </c>
      <c r="G11395" s="37" t="str">
        <f t="shared" ref="G11395:G11458" si="891">IF(F11395&gt;30%,"Heavy Discount","Normal Discount")</f>
        <v>Heavy Discount</v>
      </c>
      <c r="H11395" s="37" t="str">
        <f t="shared" ref="H11395:H11458" si="892">IF(F11395&gt;0.4,"High",IF(F11395&gt;=0.2,"Medium","Low"))</f>
        <v>High</v>
      </c>
      <c r="I11395">
        <v>7</v>
      </c>
      <c r="J11395" t="str" cm="1">
        <f t="array" ref="J11395">_xlfn.IFS(I11395&lt;=3,"small",I11395&lt;=6,"Medium",I11395&lt;=9,"Large")</f>
        <v>Large</v>
      </c>
      <c r="K11395" s="36">
        <v>44945</v>
      </c>
      <c r="L11395" s="36">
        <v>44951</v>
      </c>
      <c r="M11395" t="s">
        <v>603</v>
      </c>
      <c r="N11395" t="s">
        <v>599</v>
      </c>
      <c r="O11395" s="37" t="str">
        <f t="shared" ref="O11395:O11458" si="893">IF(OR(N11395="Card",N11395="UPI"),"Digital Payment","Cash Payment")</f>
        <v>Digital Payment</v>
      </c>
      <c r="P11395">
        <v>148.21</v>
      </c>
      <c r="Q11395" s="37" t="str">
        <f>IF(P11395&gt;500,"High","low")</f>
        <v>low</v>
      </c>
      <c r="R11395" s="37" t="str">
        <f t="shared" ref="R11395:R11458" si="894">IF(P11395&gt;1000,"Excellent",IF(P11395&gt;=500,"Good","AVERAGE"))</f>
        <v>AVERAGE</v>
      </c>
      <c r="S11395" t="s">
        <v>600</v>
      </c>
    </row>
    <row r="11396" spans="1:19" x14ac:dyDescent="0.2">
      <c r="A11396" t="s">
        <v>12007</v>
      </c>
      <c r="B11396" t="s">
        <v>90</v>
      </c>
      <c r="C11396" t="s">
        <v>597</v>
      </c>
      <c r="D11396">
        <v>155.4</v>
      </c>
      <c r="E11396" s="37" t="str">
        <f t="shared" si="890"/>
        <v xml:space="preserve"> </v>
      </c>
      <c r="F11396">
        <v>0.28999999999999998</v>
      </c>
      <c r="G11396" s="37" t="str">
        <f t="shared" si="891"/>
        <v>Normal Discount</v>
      </c>
      <c r="H11396" s="37" t="str">
        <f t="shared" si="892"/>
        <v>Medium</v>
      </c>
      <c r="I11396">
        <v>1</v>
      </c>
      <c r="J11396" t="str" cm="1">
        <f t="array" ref="J11396">_xlfn.IFS(I11396&lt;=3,"small",I11396&lt;=6,"Medium",I11396&lt;=9,"Large")</f>
        <v>small</v>
      </c>
      <c r="K11396" s="36">
        <v>45338</v>
      </c>
      <c r="L11396" s="36">
        <v>45344</v>
      </c>
      <c r="M11396" t="s">
        <v>598</v>
      </c>
      <c r="N11396" t="s">
        <v>604</v>
      </c>
      <c r="O11396" s="37" t="str">
        <f t="shared" si="893"/>
        <v>Digital Payment</v>
      </c>
      <c r="P11396">
        <v>40.880000000000003</v>
      </c>
      <c r="Q11396" s="37" t="str">
        <f>IF(P11396&gt;500,"High","low")</f>
        <v>low</v>
      </c>
      <c r="R11396" s="37" t="str">
        <f t="shared" si="894"/>
        <v>AVERAGE</v>
      </c>
      <c r="S11396" t="s">
        <v>605</v>
      </c>
    </row>
    <row r="11397" spans="1:19" x14ac:dyDescent="0.2">
      <c r="A11397" t="s">
        <v>12008</v>
      </c>
      <c r="B11397" t="s">
        <v>75</v>
      </c>
      <c r="C11397" t="s">
        <v>602</v>
      </c>
      <c r="D11397">
        <v>3399.09</v>
      </c>
      <c r="E11397" s="37" t="str">
        <f t="shared" si="890"/>
        <v xml:space="preserve"> </v>
      </c>
      <c r="F11397">
        <v>0.08</v>
      </c>
      <c r="G11397" s="37" t="str">
        <f t="shared" si="891"/>
        <v>Normal Discount</v>
      </c>
      <c r="H11397" s="37" t="str">
        <f t="shared" si="892"/>
        <v>Low</v>
      </c>
      <c r="I11397">
        <v>4</v>
      </c>
      <c r="J11397" t="str" cm="1">
        <f t="array" ref="J11397">_xlfn.IFS(I11397&lt;=3,"small",I11397&lt;=6,"Medium",I11397&lt;=9,"Large")</f>
        <v>Medium</v>
      </c>
      <c r="K11397" s="36">
        <v>45462</v>
      </c>
      <c r="L11397" s="36">
        <v>45467</v>
      </c>
      <c r="M11397" t="s">
        <v>612</v>
      </c>
      <c r="N11397" t="s">
        <v>608</v>
      </c>
      <c r="O11397" s="37" t="str">
        <f t="shared" si="893"/>
        <v>Cash Payment</v>
      </c>
      <c r="P11397">
        <v>429.47</v>
      </c>
      <c r="Q11397" s="37" t="str">
        <f>IF(P11397&gt;500,"High","low")</f>
        <v>low</v>
      </c>
      <c r="R11397" s="37" t="str">
        <f t="shared" si="894"/>
        <v>AVERAGE</v>
      </c>
      <c r="S11397" t="s">
        <v>609</v>
      </c>
    </row>
    <row r="11398" spans="1:19" x14ac:dyDescent="0.2">
      <c r="A11398" t="s">
        <v>12009</v>
      </c>
      <c r="B11398" t="s">
        <v>83</v>
      </c>
      <c r="C11398" t="s">
        <v>597</v>
      </c>
      <c r="D11398">
        <v>1395.83</v>
      </c>
      <c r="E11398" s="37" t="str">
        <f t="shared" si="890"/>
        <v xml:space="preserve"> </v>
      </c>
      <c r="F11398">
        <v>0.11</v>
      </c>
      <c r="G11398" s="37" t="str">
        <f t="shared" si="891"/>
        <v>Normal Discount</v>
      </c>
      <c r="H11398" s="37" t="str">
        <f t="shared" si="892"/>
        <v>Low</v>
      </c>
      <c r="I11398">
        <v>7</v>
      </c>
      <c r="J11398" t="str" cm="1">
        <f t="array" ref="J11398">_xlfn.IFS(I11398&lt;=3,"small",I11398&lt;=6,"Medium",I11398&lt;=9,"Large")</f>
        <v>Large</v>
      </c>
      <c r="K11398" s="36">
        <v>45162</v>
      </c>
      <c r="L11398" s="36">
        <v>45168</v>
      </c>
      <c r="M11398" t="s">
        <v>612</v>
      </c>
      <c r="N11398" t="s">
        <v>608</v>
      </c>
      <c r="O11398" s="37" t="str">
        <f t="shared" si="893"/>
        <v>Cash Payment</v>
      </c>
      <c r="P11398">
        <v>97.14</v>
      </c>
      <c r="Q11398" s="37" t="str">
        <f>IF(P11398&gt;500,"High","low")</f>
        <v>low</v>
      </c>
      <c r="R11398" s="37" t="str">
        <f t="shared" si="894"/>
        <v>AVERAGE</v>
      </c>
      <c r="S11398" t="s">
        <v>615</v>
      </c>
    </row>
    <row r="11399" spans="1:19" x14ac:dyDescent="0.2">
      <c r="A11399" t="s">
        <v>12010</v>
      </c>
      <c r="B11399" t="s">
        <v>90</v>
      </c>
      <c r="C11399" t="s">
        <v>597</v>
      </c>
      <c r="D11399">
        <v>4837.9399999999996</v>
      </c>
      <c r="E11399" s="37" t="str">
        <f t="shared" si="890"/>
        <v xml:space="preserve"> </v>
      </c>
      <c r="F11399">
        <v>0.08</v>
      </c>
      <c r="G11399" s="37" t="str">
        <f t="shared" si="891"/>
        <v>Normal Discount</v>
      </c>
      <c r="H11399" s="37" t="str">
        <f t="shared" si="892"/>
        <v>Low</v>
      </c>
      <c r="I11399">
        <v>1</v>
      </c>
      <c r="J11399" t="str" cm="1">
        <f t="array" ref="J11399">_xlfn.IFS(I11399&lt;=3,"small",I11399&lt;=6,"Medium",I11399&lt;=9,"Large")</f>
        <v>small</v>
      </c>
      <c r="K11399" s="36">
        <v>45431</v>
      </c>
      <c r="L11399" s="36">
        <v>45437</v>
      </c>
      <c r="M11399" t="s">
        <v>612</v>
      </c>
      <c r="N11399" t="s">
        <v>608</v>
      </c>
      <c r="O11399" s="37" t="str">
        <f t="shared" si="893"/>
        <v>Cash Payment</v>
      </c>
      <c r="P11399">
        <v>611.44000000000005</v>
      </c>
      <c r="Q11399" s="37" t="str">
        <f>IF(P11399&gt;500,"High","low")</f>
        <v>High</v>
      </c>
      <c r="R11399" s="37" t="str">
        <f t="shared" si="894"/>
        <v>Good</v>
      </c>
      <c r="S11399" t="s">
        <v>615</v>
      </c>
    </row>
    <row r="11400" spans="1:19" x14ac:dyDescent="0.2">
      <c r="A11400" t="s">
        <v>12011</v>
      </c>
      <c r="B11400" t="s">
        <v>83</v>
      </c>
      <c r="C11400" t="s">
        <v>607</v>
      </c>
      <c r="D11400">
        <v>1611.43</v>
      </c>
      <c r="E11400" s="37" t="str">
        <f t="shared" si="890"/>
        <v xml:space="preserve"> </v>
      </c>
      <c r="F11400">
        <v>0.36</v>
      </c>
      <c r="G11400" s="37" t="str">
        <f t="shared" si="891"/>
        <v>Heavy Discount</v>
      </c>
      <c r="H11400" s="37" t="str">
        <f t="shared" si="892"/>
        <v>Medium</v>
      </c>
      <c r="I11400">
        <v>8</v>
      </c>
      <c r="J11400" t="str" cm="1">
        <f t="array" ref="J11400">_xlfn.IFS(I11400&lt;=3,"small",I11400&lt;=6,"Medium",I11400&lt;=9,"Large")</f>
        <v>Large</v>
      </c>
      <c r="K11400" s="36">
        <v>44933</v>
      </c>
      <c r="L11400" s="36">
        <v>44938</v>
      </c>
      <c r="M11400" t="s">
        <v>612</v>
      </c>
      <c r="N11400" t="s">
        <v>608</v>
      </c>
      <c r="O11400" s="37" t="str">
        <f t="shared" si="893"/>
        <v>Cash Payment</v>
      </c>
      <c r="P11400">
        <v>370.73</v>
      </c>
      <c r="Q11400" s="37" t="str">
        <f>IF(P11400&gt;500,"High","low")</f>
        <v>low</v>
      </c>
      <c r="R11400" s="37" t="str">
        <f t="shared" si="894"/>
        <v>AVERAGE</v>
      </c>
      <c r="S11400" t="s">
        <v>609</v>
      </c>
    </row>
    <row r="11401" spans="1:19" x14ac:dyDescent="0.2">
      <c r="A11401" t="s">
        <v>12012</v>
      </c>
      <c r="B11401" t="s">
        <v>83</v>
      </c>
      <c r="C11401" t="s">
        <v>607</v>
      </c>
      <c r="D11401">
        <v>1881.73</v>
      </c>
      <c r="E11401" s="37" t="str">
        <f t="shared" si="890"/>
        <v xml:space="preserve"> </v>
      </c>
      <c r="F11401">
        <v>7.0000000000000007E-2</v>
      </c>
      <c r="G11401" s="37" t="str">
        <f t="shared" si="891"/>
        <v>Normal Discount</v>
      </c>
      <c r="H11401" s="37" t="str">
        <f t="shared" si="892"/>
        <v>Low</v>
      </c>
      <c r="I11401">
        <v>6</v>
      </c>
      <c r="J11401" t="str" cm="1">
        <f t="array" ref="J11401">_xlfn.IFS(I11401&lt;=3,"small",I11401&lt;=6,"Medium",I11401&lt;=9,"Large")</f>
        <v>Medium</v>
      </c>
      <c r="K11401" s="36">
        <v>45050</v>
      </c>
      <c r="L11401" s="36">
        <v>45052</v>
      </c>
      <c r="M11401" t="s">
        <v>612</v>
      </c>
      <c r="N11401" t="s">
        <v>608</v>
      </c>
      <c r="O11401" s="37" t="str">
        <f t="shared" si="893"/>
        <v>Cash Payment</v>
      </c>
      <c r="P11401">
        <v>457.77</v>
      </c>
      <c r="Q11401" s="37" t="str">
        <f>IF(P11401&gt;500,"High","low")</f>
        <v>low</v>
      </c>
      <c r="R11401" s="37" t="str">
        <f t="shared" si="894"/>
        <v>AVERAGE</v>
      </c>
      <c r="S11401" t="s">
        <v>609</v>
      </c>
    </row>
    <row r="11402" spans="1:19" x14ac:dyDescent="0.2">
      <c r="A11402" t="s">
        <v>12013</v>
      </c>
      <c r="B11402" t="s">
        <v>90</v>
      </c>
      <c r="C11402" t="s">
        <v>614</v>
      </c>
      <c r="D11402">
        <v>2400.5</v>
      </c>
      <c r="E11402" s="37" t="str">
        <f t="shared" si="890"/>
        <v xml:space="preserve"> </v>
      </c>
      <c r="F11402">
        <v>0.34</v>
      </c>
      <c r="G11402" s="37" t="str">
        <f t="shared" si="891"/>
        <v>Heavy Discount</v>
      </c>
      <c r="H11402" s="37" t="str">
        <f t="shared" si="892"/>
        <v>Medium</v>
      </c>
      <c r="I11402">
        <v>6</v>
      </c>
      <c r="J11402" t="str" cm="1">
        <f t="array" ref="J11402">_xlfn.IFS(I11402&lt;=3,"small",I11402&lt;=6,"Medium",I11402&lt;=9,"Large")</f>
        <v>Medium</v>
      </c>
      <c r="K11402" s="36">
        <v>45439</v>
      </c>
      <c r="L11402" s="36">
        <v>45440</v>
      </c>
      <c r="M11402" t="s">
        <v>598</v>
      </c>
      <c r="N11402" t="s">
        <v>608</v>
      </c>
      <c r="O11402" s="37" t="str">
        <f t="shared" si="893"/>
        <v>Cash Payment</v>
      </c>
      <c r="P11402">
        <v>491.51</v>
      </c>
      <c r="Q11402" s="37" t="str">
        <f>IF(P11402&gt;500,"High","low")</f>
        <v>low</v>
      </c>
      <c r="R11402" s="37" t="str">
        <f t="shared" si="894"/>
        <v>AVERAGE</v>
      </c>
      <c r="S11402" t="s">
        <v>609</v>
      </c>
    </row>
    <row r="11403" spans="1:19" x14ac:dyDescent="0.2">
      <c r="A11403" t="s">
        <v>12014</v>
      </c>
      <c r="B11403" t="s">
        <v>75</v>
      </c>
      <c r="C11403" t="s">
        <v>602</v>
      </c>
      <c r="D11403">
        <v>1663.79</v>
      </c>
      <c r="E11403" s="37" t="str">
        <f t="shared" si="890"/>
        <v xml:space="preserve"> </v>
      </c>
      <c r="F11403">
        <v>0.06</v>
      </c>
      <c r="G11403" s="37" t="str">
        <f t="shared" si="891"/>
        <v>Normal Discount</v>
      </c>
      <c r="H11403" s="37" t="str">
        <f t="shared" si="892"/>
        <v>Low</v>
      </c>
      <c r="I11403">
        <v>3</v>
      </c>
      <c r="J11403" t="str" cm="1">
        <f t="array" ref="J11403">_xlfn.IFS(I11403&lt;=3,"small",I11403&lt;=6,"Medium",I11403&lt;=9,"Large")</f>
        <v>small</v>
      </c>
      <c r="K11403" s="36">
        <v>45321</v>
      </c>
      <c r="L11403" s="36">
        <v>45323</v>
      </c>
      <c r="M11403" t="s">
        <v>612</v>
      </c>
      <c r="N11403" t="s">
        <v>608</v>
      </c>
      <c r="O11403" s="37" t="str">
        <f t="shared" si="893"/>
        <v>Cash Payment</v>
      </c>
      <c r="P11403">
        <v>153.44</v>
      </c>
      <c r="Q11403" s="37" t="str">
        <f>IF(P11403&gt;500,"High","low")</f>
        <v>low</v>
      </c>
      <c r="R11403" s="37" t="str">
        <f t="shared" si="894"/>
        <v>AVERAGE</v>
      </c>
      <c r="S11403" t="s">
        <v>609</v>
      </c>
    </row>
    <row r="11404" spans="1:19" x14ac:dyDescent="0.2">
      <c r="A11404" t="s">
        <v>12015</v>
      </c>
      <c r="B11404" t="s">
        <v>83</v>
      </c>
      <c r="C11404" t="s">
        <v>614</v>
      </c>
      <c r="D11404">
        <v>4105.47</v>
      </c>
      <c r="E11404" s="37" t="str">
        <f t="shared" si="890"/>
        <v>Excellent Order</v>
      </c>
      <c r="F11404">
        <v>0.4</v>
      </c>
      <c r="G11404" s="37" t="str">
        <f t="shared" si="891"/>
        <v>Heavy Discount</v>
      </c>
      <c r="H11404" s="37" t="str">
        <f t="shared" si="892"/>
        <v>Medium</v>
      </c>
      <c r="I11404">
        <v>6</v>
      </c>
      <c r="J11404" t="str" cm="1">
        <f t="array" ref="J11404">_xlfn.IFS(I11404&lt;=3,"small",I11404&lt;=6,"Medium",I11404&lt;=9,"Large")</f>
        <v>Medium</v>
      </c>
      <c r="K11404" s="36">
        <v>45617</v>
      </c>
      <c r="L11404" s="36">
        <v>45622</v>
      </c>
      <c r="M11404" t="s">
        <v>612</v>
      </c>
      <c r="N11404" t="s">
        <v>608</v>
      </c>
      <c r="O11404" s="37" t="str">
        <f t="shared" si="893"/>
        <v>Cash Payment</v>
      </c>
      <c r="P11404">
        <v>958.83</v>
      </c>
      <c r="Q11404" s="37" t="str">
        <f>IF(P11404&gt;500,"High","low")</f>
        <v>High</v>
      </c>
      <c r="R11404" s="37" t="str">
        <f t="shared" si="894"/>
        <v>Good</v>
      </c>
      <c r="S11404" t="s">
        <v>600</v>
      </c>
    </row>
    <row r="11405" spans="1:19" x14ac:dyDescent="0.2">
      <c r="A11405" t="s">
        <v>12016</v>
      </c>
      <c r="B11405" t="s">
        <v>83</v>
      </c>
      <c r="C11405" t="s">
        <v>607</v>
      </c>
      <c r="D11405">
        <v>4393.41</v>
      </c>
      <c r="E11405" s="37" t="str">
        <f t="shared" si="890"/>
        <v xml:space="preserve"> </v>
      </c>
      <c r="F11405">
        <v>0.46</v>
      </c>
      <c r="G11405" s="37" t="str">
        <f t="shared" si="891"/>
        <v>Heavy Discount</v>
      </c>
      <c r="H11405" s="37" t="str">
        <f t="shared" si="892"/>
        <v>High</v>
      </c>
      <c r="I11405">
        <v>4</v>
      </c>
      <c r="J11405" t="str" cm="1">
        <f t="array" ref="J11405">_xlfn.IFS(I11405&lt;=3,"small",I11405&lt;=6,"Medium",I11405&lt;=9,"Large")</f>
        <v>Medium</v>
      </c>
      <c r="K11405" s="36">
        <v>45626</v>
      </c>
      <c r="L11405" s="36">
        <v>45632</v>
      </c>
      <c r="M11405" t="s">
        <v>598</v>
      </c>
      <c r="N11405" t="s">
        <v>604</v>
      </c>
      <c r="O11405" s="37" t="str">
        <f t="shared" si="893"/>
        <v>Digital Payment</v>
      </c>
      <c r="P11405">
        <v>231.85</v>
      </c>
      <c r="Q11405" s="37" t="str">
        <f>IF(P11405&gt;500,"High","low")</f>
        <v>low</v>
      </c>
      <c r="R11405" s="37" t="str">
        <f t="shared" si="894"/>
        <v>AVERAGE</v>
      </c>
      <c r="S11405" t="s">
        <v>609</v>
      </c>
    </row>
    <row r="11406" spans="1:19" x14ac:dyDescent="0.2">
      <c r="A11406" t="s">
        <v>12017</v>
      </c>
      <c r="B11406" t="s">
        <v>90</v>
      </c>
      <c r="C11406" t="s">
        <v>597</v>
      </c>
      <c r="D11406">
        <v>154.08000000000001</v>
      </c>
      <c r="E11406" s="37" t="str">
        <f t="shared" si="890"/>
        <v xml:space="preserve"> </v>
      </c>
      <c r="F11406">
        <v>0.28000000000000003</v>
      </c>
      <c r="G11406" s="37" t="str">
        <f t="shared" si="891"/>
        <v>Normal Discount</v>
      </c>
      <c r="H11406" s="37" t="str">
        <f t="shared" si="892"/>
        <v>Medium</v>
      </c>
      <c r="I11406">
        <v>9</v>
      </c>
      <c r="J11406" t="str" cm="1">
        <f t="array" ref="J11406">_xlfn.IFS(I11406&lt;=3,"small",I11406&lt;=6,"Medium",I11406&lt;=9,"Large")</f>
        <v>Large</v>
      </c>
      <c r="K11406" s="36">
        <v>45597</v>
      </c>
      <c r="L11406" s="36">
        <v>45603</v>
      </c>
      <c r="M11406" t="s">
        <v>612</v>
      </c>
      <c r="N11406" t="s">
        <v>599</v>
      </c>
      <c r="O11406" s="37" t="str">
        <f t="shared" si="893"/>
        <v>Digital Payment</v>
      </c>
      <c r="P11406">
        <v>9.9499999999999993</v>
      </c>
      <c r="Q11406" s="37" t="str">
        <f>IF(P11406&gt;500,"High","low")</f>
        <v>low</v>
      </c>
      <c r="R11406" s="37" t="str">
        <f t="shared" si="894"/>
        <v>AVERAGE</v>
      </c>
      <c r="S11406" t="s">
        <v>628</v>
      </c>
    </row>
    <row r="11407" spans="1:19" x14ac:dyDescent="0.2">
      <c r="A11407" t="s">
        <v>12018</v>
      </c>
      <c r="B11407" t="s">
        <v>90</v>
      </c>
      <c r="C11407" t="s">
        <v>607</v>
      </c>
      <c r="D11407">
        <v>3307.84</v>
      </c>
      <c r="E11407" s="37" t="str">
        <f t="shared" si="890"/>
        <v xml:space="preserve"> </v>
      </c>
      <c r="F11407">
        <v>0.48</v>
      </c>
      <c r="G11407" s="37" t="str">
        <f t="shared" si="891"/>
        <v>Heavy Discount</v>
      </c>
      <c r="H11407" s="37" t="str">
        <f t="shared" si="892"/>
        <v>High</v>
      </c>
      <c r="I11407">
        <v>4</v>
      </c>
      <c r="J11407" t="str" cm="1">
        <f t="array" ref="J11407">_xlfn.IFS(I11407&lt;=3,"small",I11407&lt;=6,"Medium",I11407&lt;=9,"Large")</f>
        <v>Medium</v>
      </c>
      <c r="K11407" s="36">
        <v>44956</v>
      </c>
      <c r="L11407" s="36">
        <v>44963</v>
      </c>
      <c r="M11407" t="s">
        <v>603</v>
      </c>
      <c r="N11407" t="s">
        <v>604</v>
      </c>
      <c r="O11407" s="37" t="str">
        <f t="shared" si="893"/>
        <v>Digital Payment</v>
      </c>
      <c r="P11407">
        <v>242.53</v>
      </c>
      <c r="Q11407" s="37" t="str">
        <f>IF(P11407&gt;500,"High","low")</f>
        <v>low</v>
      </c>
      <c r="R11407" s="37" t="str">
        <f t="shared" si="894"/>
        <v>AVERAGE</v>
      </c>
      <c r="S11407" t="s">
        <v>628</v>
      </c>
    </row>
    <row r="11408" spans="1:19" x14ac:dyDescent="0.2">
      <c r="A11408" t="s">
        <v>12019</v>
      </c>
      <c r="B11408" t="s">
        <v>90</v>
      </c>
      <c r="C11408" t="s">
        <v>617</v>
      </c>
      <c r="D11408">
        <v>3461.83</v>
      </c>
      <c r="E11408" s="37" t="str">
        <f t="shared" si="890"/>
        <v xml:space="preserve"> </v>
      </c>
      <c r="F11408">
        <v>0.2</v>
      </c>
      <c r="G11408" s="37" t="str">
        <f t="shared" si="891"/>
        <v>Normal Discount</v>
      </c>
      <c r="H11408" s="37" t="str">
        <f t="shared" si="892"/>
        <v>Medium</v>
      </c>
      <c r="I11408">
        <v>6</v>
      </c>
      <c r="J11408" t="str" cm="1">
        <f t="array" ref="J11408">_xlfn.IFS(I11408&lt;=3,"small",I11408&lt;=6,"Medium",I11408&lt;=9,"Large")</f>
        <v>Medium</v>
      </c>
      <c r="K11408" s="36">
        <v>45003</v>
      </c>
      <c r="L11408" s="36">
        <v>45004</v>
      </c>
      <c r="M11408" t="s">
        <v>612</v>
      </c>
      <c r="N11408" t="s">
        <v>599</v>
      </c>
      <c r="O11408" s="37" t="str">
        <f t="shared" si="893"/>
        <v>Digital Payment</v>
      </c>
      <c r="P11408">
        <v>387.13</v>
      </c>
      <c r="Q11408" s="37" t="str">
        <f>IF(P11408&gt;500,"High","low")</f>
        <v>low</v>
      </c>
      <c r="R11408" s="37" t="str">
        <f t="shared" si="894"/>
        <v>AVERAGE</v>
      </c>
      <c r="S11408" t="s">
        <v>600</v>
      </c>
    </row>
    <row r="11409" spans="1:19" x14ac:dyDescent="0.2">
      <c r="A11409" t="s">
        <v>12020</v>
      </c>
      <c r="B11409" t="s">
        <v>90</v>
      </c>
      <c r="C11409" t="s">
        <v>597</v>
      </c>
      <c r="D11409">
        <v>4810.9799999999996</v>
      </c>
      <c r="E11409" s="37" t="str">
        <f t="shared" si="890"/>
        <v xml:space="preserve"> </v>
      </c>
      <c r="F11409">
        <v>0.12</v>
      </c>
      <c r="G11409" s="37" t="str">
        <f t="shared" si="891"/>
        <v>Normal Discount</v>
      </c>
      <c r="H11409" s="37" t="str">
        <f t="shared" si="892"/>
        <v>Low</v>
      </c>
      <c r="I11409">
        <v>6</v>
      </c>
      <c r="J11409" t="str" cm="1">
        <f t="array" ref="J11409">_xlfn.IFS(I11409&lt;=3,"small",I11409&lt;=6,"Medium",I11409&lt;=9,"Large")</f>
        <v>Medium</v>
      </c>
      <c r="K11409" s="36">
        <v>45456</v>
      </c>
      <c r="L11409" s="36">
        <v>45462</v>
      </c>
      <c r="M11409" t="s">
        <v>612</v>
      </c>
      <c r="N11409" t="s">
        <v>599</v>
      </c>
      <c r="O11409" s="37" t="str">
        <f t="shared" si="893"/>
        <v>Digital Payment</v>
      </c>
      <c r="P11409">
        <v>775.61</v>
      </c>
      <c r="Q11409" s="37" t="str">
        <f>IF(P11409&gt;500,"High","low")</f>
        <v>High</v>
      </c>
      <c r="R11409" s="37" t="str">
        <f t="shared" si="894"/>
        <v>Good</v>
      </c>
      <c r="S11409" t="s">
        <v>620</v>
      </c>
    </row>
    <row r="11410" spans="1:19" x14ac:dyDescent="0.2">
      <c r="A11410" t="s">
        <v>12021</v>
      </c>
      <c r="B11410" t="s">
        <v>90</v>
      </c>
      <c r="C11410" t="s">
        <v>614</v>
      </c>
      <c r="D11410">
        <v>1914.96</v>
      </c>
      <c r="E11410" s="37" t="str">
        <f t="shared" si="890"/>
        <v xml:space="preserve"> </v>
      </c>
      <c r="F11410">
        <v>0.09</v>
      </c>
      <c r="G11410" s="37" t="str">
        <f t="shared" si="891"/>
        <v>Normal Discount</v>
      </c>
      <c r="H11410" s="37" t="str">
        <f t="shared" si="892"/>
        <v>Low</v>
      </c>
      <c r="I11410">
        <v>1</v>
      </c>
      <c r="J11410" t="str" cm="1">
        <f t="array" ref="J11410">_xlfn.IFS(I11410&lt;=3,"small",I11410&lt;=6,"Medium",I11410&lt;=9,"Large")</f>
        <v>small</v>
      </c>
      <c r="K11410" s="36">
        <v>45112</v>
      </c>
      <c r="L11410" s="36">
        <v>45115</v>
      </c>
      <c r="M11410" t="s">
        <v>598</v>
      </c>
      <c r="N11410" t="s">
        <v>599</v>
      </c>
      <c r="O11410" s="37" t="str">
        <f t="shared" si="893"/>
        <v>Digital Payment</v>
      </c>
      <c r="P11410">
        <v>354.48</v>
      </c>
      <c r="Q11410" s="37" t="str">
        <f>IF(P11410&gt;500,"High","low")</f>
        <v>low</v>
      </c>
      <c r="R11410" s="37" t="str">
        <f t="shared" si="894"/>
        <v>AVERAGE</v>
      </c>
      <c r="S11410" t="s">
        <v>600</v>
      </c>
    </row>
    <row r="11411" spans="1:19" x14ac:dyDescent="0.2">
      <c r="A11411" t="s">
        <v>12022</v>
      </c>
      <c r="B11411" t="s">
        <v>67</v>
      </c>
      <c r="C11411" t="s">
        <v>597</v>
      </c>
      <c r="D11411">
        <v>1056.8699999999999</v>
      </c>
      <c r="E11411" s="37" t="str">
        <f t="shared" si="890"/>
        <v xml:space="preserve"> </v>
      </c>
      <c r="F11411">
        <v>0.24</v>
      </c>
      <c r="G11411" s="37" t="str">
        <f t="shared" si="891"/>
        <v>Normal Discount</v>
      </c>
      <c r="H11411" s="37" t="str">
        <f t="shared" si="892"/>
        <v>Medium</v>
      </c>
      <c r="I11411">
        <v>4</v>
      </c>
      <c r="J11411" t="str" cm="1">
        <f t="array" ref="J11411">_xlfn.IFS(I11411&lt;=3,"small",I11411&lt;=6,"Medium",I11411&lt;=9,"Large")</f>
        <v>Medium</v>
      </c>
      <c r="K11411" s="36">
        <v>45387</v>
      </c>
      <c r="L11411" s="36">
        <v>45391</v>
      </c>
      <c r="M11411" t="s">
        <v>603</v>
      </c>
      <c r="N11411" t="s">
        <v>608</v>
      </c>
      <c r="O11411" s="37" t="str">
        <f t="shared" si="893"/>
        <v>Cash Payment</v>
      </c>
      <c r="P11411">
        <v>188.78</v>
      </c>
      <c r="Q11411" s="37" t="str">
        <f>IF(P11411&gt;500,"High","low")</f>
        <v>low</v>
      </c>
      <c r="R11411" s="37" t="str">
        <f t="shared" si="894"/>
        <v>AVERAGE</v>
      </c>
      <c r="S11411" t="s">
        <v>609</v>
      </c>
    </row>
    <row r="11412" spans="1:19" x14ac:dyDescent="0.2">
      <c r="A11412" t="s">
        <v>12023</v>
      </c>
      <c r="B11412" t="s">
        <v>90</v>
      </c>
      <c r="C11412" t="s">
        <v>617</v>
      </c>
      <c r="D11412">
        <v>2650.85</v>
      </c>
      <c r="E11412" s="37" t="str">
        <f t="shared" si="890"/>
        <v xml:space="preserve"> </v>
      </c>
      <c r="F11412">
        <v>7.0000000000000007E-2</v>
      </c>
      <c r="G11412" s="37" t="str">
        <f t="shared" si="891"/>
        <v>Normal Discount</v>
      </c>
      <c r="H11412" s="37" t="str">
        <f t="shared" si="892"/>
        <v>Low</v>
      </c>
      <c r="I11412">
        <v>9</v>
      </c>
      <c r="J11412" t="str" cm="1">
        <f t="array" ref="J11412">_xlfn.IFS(I11412&lt;=3,"small",I11412&lt;=6,"Medium",I11412&lt;=9,"Large")</f>
        <v>Large</v>
      </c>
      <c r="K11412" s="36">
        <v>45429</v>
      </c>
      <c r="L11412" s="36">
        <v>45436</v>
      </c>
      <c r="M11412" t="s">
        <v>598</v>
      </c>
      <c r="N11412" t="s">
        <v>599</v>
      </c>
      <c r="O11412" s="37" t="str">
        <f t="shared" si="893"/>
        <v>Digital Payment</v>
      </c>
      <c r="P11412">
        <v>614.32000000000005</v>
      </c>
      <c r="Q11412" s="37" t="str">
        <f>IF(P11412&gt;500,"High","low")</f>
        <v>High</v>
      </c>
      <c r="R11412" s="37" t="str">
        <f t="shared" si="894"/>
        <v>Good</v>
      </c>
      <c r="S11412" t="s">
        <v>620</v>
      </c>
    </row>
    <row r="11413" spans="1:19" x14ac:dyDescent="0.2">
      <c r="A11413" t="s">
        <v>12024</v>
      </c>
      <c r="B11413" t="s">
        <v>75</v>
      </c>
      <c r="C11413" t="s">
        <v>607</v>
      </c>
      <c r="D11413">
        <v>2293.02</v>
      </c>
      <c r="E11413" s="37" t="str">
        <f t="shared" si="890"/>
        <v xml:space="preserve"> </v>
      </c>
      <c r="F11413">
        <v>0.44</v>
      </c>
      <c r="G11413" s="37" t="str">
        <f t="shared" si="891"/>
        <v>Heavy Discount</v>
      </c>
      <c r="H11413" s="37" t="str">
        <f t="shared" si="892"/>
        <v>High</v>
      </c>
      <c r="I11413">
        <v>6</v>
      </c>
      <c r="J11413" t="str" cm="1">
        <f t="array" ref="J11413">_xlfn.IFS(I11413&lt;=3,"small",I11413&lt;=6,"Medium",I11413&lt;=9,"Large")</f>
        <v>Medium</v>
      </c>
      <c r="K11413" s="36">
        <v>45228</v>
      </c>
      <c r="L11413" s="36">
        <v>45229</v>
      </c>
      <c r="M11413" t="s">
        <v>603</v>
      </c>
      <c r="N11413" t="s">
        <v>604</v>
      </c>
      <c r="O11413" s="37" t="str">
        <f t="shared" si="893"/>
        <v>Digital Payment</v>
      </c>
      <c r="P11413">
        <v>188.97</v>
      </c>
      <c r="Q11413" s="37" t="str">
        <f>IF(P11413&gt;500,"High","low")</f>
        <v>low</v>
      </c>
      <c r="R11413" s="37" t="str">
        <f t="shared" si="894"/>
        <v>AVERAGE</v>
      </c>
      <c r="S11413" t="s">
        <v>620</v>
      </c>
    </row>
    <row r="11414" spans="1:19" x14ac:dyDescent="0.2">
      <c r="A11414" t="s">
        <v>12025</v>
      </c>
      <c r="B11414" t="s">
        <v>83</v>
      </c>
      <c r="C11414" t="s">
        <v>602</v>
      </c>
      <c r="D11414">
        <v>3979.48</v>
      </c>
      <c r="E11414" s="37" t="str">
        <f t="shared" si="890"/>
        <v xml:space="preserve"> </v>
      </c>
      <c r="F11414">
        <v>0.39</v>
      </c>
      <c r="G11414" s="37" t="str">
        <f t="shared" si="891"/>
        <v>Heavy Discount</v>
      </c>
      <c r="H11414" s="37" t="str">
        <f t="shared" si="892"/>
        <v>Medium</v>
      </c>
      <c r="I11414">
        <v>4</v>
      </c>
      <c r="J11414" t="str" cm="1">
        <f t="array" ref="J11414">_xlfn.IFS(I11414&lt;=3,"small",I11414&lt;=6,"Medium",I11414&lt;=9,"Large")</f>
        <v>Medium</v>
      </c>
      <c r="K11414" s="36">
        <v>45038</v>
      </c>
      <c r="L11414" s="36">
        <v>45041</v>
      </c>
      <c r="M11414" t="s">
        <v>598</v>
      </c>
      <c r="N11414" t="s">
        <v>599</v>
      </c>
      <c r="O11414" s="37" t="str">
        <f t="shared" si="893"/>
        <v>Digital Payment</v>
      </c>
      <c r="P11414">
        <v>799.15</v>
      </c>
      <c r="Q11414" s="37" t="str">
        <f>IF(P11414&gt;500,"High","low")</f>
        <v>High</v>
      </c>
      <c r="R11414" s="37" t="str">
        <f t="shared" si="894"/>
        <v>Good</v>
      </c>
      <c r="S11414" t="s">
        <v>615</v>
      </c>
    </row>
    <row r="11415" spans="1:19" x14ac:dyDescent="0.2">
      <c r="A11415" t="s">
        <v>12026</v>
      </c>
      <c r="B11415" t="s">
        <v>75</v>
      </c>
      <c r="C11415" t="s">
        <v>602</v>
      </c>
      <c r="D11415">
        <v>4529.4799999999996</v>
      </c>
      <c r="E11415" s="37" t="str">
        <f t="shared" si="890"/>
        <v xml:space="preserve"> </v>
      </c>
      <c r="F11415">
        <v>0.28000000000000003</v>
      </c>
      <c r="G11415" s="37" t="str">
        <f t="shared" si="891"/>
        <v>Normal Discount</v>
      </c>
      <c r="H11415" s="37" t="str">
        <f t="shared" si="892"/>
        <v>Medium</v>
      </c>
      <c r="I11415">
        <v>7</v>
      </c>
      <c r="J11415" t="str" cm="1">
        <f t="array" ref="J11415">_xlfn.IFS(I11415&lt;=3,"small",I11415&lt;=6,"Medium",I11415&lt;=9,"Large")</f>
        <v>Large</v>
      </c>
      <c r="K11415" s="36">
        <v>44945</v>
      </c>
      <c r="L11415" s="36">
        <v>44951</v>
      </c>
      <c r="M11415" t="s">
        <v>598</v>
      </c>
      <c r="N11415" t="s">
        <v>604</v>
      </c>
      <c r="O11415" s="37" t="str">
        <f t="shared" si="893"/>
        <v>Digital Payment</v>
      </c>
      <c r="P11415">
        <v>761.11</v>
      </c>
      <c r="Q11415" s="37" t="str">
        <f>IF(P11415&gt;500,"High","low")</f>
        <v>High</v>
      </c>
      <c r="R11415" s="37" t="str">
        <f t="shared" si="894"/>
        <v>Good</v>
      </c>
      <c r="S11415" t="s">
        <v>628</v>
      </c>
    </row>
    <row r="11416" spans="1:19" x14ac:dyDescent="0.2">
      <c r="A11416" t="s">
        <v>12027</v>
      </c>
      <c r="B11416" t="s">
        <v>75</v>
      </c>
      <c r="C11416" t="s">
        <v>602</v>
      </c>
      <c r="D11416">
        <v>524.87</v>
      </c>
      <c r="E11416" s="37" t="str">
        <f t="shared" si="890"/>
        <v xml:space="preserve"> </v>
      </c>
      <c r="F11416">
        <v>0.36</v>
      </c>
      <c r="G11416" s="37" t="str">
        <f t="shared" si="891"/>
        <v>Heavy Discount</v>
      </c>
      <c r="H11416" s="37" t="str">
        <f t="shared" si="892"/>
        <v>Medium</v>
      </c>
      <c r="I11416">
        <v>7</v>
      </c>
      <c r="J11416" t="str" cm="1">
        <f t="array" ref="J11416">_xlfn.IFS(I11416&lt;=3,"small",I11416&lt;=6,"Medium",I11416&lt;=9,"Large")</f>
        <v>Large</v>
      </c>
      <c r="K11416" s="36">
        <v>44938</v>
      </c>
      <c r="L11416" s="36">
        <v>44945</v>
      </c>
      <c r="M11416" t="s">
        <v>603</v>
      </c>
      <c r="N11416" t="s">
        <v>604</v>
      </c>
      <c r="O11416" s="37" t="str">
        <f t="shared" si="893"/>
        <v>Digital Payment</v>
      </c>
      <c r="P11416">
        <v>115.24</v>
      </c>
      <c r="Q11416" s="37" t="str">
        <f>IF(P11416&gt;500,"High","low")</f>
        <v>low</v>
      </c>
      <c r="R11416" s="37" t="str">
        <f t="shared" si="894"/>
        <v>AVERAGE</v>
      </c>
      <c r="S11416" t="s">
        <v>605</v>
      </c>
    </row>
    <row r="11417" spans="1:19" x14ac:dyDescent="0.2">
      <c r="A11417" t="s">
        <v>12028</v>
      </c>
      <c r="B11417" t="s">
        <v>67</v>
      </c>
      <c r="C11417" t="s">
        <v>607</v>
      </c>
      <c r="D11417">
        <v>4248.24</v>
      </c>
      <c r="E11417" s="37" t="str">
        <f t="shared" si="890"/>
        <v>Excellent Order</v>
      </c>
      <c r="F11417">
        <v>0.02</v>
      </c>
      <c r="G11417" s="37" t="str">
        <f t="shared" si="891"/>
        <v>Normal Discount</v>
      </c>
      <c r="H11417" s="37" t="str">
        <f t="shared" si="892"/>
        <v>Low</v>
      </c>
      <c r="I11417">
        <v>5</v>
      </c>
      <c r="J11417" t="str" cm="1">
        <f t="array" ref="J11417">_xlfn.IFS(I11417&lt;=3,"small",I11417&lt;=6,"Medium",I11417&lt;=9,"Large")</f>
        <v>Medium</v>
      </c>
      <c r="K11417" s="36">
        <v>45144</v>
      </c>
      <c r="L11417" s="36">
        <v>45149</v>
      </c>
      <c r="M11417" t="s">
        <v>603</v>
      </c>
      <c r="N11417" t="s">
        <v>604</v>
      </c>
      <c r="O11417" s="37" t="str">
        <f t="shared" si="893"/>
        <v>Digital Payment</v>
      </c>
      <c r="P11417">
        <v>1247.78</v>
      </c>
      <c r="Q11417" s="37" t="str">
        <f>IF(P11417&gt;500,"High","low")</f>
        <v>High</v>
      </c>
      <c r="R11417" s="37" t="str">
        <f t="shared" si="894"/>
        <v>Excellent</v>
      </c>
      <c r="S11417" t="s">
        <v>600</v>
      </c>
    </row>
    <row r="11418" spans="1:19" x14ac:dyDescent="0.2">
      <c r="A11418" t="s">
        <v>12029</v>
      </c>
      <c r="B11418" t="s">
        <v>90</v>
      </c>
      <c r="C11418" t="s">
        <v>602</v>
      </c>
      <c r="D11418">
        <v>4553.96</v>
      </c>
      <c r="E11418" s="37" t="str">
        <f t="shared" si="890"/>
        <v xml:space="preserve"> </v>
      </c>
      <c r="F11418">
        <v>0.1</v>
      </c>
      <c r="G11418" s="37" t="str">
        <f t="shared" si="891"/>
        <v>Normal Discount</v>
      </c>
      <c r="H11418" s="37" t="str">
        <f t="shared" si="892"/>
        <v>Low</v>
      </c>
      <c r="I11418">
        <v>4</v>
      </c>
      <c r="J11418" t="str" cm="1">
        <f t="array" ref="J11418">_xlfn.IFS(I11418&lt;=3,"small",I11418&lt;=6,"Medium",I11418&lt;=9,"Large")</f>
        <v>Medium</v>
      </c>
      <c r="K11418" s="36">
        <v>45264</v>
      </c>
      <c r="L11418" s="36">
        <v>45265</v>
      </c>
      <c r="M11418" t="s">
        <v>603</v>
      </c>
      <c r="N11418" t="s">
        <v>608</v>
      </c>
      <c r="O11418" s="37" t="str">
        <f t="shared" si="893"/>
        <v>Cash Payment</v>
      </c>
      <c r="P11418">
        <v>650.52</v>
      </c>
      <c r="Q11418" s="37" t="str">
        <f>IF(P11418&gt;500,"High","low")</f>
        <v>High</v>
      </c>
      <c r="R11418" s="37" t="str">
        <f t="shared" si="894"/>
        <v>Good</v>
      </c>
      <c r="S11418" t="s">
        <v>605</v>
      </c>
    </row>
    <row r="11419" spans="1:19" x14ac:dyDescent="0.2">
      <c r="A11419" t="s">
        <v>12030</v>
      </c>
      <c r="B11419" t="s">
        <v>83</v>
      </c>
      <c r="C11419" t="s">
        <v>617</v>
      </c>
      <c r="D11419">
        <v>4628.2700000000004</v>
      </c>
      <c r="E11419" s="37" t="str">
        <f t="shared" si="890"/>
        <v xml:space="preserve"> </v>
      </c>
      <c r="F11419">
        <v>0.31</v>
      </c>
      <c r="G11419" s="37" t="str">
        <f t="shared" si="891"/>
        <v>Heavy Discount</v>
      </c>
      <c r="H11419" s="37" t="str">
        <f t="shared" si="892"/>
        <v>Medium</v>
      </c>
      <c r="I11419">
        <v>4</v>
      </c>
      <c r="J11419" t="str" cm="1">
        <f t="array" ref="J11419">_xlfn.IFS(I11419&lt;=3,"small",I11419&lt;=6,"Medium",I11419&lt;=9,"Large")</f>
        <v>Medium</v>
      </c>
      <c r="K11419" s="36">
        <v>45232</v>
      </c>
      <c r="L11419" s="36">
        <v>45234</v>
      </c>
      <c r="M11419" t="s">
        <v>603</v>
      </c>
      <c r="N11419" t="s">
        <v>608</v>
      </c>
      <c r="O11419" s="37" t="str">
        <f t="shared" si="893"/>
        <v>Cash Payment</v>
      </c>
      <c r="P11419">
        <v>516.41999999999996</v>
      </c>
      <c r="Q11419" s="37" t="str">
        <f>IF(P11419&gt;500,"High","low")</f>
        <v>High</v>
      </c>
      <c r="R11419" s="37" t="str">
        <f t="shared" si="894"/>
        <v>Good</v>
      </c>
      <c r="S11419" t="s">
        <v>605</v>
      </c>
    </row>
    <row r="11420" spans="1:19" x14ac:dyDescent="0.2">
      <c r="A11420" t="s">
        <v>12031</v>
      </c>
      <c r="B11420" t="s">
        <v>75</v>
      </c>
      <c r="C11420" t="s">
        <v>607</v>
      </c>
      <c r="D11420">
        <v>3845.12</v>
      </c>
      <c r="E11420" s="37" t="str">
        <f t="shared" si="890"/>
        <v xml:space="preserve"> </v>
      </c>
      <c r="F11420">
        <v>0.24</v>
      </c>
      <c r="G11420" s="37" t="str">
        <f t="shared" si="891"/>
        <v>Normal Discount</v>
      </c>
      <c r="H11420" s="37" t="str">
        <f t="shared" si="892"/>
        <v>Medium</v>
      </c>
      <c r="I11420">
        <v>7</v>
      </c>
      <c r="J11420" t="str" cm="1">
        <f t="array" ref="J11420">_xlfn.IFS(I11420&lt;=3,"small",I11420&lt;=6,"Medium",I11420&lt;=9,"Large")</f>
        <v>Large</v>
      </c>
      <c r="K11420" s="36">
        <v>45330</v>
      </c>
      <c r="L11420" s="36">
        <v>45336</v>
      </c>
      <c r="M11420" t="s">
        <v>612</v>
      </c>
      <c r="N11420" t="s">
        <v>608</v>
      </c>
      <c r="O11420" s="37" t="str">
        <f t="shared" si="893"/>
        <v>Cash Payment</v>
      </c>
      <c r="P11420">
        <v>1017.28</v>
      </c>
      <c r="Q11420" s="37" t="str">
        <f>IF(P11420&gt;500,"High","low")</f>
        <v>High</v>
      </c>
      <c r="R11420" s="37" t="str">
        <f t="shared" si="894"/>
        <v>Excellent</v>
      </c>
      <c r="S11420" t="s">
        <v>600</v>
      </c>
    </row>
    <row r="11421" spans="1:19" x14ac:dyDescent="0.2">
      <c r="A11421" t="s">
        <v>12032</v>
      </c>
      <c r="B11421" t="s">
        <v>90</v>
      </c>
      <c r="C11421" t="s">
        <v>602</v>
      </c>
      <c r="D11421">
        <v>3736.2</v>
      </c>
      <c r="E11421" s="37" t="str">
        <f t="shared" si="890"/>
        <v xml:space="preserve"> </v>
      </c>
      <c r="F11421">
        <v>0.3</v>
      </c>
      <c r="G11421" s="37" t="str">
        <f t="shared" si="891"/>
        <v>Normal Discount</v>
      </c>
      <c r="H11421" s="37" t="str">
        <f t="shared" si="892"/>
        <v>Medium</v>
      </c>
      <c r="I11421">
        <v>6</v>
      </c>
      <c r="J11421" t="str" cm="1">
        <f t="array" ref="J11421">_xlfn.IFS(I11421&lt;=3,"small",I11421&lt;=6,"Medium",I11421&lt;=9,"Large")</f>
        <v>Medium</v>
      </c>
      <c r="K11421" s="36">
        <v>45444</v>
      </c>
      <c r="L11421" s="36">
        <v>45448</v>
      </c>
      <c r="M11421" t="s">
        <v>612</v>
      </c>
      <c r="N11421" t="s">
        <v>604</v>
      </c>
      <c r="O11421" s="37" t="str">
        <f t="shared" si="893"/>
        <v>Digital Payment</v>
      </c>
      <c r="P11421">
        <v>459.32</v>
      </c>
      <c r="Q11421" s="37" t="str">
        <f>IF(P11421&gt;500,"High","low")</f>
        <v>low</v>
      </c>
      <c r="R11421" s="37" t="str">
        <f t="shared" si="894"/>
        <v>AVERAGE</v>
      </c>
      <c r="S11421" t="s">
        <v>600</v>
      </c>
    </row>
    <row r="11422" spans="1:19" x14ac:dyDescent="0.2">
      <c r="A11422" t="s">
        <v>12033</v>
      </c>
      <c r="B11422" t="s">
        <v>90</v>
      </c>
      <c r="C11422" t="s">
        <v>614</v>
      </c>
      <c r="D11422">
        <v>172.99</v>
      </c>
      <c r="E11422" s="37" t="str">
        <f t="shared" si="890"/>
        <v xml:space="preserve"> </v>
      </c>
      <c r="F11422">
        <v>0.04</v>
      </c>
      <c r="G11422" s="37" t="str">
        <f t="shared" si="891"/>
        <v>Normal Discount</v>
      </c>
      <c r="H11422" s="37" t="str">
        <f t="shared" si="892"/>
        <v>Low</v>
      </c>
      <c r="I11422">
        <v>4</v>
      </c>
      <c r="J11422" t="str" cm="1">
        <f t="array" ref="J11422">_xlfn.IFS(I11422&lt;=3,"small",I11422&lt;=6,"Medium",I11422&lt;=9,"Large")</f>
        <v>Medium</v>
      </c>
      <c r="K11422" s="36">
        <v>45317</v>
      </c>
      <c r="L11422" s="36">
        <v>45323</v>
      </c>
      <c r="M11422" t="s">
        <v>612</v>
      </c>
      <c r="N11422" t="s">
        <v>604</v>
      </c>
      <c r="O11422" s="37" t="str">
        <f t="shared" si="893"/>
        <v>Digital Payment</v>
      </c>
      <c r="P11422">
        <v>45.88</v>
      </c>
      <c r="Q11422" s="37" t="str">
        <f>IF(P11422&gt;500,"High","low")</f>
        <v>low</v>
      </c>
      <c r="R11422" s="37" t="str">
        <f t="shared" si="894"/>
        <v>AVERAGE</v>
      </c>
      <c r="S11422" t="s">
        <v>609</v>
      </c>
    </row>
    <row r="11423" spans="1:19" x14ac:dyDescent="0.2">
      <c r="A11423" t="s">
        <v>12034</v>
      </c>
      <c r="B11423" t="s">
        <v>67</v>
      </c>
      <c r="C11423" t="s">
        <v>607</v>
      </c>
      <c r="D11423">
        <v>4608.9399999999996</v>
      </c>
      <c r="E11423" s="37" t="str">
        <f t="shared" si="890"/>
        <v xml:space="preserve"> </v>
      </c>
      <c r="F11423">
        <v>0.33</v>
      </c>
      <c r="G11423" s="37" t="str">
        <f t="shared" si="891"/>
        <v>Heavy Discount</v>
      </c>
      <c r="H11423" s="37" t="str">
        <f t="shared" si="892"/>
        <v>Medium</v>
      </c>
      <c r="I11423">
        <v>3</v>
      </c>
      <c r="J11423" t="str" cm="1">
        <f t="array" ref="J11423">_xlfn.IFS(I11423&lt;=3,"small",I11423&lt;=6,"Medium",I11423&lt;=9,"Large")</f>
        <v>small</v>
      </c>
      <c r="K11423" s="36">
        <v>45278</v>
      </c>
      <c r="L11423" s="36">
        <v>45285</v>
      </c>
      <c r="M11423" t="s">
        <v>603</v>
      </c>
      <c r="N11423" t="s">
        <v>604</v>
      </c>
      <c r="O11423" s="37" t="str">
        <f t="shared" si="893"/>
        <v>Digital Payment</v>
      </c>
      <c r="P11423">
        <v>295.87</v>
      </c>
      <c r="Q11423" s="37" t="str">
        <f>IF(P11423&gt;500,"High","low")</f>
        <v>low</v>
      </c>
      <c r="R11423" s="37" t="str">
        <f t="shared" si="894"/>
        <v>AVERAGE</v>
      </c>
      <c r="S11423" t="s">
        <v>609</v>
      </c>
    </row>
    <row r="11424" spans="1:19" x14ac:dyDescent="0.2">
      <c r="A11424" t="s">
        <v>12035</v>
      </c>
      <c r="B11424" t="s">
        <v>67</v>
      </c>
      <c r="C11424" t="s">
        <v>607</v>
      </c>
      <c r="D11424">
        <v>1822.38</v>
      </c>
      <c r="E11424" s="37" t="str">
        <f t="shared" si="890"/>
        <v xml:space="preserve"> </v>
      </c>
      <c r="F11424">
        <v>0.4</v>
      </c>
      <c r="G11424" s="37" t="str">
        <f t="shared" si="891"/>
        <v>Heavy Discount</v>
      </c>
      <c r="H11424" s="37" t="str">
        <f t="shared" si="892"/>
        <v>Medium</v>
      </c>
      <c r="I11424">
        <v>2</v>
      </c>
      <c r="J11424" t="str" cm="1">
        <f t="array" ref="J11424">_xlfn.IFS(I11424&lt;=3,"small",I11424&lt;=6,"Medium",I11424&lt;=9,"Large")</f>
        <v>small</v>
      </c>
      <c r="K11424" s="36">
        <v>45237</v>
      </c>
      <c r="L11424" s="36">
        <v>45239</v>
      </c>
      <c r="M11424" t="s">
        <v>612</v>
      </c>
      <c r="N11424" t="s">
        <v>604</v>
      </c>
      <c r="O11424" s="37" t="str">
        <f t="shared" si="893"/>
        <v>Digital Payment</v>
      </c>
      <c r="P11424">
        <v>119.85</v>
      </c>
      <c r="Q11424" s="37" t="str">
        <f>IF(P11424&gt;500,"High","low")</f>
        <v>low</v>
      </c>
      <c r="R11424" s="37" t="str">
        <f t="shared" si="894"/>
        <v>AVERAGE</v>
      </c>
      <c r="S11424" t="s">
        <v>615</v>
      </c>
    </row>
    <row r="11425" spans="1:19" x14ac:dyDescent="0.2">
      <c r="A11425" t="s">
        <v>12036</v>
      </c>
      <c r="B11425" t="s">
        <v>67</v>
      </c>
      <c r="C11425" t="s">
        <v>597</v>
      </c>
      <c r="D11425">
        <v>301.5</v>
      </c>
      <c r="E11425" s="37" t="str">
        <f t="shared" si="890"/>
        <v xml:space="preserve"> </v>
      </c>
      <c r="F11425">
        <v>0.27</v>
      </c>
      <c r="G11425" s="37" t="str">
        <f t="shared" si="891"/>
        <v>Normal Discount</v>
      </c>
      <c r="H11425" s="37" t="str">
        <f t="shared" si="892"/>
        <v>Medium</v>
      </c>
      <c r="I11425">
        <v>4</v>
      </c>
      <c r="J11425" t="str" cm="1">
        <f t="array" ref="J11425">_xlfn.IFS(I11425&lt;=3,"small",I11425&lt;=6,"Medium",I11425&lt;=9,"Large")</f>
        <v>Medium</v>
      </c>
      <c r="K11425" s="36">
        <v>45407</v>
      </c>
      <c r="L11425" s="36">
        <v>45409</v>
      </c>
      <c r="M11425" t="s">
        <v>612</v>
      </c>
      <c r="N11425" t="s">
        <v>604</v>
      </c>
      <c r="O11425" s="37" t="str">
        <f t="shared" si="893"/>
        <v>Digital Payment</v>
      </c>
      <c r="P11425">
        <v>62.33</v>
      </c>
      <c r="Q11425" s="37" t="str">
        <f>IF(P11425&gt;500,"High","low")</f>
        <v>low</v>
      </c>
      <c r="R11425" s="37" t="str">
        <f t="shared" si="894"/>
        <v>AVERAGE</v>
      </c>
      <c r="S11425" t="s">
        <v>605</v>
      </c>
    </row>
    <row r="11426" spans="1:19" x14ac:dyDescent="0.2">
      <c r="A11426" t="s">
        <v>12037</v>
      </c>
      <c r="B11426" t="s">
        <v>83</v>
      </c>
      <c r="C11426" t="s">
        <v>602</v>
      </c>
      <c r="D11426">
        <v>2123.6</v>
      </c>
      <c r="E11426" s="37" t="str">
        <f t="shared" si="890"/>
        <v xml:space="preserve"> </v>
      </c>
      <c r="F11426">
        <v>0.18</v>
      </c>
      <c r="G11426" s="37" t="str">
        <f t="shared" si="891"/>
        <v>Normal Discount</v>
      </c>
      <c r="H11426" s="37" t="str">
        <f t="shared" si="892"/>
        <v>Low</v>
      </c>
      <c r="I11426">
        <v>7</v>
      </c>
      <c r="J11426" t="str" cm="1">
        <f t="array" ref="J11426">_xlfn.IFS(I11426&lt;=3,"small",I11426&lt;=6,"Medium",I11426&lt;=9,"Large")</f>
        <v>Large</v>
      </c>
      <c r="K11426" s="36">
        <v>45050</v>
      </c>
      <c r="L11426" s="36">
        <v>45054</v>
      </c>
      <c r="M11426" t="s">
        <v>612</v>
      </c>
      <c r="N11426" t="s">
        <v>604</v>
      </c>
      <c r="O11426" s="37" t="str">
        <f t="shared" si="893"/>
        <v>Digital Payment</v>
      </c>
      <c r="P11426">
        <v>256.54000000000002</v>
      </c>
      <c r="Q11426" s="37" t="str">
        <f>IF(P11426&gt;500,"High","low")</f>
        <v>low</v>
      </c>
      <c r="R11426" s="37" t="str">
        <f t="shared" si="894"/>
        <v>AVERAGE</v>
      </c>
      <c r="S11426" t="s">
        <v>600</v>
      </c>
    </row>
    <row r="11427" spans="1:19" x14ac:dyDescent="0.2">
      <c r="A11427" t="s">
        <v>12038</v>
      </c>
      <c r="B11427" t="s">
        <v>75</v>
      </c>
      <c r="C11427" t="s">
        <v>614</v>
      </c>
      <c r="D11427">
        <v>3690.98</v>
      </c>
      <c r="E11427" s="37" t="str">
        <f t="shared" si="890"/>
        <v xml:space="preserve"> </v>
      </c>
      <c r="F11427">
        <v>0.09</v>
      </c>
      <c r="G11427" s="37" t="str">
        <f t="shared" si="891"/>
        <v>Normal Discount</v>
      </c>
      <c r="H11427" s="37" t="str">
        <f t="shared" si="892"/>
        <v>Low</v>
      </c>
      <c r="I11427">
        <v>2</v>
      </c>
      <c r="J11427" t="str" cm="1">
        <f t="array" ref="J11427">_xlfn.IFS(I11427&lt;=3,"small",I11427&lt;=6,"Medium",I11427&lt;=9,"Large")</f>
        <v>small</v>
      </c>
      <c r="K11427" s="36">
        <v>45453</v>
      </c>
      <c r="L11427" s="36">
        <v>45455</v>
      </c>
      <c r="M11427" t="s">
        <v>612</v>
      </c>
      <c r="N11427" t="s">
        <v>604</v>
      </c>
      <c r="O11427" s="37" t="str">
        <f t="shared" si="893"/>
        <v>Digital Payment</v>
      </c>
      <c r="P11427">
        <v>546.28</v>
      </c>
      <c r="Q11427" s="37" t="str">
        <f>IF(P11427&gt;500,"High","low")</f>
        <v>High</v>
      </c>
      <c r="R11427" s="37" t="str">
        <f t="shared" si="894"/>
        <v>Good</v>
      </c>
      <c r="S11427" t="s">
        <v>620</v>
      </c>
    </row>
    <row r="11428" spans="1:19" x14ac:dyDescent="0.2">
      <c r="A11428" t="s">
        <v>12039</v>
      </c>
      <c r="B11428" t="s">
        <v>67</v>
      </c>
      <c r="C11428" t="s">
        <v>617</v>
      </c>
      <c r="D11428">
        <v>2265.58</v>
      </c>
      <c r="E11428" s="37" t="str">
        <f t="shared" si="890"/>
        <v xml:space="preserve"> </v>
      </c>
      <c r="F11428">
        <v>0.13</v>
      </c>
      <c r="G11428" s="37" t="str">
        <f t="shared" si="891"/>
        <v>Normal Discount</v>
      </c>
      <c r="H11428" s="37" t="str">
        <f t="shared" si="892"/>
        <v>Low</v>
      </c>
      <c r="I11428">
        <v>9</v>
      </c>
      <c r="J11428" t="str" cm="1">
        <f t="array" ref="J11428">_xlfn.IFS(I11428&lt;=3,"small",I11428&lt;=6,"Medium",I11428&lt;=9,"Large")</f>
        <v>Large</v>
      </c>
      <c r="K11428" s="36">
        <v>45334</v>
      </c>
      <c r="L11428" s="36">
        <v>45339</v>
      </c>
      <c r="M11428" t="s">
        <v>603</v>
      </c>
      <c r="N11428" t="s">
        <v>608</v>
      </c>
      <c r="O11428" s="37" t="str">
        <f t="shared" si="893"/>
        <v>Cash Payment</v>
      </c>
      <c r="P11428">
        <v>123.44</v>
      </c>
      <c r="Q11428" s="37" t="str">
        <f>IF(P11428&gt;500,"High","low")</f>
        <v>low</v>
      </c>
      <c r="R11428" s="37" t="str">
        <f t="shared" si="894"/>
        <v>AVERAGE</v>
      </c>
      <c r="S11428" t="s">
        <v>628</v>
      </c>
    </row>
    <row r="11429" spans="1:19" x14ac:dyDescent="0.2">
      <c r="A11429" t="s">
        <v>12040</v>
      </c>
      <c r="B11429" t="s">
        <v>67</v>
      </c>
      <c r="C11429" t="s">
        <v>607</v>
      </c>
      <c r="D11429">
        <v>3814.25</v>
      </c>
      <c r="E11429" s="37" t="str">
        <f t="shared" si="890"/>
        <v xml:space="preserve"> </v>
      </c>
      <c r="F11429">
        <v>0.26</v>
      </c>
      <c r="G11429" s="37" t="str">
        <f t="shared" si="891"/>
        <v>Normal Discount</v>
      </c>
      <c r="H11429" s="37" t="str">
        <f t="shared" si="892"/>
        <v>Medium</v>
      </c>
      <c r="I11429">
        <v>9</v>
      </c>
      <c r="J11429" t="str" cm="1">
        <f t="array" ref="J11429">_xlfn.IFS(I11429&lt;=3,"small",I11429&lt;=6,"Medium",I11429&lt;=9,"Large")</f>
        <v>Large</v>
      </c>
      <c r="K11429" s="36">
        <v>45211</v>
      </c>
      <c r="L11429" s="36">
        <v>45213</v>
      </c>
      <c r="M11429" t="s">
        <v>598</v>
      </c>
      <c r="N11429" t="s">
        <v>599</v>
      </c>
      <c r="O11429" s="37" t="str">
        <f t="shared" si="893"/>
        <v>Digital Payment</v>
      </c>
      <c r="P11429">
        <v>686.7</v>
      </c>
      <c r="Q11429" s="37" t="str">
        <f>IF(P11429&gt;500,"High","low")</f>
        <v>High</v>
      </c>
      <c r="R11429" s="37" t="str">
        <f t="shared" si="894"/>
        <v>Good</v>
      </c>
      <c r="S11429" t="s">
        <v>609</v>
      </c>
    </row>
    <row r="11430" spans="1:19" x14ac:dyDescent="0.2">
      <c r="A11430" t="s">
        <v>12041</v>
      </c>
      <c r="B11430" t="s">
        <v>67</v>
      </c>
      <c r="C11430" t="s">
        <v>617</v>
      </c>
      <c r="D11430">
        <v>2596.11</v>
      </c>
      <c r="E11430" s="37" t="str">
        <f t="shared" si="890"/>
        <v xml:space="preserve"> </v>
      </c>
      <c r="F11430">
        <v>0.13</v>
      </c>
      <c r="G11430" s="37" t="str">
        <f t="shared" si="891"/>
        <v>Normal Discount</v>
      </c>
      <c r="H11430" s="37" t="str">
        <f t="shared" si="892"/>
        <v>Low</v>
      </c>
      <c r="I11430">
        <v>6</v>
      </c>
      <c r="J11430" t="str" cm="1">
        <f t="array" ref="J11430">_xlfn.IFS(I11430&lt;=3,"small",I11430&lt;=6,"Medium",I11430&lt;=9,"Large")</f>
        <v>Medium</v>
      </c>
      <c r="K11430" s="36">
        <v>45125</v>
      </c>
      <c r="L11430" s="36">
        <v>45132</v>
      </c>
      <c r="M11430" t="s">
        <v>603</v>
      </c>
      <c r="N11430" t="s">
        <v>604</v>
      </c>
      <c r="O11430" s="37" t="str">
        <f t="shared" si="893"/>
        <v>Digital Payment</v>
      </c>
      <c r="P11430">
        <v>139</v>
      </c>
      <c r="Q11430" s="37" t="str">
        <f>IF(P11430&gt;500,"High","low")</f>
        <v>low</v>
      </c>
      <c r="R11430" s="37" t="str">
        <f t="shared" si="894"/>
        <v>AVERAGE</v>
      </c>
      <c r="S11430" t="s">
        <v>620</v>
      </c>
    </row>
    <row r="11431" spans="1:19" x14ac:dyDescent="0.2">
      <c r="A11431" t="s">
        <v>12042</v>
      </c>
      <c r="B11431" t="s">
        <v>75</v>
      </c>
      <c r="C11431" t="s">
        <v>617</v>
      </c>
      <c r="D11431">
        <v>1567.19</v>
      </c>
      <c r="E11431" s="37" t="str">
        <f t="shared" si="890"/>
        <v xml:space="preserve"> </v>
      </c>
      <c r="F11431">
        <v>0.39</v>
      </c>
      <c r="G11431" s="37" t="str">
        <f t="shared" si="891"/>
        <v>Heavy Discount</v>
      </c>
      <c r="H11431" s="37" t="str">
        <f t="shared" si="892"/>
        <v>Medium</v>
      </c>
      <c r="I11431">
        <v>9</v>
      </c>
      <c r="J11431" t="str" cm="1">
        <f t="array" ref="J11431">_xlfn.IFS(I11431&lt;=3,"small",I11431&lt;=6,"Medium",I11431&lt;=9,"Large")</f>
        <v>Large</v>
      </c>
      <c r="K11431" s="36">
        <v>45388</v>
      </c>
      <c r="L11431" s="36">
        <v>45393</v>
      </c>
      <c r="M11431" t="s">
        <v>598</v>
      </c>
      <c r="N11431" t="s">
        <v>608</v>
      </c>
      <c r="O11431" s="37" t="str">
        <f t="shared" si="893"/>
        <v>Cash Payment</v>
      </c>
      <c r="P11431">
        <v>413.69</v>
      </c>
      <c r="Q11431" s="37" t="str">
        <f>IF(P11431&gt;500,"High","low")</f>
        <v>low</v>
      </c>
      <c r="R11431" s="37" t="str">
        <f t="shared" si="894"/>
        <v>AVERAGE</v>
      </c>
      <c r="S11431" t="s">
        <v>615</v>
      </c>
    </row>
    <row r="11432" spans="1:19" x14ac:dyDescent="0.2">
      <c r="A11432" t="s">
        <v>12043</v>
      </c>
      <c r="B11432" t="s">
        <v>75</v>
      </c>
      <c r="C11432" t="s">
        <v>617</v>
      </c>
      <c r="D11432">
        <v>1094.27</v>
      </c>
      <c r="E11432" s="37" t="str">
        <f t="shared" si="890"/>
        <v xml:space="preserve"> </v>
      </c>
      <c r="F11432">
        <v>7.0000000000000007E-2</v>
      </c>
      <c r="G11432" s="37" t="str">
        <f t="shared" si="891"/>
        <v>Normal Discount</v>
      </c>
      <c r="H11432" s="37" t="str">
        <f t="shared" si="892"/>
        <v>Low</v>
      </c>
      <c r="I11432">
        <v>1</v>
      </c>
      <c r="J11432" t="str" cm="1">
        <f t="array" ref="J11432">_xlfn.IFS(I11432&lt;=3,"small",I11432&lt;=6,"Medium",I11432&lt;=9,"Large")</f>
        <v>small</v>
      </c>
      <c r="K11432" s="36">
        <v>45394</v>
      </c>
      <c r="L11432" s="36">
        <v>45396</v>
      </c>
      <c r="M11432" t="s">
        <v>603</v>
      </c>
      <c r="N11432" t="s">
        <v>608</v>
      </c>
      <c r="O11432" s="37" t="str">
        <f t="shared" si="893"/>
        <v>Cash Payment</v>
      </c>
      <c r="P11432">
        <v>239.43</v>
      </c>
      <c r="Q11432" s="37" t="str">
        <f>IF(P11432&gt;500,"High","low")</f>
        <v>low</v>
      </c>
      <c r="R11432" s="37" t="str">
        <f t="shared" si="894"/>
        <v>AVERAGE</v>
      </c>
      <c r="S11432" t="s">
        <v>605</v>
      </c>
    </row>
    <row r="11433" spans="1:19" x14ac:dyDescent="0.2">
      <c r="A11433" t="s">
        <v>12044</v>
      </c>
      <c r="B11433" t="s">
        <v>67</v>
      </c>
      <c r="C11433" t="s">
        <v>597</v>
      </c>
      <c r="D11433">
        <v>2163.41</v>
      </c>
      <c r="E11433" s="37" t="str">
        <f t="shared" si="890"/>
        <v xml:space="preserve"> </v>
      </c>
      <c r="F11433">
        <v>0.26</v>
      </c>
      <c r="G11433" s="37" t="str">
        <f t="shared" si="891"/>
        <v>Normal Discount</v>
      </c>
      <c r="H11433" s="37" t="str">
        <f t="shared" si="892"/>
        <v>Medium</v>
      </c>
      <c r="I11433">
        <v>6</v>
      </c>
      <c r="J11433" t="str" cm="1">
        <f t="array" ref="J11433">_xlfn.IFS(I11433&lt;=3,"small",I11433&lt;=6,"Medium",I11433&lt;=9,"Large")</f>
        <v>Medium</v>
      </c>
      <c r="K11433" s="36">
        <v>45019</v>
      </c>
      <c r="L11433" s="36">
        <v>45025</v>
      </c>
      <c r="M11433" t="s">
        <v>603</v>
      </c>
      <c r="N11433" t="s">
        <v>604</v>
      </c>
      <c r="O11433" s="37" t="str">
        <f t="shared" si="893"/>
        <v>Digital Payment</v>
      </c>
      <c r="P11433">
        <v>345.32</v>
      </c>
      <c r="Q11433" s="37" t="str">
        <f>IF(P11433&gt;500,"High","low")</f>
        <v>low</v>
      </c>
      <c r="R11433" s="37" t="str">
        <f t="shared" si="894"/>
        <v>AVERAGE</v>
      </c>
      <c r="S11433" t="s">
        <v>600</v>
      </c>
    </row>
    <row r="11434" spans="1:19" x14ac:dyDescent="0.2">
      <c r="A11434" t="s">
        <v>12045</v>
      </c>
      <c r="B11434" t="s">
        <v>67</v>
      </c>
      <c r="C11434" t="s">
        <v>617</v>
      </c>
      <c r="D11434">
        <v>275.44</v>
      </c>
      <c r="E11434" s="37" t="str">
        <f t="shared" si="890"/>
        <v xml:space="preserve"> </v>
      </c>
      <c r="F11434">
        <v>0.25</v>
      </c>
      <c r="G11434" s="37" t="str">
        <f t="shared" si="891"/>
        <v>Normal Discount</v>
      </c>
      <c r="H11434" s="37" t="str">
        <f t="shared" si="892"/>
        <v>Medium</v>
      </c>
      <c r="I11434">
        <v>3</v>
      </c>
      <c r="J11434" t="str" cm="1">
        <f t="array" ref="J11434">_xlfn.IFS(I11434&lt;=3,"small",I11434&lt;=6,"Medium",I11434&lt;=9,"Large")</f>
        <v>small</v>
      </c>
      <c r="K11434" s="36">
        <v>45475</v>
      </c>
      <c r="L11434" s="36">
        <v>45480</v>
      </c>
      <c r="M11434" t="s">
        <v>612</v>
      </c>
      <c r="N11434" t="s">
        <v>608</v>
      </c>
      <c r="O11434" s="37" t="str">
        <f t="shared" si="893"/>
        <v>Cash Payment</v>
      </c>
      <c r="P11434">
        <v>57.88</v>
      </c>
      <c r="Q11434" s="37" t="str">
        <f>IF(P11434&gt;500,"High","low")</f>
        <v>low</v>
      </c>
      <c r="R11434" s="37" t="str">
        <f t="shared" si="894"/>
        <v>AVERAGE</v>
      </c>
      <c r="S11434" t="s">
        <v>615</v>
      </c>
    </row>
    <row r="11435" spans="1:19" x14ac:dyDescent="0.2">
      <c r="A11435" t="s">
        <v>12046</v>
      </c>
      <c r="B11435" t="s">
        <v>90</v>
      </c>
      <c r="C11435" t="s">
        <v>602</v>
      </c>
      <c r="D11435">
        <v>2170.4699999999998</v>
      </c>
      <c r="E11435" s="37" t="str">
        <f t="shared" si="890"/>
        <v xml:space="preserve"> </v>
      </c>
      <c r="F11435">
        <v>7.0000000000000007E-2</v>
      </c>
      <c r="G11435" s="37" t="str">
        <f t="shared" si="891"/>
        <v>Normal Discount</v>
      </c>
      <c r="H11435" s="37" t="str">
        <f t="shared" si="892"/>
        <v>Low</v>
      </c>
      <c r="I11435">
        <v>6</v>
      </c>
      <c r="J11435" t="str" cm="1">
        <f t="array" ref="J11435">_xlfn.IFS(I11435&lt;=3,"small",I11435&lt;=6,"Medium",I11435&lt;=9,"Large")</f>
        <v>Medium</v>
      </c>
      <c r="K11435" s="36">
        <v>45630</v>
      </c>
      <c r="L11435" s="36">
        <v>45631</v>
      </c>
      <c r="M11435" t="s">
        <v>612</v>
      </c>
      <c r="N11435" t="s">
        <v>604</v>
      </c>
      <c r="O11435" s="37" t="str">
        <f t="shared" si="893"/>
        <v>Digital Payment</v>
      </c>
      <c r="P11435">
        <v>364.25</v>
      </c>
      <c r="Q11435" s="37" t="str">
        <f>IF(P11435&gt;500,"High","low")</f>
        <v>low</v>
      </c>
      <c r="R11435" s="37" t="str">
        <f t="shared" si="894"/>
        <v>AVERAGE</v>
      </c>
      <c r="S11435" t="s">
        <v>605</v>
      </c>
    </row>
    <row r="11436" spans="1:19" x14ac:dyDescent="0.2">
      <c r="A11436" t="s">
        <v>12047</v>
      </c>
      <c r="B11436" t="s">
        <v>67</v>
      </c>
      <c r="C11436" t="s">
        <v>602</v>
      </c>
      <c r="D11436">
        <v>436.24</v>
      </c>
      <c r="E11436" s="37" t="str">
        <f t="shared" si="890"/>
        <v xml:space="preserve"> </v>
      </c>
      <c r="F11436">
        <v>0.5</v>
      </c>
      <c r="G11436" s="37" t="str">
        <f t="shared" si="891"/>
        <v>Heavy Discount</v>
      </c>
      <c r="H11436" s="37" t="str">
        <f t="shared" si="892"/>
        <v>High</v>
      </c>
      <c r="I11436">
        <v>5</v>
      </c>
      <c r="J11436" t="str" cm="1">
        <f t="array" ref="J11436">_xlfn.IFS(I11436&lt;=3,"small",I11436&lt;=6,"Medium",I11436&lt;=9,"Large")</f>
        <v>Medium</v>
      </c>
      <c r="K11436" s="36">
        <v>45021</v>
      </c>
      <c r="L11436" s="36">
        <v>45026</v>
      </c>
      <c r="M11436" t="s">
        <v>603</v>
      </c>
      <c r="N11436" t="s">
        <v>599</v>
      </c>
      <c r="O11436" s="37" t="str">
        <f t="shared" si="893"/>
        <v>Digital Payment</v>
      </c>
      <c r="P11436">
        <v>39.5</v>
      </c>
      <c r="Q11436" s="37" t="str">
        <f>IF(P11436&gt;500,"High","low")</f>
        <v>low</v>
      </c>
      <c r="R11436" s="37" t="str">
        <f t="shared" si="894"/>
        <v>AVERAGE</v>
      </c>
      <c r="S11436" t="s">
        <v>620</v>
      </c>
    </row>
    <row r="11437" spans="1:19" x14ac:dyDescent="0.2">
      <c r="A11437" t="s">
        <v>12048</v>
      </c>
      <c r="B11437" t="s">
        <v>83</v>
      </c>
      <c r="C11437" t="s">
        <v>614</v>
      </c>
      <c r="D11437">
        <v>4397.32</v>
      </c>
      <c r="E11437" s="37" t="str">
        <f t="shared" si="890"/>
        <v>Excellent Order</v>
      </c>
      <c r="F11437">
        <v>0.41</v>
      </c>
      <c r="G11437" s="37" t="str">
        <f t="shared" si="891"/>
        <v>Heavy Discount</v>
      </c>
      <c r="H11437" s="37" t="str">
        <f t="shared" si="892"/>
        <v>High</v>
      </c>
      <c r="I11437">
        <v>5</v>
      </c>
      <c r="J11437" t="str" cm="1">
        <f t="array" ref="J11437">_xlfn.IFS(I11437&lt;=3,"small",I11437&lt;=6,"Medium",I11437&lt;=9,"Large")</f>
        <v>Medium</v>
      </c>
      <c r="K11437" s="36">
        <v>45329</v>
      </c>
      <c r="L11437" s="36">
        <v>45336</v>
      </c>
      <c r="M11437" t="s">
        <v>612</v>
      </c>
      <c r="N11437" t="s">
        <v>608</v>
      </c>
      <c r="O11437" s="37" t="str">
        <f t="shared" si="893"/>
        <v>Cash Payment</v>
      </c>
      <c r="P11437">
        <v>808.88</v>
      </c>
      <c r="Q11437" s="37" t="str">
        <f>IF(P11437&gt;500,"High","low")</f>
        <v>High</v>
      </c>
      <c r="R11437" s="37" t="str">
        <f t="shared" si="894"/>
        <v>Good</v>
      </c>
      <c r="S11437" t="s">
        <v>615</v>
      </c>
    </row>
    <row r="11438" spans="1:19" x14ac:dyDescent="0.2">
      <c r="A11438" t="s">
        <v>12049</v>
      </c>
      <c r="B11438" t="s">
        <v>83</v>
      </c>
      <c r="C11438" t="s">
        <v>614</v>
      </c>
      <c r="D11438">
        <v>2919.86</v>
      </c>
      <c r="E11438" s="37" t="str">
        <f t="shared" si="890"/>
        <v xml:space="preserve"> </v>
      </c>
      <c r="F11438">
        <v>0.19</v>
      </c>
      <c r="G11438" s="37" t="str">
        <f t="shared" si="891"/>
        <v>Normal Discount</v>
      </c>
      <c r="H11438" s="37" t="str">
        <f t="shared" si="892"/>
        <v>Low</v>
      </c>
      <c r="I11438">
        <v>1</v>
      </c>
      <c r="J11438" t="str" cm="1">
        <f t="array" ref="J11438">_xlfn.IFS(I11438&lt;=3,"small",I11438&lt;=6,"Medium",I11438&lt;=9,"Large")</f>
        <v>small</v>
      </c>
      <c r="K11438" s="36">
        <v>44997</v>
      </c>
      <c r="L11438" s="36">
        <v>45003</v>
      </c>
      <c r="M11438" t="s">
        <v>598</v>
      </c>
      <c r="N11438" t="s">
        <v>608</v>
      </c>
      <c r="O11438" s="37" t="str">
        <f t="shared" si="893"/>
        <v>Cash Payment</v>
      </c>
      <c r="P11438">
        <v>816.09</v>
      </c>
      <c r="Q11438" s="37" t="str">
        <f>IF(P11438&gt;500,"High","low")</f>
        <v>High</v>
      </c>
      <c r="R11438" s="37" t="str">
        <f t="shared" si="894"/>
        <v>Good</v>
      </c>
      <c r="S11438" t="s">
        <v>609</v>
      </c>
    </row>
    <row r="11439" spans="1:19" x14ac:dyDescent="0.2">
      <c r="A11439" t="s">
        <v>12050</v>
      </c>
      <c r="B11439" t="s">
        <v>67</v>
      </c>
      <c r="C11439" t="s">
        <v>617</v>
      </c>
      <c r="D11439">
        <v>3265.61</v>
      </c>
      <c r="E11439" s="37" t="str">
        <f t="shared" si="890"/>
        <v xml:space="preserve"> </v>
      </c>
      <c r="F11439">
        <v>0.34</v>
      </c>
      <c r="G11439" s="37" t="str">
        <f t="shared" si="891"/>
        <v>Heavy Discount</v>
      </c>
      <c r="H11439" s="37" t="str">
        <f t="shared" si="892"/>
        <v>Medium</v>
      </c>
      <c r="I11439">
        <v>5</v>
      </c>
      <c r="J11439" t="str" cm="1">
        <f t="array" ref="J11439">_xlfn.IFS(I11439&lt;=3,"small",I11439&lt;=6,"Medium",I11439&lt;=9,"Large")</f>
        <v>Medium</v>
      </c>
      <c r="K11439" s="36">
        <v>45444</v>
      </c>
      <c r="L11439" s="36">
        <v>45448</v>
      </c>
      <c r="M11439" t="s">
        <v>598</v>
      </c>
      <c r="N11439" t="s">
        <v>599</v>
      </c>
      <c r="O11439" s="37" t="str">
        <f t="shared" si="893"/>
        <v>Digital Payment</v>
      </c>
      <c r="P11439">
        <v>681.35</v>
      </c>
      <c r="Q11439" s="37" t="str">
        <f>IF(P11439&gt;500,"High","low")</f>
        <v>High</v>
      </c>
      <c r="R11439" s="37" t="str">
        <f t="shared" si="894"/>
        <v>Good</v>
      </c>
      <c r="S11439" t="s">
        <v>620</v>
      </c>
    </row>
    <row r="11440" spans="1:19" x14ac:dyDescent="0.2">
      <c r="A11440" t="s">
        <v>12051</v>
      </c>
      <c r="B11440" t="s">
        <v>75</v>
      </c>
      <c r="C11440" t="s">
        <v>617</v>
      </c>
      <c r="D11440">
        <v>1515.43</v>
      </c>
      <c r="E11440" s="37" t="str">
        <f t="shared" si="890"/>
        <v xml:space="preserve"> </v>
      </c>
      <c r="F11440">
        <v>0.36</v>
      </c>
      <c r="G11440" s="37" t="str">
        <f t="shared" si="891"/>
        <v>Heavy Discount</v>
      </c>
      <c r="H11440" s="37" t="str">
        <f t="shared" si="892"/>
        <v>Medium</v>
      </c>
      <c r="I11440">
        <v>6</v>
      </c>
      <c r="J11440" t="str" cm="1">
        <f t="array" ref="J11440">_xlfn.IFS(I11440&lt;=3,"small",I11440&lt;=6,"Medium",I11440&lt;=9,"Large")</f>
        <v>Medium</v>
      </c>
      <c r="K11440" s="36">
        <v>45281</v>
      </c>
      <c r="L11440" s="36">
        <v>45283</v>
      </c>
      <c r="M11440" t="s">
        <v>612</v>
      </c>
      <c r="N11440" t="s">
        <v>599</v>
      </c>
      <c r="O11440" s="37" t="str">
        <f t="shared" si="893"/>
        <v>Digital Payment</v>
      </c>
      <c r="P11440">
        <v>386.25</v>
      </c>
      <c r="Q11440" s="37" t="str">
        <f>IF(P11440&gt;500,"High","low")</f>
        <v>low</v>
      </c>
      <c r="R11440" s="37" t="str">
        <f t="shared" si="894"/>
        <v>AVERAGE</v>
      </c>
      <c r="S11440" t="s">
        <v>620</v>
      </c>
    </row>
    <row r="11441" spans="1:19" x14ac:dyDescent="0.2">
      <c r="A11441" t="s">
        <v>12052</v>
      </c>
      <c r="B11441" t="s">
        <v>90</v>
      </c>
      <c r="C11441" t="s">
        <v>597</v>
      </c>
      <c r="D11441">
        <v>1206.52</v>
      </c>
      <c r="E11441" s="37" t="str">
        <f t="shared" si="890"/>
        <v xml:space="preserve"> </v>
      </c>
      <c r="F11441">
        <v>0.33</v>
      </c>
      <c r="G11441" s="37" t="str">
        <f t="shared" si="891"/>
        <v>Heavy Discount</v>
      </c>
      <c r="H11441" s="37" t="str">
        <f t="shared" si="892"/>
        <v>Medium</v>
      </c>
      <c r="I11441">
        <v>1</v>
      </c>
      <c r="J11441" t="str" cm="1">
        <f t="array" ref="J11441">_xlfn.IFS(I11441&lt;=3,"small",I11441&lt;=6,"Medium",I11441&lt;=9,"Large")</f>
        <v>small</v>
      </c>
      <c r="K11441" s="36">
        <v>45493</v>
      </c>
      <c r="L11441" s="36">
        <v>45499</v>
      </c>
      <c r="M11441" t="s">
        <v>612</v>
      </c>
      <c r="N11441" t="s">
        <v>599</v>
      </c>
      <c r="O11441" s="37" t="str">
        <f t="shared" si="893"/>
        <v>Digital Payment</v>
      </c>
      <c r="P11441">
        <v>135.96</v>
      </c>
      <c r="Q11441" s="37" t="str">
        <f>IF(P11441&gt;500,"High","low")</f>
        <v>low</v>
      </c>
      <c r="R11441" s="37" t="str">
        <f t="shared" si="894"/>
        <v>AVERAGE</v>
      </c>
      <c r="S11441" t="s">
        <v>628</v>
      </c>
    </row>
    <row r="11442" spans="1:19" x14ac:dyDescent="0.2">
      <c r="A11442" t="s">
        <v>12053</v>
      </c>
      <c r="B11442" t="s">
        <v>75</v>
      </c>
      <c r="C11442" t="s">
        <v>617</v>
      </c>
      <c r="D11442">
        <v>3568.74</v>
      </c>
      <c r="E11442" s="37" t="str">
        <f t="shared" si="890"/>
        <v xml:space="preserve"> </v>
      </c>
      <c r="F11442">
        <v>0.22</v>
      </c>
      <c r="G11442" s="37" t="str">
        <f t="shared" si="891"/>
        <v>Normal Discount</v>
      </c>
      <c r="H11442" s="37" t="str">
        <f t="shared" si="892"/>
        <v>Medium</v>
      </c>
      <c r="I11442">
        <v>7</v>
      </c>
      <c r="J11442" t="str" cm="1">
        <f t="array" ref="J11442">_xlfn.IFS(I11442&lt;=3,"small",I11442&lt;=6,"Medium",I11442&lt;=9,"Large")</f>
        <v>Large</v>
      </c>
      <c r="K11442" s="36">
        <v>45207</v>
      </c>
      <c r="L11442" s="36">
        <v>45208</v>
      </c>
      <c r="M11442" t="s">
        <v>603</v>
      </c>
      <c r="N11442" t="s">
        <v>608</v>
      </c>
      <c r="O11442" s="37" t="str">
        <f t="shared" si="893"/>
        <v>Cash Payment</v>
      </c>
      <c r="P11442">
        <v>548.23</v>
      </c>
      <c r="Q11442" s="37" t="str">
        <f>IF(P11442&gt;500,"High","low")</f>
        <v>High</v>
      </c>
      <c r="R11442" s="37" t="str">
        <f t="shared" si="894"/>
        <v>Good</v>
      </c>
      <c r="S11442" t="s">
        <v>628</v>
      </c>
    </row>
    <row r="11443" spans="1:19" x14ac:dyDescent="0.2">
      <c r="A11443" t="s">
        <v>12054</v>
      </c>
      <c r="B11443" t="s">
        <v>67</v>
      </c>
      <c r="C11443" t="s">
        <v>617</v>
      </c>
      <c r="D11443">
        <v>3390.67</v>
      </c>
      <c r="E11443" s="37" t="str">
        <f t="shared" si="890"/>
        <v xml:space="preserve"> </v>
      </c>
      <c r="F11443">
        <v>0.44</v>
      </c>
      <c r="G11443" s="37" t="str">
        <f t="shared" si="891"/>
        <v>Heavy Discount</v>
      </c>
      <c r="H11443" s="37" t="str">
        <f t="shared" si="892"/>
        <v>High</v>
      </c>
      <c r="I11443">
        <v>1</v>
      </c>
      <c r="J11443" t="str" cm="1">
        <f t="array" ref="J11443">_xlfn.IFS(I11443&lt;=3,"small",I11443&lt;=6,"Medium",I11443&lt;=9,"Large")</f>
        <v>small</v>
      </c>
      <c r="K11443" s="36">
        <v>45024</v>
      </c>
      <c r="L11443" s="36">
        <v>45026</v>
      </c>
      <c r="M11443" t="s">
        <v>603</v>
      </c>
      <c r="N11443" t="s">
        <v>599</v>
      </c>
      <c r="O11443" s="37" t="str">
        <f t="shared" si="893"/>
        <v>Digital Payment</v>
      </c>
      <c r="P11443">
        <v>404.01</v>
      </c>
      <c r="Q11443" s="37" t="str">
        <f>IF(P11443&gt;500,"High","low")</f>
        <v>low</v>
      </c>
      <c r="R11443" s="37" t="str">
        <f t="shared" si="894"/>
        <v>AVERAGE</v>
      </c>
      <c r="S11443" t="s">
        <v>609</v>
      </c>
    </row>
    <row r="11444" spans="1:19" x14ac:dyDescent="0.2">
      <c r="A11444" t="s">
        <v>12055</v>
      </c>
      <c r="B11444" t="s">
        <v>83</v>
      </c>
      <c r="C11444" t="s">
        <v>617</v>
      </c>
      <c r="D11444">
        <v>701.12</v>
      </c>
      <c r="E11444" s="37" t="str">
        <f t="shared" si="890"/>
        <v xml:space="preserve"> </v>
      </c>
      <c r="F11444">
        <v>0.39</v>
      </c>
      <c r="G11444" s="37" t="str">
        <f t="shared" si="891"/>
        <v>Heavy Discount</v>
      </c>
      <c r="H11444" s="37" t="str">
        <f t="shared" si="892"/>
        <v>Medium</v>
      </c>
      <c r="I11444">
        <v>7</v>
      </c>
      <c r="J11444" t="str" cm="1">
        <f t="array" ref="J11444">_xlfn.IFS(I11444&lt;=3,"small",I11444&lt;=6,"Medium",I11444&lt;=9,"Large")</f>
        <v>Large</v>
      </c>
      <c r="K11444" s="36">
        <v>45009</v>
      </c>
      <c r="L11444" s="36">
        <v>45015</v>
      </c>
      <c r="M11444" t="s">
        <v>603</v>
      </c>
      <c r="N11444" t="s">
        <v>604</v>
      </c>
      <c r="O11444" s="37" t="str">
        <f t="shared" si="893"/>
        <v>Digital Payment</v>
      </c>
      <c r="P11444">
        <v>167.06</v>
      </c>
      <c r="Q11444" s="37" t="str">
        <f>IF(P11444&gt;500,"High","low")</f>
        <v>low</v>
      </c>
      <c r="R11444" s="37" t="str">
        <f t="shared" si="894"/>
        <v>AVERAGE</v>
      </c>
      <c r="S11444" t="s">
        <v>609</v>
      </c>
    </row>
    <row r="11445" spans="1:19" x14ac:dyDescent="0.2">
      <c r="A11445" t="s">
        <v>12056</v>
      </c>
      <c r="B11445" t="s">
        <v>90</v>
      </c>
      <c r="C11445" t="s">
        <v>607</v>
      </c>
      <c r="D11445">
        <v>1269.3399999999999</v>
      </c>
      <c r="E11445" s="37" t="str">
        <f t="shared" si="890"/>
        <v xml:space="preserve"> </v>
      </c>
      <c r="F11445">
        <v>0.27</v>
      </c>
      <c r="G11445" s="37" t="str">
        <f t="shared" si="891"/>
        <v>Normal Discount</v>
      </c>
      <c r="H11445" s="37" t="str">
        <f t="shared" si="892"/>
        <v>Medium</v>
      </c>
      <c r="I11445">
        <v>9</v>
      </c>
      <c r="J11445" t="str" cm="1">
        <f t="array" ref="J11445">_xlfn.IFS(I11445&lt;=3,"small",I11445&lt;=6,"Medium",I11445&lt;=9,"Large")</f>
        <v>Large</v>
      </c>
      <c r="K11445" s="36">
        <v>45186</v>
      </c>
      <c r="L11445" s="36">
        <v>45191</v>
      </c>
      <c r="M11445" t="s">
        <v>612</v>
      </c>
      <c r="N11445" t="s">
        <v>604</v>
      </c>
      <c r="O11445" s="37" t="str">
        <f t="shared" si="893"/>
        <v>Digital Payment</v>
      </c>
      <c r="P11445">
        <v>265.91000000000003</v>
      </c>
      <c r="Q11445" s="37" t="str">
        <f>IF(P11445&gt;500,"High","low")</f>
        <v>low</v>
      </c>
      <c r="R11445" s="37" t="str">
        <f t="shared" si="894"/>
        <v>AVERAGE</v>
      </c>
      <c r="S11445" t="s">
        <v>609</v>
      </c>
    </row>
    <row r="11446" spans="1:19" x14ac:dyDescent="0.2">
      <c r="A11446" t="s">
        <v>12057</v>
      </c>
      <c r="B11446" t="s">
        <v>75</v>
      </c>
      <c r="C11446" t="s">
        <v>607</v>
      </c>
      <c r="D11446">
        <v>4738.22</v>
      </c>
      <c r="E11446" s="37" t="str">
        <f t="shared" si="890"/>
        <v>Excellent Order</v>
      </c>
      <c r="F11446">
        <v>0</v>
      </c>
      <c r="G11446" s="37" t="str">
        <f t="shared" si="891"/>
        <v>Normal Discount</v>
      </c>
      <c r="H11446" s="37" t="str">
        <f t="shared" si="892"/>
        <v>Low</v>
      </c>
      <c r="I11446">
        <v>7</v>
      </c>
      <c r="J11446" t="str" cm="1">
        <f t="array" ref="J11446">_xlfn.IFS(I11446&lt;=3,"small",I11446&lt;=6,"Medium",I11446&lt;=9,"Large")</f>
        <v>Large</v>
      </c>
      <c r="K11446" s="36">
        <v>45142</v>
      </c>
      <c r="L11446" s="36">
        <v>45144</v>
      </c>
      <c r="M11446" t="s">
        <v>612</v>
      </c>
      <c r="N11446" t="s">
        <v>608</v>
      </c>
      <c r="O11446" s="37" t="str">
        <f t="shared" si="893"/>
        <v>Cash Payment</v>
      </c>
      <c r="P11446">
        <v>914.61</v>
      </c>
      <c r="Q11446" s="37" t="str">
        <f>IF(P11446&gt;500,"High","low")</f>
        <v>High</v>
      </c>
      <c r="R11446" s="37" t="str">
        <f t="shared" si="894"/>
        <v>Good</v>
      </c>
      <c r="S11446" t="s">
        <v>615</v>
      </c>
    </row>
    <row r="11447" spans="1:19" x14ac:dyDescent="0.2">
      <c r="A11447" t="s">
        <v>12058</v>
      </c>
      <c r="B11447" t="s">
        <v>75</v>
      </c>
      <c r="C11447" t="s">
        <v>597</v>
      </c>
      <c r="D11447">
        <v>1590.47</v>
      </c>
      <c r="E11447" s="37" t="str">
        <f t="shared" si="890"/>
        <v xml:space="preserve"> </v>
      </c>
      <c r="F11447">
        <v>0.11</v>
      </c>
      <c r="G11447" s="37" t="str">
        <f t="shared" si="891"/>
        <v>Normal Discount</v>
      </c>
      <c r="H11447" s="37" t="str">
        <f t="shared" si="892"/>
        <v>Low</v>
      </c>
      <c r="I11447">
        <v>5</v>
      </c>
      <c r="J11447" t="str" cm="1">
        <f t="array" ref="J11447">_xlfn.IFS(I11447&lt;=3,"small",I11447&lt;=6,"Medium",I11447&lt;=9,"Large")</f>
        <v>Medium</v>
      </c>
      <c r="K11447" s="36">
        <v>45161</v>
      </c>
      <c r="L11447" s="36">
        <v>45168</v>
      </c>
      <c r="M11447" t="s">
        <v>603</v>
      </c>
      <c r="N11447" t="s">
        <v>604</v>
      </c>
      <c r="O11447" s="37" t="str">
        <f t="shared" si="893"/>
        <v>Digital Payment</v>
      </c>
      <c r="P11447">
        <v>82.49</v>
      </c>
      <c r="Q11447" s="37" t="str">
        <f>IF(P11447&gt;500,"High","low")</f>
        <v>low</v>
      </c>
      <c r="R11447" s="37" t="str">
        <f t="shared" si="894"/>
        <v>AVERAGE</v>
      </c>
      <c r="S11447" t="s">
        <v>628</v>
      </c>
    </row>
    <row r="11448" spans="1:19" x14ac:dyDescent="0.2">
      <c r="A11448" t="s">
        <v>12059</v>
      </c>
      <c r="B11448" t="s">
        <v>67</v>
      </c>
      <c r="C11448" t="s">
        <v>597</v>
      </c>
      <c r="D11448">
        <v>226.57</v>
      </c>
      <c r="E11448" s="37" t="str">
        <f t="shared" si="890"/>
        <v xml:space="preserve"> </v>
      </c>
      <c r="F11448">
        <v>0.25</v>
      </c>
      <c r="G11448" s="37" t="str">
        <f t="shared" si="891"/>
        <v>Normal Discount</v>
      </c>
      <c r="H11448" s="37" t="str">
        <f t="shared" si="892"/>
        <v>Medium</v>
      </c>
      <c r="I11448">
        <v>3</v>
      </c>
      <c r="J11448" t="str" cm="1">
        <f t="array" ref="J11448">_xlfn.IFS(I11448&lt;=3,"small",I11448&lt;=6,"Medium",I11448&lt;=9,"Large")</f>
        <v>small</v>
      </c>
      <c r="K11448" s="36">
        <v>45248</v>
      </c>
      <c r="L11448" s="36">
        <v>45254</v>
      </c>
      <c r="M11448" t="s">
        <v>612</v>
      </c>
      <c r="N11448" t="s">
        <v>599</v>
      </c>
      <c r="O11448" s="37" t="str">
        <f t="shared" si="893"/>
        <v>Digital Payment</v>
      </c>
      <c r="P11448">
        <v>59.94</v>
      </c>
      <c r="Q11448" s="37" t="str">
        <f>IF(P11448&gt;500,"High","low")</f>
        <v>low</v>
      </c>
      <c r="R11448" s="37" t="str">
        <f t="shared" si="894"/>
        <v>AVERAGE</v>
      </c>
      <c r="S11448" t="s">
        <v>620</v>
      </c>
    </row>
    <row r="11449" spans="1:19" x14ac:dyDescent="0.2">
      <c r="A11449" t="s">
        <v>12060</v>
      </c>
      <c r="B11449" t="s">
        <v>90</v>
      </c>
      <c r="C11449" t="s">
        <v>602</v>
      </c>
      <c r="D11449">
        <v>412.53</v>
      </c>
      <c r="E11449" s="37" t="str">
        <f t="shared" si="890"/>
        <v xml:space="preserve"> </v>
      </c>
      <c r="F11449">
        <v>0.45</v>
      </c>
      <c r="G11449" s="37" t="str">
        <f t="shared" si="891"/>
        <v>Heavy Discount</v>
      </c>
      <c r="H11449" s="37" t="str">
        <f t="shared" si="892"/>
        <v>High</v>
      </c>
      <c r="I11449">
        <v>7</v>
      </c>
      <c r="J11449" t="str" cm="1">
        <f t="array" ref="J11449">_xlfn.IFS(I11449&lt;=3,"small",I11449&lt;=6,"Medium",I11449&lt;=9,"Large")</f>
        <v>Large</v>
      </c>
      <c r="K11449" s="36">
        <v>45324</v>
      </c>
      <c r="L11449" s="36">
        <v>45327</v>
      </c>
      <c r="M11449" t="s">
        <v>598</v>
      </c>
      <c r="N11449" t="s">
        <v>604</v>
      </c>
      <c r="O11449" s="37" t="str">
        <f t="shared" si="893"/>
        <v>Digital Payment</v>
      </c>
      <c r="P11449">
        <v>114.76</v>
      </c>
      <c r="Q11449" s="37" t="str">
        <f>IF(P11449&gt;500,"High","low")</f>
        <v>low</v>
      </c>
      <c r="R11449" s="37" t="str">
        <f t="shared" si="894"/>
        <v>AVERAGE</v>
      </c>
      <c r="S11449" t="s">
        <v>600</v>
      </c>
    </row>
    <row r="11450" spans="1:19" x14ac:dyDescent="0.2">
      <c r="A11450" t="s">
        <v>12061</v>
      </c>
      <c r="B11450" t="s">
        <v>83</v>
      </c>
      <c r="C11450" t="s">
        <v>597</v>
      </c>
      <c r="D11450">
        <v>3899.92</v>
      </c>
      <c r="E11450" s="37" t="str">
        <f t="shared" si="890"/>
        <v xml:space="preserve"> </v>
      </c>
      <c r="F11450">
        <v>0.31</v>
      </c>
      <c r="G11450" s="37" t="str">
        <f t="shared" si="891"/>
        <v>Heavy Discount</v>
      </c>
      <c r="H11450" s="37" t="str">
        <f t="shared" si="892"/>
        <v>Medium</v>
      </c>
      <c r="I11450">
        <v>6</v>
      </c>
      <c r="J11450" t="str" cm="1">
        <f t="array" ref="J11450">_xlfn.IFS(I11450&lt;=3,"small",I11450&lt;=6,"Medium",I11450&lt;=9,"Large")</f>
        <v>Medium</v>
      </c>
      <c r="K11450" s="36">
        <v>45616</v>
      </c>
      <c r="L11450" s="36">
        <v>45617</v>
      </c>
      <c r="M11450" t="s">
        <v>598</v>
      </c>
      <c r="N11450" t="s">
        <v>599</v>
      </c>
      <c r="O11450" s="37" t="str">
        <f t="shared" si="893"/>
        <v>Digital Payment</v>
      </c>
      <c r="P11450">
        <v>879.54</v>
      </c>
      <c r="Q11450" s="37" t="str">
        <f>IF(P11450&gt;500,"High","low")</f>
        <v>High</v>
      </c>
      <c r="R11450" s="37" t="str">
        <f t="shared" si="894"/>
        <v>Good</v>
      </c>
      <c r="S11450" t="s">
        <v>600</v>
      </c>
    </row>
    <row r="11451" spans="1:19" x14ac:dyDescent="0.2">
      <c r="A11451" t="s">
        <v>12062</v>
      </c>
      <c r="B11451" t="s">
        <v>67</v>
      </c>
      <c r="C11451" t="s">
        <v>602</v>
      </c>
      <c r="D11451">
        <v>3810.06</v>
      </c>
      <c r="E11451" s="37" t="str">
        <f t="shared" si="890"/>
        <v xml:space="preserve"> </v>
      </c>
      <c r="F11451">
        <v>0.21</v>
      </c>
      <c r="G11451" s="37" t="str">
        <f t="shared" si="891"/>
        <v>Normal Discount</v>
      </c>
      <c r="H11451" s="37" t="str">
        <f t="shared" si="892"/>
        <v>Medium</v>
      </c>
      <c r="I11451">
        <v>8</v>
      </c>
      <c r="J11451" t="str" cm="1">
        <f t="array" ref="J11451">_xlfn.IFS(I11451&lt;=3,"small",I11451&lt;=6,"Medium",I11451&lt;=9,"Large")</f>
        <v>Large</v>
      </c>
      <c r="K11451" s="36">
        <v>45472</v>
      </c>
      <c r="L11451" s="36">
        <v>45478</v>
      </c>
      <c r="M11451" t="s">
        <v>598</v>
      </c>
      <c r="N11451" t="s">
        <v>608</v>
      </c>
      <c r="O11451" s="37" t="str">
        <f t="shared" si="893"/>
        <v>Cash Payment</v>
      </c>
      <c r="P11451">
        <v>1032.6099999999999</v>
      </c>
      <c r="Q11451" s="37" t="str">
        <f>IF(P11451&gt;500,"High","low")</f>
        <v>High</v>
      </c>
      <c r="R11451" s="37" t="str">
        <f t="shared" si="894"/>
        <v>Excellent</v>
      </c>
      <c r="S11451" t="s">
        <v>615</v>
      </c>
    </row>
    <row r="11452" spans="1:19" x14ac:dyDescent="0.2">
      <c r="A11452" t="s">
        <v>12063</v>
      </c>
      <c r="B11452" t="s">
        <v>90</v>
      </c>
      <c r="C11452" t="s">
        <v>617</v>
      </c>
      <c r="D11452">
        <v>1970.95</v>
      </c>
      <c r="E11452" s="37" t="str">
        <f t="shared" si="890"/>
        <v xml:space="preserve"> </v>
      </c>
      <c r="F11452">
        <v>0.02</v>
      </c>
      <c r="G11452" s="37" t="str">
        <f t="shared" si="891"/>
        <v>Normal Discount</v>
      </c>
      <c r="H11452" s="37" t="str">
        <f t="shared" si="892"/>
        <v>Low</v>
      </c>
      <c r="I11452">
        <v>8</v>
      </c>
      <c r="J11452" t="str" cm="1">
        <f t="array" ref="J11452">_xlfn.IFS(I11452&lt;=3,"small",I11452&lt;=6,"Medium",I11452&lt;=9,"Large")</f>
        <v>Large</v>
      </c>
      <c r="K11452" s="36">
        <v>45173</v>
      </c>
      <c r="L11452" s="36">
        <v>45176</v>
      </c>
      <c r="M11452" t="s">
        <v>603</v>
      </c>
      <c r="N11452" t="s">
        <v>599</v>
      </c>
      <c r="O11452" s="37" t="str">
        <f t="shared" si="893"/>
        <v>Digital Payment</v>
      </c>
      <c r="P11452">
        <v>511.79</v>
      </c>
      <c r="Q11452" s="37" t="str">
        <f>IF(P11452&gt;500,"High","low")</f>
        <v>High</v>
      </c>
      <c r="R11452" s="37" t="str">
        <f t="shared" si="894"/>
        <v>Good</v>
      </c>
      <c r="S11452" t="s">
        <v>600</v>
      </c>
    </row>
    <row r="11453" spans="1:19" x14ac:dyDescent="0.2">
      <c r="A11453" t="s">
        <v>12064</v>
      </c>
      <c r="B11453" t="s">
        <v>75</v>
      </c>
      <c r="C11453" t="s">
        <v>597</v>
      </c>
      <c r="D11453">
        <v>850.68</v>
      </c>
      <c r="E11453" s="37" t="str">
        <f t="shared" si="890"/>
        <v xml:space="preserve"> </v>
      </c>
      <c r="F11453">
        <v>0.3</v>
      </c>
      <c r="G11453" s="37" t="str">
        <f t="shared" si="891"/>
        <v>Normal Discount</v>
      </c>
      <c r="H11453" s="37" t="str">
        <f t="shared" si="892"/>
        <v>Medium</v>
      </c>
      <c r="I11453">
        <v>6</v>
      </c>
      <c r="J11453" t="str" cm="1">
        <f t="array" ref="J11453">_xlfn.IFS(I11453&lt;=3,"small",I11453&lt;=6,"Medium",I11453&lt;=9,"Large")</f>
        <v>Medium</v>
      </c>
      <c r="K11453" s="36">
        <v>45146</v>
      </c>
      <c r="L11453" s="36">
        <v>45148</v>
      </c>
      <c r="M11453" t="s">
        <v>603</v>
      </c>
      <c r="N11453" t="s">
        <v>604</v>
      </c>
      <c r="O11453" s="37" t="str">
        <f t="shared" si="893"/>
        <v>Digital Payment</v>
      </c>
      <c r="P11453">
        <v>216.77</v>
      </c>
      <c r="Q11453" s="37" t="str">
        <f>IF(P11453&gt;500,"High","low")</f>
        <v>low</v>
      </c>
      <c r="R11453" s="37" t="str">
        <f t="shared" si="894"/>
        <v>AVERAGE</v>
      </c>
      <c r="S11453" t="s">
        <v>615</v>
      </c>
    </row>
    <row r="11454" spans="1:19" x14ac:dyDescent="0.2">
      <c r="A11454" t="s">
        <v>12065</v>
      </c>
      <c r="B11454" t="s">
        <v>67</v>
      </c>
      <c r="C11454" t="s">
        <v>597</v>
      </c>
      <c r="D11454">
        <v>2540.7199999999998</v>
      </c>
      <c r="E11454" s="37" t="str">
        <f t="shared" si="890"/>
        <v xml:space="preserve"> </v>
      </c>
      <c r="F11454">
        <v>0.18</v>
      </c>
      <c r="G11454" s="37" t="str">
        <f t="shared" si="891"/>
        <v>Normal Discount</v>
      </c>
      <c r="H11454" s="37" t="str">
        <f t="shared" si="892"/>
        <v>Low</v>
      </c>
      <c r="I11454">
        <v>7</v>
      </c>
      <c r="J11454" t="str" cm="1">
        <f t="array" ref="J11454">_xlfn.IFS(I11454&lt;=3,"small",I11454&lt;=6,"Medium",I11454&lt;=9,"Large")</f>
        <v>Large</v>
      </c>
      <c r="K11454" s="36">
        <v>45588</v>
      </c>
      <c r="L11454" s="36">
        <v>45593</v>
      </c>
      <c r="M11454" t="s">
        <v>598</v>
      </c>
      <c r="N11454" t="s">
        <v>599</v>
      </c>
      <c r="O11454" s="37" t="str">
        <f t="shared" si="893"/>
        <v>Digital Payment</v>
      </c>
      <c r="P11454">
        <v>595.14</v>
      </c>
      <c r="Q11454" s="37" t="str">
        <f>IF(P11454&gt;500,"High","low")</f>
        <v>High</v>
      </c>
      <c r="R11454" s="37" t="str">
        <f t="shared" si="894"/>
        <v>Good</v>
      </c>
      <c r="S11454" t="s">
        <v>609</v>
      </c>
    </row>
    <row r="11455" spans="1:19" x14ac:dyDescent="0.2">
      <c r="A11455" t="s">
        <v>12066</v>
      </c>
      <c r="B11455" t="s">
        <v>75</v>
      </c>
      <c r="C11455" t="s">
        <v>597</v>
      </c>
      <c r="D11455">
        <v>1726.25</v>
      </c>
      <c r="E11455" s="37" t="str">
        <f t="shared" si="890"/>
        <v xml:space="preserve"> </v>
      </c>
      <c r="F11455">
        <v>0.27</v>
      </c>
      <c r="G11455" s="37" t="str">
        <f t="shared" si="891"/>
        <v>Normal Discount</v>
      </c>
      <c r="H11455" s="37" t="str">
        <f t="shared" si="892"/>
        <v>Medium</v>
      </c>
      <c r="I11455">
        <v>3</v>
      </c>
      <c r="J11455" t="str" cm="1">
        <f t="array" ref="J11455">_xlfn.IFS(I11455&lt;=3,"small",I11455&lt;=6,"Medium",I11455&lt;=9,"Large")</f>
        <v>small</v>
      </c>
      <c r="K11455" s="36">
        <v>45407</v>
      </c>
      <c r="L11455" s="36">
        <v>45408</v>
      </c>
      <c r="M11455" t="s">
        <v>598</v>
      </c>
      <c r="N11455" t="s">
        <v>608</v>
      </c>
      <c r="O11455" s="37" t="str">
        <f t="shared" si="893"/>
        <v>Cash Payment</v>
      </c>
      <c r="P11455">
        <v>113.84</v>
      </c>
      <c r="Q11455" s="37" t="str">
        <f>IF(P11455&gt;500,"High","low")</f>
        <v>low</v>
      </c>
      <c r="R11455" s="37" t="str">
        <f t="shared" si="894"/>
        <v>AVERAGE</v>
      </c>
      <c r="S11455" t="s">
        <v>605</v>
      </c>
    </row>
    <row r="11456" spans="1:19" x14ac:dyDescent="0.2">
      <c r="A11456" t="s">
        <v>12067</v>
      </c>
      <c r="B11456" t="s">
        <v>75</v>
      </c>
      <c r="C11456" t="s">
        <v>602</v>
      </c>
      <c r="D11456">
        <v>1932.44</v>
      </c>
      <c r="E11456" s="37" t="str">
        <f t="shared" si="890"/>
        <v xml:space="preserve"> </v>
      </c>
      <c r="F11456">
        <v>0.38</v>
      </c>
      <c r="G11456" s="37" t="str">
        <f t="shared" si="891"/>
        <v>Heavy Discount</v>
      </c>
      <c r="H11456" s="37" t="str">
        <f t="shared" si="892"/>
        <v>Medium</v>
      </c>
      <c r="I11456">
        <v>4</v>
      </c>
      <c r="J11456" t="str" cm="1">
        <f t="array" ref="J11456">_xlfn.IFS(I11456&lt;=3,"small",I11456&lt;=6,"Medium",I11456&lt;=9,"Large")</f>
        <v>Medium</v>
      </c>
      <c r="K11456" s="36">
        <v>45170</v>
      </c>
      <c r="L11456" s="36">
        <v>45176</v>
      </c>
      <c r="M11456" t="s">
        <v>598</v>
      </c>
      <c r="N11456" t="s">
        <v>599</v>
      </c>
      <c r="O11456" s="37" t="str">
        <f t="shared" si="893"/>
        <v>Digital Payment</v>
      </c>
      <c r="P11456">
        <v>158.88999999999999</v>
      </c>
      <c r="Q11456" s="37" t="str">
        <f>IF(P11456&gt;500,"High","low")</f>
        <v>low</v>
      </c>
      <c r="R11456" s="37" t="str">
        <f t="shared" si="894"/>
        <v>AVERAGE</v>
      </c>
      <c r="S11456" t="s">
        <v>628</v>
      </c>
    </row>
    <row r="11457" spans="1:19" x14ac:dyDescent="0.2">
      <c r="A11457" t="s">
        <v>12068</v>
      </c>
      <c r="B11457" t="s">
        <v>67</v>
      </c>
      <c r="C11457" t="s">
        <v>602</v>
      </c>
      <c r="D11457">
        <v>1378.83</v>
      </c>
      <c r="E11457" s="37" t="str">
        <f t="shared" si="890"/>
        <v xml:space="preserve"> </v>
      </c>
      <c r="F11457">
        <v>0.4</v>
      </c>
      <c r="G11457" s="37" t="str">
        <f t="shared" si="891"/>
        <v>Heavy Discount</v>
      </c>
      <c r="H11457" s="37" t="str">
        <f t="shared" si="892"/>
        <v>Medium</v>
      </c>
      <c r="I11457">
        <v>7</v>
      </c>
      <c r="J11457" t="str" cm="1">
        <f t="array" ref="J11457">_xlfn.IFS(I11457&lt;=3,"small",I11457&lt;=6,"Medium",I11457&lt;=9,"Large")</f>
        <v>Large</v>
      </c>
      <c r="K11457" s="36">
        <v>45367</v>
      </c>
      <c r="L11457" s="36">
        <v>45368</v>
      </c>
      <c r="M11457" t="s">
        <v>612</v>
      </c>
      <c r="N11457" t="s">
        <v>604</v>
      </c>
      <c r="O11457" s="37" t="str">
        <f t="shared" si="893"/>
        <v>Digital Payment</v>
      </c>
      <c r="P11457">
        <v>359.51</v>
      </c>
      <c r="Q11457" s="37" t="str">
        <f>IF(P11457&gt;500,"High","low")</f>
        <v>low</v>
      </c>
      <c r="R11457" s="37" t="str">
        <f t="shared" si="894"/>
        <v>AVERAGE</v>
      </c>
      <c r="S11457" t="s">
        <v>609</v>
      </c>
    </row>
    <row r="11458" spans="1:19" x14ac:dyDescent="0.2">
      <c r="A11458" t="s">
        <v>12069</v>
      </c>
      <c r="B11458" t="s">
        <v>67</v>
      </c>
      <c r="C11458" t="s">
        <v>614</v>
      </c>
      <c r="D11458">
        <v>408</v>
      </c>
      <c r="E11458" s="37" t="str">
        <f t="shared" si="890"/>
        <v xml:space="preserve"> </v>
      </c>
      <c r="F11458">
        <v>0.43</v>
      </c>
      <c r="G11458" s="37" t="str">
        <f t="shared" si="891"/>
        <v>Heavy Discount</v>
      </c>
      <c r="H11458" s="37" t="str">
        <f t="shared" si="892"/>
        <v>High</v>
      </c>
      <c r="I11458">
        <v>6</v>
      </c>
      <c r="J11458" t="str" cm="1">
        <f t="array" ref="J11458">_xlfn.IFS(I11458&lt;=3,"small",I11458&lt;=6,"Medium",I11458&lt;=9,"Large")</f>
        <v>Medium</v>
      </c>
      <c r="K11458" s="36">
        <v>45644</v>
      </c>
      <c r="L11458" s="36">
        <v>45651</v>
      </c>
      <c r="M11458" t="s">
        <v>598</v>
      </c>
      <c r="N11458" t="s">
        <v>608</v>
      </c>
      <c r="O11458" s="37" t="str">
        <f t="shared" si="893"/>
        <v>Cash Payment</v>
      </c>
      <c r="P11458">
        <v>61.01</v>
      </c>
      <c r="Q11458" s="37" t="str">
        <f>IF(P11458&gt;500,"High","low")</f>
        <v>low</v>
      </c>
      <c r="R11458" s="37" t="str">
        <f t="shared" si="894"/>
        <v>AVERAGE</v>
      </c>
      <c r="S11458" t="s">
        <v>615</v>
      </c>
    </row>
    <row r="11459" spans="1:19" x14ac:dyDescent="0.2">
      <c r="A11459" t="s">
        <v>12070</v>
      </c>
      <c r="B11459" t="s">
        <v>67</v>
      </c>
      <c r="C11459" t="s">
        <v>602</v>
      </c>
      <c r="D11459">
        <v>3976.68</v>
      </c>
      <c r="E11459" s="37" t="str">
        <f t="shared" ref="E11459:E11522" si="895">IF(AND(D11459&gt;4000,P11459&gt;800),"Excellent Order"," ")</f>
        <v xml:space="preserve"> </v>
      </c>
      <c r="F11459">
        <v>0.32</v>
      </c>
      <c r="G11459" s="37" t="str">
        <f t="shared" ref="G11459:G11522" si="896">IF(F11459&gt;30%,"Heavy Discount","Normal Discount")</f>
        <v>Heavy Discount</v>
      </c>
      <c r="H11459" s="37" t="str">
        <f t="shared" ref="H11459:H11522" si="897">IF(F11459&gt;0.4,"High",IF(F11459&gt;=0.2,"Medium","Low"))</f>
        <v>Medium</v>
      </c>
      <c r="I11459">
        <v>3</v>
      </c>
      <c r="J11459" t="str" cm="1">
        <f t="array" ref="J11459">_xlfn.IFS(I11459&lt;=3,"small",I11459&lt;=6,"Medium",I11459&lt;=9,"Large")</f>
        <v>small</v>
      </c>
      <c r="K11459" s="36">
        <v>45604</v>
      </c>
      <c r="L11459" s="36">
        <v>45609</v>
      </c>
      <c r="M11459" t="s">
        <v>598</v>
      </c>
      <c r="N11459" t="s">
        <v>604</v>
      </c>
      <c r="O11459" s="37" t="str">
        <f t="shared" ref="O11459:O11522" si="898">IF(OR(N11459="Card",N11459="UPI"),"Digital Payment","Cash Payment")</f>
        <v>Digital Payment</v>
      </c>
      <c r="P11459">
        <v>949.93</v>
      </c>
      <c r="Q11459" s="37" t="str">
        <f>IF(P11459&gt;500,"High","low")</f>
        <v>High</v>
      </c>
      <c r="R11459" s="37" t="str">
        <f t="shared" ref="R11459:R11522" si="899">IF(P11459&gt;1000,"Excellent",IF(P11459&gt;=500,"Good","AVERAGE"))</f>
        <v>Good</v>
      </c>
      <c r="S11459" t="s">
        <v>620</v>
      </c>
    </row>
    <row r="11460" spans="1:19" x14ac:dyDescent="0.2">
      <c r="A11460" t="s">
        <v>12071</v>
      </c>
      <c r="B11460" t="s">
        <v>67</v>
      </c>
      <c r="C11460" t="s">
        <v>602</v>
      </c>
      <c r="D11460">
        <v>3129.28</v>
      </c>
      <c r="E11460" s="37" t="str">
        <f t="shared" si="895"/>
        <v xml:space="preserve"> </v>
      </c>
      <c r="F11460">
        <v>0.45</v>
      </c>
      <c r="G11460" s="37" t="str">
        <f t="shared" si="896"/>
        <v>Heavy Discount</v>
      </c>
      <c r="H11460" s="37" t="str">
        <f t="shared" si="897"/>
        <v>High</v>
      </c>
      <c r="I11460">
        <v>7</v>
      </c>
      <c r="J11460" t="str" cm="1">
        <f t="array" ref="J11460">_xlfn.IFS(I11460&lt;=3,"small",I11460&lt;=6,"Medium",I11460&lt;=9,"Large")</f>
        <v>Large</v>
      </c>
      <c r="K11460" s="36">
        <v>45191</v>
      </c>
      <c r="L11460" s="36">
        <v>45192</v>
      </c>
      <c r="M11460" t="s">
        <v>603</v>
      </c>
      <c r="N11460" t="s">
        <v>604</v>
      </c>
      <c r="O11460" s="37" t="str">
        <f t="shared" si="898"/>
        <v>Digital Payment</v>
      </c>
      <c r="P11460">
        <v>312.06</v>
      </c>
      <c r="Q11460" s="37" t="str">
        <f>IF(P11460&gt;500,"High","low")</f>
        <v>low</v>
      </c>
      <c r="R11460" s="37" t="str">
        <f t="shared" si="899"/>
        <v>AVERAGE</v>
      </c>
      <c r="S11460" t="s">
        <v>620</v>
      </c>
    </row>
    <row r="11461" spans="1:19" x14ac:dyDescent="0.2">
      <c r="A11461" t="s">
        <v>12072</v>
      </c>
      <c r="B11461" t="s">
        <v>67</v>
      </c>
      <c r="C11461" t="s">
        <v>607</v>
      </c>
      <c r="D11461">
        <v>4189.71</v>
      </c>
      <c r="E11461" s="37" t="str">
        <f t="shared" si="895"/>
        <v>Excellent Order</v>
      </c>
      <c r="F11461">
        <v>0.35</v>
      </c>
      <c r="G11461" s="37" t="str">
        <f t="shared" si="896"/>
        <v>Heavy Discount</v>
      </c>
      <c r="H11461" s="37" t="str">
        <f t="shared" si="897"/>
        <v>Medium</v>
      </c>
      <c r="I11461">
        <v>3</v>
      </c>
      <c r="J11461" t="str" cm="1">
        <f t="array" ref="J11461">_xlfn.IFS(I11461&lt;=3,"small",I11461&lt;=6,"Medium",I11461&lt;=9,"Large")</f>
        <v>small</v>
      </c>
      <c r="K11461" s="36">
        <v>44955</v>
      </c>
      <c r="L11461" s="36">
        <v>44962</v>
      </c>
      <c r="M11461" t="s">
        <v>603</v>
      </c>
      <c r="N11461" t="s">
        <v>604</v>
      </c>
      <c r="O11461" s="37" t="str">
        <f t="shared" si="898"/>
        <v>Digital Payment</v>
      </c>
      <c r="P11461">
        <v>890.22</v>
      </c>
      <c r="Q11461" s="37" t="str">
        <f>IF(P11461&gt;500,"High","low")</f>
        <v>High</v>
      </c>
      <c r="R11461" s="37" t="str">
        <f t="shared" si="899"/>
        <v>Good</v>
      </c>
      <c r="S11461" t="s">
        <v>609</v>
      </c>
    </row>
    <row r="11462" spans="1:19" x14ac:dyDescent="0.2">
      <c r="A11462" t="s">
        <v>12073</v>
      </c>
      <c r="B11462" t="s">
        <v>75</v>
      </c>
      <c r="C11462" t="s">
        <v>597</v>
      </c>
      <c r="D11462">
        <v>2565.69</v>
      </c>
      <c r="E11462" s="37" t="str">
        <f t="shared" si="895"/>
        <v xml:space="preserve"> </v>
      </c>
      <c r="F11462">
        <v>0.39</v>
      </c>
      <c r="G11462" s="37" t="str">
        <f t="shared" si="896"/>
        <v>Heavy Discount</v>
      </c>
      <c r="H11462" s="37" t="str">
        <f t="shared" si="897"/>
        <v>Medium</v>
      </c>
      <c r="I11462">
        <v>8</v>
      </c>
      <c r="J11462" t="str" cm="1">
        <f t="array" ref="J11462">_xlfn.IFS(I11462&lt;=3,"small",I11462&lt;=6,"Medium",I11462&lt;=9,"Large")</f>
        <v>Large</v>
      </c>
      <c r="K11462" s="36">
        <v>45352</v>
      </c>
      <c r="L11462" s="36">
        <v>45358</v>
      </c>
      <c r="M11462" t="s">
        <v>612</v>
      </c>
      <c r="N11462" t="s">
        <v>599</v>
      </c>
      <c r="O11462" s="37" t="str">
        <f t="shared" si="898"/>
        <v>Digital Payment</v>
      </c>
      <c r="P11462">
        <v>283.3</v>
      </c>
      <c r="Q11462" s="37" t="str">
        <f>IF(P11462&gt;500,"High","low")</f>
        <v>low</v>
      </c>
      <c r="R11462" s="37" t="str">
        <f t="shared" si="899"/>
        <v>AVERAGE</v>
      </c>
      <c r="S11462" t="s">
        <v>600</v>
      </c>
    </row>
    <row r="11463" spans="1:19" x14ac:dyDescent="0.2">
      <c r="A11463" t="s">
        <v>12074</v>
      </c>
      <c r="B11463" t="s">
        <v>83</v>
      </c>
      <c r="C11463" t="s">
        <v>602</v>
      </c>
      <c r="D11463">
        <v>4926.43</v>
      </c>
      <c r="E11463" s="37" t="str">
        <f t="shared" si="895"/>
        <v xml:space="preserve"> </v>
      </c>
      <c r="F11463">
        <v>0.34</v>
      </c>
      <c r="G11463" s="37" t="str">
        <f t="shared" si="896"/>
        <v>Heavy Discount</v>
      </c>
      <c r="H11463" s="37" t="str">
        <f t="shared" si="897"/>
        <v>Medium</v>
      </c>
      <c r="I11463">
        <v>7</v>
      </c>
      <c r="J11463" t="str" cm="1">
        <f t="array" ref="J11463">_xlfn.IFS(I11463&lt;=3,"small",I11463&lt;=6,"Medium",I11463&lt;=9,"Large")</f>
        <v>Large</v>
      </c>
      <c r="K11463" s="36">
        <v>45349</v>
      </c>
      <c r="L11463" s="36">
        <v>45354</v>
      </c>
      <c r="M11463" t="s">
        <v>598</v>
      </c>
      <c r="N11463" t="s">
        <v>604</v>
      </c>
      <c r="O11463" s="37" t="str">
        <f t="shared" si="898"/>
        <v>Digital Payment</v>
      </c>
      <c r="P11463">
        <v>782.54</v>
      </c>
      <c r="Q11463" s="37" t="str">
        <f>IF(P11463&gt;500,"High","low")</f>
        <v>High</v>
      </c>
      <c r="R11463" s="37" t="str">
        <f t="shared" si="899"/>
        <v>Good</v>
      </c>
      <c r="S11463" t="s">
        <v>605</v>
      </c>
    </row>
    <row r="11464" spans="1:19" x14ac:dyDescent="0.2">
      <c r="A11464" t="s">
        <v>12075</v>
      </c>
      <c r="B11464" t="s">
        <v>83</v>
      </c>
      <c r="C11464" t="s">
        <v>597</v>
      </c>
      <c r="D11464">
        <v>4816.37</v>
      </c>
      <c r="E11464" s="37" t="str">
        <f t="shared" si="895"/>
        <v xml:space="preserve"> </v>
      </c>
      <c r="F11464">
        <v>0.44</v>
      </c>
      <c r="G11464" s="37" t="str">
        <f t="shared" si="896"/>
        <v>Heavy Discount</v>
      </c>
      <c r="H11464" s="37" t="str">
        <f t="shared" si="897"/>
        <v>High</v>
      </c>
      <c r="I11464">
        <v>4</v>
      </c>
      <c r="J11464" t="str" cm="1">
        <f t="array" ref="J11464">_xlfn.IFS(I11464&lt;=3,"small",I11464&lt;=6,"Medium",I11464&lt;=9,"Large")</f>
        <v>Medium</v>
      </c>
      <c r="K11464" s="36">
        <v>45382</v>
      </c>
      <c r="L11464" s="36">
        <v>45388</v>
      </c>
      <c r="M11464" t="s">
        <v>603</v>
      </c>
      <c r="N11464" t="s">
        <v>608</v>
      </c>
      <c r="O11464" s="37" t="str">
        <f t="shared" si="898"/>
        <v>Cash Payment</v>
      </c>
      <c r="P11464">
        <v>586.44000000000005</v>
      </c>
      <c r="Q11464" s="37" t="str">
        <f>IF(P11464&gt;500,"High","low")</f>
        <v>High</v>
      </c>
      <c r="R11464" s="37" t="str">
        <f t="shared" si="899"/>
        <v>Good</v>
      </c>
      <c r="S11464" t="s">
        <v>620</v>
      </c>
    </row>
    <row r="11465" spans="1:19" x14ac:dyDescent="0.2">
      <c r="A11465" t="s">
        <v>12076</v>
      </c>
      <c r="B11465" t="s">
        <v>67</v>
      </c>
      <c r="C11465" t="s">
        <v>597</v>
      </c>
      <c r="D11465">
        <v>1431.74</v>
      </c>
      <c r="E11465" s="37" t="str">
        <f t="shared" si="895"/>
        <v xml:space="preserve"> </v>
      </c>
      <c r="F11465">
        <v>0.11</v>
      </c>
      <c r="G11465" s="37" t="str">
        <f t="shared" si="896"/>
        <v>Normal Discount</v>
      </c>
      <c r="H11465" s="37" t="str">
        <f t="shared" si="897"/>
        <v>Low</v>
      </c>
      <c r="I11465">
        <v>1</v>
      </c>
      <c r="J11465" t="str" cm="1">
        <f t="array" ref="J11465">_xlfn.IFS(I11465&lt;=3,"small",I11465&lt;=6,"Medium",I11465&lt;=9,"Large")</f>
        <v>small</v>
      </c>
      <c r="K11465" s="36">
        <v>45242</v>
      </c>
      <c r="L11465" s="36">
        <v>45245</v>
      </c>
      <c r="M11465" t="s">
        <v>612</v>
      </c>
      <c r="N11465" t="s">
        <v>608</v>
      </c>
      <c r="O11465" s="37" t="str">
        <f t="shared" si="898"/>
        <v>Cash Payment</v>
      </c>
      <c r="P11465">
        <v>231.9</v>
      </c>
      <c r="Q11465" s="37" t="str">
        <f>IF(P11465&gt;500,"High","low")</f>
        <v>low</v>
      </c>
      <c r="R11465" s="37" t="str">
        <f t="shared" si="899"/>
        <v>AVERAGE</v>
      </c>
      <c r="S11465" t="s">
        <v>615</v>
      </c>
    </row>
    <row r="11466" spans="1:19" x14ac:dyDescent="0.2">
      <c r="A11466" t="s">
        <v>12077</v>
      </c>
      <c r="B11466" t="s">
        <v>75</v>
      </c>
      <c r="C11466" t="s">
        <v>607</v>
      </c>
      <c r="D11466">
        <v>1996.19</v>
      </c>
      <c r="E11466" s="37" t="str">
        <f t="shared" si="895"/>
        <v xml:space="preserve"> </v>
      </c>
      <c r="F11466">
        <v>0.38</v>
      </c>
      <c r="G11466" s="37" t="str">
        <f t="shared" si="896"/>
        <v>Heavy Discount</v>
      </c>
      <c r="H11466" s="37" t="str">
        <f t="shared" si="897"/>
        <v>Medium</v>
      </c>
      <c r="I11466">
        <v>6</v>
      </c>
      <c r="J11466" t="str" cm="1">
        <f t="array" ref="J11466">_xlfn.IFS(I11466&lt;=3,"small",I11466&lt;=6,"Medium",I11466&lt;=9,"Large")</f>
        <v>Medium</v>
      </c>
      <c r="K11466" s="36">
        <v>45564</v>
      </c>
      <c r="L11466" s="36">
        <v>45566</v>
      </c>
      <c r="M11466" t="s">
        <v>612</v>
      </c>
      <c r="N11466" t="s">
        <v>604</v>
      </c>
      <c r="O11466" s="37" t="str">
        <f t="shared" si="898"/>
        <v>Digital Payment</v>
      </c>
      <c r="P11466">
        <v>589.89</v>
      </c>
      <c r="Q11466" s="37" t="str">
        <f>IF(P11466&gt;500,"High","low")</f>
        <v>High</v>
      </c>
      <c r="R11466" s="37" t="str">
        <f t="shared" si="899"/>
        <v>Good</v>
      </c>
      <c r="S11466" t="s">
        <v>600</v>
      </c>
    </row>
    <row r="11467" spans="1:19" x14ac:dyDescent="0.2">
      <c r="A11467" t="s">
        <v>12078</v>
      </c>
      <c r="B11467" t="s">
        <v>83</v>
      </c>
      <c r="C11467" t="s">
        <v>597</v>
      </c>
      <c r="D11467">
        <v>3788.28</v>
      </c>
      <c r="E11467" s="37" t="str">
        <f t="shared" si="895"/>
        <v xml:space="preserve"> </v>
      </c>
      <c r="F11467">
        <v>0.06</v>
      </c>
      <c r="G11467" s="37" t="str">
        <f t="shared" si="896"/>
        <v>Normal Discount</v>
      </c>
      <c r="H11467" s="37" t="str">
        <f t="shared" si="897"/>
        <v>Low</v>
      </c>
      <c r="I11467">
        <v>5</v>
      </c>
      <c r="J11467" t="str" cm="1">
        <f t="array" ref="J11467">_xlfn.IFS(I11467&lt;=3,"small",I11467&lt;=6,"Medium",I11467&lt;=9,"Large")</f>
        <v>Medium</v>
      </c>
      <c r="K11467" s="36">
        <v>45574</v>
      </c>
      <c r="L11467" s="36">
        <v>45575</v>
      </c>
      <c r="M11467" t="s">
        <v>612</v>
      </c>
      <c r="N11467" t="s">
        <v>599</v>
      </c>
      <c r="O11467" s="37" t="str">
        <f t="shared" si="898"/>
        <v>Digital Payment</v>
      </c>
      <c r="P11467">
        <v>820.85</v>
      </c>
      <c r="Q11467" s="37" t="str">
        <f>IF(P11467&gt;500,"High","low")</f>
        <v>High</v>
      </c>
      <c r="R11467" s="37" t="str">
        <f t="shared" si="899"/>
        <v>Good</v>
      </c>
      <c r="S11467" t="s">
        <v>615</v>
      </c>
    </row>
    <row r="11468" spans="1:19" x14ac:dyDescent="0.2">
      <c r="A11468" t="s">
        <v>12079</v>
      </c>
      <c r="B11468" t="s">
        <v>83</v>
      </c>
      <c r="C11468" t="s">
        <v>602</v>
      </c>
      <c r="D11468">
        <v>3905.36</v>
      </c>
      <c r="E11468" s="37" t="str">
        <f t="shared" si="895"/>
        <v xml:space="preserve"> </v>
      </c>
      <c r="F11468">
        <v>0.05</v>
      </c>
      <c r="G11468" s="37" t="str">
        <f t="shared" si="896"/>
        <v>Normal Discount</v>
      </c>
      <c r="H11468" s="37" t="str">
        <f t="shared" si="897"/>
        <v>Low</v>
      </c>
      <c r="I11468">
        <v>9</v>
      </c>
      <c r="J11468" t="str" cm="1">
        <f t="array" ref="J11468">_xlfn.IFS(I11468&lt;=3,"small",I11468&lt;=6,"Medium",I11468&lt;=9,"Large")</f>
        <v>Large</v>
      </c>
      <c r="K11468" s="36">
        <v>45032</v>
      </c>
      <c r="L11468" s="36">
        <v>45033</v>
      </c>
      <c r="M11468" t="s">
        <v>603</v>
      </c>
      <c r="N11468" t="s">
        <v>599</v>
      </c>
      <c r="O11468" s="37" t="str">
        <f t="shared" si="898"/>
        <v>Digital Payment</v>
      </c>
      <c r="P11468">
        <v>1037.54</v>
      </c>
      <c r="Q11468" s="37" t="str">
        <f>IF(P11468&gt;500,"High","low")</f>
        <v>High</v>
      </c>
      <c r="R11468" s="37" t="str">
        <f t="shared" si="899"/>
        <v>Excellent</v>
      </c>
      <c r="S11468" t="s">
        <v>609</v>
      </c>
    </row>
    <row r="11469" spans="1:19" x14ac:dyDescent="0.2">
      <c r="A11469" t="s">
        <v>12080</v>
      </c>
      <c r="B11469" t="s">
        <v>83</v>
      </c>
      <c r="C11469" t="s">
        <v>597</v>
      </c>
      <c r="D11469">
        <v>4562.43</v>
      </c>
      <c r="E11469" s="37" t="str">
        <f t="shared" si="895"/>
        <v xml:space="preserve"> </v>
      </c>
      <c r="F11469">
        <v>0.25</v>
      </c>
      <c r="G11469" s="37" t="str">
        <f t="shared" si="896"/>
        <v>Normal Discount</v>
      </c>
      <c r="H11469" s="37" t="str">
        <f t="shared" si="897"/>
        <v>Medium</v>
      </c>
      <c r="I11469">
        <v>6</v>
      </c>
      <c r="J11469" t="str" cm="1">
        <f t="array" ref="J11469">_xlfn.IFS(I11469&lt;=3,"small",I11469&lt;=6,"Medium",I11469&lt;=9,"Large")</f>
        <v>Medium</v>
      </c>
      <c r="K11469" s="36">
        <v>45543</v>
      </c>
      <c r="L11469" s="36">
        <v>45544</v>
      </c>
      <c r="M11469" t="s">
        <v>598</v>
      </c>
      <c r="N11469" t="s">
        <v>608</v>
      </c>
      <c r="O11469" s="37" t="str">
        <f t="shared" si="898"/>
        <v>Cash Payment</v>
      </c>
      <c r="P11469">
        <v>777.1</v>
      </c>
      <c r="Q11469" s="37" t="str">
        <f>IF(P11469&gt;500,"High","low")</f>
        <v>High</v>
      </c>
      <c r="R11469" s="37" t="str">
        <f t="shared" si="899"/>
        <v>Good</v>
      </c>
      <c r="S11469" t="s">
        <v>600</v>
      </c>
    </row>
    <row r="11470" spans="1:19" x14ac:dyDescent="0.2">
      <c r="A11470" t="s">
        <v>12081</v>
      </c>
      <c r="B11470" t="s">
        <v>75</v>
      </c>
      <c r="C11470" t="s">
        <v>614</v>
      </c>
      <c r="D11470">
        <v>3297.91</v>
      </c>
      <c r="E11470" s="37" t="str">
        <f t="shared" si="895"/>
        <v xml:space="preserve"> </v>
      </c>
      <c r="F11470">
        <v>0.15</v>
      </c>
      <c r="G11470" s="37" t="str">
        <f t="shared" si="896"/>
        <v>Normal Discount</v>
      </c>
      <c r="H11470" s="37" t="str">
        <f t="shared" si="897"/>
        <v>Low</v>
      </c>
      <c r="I11470">
        <v>1</v>
      </c>
      <c r="J11470" t="str" cm="1">
        <f t="array" ref="J11470">_xlfn.IFS(I11470&lt;=3,"small",I11470&lt;=6,"Medium",I11470&lt;=9,"Large")</f>
        <v>small</v>
      </c>
      <c r="K11470" s="36">
        <v>45075</v>
      </c>
      <c r="L11470" s="36">
        <v>45078</v>
      </c>
      <c r="M11470" t="s">
        <v>598</v>
      </c>
      <c r="N11470" t="s">
        <v>599</v>
      </c>
      <c r="O11470" s="37" t="str">
        <f t="shared" si="898"/>
        <v>Digital Payment</v>
      </c>
      <c r="P11470">
        <v>178.41</v>
      </c>
      <c r="Q11470" s="37" t="str">
        <f>IF(P11470&gt;500,"High","low")</f>
        <v>low</v>
      </c>
      <c r="R11470" s="37" t="str">
        <f t="shared" si="899"/>
        <v>AVERAGE</v>
      </c>
      <c r="S11470" t="s">
        <v>620</v>
      </c>
    </row>
    <row r="11471" spans="1:19" x14ac:dyDescent="0.2">
      <c r="A11471" t="s">
        <v>12082</v>
      </c>
      <c r="B11471" t="s">
        <v>67</v>
      </c>
      <c r="C11471" t="s">
        <v>614</v>
      </c>
      <c r="D11471">
        <v>2428.09</v>
      </c>
      <c r="E11471" s="37" t="str">
        <f t="shared" si="895"/>
        <v xml:space="preserve"> </v>
      </c>
      <c r="F11471">
        <v>0.28000000000000003</v>
      </c>
      <c r="G11471" s="37" t="str">
        <f t="shared" si="896"/>
        <v>Normal Discount</v>
      </c>
      <c r="H11471" s="37" t="str">
        <f t="shared" si="897"/>
        <v>Medium</v>
      </c>
      <c r="I11471">
        <v>3</v>
      </c>
      <c r="J11471" t="str" cm="1">
        <f t="array" ref="J11471">_xlfn.IFS(I11471&lt;=3,"small",I11471&lt;=6,"Medium",I11471&lt;=9,"Large")</f>
        <v>small</v>
      </c>
      <c r="K11471" s="36">
        <v>45622</v>
      </c>
      <c r="L11471" s="36">
        <v>45627</v>
      </c>
      <c r="M11471" t="s">
        <v>598</v>
      </c>
      <c r="N11471" t="s">
        <v>608</v>
      </c>
      <c r="O11471" s="37" t="str">
        <f t="shared" si="898"/>
        <v>Cash Payment</v>
      </c>
      <c r="P11471">
        <v>555.26</v>
      </c>
      <c r="Q11471" s="37" t="str">
        <f>IF(P11471&gt;500,"High","low")</f>
        <v>High</v>
      </c>
      <c r="R11471" s="37" t="str">
        <f t="shared" si="899"/>
        <v>Good</v>
      </c>
      <c r="S11471" t="s">
        <v>605</v>
      </c>
    </row>
    <row r="11472" spans="1:19" x14ac:dyDescent="0.2">
      <c r="A11472" t="s">
        <v>12083</v>
      </c>
      <c r="B11472" t="s">
        <v>67</v>
      </c>
      <c r="C11472" t="s">
        <v>607</v>
      </c>
      <c r="D11472">
        <v>1950.49</v>
      </c>
      <c r="E11472" s="37" t="str">
        <f t="shared" si="895"/>
        <v xml:space="preserve"> </v>
      </c>
      <c r="F11472">
        <v>0.34</v>
      </c>
      <c r="G11472" s="37" t="str">
        <f t="shared" si="896"/>
        <v>Heavy Discount</v>
      </c>
      <c r="H11472" s="37" t="str">
        <f t="shared" si="897"/>
        <v>Medium</v>
      </c>
      <c r="I11472">
        <v>2</v>
      </c>
      <c r="J11472" t="str" cm="1">
        <f t="array" ref="J11472">_xlfn.IFS(I11472&lt;=3,"small",I11472&lt;=6,"Medium",I11472&lt;=9,"Large")</f>
        <v>small</v>
      </c>
      <c r="K11472" s="36">
        <v>45614</v>
      </c>
      <c r="L11472" s="36">
        <v>45620</v>
      </c>
      <c r="M11472" t="s">
        <v>612</v>
      </c>
      <c r="N11472" t="s">
        <v>604</v>
      </c>
      <c r="O11472" s="37" t="str">
        <f t="shared" si="898"/>
        <v>Digital Payment</v>
      </c>
      <c r="P11472">
        <v>569.28</v>
      </c>
      <c r="Q11472" s="37" t="str">
        <f>IF(P11472&gt;500,"High","low")</f>
        <v>High</v>
      </c>
      <c r="R11472" s="37" t="str">
        <f t="shared" si="899"/>
        <v>Good</v>
      </c>
      <c r="S11472" t="s">
        <v>620</v>
      </c>
    </row>
    <row r="11473" spans="1:19" x14ac:dyDescent="0.2">
      <c r="A11473" t="s">
        <v>12084</v>
      </c>
      <c r="B11473" t="s">
        <v>67</v>
      </c>
      <c r="C11473" t="s">
        <v>602</v>
      </c>
      <c r="D11473">
        <v>2153.9699999999998</v>
      </c>
      <c r="E11473" s="37" t="str">
        <f t="shared" si="895"/>
        <v xml:space="preserve"> </v>
      </c>
      <c r="F11473">
        <v>0.11</v>
      </c>
      <c r="G11473" s="37" t="str">
        <f t="shared" si="896"/>
        <v>Normal Discount</v>
      </c>
      <c r="H11473" s="37" t="str">
        <f t="shared" si="897"/>
        <v>Low</v>
      </c>
      <c r="I11473">
        <v>3</v>
      </c>
      <c r="J11473" t="str" cm="1">
        <f t="array" ref="J11473">_xlfn.IFS(I11473&lt;=3,"small",I11473&lt;=6,"Medium",I11473&lt;=9,"Large")</f>
        <v>small</v>
      </c>
      <c r="K11473" s="36">
        <v>45229</v>
      </c>
      <c r="L11473" s="36">
        <v>45234</v>
      </c>
      <c r="M11473" t="s">
        <v>603</v>
      </c>
      <c r="N11473" t="s">
        <v>604</v>
      </c>
      <c r="O11473" s="37" t="str">
        <f t="shared" si="898"/>
        <v>Digital Payment</v>
      </c>
      <c r="P11473">
        <v>261.89999999999998</v>
      </c>
      <c r="Q11473" s="37" t="str">
        <f>IF(P11473&gt;500,"High","low")</f>
        <v>low</v>
      </c>
      <c r="R11473" s="37" t="str">
        <f t="shared" si="899"/>
        <v>AVERAGE</v>
      </c>
      <c r="S11473" t="s">
        <v>628</v>
      </c>
    </row>
    <row r="11474" spans="1:19" x14ac:dyDescent="0.2">
      <c r="A11474" t="s">
        <v>12085</v>
      </c>
      <c r="B11474" t="s">
        <v>90</v>
      </c>
      <c r="C11474" t="s">
        <v>607</v>
      </c>
      <c r="D11474">
        <v>4266.99</v>
      </c>
      <c r="E11474" s="37" t="str">
        <f t="shared" si="895"/>
        <v>Excellent Order</v>
      </c>
      <c r="F11474">
        <v>0.35</v>
      </c>
      <c r="G11474" s="37" t="str">
        <f t="shared" si="896"/>
        <v>Heavy Discount</v>
      </c>
      <c r="H11474" s="37" t="str">
        <f t="shared" si="897"/>
        <v>Medium</v>
      </c>
      <c r="I11474">
        <v>1</v>
      </c>
      <c r="J11474" t="str" cm="1">
        <f t="array" ref="J11474">_xlfn.IFS(I11474&lt;=3,"small",I11474&lt;=6,"Medium",I11474&lt;=9,"Large")</f>
        <v>small</v>
      </c>
      <c r="K11474" s="36">
        <v>45004</v>
      </c>
      <c r="L11474" s="36">
        <v>45007</v>
      </c>
      <c r="M11474" t="s">
        <v>603</v>
      </c>
      <c r="N11474" t="s">
        <v>599</v>
      </c>
      <c r="O11474" s="37" t="str">
        <f t="shared" si="898"/>
        <v>Digital Payment</v>
      </c>
      <c r="P11474">
        <v>915.94</v>
      </c>
      <c r="Q11474" s="37" t="str">
        <f>IF(P11474&gt;500,"High","low")</f>
        <v>High</v>
      </c>
      <c r="R11474" s="37" t="str">
        <f t="shared" si="899"/>
        <v>Good</v>
      </c>
      <c r="S11474" t="s">
        <v>609</v>
      </c>
    </row>
    <row r="11475" spans="1:19" x14ac:dyDescent="0.2">
      <c r="A11475" t="s">
        <v>12086</v>
      </c>
      <c r="B11475" t="s">
        <v>90</v>
      </c>
      <c r="C11475" t="s">
        <v>614</v>
      </c>
      <c r="D11475">
        <v>4902.04</v>
      </c>
      <c r="E11475" s="37" t="str">
        <f t="shared" si="895"/>
        <v xml:space="preserve"> </v>
      </c>
      <c r="F11475">
        <v>0.5</v>
      </c>
      <c r="G11475" s="37" t="str">
        <f t="shared" si="896"/>
        <v>Heavy Discount</v>
      </c>
      <c r="H11475" s="37" t="str">
        <f t="shared" si="897"/>
        <v>High</v>
      </c>
      <c r="I11475">
        <v>2</v>
      </c>
      <c r="J11475" t="str" cm="1">
        <f t="array" ref="J11475">_xlfn.IFS(I11475&lt;=3,"small",I11475&lt;=6,"Medium",I11475&lt;=9,"Large")</f>
        <v>small</v>
      </c>
      <c r="K11475" s="36">
        <v>45213</v>
      </c>
      <c r="L11475" s="36">
        <v>45215</v>
      </c>
      <c r="M11475" t="s">
        <v>598</v>
      </c>
      <c r="N11475" t="s">
        <v>608</v>
      </c>
      <c r="O11475" s="37" t="str">
        <f t="shared" si="898"/>
        <v>Cash Payment</v>
      </c>
      <c r="P11475">
        <v>778.24</v>
      </c>
      <c r="Q11475" s="37" t="str">
        <f>IF(P11475&gt;500,"High","low")</f>
        <v>High</v>
      </c>
      <c r="R11475" s="37" t="str">
        <f t="shared" si="899"/>
        <v>Good</v>
      </c>
      <c r="S11475" t="s">
        <v>600</v>
      </c>
    </row>
    <row r="11476" spans="1:19" x14ac:dyDescent="0.2">
      <c r="A11476" t="s">
        <v>12087</v>
      </c>
      <c r="B11476" t="s">
        <v>90</v>
      </c>
      <c r="C11476" t="s">
        <v>602</v>
      </c>
      <c r="D11476">
        <v>354.36</v>
      </c>
      <c r="E11476" s="37" t="str">
        <f t="shared" si="895"/>
        <v xml:space="preserve"> </v>
      </c>
      <c r="F11476">
        <v>0.38</v>
      </c>
      <c r="G11476" s="37" t="str">
        <f t="shared" si="896"/>
        <v>Heavy Discount</v>
      </c>
      <c r="H11476" s="37" t="str">
        <f t="shared" si="897"/>
        <v>Medium</v>
      </c>
      <c r="I11476">
        <v>8</v>
      </c>
      <c r="J11476" t="str" cm="1">
        <f t="array" ref="J11476">_xlfn.IFS(I11476&lt;=3,"small",I11476&lt;=6,"Medium",I11476&lt;=9,"Large")</f>
        <v>Large</v>
      </c>
      <c r="K11476" s="36">
        <v>45017</v>
      </c>
      <c r="L11476" s="36">
        <v>45023</v>
      </c>
      <c r="M11476" t="s">
        <v>612</v>
      </c>
      <c r="N11476" t="s">
        <v>608</v>
      </c>
      <c r="O11476" s="37" t="str">
        <f t="shared" si="898"/>
        <v>Cash Payment</v>
      </c>
      <c r="P11476">
        <v>65.62</v>
      </c>
      <c r="Q11476" s="37" t="str">
        <f>IF(P11476&gt;500,"High","low")</f>
        <v>low</v>
      </c>
      <c r="R11476" s="37" t="str">
        <f t="shared" si="899"/>
        <v>AVERAGE</v>
      </c>
      <c r="S11476" t="s">
        <v>628</v>
      </c>
    </row>
    <row r="11477" spans="1:19" x14ac:dyDescent="0.2">
      <c r="A11477" t="s">
        <v>12088</v>
      </c>
      <c r="B11477" t="s">
        <v>75</v>
      </c>
      <c r="C11477" t="s">
        <v>597</v>
      </c>
      <c r="D11477">
        <v>2943.2</v>
      </c>
      <c r="E11477" s="37" t="str">
        <f t="shared" si="895"/>
        <v xml:space="preserve"> </v>
      </c>
      <c r="F11477">
        <v>0.09</v>
      </c>
      <c r="G11477" s="37" t="str">
        <f t="shared" si="896"/>
        <v>Normal Discount</v>
      </c>
      <c r="H11477" s="37" t="str">
        <f t="shared" si="897"/>
        <v>Low</v>
      </c>
      <c r="I11477">
        <v>3</v>
      </c>
      <c r="J11477" t="str" cm="1">
        <f t="array" ref="J11477">_xlfn.IFS(I11477&lt;=3,"small",I11477&lt;=6,"Medium",I11477&lt;=9,"Large")</f>
        <v>small</v>
      </c>
      <c r="K11477" s="36">
        <v>45321</v>
      </c>
      <c r="L11477" s="36">
        <v>45324</v>
      </c>
      <c r="M11477" t="s">
        <v>598</v>
      </c>
      <c r="N11477" t="s">
        <v>608</v>
      </c>
      <c r="O11477" s="37" t="str">
        <f t="shared" si="898"/>
        <v>Cash Payment</v>
      </c>
      <c r="P11477">
        <v>197.67</v>
      </c>
      <c r="Q11477" s="37" t="str">
        <f>IF(P11477&gt;500,"High","low")</f>
        <v>low</v>
      </c>
      <c r="R11477" s="37" t="str">
        <f t="shared" si="899"/>
        <v>AVERAGE</v>
      </c>
      <c r="S11477" t="s">
        <v>615</v>
      </c>
    </row>
    <row r="11478" spans="1:19" x14ac:dyDescent="0.2">
      <c r="A11478" t="s">
        <v>12089</v>
      </c>
      <c r="B11478" t="s">
        <v>83</v>
      </c>
      <c r="C11478" t="s">
        <v>602</v>
      </c>
      <c r="D11478">
        <v>2648.26</v>
      </c>
      <c r="E11478" s="37" t="str">
        <f t="shared" si="895"/>
        <v xml:space="preserve"> </v>
      </c>
      <c r="F11478">
        <v>0.32</v>
      </c>
      <c r="G11478" s="37" t="str">
        <f t="shared" si="896"/>
        <v>Heavy Discount</v>
      </c>
      <c r="H11478" s="37" t="str">
        <f t="shared" si="897"/>
        <v>Medium</v>
      </c>
      <c r="I11478">
        <v>9</v>
      </c>
      <c r="J11478" t="str" cm="1">
        <f t="array" ref="J11478">_xlfn.IFS(I11478&lt;=3,"small",I11478&lt;=6,"Medium",I11478&lt;=9,"Large")</f>
        <v>Large</v>
      </c>
      <c r="K11478" s="36">
        <v>45248</v>
      </c>
      <c r="L11478" s="36">
        <v>45254</v>
      </c>
      <c r="M11478" t="s">
        <v>598</v>
      </c>
      <c r="N11478" t="s">
        <v>608</v>
      </c>
      <c r="O11478" s="37" t="str">
        <f t="shared" si="898"/>
        <v>Cash Payment</v>
      </c>
      <c r="P11478">
        <v>631.48</v>
      </c>
      <c r="Q11478" s="37" t="str">
        <f>IF(P11478&gt;500,"High","low")</f>
        <v>High</v>
      </c>
      <c r="R11478" s="37" t="str">
        <f t="shared" si="899"/>
        <v>Good</v>
      </c>
      <c r="S11478" t="s">
        <v>609</v>
      </c>
    </row>
    <row r="11479" spans="1:19" x14ac:dyDescent="0.2">
      <c r="A11479" t="s">
        <v>12090</v>
      </c>
      <c r="B11479" t="s">
        <v>83</v>
      </c>
      <c r="C11479" t="s">
        <v>617</v>
      </c>
      <c r="D11479">
        <v>1943.1</v>
      </c>
      <c r="E11479" s="37" t="str">
        <f t="shared" si="895"/>
        <v xml:space="preserve"> </v>
      </c>
      <c r="F11479">
        <v>0</v>
      </c>
      <c r="G11479" s="37" t="str">
        <f t="shared" si="896"/>
        <v>Normal Discount</v>
      </c>
      <c r="H11479" s="37" t="str">
        <f t="shared" si="897"/>
        <v>Low</v>
      </c>
      <c r="I11479">
        <v>4</v>
      </c>
      <c r="J11479" t="str" cm="1">
        <f t="array" ref="J11479">_xlfn.IFS(I11479&lt;=3,"small",I11479&lt;=6,"Medium",I11479&lt;=9,"Large")</f>
        <v>Medium</v>
      </c>
      <c r="K11479" s="36">
        <v>45370</v>
      </c>
      <c r="L11479" s="36">
        <v>45371</v>
      </c>
      <c r="M11479" t="s">
        <v>612</v>
      </c>
      <c r="N11479" t="s">
        <v>599</v>
      </c>
      <c r="O11479" s="37" t="str">
        <f t="shared" si="898"/>
        <v>Digital Payment</v>
      </c>
      <c r="P11479">
        <v>513.70000000000005</v>
      </c>
      <c r="Q11479" s="37" t="str">
        <f>IF(P11479&gt;500,"High","low")</f>
        <v>High</v>
      </c>
      <c r="R11479" s="37" t="str">
        <f t="shared" si="899"/>
        <v>Good</v>
      </c>
      <c r="S11479" t="s">
        <v>605</v>
      </c>
    </row>
    <row r="11480" spans="1:19" x14ac:dyDescent="0.2">
      <c r="A11480" t="s">
        <v>12091</v>
      </c>
      <c r="B11480" t="s">
        <v>75</v>
      </c>
      <c r="C11480" t="s">
        <v>602</v>
      </c>
      <c r="D11480">
        <v>4272.72</v>
      </c>
      <c r="E11480" s="37" t="str">
        <f t="shared" si="895"/>
        <v xml:space="preserve"> </v>
      </c>
      <c r="F11480">
        <v>0.23</v>
      </c>
      <c r="G11480" s="37" t="str">
        <f t="shared" si="896"/>
        <v>Normal Discount</v>
      </c>
      <c r="H11480" s="37" t="str">
        <f t="shared" si="897"/>
        <v>Medium</v>
      </c>
      <c r="I11480">
        <v>2</v>
      </c>
      <c r="J11480" t="str" cm="1">
        <f t="array" ref="J11480">_xlfn.IFS(I11480&lt;=3,"small",I11480&lt;=6,"Medium",I11480&lt;=9,"Large")</f>
        <v>small</v>
      </c>
      <c r="K11480" s="36">
        <v>44957</v>
      </c>
      <c r="L11480" s="36">
        <v>44959</v>
      </c>
      <c r="M11480" t="s">
        <v>598</v>
      </c>
      <c r="N11480" t="s">
        <v>608</v>
      </c>
      <c r="O11480" s="37" t="str">
        <f t="shared" si="898"/>
        <v>Cash Payment</v>
      </c>
      <c r="P11480">
        <v>288.91000000000003</v>
      </c>
      <c r="Q11480" s="37" t="str">
        <f>IF(P11480&gt;500,"High","low")</f>
        <v>low</v>
      </c>
      <c r="R11480" s="37" t="str">
        <f t="shared" si="899"/>
        <v>AVERAGE</v>
      </c>
      <c r="S11480" t="s">
        <v>620</v>
      </c>
    </row>
    <row r="11481" spans="1:19" x14ac:dyDescent="0.2">
      <c r="A11481" t="s">
        <v>12092</v>
      </c>
      <c r="B11481" t="s">
        <v>75</v>
      </c>
      <c r="C11481" t="s">
        <v>597</v>
      </c>
      <c r="D11481">
        <v>2921.14</v>
      </c>
      <c r="E11481" s="37" t="str">
        <f t="shared" si="895"/>
        <v xml:space="preserve"> </v>
      </c>
      <c r="F11481">
        <v>0.27</v>
      </c>
      <c r="G11481" s="37" t="str">
        <f t="shared" si="896"/>
        <v>Normal Discount</v>
      </c>
      <c r="H11481" s="37" t="str">
        <f t="shared" si="897"/>
        <v>Medium</v>
      </c>
      <c r="I11481">
        <v>7</v>
      </c>
      <c r="J11481" t="str" cm="1">
        <f t="array" ref="J11481">_xlfn.IFS(I11481&lt;=3,"small",I11481&lt;=6,"Medium",I11481&lt;=9,"Large")</f>
        <v>Large</v>
      </c>
      <c r="K11481" s="36">
        <v>45104</v>
      </c>
      <c r="L11481" s="36">
        <v>45108</v>
      </c>
      <c r="M11481" t="s">
        <v>612</v>
      </c>
      <c r="N11481" t="s">
        <v>608</v>
      </c>
      <c r="O11481" s="37" t="str">
        <f t="shared" si="898"/>
        <v>Cash Payment</v>
      </c>
      <c r="P11481">
        <v>546.09</v>
      </c>
      <c r="Q11481" s="37" t="str">
        <f>IF(P11481&gt;500,"High","low")</f>
        <v>High</v>
      </c>
      <c r="R11481" s="37" t="str">
        <f t="shared" si="899"/>
        <v>Good</v>
      </c>
      <c r="S11481" t="s">
        <v>615</v>
      </c>
    </row>
    <row r="11482" spans="1:19" x14ac:dyDescent="0.2">
      <c r="A11482" t="s">
        <v>12093</v>
      </c>
      <c r="B11482" t="s">
        <v>67</v>
      </c>
      <c r="C11482" t="s">
        <v>617</v>
      </c>
      <c r="D11482">
        <v>1634.27</v>
      </c>
      <c r="E11482" s="37" t="str">
        <f t="shared" si="895"/>
        <v xml:space="preserve"> </v>
      </c>
      <c r="F11482">
        <v>0.49</v>
      </c>
      <c r="G11482" s="37" t="str">
        <f t="shared" si="896"/>
        <v>Heavy Discount</v>
      </c>
      <c r="H11482" s="37" t="str">
        <f t="shared" si="897"/>
        <v>High</v>
      </c>
      <c r="I11482">
        <v>9</v>
      </c>
      <c r="J11482" t="str" cm="1">
        <f t="array" ref="J11482">_xlfn.IFS(I11482&lt;=3,"small",I11482&lt;=6,"Medium",I11482&lt;=9,"Large")</f>
        <v>Large</v>
      </c>
      <c r="K11482" s="36">
        <v>45242</v>
      </c>
      <c r="L11482" s="36">
        <v>45249</v>
      </c>
      <c r="M11482" t="s">
        <v>603</v>
      </c>
      <c r="N11482" t="s">
        <v>608</v>
      </c>
      <c r="O11482" s="37" t="str">
        <f t="shared" si="898"/>
        <v>Cash Payment</v>
      </c>
      <c r="P11482">
        <v>393.26</v>
      </c>
      <c r="Q11482" s="37" t="str">
        <f>IF(P11482&gt;500,"High","low")</f>
        <v>low</v>
      </c>
      <c r="R11482" s="37" t="str">
        <f t="shared" si="899"/>
        <v>AVERAGE</v>
      </c>
      <c r="S11482" t="s">
        <v>615</v>
      </c>
    </row>
    <row r="11483" spans="1:19" x14ac:dyDescent="0.2">
      <c r="A11483" t="s">
        <v>12094</v>
      </c>
      <c r="B11483" t="s">
        <v>67</v>
      </c>
      <c r="C11483" t="s">
        <v>607</v>
      </c>
      <c r="D11483">
        <v>2276.11</v>
      </c>
      <c r="E11483" s="37" t="str">
        <f t="shared" si="895"/>
        <v xml:space="preserve"> </v>
      </c>
      <c r="F11483">
        <v>0.37</v>
      </c>
      <c r="G11483" s="37" t="str">
        <f t="shared" si="896"/>
        <v>Heavy Discount</v>
      </c>
      <c r="H11483" s="37" t="str">
        <f t="shared" si="897"/>
        <v>Medium</v>
      </c>
      <c r="I11483">
        <v>5</v>
      </c>
      <c r="J11483" t="str" cm="1">
        <f t="array" ref="J11483">_xlfn.IFS(I11483&lt;=3,"small",I11483&lt;=6,"Medium",I11483&lt;=9,"Large")</f>
        <v>Medium</v>
      </c>
      <c r="K11483" s="36">
        <v>45605</v>
      </c>
      <c r="L11483" s="36">
        <v>45607</v>
      </c>
      <c r="M11483" t="s">
        <v>612</v>
      </c>
      <c r="N11483" t="s">
        <v>608</v>
      </c>
      <c r="O11483" s="37" t="str">
        <f t="shared" si="898"/>
        <v>Cash Payment</v>
      </c>
      <c r="P11483">
        <v>673.15</v>
      </c>
      <c r="Q11483" s="37" t="str">
        <f>IF(P11483&gt;500,"High","low")</f>
        <v>High</v>
      </c>
      <c r="R11483" s="37" t="str">
        <f t="shared" si="899"/>
        <v>Good</v>
      </c>
      <c r="S11483" t="s">
        <v>615</v>
      </c>
    </row>
    <row r="11484" spans="1:19" x14ac:dyDescent="0.2">
      <c r="A11484" t="s">
        <v>12095</v>
      </c>
      <c r="B11484" t="s">
        <v>90</v>
      </c>
      <c r="C11484" t="s">
        <v>602</v>
      </c>
      <c r="D11484">
        <v>1848.34</v>
      </c>
      <c r="E11484" s="37" t="str">
        <f t="shared" si="895"/>
        <v xml:space="preserve"> </v>
      </c>
      <c r="F11484">
        <v>0.35</v>
      </c>
      <c r="G11484" s="37" t="str">
        <f t="shared" si="896"/>
        <v>Heavy Discount</v>
      </c>
      <c r="H11484" s="37" t="str">
        <f t="shared" si="897"/>
        <v>Medium</v>
      </c>
      <c r="I11484">
        <v>1</v>
      </c>
      <c r="J11484" t="str" cm="1">
        <f t="array" ref="J11484">_xlfn.IFS(I11484&lt;=3,"small",I11484&lt;=6,"Medium",I11484&lt;=9,"Large")</f>
        <v>small</v>
      </c>
      <c r="K11484" s="36">
        <v>44994</v>
      </c>
      <c r="L11484" s="36">
        <v>45000</v>
      </c>
      <c r="M11484" t="s">
        <v>603</v>
      </c>
      <c r="N11484" t="s">
        <v>604</v>
      </c>
      <c r="O11484" s="37" t="str">
        <f t="shared" si="898"/>
        <v>Digital Payment</v>
      </c>
      <c r="P11484">
        <v>243.09</v>
      </c>
      <c r="Q11484" s="37" t="str">
        <f>IF(P11484&gt;500,"High","low")</f>
        <v>low</v>
      </c>
      <c r="R11484" s="37" t="str">
        <f t="shared" si="899"/>
        <v>AVERAGE</v>
      </c>
      <c r="S11484" t="s">
        <v>615</v>
      </c>
    </row>
    <row r="11485" spans="1:19" x14ac:dyDescent="0.2">
      <c r="A11485" t="s">
        <v>12096</v>
      </c>
      <c r="B11485" t="s">
        <v>90</v>
      </c>
      <c r="C11485" t="s">
        <v>607</v>
      </c>
      <c r="D11485">
        <v>2207.42</v>
      </c>
      <c r="E11485" s="37" t="str">
        <f t="shared" si="895"/>
        <v xml:space="preserve"> </v>
      </c>
      <c r="F11485">
        <v>0.27</v>
      </c>
      <c r="G11485" s="37" t="str">
        <f t="shared" si="896"/>
        <v>Normal Discount</v>
      </c>
      <c r="H11485" s="37" t="str">
        <f t="shared" si="897"/>
        <v>Medium</v>
      </c>
      <c r="I11485">
        <v>9</v>
      </c>
      <c r="J11485" t="str" cm="1">
        <f t="array" ref="J11485">_xlfn.IFS(I11485&lt;=3,"small",I11485&lt;=6,"Medium",I11485&lt;=9,"Large")</f>
        <v>Large</v>
      </c>
      <c r="K11485" s="36">
        <v>45468</v>
      </c>
      <c r="L11485" s="36">
        <v>45471</v>
      </c>
      <c r="M11485" t="s">
        <v>598</v>
      </c>
      <c r="N11485" t="s">
        <v>604</v>
      </c>
      <c r="O11485" s="37" t="str">
        <f t="shared" si="898"/>
        <v>Digital Payment</v>
      </c>
      <c r="P11485">
        <v>298.23</v>
      </c>
      <c r="Q11485" s="37" t="str">
        <f>IF(P11485&gt;500,"High","low")</f>
        <v>low</v>
      </c>
      <c r="R11485" s="37" t="str">
        <f t="shared" si="899"/>
        <v>AVERAGE</v>
      </c>
      <c r="S11485" t="s">
        <v>609</v>
      </c>
    </row>
    <row r="11486" spans="1:19" x14ac:dyDescent="0.2">
      <c r="A11486" t="s">
        <v>12097</v>
      </c>
      <c r="B11486" t="s">
        <v>75</v>
      </c>
      <c r="C11486" t="s">
        <v>602</v>
      </c>
      <c r="D11486">
        <v>449.2</v>
      </c>
      <c r="E11486" s="37" t="str">
        <f t="shared" si="895"/>
        <v xml:space="preserve"> </v>
      </c>
      <c r="F11486">
        <v>0.26</v>
      </c>
      <c r="G11486" s="37" t="str">
        <f t="shared" si="896"/>
        <v>Normal Discount</v>
      </c>
      <c r="H11486" s="37" t="str">
        <f t="shared" si="897"/>
        <v>Medium</v>
      </c>
      <c r="I11486">
        <v>9</v>
      </c>
      <c r="J11486" t="str" cm="1">
        <f t="array" ref="J11486">_xlfn.IFS(I11486&lt;=3,"small",I11486&lt;=6,"Medium",I11486&lt;=9,"Large")</f>
        <v>Large</v>
      </c>
      <c r="K11486" s="36">
        <v>44993</v>
      </c>
      <c r="L11486" s="36">
        <v>44999</v>
      </c>
      <c r="M11486" t="s">
        <v>598</v>
      </c>
      <c r="N11486" t="s">
        <v>608</v>
      </c>
      <c r="O11486" s="37" t="str">
        <f t="shared" si="898"/>
        <v>Cash Payment</v>
      </c>
      <c r="P11486">
        <v>120.89</v>
      </c>
      <c r="Q11486" s="37" t="str">
        <f>IF(P11486&gt;500,"High","low")</f>
        <v>low</v>
      </c>
      <c r="R11486" s="37" t="str">
        <f t="shared" si="899"/>
        <v>AVERAGE</v>
      </c>
      <c r="S11486" t="s">
        <v>628</v>
      </c>
    </row>
    <row r="11487" spans="1:19" x14ac:dyDescent="0.2">
      <c r="A11487" t="s">
        <v>12098</v>
      </c>
      <c r="B11487" t="s">
        <v>90</v>
      </c>
      <c r="C11487" t="s">
        <v>614</v>
      </c>
      <c r="D11487">
        <v>648.39</v>
      </c>
      <c r="E11487" s="37" t="str">
        <f t="shared" si="895"/>
        <v xml:space="preserve"> </v>
      </c>
      <c r="F11487">
        <v>0.5</v>
      </c>
      <c r="G11487" s="37" t="str">
        <f t="shared" si="896"/>
        <v>Heavy Discount</v>
      </c>
      <c r="H11487" s="37" t="str">
        <f t="shared" si="897"/>
        <v>High</v>
      </c>
      <c r="I11487">
        <v>7</v>
      </c>
      <c r="J11487" t="str" cm="1">
        <f t="array" ref="J11487">_xlfn.IFS(I11487&lt;=3,"small",I11487&lt;=6,"Medium",I11487&lt;=9,"Large")</f>
        <v>Large</v>
      </c>
      <c r="K11487" s="36">
        <v>45506</v>
      </c>
      <c r="L11487" s="36">
        <v>45513</v>
      </c>
      <c r="M11487" t="s">
        <v>598</v>
      </c>
      <c r="N11487" t="s">
        <v>604</v>
      </c>
      <c r="O11487" s="37" t="str">
        <f t="shared" si="898"/>
        <v>Digital Payment</v>
      </c>
      <c r="P11487">
        <v>146.24</v>
      </c>
      <c r="Q11487" s="37" t="str">
        <f>IF(P11487&gt;500,"High","low")</f>
        <v>low</v>
      </c>
      <c r="R11487" s="37" t="str">
        <f t="shared" si="899"/>
        <v>AVERAGE</v>
      </c>
      <c r="S11487" t="s">
        <v>609</v>
      </c>
    </row>
    <row r="11488" spans="1:19" x14ac:dyDescent="0.2">
      <c r="A11488" t="s">
        <v>12099</v>
      </c>
      <c r="B11488" t="s">
        <v>83</v>
      </c>
      <c r="C11488" t="s">
        <v>614</v>
      </c>
      <c r="D11488">
        <v>3156.09</v>
      </c>
      <c r="E11488" s="37" t="str">
        <f t="shared" si="895"/>
        <v xml:space="preserve"> </v>
      </c>
      <c r="F11488">
        <v>0.01</v>
      </c>
      <c r="G11488" s="37" t="str">
        <f t="shared" si="896"/>
        <v>Normal Discount</v>
      </c>
      <c r="H11488" s="37" t="str">
        <f t="shared" si="897"/>
        <v>Low</v>
      </c>
      <c r="I11488">
        <v>1</v>
      </c>
      <c r="J11488" t="str" cm="1">
        <f t="array" ref="J11488">_xlfn.IFS(I11488&lt;=3,"small",I11488&lt;=6,"Medium",I11488&lt;=9,"Large")</f>
        <v>small</v>
      </c>
      <c r="K11488" s="36">
        <v>45112</v>
      </c>
      <c r="L11488" s="36">
        <v>45113</v>
      </c>
      <c r="M11488" t="s">
        <v>612</v>
      </c>
      <c r="N11488" t="s">
        <v>599</v>
      </c>
      <c r="O11488" s="37" t="str">
        <f t="shared" si="898"/>
        <v>Digital Payment</v>
      </c>
      <c r="P11488">
        <v>911.81</v>
      </c>
      <c r="Q11488" s="37" t="str">
        <f>IF(P11488&gt;500,"High","low")</f>
        <v>High</v>
      </c>
      <c r="R11488" s="37" t="str">
        <f t="shared" si="899"/>
        <v>Good</v>
      </c>
      <c r="S11488" t="s">
        <v>605</v>
      </c>
    </row>
    <row r="11489" spans="1:19" x14ac:dyDescent="0.2">
      <c r="A11489" t="s">
        <v>12100</v>
      </c>
      <c r="B11489" t="s">
        <v>75</v>
      </c>
      <c r="C11489" t="s">
        <v>597</v>
      </c>
      <c r="D11489">
        <v>3451.94</v>
      </c>
      <c r="E11489" s="37" t="str">
        <f t="shared" si="895"/>
        <v xml:space="preserve"> </v>
      </c>
      <c r="F11489">
        <v>0.15</v>
      </c>
      <c r="G11489" s="37" t="str">
        <f t="shared" si="896"/>
        <v>Normal Discount</v>
      </c>
      <c r="H11489" s="37" t="str">
        <f t="shared" si="897"/>
        <v>Low</v>
      </c>
      <c r="I11489">
        <v>4</v>
      </c>
      <c r="J11489" t="str" cm="1">
        <f t="array" ref="J11489">_xlfn.IFS(I11489&lt;=3,"small",I11489&lt;=6,"Medium",I11489&lt;=9,"Large")</f>
        <v>Medium</v>
      </c>
      <c r="K11489" s="36">
        <v>45003</v>
      </c>
      <c r="L11489" s="36">
        <v>45010</v>
      </c>
      <c r="M11489" t="s">
        <v>612</v>
      </c>
      <c r="N11489" t="s">
        <v>608</v>
      </c>
      <c r="O11489" s="37" t="str">
        <f t="shared" si="898"/>
        <v>Cash Payment</v>
      </c>
      <c r="P11489">
        <v>588.63</v>
      </c>
      <c r="Q11489" s="37" t="str">
        <f>IF(P11489&gt;500,"High","low")</f>
        <v>High</v>
      </c>
      <c r="R11489" s="37" t="str">
        <f t="shared" si="899"/>
        <v>Good</v>
      </c>
      <c r="S11489" t="s">
        <v>605</v>
      </c>
    </row>
    <row r="11490" spans="1:19" x14ac:dyDescent="0.2">
      <c r="A11490" t="s">
        <v>12101</v>
      </c>
      <c r="B11490" t="s">
        <v>75</v>
      </c>
      <c r="C11490" t="s">
        <v>614</v>
      </c>
      <c r="D11490">
        <v>3219.44</v>
      </c>
      <c r="E11490" s="37" t="str">
        <f t="shared" si="895"/>
        <v xml:space="preserve"> </v>
      </c>
      <c r="F11490">
        <v>7.0000000000000007E-2</v>
      </c>
      <c r="G11490" s="37" t="str">
        <f t="shared" si="896"/>
        <v>Normal Discount</v>
      </c>
      <c r="H11490" s="37" t="str">
        <f t="shared" si="897"/>
        <v>Low</v>
      </c>
      <c r="I11490">
        <v>1</v>
      </c>
      <c r="J11490" t="str" cm="1">
        <f t="array" ref="J11490">_xlfn.IFS(I11490&lt;=3,"small",I11490&lt;=6,"Medium",I11490&lt;=9,"Large")</f>
        <v>small</v>
      </c>
      <c r="K11490" s="36">
        <v>45107</v>
      </c>
      <c r="L11490" s="36">
        <v>45113</v>
      </c>
      <c r="M11490" t="s">
        <v>603</v>
      </c>
      <c r="N11490" t="s">
        <v>599</v>
      </c>
      <c r="O11490" s="37" t="str">
        <f t="shared" si="898"/>
        <v>Digital Payment</v>
      </c>
      <c r="P11490">
        <v>660.39</v>
      </c>
      <c r="Q11490" s="37" t="str">
        <f>IF(P11490&gt;500,"High","low")</f>
        <v>High</v>
      </c>
      <c r="R11490" s="37" t="str">
        <f t="shared" si="899"/>
        <v>Good</v>
      </c>
      <c r="S11490" t="s">
        <v>620</v>
      </c>
    </row>
    <row r="11491" spans="1:19" x14ac:dyDescent="0.2">
      <c r="A11491" t="s">
        <v>12102</v>
      </c>
      <c r="B11491" t="s">
        <v>83</v>
      </c>
      <c r="C11491" t="s">
        <v>617</v>
      </c>
      <c r="D11491">
        <v>3839.07</v>
      </c>
      <c r="E11491" s="37" t="str">
        <f t="shared" si="895"/>
        <v xml:space="preserve"> </v>
      </c>
      <c r="F11491">
        <v>0.16</v>
      </c>
      <c r="G11491" s="37" t="str">
        <f t="shared" si="896"/>
        <v>Normal Discount</v>
      </c>
      <c r="H11491" s="37" t="str">
        <f t="shared" si="897"/>
        <v>Low</v>
      </c>
      <c r="I11491">
        <v>3</v>
      </c>
      <c r="J11491" t="str" cm="1">
        <f t="array" ref="J11491">_xlfn.IFS(I11491&lt;=3,"small",I11491&lt;=6,"Medium",I11491&lt;=9,"Large")</f>
        <v>small</v>
      </c>
      <c r="K11491" s="36">
        <v>45452</v>
      </c>
      <c r="L11491" s="36">
        <v>45454</v>
      </c>
      <c r="M11491" t="s">
        <v>598</v>
      </c>
      <c r="N11491" t="s">
        <v>599</v>
      </c>
      <c r="O11491" s="37" t="str">
        <f t="shared" si="898"/>
        <v>Digital Payment</v>
      </c>
      <c r="P11491">
        <v>266.10000000000002</v>
      </c>
      <c r="Q11491" s="37" t="str">
        <f>IF(P11491&gt;500,"High","low")</f>
        <v>low</v>
      </c>
      <c r="R11491" s="37" t="str">
        <f t="shared" si="899"/>
        <v>AVERAGE</v>
      </c>
      <c r="S11491" t="s">
        <v>605</v>
      </c>
    </row>
    <row r="11492" spans="1:19" x14ac:dyDescent="0.2">
      <c r="A11492" t="s">
        <v>12103</v>
      </c>
      <c r="B11492" t="s">
        <v>67</v>
      </c>
      <c r="C11492" t="s">
        <v>617</v>
      </c>
      <c r="D11492">
        <v>4723.32</v>
      </c>
      <c r="E11492" s="37" t="str">
        <f t="shared" si="895"/>
        <v>Excellent Order</v>
      </c>
      <c r="F11492">
        <v>0.23</v>
      </c>
      <c r="G11492" s="37" t="str">
        <f t="shared" si="896"/>
        <v>Normal Discount</v>
      </c>
      <c r="H11492" s="37" t="str">
        <f t="shared" si="897"/>
        <v>Medium</v>
      </c>
      <c r="I11492">
        <v>7</v>
      </c>
      <c r="J11492" t="str" cm="1">
        <f t="array" ref="J11492">_xlfn.IFS(I11492&lt;=3,"small",I11492&lt;=6,"Medium",I11492&lt;=9,"Large")</f>
        <v>Large</v>
      </c>
      <c r="K11492" s="36">
        <v>45064</v>
      </c>
      <c r="L11492" s="36">
        <v>45069</v>
      </c>
      <c r="M11492" t="s">
        <v>612</v>
      </c>
      <c r="N11492" t="s">
        <v>604</v>
      </c>
      <c r="O11492" s="37" t="str">
        <f t="shared" si="898"/>
        <v>Digital Payment</v>
      </c>
      <c r="P11492">
        <v>1380.33</v>
      </c>
      <c r="Q11492" s="37" t="str">
        <f>IF(P11492&gt;500,"High","low")</f>
        <v>High</v>
      </c>
      <c r="R11492" s="37" t="str">
        <f t="shared" si="899"/>
        <v>Excellent</v>
      </c>
      <c r="S11492" t="s">
        <v>600</v>
      </c>
    </row>
    <row r="11493" spans="1:19" x14ac:dyDescent="0.2">
      <c r="A11493" t="s">
        <v>12104</v>
      </c>
      <c r="B11493" t="s">
        <v>67</v>
      </c>
      <c r="C11493" t="s">
        <v>602</v>
      </c>
      <c r="D11493">
        <v>4317.03</v>
      </c>
      <c r="E11493" s="37" t="str">
        <f t="shared" si="895"/>
        <v xml:space="preserve"> </v>
      </c>
      <c r="F11493">
        <v>0.17</v>
      </c>
      <c r="G11493" s="37" t="str">
        <f t="shared" si="896"/>
        <v>Normal Discount</v>
      </c>
      <c r="H11493" s="37" t="str">
        <f t="shared" si="897"/>
        <v>Low</v>
      </c>
      <c r="I11493">
        <v>1</v>
      </c>
      <c r="J11493" t="str" cm="1">
        <f t="array" ref="J11493">_xlfn.IFS(I11493&lt;=3,"small",I11493&lt;=6,"Medium",I11493&lt;=9,"Large")</f>
        <v>small</v>
      </c>
      <c r="K11493" s="36">
        <v>45388</v>
      </c>
      <c r="L11493" s="36">
        <v>45390</v>
      </c>
      <c r="M11493" t="s">
        <v>598</v>
      </c>
      <c r="N11493" t="s">
        <v>604</v>
      </c>
      <c r="O11493" s="37" t="str">
        <f t="shared" si="898"/>
        <v>Digital Payment</v>
      </c>
      <c r="P11493">
        <v>609.79</v>
      </c>
      <c r="Q11493" s="37" t="str">
        <f>IF(P11493&gt;500,"High","low")</f>
        <v>High</v>
      </c>
      <c r="R11493" s="37" t="str">
        <f t="shared" si="899"/>
        <v>Good</v>
      </c>
      <c r="S11493" t="s">
        <v>620</v>
      </c>
    </row>
    <row r="11494" spans="1:19" x14ac:dyDescent="0.2">
      <c r="A11494" t="s">
        <v>12105</v>
      </c>
      <c r="B11494" t="s">
        <v>83</v>
      </c>
      <c r="C11494" t="s">
        <v>607</v>
      </c>
      <c r="D11494">
        <v>2150.6999999999998</v>
      </c>
      <c r="E11494" s="37" t="str">
        <f t="shared" si="895"/>
        <v xml:space="preserve"> </v>
      </c>
      <c r="F11494">
        <v>0.48</v>
      </c>
      <c r="G11494" s="37" t="str">
        <f t="shared" si="896"/>
        <v>Heavy Discount</v>
      </c>
      <c r="H11494" s="37" t="str">
        <f t="shared" si="897"/>
        <v>High</v>
      </c>
      <c r="I11494">
        <v>8</v>
      </c>
      <c r="J11494" t="str" cm="1">
        <f t="array" ref="J11494">_xlfn.IFS(I11494&lt;=3,"small",I11494&lt;=6,"Medium",I11494&lt;=9,"Large")</f>
        <v>Large</v>
      </c>
      <c r="K11494" s="36">
        <v>45629</v>
      </c>
      <c r="L11494" s="36">
        <v>45633</v>
      </c>
      <c r="M11494" t="s">
        <v>598</v>
      </c>
      <c r="N11494" t="s">
        <v>604</v>
      </c>
      <c r="O11494" s="37" t="str">
        <f t="shared" si="898"/>
        <v>Digital Payment</v>
      </c>
      <c r="P11494">
        <v>411.03</v>
      </c>
      <c r="Q11494" s="37" t="str">
        <f>IF(P11494&gt;500,"High","low")</f>
        <v>low</v>
      </c>
      <c r="R11494" s="37" t="str">
        <f t="shared" si="899"/>
        <v>AVERAGE</v>
      </c>
      <c r="S11494" t="s">
        <v>600</v>
      </c>
    </row>
    <row r="11495" spans="1:19" x14ac:dyDescent="0.2">
      <c r="A11495" t="s">
        <v>12106</v>
      </c>
      <c r="B11495" t="s">
        <v>83</v>
      </c>
      <c r="C11495" t="s">
        <v>617</v>
      </c>
      <c r="D11495">
        <v>1165.96</v>
      </c>
      <c r="E11495" s="37" t="str">
        <f t="shared" si="895"/>
        <v xml:space="preserve"> </v>
      </c>
      <c r="F11495">
        <v>0.34</v>
      </c>
      <c r="G11495" s="37" t="str">
        <f t="shared" si="896"/>
        <v>Heavy Discount</v>
      </c>
      <c r="H11495" s="37" t="str">
        <f t="shared" si="897"/>
        <v>Medium</v>
      </c>
      <c r="I11495">
        <v>4</v>
      </c>
      <c r="J11495" t="str" cm="1">
        <f t="array" ref="J11495">_xlfn.IFS(I11495&lt;=3,"small",I11495&lt;=6,"Medium",I11495&lt;=9,"Large")</f>
        <v>Medium</v>
      </c>
      <c r="K11495" s="36">
        <v>45499</v>
      </c>
      <c r="L11495" s="36">
        <v>45505</v>
      </c>
      <c r="M11495" t="s">
        <v>598</v>
      </c>
      <c r="N11495" t="s">
        <v>608</v>
      </c>
      <c r="O11495" s="37" t="str">
        <f t="shared" si="898"/>
        <v>Cash Payment</v>
      </c>
      <c r="P11495">
        <v>227.77</v>
      </c>
      <c r="Q11495" s="37" t="str">
        <f>IF(P11495&gt;500,"High","low")</f>
        <v>low</v>
      </c>
      <c r="R11495" s="37" t="str">
        <f t="shared" si="899"/>
        <v>AVERAGE</v>
      </c>
      <c r="S11495" t="s">
        <v>620</v>
      </c>
    </row>
    <row r="11496" spans="1:19" x14ac:dyDescent="0.2">
      <c r="A11496" t="s">
        <v>12107</v>
      </c>
      <c r="B11496" t="s">
        <v>90</v>
      </c>
      <c r="C11496" t="s">
        <v>602</v>
      </c>
      <c r="D11496">
        <v>1628.08</v>
      </c>
      <c r="E11496" s="37" t="str">
        <f t="shared" si="895"/>
        <v xml:space="preserve"> </v>
      </c>
      <c r="F11496">
        <v>0.36</v>
      </c>
      <c r="G11496" s="37" t="str">
        <f t="shared" si="896"/>
        <v>Heavy Discount</v>
      </c>
      <c r="H11496" s="37" t="str">
        <f t="shared" si="897"/>
        <v>Medium</v>
      </c>
      <c r="I11496">
        <v>4</v>
      </c>
      <c r="J11496" t="str" cm="1">
        <f t="array" ref="J11496">_xlfn.IFS(I11496&lt;=3,"small",I11496&lt;=6,"Medium",I11496&lt;=9,"Large")</f>
        <v>Medium</v>
      </c>
      <c r="K11496" s="36">
        <v>45100</v>
      </c>
      <c r="L11496" s="36">
        <v>45106</v>
      </c>
      <c r="M11496" t="s">
        <v>598</v>
      </c>
      <c r="N11496" t="s">
        <v>599</v>
      </c>
      <c r="O11496" s="37" t="str">
        <f t="shared" si="898"/>
        <v>Digital Payment</v>
      </c>
      <c r="P11496">
        <v>265.94</v>
      </c>
      <c r="Q11496" s="37" t="str">
        <f>IF(P11496&gt;500,"High","low")</f>
        <v>low</v>
      </c>
      <c r="R11496" s="37" t="str">
        <f t="shared" si="899"/>
        <v>AVERAGE</v>
      </c>
      <c r="S11496" t="s">
        <v>628</v>
      </c>
    </row>
    <row r="11497" spans="1:19" x14ac:dyDescent="0.2">
      <c r="A11497" t="s">
        <v>12108</v>
      </c>
      <c r="B11497" t="s">
        <v>75</v>
      </c>
      <c r="C11497" t="s">
        <v>607</v>
      </c>
      <c r="D11497">
        <v>2979.93</v>
      </c>
      <c r="E11497" s="37" t="str">
        <f t="shared" si="895"/>
        <v xml:space="preserve"> </v>
      </c>
      <c r="F11497">
        <v>0.37</v>
      </c>
      <c r="G11497" s="37" t="str">
        <f t="shared" si="896"/>
        <v>Heavy Discount</v>
      </c>
      <c r="H11497" s="37" t="str">
        <f t="shared" si="897"/>
        <v>Medium</v>
      </c>
      <c r="I11497">
        <v>1</v>
      </c>
      <c r="J11497" t="str" cm="1">
        <f t="array" ref="J11497">_xlfn.IFS(I11497&lt;=3,"small",I11497&lt;=6,"Medium",I11497&lt;=9,"Large")</f>
        <v>small</v>
      </c>
      <c r="K11497" s="36">
        <v>45219</v>
      </c>
      <c r="L11497" s="36">
        <v>45225</v>
      </c>
      <c r="M11497" t="s">
        <v>603</v>
      </c>
      <c r="N11497" t="s">
        <v>599</v>
      </c>
      <c r="O11497" s="37" t="str">
        <f t="shared" si="898"/>
        <v>Digital Payment</v>
      </c>
      <c r="P11497">
        <v>738.09</v>
      </c>
      <c r="Q11497" s="37" t="str">
        <f>IF(P11497&gt;500,"High","low")</f>
        <v>High</v>
      </c>
      <c r="R11497" s="37" t="str">
        <f t="shared" si="899"/>
        <v>Good</v>
      </c>
      <c r="S11497" t="s">
        <v>605</v>
      </c>
    </row>
    <row r="11498" spans="1:19" x14ac:dyDescent="0.2">
      <c r="A11498" t="s">
        <v>12109</v>
      </c>
      <c r="B11498" t="s">
        <v>90</v>
      </c>
      <c r="C11498" t="s">
        <v>614</v>
      </c>
      <c r="D11498">
        <v>4295.42</v>
      </c>
      <c r="E11498" s="37" t="str">
        <f t="shared" si="895"/>
        <v>Excellent Order</v>
      </c>
      <c r="F11498">
        <v>0.45</v>
      </c>
      <c r="G11498" s="37" t="str">
        <f t="shared" si="896"/>
        <v>Heavy Discount</v>
      </c>
      <c r="H11498" s="37" t="str">
        <f t="shared" si="897"/>
        <v>High</v>
      </c>
      <c r="I11498">
        <v>5</v>
      </c>
      <c r="J11498" t="str" cm="1">
        <f t="array" ref="J11498">_xlfn.IFS(I11498&lt;=3,"small",I11498&lt;=6,"Medium",I11498&lt;=9,"Large")</f>
        <v>Medium</v>
      </c>
      <c r="K11498" s="36">
        <v>45313</v>
      </c>
      <c r="L11498" s="36">
        <v>45320</v>
      </c>
      <c r="M11498" t="s">
        <v>603</v>
      </c>
      <c r="N11498" t="s">
        <v>604</v>
      </c>
      <c r="O11498" s="37" t="str">
        <f t="shared" si="898"/>
        <v>Digital Payment</v>
      </c>
      <c r="P11498">
        <v>839.12</v>
      </c>
      <c r="Q11498" s="37" t="str">
        <f>IF(P11498&gt;500,"High","low")</f>
        <v>High</v>
      </c>
      <c r="R11498" s="37" t="str">
        <f t="shared" si="899"/>
        <v>Good</v>
      </c>
      <c r="S11498" t="s">
        <v>605</v>
      </c>
    </row>
    <row r="11499" spans="1:19" x14ac:dyDescent="0.2">
      <c r="A11499" t="s">
        <v>12110</v>
      </c>
      <c r="B11499" t="s">
        <v>83</v>
      </c>
      <c r="C11499" t="s">
        <v>602</v>
      </c>
      <c r="D11499">
        <v>3538.45</v>
      </c>
      <c r="E11499" s="37" t="str">
        <f t="shared" si="895"/>
        <v xml:space="preserve"> </v>
      </c>
      <c r="F11499">
        <v>0.38</v>
      </c>
      <c r="G11499" s="37" t="str">
        <f t="shared" si="896"/>
        <v>Heavy Discount</v>
      </c>
      <c r="H11499" s="37" t="str">
        <f t="shared" si="897"/>
        <v>Medium</v>
      </c>
      <c r="I11499">
        <v>8</v>
      </c>
      <c r="J11499" t="str" cm="1">
        <f t="array" ref="J11499">_xlfn.IFS(I11499&lt;=3,"small",I11499&lt;=6,"Medium",I11499&lt;=9,"Large")</f>
        <v>Large</v>
      </c>
      <c r="K11499" s="36">
        <v>45329</v>
      </c>
      <c r="L11499" s="36">
        <v>45331</v>
      </c>
      <c r="M11499" t="s">
        <v>612</v>
      </c>
      <c r="N11499" t="s">
        <v>604</v>
      </c>
      <c r="O11499" s="37" t="str">
        <f t="shared" si="898"/>
        <v>Digital Payment</v>
      </c>
      <c r="P11499">
        <v>379.62</v>
      </c>
      <c r="Q11499" s="37" t="str">
        <f>IF(P11499&gt;500,"High","low")</f>
        <v>low</v>
      </c>
      <c r="R11499" s="37" t="str">
        <f t="shared" si="899"/>
        <v>AVERAGE</v>
      </c>
      <c r="S11499" t="s">
        <v>620</v>
      </c>
    </row>
    <row r="11500" spans="1:19" x14ac:dyDescent="0.2">
      <c r="A11500" t="s">
        <v>12111</v>
      </c>
      <c r="B11500" t="s">
        <v>90</v>
      </c>
      <c r="C11500" t="s">
        <v>607</v>
      </c>
      <c r="D11500">
        <v>2760.76</v>
      </c>
      <c r="E11500" s="37" t="str">
        <f t="shared" si="895"/>
        <v xml:space="preserve"> </v>
      </c>
      <c r="F11500">
        <v>0.01</v>
      </c>
      <c r="G11500" s="37" t="str">
        <f t="shared" si="896"/>
        <v>Normal Discount</v>
      </c>
      <c r="H11500" s="37" t="str">
        <f t="shared" si="897"/>
        <v>Low</v>
      </c>
      <c r="I11500">
        <v>8</v>
      </c>
      <c r="J11500" t="str" cm="1">
        <f t="array" ref="J11500">_xlfn.IFS(I11500&lt;=3,"small",I11500&lt;=6,"Medium",I11500&lt;=9,"Large")</f>
        <v>Large</v>
      </c>
      <c r="K11500" s="36">
        <v>45133</v>
      </c>
      <c r="L11500" s="36">
        <v>45140</v>
      </c>
      <c r="M11500" t="s">
        <v>612</v>
      </c>
      <c r="N11500" t="s">
        <v>608</v>
      </c>
      <c r="O11500" s="37" t="str">
        <f t="shared" si="898"/>
        <v>Cash Payment</v>
      </c>
      <c r="P11500">
        <v>375.93</v>
      </c>
      <c r="Q11500" s="37" t="str">
        <f>IF(P11500&gt;500,"High","low")</f>
        <v>low</v>
      </c>
      <c r="R11500" s="37" t="str">
        <f t="shared" si="899"/>
        <v>AVERAGE</v>
      </c>
      <c r="S11500" t="s">
        <v>600</v>
      </c>
    </row>
    <row r="11501" spans="1:19" x14ac:dyDescent="0.2">
      <c r="A11501" t="s">
        <v>12112</v>
      </c>
      <c r="B11501" t="s">
        <v>83</v>
      </c>
      <c r="C11501" t="s">
        <v>597</v>
      </c>
      <c r="D11501">
        <v>3049.2</v>
      </c>
      <c r="E11501" s="37" t="str">
        <f t="shared" si="895"/>
        <v xml:space="preserve"> </v>
      </c>
      <c r="F11501">
        <v>0.13</v>
      </c>
      <c r="G11501" s="37" t="str">
        <f t="shared" si="896"/>
        <v>Normal Discount</v>
      </c>
      <c r="H11501" s="37" t="str">
        <f t="shared" si="897"/>
        <v>Low</v>
      </c>
      <c r="I11501">
        <v>7</v>
      </c>
      <c r="J11501" t="str" cm="1">
        <f t="array" ref="J11501">_xlfn.IFS(I11501&lt;=3,"small",I11501&lt;=6,"Medium",I11501&lt;=9,"Large")</f>
        <v>Large</v>
      </c>
      <c r="K11501" s="36">
        <v>45180</v>
      </c>
      <c r="L11501" s="36">
        <v>45182</v>
      </c>
      <c r="M11501" t="s">
        <v>612</v>
      </c>
      <c r="N11501" t="s">
        <v>608</v>
      </c>
      <c r="O11501" s="37" t="str">
        <f t="shared" si="898"/>
        <v>Cash Payment</v>
      </c>
      <c r="P11501">
        <v>879.88</v>
      </c>
      <c r="Q11501" s="37" t="str">
        <f>IF(P11501&gt;500,"High","low")</f>
        <v>High</v>
      </c>
      <c r="R11501" s="37" t="str">
        <f t="shared" si="899"/>
        <v>Good</v>
      </c>
      <c r="S11501" t="s">
        <v>609</v>
      </c>
    </row>
    <row r="11502" spans="1:19" x14ac:dyDescent="0.2">
      <c r="A11502" t="s">
        <v>12113</v>
      </c>
      <c r="B11502" t="s">
        <v>90</v>
      </c>
      <c r="C11502" t="s">
        <v>597</v>
      </c>
      <c r="D11502">
        <v>2688.48</v>
      </c>
      <c r="E11502" s="37" t="str">
        <f t="shared" si="895"/>
        <v xml:space="preserve"> </v>
      </c>
      <c r="F11502">
        <v>0.49</v>
      </c>
      <c r="G11502" s="37" t="str">
        <f t="shared" si="896"/>
        <v>Heavy Discount</v>
      </c>
      <c r="H11502" s="37" t="str">
        <f t="shared" si="897"/>
        <v>High</v>
      </c>
      <c r="I11502">
        <v>7</v>
      </c>
      <c r="J11502" t="str" cm="1">
        <f t="array" ref="J11502">_xlfn.IFS(I11502&lt;=3,"small",I11502&lt;=6,"Medium",I11502&lt;=9,"Large")</f>
        <v>Large</v>
      </c>
      <c r="K11502" s="36">
        <v>45256</v>
      </c>
      <c r="L11502" s="36">
        <v>45262</v>
      </c>
      <c r="M11502" t="s">
        <v>603</v>
      </c>
      <c r="N11502" t="s">
        <v>604</v>
      </c>
      <c r="O11502" s="37" t="str">
        <f t="shared" si="898"/>
        <v>Digital Payment</v>
      </c>
      <c r="P11502">
        <v>698.46</v>
      </c>
      <c r="Q11502" s="37" t="str">
        <f>IF(P11502&gt;500,"High","low")</f>
        <v>High</v>
      </c>
      <c r="R11502" s="37" t="str">
        <f t="shared" si="899"/>
        <v>Good</v>
      </c>
      <c r="S11502" t="s">
        <v>600</v>
      </c>
    </row>
    <row r="11503" spans="1:19" x14ac:dyDescent="0.2">
      <c r="A11503" t="s">
        <v>12114</v>
      </c>
      <c r="B11503" t="s">
        <v>90</v>
      </c>
      <c r="C11503" t="s">
        <v>617</v>
      </c>
      <c r="D11503">
        <v>4860.97</v>
      </c>
      <c r="E11503" s="37" t="str">
        <f t="shared" si="895"/>
        <v>Excellent Order</v>
      </c>
      <c r="F11503">
        <v>0.33</v>
      </c>
      <c r="G11503" s="37" t="str">
        <f t="shared" si="896"/>
        <v>Heavy Discount</v>
      </c>
      <c r="H11503" s="37" t="str">
        <f t="shared" si="897"/>
        <v>Medium</v>
      </c>
      <c r="I11503">
        <v>8</v>
      </c>
      <c r="J11503" t="str" cm="1">
        <f t="array" ref="J11503">_xlfn.IFS(I11503&lt;=3,"small",I11503&lt;=6,"Medium",I11503&lt;=9,"Large")</f>
        <v>Large</v>
      </c>
      <c r="K11503" s="36">
        <v>45278</v>
      </c>
      <c r="L11503" s="36">
        <v>45280</v>
      </c>
      <c r="M11503" t="s">
        <v>598</v>
      </c>
      <c r="N11503" t="s">
        <v>604</v>
      </c>
      <c r="O11503" s="37" t="str">
        <f t="shared" si="898"/>
        <v>Digital Payment</v>
      </c>
      <c r="P11503">
        <v>1418.09</v>
      </c>
      <c r="Q11503" s="37" t="str">
        <f>IF(P11503&gt;500,"High","low")</f>
        <v>High</v>
      </c>
      <c r="R11503" s="37" t="str">
        <f t="shared" si="899"/>
        <v>Excellent</v>
      </c>
      <c r="S11503" t="s">
        <v>605</v>
      </c>
    </row>
    <row r="11504" spans="1:19" x14ac:dyDescent="0.2">
      <c r="A11504" t="s">
        <v>12115</v>
      </c>
      <c r="B11504" t="s">
        <v>67</v>
      </c>
      <c r="C11504" t="s">
        <v>607</v>
      </c>
      <c r="D11504">
        <v>4098.8500000000004</v>
      </c>
      <c r="E11504" s="37" t="str">
        <f t="shared" si="895"/>
        <v xml:space="preserve"> </v>
      </c>
      <c r="F11504">
        <v>0.03</v>
      </c>
      <c r="G11504" s="37" t="str">
        <f t="shared" si="896"/>
        <v>Normal Discount</v>
      </c>
      <c r="H11504" s="37" t="str">
        <f t="shared" si="897"/>
        <v>Low</v>
      </c>
      <c r="I11504">
        <v>8</v>
      </c>
      <c r="J11504" t="str" cm="1">
        <f t="array" ref="J11504">_xlfn.IFS(I11504&lt;=3,"small",I11504&lt;=6,"Medium",I11504&lt;=9,"Large")</f>
        <v>Large</v>
      </c>
      <c r="K11504" s="36">
        <v>45350</v>
      </c>
      <c r="L11504" s="36">
        <v>45351</v>
      </c>
      <c r="M11504" t="s">
        <v>603</v>
      </c>
      <c r="N11504" t="s">
        <v>604</v>
      </c>
      <c r="O11504" s="37" t="str">
        <f t="shared" si="898"/>
        <v>Digital Payment</v>
      </c>
      <c r="P11504">
        <v>460.12</v>
      </c>
      <c r="Q11504" s="37" t="str">
        <f>IF(P11504&gt;500,"High","low")</f>
        <v>low</v>
      </c>
      <c r="R11504" s="37" t="str">
        <f t="shared" si="899"/>
        <v>AVERAGE</v>
      </c>
      <c r="S11504" t="s">
        <v>628</v>
      </c>
    </row>
    <row r="11505" spans="1:19" x14ac:dyDescent="0.2">
      <c r="A11505" t="s">
        <v>12116</v>
      </c>
      <c r="B11505" t="s">
        <v>83</v>
      </c>
      <c r="C11505" t="s">
        <v>597</v>
      </c>
      <c r="D11505">
        <v>3928.26</v>
      </c>
      <c r="E11505" s="37" t="str">
        <f t="shared" si="895"/>
        <v xml:space="preserve"> </v>
      </c>
      <c r="F11505">
        <v>0.23</v>
      </c>
      <c r="G11505" s="37" t="str">
        <f t="shared" si="896"/>
        <v>Normal Discount</v>
      </c>
      <c r="H11505" s="37" t="str">
        <f t="shared" si="897"/>
        <v>Medium</v>
      </c>
      <c r="I11505">
        <v>1</v>
      </c>
      <c r="J11505" t="str" cm="1">
        <f t="array" ref="J11505">_xlfn.IFS(I11505&lt;=3,"small",I11505&lt;=6,"Medium",I11505&lt;=9,"Large")</f>
        <v>small</v>
      </c>
      <c r="K11505" s="36">
        <v>45061</v>
      </c>
      <c r="L11505" s="36">
        <v>45064</v>
      </c>
      <c r="M11505" t="s">
        <v>612</v>
      </c>
      <c r="N11505" t="s">
        <v>599</v>
      </c>
      <c r="O11505" s="37" t="str">
        <f t="shared" si="898"/>
        <v>Digital Payment</v>
      </c>
      <c r="P11505">
        <v>630.41999999999996</v>
      </c>
      <c r="Q11505" s="37" t="str">
        <f>IF(P11505&gt;500,"High","low")</f>
        <v>High</v>
      </c>
      <c r="R11505" s="37" t="str">
        <f t="shared" si="899"/>
        <v>Good</v>
      </c>
      <c r="S11505" t="s">
        <v>600</v>
      </c>
    </row>
    <row r="11506" spans="1:19" x14ac:dyDescent="0.2">
      <c r="A11506" t="s">
        <v>12117</v>
      </c>
      <c r="B11506" t="s">
        <v>90</v>
      </c>
      <c r="C11506" t="s">
        <v>617</v>
      </c>
      <c r="D11506">
        <v>2634.91</v>
      </c>
      <c r="E11506" s="37" t="str">
        <f t="shared" si="895"/>
        <v xml:space="preserve"> </v>
      </c>
      <c r="F11506">
        <v>0.49</v>
      </c>
      <c r="G11506" s="37" t="str">
        <f t="shared" si="896"/>
        <v>Heavy Discount</v>
      </c>
      <c r="H11506" s="37" t="str">
        <f t="shared" si="897"/>
        <v>High</v>
      </c>
      <c r="I11506">
        <v>2</v>
      </c>
      <c r="J11506" t="str" cm="1">
        <f t="array" ref="J11506">_xlfn.IFS(I11506&lt;=3,"small",I11506&lt;=6,"Medium",I11506&lt;=9,"Large")</f>
        <v>small</v>
      </c>
      <c r="K11506" s="36">
        <v>45484</v>
      </c>
      <c r="L11506" s="36">
        <v>45485</v>
      </c>
      <c r="M11506" t="s">
        <v>603</v>
      </c>
      <c r="N11506" t="s">
        <v>608</v>
      </c>
      <c r="O11506" s="37" t="str">
        <f t="shared" si="898"/>
        <v>Cash Payment</v>
      </c>
      <c r="P11506">
        <v>179.29</v>
      </c>
      <c r="Q11506" s="37" t="str">
        <f>IF(P11506&gt;500,"High","low")</f>
        <v>low</v>
      </c>
      <c r="R11506" s="37" t="str">
        <f t="shared" si="899"/>
        <v>AVERAGE</v>
      </c>
      <c r="S11506" t="s">
        <v>615</v>
      </c>
    </row>
    <row r="11507" spans="1:19" x14ac:dyDescent="0.2">
      <c r="A11507" t="s">
        <v>12118</v>
      </c>
      <c r="B11507" t="s">
        <v>75</v>
      </c>
      <c r="C11507" t="s">
        <v>602</v>
      </c>
      <c r="D11507">
        <v>1725.87</v>
      </c>
      <c r="E11507" s="37" t="str">
        <f t="shared" si="895"/>
        <v xml:space="preserve"> </v>
      </c>
      <c r="F11507">
        <v>0.5</v>
      </c>
      <c r="G11507" s="37" t="str">
        <f t="shared" si="896"/>
        <v>Heavy Discount</v>
      </c>
      <c r="H11507" s="37" t="str">
        <f t="shared" si="897"/>
        <v>High</v>
      </c>
      <c r="I11507">
        <v>8</v>
      </c>
      <c r="J11507" t="str" cm="1">
        <f t="array" ref="J11507">_xlfn.IFS(I11507&lt;=3,"small",I11507&lt;=6,"Medium",I11507&lt;=9,"Large")</f>
        <v>Large</v>
      </c>
      <c r="K11507" s="36">
        <v>45296</v>
      </c>
      <c r="L11507" s="36">
        <v>45298</v>
      </c>
      <c r="M11507" t="s">
        <v>598</v>
      </c>
      <c r="N11507" t="s">
        <v>599</v>
      </c>
      <c r="O11507" s="37" t="str">
        <f t="shared" si="898"/>
        <v>Digital Payment</v>
      </c>
      <c r="P11507">
        <v>285.70999999999998</v>
      </c>
      <c r="Q11507" s="37" t="str">
        <f>IF(P11507&gt;500,"High","low")</f>
        <v>low</v>
      </c>
      <c r="R11507" s="37" t="str">
        <f t="shared" si="899"/>
        <v>AVERAGE</v>
      </c>
      <c r="S11507" t="s">
        <v>600</v>
      </c>
    </row>
    <row r="11508" spans="1:19" x14ac:dyDescent="0.2">
      <c r="A11508" t="s">
        <v>12119</v>
      </c>
      <c r="B11508" t="s">
        <v>90</v>
      </c>
      <c r="C11508" t="s">
        <v>602</v>
      </c>
      <c r="D11508">
        <v>195.62</v>
      </c>
      <c r="E11508" s="37" t="str">
        <f t="shared" si="895"/>
        <v xml:space="preserve"> </v>
      </c>
      <c r="F11508">
        <v>0.22</v>
      </c>
      <c r="G11508" s="37" t="str">
        <f t="shared" si="896"/>
        <v>Normal Discount</v>
      </c>
      <c r="H11508" s="37" t="str">
        <f t="shared" si="897"/>
        <v>Medium</v>
      </c>
      <c r="I11508">
        <v>1</v>
      </c>
      <c r="J11508" t="str" cm="1">
        <f t="array" ref="J11508">_xlfn.IFS(I11508&lt;=3,"small",I11508&lt;=6,"Medium",I11508&lt;=9,"Large")</f>
        <v>small</v>
      </c>
      <c r="K11508" s="36">
        <v>45052</v>
      </c>
      <c r="L11508" s="36">
        <v>45057</v>
      </c>
      <c r="M11508" t="s">
        <v>598</v>
      </c>
      <c r="N11508" t="s">
        <v>604</v>
      </c>
      <c r="O11508" s="37" t="str">
        <f t="shared" si="898"/>
        <v>Digital Payment</v>
      </c>
      <c r="P11508">
        <v>21.28</v>
      </c>
      <c r="Q11508" s="37" t="str">
        <f>IF(P11508&gt;500,"High","low")</f>
        <v>low</v>
      </c>
      <c r="R11508" s="37" t="str">
        <f t="shared" si="899"/>
        <v>AVERAGE</v>
      </c>
      <c r="S11508" t="s">
        <v>600</v>
      </c>
    </row>
    <row r="11509" spans="1:19" x14ac:dyDescent="0.2">
      <c r="A11509" t="s">
        <v>12120</v>
      </c>
      <c r="B11509" t="s">
        <v>90</v>
      </c>
      <c r="C11509" t="s">
        <v>607</v>
      </c>
      <c r="D11509">
        <v>312.81</v>
      </c>
      <c r="E11509" s="37" t="str">
        <f t="shared" si="895"/>
        <v xml:space="preserve"> </v>
      </c>
      <c r="F11509">
        <v>0.45</v>
      </c>
      <c r="G11509" s="37" t="str">
        <f t="shared" si="896"/>
        <v>Heavy Discount</v>
      </c>
      <c r="H11509" s="37" t="str">
        <f t="shared" si="897"/>
        <v>High</v>
      </c>
      <c r="I11509">
        <v>9</v>
      </c>
      <c r="J11509" t="str" cm="1">
        <f t="array" ref="J11509">_xlfn.IFS(I11509&lt;=3,"small",I11509&lt;=6,"Medium",I11509&lt;=9,"Large")</f>
        <v>Large</v>
      </c>
      <c r="K11509" s="36">
        <v>45325</v>
      </c>
      <c r="L11509" s="36">
        <v>45330</v>
      </c>
      <c r="M11509" t="s">
        <v>598</v>
      </c>
      <c r="N11509" t="s">
        <v>608</v>
      </c>
      <c r="O11509" s="37" t="str">
        <f t="shared" si="898"/>
        <v>Cash Payment</v>
      </c>
      <c r="P11509">
        <v>48.19</v>
      </c>
      <c r="Q11509" s="37" t="str">
        <f>IF(P11509&gt;500,"High","low")</f>
        <v>low</v>
      </c>
      <c r="R11509" s="37" t="str">
        <f t="shared" si="899"/>
        <v>AVERAGE</v>
      </c>
      <c r="S11509" t="s">
        <v>620</v>
      </c>
    </row>
    <row r="11510" spans="1:19" x14ac:dyDescent="0.2">
      <c r="A11510" t="s">
        <v>12121</v>
      </c>
      <c r="B11510" t="s">
        <v>75</v>
      </c>
      <c r="C11510" t="s">
        <v>607</v>
      </c>
      <c r="D11510">
        <v>248.17</v>
      </c>
      <c r="E11510" s="37" t="str">
        <f t="shared" si="895"/>
        <v xml:space="preserve"> </v>
      </c>
      <c r="F11510">
        <v>0.3</v>
      </c>
      <c r="G11510" s="37" t="str">
        <f t="shared" si="896"/>
        <v>Normal Discount</v>
      </c>
      <c r="H11510" s="37" t="str">
        <f t="shared" si="897"/>
        <v>Medium</v>
      </c>
      <c r="I11510">
        <v>9</v>
      </c>
      <c r="J11510" t="str" cm="1">
        <f t="array" ref="J11510">_xlfn.IFS(I11510&lt;=3,"small",I11510&lt;=6,"Medium",I11510&lt;=9,"Large")</f>
        <v>Large</v>
      </c>
      <c r="K11510" s="36">
        <v>45418</v>
      </c>
      <c r="L11510" s="36">
        <v>45423</v>
      </c>
      <c r="M11510" t="s">
        <v>598</v>
      </c>
      <c r="N11510" t="s">
        <v>604</v>
      </c>
      <c r="O11510" s="37" t="str">
        <f t="shared" si="898"/>
        <v>Digital Payment</v>
      </c>
      <c r="P11510">
        <v>31.41</v>
      </c>
      <c r="Q11510" s="37" t="str">
        <f>IF(P11510&gt;500,"High","low")</f>
        <v>low</v>
      </c>
      <c r="R11510" s="37" t="str">
        <f t="shared" si="899"/>
        <v>AVERAGE</v>
      </c>
      <c r="S11510" t="s">
        <v>620</v>
      </c>
    </row>
    <row r="11511" spans="1:19" x14ac:dyDescent="0.2">
      <c r="A11511" t="s">
        <v>12122</v>
      </c>
      <c r="B11511" t="s">
        <v>83</v>
      </c>
      <c r="C11511" t="s">
        <v>607</v>
      </c>
      <c r="D11511">
        <v>4904.34</v>
      </c>
      <c r="E11511" s="37" t="str">
        <f t="shared" si="895"/>
        <v xml:space="preserve"> </v>
      </c>
      <c r="F11511">
        <v>0.25</v>
      </c>
      <c r="G11511" s="37" t="str">
        <f t="shared" si="896"/>
        <v>Normal Discount</v>
      </c>
      <c r="H11511" s="37" t="str">
        <f t="shared" si="897"/>
        <v>Medium</v>
      </c>
      <c r="I11511">
        <v>2</v>
      </c>
      <c r="J11511" t="str" cm="1">
        <f t="array" ref="J11511">_xlfn.IFS(I11511&lt;=3,"small",I11511&lt;=6,"Medium",I11511&lt;=9,"Large")</f>
        <v>small</v>
      </c>
      <c r="K11511" s="36">
        <v>45651</v>
      </c>
      <c r="L11511" s="36">
        <v>45658</v>
      </c>
      <c r="M11511" t="s">
        <v>603</v>
      </c>
      <c r="N11511" t="s">
        <v>599</v>
      </c>
      <c r="O11511" s="37" t="str">
        <f t="shared" si="898"/>
        <v>Digital Payment</v>
      </c>
      <c r="P11511">
        <v>301.72000000000003</v>
      </c>
      <c r="Q11511" s="37" t="str">
        <f>IF(P11511&gt;500,"High","low")</f>
        <v>low</v>
      </c>
      <c r="R11511" s="37" t="str">
        <f t="shared" si="899"/>
        <v>AVERAGE</v>
      </c>
      <c r="S11511" t="s">
        <v>609</v>
      </c>
    </row>
    <row r="11512" spans="1:19" x14ac:dyDescent="0.2">
      <c r="A11512" t="s">
        <v>12123</v>
      </c>
      <c r="B11512" t="s">
        <v>67</v>
      </c>
      <c r="C11512" t="s">
        <v>607</v>
      </c>
      <c r="D11512">
        <v>660.96</v>
      </c>
      <c r="E11512" s="37" t="str">
        <f t="shared" si="895"/>
        <v xml:space="preserve"> </v>
      </c>
      <c r="F11512">
        <v>0.21</v>
      </c>
      <c r="G11512" s="37" t="str">
        <f t="shared" si="896"/>
        <v>Normal Discount</v>
      </c>
      <c r="H11512" s="37" t="str">
        <f t="shared" si="897"/>
        <v>Medium</v>
      </c>
      <c r="I11512">
        <v>6</v>
      </c>
      <c r="J11512" t="str" cm="1">
        <f t="array" ref="J11512">_xlfn.IFS(I11512&lt;=3,"small",I11512&lt;=6,"Medium",I11512&lt;=9,"Large")</f>
        <v>Medium</v>
      </c>
      <c r="K11512" s="36">
        <v>45000</v>
      </c>
      <c r="L11512" s="36">
        <v>45002</v>
      </c>
      <c r="M11512" t="s">
        <v>598</v>
      </c>
      <c r="N11512" t="s">
        <v>608</v>
      </c>
      <c r="O11512" s="37" t="str">
        <f t="shared" si="898"/>
        <v>Cash Payment</v>
      </c>
      <c r="P11512">
        <v>77.27</v>
      </c>
      <c r="Q11512" s="37" t="str">
        <f>IF(P11512&gt;500,"High","low")</f>
        <v>low</v>
      </c>
      <c r="R11512" s="37" t="str">
        <f t="shared" si="899"/>
        <v>AVERAGE</v>
      </c>
      <c r="S11512" t="s">
        <v>615</v>
      </c>
    </row>
    <row r="11513" spans="1:19" x14ac:dyDescent="0.2">
      <c r="A11513" t="s">
        <v>12124</v>
      </c>
      <c r="B11513" t="s">
        <v>67</v>
      </c>
      <c r="C11513" t="s">
        <v>597</v>
      </c>
      <c r="D11513">
        <v>796.38</v>
      </c>
      <c r="E11513" s="37" t="str">
        <f t="shared" si="895"/>
        <v xml:space="preserve"> </v>
      </c>
      <c r="F11513">
        <v>0.45</v>
      </c>
      <c r="G11513" s="37" t="str">
        <f t="shared" si="896"/>
        <v>Heavy Discount</v>
      </c>
      <c r="H11513" s="37" t="str">
        <f t="shared" si="897"/>
        <v>High</v>
      </c>
      <c r="I11513">
        <v>4</v>
      </c>
      <c r="J11513" t="str" cm="1">
        <f t="array" ref="J11513">_xlfn.IFS(I11513&lt;=3,"small",I11513&lt;=6,"Medium",I11513&lt;=9,"Large")</f>
        <v>Medium</v>
      </c>
      <c r="K11513" s="36">
        <v>45013</v>
      </c>
      <c r="L11513" s="36">
        <v>45015</v>
      </c>
      <c r="M11513" t="s">
        <v>598</v>
      </c>
      <c r="N11513" t="s">
        <v>608</v>
      </c>
      <c r="O11513" s="37" t="str">
        <f t="shared" si="898"/>
        <v>Cash Payment</v>
      </c>
      <c r="P11513">
        <v>144.31</v>
      </c>
      <c r="Q11513" s="37" t="str">
        <f>IF(P11513&gt;500,"High","low")</f>
        <v>low</v>
      </c>
      <c r="R11513" s="37" t="str">
        <f t="shared" si="899"/>
        <v>AVERAGE</v>
      </c>
      <c r="S11513" t="s">
        <v>605</v>
      </c>
    </row>
    <row r="11514" spans="1:19" x14ac:dyDescent="0.2">
      <c r="A11514" t="s">
        <v>12125</v>
      </c>
      <c r="B11514" t="s">
        <v>67</v>
      </c>
      <c r="C11514" t="s">
        <v>597</v>
      </c>
      <c r="D11514">
        <v>2472.33</v>
      </c>
      <c r="E11514" s="37" t="str">
        <f t="shared" si="895"/>
        <v xml:space="preserve"> </v>
      </c>
      <c r="F11514">
        <v>0.31</v>
      </c>
      <c r="G11514" s="37" t="str">
        <f t="shared" si="896"/>
        <v>Heavy Discount</v>
      </c>
      <c r="H11514" s="37" t="str">
        <f t="shared" si="897"/>
        <v>Medium</v>
      </c>
      <c r="I11514">
        <v>7</v>
      </c>
      <c r="J11514" t="str" cm="1">
        <f t="array" ref="J11514">_xlfn.IFS(I11514&lt;=3,"small",I11514&lt;=6,"Medium",I11514&lt;=9,"Large")</f>
        <v>Large</v>
      </c>
      <c r="K11514" s="36">
        <v>45443</v>
      </c>
      <c r="L11514" s="36">
        <v>45447</v>
      </c>
      <c r="M11514" t="s">
        <v>598</v>
      </c>
      <c r="N11514" t="s">
        <v>604</v>
      </c>
      <c r="O11514" s="37" t="str">
        <f t="shared" si="898"/>
        <v>Digital Payment</v>
      </c>
      <c r="P11514">
        <v>176.83</v>
      </c>
      <c r="Q11514" s="37" t="str">
        <f>IF(P11514&gt;500,"High","low")</f>
        <v>low</v>
      </c>
      <c r="R11514" s="37" t="str">
        <f t="shared" si="899"/>
        <v>AVERAGE</v>
      </c>
      <c r="S11514" t="s">
        <v>609</v>
      </c>
    </row>
    <row r="11515" spans="1:19" x14ac:dyDescent="0.2">
      <c r="A11515" t="s">
        <v>12126</v>
      </c>
      <c r="B11515" t="s">
        <v>75</v>
      </c>
      <c r="C11515" t="s">
        <v>617</v>
      </c>
      <c r="D11515">
        <v>2458.87</v>
      </c>
      <c r="E11515" s="37" t="str">
        <f t="shared" si="895"/>
        <v xml:space="preserve"> </v>
      </c>
      <c r="F11515">
        <v>0.17</v>
      </c>
      <c r="G11515" s="37" t="str">
        <f t="shared" si="896"/>
        <v>Normal Discount</v>
      </c>
      <c r="H11515" s="37" t="str">
        <f t="shared" si="897"/>
        <v>Low</v>
      </c>
      <c r="I11515">
        <v>2</v>
      </c>
      <c r="J11515" t="str" cm="1">
        <f t="array" ref="J11515">_xlfn.IFS(I11515&lt;=3,"small",I11515&lt;=6,"Medium",I11515&lt;=9,"Large")</f>
        <v>small</v>
      </c>
      <c r="K11515" s="36">
        <v>45167</v>
      </c>
      <c r="L11515" s="36">
        <v>45171</v>
      </c>
      <c r="M11515" t="s">
        <v>612</v>
      </c>
      <c r="N11515" t="s">
        <v>604</v>
      </c>
      <c r="O11515" s="37" t="str">
        <f t="shared" si="898"/>
        <v>Digital Payment</v>
      </c>
      <c r="P11515">
        <v>507.21</v>
      </c>
      <c r="Q11515" s="37" t="str">
        <f>IF(P11515&gt;500,"High","low")</f>
        <v>High</v>
      </c>
      <c r="R11515" s="37" t="str">
        <f t="shared" si="899"/>
        <v>Good</v>
      </c>
      <c r="S11515" t="s">
        <v>615</v>
      </c>
    </row>
    <row r="11516" spans="1:19" x14ac:dyDescent="0.2">
      <c r="A11516" t="s">
        <v>12127</v>
      </c>
      <c r="B11516" t="s">
        <v>90</v>
      </c>
      <c r="C11516" t="s">
        <v>597</v>
      </c>
      <c r="D11516">
        <v>4607.87</v>
      </c>
      <c r="E11516" s="37" t="str">
        <f t="shared" si="895"/>
        <v>Excellent Order</v>
      </c>
      <c r="F11516">
        <v>0.25</v>
      </c>
      <c r="G11516" s="37" t="str">
        <f t="shared" si="896"/>
        <v>Normal Discount</v>
      </c>
      <c r="H11516" s="37" t="str">
        <f t="shared" si="897"/>
        <v>Medium</v>
      </c>
      <c r="I11516">
        <v>1</v>
      </c>
      <c r="J11516" t="str" cm="1">
        <f t="array" ref="J11516">_xlfn.IFS(I11516&lt;=3,"small",I11516&lt;=6,"Medium",I11516&lt;=9,"Large")</f>
        <v>small</v>
      </c>
      <c r="K11516" s="36">
        <v>45625</v>
      </c>
      <c r="L11516" s="36">
        <v>45632</v>
      </c>
      <c r="M11516" t="s">
        <v>612</v>
      </c>
      <c r="N11516" t="s">
        <v>599</v>
      </c>
      <c r="O11516" s="37" t="str">
        <f t="shared" si="898"/>
        <v>Digital Payment</v>
      </c>
      <c r="P11516">
        <v>1026.73</v>
      </c>
      <c r="Q11516" s="37" t="str">
        <f>IF(P11516&gt;500,"High","low")</f>
        <v>High</v>
      </c>
      <c r="R11516" s="37" t="str">
        <f t="shared" si="899"/>
        <v>Excellent</v>
      </c>
      <c r="S11516" t="s">
        <v>600</v>
      </c>
    </row>
    <row r="11517" spans="1:19" x14ac:dyDescent="0.2">
      <c r="A11517" t="s">
        <v>12128</v>
      </c>
      <c r="B11517" t="s">
        <v>83</v>
      </c>
      <c r="C11517" t="s">
        <v>602</v>
      </c>
      <c r="D11517">
        <v>460.31</v>
      </c>
      <c r="E11517" s="37" t="str">
        <f t="shared" si="895"/>
        <v xml:space="preserve"> </v>
      </c>
      <c r="F11517">
        <v>0.22</v>
      </c>
      <c r="G11517" s="37" t="str">
        <f t="shared" si="896"/>
        <v>Normal Discount</v>
      </c>
      <c r="H11517" s="37" t="str">
        <f t="shared" si="897"/>
        <v>Medium</v>
      </c>
      <c r="I11517">
        <v>9</v>
      </c>
      <c r="J11517" t="str" cm="1">
        <f t="array" ref="J11517">_xlfn.IFS(I11517&lt;=3,"small",I11517&lt;=6,"Medium",I11517&lt;=9,"Large")</f>
        <v>Large</v>
      </c>
      <c r="K11517" s="36">
        <v>45176</v>
      </c>
      <c r="L11517" s="36">
        <v>45179</v>
      </c>
      <c r="M11517" t="s">
        <v>603</v>
      </c>
      <c r="N11517" t="s">
        <v>599</v>
      </c>
      <c r="O11517" s="37" t="str">
        <f t="shared" si="898"/>
        <v>Digital Payment</v>
      </c>
      <c r="P11517">
        <v>67.2</v>
      </c>
      <c r="Q11517" s="37" t="str">
        <f>IF(P11517&gt;500,"High","low")</f>
        <v>low</v>
      </c>
      <c r="R11517" s="37" t="str">
        <f t="shared" si="899"/>
        <v>AVERAGE</v>
      </c>
      <c r="S11517" t="s">
        <v>615</v>
      </c>
    </row>
    <row r="11518" spans="1:19" x14ac:dyDescent="0.2">
      <c r="A11518" t="s">
        <v>12129</v>
      </c>
      <c r="B11518" t="s">
        <v>90</v>
      </c>
      <c r="C11518" t="s">
        <v>617</v>
      </c>
      <c r="D11518">
        <v>4790.47</v>
      </c>
      <c r="E11518" s="37" t="str">
        <f t="shared" si="895"/>
        <v>Excellent Order</v>
      </c>
      <c r="F11518">
        <v>0.23</v>
      </c>
      <c r="G11518" s="37" t="str">
        <f t="shared" si="896"/>
        <v>Normal Discount</v>
      </c>
      <c r="H11518" s="37" t="str">
        <f t="shared" si="897"/>
        <v>Medium</v>
      </c>
      <c r="I11518">
        <v>9</v>
      </c>
      <c r="J11518" t="str" cm="1">
        <f t="array" ref="J11518">_xlfn.IFS(I11518&lt;=3,"small",I11518&lt;=6,"Medium",I11518&lt;=9,"Large")</f>
        <v>Large</v>
      </c>
      <c r="K11518" s="36">
        <v>45636</v>
      </c>
      <c r="L11518" s="36">
        <v>45638</v>
      </c>
      <c r="M11518" t="s">
        <v>598</v>
      </c>
      <c r="N11518" t="s">
        <v>599</v>
      </c>
      <c r="O11518" s="37" t="str">
        <f t="shared" si="898"/>
        <v>Digital Payment</v>
      </c>
      <c r="P11518">
        <v>1328.2</v>
      </c>
      <c r="Q11518" s="37" t="str">
        <f>IF(P11518&gt;500,"High","low")</f>
        <v>High</v>
      </c>
      <c r="R11518" s="37" t="str">
        <f t="shared" si="899"/>
        <v>Excellent</v>
      </c>
      <c r="S11518" t="s">
        <v>628</v>
      </c>
    </row>
    <row r="11519" spans="1:19" x14ac:dyDescent="0.2">
      <c r="A11519" t="s">
        <v>12130</v>
      </c>
      <c r="B11519" t="s">
        <v>67</v>
      </c>
      <c r="C11519" t="s">
        <v>597</v>
      </c>
      <c r="D11519">
        <v>1160.31</v>
      </c>
      <c r="E11519" s="37" t="str">
        <f t="shared" si="895"/>
        <v xml:space="preserve"> </v>
      </c>
      <c r="F11519">
        <v>0.16</v>
      </c>
      <c r="G11519" s="37" t="str">
        <f t="shared" si="896"/>
        <v>Normal Discount</v>
      </c>
      <c r="H11519" s="37" t="str">
        <f t="shared" si="897"/>
        <v>Low</v>
      </c>
      <c r="I11519">
        <v>9</v>
      </c>
      <c r="J11519" t="str" cm="1">
        <f t="array" ref="J11519">_xlfn.IFS(I11519&lt;=3,"small",I11519&lt;=6,"Medium",I11519&lt;=9,"Large")</f>
        <v>Large</v>
      </c>
      <c r="K11519" s="36">
        <v>44948</v>
      </c>
      <c r="L11519" s="36">
        <v>44950</v>
      </c>
      <c r="M11519" t="s">
        <v>612</v>
      </c>
      <c r="N11519" t="s">
        <v>608</v>
      </c>
      <c r="O11519" s="37" t="str">
        <f t="shared" si="898"/>
        <v>Cash Payment</v>
      </c>
      <c r="P11519">
        <v>82.62</v>
      </c>
      <c r="Q11519" s="37" t="str">
        <f>IF(P11519&gt;500,"High","low")</f>
        <v>low</v>
      </c>
      <c r="R11519" s="37" t="str">
        <f t="shared" si="899"/>
        <v>AVERAGE</v>
      </c>
      <c r="S11519" t="s">
        <v>600</v>
      </c>
    </row>
    <row r="11520" spans="1:19" x14ac:dyDescent="0.2">
      <c r="A11520" t="s">
        <v>12131</v>
      </c>
      <c r="B11520" t="s">
        <v>90</v>
      </c>
      <c r="C11520" t="s">
        <v>607</v>
      </c>
      <c r="D11520">
        <v>4853.75</v>
      </c>
      <c r="E11520" s="37" t="str">
        <f t="shared" si="895"/>
        <v>Excellent Order</v>
      </c>
      <c r="F11520">
        <v>0.32</v>
      </c>
      <c r="G11520" s="37" t="str">
        <f t="shared" si="896"/>
        <v>Heavy Discount</v>
      </c>
      <c r="H11520" s="37" t="str">
        <f t="shared" si="897"/>
        <v>Medium</v>
      </c>
      <c r="I11520">
        <v>5</v>
      </c>
      <c r="J11520" t="str" cm="1">
        <f t="array" ref="J11520">_xlfn.IFS(I11520&lt;=3,"small",I11520&lt;=6,"Medium",I11520&lt;=9,"Large")</f>
        <v>Medium</v>
      </c>
      <c r="K11520" s="36">
        <v>44954</v>
      </c>
      <c r="L11520" s="36">
        <v>44959</v>
      </c>
      <c r="M11520" t="s">
        <v>612</v>
      </c>
      <c r="N11520" t="s">
        <v>604</v>
      </c>
      <c r="O11520" s="37" t="str">
        <f t="shared" si="898"/>
        <v>Digital Payment</v>
      </c>
      <c r="P11520">
        <v>1002.34</v>
      </c>
      <c r="Q11520" s="37" t="str">
        <f>IF(P11520&gt;500,"High","low")</f>
        <v>High</v>
      </c>
      <c r="R11520" s="37" t="str">
        <f t="shared" si="899"/>
        <v>Excellent</v>
      </c>
      <c r="S11520" t="s">
        <v>615</v>
      </c>
    </row>
    <row r="11521" spans="1:19" x14ac:dyDescent="0.2">
      <c r="A11521" t="s">
        <v>12132</v>
      </c>
      <c r="B11521" t="s">
        <v>75</v>
      </c>
      <c r="C11521" t="s">
        <v>597</v>
      </c>
      <c r="D11521">
        <v>2752.49</v>
      </c>
      <c r="E11521" s="37" t="str">
        <f t="shared" si="895"/>
        <v xml:space="preserve"> </v>
      </c>
      <c r="F11521">
        <v>0.03</v>
      </c>
      <c r="G11521" s="37" t="str">
        <f t="shared" si="896"/>
        <v>Normal Discount</v>
      </c>
      <c r="H11521" s="37" t="str">
        <f t="shared" si="897"/>
        <v>Low</v>
      </c>
      <c r="I11521">
        <v>3</v>
      </c>
      <c r="J11521" t="str" cm="1">
        <f t="array" ref="J11521">_xlfn.IFS(I11521&lt;=3,"small",I11521&lt;=6,"Medium",I11521&lt;=9,"Large")</f>
        <v>small</v>
      </c>
      <c r="K11521" s="36">
        <v>45364</v>
      </c>
      <c r="L11521" s="36">
        <v>45371</v>
      </c>
      <c r="M11521" t="s">
        <v>612</v>
      </c>
      <c r="N11521" t="s">
        <v>608</v>
      </c>
      <c r="O11521" s="37" t="str">
        <f t="shared" si="898"/>
        <v>Cash Payment</v>
      </c>
      <c r="P11521">
        <v>643.76</v>
      </c>
      <c r="Q11521" s="37" t="str">
        <f>IF(P11521&gt;500,"High","low")</f>
        <v>High</v>
      </c>
      <c r="R11521" s="37" t="str">
        <f t="shared" si="899"/>
        <v>Good</v>
      </c>
      <c r="S11521" t="s">
        <v>615</v>
      </c>
    </row>
    <row r="11522" spans="1:19" x14ac:dyDescent="0.2">
      <c r="A11522" t="s">
        <v>12133</v>
      </c>
      <c r="B11522" t="s">
        <v>75</v>
      </c>
      <c r="C11522" t="s">
        <v>614</v>
      </c>
      <c r="D11522">
        <v>3294.86</v>
      </c>
      <c r="E11522" s="37" t="str">
        <f t="shared" si="895"/>
        <v xml:space="preserve"> </v>
      </c>
      <c r="F11522">
        <v>0.44</v>
      </c>
      <c r="G11522" s="37" t="str">
        <f t="shared" si="896"/>
        <v>Heavy Discount</v>
      </c>
      <c r="H11522" s="37" t="str">
        <f t="shared" si="897"/>
        <v>High</v>
      </c>
      <c r="I11522">
        <v>6</v>
      </c>
      <c r="J11522" t="str" cm="1">
        <f t="array" ref="J11522">_xlfn.IFS(I11522&lt;=3,"small",I11522&lt;=6,"Medium",I11522&lt;=9,"Large")</f>
        <v>Medium</v>
      </c>
      <c r="K11522" s="36">
        <v>44945</v>
      </c>
      <c r="L11522" s="36">
        <v>44949</v>
      </c>
      <c r="M11522" t="s">
        <v>598</v>
      </c>
      <c r="N11522" t="s">
        <v>608</v>
      </c>
      <c r="O11522" s="37" t="str">
        <f t="shared" si="898"/>
        <v>Cash Payment</v>
      </c>
      <c r="P11522">
        <v>811.87</v>
      </c>
      <c r="Q11522" s="37" t="str">
        <f>IF(P11522&gt;500,"High","low")</f>
        <v>High</v>
      </c>
      <c r="R11522" s="37" t="str">
        <f t="shared" si="899"/>
        <v>Good</v>
      </c>
      <c r="S11522" t="s">
        <v>605</v>
      </c>
    </row>
    <row r="11523" spans="1:19" x14ac:dyDescent="0.2">
      <c r="A11523" t="s">
        <v>12134</v>
      </c>
      <c r="B11523" t="s">
        <v>83</v>
      </c>
      <c r="C11523" t="s">
        <v>617</v>
      </c>
      <c r="D11523">
        <v>1647.07</v>
      </c>
      <c r="E11523" s="37" t="str">
        <f t="shared" ref="E11523:E11586" si="900">IF(AND(D11523&gt;4000,P11523&gt;800),"Excellent Order"," ")</f>
        <v xml:space="preserve"> </v>
      </c>
      <c r="F11523">
        <v>0.21</v>
      </c>
      <c r="G11523" s="37" t="str">
        <f t="shared" ref="G11523:G11586" si="901">IF(F11523&gt;30%,"Heavy Discount","Normal Discount")</f>
        <v>Normal Discount</v>
      </c>
      <c r="H11523" s="37" t="str">
        <f t="shared" ref="H11523:H11586" si="902">IF(F11523&gt;0.4,"High",IF(F11523&gt;=0.2,"Medium","Low"))</f>
        <v>Medium</v>
      </c>
      <c r="I11523">
        <v>1</v>
      </c>
      <c r="J11523" t="str" cm="1">
        <f t="array" ref="J11523">_xlfn.IFS(I11523&lt;=3,"small",I11523&lt;=6,"Medium",I11523&lt;=9,"Large")</f>
        <v>small</v>
      </c>
      <c r="K11523" s="36">
        <v>45039</v>
      </c>
      <c r="L11523" s="36">
        <v>45045</v>
      </c>
      <c r="M11523" t="s">
        <v>603</v>
      </c>
      <c r="N11523" t="s">
        <v>608</v>
      </c>
      <c r="O11523" s="37" t="str">
        <f t="shared" ref="O11523:O11586" si="903">IF(OR(N11523="Card",N11523="UPI"),"Digital Payment","Cash Payment")</f>
        <v>Cash Payment</v>
      </c>
      <c r="P11523">
        <v>268.19</v>
      </c>
      <c r="Q11523" s="37" t="str">
        <f>IF(P11523&gt;500,"High","low")</f>
        <v>low</v>
      </c>
      <c r="R11523" s="37" t="str">
        <f t="shared" ref="R11523:R11586" si="904">IF(P11523&gt;1000,"Excellent",IF(P11523&gt;=500,"Good","AVERAGE"))</f>
        <v>AVERAGE</v>
      </c>
      <c r="S11523" t="s">
        <v>605</v>
      </c>
    </row>
    <row r="11524" spans="1:19" x14ac:dyDescent="0.2">
      <c r="A11524" t="s">
        <v>12135</v>
      </c>
      <c r="B11524" t="s">
        <v>83</v>
      </c>
      <c r="C11524" t="s">
        <v>597</v>
      </c>
      <c r="D11524">
        <v>3097.94</v>
      </c>
      <c r="E11524" s="37" t="str">
        <f t="shared" si="900"/>
        <v xml:space="preserve"> </v>
      </c>
      <c r="F11524">
        <v>0.4</v>
      </c>
      <c r="G11524" s="37" t="str">
        <f t="shared" si="901"/>
        <v>Heavy Discount</v>
      </c>
      <c r="H11524" s="37" t="str">
        <f t="shared" si="902"/>
        <v>Medium</v>
      </c>
      <c r="I11524">
        <v>8</v>
      </c>
      <c r="J11524" t="str" cm="1">
        <f t="array" ref="J11524">_xlfn.IFS(I11524&lt;=3,"small",I11524&lt;=6,"Medium",I11524&lt;=9,"Large")</f>
        <v>Large</v>
      </c>
      <c r="K11524" s="36">
        <v>45452</v>
      </c>
      <c r="L11524" s="36">
        <v>45458</v>
      </c>
      <c r="M11524" t="s">
        <v>612</v>
      </c>
      <c r="N11524" t="s">
        <v>608</v>
      </c>
      <c r="O11524" s="37" t="str">
        <f t="shared" si="903"/>
        <v>Cash Payment</v>
      </c>
      <c r="P11524">
        <v>362.38</v>
      </c>
      <c r="Q11524" s="37" t="str">
        <f>IF(P11524&gt;500,"High","low")</f>
        <v>low</v>
      </c>
      <c r="R11524" s="37" t="str">
        <f t="shared" si="904"/>
        <v>AVERAGE</v>
      </c>
      <c r="S11524" t="s">
        <v>620</v>
      </c>
    </row>
    <row r="11525" spans="1:19" x14ac:dyDescent="0.2">
      <c r="A11525" t="s">
        <v>12136</v>
      </c>
      <c r="B11525" t="s">
        <v>67</v>
      </c>
      <c r="C11525" t="s">
        <v>597</v>
      </c>
      <c r="D11525">
        <v>3583.07</v>
      </c>
      <c r="E11525" s="37" t="str">
        <f t="shared" si="900"/>
        <v xml:space="preserve"> </v>
      </c>
      <c r="F11525">
        <v>0.36</v>
      </c>
      <c r="G11525" s="37" t="str">
        <f t="shared" si="901"/>
        <v>Heavy Discount</v>
      </c>
      <c r="H11525" s="37" t="str">
        <f t="shared" si="902"/>
        <v>Medium</v>
      </c>
      <c r="I11525">
        <v>4</v>
      </c>
      <c r="J11525" t="str" cm="1">
        <f t="array" ref="J11525">_xlfn.IFS(I11525&lt;=3,"small",I11525&lt;=6,"Medium",I11525&lt;=9,"Large")</f>
        <v>Medium</v>
      </c>
      <c r="K11525" s="36">
        <v>45102</v>
      </c>
      <c r="L11525" s="36">
        <v>45103</v>
      </c>
      <c r="M11525" t="s">
        <v>603</v>
      </c>
      <c r="N11525" t="s">
        <v>599</v>
      </c>
      <c r="O11525" s="37" t="str">
        <f t="shared" si="903"/>
        <v>Digital Payment</v>
      </c>
      <c r="P11525">
        <v>1041.46</v>
      </c>
      <c r="Q11525" s="37" t="str">
        <f>IF(P11525&gt;500,"High","low")</f>
        <v>High</v>
      </c>
      <c r="R11525" s="37" t="str">
        <f t="shared" si="904"/>
        <v>Excellent</v>
      </c>
      <c r="S11525" t="s">
        <v>615</v>
      </c>
    </row>
    <row r="11526" spans="1:19" x14ac:dyDescent="0.2">
      <c r="A11526" t="s">
        <v>12137</v>
      </c>
      <c r="B11526" t="s">
        <v>83</v>
      </c>
      <c r="C11526" t="s">
        <v>602</v>
      </c>
      <c r="D11526">
        <v>150.81</v>
      </c>
      <c r="E11526" s="37" t="str">
        <f t="shared" si="900"/>
        <v xml:space="preserve"> </v>
      </c>
      <c r="F11526">
        <v>0.24</v>
      </c>
      <c r="G11526" s="37" t="str">
        <f t="shared" si="901"/>
        <v>Normal Discount</v>
      </c>
      <c r="H11526" s="37" t="str">
        <f t="shared" si="902"/>
        <v>Medium</v>
      </c>
      <c r="I11526">
        <v>2</v>
      </c>
      <c r="J11526" t="str" cm="1">
        <f t="array" ref="J11526">_xlfn.IFS(I11526&lt;=3,"small",I11526&lt;=6,"Medium",I11526&lt;=9,"Large")</f>
        <v>small</v>
      </c>
      <c r="K11526" s="36">
        <v>45133</v>
      </c>
      <c r="L11526" s="36">
        <v>45137</v>
      </c>
      <c r="M11526" t="s">
        <v>598</v>
      </c>
      <c r="N11526" t="s">
        <v>599</v>
      </c>
      <c r="O11526" s="37" t="str">
        <f t="shared" si="903"/>
        <v>Digital Payment</v>
      </c>
      <c r="P11526">
        <v>42.5</v>
      </c>
      <c r="Q11526" s="37" t="str">
        <f>IF(P11526&gt;500,"High","low")</f>
        <v>low</v>
      </c>
      <c r="R11526" s="37" t="str">
        <f t="shared" si="904"/>
        <v>AVERAGE</v>
      </c>
      <c r="S11526" t="s">
        <v>609</v>
      </c>
    </row>
    <row r="11527" spans="1:19" x14ac:dyDescent="0.2">
      <c r="A11527" t="s">
        <v>12138</v>
      </c>
      <c r="B11527" t="s">
        <v>90</v>
      </c>
      <c r="C11527" t="s">
        <v>607</v>
      </c>
      <c r="D11527">
        <v>267.72000000000003</v>
      </c>
      <c r="E11527" s="37" t="str">
        <f t="shared" si="900"/>
        <v xml:space="preserve"> </v>
      </c>
      <c r="F11527">
        <v>0.1</v>
      </c>
      <c r="G11527" s="37" t="str">
        <f t="shared" si="901"/>
        <v>Normal Discount</v>
      </c>
      <c r="H11527" s="37" t="str">
        <f t="shared" si="902"/>
        <v>Low</v>
      </c>
      <c r="I11527">
        <v>4</v>
      </c>
      <c r="J11527" t="str" cm="1">
        <f t="array" ref="J11527">_xlfn.IFS(I11527&lt;=3,"small",I11527&lt;=6,"Medium",I11527&lt;=9,"Large")</f>
        <v>Medium</v>
      </c>
      <c r="K11527" s="36">
        <v>45588</v>
      </c>
      <c r="L11527" s="36">
        <v>45594</v>
      </c>
      <c r="M11527" t="s">
        <v>612</v>
      </c>
      <c r="N11527" t="s">
        <v>604</v>
      </c>
      <c r="O11527" s="37" t="str">
        <f t="shared" si="903"/>
        <v>Digital Payment</v>
      </c>
      <c r="P11527">
        <v>79.34</v>
      </c>
      <c r="Q11527" s="37" t="str">
        <f>IF(P11527&gt;500,"High","low")</f>
        <v>low</v>
      </c>
      <c r="R11527" s="37" t="str">
        <f t="shared" si="904"/>
        <v>AVERAGE</v>
      </c>
      <c r="S11527" t="s">
        <v>628</v>
      </c>
    </row>
    <row r="11528" spans="1:19" x14ac:dyDescent="0.2">
      <c r="A11528" t="s">
        <v>12139</v>
      </c>
      <c r="B11528" t="s">
        <v>75</v>
      </c>
      <c r="C11528" t="s">
        <v>607</v>
      </c>
      <c r="D11528">
        <v>4933.74</v>
      </c>
      <c r="E11528" s="37" t="str">
        <f t="shared" si="900"/>
        <v>Excellent Order</v>
      </c>
      <c r="F11528">
        <v>0.28000000000000003</v>
      </c>
      <c r="G11528" s="37" t="str">
        <f t="shared" si="901"/>
        <v>Normal Discount</v>
      </c>
      <c r="H11528" s="37" t="str">
        <f t="shared" si="902"/>
        <v>Medium</v>
      </c>
      <c r="I11528">
        <v>1</v>
      </c>
      <c r="J11528" t="str" cm="1">
        <f t="array" ref="J11528">_xlfn.IFS(I11528&lt;=3,"small",I11528&lt;=6,"Medium",I11528&lt;=9,"Large")</f>
        <v>small</v>
      </c>
      <c r="K11528" s="36">
        <v>45228</v>
      </c>
      <c r="L11528" s="36">
        <v>45235</v>
      </c>
      <c r="M11528" t="s">
        <v>603</v>
      </c>
      <c r="N11528" t="s">
        <v>604</v>
      </c>
      <c r="O11528" s="37" t="str">
        <f t="shared" si="903"/>
        <v>Digital Payment</v>
      </c>
      <c r="P11528">
        <v>1140.04</v>
      </c>
      <c r="Q11528" s="37" t="str">
        <f>IF(P11528&gt;500,"High","low")</f>
        <v>High</v>
      </c>
      <c r="R11528" s="37" t="str">
        <f t="shared" si="904"/>
        <v>Excellent</v>
      </c>
      <c r="S11528" t="s">
        <v>620</v>
      </c>
    </row>
    <row r="11529" spans="1:19" x14ac:dyDescent="0.2">
      <c r="A11529" t="s">
        <v>12140</v>
      </c>
      <c r="B11529" t="s">
        <v>75</v>
      </c>
      <c r="C11529" t="s">
        <v>602</v>
      </c>
      <c r="D11529">
        <v>2342.0300000000002</v>
      </c>
      <c r="E11529" s="37" t="str">
        <f t="shared" si="900"/>
        <v xml:space="preserve"> </v>
      </c>
      <c r="F11529">
        <v>0.47</v>
      </c>
      <c r="G11529" s="37" t="str">
        <f t="shared" si="901"/>
        <v>Heavy Discount</v>
      </c>
      <c r="H11529" s="37" t="str">
        <f t="shared" si="902"/>
        <v>High</v>
      </c>
      <c r="I11529">
        <v>8</v>
      </c>
      <c r="J11529" t="str" cm="1">
        <f t="array" ref="J11529">_xlfn.IFS(I11529&lt;=3,"small",I11529&lt;=6,"Medium",I11529&lt;=9,"Large")</f>
        <v>Large</v>
      </c>
      <c r="K11529" s="36">
        <v>45649</v>
      </c>
      <c r="L11529" s="36">
        <v>45652</v>
      </c>
      <c r="M11529" t="s">
        <v>598</v>
      </c>
      <c r="N11529" t="s">
        <v>604</v>
      </c>
      <c r="O11529" s="37" t="str">
        <f t="shared" si="903"/>
        <v>Digital Payment</v>
      </c>
      <c r="P11529">
        <v>574.80999999999995</v>
      </c>
      <c r="Q11529" s="37" t="str">
        <f>IF(P11529&gt;500,"High","low")</f>
        <v>High</v>
      </c>
      <c r="R11529" s="37" t="str">
        <f t="shared" si="904"/>
        <v>Good</v>
      </c>
      <c r="S11529" t="s">
        <v>600</v>
      </c>
    </row>
    <row r="11530" spans="1:19" x14ac:dyDescent="0.2">
      <c r="A11530" t="s">
        <v>12141</v>
      </c>
      <c r="B11530" t="s">
        <v>75</v>
      </c>
      <c r="C11530" t="s">
        <v>602</v>
      </c>
      <c r="D11530">
        <v>4685.51</v>
      </c>
      <c r="E11530" s="37" t="str">
        <f t="shared" si="900"/>
        <v>Excellent Order</v>
      </c>
      <c r="F11530">
        <v>0.09</v>
      </c>
      <c r="G11530" s="37" t="str">
        <f t="shared" si="901"/>
        <v>Normal Discount</v>
      </c>
      <c r="H11530" s="37" t="str">
        <f t="shared" si="902"/>
        <v>Low</v>
      </c>
      <c r="I11530">
        <v>6</v>
      </c>
      <c r="J11530" t="str" cm="1">
        <f t="array" ref="J11530">_xlfn.IFS(I11530&lt;=3,"small",I11530&lt;=6,"Medium",I11530&lt;=9,"Large")</f>
        <v>Medium</v>
      </c>
      <c r="K11530" s="36">
        <v>45437</v>
      </c>
      <c r="L11530" s="36">
        <v>45444</v>
      </c>
      <c r="M11530" t="s">
        <v>612</v>
      </c>
      <c r="N11530" t="s">
        <v>599</v>
      </c>
      <c r="O11530" s="37" t="str">
        <f t="shared" si="903"/>
        <v>Digital Payment</v>
      </c>
      <c r="P11530">
        <v>1323.75</v>
      </c>
      <c r="Q11530" s="37" t="str">
        <f>IF(P11530&gt;500,"High","low")</f>
        <v>High</v>
      </c>
      <c r="R11530" s="37" t="str">
        <f t="shared" si="904"/>
        <v>Excellent</v>
      </c>
      <c r="S11530" t="s">
        <v>609</v>
      </c>
    </row>
    <row r="11531" spans="1:19" x14ac:dyDescent="0.2">
      <c r="A11531" t="s">
        <v>12142</v>
      </c>
      <c r="B11531" t="s">
        <v>83</v>
      </c>
      <c r="C11531" t="s">
        <v>614</v>
      </c>
      <c r="D11531">
        <v>3676.5</v>
      </c>
      <c r="E11531" s="37" t="str">
        <f t="shared" si="900"/>
        <v xml:space="preserve"> </v>
      </c>
      <c r="F11531">
        <v>0.13</v>
      </c>
      <c r="G11531" s="37" t="str">
        <f t="shared" si="901"/>
        <v>Normal Discount</v>
      </c>
      <c r="H11531" s="37" t="str">
        <f t="shared" si="902"/>
        <v>Low</v>
      </c>
      <c r="I11531">
        <v>1</v>
      </c>
      <c r="J11531" t="str" cm="1">
        <f t="array" ref="J11531">_xlfn.IFS(I11531&lt;=3,"small",I11531&lt;=6,"Medium",I11531&lt;=9,"Large")</f>
        <v>small</v>
      </c>
      <c r="K11531" s="36">
        <v>45579</v>
      </c>
      <c r="L11531" s="36">
        <v>45580</v>
      </c>
      <c r="M11531" t="s">
        <v>603</v>
      </c>
      <c r="N11531" t="s">
        <v>608</v>
      </c>
      <c r="O11531" s="37" t="str">
        <f t="shared" si="903"/>
        <v>Cash Payment</v>
      </c>
      <c r="P11531">
        <v>591.15</v>
      </c>
      <c r="Q11531" s="37" t="str">
        <f>IF(P11531&gt;500,"High","low")</f>
        <v>High</v>
      </c>
      <c r="R11531" s="37" t="str">
        <f t="shared" si="904"/>
        <v>Good</v>
      </c>
      <c r="S11531" t="s">
        <v>600</v>
      </c>
    </row>
    <row r="11532" spans="1:19" x14ac:dyDescent="0.2">
      <c r="A11532" t="s">
        <v>12143</v>
      </c>
      <c r="B11532" t="s">
        <v>75</v>
      </c>
      <c r="C11532" t="s">
        <v>617</v>
      </c>
      <c r="D11532">
        <v>1927.54</v>
      </c>
      <c r="E11532" s="37" t="str">
        <f t="shared" si="900"/>
        <v xml:space="preserve"> </v>
      </c>
      <c r="F11532">
        <v>0.5</v>
      </c>
      <c r="G11532" s="37" t="str">
        <f t="shared" si="901"/>
        <v>Heavy Discount</v>
      </c>
      <c r="H11532" s="37" t="str">
        <f t="shared" si="902"/>
        <v>High</v>
      </c>
      <c r="I11532">
        <v>1</v>
      </c>
      <c r="J11532" t="str" cm="1">
        <f t="array" ref="J11532">_xlfn.IFS(I11532&lt;=3,"small",I11532&lt;=6,"Medium",I11532&lt;=9,"Large")</f>
        <v>small</v>
      </c>
      <c r="K11532" s="36">
        <v>45204</v>
      </c>
      <c r="L11532" s="36">
        <v>45209</v>
      </c>
      <c r="M11532" t="s">
        <v>603</v>
      </c>
      <c r="N11532" t="s">
        <v>608</v>
      </c>
      <c r="O11532" s="37" t="str">
        <f t="shared" si="903"/>
        <v>Cash Payment</v>
      </c>
      <c r="P11532">
        <v>174.73</v>
      </c>
      <c r="Q11532" s="37" t="str">
        <f>IF(P11532&gt;500,"High","low")</f>
        <v>low</v>
      </c>
      <c r="R11532" s="37" t="str">
        <f t="shared" si="904"/>
        <v>AVERAGE</v>
      </c>
      <c r="S11532" t="s">
        <v>609</v>
      </c>
    </row>
    <row r="11533" spans="1:19" x14ac:dyDescent="0.2">
      <c r="A11533" t="s">
        <v>12144</v>
      </c>
      <c r="B11533" t="s">
        <v>75</v>
      </c>
      <c r="C11533" t="s">
        <v>607</v>
      </c>
      <c r="D11533">
        <v>839.13</v>
      </c>
      <c r="E11533" s="37" t="str">
        <f t="shared" si="900"/>
        <v xml:space="preserve"> </v>
      </c>
      <c r="F11533">
        <v>0.45</v>
      </c>
      <c r="G11533" s="37" t="str">
        <f t="shared" si="901"/>
        <v>Heavy Discount</v>
      </c>
      <c r="H11533" s="37" t="str">
        <f t="shared" si="902"/>
        <v>High</v>
      </c>
      <c r="I11533">
        <v>2</v>
      </c>
      <c r="J11533" t="str" cm="1">
        <f t="array" ref="J11533">_xlfn.IFS(I11533&lt;=3,"small",I11533&lt;=6,"Medium",I11533&lt;=9,"Large")</f>
        <v>small</v>
      </c>
      <c r="K11533" s="36">
        <v>45064</v>
      </c>
      <c r="L11533" s="36">
        <v>45071</v>
      </c>
      <c r="M11533" t="s">
        <v>598</v>
      </c>
      <c r="N11533" t="s">
        <v>608</v>
      </c>
      <c r="O11533" s="37" t="str">
        <f t="shared" si="903"/>
        <v>Cash Payment</v>
      </c>
      <c r="P11533">
        <v>159.37</v>
      </c>
      <c r="Q11533" s="37" t="str">
        <f>IF(P11533&gt;500,"High","low")</f>
        <v>low</v>
      </c>
      <c r="R11533" s="37" t="str">
        <f t="shared" si="904"/>
        <v>AVERAGE</v>
      </c>
      <c r="S11533" t="s">
        <v>620</v>
      </c>
    </row>
    <row r="11534" spans="1:19" x14ac:dyDescent="0.2">
      <c r="A11534" t="s">
        <v>12145</v>
      </c>
      <c r="B11534" t="s">
        <v>75</v>
      </c>
      <c r="C11534" t="s">
        <v>602</v>
      </c>
      <c r="D11534">
        <v>4892.9399999999996</v>
      </c>
      <c r="E11534" s="37" t="str">
        <f t="shared" si="900"/>
        <v>Excellent Order</v>
      </c>
      <c r="F11534">
        <v>0.27</v>
      </c>
      <c r="G11534" s="37" t="str">
        <f t="shared" si="901"/>
        <v>Normal Discount</v>
      </c>
      <c r="H11534" s="37" t="str">
        <f t="shared" si="902"/>
        <v>Medium</v>
      </c>
      <c r="I11534">
        <v>7</v>
      </c>
      <c r="J11534" t="str" cm="1">
        <f t="array" ref="J11534">_xlfn.IFS(I11534&lt;=3,"small",I11534&lt;=6,"Medium",I11534&lt;=9,"Large")</f>
        <v>Large</v>
      </c>
      <c r="K11534" s="36">
        <v>45292</v>
      </c>
      <c r="L11534" s="36">
        <v>45296</v>
      </c>
      <c r="M11534" t="s">
        <v>612</v>
      </c>
      <c r="N11534" t="s">
        <v>604</v>
      </c>
      <c r="O11534" s="37" t="str">
        <f t="shared" si="903"/>
        <v>Digital Payment</v>
      </c>
      <c r="P11534">
        <v>828.2</v>
      </c>
      <c r="Q11534" s="37" t="str">
        <f>IF(P11534&gt;500,"High","low")</f>
        <v>High</v>
      </c>
      <c r="R11534" s="37" t="str">
        <f t="shared" si="904"/>
        <v>Good</v>
      </c>
      <c r="S11534" t="s">
        <v>600</v>
      </c>
    </row>
    <row r="11535" spans="1:19" x14ac:dyDescent="0.2">
      <c r="A11535" t="s">
        <v>12146</v>
      </c>
      <c r="B11535" t="s">
        <v>67</v>
      </c>
      <c r="C11535" t="s">
        <v>602</v>
      </c>
      <c r="D11535">
        <v>2964.03</v>
      </c>
      <c r="E11535" s="37" t="str">
        <f t="shared" si="900"/>
        <v xml:space="preserve"> </v>
      </c>
      <c r="F11535">
        <v>0.35</v>
      </c>
      <c r="G11535" s="37" t="str">
        <f t="shared" si="901"/>
        <v>Heavy Discount</v>
      </c>
      <c r="H11535" s="37" t="str">
        <f t="shared" si="902"/>
        <v>Medium</v>
      </c>
      <c r="I11535">
        <v>2</v>
      </c>
      <c r="J11535" t="str" cm="1">
        <f t="array" ref="J11535">_xlfn.IFS(I11535&lt;=3,"small",I11535&lt;=6,"Medium",I11535&lt;=9,"Large")</f>
        <v>small</v>
      </c>
      <c r="K11535" s="36">
        <v>45431</v>
      </c>
      <c r="L11535" s="36">
        <v>45437</v>
      </c>
      <c r="M11535" t="s">
        <v>603</v>
      </c>
      <c r="N11535" t="s">
        <v>604</v>
      </c>
      <c r="O11535" s="37" t="str">
        <f t="shared" si="903"/>
        <v>Digital Payment</v>
      </c>
      <c r="P11535">
        <v>726.29</v>
      </c>
      <c r="Q11535" s="37" t="str">
        <f>IF(P11535&gt;500,"High","low")</f>
        <v>High</v>
      </c>
      <c r="R11535" s="37" t="str">
        <f t="shared" si="904"/>
        <v>Good</v>
      </c>
      <c r="S11535" t="s">
        <v>609</v>
      </c>
    </row>
    <row r="11536" spans="1:19" x14ac:dyDescent="0.2">
      <c r="A11536" t="s">
        <v>12147</v>
      </c>
      <c r="B11536" t="s">
        <v>67</v>
      </c>
      <c r="C11536" t="s">
        <v>617</v>
      </c>
      <c r="D11536">
        <v>1042.55</v>
      </c>
      <c r="E11536" s="37" t="str">
        <f t="shared" si="900"/>
        <v xml:space="preserve"> </v>
      </c>
      <c r="F11536">
        <v>0.22</v>
      </c>
      <c r="G11536" s="37" t="str">
        <f t="shared" si="901"/>
        <v>Normal Discount</v>
      </c>
      <c r="H11536" s="37" t="str">
        <f t="shared" si="902"/>
        <v>Medium</v>
      </c>
      <c r="I11536">
        <v>3</v>
      </c>
      <c r="J11536" t="str" cm="1">
        <f t="array" ref="J11536">_xlfn.IFS(I11536&lt;=3,"small",I11536&lt;=6,"Medium",I11536&lt;=9,"Large")</f>
        <v>small</v>
      </c>
      <c r="K11536" s="36">
        <v>44970</v>
      </c>
      <c r="L11536" s="36">
        <v>44972</v>
      </c>
      <c r="M11536" t="s">
        <v>612</v>
      </c>
      <c r="N11536" t="s">
        <v>608</v>
      </c>
      <c r="O11536" s="37" t="str">
        <f t="shared" si="903"/>
        <v>Cash Payment</v>
      </c>
      <c r="P11536">
        <v>244.79</v>
      </c>
      <c r="Q11536" s="37" t="str">
        <f>IF(P11536&gt;500,"High","low")</f>
        <v>low</v>
      </c>
      <c r="R11536" s="37" t="str">
        <f t="shared" si="904"/>
        <v>AVERAGE</v>
      </c>
      <c r="S11536" t="s">
        <v>605</v>
      </c>
    </row>
    <row r="11537" spans="1:19" x14ac:dyDescent="0.2">
      <c r="A11537" t="s">
        <v>12148</v>
      </c>
      <c r="B11537" t="s">
        <v>83</v>
      </c>
      <c r="C11537" t="s">
        <v>602</v>
      </c>
      <c r="D11537">
        <v>3440.1</v>
      </c>
      <c r="E11537" s="37" t="str">
        <f t="shared" si="900"/>
        <v xml:space="preserve"> </v>
      </c>
      <c r="F11537">
        <v>0.2</v>
      </c>
      <c r="G11537" s="37" t="str">
        <f t="shared" si="901"/>
        <v>Normal Discount</v>
      </c>
      <c r="H11537" s="37" t="str">
        <f t="shared" si="902"/>
        <v>Medium</v>
      </c>
      <c r="I11537">
        <v>9</v>
      </c>
      <c r="J11537" t="str" cm="1">
        <f t="array" ref="J11537">_xlfn.IFS(I11537&lt;=3,"small",I11537&lt;=6,"Medium",I11537&lt;=9,"Large")</f>
        <v>Large</v>
      </c>
      <c r="K11537" s="36">
        <v>45206</v>
      </c>
      <c r="L11537" s="36">
        <v>45212</v>
      </c>
      <c r="M11537" t="s">
        <v>598</v>
      </c>
      <c r="N11537" t="s">
        <v>608</v>
      </c>
      <c r="O11537" s="37" t="str">
        <f t="shared" si="903"/>
        <v>Cash Payment</v>
      </c>
      <c r="P11537">
        <v>409.2</v>
      </c>
      <c r="Q11537" s="37" t="str">
        <f>IF(P11537&gt;500,"High","low")</f>
        <v>low</v>
      </c>
      <c r="R11537" s="37" t="str">
        <f t="shared" si="904"/>
        <v>AVERAGE</v>
      </c>
      <c r="S11537" t="s">
        <v>600</v>
      </c>
    </row>
    <row r="11538" spans="1:19" x14ac:dyDescent="0.2">
      <c r="A11538" t="s">
        <v>12149</v>
      </c>
      <c r="B11538" t="s">
        <v>75</v>
      </c>
      <c r="C11538" t="s">
        <v>614</v>
      </c>
      <c r="D11538">
        <v>551.04</v>
      </c>
      <c r="E11538" s="37" t="str">
        <f t="shared" si="900"/>
        <v xml:space="preserve"> </v>
      </c>
      <c r="F11538">
        <v>0.22</v>
      </c>
      <c r="G11538" s="37" t="str">
        <f t="shared" si="901"/>
        <v>Normal Discount</v>
      </c>
      <c r="H11538" s="37" t="str">
        <f t="shared" si="902"/>
        <v>Medium</v>
      </c>
      <c r="I11538">
        <v>1</v>
      </c>
      <c r="J11538" t="str" cm="1">
        <f t="array" ref="J11538">_xlfn.IFS(I11538&lt;=3,"small",I11538&lt;=6,"Medium",I11538&lt;=9,"Large")</f>
        <v>small</v>
      </c>
      <c r="K11538" s="36">
        <v>45369</v>
      </c>
      <c r="L11538" s="36">
        <v>45376</v>
      </c>
      <c r="M11538" t="s">
        <v>603</v>
      </c>
      <c r="N11538" t="s">
        <v>604</v>
      </c>
      <c r="O11538" s="37" t="str">
        <f t="shared" si="903"/>
        <v>Digital Payment</v>
      </c>
      <c r="P11538">
        <v>41.66</v>
      </c>
      <c r="Q11538" s="37" t="str">
        <f>IF(P11538&gt;500,"High","low")</f>
        <v>low</v>
      </c>
      <c r="R11538" s="37" t="str">
        <f t="shared" si="904"/>
        <v>AVERAGE</v>
      </c>
      <c r="S11538" t="s">
        <v>609</v>
      </c>
    </row>
    <row r="11539" spans="1:19" x14ac:dyDescent="0.2">
      <c r="A11539" t="s">
        <v>12150</v>
      </c>
      <c r="B11539" t="s">
        <v>83</v>
      </c>
      <c r="C11539" t="s">
        <v>617</v>
      </c>
      <c r="D11539">
        <v>4353.38</v>
      </c>
      <c r="E11539" s="37" t="str">
        <f t="shared" si="900"/>
        <v>Excellent Order</v>
      </c>
      <c r="F11539">
        <v>0.21</v>
      </c>
      <c r="G11539" s="37" t="str">
        <f t="shared" si="901"/>
        <v>Normal Discount</v>
      </c>
      <c r="H11539" s="37" t="str">
        <f t="shared" si="902"/>
        <v>Medium</v>
      </c>
      <c r="I11539">
        <v>9</v>
      </c>
      <c r="J11539" t="str" cm="1">
        <f t="array" ref="J11539">_xlfn.IFS(I11539&lt;=3,"small",I11539&lt;=6,"Medium",I11539&lt;=9,"Large")</f>
        <v>Large</v>
      </c>
      <c r="K11539" s="36">
        <v>45372</v>
      </c>
      <c r="L11539" s="36">
        <v>45375</v>
      </c>
      <c r="M11539" t="s">
        <v>612</v>
      </c>
      <c r="N11539" t="s">
        <v>599</v>
      </c>
      <c r="O11539" s="37" t="str">
        <f t="shared" si="903"/>
        <v>Digital Payment</v>
      </c>
      <c r="P11539">
        <v>842.72</v>
      </c>
      <c r="Q11539" s="37" t="str">
        <f>IF(P11539&gt;500,"High","low")</f>
        <v>High</v>
      </c>
      <c r="R11539" s="37" t="str">
        <f t="shared" si="904"/>
        <v>Good</v>
      </c>
      <c r="S11539" t="s">
        <v>628</v>
      </c>
    </row>
    <row r="11540" spans="1:19" x14ac:dyDescent="0.2">
      <c r="A11540" t="s">
        <v>12151</v>
      </c>
      <c r="B11540" t="s">
        <v>75</v>
      </c>
      <c r="C11540" t="s">
        <v>614</v>
      </c>
      <c r="D11540">
        <v>541.66999999999996</v>
      </c>
      <c r="E11540" s="37" t="str">
        <f t="shared" si="900"/>
        <v xml:space="preserve"> </v>
      </c>
      <c r="F11540">
        <v>0.34</v>
      </c>
      <c r="G11540" s="37" t="str">
        <f t="shared" si="901"/>
        <v>Heavy Discount</v>
      </c>
      <c r="H11540" s="37" t="str">
        <f t="shared" si="902"/>
        <v>Medium</v>
      </c>
      <c r="I11540">
        <v>6</v>
      </c>
      <c r="J11540" t="str" cm="1">
        <f t="array" ref="J11540">_xlfn.IFS(I11540&lt;=3,"small",I11540&lt;=6,"Medium",I11540&lt;=9,"Large")</f>
        <v>Medium</v>
      </c>
      <c r="K11540" s="36">
        <v>44998</v>
      </c>
      <c r="L11540" s="36">
        <v>45001</v>
      </c>
      <c r="M11540" t="s">
        <v>603</v>
      </c>
      <c r="N11540" t="s">
        <v>604</v>
      </c>
      <c r="O11540" s="37" t="str">
        <f t="shared" si="903"/>
        <v>Digital Payment</v>
      </c>
      <c r="P11540">
        <v>118.76</v>
      </c>
      <c r="Q11540" s="37" t="str">
        <f>IF(P11540&gt;500,"High","low")</f>
        <v>low</v>
      </c>
      <c r="R11540" s="37" t="str">
        <f t="shared" si="904"/>
        <v>AVERAGE</v>
      </c>
      <c r="S11540" t="s">
        <v>605</v>
      </c>
    </row>
    <row r="11541" spans="1:19" x14ac:dyDescent="0.2">
      <c r="A11541" t="s">
        <v>12152</v>
      </c>
      <c r="B11541" t="s">
        <v>75</v>
      </c>
      <c r="C11541" t="s">
        <v>597</v>
      </c>
      <c r="D11541">
        <v>1257.3499999999999</v>
      </c>
      <c r="E11541" s="37" t="str">
        <f t="shared" si="900"/>
        <v xml:space="preserve"> </v>
      </c>
      <c r="F11541">
        <v>0.17</v>
      </c>
      <c r="G11541" s="37" t="str">
        <f t="shared" si="901"/>
        <v>Normal Discount</v>
      </c>
      <c r="H11541" s="37" t="str">
        <f t="shared" si="902"/>
        <v>Low</v>
      </c>
      <c r="I11541">
        <v>9</v>
      </c>
      <c r="J11541" t="str" cm="1">
        <f t="array" ref="J11541">_xlfn.IFS(I11541&lt;=3,"small",I11541&lt;=6,"Medium",I11541&lt;=9,"Large")</f>
        <v>Large</v>
      </c>
      <c r="K11541" s="36">
        <v>45382</v>
      </c>
      <c r="L11541" s="36">
        <v>45383</v>
      </c>
      <c r="M11541" t="s">
        <v>612</v>
      </c>
      <c r="N11541" t="s">
        <v>604</v>
      </c>
      <c r="O11541" s="37" t="str">
        <f t="shared" si="903"/>
        <v>Digital Payment</v>
      </c>
      <c r="P11541">
        <v>222.39</v>
      </c>
      <c r="Q11541" s="37" t="str">
        <f>IF(P11541&gt;500,"High","low")</f>
        <v>low</v>
      </c>
      <c r="R11541" s="37" t="str">
        <f t="shared" si="904"/>
        <v>AVERAGE</v>
      </c>
      <c r="S11541" t="s">
        <v>605</v>
      </c>
    </row>
    <row r="11542" spans="1:19" x14ac:dyDescent="0.2">
      <c r="A11542" t="s">
        <v>12153</v>
      </c>
      <c r="B11542" t="s">
        <v>75</v>
      </c>
      <c r="C11542" t="s">
        <v>607</v>
      </c>
      <c r="D11542">
        <v>548.01</v>
      </c>
      <c r="E11542" s="37" t="str">
        <f t="shared" si="900"/>
        <v xml:space="preserve"> </v>
      </c>
      <c r="F11542">
        <v>0.09</v>
      </c>
      <c r="G11542" s="37" t="str">
        <f t="shared" si="901"/>
        <v>Normal Discount</v>
      </c>
      <c r="H11542" s="37" t="str">
        <f t="shared" si="902"/>
        <v>Low</v>
      </c>
      <c r="I11542">
        <v>8</v>
      </c>
      <c r="J11542" t="str" cm="1">
        <f t="array" ref="J11542">_xlfn.IFS(I11542&lt;=3,"small",I11542&lt;=6,"Medium",I11542&lt;=9,"Large")</f>
        <v>Large</v>
      </c>
      <c r="K11542" s="36">
        <v>45039</v>
      </c>
      <c r="L11542" s="36">
        <v>45040</v>
      </c>
      <c r="M11542" t="s">
        <v>603</v>
      </c>
      <c r="N11542" t="s">
        <v>608</v>
      </c>
      <c r="O11542" s="37" t="str">
        <f t="shared" si="903"/>
        <v>Cash Payment</v>
      </c>
      <c r="P11542">
        <v>118.83</v>
      </c>
      <c r="Q11542" s="37" t="str">
        <f>IF(P11542&gt;500,"High","low")</f>
        <v>low</v>
      </c>
      <c r="R11542" s="37" t="str">
        <f t="shared" si="904"/>
        <v>AVERAGE</v>
      </c>
      <c r="S11542" t="s">
        <v>620</v>
      </c>
    </row>
    <row r="11543" spans="1:19" x14ac:dyDescent="0.2">
      <c r="A11543" t="s">
        <v>12154</v>
      </c>
      <c r="B11543" t="s">
        <v>83</v>
      </c>
      <c r="C11543" t="s">
        <v>602</v>
      </c>
      <c r="D11543">
        <v>608.55999999999995</v>
      </c>
      <c r="E11543" s="37" t="str">
        <f t="shared" si="900"/>
        <v xml:space="preserve"> </v>
      </c>
      <c r="F11543">
        <v>0.35</v>
      </c>
      <c r="G11543" s="37" t="str">
        <f t="shared" si="901"/>
        <v>Heavy Discount</v>
      </c>
      <c r="H11543" s="37" t="str">
        <f t="shared" si="902"/>
        <v>Medium</v>
      </c>
      <c r="I11543">
        <v>7</v>
      </c>
      <c r="J11543" t="str" cm="1">
        <f t="array" ref="J11543">_xlfn.IFS(I11543&lt;=3,"small",I11543&lt;=6,"Medium",I11543&lt;=9,"Large")</f>
        <v>Large</v>
      </c>
      <c r="K11543" s="36">
        <v>45621</v>
      </c>
      <c r="L11543" s="36">
        <v>45628</v>
      </c>
      <c r="M11543" t="s">
        <v>598</v>
      </c>
      <c r="N11543" t="s">
        <v>608</v>
      </c>
      <c r="O11543" s="37" t="str">
        <f t="shared" si="903"/>
        <v>Cash Payment</v>
      </c>
      <c r="P11543">
        <v>144.82</v>
      </c>
      <c r="Q11543" s="37" t="str">
        <f>IF(P11543&gt;500,"High","low")</f>
        <v>low</v>
      </c>
      <c r="R11543" s="37" t="str">
        <f t="shared" si="904"/>
        <v>AVERAGE</v>
      </c>
      <c r="S11543" t="s">
        <v>628</v>
      </c>
    </row>
    <row r="11544" spans="1:19" x14ac:dyDescent="0.2">
      <c r="A11544" t="s">
        <v>12155</v>
      </c>
      <c r="B11544" t="s">
        <v>83</v>
      </c>
      <c r="C11544" t="s">
        <v>617</v>
      </c>
      <c r="D11544">
        <v>2666.79</v>
      </c>
      <c r="E11544" s="37" t="str">
        <f t="shared" si="900"/>
        <v xml:space="preserve"> </v>
      </c>
      <c r="F11544">
        <v>0.02</v>
      </c>
      <c r="G11544" s="37" t="str">
        <f t="shared" si="901"/>
        <v>Normal Discount</v>
      </c>
      <c r="H11544" s="37" t="str">
        <f t="shared" si="902"/>
        <v>Low</v>
      </c>
      <c r="I11544">
        <v>7</v>
      </c>
      <c r="J11544" t="str" cm="1">
        <f t="array" ref="J11544">_xlfn.IFS(I11544&lt;=3,"small",I11544&lt;=6,"Medium",I11544&lt;=9,"Large")</f>
        <v>Large</v>
      </c>
      <c r="K11544" s="36">
        <v>45359</v>
      </c>
      <c r="L11544" s="36">
        <v>45362</v>
      </c>
      <c r="M11544" t="s">
        <v>612</v>
      </c>
      <c r="N11544" t="s">
        <v>608</v>
      </c>
      <c r="O11544" s="37" t="str">
        <f t="shared" si="903"/>
        <v>Cash Payment</v>
      </c>
      <c r="P11544">
        <v>429.32</v>
      </c>
      <c r="Q11544" s="37" t="str">
        <f>IF(P11544&gt;500,"High","low")</f>
        <v>low</v>
      </c>
      <c r="R11544" s="37" t="str">
        <f t="shared" si="904"/>
        <v>AVERAGE</v>
      </c>
      <c r="S11544" t="s">
        <v>605</v>
      </c>
    </row>
    <row r="11545" spans="1:19" x14ac:dyDescent="0.2">
      <c r="A11545" t="s">
        <v>12156</v>
      </c>
      <c r="B11545" t="s">
        <v>75</v>
      </c>
      <c r="C11545" t="s">
        <v>614</v>
      </c>
      <c r="D11545">
        <v>3466.25</v>
      </c>
      <c r="E11545" s="37" t="str">
        <f t="shared" si="900"/>
        <v xml:space="preserve"> </v>
      </c>
      <c r="F11545">
        <v>0.36</v>
      </c>
      <c r="G11545" s="37" t="str">
        <f t="shared" si="901"/>
        <v>Heavy Discount</v>
      </c>
      <c r="H11545" s="37" t="str">
        <f t="shared" si="902"/>
        <v>Medium</v>
      </c>
      <c r="I11545">
        <v>6</v>
      </c>
      <c r="J11545" t="str" cm="1">
        <f t="array" ref="J11545">_xlfn.IFS(I11545&lt;=3,"small",I11545&lt;=6,"Medium",I11545&lt;=9,"Large")</f>
        <v>Medium</v>
      </c>
      <c r="K11545" s="36">
        <v>45157</v>
      </c>
      <c r="L11545" s="36">
        <v>45161</v>
      </c>
      <c r="M11545" t="s">
        <v>612</v>
      </c>
      <c r="N11545" t="s">
        <v>604</v>
      </c>
      <c r="O11545" s="37" t="str">
        <f t="shared" si="903"/>
        <v>Digital Payment</v>
      </c>
      <c r="P11545">
        <v>608.78</v>
      </c>
      <c r="Q11545" s="37" t="str">
        <f>IF(P11545&gt;500,"High","low")</f>
        <v>High</v>
      </c>
      <c r="R11545" s="37" t="str">
        <f t="shared" si="904"/>
        <v>Good</v>
      </c>
      <c r="S11545" t="s">
        <v>628</v>
      </c>
    </row>
    <row r="11546" spans="1:19" x14ac:dyDescent="0.2">
      <c r="A11546" t="s">
        <v>12157</v>
      </c>
      <c r="B11546" t="s">
        <v>90</v>
      </c>
      <c r="C11546" t="s">
        <v>607</v>
      </c>
      <c r="D11546">
        <v>3963.56</v>
      </c>
      <c r="E11546" s="37" t="str">
        <f t="shared" si="900"/>
        <v xml:space="preserve"> </v>
      </c>
      <c r="F11546">
        <v>0.13</v>
      </c>
      <c r="G11546" s="37" t="str">
        <f t="shared" si="901"/>
        <v>Normal Discount</v>
      </c>
      <c r="H11546" s="37" t="str">
        <f t="shared" si="902"/>
        <v>Low</v>
      </c>
      <c r="I11546">
        <v>8</v>
      </c>
      <c r="J11546" t="str" cm="1">
        <f t="array" ref="J11546">_xlfn.IFS(I11546&lt;=3,"small",I11546&lt;=6,"Medium",I11546&lt;=9,"Large")</f>
        <v>Large</v>
      </c>
      <c r="K11546" s="36">
        <v>45488</v>
      </c>
      <c r="L11546" s="36">
        <v>45490</v>
      </c>
      <c r="M11546" t="s">
        <v>603</v>
      </c>
      <c r="N11546" t="s">
        <v>608</v>
      </c>
      <c r="O11546" s="37" t="str">
        <f t="shared" si="903"/>
        <v>Cash Payment</v>
      </c>
      <c r="P11546">
        <v>827.22</v>
      </c>
      <c r="Q11546" s="37" t="str">
        <f>IF(P11546&gt;500,"High","low")</f>
        <v>High</v>
      </c>
      <c r="R11546" s="37" t="str">
        <f t="shared" si="904"/>
        <v>Good</v>
      </c>
      <c r="S11546" t="s">
        <v>615</v>
      </c>
    </row>
    <row r="11547" spans="1:19" x14ac:dyDescent="0.2">
      <c r="A11547" t="s">
        <v>12158</v>
      </c>
      <c r="B11547" t="s">
        <v>83</v>
      </c>
      <c r="C11547" t="s">
        <v>607</v>
      </c>
      <c r="D11547">
        <v>3505.77</v>
      </c>
      <c r="E11547" s="37" t="str">
        <f t="shared" si="900"/>
        <v xml:space="preserve"> </v>
      </c>
      <c r="F11547">
        <v>0.1</v>
      </c>
      <c r="G11547" s="37" t="str">
        <f t="shared" si="901"/>
        <v>Normal Discount</v>
      </c>
      <c r="H11547" s="37" t="str">
        <f t="shared" si="902"/>
        <v>Low</v>
      </c>
      <c r="I11547">
        <v>9</v>
      </c>
      <c r="J11547" t="str" cm="1">
        <f t="array" ref="J11547">_xlfn.IFS(I11547&lt;=3,"small",I11547&lt;=6,"Medium",I11547&lt;=9,"Large")</f>
        <v>Large</v>
      </c>
      <c r="K11547" s="36">
        <v>45160</v>
      </c>
      <c r="L11547" s="36">
        <v>45165</v>
      </c>
      <c r="M11547" t="s">
        <v>598</v>
      </c>
      <c r="N11547" t="s">
        <v>604</v>
      </c>
      <c r="O11547" s="37" t="str">
        <f t="shared" si="903"/>
        <v>Digital Payment</v>
      </c>
      <c r="P11547">
        <v>715.43</v>
      </c>
      <c r="Q11547" s="37" t="str">
        <f>IF(P11547&gt;500,"High","low")</f>
        <v>High</v>
      </c>
      <c r="R11547" s="37" t="str">
        <f t="shared" si="904"/>
        <v>Good</v>
      </c>
      <c r="S11547" t="s">
        <v>600</v>
      </c>
    </row>
    <row r="11548" spans="1:19" x14ac:dyDescent="0.2">
      <c r="A11548" t="s">
        <v>12159</v>
      </c>
      <c r="B11548" t="s">
        <v>67</v>
      </c>
      <c r="C11548" t="s">
        <v>602</v>
      </c>
      <c r="D11548">
        <v>1881.1</v>
      </c>
      <c r="E11548" s="37" t="str">
        <f t="shared" si="900"/>
        <v xml:space="preserve"> </v>
      </c>
      <c r="F11548">
        <v>0.19</v>
      </c>
      <c r="G11548" s="37" t="str">
        <f t="shared" si="901"/>
        <v>Normal Discount</v>
      </c>
      <c r="H11548" s="37" t="str">
        <f t="shared" si="902"/>
        <v>Low</v>
      </c>
      <c r="I11548">
        <v>8</v>
      </c>
      <c r="J11548" t="str" cm="1">
        <f t="array" ref="J11548">_xlfn.IFS(I11548&lt;=3,"small",I11548&lt;=6,"Medium",I11548&lt;=9,"Large")</f>
        <v>Large</v>
      </c>
      <c r="K11548" s="36">
        <v>45496</v>
      </c>
      <c r="L11548" s="36">
        <v>45498</v>
      </c>
      <c r="M11548" t="s">
        <v>598</v>
      </c>
      <c r="N11548" t="s">
        <v>599</v>
      </c>
      <c r="O11548" s="37" t="str">
        <f t="shared" si="903"/>
        <v>Digital Payment</v>
      </c>
      <c r="P11548">
        <v>322.27999999999997</v>
      </c>
      <c r="Q11548" s="37" t="str">
        <f>IF(P11548&gt;500,"High","low")</f>
        <v>low</v>
      </c>
      <c r="R11548" s="37" t="str">
        <f t="shared" si="904"/>
        <v>AVERAGE</v>
      </c>
      <c r="S11548" t="s">
        <v>628</v>
      </c>
    </row>
    <row r="11549" spans="1:19" x14ac:dyDescent="0.2">
      <c r="A11549" t="s">
        <v>12160</v>
      </c>
      <c r="B11549" t="s">
        <v>83</v>
      </c>
      <c r="C11549" t="s">
        <v>607</v>
      </c>
      <c r="D11549">
        <v>2830.71</v>
      </c>
      <c r="E11549" s="37" t="str">
        <f t="shared" si="900"/>
        <v xml:space="preserve"> </v>
      </c>
      <c r="F11549">
        <v>0.06</v>
      </c>
      <c r="G11549" s="37" t="str">
        <f t="shared" si="901"/>
        <v>Normal Discount</v>
      </c>
      <c r="H11549" s="37" t="str">
        <f t="shared" si="902"/>
        <v>Low</v>
      </c>
      <c r="I11549">
        <v>9</v>
      </c>
      <c r="J11549" t="str" cm="1">
        <f t="array" ref="J11549">_xlfn.IFS(I11549&lt;=3,"small",I11549&lt;=6,"Medium",I11549&lt;=9,"Large")</f>
        <v>Large</v>
      </c>
      <c r="K11549" s="36">
        <v>45535</v>
      </c>
      <c r="L11549" s="36">
        <v>45542</v>
      </c>
      <c r="M11549" t="s">
        <v>612</v>
      </c>
      <c r="N11549" t="s">
        <v>604</v>
      </c>
      <c r="O11549" s="37" t="str">
        <f t="shared" si="903"/>
        <v>Digital Payment</v>
      </c>
      <c r="P11549">
        <v>320.89</v>
      </c>
      <c r="Q11549" s="37" t="str">
        <f>IF(P11549&gt;500,"High","low")</f>
        <v>low</v>
      </c>
      <c r="R11549" s="37" t="str">
        <f t="shared" si="904"/>
        <v>AVERAGE</v>
      </c>
      <c r="S11549" t="s">
        <v>609</v>
      </c>
    </row>
    <row r="11550" spans="1:19" x14ac:dyDescent="0.2">
      <c r="A11550" t="s">
        <v>12161</v>
      </c>
      <c r="B11550" t="s">
        <v>75</v>
      </c>
      <c r="C11550" t="s">
        <v>602</v>
      </c>
      <c r="D11550">
        <v>4645.55</v>
      </c>
      <c r="E11550" s="37" t="str">
        <f t="shared" si="900"/>
        <v>Excellent Order</v>
      </c>
      <c r="F11550">
        <v>0.19</v>
      </c>
      <c r="G11550" s="37" t="str">
        <f t="shared" si="901"/>
        <v>Normal Discount</v>
      </c>
      <c r="H11550" s="37" t="str">
        <f t="shared" si="902"/>
        <v>Low</v>
      </c>
      <c r="I11550">
        <v>5</v>
      </c>
      <c r="J11550" t="str" cm="1">
        <f t="array" ref="J11550">_xlfn.IFS(I11550&lt;=3,"small",I11550&lt;=6,"Medium",I11550&lt;=9,"Large")</f>
        <v>Medium</v>
      </c>
      <c r="K11550" s="36">
        <v>45614</v>
      </c>
      <c r="L11550" s="36">
        <v>45621</v>
      </c>
      <c r="M11550" t="s">
        <v>598</v>
      </c>
      <c r="N11550" t="s">
        <v>608</v>
      </c>
      <c r="O11550" s="37" t="str">
        <f t="shared" si="903"/>
        <v>Cash Payment</v>
      </c>
      <c r="P11550">
        <v>1023.81</v>
      </c>
      <c r="Q11550" s="37" t="str">
        <f>IF(P11550&gt;500,"High","low")</f>
        <v>High</v>
      </c>
      <c r="R11550" s="37" t="str">
        <f t="shared" si="904"/>
        <v>Excellent</v>
      </c>
      <c r="S11550" t="s">
        <v>620</v>
      </c>
    </row>
    <row r="11551" spans="1:19" x14ac:dyDescent="0.2">
      <c r="A11551" t="s">
        <v>12162</v>
      </c>
      <c r="B11551" t="s">
        <v>90</v>
      </c>
      <c r="C11551" t="s">
        <v>597</v>
      </c>
      <c r="D11551">
        <v>1999.13</v>
      </c>
      <c r="E11551" s="37" t="str">
        <f t="shared" si="900"/>
        <v xml:space="preserve"> </v>
      </c>
      <c r="F11551">
        <v>0.05</v>
      </c>
      <c r="G11551" s="37" t="str">
        <f t="shared" si="901"/>
        <v>Normal Discount</v>
      </c>
      <c r="H11551" s="37" t="str">
        <f t="shared" si="902"/>
        <v>Low</v>
      </c>
      <c r="I11551">
        <v>3</v>
      </c>
      <c r="J11551" t="str" cm="1">
        <f t="array" ref="J11551">_xlfn.IFS(I11551&lt;=3,"small",I11551&lt;=6,"Medium",I11551&lt;=9,"Large")</f>
        <v>small</v>
      </c>
      <c r="K11551" s="36">
        <v>44998</v>
      </c>
      <c r="L11551" s="36">
        <v>45002</v>
      </c>
      <c r="M11551" t="s">
        <v>598</v>
      </c>
      <c r="N11551" t="s">
        <v>608</v>
      </c>
      <c r="O11551" s="37" t="str">
        <f t="shared" si="903"/>
        <v>Cash Payment</v>
      </c>
      <c r="P11551">
        <v>293.89999999999998</v>
      </c>
      <c r="Q11551" s="37" t="str">
        <f>IF(P11551&gt;500,"High","low")</f>
        <v>low</v>
      </c>
      <c r="R11551" s="37" t="str">
        <f t="shared" si="904"/>
        <v>AVERAGE</v>
      </c>
      <c r="S11551" t="s">
        <v>615</v>
      </c>
    </row>
    <row r="11552" spans="1:19" x14ac:dyDescent="0.2">
      <c r="A11552" t="s">
        <v>12163</v>
      </c>
      <c r="B11552" t="s">
        <v>75</v>
      </c>
      <c r="C11552" t="s">
        <v>602</v>
      </c>
      <c r="D11552">
        <v>1336.78</v>
      </c>
      <c r="E11552" s="37" t="str">
        <f t="shared" si="900"/>
        <v xml:space="preserve"> </v>
      </c>
      <c r="F11552">
        <v>0.24</v>
      </c>
      <c r="G11552" s="37" t="str">
        <f t="shared" si="901"/>
        <v>Normal Discount</v>
      </c>
      <c r="H11552" s="37" t="str">
        <f t="shared" si="902"/>
        <v>Medium</v>
      </c>
      <c r="I11552">
        <v>4</v>
      </c>
      <c r="J11552" t="str" cm="1">
        <f t="array" ref="J11552">_xlfn.IFS(I11552&lt;=3,"small",I11552&lt;=6,"Medium",I11552&lt;=9,"Large")</f>
        <v>Medium</v>
      </c>
      <c r="K11552" s="36">
        <v>45012</v>
      </c>
      <c r="L11552" s="36">
        <v>45013</v>
      </c>
      <c r="M11552" t="s">
        <v>603</v>
      </c>
      <c r="N11552" t="s">
        <v>599</v>
      </c>
      <c r="O11552" s="37" t="str">
        <f t="shared" si="903"/>
        <v>Digital Payment</v>
      </c>
      <c r="P11552">
        <v>220</v>
      </c>
      <c r="Q11552" s="37" t="str">
        <f>IF(P11552&gt;500,"High","low")</f>
        <v>low</v>
      </c>
      <c r="R11552" s="37" t="str">
        <f t="shared" si="904"/>
        <v>AVERAGE</v>
      </c>
      <c r="S11552" t="s">
        <v>620</v>
      </c>
    </row>
    <row r="11553" spans="1:19" x14ac:dyDescent="0.2">
      <c r="A11553" t="s">
        <v>12164</v>
      </c>
      <c r="B11553" t="s">
        <v>67</v>
      </c>
      <c r="C11553" t="s">
        <v>614</v>
      </c>
      <c r="D11553">
        <v>2644.66</v>
      </c>
      <c r="E11553" s="37" t="str">
        <f t="shared" si="900"/>
        <v xml:space="preserve"> </v>
      </c>
      <c r="F11553">
        <v>0.09</v>
      </c>
      <c r="G11553" s="37" t="str">
        <f t="shared" si="901"/>
        <v>Normal Discount</v>
      </c>
      <c r="H11553" s="37" t="str">
        <f t="shared" si="902"/>
        <v>Low</v>
      </c>
      <c r="I11553">
        <v>4</v>
      </c>
      <c r="J11553" t="str" cm="1">
        <f t="array" ref="J11553">_xlfn.IFS(I11553&lt;=3,"small",I11553&lt;=6,"Medium",I11553&lt;=9,"Large")</f>
        <v>Medium</v>
      </c>
      <c r="K11553" s="36">
        <v>45099</v>
      </c>
      <c r="L11553" s="36">
        <v>45104</v>
      </c>
      <c r="M11553" t="s">
        <v>598</v>
      </c>
      <c r="N11553" t="s">
        <v>608</v>
      </c>
      <c r="O11553" s="37" t="str">
        <f t="shared" si="903"/>
        <v>Cash Payment</v>
      </c>
      <c r="P11553">
        <v>479.43</v>
      </c>
      <c r="Q11553" s="37" t="str">
        <f>IF(P11553&gt;500,"High","low")</f>
        <v>low</v>
      </c>
      <c r="R11553" s="37" t="str">
        <f t="shared" si="904"/>
        <v>AVERAGE</v>
      </c>
      <c r="S11553" t="s">
        <v>615</v>
      </c>
    </row>
    <row r="11554" spans="1:19" x14ac:dyDescent="0.2">
      <c r="A11554" t="s">
        <v>12165</v>
      </c>
      <c r="B11554" t="s">
        <v>83</v>
      </c>
      <c r="C11554" t="s">
        <v>607</v>
      </c>
      <c r="D11554">
        <v>1556.94</v>
      </c>
      <c r="E11554" s="37" t="str">
        <f t="shared" si="900"/>
        <v xml:space="preserve"> </v>
      </c>
      <c r="F11554">
        <v>0.06</v>
      </c>
      <c r="G11554" s="37" t="str">
        <f t="shared" si="901"/>
        <v>Normal Discount</v>
      </c>
      <c r="H11554" s="37" t="str">
        <f t="shared" si="902"/>
        <v>Low</v>
      </c>
      <c r="I11554">
        <v>9</v>
      </c>
      <c r="J11554" t="str" cm="1">
        <f t="array" ref="J11554">_xlfn.IFS(I11554&lt;=3,"small",I11554&lt;=6,"Medium",I11554&lt;=9,"Large")</f>
        <v>Large</v>
      </c>
      <c r="K11554" s="36">
        <v>44952</v>
      </c>
      <c r="L11554" s="36">
        <v>44954</v>
      </c>
      <c r="M11554" t="s">
        <v>598</v>
      </c>
      <c r="N11554" t="s">
        <v>608</v>
      </c>
      <c r="O11554" s="37" t="str">
        <f t="shared" si="903"/>
        <v>Cash Payment</v>
      </c>
      <c r="P11554">
        <v>259.97000000000003</v>
      </c>
      <c r="Q11554" s="37" t="str">
        <f>IF(P11554&gt;500,"High","low")</f>
        <v>low</v>
      </c>
      <c r="R11554" s="37" t="str">
        <f t="shared" si="904"/>
        <v>AVERAGE</v>
      </c>
      <c r="S11554" t="s">
        <v>609</v>
      </c>
    </row>
    <row r="11555" spans="1:19" x14ac:dyDescent="0.2">
      <c r="A11555" t="s">
        <v>12166</v>
      </c>
      <c r="B11555" t="s">
        <v>83</v>
      </c>
      <c r="C11555" t="s">
        <v>607</v>
      </c>
      <c r="D11555">
        <v>1382.9</v>
      </c>
      <c r="E11555" s="37" t="str">
        <f t="shared" si="900"/>
        <v xml:space="preserve"> </v>
      </c>
      <c r="F11555">
        <v>0.28999999999999998</v>
      </c>
      <c r="G11555" s="37" t="str">
        <f t="shared" si="901"/>
        <v>Normal Discount</v>
      </c>
      <c r="H11555" s="37" t="str">
        <f t="shared" si="902"/>
        <v>Medium</v>
      </c>
      <c r="I11555">
        <v>9</v>
      </c>
      <c r="J11555" t="str" cm="1">
        <f t="array" ref="J11555">_xlfn.IFS(I11555&lt;=3,"small",I11555&lt;=6,"Medium",I11555&lt;=9,"Large")</f>
        <v>Large</v>
      </c>
      <c r="K11555" s="36">
        <v>45519</v>
      </c>
      <c r="L11555" s="36">
        <v>45521</v>
      </c>
      <c r="M11555" t="s">
        <v>603</v>
      </c>
      <c r="N11555" t="s">
        <v>599</v>
      </c>
      <c r="O11555" s="37" t="str">
        <f t="shared" si="903"/>
        <v>Digital Payment</v>
      </c>
      <c r="P11555">
        <v>297.95999999999998</v>
      </c>
      <c r="Q11555" s="37" t="str">
        <f>IF(P11555&gt;500,"High","low")</f>
        <v>low</v>
      </c>
      <c r="R11555" s="37" t="str">
        <f t="shared" si="904"/>
        <v>AVERAGE</v>
      </c>
      <c r="S11555" t="s">
        <v>628</v>
      </c>
    </row>
    <row r="11556" spans="1:19" x14ac:dyDescent="0.2">
      <c r="A11556" t="s">
        <v>12167</v>
      </c>
      <c r="B11556" t="s">
        <v>75</v>
      </c>
      <c r="C11556" t="s">
        <v>607</v>
      </c>
      <c r="D11556">
        <v>3916.14</v>
      </c>
      <c r="E11556" s="37" t="str">
        <f t="shared" si="900"/>
        <v xml:space="preserve"> </v>
      </c>
      <c r="F11556">
        <v>0.31</v>
      </c>
      <c r="G11556" s="37" t="str">
        <f t="shared" si="901"/>
        <v>Heavy Discount</v>
      </c>
      <c r="H11556" s="37" t="str">
        <f t="shared" si="902"/>
        <v>Medium</v>
      </c>
      <c r="I11556">
        <v>1</v>
      </c>
      <c r="J11556" t="str" cm="1">
        <f t="array" ref="J11556">_xlfn.IFS(I11556&lt;=3,"small",I11556&lt;=6,"Medium",I11556&lt;=9,"Large")</f>
        <v>small</v>
      </c>
      <c r="K11556" s="36">
        <v>45341</v>
      </c>
      <c r="L11556" s="36">
        <v>45346</v>
      </c>
      <c r="M11556" t="s">
        <v>612</v>
      </c>
      <c r="N11556" t="s">
        <v>599</v>
      </c>
      <c r="O11556" s="37" t="str">
        <f t="shared" si="903"/>
        <v>Digital Payment</v>
      </c>
      <c r="P11556">
        <v>699.28</v>
      </c>
      <c r="Q11556" s="37" t="str">
        <f>IF(P11556&gt;500,"High","low")</f>
        <v>High</v>
      </c>
      <c r="R11556" s="37" t="str">
        <f t="shared" si="904"/>
        <v>Good</v>
      </c>
      <c r="S11556" t="s">
        <v>628</v>
      </c>
    </row>
    <row r="11557" spans="1:19" x14ac:dyDescent="0.2">
      <c r="A11557" t="s">
        <v>12168</v>
      </c>
      <c r="B11557" t="s">
        <v>75</v>
      </c>
      <c r="C11557" t="s">
        <v>602</v>
      </c>
      <c r="D11557">
        <v>4465.1000000000004</v>
      </c>
      <c r="E11557" s="37" t="str">
        <f t="shared" si="900"/>
        <v xml:space="preserve"> </v>
      </c>
      <c r="F11557">
        <v>0</v>
      </c>
      <c r="G11557" s="37" t="str">
        <f t="shared" si="901"/>
        <v>Normal Discount</v>
      </c>
      <c r="H11557" s="37" t="str">
        <f t="shared" si="902"/>
        <v>Low</v>
      </c>
      <c r="I11557">
        <v>5</v>
      </c>
      <c r="J11557" t="str" cm="1">
        <f t="array" ref="J11557">_xlfn.IFS(I11557&lt;=3,"small",I11557&lt;=6,"Medium",I11557&lt;=9,"Large")</f>
        <v>Medium</v>
      </c>
      <c r="K11557" s="36">
        <v>45008</v>
      </c>
      <c r="L11557" s="36">
        <v>45011</v>
      </c>
      <c r="M11557" t="s">
        <v>603</v>
      </c>
      <c r="N11557" t="s">
        <v>604</v>
      </c>
      <c r="O11557" s="37" t="str">
        <f t="shared" si="903"/>
        <v>Digital Payment</v>
      </c>
      <c r="P11557">
        <v>556.87</v>
      </c>
      <c r="Q11557" s="37" t="str">
        <f>IF(P11557&gt;500,"High","low")</f>
        <v>High</v>
      </c>
      <c r="R11557" s="37" t="str">
        <f t="shared" si="904"/>
        <v>Good</v>
      </c>
      <c r="S11557" t="s">
        <v>615</v>
      </c>
    </row>
    <row r="11558" spans="1:19" x14ac:dyDescent="0.2">
      <c r="A11558" t="s">
        <v>12169</v>
      </c>
      <c r="B11558" t="s">
        <v>67</v>
      </c>
      <c r="C11558" t="s">
        <v>617</v>
      </c>
      <c r="D11558">
        <v>2561.35</v>
      </c>
      <c r="E11558" s="37" t="str">
        <f t="shared" si="900"/>
        <v xml:space="preserve"> </v>
      </c>
      <c r="F11558">
        <v>0.19</v>
      </c>
      <c r="G11558" s="37" t="str">
        <f t="shared" si="901"/>
        <v>Normal Discount</v>
      </c>
      <c r="H11558" s="37" t="str">
        <f t="shared" si="902"/>
        <v>Low</v>
      </c>
      <c r="I11558">
        <v>2</v>
      </c>
      <c r="J11558" t="str" cm="1">
        <f t="array" ref="J11558">_xlfn.IFS(I11558&lt;=3,"small",I11558&lt;=6,"Medium",I11558&lt;=9,"Large")</f>
        <v>small</v>
      </c>
      <c r="K11558" s="36">
        <v>45497</v>
      </c>
      <c r="L11558" s="36">
        <v>45502</v>
      </c>
      <c r="M11558" t="s">
        <v>612</v>
      </c>
      <c r="N11558" t="s">
        <v>608</v>
      </c>
      <c r="O11558" s="37" t="str">
        <f t="shared" si="903"/>
        <v>Cash Payment</v>
      </c>
      <c r="P11558">
        <v>741.25</v>
      </c>
      <c r="Q11558" s="37" t="str">
        <f>IF(P11558&gt;500,"High","low")</f>
        <v>High</v>
      </c>
      <c r="R11558" s="37" t="str">
        <f t="shared" si="904"/>
        <v>Good</v>
      </c>
      <c r="S11558" t="s">
        <v>628</v>
      </c>
    </row>
    <row r="11559" spans="1:19" x14ac:dyDescent="0.2">
      <c r="A11559" t="s">
        <v>12170</v>
      </c>
      <c r="B11559" t="s">
        <v>90</v>
      </c>
      <c r="C11559" t="s">
        <v>602</v>
      </c>
      <c r="D11559">
        <v>3920.94</v>
      </c>
      <c r="E11559" s="37" t="str">
        <f t="shared" si="900"/>
        <v xml:space="preserve"> </v>
      </c>
      <c r="F11559">
        <v>0.04</v>
      </c>
      <c r="G11559" s="37" t="str">
        <f t="shared" si="901"/>
        <v>Normal Discount</v>
      </c>
      <c r="H11559" s="37" t="str">
        <f t="shared" si="902"/>
        <v>Low</v>
      </c>
      <c r="I11559">
        <v>5</v>
      </c>
      <c r="J11559" t="str" cm="1">
        <f t="array" ref="J11559">_xlfn.IFS(I11559&lt;=3,"small",I11559&lt;=6,"Medium",I11559&lt;=9,"Large")</f>
        <v>Medium</v>
      </c>
      <c r="K11559" s="36">
        <v>45569</v>
      </c>
      <c r="L11559" s="36">
        <v>45571</v>
      </c>
      <c r="M11559" t="s">
        <v>603</v>
      </c>
      <c r="N11559" t="s">
        <v>608</v>
      </c>
      <c r="O11559" s="37" t="str">
        <f t="shared" si="903"/>
        <v>Cash Payment</v>
      </c>
      <c r="P11559">
        <v>1163.26</v>
      </c>
      <c r="Q11559" s="37" t="str">
        <f>IF(P11559&gt;500,"High","low")</f>
        <v>High</v>
      </c>
      <c r="R11559" s="37" t="str">
        <f t="shared" si="904"/>
        <v>Excellent</v>
      </c>
      <c r="S11559" t="s">
        <v>609</v>
      </c>
    </row>
    <row r="11560" spans="1:19" x14ac:dyDescent="0.2">
      <c r="A11560" t="s">
        <v>12171</v>
      </c>
      <c r="B11560" t="s">
        <v>67</v>
      </c>
      <c r="C11560" t="s">
        <v>614</v>
      </c>
      <c r="D11560">
        <v>1016.74</v>
      </c>
      <c r="E11560" s="37" t="str">
        <f t="shared" si="900"/>
        <v xml:space="preserve"> </v>
      </c>
      <c r="F11560">
        <v>0.37</v>
      </c>
      <c r="G11560" s="37" t="str">
        <f t="shared" si="901"/>
        <v>Heavy Discount</v>
      </c>
      <c r="H11560" s="37" t="str">
        <f t="shared" si="902"/>
        <v>Medium</v>
      </c>
      <c r="I11560">
        <v>5</v>
      </c>
      <c r="J11560" t="str" cm="1">
        <f t="array" ref="J11560">_xlfn.IFS(I11560&lt;=3,"small",I11560&lt;=6,"Medium",I11560&lt;=9,"Large")</f>
        <v>Medium</v>
      </c>
      <c r="K11560" s="36">
        <v>45298</v>
      </c>
      <c r="L11560" s="36">
        <v>45303</v>
      </c>
      <c r="M11560" t="s">
        <v>612</v>
      </c>
      <c r="N11560" t="s">
        <v>599</v>
      </c>
      <c r="O11560" s="37" t="str">
        <f t="shared" si="903"/>
        <v>Digital Payment</v>
      </c>
      <c r="P11560">
        <v>69.349999999999994</v>
      </c>
      <c r="Q11560" s="37" t="str">
        <f>IF(P11560&gt;500,"High","low")</f>
        <v>low</v>
      </c>
      <c r="R11560" s="37" t="str">
        <f t="shared" si="904"/>
        <v>AVERAGE</v>
      </c>
      <c r="S11560" t="s">
        <v>628</v>
      </c>
    </row>
    <row r="11561" spans="1:19" x14ac:dyDescent="0.2">
      <c r="A11561" t="s">
        <v>12172</v>
      </c>
      <c r="B11561" t="s">
        <v>90</v>
      </c>
      <c r="C11561" t="s">
        <v>602</v>
      </c>
      <c r="D11561">
        <v>2783.45</v>
      </c>
      <c r="E11561" s="37" t="str">
        <f t="shared" si="900"/>
        <v xml:space="preserve"> </v>
      </c>
      <c r="F11561">
        <v>0.34</v>
      </c>
      <c r="G11561" s="37" t="str">
        <f t="shared" si="901"/>
        <v>Heavy Discount</v>
      </c>
      <c r="H11561" s="37" t="str">
        <f t="shared" si="902"/>
        <v>Medium</v>
      </c>
      <c r="I11561">
        <v>3</v>
      </c>
      <c r="J11561" t="str" cm="1">
        <f t="array" ref="J11561">_xlfn.IFS(I11561&lt;=3,"small",I11561&lt;=6,"Medium",I11561&lt;=9,"Large")</f>
        <v>small</v>
      </c>
      <c r="K11561" s="36">
        <v>45367</v>
      </c>
      <c r="L11561" s="36">
        <v>45373</v>
      </c>
      <c r="M11561" t="s">
        <v>612</v>
      </c>
      <c r="N11561" t="s">
        <v>608</v>
      </c>
      <c r="O11561" s="37" t="str">
        <f t="shared" si="903"/>
        <v>Cash Payment</v>
      </c>
      <c r="P11561">
        <v>608.77</v>
      </c>
      <c r="Q11561" s="37" t="str">
        <f>IF(P11561&gt;500,"High","low")</f>
        <v>High</v>
      </c>
      <c r="R11561" s="37" t="str">
        <f t="shared" si="904"/>
        <v>Good</v>
      </c>
      <c r="S11561" t="s">
        <v>600</v>
      </c>
    </row>
    <row r="11562" spans="1:19" x14ac:dyDescent="0.2">
      <c r="A11562" t="s">
        <v>12173</v>
      </c>
      <c r="B11562" t="s">
        <v>83</v>
      </c>
      <c r="C11562" t="s">
        <v>607</v>
      </c>
      <c r="D11562">
        <v>3217.38</v>
      </c>
      <c r="E11562" s="37" t="str">
        <f t="shared" si="900"/>
        <v xml:space="preserve"> </v>
      </c>
      <c r="F11562">
        <v>0.02</v>
      </c>
      <c r="G11562" s="37" t="str">
        <f t="shared" si="901"/>
        <v>Normal Discount</v>
      </c>
      <c r="H11562" s="37" t="str">
        <f t="shared" si="902"/>
        <v>Low</v>
      </c>
      <c r="I11562">
        <v>4</v>
      </c>
      <c r="J11562" t="str" cm="1">
        <f t="array" ref="J11562">_xlfn.IFS(I11562&lt;=3,"small",I11562&lt;=6,"Medium",I11562&lt;=9,"Large")</f>
        <v>Medium</v>
      </c>
      <c r="K11562" s="36">
        <v>45409</v>
      </c>
      <c r="L11562" s="36">
        <v>45411</v>
      </c>
      <c r="M11562" t="s">
        <v>612</v>
      </c>
      <c r="N11562" t="s">
        <v>608</v>
      </c>
      <c r="O11562" s="37" t="str">
        <f t="shared" si="903"/>
        <v>Cash Payment</v>
      </c>
      <c r="P11562">
        <v>874.09</v>
      </c>
      <c r="Q11562" s="37" t="str">
        <f>IF(P11562&gt;500,"High","low")</f>
        <v>High</v>
      </c>
      <c r="R11562" s="37" t="str">
        <f t="shared" si="904"/>
        <v>Good</v>
      </c>
      <c r="S11562" t="s">
        <v>628</v>
      </c>
    </row>
    <row r="11563" spans="1:19" x14ac:dyDescent="0.2">
      <c r="A11563" t="s">
        <v>12174</v>
      </c>
      <c r="B11563" t="s">
        <v>90</v>
      </c>
      <c r="C11563" t="s">
        <v>597</v>
      </c>
      <c r="D11563">
        <v>2504.25</v>
      </c>
      <c r="E11563" s="37" t="str">
        <f t="shared" si="900"/>
        <v xml:space="preserve"> </v>
      </c>
      <c r="F11563">
        <v>0.47</v>
      </c>
      <c r="G11563" s="37" t="str">
        <f t="shared" si="901"/>
        <v>Heavy Discount</v>
      </c>
      <c r="H11563" s="37" t="str">
        <f t="shared" si="902"/>
        <v>High</v>
      </c>
      <c r="I11563">
        <v>7</v>
      </c>
      <c r="J11563" t="str" cm="1">
        <f t="array" ref="J11563">_xlfn.IFS(I11563&lt;=3,"small",I11563&lt;=6,"Medium",I11563&lt;=9,"Large")</f>
        <v>Large</v>
      </c>
      <c r="K11563" s="36">
        <v>45172</v>
      </c>
      <c r="L11563" s="36">
        <v>45178</v>
      </c>
      <c r="M11563" t="s">
        <v>603</v>
      </c>
      <c r="N11563" t="s">
        <v>608</v>
      </c>
      <c r="O11563" s="37" t="str">
        <f t="shared" si="903"/>
        <v>Cash Payment</v>
      </c>
      <c r="P11563">
        <v>720.81</v>
      </c>
      <c r="Q11563" s="37" t="str">
        <f>IF(P11563&gt;500,"High","low")</f>
        <v>High</v>
      </c>
      <c r="R11563" s="37" t="str">
        <f t="shared" si="904"/>
        <v>Good</v>
      </c>
      <c r="S11563" t="s">
        <v>615</v>
      </c>
    </row>
    <row r="11564" spans="1:19" x14ac:dyDescent="0.2">
      <c r="A11564" t="s">
        <v>12175</v>
      </c>
      <c r="B11564" t="s">
        <v>90</v>
      </c>
      <c r="C11564" t="s">
        <v>614</v>
      </c>
      <c r="D11564">
        <v>672.71</v>
      </c>
      <c r="E11564" s="37" t="str">
        <f t="shared" si="900"/>
        <v xml:space="preserve"> </v>
      </c>
      <c r="F11564">
        <v>0.48</v>
      </c>
      <c r="G11564" s="37" t="str">
        <f t="shared" si="901"/>
        <v>Heavy Discount</v>
      </c>
      <c r="H11564" s="37" t="str">
        <f t="shared" si="902"/>
        <v>High</v>
      </c>
      <c r="I11564">
        <v>4</v>
      </c>
      <c r="J11564" t="str" cm="1">
        <f t="array" ref="J11564">_xlfn.IFS(I11564&lt;=3,"small",I11564&lt;=6,"Medium",I11564&lt;=9,"Large")</f>
        <v>Medium</v>
      </c>
      <c r="K11564" s="36">
        <v>45480</v>
      </c>
      <c r="L11564" s="36">
        <v>45484</v>
      </c>
      <c r="M11564" t="s">
        <v>612</v>
      </c>
      <c r="N11564" t="s">
        <v>608</v>
      </c>
      <c r="O11564" s="37" t="str">
        <f t="shared" si="903"/>
        <v>Cash Payment</v>
      </c>
      <c r="P11564">
        <v>170.26</v>
      </c>
      <c r="Q11564" s="37" t="str">
        <f>IF(P11564&gt;500,"High","low")</f>
        <v>low</v>
      </c>
      <c r="R11564" s="37" t="str">
        <f t="shared" si="904"/>
        <v>AVERAGE</v>
      </c>
      <c r="S11564" t="s">
        <v>615</v>
      </c>
    </row>
    <row r="11565" spans="1:19" x14ac:dyDescent="0.2">
      <c r="A11565" t="s">
        <v>12176</v>
      </c>
      <c r="B11565" t="s">
        <v>83</v>
      </c>
      <c r="C11565" t="s">
        <v>597</v>
      </c>
      <c r="D11565">
        <v>3697.09</v>
      </c>
      <c r="E11565" s="37" t="str">
        <f t="shared" si="900"/>
        <v xml:space="preserve"> </v>
      </c>
      <c r="F11565">
        <v>0.17</v>
      </c>
      <c r="G11565" s="37" t="str">
        <f t="shared" si="901"/>
        <v>Normal Discount</v>
      </c>
      <c r="H11565" s="37" t="str">
        <f t="shared" si="902"/>
        <v>Low</v>
      </c>
      <c r="I11565">
        <v>3</v>
      </c>
      <c r="J11565" t="str" cm="1">
        <f t="array" ref="J11565">_xlfn.IFS(I11565&lt;=3,"small",I11565&lt;=6,"Medium",I11565&lt;=9,"Large")</f>
        <v>small</v>
      </c>
      <c r="K11565" s="36">
        <v>45244</v>
      </c>
      <c r="L11565" s="36">
        <v>45251</v>
      </c>
      <c r="M11565" t="s">
        <v>603</v>
      </c>
      <c r="N11565" t="s">
        <v>604</v>
      </c>
      <c r="O11565" s="37" t="str">
        <f t="shared" si="903"/>
        <v>Digital Payment</v>
      </c>
      <c r="P11565">
        <v>1009.75</v>
      </c>
      <c r="Q11565" s="37" t="str">
        <f>IF(P11565&gt;500,"High","low")</f>
        <v>High</v>
      </c>
      <c r="R11565" s="37" t="str">
        <f t="shared" si="904"/>
        <v>Excellent</v>
      </c>
      <c r="S11565" t="s">
        <v>628</v>
      </c>
    </row>
    <row r="11566" spans="1:19" x14ac:dyDescent="0.2">
      <c r="A11566" t="s">
        <v>12177</v>
      </c>
      <c r="B11566" t="s">
        <v>83</v>
      </c>
      <c r="C11566" t="s">
        <v>614</v>
      </c>
      <c r="D11566">
        <v>4211.4799999999996</v>
      </c>
      <c r="E11566" s="37" t="str">
        <f t="shared" si="900"/>
        <v xml:space="preserve"> </v>
      </c>
      <c r="F11566">
        <v>7.0000000000000007E-2</v>
      </c>
      <c r="G11566" s="37" t="str">
        <f t="shared" si="901"/>
        <v>Normal Discount</v>
      </c>
      <c r="H11566" s="37" t="str">
        <f t="shared" si="902"/>
        <v>Low</v>
      </c>
      <c r="I11566">
        <v>4</v>
      </c>
      <c r="J11566" t="str" cm="1">
        <f t="array" ref="J11566">_xlfn.IFS(I11566&lt;=3,"small",I11566&lt;=6,"Medium",I11566&lt;=9,"Large")</f>
        <v>Medium</v>
      </c>
      <c r="K11566" s="36">
        <v>44956</v>
      </c>
      <c r="L11566" s="36">
        <v>44962</v>
      </c>
      <c r="M11566" t="s">
        <v>612</v>
      </c>
      <c r="N11566" t="s">
        <v>599</v>
      </c>
      <c r="O11566" s="37" t="str">
        <f t="shared" si="903"/>
        <v>Digital Payment</v>
      </c>
      <c r="P11566">
        <v>585.84</v>
      </c>
      <c r="Q11566" s="37" t="str">
        <f>IF(P11566&gt;500,"High","low")</f>
        <v>High</v>
      </c>
      <c r="R11566" s="37" t="str">
        <f t="shared" si="904"/>
        <v>Good</v>
      </c>
      <c r="S11566" t="s">
        <v>628</v>
      </c>
    </row>
    <row r="11567" spans="1:19" x14ac:dyDescent="0.2">
      <c r="A11567" t="s">
        <v>12178</v>
      </c>
      <c r="B11567" t="s">
        <v>83</v>
      </c>
      <c r="C11567" t="s">
        <v>614</v>
      </c>
      <c r="D11567">
        <v>3212.61</v>
      </c>
      <c r="E11567" s="37" t="str">
        <f t="shared" si="900"/>
        <v xml:space="preserve"> </v>
      </c>
      <c r="F11567">
        <v>0.06</v>
      </c>
      <c r="G11567" s="37" t="str">
        <f t="shared" si="901"/>
        <v>Normal Discount</v>
      </c>
      <c r="H11567" s="37" t="str">
        <f t="shared" si="902"/>
        <v>Low</v>
      </c>
      <c r="I11567">
        <v>2</v>
      </c>
      <c r="J11567" t="str" cm="1">
        <f t="array" ref="J11567">_xlfn.IFS(I11567&lt;=3,"small",I11567&lt;=6,"Medium",I11567&lt;=9,"Large")</f>
        <v>small</v>
      </c>
      <c r="K11567" s="36">
        <v>44987</v>
      </c>
      <c r="L11567" s="36">
        <v>44994</v>
      </c>
      <c r="M11567" t="s">
        <v>598</v>
      </c>
      <c r="N11567" t="s">
        <v>608</v>
      </c>
      <c r="O11567" s="37" t="str">
        <f t="shared" si="903"/>
        <v>Cash Payment</v>
      </c>
      <c r="P11567">
        <v>827.99</v>
      </c>
      <c r="Q11567" s="37" t="str">
        <f>IF(P11567&gt;500,"High","low")</f>
        <v>High</v>
      </c>
      <c r="R11567" s="37" t="str">
        <f t="shared" si="904"/>
        <v>Good</v>
      </c>
      <c r="S11567" t="s">
        <v>609</v>
      </c>
    </row>
    <row r="11568" spans="1:19" x14ac:dyDescent="0.2">
      <c r="A11568" t="s">
        <v>12179</v>
      </c>
      <c r="B11568" t="s">
        <v>67</v>
      </c>
      <c r="C11568" t="s">
        <v>607</v>
      </c>
      <c r="D11568">
        <v>928.89</v>
      </c>
      <c r="E11568" s="37" t="str">
        <f t="shared" si="900"/>
        <v xml:space="preserve"> </v>
      </c>
      <c r="F11568">
        <v>0.42</v>
      </c>
      <c r="G11568" s="37" t="str">
        <f t="shared" si="901"/>
        <v>Heavy Discount</v>
      </c>
      <c r="H11568" s="37" t="str">
        <f t="shared" si="902"/>
        <v>High</v>
      </c>
      <c r="I11568">
        <v>1</v>
      </c>
      <c r="J11568" t="str" cm="1">
        <f t="array" ref="J11568">_xlfn.IFS(I11568&lt;=3,"small",I11568&lt;=6,"Medium",I11568&lt;=9,"Large")</f>
        <v>small</v>
      </c>
      <c r="K11568" s="36">
        <v>45493</v>
      </c>
      <c r="L11568" s="36">
        <v>45496</v>
      </c>
      <c r="M11568" t="s">
        <v>612</v>
      </c>
      <c r="N11568" t="s">
        <v>608</v>
      </c>
      <c r="O11568" s="37" t="str">
        <f t="shared" si="903"/>
        <v>Cash Payment</v>
      </c>
      <c r="P11568">
        <v>188.38</v>
      </c>
      <c r="Q11568" s="37" t="str">
        <f>IF(P11568&gt;500,"High","low")</f>
        <v>low</v>
      </c>
      <c r="R11568" s="37" t="str">
        <f t="shared" si="904"/>
        <v>AVERAGE</v>
      </c>
      <c r="S11568" t="s">
        <v>600</v>
      </c>
    </row>
    <row r="11569" spans="1:19" x14ac:dyDescent="0.2">
      <c r="A11569" t="s">
        <v>12180</v>
      </c>
      <c r="B11569" t="s">
        <v>83</v>
      </c>
      <c r="C11569" t="s">
        <v>602</v>
      </c>
      <c r="D11569">
        <v>465.31</v>
      </c>
      <c r="E11569" s="37" t="str">
        <f t="shared" si="900"/>
        <v xml:space="preserve"> </v>
      </c>
      <c r="F11569">
        <v>0.23</v>
      </c>
      <c r="G11569" s="37" t="str">
        <f t="shared" si="901"/>
        <v>Normal Discount</v>
      </c>
      <c r="H11569" s="37" t="str">
        <f t="shared" si="902"/>
        <v>Medium</v>
      </c>
      <c r="I11569">
        <v>5</v>
      </c>
      <c r="J11569" t="str" cm="1">
        <f t="array" ref="J11569">_xlfn.IFS(I11569&lt;=3,"small",I11569&lt;=6,"Medium",I11569&lt;=9,"Large")</f>
        <v>Medium</v>
      </c>
      <c r="K11569" s="36">
        <v>45186</v>
      </c>
      <c r="L11569" s="36">
        <v>45191</v>
      </c>
      <c r="M11569" t="s">
        <v>612</v>
      </c>
      <c r="N11569" t="s">
        <v>608</v>
      </c>
      <c r="O11569" s="37" t="str">
        <f t="shared" si="903"/>
        <v>Cash Payment</v>
      </c>
      <c r="P11569">
        <v>72.78</v>
      </c>
      <c r="Q11569" s="37" t="str">
        <f>IF(P11569&gt;500,"High","low")</f>
        <v>low</v>
      </c>
      <c r="R11569" s="37" t="str">
        <f t="shared" si="904"/>
        <v>AVERAGE</v>
      </c>
      <c r="S11569" t="s">
        <v>605</v>
      </c>
    </row>
    <row r="11570" spans="1:19" x14ac:dyDescent="0.2">
      <c r="A11570" t="s">
        <v>12181</v>
      </c>
      <c r="B11570" t="s">
        <v>75</v>
      </c>
      <c r="C11570" t="s">
        <v>607</v>
      </c>
      <c r="D11570">
        <v>1577.86</v>
      </c>
      <c r="E11570" s="37" t="str">
        <f t="shared" si="900"/>
        <v xml:space="preserve"> </v>
      </c>
      <c r="F11570">
        <v>0</v>
      </c>
      <c r="G11570" s="37" t="str">
        <f t="shared" si="901"/>
        <v>Normal Discount</v>
      </c>
      <c r="H11570" s="37" t="str">
        <f t="shared" si="902"/>
        <v>Low</v>
      </c>
      <c r="I11570">
        <v>9</v>
      </c>
      <c r="J11570" t="str" cm="1">
        <f t="array" ref="J11570">_xlfn.IFS(I11570&lt;=3,"small",I11570&lt;=6,"Medium",I11570&lt;=9,"Large")</f>
        <v>Large</v>
      </c>
      <c r="K11570" s="36">
        <v>45550</v>
      </c>
      <c r="L11570" s="36">
        <v>45554</v>
      </c>
      <c r="M11570" t="s">
        <v>603</v>
      </c>
      <c r="N11570" t="s">
        <v>599</v>
      </c>
      <c r="O11570" s="37" t="str">
        <f t="shared" si="903"/>
        <v>Digital Payment</v>
      </c>
      <c r="P11570">
        <v>397.78</v>
      </c>
      <c r="Q11570" s="37" t="str">
        <f>IF(P11570&gt;500,"High","low")</f>
        <v>low</v>
      </c>
      <c r="R11570" s="37" t="str">
        <f t="shared" si="904"/>
        <v>AVERAGE</v>
      </c>
      <c r="S11570" t="s">
        <v>628</v>
      </c>
    </row>
    <row r="11571" spans="1:19" x14ac:dyDescent="0.2">
      <c r="A11571" t="s">
        <v>12182</v>
      </c>
      <c r="B11571" t="s">
        <v>83</v>
      </c>
      <c r="C11571" t="s">
        <v>607</v>
      </c>
      <c r="D11571">
        <v>281.25</v>
      </c>
      <c r="E11571" s="37" t="str">
        <f t="shared" si="900"/>
        <v xml:space="preserve"> </v>
      </c>
      <c r="F11571">
        <v>0.46</v>
      </c>
      <c r="G11571" s="37" t="str">
        <f t="shared" si="901"/>
        <v>Heavy Discount</v>
      </c>
      <c r="H11571" s="37" t="str">
        <f t="shared" si="902"/>
        <v>High</v>
      </c>
      <c r="I11571">
        <v>9</v>
      </c>
      <c r="J11571" t="str" cm="1">
        <f t="array" ref="J11571">_xlfn.IFS(I11571&lt;=3,"small",I11571&lt;=6,"Medium",I11571&lt;=9,"Large")</f>
        <v>Large</v>
      </c>
      <c r="K11571" s="36">
        <v>45125</v>
      </c>
      <c r="L11571" s="36">
        <v>45129</v>
      </c>
      <c r="M11571" t="s">
        <v>612</v>
      </c>
      <c r="N11571" t="s">
        <v>599</v>
      </c>
      <c r="O11571" s="37" t="str">
        <f t="shared" si="903"/>
        <v>Digital Payment</v>
      </c>
      <c r="P11571">
        <v>29.57</v>
      </c>
      <c r="Q11571" s="37" t="str">
        <f>IF(P11571&gt;500,"High","low")</f>
        <v>low</v>
      </c>
      <c r="R11571" s="37" t="str">
        <f t="shared" si="904"/>
        <v>AVERAGE</v>
      </c>
      <c r="S11571" t="s">
        <v>600</v>
      </c>
    </row>
    <row r="11572" spans="1:19" x14ac:dyDescent="0.2">
      <c r="A11572" t="s">
        <v>12183</v>
      </c>
      <c r="B11572" t="s">
        <v>83</v>
      </c>
      <c r="C11572" t="s">
        <v>607</v>
      </c>
      <c r="D11572">
        <v>4212.17</v>
      </c>
      <c r="E11572" s="37" t="str">
        <f t="shared" si="900"/>
        <v>Excellent Order</v>
      </c>
      <c r="F11572">
        <v>0.3</v>
      </c>
      <c r="G11572" s="37" t="str">
        <f t="shared" si="901"/>
        <v>Normal Discount</v>
      </c>
      <c r="H11572" s="37" t="str">
        <f t="shared" si="902"/>
        <v>Medium</v>
      </c>
      <c r="I11572">
        <v>1</v>
      </c>
      <c r="J11572" t="str" cm="1">
        <f t="array" ref="J11572">_xlfn.IFS(I11572&lt;=3,"small",I11572&lt;=6,"Medium",I11572&lt;=9,"Large")</f>
        <v>small</v>
      </c>
      <c r="K11572" s="36">
        <v>45022</v>
      </c>
      <c r="L11572" s="36">
        <v>45029</v>
      </c>
      <c r="M11572" t="s">
        <v>603</v>
      </c>
      <c r="N11572" t="s">
        <v>608</v>
      </c>
      <c r="O11572" s="37" t="str">
        <f t="shared" si="903"/>
        <v>Cash Payment</v>
      </c>
      <c r="P11572">
        <v>1208.68</v>
      </c>
      <c r="Q11572" s="37" t="str">
        <f>IF(P11572&gt;500,"High","low")</f>
        <v>High</v>
      </c>
      <c r="R11572" s="37" t="str">
        <f t="shared" si="904"/>
        <v>Excellent</v>
      </c>
      <c r="S11572" t="s">
        <v>615</v>
      </c>
    </row>
    <row r="11573" spans="1:19" x14ac:dyDescent="0.2">
      <c r="A11573" t="s">
        <v>12184</v>
      </c>
      <c r="B11573" t="s">
        <v>83</v>
      </c>
      <c r="C11573" t="s">
        <v>597</v>
      </c>
      <c r="D11573">
        <v>3545</v>
      </c>
      <c r="E11573" s="37" t="str">
        <f t="shared" si="900"/>
        <v xml:space="preserve"> </v>
      </c>
      <c r="F11573">
        <v>0.35</v>
      </c>
      <c r="G11573" s="37" t="str">
        <f t="shared" si="901"/>
        <v>Heavy Discount</v>
      </c>
      <c r="H11573" s="37" t="str">
        <f t="shared" si="902"/>
        <v>Medium</v>
      </c>
      <c r="I11573">
        <v>1</v>
      </c>
      <c r="J11573" t="str" cm="1">
        <f t="array" ref="J11573">_xlfn.IFS(I11573&lt;=3,"small",I11573&lt;=6,"Medium",I11573&lt;=9,"Large")</f>
        <v>small</v>
      </c>
      <c r="K11573" s="36">
        <v>45535</v>
      </c>
      <c r="L11573" s="36">
        <v>45538</v>
      </c>
      <c r="M11573" t="s">
        <v>612</v>
      </c>
      <c r="N11573" t="s">
        <v>604</v>
      </c>
      <c r="O11573" s="37" t="str">
        <f t="shared" si="903"/>
        <v>Digital Payment</v>
      </c>
      <c r="P11573">
        <v>586.79999999999995</v>
      </c>
      <c r="Q11573" s="37" t="str">
        <f>IF(P11573&gt;500,"High","low")</f>
        <v>High</v>
      </c>
      <c r="R11573" s="37" t="str">
        <f t="shared" si="904"/>
        <v>Good</v>
      </c>
      <c r="S11573" t="s">
        <v>609</v>
      </c>
    </row>
    <row r="11574" spans="1:19" x14ac:dyDescent="0.2">
      <c r="A11574" t="s">
        <v>12185</v>
      </c>
      <c r="B11574" t="s">
        <v>90</v>
      </c>
      <c r="C11574" t="s">
        <v>614</v>
      </c>
      <c r="D11574">
        <v>2862.07</v>
      </c>
      <c r="E11574" s="37" t="str">
        <f t="shared" si="900"/>
        <v xml:space="preserve"> </v>
      </c>
      <c r="F11574">
        <v>0.41</v>
      </c>
      <c r="G11574" s="37" t="str">
        <f t="shared" si="901"/>
        <v>Heavy Discount</v>
      </c>
      <c r="H11574" s="37" t="str">
        <f t="shared" si="902"/>
        <v>High</v>
      </c>
      <c r="I11574">
        <v>8</v>
      </c>
      <c r="J11574" t="str" cm="1">
        <f t="array" ref="J11574">_xlfn.IFS(I11574&lt;=3,"small",I11574&lt;=6,"Medium",I11574&lt;=9,"Large")</f>
        <v>Large</v>
      </c>
      <c r="K11574" s="36">
        <v>45245</v>
      </c>
      <c r="L11574" s="36">
        <v>45246</v>
      </c>
      <c r="M11574" t="s">
        <v>603</v>
      </c>
      <c r="N11574" t="s">
        <v>604</v>
      </c>
      <c r="O11574" s="37" t="str">
        <f t="shared" si="903"/>
        <v>Digital Payment</v>
      </c>
      <c r="P11574">
        <v>750.53</v>
      </c>
      <c r="Q11574" s="37" t="str">
        <f>IF(P11574&gt;500,"High","low")</f>
        <v>High</v>
      </c>
      <c r="R11574" s="37" t="str">
        <f t="shared" si="904"/>
        <v>Good</v>
      </c>
      <c r="S11574" t="s">
        <v>628</v>
      </c>
    </row>
    <row r="11575" spans="1:19" x14ac:dyDescent="0.2">
      <c r="A11575" t="s">
        <v>12186</v>
      </c>
      <c r="B11575" t="s">
        <v>67</v>
      </c>
      <c r="C11575" t="s">
        <v>617</v>
      </c>
      <c r="D11575">
        <v>4459.2</v>
      </c>
      <c r="E11575" s="37" t="str">
        <f t="shared" si="900"/>
        <v xml:space="preserve"> </v>
      </c>
      <c r="F11575">
        <v>0.41</v>
      </c>
      <c r="G11575" s="37" t="str">
        <f t="shared" si="901"/>
        <v>Heavy Discount</v>
      </c>
      <c r="H11575" s="37" t="str">
        <f t="shared" si="902"/>
        <v>High</v>
      </c>
      <c r="I11575">
        <v>7</v>
      </c>
      <c r="J11575" t="str" cm="1">
        <f t="array" ref="J11575">_xlfn.IFS(I11575&lt;=3,"small",I11575&lt;=6,"Medium",I11575&lt;=9,"Large")</f>
        <v>Large</v>
      </c>
      <c r="K11575" s="36">
        <v>45246</v>
      </c>
      <c r="L11575" s="36">
        <v>45251</v>
      </c>
      <c r="M11575" t="s">
        <v>598</v>
      </c>
      <c r="N11575" t="s">
        <v>604</v>
      </c>
      <c r="O11575" s="37" t="str">
        <f t="shared" si="903"/>
        <v>Digital Payment</v>
      </c>
      <c r="P11575">
        <v>496.75</v>
      </c>
      <c r="Q11575" s="37" t="str">
        <f>IF(P11575&gt;500,"High","low")</f>
        <v>low</v>
      </c>
      <c r="R11575" s="37" t="str">
        <f t="shared" si="904"/>
        <v>AVERAGE</v>
      </c>
      <c r="S11575" t="s">
        <v>620</v>
      </c>
    </row>
    <row r="11576" spans="1:19" x14ac:dyDescent="0.2">
      <c r="A11576" t="s">
        <v>12187</v>
      </c>
      <c r="B11576" t="s">
        <v>83</v>
      </c>
      <c r="C11576" t="s">
        <v>602</v>
      </c>
      <c r="D11576">
        <v>639.46</v>
      </c>
      <c r="E11576" s="37" t="str">
        <f t="shared" si="900"/>
        <v xml:space="preserve"> </v>
      </c>
      <c r="F11576">
        <v>0.04</v>
      </c>
      <c r="G11576" s="37" t="str">
        <f t="shared" si="901"/>
        <v>Normal Discount</v>
      </c>
      <c r="H11576" s="37" t="str">
        <f t="shared" si="902"/>
        <v>Low</v>
      </c>
      <c r="I11576">
        <v>7</v>
      </c>
      <c r="J11576" t="str" cm="1">
        <f t="array" ref="J11576">_xlfn.IFS(I11576&lt;=3,"small",I11576&lt;=6,"Medium",I11576&lt;=9,"Large")</f>
        <v>Large</v>
      </c>
      <c r="K11576" s="36">
        <v>45071</v>
      </c>
      <c r="L11576" s="36">
        <v>45077</v>
      </c>
      <c r="M11576" t="s">
        <v>603</v>
      </c>
      <c r="N11576" t="s">
        <v>604</v>
      </c>
      <c r="O11576" s="37" t="str">
        <f t="shared" si="903"/>
        <v>Digital Payment</v>
      </c>
      <c r="P11576">
        <v>174.83</v>
      </c>
      <c r="Q11576" s="37" t="str">
        <f>IF(P11576&gt;500,"High","low")</f>
        <v>low</v>
      </c>
      <c r="R11576" s="37" t="str">
        <f t="shared" si="904"/>
        <v>AVERAGE</v>
      </c>
      <c r="S11576" t="s">
        <v>620</v>
      </c>
    </row>
    <row r="11577" spans="1:19" x14ac:dyDescent="0.2">
      <c r="A11577" t="s">
        <v>12188</v>
      </c>
      <c r="B11577" t="s">
        <v>67</v>
      </c>
      <c r="C11577" t="s">
        <v>607</v>
      </c>
      <c r="D11577">
        <v>3600.85</v>
      </c>
      <c r="E11577" s="37" t="str">
        <f t="shared" si="900"/>
        <v xml:space="preserve"> </v>
      </c>
      <c r="F11577">
        <v>0.28999999999999998</v>
      </c>
      <c r="G11577" s="37" t="str">
        <f t="shared" si="901"/>
        <v>Normal Discount</v>
      </c>
      <c r="H11577" s="37" t="str">
        <f t="shared" si="902"/>
        <v>Medium</v>
      </c>
      <c r="I11577">
        <v>9</v>
      </c>
      <c r="J11577" t="str" cm="1">
        <f t="array" ref="J11577">_xlfn.IFS(I11577&lt;=3,"small",I11577&lt;=6,"Medium",I11577&lt;=9,"Large")</f>
        <v>Large</v>
      </c>
      <c r="K11577" s="36">
        <v>45430</v>
      </c>
      <c r="L11577" s="36">
        <v>45433</v>
      </c>
      <c r="M11577" t="s">
        <v>598</v>
      </c>
      <c r="N11577" t="s">
        <v>599</v>
      </c>
      <c r="O11577" s="37" t="str">
        <f t="shared" si="903"/>
        <v>Digital Payment</v>
      </c>
      <c r="P11577">
        <v>670.56</v>
      </c>
      <c r="Q11577" s="37" t="str">
        <f>IF(P11577&gt;500,"High","low")</f>
        <v>High</v>
      </c>
      <c r="R11577" s="37" t="str">
        <f t="shared" si="904"/>
        <v>Good</v>
      </c>
      <c r="S11577" t="s">
        <v>605</v>
      </c>
    </row>
    <row r="11578" spans="1:19" x14ac:dyDescent="0.2">
      <c r="A11578" t="s">
        <v>12189</v>
      </c>
      <c r="B11578" t="s">
        <v>75</v>
      </c>
      <c r="C11578" t="s">
        <v>614</v>
      </c>
      <c r="D11578">
        <v>818.5</v>
      </c>
      <c r="E11578" s="37" t="str">
        <f t="shared" si="900"/>
        <v xml:space="preserve"> </v>
      </c>
      <c r="F11578">
        <v>0.35</v>
      </c>
      <c r="G11578" s="37" t="str">
        <f t="shared" si="901"/>
        <v>Heavy Discount</v>
      </c>
      <c r="H11578" s="37" t="str">
        <f t="shared" si="902"/>
        <v>Medium</v>
      </c>
      <c r="I11578">
        <v>5</v>
      </c>
      <c r="J11578" t="str" cm="1">
        <f t="array" ref="J11578">_xlfn.IFS(I11578&lt;=3,"small",I11578&lt;=6,"Medium",I11578&lt;=9,"Large")</f>
        <v>Medium</v>
      </c>
      <c r="K11578" s="36">
        <v>45094</v>
      </c>
      <c r="L11578" s="36">
        <v>45100</v>
      </c>
      <c r="M11578" t="s">
        <v>598</v>
      </c>
      <c r="N11578" t="s">
        <v>599</v>
      </c>
      <c r="O11578" s="37" t="str">
        <f t="shared" si="903"/>
        <v>Digital Payment</v>
      </c>
      <c r="P11578">
        <v>96.76</v>
      </c>
      <c r="Q11578" s="37" t="str">
        <f>IF(P11578&gt;500,"High","low")</f>
        <v>low</v>
      </c>
      <c r="R11578" s="37" t="str">
        <f t="shared" si="904"/>
        <v>AVERAGE</v>
      </c>
      <c r="S11578" t="s">
        <v>615</v>
      </c>
    </row>
    <row r="11579" spans="1:19" x14ac:dyDescent="0.2">
      <c r="A11579" t="s">
        <v>12190</v>
      </c>
      <c r="B11579" t="s">
        <v>75</v>
      </c>
      <c r="C11579" t="s">
        <v>602</v>
      </c>
      <c r="D11579">
        <v>398.53</v>
      </c>
      <c r="E11579" s="37" t="str">
        <f t="shared" si="900"/>
        <v xml:space="preserve"> </v>
      </c>
      <c r="F11579">
        <v>0.04</v>
      </c>
      <c r="G11579" s="37" t="str">
        <f t="shared" si="901"/>
        <v>Normal Discount</v>
      </c>
      <c r="H11579" s="37" t="str">
        <f t="shared" si="902"/>
        <v>Low</v>
      </c>
      <c r="I11579">
        <v>8</v>
      </c>
      <c r="J11579" t="str" cm="1">
        <f t="array" ref="J11579">_xlfn.IFS(I11579&lt;=3,"small",I11579&lt;=6,"Medium",I11579&lt;=9,"Large")</f>
        <v>Large</v>
      </c>
      <c r="K11579" s="36">
        <v>44996</v>
      </c>
      <c r="L11579" s="36">
        <v>45003</v>
      </c>
      <c r="M11579" t="s">
        <v>603</v>
      </c>
      <c r="N11579" t="s">
        <v>608</v>
      </c>
      <c r="O11579" s="37" t="str">
        <f t="shared" si="903"/>
        <v>Cash Payment</v>
      </c>
      <c r="P11579">
        <v>79.849999999999994</v>
      </c>
      <c r="Q11579" s="37" t="str">
        <f>IF(P11579&gt;500,"High","low")</f>
        <v>low</v>
      </c>
      <c r="R11579" s="37" t="str">
        <f t="shared" si="904"/>
        <v>AVERAGE</v>
      </c>
      <c r="S11579" t="s">
        <v>615</v>
      </c>
    </row>
    <row r="11580" spans="1:19" x14ac:dyDescent="0.2">
      <c r="A11580" t="s">
        <v>12191</v>
      </c>
      <c r="B11580" t="s">
        <v>83</v>
      </c>
      <c r="C11580" t="s">
        <v>617</v>
      </c>
      <c r="D11580">
        <v>751.23</v>
      </c>
      <c r="E11580" s="37" t="str">
        <f t="shared" si="900"/>
        <v xml:space="preserve"> </v>
      </c>
      <c r="F11580">
        <v>0.11</v>
      </c>
      <c r="G11580" s="37" t="str">
        <f t="shared" si="901"/>
        <v>Normal Discount</v>
      </c>
      <c r="H11580" s="37" t="str">
        <f t="shared" si="902"/>
        <v>Low</v>
      </c>
      <c r="I11580">
        <v>7</v>
      </c>
      <c r="J11580" t="str" cm="1">
        <f t="array" ref="J11580">_xlfn.IFS(I11580&lt;=3,"small",I11580&lt;=6,"Medium",I11580&lt;=9,"Large")</f>
        <v>Large</v>
      </c>
      <c r="K11580" s="36">
        <v>45053</v>
      </c>
      <c r="L11580" s="36">
        <v>45056</v>
      </c>
      <c r="M11580" t="s">
        <v>598</v>
      </c>
      <c r="N11580" t="s">
        <v>599</v>
      </c>
      <c r="O11580" s="37" t="str">
        <f t="shared" si="903"/>
        <v>Digital Payment</v>
      </c>
      <c r="P11580">
        <v>51.45</v>
      </c>
      <c r="Q11580" s="37" t="str">
        <f>IF(P11580&gt;500,"High","low")</f>
        <v>low</v>
      </c>
      <c r="R11580" s="37" t="str">
        <f t="shared" si="904"/>
        <v>AVERAGE</v>
      </c>
      <c r="S11580" t="s">
        <v>620</v>
      </c>
    </row>
    <row r="11581" spans="1:19" x14ac:dyDescent="0.2">
      <c r="A11581" t="s">
        <v>12192</v>
      </c>
      <c r="B11581" t="s">
        <v>75</v>
      </c>
      <c r="C11581" t="s">
        <v>617</v>
      </c>
      <c r="D11581">
        <v>4759.6099999999997</v>
      </c>
      <c r="E11581" s="37" t="str">
        <f t="shared" si="900"/>
        <v xml:space="preserve"> </v>
      </c>
      <c r="F11581">
        <v>0.2</v>
      </c>
      <c r="G11581" s="37" t="str">
        <f t="shared" si="901"/>
        <v>Normal Discount</v>
      </c>
      <c r="H11581" s="37" t="str">
        <f t="shared" si="902"/>
        <v>Medium</v>
      </c>
      <c r="I11581">
        <v>2</v>
      </c>
      <c r="J11581" t="str" cm="1">
        <f t="array" ref="J11581">_xlfn.IFS(I11581&lt;=3,"small",I11581&lt;=6,"Medium",I11581&lt;=9,"Large")</f>
        <v>small</v>
      </c>
      <c r="K11581" s="36">
        <v>45433</v>
      </c>
      <c r="L11581" s="36">
        <v>45435</v>
      </c>
      <c r="M11581" t="s">
        <v>612</v>
      </c>
      <c r="N11581" t="s">
        <v>604</v>
      </c>
      <c r="O11581" s="37" t="str">
        <f t="shared" si="903"/>
        <v>Digital Payment</v>
      </c>
      <c r="P11581">
        <v>666.26</v>
      </c>
      <c r="Q11581" s="37" t="str">
        <f>IF(P11581&gt;500,"High","low")</f>
        <v>High</v>
      </c>
      <c r="R11581" s="37" t="str">
        <f t="shared" si="904"/>
        <v>Good</v>
      </c>
      <c r="S11581" t="s">
        <v>620</v>
      </c>
    </row>
    <row r="11582" spans="1:19" x14ac:dyDescent="0.2">
      <c r="A11582" t="s">
        <v>12193</v>
      </c>
      <c r="B11582" t="s">
        <v>67</v>
      </c>
      <c r="C11582" t="s">
        <v>607</v>
      </c>
      <c r="D11582">
        <v>2258.12</v>
      </c>
      <c r="E11582" s="37" t="str">
        <f t="shared" si="900"/>
        <v xml:space="preserve"> </v>
      </c>
      <c r="F11582">
        <v>0.44</v>
      </c>
      <c r="G11582" s="37" t="str">
        <f t="shared" si="901"/>
        <v>Heavy Discount</v>
      </c>
      <c r="H11582" s="37" t="str">
        <f t="shared" si="902"/>
        <v>High</v>
      </c>
      <c r="I11582">
        <v>2</v>
      </c>
      <c r="J11582" t="str" cm="1">
        <f t="array" ref="J11582">_xlfn.IFS(I11582&lt;=3,"small",I11582&lt;=6,"Medium",I11582&lt;=9,"Large")</f>
        <v>small</v>
      </c>
      <c r="K11582" s="36">
        <v>44976</v>
      </c>
      <c r="L11582" s="36">
        <v>44979</v>
      </c>
      <c r="M11582" t="s">
        <v>598</v>
      </c>
      <c r="N11582" t="s">
        <v>608</v>
      </c>
      <c r="O11582" s="37" t="str">
        <f t="shared" si="903"/>
        <v>Cash Payment</v>
      </c>
      <c r="P11582">
        <v>411.86</v>
      </c>
      <c r="Q11582" s="37" t="str">
        <f>IF(P11582&gt;500,"High","low")</f>
        <v>low</v>
      </c>
      <c r="R11582" s="37" t="str">
        <f t="shared" si="904"/>
        <v>AVERAGE</v>
      </c>
      <c r="S11582" t="s">
        <v>600</v>
      </c>
    </row>
    <row r="11583" spans="1:19" x14ac:dyDescent="0.2">
      <c r="A11583" t="s">
        <v>12194</v>
      </c>
      <c r="B11583" t="s">
        <v>90</v>
      </c>
      <c r="C11583" t="s">
        <v>617</v>
      </c>
      <c r="D11583">
        <v>340.08</v>
      </c>
      <c r="E11583" s="37" t="str">
        <f t="shared" si="900"/>
        <v xml:space="preserve"> </v>
      </c>
      <c r="F11583">
        <v>0.43</v>
      </c>
      <c r="G11583" s="37" t="str">
        <f t="shared" si="901"/>
        <v>Heavy Discount</v>
      </c>
      <c r="H11583" s="37" t="str">
        <f t="shared" si="902"/>
        <v>High</v>
      </c>
      <c r="I11583">
        <v>4</v>
      </c>
      <c r="J11583" t="str" cm="1">
        <f t="array" ref="J11583">_xlfn.IFS(I11583&lt;=3,"small",I11583&lt;=6,"Medium",I11583&lt;=9,"Large")</f>
        <v>Medium</v>
      </c>
      <c r="K11583" s="36">
        <v>45197</v>
      </c>
      <c r="L11583" s="36">
        <v>45200</v>
      </c>
      <c r="M11583" t="s">
        <v>612</v>
      </c>
      <c r="N11583" t="s">
        <v>599</v>
      </c>
      <c r="O11583" s="37" t="str">
        <f t="shared" si="903"/>
        <v>Digital Payment</v>
      </c>
      <c r="P11583">
        <v>61.76</v>
      </c>
      <c r="Q11583" s="37" t="str">
        <f>IF(P11583&gt;500,"High","low")</f>
        <v>low</v>
      </c>
      <c r="R11583" s="37" t="str">
        <f t="shared" si="904"/>
        <v>AVERAGE</v>
      </c>
      <c r="S11583" t="s">
        <v>615</v>
      </c>
    </row>
    <row r="11584" spans="1:19" x14ac:dyDescent="0.2">
      <c r="A11584" t="s">
        <v>12195</v>
      </c>
      <c r="B11584" t="s">
        <v>83</v>
      </c>
      <c r="C11584" t="s">
        <v>617</v>
      </c>
      <c r="D11584">
        <v>2959.81</v>
      </c>
      <c r="E11584" s="37" t="str">
        <f t="shared" si="900"/>
        <v xml:space="preserve"> </v>
      </c>
      <c r="F11584">
        <v>0.39</v>
      </c>
      <c r="G11584" s="37" t="str">
        <f t="shared" si="901"/>
        <v>Heavy Discount</v>
      </c>
      <c r="H11584" s="37" t="str">
        <f t="shared" si="902"/>
        <v>Medium</v>
      </c>
      <c r="I11584">
        <v>1</v>
      </c>
      <c r="J11584" t="str" cm="1">
        <f t="array" ref="J11584">_xlfn.IFS(I11584&lt;=3,"small",I11584&lt;=6,"Medium",I11584&lt;=9,"Large")</f>
        <v>small</v>
      </c>
      <c r="K11584" s="36">
        <v>44998</v>
      </c>
      <c r="L11584" s="36">
        <v>45003</v>
      </c>
      <c r="M11584" t="s">
        <v>612</v>
      </c>
      <c r="N11584" t="s">
        <v>608</v>
      </c>
      <c r="O11584" s="37" t="str">
        <f t="shared" si="903"/>
        <v>Cash Payment</v>
      </c>
      <c r="P11584">
        <v>602.39</v>
      </c>
      <c r="Q11584" s="37" t="str">
        <f>IF(P11584&gt;500,"High","low")</f>
        <v>High</v>
      </c>
      <c r="R11584" s="37" t="str">
        <f t="shared" si="904"/>
        <v>Good</v>
      </c>
      <c r="S11584" t="s">
        <v>620</v>
      </c>
    </row>
    <row r="11585" spans="1:19" x14ac:dyDescent="0.2">
      <c r="A11585" t="s">
        <v>12196</v>
      </c>
      <c r="B11585" t="s">
        <v>75</v>
      </c>
      <c r="C11585" t="s">
        <v>602</v>
      </c>
      <c r="D11585">
        <v>1078.5999999999999</v>
      </c>
      <c r="E11585" s="37" t="str">
        <f t="shared" si="900"/>
        <v xml:space="preserve"> </v>
      </c>
      <c r="F11585">
        <v>0.5</v>
      </c>
      <c r="G11585" s="37" t="str">
        <f t="shared" si="901"/>
        <v>Heavy Discount</v>
      </c>
      <c r="H11585" s="37" t="str">
        <f t="shared" si="902"/>
        <v>High</v>
      </c>
      <c r="I11585">
        <v>5</v>
      </c>
      <c r="J11585" t="str" cm="1">
        <f t="array" ref="J11585">_xlfn.IFS(I11585&lt;=3,"small",I11585&lt;=6,"Medium",I11585&lt;=9,"Large")</f>
        <v>Medium</v>
      </c>
      <c r="K11585" s="36">
        <v>45344</v>
      </c>
      <c r="L11585" s="36">
        <v>45347</v>
      </c>
      <c r="M11585" t="s">
        <v>612</v>
      </c>
      <c r="N11585" t="s">
        <v>599</v>
      </c>
      <c r="O11585" s="37" t="str">
        <f t="shared" si="903"/>
        <v>Digital Payment</v>
      </c>
      <c r="P11585">
        <v>65.59</v>
      </c>
      <c r="Q11585" s="37" t="str">
        <f>IF(P11585&gt;500,"High","low")</f>
        <v>low</v>
      </c>
      <c r="R11585" s="37" t="str">
        <f t="shared" si="904"/>
        <v>AVERAGE</v>
      </c>
      <c r="S11585" t="s">
        <v>620</v>
      </c>
    </row>
    <row r="11586" spans="1:19" x14ac:dyDescent="0.2">
      <c r="A11586" t="s">
        <v>12197</v>
      </c>
      <c r="B11586" t="s">
        <v>67</v>
      </c>
      <c r="C11586" t="s">
        <v>602</v>
      </c>
      <c r="D11586">
        <v>133.5</v>
      </c>
      <c r="E11586" s="37" t="str">
        <f t="shared" si="900"/>
        <v xml:space="preserve"> </v>
      </c>
      <c r="F11586">
        <v>0.12</v>
      </c>
      <c r="G11586" s="37" t="str">
        <f t="shared" si="901"/>
        <v>Normal Discount</v>
      </c>
      <c r="H11586" s="37" t="str">
        <f t="shared" si="902"/>
        <v>Low</v>
      </c>
      <c r="I11586">
        <v>5</v>
      </c>
      <c r="J11586" t="str" cm="1">
        <f t="array" ref="J11586">_xlfn.IFS(I11586&lt;=3,"small",I11586&lt;=6,"Medium",I11586&lt;=9,"Large")</f>
        <v>Medium</v>
      </c>
      <c r="K11586" s="36">
        <v>45169</v>
      </c>
      <c r="L11586" s="36">
        <v>45175</v>
      </c>
      <c r="M11586" t="s">
        <v>598</v>
      </c>
      <c r="N11586" t="s">
        <v>608</v>
      </c>
      <c r="O11586" s="37" t="str">
        <f t="shared" si="903"/>
        <v>Cash Payment</v>
      </c>
      <c r="P11586">
        <v>32.26</v>
      </c>
      <c r="Q11586" s="37" t="str">
        <f>IF(P11586&gt;500,"High","low")</f>
        <v>low</v>
      </c>
      <c r="R11586" s="37" t="str">
        <f t="shared" si="904"/>
        <v>AVERAGE</v>
      </c>
      <c r="S11586" t="s">
        <v>609</v>
      </c>
    </row>
    <row r="11587" spans="1:19" x14ac:dyDescent="0.2">
      <c r="A11587" t="s">
        <v>12198</v>
      </c>
      <c r="B11587" t="s">
        <v>67</v>
      </c>
      <c r="C11587" t="s">
        <v>607</v>
      </c>
      <c r="D11587">
        <v>3816.09</v>
      </c>
      <c r="E11587" s="37" t="str">
        <f t="shared" ref="E11587:E11650" si="905">IF(AND(D11587&gt;4000,P11587&gt;800),"Excellent Order"," ")</f>
        <v xml:space="preserve"> </v>
      </c>
      <c r="F11587">
        <v>0.23</v>
      </c>
      <c r="G11587" s="37" t="str">
        <f t="shared" ref="G11587:G11650" si="906">IF(F11587&gt;30%,"Heavy Discount","Normal Discount")</f>
        <v>Normal Discount</v>
      </c>
      <c r="H11587" s="37" t="str">
        <f t="shared" ref="H11587:H11650" si="907">IF(F11587&gt;0.4,"High",IF(F11587&gt;=0.2,"Medium","Low"))</f>
        <v>Medium</v>
      </c>
      <c r="I11587">
        <v>1</v>
      </c>
      <c r="J11587" t="str" cm="1">
        <f t="array" ref="J11587">_xlfn.IFS(I11587&lt;=3,"small",I11587&lt;=6,"Medium",I11587&lt;=9,"Large")</f>
        <v>small</v>
      </c>
      <c r="K11587" s="36">
        <v>45397</v>
      </c>
      <c r="L11587" s="36">
        <v>45400</v>
      </c>
      <c r="M11587" t="s">
        <v>598</v>
      </c>
      <c r="N11587" t="s">
        <v>604</v>
      </c>
      <c r="O11587" s="37" t="str">
        <f t="shared" ref="O11587:O11650" si="908">IF(OR(N11587="Card",N11587="UPI"),"Digital Payment","Cash Payment")</f>
        <v>Digital Payment</v>
      </c>
      <c r="P11587">
        <v>279.77999999999997</v>
      </c>
      <c r="Q11587" s="37" t="str">
        <f>IF(P11587&gt;500,"High","low")</f>
        <v>low</v>
      </c>
      <c r="R11587" s="37" t="str">
        <f t="shared" ref="R11587:R11650" si="909">IF(P11587&gt;1000,"Excellent",IF(P11587&gt;=500,"Good","AVERAGE"))</f>
        <v>AVERAGE</v>
      </c>
      <c r="S11587" t="s">
        <v>605</v>
      </c>
    </row>
    <row r="11588" spans="1:19" x14ac:dyDescent="0.2">
      <c r="A11588" t="s">
        <v>12199</v>
      </c>
      <c r="B11588" t="s">
        <v>75</v>
      </c>
      <c r="C11588" t="s">
        <v>614</v>
      </c>
      <c r="D11588">
        <v>858.83</v>
      </c>
      <c r="E11588" s="37" t="str">
        <f t="shared" si="905"/>
        <v xml:space="preserve"> </v>
      </c>
      <c r="F11588">
        <v>0.22</v>
      </c>
      <c r="G11588" s="37" t="str">
        <f t="shared" si="906"/>
        <v>Normal Discount</v>
      </c>
      <c r="H11588" s="37" t="str">
        <f t="shared" si="907"/>
        <v>Medium</v>
      </c>
      <c r="I11588">
        <v>5</v>
      </c>
      <c r="J11588" t="str" cm="1">
        <f t="array" ref="J11588">_xlfn.IFS(I11588&lt;=3,"small",I11588&lt;=6,"Medium",I11588&lt;=9,"Large")</f>
        <v>Medium</v>
      </c>
      <c r="K11588" s="36">
        <v>45334</v>
      </c>
      <c r="L11588" s="36">
        <v>45335</v>
      </c>
      <c r="M11588" t="s">
        <v>603</v>
      </c>
      <c r="N11588" t="s">
        <v>604</v>
      </c>
      <c r="O11588" s="37" t="str">
        <f t="shared" si="908"/>
        <v>Digital Payment</v>
      </c>
      <c r="P11588">
        <v>244.96</v>
      </c>
      <c r="Q11588" s="37" t="str">
        <f>IF(P11588&gt;500,"High","low")</f>
        <v>low</v>
      </c>
      <c r="R11588" s="37" t="str">
        <f t="shared" si="909"/>
        <v>AVERAGE</v>
      </c>
      <c r="S11588" t="s">
        <v>620</v>
      </c>
    </row>
    <row r="11589" spans="1:19" x14ac:dyDescent="0.2">
      <c r="A11589" t="s">
        <v>12200</v>
      </c>
      <c r="B11589" t="s">
        <v>67</v>
      </c>
      <c r="C11589" t="s">
        <v>607</v>
      </c>
      <c r="D11589">
        <v>4718.18</v>
      </c>
      <c r="E11589" s="37" t="str">
        <f t="shared" si="905"/>
        <v>Excellent Order</v>
      </c>
      <c r="F11589">
        <v>0.34</v>
      </c>
      <c r="G11589" s="37" t="str">
        <f t="shared" si="906"/>
        <v>Heavy Discount</v>
      </c>
      <c r="H11589" s="37" t="str">
        <f t="shared" si="907"/>
        <v>Medium</v>
      </c>
      <c r="I11589">
        <v>4</v>
      </c>
      <c r="J11589" t="str" cm="1">
        <f t="array" ref="J11589">_xlfn.IFS(I11589&lt;=3,"small",I11589&lt;=6,"Medium",I11589&lt;=9,"Large")</f>
        <v>Medium</v>
      </c>
      <c r="K11589" s="36">
        <v>45034</v>
      </c>
      <c r="L11589" s="36">
        <v>45038</v>
      </c>
      <c r="M11589" t="s">
        <v>603</v>
      </c>
      <c r="N11589" t="s">
        <v>604</v>
      </c>
      <c r="O11589" s="37" t="str">
        <f t="shared" si="908"/>
        <v>Digital Payment</v>
      </c>
      <c r="P11589">
        <v>882.22</v>
      </c>
      <c r="Q11589" s="37" t="str">
        <f>IF(P11589&gt;500,"High","low")</f>
        <v>High</v>
      </c>
      <c r="R11589" s="37" t="str">
        <f t="shared" si="909"/>
        <v>Good</v>
      </c>
      <c r="S11589" t="s">
        <v>620</v>
      </c>
    </row>
    <row r="11590" spans="1:19" x14ac:dyDescent="0.2">
      <c r="A11590" t="s">
        <v>12201</v>
      </c>
      <c r="B11590" t="s">
        <v>67</v>
      </c>
      <c r="C11590" t="s">
        <v>597</v>
      </c>
      <c r="D11590">
        <v>3004.72</v>
      </c>
      <c r="E11590" s="37" t="str">
        <f t="shared" si="905"/>
        <v xml:space="preserve"> </v>
      </c>
      <c r="F11590">
        <v>0.43</v>
      </c>
      <c r="G11590" s="37" t="str">
        <f t="shared" si="906"/>
        <v>Heavy Discount</v>
      </c>
      <c r="H11590" s="37" t="str">
        <f t="shared" si="907"/>
        <v>High</v>
      </c>
      <c r="I11590">
        <v>5</v>
      </c>
      <c r="J11590" t="str" cm="1">
        <f t="array" ref="J11590">_xlfn.IFS(I11590&lt;=3,"small",I11590&lt;=6,"Medium",I11590&lt;=9,"Large")</f>
        <v>Medium</v>
      </c>
      <c r="K11590" s="36">
        <v>45446</v>
      </c>
      <c r="L11590" s="36">
        <v>45451</v>
      </c>
      <c r="M11590" t="s">
        <v>612</v>
      </c>
      <c r="N11590" t="s">
        <v>599</v>
      </c>
      <c r="O11590" s="37" t="str">
        <f t="shared" si="908"/>
        <v>Digital Payment</v>
      </c>
      <c r="P11590">
        <v>886.67</v>
      </c>
      <c r="Q11590" s="37" t="str">
        <f>IF(P11590&gt;500,"High","low")</f>
        <v>High</v>
      </c>
      <c r="R11590" s="37" t="str">
        <f t="shared" si="909"/>
        <v>Good</v>
      </c>
      <c r="S11590" t="s">
        <v>620</v>
      </c>
    </row>
    <row r="11591" spans="1:19" x14ac:dyDescent="0.2">
      <c r="A11591" t="s">
        <v>12202</v>
      </c>
      <c r="B11591" t="s">
        <v>83</v>
      </c>
      <c r="C11591" t="s">
        <v>617</v>
      </c>
      <c r="D11591">
        <v>526.28</v>
      </c>
      <c r="E11591" s="37" t="str">
        <f t="shared" si="905"/>
        <v xml:space="preserve"> </v>
      </c>
      <c r="F11591">
        <v>0.25</v>
      </c>
      <c r="G11591" s="37" t="str">
        <f t="shared" si="906"/>
        <v>Normal Discount</v>
      </c>
      <c r="H11591" s="37" t="str">
        <f t="shared" si="907"/>
        <v>Medium</v>
      </c>
      <c r="I11591">
        <v>4</v>
      </c>
      <c r="J11591" t="str" cm="1">
        <f t="array" ref="J11591">_xlfn.IFS(I11591&lt;=3,"small",I11591&lt;=6,"Medium",I11591&lt;=9,"Large")</f>
        <v>Medium</v>
      </c>
      <c r="K11591" s="36">
        <v>45367</v>
      </c>
      <c r="L11591" s="36">
        <v>45368</v>
      </c>
      <c r="M11591" t="s">
        <v>603</v>
      </c>
      <c r="N11591" t="s">
        <v>608</v>
      </c>
      <c r="O11591" s="37" t="str">
        <f t="shared" si="908"/>
        <v>Cash Payment</v>
      </c>
      <c r="P11591">
        <v>50.23</v>
      </c>
      <c r="Q11591" s="37" t="str">
        <f>IF(P11591&gt;500,"High","low")</f>
        <v>low</v>
      </c>
      <c r="R11591" s="37" t="str">
        <f t="shared" si="909"/>
        <v>AVERAGE</v>
      </c>
      <c r="S11591" t="s">
        <v>628</v>
      </c>
    </row>
    <row r="11592" spans="1:19" x14ac:dyDescent="0.2">
      <c r="A11592" t="s">
        <v>12203</v>
      </c>
      <c r="B11592" t="s">
        <v>67</v>
      </c>
      <c r="C11592" t="s">
        <v>614</v>
      </c>
      <c r="D11592">
        <v>1167.3399999999999</v>
      </c>
      <c r="E11592" s="37" t="str">
        <f t="shared" si="905"/>
        <v xml:space="preserve"> </v>
      </c>
      <c r="F11592">
        <v>0.25</v>
      </c>
      <c r="G11592" s="37" t="str">
        <f t="shared" si="906"/>
        <v>Normal Discount</v>
      </c>
      <c r="H11592" s="37" t="str">
        <f t="shared" si="907"/>
        <v>Medium</v>
      </c>
      <c r="I11592">
        <v>9</v>
      </c>
      <c r="J11592" t="str" cm="1">
        <f t="array" ref="J11592">_xlfn.IFS(I11592&lt;=3,"small",I11592&lt;=6,"Medium",I11592&lt;=9,"Large")</f>
        <v>Large</v>
      </c>
      <c r="K11592" s="36">
        <v>45296</v>
      </c>
      <c r="L11592" s="36">
        <v>45302</v>
      </c>
      <c r="M11592" t="s">
        <v>598</v>
      </c>
      <c r="N11592" t="s">
        <v>604</v>
      </c>
      <c r="O11592" s="37" t="str">
        <f t="shared" si="908"/>
        <v>Digital Payment</v>
      </c>
      <c r="P11592">
        <v>284.82</v>
      </c>
      <c r="Q11592" s="37" t="str">
        <f>IF(P11592&gt;500,"High","low")</f>
        <v>low</v>
      </c>
      <c r="R11592" s="37" t="str">
        <f t="shared" si="909"/>
        <v>AVERAGE</v>
      </c>
      <c r="S11592" t="s">
        <v>620</v>
      </c>
    </row>
    <row r="11593" spans="1:19" x14ac:dyDescent="0.2">
      <c r="A11593" t="s">
        <v>12204</v>
      </c>
      <c r="B11593" t="s">
        <v>75</v>
      </c>
      <c r="C11593" t="s">
        <v>602</v>
      </c>
      <c r="D11593">
        <v>3093.14</v>
      </c>
      <c r="E11593" s="37" t="str">
        <f t="shared" si="905"/>
        <v xml:space="preserve"> </v>
      </c>
      <c r="F11593">
        <v>0.3</v>
      </c>
      <c r="G11593" s="37" t="str">
        <f t="shared" si="906"/>
        <v>Normal Discount</v>
      </c>
      <c r="H11593" s="37" t="str">
        <f t="shared" si="907"/>
        <v>Medium</v>
      </c>
      <c r="I11593">
        <v>9</v>
      </c>
      <c r="J11593" t="str" cm="1">
        <f t="array" ref="J11593">_xlfn.IFS(I11593&lt;=3,"small",I11593&lt;=6,"Medium",I11593&lt;=9,"Large")</f>
        <v>Large</v>
      </c>
      <c r="K11593" s="36">
        <v>45131</v>
      </c>
      <c r="L11593" s="36">
        <v>45136</v>
      </c>
      <c r="M11593" t="s">
        <v>612</v>
      </c>
      <c r="N11593" t="s">
        <v>604</v>
      </c>
      <c r="O11593" s="37" t="str">
        <f t="shared" si="908"/>
        <v>Digital Payment</v>
      </c>
      <c r="P11593">
        <v>605.42999999999995</v>
      </c>
      <c r="Q11593" s="37" t="str">
        <f>IF(P11593&gt;500,"High","low")</f>
        <v>High</v>
      </c>
      <c r="R11593" s="37" t="str">
        <f t="shared" si="909"/>
        <v>Good</v>
      </c>
      <c r="S11593" t="s">
        <v>605</v>
      </c>
    </row>
    <row r="11594" spans="1:19" x14ac:dyDescent="0.2">
      <c r="A11594" t="s">
        <v>12205</v>
      </c>
      <c r="B11594" t="s">
        <v>83</v>
      </c>
      <c r="C11594" t="s">
        <v>597</v>
      </c>
      <c r="D11594">
        <v>1756.75</v>
      </c>
      <c r="E11594" s="37" t="str">
        <f t="shared" si="905"/>
        <v xml:space="preserve"> </v>
      </c>
      <c r="F11594">
        <v>0.37</v>
      </c>
      <c r="G11594" s="37" t="str">
        <f t="shared" si="906"/>
        <v>Heavy Discount</v>
      </c>
      <c r="H11594" s="37" t="str">
        <f t="shared" si="907"/>
        <v>Medium</v>
      </c>
      <c r="I11594">
        <v>3</v>
      </c>
      <c r="J11594" t="str" cm="1">
        <f t="array" ref="J11594">_xlfn.IFS(I11594&lt;=3,"small",I11594&lt;=6,"Medium",I11594&lt;=9,"Large")</f>
        <v>small</v>
      </c>
      <c r="K11594" s="36">
        <v>45207</v>
      </c>
      <c r="L11594" s="36">
        <v>45214</v>
      </c>
      <c r="M11594" t="s">
        <v>612</v>
      </c>
      <c r="N11594" t="s">
        <v>608</v>
      </c>
      <c r="O11594" s="37" t="str">
        <f t="shared" si="908"/>
        <v>Cash Payment</v>
      </c>
      <c r="P11594">
        <v>454.89</v>
      </c>
      <c r="Q11594" s="37" t="str">
        <f>IF(P11594&gt;500,"High","low")</f>
        <v>low</v>
      </c>
      <c r="R11594" s="37" t="str">
        <f t="shared" si="909"/>
        <v>AVERAGE</v>
      </c>
      <c r="S11594" t="s">
        <v>615</v>
      </c>
    </row>
    <row r="11595" spans="1:19" x14ac:dyDescent="0.2">
      <c r="A11595" t="s">
        <v>12206</v>
      </c>
      <c r="B11595" t="s">
        <v>75</v>
      </c>
      <c r="C11595" t="s">
        <v>597</v>
      </c>
      <c r="D11595">
        <v>2707.5</v>
      </c>
      <c r="E11595" s="37" t="str">
        <f t="shared" si="905"/>
        <v xml:space="preserve"> </v>
      </c>
      <c r="F11595">
        <v>0.1</v>
      </c>
      <c r="G11595" s="37" t="str">
        <f t="shared" si="906"/>
        <v>Normal Discount</v>
      </c>
      <c r="H11595" s="37" t="str">
        <f t="shared" si="907"/>
        <v>Low</v>
      </c>
      <c r="I11595">
        <v>3</v>
      </c>
      <c r="J11595" t="str" cm="1">
        <f t="array" ref="J11595">_xlfn.IFS(I11595&lt;=3,"small",I11595&lt;=6,"Medium",I11595&lt;=9,"Large")</f>
        <v>small</v>
      </c>
      <c r="K11595" s="36">
        <v>44944</v>
      </c>
      <c r="L11595" s="36">
        <v>44948</v>
      </c>
      <c r="M11595" t="s">
        <v>598</v>
      </c>
      <c r="N11595" t="s">
        <v>604</v>
      </c>
      <c r="O11595" s="37" t="str">
        <f t="shared" si="908"/>
        <v>Digital Payment</v>
      </c>
      <c r="P11595">
        <v>170.28</v>
      </c>
      <c r="Q11595" s="37" t="str">
        <f>IF(P11595&gt;500,"High","low")</f>
        <v>low</v>
      </c>
      <c r="R11595" s="37" t="str">
        <f t="shared" si="909"/>
        <v>AVERAGE</v>
      </c>
      <c r="S11595" t="s">
        <v>628</v>
      </c>
    </row>
    <row r="11596" spans="1:19" x14ac:dyDescent="0.2">
      <c r="A11596" t="s">
        <v>12207</v>
      </c>
      <c r="B11596" t="s">
        <v>90</v>
      </c>
      <c r="C11596" t="s">
        <v>617</v>
      </c>
      <c r="D11596">
        <v>4017.61</v>
      </c>
      <c r="E11596" s="37" t="str">
        <f t="shared" si="905"/>
        <v xml:space="preserve"> </v>
      </c>
      <c r="F11596">
        <v>0.48</v>
      </c>
      <c r="G11596" s="37" t="str">
        <f t="shared" si="906"/>
        <v>Heavy Discount</v>
      </c>
      <c r="H11596" s="37" t="str">
        <f t="shared" si="907"/>
        <v>High</v>
      </c>
      <c r="I11596">
        <v>3</v>
      </c>
      <c r="J11596" t="str" cm="1">
        <f t="array" ref="J11596">_xlfn.IFS(I11596&lt;=3,"small",I11596&lt;=6,"Medium",I11596&lt;=9,"Large")</f>
        <v>small</v>
      </c>
      <c r="K11596" s="36">
        <v>44999</v>
      </c>
      <c r="L11596" s="36">
        <v>45006</v>
      </c>
      <c r="M11596" t="s">
        <v>612</v>
      </c>
      <c r="N11596" t="s">
        <v>608</v>
      </c>
      <c r="O11596" s="37" t="str">
        <f t="shared" si="908"/>
        <v>Cash Payment</v>
      </c>
      <c r="P11596">
        <v>567.72</v>
      </c>
      <c r="Q11596" s="37" t="str">
        <f>IF(P11596&gt;500,"High","low")</f>
        <v>High</v>
      </c>
      <c r="R11596" s="37" t="str">
        <f t="shared" si="909"/>
        <v>Good</v>
      </c>
      <c r="S11596" t="s">
        <v>628</v>
      </c>
    </row>
    <row r="11597" spans="1:19" x14ac:dyDescent="0.2">
      <c r="A11597" t="s">
        <v>12208</v>
      </c>
      <c r="B11597" t="s">
        <v>75</v>
      </c>
      <c r="C11597" t="s">
        <v>602</v>
      </c>
      <c r="D11597">
        <v>3983.75</v>
      </c>
      <c r="E11597" s="37" t="str">
        <f t="shared" si="905"/>
        <v xml:space="preserve"> </v>
      </c>
      <c r="F11597">
        <v>0.05</v>
      </c>
      <c r="G11597" s="37" t="str">
        <f t="shared" si="906"/>
        <v>Normal Discount</v>
      </c>
      <c r="H11597" s="37" t="str">
        <f t="shared" si="907"/>
        <v>Low</v>
      </c>
      <c r="I11597">
        <v>7</v>
      </c>
      <c r="J11597" t="str" cm="1">
        <f t="array" ref="J11597">_xlfn.IFS(I11597&lt;=3,"small",I11597&lt;=6,"Medium",I11597&lt;=9,"Large")</f>
        <v>Large</v>
      </c>
      <c r="K11597" s="36">
        <v>45124</v>
      </c>
      <c r="L11597" s="36">
        <v>45127</v>
      </c>
      <c r="M11597" t="s">
        <v>603</v>
      </c>
      <c r="N11597" t="s">
        <v>599</v>
      </c>
      <c r="O11597" s="37" t="str">
        <f t="shared" si="908"/>
        <v>Digital Payment</v>
      </c>
      <c r="P11597">
        <v>855.79</v>
      </c>
      <c r="Q11597" s="37" t="str">
        <f>IF(P11597&gt;500,"High","low")</f>
        <v>High</v>
      </c>
      <c r="R11597" s="37" t="str">
        <f t="shared" si="909"/>
        <v>Good</v>
      </c>
      <c r="S11597" t="s">
        <v>609</v>
      </c>
    </row>
    <row r="11598" spans="1:19" x14ac:dyDescent="0.2">
      <c r="A11598" t="s">
        <v>12209</v>
      </c>
      <c r="B11598" t="s">
        <v>75</v>
      </c>
      <c r="C11598" t="s">
        <v>614</v>
      </c>
      <c r="D11598">
        <v>3520.14</v>
      </c>
      <c r="E11598" s="37" t="str">
        <f t="shared" si="905"/>
        <v xml:space="preserve"> </v>
      </c>
      <c r="F11598">
        <v>0.01</v>
      </c>
      <c r="G11598" s="37" t="str">
        <f t="shared" si="906"/>
        <v>Normal Discount</v>
      </c>
      <c r="H11598" s="37" t="str">
        <f t="shared" si="907"/>
        <v>Low</v>
      </c>
      <c r="I11598">
        <v>1</v>
      </c>
      <c r="J11598" t="str" cm="1">
        <f t="array" ref="J11598">_xlfn.IFS(I11598&lt;=3,"small",I11598&lt;=6,"Medium",I11598&lt;=9,"Large")</f>
        <v>small</v>
      </c>
      <c r="K11598" s="36">
        <v>45452</v>
      </c>
      <c r="L11598" s="36">
        <v>45455</v>
      </c>
      <c r="M11598" t="s">
        <v>598</v>
      </c>
      <c r="N11598" t="s">
        <v>604</v>
      </c>
      <c r="O11598" s="37" t="str">
        <f t="shared" si="908"/>
        <v>Digital Payment</v>
      </c>
      <c r="P11598">
        <v>429.25</v>
      </c>
      <c r="Q11598" s="37" t="str">
        <f>IF(P11598&gt;500,"High","low")</f>
        <v>low</v>
      </c>
      <c r="R11598" s="37" t="str">
        <f t="shared" si="909"/>
        <v>AVERAGE</v>
      </c>
      <c r="S11598" t="s">
        <v>628</v>
      </c>
    </row>
    <row r="11599" spans="1:19" x14ac:dyDescent="0.2">
      <c r="A11599" t="s">
        <v>12210</v>
      </c>
      <c r="B11599" t="s">
        <v>83</v>
      </c>
      <c r="C11599" t="s">
        <v>602</v>
      </c>
      <c r="D11599">
        <v>4441.67</v>
      </c>
      <c r="E11599" s="37" t="str">
        <f t="shared" si="905"/>
        <v>Excellent Order</v>
      </c>
      <c r="F11599">
        <v>0.18</v>
      </c>
      <c r="G11599" s="37" t="str">
        <f t="shared" si="906"/>
        <v>Normal Discount</v>
      </c>
      <c r="H11599" s="37" t="str">
        <f t="shared" si="907"/>
        <v>Low</v>
      </c>
      <c r="I11599">
        <v>4</v>
      </c>
      <c r="J11599" t="str" cm="1">
        <f t="array" ref="J11599">_xlfn.IFS(I11599&lt;=3,"small",I11599&lt;=6,"Medium",I11599&lt;=9,"Large")</f>
        <v>Medium</v>
      </c>
      <c r="K11599" s="36">
        <v>45316</v>
      </c>
      <c r="L11599" s="36">
        <v>45322</v>
      </c>
      <c r="M11599" t="s">
        <v>603</v>
      </c>
      <c r="N11599" t="s">
        <v>608</v>
      </c>
      <c r="O11599" s="37" t="str">
        <f t="shared" si="908"/>
        <v>Cash Payment</v>
      </c>
      <c r="P11599">
        <v>1231.3699999999999</v>
      </c>
      <c r="Q11599" s="37" t="str">
        <f>IF(P11599&gt;500,"High","low")</f>
        <v>High</v>
      </c>
      <c r="R11599" s="37" t="str">
        <f t="shared" si="909"/>
        <v>Excellent</v>
      </c>
      <c r="S11599" t="s">
        <v>605</v>
      </c>
    </row>
    <row r="11600" spans="1:19" x14ac:dyDescent="0.2">
      <c r="A11600" t="s">
        <v>12211</v>
      </c>
      <c r="B11600" t="s">
        <v>67</v>
      </c>
      <c r="C11600" t="s">
        <v>617</v>
      </c>
      <c r="D11600">
        <v>1076.8699999999999</v>
      </c>
      <c r="E11600" s="37" t="str">
        <f t="shared" si="905"/>
        <v xml:space="preserve"> </v>
      </c>
      <c r="F11600">
        <v>0.35</v>
      </c>
      <c r="G11600" s="37" t="str">
        <f t="shared" si="906"/>
        <v>Heavy Discount</v>
      </c>
      <c r="H11600" s="37" t="str">
        <f t="shared" si="907"/>
        <v>Medium</v>
      </c>
      <c r="I11600">
        <v>9</v>
      </c>
      <c r="J11600" t="str" cm="1">
        <f t="array" ref="J11600">_xlfn.IFS(I11600&lt;=3,"small",I11600&lt;=6,"Medium",I11600&lt;=9,"Large")</f>
        <v>Large</v>
      </c>
      <c r="K11600" s="36">
        <v>45392</v>
      </c>
      <c r="L11600" s="36">
        <v>45394</v>
      </c>
      <c r="M11600" t="s">
        <v>612</v>
      </c>
      <c r="N11600" t="s">
        <v>608</v>
      </c>
      <c r="O11600" s="37" t="str">
        <f t="shared" si="908"/>
        <v>Cash Payment</v>
      </c>
      <c r="P11600">
        <v>261.75</v>
      </c>
      <c r="Q11600" s="37" t="str">
        <f>IF(P11600&gt;500,"High","low")</f>
        <v>low</v>
      </c>
      <c r="R11600" s="37" t="str">
        <f t="shared" si="909"/>
        <v>AVERAGE</v>
      </c>
      <c r="S11600" t="s">
        <v>620</v>
      </c>
    </row>
    <row r="11601" spans="1:19" x14ac:dyDescent="0.2">
      <c r="A11601" t="s">
        <v>12212</v>
      </c>
      <c r="B11601" t="s">
        <v>75</v>
      </c>
      <c r="C11601" t="s">
        <v>597</v>
      </c>
      <c r="D11601">
        <v>968.48</v>
      </c>
      <c r="E11601" s="37" t="str">
        <f t="shared" si="905"/>
        <v xml:space="preserve"> </v>
      </c>
      <c r="F11601">
        <v>0.49</v>
      </c>
      <c r="G11601" s="37" t="str">
        <f t="shared" si="906"/>
        <v>Heavy Discount</v>
      </c>
      <c r="H11601" s="37" t="str">
        <f t="shared" si="907"/>
        <v>High</v>
      </c>
      <c r="I11601">
        <v>8</v>
      </c>
      <c r="J11601" t="str" cm="1">
        <f t="array" ref="J11601">_xlfn.IFS(I11601&lt;=3,"small",I11601&lt;=6,"Medium",I11601&lt;=9,"Large")</f>
        <v>Large</v>
      </c>
      <c r="K11601" s="36">
        <v>45029</v>
      </c>
      <c r="L11601" s="36">
        <v>45036</v>
      </c>
      <c r="M11601" t="s">
        <v>603</v>
      </c>
      <c r="N11601" t="s">
        <v>608</v>
      </c>
      <c r="O11601" s="37" t="str">
        <f t="shared" si="908"/>
        <v>Cash Payment</v>
      </c>
      <c r="P11601">
        <v>138.44999999999999</v>
      </c>
      <c r="Q11601" s="37" t="str">
        <f>IF(P11601&gt;500,"High","low")</f>
        <v>low</v>
      </c>
      <c r="R11601" s="37" t="str">
        <f t="shared" si="909"/>
        <v>AVERAGE</v>
      </c>
      <c r="S11601" t="s">
        <v>609</v>
      </c>
    </row>
    <row r="11602" spans="1:19" x14ac:dyDescent="0.2">
      <c r="A11602" t="s">
        <v>12213</v>
      </c>
      <c r="B11602" t="s">
        <v>83</v>
      </c>
      <c r="C11602" t="s">
        <v>617</v>
      </c>
      <c r="D11602">
        <v>4016.81</v>
      </c>
      <c r="E11602" s="37" t="str">
        <f t="shared" si="905"/>
        <v xml:space="preserve"> </v>
      </c>
      <c r="F11602">
        <v>0.47</v>
      </c>
      <c r="G11602" s="37" t="str">
        <f t="shared" si="906"/>
        <v>Heavy Discount</v>
      </c>
      <c r="H11602" s="37" t="str">
        <f t="shared" si="907"/>
        <v>High</v>
      </c>
      <c r="I11602">
        <v>3</v>
      </c>
      <c r="J11602" t="str" cm="1">
        <f t="array" ref="J11602">_xlfn.IFS(I11602&lt;=3,"small",I11602&lt;=6,"Medium",I11602&lt;=9,"Large")</f>
        <v>small</v>
      </c>
      <c r="K11602" s="36">
        <v>45144</v>
      </c>
      <c r="L11602" s="36">
        <v>45148</v>
      </c>
      <c r="M11602" t="s">
        <v>603</v>
      </c>
      <c r="N11602" t="s">
        <v>604</v>
      </c>
      <c r="O11602" s="37" t="str">
        <f t="shared" si="908"/>
        <v>Digital Payment</v>
      </c>
      <c r="P11602">
        <v>351.44</v>
      </c>
      <c r="Q11602" s="37" t="str">
        <f>IF(P11602&gt;500,"High","low")</f>
        <v>low</v>
      </c>
      <c r="R11602" s="37" t="str">
        <f t="shared" si="909"/>
        <v>AVERAGE</v>
      </c>
      <c r="S11602" t="s">
        <v>609</v>
      </c>
    </row>
    <row r="11603" spans="1:19" x14ac:dyDescent="0.2">
      <c r="A11603" t="s">
        <v>12214</v>
      </c>
      <c r="B11603" t="s">
        <v>90</v>
      </c>
      <c r="C11603" t="s">
        <v>607</v>
      </c>
      <c r="D11603">
        <v>1672.36</v>
      </c>
      <c r="E11603" s="37" t="str">
        <f t="shared" si="905"/>
        <v xml:space="preserve"> </v>
      </c>
      <c r="F11603">
        <v>0.34</v>
      </c>
      <c r="G11603" s="37" t="str">
        <f t="shared" si="906"/>
        <v>Heavy Discount</v>
      </c>
      <c r="H11603" s="37" t="str">
        <f t="shared" si="907"/>
        <v>Medium</v>
      </c>
      <c r="I11603">
        <v>8</v>
      </c>
      <c r="J11603" t="str" cm="1">
        <f t="array" ref="J11603">_xlfn.IFS(I11603&lt;=3,"small",I11603&lt;=6,"Medium",I11603&lt;=9,"Large")</f>
        <v>Large</v>
      </c>
      <c r="K11603" s="36">
        <v>44962</v>
      </c>
      <c r="L11603" s="36">
        <v>44965</v>
      </c>
      <c r="M11603" t="s">
        <v>598</v>
      </c>
      <c r="N11603" t="s">
        <v>599</v>
      </c>
      <c r="O11603" s="37" t="str">
        <f t="shared" si="908"/>
        <v>Digital Payment</v>
      </c>
      <c r="P11603">
        <v>363.9</v>
      </c>
      <c r="Q11603" s="37" t="str">
        <f>IF(P11603&gt;500,"High","low")</f>
        <v>low</v>
      </c>
      <c r="R11603" s="37" t="str">
        <f t="shared" si="909"/>
        <v>AVERAGE</v>
      </c>
      <c r="S11603" t="s">
        <v>600</v>
      </c>
    </row>
    <row r="11604" spans="1:19" x14ac:dyDescent="0.2">
      <c r="A11604" t="s">
        <v>12215</v>
      </c>
      <c r="B11604" t="s">
        <v>83</v>
      </c>
      <c r="C11604" t="s">
        <v>597</v>
      </c>
      <c r="D11604">
        <v>2609.69</v>
      </c>
      <c r="E11604" s="37" t="str">
        <f t="shared" si="905"/>
        <v xml:space="preserve"> </v>
      </c>
      <c r="F11604">
        <v>0.22</v>
      </c>
      <c r="G11604" s="37" t="str">
        <f t="shared" si="906"/>
        <v>Normal Discount</v>
      </c>
      <c r="H11604" s="37" t="str">
        <f t="shared" si="907"/>
        <v>Medium</v>
      </c>
      <c r="I11604">
        <v>6</v>
      </c>
      <c r="J11604" t="str" cm="1">
        <f t="array" ref="J11604">_xlfn.IFS(I11604&lt;=3,"small",I11604&lt;=6,"Medium",I11604&lt;=9,"Large")</f>
        <v>Medium</v>
      </c>
      <c r="K11604" s="36">
        <v>45129</v>
      </c>
      <c r="L11604" s="36">
        <v>45134</v>
      </c>
      <c r="M11604" t="s">
        <v>612</v>
      </c>
      <c r="N11604" t="s">
        <v>608</v>
      </c>
      <c r="O11604" s="37" t="str">
        <f t="shared" si="908"/>
        <v>Cash Payment</v>
      </c>
      <c r="P11604">
        <v>599.89</v>
      </c>
      <c r="Q11604" s="37" t="str">
        <f>IF(P11604&gt;500,"High","low")</f>
        <v>High</v>
      </c>
      <c r="R11604" s="37" t="str">
        <f t="shared" si="909"/>
        <v>Good</v>
      </c>
      <c r="S11604" t="s">
        <v>628</v>
      </c>
    </row>
    <row r="11605" spans="1:19" x14ac:dyDescent="0.2">
      <c r="A11605" t="s">
        <v>12216</v>
      </c>
      <c r="B11605" t="s">
        <v>83</v>
      </c>
      <c r="C11605" t="s">
        <v>617</v>
      </c>
      <c r="D11605">
        <v>3745.37</v>
      </c>
      <c r="E11605" s="37" t="str">
        <f t="shared" si="905"/>
        <v xml:space="preserve"> </v>
      </c>
      <c r="F11605">
        <v>0.3</v>
      </c>
      <c r="G11605" s="37" t="str">
        <f t="shared" si="906"/>
        <v>Normal Discount</v>
      </c>
      <c r="H11605" s="37" t="str">
        <f t="shared" si="907"/>
        <v>Medium</v>
      </c>
      <c r="I11605">
        <v>3</v>
      </c>
      <c r="J11605" t="str" cm="1">
        <f t="array" ref="J11605">_xlfn.IFS(I11605&lt;=3,"small",I11605&lt;=6,"Medium",I11605&lt;=9,"Large")</f>
        <v>small</v>
      </c>
      <c r="K11605" s="36">
        <v>45584</v>
      </c>
      <c r="L11605" s="36">
        <v>45590</v>
      </c>
      <c r="M11605" t="s">
        <v>598</v>
      </c>
      <c r="N11605" t="s">
        <v>599</v>
      </c>
      <c r="O11605" s="37" t="str">
        <f t="shared" si="908"/>
        <v>Digital Payment</v>
      </c>
      <c r="P11605">
        <v>443.26</v>
      </c>
      <c r="Q11605" s="37" t="str">
        <f>IF(P11605&gt;500,"High","low")</f>
        <v>low</v>
      </c>
      <c r="R11605" s="37" t="str">
        <f t="shared" si="909"/>
        <v>AVERAGE</v>
      </c>
      <c r="S11605" t="s">
        <v>609</v>
      </c>
    </row>
    <row r="11606" spans="1:19" x14ac:dyDescent="0.2">
      <c r="A11606" t="s">
        <v>12217</v>
      </c>
      <c r="B11606" t="s">
        <v>67</v>
      </c>
      <c r="C11606" t="s">
        <v>614</v>
      </c>
      <c r="D11606">
        <v>2040.07</v>
      </c>
      <c r="E11606" s="37" t="str">
        <f t="shared" si="905"/>
        <v xml:space="preserve"> </v>
      </c>
      <c r="F11606">
        <v>0.48</v>
      </c>
      <c r="G11606" s="37" t="str">
        <f t="shared" si="906"/>
        <v>Heavy Discount</v>
      </c>
      <c r="H11606" s="37" t="str">
        <f t="shared" si="907"/>
        <v>High</v>
      </c>
      <c r="I11606">
        <v>9</v>
      </c>
      <c r="J11606" t="str" cm="1">
        <f t="array" ref="J11606">_xlfn.IFS(I11606&lt;=3,"small",I11606&lt;=6,"Medium",I11606&lt;=9,"Large")</f>
        <v>Large</v>
      </c>
      <c r="K11606" s="36">
        <v>44941</v>
      </c>
      <c r="L11606" s="36">
        <v>44948</v>
      </c>
      <c r="M11606" t="s">
        <v>603</v>
      </c>
      <c r="N11606" t="s">
        <v>599</v>
      </c>
      <c r="O11606" s="37" t="str">
        <f t="shared" si="908"/>
        <v>Digital Payment</v>
      </c>
      <c r="P11606">
        <v>147.32</v>
      </c>
      <c r="Q11606" s="37" t="str">
        <f>IF(P11606&gt;500,"High","low")</f>
        <v>low</v>
      </c>
      <c r="R11606" s="37" t="str">
        <f t="shared" si="909"/>
        <v>AVERAGE</v>
      </c>
      <c r="S11606" t="s">
        <v>600</v>
      </c>
    </row>
    <row r="11607" spans="1:19" x14ac:dyDescent="0.2">
      <c r="A11607" t="s">
        <v>12218</v>
      </c>
      <c r="B11607" t="s">
        <v>75</v>
      </c>
      <c r="C11607" t="s">
        <v>614</v>
      </c>
      <c r="D11607">
        <v>737.8</v>
      </c>
      <c r="E11607" s="37" t="str">
        <f t="shared" si="905"/>
        <v xml:space="preserve"> </v>
      </c>
      <c r="F11607">
        <v>0.13</v>
      </c>
      <c r="G11607" s="37" t="str">
        <f t="shared" si="906"/>
        <v>Normal Discount</v>
      </c>
      <c r="H11607" s="37" t="str">
        <f t="shared" si="907"/>
        <v>Low</v>
      </c>
      <c r="I11607">
        <v>7</v>
      </c>
      <c r="J11607" t="str" cm="1">
        <f t="array" ref="J11607">_xlfn.IFS(I11607&lt;=3,"small",I11607&lt;=6,"Medium",I11607&lt;=9,"Large")</f>
        <v>Large</v>
      </c>
      <c r="K11607" s="36">
        <v>45271</v>
      </c>
      <c r="L11607" s="36">
        <v>45276</v>
      </c>
      <c r="M11607" t="s">
        <v>612</v>
      </c>
      <c r="N11607" t="s">
        <v>604</v>
      </c>
      <c r="O11607" s="37" t="str">
        <f t="shared" si="908"/>
        <v>Digital Payment</v>
      </c>
      <c r="P11607">
        <v>61.45</v>
      </c>
      <c r="Q11607" s="37" t="str">
        <f>IF(P11607&gt;500,"High","low")</f>
        <v>low</v>
      </c>
      <c r="R11607" s="37" t="str">
        <f t="shared" si="909"/>
        <v>AVERAGE</v>
      </c>
      <c r="S11607" t="s">
        <v>609</v>
      </c>
    </row>
    <row r="11608" spans="1:19" x14ac:dyDescent="0.2">
      <c r="A11608" t="s">
        <v>12219</v>
      </c>
      <c r="B11608" t="s">
        <v>90</v>
      </c>
      <c r="C11608" t="s">
        <v>614</v>
      </c>
      <c r="D11608">
        <v>3429.34</v>
      </c>
      <c r="E11608" s="37" t="str">
        <f t="shared" si="905"/>
        <v xml:space="preserve"> </v>
      </c>
      <c r="F11608">
        <v>0.24</v>
      </c>
      <c r="G11608" s="37" t="str">
        <f t="shared" si="906"/>
        <v>Normal Discount</v>
      </c>
      <c r="H11608" s="37" t="str">
        <f t="shared" si="907"/>
        <v>Medium</v>
      </c>
      <c r="I11608">
        <v>8</v>
      </c>
      <c r="J11608" t="str" cm="1">
        <f t="array" ref="J11608">_xlfn.IFS(I11608&lt;=3,"small",I11608&lt;=6,"Medium",I11608&lt;=9,"Large")</f>
        <v>Large</v>
      </c>
      <c r="K11608" s="36">
        <v>45198</v>
      </c>
      <c r="L11608" s="36">
        <v>45200</v>
      </c>
      <c r="M11608" t="s">
        <v>612</v>
      </c>
      <c r="N11608" t="s">
        <v>599</v>
      </c>
      <c r="O11608" s="37" t="str">
        <f t="shared" si="908"/>
        <v>Digital Payment</v>
      </c>
      <c r="P11608">
        <v>924.07</v>
      </c>
      <c r="Q11608" s="37" t="str">
        <f>IF(P11608&gt;500,"High","low")</f>
        <v>High</v>
      </c>
      <c r="R11608" s="37" t="str">
        <f t="shared" si="909"/>
        <v>Good</v>
      </c>
      <c r="S11608" t="s">
        <v>628</v>
      </c>
    </row>
    <row r="11609" spans="1:19" x14ac:dyDescent="0.2">
      <c r="A11609" t="s">
        <v>12220</v>
      </c>
      <c r="B11609" t="s">
        <v>83</v>
      </c>
      <c r="C11609" t="s">
        <v>607</v>
      </c>
      <c r="D11609">
        <v>4104.08</v>
      </c>
      <c r="E11609" s="37" t="str">
        <f t="shared" si="905"/>
        <v xml:space="preserve"> </v>
      </c>
      <c r="F11609">
        <v>0.35</v>
      </c>
      <c r="G11609" s="37" t="str">
        <f t="shared" si="906"/>
        <v>Heavy Discount</v>
      </c>
      <c r="H11609" s="37" t="str">
        <f t="shared" si="907"/>
        <v>Medium</v>
      </c>
      <c r="I11609">
        <v>2</v>
      </c>
      <c r="J11609" t="str" cm="1">
        <f t="array" ref="J11609">_xlfn.IFS(I11609&lt;=3,"small",I11609&lt;=6,"Medium",I11609&lt;=9,"Large")</f>
        <v>small</v>
      </c>
      <c r="K11609" s="36">
        <v>45002</v>
      </c>
      <c r="L11609" s="36">
        <v>45005</v>
      </c>
      <c r="M11609" t="s">
        <v>612</v>
      </c>
      <c r="N11609" t="s">
        <v>608</v>
      </c>
      <c r="O11609" s="37" t="str">
        <f t="shared" si="908"/>
        <v>Cash Payment</v>
      </c>
      <c r="P11609">
        <v>593.16999999999996</v>
      </c>
      <c r="Q11609" s="37" t="str">
        <f>IF(P11609&gt;500,"High","low")</f>
        <v>High</v>
      </c>
      <c r="R11609" s="37" t="str">
        <f t="shared" si="909"/>
        <v>Good</v>
      </c>
      <c r="S11609" t="s">
        <v>628</v>
      </c>
    </row>
    <row r="11610" spans="1:19" x14ac:dyDescent="0.2">
      <c r="A11610" t="s">
        <v>12221</v>
      </c>
      <c r="B11610" t="s">
        <v>75</v>
      </c>
      <c r="C11610" t="s">
        <v>602</v>
      </c>
      <c r="D11610">
        <v>162.71</v>
      </c>
      <c r="E11610" s="37" t="str">
        <f t="shared" si="905"/>
        <v xml:space="preserve"> </v>
      </c>
      <c r="F11610">
        <v>0.01</v>
      </c>
      <c r="G11610" s="37" t="str">
        <f t="shared" si="906"/>
        <v>Normal Discount</v>
      </c>
      <c r="H11610" s="37" t="str">
        <f t="shared" si="907"/>
        <v>Low</v>
      </c>
      <c r="I11610">
        <v>3</v>
      </c>
      <c r="J11610" t="str" cm="1">
        <f t="array" ref="J11610">_xlfn.IFS(I11610&lt;=3,"small",I11610&lt;=6,"Medium",I11610&lt;=9,"Large")</f>
        <v>small</v>
      </c>
      <c r="K11610" s="36">
        <v>44940</v>
      </c>
      <c r="L11610" s="36">
        <v>44945</v>
      </c>
      <c r="M11610" t="s">
        <v>612</v>
      </c>
      <c r="N11610" t="s">
        <v>599</v>
      </c>
      <c r="O11610" s="37" t="str">
        <f t="shared" si="908"/>
        <v>Digital Payment</v>
      </c>
      <c r="P11610">
        <v>40.65</v>
      </c>
      <c r="Q11610" s="37" t="str">
        <f>IF(P11610&gt;500,"High","low")</f>
        <v>low</v>
      </c>
      <c r="R11610" s="37" t="str">
        <f t="shared" si="909"/>
        <v>AVERAGE</v>
      </c>
      <c r="S11610" t="s">
        <v>605</v>
      </c>
    </row>
    <row r="11611" spans="1:19" x14ac:dyDescent="0.2">
      <c r="A11611" t="s">
        <v>12222</v>
      </c>
      <c r="B11611" t="s">
        <v>75</v>
      </c>
      <c r="C11611" t="s">
        <v>614</v>
      </c>
      <c r="D11611">
        <v>2856.51</v>
      </c>
      <c r="E11611" s="37" t="str">
        <f t="shared" si="905"/>
        <v xml:space="preserve"> </v>
      </c>
      <c r="F11611">
        <v>0.19</v>
      </c>
      <c r="G11611" s="37" t="str">
        <f t="shared" si="906"/>
        <v>Normal Discount</v>
      </c>
      <c r="H11611" s="37" t="str">
        <f t="shared" si="907"/>
        <v>Low</v>
      </c>
      <c r="I11611">
        <v>7</v>
      </c>
      <c r="J11611" t="str" cm="1">
        <f t="array" ref="J11611">_xlfn.IFS(I11611&lt;=3,"small",I11611&lt;=6,"Medium",I11611&lt;=9,"Large")</f>
        <v>Large</v>
      </c>
      <c r="K11611" s="36">
        <v>45485</v>
      </c>
      <c r="L11611" s="36">
        <v>45491</v>
      </c>
      <c r="M11611" t="s">
        <v>603</v>
      </c>
      <c r="N11611" t="s">
        <v>599</v>
      </c>
      <c r="O11611" s="37" t="str">
        <f t="shared" si="908"/>
        <v>Digital Payment</v>
      </c>
      <c r="P11611">
        <v>427.93</v>
      </c>
      <c r="Q11611" s="37" t="str">
        <f>IF(P11611&gt;500,"High","low")</f>
        <v>low</v>
      </c>
      <c r="R11611" s="37" t="str">
        <f t="shared" si="909"/>
        <v>AVERAGE</v>
      </c>
      <c r="S11611" t="s">
        <v>615</v>
      </c>
    </row>
    <row r="11612" spans="1:19" x14ac:dyDescent="0.2">
      <c r="A11612" t="s">
        <v>12223</v>
      </c>
      <c r="B11612" t="s">
        <v>83</v>
      </c>
      <c r="C11612" t="s">
        <v>607</v>
      </c>
      <c r="D11612">
        <v>2400.08</v>
      </c>
      <c r="E11612" s="37" t="str">
        <f t="shared" si="905"/>
        <v xml:space="preserve"> </v>
      </c>
      <c r="F11612">
        <v>0.28000000000000003</v>
      </c>
      <c r="G11612" s="37" t="str">
        <f t="shared" si="906"/>
        <v>Normal Discount</v>
      </c>
      <c r="H11612" s="37" t="str">
        <f t="shared" si="907"/>
        <v>Medium</v>
      </c>
      <c r="I11612">
        <v>2</v>
      </c>
      <c r="J11612" t="str" cm="1">
        <f t="array" ref="J11612">_xlfn.IFS(I11612&lt;=3,"small",I11612&lt;=6,"Medium",I11612&lt;=9,"Large")</f>
        <v>small</v>
      </c>
      <c r="K11612" s="36">
        <v>45620</v>
      </c>
      <c r="L11612" s="36">
        <v>45624</v>
      </c>
      <c r="M11612" t="s">
        <v>598</v>
      </c>
      <c r="N11612" t="s">
        <v>604</v>
      </c>
      <c r="O11612" s="37" t="str">
        <f t="shared" si="908"/>
        <v>Digital Payment</v>
      </c>
      <c r="P11612">
        <v>578.98</v>
      </c>
      <c r="Q11612" s="37" t="str">
        <f>IF(P11612&gt;500,"High","low")</f>
        <v>High</v>
      </c>
      <c r="R11612" s="37" t="str">
        <f t="shared" si="909"/>
        <v>Good</v>
      </c>
      <c r="S11612" t="s">
        <v>620</v>
      </c>
    </row>
    <row r="11613" spans="1:19" x14ac:dyDescent="0.2">
      <c r="A11613" t="s">
        <v>12224</v>
      </c>
      <c r="B11613" t="s">
        <v>75</v>
      </c>
      <c r="C11613" t="s">
        <v>614</v>
      </c>
      <c r="D11613">
        <v>1372.02</v>
      </c>
      <c r="E11613" s="37" t="str">
        <f t="shared" si="905"/>
        <v xml:space="preserve"> </v>
      </c>
      <c r="F11613">
        <v>0.45</v>
      </c>
      <c r="G11613" s="37" t="str">
        <f t="shared" si="906"/>
        <v>Heavy Discount</v>
      </c>
      <c r="H11613" s="37" t="str">
        <f t="shared" si="907"/>
        <v>High</v>
      </c>
      <c r="I11613">
        <v>6</v>
      </c>
      <c r="J11613" t="str" cm="1">
        <f t="array" ref="J11613">_xlfn.IFS(I11613&lt;=3,"small",I11613&lt;=6,"Medium",I11613&lt;=9,"Large")</f>
        <v>Medium</v>
      </c>
      <c r="K11613" s="36">
        <v>44984</v>
      </c>
      <c r="L11613" s="36">
        <v>44990</v>
      </c>
      <c r="M11613" t="s">
        <v>603</v>
      </c>
      <c r="N11613" t="s">
        <v>599</v>
      </c>
      <c r="O11613" s="37" t="str">
        <f t="shared" si="908"/>
        <v>Digital Payment</v>
      </c>
      <c r="P11613">
        <v>356.78</v>
      </c>
      <c r="Q11613" s="37" t="str">
        <f>IF(P11613&gt;500,"High","low")</f>
        <v>low</v>
      </c>
      <c r="R11613" s="37" t="str">
        <f t="shared" si="909"/>
        <v>AVERAGE</v>
      </c>
      <c r="S11613" t="s">
        <v>620</v>
      </c>
    </row>
    <row r="11614" spans="1:19" x14ac:dyDescent="0.2">
      <c r="A11614" t="s">
        <v>12225</v>
      </c>
      <c r="B11614" t="s">
        <v>83</v>
      </c>
      <c r="C11614" t="s">
        <v>607</v>
      </c>
      <c r="D11614">
        <v>889.04</v>
      </c>
      <c r="E11614" s="37" t="str">
        <f t="shared" si="905"/>
        <v xml:space="preserve"> </v>
      </c>
      <c r="F11614">
        <v>0.5</v>
      </c>
      <c r="G11614" s="37" t="str">
        <f t="shared" si="906"/>
        <v>Heavy Discount</v>
      </c>
      <c r="H11614" s="37" t="str">
        <f t="shared" si="907"/>
        <v>High</v>
      </c>
      <c r="I11614">
        <v>7</v>
      </c>
      <c r="J11614" t="str" cm="1">
        <f t="array" ref="J11614">_xlfn.IFS(I11614&lt;=3,"small",I11614&lt;=6,"Medium",I11614&lt;=9,"Large")</f>
        <v>Large</v>
      </c>
      <c r="K11614" s="36">
        <v>45643</v>
      </c>
      <c r="L11614" s="36">
        <v>45645</v>
      </c>
      <c r="M11614" t="s">
        <v>603</v>
      </c>
      <c r="N11614" t="s">
        <v>608</v>
      </c>
      <c r="O11614" s="37" t="str">
        <f t="shared" si="908"/>
        <v>Cash Payment</v>
      </c>
      <c r="P11614">
        <v>117.43</v>
      </c>
      <c r="Q11614" s="37" t="str">
        <f>IF(P11614&gt;500,"High","low")</f>
        <v>low</v>
      </c>
      <c r="R11614" s="37" t="str">
        <f t="shared" si="909"/>
        <v>AVERAGE</v>
      </c>
      <c r="S11614" t="s">
        <v>620</v>
      </c>
    </row>
    <row r="11615" spans="1:19" x14ac:dyDescent="0.2">
      <c r="A11615" t="s">
        <v>12226</v>
      </c>
      <c r="B11615" t="s">
        <v>83</v>
      </c>
      <c r="C11615" t="s">
        <v>614</v>
      </c>
      <c r="D11615">
        <v>1021.38</v>
      </c>
      <c r="E11615" s="37" t="str">
        <f t="shared" si="905"/>
        <v xml:space="preserve"> </v>
      </c>
      <c r="F11615">
        <v>0.28000000000000003</v>
      </c>
      <c r="G11615" s="37" t="str">
        <f t="shared" si="906"/>
        <v>Normal Discount</v>
      </c>
      <c r="H11615" s="37" t="str">
        <f t="shared" si="907"/>
        <v>Medium</v>
      </c>
      <c r="I11615">
        <v>6</v>
      </c>
      <c r="J11615" t="str" cm="1">
        <f t="array" ref="J11615">_xlfn.IFS(I11615&lt;=3,"small",I11615&lt;=6,"Medium",I11615&lt;=9,"Large")</f>
        <v>Medium</v>
      </c>
      <c r="K11615" s="36">
        <v>45157</v>
      </c>
      <c r="L11615" s="36">
        <v>45160</v>
      </c>
      <c r="M11615" t="s">
        <v>612</v>
      </c>
      <c r="N11615" t="s">
        <v>608</v>
      </c>
      <c r="O11615" s="37" t="str">
        <f t="shared" si="908"/>
        <v>Cash Payment</v>
      </c>
      <c r="P11615">
        <v>305.3</v>
      </c>
      <c r="Q11615" s="37" t="str">
        <f>IF(P11615&gt;500,"High","low")</f>
        <v>low</v>
      </c>
      <c r="R11615" s="37" t="str">
        <f t="shared" si="909"/>
        <v>AVERAGE</v>
      </c>
      <c r="S11615" t="s">
        <v>615</v>
      </c>
    </row>
    <row r="11616" spans="1:19" x14ac:dyDescent="0.2">
      <c r="A11616" t="s">
        <v>12227</v>
      </c>
      <c r="B11616" t="s">
        <v>83</v>
      </c>
      <c r="C11616" t="s">
        <v>602</v>
      </c>
      <c r="D11616">
        <v>3652.37</v>
      </c>
      <c r="E11616" s="37" t="str">
        <f t="shared" si="905"/>
        <v xml:space="preserve"> </v>
      </c>
      <c r="F11616">
        <v>0.47</v>
      </c>
      <c r="G11616" s="37" t="str">
        <f t="shared" si="906"/>
        <v>Heavy Discount</v>
      </c>
      <c r="H11616" s="37" t="str">
        <f t="shared" si="907"/>
        <v>High</v>
      </c>
      <c r="I11616">
        <v>5</v>
      </c>
      <c r="J11616" t="str" cm="1">
        <f t="array" ref="J11616">_xlfn.IFS(I11616&lt;=3,"small",I11616&lt;=6,"Medium",I11616&lt;=9,"Large")</f>
        <v>Medium</v>
      </c>
      <c r="K11616" s="36">
        <v>45596</v>
      </c>
      <c r="L11616" s="36">
        <v>45602</v>
      </c>
      <c r="M11616" t="s">
        <v>598</v>
      </c>
      <c r="N11616" t="s">
        <v>608</v>
      </c>
      <c r="O11616" s="37" t="str">
        <f t="shared" si="908"/>
        <v>Cash Payment</v>
      </c>
      <c r="P11616">
        <v>343.26</v>
      </c>
      <c r="Q11616" s="37" t="str">
        <f>IF(P11616&gt;500,"High","low")</f>
        <v>low</v>
      </c>
      <c r="R11616" s="37" t="str">
        <f t="shared" si="909"/>
        <v>AVERAGE</v>
      </c>
      <c r="S11616" t="s">
        <v>615</v>
      </c>
    </row>
    <row r="11617" spans="1:19" x14ac:dyDescent="0.2">
      <c r="A11617" t="s">
        <v>12228</v>
      </c>
      <c r="B11617" t="s">
        <v>90</v>
      </c>
      <c r="C11617" t="s">
        <v>617</v>
      </c>
      <c r="D11617">
        <v>2727.36</v>
      </c>
      <c r="E11617" s="37" t="str">
        <f t="shared" si="905"/>
        <v xml:space="preserve"> </v>
      </c>
      <c r="F11617">
        <v>0.05</v>
      </c>
      <c r="G11617" s="37" t="str">
        <f t="shared" si="906"/>
        <v>Normal Discount</v>
      </c>
      <c r="H11617" s="37" t="str">
        <f t="shared" si="907"/>
        <v>Low</v>
      </c>
      <c r="I11617">
        <v>9</v>
      </c>
      <c r="J11617" t="str" cm="1">
        <f t="array" ref="J11617">_xlfn.IFS(I11617&lt;=3,"small",I11617&lt;=6,"Medium",I11617&lt;=9,"Large")</f>
        <v>Large</v>
      </c>
      <c r="K11617" s="36">
        <v>45410</v>
      </c>
      <c r="L11617" s="36">
        <v>45417</v>
      </c>
      <c r="M11617" t="s">
        <v>612</v>
      </c>
      <c r="N11617" t="s">
        <v>604</v>
      </c>
      <c r="O11617" s="37" t="str">
        <f t="shared" si="908"/>
        <v>Digital Payment</v>
      </c>
      <c r="P11617">
        <v>520.07000000000005</v>
      </c>
      <c r="Q11617" s="37" t="str">
        <f>IF(P11617&gt;500,"High","low")</f>
        <v>High</v>
      </c>
      <c r="R11617" s="37" t="str">
        <f t="shared" si="909"/>
        <v>Good</v>
      </c>
      <c r="S11617" t="s">
        <v>600</v>
      </c>
    </row>
    <row r="11618" spans="1:19" x14ac:dyDescent="0.2">
      <c r="A11618" t="s">
        <v>12229</v>
      </c>
      <c r="B11618" t="s">
        <v>83</v>
      </c>
      <c r="C11618" t="s">
        <v>614</v>
      </c>
      <c r="D11618">
        <v>4907.66</v>
      </c>
      <c r="E11618" s="37" t="str">
        <f t="shared" si="905"/>
        <v>Excellent Order</v>
      </c>
      <c r="F11618">
        <v>0.35</v>
      </c>
      <c r="G11618" s="37" t="str">
        <f t="shared" si="906"/>
        <v>Heavy Discount</v>
      </c>
      <c r="H11618" s="37" t="str">
        <f t="shared" si="907"/>
        <v>Medium</v>
      </c>
      <c r="I11618">
        <v>3</v>
      </c>
      <c r="J11618" t="str" cm="1">
        <f t="array" ref="J11618">_xlfn.IFS(I11618&lt;=3,"small",I11618&lt;=6,"Medium",I11618&lt;=9,"Large")</f>
        <v>small</v>
      </c>
      <c r="K11618" s="36">
        <v>45228</v>
      </c>
      <c r="L11618" s="36">
        <v>45231</v>
      </c>
      <c r="M11618" t="s">
        <v>603</v>
      </c>
      <c r="N11618" t="s">
        <v>604</v>
      </c>
      <c r="O11618" s="37" t="str">
        <f t="shared" si="908"/>
        <v>Digital Payment</v>
      </c>
      <c r="P11618">
        <v>1061.8699999999999</v>
      </c>
      <c r="Q11618" s="37" t="str">
        <f>IF(P11618&gt;500,"High","low")</f>
        <v>High</v>
      </c>
      <c r="R11618" s="37" t="str">
        <f t="shared" si="909"/>
        <v>Excellent</v>
      </c>
      <c r="S11618" t="s">
        <v>620</v>
      </c>
    </row>
    <row r="11619" spans="1:19" x14ac:dyDescent="0.2">
      <c r="A11619" t="s">
        <v>12230</v>
      </c>
      <c r="B11619" t="s">
        <v>67</v>
      </c>
      <c r="C11619" t="s">
        <v>617</v>
      </c>
      <c r="D11619">
        <v>1291.83</v>
      </c>
      <c r="E11619" s="37" t="str">
        <f t="shared" si="905"/>
        <v xml:space="preserve"> </v>
      </c>
      <c r="F11619">
        <v>0.2</v>
      </c>
      <c r="G11619" s="37" t="str">
        <f t="shared" si="906"/>
        <v>Normal Discount</v>
      </c>
      <c r="H11619" s="37" t="str">
        <f t="shared" si="907"/>
        <v>Medium</v>
      </c>
      <c r="I11619">
        <v>5</v>
      </c>
      <c r="J11619" t="str" cm="1">
        <f t="array" ref="J11619">_xlfn.IFS(I11619&lt;=3,"small",I11619&lt;=6,"Medium",I11619&lt;=9,"Large")</f>
        <v>Medium</v>
      </c>
      <c r="K11619" s="36">
        <v>45454</v>
      </c>
      <c r="L11619" s="36">
        <v>45456</v>
      </c>
      <c r="M11619" t="s">
        <v>603</v>
      </c>
      <c r="N11619" t="s">
        <v>608</v>
      </c>
      <c r="O11619" s="37" t="str">
        <f t="shared" si="908"/>
        <v>Cash Payment</v>
      </c>
      <c r="P11619">
        <v>114.29</v>
      </c>
      <c r="Q11619" s="37" t="str">
        <f>IF(P11619&gt;500,"High","low")</f>
        <v>low</v>
      </c>
      <c r="R11619" s="37" t="str">
        <f t="shared" si="909"/>
        <v>AVERAGE</v>
      </c>
      <c r="S11619" t="s">
        <v>600</v>
      </c>
    </row>
    <row r="11620" spans="1:19" x14ac:dyDescent="0.2">
      <c r="A11620" t="s">
        <v>12231</v>
      </c>
      <c r="B11620" t="s">
        <v>75</v>
      </c>
      <c r="C11620" t="s">
        <v>614</v>
      </c>
      <c r="D11620">
        <v>4788.83</v>
      </c>
      <c r="E11620" s="37" t="str">
        <f t="shared" si="905"/>
        <v xml:space="preserve"> </v>
      </c>
      <c r="F11620">
        <v>0.38</v>
      </c>
      <c r="G11620" s="37" t="str">
        <f t="shared" si="906"/>
        <v>Heavy Discount</v>
      </c>
      <c r="H11620" s="37" t="str">
        <f t="shared" si="907"/>
        <v>Medium</v>
      </c>
      <c r="I11620">
        <v>5</v>
      </c>
      <c r="J11620" t="str" cm="1">
        <f t="array" ref="J11620">_xlfn.IFS(I11620&lt;=3,"small",I11620&lt;=6,"Medium",I11620&lt;=9,"Large")</f>
        <v>Medium</v>
      </c>
      <c r="K11620" s="36">
        <v>45055</v>
      </c>
      <c r="L11620" s="36">
        <v>45062</v>
      </c>
      <c r="M11620" t="s">
        <v>598</v>
      </c>
      <c r="N11620" t="s">
        <v>599</v>
      </c>
      <c r="O11620" s="37" t="str">
        <f t="shared" si="908"/>
        <v>Digital Payment</v>
      </c>
      <c r="P11620">
        <v>279.57</v>
      </c>
      <c r="Q11620" s="37" t="str">
        <f>IF(P11620&gt;500,"High","low")</f>
        <v>low</v>
      </c>
      <c r="R11620" s="37" t="str">
        <f t="shared" si="909"/>
        <v>AVERAGE</v>
      </c>
      <c r="S11620" t="s">
        <v>600</v>
      </c>
    </row>
    <row r="11621" spans="1:19" x14ac:dyDescent="0.2">
      <c r="A11621" t="s">
        <v>12232</v>
      </c>
      <c r="B11621" t="s">
        <v>90</v>
      </c>
      <c r="C11621" t="s">
        <v>602</v>
      </c>
      <c r="D11621">
        <v>2624.04</v>
      </c>
      <c r="E11621" s="37" t="str">
        <f t="shared" si="905"/>
        <v xml:space="preserve"> </v>
      </c>
      <c r="F11621">
        <v>0.43</v>
      </c>
      <c r="G11621" s="37" t="str">
        <f t="shared" si="906"/>
        <v>Heavy Discount</v>
      </c>
      <c r="H11621" s="37" t="str">
        <f t="shared" si="907"/>
        <v>High</v>
      </c>
      <c r="I11621">
        <v>8</v>
      </c>
      <c r="J11621" t="str" cm="1">
        <f t="array" ref="J11621">_xlfn.IFS(I11621&lt;=3,"small",I11621&lt;=6,"Medium",I11621&lt;=9,"Large")</f>
        <v>Large</v>
      </c>
      <c r="K11621" s="36">
        <v>45607</v>
      </c>
      <c r="L11621" s="36">
        <v>45614</v>
      </c>
      <c r="M11621" t="s">
        <v>598</v>
      </c>
      <c r="N11621" t="s">
        <v>604</v>
      </c>
      <c r="O11621" s="37" t="str">
        <f t="shared" si="908"/>
        <v>Digital Payment</v>
      </c>
      <c r="P11621">
        <v>209.25</v>
      </c>
      <c r="Q11621" s="37" t="str">
        <f>IF(P11621&gt;500,"High","low")</f>
        <v>low</v>
      </c>
      <c r="R11621" s="37" t="str">
        <f t="shared" si="909"/>
        <v>AVERAGE</v>
      </c>
      <c r="S11621" t="s">
        <v>609</v>
      </c>
    </row>
    <row r="11622" spans="1:19" x14ac:dyDescent="0.2">
      <c r="A11622" t="s">
        <v>12233</v>
      </c>
      <c r="B11622" t="s">
        <v>75</v>
      </c>
      <c r="C11622" t="s">
        <v>617</v>
      </c>
      <c r="D11622">
        <v>815.53</v>
      </c>
      <c r="E11622" s="37" t="str">
        <f t="shared" si="905"/>
        <v xml:space="preserve"> </v>
      </c>
      <c r="F11622">
        <v>0.03</v>
      </c>
      <c r="G11622" s="37" t="str">
        <f t="shared" si="906"/>
        <v>Normal Discount</v>
      </c>
      <c r="H11622" s="37" t="str">
        <f t="shared" si="907"/>
        <v>Low</v>
      </c>
      <c r="I11622">
        <v>8</v>
      </c>
      <c r="J11622" t="str" cm="1">
        <f t="array" ref="J11622">_xlfn.IFS(I11622&lt;=3,"small",I11622&lt;=6,"Medium",I11622&lt;=9,"Large")</f>
        <v>Large</v>
      </c>
      <c r="K11622" s="36">
        <v>45131</v>
      </c>
      <c r="L11622" s="36">
        <v>45132</v>
      </c>
      <c r="M11622" t="s">
        <v>603</v>
      </c>
      <c r="N11622" t="s">
        <v>599</v>
      </c>
      <c r="O11622" s="37" t="str">
        <f t="shared" si="908"/>
        <v>Digital Payment</v>
      </c>
      <c r="P11622">
        <v>70.400000000000006</v>
      </c>
      <c r="Q11622" s="37" t="str">
        <f>IF(P11622&gt;500,"High","low")</f>
        <v>low</v>
      </c>
      <c r="R11622" s="37" t="str">
        <f t="shared" si="909"/>
        <v>AVERAGE</v>
      </c>
      <c r="S11622" t="s">
        <v>620</v>
      </c>
    </row>
    <row r="11623" spans="1:19" x14ac:dyDescent="0.2">
      <c r="A11623" t="s">
        <v>12234</v>
      </c>
      <c r="B11623" t="s">
        <v>90</v>
      </c>
      <c r="C11623" t="s">
        <v>607</v>
      </c>
      <c r="D11623">
        <v>826.08</v>
      </c>
      <c r="E11623" s="37" t="str">
        <f t="shared" si="905"/>
        <v xml:space="preserve"> </v>
      </c>
      <c r="F11623">
        <v>0.47</v>
      </c>
      <c r="G11623" s="37" t="str">
        <f t="shared" si="906"/>
        <v>Heavy Discount</v>
      </c>
      <c r="H11623" s="37" t="str">
        <f t="shared" si="907"/>
        <v>High</v>
      </c>
      <c r="I11623">
        <v>1</v>
      </c>
      <c r="J11623" t="str" cm="1">
        <f t="array" ref="J11623">_xlfn.IFS(I11623&lt;=3,"small",I11623&lt;=6,"Medium",I11623&lt;=9,"Large")</f>
        <v>small</v>
      </c>
      <c r="K11623" s="36">
        <v>44988</v>
      </c>
      <c r="L11623" s="36">
        <v>44994</v>
      </c>
      <c r="M11623" t="s">
        <v>612</v>
      </c>
      <c r="N11623" t="s">
        <v>599</v>
      </c>
      <c r="O11623" s="37" t="str">
        <f t="shared" si="908"/>
        <v>Digital Payment</v>
      </c>
      <c r="P11623">
        <v>172.96</v>
      </c>
      <c r="Q11623" s="37" t="str">
        <f>IF(P11623&gt;500,"High","low")</f>
        <v>low</v>
      </c>
      <c r="R11623" s="37" t="str">
        <f t="shared" si="909"/>
        <v>AVERAGE</v>
      </c>
      <c r="S11623" t="s">
        <v>615</v>
      </c>
    </row>
    <row r="11624" spans="1:19" x14ac:dyDescent="0.2">
      <c r="A11624" t="s">
        <v>12235</v>
      </c>
      <c r="B11624" t="s">
        <v>67</v>
      </c>
      <c r="C11624" t="s">
        <v>614</v>
      </c>
      <c r="D11624">
        <v>3081.98</v>
      </c>
      <c r="E11624" s="37" t="str">
        <f t="shared" si="905"/>
        <v xml:space="preserve"> </v>
      </c>
      <c r="F11624">
        <v>0.03</v>
      </c>
      <c r="G11624" s="37" t="str">
        <f t="shared" si="906"/>
        <v>Normal Discount</v>
      </c>
      <c r="H11624" s="37" t="str">
        <f t="shared" si="907"/>
        <v>Low</v>
      </c>
      <c r="I11624">
        <v>6</v>
      </c>
      <c r="J11624" t="str" cm="1">
        <f t="array" ref="J11624">_xlfn.IFS(I11624&lt;=3,"small",I11624&lt;=6,"Medium",I11624&lt;=9,"Large")</f>
        <v>Medium</v>
      </c>
      <c r="K11624" s="36">
        <v>45330</v>
      </c>
      <c r="L11624" s="36">
        <v>45335</v>
      </c>
      <c r="M11624" t="s">
        <v>598</v>
      </c>
      <c r="N11624" t="s">
        <v>604</v>
      </c>
      <c r="O11624" s="37" t="str">
        <f t="shared" si="908"/>
        <v>Digital Payment</v>
      </c>
      <c r="P11624">
        <v>902.22</v>
      </c>
      <c r="Q11624" s="37" t="str">
        <f>IF(P11624&gt;500,"High","low")</f>
        <v>High</v>
      </c>
      <c r="R11624" s="37" t="str">
        <f t="shared" si="909"/>
        <v>Good</v>
      </c>
      <c r="S11624" t="s">
        <v>600</v>
      </c>
    </row>
    <row r="11625" spans="1:19" x14ac:dyDescent="0.2">
      <c r="A11625" t="s">
        <v>12236</v>
      </c>
      <c r="B11625" t="s">
        <v>90</v>
      </c>
      <c r="C11625" t="s">
        <v>614</v>
      </c>
      <c r="D11625">
        <v>4173.97</v>
      </c>
      <c r="E11625" s="37" t="str">
        <f t="shared" si="905"/>
        <v xml:space="preserve"> </v>
      </c>
      <c r="F11625">
        <v>0.38</v>
      </c>
      <c r="G11625" s="37" t="str">
        <f t="shared" si="906"/>
        <v>Heavy Discount</v>
      </c>
      <c r="H11625" s="37" t="str">
        <f t="shared" si="907"/>
        <v>Medium</v>
      </c>
      <c r="I11625">
        <v>6</v>
      </c>
      <c r="J11625" t="str" cm="1">
        <f t="array" ref="J11625">_xlfn.IFS(I11625&lt;=3,"small",I11625&lt;=6,"Medium",I11625&lt;=9,"Large")</f>
        <v>Medium</v>
      </c>
      <c r="K11625" s="36">
        <v>44981</v>
      </c>
      <c r="L11625" s="36">
        <v>44986</v>
      </c>
      <c r="M11625" t="s">
        <v>612</v>
      </c>
      <c r="N11625" t="s">
        <v>599</v>
      </c>
      <c r="O11625" s="37" t="str">
        <f t="shared" si="908"/>
        <v>Digital Payment</v>
      </c>
      <c r="P11625">
        <v>725.52</v>
      </c>
      <c r="Q11625" s="37" t="str">
        <f>IF(P11625&gt;500,"High","low")</f>
        <v>High</v>
      </c>
      <c r="R11625" s="37" t="str">
        <f t="shared" si="909"/>
        <v>Good</v>
      </c>
      <c r="S11625" t="s">
        <v>620</v>
      </c>
    </row>
    <row r="11626" spans="1:19" x14ac:dyDescent="0.2">
      <c r="A11626" t="s">
        <v>12237</v>
      </c>
      <c r="B11626" t="s">
        <v>90</v>
      </c>
      <c r="C11626" t="s">
        <v>607</v>
      </c>
      <c r="D11626">
        <v>3763.79</v>
      </c>
      <c r="E11626" s="37" t="str">
        <f t="shared" si="905"/>
        <v xml:space="preserve"> </v>
      </c>
      <c r="F11626">
        <v>0.03</v>
      </c>
      <c r="G11626" s="37" t="str">
        <f t="shared" si="906"/>
        <v>Normal Discount</v>
      </c>
      <c r="H11626" s="37" t="str">
        <f t="shared" si="907"/>
        <v>Low</v>
      </c>
      <c r="I11626">
        <v>2</v>
      </c>
      <c r="J11626" t="str" cm="1">
        <f t="array" ref="J11626">_xlfn.IFS(I11626&lt;=3,"small",I11626&lt;=6,"Medium",I11626&lt;=9,"Large")</f>
        <v>small</v>
      </c>
      <c r="K11626" s="36">
        <v>45233</v>
      </c>
      <c r="L11626" s="36">
        <v>45235</v>
      </c>
      <c r="M11626" t="s">
        <v>603</v>
      </c>
      <c r="N11626" t="s">
        <v>599</v>
      </c>
      <c r="O11626" s="37" t="str">
        <f t="shared" si="908"/>
        <v>Digital Payment</v>
      </c>
      <c r="P11626">
        <v>935.36</v>
      </c>
      <c r="Q11626" s="37" t="str">
        <f>IF(P11626&gt;500,"High","low")</f>
        <v>High</v>
      </c>
      <c r="R11626" s="37" t="str">
        <f t="shared" si="909"/>
        <v>Good</v>
      </c>
      <c r="S11626" t="s">
        <v>605</v>
      </c>
    </row>
    <row r="11627" spans="1:19" x14ac:dyDescent="0.2">
      <c r="A11627" t="s">
        <v>12238</v>
      </c>
      <c r="B11627" t="s">
        <v>90</v>
      </c>
      <c r="C11627" t="s">
        <v>602</v>
      </c>
      <c r="D11627">
        <v>3312.57</v>
      </c>
      <c r="E11627" s="37" t="str">
        <f t="shared" si="905"/>
        <v xml:space="preserve"> </v>
      </c>
      <c r="F11627">
        <v>0.43</v>
      </c>
      <c r="G11627" s="37" t="str">
        <f t="shared" si="906"/>
        <v>Heavy Discount</v>
      </c>
      <c r="H11627" s="37" t="str">
        <f t="shared" si="907"/>
        <v>High</v>
      </c>
      <c r="I11627">
        <v>5</v>
      </c>
      <c r="J11627" t="str" cm="1">
        <f t="array" ref="J11627">_xlfn.IFS(I11627&lt;=3,"small",I11627&lt;=6,"Medium",I11627&lt;=9,"Large")</f>
        <v>Medium</v>
      </c>
      <c r="K11627" s="36">
        <v>45555</v>
      </c>
      <c r="L11627" s="36">
        <v>45558</v>
      </c>
      <c r="M11627" t="s">
        <v>603</v>
      </c>
      <c r="N11627" t="s">
        <v>608</v>
      </c>
      <c r="O11627" s="37" t="str">
        <f t="shared" si="908"/>
        <v>Cash Payment</v>
      </c>
      <c r="P11627">
        <v>252.8</v>
      </c>
      <c r="Q11627" s="37" t="str">
        <f>IF(P11627&gt;500,"High","low")</f>
        <v>low</v>
      </c>
      <c r="R11627" s="37" t="str">
        <f t="shared" si="909"/>
        <v>AVERAGE</v>
      </c>
      <c r="S11627" t="s">
        <v>605</v>
      </c>
    </row>
    <row r="11628" spans="1:19" x14ac:dyDescent="0.2">
      <c r="A11628" t="s">
        <v>12239</v>
      </c>
      <c r="B11628" t="s">
        <v>75</v>
      </c>
      <c r="C11628" t="s">
        <v>597</v>
      </c>
      <c r="D11628">
        <v>943.33</v>
      </c>
      <c r="E11628" s="37" t="str">
        <f t="shared" si="905"/>
        <v xml:space="preserve"> </v>
      </c>
      <c r="F11628">
        <v>0.1</v>
      </c>
      <c r="G11628" s="37" t="str">
        <f t="shared" si="906"/>
        <v>Normal Discount</v>
      </c>
      <c r="H11628" s="37" t="str">
        <f t="shared" si="907"/>
        <v>Low</v>
      </c>
      <c r="I11628">
        <v>6</v>
      </c>
      <c r="J11628" t="str" cm="1">
        <f t="array" ref="J11628">_xlfn.IFS(I11628&lt;=3,"small",I11628&lt;=6,"Medium",I11628&lt;=9,"Large")</f>
        <v>Medium</v>
      </c>
      <c r="K11628" s="36">
        <v>44995</v>
      </c>
      <c r="L11628" s="36">
        <v>44996</v>
      </c>
      <c r="M11628" t="s">
        <v>598</v>
      </c>
      <c r="N11628" t="s">
        <v>599</v>
      </c>
      <c r="O11628" s="37" t="str">
        <f t="shared" si="908"/>
        <v>Digital Payment</v>
      </c>
      <c r="P11628">
        <v>130.29</v>
      </c>
      <c r="Q11628" s="37" t="str">
        <f>IF(P11628&gt;500,"High","low")</f>
        <v>low</v>
      </c>
      <c r="R11628" s="37" t="str">
        <f t="shared" si="909"/>
        <v>AVERAGE</v>
      </c>
      <c r="S11628" t="s">
        <v>605</v>
      </c>
    </row>
    <row r="11629" spans="1:19" x14ac:dyDescent="0.2">
      <c r="A11629" t="s">
        <v>12240</v>
      </c>
      <c r="B11629" t="s">
        <v>83</v>
      </c>
      <c r="C11629" t="s">
        <v>614</v>
      </c>
      <c r="D11629">
        <v>630.87</v>
      </c>
      <c r="E11629" s="37" t="str">
        <f t="shared" si="905"/>
        <v xml:space="preserve"> </v>
      </c>
      <c r="F11629">
        <v>0.22</v>
      </c>
      <c r="G11629" s="37" t="str">
        <f t="shared" si="906"/>
        <v>Normal Discount</v>
      </c>
      <c r="H11629" s="37" t="str">
        <f t="shared" si="907"/>
        <v>Medium</v>
      </c>
      <c r="I11629">
        <v>3</v>
      </c>
      <c r="J11629" t="str" cm="1">
        <f t="array" ref="J11629">_xlfn.IFS(I11629&lt;=3,"small",I11629&lt;=6,"Medium",I11629&lt;=9,"Large")</f>
        <v>small</v>
      </c>
      <c r="K11629" s="36">
        <v>45127</v>
      </c>
      <c r="L11629" s="36">
        <v>45131</v>
      </c>
      <c r="M11629" t="s">
        <v>598</v>
      </c>
      <c r="N11629" t="s">
        <v>599</v>
      </c>
      <c r="O11629" s="37" t="str">
        <f t="shared" si="908"/>
        <v>Digital Payment</v>
      </c>
      <c r="P11629">
        <v>56.31</v>
      </c>
      <c r="Q11629" s="37" t="str">
        <f>IF(P11629&gt;500,"High","low")</f>
        <v>low</v>
      </c>
      <c r="R11629" s="37" t="str">
        <f t="shared" si="909"/>
        <v>AVERAGE</v>
      </c>
      <c r="S11629" t="s">
        <v>628</v>
      </c>
    </row>
    <row r="11630" spans="1:19" x14ac:dyDescent="0.2">
      <c r="A11630" t="s">
        <v>12241</v>
      </c>
      <c r="B11630" t="s">
        <v>75</v>
      </c>
      <c r="C11630" t="s">
        <v>607</v>
      </c>
      <c r="D11630">
        <v>101.22</v>
      </c>
      <c r="E11630" s="37" t="str">
        <f t="shared" si="905"/>
        <v xml:space="preserve"> </v>
      </c>
      <c r="F11630">
        <v>0.47</v>
      </c>
      <c r="G11630" s="37" t="str">
        <f t="shared" si="906"/>
        <v>Heavy Discount</v>
      </c>
      <c r="H11630" s="37" t="str">
        <f t="shared" si="907"/>
        <v>High</v>
      </c>
      <c r="I11630">
        <v>1</v>
      </c>
      <c r="J11630" t="str" cm="1">
        <f t="array" ref="J11630">_xlfn.IFS(I11630&lt;=3,"small",I11630&lt;=6,"Medium",I11630&lt;=9,"Large")</f>
        <v>small</v>
      </c>
      <c r="K11630" s="36">
        <v>45023</v>
      </c>
      <c r="L11630" s="36">
        <v>45030</v>
      </c>
      <c r="M11630" t="s">
        <v>612</v>
      </c>
      <c r="N11630" t="s">
        <v>604</v>
      </c>
      <c r="O11630" s="37" t="str">
        <f t="shared" si="908"/>
        <v>Digital Payment</v>
      </c>
      <c r="P11630">
        <v>22.44</v>
      </c>
      <c r="Q11630" s="37" t="str">
        <f>IF(P11630&gt;500,"High","low")</f>
        <v>low</v>
      </c>
      <c r="R11630" s="37" t="str">
        <f t="shared" si="909"/>
        <v>AVERAGE</v>
      </c>
      <c r="S11630" t="s">
        <v>620</v>
      </c>
    </row>
    <row r="11631" spans="1:19" x14ac:dyDescent="0.2">
      <c r="A11631" t="s">
        <v>12242</v>
      </c>
      <c r="B11631" t="s">
        <v>83</v>
      </c>
      <c r="C11631" t="s">
        <v>597</v>
      </c>
      <c r="D11631">
        <v>598.79</v>
      </c>
      <c r="E11631" s="37" t="str">
        <f t="shared" si="905"/>
        <v xml:space="preserve"> </v>
      </c>
      <c r="F11631">
        <v>0.4</v>
      </c>
      <c r="G11631" s="37" t="str">
        <f t="shared" si="906"/>
        <v>Heavy Discount</v>
      </c>
      <c r="H11631" s="37" t="str">
        <f t="shared" si="907"/>
        <v>Medium</v>
      </c>
      <c r="I11631">
        <v>9</v>
      </c>
      <c r="J11631" t="str" cm="1">
        <f t="array" ref="J11631">_xlfn.IFS(I11631&lt;=3,"small",I11631&lt;=6,"Medium",I11631&lt;=9,"Large")</f>
        <v>Large</v>
      </c>
      <c r="K11631" s="36">
        <v>45344</v>
      </c>
      <c r="L11631" s="36">
        <v>45347</v>
      </c>
      <c r="M11631" t="s">
        <v>603</v>
      </c>
      <c r="N11631" t="s">
        <v>604</v>
      </c>
      <c r="O11631" s="37" t="str">
        <f t="shared" si="908"/>
        <v>Digital Payment</v>
      </c>
      <c r="P11631">
        <v>173.48</v>
      </c>
      <c r="Q11631" s="37" t="str">
        <f>IF(P11631&gt;500,"High","low")</f>
        <v>low</v>
      </c>
      <c r="R11631" s="37" t="str">
        <f t="shared" si="909"/>
        <v>AVERAGE</v>
      </c>
      <c r="S11631" t="s">
        <v>600</v>
      </c>
    </row>
    <row r="11632" spans="1:19" x14ac:dyDescent="0.2">
      <c r="A11632" t="s">
        <v>12243</v>
      </c>
      <c r="B11632" t="s">
        <v>75</v>
      </c>
      <c r="C11632" t="s">
        <v>614</v>
      </c>
      <c r="D11632">
        <v>3855.2</v>
      </c>
      <c r="E11632" s="37" t="str">
        <f t="shared" si="905"/>
        <v xml:space="preserve"> </v>
      </c>
      <c r="F11632">
        <v>0.39</v>
      </c>
      <c r="G11632" s="37" t="str">
        <f t="shared" si="906"/>
        <v>Heavy Discount</v>
      </c>
      <c r="H11632" s="37" t="str">
        <f t="shared" si="907"/>
        <v>Medium</v>
      </c>
      <c r="I11632">
        <v>2</v>
      </c>
      <c r="J11632" t="str" cm="1">
        <f t="array" ref="J11632">_xlfn.IFS(I11632&lt;=3,"small",I11632&lt;=6,"Medium",I11632&lt;=9,"Large")</f>
        <v>small</v>
      </c>
      <c r="K11632" s="36">
        <v>45337</v>
      </c>
      <c r="L11632" s="36">
        <v>45342</v>
      </c>
      <c r="M11632" t="s">
        <v>612</v>
      </c>
      <c r="N11632" t="s">
        <v>599</v>
      </c>
      <c r="O11632" s="37" t="str">
        <f t="shared" si="908"/>
        <v>Digital Payment</v>
      </c>
      <c r="P11632">
        <v>508.59</v>
      </c>
      <c r="Q11632" s="37" t="str">
        <f>IF(P11632&gt;500,"High","low")</f>
        <v>High</v>
      </c>
      <c r="R11632" s="37" t="str">
        <f t="shared" si="909"/>
        <v>Good</v>
      </c>
      <c r="S11632" t="s">
        <v>605</v>
      </c>
    </row>
    <row r="11633" spans="1:19" x14ac:dyDescent="0.2">
      <c r="A11633" t="s">
        <v>12244</v>
      </c>
      <c r="B11633" t="s">
        <v>67</v>
      </c>
      <c r="C11633" t="s">
        <v>617</v>
      </c>
      <c r="D11633">
        <v>4486.72</v>
      </c>
      <c r="E11633" s="37" t="str">
        <f t="shared" si="905"/>
        <v xml:space="preserve"> </v>
      </c>
      <c r="F11633">
        <v>0.38</v>
      </c>
      <c r="G11633" s="37" t="str">
        <f t="shared" si="906"/>
        <v>Heavy Discount</v>
      </c>
      <c r="H11633" s="37" t="str">
        <f t="shared" si="907"/>
        <v>Medium</v>
      </c>
      <c r="I11633">
        <v>4</v>
      </c>
      <c r="J11633" t="str" cm="1">
        <f t="array" ref="J11633">_xlfn.IFS(I11633&lt;=3,"small",I11633&lt;=6,"Medium",I11633&lt;=9,"Large")</f>
        <v>Medium</v>
      </c>
      <c r="K11633" s="36">
        <v>45539</v>
      </c>
      <c r="L11633" s="36">
        <v>45546</v>
      </c>
      <c r="M11633" t="s">
        <v>598</v>
      </c>
      <c r="N11633" t="s">
        <v>599</v>
      </c>
      <c r="O11633" s="37" t="str">
        <f t="shared" si="908"/>
        <v>Digital Payment</v>
      </c>
      <c r="P11633">
        <v>569.54999999999995</v>
      </c>
      <c r="Q11633" s="37" t="str">
        <f>IF(P11633&gt;500,"High","low")</f>
        <v>High</v>
      </c>
      <c r="R11633" s="37" t="str">
        <f t="shared" si="909"/>
        <v>Good</v>
      </c>
      <c r="S11633" t="s">
        <v>628</v>
      </c>
    </row>
    <row r="11634" spans="1:19" x14ac:dyDescent="0.2">
      <c r="A11634" t="s">
        <v>12245</v>
      </c>
      <c r="B11634" t="s">
        <v>67</v>
      </c>
      <c r="C11634" t="s">
        <v>607</v>
      </c>
      <c r="D11634">
        <v>1277.72</v>
      </c>
      <c r="E11634" s="37" t="str">
        <f t="shared" si="905"/>
        <v xml:space="preserve"> </v>
      </c>
      <c r="F11634">
        <v>0.28000000000000003</v>
      </c>
      <c r="G11634" s="37" t="str">
        <f t="shared" si="906"/>
        <v>Normal Discount</v>
      </c>
      <c r="H11634" s="37" t="str">
        <f t="shared" si="907"/>
        <v>Medium</v>
      </c>
      <c r="I11634">
        <v>9</v>
      </c>
      <c r="J11634" t="str" cm="1">
        <f t="array" ref="J11634">_xlfn.IFS(I11634&lt;=3,"small",I11634&lt;=6,"Medium",I11634&lt;=9,"Large")</f>
        <v>Large</v>
      </c>
      <c r="K11634" s="36">
        <v>45535</v>
      </c>
      <c r="L11634" s="36">
        <v>45537</v>
      </c>
      <c r="M11634" t="s">
        <v>603</v>
      </c>
      <c r="N11634" t="s">
        <v>604</v>
      </c>
      <c r="O11634" s="37" t="str">
        <f t="shared" si="908"/>
        <v>Digital Payment</v>
      </c>
      <c r="P11634">
        <v>203.52</v>
      </c>
      <c r="Q11634" s="37" t="str">
        <f>IF(P11634&gt;500,"High","low")</f>
        <v>low</v>
      </c>
      <c r="R11634" s="37" t="str">
        <f t="shared" si="909"/>
        <v>AVERAGE</v>
      </c>
      <c r="S11634" t="s">
        <v>620</v>
      </c>
    </row>
    <row r="11635" spans="1:19" x14ac:dyDescent="0.2">
      <c r="A11635" t="s">
        <v>12246</v>
      </c>
      <c r="B11635" t="s">
        <v>90</v>
      </c>
      <c r="C11635" t="s">
        <v>617</v>
      </c>
      <c r="D11635">
        <v>3994.98</v>
      </c>
      <c r="E11635" s="37" t="str">
        <f t="shared" si="905"/>
        <v xml:space="preserve"> </v>
      </c>
      <c r="F11635">
        <v>0.48</v>
      </c>
      <c r="G11635" s="37" t="str">
        <f t="shared" si="906"/>
        <v>Heavy Discount</v>
      </c>
      <c r="H11635" s="37" t="str">
        <f t="shared" si="907"/>
        <v>High</v>
      </c>
      <c r="I11635">
        <v>9</v>
      </c>
      <c r="J11635" t="str" cm="1">
        <f t="array" ref="J11635">_xlfn.IFS(I11635&lt;=3,"small",I11635&lt;=6,"Medium",I11635&lt;=9,"Large")</f>
        <v>Large</v>
      </c>
      <c r="K11635" s="36">
        <v>45294</v>
      </c>
      <c r="L11635" s="36">
        <v>45295</v>
      </c>
      <c r="M11635" t="s">
        <v>598</v>
      </c>
      <c r="N11635" t="s">
        <v>599</v>
      </c>
      <c r="O11635" s="37" t="str">
        <f t="shared" si="908"/>
        <v>Digital Payment</v>
      </c>
      <c r="P11635">
        <v>304.60000000000002</v>
      </c>
      <c r="Q11635" s="37" t="str">
        <f>IF(P11635&gt;500,"High","low")</f>
        <v>low</v>
      </c>
      <c r="R11635" s="37" t="str">
        <f t="shared" si="909"/>
        <v>AVERAGE</v>
      </c>
      <c r="S11635" t="s">
        <v>628</v>
      </c>
    </row>
    <row r="11636" spans="1:19" x14ac:dyDescent="0.2">
      <c r="A11636" t="s">
        <v>12247</v>
      </c>
      <c r="B11636" t="s">
        <v>67</v>
      </c>
      <c r="C11636" t="s">
        <v>602</v>
      </c>
      <c r="D11636">
        <v>1074.3599999999999</v>
      </c>
      <c r="E11636" s="37" t="str">
        <f t="shared" si="905"/>
        <v xml:space="preserve"> </v>
      </c>
      <c r="F11636">
        <v>0.42</v>
      </c>
      <c r="G11636" s="37" t="str">
        <f t="shared" si="906"/>
        <v>Heavy Discount</v>
      </c>
      <c r="H11636" s="37" t="str">
        <f t="shared" si="907"/>
        <v>High</v>
      </c>
      <c r="I11636">
        <v>8</v>
      </c>
      <c r="J11636" t="str" cm="1">
        <f t="array" ref="J11636">_xlfn.IFS(I11636&lt;=3,"small",I11636&lt;=6,"Medium",I11636&lt;=9,"Large")</f>
        <v>Large</v>
      </c>
      <c r="K11636" s="36">
        <v>45220</v>
      </c>
      <c r="L11636" s="36">
        <v>45227</v>
      </c>
      <c r="M11636" t="s">
        <v>603</v>
      </c>
      <c r="N11636" t="s">
        <v>608</v>
      </c>
      <c r="O11636" s="37" t="str">
        <f t="shared" si="908"/>
        <v>Cash Payment</v>
      </c>
      <c r="P11636">
        <v>258</v>
      </c>
      <c r="Q11636" s="37" t="str">
        <f>IF(P11636&gt;500,"High","low")</f>
        <v>low</v>
      </c>
      <c r="R11636" s="37" t="str">
        <f t="shared" si="909"/>
        <v>AVERAGE</v>
      </c>
      <c r="S11636" t="s">
        <v>600</v>
      </c>
    </row>
    <row r="11637" spans="1:19" x14ac:dyDescent="0.2">
      <c r="A11637" t="s">
        <v>12248</v>
      </c>
      <c r="B11637" t="s">
        <v>90</v>
      </c>
      <c r="C11637" t="s">
        <v>597</v>
      </c>
      <c r="D11637">
        <v>1321.43</v>
      </c>
      <c r="E11637" s="37" t="str">
        <f t="shared" si="905"/>
        <v xml:space="preserve"> </v>
      </c>
      <c r="F11637">
        <v>0.22</v>
      </c>
      <c r="G11637" s="37" t="str">
        <f t="shared" si="906"/>
        <v>Normal Discount</v>
      </c>
      <c r="H11637" s="37" t="str">
        <f t="shared" si="907"/>
        <v>Medium</v>
      </c>
      <c r="I11637">
        <v>4</v>
      </c>
      <c r="J11637" t="str" cm="1">
        <f t="array" ref="J11637">_xlfn.IFS(I11637&lt;=3,"small",I11637&lt;=6,"Medium",I11637&lt;=9,"Large")</f>
        <v>Medium</v>
      </c>
      <c r="K11637" s="36">
        <v>45211</v>
      </c>
      <c r="L11637" s="36">
        <v>45216</v>
      </c>
      <c r="M11637" t="s">
        <v>612</v>
      </c>
      <c r="N11637" t="s">
        <v>599</v>
      </c>
      <c r="O11637" s="37" t="str">
        <f t="shared" si="908"/>
        <v>Digital Payment</v>
      </c>
      <c r="P11637">
        <v>368.23</v>
      </c>
      <c r="Q11637" s="37" t="str">
        <f>IF(P11637&gt;500,"High","low")</f>
        <v>low</v>
      </c>
      <c r="R11637" s="37" t="str">
        <f t="shared" si="909"/>
        <v>AVERAGE</v>
      </c>
      <c r="S11637" t="s">
        <v>605</v>
      </c>
    </row>
    <row r="11638" spans="1:19" x14ac:dyDescent="0.2">
      <c r="A11638" t="s">
        <v>12249</v>
      </c>
      <c r="B11638" t="s">
        <v>83</v>
      </c>
      <c r="C11638" t="s">
        <v>607</v>
      </c>
      <c r="D11638">
        <v>1198.3699999999999</v>
      </c>
      <c r="E11638" s="37" t="str">
        <f t="shared" si="905"/>
        <v xml:space="preserve"> </v>
      </c>
      <c r="F11638">
        <v>0.37</v>
      </c>
      <c r="G11638" s="37" t="str">
        <f t="shared" si="906"/>
        <v>Heavy Discount</v>
      </c>
      <c r="H11638" s="37" t="str">
        <f t="shared" si="907"/>
        <v>Medium</v>
      </c>
      <c r="I11638">
        <v>1</v>
      </c>
      <c r="J11638" t="str" cm="1">
        <f t="array" ref="J11638">_xlfn.IFS(I11638&lt;=3,"small",I11638&lt;=6,"Medium",I11638&lt;=9,"Large")</f>
        <v>small</v>
      </c>
      <c r="K11638" s="36">
        <v>45202</v>
      </c>
      <c r="L11638" s="36">
        <v>45207</v>
      </c>
      <c r="M11638" t="s">
        <v>603</v>
      </c>
      <c r="N11638" t="s">
        <v>599</v>
      </c>
      <c r="O11638" s="37" t="str">
        <f t="shared" si="908"/>
        <v>Digital Payment</v>
      </c>
      <c r="P11638">
        <v>86.88</v>
      </c>
      <c r="Q11638" s="37" t="str">
        <f>IF(P11638&gt;500,"High","low")</f>
        <v>low</v>
      </c>
      <c r="R11638" s="37" t="str">
        <f t="shared" si="909"/>
        <v>AVERAGE</v>
      </c>
      <c r="S11638" t="s">
        <v>605</v>
      </c>
    </row>
    <row r="11639" spans="1:19" x14ac:dyDescent="0.2">
      <c r="A11639" t="s">
        <v>12250</v>
      </c>
      <c r="B11639" t="s">
        <v>67</v>
      </c>
      <c r="C11639" t="s">
        <v>614</v>
      </c>
      <c r="D11639">
        <v>353.48</v>
      </c>
      <c r="E11639" s="37" t="str">
        <f t="shared" si="905"/>
        <v xml:space="preserve"> </v>
      </c>
      <c r="F11639">
        <v>0.5</v>
      </c>
      <c r="G11639" s="37" t="str">
        <f t="shared" si="906"/>
        <v>Heavy Discount</v>
      </c>
      <c r="H11639" s="37" t="str">
        <f t="shared" si="907"/>
        <v>High</v>
      </c>
      <c r="I11639">
        <v>7</v>
      </c>
      <c r="J11639" t="str" cm="1">
        <f t="array" ref="J11639">_xlfn.IFS(I11639&lt;=3,"small",I11639&lt;=6,"Medium",I11639&lt;=9,"Large")</f>
        <v>Large</v>
      </c>
      <c r="K11639" s="36">
        <v>45585</v>
      </c>
      <c r="L11639" s="36">
        <v>45591</v>
      </c>
      <c r="M11639" t="s">
        <v>612</v>
      </c>
      <c r="N11639" t="s">
        <v>599</v>
      </c>
      <c r="O11639" s="37" t="str">
        <f t="shared" si="908"/>
        <v>Digital Payment</v>
      </c>
      <c r="P11639">
        <v>49.46</v>
      </c>
      <c r="Q11639" s="37" t="str">
        <f>IF(P11639&gt;500,"High","low")</f>
        <v>low</v>
      </c>
      <c r="R11639" s="37" t="str">
        <f t="shared" si="909"/>
        <v>AVERAGE</v>
      </c>
      <c r="S11639" t="s">
        <v>609</v>
      </c>
    </row>
    <row r="11640" spans="1:19" x14ac:dyDescent="0.2">
      <c r="A11640" t="s">
        <v>12251</v>
      </c>
      <c r="B11640" t="s">
        <v>83</v>
      </c>
      <c r="C11640" t="s">
        <v>614</v>
      </c>
      <c r="D11640">
        <v>1050.9000000000001</v>
      </c>
      <c r="E11640" s="37" t="str">
        <f t="shared" si="905"/>
        <v xml:space="preserve"> </v>
      </c>
      <c r="F11640">
        <v>0.44</v>
      </c>
      <c r="G11640" s="37" t="str">
        <f t="shared" si="906"/>
        <v>Heavy Discount</v>
      </c>
      <c r="H11640" s="37" t="str">
        <f t="shared" si="907"/>
        <v>High</v>
      </c>
      <c r="I11640">
        <v>2</v>
      </c>
      <c r="J11640" t="str" cm="1">
        <f t="array" ref="J11640">_xlfn.IFS(I11640&lt;=3,"small",I11640&lt;=6,"Medium",I11640&lt;=9,"Large")</f>
        <v>small</v>
      </c>
      <c r="K11640" s="36">
        <v>45315</v>
      </c>
      <c r="L11640" s="36">
        <v>45318</v>
      </c>
      <c r="M11640" t="s">
        <v>598</v>
      </c>
      <c r="N11640" t="s">
        <v>599</v>
      </c>
      <c r="O11640" s="37" t="str">
        <f t="shared" si="908"/>
        <v>Digital Payment</v>
      </c>
      <c r="P11640">
        <v>281.57</v>
      </c>
      <c r="Q11640" s="37" t="str">
        <f>IF(P11640&gt;500,"High","low")</f>
        <v>low</v>
      </c>
      <c r="R11640" s="37" t="str">
        <f t="shared" si="909"/>
        <v>AVERAGE</v>
      </c>
      <c r="S11640" t="s">
        <v>605</v>
      </c>
    </row>
    <row r="11641" spans="1:19" x14ac:dyDescent="0.2">
      <c r="A11641" t="s">
        <v>12252</v>
      </c>
      <c r="B11641" t="s">
        <v>75</v>
      </c>
      <c r="C11641" t="s">
        <v>597</v>
      </c>
      <c r="D11641">
        <v>1930.36</v>
      </c>
      <c r="E11641" s="37" t="str">
        <f t="shared" si="905"/>
        <v xml:space="preserve"> </v>
      </c>
      <c r="F11641">
        <v>0</v>
      </c>
      <c r="G11641" s="37" t="str">
        <f t="shared" si="906"/>
        <v>Normal Discount</v>
      </c>
      <c r="H11641" s="37" t="str">
        <f t="shared" si="907"/>
        <v>Low</v>
      </c>
      <c r="I11641">
        <v>8</v>
      </c>
      <c r="J11641" t="str" cm="1">
        <f t="array" ref="J11641">_xlfn.IFS(I11641&lt;=3,"small",I11641&lt;=6,"Medium",I11641&lt;=9,"Large")</f>
        <v>Large</v>
      </c>
      <c r="K11641" s="36">
        <v>45207</v>
      </c>
      <c r="L11641" s="36">
        <v>45209</v>
      </c>
      <c r="M11641" t="s">
        <v>603</v>
      </c>
      <c r="N11641" t="s">
        <v>604</v>
      </c>
      <c r="O11641" s="37" t="str">
        <f t="shared" si="908"/>
        <v>Digital Payment</v>
      </c>
      <c r="P11641">
        <v>170.93</v>
      </c>
      <c r="Q11641" s="37" t="str">
        <f>IF(P11641&gt;500,"High","low")</f>
        <v>low</v>
      </c>
      <c r="R11641" s="37" t="str">
        <f t="shared" si="909"/>
        <v>AVERAGE</v>
      </c>
      <c r="S11641" t="s">
        <v>620</v>
      </c>
    </row>
    <row r="11642" spans="1:19" x14ac:dyDescent="0.2">
      <c r="A11642" t="s">
        <v>12253</v>
      </c>
      <c r="B11642" t="s">
        <v>83</v>
      </c>
      <c r="C11642" t="s">
        <v>617</v>
      </c>
      <c r="D11642">
        <v>2086.8000000000002</v>
      </c>
      <c r="E11642" s="37" t="str">
        <f t="shared" si="905"/>
        <v xml:space="preserve"> </v>
      </c>
      <c r="F11642">
        <v>0.37</v>
      </c>
      <c r="G11642" s="37" t="str">
        <f t="shared" si="906"/>
        <v>Heavy Discount</v>
      </c>
      <c r="H11642" s="37" t="str">
        <f t="shared" si="907"/>
        <v>Medium</v>
      </c>
      <c r="I11642">
        <v>2</v>
      </c>
      <c r="J11642" t="str" cm="1">
        <f t="array" ref="J11642">_xlfn.IFS(I11642&lt;=3,"small",I11642&lt;=6,"Medium",I11642&lt;=9,"Large")</f>
        <v>small</v>
      </c>
      <c r="K11642" s="36">
        <v>45531</v>
      </c>
      <c r="L11642" s="36">
        <v>45532</v>
      </c>
      <c r="M11642" t="s">
        <v>598</v>
      </c>
      <c r="N11642" t="s">
        <v>599</v>
      </c>
      <c r="O11642" s="37" t="str">
        <f t="shared" si="908"/>
        <v>Digital Payment</v>
      </c>
      <c r="P11642">
        <v>462.98</v>
      </c>
      <c r="Q11642" s="37" t="str">
        <f>IF(P11642&gt;500,"High","low")</f>
        <v>low</v>
      </c>
      <c r="R11642" s="37" t="str">
        <f t="shared" si="909"/>
        <v>AVERAGE</v>
      </c>
      <c r="S11642" t="s">
        <v>609</v>
      </c>
    </row>
    <row r="11643" spans="1:19" x14ac:dyDescent="0.2">
      <c r="A11643" t="s">
        <v>12254</v>
      </c>
      <c r="B11643" t="s">
        <v>75</v>
      </c>
      <c r="C11643" t="s">
        <v>617</v>
      </c>
      <c r="D11643">
        <v>1616.39</v>
      </c>
      <c r="E11643" s="37" t="str">
        <f t="shared" si="905"/>
        <v xml:space="preserve"> </v>
      </c>
      <c r="F11643">
        <v>0.45</v>
      </c>
      <c r="G11643" s="37" t="str">
        <f t="shared" si="906"/>
        <v>Heavy Discount</v>
      </c>
      <c r="H11643" s="37" t="str">
        <f t="shared" si="907"/>
        <v>High</v>
      </c>
      <c r="I11643">
        <v>3</v>
      </c>
      <c r="J11643" t="str" cm="1">
        <f t="array" ref="J11643">_xlfn.IFS(I11643&lt;=3,"small",I11643&lt;=6,"Medium",I11643&lt;=9,"Large")</f>
        <v>small</v>
      </c>
      <c r="K11643" s="36">
        <v>45208</v>
      </c>
      <c r="L11643" s="36">
        <v>45211</v>
      </c>
      <c r="M11643" t="s">
        <v>612</v>
      </c>
      <c r="N11643" t="s">
        <v>608</v>
      </c>
      <c r="O11643" s="37" t="str">
        <f t="shared" si="908"/>
        <v>Cash Payment</v>
      </c>
      <c r="P11643">
        <v>159.31</v>
      </c>
      <c r="Q11643" s="37" t="str">
        <f>IF(P11643&gt;500,"High","low")</f>
        <v>low</v>
      </c>
      <c r="R11643" s="37" t="str">
        <f t="shared" si="909"/>
        <v>AVERAGE</v>
      </c>
      <c r="S11643" t="s">
        <v>628</v>
      </c>
    </row>
    <row r="11644" spans="1:19" x14ac:dyDescent="0.2">
      <c r="A11644" t="s">
        <v>12255</v>
      </c>
      <c r="B11644" t="s">
        <v>83</v>
      </c>
      <c r="C11644" t="s">
        <v>607</v>
      </c>
      <c r="D11644">
        <v>2622.15</v>
      </c>
      <c r="E11644" s="37" t="str">
        <f t="shared" si="905"/>
        <v xml:space="preserve"> </v>
      </c>
      <c r="F11644">
        <v>0.16</v>
      </c>
      <c r="G11644" s="37" t="str">
        <f t="shared" si="906"/>
        <v>Normal Discount</v>
      </c>
      <c r="H11644" s="37" t="str">
        <f t="shared" si="907"/>
        <v>Low</v>
      </c>
      <c r="I11644">
        <v>6</v>
      </c>
      <c r="J11644" t="str" cm="1">
        <f t="array" ref="J11644">_xlfn.IFS(I11644&lt;=3,"small",I11644&lt;=6,"Medium",I11644&lt;=9,"Large")</f>
        <v>Medium</v>
      </c>
      <c r="K11644" s="36">
        <v>45120</v>
      </c>
      <c r="L11644" s="36">
        <v>45124</v>
      </c>
      <c r="M11644" t="s">
        <v>603</v>
      </c>
      <c r="N11644" t="s">
        <v>599</v>
      </c>
      <c r="O11644" s="37" t="str">
        <f t="shared" si="908"/>
        <v>Digital Payment</v>
      </c>
      <c r="P11644">
        <v>608.69000000000005</v>
      </c>
      <c r="Q11644" s="37" t="str">
        <f>IF(P11644&gt;500,"High","low")</f>
        <v>High</v>
      </c>
      <c r="R11644" s="37" t="str">
        <f t="shared" si="909"/>
        <v>Good</v>
      </c>
      <c r="S11644" t="s">
        <v>620</v>
      </c>
    </row>
    <row r="11645" spans="1:19" x14ac:dyDescent="0.2">
      <c r="A11645" t="s">
        <v>12256</v>
      </c>
      <c r="B11645" t="s">
        <v>83</v>
      </c>
      <c r="C11645" t="s">
        <v>607</v>
      </c>
      <c r="D11645">
        <v>1952.19</v>
      </c>
      <c r="E11645" s="37" t="str">
        <f t="shared" si="905"/>
        <v xml:space="preserve"> </v>
      </c>
      <c r="F11645">
        <v>0.49</v>
      </c>
      <c r="G11645" s="37" t="str">
        <f t="shared" si="906"/>
        <v>Heavy Discount</v>
      </c>
      <c r="H11645" s="37" t="str">
        <f t="shared" si="907"/>
        <v>High</v>
      </c>
      <c r="I11645">
        <v>4</v>
      </c>
      <c r="J11645" t="str" cm="1">
        <f t="array" ref="J11645">_xlfn.IFS(I11645&lt;=3,"small",I11645&lt;=6,"Medium",I11645&lt;=9,"Large")</f>
        <v>Medium</v>
      </c>
      <c r="K11645" s="36">
        <v>45627</v>
      </c>
      <c r="L11645" s="36">
        <v>45632</v>
      </c>
      <c r="M11645" t="s">
        <v>598</v>
      </c>
      <c r="N11645" t="s">
        <v>608</v>
      </c>
      <c r="O11645" s="37" t="str">
        <f t="shared" si="908"/>
        <v>Cash Payment</v>
      </c>
      <c r="P11645">
        <v>416.84</v>
      </c>
      <c r="Q11645" s="37" t="str">
        <f>IF(P11645&gt;500,"High","low")</f>
        <v>low</v>
      </c>
      <c r="R11645" s="37" t="str">
        <f t="shared" si="909"/>
        <v>AVERAGE</v>
      </c>
      <c r="S11645" t="s">
        <v>615</v>
      </c>
    </row>
    <row r="11646" spans="1:19" x14ac:dyDescent="0.2">
      <c r="A11646" t="s">
        <v>12257</v>
      </c>
      <c r="B11646" t="s">
        <v>67</v>
      </c>
      <c r="C11646" t="s">
        <v>617</v>
      </c>
      <c r="D11646">
        <v>4854.79</v>
      </c>
      <c r="E11646" s="37" t="str">
        <f t="shared" si="905"/>
        <v>Excellent Order</v>
      </c>
      <c r="F11646">
        <v>0.2</v>
      </c>
      <c r="G11646" s="37" t="str">
        <f t="shared" si="906"/>
        <v>Normal Discount</v>
      </c>
      <c r="H11646" s="37" t="str">
        <f t="shared" si="907"/>
        <v>Medium</v>
      </c>
      <c r="I11646">
        <v>2</v>
      </c>
      <c r="J11646" t="str" cm="1">
        <f t="array" ref="J11646">_xlfn.IFS(I11646&lt;=3,"small",I11646&lt;=6,"Medium",I11646&lt;=9,"Large")</f>
        <v>small</v>
      </c>
      <c r="K11646" s="36">
        <v>45054</v>
      </c>
      <c r="L11646" s="36">
        <v>45057</v>
      </c>
      <c r="M11646" t="s">
        <v>612</v>
      </c>
      <c r="N11646" t="s">
        <v>604</v>
      </c>
      <c r="O11646" s="37" t="str">
        <f t="shared" si="908"/>
        <v>Digital Payment</v>
      </c>
      <c r="P11646">
        <v>1400.07</v>
      </c>
      <c r="Q11646" s="37" t="str">
        <f>IF(P11646&gt;500,"High","low")</f>
        <v>High</v>
      </c>
      <c r="R11646" s="37" t="str">
        <f t="shared" si="909"/>
        <v>Excellent</v>
      </c>
      <c r="S11646" t="s">
        <v>609</v>
      </c>
    </row>
    <row r="11647" spans="1:19" x14ac:dyDescent="0.2">
      <c r="A11647" t="s">
        <v>12258</v>
      </c>
      <c r="B11647" t="s">
        <v>83</v>
      </c>
      <c r="C11647" t="s">
        <v>607</v>
      </c>
      <c r="D11647">
        <v>4056.02</v>
      </c>
      <c r="E11647" s="37" t="str">
        <f t="shared" si="905"/>
        <v xml:space="preserve"> </v>
      </c>
      <c r="F11647">
        <v>0.21</v>
      </c>
      <c r="G11647" s="37" t="str">
        <f t="shared" si="906"/>
        <v>Normal Discount</v>
      </c>
      <c r="H11647" s="37" t="str">
        <f t="shared" si="907"/>
        <v>Medium</v>
      </c>
      <c r="I11647">
        <v>1</v>
      </c>
      <c r="J11647" t="str" cm="1">
        <f t="array" ref="J11647">_xlfn.IFS(I11647&lt;=3,"small",I11647&lt;=6,"Medium",I11647&lt;=9,"Large")</f>
        <v>small</v>
      </c>
      <c r="K11647" s="36">
        <v>45483</v>
      </c>
      <c r="L11647" s="36">
        <v>45489</v>
      </c>
      <c r="M11647" t="s">
        <v>603</v>
      </c>
      <c r="N11647" t="s">
        <v>608</v>
      </c>
      <c r="O11647" s="37" t="str">
        <f t="shared" si="908"/>
        <v>Cash Payment</v>
      </c>
      <c r="P11647">
        <v>766.53</v>
      </c>
      <c r="Q11647" s="37" t="str">
        <f>IF(P11647&gt;500,"High","low")</f>
        <v>High</v>
      </c>
      <c r="R11647" s="37" t="str">
        <f t="shared" si="909"/>
        <v>Good</v>
      </c>
      <c r="S11647" t="s">
        <v>609</v>
      </c>
    </row>
    <row r="11648" spans="1:19" x14ac:dyDescent="0.2">
      <c r="A11648" t="s">
        <v>12259</v>
      </c>
      <c r="B11648" t="s">
        <v>67</v>
      </c>
      <c r="C11648" t="s">
        <v>617</v>
      </c>
      <c r="D11648">
        <v>4661.79</v>
      </c>
      <c r="E11648" s="37" t="str">
        <f t="shared" si="905"/>
        <v xml:space="preserve"> </v>
      </c>
      <c r="F11648">
        <v>0.08</v>
      </c>
      <c r="G11648" s="37" t="str">
        <f t="shared" si="906"/>
        <v>Normal Discount</v>
      </c>
      <c r="H11648" s="37" t="str">
        <f t="shared" si="907"/>
        <v>Low</v>
      </c>
      <c r="I11648">
        <v>3</v>
      </c>
      <c r="J11648" t="str" cm="1">
        <f t="array" ref="J11648">_xlfn.IFS(I11648&lt;=3,"small",I11648&lt;=6,"Medium",I11648&lt;=9,"Large")</f>
        <v>small</v>
      </c>
      <c r="K11648" s="36">
        <v>45624</v>
      </c>
      <c r="L11648" s="36">
        <v>45629</v>
      </c>
      <c r="M11648" t="s">
        <v>603</v>
      </c>
      <c r="N11648" t="s">
        <v>604</v>
      </c>
      <c r="O11648" s="37" t="str">
        <f t="shared" si="908"/>
        <v>Digital Payment</v>
      </c>
      <c r="P11648">
        <v>764.78</v>
      </c>
      <c r="Q11648" s="37" t="str">
        <f>IF(P11648&gt;500,"High","low")</f>
        <v>High</v>
      </c>
      <c r="R11648" s="37" t="str">
        <f t="shared" si="909"/>
        <v>Good</v>
      </c>
      <c r="S11648" t="s">
        <v>628</v>
      </c>
    </row>
    <row r="11649" spans="1:19" x14ac:dyDescent="0.2">
      <c r="A11649" t="s">
        <v>12260</v>
      </c>
      <c r="B11649" t="s">
        <v>67</v>
      </c>
      <c r="C11649" t="s">
        <v>597</v>
      </c>
      <c r="D11649">
        <v>2831.39</v>
      </c>
      <c r="E11649" s="37" t="str">
        <f t="shared" si="905"/>
        <v xml:space="preserve"> </v>
      </c>
      <c r="F11649">
        <v>0.05</v>
      </c>
      <c r="G11649" s="37" t="str">
        <f t="shared" si="906"/>
        <v>Normal Discount</v>
      </c>
      <c r="H11649" s="37" t="str">
        <f t="shared" si="907"/>
        <v>Low</v>
      </c>
      <c r="I11649">
        <v>4</v>
      </c>
      <c r="J11649" t="str" cm="1">
        <f t="array" ref="J11649">_xlfn.IFS(I11649&lt;=3,"small",I11649&lt;=6,"Medium",I11649&lt;=9,"Large")</f>
        <v>Medium</v>
      </c>
      <c r="K11649" s="36">
        <v>44969</v>
      </c>
      <c r="L11649" s="36">
        <v>44972</v>
      </c>
      <c r="M11649" t="s">
        <v>603</v>
      </c>
      <c r="N11649" t="s">
        <v>604</v>
      </c>
      <c r="O11649" s="37" t="str">
        <f t="shared" si="908"/>
        <v>Digital Payment</v>
      </c>
      <c r="P11649">
        <v>507.72</v>
      </c>
      <c r="Q11649" s="37" t="str">
        <f>IF(P11649&gt;500,"High","low")</f>
        <v>High</v>
      </c>
      <c r="R11649" s="37" t="str">
        <f t="shared" si="909"/>
        <v>Good</v>
      </c>
      <c r="S11649" t="s">
        <v>600</v>
      </c>
    </row>
    <row r="11650" spans="1:19" x14ac:dyDescent="0.2">
      <c r="A11650" t="s">
        <v>12261</v>
      </c>
      <c r="B11650" t="s">
        <v>90</v>
      </c>
      <c r="C11650" t="s">
        <v>607</v>
      </c>
      <c r="D11650">
        <v>3423.86</v>
      </c>
      <c r="E11650" s="37" t="str">
        <f t="shared" si="905"/>
        <v xml:space="preserve"> </v>
      </c>
      <c r="F11650">
        <v>0.27</v>
      </c>
      <c r="G11650" s="37" t="str">
        <f t="shared" si="906"/>
        <v>Normal Discount</v>
      </c>
      <c r="H11650" s="37" t="str">
        <f t="shared" si="907"/>
        <v>Medium</v>
      </c>
      <c r="I11650">
        <v>9</v>
      </c>
      <c r="J11650" t="str" cm="1">
        <f t="array" ref="J11650">_xlfn.IFS(I11650&lt;=3,"small",I11650&lt;=6,"Medium",I11650&lt;=9,"Large")</f>
        <v>Large</v>
      </c>
      <c r="K11650" s="36">
        <v>44940</v>
      </c>
      <c r="L11650" s="36">
        <v>44942</v>
      </c>
      <c r="M11650" t="s">
        <v>598</v>
      </c>
      <c r="N11650" t="s">
        <v>604</v>
      </c>
      <c r="O11650" s="37" t="str">
        <f t="shared" si="908"/>
        <v>Digital Payment</v>
      </c>
      <c r="P11650">
        <v>684.6</v>
      </c>
      <c r="Q11650" s="37" t="str">
        <f>IF(P11650&gt;500,"High","low")</f>
        <v>High</v>
      </c>
      <c r="R11650" s="37" t="str">
        <f t="shared" si="909"/>
        <v>Good</v>
      </c>
      <c r="S11650" t="s">
        <v>615</v>
      </c>
    </row>
    <row r="11651" spans="1:19" x14ac:dyDescent="0.2">
      <c r="A11651" t="s">
        <v>12262</v>
      </c>
      <c r="B11651" t="s">
        <v>90</v>
      </c>
      <c r="C11651" t="s">
        <v>617</v>
      </c>
      <c r="D11651">
        <v>916.71</v>
      </c>
      <c r="E11651" s="37" t="str">
        <f t="shared" ref="E11651:E11714" si="910">IF(AND(D11651&gt;4000,P11651&gt;800),"Excellent Order"," ")</f>
        <v xml:space="preserve"> </v>
      </c>
      <c r="F11651">
        <v>0.3</v>
      </c>
      <c r="G11651" s="37" t="str">
        <f t="shared" ref="G11651:G11714" si="911">IF(F11651&gt;30%,"Heavy Discount","Normal Discount")</f>
        <v>Normal Discount</v>
      </c>
      <c r="H11651" s="37" t="str">
        <f t="shared" ref="H11651:H11714" si="912">IF(F11651&gt;0.4,"High",IF(F11651&gt;=0.2,"Medium","Low"))</f>
        <v>Medium</v>
      </c>
      <c r="I11651">
        <v>9</v>
      </c>
      <c r="J11651" t="str" cm="1">
        <f t="array" ref="J11651">_xlfn.IFS(I11651&lt;=3,"small",I11651&lt;=6,"Medium",I11651&lt;=9,"Large")</f>
        <v>Large</v>
      </c>
      <c r="K11651" s="36">
        <v>45000</v>
      </c>
      <c r="L11651" s="36">
        <v>45006</v>
      </c>
      <c r="M11651" t="s">
        <v>603</v>
      </c>
      <c r="N11651" t="s">
        <v>608</v>
      </c>
      <c r="O11651" s="37" t="str">
        <f t="shared" ref="O11651:O11714" si="913">IF(OR(N11651="Card",N11651="UPI"),"Digital Payment","Cash Payment")</f>
        <v>Cash Payment</v>
      </c>
      <c r="P11651">
        <v>266.75</v>
      </c>
      <c r="Q11651" s="37" t="str">
        <f>IF(P11651&gt;500,"High","low")</f>
        <v>low</v>
      </c>
      <c r="R11651" s="37" t="str">
        <f t="shared" ref="R11651:R11714" si="914">IF(P11651&gt;1000,"Excellent",IF(P11651&gt;=500,"Good","AVERAGE"))</f>
        <v>AVERAGE</v>
      </c>
      <c r="S11651" t="s">
        <v>600</v>
      </c>
    </row>
    <row r="11652" spans="1:19" x14ac:dyDescent="0.2">
      <c r="A11652" t="s">
        <v>12263</v>
      </c>
      <c r="B11652" t="s">
        <v>75</v>
      </c>
      <c r="C11652" t="s">
        <v>607</v>
      </c>
      <c r="D11652">
        <v>3788.65</v>
      </c>
      <c r="E11652" s="37" t="str">
        <f t="shared" si="910"/>
        <v xml:space="preserve"> </v>
      </c>
      <c r="F11652">
        <v>0.18</v>
      </c>
      <c r="G11652" s="37" t="str">
        <f t="shared" si="911"/>
        <v>Normal Discount</v>
      </c>
      <c r="H11652" s="37" t="str">
        <f t="shared" si="912"/>
        <v>Low</v>
      </c>
      <c r="I11652">
        <v>5</v>
      </c>
      <c r="J11652" t="str" cm="1">
        <f t="array" ref="J11652">_xlfn.IFS(I11652&lt;=3,"small",I11652&lt;=6,"Medium",I11652&lt;=9,"Large")</f>
        <v>Medium</v>
      </c>
      <c r="K11652" s="36">
        <v>44945</v>
      </c>
      <c r="L11652" s="36">
        <v>44946</v>
      </c>
      <c r="M11652" t="s">
        <v>612</v>
      </c>
      <c r="N11652" t="s">
        <v>608</v>
      </c>
      <c r="O11652" s="37" t="str">
        <f t="shared" si="913"/>
        <v>Cash Payment</v>
      </c>
      <c r="P11652">
        <v>245.27</v>
      </c>
      <c r="Q11652" s="37" t="str">
        <f>IF(P11652&gt;500,"High","low")</f>
        <v>low</v>
      </c>
      <c r="R11652" s="37" t="str">
        <f t="shared" si="914"/>
        <v>AVERAGE</v>
      </c>
      <c r="S11652" t="s">
        <v>620</v>
      </c>
    </row>
    <row r="11653" spans="1:19" x14ac:dyDescent="0.2">
      <c r="A11653" t="s">
        <v>12264</v>
      </c>
      <c r="B11653" t="s">
        <v>83</v>
      </c>
      <c r="C11653" t="s">
        <v>614</v>
      </c>
      <c r="D11653">
        <v>1256.26</v>
      </c>
      <c r="E11653" s="37" t="str">
        <f t="shared" si="910"/>
        <v xml:space="preserve"> </v>
      </c>
      <c r="F11653">
        <v>0.3</v>
      </c>
      <c r="G11653" s="37" t="str">
        <f t="shared" si="911"/>
        <v>Normal Discount</v>
      </c>
      <c r="H11653" s="37" t="str">
        <f t="shared" si="912"/>
        <v>Medium</v>
      </c>
      <c r="I11653">
        <v>5</v>
      </c>
      <c r="J11653" t="str" cm="1">
        <f t="array" ref="J11653">_xlfn.IFS(I11653&lt;=3,"small",I11653&lt;=6,"Medium",I11653&lt;=9,"Large")</f>
        <v>Medium</v>
      </c>
      <c r="K11653" s="36">
        <v>44977</v>
      </c>
      <c r="L11653" s="36">
        <v>44979</v>
      </c>
      <c r="M11653" t="s">
        <v>612</v>
      </c>
      <c r="N11653" t="s">
        <v>608</v>
      </c>
      <c r="O11653" s="37" t="str">
        <f t="shared" si="913"/>
        <v>Cash Payment</v>
      </c>
      <c r="P11653">
        <v>246.61</v>
      </c>
      <c r="Q11653" s="37" t="str">
        <f>IF(P11653&gt;500,"High","low")</f>
        <v>low</v>
      </c>
      <c r="R11653" s="37" t="str">
        <f t="shared" si="914"/>
        <v>AVERAGE</v>
      </c>
      <c r="S11653" t="s">
        <v>600</v>
      </c>
    </row>
    <row r="11654" spans="1:19" x14ac:dyDescent="0.2">
      <c r="A11654" t="s">
        <v>12265</v>
      </c>
      <c r="B11654" t="s">
        <v>75</v>
      </c>
      <c r="C11654" t="s">
        <v>614</v>
      </c>
      <c r="D11654">
        <v>814.58</v>
      </c>
      <c r="E11654" s="37" t="str">
        <f t="shared" si="910"/>
        <v xml:space="preserve"> </v>
      </c>
      <c r="F11654">
        <v>0.2</v>
      </c>
      <c r="G11654" s="37" t="str">
        <f t="shared" si="911"/>
        <v>Normal Discount</v>
      </c>
      <c r="H11654" s="37" t="str">
        <f t="shared" si="912"/>
        <v>Medium</v>
      </c>
      <c r="I11654">
        <v>7</v>
      </c>
      <c r="J11654" t="str" cm="1">
        <f t="array" ref="J11654">_xlfn.IFS(I11654&lt;=3,"small",I11654&lt;=6,"Medium",I11654&lt;=9,"Large")</f>
        <v>Large</v>
      </c>
      <c r="K11654" s="36">
        <v>45318</v>
      </c>
      <c r="L11654" s="36">
        <v>45325</v>
      </c>
      <c r="M11654" t="s">
        <v>598</v>
      </c>
      <c r="N11654" t="s">
        <v>604</v>
      </c>
      <c r="O11654" s="37" t="str">
        <f t="shared" si="913"/>
        <v>Digital Payment</v>
      </c>
      <c r="P11654">
        <v>144.25</v>
      </c>
      <c r="Q11654" s="37" t="str">
        <f>IF(P11654&gt;500,"High","low")</f>
        <v>low</v>
      </c>
      <c r="R11654" s="37" t="str">
        <f t="shared" si="914"/>
        <v>AVERAGE</v>
      </c>
      <c r="S11654" t="s">
        <v>609</v>
      </c>
    </row>
    <row r="11655" spans="1:19" x14ac:dyDescent="0.2">
      <c r="A11655" t="s">
        <v>12266</v>
      </c>
      <c r="B11655" t="s">
        <v>83</v>
      </c>
      <c r="C11655" t="s">
        <v>602</v>
      </c>
      <c r="D11655">
        <v>305.11</v>
      </c>
      <c r="E11655" s="37" t="str">
        <f t="shared" si="910"/>
        <v xml:space="preserve"> </v>
      </c>
      <c r="F11655">
        <v>0.43</v>
      </c>
      <c r="G11655" s="37" t="str">
        <f t="shared" si="911"/>
        <v>Heavy Discount</v>
      </c>
      <c r="H11655" s="37" t="str">
        <f t="shared" si="912"/>
        <v>High</v>
      </c>
      <c r="I11655">
        <v>8</v>
      </c>
      <c r="J11655" t="str" cm="1">
        <f t="array" ref="J11655">_xlfn.IFS(I11655&lt;=3,"small",I11655&lt;=6,"Medium",I11655&lt;=9,"Large")</f>
        <v>Large</v>
      </c>
      <c r="K11655" s="36">
        <v>45230</v>
      </c>
      <c r="L11655" s="36">
        <v>45235</v>
      </c>
      <c r="M11655" t="s">
        <v>603</v>
      </c>
      <c r="N11655" t="s">
        <v>599</v>
      </c>
      <c r="O11655" s="37" t="str">
        <f t="shared" si="913"/>
        <v>Digital Payment</v>
      </c>
      <c r="P11655">
        <v>89.12</v>
      </c>
      <c r="Q11655" s="37" t="str">
        <f>IF(P11655&gt;500,"High","low")</f>
        <v>low</v>
      </c>
      <c r="R11655" s="37" t="str">
        <f t="shared" si="914"/>
        <v>AVERAGE</v>
      </c>
      <c r="S11655" t="s">
        <v>615</v>
      </c>
    </row>
    <row r="11656" spans="1:19" x14ac:dyDescent="0.2">
      <c r="A11656" t="s">
        <v>12267</v>
      </c>
      <c r="B11656" t="s">
        <v>90</v>
      </c>
      <c r="C11656" t="s">
        <v>617</v>
      </c>
      <c r="D11656">
        <v>2413.9299999999998</v>
      </c>
      <c r="E11656" s="37" t="str">
        <f t="shared" si="910"/>
        <v xml:space="preserve"> </v>
      </c>
      <c r="F11656">
        <v>0.48</v>
      </c>
      <c r="G11656" s="37" t="str">
        <f t="shared" si="911"/>
        <v>Heavy Discount</v>
      </c>
      <c r="H11656" s="37" t="str">
        <f t="shared" si="912"/>
        <v>High</v>
      </c>
      <c r="I11656">
        <v>3</v>
      </c>
      <c r="J11656" t="str" cm="1">
        <f t="array" ref="J11656">_xlfn.IFS(I11656&lt;=3,"small",I11656&lt;=6,"Medium",I11656&lt;=9,"Large")</f>
        <v>small</v>
      </c>
      <c r="K11656" s="36">
        <v>45578</v>
      </c>
      <c r="L11656" s="36">
        <v>45583</v>
      </c>
      <c r="M11656" t="s">
        <v>612</v>
      </c>
      <c r="N11656" t="s">
        <v>608</v>
      </c>
      <c r="O11656" s="37" t="str">
        <f t="shared" si="913"/>
        <v>Cash Payment</v>
      </c>
      <c r="P11656">
        <v>594.12</v>
      </c>
      <c r="Q11656" s="37" t="str">
        <f>IF(P11656&gt;500,"High","low")</f>
        <v>High</v>
      </c>
      <c r="R11656" s="37" t="str">
        <f t="shared" si="914"/>
        <v>Good</v>
      </c>
      <c r="S11656" t="s">
        <v>620</v>
      </c>
    </row>
    <row r="11657" spans="1:19" x14ac:dyDescent="0.2">
      <c r="A11657" t="s">
        <v>12268</v>
      </c>
      <c r="B11657" t="s">
        <v>90</v>
      </c>
      <c r="C11657" t="s">
        <v>602</v>
      </c>
      <c r="D11657">
        <v>1505.27</v>
      </c>
      <c r="E11657" s="37" t="str">
        <f t="shared" si="910"/>
        <v xml:space="preserve"> </v>
      </c>
      <c r="F11657">
        <v>0.3</v>
      </c>
      <c r="G11657" s="37" t="str">
        <f t="shared" si="911"/>
        <v>Normal Discount</v>
      </c>
      <c r="H11657" s="37" t="str">
        <f t="shared" si="912"/>
        <v>Medium</v>
      </c>
      <c r="I11657">
        <v>5</v>
      </c>
      <c r="J11657" t="str" cm="1">
        <f t="array" ref="J11657">_xlfn.IFS(I11657&lt;=3,"small",I11657&lt;=6,"Medium",I11657&lt;=9,"Large")</f>
        <v>Medium</v>
      </c>
      <c r="K11657" s="36">
        <v>45636</v>
      </c>
      <c r="L11657" s="36">
        <v>45639</v>
      </c>
      <c r="M11657" t="s">
        <v>612</v>
      </c>
      <c r="N11657" t="s">
        <v>608</v>
      </c>
      <c r="O11657" s="37" t="str">
        <f t="shared" si="913"/>
        <v>Cash Payment</v>
      </c>
      <c r="P11657">
        <v>404.06</v>
      </c>
      <c r="Q11657" s="37" t="str">
        <f>IF(P11657&gt;500,"High","low")</f>
        <v>low</v>
      </c>
      <c r="R11657" s="37" t="str">
        <f t="shared" si="914"/>
        <v>AVERAGE</v>
      </c>
      <c r="S11657" t="s">
        <v>620</v>
      </c>
    </row>
    <row r="11658" spans="1:19" x14ac:dyDescent="0.2">
      <c r="A11658" t="s">
        <v>12269</v>
      </c>
      <c r="B11658" t="s">
        <v>83</v>
      </c>
      <c r="C11658" t="s">
        <v>617</v>
      </c>
      <c r="D11658">
        <v>4934.96</v>
      </c>
      <c r="E11658" s="37" t="str">
        <f t="shared" si="910"/>
        <v xml:space="preserve"> </v>
      </c>
      <c r="F11658">
        <v>0.42</v>
      </c>
      <c r="G11658" s="37" t="str">
        <f t="shared" si="911"/>
        <v>Heavy Discount</v>
      </c>
      <c r="H11658" s="37" t="str">
        <f t="shared" si="912"/>
        <v>High</v>
      </c>
      <c r="I11658">
        <v>7</v>
      </c>
      <c r="J11658" t="str" cm="1">
        <f t="array" ref="J11658">_xlfn.IFS(I11658&lt;=3,"small",I11658&lt;=6,"Medium",I11658&lt;=9,"Large")</f>
        <v>Large</v>
      </c>
      <c r="K11658" s="36">
        <v>45217</v>
      </c>
      <c r="L11658" s="36">
        <v>45223</v>
      </c>
      <c r="M11658" t="s">
        <v>603</v>
      </c>
      <c r="N11658" t="s">
        <v>608</v>
      </c>
      <c r="O11658" s="37" t="str">
        <f t="shared" si="913"/>
        <v>Cash Payment</v>
      </c>
      <c r="P11658">
        <v>340.46</v>
      </c>
      <c r="Q11658" s="37" t="str">
        <f>IF(P11658&gt;500,"High","low")</f>
        <v>low</v>
      </c>
      <c r="R11658" s="37" t="str">
        <f t="shared" si="914"/>
        <v>AVERAGE</v>
      </c>
      <c r="S11658" t="s">
        <v>609</v>
      </c>
    </row>
    <row r="11659" spans="1:19" x14ac:dyDescent="0.2">
      <c r="A11659" t="s">
        <v>12270</v>
      </c>
      <c r="B11659" t="s">
        <v>83</v>
      </c>
      <c r="C11659" t="s">
        <v>607</v>
      </c>
      <c r="D11659">
        <v>1324.19</v>
      </c>
      <c r="E11659" s="37" t="str">
        <f t="shared" si="910"/>
        <v xml:space="preserve"> </v>
      </c>
      <c r="F11659">
        <v>0.43</v>
      </c>
      <c r="G11659" s="37" t="str">
        <f t="shared" si="911"/>
        <v>Heavy Discount</v>
      </c>
      <c r="H11659" s="37" t="str">
        <f t="shared" si="912"/>
        <v>High</v>
      </c>
      <c r="I11659">
        <v>2</v>
      </c>
      <c r="J11659" t="str" cm="1">
        <f t="array" ref="J11659">_xlfn.IFS(I11659&lt;=3,"small",I11659&lt;=6,"Medium",I11659&lt;=9,"Large")</f>
        <v>small</v>
      </c>
      <c r="K11659" s="36">
        <v>45124</v>
      </c>
      <c r="L11659" s="36">
        <v>45127</v>
      </c>
      <c r="M11659" t="s">
        <v>612</v>
      </c>
      <c r="N11659" t="s">
        <v>599</v>
      </c>
      <c r="O11659" s="37" t="str">
        <f t="shared" si="913"/>
        <v>Digital Payment</v>
      </c>
      <c r="P11659">
        <v>349.51</v>
      </c>
      <c r="Q11659" s="37" t="str">
        <f>IF(P11659&gt;500,"High","low")</f>
        <v>low</v>
      </c>
      <c r="R11659" s="37" t="str">
        <f t="shared" si="914"/>
        <v>AVERAGE</v>
      </c>
      <c r="S11659" t="s">
        <v>600</v>
      </c>
    </row>
    <row r="11660" spans="1:19" x14ac:dyDescent="0.2">
      <c r="A11660" t="s">
        <v>12271</v>
      </c>
      <c r="B11660" t="s">
        <v>90</v>
      </c>
      <c r="C11660" t="s">
        <v>617</v>
      </c>
      <c r="D11660">
        <v>4346.0600000000004</v>
      </c>
      <c r="E11660" s="37" t="str">
        <f t="shared" si="910"/>
        <v>Excellent Order</v>
      </c>
      <c r="F11660">
        <v>0.36</v>
      </c>
      <c r="G11660" s="37" t="str">
        <f t="shared" si="911"/>
        <v>Heavy Discount</v>
      </c>
      <c r="H11660" s="37" t="str">
        <f t="shared" si="912"/>
        <v>Medium</v>
      </c>
      <c r="I11660">
        <v>9</v>
      </c>
      <c r="J11660" t="str" cm="1">
        <f t="array" ref="J11660">_xlfn.IFS(I11660&lt;=3,"small",I11660&lt;=6,"Medium",I11660&lt;=9,"Large")</f>
        <v>Large</v>
      </c>
      <c r="K11660" s="36">
        <v>45444</v>
      </c>
      <c r="L11660" s="36">
        <v>45447</v>
      </c>
      <c r="M11660" t="s">
        <v>603</v>
      </c>
      <c r="N11660" t="s">
        <v>604</v>
      </c>
      <c r="O11660" s="37" t="str">
        <f t="shared" si="913"/>
        <v>Digital Payment</v>
      </c>
      <c r="P11660">
        <v>1037.9100000000001</v>
      </c>
      <c r="Q11660" s="37" t="str">
        <f>IF(P11660&gt;500,"High","low")</f>
        <v>High</v>
      </c>
      <c r="R11660" s="37" t="str">
        <f t="shared" si="914"/>
        <v>Excellent</v>
      </c>
      <c r="S11660" t="s">
        <v>620</v>
      </c>
    </row>
    <row r="11661" spans="1:19" x14ac:dyDescent="0.2">
      <c r="A11661" t="s">
        <v>12272</v>
      </c>
      <c r="B11661" t="s">
        <v>90</v>
      </c>
      <c r="C11661" t="s">
        <v>614</v>
      </c>
      <c r="D11661">
        <v>1650.55</v>
      </c>
      <c r="E11661" s="37" t="str">
        <f t="shared" si="910"/>
        <v xml:space="preserve"> </v>
      </c>
      <c r="F11661">
        <v>0.1</v>
      </c>
      <c r="G11661" s="37" t="str">
        <f t="shared" si="911"/>
        <v>Normal Discount</v>
      </c>
      <c r="H11661" s="37" t="str">
        <f t="shared" si="912"/>
        <v>Low</v>
      </c>
      <c r="I11661">
        <v>3</v>
      </c>
      <c r="J11661" t="str" cm="1">
        <f t="array" ref="J11661">_xlfn.IFS(I11661&lt;=3,"small",I11661&lt;=6,"Medium",I11661&lt;=9,"Large")</f>
        <v>small</v>
      </c>
      <c r="K11661" s="36">
        <v>45281</v>
      </c>
      <c r="L11661" s="36">
        <v>45286</v>
      </c>
      <c r="M11661" t="s">
        <v>612</v>
      </c>
      <c r="N11661" t="s">
        <v>599</v>
      </c>
      <c r="O11661" s="37" t="str">
        <f t="shared" si="913"/>
        <v>Digital Payment</v>
      </c>
      <c r="P11661">
        <v>289.07</v>
      </c>
      <c r="Q11661" s="37" t="str">
        <f>IF(P11661&gt;500,"High","low")</f>
        <v>low</v>
      </c>
      <c r="R11661" s="37" t="str">
        <f t="shared" si="914"/>
        <v>AVERAGE</v>
      </c>
      <c r="S11661" t="s">
        <v>620</v>
      </c>
    </row>
    <row r="11662" spans="1:19" x14ac:dyDescent="0.2">
      <c r="A11662" t="s">
        <v>12273</v>
      </c>
      <c r="B11662" t="s">
        <v>75</v>
      </c>
      <c r="C11662" t="s">
        <v>607</v>
      </c>
      <c r="D11662">
        <v>3770.72</v>
      </c>
      <c r="E11662" s="37" t="str">
        <f t="shared" si="910"/>
        <v xml:space="preserve"> </v>
      </c>
      <c r="F11662">
        <v>0.08</v>
      </c>
      <c r="G11662" s="37" t="str">
        <f t="shared" si="911"/>
        <v>Normal Discount</v>
      </c>
      <c r="H11662" s="37" t="str">
        <f t="shared" si="912"/>
        <v>Low</v>
      </c>
      <c r="I11662">
        <v>7</v>
      </c>
      <c r="J11662" t="str" cm="1">
        <f t="array" ref="J11662">_xlfn.IFS(I11662&lt;=3,"small",I11662&lt;=6,"Medium",I11662&lt;=9,"Large")</f>
        <v>Large</v>
      </c>
      <c r="K11662" s="36">
        <v>45162</v>
      </c>
      <c r="L11662" s="36">
        <v>45163</v>
      </c>
      <c r="M11662" t="s">
        <v>598</v>
      </c>
      <c r="N11662" t="s">
        <v>599</v>
      </c>
      <c r="O11662" s="37" t="str">
        <f t="shared" si="913"/>
        <v>Digital Payment</v>
      </c>
      <c r="P11662">
        <v>488.89</v>
      </c>
      <c r="Q11662" s="37" t="str">
        <f>IF(P11662&gt;500,"High","low")</f>
        <v>low</v>
      </c>
      <c r="R11662" s="37" t="str">
        <f t="shared" si="914"/>
        <v>AVERAGE</v>
      </c>
      <c r="S11662" t="s">
        <v>620</v>
      </c>
    </row>
    <row r="11663" spans="1:19" x14ac:dyDescent="0.2">
      <c r="A11663" t="s">
        <v>12274</v>
      </c>
      <c r="B11663" t="s">
        <v>90</v>
      </c>
      <c r="C11663" t="s">
        <v>614</v>
      </c>
      <c r="D11663">
        <v>3333.22</v>
      </c>
      <c r="E11663" s="37" t="str">
        <f t="shared" si="910"/>
        <v xml:space="preserve"> </v>
      </c>
      <c r="F11663">
        <v>0.46</v>
      </c>
      <c r="G11663" s="37" t="str">
        <f t="shared" si="911"/>
        <v>Heavy Discount</v>
      </c>
      <c r="H11663" s="37" t="str">
        <f t="shared" si="912"/>
        <v>High</v>
      </c>
      <c r="I11663">
        <v>9</v>
      </c>
      <c r="J11663" t="str" cm="1">
        <f t="array" ref="J11663">_xlfn.IFS(I11663&lt;=3,"small",I11663&lt;=6,"Medium",I11663&lt;=9,"Large")</f>
        <v>Large</v>
      </c>
      <c r="K11663" s="36">
        <v>45193</v>
      </c>
      <c r="L11663" s="36">
        <v>45200</v>
      </c>
      <c r="M11663" t="s">
        <v>598</v>
      </c>
      <c r="N11663" t="s">
        <v>599</v>
      </c>
      <c r="O11663" s="37" t="str">
        <f t="shared" si="913"/>
        <v>Digital Payment</v>
      </c>
      <c r="P11663">
        <v>461.24</v>
      </c>
      <c r="Q11663" s="37" t="str">
        <f>IF(P11663&gt;500,"High","low")</f>
        <v>low</v>
      </c>
      <c r="R11663" s="37" t="str">
        <f t="shared" si="914"/>
        <v>AVERAGE</v>
      </c>
      <c r="S11663" t="s">
        <v>605</v>
      </c>
    </row>
    <row r="11664" spans="1:19" x14ac:dyDescent="0.2">
      <c r="A11664" t="s">
        <v>12275</v>
      </c>
      <c r="B11664" t="s">
        <v>83</v>
      </c>
      <c r="C11664" t="s">
        <v>607</v>
      </c>
      <c r="D11664">
        <v>2852.74</v>
      </c>
      <c r="E11664" s="37" t="str">
        <f t="shared" si="910"/>
        <v xml:space="preserve"> </v>
      </c>
      <c r="F11664">
        <v>0.13</v>
      </c>
      <c r="G11664" s="37" t="str">
        <f t="shared" si="911"/>
        <v>Normal Discount</v>
      </c>
      <c r="H11664" s="37" t="str">
        <f t="shared" si="912"/>
        <v>Low</v>
      </c>
      <c r="I11664">
        <v>9</v>
      </c>
      <c r="J11664" t="str" cm="1">
        <f t="array" ref="J11664">_xlfn.IFS(I11664&lt;=3,"small",I11664&lt;=6,"Medium",I11664&lt;=9,"Large")</f>
        <v>Large</v>
      </c>
      <c r="K11664" s="36">
        <v>45177</v>
      </c>
      <c r="L11664" s="36">
        <v>45181</v>
      </c>
      <c r="M11664" t="s">
        <v>598</v>
      </c>
      <c r="N11664" t="s">
        <v>604</v>
      </c>
      <c r="O11664" s="37" t="str">
        <f t="shared" si="913"/>
        <v>Digital Payment</v>
      </c>
      <c r="P11664">
        <v>606.85</v>
      </c>
      <c r="Q11664" s="37" t="str">
        <f>IF(P11664&gt;500,"High","low")</f>
        <v>High</v>
      </c>
      <c r="R11664" s="37" t="str">
        <f t="shared" si="914"/>
        <v>Good</v>
      </c>
      <c r="S11664" t="s">
        <v>615</v>
      </c>
    </row>
    <row r="11665" spans="1:19" x14ac:dyDescent="0.2">
      <c r="A11665" t="s">
        <v>12276</v>
      </c>
      <c r="B11665" t="s">
        <v>75</v>
      </c>
      <c r="C11665" t="s">
        <v>617</v>
      </c>
      <c r="D11665">
        <v>2142.44</v>
      </c>
      <c r="E11665" s="37" t="str">
        <f t="shared" si="910"/>
        <v xml:space="preserve"> </v>
      </c>
      <c r="F11665">
        <v>0.12</v>
      </c>
      <c r="G11665" s="37" t="str">
        <f t="shared" si="911"/>
        <v>Normal Discount</v>
      </c>
      <c r="H11665" s="37" t="str">
        <f t="shared" si="912"/>
        <v>Low</v>
      </c>
      <c r="I11665">
        <v>3</v>
      </c>
      <c r="J11665" t="str" cm="1">
        <f t="array" ref="J11665">_xlfn.IFS(I11665&lt;=3,"small",I11665&lt;=6,"Medium",I11665&lt;=9,"Large")</f>
        <v>small</v>
      </c>
      <c r="K11665" s="36">
        <v>45464</v>
      </c>
      <c r="L11665" s="36">
        <v>45468</v>
      </c>
      <c r="M11665" t="s">
        <v>598</v>
      </c>
      <c r="N11665" t="s">
        <v>608</v>
      </c>
      <c r="O11665" s="37" t="str">
        <f t="shared" si="913"/>
        <v>Cash Payment</v>
      </c>
      <c r="P11665">
        <v>159.11000000000001</v>
      </c>
      <c r="Q11665" s="37" t="str">
        <f>IF(P11665&gt;500,"High","low")</f>
        <v>low</v>
      </c>
      <c r="R11665" s="37" t="str">
        <f t="shared" si="914"/>
        <v>AVERAGE</v>
      </c>
      <c r="S11665" t="s">
        <v>609</v>
      </c>
    </row>
    <row r="11666" spans="1:19" x14ac:dyDescent="0.2">
      <c r="A11666" t="s">
        <v>12277</v>
      </c>
      <c r="B11666" t="s">
        <v>83</v>
      </c>
      <c r="C11666" t="s">
        <v>617</v>
      </c>
      <c r="D11666">
        <v>3388.41</v>
      </c>
      <c r="E11666" s="37" t="str">
        <f t="shared" si="910"/>
        <v xml:space="preserve"> </v>
      </c>
      <c r="F11666">
        <v>0.08</v>
      </c>
      <c r="G11666" s="37" t="str">
        <f t="shared" si="911"/>
        <v>Normal Discount</v>
      </c>
      <c r="H11666" s="37" t="str">
        <f t="shared" si="912"/>
        <v>Low</v>
      </c>
      <c r="I11666">
        <v>2</v>
      </c>
      <c r="J11666" t="str" cm="1">
        <f t="array" ref="J11666">_xlfn.IFS(I11666&lt;=3,"small",I11666&lt;=6,"Medium",I11666&lt;=9,"Large")</f>
        <v>small</v>
      </c>
      <c r="K11666" s="36">
        <v>45510</v>
      </c>
      <c r="L11666" s="36">
        <v>45514</v>
      </c>
      <c r="M11666" t="s">
        <v>612</v>
      </c>
      <c r="N11666" t="s">
        <v>608</v>
      </c>
      <c r="O11666" s="37" t="str">
        <f t="shared" si="913"/>
        <v>Cash Payment</v>
      </c>
      <c r="P11666">
        <v>375.21</v>
      </c>
      <c r="Q11666" s="37" t="str">
        <f>IF(P11666&gt;500,"High","low")</f>
        <v>low</v>
      </c>
      <c r="R11666" s="37" t="str">
        <f t="shared" si="914"/>
        <v>AVERAGE</v>
      </c>
      <c r="S11666" t="s">
        <v>620</v>
      </c>
    </row>
    <row r="11667" spans="1:19" x14ac:dyDescent="0.2">
      <c r="A11667" t="s">
        <v>12278</v>
      </c>
      <c r="B11667" t="s">
        <v>67</v>
      </c>
      <c r="C11667" t="s">
        <v>614</v>
      </c>
      <c r="D11667">
        <v>2095.66</v>
      </c>
      <c r="E11667" s="37" t="str">
        <f t="shared" si="910"/>
        <v xml:space="preserve"> </v>
      </c>
      <c r="F11667">
        <v>0.26</v>
      </c>
      <c r="G11667" s="37" t="str">
        <f t="shared" si="911"/>
        <v>Normal Discount</v>
      </c>
      <c r="H11667" s="37" t="str">
        <f t="shared" si="912"/>
        <v>Medium</v>
      </c>
      <c r="I11667">
        <v>5</v>
      </c>
      <c r="J11667" t="str" cm="1">
        <f t="array" ref="J11667">_xlfn.IFS(I11667&lt;=3,"small",I11667&lt;=6,"Medium",I11667&lt;=9,"Large")</f>
        <v>Medium</v>
      </c>
      <c r="K11667" s="36">
        <v>45015</v>
      </c>
      <c r="L11667" s="36">
        <v>45019</v>
      </c>
      <c r="M11667" t="s">
        <v>612</v>
      </c>
      <c r="N11667" t="s">
        <v>608</v>
      </c>
      <c r="O11667" s="37" t="str">
        <f t="shared" si="913"/>
        <v>Cash Payment</v>
      </c>
      <c r="P11667">
        <v>451.63</v>
      </c>
      <c r="Q11667" s="37" t="str">
        <f>IF(P11667&gt;500,"High","low")</f>
        <v>low</v>
      </c>
      <c r="R11667" s="37" t="str">
        <f t="shared" si="914"/>
        <v>AVERAGE</v>
      </c>
      <c r="S11667" t="s">
        <v>615</v>
      </c>
    </row>
    <row r="11668" spans="1:19" x14ac:dyDescent="0.2">
      <c r="A11668" t="s">
        <v>12279</v>
      </c>
      <c r="B11668" t="s">
        <v>75</v>
      </c>
      <c r="C11668" t="s">
        <v>597</v>
      </c>
      <c r="D11668">
        <v>2785.69</v>
      </c>
      <c r="E11668" s="37" t="str">
        <f t="shared" si="910"/>
        <v xml:space="preserve"> </v>
      </c>
      <c r="F11668">
        <v>0.34</v>
      </c>
      <c r="G11668" s="37" t="str">
        <f t="shared" si="911"/>
        <v>Heavy Discount</v>
      </c>
      <c r="H11668" s="37" t="str">
        <f t="shared" si="912"/>
        <v>Medium</v>
      </c>
      <c r="I11668">
        <v>5</v>
      </c>
      <c r="J11668" t="str" cm="1">
        <f t="array" ref="J11668">_xlfn.IFS(I11668&lt;=3,"small",I11668&lt;=6,"Medium",I11668&lt;=9,"Large")</f>
        <v>Medium</v>
      </c>
      <c r="K11668" s="36">
        <v>45009</v>
      </c>
      <c r="L11668" s="36">
        <v>45011</v>
      </c>
      <c r="M11668" t="s">
        <v>603</v>
      </c>
      <c r="N11668" t="s">
        <v>604</v>
      </c>
      <c r="O11668" s="37" t="str">
        <f t="shared" si="913"/>
        <v>Digital Payment</v>
      </c>
      <c r="P11668">
        <v>345.55</v>
      </c>
      <c r="Q11668" s="37" t="str">
        <f>IF(P11668&gt;500,"High","low")</f>
        <v>low</v>
      </c>
      <c r="R11668" s="37" t="str">
        <f t="shared" si="914"/>
        <v>AVERAGE</v>
      </c>
      <c r="S11668" t="s">
        <v>605</v>
      </c>
    </row>
    <row r="11669" spans="1:19" x14ac:dyDescent="0.2">
      <c r="A11669" t="s">
        <v>12280</v>
      </c>
      <c r="B11669" t="s">
        <v>83</v>
      </c>
      <c r="C11669" t="s">
        <v>617</v>
      </c>
      <c r="D11669">
        <v>2990.03</v>
      </c>
      <c r="E11669" s="37" t="str">
        <f t="shared" si="910"/>
        <v xml:space="preserve"> </v>
      </c>
      <c r="F11669">
        <v>0.34</v>
      </c>
      <c r="G11669" s="37" t="str">
        <f t="shared" si="911"/>
        <v>Heavy Discount</v>
      </c>
      <c r="H11669" s="37" t="str">
        <f t="shared" si="912"/>
        <v>Medium</v>
      </c>
      <c r="I11669">
        <v>8</v>
      </c>
      <c r="J11669" t="str" cm="1">
        <f t="array" ref="J11669">_xlfn.IFS(I11669&lt;=3,"small",I11669&lt;=6,"Medium",I11669&lt;=9,"Large")</f>
        <v>Large</v>
      </c>
      <c r="K11669" s="36">
        <v>45464</v>
      </c>
      <c r="L11669" s="36">
        <v>45465</v>
      </c>
      <c r="M11669" t="s">
        <v>612</v>
      </c>
      <c r="N11669" t="s">
        <v>599</v>
      </c>
      <c r="O11669" s="37" t="str">
        <f t="shared" si="913"/>
        <v>Digital Payment</v>
      </c>
      <c r="P11669">
        <v>739.89</v>
      </c>
      <c r="Q11669" s="37" t="str">
        <f>IF(P11669&gt;500,"High","low")</f>
        <v>High</v>
      </c>
      <c r="R11669" s="37" t="str">
        <f t="shared" si="914"/>
        <v>Good</v>
      </c>
      <c r="S11669" t="s">
        <v>615</v>
      </c>
    </row>
    <row r="11670" spans="1:19" x14ac:dyDescent="0.2">
      <c r="A11670" t="s">
        <v>12281</v>
      </c>
      <c r="B11670" t="s">
        <v>90</v>
      </c>
      <c r="C11670" t="s">
        <v>597</v>
      </c>
      <c r="D11670">
        <v>1410.04</v>
      </c>
      <c r="E11670" s="37" t="str">
        <f t="shared" si="910"/>
        <v xml:space="preserve"> </v>
      </c>
      <c r="F11670">
        <v>0.13</v>
      </c>
      <c r="G11670" s="37" t="str">
        <f t="shared" si="911"/>
        <v>Normal Discount</v>
      </c>
      <c r="H11670" s="37" t="str">
        <f t="shared" si="912"/>
        <v>Low</v>
      </c>
      <c r="I11670">
        <v>6</v>
      </c>
      <c r="J11670" t="str" cm="1">
        <f t="array" ref="J11670">_xlfn.IFS(I11670&lt;=3,"small",I11670&lt;=6,"Medium",I11670&lt;=9,"Large")</f>
        <v>Medium</v>
      </c>
      <c r="K11670" s="36">
        <v>45413</v>
      </c>
      <c r="L11670" s="36">
        <v>45417</v>
      </c>
      <c r="M11670" t="s">
        <v>598</v>
      </c>
      <c r="N11670" t="s">
        <v>604</v>
      </c>
      <c r="O11670" s="37" t="str">
        <f t="shared" si="913"/>
        <v>Digital Payment</v>
      </c>
      <c r="P11670">
        <v>330.02</v>
      </c>
      <c r="Q11670" s="37" t="str">
        <f>IF(P11670&gt;500,"High","low")</f>
        <v>low</v>
      </c>
      <c r="R11670" s="37" t="str">
        <f t="shared" si="914"/>
        <v>AVERAGE</v>
      </c>
      <c r="S11670" t="s">
        <v>628</v>
      </c>
    </row>
    <row r="11671" spans="1:19" x14ac:dyDescent="0.2">
      <c r="A11671" t="s">
        <v>12282</v>
      </c>
      <c r="B11671" t="s">
        <v>67</v>
      </c>
      <c r="C11671" t="s">
        <v>607</v>
      </c>
      <c r="D11671">
        <v>1764.71</v>
      </c>
      <c r="E11671" s="37" t="str">
        <f t="shared" si="910"/>
        <v xml:space="preserve"> </v>
      </c>
      <c r="F11671">
        <v>0.05</v>
      </c>
      <c r="G11671" s="37" t="str">
        <f t="shared" si="911"/>
        <v>Normal Discount</v>
      </c>
      <c r="H11671" s="37" t="str">
        <f t="shared" si="912"/>
        <v>Low</v>
      </c>
      <c r="I11671">
        <v>7</v>
      </c>
      <c r="J11671" t="str" cm="1">
        <f t="array" ref="J11671">_xlfn.IFS(I11671&lt;=3,"small",I11671&lt;=6,"Medium",I11671&lt;=9,"Large")</f>
        <v>Large</v>
      </c>
      <c r="K11671" s="36">
        <v>45386</v>
      </c>
      <c r="L11671" s="36">
        <v>45393</v>
      </c>
      <c r="M11671" t="s">
        <v>598</v>
      </c>
      <c r="N11671" t="s">
        <v>604</v>
      </c>
      <c r="O11671" s="37" t="str">
        <f t="shared" si="913"/>
        <v>Digital Payment</v>
      </c>
      <c r="P11671">
        <v>310.44</v>
      </c>
      <c r="Q11671" s="37" t="str">
        <f>IF(P11671&gt;500,"High","low")</f>
        <v>low</v>
      </c>
      <c r="R11671" s="37" t="str">
        <f t="shared" si="914"/>
        <v>AVERAGE</v>
      </c>
      <c r="S11671" t="s">
        <v>620</v>
      </c>
    </row>
    <row r="11672" spans="1:19" x14ac:dyDescent="0.2">
      <c r="A11672" t="s">
        <v>12283</v>
      </c>
      <c r="B11672" t="s">
        <v>83</v>
      </c>
      <c r="C11672" t="s">
        <v>597</v>
      </c>
      <c r="D11672">
        <v>188.45</v>
      </c>
      <c r="E11672" s="37" t="str">
        <f t="shared" si="910"/>
        <v xml:space="preserve"> </v>
      </c>
      <c r="F11672">
        <v>0.16</v>
      </c>
      <c r="G11672" s="37" t="str">
        <f t="shared" si="911"/>
        <v>Normal Discount</v>
      </c>
      <c r="H11672" s="37" t="str">
        <f t="shared" si="912"/>
        <v>Low</v>
      </c>
      <c r="I11672">
        <v>8</v>
      </c>
      <c r="J11672" t="str" cm="1">
        <f t="array" ref="J11672">_xlfn.IFS(I11672&lt;=3,"small",I11672&lt;=6,"Medium",I11672&lt;=9,"Large")</f>
        <v>Large</v>
      </c>
      <c r="K11672" s="36">
        <v>45206</v>
      </c>
      <c r="L11672" s="36">
        <v>45207</v>
      </c>
      <c r="M11672" t="s">
        <v>603</v>
      </c>
      <c r="N11672" t="s">
        <v>599</v>
      </c>
      <c r="O11672" s="37" t="str">
        <f t="shared" si="913"/>
        <v>Digital Payment</v>
      </c>
      <c r="P11672">
        <v>46.61</v>
      </c>
      <c r="Q11672" s="37" t="str">
        <f>IF(P11672&gt;500,"High","low")</f>
        <v>low</v>
      </c>
      <c r="R11672" s="37" t="str">
        <f t="shared" si="914"/>
        <v>AVERAGE</v>
      </c>
      <c r="S11672" t="s">
        <v>628</v>
      </c>
    </row>
    <row r="11673" spans="1:19" x14ac:dyDescent="0.2">
      <c r="A11673" t="s">
        <v>12284</v>
      </c>
      <c r="B11673" t="s">
        <v>75</v>
      </c>
      <c r="C11673" t="s">
        <v>614</v>
      </c>
      <c r="D11673">
        <v>4275.58</v>
      </c>
      <c r="E11673" s="37" t="str">
        <f t="shared" si="910"/>
        <v xml:space="preserve"> </v>
      </c>
      <c r="F11673">
        <v>0.25</v>
      </c>
      <c r="G11673" s="37" t="str">
        <f t="shared" si="911"/>
        <v>Normal Discount</v>
      </c>
      <c r="H11673" s="37" t="str">
        <f t="shared" si="912"/>
        <v>Medium</v>
      </c>
      <c r="I11673">
        <v>9</v>
      </c>
      <c r="J11673" t="str" cm="1">
        <f t="array" ref="J11673">_xlfn.IFS(I11673&lt;=3,"small",I11673&lt;=6,"Medium",I11673&lt;=9,"Large")</f>
        <v>Large</v>
      </c>
      <c r="K11673" s="36">
        <v>45113</v>
      </c>
      <c r="L11673" s="36">
        <v>45119</v>
      </c>
      <c r="M11673" t="s">
        <v>603</v>
      </c>
      <c r="N11673" t="s">
        <v>604</v>
      </c>
      <c r="O11673" s="37" t="str">
        <f t="shared" si="913"/>
        <v>Digital Payment</v>
      </c>
      <c r="P11673">
        <v>385.38</v>
      </c>
      <c r="Q11673" s="37" t="str">
        <f>IF(P11673&gt;500,"High","low")</f>
        <v>low</v>
      </c>
      <c r="R11673" s="37" t="str">
        <f t="shared" si="914"/>
        <v>AVERAGE</v>
      </c>
      <c r="S11673" t="s">
        <v>605</v>
      </c>
    </row>
    <row r="11674" spans="1:19" x14ac:dyDescent="0.2">
      <c r="A11674" t="s">
        <v>12285</v>
      </c>
      <c r="B11674" t="s">
        <v>83</v>
      </c>
      <c r="C11674" t="s">
        <v>602</v>
      </c>
      <c r="D11674">
        <v>3804.32</v>
      </c>
      <c r="E11674" s="37" t="str">
        <f t="shared" si="910"/>
        <v xml:space="preserve"> </v>
      </c>
      <c r="F11674">
        <v>0.31</v>
      </c>
      <c r="G11674" s="37" t="str">
        <f t="shared" si="911"/>
        <v>Heavy Discount</v>
      </c>
      <c r="H11674" s="37" t="str">
        <f t="shared" si="912"/>
        <v>Medium</v>
      </c>
      <c r="I11674">
        <v>4</v>
      </c>
      <c r="J11674" t="str" cm="1">
        <f t="array" ref="J11674">_xlfn.IFS(I11674&lt;=3,"small",I11674&lt;=6,"Medium",I11674&lt;=9,"Large")</f>
        <v>Medium</v>
      </c>
      <c r="K11674" s="36">
        <v>45327</v>
      </c>
      <c r="L11674" s="36">
        <v>45328</v>
      </c>
      <c r="M11674" t="s">
        <v>603</v>
      </c>
      <c r="N11674" t="s">
        <v>599</v>
      </c>
      <c r="O11674" s="37" t="str">
        <f t="shared" si="913"/>
        <v>Digital Payment</v>
      </c>
      <c r="P11674">
        <v>964.6</v>
      </c>
      <c r="Q11674" s="37" t="str">
        <f>IF(P11674&gt;500,"High","low")</f>
        <v>High</v>
      </c>
      <c r="R11674" s="37" t="str">
        <f t="shared" si="914"/>
        <v>Good</v>
      </c>
      <c r="S11674" t="s">
        <v>628</v>
      </c>
    </row>
    <row r="11675" spans="1:19" x14ac:dyDescent="0.2">
      <c r="A11675" t="s">
        <v>12286</v>
      </c>
      <c r="B11675" t="s">
        <v>67</v>
      </c>
      <c r="C11675" t="s">
        <v>602</v>
      </c>
      <c r="D11675">
        <v>999.3</v>
      </c>
      <c r="E11675" s="37" t="str">
        <f t="shared" si="910"/>
        <v xml:space="preserve"> </v>
      </c>
      <c r="F11675">
        <v>0.14000000000000001</v>
      </c>
      <c r="G11675" s="37" t="str">
        <f t="shared" si="911"/>
        <v>Normal Discount</v>
      </c>
      <c r="H11675" s="37" t="str">
        <f t="shared" si="912"/>
        <v>Low</v>
      </c>
      <c r="I11675">
        <v>5</v>
      </c>
      <c r="J11675" t="str" cm="1">
        <f t="array" ref="J11675">_xlfn.IFS(I11675&lt;=3,"small",I11675&lt;=6,"Medium",I11675&lt;=9,"Large")</f>
        <v>Medium</v>
      </c>
      <c r="K11675" s="36">
        <v>45519</v>
      </c>
      <c r="L11675" s="36">
        <v>45523</v>
      </c>
      <c r="M11675" t="s">
        <v>603</v>
      </c>
      <c r="N11675" t="s">
        <v>604</v>
      </c>
      <c r="O11675" s="37" t="str">
        <f t="shared" si="913"/>
        <v>Digital Payment</v>
      </c>
      <c r="P11675">
        <v>100.56</v>
      </c>
      <c r="Q11675" s="37" t="str">
        <f>IF(P11675&gt;500,"High","low")</f>
        <v>low</v>
      </c>
      <c r="R11675" s="37" t="str">
        <f t="shared" si="914"/>
        <v>AVERAGE</v>
      </c>
      <c r="S11675" t="s">
        <v>605</v>
      </c>
    </row>
    <row r="11676" spans="1:19" x14ac:dyDescent="0.2">
      <c r="A11676" t="s">
        <v>12287</v>
      </c>
      <c r="B11676" t="s">
        <v>75</v>
      </c>
      <c r="C11676" t="s">
        <v>614</v>
      </c>
      <c r="D11676">
        <v>1874.04</v>
      </c>
      <c r="E11676" s="37" t="str">
        <f t="shared" si="910"/>
        <v xml:space="preserve"> </v>
      </c>
      <c r="F11676">
        <v>0.09</v>
      </c>
      <c r="G11676" s="37" t="str">
        <f t="shared" si="911"/>
        <v>Normal Discount</v>
      </c>
      <c r="H11676" s="37" t="str">
        <f t="shared" si="912"/>
        <v>Low</v>
      </c>
      <c r="I11676">
        <v>4</v>
      </c>
      <c r="J11676" t="str" cm="1">
        <f t="array" ref="J11676">_xlfn.IFS(I11676&lt;=3,"small",I11676&lt;=6,"Medium",I11676&lt;=9,"Large")</f>
        <v>Medium</v>
      </c>
      <c r="K11676" s="36">
        <v>45417</v>
      </c>
      <c r="L11676" s="36">
        <v>45423</v>
      </c>
      <c r="M11676" t="s">
        <v>598</v>
      </c>
      <c r="N11676" t="s">
        <v>604</v>
      </c>
      <c r="O11676" s="37" t="str">
        <f t="shared" si="913"/>
        <v>Digital Payment</v>
      </c>
      <c r="P11676">
        <v>415.98</v>
      </c>
      <c r="Q11676" s="37" t="str">
        <f>IF(P11676&gt;500,"High","low")</f>
        <v>low</v>
      </c>
      <c r="R11676" s="37" t="str">
        <f t="shared" si="914"/>
        <v>AVERAGE</v>
      </c>
      <c r="S11676" t="s">
        <v>615</v>
      </c>
    </row>
    <row r="11677" spans="1:19" x14ac:dyDescent="0.2">
      <c r="A11677" t="s">
        <v>12288</v>
      </c>
      <c r="B11677" t="s">
        <v>67</v>
      </c>
      <c r="C11677" t="s">
        <v>602</v>
      </c>
      <c r="D11677">
        <v>2163.2399999999998</v>
      </c>
      <c r="E11677" s="37" t="str">
        <f t="shared" si="910"/>
        <v xml:space="preserve"> </v>
      </c>
      <c r="F11677">
        <v>0.42</v>
      </c>
      <c r="G11677" s="37" t="str">
        <f t="shared" si="911"/>
        <v>Heavy Discount</v>
      </c>
      <c r="H11677" s="37" t="str">
        <f t="shared" si="912"/>
        <v>High</v>
      </c>
      <c r="I11677">
        <v>9</v>
      </c>
      <c r="J11677" t="str" cm="1">
        <f t="array" ref="J11677">_xlfn.IFS(I11677&lt;=3,"small",I11677&lt;=6,"Medium",I11677&lt;=9,"Large")</f>
        <v>Large</v>
      </c>
      <c r="K11677" s="36">
        <v>45567</v>
      </c>
      <c r="L11677" s="36">
        <v>45569</v>
      </c>
      <c r="M11677" t="s">
        <v>612</v>
      </c>
      <c r="N11677" t="s">
        <v>604</v>
      </c>
      <c r="O11677" s="37" t="str">
        <f t="shared" si="913"/>
        <v>Digital Payment</v>
      </c>
      <c r="P11677">
        <v>484.16</v>
      </c>
      <c r="Q11677" s="37" t="str">
        <f>IF(P11677&gt;500,"High","low")</f>
        <v>low</v>
      </c>
      <c r="R11677" s="37" t="str">
        <f t="shared" si="914"/>
        <v>AVERAGE</v>
      </c>
      <c r="S11677" t="s">
        <v>620</v>
      </c>
    </row>
    <row r="11678" spans="1:19" x14ac:dyDescent="0.2">
      <c r="A11678" t="s">
        <v>12289</v>
      </c>
      <c r="B11678" t="s">
        <v>83</v>
      </c>
      <c r="C11678" t="s">
        <v>614</v>
      </c>
      <c r="D11678">
        <v>1738.46</v>
      </c>
      <c r="E11678" s="37" t="str">
        <f t="shared" si="910"/>
        <v xml:space="preserve"> </v>
      </c>
      <c r="F11678">
        <v>0.43</v>
      </c>
      <c r="G11678" s="37" t="str">
        <f t="shared" si="911"/>
        <v>Heavy Discount</v>
      </c>
      <c r="H11678" s="37" t="str">
        <f t="shared" si="912"/>
        <v>High</v>
      </c>
      <c r="I11678">
        <v>2</v>
      </c>
      <c r="J11678" t="str" cm="1">
        <f t="array" ref="J11678">_xlfn.IFS(I11678&lt;=3,"small",I11678&lt;=6,"Medium",I11678&lt;=9,"Large")</f>
        <v>small</v>
      </c>
      <c r="K11678" s="36">
        <v>45065</v>
      </c>
      <c r="L11678" s="36">
        <v>45068</v>
      </c>
      <c r="M11678" t="s">
        <v>612</v>
      </c>
      <c r="N11678" t="s">
        <v>599</v>
      </c>
      <c r="O11678" s="37" t="str">
        <f t="shared" si="913"/>
        <v>Digital Payment</v>
      </c>
      <c r="P11678">
        <v>351.91</v>
      </c>
      <c r="Q11678" s="37" t="str">
        <f>IF(P11678&gt;500,"High","low")</f>
        <v>low</v>
      </c>
      <c r="R11678" s="37" t="str">
        <f t="shared" si="914"/>
        <v>AVERAGE</v>
      </c>
      <c r="S11678" t="s">
        <v>605</v>
      </c>
    </row>
    <row r="11679" spans="1:19" x14ac:dyDescent="0.2">
      <c r="A11679" t="s">
        <v>12290</v>
      </c>
      <c r="B11679" t="s">
        <v>90</v>
      </c>
      <c r="C11679" t="s">
        <v>617</v>
      </c>
      <c r="D11679">
        <v>4011.39</v>
      </c>
      <c r="E11679" s="37" t="str">
        <f t="shared" si="910"/>
        <v xml:space="preserve"> </v>
      </c>
      <c r="F11679">
        <v>0.14000000000000001</v>
      </c>
      <c r="G11679" s="37" t="str">
        <f t="shared" si="911"/>
        <v>Normal Discount</v>
      </c>
      <c r="H11679" s="37" t="str">
        <f t="shared" si="912"/>
        <v>Low</v>
      </c>
      <c r="I11679">
        <v>8</v>
      </c>
      <c r="J11679" t="str" cm="1">
        <f t="array" ref="J11679">_xlfn.IFS(I11679&lt;=3,"small",I11679&lt;=6,"Medium",I11679&lt;=9,"Large")</f>
        <v>Large</v>
      </c>
      <c r="K11679" s="36">
        <v>45202</v>
      </c>
      <c r="L11679" s="36">
        <v>45205</v>
      </c>
      <c r="M11679" t="s">
        <v>612</v>
      </c>
      <c r="N11679" t="s">
        <v>604</v>
      </c>
      <c r="O11679" s="37" t="str">
        <f t="shared" si="913"/>
        <v>Digital Payment</v>
      </c>
      <c r="P11679">
        <v>746.72</v>
      </c>
      <c r="Q11679" s="37" t="str">
        <f>IF(P11679&gt;500,"High","low")</f>
        <v>High</v>
      </c>
      <c r="R11679" s="37" t="str">
        <f t="shared" si="914"/>
        <v>Good</v>
      </c>
      <c r="S11679" t="s">
        <v>615</v>
      </c>
    </row>
    <row r="11680" spans="1:19" x14ac:dyDescent="0.2">
      <c r="A11680" t="s">
        <v>12291</v>
      </c>
      <c r="B11680" t="s">
        <v>90</v>
      </c>
      <c r="C11680" t="s">
        <v>597</v>
      </c>
      <c r="D11680">
        <v>3654.56</v>
      </c>
      <c r="E11680" s="37" t="str">
        <f t="shared" si="910"/>
        <v xml:space="preserve"> </v>
      </c>
      <c r="F11680">
        <v>0.28000000000000003</v>
      </c>
      <c r="G11680" s="37" t="str">
        <f t="shared" si="911"/>
        <v>Normal Discount</v>
      </c>
      <c r="H11680" s="37" t="str">
        <f t="shared" si="912"/>
        <v>Medium</v>
      </c>
      <c r="I11680">
        <v>7</v>
      </c>
      <c r="J11680" t="str" cm="1">
        <f t="array" ref="J11680">_xlfn.IFS(I11680&lt;=3,"small",I11680&lt;=6,"Medium",I11680&lt;=9,"Large")</f>
        <v>Large</v>
      </c>
      <c r="K11680" s="36">
        <v>45469</v>
      </c>
      <c r="L11680" s="36">
        <v>45471</v>
      </c>
      <c r="M11680" t="s">
        <v>612</v>
      </c>
      <c r="N11680" t="s">
        <v>608</v>
      </c>
      <c r="O11680" s="37" t="str">
        <f t="shared" si="913"/>
        <v>Cash Payment</v>
      </c>
      <c r="P11680">
        <v>988.32</v>
      </c>
      <c r="Q11680" s="37" t="str">
        <f>IF(P11680&gt;500,"High","low")</f>
        <v>High</v>
      </c>
      <c r="R11680" s="37" t="str">
        <f t="shared" si="914"/>
        <v>Good</v>
      </c>
      <c r="S11680" t="s">
        <v>600</v>
      </c>
    </row>
    <row r="11681" spans="1:19" x14ac:dyDescent="0.2">
      <c r="A11681" t="s">
        <v>12292</v>
      </c>
      <c r="B11681" t="s">
        <v>83</v>
      </c>
      <c r="C11681" t="s">
        <v>602</v>
      </c>
      <c r="D11681">
        <v>3859.08</v>
      </c>
      <c r="E11681" s="37" t="str">
        <f t="shared" si="910"/>
        <v xml:space="preserve"> </v>
      </c>
      <c r="F11681">
        <v>0.22</v>
      </c>
      <c r="G11681" s="37" t="str">
        <f t="shared" si="911"/>
        <v>Normal Discount</v>
      </c>
      <c r="H11681" s="37" t="str">
        <f t="shared" si="912"/>
        <v>Medium</v>
      </c>
      <c r="I11681">
        <v>7</v>
      </c>
      <c r="J11681" t="str" cm="1">
        <f t="array" ref="J11681">_xlfn.IFS(I11681&lt;=3,"small",I11681&lt;=6,"Medium",I11681&lt;=9,"Large")</f>
        <v>Large</v>
      </c>
      <c r="K11681" s="36">
        <v>45537</v>
      </c>
      <c r="L11681" s="36">
        <v>45542</v>
      </c>
      <c r="M11681" t="s">
        <v>603</v>
      </c>
      <c r="N11681" t="s">
        <v>608</v>
      </c>
      <c r="O11681" s="37" t="str">
        <f t="shared" si="913"/>
        <v>Cash Payment</v>
      </c>
      <c r="P11681">
        <v>837.11</v>
      </c>
      <c r="Q11681" s="37" t="str">
        <f>IF(P11681&gt;500,"High","low")</f>
        <v>High</v>
      </c>
      <c r="R11681" s="37" t="str">
        <f t="shared" si="914"/>
        <v>Good</v>
      </c>
      <c r="S11681" t="s">
        <v>620</v>
      </c>
    </row>
    <row r="11682" spans="1:19" x14ac:dyDescent="0.2">
      <c r="A11682" t="s">
        <v>12293</v>
      </c>
      <c r="B11682" t="s">
        <v>83</v>
      </c>
      <c r="C11682" t="s">
        <v>617</v>
      </c>
      <c r="D11682">
        <v>4530.24</v>
      </c>
      <c r="E11682" s="37" t="str">
        <f t="shared" si="910"/>
        <v xml:space="preserve"> </v>
      </c>
      <c r="F11682">
        <v>7.0000000000000007E-2</v>
      </c>
      <c r="G11682" s="37" t="str">
        <f t="shared" si="911"/>
        <v>Normal Discount</v>
      </c>
      <c r="H11682" s="37" t="str">
        <f t="shared" si="912"/>
        <v>Low</v>
      </c>
      <c r="I11682">
        <v>8</v>
      </c>
      <c r="J11682" t="str" cm="1">
        <f t="array" ref="J11682">_xlfn.IFS(I11682&lt;=3,"small",I11682&lt;=6,"Medium",I11682&lt;=9,"Large")</f>
        <v>Large</v>
      </c>
      <c r="K11682" s="36">
        <v>45093</v>
      </c>
      <c r="L11682" s="36">
        <v>45100</v>
      </c>
      <c r="M11682" t="s">
        <v>612</v>
      </c>
      <c r="N11682" t="s">
        <v>599</v>
      </c>
      <c r="O11682" s="37" t="str">
        <f t="shared" si="913"/>
        <v>Digital Payment</v>
      </c>
      <c r="P11682">
        <v>626.39</v>
      </c>
      <c r="Q11682" s="37" t="str">
        <f>IF(P11682&gt;500,"High","low")</f>
        <v>High</v>
      </c>
      <c r="R11682" s="37" t="str">
        <f t="shared" si="914"/>
        <v>Good</v>
      </c>
      <c r="S11682" t="s">
        <v>600</v>
      </c>
    </row>
    <row r="11683" spans="1:19" x14ac:dyDescent="0.2">
      <c r="A11683" t="s">
        <v>12294</v>
      </c>
      <c r="B11683" t="s">
        <v>83</v>
      </c>
      <c r="C11683" t="s">
        <v>602</v>
      </c>
      <c r="D11683">
        <v>3016.24</v>
      </c>
      <c r="E11683" s="37" t="str">
        <f t="shared" si="910"/>
        <v xml:space="preserve"> </v>
      </c>
      <c r="F11683">
        <v>0.47</v>
      </c>
      <c r="G11683" s="37" t="str">
        <f t="shared" si="911"/>
        <v>Heavy Discount</v>
      </c>
      <c r="H11683" s="37" t="str">
        <f t="shared" si="912"/>
        <v>High</v>
      </c>
      <c r="I11683">
        <v>1</v>
      </c>
      <c r="J11683" t="str" cm="1">
        <f t="array" ref="J11683">_xlfn.IFS(I11683&lt;=3,"small",I11683&lt;=6,"Medium",I11683&lt;=9,"Large")</f>
        <v>small</v>
      </c>
      <c r="K11683" s="36">
        <v>45373</v>
      </c>
      <c r="L11683" s="36">
        <v>45377</v>
      </c>
      <c r="M11683" t="s">
        <v>603</v>
      </c>
      <c r="N11683" t="s">
        <v>599</v>
      </c>
      <c r="O11683" s="37" t="str">
        <f t="shared" si="913"/>
        <v>Digital Payment</v>
      </c>
      <c r="P11683">
        <v>743.16</v>
      </c>
      <c r="Q11683" s="37" t="str">
        <f>IF(P11683&gt;500,"High","low")</f>
        <v>High</v>
      </c>
      <c r="R11683" s="37" t="str">
        <f t="shared" si="914"/>
        <v>Good</v>
      </c>
      <c r="S11683" t="s">
        <v>605</v>
      </c>
    </row>
    <row r="11684" spans="1:19" x14ac:dyDescent="0.2">
      <c r="A11684" t="s">
        <v>12295</v>
      </c>
      <c r="B11684" t="s">
        <v>75</v>
      </c>
      <c r="C11684" t="s">
        <v>607</v>
      </c>
      <c r="D11684">
        <v>3111.22</v>
      </c>
      <c r="E11684" s="37" t="str">
        <f t="shared" si="910"/>
        <v xml:space="preserve"> </v>
      </c>
      <c r="F11684">
        <v>0</v>
      </c>
      <c r="G11684" s="37" t="str">
        <f t="shared" si="911"/>
        <v>Normal Discount</v>
      </c>
      <c r="H11684" s="37" t="str">
        <f t="shared" si="912"/>
        <v>Low</v>
      </c>
      <c r="I11684">
        <v>1</v>
      </c>
      <c r="J11684" t="str" cm="1">
        <f t="array" ref="J11684">_xlfn.IFS(I11684&lt;=3,"small",I11684&lt;=6,"Medium",I11684&lt;=9,"Large")</f>
        <v>small</v>
      </c>
      <c r="K11684" s="36">
        <v>44932</v>
      </c>
      <c r="L11684" s="36">
        <v>44938</v>
      </c>
      <c r="M11684" t="s">
        <v>603</v>
      </c>
      <c r="N11684" t="s">
        <v>604</v>
      </c>
      <c r="O11684" s="37" t="str">
        <f t="shared" si="913"/>
        <v>Digital Payment</v>
      </c>
      <c r="P11684">
        <v>322.45</v>
      </c>
      <c r="Q11684" s="37" t="str">
        <f>IF(P11684&gt;500,"High","low")</f>
        <v>low</v>
      </c>
      <c r="R11684" s="37" t="str">
        <f t="shared" si="914"/>
        <v>AVERAGE</v>
      </c>
      <c r="S11684" t="s">
        <v>600</v>
      </c>
    </row>
    <row r="11685" spans="1:19" x14ac:dyDescent="0.2">
      <c r="A11685" t="s">
        <v>12296</v>
      </c>
      <c r="B11685" t="s">
        <v>67</v>
      </c>
      <c r="C11685" t="s">
        <v>614</v>
      </c>
      <c r="D11685">
        <v>3637.48</v>
      </c>
      <c r="E11685" s="37" t="str">
        <f t="shared" si="910"/>
        <v xml:space="preserve"> </v>
      </c>
      <c r="F11685">
        <v>0.09</v>
      </c>
      <c r="G11685" s="37" t="str">
        <f t="shared" si="911"/>
        <v>Normal Discount</v>
      </c>
      <c r="H11685" s="37" t="str">
        <f t="shared" si="912"/>
        <v>Low</v>
      </c>
      <c r="I11685">
        <v>7</v>
      </c>
      <c r="J11685" t="str" cm="1">
        <f t="array" ref="J11685">_xlfn.IFS(I11685&lt;=3,"small",I11685&lt;=6,"Medium",I11685&lt;=9,"Large")</f>
        <v>Large</v>
      </c>
      <c r="K11685" s="36">
        <v>45281</v>
      </c>
      <c r="L11685" s="36">
        <v>45286</v>
      </c>
      <c r="M11685" t="s">
        <v>612</v>
      </c>
      <c r="N11685" t="s">
        <v>608</v>
      </c>
      <c r="O11685" s="37" t="str">
        <f t="shared" si="913"/>
        <v>Cash Payment</v>
      </c>
      <c r="P11685">
        <v>495.07</v>
      </c>
      <c r="Q11685" s="37" t="str">
        <f>IF(P11685&gt;500,"High","low")</f>
        <v>low</v>
      </c>
      <c r="R11685" s="37" t="str">
        <f t="shared" si="914"/>
        <v>AVERAGE</v>
      </c>
      <c r="S11685" t="s">
        <v>605</v>
      </c>
    </row>
    <row r="11686" spans="1:19" x14ac:dyDescent="0.2">
      <c r="A11686" t="s">
        <v>12297</v>
      </c>
      <c r="B11686" t="s">
        <v>67</v>
      </c>
      <c r="C11686" t="s">
        <v>614</v>
      </c>
      <c r="D11686">
        <v>3438.04</v>
      </c>
      <c r="E11686" s="37" t="str">
        <f t="shared" si="910"/>
        <v xml:space="preserve"> </v>
      </c>
      <c r="F11686">
        <v>0.17</v>
      </c>
      <c r="G11686" s="37" t="str">
        <f t="shared" si="911"/>
        <v>Normal Discount</v>
      </c>
      <c r="H11686" s="37" t="str">
        <f t="shared" si="912"/>
        <v>Low</v>
      </c>
      <c r="I11686">
        <v>2</v>
      </c>
      <c r="J11686" t="str" cm="1">
        <f t="array" ref="J11686">_xlfn.IFS(I11686&lt;=3,"small",I11686&lt;=6,"Medium",I11686&lt;=9,"Large")</f>
        <v>small</v>
      </c>
      <c r="K11686" s="36">
        <v>44979</v>
      </c>
      <c r="L11686" s="36">
        <v>44980</v>
      </c>
      <c r="M11686" t="s">
        <v>612</v>
      </c>
      <c r="N11686" t="s">
        <v>608</v>
      </c>
      <c r="O11686" s="37" t="str">
        <f t="shared" si="913"/>
        <v>Cash Payment</v>
      </c>
      <c r="P11686">
        <v>841.86</v>
      </c>
      <c r="Q11686" s="37" t="str">
        <f>IF(P11686&gt;500,"High","low")</f>
        <v>High</v>
      </c>
      <c r="R11686" s="37" t="str">
        <f t="shared" si="914"/>
        <v>Good</v>
      </c>
      <c r="S11686" t="s">
        <v>609</v>
      </c>
    </row>
    <row r="11687" spans="1:19" x14ac:dyDescent="0.2">
      <c r="A11687" t="s">
        <v>12298</v>
      </c>
      <c r="B11687" t="s">
        <v>67</v>
      </c>
      <c r="C11687" t="s">
        <v>617</v>
      </c>
      <c r="D11687">
        <v>4362.08</v>
      </c>
      <c r="E11687" s="37" t="str">
        <f t="shared" si="910"/>
        <v>Excellent Order</v>
      </c>
      <c r="F11687">
        <v>0.43</v>
      </c>
      <c r="G11687" s="37" t="str">
        <f t="shared" si="911"/>
        <v>Heavy Discount</v>
      </c>
      <c r="H11687" s="37" t="str">
        <f t="shared" si="912"/>
        <v>High</v>
      </c>
      <c r="I11687">
        <v>4</v>
      </c>
      <c r="J11687" t="str" cm="1">
        <f t="array" ref="J11687">_xlfn.IFS(I11687&lt;=3,"small",I11687&lt;=6,"Medium",I11687&lt;=9,"Large")</f>
        <v>Medium</v>
      </c>
      <c r="K11687" s="36">
        <v>45042</v>
      </c>
      <c r="L11687" s="36">
        <v>45045</v>
      </c>
      <c r="M11687" t="s">
        <v>612</v>
      </c>
      <c r="N11687" t="s">
        <v>608</v>
      </c>
      <c r="O11687" s="37" t="str">
        <f t="shared" si="913"/>
        <v>Cash Payment</v>
      </c>
      <c r="P11687">
        <v>1275.1199999999999</v>
      </c>
      <c r="Q11687" s="37" t="str">
        <f>IF(P11687&gt;500,"High","low")</f>
        <v>High</v>
      </c>
      <c r="R11687" s="37" t="str">
        <f t="shared" si="914"/>
        <v>Excellent</v>
      </c>
      <c r="S11687" t="s">
        <v>600</v>
      </c>
    </row>
    <row r="11688" spans="1:19" x14ac:dyDescent="0.2">
      <c r="A11688" t="s">
        <v>12299</v>
      </c>
      <c r="B11688" t="s">
        <v>83</v>
      </c>
      <c r="C11688" t="s">
        <v>607</v>
      </c>
      <c r="D11688">
        <v>3873.97</v>
      </c>
      <c r="E11688" s="37" t="str">
        <f t="shared" si="910"/>
        <v xml:space="preserve"> </v>
      </c>
      <c r="F11688">
        <v>0.39</v>
      </c>
      <c r="G11688" s="37" t="str">
        <f t="shared" si="911"/>
        <v>Heavy Discount</v>
      </c>
      <c r="H11688" s="37" t="str">
        <f t="shared" si="912"/>
        <v>Medium</v>
      </c>
      <c r="I11688">
        <v>6</v>
      </c>
      <c r="J11688" t="str" cm="1">
        <f t="array" ref="J11688">_xlfn.IFS(I11688&lt;=3,"small",I11688&lt;=6,"Medium",I11688&lt;=9,"Large")</f>
        <v>Medium</v>
      </c>
      <c r="K11688" s="36">
        <v>45226</v>
      </c>
      <c r="L11688" s="36">
        <v>45231</v>
      </c>
      <c r="M11688" t="s">
        <v>603</v>
      </c>
      <c r="N11688" t="s">
        <v>604</v>
      </c>
      <c r="O11688" s="37" t="str">
        <f t="shared" si="913"/>
        <v>Digital Payment</v>
      </c>
      <c r="P11688">
        <v>1075.6400000000001</v>
      </c>
      <c r="Q11688" s="37" t="str">
        <f>IF(P11688&gt;500,"High","low")</f>
        <v>High</v>
      </c>
      <c r="R11688" s="37" t="str">
        <f t="shared" si="914"/>
        <v>Excellent</v>
      </c>
      <c r="S11688" t="s">
        <v>600</v>
      </c>
    </row>
    <row r="11689" spans="1:19" x14ac:dyDescent="0.2">
      <c r="A11689" t="s">
        <v>12300</v>
      </c>
      <c r="B11689" t="s">
        <v>67</v>
      </c>
      <c r="C11689" t="s">
        <v>597</v>
      </c>
      <c r="D11689">
        <v>690.25</v>
      </c>
      <c r="E11689" s="37" t="str">
        <f t="shared" si="910"/>
        <v xml:space="preserve"> </v>
      </c>
      <c r="F11689">
        <v>0.28999999999999998</v>
      </c>
      <c r="G11689" s="37" t="str">
        <f t="shared" si="911"/>
        <v>Normal Discount</v>
      </c>
      <c r="H11689" s="37" t="str">
        <f t="shared" si="912"/>
        <v>Medium</v>
      </c>
      <c r="I11689">
        <v>5</v>
      </c>
      <c r="J11689" t="str" cm="1">
        <f t="array" ref="J11689">_xlfn.IFS(I11689&lt;=3,"small",I11689&lt;=6,"Medium",I11689&lt;=9,"Large")</f>
        <v>Medium</v>
      </c>
      <c r="K11689" s="36">
        <v>44991</v>
      </c>
      <c r="L11689" s="36">
        <v>44998</v>
      </c>
      <c r="M11689" t="s">
        <v>603</v>
      </c>
      <c r="N11689" t="s">
        <v>608</v>
      </c>
      <c r="O11689" s="37" t="str">
        <f t="shared" si="913"/>
        <v>Cash Payment</v>
      </c>
      <c r="P11689">
        <v>87.42</v>
      </c>
      <c r="Q11689" s="37" t="str">
        <f>IF(P11689&gt;500,"High","low")</f>
        <v>low</v>
      </c>
      <c r="R11689" s="37" t="str">
        <f t="shared" si="914"/>
        <v>AVERAGE</v>
      </c>
      <c r="S11689" t="s">
        <v>628</v>
      </c>
    </row>
    <row r="11690" spans="1:19" x14ac:dyDescent="0.2">
      <c r="A11690" t="s">
        <v>12301</v>
      </c>
      <c r="B11690" t="s">
        <v>83</v>
      </c>
      <c r="C11690" t="s">
        <v>607</v>
      </c>
      <c r="D11690">
        <v>4648.96</v>
      </c>
      <c r="E11690" s="37" t="str">
        <f t="shared" si="910"/>
        <v>Excellent Order</v>
      </c>
      <c r="F11690">
        <v>0.35</v>
      </c>
      <c r="G11690" s="37" t="str">
        <f t="shared" si="911"/>
        <v>Heavy Discount</v>
      </c>
      <c r="H11690" s="37" t="str">
        <f t="shared" si="912"/>
        <v>Medium</v>
      </c>
      <c r="I11690">
        <v>5</v>
      </c>
      <c r="J11690" t="str" cm="1">
        <f t="array" ref="J11690">_xlfn.IFS(I11690&lt;=3,"small",I11690&lt;=6,"Medium",I11690&lt;=9,"Large")</f>
        <v>Medium</v>
      </c>
      <c r="K11690" s="36">
        <v>45134</v>
      </c>
      <c r="L11690" s="36">
        <v>45135</v>
      </c>
      <c r="M11690" t="s">
        <v>598</v>
      </c>
      <c r="N11690" t="s">
        <v>608</v>
      </c>
      <c r="O11690" s="37" t="str">
        <f t="shared" si="913"/>
        <v>Cash Payment</v>
      </c>
      <c r="P11690">
        <v>1218.1199999999999</v>
      </c>
      <c r="Q11690" s="37" t="str">
        <f>IF(P11690&gt;500,"High","low")</f>
        <v>High</v>
      </c>
      <c r="R11690" s="37" t="str">
        <f t="shared" si="914"/>
        <v>Excellent</v>
      </c>
      <c r="S11690" t="s">
        <v>620</v>
      </c>
    </row>
    <row r="11691" spans="1:19" x14ac:dyDescent="0.2">
      <c r="A11691" t="s">
        <v>12302</v>
      </c>
      <c r="B11691" t="s">
        <v>75</v>
      </c>
      <c r="C11691" t="s">
        <v>607</v>
      </c>
      <c r="D11691">
        <v>3447.19</v>
      </c>
      <c r="E11691" s="37" t="str">
        <f t="shared" si="910"/>
        <v xml:space="preserve"> </v>
      </c>
      <c r="F11691">
        <v>0.17</v>
      </c>
      <c r="G11691" s="37" t="str">
        <f t="shared" si="911"/>
        <v>Normal Discount</v>
      </c>
      <c r="H11691" s="37" t="str">
        <f t="shared" si="912"/>
        <v>Low</v>
      </c>
      <c r="I11691">
        <v>6</v>
      </c>
      <c r="J11691" t="str" cm="1">
        <f t="array" ref="J11691">_xlfn.IFS(I11691&lt;=3,"small",I11691&lt;=6,"Medium",I11691&lt;=9,"Large")</f>
        <v>Medium</v>
      </c>
      <c r="K11691" s="36">
        <v>45035</v>
      </c>
      <c r="L11691" s="36">
        <v>45036</v>
      </c>
      <c r="M11691" t="s">
        <v>598</v>
      </c>
      <c r="N11691" t="s">
        <v>608</v>
      </c>
      <c r="O11691" s="37" t="str">
        <f t="shared" si="913"/>
        <v>Cash Payment</v>
      </c>
      <c r="P11691">
        <v>641.66</v>
      </c>
      <c r="Q11691" s="37" t="str">
        <f>IF(P11691&gt;500,"High","low")</f>
        <v>High</v>
      </c>
      <c r="R11691" s="37" t="str">
        <f t="shared" si="914"/>
        <v>Good</v>
      </c>
      <c r="S11691" t="s">
        <v>600</v>
      </c>
    </row>
    <row r="11692" spans="1:19" x14ac:dyDescent="0.2">
      <c r="A11692" t="s">
        <v>12303</v>
      </c>
      <c r="B11692" t="s">
        <v>90</v>
      </c>
      <c r="C11692" t="s">
        <v>597</v>
      </c>
      <c r="D11692">
        <v>723.02</v>
      </c>
      <c r="E11692" s="37" t="str">
        <f t="shared" si="910"/>
        <v xml:space="preserve"> </v>
      </c>
      <c r="F11692">
        <v>0.47</v>
      </c>
      <c r="G11692" s="37" t="str">
        <f t="shared" si="911"/>
        <v>Heavy Discount</v>
      </c>
      <c r="H11692" s="37" t="str">
        <f t="shared" si="912"/>
        <v>High</v>
      </c>
      <c r="I11692">
        <v>7</v>
      </c>
      <c r="J11692" t="str" cm="1">
        <f t="array" ref="J11692">_xlfn.IFS(I11692&lt;=3,"small",I11692&lt;=6,"Medium",I11692&lt;=9,"Large")</f>
        <v>Large</v>
      </c>
      <c r="K11692" s="36">
        <v>45082</v>
      </c>
      <c r="L11692" s="36">
        <v>45084</v>
      </c>
      <c r="M11692" t="s">
        <v>598</v>
      </c>
      <c r="N11692" t="s">
        <v>608</v>
      </c>
      <c r="O11692" s="37" t="str">
        <f t="shared" si="913"/>
        <v>Cash Payment</v>
      </c>
      <c r="P11692">
        <v>115.7</v>
      </c>
      <c r="Q11692" s="37" t="str">
        <f>IF(P11692&gt;500,"High","low")</f>
        <v>low</v>
      </c>
      <c r="R11692" s="37" t="str">
        <f t="shared" si="914"/>
        <v>AVERAGE</v>
      </c>
      <c r="S11692" t="s">
        <v>628</v>
      </c>
    </row>
    <row r="11693" spans="1:19" x14ac:dyDescent="0.2">
      <c r="A11693" t="s">
        <v>12304</v>
      </c>
      <c r="B11693" t="s">
        <v>83</v>
      </c>
      <c r="C11693" t="s">
        <v>597</v>
      </c>
      <c r="D11693">
        <v>3882.67</v>
      </c>
      <c r="E11693" s="37" t="str">
        <f t="shared" si="910"/>
        <v xml:space="preserve"> </v>
      </c>
      <c r="F11693">
        <v>0.01</v>
      </c>
      <c r="G11693" s="37" t="str">
        <f t="shared" si="911"/>
        <v>Normal Discount</v>
      </c>
      <c r="H11693" s="37" t="str">
        <f t="shared" si="912"/>
        <v>Low</v>
      </c>
      <c r="I11693">
        <v>2</v>
      </c>
      <c r="J11693" t="str" cm="1">
        <f t="array" ref="J11693">_xlfn.IFS(I11693&lt;=3,"small",I11693&lt;=6,"Medium",I11693&lt;=9,"Large")</f>
        <v>small</v>
      </c>
      <c r="K11693" s="36">
        <v>45510</v>
      </c>
      <c r="L11693" s="36">
        <v>45511</v>
      </c>
      <c r="M11693" t="s">
        <v>603</v>
      </c>
      <c r="N11693" t="s">
        <v>604</v>
      </c>
      <c r="O11693" s="37" t="str">
        <f t="shared" si="913"/>
        <v>Digital Payment</v>
      </c>
      <c r="P11693">
        <v>691.25</v>
      </c>
      <c r="Q11693" s="37" t="str">
        <f>IF(P11693&gt;500,"High","low")</f>
        <v>High</v>
      </c>
      <c r="R11693" s="37" t="str">
        <f t="shared" si="914"/>
        <v>Good</v>
      </c>
      <c r="S11693" t="s">
        <v>605</v>
      </c>
    </row>
    <row r="11694" spans="1:19" x14ac:dyDescent="0.2">
      <c r="A11694" t="s">
        <v>12305</v>
      </c>
      <c r="B11694" t="s">
        <v>83</v>
      </c>
      <c r="C11694" t="s">
        <v>607</v>
      </c>
      <c r="D11694">
        <v>1856.22</v>
      </c>
      <c r="E11694" s="37" t="str">
        <f t="shared" si="910"/>
        <v xml:space="preserve"> </v>
      </c>
      <c r="F11694">
        <v>0.05</v>
      </c>
      <c r="G11694" s="37" t="str">
        <f t="shared" si="911"/>
        <v>Normal Discount</v>
      </c>
      <c r="H11694" s="37" t="str">
        <f t="shared" si="912"/>
        <v>Low</v>
      </c>
      <c r="I11694">
        <v>4</v>
      </c>
      <c r="J11694" t="str" cm="1">
        <f t="array" ref="J11694">_xlfn.IFS(I11694&lt;=3,"small",I11694&lt;=6,"Medium",I11694&lt;=9,"Large")</f>
        <v>Medium</v>
      </c>
      <c r="K11694" s="36">
        <v>45036</v>
      </c>
      <c r="L11694" s="36">
        <v>45041</v>
      </c>
      <c r="M11694" t="s">
        <v>603</v>
      </c>
      <c r="N11694" t="s">
        <v>604</v>
      </c>
      <c r="O11694" s="37" t="str">
        <f t="shared" si="913"/>
        <v>Digital Payment</v>
      </c>
      <c r="P11694">
        <v>418.66</v>
      </c>
      <c r="Q11694" s="37" t="str">
        <f>IF(P11694&gt;500,"High","low")</f>
        <v>low</v>
      </c>
      <c r="R11694" s="37" t="str">
        <f t="shared" si="914"/>
        <v>AVERAGE</v>
      </c>
      <c r="S11694" t="s">
        <v>615</v>
      </c>
    </row>
    <row r="11695" spans="1:19" x14ac:dyDescent="0.2">
      <c r="A11695" t="s">
        <v>12306</v>
      </c>
      <c r="B11695" t="s">
        <v>90</v>
      </c>
      <c r="C11695" t="s">
        <v>602</v>
      </c>
      <c r="D11695">
        <v>4049.29</v>
      </c>
      <c r="E11695" s="37" t="str">
        <f t="shared" si="910"/>
        <v xml:space="preserve"> </v>
      </c>
      <c r="F11695">
        <v>0.46</v>
      </c>
      <c r="G11695" s="37" t="str">
        <f t="shared" si="911"/>
        <v>Heavy Discount</v>
      </c>
      <c r="H11695" s="37" t="str">
        <f t="shared" si="912"/>
        <v>High</v>
      </c>
      <c r="I11695">
        <v>7</v>
      </c>
      <c r="J11695" t="str" cm="1">
        <f t="array" ref="J11695">_xlfn.IFS(I11695&lt;=3,"small",I11695&lt;=6,"Medium",I11695&lt;=9,"Large")</f>
        <v>Large</v>
      </c>
      <c r="K11695" s="36">
        <v>44956</v>
      </c>
      <c r="L11695" s="36">
        <v>44957</v>
      </c>
      <c r="M11695" t="s">
        <v>612</v>
      </c>
      <c r="N11695" t="s">
        <v>599</v>
      </c>
      <c r="O11695" s="37" t="str">
        <f t="shared" si="913"/>
        <v>Digital Payment</v>
      </c>
      <c r="P11695">
        <v>679.68</v>
      </c>
      <c r="Q11695" s="37" t="str">
        <f>IF(P11695&gt;500,"High","low")</f>
        <v>High</v>
      </c>
      <c r="R11695" s="37" t="str">
        <f t="shared" si="914"/>
        <v>Good</v>
      </c>
      <c r="S11695" t="s">
        <v>615</v>
      </c>
    </row>
    <row r="11696" spans="1:19" x14ac:dyDescent="0.2">
      <c r="A11696" t="s">
        <v>12307</v>
      </c>
      <c r="B11696" t="s">
        <v>90</v>
      </c>
      <c r="C11696" t="s">
        <v>602</v>
      </c>
      <c r="D11696">
        <v>4781.49</v>
      </c>
      <c r="E11696" s="37" t="str">
        <f t="shared" si="910"/>
        <v xml:space="preserve"> </v>
      </c>
      <c r="F11696">
        <v>0.47</v>
      </c>
      <c r="G11696" s="37" t="str">
        <f t="shared" si="911"/>
        <v>Heavy Discount</v>
      </c>
      <c r="H11696" s="37" t="str">
        <f t="shared" si="912"/>
        <v>High</v>
      </c>
      <c r="I11696">
        <v>5</v>
      </c>
      <c r="J11696" t="str" cm="1">
        <f t="array" ref="J11696">_xlfn.IFS(I11696&lt;=3,"small",I11696&lt;=6,"Medium",I11696&lt;=9,"Large")</f>
        <v>Medium</v>
      </c>
      <c r="K11696" s="36">
        <v>45345</v>
      </c>
      <c r="L11696" s="36">
        <v>45352</v>
      </c>
      <c r="M11696" t="s">
        <v>598</v>
      </c>
      <c r="N11696" t="s">
        <v>604</v>
      </c>
      <c r="O11696" s="37" t="str">
        <f t="shared" si="913"/>
        <v>Digital Payment</v>
      </c>
      <c r="P11696">
        <v>314.36</v>
      </c>
      <c r="Q11696" s="37" t="str">
        <f>IF(P11696&gt;500,"High","low")</f>
        <v>low</v>
      </c>
      <c r="R11696" s="37" t="str">
        <f t="shared" si="914"/>
        <v>AVERAGE</v>
      </c>
      <c r="S11696" t="s">
        <v>620</v>
      </c>
    </row>
    <row r="11697" spans="1:19" x14ac:dyDescent="0.2">
      <c r="A11697" t="s">
        <v>12308</v>
      </c>
      <c r="B11697" t="s">
        <v>75</v>
      </c>
      <c r="C11697" t="s">
        <v>607</v>
      </c>
      <c r="D11697">
        <v>1350.69</v>
      </c>
      <c r="E11697" s="37" t="str">
        <f t="shared" si="910"/>
        <v xml:space="preserve"> </v>
      </c>
      <c r="F11697">
        <v>0.25</v>
      </c>
      <c r="G11697" s="37" t="str">
        <f t="shared" si="911"/>
        <v>Normal Discount</v>
      </c>
      <c r="H11697" s="37" t="str">
        <f t="shared" si="912"/>
        <v>Medium</v>
      </c>
      <c r="I11697">
        <v>9</v>
      </c>
      <c r="J11697" t="str" cm="1">
        <f t="array" ref="J11697">_xlfn.IFS(I11697&lt;=3,"small",I11697&lt;=6,"Medium",I11697&lt;=9,"Large")</f>
        <v>Large</v>
      </c>
      <c r="K11697" s="36">
        <v>45316</v>
      </c>
      <c r="L11697" s="36">
        <v>45320</v>
      </c>
      <c r="M11697" t="s">
        <v>598</v>
      </c>
      <c r="N11697" t="s">
        <v>604</v>
      </c>
      <c r="O11697" s="37" t="str">
        <f t="shared" si="913"/>
        <v>Digital Payment</v>
      </c>
      <c r="P11697">
        <v>82.76</v>
      </c>
      <c r="Q11697" s="37" t="str">
        <f>IF(P11697&gt;500,"High","low")</f>
        <v>low</v>
      </c>
      <c r="R11697" s="37" t="str">
        <f t="shared" si="914"/>
        <v>AVERAGE</v>
      </c>
      <c r="S11697" t="s">
        <v>600</v>
      </c>
    </row>
    <row r="11698" spans="1:19" x14ac:dyDescent="0.2">
      <c r="A11698" t="s">
        <v>12309</v>
      </c>
      <c r="B11698" t="s">
        <v>67</v>
      </c>
      <c r="C11698" t="s">
        <v>602</v>
      </c>
      <c r="D11698">
        <v>4301.3100000000004</v>
      </c>
      <c r="E11698" s="37" t="str">
        <f t="shared" si="910"/>
        <v xml:space="preserve"> </v>
      </c>
      <c r="F11698">
        <v>0.28999999999999998</v>
      </c>
      <c r="G11698" s="37" t="str">
        <f t="shared" si="911"/>
        <v>Normal Discount</v>
      </c>
      <c r="H11698" s="37" t="str">
        <f t="shared" si="912"/>
        <v>Medium</v>
      </c>
      <c r="I11698">
        <v>6</v>
      </c>
      <c r="J11698" t="str" cm="1">
        <f t="array" ref="J11698">_xlfn.IFS(I11698&lt;=3,"small",I11698&lt;=6,"Medium",I11698&lt;=9,"Large")</f>
        <v>Medium</v>
      </c>
      <c r="K11698" s="36">
        <v>45284</v>
      </c>
      <c r="L11698" s="36">
        <v>45290</v>
      </c>
      <c r="M11698" t="s">
        <v>603</v>
      </c>
      <c r="N11698" t="s">
        <v>608</v>
      </c>
      <c r="O11698" s="37" t="str">
        <f t="shared" si="913"/>
        <v>Cash Payment</v>
      </c>
      <c r="P11698">
        <v>727.7</v>
      </c>
      <c r="Q11698" s="37" t="str">
        <f>IF(P11698&gt;500,"High","low")</f>
        <v>High</v>
      </c>
      <c r="R11698" s="37" t="str">
        <f t="shared" si="914"/>
        <v>Good</v>
      </c>
      <c r="S11698" t="s">
        <v>609</v>
      </c>
    </row>
    <row r="11699" spans="1:19" x14ac:dyDescent="0.2">
      <c r="A11699" t="s">
        <v>12310</v>
      </c>
      <c r="B11699" t="s">
        <v>83</v>
      </c>
      <c r="C11699" t="s">
        <v>597</v>
      </c>
      <c r="D11699">
        <v>3890.45</v>
      </c>
      <c r="E11699" s="37" t="str">
        <f t="shared" si="910"/>
        <v xml:space="preserve"> </v>
      </c>
      <c r="F11699">
        <v>0.45</v>
      </c>
      <c r="G11699" s="37" t="str">
        <f t="shared" si="911"/>
        <v>Heavy Discount</v>
      </c>
      <c r="H11699" s="37" t="str">
        <f t="shared" si="912"/>
        <v>High</v>
      </c>
      <c r="I11699">
        <v>4</v>
      </c>
      <c r="J11699" t="str" cm="1">
        <f t="array" ref="J11699">_xlfn.IFS(I11699&lt;=3,"small",I11699&lt;=6,"Medium",I11699&lt;=9,"Large")</f>
        <v>Medium</v>
      </c>
      <c r="K11699" s="36">
        <v>45523</v>
      </c>
      <c r="L11699" s="36">
        <v>45525</v>
      </c>
      <c r="M11699" t="s">
        <v>612</v>
      </c>
      <c r="N11699" t="s">
        <v>599</v>
      </c>
      <c r="O11699" s="37" t="str">
        <f t="shared" si="913"/>
        <v>Digital Payment</v>
      </c>
      <c r="P11699">
        <v>624.85</v>
      </c>
      <c r="Q11699" s="37" t="str">
        <f>IF(P11699&gt;500,"High","low")</f>
        <v>High</v>
      </c>
      <c r="R11699" s="37" t="str">
        <f t="shared" si="914"/>
        <v>Good</v>
      </c>
      <c r="S11699" t="s">
        <v>609</v>
      </c>
    </row>
    <row r="11700" spans="1:19" x14ac:dyDescent="0.2">
      <c r="A11700" t="s">
        <v>12311</v>
      </c>
      <c r="B11700" t="s">
        <v>67</v>
      </c>
      <c r="C11700" t="s">
        <v>597</v>
      </c>
      <c r="D11700">
        <v>3388.81</v>
      </c>
      <c r="E11700" s="37" t="str">
        <f t="shared" si="910"/>
        <v xml:space="preserve"> </v>
      </c>
      <c r="F11700">
        <v>0.43</v>
      </c>
      <c r="G11700" s="37" t="str">
        <f t="shared" si="911"/>
        <v>Heavy Discount</v>
      </c>
      <c r="H11700" s="37" t="str">
        <f t="shared" si="912"/>
        <v>High</v>
      </c>
      <c r="I11700">
        <v>4</v>
      </c>
      <c r="J11700" t="str" cm="1">
        <f t="array" ref="J11700">_xlfn.IFS(I11700&lt;=3,"small",I11700&lt;=6,"Medium",I11700&lt;=9,"Large")</f>
        <v>Medium</v>
      </c>
      <c r="K11700" s="36">
        <v>45468</v>
      </c>
      <c r="L11700" s="36">
        <v>45472</v>
      </c>
      <c r="M11700" t="s">
        <v>598</v>
      </c>
      <c r="N11700" t="s">
        <v>604</v>
      </c>
      <c r="O11700" s="37" t="str">
        <f t="shared" si="913"/>
        <v>Digital Payment</v>
      </c>
      <c r="P11700">
        <v>850.9</v>
      </c>
      <c r="Q11700" s="37" t="str">
        <f>IF(P11700&gt;500,"High","low")</f>
        <v>High</v>
      </c>
      <c r="R11700" s="37" t="str">
        <f t="shared" si="914"/>
        <v>Good</v>
      </c>
      <c r="S11700" t="s">
        <v>600</v>
      </c>
    </row>
    <row r="11701" spans="1:19" x14ac:dyDescent="0.2">
      <c r="A11701" t="s">
        <v>12312</v>
      </c>
      <c r="B11701" t="s">
        <v>83</v>
      </c>
      <c r="C11701" t="s">
        <v>602</v>
      </c>
      <c r="D11701">
        <v>1986.11</v>
      </c>
      <c r="E11701" s="37" t="str">
        <f t="shared" si="910"/>
        <v xml:space="preserve"> </v>
      </c>
      <c r="F11701">
        <v>0.43</v>
      </c>
      <c r="G11701" s="37" t="str">
        <f t="shared" si="911"/>
        <v>Heavy Discount</v>
      </c>
      <c r="H11701" s="37" t="str">
        <f t="shared" si="912"/>
        <v>High</v>
      </c>
      <c r="I11701">
        <v>3</v>
      </c>
      <c r="J11701" t="str" cm="1">
        <f t="array" ref="J11701">_xlfn.IFS(I11701&lt;=3,"small",I11701&lt;=6,"Medium",I11701&lt;=9,"Large")</f>
        <v>small</v>
      </c>
      <c r="K11701" s="36">
        <v>45307</v>
      </c>
      <c r="L11701" s="36">
        <v>45312</v>
      </c>
      <c r="M11701" t="s">
        <v>598</v>
      </c>
      <c r="N11701" t="s">
        <v>599</v>
      </c>
      <c r="O11701" s="37" t="str">
        <f t="shared" si="913"/>
        <v>Digital Payment</v>
      </c>
      <c r="P11701">
        <v>209.96</v>
      </c>
      <c r="Q11701" s="37" t="str">
        <f>IF(P11701&gt;500,"High","low")</f>
        <v>low</v>
      </c>
      <c r="R11701" s="37" t="str">
        <f t="shared" si="914"/>
        <v>AVERAGE</v>
      </c>
      <c r="S11701" t="s">
        <v>615</v>
      </c>
    </row>
    <row r="11702" spans="1:19" x14ac:dyDescent="0.2">
      <c r="A11702" t="s">
        <v>12313</v>
      </c>
      <c r="B11702" t="s">
        <v>75</v>
      </c>
      <c r="C11702" t="s">
        <v>597</v>
      </c>
      <c r="D11702">
        <v>638.32000000000005</v>
      </c>
      <c r="E11702" s="37" t="str">
        <f t="shared" si="910"/>
        <v xml:space="preserve"> </v>
      </c>
      <c r="F11702">
        <v>0.19</v>
      </c>
      <c r="G11702" s="37" t="str">
        <f t="shared" si="911"/>
        <v>Normal Discount</v>
      </c>
      <c r="H11702" s="37" t="str">
        <f t="shared" si="912"/>
        <v>Low</v>
      </c>
      <c r="I11702">
        <v>6</v>
      </c>
      <c r="J11702" t="str" cm="1">
        <f t="array" ref="J11702">_xlfn.IFS(I11702&lt;=3,"small",I11702&lt;=6,"Medium",I11702&lt;=9,"Large")</f>
        <v>Medium</v>
      </c>
      <c r="K11702" s="36">
        <v>45657</v>
      </c>
      <c r="L11702" s="36">
        <v>45663</v>
      </c>
      <c r="M11702" t="s">
        <v>598</v>
      </c>
      <c r="N11702" t="s">
        <v>604</v>
      </c>
      <c r="O11702" s="37" t="str">
        <f t="shared" si="913"/>
        <v>Digital Payment</v>
      </c>
      <c r="P11702">
        <v>125.13</v>
      </c>
      <c r="Q11702" s="37" t="str">
        <f>IF(P11702&gt;500,"High","low")</f>
        <v>low</v>
      </c>
      <c r="R11702" s="37" t="str">
        <f t="shared" si="914"/>
        <v>AVERAGE</v>
      </c>
      <c r="S11702" t="s">
        <v>615</v>
      </c>
    </row>
    <row r="11703" spans="1:19" x14ac:dyDescent="0.2">
      <c r="A11703" t="s">
        <v>12314</v>
      </c>
      <c r="B11703" t="s">
        <v>90</v>
      </c>
      <c r="C11703" t="s">
        <v>614</v>
      </c>
      <c r="D11703">
        <v>2471.09</v>
      </c>
      <c r="E11703" s="37" t="str">
        <f t="shared" si="910"/>
        <v xml:space="preserve"> </v>
      </c>
      <c r="F11703">
        <v>0.42</v>
      </c>
      <c r="G11703" s="37" t="str">
        <f t="shared" si="911"/>
        <v>Heavy Discount</v>
      </c>
      <c r="H11703" s="37" t="str">
        <f t="shared" si="912"/>
        <v>High</v>
      </c>
      <c r="I11703">
        <v>8</v>
      </c>
      <c r="J11703" t="str" cm="1">
        <f t="array" ref="J11703">_xlfn.IFS(I11703&lt;=3,"small",I11703&lt;=6,"Medium",I11703&lt;=9,"Large")</f>
        <v>Large</v>
      </c>
      <c r="K11703" s="36">
        <v>45054</v>
      </c>
      <c r="L11703" s="36">
        <v>45055</v>
      </c>
      <c r="M11703" t="s">
        <v>598</v>
      </c>
      <c r="N11703" t="s">
        <v>604</v>
      </c>
      <c r="O11703" s="37" t="str">
        <f t="shared" si="913"/>
        <v>Digital Payment</v>
      </c>
      <c r="P11703">
        <v>508.7</v>
      </c>
      <c r="Q11703" s="37" t="str">
        <f>IF(P11703&gt;500,"High","low")</f>
        <v>High</v>
      </c>
      <c r="R11703" s="37" t="str">
        <f t="shared" si="914"/>
        <v>Good</v>
      </c>
      <c r="S11703" t="s">
        <v>628</v>
      </c>
    </row>
    <row r="11704" spans="1:19" x14ac:dyDescent="0.2">
      <c r="A11704" t="s">
        <v>12315</v>
      </c>
      <c r="B11704" t="s">
        <v>75</v>
      </c>
      <c r="C11704" t="s">
        <v>597</v>
      </c>
      <c r="D11704">
        <v>617.77</v>
      </c>
      <c r="E11704" s="37" t="str">
        <f t="shared" si="910"/>
        <v xml:space="preserve"> </v>
      </c>
      <c r="F11704">
        <v>0.03</v>
      </c>
      <c r="G11704" s="37" t="str">
        <f t="shared" si="911"/>
        <v>Normal Discount</v>
      </c>
      <c r="H11704" s="37" t="str">
        <f t="shared" si="912"/>
        <v>Low</v>
      </c>
      <c r="I11704">
        <v>1</v>
      </c>
      <c r="J11704" t="str" cm="1">
        <f t="array" ref="J11704">_xlfn.IFS(I11704&lt;=3,"small",I11704&lt;=6,"Medium",I11704&lt;=9,"Large")</f>
        <v>small</v>
      </c>
      <c r="K11704" s="36">
        <v>45215</v>
      </c>
      <c r="L11704" s="36">
        <v>45222</v>
      </c>
      <c r="M11704" t="s">
        <v>612</v>
      </c>
      <c r="N11704" t="s">
        <v>604</v>
      </c>
      <c r="O11704" s="37" t="str">
        <f t="shared" si="913"/>
        <v>Digital Payment</v>
      </c>
      <c r="P11704">
        <v>58.44</v>
      </c>
      <c r="Q11704" s="37" t="str">
        <f>IF(P11704&gt;500,"High","low")</f>
        <v>low</v>
      </c>
      <c r="R11704" s="37" t="str">
        <f t="shared" si="914"/>
        <v>AVERAGE</v>
      </c>
      <c r="S11704" t="s">
        <v>605</v>
      </c>
    </row>
    <row r="11705" spans="1:19" x14ac:dyDescent="0.2">
      <c r="A11705" t="s">
        <v>12316</v>
      </c>
      <c r="B11705" t="s">
        <v>90</v>
      </c>
      <c r="C11705" t="s">
        <v>607</v>
      </c>
      <c r="D11705">
        <v>2550.7199999999998</v>
      </c>
      <c r="E11705" s="37" t="str">
        <f t="shared" si="910"/>
        <v xml:space="preserve"> </v>
      </c>
      <c r="F11705">
        <v>0.24</v>
      </c>
      <c r="G11705" s="37" t="str">
        <f t="shared" si="911"/>
        <v>Normal Discount</v>
      </c>
      <c r="H11705" s="37" t="str">
        <f t="shared" si="912"/>
        <v>Medium</v>
      </c>
      <c r="I11705">
        <v>2</v>
      </c>
      <c r="J11705" t="str" cm="1">
        <f t="array" ref="J11705">_xlfn.IFS(I11705&lt;=3,"small",I11705&lt;=6,"Medium",I11705&lt;=9,"Large")</f>
        <v>small</v>
      </c>
      <c r="K11705" s="36">
        <v>45002</v>
      </c>
      <c r="L11705" s="36">
        <v>45007</v>
      </c>
      <c r="M11705" t="s">
        <v>603</v>
      </c>
      <c r="N11705" t="s">
        <v>608</v>
      </c>
      <c r="O11705" s="37" t="str">
        <f t="shared" si="913"/>
        <v>Cash Payment</v>
      </c>
      <c r="P11705">
        <v>242.41</v>
      </c>
      <c r="Q11705" s="37" t="str">
        <f>IF(P11705&gt;500,"High","low")</f>
        <v>low</v>
      </c>
      <c r="R11705" s="37" t="str">
        <f t="shared" si="914"/>
        <v>AVERAGE</v>
      </c>
      <c r="S11705" t="s">
        <v>628</v>
      </c>
    </row>
    <row r="11706" spans="1:19" x14ac:dyDescent="0.2">
      <c r="A11706" t="s">
        <v>12317</v>
      </c>
      <c r="B11706" t="s">
        <v>67</v>
      </c>
      <c r="C11706" t="s">
        <v>617</v>
      </c>
      <c r="D11706">
        <v>4119.4399999999996</v>
      </c>
      <c r="E11706" s="37" t="str">
        <f t="shared" si="910"/>
        <v>Excellent Order</v>
      </c>
      <c r="F11706">
        <v>0.12</v>
      </c>
      <c r="G11706" s="37" t="str">
        <f t="shared" si="911"/>
        <v>Normal Discount</v>
      </c>
      <c r="H11706" s="37" t="str">
        <f t="shared" si="912"/>
        <v>Low</v>
      </c>
      <c r="I11706">
        <v>4</v>
      </c>
      <c r="J11706" t="str" cm="1">
        <f t="array" ref="J11706">_xlfn.IFS(I11706&lt;=3,"small",I11706&lt;=6,"Medium",I11706&lt;=9,"Large")</f>
        <v>Medium</v>
      </c>
      <c r="K11706" s="36">
        <v>45225</v>
      </c>
      <c r="L11706" s="36">
        <v>45226</v>
      </c>
      <c r="M11706" t="s">
        <v>603</v>
      </c>
      <c r="N11706" t="s">
        <v>604</v>
      </c>
      <c r="O11706" s="37" t="str">
        <f t="shared" si="913"/>
        <v>Digital Payment</v>
      </c>
      <c r="P11706">
        <v>956.66</v>
      </c>
      <c r="Q11706" s="37" t="str">
        <f>IF(P11706&gt;500,"High","low")</f>
        <v>High</v>
      </c>
      <c r="R11706" s="37" t="str">
        <f t="shared" si="914"/>
        <v>Good</v>
      </c>
      <c r="S11706" t="s">
        <v>609</v>
      </c>
    </row>
    <row r="11707" spans="1:19" x14ac:dyDescent="0.2">
      <c r="A11707" t="s">
        <v>12318</v>
      </c>
      <c r="B11707" t="s">
        <v>67</v>
      </c>
      <c r="C11707" t="s">
        <v>602</v>
      </c>
      <c r="D11707">
        <v>4988.43</v>
      </c>
      <c r="E11707" s="37" t="str">
        <f t="shared" si="910"/>
        <v xml:space="preserve"> </v>
      </c>
      <c r="F11707">
        <v>0.02</v>
      </c>
      <c r="G11707" s="37" t="str">
        <f t="shared" si="911"/>
        <v>Normal Discount</v>
      </c>
      <c r="H11707" s="37" t="str">
        <f t="shared" si="912"/>
        <v>Low</v>
      </c>
      <c r="I11707">
        <v>7</v>
      </c>
      <c r="J11707" t="str" cm="1">
        <f t="array" ref="J11707">_xlfn.IFS(I11707&lt;=3,"small",I11707&lt;=6,"Medium",I11707&lt;=9,"Large")</f>
        <v>Large</v>
      </c>
      <c r="K11707" s="36">
        <v>45483</v>
      </c>
      <c r="L11707" s="36">
        <v>45484</v>
      </c>
      <c r="M11707" t="s">
        <v>612</v>
      </c>
      <c r="N11707" t="s">
        <v>608</v>
      </c>
      <c r="O11707" s="37" t="str">
        <f t="shared" si="913"/>
        <v>Cash Payment</v>
      </c>
      <c r="P11707">
        <v>533.61</v>
      </c>
      <c r="Q11707" s="37" t="str">
        <f>IF(P11707&gt;500,"High","low")</f>
        <v>High</v>
      </c>
      <c r="R11707" s="37" t="str">
        <f t="shared" si="914"/>
        <v>Good</v>
      </c>
      <c r="S11707" t="s">
        <v>628</v>
      </c>
    </row>
    <row r="11708" spans="1:19" x14ac:dyDescent="0.2">
      <c r="A11708" t="s">
        <v>12319</v>
      </c>
      <c r="B11708" t="s">
        <v>75</v>
      </c>
      <c r="C11708" t="s">
        <v>602</v>
      </c>
      <c r="D11708">
        <v>1070.24</v>
      </c>
      <c r="E11708" s="37" t="str">
        <f t="shared" si="910"/>
        <v xml:space="preserve"> </v>
      </c>
      <c r="F11708">
        <v>0.31</v>
      </c>
      <c r="G11708" s="37" t="str">
        <f t="shared" si="911"/>
        <v>Heavy Discount</v>
      </c>
      <c r="H11708" s="37" t="str">
        <f t="shared" si="912"/>
        <v>Medium</v>
      </c>
      <c r="I11708">
        <v>2</v>
      </c>
      <c r="J11708" t="str" cm="1">
        <f t="array" ref="J11708">_xlfn.IFS(I11708&lt;=3,"small",I11708&lt;=6,"Medium",I11708&lt;=9,"Large")</f>
        <v>small</v>
      </c>
      <c r="K11708" s="36">
        <v>45397</v>
      </c>
      <c r="L11708" s="36">
        <v>45398</v>
      </c>
      <c r="M11708" t="s">
        <v>598</v>
      </c>
      <c r="N11708" t="s">
        <v>604</v>
      </c>
      <c r="O11708" s="37" t="str">
        <f t="shared" si="913"/>
        <v>Digital Payment</v>
      </c>
      <c r="P11708">
        <v>119.17</v>
      </c>
      <c r="Q11708" s="37" t="str">
        <f>IF(P11708&gt;500,"High","low")</f>
        <v>low</v>
      </c>
      <c r="R11708" s="37" t="str">
        <f t="shared" si="914"/>
        <v>AVERAGE</v>
      </c>
      <c r="S11708" t="s">
        <v>605</v>
      </c>
    </row>
    <row r="11709" spans="1:19" x14ac:dyDescent="0.2">
      <c r="A11709" t="s">
        <v>12320</v>
      </c>
      <c r="B11709" t="s">
        <v>90</v>
      </c>
      <c r="C11709" t="s">
        <v>597</v>
      </c>
      <c r="D11709">
        <v>1118.5</v>
      </c>
      <c r="E11709" s="37" t="str">
        <f t="shared" si="910"/>
        <v xml:space="preserve"> </v>
      </c>
      <c r="F11709">
        <v>0.04</v>
      </c>
      <c r="G11709" s="37" t="str">
        <f t="shared" si="911"/>
        <v>Normal Discount</v>
      </c>
      <c r="H11709" s="37" t="str">
        <f t="shared" si="912"/>
        <v>Low</v>
      </c>
      <c r="I11709">
        <v>8</v>
      </c>
      <c r="J11709" t="str" cm="1">
        <f t="array" ref="J11709">_xlfn.IFS(I11709&lt;=3,"small",I11709&lt;=6,"Medium",I11709&lt;=9,"Large")</f>
        <v>Large</v>
      </c>
      <c r="K11709" s="36">
        <v>45413</v>
      </c>
      <c r="L11709" s="36">
        <v>45420</v>
      </c>
      <c r="M11709" t="s">
        <v>598</v>
      </c>
      <c r="N11709" t="s">
        <v>599</v>
      </c>
      <c r="O11709" s="37" t="str">
        <f t="shared" si="913"/>
        <v>Digital Payment</v>
      </c>
      <c r="P11709">
        <v>125.77</v>
      </c>
      <c r="Q11709" s="37" t="str">
        <f>IF(P11709&gt;500,"High","low")</f>
        <v>low</v>
      </c>
      <c r="R11709" s="37" t="str">
        <f t="shared" si="914"/>
        <v>AVERAGE</v>
      </c>
      <c r="S11709" t="s">
        <v>600</v>
      </c>
    </row>
    <row r="11710" spans="1:19" x14ac:dyDescent="0.2">
      <c r="A11710" t="s">
        <v>12321</v>
      </c>
      <c r="B11710" t="s">
        <v>75</v>
      </c>
      <c r="C11710" t="s">
        <v>597</v>
      </c>
      <c r="D11710">
        <v>4073.33</v>
      </c>
      <c r="E11710" s="37" t="str">
        <f t="shared" si="910"/>
        <v>Excellent Order</v>
      </c>
      <c r="F11710">
        <v>0.06</v>
      </c>
      <c r="G11710" s="37" t="str">
        <f t="shared" si="911"/>
        <v>Normal Discount</v>
      </c>
      <c r="H11710" s="37" t="str">
        <f t="shared" si="912"/>
        <v>Low</v>
      </c>
      <c r="I11710">
        <v>3</v>
      </c>
      <c r="J11710" t="str" cm="1">
        <f t="array" ref="J11710">_xlfn.IFS(I11710&lt;=3,"small",I11710&lt;=6,"Medium",I11710&lt;=9,"Large")</f>
        <v>small</v>
      </c>
      <c r="K11710" s="36">
        <v>45420</v>
      </c>
      <c r="L11710" s="36">
        <v>45422</v>
      </c>
      <c r="M11710" t="s">
        <v>598</v>
      </c>
      <c r="N11710" t="s">
        <v>608</v>
      </c>
      <c r="O11710" s="37" t="str">
        <f t="shared" si="913"/>
        <v>Cash Payment</v>
      </c>
      <c r="P11710">
        <v>897.84</v>
      </c>
      <c r="Q11710" s="37" t="str">
        <f>IF(P11710&gt;500,"High","low")</f>
        <v>High</v>
      </c>
      <c r="R11710" s="37" t="str">
        <f t="shared" si="914"/>
        <v>Good</v>
      </c>
      <c r="S11710" t="s">
        <v>605</v>
      </c>
    </row>
    <row r="11711" spans="1:19" x14ac:dyDescent="0.2">
      <c r="A11711" t="s">
        <v>12322</v>
      </c>
      <c r="B11711" t="s">
        <v>90</v>
      </c>
      <c r="C11711" t="s">
        <v>617</v>
      </c>
      <c r="D11711">
        <v>2398.39</v>
      </c>
      <c r="E11711" s="37" t="str">
        <f t="shared" si="910"/>
        <v xml:space="preserve"> </v>
      </c>
      <c r="F11711">
        <v>0.04</v>
      </c>
      <c r="G11711" s="37" t="str">
        <f t="shared" si="911"/>
        <v>Normal Discount</v>
      </c>
      <c r="H11711" s="37" t="str">
        <f t="shared" si="912"/>
        <v>Low</v>
      </c>
      <c r="I11711">
        <v>2</v>
      </c>
      <c r="J11711" t="str" cm="1">
        <f t="array" ref="J11711">_xlfn.IFS(I11711&lt;=3,"small",I11711&lt;=6,"Medium",I11711&lt;=9,"Large")</f>
        <v>small</v>
      </c>
      <c r="K11711" s="36">
        <v>45041</v>
      </c>
      <c r="L11711" s="36">
        <v>45046</v>
      </c>
      <c r="M11711" t="s">
        <v>612</v>
      </c>
      <c r="N11711" t="s">
        <v>604</v>
      </c>
      <c r="O11711" s="37" t="str">
        <f t="shared" si="913"/>
        <v>Digital Payment</v>
      </c>
      <c r="P11711">
        <v>516.83000000000004</v>
      </c>
      <c r="Q11711" s="37" t="str">
        <f>IF(P11711&gt;500,"High","low")</f>
        <v>High</v>
      </c>
      <c r="R11711" s="37" t="str">
        <f t="shared" si="914"/>
        <v>Good</v>
      </c>
      <c r="S11711" t="s">
        <v>628</v>
      </c>
    </row>
    <row r="11712" spans="1:19" x14ac:dyDescent="0.2">
      <c r="A11712" t="s">
        <v>12323</v>
      </c>
      <c r="B11712" t="s">
        <v>90</v>
      </c>
      <c r="C11712" t="s">
        <v>617</v>
      </c>
      <c r="D11712">
        <v>4587.4399999999996</v>
      </c>
      <c r="E11712" s="37" t="str">
        <f t="shared" si="910"/>
        <v>Excellent Order</v>
      </c>
      <c r="F11712">
        <v>0.49</v>
      </c>
      <c r="G11712" s="37" t="str">
        <f t="shared" si="911"/>
        <v>Heavy Discount</v>
      </c>
      <c r="H11712" s="37" t="str">
        <f t="shared" si="912"/>
        <v>High</v>
      </c>
      <c r="I11712">
        <v>7</v>
      </c>
      <c r="J11712" t="str" cm="1">
        <f t="array" ref="J11712">_xlfn.IFS(I11712&lt;=3,"small",I11712&lt;=6,"Medium",I11712&lt;=9,"Large")</f>
        <v>Large</v>
      </c>
      <c r="K11712" s="36">
        <v>45297</v>
      </c>
      <c r="L11712" s="36">
        <v>45299</v>
      </c>
      <c r="M11712" t="s">
        <v>603</v>
      </c>
      <c r="N11712" t="s">
        <v>604</v>
      </c>
      <c r="O11712" s="37" t="str">
        <f t="shared" si="913"/>
        <v>Digital Payment</v>
      </c>
      <c r="P11712">
        <v>1326.28</v>
      </c>
      <c r="Q11712" s="37" t="str">
        <f>IF(P11712&gt;500,"High","low")</f>
        <v>High</v>
      </c>
      <c r="R11712" s="37" t="str">
        <f t="shared" si="914"/>
        <v>Excellent</v>
      </c>
      <c r="S11712" t="s">
        <v>605</v>
      </c>
    </row>
    <row r="11713" spans="1:19" x14ac:dyDescent="0.2">
      <c r="A11713" t="s">
        <v>12324</v>
      </c>
      <c r="B11713" t="s">
        <v>67</v>
      </c>
      <c r="C11713" t="s">
        <v>607</v>
      </c>
      <c r="D11713">
        <v>3868.08</v>
      </c>
      <c r="E11713" s="37" t="str">
        <f t="shared" si="910"/>
        <v xml:space="preserve"> </v>
      </c>
      <c r="F11713">
        <v>0.02</v>
      </c>
      <c r="G11713" s="37" t="str">
        <f t="shared" si="911"/>
        <v>Normal Discount</v>
      </c>
      <c r="H11713" s="37" t="str">
        <f t="shared" si="912"/>
        <v>Low</v>
      </c>
      <c r="I11713">
        <v>9</v>
      </c>
      <c r="J11713" t="str" cm="1">
        <f t="array" ref="J11713">_xlfn.IFS(I11713&lt;=3,"small",I11713&lt;=6,"Medium",I11713&lt;=9,"Large")</f>
        <v>Large</v>
      </c>
      <c r="K11713" s="36">
        <v>45375</v>
      </c>
      <c r="L11713" s="36">
        <v>45376</v>
      </c>
      <c r="M11713" t="s">
        <v>603</v>
      </c>
      <c r="N11713" t="s">
        <v>604</v>
      </c>
      <c r="O11713" s="37" t="str">
        <f t="shared" si="913"/>
        <v>Digital Payment</v>
      </c>
      <c r="P11713">
        <v>647.13</v>
      </c>
      <c r="Q11713" s="37" t="str">
        <f>IF(P11713&gt;500,"High","low")</f>
        <v>High</v>
      </c>
      <c r="R11713" s="37" t="str">
        <f t="shared" si="914"/>
        <v>Good</v>
      </c>
      <c r="S11713" t="s">
        <v>620</v>
      </c>
    </row>
    <row r="11714" spans="1:19" x14ac:dyDescent="0.2">
      <c r="A11714" t="s">
        <v>12325</v>
      </c>
      <c r="B11714" t="s">
        <v>67</v>
      </c>
      <c r="C11714" t="s">
        <v>614</v>
      </c>
      <c r="D11714">
        <v>3708.5</v>
      </c>
      <c r="E11714" s="37" t="str">
        <f t="shared" si="910"/>
        <v xml:space="preserve"> </v>
      </c>
      <c r="F11714">
        <v>0.13</v>
      </c>
      <c r="G11714" s="37" t="str">
        <f t="shared" si="911"/>
        <v>Normal Discount</v>
      </c>
      <c r="H11714" s="37" t="str">
        <f t="shared" si="912"/>
        <v>Low</v>
      </c>
      <c r="I11714">
        <v>4</v>
      </c>
      <c r="J11714" t="str" cm="1">
        <f t="array" ref="J11714">_xlfn.IFS(I11714&lt;=3,"small",I11714&lt;=6,"Medium",I11714&lt;=9,"Large")</f>
        <v>Medium</v>
      </c>
      <c r="K11714" s="36">
        <v>45090</v>
      </c>
      <c r="L11714" s="36">
        <v>45096</v>
      </c>
      <c r="M11714" t="s">
        <v>598</v>
      </c>
      <c r="N11714" t="s">
        <v>599</v>
      </c>
      <c r="O11714" s="37" t="str">
        <f t="shared" si="913"/>
        <v>Digital Payment</v>
      </c>
      <c r="P11714">
        <v>384.71</v>
      </c>
      <c r="Q11714" s="37" t="str">
        <f>IF(P11714&gt;500,"High","low")</f>
        <v>low</v>
      </c>
      <c r="R11714" s="37" t="str">
        <f t="shared" si="914"/>
        <v>AVERAGE</v>
      </c>
      <c r="S11714" t="s">
        <v>609</v>
      </c>
    </row>
    <row r="11715" spans="1:19" x14ac:dyDescent="0.2">
      <c r="A11715" t="s">
        <v>12326</v>
      </c>
      <c r="B11715" t="s">
        <v>90</v>
      </c>
      <c r="C11715" t="s">
        <v>607</v>
      </c>
      <c r="D11715">
        <v>599.57000000000005</v>
      </c>
      <c r="E11715" s="37" t="str">
        <f t="shared" ref="E11715:E11778" si="915">IF(AND(D11715&gt;4000,P11715&gt;800),"Excellent Order"," ")</f>
        <v xml:space="preserve"> </v>
      </c>
      <c r="F11715">
        <v>0.33</v>
      </c>
      <c r="G11715" s="37" t="str">
        <f t="shared" ref="G11715:G11778" si="916">IF(F11715&gt;30%,"Heavy Discount","Normal Discount")</f>
        <v>Heavy Discount</v>
      </c>
      <c r="H11715" s="37" t="str">
        <f t="shared" ref="H11715:H11778" si="917">IF(F11715&gt;0.4,"High",IF(F11715&gt;=0.2,"Medium","Low"))</f>
        <v>Medium</v>
      </c>
      <c r="I11715">
        <v>2</v>
      </c>
      <c r="J11715" t="str" cm="1">
        <f t="array" ref="J11715">_xlfn.IFS(I11715&lt;=3,"small",I11715&lt;=6,"Medium",I11715&lt;=9,"Large")</f>
        <v>small</v>
      </c>
      <c r="K11715" s="36">
        <v>45139</v>
      </c>
      <c r="L11715" s="36">
        <v>45146</v>
      </c>
      <c r="M11715" t="s">
        <v>603</v>
      </c>
      <c r="N11715" t="s">
        <v>604</v>
      </c>
      <c r="O11715" s="37" t="str">
        <f t="shared" ref="O11715:O11778" si="918">IF(OR(N11715="Card",N11715="UPI"),"Digital Payment","Cash Payment")</f>
        <v>Digital Payment</v>
      </c>
      <c r="P11715">
        <v>93.71</v>
      </c>
      <c r="Q11715" s="37" t="str">
        <f>IF(P11715&gt;500,"High","low")</f>
        <v>low</v>
      </c>
      <c r="R11715" s="37" t="str">
        <f t="shared" ref="R11715:R11778" si="919">IF(P11715&gt;1000,"Excellent",IF(P11715&gt;=500,"Good","AVERAGE"))</f>
        <v>AVERAGE</v>
      </c>
      <c r="S11715" t="s">
        <v>615</v>
      </c>
    </row>
    <row r="11716" spans="1:19" x14ac:dyDescent="0.2">
      <c r="A11716" t="s">
        <v>12327</v>
      </c>
      <c r="B11716" t="s">
        <v>90</v>
      </c>
      <c r="C11716" t="s">
        <v>602</v>
      </c>
      <c r="D11716">
        <v>275.79000000000002</v>
      </c>
      <c r="E11716" s="37" t="str">
        <f t="shared" si="915"/>
        <v xml:space="preserve"> </v>
      </c>
      <c r="F11716">
        <v>0.41</v>
      </c>
      <c r="G11716" s="37" t="str">
        <f t="shared" si="916"/>
        <v>Heavy Discount</v>
      </c>
      <c r="H11716" s="37" t="str">
        <f t="shared" si="917"/>
        <v>High</v>
      </c>
      <c r="I11716">
        <v>9</v>
      </c>
      <c r="J11716" t="str" cm="1">
        <f t="array" ref="J11716">_xlfn.IFS(I11716&lt;=3,"small",I11716&lt;=6,"Medium",I11716&lt;=9,"Large")</f>
        <v>Large</v>
      </c>
      <c r="K11716" s="36">
        <v>45219</v>
      </c>
      <c r="L11716" s="36">
        <v>45221</v>
      </c>
      <c r="M11716" t="s">
        <v>612</v>
      </c>
      <c r="N11716" t="s">
        <v>599</v>
      </c>
      <c r="O11716" s="37" t="str">
        <f t="shared" si="918"/>
        <v>Digital Payment</v>
      </c>
      <c r="P11716">
        <v>49.83</v>
      </c>
      <c r="Q11716" s="37" t="str">
        <f>IF(P11716&gt;500,"High","low")</f>
        <v>low</v>
      </c>
      <c r="R11716" s="37" t="str">
        <f t="shared" si="919"/>
        <v>AVERAGE</v>
      </c>
      <c r="S11716" t="s">
        <v>628</v>
      </c>
    </row>
    <row r="11717" spans="1:19" x14ac:dyDescent="0.2">
      <c r="A11717" t="s">
        <v>12328</v>
      </c>
      <c r="B11717" t="s">
        <v>90</v>
      </c>
      <c r="C11717" t="s">
        <v>597</v>
      </c>
      <c r="D11717">
        <v>1652.14</v>
      </c>
      <c r="E11717" s="37" t="str">
        <f t="shared" si="915"/>
        <v xml:space="preserve"> </v>
      </c>
      <c r="F11717">
        <v>0.3</v>
      </c>
      <c r="G11717" s="37" t="str">
        <f t="shared" si="916"/>
        <v>Normal Discount</v>
      </c>
      <c r="H11717" s="37" t="str">
        <f t="shared" si="917"/>
        <v>Medium</v>
      </c>
      <c r="I11717">
        <v>5</v>
      </c>
      <c r="J11717" t="str" cm="1">
        <f t="array" ref="J11717">_xlfn.IFS(I11717&lt;=3,"small",I11717&lt;=6,"Medium",I11717&lt;=9,"Large")</f>
        <v>Medium</v>
      </c>
      <c r="K11717" s="36">
        <v>45047</v>
      </c>
      <c r="L11717" s="36">
        <v>45049</v>
      </c>
      <c r="M11717" t="s">
        <v>612</v>
      </c>
      <c r="N11717" t="s">
        <v>604</v>
      </c>
      <c r="O11717" s="37" t="str">
        <f t="shared" si="918"/>
        <v>Digital Payment</v>
      </c>
      <c r="P11717">
        <v>163.30000000000001</v>
      </c>
      <c r="Q11717" s="37" t="str">
        <f>IF(P11717&gt;500,"High","low")</f>
        <v>low</v>
      </c>
      <c r="R11717" s="37" t="str">
        <f t="shared" si="919"/>
        <v>AVERAGE</v>
      </c>
      <c r="S11717" t="s">
        <v>605</v>
      </c>
    </row>
    <row r="11718" spans="1:19" x14ac:dyDescent="0.2">
      <c r="A11718" t="s">
        <v>12329</v>
      </c>
      <c r="B11718" t="s">
        <v>67</v>
      </c>
      <c r="C11718" t="s">
        <v>607</v>
      </c>
      <c r="D11718">
        <v>1164.76</v>
      </c>
      <c r="E11718" s="37" t="str">
        <f t="shared" si="915"/>
        <v xml:space="preserve"> </v>
      </c>
      <c r="F11718">
        <v>0.49</v>
      </c>
      <c r="G11718" s="37" t="str">
        <f t="shared" si="916"/>
        <v>Heavy Discount</v>
      </c>
      <c r="H11718" s="37" t="str">
        <f t="shared" si="917"/>
        <v>High</v>
      </c>
      <c r="I11718">
        <v>7</v>
      </c>
      <c r="J11718" t="str" cm="1">
        <f t="array" ref="J11718">_xlfn.IFS(I11718&lt;=3,"small",I11718&lt;=6,"Medium",I11718&lt;=9,"Large")</f>
        <v>Large</v>
      </c>
      <c r="K11718" s="36">
        <v>45322</v>
      </c>
      <c r="L11718" s="36">
        <v>45325</v>
      </c>
      <c r="M11718" t="s">
        <v>612</v>
      </c>
      <c r="N11718" t="s">
        <v>599</v>
      </c>
      <c r="O11718" s="37" t="str">
        <f t="shared" si="918"/>
        <v>Digital Payment</v>
      </c>
      <c r="P11718">
        <v>281.94</v>
      </c>
      <c r="Q11718" s="37" t="str">
        <f>IF(P11718&gt;500,"High","low")</f>
        <v>low</v>
      </c>
      <c r="R11718" s="37" t="str">
        <f t="shared" si="919"/>
        <v>AVERAGE</v>
      </c>
      <c r="S11718" t="s">
        <v>620</v>
      </c>
    </row>
    <row r="11719" spans="1:19" x14ac:dyDescent="0.2">
      <c r="A11719" t="s">
        <v>12330</v>
      </c>
      <c r="B11719" t="s">
        <v>67</v>
      </c>
      <c r="C11719" t="s">
        <v>597</v>
      </c>
      <c r="D11719">
        <v>3590.31</v>
      </c>
      <c r="E11719" s="37" t="str">
        <f t="shared" si="915"/>
        <v xml:space="preserve"> </v>
      </c>
      <c r="F11719">
        <v>0.17</v>
      </c>
      <c r="G11719" s="37" t="str">
        <f t="shared" si="916"/>
        <v>Normal Discount</v>
      </c>
      <c r="H11719" s="37" t="str">
        <f t="shared" si="917"/>
        <v>Low</v>
      </c>
      <c r="I11719">
        <v>5</v>
      </c>
      <c r="J11719" t="str" cm="1">
        <f t="array" ref="J11719">_xlfn.IFS(I11719&lt;=3,"small",I11719&lt;=6,"Medium",I11719&lt;=9,"Large")</f>
        <v>Medium</v>
      </c>
      <c r="K11719" s="36">
        <v>45348</v>
      </c>
      <c r="L11719" s="36">
        <v>45350</v>
      </c>
      <c r="M11719" t="s">
        <v>612</v>
      </c>
      <c r="N11719" t="s">
        <v>608</v>
      </c>
      <c r="O11719" s="37" t="str">
        <f t="shared" si="918"/>
        <v>Cash Payment</v>
      </c>
      <c r="P11719">
        <v>266.08</v>
      </c>
      <c r="Q11719" s="37" t="str">
        <f>IF(P11719&gt;500,"High","low")</f>
        <v>low</v>
      </c>
      <c r="R11719" s="37" t="str">
        <f t="shared" si="919"/>
        <v>AVERAGE</v>
      </c>
      <c r="S11719" t="s">
        <v>615</v>
      </c>
    </row>
    <row r="11720" spans="1:19" x14ac:dyDescent="0.2">
      <c r="A11720" t="s">
        <v>12331</v>
      </c>
      <c r="B11720" t="s">
        <v>83</v>
      </c>
      <c r="C11720" t="s">
        <v>597</v>
      </c>
      <c r="D11720">
        <v>2308.6</v>
      </c>
      <c r="E11720" s="37" t="str">
        <f t="shared" si="915"/>
        <v xml:space="preserve"> </v>
      </c>
      <c r="F11720">
        <v>0.24</v>
      </c>
      <c r="G11720" s="37" t="str">
        <f t="shared" si="916"/>
        <v>Normal Discount</v>
      </c>
      <c r="H11720" s="37" t="str">
        <f t="shared" si="917"/>
        <v>Medium</v>
      </c>
      <c r="I11720">
        <v>5</v>
      </c>
      <c r="J11720" t="str" cm="1">
        <f t="array" ref="J11720">_xlfn.IFS(I11720&lt;=3,"small",I11720&lt;=6,"Medium",I11720&lt;=9,"Large")</f>
        <v>Medium</v>
      </c>
      <c r="K11720" s="36">
        <v>45494</v>
      </c>
      <c r="L11720" s="36">
        <v>45499</v>
      </c>
      <c r="M11720" t="s">
        <v>598</v>
      </c>
      <c r="N11720" t="s">
        <v>599</v>
      </c>
      <c r="O11720" s="37" t="str">
        <f t="shared" si="918"/>
        <v>Digital Payment</v>
      </c>
      <c r="P11720">
        <v>130.43</v>
      </c>
      <c r="Q11720" s="37" t="str">
        <f>IF(P11720&gt;500,"High","low")</f>
        <v>low</v>
      </c>
      <c r="R11720" s="37" t="str">
        <f t="shared" si="919"/>
        <v>AVERAGE</v>
      </c>
      <c r="S11720" t="s">
        <v>628</v>
      </c>
    </row>
    <row r="11721" spans="1:19" x14ac:dyDescent="0.2">
      <c r="A11721" t="s">
        <v>12332</v>
      </c>
      <c r="B11721" t="s">
        <v>90</v>
      </c>
      <c r="C11721" t="s">
        <v>607</v>
      </c>
      <c r="D11721">
        <v>2663.42</v>
      </c>
      <c r="E11721" s="37" t="str">
        <f t="shared" si="915"/>
        <v xml:space="preserve"> </v>
      </c>
      <c r="F11721">
        <v>0.41</v>
      </c>
      <c r="G11721" s="37" t="str">
        <f t="shared" si="916"/>
        <v>Heavy Discount</v>
      </c>
      <c r="H11721" s="37" t="str">
        <f t="shared" si="917"/>
        <v>High</v>
      </c>
      <c r="I11721">
        <v>6</v>
      </c>
      <c r="J11721" t="str" cm="1">
        <f t="array" ref="J11721">_xlfn.IFS(I11721&lt;=3,"small",I11721&lt;=6,"Medium",I11721&lt;=9,"Large")</f>
        <v>Medium</v>
      </c>
      <c r="K11721" s="36">
        <v>45006</v>
      </c>
      <c r="L11721" s="36">
        <v>45010</v>
      </c>
      <c r="M11721" t="s">
        <v>598</v>
      </c>
      <c r="N11721" t="s">
        <v>604</v>
      </c>
      <c r="O11721" s="37" t="str">
        <f t="shared" si="918"/>
        <v>Digital Payment</v>
      </c>
      <c r="P11721">
        <v>244.02</v>
      </c>
      <c r="Q11721" s="37" t="str">
        <f>IF(P11721&gt;500,"High","low")</f>
        <v>low</v>
      </c>
      <c r="R11721" s="37" t="str">
        <f t="shared" si="919"/>
        <v>AVERAGE</v>
      </c>
      <c r="S11721" t="s">
        <v>600</v>
      </c>
    </row>
    <row r="11722" spans="1:19" x14ac:dyDescent="0.2">
      <c r="A11722" t="s">
        <v>12333</v>
      </c>
      <c r="B11722" t="s">
        <v>83</v>
      </c>
      <c r="C11722" t="s">
        <v>607</v>
      </c>
      <c r="D11722">
        <v>4087.33</v>
      </c>
      <c r="E11722" s="37" t="str">
        <f t="shared" si="915"/>
        <v xml:space="preserve"> </v>
      </c>
      <c r="F11722">
        <v>0.34</v>
      </c>
      <c r="G11722" s="37" t="str">
        <f t="shared" si="916"/>
        <v>Heavy Discount</v>
      </c>
      <c r="H11722" s="37" t="str">
        <f t="shared" si="917"/>
        <v>Medium</v>
      </c>
      <c r="I11722">
        <v>5</v>
      </c>
      <c r="J11722" t="str" cm="1">
        <f t="array" ref="J11722">_xlfn.IFS(I11722&lt;=3,"small",I11722&lt;=6,"Medium",I11722&lt;=9,"Large")</f>
        <v>Medium</v>
      </c>
      <c r="K11722" s="36">
        <v>45307</v>
      </c>
      <c r="L11722" s="36">
        <v>45312</v>
      </c>
      <c r="M11722" t="s">
        <v>603</v>
      </c>
      <c r="N11722" t="s">
        <v>608</v>
      </c>
      <c r="O11722" s="37" t="str">
        <f t="shared" si="918"/>
        <v>Cash Payment</v>
      </c>
      <c r="P11722">
        <v>239.38</v>
      </c>
      <c r="Q11722" s="37" t="str">
        <f>IF(P11722&gt;500,"High","low")</f>
        <v>low</v>
      </c>
      <c r="R11722" s="37" t="str">
        <f t="shared" si="919"/>
        <v>AVERAGE</v>
      </c>
      <c r="S11722" t="s">
        <v>609</v>
      </c>
    </row>
    <row r="11723" spans="1:19" x14ac:dyDescent="0.2">
      <c r="A11723" t="s">
        <v>12334</v>
      </c>
      <c r="B11723" t="s">
        <v>90</v>
      </c>
      <c r="C11723" t="s">
        <v>617</v>
      </c>
      <c r="D11723">
        <v>2444.67</v>
      </c>
      <c r="E11723" s="37" t="str">
        <f t="shared" si="915"/>
        <v xml:space="preserve"> </v>
      </c>
      <c r="F11723">
        <v>0.11</v>
      </c>
      <c r="G11723" s="37" t="str">
        <f t="shared" si="916"/>
        <v>Normal Discount</v>
      </c>
      <c r="H11723" s="37" t="str">
        <f t="shared" si="917"/>
        <v>Low</v>
      </c>
      <c r="I11723">
        <v>8</v>
      </c>
      <c r="J11723" t="str" cm="1">
        <f t="array" ref="J11723">_xlfn.IFS(I11723&lt;=3,"small",I11723&lt;=6,"Medium",I11723&lt;=9,"Large")</f>
        <v>Large</v>
      </c>
      <c r="K11723" s="36">
        <v>45208</v>
      </c>
      <c r="L11723" s="36">
        <v>45215</v>
      </c>
      <c r="M11723" t="s">
        <v>612</v>
      </c>
      <c r="N11723" t="s">
        <v>604</v>
      </c>
      <c r="O11723" s="37" t="str">
        <f t="shared" si="918"/>
        <v>Digital Payment</v>
      </c>
      <c r="P11723">
        <v>192.63</v>
      </c>
      <c r="Q11723" s="37" t="str">
        <f>IF(P11723&gt;500,"High","low")</f>
        <v>low</v>
      </c>
      <c r="R11723" s="37" t="str">
        <f t="shared" si="919"/>
        <v>AVERAGE</v>
      </c>
      <c r="S11723" t="s">
        <v>615</v>
      </c>
    </row>
    <row r="11724" spans="1:19" x14ac:dyDescent="0.2">
      <c r="A11724" t="s">
        <v>12335</v>
      </c>
      <c r="B11724" t="s">
        <v>67</v>
      </c>
      <c r="C11724" t="s">
        <v>614</v>
      </c>
      <c r="D11724">
        <v>2770.14</v>
      </c>
      <c r="E11724" s="37" t="str">
        <f t="shared" si="915"/>
        <v xml:space="preserve"> </v>
      </c>
      <c r="F11724">
        <v>0.25</v>
      </c>
      <c r="G11724" s="37" t="str">
        <f t="shared" si="916"/>
        <v>Normal Discount</v>
      </c>
      <c r="H11724" s="37" t="str">
        <f t="shared" si="917"/>
        <v>Medium</v>
      </c>
      <c r="I11724">
        <v>4</v>
      </c>
      <c r="J11724" t="str" cm="1">
        <f t="array" ref="J11724">_xlfn.IFS(I11724&lt;=3,"small",I11724&lt;=6,"Medium",I11724&lt;=9,"Large")</f>
        <v>Medium</v>
      </c>
      <c r="K11724" s="36">
        <v>45495</v>
      </c>
      <c r="L11724" s="36">
        <v>45502</v>
      </c>
      <c r="M11724" t="s">
        <v>603</v>
      </c>
      <c r="N11724" t="s">
        <v>599</v>
      </c>
      <c r="O11724" s="37" t="str">
        <f t="shared" si="918"/>
        <v>Digital Payment</v>
      </c>
      <c r="P11724">
        <v>193.67</v>
      </c>
      <c r="Q11724" s="37" t="str">
        <f>IF(P11724&gt;500,"High","low")</f>
        <v>low</v>
      </c>
      <c r="R11724" s="37" t="str">
        <f t="shared" si="919"/>
        <v>AVERAGE</v>
      </c>
      <c r="S11724" t="s">
        <v>615</v>
      </c>
    </row>
    <row r="11725" spans="1:19" x14ac:dyDescent="0.2">
      <c r="A11725" t="s">
        <v>12336</v>
      </c>
      <c r="B11725" t="s">
        <v>83</v>
      </c>
      <c r="C11725" t="s">
        <v>617</v>
      </c>
      <c r="D11725">
        <v>4227.37</v>
      </c>
      <c r="E11725" s="37" t="str">
        <f t="shared" si="915"/>
        <v>Excellent Order</v>
      </c>
      <c r="F11725">
        <v>0.49</v>
      </c>
      <c r="G11725" s="37" t="str">
        <f t="shared" si="916"/>
        <v>Heavy Discount</v>
      </c>
      <c r="H11725" s="37" t="str">
        <f t="shared" si="917"/>
        <v>High</v>
      </c>
      <c r="I11725">
        <v>3</v>
      </c>
      <c r="J11725" t="str" cm="1">
        <f t="array" ref="J11725">_xlfn.IFS(I11725&lt;=3,"small",I11725&lt;=6,"Medium",I11725&lt;=9,"Large")</f>
        <v>small</v>
      </c>
      <c r="K11725" s="36">
        <v>45366</v>
      </c>
      <c r="L11725" s="36">
        <v>45373</v>
      </c>
      <c r="M11725" t="s">
        <v>612</v>
      </c>
      <c r="N11725" t="s">
        <v>608</v>
      </c>
      <c r="O11725" s="37" t="str">
        <f t="shared" si="918"/>
        <v>Cash Payment</v>
      </c>
      <c r="P11725">
        <v>941.83</v>
      </c>
      <c r="Q11725" s="37" t="str">
        <f>IF(P11725&gt;500,"High","low")</f>
        <v>High</v>
      </c>
      <c r="R11725" s="37" t="str">
        <f t="shared" si="919"/>
        <v>Good</v>
      </c>
      <c r="S11725" t="s">
        <v>620</v>
      </c>
    </row>
    <row r="11726" spans="1:19" x14ac:dyDescent="0.2">
      <c r="A11726" t="s">
        <v>12337</v>
      </c>
      <c r="B11726" t="s">
        <v>83</v>
      </c>
      <c r="C11726" t="s">
        <v>614</v>
      </c>
      <c r="D11726">
        <v>2213.5500000000002</v>
      </c>
      <c r="E11726" s="37" t="str">
        <f t="shared" si="915"/>
        <v xml:space="preserve"> </v>
      </c>
      <c r="F11726">
        <v>0.43</v>
      </c>
      <c r="G11726" s="37" t="str">
        <f t="shared" si="916"/>
        <v>Heavy Discount</v>
      </c>
      <c r="H11726" s="37" t="str">
        <f t="shared" si="917"/>
        <v>High</v>
      </c>
      <c r="I11726">
        <v>3</v>
      </c>
      <c r="J11726" t="str" cm="1">
        <f t="array" ref="J11726">_xlfn.IFS(I11726&lt;=3,"small",I11726&lt;=6,"Medium",I11726&lt;=9,"Large")</f>
        <v>small</v>
      </c>
      <c r="K11726" s="36">
        <v>45252</v>
      </c>
      <c r="L11726" s="36">
        <v>45257</v>
      </c>
      <c r="M11726" t="s">
        <v>603</v>
      </c>
      <c r="N11726" t="s">
        <v>604</v>
      </c>
      <c r="O11726" s="37" t="str">
        <f t="shared" si="918"/>
        <v>Digital Payment</v>
      </c>
      <c r="P11726">
        <v>512.5</v>
      </c>
      <c r="Q11726" s="37" t="str">
        <f>IF(P11726&gt;500,"High","low")</f>
        <v>High</v>
      </c>
      <c r="R11726" s="37" t="str">
        <f t="shared" si="919"/>
        <v>Good</v>
      </c>
      <c r="S11726" t="s">
        <v>609</v>
      </c>
    </row>
    <row r="11727" spans="1:19" x14ac:dyDescent="0.2">
      <c r="A11727" t="s">
        <v>12338</v>
      </c>
      <c r="B11727" t="s">
        <v>75</v>
      </c>
      <c r="C11727" t="s">
        <v>607</v>
      </c>
      <c r="D11727">
        <v>507.32</v>
      </c>
      <c r="E11727" s="37" t="str">
        <f t="shared" si="915"/>
        <v xml:space="preserve"> </v>
      </c>
      <c r="F11727">
        <v>0.1</v>
      </c>
      <c r="G11727" s="37" t="str">
        <f t="shared" si="916"/>
        <v>Normal Discount</v>
      </c>
      <c r="H11727" s="37" t="str">
        <f t="shared" si="917"/>
        <v>Low</v>
      </c>
      <c r="I11727">
        <v>2</v>
      </c>
      <c r="J11727" t="str" cm="1">
        <f t="array" ref="J11727">_xlfn.IFS(I11727&lt;=3,"small",I11727&lt;=6,"Medium",I11727&lt;=9,"Large")</f>
        <v>small</v>
      </c>
      <c r="K11727" s="36">
        <v>45223</v>
      </c>
      <c r="L11727" s="36">
        <v>45227</v>
      </c>
      <c r="M11727" t="s">
        <v>603</v>
      </c>
      <c r="N11727" t="s">
        <v>599</v>
      </c>
      <c r="O11727" s="37" t="str">
        <f t="shared" si="918"/>
        <v>Digital Payment</v>
      </c>
      <c r="P11727">
        <v>66.83</v>
      </c>
      <c r="Q11727" s="37" t="str">
        <f>IF(P11727&gt;500,"High","low")</f>
        <v>low</v>
      </c>
      <c r="R11727" s="37" t="str">
        <f t="shared" si="919"/>
        <v>AVERAGE</v>
      </c>
      <c r="S11727" t="s">
        <v>609</v>
      </c>
    </row>
    <row r="11728" spans="1:19" x14ac:dyDescent="0.2">
      <c r="A11728" t="s">
        <v>12339</v>
      </c>
      <c r="B11728" t="s">
        <v>90</v>
      </c>
      <c r="C11728" t="s">
        <v>614</v>
      </c>
      <c r="D11728">
        <v>2656.36</v>
      </c>
      <c r="E11728" s="37" t="str">
        <f t="shared" si="915"/>
        <v xml:space="preserve"> </v>
      </c>
      <c r="F11728">
        <v>0.09</v>
      </c>
      <c r="G11728" s="37" t="str">
        <f t="shared" si="916"/>
        <v>Normal Discount</v>
      </c>
      <c r="H11728" s="37" t="str">
        <f t="shared" si="917"/>
        <v>Low</v>
      </c>
      <c r="I11728">
        <v>8</v>
      </c>
      <c r="J11728" t="str" cm="1">
        <f t="array" ref="J11728">_xlfn.IFS(I11728&lt;=3,"small",I11728&lt;=6,"Medium",I11728&lt;=9,"Large")</f>
        <v>Large</v>
      </c>
      <c r="K11728" s="36">
        <v>44977</v>
      </c>
      <c r="L11728" s="36">
        <v>44979</v>
      </c>
      <c r="M11728" t="s">
        <v>612</v>
      </c>
      <c r="N11728" t="s">
        <v>599</v>
      </c>
      <c r="O11728" s="37" t="str">
        <f t="shared" si="918"/>
        <v>Digital Payment</v>
      </c>
      <c r="P11728">
        <v>264.45999999999998</v>
      </c>
      <c r="Q11728" s="37" t="str">
        <f>IF(P11728&gt;500,"High","low")</f>
        <v>low</v>
      </c>
      <c r="R11728" s="37" t="str">
        <f t="shared" si="919"/>
        <v>AVERAGE</v>
      </c>
      <c r="S11728" t="s">
        <v>620</v>
      </c>
    </row>
    <row r="11729" spans="1:19" x14ac:dyDescent="0.2">
      <c r="A11729" t="s">
        <v>12340</v>
      </c>
      <c r="B11729" t="s">
        <v>67</v>
      </c>
      <c r="C11729" t="s">
        <v>602</v>
      </c>
      <c r="D11729">
        <v>2938.87</v>
      </c>
      <c r="E11729" s="37" t="str">
        <f t="shared" si="915"/>
        <v xml:space="preserve"> </v>
      </c>
      <c r="F11729">
        <v>0.41</v>
      </c>
      <c r="G11729" s="37" t="str">
        <f t="shared" si="916"/>
        <v>Heavy Discount</v>
      </c>
      <c r="H11729" s="37" t="str">
        <f t="shared" si="917"/>
        <v>High</v>
      </c>
      <c r="I11729">
        <v>7</v>
      </c>
      <c r="J11729" t="str" cm="1">
        <f t="array" ref="J11729">_xlfn.IFS(I11729&lt;=3,"small",I11729&lt;=6,"Medium",I11729&lt;=9,"Large")</f>
        <v>Large</v>
      </c>
      <c r="K11729" s="36">
        <v>45394</v>
      </c>
      <c r="L11729" s="36">
        <v>45398</v>
      </c>
      <c r="M11729" t="s">
        <v>603</v>
      </c>
      <c r="N11729" t="s">
        <v>599</v>
      </c>
      <c r="O11729" s="37" t="str">
        <f t="shared" si="918"/>
        <v>Digital Payment</v>
      </c>
      <c r="P11729">
        <v>711.16</v>
      </c>
      <c r="Q11729" s="37" t="str">
        <f>IF(P11729&gt;500,"High","low")</f>
        <v>High</v>
      </c>
      <c r="R11729" s="37" t="str">
        <f t="shared" si="919"/>
        <v>Good</v>
      </c>
      <c r="S11729" t="s">
        <v>628</v>
      </c>
    </row>
    <row r="11730" spans="1:19" x14ac:dyDescent="0.2">
      <c r="A11730" t="s">
        <v>12341</v>
      </c>
      <c r="B11730" t="s">
        <v>75</v>
      </c>
      <c r="C11730" t="s">
        <v>617</v>
      </c>
      <c r="D11730">
        <v>2607.8000000000002</v>
      </c>
      <c r="E11730" s="37" t="str">
        <f t="shared" si="915"/>
        <v xml:space="preserve"> </v>
      </c>
      <c r="F11730">
        <v>0.1</v>
      </c>
      <c r="G11730" s="37" t="str">
        <f t="shared" si="916"/>
        <v>Normal Discount</v>
      </c>
      <c r="H11730" s="37" t="str">
        <f t="shared" si="917"/>
        <v>Low</v>
      </c>
      <c r="I11730">
        <v>6</v>
      </c>
      <c r="J11730" t="str" cm="1">
        <f t="array" ref="J11730">_xlfn.IFS(I11730&lt;=3,"small",I11730&lt;=6,"Medium",I11730&lt;=9,"Large")</f>
        <v>Medium</v>
      </c>
      <c r="K11730" s="36">
        <v>45377</v>
      </c>
      <c r="L11730" s="36">
        <v>45384</v>
      </c>
      <c r="M11730" t="s">
        <v>603</v>
      </c>
      <c r="N11730" t="s">
        <v>608</v>
      </c>
      <c r="O11730" s="37" t="str">
        <f t="shared" si="918"/>
        <v>Cash Payment</v>
      </c>
      <c r="P11730">
        <v>233.65</v>
      </c>
      <c r="Q11730" s="37" t="str">
        <f>IF(P11730&gt;500,"High","low")</f>
        <v>low</v>
      </c>
      <c r="R11730" s="37" t="str">
        <f t="shared" si="919"/>
        <v>AVERAGE</v>
      </c>
      <c r="S11730" t="s">
        <v>620</v>
      </c>
    </row>
    <row r="11731" spans="1:19" x14ac:dyDescent="0.2">
      <c r="A11731" t="s">
        <v>12342</v>
      </c>
      <c r="B11731" t="s">
        <v>75</v>
      </c>
      <c r="C11731" t="s">
        <v>617</v>
      </c>
      <c r="D11731">
        <v>1364.44</v>
      </c>
      <c r="E11731" s="37" t="str">
        <f t="shared" si="915"/>
        <v xml:space="preserve"> </v>
      </c>
      <c r="F11731">
        <v>0.23</v>
      </c>
      <c r="G11731" s="37" t="str">
        <f t="shared" si="916"/>
        <v>Normal Discount</v>
      </c>
      <c r="H11731" s="37" t="str">
        <f t="shared" si="917"/>
        <v>Medium</v>
      </c>
      <c r="I11731">
        <v>2</v>
      </c>
      <c r="J11731" t="str" cm="1">
        <f t="array" ref="J11731">_xlfn.IFS(I11731&lt;=3,"small",I11731&lt;=6,"Medium",I11731&lt;=9,"Large")</f>
        <v>small</v>
      </c>
      <c r="K11731" s="36">
        <v>45427</v>
      </c>
      <c r="L11731" s="36">
        <v>45431</v>
      </c>
      <c r="M11731" t="s">
        <v>603</v>
      </c>
      <c r="N11731" t="s">
        <v>604</v>
      </c>
      <c r="O11731" s="37" t="str">
        <f t="shared" si="918"/>
        <v>Digital Payment</v>
      </c>
      <c r="P11731">
        <v>201.35</v>
      </c>
      <c r="Q11731" s="37" t="str">
        <f>IF(P11731&gt;500,"High","low")</f>
        <v>low</v>
      </c>
      <c r="R11731" s="37" t="str">
        <f t="shared" si="919"/>
        <v>AVERAGE</v>
      </c>
      <c r="S11731" t="s">
        <v>615</v>
      </c>
    </row>
    <row r="11732" spans="1:19" x14ac:dyDescent="0.2">
      <c r="A11732" t="s">
        <v>12343</v>
      </c>
      <c r="B11732" t="s">
        <v>90</v>
      </c>
      <c r="C11732" t="s">
        <v>617</v>
      </c>
      <c r="D11732">
        <v>1196.08</v>
      </c>
      <c r="E11732" s="37" t="str">
        <f t="shared" si="915"/>
        <v xml:space="preserve"> </v>
      </c>
      <c r="F11732">
        <v>0.09</v>
      </c>
      <c r="G11732" s="37" t="str">
        <f t="shared" si="916"/>
        <v>Normal Discount</v>
      </c>
      <c r="H11732" s="37" t="str">
        <f t="shared" si="917"/>
        <v>Low</v>
      </c>
      <c r="I11732">
        <v>2</v>
      </c>
      <c r="J11732" t="str" cm="1">
        <f t="array" ref="J11732">_xlfn.IFS(I11732&lt;=3,"small",I11732&lt;=6,"Medium",I11732&lt;=9,"Large")</f>
        <v>small</v>
      </c>
      <c r="K11732" s="36">
        <v>45450</v>
      </c>
      <c r="L11732" s="36">
        <v>45455</v>
      </c>
      <c r="M11732" t="s">
        <v>612</v>
      </c>
      <c r="N11732" t="s">
        <v>604</v>
      </c>
      <c r="O11732" s="37" t="str">
        <f t="shared" si="918"/>
        <v>Digital Payment</v>
      </c>
      <c r="P11732">
        <v>230.31</v>
      </c>
      <c r="Q11732" s="37" t="str">
        <f>IF(P11732&gt;500,"High","low")</f>
        <v>low</v>
      </c>
      <c r="R11732" s="37" t="str">
        <f t="shared" si="919"/>
        <v>AVERAGE</v>
      </c>
      <c r="S11732" t="s">
        <v>615</v>
      </c>
    </row>
    <row r="11733" spans="1:19" x14ac:dyDescent="0.2">
      <c r="A11733" t="s">
        <v>12344</v>
      </c>
      <c r="B11733" t="s">
        <v>75</v>
      </c>
      <c r="C11733" t="s">
        <v>597</v>
      </c>
      <c r="D11733">
        <v>1911.81</v>
      </c>
      <c r="E11733" s="37" t="str">
        <f t="shared" si="915"/>
        <v xml:space="preserve"> </v>
      </c>
      <c r="F11733">
        <v>0.01</v>
      </c>
      <c r="G11733" s="37" t="str">
        <f t="shared" si="916"/>
        <v>Normal Discount</v>
      </c>
      <c r="H11733" s="37" t="str">
        <f t="shared" si="917"/>
        <v>Low</v>
      </c>
      <c r="I11733">
        <v>1</v>
      </c>
      <c r="J11733" t="str" cm="1">
        <f t="array" ref="J11733">_xlfn.IFS(I11733&lt;=3,"small",I11733&lt;=6,"Medium",I11733&lt;=9,"Large")</f>
        <v>small</v>
      </c>
      <c r="K11733" s="36">
        <v>45023</v>
      </c>
      <c r="L11733" s="36">
        <v>45029</v>
      </c>
      <c r="M11733" t="s">
        <v>598</v>
      </c>
      <c r="N11733" t="s">
        <v>604</v>
      </c>
      <c r="O11733" s="37" t="str">
        <f t="shared" si="918"/>
        <v>Digital Payment</v>
      </c>
      <c r="P11733">
        <v>359.28</v>
      </c>
      <c r="Q11733" s="37" t="str">
        <f>IF(P11733&gt;500,"High","low")</f>
        <v>low</v>
      </c>
      <c r="R11733" s="37" t="str">
        <f t="shared" si="919"/>
        <v>AVERAGE</v>
      </c>
      <c r="S11733" t="s">
        <v>600</v>
      </c>
    </row>
    <row r="11734" spans="1:19" x14ac:dyDescent="0.2">
      <c r="A11734" t="s">
        <v>12345</v>
      </c>
      <c r="B11734" t="s">
        <v>90</v>
      </c>
      <c r="C11734" t="s">
        <v>597</v>
      </c>
      <c r="D11734">
        <v>914.52</v>
      </c>
      <c r="E11734" s="37" t="str">
        <f t="shared" si="915"/>
        <v xml:space="preserve"> </v>
      </c>
      <c r="F11734">
        <v>0.44</v>
      </c>
      <c r="G11734" s="37" t="str">
        <f t="shared" si="916"/>
        <v>Heavy Discount</v>
      </c>
      <c r="H11734" s="37" t="str">
        <f t="shared" si="917"/>
        <v>High</v>
      </c>
      <c r="I11734">
        <v>2</v>
      </c>
      <c r="J11734" t="str" cm="1">
        <f t="array" ref="J11734">_xlfn.IFS(I11734&lt;=3,"small",I11734&lt;=6,"Medium",I11734&lt;=9,"Large")</f>
        <v>small</v>
      </c>
      <c r="K11734" s="36">
        <v>45547</v>
      </c>
      <c r="L11734" s="36">
        <v>45552</v>
      </c>
      <c r="M11734" t="s">
        <v>603</v>
      </c>
      <c r="N11734" t="s">
        <v>608</v>
      </c>
      <c r="O11734" s="37" t="str">
        <f t="shared" si="918"/>
        <v>Cash Payment</v>
      </c>
      <c r="P11734">
        <v>143.74</v>
      </c>
      <c r="Q11734" s="37" t="str">
        <f>IF(P11734&gt;500,"High","low")</f>
        <v>low</v>
      </c>
      <c r="R11734" s="37" t="str">
        <f t="shared" si="919"/>
        <v>AVERAGE</v>
      </c>
      <c r="S11734" t="s">
        <v>609</v>
      </c>
    </row>
    <row r="11735" spans="1:19" x14ac:dyDescent="0.2">
      <c r="A11735" t="s">
        <v>12346</v>
      </c>
      <c r="B11735" t="s">
        <v>75</v>
      </c>
      <c r="C11735" t="s">
        <v>607</v>
      </c>
      <c r="D11735">
        <v>3363.52</v>
      </c>
      <c r="E11735" s="37" t="str">
        <f t="shared" si="915"/>
        <v xml:space="preserve"> </v>
      </c>
      <c r="F11735">
        <v>0.39</v>
      </c>
      <c r="G11735" s="37" t="str">
        <f t="shared" si="916"/>
        <v>Heavy Discount</v>
      </c>
      <c r="H11735" s="37" t="str">
        <f t="shared" si="917"/>
        <v>Medium</v>
      </c>
      <c r="I11735">
        <v>9</v>
      </c>
      <c r="J11735" t="str" cm="1">
        <f t="array" ref="J11735">_xlfn.IFS(I11735&lt;=3,"small",I11735&lt;=6,"Medium",I11735&lt;=9,"Large")</f>
        <v>Large</v>
      </c>
      <c r="K11735" s="36">
        <v>45585</v>
      </c>
      <c r="L11735" s="36">
        <v>45591</v>
      </c>
      <c r="M11735" t="s">
        <v>603</v>
      </c>
      <c r="N11735" t="s">
        <v>604</v>
      </c>
      <c r="O11735" s="37" t="str">
        <f t="shared" si="918"/>
        <v>Digital Payment</v>
      </c>
      <c r="P11735">
        <v>633.54</v>
      </c>
      <c r="Q11735" s="37" t="str">
        <f>IF(P11735&gt;500,"High","low")</f>
        <v>High</v>
      </c>
      <c r="R11735" s="37" t="str">
        <f t="shared" si="919"/>
        <v>Good</v>
      </c>
      <c r="S11735" t="s">
        <v>605</v>
      </c>
    </row>
    <row r="11736" spans="1:19" x14ac:dyDescent="0.2">
      <c r="A11736" t="s">
        <v>12347</v>
      </c>
      <c r="B11736" t="s">
        <v>90</v>
      </c>
      <c r="C11736" t="s">
        <v>607</v>
      </c>
      <c r="D11736">
        <v>3111.91</v>
      </c>
      <c r="E11736" s="37" t="str">
        <f t="shared" si="915"/>
        <v xml:space="preserve"> </v>
      </c>
      <c r="F11736">
        <v>0.24</v>
      </c>
      <c r="G11736" s="37" t="str">
        <f t="shared" si="916"/>
        <v>Normal Discount</v>
      </c>
      <c r="H11736" s="37" t="str">
        <f t="shared" si="917"/>
        <v>Medium</v>
      </c>
      <c r="I11736">
        <v>1</v>
      </c>
      <c r="J11736" t="str" cm="1">
        <f t="array" ref="J11736">_xlfn.IFS(I11736&lt;=3,"small",I11736&lt;=6,"Medium",I11736&lt;=9,"Large")</f>
        <v>small</v>
      </c>
      <c r="K11736" s="36">
        <v>45632</v>
      </c>
      <c r="L11736" s="36">
        <v>45635</v>
      </c>
      <c r="M11736" t="s">
        <v>603</v>
      </c>
      <c r="N11736" t="s">
        <v>604</v>
      </c>
      <c r="O11736" s="37" t="str">
        <f t="shared" si="918"/>
        <v>Digital Payment</v>
      </c>
      <c r="P11736">
        <v>674.21</v>
      </c>
      <c r="Q11736" s="37" t="str">
        <f>IF(P11736&gt;500,"High","low")</f>
        <v>High</v>
      </c>
      <c r="R11736" s="37" t="str">
        <f t="shared" si="919"/>
        <v>Good</v>
      </c>
      <c r="S11736" t="s">
        <v>615</v>
      </c>
    </row>
    <row r="11737" spans="1:19" x14ac:dyDescent="0.2">
      <c r="A11737" t="s">
        <v>12348</v>
      </c>
      <c r="B11737" t="s">
        <v>67</v>
      </c>
      <c r="C11737" t="s">
        <v>597</v>
      </c>
      <c r="D11737">
        <v>3198.74</v>
      </c>
      <c r="E11737" s="37" t="str">
        <f t="shared" si="915"/>
        <v xml:space="preserve"> </v>
      </c>
      <c r="F11737">
        <v>0.08</v>
      </c>
      <c r="G11737" s="37" t="str">
        <f t="shared" si="916"/>
        <v>Normal Discount</v>
      </c>
      <c r="H11737" s="37" t="str">
        <f t="shared" si="917"/>
        <v>Low</v>
      </c>
      <c r="I11737">
        <v>4</v>
      </c>
      <c r="J11737" t="str" cm="1">
        <f t="array" ref="J11737">_xlfn.IFS(I11737&lt;=3,"small",I11737&lt;=6,"Medium",I11737&lt;=9,"Large")</f>
        <v>Medium</v>
      </c>
      <c r="K11737" s="36">
        <v>45368</v>
      </c>
      <c r="L11737" s="36">
        <v>45375</v>
      </c>
      <c r="M11737" t="s">
        <v>612</v>
      </c>
      <c r="N11737" t="s">
        <v>604</v>
      </c>
      <c r="O11737" s="37" t="str">
        <f t="shared" si="918"/>
        <v>Digital Payment</v>
      </c>
      <c r="P11737">
        <v>355.53</v>
      </c>
      <c r="Q11737" s="37" t="str">
        <f>IF(P11737&gt;500,"High","low")</f>
        <v>low</v>
      </c>
      <c r="R11737" s="37" t="str">
        <f t="shared" si="919"/>
        <v>AVERAGE</v>
      </c>
      <c r="S11737" t="s">
        <v>615</v>
      </c>
    </row>
    <row r="11738" spans="1:19" x14ac:dyDescent="0.2">
      <c r="A11738" t="s">
        <v>12349</v>
      </c>
      <c r="B11738" t="s">
        <v>90</v>
      </c>
      <c r="C11738" t="s">
        <v>617</v>
      </c>
      <c r="D11738">
        <v>1201.51</v>
      </c>
      <c r="E11738" s="37" t="str">
        <f t="shared" si="915"/>
        <v xml:space="preserve"> </v>
      </c>
      <c r="F11738">
        <v>0.4</v>
      </c>
      <c r="G11738" s="37" t="str">
        <f t="shared" si="916"/>
        <v>Heavy Discount</v>
      </c>
      <c r="H11738" s="37" t="str">
        <f t="shared" si="917"/>
        <v>Medium</v>
      </c>
      <c r="I11738">
        <v>2</v>
      </c>
      <c r="J11738" t="str" cm="1">
        <f t="array" ref="J11738">_xlfn.IFS(I11738&lt;=3,"small",I11738&lt;=6,"Medium",I11738&lt;=9,"Large")</f>
        <v>small</v>
      </c>
      <c r="K11738" s="36">
        <v>45269</v>
      </c>
      <c r="L11738" s="36">
        <v>45270</v>
      </c>
      <c r="M11738" t="s">
        <v>598</v>
      </c>
      <c r="N11738" t="s">
        <v>599</v>
      </c>
      <c r="O11738" s="37" t="str">
        <f t="shared" si="918"/>
        <v>Digital Payment</v>
      </c>
      <c r="P11738">
        <v>177.56</v>
      </c>
      <c r="Q11738" s="37" t="str">
        <f>IF(P11738&gt;500,"High","low")</f>
        <v>low</v>
      </c>
      <c r="R11738" s="37" t="str">
        <f t="shared" si="919"/>
        <v>AVERAGE</v>
      </c>
      <c r="S11738" t="s">
        <v>609</v>
      </c>
    </row>
    <row r="11739" spans="1:19" x14ac:dyDescent="0.2">
      <c r="A11739" t="s">
        <v>12350</v>
      </c>
      <c r="B11739" t="s">
        <v>90</v>
      </c>
      <c r="C11739" t="s">
        <v>597</v>
      </c>
      <c r="D11739">
        <v>1307.99</v>
      </c>
      <c r="E11739" s="37" t="str">
        <f t="shared" si="915"/>
        <v xml:space="preserve"> </v>
      </c>
      <c r="F11739">
        <v>0.18</v>
      </c>
      <c r="G11739" s="37" t="str">
        <f t="shared" si="916"/>
        <v>Normal Discount</v>
      </c>
      <c r="H11739" s="37" t="str">
        <f t="shared" si="917"/>
        <v>Low</v>
      </c>
      <c r="I11739">
        <v>5</v>
      </c>
      <c r="J11739" t="str" cm="1">
        <f t="array" ref="J11739">_xlfn.IFS(I11739&lt;=3,"small",I11739&lt;=6,"Medium",I11739&lt;=9,"Large")</f>
        <v>Medium</v>
      </c>
      <c r="K11739" s="36">
        <v>45163</v>
      </c>
      <c r="L11739" s="36">
        <v>45165</v>
      </c>
      <c r="M11739" t="s">
        <v>612</v>
      </c>
      <c r="N11739" t="s">
        <v>604</v>
      </c>
      <c r="O11739" s="37" t="str">
        <f t="shared" si="918"/>
        <v>Digital Payment</v>
      </c>
      <c r="P11739">
        <v>290.10000000000002</v>
      </c>
      <c r="Q11739" s="37" t="str">
        <f>IF(P11739&gt;500,"High","low")</f>
        <v>low</v>
      </c>
      <c r="R11739" s="37" t="str">
        <f t="shared" si="919"/>
        <v>AVERAGE</v>
      </c>
      <c r="S11739" t="s">
        <v>628</v>
      </c>
    </row>
    <row r="11740" spans="1:19" x14ac:dyDescent="0.2">
      <c r="A11740" t="s">
        <v>12351</v>
      </c>
      <c r="B11740" t="s">
        <v>83</v>
      </c>
      <c r="C11740" t="s">
        <v>614</v>
      </c>
      <c r="D11740">
        <v>3958.21</v>
      </c>
      <c r="E11740" s="37" t="str">
        <f t="shared" si="915"/>
        <v xml:space="preserve"> </v>
      </c>
      <c r="F11740">
        <v>0.33</v>
      </c>
      <c r="G11740" s="37" t="str">
        <f t="shared" si="916"/>
        <v>Heavy Discount</v>
      </c>
      <c r="H11740" s="37" t="str">
        <f t="shared" si="917"/>
        <v>Medium</v>
      </c>
      <c r="I11740">
        <v>8</v>
      </c>
      <c r="J11740" t="str" cm="1">
        <f t="array" ref="J11740">_xlfn.IFS(I11740&lt;=3,"small",I11740&lt;=6,"Medium",I11740&lt;=9,"Large")</f>
        <v>Large</v>
      </c>
      <c r="K11740" s="36">
        <v>45510</v>
      </c>
      <c r="L11740" s="36">
        <v>45514</v>
      </c>
      <c r="M11740" t="s">
        <v>612</v>
      </c>
      <c r="N11740" t="s">
        <v>599</v>
      </c>
      <c r="O11740" s="37" t="str">
        <f t="shared" si="918"/>
        <v>Digital Payment</v>
      </c>
      <c r="P11740">
        <v>323.20999999999998</v>
      </c>
      <c r="Q11740" s="37" t="str">
        <f>IF(P11740&gt;500,"High","low")</f>
        <v>low</v>
      </c>
      <c r="R11740" s="37" t="str">
        <f t="shared" si="919"/>
        <v>AVERAGE</v>
      </c>
      <c r="S11740" t="s">
        <v>609</v>
      </c>
    </row>
    <row r="11741" spans="1:19" x14ac:dyDescent="0.2">
      <c r="A11741" t="s">
        <v>12352</v>
      </c>
      <c r="B11741" t="s">
        <v>67</v>
      </c>
      <c r="C11741" t="s">
        <v>617</v>
      </c>
      <c r="D11741">
        <v>3481.55</v>
      </c>
      <c r="E11741" s="37" t="str">
        <f t="shared" si="915"/>
        <v xml:space="preserve"> </v>
      </c>
      <c r="F11741">
        <v>0.16</v>
      </c>
      <c r="G11741" s="37" t="str">
        <f t="shared" si="916"/>
        <v>Normal Discount</v>
      </c>
      <c r="H11741" s="37" t="str">
        <f t="shared" si="917"/>
        <v>Low</v>
      </c>
      <c r="I11741">
        <v>1</v>
      </c>
      <c r="J11741" t="str" cm="1">
        <f t="array" ref="J11741">_xlfn.IFS(I11741&lt;=3,"small",I11741&lt;=6,"Medium",I11741&lt;=9,"Large")</f>
        <v>small</v>
      </c>
      <c r="K11741" s="36">
        <v>45152</v>
      </c>
      <c r="L11741" s="36">
        <v>45157</v>
      </c>
      <c r="M11741" t="s">
        <v>612</v>
      </c>
      <c r="N11741" t="s">
        <v>599</v>
      </c>
      <c r="O11741" s="37" t="str">
        <f t="shared" si="918"/>
        <v>Digital Payment</v>
      </c>
      <c r="P11741">
        <v>473.55</v>
      </c>
      <c r="Q11741" s="37" t="str">
        <f>IF(P11741&gt;500,"High","low")</f>
        <v>low</v>
      </c>
      <c r="R11741" s="37" t="str">
        <f t="shared" si="919"/>
        <v>AVERAGE</v>
      </c>
      <c r="S11741" t="s">
        <v>615</v>
      </c>
    </row>
    <row r="11742" spans="1:19" x14ac:dyDescent="0.2">
      <c r="A11742" t="s">
        <v>12353</v>
      </c>
      <c r="B11742" t="s">
        <v>67</v>
      </c>
      <c r="C11742" t="s">
        <v>597</v>
      </c>
      <c r="D11742">
        <v>4388.38</v>
      </c>
      <c r="E11742" s="37" t="str">
        <f t="shared" si="915"/>
        <v xml:space="preserve"> </v>
      </c>
      <c r="F11742">
        <v>0.22</v>
      </c>
      <c r="G11742" s="37" t="str">
        <f t="shared" si="916"/>
        <v>Normal Discount</v>
      </c>
      <c r="H11742" s="37" t="str">
        <f t="shared" si="917"/>
        <v>Medium</v>
      </c>
      <c r="I11742">
        <v>9</v>
      </c>
      <c r="J11742" t="str" cm="1">
        <f t="array" ref="J11742">_xlfn.IFS(I11742&lt;=3,"small",I11742&lt;=6,"Medium",I11742&lt;=9,"Large")</f>
        <v>Large</v>
      </c>
      <c r="K11742" s="36">
        <v>45052</v>
      </c>
      <c r="L11742" s="36">
        <v>45058</v>
      </c>
      <c r="M11742" t="s">
        <v>612</v>
      </c>
      <c r="N11742" t="s">
        <v>599</v>
      </c>
      <c r="O11742" s="37" t="str">
        <f t="shared" si="918"/>
        <v>Digital Payment</v>
      </c>
      <c r="P11742">
        <v>254.25</v>
      </c>
      <c r="Q11742" s="37" t="str">
        <f>IF(P11742&gt;500,"High","low")</f>
        <v>low</v>
      </c>
      <c r="R11742" s="37" t="str">
        <f t="shared" si="919"/>
        <v>AVERAGE</v>
      </c>
      <c r="S11742" t="s">
        <v>609</v>
      </c>
    </row>
    <row r="11743" spans="1:19" x14ac:dyDescent="0.2">
      <c r="A11743" t="s">
        <v>12354</v>
      </c>
      <c r="B11743" t="s">
        <v>67</v>
      </c>
      <c r="C11743" t="s">
        <v>607</v>
      </c>
      <c r="D11743">
        <v>2077.1799999999998</v>
      </c>
      <c r="E11743" s="37" t="str">
        <f t="shared" si="915"/>
        <v xml:space="preserve"> </v>
      </c>
      <c r="F11743">
        <v>0.27</v>
      </c>
      <c r="G11743" s="37" t="str">
        <f t="shared" si="916"/>
        <v>Normal Discount</v>
      </c>
      <c r="H11743" s="37" t="str">
        <f t="shared" si="917"/>
        <v>Medium</v>
      </c>
      <c r="I11743">
        <v>7</v>
      </c>
      <c r="J11743" t="str" cm="1">
        <f t="array" ref="J11743">_xlfn.IFS(I11743&lt;=3,"small",I11743&lt;=6,"Medium",I11743&lt;=9,"Large")</f>
        <v>Large</v>
      </c>
      <c r="K11743" s="36">
        <v>45186</v>
      </c>
      <c r="L11743" s="36">
        <v>45191</v>
      </c>
      <c r="M11743" t="s">
        <v>612</v>
      </c>
      <c r="N11743" t="s">
        <v>599</v>
      </c>
      <c r="O11743" s="37" t="str">
        <f t="shared" si="918"/>
        <v>Digital Payment</v>
      </c>
      <c r="P11743">
        <v>212.95</v>
      </c>
      <c r="Q11743" s="37" t="str">
        <f>IF(P11743&gt;500,"High","low")</f>
        <v>low</v>
      </c>
      <c r="R11743" s="37" t="str">
        <f t="shared" si="919"/>
        <v>AVERAGE</v>
      </c>
      <c r="S11743" t="s">
        <v>628</v>
      </c>
    </row>
    <row r="11744" spans="1:19" x14ac:dyDescent="0.2">
      <c r="A11744" t="s">
        <v>12355</v>
      </c>
      <c r="B11744" t="s">
        <v>75</v>
      </c>
      <c r="C11744" t="s">
        <v>597</v>
      </c>
      <c r="D11744">
        <v>2781.91</v>
      </c>
      <c r="E11744" s="37" t="str">
        <f t="shared" si="915"/>
        <v xml:space="preserve"> </v>
      </c>
      <c r="F11744">
        <v>0.38</v>
      </c>
      <c r="G11744" s="37" t="str">
        <f t="shared" si="916"/>
        <v>Heavy Discount</v>
      </c>
      <c r="H11744" s="37" t="str">
        <f t="shared" si="917"/>
        <v>Medium</v>
      </c>
      <c r="I11744">
        <v>5</v>
      </c>
      <c r="J11744" t="str" cm="1">
        <f t="array" ref="J11744">_xlfn.IFS(I11744&lt;=3,"small",I11744&lt;=6,"Medium",I11744&lt;=9,"Large")</f>
        <v>Medium</v>
      </c>
      <c r="K11744" s="36">
        <v>45465</v>
      </c>
      <c r="L11744" s="36">
        <v>45467</v>
      </c>
      <c r="M11744" t="s">
        <v>612</v>
      </c>
      <c r="N11744" t="s">
        <v>604</v>
      </c>
      <c r="O11744" s="37" t="str">
        <f t="shared" si="918"/>
        <v>Digital Payment</v>
      </c>
      <c r="P11744">
        <v>423.58</v>
      </c>
      <c r="Q11744" s="37" t="str">
        <f>IF(P11744&gt;500,"High","low")</f>
        <v>low</v>
      </c>
      <c r="R11744" s="37" t="str">
        <f t="shared" si="919"/>
        <v>AVERAGE</v>
      </c>
      <c r="S11744" t="s">
        <v>605</v>
      </c>
    </row>
    <row r="11745" spans="1:19" x14ac:dyDescent="0.2">
      <c r="A11745" t="s">
        <v>12356</v>
      </c>
      <c r="B11745" t="s">
        <v>83</v>
      </c>
      <c r="C11745" t="s">
        <v>602</v>
      </c>
      <c r="D11745">
        <v>3720.01</v>
      </c>
      <c r="E11745" s="37" t="str">
        <f t="shared" si="915"/>
        <v xml:space="preserve"> </v>
      </c>
      <c r="F11745">
        <v>0.42</v>
      </c>
      <c r="G11745" s="37" t="str">
        <f t="shared" si="916"/>
        <v>Heavy Discount</v>
      </c>
      <c r="H11745" s="37" t="str">
        <f t="shared" si="917"/>
        <v>High</v>
      </c>
      <c r="I11745">
        <v>5</v>
      </c>
      <c r="J11745" t="str" cm="1">
        <f t="array" ref="J11745">_xlfn.IFS(I11745&lt;=3,"small",I11745&lt;=6,"Medium",I11745&lt;=9,"Large")</f>
        <v>Medium</v>
      </c>
      <c r="K11745" s="36">
        <v>45464</v>
      </c>
      <c r="L11745" s="36">
        <v>45467</v>
      </c>
      <c r="M11745" t="s">
        <v>598</v>
      </c>
      <c r="N11745" t="s">
        <v>604</v>
      </c>
      <c r="O11745" s="37" t="str">
        <f t="shared" si="918"/>
        <v>Digital Payment</v>
      </c>
      <c r="P11745">
        <v>434.79</v>
      </c>
      <c r="Q11745" s="37" t="str">
        <f>IF(P11745&gt;500,"High","low")</f>
        <v>low</v>
      </c>
      <c r="R11745" s="37" t="str">
        <f t="shared" si="919"/>
        <v>AVERAGE</v>
      </c>
      <c r="S11745" t="s">
        <v>615</v>
      </c>
    </row>
    <row r="11746" spans="1:19" x14ac:dyDescent="0.2">
      <c r="A11746" t="s">
        <v>12357</v>
      </c>
      <c r="B11746" t="s">
        <v>67</v>
      </c>
      <c r="C11746" t="s">
        <v>597</v>
      </c>
      <c r="D11746">
        <v>4873.3599999999997</v>
      </c>
      <c r="E11746" s="37" t="str">
        <f t="shared" si="915"/>
        <v>Excellent Order</v>
      </c>
      <c r="F11746">
        <v>0.22</v>
      </c>
      <c r="G11746" s="37" t="str">
        <f t="shared" si="916"/>
        <v>Normal Discount</v>
      </c>
      <c r="H11746" s="37" t="str">
        <f t="shared" si="917"/>
        <v>Medium</v>
      </c>
      <c r="I11746">
        <v>9</v>
      </c>
      <c r="J11746" t="str" cm="1">
        <f t="array" ref="J11746">_xlfn.IFS(I11746&lt;=3,"small",I11746&lt;=6,"Medium",I11746&lt;=9,"Large")</f>
        <v>Large</v>
      </c>
      <c r="K11746" s="36">
        <v>45279</v>
      </c>
      <c r="L11746" s="36">
        <v>45284</v>
      </c>
      <c r="M11746" t="s">
        <v>612</v>
      </c>
      <c r="N11746" t="s">
        <v>599</v>
      </c>
      <c r="O11746" s="37" t="str">
        <f t="shared" si="918"/>
        <v>Digital Payment</v>
      </c>
      <c r="P11746">
        <v>1201.0999999999999</v>
      </c>
      <c r="Q11746" s="37" t="str">
        <f>IF(P11746&gt;500,"High","low")</f>
        <v>High</v>
      </c>
      <c r="R11746" s="37" t="str">
        <f t="shared" si="919"/>
        <v>Excellent</v>
      </c>
      <c r="S11746" t="s">
        <v>628</v>
      </c>
    </row>
    <row r="11747" spans="1:19" x14ac:dyDescent="0.2">
      <c r="A11747" t="s">
        <v>12358</v>
      </c>
      <c r="B11747" t="s">
        <v>75</v>
      </c>
      <c r="C11747" t="s">
        <v>617</v>
      </c>
      <c r="D11747">
        <v>4949.2</v>
      </c>
      <c r="E11747" s="37" t="str">
        <f t="shared" si="915"/>
        <v xml:space="preserve"> </v>
      </c>
      <c r="F11747">
        <v>0.12</v>
      </c>
      <c r="G11747" s="37" t="str">
        <f t="shared" si="916"/>
        <v>Normal Discount</v>
      </c>
      <c r="H11747" s="37" t="str">
        <f t="shared" si="917"/>
        <v>Low</v>
      </c>
      <c r="I11747">
        <v>9</v>
      </c>
      <c r="J11747" t="str" cm="1">
        <f t="array" ref="J11747">_xlfn.IFS(I11747&lt;=3,"small",I11747&lt;=6,"Medium",I11747&lt;=9,"Large")</f>
        <v>Large</v>
      </c>
      <c r="K11747" s="36">
        <v>45542</v>
      </c>
      <c r="L11747" s="36">
        <v>45546</v>
      </c>
      <c r="M11747" t="s">
        <v>612</v>
      </c>
      <c r="N11747" t="s">
        <v>604</v>
      </c>
      <c r="O11747" s="37" t="str">
        <f t="shared" si="918"/>
        <v>Digital Payment</v>
      </c>
      <c r="P11747">
        <v>755.07</v>
      </c>
      <c r="Q11747" s="37" t="str">
        <f>IF(P11747&gt;500,"High","low")</f>
        <v>High</v>
      </c>
      <c r="R11747" s="37" t="str">
        <f t="shared" si="919"/>
        <v>Good</v>
      </c>
      <c r="S11747" t="s">
        <v>600</v>
      </c>
    </row>
    <row r="11748" spans="1:19" x14ac:dyDescent="0.2">
      <c r="A11748" t="s">
        <v>12359</v>
      </c>
      <c r="B11748" t="s">
        <v>75</v>
      </c>
      <c r="C11748" t="s">
        <v>597</v>
      </c>
      <c r="D11748">
        <v>4995.96</v>
      </c>
      <c r="E11748" s="37" t="str">
        <f t="shared" si="915"/>
        <v xml:space="preserve"> </v>
      </c>
      <c r="F11748">
        <v>0.08</v>
      </c>
      <c r="G11748" s="37" t="str">
        <f t="shared" si="916"/>
        <v>Normal Discount</v>
      </c>
      <c r="H11748" s="37" t="str">
        <f t="shared" si="917"/>
        <v>Low</v>
      </c>
      <c r="I11748">
        <v>2</v>
      </c>
      <c r="J11748" t="str" cm="1">
        <f t="array" ref="J11748">_xlfn.IFS(I11748&lt;=3,"small",I11748&lt;=6,"Medium",I11748&lt;=9,"Large")</f>
        <v>small</v>
      </c>
      <c r="K11748" s="36">
        <v>44966</v>
      </c>
      <c r="L11748" s="36">
        <v>44968</v>
      </c>
      <c r="M11748" t="s">
        <v>598</v>
      </c>
      <c r="N11748" t="s">
        <v>599</v>
      </c>
      <c r="O11748" s="37" t="str">
        <f t="shared" si="918"/>
        <v>Digital Payment</v>
      </c>
      <c r="P11748">
        <v>649.04999999999995</v>
      </c>
      <c r="Q11748" s="37" t="str">
        <f>IF(P11748&gt;500,"High","low")</f>
        <v>High</v>
      </c>
      <c r="R11748" s="37" t="str">
        <f t="shared" si="919"/>
        <v>Good</v>
      </c>
      <c r="S11748" t="s">
        <v>628</v>
      </c>
    </row>
    <row r="11749" spans="1:19" x14ac:dyDescent="0.2">
      <c r="A11749" t="s">
        <v>12360</v>
      </c>
      <c r="B11749" t="s">
        <v>75</v>
      </c>
      <c r="C11749" t="s">
        <v>607</v>
      </c>
      <c r="D11749">
        <v>4463.58</v>
      </c>
      <c r="E11749" s="37" t="str">
        <f t="shared" si="915"/>
        <v>Excellent Order</v>
      </c>
      <c r="F11749">
        <v>0.17</v>
      </c>
      <c r="G11749" s="37" t="str">
        <f t="shared" si="916"/>
        <v>Normal Discount</v>
      </c>
      <c r="H11749" s="37" t="str">
        <f t="shared" si="917"/>
        <v>Low</v>
      </c>
      <c r="I11749">
        <v>8</v>
      </c>
      <c r="J11749" t="str" cm="1">
        <f t="array" ref="J11749">_xlfn.IFS(I11749&lt;=3,"small",I11749&lt;=6,"Medium",I11749&lt;=9,"Large")</f>
        <v>Large</v>
      </c>
      <c r="K11749" s="36">
        <v>45616</v>
      </c>
      <c r="L11749" s="36">
        <v>45620</v>
      </c>
      <c r="M11749" t="s">
        <v>598</v>
      </c>
      <c r="N11749" t="s">
        <v>608</v>
      </c>
      <c r="O11749" s="37" t="str">
        <f t="shared" si="918"/>
        <v>Cash Payment</v>
      </c>
      <c r="P11749">
        <v>1276.6600000000001</v>
      </c>
      <c r="Q11749" s="37" t="str">
        <f>IF(P11749&gt;500,"High","low")</f>
        <v>High</v>
      </c>
      <c r="R11749" s="37" t="str">
        <f t="shared" si="919"/>
        <v>Excellent</v>
      </c>
      <c r="S11749" t="s">
        <v>615</v>
      </c>
    </row>
    <row r="11750" spans="1:19" x14ac:dyDescent="0.2">
      <c r="A11750" t="s">
        <v>12361</v>
      </c>
      <c r="B11750" t="s">
        <v>83</v>
      </c>
      <c r="C11750" t="s">
        <v>614</v>
      </c>
      <c r="D11750">
        <v>3234.29</v>
      </c>
      <c r="E11750" s="37" t="str">
        <f t="shared" si="915"/>
        <v xml:space="preserve"> </v>
      </c>
      <c r="F11750">
        <v>0.4</v>
      </c>
      <c r="G11750" s="37" t="str">
        <f t="shared" si="916"/>
        <v>Heavy Discount</v>
      </c>
      <c r="H11750" s="37" t="str">
        <f t="shared" si="917"/>
        <v>Medium</v>
      </c>
      <c r="I11750">
        <v>5</v>
      </c>
      <c r="J11750" t="str" cm="1">
        <f t="array" ref="J11750">_xlfn.IFS(I11750&lt;=3,"small",I11750&lt;=6,"Medium",I11750&lt;=9,"Large")</f>
        <v>Medium</v>
      </c>
      <c r="K11750" s="36">
        <v>45377</v>
      </c>
      <c r="L11750" s="36">
        <v>45378</v>
      </c>
      <c r="M11750" t="s">
        <v>598</v>
      </c>
      <c r="N11750" t="s">
        <v>604</v>
      </c>
      <c r="O11750" s="37" t="str">
        <f t="shared" si="918"/>
        <v>Digital Payment</v>
      </c>
      <c r="P11750">
        <v>675.3</v>
      </c>
      <c r="Q11750" s="37" t="str">
        <f>IF(P11750&gt;500,"High","low")</f>
        <v>High</v>
      </c>
      <c r="R11750" s="37" t="str">
        <f t="shared" si="919"/>
        <v>Good</v>
      </c>
      <c r="S11750" t="s">
        <v>609</v>
      </c>
    </row>
    <row r="11751" spans="1:19" x14ac:dyDescent="0.2">
      <c r="A11751" t="s">
        <v>12362</v>
      </c>
      <c r="B11751" t="s">
        <v>75</v>
      </c>
      <c r="C11751" t="s">
        <v>602</v>
      </c>
      <c r="D11751">
        <v>134.16</v>
      </c>
      <c r="E11751" s="37" t="str">
        <f t="shared" si="915"/>
        <v xml:space="preserve"> </v>
      </c>
      <c r="F11751">
        <v>0.14000000000000001</v>
      </c>
      <c r="G11751" s="37" t="str">
        <f t="shared" si="916"/>
        <v>Normal Discount</v>
      </c>
      <c r="H11751" s="37" t="str">
        <f t="shared" si="917"/>
        <v>Low</v>
      </c>
      <c r="I11751">
        <v>2</v>
      </c>
      <c r="J11751" t="str" cm="1">
        <f t="array" ref="J11751">_xlfn.IFS(I11751&lt;=3,"small",I11751&lt;=6,"Medium",I11751&lt;=9,"Large")</f>
        <v>small</v>
      </c>
      <c r="K11751" s="36">
        <v>45639</v>
      </c>
      <c r="L11751" s="36">
        <v>45644</v>
      </c>
      <c r="M11751" t="s">
        <v>612</v>
      </c>
      <c r="N11751" t="s">
        <v>599</v>
      </c>
      <c r="O11751" s="37" t="str">
        <f t="shared" si="918"/>
        <v>Digital Payment</v>
      </c>
      <c r="P11751">
        <v>30.51</v>
      </c>
      <c r="Q11751" s="37" t="str">
        <f>IF(P11751&gt;500,"High","low")</f>
        <v>low</v>
      </c>
      <c r="R11751" s="37" t="str">
        <f t="shared" si="919"/>
        <v>AVERAGE</v>
      </c>
      <c r="S11751" t="s">
        <v>628</v>
      </c>
    </row>
    <row r="11752" spans="1:19" x14ac:dyDescent="0.2">
      <c r="A11752" t="s">
        <v>12363</v>
      </c>
      <c r="B11752" t="s">
        <v>83</v>
      </c>
      <c r="C11752" t="s">
        <v>617</v>
      </c>
      <c r="D11752">
        <v>3527.76</v>
      </c>
      <c r="E11752" s="37" t="str">
        <f t="shared" si="915"/>
        <v xml:space="preserve"> </v>
      </c>
      <c r="F11752">
        <v>0.02</v>
      </c>
      <c r="G11752" s="37" t="str">
        <f t="shared" si="916"/>
        <v>Normal Discount</v>
      </c>
      <c r="H11752" s="37" t="str">
        <f t="shared" si="917"/>
        <v>Low</v>
      </c>
      <c r="I11752">
        <v>9</v>
      </c>
      <c r="J11752" t="str" cm="1">
        <f t="array" ref="J11752">_xlfn.IFS(I11752&lt;=3,"small",I11752&lt;=6,"Medium",I11752&lt;=9,"Large")</f>
        <v>Large</v>
      </c>
      <c r="K11752" s="36">
        <v>45128</v>
      </c>
      <c r="L11752" s="36">
        <v>45134</v>
      </c>
      <c r="M11752" t="s">
        <v>598</v>
      </c>
      <c r="N11752" t="s">
        <v>608</v>
      </c>
      <c r="O11752" s="37" t="str">
        <f t="shared" si="918"/>
        <v>Cash Payment</v>
      </c>
      <c r="P11752">
        <v>941.18</v>
      </c>
      <c r="Q11752" s="37" t="str">
        <f>IF(P11752&gt;500,"High","low")</f>
        <v>High</v>
      </c>
      <c r="R11752" s="37" t="str">
        <f t="shared" si="919"/>
        <v>Good</v>
      </c>
      <c r="S11752" t="s">
        <v>609</v>
      </c>
    </row>
    <row r="11753" spans="1:19" x14ac:dyDescent="0.2">
      <c r="A11753" t="s">
        <v>12364</v>
      </c>
      <c r="B11753" t="s">
        <v>90</v>
      </c>
      <c r="C11753" t="s">
        <v>607</v>
      </c>
      <c r="D11753">
        <v>1269.1400000000001</v>
      </c>
      <c r="E11753" s="37" t="str">
        <f t="shared" si="915"/>
        <v xml:space="preserve"> </v>
      </c>
      <c r="F11753">
        <v>0.28000000000000003</v>
      </c>
      <c r="G11753" s="37" t="str">
        <f t="shared" si="916"/>
        <v>Normal Discount</v>
      </c>
      <c r="H11753" s="37" t="str">
        <f t="shared" si="917"/>
        <v>Medium</v>
      </c>
      <c r="I11753">
        <v>4</v>
      </c>
      <c r="J11753" t="str" cm="1">
        <f t="array" ref="J11753">_xlfn.IFS(I11753&lt;=3,"small",I11753&lt;=6,"Medium",I11753&lt;=9,"Large")</f>
        <v>Medium</v>
      </c>
      <c r="K11753" s="36">
        <v>45467</v>
      </c>
      <c r="L11753" s="36">
        <v>45469</v>
      </c>
      <c r="M11753" t="s">
        <v>612</v>
      </c>
      <c r="N11753" t="s">
        <v>604</v>
      </c>
      <c r="O11753" s="37" t="str">
        <f t="shared" si="918"/>
        <v>Digital Payment</v>
      </c>
      <c r="P11753">
        <v>160.41</v>
      </c>
      <c r="Q11753" s="37" t="str">
        <f>IF(P11753&gt;500,"High","low")</f>
        <v>low</v>
      </c>
      <c r="R11753" s="37" t="str">
        <f t="shared" si="919"/>
        <v>AVERAGE</v>
      </c>
      <c r="S11753" t="s">
        <v>615</v>
      </c>
    </row>
    <row r="11754" spans="1:19" x14ac:dyDescent="0.2">
      <c r="A11754" t="s">
        <v>12365</v>
      </c>
      <c r="B11754" t="s">
        <v>75</v>
      </c>
      <c r="C11754" t="s">
        <v>602</v>
      </c>
      <c r="D11754">
        <v>380.12</v>
      </c>
      <c r="E11754" s="37" t="str">
        <f t="shared" si="915"/>
        <v xml:space="preserve"> </v>
      </c>
      <c r="F11754">
        <v>0.02</v>
      </c>
      <c r="G11754" s="37" t="str">
        <f t="shared" si="916"/>
        <v>Normal Discount</v>
      </c>
      <c r="H11754" s="37" t="str">
        <f t="shared" si="917"/>
        <v>Low</v>
      </c>
      <c r="I11754">
        <v>5</v>
      </c>
      <c r="J11754" t="str" cm="1">
        <f t="array" ref="J11754">_xlfn.IFS(I11754&lt;=3,"small",I11754&lt;=6,"Medium",I11754&lt;=9,"Large")</f>
        <v>Medium</v>
      </c>
      <c r="K11754" s="36">
        <v>45267</v>
      </c>
      <c r="L11754" s="36">
        <v>45272</v>
      </c>
      <c r="M11754" t="s">
        <v>612</v>
      </c>
      <c r="N11754" t="s">
        <v>604</v>
      </c>
      <c r="O11754" s="37" t="str">
        <f t="shared" si="918"/>
        <v>Digital Payment</v>
      </c>
      <c r="P11754">
        <v>71.48</v>
      </c>
      <c r="Q11754" s="37" t="str">
        <f>IF(P11754&gt;500,"High","low")</f>
        <v>low</v>
      </c>
      <c r="R11754" s="37" t="str">
        <f t="shared" si="919"/>
        <v>AVERAGE</v>
      </c>
      <c r="S11754" t="s">
        <v>609</v>
      </c>
    </row>
    <row r="11755" spans="1:19" x14ac:dyDescent="0.2">
      <c r="A11755" t="s">
        <v>12366</v>
      </c>
      <c r="B11755" t="s">
        <v>67</v>
      </c>
      <c r="C11755" t="s">
        <v>597</v>
      </c>
      <c r="D11755">
        <v>3516.2</v>
      </c>
      <c r="E11755" s="37" t="str">
        <f t="shared" si="915"/>
        <v xml:space="preserve"> </v>
      </c>
      <c r="F11755">
        <v>0.44</v>
      </c>
      <c r="G11755" s="37" t="str">
        <f t="shared" si="916"/>
        <v>Heavy Discount</v>
      </c>
      <c r="H11755" s="37" t="str">
        <f t="shared" si="917"/>
        <v>High</v>
      </c>
      <c r="I11755">
        <v>7</v>
      </c>
      <c r="J11755" t="str" cm="1">
        <f t="array" ref="J11755">_xlfn.IFS(I11755&lt;=3,"small",I11755&lt;=6,"Medium",I11755&lt;=9,"Large")</f>
        <v>Large</v>
      </c>
      <c r="K11755" s="36">
        <v>45173</v>
      </c>
      <c r="L11755" s="36">
        <v>45174</v>
      </c>
      <c r="M11755" t="s">
        <v>603</v>
      </c>
      <c r="N11755" t="s">
        <v>608</v>
      </c>
      <c r="O11755" s="37" t="str">
        <f t="shared" si="918"/>
        <v>Cash Payment</v>
      </c>
      <c r="P11755">
        <v>538.1</v>
      </c>
      <c r="Q11755" s="37" t="str">
        <f>IF(P11755&gt;500,"High","low")</f>
        <v>High</v>
      </c>
      <c r="R11755" s="37" t="str">
        <f t="shared" si="919"/>
        <v>Good</v>
      </c>
      <c r="S11755" t="s">
        <v>615</v>
      </c>
    </row>
    <row r="11756" spans="1:19" x14ac:dyDescent="0.2">
      <c r="A11756" t="s">
        <v>12367</v>
      </c>
      <c r="B11756" t="s">
        <v>75</v>
      </c>
      <c r="C11756" t="s">
        <v>602</v>
      </c>
      <c r="D11756">
        <v>3804.45</v>
      </c>
      <c r="E11756" s="37" t="str">
        <f t="shared" si="915"/>
        <v xml:space="preserve"> </v>
      </c>
      <c r="F11756">
        <v>0.34</v>
      </c>
      <c r="G11756" s="37" t="str">
        <f t="shared" si="916"/>
        <v>Heavy Discount</v>
      </c>
      <c r="H11756" s="37" t="str">
        <f t="shared" si="917"/>
        <v>Medium</v>
      </c>
      <c r="I11756">
        <v>2</v>
      </c>
      <c r="J11756" t="str" cm="1">
        <f t="array" ref="J11756">_xlfn.IFS(I11756&lt;=3,"small",I11756&lt;=6,"Medium",I11756&lt;=9,"Large")</f>
        <v>small</v>
      </c>
      <c r="K11756" s="36">
        <v>45043</v>
      </c>
      <c r="L11756" s="36">
        <v>45045</v>
      </c>
      <c r="M11756" t="s">
        <v>612</v>
      </c>
      <c r="N11756" t="s">
        <v>604</v>
      </c>
      <c r="O11756" s="37" t="str">
        <f t="shared" si="918"/>
        <v>Digital Payment</v>
      </c>
      <c r="P11756">
        <v>462.76</v>
      </c>
      <c r="Q11756" s="37" t="str">
        <f>IF(P11756&gt;500,"High","low")</f>
        <v>low</v>
      </c>
      <c r="R11756" s="37" t="str">
        <f t="shared" si="919"/>
        <v>AVERAGE</v>
      </c>
      <c r="S11756" t="s">
        <v>615</v>
      </c>
    </row>
    <row r="11757" spans="1:19" x14ac:dyDescent="0.2">
      <c r="A11757" t="s">
        <v>12368</v>
      </c>
      <c r="B11757" t="s">
        <v>90</v>
      </c>
      <c r="C11757" t="s">
        <v>614</v>
      </c>
      <c r="D11757">
        <v>3331.22</v>
      </c>
      <c r="E11757" s="37" t="str">
        <f t="shared" si="915"/>
        <v xml:space="preserve"> </v>
      </c>
      <c r="F11757">
        <v>0.13</v>
      </c>
      <c r="G11757" s="37" t="str">
        <f t="shared" si="916"/>
        <v>Normal Discount</v>
      </c>
      <c r="H11757" s="37" t="str">
        <f t="shared" si="917"/>
        <v>Low</v>
      </c>
      <c r="I11757">
        <v>5</v>
      </c>
      <c r="J11757" t="str" cm="1">
        <f t="array" ref="J11757">_xlfn.IFS(I11757&lt;=3,"small",I11757&lt;=6,"Medium",I11757&lt;=9,"Large")</f>
        <v>Medium</v>
      </c>
      <c r="K11757" s="36">
        <v>45308</v>
      </c>
      <c r="L11757" s="36">
        <v>45315</v>
      </c>
      <c r="M11757" t="s">
        <v>603</v>
      </c>
      <c r="N11757" t="s">
        <v>608</v>
      </c>
      <c r="O11757" s="37" t="str">
        <f t="shared" si="918"/>
        <v>Cash Payment</v>
      </c>
      <c r="P11757">
        <v>175.13</v>
      </c>
      <c r="Q11757" s="37" t="str">
        <f>IF(P11757&gt;500,"High","low")</f>
        <v>low</v>
      </c>
      <c r="R11757" s="37" t="str">
        <f t="shared" si="919"/>
        <v>AVERAGE</v>
      </c>
      <c r="S11757" t="s">
        <v>628</v>
      </c>
    </row>
    <row r="11758" spans="1:19" x14ac:dyDescent="0.2">
      <c r="A11758" t="s">
        <v>12369</v>
      </c>
      <c r="B11758" t="s">
        <v>90</v>
      </c>
      <c r="C11758" t="s">
        <v>602</v>
      </c>
      <c r="D11758">
        <v>1889.33</v>
      </c>
      <c r="E11758" s="37" t="str">
        <f t="shared" si="915"/>
        <v xml:space="preserve"> </v>
      </c>
      <c r="F11758">
        <v>0.23</v>
      </c>
      <c r="G11758" s="37" t="str">
        <f t="shared" si="916"/>
        <v>Normal Discount</v>
      </c>
      <c r="H11758" s="37" t="str">
        <f t="shared" si="917"/>
        <v>Medium</v>
      </c>
      <c r="I11758">
        <v>8</v>
      </c>
      <c r="J11758" t="str" cm="1">
        <f t="array" ref="J11758">_xlfn.IFS(I11758&lt;=3,"small",I11758&lt;=6,"Medium",I11758&lt;=9,"Large")</f>
        <v>Large</v>
      </c>
      <c r="K11758" s="36">
        <v>45168</v>
      </c>
      <c r="L11758" s="36">
        <v>45172</v>
      </c>
      <c r="M11758" t="s">
        <v>603</v>
      </c>
      <c r="N11758" t="s">
        <v>604</v>
      </c>
      <c r="O11758" s="37" t="str">
        <f t="shared" si="918"/>
        <v>Digital Payment</v>
      </c>
      <c r="P11758">
        <v>160.12</v>
      </c>
      <c r="Q11758" s="37" t="str">
        <f>IF(P11758&gt;500,"High","low")</f>
        <v>low</v>
      </c>
      <c r="R11758" s="37" t="str">
        <f t="shared" si="919"/>
        <v>AVERAGE</v>
      </c>
      <c r="S11758" t="s">
        <v>605</v>
      </c>
    </row>
    <row r="11759" spans="1:19" x14ac:dyDescent="0.2">
      <c r="A11759" t="s">
        <v>12370</v>
      </c>
      <c r="B11759" t="s">
        <v>75</v>
      </c>
      <c r="C11759" t="s">
        <v>602</v>
      </c>
      <c r="D11759">
        <v>2603.92</v>
      </c>
      <c r="E11759" s="37" t="str">
        <f t="shared" si="915"/>
        <v xml:space="preserve"> </v>
      </c>
      <c r="F11759">
        <v>0.37</v>
      </c>
      <c r="G11759" s="37" t="str">
        <f t="shared" si="916"/>
        <v>Heavy Discount</v>
      </c>
      <c r="H11759" s="37" t="str">
        <f t="shared" si="917"/>
        <v>Medium</v>
      </c>
      <c r="I11759">
        <v>1</v>
      </c>
      <c r="J11759" t="str" cm="1">
        <f t="array" ref="J11759">_xlfn.IFS(I11759&lt;=3,"small",I11759&lt;=6,"Medium",I11759&lt;=9,"Large")</f>
        <v>small</v>
      </c>
      <c r="K11759" s="36">
        <v>45263</v>
      </c>
      <c r="L11759" s="36">
        <v>45267</v>
      </c>
      <c r="M11759" t="s">
        <v>598</v>
      </c>
      <c r="N11759" t="s">
        <v>608</v>
      </c>
      <c r="O11759" s="37" t="str">
        <f t="shared" si="918"/>
        <v>Cash Payment</v>
      </c>
      <c r="P11759">
        <v>658.21</v>
      </c>
      <c r="Q11759" s="37" t="str">
        <f>IF(P11759&gt;500,"High","low")</f>
        <v>High</v>
      </c>
      <c r="R11759" s="37" t="str">
        <f t="shared" si="919"/>
        <v>Good</v>
      </c>
      <c r="S11759" t="s">
        <v>600</v>
      </c>
    </row>
    <row r="11760" spans="1:19" x14ac:dyDescent="0.2">
      <c r="A11760" t="s">
        <v>12371</v>
      </c>
      <c r="B11760" t="s">
        <v>90</v>
      </c>
      <c r="C11760" t="s">
        <v>597</v>
      </c>
      <c r="D11760">
        <v>4681.24</v>
      </c>
      <c r="E11760" s="37" t="str">
        <f t="shared" si="915"/>
        <v xml:space="preserve"> </v>
      </c>
      <c r="F11760">
        <v>0.46</v>
      </c>
      <c r="G11760" s="37" t="str">
        <f t="shared" si="916"/>
        <v>Heavy Discount</v>
      </c>
      <c r="H11760" s="37" t="str">
        <f t="shared" si="917"/>
        <v>High</v>
      </c>
      <c r="I11760">
        <v>8</v>
      </c>
      <c r="J11760" t="str" cm="1">
        <f t="array" ref="J11760">_xlfn.IFS(I11760&lt;=3,"small",I11760&lt;=6,"Medium",I11760&lt;=9,"Large")</f>
        <v>Large</v>
      </c>
      <c r="K11760" s="36">
        <v>45173</v>
      </c>
      <c r="L11760" s="36">
        <v>45174</v>
      </c>
      <c r="M11760" t="s">
        <v>603</v>
      </c>
      <c r="N11760" t="s">
        <v>604</v>
      </c>
      <c r="O11760" s="37" t="str">
        <f t="shared" si="918"/>
        <v>Digital Payment</v>
      </c>
      <c r="P11760">
        <v>395.59</v>
      </c>
      <c r="Q11760" s="37" t="str">
        <f>IF(P11760&gt;500,"High","low")</f>
        <v>low</v>
      </c>
      <c r="R11760" s="37" t="str">
        <f t="shared" si="919"/>
        <v>AVERAGE</v>
      </c>
      <c r="S11760" t="s">
        <v>620</v>
      </c>
    </row>
    <row r="11761" spans="1:19" x14ac:dyDescent="0.2">
      <c r="A11761" t="s">
        <v>12372</v>
      </c>
      <c r="B11761" t="s">
        <v>83</v>
      </c>
      <c r="C11761" t="s">
        <v>597</v>
      </c>
      <c r="D11761">
        <v>3675.09</v>
      </c>
      <c r="E11761" s="37" t="str">
        <f t="shared" si="915"/>
        <v xml:space="preserve"> </v>
      </c>
      <c r="F11761">
        <v>0.44</v>
      </c>
      <c r="G11761" s="37" t="str">
        <f t="shared" si="916"/>
        <v>Heavy Discount</v>
      </c>
      <c r="H11761" s="37" t="str">
        <f t="shared" si="917"/>
        <v>High</v>
      </c>
      <c r="I11761">
        <v>2</v>
      </c>
      <c r="J11761" t="str" cm="1">
        <f t="array" ref="J11761">_xlfn.IFS(I11761&lt;=3,"small",I11761&lt;=6,"Medium",I11761&lt;=9,"Large")</f>
        <v>small</v>
      </c>
      <c r="K11761" s="36">
        <v>45587</v>
      </c>
      <c r="L11761" s="36">
        <v>45592</v>
      </c>
      <c r="M11761" t="s">
        <v>603</v>
      </c>
      <c r="N11761" t="s">
        <v>599</v>
      </c>
      <c r="O11761" s="37" t="str">
        <f t="shared" si="918"/>
        <v>Digital Payment</v>
      </c>
      <c r="P11761">
        <v>1015.87</v>
      </c>
      <c r="Q11761" s="37" t="str">
        <f>IF(P11761&gt;500,"High","low")</f>
        <v>High</v>
      </c>
      <c r="R11761" s="37" t="str">
        <f t="shared" si="919"/>
        <v>Excellent</v>
      </c>
      <c r="S11761" t="s">
        <v>628</v>
      </c>
    </row>
    <row r="11762" spans="1:19" x14ac:dyDescent="0.2">
      <c r="A11762" t="s">
        <v>12373</v>
      </c>
      <c r="B11762" t="s">
        <v>83</v>
      </c>
      <c r="C11762" t="s">
        <v>617</v>
      </c>
      <c r="D11762">
        <v>2572.9499999999998</v>
      </c>
      <c r="E11762" s="37" t="str">
        <f t="shared" si="915"/>
        <v xml:space="preserve"> </v>
      </c>
      <c r="F11762">
        <v>0.03</v>
      </c>
      <c r="G11762" s="37" t="str">
        <f t="shared" si="916"/>
        <v>Normal Discount</v>
      </c>
      <c r="H11762" s="37" t="str">
        <f t="shared" si="917"/>
        <v>Low</v>
      </c>
      <c r="I11762">
        <v>4</v>
      </c>
      <c r="J11762" t="str" cm="1">
        <f t="array" ref="J11762">_xlfn.IFS(I11762&lt;=3,"small",I11762&lt;=6,"Medium",I11762&lt;=9,"Large")</f>
        <v>Medium</v>
      </c>
      <c r="K11762" s="36">
        <v>45337</v>
      </c>
      <c r="L11762" s="36">
        <v>45339</v>
      </c>
      <c r="M11762" t="s">
        <v>603</v>
      </c>
      <c r="N11762" t="s">
        <v>604</v>
      </c>
      <c r="O11762" s="37" t="str">
        <f t="shared" si="918"/>
        <v>Digital Payment</v>
      </c>
      <c r="P11762">
        <v>303.52</v>
      </c>
      <c r="Q11762" s="37" t="str">
        <f>IF(P11762&gt;500,"High","low")</f>
        <v>low</v>
      </c>
      <c r="R11762" s="37" t="str">
        <f t="shared" si="919"/>
        <v>AVERAGE</v>
      </c>
      <c r="S11762" t="s">
        <v>600</v>
      </c>
    </row>
    <row r="11763" spans="1:19" x14ac:dyDescent="0.2">
      <c r="A11763" t="s">
        <v>12374</v>
      </c>
      <c r="B11763" t="s">
        <v>75</v>
      </c>
      <c r="C11763" t="s">
        <v>597</v>
      </c>
      <c r="D11763">
        <v>3007.9</v>
      </c>
      <c r="E11763" s="37" t="str">
        <f t="shared" si="915"/>
        <v xml:space="preserve"> </v>
      </c>
      <c r="F11763">
        <v>0.04</v>
      </c>
      <c r="G11763" s="37" t="str">
        <f t="shared" si="916"/>
        <v>Normal Discount</v>
      </c>
      <c r="H11763" s="37" t="str">
        <f t="shared" si="917"/>
        <v>Low</v>
      </c>
      <c r="I11763">
        <v>3</v>
      </c>
      <c r="J11763" t="str" cm="1">
        <f t="array" ref="J11763">_xlfn.IFS(I11763&lt;=3,"small",I11763&lt;=6,"Medium",I11763&lt;=9,"Large")</f>
        <v>small</v>
      </c>
      <c r="K11763" s="36">
        <v>45022</v>
      </c>
      <c r="L11763" s="36">
        <v>45026</v>
      </c>
      <c r="M11763" t="s">
        <v>612</v>
      </c>
      <c r="N11763" t="s">
        <v>608</v>
      </c>
      <c r="O11763" s="37" t="str">
        <f t="shared" si="918"/>
        <v>Cash Payment</v>
      </c>
      <c r="P11763">
        <v>498.63</v>
      </c>
      <c r="Q11763" s="37" t="str">
        <f>IF(P11763&gt;500,"High","low")</f>
        <v>low</v>
      </c>
      <c r="R11763" s="37" t="str">
        <f t="shared" si="919"/>
        <v>AVERAGE</v>
      </c>
      <c r="S11763" t="s">
        <v>628</v>
      </c>
    </row>
    <row r="11764" spans="1:19" x14ac:dyDescent="0.2">
      <c r="A11764" t="s">
        <v>12375</v>
      </c>
      <c r="B11764" t="s">
        <v>83</v>
      </c>
      <c r="C11764" t="s">
        <v>602</v>
      </c>
      <c r="D11764">
        <v>4645.6499999999996</v>
      </c>
      <c r="E11764" s="37" t="str">
        <f t="shared" si="915"/>
        <v>Excellent Order</v>
      </c>
      <c r="F11764">
        <v>0.3</v>
      </c>
      <c r="G11764" s="37" t="str">
        <f t="shared" si="916"/>
        <v>Normal Discount</v>
      </c>
      <c r="H11764" s="37" t="str">
        <f t="shared" si="917"/>
        <v>Medium</v>
      </c>
      <c r="I11764">
        <v>2</v>
      </c>
      <c r="J11764" t="str" cm="1">
        <f t="array" ref="J11764">_xlfn.IFS(I11764&lt;=3,"small",I11764&lt;=6,"Medium",I11764&lt;=9,"Large")</f>
        <v>small</v>
      </c>
      <c r="K11764" s="36">
        <v>45032</v>
      </c>
      <c r="L11764" s="36">
        <v>45036</v>
      </c>
      <c r="M11764" t="s">
        <v>598</v>
      </c>
      <c r="N11764" t="s">
        <v>608</v>
      </c>
      <c r="O11764" s="37" t="str">
        <f t="shared" si="918"/>
        <v>Cash Payment</v>
      </c>
      <c r="P11764">
        <v>1237.52</v>
      </c>
      <c r="Q11764" s="37" t="str">
        <f>IF(P11764&gt;500,"High","low")</f>
        <v>High</v>
      </c>
      <c r="R11764" s="37" t="str">
        <f t="shared" si="919"/>
        <v>Excellent</v>
      </c>
      <c r="S11764" t="s">
        <v>628</v>
      </c>
    </row>
    <row r="11765" spans="1:19" x14ac:dyDescent="0.2">
      <c r="A11765" t="s">
        <v>12376</v>
      </c>
      <c r="B11765" t="s">
        <v>83</v>
      </c>
      <c r="C11765" t="s">
        <v>614</v>
      </c>
      <c r="D11765">
        <v>2029.53</v>
      </c>
      <c r="E11765" s="37" t="str">
        <f t="shared" si="915"/>
        <v xml:space="preserve"> </v>
      </c>
      <c r="F11765">
        <v>0.25</v>
      </c>
      <c r="G11765" s="37" t="str">
        <f t="shared" si="916"/>
        <v>Normal Discount</v>
      </c>
      <c r="H11765" s="37" t="str">
        <f t="shared" si="917"/>
        <v>Medium</v>
      </c>
      <c r="I11765">
        <v>2</v>
      </c>
      <c r="J11765" t="str" cm="1">
        <f t="array" ref="J11765">_xlfn.IFS(I11765&lt;=3,"small",I11765&lt;=6,"Medium",I11765&lt;=9,"Large")</f>
        <v>small</v>
      </c>
      <c r="K11765" s="36">
        <v>45147</v>
      </c>
      <c r="L11765" s="36">
        <v>45152</v>
      </c>
      <c r="M11765" t="s">
        <v>598</v>
      </c>
      <c r="N11765" t="s">
        <v>599</v>
      </c>
      <c r="O11765" s="37" t="str">
        <f t="shared" si="918"/>
        <v>Digital Payment</v>
      </c>
      <c r="P11765">
        <v>277.52</v>
      </c>
      <c r="Q11765" s="37" t="str">
        <f>IF(P11765&gt;500,"High","low")</f>
        <v>low</v>
      </c>
      <c r="R11765" s="37" t="str">
        <f t="shared" si="919"/>
        <v>AVERAGE</v>
      </c>
      <c r="S11765" t="s">
        <v>615</v>
      </c>
    </row>
    <row r="11766" spans="1:19" x14ac:dyDescent="0.2">
      <c r="A11766" t="s">
        <v>12377</v>
      </c>
      <c r="B11766" t="s">
        <v>67</v>
      </c>
      <c r="C11766" t="s">
        <v>597</v>
      </c>
      <c r="D11766">
        <v>599.03</v>
      </c>
      <c r="E11766" s="37" t="str">
        <f t="shared" si="915"/>
        <v xml:space="preserve"> </v>
      </c>
      <c r="F11766">
        <v>0.15</v>
      </c>
      <c r="G11766" s="37" t="str">
        <f t="shared" si="916"/>
        <v>Normal Discount</v>
      </c>
      <c r="H11766" s="37" t="str">
        <f t="shared" si="917"/>
        <v>Low</v>
      </c>
      <c r="I11766">
        <v>6</v>
      </c>
      <c r="J11766" t="str" cm="1">
        <f t="array" ref="J11766">_xlfn.IFS(I11766&lt;=3,"small",I11766&lt;=6,"Medium",I11766&lt;=9,"Large")</f>
        <v>Medium</v>
      </c>
      <c r="K11766" s="36">
        <v>45101</v>
      </c>
      <c r="L11766" s="36">
        <v>45108</v>
      </c>
      <c r="M11766" t="s">
        <v>598</v>
      </c>
      <c r="N11766" t="s">
        <v>608</v>
      </c>
      <c r="O11766" s="37" t="str">
        <f t="shared" si="918"/>
        <v>Cash Payment</v>
      </c>
      <c r="P11766">
        <v>64.39</v>
      </c>
      <c r="Q11766" s="37" t="str">
        <f>IF(P11766&gt;500,"High","low")</f>
        <v>low</v>
      </c>
      <c r="R11766" s="37" t="str">
        <f t="shared" si="919"/>
        <v>AVERAGE</v>
      </c>
      <c r="S11766" t="s">
        <v>600</v>
      </c>
    </row>
    <row r="11767" spans="1:19" x14ac:dyDescent="0.2">
      <c r="A11767" t="s">
        <v>12378</v>
      </c>
      <c r="B11767" t="s">
        <v>75</v>
      </c>
      <c r="C11767" t="s">
        <v>617</v>
      </c>
      <c r="D11767">
        <v>1696.55</v>
      </c>
      <c r="E11767" s="37" t="str">
        <f t="shared" si="915"/>
        <v xml:space="preserve"> </v>
      </c>
      <c r="F11767">
        <v>0.49</v>
      </c>
      <c r="G11767" s="37" t="str">
        <f t="shared" si="916"/>
        <v>Heavy Discount</v>
      </c>
      <c r="H11767" s="37" t="str">
        <f t="shared" si="917"/>
        <v>High</v>
      </c>
      <c r="I11767">
        <v>3</v>
      </c>
      <c r="J11767" t="str" cm="1">
        <f t="array" ref="J11767">_xlfn.IFS(I11767&lt;=3,"small",I11767&lt;=6,"Medium",I11767&lt;=9,"Large")</f>
        <v>small</v>
      </c>
      <c r="K11767" s="36">
        <v>45403</v>
      </c>
      <c r="L11767" s="36">
        <v>45404</v>
      </c>
      <c r="M11767" t="s">
        <v>612</v>
      </c>
      <c r="N11767" t="s">
        <v>599</v>
      </c>
      <c r="O11767" s="37" t="str">
        <f t="shared" si="918"/>
        <v>Digital Payment</v>
      </c>
      <c r="P11767">
        <v>98.15</v>
      </c>
      <c r="Q11767" s="37" t="str">
        <f>IF(P11767&gt;500,"High","low")</f>
        <v>low</v>
      </c>
      <c r="R11767" s="37" t="str">
        <f t="shared" si="919"/>
        <v>AVERAGE</v>
      </c>
      <c r="S11767" t="s">
        <v>620</v>
      </c>
    </row>
    <row r="11768" spans="1:19" x14ac:dyDescent="0.2">
      <c r="A11768" t="s">
        <v>12379</v>
      </c>
      <c r="B11768" t="s">
        <v>90</v>
      </c>
      <c r="C11768" t="s">
        <v>617</v>
      </c>
      <c r="D11768">
        <v>2134.48</v>
      </c>
      <c r="E11768" s="37" t="str">
        <f t="shared" si="915"/>
        <v xml:space="preserve"> </v>
      </c>
      <c r="F11768">
        <v>0.37</v>
      </c>
      <c r="G11768" s="37" t="str">
        <f t="shared" si="916"/>
        <v>Heavy Discount</v>
      </c>
      <c r="H11768" s="37" t="str">
        <f t="shared" si="917"/>
        <v>Medium</v>
      </c>
      <c r="I11768">
        <v>4</v>
      </c>
      <c r="J11768" t="str" cm="1">
        <f t="array" ref="J11768">_xlfn.IFS(I11768&lt;=3,"small",I11768&lt;=6,"Medium",I11768&lt;=9,"Large")</f>
        <v>Medium</v>
      </c>
      <c r="K11768" s="36">
        <v>45464</v>
      </c>
      <c r="L11768" s="36">
        <v>45465</v>
      </c>
      <c r="M11768" t="s">
        <v>598</v>
      </c>
      <c r="N11768" t="s">
        <v>608</v>
      </c>
      <c r="O11768" s="37" t="str">
        <f t="shared" si="918"/>
        <v>Cash Payment</v>
      </c>
      <c r="P11768">
        <v>614.27</v>
      </c>
      <c r="Q11768" s="37" t="str">
        <f>IF(P11768&gt;500,"High","low")</f>
        <v>High</v>
      </c>
      <c r="R11768" s="37" t="str">
        <f t="shared" si="919"/>
        <v>Good</v>
      </c>
      <c r="S11768" t="s">
        <v>609</v>
      </c>
    </row>
    <row r="11769" spans="1:19" x14ac:dyDescent="0.2">
      <c r="A11769" t="s">
        <v>12380</v>
      </c>
      <c r="B11769" t="s">
        <v>75</v>
      </c>
      <c r="C11769" t="s">
        <v>602</v>
      </c>
      <c r="D11769">
        <v>1437.52</v>
      </c>
      <c r="E11769" s="37" t="str">
        <f t="shared" si="915"/>
        <v xml:space="preserve"> </v>
      </c>
      <c r="F11769">
        <v>0.34</v>
      </c>
      <c r="G11769" s="37" t="str">
        <f t="shared" si="916"/>
        <v>Heavy Discount</v>
      </c>
      <c r="H11769" s="37" t="str">
        <f t="shared" si="917"/>
        <v>Medium</v>
      </c>
      <c r="I11769">
        <v>4</v>
      </c>
      <c r="J11769" t="str" cm="1">
        <f t="array" ref="J11769">_xlfn.IFS(I11769&lt;=3,"small",I11769&lt;=6,"Medium",I11769&lt;=9,"Large")</f>
        <v>Medium</v>
      </c>
      <c r="K11769" s="36">
        <v>45529</v>
      </c>
      <c r="L11769" s="36">
        <v>45530</v>
      </c>
      <c r="M11769" t="s">
        <v>612</v>
      </c>
      <c r="N11769" t="s">
        <v>604</v>
      </c>
      <c r="O11769" s="37" t="str">
        <f t="shared" si="918"/>
        <v>Digital Payment</v>
      </c>
      <c r="P11769">
        <v>217.29</v>
      </c>
      <c r="Q11769" s="37" t="str">
        <f>IF(P11769&gt;500,"High","low")</f>
        <v>low</v>
      </c>
      <c r="R11769" s="37" t="str">
        <f t="shared" si="919"/>
        <v>AVERAGE</v>
      </c>
      <c r="S11769" t="s">
        <v>615</v>
      </c>
    </row>
    <row r="11770" spans="1:19" x14ac:dyDescent="0.2">
      <c r="A11770" t="s">
        <v>12381</v>
      </c>
      <c r="B11770" t="s">
        <v>83</v>
      </c>
      <c r="C11770" t="s">
        <v>597</v>
      </c>
      <c r="D11770">
        <v>2691.96</v>
      </c>
      <c r="E11770" s="37" t="str">
        <f t="shared" si="915"/>
        <v xml:space="preserve"> </v>
      </c>
      <c r="F11770">
        <v>0.09</v>
      </c>
      <c r="G11770" s="37" t="str">
        <f t="shared" si="916"/>
        <v>Normal Discount</v>
      </c>
      <c r="H11770" s="37" t="str">
        <f t="shared" si="917"/>
        <v>Low</v>
      </c>
      <c r="I11770">
        <v>2</v>
      </c>
      <c r="J11770" t="str" cm="1">
        <f t="array" ref="J11770">_xlfn.IFS(I11770&lt;=3,"small",I11770&lt;=6,"Medium",I11770&lt;=9,"Large")</f>
        <v>small</v>
      </c>
      <c r="K11770" s="36">
        <v>45305</v>
      </c>
      <c r="L11770" s="36">
        <v>45309</v>
      </c>
      <c r="M11770" t="s">
        <v>598</v>
      </c>
      <c r="N11770" t="s">
        <v>604</v>
      </c>
      <c r="O11770" s="37" t="str">
        <f t="shared" si="918"/>
        <v>Digital Payment</v>
      </c>
      <c r="P11770">
        <v>733.36</v>
      </c>
      <c r="Q11770" s="37" t="str">
        <f>IF(P11770&gt;500,"High","low")</f>
        <v>High</v>
      </c>
      <c r="R11770" s="37" t="str">
        <f t="shared" si="919"/>
        <v>Good</v>
      </c>
      <c r="S11770" t="s">
        <v>628</v>
      </c>
    </row>
    <row r="11771" spans="1:19" x14ac:dyDescent="0.2">
      <c r="A11771" t="s">
        <v>12382</v>
      </c>
      <c r="B11771" t="s">
        <v>67</v>
      </c>
      <c r="C11771" t="s">
        <v>597</v>
      </c>
      <c r="D11771">
        <v>1593.8</v>
      </c>
      <c r="E11771" s="37" t="str">
        <f t="shared" si="915"/>
        <v xml:space="preserve"> </v>
      </c>
      <c r="F11771">
        <v>0.14000000000000001</v>
      </c>
      <c r="G11771" s="37" t="str">
        <f t="shared" si="916"/>
        <v>Normal Discount</v>
      </c>
      <c r="H11771" s="37" t="str">
        <f t="shared" si="917"/>
        <v>Low</v>
      </c>
      <c r="I11771">
        <v>4</v>
      </c>
      <c r="J11771" t="str" cm="1">
        <f t="array" ref="J11771">_xlfn.IFS(I11771&lt;=3,"small",I11771&lt;=6,"Medium",I11771&lt;=9,"Large")</f>
        <v>Medium</v>
      </c>
      <c r="K11771" s="36">
        <v>45322</v>
      </c>
      <c r="L11771" s="36">
        <v>45329</v>
      </c>
      <c r="M11771" t="s">
        <v>598</v>
      </c>
      <c r="N11771" t="s">
        <v>608</v>
      </c>
      <c r="O11771" s="37" t="str">
        <f t="shared" si="918"/>
        <v>Cash Payment</v>
      </c>
      <c r="P11771">
        <v>253.27</v>
      </c>
      <c r="Q11771" s="37" t="str">
        <f>IF(P11771&gt;500,"High","low")</f>
        <v>low</v>
      </c>
      <c r="R11771" s="37" t="str">
        <f t="shared" si="919"/>
        <v>AVERAGE</v>
      </c>
      <c r="S11771" t="s">
        <v>605</v>
      </c>
    </row>
    <row r="11772" spans="1:19" x14ac:dyDescent="0.2">
      <c r="A11772" t="s">
        <v>12383</v>
      </c>
      <c r="B11772" t="s">
        <v>75</v>
      </c>
      <c r="C11772" t="s">
        <v>617</v>
      </c>
      <c r="D11772">
        <v>605.58000000000004</v>
      </c>
      <c r="E11772" s="37" t="str">
        <f t="shared" si="915"/>
        <v xml:space="preserve"> </v>
      </c>
      <c r="F11772">
        <v>0.3</v>
      </c>
      <c r="G11772" s="37" t="str">
        <f t="shared" si="916"/>
        <v>Normal Discount</v>
      </c>
      <c r="H11772" s="37" t="str">
        <f t="shared" si="917"/>
        <v>Medium</v>
      </c>
      <c r="I11772">
        <v>2</v>
      </c>
      <c r="J11772" t="str" cm="1">
        <f t="array" ref="J11772">_xlfn.IFS(I11772&lt;=3,"small",I11772&lt;=6,"Medium",I11772&lt;=9,"Large")</f>
        <v>small</v>
      </c>
      <c r="K11772" s="36">
        <v>45454</v>
      </c>
      <c r="L11772" s="36">
        <v>45461</v>
      </c>
      <c r="M11772" t="s">
        <v>598</v>
      </c>
      <c r="N11772" t="s">
        <v>599</v>
      </c>
      <c r="O11772" s="37" t="str">
        <f t="shared" si="918"/>
        <v>Digital Payment</v>
      </c>
      <c r="P11772">
        <v>163.88</v>
      </c>
      <c r="Q11772" s="37" t="str">
        <f>IF(P11772&gt;500,"High","low")</f>
        <v>low</v>
      </c>
      <c r="R11772" s="37" t="str">
        <f t="shared" si="919"/>
        <v>AVERAGE</v>
      </c>
      <c r="S11772" t="s">
        <v>609</v>
      </c>
    </row>
    <row r="11773" spans="1:19" x14ac:dyDescent="0.2">
      <c r="A11773" t="s">
        <v>12384</v>
      </c>
      <c r="B11773" t="s">
        <v>75</v>
      </c>
      <c r="C11773" t="s">
        <v>597</v>
      </c>
      <c r="D11773">
        <v>1021.54</v>
      </c>
      <c r="E11773" s="37" t="str">
        <f t="shared" si="915"/>
        <v xml:space="preserve"> </v>
      </c>
      <c r="F11773">
        <v>0.4</v>
      </c>
      <c r="G11773" s="37" t="str">
        <f t="shared" si="916"/>
        <v>Heavy Discount</v>
      </c>
      <c r="H11773" s="37" t="str">
        <f t="shared" si="917"/>
        <v>Medium</v>
      </c>
      <c r="I11773">
        <v>4</v>
      </c>
      <c r="J11773" t="str" cm="1">
        <f t="array" ref="J11773">_xlfn.IFS(I11773&lt;=3,"small",I11773&lt;=6,"Medium",I11773&lt;=9,"Large")</f>
        <v>Medium</v>
      </c>
      <c r="K11773" s="36">
        <v>44982</v>
      </c>
      <c r="L11773" s="36">
        <v>44986</v>
      </c>
      <c r="M11773" t="s">
        <v>603</v>
      </c>
      <c r="N11773" t="s">
        <v>608</v>
      </c>
      <c r="O11773" s="37" t="str">
        <f t="shared" si="918"/>
        <v>Cash Payment</v>
      </c>
      <c r="P11773">
        <v>77.59</v>
      </c>
      <c r="Q11773" s="37" t="str">
        <f>IF(P11773&gt;500,"High","low")</f>
        <v>low</v>
      </c>
      <c r="R11773" s="37" t="str">
        <f t="shared" si="919"/>
        <v>AVERAGE</v>
      </c>
      <c r="S11773" t="s">
        <v>628</v>
      </c>
    </row>
    <row r="11774" spans="1:19" x14ac:dyDescent="0.2">
      <c r="A11774" t="s">
        <v>12385</v>
      </c>
      <c r="B11774" t="s">
        <v>83</v>
      </c>
      <c r="C11774" t="s">
        <v>602</v>
      </c>
      <c r="D11774">
        <v>4598.96</v>
      </c>
      <c r="E11774" s="37" t="str">
        <f t="shared" si="915"/>
        <v xml:space="preserve"> </v>
      </c>
      <c r="F11774">
        <v>0.47</v>
      </c>
      <c r="G11774" s="37" t="str">
        <f t="shared" si="916"/>
        <v>Heavy Discount</v>
      </c>
      <c r="H11774" s="37" t="str">
        <f t="shared" si="917"/>
        <v>High</v>
      </c>
      <c r="I11774">
        <v>8</v>
      </c>
      <c r="J11774" t="str" cm="1">
        <f t="array" ref="J11774">_xlfn.IFS(I11774&lt;=3,"small",I11774&lt;=6,"Medium",I11774&lt;=9,"Large")</f>
        <v>Large</v>
      </c>
      <c r="K11774" s="36">
        <v>45489</v>
      </c>
      <c r="L11774" s="36">
        <v>45496</v>
      </c>
      <c r="M11774" t="s">
        <v>603</v>
      </c>
      <c r="N11774" t="s">
        <v>604</v>
      </c>
      <c r="O11774" s="37" t="str">
        <f t="shared" si="918"/>
        <v>Digital Payment</v>
      </c>
      <c r="P11774">
        <v>736.93</v>
      </c>
      <c r="Q11774" s="37" t="str">
        <f>IF(P11774&gt;500,"High","low")</f>
        <v>High</v>
      </c>
      <c r="R11774" s="37" t="str">
        <f t="shared" si="919"/>
        <v>Good</v>
      </c>
      <c r="S11774" t="s">
        <v>615</v>
      </c>
    </row>
    <row r="11775" spans="1:19" x14ac:dyDescent="0.2">
      <c r="A11775" t="s">
        <v>12386</v>
      </c>
      <c r="B11775" t="s">
        <v>83</v>
      </c>
      <c r="C11775" t="s">
        <v>614</v>
      </c>
      <c r="D11775">
        <v>3185.02</v>
      </c>
      <c r="E11775" s="37" t="str">
        <f t="shared" si="915"/>
        <v xml:space="preserve"> </v>
      </c>
      <c r="F11775">
        <v>0.35</v>
      </c>
      <c r="G11775" s="37" t="str">
        <f t="shared" si="916"/>
        <v>Heavy Discount</v>
      </c>
      <c r="H11775" s="37" t="str">
        <f t="shared" si="917"/>
        <v>Medium</v>
      </c>
      <c r="I11775">
        <v>9</v>
      </c>
      <c r="J11775" t="str" cm="1">
        <f t="array" ref="J11775">_xlfn.IFS(I11775&lt;=3,"small",I11775&lt;=6,"Medium",I11775&lt;=9,"Large")</f>
        <v>Large</v>
      </c>
      <c r="K11775" s="36">
        <v>45413</v>
      </c>
      <c r="L11775" s="36">
        <v>45417</v>
      </c>
      <c r="M11775" t="s">
        <v>612</v>
      </c>
      <c r="N11775" t="s">
        <v>608</v>
      </c>
      <c r="O11775" s="37" t="str">
        <f t="shared" si="918"/>
        <v>Cash Payment</v>
      </c>
      <c r="P11775">
        <v>511.99</v>
      </c>
      <c r="Q11775" s="37" t="str">
        <f>IF(P11775&gt;500,"High","low")</f>
        <v>High</v>
      </c>
      <c r="R11775" s="37" t="str">
        <f t="shared" si="919"/>
        <v>Good</v>
      </c>
      <c r="S11775" t="s">
        <v>628</v>
      </c>
    </row>
    <row r="11776" spans="1:19" x14ac:dyDescent="0.2">
      <c r="A11776" t="s">
        <v>12387</v>
      </c>
      <c r="B11776" t="s">
        <v>75</v>
      </c>
      <c r="C11776" t="s">
        <v>602</v>
      </c>
      <c r="D11776">
        <v>1640.11</v>
      </c>
      <c r="E11776" s="37" t="str">
        <f t="shared" si="915"/>
        <v xml:space="preserve"> </v>
      </c>
      <c r="F11776">
        <v>0.21</v>
      </c>
      <c r="G11776" s="37" t="str">
        <f t="shared" si="916"/>
        <v>Normal Discount</v>
      </c>
      <c r="H11776" s="37" t="str">
        <f t="shared" si="917"/>
        <v>Medium</v>
      </c>
      <c r="I11776">
        <v>4</v>
      </c>
      <c r="J11776" t="str" cm="1">
        <f t="array" ref="J11776">_xlfn.IFS(I11776&lt;=3,"small",I11776&lt;=6,"Medium",I11776&lt;=9,"Large")</f>
        <v>Medium</v>
      </c>
      <c r="K11776" s="36">
        <v>45209</v>
      </c>
      <c r="L11776" s="36">
        <v>45215</v>
      </c>
      <c r="M11776" t="s">
        <v>603</v>
      </c>
      <c r="N11776" t="s">
        <v>604</v>
      </c>
      <c r="O11776" s="37" t="str">
        <f t="shared" si="918"/>
        <v>Digital Payment</v>
      </c>
      <c r="P11776">
        <v>481.19</v>
      </c>
      <c r="Q11776" s="37" t="str">
        <f>IF(P11776&gt;500,"High","low")</f>
        <v>low</v>
      </c>
      <c r="R11776" s="37" t="str">
        <f t="shared" si="919"/>
        <v>AVERAGE</v>
      </c>
      <c r="S11776" t="s">
        <v>615</v>
      </c>
    </row>
    <row r="11777" spans="1:19" x14ac:dyDescent="0.2">
      <c r="A11777" t="s">
        <v>12388</v>
      </c>
      <c r="B11777" t="s">
        <v>83</v>
      </c>
      <c r="C11777" t="s">
        <v>597</v>
      </c>
      <c r="D11777">
        <v>1897.9</v>
      </c>
      <c r="E11777" s="37" t="str">
        <f t="shared" si="915"/>
        <v xml:space="preserve"> </v>
      </c>
      <c r="F11777">
        <v>0.35</v>
      </c>
      <c r="G11777" s="37" t="str">
        <f t="shared" si="916"/>
        <v>Heavy Discount</v>
      </c>
      <c r="H11777" s="37" t="str">
        <f t="shared" si="917"/>
        <v>Medium</v>
      </c>
      <c r="I11777">
        <v>4</v>
      </c>
      <c r="J11777" t="str" cm="1">
        <f t="array" ref="J11777">_xlfn.IFS(I11777&lt;=3,"small",I11777&lt;=6,"Medium",I11777&lt;=9,"Large")</f>
        <v>Medium</v>
      </c>
      <c r="K11777" s="36">
        <v>45383</v>
      </c>
      <c r="L11777" s="36">
        <v>45389</v>
      </c>
      <c r="M11777" t="s">
        <v>612</v>
      </c>
      <c r="N11777" t="s">
        <v>604</v>
      </c>
      <c r="O11777" s="37" t="str">
        <f t="shared" si="918"/>
        <v>Digital Payment</v>
      </c>
      <c r="P11777">
        <v>328.86</v>
      </c>
      <c r="Q11777" s="37" t="str">
        <f>IF(P11777&gt;500,"High","low")</f>
        <v>low</v>
      </c>
      <c r="R11777" s="37" t="str">
        <f t="shared" si="919"/>
        <v>AVERAGE</v>
      </c>
      <c r="S11777" t="s">
        <v>628</v>
      </c>
    </row>
    <row r="11778" spans="1:19" x14ac:dyDescent="0.2">
      <c r="A11778" t="s">
        <v>12389</v>
      </c>
      <c r="B11778" t="s">
        <v>83</v>
      </c>
      <c r="C11778" t="s">
        <v>602</v>
      </c>
      <c r="D11778">
        <v>2517.58</v>
      </c>
      <c r="E11778" s="37" t="str">
        <f t="shared" si="915"/>
        <v xml:space="preserve"> </v>
      </c>
      <c r="F11778">
        <v>0.03</v>
      </c>
      <c r="G11778" s="37" t="str">
        <f t="shared" si="916"/>
        <v>Normal Discount</v>
      </c>
      <c r="H11778" s="37" t="str">
        <f t="shared" si="917"/>
        <v>Low</v>
      </c>
      <c r="I11778">
        <v>7</v>
      </c>
      <c r="J11778" t="str" cm="1">
        <f t="array" ref="J11778">_xlfn.IFS(I11778&lt;=3,"small",I11778&lt;=6,"Medium",I11778&lt;=9,"Large")</f>
        <v>Large</v>
      </c>
      <c r="K11778" s="36">
        <v>45548</v>
      </c>
      <c r="L11778" s="36">
        <v>45552</v>
      </c>
      <c r="M11778" t="s">
        <v>612</v>
      </c>
      <c r="N11778" t="s">
        <v>604</v>
      </c>
      <c r="O11778" s="37" t="str">
        <f t="shared" si="918"/>
        <v>Digital Payment</v>
      </c>
      <c r="P11778">
        <v>191.78</v>
      </c>
      <c r="Q11778" s="37" t="str">
        <f>IF(P11778&gt;500,"High","low")</f>
        <v>low</v>
      </c>
      <c r="R11778" s="37" t="str">
        <f t="shared" si="919"/>
        <v>AVERAGE</v>
      </c>
      <c r="S11778" t="s">
        <v>609</v>
      </c>
    </row>
    <row r="11779" spans="1:19" x14ac:dyDescent="0.2">
      <c r="A11779" t="s">
        <v>12390</v>
      </c>
      <c r="B11779" t="s">
        <v>83</v>
      </c>
      <c r="C11779" t="s">
        <v>607</v>
      </c>
      <c r="D11779">
        <v>3398.34</v>
      </c>
      <c r="E11779" s="37" t="str">
        <f t="shared" ref="E11779:E11842" si="920">IF(AND(D11779&gt;4000,P11779&gt;800),"Excellent Order"," ")</f>
        <v xml:space="preserve"> </v>
      </c>
      <c r="F11779">
        <v>0.3</v>
      </c>
      <c r="G11779" s="37" t="str">
        <f t="shared" ref="G11779:G11842" si="921">IF(F11779&gt;30%,"Heavy Discount","Normal Discount")</f>
        <v>Normal Discount</v>
      </c>
      <c r="H11779" s="37" t="str">
        <f t="shared" ref="H11779:H11842" si="922">IF(F11779&gt;0.4,"High",IF(F11779&gt;=0.2,"Medium","Low"))</f>
        <v>Medium</v>
      </c>
      <c r="I11779">
        <v>1</v>
      </c>
      <c r="J11779" t="str" cm="1">
        <f t="array" ref="J11779">_xlfn.IFS(I11779&lt;=3,"small",I11779&lt;=6,"Medium",I11779&lt;=9,"Large")</f>
        <v>small</v>
      </c>
      <c r="K11779" s="36">
        <v>44992</v>
      </c>
      <c r="L11779" s="36">
        <v>44996</v>
      </c>
      <c r="M11779" t="s">
        <v>603</v>
      </c>
      <c r="N11779" t="s">
        <v>608</v>
      </c>
      <c r="O11779" s="37" t="str">
        <f t="shared" ref="O11779:O11842" si="923">IF(OR(N11779="Card",N11779="UPI"),"Digital Payment","Cash Payment")</f>
        <v>Cash Payment</v>
      </c>
      <c r="P11779">
        <v>941.34</v>
      </c>
      <c r="Q11779" s="37" t="str">
        <f>IF(P11779&gt;500,"High","low")</f>
        <v>High</v>
      </c>
      <c r="R11779" s="37" t="str">
        <f t="shared" ref="R11779:R11842" si="924">IF(P11779&gt;1000,"Excellent",IF(P11779&gt;=500,"Good","AVERAGE"))</f>
        <v>Good</v>
      </c>
      <c r="S11779" t="s">
        <v>605</v>
      </c>
    </row>
    <row r="11780" spans="1:19" x14ac:dyDescent="0.2">
      <c r="A11780" t="s">
        <v>12391</v>
      </c>
      <c r="B11780" t="s">
        <v>83</v>
      </c>
      <c r="C11780" t="s">
        <v>607</v>
      </c>
      <c r="D11780">
        <v>2952.68</v>
      </c>
      <c r="E11780" s="37" t="str">
        <f t="shared" si="920"/>
        <v xml:space="preserve"> </v>
      </c>
      <c r="F11780">
        <v>0.45</v>
      </c>
      <c r="G11780" s="37" t="str">
        <f t="shared" si="921"/>
        <v>Heavy Discount</v>
      </c>
      <c r="H11780" s="37" t="str">
        <f t="shared" si="922"/>
        <v>High</v>
      </c>
      <c r="I11780">
        <v>7</v>
      </c>
      <c r="J11780" t="str" cm="1">
        <f t="array" ref="J11780">_xlfn.IFS(I11780&lt;=3,"small",I11780&lt;=6,"Medium",I11780&lt;=9,"Large")</f>
        <v>Large</v>
      </c>
      <c r="K11780" s="36">
        <v>45500</v>
      </c>
      <c r="L11780" s="36">
        <v>45504</v>
      </c>
      <c r="M11780" t="s">
        <v>603</v>
      </c>
      <c r="N11780" t="s">
        <v>608</v>
      </c>
      <c r="O11780" s="37" t="str">
        <f t="shared" si="923"/>
        <v>Cash Payment</v>
      </c>
      <c r="P11780">
        <v>848.66</v>
      </c>
      <c r="Q11780" s="37" t="str">
        <f>IF(P11780&gt;500,"High","low")</f>
        <v>High</v>
      </c>
      <c r="R11780" s="37" t="str">
        <f t="shared" si="924"/>
        <v>Good</v>
      </c>
      <c r="S11780" t="s">
        <v>605</v>
      </c>
    </row>
    <row r="11781" spans="1:19" x14ac:dyDescent="0.2">
      <c r="A11781" t="s">
        <v>12392</v>
      </c>
      <c r="B11781" t="s">
        <v>83</v>
      </c>
      <c r="C11781" t="s">
        <v>597</v>
      </c>
      <c r="D11781">
        <v>4670.22</v>
      </c>
      <c r="E11781" s="37" t="str">
        <f t="shared" si="920"/>
        <v xml:space="preserve"> </v>
      </c>
      <c r="F11781">
        <v>0.32</v>
      </c>
      <c r="G11781" s="37" t="str">
        <f t="shared" si="921"/>
        <v>Heavy Discount</v>
      </c>
      <c r="H11781" s="37" t="str">
        <f t="shared" si="922"/>
        <v>Medium</v>
      </c>
      <c r="I11781">
        <v>9</v>
      </c>
      <c r="J11781" t="str" cm="1">
        <f t="array" ref="J11781">_xlfn.IFS(I11781&lt;=3,"small",I11781&lt;=6,"Medium",I11781&lt;=9,"Large")</f>
        <v>Large</v>
      </c>
      <c r="K11781" s="36">
        <v>44997</v>
      </c>
      <c r="L11781" s="36">
        <v>45000</v>
      </c>
      <c r="M11781" t="s">
        <v>598</v>
      </c>
      <c r="N11781" t="s">
        <v>604</v>
      </c>
      <c r="O11781" s="37" t="str">
        <f t="shared" si="923"/>
        <v>Digital Payment</v>
      </c>
      <c r="P11781">
        <v>710</v>
      </c>
      <c r="Q11781" s="37" t="str">
        <f>IF(P11781&gt;500,"High","low")</f>
        <v>High</v>
      </c>
      <c r="R11781" s="37" t="str">
        <f t="shared" si="924"/>
        <v>Good</v>
      </c>
      <c r="S11781" t="s">
        <v>615</v>
      </c>
    </row>
    <row r="11782" spans="1:19" x14ac:dyDescent="0.2">
      <c r="A11782" t="s">
        <v>12393</v>
      </c>
      <c r="B11782" t="s">
        <v>67</v>
      </c>
      <c r="C11782" t="s">
        <v>597</v>
      </c>
      <c r="D11782">
        <v>3166.17</v>
      </c>
      <c r="E11782" s="37" t="str">
        <f t="shared" si="920"/>
        <v xml:space="preserve"> </v>
      </c>
      <c r="F11782">
        <v>0</v>
      </c>
      <c r="G11782" s="37" t="str">
        <f t="shared" si="921"/>
        <v>Normal Discount</v>
      </c>
      <c r="H11782" s="37" t="str">
        <f t="shared" si="922"/>
        <v>Low</v>
      </c>
      <c r="I11782">
        <v>4</v>
      </c>
      <c r="J11782" t="str" cm="1">
        <f t="array" ref="J11782">_xlfn.IFS(I11782&lt;=3,"small",I11782&lt;=6,"Medium",I11782&lt;=9,"Large")</f>
        <v>Medium</v>
      </c>
      <c r="K11782" s="36">
        <v>45604</v>
      </c>
      <c r="L11782" s="36">
        <v>45610</v>
      </c>
      <c r="M11782" t="s">
        <v>598</v>
      </c>
      <c r="N11782" t="s">
        <v>604</v>
      </c>
      <c r="O11782" s="37" t="str">
        <f t="shared" si="923"/>
        <v>Digital Payment</v>
      </c>
      <c r="P11782">
        <v>788.89</v>
      </c>
      <c r="Q11782" s="37" t="str">
        <f>IF(P11782&gt;500,"High","low")</f>
        <v>High</v>
      </c>
      <c r="R11782" s="37" t="str">
        <f t="shared" si="924"/>
        <v>Good</v>
      </c>
      <c r="S11782" t="s">
        <v>600</v>
      </c>
    </row>
    <row r="11783" spans="1:19" x14ac:dyDescent="0.2">
      <c r="A11783" t="s">
        <v>12394</v>
      </c>
      <c r="B11783" t="s">
        <v>83</v>
      </c>
      <c r="C11783" t="s">
        <v>614</v>
      </c>
      <c r="D11783">
        <v>4562.88</v>
      </c>
      <c r="E11783" s="37" t="str">
        <f t="shared" si="920"/>
        <v xml:space="preserve"> </v>
      </c>
      <c r="F11783">
        <v>0.35</v>
      </c>
      <c r="G11783" s="37" t="str">
        <f t="shared" si="921"/>
        <v>Heavy Discount</v>
      </c>
      <c r="H11783" s="37" t="str">
        <f t="shared" si="922"/>
        <v>Medium</v>
      </c>
      <c r="I11783">
        <v>2</v>
      </c>
      <c r="J11783" t="str" cm="1">
        <f t="array" ref="J11783">_xlfn.IFS(I11783&lt;=3,"small",I11783&lt;=6,"Medium",I11783&lt;=9,"Large")</f>
        <v>small</v>
      </c>
      <c r="K11783" s="36">
        <v>45444</v>
      </c>
      <c r="L11783" s="36">
        <v>45446</v>
      </c>
      <c r="M11783" t="s">
        <v>612</v>
      </c>
      <c r="N11783" t="s">
        <v>608</v>
      </c>
      <c r="O11783" s="37" t="str">
        <f t="shared" si="923"/>
        <v>Cash Payment</v>
      </c>
      <c r="P11783">
        <v>307.52</v>
      </c>
      <c r="Q11783" s="37" t="str">
        <f>IF(P11783&gt;500,"High","low")</f>
        <v>low</v>
      </c>
      <c r="R11783" s="37" t="str">
        <f t="shared" si="924"/>
        <v>AVERAGE</v>
      </c>
      <c r="S11783" t="s">
        <v>609</v>
      </c>
    </row>
    <row r="11784" spans="1:19" x14ac:dyDescent="0.2">
      <c r="A11784" t="s">
        <v>12395</v>
      </c>
      <c r="B11784" t="s">
        <v>90</v>
      </c>
      <c r="C11784" t="s">
        <v>602</v>
      </c>
      <c r="D11784">
        <v>126.61</v>
      </c>
      <c r="E11784" s="37" t="str">
        <f t="shared" si="920"/>
        <v xml:space="preserve"> </v>
      </c>
      <c r="F11784">
        <v>0.36</v>
      </c>
      <c r="G11784" s="37" t="str">
        <f t="shared" si="921"/>
        <v>Heavy Discount</v>
      </c>
      <c r="H11784" s="37" t="str">
        <f t="shared" si="922"/>
        <v>Medium</v>
      </c>
      <c r="I11784">
        <v>4</v>
      </c>
      <c r="J11784" t="str" cm="1">
        <f t="array" ref="J11784">_xlfn.IFS(I11784&lt;=3,"small",I11784&lt;=6,"Medium",I11784&lt;=9,"Large")</f>
        <v>Medium</v>
      </c>
      <c r="K11784" s="36">
        <v>45558</v>
      </c>
      <c r="L11784" s="36">
        <v>45559</v>
      </c>
      <c r="M11784" t="s">
        <v>598</v>
      </c>
      <c r="N11784" t="s">
        <v>608</v>
      </c>
      <c r="O11784" s="37" t="str">
        <f t="shared" si="923"/>
        <v>Cash Payment</v>
      </c>
      <c r="P11784">
        <v>19.170000000000002</v>
      </c>
      <c r="Q11784" s="37" t="str">
        <f>IF(P11784&gt;500,"High","low")</f>
        <v>low</v>
      </c>
      <c r="R11784" s="37" t="str">
        <f t="shared" si="924"/>
        <v>AVERAGE</v>
      </c>
      <c r="S11784" t="s">
        <v>615</v>
      </c>
    </row>
    <row r="11785" spans="1:19" x14ac:dyDescent="0.2">
      <c r="A11785" t="s">
        <v>12396</v>
      </c>
      <c r="B11785" t="s">
        <v>75</v>
      </c>
      <c r="C11785" t="s">
        <v>614</v>
      </c>
      <c r="D11785">
        <v>4463.74</v>
      </c>
      <c r="E11785" s="37" t="str">
        <f t="shared" si="920"/>
        <v xml:space="preserve"> </v>
      </c>
      <c r="F11785">
        <v>0.27</v>
      </c>
      <c r="G11785" s="37" t="str">
        <f t="shared" si="921"/>
        <v>Normal Discount</v>
      </c>
      <c r="H11785" s="37" t="str">
        <f t="shared" si="922"/>
        <v>Medium</v>
      </c>
      <c r="I11785">
        <v>2</v>
      </c>
      <c r="J11785" t="str" cm="1">
        <f t="array" ref="J11785">_xlfn.IFS(I11785&lt;=3,"small",I11785&lt;=6,"Medium",I11785&lt;=9,"Large")</f>
        <v>small</v>
      </c>
      <c r="K11785" s="36">
        <v>45497</v>
      </c>
      <c r="L11785" s="36">
        <v>45499</v>
      </c>
      <c r="M11785" t="s">
        <v>598</v>
      </c>
      <c r="N11785" t="s">
        <v>599</v>
      </c>
      <c r="O11785" s="37" t="str">
        <f t="shared" si="923"/>
        <v>Digital Payment</v>
      </c>
      <c r="P11785">
        <v>793.44</v>
      </c>
      <c r="Q11785" s="37" t="str">
        <f>IF(P11785&gt;500,"High","low")</f>
        <v>High</v>
      </c>
      <c r="R11785" s="37" t="str">
        <f t="shared" si="924"/>
        <v>Good</v>
      </c>
      <c r="S11785" t="s">
        <v>615</v>
      </c>
    </row>
    <row r="11786" spans="1:19" x14ac:dyDescent="0.2">
      <c r="A11786" t="s">
        <v>12397</v>
      </c>
      <c r="B11786" t="s">
        <v>67</v>
      </c>
      <c r="C11786" t="s">
        <v>597</v>
      </c>
      <c r="D11786">
        <v>3635.15</v>
      </c>
      <c r="E11786" s="37" t="str">
        <f t="shared" si="920"/>
        <v xml:space="preserve"> </v>
      </c>
      <c r="F11786">
        <v>0.41</v>
      </c>
      <c r="G11786" s="37" t="str">
        <f t="shared" si="921"/>
        <v>Heavy Discount</v>
      </c>
      <c r="H11786" s="37" t="str">
        <f t="shared" si="922"/>
        <v>High</v>
      </c>
      <c r="I11786">
        <v>7</v>
      </c>
      <c r="J11786" t="str" cm="1">
        <f t="array" ref="J11786">_xlfn.IFS(I11786&lt;=3,"small",I11786&lt;=6,"Medium",I11786&lt;=9,"Large")</f>
        <v>Large</v>
      </c>
      <c r="K11786" s="36">
        <v>45517</v>
      </c>
      <c r="L11786" s="36">
        <v>45523</v>
      </c>
      <c r="M11786" t="s">
        <v>612</v>
      </c>
      <c r="N11786" t="s">
        <v>608</v>
      </c>
      <c r="O11786" s="37" t="str">
        <f t="shared" si="923"/>
        <v>Cash Payment</v>
      </c>
      <c r="P11786">
        <v>973.57</v>
      </c>
      <c r="Q11786" s="37" t="str">
        <f>IF(P11786&gt;500,"High","low")</f>
        <v>High</v>
      </c>
      <c r="R11786" s="37" t="str">
        <f t="shared" si="924"/>
        <v>Good</v>
      </c>
      <c r="S11786" t="s">
        <v>600</v>
      </c>
    </row>
    <row r="11787" spans="1:19" x14ac:dyDescent="0.2">
      <c r="A11787" t="s">
        <v>12398</v>
      </c>
      <c r="B11787" t="s">
        <v>67</v>
      </c>
      <c r="C11787" t="s">
        <v>597</v>
      </c>
      <c r="D11787">
        <v>943.75</v>
      </c>
      <c r="E11787" s="37" t="str">
        <f t="shared" si="920"/>
        <v xml:space="preserve"> </v>
      </c>
      <c r="F11787">
        <v>0.1</v>
      </c>
      <c r="G11787" s="37" t="str">
        <f t="shared" si="921"/>
        <v>Normal Discount</v>
      </c>
      <c r="H11787" s="37" t="str">
        <f t="shared" si="922"/>
        <v>Low</v>
      </c>
      <c r="I11787">
        <v>6</v>
      </c>
      <c r="J11787" t="str" cm="1">
        <f t="array" ref="J11787">_xlfn.IFS(I11787&lt;=3,"small",I11787&lt;=6,"Medium",I11787&lt;=9,"Large")</f>
        <v>Medium</v>
      </c>
      <c r="K11787" s="36">
        <v>45163</v>
      </c>
      <c r="L11787" s="36">
        <v>45168</v>
      </c>
      <c r="M11787" t="s">
        <v>612</v>
      </c>
      <c r="N11787" t="s">
        <v>599</v>
      </c>
      <c r="O11787" s="37" t="str">
        <f t="shared" si="923"/>
        <v>Digital Payment</v>
      </c>
      <c r="P11787">
        <v>71.010000000000005</v>
      </c>
      <c r="Q11787" s="37" t="str">
        <f>IF(P11787&gt;500,"High","low")</f>
        <v>low</v>
      </c>
      <c r="R11787" s="37" t="str">
        <f t="shared" si="924"/>
        <v>AVERAGE</v>
      </c>
      <c r="S11787" t="s">
        <v>628</v>
      </c>
    </row>
    <row r="11788" spans="1:19" x14ac:dyDescent="0.2">
      <c r="A11788" t="s">
        <v>12399</v>
      </c>
      <c r="B11788" t="s">
        <v>83</v>
      </c>
      <c r="C11788" t="s">
        <v>617</v>
      </c>
      <c r="D11788">
        <v>1388.89</v>
      </c>
      <c r="E11788" s="37" t="str">
        <f t="shared" si="920"/>
        <v xml:space="preserve"> </v>
      </c>
      <c r="F11788">
        <v>0.2</v>
      </c>
      <c r="G11788" s="37" t="str">
        <f t="shared" si="921"/>
        <v>Normal Discount</v>
      </c>
      <c r="H11788" s="37" t="str">
        <f t="shared" si="922"/>
        <v>Medium</v>
      </c>
      <c r="I11788">
        <v>2</v>
      </c>
      <c r="J11788" t="str" cm="1">
        <f t="array" ref="J11788">_xlfn.IFS(I11788&lt;=3,"small",I11788&lt;=6,"Medium",I11788&lt;=9,"Large")</f>
        <v>small</v>
      </c>
      <c r="K11788" s="36">
        <v>45082</v>
      </c>
      <c r="L11788" s="36">
        <v>45083</v>
      </c>
      <c r="M11788" t="s">
        <v>603</v>
      </c>
      <c r="N11788" t="s">
        <v>599</v>
      </c>
      <c r="O11788" s="37" t="str">
        <f t="shared" si="923"/>
        <v>Digital Payment</v>
      </c>
      <c r="P11788">
        <v>210.66</v>
      </c>
      <c r="Q11788" s="37" t="str">
        <f>IF(P11788&gt;500,"High","low")</f>
        <v>low</v>
      </c>
      <c r="R11788" s="37" t="str">
        <f t="shared" si="924"/>
        <v>AVERAGE</v>
      </c>
      <c r="S11788" t="s">
        <v>605</v>
      </c>
    </row>
    <row r="11789" spans="1:19" x14ac:dyDescent="0.2">
      <c r="A11789" t="s">
        <v>12400</v>
      </c>
      <c r="B11789" t="s">
        <v>75</v>
      </c>
      <c r="C11789" t="s">
        <v>614</v>
      </c>
      <c r="D11789">
        <v>2759.77</v>
      </c>
      <c r="E11789" s="37" t="str">
        <f t="shared" si="920"/>
        <v xml:space="preserve"> </v>
      </c>
      <c r="F11789">
        <v>0.4</v>
      </c>
      <c r="G11789" s="37" t="str">
        <f t="shared" si="921"/>
        <v>Heavy Discount</v>
      </c>
      <c r="H11789" s="37" t="str">
        <f t="shared" si="922"/>
        <v>Medium</v>
      </c>
      <c r="I11789">
        <v>6</v>
      </c>
      <c r="J11789" t="str" cm="1">
        <f t="array" ref="J11789">_xlfn.IFS(I11789&lt;=3,"small",I11789&lt;=6,"Medium",I11789&lt;=9,"Large")</f>
        <v>Medium</v>
      </c>
      <c r="K11789" s="36">
        <v>45064</v>
      </c>
      <c r="L11789" s="36">
        <v>45070</v>
      </c>
      <c r="M11789" t="s">
        <v>612</v>
      </c>
      <c r="N11789" t="s">
        <v>608</v>
      </c>
      <c r="O11789" s="37" t="str">
        <f t="shared" si="923"/>
        <v>Cash Payment</v>
      </c>
      <c r="P11789">
        <v>491.85</v>
      </c>
      <c r="Q11789" s="37" t="str">
        <f>IF(P11789&gt;500,"High","low")</f>
        <v>low</v>
      </c>
      <c r="R11789" s="37" t="str">
        <f t="shared" si="924"/>
        <v>AVERAGE</v>
      </c>
      <c r="S11789" t="s">
        <v>620</v>
      </c>
    </row>
    <row r="11790" spans="1:19" x14ac:dyDescent="0.2">
      <c r="A11790" t="s">
        <v>12401</v>
      </c>
      <c r="B11790" t="s">
        <v>90</v>
      </c>
      <c r="C11790" t="s">
        <v>597</v>
      </c>
      <c r="D11790">
        <v>712.2</v>
      </c>
      <c r="E11790" s="37" t="str">
        <f t="shared" si="920"/>
        <v xml:space="preserve"> </v>
      </c>
      <c r="F11790">
        <v>0.3</v>
      </c>
      <c r="G11790" s="37" t="str">
        <f t="shared" si="921"/>
        <v>Normal Discount</v>
      </c>
      <c r="H11790" s="37" t="str">
        <f t="shared" si="922"/>
        <v>Medium</v>
      </c>
      <c r="I11790">
        <v>9</v>
      </c>
      <c r="J11790" t="str" cm="1">
        <f t="array" ref="J11790">_xlfn.IFS(I11790&lt;=3,"small",I11790&lt;=6,"Medium",I11790&lt;=9,"Large")</f>
        <v>Large</v>
      </c>
      <c r="K11790" s="36">
        <v>45099</v>
      </c>
      <c r="L11790" s="36">
        <v>45100</v>
      </c>
      <c r="M11790" t="s">
        <v>612</v>
      </c>
      <c r="N11790" t="s">
        <v>604</v>
      </c>
      <c r="O11790" s="37" t="str">
        <f t="shared" si="923"/>
        <v>Digital Payment</v>
      </c>
      <c r="P11790">
        <v>154.26</v>
      </c>
      <c r="Q11790" s="37" t="str">
        <f>IF(P11790&gt;500,"High","low")</f>
        <v>low</v>
      </c>
      <c r="R11790" s="37" t="str">
        <f t="shared" si="924"/>
        <v>AVERAGE</v>
      </c>
      <c r="S11790" t="s">
        <v>615</v>
      </c>
    </row>
    <row r="11791" spans="1:19" x14ac:dyDescent="0.2">
      <c r="A11791" t="s">
        <v>12402</v>
      </c>
      <c r="B11791" t="s">
        <v>83</v>
      </c>
      <c r="C11791" t="s">
        <v>607</v>
      </c>
      <c r="D11791">
        <v>3948.3</v>
      </c>
      <c r="E11791" s="37" t="str">
        <f t="shared" si="920"/>
        <v xml:space="preserve"> </v>
      </c>
      <c r="F11791">
        <v>0.5</v>
      </c>
      <c r="G11791" s="37" t="str">
        <f t="shared" si="921"/>
        <v>Heavy Discount</v>
      </c>
      <c r="H11791" s="37" t="str">
        <f t="shared" si="922"/>
        <v>High</v>
      </c>
      <c r="I11791">
        <v>8</v>
      </c>
      <c r="J11791" t="str" cm="1">
        <f t="array" ref="J11791">_xlfn.IFS(I11791&lt;=3,"small",I11791&lt;=6,"Medium",I11791&lt;=9,"Large")</f>
        <v>Large</v>
      </c>
      <c r="K11791" s="36">
        <v>45631</v>
      </c>
      <c r="L11791" s="36">
        <v>45635</v>
      </c>
      <c r="M11791" t="s">
        <v>612</v>
      </c>
      <c r="N11791" t="s">
        <v>608</v>
      </c>
      <c r="O11791" s="37" t="str">
        <f t="shared" si="923"/>
        <v>Cash Payment</v>
      </c>
      <c r="P11791">
        <v>299.29000000000002</v>
      </c>
      <c r="Q11791" s="37" t="str">
        <f>IF(P11791&gt;500,"High","low")</f>
        <v>low</v>
      </c>
      <c r="R11791" s="37" t="str">
        <f t="shared" si="924"/>
        <v>AVERAGE</v>
      </c>
      <c r="S11791" t="s">
        <v>609</v>
      </c>
    </row>
    <row r="11792" spans="1:19" x14ac:dyDescent="0.2">
      <c r="A11792" t="s">
        <v>12403</v>
      </c>
      <c r="B11792" t="s">
        <v>75</v>
      </c>
      <c r="C11792" t="s">
        <v>617</v>
      </c>
      <c r="D11792">
        <v>3976.75</v>
      </c>
      <c r="E11792" s="37" t="str">
        <f t="shared" si="920"/>
        <v xml:space="preserve"> </v>
      </c>
      <c r="F11792">
        <v>0.03</v>
      </c>
      <c r="G11792" s="37" t="str">
        <f t="shared" si="921"/>
        <v>Normal Discount</v>
      </c>
      <c r="H11792" s="37" t="str">
        <f t="shared" si="922"/>
        <v>Low</v>
      </c>
      <c r="I11792">
        <v>9</v>
      </c>
      <c r="J11792" t="str" cm="1">
        <f t="array" ref="J11792">_xlfn.IFS(I11792&lt;=3,"small",I11792&lt;=6,"Medium",I11792&lt;=9,"Large")</f>
        <v>Large</v>
      </c>
      <c r="K11792" s="36">
        <v>45104</v>
      </c>
      <c r="L11792" s="36">
        <v>45111</v>
      </c>
      <c r="M11792" t="s">
        <v>603</v>
      </c>
      <c r="N11792" t="s">
        <v>599</v>
      </c>
      <c r="O11792" s="37" t="str">
        <f t="shared" si="923"/>
        <v>Digital Payment</v>
      </c>
      <c r="P11792">
        <v>478.55</v>
      </c>
      <c r="Q11792" s="37" t="str">
        <f>IF(P11792&gt;500,"High","low")</f>
        <v>low</v>
      </c>
      <c r="R11792" s="37" t="str">
        <f t="shared" si="924"/>
        <v>AVERAGE</v>
      </c>
      <c r="S11792" t="s">
        <v>628</v>
      </c>
    </row>
    <row r="11793" spans="1:19" x14ac:dyDescent="0.2">
      <c r="A11793" t="s">
        <v>12404</v>
      </c>
      <c r="B11793" t="s">
        <v>83</v>
      </c>
      <c r="C11793" t="s">
        <v>602</v>
      </c>
      <c r="D11793">
        <v>1574.65</v>
      </c>
      <c r="E11793" s="37" t="str">
        <f t="shared" si="920"/>
        <v xml:space="preserve"> </v>
      </c>
      <c r="F11793">
        <v>0.12</v>
      </c>
      <c r="G11793" s="37" t="str">
        <f t="shared" si="921"/>
        <v>Normal Discount</v>
      </c>
      <c r="H11793" s="37" t="str">
        <f t="shared" si="922"/>
        <v>Low</v>
      </c>
      <c r="I11793">
        <v>5</v>
      </c>
      <c r="J11793" t="str" cm="1">
        <f t="array" ref="J11793">_xlfn.IFS(I11793&lt;=3,"small",I11793&lt;=6,"Medium",I11793&lt;=9,"Large")</f>
        <v>Medium</v>
      </c>
      <c r="K11793" s="36">
        <v>45342</v>
      </c>
      <c r="L11793" s="36">
        <v>45346</v>
      </c>
      <c r="M11793" t="s">
        <v>603</v>
      </c>
      <c r="N11793" t="s">
        <v>599</v>
      </c>
      <c r="O11793" s="37" t="str">
        <f t="shared" si="923"/>
        <v>Digital Payment</v>
      </c>
      <c r="P11793">
        <v>96.42</v>
      </c>
      <c r="Q11793" s="37" t="str">
        <f>IF(P11793&gt;500,"High","low")</f>
        <v>low</v>
      </c>
      <c r="R11793" s="37" t="str">
        <f t="shared" si="924"/>
        <v>AVERAGE</v>
      </c>
      <c r="S11793" t="s">
        <v>605</v>
      </c>
    </row>
    <row r="11794" spans="1:19" x14ac:dyDescent="0.2">
      <c r="A11794" t="s">
        <v>12405</v>
      </c>
      <c r="B11794" t="s">
        <v>83</v>
      </c>
      <c r="C11794" t="s">
        <v>617</v>
      </c>
      <c r="D11794">
        <v>442.1</v>
      </c>
      <c r="E11794" s="37" t="str">
        <f t="shared" si="920"/>
        <v xml:space="preserve"> </v>
      </c>
      <c r="F11794">
        <v>0.1</v>
      </c>
      <c r="G11794" s="37" t="str">
        <f t="shared" si="921"/>
        <v>Normal Discount</v>
      </c>
      <c r="H11794" s="37" t="str">
        <f t="shared" si="922"/>
        <v>Low</v>
      </c>
      <c r="I11794">
        <v>2</v>
      </c>
      <c r="J11794" t="str" cm="1">
        <f t="array" ref="J11794">_xlfn.IFS(I11794&lt;=3,"small",I11794&lt;=6,"Medium",I11794&lt;=9,"Large")</f>
        <v>small</v>
      </c>
      <c r="K11794" s="36">
        <v>45070</v>
      </c>
      <c r="L11794" s="36">
        <v>45075</v>
      </c>
      <c r="M11794" t="s">
        <v>598</v>
      </c>
      <c r="N11794" t="s">
        <v>599</v>
      </c>
      <c r="O11794" s="37" t="str">
        <f t="shared" si="923"/>
        <v>Digital Payment</v>
      </c>
      <c r="P11794">
        <v>38.47</v>
      </c>
      <c r="Q11794" s="37" t="str">
        <f>IF(P11794&gt;500,"High","low")</f>
        <v>low</v>
      </c>
      <c r="R11794" s="37" t="str">
        <f t="shared" si="924"/>
        <v>AVERAGE</v>
      </c>
      <c r="S11794" t="s">
        <v>609</v>
      </c>
    </row>
    <row r="11795" spans="1:19" x14ac:dyDescent="0.2">
      <c r="A11795" t="s">
        <v>12406</v>
      </c>
      <c r="B11795" t="s">
        <v>83</v>
      </c>
      <c r="C11795" t="s">
        <v>602</v>
      </c>
      <c r="D11795">
        <v>4945.3500000000004</v>
      </c>
      <c r="E11795" s="37" t="str">
        <f t="shared" si="920"/>
        <v>Excellent Order</v>
      </c>
      <c r="F11795">
        <v>0.49</v>
      </c>
      <c r="G11795" s="37" t="str">
        <f t="shared" si="921"/>
        <v>Heavy Discount</v>
      </c>
      <c r="H11795" s="37" t="str">
        <f t="shared" si="922"/>
        <v>High</v>
      </c>
      <c r="I11795">
        <v>5</v>
      </c>
      <c r="J11795" t="str" cm="1">
        <f t="array" ref="J11795">_xlfn.IFS(I11795&lt;=3,"small",I11795&lt;=6,"Medium",I11795&lt;=9,"Large")</f>
        <v>Medium</v>
      </c>
      <c r="K11795" s="36">
        <v>45376</v>
      </c>
      <c r="L11795" s="36">
        <v>45378</v>
      </c>
      <c r="M11795" t="s">
        <v>598</v>
      </c>
      <c r="N11795" t="s">
        <v>604</v>
      </c>
      <c r="O11795" s="37" t="str">
        <f t="shared" si="923"/>
        <v>Digital Payment</v>
      </c>
      <c r="P11795">
        <v>859.34</v>
      </c>
      <c r="Q11795" s="37" t="str">
        <f>IF(P11795&gt;500,"High","low")</f>
        <v>High</v>
      </c>
      <c r="R11795" s="37" t="str">
        <f t="shared" si="924"/>
        <v>Good</v>
      </c>
      <c r="S11795" t="s">
        <v>615</v>
      </c>
    </row>
    <row r="11796" spans="1:19" x14ac:dyDescent="0.2">
      <c r="A11796" t="s">
        <v>12407</v>
      </c>
      <c r="B11796" t="s">
        <v>83</v>
      </c>
      <c r="C11796" t="s">
        <v>607</v>
      </c>
      <c r="D11796">
        <v>1328.57</v>
      </c>
      <c r="E11796" s="37" t="str">
        <f t="shared" si="920"/>
        <v xml:space="preserve"> </v>
      </c>
      <c r="F11796">
        <v>0.43</v>
      </c>
      <c r="G11796" s="37" t="str">
        <f t="shared" si="921"/>
        <v>Heavy Discount</v>
      </c>
      <c r="H11796" s="37" t="str">
        <f t="shared" si="922"/>
        <v>High</v>
      </c>
      <c r="I11796">
        <v>3</v>
      </c>
      <c r="J11796" t="str" cm="1">
        <f t="array" ref="J11796">_xlfn.IFS(I11796&lt;=3,"small",I11796&lt;=6,"Medium",I11796&lt;=9,"Large")</f>
        <v>small</v>
      </c>
      <c r="K11796" s="36">
        <v>45248</v>
      </c>
      <c r="L11796" s="36">
        <v>45250</v>
      </c>
      <c r="M11796" t="s">
        <v>598</v>
      </c>
      <c r="N11796" t="s">
        <v>608</v>
      </c>
      <c r="O11796" s="37" t="str">
        <f t="shared" si="923"/>
        <v>Cash Payment</v>
      </c>
      <c r="P11796">
        <v>144.47999999999999</v>
      </c>
      <c r="Q11796" s="37" t="str">
        <f>IF(P11796&gt;500,"High","low")</f>
        <v>low</v>
      </c>
      <c r="R11796" s="37" t="str">
        <f t="shared" si="924"/>
        <v>AVERAGE</v>
      </c>
      <c r="S11796" t="s">
        <v>600</v>
      </c>
    </row>
    <row r="11797" spans="1:19" x14ac:dyDescent="0.2">
      <c r="A11797" t="s">
        <v>12408</v>
      </c>
      <c r="B11797" t="s">
        <v>83</v>
      </c>
      <c r="C11797" t="s">
        <v>602</v>
      </c>
      <c r="D11797">
        <v>431.04</v>
      </c>
      <c r="E11797" s="37" t="str">
        <f t="shared" si="920"/>
        <v xml:space="preserve"> </v>
      </c>
      <c r="F11797">
        <v>7.0000000000000007E-2</v>
      </c>
      <c r="G11797" s="37" t="str">
        <f t="shared" si="921"/>
        <v>Normal Discount</v>
      </c>
      <c r="H11797" s="37" t="str">
        <f t="shared" si="922"/>
        <v>Low</v>
      </c>
      <c r="I11797">
        <v>4</v>
      </c>
      <c r="J11797" t="str" cm="1">
        <f t="array" ref="J11797">_xlfn.IFS(I11797&lt;=3,"small",I11797&lt;=6,"Medium",I11797&lt;=9,"Large")</f>
        <v>Medium</v>
      </c>
      <c r="K11797" s="36">
        <v>45585</v>
      </c>
      <c r="L11797" s="36">
        <v>45592</v>
      </c>
      <c r="M11797" t="s">
        <v>603</v>
      </c>
      <c r="N11797" t="s">
        <v>608</v>
      </c>
      <c r="O11797" s="37" t="str">
        <f t="shared" si="923"/>
        <v>Cash Payment</v>
      </c>
      <c r="P11797">
        <v>73.22</v>
      </c>
      <c r="Q11797" s="37" t="str">
        <f>IF(P11797&gt;500,"High","low")</f>
        <v>low</v>
      </c>
      <c r="R11797" s="37" t="str">
        <f t="shared" si="924"/>
        <v>AVERAGE</v>
      </c>
      <c r="S11797" t="s">
        <v>600</v>
      </c>
    </row>
    <row r="11798" spans="1:19" x14ac:dyDescent="0.2">
      <c r="A11798" t="s">
        <v>12409</v>
      </c>
      <c r="B11798" t="s">
        <v>83</v>
      </c>
      <c r="C11798" t="s">
        <v>614</v>
      </c>
      <c r="D11798">
        <v>1716.83</v>
      </c>
      <c r="E11798" s="37" t="str">
        <f t="shared" si="920"/>
        <v xml:space="preserve"> </v>
      </c>
      <c r="F11798">
        <v>0.18</v>
      </c>
      <c r="G11798" s="37" t="str">
        <f t="shared" si="921"/>
        <v>Normal Discount</v>
      </c>
      <c r="H11798" s="37" t="str">
        <f t="shared" si="922"/>
        <v>Low</v>
      </c>
      <c r="I11798">
        <v>7</v>
      </c>
      <c r="J11798" t="str" cm="1">
        <f t="array" ref="J11798">_xlfn.IFS(I11798&lt;=3,"small",I11798&lt;=6,"Medium",I11798&lt;=9,"Large")</f>
        <v>Large</v>
      </c>
      <c r="K11798" s="36">
        <v>45303</v>
      </c>
      <c r="L11798" s="36">
        <v>45305</v>
      </c>
      <c r="M11798" t="s">
        <v>603</v>
      </c>
      <c r="N11798" t="s">
        <v>604</v>
      </c>
      <c r="O11798" s="37" t="str">
        <f t="shared" si="923"/>
        <v>Digital Payment</v>
      </c>
      <c r="P11798">
        <v>424.66</v>
      </c>
      <c r="Q11798" s="37" t="str">
        <f>IF(P11798&gt;500,"High","low")</f>
        <v>low</v>
      </c>
      <c r="R11798" s="37" t="str">
        <f t="shared" si="924"/>
        <v>AVERAGE</v>
      </c>
      <c r="S11798" t="s">
        <v>600</v>
      </c>
    </row>
    <row r="11799" spans="1:19" x14ac:dyDescent="0.2">
      <c r="A11799" t="s">
        <v>12410</v>
      </c>
      <c r="B11799" t="s">
        <v>83</v>
      </c>
      <c r="C11799" t="s">
        <v>602</v>
      </c>
      <c r="D11799">
        <v>4848.12</v>
      </c>
      <c r="E11799" s="37" t="str">
        <f t="shared" si="920"/>
        <v xml:space="preserve"> </v>
      </c>
      <c r="F11799">
        <v>0.03</v>
      </c>
      <c r="G11799" s="37" t="str">
        <f t="shared" si="921"/>
        <v>Normal Discount</v>
      </c>
      <c r="H11799" s="37" t="str">
        <f t="shared" si="922"/>
        <v>Low</v>
      </c>
      <c r="I11799">
        <v>2</v>
      </c>
      <c r="J11799" t="str" cm="1">
        <f t="array" ref="J11799">_xlfn.IFS(I11799&lt;=3,"small",I11799&lt;=6,"Medium",I11799&lt;=9,"Large")</f>
        <v>small</v>
      </c>
      <c r="K11799" s="36">
        <v>45481</v>
      </c>
      <c r="L11799" s="36">
        <v>45486</v>
      </c>
      <c r="M11799" t="s">
        <v>612</v>
      </c>
      <c r="N11799" t="s">
        <v>604</v>
      </c>
      <c r="O11799" s="37" t="str">
        <f t="shared" si="923"/>
        <v>Digital Payment</v>
      </c>
      <c r="P11799">
        <v>701.25</v>
      </c>
      <c r="Q11799" s="37" t="str">
        <f>IF(P11799&gt;500,"High","low")</f>
        <v>High</v>
      </c>
      <c r="R11799" s="37" t="str">
        <f t="shared" si="924"/>
        <v>Good</v>
      </c>
      <c r="S11799" t="s">
        <v>605</v>
      </c>
    </row>
    <row r="11800" spans="1:19" x14ac:dyDescent="0.2">
      <c r="A11800" t="s">
        <v>12411</v>
      </c>
      <c r="B11800" t="s">
        <v>90</v>
      </c>
      <c r="C11800" t="s">
        <v>602</v>
      </c>
      <c r="D11800">
        <v>3985.35</v>
      </c>
      <c r="E11800" s="37" t="str">
        <f t="shared" si="920"/>
        <v xml:space="preserve"> </v>
      </c>
      <c r="F11800">
        <v>0.32</v>
      </c>
      <c r="G11800" s="37" t="str">
        <f t="shared" si="921"/>
        <v>Heavy Discount</v>
      </c>
      <c r="H11800" s="37" t="str">
        <f t="shared" si="922"/>
        <v>Medium</v>
      </c>
      <c r="I11800">
        <v>6</v>
      </c>
      <c r="J11800" t="str" cm="1">
        <f t="array" ref="J11800">_xlfn.IFS(I11800&lt;=3,"small",I11800&lt;=6,"Medium",I11800&lt;=9,"Large")</f>
        <v>Medium</v>
      </c>
      <c r="K11800" s="36">
        <v>45072</v>
      </c>
      <c r="L11800" s="36">
        <v>45075</v>
      </c>
      <c r="M11800" t="s">
        <v>612</v>
      </c>
      <c r="N11800" t="s">
        <v>604</v>
      </c>
      <c r="O11800" s="37" t="str">
        <f t="shared" si="923"/>
        <v>Digital Payment</v>
      </c>
      <c r="P11800">
        <v>919.76</v>
      </c>
      <c r="Q11800" s="37" t="str">
        <f>IF(P11800&gt;500,"High","low")</f>
        <v>High</v>
      </c>
      <c r="R11800" s="37" t="str">
        <f t="shared" si="924"/>
        <v>Good</v>
      </c>
      <c r="S11800" t="s">
        <v>605</v>
      </c>
    </row>
    <row r="11801" spans="1:19" x14ac:dyDescent="0.2">
      <c r="A11801" t="s">
        <v>12412</v>
      </c>
      <c r="B11801" t="s">
        <v>67</v>
      </c>
      <c r="C11801" t="s">
        <v>617</v>
      </c>
      <c r="D11801">
        <v>2453.63</v>
      </c>
      <c r="E11801" s="37" t="str">
        <f t="shared" si="920"/>
        <v xml:space="preserve"> </v>
      </c>
      <c r="F11801">
        <v>0.17</v>
      </c>
      <c r="G11801" s="37" t="str">
        <f t="shared" si="921"/>
        <v>Normal Discount</v>
      </c>
      <c r="H11801" s="37" t="str">
        <f t="shared" si="922"/>
        <v>Low</v>
      </c>
      <c r="I11801">
        <v>1</v>
      </c>
      <c r="J11801" t="str" cm="1">
        <f t="array" ref="J11801">_xlfn.IFS(I11801&lt;=3,"small",I11801&lt;=6,"Medium",I11801&lt;=9,"Large")</f>
        <v>small</v>
      </c>
      <c r="K11801" s="36">
        <v>45549</v>
      </c>
      <c r="L11801" s="36">
        <v>45551</v>
      </c>
      <c r="M11801" t="s">
        <v>603</v>
      </c>
      <c r="N11801" t="s">
        <v>604</v>
      </c>
      <c r="O11801" s="37" t="str">
        <f t="shared" si="923"/>
        <v>Digital Payment</v>
      </c>
      <c r="P11801">
        <v>592.86</v>
      </c>
      <c r="Q11801" s="37" t="str">
        <f>IF(P11801&gt;500,"High","low")</f>
        <v>High</v>
      </c>
      <c r="R11801" s="37" t="str">
        <f t="shared" si="924"/>
        <v>Good</v>
      </c>
      <c r="S11801" t="s">
        <v>628</v>
      </c>
    </row>
    <row r="11802" spans="1:19" x14ac:dyDescent="0.2">
      <c r="A11802" t="s">
        <v>12413</v>
      </c>
      <c r="B11802" t="s">
        <v>90</v>
      </c>
      <c r="C11802" t="s">
        <v>607</v>
      </c>
      <c r="D11802">
        <v>1596.12</v>
      </c>
      <c r="E11802" s="37" t="str">
        <f t="shared" si="920"/>
        <v xml:space="preserve"> </v>
      </c>
      <c r="F11802">
        <v>0.13</v>
      </c>
      <c r="G11802" s="37" t="str">
        <f t="shared" si="921"/>
        <v>Normal Discount</v>
      </c>
      <c r="H11802" s="37" t="str">
        <f t="shared" si="922"/>
        <v>Low</v>
      </c>
      <c r="I11802">
        <v>3</v>
      </c>
      <c r="J11802" t="str" cm="1">
        <f t="array" ref="J11802">_xlfn.IFS(I11802&lt;=3,"small",I11802&lt;=6,"Medium",I11802&lt;=9,"Large")</f>
        <v>small</v>
      </c>
      <c r="K11802" s="36">
        <v>45100</v>
      </c>
      <c r="L11802" s="36">
        <v>45101</v>
      </c>
      <c r="M11802" t="s">
        <v>612</v>
      </c>
      <c r="N11802" t="s">
        <v>608</v>
      </c>
      <c r="O11802" s="37" t="str">
        <f t="shared" si="923"/>
        <v>Cash Payment</v>
      </c>
      <c r="P11802">
        <v>294.52999999999997</v>
      </c>
      <c r="Q11802" s="37" t="str">
        <f>IF(P11802&gt;500,"High","low")</f>
        <v>low</v>
      </c>
      <c r="R11802" s="37" t="str">
        <f t="shared" si="924"/>
        <v>AVERAGE</v>
      </c>
      <c r="S11802" t="s">
        <v>600</v>
      </c>
    </row>
    <row r="11803" spans="1:19" x14ac:dyDescent="0.2">
      <c r="A11803" t="s">
        <v>12414</v>
      </c>
      <c r="B11803" t="s">
        <v>83</v>
      </c>
      <c r="C11803" t="s">
        <v>602</v>
      </c>
      <c r="D11803">
        <v>2174.1999999999998</v>
      </c>
      <c r="E11803" s="37" t="str">
        <f t="shared" si="920"/>
        <v xml:space="preserve"> </v>
      </c>
      <c r="F11803">
        <v>0.26</v>
      </c>
      <c r="G11803" s="37" t="str">
        <f t="shared" si="921"/>
        <v>Normal Discount</v>
      </c>
      <c r="H11803" s="37" t="str">
        <f t="shared" si="922"/>
        <v>Medium</v>
      </c>
      <c r="I11803">
        <v>7</v>
      </c>
      <c r="J11803" t="str" cm="1">
        <f t="array" ref="J11803">_xlfn.IFS(I11803&lt;=3,"small",I11803&lt;=6,"Medium",I11803&lt;=9,"Large")</f>
        <v>Large</v>
      </c>
      <c r="K11803" s="36">
        <v>45651</v>
      </c>
      <c r="L11803" s="36">
        <v>45652</v>
      </c>
      <c r="M11803" t="s">
        <v>603</v>
      </c>
      <c r="N11803" t="s">
        <v>604</v>
      </c>
      <c r="O11803" s="37" t="str">
        <f t="shared" si="923"/>
        <v>Digital Payment</v>
      </c>
      <c r="P11803">
        <v>257.64999999999998</v>
      </c>
      <c r="Q11803" s="37" t="str">
        <f>IF(P11803&gt;500,"High","low")</f>
        <v>low</v>
      </c>
      <c r="R11803" s="37" t="str">
        <f t="shared" si="924"/>
        <v>AVERAGE</v>
      </c>
      <c r="S11803" t="s">
        <v>628</v>
      </c>
    </row>
    <row r="11804" spans="1:19" x14ac:dyDescent="0.2">
      <c r="A11804" t="s">
        <v>12415</v>
      </c>
      <c r="B11804" t="s">
        <v>83</v>
      </c>
      <c r="C11804" t="s">
        <v>614</v>
      </c>
      <c r="D11804">
        <v>185.09</v>
      </c>
      <c r="E11804" s="37" t="str">
        <f t="shared" si="920"/>
        <v xml:space="preserve"> </v>
      </c>
      <c r="F11804">
        <v>0.4</v>
      </c>
      <c r="G11804" s="37" t="str">
        <f t="shared" si="921"/>
        <v>Heavy Discount</v>
      </c>
      <c r="H11804" s="37" t="str">
        <f t="shared" si="922"/>
        <v>Medium</v>
      </c>
      <c r="I11804">
        <v>5</v>
      </c>
      <c r="J11804" t="str" cm="1">
        <f t="array" ref="J11804">_xlfn.IFS(I11804&lt;=3,"small",I11804&lt;=6,"Medium",I11804&lt;=9,"Large")</f>
        <v>Medium</v>
      </c>
      <c r="K11804" s="36">
        <v>45541</v>
      </c>
      <c r="L11804" s="36">
        <v>45545</v>
      </c>
      <c r="M11804" t="s">
        <v>598</v>
      </c>
      <c r="N11804" t="s">
        <v>608</v>
      </c>
      <c r="O11804" s="37" t="str">
        <f t="shared" si="923"/>
        <v>Cash Payment</v>
      </c>
      <c r="P11804">
        <v>46.16</v>
      </c>
      <c r="Q11804" s="37" t="str">
        <f>IF(P11804&gt;500,"High","low")</f>
        <v>low</v>
      </c>
      <c r="R11804" s="37" t="str">
        <f t="shared" si="924"/>
        <v>AVERAGE</v>
      </c>
      <c r="S11804" t="s">
        <v>615</v>
      </c>
    </row>
    <row r="11805" spans="1:19" x14ac:dyDescent="0.2">
      <c r="A11805" t="s">
        <v>12416</v>
      </c>
      <c r="B11805" t="s">
        <v>90</v>
      </c>
      <c r="C11805" t="s">
        <v>617</v>
      </c>
      <c r="D11805">
        <v>3620.02</v>
      </c>
      <c r="E11805" s="37" t="str">
        <f t="shared" si="920"/>
        <v xml:space="preserve"> </v>
      </c>
      <c r="F11805">
        <v>0.2</v>
      </c>
      <c r="G11805" s="37" t="str">
        <f t="shared" si="921"/>
        <v>Normal Discount</v>
      </c>
      <c r="H11805" s="37" t="str">
        <f t="shared" si="922"/>
        <v>Medium</v>
      </c>
      <c r="I11805">
        <v>8</v>
      </c>
      <c r="J11805" t="str" cm="1">
        <f t="array" ref="J11805">_xlfn.IFS(I11805&lt;=3,"small",I11805&lt;=6,"Medium",I11805&lt;=9,"Large")</f>
        <v>Large</v>
      </c>
      <c r="K11805" s="36">
        <v>45084</v>
      </c>
      <c r="L11805" s="36">
        <v>45090</v>
      </c>
      <c r="M11805" t="s">
        <v>598</v>
      </c>
      <c r="N11805" t="s">
        <v>604</v>
      </c>
      <c r="O11805" s="37" t="str">
        <f t="shared" si="923"/>
        <v>Digital Payment</v>
      </c>
      <c r="P11805">
        <v>523.46</v>
      </c>
      <c r="Q11805" s="37" t="str">
        <f>IF(P11805&gt;500,"High","low")</f>
        <v>High</v>
      </c>
      <c r="R11805" s="37" t="str">
        <f t="shared" si="924"/>
        <v>Good</v>
      </c>
      <c r="S11805" t="s">
        <v>605</v>
      </c>
    </row>
    <row r="11806" spans="1:19" x14ac:dyDescent="0.2">
      <c r="A11806" t="s">
        <v>12417</v>
      </c>
      <c r="B11806" t="s">
        <v>90</v>
      </c>
      <c r="C11806" t="s">
        <v>607</v>
      </c>
      <c r="D11806">
        <v>588.26</v>
      </c>
      <c r="E11806" s="37" t="str">
        <f t="shared" si="920"/>
        <v xml:space="preserve"> </v>
      </c>
      <c r="F11806">
        <v>0.38</v>
      </c>
      <c r="G11806" s="37" t="str">
        <f t="shared" si="921"/>
        <v>Heavy Discount</v>
      </c>
      <c r="H11806" s="37" t="str">
        <f t="shared" si="922"/>
        <v>Medium</v>
      </c>
      <c r="I11806">
        <v>7</v>
      </c>
      <c r="J11806" t="str" cm="1">
        <f t="array" ref="J11806">_xlfn.IFS(I11806&lt;=3,"small",I11806&lt;=6,"Medium",I11806&lt;=9,"Large")</f>
        <v>Large</v>
      </c>
      <c r="K11806" s="36">
        <v>45630</v>
      </c>
      <c r="L11806" s="36">
        <v>45634</v>
      </c>
      <c r="M11806" t="s">
        <v>598</v>
      </c>
      <c r="N11806" t="s">
        <v>604</v>
      </c>
      <c r="O11806" s="37" t="str">
        <f t="shared" si="923"/>
        <v>Digital Payment</v>
      </c>
      <c r="P11806">
        <v>116.16</v>
      </c>
      <c r="Q11806" s="37" t="str">
        <f>IF(P11806&gt;500,"High","low")</f>
        <v>low</v>
      </c>
      <c r="R11806" s="37" t="str">
        <f t="shared" si="924"/>
        <v>AVERAGE</v>
      </c>
      <c r="S11806" t="s">
        <v>605</v>
      </c>
    </row>
    <row r="11807" spans="1:19" x14ac:dyDescent="0.2">
      <c r="A11807" t="s">
        <v>12418</v>
      </c>
      <c r="B11807" t="s">
        <v>67</v>
      </c>
      <c r="C11807" t="s">
        <v>607</v>
      </c>
      <c r="D11807">
        <v>2643.28</v>
      </c>
      <c r="E11807" s="37" t="str">
        <f t="shared" si="920"/>
        <v xml:space="preserve"> </v>
      </c>
      <c r="F11807">
        <v>0.22</v>
      </c>
      <c r="G11807" s="37" t="str">
        <f t="shared" si="921"/>
        <v>Normal Discount</v>
      </c>
      <c r="H11807" s="37" t="str">
        <f t="shared" si="922"/>
        <v>Medium</v>
      </c>
      <c r="I11807">
        <v>7</v>
      </c>
      <c r="J11807" t="str" cm="1">
        <f t="array" ref="J11807">_xlfn.IFS(I11807&lt;=3,"small",I11807&lt;=6,"Medium",I11807&lt;=9,"Large")</f>
        <v>Large</v>
      </c>
      <c r="K11807" s="36">
        <v>45479</v>
      </c>
      <c r="L11807" s="36">
        <v>45481</v>
      </c>
      <c r="M11807" t="s">
        <v>598</v>
      </c>
      <c r="N11807" t="s">
        <v>604</v>
      </c>
      <c r="O11807" s="37" t="str">
        <f t="shared" si="923"/>
        <v>Digital Payment</v>
      </c>
      <c r="P11807">
        <v>457.74</v>
      </c>
      <c r="Q11807" s="37" t="str">
        <f>IF(P11807&gt;500,"High","low")</f>
        <v>low</v>
      </c>
      <c r="R11807" s="37" t="str">
        <f t="shared" si="924"/>
        <v>AVERAGE</v>
      </c>
      <c r="S11807" t="s">
        <v>615</v>
      </c>
    </row>
    <row r="11808" spans="1:19" x14ac:dyDescent="0.2">
      <c r="A11808" t="s">
        <v>12419</v>
      </c>
      <c r="B11808" t="s">
        <v>90</v>
      </c>
      <c r="C11808" t="s">
        <v>597</v>
      </c>
      <c r="D11808">
        <v>2872.64</v>
      </c>
      <c r="E11808" s="37" t="str">
        <f t="shared" si="920"/>
        <v xml:space="preserve"> </v>
      </c>
      <c r="F11808">
        <v>0.11</v>
      </c>
      <c r="G11808" s="37" t="str">
        <f t="shared" si="921"/>
        <v>Normal Discount</v>
      </c>
      <c r="H11808" s="37" t="str">
        <f t="shared" si="922"/>
        <v>Low</v>
      </c>
      <c r="I11808">
        <v>1</v>
      </c>
      <c r="J11808" t="str" cm="1">
        <f t="array" ref="J11808">_xlfn.IFS(I11808&lt;=3,"small",I11808&lt;=6,"Medium",I11808&lt;=9,"Large")</f>
        <v>small</v>
      </c>
      <c r="K11808" s="36">
        <v>45327</v>
      </c>
      <c r="L11808" s="36">
        <v>45329</v>
      </c>
      <c r="M11808" t="s">
        <v>603</v>
      </c>
      <c r="N11808" t="s">
        <v>608</v>
      </c>
      <c r="O11808" s="37" t="str">
        <f t="shared" si="923"/>
        <v>Cash Payment</v>
      </c>
      <c r="P11808">
        <v>593.23</v>
      </c>
      <c r="Q11808" s="37" t="str">
        <f>IF(P11808&gt;500,"High","low")</f>
        <v>High</v>
      </c>
      <c r="R11808" s="37" t="str">
        <f t="shared" si="924"/>
        <v>Good</v>
      </c>
      <c r="S11808" t="s">
        <v>620</v>
      </c>
    </row>
    <row r="11809" spans="1:19" x14ac:dyDescent="0.2">
      <c r="A11809" t="s">
        <v>12420</v>
      </c>
      <c r="B11809" t="s">
        <v>67</v>
      </c>
      <c r="C11809" t="s">
        <v>614</v>
      </c>
      <c r="D11809">
        <v>108.28</v>
      </c>
      <c r="E11809" s="37" t="str">
        <f t="shared" si="920"/>
        <v xml:space="preserve"> </v>
      </c>
      <c r="F11809">
        <v>0.22</v>
      </c>
      <c r="G11809" s="37" t="str">
        <f t="shared" si="921"/>
        <v>Normal Discount</v>
      </c>
      <c r="H11809" s="37" t="str">
        <f t="shared" si="922"/>
        <v>Medium</v>
      </c>
      <c r="I11809">
        <v>1</v>
      </c>
      <c r="J11809" t="str" cm="1">
        <f t="array" ref="J11809">_xlfn.IFS(I11809&lt;=3,"small",I11809&lt;=6,"Medium",I11809&lt;=9,"Large")</f>
        <v>small</v>
      </c>
      <c r="K11809" s="36">
        <v>45059</v>
      </c>
      <c r="L11809" s="36">
        <v>45063</v>
      </c>
      <c r="M11809" t="s">
        <v>603</v>
      </c>
      <c r="N11809" t="s">
        <v>599</v>
      </c>
      <c r="O11809" s="37" t="str">
        <f t="shared" si="923"/>
        <v>Digital Payment</v>
      </c>
      <c r="P11809">
        <v>28.48</v>
      </c>
      <c r="Q11809" s="37" t="str">
        <f>IF(P11809&gt;500,"High","low")</f>
        <v>low</v>
      </c>
      <c r="R11809" s="37" t="str">
        <f t="shared" si="924"/>
        <v>AVERAGE</v>
      </c>
      <c r="S11809" t="s">
        <v>609</v>
      </c>
    </row>
    <row r="11810" spans="1:19" x14ac:dyDescent="0.2">
      <c r="A11810" t="s">
        <v>12421</v>
      </c>
      <c r="B11810" t="s">
        <v>83</v>
      </c>
      <c r="C11810" t="s">
        <v>617</v>
      </c>
      <c r="D11810">
        <v>4901.41</v>
      </c>
      <c r="E11810" s="37" t="str">
        <f t="shared" si="920"/>
        <v xml:space="preserve"> </v>
      </c>
      <c r="F11810">
        <v>0.27</v>
      </c>
      <c r="G11810" s="37" t="str">
        <f t="shared" si="921"/>
        <v>Normal Discount</v>
      </c>
      <c r="H11810" s="37" t="str">
        <f t="shared" si="922"/>
        <v>Medium</v>
      </c>
      <c r="I11810">
        <v>6</v>
      </c>
      <c r="J11810" t="str" cm="1">
        <f t="array" ref="J11810">_xlfn.IFS(I11810&lt;=3,"small",I11810&lt;=6,"Medium",I11810&lt;=9,"Large")</f>
        <v>Medium</v>
      </c>
      <c r="K11810" s="36">
        <v>44931</v>
      </c>
      <c r="L11810" s="36">
        <v>44937</v>
      </c>
      <c r="M11810" t="s">
        <v>612</v>
      </c>
      <c r="N11810" t="s">
        <v>604</v>
      </c>
      <c r="O11810" s="37" t="str">
        <f t="shared" si="923"/>
        <v>Digital Payment</v>
      </c>
      <c r="P11810">
        <v>679.52</v>
      </c>
      <c r="Q11810" s="37" t="str">
        <f>IF(P11810&gt;500,"High","low")</f>
        <v>High</v>
      </c>
      <c r="R11810" s="37" t="str">
        <f t="shared" si="924"/>
        <v>Good</v>
      </c>
      <c r="S11810" t="s">
        <v>615</v>
      </c>
    </row>
    <row r="11811" spans="1:19" x14ac:dyDescent="0.2">
      <c r="A11811" t="s">
        <v>12422</v>
      </c>
      <c r="B11811" t="s">
        <v>75</v>
      </c>
      <c r="C11811" t="s">
        <v>617</v>
      </c>
      <c r="D11811">
        <v>1580.48</v>
      </c>
      <c r="E11811" s="37" t="str">
        <f t="shared" si="920"/>
        <v xml:space="preserve"> </v>
      </c>
      <c r="F11811">
        <v>0.23</v>
      </c>
      <c r="G11811" s="37" t="str">
        <f t="shared" si="921"/>
        <v>Normal Discount</v>
      </c>
      <c r="H11811" s="37" t="str">
        <f t="shared" si="922"/>
        <v>Medium</v>
      </c>
      <c r="I11811">
        <v>8</v>
      </c>
      <c r="J11811" t="str" cm="1">
        <f t="array" ref="J11811">_xlfn.IFS(I11811&lt;=3,"small",I11811&lt;=6,"Medium",I11811&lt;=9,"Large")</f>
        <v>Large</v>
      </c>
      <c r="K11811" s="36">
        <v>45639</v>
      </c>
      <c r="L11811" s="36">
        <v>45640</v>
      </c>
      <c r="M11811" t="s">
        <v>603</v>
      </c>
      <c r="N11811" t="s">
        <v>608</v>
      </c>
      <c r="O11811" s="37" t="str">
        <f t="shared" si="923"/>
        <v>Cash Payment</v>
      </c>
      <c r="P11811">
        <v>441.05</v>
      </c>
      <c r="Q11811" s="37" t="str">
        <f>IF(P11811&gt;500,"High","low")</f>
        <v>low</v>
      </c>
      <c r="R11811" s="37" t="str">
        <f t="shared" si="924"/>
        <v>AVERAGE</v>
      </c>
      <c r="S11811" t="s">
        <v>628</v>
      </c>
    </row>
    <row r="11812" spans="1:19" x14ac:dyDescent="0.2">
      <c r="A11812" t="s">
        <v>12423</v>
      </c>
      <c r="B11812" t="s">
        <v>75</v>
      </c>
      <c r="C11812" t="s">
        <v>614</v>
      </c>
      <c r="D11812">
        <v>478.4</v>
      </c>
      <c r="E11812" s="37" t="str">
        <f t="shared" si="920"/>
        <v xml:space="preserve"> </v>
      </c>
      <c r="F11812">
        <v>0.14000000000000001</v>
      </c>
      <c r="G11812" s="37" t="str">
        <f t="shared" si="921"/>
        <v>Normal Discount</v>
      </c>
      <c r="H11812" s="37" t="str">
        <f t="shared" si="922"/>
        <v>Low</v>
      </c>
      <c r="I11812">
        <v>3</v>
      </c>
      <c r="J11812" t="str" cm="1">
        <f t="array" ref="J11812">_xlfn.IFS(I11812&lt;=3,"small",I11812&lt;=6,"Medium",I11812&lt;=9,"Large")</f>
        <v>small</v>
      </c>
      <c r="K11812" s="36">
        <v>45001</v>
      </c>
      <c r="L11812" s="36">
        <v>45007</v>
      </c>
      <c r="M11812" t="s">
        <v>603</v>
      </c>
      <c r="N11812" t="s">
        <v>608</v>
      </c>
      <c r="O11812" s="37" t="str">
        <f t="shared" si="923"/>
        <v>Cash Payment</v>
      </c>
      <c r="P11812">
        <v>36.93</v>
      </c>
      <c r="Q11812" s="37" t="str">
        <f>IF(P11812&gt;500,"High","low")</f>
        <v>low</v>
      </c>
      <c r="R11812" s="37" t="str">
        <f t="shared" si="924"/>
        <v>AVERAGE</v>
      </c>
      <c r="S11812" t="s">
        <v>628</v>
      </c>
    </row>
    <row r="11813" spans="1:19" x14ac:dyDescent="0.2">
      <c r="A11813" t="s">
        <v>12424</v>
      </c>
      <c r="B11813" t="s">
        <v>75</v>
      </c>
      <c r="C11813" t="s">
        <v>607</v>
      </c>
      <c r="D11813">
        <v>4286.5</v>
      </c>
      <c r="E11813" s="37" t="str">
        <f t="shared" si="920"/>
        <v xml:space="preserve"> </v>
      </c>
      <c r="F11813">
        <v>0.09</v>
      </c>
      <c r="G11813" s="37" t="str">
        <f t="shared" si="921"/>
        <v>Normal Discount</v>
      </c>
      <c r="H11813" s="37" t="str">
        <f t="shared" si="922"/>
        <v>Low</v>
      </c>
      <c r="I11813">
        <v>8</v>
      </c>
      <c r="J11813" t="str" cm="1">
        <f t="array" ref="J11813">_xlfn.IFS(I11813&lt;=3,"small",I11813&lt;=6,"Medium",I11813&lt;=9,"Large")</f>
        <v>Large</v>
      </c>
      <c r="K11813" s="36">
        <v>45286</v>
      </c>
      <c r="L11813" s="36">
        <v>45291</v>
      </c>
      <c r="M11813" t="s">
        <v>603</v>
      </c>
      <c r="N11813" t="s">
        <v>599</v>
      </c>
      <c r="O11813" s="37" t="str">
        <f t="shared" si="923"/>
        <v>Digital Payment</v>
      </c>
      <c r="P11813">
        <v>493.94</v>
      </c>
      <c r="Q11813" s="37" t="str">
        <f>IF(P11813&gt;500,"High","low")</f>
        <v>low</v>
      </c>
      <c r="R11813" s="37" t="str">
        <f t="shared" si="924"/>
        <v>AVERAGE</v>
      </c>
      <c r="S11813" t="s">
        <v>628</v>
      </c>
    </row>
    <row r="11814" spans="1:19" x14ac:dyDescent="0.2">
      <c r="A11814" t="s">
        <v>12425</v>
      </c>
      <c r="B11814" t="s">
        <v>75</v>
      </c>
      <c r="C11814" t="s">
        <v>602</v>
      </c>
      <c r="D11814">
        <v>844.57</v>
      </c>
      <c r="E11814" s="37" t="str">
        <f t="shared" si="920"/>
        <v xml:space="preserve"> </v>
      </c>
      <c r="F11814">
        <v>0.47</v>
      </c>
      <c r="G11814" s="37" t="str">
        <f t="shared" si="921"/>
        <v>Heavy Discount</v>
      </c>
      <c r="H11814" s="37" t="str">
        <f t="shared" si="922"/>
        <v>High</v>
      </c>
      <c r="I11814">
        <v>8</v>
      </c>
      <c r="J11814" t="str" cm="1">
        <f t="array" ref="J11814">_xlfn.IFS(I11814&lt;=3,"small",I11814&lt;=6,"Medium",I11814&lt;=9,"Large")</f>
        <v>Large</v>
      </c>
      <c r="K11814" s="36">
        <v>45388</v>
      </c>
      <c r="L11814" s="36">
        <v>45393</v>
      </c>
      <c r="M11814" t="s">
        <v>603</v>
      </c>
      <c r="N11814" t="s">
        <v>599</v>
      </c>
      <c r="O11814" s="37" t="str">
        <f t="shared" si="923"/>
        <v>Digital Payment</v>
      </c>
      <c r="P11814">
        <v>236.39</v>
      </c>
      <c r="Q11814" s="37" t="str">
        <f>IF(P11814&gt;500,"High","low")</f>
        <v>low</v>
      </c>
      <c r="R11814" s="37" t="str">
        <f t="shared" si="924"/>
        <v>AVERAGE</v>
      </c>
      <c r="S11814" t="s">
        <v>600</v>
      </c>
    </row>
    <row r="11815" spans="1:19" x14ac:dyDescent="0.2">
      <c r="A11815" t="s">
        <v>12426</v>
      </c>
      <c r="B11815" t="s">
        <v>83</v>
      </c>
      <c r="C11815" t="s">
        <v>614</v>
      </c>
      <c r="D11815">
        <v>222.28</v>
      </c>
      <c r="E11815" s="37" t="str">
        <f t="shared" si="920"/>
        <v xml:space="preserve"> </v>
      </c>
      <c r="F11815">
        <v>0.15</v>
      </c>
      <c r="G11815" s="37" t="str">
        <f t="shared" si="921"/>
        <v>Normal Discount</v>
      </c>
      <c r="H11815" s="37" t="str">
        <f t="shared" si="922"/>
        <v>Low</v>
      </c>
      <c r="I11815">
        <v>1</v>
      </c>
      <c r="J11815" t="str" cm="1">
        <f t="array" ref="J11815">_xlfn.IFS(I11815&lt;=3,"small",I11815&lt;=6,"Medium",I11815&lt;=9,"Large")</f>
        <v>small</v>
      </c>
      <c r="K11815" s="36">
        <v>45558</v>
      </c>
      <c r="L11815" s="36">
        <v>45563</v>
      </c>
      <c r="M11815" t="s">
        <v>598</v>
      </c>
      <c r="N11815" t="s">
        <v>604</v>
      </c>
      <c r="O11815" s="37" t="str">
        <f t="shared" si="923"/>
        <v>Digital Payment</v>
      </c>
      <c r="P11815">
        <v>14.67</v>
      </c>
      <c r="Q11815" s="37" t="str">
        <f>IF(P11815&gt;500,"High","low")</f>
        <v>low</v>
      </c>
      <c r="R11815" s="37" t="str">
        <f t="shared" si="924"/>
        <v>AVERAGE</v>
      </c>
      <c r="S11815" t="s">
        <v>609</v>
      </c>
    </row>
    <row r="11816" spans="1:19" x14ac:dyDescent="0.2">
      <c r="A11816" t="s">
        <v>12427</v>
      </c>
      <c r="B11816" t="s">
        <v>75</v>
      </c>
      <c r="C11816" t="s">
        <v>617</v>
      </c>
      <c r="D11816">
        <v>2523.98</v>
      </c>
      <c r="E11816" s="37" t="str">
        <f t="shared" si="920"/>
        <v xml:space="preserve"> </v>
      </c>
      <c r="F11816">
        <v>0.35</v>
      </c>
      <c r="G11816" s="37" t="str">
        <f t="shared" si="921"/>
        <v>Heavy Discount</v>
      </c>
      <c r="H11816" s="37" t="str">
        <f t="shared" si="922"/>
        <v>Medium</v>
      </c>
      <c r="I11816">
        <v>5</v>
      </c>
      <c r="J11816" t="str" cm="1">
        <f t="array" ref="J11816">_xlfn.IFS(I11816&lt;=3,"small",I11816&lt;=6,"Medium",I11816&lt;=9,"Large")</f>
        <v>Medium</v>
      </c>
      <c r="K11816" s="36">
        <v>45476</v>
      </c>
      <c r="L11816" s="36">
        <v>45478</v>
      </c>
      <c r="M11816" t="s">
        <v>598</v>
      </c>
      <c r="N11816" t="s">
        <v>599</v>
      </c>
      <c r="O11816" s="37" t="str">
        <f t="shared" si="923"/>
        <v>Digital Payment</v>
      </c>
      <c r="P11816">
        <v>418.05</v>
      </c>
      <c r="Q11816" s="37" t="str">
        <f>IF(P11816&gt;500,"High","low")</f>
        <v>low</v>
      </c>
      <c r="R11816" s="37" t="str">
        <f t="shared" si="924"/>
        <v>AVERAGE</v>
      </c>
      <c r="S11816" t="s">
        <v>605</v>
      </c>
    </row>
    <row r="11817" spans="1:19" x14ac:dyDescent="0.2">
      <c r="A11817" t="s">
        <v>12428</v>
      </c>
      <c r="B11817" t="s">
        <v>90</v>
      </c>
      <c r="C11817" t="s">
        <v>614</v>
      </c>
      <c r="D11817">
        <v>736.59</v>
      </c>
      <c r="E11817" s="37" t="str">
        <f t="shared" si="920"/>
        <v xml:space="preserve"> </v>
      </c>
      <c r="F11817">
        <v>0.17</v>
      </c>
      <c r="G11817" s="37" t="str">
        <f t="shared" si="921"/>
        <v>Normal Discount</v>
      </c>
      <c r="H11817" s="37" t="str">
        <f t="shared" si="922"/>
        <v>Low</v>
      </c>
      <c r="I11817">
        <v>9</v>
      </c>
      <c r="J11817" t="str" cm="1">
        <f t="array" ref="J11817">_xlfn.IFS(I11817&lt;=3,"small",I11817&lt;=6,"Medium",I11817&lt;=9,"Large")</f>
        <v>Large</v>
      </c>
      <c r="K11817" s="36">
        <v>45624</v>
      </c>
      <c r="L11817" s="36">
        <v>45629</v>
      </c>
      <c r="M11817" t="s">
        <v>598</v>
      </c>
      <c r="N11817" t="s">
        <v>599</v>
      </c>
      <c r="O11817" s="37" t="str">
        <f t="shared" si="923"/>
        <v>Digital Payment</v>
      </c>
      <c r="P11817">
        <v>84.68</v>
      </c>
      <c r="Q11817" s="37" t="str">
        <f>IF(P11817&gt;500,"High","low")</f>
        <v>low</v>
      </c>
      <c r="R11817" s="37" t="str">
        <f t="shared" si="924"/>
        <v>AVERAGE</v>
      </c>
      <c r="S11817" t="s">
        <v>620</v>
      </c>
    </row>
    <row r="11818" spans="1:19" x14ac:dyDescent="0.2">
      <c r="A11818" t="s">
        <v>12429</v>
      </c>
      <c r="B11818" t="s">
        <v>90</v>
      </c>
      <c r="C11818" t="s">
        <v>607</v>
      </c>
      <c r="D11818">
        <v>4913.87</v>
      </c>
      <c r="E11818" s="37" t="str">
        <f t="shared" si="920"/>
        <v>Excellent Order</v>
      </c>
      <c r="F11818">
        <v>0.48</v>
      </c>
      <c r="G11818" s="37" t="str">
        <f t="shared" si="921"/>
        <v>Heavy Discount</v>
      </c>
      <c r="H11818" s="37" t="str">
        <f t="shared" si="922"/>
        <v>High</v>
      </c>
      <c r="I11818">
        <v>3</v>
      </c>
      <c r="J11818" t="str" cm="1">
        <f t="array" ref="J11818">_xlfn.IFS(I11818&lt;=3,"small",I11818&lt;=6,"Medium",I11818&lt;=9,"Large")</f>
        <v>small</v>
      </c>
      <c r="K11818" s="36">
        <v>45375</v>
      </c>
      <c r="L11818" s="36">
        <v>45378</v>
      </c>
      <c r="M11818" t="s">
        <v>612</v>
      </c>
      <c r="N11818" t="s">
        <v>604</v>
      </c>
      <c r="O11818" s="37" t="str">
        <f t="shared" si="923"/>
        <v>Digital Payment</v>
      </c>
      <c r="P11818">
        <v>1214.25</v>
      </c>
      <c r="Q11818" s="37" t="str">
        <f>IF(P11818&gt;500,"High","low")</f>
        <v>High</v>
      </c>
      <c r="R11818" s="37" t="str">
        <f t="shared" si="924"/>
        <v>Excellent</v>
      </c>
      <c r="S11818" t="s">
        <v>609</v>
      </c>
    </row>
    <row r="11819" spans="1:19" x14ac:dyDescent="0.2">
      <c r="A11819" t="s">
        <v>12430</v>
      </c>
      <c r="B11819" t="s">
        <v>75</v>
      </c>
      <c r="C11819" t="s">
        <v>597</v>
      </c>
      <c r="D11819">
        <v>151.01</v>
      </c>
      <c r="E11819" s="37" t="str">
        <f t="shared" si="920"/>
        <v xml:space="preserve"> </v>
      </c>
      <c r="F11819">
        <v>0.49</v>
      </c>
      <c r="G11819" s="37" t="str">
        <f t="shared" si="921"/>
        <v>Heavy Discount</v>
      </c>
      <c r="H11819" s="37" t="str">
        <f t="shared" si="922"/>
        <v>High</v>
      </c>
      <c r="I11819">
        <v>9</v>
      </c>
      <c r="J11819" t="str" cm="1">
        <f t="array" ref="J11819">_xlfn.IFS(I11819&lt;=3,"small",I11819&lt;=6,"Medium",I11819&lt;=9,"Large")</f>
        <v>Large</v>
      </c>
      <c r="K11819" s="36">
        <v>45271</v>
      </c>
      <c r="L11819" s="36">
        <v>45277</v>
      </c>
      <c r="M11819" t="s">
        <v>598</v>
      </c>
      <c r="N11819" t="s">
        <v>608</v>
      </c>
      <c r="O11819" s="37" t="str">
        <f t="shared" si="923"/>
        <v>Cash Payment</v>
      </c>
      <c r="P11819">
        <v>10.84</v>
      </c>
      <c r="Q11819" s="37" t="str">
        <f>IF(P11819&gt;500,"High","low")</f>
        <v>low</v>
      </c>
      <c r="R11819" s="37" t="str">
        <f t="shared" si="924"/>
        <v>AVERAGE</v>
      </c>
      <c r="S11819" t="s">
        <v>605</v>
      </c>
    </row>
    <row r="11820" spans="1:19" x14ac:dyDescent="0.2">
      <c r="A11820" t="s">
        <v>12431</v>
      </c>
      <c r="B11820" t="s">
        <v>90</v>
      </c>
      <c r="C11820" t="s">
        <v>597</v>
      </c>
      <c r="D11820">
        <v>350.87</v>
      </c>
      <c r="E11820" s="37" t="str">
        <f t="shared" si="920"/>
        <v xml:space="preserve"> </v>
      </c>
      <c r="F11820">
        <v>0.41</v>
      </c>
      <c r="G11820" s="37" t="str">
        <f t="shared" si="921"/>
        <v>Heavy Discount</v>
      </c>
      <c r="H11820" s="37" t="str">
        <f t="shared" si="922"/>
        <v>High</v>
      </c>
      <c r="I11820">
        <v>9</v>
      </c>
      <c r="J11820" t="str" cm="1">
        <f t="array" ref="J11820">_xlfn.IFS(I11820&lt;=3,"small",I11820&lt;=6,"Medium",I11820&lt;=9,"Large")</f>
        <v>Large</v>
      </c>
      <c r="K11820" s="36">
        <v>45451</v>
      </c>
      <c r="L11820" s="36">
        <v>45458</v>
      </c>
      <c r="M11820" t="s">
        <v>598</v>
      </c>
      <c r="N11820" t="s">
        <v>608</v>
      </c>
      <c r="O11820" s="37" t="str">
        <f t="shared" si="923"/>
        <v>Cash Payment</v>
      </c>
      <c r="P11820">
        <v>28.67</v>
      </c>
      <c r="Q11820" s="37" t="str">
        <f>IF(P11820&gt;500,"High","low")</f>
        <v>low</v>
      </c>
      <c r="R11820" s="37" t="str">
        <f t="shared" si="924"/>
        <v>AVERAGE</v>
      </c>
      <c r="S11820" t="s">
        <v>609</v>
      </c>
    </row>
    <row r="11821" spans="1:19" x14ac:dyDescent="0.2">
      <c r="A11821" t="s">
        <v>12432</v>
      </c>
      <c r="B11821" t="s">
        <v>67</v>
      </c>
      <c r="C11821" t="s">
        <v>602</v>
      </c>
      <c r="D11821">
        <v>4183.09</v>
      </c>
      <c r="E11821" s="37" t="str">
        <f t="shared" si="920"/>
        <v xml:space="preserve"> </v>
      </c>
      <c r="F11821">
        <v>0.28999999999999998</v>
      </c>
      <c r="G11821" s="37" t="str">
        <f t="shared" si="921"/>
        <v>Normal Discount</v>
      </c>
      <c r="H11821" s="37" t="str">
        <f t="shared" si="922"/>
        <v>Medium</v>
      </c>
      <c r="I11821">
        <v>1</v>
      </c>
      <c r="J11821" t="str" cm="1">
        <f t="array" ref="J11821">_xlfn.IFS(I11821&lt;=3,"small",I11821&lt;=6,"Medium",I11821&lt;=9,"Large")</f>
        <v>small</v>
      </c>
      <c r="K11821" s="36">
        <v>45593</v>
      </c>
      <c r="L11821" s="36">
        <v>45595</v>
      </c>
      <c r="M11821" t="s">
        <v>603</v>
      </c>
      <c r="N11821" t="s">
        <v>599</v>
      </c>
      <c r="O11821" s="37" t="str">
        <f t="shared" si="923"/>
        <v>Digital Payment</v>
      </c>
      <c r="P11821">
        <v>373.93</v>
      </c>
      <c r="Q11821" s="37" t="str">
        <f>IF(P11821&gt;500,"High","low")</f>
        <v>low</v>
      </c>
      <c r="R11821" s="37" t="str">
        <f t="shared" si="924"/>
        <v>AVERAGE</v>
      </c>
      <c r="S11821" t="s">
        <v>615</v>
      </c>
    </row>
    <row r="11822" spans="1:19" x14ac:dyDescent="0.2">
      <c r="A11822" t="s">
        <v>12433</v>
      </c>
      <c r="B11822" t="s">
        <v>83</v>
      </c>
      <c r="C11822" t="s">
        <v>602</v>
      </c>
      <c r="D11822">
        <v>1274.78</v>
      </c>
      <c r="E11822" s="37" t="str">
        <f t="shared" si="920"/>
        <v xml:space="preserve"> </v>
      </c>
      <c r="F11822">
        <v>0.27</v>
      </c>
      <c r="G11822" s="37" t="str">
        <f t="shared" si="921"/>
        <v>Normal Discount</v>
      </c>
      <c r="H11822" s="37" t="str">
        <f t="shared" si="922"/>
        <v>Medium</v>
      </c>
      <c r="I11822">
        <v>2</v>
      </c>
      <c r="J11822" t="str" cm="1">
        <f t="array" ref="J11822">_xlfn.IFS(I11822&lt;=3,"small",I11822&lt;=6,"Medium",I11822&lt;=9,"Large")</f>
        <v>small</v>
      </c>
      <c r="K11822" s="36">
        <v>45622</v>
      </c>
      <c r="L11822" s="36">
        <v>45628</v>
      </c>
      <c r="M11822" t="s">
        <v>603</v>
      </c>
      <c r="N11822" t="s">
        <v>599</v>
      </c>
      <c r="O11822" s="37" t="str">
        <f t="shared" si="923"/>
        <v>Digital Payment</v>
      </c>
      <c r="P11822">
        <v>164.33</v>
      </c>
      <c r="Q11822" s="37" t="str">
        <f>IF(P11822&gt;500,"High","low")</f>
        <v>low</v>
      </c>
      <c r="R11822" s="37" t="str">
        <f t="shared" si="924"/>
        <v>AVERAGE</v>
      </c>
      <c r="S11822" t="s">
        <v>600</v>
      </c>
    </row>
    <row r="11823" spans="1:19" x14ac:dyDescent="0.2">
      <c r="A11823" t="s">
        <v>12434</v>
      </c>
      <c r="B11823" t="s">
        <v>75</v>
      </c>
      <c r="C11823" t="s">
        <v>607</v>
      </c>
      <c r="D11823">
        <v>4566.82</v>
      </c>
      <c r="E11823" s="37" t="str">
        <f t="shared" si="920"/>
        <v>Excellent Order</v>
      </c>
      <c r="F11823">
        <v>0.16</v>
      </c>
      <c r="G11823" s="37" t="str">
        <f t="shared" si="921"/>
        <v>Normal Discount</v>
      </c>
      <c r="H11823" s="37" t="str">
        <f t="shared" si="922"/>
        <v>Low</v>
      </c>
      <c r="I11823">
        <v>3</v>
      </c>
      <c r="J11823" t="str" cm="1">
        <f t="array" ref="J11823">_xlfn.IFS(I11823&lt;=3,"small",I11823&lt;=6,"Medium",I11823&lt;=9,"Large")</f>
        <v>small</v>
      </c>
      <c r="K11823" s="36">
        <v>44994</v>
      </c>
      <c r="L11823" s="36">
        <v>44997</v>
      </c>
      <c r="M11823" t="s">
        <v>598</v>
      </c>
      <c r="N11823" t="s">
        <v>599</v>
      </c>
      <c r="O11823" s="37" t="str">
        <f t="shared" si="923"/>
        <v>Digital Payment</v>
      </c>
      <c r="P11823">
        <v>1207.3699999999999</v>
      </c>
      <c r="Q11823" s="37" t="str">
        <f>IF(P11823&gt;500,"High","low")</f>
        <v>High</v>
      </c>
      <c r="R11823" s="37" t="str">
        <f t="shared" si="924"/>
        <v>Excellent</v>
      </c>
      <c r="S11823" t="s">
        <v>615</v>
      </c>
    </row>
    <row r="11824" spans="1:19" x14ac:dyDescent="0.2">
      <c r="A11824" t="s">
        <v>12435</v>
      </c>
      <c r="B11824" t="s">
        <v>75</v>
      </c>
      <c r="C11824" t="s">
        <v>602</v>
      </c>
      <c r="D11824">
        <v>1624.57</v>
      </c>
      <c r="E11824" s="37" t="str">
        <f t="shared" si="920"/>
        <v xml:space="preserve"> </v>
      </c>
      <c r="F11824">
        <v>0.06</v>
      </c>
      <c r="G11824" s="37" t="str">
        <f t="shared" si="921"/>
        <v>Normal Discount</v>
      </c>
      <c r="H11824" s="37" t="str">
        <f t="shared" si="922"/>
        <v>Low</v>
      </c>
      <c r="I11824">
        <v>4</v>
      </c>
      <c r="J11824" t="str" cm="1">
        <f t="array" ref="J11824">_xlfn.IFS(I11824&lt;=3,"small",I11824&lt;=6,"Medium",I11824&lt;=9,"Large")</f>
        <v>Medium</v>
      </c>
      <c r="K11824" s="36">
        <v>45625</v>
      </c>
      <c r="L11824" s="36">
        <v>45627</v>
      </c>
      <c r="M11824" t="s">
        <v>612</v>
      </c>
      <c r="N11824" t="s">
        <v>604</v>
      </c>
      <c r="O11824" s="37" t="str">
        <f t="shared" si="923"/>
        <v>Digital Payment</v>
      </c>
      <c r="P11824">
        <v>436.73</v>
      </c>
      <c r="Q11824" s="37" t="str">
        <f>IF(P11824&gt;500,"High","low")</f>
        <v>low</v>
      </c>
      <c r="R11824" s="37" t="str">
        <f t="shared" si="924"/>
        <v>AVERAGE</v>
      </c>
      <c r="S11824" t="s">
        <v>600</v>
      </c>
    </row>
    <row r="11825" spans="1:19" x14ac:dyDescent="0.2">
      <c r="A11825" t="s">
        <v>12436</v>
      </c>
      <c r="B11825" t="s">
        <v>83</v>
      </c>
      <c r="C11825" t="s">
        <v>597</v>
      </c>
      <c r="D11825">
        <v>441.93</v>
      </c>
      <c r="E11825" s="37" t="str">
        <f t="shared" si="920"/>
        <v xml:space="preserve"> </v>
      </c>
      <c r="F11825">
        <v>0.04</v>
      </c>
      <c r="G11825" s="37" t="str">
        <f t="shared" si="921"/>
        <v>Normal Discount</v>
      </c>
      <c r="H11825" s="37" t="str">
        <f t="shared" si="922"/>
        <v>Low</v>
      </c>
      <c r="I11825">
        <v>5</v>
      </c>
      <c r="J11825" t="str" cm="1">
        <f t="array" ref="J11825">_xlfn.IFS(I11825&lt;=3,"small",I11825&lt;=6,"Medium",I11825&lt;=9,"Large")</f>
        <v>Medium</v>
      </c>
      <c r="K11825" s="36">
        <v>45165</v>
      </c>
      <c r="L11825" s="36">
        <v>45167</v>
      </c>
      <c r="M11825" t="s">
        <v>598</v>
      </c>
      <c r="N11825" t="s">
        <v>608</v>
      </c>
      <c r="O11825" s="37" t="str">
        <f t="shared" si="923"/>
        <v>Cash Payment</v>
      </c>
      <c r="P11825">
        <v>44.36</v>
      </c>
      <c r="Q11825" s="37" t="str">
        <f>IF(P11825&gt;500,"High","low")</f>
        <v>low</v>
      </c>
      <c r="R11825" s="37" t="str">
        <f t="shared" si="924"/>
        <v>AVERAGE</v>
      </c>
      <c r="S11825" t="s">
        <v>620</v>
      </c>
    </row>
    <row r="11826" spans="1:19" x14ac:dyDescent="0.2">
      <c r="A11826" t="s">
        <v>12437</v>
      </c>
      <c r="B11826" t="s">
        <v>90</v>
      </c>
      <c r="C11826" t="s">
        <v>607</v>
      </c>
      <c r="D11826">
        <v>151.9</v>
      </c>
      <c r="E11826" s="37" t="str">
        <f t="shared" si="920"/>
        <v xml:space="preserve"> </v>
      </c>
      <c r="F11826">
        <v>0.23</v>
      </c>
      <c r="G11826" s="37" t="str">
        <f t="shared" si="921"/>
        <v>Normal Discount</v>
      </c>
      <c r="H11826" s="37" t="str">
        <f t="shared" si="922"/>
        <v>Medium</v>
      </c>
      <c r="I11826">
        <v>5</v>
      </c>
      <c r="J11826" t="str" cm="1">
        <f t="array" ref="J11826">_xlfn.IFS(I11826&lt;=3,"small",I11826&lt;=6,"Medium",I11826&lt;=9,"Large")</f>
        <v>Medium</v>
      </c>
      <c r="K11826" s="36">
        <v>45021</v>
      </c>
      <c r="L11826" s="36">
        <v>45026</v>
      </c>
      <c r="M11826" t="s">
        <v>598</v>
      </c>
      <c r="N11826" t="s">
        <v>608</v>
      </c>
      <c r="O11826" s="37" t="str">
        <f t="shared" si="923"/>
        <v>Cash Payment</v>
      </c>
      <c r="P11826">
        <v>27.33</v>
      </c>
      <c r="Q11826" s="37" t="str">
        <f>IF(P11826&gt;500,"High","low")</f>
        <v>low</v>
      </c>
      <c r="R11826" s="37" t="str">
        <f t="shared" si="924"/>
        <v>AVERAGE</v>
      </c>
      <c r="S11826" t="s">
        <v>615</v>
      </c>
    </row>
    <row r="11827" spans="1:19" x14ac:dyDescent="0.2">
      <c r="A11827" t="s">
        <v>12438</v>
      </c>
      <c r="B11827" t="s">
        <v>83</v>
      </c>
      <c r="C11827" t="s">
        <v>607</v>
      </c>
      <c r="D11827">
        <v>1484.58</v>
      </c>
      <c r="E11827" s="37" t="str">
        <f t="shared" si="920"/>
        <v xml:space="preserve"> </v>
      </c>
      <c r="F11827">
        <v>0.49</v>
      </c>
      <c r="G11827" s="37" t="str">
        <f t="shared" si="921"/>
        <v>Heavy Discount</v>
      </c>
      <c r="H11827" s="37" t="str">
        <f t="shared" si="922"/>
        <v>High</v>
      </c>
      <c r="I11827">
        <v>5</v>
      </c>
      <c r="J11827" t="str" cm="1">
        <f t="array" ref="J11827">_xlfn.IFS(I11827&lt;=3,"small",I11827&lt;=6,"Medium",I11827&lt;=9,"Large")</f>
        <v>Medium</v>
      </c>
      <c r="K11827" s="36">
        <v>45615</v>
      </c>
      <c r="L11827" s="36">
        <v>45617</v>
      </c>
      <c r="M11827" t="s">
        <v>598</v>
      </c>
      <c r="N11827" t="s">
        <v>608</v>
      </c>
      <c r="O11827" s="37" t="str">
        <f t="shared" si="923"/>
        <v>Cash Payment</v>
      </c>
      <c r="P11827">
        <v>321.08999999999997</v>
      </c>
      <c r="Q11827" s="37" t="str">
        <f>IF(P11827&gt;500,"High","low")</f>
        <v>low</v>
      </c>
      <c r="R11827" s="37" t="str">
        <f t="shared" si="924"/>
        <v>AVERAGE</v>
      </c>
      <c r="S11827" t="s">
        <v>600</v>
      </c>
    </row>
    <row r="11828" spans="1:19" x14ac:dyDescent="0.2">
      <c r="A11828" t="s">
        <v>12439</v>
      </c>
      <c r="B11828" t="s">
        <v>83</v>
      </c>
      <c r="C11828" t="s">
        <v>607</v>
      </c>
      <c r="D11828">
        <v>2421.2800000000002</v>
      </c>
      <c r="E11828" s="37" t="str">
        <f t="shared" si="920"/>
        <v xml:space="preserve"> </v>
      </c>
      <c r="F11828">
        <v>0.12</v>
      </c>
      <c r="G11828" s="37" t="str">
        <f t="shared" si="921"/>
        <v>Normal Discount</v>
      </c>
      <c r="H11828" s="37" t="str">
        <f t="shared" si="922"/>
        <v>Low</v>
      </c>
      <c r="I11828">
        <v>3</v>
      </c>
      <c r="J11828" t="str" cm="1">
        <f t="array" ref="J11828">_xlfn.IFS(I11828&lt;=3,"small",I11828&lt;=6,"Medium",I11828&lt;=9,"Large")</f>
        <v>small</v>
      </c>
      <c r="K11828" s="36">
        <v>45456</v>
      </c>
      <c r="L11828" s="36">
        <v>45459</v>
      </c>
      <c r="M11828" t="s">
        <v>603</v>
      </c>
      <c r="N11828" t="s">
        <v>604</v>
      </c>
      <c r="O11828" s="37" t="str">
        <f t="shared" si="923"/>
        <v>Digital Payment</v>
      </c>
      <c r="P11828">
        <v>370.66</v>
      </c>
      <c r="Q11828" s="37" t="str">
        <f>IF(P11828&gt;500,"High","low")</f>
        <v>low</v>
      </c>
      <c r="R11828" s="37" t="str">
        <f t="shared" si="924"/>
        <v>AVERAGE</v>
      </c>
      <c r="S11828" t="s">
        <v>600</v>
      </c>
    </row>
    <row r="11829" spans="1:19" x14ac:dyDescent="0.2">
      <c r="A11829" t="s">
        <v>12440</v>
      </c>
      <c r="B11829" t="s">
        <v>90</v>
      </c>
      <c r="C11829" t="s">
        <v>614</v>
      </c>
      <c r="D11829">
        <v>104.98</v>
      </c>
      <c r="E11829" s="37" t="str">
        <f t="shared" si="920"/>
        <v xml:space="preserve"> </v>
      </c>
      <c r="F11829">
        <v>0.21</v>
      </c>
      <c r="G11829" s="37" t="str">
        <f t="shared" si="921"/>
        <v>Normal Discount</v>
      </c>
      <c r="H11829" s="37" t="str">
        <f t="shared" si="922"/>
        <v>Medium</v>
      </c>
      <c r="I11829">
        <v>6</v>
      </c>
      <c r="J11829" t="str" cm="1">
        <f t="array" ref="J11829">_xlfn.IFS(I11829&lt;=3,"small",I11829&lt;=6,"Medium",I11829&lt;=9,"Large")</f>
        <v>Medium</v>
      </c>
      <c r="K11829" s="36">
        <v>45129</v>
      </c>
      <c r="L11829" s="36">
        <v>45136</v>
      </c>
      <c r="M11829" t="s">
        <v>612</v>
      </c>
      <c r="N11829" t="s">
        <v>599</v>
      </c>
      <c r="O11829" s="37" t="str">
        <f t="shared" si="923"/>
        <v>Digital Payment</v>
      </c>
      <c r="P11829">
        <v>30.16</v>
      </c>
      <c r="Q11829" s="37" t="str">
        <f>IF(P11829&gt;500,"High","low")</f>
        <v>low</v>
      </c>
      <c r="R11829" s="37" t="str">
        <f t="shared" si="924"/>
        <v>AVERAGE</v>
      </c>
      <c r="S11829" t="s">
        <v>628</v>
      </c>
    </row>
    <row r="11830" spans="1:19" x14ac:dyDescent="0.2">
      <c r="A11830" t="s">
        <v>12441</v>
      </c>
      <c r="B11830" t="s">
        <v>83</v>
      </c>
      <c r="C11830" t="s">
        <v>602</v>
      </c>
      <c r="D11830">
        <v>2947.43</v>
      </c>
      <c r="E11830" s="37" t="str">
        <f t="shared" si="920"/>
        <v xml:space="preserve"> </v>
      </c>
      <c r="F11830">
        <v>0.32</v>
      </c>
      <c r="G11830" s="37" t="str">
        <f t="shared" si="921"/>
        <v>Heavy Discount</v>
      </c>
      <c r="H11830" s="37" t="str">
        <f t="shared" si="922"/>
        <v>Medium</v>
      </c>
      <c r="I11830">
        <v>4</v>
      </c>
      <c r="J11830" t="str" cm="1">
        <f t="array" ref="J11830">_xlfn.IFS(I11830&lt;=3,"small",I11830&lt;=6,"Medium",I11830&lt;=9,"Large")</f>
        <v>Medium</v>
      </c>
      <c r="K11830" s="36">
        <v>44929</v>
      </c>
      <c r="L11830" s="36">
        <v>44935</v>
      </c>
      <c r="M11830" t="s">
        <v>612</v>
      </c>
      <c r="N11830" t="s">
        <v>608</v>
      </c>
      <c r="O11830" s="37" t="str">
        <f t="shared" si="923"/>
        <v>Cash Payment</v>
      </c>
      <c r="P11830">
        <v>550.97</v>
      </c>
      <c r="Q11830" s="37" t="str">
        <f>IF(P11830&gt;500,"High","low")</f>
        <v>High</v>
      </c>
      <c r="R11830" s="37" t="str">
        <f t="shared" si="924"/>
        <v>Good</v>
      </c>
      <c r="S11830" t="s">
        <v>615</v>
      </c>
    </row>
    <row r="11831" spans="1:19" x14ac:dyDescent="0.2">
      <c r="A11831" t="s">
        <v>12442</v>
      </c>
      <c r="B11831" t="s">
        <v>90</v>
      </c>
      <c r="C11831" t="s">
        <v>617</v>
      </c>
      <c r="D11831">
        <v>1734.94</v>
      </c>
      <c r="E11831" s="37" t="str">
        <f t="shared" si="920"/>
        <v xml:space="preserve"> </v>
      </c>
      <c r="F11831">
        <v>0.18</v>
      </c>
      <c r="G11831" s="37" t="str">
        <f t="shared" si="921"/>
        <v>Normal Discount</v>
      </c>
      <c r="H11831" s="37" t="str">
        <f t="shared" si="922"/>
        <v>Low</v>
      </c>
      <c r="I11831">
        <v>9</v>
      </c>
      <c r="J11831" t="str" cm="1">
        <f t="array" ref="J11831">_xlfn.IFS(I11831&lt;=3,"small",I11831&lt;=6,"Medium",I11831&lt;=9,"Large")</f>
        <v>Large</v>
      </c>
      <c r="K11831" s="36">
        <v>45133</v>
      </c>
      <c r="L11831" s="36">
        <v>45134</v>
      </c>
      <c r="M11831" t="s">
        <v>603</v>
      </c>
      <c r="N11831" t="s">
        <v>599</v>
      </c>
      <c r="O11831" s="37" t="str">
        <f t="shared" si="923"/>
        <v>Digital Payment</v>
      </c>
      <c r="P11831">
        <v>275.42</v>
      </c>
      <c r="Q11831" s="37" t="str">
        <f>IF(P11831&gt;500,"High","low")</f>
        <v>low</v>
      </c>
      <c r="R11831" s="37" t="str">
        <f t="shared" si="924"/>
        <v>AVERAGE</v>
      </c>
      <c r="S11831" t="s">
        <v>600</v>
      </c>
    </row>
    <row r="11832" spans="1:19" x14ac:dyDescent="0.2">
      <c r="A11832" t="s">
        <v>12443</v>
      </c>
      <c r="B11832" t="s">
        <v>90</v>
      </c>
      <c r="C11832" t="s">
        <v>597</v>
      </c>
      <c r="D11832">
        <v>2011.75</v>
      </c>
      <c r="E11832" s="37" t="str">
        <f t="shared" si="920"/>
        <v xml:space="preserve"> </v>
      </c>
      <c r="F11832">
        <v>0</v>
      </c>
      <c r="G11832" s="37" t="str">
        <f t="shared" si="921"/>
        <v>Normal Discount</v>
      </c>
      <c r="H11832" s="37" t="str">
        <f t="shared" si="922"/>
        <v>Low</v>
      </c>
      <c r="I11832">
        <v>2</v>
      </c>
      <c r="J11832" t="str" cm="1">
        <f t="array" ref="J11832">_xlfn.IFS(I11832&lt;=3,"small",I11832&lt;=6,"Medium",I11832&lt;=9,"Large")</f>
        <v>small</v>
      </c>
      <c r="K11832" s="36">
        <v>45495</v>
      </c>
      <c r="L11832" s="36">
        <v>45498</v>
      </c>
      <c r="M11832" t="s">
        <v>598</v>
      </c>
      <c r="N11832" t="s">
        <v>604</v>
      </c>
      <c r="O11832" s="37" t="str">
        <f t="shared" si="923"/>
        <v>Digital Payment</v>
      </c>
      <c r="P11832">
        <v>414.9</v>
      </c>
      <c r="Q11832" s="37" t="str">
        <f>IF(P11832&gt;500,"High","low")</f>
        <v>low</v>
      </c>
      <c r="R11832" s="37" t="str">
        <f t="shared" si="924"/>
        <v>AVERAGE</v>
      </c>
      <c r="S11832" t="s">
        <v>628</v>
      </c>
    </row>
    <row r="11833" spans="1:19" x14ac:dyDescent="0.2">
      <c r="A11833" t="s">
        <v>12444</v>
      </c>
      <c r="B11833" t="s">
        <v>83</v>
      </c>
      <c r="C11833" t="s">
        <v>602</v>
      </c>
      <c r="D11833">
        <v>1380.91</v>
      </c>
      <c r="E11833" s="37" t="str">
        <f t="shared" si="920"/>
        <v xml:space="preserve"> </v>
      </c>
      <c r="F11833">
        <v>0.2</v>
      </c>
      <c r="G11833" s="37" t="str">
        <f t="shared" si="921"/>
        <v>Normal Discount</v>
      </c>
      <c r="H11833" s="37" t="str">
        <f t="shared" si="922"/>
        <v>Medium</v>
      </c>
      <c r="I11833">
        <v>1</v>
      </c>
      <c r="J11833" t="str" cm="1">
        <f t="array" ref="J11833">_xlfn.IFS(I11833&lt;=3,"small",I11833&lt;=6,"Medium",I11833&lt;=9,"Large")</f>
        <v>small</v>
      </c>
      <c r="K11833" s="36">
        <v>45251</v>
      </c>
      <c r="L11833" s="36">
        <v>45255</v>
      </c>
      <c r="M11833" t="s">
        <v>612</v>
      </c>
      <c r="N11833" t="s">
        <v>599</v>
      </c>
      <c r="O11833" s="37" t="str">
        <f t="shared" si="923"/>
        <v>Digital Payment</v>
      </c>
      <c r="P11833">
        <v>352.65</v>
      </c>
      <c r="Q11833" s="37" t="str">
        <f>IF(P11833&gt;500,"High","low")</f>
        <v>low</v>
      </c>
      <c r="R11833" s="37" t="str">
        <f t="shared" si="924"/>
        <v>AVERAGE</v>
      </c>
      <c r="S11833" t="s">
        <v>628</v>
      </c>
    </row>
    <row r="11834" spans="1:19" x14ac:dyDescent="0.2">
      <c r="A11834" t="s">
        <v>12445</v>
      </c>
      <c r="B11834" t="s">
        <v>67</v>
      </c>
      <c r="C11834" t="s">
        <v>597</v>
      </c>
      <c r="D11834">
        <v>2692.32</v>
      </c>
      <c r="E11834" s="37" t="str">
        <f t="shared" si="920"/>
        <v xml:space="preserve"> </v>
      </c>
      <c r="F11834">
        <v>0.4</v>
      </c>
      <c r="G11834" s="37" t="str">
        <f t="shared" si="921"/>
        <v>Heavy Discount</v>
      </c>
      <c r="H11834" s="37" t="str">
        <f t="shared" si="922"/>
        <v>Medium</v>
      </c>
      <c r="I11834">
        <v>7</v>
      </c>
      <c r="J11834" t="str" cm="1">
        <f t="array" ref="J11834">_xlfn.IFS(I11834&lt;=3,"small",I11834&lt;=6,"Medium",I11834&lt;=9,"Large")</f>
        <v>Large</v>
      </c>
      <c r="K11834" s="36">
        <v>45448</v>
      </c>
      <c r="L11834" s="36">
        <v>45454</v>
      </c>
      <c r="M11834" t="s">
        <v>612</v>
      </c>
      <c r="N11834" t="s">
        <v>604</v>
      </c>
      <c r="O11834" s="37" t="str">
        <f t="shared" si="923"/>
        <v>Digital Payment</v>
      </c>
      <c r="P11834">
        <v>309.56</v>
      </c>
      <c r="Q11834" s="37" t="str">
        <f>IF(P11834&gt;500,"High","low")</f>
        <v>low</v>
      </c>
      <c r="R11834" s="37" t="str">
        <f t="shared" si="924"/>
        <v>AVERAGE</v>
      </c>
      <c r="S11834" t="s">
        <v>628</v>
      </c>
    </row>
    <row r="11835" spans="1:19" x14ac:dyDescent="0.2">
      <c r="A11835" t="s">
        <v>12446</v>
      </c>
      <c r="B11835" t="s">
        <v>90</v>
      </c>
      <c r="C11835" t="s">
        <v>602</v>
      </c>
      <c r="D11835">
        <v>1227.5999999999999</v>
      </c>
      <c r="E11835" s="37" t="str">
        <f t="shared" si="920"/>
        <v xml:space="preserve"> </v>
      </c>
      <c r="F11835">
        <v>0.47</v>
      </c>
      <c r="G11835" s="37" t="str">
        <f t="shared" si="921"/>
        <v>Heavy Discount</v>
      </c>
      <c r="H11835" s="37" t="str">
        <f t="shared" si="922"/>
        <v>High</v>
      </c>
      <c r="I11835">
        <v>9</v>
      </c>
      <c r="J11835" t="str" cm="1">
        <f t="array" ref="J11835">_xlfn.IFS(I11835&lt;=3,"small",I11835&lt;=6,"Medium",I11835&lt;=9,"Large")</f>
        <v>Large</v>
      </c>
      <c r="K11835" s="36">
        <v>44929</v>
      </c>
      <c r="L11835" s="36">
        <v>44931</v>
      </c>
      <c r="M11835" t="s">
        <v>612</v>
      </c>
      <c r="N11835" t="s">
        <v>599</v>
      </c>
      <c r="O11835" s="37" t="str">
        <f t="shared" si="923"/>
        <v>Digital Payment</v>
      </c>
      <c r="P11835">
        <v>344.19</v>
      </c>
      <c r="Q11835" s="37" t="str">
        <f>IF(P11835&gt;500,"High","low")</f>
        <v>low</v>
      </c>
      <c r="R11835" s="37" t="str">
        <f t="shared" si="924"/>
        <v>AVERAGE</v>
      </c>
      <c r="S11835" t="s">
        <v>615</v>
      </c>
    </row>
    <row r="11836" spans="1:19" x14ac:dyDescent="0.2">
      <c r="A11836" t="s">
        <v>12447</v>
      </c>
      <c r="B11836" t="s">
        <v>83</v>
      </c>
      <c r="C11836" t="s">
        <v>617</v>
      </c>
      <c r="D11836">
        <v>760.63</v>
      </c>
      <c r="E11836" s="37" t="str">
        <f t="shared" si="920"/>
        <v xml:space="preserve"> </v>
      </c>
      <c r="F11836">
        <v>0.14000000000000001</v>
      </c>
      <c r="G11836" s="37" t="str">
        <f t="shared" si="921"/>
        <v>Normal Discount</v>
      </c>
      <c r="H11836" s="37" t="str">
        <f t="shared" si="922"/>
        <v>Low</v>
      </c>
      <c r="I11836">
        <v>9</v>
      </c>
      <c r="J11836" t="str" cm="1">
        <f t="array" ref="J11836">_xlfn.IFS(I11836&lt;=3,"small",I11836&lt;=6,"Medium",I11836&lt;=9,"Large")</f>
        <v>Large</v>
      </c>
      <c r="K11836" s="36">
        <v>44938</v>
      </c>
      <c r="L11836" s="36">
        <v>44941</v>
      </c>
      <c r="M11836" t="s">
        <v>603</v>
      </c>
      <c r="N11836" t="s">
        <v>604</v>
      </c>
      <c r="O11836" s="37" t="str">
        <f t="shared" si="923"/>
        <v>Digital Payment</v>
      </c>
      <c r="P11836">
        <v>98.56</v>
      </c>
      <c r="Q11836" s="37" t="str">
        <f>IF(P11836&gt;500,"High","low")</f>
        <v>low</v>
      </c>
      <c r="R11836" s="37" t="str">
        <f t="shared" si="924"/>
        <v>AVERAGE</v>
      </c>
      <c r="S11836" t="s">
        <v>605</v>
      </c>
    </row>
    <row r="11837" spans="1:19" x14ac:dyDescent="0.2">
      <c r="A11837" t="s">
        <v>12448</v>
      </c>
      <c r="B11837" t="s">
        <v>90</v>
      </c>
      <c r="C11837" t="s">
        <v>597</v>
      </c>
      <c r="D11837">
        <v>4464.17</v>
      </c>
      <c r="E11837" s="37" t="str">
        <f t="shared" si="920"/>
        <v>Excellent Order</v>
      </c>
      <c r="F11837">
        <v>0.46</v>
      </c>
      <c r="G11837" s="37" t="str">
        <f t="shared" si="921"/>
        <v>Heavy Discount</v>
      </c>
      <c r="H11837" s="37" t="str">
        <f t="shared" si="922"/>
        <v>High</v>
      </c>
      <c r="I11837">
        <v>3</v>
      </c>
      <c r="J11837" t="str" cm="1">
        <f t="array" ref="J11837">_xlfn.IFS(I11837&lt;=3,"small",I11837&lt;=6,"Medium",I11837&lt;=9,"Large")</f>
        <v>small</v>
      </c>
      <c r="K11837" s="36">
        <v>45386</v>
      </c>
      <c r="L11837" s="36">
        <v>45391</v>
      </c>
      <c r="M11837" t="s">
        <v>603</v>
      </c>
      <c r="N11837" t="s">
        <v>599</v>
      </c>
      <c r="O11837" s="37" t="str">
        <f t="shared" si="923"/>
        <v>Digital Payment</v>
      </c>
      <c r="P11837">
        <v>930.99</v>
      </c>
      <c r="Q11837" s="37" t="str">
        <f>IF(P11837&gt;500,"High","low")</f>
        <v>High</v>
      </c>
      <c r="R11837" s="37" t="str">
        <f t="shared" si="924"/>
        <v>Good</v>
      </c>
      <c r="S11837" t="s">
        <v>605</v>
      </c>
    </row>
    <row r="11838" spans="1:19" x14ac:dyDescent="0.2">
      <c r="A11838" t="s">
        <v>12449</v>
      </c>
      <c r="B11838" t="s">
        <v>67</v>
      </c>
      <c r="C11838" t="s">
        <v>617</v>
      </c>
      <c r="D11838">
        <v>2013.72</v>
      </c>
      <c r="E11838" s="37" t="str">
        <f t="shared" si="920"/>
        <v xml:space="preserve"> </v>
      </c>
      <c r="F11838">
        <v>0.43</v>
      </c>
      <c r="G11838" s="37" t="str">
        <f t="shared" si="921"/>
        <v>Heavy Discount</v>
      </c>
      <c r="H11838" s="37" t="str">
        <f t="shared" si="922"/>
        <v>High</v>
      </c>
      <c r="I11838">
        <v>1</v>
      </c>
      <c r="J11838" t="str" cm="1">
        <f t="array" ref="J11838">_xlfn.IFS(I11838&lt;=3,"small",I11838&lt;=6,"Medium",I11838&lt;=9,"Large")</f>
        <v>small</v>
      </c>
      <c r="K11838" s="36">
        <v>45544</v>
      </c>
      <c r="L11838" s="36">
        <v>45548</v>
      </c>
      <c r="M11838" t="s">
        <v>598</v>
      </c>
      <c r="N11838" t="s">
        <v>608</v>
      </c>
      <c r="O11838" s="37" t="str">
        <f t="shared" si="923"/>
        <v>Cash Payment</v>
      </c>
      <c r="P11838">
        <v>462.04</v>
      </c>
      <c r="Q11838" s="37" t="str">
        <f>IF(P11838&gt;500,"High","low")</f>
        <v>low</v>
      </c>
      <c r="R11838" s="37" t="str">
        <f t="shared" si="924"/>
        <v>AVERAGE</v>
      </c>
      <c r="S11838" t="s">
        <v>620</v>
      </c>
    </row>
    <row r="11839" spans="1:19" x14ac:dyDescent="0.2">
      <c r="A11839" t="s">
        <v>12450</v>
      </c>
      <c r="B11839" t="s">
        <v>67</v>
      </c>
      <c r="C11839" t="s">
        <v>597</v>
      </c>
      <c r="D11839">
        <v>476.96</v>
      </c>
      <c r="E11839" s="37" t="str">
        <f t="shared" si="920"/>
        <v xml:space="preserve"> </v>
      </c>
      <c r="F11839">
        <v>0.2</v>
      </c>
      <c r="G11839" s="37" t="str">
        <f t="shared" si="921"/>
        <v>Normal Discount</v>
      </c>
      <c r="H11839" s="37" t="str">
        <f t="shared" si="922"/>
        <v>Medium</v>
      </c>
      <c r="I11839">
        <v>9</v>
      </c>
      <c r="J11839" t="str" cm="1">
        <f t="array" ref="J11839">_xlfn.IFS(I11839&lt;=3,"small",I11839&lt;=6,"Medium",I11839&lt;=9,"Large")</f>
        <v>Large</v>
      </c>
      <c r="K11839" s="36">
        <v>45276</v>
      </c>
      <c r="L11839" s="36">
        <v>45277</v>
      </c>
      <c r="M11839" t="s">
        <v>603</v>
      </c>
      <c r="N11839" t="s">
        <v>608</v>
      </c>
      <c r="O11839" s="37" t="str">
        <f t="shared" si="923"/>
        <v>Cash Payment</v>
      </c>
      <c r="P11839">
        <v>131.46</v>
      </c>
      <c r="Q11839" s="37" t="str">
        <f>IF(P11839&gt;500,"High","low")</f>
        <v>low</v>
      </c>
      <c r="R11839" s="37" t="str">
        <f t="shared" si="924"/>
        <v>AVERAGE</v>
      </c>
      <c r="S11839" t="s">
        <v>609</v>
      </c>
    </row>
    <row r="11840" spans="1:19" x14ac:dyDescent="0.2">
      <c r="A11840" t="s">
        <v>12451</v>
      </c>
      <c r="B11840" t="s">
        <v>75</v>
      </c>
      <c r="C11840" t="s">
        <v>614</v>
      </c>
      <c r="D11840">
        <v>1228.58</v>
      </c>
      <c r="E11840" s="37" t="str">
        <f t="shared" si="920"/>
        <v xml:space="preserve"> </v>
      </c>
      <c r="F11840">
        <v>0</v>
      </c>
      <c r="G11840" s="37" t="str">
        <f t="shared" si="921"/>
        <v>Normal Discount</v>
      </c>
      <c r="H11840" s="37" t="str">
        <f t="shared" si="922"/>
        <v>Low</v>
      </c>
      <c r="I11840">
        <v>7</v>
      </c>
      <c r="J11840" t="str" cm="1">
        <f t="array" ref="J11840">_xlfn.IFS(I11840&lt;=3,"small",I11840&lt;=6,"Medium",I11840&lt;=9,"Large")</f>
        <v>Large</v>
      </c>
      <c r="K11840" s="36">
        <v>45135</v>
      </c>
      <c r="L11840" s="36">
        <v>45138</v>
      </c>
      <c r="M11840" t="s">
        <v>598</v>
      </c>
      <c r="N11840" t="s">
        <v>604</v>
      </c>
      <c r="O11840" s="37" t="str">
        <f t="shared" si="923"/>
        <v>Digital Payment</v>
      </c>
      <c r="P11840">
        <v>253.94</v>
      </c>
      <c r="Q11840" s="37" t="str">
        <f>IF(P11840&gt;500,"High","low")</f>
        <v>low</v>
      </c>
      <c r="R11840" s="37" t="str">
        <f t="shared" si="924"/>
        <v>AVERAGE</v>
      </c>
      <c r="S11840" t="s">
        <v>628</v>
      </c>
    </row>
    <row r="11841" spans="1:19" x14ac:dyDescent="0.2">
      <c r="A11841" t="s">
        <v>12452</v>
      </c>
      <c r="B11841" t="s">
        <v>90</v>
      </c>
      <c r="C11841" t="s">
        <v>614</v>
      </c>
      <c r="D11841">
        <v>1618.72</v>
      </c>
      <c r="E11841" s="37" t="str">
        <f t="shared" si="920"/>
        <v xml:space="preserve"> </v>
      </c>
      <c r="F11841">
        <v>0.42</v>
      </c>
      <c r="G11841" s="37" t="str">
        <f t="shared" si="921"/>
        <v>Heavy Discount</v>
      </c>
      <c r="H11841" s="37" t="str">
        <f t="shared" si="922"/>
        <v>High</v>
      </c>
      <c r="I11841">
        <v>8</v>
      </c>
      <c r="J11841" t="str" cm="1">
        <f t="array" ref="J11841">_xlfn.IFS(I11841&lt;=3,"small",I11841&lt;=6,"Medium",I11841&lt;=9,"Large")</f>
        <v>Large</v>
      </c>
      <c r="K11841" s="36">
        <v>44940</v>
      </c>
      <c r="L11841" s="36">
        <v>44947</v>
      </c>
      <c r="M11841" t="s">
        <v>598</v>
      </c>
      <c r="N11841" t="s">
        <v>599</v>
      </c>
      <c r="O11841" s="37" t="str">
        <f t="shared" si="923"/>
        <v>Digital Payment</v>
      </c>
      <c r="P11841">
        <v>461.26</v>
      </c>
      <c r="Q11841" s="37" t="str">
        <f>IF(P11841&gt;500,"High","low")</f>
        <v>low</v>
      </c>
      <c r="R11841" s="37" t="str">
        <f t="shared" si="924"/>
        <v>AVERAGE</v>
      </c>
      <c r="S11841" t="s">
        <v>615</v>
      </c>
    </row>
    <row r="11842" spans="1:19" x14ac:dyDescent="0.2">
      <c r="A11842" t="s">
        <v>12453</v>
      </c>
      <c r="B11842" t="s">
        <v>90</v>
      </c>
      <c r="C11842" t="s">
        <v>597</v>
      </c>
      <c r="D11842">
        <v>3871.27</v>
      </c>
      <c r="E11842" s="37" t="str">
        <f t="shared" si="920"/>
        <v xml:space="preserve"> </v>
      </c>
      <c r="F11842">
        <v>0.14000000000000001</v>
      </c>
      <c r="G11842" s="37" t="str">
        <f t="shared" si="921"/>
        <v>Normal Discount</v>
      </c>
      <c r="H11842" s="37" t="str">
        <f t="shared" si="922"/>
        <v>Low</v>
      </c>
      <c r="I11842">
        <v>6</v>
      </c>
      <c r="J11842" t="str" cm="1">
        <f t="array" ref="J11842">_xlfn.IFS(I11842&lt;=3,"small",I11842&lt;=6,"Medium",I11842&lt;=9,"Large")</f>
        <v>Medium</v>
      </c>
      <c r="K11842" s="36">
        <v>45029</v>
      </c>
      <c r="L11842" s="36">
        <v>45032</v>
      </c>
      <c r="M11842" t="s">
        <v>598</v>
      </c>
      <c r="N11842" t="s">
        <v>604</v>
      </c>
      <c r="O11842" s="37" t="str">
        <f t="shared" si="923"/>
        <v>Digital Payment</v>
      </c>
      <c r="P11842">
        <v>883.57</v>
      </c>
      <c r="Q11842" s="37" t="str">
        <f>IF(P11842&gt;500,"High","low")</f>
        <v>High</v>
      </c>
      <c r="R11842" s="37" t="str">
        <f t="shared" si="924"/>
        <v>Good</v>
      </c>
      <c r="S11842" t="s">
        <v>600</v>
      </c>
    </row>
    <row r="11843" spans="1:19" x14ac:dyDescent="0.2">
      <c r="A11843" t="s">
        <v>12454</v>
      </c>
      <c r="B11843" t="s">
        <v>83</v>
      </c>
      <c r="C11843" t="s">
        <v>597</v>
      </c>
      <c r="D11843">
        <v>209.05</v>
      </c>
      <c r="E11843" s="37" t="str">
        <f t="shared" ref="E11843:E11906" si="925">IF(AND(D11843&gt;4000,P11843&gt;800),"Excellent Order"," ")</f>
        <v xml:space="preserve"> </v>
      </c>
      <c r="F11843">
        <v>0.38</v>
      </c>
      <c r="G11843" s="37" t="str">
        <f t="shared" ref="G11843:G11906" si="926">IF(F11843&gt;30%,"Heavy Discount","Normal Discount")</f>
        <v>Heavy Discount</v>
      </c>
      <c r="H11843" s="37" t="str">
        <f t="shared" ref="H11843:H11906" si="927">IF(F11843&gt;0.4,"High",IF(F11843&gt;=0.2,"Medium","Low"))</f>
        <v>Medium</v>
      </c>
      <c r="I11843">
        <v>6</v>
      </c>
      <c r="J11843" t="str" cm="1">
        <f t="array" ref="J11843">_xlfn.IFS(I11843&lt;=3,"small",I11843&lt;=6,"Medium",I11843&lt;=9,"Large")</f>
        <v>Medium</v>
      </c>
      <c r="K11843" s="36">
        <v>45257</v>
      </c>
      <c r="L11843" s="36">
        <v>45260</v>
      </c>
      <c r="M11843" t="s">
        <v>603</v>
      </c>
      <c r="N11843" t="s">
        <v>608</v>
      </c>
      <c r="O11843" s="37" t="str">
        <f t="shared" ref="O11843:O11906" si="928">IF(OR(N11843="Card",N11843="UPI"),"Digital Payment","Cash Payment")</f>
        <v>Cash Payment</v>
      </c>
      <c r="P11843">
        <v>51.89</v>
      </c>
      <c r="Q11843" s="37" t="str">
        <f>IF(P11843&gt;500,"High","low")</f>
        <v>low</v>
      </c>
      <c r="R11843" s="37" t="str">
        <f t="shared" ref="R11843:R11906" si="929">IF(P11843&gt;1000,"Excellent",IF(P11843&gt;=500,"Good","AVERAGE"))</f>
        <v>AVERAGE</v>
      </c>
      <c r="S11843" t="s">
        <v>600</v>
      </c>
    </row>
    <row r="11844" spans="1:19" x14ac:dyDescent="0.2">
      <c r="A11844" t="s">
        <v>12455</v>
      </c>
      <c r="B11844" t="s">
        <v>90</v>
      </c>
      <c r="C11844" t="s">
        <v>617</v>
      </c>
      <c r="D11844">
        <v>2443.42</v>
      </c>
      <c r="E11844" s="37" t="str">
        <f t="shared" si="925"/>
        <v xml:space="preserve"> </v>
      </c>
      <c r="F11844">
        <v>0.28999999999999998</v>
      </c>
      <c r="G11844" s="37" t="str">
        <f t="shared" si="926"/>
        <v>Normal Discount</v>
      </c>
      <c r="H11844" s="37" t="str">
        <f t="shared" si="927"/>
        <v>Medium</v>
      </c>
      <c r="I11844">
        <v>4</v>
      </c>
      <c r="J11844" t="str" cm="1">
        <f t="array" ref="J11844">_xlfn.IFS(I11844&lt;=3,"small",I11844&lt;=6,"Medium",I11844&lt;=9,"Large")</f>
        <v>Medium</v>
      </c>
      <c r="K11844" s="36">
        <v>45467</v>
      </c>
      <c r="L11844" s="36">
        <v>45471</v>
      </c>
      <c r="M11844" t="s">
        <v>598</v>
      </c>
      <c r="N11844" t="s">
        <v>599</v>
      </c>
      <c r="O11844" s="37" t="str">
        <f t="shared" si="928"/>
        <v>Digital Payment</v>
      </c>
      <c r="P11844">
        <v>597.75</v>
      </c>
      <c r="Q11844" s="37" t="str">
        <f>IF(P11844&gt;500,"High","low")</f>
        <v>High</v>
      </c>
      <c r="R11844" s="37" t="str">
        <f t="shared" si="929"/>
        <v>Good</v>
      </c>
      <c r="S11844" t="s">
        <v>609</v>
      </c>
    </row>
    <row r="11845" spans="1:19" x14ac:dyDescent="0.2">
      <c r="A11845" t="s">
        <v>12456</v>
      </c>
      <c r="B11845" t="s">
        <v>75</v>
      </c>
      <c r="C11845" t="s">
        <v>607</v>
      </c>
      <c r="D11845">
        <v>2097.69</v>
      </c>
      <c r="E11845" s="37" t="str">
        <f t="shared" si="925"/>
        <v xml:space="preserve"> </v>
      </c>
      <c r="F11845">
        <v>0.11</v>
      </c>
      <c r="G11845" s="37" t="str">
        <f t="shared" si="926"/>
        <v>Normal Discount</v>
      </c>
      <c r="H11845" s="37" t="str">
        <f t="shared" si="927"/>
        <v>Low</v>
      </c>
      <c r="I11845">
        <v>2</v>
      </c>
      <c r="J11845" t="str" cm="1">
        <f t="array" ref="J11845">_xlfn.IFS(I11845&lt;=3,"small",I11845&lt;=6,"Medium",I11845&lt;=9,"Large")</f>
        <v>small</v>
      </c>
      <c r="K11845" s="36">
        <v>45189</v>
      </c>
      <c r="L11845" s="36">
        <v>45194</v>
      </c>
      <c r="M11845" t="s">
        <v>598</v>
      </c>
      <c r="N11845" t="s">
        <v>604</v>
      </c>
      <c r="O11845" s="37" t="str">
        <f t="shared" si="928"/>
        <v>Digital Payment</v>
      </c>
      <c r="P11845">
        <v>420.43</v>
      </c>
      <c r="Q11845" s="37" t="str">
        <f>IF(P11845&gt;500,"High","low")</f>
        <v>low</v>
      </c>
      <c r="R11845" s="37" t="str">
        <f t="shared" si="929"/>
        <v>AVERAGE</v>
      </c>
      <c r="S11845" t="s">
        <v>615</v>
      </c>
    </row>
    <row r="11846" spans="1:19" x14ac:dyDescent="0.2">
      <c r="A11846" t="s">
        <v>12457</v>
      </c>
      <c r="B11846" t="s">
        <v>67</v>
      </c>
      <c r="C11846" t="s">
        <v>597</v>
      </c>
      <c r="D11846">
        <v>4845.16</v>
      </c>
      <c r="E11846" s="37" t="str">
        <f t="shared" si="925"/>
        <v>Excellent Order</v>
      </c>
      <c r="F11846">
        <v>0.32</v>
      </c>
      <c r="G11846" s="37" t="str">
        <f t="shared" si="926"/>
        <v>Heavy Discount</v>
      </c>
      <c r="H11846" s="37" t="str">
        <f t="shared" si="927"/>
        <v>Medium</v>
      </c>
      <c r="I11846">
        <v>1</v>
      </c>
      <c r="J11846" t="str" cm="1">
        <f t="array" ref="J11846">_xlfn.IFS(I11846&lt;=3,"small",I11846&lt;=6,"Medium",I11846&lt;=9,"Large")</f>
        <v>small</v>
      </c>
      <c r="K11846" s="36">
        <v>44975</v>
      </c>
      <c r="L11846" s="36">
        <v>44982</v>
      </c>
      <c r="M11846" t="s">
        <v>612</v>
      </c>
      <c r="N11846" t="s">
        <v>608</v>
      </c>
      <c r="O11846" s="37" t="str">
        <f t="shared" si="928"/>
        <v>Cash Payment</v>
      </c>
      <c r="P11846">
        <v>1322.26</v>
      </c>
      <c r="Q11846" s="37" t="str">
        <f>IF(P11846&gt;500,"High","low")</f>
        <v>High</v>
      </c>
      <c r="R11846" s="37" t="str">
        <f t="shared" si="929"/>
        <v>Excellent</v>
      </c>
      <c r="S11846" t="s">
        <v>600</v>
      </c>
    </row>
    <row r="11847" spans="1:19" x14ac:dyDescent="0.2">
      <c r="A11847" t="s">
        <v>12458</v>
      </c>
      <c r="B11847" t="s">
        <v>67</v>
      </c>
      <c r="C11847" t="s">
        <v>602</v>
      </c>
      <c r="D11847">
        <v>982.37</v>
      </c>
      <c r="E11847" s="37" t="str">
        <f t="shared" si="925"/>
        <v xml:space="preserve"> </v>
      </c>
      <c r="F11847">
        <v>0.38</v>
      </c>
      <c r="G11847" s="37" t="str">
        <f t="shared" si="926"/>
        <v>Heavy Discount</v>
      </c>
      <c r="H11847" s="37" t="str">
        <f t="shared" si="927"/>
        <v>Medium</v>
      </c>
      <c r="I11847">
        <v>6</v>
      </c>
      <c r="J11847" t="str" cm="1">
        <f t="array" ref="J11847">_xlfn.IFS(I11847&lt;=3,"small",I11847&lt;=6,"Medium",I11847&lt;=9,"Large")</f>
        <v>Medium</v>
      </c>
      <c r="K11847" s="36">
        <v>45631</v>
      </c>
      <c r="L11847" s="36">
        <v>45635</v>
      </c>
      <c r="M11847" t="s">
        <v>598</v>
      </c>
      <c r="N11847" t="s">
        <v>608</v>
      </c>
      <c r="O11847" s="37" t="str">
        <f t="shared" si="928"/>
        <v>Cash Payment</v>
      </c>
      <c r="P11847">
        <v>131.69999999999999</v>
      </c>
      <c r="Q11847" s="37" t="str">
        <f>IF(P11847&gt;500,"High","low")</f>
        <v>low</v>
      </c>
      <c r="R11847" s="37" t="str">
        <f t="shared" si="929"/>
        <v>AVERAGE</v>
      </c>
      <c r="S11847" t="s">
        <v>609</v>
      </c>
    </row>
    <row r="11848" spans="1:19" x14ac:dyDescent="0.2">
      <c r="A11848" t="s">
        <v>12459</v>
      </c>
      <c r="B11848" t="s">
        <v>75</v>
      </c>
      <c r="C11848" t="s">
        <v>602</v>
      </c>
      <c r="D11848">
        <v>3176.57</v>
      </c>
      <c r="E11848" s="37" t="str">
        <f t="shared" si="925"/>
        <v xml:space="preserve"> </v>
      </c>
      <c r="F11848">
        <v>0.24</v>
      </c>
      <c r="G11848" s="37" t="str">
        <f t="shared" si="926"/>
        <v>Normal Discount</v>
      </c>
      <c r="H11848" s="37" t="str">
        <f t="shared" si="927"/>
        <v>Medium</v>
      </c>
      <c r="I11848">
        <v>9</v>
      </c>
      <c r="J11848" t="str" cm="1">
        <f t="array" ref="J11848">_xlfn.IFS(I11848&lt;=3,"small",I11848&lt;=6,"Medium",I11848&lt;=9,"Large")</f>
        <v>Large</v>
      </c>
      <c r="K11848" s="36">
        <v>45415</v>
      </c>
      <c r="L11848" s="36">
        <v>45420</v>
      </c>
      <c r="M11848" t="s">
        <v>603</v>
      </c>
      <c r="N11848" t="s">
        <v>608</v>
      </c>
      <c r="O11848" s="37" t="str">
        <f t="shared" si="928"/>
        <v>Cash Payment</v>
      </c>
      <c r="P11848">
        <v>327.10000000000002</v>
      </c>
      <c r="Q11848" s="37" t="str">
        <f>IF(P11848&gt;500,"High","low")</f>
        <v>low</v>
      </c>
      <c r="R11848" s="37" t="str">
        <f t="shared" si="929"/>
        <v>AVERAGE</v>
      </c>
      <c r="S11848" t="s">
        <v>605</v>
      </c>
    </row>
    <row r="11849" spans="1:19" x14ac:dyDescent="0.2">
      <c r="A11849" t="s">
        <v>12460</v>
      </c>
      <c r="B11849" t="s">
        <v>90</v>
      </c>
      <c r="C11849" t="s">
        <v>602</v>
      </c>
      <c r="D11849">
        <v>1090.76</v>
      </c>
      <c r="E11849" s="37" t="str">
        <f t="shared" si="925"/>
        <v xml:space="preserve"> </v>
      </c>
      <c r="F11849">
        <v>0.37</v>
      </c>
      <c r="G11849" s="37" t="str">
        <f t="shared" si="926"/>
        <v>Heavy Discount</v>
      </c>
      <c r="H11849" s="37" t="str">
        <f t="shared" si="927"/>
        <v>Medium</v>
      </c>
      <c r="I11849">
        <v>2</v>
      </c>
      <c r="J11849" t="str" cm="1">
        <f t="array" ref="J11849">_xlfn.IFS(I11849&lt;=3,"small",I11849&lt;=6,"Medium",I11849&lt;=9,"Large")</f>
        <v>small</v>
      </c>
      <c r="K11849" s="36">
        <v>45189</v>
      </c>
      <c r="L11849" s="36">
        <v>45194</v>
      </c>
      <c r="M11849" t="s">
        <v>598</v>
      </c>
      <c r="N11849" t="s">
        <v>604</v>
      </c>
      <c r="O11849" s="37" t="str">
        <f t="shared" si="928"/>
        <v>Digital Payment</v>
      </c>
      <c r="P11849">
        <v>100.3</v>
      </c>
      <c r="Q11849" s="37" t="str">
        <f>IF(P11849&gt;500,"High","low")</f>
        <v>low</v>
      </c>
      <c r="R11849" s="37" t="str">
        <f t="shared" si="929"/>
        <v>AVERAGE</v>
      </c>
      <c r="S11849" t="s">
        <v>628</v>
      </c>
    </row>
    <row r="11850" spans="1:19" x14ac:dyDescent="0.2">
      <c r="A11850" t="s">
        <v>12461</v>
      </c>
      <c r="B11850" t="s">
        <v>90</v>
      </c>
      <c r="C11850" t="s">
        <v>614</v>
      </c>
      <c r="D11850">
        <v>2787.27</v>
      </c>
      <c r="E11850" s="37" t="str">
        <f t="shared" si="925"/>
        <v xml:space="preserve"> </v>
      </c>
      <c r="F11850">
        <v>0.2</v>
      </c>
      <c r="G11850" s="37" t="str">
        <f t="shared" si="926"/>
        <v>Normal Discount</v>
      </c>
      <c r="H11850" s="37" t="str">
        <f t="shared" si="927"/>
        <v>Medium</v>
      </c>
      <c r="I11850">
        <v>1</v>
      </c>
      <c r="J11850" t="str" cm="1">
        <f t="array" ref="J11850">_xlfn.IFS(I11850&lt;=3,"small",I11850&lt;=6,"Medium",I11850&lt;=9,"Large")</f>
        <v>small</v>
      </c>
      <c r="K11850" s="36">
        <v>45324</v>
      </c>
      <c r="L11850" s="36">
        <v>45325</v>
      </c>
      <c r="M11850" t="s">
        <v>598</v>
      </c>
      <c r="N11850" t="s">
        <v>599</v>
      </c>
      <c r="O11850" s="37" t="str">
        <f t="shared" si="928"/>
        <v>Digital Payment</v>
      </c>
      <c r="P11850">
        <v>506.72</v>
      </c>
      <c r="Q11850" s="37" t="str">
        <f>IF(P11850&gt;500,"High","low")</f>
        <v>High</v>
      </c>
      <c r="R11850" s="37" t="str">
        <f t="shared" si="929"/>
        <v>Good</v>
      </c>
      <c r="S11850" t="s">
        <v>605</v>
      </c>
    </row>
    <row r="11851" spans="1:19" x14ac:dyDescent="0.2">
      <c r="A11851" t="s">
        <v>12462</v>
      </c>
      <c r="B11851" t="s">
        <v>75</v>
      </c>
      <c r="C11851" t="s">
        <v>617</v>
      </c>
      <c r="D11851">
        <v>2819.81</v>
      </c>
      <c r="E11851" s="37" t="str">
        <f t="shared" si="925"/>
        <v xml:space="preserve"> </v>
      </c>
      <c r="F11851">
        <v>0.49</v>
      </c>
      <c r="G11851" s="37" t="str">
        <f t="shared" si="926"/>
        <v>Heavy Discount</v>
      </c>
      <c r="H11851" s="37" t="str">
        <f t="shared" si="927"/>
        <v>High</v>
      </c>
      <c r="I11851">
        <v>1</v>
      </c>
      <c r="J11851" t="str" cm="1">
        <f t="array" ref="J11851">_xlfn.IFS(I11851&lt;=3,"small",I11851&lt;=6,"Medium",I11851&lt;=9,"Large")</f>
        <v>small</v>
      </c>
      <c r="K11851" s="36">
        <v>45537</v>
      </c>
      <c r="L11851" s="36">
        <v>45539</v>
      </c>
      <c r="M11851" t="s">
        <v>603</v>
      </c>
      <c r="N11851" t="s">
        <v>604</v>
      </c>
      <c r="O11851" s="37" t="str">
        <f t="shared" si="928"/>
        <v>Digital Payment</v>
      </c>
      <c r="P11851">
        <v>792.47</v>
      </c>
      <c r="Q11851" s="37" t="str">
        <f>IF(P11851&gt;500,"High","low")</f>
        <v>High</v>
      </c>
      <c r="R11851" s="37" t="str">
        <f t="shared" si="929"/>
        <v>Good</v>
      </c>
      <c r="S11851" t="s">
        <v>609</v>
      </c>
    </row>
    <row r="11852" spans="1:19" x14ac:dyDescent="0.2">
      <c r="A11852" t="s">
        <v>12463</v>
      </c>
      <c r="B11852" t="s">
        <v>83</v>
      </c>
      <c r="C11852" t="s">
        <v>614</v>
      </c>
      <c r="D11852">
        <v>469.2</v>
      </c>
      <c r="E11852" s="37" t="str">
        <f t="shared" si="925"/>
        <v xml:space="preserve"> </v>
      </c>
      <c r="F11852">
        <v>0.12</v>
      </c>
      <c r="G11852" s="37" t="str">
        <f t="shared" si="926"/>
        <v>Normal Discount</v>
      </c>
      <c r="H11852" s="37" t="str">
        <f t="shared" si="927"/>
        <v>Low</v>
      </c>
      <c r="I11852">
        <v>7</v>
      </c>
      <c r="J11852" t="str" cm="1">
        <f t="array" ref="J11852">_xlfn.IFS(I11852&lt;=3,"small",I11852&lt;=6,"Medium",I11852&lt;=9,"Large")</f>
        <v>Large</v>
      </c>
      <c r="K11852" s="36">
        <v>45582</v>
      </c>
      <c r="L11852" s="36">
        <v>45588</v>
      </c>
      <c r="M11852" t="s">
        <v>598</v>
      </c>
      <c r="N11852" t="s">
        <v>599</v>
      </c>
      <c r="O11852" s="37" t="str">
        <f t="shared" si="928"/>
        <v>Digital Payment</v>
      </c>
      <c r="P11852">
        <v>91</v>
      </c>
      <c r="Q11852" s="37" t="str">
        <f>IF(P11852&gt;500,"High","low")</f>
        <v>low</v>
      </c>
      <c r="R11852" s="37" t="str">
        <f t="shared" si="929"/>
        <v>AVERAGE</v>
      </c>
      <c r="S11852" t="s">
        <v>620</v>
      </c>
    </row>
    <row r="11853" spans="1:19" x14ac:dyDescent="0.2">
      <c r="A11853" t="s">
        <v>12464</v>
      </c>
      <c r="B11853" t="s">
        <v>67</v>
      </c>
      <c r="C11853" t="s">
        <v>602</v>
      </c>
      <c r="D11853">
        <v>2336.61</v>
      </c>
      <c r="E11853" s="37" t="str">
        <f t="shared" si="925"/>
        <v xml:space="preserve"> </v>
      </c>
      <c r="F11853">
        <v>0.39</v>
      </c>
      <c r="G11853" s="37" t="str">
        <f t="shared" si="926"/>
        <v>Heavy Discount</v>
      </c>
      <c r="H11853" s="37" t="str">
        <f t="shared" si="927"/>
        <v>Medium</v>
      </c>
      <c r="I11853">
        <v>1</v>
      </c>
      <c r="J11853" t="str" cm="1">
        <f t="array" ref="J11853">_xlfn.IFS(I11853&lt;=3,"small",I11853&lt;=6,"Medium",I11853&lt;=9,"Large")</f>
        <v>small</v>
      </c>
      <c r="K11853" s="36">
        <v>45264</v>
      </c>
      <c r="L11853" s="36">
        <v>45266</v>
      </c>
      <c r="M11853" t="s">
        <v>612</v>
      </c>
      <c r="N11853" t="s">
        <v>604</v>
      </c>
      <c r="O11853" s="37" t="str">
        <f t="shared" si="928"/>
        <v>Digital Payment</v>
      </c>
      <c r="P11853">
        <v>628.79</v>
      </c>
      <c r="Q11853" s="37" t="str">
        <f>IF(P11853&gt;500,"High","low")</f>
        <v>High</v>
      </c>
      <c r="R11853" s="37" t="str">
        <f t="shared" si="929"/>
        <v>Good</v>
      </c>
      <c r="S11853" t="s">
        <v>628</v>
      </c>
    </row>
    <row r="11854" spans="1:19" x14ac:dyDescent="0.2">
      <c r="A11854" t="s">
        <v>12465</v>
      </c>
      <c r="B11854" t="s">
        <v>75</v>
      </c>
      <c r="C11854" t="s">
        <v>597</v>
      </c>
      <c r="D11854">
        <v>2359.66</v>
      </c>
      <c r="E11854" s="37" t="str">
        <f t="shared" si="925"/>
        <v xml:space="preserve"> </v>
      </c>
      <c r="F11854">
        <v>0.37</v>
      </c>
      <c r="G11854" s="37" t="str">
        <f t="shared" si="926"/>
        <v>Heavy Discount</v>
      </c>
      <c r="H11854" s="37" t="str">
        <f t="shared" si="927"/>
        <v>Medium</v>
      </c>
      <c r="I11854">
        <v>9</v>
      </c>
      <c r="J11854" t="str" cm="1">
        <f t="array" ref="J11854">_xlfn.IFS(I11854&lt;=3,"small",I11854&lt;=6,"Medium",I11854&lt;=9,"Large")</f>
        <v>Large</v>
      </c>
      <c r="K11854" s="36">
        <v>45339</v>
      </c>
      <c r="L11854" s="36">
        <v>45342</v>
      </c>
      <c r="M11854" t="s">
        <v>598</v>
      </c>
      <c r="N11854" t="s">
        <v>604</v>
      </c>
      <c r="O11854" s="37" t="str">
        <f t="shared" si="928"/>
        <v>Digital Payment</v>
      </c>
      <c r="P11854">
        <v>202.43</v>
      </c>
      <c r="Q11854" s="37" t="str">
        <f>IF(P11854&gt;500,"High","low")</f>
        <v>low</v>
      </c>
      <c r="R11854" s="37" t="str">
        <f t="shared" si="929"/>
        <v>AVERAGE</v>
      </c>
      <c r="S11854" t="s">
        <v>600</v>
      </c>
    </row>
    <row r="11855" spans="1:19" x14ac:dyDescent="0.2">
      <c r="A11855" t="s">
        <v>12466</v>
      </c>
      <c r="B11855" t="s">
        <v>75</v>
      </c>
      <c r="C11855" t="s">
        <v>602</v>
      </c>
      <c r="D11855">
        <v>1663.77</v>
      </c>
      <c r="E11855" s="37" t="str">
        <f t="shared" si="925"/>
        <v xml:space="preserve"> </v>
      </c>
      <c r="F11855">
        <v>0.26</v>
      </c>
      <c r="G11855" s="37" t="str">
        <f t="shared" si="926"/>
        <v>Normal Discount</v>
      </c>
      <c r="H11855" s="37" t="str">
        <f t="shared" si="927"/>
        <v>Medium</v>
      </c>
      <c r="I11855">
        <v>9</v>
      </c>
      <c r="J11855" t="str" cm="1">
        <f t="array" ref="J11855">_xlfn.IFS(I11855&lt;=3,"small",I11855&lt;=6,"Medium",I11855&lt;=9,"Large")</f>
        <v>Large</v>
      </c>
      <c r="K11855" s="36">
        <v>45395</v>
      </c>
      <c r="L11855" s="36">
        <v>45397</v>
      </c>
      <c r="M11855" t="s">
        <v>603</v>
      </c>
      <c r="N11855" t="s">
        <v>604</v>
      </c>
      <c r="O11855" s="37" t="str">
        <f t="shared" si="928"/>
        <v>Digital Payment</v>
      </c>
      <c r="P11855">
        <v>383.32</v>
      </c>
      <c r="Q11855" s="37" t="str">
        <f>IF(P11855&gt;500,"High","low")</f>
        <v>low</v>
      </c>
      <c r="R11855" s="37" t="str">
        <f t="shared" si="929"/>
        <v>AVERAGE</v>
      </c>
      <c r="S11855" t="s">
        <v>605</v>
      </c>
    </row>
    <row r="11856" spans="1:19" x14ac:dyDescent="0.2">
      <c r="A11856" t="s">
        <v>12467</v>
      </c>
      <c r="B11856" t="s">
        <v>90</v>
      </c>
      <c r="C11856" t="s">
        <v>597</v>
      </c>
      <c r="D11856">
        <v>1458.08</v>
      </c>
      <c r="E11856" s="37" t="str">
        <f t="shared" si="925"/>
        <v xml:space="preserve"> </v>
      </c>
      <c r="F11856">
        <v>0.18</v>
      </c>
      <c r="G11856" s="37" t="str">
        <f t="shared" si="926"/>
        <v>Normal Discount</v>
      </c>
      <c r="H11856" s="37" t="str">
        <f t="shared" si="927"/>
        <v>Low</v>
      </c>
      <c r="I11856">
        <v>3</v>
      </c>
      <c r="J11856" t="str" cm="1">
        <f t="array" ref="J11856">_xlfn.IFS(I11856&lt;=3,"small",I11856&lt;=6,"Medium",I11856&lt;=9,"Large")</f>
        <v>small</v>
      </c>
      <c r="K11856" s="36">
        <v>45304</v>
      </c>
      <c r="L11856" s="36">
        <v>45310</v>
      </c>
      <c r="M11856" t="s">
        <v>603</v>
      </c>
      <c r="N11856" t="s">
        <v>599</v>
      </c>
      <c r="O11856" s="37" t="str">
        <f t="shared" si="928"/>
        <v>Digital Payment</v>
      </c>
      <c r="P11856">
        <v>431.38</v>
      </c>
      <c r="Q11856" s="37" t="str">
        <f>IF(P11856&gt;500,"High","low")</f>
        <v>low</v>
      </c>
      <c r="R11856" s="37" t="str">
        <f t="shared" si="929"/>
        <v>AVERAGE</v>
      </c>
      <c r="S11856" t="s">
        <v>609</v>
      </c>
    </row>
    <row r="11857" spans="1:19" x14ac:dyDescent="0.2">
      <c r="A11857" t="s">
        <v>12468</v>
      </c>
      <c r="B11857" t="s">
        <v>67</v>
      </c>
      <c r="C11857" t="s">
        <v>617</v>
      </c>
      <c r="D11857">
        <v>1199.06</v>
      </c>
      <c r="E11857" s="37" t="str">
        <f t="shared" si="925"/>
        <v xml:space="preserve"> </v>
      </c>
      <c r="F11857">
        <v>0.22</v>
      </c>
      <c r="G11857" s="37" t="str">
        <f t="shared" si="926"/>
        <v>Normal Discount</v>
      </c>
      <c r="H11857" s="37" t="str">
        <f t="shared" si="927"/>
        <v>Medium</v>
      </c>
      <c r="I11857">
        <v>2</v>
      </c>
      <c r="J11857" t="str" cm="1">
        <f t="array" ref="J11857">_xlfn.IFS(I11857&lt;=3,"small",I11857&lt;=6,"Medium",I11857&lt;=9,"Large")</f>
        <v>small</v>
      </c>
      <c r="K11857" s="36">
        <v>45307</v>
      </c>
      <c r="L11857" s="36">
        <v>45310</v>
      </c>
      <c r="M11857" t="s">
        <v>598</v>
      </c>
      <c r="N11857" t="s">
        <v>604</v>
      </c>
      <c r="O11857" s="37" t="str">
        <f t="shared" si="928"/>
        <v>Digital Payment</v>
      </c>
      <c r="P11857">
        <v>223.51</v>
      </c>
      <c r="Q11857" s="37" t="str">
        <f>IF(P11857&gt;500,"High","low")</f>
        <v>low</v>
      </c>
      <c r="R11857" s="37" t="str">
        <f t="shared" si="929"/>
        <v>AVERAGE</v>
      </c>
      <c r="S11857" t="s">
        <v>615</v>
      </c>
    </row>
    <row r="11858" spans="1:19" x14ac:dyDescent="0.2">
      <c r="A11858" t="s">
        <v>12469</v>
      </c>
      <c r="B11858" t="s">
        <v>90</v>
      </c>
      <c r="C11858" t="s">
        <v>607</v>
      </c>
      <c r="D11858">
        <v>129.11000000000001</v>
      </c>
      <c r="E11858" s="37" t="str">
        <f t="shared" si="925"/>
        <v xml:space="preserve"> </v>
      </c>
      <c r="F11858">
        <v>0.31</v>
      </c>
      <c r="G11858" s="37" t="str">
        <f t="shared" si="926"/>
        <v>Heavy Discount</v>
      </c>
      <c r="H11858" s="37" t="str">
        <f t="shared" si="927"/>
        <v>Medium</v>
      </c>
      <c r="I11858">
        <v>9</v>
      </c>
      <c r="J11858" t="str" cm="1">
        <f t="array" ref="J11858">_xlfn.IFS(I11858&lt;=3,"small",I11858&lt;=6,"Medium",I11858&lt;=9,"Large")</f>
        <v>Large</v>
      </c>
      <c r="K11858" s="36">
        <v>44987</v>
      </c>
      <c r="L11858" s="36">
        <v>44991</v>
      </c>
      <c r="M11858" t="s">
        <v>603</v>
      </c>
      <c r="N11858" t="s">
        <v>599</v>
      </c>
      <c r="O11858" s="37" t="str">
        <f t="shared" si="928"/>
        <v>Digital Payment</v>
      </c>
      <c r="P11858">
        <v>32.14</v>
      </c>
      <c r="Q11858" s="37" t="str">
        <f>IF(P11858&gt;500,"High","low")</f>
        <v>low</v>
      </c>
      <c r="R11858" s="37" t="str">
        <f t="shared" si="929"/>
        <v>AVERAGE</v>
      </c>
      <c r="S11858" t="s">
        <v>615</v>
      </c>
    </row>
    <row r="11859" spans="1:19" x14ac:dyDescent="0.2">
      <c r="A11859" t="s">
        <v>12470</v>
      </c>
      <c r="B11859" t="s">
        <v>75</v>
      </c>
      <c r="C11859" t="s">
        <v>597</v>
      </c>
      <c r="D11859">
        <v>108.9</v>
      </c>
      <c r="E11859" s="37" t="str">
        <f t="shared" si="925"/>
        <v xml:space="preserve"> </v>
      </c>
      <c r="F11859">
        <v>0.27</v>
      </c>
      <c r="G11859" s="37" t="str">
        <f t="shared" si="926"/>
        <v>Normal Discount</v>
      </c>
      <c r="H11859" s="37" t="str">
        <f t="shared" si="927"/>
        <v>Medium</v>
      </c>
      <c r="I11859">
        <v>3</v>
      </c>
      <c r="J11859" t="str" cm="1">
        <f t="array" ref="J11859">_xlfn.IFS(I11859&lt;=3,"small",I11859&lt;=6,"Medium",I11859&lt;=9,"Large")</f>
        <v>small</v>
      </c>
      <c r="K11859" s="36">
        <v>45291</v>
      </c>
      <c r="L11859" s="36">
        <v>45293</v>
      </c>
      <c r="M11859" t="s">
        <v>612</v>
      </c>
      <c r="N11859" t="s">
        <v>599</v>
      </c>
      <c r="O11859" s="37" t="str">
        <f t="shared" si="928"/>
        <v>Digital Payment</v>
      </c>
      <c r="P11859">
        <v>19.77</v>
      </c>
      <c r="Q11859" s="37" t="str">
        <f>IF(P11859&gt;500,"High","low")</f>
        <v>low</v>
      </c>
      <c r="R11859" s="37" t="str">
        <f t="shared" si="929"/>
        <v>AVERAGE</v>
      </c>
      <c r="S11859" t="s">
        <v>600</v>
      </c>
    </row>
    <row r="11860" spans="1:19" x14ac:dyDescent="0.2">
      <c r="A11860" t="s">
        <v>12471</v>
      </c>
      <c r="B11860" t="s">
        <v>83</v>
      </c>
      <c r="C11860" t="s">
        <v>614</v>
      </c>
      <c r="D11860">
        <v>2989.96</v>
      </c>
      <c r="E11860" s="37" t="str">
        <f t="shared" si="925"/>
        <v xml:space="preserve"> </v>
      </c>
      <c r="F11860">
        <v>0.38</v>
      </c>
      <c r="G11860" s="37" t="str">
        <f t="shared" si="926"/>
        <v>Heavy Discount</v>
      </c>
      <c r="H11860" s="37" t="str">
        <f t="shared" si="927"/>
        <v>Medium</v>
      </c>
      <c r="I11860">
        <v>2</v>
      </c>
      <c r="J11860" t="str" cm="1">
        <f t="array" ref="J11860">_xlfn.IFS(I11860&lt;=3,"small",I11860&lt;=6,"Medium",I11860&lt;=9,"Large")</f>
        <v>small</v>
      </c>
      <c r="K11860" s="36">
        <v>45213</v>
      </c>
      <c r="L11860" s="36">
        <v>45214</v>
      </c>
      <c r="M11860" t="s">
        <v>612</v>
      </c>
      <c r="N11860" t="s">
        <v>608</v>
      </c>
      <c r="O11860" s="37" t="str">
        <f t="shared" si="928"/>
        <v>Cash Payment</v>
      </c>
      <c r="P11860">
        <v>797.72</v>
      </c>
      <c r="Q11860" s="37" t="str">
        <f>IF(P11860&gt;500,"High","low")</f>
        <v>High</v>
      </c>
      <c r="R11860" s="37" t="str">
        <f t="shared" si="929"/>
        <v>Good</v>
      </c>
      <c r="S11860" t="s">
        <v>628</v>
      </c>
    </row>
    <row r="11861" spans="1:19" x14ac:dyDescent="0.2">
      <c r="A11861" t="s">
        <v>12472</v>
      </c>
      <c r="B11861" t="s">
        <v>67</v>
      </c>
      <c r="C11861" t="s">
        <v>602</v>
      </c>
      <c r="D11861">
        <v>1528.17</v>
      </c>
      <c r="E11861" s="37" t="str">
        <f t="shared" si="925"/>
        <v xml:space="preserve"> </v>
      </c>
      <c r="F11861">
        <v>0.18</v>
      </c>
      <c r="G11861" s="37" t="str">
        <f t="shared" si="926"/>
        <v>Normal Discount</v>
      </c>
      <c r="H11861" s="37" t="str">
        <f t="shared" si="927"/>
        <v>Low</v>
      </c>
      <c r="I11861">
        <v>4</v>
      </c>
      <c r="J11861" t="str" cm="1">
        <f t="array" ref="J11861">_xlfn.IFS(I11861&lt;=3,"small",I11861&lt;=6,"Medium",I11861&lt;=9,"Large")</f>
        <v>Medium</v>
      </c>
      <c r="K11861" s="36">
        <v>45497</v>
      </c>
      <c r="L11861" s="36">
        <v>45498</v>
      </c>
      <c r="M11861" t="s">
        <v>612</v>
      </c>
      <c r="N11861" t="s">
        <v>599</v>
      </c>
      <c r="O11861" s="37" t="str">
        <f t="shared" si="928"/>
        <v>Digital Payment</v>
      </c>
      <c r="P11861">
        <v>301.76</v>
      </c>
      <c r="Q11861" s="37" t="str">
        <f>IF(P11861&gt;500,"High","low")</f>
        <v>low</v>
      </c>
      <c r="R11861" s="37" t="str">
        <f t="shared" si="929"/>
        <v>AVERAGE</v>
      </c>
      <c r="S11861" t="s">
        <v>605</v>
      </c>
    </row>
    <row r="11862" spans="1:19" x14ac:dyDescent="0.2">
      <c r="A11862" t="s">
        <v>12473</v>
      </c>
      <c r="B11862" t="s">
        <v>75</v>
      </c>
      <c r="C11862" t="s">
        <v>602</v>
      </c>
      <c r="D11862">
        <v>922.65</v>
      </c>
      <c r="E11862" s="37" t="str">
        <f t="shared" si="925"/>
        <v xml:space="preserve"> </v>
      </c>
      <c r="F11862">
        <v>0.05</v>
      </c>
      <c r="G11862" s="37" t="str">
        <f t="shared" si="926"/>
        <v>Normal Discount</v>
      </c>
      <c r="H11862" s="37" t="str">
        <f t="shared" si="927"/>
        <v>Low</v>
      </c>
      <c r="I11862">
        <v>7</v>
      </c>
      <c r="J11862" t="str" cm="1">
        <f t="array" ref="J11862">_xlfn.IFS(I11862&lt;=3,"small",I11862&lt;=6,"Medium",I11862&lt;=9,"Large")</f>
        <v>Large</v>
      </c>
      <c r="K11862" s="36">
        <v>45526</v>
      </c>
      <c r="L11862" s="36">
        <v>45533</v>
      </c>
      <c r="M11862" t="s">
        <v>603</v>
      </c>
      <c r="N11862" t="s">
        <v>608</v>
      </c>
      <c r="O11862" s="37" t="str">
        <f t="shared" si="928"/>
        <v>Cash Payment</v>
      </c>
      <c r="P11862">
        <v>91.6</v>
      </c>
      <c r="Q11862" s="37" t="str">
        <f>IF(P11862&gt;500,"High","low")</f>
        <v>low</v>
      </c>
      <c r="R11862" s="37" t="str">
        <f t="shared" si="929"/>
        <v>AVERAGE</v>
      </c>
      <c r="S11862" t="s">
        <v>609</v>
      </c>
    </row>
    <row r="11863" spans="1:19" x14ac:dyDescent="0.2">
      <c r="A11863" t="s">
        <v>12474</v>
      </c>
      <c r="B11863" t="s">
        <v>75</v>
      </c>
      <c r="C11863" t="s">
        <v>602</v>
      </c>
      <c r="D11863">
        <v>3455.2</v>
      </c>
      <c r="E11863" s="37" t="str">
        <f t="shared" si="925"/>
        <v xml:space="preserve"> </v>
      </c>
      <c r="F11863">
        <v>0.25</v>
      </c>
      <c r="G11863" s="37" t="str">
        <f t="shared" si="926"/>
        <v>Normal Discount</v>
      </c>
      <c r="H11863" s="37" t="str">
        <f t="shared" si="927"/>
        <v>Medium</v>
      </c>
      <c r="I11863">
        <v>4</v>
      </c>
      <c r="J11863" t="str" cm="1">
        <f t="array" ref="J11863">_xlfn.IFS(I11863&lt;=3,"small",I11863&lt;=6,"Medium",I11863&lt;=9,"Large")</f>
        <v>Medium</v>
      </c>
      <c r="K11863" s="36">
        <v>45357</v>
      </c>
      <c r="L11863" s="36">
        <v>45364</v>
      </c>
      <c r="M11863" t="s">
        <v>598</v>
      </c>
      <c r="N11863" t="s">
        <v>608</v>
      </c>
      <c r="O11863" s="37" t="str">
        <f t="shared" si="928"/>
        <v>Cash Payment</v>
      </c>
      <c r="P11863">
        <v>373.6</v>
      </c>
      <c r="Q11863" s="37" t="str">
        <f>IF(P11863&gt;500,"High","low")</f>
        <v>low</v>
      </c>
      <c r="R11863" s="37" t="str">
        <f t="shared" si="929"/>
        <v>AVERAGE</v>
      </c>
      <c r="S11863" t="s">
        <v>620</v>
      </c>
    </row>
    <row r="11864" spans="1:19" x14ac:dyDescent="0.2">
      <c r="A11864" t="s">
        <v>12475</v>
      </c>
      <c r="B11864" t="s">
        <v>83</v>
      </c>
      <c r="C11864" t="s">
        <v>597</v>
      </c>
      <c r="D11864">
        <v>2691.63</v>
      </c>
      <c r="E11864" s="37" t="str">
        <f t="shared" si="925"/>
        <v xml:space="preserve"> </v>
      </c>
      <c r="F11864">
        <v>0.13</v>
      </c>
      <c r="G11864" s="37" t="str">
        <f t="shared" si="926"/>
        <v>Normal Discount</v>
      </c>
      <c r="H11864" s="37" t="str">
        <f t="shared" si="927"/>
        <v>Low</v>
      </c>
      <c r="I11864">
        <v>8</v>
      </c>
      <c r="J11864" t="str" cm="1">
        <f t="array" ref="J11864">_xlfn.IFS(I11864&lt;=3,"small",I11864&lt;=6,"Medium",I11864&lt;=9,"Large")</f>
        <v>Large</v>
      </c>
      <c r="K11864" s="36">
        <v>45213</v>
      </c>
      <c r="L11864" s="36">
        <v>45214</v>
      </c>
      <c r="M11864" t="s">
        <v>603</v>
      </c>
      <c r="N11864" t="s">
        <v>608</v>
      </c>
      <c r="O11864" s="37" t="str">
        <f t="shared" si="928"/>
        <v>Cash Payment</v>
      </c>
      <c r="P11864">
        <v>374.57</v>
      </c>
      <c r="Q11864" s="37" t="str">
        <f>IF(P11864&gt;500,"High","low")</f>
        <v>low</v>
      </c>
      <c r="R11864" s="37" t="str">
        <f t="shared" si="929"/>
        <v>AVERAGE</v>
      </c>
      <c r="S11864" t="s">
        <v>605</v>
      </c>
    </row>
    <row r="11865" spans="1:19" x14ac:dyDescent="0.2">
      <c r="A11865" t="s">
        <v>12476</v>
      </c>
      <c r="B11865" t="s">
        <v>75</v>
      </c>
      <c r="C11865" t="s">
        <v>617</v>
      </c>
      <c r="D11865">
        <v>4583.3</v>
      </c>
      <c r="E11865" s="37" t="str">
        <f t="shared" si="925"/>
        <v>Excellent Order</v>
      </c>
      <c r="F11865">
        <v>0.31</v>
      </c>
      <c r="G11865" s="37" t="str">
        <f t="shared" si="926"/>
        <v>Heavy Discount</v>
      </c>
      <c r="H11865" s="37" t="str">
        <f t="shared" si="927"/>
        <v>Medium</v>
      </c>
      <c r="I11865">
        <v>5</v>
      </c>
      <c r="J11865" t="str" cm="1">
        <f t="array" ref="J11865">_xlfn.IFS(I11865&lt;=3,"small",I11865&lt;=6,"Medium",I11865&lt;=9,"Large")</f>
        <v>Medium</v>
      </c>
      <c r="K11865" s="36">
        <v>45328</v>
      </c>
      <c r="L11865" s="36">
        <v>45332</v>
      </c>
      <c r="M11865" t="s">
        <v>612</v>
      </c>
      <c r="N11865" t="s">
        <v>604</v>
      </c>
      <c r="O11865" s="37" t="str">
        <f t="shared" si="928"/>
        <v>Digital Payment</v>
      </c>
      <c r="P11865">
        <v>1339.51</v>
      </c>
      <c r="Q11865" s="37" t="str">
        <f>IF(P11865&gt;500,"High","low")</f>
        <v>High</v>
      </c>
      <c r="R11865" s="37" t="str">
        <f t="shared" si="929"/>
        <v>Excellent</v>
      </c>
      <c r="S11865" t="s">
        <v>628</v>
      </c>
    </row>
    <row r="11866" spans="1:19" x14ac:dyDescent="0.2">
      <c r="A11866" t="s">
        <v>12477</v>
      </c>
      <c r="B11866" t="s">
        <v>75</v>
      </c>
      <c r="C11866" t="s">
        <v>597</v>
      </c>
      <c r="D11866">
        <v>4171.9799999999996</v>
      </c>
      <c r="E11866" s="37" t="str">
        <f t="shared" si="925"/>
        <v>Excellent Order</v>
      </c>
      <c r="F11866">
        <v>0.26</v>
      </c>
      <c r="G11866" s="37" t="str">
        <f t="shared" si="926"/>
        <v>Normal Discount</v>
      </c>
      <c r="H11866" s="37" t="str">
        <f t="shared" si="927"/>
        <v>Medium</v>
      </c>
      <c r="I11866">
        <v>2</v>
      </c>
      <c r="J11866" t="str" cm="1">
        <f t="array" ref="J11866">_xlfn.IFS(I11866&lt;=3,"small",I11866&lt;=6,"Medium",I11866&lt;=9,"Large")</f>
        <v>small</v>
      </c>
      <c r="K11866" s="36">
        <v>45166</v>
      </c>
      <c r="L11866" s="36">
        <v>45169</v>
      </c>
      <c r="M11866" t="s">
        <v>603</v>
      </c>
      <c r="N11866" t="s">
        <v>599</v>
      </c>
      <c r="O11866" s="37" t="str">
        <f t="shared" si="928"/>
        <v>Digital Payment</v>
      </c>
      <c r="P11866">
        <v>861.49</v>
      </c>
      <c r="Q11866" s="37" t="str">
        <f>IF(P11866&gt;500,"High","low")</f>
        <v>High</v>
      </c>
      <c r="R11866" s="37" t="str">
        <f t="shared" si="929"/>
        <v>Good</v>
      </c>
      <c r="S11866" t="s">
        <v>620</v>
      </c>
    </row>
    <row r="11867" spans="1:19" x14ac:dyDescent="0.2">
      <c r="A11867" t="s">
        <v>12478</v>
      </c>
      <c r="B11867" t="s">
        <v>67</v>
      </c>
      <c r="C11867" t="s">
        <v>614</v>
      </c>
      <c r="D11867">
        <v>3660.97</v>
      </c>
      <c r="E11867" s="37" t="str">
        <f t="shared" si="925"/>
        <v xml:space="preserve"> </v>
      </c>
      <c r="F11867">
        <v>0.39</v>
      </c>
      <c r="G11867" s="37" t="str">
        <f t="shared" si="926"/>
        <v>Heavy Discount</v>
      </c>
      <c r="H11867" s="37" t="str">
        <f t="shared" si="927"/>
        <v>Medium</v>
      </c>
      <c r="I11867">
        <v>4</v>
      </c>
      <c r="J11867" t="str" cm="1">
        <f t="array" ref="J11867">_xlfn.IFS(I11867&lt;=3,"small",I11867&lt;=6,"Medium",I11867&lt;=9,"Large")</f>
        <v>Medium</v>
      </c>
      <c r="K11867" s="36">
        <v>44935</v>
      </c>
      <c r="L11867" s="36">
        <v>44939</v>
      </c>
      <c r="M11867" t="s">
        <v>612</v>
      </c>
      <c r="N11867" t="s">
        <v>608</v>
      </c>
      <c r="O11867" s="37" t="str">
        <f t="shared" si="928"/>
        <v>Cash Payment</v>
      </c>
      <c r="P11867">
        <v>625.77</v>
      </c>
      <c r="Q11867" s="37" t="str">
        <f>IF(P11867&gt;500,"High","low")</f>
        <v>High</v>
      </c>
      <c r="R11867" s="37" t="str">
        <f t="shared" si="929"/>
        <v>Good</v>
      </c>
      <c r="S11867" t="s">
        <v>609</v>
      </c>
    </row>
    <row r="11868" spans="1:19" x14ac:dyDescent="0.2">
      <c r="A11868" t="s">
        <v>12479</v>
      </c>
      <c r="B11868" t="s">
        <v>67</v>
      </c>
      <c r="C11868" t="s">
        <v>602</v>
      </c>
      <c r="D11868">
        <v>720.25</v>
      </c>
      <c r="E11868" s="37" t="str">
        <f t="shared" si="925"/>
        <v xml:space="preserve"> </v>
      </c>
      <c r="F11868">
        <v>0.28999999999999998</v>
      </c>
      <c r="G11868" s="37" t="str">
        <f t="shared" si="926"/>
        <v>Normal Discount</v>
      </c>
      <c r="H11868" s="37" t="str">
        <f t="shared" si="927"/>
        <v>Medium</v>
      </c>
      <c r="I11868">
        <v>7</v>
      </c>
      <c r="J11868" t="str" cm="1">
        <f t="array" ref="J11868">_xlfn.IFS(I11868&lt;=3,"small",I11868&lt;=6,"Medium",I11868&lt;=9,"Large")</f>
        <v>Large</v>
      </c>
      <c r="K11868" s="36">
        <v>45441</v>
      </c>
      <c r="L11868" s="36">
        <v>45445</v>
      </c>
      <c r="M11868" t="s">
        <v>603</v>
      </c>
      <c r="N11868" t="s">
        <v>599</v>
      </c>
      <c r="O11868" s="37" t="str">
        <f t="shared" si="928"/>
        <v>Digital Payment</v>
      </c>
      <c r="P11868">
        <v>102.13</v>
      </c>
      <c r="Q11868" s="37" t="str">
        <f>IF(P11868&gt;500,"High","low")</f>
        <v>low</v>
      </c>
      <c r="R11868" s="37" t="str">
        <f t="shared" si="929"/>
        <v>AVERAGE</v>
      </c>
      <c r="S11868" t="s">
        <v>615</v>
      </c>
    </row>
    <row r="11869" spans="1:19" x14ac:dyDescent="0.2">
      <c r="A11869" t="s">
        <v>12480</v>
      </c>
      <c r="B11869" t="s">
        <v>67</v>
      </c>
      <c r="C11869" t="s">
        <v>597</v>
      </c>
      <c r="D11869">
        <v>3363.83</v>
      </c>
      <c r="E11869" s="37" t="str">
        <f t="shared" si="925"/>
        <v xml:space="preserve"> </v>
      </c>
      <c r="F11869">
        <v>0.22</v>
      </c>
      <c r="G11869" s="37" t="str">
        <f t="shared" si="926"/>
        <v>Normal Discount</v>
      </c>
      <c r="H11869" s="37" t="str">
        <f t="shared" si="927"/>
        <v>Medium</v>
      </c>
      <c r="I11869">
        <v>1</v>
      </c>
      <c r="J11869" t="str" cm="1">
        <f t="array" ref="J11869">_xlfn.IFS(I11869&lt;=3,"small",I11869&lt;=6,"Medium",I11869&lt;=9,"Large")</f>
        <v>small</v>
      </c>
      <c r="K11869" s="36">
        <v>45564</v>
      </c>
      <c r="L11869" s="36">
        <v>45571</v>
      </c>
      <c r="M11869" t="s">
        <v>598</v>
      </c>
      <c r="N11869" t="s">
        <v>604</v>
      </c>
      <c r="O11869" s="37" t="str">
        <f t="shared" si="928"/>
        <v>Digital Payment</v>
      </c>
      <c r="P11869">
        <v>907.53</v>
      </c>
      <c r="Q11869" s="37" t="str">
        <f>IF(P11869&gt;500,"High","low")</f>
        <v>High</v>
      </c>
      <c r="R11869" s="37" t="str">
        <f t="shared" si="929"/>
        <v>Good</v>
      </c>
      <c r="S11869" t="s">
        <v>615</v>
      </c>
    </row>
    <row r="11870" spans="1:19" x14ac:dyDescent="0.2">
      <c r="A11870" t="s">
        <v>12481</v>
      </c>
      <c r="B11870" t="s">
        <v>90</v>
      </c>
      <c r="C11870" t="s">
        <v>602</v>
      </c>
      <c r="D11870">
        <v>3500.24</v>
      </c>
      <c r="E11870" s="37" t="str">
        <f t="shared" si="925"/>
        <v xml:space="preserve"> </v>
      </c>
      <c r="F11870">
        <v>0.06</v>
      </c>
      <c r="G11870" s="37" t="str">
        <f t="shared" si="926"/>
        <v>Normal Discount</v>
      </c>
      <c r="H11870" s="37" t="str">
        <f t="shared" si="927"/>
        <v>Low</v>
      </c>
      <c r="I11870">
        <v>7</v>
      </c>
      <c r="J11870" t="str" cm="1">
        <f t="array" ref="J11870">_xlfn.IFS(I11870&lt;=3,"small",I11870&lt;=6,"Medium",I11870&lt;=9,"Large")</f>
        <v>Large</v>
      </c>
      <c r="K11870" s="36">
        <v>45509</v>
      </c>
      <c r="L11870" s="36">
        <v>45516</v>
      </c>
      <c r="M11870" t="s">
        <v>598</v>
      </c>
      <c r="N11870" t="s">
        <v>608</v>
      </c>
      <c r="O11870" s="37" t="str">
        <f t="shared" si="928"/>
        <v>Cash Payment</v>
      </c>
      <c r="P11870">
        <v>440.06</v>
      </c>
      <c r="Q11870" s="37" t="str">
        <f>IF(P11870&gt;500,"High","low")</f>
        <v>low</v>
      </c>
      <c r="R11870" s="37" t="str">
        <f t="shared" si="929"/>
        <v>AVERAGE</v>
      </c>
      <c r="S11870" t="s">
        <v>615</v>
      </c>
    </row>
    <row r="11871" spans="1:19" x14ac:dyDescent="0.2">
      <c r="A11871" t="s">
        <v>12482</v>
      </c>
      <c r="B11871" t="s">
        <v>83</v>
      </c>
      <c r="C11871" t="s">
        <v>614</v>
      </c>
      <c r="D11871">
        <v>3840.33</v>
      </c>
      <c r="E11871" s="37" t="str">
        <f t="shared" si="925"/>
        <v xml:space="preserve"> </v>
      </c>
      <c r="F11871">
        <v>0.06</v>
      </c>
      <c r="G11871" s="37" t="str">
        <f t="shared" si="926"/>
        <v>Normal Discount</v>
      </c>
      <c r="H11871" s="37" t="str">
        <f t="shared" si="927"/>
        <v>Low</v>
      </c>
      <c r="I11871">
        <v>3</v>
      </c>
      <c r="J11871" t="str" cm="1">
        <f t="array" ref="J11871">_xlfn.IFS(I11871&lt;=3,"small",I11871&lt;=6,"Medium",I11871&lt;=9,"Large")</f>
        <v>small</v>
      </c>
      <c r="K11871" s="36">
        <v>45336</v>
      </c>
      <c r="L11871" s="36">
        <v>45340</v>
      </c>
      <c r="M11871" t="s">
        <v>598</v>
      </c>
      <c r="N11871" t="s">
        <v>608</v>
      </c>
      <c r="O11871" s="37" t="str">
        <f t="shared" si="928"/>
        <v>Cash Payment</v>
      </c>
      <c r="P11871">
        <v>645.16</v>
      </c>
      <c r="Q11871" s="37" t="str">
        <f>IF(P11871&gt;500,"High","low")</f>
        <v>High</v>
      </c>
      <c r="R11871" s="37" t="str">
        <f t="shared" si="929"/>
        <v>Good</v>
      </c>
      <c r="S11871" t="s">
        <v>615</v>
      </c>
    </row>
    <row r="11872" spans="1:19" x14ac:dyDescent="0.2">
      <c r="A11872" t="s">
        <v>12483</v>
      </c>
      <c r="B11872" t="s">
        <v>67</v>
      </c>
      <c r="C11872" t="s">
        <v>607</v>
      </c>
      <c r="D11872">
        <v>1389.35</v>
      </c>
      <c r="E11872" s="37" t="str">
        <f t="shared" si="925"/>
        <v xml:space="preserve"> </v>
      </c>
      <c r="F11872">
        <v>0.32</v>
      </c>
      <c r="G11872" s="37" t="str">
        <f t="shared" si="926"/>
        <v>Heavy Discount</v>
      </c>
      <c r="H11872" s="37" t="str">
        <f t="shared" si="927"/>
        <v>Medium</v>
      </c>
      <c r="I11872">
        <v>7</v>
      </c>
      <c r="J11872" t="str" cm="1">
        <f t="array" ref="J11872">_xlfn.IFS(I11872&lt;=3,"small",I11872&lt;=6,"Medium",I11872&lt;=9,"Large")</f>
        <v>Large</v>
      </c>
      <c r="K11872" s="36">
        <v>45600</v>
      </c>
      <c r="L11872" s="36">
        <v>45607</v>
      </c>
      <c r="M11872" t="s">
        <v>598</v>
      </c>
      <c r="N11872" t="s">
        <v>608</v>
      </c>
      <c r="O11872" s="37" t="str">
        <f t="shared" si="928"/>
        <v>Cash Payment</v>
      </c>
      <c r="P11872">
        <v>116.81</v>
      </c>
      <c r="Q11872" s="37" t="str">
        <f>IF(P11872&gt;500,"High","low")</f>
        <v>low</v>
      </c>
      <c r="R11872" s="37" t="str">
        <f t="shared" si="929"/>
        <v>AVERAGE</v>
      </c>
      <c r="S11872" t="s">
        <v>600</v>
      </c>
    </row>
    <row r="11873" spans="1:19" x14ac:dyDescent="0.2">
      <c r="A11873" t="s">
        <v>12484</v>
      </c>
      <c r="B11873" t="s">
        <v>90</v>
      </c>
      <c r="C11873" t="s">
        <v>607</v>
      </c>
      <c r="D11873">
        <v>3237.46</v>
      </c>
      <c r="E11873" s="37" t="str">
        <f t="shared" si="925"/>
        <v xml:space="preserve"> </v>
      </c>
      <c r="F11873">
        <v>0.44</v>
      </c>
      <c r="G11873" s="37" t="str">
        <f t="shared" si="926"/>
        <v>Heavy Discount</v>
      </c>
      <c r="H11873" s="37" t="str">
        <f t="shared" si="927"/>
        <v>High</v>
      </c>
      <c r="I11873">
        <v>3</v>
      </c>
      <c r="J11873" t="str" cm="1">
        <f t="array" ref="J11873">_xlfn.IFS(I11873&lt;=3,"small",I11873&lt;=6,"Medium",I11873&lt;=9,"Large")</f>
        <v>small</v>
      </c>
      <c r="K11873" s="36">
        <v>45225</v>
      </c>
      <c r="L11873" s="36">
        <v>45230</v>
      </c>
      <c r="M11873" t="s">
        <v>612</v>
      </c>
      <c r="N11873" t="s">
        <v>608</v>
      </c>
      <c r="O11873" s="37" t="str">
        <f t="shared" si="928"/>
        <v>Cash Payment</v>
      </c>
      <c r="P11873">
        <v>469.47</v>
      </c>
      <c r="Q11873" s="37" t="str">
        <f>IF(P11873&gt;500,"High","low")</f>
        <v>low</v>
      </c>
      <c r="R11873" s="37" t="str">
        <f t="shared" si="929"/>
        <v>AVERAGE</v>
      </c>
      <c r="S11873" t="s">
        <v>628</v>
      </c>
    </row>
    <row r="11874" spans="1:19" x14ac:dyDescent="0.2">
      <c r="A11874" t="s">
        <v>12485</v>
      </c>
      <c r="B11874" t="s">
        <v>90</v>
      </c>
      <c r="C11874" t="s">
        <v>607</v>
      </c>
      <c r="D11874">
        <v>3129.56</v>
      </c>
      <c r="E11874" s="37" t="str">
        <f t="shared" si="925"/>
        <v xml:space="preserve"> </v>
      </c>
      <c r="F11874">
        <v>0.21</v>
      </c>
      <c r="G11874" s="37" t="str">
        <f t="shared" si="926"/>
        <v>Normal Discount</v>
      </c>
      <c r="H11874" s="37" t="str">
        <f t="shared" si="927"/>
        <v>Medium</v>
      </c>
      <c r="I11874">
        <v>8</v>
      </c>
      <c r="J11874" t="str" cm="1">
        <f t="array" ref="J11874">_xlfn.IFS(I11874&lt;=3,"small",I11874&lt;=6,"Medium",I11874&lt;=9,"Large")</f>
        <v>Large</v>
      </c>
      <c r="K11874" s="36">
        <v>45599</v>
      </c>
      <c r="L11874" s="36">
        <v>45603</v>
      </c>
      <c r="M11874" t="s">
        <v>612</v>
      </c>
      <c r="N11874" t="s">
        <v>608</v>
      </c>
      <c r="O11874" s="37" t="str">
        <f t="shared" si="928"/>
        <v>Cash Payment</v>
      </c>
      <c r="P11874">
        <v>842.72</v>
      </c>
      <c r="Q11874" s="37" t="str">
        <f>IF(P11874&gt;500,"High","low")</f>
        <v>High</v>
      </c>
      <c r="R11874" s="37" t="str">
        <f t="shared" si="929"/>
        <v>Good</v>
      </c>
      <c r="S11874" t="s">
        <v>609</v>
      </c>
    </row>
    <row r="11875" spans="1:19" x14ac:dyDescent="0.2">
      <c r="A11875" t="s">
        <v>12486</v>
      </c>
      <c r="B11875" t="s">
        <v>83</v>
      </c>
      <c r="C11875" t="s">
        <v>602</v>
      </c>
      <c r="D11875">
        <v>1988.02</v>
      </c>
      <c r="E11875" s="37" t="str">
        <f t="shared" si="925"/>
        <v xml:space="preserve"> </v>
      </c>
      <c r="F11875">
        <v>0.27</v>
      </c>
      <c r="G11875" s="37" t="str">
        <f t="shared" si="926"/>
        <v>Normal Discount</v>
      </c>
      <c r="H11875" s="37" t="str">
        <f t="shared" si="927"/>
        <v>Medium</v>
      </c>
      <c r="I11875">
        <v>4</v>
      </c>
      <c r="J11875" t="str" cm="1">
        <f t="array" ref="J11875">_xlfn.IFS(I11875&lt;=3,"small",I11875&lt;=6,"Medium",I11875&lt;=9,"Large")</f>
        <v>Medium</v>
      </c>
      <c r="K11875" s="36">
        <v>45251</v>
      </c>
      <c r="L11875" s="36">
        <v>45258</v>
      </c>
      <c r="M11875" t="s">
        <v>612</v>
      </c>
      <c r="N11875" t="s">
        <v>604</v>
      </c>
      <c r="O11875" s="37" t="str">
        <f t="shared" si="928"/>
        <v>Digital Payment</v>
      </c>
      <c r="P11875">
        <v>135.44999999999999</v>
      </c>
      <c r="Q11875" s="37" t="str">
        <f>IF(P11875&gt;500,"High","low")</f>
        <v>low</v>
      </c>
      <c r="R11875" s="37" t="str">
        <f t="shared" si="929"/>
        <v>AVERAGE</v>
      </c>
      <c r="S11875" t="s">
        <v>628</v>
      </c>
    </row>
    <row r="11876" spans="1:19" x14ac:dyDescent="0.2">
      <c r="A11876" t="s">
        <v>12487</v>
      </c>
      <c r="B11876" t="s">
        <v>83</v>
      </c>
      <c r="C11876" t="s">
        <v>597</v>
      </c>
      <c r="D11876">
        <v>3351.18</v>
      </c>
      <c r="E11876" s="37" t="str">
        <f t="shared" si="925"/>
        <v xml:space="preserve"> </v>
      </c>
      <c r="F11876">
        <v>0.3</v>
      </c>
      <c r="G11876" s="37" t="str">
        <f t="shared" si="926"/>
        <v>Normal Discount</v>
      </c>
      <c r="H11876" s="37" t="str">
        <f t="shared" si="927"/>
        <v>Medium</v>
      </c>
      <c r="I11876">
        <v>1</v>
      </c>
      <c r="J11876" t="str" cm="1">
        <f t="array" ref="J11876">_xlfn.IFS(I11876&lt;=3,"small",I11876&lt;=6,"Medium",I11876&lt;=9,"Large")</f>
        <v>small</v>
      </c>
      <c r="K11876" s="36">
        <v>45602</v>
      </c>
      <c r="L11876" s="36">
        <v>45604</v>
      </c>
      <c r="M11876" t="s">
        <v>603</v>
      </c>
      <c r="N11876" t="s">
        <v>608</v>
      </c>
      <c r="O11876" s="37" t="str">
        <f t="shared" si="928"/>
        <v>Cash Payment</v>
      </c>
      <c r="P11876">
        <v>201.47</v>
      </c>
      <c r="Q11876" s="37" t="str">
        <f>IF(P11876&gt;500,"High","low")</f>
        <v>low</v>
      </c>
      <c r="R11876" s="37" t="str">
        <f t="shared" si="929"/>
        <v>AVERAGE</v>
      </c>
      <c r="S11876" t="s">
        <v>600</v>
      </c>
    </row>
    <row r="11877" spans="1:19" x14ac:dyDescent="0.2">
      <c r="A11877" t="s">
        <v>12488</v>
      </c>
      <c r="B11877" t="s">
        <v>75</v>
      </c>
      <c r="C11877" t="s">
        <v>602</v>
      </c>
      <c r="D11877">
        <v>524.80999999999995</v>
      </c>
      <c r="E11877" s="37" t="str">
        <f t="shared" si="925"/>
        <v xml:space="preserve"> </v>
      </c>
      <c r="F11877">
        <v>0.24</v>
      </c>
      <c r="G11877" s="37" t="str">
        <f t="shared" si="926"/>
        <v>Normal Discount</v>
      </c>
      <c r="H11877" s="37" t="str">
        <f t="shared" si="927"/>
        <v>Medium</v>
      </c>
      <c r="I11877">
        <v>1</v>
      </c>
      <c r="J11877" t="str" cm="1">
        <f t="array" ref="J11877">_xlfn.IFS(I11877&lt;=3,"small",I11877&lt;=6,"Medium",I11877&lt;=9,"Large")</f>
        <v>small</v>
      </c>
      <c r="K11877" s="36">
        <v>45517</v>
      </c>
      <c r="L11877" s="36">
        <v>45524</v>
      </c>
      <c r="M11877" t="s">
        <v>603</v>
      </c>
      <c r="N11877" t="s">
        <v>608</v>
      </c>
      <c r="O11877" s="37" t="str">
        <f t="shared" si="928"/>
        <v>Cash Payment</v>
      </c>
      <c r="P11877">
        <v>83.07</v>
      </c>
      <c r="Q11877" s="37" t="str">
        <f>IF(P11877&gt;500,"High","low")</f>
        <v>low</v>
      </c>
      <c r="R11877" s="37" t="str">
        <f t="shared" si="929"/>
        <v>AVERAGE</v>
      </c>
      <c r="S11877" t="s">
        <v>615</v>
      </c>
    </row>
    <row r="11878" spans="1:19" x14ac:dyDescent="0.2">
      <c r="A11878" t="s">
        <v>12489</v>
      </c>
      <c r="B11878" t="s">
        <v>90</v>
      </c>
      <c r="C11878" t="s">
        <v>617</v>
      </c>
      <c r="D11878">
        <v>3253.17</v>
      </c>
      <c r="E11878" s="37" t="str">
        <f t="shared" si="925"/>
        <v xml:space="preserve"> </v>
      </c>
      <c r="F11878">
        <v>0.03</v>
      </c>
      <c r="G11878" s="37" t="str">
        <f t="shared" si="926"/>
        <v>Normal Discount</v>
      </c>
      <c r="H11878" s="37" t="str">
        <f t="shared" si="927"/>
        <v>Low</v>
      </c>
      <c r="I11878">
        <v>4</v>
      </c>
      <c r="J11878" t="str" cm="1">
        <f t="array" ref="J11878">_xlfn.IFS(I11878&lt;=3,"small",I11878&lt;=6,"Medium",I11878&lt;=9,"Large")</f>
        <v>Medium</v>
      </c>
      <c r="K11878" s="36">
        <v>45559</v>
      </c>
      <c r="L11878" s="36">
        <v>45562</v>
      </c>
      <c r="M11878" t="s">
        <v>598</v>
      </c>
      <c r="N11878" t="s">
        <v>608</v>
      </c>
      <c r="O11878" s="37" t="str">
        <f t="shared" si="928"/>
        <v>Cash Payment</v>
      </c>
      <c r="P11878">
        <v>706.18</v>
      </c>
      <c r="Q11878" s="37" t="str">
        <f>IF(P11878&gt;500,"High","low")</f>
        <v>High</v>
      </c>
      <c r="R11878" s="37" t="str">
        <f t="shared" si="929"/>
        <v>Good</v>
      </c>
      <c r="S11878" t="s">
        <v>628</v>
      </c>
    </row>
    <row r="11879" spans="1:19" x14ac:dyDescent="0.2">
      <c r="A11879" t="s">
        <v>12490</v>
      </c>
      <c r="B11879" t="s">
        <v>67</v>
      </c>
      <c r="C11879" t="s">
        <v>597</v>
      </c>
      <c r="D11879">
        <v>3069.48</v>
      </c>
      <c r="E11879" s="37" t="str">
        <f t="shared" si="925"/>
        <v xml:space="preserve"> </v>
      </c>
      <c r="F11879">
        <v>0.28999999999999998</v>
      </c>
      <c r="G11879" s="37" t="str">
        <f t="shared" si="926"/>
        <v>Normal Discount</v>
      </c>
      <c r="H11879" s="37" t="str">
        <f t="shared" si="927"/>
        <v>Medium</v>
      </c>
      <c r="I11879">
        <v>9</v>
      </c>
      <c r="J11879" t="str" cm="1">
        <f t="array" ref="J11879">_xlfn.IFS(I11879&lt;=3,"small",I11879&lt;=6,"Medium",I11879&lt;=9,"Large")</f>
        <v>Large</v>
      </c>
      <c r="K11879" s="36">
        <v>45128</v>
      </c>
      <c r="L11879" s="36">
        <v>45129</v>
      </c>
      <c r="M11879" t="s">
        <v>612</v>
      </c>
      <c r="N11879" t="s">
        <v>608</v>
      </c>
      <c r="O11879" s="37" t="str">
        <f t="shared" si="928"/>
        <v>Cash Payment</v>
      </c>
      <c r="P11879">
        <v>181.4</v>
      </c>
      <c r="Q11879" s="37" t="str">
        <f>IF(P11879&gt;500,"High","low")</f>
        <v>low</v>
      </c>
      <c r="R11879" s="37" t="str">
        <f t="shared" si="929"/>
        <v>AVERAGE</v>
      </c>
      <c r="S11879" t="s">
        <v>605</v>
      </c>
    </row>
    <row r="11880" spans="1:19" x14ac:dyDescent="0.2">
      <c r="A11880" t="s">
        <v>12491</v>
      </c>
      <c r="B11880" t="s">
        <v>83</v>
      </c>
      <c r="C11880" t="s">
        <v>614</v>
      </c>
      <c r="D11880">
        <v>1132.06</v>
      </c>
      <c r="E11880" s="37" t="str">
        <f t="shared" si="925"/>
        <v xml:space="preserve"> </v>
      </c>
      <c r="F11880">
        <v>7.0000000000000007E-2</v>
      </c>
      <c r="G11880" s="37" t="str">
        <f t="shared" si="926"/>
        <v>Normal Discount</v>
      </c>
      <c r="H11880" s="37" t="str">
        <f t="shared" si="927"/>
        <v>Low</v>
      </c>
      <c r="I11880">
        <v>5</v>
      </c>
      <c r="J11880" t="str" cm="1">
        <f t="array" ref="J11880">_xlfn.IFS(I11880&lt;=3,"small",I11880&lt;=6,"Medium",I11880&lt;=9,"Large")</f>
        <v>Medium</v>
      </c>
      <c r="K11880" s="36">
        <v>45309</v>
      </c>
      <c r="L11880" s="36">
        <v>45315</v>
      </c>
      <c r="M11880" t="s">
        <v>598</v>
      </c>
      <c r="N11880" t="s">
        <v>604</v>
      </c>
      <c r="O11880" s="37" t="str">
        <f t="shared" si="928"/>
        <v>Digital Payment</v>
      </c>
      <c r="P11880">
        <v>190.66</v>
      </c>
      <c r="Q11880" s="37" t="str">
        <f>IF(P11880&gt;500,"High","low")</f>
        <v>low</v>
      </c>
      <c r="R11880" s="37" t="str">
        <f t="shared" si="929"/>
        <v>AVERAGE</v>
      </c>
      <c r="S11880" t="s">
        <v>600</v>
      </c>
    </row>
    <row r="11881" spans="1:19" x14ac:dyDescent="0.2">
      <c r="A11881" t="s">
        <v>12492</v>
      </c>
      <c r="B11881" t="s">
        <v>90</v>
      </c>
      <c r="C11881" t="s">
        <v>607</v>
      </c>
      <c r="D11881">
        <v>4109.25</v>
      </c>
      <c r="E11881" s="37" t="str">
        <f t="shared" si="925"/>
        <v xml:space="preserve"> </v>
      </c>
      <c r="F11881">
        <v>0.28000000000000003</v>
      </c>
      <c r="G11881" s="37" t="str">
        <f t="shared" si="926"/>
        <v>Normal Discount</v>
      </c>
      <c r="H11881" s="37" t="str">
        <f t="shared" si="927"/>
        <v>Medium</v>
      </c>
      <c r="I11881">
        <v>5</v>
      </c>
      <c r="J11881" t="str" cm="1">
        <f t="array" ref="J11881">_xlfn.IFS(I11881&lt;=3,"small",I11881&lt;=6,"Medium",I11881&lt;=9,"Large")</f>
        <v>Medium</v>
      </c>
      <c r="K11881" s="36">
        <v>44973</v>
      </c>
      <c r="L11881" s="36">
        <v>44980</v>
      </c>
      <c r="M11881" t="s">
        <v>598</v>
      </c>
      <c r="N11881" t="s">
        <v>599</v>
      </c>
      <c r="O11881" s="37" t="str">
        <f t="shared" si="928"/>
        <v>Digital Payment</v>
      </c>
      <c r="P11881">
        <v>245.64</v>
      </c>
      <c r="Q11881" s="37" t="str">
        <f>IF(P11881&gt;500,"High","low")</f>
        <v>low</v>
      </c>
      <c r="R11881" s="37" t="str">
        <f t="shared" si="929"/>
        <v>AVERAGE</v>
      </c>
      <c r="S11881" t="s">
        <v>609</v>
      </c>
    </row>
    <row r="11882" spans="1:19" x14ac:dyDescent="0.2">
      <c r="A11882" t="s">
        <v>12493</v>
      </c>
      <c r="B11882" t="s">
        <v>67</v>
      </c>
      <c r="C11882" t="s">
        <v>597</v>
      </c>
      <c r="D11882">
        <v>4384.63</v>
      </c>
      <c r="E11882" s="37" t="str">
        <f t="shared" si="925"/>
        <v>Excellent Order</v>
      </c>
      <c r="F11882">
        <v>0.39</v>
      </c>
      <c r="G11882" s="37" t="str">
        <f t="shared" si="926"/>
        <v>Heavy Discount</v>
      </c>
      <c r="H11882" s="37" t="str">
        <f t="shared" si="927"/>
        <v>Medium</v>
      </c>
      <c r="I11882">
        <v>3</v>
      </c>
      <c r="J11882" t="str" cm="1">
        <f t="array" ref="J11882">_xlfn.IFS(I11882&lt;=3,"small",I11882&lt;=6,"Medium",I11882&lt;=9,"Large")</f>
        <v>small</v>
      </c>
      <c r="K11882" s="36">
        <v>45155</v>
      </c>
      <c r="L11882" s="36">
        <v>45162</v>
      </c>
      <c r="M11882" t="s">
        <v>603</v>
      </c>
      <c r="N11882" t="s">
        <v>604</v>
      </c>
      <c r="O11882" s="37" t="str">
        <f t="shared" si="928"/>
        <v>Digital Payment</v>
      </c>
      <c r="P11882">
        <v>948.87</v>
      </c>
      <c r="Q11882" s="37" t="str">
        <f>IF(P11882&gt;500,"High","low")</f>
        <v>High</v>
      </c>
      <c r="R11882" s="37" t="str">
        <f t="shared" si="929"/>
        <v>Good</v>
      </c>
      <c r="S11882" t="s">
        <v>628</v>
      </c>
    </row>
    <row r="11883" spans="1:19" x14ac:dyDescent="0.2">
      <c r="A11883" t="s">
        <v>12494</v>
      </c>
      <c r="B11883" t="s">
        <v>90</v>
      </c>
      <c r="C11883" t="s">
        <v>597</v>
      </c>
      <c r="D11883">
        <v>1131.3699999999999</v>
      </c>
      <c r="E11883" s="37" t="str">
        <f t="shared" si="925"/>
        <v xml:space="preserve"> </v>
      </c>
      <c r="F11883">
        <v>0</v>
      </c>
      <c r="G11883" s="37" t="str">
        <f t="shared" si="926"/>
        <v>Normal Discount</v>
      </c>
      <c r="H11883" s="37" t="str">
        <f t="shared" si="927"/>
        <v>Low</v>
      </c>
      <c r="I11883">
        <v>5</v>
      </c>
      <c r="J11883" t="str" cm="1">
        <f t="array" ref="J11883">_xlfn.IFS(I11883&lt;=3,"small",I11883&lt;=6,"Medium",I11883&lt;=9,"Large")</f>
        <v>Medium</v>
      </c>
      <c r="K11883" s="36">
        <v>45284</v>
      </c>
      <c r="L11883" s="36">
        <v>45289</v>
      </c>
      <c r="M11883" t="s">
        <v>612</v>
      </c>
      <c r="N11883" t="s">
        <v>604</v>
      </c>
      <c r="O11883" s="37" t="str">
        <f t="shared" si="928"/>
        <v>Digital Payment</v>
      </c>
      <c r="P11883">
        <v>256.57</v>
      </c>
      <c r="Q11883" s="37" t="str">
        <f>IF(P11883&gt;500,"High","low")</f>
        <v>low</v>
      </c>
      <c r="R11883" s="37" t="str">
        <f t="shared" si="929"/>
        <v>AVERAGE</v>
      </c>
      <c r="S11883" t="s">
        <v>605</v>
      </c>
    </row>
    <row r="11884" spans="1:19" x14ac:dyDescent="0.2">
      <c r="A11884" t="s">
        <v>12495</v>
      </c>
      <c r="B11884" t="s">
        <v>83</v>
      </c>
      <c r="C11884" t="s">
        <v>607</v>
      </c>
      <c r="D11884">
        <v>472.21</v>
      </c>
      <c r="E11884" s="37" t="str">
        <f t="shared" si="925"/>
        <v xml:space="preserve"> </v>
      </c>
      <c r="F11884">
        <v>0.22</v>
      </c>
      <c r="G11884" s="37" t="str">
        <f t="shared" si="926"/>
        <v>Normal Discount</v>
      </c>
      <c r="H11884" s="37" t="str">
        <f t="shared" si="927"/>
        <v>Medium</v>
      </c>
      <c r="I11884">
        <v>7</v>
      </c>
      <c r="J11884" t="str" cm="1">
        <f t="array" ref="J11884">_xlfn.IFS(I11884&lt;=3,"small",I11884&lt;=6,"Medium",I11884&lt;=9,"Large")</f>
        <v>Large</v>
      </c>
      <c r="K11884" s="36">
        <v>45534</v>
      </c>
      <c r="L11884" s="36">
        <v>45537</v>
      </c>
      <c r="M11884" t="s">
        <v>612</v>
      </c>
      <c r="N11884" t="s">
        <v>604</v>
      </c>
      <c r="O11884" s="37" t="str">
        <f t="shared" si="928"/>
        <v>Digital Payment</v>
      </c>
      <c r="P11884">
        <v>129.83000000000001</v>
      </c>
      <c r="Q11884" s="37" t="str">
        <f>IF(P11884&gt;500,"High","low")</f>
        <v>low</v>
      </c>
      <c r="R11884" s="37" t="str">
        <f t="shared" si="929"/>
        <v>AVERAGE</v>
      </c>
      <c r="S11884" t="s">
        <v>620</v>
      </c>
    </row>
    <row r="11885" spans="1:19" x14ac:dyDescent="0.2">
      <c r="A11885" t="s">
        <v>12496</v>
      </c>
      <c r="B11885" t="s">
        <v>75</v>
      </c>
      <c r="C11885" t="s">
        <v>614</v>
      </c>
      <c r="D11885">
        <v>3057.52</v>
      </c>
      <c r="E11885" s="37" t="str">
        <f t="shared" si="925"/>
        <v xml:space="preserve"> </v>
      </c>
      <c r="F11885">
        <v>0.37</v>
      </c>
      <c r="G11885" s="37" t="str">
        <f t="shared" si="926"/>
        <v>Heavy Discount</v>
      </c>
      <c r="H11885" s="37" t="str">
        <f t="shared" si="927"/>
        <v>Medium</v>
      </c>
      <c r="I11885">
        <v>3</v>
      </c>
      <c r="J11885" t="str" cm="1">
        <f t="array" ref="J11885">_xlfn.IFS(I11885&lt;=3,"small",I11885&lt;=6,"Medium",I11885&lt;=9,"Large")</f>
        <v>small</v>
      </c>
      <c r="K11885" s="36">
        <v>45654</v>
      </c>
      <c r="L11885" s="36">
        <v>45657</v>
      </c>
      <c r="M11885" t="s">
        <v>598</v>
      </c>
      <c r="N11885" t="s">
        <v>608</v>
      </c>
      <c r="O11885" s="37" t="str">
        <f t="shared" si="928"/>
        <v>Cash Payment</v>
      </c>
      <c r="P11885">
        <v>874.58</v>
      </c>
      <c r="Q11885" s="37" t="str">
        <f>IF(P11885&gt;500,"High","low")</f>
        <v>High</v>
      </c>
      <c r="R11885" s="37" t="str">
        <f t="shared" si="929"/>
        <v>Good</v>
      </c>
      <c r="S11885" t="s">
        <v>628</v>
      </c>
    </row>
    <row r="11886" spans="1:19" x14ac:dyDescent="0.2">
      <c r="A11886" t="s">
        <v>12497</v>
      </c>
      <c r="B11886" t="s">
        <v>90</v>
      </c>
      <c r="C11886" t="s">
        <v>602</v>
      </c>
      <c r="D11886">
        <v>2451.6</v>
      </c>
      <c r="E11886" s="37" t="str">
        <f t="shared" si="925"/>
        <v xml:space="preserve"> </v>
      </c>
      <c r="F11886">
        <v>0.26</v>
      </c>
      <c r="G11886" s="37" t="str">
        <f t="shared" si="926"/>
        <v>Normal Discount</v>
      </c>
      <c r="H11886" s="37" t="str">
        <f t="shared" si="927"/>
        <v>Medium</v>
      </c>
      <c r="I11886">
        <v>5</v>
      </c>
      <c r="J11886" t="str" cm="1">
        <f t="array" ref="J11886">_xlfn.IFS(I11886&lt;=3,"small",I11886&lt;=6,"Medium",I11886&lt;=9,"Large")</f>
        <v>Medium</v>
      </c>
      <c r="K11886" s="36">
        <v>45266</v>
      </c>
      <c r="L11886" s="36">
        <v>45270</v>
      </c>
      <c r="M11886" t="s">
        <v>603</v>
      </c>
      <c r="N11886" t="s">
        <v>599</v>
      </c>
      <c r="O11886" s="37" t="str">
        <f t="shared" si="928"/>
        <v>Digital Payment</v>
      </c>
      <c r="P11886">
        <v>605.91999999999996</v>
      </c>
      <c r="Q11886" s="37" t="str">
        <f>IF(P11886&gt;500,"High","low")</f>
        <v>High</v>
      </c>
      <c r="R11886" s="37" t="str">
        <f t="shared" si="929"/>
        <v>Good</v>
      </c>
      <c r="S11886" t="s">
        <v>600</v>
      </c>
    </row>
    <row r="11887" spans="1:19" x14ac:dyDescent="0.2">
      <c r="A11887" t="s">
        <v>12498</v>
      </c>
      <c r="B11887" t="s">
        <v>67</v>
      </c>
      <c r="C11887" t="s">
        <v>602</v>
      </c>
      <c r="D11887">
        <v>2195.21</v>
      </c>
      <c r="E11887" s="37" t="str">
        <f t="shared" si="925"/>
        <v xml:space="preserve"> </v>
      </c>
      <c r="F11887">
        <v>0.12</v>
      </c>
      <c r="G11887" s="37" t="str">
        <f t="shared" si="926"/>
        <v>Normal Discount</v>
      </c>
      <c r="H11887" s="37" t="str">
        <f t="shared" si="927"/>
        <v>Low</v>
      </c>
      <c r="I11887">
        <v>3</v>
      </c>
      <c r="J11887" t="str" cm="1">
        <f t="array" ref="J11887">_xlfn.IFS(I11887&lt;=3,"small",I11887&lt;=6,"Medium",I11887&lt;=9,"Large")</f>
        <v>small</v>
      </c>
      <c r="K11887" s="36">
        <v>44967</v>
      </c>
      <c r="L11887" s="36">
        <v>44974</v>
      </c>
      <c r="M11887" t="s">
        <v>603</v>
      </c>
      <c r="N11887" t="s">
        <v>608</v>
      </c>
      <c r="O11887" s="37" t="str">
        <f t="shared" si="928"/>
        <v>Cash Payment</v>
      </c>
      <c r="P11887">
        <v>393.51</v>
      </c>
      <c r="Q11887" s="37" t="str">
        <f>IF(P11887&gt;500,"High","low")</f>
        <v>low</v>
      </c>
      <c r="R11887" s="37" t="str">
        <f t="shared" si="929"/>
        <v>AVERAGE</v>
      </c>
      <c r="S11887" t="s">
        <v>620</v>
      </c>
    </row>
    <row r="11888" spans="1:19" x14ac:dyDescent="0.2">
      <c r="A11888" t="s">
        <v>12499</v>
      </c>
      <c r="B11888" t="s">
        <v>83</v>
      </c>
      <c r="C11888" t="s">
        <v>597</v>
      </c>
      <c r="D11888">
        <v>3828.94</v>
      </c>
      <c r="E11888" s="37" t="str">
        <f t="shared" si="925"/>
        <v xml:space="preserve"> </v>
      </c>
      <c r="F11888">
        <v>0.35</v>
      </c>
      <c r="G11888" s="37" t="str">
        <f t="shared" si="926"/>
        <v>Heavy Discount</v>
      </c>
      <c r="H11888" s="37" t="str">
        <f t="shared" si="927"/>
        <v>Medium</v>
      </c>
      <c r="I11888">
        <v>1</v>
      </c>
      <c r="J11888" t="str" cm="1">
        <f t="array" ref="J11888">_xlfn.IFS(I11888&lt;=3,"small",I11888&lt;=6,"Medium",I11888&lt;=9,"Large")</f>
        <v>small</v>
      </c>
      <c r="K11888" s="36">
        <v>45286</v>
      </c>
      <c r="L11888" s="36">
        <v>45287</v>
      </c>
      <c r="M11888" t="s">
        <v>603</v>
      </c>
      <c r="N11888" t="s">
        <v>608</v>
      </c>
      <c r="O11888" s="37" t="str">
        <f t="shared" si="928"/>
        <v>Cash Payment</v>
      </c>
      <c r="P11888">
        <v>393.88</v>
      </c>
      <c r="Q11888" s="37" t="str">
        <f>IF(P11888&gt;500,"High","low")</f>
        <v>low</v>
      </c>
      <c r="R11888" s="37" t="str">
        <f t="shared" si="929"/>
        <v>AVERAGE</v>
      </c>
      <c r="S11888" t="s">
        <v>615</v>
      </c>
    </row>
    <row r="11889" spans="1:19" x14ac:dyDescent="0.2">
      <c r="A11889" t="s">
        <v>12500</v>
      </c>
      <c r="B11889" t="s">
        <v>75</v>
      </c>
      <c r="C11889" t="s">
        <v>607</v>
      </c>
      <c r="D11889">
        <v>4851.3500000000004</v>
      </c>
      <c r="E11889" s="37" t="str">
        <f t="shared" si="925"/>
        <v>Excellent Order</v>
      </c>
      <c r="F11889">
        <v>0.39</v>
      </c>
      <c r="G11889" s="37" t="str">
        <f t="shared" si="926"/>
        <v>Heavy Discount</v>
      </c>
      <c r="H11889" s="37" t="str">
        <f t="shared" si="927"/>
        <v>Medium</v>
      </c>
      <c r="I11889">
        <v>6</v>
      </c>
      <c r="J11889" t="str" cm="1">
        <f t="array" ref="J11889">_xlfn.IFS(I11889&lt;=3,"small",I11889&lt;=6,"Medium",I11889&lt;=9,"Large")</f>
        <v>Medium</v>
      </c>
      <c r="K11889" s="36">
        <v>45250</v>
      </c>
      <c r="L11889" s="36">
        <v>45253</v>
      </c>
      <c r="M11889" t="s">
        <v>603</v>
      </c>
      <c r="N11889" t="s">
        <v>604</v>
      </c>
      <c r="O11889" s="37" t="str">
        <f t="shared" si="928"/>
        <v>Digital Payment</v>
      </c>
      <c r="P11889">
        <v>1076.7</v>
      </c>
      <c r="Q11889" s="37" t="str">
        <f>IF(P11889&gt;500,"High","low")</f>
        <v>High</v>
      </c>
      <c r="R11889" s="37" t="str">
        <f t="shared" si="929"/>
        <v>Excellent</v>
      </c>
      <c r="S11889" t="s">
        <v>620</v>
      </c>
    </row>
    <row r="11890" spans="1:19" x14ac:dyDescent="0.2">
      <c r="A11890" t="s">
        <v>12501</v>
      </c>
      <c r="B11890" t="s">
        <v>67</v>
      </c>
      <c r="C11890" t="s">
        <v>617</v>
      </c>
      <c r="D11890">
        <v>2440.5500000000002</v>
      </c>
      <c r="E11890" s="37" t="str">
        <f t="shared" si="925"/>
        <v xml:space="preserve"> </v>
      </c>
      <c r="F11890">
        <v>0.18</v>
      </c>
      <c r="G11890" s="37" t="str">
        <f t="shared" si="926"/>
        <v>Normal Discount</v>
      </c>
      <c r="H11890" s="37" t="str">
        <f t="shared" si="927"/>
        <v>Low</v>
      </c>
      <c r="I11890">
        <v>3</v>
      </c>
      <c r="J11890" t="str" cm="1">
        <f t="array" ref="J11890">_xlfn.IFS(I11890&lt;=3,"small",I11890&lt;=6,"Medium",I11890&lt;=9,"Large")</f>
        <v>small</v>
      </c>
      <c r="K11890" s="36">
        <v>45129</v>
      </c>
      <c r="L11890" s="36">
        <v>45131</v>
      </c>
      <c r="M11890" t="s">
        <v>612</v>
      </c>
      <c r="N11890" t="s">
        <v>608</v>
      </c>
      <c r="O11890" s="37" t="str">
        <f t="shared" si="928"/>
        <v>Cash Payment</v>
      </c>
      <c r="P11890">
        <v>718.41</v>
      </c>
      <c r="Q11890" s="37" t="str">
        <f>IF(P11890&gt;500,"High","low")</f>
        <v>High</v>
      </c>
      <c r="R11890" s="37" t="str">
        <f t="shared" si="929"/>
        <v>Good</v>
      </c>
      <c r="S11890" t="s">
        <v>615</v>
      </c>
    </row>
    <row r="11891" spans="1:19" x14ac:dyDescent="0.2">
      <c r="A11891" t="s">
        <v>12502</v>
      </c>
      <c r="B11891" t="s">
        <v>67</v>
      </c>
      <c r="C11891" t="s">
        <v>614</v>
      </c>
      <c r="D11891">
        <v>130.16</v>
      </c>
      <c r="E11891" s="37" t="str">
        <f t="shared" si="925"/>
        <v xml:space="preserve"> </v>
      </c>
      <c r="F11891">
        <v>0.15</v>
      </c>
      <c r="G11891" s="37" t="str">
        <f t="shared" si="926"/>
        <v>Normal Discount</v>
      </c>
      <c r="H11891" s="37" t="str">
        <f t="shared" si="927"/>
        <v>Low</v>
      </c>
      <c r="I11891">
        <v>2</v>
      </c>
      <c r="J11891" t="str" cm="1">
        <f t="array" ref="J11891">_xlfn.IFS(I11891&lt;=3,"small",I11891&lt;=6,"Medium",I11891&lt;=9,"Large")</f>
        <v>small</v>
      </c>
      <c r="K11891" s="36">
        <v>45193</v>
      </c>
      <c r="L11891" s="36">
        <v>45200</v>
      </c>
      <c r="M11891" t="s">
        <v>603</v>
      </c>
      <c r="N11891" t="s">
        <v>604</v>
      </c>
      <c r="O11891" s="37" t="str">
        <f t="shared" si="928"/>
        <v>Digital Payment</v>
      </c>
      <c r="P11891">
        <v>34.78</v>
      </c>
      <c r="Q11891" s="37" t="str">
        <f>IF(P11891&gt;500,"High","low")</f>
        <v>low</v>
      </c>
      <c r="R11891" s="37" t="str">
        <f t="shared" si="929"/>
        <v>AVERAGE</v>
      </c>
      <c r="S11891" t="s">
        <v>615</v>
      </c>
    </row>
    <row r="11892" spans="1:19" x14ac:dyDescent="0.2">
      <c r="A11892" t="s">
        <v>12503</v>
      </c>
      <c r="B11892" t="s">
        <v>67</v>
      </c>
      <c r="C11892" t="s">
        <v>602</v>
      </c>
      <c r="D11892">
        <v>3021.71</v>
      </c>
      <c r="E11892" s="37" t="str">
        <f t="shared" si="925"/>
        <v xml:space="preserve"> </v>
      </c>
      <c r="F11892">
        <v>0.27</v>
      </c>
      <c r="G11892" s="37" t="str">
        <f t="shared" si="926"/>
        <v>Normal Discount</v>
      </c>
      <c r="H11892" s="37" t="str">
        <f t="shared" si="927"/>
        <v>Medium</v>
      </c>
      <c r="I11892">
        <v>3</v>
      </c>
      <c r="J11892" t="str" cm="1">
        <f t="array" ref="J11892">_xlfn.IFS(I11892&lt;=3,"small",I11892&lt;=6,"Medium",I11892&lt;=9,"Large")</f>
        <v>small</v>
      </c>
      <c r="K11892" s="36">
        <v>45543</v>
      </c>
      <c r="L11892" s="36">
        <v>45544</v>
      </c>
      <c r="M11892" t="s">
        <v>603</v>
      </c>
      <c r="N11892" t="s">
        <v>599</v>
      </c>
      <c r="O11892" s="37" t="str">
        <f t="shared" si="928"/>
        <v>Digital Payment</v>
      </c>
      <c r="P11892">
        <v>596.65</v>
      </c>
      <c r="Q11892" s="37" t="str">
        <f>IF(P11892&gt;500,"High","low")</f>
        <v>High</v>
      </c>
      <c r="R11892" s="37" t="str">
        <f t="shared" si="929"/>
        <v>Good</v>
      </c>
      <c r="S11892" t="s">
        <v>615</v>
      </c>
    </row>
    <row r="11893" spans="1:19" x14ac:dyDescent="0.2">
      <c r="A11893" t="s">
        <v>12504</v>
      </c>
      <c r="B11893" t="s">
        <v>90</v>
      </c>
      <c r="C11893" t="s">
        <v>614</v>
      </c>
      <c r="D11893">
        <v>3304.43</v>
      </c>
      <c r="E11893" s="37" t="str">
        <f t="shared" si="925"/>
        <v xml:space="preserve"> </v>
      </c>
      <c r="F11893">
        <v>0.18</v>
      </c>
      <c r="G11893" s="37" t="str">
        <f t="shared" si="926"/>
        <v>Normal Discount</v>
      </c>
      <c r="H11893" s="37" t="str">
        <f t="shared" si="927"/>
        <v>Low</v>
      </c>
      <c r="I11893">
        <v>5</v>
      </c>
      <c r="J11893" t="str" cm="1">
        <f t="array" ref="J11893">_xlfn.IFS(I11893&lt;=3,"small",I11893&lt;=6,"Medium",I11893&lt;=9,"Large")</f>
        <v>Medium</v>
      </c>
      <c r="K11893" s="36">
        <v>44991</v>
      </c>
      <c r="L11893" s="36">
        <v>44993</v>
      </c>
      <c r="M11893" t="s">
        <v>598</v>
      </c>
      <c r="N11893" t="s">
        <v>599</v>
      </c>
      <c r="O11893" s="37" t="str">
        <f t="shared" si="928"/>
        <v>Digital Payment</v>
      </c>
      <c r="P11893">
        <v>920.92</v>
      </c>
      <c r="Q11893" s="37" t="str">
        <f>IF(P11893&gt;500,"High","low")</f>
        <v>High</v>
      </c>
      <c r="R11893" s="37" t="str">
        <f t="shared" si="929"/>
        <v>Good</v>
      </c>
      <c r="S11893" t="s">
        <v>605</v>
      </c>
    </row>
    <row r="11894" spans="1:19" x14ac:dyDescent="0.2">
      <c r="A11894" t="s">
        <v>12505</v>
      </c>
      <c r="B11894" t="s">
        <v>83</v>
      </c>
      <c r="C11894" t="s">
        <v>614</v>
      </c>
      <c r="D11894">
        <v>4157.29</v>
      </c>
      <c r="E11894" s="37" t="str">
        <f t="shared" si="925"/>
        <v xml:space="preserve"> </v>
      </c>
      <c r="F11894">
        <v>0.42</v>
      </c>
      <c r="G11894" s="37" t="str">
        <f t="shared" si="926"/>
        <v>Heavy Discount</v>
      </c>
      <c r="H11894" s="37" t="str">
        <f t="shared" si="927"/>
        <v>High</v>
      </c>
      <c r="I11894">
        <v>5</v>
      </c>
      <c r="J11894" t="str" cm="1">
        <f t="array" ref="J11894">_xlfn.IFS(I11894&lt;=3,"small",I11894&lt;=6,"Medium",I11894&lt;=9,"Large")</f>
        <v>Medium</v>
      </c>
      <c r="K11894" s="36">
        <v>45407</v>
      </c>
      <c r="L11894" s="36">
        <v>45412</v>
      </c>
      <c r="M11894" t="s">
        <v>598</v>
      </c>
      <c r="N11894" t="s">
        <v>599</v>
      </c>
      <c r="O11894" s="37" t="str">
        <f t="shared" si="928"/>
        <v>Digital Payment</v>
      </c>
      <c r="P11894">
        <v>594.58000000000004</v>
      </c>
      <c r="Q11894" s="37" t="str">
        <f>IF(P11894&gt;500,"High","low")</f>
        <v>High</v>
      </c>
      <c r="R11894" s="37" t="str">
        <f t="shared" si="929"/>
        <v>Good</v>
      </c>
      <c r="S11894" t="s">
        <v>600</v>
      </c>
    </row>
    <row r="11895" spans="1:19" x14ac:dyDescent="0.2">
      <c r="A11895" t="s">
        <v>12506</v>
      </c>
      <c r="B11895" t="s">
        <v>67</v>
      </c>
      <c r="C11895" t="s">
        <v>614</v>
      </c>
      <c r="D11895">
        <v>1077.0899999999999</v>
      </c>
      <c r="E11895" s="37" t="str">
        <f t="shared" si="925"/>
        <v xml:space="preserve"> </v>
      </c>
      <c r="F11895">
        <v>0.39</v>
      </c>
      <c r="G11895" s="37" t="str">
        <f t="shared" si="926"/>
        <v>Heavy Discount</v>
      </c>
      <c r="H11895" s="37" t="str">
        <f t="shared" si="927"/>
        <v>Medium</v>
      </c>
      <c r="I11895">
        <v>9</v>
      </c>
      <c r="J11895" t="str" cm="1">
        <f t="array" ref="J11895">_xlfn.IFS(I11895&lt;=3,"small",I11895&lt;=6,"Medium",I11895&lt;=9,"Large")</f>
        <v>Large</v>
      </c>
      <c r="K11895" s="36">
        <v>45637</v>
      </c>
      <c r="L11895" s="36">
        <v>45644</v>
      </c>
      <c r="M11895" t="s">
        <v>598</v>
      </c>
      <c r="N11895" t="s">
        <v>599</v>
      </c>
      <c r="O11895" s="37" t="str">
        <f t="shared" si="928"/>
        <v>Digital Payment</v>
      </c>
      <c r="P11895">
        <v>208.2</v>
      </c>
      <c r="Q11895" s="37" t="str">
        <f>IF(P11895&gt;500,"High","low")</f>
        <v>low</v>
      </c>
      <c r="R11895" s="37" t="str">
        <f t="shared" si="929"/>
        <v>AVERAGE</v>
      </c>
      <c r="S11895" t="s">
        <v>628</v>
      </c>
    </row>
    <row r="11896" spans="1:19" x14ac:dyDescent="0.2">
      <c r="A11896" t="s">
        <v>12507</v>
      </c>
      <c r="B11896" t="s">
        <v>90</v>
      </c>
      <c r="C11896" t="s">
        <v>607</v>
      </c>
      <c r="D11896">
        <v>2669.21</v>
      </c>
      <c r="E11896" s="37" t="str">
        <f t="shared" si="925"/>
        <v xml:space="preserve"> </v>
      </c>
      <c r="F11896">
        <v>0.16</v>
      </c>
      <c r="G11896" s="37" t="str">
        <f t="shared" si="926"/>
        <v>Normal Discount</v>
      </c>
      <c r="H11896" s="37" t="str">
        <f t="shared" si="927"/>
        <v>Low</v>
      </c>
      <c r="I11896">
        <v>9</v>
      </c>
      <c r="J11896" t="str" cm="1">
        <f t="array" ref="J11896">_xlfn.IFS(I11896&lt;=3,"small",I11896&lt;=6,"Medium",I11896&lt;=9,"Large")</f>
        <v>Large</v>
      </c>
      <c r="K11896" s="36">
        <v>45377</v>
      </c>
      <c r="L11896" s="36">
        <v>45380</v>
      </c>
      <c r="M11896" t="s">
        <v>598</v>
      </c>
      <c r="N11896" t="s">
        <v>599</v>
      </c>
      <c r="O11896" s="37" t="str">
        <f t="shared" si="928"/>
        <v>Digital Payment</v>
      </c>
      <c r="P11896">
        <v>463.92</v>
      </c>
      <c r="Q11896" s="37" t="str">
        <f>IF(P11896&gt;500,"High","low")</f>
        <v>low</v>
      </c>
      <c r="R11896" s="37" t="str">
        <f t="shared" si="929"/>
        <v>AVERAGE</v>
      </c>
      <c r="S11896" t="s">
        <v>615</v>
      </c>
    </row>
    <row r="11897" spans="1:19" x14ac:dyDescent="0.2">
      <c r="A11897" t="s">
        <v>12508</v>
      </c>
      <c r="B11897" t="s">
        <v>83</v>
      </c>
      <c r="C11897" t="s">
        <v>607</v>
      </c>
      <c r="D11897">
        <v>2290.94</v>
      </c>
      <c r="E11897" s="37" t="str">
        <f t="shared" si="925"/>
        <v xml:space="preserve"> </v>
      </c>
      <c r="F11897">
        <v>0.23</v>
      </c>
      <c r="G11897" s="37" t="str">
        <f t="shared" si="926"/>
        <v>Normal Discount</v>
      </c>
      <c r="H11897" s="37" t="str">
        <f t="shared" si="927"/>
        <v>Medium</v>
      </c>
      <c r="I11897">
        <v>2</v>
      </c>
      <c r="J11897" t="str" cm="1">
        <f t="array" ref="J11897">_xlfn.IFS(I11897&lt;=3,"small",I11897&lt;=6,"Medium",I11897&lt;=9,"Large")</f>
        <v>small</v>
      </c>
      <c r="K11897" s="36">
        <v>45439</v>
      </c>
      <c r="L11897" s="36">
        <v>45444</v>
      </c>
      <c r="M11897" t="s">
        <v>603</v>
      </c>
      <c r="N11897" t="s">
        <v>604</v>
      </c>
      <c r="O11897" s="37" t="str">
        <f t="shared" si="928"/>
        <v>Digital Payment</v>
      </c>
      <c r="P11897">
        <v>410.65</v>
      </c>
      <c r="Q11897" s="37" t="str">
        <f>IF(P11897&gt;500,"High","low")</f>
        <v>low</v>
      </c>
      <c r="R11897" s="37" t="str">
        <f t="shared" si="929"/>
        <v>AVERAGE</v>
      </c>
      <c r="S11897" t="s">
        <v>600</v>
      </c>
    </row>
    <row r="11898" spans="1:19" x14ac:dyDescent="0.2">
      <c r="A11898" t="s">
        <v>12509</v>
      </c>
      <c r="B11898" t="s">
        <v>83</v>
      </c>
      <c r="C11898" t="s">
        <v>607</v>
      </c>
      <c r="D11898">
        <v>3355.76</v>
      </c>
      <c r="E11898" s="37" t="str">
        <f t="shared" si="925"/>
        <v xml:space="preserve"> </v>
      </c>
      <c r="F11898">
        <v>0.44</v>
      </c>
      <c r="G11898" s="37" t="str">
        <f t="shared" si="926"/>
        <v>Heavy Discount</v>
      </c>
      <c r="H11898" s="37" t="str">
        <f t="shared" si="927"/>
        <v>High</v>
      </c>
      <c r="I11898">
        <v>6</v>
      </c>
      <c r="J11898" t="str" cm="1">
        <f t="array" ref="J11898">_xlfn.IFS(I11898&lt;=3,"small",I11898&lt;=6,"Medium",I11898&lt;=9,"Large")</f>
        <v>Medium</v>
      </c>
      <c r="K11898" s="36">
        <v>45151</v>
      </c>
      <c r="L11898" s="36">
        <v>45158</v>
      </c>
      <c r="M11898" t="s">
        <v>598</v>
      </c>
      <c r="N11898" t="s">
        <v>599</v>
      </c>
      <c r="O11898" s="37" t="str">
        <f t="shared" si="928"/>
        <v>Digital Payment</v>
      </c>
      <c r="P11898">
        <v>985.18</v>
      </c>
      <c r="Q11898" s="37" t="str">
        <f>IF(P11898&gt;500,"High","low")</f>
        <v>High</v>
      </c>
      <c r="R11898" s="37" t="str">
        <f t="shared" si="929"/>
        <v>Good</v>
      </c>
      <c r="S11898" t="s">
        <v>628</v>
      </c>
    </row>
    <row r="11899" spans="1:19" x14ac:dyDescent="0.2">
      <c r="A11899" t="s">
        <v>12510</v>
      </c>
      <c r="B11899" t="s">
        <v>90</v>
      </c>
      <c r="C11899" t="s">
        <v>597</v>
      </c>
      <c r="D11899">
        <v>413.32</v>
      </c>
      <c r="E11899" s="37" t="str">
        <f t="shared" si="925"/>
        <v xml:space="preserve"> </v>
      </c>
      <c r="F11899">
        <v>7.0000000000000007E-2</v>
      </c>
      <c r="G11899" s="37" t="str">
        <f t="shared" si="926"/>
        <v>Normal Discount</v>
      </c>
      <c r="H11899" s="37" t="str">
        <f t="shared" si="927"/>
        <v>Low</v>
      </c>
      <c r="I11899">
        <v>9</v>
      </c>
      <c r="J11899" t="str" cm="1">
        <f t="array" ref="J11899">_xlfn.IFS(I11899&lt;=3,"small",I11899&lt;=6,"Medium",I11899&lt;=9,"Large")</f>
        <v>Large</v>
      </c>
      <c r="K11899" s="36">
        <v>45381</v>
      </c>
      <c r="L11899" s="36">
        <v>45383</v>
      </c>
      <c r="M11899" t="s">
        <v>612</v>
      </c>
      <c r="N11899" t="s">
        <v>608</v>
      </c>
      <c r="O11899" s="37" t="str">
        <f t="shared" si="928"/>
        <v>Cash Payment</v>
      </c>
      <c r="P11899">
        <v>45.53</v>
      </c>
      <c r="Q11899" s="37" t="str">
        <f>IF(P11899&gt;500,"High","low")</f>
        <v>low</v>
      </c>
      <c r="R11899" s="37" t="str">
        <f t="shared" si="929"/>
        <v>AVERAGE</v>
      </c>
      <c r="S11899" t="s">
        <v>615</v>
      </c>
    </row>
    <row r="11900" spans="1:19" x14ac:dyDescent="0.2">
      <c r="A11900" t="s">
        <v>12511</v>
      </c>
      <c r="B11900" t="s">
        <v>90</v>
      </c>
      <c r="C11900" t="s">
        <v>607</v>
      </c>
      <c r="D11900">
        <v>4431.66</v>
      </c>
      <c r="E11900" s="37" t="str">
        <f t="shared" si="925"/>
        <v xml:space="preserve"> </v>
      </c>
      <c r="F11900">
        <v>0.38</v>
      </c>
      <c r="G11900" s="37" t="str">
        <f t="shared" si="926"/>
        <v>Heavy Discount</v>
      </c>
      <c r="H11900" s="37" t="str">
        <f t="shared" si="927"/>
        <v>Medium</v>
      </c>
      <c r="I11900">
        <v>9</v>
      </c>
      <c r="J11900" t="str" cm="1">
        <f t="array" ref="J11900">_xlfn.IFS(I11900&lt;=3,"small",I11900&lt;=6,"Medium",I11900&lt;=9,"Large")</f>
        <v>Large</v>
      </c>
      <c r="K11900" s="36">
        <v>44930</v>
      </c>
      <c r="L11900" s="36">
        <v>44935</v>
      </c>
      <c r="M11900" t="s">
        <v>603</v>
      </c>
      <c r="N11900" t="s">
        <v>599</v>
      </c>
      <c r="O11900" s="37" t="str">
        <f t="shared" si="928"/>
        <v>Digital Payment</v>
      </c>
      <c r="P11900">
        <v>270.18</v>
      </c>
      <c r="Q11900" s="37" t="str">
        <f>IF(P11900&gt;500,"High","low")</f>
        <v>low</v>
      </c>
      <c r="R11900" s="37" t="str">
        <f t="shared" si="929"/>
        <v>AVERAGE</v>
      </c>
      <c r="S11900" t="s">
        <v>615</v>
      </c>
    </row>
    <row r="11901" spans="1:19" x14ac:dyDescent="0.2">
      <c r="A11901" t="s">
        <v>12512</v>
      </c>
      <c r="B11901" t="s">
        <v>67</v>
      </c>
      <c r="C11901" t="s">
        <v>597</v>
      </c>
      <c r="D11901">
        <v>2604.67</v>
      </c>
      <c r="E11901" s="37" t="str">
        <f t="shared" si="925"/>
        <v xml:space="preserve"> </v>
      </c>
      <c r="F11901">
        <v>0.16</v>
      </c>
      <c r="G11901" s="37" t="str">
        <f t="shared" si="926"/>
        <v>Normal Discount</v>
      </c>
      <c r="H11901" s="37" t="str">
        <f t="shared" si="927"/>
        <v>Low</v>
      </c>
      <c r="I11901">
        <v>6</v>
      </c>
      <c r="J11901" t="str" cm="1">
        <f t="array" ref="J11901">_xlfn.IFS(I11901&lt;=3,"small",I11901&lt;=6,"Medium",I11901&lt;=9,"Large")</f>
        <v>Medium</v>
      </c>
      <c r="K11901" s="36">
        <v>45520</v>
      </c>
      <c r="L11901" s="36">
        <v>45527</v>
      </c>
      <c r="M11901" t="s">
        <v>603</v>
      </c>
      <c r="N11901" t="s">
        <v>604</v>
      </c>
      <c r="O11901" s="37" t="str">
        <f t="shared" si="928"/>
        <v>Digital Payment</v>
      </c>
      <c r="P11901">
        <v>135.47999999999999</v>
      </c>
      <c r="Q11901" s="37" t="str">
        <f>IF(P11901&gt;500,"High","low")</f>
        <v>low</v>
      </c>
      <c r="R11901" s="37" t="str">
        <f t="shared" si="929"/>
        <v>AVERAGE</v>
      </c>
      <c r="S11901" t="s">
        <v>615</v>
      </c>
    </row>
    <row r="11902" spans="1:19" x14ac:dyDescent="0.2">
      <c r="A11902" t="s">
        <v>12513</v>
      </c>
      <c r="B11902" t="s">
        <v>83</v>
      </c>
      <c r="C11902" t="s">
        <v>602</v>
      </c>
      <c r="D11902">
        <v>4397.5200000000004</v>
      </c>
      <c r="E11902" s="37" t="str">
        <f t="shared" si="925"/>
        <v xml:space="preserve"> </v>
      </c>
      <c r="F11902">
        <v>0.06</v>
      </c>
      <c r="G11902" s="37" t="str">
        <f t="shared" si="926"/>
        <v>Normal Discount</v>
      </c>
      <c r="H11902" s="37" t="str">
        <f t="shared" si="927"/>
        <v>Low</v>
      </c>
      <c r="I11902">
        <v>1</v>
      </c>
      <c r="J11902" t="str" cm="1">
        <f t="array" ref="J11902">_xlfn.IFS(I11902&lt;=3,"small",I11902&lt;=6,"Medium",I11902&lt;=9,"Large")</f>
        <v>small</v>
      </c>
      <c r="K11902" s="36">
        <v>45171</v>
      </c>
      <c r="L11902" s="36">
        <v>45173</v>
      </c>
      <c r="M11902" t="s">
        <v>603</v>
      </c>
      <c r="N11902" t="s">
        <v>599</v>
      </c>
      <c r="O11902" s="37" t="str">
        <f t="shared" si="928"/>
        <v>Digital Payment</v>
      </c>
      <c r="P11902">
        <v>446.95</v>
      </c>
      <c r="Q11902" s="37" t="str">
        <f>IF(P11902&gt;500,"High","low")</f>
        <v>low</v>
      </c>
      <c r="R11902" s="37" t="str">
        <f t="shared" si="929"/>
        <v>AVERAGE</v>
      </c>
      <c r="S11902" t="s">
        <v>605</v>
      </c>
    </row>
    <row r="11903" spans="1:19" x14ac:dyDescent="0.2">
      <c r="A11903" t="s">
        <v>12514</v>
      </c>
      <c r="B11903" t="s">
        <v>75</v>
      </c>
      <c r="C11903" t="s">
        <v>602</v>
      </c>
      <c r="D11903">
        <v>1767.16</v>
      </c>
      <c r="E11903" s="37" t="str">
        <f t="shared" si="925"/>
        <v xml:space="preserve"> </v>
      </c>
      <c r="F11903">
        <v>0.06</v>
      </c>
      <c r="G11903" s="37" t="str">
        <f t="shared" si="926"/>
        <v>Normal Discount</v>
      </c>
      <c r="H11903" s="37" t="str">
        <f t="shared" si="927"/>
        <v>Low</v>
      </c>
      <c r="I11903">
        <v>1</v>
      </c>
      <c r="J11903" t="str" cm="1">
        <f t="array" ref="J11903">_xlfn.IFS(I11903&lt;=3,"small",I11903&lt;=6,"Medium",I11903&lt;=9,"Large")</f>
        <v>small</v>
      </c>
      <c r="K11903" s="36">
        <v>45475</v>
      </c>
      <c r="L11903" s="36">
        <v>45482</v>
      </c>
      <c r="M11903" t="s">
        <v>598</v>
      </c>
      <c r="N11903" t="s">
        <v>599</v>
      </c>
      <c r="O11903" s="37" t="str">
        <f t="shared" si="928"/>
        <v>Digital Payment</v>
      </c>
      <c r="P11903">
        <v>339.06</v>
      </c>
      <c r="Q11903" s="37" t="str">
        <f>IF(P11903&gt;500,"High","low")</f>
        <v>low</v>
      </c>
      <c r="R11903" s="37" t="str">
        <f t="shared" si="929"/>
        <v>AVERAGE</v>
      </c>
      <c r="S11903" t="s">
        <v>605</v>
      </c>
    </row>
    <row r="11904" spans="1:19" x14ac:dyDescent="0.2">
      <c r="A11904" t="s">
        <v>12515</v>
      </c>
      <c r="B11904" t="s">
        <v>90</v>
      </c>
      <c r="C11904" t="s">
        <v>602</v>
      </c>
      <c r="D11904">
        <v>3302.26</v>
      </c>
      <c r="E11904" s="37" t="str">
        <f t="shared" si="925"/>
        <v xml:space="preserve"> </v>
      </c>
      <c r="F11904">
        <v>0.14000000000000001</v>
      </c>
      <c r="G11904" s="37" t="str">
        <f t="shared" si="926"/>
        <v>Normal Discount</v>
      </c>
      <c r="H11904" s="37" t="str">
        <f t="shared" si="927"/>
        <v>Low</v>
      </c>
      <c r="I11904">
        <v>9</v>
      </c>
      <c r="J11904" t="str" cm="1">
        <f t="array" ref="J11904">_xlfn.IFS(I11904&lt;=3,"small",I11904&lt;=6,"Medium",I11904&lt;=9,"Large")</f>
        <v>Large</v>
      </c>
      <c r="K11904" s="36">
        <v>45324</v>
      </c>
      <c r="L11904" s="36">
        <v>45331</v>
      </c>
      <c r="M11904" t="s">
        <v>612</v>
      </c>
      <c r="N11904" t="s">
        <v>608</v>
      </c>
      <c r="O11904" s="37" t="str">
        <f t="shared" si="928"/>
        <v>Cash Payment</v>
      </c>
      <c r="P11904">
        <v>810.31</v>
      </c>
      <c r="Q11904" s="37" t="str">
        <f>IF(P11904&gt;500,"High","low")</f>
        <v>High</v>
      </c>
      <c r="R11904" s="37" t="str">
        <f t="shared" si="929"/>
        <v>Good</v>
      </c>
      <c r="S11904" t="s">
        <v>605</v>
      </c>
    </row>
    <row r="11905" spans="1:19" x14ac:dyDescent="0.2">
      <c r="A11905" t="s">
        <v>12516</v>
      </c>
      <c r="B11905" t="s">
        <v>83</v>
      </c>
      <c r="C11905" t="s">
        <v>602</v>
      </c>
      <c r="D11905">
        <v>4787.95</v>
      </c>
      <c r="E11905" s="37" t="str">
        <f t="shared" si="925"/>
        <v xml:space="preserve"> </v>
      </c>
      <c r="F11905">
        <v>0.27</v>
      </c>
      <c r="G11905" s="37" t="str">
        <f t="shared" si="926"/>
        <v>Normal Discount</v>
      </c>
      <c r="H11905" s="37" t="str">
        <f t="shared" si="927"/>
        <v>Medium</v>
      </c>
      <c r="I11905">
        <v>3</v>
      </c>
      <c r="J11905" t="str" cm="1">
        <f t="array" ref="J11905">_xlfn.IFS(I11905&lt;=3,"small",I11905&lt;=6,"Medium",I11905&lt;=9,"Large")</f>
        <v>small</v>
      </c>
      <c r="K11905" s="36">
        <v>45170</v>
      </c>
      <c r="L11905" s="36">
        <v>45174</v>
      </c>
      <c r="M11905" t="s">
        <v>603</v>
      </c>
      <c r="N11905" t="s">
        <v>604</v>
      </c>
      <c r="O11905" s="37" t="str">
        <f t="shared" si="928"/>
        <v>Digital Payment</v>
      </c>
      <c r="P11905">
        <v>533.79999999999995</v>
      </c>
      <c r="Q11905" s="37" t="str">
        <f>IF(P11905&gt;500,"High","low")</f>
        <v>High</v>
      </c>
      <c r="R11905" s="37" t="str">
        <f t="shared" si="929"/>
        <v>Good</v>
      </c>
      <c r="S11905" t="s">
        <v>620</v>
      </c>
    </row>
    <row r="11906" spans="1:19" x14ac:dyDescent="0.2">
      <c r="A11906" t="s">
        <v>12517</v>
      </c>
      <c r="B11906" t="s">
        <v>83</v>
      </c>
      <c r="C11906" t="s">
        <v>602</v>
      </c>
      <c r="D11906">
        <v>4722.5600000000004</v>
      </c>
      <c r="E11906" s="37" t="str">
        <f t="shared" si="925"/>
        <v xml:space="preserve"> </v>
      </c>
      <c r="F11906">
        <v>0.45</v>
      </c>
      <c r="G11906" s="37" t="str">
        <f t="shared" si="926"/>
        <v>Heavy Discount</v>
      </c>
      <c r="H11906" s="37" t="str">
        <f t="shared" si="927"/>
        <v>High</v>
      </c>
      <c r="I11906">
        <v>5</v>
      </c>
      <c r="J11906" t="str" cm="1">
        <f t="array" ref="J11906">_xlfn.IFS(I11906&lt;=3,"small",I11906&lt;=6,"Medium",I11906&lt;=9,"Large")</f>
        <v>Medium</v>
      </c>
      <c r="K11906" s="36">
        <v>45570</v>
      </c>
      <c r="L11906" s="36">
        <v>45574</v>
      </c>
      <c r="M11906" t="s">
        <v>612</v>
      </c>
      <c r="N11906" t="s">
        <v>599</v>
      </c>
      <c r="O11906" s="37" t="str">
        <f t="shared" si="928"/>
        <v>Digital Payment</v>
      </c>
      <c r="P11906">
        <v>450.69</v>
      </c>
      <c r="Q11906" s="37" t="str">
        <f>IF(P11906&gt;500,"High","low")</f>
        <v>low</v>
      </c>
      <c r="R11906" s="37" t="str">
        <f t="shared" si="929"/>
        <v>AVERAGE</v>
      </c>
      <c r="S11906" t="s">
        <v>600</v>
      </c>
    </row>
    <row r="11907" spans="1:19" x14ac:dyDescent="0.2">
      <c r="A11907" t="s">
        <v>12518</v>
      </c>
      <c r="B11907" t="s">
        <v>67</v>
      </c>
      <c r="C11907" t="s">
        <v>607</v>
      </c>
      <c r="D11907">
        <v>4726.1000000000004</v>
      </c>
      <c r="E11907" s="37" t="str">
        <f t="shared" ref="E11907:E11970" si="930">IF(AND(D11907&gt;4000,P11907&gt;800),"Excellent Order"," ")</f>
        <v xml:space="preserve"> </v>
      </c>
      <c r="F11907">
        <v>0.15</v>
      </c>
      <c r="G11907" s="37" t="str">
        <f t="shared" ref="G11907:G11970" si="931">IF(F11907&gt;30%,"Heavy Discount","Normal Discount")</f>
        <v>Normal Discount</v>
      </c>
      <c r="H11907" s="37" t="str">
        <f t="shared" ref="H11907:H11970" si="932">IF(F11907&gt;0.4,"High",IF(F11907&gt;=0.2,"Medium","Low"))</f>
        <v>Low</v>
      </c>
      <c r="I11907">
        <v>6</v>
      </c>
      <c r="J11907" t="str" cm="1">
        <f t="array" ref="J11907">_xlfn.IFS(I11907&lt;=3,"small",I11907&lt;=6,"Medium",I11907&lt;=9,"Large")</f>
        <v>Medium</v>
      </c>
      <c r="K11907" s="36">
        <v>45097</v>
      </c>
      <c r="L11907" s="36">
        <v>45102</v>
      </c>
      <c r="M11907" t="s">
        <v>612</v>
      </c>
      <c r="N11907" t="s">
        <v>604</v>
      </c>
      <c r="O11907" s="37" t="str">
        <f t="shared" ref="O11907:O11970" si="933">IF(OR(N11907="Card",N11907="UPI"),"Digital Payment","Cash Payment")</f>
        <v>Digital Payment</v>
      </c>
      <c r="P11907">
        <v>703.51</v>
      </c>
      <c r="Q11907" s="37" t="str">
        <f>IF(P11907&gt;500,"High","low")</f>
        <v>High</v>
      </c>
      <c r="R11907" s="37" t="str">
        <f t="shared" ref="R11907:R11970" si="934">IF(P11907&gt;1000,"Excellent",IF(P11907&gt;=500,"Good","AVERAGE"))</f>
        <v>Good</v>
      </c>
      <c r="S11907" t="s">
        <v>605</v>
      </c>
    </row>
    <row r="11908" spans="1:19" x14ac:dyDescent="0.2">
      <c r="A11908" t="s">
        <v>12519</v>
      </c>
      <c r="B11908" t="s">
        <v>75</v>
      </c>
      <c r="C11908" t="s">
        <v>617</v>
      </c>
      <c r="D11908">
        <v>310.44</v>
      </c>
      <c r="E11908" s="37" t="str">
        <f t="shared" si="930"/>
        <v xml:space="preserve"> </v>
      </c>
      <c r="F11908">
        <v>0.1</v>
      </c>
      <c r="G11908" s="37" t="str">
        <f t="shared" si="931"/>
        <v>Normal Discount</v>
      </c>
      <c r="H11908" s="37" t="str">
        <f t="shared" si="932"/>
        <v>Low</v>
      </c>
      <c r="I11908">
        <v>1</v>
      </c>
      <c r="J11908" t="str" cm="1">
        <f t="array" ref="J11908">_xlfn.IFS(I11908&lt;=3,"small",I11908&lt;=6,"Medium",I11908&lt;=9,"Large")</f>
        <v>small</v>
      </c>
      <c r="K11908" s="36">
        <v>44952</v>
      </c>
      <c r="L11908" s="36">
        <v>44958</v>
      </c>
      <c r="M11908" t="s">
        <v>612</v>
      </c>
      <c r="N11908" t="s">
        <v>608</v>
      </c>
      <c r="O11908" s="37" t="str">
        <f t="shared" si="933"/>
        <v>Cash Payment</v>
      </c>
      <c r="P11908">
        <v>70.290000000000006</v>
      </c>
      <c r="Q11908" s="37" t="str">
        <f>IF(P11908&gt;500,"High","low")</f>
        <v>low</v>
      </c>
      <c r="R11908" s="37" t="str">
        <f t="shared" si="934"/>
        <v>AVERAGE</v>
      </c>
      <c r="S11908" t="s">
        <v>615</v>
      </c>
    </row>
    <row r="11909" spans="1:19" x14ac:dyDescent="0.2">
      <c r="A11909" t="s">
        <v>12520</v>
      </c>
      <c r="B11909" t="s">
        <v>67</v>
      </c>
      <c r="C11909" t="s">
        <v>607</v>
      </c>
      <c r="D11909">
        <v>2074.7800000000002</v>
      </c>
      <c r="E11909" s="37" t="str">
        <f t="shared" si="930"/>
        <v xml:space="preserve"> </v>
      </c>
      <c r="F11909">
        <v>0.24</v>
      </c>
      <c r="G11909" s="37" t="str">
        <f t="shared" si="931"/>
        <v>Normal Discount</v>
      </c>
      <c r="H11909" s="37" t="str">
        <f t="shared" si="932"/>
        <v>Medium</v>
      </c>
      <c r="I11909">
        <v>1</v>
      </c>
      <c r="J11909" t="str" cm="1">
        <f t="array" ref="J11909">_xlfn.IFS(I11909&lt;=3,"small",I11909&lt;=6,"Medium",I11909&lt;=9,"Large")</f>
        <v>small</v>
      </c>
      <c r="K11909" s="36">
        <v>45138</v>
      </c>
      <c r="L11909" s="36">
        <v>45144</v>
      </c>
      <c r="M11909" t="s">
        <v>598</v>
      </c>
      <c r="N11909" t="s">
        <v>604</v>
      </c>
      <c r="O11909" s="37" t="str">
        <f t="shared" si="933"/>
        <v>Digital Payment</v>
      </c>
      <c r="P11909">
        <v>216.81</v>
      </c>
      <c r="Q11909" s="37" t="str">
        <f>IF(P11909&gt;500,"High","low")</f>
        <v>low</v>
      </c>
      <c r="R11909" s="37" t="str">
        <f t="shared" si="934"/>
        <v>AVERAGE</v>
      </c>
      <c r="S11909" t="s">
        <v>609</v>
      </c>
    </row>
    <row r="11910" spans="1:19" x14ac:dyDescent="0.2">
      <c r="A11910" t="s">
        <v>12521</v>
      </c>
      <c r="B11910" t="s">
        <v>75</v>
      </c>
      <c r="C11910" t="s">
        <v>617</v>
      </c>
      <c r="D11910">
        <v>397.83</v>
      </c>
      <c r="E11910" s="37" t="str">
        <f t="shared" si="930"/>
        <v xml:space="preserve"> </v>
      </c>
      <c r="F11910">
        <v>0.08</v>
      </c>
      <c r="G11910" s="37" t="str">
        <f t="shared" si="931"/>
        <v>Normal Discount</v>
      </c>
      <c r="H11910" s="37" t="str">
        <f t="shared" si="932"/>
        <v>Low</v>
      </c>
      <c r="I11910">
        <v>4</v>
      </c>
      <c r="J11910" t="str" cm="1">
        <f t="array" ref="J11910">_xlfn.IFS(I11910&lt;=3,"small",I11910&lt;=6,"Medium",I11910&lt;=9,"Large")</f>
        <v>Medium</v>
      </c>
      <c r="K11910" s="36">
        <v>45581</v>
      </c>
      <c r="L11910" s="36">
        <v>45583</v>
      </c>
      <c r="M11910" t="s">
        <v>612</v>
      </c>
      <c r="N11910" t="s">
        <v>608</v>
      </c>
      <c r="O11910" s="37" t="str">
        <f t="shared" si="933"/>
        <v>Cash Payment</v>
      </c>
      <c r="P11910">
        <v>83.29</v>
      </c>
      <c r="Q11910" s="37" t="str">
        <f>IF(P11910&gt;500,"High","low")</f>
        <v>low</v>
      </c>
      <c r="R11910" s="37" t="str">
        <f t="shared" si="934"/>
        <v>AVERAGE</v>
      </c>
      <c r="S11910" t="s">
        <v>628</v>
      </c>
    </row>
    <row r="11911" spans="1:19" x14ac:dyDescent="0.2">
      <c r="A11911" t="s">
        <v>12522</v>
      </c>
      <c r="B11911" t="s">
        <v>75</v>
      </c>
      <c r="C11911" t="s">
        <v>607</v>
      </c>
      <c r="D11911">
        <v>1616.44</v>
      </c>
      <c r="E11911" s="37" t="str">
        <f t="shared" si="930"/>
        <v xml:space="preserve"> </v>
      </c>
      <c r="F11911">
        <v>0.14000000000000001</v>
      </c>
      <c r="G11911" s="37" t="str">
        <f t="shared" si="931"/>
        <v>Normal Discount</v>
      </c>
      <c r="H11911" s="37" t="str">
        <f t="shared" si="932"/>
        <v>Low</v>
      </c>
      <c r="I11911">
        <v>6</v>
      </c>
      <c r="J11911" t="str" cm="1">
        <f t="array" ref="J11911">_xlfn.IFS(I11911&lt;=3,"small",I11911&lt;=6,"Medium",I11911&lt;=9,"Large")</f>
        <v>Medium</v>
      </c>
      <c r="K11911" s="36">
        <v>45091</v>
      </c>
      <c r="L11911" s="36">
        <v>45094</v>
      </c>
      <c r="M11911" t="s">
        <v>612</v>
      </c>
      <c r="N11911" t="s">
        <v>599</v>
      </c>
      <c r="O11911" s="37" t="str">
        <f t="shared" si="933"/>
        <v>Digital Payment</v>
      </c>
      <c r="P11911">
        <v>274.60000000000002</v>
      </c>
      <c r="Q11911" s="37" t="str">
        <f>IF(P11911&gt;500,"High","low")</f>
        <v>low</v>
      </c>
      <c r="R11911" s="37" t="str">
        <f t="shared" si="934"/>
        <v>AVERAGE</v>
      </c>
      <c r="S11911" t="s">
        <v>615</v>
      </c>
    </row>
    <row r="11912" spans="1:19" x14ac:dyDescent="0.2">
      <c r="A11912" t="s">
        <v>12523</v>
      </c>
      <c r="B11912" t="s">
        <v>90</v>
      </c>
      <c r="C11912" t="s">
        <v>602</v>
      </c>
      <c r="D11912">
        <v>955.43</v>
      </c>
      <c r="E11912" s="37" t="str">
        <f t="shared" si="930"/>
        <v xml:space="preserve"> </v>
      </c>
      <c r="F11912">
        <v>0.49</v>
      </c>
      <c r="G11912" s="37" t="str">
        <f t="shared" si="931"/>
        <v>Heavy Discount</v>
      </c>
      <c r="H11912" s="37" t="str">
        <f t="shared" si="932"/>
        <v>High</v>
      </c>
      <c r="I11912">
        <v>8</v>
      </c>
      <c r="J11912" t="str" cm="1">
        <f t="array" ref="J11912">_xlfn.IFS(I11912&lt;=3,"small",I11912&lt;=6,"Medium",I11912&lt;=9,"Large")</f>
        <v>Large</v>
      </c>
      <c r="K11912" s="36">
        <v>45565</v>
      </c>
      <c r="L11912" s="36">
        <v>45572</v>
      </c>
      <c r="M11912" t="s">
        <v>598</v>
      </c>
      <c r="N11912" t="s">
        <v>599</v>
      </c>
      <c r="O11912" s="37" t="str">
        <f t="shared" si="933"/>
        <v>Digital Payment</v>
      </c>
      <c r="P11912">
        <v>76.06</v>
      </c>
      <c r="Q11912" s="37" t="str">
        <f>IF(P11912&gt;500,"High","low")</f>
        <v>low</v>
      </c>
      <c r="R11912" s="37" t="str">
        <f t="shared" si="934"/>
        <v>AVERAGE</v>
      </c>
      <c r="S11912" t="s">
        <v>609</v>
      </c>
    </row>
    <row r="11913" spans="1:19" x14ac:dyDescent="0.2">
      <c r="A11913" t="s">
        <v>12524</v>
      </c>
      <c r="B11913" t="s">
        <v>83</v>
      </c>
      <c r="C11913" t="s">
        <v>614</v>
      </c>
      <c r="D11913">
        <v>3138.67</v>
      </c>
      <c r="E11913" s="37" t="str">
        <f t="shared" si="930"/>
        <v xml:space="preserve"> </v>
      </c>
      <c r="F11913">
        <v>0.28000000000000003</v>
      </c>
      <c r="G11913" s="37" t="str">
        <f t="shared" si="931"/>
        <v>Normal Discount</v>
      </c>
      <c r="H11913" s="37" t="str">
        <f t="shared" si="932"/>
        <v>Medium</v>
      </c>
      <c r="I11913">
        <v>7</v>
      </c>
      <c r="J11913" t="str" cm="1">
        <f t="array" ref="J11913">_xlfn.IFS(I11913&lt;=3,"small",I11913&lt;=6,"Medium",I11913&lt;=9,"Large")</f>
        <v>Large</v>
      </c>
      <c r="K11913" s="36">
        <v>44968</v>
      </c>
      <c r="L11913" s="36">
        <v>44969</v>
      </c>
      <c r="M11913" t="s">
        <v>598</v>
      </c>
      <c r="N11913" t="s">
        <v>608</v>
      </c>
      <c r="O11913" s="37" t="str">
        <f t="shared" si="933"/>
        <v>Cash Payment</v>
      </c>
      <c r="P11913">
        <v>493.4</v>
      </c>
      <c r="Q11913" s="37" t="str">
        <f>IF(P11913&gt;500,"High","low")</f>
        <v>low</v>
      </c>
      <c r="R11913" s="37" t="str">
        <f t="shared" si="934"/>
        <v>AVERAGE</v>
      </c>
      <c r="S11913" t="s">
        <v>628</v>
      </c>
    </row>
    <row r="11914" spans="1:19" x14ac:dyDescent="0.2">
      <c r="A11914" t="s">
        <v>12525</v>
      </c>
      <c r="B11914" t="s">
        <v>83</v>
      </c>
      <c r="C11914" t="s">
        <v>617</v>
      </c>
      <c r="D11914">
        <v>3925.66</v>
      </c>
      <c r="E11914" s="37" t="str">
        <f t="shared" si="930"/>
        <v xml:space="preserve"> </v>
      </c>
      <c r="F11914">
        <v>0.39</v>
      </c>
      <c r="G11914" s="37" t="str">
        <f t="shared" si="931"/>
        <v>Heavy Discount</v>
      </c>
      <c r="H11914" s="37" t="str">
        <f t="shared" si="932"/>
        <v>Medium</v>
      </c>
      <c r="I11914">
        <v>2</v>
      </c>
      <c r="J11914" t="str" cm="1">
        <f t="array" ref="J11914">_xlfn.IFS(I11914&lt;=3,"small",I11914&lt;=6,"Medium",I11914&lt;=9,"Large")</f>
        <v>small</v>
      </c>
      <c r="K11914" s="36">
        <v>45582</v>
      </c>
      <c r="L11914" s="36">
        <v>45587</v>
      </c>
      <c r="M11914" t="s">
        <v>603</v>
      </c>
      <c r="N11914" t="s">
        <v>604</v>
      </c>
      <c r="O11914" s="37" t="str">
        <f t="shared" si="933"/>
        <v>Digital Payment</v>
      </c>
      <c r="P11914">
        <v>475.83</v>
      </c>
      <c r="Q11914" s="37" t="str">
        <f>IF(P11914&gt;500,"High","low")</f>
        <v>low</v>
      </c>
      <c r="R11914" s="37" t="str">
        <f t="shared" si="934"/>
        <v>AVERAGE</v>
      </c>
      <c r="S11914" t="s">
        <v>605</v>
      </c>
    </row>
    <row r="11915" spans="1:19" x14ac:dyDescent="0.2">
      <c r="A11915" t="s">
        <v>12526</v>
      </c>
      <c r="B11915" t="s">
        <v>83</v>
      </c>
      <c r="C11915" t="s">
        <v>614</v>
      </c>
      <c r="D11915">
        <v>2615.4</v>
      </c>
      <c r="E11915" s="37" t="str">
        <f t="shared" si="930"/>
        <v xml:space="preserve"> </v>
      </c>
      <c r="F11915">
        <v>0.11</v>
      </c>
      <c r="G11915" s="37" t="str">
        <f t="shared" si="931"/>
        <v>Normal Discount</v>
      </c>
      <c r="H11915" s="37" t="str">
        <f t="shared" si="932"/>
        <v>Low</v>
      </c>
      <c r="I11915">
        <v>4</v>
      </c>
      <c r="J11915" t="str" cm="1">
        <f t="array" ref="J11915">_xlfn.IFS(I11915&lt;=3,"small",I11915&lt;=6,"Medium",I11915&lt;=9,"Large")</f>
        <v>Medium</v>
      </c>
      <c r="K11915" s="36">
        <v>45480</v>
      </c>
      <c r="L11915" s="36">
        <v>45483</v>
      </c>
      <c r="M11915" t="s">
        <v>612</v>
      </c>
      <c r="N11915" t="s">
        <v>604</v>
      </c>
      <c r="O11915" s="37" t="str">
        <f t="shared" si="933"/>
        <v>Digital Payment</v>
      </c>
      <c r="P11915">
        <v>496.4</v>
      </c>
      <c r="Q11915" s="37" t="str">
        <f>IF(P11915&gt;500,"High","low")</f>
        <v>low</v>
      </c>
      <c r="R11915" s="37" t="str">
        <f t="shared" si="934"/>
        <v>AVERAGE</v>
      </c>
      <c r="S11915" t="s">
        <v>615</v>
      </c>
    </row>
    <row r="11916" spans="1:19" x14ac:dyDescent="0.2">
      <c r="A11916" t="s">
        <v>12527</v>
      </c>
      <c r="B11916" t="s">
        <v>75</v>
      </c>
      <c r="C11916" t="s">
        <v>602</v>
      </c>
      <c r="D11916">
        <v>3997.82</v>
      </c>
      <c r="E11916" s="37" t="str">
        <f t="shared" si="930"/>
        <v xml:space="preserve"> </v>
      </c>
      <c r="F11916">
        <v>0.26</v>
      </c>
      <c r="G11916" s="37" t="str">
        <f t="shared" si="931"/>
        <v>Normal Discount</v>
      </c>
      <c r="H11916" s="37" t="str">
        <f t="shared" si="932"/>
        <v>Medium</v>
      </c>
      <c r="I11916">
        <v>5</v>
      </c>
      <c r="J11916" t="str" cm="1">
        <f t="array" ref="J11916">_xlfn.IFS(I11916&lt;=3,"small",I11916&lt;=6,"Medium",I11916&lt;=9,"Large")</f>
        <v>Medium</v>
      </c>
      <c r="K11916" s="36">
        <v>44964</v>
      </c>
      <c r="L11916" s="36">
        <v>44971</v>
      </c>
      <c r="M11916" t="s">
        <v>603</v>
      </c>
      <c r="N11916" t="s">
        <v>599</v>
      </c>
      <c r="O11916" s="37" t="str">
        <f t="shared" si="933"/>
        <v>Digital Payment</v>
      </c>
      <c r="P11916">
        <v>886.34</v>
      </c>
      <c r="Q11916" s="37" t="str">
        <f>IF(P11916&gt;500,"High","low")</f>
        <v>High</v>
      </c>
      <c r="R11916" s="37" t="str">
        <f t="shared" si="934"/>
        <v>Good</v>
      </c>
      <c r="S11916" t="s">
        <v>605</v>
      </c>
    </row>
    <row r="11917" spans="1:19" x14ac:dyDescent="0.2">
      <c r="A11917" t="s">
        <v>12528</v>
      </c>
      <c r="B11917" t="s">
        <v>83</v>
      </c>
      <c r="C11917" t="s">
        <v>617</v>
      </c>
      <c r="D11917">
        <v>162.79</v>
      </c>
      <c r="E11917" s="37" t="str">
        <f t="shared" si="930"/>
        <v xml:space="preserve"> </v>
      </c>
      <c r="F11917">
        <v>0.26</v>
      </c>
      <c r="G11917" s="37" t="str">
        <f t="shared" si="931"/>
        <v>Normal Discount</v>
      </c>
      <c r="H11917" s="37" t="str">
        <f t="shared" si="932"/>
        <v>Medium</v>
      </c>
      <c r="I11917">
        <v>8</v>
      </c>
      <c r="J11917" t="str" cm="1">
        <f t="array" ref="J11917">_xlfn.IFS(I11917&lt;=3,"small",I11917&lt;=6,"Medium",I11917&lt;=9,"Large")</f>
        <v>Large</v>
      </c>
      <c r="K11917" s="36">
        <v>45631</v>
      </c>
      <c r="L11917" s="36">
        <v>45633</v>
      </c>
      <c r="M11917" t="s">
        <v>603</v>
      </c>
      <c r="N11917" t="s">
        <v>599</v>
      </c>
      <c r="O11917" s="37" t="str">
        <f t="shared" si="933"/>
        <v>Digital Payment</v>
      </c>
      <c r="P11917">
        <v>46.8</v>
      </c>
      <c r="Q11917" s="37" t="str">
        <f>IF(P11917&gt;500,"High","low")</f>
        <v>low</v>
      </c>
      <c r="R11917" s="37" t="str">
        <f t="shared" si="934"/>
        <v>AVERAGE</v>
      </c>
      <c r="S11917" t="s">
        <v>615</v>
      </c>
    </row>
    <row r="11918" spans="1:19" x14ac:dyDescent="0.2">
      <c r="A11918" t="s">
        <v>12529</v>
      </c>
      <c r="B11918" t="s">
        <v>90</v>
      </c>
      <c r="C11918" t="s">
        <v>614</v>
      </c>
      <c r="D11918">
        <v>4120.33</v>
      </c>
      <c r="E11918" s="37" t="str">
        <f t="shared" si="930"/>
        <v>Excellent Order</v>
      </c>
      <c r="F11918">
        <v>0.41</v>
      </c>
      <c r="G11918" s="37" t="str">
        <f t="shared" si="931"/>
        <v>Heavy Discount</v>
      </c>
      <c r="H11918" s="37" t="str">
        <f t="shared" si="932"/>
        <v>High</v>
      </c>
      <c r="I11918">
        <v>7</v>
      </c>
      <c r="J11918" t="str" cm="1">
        <f t="array" ref="J11918">_xlfn.IFS(I11918&lt;=3,"small",I11918&lt;=6,"Medium",I11918&lt;=9,"Large")</f>
        <v>Large</v>
      </c>
      <c r="K11918" s="36">
        <v>45571</v>
      </c>
      <c r="L11918" s="36">
        <v>45578</v>
      </c>
      <c r="M11918" t="s">
        <v>612</v>
      </c>
      <c r="N11918" t="s">
        <v>604</v>
      </c>
      <c r="O11918" s="37" t="str">
        <f t="shared" si="933"/>
        <v>Digital Payment</v>
      </c>
      <c r="P11918">
        <v>885.82</v>
      </c>
      <c r="Q11918" s="37" t="str">
        <f>IF(P11918&gt;500,"High","low")</f>
        <v>High</v>
      </c>
      <c r="R11918" s="37" t="str">
        <f t="shared" si="934"/>
        <v>Good</v>
      </c>
      <c r="S11918" t="s">
        <v>628</v>
      </c>
    </row>
    <row r="11919" spans="1:19" x14ac:dyDescent="0.2">
      <c r="A11919" t="s">
        <v>12530</v>
      </c>
      <c r="B11919" t="s">
        <v>75</v>
      </c>
      <c r="C11919" t="s">
        <v>607</v>
      </c>
      <c r="D11919">
        <v>973.97</v>
      </c>
      <c r="E11919" s="37" t="str">
        <f t="shared" si="930"/>
        <v xml:space="preserve"> </v>
      </c>
      <c r="F11919">
        <v>0.01</v>
      </c>
      <c r="G11919" s="37" t="str">
        <f t="shared" si="931"/>
        <v>Normal Discount</v>
      </c>
      <c r="H11919" s="37" t="str">
        <f t="shared" si="932"/>
        <v>Low</v>
      </c>
      <c r="I11919">
        <v>4</v>
      </c>
      <c r="J11919" t="str" cm="1">
        <f t="array" ref="J11919">_xlfn.IFS(I11919&lt;=3,"small",I11919&lt;=6,"Medium",I11919&lt;=9,"Large")</f>
        <v>Medium</v>
      </c>
      <c r="K11919" s="36">
        <v>45468</v>
      </c>
      <c r="L11919" s="36">
        <v>45470</v>
      </c>
      <c r="M11919" t="s">
        <v>598</v>
      </c>
      <c r="N11919" t="s">
        <v>599</v>
      </c>
      <c r="O11919" s="37" t="str">
        <f t="shared" si="933"/>
        <v>Digital Payment</v>
      </c>
      <c r="P11919">
        <v>73.14</v>
      </c>
      <c r="Q11919" s="37" t="str">
        <f>IF(P11919&gt;500,"High","low")</f>
        <v>low</v>
      </c>
      <c r="R11919" s="37" t="str">
        <f t="shared" si="934"/>
        <v>AVERAGE</v>
      </c>
      <c r="S11919" t="s">
        <v>615</v>
      </c>
    </row>
    <row r="11920" spans="1:19" x14ac:dyDescent="0.2">
      <c r="A11920" t="s">
        <v>12531</v>
      </c>
      <c r="B11920" t="s">
        <v>75</v>
      </c>
      <c r="C11920" t="s">
        <v>602</v>
      </c>
      <c r="D11920">
        <v>2358.59</v>
      </c>
      <c r="E11920" s="37" t="str">
        <f t="shared" si="930"/>
        <v xml:space="preserve"> </v>
      </c>
      <c r="F11920">
        <v>0.43</v>
      </c>
      <c r="G11920" s="37" t="str">
        <f t="shared" si="931"/>
        <v>Heavy Discount</v>
      </c>
      <c r="H11920" s="37" t="str">
        <f t="shared" si="932"/>
        <v>High</v>
      </c>
      <c r="I11920">
        <v>8</v>
      </c>
      <c r="J11920" t="str" cm="1">
        <f t="array" ref="J11920">_xlfn.IFS(I11920&lt;=3,"small",I11920&lt;=6,"Medium",I11920&lt;=9,"Large")</f>
        <v>Large</v>
      </c>
      <c r="K11920" s="36">
        <v>45533</v>
      </c>
      <c r="L11920" s="36">
        <v>45538</v>
      </c>
      <c r="M11920" t="s">
        <v>603</v>
      </c>
      <c r="N11920" t="s">
        <v>604</v>
      </c>
      <c r="O11920" s="37" t="str">
        <f t="shared" si="933"/>
        <v>Digital Payment</v>
      </c>
      <c r="P11920">
        <v>469.7</v>
      </c>
      <c r="Q11920" s="37" t="str">
        <f>IF(P11920&gt;500,"High","low")</f>
        <v>low</v>
      </c>
      <c r="R11920" s="37" t="str">
        <f t="shared" si="934"/>
        <v>AVERAGE</v>
      </c>
      <c r="S11920" t="s">
        <v>605</v>
      </c>
    </row>
    <row r="11921" spans="1:19" x14ac:dyDescent="0.2">
      <c r="A11921" t="s">
        <v>12532</v>
      </c>
      <c r="B11921" t="s">
        <v>75</v>
      </c>
      <c r="C11921" t="s">
        <v>607</v>
      </c>
      <c r="D11921">
        <v>2268.67</v>
      </c>
      <c r="E11921" s="37" t="str">
        <f t="shared" si="930"/>
        <v xml:space="preserve"> </v>
      </c>
      <c r="F11921">
        <v>0.04</v>
      </c>
      <c r="G11921" s="37" t="str">
        <f t="shared" si="931"/>
        <v>Normal Discount</v>
      </c>
      <c r="H11921" s="37" t="str">
        <f t="shared" si="932"/>
        <v>Low</v>
      </c>
      <c r="I11921">
        <v>8</v>
      </c>
      <c r="J11921" t="str" cm="1">
        <f t="array" ref="J11921">_xlfn.IFS(I11921&lt;=3,"small",I11921&lt;=6,"Medium",I11921&lt;=9,"Large")</f>
        <v>Large</v>
      </c>
      <c r="K11921" s="36">
        <v>45353</v>
      </c>
      <c r="L11921" s="36">
        <v>45360</v>
      </c>
      <c r="M11921" t="s">
        <v>598</v>
      </c>
      <c r="N11921" t="s">
        <v>599</v>
      </c>
      <c r="O11921" s="37" t="str">
        <f t="shared" si="933"/>
        <v>Digital Payment</v>
      </c>
      <c r="P11921">
        <v>541.71</v>
      </c>
      <c r="Q11921" s="37" t="str">
        <f>IF(P11921&gt;500,"High","low")</f>
        <v>High</v>
      </c>
      <c r="R11921" s="37" t="str">
        <f t="shared" si="934"/>
        <v>Good</v>
      </c>
      <c r="S11921" t="s">
        <v>609</v>
      </c>
    </row>
    <row r="11922" spans="1:19" x14ac:dyDescent="0.2">
      <c r="A11922" t="s">
        <v>12533</v>
      </c>
      <c r="B11922" t="s">
        <v>75</v>
      </c>
      <c r="C11922" t="s">
        <v>607</v>
      </c>
      <c r="D11922">
        <v>4378.46</v>
      </c>
      <c r="E11922" s="37" t="str">
        <f t="shared" si="930"/>
        <v xml:space="preserve"> </v>
      </c>
      <c r="F11922">
        <v>0.46</v>
      </c>
      <c r="G11922" s="37" t="str">
        <f t="shared" si="931"/>
        <v>Heavy Discount</v>
      </c>
      <c r="H11922" s="37" t="str">
        <f t="shared" si="932"/>
        <v>High</v>
      </c>
      <c r="I11922">
        <v>4</v>
      </c>
      <c r="J11922" t="str" cm="1">
        <f t="array" ref="J11922">_xlfn.IFS(I11922&lt;=3,"small",I11922&lt;=6,"Medium",I11922&lt;=9,"Large")</f>
        <v>Medium</v>
      </c>
      <c r="K11922" s="36">
        <v>44958</v>
      </c>
      <c r="L11922" s="36">
        <v>44961</v>
      </c>
      <c r="M11922" t="s">
        <v>603</v>
      </c>
      <c r="N11922" t="s">
        <v>608</v>
      </c>
      <c r="O11922" s="37" t="str">
        <f t="shared" si="933"/>
        <v>Cash Payment</v>
      </c>
      <c r="P11922">
        <v>717.77</v>
      </c>
      <c r="Q11922" s="37" t="str">
        <f>IF(P11922&gt;500,"High","low")</f>
        <v>High</v>
      </c>
      <c r="R11922" s="37" t="str">
        <f t="shared" si="934"/>
        <v>Good</v>
      </c>
      <c r="S11922" t="s">
        <v>628</v>
      </c>
    </row>
    <row r="11923" spans="1:19" x14ac:dyDescent="0.2">
      <c r="A11923" t="s">
        <v>12534</v>
      </c>
      <c r="B11923" t="s">
        <v>90</v>
      </c>
      <c r="C11923" t="s">
        <v>602</v>
      </c>
      <c r="D11923">
        <v>4833.3</v>
      </c>
      <c r="E11923" s="37" t="str">
        <f t="shared" si="930"/>
        <v>Excellent Order</v>
      </c>
      <c r="F11923">
        <v>7.0000000000000007E-2</v>
      </c>
      <c r="G11923" s="37" t="str">
        <f t="shared" si="931"/>
        <v>Normal Discount</v>
      </c>
      <c r="H11923" s="37" t="str">
        <f t="shared" si="932"/>
        <v>Low</v>
      </c>
      <c r="I11923">
        <v>2</v>
      </c>
      <c r="J11923" t="str" cm="1">
        <f t="array" ref="J11923">_xlfn.IFS(I11923&lt;=3,"small",I11923&lt;=6,"Medium",I11923&lt;=9,"Large")</f>
        <v>small</v>
      </c>
      <c r="K11923" s="36">
        <v>45377</v>
      </c>
      <c r="L11923" s="36">
        <v>45383</v>
      </c>
      <c r="M11923" t="s">
        <v>612</v>
      </c>
      <c r="N11923" t="s">
        <v>604</v>
      </c>
      <c r="O11923" s="37" t="str">
        <f t="shared" si="933"/>
        <v>Digital Payment</v>
      </c>
      <c r="P11923">
        <v>965.77</v>
      </c>
      <c r="Q11923" s="37" t="str">
        <f>IF(P11923&gt;500,"High","low")</f>
        <v>High</v>
      </c>
      <c r="R11923" s="37" t="str">
        <f t="shared" si="934"/>
        <v>Good</v>
      </c>
      <c r="S11923" t="s">
        <v>600</v>
      </c>
    </row>
    <row r="11924" spans="1:19" x14ac:dyDescent="0.2">
      <c r="A11924" t="s">
        <v>12535</v>
      </c>
      <c r="B11924" t="s">
        <v>83</v>
      </c>
      <c r="C11924" t="s">
        <v>617</v>
      </c>
      <c r="D11924">
        <v>1350.09</v>
      </c>
      <c r="E11924" s="37" t="str">
        <f t="shared" si="930"/>
        <v xml:space="preserve"> </v>
      </c>
      <c r="F11924">
        <v>0.27</v>
      </c>
      <c r="G11924" s="37" t="str">
        <f t="shared" si="931"/>
        <v>Normal Discount</v>
      </c>
      <c r="H11924" s="37" t="str">
        <f t="shared" si="932"/>
        <v>Medium</v>
      </c>
      <c r="I11924">
        <v>3</v>
      </c>
      <c r="J11924" t="str" cm="1">
        <f t="array" ref="J11924">_xlfn.IFS(I11924&lt;=3,"small",I11924&lt;=6,"Medium",I11924&lt;=9,"Large")</f>
        <v>small</v>
      </c>
      <c r="K11924" s="36">
        <v>45121</v>
      </c>
      <c r="L11924" s="36">
        <v>45126</v>
      </c>
      <c r="M11924" t="s">
        <v>603</v>
      </c>
      <c r="N11924" t="s">
        <v>608</v>
      </c>
      <c r="O11924" s="37" t="str">
        <f t="shared" si="933"/>
        <v>Cash Payment</v>
      </c>
      <c r="P11924">
        <v>206</v>
      </c>
      <c r="Q11924" s="37" t="str">
        <f>IF(P11924&gt;500,"High","low")</f>
        <v>low</v>
      </c>
      <c r="R11924" s="37" t="str">
        <f t="shared" si="934"/>
        <v>AVERAGE</v>
      </c>
      <c r="S11924" t="s">
        <v>615</v>
      </c>
    </row>
    <row r="11925" spans="1:19" x14ac:dyDescent="0.2">
      <c r="A11925" t="s">
        <v>12536</v>
      </c>
      <c r="B11925" t="s">
        <v>90</v>
      </c>
      <c r="C11925" t="s">
        <v>597</v>
      </c>
      <c r="D11925">
        <v>430.32</v>
      </c>
      <c r="E11925" s="37" t="str">
        <f t="shared" si="930"/>
        <v xml:space="preserve"> </v>
      </c>
      <c r="F11925">
        <v>0.05</v>
      </c>
      <c r="G11925" s="37" t="str">
        <f t="shared" si="931"/>
        <v>Normal Discount</v>
      </c>
      <c r="H11925" s="37" t="str">
        <f t="shared" si="932"/>
        <v>Low</v>
      </c>
      <c r="I11925">
        <v>5</v>
      </c>
      <c r="J11925" t="str" cm="1">
        <f t="array" ref="J11925">_xlfn.IFS(I11925&lt;=3,"small",I11925&lt;=6,"Medium",I11925&lt;=9,"Large")</f>
        <v>Medium</v>
      </c>
      <c r="K11925" s="36">
        <v>45224</v>
      </c>
      <c r="L11925" s="36">
        <v>45228</v>
      </c>
      <c r="M11925" t="s">
        <v>603</v>
      </c>
      <c r="N11925" t="s">
        <v>604</v>
      </c>
      <c r="O11925" s="37" t="str">
        <f t="shared" si="933"/>
        <v>Digital Payment</v>
      </c>
      <c r="P11925">
        <v>37.1</v>
      </c>
      <c r="Q11925" s="37" t="str">
        <f>IF(P11925&gt;500,"High","low")</f>
        <v>low</v>
      </c>
      <c r="R11925" s="37" t="str">
        <f t="shared" si="934"/>
        <v>AVERAGE</v>
      </c>
      <c r="S11925" t="s">
        <v>609</v>
      </c>
    </row>
    <row r="11926" spans="1:19" x14ac:dyDescent="0.2">
      <c r="A11926" t="s">
        <v>12537</v>
      </c>
      <c r="B11926" t="s">
        <v>83</v>
      </c>
      <c r="C11926" t="s">
        <v>597</v>
      </c>
      <c r="D11926">
        <v>3287.56</v>
      </c>
      <c r="E11926" s="37" t="str">
        <f t="shared" si="930"/>
        <v xml:space="preserve"> </v>
      </c>
      <c r="F11926">
        <v>0.22</v>
      </c>
      <c r="G11926" s="37" t="str">
        <f t="shared" si="931"/>
        <v>Normal Discount</v>
      </c>
      <c r="H11926" s="37" t="str">
        <f t="shared" si="932"/>
        <v>Medium</v>
      </c>
      <c r="I11926">
        <v>1</v>
      </c>
      <c r="J11926" t="str" cm="1">
        <f t="array" ref="J11926">_xlfn.IFS(I11926&lt;=3,"small",I11926&lt;=6,"Medium",I11926&lt;=9,"Large")</f>
        <v>small</v>
      </c>
      <c r="K11926" s="36">
        <v>45308</v>
      </c>
      <c r="L11926" s="36">
        <v>45315</v>
      </c>
      <c r="M11926" t="s">
        <v>603</v>
      </c>
      <c r="N11926" t="s">
        <v>608</v>
      </c>
      <c r="O11926" s="37" t="str">
        <f t="shared" si="933"/>
        <v>Cash Payment</v>
      </c>
      <c r="P11926">
        <v>359.77</v>
      </c>
      <c r="Q11926" s="37" t="str">
        <f>IF(P11926&gt;500,"High","low")</f>
        <v>low</v>
      </c>
      <c r="R11926" s="37" t="str">
        <f t="shared" si="934"/>
        <v>AVERAGE</v>
      </c>
      <c r="S11926" t="s">
        <v>605</v>
      </c>
    </row>
    <row r="11927" spans="1:19" x14ac:dyDescent="0.2">
      <c r="A11927" t="s">
        <v>12538</v>
      </c>
      <c r="B11927" t="s">
        <v>90</v>
      </c>
      <c r="C11927" t="s">
        <v>602</v>
      </c>
      <c r="D11927">
        <v>2563.92</v>
      </c>
      <c r="E11927" s="37" t="str">
        <f t="shared" si="930"/>
        <v xml:space="preserve"> </v>
      </c>
      <c r="F11927">
        <v>0.15</v>
      </c>
      <c r="G11927" s="37" t="str">
        <f t="shared" si="931"/>
        <v>Normal Discount</v>
      </c>
      <c r="H11927" s="37" t="str">
        <f t="shared" si="932"/>
        <v>Low</v>
      </c>
      <c r="I11927">
        <v>5</v>
      </c>
      <c r="J11927" t="str" cm="1">
        <f t="array" ref="J11927">_xlfn.IFS(I11927&lt;=3,"small",I11927&lt;=6,"Medium",I11927&lt;=9,"Large")</f>
        <v>Medium</v>
      </c>
      <c r="K11927" s="36">
        <v>45443</v>
      </c>
      <c r="L11927" s="36">
        <v>45445</v>
      </c>
      <c r="M11927" t="s">
        <v>598</v>
      </c>
      <c r="N11927" t="s">
        <v>608</v>
      </c>
      <c r="O11927" s="37" t="str">
        <f t="shared" si="933"/>
        <v>Cash Payment</v>
      </c>
      <c r="P11927">
        <v>457.36</v>
      </c>
      <c r="Q11927" s="37" t="str">
        <f>IF(P11927&gt;500,"High","low")</f>
        <v>low</v>
      </c>
      <c r="R11927" s="37" t="str">
        <f t="shared" si="934"/>
        <v>AVERAGE</v>
      </c>
      <c r="S11927" t="s">
        <v>628</v>
      </c>
    </row>
    <row r="11928" spans="1:19" x14ac:dyDescent="0.2">
      <c r="A11928" t="s">
        <v>12539</v>
      </c>
      <c r="B11928" t="s">
        <v>67</v>
      </c>
      <c r="C11928" t="s">
        <v>597</v>
      </c>
      <c r="D11928">
        <v>2871.96</v>
      </c>
      <c r="E11928" s="37" t="str">
        <f t="shared" si="930"/>
        <v xml:space="preserve"> </v>
      </c>
      <c r="F11928">
        <v>0.21</v>
      </c>
      <c r="G11928" s="37" t="str">
        <f t="shared" si="931"/>
        <v>Normal Discount</v>
      </c>
      <c r="H11928" s="37" t="str">
        <f t="shared" si="932"/>
        <v>Medium</v>
      </c>
      <c r="I11928">
        <v>4</v>
      </c>
      <c r="J11928" t="str" cm="1">
        <f t="array" ref="J11928">_xlfn.IFS(I11928&lt;=3,"small",I11928&lt;=6,"Medium",I11928&lt;=9,"Large")</f>
        <v>Medium</v>
      </c>
      <c r="K11928" s="36">
        <v>45409</v>
      </c>
      <c r="L11928" s="36">
        <v>45416</v>
      </c>
      <c r="M11928" t="s">
        <v>612</v>
      </c>
      <c r="N11928" t="s">
        <v>599</v>
      </c>
      <c r="O11928" s="37" t="str">
        <f t="shared" si="933"/>
        <v>Digital Payment</v>
      </c>
      <c r="P11928">
        <v>662.48</v>
      </c>
      <c r="Q11928" s="37" t="str">
        <f>IF(P11928&gt;500,"High","low")</f>
        <v>High</v>
      </c>
      <c r="R11928" s="37" t="str">
        <f t="shared" si="934"/>
        <v>Good</v>
      </c>
      <c r="S11928" t="s">
        <v>600</v>
      </c>
    </row>
    <row r="11929" spans="1:19" x14ac:dyDescent="0.2">
      <c r="A11929" t="s">
        <v>12540</v>
      </c>
      <c r="B11929" t="s">
        <v>67</v>
      </c>
      <c r="C11929" t="s">
        <v>614</v>
      </c>
      <c r="D11929">
        <v>326.72000000000003</v>
      </c>
      <c r="E11929" s="37" t="str">
        <f t="shared" si="930"/>
        <v xml:space="preserve"> </v>
      </c>
      <c r="F11929">
        <v>0.27</v>
      </c>
      <c r="G11929" s="37" t="str">
        <f t="shared" si="931"/>
        <v>Normal Discount</v>
      </c>
      <c r="H11929" s="37" t="str">
        <f t="shared" si="932"/>
        <v>Medium</v>
      </c>
      <c r="I11929">
        <v>5</v>
      </c>
      <c r="J11929" t="str" cm="1">
        <f t="array" ref="J11929">_xlfn.IFS(I11929&lt;=3,"small",I11929&lt;=6,"Medium",I11929&lt;=9,"Large")</f>
        <v>Medium</v>
      </c>
      <c r="K11929" s="36">
        <v>45534</v>
      </c>
      <c r="L11929" s="36">
        <v>45538</v>
      </c>
      <c r="M11929" t="s">
        <v>598</v>
      </c>
      <c r="N11929" t="s">
        <v>604</v>
      </c>
      <c r="O11929" s="37" t="str">
        <f t="shared" si="933"/>
        <v>Digital Payment</v>
      </c>
      <c r="P11929">
        <v>60.5</v>
      </c>
      <c r="Q11929" s="37" t="str">
        <f>IF(P11929&gt;500,"High","low")</f>
        <v>low</v>
      </c>
      <c r="R11929" s="37" t="str">
        <f t="shared" si="934"/>
        <v>AVERAGE</v>
      </c>
      <c r="S11929" t="s">
        <v>609</v>
      </c>
    </row>
    <row r="11930" spans="1:19" x14ac:dyDescent="0.2">
      <c r="A11930" t="s">
        <v>12541</v>
      </c>
      <c r="B11930" t="s">
        <v>67</v>
      </c>
      <c r="C11930" t="s">
        <v>617</v>
      </c>
      <c r="D11930">
        <v>3899.02</v>
      </c>
      <c r="E11930" s="37" t="str">
        <f t="shared" si="930"/>
        <v xml:space="preserve"> </v>
      </c>
      <c r="F11930">
        <v>0.23</v>
      </c>
      <c r="G11930" s="37" t="str">
        <f t="shared" si="931"/>
        <v>Normal Discount</v>
      </c>
      <c r="H11930" s="37" t="str">
        <f t="shared" si="932"/>
        <v>Medium</v>
      </c>
      <c r="I11930">
        <v>1</v>
      </c>
      <c r="J11930" t="str" cm="1">
        <f t="array" ref="J11930">_xlfn.IFS(I11930&lt;=3,"small",I11930&lt;=6,"Medium",I11930&lt;=9,"Large")</f>
        <v>small</v>
      </c>
      <c r="K11930" s="36">
        <v>45625</v>
      </c>
      <c r="L11930" s="36">
        <v>45630</v>
      </c>
      <c r="M11930" t="s">
        <v>612</v>
      </c>
      <c r="N11930" t="s">
        <v>599</v>
      </c>
      <c r="O11930" s="37" t="str">
        <f t="shared" si="933"/>
        <v>Digital Payment</v>
      </c>
      <c r="P11930">
        <v>737.7</v>
      </c>
      <c r="Q11930" s="37" t="str">
        <f>IF(P11930&gt;500,"High","low")</f>
        <v>High</v>
      </c>
      <c r="R11930" s="37" t="str">
        <f t="shared" si="934"/>
        <v>Good</v>
      </c>
      <c r="S11930" t="s">
        <v>609</v>
      </c>
    </row>
    <row r="11931" spans="1:19" x14ac:dyDescent="0.2">
      <c r="A11931" t="s">
        <v>12542</v>
      </c>
      <c r="B11931" t="s">
        <v>67</v>
      </c>
      <c r="C11931" t="s">
        <v>607</v>
      </c>
      <c r="D11931">
        <v>1238.53</v>
      </c>
      <c r="E11931" s="37" t="str">
        <f t="shared" si="930"/>
        <v xml:space="preserve"> </v>
      </c>
      <c r="F11931">
        <v>0.01</v>
      </c>
      <c r="G11931" s="37" t="str">
        <f t="shared" si="931"/>
        <v>Normal Discount</v>
      </c>
      <c r="H11931" s="37" t="str">
        <f t="shared" si="932"/>
        <v>Low</v>
      </c>
      <c r="I11931">
        <v>7</v>
      </c>
      <c r="J11931" t="str" cm="1">
        <f t="array" ref="J11931">_xlfn.IFS(I11931&lt;=3,"small",I11931&lt;=6,"Medium",I11931&lt;=9,"Large")</f>
        <v>Large</v>
      </c>
      <c r="K11931" s="36">
        <v>45205</v>
      </c>
      <c r="L11931" s="36">
        <v>45207</v>
      </c>
      <c r="M11931" t="s">
        <v>612</v>
      </c>
      <c r="N11931" t="s">
        <v>604</v>
      </c>
      <c r="O11931" s="37" t="str">
        <f t="shared" si="933"/>
        <v>Digital Payment</v>
      </c>
      <c r="P11931">
        <v>191.34</v>
      </c>
      <c r="Q11931" s="37" t="str">
        <f>IF(P11931&gt;500,"High","low")</f>
        <v>low</v>
      </c>
      <c r="R11931" s="37" t="str">
        <f t="shared" si="934"/>
        <v>AVERAGE</v>
      </c>
      <c r="S11931" t="s">
        <v>620</v>
      </c>
    </row>
    <row r="11932" spans="1:19" x14ac:dyDescent="0.2">
      <c r="A11932" t="s">
        <v>12543</v>
      </c>
      <c r="B11932" t="s">
        <v>75</v>
      </c>
      <c r="C11932" t="s">
        <v>607</v>
      </c>
      <c r="D11932">
        <v>1741.19</v>
      </c>
      <c r="E11932" s="37" t="str">
        <f t="shared" si="930"/>
        <v xml:space="preserve"> </v>
      </c>
      <c r="F11932">
        <v>0.43</v>
      </c>
      <c r="G11932" s="37" t="str">
        <f t="shared" si="931"/>
        <v>Heavy Discount</v>
      </c>
      <c r="H11932" s="37" t="str">
        <f t="shared" si="932"/>
        <v>High</v>
      </c>
      <c r="I11932">
        <v>9</v>
      </c>
      <c r="J11932" t="str" cm="1">
        <f t="array" ref="J11932">_xlfn.IFS(I11932&lt;=3,"small",I11932&lt;=6,"Medium",I11932&lt;=9,"Large")</f>
        <v>Large</v>
      </c>
      <c r="K11932" s="36">
        <v>45156</v>
      </c>
      <c r="L11932" s="36">
        <v>45162</v>
      </c>
      <c r="M11932" t="s">
        <v>603</v>
      </c>
      <c r="N11932" t="s">
        <v>608</v>
      </c>
      <c r="O11932" s="37" t="str">
        <f t="shared" si="933"/>
        <v>Cash Payment</v>
      </c>
      <c r="P11932">
        <v>180.3</v>
      </c>
      <c r="Q11932" s="37" t="str">
        <f>IF(P11932&gt;500,"High","low")</f>
        <v>low</v>
      </c>
      <c r="R11932" s="37" t="str">
        <f t="shared" si="934"/>
        <v>AVERAGE</v>
      </c>
      <c r="S11932" t="s">
        <v>600</v>
      </c>
    </row>
    <row r="11933" spans="1:19" x14ac:dyDescent="0.2">
      <c r="A11933" t="s">
        <v>12544</v>
      </c>
      <c r="B11933" t="s">
        <v>75</v>
      </c>
      <c r="C11933" t="s">
        <v>602</v>
      </c>
      <c r="D11933">
        <v>1218.93</v>
      </c>
      <c r="E11933" s="37" t="str">
        <f t="shared" si="930"/>
        <v xml:space="preserve"> </v>
      </c>
      <c r="F11933">
        <v>0.05</v>
      </c>
      <c r="G11933" s="37" t="str">
        <f t="shared" si="931"/>
        <v>Normal Discount</v>
      </c>
      <c r="H11933" s="37" t="str">
        <f t="shared" si="932"/>
        <v>Low</v>
      </c>
      <c r="I11933">
        <v>5</v>
      </c>
      <c r="J11933" t="str" cm="1">
        <f t="array" ref="J11933">_xlfn.IFS(I11933&lt;=3,"small",I11933&lt;=6,"Medium",I11933&lt;=9,"Large")</f>
        <v>Medium</v>
      </c>
      <c r="K11933" s="36">
        <v>45438</v>
      </c>
      <c r="L11933" s="36">
        <v>45444</v>
      </c>
      <c r="M11933" t="s">
        <v>598</v>
      </c>
      <c r="N11933" t="s">
        <v>604</v>
      </c>
      <c r="O11933" s="37" t="str">
        <f t="shared" si="933"/>
        <v>Digital Payment</v>
      </c>
      <c r="P11933">
        <v>168.51</v>
      </c>
      <c r="Q11933" s="37" t="str">
        <f>IF(P11933&gt;500,"High","low")</f>
        <v>low</v>
      </c>
      <c r="R11933" s="37" t="str">
        <f t="shared" si="934"/>
        <v>AVERAGE</v>
      </c>
      <c r="S11933" t="s">
        <v>628</v>
      </c>
    </row>
    <row r="11934" spans="1:19" x14ac:dyDescent="0.2">
      <c r="A11934" t="s">
        <v>12545</v>
      </c>
      <c r="B11934" t="s">
        <v>90</v>
      </c>
      <c r="C11934" t="s">
        <v>607</v>
      </c>
      <c r="D11934">
        <v>4735.13</v>
      </c>
      <c r="E11934" s="37" t="str">
        <f t="shared" si="930"/>
        <v xml:space="preserve"> </v>
      </c>
      <c r="F11934">
        <v>0.49</v>
      </c>
      <c r="G11934" s="37" t="str">
        <f t="shared" si="931"/>
        <v>Heavy Discount</v>
      </c>
      <c r="H11934" s="37" t="str">
        <f t="shared" si="932"/>
        <v>High</v>
      </c>
      <c r="I11934">
        <v>3</v>
      </c>
      <c r="J11934" t="str" cm="1">
        <f t="array" ref="J11934">_xlfn.IFS(I11934&lt;=3,"small",I11934&lt;=6,"Medium",I11934&lt;=9,"Large")</f>
        <v>small</v>
      </c>
      <c r="K11934" s="36">
        <v>45288</v>
      </c>
      <c r="L11934" s="36">
        <v>45293</v>
      </c>
      <c r="M11934" t="s">
        <v>598</v>
      </c>
      <c r="N11934" t="s">
        <v>599</v>
      </c>
      <c r="O11934" s="37" t="str">
        <f t="shared" si="933"/>
        <v>Digital Payment</v>
      </c>
      <c r="P11934">
        <v>446.94</v>
      </c>
      <c r="Q11934" s="37" t="str">
        <f>IF(P11934&gt;500,"High","low")</f>
        <v>low</v>
      </c>
      <c r="R11934" s="37" t="str">
        <f t="shared" si="934"/>
        <v>AVERAGE</v>
      </c>
      <c r="S11934" t="s">
        <v>605</v>
      </c>
    </row>
    <row r="11935" spans="1:19" x14ac:dyDescent="0.2">
      <c r="A11935" t="s">
        <v>12546</v>
      </c>
      <c r="B11935" t="s">
        <v>90</v>
      </c>
      <c r="C11935" t="s">
        <v>614</v>
      </c>
      <c r="D11935">
        <v>926.74</v>
      </c>
      <c r="E11935" s="37" t="str">
        <f t="shared" si="930"/>
        <v xml:space="preserve"> </v>
      </c>
      <c r="F11935">
        <v>0.43</v>
      </c>
      <c r="G11935" s="37" t="str">
        <f t="shared" si="931"/>
        <v>Heavy Discount</v>
      </c>
      <c r="H11935" s="37" t="str">
        <f t="shared" si="932"/>
        <v>High</v>
      </c>
      <c r="I11935">
        <v>9</v>
      </c>
      <c r="J11935" t="str" cm="1">
        <f t="array" ref="J11935">_xlfn.IFS(I11935&lt;=3,"small",I11935&lt;=6,"Medium",I11935&lt;=9,"Large")</f>
        <v>Large</v>
      </c>
      <c r="K11935" s="36">
        <v>45318</v>
      </c>
      <c r="L11935" s="36">
        <v>45324</v>
      </c>
      <c r="M11935" t="s">
        <v>612</v>
      </c>
      <c r="N11935" t="s">
        <v>599</v>
      </c>
      <c r="O11935" s="37" t="str">
        <f t="shared" si="933"/>
        <v>Digital Payment</v>
      </c>
      <c r="P11935">
        <v>202.68</v>
      </c>
      <c r="Q11935" s="37" t="str">
        <f>IF(P11935&gt;500,"High","low")</f>
        <v>low</v>
      </c>
      <c r="R11935" s="37" t="str">
        <f t="shared" si="934"/>
        <v>AVERAGE</v>
      </c>
      <c r="S11935" t="s">
        <v>628</v>
      </c>
    </row>
    <row r="11936" spans="1:19" x14ac:dyDescent="0.2">
      <c r="A11936" t="s">
        <v>12547</v>
      </c>
      <c r="B11936" t="s">
        <v>67</v>
      </c>
      <c r="C11936" t="s">
        <v>614</v>
      </c>
      <c r="D11936">
        <v>3688.36</v>
      </c>
      <c r="E11936" s="37" t="str">
        <f t="shared" si="930"/>
        <v xml:space="preserve"> </v>
      </c>
      <c r="F11936">
        <v>0.28000000000000003</v>
      </c>
      <c r="G11936" s="37" t="str">
        <f t="shared" si="931"/>
        <v>Normal Discount</v>
      </c>
      <c r="H11936" s="37" t="str">
        <f t="shared" si="932"/>
        <v>Medium</v>
      </c>
      <c r="I11936">
        <v>6</v>
      </c>
      <c r="J11936" t="str" cm="1">
        <f t="array" ref="J11936">_xlfn.IFS(I11936&lt;=3,"small",I11936&lt;=6,"Medium",I11936&lt;=9,"Large")</f>
        <v>Medium</v>
      </c>
      <c r="K11936" s="36">
        <v>45252</v>
      </c>
      <c r="L11936" s="36">
        <v>45253</v>
      </c>
      <c r="M11936" t="s">
        <v>603</v>
      </c>
      <c r="N11936" t="s">
        <v>604</v>
      </c>
      <c r="O11936" s="37" t="str">
        <f t="shared" si="933"/>
        <v>Digital Payment</v>
      </c>
      <c r="P11936">
        <v>790.63</v>
      </c>
      <c r="Q11936" s="37" t="str">
        <f>IF(P11936&gt;500,"High","low")</f>
        <v>High</v>
      </c>
      <c r="R11936" s="37" t="str">
        <f t="shared" si="934"/>
        <v>Good</v>
      </c>
      <c r="S11936" t="s">
        <v>605</v>
      </c>
    </row>
    <row r="11937" spans="1:19" x14ac:dyDescent="0.2">
      <c r="A11937" t="s">
        <v>12548</v>
      </c>
      <c r="B11937" t="s">
        <v>83</v>
      </c>
      <c r="C11937" t="s">
        <v>602</v>
      </c>
      <c r="D11937">
        <v>1304.1600000000001</v>
      </c>
      <c r="E11937" s="37" t="str">
        <f t="shared" si="930"/>
        <v xml:space="preserve"> </v>
      </c>
      <c r="F11937">
        <v>0.12</v>
      </c>
      <c r="G11937" s="37" t="str">
        <f t="shared" si="931"/>
        <v>Normal Discount</v>
      </c>
      <c r="H11937" s="37" t="str">
        <f t="shared" si="932"/>
        <v>Low</v>
      </c>
      <c r="I11937">
        <v>6</v>
      </c>
      <c r="J11937" t="str" cm="1">
        <f t="array" ref="J11937">_xlfn.IFS(I11937&lt;=3,"small",I11937&lt;=6,"Medium",I11937&lt;=9,"Large")</f>
        <v>Medium</v>
      </c>
      <c r="K11937" s="36">
        <v>45657</v>
      </c>
      <c r="L11937" s="36">
        <v>45660</v>
      </c>
      <c r="M11937" t="s">
        <v>603</v>
      </c>
      <c r="N11937" t="s">
        <v>608</v>
      </c>
      <c r="O11937" s="37" t="str">
        <f t="shared" si="933"/>
        <v>Cash Payment</v>
      </c>
      <c r="P11937">
        <v>297.36</v>
      </c>
      <c r="Q11937" s="37" t="str">
        <f>IF(P11937&gt;500,"High","low")</f>
        <v>low</v>
      </c>
      <c r="R11937" s="37" t="str">
        <f t="shared" si="934"/>
        <v>AVERAGE</v>
      </c>
      <c r="S11937" t="s">
        <v>615</v>
      </c>
    </row>
    <row r="11938" spans="1:19" x14ac:dyDescent="0.2">
      <c r="A11938" t="s">
        <v>12549</v>
      </c>
      <c r="B11938" t="s">
        <v>67</v>
      </c>
      <c r="C11938" t="s">
        <v>607</v>
      </c>
      <c r="D11938">
        <v>2182.11</v>
      </c>
      <c r="E11938" s="37" t="str">
        <f t="shared" si="930"/>
        <v xml:space="preserve"> </v>
      </c>
      <c r="F11938">
        <v>0.04</v>
      </c>
      <c r="G11938" s="37" t="str">
        <f t="shared" si="931"/>
        <v>Normal Discount</v>
      </c>
      <c r="H11938" s="37" t="str">
        <f t="shared" si="932"/>
        <v>Low</v>
      </c>
      <c r="I11938">
        <v>3</v>
      </c>
      <c r="J11938" t="str" cm="1">
        <f t="array" ref="J11938">_xlfn.IFS(I11938&lt;=3,"small",I11938&lt;=6,"Medium",I11938&lt;=9,"Large")</f>
        <v>small</v>
      </c>
      <c r="K11938" s="36">
        <v>45201</v>
      </c>
      <c r="L11938" s="36">
        <v>45208</v>
      </c>
      <c r="M11938" t="s">
        <v>612</v>
      </c>
      <c r="N11938" t="s">
        <v>599</v>
      </c>
      <c r="O11938" s="37" t="str">
        <f t="shared" si="933"/>
        <v>Digital Payment</v>
      </c>
      <c r="P11938">
        <v>168.89</v>
      </c>
      <c r="Q11938" s="37" t="str">
        <f>IF(P11938&gt;500,"High","low")</f>
        <v>low</v>
      </c>
      <c r="R11938" s="37" t="str">
        <f t="shared" si="934"/>
        <v>AVERAGE</v>
      </c>
      <c r="S11938" t="s">
        <v>615</v>
      </c>
    </row>
    <row r="11939" spans="1:19" x14ac:dyDescent="0.2">
      <c r="A11939" t="s">
        <v>12550</v>
      </c>
      <c r="B11939" t="s">
        <v>90</v>
      </c>
      <c r="C11939" t="s">
        <v>597</v>
      </c>
      <c r="D11939">
        <v>4980.7</v>
      </c>
      <c r="E11939" s="37" t="str">
        <f t="shared" si="930"/>
        <v xml:space="preserve"> </v>
      </c>
      <c r="F11939">
        <v>0.34</v>
      </c>
      <c r="G11939" s="37" t="str">
        <f t="shared" si="931"/>
        <v>Heavy Discount</v>
      </c>
      <c r="H11939" s="37" t="str">
        <f t="shared" si="932"/>
        <v>Medium</v>
      </c>
      <c r="I11939">
        <v>1</v>
      </c>
      <c r="J11939" t="str" cm="1">
        <f t="array" ref="J11939">_xlfn.IFS(I11939&lt;=3,"small",I11939&lt;=6,"Medium",I11939&lt;=9,"Large")</f>
        <v>small</v>
      </c>
      <c r="K11939" s="36">
        <v>45032</v>
      </c>
      <c r="L11939" s="36">
        <v>45034</v>
      </c>
      <c r="M11939" t="s">
        <v>603</v>
      </c>
      <c r="N11939" t="s">
        <v>604</v>
      </c>
      <c r="O11939" s="37" t="str">
        <f t="shared" si="933"/>
        <v>Digital Payment</v>
      </c>
      <c r="P11939">
        <v>706.06</v>
      </c>
      <c r="Q11939" s="37" t="str">
        <f>IF(P11939&gt;500,"High","low")</f>
        <v>High</v>
      </c>
      <c r="R11939" s="37" t="str">
        <f t="shared" si="934"/>
        <v>Good</v>
      </c>
      <c r="S11939" t="s">
        <v>628</v>
      </c>
    </row>
    <row r="11940" spans="1:19" x14ac:dyDescent="0.2">
      <c r="A11940" t="s">
        <v>12551</v>
      </c>
      <c r="B11940" t="s">
        <v>67</v>
      </c>
      <c r="C11940" t="s">
        <v>597</v>
      </c>
      <c r="D11940">
        <v>592.83000000000004</v>
      </c>
      <c r="E11940" s="37" t="str">
        <f t="shared" si="930"/>
        <v xml:space="preserve"> </v>
      </c>
      <c r="F11940">
        <v>0.1</v>
      </c>
      <c r="G11940" s="37" t="str">
        <f t="shared" si="931"/>
        <v>Normal Discount</v>
      </c>
      <c r="H11940" s="37" t="str">
        <f t="shared" si="932"/>
        <v>Low</v>
      </c>
      <c r="I11940">
        <v>4</v>
      </c>
      <c r="J11940" t="str" cm="1">
        <f t="array" ref="J11940">_xlfn.IFS(I11940&lt;=3,"small",I11940&lt;=6,"Medium",I11940&lt;=9,"Large")</f>
        <v>Medium</v>
      </c>
      <c r="K11940" s="36">
        <v>45354</v>
      </c>
      <c r="L11940" s="36">
        <v>45361</v>
      </c>
      <c r="M11940" t="s">
        <v>598</v>
      </c>
      <c r="N11940" t="s">
        <v>608</v>
      </c>
      <c r="O11940" s="37" t="str">
        <f t="shared" si="933"/>
        <v>Cash Payment</v>
      </c>
      <c r="P11940">
        <v>136.49</v>
      </c>
      <c r="Q11940" s="37" t="str">
        <f>IF(P11940&gt;500,"High","low")</f>
        <v>low</v>
      </c>
      <c r="R11940" s="37" t="str">
        <f t="shared" si="934"/>
        <v>AVERAGE</v>
      </c>
      <c r="S11940" t="s">
        <v>628</v>
      </c>
    </row>
    <row r="11941" spans="1:19" x14ac:dyDescent="0.2">
      <c r="A11941" t="s">
        <v>12552</v>
      </c>
      <c r="B11941" t="s">
        <v>90</v>
      </c>
      <c r="C11941" t="s">
        <v>617</v>
      </c>
      <c r="D11941">
        <v>4418.66</v>
      </c>
      <c r="E11941" s="37" t="str">
        <f t="shared" si="930"/>
        <v>Excellent Order</v>
      </c>
      <c r="F11941">
        <v>0.37</v>
      </c>
      <c r="G11941" s="37" t="str">
        <f t="shared" si="931"/>
        <v>Heavy Discount</v>
      </c>
      <c r="H11941" s="37" t="str">
        <f t="shared" si="932"/>
        <v>Medium</v>
      </c>
      <c r="I11941">
        <v>4</v>
      </c>
      <c r="J11941" t="str" cm="1">
        <f t="array" ref="J11941">_xlfn.IFS(I11941&lt;=3,"small",I11941&lt;=6,"Medium",I11941&lt;=9,"Large")</f>
        <v>Medium</v>
      </c>
      <c r="K11941" s="36">
        <v>45429</v>
      </c>
      <c r="L11941" s="36">
        <v>45436</v>
      </c>
      <c r="M11941" t="s">
        <v>603</v>
      </c>
      <c r="N11941" t="s">
        <v>599</v>
      </c>
      <c r="O11941" s="37" t="str">
        <f t="shared" si="933"/>
        <v>Digital Payment</v>
      </c>
      <c r="P11941">
        <v>1125.6400000000001</v>
      </c>
      <c r="Q11941" s="37" t="str">
        <f>IF(P11941&gt;500,"High","low")</f>
        <v>High</v>
      </c>
      <c r="R11941" s="37" t="str">
        <f t="shared" si="934"/>
        <v>Excellent</v>
      </c>
      <c r="S11941" t="s">
        <v>600</v>
      </c>
    </row>
    <row r="11942" spans="1:19" x14ac:dyDescent="0.2">
      <c r="A11942" t="s">
        <v>12553</v>
      </c>
      <c r="B11942" t="s">
        <v>67</v>
      </c>
      <c r="C11942" t="s">
        <v>602</v>
      </c>
      <c r="D11942">
        <v>4735.6400000000003</v>
      </c>
      <c r="E11942" s="37" t="str">
        <f t="shared" si="930"/>
        <v>Excellent Order</v>
      </c>
      <c r="F11942">
        <v>0.42</v>
      </c>
      <c r="G11942" s="37" t="str">
        <f t="shared" si="931"/>
        <v>Heavy Discount</v>
      </c>
      <c r="H11942" s="37" t="str">
        <f t="shared" si="932"/>
        <v>High</v>
      </c>
      <c r="I11942">
        <v>3</v>
      </c>
      <c r="J11942" t="str" cm="1">
        <f t="array" ref="J11942">_xlfn.IFS(I11942&lt;=3,"small",I11942&lt;=6,"Medium",I11942&lt;=9,"Large")</f>
        <v>small</v>
      </c>
      <c r="K11942" s="36">
        <v>45316</v>
      </c>
      <c r="L11942" s="36">
        <v>45323</v>
      </c>
      <c r="M11942" t="s">
        <v>612</v>
      </c>
      <c r="N11942" t="s">
        <v>599</v>
      </c>
      <c r="O11942" s="37" t="str">
        <f t="shared" si="933"/>
        <v>Digital Payment</v>
      </c>
      <c r="P11942">
        <v>1408.22</v>
      </c>
      <c r="Q11942" s="37" t="str">
        <f>IF(P11942&gt;500,"High","low")</f>
        <v>High</v>
      </c>
      <c r="R11942" s="37" t="str">
        <f t="shared" si="934"/>
        <v>Excellent</v>
      </c>
      <c r="S11942" t="s">
        <v>628</v>
      </c>
    </row>
    <row r="11943" spans="1:19" x14ac:dyDescent="0.2">
      <c r="A11943" t="s">
        <v>12554</v>
      </c>
      <c r="B11943" t="s">
        <v>83</v>
      </c>
      <c r="C11943" t="s">
        <v>617</v>
      </c>
      <c r="D11943">
        <v>3521.31</v>
      </c>
      <c r="E11943" s="37" t="str">
        <f t="shared" si="930"/>
        <v xml:space="preserve"> </v>
      </c>
      <c r="F11943">
        <v>0.49</v>
      </c>
      <c r="G11943" s="37" t="str">
        <f t="shared" si="931"/>
        <v>Heavy Discount</v>
      </c>
      <c r="H11943" s="37" t="str">
        <f t="shared" si="932"/>
        <v>High</v>
      </c>
      <c r="I11943">
        <v>5</v>
      </c>
      <c r="J11943" t="str" cm="1">
        <f t="array" ref="J11943">_xlfn.IFS(I11943&lt;=3,"small",I11943&lt;=6,"Medium",I11943&lt;=9,"Large")</f>
        <v>Medium</v>
      </c>
      <c r="K11943" s="36">
        <v>45185</v>
      </c>
      <c r="L11943" s="36">
        <v>45191</v>
      </c>
      <c r="M11943" t="s">
        <v>612</v>
      </c>
      <c r="N11943" t="s">
        <v>608</v>
      </c>
      <c r="O11943" s="37" t="str">
        <f t="shared" si="933"/>
        <v>Cash Payment</v>
      </c>
      <c r="P11943">
        <v>1007.81</v>
      </c>
      <c r="Q11943" s="37" t="str">
        <f>IF(P11943&gt;500,"High","low")</f>
        <v>High</v>
      </c>
      <c r="R11943" s="37" t="str">
        <f t="shared" si="934"/>
        <v>Excellent</v>
      </c>
      <c r="S11943" t="s">
        <v>609</v>
      </c>
    </row>
    <row r="11944" spans="1:19" x14ac:dyDescent="0.2">
      <c r="A11944" t="s">
        <v>12555</v>
      </c>
      <c r="B11944" t="s">
        <v>67</v>
      </c>
      <c r="C11944" t="s">
        <v>597</v>
      </c>
      <c r="D11944">
        <v>148.81</v>
      </c>
      <c r="E11944" s="37" t="str">
        <f t="shared" si="930"/>
        <v xml:space="preserve"> </v>
      </c>
      <c r="F11944">
        <v>0.25</v>
      </c>
      <c r="G11944" s="37" t="str">
        <f t="shared" si="931"/>
        <v>Normal Discount</v>
      </c>
      <c r="H11944" s="37" t="str">
        <f t="shared" si="932"/>
        <v>Medium</v>
      </c>
      <c r="I11944">
        <v>9</v>
      </c>
      <c r="J11944" t="str" cm="1">
        <f t="array" ref="J11944">_xlfn.IFS(I11944&lt;=3,"small",I11944&lt;=6,"Medium",I11944&lt;=9,"Large")</f>
        <v>Large</v>
      </c>
      <c r="K11944" s="36">
        <v>45422</v>
      </c>
      <c r="L11944" s="36">
        <v>45424</v>
      </c>
      <c r="M11944" t="s">
        <v>598</v>
      </c>
      <c r="N11944" t="s">
        <v>604</v>
      </c>
      <c r="O11944" s="37" t="str">
        <f t="shared" si="933"/>
        <v>Digital Payment</v>
      </c>
      <c r="P11944">
        <v>12.14</v>
      </c>
      <c r="Q11944" s="37" t="str">
        <f>IF(P11944&gt;500,"High","low")</f>
        <v>low</v>
      </c>
      <c r="R11944" s="37" t="str">
        <f t="shared" si="934"/>
        <v>AVERAGE</v>
      </c>
      <c r="S11944" t="s">
        <v>605</v>
      </c>
    </row>
    <row r="11945" spans="1:19" x14ac:dyDescent="0.2">
      <c r="A11945" t="s">
        <v>12556</v>
      </c>
      <c r="B11945" t="s">
        <v>83</v>
      </c>
      <c r="C11945" t="s">
        <v>597</v>
      </c>
      <c r="D11945">
        <v>4121.91</v>
      </c>
      <c r="E11945" s="37" t="str">
        <f t="shared" si="930"/>
        <v>Excellent Order</v>
      </c>
      <c r="F11945">
        <v>0.49</v>
      </c>
      <c r="G11945" s="37" t="str">
        <f t="shared" si="931"/>
        <v>Heavy Discount</v>
      </c>
      <c r="H11945" s="37" t="str">
        <f t="shared" si="932"/>
        <v>High</v>
      </c>
      <c r="I11945">
        <v>9</v>
      </c>
      <c r="J11945" t="str" cm="1">
        <f t="array" ref="J11945">_xlfn.IFS(I11945&lt;=3,"small",I11945&lt;=6,"Medium",I11945&lt;=9,"Large")</f>
        <v>Large</v>
      </c>
      <c r="K11945" s="36">
        <v>45518</v>
      </c>
      <c r="L11945" s="36">
        <v>45522</v>
      </c>
      <c r="M11945" t="s">
        <v>603</v>
      </c>
      <c r="N11945" t="s">
        <v>608</v>
      </c>
      <c r="O11945" s="37" t="str">
        <f t="shared" si="933"/>
        <v>Cash Payment</v>
      </c>
      <c r="P11945">
        <v>1015.82</v>
      </c>
      <c r="Q11945" s="37" t="str">
        <f>IF(P11945&gt;500,"High","low")</f>
        <v>High</v>
      </c>
      <c r="R11945" s="37" t="str">
        <f t="shared" si="934"/>
        <v>Excellent</v>
      </c>
      <c r="S11945" t="s">
        <v>609</v>
      </c>
    </row>
    <row r="11946" spans="1:19" x14ac:dyDescent="0.2">
      <c r="A11946" t="s">
        <v>12557</v>
      </c>
      <c r="B11946" t="s">
        <v>83</v>
      </c>
      <c r="C11946" t="s">
        <v>597</v>
      </c>
      <c r="D11946">
        <v>4423.13</v>
      </c>
      <c r="E11946" s="37" t="str">
        <f t="shared" si="930"/>
        <v>Excellent Order</v>
      </c>
      <c r="F11946">
        <v>7.0000000000000007E-2</v>
      </c>
      <c r="G11946" s="37" t="str">
        <f t="shared" si="931"/>
        <v>Normal Discount</v>
      </c>
      <c r="H11946" s="37" t="str">
        <f t="shared" si="932"/>
        <v>Low</v>
      </c>
      <c r="I11946">
        <v>8</v>
      </c>
      <c r="J11946" t="str" cm="1">
        <f t="array" ref="J11946">_xlfn.IFS(I11946&lt;=3,"small",I11946&lt;=6,"Medium",I11946&lt;=9,"Large")</f>
        <v>Large</v>
      </c>
      <c r="K11946" s="36">
        <v>45343</v>
      </c>
      <c r="L11946" s="36">
        <v>45344</v>
      </c>
      <c r="M11946" t="s">
        <v>612</v>
      </c>
      <c r="N11946" t="s">
        <v>608</v>
      </c>
      <c r="O11946" s="37" t="str">
        <f t="shared" si="933"/>
        <v>Cash Payment</v>
      </c>
      <c r="P11946">
        <v>953.35</v>
      </c>
      <c r="Q11946" s="37" t="str">
        <f>IF(P11946&gt;500,"High","low")</f>
        <v>High</v>
      </c>
      <c r="R11946" s="37" t="str">
        <f t="shared" si="934"/>
        <v>Good</v>
      </c>
      <c r="S11946" t="s">
        <v>609</v>
      </c>
    </row>
    <row r="11947" spans="1:19" x14ac:dyDescent="0.2">
      <c r="A11947" t="s">
        <v>12558</v>
      </c>
      <c r="B11947" t="s">
        <v>90</v>
      </c>
      <c r="C11947" t="s">
        <v>617</v>
      </c>
      <c r="D11947">
        <v>4906.58</v>
      </c>
      <c r="E11947" s="37" t="str">
        <f t="shared" si="930"/>
        <v xml:space="preserve"> </v>
      </c>
      <c r="F11947">
        <v>0.42</v>
      </c>
      <c r="G11947" s="37" t="str">
        <f t="shared" si="931"/>
        <v>Heavy Discount</v>
      </c>
      <c r="H11947" s="37" t="str">
        <f t="shared" si="932"/>
        <v>High</v>
      </c>
      <c r="I11947">
        <v>6</v>
      </c>
      <c r="J11947" t="str" cm="1">
        <f t="array" ref="J11947">_xlfn.IFS(I11947&lt;=3,"small",I11947&lt;=6,"Medium",I11947&lt;=9,"Large")</f>
        <v>Medium</v>
      </c>
      <c r="K11947" s="36">
        <v>45504</v>
      </c>
      <c r="L11947" s="36">
        <v>45508</v>
      </c>
      <c r="M11947" t="s">
        <v>598</v>
      </c>
      <c r="N11947" t="s">
        <v>608</v>
      </c>
      <c r="O11947" s="37" t="str">
        <f t="shared" si="933"/>
        <v>Cash Payment</v>
      </c>
      <c r="P11947">
        <v>274.12</v>
      </c>
      <c r="Q11947" s="37" t="str">
        <f>IF(P11947&gt;500,"High","low")</f>
        <v>low</v>
      </c>
      <c r="R11947" s="37" t="str">
        <f t="shared" si="934"/>
        <v>AVERAGE</v>
      </c>
      <c r="S11947" t="s">
        <v>605</v>
      </c>
    </row>
    <row r="11948" spans="1:19" x14ac:dyDescent="0.2">
      <c r="A11948" t="s">
        <v>12559</v>
      </c>
      <c r="B11948" t="s">
        <v>83</v>
      </c>
      <c r="C11948" t="s">
        <v>602</v>
      </c>
      <c r="D11948">
        <v>4212.6499999999996</v>
      </c>
      <c r="E11948" s="37" t="str">
        <f t="shared" si="930"/>
        <v>Excellent Order</v>
      </c>
      <c r="F11948">
        <v>0.18</v>
      </c>
      <c r="G11948" s="37" t="str">
        <f t="shared" si="931"/>
        <v>Normal Discount</v>
      </c>
      <c r="H11948" s="37" t="str">
        <f t="shared" si="932"/>
        <v>Low</v>
      </c>
      <c r="I11948">
        <v>4</v>
      </c>
      <c r="J11948" t="str" cm="1">
        <f t="array" ref="J11948">_xlfn.IFS(I11948&lt;=3,"small",I11948&lt;=6,"Medium",I11948&lt;=9,"Large")</f>
        <v>Medium</v>
      </c>
      <c r="K11948" s="36">
        <v>45308</v>
      </c>
      <c r="L11948" s="36">
        <v>45311</v>
      </c>
      <c r="M11948" t="s">
        <v>598</v>
      </c>
      <c r="N11948" t="s">
        <v>604</v>
      </c>
      <c r="O11948" s="37" t="str">
        <f t="shared" si="933"/>
        <v>Digital Payment</v>
      </c>
      <c r="P11948">
        <v>1163.5</v>
      </c>
      <c r="Q11948" s="37" t="str">
        <f>IF(P11948&gt;500,"High","low")</f>
        <v>High</v>
      </c>
      <c r="R11948" s="37" t="str">
        <f t="shared" si="934"/>
        <v>Excellent</v>
      </c>
      <c r="S11948" t="s">
        <v>605</v>
      </c>
    </row>
    <row r="11949" spans="1:19" x14ac:dyDescent="0.2">
      <c r="A11949" t="s">
        <v>12560</v>
      </c>
      <c r="B11949" t="s">
        <v>75</v>
      </c>
      <c r="C11949" t="s">
        <v>614</v>
      </c>
      <c r="D11949">
        <v>2283.38</v>
      </c>
      <c r="E11949" s="37" t="str">
        <f t="shared" si="930"/>
        <v xml:space="preserve"> </v>
      </c>
      <c r="F11949">
        <v>0.18</v>
      </c>
      <c r="G11949" s="37" t="str">
        <f t="shared" si="931"/>
        <v>Normal Discount</v>
      </c>
      <c r="H11949" s="37" t="str">
        <f t="shared" si="932"/>
        <v>Low</v>
      </c>
      <c r="I11949">
        <v>2</v>
      </c>
      <c r="J11949" t="str" cm="1">
        <f t="array" ref="J11949">_xlfn.IFS(I11949&lt;=3,"small",I11949&lt;=6,"Medium",I11949&lt;=9,"Large")</f>
        <v>small</v>
      </c>
      <c r="K11949" s="36">
        <v>45336</v>
      </c>
      <c r="L11949" s="36">
        <v>45341</v>
      </c>
      <c r="M11949" t="s">
        <v>612</v>
      </c>
      <c r="N11949" t="s">
        <v>604</v>
      </c>
      <c r="O11949" s="37" t="str">
        <f t="shared" si="933"/>
        <v>Digital Payment</v>
      </c>
      <c r="P11949">
        <v>396.83</v>
      </c>
      <c r="Q11949" s="37" t="str">
        <f>IF(P11949&gt;500,"High","low")</f>
        <v>low</v>
      </c>
      <c r="R11949" s="37" t="str">
        <f t="shared" si="934"/>
        <v>AVERAGE</v>
      </c>
      <c r="S11949" t="s">
        <v>620</v>
      </c>
    </row>
    <row r="11950" spans="1:19" x14ac:dyDescent="0.2">
      <c r="A11950" t="s">
        <v>12561</v>
      </c>
      <c r="B11950" t="s">
        <v>75</v>
      </c>
      <c r="C11950" t="s">
        <v>614</v>
      </c>
      <c r="D11950">
        <v>3474.38</v>
      </c>
      <c r="E11950" s="37" t="str">
        <f t="shared" si="930"/>
        <v xml:space="preserve"> </v>
      </c>
      <c r="F11950">
        <v>0.13</v>
      </c>
      <c r="G11950" s="37" t="str">
        <f t="shared" si="931"/>
        <v>Normal Discount</v>
      </c>
      <c r="H11950" s="37" t="str">
        <f t="shared" si="932"/>
        <v>Low</v>
      </c>
      <c r="I11950">
        <v>3</v>
      </c>
      <c r="J11950" t="str" cm="1">
        <f t="array" ref="J11950">_xlfn.IFS(I11950&lt;=3,"small",I11950&lt;=6,"Medium",I11950&lt;=9,"Large")</f>
        <v>small</v>
      </c>
      <c r="K11950" s="36">
        <v>45537</v>
      </c>
      <c r="L11950" s="36">
        <v>45538</v>
      </c>
      <c r="M11950" t="s">
        <v>598</v>
      </c>
      <c r="N11950" t="s">
        <v>604</v>
      </c>
      <c r="O11950" s="37" t="str">
        <f t="shared" si="933"/>
        <v>Digital Payment</v>
      </c>
      <c r="P11950">
        <v>844.65</v>
      </c>
      <c r="Q11950" s="37" t="str">
        <f>IF(P11950&gt;500,"High","low")</f>
        <v>High</v>
      </c>
      <c r="R11950" s="37" t="str">
        <f t="shared" si="934"/>
        <v>Good</v>
      </c>
      <c r="S11950" t="s">
        <v>600</v>
      </c>
    </row>
    <row r="11951" spans="1:19" x14ac:dyDescent="0.2">
      <c r="A11951" t="s">
        <v>12562</v>
      </c>
      <c r="B11951" t="s">
        <v>75</v>
      </c>
      <c r="C11951" t="s">
        <v>597</v>
      </c>
      <c r="D11951">
        <v>2477.13</v>
      </c>
      <c r="E11951" s="37" t="str">
        <f t="shared" si="930"/>
        <v xml:space="preserve"> </v>
      </c>
      <c r="F11951">
        <v>0.09</v>
      </c>
      <c r="G11951" s="37" t="str">
        <f t="shared" si="931"/>
        <v>Normal Discount</v>
      </c>
      <c r="H11951" s="37" t="str">
        <f t="shared" si="932"/>
        <v>Low</v>
      </c>
      <c r="I11951">
        <v>9</v>
      </c>
      <c r="J11951" t="str" cm="1">
        <f t="array" ref="J11951">_xlfn.IFS(I11951&lt;=3,"small",I11951&lt;=6,"Medium",I11951&lt;=9,"Large")</f>
        <v>Large</v>
      </c>
      <c r="K11951" s="36">
        <v>45210</v>
      </c>
      <c r="L11951" s="36">
        <v>45214</v>
      </c>
      <c r="M11951" t="s">
        <v>598</v>
      </c>
      <c r="N11951" t="s">
        <v>608</v>
      </c>
      <c r="O11951" s="37" t="str">
        <f t="shared" si="933"/>
        <v>Cash Payment</v>
      </c>
      <c r="P11951">
        <v>465.18</v>
      </c>
      <c r="Q11951" s="37" t="str">
        <f>IF(P11951&gt;500,"High","low")</f>
        <v>low</v>
      </c>
      <c r="R11951" s="37" t="str">
        <f t="shared" si="934"/>
        <v>AVERAGE</v>
      </c>
      <c r="S11951" t="s">
        <v>628</v>
      </c>
    </row>
    <row r="11952" spans="1:19" x14ac:dyDescent="0.2">
      <c r="A11952" t="s">
        <v>12563</v>
      </c>
      <c r="B11952" t="s">
        <v>90</v>
      </c>
      <c r="C11952" t="s">
        <v>602</v>
      </c>
      <c r="D11952">
        <v>1829.79</v>
      </c>
      <c r="E11952" s="37" t="str">
        <f t="shared" si="930"/>
        <v xml:space="preserve"> </v>
      </c>
      <c r="F11952">
        <v>0.22</v>
      </c>
      <c r="G11952" s="37" t="str">
        <f t="shared" si="931"/>
        <v>Normal Discount</v>
      </c>
      <c r="H11952" s="37" t="str">
        <f t="shared" si="932"/>
        <v>Medium</v>
      </c>
      <c r="I11952">
        <v>1</v>
      </c>
      <c r="J11952" t="str" cm="1">
        <f t="array" ref="J11952">_xlfn.IFS(I11952&lt;=3,"small",I11952&lt;=6,"Medium",I11952&lt;=9,"Large")</f>
        <v>small</v>
      </c>
      <c r="K11952" s="36">
        <v>45097</v>
      </c>
      <c r="L11952" s="36">
        <v>45104</v>
      </c>
      <c r="M11952" t="s">
        <v>603</v>
      </c>
      <c r="N11952" t="s">
        <v>599</v>
      </c>
      <c r="O11952" s="37" t="str">
        <f t="shared" si="933"/>
        <v>Digital Payment</v>
      </c>
      <c r="P11952">
        <v>241.59</v>
      </c>
      <c r="Q11952" s="37" t="str">
        <f>IF(P11952&gt;500,"High","low")</f>
        <v>low</v>
      </c>
      <c r="R11952" s="37" t="str">
        <f t="shared" si="934"/>
        <v>AVERAGE</v>
      </c>
      <c r="S11952" t="s">
        <v>615</v>
      </c>
    </row>
    <row r="11953" spans="1:19" x14ac:dyDescent="0.2">
      <c r="A11953" t="s">
        <v>12564</v>
      </c>
      <c r="B11953" t="s">
        <v>75</v>
      </c>
      <c r="C11953" t="s">
        <v>602</v>
      </c>
      <c r="D11953">
        <v>3169.49</v>
      </c>
      <c r="E11953" s="37" t="str">
        <f t="shared" si="930"/>
        <v xml:space="preserve"> </v>
      </c>
      <c r="F11953">
        <v>0.49</v>
      </c>
      <c r="G11953" s="37" t="str">
        <f t="shared" si="931"/>
        <v>Heavy Discount</v>
      </c>
      <c r="H11953" s="37" t="str">
        <f t="shared" si="932"/>
        <v>High</v>
      </c>
      <c r="I11953">
        <v>7</v>
      </c>
      <c r="J11953" t="str" cm="1">
        <f t="array" ref="J11953">_xlfn.IFS(I11953&lt;=3,"small",I11953&lt;=6,"Medium",I11953&lt;=9,"Large")</f>
        <v>Large</v>
      </c>
      <c r="K11953" s="36">
        <v>45513</v>
      </c>
      <c r="L11953" s="36">
        <v>45518</v>
      </c>
      <c r="M11953" t="s">
        <v>612</v>
      </c>
      <c r="N11953" t="s">
        <v>599</v>
      </c>
      <c r="O11953" s="37" t="str">
        <f t="shared" si="933"/>
        <v>Digital Payment</v>
      </c>
      <c r="P11953">
        <v>544.99</v>
      </c>
      <c r="Q11953" s="37" t="str">
        <f>IF(P11953&gt;500,"High","low")</f>
        <v>High</v>
      </c>
      <c r="R11953" s="37" t="str">
        <f t="shared" si="934"/>
        <v>Good</v>
      </c>
      <c r="S11953" t="s">
        <v>605</v>
      </c>
    </row>
    <row r="11954" spans="1:19" x14ac:dyDescent="0.2">
      <c r="A11954" t="s">
        <v>12565</v>
      </c>
      <c r="B11954" t="s">
        <v>90</v>
      </c>
      <c r="C11954" t="s">
        <v>607</v>
      </c>
      <c r="D11954">
        <v>3872.18</v>
      </c>
      <c r="E11954" s="37" t="str">
        <f t="shared" si="930"/>
        <v xml:space="preserve"> </v>
      </c>
      <c r="F11954">
        <v>0.16</v>
      </c>
      <c r="G11954" s="37" t="str">
        <f t="shared" si="931"/>
        <v>Normal Discount</v>
      </c>
      <c r="H11954" s="37" t="str">
        <f t="shared" si="932"/>
        <v>Low</v>
      </c>
      <c r="I11954">
        <v>6</v>
      </c>
      <c r="J11954" t="str" cm="1">
        <f t="array" ref="J11954">_xlfn.IFS(I11954&lt;=3,"small",I11954&lt;=6,"Medium",I11954&lt;=9,"Large")</f>
        <v>Medium</v>
      </c>
      <c r="K11954" s="36">
        <v>45548</v>
      </c>
      <c r="L11954" s="36">
        <v>45554</v>
      </c>
      <c r="M11954" t="s">
        <v>612</v>
      </c>
      <c r="N11954" t="s">
        <v>604</v>
      </c>
      <c r="O11954" s="37" t="str">
        <f t="shared" si="933"/>
        <v>Digital Payment</v>
      </c>
      <c r="P11954">
        <v>997.89</v>
      </c>
      <c r="Q11954" s="37" t="str">
        <f>IF(P11954&gt;500,"High","low")</f>
        <v>High</v>
      </c>
      <c r="R11954" s="37" t="str">
        <f t="shared" si="934"/>
        <v>Good</v>
      </c>
      <c r="S11954" t="s">
        <v>620</v>
      </c>
    </row>
    <row r="11955" spans="1:19" x14ac:dyDescent="0.2">
      <c r="A11955" t="s">
        <v>12566</v>
      </c>
      <c r="B11955" t="s">
        <v>90</v>
      </c>
      <c r="C11955" t="s">
        <v>607</v>
      </c>
      <c r="D11955">
        <v>3215.91</v>
      </c>
      <c r="E11955" s="37" t="str">
        <f t="shared" si="930"/>
        <v xml:space="preserve"> </v>
      </c>
      <c r="F11955">
        <v>0.23</v>
      </c>
      <c r="G11955" s="37" t="str">
        <f t="shared" si="931"/>
        <v>Normal Discount</v>
      </c>
      <c r="H11955" s="37" t="str">
        <f t="shared" si="932"/>
        <v>Medium</v>
      </c>
      <c r="I11955">
        <v>2</v>
      </c>
      <c r="J11955" t="str" cm="1">
        <f t="array" ref="J11955">_xlfn.IFS(I11955&lt;=3,"small",I11955&lt;=6,"Medium",I11955&lt;=9,"Large")</f>
        <v>small</v>
      </c>
      <c r="K11955" s="36">
        <v>45654</v>
      </c>
      <c r="L11955" s="36">
        <v>45661</v>
      </c>
      <c r="M11955" t="s">
        <v>603</v>
      </c>
      <c r="N11955" t="s">
        <v>599</v>
      </c>
      <c r="O11955" s="37" t="str">
        <f t="shared" si="933"/>
        <v>Digital Payment</v>
      </c>
      <c r="P11955">
        <v>328.33</v>
      </c>
      <c r="Q11955" s="37" t="str">
        <f>IF(P11955&gt;500,"High","low")</f>
        <v>low</v>
      </c>
      <c r="R11955" s="37" t="str">
        <f t="shared" si="934"/>
        <v>AVERAGE</v>
      </c>
      <c r="S11955" t="s">
        <v>600</v>
      </c>
    </row>
    <row r="11956" spans="1:19" x14ac:dyDescent="0.2">
      <c r="A11956" t="s">
        <v>12567</v>
      </c>
      <c r="B11956" t="s">
        <v>75</v>
      </c>
      <c r="C11956" t="s">
        <v>617</v>
      </c>
      <c r="D11956">
        <v>4150.2299999999996</v>
      </c>
      <c r="E11956" s="37" t="str">
        <f t="shared" si="930"/>
        <v xml:space="preserve"> </v>
      </c>
      <c r="F11956">
        <v>0.11</v>
      </c>
      <c r="G11956" s="37" t="str">
        <f t="shared" si="931"/>
        <v>Normal Discount</v>
      </c>
      <c r="H11956" s="37" t="str">
        <f t="shared" si="932"/>
        <v>Low</v>
      </c>
      <c r="I11956">
        <v>5</v>
      </c>
      <c r="J11956" t="str" cm="1">
        <f t="array" ref="J11956">_xlfn.IFS(I11956&lt;=3,"small",I11956&lt;=6,"Medium",I11956&lt;=9,"Large")</f>
        <v>Medium</v>
      </c>
      <c r="K11956" s="36">
        <v>45454</v>
      </c>
      <c r="L11956" s="36">
        <v>45457</v>
      </c>
      <c r="M11956" t="s">
        <v>598</v>
      </c>
      <c r="N11956" t="s">
        <v>599</v>
      </c>
      <c r="O11956" s="37" t="str">
        <f t="shared" si="933"/>
        <v>Digital Payment</v>
      </c>
      <c r="P11956">
        <v>780.06</v>
      </c>
      <c r="Q11956" s="37" t="str">
        <f>IF(P11956&gt;500,"High","low")</f>
        <v>High</v>
      </c>
      <c r="R11956" s="37" t="str">
        <f t="shared" si="934"/>
        <v>Good</v>
      </c>
      <c r="S11956" t="s">
        <v>615</v>
      </c>
    </row>
    <row r="11957" spans="1:19" x14ac:dyDescent="0.2">
      <c r="A11957" t="s">
        <v>12568</v>
      </c>
      <c r="B11957" t="s">
        <v>83</v>
      </c>
      <c r="C11957" t="s">
        <v>607</v>
      </c>
      <c r="D11957">
        <v>964.24</v>
      </c>
      <c r="E11957" s="37" t="str">
        <f t="shared" si="930"/>
        <v xml:space="preserve"> </v>
      </c>
      <c r="F11957">
        <v>0.17</v>
      </c>
      <c r="G11957" s="37" t="str">
        <f t="shared" si="931"/>
        <v>Normal Discount</v>
      </c>
      <c r="H11957" s="37" t="str">
        <f t="shared" si="932"/>
        <v>Low</v>
      </c>
      <c r="I11957">
        <v>2</v>
      </c>
      <c r="J11957" t="str" cm="1">
        <f t="array" ref="J11957">_xlfn.IFS(I11957&lt;=3,"small",I11957&lt;=6,"Medium",I11957&lt;=9,"Large")</f>
        <v>small</v>
      </c>
      <c r="K11957" s="36">
        <v>45015</v>
      </c>
      <c r="L11957" s="36">
        <v>45018</v>
      </c>
      <c r="M11957" t="s">
        <v>612</v>
      </c>
      <c r="N11957" t="s">
        <v>604</v>
      </c>
      <c r="O11957" s="37" t="str">
        <f t="shared" si="933"/>
        <v>Digital Payment</v>
      </c>
      <c r="P11957">
        <v>199.07</v>
      </c>
      <c r="Q11957" s="37" t="str">
        <f>IF(P11957&gt;500,"High","low")</f>
        <v>low</v>
      </c>
      <c r="R11957" s="37" t="str">
        <f t="shared" si="934"/>
        <v>AVERAGE</v>
      </c>
      <c r="S11957" t="s">
        <v>609</v>
      </c>
    </row>
    <row r="11958" spans="1:19" x14ac:dyDescent="0.2">
      <c r="A11958" t="s">
        <v>12569</v>
      </c>
      <c r="B11958" t="s">
        <v>67</v>
      </c>
      <c r="C11958" t="s">
        <v>617</v>
      </c>
      <c r="D11958">
        <v>1931.1</v>
      </c>
      <c r="E11958" s="37" t="str">
        <f t="shared" si="930"/>
        <v xml:space="preserve"> </v>
      </c>
      <c r="F11958">
        <v>0.03</v>
      </c>
      <c r="G11958" s="37" t="str">
        <f t="shared" si="931"/>
        <v>Normal Discount</v>
      </c>
      <c r="H11958" s="37" t="str">
        <f t="shared" si="932"/>
        <v>Low</v>
      </c>
      <c r="I11958">
        <v>9</v>
      </c>
      <c r="J11958" t="str" cm="1">
        <f t="array" ref="J11958">_xlfn.IFS(I11958&lt;=3,"small",I11958&lt;=6,"Medium",I11958&lt;=9,"Large")</f>
        <v>Large</v>
      </c>
      <c r="K11958" s="36">
        <v>45113</v>
      </c>
      <c r="L11958" s="36">
        <v>45119</v>
      </c>
      <c r="M11958" t="s">
        <v>612</v>
      </c>
      <c r="N11958" t="s">
        <v>604</v>
      </c>
      <c r="O11958" s="37" t="str">
        <f t="shared" si="933"/>
        <v>Digital Payment</v>
      </c>
      <c r="P11958">
        <v>379.43</v>
      </c>
      <c r="Q11958" s="37" t="str">
        <f>IF(P11958&gt;500,"High","low")</f>
        <v>low</v>
      </c>
      <c r="R11958" s="37" t="str">
        <f t="shared" si="934"/>
        <v>AVERAGE</v>
      </c>
      <c r="S11958" t="s">
        <v>620</v>
      </c>
    </row>
    <row r="11959" spans="1:19" x14ac:dyDescent="0.2">
      <c r="A11959" t="s">
        <v>12570</v>
      </c>
      <c r="B11959" t="s">
        <v>90</v>
      </c>
      <c r="C11959" t="s">
        <v>614</v>
      </c>
      <c r="D11959">
        <v>1631.67</v>
      </c>
      <c r="E11959" s="37" t="str">
        <f t="shared" si="930"/>
        <v xml:space="preserve"> </v>
      </c>
      <c r="F11959">
        <v>0.48</v>
      </c>
      <c r="G11959" s="37" t="str">
        <f t="shared" si="931"/>
        <v>Heavy Discount</v>
      </c>
      <c r="H11959" s="37" t="str">
        <f t="shared" si="932"/>
        <v>High</v>
      </c>
      <c r="I11959">
        <v>5</v>
      </c>
      <c r="J11959" t="str" cm="1">
        <f t="array" ref="J11959">_xlfn.IFS(I11959&lt;=3,"small",I11959&lt;=6,"Medium",I11959&lt;=9,"Large")</f>
        <v>Medium</v>
      </c>
      <c r="K11959" s="36">
        <v>45285</v>
      </c>
      <c r="L11959" s="36">
        <v>45286</v>
      </c>
      <c r="M11959" t="s">
        <v>612</v>
      </c>
      <c r="N11959" t="s">
        <v>608</v>
      </c>
      <c r="O11959" s="37" t="str">
        <f t="shared" si="933"/>
        <v>Cash Payment</v>
      </c>
      <c r="P11959">
        <v>242.54</v>
      </c>
      <c r="Q11959" s="37" t="str">
        <f>IF(P11959&gt;500,"High","low")</f>
        <v>low</v>
      </c>
      <c r="R11959" s="37" t="str">
        <f t="shared" si="934"/>
        <v>AVERAGE</v>
      </c>
      <c r="S11959" t="s">
        <v>605</v>
      </c>
    </row>
    <row r="11960" spans="1:19" x14ac:dyDescent="0.2">
      <c r="A11960" t="s">
        <v>12571</v>
      </c>
      <c r="B11960" t="s">
        <v>75</v>
      </c>
      <c r="C11960" t="s">
        <v>597</v>
      </c>
      <c r="D11960">
        <v>1051.22</v>
      </c>
      <c r="E11960" s="37" t="str">
        <f t="shared" si="930"/>
        <v xml:space="preserve"> </v>
      </c>
      <c r="F11960">
        <v>0.25</v>
      </c>
      <c r="G11960" s="37" t="str">
        <f t="shared" si="931"/>
        <v>Normal Discount</v>
      </c>
      <c r="H11960" s="37" t="str">
        <f t="shared" si="932"/>
        <v>Medium</v>
      </c>
      <c r="I11960">
        <v>6</v>
      </c>
      <c r="J11960" t="str" cm="1">
        <f t="array" ref="J11960">_xlfn.IFS(I11960&lt;=3,"small",I11960&lt;=6,"Medium",I11960&lt;=9,"Large")</f>
        <v>Medium</v>
      </c>
      <c r="K11960" s="36">
        <v>45217</v>
      </c>
      <c r="L11960" s="36">
        <v>45223</v>
      </c>
      <c r="M11960" t="s">
        <v>612</v>
      </c>
      <c r="N11960" t="s">
        <v>608</v>
      </c>
      <c r="O11960" s="37" t="str">
        <f t="shared" si="933"/>
        <v>Cash Payment</v>
      </c>
      <c r="P11960">
        <v>95.86</v>
      </c>
      <c r="Q11960" s="37" t="str">
        <f>IF(P11960&gt;500,"High","low")</f>
        <v>low</v>
      </c>
      <c r="R11960" s="37" t="str">
        <f t="shared" si="934"/>
        <v>AVERAGE</v>
      </c>
      <c r="S11960" t="s">
        <v>600</v>
      </c>
    </row>
    <row r="11961" spans="1:19" x14ac:dyDescent="0.2">
      <c r="A11961" t="s">
        <v>12572</v>
      </c>
      <c r="B11961" t="s">
        <v>90</v>
      </c>
      <c r="C11961" t="s">
        <v>602</v>
      </c>
      <c r="D11961">
        <v>2271.5500000000002</v>
      </c>
      <c r="E11961" s="37" t="str">
        <f t="shared" si="930"/>
        <v xml:space="preserve"> </v>
      </c>
      <c r="F11961">
        <v>0.37</v>
      </c>
      <c r="G11961" s="37" t="str">
        <f t="shared" si="931"/>
        <v>Heavy Discount</v>
      </c>
      <c r="H11961" s="37" t="str">
        <f t="shared" si="932"/>
        <v>Medium</v>
      </c>
      <c r="I11961">
        <v>4</v>
      </c>
      <c r="J11961" t="str" cm="1">
        <f t="array" ref="J11961">_xlfn.IFS(I11961&lt;=3,"small",I11961&lt;=6,"Medium",I11961&lt;=9,"Large")</f>
        <v>Medium</v>
      </c>
      <c r="K11961" s="36">
        <v>45143</v>
      </c>
      <c r="L11961" s="36">
        <v>45144</v>
      </c>
      <c r="M11961" t="s">
        <v>598</v>
      </c>
      <c r="N11961" t="s">
        <v>604</v>
      </c>
      <c r="O11961" s="37" t="str">
        <f t="shared" si="933"/>
        <v>Digital Payment</v>
      </c>
      <c r="P11961">
        <v>262.08999999999997</v>
      </c>
      <c r="Q11961" s="37" t="str">
        <f>IF(P11961&gt;500,"High","low")</f>
        <v>low</v>
      </c>
      <c r="R11961" s="37" t="str">
        <f t="shared" si="934"/>
        <v>AVERAGE</v>
      </c>
      <c r="S11961" t="s">
        <v>609</v>
      </c>
    </row>
    <row r="11962" spans="1:19" x14ac:dyDescent="0.2">
      <c r="A11962" t="s">
        <v>12573</v>
      </c>
      <c r="B11962" t="s">
        <v>83</v>
      </c>
      <c r="C11962" t="s">
        <v>614</v>
      </c>
      <c r="D11962">
        <v>4744.58</v>
      </c>
      <c r="E11962" s="37" t="str">
        <f t="shared" si="930"/>
        <v xml:space="preserve"> </v>
      </c>
      <c r="F11962">
        <v>0.26</v>
      </c>
      <c r="G11962" s="37" t="str">
        <f t="shared" si="931"/>
        <v>Normal Discount</v>
      </c>
      <c r="H11962" s="37" t="str">
        <f t="shared" si="932"/>
        <v>Medium</v>
      </c>
      <c r="I11962">
        <v>1</v>
      </c>
      <c r="J11962" t="str" cm="1">
        <f t="array" ref="J11962">_xlfn.IFS(I11962&lt;=3,"small",I11962&lt;=6,"Medium",I11962&lt;=9,"Large")</f>
        <v>small</v>
      </c>
      <c r="K11962" s="36">
        <v>45563</v>
      </c>
      <c r="L11962" s="36">
        <v>45569</v>
      </c>
      <c r="M11962" t="s">
        <v>603</v>
      </c>
      <c r="N11962" t="s">
        <v>599</v>
      </c>
      <c r="O11962" s="37" t="str">
        <f t="shared" si="933"/>
        <v>Digital Payment</v>
      </c>
      <c r="P11962">
        <v>779.58</v>
      </c>
      <c r="Q11962" s="37" t="str">
        <f>IF(P11962&gt;500,"High","low")</f>
        <v>High</v>
      </c>
      <c r="R11962" s="37" t="str">
        <f t="shared" si="934"/>
        <v>Good</v>
      </c>
      <c r="S11962" t="s">
        <v>600</v>
      </c>
    </row>
    <row r="11963" spans="1:19" x14ac:dyDescent="0.2">
      <c r="A11963" t="s">
        <v>12574</v>
      </c>
      <c r="B11963" t="s">
        <v>83</v>
      </c>
      <c r="C11963" t="s">
        <v>614</v>
      </c>
      <c r="D11963">
        <v>2736.24</v>
      </c>
      <c r="E11963" s="37" t="str">
        <f t="shared" si="930"/>
        <v xml:space="preserve"> </v>
      </c>
      <c r="F11963">
        <v>0.39</v>
      </c>
      <c r="G11963" s="37" t="str">
        <f t="shared" si="931"/>
        <v>Heavy Discount</v>
      </c>
      <c r="H11963" s="37" t="str">
        <f t="shared" si="932"/>
        <v>Medium</v>
      </c>
      <c r="I11963">
        <v>3</v>
      </c>
      <c r="J11963" t="str" cm="1">
        <f t="array" ref="J11963">_xlfn.IFS(I11963&lt;=3,"small",I11963&lt;=6,"Medium",I11963&lt;=9,"Large")</f>
        <v>small</v>
      </c>
      <c r="K11963" s="36">
        <v>45095</v>
      </c>
      <c r="L11963" s="36">
        <v>45097</v>
      </c>
      <c r="M11963" t="s">
        <v>603</v>
      </c>
      <c r="N11963" t="s">
        <v>599</v>
      </c>
      <c r="O11963" s="37" t="str">
        <f t="shared" si="933"/>
        <v>Digital Payment</v>
      </c>
      <c r="P11963">
        <v>278.10000000000002</v>
      </c>
      <c r="Q11963" s="37" t="str">
        <f>IF(P11963&gt;500,"High","low")</f>
        <v>low</v>
      </c>
      <c r="R11963" s="37" t="str">
        <f t="shared" si="934"/>
        <v>AVERAGE</v>
      </c>
      <c r="S11963" t="s">
        <v>605</v>
      </c>
    </row>
    <row r="11964" spans="1:19" x14ac:dyDescent="0.2">
      <c r="A11964" t="s">
        <v>12575</v>
      </c>
      <c r="B11964" t="s">
        <v>75</v>
      </c>
      <c r="C11964" t="s">
        <v>617</v>
      </c>
      <c r="D11964">
        <v>1503.38</v>
      </c>
      <c r="E11964" s="37" t="str">
        <f t="shared" si="930"/>
        <v xml:space="preserve"> </v>
      </c>
      <c r="F11964">
        <v>0.27</v>
      </c>
      <c r="G11964" s="37" t="str">
        <f t="shared" si="931"/>
        <v>Normal Discount</v>
      </c>
      <c r="H11964" s="37" t="str">
        <f t="shared" si="932"/>
        <v>Medium</v>
      </c>
      <c r="I11964">
        <v>5</v>
      </c>
      <c r="J11964" t="str" cm="1">
        <f t="array" ref="J11964">_xlfn.IFS(I11964&lt;=3,"small",I11964&lt;=6,"Medium",I11964&lt;=9,"Large")</f>
        <v>Medium</v>
      </c>
      <c r="K11964" s="36">
        <v>45299</v>
      </c>
      <c r="L11964" s="36">
        <v>45302</v>
      </c>
      <c r="M11964" t="s">
        <v>603</v>
      </c>
      <c r="N11964" t="s">
        <v>599</v>
      </c>
      <c r="O11964" s="37" t="str">
        <f t="shared" si="933"/>
        <v>Digital Payment</v>
      </c>
      <c r="P11964">
        <v>349.26</v>
      </c>
      <c r="Q11964" s="37" t="str">
        <f>IF(P11964&gt;500,"High","low")</f>
        <v>low</v>
      </c>
      <c r="R11964" s="37" t="str">
        <f t="shared" si="934"/>
        <v>AVERAGE</v>
      </c>
      <c r="S11964" t="s">
        <v>605</v>
      </c>
    </row>
    <row r="11965" spans="1:19" x14ac:dyDescent="0.2">
      <c r="A11965" t="s">
        <v>12576</v>
      </c>
      <c r="B11965" t="s">
        <v>90</v>
      </c>
      <c r="C11965" t="s">
        <v>597</v>
      </c>
      <c r="D11965">
        <v>1834.9</v>
      </c>
      <c r="E11965" s="37" t="str">
        <f t="shared" si="930"/>
        <v xml:space="preserve"> </v>
      </c>
      <c r="F11965">
        <v>0.35</v>
      </c>
      <c r="G11965" s="37" t="str">
        <f t="shared" si="931"/>
        <v>Heavy Discount</v>
      </c>
      <c r="H11965" s="37" t="str">
        <f t="shared" si="932"/>
        <v>Medium</v>
      </c>
      <c r="I11965">
        <v>3</v>
      </c>
      <c r="J11965" t="str" cm="1">
        <f t="array" ref="J11965">_xlfn.IFS(I11965&lt;=3,"small",I11965&lt;=6,"Medium",I11965&lt;=9,"Large")</f>
        <v>small</v>
      </c>
      <c r="K11965" s="36">
        <v>45413</v>
      </c>
      <c r="L11965" s="36">
        <v>45419</v>
      </c>
      <c r="M11965" t="s">
        <v>598</v>
      </c>
      <c r="N11965" t="s">
        <v>604</v>
      </c>
      <c r="O11965" s="37" t="str">
        <f t="shared" si="933"/>
        <v>Digital Payment</v>
      </c>
      <c r="P11965">
        <v>219.36</v>
      </c>
      <c r="Q11965" s="37" t="str">
        <f>IF(P11965&gt;500,"High","low")</f>
        <v>low</v>
      </c>
      <c r="R11965" s="37" t="str">
        <f t="shared" si="934"/>
        <v>AVERAGE</v>
      </c>
      <c r="S11965" t="s">
        <v>605</v>
      </c>
    </row>
    <row r="11966" spans="1:19" x14ac:dyDescent="0.2">
      <c r="A11966" t="s">
        <v>12577</v>
      </c>
      <c r="B11966" t="s">
        <v>67</v>
      </c>
      <c r="C11966" t="s">
        <v>617</v>
      </c>
      <c r="D11966">
        <v>3104.07</v>
      </c>
      <c r="E11966" s="37" t="str">
        <f t="shared" si="930"/>
        <v xml:space="preserve"> </v>
      </c>
      <c r="F11966">
        <v>0.34</v>
      </c>
      <c r="G11966" s="37" t="str">
        <f t="shared" si="931"/>
        <v>Heavy Discount</v>
      </c>
      <c r="H11966" s="37" t="str">
        <f t="shared" si="932"/>
        <v>Medium</v>
      </c>
      <c r="I11966">
        <v>8</v>
      </c>
      <c r="J11966" t="str" cm="1">
        <f t="array" ref="J11966">_xlfn.IFS(I11966&lt;=3,"small",I11966&lt;=6,"Medium",I11966&lt;=9,"Large")</f>
        <v>Large</v>
      </c>
      <c r="K11966" s="36">
        <v>45291</v>
      </c>
      <c r="L11966" s="36">
        <v>45293</v>
      </c>
      <c r="M11966" t="s">
        <v>598</v>
      </c>
      <c r="N11966" t="s">
        <v>608</v>
      </c>
      <c r="O11966" s="37" t="str">
        <f t="shared" si="933"/>
        <v>Cash Payment</v>
      </c>
      <c r="P11966">
        <v>308.55</v>
      </c>
      <c r="Q11966" s="37" t="str">
        <f>IF(P11966&gt;500,"High","low")</f>
        <v>low</v>
      </c>
      <c r="R11966" s="37" t="str">
        <f t="shared" si="934"/>
        <v>AVERAGE</v>
      </c>
      <c r="S11966" t="s">
        <v>615</v>
      </c>
    </row>
    <row r="11967" spans="1:19" x14ac:dyDescent="0.2">
      <c r="A11967" t="s">
        <v>12578</v>
      </c>
      <c r="B11967" t="s">
        <v>67</v>
      </c>
      <c r="C11967" t="s">
        <v>614</v>
      </c>
      <c r="D11967">
        <v>1828.46</v>
      </c>
      <c r="E11967" s="37" t="str">
        <f t="shared" si="930"/>
        <v xml:space="preserve"> </v>
      </c>
      <c r="F11967">
        <v>0.27</v>
      </c>
      <c r="G11967" s="37" t="str">
        <f t="shared" si="931"/>
        <v>Normal Discount</v>
      </c>
      <c r="H11967" s="37" t="str">
        <f t="shared" si="932"/>
        <v>Medium</v>
      </c>
      <c r="I11967">
        <v>2</v>
      </c>
      <c r="J11967" t="str" cm="1">
        <f t="array" ref="J11967">_xlfn.IFS(I11967&lt;=3,"small",I11967&lt;=6,"Medium",I11967&lt;=9,"Large")</f>
        <v>small</v>
      </c>
      <c r="K11967" s="36">
        <v>45279</v>
      </c>
      <c r="L11967" s="36">
        <v>45284</v>
      </c>
      <c r="M11967" t="s">
        <v>612</v>
      </c>
      <c r="N11967" t="s">
        <v>599</v>
      </c>
      <c r="O11967" s="37" t="str">
        <f t="shared" si="933"/>
        <v>Digital Payment</v>
      </c>
      <c r="P11967">
        <v>254.01</v>
      </c>
      <c r="Q11967" s="37" t="str">
        <f>IF(P11967&gt;500,"High","low")</f>
        <v>low</v>
      </c>
      <c r="R11967" s="37" t="str">
        <f t="shared" si="934"/>
        <v>AVERAGE</v>
      </c>
      <c r="S11967" t="s">
        <v>609</v>
      </c>
    </row>
    <row r="11968" spans="1:19" x14ac:dyDescent="0.2">
      <c r="A11968" t="s">
        <v>12579</v>
      </c>
      <c r="B11968" t="s">
        <v>90</v>
      </c>
      <c r="C11968" t="s">
        <v>602</v>
      </c>
      <c r="D11968">
        <v>2737.9</v>
      </c>
      <c r="E11968" s="37" t="str">
        <f t="shared" si="930"/>
        <v xml:space="preserve"> </v>
      </c>
      <c r="F11968">
        <v>0.12</v>
      </c>
      <c r="G11968" s="37" t="str">
        <f t="shared" si="931"/>
        <v>Normal Discount</v>
      </c>
      <c r="H11968" s="37" t="str">
        <f t="shared" si="932"/>
        <v>Low</v>
      </c>
      <c r="I11968">
        <v>2</v>
      </c>
      <c r="J11968" t="str" cm="1">
        <f t="array" ref="J11968">_xlfn.IFS(I11968&lt;=3,"small",I11968&lt;=6,"Medium",I11968&lt;=9,"Large")</f>
        <v>small</v>
      </c>
      <c r="K11968" s="36">
        <v>45332</v>
      </c>
      <c r="L11968" s="36">
        <v>45333</v>
      </c>
      <c r="M11968" t="s">
        <v>598</v>
      </c>
      <c r="N11968" t="s">
        <v>608</v>
      </c>
      <c r="O11968" s="37" t="str">
        <f t="shared" si="933"/>
        <v>Cash Payment</v>
      </c>
      <c r="P11968">
        <v>291.41000000000003</v>
      </c>
      <c r="Q11968" s="37" t="str">
        <f>IF(P11968&gt;500,"High","low")</f>
        <v>low</v>
      </c>
      <c r="R11968" s="37" t="str">
        <f t="shared" si="934"/>
        <v>AVERAGE</v>
      </c>
      <c r="S11968" t="s">
        <v>628</v>
      </c>
    </row>
    <row r="11969" spans="1:19" x14ac:dyDescent="0.2">
      <c r="A11969" t="s">
        <v>12580</v>
      </c>
      <c r="B11969" t="s">
        <v>90</v>
      </c>
      <c r="C11969" t="s">
        <v>607</v>
      </c>
      <c r="D11969">
        <v>1443.38</v>
      </c>
      <c r="E11969" s="37" t="str">
        <f t="shared" si="930"/>
        <v xml:space="preserve"> </v>
      </c>
      <c r="F11969">
        <v>0.11</v>
      </c>
      <c r="G11969" s="37" t="str">
        <f t="shared" si="931"/>
        <v>Normal Discount</v>
      </c>
      <c r="H11969" s="37" t="str">
        <f t="shared" si="932"/>
        <v>Low</v>
      </c>
      <c r="I11969">
        <v>1</v>
      </c>
      <c r="J11969" t="str" cm="1">
        <f t="array" ref="J11969">_xlfn.IFS(I11969&lt;=3,"small",I11969&lt;=6,"Medium",I11969&lt;=9,"Large")</f>
        <v>small</v>
      </c>
      <c r="K11969" s="36">
        <v>45512</v>
      </c>
      <c r="L11969" s="36">
        <v>45514</v>
      </c>
      <c r="M11969" t="s">
        <v>603</v>
      </c>
      <c r="N11969" t="s">
        <v>608</v>
      </c>
      <c r="O11969" s="37" t="str">
        <f t="shared" si="933"/>
        <v>Cash Payment</v>
      </c>
      <c r="P11969">
        <v>326.64</v>
      </c>
      <c r="Q11969" s="37" t="str">
        <f>IF(P11969&gt;500,"High","low")</f>
        <v>low</v>
      </c>
      <c r="R11969" s="37" t="str">
        <f t="shared" si="934"/>
        <v>AVERAGE</v>
      </c>
      <c r="S11969" t="s">
        <v>605</v>
      </c>
    </row>
    <row r="11970" spans="1:19" x14ac:dyDescent="0.2">
      <c r="A11970" t="s">
        <v>12581</v>
      </c>
      <c r="B11970" t="s">
        <v>90</v>
      </c>
      <c r="C11970" t="s">
        <v>617</v>
      </c>
      <c r="D11970">
        <v>1795.06</v>
      </c>
      <c r="E11970" s="37" t="str">
        <f t="shared" si="930"/>
        <v xml:space="preserve"> </v>
      </c>
      <c r="F11970">
        <v>0.44</v>
      </c>
      <c r="G11970" s="37" t="str">
        <f t="shared" si="931"/>
        <v>Heavy Discount</v>
      </c>
      <c r="H11970" s="37" t="str">
        <f t="shared" si="932"/>
        <v>High</v>
      </c>
      <c r="I11970">
        <v>1</v>
      </c>
      <c r="J11970" t="str" cm="1">
        <f t="array" ref="J11970">_xlfn.IFS(I11970&lt;=3,"small",I11970&lt;=6,"Medium",I11970&lt;=9,"Large")</f>
        <v>small</v>
      </c>
      <c r="K11970" s="36">
        <v>45311</v>
      </c>
      <c r="L11970" s="36">
        <v>45314</v>
      </c>
      <c r="M11970" t="s">
        <v>603</v>
      </c>
      <c r="N11970" t="s">
        <v>599</v>
      </c>
      <c r="O11970" s="37" t="str">
        <f t="shared" si="933"/>
        <v>Digital Payment</v>
      </c>
      <c r="P11970">
        <v>448.17</v>
      </c>
      <c r="Q11970" s="37" t="str">
        <f>IF(P11970&gt;500,"High","low")</f>
        <v>low</v>
      </c>
      <c r="R11970" s="37" t="str">
        <f t="shared" si="934"/>
        <v>AVERAGE</v>
      </c>
      <c r="S11970" t="s">
        <v>628</v>
      </c>
    </row>
    <row r="11971" spans="1:19" x14ac:dyDescent="0.2">
      <c r="A11971" t="s">
        <v>12582</v>
      </c>
      <c r="B11971" t="s">
        <v>75</v>
      </c>
      <c r="C11971" t="s">
        <v>614</v>
      </c>
      <c r="D11971">
        <v>3558.07</v>
      </c>
      <c r="E11971" s="37" t="str">
        <f t="shared" ref="E11971:E12034" si="935">IF(AND(D11971&gt;4000,P11971&gt;800),"Excellent Order"," ")</f>
        <v xml:space="preserve"> </v>
      </c>
      <c r="F11971">
        <v>0.06</v>
      </c>
      <c r="G11971" s="37" t="str">
        <f t="shared" ref="G11971:G12034" si="936">IF(F11971&gt;30%,"Heavy Discount","Normal Discount")</f>
        <v>Normal Discount</v>
      </c>
      <c r="H11971" s="37" t="str">
        <f t="shared" ref="H11971:H12034" si="937">IF(F11971&gt;0.4,"High",IF(F11971&gt;=0.2,"Medium","Low"))</f>
        <v>Low</v>
      </c>
      <c r="I11971">
        <v>4</v>
      </c>
      <c r="J11971" t="str" cm="1">
        <f t="array" ref="J11971">_xlfn.IFS(I11971&lt;=3,"small",I11971&lt;=6,"Medium",I11971&lt;=9,"Large")</f>
        <v>Medium</v>
      </c>
      <c r="K11971" s="36">
        <v>44972</v>
      </c>
      <c r="L11971" s="36">
        <v>44979</v>
      </c>
      <c r="M11971" t="s">
        <v>598</v>
      </c>
      <c r="N11971" t="s">
        <v>608</v>
      </c>
      <c r="O11971" s="37" t="str">
        <f t="shared" ref="O11971:O12034" si="938">IF(OR(N11971="Card",N11971="UPI"),"Digital Payment","Cash Payment")</f>
        <v>Cash Payment</v>
      </c>
      <c r="P11971">
        <v>551.1</v>
      </c>
      <c r="Q11971" s="37" t="str">
        <f>IF(P11971&gt;500,"High","low")</f>
        <v>High</v>
      </c>
      <c r="R11971" s="37" t="str">
        <f t="shared" ref="R11971:R12034" si="939">IF(P11971&gt;1000,"Excellent",IF(P11971&gt;=500,"Good","AVERAGE"))</f>
        <v>Good</v>
      </c>
      <c r="S11971" t="s">
        <v>628</v>
      </c>
    </row>
    <row r="11972" spans="1:19" x14ac:dyDescent="0.2">
      <c r="A11972" t="s">
        <v>12583</v>
      </c>
      <c r="B11972" t="s">
        <v>83</v>
      </c>
      <c r="C11972" t="s">
        <v>607</v>
      </c>
      <c r="D11972">
        <v>2964.63</v>
      </c>
      <c r="E11972" s="37" t="str">
        <f t="shared" si="935"/>
        <v xml:space="preserve"> </v>
      </c>
      <c r="F11972">
        <v>0.28000000000000003</v>
      </c>
      <c r="G11972" s="37" t="str">
        <f t="shared" si="936"/>
        <v>Normal Discount</v>
      </c>
      <c r="H11972" s="37" t="str">
        <f t="shared" si="937"/>
        <v>Medium</v>
      </c>
      <c r="I11972">
        <v>8</v>
      </c>
      <c r="J11972" t="str" cm="1">
        <f t="array" ref="J11972">_xlfn.IFS(I11972&lt;=3,"small",I11972&lt;=6,"Medium",I11972&lt;=9,"Large")</f>
        <v>Large</v>
      </c>
      <c r="K11972" s="36">
        <v>45204</v>
      </c>
      <c r="L11972" s="36">
        <v>45209</v>
      </c>
      <c r="M11972" t="s">
        <v>612</v>
      </c>
      <c r="N11972" t="s">
        <v>608</v>
      </c>
      <c r="O11972" s="37" t="str">
        <f t="shared" si="938"/>
        <v>Cash Payment</v>
      </c>
      <c r="P11972">
        <v>639.41999999999996</v>
      </c>
      <c r="Q11972" s="37" t="str">
        <f>IF(P11972&gt;500,"High","low")</f>
        <v>High</v>
      </c>
      <c r="R11972" s="37" t="str">
        <f t="shared" si="939"/>
        <v>Good</v>
      </c>
      <c r="S11972" t="s">
        <v>609</v>
      </c>
    </row>
    <row r="11973" spans="1:19" x14ac:dyDescent="0.2">
      <c r="A11973" t="s">
        <v>12584</v>
      </c>
      <c r="B11973" t="s">
        <v>67</v>
      </c>
      <c r="C11973" t="s">
        <v>607</v>
      </c>
      <c r="D11973">
        <v>558.09</v>
      </c>
      <c r="E11973" s="37" t="str">
        <f t="shared" si="935"/>
        <v xml:space="preserve"> </v>
      </c>
      <c r="F11973">
        <v>0.25</v>
      </c>
      <c r="G11973" s="37" t="str">
        <f t="shared" si="936"/>
        <v>Normal Discount</v>
      </c>
      <c r="H11973" s="37" t="str">
        <f t="shared" si="937"/>
        <v>Medium</v>
      </c>
      <c r="I11973">
        <v>8</v>
      </c>
      <c r="J11973" t="str" cm="1">
        <f t="array" ref="J11973">_xlfn.IFS(I11973&lt;=3,"small",I11973&lt;=6,"Medium",I11973&lt;=9,"Large")</f>
        <v>Large</v>
      </c>
      <c r="K11973" s="36">
        <v>45214</v>
      </c>
      <c r="L11973" s="36">
        <v>45215</v>
      </c>
      <c r="M11973" t="s">
        <v>603</v>
      </c>
      <c r="N11973" t="s">
        <v>608</v>
      </c>
      <c r="O11973" s="37" t="str">
        <f t="shared" si="938"/>
        <v>Cash Payment</v>
      </c>
      <c r="P11973">
        <v>55.43</v>
      </c>
      <c r="Q11973" s="37" t="str">
        <f>IF(P11973&gt;500,"High","low")</f>
        <v>low</v>
      </c>
      <c r="R11973" s="37" t="str">
        <f t="shared" si="939"/>
        <v>AVERAGE</v>
      </c>
      <c r="S11973" t="s">
        <v>605</v>
      </c>
    </row>
    <row r="11974" spans="1:19" x14ac:dyDescent="0.2">
      <c r="A11974" t="s">
        <v>12585</v>
      </c>
      <c r="B11974" t="s">
        <v>75</v>
      </c>
      <c r="C11974" t="s">
        <v>614</v>
      </c>
      <c r="D11974">
        <v>4868.59</v>
      </c>
      <c r="E11974" s="37" t="str">
        <f t="shared" si="935"/>
        <v xml:space="preserve"> </v>
      </c>
      <c r="F11974">
        <v>0.4</v>
      </c>
      <c r="G11974" s="37" t="str">
        <f t="shared" si="936"/>
        <v>Heavy Discount</v>
      </c>
      <c r="H11974" s="37" t="str">
        <f t="shared" si="937"/>
        <v>Medium</v>
      </c>
      <c r="I11974">
        <v>8</v>
      </c>
      <c r="J11974" t="str" cm="1">
        <f t="array" ref="J11974">_xlfn.IFS(I11974&lt;=3,"small",I11974&lt;=6,"Medium",I11974&lt;=9,"Large")</f>
        <v>Large</v>
      </c>
      <c r="K11974" s="36">
        <v>45653</v>
      </c>
      <c r="L11974" s="36">
        <v>45656</v>
      </c>
      <c r="M11974" t="s">
        <v>598</v>
      </c>
      <c r="N11974" t="s">
        <v>608</v>
      </c>
      <c r="O11974" s="37" t="str">
        <f t="shared" si="938"/>
        <v>Cash Payment</v>
      </c>
      <c r="P11974">
        <v>652.32000000000005</v>
      </c>
      <c r="Q11974" s="37" t="str">
        <f>IF(P11974&gt;500,"High","low")</f>
        <v>High</v>
      </c>
      <c r="R11974" s="37" t="str">
        <f t="shared" si="939"/>
        <v>Good</v>
      </c>
      <c r="S11974" t="s">
        <v>600</v>
      </c>
    </row>
    <row r="11975" spans="1:19" x14ac:dyDescent="0.2">
      <c r="A11975" t="s">
        <v>12586</v>
      </c>
      <c r="B11975" t="s">
        <v>90</v>
      </c>
      <c r="C11975" t="s">
        <v>597</v>
      </c>
      <c r="D11975">
        <v>341.75</v>
      </c>
      <c r="E11975" s="37" t="str">
        <f t="shared" si="935"/>
        <v xml:space="preserve"> </v>
      </c>
      <c r="F11975">
        <v>7.0000000000000007E-2</v>
      </c>
      <c r="G11975" s="37" t="str">
        <f t="shared" si="936"/>
        <v>Normal Discount</v>
      </c>
      <c r="H11975" s="37" t="str">
        <f t="shared" si="937"/>
        <v>Low</v>
      </c>
      <c r="I11975">
        <v>1</v>
      </c>
      <c r="J11975" t="str" cm="1">
        <f t="array" ref="J11975">_xlfn.IFS(I11975&lt;=3,"small",I11975&lt;=6,"Medium",I11975&lt;=9,"Large")</f>
        <v>small</v>
      </c>
      <c r="K11975" s="36">
        <v>45596</v>
      </c>
      <c r="L11975" s="36">
        <v>45600</v>
      </c>
      <c r="M11975" t="s">
        <v>603</v>
      </c>
      <c r="N11975" t="s">
        <v>604</v>
      </c>
      <c r="O11975" s="37" t="str">
        <f t="shared" si="938"/>
        <v>Digital Payment</v>
      </c>
      <c r="P11975">
        <v>30.2</v>
      </c>
      <c r="Q11975" s="37" t="str">
        <f>IF(P11975&gt;500,"High","low")</f>
        <v>low</v>
      </c>
      <c r="R11975" s="37" t="str">
        <f t="shared" si="939"/>
        <v>AVERAGE</v>
      </c>
      <c r="S11975" t="s">
        <v>628</v>
      </c>
    </row>
    <row r="11976" spans="1:19" x14ac:dyDescent="0.2">
      <c r="A11976" t="s">
        <v>12587</v>
      </c>
      <c r="B11976" t="s">
        <v>90</v>
      </c>
      <c r="C11976" t="s">
        <v>614</v>
      </c>
      <c r="D11976">
        <v>506.4</v>
      </c>
      <c r="E11976" s="37" t="str">
        <f t="shared" si="935"/>
        <v xml:space="preserve"> </v>
      </c>
      <c r="F11976">
        <v>0.34</v>
      </c>
      <c r="G11976" s="37" t="str">
        <f t="shared" si="936"/>
        <v>Heavy Discount</v>
      </c>
      <c r="H11976" s="37" t="str">
        <f t="shared" si="937"/>
        <v>Medium</v>
      </c>
      <c r="I11976">
        <v>1</v>
      </c>
      <c r="J11976" t="str" cm="1">
        <f t="array" ref="J11976">_xlfn.IFS(I11976&lt;=3,"small",I11976&lt;=6,"Medium",I11976&lt;=9,"Large")</f>
        <v>small</v>
      </c>
      <c r="K11976" s="36">
        <v>45013</v>
      </c>
      <c r="L11976" s="36">
        <v>45018</v>
      </c>
      <c r="M11976" t="s">
        <v>612</v>
      </c>
      <c r="N11976" t="s">
        <v>608</v>
      </c>
      <c r="O11976" s="37" t="str">
        <f t="shared" si="938"/>
        <v>Cash Payment</v>
      </c>
      <c r="P11976">
        <v>52.06</v>
      </c>
      <c r="Q11976" s="37" t="str">
        <f>IF(P11976&gt;500,"High","low")</f>
        <v>low</v>
      </c>
      <c r="R11976" s="37" t="str">
        <f t="shared" si="939"/>
        <v>AVERAGE</v>
      </c>
      <c r="S11976" t="s">
        <v>628</v>
      </c>
    </row>
    <row r="11977" spans="1:19" x14ac:dyDescent="0.2">
      <c r="A11977" t="s">
        <v>12588</v>
      </c>
      <c r="B11977" t="s">
        <v>83</v>
      </c>
      <c r="C11977" t="s">
        <v>602</v>
      </c>
      <c r="D11977">
        <v>3536.79</v>
      </c>
      <c r="E11977" s="37" t="str">
        <f t="shared" si="935"/>
        <v xml:space="preserve"> </v>
      </c>
      <c r="F11977">
        <v>0.3</v>
      </c>
      <c r="G11977" s="37" t="str">
        <f t="shared" si="936"/>
        <v>Normal Discount</v>
      </c>
      <c r="H11977" s="37" t="str">
        <f t="shared" si="937"/>
        <v>Medium</v>
      </c>
      <c r="I11977">
        <v>7</v>
      </c>
      <c r="J11977" t="str" cm="1">
        <f t="array" ref="J11977">_xlfn.IFS(I11977&lt;=3,"small",I11977&lt;=6,"Medium",I11977&lt;=9,"Large")</f>
        <v>Large</v>
      </c>
      <c r="K11977" s="36">
        <v>45549</v>
      </c>
      <c r="L11977" s="36">
        <v>45554</v>
      </c>
      <c r="M11977" t="s">
        <v>603</v>
      </c>
      <c r="N11977" t="s">
        <v>599</v>
      </c>
      <c r="O11977" s="37" t="str">
        <f t="shared" si="938"/>
        <v>Digital Payment</v>
      </c>
      <c r="P11977">
        <v>595.24</v>
      </c>
      <c r="Q11977" s="37" t="str">
        <f>IF(P11977&gt;500,"High","low")</f>
        <v>High</v>
      </c>
      <c r="R11977" s="37" t="str">
        <f t="shared" si="939"/>
        <v>Good</v>
      </c>
      <c r="S11977" t="s">
        <v>620</v>
      </c>
    </row>
    <row r="11978" spans="1:19" x14ac:dyDescent="0.2">
      <c r="A11978" t="s">
        <v>12589</v>
      </c>
      <c r="B11978" t="s">
        <v>90</v>
      </c>
      <c r="C11978" t="s">
        <v>607</v>
      </c>
      <c r="D11978">
        <v>3569.29</v>
      </c>
      <c r="E11978" s="37" t="str">
        <f t="shared" si="935"/>
        <v xml:space="preserve"> </v>
      </c>
      <c r="F11978">
        <v>0.35</v>
      </c>
      <c r="G11978" s="37" t="str">
        <f t="shared" si="936"/>
        <v>Heavy Discount</v>
      </c>
      <c r="H11978" s="37" t="str">
        <f t="shared" si="937"/>
        <v>Medium</v>
      </c>
      <c r="I11978">
        <v>7</v>
      </c>
      <c r="J11978" t="str" cm="1">
        <f t="array" ref="J11978">_xlfn.IFS(I11978&lt;=3,"small",I11978&lt;=6,"Medium",I11978&lt;=9,"Large")</f>
        <v>Large</v>
      </c>
      <c r="K11978" s="36">
        <v>44938</v>
      </c>
      <c r="L11978" s="36">
        <v>44942</v>
      </c>
      <c r="M11978" t="s">
        <v>603</v>
      </c>
      <c r="N11978" t="s">
        <v>608</v>
      </c>
      <c r="O11978" s="37" t="str">
        <f t="shared" si="938"/>
        <v>Cash Payment</v>
      </c>
      <c r="P11978">
        <v>755.93</v>
      </c>
      <c r="Q11978" s="37" t="str">
        <f>IF(P11978&gt;500,"High","low")</f>
        <v>High</v>
      </c>
      <c r="R11978" s="37" t="str">
        <f t="shared" si="939"/>
        <v>Good</v>
      </c>
      <c r="S11978" t="s">
        <v>609</v>
      </c>
    </row>
    <row r="11979" spans="1:19" x14ac:dyDescent="0.2">
      <c r="A11979" t="s">
        <v>12590</v>
      </c>
      <c r="B11979" t="s">
        <v>75</v>
      </c>
      <c r="C11979" t="s">
        <v>602</v>
      </c>
      <c r="D11979">
        <v>192.78</v>
      </c>
      <c r="E11979" s="37" t="str">
        <f t="shared" si="935"/>
        <v xml:space="preserve"> </v>
      </c>
      <c r="F11979">
        <v>0.31</v>
      </c>
      <c r="G11979" s="37" t="str">
        <f t="shared" si="936"/>
        <v>Heavy Discount</v>
      </c>
      <c r="H11979" s="37" t="str">
        <f t="shared" si="937"/>
        <v>Medium</v>
      </c>
      <c r="I11979">
        <v>5</v>
      </c>
      <c r="J11979" t="str" cm="1">
        <f t="array" ref="J11979">_xlfn.IFS(I11979&lt;=3,"small",I11979&lt;=6,"Medium",I11979&lt;=9,"Large")</f>
        <v>Medium</v>
      </c>
      <c r="K11979" s="36">
        <v>45265</v>
      </c>
      <c r="L11979" s="36">
        <v>45266</v>
      </c>
      <c r="M11979" t="s">
        <v>598</v>
      </c>
      <c r="N11979" t="s">
        <v>604</v>
      </c>
      <c r="O11979" s="37" t="str">
        <f t="shared" si="938"/>
        <v>Digital Payment</v>
      </c>
      <c r="P11979">
        <v>16.55</v>
      </c>
      <c r="Q11979" s="37" t="str">
        <f>IF(P11979&gt;500,"High","low")</f>
        <v>low</v>
      </c>
      <c r="R11979" s="37" t="str">
        <f t="shared" si="939"/>
        <v>AVERAGE</v>
      </c>
      <c r="S11979" t="s">
        <v>620</v>
      </c>
    </row>
    <row r="11980" spans="1:19" x14ac:dyDescent="0.2">
      <c r="A11980" t="s">
        <v>12591</v>
      </c>
      <c r="B11980" t="s">
        <v>75</v>
      </c>
      <c r="C11980" t="s">
        <v>617</v>
      </c>
      <c r="D11980">
        <v>3249.49</v>
      </c>
      <c r="E11980" s="37" t="str">
        <f t="shared" si="935"/>
        <v xml:space="preserve"> </v>
      </c>
      <c r="F11980">
        <v>0.28000000000000003</v>
      </c>
      <c r="G11980" s="37" t="str">
        <f t="shared" si="936"/>
        <v>Normal Discount</v>
      </c>
      <c r="H11980" s="37" t="str">
        <f t="shared" si="937"/>
        <v>Medium</v>
      </c>
      <c r="I11980">
        <v>8</v>
      </c>
      <c r="J11980" t="str" cm="1">
        <f t="array" ref="J11980">_xlfn.IFS(I11980&lt;=3,"small",I11980&lt;=6,"Medium",I11980&lt;=9,"Large")</f>
        <v>Large</v>
      </c>
      <c r="K11980" s="36">
        <v>45381</v>
      </c>
      <c r="L11980" s="36">
        <v>45388</v>
      </c>
      <c r="M11980" t="s">
        <v>603</v>
      </c>
      <c r="N11980" t="s">
        <v>599</v>
      </c>
      <c r="O11980" s="37" t="str">
        <f t="shared" si="938"/>
        <v>Digital Payment</v>
      </c>
      <c r="P11980">
        <v>592.23</v>
      </c>
      <c r="Q11980" s="37" t="str">
        <f>IF(P11980&gt;500,"High","low")</f>
        <v>High</v>
      </c>
      <c r="R11980" s="37" t="str">
        <f t="shared" si="939"/>
        <v>Good</v>
      </c>
      <c r="S11980" t="s">
        <v>615</v>
      </c>
    </row>
    <row r="11981" spans="1:19" x14ac:dyDescent="0.2">
      <c r="A11981" t="s">
        <v>12592</v>
      </c>
      <c r="B11981" t="s">
        <v>83</v>
      </c>
      <c r="C11981" t="s">
        <v>607</v>
      </c>
      <c r="D11981">
        <v>262.97000000000003</v>
      </c>
      <c r="E11981" s="37" t="str">
        <f t="shared" si="935"/>
        <v xml:space="preserve"> </v>
      </c>
      <c r="F11981">
        <v>0.46</v>
      </c>
      <c r="G11981" s="37" t="str">
        <f t="shared" si="936"/>
        <v>Heavy Discount</v>
      </c>
      <c r="H11981" s="37" t="str">
        <f t="shared" si="937"/>
        <v>High</v>
      </c>
      <c r="I11981">
        <v>6</v>
      </c>
      <c r="J11981" t="str" cm="1">
        <f t="array" ref="J11981">_xlfn.IFS(I11981&lt;=3,"small",I11981&lt;=6,"Medium",I11981&lt;=9,"Large")</f>
        <v>Medium</v>
      </c>
      <c r="K11981" s="36">
        <v>45337</v>
      </c>
      <c r="L11981" s="36">
        <v>45340</v>
      </c>
      <c r="M11981" t="s">
        <v>603</v>
      </c>
      <c r="N11981" t="s">
        <v>608</v>
      </c>
      <c r="O11981" s="37" t="str">
        <f t="shared" si="938"/>
        <v>Cash Payment</v>
      </c>
      <c r="P11981">
        <v>43.47</v>
      </c>
      <c r="Q11981" s="37" t="str">
        <f>IF(P11981&gt;500,"High","low")</f>
        <v>low</v>
      </c>
      <c r="R11981" s="37" t="str">
        <f t="shared" si="939"/>
        <v>AVERAGE</v>
      </c>
      <c r="S11981" t="s">
        <v>620</v>
      </c>
    </row>
    <row r="11982" spans="1:19" x14ac:dyDescent="0.2">
      <c r="A11982" t="s">
        <v>12593</v>
      </c>
      <c r="B11982" t="s">
        <v>75</v>
      </c>
      <c r="C11982" t="s">
        <v>597</v>
      </c>
      <c r="D11982">
        <v>4807.7700000000004</v>
      </c>
      <c r="E11982" s="37" t="str">
        <f t="shared" si="935"/>
        <v xml:space="preserve"> </v>
      </c>
      <c r="F11982">
        <v>0.17</v>
      </c>
      <c r="G11982" s="37" t="str">
        <f t="shared" si="936"/>
        <v>Normal Discount</v>
      </c>
      <c r="H11982" s="37" t="str">
        <f t="shared" si="937"/>
        <v>Low</v>
      </c>
      <c r="I11982">
        <v>1</v>
      </c>
      <c r="J11982" t="str" cm="1">
        <f t="array" ref="J11982">_xlfn.IFS(I11982&lt;=3,"small",I11982&lt;=6,"Medium",I11982&lt;=9,"Large")</f>
        <v>small</v>
      </c>
      <c r="K11982" s="36">
        <v>45072</v>
      </c>
      <c r="L11982" s="36">
        <v>45078</v>
      </c>
      <c r="M11982" t="s">
        <v>598</v>
      </c>
      <c r="N11982" t="s">
        <v>604</v>
      </c>
      <c r="O11982" s="37" t="str">
        <f t="shared" si="938"/>
        <v>Digital Payment</v>
      </c>
      <c r="P11982">
        <v>254.63</v>
      </c>
      <c r="Q11982" s="37" t="str">
        <f>IF(P11982&gt;500,"High","low")</f>
        <v>low</v>
      </c>
      <c r="R11982" s="37" t="str">
        <f t="shared" si="939"/>
        <v>AVERAGE</v>
      </c>
      <c r="S11982" t="s">
        <v>609</v>
      </c>
    </row>
    <row r="11983" spans="1:19" x14ac:dyDescent="0.2">
      <c r="A11983" t="s">
        <v>12594</v>
      </c>
      <c r="B11983" t="s">
        <v>67</v>
      </c>
      <c r="C11983" t="s">
        <v>614</v>
      </c>
      <c r="D11983">
        <v>3511.1</v>
      </c>
      <c r="E11983" s="37" t="str">
        <f t="shared" si="935"/>
        <v xml:space="preserve"> </v>
      </c>
      <c r="F11983">
        <v>0.09</v>
      </c>
      <c r="G11983" s="37" t="str">
        <f t="shared" si="936"/>
        <v>Normal Discount</v>
      </c>
      <c r="H11983" s="37" t="str">
        <f t="shared" si="937"/>
        <v>Low</v>
      </c>
      <c r="I11983">
        <v>7</v>
      </c>
      <c r="J11983" t="str" cm="1">
        <f t="array" ref="J11983">_xlfn.IFS(I11983&lt;=3,"small",I11983&lt;=6,"Medium",I11983&lt;=9,"Large")</f>
        <v>Large</v>
      </c>
      <c r="K11983" s="36">
        <v>45018</v>
      </c>
      <c r="L11983" s="36">
        <v>45023</v>
      </c>
      <c r="M11983" t="s">
        <v>603</v>
      </c>
      <c r="N11983" t="s">
        <v>604</v>
      </c>
      <c r="O11983" s="37" t="str">
        <f t="shared" si="938"/>
        <v>Digital Payment</v>
      </c>
      <c r="P11983">
        <v>943.25</v>
      </c>
      <c r="Q11983" s="37" t="str">
        <f>IF(P11983&gt;500,"High","low")</f>
        <v>High</v>
      </c>
      <c r="R11983" s="37" t="str">
        <f t="shared" si="939"/>
        <v>Good</v>
      </c>
      <c r="S11983" t="s">
        <v>605</v>
      </c>
    </row>
    <row r="11984" spans="1:19" x14ac:dyDescent="0.2">
      <c r="A11984" t="s">
        <v>12595</v>
      </c>
      <c r="B11984" t="s">
        <v>75</v>
      </c>
      <c r="C11984" t="s">
        <v>617</v>
      </c>
      <c r="D11984">
        <v>1014.23</v>
      </c>
      <c r="E11984" s="37" t="str">
        <f t="shared" si="935"/>
        <v xml:space="preserve"> </v>
      </c>
      <c r="F11984">
        <v>0.4</v>
      </c>
      <c r="G11984" s="37" t="str">
        <f t="shared" si="936"/>
        <v>Heavy Discount</v>
      </c>
      <c r="H11984" s="37" t="str">
        <f t="shared" si="937"/>
        <v>Medium</v>
      </c>
      <c r="I11984">
        <v>8</v>
      </c>
      <c r="J11984" t="str" cm="1">
        <f t="array" ref="J11984">_xlfn.IFS(I11984&lt;=3,"small",I11984&lt;=6,"Medium",I11984&lt;=9,"Large")</f>
        <v>Large</v>
      </c>
      <c r="K11984" s="36">
        <v>45519</v>
      </c>
      <c r="L11984" s="36">
        <v>45521</v>
      </c>
      <c r="M11984" t="s">
        <v>598</v>
      </c>
      <c r="N11984" t="s">
        <v>604</v>
      </c>
      <c r="O11984" s="37" t="str">
        <f t="shared" si="938"/>
        <v>Digital Payment</v>
      </c>
      <c r="P11984">
        <v>197.41</v>
      </c>
      <c r="Q11984" s="37" t="str">
        <f>IF(P11984&gt;500,"High","low")</f>
        <v>low</v>
      </c>
      <c r="R11984" s="37" t="str">
        <f t="shared" si="939"/>
        <v>AVERAGE</v>
      </c>
      <c r="S11984" t="s">
        <v>620</v>
      </c>
    </row>
    <row r="11985" spans="1:19" x14ac:dyDescent="0.2">
      <c r="A11985" t="s">
        <v>12596</v>
      </c>
      <c r="B11985" t="s">
        <v>75</v>
      </c>
      <c r="C11985" t="s">
        <v>602</v>
      </c>
      <c r="D11985">
        <v>874.71</v>
      </c>
      <c r="E11985" s="37" t="str">
        <f t="shared" si="935"/>
        <v xml:space="preserve"> </v>
      </c>
      <c r="F11985">
        <v>0.06</v>
      </c>
      <c r="G11985" s="37" t="str">
        <f t="shared" si="936"/>
        <v>Normal Discount</v>
      </c>
      <c r="H11985" s="37" t="str">
        <f t="shared" si="937"/>
        <v>Low</v>
      </c>
      <c r="I11985">
        <v>8</v>
      </c>
      <c r="J11985" t="str" cm="1">
        <f t="array" ref="J11985">_xlfn.IFS(I11985&lt;=3,"small",I11985&lt;=6,"Medium",I11985&lt;=9,"Large")</f>
        <v>Large</v>
      </c>
      <c r="K11985" s="36">
        <v>45627</v>
      </c>
      <c r="L11985" s="36">
        <v>45633</v>
      </c>
      <c r="M11985" t="s">
        <v>612</v>
      </c>
      <c r="N11985" t="s">
        <v>604</v>
      </c>
      <c r="O11985" s="37" t="str">
        <f t="shared" si="938"/>
        <v>Digital Payment</v>
      </c>
      <c r="P11985">
        <v>100.6</v>
      </c>
      <c r="Q11985" s="37" t="str">
        <f>IF(P11985&gt;500,"High","low")</f>
        <v>low</v>
      </c>
      <c r="R11985" s="37" t="str">
        <f t="shared" si="939"/>
        <v>AVERAGE</v>
      </c>
      <c r="S11985" t="s">
        <v>628</v>
      </c>
    </row>
    <row r="11986" spans="1:19" x14ac:dyDescent="0.2">
      <c r="A11986" t="s">
        <v>12597</v>
      </c>
      <c r="B11986" t="s">
        <v>75</v>
      </c>
      <c r="C11986" t="s">
        <v>617</v>
      </c>
      <c r="D11986">
        <v>2891.35</v>
      </c>
      <c r="E11986" s="37" t="str">
        <f t="shared" si="935"/>
        <v xml:space="preserve"> </v>
      </c>
      <c r="F11986">
        <v>0.34</v>
      </c>
      <c r="G11986" s="37" t="str">
        <f t="shared" si="936"/>
        <v>Heavy Discount</v>
      </c>
      <c r="H11986" s="37" t="str">
        <f t="shared" si="937"/>
        <v>Medium</v>
      </c>
      <c r="I11986">
        <v>9</v>
      </c>
      <c r="J11986" t="str" cm="1">
        <f t="array" ref="J11986">_xlfn.IFS(I11986&lt;=3,"small",I11986&lt;=6,"Medium",I11986&lt;=9,"Large")</f>
        <v>Large</v>
      </c>
      <c r="K11986" s="36">
        <v>45612</v>
      </c>
      <c r="L11986" s="36">
        <v>45618</v>
      </c>
      <c r="M11986" t="s">
        <v>612</v>
      </c>
      <c r="N11986" t="s">
        <v>599</v>
      </c>
      <c r="O11986" s="37" t="str">
        <f t="shared" si="938"/>
        <v>Digital Payment</v>
      </c>
      <c r="P11986">
        <v>576.19000000000005</v>
      </c>
      <c r="Q11986" s="37" t="str">
        <f>IF(P11986&gt;500,"High","low")</f>
        <v>High</v>
      </c>
      <c r="R11986" s="37" t="str">
        <f t="shared" si="939"/>
        <v>Good</v>
      </c>
      <c r="S11986" t="s">
        <v>605</v>
      </c>
    </row>
    <row r="11987" spans="1:19" x14ac:dyDescent="0.2">
      <c r="A11987" t="s">
        <v>12598</v>
      </c>
      <c r="B11987" t="s">
        <v>67</v>
      </c>
      <c r="C11987" t="s">
        <v>597</v>
      </c>
      <c r="D11987">
        <v>3204.24</v>
      </c>
      <c r="E11987" s="37" t="str">
        <f t="shared" si="935"/>
        <v xml:space="preserve"> </v>
      </c>
      <c r="F11987">
        <v>0.27</v>
      </c>
      <c r="G11987" s="37" t="str">
        <f t="shared" si="936"/>
        <v>Normal Discount</v>
      </c>
      <c r="H11987" s="37" t="str">
        <f t="shared" si="937"/>
        <v>Medium</v>
      </c>
      <c r="I11987">
        <v>3</v>
      </c>
      <c r="J11987" t="str" cm="1">
        <f t="array" ref="J11987">_xlfn.IFS(I11987&lt;=3,"small",I11987&lt;=6,"Medium",I11987&lt;=9,"Large")</f>
        <v>small</v>
      </c>
      <c r="K11987" s="36">
        <v>45467</v>
      </c>
      <c r="L11987" s="36">
        <v>45468</v>
      </c>
      <c r="M11987" t="s">
        <v>612</v>
      </c>
      <c r="N11987" t="s">
        <v>599</v>
      </c>
      <c r="O11987" s="37" t="str">
        <f t="shared" si="938"/>
        <v>Digital Payment</v>
      </c>
      <c r="P11987">
        <v>904.49</v>
      </c>
      <c r="Q11987" s="37" t="str">
        <f>IF(P11987&gt;500,"High","low")</f>
        <v>High</v>
      </c>
      <c r="R11987" s="37" t="str">
        <f t="shared" si="939"/>
        <v>Good</v>
      </c>
      <c r="S11987" t="s">
        <v>620</v>
      </c>
    </row>
    <row r="11988" spans="1:19" x14ac:dyDescent="0.2">
      <c r="A11988" t="s">
        <v>12599</v>
      </c>
      <c r="B11988" t="s">
        <v>90</v>
      </c>
      <c r="C11988" t="s">
        <v>614</v>
      </c>
      <c r="D11988">
        <v>4173.0600000000004</v>
      </c>
      <c r="E11988" s="37" t="str">
        <f t="shared" si="935"/>
        <v xml:space="preserve"> </v>
      </c>
      <c r="F11988">
        <v>0</v>
      </c>
      <c r="G11988" s="37" t="str">
        <f t="shared" si="936"/>
        <v>Normal Discount</v>
      </c>
      <c r="H11988" s="37" t="str">
        <f t="shared" si="937"/>
        <v>Low</v>
      </c>
      <c r="I11988">
        <v>2</v>
      </c>
      <c r="J11988" t="str" cm="1">
        <f t="array" ref="J11988">_xlfn.IFS(I11988&lt;=3,"small",I11988&lt;=6,"Medium",I11988&lt;=9,"Large")</f>
        <v>small</v>
      </c>
      <c r="K11988" s="36">
        <v>45598</v>
      </c>
      <c r="L11988" s="36">
        <v>45605</v>
      </c>
      <c r="M11988" t="s">
        <v>612</v>
      </c>
      <c r="N11988" t="s">
        <v>604</v>
      </c>
      <c r="O11988" s="37" t="str">
        <f t="shared" si="938"/>
        <v>Digital Payment</v>
      </c>
      <c r="P11988">
        <v>229.2</v>
      </c>
      <c r="Q11988" s="37" t="str">
        <f>IF(P11988&gt;500,"High","low")</f>
        <v>low</v>
      </c>
      <c r="R11988" s="37" t="str">
        <f t="shared" si="939"/>
        <v>AVERAGE</v>
      </c>
      <c r="S11988" t="s">
        <v>628</v>
      </c>
    </row>
    <row r="11989" spans="1:19" x14ac:dyDescent="0.2">
      <c r="A11989" t="s">
        <v>12600</v>
      </c>
      <c r="B11989" t="s">
        <v>75</v>
      </c>
      <c r="C11989" t="s">
        <v>617</v>
      </c>
      <c r="D11989">
        <v>4526.2700000000004</v>
      </c>
      <c r="E11989" s="37" t="str">
        <f t="shared" si="935"/>
        <v>Excellent Order</v>
      </c>
      <c r="F11989">
        <v>0.12</v>
      </c>
      <c r="G11989" s="37" t="str">
        <f t="shared" si="936"/>
        <v>Normal Discount</v>
      </c>
      <c r="H11989" s="37" t="str">
        <f t="shared" si="937"/>
        <v>Low</v>
      </c>
      <c r="I11989">
        <v>8</v>
      </c>
      <c r="J11989" t="str" cm="1">
        <f t="array" ref="J11989">_xlfn.IFS(I11989&lt;=3,"small",I11989&lt;=6,"Medium",I11989&lt;=9,"Large")</f>
        <v>Large</v>
      </c>
      <c r="K11989" s="36">
        <v>45581</v>
      </c>
      <c r="L11989" s="36">
        <v>45582</v>
      </c>
      <c r="M11989" t="s">
        <v>612</v>
      </c>
      <c r="N11989" t="s">
        <v>599</v>
      </c>
      <c r="O11989" s="37" t="str">
        <f t="shared" si="938"/>
        <v>Digital Payment</v>
      </c>
      <c r="P11989">
        <v>1303.69</v>
      </c>
      <c r="Q11989" s="37" t="str">
        <f>IF(P11989&gt;500,"High","low")</f>
        <v>High</v>
      </c>
      <c r="R11989" s="37" t="str">
        <f t="shared" si="939"/>
        <v>Excellent</v>
      </c>
      <c r="S11989" t="s">
        <v>615</v>
      </c>
    </row>
    <row r="11990" spans="1:19" x14ac:dyDescent="0.2">
      <c r="A11990" t="s">
        <v>12601</v>
      </c>
      <c r="B11990" t="s">
        <v>83</v>
      </c>
      <c r="C11990" t="s">
        <v>602</v>
      </c>
      <c r="D11990">
        <v>2023.41</v>
      </c>
      <c r="E11990" s="37" t="str">
        <f t="shared" si="935"/>
        <v xml:space="preserve"> </v>
      </c>
      <c r="F11990">
        <v>0.25</v>
      </c>
      <c r="G11990" s="37" t="str">
        <f t="shared" si="936"/>
        <v>Normal Discount</v>
      </c>
      <c r="H11990" s="37" t="str">
        <f t="shared" si="937"/>
        <v>Medium</v>
      </c>
      <c r="I11990">
        <v>4</v>
      </c>
      <c r="J11990" t="str" cm="1">
        <f t="array" ref="J11990">_xlfn.IFS(I11990&lt;=3,"small",I11990&lt;=6,"Medium",I11990&lt;=9,"Large")</f>
        <v>Medium</v>
      </c>
      <c r="K11990" s="36">
        <v>45626</v>
      </c>
      <c r="L11990" s="36">
        <v>45629</v>
      </c>
      <c r="M11990" t="s">
        <v>598</v>
      </c>
      <c r="N11990" t="s">
        <v>599</v>
      </c>
      <c r="O11990" s="37" t="str">
        <f t="shared" si="938"/>
        <v>Digital Payment</v>
      </c>
      <c r="P11990">
        <v>433</v>
      </c>
      <c r="Q11990" s="37" t="str">
        <f>IF(P11990&gt;500,"High","low")</f>
        <v>low</v>
      </c>
      <c r="R11990" s="37" t="str">
        <f t="shared" si="939"/>
        <v>AVERAGE</v>
      </c>
      <c r="S11990" t="s">
        <v>605</v>
      </c>
    </row>
    <row r="11991" spans="1:19" x14ac:dyDescent="0.2">
      <c r="A11991" t="s">
        <v>12602</v>
      </c>
      <c r="B11991" t="s">
        <v>67</v>
      </c>
      <c r="C11991" t="s">
        <v>617</v>
      </c>
      <c r="D11991">
        <v>4236.0200000000004</v>
      </c>
      <c r="E11991" s="37" t="str">
        <f t="shared" si="935"/>
        <v xml:space="preserve"> </v>
      </c>
      <c r="F11991">
        <v>0.16</v>
      </c>
      <c r="G11991" s="37" t="str">
        <f t="shared" si="936"/>
        <v>Normal Discount</v>
      </c>
      <c r="H11991" s="37" t="str">
        <f t="shared" si="937"/>
        <v>Low</v>
      </c>
      <c r="I11991">
        <v>2</v>
      </c>
      <c r="J11991" t="str" cm="1">
        <f t="array" ref="J11991">_xlfn.IFS(I11991&lt;=3,"small",I11991&lt;=6,"Medium",I11991&lt;=9,"Large")</f>
        <v>small</v>
      </c>
      <c r="K11991" s="36">
        <v>45136</v>
      </c>
      <c r="L11991" s="36">
        <v>45140</v>
      </c>
      <c r="M11991" t="s">
        <v>598</v>
      </c>
      <c r="N11991" t="s">
        <v>604</v>
      </c>
      <c r="O11991" s="37" t="str">
        <f t="shared" si="938"/>
        <v>Digital Payment</v>
      </c>
      <c r="P11991">
        <v>782.35</v>
      </c>
      <c r="Q11991" s="37" t="str">
        <f>IF(P11991&gt;500,"High","low")</f>
        <v>High</v>
      </c>
      <c r="R11991" s="37" t="str">
        <f t="shared" si="939"/>
        <v>Good</v>
      </c>
      <c r="S11991" t="s">
        <v>620</v>
      </c>
    </row>
    <row r="11992" spans="1:19" x14ac:dyDescent="0.2">
      <c r="A11992" t="s">
        <v>12603</v>
      </c>
      <c r="B11992" t="s">
        <v>83</v>
      </c>
      <c r="C11992" t="s">
        <v>614</v>
      </c>
      <c r="D11992">
        <v>2757.66</v>
      </c>
      <c r="E11992" s="37" t="str">
        <f t="shared" si="935"/>
        <v xml:space="preserve"> </v>
      </c>
      <c r="F11992">
        <v>0.21</v>
      </c>
      <c r="G11992" s="37" t="str">
        <f t="shared" si="936"/>
        <v>Normal Discount</v>
      </c>
      <c r="H11992" s="37" t="str">
        <f t="shared" si="937"/>
        <v>Medium</v>
      </c>
      <c r="I11992">
        <v>2</v>
      </c>
      <c r="J11992" t="str" cm="1">
        <f t="array" ref="J11992">_xlfn.IFS(I11992&lt;=3,"small",I11992&lt;=6,"Medium",I11992&lt;=9,"Large")</f>
        <v>small</v>
      </c>
      <c r="K11992" s="36">
        <v>45082</v>
      </c>
      <c r="L11992" s="36">
        <v>45087</v>
      </c>
      <c r="M11992" t="s">
        <v>603</v>
      </c>
      <c r="N11992" t="s">
        <v>599</v>
      </c>
      <c r="O11992" s="37" t="str">
        <f t="shared" si="938"/>
        <v>Digital Payment</v>
      </c>
      <c r="P11992">
        <v>411.57</v>
      </c>
      <c r="Q11992" s="37" t="str">
        <f>IF(P11992&gt;500,"High","low")</f>
        <v>low</v>
      </c>
      <c r="R11992" s="37" t="str">
        <f t="shared" si="939"/>
        <v>AVERAGE</v>
      </c>
      <c r="S11992" t="s">
        <v>609</v>
      </c>
    </row>
    <row r="11993" spans="1:19" x14ac:dyDescent="0.2">
      <c r="A11993" t="s">
        <v>12604</v>
      </c>
      <c r="B11993" t="s">
        <v>75</v>
      </c>
      <c r="C11993" t="s">
        <v>617</v>
      </c>
      <c r="D11993">
        <v>2405.85</v>
      </c>
      <c r="E11993" s="37" t="str">
        <f t="shared" si="935"/>
        <v xml:space="preserve"> </v>
      </c>
      <c r="F11993">
        <v>0.3</v>
      </c>
      <c r="G11993" s="37" t="str">
        <f t="shared" si="936"/>
        <v>Normal Discount</v>
      </c>
      <c r="H11993" s="37" t="str">
        <f t="shared" si="937"/>
        <v>Medium</v>
      </c>
      <c r="I11993">
        <v>2</v>
      </c>
      <c r="J11993" t="str" cm="1">
        <f t="array" ref="J11993">_xlfn.IFS(I11993&lt;=3,"small",I11993&lt;=6,"Medium",I11993&lt;=9,"Large")</f>
        <v>small</v>
      </c>
      <c r="K11993" s="36">
        <v>45337</v>
      </c>
      <c r="L11993" s="36">
        <v>45344</v>
      </c>
      <c r="M11993" t="s">
        <v>603</v>
      </c>
      <c r="N11993" t="s">
        <v>604</v>
      </c>
      <c r="O11993" s="37" t="str">
        <f t="shared" si="938"/>
        <v>Digital Payment</v>
      </c>
      <c r="P11993">
        <v>199.74</v>
      </c>
      <c r="Q11993" s="37" t="str">
        <f>IF(P11993&gt;500,"High","low")</f>
        <v>low</v>
      </c>
      <c r="R11993" s="37" t="str">
        <f t="shared" si="939"/>
        <v>AVERAGE</v>
      </c>
      <c r="S11993" t="s">
        <v>620</v>
      </c>
    </row>
    <row r="11994" spans="1:19" x14ac:dyDescent="0.2">
      <c r="A11994" t="s">
        <v>12605</v>
      </c>
      <c r="B11994" t="s">
        <v>83</v>
      </c>
      <c r="C11994" t="s">
        <v>602</v>
      </c>
      <c r="D11994">
        <v>3524.96</v>
      </c>
      <c r="E11994" s="37" t="str">
        <f t="shared" si="935"/>
        <v xml:space="preserve"> </v>
      </c>
      <c r="F11994">
        <v>0.37</v>
      </c>
      <c r="G11994" s="37" t="str">
        <f t="shared" si="936"/>
        <v>Heavy Discount</v>
      </c>
      <c r="H11994" s="37" t="str">
        <f t="shared" si="937"/>
        <v>Medium</v>
      </c>
      <c r="I11994">
        <v>5</v>
      </c>
      <c r="J11994" t="str" cm="1">
        <f t="array" ref="J11994">_xlfn.IFS(I11994&lt;=3,"small",I11994&lt;=6,"Medium",I11994&lt;=9,"Large")</f>
        <v>Medium</v>
      </c>
      <c r="K11994" s="36">
        <v>45095</v>
      </c>
      <c r="L11994" s="36">
        <v>45101</v>
      </c>
      <c r="M11994" t="s">
        <v>612</v>
      </c>
      <c r="N11994" t="s">
        <v>599</v>
      </c>
      <c r="O11994" s="37" t="str">
        <f t="shared" si="938"/>
        <v>Digital Payment</v>
      </c>
      <c r="P11994">
        <v>192.19</v>
      </c>
      <c r="Q11994" s="37" t="str">
        <f>IF(P11994&gt;500,"High","low")</f>
        <v>low</v>
      </c>
      <c r="R11994" s="37" t="str">
        <f t="shared" si="939"/>
        <v>AVERAGE</v>
      </c>
      <c r="S11994" t="s">
        <v>615</v>
      </c>
    </row>
    <row r="11995" spans="1:19" x14ac:dyDescent="0.2">
      <c r="A11995" t="s">
        <v>12606</v>
      </c>
      <c r="B11995" t="s">
        <v>75</v>
      </c>
      <c r="C11995" t="s">
        <v>614</v>
      </c>
      <c r="D11995">
        <v>605.66</v>
      </c>
      <c r="E11995" s="37" t="str">
        <f t="shared" si="935"/>
        <v xml:space="preserve"> </v>
      </c>
      <c r="F11995">
        <v>0.08</v>
      </c>
      <c r="G11995" s="37" t="str">
        <f t="shared" si="936"/>
        <v>Normal Discount</v>
      </c>
      <c r="H11995" s="37" t="str">
        <f t="shared" si="937"/>
        <v>Low</v>
      </c>
      <c r="I11995">
        <v>8</v>
      </c>
      <c r="J11995" t="str" cm="1">
        <f t="array" ref="J11995">_xlfn.IFS(I11995&lt;=3,"small",I11995&lt;=6,"Medium",I11995&lt;=9,"Large")</f>
        <v>Large</v>
      </c>
      <c r="K11995" s="36">
        <v>45553</v>
      </c>
      <c r="L11995" s="36">
        <v>45558</v>
      </c>
      <c r="M11995" t="s">
        <v>612</v>
      </c>
      <c r="N11995" t="s">
        <v>608</v>
      </c>
      <c r="O11995" s="37" t="str">
        <f t="shared" si="938"/>
        <v>Cash Payment</v>
      </c>
      <c r="P11995">
        <v>96.09</v>
      </c>
      <c r="Q11995" s="37" t="str">
        <f>IF(P11995&gt;500,"High","low")</f>
        <v>low</v>
      </c>
      <c r="R11995" s="37" t="str">
        <f t="shared" si="939"/>
        <v>AVERAGE</v>
      </c>
      <c r="S11995" t="s">
        <v>620</v>
      </c>
    </row>
    <row r="11996" spans="1:19" x14ac:dyDescent="0.2">
      <c r="A11996" t="s">
        <v>12607</v>
      </c>
      <c r="B11996" t="s">
        <v>67</v>
      </c>
      <c r="C11996" t="s">
        <v>597</v>
      </c>
      <c r="D11996">
        <v>1400.39</v>
      </c>
      <c r="E11996" s="37" t="str">
        <f t="shared" si="935"/>
        <v xml:space="preserve"> </v>
      </c>
      <c r="F11996">
        <v>0.14000000000000001</v>
      </c>
      <c r="G11996" s="37" t="str">
        <f t="shared" si="936"/>
        <v>Normal Discount</v>
      </c>
      <c r="H11996" s="37" t="str">
        <f t="shared" si="937"/>
        <v>Low</v>
      </c>
      <c r="I11996">
        <v>9</v>
      </c>
      <c r="J11996" t="str" cm="1">
        <f t="array" ref="J11996">_xlfn.IFS(I11996&lt;=3,"small",I11996&lt;=6,"Medium",I11996&lt;=9,"Large")</f>
        <v>Large</v>
      </c>
      <c r="K11996" s="36">
        <v>45215</v>
      </c>
      <c r="L11996" s="36">
        <v>45222</v>
      </c>
      <c r="M11996" t="s">
        <v>603</v>
      </c>
      <c r="N11996" t="s">
        <v>608</v>
      </c>
      <c r="O11996" s="37" t="str">
        <f t="shared" si="938"/>
        <v>Cash Payment</v>
      </c>
      <c r="P11996">
        <v>263.05</v>
      </c>
      <c r="Q11996" s="37" t="str">
        <f>IF(P11996&gt;500,"High","low")</f>
        <v>low</v>
      </c>
      <c r="R11996" s="37" t="str">
        <f t="shared" si="939"/>
        <v>AVERAGE</v>
      </c>
      <c r="S11996" t="s">
        <v>628</v>
      </c>
    </row>
    <row r="11997" spans="1:19" x14ac:dyDescent="0.2">
      <c r="A11997" t="s">
        <v>12608</v>
      </c>
      <c r="B11997" t="s">
        <v>83</v>
      </c>
      <c r="C11997" t="s">
        <v>597</v>
      </c>
      <c r="D11997">
        <v>4102.1400000000003</v>
      </c>
      <c r="E11997" s="37" t="str">
        <f t="shared" si="935"/>
        <v>Excellent Order</v>
      </c>
      <c r="F11997">
        <v>0.32</v>
      </c>
      <c r="G11997" s="37" t="str">
        <f t="shared" si="936"/>
        <v>Heavy Discount</v>
      </c>
      <c r="H11997" s="37" t="str">
        <f t="shared" si="937"/>
        <v>Medium</v>
      </c>
      <c r="I11997">
        <v>6</v>
      </c>
      <c r="J11997" t="str" cm="1">
        <f t="array" ref="J11997">_xlfn.IFS(I11997&lt;=3,"small",I11997&lt;=6,"Medium",I11997&lt;=9,"Large")</f>
        <v>Medium</v>
      </c>
      <c r="K11997" s="36">
        <v>45226</v>
      </c>
      <c r="L11997" s="36">
        <v>45228</v>
      </c>
      <c r="M11997" t="s">
        <v>612</v>
      </c>
      <c r="N11997" t="s">
        <v>608</v>
      </c>
      <c r="O11997" s="37" t="str">
        <f t="shared" si="938"/>
        <v>Cash Payment</v>
      </c>
      <c r="P11997">
        <v>1219.98</v>
      </c>
      <c r="Q11997" s="37" t="str">
        <f>IF(P11997&gt;500,"High","low")</f>
        <v>High</v>
      </c>
      <c r="R11997" s="37" t="str">
        <f t="shared" si="939"/>
        <v>Excellent</v>
      </c>
      <c r="S11997" t="s">
        <v>600</v>
      </c>
    </row>
    <row r="11998" spans="1:19" x14ac:dyDescent="0.2">
      <c r="A11998" t="s">
        <v>12609</v>
      </c>
      <c r="B11998" t="s">
        <v>83</v>
      </c>
      <c r="C11998" t="s">
        <v>607</v>
      </c>
      <c r="D11998">
        <v>2569.9899999999998</v>
      </c>
      <c r="E11998" s="37" t="str">
        <f t="shared" si="935"/>
        <v xml:space="preserve"> </v>
      </c>
      <c r="F11998">
        <v>0.28999999999999998</v>
      </c>
      <c r="G11998" s="37" t="str">
        <f t="shared" si="936"/>
        <v>Normal Discount</v>
      </c>
      <c r="H11998" s="37" t="str">
        <f t="shared" si="937"/>
        <v>Medium</v>
      </c>
      <c r="I11998">
        <v>8</v>
      </c>
      <c r="J11998" t="str" cm="1">
        <f t="array" ref="J11998">_xlfn.IFS(I11998&lt;=3,"small",I11998&lt;=6,"Medium",I11998&lt;=9,"Large")</f>
        <v>Large</v>
      </c>
      <c r="K11998" s="36">
        <v>45488</v>
      </c>
      <c r="L11998" s="36">
        <v>45490</v>
      </c>
      <c r="M11998" t="s">
        <v>598</v>
      </c>
      <c r="N11998" t="s">
        <v>599</v>
      </c>
      <c r="O11998" s="37" t="str">
        <f t="shared" si="938"/>
        <v>Digital Payment</v>
      </c>
      <c r="P11998">
        <v>466.08</v>
      </c>
      <c r="Q11998" s="37" t="str">
        <f>IF(P11998&gt;500,"High","low")</f>
        <v>low</v>
      </c>
      <c r="R11998" s="37" t="str">
        <f t="shared" si="939"/>
        <v>AVERAGE</v>
      </c>
      <c r="S11998" t="s">
        <v>609</v>
      </c>
    </row>
    <row r="11999" spans="1:19" x14ac:dyDescent="0.2">
      <c r="A11999" t="s">
        <v>12610</v>
      </c>
      <c r="B11999" t="s">
        <v>75</v>
      </c>
      <c r="C11999" t="s">
        <v>617</v>
      </c>
      <c r="D11999">
        <v>4549.41</v>
      </c>
      <c r="E11999" s="37" t="str">
        <f t="shared" si="935"/>
        <v>Excellent Order</v>
      </c>
      <c r="F11999">
        <v>0.37</v>
      </c>
      <c r="G11999" s="37" t="str">
        <f t="shared" si="936"/>
        <v>Heavy Discount</v>
      </c>
      <c r="H11999" s="37" t="str">
        <f t="shared" si="937"/>
        <v>Medium</v>
      </c>
      <c r="I11999">
        <v>6</v>
      </c>
      <c r="J11999" t="str" cm="1">
        <f t="array" ref="J11999">_xlfn.IFS(I11999&lt;=3,"small",I11999&lt;=6,"Medium",I11999&lt;=9,"Large")</f>
        <v>Medium</v>
      </c>
      <c r="K11999" s="36">
        <v>45192</v>
      </c>
      <c r="L11999" s="36">
        <v>45194</v>
      </c>
      <c r="M11999" t="s">
        <v>598</v>
      </c>
      <c r="N11999" t="s">
        <v>608</v>
      </c>
      <c r="O11999" s="37" t="str">
        <f t="shared" si="938"/>
        <v>Cash Payment</v>
      </c>
      <c r="P11999">
        <v>1029.46</v>
      </c>
      <c r="Q11999" s="37" t="str">
        <f>IF(P11999&gt;500,"High","low")</f>
        <v>High</v>
      </c>
      <c r="R11999" s="37" t="str">
        <f t="shared" si="939"/>
        <v>Excellent</v>
      </c>
      <c r="S11999" t="s">
        <v>615</v>
      </c>
    </row>
    <row r="12000" spans="1:19" x14ac:dyDescent="0.2">
      <c r="A12000" t="s">
        <v>12611</v>
      </c>
      <c r="B12000" t="s">
        <v>75</v>
      </c>
      <c r="C12000" t="s">
        <v>602</v>
      </c>
      <c r="D12000">
        <v>534.65</v>
      </c>
      <c r="E12000" s="37" t="str">
        <f t="shared" si="935"/>
        <v xml:space="preserve"> </v>
      </c>
      <c r="F12000">
        <v>0.32</v>
      </c>
      <c r="G12000" s="37" t="str">
        <f t="shared" si="936"/>
        <v>Heavy Discount</v>
      </c>
      <c r="H12000" s="37" t="str">
        <f t="shared" si="937"/>
        <v>Medium</v>
      </c>
      <c r="I12000">
        <v>1</v>
      </c>
      <c r="J12000" t="str" cm="1">
        <f t="array" ref="J12000">_xlfn.IFS(I12000&lt;=3,"small",I12000&lt;=6,"Medium",I12000&lt;=9,"Large")</f>
        <v>small</v>
      </c>
      <c r="K12000" s="36">
        <v>45334</v>
      </c>
      <c r="L12000" s="36">
        <v>45336</v>
      </c>
      <c r="M12000" t="s">
        <v>612</v>
      </c>
      <c r="N12000" t="s">
        <v>599</v>
      </c>
      <c r="O12000" s="37" t="str">
        <f t="shared" si="938"/>
        <v>Digital Payment</v>
      </c>
      <c r="P12000">
        <v>111.18</v>
      </c>
      <c r="Q12000" s="37" t="str">
        <f>IF(P12000&gt;500,"High","low")</f>
        <v>low</v>
      </c>
      <c r="R12000" s="37" t="str">
        <f t="shared" si="939"/>
        <v>AVERAGE</v>
      </c>
      <c r="S12000" t="s">
        <v>609</v>
      </c>
    </row>
    <row r="12001" spans="1:19" x14ac:dyDescent="0.2">
      <c r="A12001" t="s">
        <v>12612</v>
      </c>
      <c r="B12001" t="s">
        <v>90</v>
      </c>
      <c r="C12001" t="s">
        <v>617</v>
      </c>
      <c r="D12001">
        <v>1635.72</v>
      </c>
      <c r="E12001" s="37" t="str">
        <f t="shared" si="935"/>
        <v xml:space="preserve"> </v>
      </c>
      <c r="F12001">
        <v>0.17</v>
      </c>
      <c r="G12001" s="37" t="str">
        <f t="shared" si="936"/>
        <v>Normal Discount</v>
      </c>
      <c r="H12001" s="37" t="str">
        <f t="shared" si="937"/>
        <v>Low</v>
      </c>
      <c r="I12001">
        <v>9</v>
      </c>
      <c r="J12001" t="str" cm="1">
        <f t="array" ref="J12001">_xlfn.IFS(I12001&lt;=3,"small",I12001&lt;=6,"Medium",I12001&lt;=9,"Large")</f>
        <v>Large</v>
      </c>
      <c r="K12001" s="36">
        <v>45560</v>
      </c>
      <c r="L12001" s="36">
        <v>45563</v>
      </c>
      <c r="M12001" t="s">
        <v>598</v>
      </c>
      <c r="N12001" t="s">
        <v>608</v>
      </c>
      <c r="O12001" s="37" t="str">
        <f t="shared" si="938"/>
        <v>Cash Payment</v>
      </c>
      <c r="P12001">
        <v>441.32</v>
      </c>
      <c r="Q12001" s="37" t="str">
        <f>IF(P12001&gt;500,"High","low")</f>
        <v>low</v>
      </c>
      <c r="R12001" s="37" t="str">
        <f t="shared" si="939"/>
        <v>AVERAGE</v>
      </c>
      <c r="S12001" t="s">
        <v>620</v>
      </c>
    </row>
    <row r="12002" spans="1:19" x14ac:dyDescent="0.2">
      <c r="A12002" t="s">
        <v>12613</v>
      </c>
      <c r="B12002" t="s">
        <v>75</v>
      </c>
      <c r="C12002" t="s">
        <v>614</v>
      </c>
      <c r="D12002">
        <v>1842.19</v>
      </c>
      <c r="E12002" s="37" t="str">
        <f t="shared" si="935"/>
        <v xml:space="preserve"> </v>
      </c>
      <c r="F12002">
        <v>0.25</v>
      </c>
      <c r="G12002" s="37" t="str">
        <f t="shared" si="936"/>
        <v>Normal Discount</v>
      </c>
      <c r="H12002" s="37" t="str">
        <f t="shared" si="937"/>
        <v>Medium</v>
      </c>
      <c r="I12002">
        <v>7</v>
      </c>
      <c r="J12002" t="str" cm="1">
        <f t="array" ref="J12002">_xlfn.IFS(I12002&lt;=3,"small",I12002&lt;=6,"Medium",I12002&lt;=9,"Large")</f>
        <v>Large</v>
      </c>
      <c r="K12002" s="36">
        <v>44946</v>
      </c>
      <c r="L12002" s="36">
        <v>44949</v>
      </c>
      <c r="M12002" t="s">
        <v>603</v>
      </c>
      <c r="N12002" t="s">
        <v>608</v>
      </c>
      <c r="O12002" s="37" t="str">
        <f t="shared" si="938"/>
        <v>Cash Payment</v>
      </c>
      <c r="P12002">
        <v>316.47000000000003</v>
      </c>
      <c r="Q12002" s="37" t="str">
        <f>IF(P12002&gt;500,"High","low")</f>
        <v>low</v>
      </c>
      <c r="R12002" s="37" t="str">
        <f t="shared" si="939"/>
        <v>AVERAGE</v>
      </c>
      <c r="S12002" t="s">
        <v>628</v>
      </c>
    </row>
    <row r="12003" spans="1:19" x14ac:dyDescent="0.2">
      <c r="A12003" t="s">
        <v>12614</v>
      </c>
      <c r="B12003" t="s">
        <v>75</v>
      </c>
      <c r="C12003" t="s">
        <v>607</v>
      </c>
      <c r="D12003">
        <v>2171.33</v>
      </c>
      <c r="E12003" s="37" t="str">
        <f t="shared" si="935"/>
        <v xml:space="preserve"> </v>
      </c>
      <c r="F12003">
        <v>0.44</v>
      </c>
      <c r="G12003" s="37" t="str">
        <f t="shared" si="936"/>
        <v>Heavy Discount</v>
      </c>
      <c r="H12003" s="37" t="str">
        <f t="shared" si="937"/>
        <v>High</v>
      </c>
      <c r="I12003">
        <v>2</v>
      </c>
      <c r="J12003" t="str" cm="1">
        <f t="array" ref="J12003">_xlfn.IFS(I12003&lt;=3,"small",I12003&lt;=6,"Medium",I12003&lt;=9,"Large")</f>
        <v>small</v>
      </c>
      <c r="K12003" s="36">
        <v>45159</v>
      </c>
      <c r="L12003" s="36">
        <v>45165</v>
      </c>
      <c r="M12003" t="s">
        <v>598</v>
      </c>
      <c r="N12003" t="s">
        <v>604</v>
      </c>
      <c r="O12003" s="37" t="str">
        <f t="shared" si="938"/>
        <v>Digital Payment</v>
      </c>
      <c r="P12003">
        <v>204.36</v>
      </c>
      <c r="Q12003" s="37" t="str">
        <f>IF(P12003&gt;500,"High","low")</f>
        <v>low</v>
      </c>
      <c r="R12003" s="37" t="str">
        <f t="shared" si="939"/>
        <v>AVERAGE</v>
      </c>
      <c r="S12003" t="s">
        <v>600</v>
      </c>
    </row>
    <row r="12004" spans="1:19" x14ac:dyDescent="0.2">
      <c r="A12004" t="s">
        <v>12615</v>
      </c>
      <c r="B12004" t="s">
        <v>90</v>
      </c>
      <c r="C12004" t="s">
        <v>602</v>
      </c>
      <c r="D12004">
        <v>4935.42</v>
      </c>
      <c r="E12004" s="37" t="str">
        <f t="shared" si="935"/>
        <v xml:space="preserve"> </v>
      </c>
      <c r="F12004">
        <v>0.09</v>
      </c>
      <c r="G12004" s="37" t="str">
        <f t="shared" si="936"/>
        <v>Normal Discount</v>
      </c>
      <c r="H12004" s="37" t="str">
        <f t="shared" si="937"/>
        <v>Low</v>
      </c>
      <c r="I12004">
        <v>3</v>
      </c>
      <c r="J12004" t="str" cm="1">
        <f t="array" ref="J12004">_xlfn.IFS(I12004&lt;=3,"small",I12004&lt;=6,"Medium",I12004&lt;=9,"Large")</f>
        <v>small</v>
      </c>
      <c r="K12004" s="36">
        <v>44981</v>
      </c>
      <c r="L12004" s="36">
        <v>44983</v>
      </c>
      <c r="M12004" t="s">
        <v>612</v>
      </c>
      <c r="N12004" t="s">
        <v>608</v>
      </c>
      <c r="O12004" s="37" t="str">
        <f t="shared" si="938"/>
        <v>Cash Payment</v>
      </c>
      <c r="P12004">
        <v>538.44000000000005</v>
      </c>
      <c r="Q12004" s="37" t="str">
        <f>IF(P12004&gt;500,"High","low")</f>
        <v>High</v>
      </c>
      <c r="R12004" s="37" t="str">
        <f t="shared" si="939"/>
        <v>Good</v>
      </c>
      <c r="S12004" t="s">
        <v>600</v>
      </c>
    </row>
    <row r="12005" spans="1:19" x14ac:dyDescent="0.2">
      <c r="A12005" t="s">
        <v>12616</v>
      </c>
      <c r="B12005" t="s">
        <v>75</v>
      </c>
      <c r="C12005" t="s">
        <v>617</v>
      </c>
      <c r="D12005">
        <v>1622.25</v>
      </c>
      <c r="E12005" s="37" t="str">
        <f t="shared" si="935"/>
        <v xml:space="preserve"> </v>
      </c>
      <c r="F12005">
        <v>0.19</v>
      </c>
      <c r="G12005" s="37" t="str">
        <f t="shared" si="936"/>
        <v>Normal Discount</v>
      </c>
      <c r="H12005" s="37" t="str">
        <f t="shared" si="937"/>
        <v>Low</v>
      </c>
      <c r="I12005">
        <v>2</v>
      </c>
      <c r="J12005" t="str" cm="1">
        <f t="array" ref="J12005">_xlfn.IFS(I12005&lt;=3,"small",I12005&lt;=6,"Medium",I12005&lt;=9,"Large")</f>
        <v>small</v>
      </c>
      <c r="K12005" s="36">
        <v>45167</v>
      </c>
      <c r="L12005" s="36">
        <v>45169</v>
      </c>
      <c r="M12005" t="s">
        <v>598</v>
      </c>
      <c r="N12005" t="s">
        <v>599</v>
      </c>
      <c r="O12005" s="37" t="str">
        <f t="shared" si="938"/>
        <v>Digital Payment</v>
      </c>
      <c r="P12005">
        <v>226.6</v>
      </c>
      <c r="Q12005" s="37" t="str">
        <f>IF(P12005&gt;500,"High","low")</f>
        <v>low</v>
      </c>
      <c r="R12005" s="37" t="str">
        <f t="shared" si="939"/>
        <v>AVERAGE</v>
      </c>
      <c r="S12005" t="s">
        <v>628</v>
      </c>
    </row>
    <row r="12006" spans="1:19" x14ac:dyDescent="0.2">
      <c r="A12006" t="s">
        <v>12617</v>
      </c>
      <c r="B12006" t="s">
        <v>75</v>
      </c>
      <c r="C12006" t="s">
        <v>602</v>
      </c>
      <c r="D12006">
        <v>2641.54</v>
      </c>
      <c r="E12006" s="37" t="str">
        <f t="shared" si="935"/>
        <v xml:space="preserve"> </v>
      </c>
      <c r="F12006">
        <v>0.42</v>
      </c>
      <c r="G12006" s="37" t="str">
        <f t="shared" si="936"/>
        <v>Heavy Discount</v>
      </c>
      <c r="H12006" s="37" t="str">
        <f t="shared" si="937"/>
        <v>High</v>
      </c>
      <c r="I12006">
        <v>9</v>
      </c>
      <c r="J12006" t="str" cm="1">
        <f t="array" ref="J12006">_xlfn.IFS(I12006&lt;=3,"small",I12006&lt;=6,"Medium",I12006&lt;=9,"Large")</f>
        <v>Large</v>
      </c>
      <c r="K12006" s="36">
        <v>45144</v>
      </c>
      <c r="L12006" s="36">
        <v>45146</v>
      </c>
      <c r="M12006" t="s">
        <v>612</v>
      </c>
      <c r="N12006" t="s">
        <v>608</v>
      </c>
      <c r="O12006" s="37" t="str">
        <f t="shared" si="938"/>
        <v>Cash Payment</v>
      </c>
      <c r="P12006">
        <v>257.36</v>
      </c>
      <c r="Q12006" s="37" t="str">
        <f>IF(P12006&gt;500,"High","low")</f>
        <v>low</v>
      </c>
      <c r="R12006" s="37" t="str">
        <f t="shared" si="939"/>
        <v>AVERAGE</v>
      </c>
      <c r="S12006" t="s">
        <v>620</v>
      </c>
    </row>
    <row r="12007" spans="1:19" x14ac:dyDescent="0.2">
      <c r="A12007" t="s">
        <v>12618</v>
      </c>
      <c r="B12007" t="s">
        <v>90</v>
      </c>
      <c r="C12007" t="s">
        <v>614</v>
      </c>
      <c r="D12007">
        <v>2726.75</v>
      </c>
      <c r="E12007" s="37" t="str">
        <f t="shared" si="935"/>
        <v xml:space="preserve"> </v>
      </c>
      <c r="F12007">
        <v>0.18</v>
      </c>
      <c r="G12007" s="37" t="str">
        <f t="shared" si="936"/>
        <v>Normal Discount</v>
      </c>
      <c r="H12007" s="37" t="str">
        <f t="shared" si="937"/>
        <v>Low</v>
      </c>
      <c r="I12007">
        <v>8</v>
      </c>
      <c r="J12007" t="str" cm="1">
        <f t="array" ref="J12007">_xlfn.IFS(I12007&lt;=3,"small",I12007&lt;=6,"Medium",I12007&lt;=9,"Large")</f>
        <v>Large</v>
      </c>
      <c r="K12007" s="36">
        <v>45353</v>
      </c>
      <c r="L12007" s="36">
        <v>45359</v>
      </c>
      <c r="M12007" t="s">
        <v>612</v>
      </c>
      <c r="N12007" t="s">
        <v>599</v>
      </c>
      <c r="O12007" s="37" t="str">
        <f t="shared" si="938"/>
        <v>Digital Payment</v>
      </c>
      <c r="P12007">
        <v>676.24</v>
      </c>
      <c r="Q12007" s="37" t="str">
        <f>IF(P12007&gt;500,"High","low")</f>
        <v>High</v>
      </c>
      <c r="R12007" s="37" t="str">
        <f t="shared" si="939"/>
        <v>Good</v>
      </c>
      <c r="S12007" t="s">
        <v>628</v>
      </c>
    </row>
    <row r="12008" spans="1:19" x14ac:dyDescent="0.2">
      <c r="A12008" t="s">
        <v>12619</v>
      </c>
      <c r="B12008" t="s">
        <v>67</v>
      </c>
      <c r="C12008" t="s">
        <v>607</v>
      </c>
      <c r="D12008">
        <v>3876.91</v>
      </c>
      <c r="E12008" s="37" t="str">
        <f t="shared" si="935"/>
        <v xml:space="preserve"> </v>
      </c>
      <c r="F12008">
        <v>0.21</v>
      </c>
      <c r="G12008" s="37" t="str">
        <f t="shared" si="936"/>
        <v>Normal Discount</v>
      </c>
      <c r="H12008" s="37" t="str">
        <f t="shared" si="937"/>
        <v>Medium</v>
      </c>
      <c r="I12008">
        <v>5</v>
      </c>
      <c r="J12008" t="str" cm="1">
        <f t="array" ref="J12008">_xlfn.IFS(I12008&lt;=3,"small",I12008&lt;=6,"Medium",I12008&lt;=9,"Large")</f>
        <v>Medium</v>
      </c>
      <c r="K12008" s="36">
        <v>45651</v>
      </c>
      <c r="L12008" s="36">
        <v>45656</v>
      </c>
      <c r="M12008" t="s">
        <v>598</v>
      </c>
      <c r="N12008" t="s">
        <v>604</v>
      </c>
      <c r="O12008" s="37" t="str">
        <f t="shared" si="938"/>
        <v>Digital Payment</v>
      </c>
      <c r="P12008">
        <v>552.08000000000004</v>
      </c>
      <c r="Q12008" s="37" t="str">
        <f>IF(P12008&gt;500,"High","low")</f>
        <v>High</v>
      </c>
      <c r="R12008" s="37" t="str">
        <f t="shared" si="939"/>
        <v>Good</v>
      </c>
      <c r="S12008" t="s">
        <v>609</v>
      </c>
    </row>
    <row r="12009" spans="1:19" x14ac:dyDescent="0.2">
      <c r="A12009" t="s">
        <v>12620</v>
      </c>
      <c r="B12009" t="s">
        <v>67</v>
      </c>
      <c r="C12009" t="s">
        <v>602</v>
      </c>
      <c r="D12009">
        <v>2637.56</v>
      </c>
      <c r="E12009" s="37" t="str">
        <f t="shared" si="935"/>
        <v xml:space="preserve"> </v>
      </c>
      <c r="F12009">
        <v>0.16</v>
      </c>
      <c r="G12009" s="37" t="str">
        <f t="shared" si="936"/>
        <v>Normal Discount</v>
      </c>
      <c r="H12009" s="37" t="str">
        <f t="shared" si="937"/>
        <v>Low</v>
      </c>
      <c r="I12009">
        <v>4</v>
      </c>
      <c r="J12009" t="str" cm="1">
        <f t="array" ref="J12009">_xlfn.IFS(I12009&lt;=3,"small",I12009&lt;=6,"Medium",I12009&lt;=9,"Large")</f>
        <v>Medium</v>
      </c>
      <c r="K12009" s="36">
        <v>45616</v>
      </c>
      <c r="L12009" s="36">
        <v>45623</v>
      </c>
      <c r="M12009" t="s">
        <v>612</v>
      </c>
      <c r="N12009" t="s">
        <v>599</v>
      </c>
      <c r="O12009" s="37" t="str">
        <f t="shared" si="938"/>
        <v>Digital Payment</v>
      </c>
      <c r="P12009">
        <v>382.95</v>
      </c>
      <c r="Q12009" s="37" t="str">
        <f>IF(P12009&gt;500,"High","low")</f>
        <v>low</v>
      </c>
      <c r="R12009" s="37" t="str">
        <f t="shared" si="939"/>
        <v>AVERAGE</v>
      </c>
      <c r="S12009" t="s">
        <v>609</v>
      </c>
    </row>
    <row r="12010" spans="1:19" x14ac:dyDescent="0.2">
      <c r="A12010" t="s">
        <v>12621</v>
      </c>
      <c r="B12010" t="s">
        <v>75</v>
      </c>
      <c r="C12010" t="s">
        <v>614</v>
      </c>
      <c r="D12010">
        <v>3068.11</v>
      </c>
      <c r="E12010" s="37" t="str">
        <f t="shared" si="935"/>
        <v xml:space="preserve"> </v>
      </c>
      <c r="F12010">
        <v>0.45</v>
      </c>
      <c r="G12010" s="37" t="str">
        <f t="shared" si="936"/>
        <v>Heavy Discount</v>
      </c>
      <c r="H12010" s="37" t="str">
        <f t="shared" si="937"/>
        <v>High</v>
      </c>
      <c r="I12010">
        <v>7</v>
      </c>
      <c r="J12010" t="str" cm="1">
        <f t="array" ref="J12010">_xlfn.IFS(I12010&lt;=3,"small",I12010&lt;=6,"Medium",I12010&lt;=9,"Large")</f>
        <v>Large</v>
      </c>
      <c r="K12010" s="36">
        <v>44981</v>
      </c>
      <c r="L12010" s="36">
        <v>44984</v>
      </c>
      <c r="M12010" t="s">
        <v>598</v>
      </c>
      <c r="N12010" t="s">
        <v>604</v>
      </c>
      <c r="O12010" s="37" t="str">
        <f t="shared" si="938"/>
        <v>Digital Payment</v>
      </c>
      <c r="P12010">
        <v>537.29</v>
      </c>
      <c r="Q12010" s="37" t="str">
        <f>IF(P12010&gt;500,"High","low")</f>
        <v>High</v>
      </c>
      <c r="R12010" s="37" t="str">
        <f t="shared" si="939"/>
        <v>Good</v>
      </c>
      <c r="S12010" t="s">
        <v>620</v>
      </c>
    </row>
    <row r="12011" spans="1:19" x14ac:dyDescent="0.2">
      <c r="A12011" t="s">
        <v>12622</v>
      </c>
      <c r="B12011" t="s">
        <v>75</v>
      </c>
      <c r="C12011" t="s">
        <v>597</v>
      </c>
      <c r="D12011">
        <v>3791.31</v>
      </c>
      <c r="E12011" s="37" t="str">
        <f t="shared" si="935"/>
        <v xml:space="preserve"> </v>
      </c>
      <c r="F12011">
        <v>0.33</v>
      </c>
      <c r="G12011" s="37" t="str">
        <f t="shared" si="936"/>
        <v>Heavy Discount</v>
      </c>
      <c r="H12011" s="37" t="str">
        <f t="shared" si="937"/>
        <v>Medium</v>
      </c>
      <c r="I12011">
        <v>9</v>
      </c>
      <c r="J12011" t="str" cm="1">
        <f t="array" ref="J12011">_xlfn.IFS(I12011&lt;=3,"small",I12011&lt;=6,"Medium",I12011&lt;=9,"Large")</f>
        <v>Large</v>
      </c>
      <c r="K12011" s="36">
        <v>45103</v>
      </c>
      <c r="L12011" s="36">
        <v>45104</v>
      </c>
      <c r="M12011" t="s">
        <v>603</v>
      </c>
      <c r="N12011" t="s">
        <v>604</v>
      </c>
      <c r="O12011" s="37" t="str">
        <f t="shared" si="938"/>
        <v>Digital Payment</v>
      </c>
      <c r="P12011">
        <v>461.97</v>
      </c>
      <c r="Q12011" s="37" t="str">
        <f>IF(P12011&gt;500,"High","low")</f>
        <v>low</v>
      </c>
      <c r="R12011" s="37" t="str">
        <f t="shared" si="939"/>
        <v>AVERAGE</v>
      </c>
      <c r="S12011" t="s">
        <v>628</v>
      </c>
    </row>
    <row r="12012" spans="1:19" x14ac:dyDescent="0.2">
      <c r="A12012" t="s">
        <v>12623</v>
      </c>
      <c r="B12012" t="s">
        <v>90</v>
      </c>
      <c r="C12012" t="s">
        <v>602</v>
      </c>
      <c r="D12012">
        <v>595.54999999999995</v>
      </c>
      <c r="E12012" s="37" t="str">
        <f t="shared" si="935"/>
        <v xml:space="preserve"> </v>
      </c>
      <c r="F12012">
        <v>0.1</v>
      </c>
      <c r="G12012" s="37" t="str">
        <f t="shared" si="936"/>
        <v>Normal Discount</v>
      </c>
      <c r="H12012" s="37" t="str">
        <f t="shared" si="937"/>
        <v>Low</v>
      </c>
      <c r="I12012">
        <v>8</v>
      </c>
      <c r="J12012" t="str" cm="1">
        <f t="array" ref="J12012">_xlfn.IFS(I12012&lt;=3,"small",I12012&lt;=6,"Medium",I12012&lt;=9,"Large")</f>
        <v>Large</v>
      </c>
      <c r="K12012" s="36">
        <v>45407</v>
      </c>
      <c r="L12012" s="36">
        <v>45410</v>
      </c>
      <c r="M12012" t="s">
        <v>612</v>
      </c>
      <c r="N12012" t="s">
        <v>604</v>
      </c>
      <c r="O12012" s="37" t="str">
        <f t="shared" si="938"/>
        <v>Digital Payment</v>
      </c>
      <c r="P12012">
        <v>48.42</v>
      </c>
      <c r="Q12012" s="37" t="str">
        <f>IF(P12012&gt;500,"High","low")</f>
        <v>low</v>
      </c>
      <c r="R12012" s="37" t="str">
        <f t="shared" si="939"/>
        <v>AVERAGE</v>
      </c>
      <c r="S12012" t="s">
        <v>628</v>
      </c>
    </row>
    <row r="12013" spans="1:19" x14ac:dyDescent="0.2">
      <c r="A12013" t="s">
        <v>12624</v>
      </c>
      <c r="B12013" t="s">
        <v>90</v>
      </c>
      <c r="C12013" t="s">
        <v>607</v>
      </c>
      <c r="D12013">
        <v>4821.01</v>
      </c>
      <c r="E12013" s="37" t="str">
        <f t="shared" si="935"/>
        <v>Excellent Order</v>
      </c>
      <c r="F12013">
        <v>0.37</v>
      </c>
      <c r="G12013" s="37" t="str">
        <f t="shared" si="936"/>
        <v>Heavy Discount</v>
      </c>
      <c r="H12013" s="37" t="str">
        <f t="shared" si="937"/>
        <v>Medium</v>
      </c>
      <c r="I12013">
        <v>8</v>
      </c>
      <c r="J12013" t="str" cm="1">
        <f t="array" ref="J12013">_xlfn.IFS(I12013&lt;=3,"small",I12013&lt;=6,"Medium",I12013&lt;=9,"Large")</f>
        <v>Large</v>
      </c>
      <c r="K12013" s="36">
        <v>45050</v>
      </c>
      <c r="L12013" s="36">
        <v>45056</v>
      </c>
      <c r="M12013" t="s">
        <v>612</v>
      </c>
      <c r="N12013" t="s">
        <v>604</v>
      </c>
      <c r="O12013" s="37" t="str">
        <f t="shared" si="938"/>
        <v>Digital Payment</v>
      </c>
      <c r="P12013">
        <v>1126.67</v>
      </c>
      <c r="Q12013" s="37" t="str">
        <f>IF(P12013&gt;500,"High","low")</f>
        <v>High</v>
      </c>
      <c r="R12013" s="37" t="str">
        <f t="shared" si="939"/>
        <v>Excellent</v>
      </c>
      <c r="S12013" t="s">
        <v>605</v>
      </c>
    </row>
    <row r="12014" spans="1:19" x14ac:dyDescent="0.2">
      <c r="A12014" t="s">
        <v>12625</v>
      </c>
      <c r="B12014" t="s">
        <v>67</v>
      </c>
      <c r="C12014" t="s">
        <v>602</v>
      </c>
      <c r="D12014">
        <v>4246.8900000000003</v>
      </c>
      <c r="E12014" s="37" t="str">
        <f t="shared" si="935"/>
        <v>Excellent Order</v>
      </c>
      <c r="F12014">
        <v>0.02</v>
      </c>
      <c r="G12014" s="37" t="str">
        <f t="shared" si="936"/>
        <v>Normal Discount</v>
      </c>
      <c r="H12014" s="37" t="str">
        <f t="shared" si="937"/>
        <v>Low</v>
      </c>
      <c r="I12014">
        <v>2</v>
      </c>
      <c r="J12014" t="str" cm="1">
        <f t="array" ref="J12014">_xlfn.IFS(I12014&lt;=3,"small",I12014&lt;=6,"Medium",I12014&lt;=9,"Large")</f>
        <v>small</v>
      </c>
      <c r="K12014" s="36">
        <v>45576</v>
      </c>
      <c r="L12014" s="36">
        <v>45579</v>
      </c>
      <c r="M12014" t="s">
        <v>612</v>
      </c>
      <c r="N12014" t="s">
        <v>608</v>
      </c>
      <c r="O12014" s="37" t="str">
        <f t="shared" si="938"/>
        <v>Cash Payment</v>
      </c>
      <c r="P12014">
        <v>839.92</v>
      </c>
      <c r="Q12014" s="37" t="str">
        <f>IF(P12014&gt;500,"High","low")</f>
        <v>High</v>
      </c>
      <c r="R12014" s="37" t="str">
        <f t="shared" si="939"/>
        <v>Good</v>
      </c>
      <c r="S12014" t="s">
        <v>615</v>
      </c>
    </row>
    <row r="12015" spans="1:19" x14ac:dyDescent="0.2">
      <c r="A12015" t="s">
        <v>12626</v>
      </c>
      <c r="B12015" t="s">
        <v>83</v>
      </c>
      <c r="C12015" t="s">
        <v>602</v>
      </c>
      <c r="D12015">
        <v>2004.99</v>
      </c>
      <c r="E12015" s="37" t="str">
        <f t="shared" si="935"/>
        <v xml:space="preserve"> </v>
      </c>
      <c r="F12015">
        <v>0.2</v>
      </c>
      <c r="G12015" s="37" t="str">
        <f t="shared" si="936"/>
        <v>Normal Discount</v>
      </c>
      <c r="H12015" s="37" t="str">
        <f t="shared" si="937"/>
        <v>Medium</v>
      </c>
      <c r="I12015">
        <v>9</v>
      </c>
      <c r="J12015" t="str" cm="1">
        <f t="array" ref="J12015">_xlfn.IFS(I12015&lt;=3,"small",I12015&lt;=6,"Medium",I12015&lt;=9,"Large")</f>
        <v>Large</v>
      </c>
      <c r="K12015" s="36">
        <v>45193</v>
      </c>
      <c r="L12015" s="36">
        <v>45199</v>
      </c>
      <c r="M12015" t="s">
        <v>603</v>
      </c>
      <c r="N12015" t="s">
        <v>599</v>
      </c>
      <c r="O12015" s="37" t="str">
        <f t="shared" si="938"/>
        <v>Digital Payment</v>
      </c>
      <c r="P12015">
        <v>195.97</v>
      </c>
      <c r="Q12015" s="37" t="str">
        <f>IF(P12015&gt;500,"High","low")</f>
        <v>low</v>
      </c>
      <c r="R12015" s="37" t="str">
        <f t="shared" si="939"/>
        <v>AVERAGE</v>
      </c>
      <c r="S12015" t="s">
        <v>600</v>
      </c>
    </row>
    <row r="12016" spans="1:19" x14ac:dyDescent="0.2">
      <c r="A12016" t="s">
        <v>12627</v>
      </c>
      <c r="B12016" t="s">
        <v>75</v>
      </c>
      <c r="C12016" t="s">
        <v>614</v>
      </c>
      <c r="D12016">
        <v>3669.25</v>
      </c>
      <c r="E12016" s="37" t="str">
        <f t="shared" si="935"/>
        <v xml:space="preserve"> </v>
      </c>
      <c r="F12016">
        <v>0.45</v>
      </c>
      <c r="G12016" s="37" t="str">
        <f t="shared" si="936"/>
        <v>Heavy Discount</v>
      </c>
      <c r="H12016" s="37" t="str">
        <f t="shared" si="937"/>
        <v>High</v>
      </c>
      <c r="I12016">
        <v>2</v>
      </c>
      <c r="J12016" t="str" cm="1">
        <f t="array" ref="J12016">_xlfn.IFS(I12016&lt;=3,"small",I12016&lt;=6,"Medium",I12016&lt;=9,"Large")</f>
        <v>small</v>
      </c>
      <c r="K12016" s="36">
        <v>45304</v>
      </c>
      <c r="L12016" s="36">
        <v>45311</v>
      </c>
      <c r="M12016" t="s">
        <v>598</v>
      </c>
      <c r="N12016" t="s">
        <v>608</v>
      </c>
      <c r="O12016" s="37" t="str">
        <f t="shared" si="938"/>
        <v>Cash Payment</v>
      </c>
      <c r="P12016">
        <v>240.19</v>
      </c>
      <c r="Q12016" s="37" t="str">
        <f>IF(P12016&gt;500,"High","low")</f>
        <v>low</v>
      </c>
      <c r="R12016" s="37" t="str">
        <f t="shared" si="939"/>
        <v>AVERAGE</v>
      </c>
      <c r="S12016" t="s">
        <v>615</v>
      </c>
    </row>
    <row r="12017" spans="1:19" x14ac:dyDescent="0.2">
      <c r="A12017" t="s">
        <v>12628</v>
      </c>
      <c r="B12017" t="s">
        <v>83</v>
      </c>
      <c r="C12017" t="s">
        <v>617</v>
      </c>
      <c r="D12017">
        <v>3835.39</v>
      </c>
      <c r="E12017" s="37" t="str">
        <f t="shared" si="935"/>
        <v xml:space="preserve"> </v>
      </c>
      <c r="F12017">
        <v>0.34</v>
      </c>
      <c r="G12017" s="37" t="str">
        <f t="shared" si="936"/>
        <v>Heavy Discount</v>
      </c>
      <c r="H12017" s="37" t="str">
        <f t="shared" si="937"/>
        <v>Medium</v>
      </c>
      <c r="I12017">
        <v>8</v>
      </c>
      <c r="J12017" t="str" cm="1">
        <f t="array" ref="J12017">_xlfn.IFS(I12017&lt;=3,"small",I12017&lt;=6,"Medium",I12017&lt;=9,"Large")</f>
        <v>Large</v>
      </c>
      <c r="K12017" s="36">
        <v>45557</v>
      </c>
      <c r="L12017" s="36">
        <v>45562</v>
      </c>
      <c r="M12017" t="s">
        <v>598</v>
      </c>
      <c r="N12017" t="s">
        <v>604</v>
      </c>
      <c r="O12017" s="37" t="str">
        <f t="shared" si="938"/>
        <v>Digital Payment</v>
      </c>
      <c r="P12017">
        <v>707.61</v>
      </c>
      <c r="Q12017" s="37" t="str">
        <f>IF(P12017&gt;500,"High","low")</f>
        <v>High</v>
      </c>
      <c r="R12017" s="37" t="str">
        <f t="shared" si="939"/>
        <v>Good</v>
      </c>
      <c r="S12017" t="s">
        <v>620</v>
      </c>
    </row>
    <row r="12018" spans="1:19" x14ac:dyDescent="0.2">
      <c r="A12018" t="s">
        <v>12629</v>
      </c>
      <c r="B12018" t="s">
        <v>83</v>
      </c>
      <c r="C12018" t="s">
        <v>617</v>
      </c>
      <c r="D12018">
        <v>4266.21</v>
      </c>
      <c r="E12018" s="37" t="str">
        <f t="shared" si="935"/>
        <v>Excellent Order</v>
      </c>
      <c r="F12018">
        <v>0.4</v>
      </c>
      <c r="G12018" s="37" t="str">
        <f t="shared" si="936"/>
        <v>Heavy Discount</v>
      </c>
      <c r="H12018" s="37" t="str">
        <f t="shared" si="937"/>
        <v>Medium</v>
      </c>
      <c r="I12018">
        <v>5</v>
      </c>
      <c r="J12018" t="str" cm="1">
        <f t="array" ref="J12018">_xlfn.IFS(I12018&lt;=3,"small",I12018&lt;=6,"Medium",I12018&lt;=9,"Large")</f>
        <v>Medium</v>
      </c>
      <c r="K12018" s="36">
        <v>45132</v>
      </c>
      <c r="L12018" s="36">
        <v>45139</v>
      </c>
      <c r="M12018" t="s">
        <v>603</v>
      </c>
      <c r="N12018" t="s">
        <v>608</v>
      </c>
      <c r="O12018" s="37" t="str">
        <f t="shared" si="938"/>
        <v>Cash Payment</v>
      </c>
      <c r="P12018">
        <v>924.14</v>
      </c>
      <c r="Q12018" s="37" t="str">
        <f>IF(P12018&gt;500,"High","low")</f>
        <v>High</v>
      </c>
      <c r="R12018" s="37" t="str">
        <f t="shared" si="939"/>
        <v>Good</v>
      </c>
      <c r="S12018" t="s">
        <v>600</v>
      </c>
    </row>
    <row r="12019" spans="1:19" x14ac:dyDescent="0.2">
      <c r="A12019" t="s">
        <v>12630</v>
      </c>
      <c r="B12019" t="s">
        <v>90</v>
      </c>
      <c r="C12019" t="s">
        <v>602</v>
      </c>
      <c r="D12019">
        <v>1022.75</v>
      </c>
      <c r="E12019" s="37" t="str">
        <f t="shared" si="935"/>
        <v xml:space="preserve"> </v>
      </c>
      <c r="F12019">
        <v>0.47</v>
      </c>
      <c r="G12019" s="37" t="str">
        <f t="shared" si="936"/>
        <v>Heavy Discount</v>
      </c>
      <c r="H12019" s="37" t="str">
        <f t="shared" si="937"/>
        <v>High</v>
      </c>
      <c r="I12019">
        <v>6</v>
      </c>
      <c r="J12019" t="str" cm="1">
        <f t="array" ref="J12019">_xlfn.IFS(I12019&lt;=3,"small",I12019&lt;=6,"Medium",I12019&lt;=9,"Large")</f>
        <v>Medium</v>
      </c>
      <c r="K12019" s="36">
        <v>45522</v>
      </c>
      <c r="L12019" s="36">
        <v>45528</v>
      </c>
      <c r="M12019" t="s">
        <v>612</v>
      </c>
      <c r="N12019" t="s">
        <v>604</v>
      </c>
      <c r="O12019" s="37" t="str">
        <f t="shared" si="938"/>
        <v>Digital Payment</v>
      </c>
      <c r="P12019">
        <v>110.85</v>
      </c>
      <c r="Q12019" s="37" t="str">
        <f>IF(P12019&gt;500,"High","low")</f>
        <v>low</v>
      </c>
      <c r="R12019" s="37" t="str">
        <f t="shared" si="939"/>
        <v>AVERAGE</v>
      </c>
      <c r="S12019" t="s">
        <v>620</v>
      </c>
    </row>
    <row r="12020" spans="1:19" x14ac:dyDescent="0.2">
      <c r="A12020" t="s">
        <v>12631</v>
      </c>
      <c r="B12020" t="s">
        <v>75</v>
      </c>
      <c r="C12020" t="s">
        <v>607</v>
      </c>
      <c r="D12020">
        <v>3548.14</v>
      </c>
      <c r="E12020" s="37" t="str">
        <f t="shared" si="935"/>
        <v xml:space="preserve"> </v>
      </c>
      <c r="F12020">
        <v>0.39</v>
      </c>
      <c r="G12020" s="37" t="str">
        <f t="shared" si="936"/>
        <v>Heavy Discount</v>
      </c>
      <c r="H12020" s="37" t="str">
        <f t="shared" si="937"/>
        <v>Medium</v>
      </c>
      <c r="I12020">
        <v>9</v>
      </c>
      <c r="J12020" t="str" cm="1">
        <f t="array" ref="J12020">_xlfn.IFS(I12020&lt;=3,"small",I12020&lt;=6,"Medium",I12020&lt;=9,"Large")</f>
        <v>Large</v>
      </c>
      <c r="K12020" s="36">
        <v>44946</v>
      </c>
      <c r="L12020" s="36">
        <v>44951</v>
      </c>
      <c r="M12020" t="s">
        <v>603</v>
      </c>
      <c r="N12020" t="s">
        <v>604</v>
      </c>
      <c r="O12020" s="37" t="str">
        <f t="shared" si="938"/>
        <v>Digital Payment</v>
      </c>
      <c r="P12020">
        <v>524.62</v>
      </c>
      <c r="Q12020" s="37" t="str">
        <f>IF(P12020&gt;500,"High","low")</f>
        <v>High</v>
      </c>
      <c r="R12020" s="37" t="str">
        <f t="shared" si="939"/>
        <v>Good</v>
      </c>
      <c r="S12020" t="s">
        <v>628</v>
      </c>
    </row>
    <row r="12021" spans="1:19" x14ac:dyDescent="0.2">
      <c r="A12021" t="s">
        <v>12632</v>
      </c>
      <c r="B12021" t="s">
        <v>75</v>
      </c>
      <c r="C12021" t="s">
        <v>607</v>
      </c>
      <c r="D12021">
        <v>263.37</v>
      </c>
      <c r="E12021" s="37" t="str">
        <f t="shared" si="935"/>
        <v xml:space="preserve"> </v>
      </c>
      <c r="F12021">
        <v>0.04</v>
      </c>
      <c r="G12021" s="37" t="str">
        <f t="shared" si="936"/>
        <v>Normal Discount</v>
      </c>
      <c r="H12021" s="37" t="str">
        <f t="shared" si="937"/>
        <v>Low</v>
      </c>
      <c r="I12021">
        <v>8</v>
      </c>
      <c r="J12021" t="str" cm="1">
        <f t="array" ref="J12021">_xlfn.IFS(I12021&lt;=3,"small",I12021&lt;=6,"Medium",I12021&lt;=9,"Large")</f>
        <v>Large</v>
      </c>
      <c r="K12021" s="36">
        <v>44998</v>
      </c>
      <c r="L12021" s="36">
        <v>45000</v>
      </c>
      <c r="M12021" t="s">
        <v>598</v>
      </c>
      <c r="N12021" t="s">
        <v>599</v>
      </c>
      <c r="O12021" s="37" t="str">
        <f t="shared" si="938"/>
        <v>Digital Payment</v>
      </c>
      <c r="P12021">
        <v>71.099999999999994</v>
      </c>
      <c r="Q12021" s="37" t="str">
        <f>IF(P12021&gt;500,"High","low")</f>
        <v>low</v>
      </c>
      <c r="R12021" s="37" t="str">
        <f t="shared" si="939"/>
        <v>AVERAGE</v>
      </c>
      <c r="S12021" t="s">
        <v>615</v>
      </c>
    </row>
    <row r="12022" spans="1:19" x14ac:dyDescent="0.2">
      <c r="A12022" t="s">
        <v>12633</v>
      </c>
      <c r="B12022" t="s">
        <v>90</v>
      </c>
      <c r="C12022" t="s">
        <v>614</v>
      </c>
      <c r="D12022">
        <v>666.34</v>
      </c>
      <c r="E12022" s="37" t="str">
        <f t="shared" si="935"/>
        <v xml:space="preserve"> </v>
      </c>
      <c r="F12022">
        <v>0.12</v>
      </c>
      <c r="G12022" s="37" t="str">
        <f t="shared" si="936"/>
        <v>Normal Discount</v>
      </c>
      <c r="H12022" s="37" t="str">
        <f t="shared" si="937"/>
        <v>Low</v>
      </c>
      <c r="I12022">
        <v>5</v>
      </c>
      <c r="J12022" t="str" cm="1">
        <f t="array" ref="J12022">_xlfn.IFS(I12022&lt;=3,"small",I12022&lt;=6,"Medium",I12022&lt;=9,"Large")</f>
        <v>Medium</v>
      </c>
      <c r="K12022" s="36">
        <v>45521</v>
      </c>
      <c r="L12022" s="36">
        <v>45525</v>
      </c>
      <c r="M12022" t="s">
        <v>612</v>
      </c>
      <c r="N12022" t="s">
        <v>608</v>
      </c>
      <c r="O12022" s="37" t="str">
        <f t="shared" si="938"/>
        <v>Cash Payment</v>
      </c>
      <c r="P12022">
        <v>117.53</v>
      </c>
      <c r="Q12022" s="37" t="str">
        <f>IF(P12022&gt;500,"High","low")</f>
        <v>low</v>
      </c>
      <c r="R12022" s="37" t="str">
        <f t="shared" si="939"/>
        <v>AVERAGE</v>
      </c>
      <c r="S12022" t="s">
        <v>620</v>
      </c>
    </row>
    <row r="12023" spans="1:19" x14ac:dyDescent="0.2">
      <c r="A12023" t="s">
        <v>12634</v>
      </c>
      <c r="B12023" t="s">
        <v>83</v>
      </c>
      <c r="C12023" t="s">
        <v>602</v>
      </c>
      <c r="D12023">
        <v>3902.73</v>
      </c>
      <c r="E12023" s="37" t="str">
        <f t="shared" si="935"/>
        <v xml:space="preserve"> </v>
      </c>
      <c r="F12023">
        <v>0.25</v>
      </c>
      <c r="G12023" s="37" t="str">
        <f t="shared" si="936"/>
        <v>Normal Discount</v>
      </c>
      <c r="H12023" s="37" t="str">
        <f t="shared" si="937"/>
        <v>Medium</v>
      </c>
      <c r="I12023">
        <v>6</v>
      </c>
      <c r="J12023" t="str" cm="1">
        <f t="array" ref="J12023">_xlfn.IFS(I12023&lt;=3,"small",I12023&lt;=6,"Medium",I12023&lt;=9,"Large")</f>
        <v>Medium</v>
      </c>
      <c r="K12023" s="36">
        <v>45002</v>
      </c>
      <c r="L12023" s="36">
        <v>45005</v>
      </c>
      <c r="M12023" t="s">
        <v>598</v>
      </c>
      <c r="N12023" t="s">
        <v>604</v>
      </c>
      <c r="O12023" s="37" t="str">
        <f t="shared" si="938"/>
        <v>Digital Payment</v>
      </c>
      <c r="P12023">
        <v>1032.95</v>
      </c>
      <c r="Q12023" s="37" t="str">
        <f>IF(P12023&gt;500,"High","low")</f>
        <v>High</v>
      </c>
      <c r="R12023" s="37" t="str">
        <f t="shared" si="939"/>
        <v>Excellent</v>
      </c>
      <c r="S12023" t="s">
        <v>605</v>
      </c>
    </row>
    <row r="12024" spans="1:19" x14ac:dyDescent="0.2">
      <c r="A12024" t="s">
        <v>12635</v>
      </c>
      <c r="B12024" t="s">
        <v>90</v>
      </c>
      <c r="C12024" t="s">
        <v>602</v>
      </c>
      <c r="D12024">
        <v>4083.71</v>
      </c>
      <c r="E12024" s="37" t="str">
        <f t="shared" si="935"/>
        <v xml:space="preserve"> </v>
      </c>
      <c r="F12024">
        <v>0.01</v>
      </c>
      <c r="G12024" s="37" t="str">
        <f t="shared" si="936"/>
        <v>Normal Discount</v>
      </c>
      <c r="H12024" s="37" t="str">
        <f t="shared" si="937"/>
        <v>Low</v>
      </c>
      <c r="I12024">
        <v>5</v>
      </c>
      <c r="J12024" t="str" cm="1">
        <f t="array" ref="J12024">_xlfn.IFS(I12024&lt;=3,"small",I12024&lt;=6,"Medium",I12024&lt;=9,"Large")</f>
        <v>Medium</v>
      </c>
      <c r="K12024" s="36">
        <v>45215</v>
      </c>
      <c r="L12024" s="36">
        <v>45219</v>
      </c>
      <c r="M12024" t="s">
        <v>603</v>
      </c>
      <c r="N12024" t="s">
        <v>599</v>
      </c>
      <c r="O12024" s="37" t="str">
        <f t="shared" si="938"/>
        <v>Digital Payment</v>
      </c>
      <c r="P12024">
        <v>761.99</v>
      </c>
      <c r="Q12024" s="37" t="str">
        <f>IF(P12024&gt;500,"High","low")</f>
        <v>High</v>
      </c>
      <c r="R12024" s="37" t="str">
        <f t="shared" si="939"/>
        <v>Good</v>
      </c>
      <c r="S12024" t="s">
        <v>605</v>
      </c>
    </row>
    <row r="12025" spans="1:19" x14ac:dyDescent="0.2">
      <c r="A12025" t="s">
        <v>12636</v>
      </c>
      <c r="B12025" t="s">
        <v>67</v>
      </c>
      <c r="C12025" t="s">
        <v>617</v>
      </c>
      <c r="D12025">
        <v>3002.94</v>
      </c>
      <c r="E12025" s="37" t="str">
        <f t="shared" si="935"/>
        <v xml:space="preserve"> </v>
      </c>
      <c r="F12025">
        <v>0.31</v>
      </c>
      <c r="G12025" s="37" t="str">
        <f t="shared" si="936"/>
        <v>Heavy Discount</v>
      </c>
      <c r="H12025" s="37" t="str">
        <f t="shared" si="937"/>
        <v>Medium</v>
      </c>
      <c r="I12025">
        <v>9</v>
      </c>
      <c r="J12025" t="str" cm="1">
        <f t="array" ref="J12025">_xlfn.IFS(I12025&lt;=3,"small",I12025&lt;=6,"Medium",I12025&lt;=9,"Large")</f>
        <v>Large</v>
      </c>
      <c r="K12025" s="36">
        <v>45169</v>
      </c>
      <c r="L12025" s="36">
        <v>45170</v>
      </c>
      <c r="M12025" t="s">
        <v>603</v>
      </c>
      <c r="N12025" t="s">
        <v>599</v>
      </c>
      <c r="O12025" s="37" t="str">
        <f t="shared" si="938"/>
        <v>Digital Payment</v>
      </c>
      <c r="P12025">
        <v>608.6</v>
      </c>
      <c r="Q12025" s="37" t="str">
        <f>IF(P12025&gt;500,"High","low")</f>
        <v>High</v>
      </c>
      <c r="R12025" s="37" t="str">
        <f t="shared" si="939"/>
        <v>Good</v>
      </c>
      <c r="S12025" t="s">
        <v>615</v>
      </c>
    </row>
    <row r="12026" spans="1:19" x14ac:dyDescent="0.2">
      <c r="A12026" t="s">
        <v>12637</v>
      </c>
      <c r="B12026" t="s">
        <v>75</v>
      </c>
      <c r="C12026" t="s">
        <v>614</v>
      </c>
      <c r="D12026">
        <v>2950.26</v>
      </c>
      <c r="E12026" s="37" t="str">
        <f t="shared" si="935"/>
        <v xml:space="preserve"> </v>
      </c>
      <c r="F12026">
        <v>0.33</v>
      </c>
      <c r="G12026" s="37" t="str">
        <f t="shared" si="936"/>
        <v>Heavy Discount</v>
      </c>
      <c r="H12026" s="37" t="str">
        <f t="shared" si="937"/>
        <v>Medium</v>
      </c>
      <c r="I12026">
        <v>5</v>
      </c>
      <c r="J12026" t="str" cm="1">
        <f t="array" ref="J12026">_xlfn.IFS(I12026&lt;=3,"small",I12026&lt;=6,"Medium",I12026&lt;=9,"Large")</f>
        <v>Medium</v>
      </c>
      <c r="K12026" s="36">
        <v>45202</v>
      </c>
      <c r="L12026" s="36">
        <v>45204</v>
      </c>
      <c r="M12026" t="s">
        <v>612</v>
      </c>
      <c r="N12026" t="s">
        <v>604</v>
      </c>
      <c r="O12026" s="37" t="str">
        <f t="shared" si="938"/>
        <v>Digital Payment</v>
      </c>
      <c r="P12026">
        <v>576.67999999999995</v>
      </c>
      <c r="Q12026" s="37" t="str">
        <f>IF(P12026&gt;500,"High","low")</f>
        <v>High</v>
      </c>
      <c r="R12026" s="37" t="str">
        <f t="shared" si="939"/>
        <v>Good</v>
      </c>
      <c r="S12026" t="s">
        <v>605</v>
      </c>
    </row>
    <row r="12027" spans="1:19" x14ac:dyDescent="0.2">
      <c r="A12027" t="s">
        <v>12638</v>
      </c>
      <c r="B12027" t="s">
        <v>67</v>
      </c>
      <c r="C12027" t="s">
        <v>597</v>
      </c>
      <c r="D12027">
        <v>3772.61</v>
      </c>
      <c r="E12027" s="37" t="str">
        <f t="shared" si="935"/>
        <v xml:space="preserve"> </v>
      </c>
      <c r="F12027">
        <v>0.35</v>
      </c>
      <c r="G12027" s="37" t="str">
        <f t="shared" si="936"/>
        <v>Heavy Discount</v>
      </c>
      <c r="H12027" s="37" t="str">
        <f t="shared" si="937"/>
        <v>Medium</v>
      </c>
      <c r="I12027">
        <v>6</v>
      </c>
      <c r="J12027" t="str" cm="1">
        <f t="array" ref="J12027">_xlfn.IFS(I12027&lt;=3,"small",I12027&lt;=6,"Medium",I12027&lt;=9,"Large")</f>
        <v>Medium</v>
      </c>
      <c r="K12027" s="36">
        <v>45356</v>
      </c>
      <c r="L12027" s="36">
        <v>45359</v>
      </c>
      <c r="M12027" t="s">
        <v>603</v>
      </c>
      <c r="N12027" t="s">
        <v>599</v>
      </c>
      <c r="O12027" s="37" t="str">
        <f t="shared" si="938"/>
        <v>Digital Payment</v>
      </c>
      <c r="P12027">
        <v>317.14</v>
      </c>
      <c r="Q12027" s="37" t="str">
        <f>IF(P12027&gt;500,"High","low")</f>
        <v>low</v>
      </c>
      <c r="R12027" s="37" t="str">
        <f t="shared" si="939"/>
        <v>AVERAGE</v>
      </c>
      <c r="S12027" t="s">
        <v>628</v>
      </c>
    </row>
    <row r="12028" spans="1:19" x14ac:dyDescent="0.2">
      <c r="A12028" t="s">
        <v>12639</v>
      </c>
      <c r="B12028" t="s">
        <v>90</v>
      </c>
      <c r="C12028" t="s">
        <v>607</v>
      </c>
      <c r="D12028">
        <v>4539.82</v>
      </c>
      <c r="E12028" s="37" t="str">
        <f t="shared" si="935"/>
        <v xml:space="preserve"> </v>
      </c>
      <c r="F12028">
        <v>0.28000000000000003</v>
      </c>
      <c r="G12028" s="37" t="str">
        <f t="shared" si="936"/>
        <v>Normal Discount</v>
      </c>
      <c r="H12028" s="37" t="str">
        <f t="shared" si="937"/>
        <v>Medium</v>
      </c>
      <c r="I12028">
        <v>1</v>
      </c>
      <c r="J12028" t="str" cm="1">
        <f t="array" ref="J12028">_xlfn.IFS(I12028&lt;=3,"small",I12028&lt;=6,"Medium",I12028&lt;=9,"Large")</f>
        <v>small</v>
      </c>
      <c r="K12028" s="36">
        <v>45213</v>
      </c>
      <c r="L12028" s="36">
        <v>45218</v>
      </c>
      <c r="M12028" t="s">
        <v>603</v>
      </c>
      <c r="N12028" t="s">
        <v>599</v>
      </c>
      <c r="O12028" s="37" t="str">
        <f t="shared" si="938"/>
        <v>Digital Payment</v>
      </c>
      <c r="P12028">
        <v>283.16000000000003</v>
      </c>
      <c r="Q12028" s="37" t="str">
        <f>IF(P12028&gt;500,"High","low")</f>
        <v>low</v>
      </c>
      <c r="R12028" s="37" t="str">
        <f t="shared" si="939"/>
        <v>AVERAGE</v>
      </c>
      <c r="S12028" t="s">
        <v>620</v>
      </c>
    </row>
    <row r="12029" spans="1:19" x14ac:dyDescent="0.2">
      <c r="A12029" t="s">
        <v>12640</v>
      </c>
      <c r="B12029" t="s">
        <v>75</v>
      </c>
      <c r="C12029" t="s">
        <v>607</v>
      </c>
      <c r="D12029">
        <v>2163.46</v>
      </c>
      <c r="E12029" s="37" t="str">
        <f t="shared" si="935"/>
        <v xml:space="preserve"> </v>
      </c>
      <c r="F12029">
        <v>0.23</v>
      </c>
      <c r="G12029" s="37" t="str">
        <f t="shared" si="936"/>
        <v>Normal Discount</v>
      </c>
      <c r="H12029" s="37" t="str">
        <f t="shared" si="937"/>
        <v>Medium</v>
      </c>
      <c r="I12029">
        <v>8</v>
      </c>
      <c r="J12029" t="str" cm="1">
        <f t="array" ref="J12029">_xlfn.IFS(I12029&lt;=3,"small",I12029&lt;=6,"Medium",I12029&lt;=9,"Large")</f>
        <v>Large</v>
      </c>
      <c r="K12029" s="36">
        <v>45540</v>
      </c>
      <c r="L12029" s="36">
        <v>45547</v>
      </c>
      <c r="M12029" t="s">
        <v>612</v>
      </c>
      <c r="N12029" t="s">
        <v>608</v>
      </c>
      <c r="O12029" s="37" t="str">
        <f t="shared" si="938"/>
        <v>Cash Payment</v>
      </c>
      <c r="P12029">
        <v>496.61</v>
      </c>
      <c r="Q12029" s="37" t="str">
        <f>IF(P12029&gt;500,"High","low")</f>
        <v>low</v>
      </c>
      <c r="R12029" s="37" t="str">
        <f t="shared" si="939"/>
        <v>AVERAGE</v>
      </c>
      <c r="S12029" t="s">
        <v>605</v>
      </c>
    </row>
    <row r="12030" spans="1:19" x14ac:dyDescent="0.2">
      <c r="A12030" t="s">
        <v>12641</v>
      </c>
      <c r="B12030" t="s">
        <v>67</v>
      </c>
      <c r="C12030" t="s">
        <v>602</v>
      </c>
      <c r="D12030">
        <v>662.62</v>
      </c>
      <c r="E12030" s="37" t="str">
        <f t="shared" si="935"/>
        <v xml:space="preserve"> </v>
      </c>
      <c r="F12030">
        <v>0.43</v>
      </c>
      <c r="G12030" s="37" t="str">
        <f t="shared" si="936"/>
        <v>Heavy Discount</v>
      </c>
      <c r="H12030" s="37" t="str">
        <f t="shared" si="937"/>
        <v>High</v>
      </c>
      <c r="I12030">
        <v>8</v>
      </c>
      <c r="J12030" t="str" cm="1">
        <f t="array" ref="J12030">_xlfn.IFS(I12030&lt;=3,"small",I12030&lt;=6,"Medium",I12030&lt;=9,"Large")</f>
        <v>Large</v>
      </c>
      <c r="K12030" s="36">
        <v>45046</v>
      </c>
      <c r="L12030" s="36">
        <v>45051</v>
      </c>
      <c r="M12030" t="s">
        <v>603</v>
      </c>
      <c r="N12030" t="s">
        <v>599</v>
      </c>
      <c r="O12030" s="37" t="str">
        <f t="shared" si="938"/>
        <v>Digital Payment</v>
      </c>
      <c r="P12030">
        <v>133.51</v>
      </c>
      <c r="Q12030" s="37" t="str">
        <f>IF(P12030&gt;500,"High","low")</f>
        <v>low</v>
      </c>
      <c r="R12030" s="37" t="str">
        <f t="shared" si="939"/>
        <v>AVERAGE</v>
      </c>
      <c r="S12030" t="s">
        <v>628</v>
      </c>
    </row>
    <row r="12031" spans="1:19" x14ac:dyDescent="0.2">
      <c r="A12031" t="s">
        <v>12642</v>
      </c>
      <c r="B12031" t="s">
        <v>67</v>
      </c>
      <c r="C12031" t="s">
        <v>614</v>
      </c>
      <c r="D12031">
        <v>4211.1000000000004</v>
      </c>
      <c r="E12031" s="37" t="str">
        <f t="shared" si="935"/>
        <v xml:space="preserve"> </v>
      </c>
      <c r="F12031">
        <v>0.38</v>
      </c>
      <c r="G12031" s="37" t="str">
        <f t="shared" si="936"/>
        <v>Heavy Discount</v>
      </c>
      <c r="H12031" s="37" t="str">
        <f t="shared" si="937"/>
        <v>Medium</v>
      </c>
      <c r="I12031">
        <v>8</v>
      </c>
      <c r="J12031" t="str" cm="1">
        <f t="array" ref="J12031">_xlfn.IFS(I12031&lt;=3,"small",I12031&lt;=6,"Medium",I12031&lt;=9,"Large")</f>
        <v>Large</v>
      </c>
      <c r="K12031" s="36">
        <v>45174</v>
      </c>
      <c r="L12031" s="36">
        <v>45181</v>
      </c>
      <c r="M12031" t="s">
        <v>612</v>
      </c>
      <c r="N12031" t="s">
        <v>608</v>
      </c>
      <c r="O12031" s="37" t="str">
        <f t="shared" si="938"/>
        <v>Cash Payment</v>
      </c>
      <c r="P12031">
        <v>577.49</v>
      </c>
      <c r="Q12031" s="37" t="str">
        <f>IF(P12031&gt;500,"High","low")</f>
        <v>High</v>
      </c>
      <c r="R12031" s="37" t="str">
        <f t="shared" si="939"/>
        <v>Good</v>
      </c>
      <c r="S12031" t="s">
        <v>605</v>
      </c>
    </row>
    <row r="12032" spans="1:19" x14ac:dyDescent="0.2">
      <c r="A12032" t="s">
        <v>12643</v>
      </c>
      <c r="B12032" t="s">
        <v>83</v>
      </c>
      <c r="C12032" t="s">
        <v>597</v>
      </c>
      <c r="D12032">
        <v>1774.06</v>
      </c>
      <c r="E12032" s="37" t="str">
        <f t="shared" si="935"/>
        <v xml:space="preserve"> </v>
      </c>
      <c r="F12032">
        <v>0.31</v>
      </c>
      <c r="G12032" s="37" t="str">
        <f t="shared" si="936"/>
        <v>Heavy Discount</v>
      </c>
      <c r="H12032" s="37" t="str">
        <f t="shared" si="937"/>
        <v>Medium</v>
      </c>
      <c r="I12032">
        <v>7</v>
      </c>
      <c r="J12032" t="str" cm="1">
        <f t="array" ref="J12032">_xlfn.IFS(I12032&lt;=3,"small",I12032&lt;=6,"Medium",I12032&lt;=9,"Large")</f>
        <v>Large</v>
      </c>
      <c r="K12032" s="36">
        <v>45265</v>
      </c>
      <c r="L12032" s="36">
        <v>45269</v>
      </c>
      <c r="M12032" t="s">
        <v>603</v>
      </c>
      <c r="N12032" t="s">
        <v>608</v>
      </c>
      <c r="O12032" s="37" t="str">
        <f t="shared" si="938"/>
        <v>Cash Payment</v>
      </c>
      <c r="P12032">
        <v>349.46</v>
      </c>
      <c r="Q12032" s="37" t="str">
        <f>IF(P12032&gt;500,"High","low")</f>
        <v>low</v>
      </c>
      <c r="R12032" s="37" t="str">
        <f t="shared" si="939"/>
        <v>AVERAGE</v>
      </c>
      <c r="S12032" t="s">
        <v>620</v>
      </c>
    </row>
    <row r="12033" spans="1:19" x14ac:dyDescent="0.2">
      <c r="A12033" t="s">
        <v>12644</v>
      </c>
      <c r="B12033" t="s">
        <v>75</v>
      </c>
      <c r="C12033" t="s">
        <v>607</v>
      </c>
      <c r="D12033">
        <v>755.55</v>
      </c>
      <c r="E12033" s="37" t="str">
        <f t="shared" si="935"/>
        <v xml:space="preserve"> </v>
      </c>
      <c r="F12033">
        <v>0.02</v>
      </c>
      <c r="G12033" s="37" t="str">
        <f t="shared" si="936"/>
        <v>Normal Discount</v>
      </c>
      <c r="H12033" s="37" t="str">
        <f t="shared" si="937"/>
        <v>Low</v>
      </c>
      <c r="I12033">
        <v>7</v>
      </c>
      <c r="J12033" t="str" cm="1">
        <f t="array" ref="J12033">_xlfn.IFS(I12033&lt;=3,"small",I12033&lt;=6,"Medium",I12033&lt;=9,"Large")</f>
        <v>Large</v>
      </c>
      <c r="K12033" s="36">
        <v>45244</v>
      </c>
      <c r="L12033" s="36">
        <v>45249</v>
      </c>
      <c r="M12033" t="s">
        <v>603</v>
      </c>
      <c r="N12033" t="s">
        <v>604</v>
      </c>
      <c r="O12033" s="37" t="str">
        <f t="shared" si="938"/>
        <v>Digital Payment</v>
      </c>
      <c r="P12033">
        <v>140.86000000000001</v>
      </c>
      <c r="Q12033" s="37" t="str">
        <f>IF(P12033&gt;500,"High","low")</f>
        <v>low</v>
      </c>
      <c r="R12033" s="37" t="str">
        <f t="shared" si="939"/>
        <v>AVERAGE</v>
      </c>
      <c r="S12033" t="s">
        <v>628</v>
      </c>
    </row>
    <row r="12034" spans="1:19" x14ac:dyDescent="0.2">
      <c r="A12034" t="s">
        <v>12645</v>
      </c>
      <c r="B12034" t="s">
        <v>67</v>
      </c>
      <c r="C12034" t="s">
        <v>614</v>
      </c>
      <c r="D12034">
        <v>3111.62</v>
      </c>
      <c r="E12034" s="37" t="str">
        <f t="shared" si="935"/>
        <v xml:space="preserve"> </v>
      </c>
      <c r="F12034">
        <v>0.35</v>
      </c>
      <c r="G12034" s="37" t="str">
        <f t="shared" si="936"/>
        <v>Heavy Discount</v>
      </c>
      <c r="H12034" s="37" t="str">
        <f t="shared" si="937"/>
        <v>Medium</v>
      </c>
      <c r="I12034">
        <v>6</v>
      </c>
      <c r="J12034" t="str" cm="1">
        <f t="array" ref="J12034">_xlfn.IFS(I12034&lt;=3,"small",I12034&lt;=6,"Medium",I12034&lt;=9,"Large")</f>
        <v>Medium</v>
      </c>
      <c r="K12034" s="36">
        <v>45643</v>
      </c>
      <c r="L12034" s="36">
        <v>45647</v>
      </c>
      <c r="M12034" t="s">
        <v>603</v>
      </c>
      <c r="N12034" t="s">
        <v>604</v>
      </c>
      <c r="O12034" s="37" t="str">
        <f t="shared" si="938"/>
        <v>Digital Payment</v>
      </c>
      <c r="P12034">
        <v>728.08</v>
      </c>
      <c r="Q12034" s="37" t="str">
        <f>IF(P12034&gt;500,"High","low")</f>
        <v>High</v>
      </c>
      <c r="R12034" s="37" t="str">
        <f t="shared" si="939"/>
        <v>Good</v>
      </c>
      <c r="S12034" t="s">
        <v>605</v>
      </c>
    </row>
    <row r="12035" spans="1:19" x14ac:dyDescent="0.2">
      <c r="A12035" t="s">
        <v>12646</v>
      </c>
      <c r="B12035" t="s">
        <v>67</v>
      </c>
      <c r="C12035" t="s">
        <v>597</v>
      </c>
      <c r="D12035">
        <v>2932.61</v>
      </c>
      <c r="E12035" s="37" t="str">
        <f t="shared" ref="E12035:E12098" si="940">IF(AND(D12035&gt;4000,P12035&gt;800),"Excellent Order"," ")</f>
        <v xml:space="preserve"> </v>
      </c>
      <c r="F12035">
        <v>0.28000000000000003</v>
      </c>
      <c r="G12035" s="37" t="str">
        <f t="shared" ref="G12035:G12098" si="941">IF(F12035&gt;30%,"Heavy Discount","Normal Discount")</f>
        <v>Normal Discount</v>
      </c>
      <c r="H12035" s="37" t="str">
        <f t="shared" ref="H12035:H12098" si="942">IF(F12035&gt;0.4,"High",IF(F12035&gt;=0.2,"Medium","Low"))</f>
        <v>Medium</v>
      </c>
      <c r="I12035">
        <v>7</v>
      </c>
      <c r="J12035" t="str" cm="1">
        <f t="array" ref="J12035">_xlfn.IFS(I12035&lt;=3,"small",I12035&lt;=6,"Medium",I12035&lt;=9,"Large")</f>
        <v>Large</v>
      </c>
      <c r="K12035" s="36">
        <v>45604</v>
      </c>
      <c r="L12035" s="36">
        <v>45606</v>
      </c>
      <c r="M12035" t="s">
        <v>603</v>
      </c>
      <c r="N12035" t="s">
        <v>599</v>
      </c>
      <c r="O12035" s="37" t="str">
        <f t="shared" ref="O12035:O12098" si="943">IF(OR(N12035="Card",N12035="UPI"),"Digital Payment","Cash Payment")</f>
        <v>Digital Payment</v>
      </c>
      <c r="P12035">
        <v>571.46</v>
      </c>
      <c r="Q12035" s="37" t="str">
        <f>IF(P12035&gt;500,"High","low")</f>
        <v>High</v>
      </c>
      <c r="R12035" s="37" t="str">
        <f t="shared" ref="R12035:R12098" si="944">IF(P12035&gt;1000,"Excellent",IF(P12035&gt;=500,"Good","AVERAGE"))</f>
        <v>Good</v>
      </c>
      <c r="S12035" t="s">
        <v>600</v>
      </c>
    </row>
    <row r="12036" spans="1:19" x14ac:dyDescent="0.2">
      <c r="A12036" t="s">
        <v>12647</v>
      </c>
      <c r="B12036" t="s">
        <v>83</v>
      </c>
      <c r="C12036" t="s">
        <v>602</v>
      </c>
      <c r="D12036">
        <v>2423.81</v>
      </c>
      <c r="E12036" s="37" t="str">
        <f t="shared" si="940"/>
        <v xml:space="preserve"> </v>
      </c>
      <c r="F12036">
        <v>0.35</v>
      </c>
      <c r="G12036" s="37" t="str">
        <f t="shared" si="941"/>
        <v>Heavy Discount</v>
      </c>
      <c r="H12036" s="37" t="str">
        <f t="shared" si="942"/>
        <v>Medium</v>
      </c>
      <c r="I12036">
        <v>9</v>
      </c>
      <c r="J12036" t="str" cm="1">
        <f t="array" ref="J12036">_xlfn.IFS(I12036&lt;=3,"small",I12036&lt;=6,"Medium",I12036&lt;=9,"Large")</f>
        <v>Large</v>
      </c>
      <c r="K12036" s="36">
        <v>45247</v>
      </c>
      <c r="L12036" s="36">
        <v>45254</v>
      </c>
      <c r="M12036" t="s">
        <v>598</v>
      </c>
      <c r="N12036" t="s">
        <v>599</v>
      </c>
      <c r="O12036" s="37" t="str">
        <f t="shared" si="943"/>
        <v>Digital Payment</v>
      </c>
      <c r="P12036">
        <v>520.57000000000005</v>
      </c>
      <c r="Q12036" s="37" t="str">
        <f>IF(P12036&gt;500,"High","low")</f>
        <v>High</v>
      </c>
      <c r="R12036" s="37" t="str">
        <f t="shared" si="944"/>
        <v>Good</v>
      </c>
      <c r="S12036" t="s">
        <v>605</v>
      </c>
    </row>
    <row r="12037" spans="1:19" x14ac:dyDescent="0.2">
      <c r="A12037" t="s">
        <v>12648</v>
      </c>
      <c r="B12037" t="s">
        <v>67</v>
      </c>
      <c r="C12037" t="s">
        <v>617</v>
      </c>
      <c r="D12037">
        <v>4313.01</v>
      </c>
      <c r="E12037" s="37" t="str">
        <f t="shared" si="940"/>
        <v>Excellent Order</v>
      </c>
      <c r="F12037">
        <v>0.16</v>
      </c>
      <c r="G12037" s="37" t="str">
        <f t="shared" si="941"/>
        <v>Normal Discount</v>
      </c>
      <c r="H12037" s="37" t="str">
        <f t="shared" si="942"/>
        <v>Low</v>
      </c>
      <c r="I12037">
        <v>5</v>
      </c>
      <c r="J12037" t="str" cm="1">
        <f t="array" ref="J12037">_xlfn.IFS(I12037&lt;=3,"small",I12037&lt;=6,"Medium",I12037&lt;=9,"Large")</f>
        <v>Medium</v>
      </c>
      <c r="K12037" s="36">
        <v>45193</v>
      </c>
      <c r="L12037" s="36">
        <v>45200</v>
      </c>
      <c r="M12037" t="s">
        <v>612</v>
      </c>
      <c r="N12037" t="s">
        <v>608</v>
      </c>
      <c r="O12037" s="37" t="str">
        <f t="shared" si="943"/>
        <v>Cash Payment</v>
      </c>
      <c r="P12037">
        <v>805.49</v>
      </c>
      <c r="Q12037" s="37" t="str">
        <f>IF(P12037&gt;500,"High","low")</f>
        <v>High</v>
      </c>
      <c r="R12037" s="37" t="str">
        <f t="shared" si="944"/>
        <v>Good</v>
      </c>
      <c r="S12037" t="s">
        <v>600</v>
      </c>
    </row>
    <row r="12038" spans="1:19" x14ac:dyDescent="0.2">
      <c r="A12038" t="s">
        <v>12649</v>
      </c>
      <c r="B12038" t="s">
        <v>67</v>
      </c>
      <c r="C12038" t="s">
        <v>607</v>
      </c>
      <c r="D12038">
        <v>1433.91</v>
      </c>
      <c r="E12038" s="37" t="str">
        <f t="shared" si="940"/>
        <v xml:space="preserve"> </v>
      </c>
      <c r="F12038">
        <v>0.39</v>
      </c>
      <c r="G12038" s="37" t="str">
        <f t="shared" si="941"/>
        <v>Heavy Discount</v>
      </c>
      <c r="H12038" s="37" t="str">
        <f t="shared" si="942"/>
        <v>Medium</v>
      </c>
      <c r="I12038">
        <v>9</v>
      </c>
      <c r="J12038" t="str" cm="1">
        <f t="array" ref="J12038">_xlfn.IFS(I12038&lt;=3,"small",I12038&lt;=6,"Medium",I12038&lt;=9,"Large")</f>
        <v>Large</v>
      </c>
      <c r="K12038" s="36">
        <v>45209</v>
      </c>
      <c r="L12038" s="36">
        <v>45213</v>
      </c>
      <c r="M12038" t="s">
        <v>603</v>
      </c>
      <c r="N12038" t="s">
        <v>604</v>
      </c>
      <c r="O12038" s="37" t="str">
        <f t="shared" si="943"/>
        <v>Digital Payment</v>
      </c>
      <c r="P12038">
        <v>128.57</v>
      </c>
      <c r="Q12038" s="37" t="str">
        <f>IF(P12038&gt;500,"High","low")</f>
        <v>low</v>
      </c>
      <c r="R12038" s="37" t="str">
        <f t="shared" si="944"/>
        <v>AVERAGE</v>
      </c>
      <c r="S12038" t="s">
        <v>605</v>
      </c>
    </row>
    <row r="12039" spans="1:19" x14ac:dyDescent="0.2">
      <c r="A12039" t="s">
        <v>12650</v>
      </c>
      <c r="B12039" t="s">
        <v>67</v>
      </c>
      <c r="C12039" t="s">
        <v>607</v>
      </c>
      <c r="D12039">
        <v>164.85</v>
      </c>
      <c r="E12039" s="37" t="str">
        <f t="shared" si="940"/>
        <v xml:space="preserve"> </v>
      </c>
      <c r="F12039">
        <v>0.21</v>
      </c>
      <c r="G12039" s="37" t="str">
        <f t="shared" si="941"/>
        <v>Normal Discount</v>
      </c>
      <c r="H12039" s="37" t="str">
        <f t="shared" si="942"/>
        <v>Medium</v>
      </c>
      <c r="I12039">
        <v>9</v>
      </c>
      <c r="J12039" t="str" cm="1">
        <f t="array" ref="J12039">_xlfn.IFS(I12039&lt;=3,"small",I12039&lt;=6,"Medium",I12039&lt;=9,"Large")</f>
        <v>Large</v>
      </c>
      <c r="K12039" s="36">
        <v>45411</v>
      </c>
      <c r="L12039" s="36">
        <v>45414</v>
      </c>
      <c r="M12039" t="s">
        <v>612</v>
      </c>
      <c r="N12039" t="s">
        <v>608</v>
      </c>
      <c r="O12039" s="37" t="str">
        <f t="shared" si="943"/>
        <v>Cash Payment</v>
      </c>
      <c r="P12039">
        <v>43.54</v>
      </c>
      <c r="Q12039" s="37" t="str">
        <f>IF(P12039&gt;500,"High","low")</f>
        <v>low</v>
      </c>
      <c r="R12039" s="37" t="str">
        <f t="shared" si="944"/>
        <v>AVERAGE</v>
      </c>
      <c r="S12039" t="s">
        <v>605</v>
      </c>
    </row>
    <row r="12040" spans="1:19" x14ac:dyDescent="0.2">
      <c r="A12040" t="s">
        <v>12651</v>
      </c>
      <c r="B12040" t="s">
        <v>83</v>
      </c>
      <c r="C12040" t="s">
        <v>597</v>
      </c>
      <c r="D12040">
        <v>1685</v>
      </c>
      <c r="E12040" s="37" t="str">
        <f t="shared" si="940"/>
        <v xml:space="preserve"> </v>
      </c>
      <c r="F12040">
        <v>0.45</v>
      </c>
      <c r="G12040" s="37" t="str">
        <f t="shared" si="941"/>
        <v>Heavy Discount</v>
      </c>
      <c r="H12040" s="37" t="str">
        <f t="shared" si="942"/>
        <v>High</v>
      </c>
      <c r="I12040">
        <v>4</v>
      </c>
      <c r="J12040" t="str" cm="1">
        <f t="array" ref="J12040">_xlfn.IFS(I12040&lt;=3,"small",I12040&lt;=6,"Medium",I12040&lt;=9,"Large")</f>
        <v>Medium</v>
      </c>
      <c r="K12040" s="36">
        <v>45496</v>
      </c>
      <c r="L12040" s="36">
        <v>45501</v>
      </c>
      <c r="M12040" t="s">
        <v>612</v>
      </c>
      <c r="N12040" t="s">
        <v>604</v>
      </c>
      <c r="O12040" s="37" t="str">
        <f t="shared" si="943"/>
        <v>Digital Payment</v>
      </c>
      <c r="P12040">
        <v>253.44</v>
      </c>
      <c r="Q12040" s="37" t="str">
        <f>IF(P12040&gt;500,"High","low")</f>
        <v>low</v>
      </c>
      <c r="R12040" s="37" t="str">
        <f t="shared" si="944"/>
        <v>AVERAGE</v>
      </c>
      <c r="S12040" t="s">
        <v>620</v>
      </c>
    </row>
    <row r="12041" spans="1:19" x14ac:dyDescent="0.2">
      <c r="A12041" t="s">
        <v>12652</v>
      </c>
      <c r="B12041" t="s">
        <v>67</v>
      </c>
      <c r="C12041" t="s">
        <v>617</v>
      </c>
      <c r="D12041">
        <v>147.56</v>
      </c>
      <c r="E12041" s="37" t="str">
        <f t="shared" si="940"/>
        <v xml:space="preserve"> </v>
      </c>
      <c r="F12041">
        <v>0.05</v>
      </c>
      <c r="G12041" s="37" t="str">
        <f t="shared" si="941"/>
        <v>Normal Discount</v>
      </c>
      <c r="H12041" s="37" t="str">
        <f t="shared" si="942"/>
        <v>Low</v>
      </c>
      <c r="I12041">
        <v>9</v>
      </c>
      <c r="J12041" t="str" cm="1">
        <f t="array" ref="J12041">_xlfn.IFS(I12041&lt;=3,"small",I12041&lt;=6,"Medium",I12041&lt;=9,"Large")</f>
        <v>Large</v>
      </c>
      <c r="K12041" s="36">
        <v>45157</v>
      </c>
      <c r="L12041" s="36">
        <v>45162</v>
      </c>
      <c r="M12041" t="s">
        <v>598</v>
      </c>
      <c r="N12041" t="s">
        <v>604</v>
      </c>
      <c r="O12041" s="37" t="str">
        <f t="shared" si="943"/>
        <v>Digital Payment</v>
      </c>
      <c r="P12041">
        <v>15.01</v>
      </c>
      <c r="Q12041" s="37" t="str">
        <f>IF(P12041&gt;500,"High","low")</f>
        <v>low</v>
      </c>
      <c r="R12041" s="37" t="str">
        <f t="shared" si="944"/>
        <v>AVERAGE</v>
      </c>
      <c r="S12041" t="s">
        <v>620</v>
      </c>
    </row>
    <row r="12042" spans="1:19" x14ac:dyDescent="0.2">
      <c r="A12042" t="s">
        <v>12653</v>
      </c>
      <c r="B12042" t="s">
        <v>67</v>
      </c>
      <c r="C12042" t="s">
        <v>614</v>
      </c>
      <c r="D12042">
        <v>2763.6</v>
      </c>
      <c r="E12042" s="37" t="str">
        <f t="shared" si="940"/>
        <v xml:space="preserve"> </v>
      </c>
      <c r="F12042">
        <v>0.24</v>
      </c>
      <c r="G12042" s="37" t="str">
        <f t="shared" si="941"/>
        <v>Normal Discount</v>
      </c>
      <c r="H12042" s="37" t="str">
        <f t="shared" si="942"/>
        <v>Medium</v>
      </c>
      <c r="I12042">
        <v>8</v>
      </c>
      <c r="J12042" t="str" cm="1">
        <f t="array" ref="J12042">_xlfn.IFS(I12042&lt;=3,"small",I12042&lt;=6,"Medium",I12042&lt;=9,"Large")</f>
        <v>Large</v>
      </c>
      <c r="K12042" s="36">
        <v>45119</v>
      </c>
      <c r="L12042" s="36">
        <v>45122</v>
      </c>
      <c r="M12042" t="s">
        <v>603</v>
      </c>
      <c r="N12042" t="s">
        <v>608</v>
      </c>
      <c r="O12042" s="37" t="str">
        <f t="shared" si="943"/>
        <v>Cash Payment</v>
      </c>
      <c r="P12042">
        <v>806</v>
      </c>
      <c r="Q12042" s="37" t="str">
        <f>IF(P12042&gt;500,"High","low")</f>
        <v>High</v>
      </c>
      <c r="R12042" s="37" t="str">
        <f t="shared" si="944"/>
        <v>Good</v>
      </c>
      <c r="S12042" t="s">
        <v>600</v>
      </c>
    </row>
    <row r="12043" spans="1:19" x14ac:dyDescent="0.2">
      <c r="A12043" t="s">
        <v>12654</v>
      </c>
      <c r="B12043" t="s">
        <v>75</v>
      </c>
      <c r="C12043" t="s">
        <v>602</v>
      </c>
      <c r="D12043">
        <v>1953.42</v>
      </c>
      <c r="E12043" s="37" t="str">
        <f t="shared" si="940"/>
        <v xml:space="preserve"> </v>
      </c>
      <c r="F12043">
        <v>0.1</v>
      </c>
      <c r="G12043" s="37" t="str">
        <f t="shared" si="941"/>
        <v>Normal Discount</v>
      </c>
      <c r="H12043" s="37" t="str">
        <f t="shared" si="942"/>
        <v>Low</v>
      </c>
      <c r="I12043">
        <v>5</v>
      </c>
      <c r="J12043" t="str" cm="1">
        <f t="array" ref="J12043">_xlfn.IFS(I12043&lt;=3,"small",I12043&lt;=6,"Medium",I12043&lt;=9,"Large")</f>
        <v>Medium</v>
      </c>
      <c r="K12043" s="36">
        <v>45453</v>
      </c>
      <c r="L12043" s="36">
        <v>45454</v>
      </c>
      <c r="M12043" t="s">
        <v>603</v>
      </c>
      <c r="N12043" t="s">
        <v>604</v>
      </c>
      <c r="O12043" s="37" t="str">
        <f t="shared" si="943"/>
        <v>Digital Payment</v>
      </c>
      <c r="P12043">
        <v>416.56</v>
      </c>
      <c r="Q12043" s="37" t="str">
        <f>IF(P12043&gt;500,"High","low")</f>
        <v>low</v>
      </c>
      <c r="R12043" s="37" t="str">
        <f t="shared" si="944"/>
        <v>AVERAGE</v>
      </c>
      <c r="S12043" t="s">
        <v>620</v>
      </c>
    </row>
    <row r="12044" spans="1:19" x14ac:dyDescent="0.2">
      <c r="A12044" t="s">
        <v>12655</v>
      </c>
      <c r="B12044" t="s">
        <v>75</v>
      </c>
      <c r="C12044" t="s">
        <v>614</v>
      </c>
      <c r="D12044">
        <v>4088.32</v>
      </c>
      <c r="E12044" s="37" t="str">
        <f t="shared" si="940"/>
        <v>Excellent Order</v>
      </c>
      <c r="F12044">
        <v>0.23</v>
      </c>
      <c r="G12044" s="37" t="str">
        <f t="shared" si="941"/>
        <v>Normal Discount</v>
      </c>
      <c r="H12044" s="37" t="str">
        <f t="shared" si="942"/>
        <v>Medium</v>
      </c>
      <c r="I12044">
        <v>3</v>
      </c>
      <c r="J12044" t="str" cm="1">
        <f t="array" ref="J12044">_xlfn.IFS(I12044&lt;=3,"small",I12044&lt;=6,"Medium",I12044&lt;=9,"Large")</f>
        <v>small</v>
      </c>
      <c r="K12044" s="36">
        <v>45271</v>
      </c>
      <c r="L12044" s="36">
        <v>45273</v>
      </c>
      <c r="M12044" t="s">
        <v>598</v>
      </c>
      <c r="N12044" t="s">
        <v>604</v>
      </c>
      <c r="O12044" s="37" t="str">
        <f t="shared" si="943"/>
        <v>Digital Payment</v>
      </c>
      <c r="P12044">
        <v>1145.52</v>
      </c>
      <c r="Q12044" s="37" t="str">
        <f>IF(P12044&gt;500,"High","low")</f>
        <v>High</v>
      </c>
      <c r="R12044" s="37" t="str">
        <f t="shared" si="944"/>
        <v>Excellent</v>
      </c>
      <c r="S12044" t="s">
        <v>615</v>
      </c>
    </row>
    <row r="12045" spans="1:19" x14ac:dyDescent="0.2">
      <c r="A12045" t="s">
        <v>12656</v>
      </c>
      <c r="B12045" t="s">
        <v>83</v>
      </c>
      <c r="C12045" t="s">
        <v>597</v>
      </c>
      <c r="D12045">
        <v>4008.17</v>
      </c>
      <c r="E12045" s="37" t="str">
        <f t="shared" si="940"/>
        <v xml:space="preserve"> </v>
      </c>
      <c r="F12045">
        <v>0.18</v>
      </c>
      <c r="G12045" s="37" t="str">
        <f t="shared" si="941"/>
        <v>Normal Discount</v>
      </c>
      <c r="H12045" s="37" t="str">
        <f t="shared" si="942"/>
        <v>Low</v>
      </c>
      <c r="I12045">
        <v>9</v>
      </c>
      <c r="J12045" t="str" cm="1">
        <f t="array" ref="J12045">_xlfn.IFS(I12045&lt;=3,"small",I12045&lt;=6,"Medium",I12045&lt;=9,"Large")</f>
        <v>Large</v>
      </c>
      <c r="K12045" s="36">
        <v>45183</v>
      </c>
      <c r="L12045" s="36">
        <v>45187</v>
      </c>
      <c r="M12045" t="s">
        <v>603</v>
      </c>
      <c r="N12045" t="s">
        <v>599</v>
      </c>
      <c r="O12045" s="37" t="str">
        <f t="shared" si="943"/>
        <v>Digital Payment</v>
      </c>
      <c r="P12045">
        <v>446.35</v>
      </c>
      <c r="Q12045" s="37" t="str">
        <f>IF(P12045&gt;500,"High","low")</f>
        <v>low</v>
      </c>
      <c r="R12045" s="37" t="str">
        <f t="shared" si="944"/>
        <v>AVERAGE</v>
      </c>
      <c r="S12045" t="s">
        <v>605</v>
      </c>
    </row>
    <row r="12046" spans="1:19" x14ac:dyDescent="0.2">
      <c r="A12046" t="s">
        <v>12657</v>
      </c>
      <c r="B12046" t="s">
        <v>90</v>
      </c>
      <c r="C12046" t="s">
        <v>607</v>
      </c>
      <c r="D12046">
        <v>2229.73</v>
      </c>
      <c r="E12046" s="37" t="str">
        <f t="shared" si="940"/>
        <v xml:space="preserve"> </v>
      </c>
      <c r="F12046">
        <v>0.4</v>
      </c>
      <c r="G12046" s="37" t="str">
        <f t="shared" si="941"/>
        <v>Heavy Discount</v>
      </c>
      <c r="H12046" s="37" t="str">
        <f t="shared" si="942"/>
        <v>Medium</v>
      </c>
      <c r="I12046">
        <v>3</v>
      </c>
      <c r="J12046" t="str" cm="1">
        <f t="array" ref="J12046">_xlfn.IFS(I12046&lt;=3,"small",I12046&lt;=6,"Medium",I12046&lt;=9,"Large")</f>
        <v>small</v>
      </c>
      <c r="K12046" s="36">
        <v>45457</v>
      </c>
      <c r="L12046" s="36">
        <v>45464</v>
      </c>
      <c r="M12046" t="s">
        <v>598</v>
      </c>
      <c r="N12046" t="s">
        <v>599</v>
      </c>
      <c r="O12046" s="37" t="str">
        <f t="shared" si="943"/>
        <v>Digital Payment</v>
      </c>
      <c r="P12046">
        <v>473.42</v>
      </c>
      <c r="Q12046" s="37" t="str">
        <f>IF(P12046&gt;500,"High","low")</f>
        <v>low</v>
      </c>
      <c r="R12046" s="37" t="str">
        <f t="shared" si="944"/>
        <v>AVERAGE</v>
      </c>
      <c r="S12046" t="s">
        <v>605</v>
      </c>
    </row>
    <row r="12047" spans="1:19" x14ac:dyDescent="0.2">
      <c r="A12047" t="s">
        <v>12658</v>
      </c>
      <c r="B12047" t="s">
        <v>75</v>
      </c>
      <c r="C12047" t="s">
        <v>607</v>
      </c>
      <c r="D12047">
        <v>1160.78</v>
      </c>
      <c r="E12047" s="37" t="str">
        <f t="shared" si="940"/>
        <v xml:space="preserve"> </v>
      </c>
      <c r="F12047">
        <v>0.08</v>
      </c>
      <c r="G12047" s="37" t="str">
        <f t="shared" si="941"/>
        <v>Normal Discount</v>
      </c>
      <c r="H12047" s="37" t="str">
        <f t="shared" si="942"/>
        <v>Low</v>
      </c>
      <c r="I12047">
        <v>3</v>
      </c>
      <c r="J12047" t="str" cm="1">
        <f t="array" ref="J12047">_xlfn.IFS(I12047&lt;=3,"small",I12047&lt;=6,"Medium",I12047&lt;=9,"Large")</f>
        <v>small</v>
      </c>
      <c r="K12047" s="36">
        <v>45110</v>
      </c>
      <c r="L12047" s="36">
        <v>45112</v>
      </c>
      <c r="M12047" t="s">
        <v>603</v>
      </c>
      <c r="N12047" t="s">
        <v>599</v>
      </c>
      <c r="O12047" s="37" t="str">
        <f t="shared" si="943"/>
        <v>Digital Payment</v>
      </c>
      <c r="P12047">
        <v>183.51</v>
      </c>
      <c r="Q12047" s="37" t="str">
        <f>IF(P12047&gt;500,"High","low")</f>
        <v>low</v>
      </c>
      <c r="R12047" s="37" t="str">
        <f t="shared" si="944"/>
        <v>AVERAGE</v>
      </c>
      <c r="S12047" t="s">
        <v>609</v>
      </c>
    </row>
    <row r="12048" spans="1:19" x14ac:dyDescent="0.2">
      <c r="A12048" t="s">
        <v>12659</v>
      </c>
      <c r="B12048" t="s">
        <v>83</v>
      </c>
      <c r="C12048" t="s">
        <v>614</v>
      </c>
      <c r="D12048">
        <v>2169.91</v>
      </c>
      <c r="E12048" s="37" t="str">
        <f t="shared" si="940"/>
        <v xml:space="preserve"> </v>
      </c>
      <c r="F12048">
        <v>0.3</v>
      </c>
      <c r="G12048" s="37" t="str">
        <f t="shared" si="941"/>
        <v>Normal Discount</v>
      </c>
      <c r="H12048" s="37" t="str">
        <f t="shared" si="942"/>
        <v>Medium</v>
      </c>
      <c r="I12048">
        <v>3</v>
      </c>
      <c r="J12048" t="str" cm="1">
        <f t="array" ref="J12048">_xlfn.IFS(I12048&lt;=3,"small",I12048&lt;=6,"Medium",I12048&lt;=9,"Large")</f>
        <v>small</v>
      </c>
      <c r="K12048" s="36">
        <v>45630</v>
      </c>
      <c r="L12048" s="36">
        <v>45637</v>
      </c>
      <c r="M12048" t="s">
        <v>598</v>
      </c>
      <c r="N12048" t="s">
        <v>604</v>
      </c>
      <c r="O12048" s="37" t="str">
        <f t="shared" si="943"/>
        <v>Digital Payment</v>
      </c>
      <c r="P12048">
        <v>131.66999999999999</v>
      </c>
      <c r="Q12048" s="37" t="str">
        <f>IF(P12048&gt;500,"High","low")</f>
        <v>low</v>
      </c>
      <c r="R12048" s="37" t="str">
        <f t="shared" si="944"/>
        <v>AVERAGE</v>
      </c>
      <c r="S12048" t="s">
        <v>609</v>
      </c>
    </row>
    <row r="12049" spans="1:19" x14ac:dyDescent="0.2">
      <c r="A12049" t="s">
        <v>12660</v>
      </c>
      <c r="B12049" t="s">
        <v>67</v>
      </c>
      <c r="C12049" t="s">
        <v>602</v>
      </c>
      <c r="D12049">
        <v>3242.46</v>
      </c>
      <c r="E12049" s="37" t="str">
        <f t="shared" si="940"/>
        <v xml:space="preserve"> </v>
      </c>
      <c r="F12049">
        <v>0.2</v>
      </c>
      <c r="G12049" s="37" t="str">
        <f t="shared" si="941"/>
        <v>Normal Discount</v>
      </c>
      <c r="H12049" s="37" t="str">
        <f t="shared" si="942"/>
        <v>Medium</v>
      </c>
      <c r="I12049">
        <v>1</v>
      </c>
      <c r="J12049" t="str" cm="1">
        <f t="array" ref="J12049">_xlfn.IFS(I12049&lt;=3,"small",I12049&lt;=6,"Medium",I12049&lt;=9,"Large")</f>
        <v>small</v>
      </c>
      <c r="K12049" s="36">
        <v>45502</v>
      </c>
      <c r="L12049" s="36">
        <v>45509</v>
      </c>
      <c r="M12049" t="s">
        <v>598</v>
      </c>
      <c r="N12049" t="s">
        <v>608</v>
      </c>
      <c r="O12049" s="37" t="str">
        <f t="shared" si="943"/>
        <v>Cash Payment</v>
      </c>
      <c r="P12049">
        <v>546.73</v>
      </c>
      <c r="Q12049" s="37" t="str">
        <f>IF(P12049&gt;500,"High","low")</f>
        <v>High</v>
      </c>
      <c r="R12049" s="37" t="str">
        <f t="shared" si="944"/>
        <v>Good</v>
      </c>
      <c r="S12049" t="s">
        <v>600</v>
      </c>
    </row>
    <row r="12050" spans="1:19" x14ac:dyDescent="0.2">
      <c r="A12050" t="s">
        <v>12661</v>
      </c>
      <c r="B12050" t="s">
        <v>67</v>
      </c>
      <c r="C12050" t="s">
        <v>597</v>
      </c>
      <c r="D12050">
        <v>1032.01</v>
      </c>
      <c r="E12050" s="37" t="str">
        <f t="shared" si="940"/>
        <v xml:space="preserve"> </v>
      </c>
      <c r="F12050">
        <v>0.26</v>
      </c>
      <c r="G12050" s="37" t="str">
        <f t="shared" si="941"/>
        <v>Normal Discount</v>
      </c>
      <c r="H12050" s="37" t="str">
        <f t="shared" si="942"/>
        <v>Medium</v>
      </c>
      <c r="I12050">
        <v>6</v>
      </c>
      <c r="J12050" t="str" cm="1">
        <f t="array" ref="J12050">_xlfn.IFS(I12050&lt;=3,"small",I12050&lt;=6,"Medium",I12050&lt;=9,"Large")</f>
        <v>Medium</v>
      </c>
      <c r="K12050" s="36">
        <v>45114</v>
      </c>
      <c r="L12050" s="36">
        <v>45117</v>
      </c>
      <c r="M12050" t="s">
        <v>612</v>
      </c>
      <c r="N12050" t="s">
        <v>608</v>
      </c>
      <c r="O12050" s="37" t="str">
        <f t="shared" si="943"/>
        <v>Cash Payment</v>
      </c>
      <c r="P12050">
        <v>140.47999999999999</v>
      </c>
      <c r="Q12050" s="37" t="str">
        <f>IF(P12050&gt;500,"High","low")</f>
        <v>low</v>
      </c>
      <c r="R12050" s="37" t="str">
        <f t="shared" si="944"/>
        <v>AVERAGE</v>
      </c>
      <c r="S12050" t="s">
        <v>615</v>
      </c>
    </row>
    <row r="12051" spans="1:19" x14ac:dyDescent="0.2">
      <c r="A12051" t="s">
        <v>12662</v>
      </c>
      <c r="B12051" t="s">
        <v>83</v>
      </c>
      <c r="C12051" t="s">
        <v>602</v>
      </c>
      <c r="D12051">
        <v>3887.93</v>
      </c>
      <c r="E12051" s="37" t="str">
        <f t="shared" si="940"/>
        <v xml:space="preserve"> </v>
      </c>
      <c r="F12051">
        <v>0.36</v>
      </c>
      <c r="G12051" s="37" t="str">
        <f t="shared" si="941"/>
        <v>Heavy Discount</v>
      </c>
      <c r="H12051" s="37" t="str">
        <f t="shared" si="942"/>
        <v>Medium</v>
      </c>
      <c r="I12051">
        <v>3</v>
      </c>
      <c r="J12051" t="str" cm="1">
        <f t="array" ref="J12051">_xlfn.IFS(I12051&lt;=3,"small",I12051&lt;=6,"Medium",I12051&lt;=9,"Large")</f>
        <v>small</v>
      </c>
      <c r="K12051" s="36">
        <v>45605</v>
      </c>
      <c r="L12051" s="36">
        <v>45607</v>
      </c>
      <c r="M12051" t="s">
        <v>598</v>
      </c>
      <c r="N12051" t="s">
        <v>608</v>
      </c>
      <c r="O12051" s="37" t="str">
        <f t="shared" si="943"/>
        <v>Cash Payment</v>
      </c>
      <c r="P12051">
        <v>279.58999999999997</v>
      </c>
      <c r="Q12051" s="37" t="str">
        <f>IF(P12051&gt;500,"High","low")</f>
        <v>low</v>
      </c>
      <c r="R12051" s="37" t="str">
        <f t="shared" si="944"/>
        <v>AVERAGE</v>
      </c>
      <c r="S12051" t="s">
        <v>609</v>
      </c>
    </row>
    <row r="12052" spans="1:19" x14ac:dyDescent="0.2">
      <c r="A12052" t="s">
        <v>12663</v>
      </c>
      <c r="B12052" t="s">
        <v>67</v>
      </c>
      <c r="C12052" t="s">
        <v>597</v>
      </c>
      <c r="D12052">
        <v>1719.75</v>
      </c>
      <c r="E12052" s="37" t="str">
        <f t="shared" si="940"/>
        <v xml:space="preserve"> </v>
      </c>
      <c r="F12052">
        <v>0.18</v>
      </c>
      <c r="G12052" s="37" t="str">
        <f t="shared" si="941"/>
        <v>Normal Discount</v>
      </c>
      <c r="H12052" s="37" t="str">
        <f t="shared" si="942"/>
        <v>Low</v>
      </c>
      <c r="I12052">
        <v>3</v>
      </c>
      <c r="J12052" t="str" cm="1">
        <f t="array" ref="J12052">_xlfn.IFS(I12052&lt;=3,"small",I12052&lt;=6,"Medium",I12052&lt;=9,"Large")</f>
        <v>small</v>
      </c>
      <c r="K12052" s="36">
        <v>44992</v>
      </c>
      <c r="L12052" s="36">
        <v>44993</v>
      </c>
      <c r="M12052" t="s">
        <v>603</v>
      </c>
      <c r="N12052" t="s">
        <v>608</v>
      </c>
      <c r="O12052" s="37" t="str">
        <f t="shared" si="943"/>
        <v>Cash Payment</v>
      </c>
      <c r="P12052">
        <v>408.31</v>
      </c>
      <c r="Q12052" s="37" t="str">
        <f>IF(P12052&gt;500,"High","low")</f>
        <v>low</v>
      </c>
      <c r="R12052" s="37" t="str">
        <f t="shared" si="944"/>
        <v>AVERAGE</v>
      </c>
      <c r="S12052" t="s">
        <v>628</v>
      </c>
    </row>
    <row r="12053" spans="1:19" x14ac:dyDescent="0.2">
      <c r="A12053" t="s">
        <v>12664</v>
      </c>
      <c r="B12053" t="s">
        <v>67</v>
      </c>
      <c r="C12053" t="s">
        <v>602</v>
      </c>
      <c r="D12053">
        <v>4667.67</v>
      </c>
      <c r="E12053" s="37" t="str">
        <f t="shared" si="940"/>
        <v>Excellent Order</v>
      </c>
      <c r="F12053">
        <v>0.18</v>
      </c>
      <c r="G12053" s="37" t="str">
        <f t="shared" si="941"/>
        <v>Normal Discount</v>
      </c>
      <c r="H12053" s="37" t="str">
        <f t="shared" si="942"/>
        <v>Low</v>
      </c>
      <c r="I12053">
        <v>9</v>
      </c>
      <c r="J12053" t="str" cm="1">
        <f t="array" ref="J12053">_xlfn.IFS(I12053&lt;=3,"small",I12053&lt;=6,"Medium",I12053&lt;=9,"Large")</f>
        <v>Large</v>
      </c>
      <c r="K12053" s="36">
        <v>45214</v>
      </c>
      <c r="L12053" s="36">
        <v>45220</v>
      </c>
      <c r="M12053" t="s">
        <v>603</v>
      </c>
      <c r="N12053" t="s">
        <v>599</v>
      </c>
      <c r="O12053" s="37" t="str">
        <f t="shared" si="943"/>
        <v>Digital Payment</v>
      </c>
      <c r="P12053">
        <v>874.22</v>
      </c>
      <c r="Q12053" s="37" t="str">
        <f>IF(P12053&gt;500,"High","low")</f>
        <v>High</v>
      </c>
      <c r="R12053" s="37" t="str">
        <f t="shared" si="944"/>
        <v>Good</v>
      </c>
      <c r="S12053" t="s">
        <v>615</v>
      </c>
    </row>
    <row r="12054" spans="1:19" x14ac:dyDescent="0.2">
      <c r="A12054" t="s">
        <v>12665</v>
      </c>
      <c r="B12054" t="s">
        <v>90</v>
      </c>
      <c r="C12054" t="s">
        <v>614</v>
      </c>
      <c r="D12054">
        <v>2608.17</v>
      </c>
      <c r="E12054" s="37" t="str">
        <f t="shared" si="940"/>
        <v xml:space="preserve"> </v>
      </c>
      <c r="F12054">
        <v>0.04</v>
      </c>
      <c r="G12054" s="37" t="str">
        <f t="shared" si="941"/>
        <v>Normal Discount</v>
      </c>
      <c r="H12054" s="37" t="str">
        <f t="shared" si="942"/>
        <v>Low</v>
      </c>
      <c r="I12054">
        <v>7</v>
      </c>
      <c r="J12054" t="str" cm="1">
        <f t="array" ref="J12054">_xlfn.IFS(I12054&lt;=3,"small",I12054&lt;=6,"Medium",I12054&lt;=9,"Large")</f>
        <v>Large</v>
      </c>
      <c r="K12054" s="36">
        <v>44977</v>
      </c>
      <c r="L12054" s="36">
        <v>44983</v>
      </c>
      <c r="M12054" t="s">
        <v>603</v>
      </c>
      <c r="N12054" t="s">
        <v>604</v>
      </c>
      <c r="O12054" s="37" t="str">
        <f t="shared" si="943"/>
        <v>Digital Payment</v>
      </c>
      <c r="P12054">
        <v>152.16999999999999</v>
      </c>
      <c r="Q12054" s="37" t="str">
        <f>IF(P12054&gt;500,"High","low")</f>
        <v>low</v>
      </c>
      <c r="R12054" s="37" t="str">
        <f t="shared" si="944"/>
        <v>AVERAGE</v>
      </c>
      <c r="S12054" t="s">
        <v>615</v>
      </c>
    </row>
    <row r="12055" spans="1:19" x14ac:dyDescent="0.2">
      <c r="A12055" t="s">
        <v>12666</v>
      </c>
      <c r="B12055" t="s">
        <v>67</v>
      </c>
      <c r="C12055" t="s">
        <v>617</v>
      </c>
      <c r="D12055">
        <v>4250.92</v>
      </c>
      <c r="E12055" s="37" t="str">
        <f t="shared" si="940"/>
        <v xml:space="preserve"> </v>
      </c>
      <c r="F12055">
        <v>0.28000000000000003</v>
      </c>
      <c r="G12055" s="37" t="str">
        <f t="shared" si="941"/>
        <v>Normal Discount</v>
      </c>
      <c r="H12055" s="37" t="str">
        <f t="shared" si="942"/>
        <v>Medium</v>
      </c>
      <c r="I12055">
        <v>8</v>
      </c>
      <c r="J12055" t="str" cm="1">
        <f t="array" ref="J12055">_xlfn.IFS(I12055&lt;=3,"small",I12055&lt;=6,"Medium",I12055&lt;=9,"Large")</f>
        <v>Large</v>
      </c>
      <c r="K12055" s="36">
        <v>45495</v>
      </c>
      <c r="L12055" s="36">
        <v>45497</v>
      </c>
      <c r="M12055" t="s">
        <v>598</v>
      </c>
      <c r="N12055" t="s">
        <v>599</v>
      </c>
      <c r="O12055" s="37" t="str">
        <f t="shared" si="943"/>
        <v>Digital Payment</v>
      </c>
      <c r="P12055">
        <v>470.91</v>
      </c>
      <c r="Q12055" s="37" t="str">
        <f>IF(P12055&gt;500,"High","low")</f>
        <v>low</v>
      </c>
      <c r="R12055" s="37" t="str">
        <f t="shared" si="944"/>
        <v>AVERAGE</v>
      </c>
      <c r="S12055" t="s">
        <v>600</v>
      </c>
    </row>
    <row r="12056" spans="1:19" x14ac:dyDescent="0.2">
      <c r="A12056" t="s">
        <v>12667</v>
      </c>
      <c r="B12056" t="s">
        <v>75</v>
      </c>
      <c r="C12056" t="s">
        <v>597</v>
      </c>
      <c r="D12056">
        <v>3117.87</v>
      </c>
      <c r="E12056" s="37" t="str">
        <f t="shared" si="940"/>
        <v xml:space="preserve"> </v>
      </c>
      <c r="F12056">
        <v>0.21</v>
      </c>
      <c r="G12056" s="37" t="str">
        <f t="shared" si="941"/>
        <v>Normal Discount</v>
      </c>
      <c r="H12056" s="37" t="str">
        <f t="shared" si="942"/>
        <v>Medium</v>
      </c>
      <c r="I12056">
        <v>1</v>
      </c>
      <c r="J12056" t="str" cm="1">
        <f t="array" ref="J12056">_xlfn.IFS(I12056&lt;=3,"small",I12056&lt;=6,"Medium",I12056&lt;=9,"Large")</f>
        <v>small</v>
      </c>
      <c r="K12056" s="36">
        <v>45010</v>
      </c>
      <c r="L12056" s="36">
        <v>45014</v>
      </c>
      <c r="M12056" t="s">
        <v>603</v>
      </c>
      <c r="N12056" t="s">
        <v>608</v>
      </c>
      <c r="O12056" s="37" t="str">
        <f t="shared" si="943"/>
        <v>Cash Payment</v>
      </c>
      <c r="P12056">
        <v>910.13</v>
      </c>
      <c r="Q12056" s="37" t="str">
        <f>IF(P12056&gt;500,"High","low")</f>
        <v>High</v>
      </c>
      <c r="R12056" s="37" t="str">
        <f t="shared" si="944"/>
        <v>Good</v>
      </c>
      <c r="S12056" t="s">
        <v>609</v>
      </c>
    </row>
    <row r="12057" spans="1:19" x14ac:dyDescent="0.2">
      <c r="A12057" t="s">
        <v>12668</v>
      </c>
      <c r="B12057" t="s">
        <v>67</v>
      </c>
      <c r="C12057" t="s">
        <v>614</v>
      </c>
      <c r="D12057">
        <v>2817.55</v>
      </c>
      <c r="E12057" s="37" t="str">
        <f t="shared" si="940"/>
        <v xml:space="preserve"> </v>
      </c>
      <c r="F12057">
        <v>0.41</v>
      </c>
      <c r="G12057" s="37" t="str">
        <f t="shared" si="941"/>
        <v>Heavy Discount</v>
      </c>
      <c r="H12057" s="37" t="str">
        <f t="shared" si="942"/>
        <v>High</v>
      </c>
      <c r="I12057">
        <v>8</v>
      </c>
      <c r="J12057" t="str" cm="1">
        <f t="array" ref="J12057">_xlfn.IFS(I12057&lt;=3,"small",I12057&lt;=6,"Medium",I12057&lt;=9,"Large")</f>
        <v>Large</v>
      </c>
      <c r="K12057" s="36">
        <v>45114</v>
      </c>
      <c r="L12057" s="36">
        <v>45117</v>
      </c>
      <c r="M12057" t="s">
        <v>598</v>
      </c>
      <c r="N12057" t="s">
        <v>608</v>
      </c>
      <c r="O12057" s="37" t="str">
        <f t="shared" si="943"/>
        <v>Cash Payment</v>
      </c>
      <c r="P12057">
        <v>647.94000000000005</v>
      </c>
      <c r="Q12057" s="37" t="str">
        <f>IF(P12057&gt;500,"High","low")</f>
        <v>High</v>
      </c>
      <c r="R12057" s="37" t="str">
        <f t="shared" si="944"/>
        <v>Good</v>
      </c>
      <c r="S12057" t="s">
        <v>628</v>
      </c>
    </row>
    <row r="12058" spans="1:19" x14ac:dyDescent="0.2">
      <c r="A12058" t="s">
        <v>12669</v>
      </c>
      <c r="B12058" t="s">
        <v>83</v>
      </c>
      <c r="C12058" t="s">
        <v>607</v>
      </c>
      <c r="D12058">
        <v>3442.44</v>
      </c>
      <c r="E12058" s="37" t="str">
        <f t="shared" si="940"/>
        <v xml:space="preserve"> </v>
      </c>
      <c r="F12058">
        <v>0.22</v>
      </c>
      <c r="G12058" s="37" t="str">
        <f t="shared" si="941"/>
        <v>Normal Discount</v>
      </c>
      <c r="H12058" s="37" t="str">
        <f t="shared" si="942"/>
        <v>Medium</v>
      </c>
      <c r="I12058">
        <v>8</v>
      </c>
      <c r="J12058" t="str" cm="1">
        <f t="array" ref="J12058">_xlfn.IFS(I12058&lt;=3,"small",I12058&lt;=6,"Medium",I12058&lt;=9,"Large")</f>
        <v>Large</v>
      </c>
      <c r="K12058" s="36">
        <v>45109</v>
      </c>
      <c r="L12058" s="36">
        <v>45110</v>
      </c>
      <c r="M12058" t="s">
        <v>598</v>
      </c>
      <c r="N12058" t="s">
        <v>608</v>
      </c>
      <c r="O12058" s="37" t="str">
        <f t="shared" si="943"/>
        <v>Cash Payment</v>
      </c>
      <c r="P12058">
        <v>967.34</v>
      </c>
      <c r="Q12058" s="37" t="str">
        <f>IF(P12058&gt;500,"High","low")</f>
        <v>High</v>
      </c>
      <c r="R12058" s="37" t="str">
        <f t="shared" si="944"/>
        <v>Good</v>
      </c>
      <c r="S12058" t="s">
        <v>620</v>
      </c>
    </row>
    <row r="12059" spans="1:19" x14ac:dyDescent="0.2">
      <c r="A12059" t="s">
        <v>12670</v>
      </c>
      <c r="B12059" t="s">
        <v>90</v>
      </c>
      <c r="C12059" t="s">
        <v>607</v>
      </c>
      <c r="D12059">
        <v>4076.31</v>
      </c>
      <c r="E12059" s="37" t="str">
        <f t="shared" si="940"/>
        <v xml:space="preserve"> </v>
      </c>
      <c r="F12059">
        <v>0.49</v>
      </c>
      <c r="G12059" s="37" t="str">
        <f t="shared" si="941"/>
        <v>Heavy Discount</v>
      </c>
      <c r="H12059" s="37" t="str">
        <f t="shared" si="942"/>
        <v>High</v>
      </c>
      <c r="I12059">
        <v>8</v>
      </c>
      <c r="J12059" t="str" cm="1">
        <f t="array" ref="J12059">_xlfn.IFS(I12059&lt;=3,"small",I12059&lt;=6,"Medium",I12059&lt;=9,"Large")</f>
        <v>Large</v>
      </c>
      <c r="K12059" s="36">
        <v>45429</v>
      </c>
      <c r="L12059" s="36">
        <v>45430</v>
      </c>
      <c r="M12059" t="s">
        <v>598</v>
      </c>
      <c r="N12059" t="s">
        <v>599</v>
      </c>
      <c r="O12059" s="37" t="str">
        <f t="shared" si="943"/>
        <v>Digital Payment</v>
      </c>
      <c r="P12059">
        <v>772.23</v>
      </c>
      <c r="Q12059" s="37" t="str">
        <f>IF(P12059&gt;500,"High","low")</f>
        <v>High</v>
      </c>
      <c r="R12059" s="37" t="str">
        <f t="shared" si="944"/>
        <v>Good</v>
      </c>
      <c r="S12059" t="s">
        <v>620</v>
      </c>
    </row>
    <row r="12060" spans="1:19" x14ac:dyDescent="0.2">
      <c r="A12060" t="s">
        <v>12671</v>
      </c>
      <c r="B12060" t="s">
        <v>67</v>
      </c>
      <c r="C12060" t="s">
        <v>602</v>
      </c>
      <c r="D12060">
        <v>3258.09</v>
      </c>
      <c r="E12060" s="37" t="str">
        <f t="shared" si="940"/>
        <v xml:space="preserve"> </v>
      </c>
      <c r="F12060">
        <v>0.09</v>
      </c>
      <c r="G12060" s="37" t="str">
        <f t="shared" si="941"/>
        <v>Normal Discount</v>
      </c>
      <c r="H12060" s="37" t="str">
        <f t="shared" si="942"/>
        <v>Low</v>
      </c>
      <c r="I12060">
        <v>6</v>
      </c>
      <c r="J12060" t="str" cm="1">
        <f t="array" ref="J12060">_xlfn.IFS(I12060&lt;=3,"small",I12060&lt;=6,"Medium",I12060&lt;=9,"Large")</f>
        <v>Medium</v>
      </c>
      <c r="K12060" s="36">
        <v>45445</v>
      </c>
      <c r="L12060" s="36">
        <v>45446</v>
      </c>
      <c r="M12060" t="s">
        <v>603</v>
      </c>
      <c r="N12060" t="s">
        <v>604</v>
      </c>
      <c r="O12060" s="37" t="str">
        <f t="shared" si="943"/>
        <v>Digital Payment</v>
      </c>
      <c r="P12060">
        <v>837.85</v>
      </c>
      <c r="Q12060" s="37" t="str">
        <f>IF(P12060&gt;500,"High","low")</f>
        <v>High</v>
      </c>
      <c r="R12060" s="37" t="str">
        <f t="shared" si="944"/>
        <v>Good</v>
      </c>
      <c r="S12060" t="s">
        <v>605</v>
      </c>
    </row>
    <row r="12061" spans="1:19" x14ac:dyDescent="0.2">
      <c r="A12061" t="s">
        <v>12672</v>
      </c>
      <c r="B12061" t="s">
        <v>83</v>
      </c>
      <c r="C12061" t="s">
        <v>607</v>
      </c>
      <c r="D12061">
        <v>4006.48</v>
      </c>
      <c r="E12061" s="37" t="str">
        <f t="shared" si="940"/>
        <v xml:space="preserve"> </v>
      </c>
      <c r="F12061">
        <v>0.13</v>
      </c>
      <c r="G12061" s="37" t="str">
        <f t="shared" si="941"/>
        <v>Normal Discount</v>
      </c>
      <c r="H12061" s="37" t="str">
        <f t="shared" si="942"/>
        <v>Low</v>
      </c>
      <c r="I12061">
        <v>5</v>
      </c>
      <c r="J12061" t="str" cm="1">
        <f t="array" ref="J12061">_xlfn.IFS(I12061&lt;=3,"small",I12061&lt;=6,"Medium",I12061&lt;=9,"Large")</f>
        <v>Medium</v>
      </c>
      <c r="K12061" s="36">
        <v>45263</v>
      </c>
      <c r="L12061" s="36">
        <v>45268</v>
      </c>
      <c r="M12061" t="s">
        <v>598</v>
      </c>
      <c r="N12061" t="s">
        <v>608</v>
      </c>
      <c r="O12061" s="37" t="str">
        <f t="shared" si="943"/>
        <v>Cash Payment</v>
      </c>
      <c r="P12061">
        <v>710.31</v>
      </c>
      <c r="Q12061" s="37" t="str">
        <f>IF(P12061&gt;500,"High","low")</f>
        <v>High</v>
      </c>
      <c r="R12061" s="37" t="str">
        <f t="shared" si="944"/>
        <v>Good</v>
      </c>
      <c r="S12061" t="s">
        <v>600</v>
      </c>
    </row>
    <row r="12062" spans="1:19" x14ac:dyDescent="0.2">
      <c r="A12062" t="s">
        <v>12673</v>
      </c>
      <c r="B12062" t="s">
        <v>75</v>
      </c>
      <c r="C12062" t="s">
        <v>617</v>
      </c>
      <c r="D12062">
        <v>1033.28</v>
      </c>
      <c r="E12062" s="37" t="str">
        <f t="shared" si="940"/>
        <v xml:space="preserve"> </v>
      </c>
      <c r="F12062">
        <v>0.2</v>
      </c>
      <c r="G12062" s="37" t="str">
        <f t="shared" si="941"/>
        <v>Normal Discount</v>
      </c>
      <c r="H12062" s="37" t="str">
        <f t="shared" si="942"/>
        <v>Medium</v>
      </c>
      <c r="I12062">
        <v>4</v>
      </c>
      <c r="J12062" t="str" cm="1">
        <f t="array" ref="J12062">_xlfn.IFS(I12062&lt;=3,"small",I12062&lt;=6,"Medium",I12062&lt;=9,"Large")</f>
        <v>Medium</v>
      </c>
      <c r="K12062" s="36">
        <v>45080</v>
      </c>
      <c r="L12062" s="36">
        <v>45082</v>
      </c>
      <c r="M12062" t="s">
        <v>603</v>
      </c>
      <c r="N12062" t="s">
        <v>604</v>
      </c>
      <c r="O12062" s="37" t="str">
        <f t="shared" si="943"/>
        <v>Digital Payment</v>
      </c>
      <c r="P12062">
        <v>177.29</v>
      </c>
      <c r="Q12062" s="37" t="str">
        <f>IF(P12062&gt;500,"High","low")</f>
        <v>low</v>
      </c>
      <c r="R12062" s="37" t="str">
        <f t="shared" si="944"/>
        <v>AVERAGE</v>
      </c>
      <c r="S12062" t="s">
        <v>615</v>
      </c>
    </row>
    <row r="12063" spans="1:19" x14ac:dyDescent="0.2">
      <c r="A12063" t="s">
        <v>12674</v>
      </c>
      <c r="B12063" t="s">
        <v>67</v>
      </c>
      <c r="C12063" t="s">
        <v>597</v>
      </c>
      <c r="D12063">
        <v>1459.83</v>
      </c>
      <c r="E12063" s="37" t="str">
        <f t="shared" si="940"/>
        <v xml:space="preserve"> </v>
      </c>
      <c r="F12063">
        <v>0.09</v>
      </c>
      <c r="G12063" s="37" t="str">
        <f t="shared" si="941"/>
        <v>Normal Discount</v>
      </c>
      <c r="H12063" s="37" t="str">
        <f t="shared" si="942"/>
        <v>Low</v>
      </c>
      <c r="I12063">
        <v>9</v>
      </c>
      <c r="J12063" t="str" cm="1">
        <f t="array" ref="J12063">_xlfn.IFS(I12063&lt;=3,"small",I12063&lt;=6,"Medium",I12063&lt;=9,"Large")</f>
        <v>Large</v>
      </c>
      <c r="K12063" s="36">
        <v>45044</v>
      </c>
      <c r="L12063" s="36">
        <v>45048</v>
      </c>
      <c r="M12063" t="s">
        <v>603</v>
      </c>
      <c r="N12063" t="s">
        <v>604</v>
      </c>
      <c r="O12063" s="37" t="str">
        <f t="shared" si="943"/>
        <v>Digital Payment</v>
      </c>
      <c r="P12063">
        <v>145.47</v>
      </c>
      <c r="Q12063" s="37" t="str">
        <f>IF(P12063&gt;500,"High","low")</f>
        <v>low</v>
      </c>
      <c r="R12063" s="37" t="str">
        <f t="shared" si="944"/>
        <v>AVERAGE</v>
      </c>
      <c r="S12063" t="s">
        <v>628</v>
      </c>
    </row>
    <row r="12064" spans="1:19" x14ac:dyDescent="0.2">
      <c r="A12064" t="s">
        <v>12675</v>
      </c>
      <c r="B12064" t="s">
        <v>90</v>
      </c>
      <c r="C12064" t="s">
        <v>602</v>
      </c>
      <c r="D12064">
        <v>1225.6400000000001</v>
      </c>
      <c r="E12064" s="37" t="str">
        <f t="shared" si="940"/>
        <v xml:space="preserve"> </v>
      </c>
      <c r="F12064">
        <v>0.49</v>
      </c>
      <c r="G12064" s="37" t="str">
        <f t="shared" si="941"/>
        <v>Heavy Discount</v>
      </c>
      <c r="H12064" s="37" t="str">
        <f t="shared" si="942"/>
        <v>High</v>
      </c>
      <c r="I12064">
        <v>7</v>
      </c>
      <c r="J12064" t="str" cm="1">
        <f t="array" ref="J12064">_xlfn.IFS(I12064&lt;=3,"small",I12064&lt;=6,"Medium",I12064&lt;=9,"Large")</f>
        <v>Large</v>
      </c>
      <c r="K12064" s="36">
        <v>45277</v>
      </c>
      <c r="L12064" s="36">
        <v>45282</v>
      </c>
      <c r="M12064" t="s">
        <v>612</v>
      </c>
      <c r="N12064" t="s">
        <v>599</v>
      </c>
      <c r="O12064" s="37" t="str">
        <f t="shared" si="943"/>
        <v>Digital Payment</v>
      </c>
      <c r="P12064">
        <v>302.81</v>
      </c>
      <c r="Q12064" s="37" t="str">
        <f>IF(P12064&gt;500,"High","low")</f>
        <v>low</v>
      </c>
      <c r="R12064" s="37" t="str">
        <f t="shared" si="944"/>
        <v>AVERAGE</v>
      </c>
      <c r="S12064" t="s">
        <v>620</v>
      </c>
    </row>
    <row r="12065" spans="1:19" x14ac:dyDescent="0.2">
      <c r="A12065" t="s">
        <v>12676</v>
      </c>
      <c r="B12065" t="s">
        <v>67</v>
      </c>
      <c r="C12065" t="s">
        <v>597</v>
      </c>
      <c r="D12065">
        <v>4011.69</v>
      </c>
      <c r="E12065" s="37" t="str">
        <f t="shared" si="940"/>
        <v xml:space="preserve"> </v>
      </c>
      <c r="F12065">
        <v>0.32</v>
      </c>
      <c r="G12065" s="37" t="str">
        <f t="shared" si="941"/>
        <v>Heavy Discount</v>
      </c>
      <c r="H12065" s="37" t="str">
        <f t="shared" si="942"/>
        <v>Medium</v>
      </c>
      <c r="I12065">
        <v>1</v>
      </c>
      <c r="J12065" t="str" cm="1">
        <f t="array" ref="J12065">_xlfn.IFS(I12065&lt;=3,"small",I12065&lt;=6,"Medium",I12065&lt;=9,"Large")</f>
        <v>small</v>
      </c>
      <c r="K12065" s="36">
        <v>45557</v>
      </c>
      <c r="L12065" s="36">
        <v>45561</v>
      </c>
      <c r="M12065" t="s">
        <v>598</v>
      </c>
      <c r="N12065" t="s">
        <v>599</v>
      </c>
      <c r="O12065" s="37" t="str">
        <f t="shared" si="943"/>
        <v>Digital Payment</v>
      </c>
      <c r="P12065">
        <v>713.15</v>
      </c>
      <c r="Q12065" s="37" t="str">
        <f>IF(P12065&gt;500,"High","low")</f>
        <v>High</v>
      </c>
      <c r="R12065" s="37" t="str">
        <f t="shared" si="944"/>
        <v>Good</v>
      </c>
      <c r="S12065" t="s">
        <v>620</v>
      </c>
    </row>
    <row r="12066" spans="1:19" x14ac:dyDescent="0.2">
      <c r="A12066" t="s">
        <v>12677</v>
      </c>
      <c r="B12066" t="s">
        <v>83</v>
      </c>
      <c r="C12066" t="s">
        <v>597</v>
      </c>
      <c r="D12066">
        <v>522.03</v>
      </c>
      <c r="E12066" s="37" t="str">
        <f t="shared" si="940"/>
        <v xml:space="preserve"> </v>
      </c>
      <c r="F12066">
        <v>0.01</v>
      </c>
      <c r="G12066" s="37" t="str">
        <f t="shared" si="941"/>
        <v>Normal Discount</v>
      </c>
      <c r="H12066" s="37" t="str">
        <f t="shared" si="942"/>
        <v>Low</v>
      </c>
      <c r="I12066">
        <v>1</v>
      </c>
      <c r="J12066" t="str" cm="1">
        <f t="array" ref="J12066">_xlfn.IFS(I12066&lt;=3,"small",I12066&lt;=6,"Medium",I12066&lt;=9,"Large")</f>
        <v>small</v>
      </c>
      <c r="K12066" s="36">
        <v>45280</v>
      </c>
      <c r="L12066" s="36">
        <v>45284</v>
      </c>
      <c r="M12066" t="s">
        <v>603</v>
      </c>
      <c r="N12066" t="s">
        <v>604</v>
      </c>
      <c r="O12066" s="37" t="str">
        <f t="shared" si="943"/>
        <v>Digital Payment</v>
      </c>
      <c r="P12066">
        <v>50.11</v>
      </c>
      <c r="Q12066" s="37" t="str">
        <f>IF(P12066&gt;500,"High","low")</f>
        <v>low</v>
      </c>
      <c r="R12066" s="37" t="str">
        <f t="shared" si="944"/>
        <v>AVERAGE</v>
      </c>
      <c r="S12066" t="s">
        <v>600</v>
      </c>
    </row>
    <row r="12067" spans="1:19" x14ac:dyDescent="0.2">
      <c r="A12067" t="s">
        <v>12678</v>
      </c>
      <c r="B12067" t="s">
        <v>90</v>
      </c>
      <c r="C12067" t="s">
        <v>614</v>
      </c>
      <c r="D12067">
        <v>3999.73</v>
      </c>
      <c r="E12067" s="37" t="str">
        <f t="shared" si="940"/>
        <v xml:space="preserve"> </v>
      </c>
      <c r="F12067">
        <v>0.28999999999999998</v>
      </c>
      <c r="G12067" s="37" t="str">
        <f t="shared" si="941"/>
        <v>Normal Discount</v>
      </c>
      <c r="H12067" s="37" t="str">
        <f t="shared" si="942"/>
        <v>Medium</v>
      </c>
      <c r="I12067">
        <v>1</v>
      </c>
      <c r="J12067" t="str" cm="1">
        <f t="array" ref="J12067">_xlfn.IFS(I12067&lt;=3,"small",I12067&lt;=6,"Medium",I12067&lt;=9,"Large")</f>
        <v>small</v>
      </c>
      <c r="K12067" s="36">
        <v>45136</v>
      </c>
      <c r="L12067" s="36">
        <v>45140</v>
      </c>
      <c r="M12067" t="s">
        <v>603</v>
      </c>
      <c r="N12067" t="s">
        <v>604</v>
      </c>
      <c r="O12067" s="37" t="str">
        <f t="shared" si="943"/>
        <v>Digital Payment</v>
      </c>
      <c r="P12067">
        <v>641.64</v>
      </c>
      <c r="Q12067" s="37" t="str">
        <f>IF(P12067&gt;500,"High","low")</f>
        <v>High</v>
      </c>
      <c r="R12067" s="37" t="str">
        <f t="shared" si="944"/>
        <v>Good</v>
      </c>
      <c r="S12067" t="s">
        <v>605</v>
      </c>
    </row>
    <row r="12068" spans="1:19" x14ac:dyDescent="0.2">
      <c r="A12068" t="s">
        <v>12679</v>
      </c>
      <c r="B12068" t="s">
        <v>67</v>
      </c>
      <c r="C12068" t="s">
        <v>607</v>
      </c>
      <c r="D12068">
        <v>2006.31</v>
      </c>
      <c r="E12068" s="37" t="str">
        <f t="shared" si="940"/>
        <v xml:space="preserve"> </v>
      </c>
      <c r="F12068">
        <v>0.39</v>
      </c>
      <c r="G12068" s="37" t="str">
        <f t="shared" si="941"/>
        <v>Heavy Discount</v>
      </c>
      <c r="H12068" s="37" t="str">
        <f t="shared" si="942"/>
        <v>Medium</v>
      </c>
      <c r="I12068">
        <v>4</v>
      </c>
      <c r="J12068" t="str" cm="1">
        <f t="array" ref="J12068">_xlfn.IFS(I12068&lt;=3,"small",I12068&lt;=6,"Medium",I12068&lt;=9,"Large")</f>
        <v>Medium</v>
      </c>
      <c r="K12068" s="36">
        <v>45159</v>
      </c>
      <c r="L12068" s="36">
        <v>45163</v>
      </c>
      <c r="M12068" t="s">
        <v>598</v>
      </c>
      <c r="N12068" t="s">
        <v>599</v>
      </c>
      <c r="O12068" s="37" t="str">
        <f t="shared" si="943"/>
        <v>Digital Payment</v>
      </c>
      <c r="P12068">
        <v>336.86</v>
      </c>
      <c r="Q12068" s="37" t="str">
        <f>IF(P12068&gt;500,"High","low")</f>
        <v>low</v>
      </c>
      <c r="R12068" s="37" t="str">
        <f t="shared" si="944"/>
        <v>AVERAGE</v>
      </c>
      <c r="S12068" t="s">
        <v>615</v>
      </c>
    </row>
    <row r="12069" spans="1:19" x14ac:dyDescent="0.2">
      <c r="A12069" t="s">
        <v>12680</v>
      </c>
      <c r="B12069" t="s">
        <v>75</v>
      </c>
      <c r="C12069" t="s">
        <v>597</v>
      </c>
      <c r="D12069">
        <v>489.59</v>
      </c>
      <c r="E12069" s="37" t="str">
        <f t="shared" si="940"/>
        <v xml:space="preserve"> </v>
      </c>
      <c r="F12069">
        <v>0.03</v>
      </c>
      <c r="G12069" s="37" t="str">
        <f t="shared" si="941"/>
        <v>Normal Discount</v>
      </c>
      <c r="H12069" s="37" t="str">
        <f t="shared" si="942"/>
        <v>Low</v>
      </c>
      <c r="I12069">
        <v>9</v>
      </c>
      <c r="J12069" t="str" cm="1">
        <f t="array" ref="J12069">_xlfn.IFS(I12069&lt;=3,"small",I12069&lt;=6,"Medium",I12069&lt;=9,"Large")</f>
        <v>Large</v>
      </c>
      <c r="K12069" s="36">
        <v>45050</v>
      </c>
      <c r="L12069" s="36">
        <v>45052</v>
      </c>
      <c r="M12069" t="s">
        <v>598</v>
      </c>
      <c r="N12069" t="s">
        <v>604</v>
      </c>
      <c r="O12069" s="37" t="str">
        <f t="shared" si="943"/>
        <v>Digital Payment</v>
      </c>
      <c r="P12069">
        <v>28.9</v>
      </c>
      <c r="Q12069" s="37" t="str">
        <f>IF(P12069&gt;500,"High","low")</f>
        <v>low</v>
      </c>
      <c r="R12069" s="37" t="str">
        <f t="shared" si="944"/>
        <v>AVERAGE</v>
      </c>
      <c r="S12069" t="s">
        <v>620</v>
      </c>
    </row>
    <row r="12070" spans="1:19" x14ac:dyDescent="0.2">
      <c r="A12070" t="s">
        <v>12681</v>
      </c>
      <c r="B12070" t="s">
        <v>90</v>
      </c>
      <c r="C12070" t="s">
        <v>617</v>
      </c>
      <c r="D12070">
        <v>2179.69</v>
      </c>
      <c r="E12070" s="37" t="str">
        <f t="shared" si="940"/>
        <v xml:space="preserve"> </v>
      </c>
      <c r="F12070">
        <v>0.28999999999999998</v>
      </c>
      <c r="G12070" s="37" t="str">
        <f t="shared" si="941"/>
        <v>Normal Discount</v>
      </c>
      <c r="H12070" s="37" t="str">
        <f t="shared" si="942"/>
        <v>Medium</v>
      </c>
      <c r="I12070">
        <v>3</v>
      </c>
      <c r="J12070" t="str" cm="1">
        <f t="array" ref="J12070">_xlfn.IFS(I12070&lt;=3,"small",I12070&lt;=6,"Medium",I12070&lt;=9,"Large")</f>
        <v>small</v>
      </c>
      <c r="K12070" s="36">
        <v>45516</v>
      </c>
      <c r="L12070" s="36">
        <v>45518</v>
      </c>
      <c r="M12070" t="s">
        <v>612</v>
      </c>
      <c r="N12070" t="s">
        <v>604</v>
      </c>
      <c r="O12070" s="37" t="str">
        <f t="shared" si="943"/>
        <v>Digital Payment</v>
      </c>
      <c r="P12070">
        <v>510.21</v>
      </c>
      <c r="Q12070" s="37" t="str">
        <f>IF(P12070&gt;500,"High","low")</f>
        <v>High</v>
      </c>
      <c r="R12070" s="37" t="str">
        <f t="shared" si="944"/>
        <v>Good</v>
      </c>
      <c r="S12070" t="s">
        <v>628</v>
      </c>
    </row>
    <row r="12071" spans="1:19" x14ac:dyDescent="0.2">
      <c r="A12071" t="s">
        <v>12682</v>
      </c>
      <c r="B12071" t="s">
        <v>75</v>
      </c>
      <c r="C12071" t="s">
        <v>617</v>
      </c>
      <c r="D12071">
        <v>1572.46</v>
      </c>
      <c r="E12071" s="37" t="str">
        <f t="shared" si="940"/>
        <v xml:space="preserve"> </v>
      </c>
      <c r="F12071">
        <v>0.19</v>
      </c>
      <c r="G12071" s="37" t="str">
        <f t="shared" si="941"/>
        <v>Normal Discount</v>
      </c>
      <c r="H12071" s="37" t="str">
        <f t="shared" si="942"/>
        <v>Low</v>
      </c>
      <c r="I12071">
        <v>1</v>
      </c>
      <c r="J12071" t="str" cm="1">
        <f t="array" ref="J12071">_xlfn.IFS(I12071&lt;=3,"small",I12071&lt;=6,"Medium",I12071&lt;=9,"Large")</f>
        <v>small</v>
      </c>
      <c r="K12071" s="36">
        <v>45059</v>
      </c>
      <c r="L12071" s="36">
        <v>45063</v>
      </c>
      <c r="M12071" t="s">
        <v>603</v>
      </c>
      <c r="N12071" t="s">
        <v>604</v>
      </c>
      <c r="O12071" s="37" t="str">
        <f t="shared" si="943"/>
        <v>Digital Payment</v>
      </c>
      <c r="P12071">
        <v>86.53</v>
      </c>
      <c r="Q12071" s="37" t="str">
        <f>IF(P12071&gt;500,"High","low")</f>
        <v>low</v>
      </c>
      <c r="R12071" s="37" t="str">
        <f t="shared" si="944"/>
        <v>AVERAGE</v>
      </c>
      <c r="S12071" t="s">
        <v>620</v>
      </c>
    </row>
    <row r="12072" spans="1:19" x14ac:dyDescent="0.2">
      <c r="A12072" t="s">
        <v>12683</v>
      </c>
      <c r="B12072" t="s">
        <v>83</v>
      </c>
      <c r="C12072" t="s">
        <v>607</v>
      </c>
      <c r="D12072">
        <v>3000.57</v>
      </c>
      <c r="E12072" s="37" t="str">
        <f t="shared" si="940"/>
        <v xml:space="preserve"> </v>
      </c>
      <c r="F12072">
        <v>0.28999999999999998</v>
      </c>
      <c r="G12072" s="37" t="str">
        <f t="shared" si="941"/>
        <v>Normal Discount</v>
      </c>
      <c r="H12072" s="37" t="str">
        <f t="shared" si="942"/>
        <v>Medium</v>
      </c>
      <c r="I12072">
        <v>1</v>
      </c>
      <c r="J12072" t="str" cm="1">
        <f t="array" ref="J12072">_xlfn.IFS(I12072&lt;=3,"small",I12072&lt;=6,"Medium",I12072&lt;=9,"Large")</f>
        <v>small</v>
      </c>
      <c r="K12072" s="36">
        <v>45141</v>
      </c>
      <c r="L12072" s="36">
        <v>45145</v>
      </c>
      <c r="M12072" t="s">
        <v>612</v>
      </c>
      <c r="N12072" t="s">
        <v>608</v>
      </c>
      <c r="O12072" s="37" t="str">
        <f t="shared" si="943"/>
        <v>Cash Payment</v>
      </c>
      <c r="P12072">
        <v>567.83000000000004</v>
      </c>
      <c r="Q12072" s="37" t="str">
        <f>IF(P12072&gt;500,"High","low")</f>
        <v>High</v>
      </c>
      <c r="R12072" s="37" t="str">
        <f t="shared" si="944"/>
        <v>Good</v>
      </c>
      <c r="S12072" t="s">
        <v>600</v>
      </c>
    </row>
    <row r="12073" spans="1:19" x14ac:dyDescent="0.2">
      <c r="A12073" t="s">
        <v>12684</v>
      </c>
      <c r="B12073" t="s">
        <v>67</v>
      </c>
      <c r="C12073" t="s">
        <v>607</v>
      </c>
      <c r="D12073">
        <v>2415.38</v>
      </c>
      <c r="E12073" s="37" t="str">
        <f t="shared" si="940"/>
        <v xml:space="preserve"> </v>
      </c>
      <c r="F12073">
        <v>0.13</v>
      </c>
      <c r="G12073" s="37" t="str">
        <f t="shared" si="941"/>
        <v>Normal Discount</v>
      </c>
      <c r="H12073" s="37" t="str">
        <f t="shared" si="942"/>
        <v>Low</v>
      </c>
      <c r="I12073">
        <v>3</v>
      </c>
      <c r="J12073" t="str" cm="1">
        <f t="array" ref="J12073">_xlfn.IFS(I12073&lt;=3,"small",I12073&lt;=6,"Medium",I12073&lt;=9,"Large")</f>
        <v>small</v>
      </c>
      <c r="K12073" s="36">
        <v>44927</v>
      </c>
      <c r="L12073" s="36">
        <v>44928</v>
      </c>
      <c r="M12073" t="s">
        <v>598</v>
      </c>
      <c r="N12073" t="s">
        <v>608</v>
      </c>
      <c r="O12073" s="37" t="str">
        <f t="shared" si="943"/>
        <v>Cash Payment</v>
      </c>
      <c r="P12073">
        <v>510.53</v>
      </c>
      <c r="Q12073" s="37" t="str">
        <f>IF(P12073&gt;500,"High","low")</f>
        <v>High</v>
      </c>
      <c r="R12073" s="37" t="str">
        <f t="shared" si="944"/>
        <v>Good</v>
      </c>
      <c r="S12073" t="s">
        <v>609</v>
      </c>
    </row>
    <row r="12074" spans="1:19" x14ac:dyDescent="0.2">
      <c r="A12074" t="s">
        <v>12685</v>
      </c>
      <c r="B12074" t="s">
        <v>75</v>
      </c>
      <c r="C12074" t="s">
        <v>602</v>
      </c>
      <c r="D12074">
        <v>1554.21</v>
      </c>
      <c r="E12074" s="37" t="str">
        <f t="shared" si="940"/>
        <v xml:space="preserve"> </v>
      </c>
      <c r="F12074">
        <v>0.33</v>
      </c>
      <c r="G12074" s="37" t="str">
        <f t="shared" si="941"/>
        <v>Heavy Discount</v>
      </c>
      <c r="H12074" s="37" t="str">
        <f t="shared" si="942"/>
        <v>Medium</v>
      </c>
      <c r="I12074">
        <v>7</v>
      </c>
      <c r="J12074" t="str" cm="1">
        <f t="array" ref="J12074">_xlfn.IFS(I12074&lt;=3,"small",I12074&lt;=6,"Medium",I12074&lt;=9,"Large")</f>
        <v>Large</v>
      </c>
      <c r="K12074" s="36">
        <v>45266</v>
      </c>
      <c r="L12074" s="36">
        <v>45271</v>
      </c>
      <c r="M12074" t="s">
        <v>598</v>
      </c>
      <c r="N12074" t="s">
        <v>599</v>
      </c>
      <c r="O12074" s="37" t="str">
        <f t="shared" si="943"/>
        <v>Digital Payment</v>
      </c>
      <c r="P12074">
        <v>94.73</v>
      </c>
      <c r="Q12074" s="37" t="str">
        <f>IF(P12074&gt;500,"High","low")</f>
        <v>low</v>
      </c>
      <c r="R12074" s="37" t="str">
        <f t="shared" si="944"/>
        <v>AVERAGE</v>
      </c>
      <c r="S12074" t="s">
        <v>620</v>
      </c>
    </row>
    <row r="12075" spans="1:19" x14ac:dyDescent="0.2">
      <c r="A12075" t="s">
        <v>12686</v>
      </c>
      <c r="B12075" t="s">
        <v>83</v>
      </c>
      <c r="C12075" t="s">
        <v>602</v>
      </c>
      <c r="D12075">
        <v>4325.1000000000004</v>
      </c>
      <c r="E12075" s="37" t="str">
        <f t="shared" si="940"/>
        <v xml:space="preserve"> </v>
      </c>
      <c r="F12075">
        <v>0.34</v>
      </c>
      <c r="G12075" s="37" t="str">
        <f t="shared" si="941"/>
        <v>Heavy Discount</v>
      </c>
      <c r="H12075" s="37" t="str">
        <f t="shared" si="942"/>
        <v>Medium</v>
      </c>
      <c r="I12075">
        <v>8</v>
      </c>
      <c r="J12075" t="str" cm="1">
        <f t="array" ref="J12075">_xlfn.IFS(I12075&lt;=3,"small",I12075&lt;=6,"Medium",I12075&lt;=9,"Large")</f>
        <v>Large</v>
      </c>
      <c r="K12075" s="36">
        <v>45312</v>
      </c>
      <c r="L12075" s="36">
        <v>45314</v>
      </c>
      <c r="M12075" t="s">
        <v>603</v>
      </c>
      <c r="N12075" t="s">
        <v>608</v>
      </c>
      <c r="O12075" s="37" t="str">
        <f t="shared" si="943"/>
        <v>Cash Payment</v>
      </c>
      <c r="P12075">
        <v>567.62</v>
      </c>
      <c r="Q12075" s="37" t="str">
        <f>IF(P12075&gt;500,"High","low")</f>
        <v>High</v>
      </c>
      <c r="R12075" s="37" t="str">
        <f t="shared" si="944"/>
        <v>Good</v>
      </c>
      <c r="S12075" t="s">
        <v>605</v>
      </c>
    </row>
    <row r="12076" spans="1:19" x14ac:dyDescent="0.2">
      <c r="A12076" t="s">
        <v>12687</v>
      </c>
      <c r="B12076" t="s">
        <v>67</v>
      </c>
      <c r="C12076" t="s">
        <v>602</v>
      </c>
      <c r="D12076">
        <v>2093.42</v>
      </c>
      <c r="E12076" s="37" t="str">
        <f t="shared" si="940"/>
        <v xml:space="preserve"> </v>
      </c>
      <c r="F12076">
        <v>0.27</v>
      </c>
      <c r="G12076" s="37" t="str">
        <f t="shared" si="941"/>
        <v>Normal Discount</v>
      </c>
      <c r="H12076" s="37" t="str">
        <f t="shared" si="942"/>
        <v>Medium</v>
      </c>
      <c r="I12076">
        <v>4</v>
      </c>
      <c r="J12076" t="str" cm="1">
        <f t="array" ref="J12076">_xlfn.IFS(I12076&lt;=3,"small",I12076&lt;=6,"Medium",I12076&lt;=9,"Large")</f>
        <v>Medium</v>
      </c>
      <c r="K12076" s="36">
        <v>45161</v>
      </c>
      <c r="L12076" s="36">
        <v>45162</v>
      </c>
      <c r="M12076" t="s">
        <v>612</v>
      </c>
      <c r="N12076" t="s">
        <v>599</v>
      </c>
      <c r="O12076" s="37" t="str">
        <f t="shared" si="943"/>
        <v>Digital Payment</v>
      </c>
      <c r="P12076">
        <v>507.72</v>
      </c>
      <c r="Q12076" s="37" t="str">
        <f>IF(P12076&gt;500,"High","low")</f>
        <v>High</v>
      </c>
      <c r="R12076" s="37" t="str">
        <f t="shared" si="944"/>
        <v>Good</v>
      </c>
      <c r="S12076" t="s">
        <v>605</v>
      </c>
    </row>
    <row r="12077" spans="1:19" x14ac:dyDescent="0.2">
      <c r="A12077" t="s">
        <v>12688</v>
      </c>
      <c r="B12077" t="s">
        <v>83</v>
      </c>
      <c r="C12077" t="s">
        <v>607</v>
      </c>
      <c r="D12077">
        <v>2406.38</v>
      </c>
      <c r="E12077" s="37" t="str">
        <f t="shared" si="940"/>
        <v xml:space="preserve"> </v>
      </c>
      <c r="F12077">
        <v>0.46</v>
      </c>
      <c r="G12077" s="37" t="str">
        <f t="shared" si="941"/>
        <v>Heavy Discount</v>
      </c>
      <c r="H12077" s="37" t="str">
        <f t="shared" si="942"/>
        <v>High</v>
      </c>
      <c r="I12077">
        <v>2</v>
      </c>
      <c r="J12077" t="str" cm="1">
        <f t="array" ref="J12077">_xlfn.IFS(I12077&lt;=3,"small",I12077&lt;=6,"Medium",I12077&lt;=9,"Large")</f>
        <v>small</v>
      </c>
      <c r="K12077" s="36">
        <v>45563</v>
      </c>
      <c r="L12077" s="36">
        <v>45566</v>
      </c>
      <c r="M12077" t="s">
        <v>612</v>
      </c>
      <c r="N12077" t="s">
        <v>599</v>
      </c>
      <c r="O12077" s="37" t="str">
        <f t="shared" si="943"/>
        <v>Digital Payment</v>
      </c>
      <c r="P12077">
        <v>206.75</v>
      </c>
      <c r="Q12077" s="37" t="str">
        <f>IF(P12077&gt;500,"High","low")</f>
        <v>low</v>
      </c>
      <c r="R12077" s="37" t="str">
        <f t="shared" si="944"/>
        <v>AVERAGE</v>
      </c>
      <c r="S12077" t="s">
        <v>600</v>
      </c>
    </row>
    <row r="12078" spans="1:19" x14ac:dyDescent="0.2">
      <c r="A12078" t="s">
        <v>12689</v>
      </c>
      <c r="B12078" t="s">
        <v>75</v>
      </c>
      <c r="C12078" t="s">
        <v>597</v>
      </c>
      <c r="D12078">
        <v>4248.4799999999996</v>
      </c>
      <c r="E12078" s="37" t="str">
        <f t="shared" si="940"/>
        <v xml:space="preserve"> </v>
      </c>
      <c r="F12078">
        <v>0.45</v>
      </c>
      <c r="G12078" s="37" t="str">
        <f t="shared" si="941"/>
        <v>Heavy Discount</v>
      </c>
      <c r="H12078" s="37" t="str">
        <f t="shared" si="942"/>
        <v>High</v>
      </c>
      <c r="I12078">
        <v>7</v>
      </c>
      <c r="J12078" t="str" cm="1">
        <f t="array" ref="J12078">_xlfn.IFS(I12078&lt;=3,"small",I12078&lt;=6,"Medium",I12078&lt;=9,"Large")</f>
        <v>Large</v>
      </c>
      <c r="K12078" s="36">
        <v>45539</v>
      </c>
      <c r="L12078" s="36">
        <v>45540</v>
      </c>
      <c r="M12078" t="s">
        <v>612</v>
      </c>
      <c r="N12078" t="s">
        <v>604</v>
      </c>
      <c r="O12078" s="37" t="str">
        <f t="shared" si="943"/>
        <v>Digital Payment</v>
      </c>
      <c r="P12078">
        <v>737.25</v>
      </c>
      <c r="Q12078" s="37" t="str">
        <f>IF(P12078&gt;500,"High","low")</f>
        <v>High</v>
      </c>
      <c r="R12078" s="37" t="str">
        <f t="shared" si="944"/>
        <v>Good</v>
      </c>
      <c r="S12078" t="s">
        <v>605</v>
      </c>
    </row>
    <row r="12079" spans="1:19" x14ac:dyDescent="0.2">
      <c r="A12079" t="s">
        <v>12690</v>
      </c>
      <c r="B12079" t="s">
        <v>83</v>
      </c>
      <c r="C12079" t="s">
        <v>614</v>
      </c>
      <c r="D12079">
        <v>536.38</v>
      </c>
      <c r="E12079" s="37" t="str">
        <f t="shared" si="940"/>
        <v xml:space="preserve"> </v>
      </c>
      <c r="F12079">
        <v>0.02</v>
      </c>
      <c r="G12079" s="37" t="str">
        <f t="shared" si="941"/>
        <v>Normal Discount</v>
      </c>
      <c r="H12079" s="37" t="str">
        <f t="shared" si="942"/>
        <v>Low</v>
      </c>
      <c r="I12079">
        <v>9</v>
      </c>
      <c r="J12079" t="str" cm="1">
        <f t="array" ref="J12079">_xlfn.IFS(I12079&lt;=3,"small",I12079&lt;=6,"Medium",I12079&lt;=9,"Large")</f>
        <v>Large</v>
      </c>
      <c r="K12079" s="36">
        <v>45503</v>
      </c>
      <c r="L12079" s="36">
        <v>45508</v>
      </c>
      <c r="M12079" t="s">
        <v>612</v>
      </c>
      <c r="N12079" t="s">
        <v>599</v>
      </c>
      <c r="O12079" s="37" t="str">
        <f t="shared" si="943"/>
        <v>Digital Payment</v>
      </c>
      <c r="P12079">
        <v>42.08</v>
      </c>
      <c r="Q12079" s="37" t="str">
        <f>IF(P12079&gt;500,"High","low")</f>
        <v>low</v>
      </c>
      <c r="R12079" s="37" t="str">
        <f t="shared" si="944"/>
        <v>AVERAGE</v>
      </c>
      <c r="S12079" t="s">
        <v>620</v>
      </c>
    </row>
    <row r="12080" spans="1:19" x14ac:dyDescent="0.2">
      <c r="A12080" t="s">
        <v>12691</v>
      </c>
      <c r="B12080" t="s">
        <v>90</v>
      </c>
      <c r="C12080" t="s">
        <v>602</v>
      </c>
      <c r="D12080">
        <v>2010.48</v>
      </c>
      <c r="E12080" s="37" t="str">
        <f t="shared" si="940"/>
        <v xml:space="preserve"> </v>
      </c>
      <c r="F12080">
        <v>0.14000000000000001</v>
      </c>
      <c r="G12080" s="37" t="str">
        <f t="shared" si="941"/>
        <v>Normal Discount</v>
      </c>
      <c r="H12080" s="37" t="str">
        <f t="shared" si="942"/>
        <v>Low</v>
      </c>
      <c r="I12080">
        <v>6</v>
      </c>
      <c r="J12080" t="str" cm="1">
        <f t="array" ref="J12080">_xlfn.IFS(I12080&lt;=3,"small",I12080&lt;=6,"Medium",I12080&lt;=9,"Large")</f>
        <v>Medium</v>
      </c>
      <c r="K12080" s="36">
        <v>45173</v>
      </c>
      <c r="L12080" s="36">
        <v>45176</v>
      </c>
      <c r="M12080" t="s">
        <v>598</v>
      </c>
      <c r="N12080" t="s">
        <v>608</v>
      </c>
      <c r="O12080" s="37" t="str">
        <f t="shared" si="943"/>
        <v>Cash Payment</v>
      </c>
      <c r="P12080">
        <v>583.20000000000005</v>
      </c>
      <c r="Q12080" s="37" t="str">
        <f>IF(P12080&gt;500,"High","low")</f>
        <v>High</v>
      </c>
      <c r="R12080" s="37" t="str">
        <f t="shared" si="944"/>
        <v>Good</v>
      </c>
      <c r="S12080" t="s">
        <v>615</v>
      </c>
    </row>
    <row r="12081" spans="1:19" x14ac:dyDescent="0.2">
      <c r="A12081" t="s">
        <v>12692</v>
      </c>
      <c r="B12081" t="s">
        <v>67</v>
      </c>
      <c r="C12081" t="s">
        <v>614</v>
      </c>
      <c r="D12081">
        <v>2074</v>
      </c>
      <c r="E12081" s="37" t="str">
        <f t="shared" si="940"/>
        <v xml:space="preserve"> </v>
      </c>
      <c r="F12081">
        <v>0.18</v>
      </c>
      <c r="G12081" s="37" t="str">
        <f t="shared" si="941"/>
        <v>Normal Discount</v>
      </c>
      <c r="H12081" s="37" t="str">
        <f t="shared" si="942"/>
        <v>Low</v>
      </c>
      <c r="I12081">
        <v>2</v>
      </c>
      <c r="J12081" t="str" cm="1">
        <f t="array" ref="J12081">_xlfn.IFS(I12081&lt;=3,"small",I12081&lt;=6,"Medium",I12081&lt;=9,"Large")</f>
        <v>small</v>
      </c>
      <c r="K12081" s="36">
        <v>45104</v>
      </c>
      <c r="L12081" s="36">
        <v>45108</v>
      </c>
      <c r="M12081" t="s">
        <v>598</v>
      </c>
      <c r="N12081" t="s">
        <v>608</v>
      </c>
      <c r="O12081" s="37" t="str">
        <f t="shared" si="943"/>
        <v>Cash Payment</v>
      </c>
      <c r="P12081">
        <v>223.75</v>
      </c>
      <c r="Q12081" s="37" t="str">
        <f>IF(P12081&gt;500,"High","low")</f>
        <v>low</v>
      </c>
      <c r="R12081" s="37" t="str">
        <f t="shared" si="944"/>
        <v>AVERAGE</v>
      </c>
      <c r="S12081" t="s">
        <v>600</v>
      </c>
    </row>
    <row r="12082" spans="1:19" x14ac:dyDescent="0.2">
      <c r="A12082" t="s">
        <v>12693</v>
      </c>
      <c r="B12082" t="s">
        <v>83</v>
      </c>
      <c r="C12082" t="s">
        <v>617</v>
      </c>
      <c r="D12082">
        <v>2529.5500000000002</v>
      </c>
      <c r="E12082" s="37" t="str">
        <f t="shared" si="940"/>
        <v xml:space="preserve"> </v>
      </c>
      <c r="F12082">
        <v>0.03</v>
      </c>
      <c r="G12082" s="37" t="str">
        <f t="shared" si="941"/>
        <v>Normal Discount</v>
      </c>
      <c r="H12082" s="37" t="str">
        <f t="shared" si="942"/>
        <v>Low</v>
      </c>
      <c r="I12082">
        <v>9</v>
      </c>
      <c r="J12082" t="str" cm="1">
        <f t="array" ref="J12082">_xlfn.IFS(I12082&lt;=3,"small",I12082&lt;=6,"Medium",I12082&lt;=9,"Large")</f>
        <v>Large</v>
      </c>
      <c r="K12082" s="36">
        <v>45233</v>
      </c>
      <c r="L12082" s="36">
        <v>45234</v>
      </c>
      <c r="M12082" t="s">
        <v>603</v>
      </c>
      <c r="N12082" t="s">
        <v>599</v>
      </c>
      <c r="O12082" s="37" t="str">
        <f t="shared" si="943"/>
        <v>Digital Payment</v>
      </c>
      <c r="P12082">
        <v>404.76</v>
      </c>
      <c r="Q12082" s="37" t="str">
        <f>IF(P12082&gt;500,"High","low")</f>
        <v>low</v>
      </c>
      <c r="R12082" s="37" t="str">
        <f t="shared" si="944"/>
        <v>AVERAGE</v>
      </c>
      <c r="S12082" t="s">
        <v>609</v>
      </c>
    </row>
    <row r="12083" spans="1:19" x14ac:dyDescent="0.2">
      <c r="A12083" t="s">
        <v>12694</v>
      </c>
      <c r="B12083" t="s">
        <v>75</v>
      </c>
      <c r="C12083" t="s">
        <v>607</v>
      </c>
      <c r="D12083">
        <v>619.99</v>
      </c>
      <c r="E12083" s="37" t="str">
        <f t="shared" si="940"/>
        <v xml:space="preserve"> </v>
      </c>
      <c r="F12083">
        <v>0.26</v>
      </c>
      <c r="G12083" s="37" t="str">
        <f t="shared" si="941"/>
        <v>Normal Discount</v>
      </c>
      <c r="H12083" s="37" t="str">
        <f t="shared" si="942"/>
        <v>Medium</v>
      </c>
      <c r="I12083">
        <v>7</v>
      </c>
      <c r="J12083" t="str" cm="1">
        <f t="array" ref="J12083">_xlfn.IFS(I12083&lt;=3,"small",I12083&lt;=6,"Medium",I12083&lt;=9,"Large")</f>
        <v>Large</v>
      </c>
      <c r="K12083" s="36">
        <v>45223</v>
      </c>
      <c r="L12083" s="36">
        <v>45228</v>
      </c>
      <c r="M12083" t="s">
        <v>598</v>
      </c>
      <c r="N12083" t="s">
        <v>608</v>
      </c>
      <c r="O12083" s="37" t="str">
        <f t="shared" si="943"/>
        <v>Cash Payment</v>
      </c>
      <c r="P12083">
        <v>96.46</v>
      </c>
      <c r="Q12083" s="37" t="str">
        <f>IF(P12083&gt;500,"High","low")</f>
        <v>low</v>
      </c>
      <c r="R12083" s="37" t="str">
        <f t="shared" si="944"/>
        <v>AVERAGE</v>
      </c>
      <c r="S12083" t="s">
        <v>620</v>
      </c>
    </row>
    <row r="12084" spans="1:19" x14ac:dyDescent="0.2">
      <c r="A12084" t="s">
        <v>12695</v>
      </c>
      <c r="B12084" t="s">
        <v>67</v>
      </c>
      <c r="C12084" t="s">
        <v>617</v>
      </c>
      <c r="D12084">
        <v>603.03</v>
      </c>
      <c r="E12084" s="37" t="str">
        <f t="shared" si="940"/>
        <v xml:space="preserve"> </v>
      </c>
      <c r="F12084">
        <v>0.01</v>
      </c>
      <c r="G12084" s="37" t="str">
        <f t="shared" si="941"/>
        <v>Normal Discount</v>
      </c>
      <c r="H12084" s="37" t="str">
        <f t="shared" si="942"/>
        <v>Low</v>
      </c>
      <c r="I12084">
        <v>9</v>
      </c>
      <c r="J12084" t="str" cm="1">
        <f t="array" ref="J12084">_xlfn.IFS(I12084&lt;=3,"small",I12084&lt;=6,"Medium",I12084&lt;=9,"Large")</f>
        <v>Large</v>
      </c>
      <c r="K12084" s="36">
        <v>45368</v>
      </c>
      <c r="L12084" s="36">
        <v>45369</v>
      </c>
      <c r="M12084" t="s">
        <v>598</v>
      </c>
      <c r="N12084" t="s">
        <v>604</v>
      </c>
      <c r="O12084" s="37" t="str">
        <f t="shared" si="943"/>
        <v>Digital Payment</v>
      </c>
      <c r="P12084">
        <v>120.52</v>
      </c>
      <c r="Q12084" s="37" t="str">
        <f>IF(P12084&gt;500,"High","low")</f>
        <v>low</v>
      </c>
      <c r="R12084" s="37" t="str">
        <f t="shared" si="944"/>
        <v>AVERAGE</v>
      </c>
      <c r="S12084" t="s">
        <v>620</v>
      </c>
    </row>
    <row r="12085" spans="1:19" x14ac:dyDescent="0.2">
      <c r="A12085" t="s">
        <v>12696</v>
      </c>
      <c r="B12085" t="s">
        <v>90</v>
      </c>
      <c r="C12085" t="s">
        <v>602</v>
      </c>
      <c r="D12085">
        <v>2140.44</v>
      </c>
      <c r="E12085" s="37" t="str">
        <f t="shared" si="940"/>
        <v xml:space="preserve"> </v>
      </c>
      <c r="F12085">
        <v>0.34</v>
      </c>
      <c r="G12085" s="37" t="str">
        <f t="shared" si="941"/>
        <v>Heavy Discount</v>
      </c>
      <c r="H12085" s="37" t="str">
        <f t="shared" si="942"/>
        <v>Medium</v>
      </c>
      <c r="I12085">
        <v>2</v>
      </c>
      <c r="J12085" t="str" cm="1">
        <f t="array" ref="J12085">_xlfn.IFS(I12085&lt;=3,"small",I12085&lt;=6,"Medium",I12085&lt;=9,"Large")</f>
        <v>small</v>
      </c>
      <c r="K12085" s="36">
        <v>45003</v>
      </c>
      <c r="L12085" s="36">
        <v>45008</v>
      </c>
      <c r="M12085" t="s">
        <v>603</v>
      </c>
      <c r="N12085" t="s">
        <v>604</v>
      </c>
      <c r="O12085" s="37" t="str">
        <f t="shared" si="943"/>
        <v>Digital Payment</v>
      </c>
      <c r="P12085">
        <v>282.57</v>
      </c>
      <c r="Q12085" s="37" t="str">
        <f>IF(P12085&gt;500,"High","low")</f>
        <v>low</v>
      </c>
      <c r="R12085" s="37" t="str">
        <f t="shared" si="944"/>
        <v>AVERAGE</v>
      </c>
      <c r="S12085" t="s">
        <v>615</v>
      </c>
    </row>
    <row r="12086" spans="1:19" x14ac:dyDescent="0.2">
      <c r="A12086" t="s">
        <v>12697</v>
      </c>
      <c r="B12086" t="s">
        <v>67</v>
      </c>
      <c r="C12086" t="s">
        <v>597</v>
      </c>
      <c r="D12086">
        <v>261.83999999999997</v>
      </c>
      <c r="E12086" s="37" t="str">
        <f t="shared" si="940"/>
        <v xml:space="preserve"> </v>
      </c>
      <c r="F12086">
        <v>0</v>
      </c>
      <c r="G12086" s="37" t="str">
        <f t="shared" si="941"/>
        <v>Normal Discount</v>
      </c>
      <c r="H12086" s="37" t="str">
        <f t="shared" si="942"/>
        <v>Low</v>
      </c>
      <c r="I12086">
        <v>4</v>
      </c>
      <c r="J12086" t="str" cm="1">
        <f t="array" ref="J12086">_xlfn.IFS(I12086&lt;=3,"small",I12086&lt;=6,"Medium",I12086&lt;=9,"Large")</f>
        <v>Medium</v>
      </c>
      <c r="K12086" s="36">
        <v>45506</v>
      </c>
      <c r="L12086" s="36">
        <v>45507</v>
      </c>
      <c r="M12086" t="s">
        <v>598</v>
      </c>
      <c r="N12086" t="s">
        <v>604</v>
      </c>
      <c r="O12086" s="37" t="str">
        <f t="shared" si="943"/>
        <v>Digital Payment</v>
      </c>
      <c r="P12086">
        <v>44.52</v>
      </c>
      <c r="Q12086" s="37" t="str">
        <f>IF(P12086&gt;500,"High","low")</f>
        <v>low</v>
      </c>
      <c r="R12086" s="37" t="str">
        <f t="shared" si="944"/>
        <v>AVERAGE</v>
      </c>
      <c r="S12086" t="s">
        <v>605</v>
      </c>
    </row>
    <row r="12087" spans="1:19" x14ac:dyDescent="0.2">
      <c r="A12087" t="s">
        <v>12698</v>
      </c>
      <c r="B12087" t="s">
        <v>90</v>
      </c>
      <c r="C12087" t="s">
        <v>602</v>
      </c>
      <c r="D12087">
        <v>1349.42</v>
      </c>
      <c r="E12087" s="37" t="str">
        <f t="shared" si="940"/>
        <v xml:space="preserve"> </v>
      </c>
      <c r="F12087">
        <v>0.02</v>
      </c>
      <c r="G12087" s="37" t="str">
        <f t="shared" si="941"/>
        <v>Normal Discount</v>
      </c>
      <c r="H12087" s="37" t="str">
        <f t="shared" si="942"/>
        <v>Low</v>
      </c>
      <c r="I12087">
        <v>6</v>
      </c>
      <c r="J12087" t="str" cm="1">
        <f t="array" ref="J12087">_xlfn.IFS(I12087&lt;=3,"small",I12087&lt;=6,"Medium",I12087&lt;=9,"Large")</f>
        <v>Medium</v>
      </c>
      <c r="K12087" s="36">
        <v>45550</v>
      </c>
      <c r="L12087" s="36">
        <v>45555</v>
      </c>
      <c r="M12087" t="s">
        <v>603</v>
      </c>
      <c r="N12087" t="s">
        <v>599</v>
      </c>
      <c r="O12087" s="37" t="str">
        <f t="shared" si="943"/>
        <v>Digital Payment</v>
      </c>
      <c r="P12087">
        <v>378.55</v>
      </c>
      <c r="Q12087" s="37" t="str">
        <f>IF(P12087&gt;500,"High","low")</f>
        <v>low</v>
      </c>
      <c r="R12087" s="37" t="str">
        <f t="shared" si="944"/>
        <v>AVERAGE</v>
      </c>
      <c r="S12087" t="s">
        <v>600</v>
      </c>
    </row>
    <row r="12088" spans="1:19" x14ac:dyDescent="0.2">
      <c r="A12088" t="s">
        <v>12699</v>
      </c>
      <c r="B12088" t="s">
        <v>67</v>
      </c>
      <c r="C12088" t="s">
        <v>614</v>
      </c>
      <c r="D12088">
        <v>1085.77</v>
      </c>
      <c r="E12088" s="37" t="str">
        <f t="shared" si="940"/>
        <v xml:space="preserve"> </v>
      </c>
      <c r="F12088">
        <v>0.42</v>
      </c>
      <c r="G12088" s="37" t="str">
        <f t="shared" si="941"/>
        <v>Heavy Discount</v>
      </c>
      <c r="H12088" s="37" t="str">
        <f t="shared" si="942"/>
        <v>High</v>
      </c>
      <c r="I12088">
        <v>7</v>
      </c>
      <c r="J12088" t="str" cm="1">
        <f t="array" ref="J12088">_xlfn.IFS(I12088&lt;=3,"small",I12088&lt;=6,"Medium",I12088&lt;=9,"Large")</f>
        <v>Large</v>
      </c>
      <c r="K12088" s="36">
        <v>45401</v>
      </c>
      <c r="L12088" s="36">
        <v>45405</v>
      </c>
      <c r="M12088" t="s">
        <v>598</v>
      </c>
      <c r="N12088" t="s">
        <v>608</v>
      </c>
      <c r="O12088" s="37" t="str">
        <f t="shared" si="943"/>
        <v>Cash Payment</v>
      </c>
      <c r="P12088">
        <v>69.95</v>
      </c>
      <c r="Q12088" s="37" t="str">
        <f>IF(P12088&gt;500,"High","low")</f>
        <v>low</v>
      </c>
      <c r="R12088" s="37" t="str">
        <f t="shared" si="944"/>
        <v>AVERAGE</v>
      </c>
      <c r="S12088" t="s">
        <v>600</v>
      </c>
    </row>
    <row r="12089" spans="1:19" x14ac:dyDescent="0.2">
      <c r="A12089" t="s">
        <v>12700</v>
      </c>
      <c r="B12089" t="s">
        <v>83</v>
      </c>
      <c r="C12089" t="s">
        <v>602</v>
      </c>
      <c r="D12089">
        <v>2497.9899999999998</v>
      </c>
      <c r="E12089" s="37" t="str">
        <f t="shared" si="940"/>
        <v xml:space="preserve"> </v>
      </c>
      <c r="F12089">
        <v>0.13</v>
      </c>
      <c r="G12089" s="37" t="str">
        <f t="shared" si="941"/>
        <v>Normal Discount</v>
      </c>
      <c r="H12089" s="37" t="str">
        <f t="shared" si="942"/>
        <v>Low</v>
      </c>
      <c r="I12089">
        <v>3</v>
      </c>
      <c r="J12089" t="str" cm="1">
        <f t="array" ref="J12089">_xlfn.IFS(I12089&lt;=3,"small",I12089&lt;=6,"Medium",I12089&lt;=9,"Large")</f>
        <v>small</v>
      </c>
      <c r="K12089" s="36">
        <v>45238</v>
      </c>
      <c r="L12089" s="36">
        <v>45245</v>
      </c>
      <c r="M12089" t="s">
        <v>598</v>
      </c>
      <c r="N12089" t="s">
        <v>599</v>
      </c>
      <c r="O12089" s="37" t="str">
        <f t="shared" si="943"/>
        <v>Digital Payment</v>
      </c>
      <c r="P12089">
        <v>134.13999999999999</v>
      </c>
      <c r="Q12089" s="37" t="str">
        <f>IF(P12089&gt;500,"High","low")</f>
        <v>low</v>
      </c>
      <c r="R12089" s="37" t="str">
        <f t="shared" si="944"/>
        <v>AVERAGE</v>
      </c>
      <c r="S12089" t="s">
        <v>620</v>
      </c>
    </row>
    <row r="12090" spans="1:19" x14ac:dyDescent="0.2">
      <c r="A12090" t="s">
        <v>12701</v>
      </c>
      <c r="B12090" t="s">
        <v>83</v>
      </c>
      <c r="C12090" t="s">
        <v>597</v>
      </c>
      <c r="D12090">
        <v>154.68</v>
      </c>
      <c r="E12090" s="37" t="str">
        <f t="shared" si="940"/>
        <v xml:space="preserve"> </v>
      </c>
      <c r="F12090">
        <v>0.04</v>
      </c>
      <c r="G12090" s="37" t="str">
        <f t="shared" si="941"/>
        <v>Normal Discount</v>
      </c>
      <c r="H12090" s="37" t="str">
        <f t="shared" si="942"/>
        <v>Low</v>
      </c>
      <c r="I12090">
        <v>5</v>
      </c>
      <c r="J12090" t="str" cm="1">
        <f t="array" ref="J12090">_xlfn.IFS(I12090&lt;=3,"small",I12090&lt;=6,"Medium",I12090&lt;=9,"Large")</f>
        <v>Medium</v>
      </c>
      <c r="K12090" s="36">
        <v>45304</v>
      </c>
      <c r="L12090" s="36">
        <v>45309</v>
      </c>
      <c r="M12090" t="s">
        <v>612</v>
      </c>
      <c r="N12090" t="s">
        <v>608</v>
      </c>
      <c r="O12090" s="37" t="str">
        <f t="shared" si="943"/>
        <v>Cash Payment</v>
      </c>
      <c r="P12090">
        <v>46.3</v>
      </c>
      <c r="Q12090" s="37" t="str">
        <f>IF(P12090&gt;500,"High","low")</f>
        <v>low</v>
      </c>
      <c r="R12090" s="37" t="str">
        <f t="shared" si="944"/>
        <v>AVERAGE</v>
      </c>
      <c r="S12090" t="s">
        <v>605</v>
      </c>
    </row>
    <row r="12091" spans="1:19" x14ac:dyDescent="0.2">
      <c r="A12091" t="s">
        <v>12702</v>
      </c>
      <c r="B12091" t="s">
        <v>75</v>
      </c>
      <c r="C12091" t="s">
        <v>597</v>
      </c>
      <c r="D12091">
        <v>3411.09</v>
      </c>
      <c r="E12091" s="37" t="str">
        <f t="shared" si="940"/>
        <v xml:space="preserve"> </v>
      </c>
      <c r="F12091">
        <v>0.2</v>
      </c>
      <c r="G12091" s="37" t="str">
        <f t="shared" si="941"/>
        <v>Normal Discount</v>
      </c>
      <c r="H12091" s="37" t="str">
        <f t="shared" si="942"/>
        <v>Medium</v>
      </c>
      <c r="I12091">
        <v>4</v>
      </c>
      <c r="J12091" t="str" cm="1">
        <f t="array" ref="J12091">_xlfn.IFS(I12091&lt;=3,"small",I12091&lt;=6,"Medium",I12091&lt;=9,"Large")</f>
        <v>Medium</v>
      </c>
      <c r="K12091" s="36">
        <v>45154</v>
      </c>
      <c r="L12091" s="36">
        <v>45161</v>
      </c>
      <c r="M12091" t="s">
        <v>603</v>
      </c>
      <c r="N12091" t="s">
        <v>599</v>
      </c>
      <c r="O12091" s="37" t="str">
        <f t="shared" si="943"/>
        <v>Digital Payment</v>
      </c>
      <c r="P12091">
        <v>569.34</v>
      </c>
      <c r="Q12091" s="37" t="str">
        <f>IF(P12091&gt;500,"High","low")</f>
        <v>High</v>
      </c>
      <c r="R12091" s="37" t="str">
        <f t="shared" si="944"/>
        <v>Good</v>
      </c>
      <c r="S12091" t="s">
        <v>605</v>
      </c>
    </row>
    <row r="12092" spans="1:19" x14ac:dyDescent="0.2">
      <c r="A12092" t="s">
        <v>12703</v>
      </c>
      <c r="B12092" t="s">
        <v>90</v>
      </c>
      <c r="C12092" t="s">
        <v>607</v>
      </c>
      <c r="D12092">
        <v>4292.38</v>
      </c>
      <c r="E12092" s="37" t="str">
        <f t="shared" si="940"/>
        <v xml:space="preserve"> </v>
      </c>
      <c r="F12092">
        <v>0.03</v>
      </c>
      <c r="G12092" s="37" t="str">
        <f t="shared" si="941"/>
        <v>Normal Discount</v>
      </c>
      <c r="H12092" s="37" t="str">
        <f t="shared" si="942"/>
        <v>Low</v>
      </c>
      <c r="I12092">
        <v>5</v>
      </c>
      <c r="J12092" t="str" cm="1">
        <f t="array" ref="J12092">_xlfn.IFS(I12092&lt;=3,"small",I12092&lt;=6,"Medium",I12092&lt;=9,"Large")</f>
        <v>Medium</v>
      </c>
      <c r="K12092" s="36">
        <v>45406</v>
      </c>
      <c r="L12092" s="36">
        <v>45412</v>
      </c>
      <c r="M12092" t="s">
        <v>612</v>
      </c>
      <c r="N12092" t="s">
        <v>608</v>
      </c>
      <c r="O12092" s="37" t="str">
        <f t="shared" si="943"/>
        <v>Cash Payment</v>
      </c>
      <c r="P12092">
        <v>571.23</v>
      </c>
      <c r="Q12092" s="37" t="str">
        <f>IF(P12092&gt;500,"High","low")</f>
        <v>High</v>
      </c>
      <c r="R12092" s="37" t="str">
        <f t="shared" si="944"/>
        <v>Good</v>
      </c>
      <c r="S12092" t="s">
        <v>620</v>
      </c>
    </row>
    <row r="12093" spans="1:19" x14ac:dyDescent="0.2">
      <c r="A12093" t="s">
        <v>12704</v>
      </c>
      <c r="B12093" t="s">
        <v>75</v>
      </c>
      <c r="C12093" t="s">
        <v>607</v>
      </c>
      <c r="D12093">
        <v>3563.03</v>
      </c>
      <c r="E12093" s="37" t="str">
        <f t="shared" si="940"/>
        <v xml:space="preserve"> </v>
      </c>
      <c r="F12093">
        <v>0.38</v>
      </c>
      <c r="G12093" s="37" t="str">
        <f t="shared" si="941"/>
        <v>Heavy Discount</v>
      </c>
      <c r="H12093" s="37" t="str">
        <f t="shared" si="942"/>
        <v>Medium</v>
      </c>
      <c r="I12093">
        <v>6</v>
      </c>
      <c r="J12093" t="str" cm="1">
        <f t="array" ref="J12093">_xlfn.IFS(I12093&lt;=3,"small",I12093&lt;=6,"Medium",I12093&lt;=9,"Large")</f>
        <v>Medium</v>
      </c>
      <c r="K12093" s="36">
        <v>45494</v>
      </c>
      <c r="L12093" s="36">
        <v>45496</v>
      </c>
      <c r="M12093" t="s">
        <v>612</v>
      </c>
      <c r="N12093" t="s">
        <v>599</v>
      </c>
      <c r="O12093" s="37" t="str">
        <f t="shared" si="943"/>
        <v>Digital Payment</v>
      </c>
      <c r="P12093">
        <v>370.56</v>
      </c>
      <c r="Q12093" s="37" t="str">
        <f>IF(P12093&gt;500,"High","low")</f>
        <v>low</v>
      </c>
      <c r="R12093" s="37" t="str">
        <f t="shared" si="944"/>
        <v>AVERAGE</v>
      </c>
      <c r="S12093" t="s">
        <v>609</v>
      </c>
    </row>
    <row r="12094" spans="1:19" x14ac:dyDescent="0.2">
      <c r="A12094" t="s">
        <v>12705</v>
      </c>
      <c r="B12094" t="s">
        <v>83</v>
      </c>
      <c r="C12094" t="s">
        <v>597</v>
      </c>
      <c r="D12094">
        <v>4108.58</v>
      </c>
      <c r="E12094" s="37" t="str">
        <f t="shared" si="940"/>
        <v>Excellent Order</v>
      </c>
      <c r="F12094">
        <v>0.25</v>
      </c>
      <c r="G12094" s="37" t="str">
        <f t="shared" si="941"/>
        <v>Normal Discount</v>
      </c>
      <c r="H12094" s="37" t="str">
        <f t="shared" si="942"/>
        <v>Medium</v>
      </c>
      <c r="I12094">
        <v>6</v>
      </c>
      <c r="J12094" t="str" cm="1">
        <f t="array" ref="J12094">_xlfn.IFS(I12094&lt;=3,"small",I12094&lt;=6,"Medium",I12094&lt;=9,"Large")</f>
        <v>Medium</v>
      </c>
      <c r="K12094" s="36">
        <v>45322</v>
      </c>
      <c r="L12094" s="36">
        <v>45329</v>
      </c>
      <c r="M12094" t="s">
        <v>612</v>
      </c>
      <c r="N12094" t="s">
        <v>604</v>
      </c>
      <c r="O12094" s="37" t="str">
        <f t="shared" si="943"/>
        <v>Digital Payment</v>
      </c>
      <c r="P12094">
        <v>903.68</v>
      </c>
      <c r="Q12094" s="37" t="str">
        <f>IF(P12094&gt;500,"High","low")</f>
        <v>High</v>
      </c>
      <c r="R12094" s="37" t="str">
        <f t="shared" si="944"/>
        <v>Good</v>
      </c>
      <c r="S12094" t="s">
        <v>620</v>
      </c>
    </row>
    <row r="12095" spans="1:19" x14ac:dyDescent="0.2">
      <c r="A12095" t="s">
        <v>12706</v>
      </c>
      <c r="B12095" t="s">
        <v>90</v>
      </c>
      <c r="C12095" t="s">
        <v>597</v>
      </c>
      <c r="D12095">
        <v>3252.25</v>
      </c>
      <c r="E12095" s="37" t="str">
        <f t="shared" si="940"/>
        <v xml:space="preserve"> </v>
      </c>
      <c r="F12095">
        <v>0.28000000000000003</v>
      </c>
      <c r="G12095" s="37" t="str">
        <f t="shared" si="941"/>
        <v>Normal Discount</v>
      </c>
      <c r="H12095" s="37" t="str">
        <f t="shared" si="942"/>
        <v>Medium</v>
      </c>
      <c r="I12095">
        <v>7</v>
      </c>
      <c r="J12095" t="str" cm="1">
        <f t="array" ref="J12095">_xlfn.IFS(I12095&lt;=3,"small",I12095&lt;=6,"Medium",I12095&lt;=9,"Large")</f>
        <v>Large</v>
      </c>
      <c r="K12095" s="36">
        <v>45267</v>
      </c>
      <c r="L12095" s="36">
        <v>45268</v>
      </c>
      <c r="M12095" t="s">
        <v>612</v>
      </c>
      <c r="N12095" t="s">
        <v>599</v>
      </c>
      <c r="O12095" s="37" t="str">
        <f t="shared" si="943"/>
        <v>Digital Payment</v>
      </c>
      <c r="P12095">
        <v>671.76</v>
      </c>
      <c r="Q12095" s="37" t="str">
        <f>IF(P12095&gt;500,"High","low")</f>
        <v>High</v>
      </c>
      <c r="R12095" s="37" t="str">
        <f t="shared" si="944"/>
        <v>Good</v>
      </c>
      <c r="S12095" t="s">
        <v>600</v>
      </c>
    </row>
    <row r="12096" spans="1:19" x14ac:dyDescent="0.2">
      <c r="A12096" t="s">
        <v>12707</v>
      </c>
      <c r="B12096" t="s">
        <v>75</v>
      </c>
      <c r="C12096" t="s">
        <v>614</v>
      </c>
      <c r="D12096">
        <v>2586.1</v>
      </c>
      <c r="E12096" s="37" t="str">
        <f t="shared" si="940"/>
        <v xml:space="preserve"> </v>
      </c>
      <c r="F12096">
        <v>0.38</v>
      </c>
      <c r="G12096" s="37" t="str">
        <f t="shared" si="941"/>
        <v>Heavy Discount</v>
      </c>
      <c r="H12096" s="37" t="str">
        <f t="shared" si="942"/>
        <v>Medium</v>
      </c>
      <c r="I12096">
        <v>6</v>
      </c>
      <c r="J12096" t="str" cm="1">
        <f t="array" ref="J12096">_xlfn.IFS(I12096&lt;=3,"small",I12096&lt;=6,"Medium",I12096&lt;=9,"Large")</f>
        <v>Medium</v>
      </c>
      <c r="K12096" s="36">
        <v>44998</v>
      </c>
      <c r="L12096" s="36">
        <v>45005</v>
      </c>
      <c r="M12096" t="s">
        <v>612</v>
      </c>
      <c r="N12096" t="s">
        <v>608</v>
      </c>
      <c r="O12096" s="37" t="str">
        <f t="shared" si="943"/>
        <v>Cash Payment</v>
      </c>
      <c r="P12096">
        <v>298.8</v>
      </c>
      <c r="Q12096" s="37" t="str">
        <f>IF(P12096&gt;500,"High","low")</f>
        <v>low</v>
      </c>
      <c r="R12096" s="37" t="str">
        <f t="shared" si="944"/>
        <v>AVERAGE</v>
      </c>
      <c r="S12096" t="s">
        <v>600</v>
      </c>
    </row>
    <row r="12097" spans="1:19" x14ac:dyDescent="0.2">
      <c r="A12097" t="s">
        <v>12708</v>
      </c>
      <c r="B12097" t="s">
        <v>75</v>
      </c>
      <c r="C12097" t="s">
        <v>602</v>
      </c>
      <c r="D12097">
        <v>1173.21</v>
      </c>
      <c r="E12097" s="37" t="str">
        <f t="shared" si="940"/>
        <v xml:space="preserve"> </v>
      </c>
      <c r="F12097">
        <v>0.39</v>
      </c>
      <c r="G12097" s="37" t="str">
        <f t="shared" si="941"/>
        <v>Heavy Discount</v>
      </c>
      <c r="H12097" s="37" t="str">
        <f t="shared" si="942"/>
        <v>Medium</v>
      </c>
      <c r="I12097">
        <v>6</v>
      </c>
      <c r="J12097" t="str" cm="1">
        <f t="array" ref="J12097">_xlfn.IFS(I12097&lt;=3,"small",I12097&lt;=6,"Medium",I12097&lt;=9,"Large")</f>
        <v>Medium</v>
      </c>
      <c r="K12097" s="36">
        <v>45332</v>
      </c>
      <c r="L12097" s="36">
        <v>45339</v>
      </c>
      <c r="M12097" t="s">
        <v>603</v>
      </c>
      <c r="N12097" t="s">
        <v>608</v>
      </c>
      <c r="O12097" s="37" t="str">
        <f t="shared" si="943"/>
        <v>Cash Payment</v>
      </c>
      <c r="P12097">
        <v>129.97</v>
      </c>
      <c r="Q12097" s="37" t="str">
        <f>IF(P12097&gt;500,"High","low")</f>
        <v>low</v>
      </c>
      <c r="R12097" s="37" t="str">
        <f t="shared" si="944"/>
        <v>AVERAGE</v>
      </c>
      <c r="S12097" t="s">
        <v>609</v>
      </c>
    </row>
    <row r="12098" spans="1:19" x14ac:dyDescent="0.2">
      <c r="A12098" t="s">
        <v>12709</v>
      </c>
      <c r="B12098" t="s">
        <v>75</v>
      </c>
      <c r="C12098" t="s">
        <v>607</v>
      </c>
      <c r="D12098">
        <v>1470.17</v>
      </c>
      <c r="E12098" s="37" t="str">
        <f t="shared" si="940"/>
        <v xml:space="preserve"> </v>
      </c>
      <c r="F12098">
        <v>7.0000000000000007E-2</v>
      </c>
      <c r="G12098" s="37" t="str">
        <f t="shared" si="941"/>
        <v>Normal Discount</v>
      </c>
      <c r="H12098" s="37" t="str">
        <f t="shared" si="942"/>
        <v>Low</v>
      </c>
      <c r="I12098">
        <v>4</v>
      </c>
      <c r="J12098" t="str" cm="1">
        <f t="array" ref="J12098">_xlfn.IFS(I12098&lt;=3,"small",I12098&lt;=6,"Medium",I12098&lt;=9,"Large")</f>
        <v>Medium</v>
      </c>
      <c r="K12098" s="36">
        <v>45384</v>
      </c>
      <c r="L12098" s="36">
        <v>45387</v>
      </c>
      <c r="M12098" t="s">
        <v>612</v>
      </c>
      <c r="N12098" t="s">
        <v>599</v>
      </c>
      <c r="O12098" s="37" t="str">
        <f t="shared" si="943"/>
        <v>Digital Payment</v>
      </c>
      <c r="P12098">
        <v>379.59</v>
      </c>
      <c r="Q12098" s="37" t="str">
        <f>IF(P12098&gt;500,"High","low")</f>
        <v>low</v>
      </c>
      <c r="R12098" s="37" t="str">
        <f t="shared" si="944"/>
        <v>AVERAGE</v>
      </c>
      <c r="S12098" t="s">
        <v>620</v>
      </c>
    </row>
    <row r="12099" spans="1:19" x14ac:dyDescent="0.2">
      <c r="A12099" t="s">
        <v>12710</v>
      </c>
      <c r="B12099" t="s">
        <v>75</v>
      </c>
      <c r="C12099" t="s">
        <v>614</v>
      </c>
      <c r="D12099">
        <v>1656.77</v>
      </c>
      <c r="E12099" s="37" t="str">
        <f t="shared" ref="E12099:E12162" si="945">IF(AND(D12099&gt;4000,P12099&gt;800),"Excellent Order"," ")</f>
        <v xml:space="preserve"> </v>
      </c>
      <c r="F12099">
        <v>0.14000000000000001</v>
      </c>
      <c r="G12099" s="37" t="str">
        <f t="shared" ref="G12099:G12162" si="946">IF(F12099&gt;30%,"Heavy Discount","Normal Discount")</f>
        <v>Normal Discount</v>
      </c>
      <c r="H12099" s="37" t="str">
        <f t="shared" ref="H12099:H12162" si="947">IF(F12099&gt;0.4,"High",IF(F12099&gt;=0.2,"Medium","Low"))</f>
        <v>Low</v>
      </c>
      <c r="I12099">
        <v>2</v>
      </c>
      <c r="J12099" t="str" cm="1">
        <f t="array" ref="J12099">_xlfn.IFS(I12099&lt;=3,"small",I12099&lt;=6,"Medium",I12099&lt;=9,"Large")</f>
        <v>small</v>
      </c>
      <c r="K12099" s="36">
        <v>45650</v>
      </c>
      <c r="L12099" s="36">
        <v>45653</v>
      </c>
      <c r="M12099" t="s">
        <v>603</v>
      </c>
      <c r="N12099" t="s">
        <v>599</v>
      </c>
      <c r="O12099" s="37" t="str">
        <f t="shared" ref="O12099:O12162" si="948">IF(OR(N12099="Card",N12099="UPI"),"Digital Payment","Cash Payment")</f>
        <v>Digital Payment</v>
      </c>
      <c r="P12099">
        <v>388.94</v>
      </c>
      <c r="Q12099" s="37" t="str">
        <f>IF(P12099&gt;500,"High","low")</f>
        <v>low</v>
      </c>
      <c r="R12099" s="37" t="str">
        <f t="shared" ref="R12099:R12162" si="949">IF(P12099&gt;1000,"Excellent",IF(P12099&gt;=500,"Good","AVERAGE"))</f>
        <v>AVERAGE</v>
      </c>
      <c r="S12099" t="s">
        <v>628</v>
      </c>
    </row>
    <row r="12100" spans="1:19" x14ac:dyDescent="0.2">
      <c r="A12100" t="s">
        <v>12711</v>
      </c>
      <c r="B12100" t="s">
        <v>75</v>
      </c>
      <c r="C12100" t="s">
        <v>602</v>
      </c>
      <c r="D12100">
        <v>286.29000000000002</v>
      </c>
      <c r="E12100" s="37" t="str">
        <f t="shared" si="945"/>
        <v xml:space="preserve"> </v>
      </c>
      <c r="F12100">
        <v>0.09</v>
      </c>
      <c r="G12100" s="37" t="str">
        <f t="shared" si="946"/>
        <v>Normal Discount</v>
      </c>
      <c r="H12100" s="37" t="str">
        <f t="shared" si="947"/>
        <v>Low</v>
      </c>
      <c r="I12100">
        <v>7</v>
      </c>
      <c r="J12100" t="str" cm="1">
        <f t="array" ref="J12100">_xlfn.IFS(I12100&lt;=3,"small",I12100&lt;=6,"Medium",I12100&lt;=9,"Large")</f>
        <v>Large</v>
      </c>
      <c r="K12100" s="36">
        <v>44988</v>
      </c>
      <c r="L12100" s="36">
        <v>44991</v>
      </c>
      <c r="M12100" t="s">
        <v>612</v>
      </c>
      <c r="N12100" t="s">
        <v>608</v>
      </c>
      <c r="O12100" s="37" t="str">
        <f t="shared" si="948"/>
        <v>Cash Payment</v>
      </c>
      <c r="P12100">
        <v>68.989999999999995</v>
      </c>
      <c r="Q12100" s="37" t="str">
        <f>IF(P12100&gt;500,"High","low")</f>
        <v>low</v>
      </c>
      <c r="R12100" s="37" t="str">
        <f t="shared" si="949"/>
        <v>AVERAGE</v>
      </c>
      <c r="S12100" t="s">
        <v>605</v>
      </c>
    </row>
    <row r="12101" spans="1:19" x14ac:dyDescent="0.2">
      <c r="A12101" t="s">
        <v>12712</v>
      </c>
      <c r="B12101" t="s">
        <v>90</v>
      </c>
      <c r="C12101" t="s">
        <v>607</v>
      </c>
      <c r="D12101">
        <v>4574.13</v>
      </c>
      <c r="E12101" s="37" t="str">
        <f t="shared" si="945"/>
        <v xml:space="preserve"> </v>
      </c>
      <c r="F12101">
        <v>0.03</v>
      </c>
      <c r="G12101" s="37" t="str">
        <f t="shared" si="946"/>
        <v>Normal Discount</v>
      </c>
      <c r="H12101" s="37" t="str">
        <f t="shared" si="947"/>
        <v>Low</v>
      </c>
      <c r="I12101">
        <v>7</v>
      </c>
      <c r="J12101" t="str" cm="1">
        <f t="array" ref="J12101">_xlfn.IFS(I12101&lt;=3,"small",I12101&lt;=6,"Medium",I12101&lt;=9,"Large")</f>
        <v>Large</v>
      </c>
      <c r="K12101" s="36">
        <v>45431</v>
      </c>
      <c r="L12101" s="36">
        <v>45436</v>
      </c>
      <c r="M12101" t="s">
        <v>598</v>
      </c>
      <c r="N12101" t="s">
        <v>604</v>
      </c>
      <c r="O12101" s="37" t="str">
        <f t="shared" si="948"/>
        <v>Digital Payment</v>
      </c>
      <c r="P12101">
        <v>749.84</v>
      </c>
      <c r="Q12101" s="37" t="str">
        <f>IF(P12101&gt;500,"High","low")</f>
        <v>High</v>
      </c>
      <c r="R12101" s="37" t="str">
        <f t="shared" si="949"/>
        <v>Good</v>
      </c>
      <c r="S12101" t="s">
        <v>605</v>
      </c>
    </row>
    <row r="12102" spans="1:19" x14ac:dyDescent="0.2">
      <c r="A12102" t="s">
        <v>12713</v>
      </c>
      <c r="B12102" t="s">
        <v>75</v>
      </c>
      <c r="C12102" t="s">
        <v>614</v>
      </c>
      <c r="D12102">
        <v>4511.4799999999996</v>
      </c>
      <c r="E12102" s="37" t="str">
        <f t="shared" si="945"/>
        <v xml:space="preserve"> </v>
      </c>
      <c r="F12102">
        <v>0.27</v>
      </c>
      <c r="G12102" s="37" t="str">
        <f t="shared" si="946"/>
        <v>Normal Discount</v>
      </c>
      <c r="H12102" s="37" t="str">
        <f t="shared" si="947"/>
        <v>Medium</v>
      </c>
      <c r="I12102">
        <v>3</v>
      </c>
      <c r="J12102" t="str" cm="1">
        <f t="array" ref="J12102">_xlfn.IFS(I12102&lt;=3,"small",I12102&lt;=6,"Medium",I12102&lt;=9,"Large")</f>
        <v>small</v>
      </c>
      <c r="K12102" s="36">
        <v>45374</v>
      </c>
      <c r="L12102" s="36">
        <v>45380</v>
      </c>
      <c r="M12102" t="s">
        <v>598</v>
      </c>
      <c r="N12102" t="s">
        <v>599</v>
      </c>
      <c r="O12102" s="37" t="str">
        <f t="shared" si="948"/>
        <v>Digital Payment</v>
      </c>
      <c r="P12102">
        <v>575.37</v>
      </c>
      <c r="Q12102" s="37" t="str">
        <f>IF(P12102&gt;500,"High","low")</f>
        <v>High</v>
      </c>
      <c r="R12102" s="37" t="str">
        <f t="shared" si="949"/>
        <v>Good</v>
      </c>
      <c r="S12102" t="s">
        <v>615</v>
      </c>
    </row>
    <row r="12103" spans="1:19" x14ac:dyDescent="0.2">
      <c r="A12103" t="s">
        <v>12714</v>
      </c>
      <c r="B12103" t="s">
        <v>90</v>
      </c>
      <c r="C12103" t="s">
        <v>617</v>
      </c>
      <c r="D12103">
        <v>628.11</v>
      </c>
      <c r="E12103" s="37" t="str">
        <f t="shared" si="945"/>
        <v xml:space="preserve"> </v>
      </c>
      <c r="F12103">
        <v>0.12</v>
      </c>
      <c r="G12103" s="37" t="str">
        <f t="shared" si="946"/>
        <v>Normal Discount</v>
      </c>
      <c r="H12103" s="37" t="str">
        <f t="shared" si="947"/>
        <v>Low</v>
      </c>
      <c r="I12103">
        <v>5</v>
      </c>
      <c r="J12103" t="str" cm="1">
        <f t="array" ref="J12103">_xlfn.IFS(I12103&lt;=3,"small",I12103&lt;=6,"Medium",I12103&lt;=9,"Large")</f>
        <v>Medium</v>
      </c>
      <c r="K12103" s="36">
        <v>44954</v>
      </c>
      <c r="L12103" s="36">
        <v>44957</v>
      </c>
      <c r="M12103" t="s">
        <v>598</v>
      </c>
      <c r="N12103" t="s">
        <v>608</v>
      </c>
      <c r="O12103" s="37" t="str">
        <f t="shared" si="948"/>
        <v>Cash Payment</v>
      </c>
      <c r="P12103">
        <v>109.58</v>
      </c>
      <c r="Q12103" s="37" t="str">
        <f>IF(P12103&gt;500,"High","low")</f>
        <v>low</v>
      </c>
      <c r="R12103" s="37" t="str">
        <f t="shared" si="949"/>
        <v>AVERAGE</v>
      </c>
      <c r="S12103" t="s">
        <v>605</v>
      </c>
    </row>
    <row r="12104" spans="1:19" x14ac:dyDescent="0.2">
      <c r="A12104" t="s">
        <v>12715</v>
      </c>
      <c r="B12104" t="s">
        <v>75</v>
      </c>
      <c r="C12104" t="s">
        <v>617</v>
      </c>
      <c r="D12104">
        <v>2827.8</v>
      </c>
      <c r="E12104" s="37" t="str">
        <f t="shared" si="945"/>
        <v xml:space="preserve"> </v>
      </c>
      <c r="F12104">
        <v>0.08</v>
      </c>
      <c r="G12104" s="37" t="str">
        <f t="shared" si="946"/>
        <v>Normal Discount</v>
      </c>
      <c r="H12104" s="37" t="str">
        <f t="shared" si="947"/>
        <v>Low</v>
      </c>
      <c r="I12104">
        <v>6</v>
      </c>
      <c r="J12104" t="str" cm="1">
        <f t="array" ref="J12104">_xlfn.IFS(I12104&lt;=3,"small",I12104&lt;=6,"Medium",I12104&lt;=9,"Large")</f>
        <v>Medium</v>
      </c>
      <c r="K12104" s="36">
        <v>45423</v>
      </c>
      <c r="L12104" s="36">
        <v>45428</v>
      </c>
      <c r="M12104" t="s">
        <v>598</v>
      </c>
      <c r="N12104" t="s">
        <v>599</v>
      </c>
      <c r="O12104" s="37" t="str">
        <f t="shared" si="948"/>
        <v>Digital Payment</v>
      </c>
      <c r="P12104">
        <v>561.16</v>
      </c>
      <c r="Q12104" s="37" t="str">
        <f>IF(P12104&gt;500,"High","low")</f>
        <v>High</v>
      </c>
      <c r="R12104" s="37" t="str">
        <f t="shared" si="949"/>
        <v>Good</v>
      </c>
      <c r="S12104" t="s">
        <v>628</v>
      </c>
    </row>
    <row r="12105" spans="1:19" x14ac:dyDescent="0.2">
      <c r="A12105" t="s">
        <v>12716</v>
      </c>
      <c r="B12105" t="s">
        <v>83</v>
      </c>
      <c r="C12105" t="s">
        <v>607</v>
      </c>
      <c r="D12105">
        <v>2391.44</v>
      </c>
      <c r="E12105" s="37" t="str">
        <f t="shared" si="945"/>
        <v xml:space="preserve"> </v>
      </c>
      <c r="F12105">
        <v>0.26</v>
      </c>
      <c r="G12105" s="37" t="str">
        <f t="shared" si="946"/>
        <v>Normal Discount</v>
      </c>
      <c r="H12105" s="37" t="str">
        <f t="shared" si="947"/>
        <v>Medium</v>
      </c>
      <c r="I12105">
        <v>9</v>
      </c>
      <c r="J12105" t="str" cm="1">
        <f t="array" ref="J12105">_xlfn.IFS(I12105&lt;=3,"small",I12105&lt;=6,"Medium",I12105&lt;=9,"Large")</f>
        <v>Large</v>
      </c>
      <c r="K12105" s="36">
        <v>45594</v>
      </c>
      <c r="L12105" s="36">
        <v>45601</v>
      </c>
      <c r="M12105" t="s">
        <v>603</v>
      </c>
      <c r="N12105" t="s">
        <v>604</v>
      </c>
      <c r="O12105" s="37" t="str">
        <f t="shared" si="948"/>
        <v>Digital Payment</v>
      </c>
      <c r="P12105">
        <v>551.59</v>
      </c>
      <c r="Q12105" s="37" t="str">
        <f>IF(P12105&gt;500,"High","low")</f>
        <v>High</v>
      </c>
      <c r="R12105" s="37" t="str">
        <f t="shared" si="949"/>
        <v>Good</v>
      </c>
      <c r="S12105" t="s">
        <v>600</v>
      </c>
    </row>
    <row r="12106" spans="1:19" x14ac:dyDescent="0.2">
      <c r="A12106" t="s">
        <v>12717</v>
      </c>
      <c r="B12106" t="s">
        <v>83</v>
      </c>
      <c r="C12106" t="s">
        <v>614</v>
      </c>
      <c r="D12106">
        <v>3448.73</v>
      </c>
      <c r="E12106" s="37" t="str">
        <f t="shared" si="945"/>
        <v xml:space="preserve"> </v>
      </c>
      <c r="F12106">
        <v>0.32</v>
      </c>
      <c r="G12106" s="37" t="str">
        <f t="shared" si="946"/>
        <v>Heavy Discount</v>
      </c>
      <c r="H12106" s="37" t="str">
        <f t="shared" si="947"/>
        <v>Medium</v>
      </c>
      <c r="I12106">
        <v>3</v>
      </c>
      <c r="J12106" t="str" cm="1">
        <f t="array" ref="J12106">_xlfn.IFS(I12106&lt;=3,"small",I12106&lt;=6,"Medium",I12106&lt;=9,"Large")</f>
        <v>small</v>
      </c>
      <c r="K12106" s="36">
        <v>45442</v>
      </c>
      <c r="L12106" s="36">
        <v>45445</v>
      </c>
      <c r="M12106" t="s">
        <v>612</v>
      </c>
      <c r="N12106" t="s">
        <v>608</v>
      </c>
      <c r="O12106" s="37" t="str">
        <f t="shared" si="948"/>
        <v>Cash Payment</v>
      </c>
      <c r="P12106">
        <v>568.5</v>
      </c>
      <c r="Q12106" s="37" t="str">
        <f>IF(P12106&gt;500,"High","low")</f>
        <v>High</v>
      </c>
      <c r="R12106" s="37" t="str">
        <f t="shared" si="949"/>
        <v>Good</v>
      </c>
      <c r="S12106" t="s">
        <v>620</v>
      </c>
    </row>
    <row r="12107" spans="1:19" x14ac:dyDescent="0.2">
      <c r="A12107" t="s">
        <v>12718</v>
      </c>
      <c r="B12107" t="s">
        <v>75</v>
      </c>
      <c r="C12107" t="s">
        <v>602</v>
      </c>
      <c r="D12107">
        <v>3054.79</v>
      </c>
      <c r="E12107" s="37" t="str">
        <f t="shared" si="945"/>
        <v xml:space="preserve"> </v>
      </c>
      <c r="F12107">
        <v>0.39</v>
      </c>
      <c r="G12107" s="37" t="str">
        <f t="shared" si="946"/>
        <v>Heavy Discount</v>
      </c>
      <c r="H12107" s="37" t="str">
        <f t="shared" si="947"/>
        <v>Medium</v>
      </c>
      <c r="I12107">
        <v>3</v>
      </c>
      <c r="J12107" t="str" cm="1">
        <f t="array" ref="J12107">_xlfn.IFS(I12107&lt;=3,"small",I12107&lt;=6,"Medium",I12107&lt;=9,"Large")</f>
        <v>small</v>
      </c>
      <c r="K12107" s="36">
        <v>45355</v>
      </c>
      <c r="L12107" s="36">
        <v>45358</v>
      </c>
      <c r="M12107" t="s">
        <v>603</v>
      </c>
      <c r="N12107" t="s">
        <v>608</v>
      </c>
      <c r="O12107" s="37" t="str">
        <f t="shared" si="948"/>
        <v>Cash Payment</v>
      </c>
      <c r="P12107">
        <v>683.57</v>
      </c>
      <c r="Q12107" s="37" t="str">
        <f>IF(P12107&gt;500,"High","low")</f>
        <v>High</v>
      </c>
      <c r="R12107" s="37" t="str">
        <f t="shared" si="949"/>
        <v>Good</v>
      </c>
      <c r="S12107" t="s">
        <v>605</v>
      </c>
    </row>
    <row r="12108" spans="1:19" x14ac:dyDescent="0.2">
      <c r="A12108" t="s">
        <v>12719</v>
      </c>
      <c r="B12108" t="s">
        <v>67</v>
      </c>
      <c r="C12108" t="s">
        <v>602</v>
      </c>
      <c r="D12108">
        <v>709.18</v>
      </c>
      <c r="E12108" s="37" t="str">
        <f t="shared" si="945"/>
        <v xml:space="preserve"> </v>
      </c>
      <c r="F12108">
        <v>0.01</v>
      </c>
      <c r="G12108" s="37" t="str">
        <f t="shared" si="946"/>
        <v>Normal Discount</v>
      </c>
      <c r="H12108" s="37" t="str">
        <f t="shared" si="947"/>
        <v>Low</v>
      </c>
      <c r="I12108">
        <v>5</v>
      </c>
      <c r="J12108" t="str" cm="1">
        <f t="array" ref="J12108">_xlfn.IFS(I12108&lt;=3,"small",I12108&lt;=6,"Medium",I12108&lt;=9,"Large")</f>
        <v>Medium</v>
      </c>
      <c r="K12108" s="36">
        <v>45323</v>
      </c>
      <c r="L12108" s="36">
        <v>45329</v>
      </c>
      <c r="M12108" t="s">
        <v>603</v>
      </c>
      <c r="N12108" t="s">
        <v>608</v>
      </c>
      <c r="O12108" s="37" t="str">
        <f t="shared" si="948"/>
        <v>Cash Payment</v>
      </c>
      <c r="P12108">
        <v>127.8</v>
      </c>
      <c r="Q12108" s="37" t="str">
        <f>IF(P12108&gt;500,"High","low")</f>
        <v>low</v>
      </c>
      <c r="R12108" s="37" t="str">
        <f t="shared" si="949"/>
        <v>AVERAGE</v>
      </c>
      <c r="S12108" t="s">
        <v>609</v>
      </c>
    </row>
    <row r="12109" spans="1:19" x14ac:dyDescent="0.2">
      <c r="A12109" t="s">
        <v>12720</v>
      </c>
      <c r="B12109" t="s">
        <v>83</v>
      </c>
      <c r="C12109" t="s">
        <v>614</v>
      </c>
      <c r="D12109">
        <v>3334.38</v>
      </c>
      <c r="E12109" s="37" t="str">
        <f t="shared" si="945"/>
        <v xml:space="preserve"> </v>
      </c>
      <c r="F12109">
        <v>0.26</v>
      </c>
      <c r="G12109" s="37" t="str">
        <f t="shared" si="946"/>
        <v>Normal Discount</v>
      </c>
      <c r="H12109" s="37" t="str">
        <f t="shared" si="947"/>
        <v>Medium</v>
      </c>
      <c r="I12109">
        <v>2</v>
      </c>
      <c r="J12109" t="str" cm="1">
        <f t="array" ref="J12109">_xlfn.IFS(I12109&lt;=3,"small",I12109&lt;=6,"Medium",I12109&lt;=9,"Large")</f>
        <v>small</v>
      </c>
      <c r="K12109" s="36">
        <v>45521</v>
      </c>
      <c r="L12109" s="36">
        <v>45525</v>
      </c>
      <c r="M12109" t="s">
        <v>603</v>
      </c>
      <c r="N12109" t="s">
        <v>599</v>
      </c>
      <c r="O12109" s="37" t="str">
        <f t="shared" si="948"/>
        <v>Digital Payment</v>
      </c>
      <c r="P12109">
        <v>301.29000000000002</v>
      </c>
      <c r="Q12109" s="37" t="str">
        <f>IF(P12109&gt;500,"High","low")</f>
        <v>low</v>
      </c>
      <c r="R12109" s="37" t="str">
        <f t="shared" si="949"/>
        <v>AVERAGE</v>
      </c>
      <c r="S12109" t="s">
        <v>620</v>
      </c>
    </row>
    <row r="12110" spans="1:19" x14ac:dyDescent="0.2">
      <c r="A12110" t="s">
        <v>12721</v>
      </c>
      <c r="B12110" t="s">
        <v>90</v>
      </c>
      <c r="C12110" t="s">
        <v>617</v>
      </c>
      <c r="D12110">
        <v>3083.47</v>
      </c>
      <c r="E12110" s="37" t="str">
        <f t="shared" si="945"/>
        <v xml:space="preserve"> </v>
      </c>
      <c r="F12110">
        <v>0.13</v>
      </c>
      <c r="G12110" s="37" t="str">
        <f t="shared" si="946"/>
        <v>Normal Discount</v>
      </c>
      <c r="H12110" s="37" t="str">
        <f t="shared" si="947"/>
        <v>Low</v>
      </c>
      <c r="I12110">
        <v>3</v>
      </c>
      <c r="J12110" t="str" cm="1">
        <f t="array" ref="J12110">_xlfn.IFS(I12110&lt;=3,"small",I12110&lt;=6,"Medium",I12110&lt;=9,"Large")</f>
        <v>small</v>
      </c>
      <c r="K12110" s="36">
        <v>45024</v>
      </c>
      <c r="L12110" s="36">
        <v>45028</v>
      </c>
      <c r="M12110" t="s">
        <v>612</v>
      </c>
      <c r="N12110" t="s">
        <v>608</v>
      </c>
      <c r="O12110" s="37" t="str">
        <f t="shared" si="948"/>
        <v>Cash Payment</v>
      </c>
      <c r="P12110">
        <v>212.88</v>
      </c>
      <c r="Q12110" s="37" t="str">
        <f>IF(P12110&gt;500,"High","low")</f>
        <v>low</v>
      </c>
      <c r="R12110" s="37" t="str">
        <f t="shared" si="949"/>
        <v>AVERAGE</v>
      </c>
      <c r="S12110" t="s">
        <v>609</v>
      </c>
    </row>
    <row r="12111" spans="1:19" x14ac:dyDescent="0.2">
      <c r="A12111" t="s">
        <v>12722</v>
      </c>
      <c r="B12111" t="s">
        <v>75</v>
      </c>
      <c r="C12111" t="s">
        <v>614</v>
      </c>
      <c r="D12111">
        <v>2703</v>
      </c>
      <c r="E12111" s="37" t="str">
        <f t="shared" si="945"/>
        <v xml:space="preserve"> </v>
      </c>
      <c r="F12111">
        <v>0.5</v>
      </c>
      <c r="G12111" s="37" t="str">
        <f t="shared" si="946"/>
        <v>Heavy Discount</v>
      </c>
      <c r="H12111" s="37" t="str">
        <f t="shared" si="947"/>
        <v>High</v>
      </c>
      <c r="I12111">
        <v>6</v>
      </c>
      <c r="J12111" t="str" cm="1">
        <f t="array" ref="J12111">_xlfn.IFS(I12111&lt;=3,"small",I12111&lt;=6,"Medium",I12111&lt;=9,"Large")</f>
        <v>Medium</v>
      </c>
      <c r="K12111" s="36">
        <v>45419</v>
      </c>
      <c r="L12111" s="36">
        <v>45423</v>
      </c>
      <c r="M12111" t="s">
        <v>598</v>
      </c>
      <c r="N12111" t="s">
        <v>608</v>
      </c>
      <c r="O12111" s="37" t="str">
        <f t="shared" si="948"/>
        <v>Cash Payment</v>
      </c>
      <c r="P12111">
        <v>514.16</v>
      </c>
      <c r="Q12111" s="37" t="str">
        <f>IF(P12111&gt;500,"High","low")</f>
        <v>High</v>
      </c>
      <c r="R12111" s="37" t="str">
        <f t="shared" si="949"/>
        <v>Good</v>
      </c>
      <c r="S12111" t="s">
        <v>605</v>
      </c>
    </row>
    <row r="12112" spans="1:19" x14ac:dyDescent="0.2">
      <c r="A12112" t="s">
        <v>12723</v>
      </c>
      <c r="B12112" t="s">
        <v>90</v>
      </c>
      <c r="C12112" t="s">
        <v>617</v>
      </c>
      <c r="D12112">
        <v>2071.79</v>
      </c>
      <c r="E12112" s="37" t="str">
        <f t="shared" si="945"/>
        <v xml:space="preserve"> </v>
      </c>
      <c r="F12112">
        <v>0.08</v>
      </c>
      <c r="G12112" s="37" t="str">
        <f t="shared" si="946"/>
        <v>Normal Discount</v>
      </c>
      <c r="H12112" s="37" t="str">
        <f t="shared" si="947"/>
        <v>Low</v>
      </c>
      <c r="I12112">
        <v>3</v>
      </c>
      <c r="J12112" t="str" cm="1">
        <f t="array" ref="J12112">_xlfn.IFS(I12112&lt;=3,"small",I12112&lt;=6,"Medium",I12112&lt;=9,"Large")</f>
        <v>small</v>
      </c>
      <c r="K12112" s="36">
        <v>45390</v>
      </c>
      <c r="L12112" s="36">
        <v>45391</v>
      </c>
      <c r="M12112" t="s">
        <v>598</v>
      </c>
      <c r="N12112" t="s">
        <v>608</v>
      </c>
      <c r="O12112" s="37" t="str">
        <f t="shared" si="948"/>
        <v>Cash Payment</v>
      </c>
      <c r="P12112">
        <v>343.65</v>
      </c>
      <c r="Q12112" s="37" t="str">
        <f>IF(P12112&gt;500,"High","low")</f>
        <v>low</v>
      </c>
      <c r="R12112" s="37" t="str">
        <f t="shared" si="949"/>
        <v>AVERAGE</v>
      </c>
      <c r="S12112" t="s">
        <v>609</v>
      </c>
    </row>
    <row r="12113" spans="1:19" x14ac:dyDescent="0.2">
      <c r="A12113" t="s">
        <v>12724</v>
      </c>
      <c r="B12113" t="s">
        <v>67</v>
      </c>
      <c r="C12113" t="s">
        <v>617</v>
      </c>
      <c r="D12113">
        <v>4779.1099999999997</v>
      </c>
      <c r="E12113" s="37" t="str">
        <f t="shared" si="945"/>
        <v xml:space="preserve"> </v>
      </c>
      <c r="F12113">
        <v>0.22</v>
      </c>
      <c r="G12113" s="37" t="str">
        <f t="shared" si="946"/>
        <v>Normal Discount</v>
      </c>
      <c r="H12113" s="37" t="str">
        <f t="shared" si="947"/>
        <v>Medium</v>
      </c>
      <c r="I12113">
        <v>1</v>
      </c>
      <c r="J12113" t="str" cm="1">
        <f t="array" ref="J12113">_xlfn.IFS(I12113&lt;=3,"small",I12113&lt;=6,"Medium",I12113&lt;=9,"Large")</f>
        <v>small</v>
      </c>
      <c r="K12113" s="36">
        <v>45186</v>
      </c>
      <c r="L12113" s="36">
        <v>45191</v>
      </c>
      <c r="M12113" t="s">
        <v>603</v>
      </c>
      <c r="N12113" t="s">
        <v>608</v>
      </c>
      <c r="O12113" s="37" t="str">
        <f t="shared" si="948"/>
        <v>Cash Payment</v>
      </c>
      <c r="P12113">
        <v>693.81</v>
      </c>
      <c r="Q12113" s="37" t="str">
        <f>IF(P12113&gt;500,"High","low")</f>
        <v>High</v>
      </c>
      <c r="R12113" s="37" t="str">
        <f t="shared" si="949"/>
        <v>Good</v>
      </c>
      <c r="S12113" t="s">
        <v>609</v>
      </c>
    </row>
    <row r="12114" spans="1:19" x14ac:dyDescent="0.2">
      <c r="A12114" t="s">
        <v>12725</v>
      </c>
      <c r="B12114" t="s">
        <v>75</v>
      </c>
      <c r="C12114" t="s">
        <v>602</v>
      </c>
      <c r="D12114">
        <v>4262.25</v>
      </c>
      <c r="E12114" s="37" t="str">
        <f t="shared" si="945"/>
        <v>Excellent Order</v>
      </c>
      <c r="F12114">
        <v>0.49</v>
      </c>
      <c r="G12114" s="37" t="str">
        <f t="shared" si="946"/>
        <v>Heavy Discount</v>
      </c>
      <c r="H12114" s="37" t="str">
        <f t="shared" si="947"/>
        <v>High</v>
      </c>
      <c r="I12114">
        <v>7</v>
      </c>
      <c r="J12114" t="str" cm="1">
        <f t="array" ref="J12114">_xlfn.IFS(I12114&lt;=3,"small",I12114&lt;=6,"Medium",I12114&lt;=9,"Large")</f>
        <v>Large</v>
      </c>
      <c r="K12114" s="36">
        <v>45010</v>
      </c>
      <c r="L12114" s="36">
        <v>45017</v>
      </c>
      <c r="M12114" t="s">
        <v>598</v>
      </c>
      <c r="N12114" t="s">
        <v>608</v>
      </c>
      <c r="O12114" s="37" t="str">
        <f t="shared" si="948"/>
        <v>Cash Payment</v>
      </c>
      <c r="P12114">
        <v>820.59</v>
      </c>
      <c r="Q12114" s="37" t="str">
        <f>IF(P12114&gt;500,"High","low")</f>
        <v>High</v>
      </c>
      <c r="R12114" s="37" t="str">
        <f t="shared" si="949"/>
        <v>Good</v>
      </c>
      <c r="S12114" t="s">
        <v>605</v>
      </c>
    </row>
    <row r="12115" spans="1:19" x14ac:dyDescent="0.2">
      <c r="A12115" t="s">
        <v>12726</v>
      </c>
      <c r="B12115" t="s">
        <v>83</v>
      </c>
      <c r="C12115" t="s">
        <v>607</v>
      </c>
      <c r="D12115">
        <v>2966.92</v>
      </c>
      <c r="E12115" s="37" t="str">
        <f t="shared" si="945"/>
        <v xml:space="preserve"> </v>
      </c>
      <c r="F12115">
        <v>0.11</v>
      </c>
      <c r="G12115" s="37" t="str">
        <f t="shared" si="946"/>
        <v>Normal Discount</v>
      </c>
      <c r="H12115" s="37" t="str">
        <f t="shared" si="947"/>
        <v>Low</v>
      </c>
      <c r="I12115">
        <v>7</v>
      </c>
      <c r="J12115" t="str" cm="1">
        <f t="array" ref="J12115">_xlfn.IFS(I12115&lt;=3,"small",I12115&lt;=6,"Medium",I12115&lt;=9,"Large")</f>
        <v>Large</v>
      </c>
      <c r="K12115" s="36">
        <v>45034</v>
      </c>
      <c r="L12115" s="36">
        <v>45039</v>
      </c>
      <c r="M12115" t="s">
        <v>598</v>
      </c>
      <c r="N12115" t="s">
        <v>599</v>
      </c>
      <c r="O12115" s="37" t="str">
        <f t="shared" si="948"/>
        <v>Digital Payment</v>
      </c>
      <c r="P12115">
        <v>668.27</v>
      </c>
      <c r="Q12115" s="37" t="str">
        <f>IF(P12115&gt;500,"High","low")</f>
        <v>High</v>
      </c>
      <c r="R12115" s="37" t="str">
        <f t="shared" si="949"/>
        <v>Good</v>
      </c>
      <c r="S12115" t="s">
        <v>600</v>
      </c>
    </row>
    <row r="12116" spans="1:19" x14ac:dyDescent="0.2">
      <c r="A12116" t="s">
        <v>12727</v>
      </c>
      <c r="B12116" t="s">
        <v>90</v>
      </c>
      <c r="C12116" t="s">
        <v>597</v>
      </c>
      <c r="D12116">
        <v>131.25</v>
      </c>
      <c r="E12116" s="37" t="str">
        <f t="shared" si="945"/>
        <v xml:space="preserve"> </v>
      </c>
      <c r="F12116">
        <v>0.4</v>
      </c>
      <c r="G12116" s="37" t="str">
        <f t="shared" si="946"/>
        <v>Heavy Discount</v>
      </c>
      <c r="H12116" s="37" t="str">
        <f t="shared" si="947"/>
        <v>Medium</v>
      </c>
      <c r="I12116">
        <v>2</v>
      </c>
      <c r="J12116" t="str" cm="1">
        <f t="array" ref="J12116">_xlfn.IFS(I12116&lt;=3,"small",I12116&lt;=6,"Medium",I12116&lt;=9,"Large")</f>
        <v>small</v>
      </c>
      <c r="K12116" s="36">
        <v>45284</v>
      </c>
      <c r="L12116" s="36">
        <v>45288</v>
      </c>
      <c r="M12116" t="s">
        <v>612</v>
      </c>
      <c r="N12116" t="s">
        <v>604</v>
      </c>
      <c r="O12116" s="37" t="str">
        <f t="shared" si="948"/>
        <v>Digital Payment</v>
      </c>
      <c r="P12116">
        <v>14.16</v>
      </c>
      <c r="Q12116" s="37" t="str">
        <f>IF(P12116&gt;500,"High","low")</f>
        <v>low</v>
      </c>
      <c r="R12116" s="37" t="str">
        <f t="shared" si="949"/>
        <v>AVERAGE</v>
      </c>
      <c r="S12116" t="s">
        <v>620</v>
      </c>
    </row>
    <row r="12117" spans="1:19" x14ac:dyDescent="0.2">
      <c r="A12117" t="s">
        <v>12728</v>
      </c>
      <c r="B12117" t="s">
        <v>83</v>
      </c>
      <c r="C12117" t="s">
        <v>614</v>
      </c>
      <c r="D12117">
        <v>2217.4</v>
      </c>
      <c r="E12117" s="37" t="str">
        <f t="shared" si="945"/>
        <v xml:space="preserve"> </v>
      </c>
      <c r="F12117">
        <v>0.12</v>
      </c>
      <c r="G12117" s="37" t="str">
        <f t="shared" si="946"/>
        <v>Normal Discount</v>
      </c>
      <c r="H12117" s="37" t="str">
        <f t="shared" si="947"/>
        <v>Low</v>
      </c>
      <c r="I12117">
        <v>5</v>
      </c>
      <c r="J12117" t="str" cm="1">
        <f t="array" ref="J12117">_xlfn.IFS(I12117&lt;=3,"small",I12117&lt;=6,"Medium",I12117&lt;=9,"Large")</f>
        <v>Medium</v>
      </c>
      <c r="K12117" s="36">
        <v>45276</v>
      </c>
      <c r="L12117" s="36">
        <v>45282</v>
      </c>
      <c r="M12117" t="s">
        <v>603</v>
      </c>
      <c r="N12117" t="s">
        <v>604</v>
      </c>
      <c r="O12117" s="37" t="str">
        <f t="shared" si="948"/>
        <v>Digital Payment</v>
      </c>
      <c r="P12117">
        <v>413.11</v>
      </c>
      <c r="Q12117" s="37" t="str">
        <f>IF(P12117&gt;500,"High","low")</f>
        <v>low</v>
      </c>
      <c r="R12117" s="37" t="str">
        <f t="shared" si="949"/>
        <v>AVERAGE</v>
      </c>
      <c r="S12117" t="s">
        <v>609</v>
      </c>
    </row>
    <row r="12118" spans="1:19" x14ac:dyDescent="0.2">
      <c r="A12118" t="s">
        <v>12729</v>
      </c>
      <c r="B12118" t="s">
        <v>83</v>
      </c>
      <c r="C12118" t="s">
        <v>617</v>
      </c>
      <c r="D12118">
        <v>3531.66</v>
      </c>
      <c r="E12118" s="37" t="str">
        <f t="shared" si="945"/>
        <v xml:space="preserve"> </v>
      </c>
      <c r="F12118">
        <v>0.04</v>
      </c>
      <c r="G12118" s="37" t="str">
        <f t="shared" si="946"/>
        <v>Normal Discount</v>
      </c>
      <c r="H12118" s="37" t="str">
        <f t="shared" si="947"/>
        <v>Low</v>
      </c>
      <c r="I12118">
        <v>9</v>
      </c>
      <c r="J12118" t="str" cm="1">
        <f t="array" ref="J12118">_xlfn.IFS(I12118&lt;=3,"small",I12118&lt;=6,"Medium",I12118&lt;=9,"Large")</f>
        <v>Large</v>
      </c>
      <c r="K12118" s="36">
        <v>45572</v>
      </c>
      <c r="L12118" s="36">
        <v>45576</v>
      </c>
      <c r="M12118" t="s">
        <v>603</v>
      </c>
      <c r="N12118" t="s">
        <v>604</v>
      </c>
      <c r="O12118" s="37" t="str">
        <f t="shared" si="948"/>
        <v>Digital Payment</v>
      </c>
      <c r="P12118">
        <v>370.24</v>
      </c>
      <c r="Q12118" s="37" t="str">
        <f>IF(P12118&gt;500,"High","low")</f>
        <v>low</v>
      </c>
      <c r="R12118" s="37" t="str">
        <f t="shared" si="949"/>
        <v>AVERAGE</v>
      </c>
      <c r="S12118" t="s">
        <v>600</v>
      </c>
    </row>
    <row r="12119" spans="1:19" x14ac:dyDescent="0.2">
      <c r="A12119" t="s">
        <v>12730</v>
      </c>
      <c r="B12119" t="s">
        <v>75</v>
      </c>
      <c r="C12119" t="s">
        <v>614</v>
      </c>
      <c r="D12119">
        <v>674.74</v>
      </c>
      <c r="E12119" s="37" t="str">
        <f t="shared" si="945"/>
        <v xml:space="preserve"> </v>
      </c>
      <c r="F12119">
        <v>0.02</v>
      </c>
      <c r="G12119" s="37" t="str">
        <f t="shared" si="946"/>
        <v>Normal Discount</v>
      </c>
      <c r="H12119" s="37" t="str">
        <f t="shared" si="947"/>
        <v>Low</v>
      </c>
      <c r="I12119">
        <v>3</v>
      </c>
      <c r="J12119" t="str" cm="1">
        <f t="array" ref="J12119">_xlfn.IFS(I12119&lt;=3,"small",I12119&lt;=6,"Medium",I12119&lt;=9,"Large")</f>
        <v>small</v>
      </c>
      <c r="K12119" s="36">
        <v>45556</v>
      </c>
      <c r="L12119" s="36">
        <v>45563</v>
      </c>
      <c r="M12119" t="s">
        <v>603</v>
      </c>
      <c r="N12119" t="s">
        <v>608</v>
      </c>
      <c r="O12119" s="37" t="str">
        <f t="shared" si="948"/>
        <v>Cash Payment</v>
      </c>
      <c r="P12119">
        <v>141.74</v>
      </c>
      <c r="Q12119" s="37" t="str">
        <f>IF(P12119&gt;500,"High","low")</f>
        <v>low</v>
      </c>
      <c r="R12119" s="37" t="str">
        <f t="shared" si="949"/>
        <v>AVERAGE</v>
      </c>
      <c r="S12119" t="s">
        <v>605</v>
      </c>
    </row>
    <row r="12120" spans="1:19" x14ac:dyDescent="0.2">
      <c r="A12120" t="s">
        <v>12731</v>
      </c>
      <c r="B12120" t="s">
        <v>90</v>
      </c>
      <c r="C12120" t="s">
        <v>607</v>
      </c>
      <c r="D12120">
        <v>2092.09</v>
      </c>
      <c r="E12120" s="37" t="str">
        <f t="shared" si="945"/>
        <v xml:space="preserve"> </v>
      </c>
      <c r="F12120">
        <v>0.47</v>
      </c>
      <c r="G12120" s="37" t="str">
        <f t="shared" si="946"/>
        <v>Heavy Discount</v>
      </c>
      <c r="H12120" s="37" t="str">
        <f t="shared" si="947"/>
        <v>High</v>
      </c>
      <c r="I12120">
        <v>8</v>
      </c>
      <c r="J12120" t="str" cm="1">
        <f t="array" ref="J12120">_xlfn.IFS(I12120&lt;=3,"small",I12120&lt;=6,"Medium",I12120&lt;=9,"Large")</f>
        <v>Large</v>
      </c>
      <c r="K12120" s="36">
        <v>45366</v>
      </c>
      <c r="L12120" s="36">
        <v>45373</v>
      </c>
      <c r="M12120" t="s">
        <v>603</v>
      </c>
      <c r="N12120" t="s">
        <v>599</v>
      </c>
      <c r="O12120" s="37" t="str">
        <f t="shared" si="948"/>
        <v>Digital Payment</v>
      </c>
      <c r="P12120">
        <v>395.3</v>
      </c>
      <c r="Q12120" s="37" t="str">
        <f>IF(P12120&gt;500,"High","low")</f>
        <v>low</v>
      </c>
      <c r="R12120" s="37" t="str">
        <f t="shared" si="949"/>
        <v>AVERAGE</v>
      </c>
      <c r="S12120" t="s">
        <v>620</v>
      </c>
    </row>
    <row r="12121" spans="1:19" x14ac:dyDescent="0.2">
      <c r="A12121" t="s">
        <v>12732</v>
      </c>
      <c r="B12121" t="s">
        <v>67</v>
      </c>
      <c r="C12121" t="s">
        <v>607</v>
      </c>
      <c r="D12121">
        <v>1039.45</v>
      </c>
      <c r="E12121" s="37" t="str">
        <f t="shared" si="945"/>
        <v xml:space="preserve"> </v>
      </c>
      <c r="F12121">
        <v>0.11</v>
      </c>
      <c r="G12121" s="37" t="str">
        <f t="shared" si="946"/>
        <v>Normal Discount</v>
      </c>
      <c r="H12121" s="37" t="str">
        <f t="shared" si="947"/>
        <v>Low</v>
      </c>
      <c r="I12121">
        <v>4</v>
      </c>
      <c r="J12121" t="str" cm="1">
        <f t="array" ref="J12121">_xlfn.IFS(I12121&lt;=3,"small",I12121&lt;=6,"Medium",I12121&lt;=9,"Large")</f>
        <v>Medium</v>
      </c>
      <c r="K12121" s="36">
        <v>45519</v>
      </c>
      <c r="L12121" s="36">
        <v>45522</v>
      </c>
      <c r="M12121" t="s">
        <v>598</v>
      </c>
      <c r="N12121" t="s">
        <v>604</v>
      </c>
      <c r="O12121" s="37" t="str">
        <f t="shared" si="948"/>
        <v>Digital Payment</v>
      </c>
      <c r="P12121">
        <v>233.92</v>
      </c>
      <c r="Q12121" s="37" t="str">
        <f>IF(P12121&gt;500,"High","low")</f>
        <v>low</v>
      </c>
      <c r="R12121" s="37" t="str">
        <f t="shared" si="949"/>
        <v>AVERAGE</v>
      </c>
      <c r="S12121" t="s">
        <v>620</v>
      </c>
    </row>
    <row r="12122" spans="1:19" x14ac:dyDescent="0.2">
      <c r="A12122" t="s">
        <v>12733</v>
      </c>
      <c r="B12122" t="s">
        <v>83</v>
      </c>
      <c r="C12122" t="s">
        <v>597</v>
      </c>
      <c r="D12122">
        <v>1756.9</v>
      </c>
      <c r="E12122" s="37" t="str">
        <f t="shared" si="945"/>
        <v xml:space="preserve"> </v>
      </c>
      <c r="F12122">
        <v>0.15</v>
      </c>
      <c r="G12122" s="37" t="str">
        <f t="shared" si="946"/>
        <v>Normal Discount</v>
      </c>
      <c r="H12122" s="37" t="str">
        <f t="shared" si="947"/>
        <v>Low</v>
      </c>
      <c r="I12122">
        <v>3</v>
      </c>
      <c r="J12122" t="str" cm="1">
        <f t="array" ref="J12122">_xlfn.IFS(I12122&lt;=3,"small",I12122&lt;=6,"Medium",I12122&lt;=9,"Large")</f>
        <v>small</v>
      </c>
      <c r="K12122" s="36">
        <v>45593</v>
      </c>
      <c r="L12122" s="36">
        <v>45596</v>
      </c>
      <c r="M12122" t="s">
        <v>598</v>
      </c>
      <c r="N12122" t="s">
        <v>599</v>
      </c>
      <c r="O12122" s="37" t="str">
        <f t="shared" si="948"/>
        <v>Digital Payment</v>
      </c>
      <c r="P12122">
        <v>454.83</v>
      </c>
      <c r="Q12122" s="37" t="str">
        <f>IF(P12122&gt;500,"High","low")</f>
        <v>low</v>
      </c>
      <c r="R12122" s="37" t="str">
        <f t="shared" si="949"/>
        <v>AVERAGE</v>
      </c>
      <c r="S12122" t="s">
        <v>605</v>
      </c>
    </row>
    <row r="12123" spans="1:19" x14ac:dyDescent="0.2">
      <c r="A12123" t="s">
        <v>12734</v>
      </c>
      <c r="B12123" t="s">
        <v>75</v>
      </c>
      <c r="C12123" t="s">
        <v>597</v>
      </c>
      <c r="D12123">
        <v>230.68</v>
      </c>
      <c r="E12123" s="37" t="str">
        <f t="shared" si="945"/>
        <v xml:space="preserve"> </v>
      </c>
      <c r="F12123">
        <v>0.48</v>
      </c>
      <c r="G12123" s="37" t="str">
        <f t="shared" si="946"/>
        <v>Heavy Discount</v>
      </c>
      <c r="H12123" s="37" t="str">
        <f t="shared" si="947"/>
        <v>High</v>
      </c>
      <c r="I12123">
        <v>2</v>
      </c>
      <c r="J12123" t="str" cm="1">
        <f t="array" ref="J12123">_xlfn.IFS(I12123&lt;=3,"small",I12123&lt;=6,"Medium",I12123&lt;=9,"Large")</f>
        <v>small</v>
      </c>
      <c r="K12123" s="36">
        <v>45217</v>
      </c>
      <c r="L12123" s="36">
        <v>45220</v>
      </c>
      <c r="M12123" t="s">
        <v>598</v>
      </c>
      <c r="N12123" t="s">
        <v>608</v>
      </c>
      <c r="O12123" s="37" t="str">
        <f t="shared" si="948"/>
        <v>Cash Payment</v>
      </c>
      <c r="P12123">
        <v>30.36</v>
      </c>
      <c r="Q12123" s="37" t="str">
        <f>IF(P12123&gt;500,"High","low")</f>
        <v>low</v>
      </c>
      <c r="R12123" s="37" t="str">
        <f t="shared" si="949"/>
        <v>AVERAGE</v>
      </c>
      <c r="S12123" t="s">
        <v>600</v>
      </c>
    </row>
    <row r="12124" spans="1:19" x14ac:dyDescent="0.2">
      <c r="A12124" t="s">
        <v>12735</v>
      </c>
      <c r="B12124" t="s">
        <v>75</v>
      </c>
      <c r="C12124" t="s">
        <v>617</v>
      </c>
      <c r="D12124">
        <v>720.99</v>
      </c>
      <c r="E12124" s="37" t="str">
        <f t="shared" si="945"/>
        <v xml:space="preserve"> </v>
      </c>
      <c r="F12124">
        <v>0.33</v>
      </c>
      <c r="G12124" s="37" t="str">
        <f t="shared" si="946"/>
        <v>Heavy Discount</v>
      </c>
      <c r="H12124" s="37" t="str">
        <f t="shared" si="947"/>
        <v>Medium</v>
      </c>
      <c r="I12124">
        <v>9</v>
      </c>
      <c r="J12124" t="str" cm="1">
        <f t="array" ref="J12124">_xlfn.IFS(I12124&lt;=3,"small",I12124&lt;=6,"Medium",I12124&lt;=9,"Large")</f>
        <v>Large</v>
      </c>
      <c r="K12124" s="36">
        <v>45407</v>
      </c>
      <c r="L12124" s="36">
        <v>45408</v>
      </c>
      <c r="M12124" t="s">
        <v>603</v>
      </c>
      <c r="N12124" t="s">
        <v>608</v>
      </c>
      <c r="O12124" s="37" t="str">
        <f t="shared" si="948"/>
        <v>Cash Payment</v>
      </c>
      <c r="P12124">
        <v>196.97</v>
      </c>
      <c r="Q12124" s="37" t="str">
        <f>IF(P12124&gt;500,"High","low")</f>
        <v>low</v>
      </c>
      <c r="R12124" s="37" t="str">
        <f t="shared" si="949"/>
        <v>AVERAGE</v>
      </c>
      <c r="S12124" t="s">
        <v>615</v>
      </c>
    </row>
    <row r="12125" spans="1:19" x14ac:dyDescent="0.2">
      <c r="A12125" t="s">
        <v>12736</v>
      </c>
      <c r="B12125" t="s">
        <v>67</v>
      </c>
      <c r="C12125" t="s">
        <v>597</v>
      </c>
      <c r="D12125">
        <v>2328.31</v>
      </c>
      <c r="E12125" s="37" t="str">
        <f t="shared" si="945"/>
        <v xml:space="preserve"> </v>
      </c>
      <c r="F12125">
        <v>0.24</v>
      </c>
      <c r="G12125" s="37" t="str">
        <f t="shared" si="946"/>
        <v>Normal Discount</v>
      </c>
      <c r="H12125" s="37" t="str">
        <f t="shared" si="947"/>
        <v>Medium</v>
      </c>
      <c r="I12125">
        <v>5</v>
      </c>
      <c r="J12125" t="str" cm="1">
        <f t="array" ref="J12125">_xlfn.IFS(I12125&lt;=3,"small",I12125&lt;=6,"Medium",I12125&lt;=9,"Large")</f>
        <v>Medium</v>
      </c>
      <c r="K12125" s="36">
        <v>45136</v>
      </c>
      <c r="L12125" s="36">
        <v>45140</v>
      </c>
      <c r="M12125" t="s">
        <v>612</v>
      </c>
      <c r="N12125" t="s">
        <v>599</v>
      </c>
      <c r="O12125" s="37" t="str">
        <f t="shared" si="948"/>
        <v>Digital Payment</v>
      </c>
      <c r="P12125">
        <v>161.02000000000001</v>
      </c>
      <c r="Q12125" s="37" t="str">
        <f>IF(P12125&gt;500,"High","low")</f>
        <v>low</v>
      </c>
      <c r="R12125" s="37" t="str">
        <f t="shared" si="949"/>
        <v>AVERAGE</v>
      </c>
      <c r="S12125" t="s">
        <v>600</v>
      </c>
    </row>
    <row r="12126" spans="1:19" x14ac:dyDescent="0.2">
      <c r="A12126" t="s">
        <v>12737</v>
      </c>
      <c r="B12126" t="s">
        <v>75</v>
      </c>
      <c r="C12126" t="s">
        <v>617</v>
      </c>
      <c r="D12126">
        <v>4501.13</v>
      </c>
      <c r="E12126" s="37" t="str">
        <f t="shared" si="945"/>
        <v>Excellent Order</v>
      </c>
      <c r="F12126">
        <v>0.22</v>
      </c>
      <c r="G12126" s="37" t="str">
        <f t="shared" si="946"/>
        <v>Normal Discount</v>
      </c>
      <c r="H12126" s="37" t="str">
        <f t="shared" si="947"/>
        <v>Medium</v>
      </c>
      <c r="I12126">
        <v>9</v>
      </c>
      <c r="J12126" t="str" cm="1">
        <f t="array" ref="J12126">_xlfn.IFS(I12126&lt;=3,"small",I12126&lt;=6,"Medium",I12126&lt;=9,"Large")</f>
        <v>Large</v>
      </c>
      <c r="K12126" s="36">
        <v>45624</v>
      </c>
      <c r="L12126" s="36">
        <v>45628</v>
      </c>
      <c r="M12126" t="s">
        <v>598</v>
      </c>
      <c r="N12126" t="s">
        <v>608</v>
      </c>
      <c r="O12126" s="37" t="str">
        <f t="shared" si="948"/>
        <v>Cash Payment</v>
      </c>
      <c r="P12126">
        <v>940.28</v>
      </c>
      <c r="Q12126" s="37" t="str">
        <f>IF(P12126&gt;500,"High","low")</f>
        <v>High</v>
      </c>
      <c r="R12126" s="37" t="str">
        <f t="shared" si="949"/>
        <v>Good</v>
      </c>
      <c r="S12126" t="s">
        <v>600</v>
      </c>
    </row>
    <row r="12127" spans="1:19" x14ac:dyDescent="0.2">
      <c r="A12127" t="s">
        <v>12738</v>
      </c>
      <c r="B12127" t="s">
        <v>83</v>
      </c>
      <c r="C12127" t="s">
        <v>602</v>
      </c>
      <c r="D12127">
        <v>2503.85</v>
      </c>
      <c r="E12127" s="37" t="str">
        <f t="shared" si="945"/>
        <v xml:space="preserve"> </v>
      </c>
      <c r="F12127">
        <v>0.02</v>
      </c>
      <c r="G12127" s="37" t="str">
        <f t="shared" si="946"/>
        <v>Normal Discount</v>
      </c>
      <c r="H12127" s="37" t="str">
        <f t="shared" si="947"/>
        <v>Low</v>
      </c>
      <c r="I12127">
        <v>8</v>
      </c>
      <c r="J12127" t="str" cm="1">
        <f t="array" ref="J12127">_xlfn.IFS(I12127&lt;=3,"small",I12127&lt;=6,"Medium",I12127&lt;=9,"Large")</f>
        <v>Large</v>
      </c>
      <c r="K12127" s="36">
        <v>45629</v>
      </c>
      <c r="L12127" s="36">
        <v>45635</v>
      </c>
      <c r="M12127" t="s">
        <v>603</v>
      </c>
      <c r="N12127" t="s">
        <v>604</v>
      </c>
      <c r="O12127" s="37" t="str">
        <f t="shared" si="948"/>
        <v>Digital Payment</v>
      </c>
      <c r="P12127">
        <v>316.91000000000003</v>
      </c>
      <c r="Q12127" s="37" t="str">
        <f>IF(P12127&gt;500,"High","low")</f>
        <v>low</v>
      </c>
      <c r="R12127" s="37" t="str">
        <f t="shared" si="949"/>
        <v>AVERAGE</v>
      </c>
      <c r="S12127" t="s">
        <v>628</v>
      </c>
    </row>
    <row r="12128" spans="1:19" x14ac:dyDescent="0.2">
      <c r="A12128" t="s">
        <v>12739</v>
      </c>
      <c r="B12128" t="s">
        <v>75</v>
      </c>
      <c r="C12128" t="s">
        <v>617</v>
      </c>
      <c r="D12128">
        <v>2320.08</v>
      </c>
      <c r="E12128" s="37" t="str">
        <f t="shared" si="945"/>
        <v xml:space="preserve"> </v>
      </c>
      <c r="F12128">
        <v>0.42</v>
      </c>
      <c r="G12128" s="37" t="str">
        <f t="shared" si="946"/>
        <v>Heavy Discount</v>
      </c>
      <c r="H12128" s="37" t="str">
        <f t="shared" si="947"/>
        <v>High</v>
      </c>
      <c r="I12128">
        <v>3</v>
      </c>
      <c r="J12128" t="str" cm="1">
        <f t="array" ref="J12128">_xlfn.IFS(I12128&lt;=3,"small",I12128&lt;=6,"Medium",I12128&lt;=9,"Large")</f>
        <v>small</v>
      </c>
      <c r="K12128" s="36">
        <v>45041</v>
      </c>
      <c r="L12128" s="36">
        <v>45048</v>
      </c>
      <c r="M12128" t="s">
        <v>603</v>
      </c>
      <c r="N12128" t="s">
        <v>599</v>
      </c>
      <c r="O12128" s="37" t="str">
        <f t="shared" si="948"/>
        <v>Digital Payment</v>
      </c>
      <c r="P12128">
        <v>549.53</v>
      </c>
      <c r="Q12128" s="37" t="str">
        <f>IF(P12128&gt;500,"High","low")</f>
        <v>High</v>
      </c>
      <c r="R12128" s="37" t="str">
        <f t="shared" si="949"/>
        <v>Good</v>
      </c>
      <c r="S12128" t="s">
        <v>609</v>
      </c>
    </row>
    <row r="12129" spans="1:19" x14ac:dyDescent="0.2">
      <c r="A12129" t="s">
        <v>12740</v>
      </c>
      <c r="B12129" t="s">
        <v>90</v>
      </c>
      <c r="C12129" t="s">
        <v>597</v>
      </c>
      <c r="D12129">
        <v>3959.09</v>
      </c>
      <c r="E12129" s="37" t="str">
        <f t="shared" si="945"/>
        <v xml:space="preserve"> </v>
      </c>
      <c r="F12129">
        <v>0.38</v>
      </c>
      <c r="G12129" s="37" t="str">
        <f t="shared" si="946"/>
        <v>Heavy Discount</v>
      </c>
      <c r="H12129" s="37" t="str">
        <f t="shared" si="947"/>
        <v>Medium</v>
      </c>
      <c r="I12129">
        <v>4</v>
      </c>
      <c r="J12129" t="str" cm="1">
        <f t="array" ref="J12129">_xlfn.IFS(I12129&lt;=3,"small",I12129&lt;=6,"Medium",I12129&lt;=9,"Large")</f>
        <v>Medium</v>
      </c>
      <c r="K12129" s="36">
        <v>45343</v>
      </c>
      <c r="L12129" s="36">
        <v>45349</v>
      </c>
      <c r="M12129" t="s">
        <v>603</v>
      </c>
      <c r="N12129" t="s">
        <v>604</v>
      </c>
      <c r="O12129" s="37" t="str">
        <f t="shared" si="948"/>
        <v>Digital Payment</v>
      </c>
      <c r="P12129">
        <v>205.57</v>
      </c>
      <c r="Q12129" s="37" t="str">
        <f>IF(P12129&gt;500,"High","low")</f>
        <v>low</v>
      </c>
      <c r="R12129" s="37" t="str">
        <f t="shared" si="949"/>
        <v>AVERAGE</v>
      </c>
      <c r="S12129" t="s">
        <v>609</v>
      </c>
    </row>
    <row r="12130" spans="1:19" x14ac:dyDescent="0.2">
      <c r="A12130" t="s">
        <v>12741</v>
      </c>
      <c r="B12130" t="s">
        <v>90</v>
      </c>
      <c r="C12130" t="s">
        <v>614</v>
      </c>
      <c r="D12130">
        <v>1412.37</v>
      </c>
      <c r="E12130" s="37" t="str">
        <f t="shared" si="945"/>
        <v xml:space="preserve"> </v>
      </c>
      <c r="F12130">
        <v>0.05</v>
      </c>
      <c r="G12130" s="37" t="str">
        <f t="shared" si="946"/>
        <v>Normal Discount</v>
      </c>
      <c r="H12130" s="37" t="str">
        <f t="shared" si="947"/>
        <v>Low</v>
      </c>
      <c r="I12130">
        <v>6</v>
      </c>
      <c r="J12130" t="str" cm="1">
        <f t="array" ref="J12130">_xlfn.IFS(I12130&lt;=3,"small",I12130&lt;=6,"Medium",I12130&lt;=9,"Large")</f>
        <v>Medium</v>
      </c>
      <c r="K12130" s="36">
        <v>45027</v>
      </c>
      <c r="L12130" s="36">
        <v>45031</v>
      </c>
      <c r="M12130" t="s">
        <v>598</v>
      </c>
      <c r="N12130" t="s">
        <v>604</v>
      </c>
      <c r="O12130" s="37" t="str">
        <f t="shared" si="948"/>
        <v>Digital Payment</v>
      </c>
      <c r="P12130">
        <v>363.86</v>
      </c>
      <c r="Q12130" s="37" t="str">
        <f>IF(P12130&gt;500,"High","low")</f>
        <v>low</v>
      </c>
      <c r="R12130" s="37" t="str">
        <f t="shared" si="949"/>
        <v>AVERAGE</v>
      </c>
      <c r="S12130" t="s">
        <v>600</v>
      </c>
    </row>
    <row r="12131" spans="1:19" x14ac:dyDescent="0.2">
      <c r="A12131" t="s">
        <v>12742</v>
      </c>
      <c r="B12131" t="s">
        <v>83</v>
      </c>
      <c r="C12131" t="s">
        <v>597</v>
      </c>
      <c r="D12131">
        <v>565.84</v>
      </c>
      <c r="E12131" s="37" t="str">
        <f t="shared" si="945"/>
        <v xml:space="preserve"> </v>
      </c>
      <c r="F12131">
        <v>0.18</v>
      </c>
      <c r="G12131" s="37" t="str">
        <f t="shared" si="946"/>
        <v>Normal Discount</v>
      </c>
      <c r="H12131" s="37" t="str">
        <f t="shared" si="947"/>
        <v>Low</v>
      </c>
      <c r="I12131">
        <v>5</v>
      </c>
      <c r="J12131" t="str" cm="1">
        <f t="array" ref="J12131">_xlfn.IFS(I12131&lt;=3,"small",I12131&lt;=6,"Medium",I12131&lt;=9,"Large")</f>
        <v>Medium</v>
      </c>
      <c r="K12131" s="36">
        <v>45303</v>
      </c>
      <c r="L12131" s="36">
        <v>45306</v>
      </c>
      <c r="M12131" t="s">
        <v>603</v>
      </c>
      <c r="N12131" t="s">
        <v>608</v>
      </c>
      <c r="O12131" s="37" t="str">
        <f t="shared" si="948"/>
        <v>Cash Payment</v>
      </c>
      <c r="P12131">
        <v>146.11000000000001</v>
      </c>
      <c r="Q12131" s="37" t="str">
        <f>IF(P12131&gt;500,"High","low")</f>
        <v>low</v>
      </c>
      <c r="R12131" s="37" t="str">
        <f t="shared" si="949"/>
        <v>AVERAGE</v>
      </c>
      <c r="S12131" t="s">
        <v>609</v>
      </c>
    </row>
    <row r="12132" spans="1:19" x14ac:dyDescent="0.2">
      <c r="A12132" t="s">
        <v>12743</v>
      </c>
      <c r="B12132" t="s">
        <v>90</v>
      </c>
      <c r="C12132" t="s">
        <v>607</v>
      </c>
      <c r="D12132">
        <v>1126.9100000000001</v>
      </c>
      <c r="E12132" s="37" t="str">
        <f t="shared" si="945"/>
        <v xml:space="preserve"> </v>
      </c>
      <c r="F12132">
        <v>0.44</v>
      </c>
      <c r="G12132" s="37" t="str">
        <f t="shared" si="946"/>
        <v>Heavy Discount</v>
      </c>
      <c r="H12132" s="37" t="str">
        <f t="shared" si="947"/>
        <v>High</v>
      </c>
      <c r="I12132">
        <v>3</v>
      </c>
      <c r="J12132" t="str" cm="1">
        <f t="array" ref="J12132">_xlfn.IFS(I12132&lt;=3,"small",I12132&lt;=6,"Medium",I12132&lt;=9,"Large")</f>
        <v>small</v>
      </c>
      <c r="K12132" s="36">
        <v>45279</v>
      </c>
      <c r="L12132" s="36">
        <v>45280</v>
      </c>
      <c r="M12132" t="s">
        <v>612</v>
      </c>
      <c r="N12132" t="s">
        <v>604</v>
      </c>
      <c r="O12132" s="37" t="str">
        <f t="shared" si="948"/>
        <v>Digital Payment</v>
      </c>
      <c r="P12132">
        <v>192.55</v>
      </c>
      <c r="Q12132" s="37" t="str">
        <f>IF(P12132&gt;500,"High","low")</f>
        <v>low</v>
      </c>
      <c r="R12132" s="37" t="str">
        <f t="shared" si="949"/>
        <v>AVERAGE</v>
      </c>
      <c r="S12132" t="s">
        <v>600</v>
      </c>
    </row>
    <row r="12133" spans="1:19" x14ac:dyDescent="0.2">
      <c r="A12133" t="s">
        <v>12744</v>
      </c>
      <c r="B12133" t="s">
        <v>67</v>
      </c>
      <c r="C12133" t="s">
        <v>597</v>
      </c>
      <c r="D12133">
        <v>3977.37</v>
      </c>
      <c r="E12133" s="37" t="str">
        <f t="shared" si="945"/>
        <v xml:space="preserve"> </v>
      </c>
      <c r="F12133">
        <v>0.12</v>
      </c>
      <c r="G12133" s="37" t="str">
        <f t="shared" si="946"/>
        <v>Normal Discount</v>
      </c>
      <c r="H12133" s="37" t="str">
        <f t="shared" si="947"/>
        <v>Low</v>
      </c>
      <c r="I12133">
        <v>5</v>
      </c>
      <c r="J12133" t="str" cm="1">
        <f t="array" ref="J12133">_xlfn.IFS(I12133&lt;=3,"small",I12133&lt;=6,"Medium",I12133&lt;=9,"Large")</f>
        <v>Medium</v>
      </c>
      <c r="K12133" s="36">
        <v>45519</v>
      </c>
      <c r="L12133" s="36">
        <v>45521</v>
      </c>
      <c r="M12133" t="s">
        <v>598</v>
      </c>
      <c r="N12133" t="s">
        <v>604</v>
      </c>
      <c r="O12133" s="37" t="str">
        <f t="shared" si="948"/>
        <v>Digital Payment</v>
      </c>
      <c r="P12133">
        <v>1123.05</v>
      </c>
      <c r="Q12133" s="37" t="str">
        <f>IF(P12133&gt;500,"High","low")</f>
        <v>High</v>
      </c>
      <c r="R12133" s="37" t="str">
        <f t="shared" si="949"/>
        <v>Excellent</v>
      </c>
      <c r="S12133" t="s">
        <v>605</v>
      </c>
    </row>
    <row r="12134" spans="1:19" x14ac:dyDescent="0.2">
      <c r="A12134" t="s">
        <v>12745</v>
      </c>
      <c r="B12134" t="s">
        <v>75</v>
      </c>
      <c r="C12134" t="s">
        <v>602</v>
      </c>
      <c r="D12134">
        <v>3417.53</v>
      </c>
      <c r="E12134" s="37" t="str">
        <f t="shared" si="945"/>
        <v xml:space="preserve"> </v>
      </c>
      <c r="F12134">
        <v>0.31</v>
      </c>
      <c r="G12134" s="37" t="str">
        <f t="shared" si="946"/>
        <v>Heavy Discount</v>
      </c>
      <c r="H12134" s="37" t="str">
        <f t="shared" si="947"/>
        <v>Medium</v>
      </c>
      <c r="I12134">
        <v>5</v>
      </c>
      <c r="J12134" t="str" cm="1">
        <f t="array" ref="J12134">_xlfn.IFS(I12134&lt;=3,"small",I12134&lt;=6,"Medium",I12134&lt;=9,"Large")</f>
        <v>Medium</v>
      </c>
      <c r="K12134" s="36">
        <v>44959</v>
      </c>
      <c r="L12134" s="36">
        <v>44961</v>
      </c>
      <c r="M12134" t="s">
        <v>598</v>
      </c>
      <c r="N12134" t="s">
        <v>608</v>
      </c>
      <c r="O12134" s="37" t="str">
        <f t="shared" si="948"/>
        <v>Cash Payment</v>
      </c>
      <c r="P12134">
        <v>526.80999999999995</v>
      </c>
      <c r="Q12134" s="37" t="str">
        <f>IF(P12134&gt;500,"High","low")</f>
        <v>High</v>
      </c>
      <c r="R12134" s="37" t="str">
        <f t="shared" si="949"/>
        <v>Good</v>
      </c>
      <c r="S12134" t="s">
        <v>600</v>
      </c>
    </row>
    <row r="12135" spans="1:19" x14ac:dyDescent="0.2">
      <c r="A12135" t="s">
        <v>12746</v>
      </c>
      <c r="B12135" t="s">
        <v>83</v>
      </c>
      <c r="C12135" t="s">
        <v>617</v>
      </c>
      <c r="D12135">
        <v>548.51</v>
      </c>
      <c r="E12135" s="37" t="str">
        <f t="shared" si="945"/>
        <v xml:space="preserve"> </v>
      </c>
      <c r="F12135">
        <v>0.24</v>
      </c>
      <c r="G12135" s="37" t="str">
        <f t="shared" si="946"/>
        <v>Normal Discount</v>
      </c>
      <c r="H12135" s="37" t="str">
        <f t="shared" si="947"/>
        <v>Medium</v>
      </c>
      <c r="I12135">
        <v>9</v>
      </c>
      <c r="J12135" t="str" cm="1">
        <f t="array" ref="J12135">_xlfn.IFS(I12135&lt;=3,"small",I12135&lt;=6,"Medium",I12135&lt;=9,"Large")</f>
        <v>Large</v>
      </c>
      <c r="K12135" s="36">
        <v>45538</v>
      </c>
      <c r="L12135" s="36">
        <v>45541</v>
      </c>
      <c r="M12135" t="s">
        <v>603</v>
      </c>
      <c r="N12135" t="s">
        <v>599</v>
      </c>
      <c r="O12135" s="37" t="str">
        <f t="shared" si="948"/>
        <v>Digital Payment</v>
      </c>
      <c r="P12135">
        <v>151.52000000000001</v>
      </c>
      <c r="Q12135" s="37" t="str">
        <f>IF(P12135&gt;500,"High","low")</f>
        <v>low</v>
      </c>
      <c r="R12135" s="37" t="str">
        <f t="shared" si="949"/>
        <v>AVERAGE</v>
      </c>
      <c r="S12135" t="s">
        <v>620</v>
      </c>
    </row>
    <row r="12136" spans="1:19" x14ac:dyDescent="0.2">
      <c r="A12136" t="s">
        <v>12747</v>
      </c>
      <c r="B12136" t="s">
        <v>67</v>
      </c>
      <c r="C12136" t="s">
        <v>607</v>
      </c>
      <c r="D12136">
        <v>3368.76</v>
      </c>
      <c r="E12136" s="37" t="str">
        <f t="shared" si="945"/>
        <v xml:space="preserve"> </v>
      </c>
      <c r="F12136">
        <v>0.41</v>
      </c>
      <c r="G12136" s="37" t="str">
        <f t="shared" si="946"/>
        <v>Heavy Discount</v>
      </c>
      <c r="H12136" s="37" t="str">
        <f t="shared" si="947"/>
        <v>High</v>
      </c>
      <c r="I12136">
        <v>4</v>
      </c>
      <c r="J12136" t="str" cm="1">
        <f t="array" ref="J12136">_xlfn.IFS(I12136&lt;=3,"small",I12136&lt;=6,"Medium",I12136&lt;=9,"Large")</f>
        <v>Medium</v>
      </c>
      <c r="K12136" s="36">
        <v>45251</v>
      </c>
      <c r="L12136" s="36">
        <v>45254</v>
      </c>
      <c r="M12136" t="s">
        <v>598</v>
      </c>
      <c r="N12136" t="s">
        <v>608</v>
      </c>
      <c r="O12136" s="37" t="str">
        <f t="shared" si="948"/>
        <v>Cash Payment</v>
      </c>
      <c r="P12136">
        <v>168.93</v>
      </c>
      <c r="Q12136" s="37" t="str">
        <f>IF(P12136&gt;500,"High","low")</f>
        <v>low</v>
      </c>
      <c r="R12136" s="37" t="str">
        <f t="shared" si="949"/>
        <v>AVERAGE</v>
      </c>
      <c r="S12136" t="s">
        <v>615</v>
      </c>
    </row>
    <row r="12137" spans="1:19" x14ac:dyDescent="0.2">
      <c r="A12137" t="s">
        <v>12748</v>
      </c>
      <c r="B12137" t="s">
        <v>75</v>
      </c>
      <c r="C12137" t="s">
        <v>617</v>
      </c>
      <c r="D12137">
        <v>4664.6000000000004</v>
      </c>
      <c r="E12137" s="37" t="str">
        <f t="shared" si="945"/>
        <v xml:space="preserve"> </v>
      </c>
      <c r="F12137">
        <v>0.02</v>
      </c>
      <c r="G12137" s="37" t="str">
        <f t="shared" si="946"/>
        <v>Normal Discount</v>
      </c>
      <c r="H12137" s="37" t="str">
        <f t="shared" si="947"/>
        <v>Low</v>
      </c>
      <c r="I12137">
        <v>8</v>
      </c>
      <c r="J12137" t="str" cm="1">
        <f t="array" ref="J12137">_xlfn.IFS(I12137&lt;=3,"small",I12137&lt;=6,"Medium",I12137&lt;=9,"Large")</f>
        <v>Large</v>
      </c>
      <c r="K12137" s="36">
        <v>45478</v>
      </c>
      <c r="L12137" s="36">
        <v>45484</v>
      </c>
      <c r="M12137" t="s">
        <v>603</v>
      </c>
      <c r="N12137" t="s">
        <v>604</v>
      </c>
      <c r="O12137" s="37" t="str">
        <f t="shared" si="948"/>
        <v>Digital Payment</v>
      </c>
      <c r="P12137">
        <v>708.1</v>
      </c>
      <c r="Q12137" s="37" t="str">
        <f>IF(P12137&gt;500,"High","low")</f>
        <v>High</v>
      </c>
      <c r="R12137" s="37" t="str">
        <f t="shared" si="949"/>
        <v>Good</v>
      </c>
      <c r="S12137" t="s">
        <v>620</v>
      </c>
    </row>
    <row r="12138" spans="1:19" x14ac:dyDescent="0.2">
      <c r="A12138" t="s">
        <v>12749</v>
      </c>
      <c r="B12138" t="s">
        <v>67</v>
      </c>
      <c r="C12138" t="s">
        <v>617</v>
      </c>
      <c r="D12138">
        <v>320.27999999999997</v>
      </c>
      <c r="E12138" s="37" t="str">
        <f t="shared" si="945"/>
        <v xml:space="preserve"> </v>
      </c>
      <c r="F12138">
        <v>0.41</v>
      </c>
      <c r="G12138" s="37" t="str">
        <f t="shared" si="946"/>
        <v>Heavy Discount</v>
      </c>
      <c r="H12138" s="37" t="str">
        <f t="shared" si="947"/>
        <v>High</v>
      </c>
      <c r="I12138">
        <v>4</v>
      </c>
      <c r="J12138" t="str" cm="1">
        <f t="array" ref="J12138">_xlfn.IFS(I12138&lt;=3,"small",I12138&lt;=6,"Medium",I12138&lt;=9,"Large")</f>
        <v>Medium</v>
      </c>
      <c r="K12138" s="36">
        <v>45176</v>
      </c>
      <c r="L12138" s="36">
        <v>45180</v>
      </c>
      <c r="M12138" t="s">
        <v>603</v>
      </c>
      <c r="N12138" t="s">
        <v>608</v>
      </c>
      <c r="O12138" s="37" t="str">
        <f t="shared" si="948"/>
        <v>Cash Payment</v>
      </c>
      <c r="P12138">
        <v>20.73</v>
      </c>
      <c r="Q12138" s="37" t="str">
        <f>IF(P12138&gt;500,"High","low")</f>
        <v>low</v>
      </c>
      <c r="R12138" s="37" t="str">
        <f t="shared" si="949"/>
        <v>AVERAGE</v>
      </c>
      <c r="S12138" t="s">
        <v>605</v>
      </c>
    </row>
    <row r="12139" spans="1:19" x14ac:dyDescent="0.2">
      <c r="A12139" t="s">
        <v>12750</v>
      </c>
      <c r="B12139" t="s">
        <v>83</v>
      </c>
      <c r="C12139" t="s">
        <v>597</v>
      </c>
      <c r="D12139">
        <v>3120.45</v>
      </c>
      <c r="E12139" s="37" t="str">
        <f t="shared" si="945"/>
        <v xml:space="preserve"> </v>
      </c>
      <c r="F12139">
        <v>7.0000000000000007E-2</v>
      </c>
      <c r="G12139" s="37" t="str">
        <f t="shared" si="946"/>
        <v>Normal Discount</v>
      </c>
      <c r="H12139" s="37" t="str">
        <f t="shared" si="947"/>
        <v>Low</v>
      </c>
      <c r="I12139">
        <v>2</v>
      </c>
      <c r="J12139" t="str" cm="1">
        <f t="array" ref="J12139">_xlfn.IFS(I12139&lt;=3,"small",I12139&lt;=6,"Medium",I12139&lt;=9,"Large")</f>
        <v>small</v>
      </c>
      <c r="K12139" s="36">
        <v>45485</v>
      </c>
      <c r="L12139" s="36">
        <v>45490</v>
      </c>
      <c r="M12139" t="s">
        <v>603</v>
      </c>
      <c r="N12139" t="s">
        <v>599</v>
      </c>
      <c r="O12139" s="37" t="str">
        <f t="shared" si="948"/>
        <v>Digital Payment</v>
      </c>
      <c r="P12139">
        <v>304.87</v>
      </c>
      <c r="Q12139" s="37" t="str">
        <f>IF(P12139&gt;500,"High","low")</f>
        <v>low</v>
      </c>
      <c r="R12139" s="37" t="str">
        <f t="shared" si="949"/>
        <v>AVERAGE</v>
      </c>
      <c r="S12139" t="s">
        <v>615</v>
      </c>
    </row>
    <row r="12140" spans="1:19" x14ac:dyDescent="0.2">
      <c r="A12140" t="s">
        <v>12751</v>
      </c>
      <c r="B12140" t="s">
        <v>83</v>
      </c>
      <c r="C12140" t="s">
        <v>614</v>
      </c>
      <c r="D12140">
        <v>1957.91</v>
      </c>
      <c r="E12140" s="37" t="str">
        <f t="shared" si="945"/>
        <v xml:space="preserve"> </v>
      </c>
      <c r="F12140">
        <v>0.01</v>
      </c>
      <c r="G12140" s="37" t="str">
        <f t="shared" si="946"/>
        <v>Normal Discount</v>
      </c>
      <c r="H12140" s="37" t="str">
        <f t="shared" si="947"/>
        <v>Low</v>
      </c>
      <c r="I12140">
        <v>3</v>
      </c>
      <c r="J12140" t="str" cm="1">
        <f t="array" ref="J12140">_xlfn.IFS(I12140&lt;=3,"small",I12140&lt;=6,"Medium",I12140&lt;=9,"Large")</f>
        <v>small</v>
      </c>
      <c r="K12140" s="36">
        <v>45611</v>
      </c>
      <c r="L12140" s="36">
        <v>45618</v>
      </c>
      <c r="M12140" t="s">
        <v>598</v>
      </c>
      <c r="N12140" t="s">
        <v>604</v>
      </c>
      <c r="O12140" s="37" t="str">
        <f t="shared" si="948"/>
        <v>Digital Payment</v>
      </c>
      <c r="P12140">
        <v>312.57</v>
      </c>
      <c r="Q12140" s="37" t="str">
        <f>IF(P12140&gt;500,"High","low")</f>
        <v>low</v>
      </c>
      <c r="R12140" s="37" t="str">
        <f t="shared" si="949"/>
        <v>AVERAGE</v>
      </c>
      <c r="S12140" t="s">
        <v>600</v>
      </c>
    </row>
    <row r="12141" spans="1:19" x14ac:dyDescent="0.2">
      <c r="A12141" t="s">
        <v>12752</v>
      </c>
      <c r="B12141" t="s">
        <v>67</v>
      </c>
      <c r="C12141" t="s">
        <v>607</v>
      </c>
      <c r="D12141">
        <v>2555.0500000000002</v>
      </c>
      <c r="E12141" s="37" t="str">
        <f t="shared" si="945"/>
        <v xml:space="preserve"> </v>
      </c>
      <c r="F12141">
        <v>0.3</v>
      </c>
      <c r="G12141" s="37" t="str">
        <f t="shared" si="946"/>
        <v>Normal Discount</v>
      </c>
      <c r="H12141" s="37" t="str">
        <f t="shared" si="947"/>
        <v>Medium</v>
      </c>
      <c r="I12141">
        <v>4</v>
      </c>
      <c r="J12141" t="str" cm="1">
        <f t="array" ref="J12141">_xlfn.IFS(I12141&lt;=3,"small",I12141&lt;=6,"Medium",I12141&lt;=9,"Large")</f>
        <v>Medium</v>
      </c>
      <c r="K12141" s="36">
        <v>45209</v>
      </c>
      <c r="L12141" s="36">
        <v>45216</v>
      </c>
      <c r="M12141" t="s">
        <v>603</v>
      </c>
      <c r="N12141" t="s">
        <v>608</v>
      </c>
      <c r="O12141" s="37" t="str">
        <f t="shared" si="948"/>
        <v>Cash Payment</v>
      </c>
      <c r="P12141">
        <v>563.41</v>
      </c>
      <c r="Q12141" s="37" t="str">
        <f>IF(P12141&gt;500,"High","low")</f>
        <v>High</v>
      </c>
      <c r="R12141" s="37" t="str">
        <f t="shared" si="949"/>
        <v>Good</v>
      </c>
      <c r="S12141" t="s">
        <v>600</v>
      </c>
    </row>
    <row r="12142" spans="1:19" x14ac:dyDescent="0.2">
      <c r="A12142" t="s">
        <v>12753</v>
      </c>
      <c r="B12142" t="s">
        <v>75</v>
      </c>
      <c r="C12142" t="s">
        <v>602</v>
      </c>
      <c r="D12142">
        <v>2688.08</v>
      </c>
      <c r="E12142" s="37" t="str">
        <f t="shared" si="945"/>
        <v xml:space="preserve"> </v>
      </c>
      <c r="F12142">
        <v>0.13</v>
      </c>
      <c r="G12142" s="37" t="str">
        <f t="shared" si="946"/>
        <v>Normal Discount</v>
      </c>
      <c r="H12142" s="37" t="str">
        <f t="shared" si="947"/>
        <v>Low</v>
      </c>
      <c r="I12142">
        <v>8</v>
      </c>
      <c r="J12142" t="str" cm="1">
        <f t="array" ref="J12142">_xlfn.IFS(I12142&lt;=3,"small",I12142&lt;=6,"Medium",I12142&lt;=9,"Large")</f>
        <v>Large</v>
      </c>
      <c r="K12142" s="36">
        <v>45061</v>
      </c>
      <c r="L12142" s="36">
        <v>45064</v>
      </c>
      <c r="M12142" t="s">
        <v>612</v>
      </c>
      <c r="N12142" t="s">
        <v>608</v>
      </c>
      <c r="O12142" s="37" t="str">
        <f t="shared" si="948"/>
        <v>Cash Payment</v>
      </c>
      <c r="P12142">
        <v>342.9</v>
      </c>
      <c r="Q12142" s="37" t="str">
        <f>IF(P12142&gt;500,"High","low")</f>
        <v>low</v>
      </c>
      <c r="R12142" s="37" t="str">
        <f t="shared" si="949"/>
        <v>AVERAGE</v>
      </c>
      <c r="S12142" t="s">
        <v>609</v>
      </c>
    </row>
    <row r="12143" spans="1:19" x14ac:dyDescent="0.2">
      <c r="A12143" t="s">
        <v>12754</v>
      </c>
      <c r="B12143" t="s">
        <v>90</v>
      </c>
      <c r="C12143" t="s">
        <v>602</v>
      </c>
      <c r="D12143">
        <v>3878.13</v>
      </c>
      <c r="E12143" s="37" t="str">
        <f t="shared" si="945"/>
        <v xml:space="preserve"> </v>
      </c>
      <c r="F12143">
        <v>0.35</v>
      </c>
      <c r="G12143" s="37" t="str">
        <f t="shared" si="946"/>
        <v>Heavy Discount</v>
      </c>
      <c r="H12143" s="37" t="str">
        <f t="shared" si="947"/>
        <v>Medium</v>
      </c>
      <c r="I12143">
        <v>9</v>
      </c>
      <c r="J12143" t="str" cm="1">
        <f t="array" ref="J12143">_xlfn.IFS(I12143&lt;=3,"small",I12143&lt;=6,"Medium",I12143&lt;=9,"Large")</f>
        <v>Large</v>
      </c>
      <c r="K12143" s="36">
        <v>45368</v>
      </c>
      <c r="L12143" s="36">
        <v>45371</v>
      </c>
      <c r="M12143" t="s">
        <v>603</v>
      </c>
      <c r="N12143" t="s">
        <v>608</v>
      </c>
      <c r="O12143" s="37" t="str">
        <f t="shared" si="948"/>
        <v>Cash Payment</v>
      </c>
      <c r="P12143">
        <v>418.81</v>
      </c>
      <c r="Q12143" s="37" t="str">
        <f>IF(P12143&gt;500,"High","low")</f>
        <v>low</v>
      </c>
      <c r="R12143" s="37" t="str">
        <f t="shared" si="949"/>
        <v>AVERAGE</v>
      </c>
      <c r="S12143" t="s">
        <v>609</v>
      </c>
    </row>
    <row r="12144" spans="1:19" x14ac:dyDescent="0.2">
      <c r="A12144" t="s">
        <v>12755</v>
      </c>
      <c r="B12144" t="s">
        <v>90</v>
      </c>
      <c r="C12144" t="s">
        <v>614</v>
      </c>
      <c r="D12144">
        <v>2829.36</v>
      </c>
      <c r="E12144" s="37" t="str">
        <f t="shared" si="945"/>
        <v xml:space="preserve"> </v>
      </c>
      <c r="F12144">
        <v>0.23</v>
      </c>
      <c r="G12144" s="37" t="str">
        <f t="shared" si="946"/>
        <v>Normal Discount</v>
      </c>
      <c r="H12144" s="37" t="str">
        <f t="shared" si="947"/>
        <v>Medium</v>
      </c>
      <c r="I12144">
        <v>6</v>
      </c>
      <c r="J12144" t="str" cm="1">
        <f t="array" ref="J12144">_xlfn.IFS(I12144&lt;=3,"small",I12144&lt;=6,"Medium",I12144&lt;=9,"Large")</f>
        <v>Medium</v>
      </c>
      <c r="K12144" s="36">
        <v>45452</v>
      </c>
      <c r="L12144" s="36">
        <v>45454</v>
      </c>
      <c r="M12144" t="s">
        <v>603</v>
      </c>
      <c r="N12144" t="s">
        <v>608</v>
      </c>
      <c r="O12144" s="37" t="str">
        <f t="shared" si="948"/>
        <v>Cash Payment</v>
      </c>
      <c r="P12144">
        <v>743.13</v>
      </c>
      <c r="Q12144" s="37" t="str">
        <f>IF(P12144&gt;500,"High","low")</f>
        <v>High</v>
      </c>
      <c r="R12144" s="37" t="str">
        <f t="shared" si="949"/>
        <v>Good</v>
      </c>
      <c r="S12144" t="s">
        <v>620</v>
      </c>
    </row>
    <row r="12145" spans="1:19" x14ac:dyDescent="0.2">
      <c r="A12145" t="s">
        <v>12756</v>
      </c>
      <c r="B12145" t="s">
        <v>67</v>
      </c>
      <c r="C12145" t="s">
        <v>614</v>
      </c>
      <c r="D12145">
        <v>3006.12</v>
      </c>
      <c r="E12145" s="37" t="str">
        <f t="shared" si="945"/>
        <v xml:space="preserve"> </v>
      </c>
      <c r="F12145">
        <v>0.3</v>
      </c>
      <c r="G12145" s="37" t="str">
        <f t="shared" si="946"/>
        <v>Normal Discount</v>
      </c>
      <c r="H12145" s="37" t="str">
        <f t="shared" si="947"/>
        <v>Medium</v>
      </c>
      <c r="I12145">
        <v>8</v>
      </c>
      <c r="J12145" t="str" cm="1">
        <f t="array" ref="J12145">_xlfn.IFS(I12145&lt;=3,"small",I12145&lt;=6,"Medium",I12145&lt;=9,"Large")</f>
        <v>Large</v>
      </c>
      <c r="K12145" s="36">
        <v>45552</v>
      </c>
      <c r="L12145" s="36">
        <v>45558</v>
      </c>
      <c r="M12145" t="s">
        <v>598</v>
      </c>
      <c r="N12145" t="s">
        <v>608</v>
      </c>
      <c r="O12145" s="37" t="str">
        <f t="shared" si="948"/>
        <v>Cash Payment</v>
      </c>
      <c r="P12145">
        <v>191.32</v>
      </c>
      <c r="Q12145" s="37" t="str">
        <f>IF(P12145&gt;500,"High","low")</f>
        <v>low</v>
      </c>
      <c r="R12145" s="37" t="str">
        <f t="shared" si="949"/>
        <v>AVERAGE</v>
      </c>
      <c r="S12145" t="s">
        <v>600</v>
      </c>
    </row>
    <row r="12146" spans="1:19" x14ac:dyDescent="0.2">
      <c r="A12146" t="s">
        <v>12757</v>
      </c>
      <c r="B12146" t="s">
        <v>83</v>
      </c>
      <c r="C12146" t="s">
        <v>597</v>
      </c>
      <c r="D12146">
        <v>1731.27</v>
      </c>
      <c r="E12146" s="37" t="str">
        <f t="shared" si="945"/>
        <v xml:space="preserve"> </v>
      </c>
      <c r="F12146">
        <v>0.34</v>
      </c>
      <c r="G12146" s="37" t="str">
        <f t="shared" si="946"/>
        <v>Heavy Discount</v>
      </c>
      <c r="H12146" s="37" t="str">
        <f t="shared" si="947"/>
        <v>Medium</v>
      </c>
      <c r="I12146">
        <v>5</v>
      </c>
      <c r="J12146" t="str" cm="1">
        <f t="array" ref="J12146">_xlfn.IFS(I12146&lt;=3,"small",I12146&lt;=6,"Medium",I12146&lt;=9,"Large")</f>
        <v>Medium</v>
      </c>
      <c r="K12146" s="36">
        <v>45648</v>
      </c>
      <c r="L12146" s="36">
        <v>45651</v>
      </c>
      <c r="M12146" t="s">
        <v>603</v>
      </c>
      <c r="N12146" t="s">
        <v>599</v>
      </c>
      <c r="O12146" s="37" t="str">
        <f t="shared" si="948"/>
        <v>Digital Payment</v>
      </c>
      <c r="P12146">
        <v>452.48</v>
      </c>
      <c r="Q12146" s="37" t="str">
        <f>IF(P12146&gt;500,"High","low")</f>
        <v>low</v>
      </c>
      <c r="R12146" s="37" t="str">
        <f t="shared" si="949"/>
        <v>AVERAGE</v>
      </c>
      <c r="S12146" t="s">
        <v>620</v>
      </c>
    </row>
    <row r="12147" spans="1:19" x14ac:dyDescent="0.2">
      <c r="A12147" t="s">
        <v>12758</v>
      </c>
      <c r="B12147" t="s">
        <v>75</v>
      </c>
      <c r="C12147" t="s">
        <v>602</v>
      </c>
      <c r="D12147">
        <v>717.13</v>
      </c>
      <c r="E12147" s="37" t="str">
        <f t="shared" si="945"/>
        <v xml:space="preserve"> </v>
      </c>
      <c r="F12147">
        <v>0.46</v>
      </c>
      <c r="G12147" s="37" t="str">
        <f t="shared" si="946"/>
        <v>Heavy Discount</v>
      </c>
      <c r="H12147" s="37" t="str">
        <f t="shared" si="947"/>
        <v>High</v>
      </c>
      <c r="I12147">
        <v>5</v>
      </c>
      <c r="J12147" t="str" cm="1">
        <f t="array" ref="J12147">_xlfn.IFS(I12147&lt;=3,"small",I12147&lt;=6,"Medium",I12147&lt;=9,"Large")</f>
        <v>Medium</v>
      </c>
      <c r="K12147" s="36">
        <v>45600</v>
      </c>
      <c r="L12147" s="36">
        <v>45607</v>
      </c>
      <c r="M12147" t="s">
        <v>598</v>
      </c>
      <c r="N12147" t="s">
        <v>608</v>
      </c>
      <c r="O12147" s="37" t="str">
        <f t="shared" si="948"/>
        <v>Cash Payment</v>
      </c>
      <c r="P12147">
        <v>40.590000000000003</v>
      </c>
      <c r="Q12147" s="37" t="str">
        <f>IF(P12147&gt;500,"High","low")</f>
        <v>low</v>
      </c>
      <c r="R12147" s="37" t="str">
        <f t="shared" si="949"/>
        <v>AVERAGE</v>
      </c>
      <c r="S12147" t="s">
        <v>605</v>
      </c>
    </row>
    <row r="12148" spans="1:19" x14ac:dyDescent="0.2">
      <c r="A12148" t="s">
        <v>12759</v>
      </c>
      <c r="B12148" t="s">
        <v>75</v>
      </c>
      <c r="C12148" t="s">
        <v>607</v>
      </c>
      <c r="D12148">
        <v>3445.39</v>
      </c>
      <c r="E12148" s="37" t="str">
        <f t="shared" si="945"/>
        <v xml:space="preserve"> </v>
      </c>
      <c r="F12148">
        <v>0.41</v>
      </c>
      <c r="G12148" s="37" t="str">
        <f t="shared" si="946"/>
        <v>Heavy Discount</v>
      </c>
      <c r="H12148" s="37" t="str">
        <f t="shared" si="947"/>
        <v>High</v>
      </c>
      <c r="I12148">
        <v>8</v>
      </c>
      <c r="J12148" t="str" cm="1">
        <f t="array" ref="J12148">_xlfn.IFS(I12148&lt;=3,"small",I12148&lt;=6,"Medium",I12148&lt;=9,"Large")</f>
        <v>Large</v>
      </c>
      <c r="K12148" s="36">
        <v>45295</v>
      </c>
      <c r="L12148" s="36">
        <v>45300</v>
      </c>
      <c r="M12148" t="s">
        <v>598</v>
      </c>
      <c r="N12148" t="s">
        <v>608</v>
      </c>
      <c r="O12148" s="37" t="str">
        <f t="shared" si="948"/>
        <v>Cash Payment</v>
      </c>
      <c r="P12148">
        <v>180.54</v>
      </c>
      <c r="Q12148" s="37" t="str">
        <f>IF(P12148&gt;500,"High","low")</f>
        <v>low</v>
      </c>
      <c r="R12148" s="37" t="str">
        <f t="shared" si="949"/>
        <v>AVERAGE</v>
      </c>
      <c r="S12148" t="s">
        <v>615</v>
      </c>
    </row>
    <row r="12149" spans="1:19" x14ac:dyDescent="0.2">
      <c r="A12149" t="s">
        <v>12760</v>
      </c>
      <c r="B12149" t="s">
        <v>83</v>
      </c>
      <c r="C12149" t="s">
        <v>614</v>
      </c>
      <c r="D12149">
        <v>102.36</v>
      </c>
      <c r="E12149" s="37" t="str">
        <f t="shared" si="945"/>
        <v xml:space="preserve"> </v>
      </c>
      <c r="F12149">
        <v>0.25</v>
      </c>
      <c r="G12149" s="37" t="str">
        <f t="shared" si="946"/>
        <v>Normal Discount</v>
      </c>
      <c r="H12149" s="37" t="str">
        <f t="shared" si="947"/>
        <v>Medium</v>
      </c>
      <c r="I12149">
        <v>4</v>
      </c>
      <c r="J12149" t="str" cm="1">
        <f t="array" ref="J12149">_xlfn.IFS(I12149&lt;=3,"small",I12149&lt;=6,"Medium",I12149&lt;=9,"Large")</f>
        <v>Medium</v>
      </c>
      <c r="K12149" s="36">
        <v>45273</v>
      </c>
      <c r="L12149" s="36">
        <v>45280</v>
      </c>
      <c r="M12149" t="s">
        <v>598</v>
      </c>
      <c r="N12149" t="s">
        <v>608</v>
      </c>
      <c r="O12149" s="37" t="str">
        <f t="shared" si="948"/>
        <v>Cash Payment</v>
      </c>
      <c r="P12149">
        <v>29.08</v>
      </c>
      <c r="Q12149" s="37" t="str">
        <f>IF(P12149&gt;500,"High","low")</f>
        <v>low</v>
      </c>
      <c r="R12149" s="37" t="str">
        <f t="shared" si="949"/>
        <v>AVERAGE</v>
      </c>
      <c r="S12149" t="s">
        <v>600</v>
      </c>
    </row>
    <row r="12150" spans="1:19" x14ac:dyDescent="0.2">
      <c r="A12150" t="s">
        <v>12761</v>
      </c>
      <c r="B12150" t="s">
        <v>90</v>
      </c>
      <c r="C12150" t="s">
        <v>614</v>
      </c>
      <c r="D12150">
        <v>1710.71</v>
      </c>
      <c r="E12150" s="37" t="str">
        <f t="shared" si="945"/>
        <v xml:space="preserve"> </v>
      </c>
      <c r="F12150">
        <v>0.22</v>
      </c>
      <c r="G12150" s="37" t="str">
        <f t="shared" si="946"/>
        <v>Normal Discount</v>
      </c>
      <c r="H12150" s="37" t="str">
        <f t="shared" si="947"/>
        <v>Medium</v>
      </c>
      <c r="I12150">
        <v>3</v>
      </c>
      <c r="J12150" t="str" cm="1">
        <f t="array" ref="J12150">_xlfn.IFS(I12150&lt;=3,"small",I12150&lt;=6,"Medium",I12150&lt;=9,"Large")</f>
        <v>small</v>
      </c>
      <c r="K12150" s="36">
        <v>45348</v>
      </c>
      <c r="L12150" s="36">
        <v>45352</v>
      </c>
      <c r="M12150" t="s">
        <v>612</v>
      </c>
      <c r="N12150" t="s">
        <v>599</v>
      </c>
      <c r="O12150" s="37" t="str">
        <f t="shared" si="948"/>
        <v>Digital Payment</v>
      </c>
      <c r="P12150">
        <v>231.17</v>
      </c>
      <c r="Q12150" s="37" t="str">
        <f>IF(P12150&gt;500,"High","low")</f>
        <v>low</v>
      </c>
      <c r="R12150" s="37" t="str">
        <f t="shared" si="949"/>
        <v>AVERAGE</v>
      </c>
      <c r="S12150" t="s">
        <v>609</v>
      </c>
    </row>
    <row r="12151" spans="1:19" x14ac:dyDescent="0.2">
      <c r="A12151" t="s">
        <v>12762</v>
      </c>
      <c r="B12151" t="s">
        <v>75</v>
      </c>
      <c r="C12151" t="s">
        <v>614</v>
      </c>
      <c r="D12151">
        <v>1168.42</v>
      </c>
      <c r="E12151" s="37" t="str">
        <f t="shared" si="945"/>
        <v xml:space="preserve"> </v>
      </c>
      <c r="F12151">
        <v>0.33</v>
      </c>
      <c r="G12151" s="37" t="str">
        <f t="shared" si="946"/>
        <v>Heavy Discount</v>
      </c>
      <c r="H12151" s="37" t="str">
        <f t="shared" si="947"/>
        <v>Medium</v>
      </c>
      <c r="I12151">
        <v>2</v>
      </c>
      <c r="J12151" t="str" cm="1">
        <f t="array" ref="J12151">_xlfn.IFS(I12151&lt;=3,"small",I12151&lt;=6,"Medium",I12151&lt;=9,"Large")</f>
        <v>small</v>
      </c>
      <c r="K12151" s="36">
        <v>45484</v>
      </c>
      <c r="L12151" s="36">
        <v>45489</v>
      </c>
      <c r="M12151" t="s">
        <v>612</v>
      </c>
      <c r="N12151" t="s">
        <v>604</v>
      </c>
      <c r="O12151" s="37" t="str">
        <f t="shared" si="948"/>
        <v>Digital Payment</v>
      </c>
      <c r="P12151">
        <v>106.56</v>
      </c>
      <c r="Q12151" s="37" t="str">
        <f>IF(P12151&gt;500,"High","low")</f>
        <v>low</v>
      </c>
      <c r="R12151" s="37" t="str">
        <f t="shared" si="949"/>
        <v>AVERAGE</v>
      </c>
      <c r="S12151" t="s">
        <v>628</v>
      </c>
    </row>
    <row r="12152" spans="1:19" x14ac:dyDescent="0.2">
      <c r="A12152" t="s">
        <v>12763</v>
      </c>
      <c r="B12152" t="s">
        <v>67</v>
      </c>
      <c r="C12152" t="s">
        <v>607</v>
      </c>
      <c r="D12152">
        <v>2003.81</v>
      </c>
      <c r="E12152" s="37" t="str">
        <f t="shared" si="945"/>
        <v xml:space="preserve"> </v>
      </c>
      <c r="F12152">
        <v>0.37</v>
      </c>
      <c r="G12152" s="37" t="str">
        <f t="shared" si="946"/>
        <v>Heavy Discount</v>
      </c>
      <c r="H12152" s="37" t="str">
        <f t="shared" si="947"/>
        <v>Medium</v>
      </c>
      <c r="I12152">
        <v>8</v>
      </c>
      <c r="J12152" t="str" cm="1">
        <f t="array" ref="J12152">_xlfn.IFS(I12152&lt;=3,"small",I12152&lt;=6,"Medium",I12152&lt;=9,"Large")</f>
        <v>Large</v>
      </c>
      <c r="K12152" s="36">
        <v>45073</v>
      </c>
      <c r="L12152" s="36">
        <v>45074</v>
      </c>
      <c r="M12152" t="s">
        <v>612</v>
      </c>
      <c r="N12152" t="s">
        <v>599</v>
      </c>
      <c r="O12152" s="37" t="str">
        <f t="shared" si="948"/>
        <v>Digital Payment</v>
      </c>
      <c r="P12152">
        <v>192.91</v>
      </c>
      <c r="Q12152" s="37" t="str">
        <f>IF(P12152&gt;500,"High","low")</f>
        <v>low</v>
      </c>
      <c r="R12152" s="37" t="str">
        <f t="shared" si="949"/>
        <v>AVERAGE</v>
      </c>
      <c r="S12152" t="s">
        <v>600</v>
      </c>
    </row>
    <row r="12153" spans="1:19" x14ac:dyDescent="0.2">
      <c r="A12153" t="s">
        <v>12764</v>
      </c>
      <c r="B12153" t="s">
        <v>90</v>
      </c>
      <c r="C12153" t="s">
        <v>602</v>
      </c>
      <c r="D12153">
        <v>1625.21</v>
      </c>
      <c r="E12153" s="37" t="str">
        <f t="shared" si="945"/>
        <v xml:space="preserve"> </v>
      </c>
      <c r="F12153">
        <v>0.09</v>
      </c>
      <c r="G12153" s="37" t="str">
        <f t="shared" si="946"/>
        <v>Normal Discount</v>
      </c>
      <c r="H12153" s="37" t="str">
        <f t="shared" si="947"/>
        <v>Low</v>
      </c>
      <c r="I12153">
        <v>5</v>
      </c>
      <c r="J12153" t="str" cm="1">
        <f t="array" ref="J12153">_xlfn.IFS(I12153&lt;=3,"small",I12153&lt;=6,"Medium",I12153&lt;=9,"Large")</f>
        <v>Medium</v>
      </c>
      <c r="K12153" s="36">
        <v>45567</v>
      </c>
      <c r="L12153" s="36">
        <v>45574</v>
      </c>
      <c r="M12153" t="s">
        <v>612</v>
      </c>
      <c r="N12153" t="s">
        <v>604</v>
      </c>
      <c r="O12153" s="37" t="str">
        <f t="shared" si="948"/>
        <v>Digital Payment</v>
      </c>
      <c r="P12153">
        <v>344.08</v>
      </c>
      <c r="Q12153" s="37" t="str">
        <f>IF(P12153&gt;500,"High","low")</f>
        <v>low</v>
      </c>
      <c r="R12153" s="37" t="str">
        <f t="shared" si="949"/>
        <v>AVERAGE</v>
      </c>
      <c r="S12153" t="s">
        <v>620</v>
      </c>
    </row>
    <row r="12154" spans="1:19" x14ac:dyDescent="0.2">
      <c r="A12154" t="s">
        <v>12765</v>
      </c>
      <c r="B12154" t="s">
        <v>67</v>
      </c>
      <c r="C12154" t="s">
        <v>607</v>
      </c>
      <c r="D12154">
        <v>3550.66</v>
      </c>
      <c r="E12154" s="37" t="str">
        <f t="shared" si="945"/>
        <v xml:space="preserve"> </v>
      </c>
      <c r="F12154">
        <v>0.02</v>
      </c>
      <c r="G12154" s="37" t="str">
        <f t="shared" si="946"/>
        <v>Normal Discount</v>
      </c>
      <c r="H12154" s="37" t="str">
        <f t="shared" si="947"/>
        <v>Low</v>
      </c>
      <c r="I12154">
        <v>6</v>
      </c>
      <c r="J12154" t="str" cm="1">
        <f t="array" ref="J12154">_xlfn.IFS(I12154&lt;=3,"small",I12154&lt;=6,"Medium",I12154&lt;=9,"Large")</f>
        <v>Medium</v>
      </c>
      <c r="K12154" s="36">
        <v>45162</v>
      </c>
      <c r="L12154" s="36">
        <v>45165</v>
      </c>
      <c r="M12154" t="s">
        <v>598</v>
      </c>
      <c r="N12154" t="s">
        <v>604</v>
      </c>
      <c r="O12154" s="37" t="str">
        <f t="shared" si="948"/>
        <v>Digital Payment</v>
      </c>
      <c r="P12154">
        <v>911.11</v>
      </c>
      <c r="Q12154" s="37" t="str">
        <f>IF(P12154&gt;500,"High","low")</f>
        <v>High</v>
      </c>
      <c r="R12154" s="37" t="str">
        <f t="shared" si="949"/>
        <v>Good</v>
      </c>
      <c r="S12154" t="s">
        <v>605</v>
      </c>
    </row>
    <row r="12155" spans="1:19" x14ac:dyDescent="0.2">
      <c r="A12155" t="s">
        <v>12766</v>
      </c>
      <c r="B12155" t="s">
        <v>90</v>
      </c>
      <c r="C12155" t="s">
        <v>607</v>
      </c>
      <c r="D12155">
        <v>1375.01</v>
      </c>
      <c r="E12155" s="37" t="str">
        <f t="shared" si="945"/>
        <v xml:space="preserve"> </v>
      </c>
      <c r="F12155">
        <v>0.23</v>
      </c>
      <c r="G12155" s="37" t="str">
        <f t="shared" si="946"/>
        <v>Normal Discount</v>
      </c>
      <c r="H12155" s="37" t="str">
        <f t="shared" si="947"/>
        <v>Medium</v>
      </c>
      <c r="I12155">
        <v>9</v>
      </c>
      <c r="J12155" t="str" cm="1">
        <f t="array" ref="J12155">_xlfn.IFS(I12155&lt;=3,"small",I12155&lt;=6,"Medium",I12155&lt;=9,"Large")</f>
        <v>Large</v>
      </c>
      <c r="K12155" s="36">
        <v>45589</v>
      </c>
      <c r="L12155" s="36">
        <v>45592</v>
      </c>
      <c r="M12155" t="s">
        <v>612</v>
      </c>
      <c r="N12155" t="s">
        <v>599</v>
      </c>
      <c r="O12155" s="37" t="str">
        <f t="shared" si="948"/>
        <v>Digital Payment</v>
      </c>
      <c r="P12155">
        <v>223.4</v>
      </c>
      <c r="Q12155" s="37" t="str">
        <f>IF(P12155&gt;500,"High","low")</f>
        <v>low</v>
      </c>
      <c r="R12155" s="37" t="str">
        <f t="shared" si="949"/>
        <v>AVERAGE</v>
      </c>
      <c r="S12155" t="s">
        <v>609</v>
      </c>
    </row>
    <row r="12156" spans="1:19" x14ac:dyDescent="0.2">
      <c r="A12156" t="s">
        <v>12767</v>
      </c>
      <c r="B12156" t="s">
        <v>83</v>
      </c>
      <c r="C12156" t="s">
        <v>597</v>
      </c>
      <c r="D12156">
        <v>2847.68</v>
      </c>
      <c r="E12156" s="37" t="str">
        <f t="shared" si="945"/>
        <v xml:space="preserve"> </v>
      </c>
      <c r="F12156">
        <v>0.05</v>
      </c>
      <c r="G12156" s="37" t="str">
        <f t="shared" si="946"/>
        <v>Normal Discount</v>
      </c>
      <c r="H12156" s="37" t="str">
        <f t="shared" si="947"/>
        <v>Low</v>
      </c>
      <c r="I12156">
        <v>3</v>
      </c>
      <c r="J12156" t="str" cm="1">
        <f t="array" ref="J12156">_xlfn.IFS(I12156&lt;=3,"small",I12156&lt;=6,"Medium",I12156&lt;=9,"Large")</f>
        <v>small</v>
      </c>
      <c r="K12156" s="36">
        <v>45372</v>
      </c>
      <c r="L12156" s="36">
        <v>45377</v>
      </c>
      <c r="M12156" t="s">
        <v>598</v>
      </c>
      <c r="N12156" t="s">
        <v>608</v>
      </c>
      <c r="O12156" s="37" t="str">
        <f t="shared" si="948"/>
        <v>Cash Payment</v>
      </c>
      <c r="P12156">
        <v>302.99</v>
      </c>
      <c r="Q12156" s="37" t="str">
        <f>IF(P12156&gt;500,"High","low")</f>
        <v>low</v>
      </c>
      <c r="R12156" s="37" t="str">
        <f t="shared" si="949"/>
        <v>AVERAGE</v>
      </c>
      <c r="S12156" t="s">
        <v>615</v>
      </c>
    </row>
    <row r="12157" spans="1:19" x14ac:dyDescent="0.2">
      <c r="A12157" t="s">
        <v>12768</v>
      </c>
      <c r="B12157" t="s">
        <v>67</v>
      </c>
      <c r="C12157" t="s">
        <v>614</v>
      </c>
      <c r="D12157">
        <v>2333.2800000000002</v>
      </c>
      <c r="E12157" s="37" t="str">
        <f t="shared" si="945"/>
        <v xml:space="preserve"> </v>
      </c>
      <c r="F12157">
        <v>0.14000000000000001</v>
      </c>
      <c r="G12157" s="37" t="str">
        <f t="shared" si="946"/>
        <v>Normal Discount</v>
      </c>
      <c r="H12157" s="37" t="str">
        <f t="shared" si="947"/>
        <v>Low</v>
      </c>
      <c r="I12157">
        <v>4</v>
      </c>
      <c r="J12157" t="str" cm="1">
        <f t="array" ref="J12157">_xlfn.IFS(I12157&lt;=3,"small",I12157&lt;=6,"Medium",I12157&lt;=9,"Large")</f>
        <v>Medium</v>
      </c>
      <c r="K12157" s="36">
        <v>45550</v>
      </c>
      <c r="L12157" s="36">
        <v>45556</v>
      </c>
      <c r="M12157" t="s">
        <v>612</v>
      </c>
      <c r="N12157" t="s">
        <v>599</v>
      </c>
      <c r="O12157" s="37" t="str">
        <f t="shared" si="948"/>
        <v>Digital Payment</v>
      </c>
      <c r="P12157">
        <v>299.04000000000002</v>
      </c>
      <c r="Q12157" s="37" t="str">
        <f>IF(P12157&gt;500,"High","low")</f>
        <v>low</v>
      </c>
      <c r="R12157" s="37" t="str">
        <f t="shared" si="949"/>
        <v>AVERAGE</v>
      </c>
      <c r="S12157" t="s">
        <v>615</v>
      </c>
    </row>
    <row r="12158" spans="1:19" x14ac:dyDescent="0.2">
      <c r="A12158" t="s">
        <v>12769</v>
      </c>
      <c r="B12158" t="s">
        <v>67</v>
      </c>
      <c r="C12158" t="s">
        <v>602</v>
      </c>
      <c r="D12158">
        <v>4025.18</v>
      </c>
      <c r="E12158" s="37" t="str">
        <f t="shared" si="945"/>
        <v xml:space="preserve"> </v>
      </c>
      <c r="F12158">
        <v>0.28999999999999998</v>
      </c>
      <c r="G12158" s="37" t="str">
        <f t="shared" si="946"/>
        <v>Normal Discount</v>
      </c>
      <c r="H12158" s="37" t="str">
        <f t="shared" si="947"/>
        <v>Medium</v>
      </c>
      <c r="I12158">
        <v>2</v>
      </c>
      <c r="J12158" t="str" cm="1">
        <f t="array" ref="J12158">_xlfn.IFS(I12158&lt;=3,"small",I12158&lt;=6,"Medium",I12158&lt;=9,"Large")</f>
        <v>small</v>
      </c>
      <c r="K12158" s="36">
        <v>45639</v>
      </c>
      <c r="L12158" s="36">
        <v>45640</v>
      </c>
      <c r="M12158" t="s">
        <v>612</v>
      </c>
      <c r="N12158" t="s">
        <v>608</v>
      </c>
      <c r="O12158" s="37" t="str">
        <f t="shared" si="948"/>
        <v>Cash Payment</v>
      </c>
      <c r="P12158">
        <v>401.8</v>
      </c>
      <c r="Q12158" s="37" t="str">
        <f>IF(P12158&gt;500,"High","low")</f>
        <v>low</v>
      </c>
      <c r="R12158" s="37" t="str">
        <f t="shared" si="949"/>
        <v>AVERAGE</v>
      </c>
      <c r="S12158" t="s">
        <v>615</v>
      </c>
    </row>
    <row r="12159" spans="1:19" x14ac:dyDescent="0.2">
      <c r="A12159" t="s">
        <v>12770</v>
      </c>
      <c r="B12159" t="s">
        <v>83</v>
      </c>
      <c r="C12159" t="s">
        <v>597</v>
      </c>
      <c r="D12159">
        <v>2197.65</v>
      </c>
      <c r="E12159" s="37" t="str">
        <f t="shared" si="945"/>
        <v xml:space="preserve"> </v>
      </c>
      <c r="F12159">
        <v>0.08</v>
      </c>
      <c r="G12159" s="37" t="str">
        <f t="shared" si="946"/>
        <v>Normal Discount</v>
      </c>
      <c r="H12159" s="37" t="str">
        <f t="shared" si="947"/>
        <v>Low</v>
      </c>
      <c r="I12159">
        <v>6</v>
      </c>
      <c r="J12159" t="str" cm="1">
        <f t="array" ref="J12159">_xlfn.IFS(I12159&lt;=3,"small",I12159&lt;=6,"Medium",I12159&lt;=9,"Large")</f>
        <v>Medium</v>
      </c>
      <c r="K12159" s="36">
        <v>45210</v>
      </c>
      <c r="L12159" s="36">
        <v>45217</v>
      </c>
      <c r="M12159" t="s">
        <v>612</v>
      </c>
      <c r="N12159" t="s">
        <v>604</v>
      </c>
      <c r="O12159" s="37" t="str">
        <f t="shared" si="948"/>
        <v>Digital Payment</v>
      </c>
      <c r="P12159">
        <v>214.59</v>
      </c>
      <c r="Q12159" s="37" t="str">
        <f>IF(P12159&gt;500,"High","low")</f>
        <v>low</v>
      </c>
      <c r="R12159" s="37" t="str">
        <f t="shared" si="949"/>
        <v>AVERAGE</v>
      </c>
      <c r="S12159" t="s">
        <v>609</v>
      </c>
    </row>
    <row r="12160" spans="1:19" x14ac:dyDescent="0.2">
      <c r="A12160" t="s">
        <v>12771</v>
      </c>
      <c r="B12160" t="s">
        <v>67</v>
      </c>
      <c r="C12160" t="s">
        <v>597</v>
      </c>
      <c r="D12160">
        <v>4332.99</v>
      </c>
      <c r="E12160" s="37" t="str">
        <f t="shared" si="945"/>
        <v>Excellent Order</v>
      </c>
      <c r="F12160">
        <v>0.01</v>
      </c>
      <c r="G12160" s="37" t="str">
        <f t="shared" si="946"/>
        <v>Normal Discount</v>
      </c>
      <c r="H12160" s="37" t="str">
        <f t="shared" si="947"/>
        <v>Low</v>
      </c>
      <c r="I12160">
        <v>9</v>
      </c>
      <c r="J12160" t="str" cm="1">
        <f t="array" ref="J12160">_xlfn.IFS(I12160&lt;=3,"small",I12160&lt;=6,"Medium",I12160&lt;=9,"Large")</f>
        <v>Large</v>
      </c>
      <c r="K12160" s="36">
        <v>45259</v>
      </c>
      <c r="L12160" s="36">
        <v>45263</v>
      </c>
      <c r="M12160" t="s">
        <v>603</v>
      </c>
      <c r="N12160" t="s">
        <v>604</v>
      </c>
      <c r="O12160" s="37" t="str">
        <f t="shared" si="948"/>
        <v>Digital Payment</v>
      </c>
      <c r="P12160">
        <v>821.7</v>
      </c>
      <c r="Q12160" s="37" t="str">
        <f>IF(P12160&gt;500,"High","low")</f>
        <v>High</v>
      </c>
      <c r="R12160" s="37" t="str">
        <f t="shared" si="949"/>
        <v>Good</v>
      </c>
      <c r="S12160" t="s">
        <v>605</v>
      </c>
    </row>
    <row r="12161" spans="1:19" x14ac:dyDescent="0.2">
      <c r="A12161" t="s">
        <v>12772</v>
      </c>
      <c r="B12161" t="s">
        <v>90</v>
      </c>
      <c r="C12161" t="s">
        <v>617</v>
      </c>
      <c r="D12161">
        <v>100.71</v>
      </c>
      <c r="E12161" s="37" t="str">
        <f t="shared" si="945"/>
        <v xml:space="preserve"> </v>
      </c>
      <c r="F12161">
        <v>0.28000000000000003</v>
      </c>
      <c r="G12161" s="37" t="str">
        <f t="shared" si="946"/>
        <v>Normal Discount</v>
      </c>
      <c r="H12161" s="37" t="str">
        <f t="shared" si="947"/>
        <v>Medium</v>
      </c>
      <c r="I12161">
        <v>2</v>
      </c>
      <c r="J12161" t="str" cm="1">
        <f t="array" ref="J12161">_xlfn.IFS(I12161&lt;=3,"small",I12161&lt;=6,"Medium",I12161&lt;=9,"Large")</f>
        <v>small</v>
      </c>
      <c r="K12161" s="36">
        <v>45343</v>
      </c>
      <c r="L12161" s="36">
        <v>45348</v>
      </c>
      <c r="M12161" t="s">
        <v>603</v>
      </c>
      <c r="N12161" t="s">
        <v>604</v>
      </c>
      <c r="O12161" s="37" t="str">
        <f t="shared" si="948"/>
        <v>Digital Payment</v>
      </c>
      <c r="P12161">
        <v>18.29</v>
      </c>
      <c r="Q12161" s="37" t="str">
        <f>IF(P12161&gt;500,"High","low")</f>
        <v>low</v>
      </c>
      <c r="R12161" s="37" t="str">
        <f t="shared" si="949"/>
        <v>AVERAGE</v>
      </c>
      <c r="S12161" t="s">
        <v>620</v>
      </c>
    </row>
    <row r="12162" spans="1:19" x14ac:dyDescent="0.2">
      <c r="A12162" t="s">
        <v>12773</v>
      </c>
      <c r="B12162" t="s">
        <v>75</v>
      </c>
      <c r="C12162" t="s">
        <v>614</v>
      </c>
      <c r="D12162">
        <v>3063.7</v>
      </c>
      <c r="E12162" s="37" t="str">
        <f t="shared" si="945"/>
        <v xml:space="preserve"> </v>
      </c>
      <c r="F12162">
        <v>0.23</v>
      </c>
      <c r="G12162" s="37" t="str">
        <f t="shared" si="946"/>
        <v>Normal Discount</v>
      </c>
      <c r="H12162" s="37" t="str">
        <f t="shared" si="947"/>
        <v>Medium</v>
      </c>
      <c r="I12162">
        <v>5</v>
      </c>
      <c r="J12162" t="str" cm="1">
        <f t="array" ref="J12162">_xlfn.IFS(I12162&lt;=3,"small",I12162&lt;=6,"Medium",I12162&lt;=9,"Large")</f>
        <v>Medium</v>
      </c>
      <c r="K12162" s="36">
        <v>45313</v>
      </c>
      <c r="L12162" s="36">
        <v>45319</v>
      </c>
      <c r="M12162" t="s">
        <v>603</v>
      </c>
      <c r="N12162" t="s">
        <v>608</v>
      </c>
      <c r="O12162" s="37" t="str">
        <f t="shared" si="948"/>
        <v>Cash Payment</v>
      </c>
      <c r="P12162">
        <v>669.68</v>
      </c>
      <c r="Q12162" s="37" t="str">
        <f>IF(P12162&gt;500,"High","low")</f>
        <v>High</v>
      </c>
      <c r="R12162" s="37" t="str">
        <f t="shared" si="949"/>
        <v>Good</v>
      </c>
      <c r="S12162" t="s">
        <v>605</v>
      </c>
    </row>
    <row r="12163" spans="1:19" x14ac:dyDescent="0.2">
      <c r="A12163" t="s">
        <v>12774</v>
      </c>
      <c r="B12163" t="s">
        <v>75</v>
      </c>
      <c r="C12163" t="s">
        <v>602</v>
      </c>
      <c r="D12163">
        <v>148.05000000000001</v>
      </c>
      <c r="E12163" s="37" t="str">
        <f t="shared" ref="E12163:E12226" si="950">IF(AND(D12163&gt;4000,P12163&gt;800),"Excellent Order"," ")</f>
        <v xml:space="preserve"> </v>
      </c>
      <c r="F12163">
        <v>0.15</v>
      </c>
      <c r="G12163" s="37" t="str">
        <f t="shared" ref="G12163:G12226" si="951">IF(F12163&gt;30%,"Heavy Discount","Normal Discount")</f>
        <v>Normal Discount</v>
      </c>
      <c r="H12163" s="37" t="str">
        <f t="shared" ref="H12163:H12226" si="952">IF(F12163&gt;0.4,"High",IF(F12163&gt;=0.2,"Medium","Low"))</f>
        <v>Low</v>
      </c>
      <c r="I12163">
        <v>1</v>
      </c>
      <c r="J12163" t="str" cm="1">
        <f t="array" ref="J12163">_xlfn.IFS(I12163&lt;=3,"small",I12163&lt;=6,"Medium",I12163&lt;=9,"Large")</f>
        <v>small</v>
      </c>
      <c r="K12163" s="36">
        <v>45645</v>
      </c>
      <c r="L12163" s="36">
        <v>45647</v>
      </c>
      <c r="M12163" t="s">
        <v>598</v>
      </c>
      <c r="N12163" t="s">
        <v>604</v>
      </c>
      <c r="O12163" s="37" t="str">
        <f t="shared" ref="O12163:O12226" si="953">IF(OR(N12163="Card",N12163="UPI"),"Digital Payment","Cash Payment")</f>
        <v>Digital Payment</v>
      </c>
      <c r="P12163">
        <v>13.88</v>
      </c>
      <c r="Q12163" s="37" t="str">
        <f>IF(P12163&gt;500,"High","low")</f>
        <v>low</v>
      </c>
      <c r="R12163" s="37" t="str">
        <f t="shared" ref="R12163:R12226" si="954">IF(P12163&gt;1000,"Excellent",IF(P12163&gt;=500,"Good","AVERAGE"))</f>
        <v>AVERAGE</v>
      </c>
      <c r="S12163" t="s">
        <v>600</v>
      </c>
    </row>
    <row r="12164" spans="1:19" x14ac:dyDescent="0.2">
      <c r="A12164" t="s">
        <v>12775</v>
      </c>
      <c r="B12164" t="s">
        <v>83</v>
      </c>
      <c r="C12164" t="s">
        <v>602</v>
      </c>
      <c r="D12164">
        <v>3598.28</v>
      </c>
      <c r="E12164" s="37" t="str">
        <f t="shared" si="950"/>
        <v xml:space="preserve"> </v>
      </c>
      <c r="F12164">
        <v>0.23</v>
      </c>
      <c r="G12164" s="37" t="str">
        <f t="shared" si="951"/>
        <v>Normal Discount</v>
      </c>
      <c r="H12164" s="37" t="str">
        <f t="shared" si="952"/>
        <v>Medium</v>
      </c>
      <c r="I12164">
        <v>4</v>
      </c>
      <c r="J12164" t="str" cm="1">
        <f t="array" ref="J12164">_xlfn.IFS(I12164&lt;=3,"small",I12164&lt;=6,"Medium",I12164&lt;=9,"Large")</f>
        <v>Medium</v>
      </c>
      <c r="K12164" s="36">
        <v>45454</v>
      </c>
      <c r="L12164" s="36">
        <v>45455</v>
      </c>
      <c r="M12164" t="s">
        <v>612</v>
      </c>
      <c r="N12164" t="s">
        <v>604</v>
      </c>
      <c r="O12164" s="37" t="str">
        <f t="shared" si="953"/>
        <v>Digital Payment</v>
      </c>
      <c r="P12164">
        <v>216.22</v>
      </c>
      <c r="Q12164" s="37" t="str">
        <f>IF(P12164&gt;500,"High","low")</f>
        <v>low</v>
      </c>
      <c r="R12164" s="37" t="str">
        <f t="shared" si="954"/>
        <v>AVERAGE</v>
      </c>
      <c r="S12164" t="s">
        <v>609</v>
      </c>
    </row>
    <row r="12165" spans="1:19" x14ac:dyDescent="0.2">
      <c r="A12165" t="s">
        <v>12776</v>
      </c>
      <c r="B12165" t="s">
        <v>90</v>
      </c>
      <c r="C12165" t="s">
        <v>602</v>
      </c>
      <c r="D12165">
        <v>1251.1199999999999</v>
      </c>
      <c r="E12165" s="37" t="str">
        <f t="shared" si="950"/>
        <v xml:space="preserve"> </v>
      </c>
      <c r="F12165">
        <v>0.34</v>
      </c>
      <c r="G12165" s="37" t="str">
        <f t="shared" si="951"/>
        <v>Heavy Discount</v>
      </c>
      <c r="H12165" s="37" t="str">
        <f t="shared" si="952"/>
        <v>Medium</v>
      </c>
      <c r="I12165">
        <v>8</v>
      </c>
      <c r="J12165" t="str" cm="1">
        <f t="array" ref="J12165">_xlfn.IFS(I12165&lt;=3,"small",I12165&lt;=6,"Medium",I12165&lt;=9,"Large")</f>
        <v>Large</v>
      </c>
      <c r="K12165" s="36">
        <v>45053</v>
      </c>
      <c r="L12165" s="36">
        <v>45057</v>
      </c>
      <c r="M12165" t="s">
        <v>603</v>
      </c>
      <c r="N12165" t="s">
        <v>604</v>
      </c>
      <c r="O12165" s="37" t="str">
        <f t="shared" si="953"/>
        <v>Digital Payment</v>
      </c>
      <c r="P12165">
        <v>239.93</v>
      </c>
      <c r="Q12165" s="37" t="str">
        <f>IF(P12165&gt;500,"High","low")</f>
        <v>low</v>
      </c>
      <c r="R12165" s="37" t="str">
        <f t="shared" si="954"/>
        <v>AVERAGE</v>
      </c>
      <c r="S12165" t="s">
        <v>628</v>
      </c>
    </row>
    <row r="12166" spans="1:19" x14ac:dyDescent="0.2">
      <c r="A12166" t="s">
        <v>12777</v>
      </c>
      <c r="B12166" t="s">
        <v>67</v>
      </c>
      <c r="C12166" t="s">
        <v>614</v>
      </c>
      <c r="D12166">
        <v>1961.91</v>
      </c>
      <c r="E12166" s="37" t="str">
        <f t="shared" si="950"/>
        <v xml:space="preserve"> </v>
      </c>
      <c r="F12166">
        <v>0.05</v>
      </c>
      <c r="G12166" s="37" t="str">
        <f t="shared" si="951"/>
        <v>Normal Discount</v>
      </c>
      <c r="H12166" s="37" t="str">
        <f t="shared" si="952"/>
        <v>Low</v>
      </c>
      <c r="I12166">
        <v>3</v>
      </c>
      <c r="J12166" t="str" cm="1">
        <f t="array" ref="J12166">_xlfn.IFS(I12166&lt;=3,"small",I12166&lt;=6,"Medium",I12166&lt;=9,"Large")</f>
        <v>small</v>
      </c>
      <c r="K12166" s="36">
        <v>45212</v>
      </c>
      <c r="L12166" s="36">
        <v>45213</v>
      </c>
      <c r="M12166" t="s">
        <v>598</v>
      </c>
      <c r="N12166" t="s">
        <v>604</v>
      </c>
      <c r="O12166" s="37" t="str">
        <f t="shared" si="953"/>
        <v>Digital Payment</v>
      </c>
      <c r="P12166">
        <v>529.28</v>
      </c>
      <c r="Q12166" s="37" t="str">
        <f>IF(P12166&gt;500,"High","low")</f>
        <v>High</v>
      </c>
      <c r="R12166" s="37" t="str">
        <f t="shared" si="954"/>
        <v>Good</v>
      </c>
      <c r="S12166" t="s">
        <v>600</v>
      </c>
    </row>
    <row r="12167" spans="1:19" x14ac:dyDescent="0.2">
      <c r="A12167" t="s">
        <v>12778</v>
      </c>
      <c r="B12167" t="s">
        <v>67</v>
      </c>
      <c r="C12167" t="s">
        <v>602</v>
      </c>
      <c r="D12167">
        <v>1964.14</v>
      </c>
      <c r="E12167" s="37" t="str">
        <f t="shared" si="950"/>
        <v xml:space="preserve"> </v>
      </c>
      <c r="F12167">
        <v>0.13</v>
      </c>
      <c r="G12167" s="37" t="str">
        <f t="shared" si="951"/>
        <v>Normal Discount</v>
      </c>
      <c r="H12167" s="37" t="str">
        <f t="shared" si="952"/>
        <v>Low</v>
      </c>
      <c r="I12167">
        <v>4</v>
      </c>
      <c r="J12167" t="str" cm="1">
        <f t="array" ref="J12167">_xlfn.IFS(I12167&lt;=3,"small",I12167&lt;=6,"Medium",I12167&lt;=9,"Large")</f>
        <v>Medium</v>
      </c>
      <c r="K12167" s="36">
        <v>45004</v>
      </c>
      <c r="L12167" s="36">
        <v>45011</v>
      </c>
      <c r="M12167" t="s">
        <v>603</v>
      </c>
      <c r="N12167" t="s">
        <v>608</v>
      </c>
      <c r="O12167" s="37" t="str">
        <f t="shared" si="953"/>
        <v>Cash Payment</v>
      </c>
      <c r="P12167">
        <v>447.85</v>
      </c>
      <c r="Q12167" s="37" t="str">
        <f>IF(P12167&gt;500,"High","low")</f>
        <v>low</v>
      </c>
      <c r="R12167" s="37" t="str">
        <f t="shared" si="954"/>
        <v>AVERAGE</v>
      </c>
      <c r="S12167" t="s">
        <v>609</v>
      </c>
    </row>
    <row r="12168" spans="1:19" x14ac:dyDescent="0.2">
      <c r="A12168" t="s">
        <v>12779</v>
      </c>
      <c r="B12168" t="s">
        <v>75</v>
      </c>
      <c r="C12168" t="s">
        <v>607</v>
      </c>
      <c r="D12168">
        <v>4247.47</v>
      </c>
      <c r="E12168" s="37" t="str">
        <f t="shared" si="950"/>
        <v xml:space="preserve"> </v>
      </c>
      <c r="F12168">
        <v>0.4</v>
      </c>
      <c r="G12168" s="37" t="str">
        <f t="shared" si="951"/>
        <v>Heavy Discount</v>
      </c>
      <c r="H12168" s="37" t="str">
        <f t="shared" si="952"/>
        <v>Medium</v>
      </c>
      <c r="I12168">
        <v>2</v>
      </c>
      <c r="J12168" t="str" cm="1">
        <f t="array" ref="J12168">_xlfn.IFS(I12168&lt;=3,"small",I12168&lt;=6,"Medium",I12168&lt;=9,"Large")</f>
        <v>small</v>
      </c>
      <c r="K12168" s="36">
        <v>45311</v>
      </c>
      <c r="L12168" s="36">
        <v>45313</v>
      </c>
      <c r="M12168" t="s">
        <v>598</v>
      </c>
      <c r="N12168" t="s">
        <v>604</v>
      </c>
      <c r="O12168" s="37" t="str">
        <f t="shared" si="953"/>
        <v>Digital Payment</v>
      </c>
      <c r="P12168">
        <v>446.49</v>
      </c>
      <c r="Q12168" s="37" t="str">
        <f>IF(P12168&gt;500,"High","low")</f>
        <v>low</v>
      </c>
      <c r="R12168" s="37" t="str">
        <f t="shared" si="954"/>
        <v>AVERAGE</v>
      </c>
      <c r="S12168" t="s">
        <v>605</v>
      </c>
    </row>
    <row r="12169" spans="1:19" x14ac:dyDescent="0.2">
      <c r="A12169" t="s">
        <v>12780</v>
      </c>
      <c r="B12169" t="s">
        <v>67</v>
      </c>
      <c r="C12169" t="s">
        <v>607</v>
      </c>
      <c r="D12169">
        <v>600.25</v>
      </c>
      <c r="E12169" s="37" t="str">
        <f t="shared" si="950"/>
        <v xml:space="preserve"> </v>
      </c>
      <c r="F12169">
        <v>0.34</v>
      </c>
      <c r="G12169" s="37" t="str">
        <f t="shared" si="951"/>
        <v>Heavy Discount</v>
      </c>
      <c r="H12169" s="37" t="str">
        <f t="shared" si="952"/>
        <v>Medium</v>
      </c>
      <c r="I12169">
        <v>9</v>
      </c>
      <c r="J12169" t="str" cm="1">
        <f t="array" ref="J12169">_xlfn.IFS(I12169&lt;=3,"small",I12169&lt;=6,"Medium",I12169&lt;=9,"Large")</f>
        <v>Large</v>
      </c>
      <c r="K12169" s="36">
        <v>45471</v>
      </c>
      <c r="L12169" s="36">
        <v>45472</v>
      </c>
      <c r="M12169" t="s">
        <v>598</v>
      </c>
      <c r="N12169" t="s">
        <v>608</v>
      </c>
      <c r="O12169" s="37" t="str">
        <f t="shared" si="953"/>
        <v>Cash Payment</v>
      </c>
      <c r="P12169">
        <v>93.61</v>
      </c>
      <c r="Q12169" s="37" t="str">
        <f>IF(P12169&gt;500,"High","low")</f>
        <v>low</v>
      </c>
      <c r="R12169" s="37" t="str">
        <f t="shared" si="954"/>
        <v>AVERAGE</v>
      </c>
      <c r="S12169" t="s">
        <v>600</v>
      </c>
    </row>
    <row r="12170" spans="1:19" x14ac:dyDescent="0.2">
      <c r="A12170" t="s">
        <v>12781</v>
      </c>
      <c r="B12170" t="s">
        <v>75</v>
      </c>
      <c r="C12170" t="s">
        <v>614</v>
      </c>
      <c r="D12170">
        <v>3367.8</v>
      </c>
      <c r="E12170" s="37" t="str">
        <f t="shared" si="950"/>
        <v xml:space="preserve"> </v>
      </c>
      <c r="F12170">
        <v>0.13</v>
      </c>
      <c r="G12170" s="37" t="str">
        <f t="shared" si="951"/>
        <v>Normal Discount</v>
      </c>
      <c r="H12170" s="37" t="str">
        <f t="shared" si="952"/>
        <v>Low</v>
      </c>
      <c r="I12170">
        <v>5</v>
      </c>
      <c r="J12170" t="str" cm="1">
        <f t="array" ref="J12170">_xlfn.IFS(I12170&lt;=3,"small",I12170&lt;=6,"Medium",I12170&lt;=9,"Large")</f>
        <v>Medium</v>
      </c>
      <c r="K12170" s="36">
        <v>45475</v>
      </c>
      <c r="L12170" s="36">
        <v>45480</v>
      </c>
      <c r="M12170" t="s">
        <v>603</v>
      </c>
      <c r="N12170" t="s">
        <v>608</v>
      </c>
      <c r="O12170" s="37" t="str">
        <f t="shared" si="953"/>
        <v>Cash Payment</v>
      </c>
      <c r="P12170">
        <v>349.91</v>
      </c>
      <c r="Q12170" s="37" t="str">
        <f>IF(P12170&gt;500,"High","low")</f>
        <v>low</v>
      </c>
      <c r="R12170" s="37" t="str">
        <f t="shared" si="954"/>
        <v>AVERAGE</v>
      </c>
      <c r="S12170" t="s">
        <v>620</v>
      </c>
    </row>
    <row r="12171" spans="1:19" x14ac:dyDescent="0.2">
      <c r="A12171" t="s">
        <v>12782</v>
      </c>
      <c r="B12171" t="s">
        <v>83</v>
      </c>
      <c r="C12171" t="s">
        <v>602</v>
      </c>
      <c r="D12171">
        <v>4908.16</v>
      </c>
      <c r="E12171" s="37" t="str">
        <f t="shared" si="950"/>
        <v xml:space="preserve"> </v>
      </c>
      <c r="F12171">
        <v>0.2</v>
      </c>
      <c r="G12171" s="37" t="str">
        <f t="shared" si="951"/>
        <v>Normal Discount</v>
      </c>
      <c r="H12171" s="37" t="str">
        <f t="shared" si="952"/>
        <v>Medium</v>
      </c>
      <c r="I12171">
        <v>3</v>
      </c>
      <c r="J12171" t="str" cm="1">
        <f t="array" ref="J12171">_xlfn.IFS(I12171&lt;=3,"small",I12171&lt;=6,"Medium",I12171&lt;=9,"Large")</f>
        <v>small</v>
      </c>
      <c r="K12171" s="36">
        <v>45083</v>
      </c>
      <c r="L12171" s="36">
        <v>45088</v>
      </c>
      <c r="M12171" t="s">
        <v>598</v>
      </c>
      <c r="N12171" t="s">
        <v>608</v>
      </c>
      <c r="O12171" s="37" t="str">
        <f t="shared" si="953"/>
        <v>Cash Payment</v>
      </c>
      <c r="P12171">
        <v>452.96</v>
      </c>
      <c r="Q12171" s="37" t="str">
        <f>IF(P12171&gt;500,"High","low")</f>
        <v>low</v>
      </c>
      <c r="R12171" s="37" t="str">
        <f t="shared" si="954"/>
        <v>AVERAGE</v>
      </c>
      <c r="S12171" t="s">
        <v>605</v>
      </c>
    </row>
    <row r="12172" spans="1:19" x14ac:dyDescent="0.2">
      <c r="A12172" t="s">
        <v>12783</v>
      </c>
      <c r="B12172" t="s">
        <v>67</v>
      </c>
      <c r="C12172" t="s">
        <v>617</v>
      </c>
      <c r="D12172">
        <v>209.68</v>
      </c>
      <c r="E12172" s="37" t="str">
        <f t="shared" si="950"/>
        <v xml:space="preserve"> </v>
      </c>
      <c r="F12172">
        <v>0.06</v>
      </c>
      <c r="G12172" s="37" t="str">
        <f t="shared" si="951"/>
        <v>Normal Discount</v>
      </c>
      <c r="H12172" s="37" t="str">
        <f t="shared" si="952"/>
        <v>Low</v>
      </c>
      <c r="I12172">
        <v>7</v>
      </c>
      <c r="J12172" t="str" cm="1">
        <f t="array" ref="J12172">_xlfn.IFS(I12172&lt;=3,"small",I12172&lt;=6,"Medium",I12172&lt;=9,"Large")</f>
        <v>Large</v>
      </c>
      <c r="K12172" s="36">
        <v>45091</v>
      </c>
      <c r="L12172" s="36">
        <v>45092</v>
      </c>
      <c r="M12172" t="s">
        <v>603</v>
      </c>
      <c r="N12172" t="s">
        <v>599</v>
      </c>
      <c r="O12172" s="37" t="str">
        <f t="shared" si="953"/>
        <v>Digital Payment</v>
      </c>
      <c r="P12172">
        <v>56.45</v>
      </c>
      <c r="Q12172" s="37" t="str">
        <f>IF(P12172&gt;500,"High","low")</f>
        <v>low</v>
      </c>
      <c r="R12172" s="37" t="str">
        <f t="shared" si="954"/>
        <v>AVERAGE</v>
      </c>
      <c r="S12172" t="s">
        <v>628</v>
      </c>
    </row>
    <row r="12173" spans="1:19" x14ac:dyDescent="0.2">
      <c r="A12173" t="s">
        <v>12784</v>
      </c>
      <c r="B12173" t="s">
        <v>90</v>
      </c>
      <c r="C12173" t="s">
        <v>617</v>
      </c>
      <c r="D12173">
        <v>4832.88</v>
      </c>
      <c r="E12173" s="37" t="str">
        <f t="shared" si="950"/>
        <v xml:space="preserve"> </v>
      </c>
      <c r="F12173">
        <v>0.13</v>
      </c>
      <c r="G12173" s="37" t="str">
        <f t="shared" si="951"/>
        <v>Normal Discount</v>
      </c>
      <c r="H12173" s="37" t="str">
        <f t="shared" si="952"/>
        <v>Low</v>
      </c>
      <c r="I12173">
        <v>1</v>
      </c>
      <c r="J12173" t="str" cm="1">
        <f t="array" ref="J12173">_xlfn.IFS(I12173&lt;=3,"small",I12173&lt;=6,"Medium",I12173&lt;=9,"Large")</f>
        <v>small</v>
      </c>
      <c r="K12173" s="36">
        <v>45115</v>
      </c>
      <c r="L12173" s="36">
        <v>45118</v>
      </c>
      <c r="M12173" t="s">
        <v>612</v>
      </c>
      <c r="N12173" t="s">
        <v>599</v>
      </c>
      <c r="O12173" s="37" t="str">
        <f t="shared" si="953"/>
        <v>Digital Payment</v>
      </c>
      <c r="P12173">
        <v>425.75</v>
      </c>
      <c r="Q12173" s="37" t="str">
        <f>IF(P12173&gt;500,"High","low")</f>
        <v>low</v>
      </c>
      <c r="R12173" s="37" t="str">
        <f t="shared" si="954"/>
        <v>AVERAGE</v>
      </c>
      <c r="S12173" t="s">
        <v>605</v>
      </c>
    </row>
    <row r="12174" spans="1:19" x14ac:dyDescent="0.2">
      <c r="A12174" t="s">
        <v>12785</v>
      </c>
      <c r="B12174" t="s">
        <v>67</v>
      </c>
      <c r="C12174" t="s">
        <v>617</v>
      </c>
      <c r="D12174">
        <v>190.18</v>
      </c>
      <c r="E12174" s="37" t="str">
        <f t="shared" si="950"/>
        <v xml:space="preserve"> </v>
      </c>
      <c r="F12174">
        <v>0.42</v>
      </c>
      <c r="G12174" s="37" t="str">
        <f t="shared" si="951"/>
        <v>Heavy Discount</v>
      </c>
      <c r="H12174" s="37" t="str">
        <f t="shared" si="952"/>
        <v>High</v>
      </c>
      <c r="I12174">
        <v>9</v>
      </c>
      <c r="J12174" t="str" cm="1">
        <f t="array" ref="J12174">_xlfn.IFS(I12174&lt;=3,"small",I12174&lt;=6,"Medium",I12174&lt;=9,"Large")</f>
        <v>Large</v>
      </c>
      <c r="K12174" s="36">
        <v>44934</v>
      </c>
      <c r="L12174" s="36">
        <v>44941</v>
      </c>
      <c r="M12174" t="s">
        <v>612</v>
      </c>
      <c r="N12174" t="s">
        <v>604</v>
      </c>
      <c r="O12174" s="37" t="str">
        <f t="shared" si="953"/>
        <v>Digital Payment</v>
      </c>
      <c r="P12174">
        <v>42.64</v>
      </c>
      <c r="Q12174" s="37" t="str">
        <f>IF(P12174&gt;500,"High","low")</f>
        <v>low</v>
      </c>
      <c r="R12174" s="37" t="str">
        <f t="shared" si="954"/>
        <v>AVERAGE</v>
      </c>
      <c r="S12174" t="s">
        <v>600</v>
      </c>
    </row>
    <row r="12175" spans="1:19" x14ac:dyDescent="0.2">
      <c r="A12175" t="s">
        <v>12786</v>
      </c>
      <c r="B12175" t="s">
        <v>75</v>
      </c>
      <c r="C12175" t="s">
        <v>607</v>
      </c>
      <c r="D12175">
        <v>4221.63</v>
      </c>
      <c r="E12175" s="37" t="str">
        <f t="shared" si="950"/>
        <v xml:space="preserve"> </v>
      </c>
      <c r="F12175">
        <v>0.22</v>
      </c>
      <c r="G12175" s="37" t="str">
        <f t="shared" si="951"/>
        <v>Normal Discount</v>
      </c>
      <c r="H12175" s="37" t="str">
        <f t="shared" si="952"/>
        <v>Medium</v>
      </c>
      <c r="I12175">
        <v>7</v>
      </c>
      <c r="J12175" t="str" cm="1">
        <f t="array" ref="J12175">_xlfn.IFS(I12175&lt;=3,"small",I12175&lt;=6,"Medium",I12175&lt;=9,"Large")</f>
        <v>Large</v>
      </c>
      <c r="K12175" s="36">
        <v>45245</v>
      </c>
      <c r="L12175" s="36">
        <v>45246</v>
      </c>
      <c r="M12175" t="s">
        <v>598</v>
      </c>
      <c r="N12175" t="s">
        <v>604</v>
      </c>
      <c r="O12175" s="37" t="str">
        <f t="shared" si="953"/>
        <v>Digital Payment</v>
      </c>
      <c r="P12175">
        <v>582.02</v>
      </c>
      <c r="Q12175" s="37" t="str">
        <f>IF(P12175&gt;500,"High","low")</f>
        <v>High</v>
      </c>
      <c r="R12175" s="37" t="str">
        <f t="shared" si="954"/>
        <v>Good</v>
      </c>
      <c r="S12175" t="s">
        <v>628</v>
      </c>
    </row>
    <row r="12176" spans="1:19" x14ac:dyDescent="0.2">
      <c r="A12176" t="s">
        <v>12787</v>
      </c>
      <c r="B12176" t="s">
        <v>83</v>
      </c>
      <c r="C12176" t="s">
        <v>617</v>
      </c>
      <c r="D12176">
        <v>4810.1000000000004</v>
      </c>
      <c r="E12176" s="37" t="str">
        <f t="shared" si="950"/>
        <v xml:space="preserve"> </v>
      </c>
      <c r="F12176">
        <v>0.32</v>
      </c>
      <c r="G12176" s="37" t="str">
        <f t="shared" si="951"/>
        <v>Heavy Discount</v>
      </c>
      <c r="H12176" s="37" t="str">
        <f t="shared" si="952"/>
        <v>Medium</v>
      </c>
      <c r="I12176">
        <v>1</v>
      </c>
      <c r="J12176" t="str" cm="1">
        <f t="array" ref="J12176">_xlfn.IFS(I12176&lt;=3,"small",I12176&lt;=6,"Medium",I12176&lt;=9,"Large")</f>
        <v>small</v>
      </c>
      <c r="K12176" s="36">
        <v>45654</v>
      </c>
      <c r="L12176" s="36">
        <v>45661</v>
      </c>
      <c r="M12176" t="s">
        <v>603</v>
      </c>
      <c r="N12176" t="s">
        <v>599</v>
      </c>
      <c r="O12176" s="37" t="str">
        <f t="shared" si="953"/>
        <v>Digital Payment</v>
      </c>
      <c r="P12176">
        <v>551.52</v>
      </c>
      <c r="Q12176" s="37" t="str">
        <f>IF(P12176&gt;500,"High","low")</f>
        <v>High</v>
      </c>
      <c r="R12176" s="37" t="str">
        <f t="shared" si="954"/>
        <v>Good</v>
      </c>
      <c r="S12176" t="s">
        <v>620</v>
      </c>
    </row>
    <row r="12177" spans="1:19" x14ac:dyDescent="0.2">
      <c r="A12177" t="s">
        <v>12788</v>
      </c>
      <c r="B12177" t="s">
        <v>75</v>
      </c>
      <c r="C12177" t="s">
        <v>602</v>
      </c>
      <c r="D12177">
        <v>4965.83</v>
      </c>
      <c r="E12177" s="37" t="str">
        <f t="shared" si="950"/>
        <v>Excellent Order</v>
      </c>
      <c r="F12177">
        <v>0.08</v>
      </c>
      <c r="G12177" s="37" t="str">
        <f t="shared" si="951"/>
        <v>Normal Discount</v>
      </c>
      <c r="H12177" s="37" t="str">
        <f t="shared" si="952"/>
        <v>Low</v>
      </c>
      <c r="I12177">
        <v>4</v>
      </c>
      <c r="J12177" t="str" cm="1">
        <f t="array" ref="J12177">_xlfn.IFS(I12177&lt;=3,"small",I12177&lt;=6,"Medium",I12177&lt;=9,"Large")</f>
        <v>Medium</v>
      </c>
      <c r="K12177" s="36">
        <v>45433</v>
      </c>
      <c r="L12177" s="36">
        <v>45438</v>
      </c>
      <c r="M12177" t="s">
        <v>612</v>
      </c>
      <c r="N12177" t="s">
        <v>608</v>
      </c>
      <c r="O12177" s="37" t="str">
        <f t="shared" si="953"/>
        <v>Cash Payment</v>
      </c>
      <c r="P12177">
        <v>1406.43</v>
      </c>
      <c r="Q12177" s="37" t="str">
        <f>IF(P12177&gt;500,"High","low")</f>
        <v>High</v>
      </c>
      <c r="R12177" s="37" t="str">
        <f t="shared" si="954"/>
        <v>Excellent</v>
      </c>
      <c r="S12177" t="s">
        <v>600</v>
      </c>
    </row>
    <row r="12178" spans="1:19" x14ac:dyDescent="0.2">
      <c r="A12178" t="s">
        <v>12789</v>
      </c>
      <c r="B12178" t="s">
        <v>67</v>
      </c>
      <c r="C12178" t="s">
        <v>602</v>
      </c>
      <c r="D12178">
        <v>2349.69</v>
      </c>
      <c r="E12178" s="37" t="str">
        <f t="shared" si="950"/>
        <v xml:space="preserve"> </v>
      </c>
      <c r="F12178">
        <v>0.09</v>
      </c>
      <c r="G12178" s="37" t="str">
        <f t="shared" si="951"/>
        <v>Normal Discount</v>
      </c>
      <c r="H12178" s="37" t="str">
        <f t="shared" si="952"/>
        <v>Low</v>
      </c>
      <c r="I12178">
        <v>7</v>
      </c>
      <c r="J12178" t="str" cm="1">
        <f t="array" ref="J12178">_xlfn.IFS(I12178&lt;=3,"small",I12178&lt;=6,"Medium",I12178&lt;=9,"Large")</f>
        <v>Large</v>
      </c>
      <c r="K12178" s="36">
        <v>45552</v>
      </c>
      <c r="L12178" s="36">
        <v>45556</v>
      </c>
      <c r="M12178" t="s">
        <v>598</v>
      </c>
      <c r="N12178" t="s">
        <v>608</v>
      </c>
      <c r="O12178" s="37" t="str">
        <f t="shared" si="953"/>
        <v>Cash Payment</v>
      </c>
      <c r="P12178">
        <v>636.53</v>
      </c>
      <c r="Q12178" s="37" t="str">
        <f>IF(P12178&gt;500,"High","low")</f>
        <v>High</v>
      </c>
      <c r="R12178" s="37" t="str">
        <f t="shared" si="954"/>
        <v>Good</v>
      </c>
      <c r="S12178" t="s">
        <v>628</v>
      </c>
    </row>
    <row r="12179" spans="1:19" x14ac:dyDescent="0.2">
      <c r="A12179" t="s">
        <v>12790</v>
      </c>
      <c r="B12179" t="s">
        <v>75</v>
      </c>
      <c r="C12179" t="s">
        <v>617</v>
      </c>
      <c r="D12179">
        <v>4348.09</v>
      </c>
      <c r="E12179" s="37" t="str">
        <f t="shared" si="950"/>
        <v xml:space="preserve"> </v>
      </c>
      <c r="F12179">
        <v>0.47</v>
      </c>
      <c r="G12179" s="37" t="str">
        <f t="shared" si="951"/>
        <v>Heavy Discount</v>
      </c>
      <c r="H12179" s="37" t="str">
        <f t="shared" si="952"/>
        <v>High</v>
      </c>
      <c r="I12179">
        <v>4</v>
      </c>
      <c r="J12179" t="str" cm="1">
        <f t="array" ref="J12179">_xlfn.IFS(I12179&lt;=3,"small",I12179&lt;=6,"Medium",I12179&lt;=9,"Large")</f>
        <v>Medium</v>
      </c>
      <c r="K12179" s="36">
        <v>45631</v>
      </c>
      <c r="L12179" s="36">
        <v>45632</v>
      </c>
      <c r="M12179" t="s">
        <v>612</v>
      </c>
      <c r="N12179" t="s">
        <v>604</v>
      </c>
      <c r="O12179" s="37" t="str">
        <f t="shared" si="953"/>
        <v>Digital Payment</v>
      </c>
      <c r="P12179">
        <v>463.36</v>
      </c>
      <c r="Q12179" s="37" t="str">
        <f>IF(P12179&gt;500,"High","low")</f>
        <v>low</v>
      </c>
      <c r="R12179" s="37" t="str">
        <f t="shared" si="954"/>
        <v>AVERAGE</v>
      </c>
      <c r="S12179" t="s">
        <v>605</v>
      </c>
    </row>
    <row r="12180" spans="1:19" x14ac:dyDescent="0.2">
      <c r="A12180" t="s">
        <v>12791</v>
      </c>
      <c r="B12180" t="s">
        <v>75</v>
      </c>
      <c r="C12180" t="s">
        <v>597</v>
      </c>
      <c r="D12180">
        <v>699.46</v>
      </c>
      <c r="E12180" s="37" t="str">
        <f t="shared" si="950"/>
        <v xml:space="preserve"> </v>
      </c>
      <c r="F12180">
        <v>0.42</v>
      </c>
      <c r="G12180" s="37" t="str">
        <f t="shared" si="951"/>
        <v>Heavy Discount</v>
      </c>
      <c r="H12180" s="37" t="str">
        <f t="shared" si="952"/>
        <v>High</v>
      </c>
      <c r="I12180">
        <v>7</v>
      </c>
      <c r="J12180" t="str" cm="1">
        <f t="array" ref="J12180">_xlfn.IFS(I12180&lt;=3,"small",I12180&lt;=6,"Medium",I12180&lt;=9,"Large")</f>
        <v>Large</v>
      </c>
      <c r="K12180" s="36">
        <v>45612</v>
      </c>
      <c r="L12180" s="36">
        <v>45614</v>
      </c>
      <c r="M12180" t="s">
        <v>603</v>
      </c>
      <c r="N12180" t="s">
        <v>608</v>
      </c>
      <c r="O12180" s="37" t="str">
        <f t="shared" si="953"/>
        <v>Cash Payment</v>
      </c>
      <c r="P12180">
        <v>106.99</v>
      </c>
      <c r="Q12180" s="37" t="str">
        <f>IF(P12180&gt;500,"High","low")</f>
        <v>low</v>
      </c>
      <c r="R12180" s="37" t="str">
        <f t="shared" si="954"/>
        <v>AVERAGE</v>
      </c>
      <c r="S12180" t="s">
        <v>615</v>
      </c>
    </row>
    <row r="12181" spans="1:19" x14ac:dyDescent="0.2">
      <c r="A12181" t="s">
        <v>12792</v>
      </c>
      <c r="B12181" t="s">
        <v>83</v>
      </c>
      <c r="C12181" t="s">
        <v>617</v>
      </c>
      <c r="D12181">
        <v>2184.38</v>
      </c>
      <c r="E12181" s="37" t="str">
        <f t="shared" si="950"/>
        <v xml:space="preserve"> </v>
      </c>
      <c r="F12181">
        <v>0.4</v>
      </c>
      <c r="G12181" s="37" t="str">
        <f t="shared" si="951"/>
        <v>Heavy Discount</v>
      </c>
      <c r="H12181" s="37" t="str">
        <f t="shared" si="952"/>
        <v>Medium</v>
      </c>
      <c r="I12181">
        <v>3</v>
      </c>
      <c r="J12181" t="str" cm="1">
        <f t="array" ref="J12181">_xlfn.IFS(I12181&lt;=3,"small",I12181&lt;=6,"Medium",I12181&lt;=9,"Large")</f>
        <v>small</v>
      </c>
      <c r="K12181" s="36">
        <v>45558</v>
      </c>
      <c r="L12181" s="36">
        <v>45560</v>
      </c>
      <c r="M12181" t="s">
        <v>598</v>
      </c>
      <c r="N12181" t="s">
        <v>608</v>
      </c>
      <c r="O12181" s="37" t="str">
        <f t="shared" si="953"/>
        <v>Cash Payment</v>
      </c>
      <c r="P12181">
        <v>494.39</v>
      </c>
      <c r="Q12181" s="37" t="str">
        <f>IF(P12181&gt;500,"High","low")</f>
        <v>low</v>
      </c>
      <c r="R12181" s="37" t="str">
        <f t="shared" si="954"/>
        <v>AVERAGE</v>
      </c>
      <c r="S12181" t="s">
        <v>600</v>
      </c>
    </row>
    <row r="12182" spans="1:19" x14ac:dyDescent="0.2">
      <c r="A12182" t="s">
        <v>12793</v>
      </c>
      <c r="B12182" t="s">
        <v>90</v>
      </c>
      <c r="C12182" t="s">
        <v>597</v>
      </c>
      <c r="D12182">
        <v>1609.08</v>
      </c>
      <c r="E12182" s="37" t="str">
        <f t="shared" si="950"/>
        <v xml:space="preserve"> </v>
      </c>
      <c r="F12182">
        <v>0.16</v>
      </c>
      <c r="G12182" s="37" t="str">
        <f t="shared" si="951"/>
        <v>Normal Discount</v>
      </c>
      <c r="H12182" s="37" t="str">
        <f t="shared" si="952"/>
        <v>Low</v>
      </c>
      <c r="I12182">
        <v>4</v>
      </c>
      <c r="J12182" t="str" cm="1">
        <f t="array" ref="J12182">_xlfn.IFS(I12182&lt;=3,"small",I12182&lt;=6,"Medium",I12182&lt;=9,"Large")</f>
        <v>Medium</v>
      </c>
      <c r="K12182" s="36">
        <v>45448</v>
      </c>
      <c r="L12182" s="36">
        <v>45452</v>
      </c>
      <c r="M12182" t="s">
        <v>598</v>
      </c>
      <c r="N12182" t="s">
        <v>604</v>
      </c>
      <c r="O12182" s="37" t="str">
        <f t="shared" si="953"/>
        <v>Digital Payment</v>
      </c>
      <c r="P12182">
        <v>407.38</v>
      </c>
      <c r="Q12182" s="37" t="str">
        <f>IF(P12182&gt;500,"High","low")</f>
        <v>low</v>
      </c>
      <c r="R12182" s="37" t="str">
        <f t="shared" si="954"/>
        <v>AVERAGE</v>
      </c>
      <c r="S12182" t="s">
        <v>628</v>
      </c>
    </row>
    <row r="12183" spans="1:19" x14ac:dyDescent="0.2">
      <c r="A12183" t="s">
        <v>12794</v>
      </c>
      <c r="B12183" t="s">
        <v>67</v>
      </c>
      <c r="C12183" t="s">
        <v>614</v>
      </c>
      <c r="D12183">
        <v>2036.37</v>
      </c>
      <c r="E12183" s="37" t="str">
        <f t="shared" si="950"/>
        <v xml:space="preserve"> </v>
      </c>
      <c r="F12183">
        <v>0.28000000000000003</v>
      </c>
      <c r="G12183" s="37" t="str">
        <f t="shared" si="951"/>
        <v>Normal Discount</v>
      </c>
      <c r="H12183" s="37" t="str">
        <f t="shared" si="952"/>
        <v>Medium</v>
      </c>
      <c r="I12183">
        <v>3</v>
      </c>
      <c r="J12183" t="str" cm="1">
        <f t="array" ref="J12183">_xlfn.IFS(I12183&lt;=3,"small",I12183&lt;=6,"Medium",I12183&lt;=9,"Large")</f>
        <v>small</v>
      </c>
      <c r="K12183" s="36">
        <v>45648</v>
      </c>
      <c r="L12183" s="36">
        <v>45652</v>
      </c>
      <c r="M12183" t="s">
        <v>598</v>
      </c>
      <c r="N12183" t="s">
        <v>604</v>
      </c>
      <c r="O12183" s="37" t="str">
        <f t="shared" si="953"/>
        <v>Digital Payment</v>
      </c>
      <c r="P12183">
        <v>325.02</v>
      </c>
      <c r="Q12183" s="37" t="str">
        <f>IF(P12183&gt;500,"High","low")</f>
        <v>low</v>
      </c>
      <c r="R12183" s="37" t="str">
        <f t="shared" si="954"/>
        <v>AVERAGE</v>
      </c>
      <c r="S12183" t="s">
        <v>605</v>
      </c>
    </row>
    <row r="12184" spans="1:19" x14ac:dyDescent="0.2">
      <c r="A12184" t="s">
        <v>12795</v>
      </c>
      <c r="B12184" t="s">
        <v>83</v>
      </c>
      <c r="C12184" t="s">
        <v>614</v>
      </c>
      <c r="D12184">
        <v>3539.71</v>
      </c>
      <c r="E12184" s="37" t="str">
        <f t="shared" si="950"/>
        <v xml:space="preserve"> </v>
      </c>
      <c r="F12184">
        <v>0.25</v>
      </c>
      <c r="G12184" s="37" t="str">
        <f t="shared" si="951"/>
        <v>Normal Discount</v>
      </c>
      <c r="H12184" s="37" t="str">
        <f t="shared" si="952"/>
        <v>Medium</v>
      </c>
      <c r="I12184">
        <v>4</v>
      </c>
      <c r="J12184" t="str" cm="1">
        <f t="array" ref="J12184">_xlfn.IFS(I12184&lt;=3,"small",I12184&lt;=6,"Medium",I12184&lt;=9,"Large")</f>
        <v>Medium</v>
      </c>
      <c r="K12184" s="36">
        <v>45651</v>
      </c>
      <c r="L12184" s="36">
        <v>45655</v>
      </c>
      <c r="M12184" t="s">
        <v>598</v>
      </c>
      <c r="N12184" t="s">
        <v>604</v>
      </c>
      <c r="O12184" s="37" t="str">
        <f t="shared" si="953"/>
        <v>Digital Payment</v>
      </c>
      <c r="P12184">
        <v>985.82</v>
      </c>
      <c r="Q12184" s="37" t="str">
        <f>IF(P12184&gt;500,"High","low")</f>
        <v>High</v>
      </c>
      <c r="R12184" s="37" t="str">
        <f t="shared" si="954"/>
        <v>Good</v>
      </c>
      <c r="S12184" t="s">
        <v>620</v>
      </c>
    </row>
    <row r="12185" spans="1:19" x14ac:dyDescent="0.2">
      <c r="A12185" t="s">
        <v>12796</v>
      </c>
      <c r="B12185" t="s">
        <v>90</v>
      </c>
      <c r="C12185" t="s">
        <v>602</v>
      </c>
      <c r="D12185">
        <v>528.65</v>
      </c>
      <c r="E12185" s="37" t="str">
        <f t="shared" si="950"/>
        <v xml:space="preserve"> </v>
      </c>
      <c r="F12185">
        <v>0.48</v>
      </c>
      <c r="G12185" s="37" t="str">
        <f t="shared" si="951"/>
        <v>Heavy Discount</v>
      </c>
      <c r="H12185" s="37" t="str">
        <f t="shared" si="952"/>
        <v>High</v>
      </c>
      <c r="I12185">
        <v>3</v>
      </c>
      <c r="J12185" t="str" cm="1">
        <f t="array" ref="J12185">_xlfn.IFS(I12185&lt;=3,"small",I12185&lt;=6,"Medium",I12185&lt;=9,"Large")</f>
        <v>small</v>
      </c>
      <c r="K12185" s="36">
        <v>45192</v>
      </c>
      <c r="L12185" s="36">
        <v>45199</v>
      </c>
      <c r="M12185" t="s">
        <v>598</v>
      </c>
      <c r="N12185" t="s">
        <v>604</v>
      </c>
      <c r="O12185" s="37" t="str">
        <f t="shared" si="953"/>
        <v>Digital Payment</v>
      </c>
      <c r="P12185">
        <v>81.56</v>
      </c>
      <c r="Q12185" s="37" t="str">
        <f>IF(P12185&gt;500,"High","low")</f>
        <v>low</v>
      </c>
      <c r="R12185" s="37" t="str">
        <f t="shared" si="954"/>
        <v>AVERAGE</v>
      </c>
      <c r="S12185" t="s">
        <v>615</v>
      </c>
    </row>
    <row r="12186" spans="1:19" x14ac:dyDescent="0.2">
      <c r="A12186" t="s">
        <v>12797</v>
      </c>
      <c r="B12186" t="s">
        <v>75</v>
      </c>
      <c r="C12186" t="s">
        <v>607</v>
      </c>
      <c r="D12186">
        <v>4991</v>
      </c>
      <c r="E12186" s="37" t="str">
        <f t="shared" si="950"/>
        <v xml:space="preserve"> </v>
      </c>
      <c r="F12186">
        <v>0.12</v>
      </c>
      <c r="G12186" s="37" t="str">
        <f t="shared" si="951"/>
        <v>Normal Discount</v>
      </c>
      <c r="H12186" s="37" t="str">
        <f t="shared" si="952"/>
        <v>Low</v>
      </c>
      <c r="I12186">
        <v>5</v>
      </c>
      <c r="J12186" t="str" cm="1">
        <f t="array" ref="J12186">_xlfn.IFS(I12186&lt;=3,"small",I12186&lt;=6,"Medium",I12186&lt;=9,"Large")</f>
        <v>Medium</v>
      </c>
      <c r="K12186" s="36">
        <v>44988</v>
      </c>
      <c r="L12186" s="36">
        <v>44992</v>
      </c>
      <c r="M12186" t="s">
        <v>612</v>
      </c>
      <c r="N12186" t="s">
        <v>604</v>
      </c>
      <c r="O12186" s="37" t="str">
        <f t="shared" si="953"/>
        <v>Digital Payment</v>
      </c>
      <c r="P12186">
        <v>383.02</v>
      </c>
      <c r="Q12186" s="37" t="str">
        <f>IF(P12186&gt;500,"High","low")</f>
        <v>low</v>
      </c>
      <c r="R12186" s="37" t="str">
        <f t="shared" si="954"/>
        <v>AVERAGE</v>
      </c>
      <c r="S12186" t="s">
        <v>620</v>
      </c>
    </row>
    <row r="12187" spans="1:19" x14ac:dyDescent="0.2">
      <c r="A12187" t="s">
        <v>12798</v>
      </c>
      <c r="B12187" t="s">
        <v>90</v>
      </c>
      <c r="C12187" t="s">
        <v>602</v>
      </c>
      <c r="D12187">
        <v>3211.83</v>
      </c>
      <c r="E12187" s="37" t="str">
        <f t="shared" si="950"/>
        <v xml:space="preserve"> </v>
      </c>
      <c r="F12187">
        <v>0.47</v>
      </c>
      <c r="G12187" s="37" t="str">
        <f t="shared" si="951"/>
        <v>Heavy Discount</v>
      </c>
      <c r="H12187" s="37" t="str">
        <f t="shared" si="952"/>
        <v>High</v>
      </c>
      <c r="I12187">
        <v>4</v>
      </c>
      <c r="J12187" t="str" cm="1">
        <f t="array" ref="J12187">_xlfn.IFS(I12187&lt;=3,"small",I12187&lt;=6,"Medium",I12187&lt;=9,"Large")</f>
        <v>Medium</v>
      </c>
      <c r="K12187" s="36">
        <v>45012</v>
      </c>
      <c r="L12187" s="36">
        <v>45013</v>
      </c>
      <c r="M12187" t="s">
        <v>598</v>
      </c>
      <c r="N12187" t="s">
        <v>599</v>
      </c>
      <c r="O12187" s="37" t="str">
        <f t="shared" si="953"/>
        <v>Digital Payment</v>
      </c>
      <c r="P12187">
        <v>949.5</v>
      </c>
      <c r="Q12187" s="37" t="str">
        <f>IF(P12187&gt;500,"High","low")</f>
        <v>High</v>
      </c>
      <c r="R12187" s="37" t="str">
        <f t="shared" si="954"/>
        <v>Good</v>
      </c>
      <c r="S12187" t="s">
        <v>609</v>
      </c>
    </row>
    <row r="12188" spans="1:19" x14ac:dyDescent="0.2">
      <c r="A12188" t="s">
        <v>12799</v>
      </c>
      <c r="B12188" t="s">
        <v>75</v>
      </c>
      <c r="C12188" t="s">
        <v>602</v>
      </c>
      <c r="D12188">
        <v>4380.24</v>
      </c>
      <c r="E12188" s="37" t="str">
        <f t="shared" si="950"/>
        <v>Excellent Order</v>
      </c>
      <c r="F12188">
        <v>0.35</v>
      </c>
      <c r="G12188" s="37" t="str">
        <f t="shared" si="951"/>
        <v>Heavy Discount</v>
      </c>
      <c r="H12188" s="37" t="str">
        <f t="shared" si="952"/>
        <v>Medium</v>
      </c>
      <c r="I12188">
        <v>3</v>
      </c>
      <c r="J12188" t="str" cm="1">
        <f t="array" ref="J12188">_xlfn.IFS(I12188&lt;=3,"small",I12188&lt;=6,"Medium",I12188&lt;=9,"Large")</f>
        <v>small</v>
      </c>
      <c r="K12188" s="36">
        <v>45483</v>
      </c>
      <c r="L12188" s="36">
        <v>45487</v>
      </c>
      <c r="M12188" t="s">
        <v>612</v>
      </c>
      <c r="N12188" t="s">
        <v>604</v>
      </c>
      <c r="O12188" s="37" t="str">
        <f t="shared" si="953"/>
        <v>Digital Payment</v>
      </c>
      <c r="P12188">
        <v>1237.5</v>
      </c>
      <c r="Q12188" s="37" t="str">
        <f>IF(P12188&gt;500,"High","low")</f>
        <v>High</v>
      </c>
      <c r="R12188" s="37" t="str">
        <f t="shared" si="954"/>
        <v>Excellent</v>
      </c>
      <c r="S12188" t="s">
        <v>605</v>
      </c>
    </row>
    <row r="12189" spans="1:19" x14ac:dyDescent="0.2">
      <c r="A12189" t="s">
        <v>12800</v>
      </c>
      <c r="B12189" t="s">
        <v>75</v>
      </c>
      <c r="C12189" t="s">
        <v>607</v>
      </c>
      <c r="D12189">
        <v>4165.51</v>
      </c>
      <c r="E12189" s="37" t="str">
        <f t="shared" si="950"/>
        <v>Excellent Order</v>
      </c>
      <c r="F12189">
        <v>0.21</v>
      </c>
      <c r="G12189" s="37" t="str">
        <f t="shared" si="951"/>
        <v>Normal Discount</v>
      </c>
      <c r="H12189" s="37" t="str">
        <f t="shared" si="952"/>
        <v>Medium</v>
      </c>
      <c r="I12189">
        <v>5</v>
      </c>
      <c r="J12189" t="str" cm="1">
        <f t="array" ref="J12189">_xlfn.IFS(I12189&lt;=3,"small",I12189&lt;=6,"Medium",I12189&lt;=9,"Large")</f>
        <v>Medium</v>
      </c>
      <c r="K12189" s="36">
        <v>45127</v>
      </c>
      <c r="L12189" s="36">
        <v>45131</v>
      </c>
      <c r="M12189" t="s">
        <v>612</v>
      </c>
      <c r="N12189" t="s">
        <v>604</v>
      </c>
      <c r="O12189" s="37" t="str">
        <f t="shared" si="953"/>
        <v>Digital Payment</v>
      </c>
      <c r="P12189">
        <v>1013.28</v>
      </c>
      <c r="Q12189" s="37" t="str">
        <f>IF(P12189&gt;500,"High","low")</f>
        <v>High</v>
      </c>
      <c r="R12189" s="37" t="str">
        <f t="shared" si="954"/>
        <v>Excellent</v>
      </c>
      <c r="S12189" t="s">
        <v>609</v>
      </c>
    </row>
    <row r="12190" spans="1:19" x14ac:dyDescent="0.2">
      <c r="A12190" t="s">
        <v>12801</v>
      </c>
      <c r="B12190" t="s">
        <v>83</v>
      </c>
      <c r="C12190" t="s">
        <v>602</v>
      </c>
      <c r="D12190">
        <v>3853.39</v>
      </c>
      <c r="E12190" s="37" t="str">
        <f t="shared" si="950"/>
        <v xml:space="preserve"> </v>
      </c>
      <c r="F12190">
        <v>0.13</v>
      </c>
      <c r="G12190" s="37" t="str">
        <f t="shared" si="951"/>
        <v>Normal Discount</v>
      </c>
      <c r="H12190" s="37" t="str">
        <f t="shared" si="952"/>
        <v>Low</v>
      </c>
      <c r="I12190">
        <v>9</v>
      </c>
      <c r="J12190" t="str" cm="1">
        <f t="array" ref="J12190">_xlfn.IFS(I12190&lt;=3,"small",I12190&lt;=6,"Medium",I12190&lt;=9,"Large")</f>
        <v>Large</v>
      </c>
      <c r="K12190" s="36">
        <v>45639</v>
      </c>
      <c r="L12190" s="36">
        <v>45642</v>
      </c>
      <c r="M12190" t="s">
        <v>598</v>
      </c>
      <c r="N12190" t="s">
        <v>604</v>
      </c>
      <c r="O12190" s="37" t="str">
        <f t="shared" si="953"/>
        <v>Digital Payment</v>
      </c>
      <c r="P12190">
        <v>1052.33</v>
      </c>
      <c r="Q12190" s="37" t="str">
        <f>IF(P12190&gt;500,"High","low")</f>
        <v>High</v>
      </c>
      <c r="R12190" s="37" t="str">
        <f t="shared" si="954"/>
        <v>Excellent</v>
      </c>
      <c r="S12190" t="s">
        <v>620</v>
      </c>
    </row>
    <row r="12191" spans="1:19" x14ac:dyDescent="0.2">
      <c r="A12191" t="s">
        <v>12802</v>
      </c>
      <c r="B12191" t="s">
        <v>75</v>
      </c>
      <c r="C12191" t="s">
        <v>607</v>
      </c>
      <c r="D12191">
        <v>292.2</v>
      </c>
      <c r="E12191" s="37" t="str">
        <f t="shared" si="950"/>
        <v xml:space="preserve"> </v>
      </c>
      <c r="F12191">
        <v>0.38</v>
      </c>
      <c r="G12191" s="37" t="str">
        <f t="shared" si="951"/>
        <v>Heavy Discount</v>
      </c>
      <c r="H12191" s="37" t="str">
        <f t="shared" si="952"/>
        <v>Medium</v>
      </c>
      <c r="I12191">
        <v>1</v>
      </c>
      <c r="J12191" t="str" cm="1">
        <f t="array" ref="J12191">_xlfn.IFS(I12191&lt;=3,"small",I12191&lt;=6,"Medium",I12191&lt;=9,"Large")</f>
        <v>small</v>
      </c>
      <c r="K12191" s="36">
        <v>45542</v>
      </c>
      <c r="L12191" s="36">
        <v>45544</v>
      </c>
      <c r="M12191" t="s">
        <v>598</v>
      </c>
      <c r="N12191" t="s">
        <v>604</v>
      </c>
      <c r="O12191" s="37" t="str">
        <f t="shared" si="953"/>
        <v>Digital Payment</v>
      </c>
      <c r="P12191">
        <v>61.88</v>
      </c>
      <c r="Q12191" s="37" t="str">
        <f>IF(P12191&gt;500,"High","low")</f>
        <v>low</v>
      </c>
      <c r="R12191" s="37" t="str">
        <f t="shared" si="954"/>
        <v>AVERAGE</v>
      </c>
      <c r="S12191" t="s">
        <v>628</v>
      </c>
    </row>
    <row r="12192" spans="1:19" x14ac:dyDescent="0.2">
      <c r="A12192" t="s">
        <v>12803</v>
      </c>
      <c r="B12192" t="s">
        <v>83</v>
      </c>
      <c r="C12192" t="s">
        <v>602</v>
      </c>
      <c r="D12192">
        <v>2630.69</v>
      </c>
      <c r="E12192" s="37" t="str">
        <f t="shared" si="950"/>
        <v xml:space="preserve"> </v>
      </c>
      <c r="F12192">
        <v>0.41</v>
      </c>
      <c r="G12192" s="37" t="str">
        <f t="shared" si="951"/>
        <v>Heavy Discount</v>
      </c>
      <c r="H12192" s="37" t="str">
        <f t="shared" si="952"/>
        <v>High</v>
      </c>
      <c r="I12192">
        <v>4</v>
      </c>
      <c r="J12192" t="str" cm="1">
        <f t="array" ref="J12192">_xlfn.IFS(I12192&lt;=3,"small",I12192&lt;=6,"Medium",I12192&lt;=9,"Large")</f>
        <v>Medium</v>
      </c>
      <c r="K12192" s="36">
        <v>45413</v>
      </c>
      <c r="L12192" s="36">
        <v>45420</v>
      </c>
      <c r="M12192" t="s">
        <v>603</v>
      </c>
      <c r="N12192" t="s">
        <v>608</v>
      </c>
      <c r="O12192" s="37" t="str">
        <f t="shared" si="953"/>
        <v>Cash Payment</v>
      </c>
      <c r="P12192">
        <v>395.94</v>
      </c>
      <c r="Q12192" s="37" t="str">
        <f>IF(P12192&gt;500,"High","low")</f>
        <v>low</v>
      </c>
      <c r="R12192" s="37" t="str">
        <f t="shared" si="954"/>
        <v>AVERAGE</v>
      </c>
      <c r="S12192" t="s">
        <v>609</v>
      </c>
    </row>
    <row r="12193" spans="1:19" x14ac:dyDescent="0.2">
      <c r="A12193" t="s">
        <v>12804</v>
      </c>
      <c r="B12193" t="s">
        <v>90</v>
      </c>
      <c r="C12193" t="s">
        <v>614</v>
      </c>
      <c r="D12193">
        <v>1707.93</v>
      </c>
      <c r="E12193" s="37" t="str">
        <f t="shared" si="950"/>
        <v xml:space="preserve"> </v>
      </c>
      <c r="F12193">
        <v>0.18</v>
      </c>
      <c r="G12193" s="37" t="str">
        <f t="shared" si="951"/>
        <v>Normal Discount</v>
      </c>
      <c r="H12193" s="37" t="str">
        <f t="shared" si="952"/>
        <v>Low</v>
      </c>
      <c r="I12193">
        <v>7</v>
      </c>
      <c r="J12193" t="str" cm="1">
        <f t="array" ref="J12193">_xlfn.IFS(I12193&lt;=3,"small",I12193&lt;=6,"Medium",I12193&lt;=9,"Large")</f>
        <v>Large</v>
      </c>
      <c r="K12193" s="36">
        <v>45523</v>
      </c>
      <c r="L12193" s="36">
        <v>45524</v>
      </c>
      <c r="M12193" t="s">
        <v>603</v>
      </c>
      <c r="N12193" t="s">
        <v>599</v>
      </c>
      <c r="O12193" s="37" t="str">
        <f t="shared" si="953"/>
        <v>Digital Payment</v>
      </c>
      <c r="P12193">
        <v>245.4</v>
      </c>
      <c r="Q12193" s="37" t="str">
        <f>IF(P12193&gt;500,"High","low")</f>
        <v>low</v>
      </c>
      <c r="R12193" s="37" t="str">
        <f t="shared" si="954"/>
        <v>AVERAGE</v>
      </c>
      <c r="S12193" t="s">
        <v>620</v>
      </c>
    </row>
    <row r="12194" spans="1:19" x14ac:dyDescent="0.2">
      <c r="A12194" t="s">
        <v>12805</v>
      </c>
      <c r="B12194" t="s">
        <v>90</v>
      </c>
      <c r="C12194" t="s">
        <v>597</v>
      </c>
      <c r="D12194">
        <v>653.4</v>
      </c>
      <c r="E12194" s="37" t="str">
        <f t="shared" si="950"/>
        <v xml:space="preserve"> </v>
      </c>
      <c r="F12194">
        <v>0.09</v>
      </c>
      <c r="G12194" s="37" t="str">
        <f t="shared" si="951"/>
        <v>Normal Discount</v>
      </c>
      <c r="H12194" s="37" t="str">
        <f t="shared" si="952"/>
        <v>Low</v>
      </c>
      <c r="I12194">
        <v>4</v>
      </c>
      <c r="J12194" t="str" cm="1">
        <f t="array" ref="J12194">_xlfn.IFS(I12194&lt;=3,"small",I12194&lt;=6,"Medium",I12194&lt;=9,"Large")</f>
        <v>Medium</v>
      </c>
      <c r="K12194" s="36">
        <v>45624</v>
      </c>
      <c r="L12194" s="36">
        <v>45631</v>
      </c>
      <c r="M12194" t="s">
        <v>603</v>
      </c>
      <c r="N12194" t="s">
        <v>608</v>
      </c>
      <c r="O12194" s="37" t="str">
        <f t="shared" si="953"/>
        <v>Cash Payment</v>
      </c>
      <c r="P12194">
        <v>82.68</v>
      </c>
      <c r="Q12194" s="37" t="str">
        <f>IF(P12194&gt;500,"High","low")</f>
        <v>low</v>
      </c>
      <c r="R12194" s="37" t="str">
        <f t="shared" si="954"/>
        <v>AVERAGE</v>
      </c>
      <c r="S12194" t="s">
        <v>600</v>
      </c>
    </row>
    <row r="12195" spans="1:19" x14ac:dyDescent="0.2">
      <c r="A12195" t="s">
        <v>12806</v>
      </c>
      <c r="B12195" t="s">
        <v>75</v>
      </c>
      <c r="C12195" t="s">
        <v>602</v>
      </c>
      <c r="D12195">
        <v>1780.65</v>
      </c>
      <c r="E12195" s="37" t="str">
        <f t="shared" si="950"/>
        <v xml:space="preserve"> </v>
      </c>
      <c r="F12195">
        <v>0.25</v>
      </c>
      <c r="G12195" s="37" t="str">
        <f t="shared" si="951"/>
        <v>Normal Discount</v>
      </c>
      <c r="H12195" s="37" t="str">
        <f t="shared" si="952"/>
        <v>Medium</v>
      </c>
      <c r="I12195">
        <v>8</v>
      </c>
      <c r="J12195" t="str" cm="1">
        <f t="array" ref="J12195">_xlfn.IFS(I12195&lt;=3,"small",I12195&lt;=6,"Medium",I12195&lt;=9,"Large")</f>
        <v>Large</v>
      </c>
      <c r="K12195" s="36">
        <v>45021</v>
      </c>
      <c r="L12195" s="36">
        <v>45026</v>
      </c>
      <c r="M12195" t="s">
        <v>612</v>
      </c>
      <c r="N12195" t="s">
        <v>599</v>
      </c>
      <c r="O12195" s="37" t="str">
        <f t="shared" si="953"/>
        <v>Digital Payment</v>
      </c>
      <c r="P12195">
        <v>393.97</v>
      </c>
      <c r="Q12195" s="37" t="str">
        <f>IF(P12195&gt;500,"High","low")</f>
        <v>low</v>
      </c>
      <c r="R12195" s="37" t="str">
        <f t="shared" si="954"/>
        <v>AVERAGE</v>
      </c>
      <c r="S12195" t="s">
        <v>615</v>
      </c>
    </row>
    <row r="12196" spans="1:19" x14ac:dyDescent="0.2">
      <c r="A12196" t="s">
        <v>12807</v>
      </c>
      <c r="B12196" t="s">
        <v>83</v>
      </c>
      <c r="C12196" t="s">
        <v>597</v>
      </c>
      <c r="D12196">
        <v>3259.53</v>
      </c>
      <c r="E12196" s="37" t="str">
        <f t="shared" si="950"/>
        <v xml:space="preserve"> </v>
      </c>
      <c r="F12196">
        <v>0.23</v>
      </c>
      <c r="G12196" s="37" t="str">
        <f t="shared" si="951"/>
        <v>Normal Discount</v>
      </c>
      <c r="H12196" s="37" t="str">
        <f t="shared" si="952"/>
        <v>Medium</v>
      </c>
      <c r="I12196">
        <v>7</v>
      </c>
      <c r="J12196" t="str" cm="1">
        <f t="array" ref="J12196">_xlfn.IFS(I12196&lt;=3,"small",I12196&lt;=6,"Medium",I12196&lt;=9,"Large")</f>
        <v>Large</v>
      </c>
      <c r="K12196" s="36">
        <v>45632</v>
      </c>
      <c r="L12196" s="36">
        <v>45638</v>
      </c>
      <c r="M12196" t="s">
        <v>603</v>
      </c>
      <c r="N12196" t="s">
        <v>604</v>
      </c>
      <c r="O12196" s="37" t="str">
        <f t="shared" si="953"/>
        <v>Digital Payment</v>
      </c>
      <c r="P12196">
        <v>404.96</v>
      </c>
      <c r="Q12196" s="37" t="str">
        <f>IF(P12196&gt;500,"High","low")</f>
        <v>low</v>
      </c>
      <c r="R12196" s="37" t="str">
        <f t="shared" si="954"/>
        <v>AVERAGE</v>
      </c>
      <c r="S12196" t="s">
        <v>609</v>
      </c>
    </row>
    <row r="12197" spans="1:19" x14ac:dyDescent="0.2">
      <c r="A12197" t="s">
        <v>12808</v>
      </c>
      <c r="B12197" t="s">
        <v>75</v>
      </c>
      <c r="C12197" t="s">
        <v>617</v>
      </c>
      <c r="D12197">
        <v>1230.07</v>
      </c>
      <c r="E12197" s="37" t="str">
        <f t="shared" si="950"/>
        <v xml:space="preserve"> </v>
      </c>
      <c r="F12197">
        <v>0.36</v>
      </c>
      <c r="G12197" s="37" t="str">
        <f t="shared" si="951"/>
        <v>Heavy Discount</v>
      </c>
      <c r="H12197" s="37" t="str">
        <f t="shared" si="952"/>
        <v>Medium</v>
      </c>
      <c r="I12197">
        <v>5</v>
      </c>
      <c r="J12197" t="str" cm="1">
        <f t="array" ref="J12197">_xlfn.IFS(I12197&lt;=3,"small",I12197&lt;=6,"Medium",I12197&lt;=9,"Large")</f>
        <v>Medium</v>
      </c>
      <c r="K12197" s="36">
        <v>45169</v>
      </c>
      <c r="L12197" s="36">
        <v>45175</v>
      </c>
      <c r="M12197" t="s">
        <v>612</v>
      </c>
      <c r="N12197" t="s">
        <v>608</v>
      </c>
      <c r="O12197" s="37" t="str">
        <f t="shared" si="953"/>
        <v>Cash Payment</v>
      </c>
      <c r="P12197">
        <v>166.67</v>
      </c>
      <c r="Q12197" s="37" t="str">
        <f>IF(P12197&gt;500,"High","low")</f>
        <v>low</v>
      </c>
      <c r="R12197" s="37" t="str">
        <f t="shared" si="954"/>
        <v>AVERAGE</v>
      </c>
      <c r="S12197" t="s">
        <v>600</v>
      </c>
    </row>
    <row r="12198" spans="1:19" x14ac:dyDescent="0.2">
      <c r="A12198" t="s">
        <v>12809</v>
      </c>
      <c r="B12198" t="s">
        <v>83</v>
      </c>
      <c r="C12198" t="s">
        <v>602</v>
      </c>
      <c r="D12198">
        <v>2278.52</v>
      </c>
      <c r="E12198" s="37" t="str">
        <f t="shared" si="950"/>
        <v xml:space="preserve"> </v>
      </c>
      <c r="F12198">
        <v>0.49</v>
      </c>
      <c r="G12198" s="37" t="str">
        <f t="shared" si="951"/>
        <v>Heavy Discount</v>
      </c>
      <c r="H12198" s="37" t="str">
        <f t="shared" si="952"/>
        <v>High</v>
      </c>
      <c r="I12198">
        <v>4</v>
      </c>
      <c r="J12198" t="str" cm="1">
        <f t="array" ref="J12198">_xlfn.IFS(I12198&lt;=3,"small",I12198&lt;=6,"Medium",I12198&lt;=9,"Large")</f>
        <v>Medium</v>
      </c>
      <c r="K12198" s="36">
        <v>45171</v>
      </c>
      <c r="L12198" s="36">
        <v>45174</v>
      </c>
      <c r="M12198" t="s">
        <v>612</v>
      </c>
      <c r="N12198" t="s">
        <v>599</v>
      </c>
      <c r="O12198" s="37" t="str">
        <f t="shared" si="953"/>
        <v>Digital Payment</v>
      </c>
      <c r="P12198">
        <v>398.33</v>
      </c>
      <c r="Q12198" s="37" t="str">
        <f>IF(P12198&gt;500,"High","low")</f>
        <v>low</v>
      </c>
      <c r="R12198" s="37" t="str">
        <f t="shared" si="954"/>
        <v>AVERAGE</v>
      </c>
      <c r="S12198" t="s">
        <v>609</v>
      </c>
    </row>
    <row r="12199" spans="1:19" x14ac:dyDescent="0.2">
      <c r="A12199" t="s">
        <v>12810</v>
      </c>
      <c r="B12199" t="s">
        <v>83</v>
      </c>
      <c r="C12199" t="s">
        <v>614</v>
      </c>
      <c r="D12199">
        <v>2082.02</v>
      </c>
      <c r="E12199" s="37" t="str">
        <f t="shared" si="950"/>
        <v xml:space="preserve"> </v>
      </c>
      <c r="F12199">
        <v>0.27</v>
      </c>
      <c r="G12199" s="37" t="str">
        <f t="shared" si="951"/>
        <v>Normal Discount</v>
      </c>
      <c r="H12199" s="37" t="str">
        <f t="shared" si="952"/>
        <v>Medium</v>
      </c>
      <c r="I12199">
        <v>8</v>
      </c>
      <c r="J12199" t="str" cm="1">
        <f t="array" ref="J12199">_xlfn.IFS(I12199&lt;=3,"small",I12199&lt;=6,"Medium",I12199&lt;=9,"Large")</f>
        <v>Large</v>
      </c>
      <c r="K12199" s="36">
        <v>45462</v>
      </c>
      <c r="L12199" s="36">
        <v>45465</v>
      </c>
      <c r="M12199" t="s">
        <v>612</v>
      </c>
      <c r="N12199" t="s">
        <v>608</v>
      </c>
      <c r="O12199" s="37" t="str">
        <f t="shared" si="953"/>
        <v>Cash Payment</v>
      </c>
      <c r="P12199">
        <v>336.22</v>
      </c>
      <c r="Q12199" s="37" t="str">
        <f>IF(P12199&gt;500,"High","low")</f>
        <v>low</v>
      </c>
      <c r="R12199" s="37" t="str">
        <f t="shared" si="954"/>
        <v>AVERAGE</v>
      </c>
      <c r="S12199" t="s">
        <v>615</v>
      </c>
    </row>
    <row r="12200" spans="1:19" x14ac:dyDescent="0.2">
      <c r="A12200" t="s">
        <v>12811</v>
      </c>
      <c r="B12200" t="s">
        <v>83</v>
      </c>
      <c r="C12200" t="s">
        <v>607</v>
      </c>
      <c r="D12200">
        <v>357.07</v>
      </c>
      <c r="E12200" s="37" t="str">
        <f t="shared" si="950"/>
        <v xml:space="preserve"> </v>
      </c>
      <c r="F12200">
        <v>0.37</v>
      </c>
      <c r="G12200" s="37" t="str">
        <f t="shared" si="951"/>
        <v>Heavy Discount</v>
      </c>
      <c r="H12200" s="37" t="str">
        <f t="shared" si="952"/>
        <v>Medium</v>
      </c>
      <c r="I12200">
        <v>1</v>
      </c>
      <c r="J12200" t="str" cm="1">
        <f t="array" ref="J12200">_xlfn.IFS(I12200&lt;=3,"small",I12200&lt;=6,"Medium",I12200&lt;=9,"Large")</f>
        <v>small</v>
      </c>
      <c r="K12200" s="36">
        <v>45151</v>
      </c>
      <c r="L12200" s="36">
        <v>45156</v>
      </c>
      <c r="M12200" t="s">
        <v>598</v>
      </c>
      <c r="N12200" t="s">
        <v>599</v>
      </c>
      <c r="O12200" s="37" t="str">
        <f t="shared" si="953"/>
        <v>Digital Payment</v>
      </c>
      <c r="P12200">
        <v>22.2</v>
      </c>
      <c r="Q12200" s="37" t="str">
        <f>IF(P12200&gt;500,"High","low")</f>
        <v>low</v>
      </c>
      <c r="R12200" s="37" t="str">
        <f t="shared" si="954"/>
        <v>AVERAGE</v>
      </c>
      <c r="S12200" t="s">
        <v>605</v>
      </c>
    </row>
    <row r="12201" spans="1:19" x14ac:dyDescent="0.2">
      <c r="A12201" t="s">
        <v>12812</v>
      </c>
      <c r="B12201" t="s">
        <v>90</v>
      </c>
      <c r="C12201" t="s">
        <v>614</v>
      </c>
      <c r="D12201">
        <v>3177.6</v>
      </c>
      <c r="E12201" s="37" t="str">
        <f t="shared" si="950"/>
        <v xml:space="preserve"> </v>
      </c>
      <c r="F12201">
        <v>0.18</v>
      </c>
      <c r="G12201" s="37" t="str">
        <f t="shared" si="951"/>
        <v>Normal Discount</v>
      </c>
      <c r="H12201" s="37" t="str">
        <f t="shared" si="952"/>
        <v>Low</v>
      </c>
      <c r="I12201">
        <v>2</v>
      </c>
      <c r="J12201" t="str" cm="1">
        <f t="array" ref="J12201">_xlfn.IFS(I12201&lt;=3,"small",I12201&lt;=6,"Medium",I12201&lt;=9,"Large")</f>
        <v>small</v>
      </c>
      <c r="K12201" s="36">
        <v>45621</v>
      </c>
      <c r="L12201" s="36">
        <v>45628</v>
      </c>
      <c r="M12201" t="s">
        <v>612</v>
      </c>
      <c r="N12201" t="s">
        <v>599</v>
      </c>
      <c r="O12201" s="37" t="str">
        <f t="shared" si="953"/>
        <v>Digital Payment</v>
      </c>
      <c r="P12201">
        <v>500.5</v>
      </c>
      <c r="Q12201" s="37" t="str">
        <f>IF(P12201&gt;500,"High","low")</f>
        <v>High</v>
      </c>
      <c r="R12201" s="37" t="str">
        <f t="shared" si="954"/>
        <v>Good</v>
      </c>
      <c r="S12201" t="s">
        <v>600</v>
      </c>
    </row>
    <row r="12202" spans="1:19" x14ac:dyDescent="0.2">
      <c r="A12202" t="s">
        <v>12813</v>
      </c>
      <c r="B12202" t="s">
        <v>83</v>
      </c>
      <c r="C12202" t="s">
        <v>597</v>
      </c>
      <c r="D12202">
        <v>3132.35</v>
      </c>
      <c r="E12202" s="37" t="str">
        <f t="shared" si="950"/>
        <v xml:space="preserve"> </v>
      </c>
      <c r="F12202">
        <v>0.3</v>
      </c>
      <c r="G12202" s="37" t="str">
        <f t="shared" si="951"/>
        <v>Normal Discount</v>
      </c>
      <c r="H12202" s="37" t="str">
        <f t="shared" si="952"/>
        <v>Medium</v>
      </c>
      <c r="I12202">
        <v>5</v>
      </c>
      <c r="J12202" t="str" cm="1">
        <f t="array" ref="J12202">_xlfn.IFS(I12202&lt;=3,"small",I12202&lt;=6,"Medium",I12202&lt;=9,"Large")</f>
        <v>Medium</v>
      </c>
      <c r="K12202" s="36">
        <v>45039</v>
      </c>
      <c r="L12202" s="36">
        <v>45042</v>
      </c>
      <c r="M12202" t="s">
        <v>603</v>
      </c>
      <c r="N12202" t="s">
        <v>599</v>
      </c>
      <c r="O12202" s="37" t="str">
        <f t="shared" si="953"/>
        <v>Digital Payment</v>
      </c>
      <c r="P12202">
        <v>539.63</v>
      </c>
      <c r="Q12202" s="37" t="str">
        <f>IF(P12202&gt;500,"High","low")</f>
        <v>High</v>
      </c>
      <c r="R12202" s="37" t="str">
        <f t="shared" si="954"/>
        <v>Good</v>
      </c>
      <c r="S12202" t="s">
        <v>609</v>
      </c>
    </row>
    <row r="12203" spans="1:19" x14ac:dyDescent="0.2">
      <c r="A12203" t="s">
        <v>12814</v>
      </c>
      <c r="B12203" t="s">
        <v>90</v>
      </c>
      <c r="C12203" t="s">
        <v>607</v>
      </c>
      <c r="D12203">
        <v>4835.43</v>
      </c>
      <c r="E12203" s="37" t="str">
        <f t="shared" si="950"/>
        <v>Excellent Order</v>
      </c>
      <c r="F12203">
        <v>0.06</v>
      </c>
      <c r="G12203" s="37" t="str">
        <f t="shared" si="951"/>
        <v>Normal Discount</v>
      </c>
      <c r="H12203" s="37" t="str">
        <f t="shared" si="952"/>
        <v>Low</v>
      </c>
      <c r="I12203">
        <v>7</v>
      </c>
      <c r="J12203" t="str" cm="1">
        <f t="array" ref="J12203">_xlfn.IFS(I12203&lt;=3,"small",I12203&lt;=6,"Medium",I12203&lt;=9,"Large")</f>
        <v>Large</v>
      </c>
      <c r="K12203" s="36">
        <v>45617</v>
      </c>
      <c r="L12203" s="36">
        <v>45618</v>
      </c>
      <c r="M12203" t="s">
        <v>603</v>
      </c>
      <c r="N12203" t="s">
        <v>608</v>
      </c>
      <c r="O12203" s="37" t="str">
        <f t="shared" si="953"/>
        <v>Cash Payment</v>
      </c>
      <c r="P12203">
        <v>915.49</v>
      </c>
      <c r="Q12203" s="37" t="str">
        <f>IF(P12203&gt;500,"High","low")</f>
        <v>High</v>
      </c>
      <c r="R12203" s="37" t="str">
        <f t="shared" si="954"/>
        <v>Good</v>
      </c>
      <c r="S12203" t="s">
        <v>615</v>
      </c>
    </row>
    <row r="12204" spans="1:19" x14ac:dyDescent="0.2">
      <c r="A12204" t="s">
        <v>12815</v>
      </c>
      <c r="B12204" t="s">
        <v>83</v>
      </c>
      <c r="C12204" t="s">
        <v>614</v>
      </c>
      <c r="D12204">
        <v>1560.23</v>
      </c>
      <c r="E12204" s="37" t="str">
        <f t="shared" si="950"/>
        <v xml:space="preserve"> </v>
      </c>
      <c r="F12204">
        <v>0.41</v>
      </c>
      <c r="G12204" s="37" t="str">
        <f t="shared" si="951"/>
        <v>Heavy Discount</v>
      </c>
      <c r="H12204" s="37" t="str">
        <f t="shared" si="952"/>
        <v>High</v>
      </c>
      <c r="I12204">
        <v>9</v>
      </c>
      <c r="J12204" t="str" cm="1">
        <f t="array" ref="J12204">_xlfn.IFS(I12204&lt;=3,"small",I12204&lt;=6,"Medium",I12204&lt;=9,"Large")</f>
        <v>Large</v>
      </c>
      <c r="K12204" s="36">
        <v>45126</v>
      </c>
      <c r="L12204" s="36">
        <v>45128</v>
      </c>
      <c r="M12204" t="s">
        <v>603</v>
      </c>
      <c r="N12204" t="s">
        <v>608</v>
      </c>
      <c r="O12204" s="37" t="str">
        <f t="shared" si="953"/>
        <v>Cash Payment</v>
      </c>
      <c r="P12204">
        <v>417.11</v>
      </c>
      <c r="Q12204" s="37" t="str">
        <f>IF(P12204&gt;500,"High","low")</f>
        <v>low</v>
      </c>
      <c r="R12204" s="37" t="str">
        <f t="shared" si="954"/>
        <v>AVERAGE</v>
      </c>
      <c r="S12204" t="s">
        <v>620</v>
      </c>
    </row>
    <row r="12205" spans="1:19" x14ac:dyDescent="0.2">
      <c r="A12205" t="s">
        <v>12816</v>
      </c>
      <c r="B12205" t="s">
        <v>90</v>
      </c>
      <c r="C12205" t="s">
        <v>614</v>
      </c>
      <c r="D12205">
        <v>2152.86</v>
      </c>
      <c r="E12205" s="37" t="str">
        <f t="shared" si="950"/>
        <v xml:space="preserve"> </v>
      </c>
      <c r="F12205">
        <v>0.17</v>
      </c>
      <c r="G12205" s="37" t="str">
        <f t="shared" si="951"/>
        <v>Normal Discount</v>
      </c>
      <c r="H12205" s="37" t="str">
        <f t="shared" si="952"/>
        <v>Low</v>
      </c>
      <c r="I12205">
        <v>3</v>
      </c>
      <c r="J12205" t="str" cm="1">
        <f t="array" ref="J12205">_xlfn.IFS(I12205&lt;=3,"small",I12205&lt;=6,"Medium",I12205&lt;=9,"Large")</f>
        <v>small</v>
      </c>
      <c r="K12205" s="36">
        <v>45255</v>
      </c>
      <c r="L12205" s="36">
        <v>45262</v>
      </c>
      <c r="M12205" t="s">
        <v>603</v>
      </c>
      <c r="N12205" t="s">
        <v>608</v>
      </c>
      <c r="O12205" s="37" t="str">
        <f t="shared" si="953"/>
        <v>Cash Payment</v>
      </c>
      <c r="P12205">
        <v>294.92</v>
      </c>
      <c r="Q12205" s="37" t="str">
        <f>IF(P12205&gt;500,"High","low")</f>
        <v>low</v>
      </c>
      <c r="R12205" s="37" t="str">
        <f t="shared" si="954"/>
        <v>AVERAGE</v>
      </c>
      <c r="S12205" t="s">
        <v>605</v>
      </c>
    </row>
    <row r="12206" spans="1:19" x14ac:dyDescent="0.2">
      <c r="A12206" t="s">
        <v>12817</v>
      </c>
      <c r="B12206" t="s">
        <v>67</v>
      </c>
      <c r="C12206" t="s">
        <v>614</v>
      </c>
      <c r="D12206">
        <v>2077.8200000000002</v>
      </c>
      <c r="E12206" s="37" t="str">
        <f t="shared" si="950"/>
        <v xml:space="preserve"> </v>
      </c>
      <c r="F12206">
        <v>0.04</v>
      </c>
      <c r="G12206" s="37" t="str">
        <f t="shared" si="951"/>
        <v>Normal Discount</v>
      </c>
      <c r="H12206" s="37" t="str">
        <f t="shared" si="952"/>
        <v>Low</v>
      </c>
      <c r="I12206">
        <v>5</v>
      </c>
      <c r="J12206" t="str" cm="1">
        <f t="array" ref="J12206">_xlfn.IFS(I12206&lt;=3,"small",I12206&lt;=6,"Medium",I12206&lt;=9,"Large")</f>
        <v>Medium</v>
      </c>
      <c r="K12206" s="36">
        <v>45222</v>
      </c>
      <c r="L12206" s="36">
        <v>45226</v>
      </c>
      <c r="M12206" t="s">
        <v>612</v>
      </c>
      <c r="N12206" t="s">
        <v>608</v>
      </c>
      <c r="O12206" s="37" t="str">
        <f t="shared" si="953"/>
        <v>Cash Payment</v>
      </c>
      <c r="P12206">
        <v>467.79</v>
      </c>
      <c r="Q12206" s="37" t="str">
        <f>IF(P12206&gt;500,"High","low")</f>
        <v>low</v>
      </c>
      <c r="R12206" s="37" t="str">
        <f t="shared" si="954"/>
        <v>AVERAGE</v>
      </c>
      <c r="S12206" t="s">
        <v>628</v>
      </c>
    </row>
    <row r="12207" spans="1:19" x14ac:dyDescent="0.2">
      <c r="A12207" t="s">
        <v>12818</v>
      </c>
      <c r="B12207" t="s">
        <v>90</v>
      </c>
      <c r="C12207" t="s">
        <v>607</v>
      </c>
      <c r="D12207">
        <v>4606.75</v>
      </c>
      <c r="E12207" s="37" t="str">
        <f t="shared" si="950"/>
        <v>Excellent Order</v>
      </c>
      <c r="F12207">
        <v>0.5</v>
      </c>
      <c r="G12207" s="37" t="str">
        <f t="shared" si="951"/>
        <v>Heavy Discount</v>
      </c>
      <c r="H12207" s="37" t="str">
        <f t="shared" si="952"/>
        <v>High</v>
      </c>
      <c r="I12207">
        <v>2</v>
      </c>
      <c r="J12207" t="str" cm="1">
        <f t="array" ref="J12207">_xlfn.IFS(I12207&lt;=3,"small",I12207&lt;=6,"Medium",I12207&lt;=9,"Large")</f>
        <v>small</v>
      </c>
      <c r="K12207" s="36">
        <v>45569</v>
      </c>
      <c r="L12207" s="36">
        <v>45572</v>
      </c>
      <c r="M12207" t="s">
        <v>603</v>
      </c>
      <c r="N12207" t="s">
        <v>604</v>
      </c>
      <c r="O12207" s="37" t="str">
        <f t="shared" si="953"/>
        <v>Digital Payment</v>
      </c>
      <c r="P12207">
        <v>1286.42</v>
      </c>
      <c r="Q12207" s="37" t="str">
        <f>IF(P12207&gt;500,"High","low")</f>
        <v>High</v>
      </c>
      <c r="R12207" s="37" t="str">
        <f t="shared" si="954"/>
        <v>Excellent</v>
      </c>
      <c r="S12207" t="s">
        <v>605</v>
      </c>
    </row>
    <row r="12208" spans="1:19" x14ac:dyDescent="0.2">
      <c r="A12208" t="s">
        <v>12819</v>
      </c>
      <c r="B12208" t="s">
        <v>90</v>
      </c>
      <c r="C12208" t="s">
        <v>614</v>
      </c>
      <c r="D12208">
        <v>2102.38</v>
      </c>
      <c r="E12208" s="37" t="str">
        <f t="shared" si="950"/>
        <v xml:space="preserve"> </v>
      </c>
      <c r="F12208">
        <v>0.45</v>
      </c>
      <c r="G12208" s="37" t="str">
        <f t="shared" si="951"/>
        <v>Heavy Discount</v>
      </c>
      <c r="H12208" s="37" t="str">
        <f t="shared" si="952"/>
        <v>High</v>
      </c>
      <c r="I12208">
        <v>6</v>
      </c>
      <c r="J12208" t="str" cm="1">
        <f t="array" ref="J12208">_xlfn.IFS(I12208&lt;=3,"small",I12208&lt;=6,"Medium",I12208&lt;=9,"Large")</f>
        <v>Medium</v>
      </c>
      <c r="K12208" s="36">
        <v>45359</v>
      </c>
      <c r="L12208" s="36">
        <v>45365</v>
      </c>
      <c r="M12208" t="s">
        <v>612</v>
      </c>
      <c r="N12208" t="s">
        <v>604</v>
      </c>
      <c r="O12208" s="37" t="str">
        <f t="shared" si="953"/>
        <v>Digital Payment</v>
      </c>
      <c r="P12208">
        <v>594.57000000000005</v>
      </c>
      <c r="Q12208" s="37" t="str">
        <f>IF(P12208&gt;500,"High","low")</f>
        <v>High</v>
      </c>
      <c r="R12208" s="37" t="str">
        <f t="shared" si="954"/>
        <v>Good</v>
      </c>
      <c r="S12208" t="s">
        <v>605</v>
      </c>
    </row>
    <row r="12209" spans="1:19" x14ac:dyDescent="0.2">
      <c r="A12209" t="s">
        <v>12820</v>
      </c>
      <c r="B12209" t="s">
        <v>75</v>
      </c>
      <c r="C12209" t="s">
        <v>614</v>
      </c>
      <c r="D12209">
        <v>2269.54</v>
      </c>
      <c r="E12209" s="37" t="str">
        <f t="shared" si="950"/>
        <v xml:space="preserve"> </v>
      </c>
      <c r="F12209">
        <v>0.1</v>
      </c>
      <c r="G12209" s="37" t="str">
        <f t="shared" si="951"/>
        <v>Normal Discount</v>
      </c>
      <c r="H12209" s="37" t="str">
        <f t="shared" si="952"/>
        <v>Low</v>
      </c>
      <c r="I12209">
        <v>6</v>
      </c>
      <c r="J12209" t="str" cm="1">
        <f t="array" ref="J12209">_xlfn.IFS(I12209&lt;=3,"small",I12209&lt;=6,"Medium",I12209&lt;=9,"Large")</f>
        <v>Medium</v>
      </c>
      <c r="K12209" s="36">
        <v>45207</v>
      </c>
      <c r="L12209" s="36">
        <v>45208</v>
      </c>
      <c r="M12209" t="s">
        <v>598</v>
      </c>
      <c r="N12209" t="s">
        <v>604</v>
      </c>
      <c r="O12209" s="37" t="str">
        <f t="shared" si="953"/>
        <v>Digital Payment</v>
      </c>
      <c r="P12209">
        <v>646.25</v>
      </c>
      <c r="Q12209" s="37" t="str">
        <f>IF(P12209&gt;500,"High","low")</f>
        <v>High</v>
      </c>
      <c r="R12209" s="37" t="str">
        <f t="shared" si="954"/>
        <v>Good</v>
      </c>
      <c r="S12209" t="s">
        <v>605</v>
      </c>
    </row>
    <row r="12210" spans="1:19" x14ac:dyDescent="0.2">
      <c r="A12210" t="s">
        <v>12821</v>
      </c>
      <c r="B12210" t="s">
        <v>83</v>
      </c>
      <c r="C12210" t="s">
        <v>597</v>
      </c>
      <c r="D12210">
        <v>1336.49</v>
      </c>
      <c r="E12210" s="37" t="str">
        <f t="shared" si="950"/>
        <v xml:space="preserve"> </v>
      </c>
      <c r="F12210">
        <v>0.18</v>
      </c>
      <c r="G12210" s="37" t="str">
        <f t="shared" si="951"/>
        <v>Normal Discount</v>
      </c>
      <c r="H12210" s="37" t="str">
        <f t="shared" si="952"/>
        <v>Low</v>
      </c>
      <c r="I12210">
        <v>4</v>
      </c>
      <c r="J12210" t="str" cm="1">
        <f t="array" ref="J12210">_xlfn.IFS(I12210&lt;=3,"small",I12210&lt;=6,"Medium",I12210&lt;=9,"Large")</f>
        <v>Medium</v>
      </c>
      <c r="K12210" s="36">
        <v>45648</v>
      </c>
      <c r="L12210" s="36">
        <v>45651</v>
      </c>
      <c r="M12210" t="s">
        <v>603</v>
      </c>
      <c r="N12210" t="s">
        <v>608</v>
      </c>
      <c r="O12210" s="37" t="str">
        <f t="shared" si="953"/>
        <v>Cash Payment</v>
      </c>
      <c r="P12210">
        <v>347.36</v>
      </c>
      <c r="Q12210" s="37" t="str">
        <f>IF(P12210&gt;500,"High","low")</f>
        <v>low</v>
      </c>
      <c r="R12210" s="37" t="str">
        <f t="shared" si="954"/>
        <v>AVERAGE</v>
      </c>
      <c r="S12210" t="s">
        <v>628</v>
      </c>
    </row>
    <row r="12211" spans="1:19" x14ac:dyDescent="0.2">
      <c r="A12211" t="s">
        <v>12822</v>
      </c>
      <c r="B12211" t="s">
        <v>67</v>
      </c>
      <c r="C12211" t="s">
        <v>614</v>
      </c>
      <c r="D12211">
        <v>105.72</v>
      </c>
      <c r="E12211" s="37" t="str">
        <f t="shared" si="950"/>
        <v xml:space="preserve"> </v>
      </c>
      <c r="F12211">
        <v>0.47</v>
      </c>
      <c r="G12211" s="37" t="str">
        <f t="shared" si="951"/>
        <v>Heavy Discount</v>
      </c>
      <c r="H12211" s="37" t="str">
        <f t="shared" si="952"/>
        <v>High</v>
      </c>
      <c r="I12211">
        <v>2</v>
      </c>
      <c r="J12211" t="str" cm="1">
        <f t="array" ref="J12211">_xlfn.IFS(I12211&lt;=3,"small",I12211&lt;=6,"Medium",I12211&lt;=9,"Large")</f>
        <v>small</v>
      </c>
      <c r="K12211" s="36">
        <v>45050</v>
      </c>
      <c r="L12211" s="36">
        <v>45051</v>
      </c>
      <c r="M12211" t="s">
        <v>612</v>
      </c>
      <c r="N12211" t="s">
        <v>604</v>
      </c>
      <c r="O12211" s="37" t="str">
        <f t="shared" si="953"/>
        <v>Digital Payment</v>
      </c>
      <c r="P12211">
        <v>19.98</v>
      </c>
      <c r="Q12211" s="37" t="str">
        <f>IF(P12211&gt;500,"High","low")</f>
        <v>low</v>
      </c>
      <c r="R12211" s="37" t="str">
        <f t="shared" si="954"/>
        <v>AVERAGE</v>
      </c>
      <c r="S12211" t="s">
        <v>620</v>
      </c>
    </row>
    <row r="12212" spans="1:19" x14ac:dyDescent="0.2">
      <c r="A12212" t="s">
        <v>12823</v>
      </c>
      <c r="B12212" t="s">
        <v>75</v>
      </c>
      <c r="C12212" t="s">
        <v>614</v>
      </c>
      <c r="D12212">
        <v>641.21</v>
      </c>
      <c r="E12212" s="37" t="str">
        <f t="shared" si="950"/>
        <v xml:space="preserve"> </v>
      </c>
      <c r="F12212">
        <v>0.4</v>
      </c>
      <c r="G12212" s="37" t="str">
        <f t="shared" si="951"/>
        <v>Heavy Discount</v>
      </c>
      <c r="H12212" s="37" t="str">
        <f t="shared" si="952"/>
        <v>Medium</v>
      </c>
      <c r="I12212">
        <v>8</v>
      </c>
      <c r="J12212" t="str" cm="1">
        <f t="array" ref="J12212">_xlfn.IFS(I12212&lt;=3,"small",I12212&lt;=6,"Medium",I12212&lt;=9,"Large")</f>
        <v>Large</v>
      </c>
      <c r="K12212" s="36">
        <v>45020</v>
      </c>
      <c r="L12212" s="36">
        <v>45023</v>
      </c>
      <c r="M12212" t="s">
        <v>612</v>
      </c>
      <c r="N12212" t="s">
        <v>604</v>
      </c>
      <c r="O12212" s="37" t="str">
        <f t="shared" si="953"/>
        <v>Digital Payment</v>
      </c>
      <c r="P12212">
        <v>145.37</v>
      </c>
      <c r="Q12212" s="37" t="str">
        <f>IF(P12212&gt;500,"High","low")</f>
        <v>low</v>
      </c>
      <c r="R12212" s="37" t="str">
        <f t="shared" si="954"/>
        <v>AVERAGE</v>
      </c>
      <c r="S12212" t="s">
        <v>609</v>
      </c>
    </row>
    <row r="12213" spans="1:19" x14ac:dyDescent="0.2">
      <c r="A12213" t="s">
        <v>12824</v>
      </c>
      <c r="B12213" t="s">
        <v>83</v>
      </c>
      <c r="C12213" t="s">
        <v>617</v>
      </c>
      <c r="D12213">
        <v>3549.06</v>
      </c>
      <c r="E12213" s="37" t="str">
        <f t="shared" si="950"/>
        <v xml:space="preserve"> </v>
      </c>
      <c r="F12213">
        <v>0.45</v>
      </c>
      <c r="G12213" s="37" t="str">
        <f t="shared" si="951"/>
        <v>Heavy Discount</v>
      </c>
      <c r="H12213" s="37" t="str">
        <f t="shared" si="952"/>
        <v>High</v>
      </c>
      <c r="I12213">
        <v>8</v>
      </c>
      <c r="J12213" t="str" cm="1">
        <f t="array" ref="J12213">_xlfn.IFS(I12213&lt;=3,"small",I12213&lt;=6,"Medium",I12213&lt;=9,"Large")</f>
        <v>Large</v>
      </c>
      <c r="K12213" s="36">
        <v>45015</v>
      </c>
      <c r="L12213" s="36">
        <v>45016</v>
      </c>
      <c r="M12213" t="s">
        <v>612</v>
      </c>
      <c r="N12213" t="s">
        <v>604</v>
      </c>
      <c r="O12213" s="37" t="str">
        <f t="shared" si="953"/>
        <v>Digital Payment</v>
      </c>
      <c r="P12213">
        <v>238.52</v>
      </c>
      <c r="Q12213" s="37" t="str">
        <f>IF(P12213&gt;500,"High","low")</f>
        <v>low</v>
      </c>
      <c r="R12213" s="37" t="str">
        <f t="shared" si="954"/>
        <v>AVERAGE</v>
      </c>
      <c r="S12213" t="s">
        <v>605</v>
      </c>
    </row>
    <row r="12214" spans="1:19" x14ac:dyDescent="0.2">
      <c r="A12214" t="s">
        <v>12825</v>
      </c>
      <c r="B12214" t="s">
        <v>67</v>
      </c>
      <c r="C12214" t="s">
        <v>607</v>
      </c>
      <c r="D12214">
        <v>3444.23</v>
      </c>
      <c r="E12214" s="37" t="str">
        <f t="shared" si="950"/>
        <v xml:space="preserve"> </v>
      </c>
      <c r="F12214">
        <v>0.28000000000000003</v>
      </c>
      <c r="G12214" s="37" t="str">
        <f t="shared" si="951"/>
        <v>Normal Discount</v>
      </c>
      <c r="H12214" s="37" t="str">
        <f t="shared" si="952"/>
        <v>Medium</v>
      </c>
      <c r="I12214">
        <v>1</v>
      </c>
      <c r="J12214" t="str" cm="1">
        <f t="array" ref="J12214">_xlfn.IFS(I12214&lt;=3,"small",I12214&lt;=6,"Medium",I12214&lt;=9,"Large")</f>
        <v>small</v>
      </c>
      <c r="K12214" s="36">
        <v>45129</v>
      </c>
      <c r="L12214" s="36">
        <v>45133</v>
      </c>
      <c r="M12214" t="s">
        <v>603</v>
      </c>
      <c r="N12214" t="s">
        <v>608</v>
      </c>
      <c r="O12214" s="37" t="str">
        <f t="shared" si="953"/>
        <v>Cash Payment</v>
      </c>
      <c r="P12214">
        <v>332.87</v>
      </c>
      <c r="Q12214" s="37" t="str">
        <f>IF(P12214&gt;500,"High","low")</f>
        <v>low</v>
      </c>
      <c r="R12214" s="37" t="str">
        <f t="shared" si="954"/>
        <v>AVERAGE</v>
      </c>
      <c r="S12214" t="s">
        <v>628</v>
      </c>
    </row>
    <row r="12215" spans="1:19" x14ac:dyDescent="0.2">
      <c r="A12215" t="s">
        <v>12826</v>
      </c>
      <c r="B12215" t="s">
        <v>67</v>
      </c>
      <c r="C12215" t="s">
        <v>617</v>
      </c>
      <c r="D12215">
        <v>1680.4</v>
      </c>
      <c r="E12215" s="37" t="str">
        <f t="shared" si="950"/>
        <v xml:space="preserve"> </v>
      </c>
      <c r="F12215">
        <v>0.12</v>
      </c>
      <c r="G12215" s="37" t="str">
        <f t="shared" si="951"/>
        <v>Normal Discount</v>
      </c>
      <c r="H12215" s="37" t="str">
        <f t="shared" si="952"/>
        <v>Low</v>
      </c>
      <c r="I12215">
        <v>2</v>
      </c>
      <c r="J12215" t="str" cm="1">
        <f t="array" ref="J12215">_xlfn.IFS(I12215&lt;=3,"small",I12215&lt;=6,"Medium",I12215&lt;=9,"Large")</f>
        <v>small</v>
      </c>
      <c r="K12215" s="36">
        <v>45014</v>
      </c>
      <c r="L12215" s="36">
        <v>45021</v>
      </c>
      <c r="M12215" t="s">
        <v>603</v>
      </c>
      <c r="N12215" t="s">
        <v>604</v>
      </c>
      <c r="O12215" s="37" t="str">
        <f t="shared" si="953"/>
        <v>Digital Payment</v>
      </c>
      <c r="P12215">
        <v>499.95</v>
      </c>
      <c r="Q12215" s="37" t="str">
        <f>IF(P12215&gt;500,"High","low")</f>
        <v>low</v>
      </c>
      <c r="R12215" s="37" t="str">
        <f t="shared" si="954"/>
        <v>AVERAGE</v>
      </c>
      <c r="S12215" t="s">
        <v>609</v>
      </c>
    </row>
    <row r="12216" spans="1:19" x14ac:dyDescent="0.2">
      <c r="A12216" t="s">
        <v>12827</v>
      </c>
      <c r="B12216" t="s">
        <v>67</v>
      </c>
      <c r="C12216" t="s">
        <v>597</v>
      </c>
      <c r="D12216">
        <v>2417.73</v>
      </c>
      <c r="E12216" s="37" t="str">
        <f t="shared" si="950"/>
        <v xml:space="preserve"> </v>
      </c>
      <c r="F12216">
        <v>0.11</v>
      </c>
      <c r="G12216" s="37" t="str">
        <f t="shared" si="951"/>
        <v>Normal Discount</v>
      </c>
      <c r="H12216" s="37" t="str">
        <f t="shared" si="952"/>
        <v>Low</v>
      </c>
      <c r="I12216">
        <v>4</v>
      </c>
      <c r="J12216" t="str" cm="1">
        <f t="array" ref="J12216">_xlfn.IFS(I12216&lt;=3,"small",I12216&lt;=6,"Medium",I12216&lt;=9,"Large")</f>
        <v>Medium</v>
      </c>
      <c r="K12216" s="36">
        <v>45086</v>
      </c>
      <c r="L12216" s="36">
        <v>45087</v>
      </c>
      <c r="M12216" t="s">
        <v>603</v>
      </c>
      <c r="N12216" t="s">
        <v>604</v>
      </c>
      <c r="O12216" s="37" t="str">
        <f t="shared" si="953"/>
        <v>Digital Payment</v>
      </c>
      <c r="P12216">
        <v>136.09</v>
      </c>
      <c r="Q12216" s="37" t="str">
        <f>IF(P12216&gt;500,"High","low")</f>
        <v>low</v>
      </c>
      <c r="R12216" s="37" t="str">
        <f t="shared" si="954"/>
        <v>AVERAGE</v>
      </c>
      <c r="S12216" t="s">
        <v>620</v>
      </c>
    </row>
    <row r="12217" spans="1:19" x14ac:dyDescent="0.2">
      <c r="A12217" t="s">
        <v>12828</v>
      </c>
      <c r="B12217" t="s">
        <v>83</v>
      </c>
      <c r="C12217" t="s">
        <v>617</v>
      </c>
      <c r="D12217">
        <v>1557.15</v>
      </c>
      <c r="E12217" s="37" t="str">
        <f t="shared" si="950"/>
        <v xml:space="preserve"> </v>
      </c>
      <c r="F12217">
        <v>0.26</v>
      </c>
      <c r="G12217" s="37" t="str">
        <f t="shared" si="951"/>
        <v>Normal Discount</v>
      </c>
      <c r="H12217" s="37" t="str">
        <f t="shared" si="952"/>
        <v>Medium</v>
      </c>
      <c r="I12217">
        <v>1</v>
      </c>
      <c r="J12217" t="str" cm="1">
        <f t="array" ref="J12217">_xlfn.IFS(I12217&lt;=3,"small",I12217&lt;=6,"Medium",I12217&lt;=9,"Large")</f>
        <v>small</v>
      </c>
      <c r="K12217" s="36">
        <v>45527</v>
      </c>
      <c r="L12217" s="36">
        <v>45532</v>
      </c>
      <c r="M12217" t="s">
        <v>612</v>
      </c>
      <c r="N12217" t="s">
        <v>604</v>
      </c>
      <c r="O12217" s="37" t="str">
        <f t="shared" si="953"/>
        <v>Digital Payment</v>
      </c>
      <c r="P12217">
        <v>89.53</v>
      </c>
      <c r="Q12217" s="37" t="str">
        <f>IF(P12217&gt;500,"High","low")</f>
        <v>low</v>
      </c>
      <c r="R12217" s="37" t="str">
        <f t="shared" si="954"/>
        <v>AVERAGE</v>
      </c>
      <c r="S12217" t="s">
        <v>605</v>
      </c>
    </row>
    <row r="12218" spans="1:19" x14ac:dyDescent="0.2">
      <c r="A12218" t="s">
        <v>12829</v>
      </c>
      <c r="B12218" t="s">
        <v>67</v>
      </c>
      <c r="C12218" t="s">
        <v>602</v>
      </c>
      <c r="D12218">
        <v>3681.49</v>
      </c>
      <c r="E12218" s="37" t="str">
        <f t="shared" si="950"/>
        <v xml:space="preserve"> </v>
      </c>
      <c r="F12218">
        <v>0.46</v>
      </c>
      <c r="G12218" s="37" t="str">
        <f t="shared" si="951"/>
        <v>Heavy Discount</v>
      </c>
      <c r="H12218" s="37" t="str">
        <f t="shared" si="952"/>
        <v>High</v>
      </c>
      <c r="I12218">
        <v>6</v>
      </c>
      <c r="J12218" t="str" cm="1">
        <f t="array" ref="J12218">_xlfn.IFS(I12218&lt;=3,"small",I12218&lt;=6,"Medium",I12218&lt;=9,"Large")</f>
        <v>Medium</v>
      </c>
      <c r="K12218" s="36">
        <v>45048</v>
      </c>
      <c r="L12218" s="36">
        <v>45055</v>
      </c>
      <c r="M12218" t="s">
        <v>612</v>
      </c>
      <c r="N12218" t="s">
        <v>599</v>
      </c>
      <c r="O12218" s="37" t="str">
        <f t="shared" si="953"/>
        <v>Digital Payment</v>
      </c>
      <c r="P12218">
        <v>403.46</v>
      </c>
      <c r="Q12218" s="37" t="str">
        <f>IF(P12218&gt;500,"High","low")</f>
        <v>low</v>
      </c>
      <c r="R12218" s="37" t="str">
        <f t="shared" si="954"/>
        <v>AVERAGE</v>
      </c>
      <c r="S12218" t="s">
        <v>609</v>
      </c>
    </row>
    <row r="12219" spans="1:19" x14ac:dyDescent="0.2">
      <c r="A12219" t="s">
        <v>12830</v>
      </c>
      <c r="B12219" t="s">
        <v>67</v>
      </c>
      <c r="C12219" t="s">
        <v>607</v>
      </c>
      <c r="D12219">
        <v>4228.25</v>
      </c>
      <c r="E12219" s="37" t="str">
        <f t="shared" si="950"/>
        <v>Excellent Order</v>
      </c>
      <c r="F12219">
        <v>0.32</v>
      </c>
      <c r="G12219" s="37" t="str">
        <f t="shared" si="951"/>
        <v>Heavy Discount</v>
      </c>
      <c r="H12219" s="37" t="str">
        <f t="shared" si="952"/>
        <v>Medium</v>
      </c>
      <c r="I12219">
        <v>2</v>
      </c>
      <c r="J12219" t="str" cm="1">
        <f t="array" ref="J12219">_xlfn.IFS(I12219&lt;=3,"small",I12219&lt;=6,"Medium",I12219&lt;=9,"Large")</f>
        <v>small</v>
      </c>
      <c r="K12219" s="36">
        <v>45547</v>
      </c>
      <c r="L12219" s="36">
        <v>45550</v>
      </c>
      <c r="M12219" t="s">
        <v>598</v>
      </c>
      <c r="N12219" t="s">
        <v>608</v>
      </c>
      <c r="O12219" s="37" t="str">
        <f t="shared" si="953"/>
        <v>Cash Payment</v>
      </c>
      <c r="P12219">
        <v>807.59</v>
      </c>
      <c r="Q12219" s="37" t="str">
        <f>IF(P12219&gt;500,"High","low")</f>
        <v>High</v>
      </c>
      <c r="R12219" s="37" t="str">
        <f t="shared" si="954"/>
        <v>Good</v>
      </c>
      <c r="S12219" t="s">
        <v>620</v>
      </c>
    </row>
    <row r="12220" spans="1:19" x14ac:dyDescent="0.2">
      <c r="A12220" t="s">
        <v>12831</v>
      </c>
      <c r="B12220" t="s">
        <v>75</v>
      </c>
      <c r="C12220" t="s">
        <v>614</v>
      </c>
      <c r="D12220">
        <v>4505.62</v>
      </c>
      <c r="E12220" s="37" t="str">
        <f t="shared" si="950"/>
        <v xml:space="preserve"> </v>
      </c>
      <c r="F12220">
        <v>0.02</v>
      </c>
      <c r="G12220" s="37" t="str">
        <f t="shared" si="951"/>
        <v>Normal Discount</v>
      </c>
      <c r="H12220" s="37" t="str">
        <f t="shared" si="952"/>
        <v>Low</v>
      </c>
      <c r="I12220">
        <v>3</v>
      </c>
      <c r="J12220" t="str" cm="1">
        <f t="array" ref="J12220">_xlfn.IFS(I12220&lt;=3,"small",I12220&lt;=6,"Medium",I12220&lt;=9,"Large")</f>
        <v>small</v>
      </c>
      <c r="K12220" s="36">
        <v>45202</v>
      </c>
      <c r="L12220" s="36">
        <v>45206</v>
      </c>
      <c r="M12220" t="s">
        <v>612</v>
      </c>
      <c r="N12220" t="s">
        <v>599</v>
      </c>
      <c r="O12220" s="37" t="str">
        <f t="shared" si="953"/>
        <v>Digital Payment</v>
      </c>
      <c r="P12220">
        <v>449.21</v>
      </c>
      <c r="Q12220" s="37" t="str">
        <f>IF(P12220&gt;500,"High","low")</f>
        <v>low</v>
      </c>
      <c r="R12220" s="37" t="str">
        <f t="shared" si="954"/>
        <v>AVERAGE</v>
      </c>
      <c r="S12220" t="s">
        <v>600</v>
      </c>
    </row>
    <row r="12221" spans="1:19" x14ac:dyDescent="0.2">
      <c r="A12221" t="s">
        <v>12832</v>
      </c>
      <c r="B12221" t="s">
        <v>90</v>
      </c>
      <c r="C12221" t="s">
        <v>617</v>
      </c>
      <c r="D12221">
        <v>951.97</v>
      </c>
      <c r="E12221" s="37" t="str">
        <f t="shared" si="950"/>
        <v xml:space="preserve"> </v>
      </c>
      <c r="F12221">
        <v>0.28000000000000003</v>
      </c>
      <c r="G12221" s="37" t="str">
        <f t="shared" si="951"/>
        <v>Normal Discount</v>
      </c>
      <c r="H12221" s="37" t="str">
        <f t="shared" si="952"/>
        <v>Medium</v>
      </c>
      <c r="I12221">
        <v>9</v>
      </c>
      <c r="J12221" t="str" cm="1">
        <f t="array" ref="J12221">_xlfn.IFS(I12221&lt;=3,"small",I12221&lt;=6,"Medium",I12221&lt;=9,"Large")</f>
        <v>Large</v>
      </c>
      <c r="K12221" s="36">
        <v>45174</v>
      </c>
      <c r="L12221" s="36">
        <v>45181</v>
      </c>
      <c r="M12221" t="s">
        <v>612</v>
      </c>
      <c r="N12221" t="s">
        <v>599</v>
      </c>
      <c r="O12221" s="37" t="str">
        <f t="shared" si="953"/>
        <v>Digital Payment</v>
      </c>
      <c r="P12221">
        <v>71.97</v>
      </c>
      <c r="Q12221" s="37" t="str">
        <f>IF(P12221&gt;500,"High","low")</f>
        <v>low</v>
      </c>
      <c r="R12221" s="37" t="str">
        <f t="shared" si="954"/>
        <v>AVERAGE</v>
      </c>
      <c r="S12221" t="s">
        <v>628</v>
      </c>
    </row>
    <row r="12222" spans="1:19" x14ac:dyDescent="0.2">
      <c r="A12222" t="s">
        <v>12833</v>
      </c>
      <c r="B12222" t="s">
        <v>83</v>
      </c>
      <c r="C12222" t="s">
        <v>617</v>
      </c>
      <c r="D12222">
        <v>3505.58</v>
      </c>
      <c r="E12222" s="37" t="str">
        <f t="shared" si="950"/>
        <v xml:space="preserve"> </v>
      </c>
      <c r="F12222">
        <v>0.3</v>
      </c>
      <c r="G12222" s="37" t="str">
        <f t="shared" si="951"/>
        <v>Normal Discount</v>
      </c>
      <c r="H12222" s="37" t="str">
        <f t="shared" si="952"/>
        <v>Medium</v>
      </c>
      <c r="I12222">
        <v>7</v>
      </c>
      <c r="J12222" t="str" cm="1">
        <f t="array" ref="J12222">_xlfn.IFS(I12222&lt;=3,"small",I12222&lt;=6,"Medium",I12222&lt;=9,"Large")</f>
        <v>Large</v>
      </c>
      <c r="K12222" s="36">
        <v>45330</v>
      </c>
      <c r="L12222" s="36">
        <v>45337</v>
      </c>
      <c r="M12222" t="s">
        <v>598</v>
      </c>
      <c r="N12222" t="s">
        <v>608</v>
      </c>
      <c r="O12222" s="37" t="str">
        <f t="shared" si="953"/>
        <v>Cash Payment</v>
      </c>
      <c r="P12222">
        <v>303.26</v>
      </c>
      <c r="Q12222" s="37" t="str">
        <f>IF(P12222&gt;500,"High","low")</f>
        <v>low</v>
      </c>
      <c r="R12222" s="37" t="str">
        <f t="shared" si="954"/>
        <v>AVERAGE</v>
      </c>
      <c r="S12222" t="s">
        <v>628</v>
      </c>
    </row>
    <row r="12223" spans="1:19" x14ac:dyDescent="0.2">
      <c r="A12223" t="s">
        <v>12834</v>
      </c>
      <c r="B12223" t="s">
        <v>90</v>
      </c>
      <c r="C12223" t="s">
        <v>614</v>
      </c>
      <c r="D12223">
        <v>4818.72</v>
      </c>
      <c r="E12223" s="37" t="str">
        <f t="shared" si="950"/>
        <v xml:space="preserve"> </v>
      </c>
      <c r="F12223">
        <v>0.28999999999999998</v>
      </c>
      <c r="G12223" s="37" t="str">
        <f t="shared" si="951"/>
        <v>Normal Discount</v>
      </c>
      <c r="H12223" s="37" t="str">
        <f t="shared" si="952"/>
        <v>Medium</v>
      </c>
      <c r="I12223">
        <v>4</v>
      </c>
      <c r="J12223" t="str" cm="1">
        <f t="array" ref="J12223">_xlfn.IFS(I12223&lt;=3,"small",I12223&lt;=6,"Medium",I12223&lt;=9,"Large")</f>
        <v>Medium</v>
      </c>
      <c r="K12223" s="36">
        <v>45007</v>
      </c>
      <c r="L12223" s="36">
        <v>45013</v>
      </c>
      <c r="M12223" t="s">
        <v>603</v>
      </c>
      <c r="N12223" t="s">
        <v>599</v>
      </c>
      <c r="O12223" s="37" t="str">
        <f t="shared" si="953"/>
        <v>Digital Payment</v>
      </c>
      <c r="P12223">
        <v>798.39</v>
      </c>
      <c r="Q12223" s="37" t="str">
        <f>IF(P12223&gt;500,"High","low")</f>
        <v>High</v>
      </c>
      <c r="R12223" s="37" t="str">
        <f t="shared" si="954"/>
        <v>Good</v>
      </c>
      <c r="S12223" t="s">
        <v>628</v>
      </c>
    </row>
    <row r="12224" spans="1:19" x14ac:dyDescent="0.2">
      <c r="A12224" t="s">
        <v>12835</v>
      </c>
      <c r="B12224" t="s">
        <v>75</v>
      </c>
      <c r="C12224" t="s">
        <v>614</v>
      </c>
      <c r="D12224">
        <v>3288</v>
      </c>
      <c r="E12224" s="37" t="str">
        <f t="shared" si="950"/>
        <v xml:space="preserve"> </v>
      </c>
      <c r="F12224">
        <v>0.35</v>
      </c>
      <c r="G12224" s="37" t="str">
        <f t="shared" si="951"/>
        <v>Heavy Discount</v>
      </c>
      <c r="H12224" s="37" t="str">
        <f t="shared" si="952"/>
        <v>Medium</v>
      </c>
      <c r="I12224">
        <v>1</v>
      </c>
      <c r="J12224" t="str" cm="1">
        <f t="array" ref="J12224">_xlfn.IFS(I12224&lt;=3,"small",I12224&lt;=6,"Medium",I12224&lt;=9,"Large")</f>
        <v>small</v>
      </c>
      <c r="K12224" s="36">
        <v>44946</v>
      </c>
      <c r="L12224" s="36">
        <v>44949</v>
      </c>
      <c r="M12224" t="s">
        <v>612</v>
      </c>
      <c r="N12224" t="s">
        <v>599</v>
      </c>
      <c r="O12224" s="37" t="str">
        <f t="shared" si="953"/>
        <v>Digital Payment</v>
      </c>
      <c r="P12224">
        <v>599.5</v>
      </c>
      <c r="Q12224" s="37" t="str">
        <f>IF(P12224&gt;500,"High","low")</f>
        <v>High</v>
      </c>
      <c r="R12224" s="37" t="str">
        <f t="shared" si="954"/>
        <v>Good</v>
      </c>
      <c r="S12224" t="s">
        <v>600</v>
      </c>
    </row>
    <row r="12225" spans="1:19" x14ac:dyDescent="0.2">
      <c r="A12225" t="s">
        <v>12836</v>
      </c>
      <c r="B12225" t="s">
        <v>90</v>
      </c>
      <c r="C12225" t="s">
        <v>597</v>
      </c>
      <c r="D12225">
        <v>1819.77</v>
      </c>
      <c r="E12225" s="37" t="str">
        <f t="shared" si="950"/>
        <v xml:space="preserve"> </v>
      </c>
      <c r="F12225">
        <v>0.15</v>
      </c>
      <c r="G12225" s="37" t="str">
        <f t="shared" si="951"/>
        <v>Normal Discount</v>
      </c>
      <c r="H12225" s="37" t="str">
        <f t="shared" si="952"/>
        <v>Low</v>
      </c>
      <c r="I12225">
        <v>4</v>
      </c>
      <c r="J12225" t="str" cm="1">
        <f t="array" ref="J12225">_xlfn.IFS(I12225&lt;=3,"small",I12225&lt;=6,"Medium",I12225&lt;=9,"Large")</f>
        <v>Medium</v>
      </c>
      <c r="K12225" s="36">
        <v>45392</v>
      </c>
      <c r="L12225" s="36">
        <v>45393</v>
      </c>
      <c r="M12225" t="s">
        <v>598</v>
      </c>
      <c r="N12225" t="s">
        <v>604</v>
      </c>
      <c r="O12225" s="37" t="str">
        <f t="shared" si="953"/>
        <v>Digital Payment</v>
      </c>
      <c r="P12225">
        <v>205.28</v>
      </c>
      <c r="Q12225" s="37" t="str">
        <f>IF(P12225&gt;500,"High","low")</f>
        <v>low</v>
      </c>
      <c r="R12225" s="37" t="str">
        <f t="shared" si="954"/>
        <v>AVERAGE</v>
      </c>
      <c r="S12225" t="s">
        <v>615</v>
      </c>
    </row>
    <row r="12226" spans="1:19" x14ac:dyDescent="0.2">
      <c r="A12226" t="s">
        <v>12837</v>
      </c>
      <c r="B12226" t="s">
        <v>67</v>
      </c>
      <c r="C12226" t="s">
        <v>617</v>
      </c>
      <c r="D12226">
        <v>3216.14</v>
      </c>
      <c r="E12226" s="37" t="str">
        <f t="shared" si="950"/>
        <v xml:space="preserve"> </v>
      </c>
      <c r="F12226">
        <v>7.0000000000000007E-2</v>
      </c>
      <c r="G12226" s="37" t="str">
        <f t="shared" si="951"/>
        <v>Normal Discount</v>
      </c>
      <c r="H12226" s="37" t="str">
        <f t="shared" si="952"/>
        <v>Low</v>
      </c>
      <c r="I12226">
        <v>6</v>
      </c>
      <c r="J12226" t="str" cm="1">
        <f t="array" ref="J12226">_xlfn.IFS(I12226&lt;=3,"small",I12226&lt;=6,"Medium",I12226&lt;=9,"Large")</f>
        <v>Medium</v>
      </c>
      <c r="K12226" s="36">
        <v>45452</v>
      </c>
      <c r="L12226" s="36">
        <v>45455</v>
      </c>
      <c r="M12226" t="s">
        <v>612</v>
      </c>
      <c r="N12226" t="s">
        <v>604</v>
      </c>
      <c r="O12226" s="37" t="str">
        <f t="shared" si="953"/>
        <v>Digital Payment</v>
      </c>
      <c r="P12226">
        <v>927.74</v>
      </c>
      <c r="Q12226" s="37" t="str">
        <f>IF(P12226&gt;500,"High","low")</f>
        <v>High</v>
      </c>
      <c r="R12226" s="37" t="str">
        <f t="shared" si="954"/>
        <v>Good</v>
      </c>
      <c r="S12226" t="s">
        <v>605</v>
      </c>
    </row>
    <row r="12227" spans="1:19" x14ac:dyDescent="0.2">
      <c r="A12227" t="s">
        <v>12838</v>
      </c>
      <c r="B12227" t="s">
        <v>67</v>
      </c>
      <c r="C12227" t="s">
        <v>617</v>
      </c>
      <c r="D12227">
        <v>3473.29</v>
      </c>
      <c r="E12227" s="37" t="str">
        <f t="shared" ref="E12227:E12290" si="955">IF(AND(D12227&gt;4000,P12227&gt;800),"Excellent Order"," ")</f>
        <v xml:space="preserve"> </v>
      </c>
      <c r="F12227">
        <v>0.38</v>
      </c>
      <c r="G12227" s="37" t="str">
        <f t="shared" ref="G12227:G12290" si="956">IF(F12227&gt;30%,"Heavy Discount","Normal Discount")</f>
        <v>Heavy Discount</v>
      </c>
      <c r="H12227" s="37" t="str">
        <f t="shared" ref="H12227:H12290" si="957">IF(F12227&gt;0.4,"High",IF(F12227&gt;=0.2,"Medium","Low"))</f>
        <v>Medium</v>
      </c>
      <c r="I12227">
        <v>8</v>
      </c>
      <c r="J12227" t="str" cm="1">
        <f t="array" ref="J12227">_xlfn.IFS(I12227&lt;=3,"small",I12227&lt;=6,"Medium",I12227&lt;=9,"Large")</f>
        <v>Large</v>
      </c>
      <c r="K12227" s="36">
        <v>45152</v>
      </c>
      <c r="L12227" s="36">
        <v>45159</v>
      </c>
      <c r="M12227" t="s">
        <v>598</v>
      </c>
      <c r="N12227" t="s">
        <v>604</v>
      </c>
      <c r="O12227" s="37" t="str">
        <f t="shared" ref="O12227:O12290" si="958">IF(OR(N12227="Card",N12227="UPI"),"Digital Payment","Cash Payment")</f>
        <v>Digital Payment</v>
      </c>
      <c r="P12227">
        <v>876.94</v>
      </c>
      <c r="Q12227" s="37" t="str">
        <f>IF(P12227&gt;500,"High","low")</f>
        <v>High</v>
      </c>
      <c r="R12227" s="37" t="str">
        <f t="shared" ref="R12227:R12290" si="959">IF(P12227&gt;1000,"Excellent",IF(P12227&gt;=500,"Good","AVERAGE"))</f>
        <v>Good</v>
      </c>
      <c r="S12227" t="s">
        <v>628</v>
      </c>
    </row>
    <row r="12228" spans="1:19" x14ac:dyDescent="0.2">
      <c r="A12228" t="s">
        <v>12839</v>
      </c>
      <c r="B12228" t="s">
        <v>83</v>
      </c>
      <c r="C12228" t="s">
        <v>602</v>
      </c>
      <c r="D12228">
        <v>2045.53</v>
      </c>
      <c r="E12228" s="37" t="str">
        <f t="shared" si="955"/>
        <v xml:space="preserve"> </v>
      </c>
      <c r="F12228">
        <v>0.1</v>
      </c>
      <c r="G12228" s="37" t="str">
        <f t="shared" si="956"/>
        <v>Normal Discount</v>
      </c>
      <c r="H12228" s="37" t="str">
        <f t="shared" si="957"/>
        <v>Low</v>
      </c>
      <c r="I12228">
        <v>9</v>
      </c>
      <c r="J12228" t="str" cm="1">
        <f t="array" ref="J12228">_xlfn.IFS(I12228&lt;=3,"small",I12228&lt;=6,"Medium",I12228&lt;=9,"Large")</f>
        <v>Large</v>
      </c>
      <c r="K12228" s="36">
        <v>44958</v>
      </c>
      <c r="L12228" s="36">
        <v>44964</v>
      </c>
      <c r="M12228" t="s">
        <v>603</v>
      </c>
      <c r="N12228" t="s">
        <v>608</v>
      </c>
      <c r="O12228" s="37" t="str">
        <f t="shared" si="958"/>
        <v>Cash Payment</v>
      </c>
      <c r="P12228">
        <v>342.75</v>
      </c>
      <c r="Q12228" s="37" t="str">
        <f>IF(P12228&gt;500,"High","low")</f>
        <v>low</v>
      </c>
      <c r="R12228" s="37" t="str">
        <f t="shared" si="959"/>
        <v>AVERAGE</v>
      </c>
      <c r="S12228" t="s">
        <v>609</v>
      </c>
    </row>
    <row r="12229" spans="1:19" x14ac:dyDescent="0.2">
      <c r="A12229" t="s">
        <v>12840</v>
      </c>
      <c r="B12229" t="s">
        <v>83</v>
      </c>
      <c r="C12229" t="s">
        <v>602</v>
      </c>
      <c r="D12229">
        <v>609.55999999999995</v>
      </c>
      <c r="E12229" s="37" t="str">
        <f t="shared" si="955"/>
        <v xml:space="preserve"> </v>
      </c>
      <c r="F12229">
        <v>0.06</v>
      </c>
      <c r="G12229" s="37" t="str">
        <f t="shared" si="956"/>
        <v>Normal Discount</v>
      </c>
      <c r="H12229" s="37" t="str">
        <f t="shared" si="957"/>
        <v>Low</v>
      </c>
      <c r="I12229">
        <v>4</v>
      </c>
      <c r="J12229" t="str" cm="1">
        <f t="array" ref="J12229">_xlfn.IFS(I12229&lt;=3,"small",I12229&lt;=6,"Medium",I12229&lt;=9,"Large")</f>
        <v>Medium</v>
      </c>
      <c r="K12229" s="36">
        <v>45638</v>
      </c>
      <c r="L12229" s="36">
        <v>45640</v>
      </c>
      <c r="M12229" t="s">
        <v>612</v>
      </c>
      <c r="N12229" t="s">
        <v>599</v>
      </c>
      <c r="O12229" s="37" t="str">
        <f t="shared" si="958"/>
        <v>Digital Payment</v>
      </c>
      <c r="P12229">
        <v>55.82</v>
      </c>
      <c r="Q12229" s="37" t="str">
        <f>IF(P12229&gt;500,"High","low")</f>
        <v>low</v>
      </c>
      <c r="R12229" s="37" t="str">
        <f t="shared" si="959"/>
        <v>AVERAGE</v>
      </c>
      <c r="S12229" t="s">
        <v>628</v>
      </c>
    </row>
    <row r="12230" spans="1:19" x14ac:dyDescent="0.2">
      <c r="A12230" t="s">
        <v>12841</v>
      </c>
      <c r="B12230" t="s">
        <v>83</v>
      </c>
      <c r="C12230" t="s">
        <v>617</v>
      </c>
      <c r="D12230">
        <v>3072.63</v>
      </c>
      <c r="E12230" s="37" t="str">
        <f t="shared" si="955"/>
        <v xml:space="preserve"> </v>
      </c>
      <c r="F12230">
        <v>0.18</v>
      </c>
      <c r="G12230" s="37" t="str">
        <f t="shared" si="956"/>
        <v>Normal Discount</v>
      </c>
      <c r="H12230" s="37" t="str">
        <f t="shared" si="957"/>
        <v>Low</v>
      </c>
      <c r="I12230">
        <v>6</v>
      </c>
      <c r="J12230" t="str" cm="1">
        <f t="array" ref="J12230">_xlfn.IFS(I12230&lt;=3,"small",I12230&lt;=6,"Medium",I12230&lt;=9,"Large")</f>
        <v>Medium</v>
      </c>
      <c r="K12230" s="36">
        <v>45096</v>
      </c>
      <c r="L12230" s="36">
        <v>45102</v>
      </c>
      <c r="M12230" t="s">
        <v>598</v>
      </c>
      <c r="N12230" t="s">
        <v>608</v>
      </c>
      <c r="O12230" s="37" t="str">
        <f t="shared" si="958"/>
        <v>Cash Payment</v>
      </c>
      <c r="P12230">
        <v>838.26</v>
      </c>
      <c r="Q12230" s="37" t="str">
        <f>IF(P12230&gt;500,"High","low")</f>
        <v>High</v>
      </c>
      <c r="R12230" s="37" t="str">
        <f t="shared" si="959"/>
        <v>Good</v>
      </c>
      <c r="S12230" t="s">
        <v>620</v>
      </c>
    </row>
    <row r="12231" spans="1:19" x14ac:dyDescent="0.2">
      <c r="A12231" t="s">
        <v>12842</v>
      </c>
      <c r="B12231" t="s">
        <v>75</v>
      </c>
      <c r="C12231" t="s">
        <v>602</v>
      </c>
      <c r="D12231">
        <v>4030.49</v>
      </c>
      <c r="E12231" s="37" t="str">
        <f t="shared" si="955"/>
        <v xml:space="preserve"> </v>
      </c>
      <c r="F12231">
        <v>0.42</v>
      </c>
      <c r="G12231" s="37" t="str">
        <f t="shared" si="956"/>
        <v>Heavy Discount</v>
      </c>
      <c r="H12231" s="37" t="str">
        <f t="shared" si="957"/>
        <v>High</v>
      </c>
      <c r="I12231">
        <v>2</v>
      </c>
      <c r="J12231" t="str" cm="1">
        <f t="array" ref="J12231">_xlfn.IFS(I12231&lt;=3,"small",I12231&lt;=6,"Medium",I12231&lt;=9,"Large")</f>
        <v>small</v>
      </c>
      <c r="K12231" s="36">
        <v>45560</v>
      </c>
      <c r="L12231" s="36">
        <v>45561</v>
      </c>
      <c r="M12231" t="s">
        <v>603</v>
      </c>
      <c r="N12231" t="s">
        <v>599</v>
      </c>
      <c r="O12231" s="37" t="str">
        <f t="shared" si="958"/>
        <v>Digital Payment</v>
      </c>
      <c r="P12231">
        <v>357.17</v>
      </c>
      <c r="Q12231" s="37" t="str">
        <f>IF(P12231&gt;500,"High","low")</f>
        <v>low</v>
      </c>
      <c r="R12231" s="37" t="str">
        <f t="shared" si="959"/>
        <v>AVERAGE</v>
      </c>
      <c r="S12231" t="s">
        <v>600</v>
      </c>
    </row>
    <row r="12232" spans="1:19" x14ac:dyDescent="0.2">
      <c r="A12232" t="s">
        <v>12843</v>
      </c>
      <c r="B12232" t="s">
        <v>83</v>
      </c>
      <c r="C12232" t="s">
        <v>617</v>
      </c>
      <c r="D12232">
        <v>4988.12</v>
      </c>
      <c r="E12232" s="37" t="str">
        <f t="shared" si="955"/>
        <v>Excellent Order</v>
      </c>
      <c r="F12232">
        <v>0.04</v>
      </c>
      <c r="G12232" s="37" t="str">
        <f t="shared" si="956"/>
        <v>Normal Discount</v>
      </c>
      <c r="H12232" s="37" t="str">
        <f t="shared" si="957"/>
        <v>Low</v>
      </c>
      <c r="I12232">
        <v>2</v>
      </c>
      <c r="J12232" t="str" cm="1">
        <f t="array" ref="J12232">_xlfn.IFS(I12232&lt;=3,"small",I12232&lt;=6,"Medium",I12232&lt;=9,"Large")</f>
        <v>small</v>
      </c>
      <c r="K12232" s="36">
        <v>45630</v>
      </c>
      <c r="L12232" s="36">
        <v>45636</v>
      </c>
      <c r="M12232" t="s">
        <v>598</v>
      </c>
      <c r="N12232" t="s">
        <v>608</v>
      </c>
      <c r="O12232" s="37" t="str">
        <f t="shared" si="958"/>
        <v>Cash Payment</v>
      </c>
      <c r="P12232">
        <v>1101.93</v>
      </c>
      <c r="Q12232" s="37" t="str">
        <f>IF(P12232&gt;500,"High","low")</f>
        <v>High</v>
      </c>
      <c r="R12232" s="37" t="str">
        <f t="shared" si="959"/>
        <v>Excellent</v>
      </c>
      <c r="S12232" t="s">
        <v>605</v>
      </c>
    </row>
    <row r="12233" spans="1:19" x14ac:dyDescent="0.2">
      <c r="A12233" t="s">
        <v>12844</v>
      </c>
      <c r="B12233" t="s">
        <v>75</v>
      </c>
      <c r="C12233" t="s">
        <v>607</v>
      </c>
      <c r="D12233">
        <v>1192.99</v>
      </c>
      <c r="E12233" s="37" t="str">
        <f t="shared" si="955"/>
        <v xml:space="preserve"> </v>
      </c>
      <c r="F12233">
        <v>0.1</v>
      </c>
      <c r="G12233" s="37" t="str">
        <f t="shared" si="956"/>
        <v>Normal Discount</v>
      </c>
      <c r="H12233" s="37" t="str">
        <f t="shared" si="957"/>
        <v>Low</v>
      </c>
      <c r="I12233">
        <v>6</v>
      </c>
      <c r="J12233" t="str" cm="1">
        <f t="array" ref="J12233">_xlfn.IFS(I12233&lt;=3,"small",I12233&lt;=6,"Medium",I12233&lt;=9,"Large")</f>
        <v>Medium</v>
      </c>
      <c r="K12233" s="36">
        <v>44930</v>
      </c>
      <c r="L12233" s="36">
        <v>44936</v>
      </c>
      <c r="M12233" t="s">
        <v>598</v>
      </c>
      <c r="N12233" t="s">
        <v>599</v>
      </c>
      <c r="O12233" s="37" t="str">
        <f t="shared" si="958"/>
        <v>Digital Payment</v>
      </c>
      <c r="P12233">
        <v>246.15</v>
      </c>
      <c r="Q12233" s="37" t="str">
        <f>IF(P12233&gt;500,"High","low")</f>
        <v>low</v>
      </c>
      <c r="R12233" s="37" t="str">
        <f t="shared" si="959"/>
        <v>AVERAGE</v>
      </c>
      <c r="S12233" t="s">
        <v>615</v>
      </c>
    </row>
    <row r="12234" spans="1:19" x14ac:dyDescent="0.2">
      <c r="A12234" t="s">
        <v>12845</v>
      </c>
      <c r="B12234" t="s">
        <v>67</v>
      </c>
      <c r="C12234" t="s">
        <v>597</v>
      </c>
      <c r="D12234">
        <v>3531.91</v>
      </c>
      <c r="E12234" s="37" t="str">
        <f t="shared" si="955"/>
        <v xml:space="preserve"> </v>
      </c>
      <c r="F12234">
        <v>0.24</v>
      </c>
      <c r="G12234" s="37" t="str">
        <f t="shared" si="956"/>
        <v>Normal Discount</v>
      </c>
      <c r="H12234" s="37" t="str">
        <f t="shared" si="957"/>
        <v>Medium</v>
      </c>
      <c r="I12234">
        <v>9</v>
      </c>
      <c r="J12234" t="str" cm="1">
        <f t="array" ref="J12234">_xlfn.IFS(I12234&lt;=3,"small",I12234&lt;=6,"Medium",I12234&lt;=9,"Large")</f>
        <v>Large</v>
      </c>
      <c r="K12234" s="36">
        <v>45153</v>
      </c>
      <c r="L12234" s="36">
        <v>45160</v>
      </c>
      <c r="M12234" t="s">
        <v>612</v>
      </c>
      <c r="N12234" t="s">
        <v>599</v>
      </c>
      <c r="O12234" s="37" t="str">
        <f t="shared" si="958"/>
        <v>Digital Payment</v>
      </c>
      <c r="P12234">
        <v>954.89</v>
      </c>
      <c r="Q12234" s="37" t="str">
        <f>IF(P12234&gt;500,"High","low")</f>
        <v>High</v>
      </c>
      <c r="R12234" s="37" t="str">
        <f t="shared" si="959"/>
        <v>Good</v>
      </c>
      <c r="S12234" t="s">
        <v>628</v>
      </c>
    </row>
    <row r="12235" spans="1:19" x14ac:dyDescent="0.2">
      <c r="A12235" t="s">
        <v>12846</v>
      </c>
      <c r="B12235" t="s">
        <v>90</v>
      </c>
      <c r="C12235" t="s">
        <v>602</v>
      </c>
      <c r="D12235">
        <v>237.41</v>
      </c>
      <c r="E12235" s="37" t="str">
        <f t="shared" si="955"/>
        <v xml:space="preserve"> </v>
      </c>
      <c r="F12235">
        <v>0.14000000000000001</v>
      </c>
      <c r="G12235" s="37" t="str">
        <f t="shared" si="956"/>
        <v>Normal Discount</v>
      </c>
      <c r="H12235" s="37" t="str">
        <f t="shared" si="957"/>
        <v>Low</v>
      </c>
      <c r="I12235">
        <v>3</v>
      </c>
      <c r="J12235" t="str" cm="1">
        <f t="array" ref="J12235">_xlfn.IFS(I12235&lt;=3,"small",I12235&lt;=6,"Medium",I12235&lt;=9,"Large")</f>
        <v>small</v>
      </c>
      <c r="K12235" s="36">
        <v>45050</v>
      </c>
      <c r="L12235" s="36">
        <v>45051</v>
      </c>
      <c r="M12235" t="s">
        <v>603</v>
      </c>
      <c r="N12235" t="s">
        <v>599</v>
      </c>
      <c r="O12235" s="37" t="str">
        <f t="shared" si="958"/>
        <v>Digital Payment</v>
      </c>
      <c r="P12235">
        <v>30.75</v>
      </c>
      <c r="Q12235" s="37" t="str">
        <f>IF(P12235&gt;500,"High","low")</f>
        <v>low</v>
      </c>
      <c r="R12235" s="37" t="str">
        <f t="shared" si="959"/>
        <v>AVERAGE</v>
      </c>
      <c r="S12235" t="s">
        <v>600</v>
      </c>
    </row>
    <row r="12236" spans="1:19" x14ac:dyDescent="0.2">
      <c r="A12236" t="s">
        <v>12847</v>
      </c>
      <c r="B12236" t="s">
        <v>67</v>
      </c>
      <c r="C12236" t="s">
        <v>617</v>
      </c>
      <c r="D12236">
        <v>4852.1400000000003</v>
      </c>
      <c r="E12236" s="37" t="str">
        <f t="shared" si="955"/>
        <v xml:space="preserve"> </v>
      </c>
      <c r="F12236">
        <v>0.36</v>
      </c>
      <c r="G12236" s="37" t="str">
        <f t="shared" si="956"/>
        <v>Heavy Discount</v>
      </c>
      <c r="H12236" s="37" t="str">
        <f t="shared" si="957"/>
        <v>Medium</v>
      </c>
      <c r="I12236">
        <v>4</v>
      </c>
      <c r="J12236" t="str" cm="1">
        <f t="array" ref="J12236">_xlfn.IFS(I12236&lt;=3,"small",I12236&lt;=6,"Medium",I12236&lt;=9,"Large")</f>
        <v>Medium</v>
      </c>
      <c r="K12236" s="36">
        <v>45146</v>
      </c>
      <c r="L12236" s="36">
        <v>45149</v>
      </c>
      <c r="M12236" t="s">
        <v>612</v>
      </c>
      <c r="N12236" t="s">
        <v>604</v>
      </c>
      <c r="O12236" s="37" t="str">
        <f t="shared" si="958"/>
        <v>Digital Payment</v>
      </c>
      <c r="P12236">
        <v>543.08000000000004</v>
      </c>
      <c r="Q12236" s="37" t="str">
        <f>IF(P12236&gt;500,"High","low")</f>
        <v>High</v>
      </c>
      <c r="R12236" s="37" t="str">
        <f t="shared" si="959"/>
        <v>Good</v>
      </c>
      <c r="S12236" t="s">
        <v>605</v>
      </c>
    </row>
    <row r="12237" spans="1:19" x14ac:dyDescent="0.2">
      <c r="A12237" t="s">
        <v>12848</v>
      </c>
      <c r="B12237" t="s">
        <v>67</v>
      </c>
      <c r="C12237" t="s">
        <v>602</v>
      </c>
      <c r="D12237">
        <v>161.57</v>
      </c>
      <c r="E12237" s="37" t="str">
        <f t="shared" si="955"/>
        <v xml:space="preserve"> </v>
      </c>
      <c r="F12237">
        <v>0.34</v>
      </c>
      <c r="G12237" s="37" t="str">
        <f t="shared" si="956"/>
        <v>Heavy Discount</v>
      </c>
      <c r="H12237" s="37" t="str">
        <f t="shared" si="957"/>
        <v>Medium</v>
      </c>
      <c r="I12237">
        <v>9</v>
      </c>
      <c r="J12237" t="str" cm="1">
        <f t="array" ref="J12237">_xlfn.IFS(I12237&lt;=3,"small",I12237&lt;=6,"Medium",I12237&lt;=9,"Large")</f>
        <v>Large</v>
      </c>
      <c r="K12237" s="36">
        <v>45629</v>
      </c>
      <c r="L12237" s="36">
        <v>45633</v>
      </c>
      <c r="M12237" t="s">
        <v>603</v>
      </c>
      <c r="N12237" t="s">
        <v>604</v>
      </c>
      <c r="O12237" s="37" t="str">
        <f t="shared" si="958"/>
        <v>Digital Payment</v>
      </c>
      <c r="P12237">
        <v>25.22</v>
      </c>
      <c r="Q12237" s="37" t="str">
        <f>IF(P12237&gt;500,"High","low")</f>
        <v>low</v>
      </c>
      <c r="R12237" s="37" t="str">
        <f t="shared" si="959"/>
        <v>AVERAGE</v>
      </c>
      <c r="S12237" t="s">
        <v>628</v>
      </c>
    </row>
    <row r="12238" spans="1:19" x14ac:dyDescent="0.2">
      <c r="A12238" t="s">
        <v>12849</v>
      </c>
      <c r="B12238" t="s">
        <v>67</v>
      </c>
      <c r="C12238" t="s">
        <v>597</v>
      </c>
      <c r="D12238">
        <v>1858.1</v>
      </c>
      <c r="E12238" s="37" t="str">
        <f t="shared" si="955"/>
        <v xml:space="preserve"> </v>
      </c>
      <c r="F12238">
        <v>0.42</v>
      </c>
      <c r="G12238" s="37" t="str">
        <f t="shared" si="956"/>
        <v>Heavy Discount</v>
      </c>
      <c r="H12238" s="37" t="str">
        <f t="shared" si="957"/>
        <v>High</v>
      </c>
      <c r="I12238">
        <v>9</v>
      </c>
      <c r="J12238" t="str" cm="1">
        <f t="array" ref="J12238">_xlfn.IFS(I12238&lt;=3,"small",I12238&lt;=6,"Medium",I12238&lt;=9,"Large")</f>
        <v>Large</v>
      </c>
      <c r="K12238" s="36">
        <v>45161</v>
      </c>
      <c r="L12238" s="36">
        <v>45166</v>
      </c>
      <c r="M12238" t="s">
        <v>612</v>
      </c>
      <c r="N12238" t="s">
        <v>599</v>
      </c>
      <c r="O12238" s="37" t="str">
        <f t="shared" si="958"/>
        <v>Digital Payment</v>
      </c>
      <c r="P12238">
        <v>502.71</v>
      </c>
      <c r="Q12238" s="37" t="str">
        <f>IF(P12238&gt;500,"High","low")</f>
        <v>High</v>
      </c>
      <c r="R12238" s="37" t="str">
        <f t="shared" si="959"/>
        <v>Good</v>
      </c>
      <c r="S12238" t="s">
        <v>609</v>
      </c>
    </row>
    <row r="12239" spans="1:19" x14ac:dyDescent="0.2">
      <c r="A12239" t="s">
        <v>12850</v>
      </c>
      <c r="B12239" t="s">
        <v>83</v>
      </c>
      <c r="C12239" t="s">
        <v>607</v>
      </c>
      <c r="D12239">
        <v>474.37</v>
      </c>
      <c r="E12239" s="37" t="str">
        <f t="shared" si="955"/>
        <v xml:space="preserve"> </v>
      </c>
      <c r="F12239">
        <v>0.1</v>
      </c>
      <c r="G12239" s="37" t="str">
        <f t="shared" si="956"/>
        <v>Normal Discount</v>
      </c>
      <c r="H12239" s="37" t="str">
        <f t="shared" si="957"/>
        <v>Low</v>
      </c>
      <c r="I12239">
        <v>5</v>
      </c>
      <c r="J12239" t="str" cm="1">
        <f t="array" ref="J12239">_xlfn.IFS(I12239&lt;=3,"small",I12239&lt;=6,"Medium",I12239&lt;=9,"Large")</f>
        <v>Medium</v>
      </c>
      <c r="K12239" s="36">
        <v>45416</v>
      </c>
      <c r="L12239" s="36">
        <v>45420</v>
      </c>
      <c r="M12239" t="s">
        <v>603</v>
      </c>
      <c r="N12239" t="s">
        <v>599</v>
      </c>
      <c r="O12239" s="37" t="str">
        <f t="shared" si="958"/>
        <v>Digital Payment</v>
      </c>
      <c r="P12239">
        <v>39.86</v>
      </c>
      <c r="Q12239" s="37" t="str">
        <f>IF(P12239&gt;500,"High","low")</f>
        <v>low</v>
      </c>
      <c r="R12239" s="37" t="str">
        <f t="shared" si="959"/>
        <v>AVERAGE</v>
      </c>
      <c r="S12239" t="s">
        <v>605</v>
      </c>
    </row>
    <row r="12240" spans="1:19" x14ac:dyDescent="0.2">
      <c r="A12240" t="s">
        <v>12851</v>
      </c>
      <c r="B12240" t="s">
        <v>83</v>
      </c>
      <c r="C12240" t="s">
        <v>614</v>
      </c>
      <c r="D12240">
        <v>3142.74</v>
      </c>
      <c r="E12240" s="37" t="str">
        <f t="shared" si="955"/>
        <v xml:space="preserve"> </v>
      </c>
      <c r="F12240">
        <v>0.32</v>
      </c>
      <c r="G12240" s="37" t="str">
        <f t="shared" si="956"/>
        <v>Heavy Discount</v>
      </c>
      <c r="H12240" s="37" t="str">
        <f t="shared" si="957"/>
        <v>Medium</v>
      </c>
      <c r="I12240">
        <v>9</v>
      </c>
      <c r="J12240" t="str" cm="1">
        <f t="array" ref="J12240">_xlfn.IFS(I12240&lt;=3,"small",I12240&lt;=6,"Medium",I12240&lt;=9,"Large")</f>
        <v>Large</v>
      </c>
      <c r="K12240" s="36">
        <v>45120</v>
      </c>
      <c r="L12240" s="36">
        <v>45125</v>
      </c>
      <c r="M12240" t="s">
        <v>598</v>
      </c>
      <c r="N12240" t="s">
        <v>599</v>
      </c>
      <c r="O12240" s="37" t="str">
        <f t="shared" si="958"/>
        <v>Digital Payment</v>
      </c>
      <c r="P12240">
        <v>901.4</v>
      </c>
      <c r="Q12240" s="37" t="str">
        <f>IF(P12240&gt;500,"High","low")</f>
        <v>High</v>
      </c>
      <c r="R12240" s="37" t="str">
        <f t="shared" si="959"/>
        <v>Good</v>
      </c>
      <c r="S12240" t="s">
        <v>628</v>
      </c>
    </row>
    <row r="12241" spans="1:19" x14ac:dyDescent="0.2">
      <c r="A12241" t="s">
        <v>12852</v>
      </c>
      <c r="B12241" t="s">
        <v>83</v>
      </c>
      <c r="C12241" t="s">
        <v>614</v>
      </c>
      <c r="D12241">
        <v>1763.55</v>
      </c>
      <c r="E12241" s="37" t="str">
        <f t="shared" si="955"/>
        <v xml:space="preserve"> </v>
      </c>
      <c r="F12241">
        <v>0.39</v>
      </c>
      <c r="G12241" s="37" t="str">
        <f t="shared" si="956"/>
        <v>Heavy Discount</v>
      </c>
      <c r="H12241" s="37" t="str">
        <f t="shared" si="957"/>
        <v>Medium</v>
      </c>
      <c r="I12241">
        <v>5</v>
      </c>
      <c r="J12241" t="str" cm="1">
        <f t="array" ref="J12241">_xlfn.IFS(I12241&lt;=3,"small",I12241&lt;=6,"Medium",I12241&lt;=9,"Large")</f>
        <v>Medium</v>
      </c>
      <c r="K12241" s="36">
        <v>45483</v>
      </c>
      <c r="L12241" s="36">
        <v>45489</v>
      </c>
      <c r="M12241" t="s">
        <v>603</v>
      </c>
      <c r="N12241" t="s">
        <v>604</v>
      </c>
      <c r="O12241" s="37" t="str">
        <f t="shared" si="958"/>
        <v>Digital Payment</v>
      </c>
      <c r="P12241">
        <v>379.83</v>
      </c>
      <c r="Q12241" s="37" t="str">
        <f>IF(P12241&gt;500,"High","low")</f>
        <v>low</v>
      </c>
      <c r="R12241" s="37" t="str">
        <f t="shared" si="959"/>
        <v>AVERAGE</v>
      </c>
      <c r="S12241" t="s">
        <v>628</v>
      </c>
    </row>
    <row r="12242" spans="1:19" x14ac:dyDescent="0.2">
      <c r="A12242" t="s">
        <v>12853</v>
      </c>
      <c r="B12242" t="s">
        <v>90</v>
      </c>
      <c r="C12242" t="s">
        <v>602</v>
      </c>
      <c r="D12242">
        <v>3691.43</v>
      </c>
      <c r="E12242" s="37" t="str">
        <f t="shared" si="955"/>
        <v xml:space="preserve"> </v>
      </c>
      <c r="F12242">
        <v>0.03</v>
      </c>
      <c r="G12242" s="37" t="str">
        <f t="shared" si="956"/>
        <v>Normal Discount</v>
      </c>
      <c r="H12242" s="37" t="str">
        <f t="shared" si="957"/>
        <v>Low</v>
      </c>
      <c r="I12242">
        <v>5</v>
      </c>
      <c r="J12242" t="str" cm="1">
        <f t="array" ref="J12242">_xlfn.IFS(I12242&lt;=3,"small",I12242&lt;=6,"Medium",I12242&lt;=9,"Large")</f>
        <v>Medium</v>
      </c>
      <c r="K12242" s="36">
        <v>45232</v>
      </c>
      <c r="L12242" s="36">
        <v>45239</v>
      </c>
      <c r="M12242" t="s">
        <v>598</v>
      </c>
      <c r="N12242" t="s">
        <v>599</v>
      </c>
      <c r="O12242" s="37" t="str">
        <f t="shared" si="958"/>
        <v>Digital Payment</v>
      </c>
      <c r="P12242">
        <v>253.75</v>
      </c>
      <c r="Q12242" s="37" t="str">
        <f>IF(P12242&gt;500,"High","low")</f>
        <v>low</v>
      </c>
      <c r="R12242" s="37" t="str">
        <f t="shared" si="959"/>
        <v>AVERAGE</v>
      </c>
      <c r="S12242" t="s">
        <v>600</v>
      </c>
    </row>
    <row r="12243" spans="1:19" x14ac:dyDescent="0.2">
      <c r="A12243" t="s">
        <v>12854</v>
      </c>
      <c r="B12243" t="s">
        <v>83</v>
      </c>
      <c r="C12243" t="s">
        <v>617</v>
      </c>
      <c r="D12243">
        <v>2483.25</v>
      </c>
      <c r="E12243" s="37" t="str">
        <f t="shared" si="955"/>
        <v xml:space="preserve"> </v>
      </c>
      <c r="F12243">
        <v>0.02</v>
      </c>
      <c r="G12243" s="37" t="str">
        <f t="shared" si="956"/>
        <v>Normal Discount</v>
      </c>
      <c r="H12243" s="37" t="str">
        <f t="shared" si="957"/>
        <v>Low</v>
      </c>
      <c r="I12243">
        <v>7</v>
      </c>
      <c r="J12243" t="str" cm="1">
        <f t="array" ref="J12243">_xlfn.IFS(I12243&lt;=3,"small",I12243&lt;=6,"Medium",I12243&lt;=9,"Large")</f>
        <v>Large</v>
      </c>
      <c r="K12243" s="36">
        <v>45014</v>
      </c>
      <c r="L12243" s="36">
        <v>45016</v>
      </c>
      <c r="M12243" t="s">
        <v>598</v>
      </c>
      <c r="N12243" t="s">
        <v>608</v>
      </c>
      <c r="O12243" s="37" t="str">
        <f t="shared" si="958"/>
        <v>Cash Payment</v>
      </c>
      <c r="P12243">
        <v>499.65</v>
      </c>
      <c r="Q12243" s="37" t="str">
        <f>IF(P12243&gt;500,"High","low")</f>
        <v>low</v>
      </c>
      <c r="R12243" s="37" t="str">
        <f t="shared" si="959"/>
        <v>AVERAGE</v>
      </c>
      <c r="S12243" t="s">
        <v>609</v>
      </c>
    </row>
    <row r="12244" spans="1:19" x14ac:dyDescent="0.2">
      <c r="A12244" t="s">
        <v>12855</v>
      </c>
      <c r="B12244" t="s">
        <v>75</v>
      </c>
      <c r="C12244" t="s">
        <v>597</v>
      </c>
      <c r="D12244">
        <v>2155.08</v>
      </c>
      <c r="E12244" s="37" t="str">
        <f t="shared" si="955"/>
        <v xml:space="preserve"> </v>
      </c>
      <c r="F12244">
        <v>0.28000000000000003</v>
      </c>
      <c r="G12244" s="37" t="str">
        <f t="shared" si="956"/>
        <v>Normal Discount</v>
      </c>
      <c r="H12244" s="37" t="str">
        <f t="shared" si="957"/>
        <v>Medium</v>
      </c>
      <c r="I12244">
        <v>6</v>
      </c>
      <c r="J12244" t="str" cm="1">
        <f t="array" ref="J12244">_xlfn.IFS(I12244&lt;=3,"small",I12244&lt;=6,"Medium",I12244&lt;=9,"Large")</f>
        <v>Medium</v>
      </c>
      <c r="K12244" s="36">
        <v>45057</v>
      </c>
      <c r="L12244" s="36">
        <v>45062</v>
      </c>
      <c r="M12244" t="s">
        <v>612</v>
      </c>
      <c r="N12244" t="s">
        <v>599</v>
      </c>
      <c r="O12244" s="37" t="str">
        <f t="shared" si="958"/>
        <v>Digital Payment</v>
      </c>
      <c r="P12244">
        <v>393.5</v>
      </c>
      <c r="Q12244" s="37" t="str">
        <f>IF(P12244&gt;500,"High","low")</f>
        <v>low</v>
      </c>
      <c r="R12244" s="37" t="str">
        <f t="shared" si="959"/>
        <v>AVERAGE</v>
      </c>
      <c r="S12244" t="s">
        <v>620</v>
      </c>
    </row>
    <row r="12245" spans="1:19" x14ac:dyDescent="0.2">
      <c r="A12245" t="s">
        <v>12856</v>
      </c>
      <c r="B12245" t="s">
        <v>67</v>
      </c>
      <c r="C12245" t="s">
        <v>607</v>
      </c>
      <c r="D12245">
        <v>1807.73</v>
      </c>
      <c r="E12245" s="37" t="str">
        <f t="shared" si="955"/>
        <v xml:space="preserve"> </v>
      </c>
      <c r="F12245">
        <v>0.28999999999999998</v>
      </c>
      <c r="G12245" s="37" t="str">
        <f t="shared" si="956"/>
        <v>Normal Discount</v>
      </c>
      <c r="H12245" s="37" t="str">
        <f t="shared" si="957"/>
        <v>Medium</v>
      </c>
      <c r="I12245">
        <v>7</v>
      </c>
      <c r="J12245" t="str" cm="1">
        <f t="array" ref="J12245">_xlfn.IFS(I12245&lt;=3,"small",I12245&lt;=6,"Medium",I12245&lt;=9,"Large")</f>
        <v>Large</v>
      </c>
      <c r="K12245" s="36">
        <v>44949</v>
      </c>
      <c r="L12245" s="36">
        <v>44953</v>
      </c>
      <c r="M12245" t="s">
        <v>603</v>
      </c>
      <c r="N12245" t="s">
        <v>604</v>
      </c>
      <c r="O12245" s="37" t="str">
        <f t="shared" si="958"/>
        <v>Digital Payment</v>
      </c>
      <c r="P12245">
        <v>374.8</v>
      </c>
      <c r="Q12245" s="37" t="str">
        <f>IF(P12245&gt;500,"High","low")</f>
        <v>low</v>
      </c>
      <c r="R12245" s="37" t="str">
        <f t="shared" si="959"/>
        <v>AVERAGE</v>
      </c>
      <c r="S12245" t="s">
        <v>620</v>
      </c>
    </row>
    <row r="12246" spans="1:19" x14ac:dyDescent="0.2">
      <c r="A12246" t="s">
        <v>12857</v>
      </c>
      <c r="B12246" t="s">
        <v>90</v>
      </c>
      <c r="C12246" t="s">
        <v>607</v>
      </c>
      <c r="D12246">
        <v>522.03</v>
      </c>
      <c r="E12246" s="37" t="str">
        <f t="shared" si="955"/>
        <v xml:space="preserve"> </v>
      </c>
      <c r="F12246">
        <v>0.2</v>
      </c>
      <c r="G12246" s="37" t="str">
        <f t="shared" si="956"/>
        <v>Normal Discount</v>
      </c>
      <c r="H12246" s="37" t="str">
        <f t="shared" si="957"/>
        <v>Medium</v>
      </c>
      <c r="I12246">
        <v>2</v>
      </c>
      <c r="J12246" t="str" cm="1">
        <f t="array" ref="J12246">_xlfn.IFS(I12246&lt;=3,"small",I12246&lt;=6,"Medium",I12246&lt;=9,"Large")</f>
        <v>small</v>
      </c>
      <c r="K12246" s="36">
        <v>45321</v>
      </c>
      <c r="L12246" s="36">
        <v>45326</v>
      </c>
      <c r="M12246" t="s">
        <v>612</v>
      </c>
      <c r="N12246" t="s">
        <v>604</v>
      </c>
      <c r="O12246" s="37" t="str">
        <f t="shared" si="958"/>
        <v>Digital Payment</v>
      </c>
      <c r="P12246">
        <v>90.64</v>
      </c>
      <c r="Q12246" s="37" t="str">
        <f>IF(P12246&gt;500,"High","low")</f>
        <v>low</v>
      </c>
      <c r="R12246" s="37" t="str">
        <f t="shared" si="959"/>
        <v>AVERAGE</v>
      </c>
      <c r="S12246" t="s">
        <v>628</v>
      </c>
    </row>
    <row r="12247" spans="1:19" x14ac:dyDescent="0.2">
      <c r="A12247" t="s">
        <v>12858</v>
      </c>
      <c r="B12247" t="s">
        <v>90</v>
      </c>
      <c r="C12247" t="s">
        <v>607</v>
      </c>
      <c r="D12247">
        <v>1103.6400000000001</v>
      </c>
      <c r="E12247" s="37" t="str">
        <f t="shared" si="955"/>
        <v xml:space="preserve"> </v>
      </c>
      <c r="F12247">
        <v>0.02</v>
      </c>
      <c r="G12247" s="37" t="str">
        <f t="shared" si="956"/>
        <v>Normal Discount</v>
      </c>
      <c r="H12247" s="37" t="str">
        <f t="shared" si="957"/>
        <v>Low</v>
      </c>
      <c r="I12247">
        <v>9</v>
      </c>
      <c r="J12247" t="str" cm="1">
        <f t="array" ref="J12247">_xlfn.IFS(I12247&lt;=3,"small",I12247&lt;=6,"Medium",I12247&lt;=9,"Large")</f>
        <v>Large</v>
      </c>
      <c r="K12247" s="36">
        <v>45366</v>
      </c>
      <c r="L12247" s="36">
        <v>45371</v>
      </c>
      <c r="M12247" t="s">
        <v>603</v>
      </c>
      <c r="N12247" t="s">
        <v>608</v>
      </c>
      <c r="O12247" s="37" t="str">
        <f t="shared" si="958"/>
        <v>Cash Payment</v>
      </c>
      <c r="P12247">
        <v>275.27</v>
      </c>
      <c r="Q12247" s="37" t="str">
        <f>IF(P12247&gt;500,"High","low")</f>
        <v>low</v>
      </c>
      <c r="R12247" s="37" t="str">
        <f t="shared" si="959"/>
        <v>AVERAGE</v>
      </c>
      <c r="S12247" t="s">
        <v>605</v>
      </c>
    </row>
    <row r="12248" spans="1:19" x14ac:dyDescent="0.2">
      <c r="A12248" t="s">
        <v>12859</v>
      </c>
      <c r="B12248" t="s">
        <v>90</v>
      </c>
      <c r="C12248" t="s">
        <v>614</v>
      </c>
      <c r="D12248">
        <v>3231.6</v>
      </c>
      <c r="E12248" s="37" t="str">
        <f t="shared" si="955"/>
        <v xml:space="preserve"> </v>
      </c>
      <c r="F12248">
        <v>0.2</v>
      </c>
      <c r="G12248" s="37" t="str">
        <f t="shared" si="956"/>
        <v>Normal Discount</v>
      </c>
      <c r="H12248" s="37" t="str">
        <f t="shared" si="957"/>
        <v>Medium</v>
      </c>
      <c r="I12248">
        <v>6</v>
      </c>
      <c r="J12248" t="str" cm="1">
        <f t="array" ref="J12248">_xlfn.IFS(I12248&lt;=3,"small",I12248&lt;=6,"Medium",I12248&lt;=9,"Large")</f>
        <v>Medium</v>
      </c>
      <c r="K12248" s="36">
        <v>45188</v>
      </c>
      <c r="L12248" s="36">
        <v>45190</v>
      </c>
      <c r="M12248" t="s">
        <v>603</v>
      </c>
      <c r="N12248" t="s">
        <v>608</v>
      </c>
      <c r="O12248" s="37" t="str">
        <f t="shared" si="958"/>
        <v>Cash Payment</v>
      </c>
      <c r="P12248">
        <v>838.83</v>
      </c>
      <c r="Q12248" s="37" t="str">
        <f>IF(P12248&gt;500,"High","low")</f>
        <v>High</v>
      </c>
      <c r="R12248" s="37" t="str">
        <f t="shared" si="959"/>
        <v>Good</v>
      </c>
      <c r="S12248" t="s">
        <v>605</v>
      </c>
    </row>
    <row r="12249" spans="1:19" x14ac:dyDescent="0.2">
      <c r="A12249" t="s">
        <v>12860</v>
      </c>
      <c r="B12249" t="s">
        <v>90</v>
      </c>
      <c r="C12249" t="s">
        <v>597</v>
      </c>
      <c r="D12249">
        <v>2534.08</v>
      </c>
      <c r="E12249" s="37" t="str">
        <f t="shared" si="955"/>
        <v xml:space="preserve"> </v>
      </c>
      <c r="F12249">
        <v>0.32</v>
      </c>
      <c r="G12249" s="37" t="str">
        <f t="shared" si="956"/>
        <v>Heavy Discount</v>
      </c>
      <c r="H12249" s="37" t="str">
        <f t="shared" si="957"/>
        <v>Medium</v>
      </c>
      <c r="I12249">
        <v>9</v>
      </c>
      <c r="J12249" t="str" cm="1">
        <f t="array" ref="J12249">_xlfn.IFS(I12249&lt;=3,"small",I12249&lt;=6,"Medium",I12249&lt;=9,"Large")</f>
        <v>Large</v>
      </c>
      <c r="K12249" s="36">
        <v>45252</v>
      </c>
      <c r="L12249" s="36">
        <v>45257</v>
      </c>
      <c r="M12249" t="s">
        <v>612</v>
      </c>
      <c r="N12249" t="s">
        <v>608</v>
      </c>
      <c r="O12249" s="37" t="str">
        <f t="shared" si="958"/>
        <v>Cash Payment</v>
      </c>
      <c r="P12249">
        <v>480.48</v>
      </c>
      <c r="Q12249" s="37" t="str">
        <f>IF(P12249&gt;500,"High","low")</f>
        <v>low</v>
      </c>
      <c r="R12249" s="37" t="str">
        <f t="shared" si="959"/>
        <v>AVERAGE</v>
      </c>
      <c r="S12249" t="s">
        <v>605</v>
      </c>
    </row>
    <row r="12250" spans="1:19" x14ac:dyDescent="0.2">
      <c r="A12250" t="s">
        <v>12861</v>
      </c>
      <c r="B12250" t="s">
        <v>90</v>
      </c>
      <c r="C12250" t="s">
        <v>614</v>
      </c>
      <c r="D12250">
        <v>443.44</v>
      </c>
      <c r="E12250" s="37" t="str">
        <f t="shared" si="955"/>
        <v xml:space="preserve"> </v>
      </c>
      <c r="F12250">
        <v>0.35</v>
      </c>
      <c r="G12250" s="37" t="str">
        <f t="shared" si="956"/>
        <v>Heavy Discount</v>
      </c>
      <c r="H12250" s="37" t="str">
        <f t="shared" si="957"/>
        <v>Medium</v>
      </c>
      <c r="I12250">
        <v>1</v>
      </c>
      <c r="J12250" t="str" cm="1">
        <f t="array" ref="J12250">_xlfn.IFS(I12250&lt;=3,"small",I12250&lt;=6,"Medium",I12250&lt;=9,"Large")</f>
        <v>small</v>
      </c>
      <c r="K12250" s="36">
        <v>45606</v>
      </c>
      <c r="L12250" s="36">
        <v>45609</v>
      </c>
      <c r="M12250" t="s">
        <v>603</v>
      </c>
      <c r="N12250" t="s">
        <v>604</v>
      </c>
      <c r="O12250" s="37" t="str">
        <f t="shared" si="958"/>
        <v>Digital Payment</v>
      </c>
      <c r="P12250">
        <v>32.520000000000003</v>
      </c>
      <c r="Q12250" s="37" t="str">
        <f>IF(P12250&gt;500,"High","low")</f>
        <v>low</v>
      </c>
      <c r="R12250" s="37" t="str">
        <f t="shared" si="959"/>
        <v>AVERAGE</v>
      </c>
      <c r="S12250" t="s">
        <v>600</v>
      </c>
    </row>
    <row r="12251" spans="1:19" x14ac:dyDescent="0.2">
      <c r="A12251" t="s">
        <v>12862</v>
      </c>
      <c r="B12251" t="s">
        <v>75</v>
      </c>
      <c r="C12251" t="s">
        <v>602</v>
      </c>
      <c r="D12251">
        <v>2765.36</v>
      </c>
      <c r="E12251" s="37" t="str">
        <f t="shared" si="955"/>
        <v xml:space="preserve"> </v>
      </c>
      <c r="F12251">
        <v>0.25</v>
      </c>
      <c r="G12251" s="37" t="str">
        <f t="shared" si="956"/>
        <v>Normal Discount</v>
      </c>
      <c r="H12251" s="37" t="str">
        <f t="shared" si="957"/>
        <v>Medium</v>
      </c>
      <c r="I12251">
        <v>2</v>
      </c>
      <c r="J12251" t="str" cm="1">
        <f t="array" ref="J12251">_xlfn.IFS(I12251&lt;=3,"small",I12251&lt;=6,"Medium",I12251&lt;=9,"Large")</f>
        <v>small</v>
      </c>
      <c r="K12251" s="36">
        <v>44961</v>
      </c>
      <c r="L12251" s="36">
        <v>44968</v>
      </c>
      <c r="M12251" t="s">
        <v>612</v>
      </c>
      <c r="N12251" t="s">
        <v>599</v>
      </c>
      <c r="O12251" s="37" t="str">
        <f t="shared" si="958"/>
        <v>Digital Payment</v>
      </c>
      <c r="P12251">
        <v>485.07</v>
      </c>
      <c r="Q12251" s="37" t="str">
        <f>IF(P12251&gt;500,"High","low")</f>
        <v>low</v>
      </c>
      <c r="R12251" s="37" t="str">
        <f t="shared" si="959"/>
        <v>AVERAGE</v>
      </c>
      <c r="S12251" t="s">
        <v>605</v>
      </c>
    </row>
    <row r="12252" spans="1:19" x14ac:dyDescent="0.2">
      <c r="A12252" t="s">
        <v>12863</v>
      </c>
      <c r="B12252" t="s">
        <v>67</v>
      </c>
      <c r="C12252" t="s">
        <v>607</v>
      </c>
      <c r="D12252">
        <v>365.3</v>
      </c>
      <c r="E12252" s="37" t="str">
        <f t="shared" si="955"/>
        <v xml:space="preserve"> </v>
      </c>
      <c r="F12252">
        <v>0.26</v>
      </c>
      <c r="G12252" s="37" t="str">
        <f t="shared" si="956"/>
        <v>Normal Discount</v>
      </c>
      <c r="H12252" s="37" t="str">
        <f t="shared" si="957"/>
        <v>Medium</v>
      </c>
      <c r="I12252">
        <v>7</v>
      </c>
      <c r="J12252" t="str" cm="1">
        <f t="array" ref="J12252">_xlfn.IFS(I12252&lt;=3,"small",I12252&lt;=6,"Medium",I12252&lt;=9,"Large")</f>
        <v>Large</v>
      </c>
      <c r="K12252" s="36">
        <v>45323</v>
      </c>
      <c r="L12252" s="36">
        <v>45329</v>
      </c>
      <c r="M12252" t="s">
        <v>598</v>
      </c>
      <c r="N12252" t="s">
        <v>599</v>
      </c>
      <c r="O12252" s="37" t="str">
        <f t="shared" si="958"/>
        <v>Digital Payment</v>
      </c>
      <c r="P12252">
        <v>26.94</v>
      </c>
      <c r="Q12252" s="37" t="str">
        <f>IF(P12252&gt;500,"High","low")</f>
        <v>low</v>
      </c>
      <c r="R12252" s="37" t="str">
        <f t="shared" si="959"/>
        <v>AVERAGE</v>
      </c>
      <c r="S12252" t="s">
        <v>600</v>
      </c>
    </row>
    <row r="12253" spans="1:19" x14ac:dyDescent="0.2">
      <c r="A12253" t="s">
        <v>12864</v>
      </c>
      <c r="B12253" t="s">
        <v>90</v>
      </c>
      <c r="C12253" t="s">
        <v>597</v>
      </c>
      <c r="D12253">
        <v>2607.46</v>
      </c>
      <c r="E12253" s="37" t="str">
        <f t="shared" si="955"/>
        <v xml:space="preserve"> </v>
      </c>
      <c r="F12253">
        <v>0.34</v>
      </c>
      <c r="G12253" s="37" t="str">
        <f t="shared" si="956"/>
        <v>Heavy Discount</v>
      </c>
      <c r="H12253" s="37" t="str">
        <f t="shared" si="957"/>
        <v>Medium</v>
      </c>
      <c r="I12253">
        <v>2</v>
      </c>
      <c r="J12253" t="str" cm="1">
        <f t="array" ref="J12253">_xlfn.IFS(I12253&lt;=3,"small",I12253&lt;=6,"Medium",I12253&lt;=9,"Large")</f>
        <v>small</v>
      </c>
      <c r="K12253" s="36">
        <v>45463</v>
      </c>
      <c r="L12253" s="36">
        <v>45465</v>
      </c>
      <c r="M12253" t="s">
        <v>598</v>
      </c>
      <c r="N12253" t="s">
        <v>608</v>
      </c>
      <c r="O12253" s="37" t="str">
        <f t="shared" si="958"/>
        <v>Cash Payment</v>
      </c>
      <c r="P12253">
        <v>145.08000000000001</v>
      </c>
      <c r="Q12253" s="37" t="str">
        <f>IF(P12253&gt;500,"High","low")</f>
        <v>low</v>
      </c>
      <c r="R12253" s="37" t="str">
        <f t="shared" si="959"/>
        <v>AVERAGE</v>
      </c>
      <c r="S12253" t="s">
        <v>600</v>
      </c>
    </row>
    <row r="12254" spans="1:19" x14ac:dyDescent="0.2">
      <c r="A12254" t="s">
        <v>12865</v>
      </c>
      <c r="B12254" t="s">
        <v>67</v>
      </c>
      <c r="C12254" t="s">
        <v>607</v>
      </c>
      <c r="D12254">
        <v>4828.3100000000004</v>
      </c>
      <c r="E12254" s="37" t="str">
        <f t="shared" si="955"/>
        <v xml:space="preserve"> </v>
      </c>
      <c r="F12254">
        <v>0.22</v>
      </c>
      <c r="G12254" s="37" t="str">
        <f t="shared" si="956"/>
        <v>Normal Discount</v>
      </c>
      <c r="H12254" s="37" t="str">
        <f t="shared" si="957"/>
        <v>Medium</v>
      </c>
      <c r="I12254">
        <v>6</v>
      </c>
      <c r="J12254" t="str" cm="1">
        <f t="array" ref="J12254">_xlfn.IFS(I12254&lt;=3,"small",I12254&lt;=6,"Medium",I12254&lt;=9,"Large")</f>
        <v>Medium</v>
      </c>
      <c r="K12254" s="36">
        <v>45652</v>
      </c>
      <c r="L12254" s="36">
        <v>45659</v>
      </c>
      <c r="M12254" t="s">
        <v>603</v>
      </c>
      <c r="N12254" t="s">
        <v>608</v>
      </c>
      <c r="O12254" s="37" t="str">
        <f t="shared" si="958"/>
        <v>Cash Payment</v>
      </c>
      <c r="P12254">
        <v>761.38</v>
      </c>
      <c r="Q12254" s="37" t="str">
        <f>IF(P12254&gt;500,"High","low")</f>
        <v>High</v>
      </c>
      <c r="R12254" s="37" t="str">
        <f t="shared" si="959"/>
        <v>Good</v>
      </c>
      <c r="S12254" t="s">
        <v>628</v>
      </c>
    </row>
    <row r="12255" spans="1:19" x14ac:dyDescent="0.2">
      <c r="A12255" t="s">
        <v>12866</v>
      </c>
      <c r="B12255" t="s">
        <v>83</v>
      </c>
      <c r="C12255" t="s">
        <v>614</v>
      </c>
      <c r="D12255">
        <v>1605.99</v>
      </c>
      <c r="E12255" s="37" t="str">
        <f t="shared" si="955"/>
        <v xml:space="preserve"> </v>
      </c>
      <c r="F12255">
        <v>0.13</v>
      </c>
      <c r="G12255" s="37" t="str">
        <f t="shared" si="956"/>
        <v>Normal Discount</v>
      </c>
      <c r="H12255" s="37" t="str">
        <f t="shared" si="957"/>
        <v>Low</v>
      </c>
      <c r="I12255">
        <v>2</v>
      </c>
      <c r="J12255" t="str" cm="1">
        <f t="array" ref="J12255">_xlfn.IFS(I12255&lt;=3,"small",I12255&lt;=6,"Medium",I12255&lt;=9,"Large")</f>
        <v>small</v>
      </c>
      <c r="K12255" s="36">
        <v>45519</v>
      </c>
      <c r="L12255" s="36">
        <v>45521</v>
      </c>
      <c r="M12255" t="s">
        <v>612</v>
      </c>
      <c r="N12255" t="s">
        <v>604</v>
      </c>
      <c r="O12255" s="37" t="str">
        <f t="shared" si="958"/>
        <v>Digital Payment</v>
      </c>
      <c r="P12255">
        <v>469.69</v>
      </c>
      <c r="Q12255" s="37" t="str">
        <f>IF(P12255&gt;500,"High","low")</f>
        <v>low</v>
      </c>
      <c r="R12255" s="37" t="str">
        <f t="shared" si="959"/>
        <v>AVERAGE</v>
      </c>
      <c r="S12255" t="s">
        <v>609</v>
      </c>
    </row>
    <row r="12256" spans="1:19" x14ac:dyDescent="0.2">
      <c r="A12256" t="s">
        <v>12867</v>
      </c>
      <c r="B12256" t="s">
        <v>90</v>
      </c>
      <c r="C12256" t="s">
        <v>614</v>
      </c>
      <c r="D12256">
        <v>3645.17</v>
      </c>
      <c r="E12256" s="37" t="str">
        <f t="shared" si="955"/>
        <v xml:space="preserve"> </v>
      </c>
      <c r="F12256">
        <v>0.11</v>
      </c>
      <c r="G12256" s="37" t="str">
        <f t="shared" si="956"/>
        <v>Normal Discount</v>
      </c>
      <c r="H12256" s="37" t="str">
        <f t="shared" si="957"/>
        <v>Low</v>
      </c>
      <c r="I12256">
        <v>5</v>
      </c>
      <c r="J12256" t="str" cm="1">
        <f t="array" ref="J12256">_xlfn.IFS(I12256&lt;=3,"small",I12256&lt;=6,"Medium",I12256&lt;=9,"Large")</f>
        <v>Medium</v>
      </c>
      <c r="K12256" s="36">
        <v>45249</v>
      </c>
      <c r="L12256" s="36">
        <v>45252</v>
      </c>
      <c r="M12256" t="s">
        <v>603</v>
      </c>
      <c r="N12256" t="s">
        <v>608</v>
      </c>
      <c r="O12256" s="37" t="str">
        <f t="shared" si="958"/>
        <v>Cash Payment</v>
      </c>
      <c r="P12256">
        <v>337.68</v>
      </c>
      <c r="Q12256" s="37" t="str">
        <f>IF(P12256&gt;500,"High","low")</f>
        <v>low</v>
      </c>
      <c r="R12256" s="37" t="str">
        <f t="shared" si="959"/>
        <v>AVERAGE</v>
      </c>
      <c r="S12256" t="s">
        <v>609</v>
      </c>
    </row>
    <row r="12257" spans="1:19" x14ac:dyDescent="0.2">
      <c r="A12257" t="s">
        <v>12868</v>
      </c>
      <c r="B12257" t="s">
        <v>90</v>
      </c>
      <c r="C12257" t="s">
        <v>614</v>
      </c>
      <c r="D12257">
        <v>3753.2</v>
      </c>
      <c r="E12257" s="37" t="str">
        <f t="shared" si="955"/>
        <v xml:space="preserve"> </v>
      </c>
      <c r="F12257">
        <v>0.38</v>
      </c>
      <c r="G12257" s="37" t="str">
        <f t="shared" si="956"/>
        <v>Heavy Discount</v>
      </c>
      <c r="H12257" s="37" t="str">
        <f t="shared" si="957"/>
        <v>Medium</v>
      </c>
      <c r="I12257">
        <v>6</v>
      </c>
      <c r="J12257" t="str" cm="1">
        <f t="array" ref="J12257">_xlfn.IFS(I12257&lt;=3,"small",I12257&lt;=6,"Medium",I12257&lt;=9,"Large")</f>
        <v>Medium</v>
      </c>
      <c r="K12257" s="36">
        <v>45506</v>
      </c>
      <c r="L12257" s="36">
        <v>45513</v>
      </c>
      <c r="M12257" t="s">
        <v>598</v>
      </c>
      <c r="N12257" t="s">
        <v>608</v>
      </c>
      <c r="O12257" s="37" t="str">
        <f t="shared" si="958"/>
        <v>Cash Payment</v>
      </c>
      <c r="P12257">
        <v>941.9</v>
      </c>
      <c r="Q12257" s="37" t="str">
        <f>IF(P12257&gt;500,"High","low")</f>
        <v>High</v>
      </c>
      <c r="R12257" s="37" t="str">
        <f t="shared" si="959"/>
        <v>Good</v>
      </c>
      <c r="S12257" t="s">
        <v>605</v>
      </c>
    </row>
    <row r="12258" spans="1:19" x14ac:dyDescent="0.2">
      <c r="A12258" t="s">
        <v>12869</v>
      </c>
      <c r="B12258" t="s">
        <v>67</v>
      </c>
      <c r="C12258" t="s">
        <v>607</v>
      </c>
      <c r="D12258">
        <v>2083.81</v>
      </c>
      <c r="E12258" s="37" t="str">
        <f t="shared" si="955"/>
        <v xml:space="preserve"> </v>
      </c>
      <c r="F12258">
        <v>0.24</v>
      </c>
      <c r="G12258" s="37" t="str">
        <f t="shared" si="956"/>
        <v>Normal Discount</v>
      </c>
      <c r="H12258" s="37" t="str">
        <f t="shared" si="957"/>
        <v>Medium</v>
      </c>
      <c r="I12258">
        <v>7</v>
      </c>
      <c r="J12258" t="str" cm="1">
        <f t="array" ref="J12258">_xlfn.IFS(I12258&lt;=3,"small",I12258&lt;=6,"Medium",I12258&lt;=9,"Large")</f>
        <v>Large</v>
      </c>
      <c r="K12258" s="36">
        <v>45609</v>
      </c>
      <c r="L12258" s="36">
        <v>45611</v>
      </c>
      <c r="M12258" t="s">
        <v>603</v>
      </c>
      <c r="N12258" t="s">
        <v>604</v>
      </c>
      <c r="O12258" s="37" t="str">
        <f t="shared" si="958"/>
        <v>Digital Payment</v>
      </c>
      <c r="P12258">
        <v>109.4</v>
      </c>
      <c r="Q12258" s="37" t="str">
        <f>IF(P12258&gt;500,"High","low")</f>
        <v>low</v>
      </c>
      <c r="R12258" s="37" t="str">
        <f t="shared" si="959"/>
        <v>AVERAGE</v>
      </c>
      <c r="S12258" t="s">
        <v>628</v>
      </c>
    </row>
    <row r="12259" spans="1:19" x14ac:dyDescent="0.2">
      <c r="A12259" t="s">
        <v>12870</v>
      </c>
      <c r="B12259" t="s">
        <v>90</v>
      </c>
      <c r="C12259" t="s">
        <v>597</v>
      </c>
      <c r="D12259">
        <v>3007.13</v>
      </c>
      <c r="E12259" s="37" t="str">
        <f t="shared" si="955"/>
        <v xml:space="preserve"> </v>
      </c>
      <c r="F12259">
        <v>0.31</v>
      </c>
      <c r="G12259" s="37" t="str">
        <f t="shared" si="956"/>
        <v>Heavy Discount</v>
      </c>
      <c r="H12259" s="37" t="str">
        <f t="shared" si="957"/>
        <v>Medium</v>
      </c>
      <c r="I12259">
        <v>1</v>
      </c>
      <c r="J12259" t="str" cm="1">
        <f t="array" ref="J12259">_xlfn.IFS(I12259&lt;=3,"small",I12259&lt;=6,"Medium",I12259&lt;=9,"Large")</f>
        <v>small</v>
      </c>
      <c r="K12259" s="36">
        <v>45440</v>
      </c>
      <c r="L12259" s="36">
        <v>45442</v>
      </c>
      <c r="M12259" t="s">
        <v>598</v>
      </c>
      <c r="N12259" t="s">
        <v>599</v>
      </c>
      <c r="O12259" s="37" t="str">
        <f t="shared" si="958"/>
        <v>Digital Payment</v>
      </c>
      <c r="P12259">
        <v>219.42</v>
      </c>
      <c r="Q12259" s="37" t="str">
        <f>IF(P12259&gt;500,"High","low")</f>
        <v>low</v>
      </c>
      <c r="R12259" s="37" t="str">
        <f t="shared" si="959"/>
        <v>AVERAGE</v>
      </c>
      <c r="S12259" t="s">
        <v>600</v>
      </c>
    </row>
    <row r="12260" spans="1:19" x14ac:dyDescent="0.2">
      <c r="A12260" t="s">
        <v>12871</v>
      </c>
      <c r="B12260" t="s">
        <v>90</v>
      </c>
      <c r="C12260" t="s">
        <v>597</v>
      </c>
      <c r="D12260">
        <v>2413.0300000000002</v>
      </c>
      <c r="E12260" s="37" t="str">
        <f t="shared" si="955"/>
        <v xml:space="preserve"> </v>
      </c>
      <c r="F12260">
        <v>0.24</v>
      </c>
      <c r="G12260" s="37" t="str">
        <f t="shared" si="956"/>
        <v>Normal Discount</v>
      </c>
      <c r="H12260" s="37" t="str">
        <f t="shared" si="957"/>
        <v>Medium</v>
      </c>
      <c r="I12260">
        <v>2</v>
      </c>
      <c r="J12260" t="str" cm="1">
        <f t="array" ref="J12260">_xlfn.IFS(I12260&lt;=3,"small",I12260&lt;=6,"Medium",I12260&lt;=9,"Large")</f>
        <v>small</v>
      </c>
      <c r="K12260" s="36">
        <v>44971</v>
      </c>
      <c r="L12260" s="36">
        <v>44975</v>
      </c>
      <c r="M12260" t="s">
        <v>598</v>
      </c>
      <c r="N12260" t="s">
        <v>599</v>
      </c>
      <c r="O12260" s="37" t="str">
        <f t="shared" si="958"/>
        <v>Digital Payment</v>
      </c>
      <c r="P12260">
        <v>626.38</v>
      </c>
      <c r="Q12260" s="37" t="str">
        <f>IF(P12260&gt;500,"High","low")</f>
        <v>High</v>
      </c>
      <c r="R12260" s="37" t="str">
        <f t="shared" si="959"/>
        <v>Good</v>
      </c>
      <c r="S12260" t="s">
        <v>620</v>
      </c>
    </row>
    <row r="12261" spans="1:19" x14ac:dyDescent="0.2">
      <c r="A12261" t="s">
        <v>12872</v>
      </c>
      <c r="B12261" t="s">
        <v>90</v>
      </c>
      <c r="C12261" t="s">
        <v>602</v>
      </c>
      <c r="D12261">
        <v>1488.48</v>
      </c>
      <c r="E12261" s="37" t="str">
        <f t="shared" si="955"/>
        <v xml:space="preserve"> </v>
      </c>
      <c r="F12261">
        <v>0.41</v>
      </c>
      <c r="G12261" s="37" t="str">
        <f t="shared" si="956"/>
        <v>Heavy Discount</v>
      </c>
      <c r="H12261" s="37" t="str">
        <f t="shared" si="957"/>
        <v>High</v>
      </c>
      <c r="I12261">
        <v>2</v>
      </c>
      <c r="J12261" t="str" cm="1">
        <f t="array" ref="J12261">_xlfn.IFS(I12261&lt;=3,"small",I12261&lt;=6,"Medium",I12261&lt;=9,"Large")</f>
        <v>small</v>
      </c>
      <c r="K12261" s="36">
        <v>45614</v>
      </c>
      <c r="L12261" s="36">
        <v>45620</v>
      </c>
      <c r="M12261" t="s">
        <v>598</v>
      </c>
      <c r="N12261" t="s">
        <v>599</v>
      </c>
      <c r="O12261" s="37" t="str">
        <f t="shared" si="958"/>
        <v>Digital Payment</v>
      </c>
      <c r="P12261">
        <v>216.06</v>
      </c>
      <c r="Q12261" s="37" t="str">
        <f>IF(P12261&gt;500,"High","low")</f>
        <v>low</v>
      </c>
      <c r="R12261" s="37" t="str">
        <f t="shared" si="959"/>
        <v>AVERAGE</v>
      </c>
      <c r="S12261" t="s">
        <v>609</v>
      </c>
    </row>
    <row r="12262" spans="1:19" x14ac:dyDescent="0.2">
      <c r="A12262" t="s">
        <v>12873</v>
      </c>
      <c r="B12262" t="s">
        <v>75</v>
      </c>
      <c r="C12262" t="s">
        <v>607</v>
      </c>
      <c r="D12262">
        <v>3798.24</v>
      </c>
      <c r="E12262" s="37" t="str">
        <f t="shared" si="955"/>
        <v xml:space="preserve"> </v>
      </c>
      <c r="F12262">
        <v>0.25</v>
      </c>
      <c r="G12262" s="37" t="str">
        <f t="shared" si="956"/>
        <v>Normal Discount</v>
      </c>
      <c r="H12262" s="37" t="str">
        <f t="shared" si="957"/>
        <v>Medium</v>
      </c>
      <c r="I12262">
        <v>1</v>
      </c>
      <c r="J12262" t="str" cm="1">
        <f t="array" ref="J12262">_xlfn.IFS(I12262&lt;=3,"small",I12262&lt;=6,"Medium",I12262&lt;=9,"Large")</f>
        <v>small</v>
      </c>
      <c r="K12262" s="36">
        <v>44988</v>
      </c>
      <c r="L12262" s="36">
        <v>44995</v>
      </c>
      <c r="M12262" t="s">
        <v>612</v>
      </c>
      <c r="N12262" t="s">
        <v>608</v>
      </c>
      <c r="O12262" s="37" t="str">
        <f t="shared" si="958"/>
        <v>Cash Payment</v>
      </c>
      <c r="P12262">
        <v>1109.5999999999999</v>
      </c>
      <c r="Q12262" s="37" t="str">
        <f>IF(P12262&gt;500,"High","low")</f>
        <v>High</v>
      </c>
      <c r="R12262" s="37" t="str">
        <f t="shared" si="959"/>
        <v>Excellent</v>
      </c>
      <c r="S12262" t="s">
        <v>605</v>
      </c>
    </row>
    <row r="12263" spans="1:19" x14ac:dyDescent="0.2">
      <c r="A12263" t="s">
        <v>12874</v>
      </c>
      <c r="B12263" t="s">
        <v>75</v>
      </c>
      <c r="C12263" t="s">
        <v>602</v>
      </c>
      <c r="D12263">
        <v>3543.85</v>
      </c>
      <c r="E12263" s="37" t="str">
        <f t="shared" si="955"/>
        <v xml:space="preserve"> </v>
      </c>
      <c r="F12263">
        <v>0.49</v>
      </c>
      <c r="G12263" s="37" t="str">
        <f t="shared" si="956"/>
        <v>Heavy Discount</v>
      </c>
      <c r="H12263" s="37" t="str">
        <f t="shared" si="957"/>
        <v>High</v>
      </c>
      <c r="I12263">
        <v>3</v>
      </c>
      <c r="J12263" t="str" cm="1">
        <f t="array" ref="J12263">_xlfn.IFS(I12263&lt;=3,"small",I12263&lt;=6,"Medium",I12263&lt;=9,"Large")</f>
        <v>small</v>
      </c>
      <c r="K12263" s="36">
        <v>45485</v>
      </c>
      <c r="L12263" s="36">
        <v>45489</v>
      </c>
      <c r="M12263" t="s">
        <v>612</v>
      </c>
      <c r="N12263" t="s">
        <v>604</v>
      </c>
      <c r="O12263" s="37" t="str">
        <f t="shared" si="958"/>
        <v>Digital Payment</v>
      </c>
      <c r="P12263">
        <v>231.93</v>
      </c>
      <c r="Q12263" s="37" t="str">
        <f>IF(P12263&gt;500,"High","low")</f>
        <v>low</v>
      </c>
      <c r="R12263" s="37" t="str">
        <f t="shared" si="959"/>
        <v>AVERAGE</v>
      </c>
      <c r="S12263" t="s">
        <v>628</v>
      </c>
    </row>
    <row r="12264" spans="1:19" x14ac:dyDescent="0.2">
      <c r="A12264" t="s">
        <v>12875</v>
      </c>
      <c r="B12264" t="s">
        <v>90</v>
      </c>
      <c r="C12264" t="s">
        <v>602</v>
      </c>
      <c r="D12264">
        <v>4512.6899999999996</v>
      </c>
      <c r="E12264" s="37" t="str">
        <f t="shared" si="955"/>
        <v xml:space="preserve"> </v>
      </c>
      <c r="F12264">
        <v>0.12</v>
      </c>
      <c r="G12264" s="37" t="str">
        <f t="shared" si="956"/>
        <v>Normal Discount</v>
      </c>
      <c r="H12264" s="37" t="str">
        <f t="shared" si="957"/>
        <v>Low</v>
      </c>
      <c r="I12264">
        <v>6</v>
      </c>
      <c r="J12264" t="str" cm="1">
        <f t="array" ref="J12264">_xlfn.IFS(I12264&lt;=3,"small",I12264&lt;=6,"Medium",I12264&lt;=9,"Large")</f>
        <v>Medium</v>
      </c>
      <c r="K12264" s="36">
        <v>45442</v>
      </c>
      <c r="L12264" s="36">
        <v>45448</v>
      </c>
      <c r="M12264" t="s">
        <v>598</v>
      </c>
      <c r="N12264" t="s">
        <v>608</v>
      </c>
      <c r="O12264" s="37" t="str">
        <f t="shared" si="958"/>
        <v>Cash Payment</v>
      </c>
      <c r="P12264">
        <v>603.54</v>
      </c>
      <c r="Q12264" s="37" t="str">
        <f>IF(P12264&gt;500,"High","low")</f>
        <v>High</v>
      </c>
      <c r="R12264" s="37" t="str">
        <f t="shared" si="959"/>
        <v>Good</v>
      </c>
      <c r="S12264" t="s">
        <v>609</v>
      </c>
    </row>
    <row r="12265" spans="1:19" x14ac:dyDescent="0.2">
      <c r="A12265" t="s">
        <v>12876</v>
      </c>
      <c r="B12265" t="s">
        <v>75</v>
      </c>
      <c r="C12265" t="s">
        <v>602</v>
      </c>
      <c r="D12265">
        <v>3128.82</v>
      </c>
      <c r="E12265" s="37" t="str">
        <f t="shared" si="955"/>
        <v xml:space="preserve"> </v>
      </c>
      <c r="F12265">
        <v>7.0000000000000007E-2</v>
      </c>
      <c r="G12265" s="37" t="str">
        <f t="shared" si="956"/>
        <v>Normal Discount</v>
      </c>
      <c r="H12265" s="37" t="str">
        <f t="shared" si="957"/>
        <v>Low</v>
      </c>
      <c r="I12265">
        <v>9</v>
      </c>
      <c r="J12265" t="str" cm="1">
        <f t="array" ref="J12265">_xlfn.IFS(I12265&lt;=3,"small",I12265&lt;=6,"Medium",I12265&lt;=9,"Large")</f>
        <v>Large</v>
      </c>
      <c r="K12265" s="36">
        <v>45626</v>
      </c>
      <c r="L12265" s="36">
        <v>45632</v>
      </c>
      <c r="M12265" t="s">
        <v>598</v>
      </c>
      <c r="N12265" t="s">
        <v>604</v>
      </c>
      <c r="O12265" s="37" t="str">
        <f t="shared" si="958"/>
        <v>Digital Payment</v>
      </c>
      <c r="P12265">
        <v>612.46</v>
      </c>
      <c r="Q12265" s="37" t="str">
        <f>IF(P12265&gt;500,"High","low")</f>
        <v>High</v>
      </c>
      <c r="R12265" s="37" t="str">
        <f t="shared" si="959"/>
        <v>Good</v>
      </c>
      <c r="S12265" t="s">
        <v>600</v>
      </c>
    </row>
    <row r="12266" spans="1:19" x14ac:dyDescent="0.2">
      <c r="A12266" t="s">
        <v>12877</v>
      </c>
      <c r="B12266" t="s">
        <v>83</v>
      </c>
      <c r="C12266" t="s">
        <v>602</v>
      </c>
      <c r="D12266">
        <v>2004.73</v>
      </c>
      <c r="E12266" s="37" t="str">
        <f t="shared" si="955"/>
        <v xml:space="preserve"> </v>
      </c>
      <c r="F12266">
        <v>0.19</v>
      </c>
      <c r="G12266" s="37" t="str">
        <f t="shared" si="956"/>
        <v>Normal Discount</v>
      </c>
      <c r="H12266" s="37" t="str">
        <f t="shared" si="957"/>
        <v>Low</v>
      </c>
      <c r="I12266">
        <v>3</v>
      </c>
      <c r="J12266" t="str" cm="1">
        <f t="array" ref="J12266">_xlfn.IFS(I12266&lt;=3,"small",I12266&lt;=6,"Medium",I12266&lt;=9,"Large")</f>
        <v>small</v>
      </c>
      <c r="K12266" s="36">
        <v>44975</v>
      </c>
      <c r="L12266" s="36">
        <v>44982</v>
      </c>
      <c r="M12266" t="s">
        <v>598</v>
      </c>
      <c r="N12266" t="s">
        <v>604</v>
      </c>
      <c r="O12266" s="37" t="str">
        <f t="shared" si="958"/>
        <v>Digital Payment</v>
      </c>
      <c r="P12266">
        <v>444.03</v>
      </c>
      <c r="Q12266" s="37" t="str">
        <f>IF(P12266&gt;500,"High","low")</f>
        <v>low</v>
      </c>
      <c r="R12266" s="37" t="str">
        <f t="shared" si="959"/>
        <v>AVERAGE</v>
      </c>
      <c r="S12266" t="s">
        <v>628</v>
      </c>
    </row>
    <row r="12267" spans="1:19" x14ac:dyDescent="0.2">
      <c r="A12267" t="s">
        <v>12878</v>
      </c>
      <c r="B12267" t="s">
        <v>90</v>
      </c>
      <c r="C12267" t="s">
        <v>614</v>
      </c>
      <c r="D12267">
        <v>3598.64</v>
      </c>
      <c r="E12267" s="37" t="str">
        <f t="shared" si="955"/>
        <v xml:space="preserve"> </v>
      </c>
      <c r="F12267">
        <v>0.46</v>
      </c>
      <c r="G12267" s="37" t="str">
        <f t="shared" si="956"/>
        <v>Heavy Discount</v>
      </c>
      <c r="H12267" s="37" t="str">
        <f t="shared" si="957"/>
        <v>High</v>
      </c>
      <c r="I12267">
        <v>3</v>
      </c>
      <c r="J12267" t="str" cm="1">
        <f t="array" ref="J12267">_xlfn.IFS(I12267&lt;=3,"small",I12267&lt;=6,"Medium",I12267&lt;=9,"Large")</f>
        <v>small</v>
      </c>
      <c r="K12267" s="36">
        <v>45002</v>
      </c>
      <c r="L12267" s="36">
        <v>45008</v>
      </c>
      <c r="M12267" t="s">
        <v>598</v>
      </c>
      <c r="N12267" t="s">
        <v>599</v>
      </c>
      <c r="O12267" s="37" t="str">
        <f t="shared" si="958"/>
        <v>Digital Payment</v>
      </c>
      <c r="P12267">
        <v>635.5</v>
      </c>
      <c r="Q12267" s="37" t="str">
        <f>IF(P12267&gt;500,"High","low")</f>
        <v>High</v>
      </c>
      <c r="R12267" s="37" t="str">
        <f t="shared" si="959"/>
        <v>Good</v>
      </c>
      <c r="S12267" t="s">
        <v>615</v>
      </c>
    </row>
    <row r="12268" spans="1:19" x14ac:dyDescent="0.2">
      <c r="A12268" t="s">
        <v>12879</v>
      </c>
      <c r="B12268" t="s">
        <v>83</v>
      </c>
      <c r="C12268" t="s">
        <v>602</v>
      </c>
      <c r="D12268">
        <v>3133.28</v>
      </c>
      <c r="E12268" s="37" t="str">
        <f t="shared" si="955"/>
        <v xml:space="preserve"> </v>
      </c>
      <c r="F12268">
        <v>0.43</v>
      </c>
      <c r="G12268" s="37" t="str">
        <f t="shared" si="956"/>
        <v>Heavy Discount</v>
      </c>
      <c r="H12268" s="37" t="str">
        <f t="shared" si="957"/>
        <v>High</v>
      </c>
      <c r="I12268">
        <v>2</v>
      </c>
      <c r="J12268" t="str" cm="1">
        <f t="array" ref="J12268">_xlfn.IFS(I12268&lt;=3,"small",I12268&lt;=6,"Medium",I12268&lt;=9,"Large")</f>
        <v>small</v>
      </c>
      <c r="K12268" s="36">
        <v>45472</v>
      </c>
      <c r="L12268" s="36">
        <v>45473</v>
      </c>
      <c r="M12268" t="s">
        <v>612</v>
      </c>
      <c r="N12268" t="s">
        <v>599</v>
      </c>
      <c r="O12268" s="37" t="str">
        <f t="shared" si="958"/>
        <v>Digital Payment</v>
      </c>
      <c r="P12268">
        <v>816.98</v>
      </c>
      <c r="Q12268" s="37" t="str">
        <f>IF(P12268&gt;500,"High","low")</f>
        <v>High</v>
      </c>
      <c r="R12268" s="37" t="str">
        <f t="shared" si="959"/>
        <v>Good</v>
      </c>
      <c r="S12268" t="s">
        <v>620</v>
      </c>
    </row>
    <row r="12269" spans="1:19" x14ac:dyDescent="0.2">
      <c r="A12269" t="s">
        <v>12880</v>
      </c>
      <c r="B12269" t="s">
        <v>67</v>
      </c>
      <c r="C12269" t="s">
        <v>597</v>
      </c>
      <c r="D12269">
        <v>3121.41</v>
      </c>
      <c r="E12269" s="37" t="str">
        <f t="shared" si="955"/>
        <v xml:space="preserve"> </v>
      </c>
      <c r="F12269">
        <v>0.12</v>
      </c>
      <c r="G12269" s="37" t="str">
        <f t="shared" si="956"/>
        <v>Normal Discount</v>
      </c>
      <c r="H12269" s="37" t="str">
        <f t="shared" si="957"/>
        <v>Low</v>
      </c>
      <c r="I12269">
        <v>2</v>
      </c>
      <c r="J12269" t="str" cm="1">
        <f t="array" ref="J12269">_xlfn.IFS(I12269&lt;=3,"small",I12269&lt;=6,"Medium",I12269&lt;=9,"Large")</f>
        <v>small</v>
      </c>
      <c r="K12269" s="36">
        <v>44982</v>
      </c>
      <c r="L12269" s="36">
        <v>44983</v>
      </c>
      <c r="M12269" t="s">
        <v>612</v>
      </c>
      <c r="N12269" t="s">
        <v>604</v>
      </c>
      <c r="O12269" s="37" t="str">
        <f t="shared" si="958"/>
        <v>Digital Payment</v>
      </c>
      <c r="P12269">
        <v>673.39</v>
      </c>
      <c r="Q12269" s="37" t="str">
        <f>IF(P12269&gt;500,"High","low")</f>
        <v>High</v>
      </c>
      <c r="R12269" s="37" t="str">
        <f t="shared" si="959"/>
        <v>Good</v>
      </c>
      <c r="S12269" t="s">
        <v>620</v>
      </c>
    </row>
    <row r="12270" spans="1:19" x14ac:dyDescent="0.2">
      <c r="A12270" t="s">
        <v>12881</v>
      </c>
      <c r="B12270" t="s">
        <v>83</v>
      </c>
      <c r="C12270" t="s">
        <v>602</v>
      </c>
      <c r="D12270">
        <v>4264.21</v>
      </c>
      <c r="E12270" s="37" t="str">
        <f t="shared" si="955"/>
        <v>Excellent Order</v>
      </c>
      <c r="F12270">
        <v>0.3</v>
      </c>
      <c r="G12270" s="37" t="str">
        <f t="shared" si="956"/>
        <v>Normal Discount</v>
      </c>
      <c r="H12270" s="37" t="str">
        <f t="shared" si="957"/>
        <v>Medium</v>
      </c>
      <c r="I12270">
        <v>7</v>
      </c>
      <c r="J12270" t="str" cm="1">
        <f t="array" ref="J12270">_xlfn.IFS(I12270&lt;=3,"small",I12270&lt;=6,"Medium",I12270&lt;=9,"Large")</f>
        <v>Large</v>
      </c>
      <c r="K12270" s="36">
        <v>45224</v>
      </c>
      <c r="L12270" s="36">
        <v>45226</v>
      </c>
      <c r="M12270" t="s">
        <v>612</v>
      </c>
      <c r="N12270" t="s">
        <v>608</v>
      </c>
      <c r="O12270" s="37" t="str">
        <f t="shared" si="958"/>
        <v>Cash Payment</v>
      </c>
      <c r="P12270">
        <v>1212.52</v>
      </c>
      <c r="Q12270" s="37" t="str">
        <f>IF(P12270&gt;500,"High","low")</f>
        <v>High</v>
      </c>
      <c r="R12270" s="37" t="str">
        <f t="shared" si="959"/>
        <v>Excellent</v>
      </c>
      <c r="S12270" t="s">
        <v>620</v>
      </c>
    </row>
    <row r="12271" spans="1:19" x14ac:dyDescent="0.2">
      <c r="A12271" t="s">
        <v>12882</v>
      </c>
      <c r="B12271" t="s">
        <v>67</v>
      </c>
      <c r="C12271" t="s">
        <v>614</v>
      </c>
      <c r="D12271">
        <v>4561.3</v>
      </c>
      <c r="E12271" s="37" t="str">
        <f t="shared" si="955"/>
        <v>Excellent Order</v>
      </c>
      <c r="F12271">
        <v>0.28999999999999998</v>
      </c>
      <c r="G12271" s="37" t="str">
        <f t="shared" si="956"/>
        <v>Normal Discount</v>
      </c>
      <c r="H12271" s="37" t="str">
        <f t="shared" si="957"/>
        <v>Medium</v>
      </c>
      <c r="I12271">
        <v>4</v>
      </c>
      <c r="J12271" t="str" cm="1">
        <f t="array" ref="J12271">_xlfn.IFS(I12271&lt;=3,"small",I12271&lt;=6,"Medium",I12271&lt;=9,"Large")</f>
        <v>Medium</v>
      </c>
      <c r="K12271" s="36">
        <v>45123</v>
      </c>
      <c r="L12271" s="36">
        <v>45130</v>
      </c>
      <c r="M12271" t="s">
        <v>612</v>
      </c>
      <c r="N12271" t="s">
        <v>604</v>
      </c>
      <c r="O12271" s="37" t="str">
        <f t="shared" si="958"/>
        <v>Digital Payment</v>
      </c>
      <c r="P12271">
        <v>1118.7</v>
      </c>
      <c r="Q12271" s="37" t="str">
        <f>IF(P12271&gt;500,"High","low")</f>
        <v>High</v>
      </c>
      <c r="R12271" s="37" t="str">
        <f t="shared" si="959"/>
        <v>Excellent</v>
      </c>
      <c r="S12271" t="s">
        <v>628</v>
      </c>
    </row>
    <row r="12272" spans="1:19" x14ac:dyDescent="0.2">
      <c r="A12272" t="s">
        <v>12883</v>
      </c>
      <c r="B12272" t="s">
        <v>90</v>
      </c>
      <c r="C12272" t="s">
        <v>617</v>
      </c>
      <c r="D12272">
        <v>983.18</v>
      </c>
      <c r="E12272" s="37" t="str">
        <f t="shared" si="955"/>
        <v xml:space="preserve"> </v>
      </c>
      <c r="F12272">
        <v>0.15</v>
      </c>
      <c r="G12272" s="37" t="str">
        <f t="shared" si="956"/>
        <v>Normal Discount</v>
      </c>
      <c r="H12272" s="37" t="str">
        <f t="shared" si="957"/>
        <v>Low</v>
      </c>
      <c r="I12272">
        <v>6</v>
      </c>
      <c r="J12272" t="str" cm="1">
        <f t="array" ref="J12272">_xlfn.IFS(I12272&lt;=3,"small",I12272&lt;=6,"Medium",I12272&lt;=9,"Large")</f>
        <v>Medium</v>
      </c>
      <c r="K12272" s="36">
        <v>45215</v>
      </c>
      <c r="L12272" s="36">
        <v>45222</v>
      </c>
      <c r="M12272" t="s">
        <v>603</v>
      </c>
      <c r="N12272" t="s">
        <v>604</v>
      </c>
      <c r="O12272" s="37" t="str">
        <f t="shared" si="958"/>
        <v>Digital Payment</v>
      </c>
      <c r="P12272">
        <v>286.56</v>
      </c>
      <c r="Q12272" s="37" t="str">
        <f>IF(P12272&gt;500,"High","low")</f>
        <v>low</v>
      </c>
      <c r="R12272" s="37" t="str">
        <f t="shared" si="959"/>
        <v>AVERAGE</v>
      </c>
      <c r="S12272" t="s">
        <v>615</v>
      </c>
    </row>
    <row r="12273" spans="1:19" x14ac:dyDescent="0.2">
      <c r="A12273" t="s">
        <v>12884</v>
      </c>
      <c r="B12273" t="s">
        <v>67</v>
      </c>
      <c r="C12273" t="s">
        <v>617</v>
      </c>
      <c r="D12273">
        <v>1638.85</v>
      </c>
      <c r="E12273" s="37" t="str">
        <f t="shared" si="955"/>
        <v xml:space="preserve"> </v>
      </c>
      <c r="F12273">
        <v>0.12</v>
      </c>
      <c r="G12273" s="37" t="str">
        <f t="shared" si="956"/>
        <v>Normal Discount</v>
      </c>
      <c r="H12273" s="37" t="str">
        <f t="shared" si="957"/>
        <v>Low</v>
      </c>
      <c r="I12273">
        <v>8</v>
      </c>
      <c r="J12273" t="str" cm="1">
        <f t="array" ref="J12273">_xlfn.IFS(I12273&lt;=3,"small",I12273&lt;=6,"Medium",I12273&lt;=9,"Large")</f>
        <v>Large</v>
      </c>
      <c r="K12273" s="36">
        <v>45152</v>
      </c>
      <c r="L12273" s="36">
        <v>45154</v>
      </c>
      <c r="M12273" t="s">
        <v>603</v>
      </c>
      <c r="N12273" t="s">
        <v>599</v>
      </c>
      <c r="O12273" s="37" t="str">
        <f t="shared" si="958"/>
        <v>Digital Payment</v>
      </c>
      <c r="P12273">
        <v>383.89</v>
      </c>
      <c r="Q12273" s="37" t="str">
        <f>IF(P12273&gt;500,"High","low")</f>
        <v>low</v>
      </c>
      <c r="R12273" s="37" t="str">
        <f t="shared" si="959"/>
        <v>AVERAGE</v>
      </c>
      <c r="S12273" t="s">
        <v>615</v>
      </c>
    </row>
    <row r="12274" spans="1:19" x14ac:dyDescent="0.2">
      <c r="A12274" t="s">
        <v>12885</v>
      </c>
      <c r="B12274" t="s">
        <v>67</v>
      </c>
      <c r="C12274" t="s">
        <v>617</v>
      </c>
      <c r="D12274">
        <v>3286.5</v>
      </c>
      <c r="E12274" s="37" t="str">
        <f t="shared" si="955"/>
        <v xml:space="preserve"> </v>
      </c>
      <c r="F12274">
        <v>0.2</v>
      </c>
      <c r="G12274" s="37" t="str">
        <f t="shared" si="956"/>
        <v>Normal Discount</v>
      </c>
      <c r="H12274" s="37" t="str">
        <f t="shared" si="957"/>
        <v>Medium</v>
      </c>
      <c r="I12274">
        <v>5</v>
      </c>
      <c r="J12274" t="str" cm="1">
        <f t="array" ref="J12274">_xlfn.IFS(I12274&lt;=3,"small",I12274&lt;=6,"Medium",I12274&lt;=9,"Large")</f>
        <v>Medium</v>
      </c>
      <c r="K12274" s="36">
        <v>45150</v>
      </c>
      <c r="L12274" s="36">
        <v>45156</v>
      </c>
      <c r="M12274" t="s">
        <v>612</v>
      </c>
      <c r="N12274" t="s">
        <v>599</v>
      </c>
      <c r="O12274" s="37" t="str">
        <f t="shared" si="958"/>
        <v>Digital Payment</v>
      </c>
      <c r="P12274">
        <v>361.16</v>
      </c>
      <c r="Q12274" s="37" t="str">
        <f>IF(P12274&gt;500,"High","low")</f>
        <v>low</v>
      </c>
      <c r="R12274" s="37" t="str">
        <f t="shared" si="959"/>
        <v>AVERAGE</v>
      </c>
      <c r="S12274" t="s">
        <v>600</v>
      </c>
    </row>
    <row r="12275" spans="1:19" x14ac:dyDescent="0.2">
      <c r="A12275" t="s">
        <v>12886</v>
      </c>
      <c r="B12275" t="s">
        <v>83</v>
      </c>
      <c r="C12275" t="s">
        <v>607</v>
      </c>
      <c r="D12275">
        <v>2830.38</v>
      </c>
      <c r="E12275" s="37" t="str">
        <f t="shared" si="955"/>
        <v xml:space="preserve"> </v>
      </c>
      <c r="F12275">
        <v>0.39</v>
      </c>
      <c r="G12275" s="37" t="str">
        <f t="shared" si="956"/>
        <v>Heavy Discount</v>
      </c>
      <c r="H12275" s="37" t="str">
        <f t="shared" si="957"/>
        <v>Medium</v>
      </c>
      <c r="I12275">
        <v>3</v>
      </c>
      <c r="J12275" t="str" cm="1">
        <f t="array" ref="J12275">_xlfn.IFS(I12275&lt;=3,"small",I12275&lt;=6,"Medium",I12275&lt;=9,"Large")</f>
        <v>small</v>
      </c>
      <c r="K12275" s="36">
        <v>45505</v>
      </c>
      <c r="L12275" s="36">
        <v>45512</v>
      </c>
      <c r="M12275" t="s">
        <v>603</v>
      </c>
      <c r="N12275" t="s">
        <v>608</v>
      </c>
      <c r="O12275" s="37" t="str">
        <f t="shared" si="958"/>
        <v>Cash Payment</v>
      </c>
      <c r="P12275">
        <v>508.34</v>
      </c>
      <c r="Q12275" s="37" t="str">
        <f>IF(P12275&gt;500,"High","low")</f>
        <v>High</v>
      </c>
      <c r="R12275" s="37" t="str">
        <f t="shared" si="959"/>
        <v>Good</v>
      </c>
      <c r="S12275" t="s">
        <v>615</v>
      </c>
    </row>
    <row r="12276" spans="1:19" x14ac:dyDescent="0.2">
      <c r="A12276" t="s">
        <v>12887</v>
      </c>
      <c r="B12276" t="s">
        <v>83</v>
      </c>
      <c r="C12276" t="s">
        <v>597</v>
      </c>
      <c r="D12276">
        <v>3296.4</v>
      </c>
      <c r="E12276" s="37" t="str">
        <f t="shared" si="955"/>
        <v xml:space="preserve"> </v>
      </c>
      <c r="F12276">
        <v>0.1</v>
      </c>
      <c r="G12276" s="37" t="str">
        <f t="shared" si="956"/>
        <v>Normal Discount</v>
      </c>
      <c r="H12276" s="37" t="str">
        <f t="shared" si="957"/>
        <v>Low</v>
      </c>
      <c r="I12276">
        <v>2</v>
      </c>
      <c r="J12276" t="str" cm="1">
        <f t="array" ref="J12276">_xlfn.IFS(I12276&lt;=3,"small",I12276&lt;=6,"Medium",I12276&lt;=9,"Large")</f>
        <v>small</v>
      </c>
      <c r="K12276" s="36">
        <v>45286</v>
      </c>
      <c r="L12276" s="36">
        <v>45289</v>
      </c>
      <c r="M12276" t="s">
        <v>598</v>
      </c>
      <c r="N12276" t="s">
        <v>599</v>
      </c>
      <c r="O12276" s="37" t="str">
        <f t="shared" si="958"/>
        <v>Digital Payment</v>
      </c>
      <c r="P12276">
        <v>450.73</v>
      </c>
      <c r="Q12276" s="37" t="str">
        <f>IF(P12276&gt;500,"High","low")</f>
        <v>low</v>
      </c>
      <c r="R12276" s="37" t="str">
        <f t="shared" si="959"/>
        <v>AVERAGE</v>
      </c>
      <c r="S12276" t="s">
        <v>615</v>
      </c>
    </row>
    <row r="12277" spans="1:19" x14ac:dyDescent="0.2">
      <c r="A12277" t="s">
        <v>12888</v>
      </c>
      <c r="B12277" t="s">
        <v>83</v>
      </c>
      <c r="C12277" t="s">
        <v>614</v>
      </c>
      <c r="D12277">
        <v>2221.77</v>
      </c>
      <c r="E12277" s="37" t="str">
        <f t="shared" si="955"/>
        <v xml:space="preserve"> </v>
      </c>
      <c r="F12277">
        <v>0.22</v>
      </c>
      <c r="G12277" s="37" t="str">
        <f t="shared" si="956"/>
        <v>Normal Discount</v>
      </c>
      <c r="H12277" s="37" t="str">
        <f t="shared" si="957"/>
        <v>Medium</v>
      </c>
      <c r="I12277">
        <v>6</v>
      </c>
      <c r="J12277" t="str" cm="1">
        <f t="array" ref="J12277">_xlfn.IFS(I12277&lt;=3,"small",I12277&lt;=6,"Medium",I12277&lt;=9,"Large")</f>
        <v>Medium</v>
      </c>
      <c r="K12277" s="36">
        <v>45480</v>
      </c>
      <c r="L12277" s="36">
        <v>45487</v>
      </c>
      <c r="M12277" t="s">
        <v>603</v>
      </c>
      <c r="N12277" t="s">
        <v>604</v>
      </c>
      <c r="O12277" s="37" t="str">
        <f t="shared" si="958"/>
        <v>Digital Payment</v>
      </c>
      <c r="P12277">
        <v>368.86</v>
      </c>
      <c r="Q12277" s="37" t="str">
        <f>IF(P12277&gt;500,"High","low")</f>
        <v>low</v>
      </c>
      <c r="R12277" s="37" t="str">
        <f t="shared" si="959"/>
        <v>AVERAGE</v>
      </c>
      <c r="S12277" t="s">
        <v>615</v>
      </c>
    </row>
    <row r="12278" spans="1:19" x14ac:dyDescent="0.2">
      <c r="A12278" t="s">
        <v>12889</v>
      </c>
      <c r="B12278" t="s">
        <v>90</v>
      </c>
      <c r="C12278" t="s">
        <v>617</v>
      </c>
      <c r="D12278">
        <v>2120.9499999999998</v>
      </c>
      <c r="E12278" s="37" t="str">
        <f t="shared" si="955"/>
        <v xml:space="preserve"> </v>
      </c>
      <c r="F12278">
        <v>0.24</v>
      </c>
      <c r="G12278" s="37" t="str">
        <f t="shared" si="956"/>
        <v>Normal Discount</v>
      </c>
      <c r="H12278" s="37" t="str">
        <f t="shared" si="957"/>
        <v>Medium</v>
      </c>
      <c r="I12278">
        <v>8</v>
      </c>
      <c r="J12278" t="str" cm="1">
        <f t="array" ref="J12278">_xlfn.IFS(I12278&lt;=3,"small",I12278&lt;=6,"Medium",I12278&lt;=9,"Large")</f>
        <v>Large</v>
      </c>
      <c r="K12278" s="36">
        <v>44970</v>
      </c>
      <c r="L12278" s="36">
        <v>44976</v>
      </c>
      <c r="M12278" t="s">
        <v>612</v>
      </c>
      <c r="N12278" t="s">
        <v>608</v>
      </c>
      <c r="O12278" s="37" t="str">
        <f t="shared" si="958"/>
        <v>Cash Payment</v>
      </c>
      <c r="P12278">
        <v>363.58</v>
      </c>
      <c r="Q12278" s="37" t="str">
        <f>IF(P12278&gt;500,"High","low")</f>
        <v>low</v>
      </c>
      <c r="R12278" s="37" t="str">
        <f t="shared" si="959"/>
        <v>AVERAGE</v>
      </c>
      <c r="S12278" t="s">
        <v>600</v>
      </c>
    </row>
    <row r="12279" spans="1:19" x14ac:dyDescent="0.2">
      <c r="A12279" t="s">
        <v>12890</v>
      </c>
      <c r="B12279" t="s">
        <v>90</v>
      </c>
      <c r="C12279" t="s">
        <v>614</v>
      </c>
      <c r="D12279">
        <v>676.5</v>
      </c>
      <c r="E12279" s="37" t="str">
        <f t="shared" si="955"/>
        <v xml:space="preserve"> </v>
      </c>
      <c r="F12279">
        <v>0.47</v>
      </c>
      <c r="G12279" s="37" t="str">
        <f t="shared" si="956"/>
        <v>Heavy Discount</v>
      </c>
      <c r="H12279" s="37" t="str">
        <f t="shared" si="957"/>
        <v>High</v>
      </c>
      <c r="I12279">
        <v>4</v>
      </c>
      <c r="J12279" t="str" cm="1">
        <f t="array" ref="J12279">_xlfn.IFS(I12279&lt;=3,"small",I12279&lt;=6,"Medium",I12279&lt;=9,"Large")</f>
        <v>Medium</v>
      </c>
      <c r="K12279" s="36">
        <v>45538</v>
      </c>
      <c r="L12279" s="36">
        <v>45541</v>
      </c>
      <c r="M12279" t="s">
        <v>612</v>
      </c>
      <c r="N12279" t="s">
        <v>608</v>
      </c>
      <c r="O12279" s="37" t="str">
        <f t="shared" si="958"/>
        <v>Cash Payment</v>
      </c>
      <c r="P12279">
        <v>194.66</v>
      </c>
      <c r="Q12279" s="37" t="str">
        <f>IF(P12279&gt;500,"High","low")</f>
        <v>low</v>
      </c>
      <c r="R12279" s="37" t="str">
        <f t="shared" si="959"/>
        <v>AVERAGE</v>
      </c>
      <c r="S12279" t="s">
        <v>628</v>
      </c>
    </row>
    <row r="12280" spans="1:19" x14ac:dyDescent="0.2">
      <c r="A12280" t="s">
        <v>12891</v>
      </c>
      <c r="B12280" t="s">
        <v>83</v>
      </c>
      <c r="C12280" t="s">
        <v>614</v>
      </c>
      <c r="D12280">
        <v>3155.88</v>
      </c>
      <c r="E12280" s="37" t="str">
        <f t="shared" si="955"/>
        <v xml:space="preserve"> </v>
      </c>
      <c r="F12280">
        <v>0.15</v>
      </c>
      <c r="G12280" s="37" t="str">
        <f t="shared" si="956"/>
        <v>Normal Discount</v>
      </c>
      <c r="H12280" s="37" t="str">
        <f t="shared" si="957"/>
        <v>Low</v>
      </c>
      <c r="I12280">
        <v>2</v>
      </c>
      <c r="J12280" t="str" cm="1">
        <f t="array" ref="J12280">_xlfn.IFS(I12280&lt;=3,"small",I12280&lt;=6,"Medium",I12280&lt;=9,"Large")</f>
        <v>small</v>
      </c>
      <c r="K12280" s="36">
        <v>45367</v>
      </c>
      <c r="L12280" s="36">
        <v>45369</v>
      </c>
      <c r="M12280" t="s">
        <v>598</v>
      </c>
      <c r="N12280" t="s">
        <v>608</v>
      </c>
      <c r="O12280" s="37" t="str">
        <f t="shared" si="958"/>
        <v>Cash Payment</v>
      </c>
      <c r="P12280">
        <v>742.17</v>
      </c>
      <c r="Q12280" s="37" t="str">
        <f>IF(P12280&gt;500,"High","low")</f>
        <v>High</v>
      </c>
      <c r="R12280" s="37" t="str">
        <f t="shared" si="959"/>
        <v>Good</v>
      </c>
      <c r="S12280" t="s">
        <v>605</v>
      </c>
    </row>
    <row r="12281" spans="1:19" x14ac:dyDescent="0.2">
      <c r="A12281" t="s">
        <v>12892</v>
      </c>
      <c r="B12281" t="s">
        <v>90</v>
      </c>
      <c r="C12281" t="s">
        <v>607</v>
      </c>
      <c r="D12281">
        <v>961.35</v>
      </c>
      <c r="E12281" s="37" t="str">
        <f t="shared" si="955"/>
        <v xml:space="preserve"> </v>
      </c>
      <c r="F12281">
        <v>0.01</v>
      </c>
      <c r="G12281" s="37" t="str">
        <f t="shared" si="956"/>
        <v>Normal Discount</v>
      </c>
      <c r="H12281" s="37" t="str">
        <f t="shared" si="957"/>
        <v>Low</v>
      </c>
      <c r="I12281">
        <v>3</v>
      </c>
      <c r="J12281" t="str" cm="1">
        <f t="array" ref="J12281">_xlfn.IFS(I12281&lt;=3,"small",I12281&lt;=6,"Medium",I12281&lt;=9,"Large")</f>
        <v>small</v>
      </c>
      <c r="K12281" s="36">
        <v>44962</v>
      </c>
      <c r="L12281" s="36">
        <v>44967</v>
      </c>
      <c r="M12281" t="s">
        <v>612</v>
      </c>
      <c r="N12281" t="s">
        <v>608</v>
      </c>
      <c r="O12281" s="37" t="str">
        <f t="shared" si="958"/>
        <v>Cash Payment</v>
      </c>
      <c r="P12281">
        <v>231.47</v>
      </c>
      <c r="Q12281" s="37" t="str">
        <f>IF(P12281&gt;500,"High","low")</f>
        <v>low</v>
      </c>
      <c r="R12281" s="37" t="str">
        <f t="shared" si="959"/>
        <v>AVERAGE</v>
      </c>
      <c r="S12281" t="s">
        <v>628</v>
      </c>
    </row>
    <row r="12282" spans="1:19" x14ac:dyDescent="0.2">
      <c r="A12282" t="s">
        <v>12893</v>
      </c>
      <c r="B12282" t="s">
        <v>90</v>
      </c>
      <c r="C12282" t="s">
        <v>617</v>
      </c>
      <c r="D12282">
        <v>3388.01</v>
      </c>
      <c r="E12282" s="37" t="str">
        <f t="shared" si="955"/>
        <v xml:space="preserve"> </v>
      </c>
      <c r="F12282">
        <v>0.35</v>
      </c>
      <c r="G12282" s="37" t="str">
        <f t="shared" si="956"/>
        <v>Heavy Discount</v>
      </c>
      <c r="H12282" s="37" t="str">
        <f t="shared" si="957"/>
        <v>Medium</v>
      </c>
      <c r="I12282">
        <v>3</v>
      </c>
      <c r="J12282" t="str" cm="1">
        <f t="array" ref="J12282">_xlfn.IFS(I12282&lt;=3,"small",I12282&lt;=6,"Medium",I12282&lt;=9,"Large")</f>
        <v>small</v>
      </c>
      <c r="K12282" s="36">
        <v>45351</v>
      </c>
      <c r="L12282" s="36">
        <v>45355</v>
      </c>
      <c r="M12282" t="s">
        <v>612</v>
      </c>
      <c r="N12282" t="s">
        <v>599</v>
      </c>
      <c r="O12282" s="37" t="str">
        <f t="shared" si="958"/>
        <v>Digital Payment</v>
      </c>
      <c r="P12282">
        <v>934.55</v>
      </c>
      <c r="Q12282" s="37" t="str">
        <f>IF(P12282&gt;500,"High","low")</f>
        <v>High</v>
      </c>
      <c r="R12282" s="37" t="str">
        <f t="shared" si="959"/>
        <v>Good</v>
      </c>
      <c r="S12282" t="s">
        <v>628</v>
      </c>
    </row>
    <row r="12283" spans="1:19" x14ac:dyDescent="0.2">
      <c r="A12283" t="s">
        <v>12894</v>
      </c>
      <c r="B12283" t="s">
        <v>67</v>
      </c>
      <c r="C12283" t="s">
        <v>602</v>
      </c>
      <c r="D12283">
        <v>4838.6499999999996</v>
      </c>
      <c r="E12283" s="37" t="str">
        <f t="shared" si="955"/>
        <v xml:space="preserve"> </v>
      </c>
      <c r="F12283">
        <v>0.38</v>
      </c>
      <c r="G12283" s="37" t="str">
        <f t="shared" si="956"/>
        <v>Heavy Discount</v>
      </c>
      <c r="H12283" s="37" t="str">
        <f t="shared" si="957"/>
        <v>Medium</v>
      </c>
      <c r="I12283">
        <v>9</v>
      </c>
      <c r="J12283" t="str" cm="1">
        <f t="array" ref="J12283">_xlfn.IFS(I12283&lt;=3,"small",I12283&lt;=6,"Medium",I12283&lt;=9,"Large")</f>
        <v>Large</v>
      </c>
      <c r="K12283" s="36">
        <v>45561</v>
      </c>
      <c r="L12283" s="36">
        <v>45566</v>
      </c>
      <c r="M12283" t="s">
        <v>612</v>
      </c>
      <c r="N12283" t="s">
        <v>599</v>
      </c>
      <c r="O12283" s="37" t="str">
        <f t="shared" si="958"/>
        <v>Digital Payment</v>
      </c>
      <c r="P12283">
        <v>252.47</v>
      </c>
      <c r="Q12283" s="37" t="str">
        <f>IF(P12283&gt;500,"High","low")</f>
        <v>low</v>
      </c>
      <c r="R12283" s="37" t="str">
        <f t="shared" si="959"/>
        <v>AVERAGE</v>
      </c>
      <c r="S12283" t="s">
        <v>609</v>
      </c>
    </row>
    <row r="12284" spans="1:19" x14ac:dyDescent="0.2">
      <c r="A12284" t="s">
        <v>12895</v>
      </c>
      <c r="B12284" t="s">
        <v>67</v>
      </c>
      <c r="C12284" t="s">
        <v>614</v>
      </c>
      <c r="D12284">
        <v>1356.42</v>
      </c>
      <c r="E12284" s="37" t="str">
        <f t="shared" si="955"/>
        <v xml:space="preserve"> </v>
      </c>
      <c r="F12284">
        <v>0.35</v>
      </c>
      <c r="G12284" s="37" t="str">
        <f t="shared" si="956"/>
        <v>Heavy Discount</v>
      </c>
      <c r="H12284" s="37" t="str">
        <f t="shared" si="957"/>
        <v>Medium</v>
      </c>
      <c r="I12284">
        <v>4</v>
      </c>
      <c r="J12284" t="str" cm="1">
        <f t="array" ref="J12284">_xlfn.IFS(I12284&lt;=3,"small",I12284&lt;=6,"Medium",I12284&lt;=9,"Large")</f>
        <v>Medium</v>
      </c>
      <c r="K12284" s="36">
        <v>45622</v>
      </c>
      <c r="L12284" s="36">
        <v>45628</v>
      </c>
      <c r="M12284" t="s">
        <v>612</v>
      </c>
      <c r="N12284" t="s">
        <v>608</v>
      </c>
      <c r="O12284" s="37" t="str">
        <f t="shared" si="958"/>
        <v>Cash Payment</v>
      </c>
      <c r="P12284">
        <v>318.52999999999997</v>
      </c>
      <c r="Q12284" s="37" t="str">
        <f>IF(P12284&gt;500,"High","low")</f>
        <v>low</v>
      </c>
      <c r="R12284" s="37" t="str">
        <f t="shared" si="959"/>
        <v>AVERAGE</v>
      </c>
      <c r="S12284" t="s">
        <v>600</v>
      </c>
    </row>
    <row r="12285" spans="1:19" x14ac:dyDescent="0.2">
      <c r="A12285" t="s">
        <v>12896</v>
      </c>
      <c r="B12285" t="s">
        <v>83</v>
      </c>
      <c r="C12285" t="s">
        <v>617</v>
      </c>
      <c r="D12285">
        <v>796.55</v>
      </c>
      <c r="E12285" s="37" t="str">
        <f t="shared" si="955"/>
        <v xml:space="preserve"> </v>
      </c>
      <c r="F12285">
        <v>0.35</v>
      </c>
      <c r="G12285" s="37" t="str">
        <f t="shared" si="956"/>
        <v>Heavy Discount</v>
      </c>
      <c r="H12285" s="37" t="str">
        <f t="shared" si="957"/>
        <v>Medium</v>
      </c>
      <c r="I12285">
        <v>6</v>
      </c>
      <c r="J12285" t="str" cm="1">
        <f t="array" ref="J12285">_xlfn.IFS(I12285&lt;=3,"small",I12285&lt;=6,"Medium",I12285&lt;=9,"Large")</f>
        <v>Medium</v>
      </c>
      <c r="K12285" s="36">
        <v>45298</v>
      </c>
      <c r="L12285" s="36">
        <v>45304</v>
      </c>
      <c r="M12285" t="s">
        <v>612</v>
      </c>
      <c r="N12285" t="s">
        <v>599</v>
      </c>
      <c r="O12285" s="37" t="str">
        <f t="shared" si="958"/>
        <v>Digital Payment</v>
      </c>
      <c r="P12285">
        <v>188.05</v>
      </c>
      <c r="Q12285" s="37" t="str">
        <f>IF(P12285&gt;500,"High","low")</f>
        <v>low</v>
      </c>
      <c r="R12285" s="37" t="str">
        <f t="shared" si="959"/>
        <v>AVERAGE</v>
      </c>
      <c r="S12285" t="s">
        <v>628</v>
      </c>
    </row>
    <row r="12286" spans="1:19" x14ac:dyDescent="0.2">
      <c r="A12286" t="s">
        <v>12897</v>
      </c>
      <c r="B12286" t="s">
        <v>90</v>
      </c>
      <c r="C12286" t="s">
        <v>614</v>
      </c>
      <c r="D12286">
        <v>218.46</v>
      </c>
      <c r="E12286" s="37" t="str">
        <f t="shared" si="955"/>
        <v xml:space="preserve"> </v>
      </c>
      <c r="F12286">
        <v>0.24</v>
      </c>
      <c r="G12286" s="37" t="str">
        <f t="shared" si="956"/>
        <v>Normal Discount</v>
      </c>
      <c r="H12286" s="37" t="str">
        <f t="shared" si="957"/>
        <v>Medium</v>
      </c>
      <c r="I12286">
        <v>9</v>
      </c>
      <c r="J12286" t="str" cm="1">
        <f t="array" ref="J12286">_xlfn.IFS(I12286&lt;=3,"small",I12286&lt;=6,"Medium",I12286&lt;=9,"Large")</f>
        <v>Large</v>
      </c>
      <c r="K12286" s="36">
        <v>45441</v>
      </c>
      <c r="L12286" s="36">
        <v>45445</v>
      </c>
      <c r="M12286" t="s">
        <v>612</v>
      </c>
      <c r="N12286" t="s">
        <v>599</v>
      </c>
      <c r="O12286" s="37" t="str">
        <f t="shared" si="958"/>
        <v>Digital Payment</v>
      </c>
      <c r="P12286">
        <v>37.57</v>
      </c>
      <c r="Q12286" s="37" t="str">
        <f>IF(P12286&gt;500,"High","low")</f>
        <v>low</v>
      </c>
      <c r="R12286" s="37" t="str">
        <f t="shared" si="959"/>
        <v>AVERAGE</v>
      </c>
      <c r="S12286" t="s">
        <v>605</v>
      </c>
    </row>
    <row r="12287" spans="1:19" x14ac:dyDescent="0.2">
      <c r="A12287" t="s">
        <v>12898</v>
      </c>
      <c r="B12287" t="s">
        <v>67</v>
      </c>
      <c r="C12287" t="s">
        <v>607</v>
      </c>
      <c r="D12287">
        <v>1956.25</v>
      </c>
      <c r="E12287" s="37" t="str">
        <f t="shared" si="955"/>
        <v xml:space="preserve"> </v>
      </c>
      <c r="F12287">
        <v>0.01</v>
      </c>
      <c r="G12287" s="37" t="str">
        <f t="shared" si="956"/>
        <v>Normal Discount</v>
      </c>
      <c r="H12287" s="37" t="str">
        <f t="shared" si="957"/>
        <v>Low</v>
      </c>
      <c r="I12287">
        <v>8</v>
      </c>
      <c r="J12287" t="str" cm="1">
        <f t="array" ref="J12287">_xlfn.IFS(I12287&lt;=3,"small",I12287&lt;=6,"Medium",I12287&lt;=9,"Large")</f>
        <v>Large</v>
      </c>
      <c r="K12287" s="36">
        <v>45296</v>
      </c>
      <c r="L12287" s="36">
        <v>45302</v>
      </c>
      <c r="M12287" t="s">
        <v>603</v>
      </c>
      <c r="N12287" t="s">
        <v>599</v>
      </c>
      <c r="O12287" s="37" t="str">
        <f t="shared" si="958"/>
        <v>Digital Payment</v>
      </c>
      <c r="P12287">
        <v>246.36</v>
      </c>
      <c r="Q12287" s="37" t="str">
        <f>IF(P12287&gt;500,"High","low")</f>
        <v>low</v>
      </c>
      <c r="R12287" s="37" t="str">
        <f t="shared" si="959"/>
        <v>AVERAGE</v>
      </c>
      <c r="S12287" t="s">
        <v>628</v>
      </c>
    </row>
    <row r="12288" spans="1:19" x14ac:dyDescent="0.2">
      <c r="A12288" t="s">
        <v>12899</v>
      </c>
      <c r="B12288" t="s">
        <v>75</v>
      </c>
      <c r="C12288" t="s">
        <v>607</v>
      </c>
      <c r="D12288">
        <v>1151.5899999999999</v>
      </c>
      <c r="E12288" s="37" t="str">
        <f t="shared" si="955"/>
        <v xml:space="preserve"> </v>
      </c>
      <c r="F12288">
        <v>0.36</v>
      </c>
      <c r="G12288" s="37" t="str">
        <f t="shared" si="956"/>
        <v>Heavy Discount</v>
      </c>
      <c r="H12288" s="37" t="str">
        <f t="shared" si="957"/>
        <v>Medium</v>
      </c>
      <c r="I12288">
        <v>9</v>
      </c>
      <c r="J12288" t="str" cm="1">
        <f t="array" ref="J12288">_xlfn.IFS(I12288&lt;=3,"small",I12288&lt;=6,"Medium",I12288&lt;=9,"Large")</f>
        <v>Large</v>
      </c>
      <c r="K12288" s="36">
        <v>45494</v>
      </c>
      <c r="L12288" s="36">
        <v>45496</v>
      </c>
      <c r="M12288" t="s">
        <v>612</v>
      </c>
      <c r="N12288" t="s">
        <v>604</v>
      </c>
      <c r="O12288" s="37" t="str">
        <f t="shared" si="958"/>
        <v>Digital Payment</v>
      </c>
      <c r="P12288">
        <v>72.27</v>
      </c>
      <c r="Q12288" s="37" t="str">
        <f>IF(P12288&gt;500,"High","low")</f>
        <v>low</v>
      </c>
      <c r="R12288" s="37" t="str">
        <f t="shared" si="959"/>
        <v>AVERAGE</v>
      </c>
      <c r="S12288" t="s">
        <v>628</v>
      </c>
    </row>
    <row r="12289" spans="1:19" x14ac:dyDescent="0.2">
      <c r="A12289" t="s">
        <v>12900</v>
      </c>
      <c r="B12289" t="s">
        <v>90</v>
      </c>
      <c r="C12289" t="s">
        <v>602</v>
      </c>
      <c r="D12289">
        <v>2510.11</v>
      </c>
      <c r="E12289" s="37" t="str">
        <f t="shared" si="955"/>
        <v xml:space="preserve"> </v>
      </c>
      <c r="F12289">
        <v>0.47</v>
      </c>
      <c r="G12289" s="37" t="str">
        <f t="shared" si="956"/>
        <v>Heavy Discount</v>
      </c>
      <c r="H12289" s="37" t="str">
        <f t="shared" si="957"/>
        <v>High</v>
      </c>
      <c r="I12289">
        <v>6</v>
      </c>
      <c r="J12289" t="str" cm="1">
        <f t="array" ref="J12289">_xlfn.IFS(I12289&lt;=3,"small",I12289&lt;=6,"Medium",I12289&lt;=9,"Large")</f>
        <v>Medium</v>
      </c>
      <c r="K12289" s="36">
        <v>45366</v>
      </c>
      <c r="L12289" s="36">
        <v>45373</v>
      </c>
      <c r="M12289" t="s">
        <v>598</v>
      </c>
      <c r="N12289" t="s">
        <v>604</v>
      </c>
      <c r="O12289" s="37" t="str">
        <f t="shared" si="958"/>
        <v>Digital Payment</v>
      </c>
      <c r="P12289">
        <v>733.35</v>
      </c>
      <c r="Q12289" s="37" t="str">
        <f>IF(P12289&gt;500,"High","low")</f>
        <v>High</v>
      </c>
      <c r="R12289" s="37" t="str">
        <f t="shared" si="959"/>
        <v>Good</v>
      </c>
      <c r="S12289" t="s">
        <v>615</v>
      </c>
    </row>
    <row r="12290" spans="1:19" x14ac:dyDescent="0.2">
      <c r="A12290" t="s">
        <v>12901</v>
      </c>
      <c r="B12290" t="s">
        <v>75</v>
      </c>
      <c r="C12290" t="s">
        <v>607</v>
      </c>
      <c r="D12290">
        <v>2669.1</v>
      </c>
      <c r="E12290" s="37" t="str">
        <f t="shared" si="955"/>
        <v xml:space="preserve"> </v>
      </c>
      <c r="F12290">
        <v>0.08</v>
      </c>
      <c r="G12290" s="37" t="str">
        <f t="shared" si="956"/>
        <v>Normal Discount</v>
      </c>
      <c r="H12290" s="37" t="str">
        <f t="shared" si="957"/>
        <v>Low</v>
      </c>
      <c r="I12290">
        <v>2</v>
      </c>
      <c r="J12290" t="str" cm="1">
        <f t="array" ref="J12290">_xlfn.IFS(I12290&lt;=3,"small",I12290&lt;=6,"Medium",I12290&lt;=9,"Large")</f>
        <v>small</v>
      </c>
      <c r="K12290" s="36">
        <v>45606</v>
      </c>
      <c r="L12290" s="36">
        <v>45610</v>
      </c>
      <c r="M12290" t="s">
        <v>603</v>
      </c>
      <c r="N12290" t="s">
        <v>608</v>
      </c>
      <c r="O12290" s="37" t="str">
        <f t="shared" si="958"/>
        <v>Cash Payment</v>
      </c>
      <c r="P12290">
        <v>462.37</v>
      </c>
      <c r="Q12290" s="37" t="str">
        <f>IF(P12290&gt;500,"High","low")</f>
        <v>low</v>
      </c>
      <c r="R12290" s="37" t="str">
        <f t="shared" si="959"/>
        <v>AVERAGE</v>
      </c>
      <c r="S12290" t="s">
        <v>620</v>
      </c>
    </row>
    <row r="12291" spans="1:19" x14ac:dyDescent="0.2">
      <c r="A12291" t="s">
        <v>12902</v>
      </c>
      <c r="B12291" t="s">
        <v>83</v>
      </c>
      <c r="C12291" t="s">
        <v>617</v>
      </c>
      <c r="D12291">
        <v>1811.71</v>
      </c>
      <c r="E12291" s="37" t="str">
        <f t="shared" ref="E12291:E12354" si="960">IF(AND(D12291&gt;4000,P12291&gt;800),"Excellent Order"," ")</f>
        <v xml:space="preserve"> </v>
      </c>
      <c r="F12291">
        <v>0.03</v>
      </c>
      <c r="G12291" s="37" t="str">
        <f t="shared" ref="G12291:G12354" si="961">IF(F12291&gt;30%,"Heavy Discount","Normal Discount")</f>
        <v>Normal Discount</v>
      </c>
      <c r="H12291" s="37" t="str">
        <f t="shared" ref="H12291:H12354" si="962">IF(F12291&gt;0.4,"High",IF(F12291&gt;=0.2,"Medium","Low"))</f>
        <v>Low</v>
      </c>
      <c r="I12291">
        <v>5</v>
      </c>
      <c r="J12291" t="str" cm="1">
        <f t="array" ref="J12291">_xlfn.IFS(I12291&lt;=3,"small",I12291&lt;=6,"Medium",I12291&lt;=9,"Large")</f>
        <v>Medium</v>
      </c>
      <c r="K12291" s="36">
        <v>45221</v>
      </c>
      <c r="L12291" s="36">
        <v>45222</v>
      </c>
      <c r="M12291" t="s">
        <v>612</v>
      </c>
      <c r="N12291" t="s">
        <v>599</v>
      </c>
      <c r="O12291" s="37" t="str">
        <f t="shared" ref="O12291:O12354" si="963">IF(OR(N12291="Card",N12291="UPI"),"Digital Payment","Cash Payment")</f>
        <v>Digital Payment</v>
      </c>
      <c r="P12291">
        <v>143.52000000000001</v>
      </c>
      <c r="Q12291" s="37" t="str">
        <f>IF(P12291&gt;500,"High","low")</f>
        <v>low</v>
      </c>
      <c r="R12291" s="37" t="str">
        <f t="shared" ref="R12291:R12354" si="964">IF(P12291&gt;1000,"Excellent",IF(P12291&gt;=500,"Good","AVERAGE"))</f>
        <v>AVERAGE</v>
      </c>
      <c r="S12291" t="s">
        <v>620</v>
      </c>
    </row>
    <row r="12292" spans="1:19" x14ac:dyDescent="0.2">
      <c r="A12292" t="s">
        <v>12903</v>
      </c>
      <c r="B12292" t="s">
        <v>90</v>
      </c>
      <c r="C12292" t="s">
        <v>607</v>
      </c>
      <c r="D12292">
        <v>3774.54</v>
      </c>
      <c r="E12292" s="37" t="str">
        <f t="shared" si="960"/>
        <v xml:space="preserve"> </v>
      </c>
      <c r="F12292">
        <v>0.13</v>
      </c>
      <c r="G12292" s="37" t="str">
        <f t="shared" si="961"/>
        <v>Normal Discount</v>
      </c>
      <c r="H12292" s="37" t="str">
        <f t="shared" si="962"/>
        <v>Low</v>
      </c>
      <c r="I12292">
        <v>3</v>
      </c>
      <c r="J12292" t="str" cm="1">
        <f t="array" ref="J12292">_xlfn.IFS(I12292&lt;=3,"small",I12292&lt;=6,"Medium",I12292&lt;=9,"Large")</f>
        <v>small</v>
      </c>
      <c r="K12292" s="36">
        <v>45546</v>
      </c>
      <c r="L12292" s="36">
        <v>45552</v>
      </c>
      <c r="M12292" t="s">
        <v>603</v>
      </c>
      <c r="N12292" t="s">
        <v>608</v>
      </c>
      <c r="O12292" s="37" t="str">
        <f t="shared" si="963"/>
        <v>Cash Payment</v>
      </c>
      <c r="P12292">
        <v>819.16</v>
      </c>
      <c r="Q12292" s="37" t="str">
        <f>IF(P12292&gt;500,"High","low")</f>
        <v>High</v>
      </c>
      <c r="R12292" s="37" t="str">
        <f t="shared" si="964"/>
        <v>Good</v>
      </c>
      <c r="S12292" t="s">
        <v>620</v>
      </c>
    </row>
    <row r="12293" spans="1:19" x14ac:dyDescent="0.2">
      <c r="A12293" t="s">
        <v>12904</v>
      </c>
      <c r="B12293" t="s">
        <v>83</v>
      </c>
      <c r="C12293" t="s">
        <v>602</v>
      </c>
      <c r="D12293">
        <v>4533.55</v>
      </c>
      <c r="E12293" s="37" t="str">
        <f t="shared" si="960"/>
        <v>Excellent Order</v>
      </c>
      <c r="F12293">
        <v>0.42</v>
      </c>
      <c r="G12293" s="37" t="str">
        <f t="shared" si="961"/>
        <v>Heavy Discount</v>
      </c>
      <c r="H12293" s="37" t="str">
        <f t="shared" si="962"/>
        <v>High</v>
      </c>
      <c r="I12293">
        <v>3</v>
      </c>
      <c r="J12293" t="str" cm="1">
        <f t="array" ref="J12293">_xlfn.IFS(I12293&lt;=3,"small",I12293&lt;=6,"Medium",I12293&lt;=9,"Large")</f>
        <v>small</v>
      </c>
      <c r="K12293" s="36">
        <v>44993</v>
      </c>
      <c r="L12293" s="36">
        <v>44995</v>
      </c>
      <c r="M12293" t="s">
        <v>612</v>
      </c>
      <c r="N12293" t="s">
        <v>608</v>
      </c>
      <c r="O12293" s="37" t="str">
        <f t="shared" si="963"/>
        <v>Cash Payment</v>
      </c>
      <c r="P12293">
        <v>1112.23</v>
      </c>
      <c r="Q12293" s="37" t="str">
        <f>IF(P12293&gt;500,"High","low")</f>
        <v>High</v>
      </c>
      <c r="R12293" s="37" t="str">
        <f t="shared" si="964"/>
        <v>Excellent</v>
      </c>
      <c r="S12293" t="s">
        <v>628</v>
      </c>
    </row>
    <row r="12294" spans="1:19" x14ac:dyDescent="0.2">
      <c r="A12294" t="s">
        <v>12905</v>
      </c>
      <c r="B12294" t="s">
        <v>83</v>
      </c>
      <c r="C12294" t="s">
        <v>597</v>
      </c>
      <c r="D12294">
        <v>1136.46</v>
      </c>
      <c r="E12294" s="37" t="str">
        <f t="shared" si="960"/>
        <v xml:space="preserve"> </v>
      </c>
      <c r="F12294">
        <v>0.05</v>
      </c>
      <c r="G12294" s="37" t="str">
        <f t="shared" si="961"/>
        <v>Normal Discount</v>
      </c>
      <c r="H12294" s="37" t="str">
        <f t="shared" si="962"/>
        <v>Low</v>
      </c>
      <c r="I12294">
        <v>1</v>
      </c>
      <c r="J12294" t="str" cm="1">
        <f t="array" ref="J12294">_xlfn.IFS(I12294&lt;=3,"small",I12294&lt;=6,"Medium",I12294&lt;=9,"Large")</f>
        <v>small</v>
      </c>
      <c r="K12294" s="36">
        <v>45532</v>
      </c>
      <c r="L12294" s="36">
        <v>45534</v>
      </c>
      <c r="M12294" t="s">
        <v>612</v>
      </c>
      <c r="N12294" t="s">
        <v>604</v>
      </c>
      <c r="O12294" s="37" t="str">
        <f t="shared" si="963"/>
        <v>Digital Payment</v>
      </c>
      <c r="P12294">
        <v>318.33</v>
      </c>
      <c r="Q12294" s="37" t="str">
        <f>IF(P12294&gt;500,"High","low")</f>
        <v>low</v>
      </c>
      <c r="R12294" s="37" t="str">
        <f t="shared" si="964"/>
        <v>AVERAGE</v>
      </c>
      <c r="S12294" t="s">
        <v>615</v>
      </c>
    </row>
    <row r="12295" spans="1:19" x14ac:dyDescent="0.2">
      <c r="A12295" t="s">
        <v>12906</v>
      </c>
      <c r="B12295" t="s">
        <v>83</v>
      </c>
      <c r="C12295" t="s">
        <v>614</v>
      </c>
      <c r="D12295">
        <v>4197.8599999999997</v>
      </c>
      <c r="E12295" s="37" t="str">
        <f t="shared" si="960"/>
        <v xml:space="preserve"> </v>
      </c>
      <c r="F12295">
        <v>0.36</v>
      </c>
      <c r="G12295" s="37" t="str">
        <f t="shared" si="961"/>
        <v>Heavy Discount</v>
      </c>
      <c r="H12295" s="37" t="str">
        <f t="shared" si="962"/>
        <v>Medium</v>
      </c>
      <c r="I12295">
        <v>4</v>
      </c>
      <c r="J12295" t="str" cm="1">
        <f t="array" ref="J12295">_xlfn.IFS(I12295&lt;=3,"small",I12295&lt;=6,"Medium",I12295&lt;=9,"Large")</f>
        <v>Medium</v>
      </c>
      <c r="K12295" s="36">
        <v>45247</v>
      </c>
      <c r="L12295" s="36">
        <v>45249</v>
      </c>
      <c r="M12295" t="s">
        <v>603</v>
      </c>
      <c r="N12295" t="s">
        <v>599</v>
      </c>
      <c r="O12295" s="37" t="str">
        <f t="shared" si="963"/>
        <v>Digital Payment</v>
      </c>
      <c r="P12295">
        <v>720.67</v>
      </c>
      <c r="Q12295" s="37" t="str">
        <f>IF(P12295&gt;500,"High","low")</f>
        <v>High</v>
      </c>
      <c r="R12295" s="37" t="str">
        <f t="shared" si="964"/>
        <v>Good</v>
      </c>
      <c r="S12295" t="s">
        <v>600</v>
      </c>
    </row>
    <row r="12296" spans="1:19" x14ac:dyDescent="0.2">
      <c r="A12296" t="s">
        <v>12907</v>
      </c>
      <c r="B12296" t="s">
        <v>83</v>
      </c>
      <c r="C12296" t="s">
        <v>614</v>
      </c>
      <c r="D12296">
        <v>742.82</v>
      </c>
      <c r="E12296" s="37" t="str">
        <f t="shared" si="960"/>
        <v xml:space="preserve"> </v>
      </c>
      <c r="F12296">
        <v>0.03</v>
      </c>
      <c r="G12296" s="37" t="str">
        <f t="shared" si="961"/>
        <v>Normal Discount</v>
      </c>
      <c r="H12296" s="37" t="str">
        <f t="shared" si="962"/>
        <v>Low</v>
      </c>
      <c r="I12296">
        <v>7</v>
      </c>
      <c r="J12296" t="str" cm="1">
        <f t="array" ref="J12296">_xlfn.IFS(I12296&lt;=3,"small",I12296&lt;=6,"Medium",I12296&lt;=9,"Large")</f>
        <v>Large</v>
      </c>
      <c r="K12296" s="36">
        <v>45441</v>
      </c>
      <c r="L12296" s="36">
        <v>45447</v>
      </c>
      <c r="M12296" t="s">
        <v>603</v>
      </c>
      <c r="N12296" t="s">
        <v>599</v>
      </c>
      <c r="O12296" s="37" t="str">
        <f t="shared" si="963"/>
        <v>Digital Payment</v>
      </c>
      <c r="P12296">
        <v>187.41</v>
      </c>
      <c r="Q12296" s="37" t="str">
        <f>IF(P12296&gt;500,"High","low")</f>
        <v>low</v>
      </c>
      <c r="R12296" s="37" t="str">
        <f t="shared" si="964"/>
        <v>AVERAGE</v>
      </c>
      <c r="S12296" t="s">
        <v>600</v>
      </c>
    </row>
    <row r="12297" spans="1:19" x14ac:dyDescent="0.2">
      <c r="A12297" t="s">
        <v>12908</v>
      </c>
      <c r="B12297" t="s">
        <v>83</v>
      </c>
      <c r="C12297" t="s">
        <v>617</v>
      </c>
      <c r="D12297">
        <v>1220.6400000000001</v>
      </c>
      <c r="E12297" s="37" t="str">
        <f t="shared" si="960"/>
        <v xml:space="preserve"> </v>
      </c>
      <c r="F12297">
        <v>0.02</v>
      </c>
      <c r="G12297" s="37" t="str">
        <f t="shared" si="961"/>
        <v>Normal Discount</v>
      </c>
      <c r="H12297" s="37" t="str">
        <f t="shared" si="962"/>
        <v>Low</v>
      </c>
      <c r="I12297">
        <v>3</v>
      </c>
      <c r="J12297" t="str" cm="1">
        <f t="array" ref="J12297">_xlfn.IFS(I12297&lt;=3,"small",I12297&lt;=6,"Medium",I12297&lt;=9,"Large")</f>
        <v>small</v>
      </c>
      <c r="K12297" s="36">
        <v>45309</v>
      </c>
      <c r="L12297" s="36">
        <v>45312</v>
      </c>
      <c r="M12297" t="s">
        <v>598</v>
      </c>
      <c r="N12297" t="s">
        <v>604</v>
      </c>
      <c r="O12297" s="37" t="str">
        <f t="shared" si="963"/>
        <v>Digital Payment</v>
      </c>
      <c r="P12297">
        <v>322.18</v>
      </c>
      <c r="Q12297" s="37" t="str">
        <f>IF(P12297&gt;500,"High","low")</f>
        <v>low</v>
      </c>
      <c r="R12297" s="37" t="str">
        <f t="shared" si="964"/>
        <v>AVERAGE</v>
      </c>
      <c r="S12297" t="s">
        <v>620</v>
      </c>
    </row>
    <row r="12298" spans="1:19" x14ac:dyDescent="0.2">
      <c r="A12298" t="s">
        <v>12909</v>
      </c>
      <c r="B12298" t="s">
        <v>90</v>
      </c>
      <c r="C12298" t="s">
        <v>602</v>
      </c>
      <c r="D12298">
        <v>2850.94</v>
      </c>
      <c r="E12298" s="37" t="str">
        <f t="shared" si="960"/>
        <v xml:space="preserve"> </v>
      </c>
      <c r="F12298">
        <v>0.45</v>
      </c>
      <c r="G12298" s="37" t="str">
        <f t="shared" si="961"/>
        <v>Heavy Discount</v>
      </c>
      <c r="H12298" s="37" t="str">
        <f t="shared" si="962"/>
        <v>High</v>
      </c>
      <c r="I12298">
        <v>7</v>
      </c>
      <c r="J12298" t="str" cm="1">
        <f t="array" ref="J12298">_xlfn.IFS(I12298&lt;=3,"small",I12298&lt;=6,"Medium",I12298&lt;=9,"Large")</f>
        <v>Large</v>
      </c>
      <c r="K12298" s="36">
        <v>45057</v>
      </c>
      <c r="L12298" s="36">
        <v>45063</v>
      </c>
      <c r="M12298" t="s">
        <v>603</v>
      </c>
      <c r="N12298" t="s">
        <v>604</v>
      </c>
      <c r="O12298" s="37" t="str">
        <f t="shared" si="963"/>
        <v>Digital Payment</v>
      </c>
      <c r="P12298">
        <v>294.63</v>
      </c>
      <c r="Q12298" s="37" t="str">
        <f>IF(P12298&gt;500,"High","low")</f>
        <v>low</v>
      </c>
      <c r="R12298" s="37" t="str">
        <f t="shared" si="964"/>
        <v>AVERAGE</v>
      </c>
      <c r="S12298" t="s">
        <v>628</v>
      </c>
    </row>
    <row r="12299" spans="1:19" x14ac:dyDescent="0.2">
      <c r="A12299" t="s">
        <v>12910</v>
      </c>
      <c r="B12299" t="s">
        <v>75</v>
      </c>
      <c r="C12299" t="s">
        <v>602</v>
      </c>
      <c r="D12299">
        <v>1602.25</v>
      </c>
      <c r="E12299" s="37" t="str">
        <f t="shared" si="960"/>
        <v xml:space="preserve"> </v>
      </c>
      <c r="F12299">
        <v>0.39</v>
      </c>
      <c r="G12299" s="37" t="str">
        <f t="shared" si="961"/>
        <v>Heavy Discount</v>
      </c>
      <c r="H12299" s="37" t="str">
        <f t="shared" si="962"/>
        <v>Medium</v>
      </c>
      <c r="I12299">
        <v>6</v>
      </c>
      <c r="J12299" t="str" cm="1">
        <f t="array" ref="J12299">_xlfn.IFS(I12299&lt;=3,"small",I12299&lt;=6,"Medium",I12299&lt;=9,"Large")</f>
        <v>Medium</v>
      </c>
      <c r="K12299" s="36">
        <v>44963</v>
      </c>
      <c r="L12299" s="36">
        <v>44965</v>
      </c>
      <c r="M12299" t="s">
        <v>612</v>
      </c>
      <c r="N12299" t="s">
        <v>608</v>
      </c>
      <c r="O12299" s="37" t="str">
        <f t="shared" si="963"/>
        <v>Cash Payment</v>
      </c>
      <c r="P12299">
        <v>248.33</v>
      </c>
      <c r="Q12299" s="37" t="str">
        <f>IF(P12299&gt;500,"High","low")</f>
        <v>low</v>
      </c>
      <c r="R12299" s="37" t="str">
        <f t="shared" si="964"/>
        <v>AVERAGE</v>
      </c>
      <c r="S12299" t="s">
        <v>605</v>
      </c>
    </row>
    <row r="12300" spans="1:19" x14ac:dyDescent="0.2">
      <c r="A12300" t="s">
        <v>12911</v>
      </c>
      <c r="B12300" t="s">
        <v>90</v>
      </c>
      <c r="C12300" t="s">
        <v>602</v>
      </c>
      <c r="D12300">
        <v>304.38</v>
      </c>
      <c r="E12300" s="37" t="str">
        <f t="shared" si="960"/>
        <v xml:space="preserve"> </v>
      </c>
      <c r="F12300">
        <v>0.3</v>
      </c>
      <c r="G12300" s="37" t="str">
        <f t="shared" si="961"/>
        <v>Normal Discount</v>
      </c>
      <c r="H12300" s="37" t="str">
        <f t="shared" si="962"/>
        <v>Medium</v>
      </c>
      <c r="I12300">
        <v>1</v>
      </c>
      <c r="J12300" t="str" cm="1">
        <f t="array" ref="J12300">_xlfn.IFS(I12300&lt;=3,"small",I12300&lt;=6,"Medium",I12300&lt;=9,"Large")</f>
        <v>small</v>
      </c>
      <c r="K12300" s="36">
        <v>45330</v>
      </c>
      <c r="L12300" s="36">
        <v>45332</v>
      </c>
      <c r="M12300" t="s">
        <v>612</v>
      </c>
      <c r="N12300" t="s">
        <v>599</v>
      </c>
      <c r="O12300" s="37" t="str">
        <f t="shared" si="963"/>
        <v>Digital Payment</v>
      </c>
      <c r="P12300">
        <v>61.18</v>
      </c>
      <c r="Q12300" s="37" t="str">
        <f>IF(P12300&gt;500,"High","low")</f>
        <v>low</v>
      </c>
      <c r="R12300" s="37" t="str">
        <f t="shared" si="964"/>
        <v>AVERAGE</v>
      </c>
      <c r="S12300" t="s">
        <v>600</v>
      </c>
    </row>
    <row r="12301" spans="1:19" x14ac:dyDescent="0.2">
      <c r="A12301" t="s">
        <v>12912</v>
      </c>
      <c r="B12301" t="s">
        <v>90</v>
      </c>
      <c r="C12301" t="s">
        <v>614</v>
      </c>
      <c r="D12301">
        <v>1544.87</v>
      </c>
      <c r="E12301" s="37" t="str">
        <f t="shared" si="960"/>
        <v xml:space="preserve"> </v>
      </c>
      <c r="F12301">
        <v>0.09</v>
      </c>
      <c r="G12301" s="37" t="str">
        <f t="shared" si="961"/>
        <v>Normal Discount</v>
      </c>
      <c r="H12301" s="37" t="str">
        <f t="shared" si="962"/>
        <v>Low</v>
      </c>
      <c r="I12301">
        <v>5</v>
      </c>
      <c r="J12301" t="str" cm="1">
        <f t="array" ref="J12301">_xlfn.IFS(I12301&lt;=3,"small",I12301&lt;=6,"Medium",I12301&lt;=9,"Large")</f>
        <v>Medium</v>
      </c>
      <c r="K12301" s="36">
        <v>45321</v>
      </c>
      <c r="L12301" s="36">
        <v>45327</v>
      </c>
      <c r="M12301" t="s">
        <v>598</v>
      </c>
      <c r="N12301" t="s">
        <v>599</v>
      </c>
      <c r="O12301" s="37" t="str">
        <f t="shared" si="963"/>
        <v>Digital Payment</v>
      </c>
      <c r="P12301">
        <v>285.02999999999997</v>
      </c>
      <c r="Q12301" s="37" t="str">
        <f>IF(P12301&gt;500,"High","low")</f>
        <v>low</v>
      </c>
      <c r="R12301" s="37" t="str">
        <f t="shared" si="964"/>
        <v>AVERAGE</v>
      </c>
      <c r="S12301" t="s">
        <v>609</v>
      </c>
    </row>
    <row r="12302" spans="1:19" x14ac:dyDescent="0.2">
      <c r="A12302" t="s">
        <v>12913</v>
      </c>
      <c r="B12302" t="s">
        <v>90</v>
      </c>
      <c r="C12302" t="s">
        <v>607</v>
      </c>
      <c r="D12302">
        <v>4533.8599999999997</v>
      </c>
      <c r="E12302" s="37" t="str">
        <f t="shared" si="960"/>
        <v>Excellent Order</v>
      </c>
      <c r="F12302">
        <v>0.14000000000000001</v>
      </c>
      <c r="G12302" s="37" t="str">
        <f t="shared" si="961"/>
        <v>Normal Discount</v>
      </c>
      <c r="H12302" s="37" t="str">
        <f t="shared" si="962"/>
        <v>Low</v>
      </c>
      <c r="I12302">
        <v>6</v>
      </c>
      <c r="J12302" t="str" cm="1">
        <f t="array" ref="J12302">_xlfn.IFS(I12302&lt;=3,"small",I12302&lt;=6,"Medium",I12302&lt;=9,"Large")</f>
        <v>Medium</v>
      </c>
      <c r="K12302" s="36">
        <v>45657</v>
      </c>
      <c r="L12302" s="36">
        <v>45659</v>
      </c>
      <c r="M12302" t="s">
        <v>603</v>
      </c>
      <c r="N12302" t="s">
        <v>599</v>
      </c>
      <c r="O12302" s="37" t="str">
        <f t="shared" si="963"/>
        <v>Digital Payment</v>
      </c>
      <c r="P12302">
        <v>1354.27</v>
      </c>
      <c r="Q12302" s="37" t="str">
        <f>IF(P12302&gt;500,"High","low")</f>
        <v>High</v>
      </c>
      <c r="R12302" s="37" t="str">
        <f t="shared" si="964"/>
        <v>Excellent</v>
      </c>
      <c r="S12302" t="s">
        <v>605</v>
      </c>
    </row>
    <row r="12303" spans="1:19" x14ac:dyDescent="0.2">
      <c r="A12303" t="s">
        <v>12914</v>
      </c>
      <c r="B12303" t="s">
        <v>67</v>
      </c>
      <c r="C12303" t="s">
        <v>614</v>
      </c>
      <c r="D12303">
        <v>953.69</v>
      </c>
      <c r="E12303" s="37" t="str">
        <f t="shared" si="960"/>
        <v xml:space="preserve"> </v>
      </c>
      <c r="F12303">
        <v>0.02</v>
      </c>
      <c r="G12303" s="37" t="str">
        <f t="shared" si="961"/>
        <v>Normal Discount</v>
      </c>
      <c r="H12303" s="37" t="str">
        <f t="shared" si="962"/>
        <v>Low</v>
      </c>
      <c r="I12303">
        <v>9</v>
      </c>
      <c r="J12303" t="str" cm="1">
        <f t="array" ref="J12303">_xlfn.IFS(I12303&lt;=3,"small",I12303&lt;=6,"Medium",I12303&lt;=9,"Large")</f>
        <v>Large</v>
      </c>
      <c r="K12303" s="36">
        <v>45590</v>
      </c>
      <c r="L12303" s="36">
        <v>45596</v>
      </c>
      <c r="M12303" t="s">
        <v>603</v>
      </c>
      <c r="N12303" t="s">
        <v>599</v>
      </c>
      <c r="O12303" s="37" t="str">
        <f t="shared" si="963"/>
        <v>Digital Payment</v>
      </c>
      <c r="P12303">
        <v>136.56</v>
      </c>
      <c r="Q12303" s="37" t="str">
        <f>IF(P12303&gt;500,"High","low")</f>
        <v>low</v>
      </c>
      <c r="R12303" s="37" t="str">
        <f t="shared" si="964"/>
        <v>AVERAGE</v>
      </c>
      <c r="S12303" t="s">
        <v>600</v>
      </c>
    </row>
    <row r="12304" spans="1:19" x14ac:dyDescent="0.2">
      <c r="A12304" t="s">
        <v>12915</v>
      </c>
      <c r="B12304" t="s">
        <v>67</v>
      </c>
      <c r="C12304" t="s">
        <v>614</v>
      </c>
      <c r="D12304">
        <v>3842.38</v>
      </c>
      <c r="E12304" s="37" t="str">
        <f t="shared" si="960"/>
        <v xml:space="preserve"> </v>
      </c>
      <c r="F12304">
        <v>0.32</v>
      </c>
      <c r="G12304" s="37" t="str">
        <f t="shared" si="961"/>
        <v>Heavy Discount</v>
      </c>
      <c r="H12304" s="37" t="str">
        <f t="shared" si="962"/>
        <v>Medium</v>
      </c>
      <c r="I12304">
        <v>6</v>
      </c>
      <c r="J12304" t="str" cm="1">
        <f t="array" ref="J12304">_xlfn.IFS(I12304&lt;=3,"small",I12304&lt;=6,"Medium",I12304&lt;=9,"Large")</f>
        <v>Medium</v>
      </c>
      <c r="K12304" s="36">
        <v>45124</v>
      </c>
      <c r="L12304" s="36">
        <v>45130</v>
      </c>
      <c r="M12304" t="s">
        <v>598</v>
      </c>
      <c r="N12304" t="s">
        <v>604</v>
      </c>
      <c r="O12304" s="37" t="str">
        <f t="shared" si="963"/>
        <v>Digital Payment</v>
      </c>
      <c r="P12304">
        <v>1025.1600000000001</v>
      </c>
      <c r="Q12304" s="37" t="str">
        <f>IF(P12304&gt;500,"High","low")</f>
        <v>High</v>
      </c>
      <c r="R12304" s="37" t="str">
        <f t="shared" si="964"/>
        <v>Excellent</v>
      </c>
      <c r="S12304" t="s">
        <v>605</v>
      </c>
    </row>
    <row r="12305" spans="1:19" x14ac:dyDescent="0.2">
      <c r="A12305" t="s">
        <v>12916</v>
      </c>
      <c r="B12305" t="s">
        <v>90</v>
      </c>
      <c r="C12305" t="s">
        <v>614</v>
      </c>
      <c r="D12305">
        <v>3639.18</v>
      </c>
      <c r="E12305" s="37" t="str">
        <f t="shared" si="960"/>
        <v xml:space="preserve"> </v>
      </c>
      <c r="F12305">
        <v>0.34</v>
      </c>
      <c r="G12305" s="37" t="str">
        <f t="shared" si="961"/>
        <v>Heavy Discount</v>
      </c>
      <c r="H12305" s="37" t="str">
        <f t="shared" si="962"/>
        <v>Medium</v>
      </c>
      <c r="I12305">
        <v>8</v>
      </c>
      <c r="J12305" t="str" cm="1">
        <f t="array" ref="J12305">_xlfn.IFS(I12305&lt;=3,"small",I12305&lt;=6,"Medium",I12305&lt;=9,"Large")</f>
        <v>Large</v>
      </c>
      <c r="K12305" s="36">
        <v>44991</v>
      </c>
      <c r="L12305" s="36">
        <v>44996</v>
      </c>
      <c r="M12305" t="s">
        <v>603</v>
      </c>
      <c r="N12305" t="s">
        <v>599</v>
      </c>
      <c r="O12305" s="37" t="str">
        <f t="shared" si="963"/>
        <v>Digital Payment</v>
      </c>
      <c r="P12305">
        <v>358.93</v>
      </c>
      <c r="Q12305" s="37" t="str">
        <f>IF(P12305&gt;500,"High","low")</f>
        <v>low</v>
      </c>
      <c r="R12305" s="37" t="str">
        <f t="shared" si="964"/>
        <v>AVERAGE</v>
      </c>
      <c r="S12305" t="s">
        <v>628</v>
      </c>
    </row>
    <row r="12306" spans="1:19" x14ac:dyDescent="0.2">
      <c r="A12306" t="s">
        <v>12917</v>
      </c>
      <c r="B12306" t="s">
        <v>75</v>
      </c>
      <c r="C12306" t="s">
        <v>607</v>
      </c>
      <c r="D12306">
        <v>620.5</v>
      </c>
      <c r="E12306" s="37" t="str">
        <f t="shared" si="960"/>
        <v xml:space="preserve"> </v>
      </c>
      <c r="F12306">
        <v>0.16</v>
      </c>
      <c r="G12306" s="37" t="str">
        <f t="shared" si="961"/>
        <v>Normal Discount</v>
      </c>
      <c r="H12306" s="37" t="str">
        <f t="shared" si="962"/>
        <v>Low</v>
      </c>
      <c r="I12306">
        <v>2</v>
      </c>
      <c r="J12306" t="str" cm="1">
        <f t="array" ref="J12306">_xlfn.IFS(I12306&lt;=3,"small",I12306&lt;=6,"Medium",I12306&lt;=9,"Large")</f>
        <v>small</v>
      </c>
      <c r="K12306" s="36">
        <v>45047</v>
      </c>
      <c r="L12306" s="36">
        <v>45051</v>
      </c>
      <c r="M12306" t="s">
        <v>603</v>
      </c>
      <c r="N12306" t="s">
        <v>608</v>
      </c>
      <c r="O12306" s="37" t="str">
        <f t="shared" si="963"/>
        <v>Cash Payment</v>
      </c>
      <c r="P12306">
        <v>171.92</v>
      </c>
      <c r="Q12306" s="37" t="str">
        <f>IF(P12306&gt;500,"High","low")</f>
        <v>low</v>
      </c>
      <c r="R12306" s="37" t="str">
        <f t="shared" si="964"/>
        <v>AVERAGE</v>
      </c>
      <c r="S12306" t="s">
        <v>600</v>
      </c>
    </row>
    <row r="12307" spans="1:19" x14ac:dyDescent="0.2">
      <c r="A12307" t="s">
        <v>12918</v>
      </c>
      <c r="B12307" t="s">
        <v>90</v>
      </c>
      <c r="C12307" t="s">
        <v>597</v>
      </c>
      <c r="D12307">
        <v>1714.27</v>
      </c>
      <c r="E12307" s="37" t="str">
        <f t="shared" si="960"/>
        <v xml:space="preserve"> </v>
      </c>
      <c r="F12307">
        <v>0.17</v>
      </c>
      <c r="G12307" s="37" t="str">
        <f t="shared" si="961"/>
        <v>Normal Discount</v>
      </c>
      <c r="H12307" s="37" t="str">
        <f t="shared" si="962"/>
        <v>Low</v>
      </c>
      <c r="I12307">
        <v>1</v>
      </c>
      <c r="J12307" t="str" cm="1">
        <f t="array" ref="J12307">_xlfn.IFS(I12307&lt;=3,"small",I12307&lt;=6,"Medium",I12307&lt;=9,"Large")</f>
        <v>small</v>
      </c>
      <c r="K12307" s="36">
        <v>45265</v>
      </c>
      <c r="L12307" s="36">
        <v>45266</v>
      </c>
      <c r="M12307" t="s">
        <v>603</v>
      </c>
      <c r="N12307" t="s">
        <v>599</v>
      </c>
      <c r="O12307" s="37" t="str">
        <f t="shared" si="963"/>
        <v>Digital Payment</v>
      </c>
      <c r="P12307">
        <v>91.45</v>
      </c>
      <c r="Q12307" s="37" t="str">
        <f>IF(P12307&gt;500,"High","low")</f>
        <v>low</v>
      </c>
      <c r="R12307" s="37" t="str">
        <f t="shared" si="964"/>
        <v>AVERAGE</v>
      </c>
      <c r="S12307" t="s">
        <v>628</v>
      </c>
    </row>
    <row r="12308" spans="1:19" x14ac:dyDescent="0.2">
      <c r="A12308" t="s">
        <v>12919</v>
      </c>
      <c r="B12308" t="s">
        <v>83</v>
      </c>
      <c r="C12308" t="s">
        <v>617</v>
      </c>
      <c r="D12308">
        <v>1027.8499999999999</v>
      </c>
      <c r="E12308" s="37" t="str">
        <f t="shared" si="960"/>
        <v xml:space="preserve"> </v>
      </c>
      <c r="F12308">
        <v>0.31</v>
      </c>
      <c r="G12308" s="37" t="str">
        <f t="shared" si="961"/>
        <v>Heavy Discount</v>
      </c>
      <c r="H12308" s="37" t="str">
        <f t="shared" si="962"/>
        <v>Medium</v>
      </c>
      <c r="I12308">
        <v>1</v>
      </c>
      <c r="J12308" t="str" cm="1">
        <f t="array" ref="J12308">_xlfn.IFS(I12308&lt;=3,"small",I12308&lt;=6,"Medium",I12308&lt;=9,"Large")</f>
        <v>small</v>
      </c>
      <c r="K12308" s="36">
        <v>45298</v>
      </c>
      <c r="L12308" s="36">
        <v>45300</v>
      </c>
      <c r="M12308" t="s">
        <v>603</v>
      </c>
      <c r="N12308" t="s">
        <v>599</v>
      </c>
      <c r="O12308" s="37" t="str">
        <f t="shared" si="963"/>
        <v>Digital Payment</v>
      </c>
      <c r="P12308">
        <v>238.97</v>
      </c>
      <c r="Q12308" s="37" t="str">
        <f>IF(P12308&gt;500,"High","low")</f>
        <v>low</v>
      </c>
      <c r="R12308" s="37" t="str">
        <f t="shared" si="964"/>
        <v>AVERAGE</v>
      </c>
      <c r="S12308" t="s">
        <v>615</v>
      </c>
    </row>
    <row r="12309" spans="1:19" x14ac:dyDescent="0.2">
      <c r="A12309" t="s">
        <v>12920</v>
      </c>
      <c r="B12309" t="s">
        <v>67</v>
      </c>
      <c r="C12309" t="s">
        <v>597</v>
      </c>
      <c r="D12309">
        <v>213.44</v>
      </c>
      <c r="E12309" s="37" t="str">
        <f t="shared" si="960"/>
        <v xml:space="preserve"> </v>
      </c>
      <c r="F12309">
        <v>0.47</v>
      </c>
      <c r="G12309" s="37" t="str">
        <f t="shared" si="961"/>
        <v>Heavy Discount</v>
      </c>
      <c r="H12309" s="37" t="str">
        <f t="shared" si="962"/>
        <v>High</v>
      </c>
      <c r="I12309">
        <v>7</v>
      </c>
      <c r="J12309" t="str" cm="1">
        <f t="array" ref="J12309">_xlfn.IFS(I12309&lt;=3,"small",I12309&lt;=6,"Medium",I12309&lt;=9,"Large")</f>
        <v>Large</v>
      </c>
      <c r="K12309" s="36">
        <v>45560</v>
      </c>
      <c r="L12309" s="36">
        <v>45564</v>
      </c>
      <c r="M12309" t="s">
        <v>612</v>
      </c>
      <c r="N12309" t="s">
        <v>608</v>
      </c>
      <c r="O12309" s="37" t="str">
        <f t="shared" si="963"/>
        <v>Cash Payment</v>
      </c>
      <c r="P12309">
        <v>35.590000000000003</v>
      </c>
      <c r="Q12309" s="37" t="str">
        <f>IF(P12309&gt;500,"High","low")</f>
        <v>low</v>
      </c>
      <c r="R12309" s="37" t="str">
        <f t="shared" si="964"/>
        <v>AVERAGE</v>
      </c>
      <c r="S12309" t="s">
        <v>600</v>
      </c>
    </row>
    <row r="12310" spans="1:19" x14ac:dyDescent="0.2">
      <c r="A12310" t="s">
        <v>12921</v>
      </c>
      <c r="B12310" t="s">
        <v>67</v>
      </c>
      <c r="C12310" t="s">
        <v>597</v>
      </c>
      <c r="D12310">
        <v>947.9</v>
      </c>
      <c r="E12310" s="37" t="str">
        <f t="shared" si="960"/>
        <v xml:space="preserve"> </v>
      </c>
      <c r="F12310">
        <v>0.2</v>
      </c>
      <c r="G12310" s="37" t="str">
        <f t="shared" si="961"/>
        <v>Normal Discount</v>
      </c>
      <c r="H12310" s="37" t="str">
        <f t="shared" si="962"/>
        <v>Medium</v>
      </c>
      <c r="I12310">
        <v>8</v>
      </c>
      <c r="J12310" t="str" cm="1">
        <f t="array" ref="J12310">_xlfn.IFS(I12310&lt;=3,"small",I12310&lt;=6,"Medium",I12310&lt;=9,"Large")</f>
        <v>Large</v>
      </c>
      <c r="K12310" s="36">
        <v>45256</v>
      </c>
      <c r="L12310" s="36">
        <v>45257</v>
      </c>
      <c r="M12310" t="s">
        <v>603</v>
      </c>
      <c r="N12310" t="s">
        <v>599</v>
      </c>
      <c r="O12310" s="37" t="str">
        <f t="shared" si="963"/>
        <v>Digital Payment</v>
      </c>
      <c r="P12310">
        <v>49.34</v>
      </c>
      <c r="Q12310" s="37" t="str">
        <f>IF(P12310&gt;500,"High","low")</f>
        <v>low</v>
      </c>
      <c r="R12310" s="37" t="str">
        <f t="shared" si="964"/>
        <v>AVERAGE</v>
      </c>
      <c r="S12310" t="s">
        <v>600</v>
      </c>
    </row>
    <row r="12311" spans="1:19" x14ac:dyDescent="0.2">
      <c r="A12311" t="s">
        <v>12922</v>
      </c>
      <c r="B12311" t="s">
        <v>90</v>
      </c>
      <c r="C12311" t="s">
        <v>614</v>
      </c>
      <c r="D12311">
        <v>1087.73</v>
      </c>
      <c r="E12311" s="37" t="str">
        <f t="shared" si="960"/>
        <v xml:space="preserve"> </v>
      </c>
      <c r="F12311">
        <v>0.25</v>
      </c>
      <c r="G12311" s="37" t="str">
        <f t="shared" si="961"/>
        <v>Normal Discount</v>
      </c>
      <c r="H12311" s="37" t="str">
        <f t="shared" si="962"/>
        <v>Medium</v>
      </c>
      <c r="I12311">
        <v>8</v>
      </c>
      <c r="J12311" t="str" cm="1">
        <f t="array" ref="J12311">_xlfn.IFS(I12311&lt;=3,"small",I12311&lt;=6,"Medium",I12311&lt;=9,"Large")</f>
        <v>Large</v>
      </c>
      <c r="K12311" s="36">
        <v>45086</v>
      </c>
      <c r="L12311" s="36">
        <v>45090</v>
      </c>
      <c r="M12311" t="s">
        <v>598</v>
      </c>
      <c r="N12311" t="s">
        <v>604</v>
      </c>
      <c r="O12311" s="37" t="str">
        <f t="shared" si="963"/>
        <v>Digital Payment</v>
      </c>
      <c r="P12311">
        <v>297.60000000000002</v>
      </c>
      <c r="Q12311" s="37" t="str">
        <f>IF(P12311&gt;500,"High","low")</f>
        <v>low</v>
      </c>
      <c r="R12311" s="37" t="str">
        <f t="shared" si="964"/>
        <v>AVERAGE</v>
      </c>
      <c r="S12311" t="s">
        <v>605</v>
      </c>
    </row>
    <row r="12312" spans="1:19" x14ac:dyDescent="0.2">
      <c r="A12312" t="s">
        <v>12923</v>
      </c>
      <c r="B12312" t="s">
        <v>90</v>
      </c>
      <c r="C12312" t="s">
        <v>597</v>
      </c>
      <c r="D12312">
        <v>913.3</v>
      </c>
      <c r="E12312" s="37" t="str">
        <f t="shared" si="960"/>
        <v xml:space="preserve"> </v>
      </c>
      <c r="F12312">
        <v>0.35</v>
      </c>
      <c r="G12312" s="37" t="str">
        <f t="shared" si="961"/>
        <v>Heavy Discount</v>
      </c>
      <c r="H12312" s="37" t="str">
        <f t="shared" si="962"/>
        <v>Medium</v>
      </c>
      <c r="I12312">
        <v>3</v>
      </c>
      <c r="J12312" t="str" cm="1">
        <f t="array" ref="J12312">_xlfn.IFS(I12312&lt;=3,"small",I12312&lt;=6,"Medium",I12312&lt;=9,"Large")</f>
        <v>small</v>
      </c>
      <c r="K12312" s="36">
        <v>45628</v>
      </c>
      <c r="L12312" s="36">
        <v>45630</v>
      </c>
      <c r="M12312" t="s">
        <v>598</v>
      </c>
      <c r="N12312" t="s">
        <v>608</v>
      </c>
      <c r="O12312" s="37" t="str">
        <f t="shared" si="963"/>
        <v>Cash Payment</v>
      </c>
      <c r="P12312">
        <v>197.56</v>
      </c>
      <c r="Q12312" s="37" t="str">
        <f>IF(P12312&gt;500,"High","low")</f>
        <v>low</v>
      </c>
      <c r="R12312" s="37" t="str">
        <f t="shared" si="964"/>
        <v>AVERAGE</v>
      </c>
      <c r="S12312" t="s">
        <v>620</v>
      </c>
    </row>
    <row r="12313" spans="1:19" x14ac:dyDescent="0.2">
      <c r="A12313" t="s">
        <v>12924</v>
      </c>
      <c r="B12313" t="s">
        <v>75</v>
      </c>
      <c r="C12313" t="s">
        <v>614</v>
      </c>
      <c r="D12313">
        <v>546.38</v>
      </c>
      <c r="E12313" s="37" t="str">
        <f t="shared" si="960"/>
        <v xml:space="preserve"> </v>
      </c>
      <c r="F12313">
        <v>0.17</v>
      </c>
      <c r="G12313" s="37" t="str">
        <f t="shared" si="961"/>
        <v>Normal Discount</v>
      </c>
      <c r="H12313" s="37" t="str">
        <f t="shared" si="962"/>
        <v>Low</v>
      </c>
      <c r="I12313">
        <v>5</v>
      </c>
      <c r="J12313" t="str" cm="1">
        <f t="array" ref="J12313">_xlfn.IFS(I12313&lt;=3,"small",I12313&lt;=6,"Medium",I12313&lt;=9,"Large")</f>
        <v>Medium</v>
      </c>
      <c r="K12313" s="36">
        <v>45422</v>
      </c>
      <c r="L12313" s="36">
        <v>45426</v>
      </c>
      <c r="M12313" t="s">
        <v>598</v>
      </c>
      <c r="N12313" t="s">
        <v>604</v>
      </c>
      <c r="O12313" s="37" t="str">
        <f t="shared" si="963"/>
        <v>Digital Payment</v>
      </c>
      <c r="P12313">
        <v>126.5</v>
      </c>
      <c r="Q12313" s="37" t="str">
        <f>IF(P12313&gt;500,"High","low")</f>
        <v>low</v>
      </c>
      <c r="R12313" s="37" t="str">
        <f t="shared" si="964"/>
        <v>AVERAGE</v>
      </c>
      <c r="S12313" t="s">
        <v>605</v>
      </c>
    </row>
    <row r="12314" spans="1:19" x14ac:dyDescent="0.2">
      <c r="A12314" t="s">
        <v>12925</v>
      </c>
      <c r="B12314" t="s">
        <v>75</v>
      </c>
      <c r="C12314" t="s">
        <v>614</v>
      </c>
      <c r="D12314">
        <v>2678.9</v>
      </c>
      <c r="E12314" s="37" t="str">
        <f t="shared" si="960"/>
        <v xml:space="preserve"> </v>
      </c>
      <c r="F12314">
        <v>0.43</v>
      </c>
      <c r="G12314" s="37" t="str">
        <f t="shared" si="961"/>
        <v>Heavy Discount</v>
      </c>
      <c r="H12314" s="37" t="str">
        <f t="shared" si="962"/>
        <v>High</v>
      </c>
      <c r="I12314">
        <v>7</v>
      </c>
      <c r="J12314" t="str" cm="1">
        <f t="array" ref="J12314">_xlfn.IFS(I12314&lt;=3,"small",I12314&lt;=6,"Medium",I12314&lt;=9,"Large")</f>
        <v>Large</v>
      </c>
      <c r="K12314" s="36">
        <v>45539</v>
      </c>
      <c r="L12314" s="36">
        <v>45543</v>
      </c>
      <c r="M12314" t="s">
        <v>603</v>
      </c>
      <c r="N12314" t="s">
        <v>599</v>
      </c>
      <c r="O12314" s="37" t="str">
        <f t="shared" si="963"/>
        <v>Digital Payment</v>
      </c>
      <c r="P12314">
        <v>543.79999999999995</v>
      </c>
      <c r="Q12314" s="37" t="str">
        <f>IF(P12314&gt;500,"High","low")</f>
        <v>High</v>
      </c>
      <c r="R12314" s="37" t="str">
        <f t="shared" si="964"/>
        <v>Good</v>
      </c>
      <c r="S12314" t="s">
        <v>605</v>
      </c>
    </row>
    <row r="12315" spans="1:19" x14ac:dyDescent="0.2">
      <c r="A12315" t="s">
        <v>12926</v>
      </c>
      <c r="B12315" t="s">
        <v>83</v>
      </c>
      <c r="C12315" t="s">
        <v>617</v>
      </c>
      <c r="D12315">
        <v>1680.93</v>
      </c>
      <c r="E12315" s="37" t="str">
        <f t="shared" si="960"/>
        <v xml:space="preserve"> </v>
      </c>
      <c r="F12315">
        <v>0.42</v>
      </c>
      <c r="G12315" s="37" t="str">
        <f t="shared" si="961"/>
        <v>Heavy Discount</v>
      </c>
      <c r="H12315" s="37" t="str">
        <f t="shared" si="962"/>
        <v>High</v>
      </c>
      <c r="I12315">
        <v>9</v>
      </c>
      <c r="J12315" t="str" cm="1">
        <f t="array" ref="J12315">_xlfn.IFS(I12315&lt;=3,"small",I12315&lt;=6,"Medium",I12315&lt;=9,"Large")</f>
        <v>Large</v>
      </c>
      <c r="K12315" s="36">
        <v>45504</v>
      </c>
      <c r="L12315" s="36">
        <v>45508</v>
      </c>
      <c r="M12315" t="s">
        <v>612</v>
      </c>
      <c r="N12315" t="s">
        <v>599</v>
      </c>
      <c r="O12315" s="37" t="str">
        <f t="shared" si="963"/>
        <v>Digital Payment</v>
      </c>
      <c r="P12315">
        <v>469.52</v>
      </c>
      <c r="Q12315" s="37" t="str">
        <f>IF(P12315&gt;500,"High","low")</f>
        <v>low</v>
      </c>
      <c r="R12315" s="37" t="str">
        <f t="shared" si="964"/>
        <v>AVERAGE</v>
      </c>
      <c r="S12315" t="s">
        <v>628</v>
      </c>
    </row>
    <row r="12316" spans="1:19" x14ac:dyDescent="0.2">
      <c r="A12316" t="s">
        <v>12927</v>
      </c>
      <c r="B12316" t="s">
        <v>90</v>
      </c>
      <c r="C12316" t="s">
        <v>602</v>
      </c>
      <c r="D12316">
        <v>4550.42</v>
      </c>
      <c r="E12316" s="37" t="str">
        <f t="shared" si="960"/>
        <v>Excellent Order</v>
      </c>
      <c r="F12316">
        <v>0.34</v>
      </c>
      <c r="G12316" s="37" t="str">
        <f t="shared" si="961"/>
        <v>Heavy Discount</v>
      </c>
      <c r="H12316" s="37" t="str">
        <f t="shared" si="962"/>
        <v>Medium</v>
      </c>
      <c r="I12316">
        <v>5</v>
      </c>
      <c r="J12316" t="str" cm="1">
        <f t="array" ref="J12316">_xlfn.IFS(I12316&lt;=3,"small",I12316&lt;=6,"Medium",I12316&lt;=9,"Large")</f>
        <v>Medium</v>
      </c>
      <c r="K12316" s="36">
        <v>45347</v>
      </c>
      <c r="L12316" s="36">
        <v>45349</v>
      </c>
      <c r="M12316" t="s">
        <v>598</v>
      </c>
      <c r="N12316" t="s">
        <v>604</v>
      </c>
      <c r="O12316" s="37" t="str">
        <f t="shared" si="963"/>
        <v>Digital Payment</v>
      </c>
      <c r="P12316">
        <v>1156.8800000000001</v>
      </c>
      <c r="Q12316" s="37" t="str">
        <f>IF(P12316&gt;500,"High","low")</f>
        <v>High</v>
      </c>
      <c r="R12316" s="37" t="str">
        <f t="shared" si="964"/>
        <v>Excellent</v>
      </c>
      <c r="S12316" t="s">
        <v>615</v>
      </c>
    </row>
    <row r="12317" spans="1:19" x14ac:dyDescent="0.2">
      <c r="A12317" t="s">
        <v>12928</v>
      </c>
      <c r="B12317" t="s">
        <v>90</v>
      </c>
      <c r="C12317" t="s">
        <v>614</v>
      </c>
      <c r="D12317">
        <v>1017.35</v>
      </c>
      <c r="E12317" s="37" t="str">
        <f t="shared" si="960"/>
        <v xml:space="preserve"> </v>
      </c>
      <c r="F12317">
        <v>0.27</v>
      </c>
      <c r="G12317" s="37" t="str">
        <f t="shared" si="961"/>
        <v>Normal Discount</v>
      </c>
      <c r="H12317" s="37" t="str">
        <f t="shared" si="962"/>
        <v>Medium</v>
      </c>
      <c r="I12317">
        <v>4</v>
      </c>
      <c r="J12317" t="str" cm="1">
        <f t="array" ref="J12317">_xlfn.IFS(I12317&lt;=3,"small",I12317&lt;=6,"Medium",I12317&lt;=9,"Large")</f>
        <v>Medium</v>
      </c>
      <c r="K12317" s="36">
        <v>44972</v>
      </c>
      <c r="L12317" s="36">
        <v>44975</v>
      </c>
      <c r="M12317" t="s">
        <v>598</v>
      </c>
      <c r="N12317" t="s">
        <v>599</v>
      </c>
      <c r="O12317" s="37" t="str">
        <f t="shared" si="963"/>
        <v>Digital Payment</v>
      </c>
      <c r="P12317">
        <v>126.17</v>
      </c>
      <c r="Q12317" s="37" t="str">
        <f>IF(P12317&gt;500,"High","low")</f>
        <v>low</v>
      </c>
      <c r="R12317" s="37" t="str">
        <f t="shared" si="964"/>
        <v>AVERAGE</v>
      </c>
      <c r="S12317" t="s">
        <v>615</v>
      </c>
    </row>
    <row r="12318" spans="1:19" x14ac:dyDescent="0.2">
      <c r="A12318" t="s">
        <v>12929</v>
      </c>
      <c r="B12318" t="s">
        <v>90</v>
      </c>
      <c r="C12318" t="s">
        <v>597</v>
      </c>
      <c r="D12318">
        <v>3054.03</v>
      </c>
      <c r="E12318" s="37" t="str">
        <f t="shared" si="960"/>
        <v xml:space="preserve"> </v>
      </c>
      <c r="F12318">
        <v>0.49</v>
      </c>
      <c r="G12318" s="37" t="str">
        <f t="shared" si="961"/>
        <v>Heavy Discount</v>
      </c>
      <c r="H12318" s="37" t="str">
        <f t="shared" si="962"/>
        <v>High</v>
      </c>
      <c r="I12318">
        <v>4</v>
      </c>
      <c r="J12318" t="str" cm="1">
        <f t="array" ref="J12318">_xlfn.IFS(I12318&lt;=3,"small",I12318&lt;=6,"Medium",I12318&lt;=9,"Large")</f>
        <v>Medium</v>
      </c>
      <c r="K12318" s="36">
        <v>45643</v>
      </c>
      <c r="L12318" s="36">
        <v>45646</v>
      </c>
      <c r="M12318" t="s">
        <v>612</v>
      </c>
      <c r="N12318" t="s">
        <v>608</v>
      </c>
      <c r="O12318" s="37" t="str">
        <f t="shared" si="963"/>
        <v>Cash Payment</v>
      </c>
      <c r="P12318">
        <v>412.55</v>
      </c>
      <c r="Q12318" s="37" t="str">
        <f>IF(P12318&gt;500,"High","low")</f>
        <v>low</v>
      </c>
      <c r="R12318" s="37" t="str">
        <f t="shared" si="964"/>
        <v>AVERAGE</v>
      </c>
      <c r="S12318" t="s">
        <v>620</v>
      </c>
    </row>
    <row r="12319" spans="1:19" x14ac:dyDescent="0.2">
      <c r="A12319" t="s">
        <v>12930</v>
      </c>
      <c r="B12319" t="s">
        <v>67</v>
      </c>
      <c r="C12319" t="s">
        <v>617</v>
      </c>
      <c r="D12319">
        <v>4513.04</v>
      </c>
      <c r="E12319" s="37" t="str">
        <f t="shared" si="960"/>
        <v xml:space="preserve"> </v>
      </c>
      <c r="F12319">
        <v>0.35</v>
      </c>
      <c r="G12319" s="37" t="str">
        <f t="shared" si="961"/>
        <v>Heavy Discount</v>
      </c>
      <c r="H12319" s="37" t="str">
        <f t="shared" si="962"/>
        <v>Medium</v>
      </c>
      <c r="I12319">
        <v>6</v>
      </c>
      <c r="J12319" t="str" cm="1">
        <f t="array" ref="J12319">_xlfn.IFS(I12319&lt;=3,"small",I12319&lt;=6,"Medium",I12319&lt;=9,"Large")</f>
        <v>Medium</v>
      </c>
      <c r="K12319" s="36">
        <v>45366</v>
      </c>
      <c r="L12319" s="36">
        <v>45370</v>
      </c>
      <c r="M12319" t="s">
        <v>598</v>
      </c>
      <c r="N12319" t="s">
        <v>604</v>
      </c>
      <c r="O12319" s="37" t="str">
        <f t="shared" si="963"/>
        <v>Digital Payment</v>
      </c>
      <c r="P12319">
        <v>369.23</v>
      </c>
      <c r="Q12319" s="37" t="str">
        <f>IF(P12319&gt;500,"High","low")</f>
        <v>low</v>
      </c>
      <c r="R12319" s="37" t="str">
        <f t="shared" si="964"/>
        <v>AVERAGE</v>
      </c>
      <c r="S12319" t="s">
        <v>628</v>
      </c>
    </row>
    <row r="12320" spans="1:19" x14ac:dyDescent="0.2">
      <c r="A12320" t="s">
        <v>12931</v>
      </c>
      <c r="B12320" t="s">
        <v>83</v>
      </c>
      <c r="C12320" t="s">
        <v>597</v>
      </c>
      <c r="D12320">
        <v>331.23</v>
      </c>
      <c r="E12320" s="37" t="str">
        <f t="shared" si="960"/>
        <v xml:space="preserve"> </v>
      </c>
      <c r="F12320">
        <v>0.32</v>
      </c>
      <c r="G12320" s="37" t="str">
        <f t="shared" si="961"/>
        <v>Heavy Discount</v>
      </c>
      <c r="H12320" s="37" t="str">
        <f t="shared" si="962"/>
        <v>Medium</v>
      </c>
      <c r="I12320">
        <v>9</v>
      </c>
      <c r="J12320" t="str" cm="1">
        <f t="array" ref="J12320">_xlfn.IFS(I12320&lt;=3,"small",I12320&lt;=6,"Medium",I12320&lt;=9,"Large")</f>
        <v>Large</v>
      </c>
      <c r="K12320" s="36">
        <v>45232</v>
      </c>
      <c r="L12320" s="36">
        <v>45238</v>
      </c>
      <c r="M12320" t="s">
        <v>603</v>
      </c>
      <c r="N12320" t="s">
        <v>604</v>
      </c>
      <c r="O12320" s="37" t="str">
        <f t="shared" si="963"/>
        <v>Digital Payment</v>
      </c>
      <c r="P12320">
        <v>20.52</v>
      </c>
      <c r="Q12320" s="37" t="str">
        <f>IF(P12320&gt;500,"High","low")</f>
        <v>low</v>
      </c>
      <c r="R12320" s="37" t="str">
        <f t="shared" si="964"/>
        <v>AVERAGE</v>
      </c>
      <c r="S12320" t="s">
        <v>620</v>
      </c>
    </row>
    <row r="12321" spans="1:19" x14ac:dyDescent="0.2">
      <c r="A12321" t="s">
        <v>12932</v>
      </c>
      <c r="B12321" t="s">
        <v>75</v>
      </c>
      <c r="C12321" t="s">
        <v>602</v>
      </c>
      <c r="D12321">
        <v>2629.76</v>
      </c>
      <c r="E12321" s="37" t="str">
        <f t="shared" si="960"/>
        <v xml:space="preserve"> </v>
      </c>
      <c r="F12321">
        <v>0.44</v>
      </c>
      <c r="G12321" s="37" t="str">
        <f t="shared" si="961"/>
        <v>Heavy Discount</v>
      </c>
      <c r="H12321" s="37" t="str">
        <f t="shared" si="962"/>
        <v>High</v>
      </c>
      <c r="I12321">
        <v>1</v>
      </c>
      <c r="J12321" t="str" cm="1">
        <f t="array" ref="J12321">_xlfn.IFS(I12321&lt;=3,"small",I12321&lt;=6,"Medium",I12321&lt;=9,"Large")</f>
        <v>small</v>
      </c>
      <c r="K12321" s="36">
        <v>45308</v>
      </c>
      <c r="L12321" s="36">
        <v>45314</v>
      </c>
      <c r="M12321" t="s">
        <v>598</v>
      </c>
      <c r="N12321" t="s">
        <v>608</v>
      </c>
      <c r="O12321" s="37" t="str">
        <f t="shared" si="963"/>
        <v>Cash Payment</v>
      </c>
      <c r="P12321">
        <v>644.17999999999995</v>
      </c>
      <c r="Q12321" s="37" t="str">
        <f>IF(P12321&gt;500,"High","low")</f>
        <v>High</v>
      </c>
      <c r="R12321" s="37" t="str">
        <f t="shared" si="964"/>
        <v>Good</v>
      </c>
      <c r="S12321" t="s">
        <v>620</v>
      </c>
    </row>
    <row r="12322" spans="1:19" x14ac:dyDescent="0.2">
      <c r="A12322" t="s">
        <v>12933</v>
      </c>
      <c r="B12322" t="s">
        <v>67</v>
      </c>
      <c r="C12322" t="s">
        <v>607</v>
      </c>
      <c r="D12322">
        <v>2308.2800000000002</v>
      </c>
      <c r="E12322" s="37" t="str">
        <f t="shared" si="960"/>
        <v xml:space="preserve"> </v>
      </c>
      <c r="F12322">
        <v>0.28000000000000003</v>
      </c>
      <c r="G12322" s="37" t="str">
        <f t="shared" si="961"/>
        <v>Normal Discount</v>
      </c>
      <c r="H12322" s="37" t="str">
        <f t="shared" si="962"/>
        <v>Medium</v>
      </c>
      <c r="I12322">
        <v>1</v>
      </c>
      <c r="J12322" t="str" cm="1">
        <f t="array" ref="J12322">_xlfn.IFS(I12322&lt;=3,"small",I12322&lt;=6,"Medium",I12322&lt;=9,"Large")</f>
        <v>small</v>
      </c>
      <c r="K12322" s="36">
        <v>45327</v>
      </c>
      <c r="L12322" s="36">
        <v>45334</v>
      </c>
      <c r="M12322" t="s">
        <v>603</v>
      </c>
      <c r="N12322" t="s">
        <v>604</v>
      </c>
      <c r="O12322" s="37" t="str">
        <f t="shared" si="963"/>
        <v>Digital Payment</v>
      </c>
      <c r="P12322">
        <v>305.88</v>
      </c>
      <c r="Q12322" s="37" t="str">
        <f>IF(P12322&gt;500,"High","low")</f>
        <v>low</v>
      </c>
      <c r="R12322" s="37" t="str">
        <f t="shared" si="964"/>
        <v>AVERAGE</v>
      </c>
      <c r="S12322" t="s">
        <v>628</v>
      </c>
    </row>
    <row r="12323" spans="1:19" x14ac:dyDescent="0.2">
      <c r="A12323" t="s">
        <v>12934</v>
      </c>
      <c r="B12323" t="s">
        <v>67</v>
      </c>
      <c r="C12323" t="s">
        <v>602</v>
      </c>
      <c r="D12323">
        <v>4651.0200000000004</v>
      </c>
      <c r="E12323" s="37" t="str">
        <f t="shared" si="960"/>
        <v>Excellent Order</v>
      </c>
      <c r="F12323">
        <v>0.12</v>
      </c>
      <c r="G12323" s="37" t="str">
        <f t="shared" si="961"/>
        <v>Normal Discount</v>
      </c>
      <c r="H12323" s="37" t="str">
        <f t="shared" si="962"/>
        <v>Low</v>
      </c>
      <c r="I12323">
        <v>1</v>
      </c>
      <c r="J12323" t="str" cm="1">
        <f t="array" ref="J12323">_xlfn.IFS(I12323&lt;=3,"small",I12323&lt;=6,"Medium",I12323&lt;=9,"Large")</f>
        <v>small</v>
      </c>
      <c r="K12323" s="36">
        <v>45465</v>
      </c>
      <c r="L12323" s="36">
        <v>45467</v>
      </c>
      <c r="M12323" t="s">
        <v>612</v>
      </c>
      <c r="N12323" t="s">
        <v>604</v>
      </c>
      <c r="O12323" s="37" t="str">
        <f t="shared" si="963"/>
        <v>Digital Payment</v>
      </c>
      <c r="P12323">
        <v>861.19</v>
      </c>
      <c r="Q12323" s="37" t="str">
        <f>IF(P12323&gt;500,"High","low")</f>
        <v>High</v>
      </c>
      <c r="R12323" s="37" t="str">
        <f t="shared" si="964"/>
        <v>Good</v>
      </c>
      <c r="S12323" t="s">
        <v>620</v>
      </c>
    </row>
    <row r="12324" spans="1:19" x14ac:dyDescent="0.2">
      <c r="A12324" t="s">
        <v>12935</v>
      </c>
      <c r="B12324" t="s">
        <v>67</v>
      </c>
      <c r="C12324" t="s">
        <v>617</v>
      </c>
      <c r="D12324">
        <v>3352.45</v>
      </c>
      <c r="E12324" s="37" t="str">
        <f t="shared" si="960"/>
        <v xml:space="preserve"> </v>
      </c>
      <c r="F12324">
        <v>7.0000000000000007E-2</v>
      </c>
      <c r="G12324" s="37" t="str">
        <f t="shared" si="961"/>
        <v>Normal Discount</v>
      </c>
      <c r="H12324" s="37" t="str">
        <f t="shared" si="962"/>
        <v>Low</v>
      </c>
      <c r="I12324">
        <v>4</v>
      </c>
      <c r="J12324" t="str" cm="1">
        <f t="array" ref="J12324">_xlfn.IFS(I12324&lt;=3,"small",I12324&lt;=6,"Medium",I12324&lt;=9,"Large")</f>
        <v>Medium</v>
      </c>
      <c r="K12324" s="36">
        <v>45236</v>
      </c>
      <c r="L12324" s="36">
        <v>45243</v>
      </c>
      <c r="M12324" t="s">
        <v>612</v>
      </c>
      <c r="N12324" t="s">
        <v>604</v>
      </c>
      <c r="O12324" s="37" t="str">
        <f t="shared" si="963"/>
        <v>Digital Payment</v>
      </c>
      <c r="P12324">
        <v>758.84</v>
      </c>
      <c r="Q12324" s="37" t="str">
        <f>IF(P12324&gt;500,"High","low")</f>
        <v>High</v>
      </c>
      <c r="R12324" s="37" t="str">
        <f t="shared" si="964"/>
        <v>Good</v>
      </c>
      <c r="S12324" t="s">
        <v>605</v>
      </c>
    </row>
    <row r="12325" spans="1:19" x14ac:dyDescent="0.2">
      <c r="A12325" t="s">
        <v>12936</v>
      </c>
      <c r="B12325" t="s">
        <v>67</v>
      </c>
      <c r="C12325" t="s">
        <v>602</v>
      </c>
      <c r="D12325">
        <v>1810.89</v>
      </c>
      <c r="E12325" s="37" t="str">
        <f t="shared" si="960"/>
        <v xml:space="preserve"> </v>
      </c>
      <c r="F12325">
        <v>0.24</v>
      </c>
      <c r="G12325" s="37" t="str">
        <f t="shared" si="961"/>
        <v>Normal Discount</v>
      </c>
      <c r="H12325" s="37" t="str">
        <f t="shared" si="962"/>
        <v>Medium</v>
      </c>
      <c r="I12325">
        <v>4</v>
      </c>
      <c r="J12325" t="str" cm="1">
        <f t="array" ref="J12325">_xlfn.IFS(I12325&lt;=3,"small",I12325&lt;=6,"Medium",I12325&lt;=9,"Large")</f>
        <v>Medium</v>
      </c>
      <c r="K12325" s="36">
        <v>45467</v>
      </c>
      <c r="L12325" s="36">
        <v>45473</v>
      </c>
      <c r="M12325" t="s">
        <v>598</v>
      </c>
      <c r="N12325" t="s">
        <v>599</v>
      </c>
      <c r="O12325" s="37" t="str">
        <f t="shared" si="963"/>
        <v>Digital Payment</v>
      </c>
      <c r="P12325">
        <v>414.96</v>
      </c>
      <c r="Q12325" s="37" t="str">
        <f>IF(P12325&gt;500,"High","low")</f>
        <v>low</v>
      </c>
      <c r="R12325" s="37" t="str">
        <f t="shared" si="964"/>
        <v>AVERAGE</v>
      </c>
      <c r="S12325" t="s">
        <v>600</v>
      </c>
    </row>
    <row r="12326" spans="1:19" x14ac:dyDescent="0.2">
      <c r="A12326" t="s">
        <v>12937</v>
      </c>
      <c r="B12326" t="s">
        <v>83</v>
      </c>
      <c r="C12326" t="s">
        <v>602</v>
      </c>
      <c r="D12326">
        <v>3586.45</v>
      </c>
      <c r="E12326" s="37" t="str">
        <f t="shared" si="960"/>
        <v xml:space="preserve"> </v>
      </c>
      <c r="F12326">
        <v>0.26</v>
      </c>
      <c r="G12326" s="37" t="str">
        <f t="shared" si="961"/>
        <v>Normal Discount</v>
      </c>
      <c r="H12326" s="37" t="str">
        <f t="shared" si="962"/>
        <v>Medium</v>
      </c>
      <c r="I12326">
        <v>8</v>
      </c>
      <c r="J12326" t="str" cm="1">
        <f t="array" ref="J12326">_xlfn.IFS(I12326&lt;=3,"small",I12326&lt;=6,"Medium",I12326&lt;=9,"Large")</f>
        <v>Large</v>
      </c>
      <c r="K12326" s="36">
        <v>45195</v>
      </c>
      <c r="L12326" s="36">
        <v>45199</v>
      </c>
      <c r="M12326" t="s">
        <v>603</v>
      </c>
      <c r="N12326" t="s">
        <v>599</v>
      </c>
      <c r="O12326" s="37" t="str">
        <f t="shared" si="963"/>
        <v>Digital Payment</v>
      </c>
      <c r="P12326">
        <v>955.79</v>
      </c>
      <c r="Q12326" s="37" t="str">
        <f>IF(P12326&gt;500,"High","low")</f>
        <v>High</v>
      </c>
      <c r="R12326" s="37" t="str">
        <f t="shared" si="964"/>
        <v>Good</v>
      </c>
      <c r="S12326" t="s">
        <v>628</v>
      </c>
    </row>
    <row r="12327" spans="1:19" x14ac:dyDescent="0.2">
      <c r="A12327" t="s">
        <v>12938</v>
      </c>
      <c r="B12327" t="s">
        <v>90</v>
      </c>
      <c r="C12327" t="s">
        <v>617</v>
      </c>
      <c r="D12327">
        <v>2955</v>
      </c>
      <c r="E12327" s="37" t="str">
        <f t="shared" si="960"/>
        <v xml:space="preserve"> </v>
      </c>
      <c r="F12327">
        <v>0.41</v>
      </c>
      <c r="G12327" s="37" t="str">
        <f t="shared" si="961"/>
        <v>Heavy Discount</v>
      </c>
      <c r="H12327" s="37" t="str">
        <f t="shared" si="962"/>
        <v>High</v>
      </c>
      <c r="I12327">
        <v>5</v>
      </c>
      <c r="J12327" t="str" cm="1">
        <f t="array" ref="J12327">_xlfn.IFS(I12327&lt;=3,"small",I12327&lt;=6,"Medium",I12327&lt;=9,"Large")</f>
        <v>Medium</v>
      </c>
      <c r="K12327" s="36">
        <v>45359</v>
      </c>
      <c r="L12327" s="36">
        <v>45362</v>
      </c>
      <c r="M12327" t="s">
        <v>612</v>
      </c>
      <c r="N12327" t="s">
        <v>604</v>
      </c>
      <c r="O12327" s="37" t="str">
        <f t="shared" si="963"/>
        <v>Digital Payment</v>
      </c>
      <c r="P12327">
        <v>747.8</v>
      </c>
      <c r="Q12327" s="37" t="str">
        <f>IF(P12327&gt;500,"High","low")</f>
        <v>High</v>
      </c>
      <c r="R12327" s="37" t="str">
        <f t="shared" si="964"/>
        <v>Good</v>
      </c>
      <c r="S12327" t="s">
        <v>609</v>
      </c>
    </row>
    <row r="12328" spans="1:19" x14ac:dyDescent="0.2">
      <c r="A12328" t="s">
        <v>12939</v>
      </c>
      <c r="B12328" t="s">
        <v>75</v>
      </c>
      <c r="C12328" t="s">
        <v>617</v>
      </c>
      <c r="D12328">
        <v>1801.13</v>
      </c>
      <c r="E12328" s="37" t="str">
        <f t="shared" si="960"/>
        <v xml:space="preserve"> </v>
      </c>
      <c r="F12328">
        <v>7.0000000000000007E-2</v>
      </c>
      <c r="G12328" s="37" t="str">
        <f t="shared" si="961"/>
        <v>Normal Discount</v>
      </c>
      <c r="H12328" s="37" t="str">
        <f t="shared" si="962"/>
        <v>Low</v>
      </c>
      <c r="I12328">
        <v>4</v>
      </c>
      <c r="J12328" t="str" cm="1">
        <f t="array" ref="J12328">_xlfn.IFS(I12328&lt;=3,"small",I12328&lt;=6,"Medium",I12328&lt;=9,"Large")</f>
        <v>Medium</v>
      </c>
      <c r="K12328" s="36">
        <v>44951</v>
      </c>
      <c r="L12328" s="36">
        <v>44956</v>
      </c>
      <c r="M12328" t="s">
        <v>598</v>
      </c>
      <c r="N12328" t="s">
        <v>599</v>
      </c>
      <c r="O12328" s="37" t="str">
        <f t="shared" si="963"/>
        <v>Digital Payment</v>
      </c>
      <c r="P12328">
        <v>401.72</v>
      </c>
      <c r="Q12328" s="37" t="str">
        <f>IF(P12328&gt;500,"High","low")</f>
        <v>low</v>
      </c>
      <c r="R12328" s="37" t="str">
        <f t="shared" si="964"/>
        <v>AVERAGE</v>
      </c>
      <c r="S12328" t="s">
        <v>628</v>
      </c>
    </row>
    <row r="12329" spans="1:19" x14ac:dyDescent="0.2">
      <c r="A12329" t="s">
        <v>12940</v>
      </c>
      <c r="B12329" t="s">
        <v>75</v>
      </c>
      <c r="C12329" t="s">
        <v>597</v>
      </c>
      <c r="D12329">
        <v>3947.72</v>
      </c>
      <c r="E12329" s="37" t="str">
        <f t="shared" si="960"/>
        <v xml:space="preserve"> </v>
      </c>
      <c r="F12329">
        <v>0.34</v>
      </c>
      <c r="G12329" s="37" t="str">
        <f t="shared" si="961"/>
        <v>Heavy Discount</v>
      </c>
      <c r="H12329" s="37" t="str">
        <f t="shared" si="962"/>
        <v>Medium</v>
      </c>
      <c r="I12329">
        <v>8</v>
      </c>
      <c r="J12329" t="str" cm="1">
        <f t="array" ref="J12329">_xlfn.IFS(I12329&lt;=3,"small",I12329&lt;=6,"Medium",I12329&lt;=9,"Large")</f>
        <v>Large</v>
      </c>
      <c r="K12329" s="36">
        <v>45270</v>
      </c>
      <c r="L12329" s="36">
        <v>45277</v>
      </c>
      <c r="M12329" t="s">
        <v>598</v>
      </c>
      <c r="N12329" t="s">
        <v>608</v>
      </c>
      <c r="O12329" s="37" t="str">
        <f t="shared" si="963"/>
        <v>Cash Payment</v>
      </c>
      <c r="P12329">
        <v>399.36</v>
      </c>
      <c r="Q12329" s="37" t="str">
        <f>IF(P12329&gt;500,"High","low")</f>
        <v>low</v>
      </c>
      <c r="R12329" s="37" t="str">
        <f t="shared" si="964"/>
        <v>AVERAGE</v>
      </c>
      <c r="S12329" t="s">
        <v>615</v>
      </c>
    </row>
    <row r="12330" spans="1:19" x14ac:dyDescent="0.2">
      <c r="A12330" t="s">
        <v>12941</v>
      </c>
      <c r="B12330" t="s">
        <v>67</v>
      </c>
      <c r="C12330" t="s">
        <v>614</v>
      </c>
      <c r="D12330">
        <v>3374.03</v>
      </c>
      <c r="E12330" s="37" t="str">
        <f t="shared" si="960"/>
        <v xml:space="preserve"> </v>
      </c>
      <c r="F12330">
        <v>0.15</v>
      </c>
      <c r="G12330" s="37" t="str">
        <f t="shared" si="961"/>
        <v>Normal Discount</v>
      </c>
      <c r="H12330" s="37" t="str">
        <f t="shared" si="962"/>
        <v>Low</v>
      </c>
      <c r="I12330">
        <v>7</v>
      </c>
      <c r="J12330" t="str" cm="1">
        <f t="array" ref="J12330">_xlfn.IFS(I12330&lt;=3,"small",I12330&lt;=6,"Medium",I12330&lt;=9,"Large")</f>
        <v>Large</v>
      </c>
      <c r="K12330" s="36">
        <v>45026</v>
      </c>
      <c r="L12330" s="36">
        <v>45032</v>
      </c>
      <c r="M12330" t="s">
        <v>598</v>
      </c>
      <c r="N12330" t="s">
        <v>604</v>
      </c>
      <c r="O12330" s="37" t="str">
        <f t="shared" si="963"/>
        <v>Digital Payment</v>
      </c>
      <c r="P12330">
        <v>872.13</v>
      </c>
      <c r="Q12330" s="37" t="str">
        <f>IF(P12330&gt;500,"High","low")</f>
        <v>High</v>
      </c>
      <c r="R12330" s="37" t="str">
        <f t="shared" si="964"/>
        <v>Good</v>
      </c>
      <c r="S12330" t="s">
        <v>600</v>
      </c>
    </row>
    <row r="12331" spans="1:19" x14ac:dyDescent="0.2">
      <c r="A12331" t="s">
        <v>12942</v>
      </c>
      <c r="B12331" t="s">
        <v>67</v>
      </c>
      <c r="C12331" t="s">
        <v>607</v>
      </c>
      <c r="D12331">
        <v>126.54</v>
      </c>
      <c r="E12331" s="37" t="str">
        <f t="shared" si="960"/>
        <v xml:space="preserve"> </v>
      </c>
      <c r="F12331">
        <v>0.47</v>
      </c>
      <c r="G12331" s="37" t="str">
        <f t="shared" si="961"/>
        <v>Heavy Discount</v>
      </c>
      <c r="H12331" s="37" t="str">
        <f t="shared" si="962"/>
        <v>High</v>
      </c>
      <c r="I12331">
        <v>6</v>
      </c>
      <c r="J12331" t="str" cm="1">
        <f t="array" ref="J12331">_xlfn.IFS(I12331&lt;=3,"small",I12331&lt;=6,"Medium",I12331&lt;=9,"Large")</f>
        <v>Medium</v>
      </c>
      <c r="K12331" s="36">
        <v>45333</v>
      </c>
      <c r="L12331" s="36">
        <v>45338</v>
      </c>
      <c r="M12331" t="s">
        <v>612</v>
      </c>
      <c r="N12331" t="s">
        <v>608</v>
      </c>
      <c r="O12331" s="37" t="str">
        <f t="shared" si="963"/>
        <v>Cash Payment</v>
      </c>
      <c r="P12331">
        <v>9.8000000000000007</v>
      </c>
      <c r="Q12331" s="37" t="str">
        <f>IF(P12331&gt;500,"High","low")</f>
        <v>low</v>
      </c>
      <c r="R12331" s="37" t="str">
        <f t="shared" si="964"/>
        <v>AVERAGE</v>
      </c>
      <c r="S12331" t="s">
        <v>605</v>
      </c>
    </row>
    <row r="12332" spans="1:19" x14ac:dyDescent="0.2">
      <c r="A12332" t="s">
        <v>12943</v>
      </c>
      <c r="B12332" t="s">
        <v>83</v>
      </c>
      <c r="C12332" t="s">
        <v>607</v>
      </c>
      <c r="D12332">
        <v>4339.16</v>
      </c>
      <c r="E12332" s="37" t="str">
        <f t="shared" si="960"/>
        <v xml:space="preserve"> </v>
      </c>
      <c r="F12332">
        <v>0.24</v>
      </c>
      <c r="G12332" s="37" t="str">
        <f t="shared" si="961"/>
        <v>Normal Discount</v>
      </c>
      <c r="H12332" s="37" t="str">
        <f t="shared" si="962"/>
        <v>Medium</v>
      </c>
      <c r="I12332">
        <v>2</v>
      </c>
      <c r="J12332" t="str" cm="1">
        <f t="array" ref="J12332">_xlfn.IFS(I12332&lt;=3,"small",I12332&lt;=6,"Medium",I12332&lt;=9,"Large")</f>
        <v>small</v>
      </c>
      <c r="K12332" s="36">
        <v>45208</v>
      </c>
      <c r="L12332" s="36">
        <v>45214</v>
      </c>
      <c r="M12332" t="s">
        <v>603</v>
      </c>
      <c r="N12332" t="s">
        <v>604</v>
      </c>
      <c r="O12332" s="37" t="str">
        <f t="shared" si="963"/>
        <v>Digital Payment</v>
      </c>
      <c r="P12332">
        <v>468.61</v>
      </c>
      <c r="Q12332" s="37" t="str">
        <f>IF(P12332&gt;500,"High","low")</f>
        <v>low</v>
      </c>
      <c r="R12332" s="37" t="str">
        <f t="shared" si="964"/>
        <v>AVERAGE</v>
      </c>
      <c r="S12332" t="s">
        <v>605</v>
      </c>
    </row>
    <row r="12333" spans="1:19" x14ac:dyDescent="0.2">
      <c r="A12333" t="s">
        <v>12944</v>
      </c>
      <c r="B12333" t="s">
        <v>67</v>
      </c>
      <c r="C12333" t="s">
        <v>607</v>
      </c>
      <c r="D12333">
        <v>2045.75</v>
      </c>
      <c r="E12333" s="37" t="str">
        <f t="shared" si="960"/>
        <v xml:space="preserve"> </v>
      </c>
      <c r="F12333">
        <v>0.31</v>
      </c>
      <c r="G12333" s="37" t="str">
        <f t="shared" si="961"/>
        <v>Heavy Discount</v>
      </c>
      <c r="H12333" s="37" t="str">
        <f t="shared" si="962"/>
        <v>Medium</v>
      </c>
      <c r="I12333">
        <v>5</v>
      </c>
      <c r="J12333" t="str" cm="1">
        <f t="array" ref="J12333">_xlfn.IFS(I12333&lt;=3,"small",I12333&lt;=6,"Medium",I12333&lt;=9,"Large")</f>
        <v>Medium</v>
      </c>
      <c r="K12333" s="36">
        <v>45486</v>
      </c>
      <c r="L12333" s="36">
        <v>45490</v>
      </c>
      <c r="M12333" t="s">
        <v>603</v>
      </c>
      <c r="N12333" t="s">
        <v>608</v>
      </c>
      <c r="O12333" s="37" t="str">
        <f t="shared" si="963"/>
        <v>Cash Payment</v>
      </c>
      <c r="P12333">
        <v>273.14</v>
      </c>
      <c r="Q12333" s="37" t="str">
        <f>IF(P12333&gt;500,"High","low")</f>
        <v>low</v>
      </c>
      <c r="R12333" s="37" t="str">
        <f t="shared" si="964"/>
        <v>AVERAGE</v>
      </c>
      <c r="S12333" t="s">
        <v>600</v>
      </c>
    </row>
    <row r="12334" spans="1:19" x14ac:dyDescent="0.2">
      <c r="A12334" t="s">
        <v>12945</v>
      </c>
      <c r="B12334" t="s">
        <v>75</v>
      </c>
      <c r="C12334" t="s">
        <v>602</v>
      </c>
      <c r="D12334">
        <v>3262.69</v>
      </c>
      <c r="E12334" s="37" t="str">
        <f t="shared" si="960"/>
        <v xml:space="preserve"> </v>
      </c>
      <c r="F12334">
        <v>0.33</v>
      </c>
      <c r="G12334" s="37" t="str">
        <f t="shared" si="961"/>
        <v>Heavy Discount</v>
      </c>
      <c r="H12334" s="37" t="str">
        <f t="shared" si="962"/>
        <v>Medium</v>
      </c>
      <c r="I12334">
        <v>2</v>
      </c>
      <c r="J12334" t="str" cm="1">
        <f t="array" ref="J12334">_xlfn.IFS(I12334&lt;=3,"small",I12334&lt;=6,"Medium",I12334&lt;=9,"Large")</f>
        <v>small</v>
      </c>
      <c r="K12334" s="36">
        <v>45602</v>
      </c>
      <c r="L12334" s="36">
        <v>45605</v>
      </c>
      <c r="M12334" t="s">
        <v>603</v>
      </c>
      <c r="N12334" t="s">
        <v>604</v>
      </c>
      <c r="O12334" s="37" t="str">
        <f t="shared" si="963"/>
        <v>Digital Payment</v>
      </c>
      <c r="P12334">
        <v>624.1</v>
      </c>
      <c r="Q12334" s="37" t="str">
        <f>IF(P12334&gt;500,"High","low")</f>
        <v>High</v>
      </c>
      <c r="R12334" s="37" t="str">
        <f t="shared" si="964"/>
        <v>Good</v>
      </c>
      <c r="S12334" t="s">
        <v>609</v>
      </c>
    </row>
    <row r="12335" spans="1:19" x14ac:dyDescent="0.2">
      <c r="A12335" t="s">
        <v>12946</v>
      </c>
      <c r="B12335" t="s">
        <v>75</v>
      </c>
      <c r="C12335" t="s">
        <v>617</v>
      </c>
      <c r="D12335">
        <v>2044.16</v>
      </c>
      <c r="E12335" s="37" t="str">
        <f t="shared" si="960"/>
        <v xml:space="preserve"> </v>
      </c>
      <c r="F12335">
        <v>0.05</v>
      </c>
      <c r="G12335" s="37" t="str">
        <f t="shared" si="961"/>
        <v>Normal Discount</v>
      </c>
      <c r="H12335" s="37" t="str">
        <f t="shared" si="962"/>
        <v>Low</v>
      </c>
      <c r="I12335">
        <v>6</v>
      </c>
      <c r="J12335" t="str" cm="1">
        <f t="array" ref="J12335">_xlfn.IFS(I12335&lt;=3,"small",I12335&lt;=6,"Medium",I12335&lt;=9,"Large")</f>
        <v>Medium</v>
      </c>
      <c r="K12335" s="36">
        <v>45316</v>
      </c>
      <c r="L12335" s="36">
        <v>45322</v>
      </c>
      <c r="M12335" t="s">
        <v>598</v>
      </c>
      <c r="N12335" t="s">
        <v>608</v>
      </c>
      <c r="O12335" s="37" t="str">
        <f t="shared" si="963"/>
        <v>Cash Payment</v>
      </c>
      <c r="P12335">
        <v>584.62</v>
      </c>
      <c r="Q12335" s="37" t="str">
        <f>IF(P12335&gt;500,"High","low")</f>
        <v>High</v>
      </c>
      <c r="R12335" s="37" t="str">
        <f t="shared" si="964"/>
        <v>Good</v>
      </c>
      <c r="S12335" t="s">
        <v>600</v>
      </c>
    </row>
    <row r="12336" spans="1:19" x14ac:dyDescent="0.2">
      <c r="A12336" t="s">
        <v>12947</v>
      </c>
      <c r="B12336" t="s">
        <v>90</v>
      </c>
      <c r="C12336" t="s">
        <v>617</v>
      </c>
      <c r="D12336">
        <v>4418.67</v>
      </c>
      <c r="E12336" s="37" t="str">
        <f t="shared" si="960"/>
        <v>Excellent Order</v>
      </c>
      <c r="F12336">
        <v>0.43</v>
      </c>
      <c r="G12336" s="37" t="str">
        <f t="shared" si="961"/>
        <v>Heavy Discount</v>
      </c>
      <c r="H12336" s="37" t="str">
        <f t="shared" si="962"/>
        <v>High</v>
      </c>
      <c r="I12336">
        <v>9</v>
      </c>
      <c r="J12336" t="str" cm="1">
        <f t="array" ref="J12336">_xlfn.IFS(I12336&lt;=3,"small",I12336&lt;=6,"Medium",I12336&lt;=9,"Large")</f>
        <v>Large</v>
      </c>
      <c r="K12336" s="36">
        <v>45646</v>
      </c>
      <c r="L12336" s="36">
        <v>45651</v>
      </c>
      <c r="M12336" t="s">
        <v>603</v>
      </c>
      <c r="N12336" t="s">
        <v>599</v>
      </c>
      <c r="O12336" s="37" t="str">
        <f t="shared" si="963"/>
        <v>Digital Payment</v>
      </c>
      <c r="P12336">
        <v>855.21</v>
      </c>
      <c r="Q12336" s="37" t="str">
        <f>IF(P12336&gt;500,"High","low")</f>
        <v>High</v>
      </c>
      <c r="R12336" s="37" t="str">
        <f t="shared" si="964"/>
        <v>Good</v>
      </c>
      <c r="S12336" t="s">
        <v>600</v>
      </c>
    </row>
    <row r="12337" spans="1:19" x14ac:dyDescent="0.2">
      <c r="A12337" t="s">
        <v>12948</v>
      </c>
      <c r="B12337" t="s">
        <v>90</v>
      </c>
      <c r="C12337" t="s">
        <v>617</v>
      </c>
      <c r="D12337">
        <v>3289.09</v>
      </c>
      <c r="E12337" s="37" t="str">
        <f t="shared" si="960"/>
        <v xml:space="preserve"> </v>
      </c>
      <c r="F12337">
        <v>0.08</v>
      </c>
      <c r="G12337" s="37" t="str">
        <f t="shared" si="961"/>
        <v>Normal Discount</v>
      </c>
      <c r="H12337" s="37" t="str">
        <f t="shared" si="962"/>
        <v>Low</v>
      </c>
      <c r="I12337">
        <v>9</v>
      </c>
      <c r="J12337" t="str" cm="1">
        <f t="array" ref="J12337">_xlfn.IFS(I12337&lt;=3,"small",I12337&lt;=6,"Medium",I12337&lt;=9,"Large")</f>
        <v>Large</v>
      </c>
      <c r="K12337" s="36">
        <v>45000</v>
      </c>
      <c r="L12337" s="36">
        <v>45005</v>
      </c>
      <c r="M12337" t="s">
        <v>612</v>
      </c>
      <c r="N12337" t="s">
        <v>604</v>
      </c>
      <c r="O12337" s="37" t="str">
        <f t="shared" si="963"/>
        <v>Digital Payment</v>
      </c>
      <c r="P12337">
        <v>702.07</v>
      </c>
      <c r="Q12337" s="37" t="str">
        <f>IF(P12337&gt;500,"High","low")</f>
        <v>High</v>
      </c>
      <c r="R12337" s="37" t="str">
        <f t="shared" si="964"/>
        <v>Good</v>
      </c>
      <c r="S12337" t="s">
        <v>600</v>
      </c>
    </row>
    <row r="12338" spans="1:19" x14ac:dyDescent="0.2">
      <c r="A12338" t="s">
        <v>12949</v>
      </c>
      <c r="B12338" t="s">
        <v>75</v>
      </c>
      <c r="C12338" t="s">
        <v>614</v>
      </c>
      <c r="D12338">
        <v>2938.99</v>
      </c>
      <c r="E12338" s="37" t="str">
        <f t="shared" si="960"/>
        <v xml:space="preserve"> </v>
      </c>
      <c r="F12338">
        <v>0.2</v>
      </c>
      <c r="G12338" s="37" t="str">
        <f t="shared" si="961"/>
        <v>Normal Discount</v>
      </c>
      <c r="H12338" s="37" t="str">
        <f t="shared" si="962"/>
        <v>Medium</v>
      </c>
      <c r="I12338">
        <v>6</v>
      </c>
      <c r="J12338" t="str" cm="1">
        <f t="array" ref="J12338">_xlfn.IFS(I12338&lt;=3,"small",I12338&lt;=6,"Medium",I12338&lt;=9,"Large")</f>
        <v>Medium</v>
      </c>
      <c r="K12338" s="36">
        <v>45349</v>
      </c>
      <c r="L12338" s="36">
        <v>45353</v>
      </c>
      <c r="M12338" t="s">
        <v>598</v>
      </c>
      <c r="N12338" t="s">
        <v>604</v>
      </c>
      <c r="O12338" s="37" t="str">
        <f t="shared" si="963"/>
        <v>Digital Payment</v>
      </c>
      <c r="P12338">
        <v>578.46</v>
      </c>
      <c r="Q12338" s="37" t="str">
        <f>IF(P12338&gt;500,"High","low")</f>
        <v>High</v>
      </c>
      <c r="R12338" s="37" t="str">
        <f t="shared" si="964"/>
        <v>Good</v>
      </c>
      <c r="S12338" t="s">
        <v>609</v>
      </c>
    </row>
    <row r="12339" spans="1:19" x14ac:dyDescent="0.2">
      <c r="A12339" t="s">
        <v>12950</v>
      </c>
      <c r="B12339" t="s">
        <v>75</v>
      </c>
      <c r="C12339" t="s">
        <v>617</v>
      </c>
      <c r="D12339">
        <v>4903.3</v>
      </c>
      <c r="E12339" s="37" t="str">
        <f t="shared" si="960"/>
        <v xml:space="preserve"> </v>
      </c>
      <c r="F12339">
        <v>0.34</v>
      </c>
      <c r="G12339" s="37" t="str">
        <f t="shared" si="961"/>
        <v>Heavy Discount</v>
      </c>
      <c r="H12339" s="37" t="str">
        <f t="shared" si="962"/>
        <v>Medium</v>
      </c>
      <c r="I12339">
        <v>4</v>
      </c>
      <c r="J12339" t="str" cm="1">
        <f t="array" ref="J12339">_xlfn.IFS(I12339&lt;=3,"small",I12339&lt;=6,"Medium",I12339&lt;=9,"Large")</f>
        <v>Medium</v>
      </c>
      <c r="K12339" s="36">
        <v>44983</v>
      </c>
      <c r="L12339" s="36">
        <v>44987</v>
      </c>
      <c r="M12339" t="s">
        <v>612</v>
      </c>
      <c r="N12339" t="s">
        <v>604</v>
      </c>
      <c r="O12339" s="37" t="str">
        <f t="shared" si="963"/>
        <v>Digital Payment</v>
      </c>
      <c r="P12339">
        <v>349.42</v>
      </c>
      <c r="Q12339" s="37" t="str">
        <f>IF(P12339&gt;500,"High","low")</f>
        <v>low</v>
      </c>
      <c r="R12339" s="37" t="str">
        <f t="shared" si="964"/>
        <v>AVERAGE</v>
      </c>
      <c r="S12339" t="s">
        <v>609</v>
      </c>
    </row>
    <row r="12340" spans="1:19" x14ac:dyDescent="0.2">
      <c r="A12340" t="s">
        <v>12951</v>
      </c>
      <c r="B12340" t="s">
        <v>83</v>
      </c>
      <c r="C12340" t="s">
        <v>617</v>
      </c>
      <c r="D12340">
        <v>1475.14</v>
      </c>
      <c r="E12340" s="37" t="str">
        <f t="shared" si="960"/>
        <v xml:space="preserve"> </v>
      </c>
      <c r="F12340">
        <v>0.03</v>
      </c>
      <c r="G12340" s="37" t="str">
        <f t="shared" si="961"/>
        <v>Normal Discount</v>
      </c>
      <c r="H12340" s="37" t="str">
        <f t="shared" si="962"/>
        <v>Low</v>
      </c>
      <c r="I12340">
        <v>9</v>
      </c>
      <c r="J12340" t="str" cm="1">
        <f t="array" ref="J12340">_xlfn.IFS(I12340&lt;=3,"small",I12340&lt;=6,"Medium",I12340&lt;=9,"Large")</f>
        <v>Large</v>
      </c>
      <c r="K12340" s="36">
        <v>45017</v>
      </c>
      <c r="L12340" s="36">
        <v>45020</v>
      </c>
      <c r="M12340" t="s">
        <v>612</v>
      </c>
      <c r="N12340" t="s">
        <v>599</v>
      </c>
      <c r="O12340" s="37" t="str">
        <f t="shared" si="963"/>
        <v>Digital Payment</v>
      </c>
      <c r="P12340">
        <v>184.83</v>
      </c>
      <c r="Q12340" s="37" t="str">
        <f>IF(P12340&gt;500,"High","low")</f>
        <v>low</v>
      </c>
      <c r="R12340" s="37" t="str">
        <f t="shared" si="964"/>
        <v>AVERAGE</v>
      </c>
      <c r="S12340" t="s">
        <v>609</v>
      </c>
    </row>
    <row r="12341" spans="1:19" x14ac:dyDescent="0.2">
      <c r="A12341" t="s">
        <v>12952</v>
      </c>
      <c r="B12341" t="s">
        <v>83</v>
      </c>
      <c r="C12341" t="s">
        <v>602</v>
      </c>
      <c r="D12341">
        <v>419.75</v>
      </c>
      <c r="E12341" s="37" t="str">
        <f t="shared" si="960"/>
        <v xml:space="preserve"> </v>
      </c>
      <c r="F12341">
        <v>0.28999999999999998</v>
      </c>
      <c r="G12341" s="37" t="str">
        <f t="shared" si="961"/>
        <v>Normal Discount</v>
      </c>
      <c r="H12341" s="37" t="str">
        <f t="shared" si="962"/>
        <v>Medium</v>
      </c>
      <c r="I12341">
        <v>5</v>
      </c>
      <c r="J12341" t="str" cm="1">
        <f t="array" ref="J12341">_xlfn.IFS(I12341&lt;=3,"small",I12341&lt;=6,"Medium",I12341&lt;=9,"Large")</f>
        <v>Medium</v>
      </c>
      <c r="K12341" s="36">
        <v>45120</v>
      </c>
      <c r="L12341" s="36">
        <v>45126</v>
      </c>
      <c r="M12341" t="s">
        <v>612</v>
      </c>
      <c r="N12341" t="s">
        <v>608</v>
      </c>
      <c r="O12341" s="37" t="str">
        <f t="shared" si="963"/>
        <v>Cash Payment</v>
      </c>
      <c r="P12341">
        <v>118.09</v>
      </c>
      <c r="Q12341" s="37" t="str">
        <f>IF(P12341&gt;500,"High","low")</f>
        <v>low</v>
      </c>
      <c r="R12341" s="37" t="str">
        <f t="shared" si="964"/>
        <v>AVERAGE</v>
      </c>
      <c r="S12341" t="s">
        <v>605</v>
      </c>
    </row>
    <row r="12342" spans="1:19" x14ac:dyDescent="0.2">
      <c r="A12342" t="s">
        <v>12953</v>
      </c>
      <c r="B12342" t="s">
        <v>75</v>
      </c>
      <c r="C12342" t="s">
        <v>597</v>
      </c>
      <c r="D12342">
        <v>2628.45</v>
      </c>
      <c r="E12342" s="37" t="str">
        <f t="shared" si="960"/>
        <v xml:space="preserve"> </v>
      </c>
      <c r="F12342">
        <v>0.2</v>
      </c>
      <c r="G12342" s="37" t="str">
        <f t="shared" si="961"/>
        <v>Normal Discount</v>
      </c>
      <c r="H12342" s="37" t="str">
        <f t="shared" si="962"/>
        <v>Medium</v>
      </c>
      <c r="I12342">
        <v>8</v>
      </c>
      <c r="J12342" t="str" cm="1">
        <f t="array" ref="J12342">_xlfn.IFS(I12342&lt;=3,"small",I12342&lt;=6,"Medium",I12342&lt;=9,"Large")</f>
        <v>Large</v>
      </c>
      <c r="K12342" s="36">
        <v>45320</v>
      </c>
      <c r="L12342" s="36">
        <v>45321</v>
      </c>
      <c r="M12342" t="s">
        <v>603</v>
      </c>
      <c r="N12342" t="s">
        <v>604</v>
      </c>
      <c r="O12342" s="37" t="str">
        <f t="shared" si="963"/>
        <v>Digital Payment</v>
      </c>
      <c r="P12342">
        <v>287.14</v>
      </c>
      <c r="Q12342" s="37" t="str">
        <f>IF(P12342&gt;500,"High","low")</f>
        <v>low</v>
      </c>
      <c r="R12342" s="37" t="str">
        <f t="shared" si="964"/>
        <v>AVERAGE</v>
      </c>
      <c r="S12342" t="s">
        <v>600</v>
      </c>
    </row>
    <row r="12343" spans="1:19" x14ac:dyDescent="0.2">
      <c r="A12343" t="s">
        <v>12954</v>
      </c>
      <c r="B12343" t="s">
        <v>67</v>
      </c>
      <c r="C12343" t="s">
        <v>607</v>
      </c>
      <c r="D12343">
        <v>2177.69</v>
      </c>
      <c r="E12343" s="37" t="str">
        <f t="shared" si="960"/>
        <v xml:space="preserve"> </v>
      </c>
      <c r="F12343">
        <v>0.03</v>
      </c>
      <c r="G12343" s="37" t="str">
        <f t="shared" si="961"/>
        <v>Normal Discount</v>
      </c>
      <c r="H12343" s="37" t="str">
        <f t="shared" si="962"/>
        <v>Low</v>
      </c>
      <c r="I12343">
        <v>9</v>
      </c>
      <c r="J12343" t="str" cm="1">
        <f t="array" ref="J12343">_xlfn.IFS(I12343&lt;=3,"small",I12343&lt;=6,"Medium",I12343&lt;=9,"Large")</f>
        <v>Large</v>
      </c>
      <c r="K12343" s="36">
        <v>45422</v>
      </c>
      <c r="L12343" s="36">
        <v>45428</v>
      </c>
      <c r="M12343" t="s">
        <v>598</v>
      </c>
      <c r="N12343" t="s">
        <v>608</v>
      </c>
      <c r="O12343" s="37" t="str">
        <f t="shared" si="963"/>
        <v>Cash Payment</v>
      </c>
      <c r="P12343">
        <v>333.9</v>
      </c>
      <c r="Q12343" s="37" t="str">
        <f>IF(P12343&gt;500,"High","low")</f>
        <v>low</v>
      </c>
      <c r="R12343" s="37" t="str">
        <f t="shared" si="964"/>
        <v>AVERAGE</v>
      </c>
      <c r="S12343" t="s">
        <v>628</v>
      </c>
    </row>
    <row r="12344" spans="1:19" x14ac:dyDescent="0.2">
      <c r="A12344" t="s">
        <v>12955</v>
      </c>
      <c r="B12344" t="s">
        <v>90</v>
      </c>
      <c r="C12344" t="s">
        <v>602</v>
      </c>
      <c r="D12344">
        <v>2326.02</v>
      </c>
      <c r="E12344" s="37" t="str">
        <f t="shared" si="960"/>
        <v xml:space="preserve"> </v>
      </c>
      <c r="F12344">
        <v>0.36</v>
      </c>
      <c r="G12344" s="37" t="str">
        <f t="shared" si="961"/>
        <v>Heavy Discount</v>
      </c>
      <c r="H12344" s="37" t="str">
        <f t="shared" si="962"/>
        <v>Medium</v>
      </c>
      <c r="I12344">
        <v>5</v>
      </c>
      <c r="J12344" t="str" cm="1">
        <f t="array" ref="J12344">_xlfn.IFS(I12344&lt;=3,"small",I12344&lt;=6,"Medium",I12344&lt;=9,"Large")</f>
        <v>Medium</v>
      </c>
      <c r="K12344" s="36">
        <v>45126</v>
      </c>
      <c r="L12344" s="36">
        <v>45133</v>
      </c>
      <c r="M12344" t="s">
        <v>598</v>
      </c>
      <c r="N12344" t="s">
        <v>604</v>
      </c>
      <c r="O12344" s="37" t="str">
        <f t="shared" si="963"/>
        <v>Digital Payment</v>
      </c>
      <c r="P12344">
        <v>454.68</v>
      </c>
      <c r="Q12344" s="37" t="str">
        <f>IF(P12344&gt;500,"High","low")</f>
        <v>low</v>
      </c>
      <c r="R12344" s="37" t="str">
        <f t="shared" si="964"/>
        <v>AVERAGE</v>
      </c>
      <c r="S12344" t="s">
        <v>628</v>
      </c>
    </row>
    <row r="12345" spans="1:19" x14ac:dyDescent="0.2">
      <c r="A12345" t="s">
        <v>12956</v>
      </c>
      <c r="B12345" t="s">
        <v>75</v>
      </c>
      <c r="C12345" t="s">
        <v>602</v>
      </c>
      <c r="D12345">
        <v>3138.51</v>
      </c>
      <c r="E12345" s="37" t="str">
        <f t="shared" si="960"/>
        <v xml:space="preserve"> </v>
      </c>
      <c r="F12345">
        <v>0.25</v>
      </c>
      <c r="G12345" s="37" t="str">
        <f t="shared" si="961"/>
        <v>Normal Discount</v>
      </c>
      <c r="H12345" s="37" t="str">
        <f t="shared" si="962"/>
        <v>Medium</v>
      </c>
      <c r="I12345">
        <v>6</v>
      </c>
      <c r="J12345" t="str" cm="1">
        <f t="array" ref="J12345">_xlfn.IFS(I12345&lt;=3,"small",I12345&lt;=6,"Medium",I12345&lt;=9,"Large")</f>
        <v>Medium</v>
      </c>
      <c r="K12345" s="36">
        <v>44935</v>
      </c>
      <c r="L12345" s="36">
        <v>44940</v>
      </c>
      <c r="M12345" t="s">
        <v>612</v>
      </c>
      <c r="N12345" t="s">
        <v>608</v>
      </c>
      <c r="O12345" s="37" t="str">
        <f t="shared" si="963"/>
        <v>Cash Payment</v>
      </c>
      <c r="P12345">
        <v>748.74</v>
      </c>
      <c r="Q12345" s="37" t="str">
        <f>IF(P12345&gt;500,"High","low")</f>
        <v>High</v>
      </c>
      <c r="R12345" s="37" t="str">
        <f t="shared" si="964"/>
        <v>Good</v>
      </c>
      <c r="S12345" t="s">
        <v>615</v>
      </c>
    </row>
    <row r="12346" spans="1:19" x14ac:dyDescent="0.2">
      <c r="A12346" t="s">
        <v>12957</v>
      </c>
      <c r="B12346" t="s">
        <v>67</v>
      </c>
      <c r="C12346" t="s">
        <v>602</v>
      </c>
      <c r="D12346">
        <v>3114.1</v>
      </c>
      <c r="E12346" s="37" t="str">
        <f t="shared" si="960"/>
        <v xml:space="preserve"> </v>
      </c>
      <c r="F12346">
        <v>0.15</v>
      </c>
      <c r="G12346" s="37" t="str">
        <f t="shared" si="961"/>
        <v>Normal Discount</v>
      </c>
      <c r="H12346" s="37" t="str">
        <f t="shared" si="962"/>
        <v>Low</v>
      </c>
      <c r="I12346">
        <v>4</v>
      </c>
      <c r="J12346" t="str" cm="1">
        <f t="array" ref="J12346">_xlfn.IFS(I12346&lt;=3,"small",I12346&lt;=6,"Medium",I12346&lt;=9,"Large")</f>
        <v>Medium</v>
      </c>
      <c r="K12346" s="36">
        <v>45170</v>
      </c>
      <c r="L12346" s="36">
        <v>45171</v>
      </c>
      <c r="M12346" t="s">
        <v>598</v>
      </c>
      <c r="N12346" t="s">
        <v>604</v>
      </c>
      <c r="O12346" s="37" t="str">
        <f t="shared" si="963"/>
        <v>Digital Payment</v>
      </c>
      <c r="P12346">
        <v>595.59</v>
      </c>
      <c r="Q12346" s="37" t="str">
        <f>IF(P12346&gt;500,"High","low")</f>
        <v>High</v>
      </c>
      <c r="R12346" s="37" t="str">
        <f t="shared" si="964"/>
        <v>Good</v>
      </c>
      <c r="S12346" t="s">
        <v>628</v>
      </c>
    </row>
    <row r="12347" spans="1:19" x14ac:dyDescent="0.2">
      <c r="A12347" t="s">
        <v>12958</v>
      </c>
      <c r="B12347" t="s">
        <v>75</v>
      </c>
      <c r="C12347" t="s">
        <v>607</v>
      </c>
      <c r="D12347">
        <v>2022.1</v>
      </c>
      <c r="E12347" s="37" t="str">
        <f t="shared" si="960"/>
        <v xml:space="preserve"> </v>
      </c>
      <c r="F12347">
        <v>0.04</v>
      </c>
      <c r="G12347" s="37" t="str">
        <f t="shared" si="961"/>
        <v>Normal Discount</v>
      </c>
      <c r="H12347" s="37" t="str">
        <f t="shared" si="962"/>
        <v>Low</v>
      </c>
      <c r="I12347">
        <v>1</v>
      </c>
      <c r="J12347" t="str" cm="1">
        <f t="array" ref="J12347">_xlfn.IFS(I12347&lt;=3,"small",I12347&lt;=6,"Medium",I12347&lt;=9,"Large")</f>
        <v>small</v>
      </c>
      <c r="K12347" s="36">
        <v>45510</v>
      </c>
      <c r="L12347" s="36">
        <v>45517</v>
      </c>
      <c r="M12347" t="s">
        <v>598</v>
      </c>
      <c r="N12347" t="s">
        <v>599</v>
      </c>
      <c r="O12347" s="37" t="str">
        <f t="shared" si="963"/>
        <v>Digital Payment</v>
      </c>
      <c r="P12347">
        <v>325.68</v>
      </c>
      <c r="Q12347" s="37" t="str">
        <f>IF(P12347&gt;500,"High","low")</f>
        <v>low</v>
      </c>
      <c r="R12347" s="37" t="str">
        <f t="shared" si="964"/>
        <v>AVERAGE</v>
      </c>
      <c r="S12347" t="s">
        <v>620</v>
      </c>
    </row>
    <row r="12348" spans="1:19" x14ac:dyDescent="0.2">
      <c r="A12348" t="s">
        <v>12959</v>
      </c>
      <c r="B12348" t="s">
        <v>90</v>
      </c>
      <c r="C12348" t="s">
        <v>602</v>
      </c>
      <c r="D12348">
        <v>4328.1000000000004</v>
      </c>
      <c r="E12348" s="37" t="str">
        <f t="shared" si="960"/>
        <v>Excellent Order</v>
      </c>
      <c r="F12348">
        <v>0.27</v>
      </c>
      <c r="G12348" s="37" t="str">
        <f t="shared" si="961"/>
        <v>Normal Discount</v>
      </c>
      <c r="H12348" s="37" t="str">
        <f t="shared" si="962"/>
        <v>Medium</v>
      </c>
      <c r="I12348">
        <v>1</v>
      </c>
      <c r="J12348" t="str" cm="1">
        <f t="array" ref="J12348">_xlfn.IFS(I12348&lt;=3,"small",I12348&lt;=6,"Medium",I12348&lt;=9,"Large")</f>
        <v>small</v>
      </c>
      <c r="K12348" s="36">
        <v>44972</v>
      </c>
      <c r="L12348" s="36">
        <v>44977</v>
      </c>
      <c r="M12348" t="s">
        <v>603</v>
      </c>
      <c r="N12348" t="s">
        <v>599</v>
      </c>
      <c r="O12348" s="37" t="str">
        <f t="shared" si="963"/>
        <v>Digital Payment</v>
      </c>
      <c r="P12348">
        <v>972.55</v>
      </c>
      <c r="Q12348" s="37" t="str">
        <f>IF(P12348&gt;500,"High","low")</f>
        <v>High</v>
      </c>
      <c r="R12348" s="37" t="str">
        <f t="shared" si="964"/>
        <v>Good</v>
      </c>
      <c r="S12348" t="s">
        <v>628</v>
      </c>
    </row>
    <row r="12349" spans="1:19" x14ac:dyDescent="0.2">
      <c r="A12349" t="s">
        <v>12960</v>
      </c>
      <c r="B12349" t="s">
        <v>90</v>
      </c>
      <c r="C12349" t="s">
        <v>597</v>
      </c>
      <c r="D12349">
        <v>3292.15</v>
      </c>
      <c r="E12349" s="37" t="str">
        <f t="shared" si="960"/>
        <v xml:space="preserve"> </v>
      </c>
      <c r="F12349">
        <v>0.15</v>
      </c>
      <c r="G12349" s="37" t="str">
        <f t="shared" si="961"/>
        <v>Normal Discount</v>
      </c>
      <c r="H12349" s="37" t="str">
        <f t="shared" si="962"/>
        <v>Low</v>
      </c>
      <c r="I12349">
        <v>5</v>
      </c>
      <c r="J12349" t="str" cm="1">
        <f t="array" ref="J12349">_xlfn.IFS(I12349&lt;=3,"small",I12349&lt;=6,"Medium",I12349&lt;=9,"Large")</f>
        <v>Medium</v>
      </c>
      <c r="K12349" s="36">
        <v>45139</v>
      </c>
      <c r="L12349" s="36">
        <v>45144</v>
      </c>
      <c r="M12349" t="s">
        <v>598</v>
      </c>
      <c r="N12349" t="s">
        <v>608</v>
      </c>
      <c r="O12349" s="37" t="str">
        <f t="shared" si="963"/>
        <v>Cash Payment</v>
      </c>
      <c r="P12349">
        <v>666.75</v>
      </c>
      <c r="Q12349" s="37" t="str">
        <f>IF(P12349&gt;500,"High","low")</f>
        <v>High</v>
      </c>
      <c r="R12349" s="37" t="str">
        <f t="shared" si="964"/>
        <v>Good</v>
      </c>
      <c r="S12349" t="s">
        <v>609</v>
      </c>
    </row>
    <row r="12350" spans="1:19" x14ac:dyDescent="0.2">
      <c r="A12350" t="s">
        <v>12961</v>
      </c>
      <c r="B12350" t="s">
        <v>83</v>
      </c>
      <c r="C12350" t="s">
        <v>617</v>
      </c>
      <c r="D12350">
        <v>4460.57</v>
      </c>
      <c r="E12350" s="37" t="str">
        <f t="shared" si="960"/>
        <v xml:space="preserve"> </v>
      </c>
      <c r="F12350">
        <v>0.47</v>
      </c>
      <c r="G12350" s="37" t="str">
        <f t="shared" si="961"/>
        <v>Heavy Discount</v>
      </c>
      <c r="H12350" s="37" t="str">
        <f t="shared" si="962"/>
        <v>High</v>
      </c>
      <c r="I12350">
        <v>3</v>
      </c>
      <c r="J12350" t="str" cm="1">
        <f t="array" ref="J12350">_xlfn.IFS(I12350&lt;=3,"small",I12350&lt;=6,"Medium",I12350&lt;=9,"Large")</f>
        <v>small</v>
      </c>
      <c r="K12350" s="36">
        <v>45223</v>
      </c>
      <c r="L12350" s="36">
        <v>45228</v>
      </c>
      <c r="M12350" t="s">
        <v>612</v>
      </c>
      <c r="N12350" t="s">
        <v>608</v>
      </c>
      <c r="O12350" s="37" t="str">
        <f t="shared" si="963"/>
        <v>Cash Payment</v>
      </c>
      <c r="P12350">
        <v>790.9</v>
      </c>
      <c r="Q12350" s="37" t="str">
        <f>IF(P12350&gt;500,"High","low")</f>
        <v>High</v>
      </c>
      <c r="R12350" s="37" t="str">
        <f t="shared" si="964"/>
        <v>Good</v>
      </c>
      <c r="S12350" t="s">
        <v>605</v>
      </c>
    </row>
    <row r="12351" spans="1:19" x14ac:dyDescent="0.2">
      <c r="A12351" t="s">
        <v>12962</v>
      </c>
      <c r="B12351" t="s">
        <v>83</v>
      </c>
      <c r="C12351" t="s">
        <v>597</v>
      </c>
      <c r="D12351">
        <v>4574.45</v>
      </c>
      <c r="E12351" s="37" t="str">
        <f t="shared" si="960"/>
        <v>Excellent Order</v>
      </c>
      <c r="F12351">
        <v>0.3</v>
      </c>
      <c r="G12351" s="37" t="str">
        <f t="shared" si="961"/>
        <v>Normal Discount</v>
      </c>
      <c r="H12351" s="37" t="str">
        <f t="shared" si="962"/>
        <v>Medium</v>
      </c>
      <c r="I12351">
        <v>7</v>
      </c>
      <c r="J12351" t="str" cm="1">
        <f t="array" ref="J12351">_xlfn.IFS(I12351&lt;=3,"small",I12351&lt;=6,"Medium",I12351&lt;=9,"Large")</f>
        <v>Large</v>
      </c>
      <c r="K12351" s="36">
        <v>45344</v>
      </c>
      <c r="L12351" s="36">
        <v>45348</v>
      </c>
      <c r="M12351" t="s">
        <v>598</v>
      </c>
      <c r="N12351" t="s">
        <v>608</v>
      </c>
      <c r="O12351" s="37" t="str">
        <f t="shared" si="963"/>
        <v>Cash Payment</v>
      </c>
      <c r="P12351">
        <v>902.58</v>
      </c>
      <c r="Q12351" s="37" t="str">
        <f>IF(P12351&gt;500,"High","low")</f>
        <v>High</v>
      </c>
      <c r="R12351" s="37" t="str">
        <f t="shared" si="964"/>
        <v>Good</v>
      </c>
      <c r="S12351" t="s">
        <v>620</v>
      </c>
    </row>
    <row r="12352" spans="1:19" x14ac:dyDescent="0.2">
      <c r="A12352" t="s">
        <v>12963</v>
      </c>
      <c r="B12352" t="s">
        <v>83</v>
      </c>
      <c r="C12352" t="s">
        <v>617</v>
      </c>
      <c r="D12352">
        <v>919.83</v>
      </c>
      <c r="E12352" s="37" t="str">
        <f t="shared" si="960"/>
        <v xml:space="preserve"> </v>
      </c>
      <c r="F12352">
        <v>0.14000000000000001</v>
      </c>
      <c r="G12352" s="37" t="str">
        <f t="shared" si="961"/>
        <v>Normal Discount</v>
      </c>
      <c r="H12352" s="37" t="str">
        <f t="shared" si="962"/>
        <v>Low</v>
      </c>
      <c r="I12352">
        <v>4</v>
      </c>
      <c r="J12352" t="str" cm="1">
        <f t="array" ref="J12352">_xlfn.IFS(I12352&lt;=3,"small",I12352&lt;=6,"Medium",I12352&lt;=9,"Large")</f>
        <v>Medium</v>
      </c>
      <c r="K12352" s="36">
        <v>45084</v>
      </c>
      <c r="L12352" s="36">
        <v>45091</v>
      </c>
      <c r="M12352" t="s">
        <v>612</v>
      </c>
      <c r="N12352" t="s">
        <v>599</v>
      </c>
      <c r="O12352" s="37" t="str">
        <f t="shared" si="963"/>
        <v>Digital Payment</v>
      </c>
      <c r="P12352">
        <v>139.54</v>
      </c>
      <c r="Q12352" s="37" t="str">
        <f>IF(P12352&gt;500,"High","low")</f>
        <v>low</v>
      </c>
      <c r="R12352" s="37" t="str">
        <f t="shared" si="964"/>
        <v>AVERAGE</v>
      </c>
      <c r="S12352" t="s">
        <v>600</v>
      </c>
    </row>
    <row r="12353" spans="1:19" x14ac:dyDescent="0.2">
      <c r="A12353" t="s">
        <v>12964</v>
      </c>
      <c r="B12353" t="s">
        <v>83</v>
      </c>
      <c r="C12353" t="s">
        <v>617</v>
      </c>
      <c r="D12353">
        <v>3434.75</v>
      </c>
      <c r="E12353" s="37" t="str">
        <f t="shared" si="960"/>
        <v xml:space="preserve"> </v>
      </c>
      <c r="F12353">
        <v>0.26</v>
      </c>
      <c r="G12353" s="37" t="str">
        <f t="shared" si="961"/>
        <v>Normal Discount</v>
      </c>
      <c r="H12353" s="37" t="str">
        <f t="shared" si="962"/>
        <v>Medium</v>
      </c>
      <c r="I12353">
        <v>4</v>
      </c>
      <c r="J12353" t="str" cm="1">
        <f t="array" ref="J12353">_xlfn.IFS(I12353&lt;=3,"small",I12353&lt;=6,"Medium",I12353&lt;=9,"Large")</f>
        <v>Medium</v>
      </c>
      <c r="K12353" s="36">
        <v>45610</v>
      </c>
      <c r="L12353" s="36">
        <v>45611</v>
      </c>
      <c r="M12353" t="s">
        <v>598</v>
      </c>
      <c r="N12353" t="s">
        <v>599</v>
      </c>
      <c r="O12353" s="37" t="str">
        <f t="shared" si="963"/>
        <v>Digital Payment</v>
      </c>
      <c r="P12353">
        <v>611.76</v>
      </c>
      <c r="Q12353" s="37" t="str">
        <f>IF(P12353&gt;500,"High","low")</f>
        <v>High</v>
      </c>
      <c r="R12353" s="37" t="str">
        <f t="shared" si="964"/>
        <v>Good</v>
      </c>
      <c r="S12353" t="s">
        <v>609</v>
      </c>
    </row>
    <row r="12354" spans="1:19" x14ac:dyDescent="0.2">
      <c r="A12354" t="s">
        <v>12965</v>
      </c>
      <c r="B12354" t="s">
        <v>90</v>
      </c>
      <c r="C12354" t="s">
        <v>602</v>
      </c>
      <c r="D12354">
        <v>1655.81</v>
      </c>
      <c r="E12354" s="37" t="str">
        <f t="shared" si="960"/>
        <v xml:space="preserve"> </v>
      </c>
      <c r="F12354">
        <v>0.27</v>
      </c>
      <c r="G12354" s="37" t="str">
        <f t="shared" si="961"/>
        <v>Normal Discount</v>
      </c>
      <c r="H12354" s="37" t="str">
        <f t="shared" si="962"/>
        <v>Medium</v>
      </c>
      <c r="I12354">
        <v>4</v>
      </c>
      <c r="J12354" t="str" cm="1">
        <f t="array" ref="J12354">_xlfn.IFS(I12354&lt;=3,"small",I12354&lt;=6,"Medium",I12354&lt;=9,"Large")</f>
        <v>Medium</v>
      </c>
      <c r="K12354" s="36">
        <v>45390</v>
      </c>
      <c r="L12354" s="36">
        <v>45392</v>
      </c>
      <c r="M12354" t="s">
        <v>612</v>
      </c>
      <c r="N12354" t="s">
        <v>604</v>
      </c>
      <c r="O12354" s="37" t="str">
        <f t="shared" si="963"/>
        <v>Digital Payment</v>
      </c>
      <c r="P12354">
        <v>268.63</v>
      </c>
      <c r="Q12354" s="37" t="str">
        <f>IF(P12354&gt;500,"High","low")</f>
        <v>low</v>
      </c>
      <c r="R12354" s="37" t="str">
        <f t="shared" si="964"/>
        <v>AVERAGE</v>
      </c>
      <c r="S12354" t="s">
        <v>628</v>
      </c>
    </row>
    <row r="12355" spans="1:19" x14ac:dyDescent="0.2">
      <c r="A12355" t="s">
        <v>12966</v>
      </c>
      <c r="B12355" t="s">
        <v>67</v>
      </c>
      <c r="C12355" t="s">
        <v>602</v>
      </c>
      <c r="D12355">
        <v>4198.5</v>
      </c>
      <c r="E12355" s="37" t="str">
        <f t="shared" ref="E12355:E12418" si="965">IF(AND(D12355&gt;4000,P12355&gt;800),"Excellent Order"," ")</f>
        <v>Excellent Order</v>
      </c>
      <c r="F12355">
        <v>0.36</v>
      </c>
      <c r="G12355" s="37" t="str">
        <f t="shared" ref="G12355:G12418" si="966">IF(F12355&gt;30%,"Heavy Discount","Normal Discount")</f>
        <v>Heavy Discount</v>
      </c>
      <c r="H12355" s="37" t="str">
        <f t="shared" ref="H12355:H12418" si="967">IF(F12355&gt;0.4,"High",IF(F12355&gt;=0.2,"Medium","Low"))</f>
        <v>Medium</v>
      </c>
      <c r="I12355">
        <v>6</v>
      </c>
      <c r="J12355" t="str" cm="1">
        <f t="array" ref="J12355">_xlfn.IFS(I12355&lt;=3,"small",I12355&lt;=6,"Medium",I12355&lt;=9,"Large")</f>
        <v>Medium</v>
      </c>
      <c r="K12355" s="36">
        <v>45183</v>
      </c>
      <c r="L12355" s="36">
        <v>45187</v>
      </c>
      <c r="M12355" t="s">
        <v>612</v>
      </c>
      <c r="N12355" t="s">
        <v>599</v>
      </c>
      <c r="O12355" s="37" t="str">
        <f t="shared" ref="O12355:O12418" si="968">IF(OR(N12355="Card",N12355="UPI"),"Digital Payment","Cash Payment")</f>
        <v>Digital Payment</v>
      </c>
      <c r="P12355">
        <v>1257.49</v>
      </c>
      <c r="Q12355" s="37" t="str">
        <f>IF(P12355&gt;500,"High","low")</f>
        <v>High</v>
      </c>
      <c r="R12355" s="37" t="str">
        <f t="shared" ref="R12355:R12418" si="969">IF(P12355&gt;1000,"Excellent",IF(P12355&gt;=500,"Good","AVERAGE"))</f>
        <v>Excellent</v>
      </c>
      <c r="S12355" t="s">
        <v>605</v>
      </c>
    </row>
    <row r="12356" spans="1:19" x14ac:dyDescent="0.2">
      <c r="A12356" t="s">
        <v>12967</v>
      </c>
      <c r="B12356" t="s">
        <v>67</v>
      </c>
      <c r="C12356" t="s">
        <v>607</v>
      </c>
      <c r="D12356">
        <v>3690.97</v>
      </c>
      <c r="E12356" s="37" t="str">
        <f t="shared" si="965"/>
        <v xml:space="preserve"> </v>
      </c>
      <c r="F12356">
        <v>0.45</v>
      </c>
      <c r="G12356" s="37" t="str">
        <f t="shared" si="966"/>
        <v>Heavy Discount</v>
      </c>
      <c r="H12356" s="37" t="str">
        <f t="shared" si="967"/>
        <v>High</v>
      </c>
      <c r="I12356">
        <v>9</v>
      </c>
      <c r="J12356" t="str" cm="1">
        <f t="array" ref="J12356">_xlfn.IFS(I12356&lt;=3,"small",I12356&lt;=6,"Medium",I12356&lt;=9,"Large")</f>
        <v>Large</v>
      </c>
      <c r="K12356" s="36">
        <v>45485</v>
      </c>
      <c r="L12356" s="36">
        <v>45490</v>
      </c>
      <c r="M12356" t="s">
        <v>598</v>
      </c>
      <c r="N12356" t="s">
        <v>608</v>
      </c>
      <c r="O12356" s="37" t="str">
        <f t="shared" si="968"/>
        <v>Cash Payment</v>
      </c>
      <c r="P12356">
        <v>235.93</v>
      </c>
      <c r="Q12356" s="37" t="str">
        <f>IF(P12356&gt;500,"High","low")</f>
        <v>low</v>
      </c>
      <c r="R12356" s="37" t="str">
        <f t="shared" si="969"/>
        <v>AVERAGE</v>
      </c>
      <c r="S12356" t="s">
        <v>600</v>
      </c>
    </row>
    <row r="12357" spans="1:19" x14ac:dyDescent="0.2">
      <c r="A12357" t="s">
        <v>12968</v>
      </c>
      <c r="B12357" t="s">
        <v>67</v>
      </c>
      <c r="C12357" t="s">
        <v>614</v>
      </c>
      <c r="D12357">
        <v>1073.8599999999999</v>
      </c>
      <c r="E12357" s="37" t="str">
        <f t="shared" si="965"/>
        <v xml:space="preserve"> </v>
      </c>
      <c r="F12357">
        <v>0.48</v>
      </c>
      <c r="G12357" s="37" t="str">
        <f t="shared" si="966"/>
        <v>Heavy Discount</v>
      </c>
      <c r="H12357" s="37" t="str">
        <f t="shared" si="967"/>
        <v>High</v>
      </c>
      <c r="I12357">
        <v>9</v>
      </c>
      <c r="J12357" t="str" cm="1">
        <f t="array" ref="J12357">_xlfn.IFS(I12357&lt;=3,"small",I12357&lt;=6,"Medium",I12357&lt;=9,"Large")</f>
        <v>Large</v>
      </c>
      <c r="K12357" s="36">
        <v>45160</v>
      </c>
      <c r="L12357" s="36">
        <v>45161</v>
      </c>
      <c r="M12357" t="s">
        <v>612</v>
      </c>
      <c r="N12357" t="s">
        <v>599</v>
      </c>
      <c r="O12357" s="37" t="str">
        <f t="shared" si="968"/>
        <v>Digital Payment</v>
      </c>
      <c r="P12357">
        <v>230.47</v>
      </c>
      <c r="Q12357" s="37" t="str">
        <f>IF(P12357&gt;500,"High","low")</f>
        <v>low</v>
      </c>
      <c r="R12357" s="37" t="str">
        <f t="shared" si="969"/>
        <v>AVERAGE</v>
      </c>
      <c r="S12357" t="s">
        <v>615</v>
      </c>
    </row>
    <row r="12358" spans="1:19" x14ac:dyDescent="0.2">
      <c r="A12358" t="s">
        <v>12969</v>
      </c>
      <c r="B12358" t="s">
        <v>75</v>
      </c>
      <c r="C12358" t="s">
        <v>597</v>
      </c>
      <c r="D12358">
        <v>4699.78</v>
      </c>
      <c r="E12358" s="37" t="str">
        <f t="shared" si="965"/>
        <v xml:space="preserve"> </v>
      </c>
      <c r="F12358">
        <v>0.36</v>
      </c>
      <c r="G12358" s="37" t="str">
        <f t="shared" si="966"/>
        <v>Heavy Discount</v>
      </c>
      <c r="H12358" s="37" t="str">
        <f t="shared" si="967"/>
        <v>Medium</v>
      </c>
      <c r="I12358">
        <v>5</v>
      </c>
      <c r="J12358" t="str" cm="1">
        <f t="array" ref="J12358">_xlfn.IFS(I12358&lt;=3,"small",I12358&lt;=6,"Medium",I12358&lt;=9,"Large")</f>
        <v>Medium</v>
      </c>
      <c r="K12358" s="36">
        <v>45084</v>
      </c>
      <c r="L12358" s="36">
        <v>45085</v>
      </c>
      <c r="M12358" t="s">
        <v>603</v>
      </c>
      <c r="N12358" t="s">
        <v>604</v>
      </c>
      <c r="O12358" s="37" t="str">
        <f t="shared" si="968"/>
        <v>Digital Payment</v>
      </c>
      <c r="P12358">
        <v>519.70000000000005</v>
      </c>
      <c r="Q12358" s="37" t="str">
        <f>IF(P12358&gt;500,"High","low")</f>
        <v>High</v>
      </c>
      <c r="R12358" s="37" t="str">
        <f t="shared" si="969"/>
        <v>Good</v>
      </c>
      <c r="S12358" t="s">
        <v>609</v>
      </c>
    </row>
    <row r="12359" spans="1:19" x14ac:dyDescent="0.2">
      <c r="A12359" t="s">
        <v>12970</v>
      </c>
      <c r="B12359" t="s">
        <v>83</v>
      </c>
      <c r="C12359" t="s">
        <v>607</v>
      </c>
      <c r="D12359">
        <v>3449.05</v>
      </c>
      <c r="E12359" s="37" t="str">
        <f t="shared" si="965"/>
        <v xml:space="preserve"> </v>
      </c>
      <c r="F12359">
        <v>0.27</v>
      </c>
      <c r="G12359" s="37" t="str">
        <f t="shared" si="966"/>
        <v>Normal Discount</v>
      </c>
      <c r="H12359" s="37" t="str">
        <f t="shared" si="967"/>
        <v>Medium</v>
      </c>
      <c r="I12359">
        <v>8</v>
      </c>
      <c r="J12359" t="str" cm="1">
        <f t="array" ref="J12359">_xlfn.IFS(I12359&lt;=3,"small",I12359&lt;=6,"Medium",I12359&lt;=9,"Large")</f>
        <v>Large</v>
      </c>
      <c r="K12359" s="36">
        <v>45332</v>
      </c>
      <c r="L12359" s="36">
        <v>45335</v>
      </c>
      <c r="M12359" t="s">
        <v>603</v>
      </c>
      <c r="N12359" t="s">
        <v>604</v>
      </c>
      <c r="O12359" s="37" t="str">
        <f t="shared" si="968"/>
        <v>Digital Payment</v>
      </c>
      <c r="P12359">
        <v>493.92</v>
      </c>
      <c r="Q12359" s="37" t="str">
        <f>IF(P12359&gt;500,"High","low")</f>
        <v>low</v>
      </c>
      <c r="R12359" s="37" t="str">
        <f t="shared" si="969"/>
        <v>AVERAGE</v>
      </c>
      <c r="S12359" t="s">
        <v>620</v>
      </c>
    </row>
    <row r="12360" spans="1:19" x14ac:dyDescent="0.2">
      <c r="A12360" t="s">
        <v>12971</v>
      </c>
      <c r="B12360" t="s">
        <v>83</v>
      </c>
      <c r="C12360" t="s">
        <v>607</v>
      </c>
      <c r="D12360">
        <v>4748.3</v>
      </c>
      <c r="E12360" s="37" t="str">
        <f t="shared" si="965"/>
        <v xml:space="preserve"> </v>
      </c>
      <c r="F12360">
        <v>0.11</v>
      </c>
      <c r="G12360" s="37" t="str">
        <f t="shared" si="966"/>
        <v>Normal Discount</v>
      </c>
      <c r="H12360" s="37" t="str">
        <f t="shared" si="967"/>
        <v>Low</v>
      </c>
      <c r="I12360">
        <v>4</v>
      </c>
      <c r="J12360" t="str" cm="1">
        <f t="array" ref="J12360">_xlfn.IFS(I12360&lt;=3,"small",I12360&lt;=6,"Medium",I12360&lt;=9,"Large")</f>
        <v>Medium</v>
      </c>
      <c r="K12360" s="36">
        <v>44941</v>
      </c>
      <c r="L12360" s="36">
        <v>44945</v>
      </c>
      <c r="M12360" t="s">
        <v>612</v>
      </c>
      <c r="N12360" t="s">
        <v>608</v>
      </c>
      <c r="O12360" s="37" t="str">
        <f t="shared" si="968"/>
        <v>Cash Payment</v>
      </c>
      <c r="P12360">
        <v>462.56</v>
      </c>
      <c r="Q12360" s="37" t="str">
        <f>IF(P12360&gt;500,"High","low")</f>
        <v>low</v>
      </c>
      <c r="R12360" s="37" t="str">
        <f t="shared" si="969"/>
        <v>AVERAGE</v>
      </c>
      <c r="S12360" t="s">
        <v>609</v>
      </c>
    </row>
    <row r="12361" spans="1:19" x14ac:dyDescent="0.2">
      <c r="A12361" t="s">
        <v>12972</v>
      </c>
      <c r="B12361" t="s">
        <v>90</v>
      </c>
      <c r="C12361" t="s">
        <v>597</v>
      </c>
      <c r="D12361">
        <v>1089.3599999999999</v>
      </c>
      <c r="E12361" s="37" t="str">
        <f t="shared" si="965"/>
        <v xml:space="preserve"> </v>
      </c>
      <c r="F12361">
        <v>0.2</v>
      </c>
      <c r="G12361" s="37" t="str">
        <f t="shared" si="966"/>
        <v>Normal Discount</v>
      </c>
      <c r="H12361" s="37" t="str">
        <f t="shared" si="967"/>
        <v>Medium</v>
      </c>
      <c r="I12361">
        <v>8</v>
      </c>
      <c r="J12361" t="str" cm="1">
        <f t="array" ref="J12361">_xlfn.IFS(I12361&lt;=3,"small",I12361&lt;=6,"Medium",I12361&lt;=9,"Large")</f>
        <v>Large</v>
      </c>
      <c r="K12361" s="36">
        <v>45522</v>
      </c>
      <c r="L12361" s="36">
        <v>45524</v>
      </c>
      <c r="M12361" t="s">
        <v>612</v>
      </c>
      <c r="N12361" t="s">
        <v>608</v>
      </c>
      <c r="O12361" s="37" t="str">
        <f t="shared" si="968"/>
        <v>Cash Payment</v>
      </c>
      <c r="P12361">
        <v>259.27999999999997</v>
      </c>
      <c r="Q12361" s="37" t="str">
        <f>IF(P12361&gt;500,"High","low")</f>
        <v>low</v>
      </c>
      <c r="R12361" s="37" t="str">
        <f t="shared" si="969"/>
        <v>AVERAGE</v>
      </c>
      <c r="S12361" t="s">
        <v>620</v>
      </c>
    </row>
    <row r="12362" spans="1:19" x14ac:dyDescent="0.2">
      <c r="A12362" t="s">
        <v>12973</v>
      </c>
      <c r="B12362" t="s">
        <v>90</v>
      </c>
      <c r="C12362" t="s">
        <v>597</v>
      </c>
      <c r="D12362">
        <v>4361.55</v>
      </c>
      <c r="E12362" s="37" t="str">
        <f t="shared" si="965"/>
        <v xml:space="preserve"> </v>
      </c>
      <c r="F12362">
        <v>0.24</v>
      </c>
      <c r="G12362" s="37" t="str">
        <f t="shared" si="966"/>
        <v>Normal Discount</v>
      </c>
      <c r="H12362" s="37" t="str">
        <f t="shared" si="967"/>
        <v>Medium</v>
      </c>
      <c r="I12362">
        <v>9</v>
      </c>
      <c r="J12362" t="str" cm="1">
        <f t="array" ref="J12362">_xlfn.IFS(I12362&lt;=3,"small",I12362&lt;=6,"Medium",I12362&lt;=9,"Large")</f>
        <v>Large</v>
      </c>
      <c r="K12362" s="36">
        <v>45604</v>
      </c>
      <c r="L12362" s="36">
        <v>45611</v>
      </c>
      <c r="M12362" t="s">
        <v>612</v>
      </c>
      <c r="N12362" t="s">
        <v>599</v>
      </c>
      <c r="O12362" s="37" t="str">
        <f t="shared" si="968"/>
        <v>Digital Payment</v>
      </c>
      <c r="P12362">
        <v>531.29</v>
      </c>
      <c r="Q12362" s="37" t="str">
        <f>IF(P12362&gt;500,"High","low")</f>
        <v>High</v>
      </c>
      <c r="R12362" s="37" t="str">
        <f t="shared" si="969"/>
        <v>Good</v>
      </c>
      <c r="S12362" t="s">
        <v>620</v>
      </c>
    </row>
    <row r="12363" spans="1:19" x14ac:dyDescent="0.2">
      <c r="A12363" t="s">
        <v>12974</v>
      </c>
      <c r="B12363" t="s">
        <v>75</v>
      </c>
      <c r="C12363" t="s">
        <v>617</v>
      </c>
      <c r="D12363">
        <v>3373.56</v>
      </c>
      <c r="E12363" s="37" t="str">
        <f t="shared" si="965"/>
        <v xml:space="preserve"> </v>
      </c>
      <c r="F12363">
        <v>0.06</v>
      </c>
      <c r="G12363" s="37" t="str">
        <f t="shared" si="966"/>
        <v>Normal Discount</v>
      </c>
      <c r="H12363" s="37" t="str">
        <f t="shared" si="967"/>
        <v>Low</v>
      </c>
      <c r="I12363">
        <v>8</v>
      </c>
      <c r="J12363" t="str" cm="1">
        <f t="array" ref="J12363">_xlfn.IFS(I12363&lt;=3,"small",I12363&lt;=6,"Medium",I12363&lt;=9,"Large")</f>
        <v>Large</v>
      </c>
      <c r="K12363" s="36">
        <v>44949</v>
      </c>
      <c r="L12363" s="36">
        <v>44952</v>
      </c>
      <c r="M12363" t="s">
        <v>598</v>
      </c>
      <c r="N12363" t="s">
        <v>608</v>
      </c>
      <c r="O12363" s="37" t="str">
        <f t="shared" si="968"/>
        <v>Cash Payment</v>
      </c>
      <c r="P12363">
        <v>720.42</v>
      </c>
      <c r="Q12363" s="37" t="str">
        <f>IF(P12363&gt;500,"High","low")</f>
        <v>High</v>
      </c>
      <c r="R12363" s="37" t="str">
        <f t="shared" si="969"/>
        <v>Good</v>
      </c>
      <c r="S12363" t="s">
        <v>615</v>
      </c>
    </row>
    <row r="12364" spans="1:19" x14ac:dyDescent="0.2">
      <c r="A12364" t="s">
        <v>12975</v>
      </c>
      <c r="B12364" t="s">
        <v>75</v>
      </c>
      <c r="C12364" t="s">
        <v>614</v>
      </c>
      <c r="D12364">
        <v>2806.2</v>
      </c>
      <c r="E12364" s="37" t="str">
        <f t="shared" si="965"/>
        <v xml:space="preserve"> </v>
      </c>
      <c r="F12364">
        <v>0.13</v>
      </c>
      <c r="G12364" s="37" t="str">
        <f t="shared" si="966"/>
        <v>Normal Discount</v>
      </c>
      <c r="H12364" s="37" t="str">
        <f t="shared" si="967"/>
        <v>Low</v>
      </c>
      <c r="I12364">
        <v>8</v>
      </c>
      <c r="J12364" t="str" cm="1">
        <f t="array" ref="J12364">_xlfn.IFS(I12364&lt;=3,"small",I12364&lt;=6,"Medium",I12364&lt;=9,"Large")</f>
        <v>Large</v>
      </c>
      <c r="K12364" s="36">
        <v>45623</v>
      </c>
      <c r="L12364" s="36">
        <v>45624</v>
      </c>
      <c r="M12364" t="s">
        <v>603</v>
      </c>
      <c r="N12364" t="s">
        <v>599</v>
      </c>
      <c r="O12364" s="37" t="str">
        <f t="shared" si="968"/>
        <v>Digital Payment</v>
      </c>
      <c r="P12364">
        <v>539.12</v>
      </c>
      <c r="Q12364" s="37" t="str">
        <f>IF(P12364&gt;500,"High","low")</f>
        <v>High</v>
      </c>
      <c r="R12364" s="37" t="str">
        <f t="shared" si="969"/>
        <v>Good</v>
      </c>
      <c r="S12364" t="s">
        <v>620</v>
      </c>
    </row>
    <row r="12365" spans="1:19" x14ac:dyDescent="0.2">
      <c r="A12365" t="s">
        <v>12976</v>
      </c>
      <c r="B12365" t="s">
        <v>67</v>
      </c>
      <c r="C12365" t="s">
        <v>602</v>
      </c>
      <c r="D12365">
        <v>4120.51</v>
      </c>
      <c r="E12365" s="37" t="str">
        <f t="shared" si="965"/>
        <v xml:space="preserve"> </v>
      </c>
      <c r="F12365">
        <v>0.49</v>
      </c>
      <c r="G12365" s="37" t="str">
        <f t="shared" si="966"/>
        <v>Heavy Discount</v>
      </c>
      <c r="H12365" s="37" t="str">
        <f t="shared" si="967"/>
        <v>High</v>
      </c>
      <c r="I12365">
        <v>9</v>
      </c>
      <c r="J12365" t="str" cm="1">
        <f t="array" ref="J12365">_xlfn.IFS(I12365&lt;=3,"small",I12365&lt;=6,"Medium",I12365&lt;=9,"Large")</f>
        <v>Large</v>
      </c>
      <c r="K12365" s="36">
        <v>45135</v>
      </c>
      <c r="L12365" s="36">
        <v>45138</v>
      </c>
      <c r="M12365" t="s">
        <v>598</v>
      </c>
      <c r="N12365" t="s">
        <v>608</v>
      </c>
      <c r="O12365" s="37" t="str">
        <f t="shared" si="968"/>
        <v>Cash Payment</v>
      </c>
      <c r="P12365">
        <v>647.51</v>
      </c>
      <c r="Q12365" s="37" t="str">
        <f>IF(P12365&gt;500,"High","low")</f>
        <v>High</v>
      </c>
      <c r="R12365" s="37" t="str">
        <f t="shared" si="969"/>
        <v>Good</v>
      </c>
      <c r="S12365" t="s">
        <v>600</v>
      </c>
    </row>
    <row r="12366" spans="1:19" x14ac:dyDescent="0.2">
      <c r="A12366" t="s">
        <v>12977</v>
      </c>
      <c r="B12366" t="s">
        <v>90</v>
      </c>
      <c r="C12366" t="s">
        <v>614</v>
      </c>
      <c r="D12366">
        <v>3201.03</v>
      </c>
      <c r="E12366" s="37" t="str">
        <f t="shared" si="965"/>
        <v xml:space="preserve"> </v>
      </c>
      <c r="F12366">
        <v>0.38</v>
      </c>
      <c r="G12366" s="37" t="str">
        <f t="shared" si="966"/>
        <v>Heavy Discount</v>
      </c>
      <c r="H12366" s="37" t="str">
        <f t="shared" si="967"/>
        <v>Medium</v>
      </c>
      <c r="I12366">
        <v>8</v>
      </c>
      <c r="J12366" t="str" cm="1">
        <f t="array" ref="J12366">_xlfn.IFS(I12366&lt;=3,"small",I12366&lt;=6,"Medium",I12366&lt;=9,"Large")</f>
        <v>Large</v>
      </c>
      <c r="K12366" s="36">
        <v>44961</v>
      </c>
      <c r="L12366" s="36">
        <v>44966</v>
      </c>
      <c r="M12366" t="s">
        <v>598</v>
      </c>
      <c r="N12366" t="s">
        <v>608</v>
      </c>
      <c r="O12366" s="37" t="str">
        <f t="shared" si="968"/>
        <v>Cash Payment</v>
      </c>
      <c r="P12366">
        <v>432.86</v>
      </c>
      <c r="Q12366" s="37" t="str">
        <f>IF(P12366&gt;500,"High","low")</f>
        <v>low</v>
      </c>
      <c r="R12366" s="37" t="str">
        <f t="shared" si="969"/>
        <v>AVERAGE</v>
      </c>
      <c r="S12366" t="s">
        <v>620</v>
      </c>
    </row>
    <row r="12367" spans="1:19" x14ac:dyDescent="0.2">
      <c r="A12367" t="s">
        <v>12978</v>
      </c>
      <c r="B12367" t="s">
        <v>83</v>
      </c>
      <c r="C12367" t="s">
        <v>614</v>
      </c>
      <c r="D12367">
        <v>3381.04</v>
      </c>
      <c r="E12367" s="37" t="str">
        <f t="shared" si="965"/>
        <v xml:space="preserve"> </v>
      </c>
      <c r="F12367">
        <v>0.24</v>
      </c>
      <c r="G12367" s="37" t="str">
        <f t="shared" si="966"/>
        <v>Normal Discount</v>
      </c>
      <c r="H12367" s="37" t="str">
        <f t="shared" si="967"/>
        <v>Medium</v>
      </c>
      <c r="I12367">
        <v>4</v>
      </c>
      <c r="J12367" t="str" cm="1">
        <f t="array" ref="J12367">_xlfn.IFS(I12367&lt;=3,"small",I12367&lt;=6,"Medium",I12367&lt;=9,"Large")</f>
        <v>Medium</v>
      </c>
      <c r="K12367" s="36">
        <v>45632</v>
      </c>
      <c r="L12367" s="36">
        <v>45636</v>
      </c>
      <c r="M12367" t="s">
        <v>603</v>
      </c>
      <c r="N12367" t="s">
        <v>608</v>
      </c>
      <c r="O12367" s="37" t="str">
        <f t="shared" si="968"/>
        <v>Cash Payment</v>
      </c>
      <c r="P12367">
        <v>760.32</v>
      </c>
      <c r="Q12367" s="37" t="str">
        <f>IF(P12367&gt;500,"High","low")</f>
        <v>High</v>
      </c>
      <c r="R12367" s="37" t="str">
        <f t="shared" si="969"/>
        <v>Good</v>
      </c>
      <c r="S12367" t="s">
        <v>605</v>
      </c>
    </row>
    <row r="12368" spans="1:19" x14ac:dyDescent="0.2">
      <c r="A12368" t="s">
        <v>12979</v>
      </c>
      <c r="B12368" t="s">
        <v>67</v>
      </c>
      <c r="C12368" t="s">
        <v>602</v>
      </c>
      <c r="D12368">
        <v>1342.99</v>
      </c>
      <c r="E12368" s="37" t="str">
        <f t="shared" si="965"/>
        <v xml:space="preserve"> </v>
      </c>
      <c r="F12368">
        <v>0.11</v>
      </c>
      <c r="G12368" s="37" t="str">
        <f t="shared" si="966"/>
        <v>Normal Discount</v>
      </c>
      <c r="H12368" s="37" t="str">
        <f t="shared" si="967"/>
        <v>Low</v>
      </c>
      <c r="I12368">
        <v>5</v>
      </c>
      <c r="J12368" t="str" cm="1">
        <f t="array" ref="J12368">_xlfn.IFS(I12368&lt;=3,"small",I12368&lt;=6,"Medium",I12368&lt;=9,"Large")</f>
        <v>Medium</v>
      </c>
      <c r="K12368" s="36">
        <v>45165</v>
      </c>
      <c r="L12368" s="36">
        <v>45167</v>
      </c>
      <c r="M12368" t="s">
        <v>598</v>
      </c>
      <c r="N12368" t="s">
        <v>604</v>
      </c>
      <c r="O12368" s="37" t="str">
        <f t="shared" si="968"/>
        <v>Digital Payment</v>
      </c>
      <c r="P12368">
        <v>247.59</v>
      </c>
      <c r="Q12368" s="37" t="str">
        <f>IF(P12368&gt;500,"High","low")</f>
        <v>low</v>
      </c>
      <c r="R12368" s="37" t="str">
        <f t="shared" si="969"/>
        <v>AVERAGE</v>
      </c>
      <c r="S12368" t="s">
        <v>620</v>
      </c>
    </row>
    <row r="12369" spans="1:19" x14ac:dyDescent="0.2">
      <c r="A12369" t="s">
        <v>12980</v>
      </c>
      <c r="B12369" t="s">
        <v>83</v>
      </c>
      <c r="C12369" t="s">
        <v>614</v>
      </c>
      <c r="D12369">
        <v>4103.5600000000004</v>
      </c>
      <c r="E12369" s="37" t="str">
        <f t="shared" si="965"/>
        <v xml:space="preserve"> </v>
      </c>
      <c r="F12369">
        <v>0.28999999999999998</v>
      </c>
      <c r="G12369" s="37" t="str">
        <f t="shared" si="966"/>
        <v>Normal Discount</v>
      </c>
      <c r="H12369" s="37" t="str">
        <f t="shared" si="967"/>
        <v>Medium</v>
      </c>
      <c r="I12369">
        <v>6</v>
      </c>
      <c r="J12369" t="str" cm="1">
        <f t="array" ref="J12369">_xlfn.IFS(I12369&lt;=3,"small",I12369&lt;=6,"Medium",I12369&lt;=9,"Large")</f>
        <v>Medium</v>
      </c>
      <c r="K12369" s="36">
        <v>45107</v>
      </c>
      <c r="L12369" s="36">
        <v>45113</v>
      </c>
      <c r="M12369" t="s">
        <v>598</v>
      </c>
      <c r="N12369" t="s">
        <v>608</v>
      </c>
      <c r="O12369" s="37" t="str">
        <f t="shared" si="968"/>
        <v>Cash Payment</v>
      </c>
      <c r="P12369">
        <v>253.48</v>
      </c>
      <c r="Q12369" s="37" t="str">
        <f>IF(P12369&gt;500,"High","low")</f>
        <v>low</v>
      </c>
      <c r="R12369" s="37" t="str">
        <f t="shared" si="969"/>
        <v>AVERAGE</v>
      </c>
      <c r="S12369" t="s">
        <v>605</v>
      </c>
    </row>
    <row r="12370" spans="1:19" x14ac:dyDescent="0.2">
      <c r="A12370" t="s">
        <v>12981</v>
      </c>
      <c r="B12370" t="s">
        <v>67</v>
      </c>
      <c r="C12370" t="s">
        <v>607</v>
      </c>
      <c r="D12370">
        <v>3286.48</v>
      </c>
      <c r="E12370" s="37" t="str">
        <f t="shared" si="965"/>
        <v xml:space="preserve"> </v>
      </c>
      <c r="F12370">
        <v>0.12</v>
      </c>
      <c r="G12370" s="37" t="str">
        <f t="shared" si="966"/>
        <v>Normal Discount</v>
      </c>
      <c r="H12370" s="37" t="str">
        <f t="shared" si="967"/>
        <v>Low</v>
      </c>
      <c r="I12370">
        <v>5</v>
      </c>
      <c r="J12370" t="str" cm="1">
        <f t="array" ref="J12370">_xlfn.IFS(I12370&lt;=3,"small",I12370&lt;=6,"Medium",I12370&lt;=9,"Large")</f>
        <v>Medium</v>
      </c>
      <c r="K12370" s="36">
        <v>44957</v>
      </c>
      <c r="L12370" s="36">
        <v>44959</v>
      </c>
      <c r="M12370" t="s">
        <v>603</v>
      </c>
      <c r="N12370" t="s">
        <v>608</v>
      </c>
      <c r="O12370" s="37" t="str">
        <f t="shared" si="968"/>
        <v>Cash Payment</v>
      </c>
      <c r="P12370">
        <v>771.61</v>
      </c>
      <c r="Q12370" s="37" t="str">
        <f>IF(P12370&gt;500,"High","low")</f>
        <v>High</v>
      </c>
      <c r="R12370" s="37" t="str">
        <f t="shared" si="969"/>
        <v>Good</v>
      </c>
      <c r="S12370" t="s">
        <v>620</v>
      </c>
    </row>
    <row r="12371" spans="1:19" x14ac:dyDescent="0.2">
      <c r="A12371" t="s">
        <v>12982</v>
      </c>
      <c r="B12371" t="s">
        <v>83</v>
      </c>
      <c r="C12371" t="s">
        <v>607</v>
      </c>
      <c r="D12371">
        <v>4237.51</v>
      </c>
      <c r="E12371" s="37" t="str">
        <f t="shared" si="965"/>
        <v>Excellent Order</v>
      </c>
      <c r="F12371">
        <v>0.1</v>
      </c>
      <c r="G12371" s="37" t="str">
        <f t="shared" si="966"/>
        <v>Normal Discount</v>
      </c>
      <c r="H12371" s="37" t="str">
        <f t="shared" si="967"/>
        <v>Low</v>
      </c>
      <c r="I12371">
        <v>9</v>
      </c>
      <c r="J12371" t="str" cm="1">
        <f t="array" ref="J12371">_xlfn.IFS(I12371&lt;=3,"small",I12371&lt;=6,"Medium",I12371&lt;=9,"Large")</f>
        <v>Large</v>
      </c>
      <c r="K12371" s="36">
        <v>45336</v>
      </c>
      <c r="L12371" s="36">
        <v>45337</v>
      </c>
      <c r="M12371" t="s">
        <v>612</v>
      </c>
      <c r="N12371" t="s">
        <v>608</v>
      </c>
      <c r="O12371" s="37" t="str">
        <f t="shared" si="968"/>
        <v>Cash Payment</v>
      </c>
      <c r="P12371">
        <v>1013.55</v>
      </c>
      <c r="Q12371" s="37" t="str">
        <f>IF(P12371&gt;500,"High","low")</f>
        <v>High</v>
      </c>
      <c r="R12371" s="37" t="str">
        <f t="shared" si="969"/>
        <v>Excellent</v>
      </c>
      <c r="S12371" t="s">
        <v>609</v>
      </c>
    </row>
    <row r="12372" spans="1:19" x14ac:dyDescent="0.2">
      <c r="A12372" t="s">
        <v>12983</v>
      </c>
      <c r="B12372" t="s">
        <v>75</v>
      </c>
      <c r="C12372" t="s">
        <v>602</v>
      </c>
      <c r="D12372">
        <v>1822.48</v>
      </c>
      <c r="E12372" s="37" t="str">
        <f t="shared" si="965"/>
        <v xml:space="preserve"> </v>
      </c>
      <c r="F12372">
        <v>0.05</v>
      </c>
      <c r="G12372" s="37" t="str">
        <f t="shared" si="966"/>
        <v>Normal Discount</v>
      </c>
      <c r="H12372" s="37" t="str">
        <f t="shared" si="967"/>
        <v>Low</v>
      </c>
      <c r="I12372">
        <v>2</v>
      </c>
      <c r="J12372" t="str" cm="1">
        <f t="array" ref="J12372">_xlfn.IFS(I12372&lt;=3,"small",I12372&lt;=6,"Medium",I12372&lt;=9,"Large")</f>
        <v>small</v>
      </c>
      <c r="K12372" s="36">
        <v>45126</v>
      </c>
      <c r="L12372" s="36">
        <v>45129</v>
      </c>
      <c r="M12372" t="s">
        <v>598</v>
      </c>
      <c r="N12372" t="s">
        <v>608</v>
      </c>
      <c r="O12372" s="37" t="str">
        <f t="shared" si="968"/>
        <v>Cash Payment</v>
      </c>
      <c r="P12372">
        <v>281.83</v>
      </c>
      <c r="Q12372" s="37" t="str">
        <f>IF(P12372&gt;500,"High","low")</f>
        <v>low</v>
      </c>
      <c r="R12372" s="37" t="str">
        <f t="shared" si="969"/>
        <v>AVERAGE</v>
      </c>
      <c r="S12372" t="s">
        <v>620</v>
      </c>
    </row>
    <row r="12373" spans="1:19" x14ac:dyDescent="0.2">
      <c r="A12373" t="s">
        <v>12984</v>
      </c>
      <c r="B12373" t="s">
        <v>67</v>
      </c>
      <c r="C12373" t="s">
        <v>602</v>
      </c>
      <c r="D12373">
        <v>1725.38</v>
      </c>
      <c r="E12373" s="37" t="str">
        <f t="shared" si="965"/>
        <v xml:space="preserve"> </v>
      </c>
      <c r="F12373">
        <v>0.17</v>
      </c>
      <c r="G12373" s="37" t="str">
        <f t="shared" si="966"/>
        <v>Normal Discount</v>
      </c>
      <c r="H12373" s="37" t="str">
        <f t="shared" si="967"/>
        <v>Low</v>
      </c>
      <c r="I12373">
        <v>6</v>
      </c>
      <c r="J12373" t="str" cm="1">
        <f t="array" ref="J12373">_xlfn.IFS(I12373&lt;=3,"small",I12373&lt;=6,"Medium",I12373&lt;=9,"Large")</f>
        <v>Medium</v>
      </c>
      <c r="K12373" s="36">
        <v>45107</v>
      </c>
      <c r="L12373" s="36">
        <v>45109</v>
      </c>
      <c r="M12373" t="s">
        <v>598</v>
      </c>
      <c r="N12373" t="s">
        <v>608</v>
      </c>
      <c r="O12373" s="37" t="str">
        <f t="shared" si="968"/>
        <v>Cash Payment</v>
      </c>
      <c r="P12373">
        <v>94.72</v>
      </c>
      <c r="Q12373" s="37" t="str">
        <f>IF(P12373&gt;500,"High","low")</f>
        <v>low</v>
      </c>
      <c r="R12373" s="37" t="str">
        <f t="shared" si="969"/>
        <v>AVERAGE</v>
      </c>
      <c r="S12373" t="s">
        <v>609</v>
      </c>
    </row>
    <row r="12374" spans="1:19" x14ac:dyDescent="0.2">
      <c r="A12374" t="s">
        <v>12985</v>
      </c>
      <c r="B12374" t="s">
        <v>83</v>
      </c>
      <c r="C12374" t="s">
        <v>597</v>
      </c>
      <c r="D12374">
        <v>217.12</v>
      </c>
      <c r="E12374" s="37" t="str">
        <f t="shared" si="965"/>
        <v xml:space="preserve"> </v>
      </c>
      <c r="F12374">
        <v>0.27</v>
      </c>
      <c r="G12374" s="37" t="str">
        <f t="shared" si="966"/>
        <v>Normal Discount</v>
      </c>
      <c r="H12374" s="37" t="str">
        <f t="shared" si="967"/>
        <v>Medium</v>
      </c>
      <c r="I12374">
        <v>2</v>
      </c>
      <c r="J12374" t="str" cm="1">
        <f t="array" ref="J12374">_xlfn.IFS(I12374&lt;=3,"small",I12374&lt;=6,"Medium",I12374&lt;=9,"Large")</f>
        <v>small</v>
      </c>
      <c r="K12374" s="36">
        <v>45622</v>
      </c>
      <c r="L12374" s="36">
        <v>45629</v>
      </c>
      <c r="M12374" t="s">
        <v>598</v>
      </c>
      <c r="N12374" t="s">
        <v>599</v>
      </c>
      <c r="O12374" s="37" t="str">
        <f t="shared" si="968"/>
        <v>Digital Payment</v>
      </c>
      <c r="P12374">
        <v>21.22</v>
      </c>
      <c r="Q12374" s="37" t="str">
        <f>IF(P12374&gt;500,"High","low")</f>
        <v>low</v>
      </c>
      <c r="R12374" s="37" t="str">
        <f t="shared" si="969"/>
        <v>AVERAGE</v>
      </c>
      <c r="S12374" t="s">
        <v>605</v>
      </c>
    </row>
    <row r="12375" spans="1:19" x14ac:dyDescent="0.2">
      <c r="A12375" t="s">
        <v>12986</v>
      </c>
      <c r="B12375" t="s">
        <v>83</v>
      </c>
      <c r="C12375" t="s">
        <v>597</v>
      </c>
      <c r="D12375">
        <v>3866.17</v>
      </c>
      <c r="E12375" s="37" t="str">
        <f t="shared" si="965"/>
        <v xml:space="preserve"> </v>
      </c>
      <c r="F12375">
        <v>0.08</v>
      </c>
      <c r="G12375" s="37" t="str">
        <f t="shared" si="966"/>
        <v>Normal Discount</v>
      </c>
      <c r="H12375" s="37" t="str">
        <f t="shared" si="967"/>
        <v>Low</v>
      </c>
      <c r="I12375">
        <v>8</v>
      </c>
      <c r="J12375" t="str" cm="1">
        <f t="array" ref="J12375">_xlfn.IFS(I12375&lt;=3,"small",I12375&lt;=6,"Medium",I12375&lt;=9,"Large")</f>
        <v>Large</v>
      </c>
      <c r="K12375" s="36">
        <v>45521</v>
      </c>
      <c r="L12375" s="36">
        <v>45523</v>
      </c>
      <c r="M12375" t="s">
        <v>603</v>
      </c>
      <c r="N12375" t="s">
        <v>604</v>
      </c>
      <c r="O12375" s="37" t="str">
        <f t="shared" si="968"/>
        <v>Digital Payment</v>
      </c>
      <c r="P12375">
        <v>748.19</v>
      </c>
      <c r="Q12375" s="37" t="str">
        <f>IF(P12375&gt;500,"High","low")</f>
        <v>High</v>
      </c>
      <c r="R12375" s="37" t="str">
        <f t="shared" si="969"/>
        <v>Good</v>
      </c>
      <c r="S12375" t="s">
        <v>609</v>
      </c>
    </row>
    <row r="12376" spans="1:19" x14ac:dyDescent="0.2">
      <c r="A12376" t="s">
        <v>12987</v>
      </c>
      <c r="B12376" t="s">
        <v>90</v>
      </c>
      <c r="C12376" t="s">
        <v>614</v>
      </c>
      <c r="D12376">
        <v>1718.54</v>
      </c>
      <c r="E12376" s="37" t="str">
        <f t="shared" si="965"/>
        <v xml:space="preserve"> </v>
      </c>
      <c r="F12376">
        <v>0.1</v>
      </c>
      <c r="G12376" s="37" t="str">
        <f t="shared" si="966"/>
        <v>Normal Discount</v>
      </c>
      <c r="H12376" s="37" t="str">
        <f t="shared" si="967"/>
        <v>Low</v>
      </c>
      <c r="I12376">
        <v>8</v>
      </c>
      <c r="J12376" t="str" cm="1">
        <f t="array" ref="J12376">_xlfn.IFS(I12376&lt;=3,"small",I12376&lt;=6,"Medium",I12376&lt;=9,"Large")</f>
        <v>Large</v>
      </c>
      <c r="K12376" s="36">
        <v>45372</v>
      </c>
      <c r="L12376" s="36">
        <v>45377</v>
      </c>
      <c r="M12376" t="s">
        <v>612</v>
      </c>
      <c r="N12376" t="s">
        <v>599</v>
      </c>
      <c r="O12376" s="37" t="str">
        <f t="shared" si="968"/>
        <v>Digital Payment</v>
      </c>
      <c r="P12376">
        <v>410.85</v>
      </c>
      <c r="Q12376" s="37" t="str">
        <f>IF(P12376&gt;500,"High","low")</f>
        <v>low</v>
      </c>
      <c r="R12376" s="37" t="str">
        <f t="shared" si="969"/>
        <v>AVERAGE</v>
      </c>
      <c r="S12376" t="s">
        <v>628</v>
      </c>
    </row>
    <row r="12377" spans="1:19" x14ac:dyDescent="0.2">
      <c r="A12377" t="s">
        <v>12988</v>
      </c>
      <c r="B12377" t="s">
        <v>67</v>
      </c>
      <c r="C12377" t="s">
        <v>614</v>
      </c>
      <c r="D12377">
        <v>1703.34</v>
      </c>
      <c r="E12377" s="37" t="str">
        <f t="shared" si="965"/>
        <v xml:space="preserve"> </v>
      </c>
      <c r="F12377">
        <v>0.2</v>
      </c>
      <c r="G12377" s="37" t="str">
        <f t="shared" si="966"/>
        <v>Normal Discount</v>
      </c>
      <c r="H12377" s="37" t="str">
        <f t="shared" si="967"/>
        <v>Medium</v>
      </c>
      <c r="I12377">
        <v>5</v>
      </c>
      <c r="J12377" t="str" cm="1">
        <f t="array" ref="J12377">_xlfn.IFS(I12377&lt;=3,"small",I12377&lt;=6,"Medium",I12377&lt;=9,"Large")</f>
        <v>Medium</v>
      </c>
      <c r="K12377" s="36">
        <v>45482</v>
      </c>
      <c r="L12377" s="36">
        <v>45487</v>
      </c>
      <c r="M12377" t="s">
        <v>612</v>
      </c>
      <c r="N12377" t="s">
        <v>599</v>
      </c>
      <c r="O12377" s="37" t="str">
        <f t="shared" si="968"/>
        <v>Digital Payment</v>
      </c>
      <c r="P12377">
        <v>121.41</v>
      </c>
      <c r="Q12377" s="37" t="str">
        <f>IF(P12377&gt;500,"High","low")</f>
        <v>low</v>
      </c>
      <c r="R12377" s="37" t="str">
        <f t="shared" si="969"/>
        <v>AVERAGE</v>
      </c>
      <c r="S12377" t="s">
        <v>615</v>
      </c>
    </row>
    <row r="12378" spans="1:19" x14ac:dyDescent="0.2">
      <c r="A12378" t="s">
        <v>12989</v>
      </c>
      <c r="B12378" t="s">
        <v>83</v>
      </c>
      <c r="C12378" t="s">
        <v>602</v>
      </c>
      <c r="D12378">
        <v>3474.55</v>
      </c>
      <c r="E12378" s="37" t="str">
        <f t="shared" si="965"/>
        <v xml:space="preserve"> </v>
      </c>
      <c r="F12378">
        <v>0.24</v>
      </c>
      <c r="G12378" s="37" t="str">
        <f t="shared" si="966"/>
        <v>Normal Discount</v>
      </c>
      <c r="H12378" s="37" t="str">
        <f t="shared" si="967"/>
        <v>Medium</v>
      </c>
      <c r="I12378">
        <v>8</v>
      </c>
      <c r="J12378" t="str" cm="1">
        <f t="array" ref="J12378">_xlfn.IFS(I12378&lt;=3,"small",I12378&lt;=6,"Medium",I12378&lt;=9,"Large")</f>
        <v>Large</v>
      </c>
      <c r="K12378" s="36">
        <v>44984</v>
      </c>
      <c r="L12378" s="36">
        <v>44985</v>
      </c>
      <c r="M12378" t="s">
        <v>598</v>
      </c>
      <c r="N12378" t="s">
        <v>608</v>
      </c>
      <c r="O12378" s="37" t="str">
        <f t="shared" si="968"/>
        <v>Cash Payment</v>
      </c>
      <c r="P12378">
        <v>758.22</v>
      </c>
      <c r="Q12378" s="37" t="str">
        <f>IF(P12378&gt;500,"High","low")</f>
        <v>High</v>
      </c>
      <c r="R12378" s="37" t="str">
        <f t="shared" si="969"/>
        <v>Good</v>
      </c>
      <c r="S12378" t="s">
        <v>615</v>
      </c>
    </row>
    <row r="12379" spans="1:19" x14ac:dyDescent="0.2">
      <c r="A12379" t="s">
        <v>12990</v>
      </c>
      <c r="B12379" t="s">
        <v>90</v>
      </c>
      <c r="C12379" t="s">
        <v>614</v>
      </c>
      <c r="D12379">
        <v>1339.06</v>
      </c>
      <c r="E12379" s="37" t="str">
        <f t="shared" si="965"/>
        <v xml:space="preserve"> </v>
      </c>
      <c r="F12379">
        <v>0.38</v>
      </c>
      <c r="G12379" s="37" t="str">
        <f t="shared" si="966"/>
        <v>Heavy Discount</v>
      </c>
      <c r="H12379" s="37" t="str">
        <f t="shared" si="967"/>
        <v>Medium</v>
      </c>
      <c r="I12379">
        <v>5</v>
      </c>
      <c r="J12379" t="str" cm="1">
        <f t="array" ref="J12379">_xlfn.IFS(I12379&lt;=3,"small",I12379&lt;=6,"Medium",I12379&lt;=9,"Large")</f>
        <v>Medium</v>
      </c>
      <c r="K12379" s="36">
        <v>45387</v>
      </c>
      <c r="L12379" s="36">
        <v>45393</v>
      </c>
      <c r="M12379" t="s">
        <v>598</v>
      </c>
      <c r="N12379" t="s">
        <v>599</v>
      </c>
      <c r="O12379" s="37" t="str">
        <f t="shared" si="968"/>
        <v>Digital Payment</v>
      </c>
      <c r="P12379">
        <v>234.77</v>
      </c>
      <c r="Q12379" s="37" t="str">
        <f>IF(P12379&gt;500,"High","low")</f>
        <v>low</v>
      </c>
      <c r="R12379" s="37" t="str">
        <f t="shared" si="969"/>
        <v>AVERAGE</v>
      </c>
      <c r="S12379" t="s">
        <v>605</v>
      </c>
    </row>
    <row r="12380" spans="1:19" x14ac:dyDescent="0.2">
      <c r="A12380" t="s">
        <v>12991</v>
      </c>
      <c r="B12380" t="s">
        <v>83</v>
      </c>
      <c r="C12380" t="s">
        <v>617</v>
      </c>
      <c r="D12380">
        <v>4554.2</v>
      </c>
      <c r="E12380" s="37" t="str">
        <f t="shared" si="965"/>
        <v xml:space="preserve"> </v>
      </c>
      <c r="F12380">
        <v>0.28000000000000003</v>
      </c>
      <c r="G12380" s="37" t="str">
        <f t="shared" si="966"/>
        <v>Normal Discount</v>
      </c>
      <c r="H12380" s="37" t="str">
        <f t="shared" si="967"/>
        <v>Medium</v>
      </c>
      <c r="I12380">
        <v>4</v>
      </c>
      <c r="J12380" t="str" cm="1">
        <f t="array" ref="J12380">_xlfn.IFS(I12380&lt;=3,"small",I12380&lt;=6,"Medium",I12380&lt;=9,"Large")</f>
        <v>Medium</v>
      </c>
      <c r="K12380" s="36">
        <v>45579</v>
      </c>
      <c r="L12380" s="36">
        <v>45582</v>
      </c>
      <c r="M12380" t="s">
        <v>598</v>
      </c>
      <c r="N12380" t="s">
        <v>608</v>
      </c>
      <c r="O12380" s="37" t="str">
        <f t="shared" si="968"/>
        <v>Cash Payment</v>
      </c>
      <c r="P12380">
        <v>494.76</v>
      </c>
      <c r="Q12380" s="37" t="str">
        <f>IF(P12380&gt;500,"High","low")</f>
        <v>low</v>
      </c>
      <c r="R12380" s="37" t="str">
        <f t="shared" si="969"/>
        <v>AVERAGE</v>
      </c>
      <c r="S12380" t="s">
        <v>605</v>
      </c>
    </row>
    <row r="12381" spans="1:19" x14ac:dyDescent="0.2">
      <c r="A12381" t="s">
        <v>12992</v>
      </c>
      <c r="B12381" t="s">
        <v>67</v>
      </c>
      <c r="C12381" t="s">
        <v>607</v>
      </c>
      <c r="D12381">
        <v>2736.52</v>
      </c>
      <c r="E12381" s="37" t="str">
        <f t="shared" si="965"/>
        <v xml:space="preserve"> </v>
      </c>
      <c r="F12381">
        <v>0.31</v>
      </c>
      <c r="G12381" s="37" t="str">
        <f t="shared" si="966"/>
        <v>Heavy Discount</v>
      </c>
      <c r="H12381" s="37" t="str">
        <f t="shared" si="967"/>
        <v>Medium</v>
      </c>
      <c r="I12381">
        <v>9</v>
      </c>
      <c r="J12381" t="str" cm="1">
        <f t="array" ref="J12381">_xlfn.IFS(I12381&lt;=3,"small",I12381&lt;=6,"Medium",I12381&lt;=9,"Large")</f>
        <v>Large</v>
      </c>
      <c r="K12381" s="36">
        <v>45243</v>
      </c>
      <c r="L12381" s="36">
        <v>45248</v>
      </c>
      <c r="M12381" t="s">
        <v>603</v>
      </c>
      <c r="N12381" t="s">
        <v>599</v>
      </c>
      <c r="O12381" s="37" t="str">
        <f t="shared" si="968"/>
        <v>Digital Payment</v>
      </c>
      <c r="P12381">
        <v>469.34</v>
      </c>
      <c r="Q12381" s="37" t="str">
        <f>IF(P12381&gt;500,"High","low")</f>
        <v>low</v>
      </c>
      <c r="R12381" s="37" t="str">
        <f t="shared" si="969"/>
        <v>AVERAGE</v>
      </c>
      <c r="S12381" t="s">
        <v>615</v>
      </c>
    </row>
    <row r="12382" spans="1:19" x14ac:dyDescent="0.2">
      <c r="A12382" t="s">
        <v>12993</v>
      </c>
      <c r="B12382" t="s">
        <v>75</v>
      </c>
      <c r="C12382" t="s">
        <v>614</v>
      </c>
      <c r="D12382">
        <v>4850.4399999999996</v>
      </c>
      <c r="E12382" s="37" t="str">
        <f t="shared" si="965"/>
        <v xml:space="preserve"> </v>
      </c>
      <c r="F12382">
        <v>0.35</v>
      </c>
      <c r="G12382" s="37" t="str">
        <f t="shared" si="966"/>
        <v>Heavy Discount</v>
      </c>
      <c r="H12382" s="37" t="str">
        <f t="shared" si="967"/>
        <v>Medium</v>
      </c>
      <c r="I12382">
        <v>8</v>
      </c>
      <c r="J12382" t="str" cm="1">
        <f t="array" ref="J12382">_xlfn.IFS(I12382&lt;=3,"small",I12382&lt;=6,"Medium",I12382&lt;=9,"Large")</f>
        <v>Large</v>
      </c>
      <c r="K12382" s="36">
        <v>45506</v>
      </c>
      <c r="L12382" s="36">
        <v>45509</v>
      </c>
      <c r="M12382" t="s">
        <v>598</v>
      </c>
      <c r="N12382" t="s">
        <v>599</v>
      </c>
      <c r="O12382" s="37" t="str">
        <f t="shared" si="968"/>
        <v>Digital Payment</v>
      </c>
      <c r="P12382">
        <v>319.64</v>
      </c>
      <c r="Q12382" s="37" t="str">
        <f>IF(P12382&gt;500,"High","low")</f>
        <v>low</v>
      </c>
      <c r="R12382" s="37" t="str">
        <f t="shared" si="969"/>
        <v>AVERAGE</v>
      </c>
      <c r="S12382" t="s">
        <v>620</v>
      </c>
    </row>
    <row r="12383" spans="1:19" x14ac:dyDescent="0.2">
      <c r="A12383" t="s">
        <v>12994</v>
      </c>
      <c r="B12383" t="s">
        <v>67</v>
      </c>
      <c r="C12383" t="s">
        <v>614</v>
      </c>
      <c r="D12383">
        <v>475.68</v>
      </c>
      <c r="E12383" s="37" t="str">
        <f t="shared" si="965"/>
        <v xml:space="preserve"> </v>
      </c>
      <c r="F12383">
        <v>0.23</v>
      </c>
      <c r="G12383" s="37" t="str">
        <f t="shared" si="966"/>
        <v>Normal Discount</v>
      </c>
      <c r="H12383" s="37" t="str">
        <f t="shared" si="967"/>
        <v>Medium</v>
      </c>
      <c r="I12383">
        <v>4</v>
      </c>
      <c r="J12383" t="str" cm="1">
        <f t="array" ref="J12383">_xlfn.IFS(I12383&lt;=3,"small",I12383&lt;=6,"Medium",I12383&lt;=9,"Large")</f>
        <v>Medium</v>
      </c>
      <c r="K12383" s="36">
        <v>45105</v>
      </c>
      <c r="L12383" s="36">
        <v>45112</v>
      </c>
      <c r="M12383" t="s">
        <v>598</v>
      </c>
      <c r="N12383" t="s">
        <v>599</v>
      </c>
      <c r="O12383" s="37" t="str">
        <f t="shared" si="968"/>
        <v>Digital Payment</v>
      </c>
      <c r="P12383">
        <v>102.17</v>
      </c>
      <c r="Q12383" s="37" t="str">
        <f>IF(P12383&gt;500,"High","low")</f>
        <v>low</v>
      </c>
      <c r="R12383" s="37" t="str">
        <f t="shared" si="969"/>
        <v>AVERAGE</v>
      </c>
      <c r="S12383" t="s">
        <v>628</v>
      </c>
    </row>
    <row r="12384" spans="1:19" x14ac:dyDescent="0.2">
      <c r="A12384" t="s">
        <v>12995</v>
      </c>
      <c r="B12384" t="s">
        <v>67</v>
      </c>
      <c r="C12384" t="s">
        <v>597</v>
      </c>
      <c r="D12384">
        <v>1750.44</v>
      </c>
      <c r="E12384" s="37" t="str">
        <f t="shared" si="965"/>
        <v xml:space="preserve"> </v>
      </c>
      <c r="F12384">
        <v>0.17</v>
      </c>
      <c r="G12384" s="37" t="str">
        <f t="shared" si="966"/>
        <v>Normal Discount</v>
      </c>
      <c r="H12384" s="37" t="str">
        <f t="shared" si="967"/>
        <v>Low</v>
      </c>
      <c r="I12384">
        <v>2</v>
      </c>
      <c r="J12384" t="str" cm="1">
        <f t="array" ref="J12384">_xlfn.IFS(I12384&lt;=3,"small",I12384&lt;=6,"Medium",I12384&lt;=9,"Large")</f>
        <v>small</v>
      </c>
      <c r="K12384" s="36">
        <v>45051</v>
      </c>
      <c r="L12384" s="36">
        <v>45057</v>
      </c>
      <c r="M12384" t="s">
        <v>603</v>
      </c>
      <c r="N12384" t="s">
        <v>608</v>
      </c>
      <c r="O12384" s="37" t="str">
        <f t="shared" si="968"/>
        <v>Cash Payment</v>
      </c>
      <c r="P12384">
        <v>142.55000000000001</v>
      </c>
      <c r="Q12384" s="37" t="str">
        <f>IF(P12384&gt;500,"High","low")</f>
        <v>low</v>
      </c>
      <c r="R12384" s="37" t="str">
        <f t="shared" si="969"/>
        <v>AVERAGE</v>
      </c>
      <c r="S12384" t="s">
        <v>605</v>
      </c>
    </row>
    <row r="12385" spans="1:19" x14ac:dyDescent="0.2">
      <c r="A12385" t="s">
        <v>12996</v>
      </c>
      <c r="B12385" t="s">
        <v>83</v>
      </c>
      <c r="C12385" t="s">
        <v>617</v>
      </c>
      <c r="D12385">
        <v>1969.2</v>
      </c>
      <c r="E12385" s="37" t="str">
        <f t="shared" si="965"/>
        <v xml:space="preserve"> </v>
      </c>
      <c r="F12385">
        <v>0.4</v>
      </c>
      <c r="G12385" s="37" t="str">
        <f t="shared" si="966"/>
        <v>Heavy Discount</v>
      </c>
      <c r="H12385" s="37" t="str">
        <f t="shared" si="967"/>
        <v>Medium</v>
      </c>
      <c r="I12385">
        <v>2</v>
      </c>
      <c r="J12385" t="str" cm="1">
        <f t="array" ref="J12385">_xlfn.IFS(I12385&lt;=3,"small",I12385&lt;=6,"Medium",I12385&lt;=9,"Large")</f>
        <v>small</v>
      </c>
      <c r="K12385" s="36">
        <v>45628</v>
      </c>
      <c r="L12385" s="36">
        <v>45635</v>
      </c>
      <c r="M12385" t="s">
        <v>612</v>
      </c>
      <c r="N12385" t="s">
        <v>604</v>
      </c>
      <c r="O12385" s="37" t="str">
        <f t="shared" si="968"/>
        <v>Digital Payment</v>
      </c>
      <c r="P12385">
        <v>109.8</v>
      </c>
      <c r="Q12385" s="37" t="str">
        <f>IF(P12385&gt;500,"High","low")</f>
        <v>low</v>
      </c>
      <c r="R12385" s="37" t="str">
        <f t="shared" si="969"/>
        <v>AVERAGE</v>
      </c>
      <c r="S12385" t="s">
        <v>628</v>
      </c>
    </row>
    <row r="12386" spans="1:19" x14ac:dyDescent="0.2">
      <c r="A12386" t="s">
        <v>12997</v>
      </c>
      <c r="B12386" t="s">
        <v>83</v>
      </c>
      <c r="C12386" t="s">
        <v>614</v>
      </c>
      <c r="D12386">
        <v>3679.06</v>
      </c>
      <c r="E12386" s="37" t="str">
        <f t="shared" si="965"/>
        <v xml:space="preserve"> </v>
      </c>
      <c r="F12386">
        <v>0.41</v>
      </c>
      <c r="G12386" s="37" t="str">
        <f t="shared" si="966"/>
        <v>Heavy Discount</v>
      </c>
      <c r="H12386" s="37" t="str">
        <f t="shared" si="967"/>
        <v>High</v>
      </c>
      <c r="I12386">
        <v>2</v>
      </c>
      <c r="J12386" t="str" cm="1">
        <f t="array" ref="J12386">_xlfn.IFS(I12386&lt;=3,"small",I12386&lt;=6,"Medium",I12386&lt;=9,"Large")</f>
        <v>small</v>
      </c>
      <c r="K12386" s="36">
        <v>45277</v>
      </c>
      <c r="L12386" s="36">
        <v>45278</v>
      </c>
      <c r="M12386" t="s">
        <v>612</v>
      </c>
      <c r="N12386" t="s">
        <v>604</v>
      </c>
      <c r="O12386" s="37" t="str">
        <f t="shared" si="968"/>
        <v>Digital Payment</v>
      </c>
      <c r="P12386">
        <v>208.44</v>
      </c>
      <c r="Q12386" s="37" t="str">
        <f>IF(P12386&gt;500,"High","low")</f>
        <v>low</v>
      </c>
      <c r="R12386" s="37" t="str">
        <f t="shared" si="969"/>
        <v>AVERAGE</v>
      </c>
      <c r="S12386" t="s">
        <v>615</v>
      </c>
    </row>
    <row r="12387" spans="1:19" x14ac:dyDescent="0.2">
      <c r="A12387" t="s">
        <v>12998</v>
      </c>
      <c r="B12387" t="s">
        <v>67</v>
      </c>
      <c r="C12387" t="s">
        <v>607</v>
      </c>
      <c r="D12387">
        <v>1143.52</v>
      </c>
      <c r="E12387" s="37" t="str">
        <f t="shared" si="965"/>
        <v xml:space="preserve"> </v>
      </c>
      <c r="F12387">
        <v>0.08</v>
      </c>
      <c r="G12387" s="37" t="str">
        <f t="shared" si="966"/>
        <v>Normal Discount</v>
      </c>
      <c r="H12387" s="37" t="str">
        <f t="shared" si="967"/>
        <v>Low</v>
      </c>
      <c r="I12387">
        <v>8</v>
      </c>
      <c r="J12387" t="str" cm="1">
        <f t="array" ref="J12387">_xlfn.IFS(I12387&lt;=3,"small",I12387&lt;=6,"Medium",I12387&lt;=9,"Large")</f>
        <v>Large</v>
      </c>
      <c r="K12387" s="36">
        <v>45117</v>
      </c>
      <c r="L12387" s="36">
        <v>45121</v>
      </c>
      <c r="M12387" t="s">
        <v>598</v>
      </c>
      <c r="N12387" t="s">
        <v>604</v>
      </c>
      <c r="O12387" s="37" t="str">
        <f t="shared" si="968"/>
        <v>Digital Payment</v>
      </c>
      <c r="P12387">
        <v>260.47000000000003</v>
      </c>
      <c r="Q12387" s="37" t="str">
        <f>IF(P12387&gt;500,"High","low")</f>
        <v>low</v>
      </c>
      <c r="R12387" s="37" t="str">
        <f t="shared" si="969"/>
        <v>AVERAGE</v>
      </c>
      <c r="S12387" t="s">
        <v>615</v>
      </c>
    </row>
    <row r="12388" spans="1:19" x14ac:dyDescent="0.2">
      <c r="A12388" t="s">
        <v>12999</v>
      </c>
      <c r="B12388" t="s">
        <v>90</v>
      </c>
      <c r="C12388" t="s">
        <v>614</v>
      </c>
      <c r="D12388">
        <v>1939.19</v>
      </c>
      <c r="E12388" s="37" t="str">
        <f t="shared" si="965"/>
        <v xml:space="preserve"> </v>
      </c>
      <c r="F12388">
        <v>0.48</v>
      </c>
      <c r="G12388" s="37" t="str">
        <f t="shared" si="966"/>
        <v>Heavy Discount</v>
      </c>
      <c r="H12388" s="37" t="str">
        <f t="shared" si="967"/>
        <v>High</v>
      </c>
      <c r="I12388">
        <v>6</v>
      </c>
      <c r="J12388" t="str" cm="1">
        <f t="array" ref="J12388">_xlfn.IFS(I12388&lt;=3,"small",I12388&lt;=6,"Medium",I12388&lt;=9,"Large")</f>
        <v>Medium</v>
      </c>
      <c r="K12388" s="36">
        <v>44998</v>
      </c>
      <c r="L12388" s="36">
        <v>44999</v>
      </c>
      <c r="M12388" t="s">
        <v>612</v>
      </c>
      <c r="N12388" t="s">
        <v>604</v>
      </c>
      <c r="O12388" s="37" t="str">
        <f t="shared" si="968"/>
        <v>Digital Payment</v>
      </c>
      <c r="P12388">
        <v>215.21</v>
      </c>
      <c r="Q12388" s="37" t="str">
        <f>IF(P12388&gt;500,"High","low")</f>
        <v>low</v>
      </c>
      <c r="R12388" s="37" t="str">
        <f t="shared" si="969"/>
        <v>AVERAGE</v>
      </c>
      <c r="S12388" t="s">
        <v>615</v>
      </c>
    </row>
    <row r="12389" spans="1:19" x14ac:dyDescent="0.2">
      <c r="A12389" t="s">
        <v>13000</v>
      </c>
      <c r="B12389" t="s">
        <v>90</v>
      </c>
      <c r="C12389" t="s">
        <v>602</v>
      </c>
      <c r="D12389">
        <v>4562.1499999999996</v>
      </c>
      <c r="E12389" s="37" t="str">
        <f t="shared" si="965"/>
        <v>Excellent Order</v>
      </c>
      <c r="F12389">
        <v>0.46</v>
      </c>
      <c r="G12389" s="37" t="str">
        <f t="shared" si="966"/>
        <v>Heavy Discount</v>
      </c>
      <c r="H12389" s="37" t="str">
        <f t="shared" si="967"/>
        <v>High</v>
      </c>
      <c r="I12389">
        <v>1</v>
      </c>
      <c r="J12389" t="str" cm="1">
        <f t="array" ref="J12389">_xlfn.IFS(I12389&lt;=3,"small",I12389&lt;=6,"Medium",I12389&lt;=9,"Large")</f>
        <v>small</v>
      </c>
      <c r="K12389" s="36">
        <v>45401</v>
      </c>
      <c r="L12389" s="36">
        <v>45408</v>
      </c>
      <c r="M12389" t="s">
        <v>603</v>
      </c>
      <c r="N12389" t="s">
        <v>608</v>
      </c>
      <c r="O12389" s="37" t="str">
        <f t="shared" si="968"/>
        <v>Cash Payment</v>
      </c>
      <c r="P12389">
        <v>832.92</v>
      </c>
      <c r="Q12389" s="37" t="str">
        <f>IF(P12389&gt;500,"High","low")</f>
        <v>High</v>
      </c>
      <c r="R12389" s="37" t="str">
        <f t="shared" si="969"/>
        <v>Good</v>
      </c>
      <c r="S12389" t="s">
        <v>609</v>
      </c>
    </row>
    <row r="12390" spans="1:19" x14ac:dyDescent="0.2">
      <c r="A12390" t="s">
        <v>13001</v>
      </c>
      <c r="B12390" t="s">
        <v>90</v>
      </c>
      <c r="C12390" t="s">
        <v>617</v>
      </c>
      <c r="D12390">
        <v>661.3</v>
      </c>
      <c r="E12390" s="37" t="str">
        <f t="shared" si="965"/>
        <v xml:space="preserve"> </v>
      </c>
      <c r="F12390">
        <v>0.44</v>
      </c>
      <c r="G12390" s="37" t="str">
        <f t="shared" si="966"/>
        <v>Heavy Discount</v>
      </c>
      <c r="H12390" s="37" t="str">
        <f t="shared" si="967"/>
        <v>High</v>
      </c>
      <c r="I12390">
        <v>4</v>
      </c>
      <c r="J12390" t="str" cm="1">
        <f t="array" ref="J12390">_xlfn.IFS(I12390&lt;=3,"small",I12390&lt;=6,"Medium",I12390&lt;=9,"Large")</f>
        <v>Medium</v>
      </c>
      <c r="K12390" s="36">
        <v>45254</v>
      </c>
      <c r="L12390" s="36">
        <v>45258</v>
      </c>
      <c r="M12390" t="s">
        <v>603</v>
      </c>
      <c r="N12390" t="s">
        <v>599</v>
      </c>
      <c r="O12390" s="37" t="str">
        <f t="shared" si="968"/>
        <v>Digital Payment</v>
      </c>
      <c r="P12390">
        <v>40.65</v>
      </c>
      <c r="Q12390" s="37" t="str">
        <f>IF(P12390&gt;500,"High","low")</f>
        <v>low</v>
      </c>
      <c r="R12390" s="37" t="str">
        <f t="shared" si="969"/>
        <v>AVERAGE</v>
      </c>
      <c r="S12390" t="s">
        <v>605</v>
      </c>
    </row>
    <row r="12391" spans="1:19" x14ac:dyDescent="0.2">
      <c r="A12391" t="s">
        <v>13002</v>
      </c>
      <c r="B12391" t="s">
        <v>83</v>
      </c>
      <c r="C12391" t="s">
        <v>614</v>
      </c>
      <c r="D12391">
        <v>3752.09</v>
      </c>
      <c r="E12391" s="37" t="str">
        <f t="shared" si="965"/>
        <v xml:space="preserve"> </v>
      </c>
      <c r="F12391">
        <v>0.21</v>
      </c>
      <c r="G12391" s="37" t="str">
        <f t="shared" si="966"/>
        <v>Normal Discount</v>
      </c>
      <c r="H12391" s="37" t="str">
        <f t="shared" si="967"/>
        <v>Medium</v>
      </c>
      <c r="I12391">
        <v>3</v>
      </c>
      <c r="J12391" t="str" cm="1">
        <f t="array" ref="J12391">_xlfn.IFS(I12391&lt;=3,"small",I12391&lt;=6,"Medium",I12391&lt;=9,"Large")</f>
        <v>small</v>
      </c>
      <c r="K12391" s="36">
        <v>45012</v>
      </c>
      <c r="L12391" s="36">
        <v>45017</v>
      </c>
      <c r="M12391" t="s">
        <v>603</v>
      </c>
      <c r="N12391" t="s">
        <v>608</v>
      </c>
      <c r="O12391" s="37" t="str">
        <f t="shared" si="968"/>
        <v>Cash Payment</v>
      </c>
      <c r="P12391">
        <v>229.42</v>
      </c>
      <c r="Q12391" s="37" t="str">
        <f>IF(P12391&gt;500,"High","low")</f>
        <v>low</v>
      </c>
      <c r="R12391" s="37" t="str">
        <f t="shared" si="969"/>
        <v>AVERAGE</v>
      </c>
      <c r="S12391" t="s">
        <v>609</v>
      </c>
    </row>
    <row r="12392" spans="1:19" x14ac:dyDescent="0.2">
      <c r="A12392" t="s">
        <v>13003</v>
      </c>
      <c r="B12392" t="s">
        <v>83</v>
      </c>
      <c r="C12392" t="s">
        <v>617</v>
      </c>
      <c r="D12392">
        <v>3542.18</v>
      </c>
      <c r="E12392" s="37" t="str">
        <f t="shared" si="965"/>
        <v xml:space="preserve"> </v>
      </c>
      <c r="F12392">
        <v>0.42</v>
      </c>
      <c r="G12392" s="37" t="str">
        <f t="shared" si="966"/>
        <v>Heavy Discount</v>
      </c>
      <c r="H12392" s="37" t="str">
        <f t="shared" si="967"/>
        <v>High</v>
      </c>
      <c r="I12392">
        <v>7</v>
      </c>
      <c r="J12392" t="str" cm="1">
        <f t="array" ref="J12392">_xlfn.IFS(I12392&lt;=3,"small",I12392&lt;=6,"Medium",I12392&lt;=9,"Large")</f>
        <v>Large</v>
      </c>
      <c r="K12392" s="36">
        <v>45094</v>
      </c>
      <c r="L12392" s="36">
        <v>45096</v>
      </c>
      <c r="M12392" t="s">
        <v>603</v>
      </c>
      <c r="N12392" t="s">
        <v>604</v>
      </c>
      <c r="O12392" s="37" t="str">
        <f t="shared" si="968"/>
        <v>Digital Payment</v>
      </c>
      <c r="P12392">
        <v>928.27</v>
      </c>
      <c r="Q12392" s="37" t="str">
        <f>IF(P12392&gt;500,"High","low")</f>
        <v>High</v>
      </c>
      <c r="R12392" s="37" t="str">
        <f t="shared" si="969"/>
        <v>Good</v>
      </c>
      <c r="S12392" t="s">
        <v>620</v>
      </c>
    </row>
    <row r="12393" spans="1:19" x14ac:dyDescent="0.2">
      <c r="A12393" t="s">
        <v>13004</v>
      </c>
      <c r="B12393" t="s">
        <v>67</v>
      </c>
      <c r="C12393" t="s">
        <v>614</v>
      </c>
      <c r="D12393">
        <v>739.47</v>
      </c>
      <c r="E12393" s="37" t="str">
        <f t="shared" si="965"/>
        <v xml:space="preserve"> </v>
      </c>
      <c r="F12393">
        <v>0.31</v>
      </c>
      <c r="G12393" s="37" t="str">
        <f t="shared" si="966"/>
        <v>Heavy Discount</v>
      </c>
      <c r="H12393" s="37" t="str">
        <f t="shared" si="967"/>
        <v>Medium</v>
      </c>
      <c r="I12393">
        <v>5</v>
      </c>
      <c r="J12393" t="str" cm="1">
        <f t="array" ref="J12393">_xlfn.IFS(I12393&lt;=3,"small",I12393&lt;=6,"Medium",I12393&lt;=9,"Large")</f>
        <v>Medium</v>
      </c>
      <c r="K12393" s="36">
        <v>45595</v>
      </c>
      <c r="L12393" s="36">
        <v>45596</v>
      </c>
      <c r="M12393" t="s">
        <v>603</v>
      </c>
      <c r="N12393" t="s">
        <v>608</v>
      </c>
      <c r="O12393" s="37" t="str">
        <f t="shared" si="968"/>
        <v>Cash Payment</v>
      </c>
      <c r="P12393">
        <v>167.76</v>
      </c>
      <c r="Q12393" s="37" t="str">
        <f>IF(P12393&gt;500,"High","low")</f>
        <v>low</v>
      </c>
      <c r="R12393" s="37" t="str">
        <f t="shared" si="969"/>
        <v>AVERAGE</v>
      </c>
      <c r="S12393" t="s">
        <v>600</v>
      </c>
    </row>
    <row r="12394" spans="1:19" x14ac:dyDescent="0.2">
      <c r="A12394" t="s">
        <v>13005</v>
      </c>
      <c r="B12394" t="s">
        <v>75</v>
      </c>
      <c r="C12394" t="s">
        <v>607</v>
      </c>
      <c r="D12394">
        <v>3473.6</v>
      </c>
      <c r="E12394" s="37" t="str">
        <f t="shared" si="965"/>
        <v xml:space="preserve"> </v>
      </c>
      <c r="F12394">
        <v>0.1</v>
      </c>
      <c r="G12394" s="37" t="str">
        <f t="shared" si="966"/>
        <v>Normal Discount</v>
      </c>
      <c r="H12394" s="37" t="str">
        <f t="shared" si="967"/>
        <v>Low</v>
      </c>
      <c r="I12394">
        <v>1</v>
      </c>
      <c r="J12394" t="str" cm="1">
        <f t="array" ref="J12394">_xlfn.IFS(I12394&lt;=3,"small",I12394&lt;=6,"Medium",I12394&lt;=9,"Large")</f>
        <v>small</v>
      </c>
      <c r="K12394" s="36">
        <v>45255</v>
      </c>
      <c r="L12394" s="36">
        <v>45258</v>
      </c>
      <c r="M12394" t="s">
        <v>612</v>
      </c>
      <c r="N12394" t="s">
        <v>608</v>
      </c>
      <c r="O12394" s="37" t="str">
        <f t="shared" si="968"/>
        <v>Cash Payment</v>
      </c>
      <c r="P12394">
        <v>269.60000000000002</v>
      </c>
      <c r="Q12394" s="37" t="str">
        <f>IF(P12394&gt;500,"High","low")</f>
        <v>low</v>
      </c>
      <c r="R12394" s="37" t="str">
        <f t="shared" si="969"/>
        <v>AVERAGE</v>
      </c>
      <c r="S12394" t="s">
        <v>609</v>
      </c>
    </row>
    <row r="12395" spans="1:19" x14ac:dyDescent="0.2">
      <c r="A12395" t="s">
        <v>13006</v>
      </c>
      <c r="B12395" t="s">
        <v>83</v>
      </c>
      <c r="C12395" t="s">
        <v>607</v>
      </c>
      <c r="D12395">
        <v>2891.94</v>
      </c>
      <c r="E12395" s="37" t="str">
        <f t="shared" si="965"/>
        <v xml:space="preserve"> </v>
      </c>
      <c r="F12395">
        <v>0.39</v>
      </c>
      <c r="G12395" s="37" t="str">
        <f t="shared" si="966"/>
        <v>Heavy Discount</v>
      </c>
      <c r="H12395" s="37" t="str">
        <f t="shared" si="967"/>
        <v>Medium</v>
      </c>
      <c r="I12395">
        <v>6</v>
      </c>
      <c r="J12395" t="str" cm="1">
        <f t="array" ref="J12395">_xlfn.IFS(I12395&lt;=3,"small",I12395&lt;=6,"Medium",I12395&lt;=9,"Large")</f>
        <v>Medium</v>
      </c>
      <c r="K12395" s="36">
        <v>45583</v>
      </c>
      <c r="L12395" s="36">
        <v>45590</v>
      </c>
      <c r="M12395" t="s">
        <v>612</v>
      </c>
      <c r="N12395" t="s">
        <v>608</v>
      </c>
      <c r="O12395" s="37" t="str">
        <f t="shared" si="968"/>
        <v>Cash Payment</v>
      </c>
      <c r="P12395">
        <v>540.73</v>
      </c>
      <c r="Q12395" s="37" t="str">
        <f>IF(P12395&gt;500,"High","low")</f>
        <v>High</v>
      </c>
      <c r="R12395" s="37" t="str">
        <f t="shared" si="969"/>
        <v>Good</v>
      </c>
      <c r="S12395" t="s">
        <v>628</v>
      </c>
    </row>
    <row r="12396" spans="1:19" x14ac:dyDescent="0.2">
      <c r="A12396" t="s">
        <v>13007</v>
      </c>
      <c r="B12396" t="s">
        <v>67</v>
      </c>
      <c r="C12396" t="s">
        <v>617</v>
      </c>
      <c r="D12396">
        <v>1508.86</v>
      </c>
      <c r="E12396" s="37" t="str">
        <f t="shared" si="965"/>
        <v xml:space="preserve"> </v>
      </c>
      <c r="F12396">
        <v>0.2</v>
      </c>
      <c r="G12396" s="37" t="str">
        <f t="shared" si="966"/>
        <v>Normal Discount</v>
      </c>
      <c r="H12396" s="37" t="str">
        <f t="shared" si="967"/>
        <v>Medium</v>
      </c>
      <c r="I12396">
        <v>4</v>
      </c>
      <c r="J12396" t="str" cm="1">
        <f t="array" ref="J12396">_xlfn.IFS(I12396&lt;=3,"small",I12396&lt;=6,"Medium",I12396&lt;=9,"Large")</f>
        <v>Medium</v>
      </c>
      <c r="K12396" s="36">
        <v>44927</v>
      </c>
      <c r="L12396" s="36">
        <v>44930</v>
      </c>
      <c r="M12396" t="s">
        <v>612</v>
      </c>
      <c r="N12396" t="s">
        <v>604</v>
      </c>
      <c r="O12396" s="37" t="str">
        <f t="shared" si="968"/>
        <v>Digital Payment</v>
      </c>
      <c r="P12396">
        <v>133.11000000000001</v>
      </c>
      <c r="Q12396" s="37" t="str">
        <f>IF(P12396&gt;500,"High","low")</f>
        <v>low</v>
      </c>
      <c r="R12396" s="37" t="str">
        <f t="shared" si="969"/>
        <v>AVERAGE</v>
      </c>
      <c r="S12396" t="s">
        <v>609</v>
      </c>
    </row>
    <row r="12397" spans="1:19" x14ac:dyDescent="0.2">
      <c r="A12397" t="s">
        <v>13008</v>
      </c>
      <c r="B12397" t="s">
        <v>67</v>
      </c>
      <c r="C12397" t="s">
        <v>597</v>
      </c>
      <c r="D12397">
        <v>1624.59</v>
      </c>
      <c r="E12397" s="37" t="str">
        <f t="shared" si="965"/>
        <v xml:space="preserve"> </v>
      </c>
      <c r="F12397">
        <v>0.15</v>
      </c>
      <c r="G12397" s="37" t="str">
        <f t="shared" si="966"/>
        <v>Normal Discount</v>
      </c>
      <c r="H12397" s="37" t="str">
        <f t="shared" si="967"/>
        <v>Low</v>
      </c>
      <c r="I12397">
        <v>6</v>
      </c>
      <c r="J12397" t="str" cm="1">
        <f t="array" ref="J12397">_xlfn.IFS(I12397&lt;=3,"small",I12397&lt;=6,"Medium",I12397&lt;=9,"Large")</f>
        <v>Medium</v>
      </c>
      <c r="K12397" s="36">
        <v>45022</v>
      </c>
      <c r="L12397" s="36">
        <v>45029</v>
      </c>
      <c r="M12397" t="s">
        <v>612</v>
      </c>
      <c r="N12397" t="s">
        <v>599</v>
      </c>
      <c r="O12397" s="37" t="str">
        <f t="shared" si="968"/>
        <v>Digital Payment</v>
      </c>
      <c r="P12397">
        <v>397.63</v>
      </c>
      <c r="Q12397" s="37" t="str">
        <f>IF(P12397&gt;500,"High","low")</f>
        <v>low</v>
      </c>
      <c r="R12397" s="37" t="str">
        <f t="shared" si="969"/>
        <v>AVERAGE</v>
      </c>
      <c r="S12397" t="s">
        <v>628</v>
      </c>
    </row>
    <row r="12398" spans="1:19" x14ac:dyDescent="0.2">
      <c r="A12398" t="s">
        <v>13009</v>
      </c>
      <c r="B12398" t="s">
        <v>75</v>
      </c>
      <c r="C12398" t="s">
        <v>597</v>
      </c>
      <c r="D12398">
        <v>4181.66</v>
      </c>
      <c r="E12398" s="37" t="str">
        <f t="shared" si="965"/>
        <v>Excellent Order</v>
      </c>
      <c r="F12398">
        <v>0.44</v>
      </c>
      <c r="G12398" s="37" t="str">
        <f t="shared" si="966"/>
        <v>Heavy Discount</v>
      </c>
      <c r="H12398" s="37" t="str">
        <f t="shared" si="967"/>
        <v>High</v>
      </c>
      <c r="I12398">
        <v>7</v>
      </c>
      <c r="J12398" t="str" cm="1">
        <f t="array" ref="J12398">_xlfn.IFS(I12398&lt;=3,"small",I12398&lt;=6,"Medium",I12398&lt;=9,"Large")</f>
        <v>Large</v>
      </c>
      <c r="K12398" s="36">
        <v>45138</v>
      </c>
      <c r="L12398" s="36">
        <v>45144</v>
      </c>
      <c r="M12398" t="s">
        <v>598</v>
      </c>
      <c r="N12398" t="s">
        <v>599</v>
      </c>
      <c r="O12398" s="37" t="str">
        <f t="shared" si="968"/>
        <v>Digital Payment</v>
      </c>
      <c r="P12398">
        <v>907.72</v>
      </c>
      <c r="Q12398" s="37" t="str">
        <f>IF(P12398&gt;500,"High","low")</f>
        <v>High</v>
      </c>
      <c r="R12398" s="37" t="str">
        <f t="shared" si="969"/>
        <v>Good</v>
      </c>
      <c r="S12398" t="s">
        <v>628</v>
      </c>
    </row>
    <row r="12399" spans="1:19" x14ac:dyDescent="0.2">
      <c r="A12399" t="s">
        <v>13010</v>
      </c>
      <c r="B12399" t="s">
        <v>90</v>
      </c>
      <c r="C12399" t="s">
        <v>602</v>
      </c>
      <c r="D12399">
        <v>1231.97</v>
      </c>
      <c r="E12399" s="37" t="str">
        <f t="shared" si="965"/>
        <v xml:space="preserve"> </v>
      </c>
      <c r="F12399">
        <v>0.43</v>
      </c>
      <c r="G12399" s="37" t="str">
        <f t="shared" si="966"/>
        <v>Heavy Discount</v>
      </c>
      <c r="H12399" s="37" t="str">
        <f t="shared" si="967"/>
        <v>High</v>
      </c>
      <c r="I12399">
        <v>9</v>
      </c>
      <c r="J12399" t="str" cm="1">
        <f t="array" ref="J12399">_xlfn.IFS(I12399&lt;=3,"small",I12399&lt;=6,"Medium",I12399&lt;=9,"Large")</f>
        <v>Large</v>
      </c>
      <c r="K12399" s="36">
        <v>44927</v>
      </c>
      <c r="L12399" s="36">
        <v>44931</v>
      </c>
      <c r="M12399" t="s">
        <v>598</v>
      </c>
      <c r="N12399" t="s">
        <v>599</v>
      </c>
      <c r="O12399" s="37" t="str">
        <f t="shared" si="968"/>
        <v>Digital Payment</v>
      </c>
      <c r="P12399">
        <v>353.07</v>
      </c>
      <c r="Q12399" s="37" t="str">
        <f>IF(P12399&gt;500,"High","low")</f>
        <v>low</v>
      </c>
      <c r="R12399" s="37" t="str">
        <f t="shared" si="969"/>
        <v>AVERAGE</v>
      </c>
      <c r="S12399" t="s">
        <v>609</v>
      </c>
    </row>
    <row r="12400" spans="1:19" x14ac:dyDescent="0.2">
      <c r="A12400" t="s">
        <v>13011</v>
      </c>
      <c r="B12400" t="s">
        <v>67</v>
      </c>
      <c r="C12400" t="s">
        <v>597</v>
      </c>
      <c r="D12400">
        <v>2612.62</v>
      </c>
      <c r="E12400" s="37" t="str">
        <f t="shared" si="965"/>
        <v xml:space="preserve"> </v>
      </c>
      <c r="F12400">
        <v>0.43</v>
      </c>
      <c r="G12400" s="37" t="str">
        <f t="shared" si="966"/>
        <v>Heavy Discount</v>
      </c>
      <c r="H12400" s="37" t="str">
        <f t="shared" si="967"/>
        <v>High</v>
      </c>
      <c r="I12400">
        <v>1</v>
      </c>
      <c r="J12400" t="str" cm="1">
        <f t="array" ref="J12400">_xlfn.IFS(I12400&lt;=3,"small",I12400&lt;=6,"Medium",I12400&lt;=9,"Large")</f>
        <v>small</v>
      </c>
      <c r="K12400" s="36">
        <v>45607</v>
      </c>
      <c r="L12400" s="36">
        <v>45610</v>
      </c>
      <c r="M12400" t="s">
        <v>603</v>
      </c>
      <c r="N12400" t="s">
        <v>608</v>
      </c>
      <c r="O12400" s="37" t="str">
        <f t="shared" si="968"/>
        <v>Cash Payment</v>
      </c>
      <c r="P12400">
        <v>499.29</v>
      </c>
      <c r="Q12400" s="37" t="str">
        <f>IF(P12400&gt;500,"High","low")</f>
        <v>low</v>
      </c>
      <c r="R12400" s="37" t="str">
        <f t="shared" si="969"/>
        <v>AVERAGE</v>
      </c>
      <c r="S12400" t="s">
        <v>605</v>
      </c>
    </row>
    <row r="12401" spans="1:19" x14ac:dyDescent="0.2">
      <c r="A12401" t="s">
        <v>13012</v>
      </c>
      <c r="B12401" t="s">
        <v>67</v>
      </c>
      <c r="C12401" t="s">
        <v>617</v>
      </c>
      <c r="D12401">
        <v>3437.63</v>
      </c>
      <c r="E12401" s="37" t="str">
        <f t="shared" si="965"/>
        <v xml:space="preserve"> </v>
      </c>
      <c r="F12401">
        <v>0.43</v>
      </c>
      <c r="G12401" s="37" t="str">
        <f t="shared" si="966"/>
        <v>Heavy Discount</v>
      </c>
      <c r="H12401" s="37" t="str">
        <f t="shared" si="967"/>
        <v>High</v>
      </c>
      <c r="I12401">
        <v>6</v>
      </c>
      <c r="J12401" t="str" cm="1">
        <f t="array" ref="J12401">_xlfn.IFS(I12401&lt;=3,"small",I12401&lt;=6,"Medium",I12401&lt;=9,"Large")</f>
        <v>Medium</v>
      </c>
      <c r="K12401" s="36">
        <v>45657</v>
      </c>
      <c r="L12401" s="36">
        <v>45662</v>
      </c>
      <c r="M12401" t="s">
        <v>598</v>
      </c>
      <c r="N12401" t="s">
        <v>599</v>
      </c>
      <c r="O12401" s="37" t="str">
        <f t="shared" si="968"/>
        <v>Digital Payment</v>
      </c>
      <c r="P12401">
        <v>509.09</v>
      </c>
      <c r="Q12401" s="37" t="str">
        <f>IF(P12401&gt;500,"High","low")</f>
        <v>High</v>
      </c>
      <c r="R12401" s="37" t="str">
        <f t="shared" si="969"/>
        <v>Good</v>
      </c>
      <c r="S12401" t="s">
        <v>609</v>
      </c>
    </row>
    <row r="12402" spans="1:19" x14ac:dyDescent="0.2">
      <c r="A12402" t="s">
        <v>13013</v>
      </c>
      <c r="B12402" t="s">
        <v>67</v>
      </c>
      <c r="C12402" t="s">
        <v>597</v>
      </c>
      <c r="D12402">
        <v>736.52</v>
      </c>
      <c r="E12402" s="37" t="str">
        <f t="shared" si="965"/>
        <v xml:space="preserve"> </v>
      </c>
      <c r="F12402">
        <v>0.28000000000000003</v>
      </c>
      <c r="G12402" s="37" t="str">
        <f t="shared" si="966"/>
        <v>Normal Discount</v>
      </c>
      <c r="H12402" s="37" t="str">
        <f t="shared" si="967"/>
        <v>Medium</v>
      </c>
      <c r="I12402">
        <v>8</v>
      </c>
      <c r="J12402" t="str" cm="1">
        <f t="array" ref="J12402">_xlfn.IFS(I12402&lt;=3,"small",I12402&lt;=6,"Medium",I12402&lt;=9,"Large")</f>
        <v>Large</v>
      </c>
      <c r="K12402" s="36">
        <v>45589</v>
      </c>
      <c r="L12402" s="36">
        <v>45593</v>
      </c>
      <c r="M12402" t="s">
        <v>598</v>
      </c>
      <c r="N12402" t="s">
        <v>599</v>
      </c>
      <c r="O12402" s="37" t="str">
        <f t="shared" si="968"/>
        <v>Digital Payment</v>
      </c>
      <c r="P12402">
        <v>164.93</v>
      </c>
      <c r="Q12402" s="37" t="str">
        <f>IF(P12402&gt;500,"High","low")</f>
        <v>low</v>
      </c>
      <c r="R12402" s="37" t="str">
        <f t="shared" si="969"/>
        <v>AVERAGE</v>
      </c>
      <c r="S12402" t="s">
        <v>615</v>
      </c>
    </row>
    <row r="12403" spans="1:19" x14ac:dyDescent="0.2">
      <c r="A12403" t="s">
        <v>13014</v>
      </c>
      <c r="B12403" t="s">
        <v>90</v>
      </c>
      <c r="C12403" t="s">
        <v>602</v>
      </c>
      <c r="D12403">
        <v>4668.53</v>
      </c>
      <c r="E12403" s="37" t="str">
        <f t="shared" si="965"/>
        <v>Excellent Order</v>
      </c>
      <c r="F12403">
        <v>0.31</v>
      </c>
      <c r="G12403" s="37" t="str">
        <f t="shared" si="966"/>
        <v>Heavy Discount</v>
      </c>
      <c r="H12403" s="37" t="str">
        <f t="shared" si="967"/>
        <v>Medium</v>
      </c>
      <c r="I12403">
        <v>4</v>
      </c>
      <c r="J12403" t="str" cm="1">
        <f t="array" ref="J12403">_xlfn.IFS(I12403&lt;=3,"small",I12403&lt;=6,"Medium",I12403&lt;=9,"Large")</f>
        <v>Medium</v>
      </c>
      <c r="K12403" s="36">
        <v>45200</v>
      </c>
      <c r="L12403" s="36">
        <v>45202</v>
      </c>
      <c r="M12403" t="s">
        <v>612</v>
      </c>
      <c r="N12403" t="s">
        <v>604</v>
      </c>
      <c r="O12403" s="37" t="str">
        <f t="shared" si="968"/>
        <v>Digital Payment</v>
      </c>
      <c r="P12403">
        <v>927.31</v>
      </c>
      <c r="Q12403" s="37" t="str">
        <f>IF(P12403&gt;500,"High","low")</f>
        <v>High</v>
      </c>
      <c r="R12403" s="37" t="str">
        <f t="shared" si="969"/>
        <v>Good</v>
      </c>
      <c r="S12403" t="s">
        <v>628</v>
      </c>
    </row>
    <row r="12404" spans="1:19" x14ac:dyDescent="0.2">
      <c r="A12404" t="s">
        <v>13015</v>
      </c>
      <c r="B12404" t="s">
        <v>90</v>
      </c>
      <c r="C12404" t="s">
        <v>614</v>
      </c>
      <c r="D12404">
        <v>1377.11</v>
      </c>
      <c r="E12404" s="37" t="str">
        <f t="shared" si="965"/>
        <v xml:space="preserve"> </v>
      </c>
      <c r="F12404">
        <v>0.47</v>
      </c>
      <c r="G12404" s="37" t="str">
        <f t="shared" si="966"/>
        <v>Heavy Discount</v>
      </c>
      <c r="H12404" s="37" t="str">
        <f t="shared" si="967"/>
        <v>High</v>
      </c>
      <c r="I12404">
        <v>9</v>
      </c>
      <c r="J12404" t="str" cm="1">
        <f t="array" ref="J12404">_xlfn.IFS(I12404&lt;=3,"small",I12404&lt;=6,"Medium",I12404&lt;=9,"Large")</f>
        <v>Large</v>
      </c>
      <c r="K12404" s="36">
        <v>45021</v>
      </c>
      <c r="L12404" s="36">
        <v>45022</v>
      </c>
      <c r="M12404" t="s">
        <v>598</v>
      </c>
      <c r="N12404" t="s">
        <v>608</v>
      </c>
      <c r="O12404" s="37" t="str">
        <f t="shared" si="968"/>
        <v>Cash Payment</v>
      </c>
      <c r="P12404">
        <v>209.73</v>
      </c>
      <c r="Q12404" s="37" t="str">
        <f>IF(P12404&gt;500,"High","low")</f>
        <v>low</v>
      </c>
      <c r="R12404" s="37" t="str">
        <f t="shared" si="969"/>
        <v>AVERAGE</v>
      </c>
      <c r="S12404" t="s">
        <v>620</v>
      </c>
    </row>
    <row r="12405" spans="1:19" x14ac:dyDescent="0.2">
      <c r="A12405" t="s">
        <v>13016</v>
      </c>
      <c r="B12405" t="s">
        <v>75</v>
      </c>
      <c r="C12405" t="s">
        <v>597</v>
      </c>
      <c r="D12405">
        <v>1662.29</v>
      </c>
      <c r="E12405" s="37" t="str">
        <f t="shared" si="965"/>
        <v xml:space="preserve"> </v>
      </c>
      <c r="F12405">
        <v>0.06</v>
      </c>
      <c r="G12405" s="37" t="str">
        <f t="shared" si="966"/>
        <v>Normal Discount</v>
      </c>
      <c r="H12405" s="37" t="str">
        <f t="shared" si="967"/>
        <v>Low</v>
      </c>
      <c r="I12405">
        <v>4</v>
      </c>
      <c r="J12405" t="str" cm="1">
        <f t="array" ref="J12405">_xlfn.IFS(I12405&lt;=3,"small",I12405&lt;=6,"Medium",I12405&lt;=9,"Large")</f>
        <v>Medium</v>
      </c>
      <c r="K12405" s="36">
        <v>45594</v>
      </c>
      <c r="L12405" s="36">
        <v>45598</v>
      </c>
      <c r="M12405" t="s">
        <v>603</v>
      </c>
      <c r="N12405" t="s">
        <v>608</v>
      </c>
      <c r="O12405" s="37" t="str">
        <f t="shared" si="968"/>
        <v>Cash Payment</v>
      </c>
      <c r="P12405">
        <v>257.66000000000003</v>
      </c>
      <c r="Q12405" s="37" t="str">
        <f>IF(P12405&gt;500,"High","low")</f>
        <v>low</v>
      </c>
      <c r="R12405" s="37" t="str">
        <f t="shared" si="969"/>
        <v>AVERAGE</v>
      </c>
      <c r="S12405" t="s">
        <v>600</v>
      </c>
    </row>
    <row r="12406" spans="1:19" x14ac:dyDescent="0.2">
      <c r="A12406" t="s">
        <v>13017</v>
      </c>
      <c r="B12406" t="s">
        <v>83</v>
      </c>
      <c r="C12406" t="s">
        <v>617</v>
      </c>
      <c r="D12406">
        <v>3363.97</v>
      </c>
      <c r="E12406" s="37" t="str">
        <f t="shared" si="965"/>
        <v xml:space="preserve"> </v>
      </c>
      <c r="F12406">
        <v>0.4</v>
      </c>
      <c r="G12406" s="37" t="str">
        <f t="shared" si="966"/>
        <v>Heavy Discount</v>
      </c>
      <c r="H12406" s="37" t="str">
        <f t="shared" si="967"/>
        <v>Medium</v>
      </c>
      <c r="I12406">
        <v>4</v>
      </c>
      <c r="J12406" t="str" cm="1">
        <f t="array" ref="J12406">_xlfn.IFS(I12406&lt;=3,"small",I12406&lt;=6,"Medium",I12406&lt;=9,"Large")</f>
        <v>Medium</v>
      </c>
      <c r="K12406" s="36">
        <v>45298</v>
      </c>
      <c r="L12406" s="36">
        <v>45305</v>
      </c>
      <c r="M12406" t="s">
        <v>598</v>
      </c>
      <c r="N12406" t="s">
        <v>604</v>
      </c>
      <c r="O12406" s="37" t="str">
        <f t="shared" si="968"/>
        <v>Digital Payment</v>
      </c>
      <c r="P12406">
        <v>294.07</v>
      </c>
      <c r="Q12406" s="37" t="str">
        <f>IF(P12406&gt;500,"High","low")</f>
        <v>low</v>
      </c>
      <c r="R12406" s="37" t="str">
        <f t="shared" si="969"/>
        <v>AVERAGE</v>
      </c>
      <c r="S12406" t="s">
        <v>609</v>
      </c>
    </row>
    <row r="12407" spans="1:19" x14ac:dyDescent="0.2">
      <c r="A12407" t="s">
        <v>13018</v>
      </c>
      <c r="B12407" t="s">
        <v>90</v>
      </c>
      <c r="C12407" t="s">
        <v>617</v>
      </c>
      <c r="D12407">
        <v>483.14</v>
      </c>
      <c r="E12407" s="37" t="str">
        <f t="shared" si="965"/>
        <v xml:space="preserve"> </v>
      </c>
      <c r="F12407">
        <v>0.26</v>
      </c>
      <c r="G12407" s="37" t="str">
        <f t="shared" si="966"/>
        <v>Normal Discount</v>
      </c>
      <c r="H12407" s="37" t="str">
        <f t="shared" si="967"/>
        <v>Medium</v>
      </c>
      <c r="I12407">
        <v>9</v>
      </c>
      <c r="J12407" t="str" cm="1">
        <f t="array" ref="J12407">_xlfn.IFS(I12407&lt;=3,"small",I12407&lt;=6,"Medium",I12407&lt;=9,"Large")</f>
        <v>Large</v>
      </c>
      <c r="K12407" s="36">
        <v>45416</v>
      </c>
      <c r="L12407" s="36">
        <v>45422</v>
      </c>
      <c r="M12407" t="s">
        <v>612</v>
      </c>
      <c r="N12407" t="s">
        <v>599</v>
      </c>
      <c r="O12407" s="37" t="str">
        <f t="shared" si="968"/>
        <v>Digital Payment</v>
      </c>
      <c r="P12407">
        <v>81.81</v>
      </c>
      <c r="Q12407" s="37" t="str">
        <f>IF(P12407&gt;500,"High","low")</f>
        <v>low</v>
      </c>
      <c r="R12407" s="37" t="str">
        <f t="shared" si="969"/>
        <v>AVERAGE</v>
      </c>
      <c r="S12407" t="s">
        <v>615</v>
      </c>
    </row>
    <row r="12408" spans="1:19" x14ac:dyDescent="0.2">
      <c r="A12408" t="s">
        <v>13019</v>
      </c>
      <c r="B12408" t="s">
        <v>83</v>
      </c>
      <c r="C12408" t="s">
        <v>602</v>
      </c>
      <c r="D12408">
        <v>3175.3</v>
      </c>
      <c r="E12408" s="37" t="str">
        <f t="shared" si="965"/>
        <v xml:space="preserve"> </v>
      </c>
      <c r="F12408">
        <v>0.49</v>
      </c>
      <c r="G12408" s="37" t="str">
        <f t="shared" si="966"/>
        <v>Heavy Discount</v>
      </c>
      <c r="H12408" s="37" t="str">
        <f t="shared" si="967"/>
        <v>High</v>
      </c>
      <c r="I12408">
        <v>4</v>
      </c>
      <c r="J12408" t="str" cm="1">
        <f t="array" ref="J12408">_xlfn.IFS(I12408&lt;=3,"small",I12408&lt;=6,"Medium",I12408&lt;=9,"Large")</f>
        <v>Medium</v>
      </c>
      <c r="K12408" s="36">
        <v>45011</v>
      </c>
      <c r="L12408" s="36">
        <v>45017</v>
      </c>
      <c r="M12408" t="s">
        <v>598</v>
      </c>
      <c r="N12408" t="s">
        <v>604</v>
      </c>
      <c r="O12408" s="37" t="str">
        <f t="shared" si="968"/>
        <v>Digital Payment</v>
      </c>
      <c r="P12408">
        <v>281.36</v>
      </c>
      <c r="Q12408" s="37" t="str">
        <f>IF(P12408&gt;500,"High","low")</f>
        <v>low</v>
      </c>
      <c r="R12408" s="37" t="str">
        <f t="shared" si="969"/>
        <v>AVERAGE</v>
      </c>
      <c r="S12408" t="s">
        <v>600</v>
      </c>
    </row>
    <row r="12409" spans="1:19" x14ac:dyDescent="0.2">
      <c r="A12409" t="s">
        <v>13020</v>
      </c>
      <c r="B12409" t="s">
        <v>83</v>
      </c>
      <c r="C12409" t="s">
        <v>602</v>
      </c>
      <c r="D12409">
        <v>4588.55</v>
      </c>
      <c r="E12409" s="37" t="str">
        <f t="shared" si="965"/>
        <v xml:space="preserve"> </v>
      </c>
      <c r="F12409">
        <v>0.32</v>
      </c>
      <c r="G12409" s="37" t="str">
        <f t="shared" si="966"/>
        <v>Heavy Discount</v>
      </c>
      <c r="H12409" s="37" t="str">
        <f t="shared" si="967"/>
        <v>Medium</v>
      </c>
      <c r="I12409">
        <v>9</v>
      </c>
      <c r="J12409" t="str" cm="1">
        <f t="array" ref="J12409">_xlfn.IFS(I12409&lt;=3,"small",I12409&lt;=6,"Medium",I12409&lt;=9,"Large")</f>
        <v>Large</v>
      </c>
      <c r="K12409" s="36">
        <v>45578</v>
      </c>
      <c r="L12409" s="36">
        <v>45583</v>
      </c>
      <c r="M12409" t="s">
        <v>598</v>
      </c>
      <c r="N12409" t="s">
        <v>604</v>
      </c>
      <c r="O12409" s="37" t="str">
        <f t="shared" si="968"/>
        <v>Digital Payment</v>
      </c>
      <c r="P12409">
        <v>427.44</v>
      </c>
      <c r="Q12409" s="37" t="str">
        <f>IF(P12409&gt;500,"High","low")</f>
        <v>low</v>
      </c>
      <c r="R12409" s="37" t="str">
        <f t="shared" si="969"/>
        <v>AVERAGE</v>
      </c>
      <c r="S12409" t="s">
        <v>620</v>
      </c>
    </row>
    <row r="12410" spans="1:19" x14ac:dyDescent="0.2">
      <c r="A12410" t="s">
        <v>13021</v>
      </c>
      <c r="B12410" t="s">
        <v>90</v>
      </c>
      <c r="C12410" t="s">
        <v>607</v>
      </c>
      <c r="D12410">
        <v>1320.54</v>
      </c>
      <c r="E12410" s="37" t="str">
        <f t="shared" si="965"/>
        <v xml:space="preserve"> </v>
      </c>
      <c r="F12410">
        <v>0.08</v>
      </c>
      <c r="G12410" s="37" t="str">
        <f t="shared" si="966"/>
        <v>Normal Discount</v>
      </c>
      <c r="H12410" s="37" t="str">
        <f t="shared" si="967"/>
        <v>Low</v>
      </c>
      <c r="I12410">
        <v>1</v>
      </c>
      <c r="J12410" t="str" cm="1">
        <f t="array" ref="J12410">_xlfn.IFS(I12410&lt;=3,"small",I12410&lt;=6,"Medium",I12410&lt;=9,"Large")</f>
        <v>small</v>
      </c>
      <c r="K12410" s="36">
        <v>45526</v>
      </c>
      <c r="L12410" s="36">
        <v>45530</v>
      </c>
      <c r="M12410" t="s">
        <v>598</v>
      </c>
      <c r="N12410" t="s">
        <v>608</v>
      </c>
      <c r="O12410" s="37" t="str">
        <f t="shared" si="968"/>
        <v>Cash Payment</v>
      </c>
      <c r="P12410">
        <v>117.44</v>
      </c>
      <c r="Q12410" s="37" t="str">
        <f>IF(P12410&gt;500,"High","low")</f>
        <v>low</v>
      </c>
      <c r="R12410" s="37" t="str">
        <f t="shared" si="969"/>
        <v>AVERAGE</v>
      </c>
      <c r="S12410" t="s">
        <v>609</v>
      </c>
    </row>
    <row r="12411" spans="1:19" x14ac:dyDescent="0.2">
      <c r="A12411" t="s">
        <v>13022</v>
      </c>
      <c r="B12411" t="s">
        <v>67</v>
      </c>
      <c r="C12411" t="s">
        <v>607</v>
      </c>
      <c r="D12411">
        <v>1873.35</v>
      </c>
      <c r="E12411" s="37" t="str">
        <f t="shared" si="965"/>
        <v xml:space="preserve"> </v>
      </c>
      <c r="F12411">
        <v>0.41</v>
      </c>
      <c r="G12411" s="37" t="str">
        <f t="shared" si="966"/>
        <v>Heavy Discount</v>
      </c>
      <c r="H12411" s="37" t="str">
        <f t="shared" si="967"/>
        <v>High</v>
      </c>
      <c r="I12411">
        <v>8</v>
      </c>
      <c r="J12411" t="str" cm="1">
        <f t="array" ref="J12411">_xlfn.IFS(I12411&lt;=3,"small",I12411&lt;=6,"Medium",I12411&lt;=9,"Large")</f>
        <v>Large</v>
      </c>
      <c r="K12411" s="36">
        <v>45425</v>
      </c>
      <c r="L12411" s="36">
        <v>45430</v>
      </c>
      <c r="M12411" t="s">
        <v>598</v>
      </c>
      <c r="N12411" t="s">
        <v>608</v>
      </c>
      <c r="O12411" s="37" t="str">
        <f t="shared" si="968"/>
        <v>Cash Payment</v>
      </c>
      <c r="P12411">
        <v>318.79000000000002</v>
      </c>
      <c r="Q12411" s="37" t="str">
        <f>IF(P12411&gt;500,"High","low")</f>
        <v>low</v>
      </c>
      <c r="R12411" s="37" t="str">
        <f t="shared" si="969"/>
        <v>AVERAGE</v>
      </c>
      <c r="S12411" t="s">
        <v>615</v>
      </c>
    </row>
    <row r="12412" spans="1:19" x14ac:dyDescent="0.2">
      <c r="A12412" t="s">
        <v>13023</v>
      </c>
      <c r="B12412" t="s">
        <v>75</v>
      </c>
      <c r="C12412" t="s">
        <v>607</v>
      </c>
      <c r="D12412">
        <v>1238.44</v>
      </c>
      <c r="E12412" s="37" t="str">
        <f t="shared" si="965"/>
        <v xml:space="preserve"> </v>
      </c>
      <c r="F12412">
        <v>0.34</v>
      </c>
      <c r="G12412" s="37" t="str">
        <f t="shared" si="966"/>
        <v>Heavy Discount</v>
      </c>
      <c r="H12412" s="37" t="str">
        <f t="shared" si="967"/>
        <v>Medium</v>
      </c>
      <c r="I12412">
        <v>2</v>
      </c>
      <c r="J12412" t="str" cm="1">
        <f t="array" ref="J12412">_xlfn.IFS(I12412&lt;=3,"small",I12412&lt;=6,"Medium",I12412&lt;=9,"Large")</f>
        <v>small</v>
      </c>
      <c r="K12412" s="36">
        <v>45487</v>
      </c>
      <c r="L12412" s="36">
        <v>45494</v>
      </c>
      <c r="M12412" t="s">
        <v>612</v>
      </c>
      <c r="N12412" t="s">
        <v>599</v>
      </c>
      <c r="O12412" s="37" t="str">
        <f t="shared" si="968"/>
        <v>Digital Payment</v>
      </c>
      <c r="P12412">
        <v>212.95</v>
      </c>
      <c r="Q12412" s="37" t="str">
        <f>IF(P12412&gt;500,"High","low")</f>
        <v>low</v>
      </c>
      <c r="R12412" s="37" t="str">
        <f t="shared" si="969"/>
        <v>AVERAGE</v>
      </c>
      <c r="S12412" t="s">
        <v>615</v>
      </c>
    </row>
    <row r="12413" spans="1:19" x14ac:dyDescent="0.2">
      <c r="A12413" t="s">
        <v>13024</v>
      </c>
      <c r="B12413" t="s">
        <v>83</v>
      </c>
      <c r="C12413" t="s">
        <v>614</v>
      </c>
      <c r="D12413">
        <v>4111.97</v>
      </c>
      <c r="E12413" s="37" t="str">
        <f t="shared" si="965"/>
        <v xml:space="preserve"> </v>
      </c>
      <c r="F12413">
        <v>7.0000000000000007E-2</v>
      </c>
      <c r="G12413" s="37" t="str">
        <f t="shared" si="966"/>
        <v>Normal Discount</v>
      </c>
      <c r="H12413" s="37" t="str">
        <f t="shared" si="967"/>
        <v>Low</v>
      </c>
      <c r="I12413">
        <v>8</v>
      </c>
      <c r="J12413" t="str" cm="1">
        <f t="array" ref="J12413">_xlfn.IFS(I12413&lt;=3,"small",I12413&lt;=6,"Medium",I12413&lt;=9,"Large")</f>
        <v>Large</v>
      </c>
      <c r="K12413" s="36">
        <v>45407</v>
      </c>
      <c r="L12413" s="36">
        <v>45413</v>
      </c>
      <c r="M12413" t="s">
        <v>612</v>
      </c>
      <c r="N12413" t="s">
        <v>604</v>
      </c>
      <c r="O12413" s="37" t="str">
        <f t="shared" si="968"/>
        <v>Digital Payment</v>
      </c>
      <c r="P12413">
        <v>271.07</v>
      </c>
      <c r="Q12413" s="37" t="str">
        <f>IF(P12413&gt;500,"High","low")</f>
        <v>low</v>
      </c>
      <c r="R12413" s="37" t="str">
        <f t="shared" si="969"/>
        <v>AVERAGE</v>
      </c>
      <c r="S12413" t="s">
        <v>609</v>
      </c>
    </row>
    <row r="12414" spans="1:19" x14ac:dyDescent="0.2">
      <c r="A12414" t="s">
        <v>13025</v>
      </c>
      <c r="B12414" t="s">
        <v>67</v>
      </c>
      <c r="C12414" t="s">
        <v>617</v>
      </c>
      <c r="D12414">
        <v>921.28</v>
      </c>
      <c r="E12414" s="37" t="str">
        <f t="shared" si="965"/>
        <v xml:space="preserve"> </v>
      </c>
      <c r="F12414">
        <v>0</v>
      </c>
      <c r="G12414" s="37" t="str">
        <f t="shared" si="966"/>
        <v>Normal Discount</v>
      </c>
      <c r="H12414" s="37" t="str">
        <f t="shared" si="967"/>
        <v>Low</v>
      </c>
      <c r="I12414">
        <v>5</v>
      </c>
      <c r="J12414" t="str" cm="1">
        <f t="array" ref="J12414">_xlfn.IFS(I12414&lt;=3,"small",I12414&lt;=6,"Medium",I12414&lt;=9,"Large")</f>
        <v>Medium</v>
      </c>
      <c r="K12414" s="36">
        <v>45169</v>
      </c>
      <c r="L12414" s="36">
        <v>45173</v>
      </c>
      <c r="M12414" t="s">
        <v>603</v>
      </c>
      <c r="N12414" t="s">
        <v>599</v>
      </c>
      <c r="O12414" s="37" t="str">
        <f t="shared" si="968"/>
        <v>Digital Payment</v>
      </c>
      <c r="P12414">
        <v>195.81</v>
      </c>
      <c r="Q12414" s="37" t="str">
        <f>IF(P12414&gt;500,"High","low")</f>
        <v>low</v>
      </c>
      <c r="R12414" s="37" t="str">
        <f t="shared" si="969"/>
        <v>AVERAGE</v>
      </c>
      <c r="S12414" t="s">
        <v>628</v>
      </c>
    </row>
    <row r="12415" spans="1:19" x14ac:dyDescent="0.2">
      <c r="A12415" t="s">
        <v>13026</v>
      </c>
      <c r="B12415" t="s">
        <v>90</v>
      </c>
      <c r="C12415" t="s">
        <v>607</v>
      </c>
      <c r="D12415">
        <v>1798.48</v>
      </c>
      <c r="E12415" s="37" t="str">
        <f t="shared" si="965"/>
        <v xml:space="preserve"> </v>
      </c>
      <c r="F12415">
        <v>0.27</v>
      </c>
      <c r="G12415" s="37" t="str">
        <f t="shared" si="966"/>
        <v>Normal Discount</v>
      </c>
      <c r="H12415" s="37" t="str">
        <f t="shared" si="967"/>
        <v>Medium</v>
      </c>
      <c r="I12415">
        <v>1</v>
      </c>
      <c r="J12415" t="str" cm="1">
        <f t="array" ref="J12415">_xlfn.IFS(I12415&lt;=3,"small",I12415&lt;=6,"Medium",I12415&lt;=9,"Large")</f>
        <v>small</v>
      </c>
      <c r="K12415" s="36">
        <v>45433</v>
      </c>
      <c r="L12415" s="36">
        <v>45437</v>
      </c>
      <c r="M12415" t="s">
        <v>603</v>
      </c>
      <c r="N12415" t="s">
        <v>599</v>
      </c>
      <c r="O12415" s="37" t="str">
        <f t="shared" si="968"/>
        <v>Digital Payment</v>
      </c>
      <c r="P12415">
        <v>163.18</v>
      </c>
      <c r="Q12415" s="37" t="str">
        <f>IF(P12415&gt;500,"High","low")</f>
        <v>low</v>
      </c>
      <c r="R12415" s="37" t="str">
        <f t="shared" si="969"/>
        <v>AVERAGE</v>
      </c>
      <c r="S12415" t="s">
        <v>609</v>
      </c>
    </row>
    <row r="12416" spans="1:19" x14ac:dyDescent="0.2">
      <c r="A12416" t="s">
        <v>13027</v>
      </c>
      <c r="B12416" t="s">
        <v>83</v>
      </c>
      <c r="C12416" t="s">
        <v>617</v>
      </c>
      <c r="D12416">
        <v>3045.01</v>
      </c>
      <c r="E12416" s="37" t="str">
        <f t="shared" si="965"/>
        <v xml:space="preserve"> </v>
      </c>
      <c r="F12416">
        <v>0.12</v>
      </c>
      <c r="G12416" s="37" t="str">
        <f t="shared" si="966"/>
        <v>Normal Discount</v>
      </c>
      <c r="H12416" s="37" t="str">
        <f t="shared" si="967"/>
        <v>Low</v>
      </c>
      <c r="I12416">
        <v>1</v>
      </c>
      <c r="J12416" t="str" cm="1">
        <f t="array" ref="J12416">_xlfn.IFS(I12416&lt;=3,"small",I12416&lt;=6,"Medium",I12416&lt;=9,"Large")</f>
        <v>small</v>
      </c>
      <c r="K12416" s="36">
        <v>45535</v>
      </c>
      <c r="L12416" s="36">
        <v>45542</v>
      </c>
      <c r="M12416" t="s">
        <v>612</v>
      </c>
      <c r="N12416" t="s">
        <v>604</v>
      </c>
      <c r="O12416" s="37" t="str">
        <f t="shared" si="968"/>
        <v>Digital Payment</v>
      </c>
      <c r="P12416">
        <v>504.35</v>
      </c>
      <c r="Q12416" s="37" t="str">
        <f>IF(P12416&gt;500,"High","low")</f>
        <v>High</v>
      </c>
      <c r="R12416" s="37" t="str">
        <f t="shared" si="969"/>
        <v>Good</v>
      </c>
      <c r="S12416" t="s">
        <v>615</v>
      </c>
    </row>
    <row r="12417" spans="1:19" x14ac:dyDescent="0.2">
      <c r="A12417" t="s">
        <v>13028</v>
      </c>
      <c r="B12417" t="s">
        <v>83</v>
      </c>
      <c r="C12417" t="s">
        <v>602</v>
      </c>
      <c r="D12417">
        <v>2082.3200000000002</v>
      </c>
      <c r="E12417" s="37" t="str">
        <f t="shared" si="965"/>
        <v xml:space="preserve"> </v>
      </c>
      <c r="F12417">
        <v>0.43</v>
      </c>
      <c r="G12417" s="37" t="str">
        <f t="shared" si="966"/>
        <v>Heavy Discount</v>
      </c>
      <c r="H12417" s="37" t="str">
        <f t="shared" si="967"/>
        <v>High</v>
      </c>
      <c r="I12417">
        <v>6</v>
      </c>
      <c r="J12417" t="str" cm="1">
        <f t="array" ref="J12417">_xlfn.IFS(I12417&lt;=3,"small",I12417&lt;=6,"Medium",I12417&lt;=9,"Large")</f>
        <v>Medium</v>
      </c>
      <c r="K12417" s="36">
        <v>44942</v>
      </c>
      <c r="L12417" s="36">
        <v>44944</v>
      </c>
      <c r="M12417" t="s">
        <v>603</v>
      </c>
      <c r="N12417" t="s">
        <v>604</v>
      </c>
      <c r="O12417" s="37" t="str">
        <f t="shared" si="968"/>
        <v>Digital Payment</v>
      </c>
      <c r="P12417">
        <v>420.83</v>
      </c>
      <c r="Q12417" s="37" t="str">
        <f>IF(P12417&gt;500,"High","low")</f>
        <v>low</v>
      </c>
      <c r="R12417" s="37" t="str">
        <f t="shared" si="969"/>
        <v>AVERAGE</v>
      </c>
      <c r="S12417" t="s">
        <v>605</v>
      </c>
    </row>
    <row r="12418" spans="1:19" x14ac:dyDescent="0.2">
      <c r="A12418" t="s">
        <v>13029</v>
      </c>
      <c r="B12418" t="s">
        <v>83</v>
      </c>
      <c r="C12418" t="s">
        <v>614</v>
      </c>
      <c r="D12418">
        <v>420.8</v>
      </c>
      <c r="E12418" s="37" t="str">
        <f t="shared" si="965"/>
        <v xml:space="preserve"> </v>
      </c>
      <c r="F12418">
        <v>0.13</v>
      </c>
      <c r="G12418" s="37" t="str">
        <f t="shared" si="966"/>
        <v>Normal Discount</v>
      </c>
      <c r="H12418" s="37" t="str">
        <f t="shared" si="967"/>
        <v>Low</v>
      </c>
      <c r="I12418">
        <v>1</v>
      </c>
      <c r="J12418" t="str" cm="1">
        <f t="array" ref="J12418">_xlfn.IFS(I12418&lt;=3,"small",I12418&lt;=6,"Medium",I12418&lt;=9,"Large")</f>
        <v>small</v>
      </c>
      <c r="K12418" s="36">
        <v>45081</v>
      </c>
      <c r="L12418" s="36">
        <v>45085</v>
      </c>
      <c r="M12418" t="s">
        <v>612</v>
      </c>
      <c r="N12418" t="s">
        <v>604</v>
      </c>
      <c r="O12418" s="37" t="str">
        <f t="shared" si="968"/>
        <v>Digital Payment</v>
      </c>
      <c r="P12418">
        <v>26.79</v>
      </c>
      <c r="Q12418" s="37" t="str">
        <f>IF(P12418&gt;500,"High","low")</f>
        <v>low</v>
      </c>
      <c r="R12418" s="37" t="str">
        <f t="shared" si="969"/>
        <v>AVERAGE</v>
      </c>
      <c r="S12418" t="s">
        <v>620</v>
      </c>
    </row>
    <row r="12419" spans="1:19" x14ac:dyDescent="0.2">
      <c r="A12419" t="s">
        <v>13030</v>
      </c>
      <c r="B12419" t="s">
        <v>67</v>
      </c>
      <c r="C12419" t="s">
        <v>602</v>
      </c>
      <c r="D12419">
        <v>4743.83</v>
      </c>
      <c r="E12419" s="37" t="str">
        <f t="shared" ref="E12419:E12482" si="970">IF(AND(D12419&gt;4000,P12419&gt;800),"Excellent Order"," ")</f>
        <v>Excellent Order</v>
      </c>
      <c r="F12419">
        <v>0.33</v>
      </c>
      <c r="G12419" s="37" t="str">
        <f t="shared" ref="G12419:G12482" si="971">IF(F12419&gt;30%,"Heavy Discount","Normal Discount")</f>
        <v>Heavy Discount</v>
      </c>
      <c r="H12419" s="37" t="str">
        <f t="shared" ref="H12419:H12482" si="972">IF(F12419&gt;0.4,"High",IF(F12419&gt;=0.2,"Medium","Low"))</f>
        <v>Medium</v>
      </c>
      <c r="I12419">
        <v>2</v>
      </c>
      <c r="J12419" t="str" cm="1">
        <f t="array" ref="J12419">_xlfn.IFS(I12419&lt;=3,"small",I12419&lt;=6,"Medium",I12419&lt;=9,"Large")</f>
        <v>small</v>
      </c>
      <c r="K12419" s="36">
        <v>45415</v>
      </c>
      <c r="L12419" s="36">
        <v>45420</v>
      </c>
      <c r="M12419" t="s">
        <v>603</v>
      </c>
      <c r="N12419" t="s">
        <v>604</v>
      </c>
      <c r="O12419" s="37" t="str">
        <f t="shared" ref="O12419:O12482" si="973">IF(OR(N12419="Card",N12419="UPI"),"Digital Payment","Cash Payment")</f>
        <v>Digital Payment</v>
      </c>
      <c r="P12419">
        <v>896.84</v>
      </c>
      <c r="Q12419" s="37" t="str">
        <f>IF(P12419&gt;500,"High","low")</f>
        <v>High</v>
      </c>
      <c r="R12419" s="37" t="str">
        <f t="shared" ref="R12419:R12482" si="974">IF(P12419&gt;1000,"Excellent",IF(P12419&gt;=500,"Good","AVERAGE"))</f>
        <v>Good</v>
      </c>
      <c r="S12419" t="s">
        <v>620</v>
      </c>
    </row>
    <row r="12420" spans="1:19" x14ac:dyDescent="0.2">
      <c r="A12420" t="s">
        <v>13031</v>
      </c>
      <c r="B12420" t="s">
        <v>67</v>
      </c>
      <c r="C12420" t="s">
        <v>617</v>
      </c>
      <c r="D12420">
        <v>1755.71</v>
      </c>
      <c r="E12420" s="37" t="str">
        <f t="shared" si="970"/>
        <v xml:space="preserve"> </v>
      </c>
      <c r="F12420">
        <v>0.17</v>
      </c>
      <c r="G12420" s="37" t="str">
        <f t="shared" si="971"/>
        <v>Normal Discount</v>
      </c>
      <c r="H12420" s="37" t="str">
        <f t="shared" si="972"/>
        <v>Low</v>
      </c>
      <c r="I12420">
        <v>3</v>
      </c>
      <c r="J12420" t="str" cm="1">
        <f t="array" ref="J12420">_xlfn.IFS(I12420&lt;=3,"small",I12420&lt;=6,"Medium",I12420&lt;=9,"Large")</f>
        <v>small</v>
      </c>
      <c r="K12420" s="36">
        <v>45107</v>
      </c>
      <c r="L12420" s="36">
        <v>45111</v>
      </c>
      <c r="M12420" t="s">
        <v>603</v>
      </c>
      <c r="N12420" t="s">
        <v>604</v>
      </c>
      <c r="O12420" s="37" t="str">
        <f t="shared" si="973"/>
        <v>Digital Payment</v>
      </c>
      <c r="P12420">
        <v>490.28</v>
      </c>
      <c r="Q12420" s="37" t="str">
        <f>IF(P12420&gt;500,"High","low")</f>
        <v>low</v>
      </c>
      <c r="R12420" s="37" t="str">
        <f t="shared" si="974"/>
        <v>AVERAGE</v>
      </c>
      <c r="S12420" t="s">
        <v>620</v>
      </c>
    </row>
    <row r="12421" spans="1:19" x14ac:dyDescent="0.2">
      <c r="A12421" t="s">
        <v>13032</v>
      </c>
      <c r="B12421" t="s">
        <v>67</v>
      </c>
      <c r="C12421" t="s">
        <v>607</v>
      </c>
      <c r="D12421">
        <v>2283.69</v>
      </c>
      <c r="E12421" s="37" t="str">
        <f t="shared" si="970"/>
        <v xml:space="preserve"> </v>
      </c>
      <c r="F12421">
        <v>0.18</v>
      </c>
      <c r="G12421" s="37" t="str">
        <f t="shared" si="971"/>
        <v>Normal Discount</v>
      </c>
      <c r="H12421" s="37" t="str">
        <f t="shared" si="972"/>
        <v>Low</v>
      </c>
      <c r="I12421">
        <v>2</v>
      </c>
      <c r="J12421" t="str" cm="1">
        <f t="array" ref="J12421">_xlfn.IFS(I12421&lt;=3,"small",I12421&lt;=6,"Medium",I12421&lt;=9,"Large")</f>
        <v>small</v>
      </c>
      <c r="K12421" s="36">
        <v>45090</v>
      </c>
      <c r="L12421" s="36">
        <v>45093</v>
      </c>
      <c r="M12421" t="s">
        <v>598</v>
      </c>
      <c r="N12421" t="s">
        <v>599</v>
      </c>
      <c r="O12421" s="37" t="str">
        <f t="shared" si="973"/>
        <v>Digital Payment</v>
      </c>
      <c r="P12421">
        <v>191.47</v>
      </c>
      <c r="Q12421" s="37" t="str">
        <f>IF(P12421&gt;500,"High","low")</f>
        <v>low</v>
      </c>
      <c r="R12421" s="37" t="str">
        <f t="shared" si="974"/>
        <v>AVERAGE</v>
      </c>
      <c r="S12421" t="s">
        <v>615</v>
      </c>
    </row>
    <row r="12422" spans="1:19" x14ac:dyDescent="0.2">
      <c r="A12422" t="s">
        <v>13033</v>
      </c>
      <c r="B12422" t="s">
        <v>83</v>
      </c>
      <c r="C12422" t="s">
        <v>602</v>
      </c>
      <c r="D12422">
        <v>920.97</v>
      </c>
      <c r="E12422" s="37" t="str">
        <f t="shared" si="970"/>
        <v xml:space="preserve"> </v>
      </c>
      <c r="F12422">
        <v>0.09</v>
      </c>
      <c r="G12422" s="37" t="str">
        <f t="shared" si="971"/>
        <v>Normal Discount</v>
      </c>
      <c r="H12422" s="37" t="str">
        <f t="shared" si="972"/>
        <v>Low</v>
      </c>
      <c r="I12422">
        <v>9</v>
      </c>
      <c r="J12422" t="str" cm="1">
        <f t="array" ref="J12422">_xlfn.IFS(I12422&lt;=3,"small",I12422&lt;=6,"Medium",I12422&lt;=9,"Large")</f>
        <v>Large</v>
      </c>
      <c r="K12422" s="36">
        <v>45317</v>
      </c>
      <c r="L12422" s="36">
        <v>45319</v>
      </c>
      <c r="M12422" t="s">
        <v>612</v>
      </c>
      <c r="N12422" t="s">
        <v>608</v>
      </c>
      <c r="O12422" s="37" t="str">
        <f t="shared" si="973"/>
        <v>Cash Payment</v>
      </c>
      <c r="P12422">
        <v>257.33</v>
      </c>
      <c r="Q12422" s="37" t="str">
        <f>IF(P12422&gt;500,"High","low")</f>
        <v>low</v>
      </c>
      <c r="R12422" s="37" t="str">
        <f t="shared" si="974"/>
        <v>AVERAGE</v>
      </c>
      <c r="S12422" t="s">
        <v>609</v>
      </c>
    </row>
    <row r="12423" spans="1:19" x14ac:dyDescent="0.2">
      <c r="A12423" t="s">
        <v>13034</v>
      </c>
      <c r="B12423" t="s">
        <v>83</v>
      </c>
      <c r="C12423" t="s">
        <v>597</v>
      </c>
      <c r="D12423">
        <v>4340.22</v>
      </c>
      <c r="E12423" s="37" t="str">
        <f t="shared" si="970"/>
        <v>Excellent Order</v>
      </c>
      <c r="F12423">
        <v>0.25</v>
      </c>
      <c r="G12423" s="37" t="str">
        <f t="shared" si="971"/>
        <v>Normal Discount</v>
      </c>
      <c r="H12423" s="37" t="str">
        <f t="shared" si="972"/>
        <v>Medium</v>
      </c>
      <c r="I12423">
        <v>6</v>
      </c>
      <c r="J12423" t="str" cm="1">
        <f t="array" ref="J12423">_xlfn.IFS(I12423&lt;=3,"small",I12423&lt;=6,"Medium",I12423&lt;=9,"Large")</f>
        <v>Medium</v>
      </c>
      <c r="K12423" s="36">
        <v>45216</v>
      </c>
      <c r="L12423" s="36">
        <v>45221</v>
      </c>
      <c r="M12423" t="s">
        <v>603</v>
      </c>
      <c r="N12423" t="s">
        <v>599</v>
      </c>
      <c r="O12423" s="37" t="str">
        <f t="shared" si="973"/>
        <v>Digital Payment</v>
      </c>
      <c r="P12423">
        <v>1103.6400000000001</v>
      </c>
      <c r="Q12423" s="37" t="str">
        <f>IF(P12423&gt;500,"High","low")</f>
        <v>High</v>
      </c>
      <c r="R12423" s="37" t="str">
        <f t="shared" si="974"/>
        <v>Excellent</v>
      </c>
      <c r="S12423" t="s">
        <v>609</v>
      </c>
    </row>
    <row r="12424" spans="1:19" x14ac:dyDescent="0.2">
      <c r="A12424" t="s">
        <v>13035</v>
      </c>
      <c r="B12424" t="s">
        <v>75</v>
      </c>
      <c r="C12424" t="s">
        <v>614</v>
      </c>
      <c r="D12424">
        <v>1528</v>
      </c>
      <c r="E12424" s="37" t="str">
        <f t="shared" si="970"/>
        <v xml:space="preserve"> </v>
      </c>
      <c r="F12424">
        <v>0.28999999999999998</v>
      </c>
      <c r="G12424" s="37" t="str">
        <f t="shared" si="971"/>
        <v>Normal Discount</v>
      </c>
      <c r="H12424" s="37" t="str">
        <f t="shared" si="972"/>
        <v>Medium</v>
      </c>
      <c r="I12424">
        <v>9</v>
      </c>
      <c r="J12424" t="str" cm="1">
        <f t="array" ref="J12424">_xlfn.IFS(I12424&lt;=3,"small",I12424&lt;=6,"Medium",I12424&lt;=9,"Large")</f>
        <v>Large</v>
      </c>
      <c r="K12424" s="36">
        <v>45304</v>
      </c>
      <c r="L12424" s="36">
        <v>45305</v>
      </c>
      <c r="M12424" t="s">
        <v>603</v>
      </c>
      <c r="N12424" t="s">
        <v>604</v>
      </c>
      <c r="O12424" s="37" t="str">
        <f t="shared" si="973"/>
        <v>Digital Payment</v>
      </c>
      <c r="P12424">
        <v>281.33</v>
      </c>
      <c r="Q12424" s="37" t="str">
        <f>IF(P12424&gt;500,"High","low")</f>
        <v>low</v>
      </c>
      <c r="R12424" s="37" t="str">
        <f t="shared" si="974"/>
        <v>AVERAGE</v>
      </c>
      <c r="S12424" t="s">
        <v>609</v>
      </c>
    </row>
    <row r="12425" spans="1:19" x14ac:dyDescent="0.2">
      <c r="A12425" t="s">
        <v>13036</v>
      </c>
      <c r="B12425" t="s">
        <v>75</v>
      </c>
      <c r="C12425" t="s">
        <v>617</v>
      </c>
      <c r="D12425">
        <v>197.13</v>
      </c>
      <c r="E12425" s="37" t="str">
        <f t="shared" si="970"/>
        <v xml:space="preserve"> </v>
      </c>
      <c r="F12425">
        <v>0.28999999999999998</v>
      </c>
      <c r="G12425" s="37" t="str">
        <f t="shared" si="971"/>
        <v>Normal Discount</v>
      </c>
      <c r="H12425" s="37" t="str">
        <f t="shared" si="972"/>
        <v>Medium</v>
      </c>
      <c r="I12425">
        <v>5</v>
      </c>
      <c r="J12425" t="str" cm="1">
        <f t="array" ref="J12425">_xlfn.IFS(I12425&lt;=3,"small",I12425&lt;=6,"Medium",I12425&lt;=9,"Large")</f>
        <v>Medium</v>
      </c>
      <c r="K12425" s="36">
        <v>45442</v>
      </c>
      <c r="L12425" s="36">
        <v>45449</v>
      </c>
      <c r="M12425" t="s">
        <v>598</v>
      </c>
      <c r="N12425" t="s">
        <v>608</v>
      </c>
      <c r="O12425" s="37" t="str">
        <f t="shared" si="973"/>
        <v>Cash Payment</v>
      </c>
      <c r="P12425">
        <v>16.03</v>
      </c>
      <c r="Q12425" s="37" t="str">
        <f>IF(P12425&gt;500,"High","low")</f>
        <v>low</v>
      </c>
      <c r="R12425" s="37" t="str">
        <f t="shared" si="974"/>
        <v>AVERAGE</v>
      </c>
      <c r="S12425" t="s">
        <v>628</v>
      </c>
    </row>
    <row r="12426" spans="1:19" x14ac:dyDescent="0.2">
      <c r="A12426" t="s">
        <v>13037</v>
      </c>
      <c r="B12426" t="s">
        <v>67</v>
      </c>
      <c r="C12426" t="s">
        <v>607</v>
      </c>
      <c r="D12426">
        <v>1650.37</v>
      </c>
      <c r="E12426" s="37" t="str">
        <f t="shared" si="970"/>
        <v xml:space="preserve"> </v>
      </c>
      <c r="F12426">
        <v>0.43</v>
      </c>
      <c r="G12426" s="37" t="str">
        <f t="shared" si="971"/>
        <v>Heavy Discount</v>
      </c>
      <c r="H12426" s="37" t="str">
        <f t="shared" si="972"/>
        <v>High</v>
      </c>
      <c r="I12426">
        <v>4</v>
      </c>
      <c r="J12426" t="str" cm="1">
        <f t="array" ref="J12426">_xlfn.IFS(I12426&lt;=3,"small",I12426&lt;=6,"Medium",I12426&lt;=9,"Large")</f>
        <v>Medium</v>
      </c>
      <c r="K12426" s="36">
        <v>45044</v>
      </c>
      <c r="L12426" s="36">
        <v>45051</v>
      </c>
      <c r="M12426" t="s">
        <v>603</v>
      </c>
      <c r="N12426" t="s">
        <v>608</v>
      </c>
      <c r="O12426" s="37" t="str">
        <f t="shared" si="973"/>
        <v>Cash Payment</v>
      </c>
      <c r="P12426">
        <v>381.02</v>
      </c>
      <c r="Q12426" s="37" t="str">
        <f>IF(P12426&gt;500,"High","low")</f>
        <v>low</v>
      </c>
      <c r="R12426" s="37" t="str">
        <f t="shared" si="974"/>
        <v>AVERAGE</v>
      </c>
      <c r="S12426" t="s">
        <v>628</v>
      </c>
    </row>
    <row r="12427" spans="1:19" x14ac:dyDescent="0.2">
      <c r="A12427" t="s">
        <v>13038</v>
      </c>
      <c r="B12427" t="s">
        <v>67</v>
      </c>
      <c r="C12427" t="s">
        <v>602</v>
      </c>
      <c r="D12427">
        <v>4921.8900000000003</v>
      </c>
      <c r="E12427" s="37" t="str">
        <f t="shared" si="970"/>
        <v>Excellent Order</v>
      </c>
      <c r="F12427">
        <v>0.33</v>
      </c>
      <c r="G12427" s="37" t="str">
        <f t="shared" si="971"/>
        <v>Heavy Discount</v>
      </c>
      <c r="H12427" s="37" t="str">
        <f t="shared" si="972"/>
        <v>Medium</v>
      </c>
      <c r="I12427">
        <v>2</v>
      </c>
      <c r="J12427" t="str" cm="1">
        <f t="array" ref="J12427">_xlfn.IFS(I12427&lt;=3,"small",I12427&lt;=6,"Medium",I12427&lt;=9,"Large")</f>
        <v>small</v>
      </c>
      <c r="K12427" s="36">
        <v>44952</v>
      </c>
      <c r="L12427" s="36">
        <v>44958</v>
      </c>
      <c r="M12427" t="s">
        <v>603</v>
      </c>
      <c r="N12427" t="s">
        <v>608</v>
      </c>
      <c r="O12427" s="37" t="str">
        <f t="shared" si="973"/>
        <v>Cash Payment</v>
      </c>
      <c r="P12427">
        <v>1042.79</v>
      </c>
      <c r="Q12427" s="37" t="str">
        <f>IF(P12427&gt;500,"High","low")</f>
        <v>High</v>
      </c>
      <c r="R12427" s="37" t="str">
        <f t="shared" si="974"/>
        <v>Excellent</v>
      </c>
      <c r="S12427" t="s">
        <v>609</v>
      </c>
    </row>
    <row r="12428" spans="1:19" x14ac:dyDescent="0.2">
      <c r="A12428" t="s">
        <v>13039</v>
      </c>
      <c r="B12428" t="s">
        <v>90</v>
      </c>
      <c r="C12428" t="s">
        <v>614</v>
      </c>
      <c r="D12428">
        <v>819.53</v>
      </c>
      <c r="E12428" s="37" t="str">
        <f t="shared" si="970"/>
        <v xml:space="preserve"> </v>
      </c>
      <c r="F12428">
        <v>0.37</v>
      </c>
      <c r="G12428" s="37" t="str">
        <f t="shared" si="971"/>
        <v>Heavy Discount</v>
      </c>
      <c r="H12428" s="37" t="str">
        <f t="shared" si="972"/>
        <v>Medium</v>
      </c>
      <c r="I12428">
        <v>4</v>
      </c>
      <c r="J12428" t="str" cm="1">
        <f t="array" ref="J12428">_xlfn.IFS(I12428&lt;=3,"small",I12428&lt;=6,"Medium",I12428&lt;=9,"Large")</f>
        <v>Medium</v>
      </c>
      <c r="K12428" s="36">
        <v>45074</v>
      </c>
      <c r="L12428" s="36">
        <v>45078</v>
      </c>
      <c r="M12428" t="s">
        <v>603</v>
      </c>
      <c r="N12428" t="s">
        <v>599</v>
      </c>
      <c r="O12428" s="37" t="str">
        <f t="shared" si="973"/>
        <v>Digital Payment</v>
      </c>
      <c r="P12428">
        <v>177.46</v>
      </c>
      <c r="Q12428" s="37" t="str">
        <f>IF(P12428&gt;500,"High","low")</f>
        <v>low</v>
      </c>
      <c r="R12428" s="37" t="str">
        <f t="shared" si="974"/>
        <v>AVERAGE</v>
      </c>
      <c r="S12428" t="s">
        <v>628</v>
      </c>
    </row>
    <row r="12429" spans="1:19" x14ac:dyDescent="0.2">
      <c r="A12429" t="s">
        <v>13040</v>
      </c>
      <c r="B12429" t="s">
        <v>67</v>
      </c>
      <c r="C12429" t="s">
        <v>607</v>
      </c>
      <c r="D12429">
        <v>252.89</v>
      </c>
      <c r="E12429" s="37" t="str">
        <f t="shared" si="970"/>
        <v xml:space="preserve"> </v>
      </c>
      <c r="F12429">
        <v>0.16</v>
      </c>
      <c r="G12429" s="37" t="str">
        <f t="shared" si="971"/>
        <v>Normal Discount</v>
      </c>
      <c r="H12429" s="37" t="str">
        <f t="shared" si="972"/>
        <v>Low</v>
      </c>
      <c r="I12429">
        <v>8</v>
      </c>
      <c r="J12429" t="str" cm="1">
        <f t="array" ref="J12429">_xlfn.IFS(I12429&lt;=3,"small",I12429&lt;=6,"Medium",I12429&lt;=9,"Large")</f>
        <v>Large</v>
      </c>
      <c r="K12429" s="36">
        <v>45361</v>
      </c>
      <c r="L12429" s="36">
        <v>45368</v>
      </c>
      <c r="M12429" t="s">
        <v>603</v>
      </c>
      <c r="N12429" t="s">
        <v>608</v>
      </c>
      <c r="O12429" s="37" t="str">
        <f t="shared" si="973"/>
        <v>Cash Payment</v>
      </c>
      <c r="P12429">
        <v>20.83</v>
      </c>
      <c r="Q12429" s="37" t="str">
        <f>IF(P12429&gt;500,"High","low")</f>
        <v>low</v>
      </c>
      <c r="R12429" s="37" t="str">
        <f t="shared" si="974"/>
        <v>AVERAGE</v>
      </c>
      <c r="S12429" t="s">
        <v>628</v>
      </c>
    </row>
    <row r="12430" spans="1:19" x14ac:dyDescent="0.2">
      <c r="A12430" t="s">
        <v>13041</v>
      </c>
      <c r="B12430" t="s">
        <v>75</v>
      </c>
      <c r="C12430" t="s">
        <v>602</v>
      </c>
      <c r="D12430">
        <v>2933.06</v>
      </c>
      <c r="E12430" s="37" t="str">
        <f t="shared" si="970"/>
        <v xml:space="preserve"> </v>
      </c>
      <c r="F12430">
        <v>0.21</v>
      </c>
      <c r="G12430" s="37" t="str">
        <f t="shared" si="971"/>
        <v>Normal Discount</v>
      </c>
      <c r="H12430" s="37" t="str">
        <f t="shared" si="972"/>
        <v>Medium</v>
      </c>
      <c r="I12430">
        <v>2</v>
      </c>
      <c r="J12430" t="str" cm="1">
        <f t="array" ref="J12430">_xlfn.IFS(I12430&lt;=3,"small",I12430&lt;=6,"Medium",I12430&lt;=9,"Large")</f>
        <v>small</v>
      </c>
      <c r="K12430" s="36">
        <v>45643</v>
      </c>
      <c r="L12430" s="36">
        <v>45648</v>
      </c>
      <c r="M12430" t="s">
        <v>603</v>
      </c>
      <c r="N12430" t="s">
        <v>608</v>
      </c>
      <c r="O12430" s="37" t="str">
        <f t="shared" si="973"/>
        <v>Cash Payment</v>
      </c>
      <c r="P12430">
        <v>505.64</v>
      </c>
      <c r="Q12430" s="37" t="str">
        <f>IF(P12430&gt;500,"High","low")</f>
        <v>High</v>
      </c>
      <c r="R12430" s="37" t="str">
        <f t="shared" si="974"/>
        <v>Good</v>
      </c>
      <c r="S12430" t="s">
        <v>609</v>
      </c>
    </row>
    <row r="12431" spans="1:19" x14ac:dyDescent="0.2">
      <c r="A12431" t="s">
        <v>13042</v>
      </c>
      <c r="B12431" t="s">
        <v>75</v>
      </c>
      <c r="C12431" t="s">
        <v>617</v>
      </c>
      <c r="D12431">
        <v>1921.17</v>
      </c>
      <c r="E12431" s="37" t="str">
        <f t="shared" si="970"/>
        <v xml:space="preserve"> </v>
      </c>
      <c r="F12431">
        <v>0.01</v>
      </c>
      <c r="G12431" s="37" t="str">
        <f t="shared" si="971"/>
        <v>Normal Discount</v>
      </c>
      <c r="H12431" s="37" t="str">
        <f t="shared" si="972"/>
        <v>Low</v>
      </c>
      <c r="I12431">
        <v>8</v>
      </c>
      <c r="J12431" t="str" cm="1">
        <f t="array" ref="J12431">_xlfn.IFS(I12431&lt;=3,"small",I12431&lt;=6,"Medium",I12431&lt;=9,"Large")</f>
        <v>Large</v>
      </c>
      <c r="K12431" s="36">
        <v>45025</v>
      </c>
      <c r="L12431" s="36">
        <v>45028</v>
      </c>
      <c r="M12431" t="s">
        <v>598</v>
      </c>
      <c r="N12431" t="s">
        <v>604</v>
      </c>
      <c r="O12431" s="37" t="str">
        <f t="shared" si="973"/>
        <v>Digital Payment</v>
      </c>
      <c r="P12431">
        <v>409.94</v>
      </c>
      <c r="Q12431" s="37" t="str">
        <f>IF(P12431&gt;500,"High","low")</f>
        <v>low</v>
      </c>
      <c r="R12431" s="37" t="str">
        <f t="shared" si="974"/>
        <v>AVERAGE</v>
      </c>
      <c r="S12431" t="s">
        <v>609</v>
      </c>
    </row>
    <row r="12432" spans="1:19" x14ac:dyDescent="0.2">
      <c r="A12432" t="s">
        <v>13043</v>
      </c>
      <c r="B12432" t="s">
        <v>75</v>
      </c>
      <c r="C12432" t="s">
        <v>597</v>
      </c>
      <c r="D12432">
        <v>3995.38</v>
      </c>
      <c r="E12432" s="37" t="str">
        <f t="shared" si="970"/>
        <v xml:space="preserve"> </v>
      </c>
      <c r="F12432">
        <v>0.04</v>
      </c>
      <c r="G12432" s="37" t="str">
        <f t="shared" si="971"/>
        <v>Normal Discount</v>
      </c>
      <c r="H12432" s="37" t="str">
        <f t="shared" si="972"/>
        <v>Low</v>
      </c>
      <c r="I12432">
        <v>2</v>
      </c>
      <c r="J12432" t="str" cm="1">
        <f t="array" ref="J12432">_xlfn.IFS(I12432&lt;=3,"small",I12432&lt;=6,"Medium",I12432&lt;=9,"Large")</f>
        <v>small</v>
      </c>
      <c r="K12432" s="36">
        <v>45576</v>
      </c>
      <c r="L12432" s="36">
        <v>45580</v>
      </c>
      <c r="M12432" t="s">
        <v>603</v>
      </c>
      <c r="N12432" t="s">
        <v>599</v>
      </c>
      <c r="O12432" s="37" t="str">
        <f t="shared" si="973"/>
        <v>Digital Payment</v>
      </c>
      <c r="P12432">
        <v>665.07</v>
      </c>
      <c r="Q12432" s="37" t="str">
        <f>IF(P12432&gt;500,"High","low")</f>
        <v>High</v>
      </c>
      <c r="R12432" s="37" t="str">
        <f t="shared" si="974"/>
        <v>Good</v>
      </c>
      <c r="S12432" t="s">
        <v>615</v>
      </c>
    </row>
    <row r="12433" spans="1:19" x14ac:dyDescent="0.2">
      <c r="A12433" t="s">
        <v>13044</v>
      </c>
      <c r="B12433" t="s">
        <v>83</v>
      </c>
      <c r="C12433" t="s">
        <v>597</v>
      </c>
      <c r="D12433">
        <v>3686.25</v>
      </c>
      <c r="E12433" s="37" t="str">
        <f t="shared" si="970"/>
        <v xml:space="preserve"> </v>
      </c>
      <c r="F12433">
        <v>0.19</v>
      </c>
      <c r="G12433" s="37" t="str">
        <f t="shared" si="971"/>
        <v>Normal Discount</v>
      </c>
      <c r="H12433" s="37" t="str">
        <f t="shared" si="972"/>
        <v>Low</v>
      </c>
      <c r="I12433">
        <v>1</v>
      </c>
      <c r="J12433" t="str" cm="1">
        <f t="array" ref="J12433">_xlfn.IFS(I12433&lt;=3,"small",I12433&lt;=6,"Medium",I12433&lt;=9,"Large")</f>
        <v>small</v>
      </c>
      <c r="K12433" s="36">
        <v>45071</v>
      </c>
      <c r="L12433" s="36">
        <v>45074</v>
      </c>
      <c r="M12433" t="s">
        <v>603</v>
      </c>
      <c r="N12433" t="s">
        <v>599</v>
      </c>
      <c r="O12433" s="37" t="str">
        <f t="shared" si="973"/>
        <v>Digital Payment</v>
      </c>
      <c r="P12433">
        <v>728.22</v>
      </c>
      <c r="Q12433" s="37" t="str">
        <f>IF(P12433&gt;500,"High","low")</f>
        <v>High</v>
      </c>
      <c r="R12433" s="37" t="str">
        <f t="shared" si="974"/>
        <v>Good</v>
      </c>
      <c r="S12433" t="s">
        <v>609</v>
      </c>
    </row>
    <row r="12434" spans="1:19" x14ac:dyDescent="0.2">
      <c r="A12434" t="s">
        <v>13045</v>
      </c>
      <c r="B12434" t="s">
        <v>83</v>
      </c>
      <c r="C12434" t="s">
        <v>617</v>
      </c>
      <c r="D12434">
        <v>1008.55</v>
      </c>
      <c r="E12434" s="37" t="str">
        <f t="shared" si="970"/>
        <v xml:space="preserve"> </v>
      </c>
      <c r="F12434">
        <v>0.1</v>
      </c>
      <c r="G12434" s="37" t="str">
        <f t="shared" si="971"/>
        <v>Normal Discount</v>
      </c>
      <c r="H12434" s="37" t="str">
        <f t="shared" si="972"/>
        <v>Low</v>
      </c>
      <c r="I12434">
        <v>4</v>
      </c>
      <c r="J12434" t="str" cm="1">
        <f t="array" ref="J12434">_xlfn.IFS(I12434&lt;=3,"small",I12434&lt;=6,"Medium",I12434&lt;=9,"Large")</f>
        <v>Medium</v>
      </c>
      <c r="K12434" s="36">
        <v>44995</v>
      </c>
      <c r="L12434" s="36">
        <v>44999</v>
      </c>
      <c r="M12434" t="s">
        <v>603</v>
      </c>
      <c r="N12434" t="s">
        <v>608</v>
      </c>
      <c r="O12434" s="37" t="str">
        <f t="shared" si="973"/>
        <v>Cash Payment</v>
      </c>
      <c r="P12434">
        <v>192.72</v>
      </c>
      <c r="Q12434" s="37" t="str">
        <f>IF(P12434&gt;500,"High","low")</f>
        <v>low</v>
      </c>
      <c r="R12434" s="37" t="str">
        <f t="shared" si="974"/>
        <v>AVERAGE</v>
      </c>
      <c r="S12434" t="s">
        <v>605</v>
      </c>
    </row>
    <row r="12435" spans="1:19" x14ac:dyDescent="0.2">
      <c r="A12435" t="s">
        <v>13046</v>
      </c>
      <c r="B12435" t="s">
        <v>67</v>
      </c>
      <c r="C12435" t="s">
        <v>614</v>
      </c>
      <c r="D12435">
        <v>2866.7</v>
      </c>
      <c r="E12435" s="37" t="str">
        <f t="shared" si="970"/>
        <v xml:space="preserve"> </v>
      </c>
      <c r="F12435">
        <v>0.41</v>
      </c>
      <c r="G12435" s="37" t="str">
        <f t="shared" si="971"/>
        <v>Heavy Discount</v>
      </c>
      <c r="H12435" s="37" t="str">
        <f t="shared" si="972"/>
        <v>High</v>
      </c>
      <c r="I12435">
        <v>7</v>
      </c>
      <c r="J12435" t="str" cm="1">
        <f t="array" ref="J12435">_xlfn.IFS(I12435&lt;=3,"small",I12435&lt;=6,"Medium",I12435&lt;=9,"Large")</f>
        <v>Large</v>
      </c>
      <c r="K12435" s="36">
        <v>45212</v>
      </c>
      <c r="L12435" s="36">
        <v>45216</v>
      </c>
      <c r="M12435" t="s">
        <v>612</v>
      </c>
      <c r="N12435" t="s">
        <v>608</v>
      </c>
      <c r="O12435" s="37" t="str">
        <f t="shared" si="973"/>
        <v>Cash Payment</v>
      </c>
      <c r="P12435">
        <v>449.26</v>
      </c>
      <c r="Q12435" s="37" t="str">
        <f>IF(P12435&gt;500,"High","low")</f>
        <v>low</v>
      </c>
      <c r="R12435" s="37" t="str">
        <f t="shared" si="974"/>
        <v>AVERAGE</v>
      </c>
      <c r="S12435" t="s">
        <v>609</v>
      </c>
    </row>
    <row r="12436" spans="1:19" x14ac:dyDescent="0.2">
      <c r="A12436" t="s">
        <v>13047</v>
      </c>
      <c r="B12436" t="s">
        <v>90</v>
      </c>
      <c r="C12436" t="s">
        <v>617</v>
      </c>
      <c r="D12436">
        <v>258.94</v>
      </c>
      <c r="E12436" s="37" t="str">
        <f t="shared" si="970"/>
        <v xml:space="preserve"> </v>
      </c>
      <c r="F12436">
        <v>0.34</v>
      </c>
      <c r="G12436" s="37" t="str">
        <f t="shared" si="971"/>
        <v>Heavy Discount</v>
      </c>
      <c r="H12436" s="37" t="str">
        <f t="shared" si="972"/>
        <v>Medium</v>
      </c>
      <c r="I12436">
        <v>2</v>
      </c>
      <c r="J12436" t="str" cm="1">
        <f t="array" ref="J12436">_xlfn.IFS(I12436&lt;=3,"small",I12436&lt;=6,"Medium",I12436&lt;=9,"Large")</f>
        <v>small</v>
      </c>
      <c r="K12436" s="36">
        <v>45533</v>
      </c>
      <c r="L12436" s="36">
        <v>45539</v>
      </c>
      <c r="M12436" t="s">
        <v>612</v>
      </c>
      <c r="N12436" t="s">
        <v>599</v>
      </c>
      <c r="O12436" s="37" t="str">
        <f t="shared" si="973"/>
        <v>Digital Payment</v>
      </c>
      <c r="P12436">
        <v>22.73</v>
      </c>
      <c r="Q12436" s="37" t="str">
        <f>IF(P12436&gt;500,"High","low")</f>
        <v>low</v>
      </c>
      <c r="R12436" s="37" t="str">
        <f t="shared" si="974"/>
        <v>AVERAGE</v>
      </c>
      <c r="S12436" t="s">
        <v>609</v>
      </c>
    </row>
    <row r="12437" spans="1:19" x14ac:dyDescent="0.2">
      <c r="A12437" t="s">
        <v>13048</v>
      </c>
      <c r="B12437" t="s">
        <v>90</v>
      </c>
      <c r="C12437" t="s">
        <v>602</v>
      </c>
      <c r="D12437">
        <v>2253.44</v>
      </c>
      <c r="E12437" s="37" t="str">
        <f t="shared" si="970"/>
        <v xml:space="preserve"> </v>
      </c>
      <c r="F12437">
        <v>0.49</v>
      </c>
      <c r="G12437" s="37" t="str">
        <f t="shared" si="971"/>
        <v>Heavy Discount</v>
      </c>
      <c r="H12437" s="37" t="str">
        <f t="shared" si="972"/>
        <v>High</v>
      </c>
      <c r="I12437">
        <v>3</v>
      </c>
      <c r="J12437" t="str" cm="1">
        <f t="array" ref="J12437">_xlfn.IFS(I12437&lt;=3,"small",I12437&lt;=6,"Medium",I12437&lt;=9,"Large")</f>
        <v>small</v>
      </c>
      <c r="K12437" s="36">
        <v>44987</v>
      </c>
      <c r="L12437" s="36">
        <v>44993</v>
      </c>
      <c r="M12437" t="s">
        <v>603</v>
      </c>
      <c r="N12437" t="s">
        <v>608</v>
      </c>
      <c r="O12437" s="37" t="str">
        <f t="shared" si="973"/>
        <v>Cash Payment</v>
      </c>
      <c r="P12437">
        <v>570.48</v>
      </c>
      <c r="Q12437" s="37" t="str">
        <f>IF(P12437&gt;500,"High","low")</f>
        <v>High</v>
      </c>
      <c r="R12437" s="37" t="str">
        <f t="shared" si="974"/>
        <v>Good</v>
      </c>
      <c r="S12437" t="s">
        <v>605</v>
      </c>
    </row>
    <row r="12438" spans="1:19" x14ac:dyDescent="0.2">
      <c r="A12438" t="s">
        <v>13049</v>
      </c>
      <c r="B12438" t="s">
        <v>90</v>
      </c>
      <c r="C12438" t="s">
        <v>614</v>
      </c>
      <c r="D12438">
        <v>3598.86</v>
      </c>
      <c r="E12438" s="37" t="str">
        <f t="shared" si="970"/>
        <v xml:space="preserve"> </v>
      </c>
      <c r="F12438">
        <v>0.44</v>
      </c>
      <c r="G12438" s="37" t="str">
        <f t="shared" si="971"/>
        <v>Heavy Discount</v>
      </c>
      <c r="H12438" s="37" t="str">
        <f t="shared" si="972"/>
        <v>High</v>
      </c>
      <c r="I12438">
        <v>6</v>
      </c>
      <c r="J12438" t="str" cm="1">
        <f t="array" ref="J12438">_xlfn.IFS(I12438&lt;=3,"small",I12438&lt;=6,"Medium",I12438&lt;=9,"Large")</f>
        <v>Medium</v>
      </c>
      <c r="K12438" s="36">
        <v>45298</v>
      </c>
      <c r="L12438" s="36">
        <v>45299</v>
      </c>
      <c r="M12438" t="s">
        <v>598</v>
      </c>
      <c r="N12438" t="s">
        <v>599</v>
      </c>
      <c r="O12438" s="37" t="str">
        <f t="shared" si="973"/>
        <v>Digital Payment</v>
      </c>
      <c r="P12438">
        <v>757.25</v>
      </c>
      <c r="Q12438" s="37" t="str">
        <f>IF(P12438&gt;500,"High","low")</f>
        <v>High</v>
      </c>
      <c r="R12438" s="37" t="str">
        <f t="shared" si="974"/>
        <v>Good</v>
      </c>
      <c r="S12438" t="s">
        <v>609</v>
      </c>
    </row>
    <row r="12439" spans="1:19" x14ac:dyDescent="0.2">
      <c r="A12439" t="s">
        <v>13050</v>
      </c>
      <c r="B12439" t="s">
        <v>83</v>
      </c>
      <c r="C12439" t="s">
        <v>597</v>
      </c>
      <c r="D12439">
        <v>2133.3000000000002</v>
      </c>
      <c r="E12439" s="37" t="str">
        <f t="shared" si="970"/>
        <v xml:space="preserve"> </v>
      </c>
      <c r="F12439">
        <v>0.49</v>
      </c>
      <c r="G12439" s="37" t="str">
        <f t="shared" si="971"/>
        <v>Heavy Discount</v>
      </c>
      <c r="H12439" s="37" t="str">
        <f t="shared" si="972"/>
        <v>High</v>
      </c>
      <c r="I12439">
        <v>2</v>
      </c>
      <c r="J12439" t="str" cm="1">
        <f t="array" ref="J12439">_xlfn.IFS(I12439&lt;=3,"small",I12439&lt;=6,"Medium",I12439&lt;=9,"Large")</f>
        <v>small</v>
      </c>
      <c r="K12439" s="36">
        <v>44950</v>
      </c>
      <c r="L12439" s="36">
        <v>44951</v>
      </c>
      <c r="M12439" t="s">
        <v>603</v>
      </c>
      <c r="N12439" t="s">
        <v>599</v>
      </c>
      <c r="O12439" s="37" t="str">
        <f t="shared" si="973"/>
        <v>Digital Payment</v>
      </c>
      <c r="P12439">
        <v>448.65</v>
      </c>
      <c r="Q12439" s="37" t="str">
        <f>IF(P12439&gt;500,"High","low")</f>
        <v>low</v>
      </c>
      <c r="R12439" s="37" t="str">
        <f t="shared" si="974"/>
        <v>AVERAGE</v>
      </c>
      <c r="S12439" t="s">
        <v>605</v>
      </c>
    </row>
    <row r="12440" spans="1:19" x14ac:dyDescent="0.2">
      <c r="A12440" t="s">
        <v>13051</v>
      </c>
      <c r="B12440" t="s">
        <v>75</v>
      </c>
      <c r="C12440" t="s">
        <v>602</v>
      </c>
      <c r="D12440">
        <v>677.98</v>
      </c>
      <c r="E12440" s="37" t="str">
        <f t="shared" si="970"/>
        <v xml:space="preserve"> </v>
      </c>
      <c r="F12440">
        <v>0.18</v>
      </c>
      <c r="G12440" s="37" t="str">
        <f t="shared" si="971"/>
        <v>Normal Discount</v>
      </c>
      <c r="H12440" s="37" t="str">
        <f t="shared" si="972"/>
        <v>Low</v>
      </c>
      <c r="I12440">
        <v>9</v>
      </c>
      <c r="J12440" t="str" cm="1">
        <f t="array" ref="J12440">_xlfn.IFS(I12440&lt;=3,"small",I12440&lt;=6,"Medium",I12440&lt;=9,"Large")</f>
        <v>Large</v>
      </c>
      <c r="K12440" s="36">
        <v>45519</v>
      </c>
      <c r="L12440" s="36">
        <v>45522</v>
      </c>
      <c r="M12440" t="s">
        <v>612</v>
      </c>
      <c r="N12440" t="s">
        <v>608</v>
      </c>
      <c r="O12440" s="37" t="str">
        <f t="shared" si="973"/>
        <v>Cash Payment</v>
      </c>
      <c r="P12440">
        <v>42.96</v>
      </c>
      <c r="Q12440" s="37" t="str">
        <f>IF(P12440&gt;500,"High","low")</f>
        <v>low</v>
      </c>
      <c r="R12440" s="37" t="str">
        <f t="shared" si="974"/>
        <v>AVERAGE</v>
      </c>
      <c r="S12440" t="s">
        <v>600</v>
      </c>
    </row>
    <row r="12441" spans="1:19" x14ac:dyDescent="0.2">
      <c r="A12441" t="s">
        <v>13052</v>
      </c>
      <c r="B12441" t="s">
        <v>75</v>
      </c>
      <c r="C12441" t="s">
        <v>607</v>
      </c>
      <c r="D12441">
        <v>401.51</v>
      </c>
      <c r="E12441" s="37" t="str">
        <f t="shared" si="970"/>
        <v xml:space="preserve"> </v>
      </c>
      <c r="F12441">
        <v>0.24</v>
      </c>
      <c r="G12441" s="37" t="str">
        <f t="shared" si="971"/>
        <v>Normal Discount</v>
      </c>
      <c r="H12441" s="37" t="str">
        <f t="shared" si="972"/>
        <v>Medium</v>
      </c>
      <c r="I12441">
        <v>6</v>
      </c>
      <c r="J12441" t="str" cm="1">
        <f t="array" ref="J12441">_xlfn.IFS(I12441&lt;=3,"small",I12441&lt;=6,"Medium",I12441&lt;=9,"Large")</f>
        <v>Medium</v>
      </c>
      <c r="K12441" s="36">
        <v>45171</v>
      </c>
      <c r="L12441" s="36">
        <v>45173</v>
      </c>
      <c r="M12441" t="s">
        <v>612</v>
      </c>
      <c r="N12441" t="s">
        <v>604</v>
      </c>
      <c r="O12441" s="37" t="str">
        <f t="shared" si="973"/>
        <v>Digital Payment</v>
      </c>
      <c r="P12441">
        <v>95.78</v>
      </c>
      <c r="Q12441" s="37" t="str">
        <f>IF(P12441&gt;500,"High","low")</f>
        <v>low</v>
      </c>
      <c r="R12441" s="37" t="str">
        <f t="shared" si="974"/>
        <v>AVERAGE</v>
      </c>
      <c r="S12441" t="s">
        <v>600</v>
      </c>
    </row>
    <row r="12442" spans="1:19" x14ac:dyDescent="0.2">
      <c r="A12442" t="s">
        <v>13053</v>
      </c>
      <c r="B12442" t="s">
        <v>83</v>
      </c>
      <c r="C12442" t="s">
        <v>607</v>
      </c>
      <c r="D12442">
        <v>4282.93</v>
      </c>
      <c r="E12442" s="37" t="str">
        <f t="shared" si="970"/>
        <v xml:space="preserve"> </v>
      </c>
      <c r="F12442">
        <v>0.19</v>
      </c>
      <c r="G12442" s="37" t="str">
        <f t="shared" si="971"/>
        <v>Normal Discount</v>
      </c>
      <c r="H12442" s="37" t="str">
        <f t="shared" si="972"/>
        <v>Low</v>
      </c>
      <c r="I12442">
        <v>6</v>
      </c>
      <c r="J12442" t="str" cm="1">
        <f t="array" ref="J12442">_xlfn.IFS(I12442&lt;=3,"small",I12442&lt;=6,"Medium",I12442&lt;=9,"Large")</f>
        <v>Medium</v>
      </c>
      <c r="K12442" s="36">
        <v>45152</v>
      </c>
      <c r="L12442" s="36">
        <v>45158</v>
      </c>
      <c r="M12442" t="s">
        <v>598</v>
      </c>
      <c r="N12442" t="s">
        <v>604</v>
      </c>
      <c r="O12442" s="37" t="str">
        <f t="shared" si="973"/>
        <v>Digital Payment</v>
      </c>
      <c r="P12442">
        <v>445.89</v>
      </c>
      <c r="Q12442" s="37" t="str">
        <f>IF(P12442&gt;500,"High","low")</f>
        <v>low</v>
      </c>
      <c r="R12442" s="37" t="str">
        <f t="shared" si="974"/>
        <v>AVERAGE</v>
      </c>
      <c r="S12442" t="s">
        <v>620</v>
      </c>
    </row>
    <row r="12443" spans="1:19" x14ac:dyDescent="0.2">
      <c r="A12443" t="s">
        <v>13054</v>
      </c>
      <c r="B12443" t="s">
        <v>90</v>
      </c>
      <c r="C12443" t="s">
        <v>607</v>
      </c>
      <c r="D12443">
        <v>4467.5</v>
      </c>
      <c r="E12443" s="37" t="str">
        <f t="shared" si="970"/>
        <v>Excellent Order</v>
      </c>
      <c r="F12443">
        <v>0.48</v>
      </c>
      <c r="G12443" s="37" t="str">
        <f t="shared" si="971"/>
        <v>Heavy Discount</v>
      </c>
      <c r="H12443" s="37" t="str">
        <f t="shared" si="972"/>
        <v>High</v>
      </c>
      <c r="I12443">
        <v>8</v>
      </c>
      <c r="J12443" t="str" cm="1">
        <f t="array" ref="J12443">_xlfn.IFS(I12443&lt;=3,"small",I12443&lt;=6,"Medium",I12443&lt;=9,"Large")</f>
        <v>Large</v>
      </c>
      <c r="K12443" s="36">
        <v>45545</v>
      </c>
      <c r="L12443" s="36">
        <v>45549</v>
      </c>
      <c r="M12443" t="s">
        <v>603</v>
      </c>
      <c r="N12443" t="s">
        <v>604</v>
      </c>
      <c r="O12443" s="37" t="str">
        <f t="shared" si="973"/>
        <v>Digital Payment</v>
      </c>
      <c r="P12443">
        <v>987.93</v>
      </c>
      <c r="Q12443" s="37" t="str">
        <f>IF(P12443&gt;500,"High","low")</f>
        <v>High</v>
      </c>
      <c r="R12443" s="37" t="str">
        <f t="shared" si="974"/>
        <v>Good</v>
      </c>
      <c r="S12443" t="s">
        <v>609</v>
      </c>
    </row>
    <row r="12444" spans="1:19" x14ac:dyDescent="0.2">
      <c r="A12444" t="s">
        <v>13055</v>
      </c>
      <c r="B12444" t="s">
        <v>90</v>
      </c>
      <c r="C12444" t="s">
        <v>597</v>
      </c>
      <c r="D12444">
        <v>1781.15</v>
      </c>
      <c r="E12444" s="37" t="str">
        <f t="shared" si="970"/>
        <v xml:space="preserve"> </v>
      </c>
      <c r="F12444">
        <v>0.2</v>
      </c>
      <c r="G12444" s="37" t="str">
        <f t="shared" si="971"/>
        <v>Normal Discount</v>
      </c>
      <c r="H12444" s="37" t="str">
        <f t="shared" si="972"/>
        <v>Medium</v>
      </c>
      <c r="I12444">
        <v>1</v>
      </c>
      <c r="J12444" t="str" cm="1">
        <f t="array" ref="J12444">_xlfn.IFS(I12444&lt;=3,"small",I12444&lt;=6,"Medium",I12444&lt;=9,"Large")</f>
        <v>small</v>
      </c>
      <c r="K12444" s="36">
        <v>44961</v>
      </c>
      <c r="L12444" s="36">
        <v>44962</v>
      </c>
      <c r="M12444" t="s">
        <v>612</v>
      </c>
      <c r="N12444" t="s">
        <v>604</v>
      </c>
      <c r="O12444" s="37" t="str">
        <f t="shared" si="973"/>
        <v>Digital Payment</v>
      </c>
      <c r="P12444">
        <v>392.9</v>
      </c>
      <c r="Q12444" s="37" t="str">
        <f>IF(P12444&gt;500,"High","low")</f>
        <v>low</v>
      </c>
      <c r="R12444" s="37" t="str">
        <f t="shared" si="974"/>
        <v>AVERAGE</v>
      </c>
      <c r="S12444" t="s">
        <v>628</v>
      </c>
    </row>
    <row r="12445" spans="1:19" x14ac:dyDescent="0.2">
      <c r="A12445" t="s">
        <v>13056</v>
      </c>
      <c r="B12445" t="s">
        <v>67</v>
      </c>
      <c r="C12445" t="s">
        <v>617</v>
      </c>
      <c r="D12445">
        <v>904.44</v>
      </c>
      <c r="E12445" s="37" t="str">
        <f t="shared" si="970"/>
        <v xml:space="preserve"> </v>
      </c>
      <c r="F12445">
        <v>0.06</v>
      </c>
      <c r="G12445" s="37" t="str">
        <f t="shared" si="971"/>
        <v>Normal Discount</v>
      </c>
      <c r="H12445" s="37" t="str">
        <f t="shared" si="972"/>
        <v>Low</v>
      </c>
      <c r="I12445">
        <v>3</v>
      </c>
      <c r="J12445" t="str" cm="1">
        <f t="array" ref="J12445">_xlfn.IFS(I12445&lt;=3,"small",I12445&lt;=6,"Medium",I12445&lt;=9,"Large")</f>
        <v>small</v>
      </c>
      <c r="K12445" s="36">
        <v>45044</v>
      </c>
      <c r="L12445" s="36">
        <v>45046</v>
      </c>
      <c r="M12445" t="s">
        <v>612</v>
      </c>
      <c r="N12445" t="s">
        <v>599</v>
      </c>
      <c r="O12445" s="37" t="str">
        <f t="shared" si="973"/>
        <v>Digital Payment</v>
      </c>
      <c r="P12445">
        <v>65.73</v>
      </c>
      <c r="Q12445" s="37" t="str">
        <f>IF(P12445&gt;500,"High","low")</f>
        <v>low</v>
      </c>
      <c r="R12445" s="37" t="str">
        <f t="shared" si="974"/>
        <v>AVERAGE</v>
      </c>
      <c r="S12445" t="s">
        <v>605</v>
      </c>
    </row>
    <row r="12446" spans="1:19" x14ac:dyDescent="0.2">
      <c r="A12446" t="s">
        <v>13057</v>
      </c>
      <c r="B12446" t="s">
        <v>67</v>
      </c>
      <c r="C12446" t="s">
        <v>614</v>
      </c>
      <c r="D12446">
        <v>4895.22</v>
      </c>
      <c r="E12446" s="37" t="str">
        <f t="shared" si="970"/>
        <v>Excellent Order</v>
      </c>
      <c r="F12446">
        <v>0.13</v>
      </c>
      <c r="G12446" s="37" t="str">
        <f t="shared" si="971"/>
        <v>Normal Discount</v>
      </c>
      <c r="H12446" s="37" t="str">
        <f t="shared" si="972"/>
        <v>Low</v>
      </c>
      <c r="I12446">
        <v>2</v>
      </c>
      <c r="J12446" t="str" cm="1">
        <f t="array" ref="J12446">_xlfn.IFS(I12446&lt;=3,"small",I12446&lt;=6,"Medium",I12446&lt;=9,"Large")</f>
        <v>small</v>
      </c>
      <c r="K12446" s="36">
        <v>45115</v>
      </c>
      <c r="L12446" s="36">
        <v>45118</v>
      </c>
      <c r="M12446" t="s">
        <v>598</v>
      </c>
      <c r="N12446" t="s">
        <v>604</v>
      </c>
      <c r="O12446" s="37" t="str">
        <f t="shared" si="973"/>
        <v>Digital Payment</v>
      </c>
      <c r="P12446">
        <v>896.45</v>
      </c>
      <c r="Q12446" s="37" t="str">
        <f>IF(P12446&gt;500,"High","low")</f>
        <v>High</v>
      </c>
      <c r="R12446" s="37" t="str">
        <f t="shared" si="974"/>
        <v>Good</v>
      </c>
      <c r="S12446" t="s">
        <v>605</v>
      </c>
    </row>
    <row r="12447" spans="1:19" x14ac:dyDescent="0.2">
      <c r="A12447" t="s">
        <v>13058</v>
      </c>
      <c r="B12447" t="s">
        <v>90</v>
      </c>
      <c r="C12447" t="s">
        <v>597</v>
      </c>
      <c r="D12447">
        <v>2774.73</v>
      </c>
      <c r="E12447" s="37" t="str">
        <f t="shared" si="970"/>
        <v xml:space="preserve"> </v>
      </c>
      <c r="F12447">
        <v>0.21</v>
      </c>
      <c r="G12447" s="37" t="str">
        <f t="shared" si="971"/>
        <v>Normal Discount</v>
      </c>
      <c r="H12447" s="37" t="str">
        <f t="shared" si="972"/>
        <v>Medium</v>
      </c>
      <c r="I12447">
        <v>1</v>
      </c>
      <c r="J12447" t="str" cm="1">
        <f t="array" ref="J12447">_xlfn.IFS(I12447&lt;=3,"small",I12447&lt;=6,"Medium",I12447&lt;=9,"Large")</f>
        <v>small</v>
      </c>
      <c r="K12447" s="36">
        <v>45385</v>
      </c>
      <c r="L12447" s="36">
        <v>45391</v>
      </c>
      <c r="M12447" t="s">
        <v>612</v>
      </c>
      <c r="N12447" t="s">
        <v>604</v>
      </c>
      <c r="O12447" s="37" t="str">
        <f t="shared" si="973"/>
        <v>Digital Payment</v>
      </c>
      <c r="P12447">
        <v>631.77</v>
      </c>
      <c r="Q12447" s="37" t="str">
        <f>IF(P12447&gt;500,"High","low")</f>
        <v>High</v>
      </c>
      <c r="R12447" s="37" t="str">
        <f t="shared" si="974"/>
        <v>Good</v>
      </c>
      <c r="S12447" t="s">
        <v>600</v>
      </c>
    </row>
    <row r="12448" spans="1:19" x14ac:dyDescent="0.2">
      <c r="A12448" t="s">
        <v>13059</v>
      </c>
      <c r="B12448" t="s">
        <v>83</v>
      </c>
      <c r="C12448" t="s">
        <v>602</v>
      </c>
      <c r="D12448">
        <v>2435.61</v>
      </c>
      <c r="E12448" s="37" t="str">
        <f t="shared" si="970"/>
        <v xml:space="preserve"> </v>
      </c>
      <c r="F12448">
        <v>0.3</v>
      </c>
      <c r="G12448" s="37" t="str">
        <f t="shared" si="971"/>
        <v>Normal Discount</v>
      </c>
      <c r="H12448" s="37" t="str">
        <f t="shared" si="972"/>
        <v>Medium</v>
      </c>
      <c r="I12448">
        <v>6</v>
      </c>
      <c r="J12448" t="str" cm="1">
        <f t="array" ref="J12448">_xlfn.IFS(I12448&lt;=3,"small",I12448&lt;=6,"Medium",I12448&lt;=9,"Large")</f>
        <v>Medium</v>
      </c>
      <c r="K12448" s="36">
        <v>45218</v>
      </c>
      <c r="L12448" s="36">
        <v>45223</v>
      </c>
      <c r="M12448" t="s">
        <v>612</v>
      </c>
      <c r="N12448" t="s">
        <v>599</v>
      </c>
      <c r="O12448" s="37" t="str">
        <f t="shared" si="973"/>
        <v>Digital Payment</v>
      </c>
      <c r="P12448">
        <v>596.20000000000005</v>
      </c>
      <c r="Q12448" s="37" t="str">
        <f>IF(P12448&gt;500,"High","low")</f>
        <v>High</v>
      </c>
      <c r="R12448" s="37" t="str">
        <f t="shared" si="974"/>
        <v>Good</v>
      </c>
      <c r="S12448" t="s">
        <v>605</v>
      </c>
    </row>
    <row r="12449" spans="1:19" x14ac:dyDescent="0.2">
      <c r="A12449" t="s">
        <v>13060</v>
      </c>
      <c r="B12449" t="s">
        <v>90</v>
      </c>
      <c r="C12449" t="s">
        <v>602</v>
      </c>
      <c r="D12449">
        <v>3733.88</v>
      </c>
      <c r="E12449" s="37" t="str">
        <f t="shared" si="970"/>
        <v xml:space="preserve"> </v>
      </c>
      <c r="F12449">
        <v>0.31</v>
      </c>
      <c r="G12449" s="37" t="str">
        <f t="shared" si="971"/>
        <v>Heavy Discount</v>
      </c>
      <c r="H12449" s="37" t="str">
        <f t="shared" si="972"/>
        <v>Medium</v>
      </c>
      <c r="I12449">
        <v>4</v>
      </c>
      <c r="J12449" t="str" cm="1">
        <f t="array" ref="J12449">_xlfn.IFS(I12449&lt;=3,"small",I12449&lt;=6,"Medium",I12449&lt;=9,"Large")</f>
        <v>Medium</v>
      </c>
      <c r="K12449" s="36">
        <v>45048</v>
      </c>
      <c r="L12449" s="36">
        <v>45054</v>
      </c>
      <c r="M12449" t="s">
        <v>598</v>
      </c>
      <c r="N12449" t="s">
        <v>604</v>
      </c>
      <c r="O12449" s="37" t="str">
        <f t="shared" si="973"/>
        <v>Digital Payment</v>
      </c>
      <c r="P12449">
        <v>571.82000000000005</v>
      </c>
      <c r="Q12449" s="37" t="str">
        <f>IF(P12449&gt;500,"High","low")</f>
        <v>High</v>
      </c>
      <c r="R12449" s="37" t="str">
        <f t="shared" si="974"/>
        <v>Good</v>
      </c>
      <c r="S12449" t="s">
        <v>600</v>
      </c>
    </row>
    <row r="12450" spans="1:19" x14ac:dyDescent="0.2">
      <c r="A12450" t="s">
        <v>13061</v>
      </c>
      <c r="B12450" t="s">
        <v>67</v>
      </c>
      <c r="C12450" t="s">
        <v>607</v>
      </c>
      <c r="D12450">
        <v>927.46</v>
      </c>
      <c r="E12450" s="37" t="str">
        <f t="shared" si="970"/>
        <v xml:space="preserve"> </v>
      </c>
      <c r="F12450">
        <v>0.38</v>
      </c>
      <c r="G12450" s="37" t="str">
        <f t="shared" si="971"/>
        <v>Heavy Discount</v>
      </c>
      <c r="H12450" s="37" t="str">
        <f t="shared" si="972"/>
        <v>Medium</v>
      </c>
      <c r="I12450">
        <v>6</v>
      </c>
      <c r="J12450" t="str" cm="1">
        <f t="array" ref="J12450">_xlfn.IFS(I12450&lt;=3,"small",I12450&lt;=6,"Medium",I12450&lt;=9,"Large")</f>
        <v>Medium</v>
      </c>
      <c r="K12450" s="36">
        <v>45237</v>
      </c>
      <c r="L12450" s="36">
        <v>45243</v>
      </c>
      <c r="M12450" t="s">
        <v>598</v>
      </c>
      <c r="N12450" t="s">
        <v>608</v>
      </c>
      <c r="O12450" s="37" t="str">
        <f t="shared" si="973"/>
        <v>Cash Payment</v>
      </c>
      <c r="P12450">
        <v>52.15</v>
      </c>
      <c r="Q12450" s="37" t="str">
        <f>IF(P12450&gt;500,"High","low")</f>
        <v>low</v>
      </c>
      <c r="R12450" s="37" t="str">
        <f t="shared" si="974"/>
        <v>AVERAGE</v>
      </c>
      <c r="S12450" t="s">
        <v>615</v>
      </c>
    </row>
    <row r="12451" spans="1:19" x14ac:dyDescent="0.2">
      <c r="A12451" t="s">
        <v>13062</v>
      </c>
      <c r="B12451" t="s">
        <v>90</v>
      </c>
      <c r="C12451" t="s">
        <v>614</v>
      </c>
      <c r="D12451">
        <v>2941.95</v>
      </c>
      <c r="E12451" s="37" t="str">
        <f t="shared" si="970"/>
        <v xml:space="preserve"> </v>
      </c>
      <c r="F12451">
        <v>0.32</v>
      </c>
      <c r="G12451" s="37" t="str">
        <f t="shared" si="971"/>
        <v>Heavy Discount</v>
      </c>
      <c r="H12451" s="37" t="str">
        <f t="shared" si="972"/>
        <v>Medium</v>
      </c>
      <c r="I12451">
        <v>8</v>
      </c>
      <c r="J12451" t="str" cm="1">
        <f t="array" ref="J12451">_xlfn.IFS(I12451&lt;=3,"small",I12451&lt;=6,"Medium",I12451&lt;=9,"Large")</f>
        <v>Large</v>
      </c>
      <c r="K12451" s="36">
        <v>45603</v>
      </c>
      <c r="L12451" s="36">
        <v>45604</v>
      </c>
      <c r="M12451" t="s">
        <v>598</v>
      </c>
      <c r="N12451" t="s">
        <v>604</v>
      </c>
      <c r="O12451" s="37" t="str">
        <f t="shared" si="973"/>
        <v>Digital Payment</v>
      </c>
      <c r="P12451">
        <v>663.35</v>
      </c>
      <c r="Q12451" s="37" t="str">
        <f>IF(P12451&gt;500,"High","low")</f>
        <v>High</v>
      </c>
      <c r="R12451" s="37" t="str">
        <f t="shared" si="974"/>
        <v>Good</v>
      </c>
      <c r="S12451" t="s">
        <v>628</v>
      </c>
    </row>
    <row r="12452" spans="1:19" x14ac:dyDescent="0.2">
      <c r="A12452" t="s">
        <v>13063</v>
      </c>
      <c r="B12452" t="s">
        <v>83</v>
      </c>
      <c r="C12452" t="s">
        <v>607</v>
      </c>
      <c r="D12452">
        <v>4461.8</v>
      </c>
      <c r="E12452" s="37" t="str">
        <f t="shared" si="970"/>
        <v xml:space="preserve"> </v>
      </c>
      <c r="F12452">
        <v>0.25</v>
      </c>
      <c r="G12452" s="37" t="str">
        <f t="shared" si="971"/>
        <v>Normal Discount</v>
      </c>
      <c r="H12452" s="37" t="str">
        <f t="shared" si="972"/>
        <v>Medium</v>
      </c>
      <c r="I12452">
        <v>7</v>
      </c>
      <c r="J12452" t="str" cm="1">
        <f t="array" ref="J12452">_xlfn.IFS(I12452&lt;=3,"small",I12452&lt;=6,"Medium",I12452&lt;=9,"Large")</f>
        <v>Large</v>
      </c>
      <c r="K12452" s="36">
        <v>45500</v>
      </c>
      <c r="L12452" s="36">
        <v>45507</v>
      </c>
      <c r="M12452" t="s">
        <v>612</v>
      </c>
      <c r="N12452" t="s">
        <v>604</v>
      </c>
      <c r="O12452" s="37" t="str">
        <f t="shared" si="973"/>
        <v>Digital Payment</v>
      </c>
      <c r="P12452">
        <v>572.32000000000005</v>
      </c>
      <c r="Q12452" s="37" t="str">
        <f>IF(P12452&gt;500,"High","low")</f>
        <v>High</v>
      </c>
      <c r="R12452" s="37" t="str">
        <f t="shared" si="974"/>
        <v>Good</v>
      </c>
      <c r="S12452" t="s">
        <v>605</v>
      </c>
    </row>
    <row r="12453" spans="1:19" x14ac:dyDescent="0.2">
      <c r="A12453" t="s">
        <v>13064</v>
      </c>
      <c r="B12453" t="s">
        <v>75</v>
      </c>
      <c r="C12453" t="s">
        <v>602</v>
      </c>
      <c r="D12453">
        <v>213.04</v>
      </c>
      <c r="E12453" s="37" t="str">
        <f t="shared" si="970"/>
        <v xml:space="preserve"> </v>
      </c>
      <c r="F12453">
        <v>0.02</v>
      </c>
      <c r="G12453" s="37" t="str">
        <f t="shared" si="971"/>
        <v>Normal Discount</v>
      </c>
      <c r="H12453" s="37" t="str">
        <f t="shared" si="972"/>
        <v>Low</v>
      </c>
      <c r="I12453">
        <v>3</v>
      </c>
      <c r="J12453" t="str" cm="1">
        <f t="array" ref="J12453">_xlfn.IFS(I12453&lt;=3,"small",I12453&lt;=6,"Medium",I12453&lt;=9,"Large")</f>
        <v>small</v>
      </c>
      <c r="K12453" s="36">
        <v>45144</v>
      </c>
      <c r="L12453" s="36">
        <v>45148</v>
      </c>
      <c r="M12453" t="s">
        <v>612</v>
      </c>
      <c r="N12453" t="s">
        <v>604</v>
      </c>
      <c r="O12453" s="37" t="str">
        <f t="shared" si="973"/>
        <v>Digital Payment</v>
      </c>
      <c r="P12453">
        <v>23.32</v>
      </c>
      <c r="Q12453" s="37" t="str">
        <f>IF(P12453&gt;500,"High","low")</f>
        <v>low</v>
      </c>
      <c r="R12453" s="37" t="str">
        <f t="shared" si="974"/>
        <v>AVERAGE</v>
      </c>
      <c r="S12453" t="s">
        <v>628</v>
      </c>
    </row>
    <row r="12454" spans="1:19" x14ac:dyDescent="0.2">
      <c r="A12454" t="s">
        <v>13065</v>
      </c>
      <c r="B12454" t="s">
        <v>83</v>
      </c>
      <c r="C12454" t="s">
        <v>602</v>
      </c>
      <c r="D12454">
        <v>3397.4</v>
      </c>
      <c r="E12454" s="37" t="str">
        <f t="shared" si="970"/>
        <v xml:space="preserve"> </v>
      </c>
      <c r="F12454">
        <v>0.35</v>
      </c>
      <c r="G12454" s="37" t="str">
        <f t="shared" si="971"/>
        <v>Heavy Discount</v>
      </c>
      <c r="H12454" s="37" t="str">
        <f t="shared" si="972"/>
        <v>Medium</v>
      </c>
      <c r="I12454">
        <v>3</v>
      </c>
      <c r="J12454" t="str" cm="1">
        <f t="array" ref="J12454">_xlfn.IFS(I12454&lt;=3,"small",I12454&lt;=6,"Medium",I12454&lt;=9,"Large")</f>
        <v>small</v>
      </c>
      <c r="K12454" s="36">
        <v>45280</v>
      </c>
      <c r="L12454" s="36">
        <v>45287</v>
      </c>
      <c r="M12454" t="s">
        <v>603</v>
      </c>
      <c r="N12454" t="s">
        <v>608</v>
      </c>
      <c r="O12454" s="37" t="str">
        <f t="shared" si="973"/>
        <v>Cash Payment</v>
      </c>
      <c r="P12454">
        <v>846.44</v>
      </c>
      <c r="Q12454" s="37" t="str">
        <f>IF(P12454&gt;500,"High","low")</f>
        <v>High</v>
      </c>
      <c r="R12454" s="37" t="str">
        <f t="shared" si="974"/>
        <v>Good</v>
      </c>
      <c r="S12454" t="s">
        <v>600</v>
      </c>
    </row>
    <row r="12455" spans="1:19" x14ac:dyDescent="0.2">
      <c r="A12455" t="s">
        <v>13066</v>
      </c>
      <c r="B12455" t="s">
        <v>83</v>
      </c>
      <c r="C12455" t="s">
        <v>617</v>
      </c>
      <c r="D12455">
        <v>2801.98</v>
      </c>
      <c r="E12455" s="37" t="str">
        <f t="shared" si="970"/>
        <v xml:space="preserve"> </v>
      </c>
      <c r="F12455">
        <v>0.04</v>
      </c>
      <c r="G12455" s="37" t="str">
        <f t="shared" si="971"/>
        <v>Normal Discount</v>
      </c>
      <c r="H12455" s="37" t="str">
        <f t="shared" si="972"/>
        <v>Low</v>
      </c>
      <c r="I12455">
        <v>6</v>
      </c>
      <c r="J12455" t="str" cm="1">
        <f t="array" ref="J12455">_xlfn.IFS(I12455&lt;=3,"small",I12455&lt;=6,"Medium",I12455&lt;=9,"Large")</f>
        <v>Medium</v>
      </c>
      <c r="K12455" s="36">
        <v>45641</v>
      </c>
      <c r="L12455" s="36">
        <v>45642</v>
      </c>
      <c r="M12455" t="s">
        <v>603</v>
      </c>
      <c r="N12455" t="s">
        <v>608</v>
      </c>
      <c r="O12455" s="37" t="str">
        <f t="shared" si="973"/>
        <v>Cash Payment</v>
      </c>
      <c r="P12455">
        <v>404.47</v>
      </c>
      <c r="Q12455" s="37" t="str">
        <f>IF(P12455&gt;500,"High","low")</f>
        <v>low</v>
      </c>
      <c r="R12455" s="37" t="str">
        <f t="shared" si="974"/>
        <v>AVERAGE</v>
      </c>
      <c r="S12455" t="s">
        <v>605</v>
      </c>
    </row>
    <row r="12456" spans="1:19" x14ac:dyDescent="0.2">
      <c r="A12456" t="s">
        <v>13067</v>
      </c>
      <c r="B12456" t="s">
        <v>67</v>
      </c>
      <c r="C12456" t="s">
        <v>617</v>
      </c>
      <c r="D12456">
        <v>4758.92</v>
      </c>
      <c r="E12456" s="37" t="str">
        <f t="shared" si="970"/>
        <v>Excellent Order</v>
      </c>
      <c r="F12456">
        <v>0.23</v>
      </c>
      <c r="G12456" s="37" t="str">
        <f t="shared" si="971"/>
        <v>Normal Discount</v>
      </c>
      <c r="H12456" s="37" t="str">
        <f t="shared" si="972"/>
        <v>Medium</v>
      </c>
      <c r="I12456">
        <v>1</v>
      </c>
      <c r="J12456" t="str" cm="1">
        <f t="array" ref="J12456">_xlfn.IFS(I12456&lt;=3,"small",I12456&lt;=6,"Medium",I12456&lt;=9,"Large")</f>
        <v>small</v>
      </c>
      <c r="K12456" s="36">
        <v>45254</v>
      </c>
      <c r="L12456" s="36">
        <v>45258</v>
      </c>
      <c r="M12456" t="s">
        <v>603</v>
      </c>
      <c r="N12456" t="s">
        <v>608</v>
      </c>
      <c r="O12456" s="37" t="str">
        <f t="shared" si="973"/>
        <v>Cash Payment</v>
      </c>
      <c r="P12456">
        <v>822.86</v>
      </c>
      <c r="Q12456" s="37" t="str">
        <f>IF(P12456&gt;500,"High","low")</f>
        <v>High</v>
      </c>
      <c r="R12456" s="37" t="str">
        <f t="shared" si="974"/>
        <v>Good</v>
      </c>
      <c r="S12456" t="s">
        <v>615</v>
      </c>
    </row>
    <row r="12457" spans="1:19" x14ac:dyDescent="0.2">
      <c r="A12457" t="s">
        <v>13068</v>
      </c>
      <c r="B12457" t="s">
        <v>83</v>
      </c>
      <c r="C12457" t="s">
        <v>617</v>
      </c>
      <c r="D12457">
        <v>1367.62</v>
      </c>
      <c r="E12457" s="37" t="str">
        <f t="shared" si="970"/>
        <v xml:space="preserve"> </v>
      </c>
      <c r="F12457">
        <v>0.45</v>
      </c>
      <c r="G12457" s="37" t="str">
        <f t="shared" si="971"/>
        <v>Heavy Discount</v>
      </c>
      <c r="H12457" s="37" t="str">
        <f t="shared" si="972"/>
        <v>High</v>
      </c>
      <c r="I12457">
        <v>3</v>
      </c>
      <c r="J12457" t="str" cm="1">
        <f t="array" ref="J12457">_xlfn.IFS(I12457&lt;=3,"small",I12457&lt;=6,"Medium",I12457&lt;=9,"Large")</f>
        <v>small</v>
      </c>
      <c r="K12457" s="36">
        <v>45062</v>
      </c>
      <c r="L12457" s="36">
        <v>45068</v>
      </c>
      <c r="M12457" t="s">
        <v>598</v>
      </c>
      <c r="N12457" t="s">
        <v>608</v>
      </c>
      <c r="O12457" s="37" t="str">
        <f t="shared" si="973"/>
        <v>Cash Payment</v>
      </c>
      <c r="P12457">
        <v>199.95</v>
      </c>
      <c r="Q12457" s="37" t="str">
        <f>IF(P12457&gt;500,"High","low")</f>
        <v>low</v>
      </c>
      <c r="R12457" s="37" t="str">
        <f t="shared" si="974"/>
        <v>AVERAGE</v>
      </c>
      <c r="S12457" t="s">
        <v>620</v>
      </c>
    </row>
    <row r="12458" spans="1:19" x14ac:dyDescent="0.2">
      <c r="A12458" t="s">
        <v>13069</v>
      </c>
      <c r="B12458" t="s">
        <v>83</v>
      </c>
      <c r="C12458" t="s">
        <v>607</v>
      </c>
      <c r="D12458">
        <v>4308.57</v>
      </c>
      <c r="E12458" s="37" t="str">
        <f t="shared" si="970"/>
        <v>Excellent Order</v>
      </c>
      <c r="F12458">
        <v>0.3</v>
      </c>
      <c r="G12458" s="37" t="str">
        <f t="shared" si="971"/>
        <v>Normal Discount</v>
      </c>
      <c r="H12458" s="37" t="str">
        <f t="shared" si="972"/>
        <v>Medium</v>
      </c>
      <c r="I12458">
        <v>8</v>
      </c>
      <c r="J12458" t="str" cm="1">
        <f t="array" ref="J12458">_xlfn.IFS(I12458&lt;=3,"small",I12458&lt;=6,"Medium",I12458&lt;=9,"Large")</f>
        <v>Large</v>
      </c>
      <c r="K12458" s="36">
        <v>44995</v>
      </c>
      <c r="L12458" s="36">
        <v>45001</v>
      </c>
      <c r="M12458" t="s">
        <v>612</v>
      </c>
      <c r="N12458" t="s">
        <v>599</v>
      </c>
      <c r="O12458" s="37" t="str">
        <f t="shared" si="973"/>
        <v>Digital Payment</v>
      </c>
      <c r="P12458">
        <v>1193.31</v>
      </c>
      <c r="Q12458" s="37" t="str">
        <f>IF(P12458&gt;500,"High","low")</f>
        <v>High</v>
      </c>
      <c r="R12458" s="37" t="str">
        <f t="shared" si="974"/>
        <v>Excellent</v>
      </c>
      <c r="S12458" t="s">
        <v>609</v>
      </c>
    </row>
    <row r="12459" spans="1:19" x14ac:dyDescent="0.2">
      <c r="A12459" t="s">
        <v>13070</v>
      </c>
      <c r="B12459" t="s">
        <v>67</v>
      </c>
      <c r="C12459" t="s">
        <v>614</v>
      </c>
      <c r="D12459">
        <v>1614.03</v>
      </c>
      <c r="E12459" s="37" t="str">
        <f t="shared" si="970"/>
        <v xml:space="preserve"> </v>
      </c>
      <c r="F12459">
        <v>0.1</v>
      </c>
      <c r="G12459" s="37" t="str">
        <f t="shared" si="971"/>
        <v>Normal Discount</v>
      </c>
      <c r="H12459" s="37" t="str">
        <f t="shared" si="972"/>
        <v>Low</v>
      </c>
      <c r="I12459">
        <v>3</v>
      </c>
      <c r="J12459" t="str" cm="1">
        <f t="array" ref="J12459">_xlfn.IFS(I12459&lt;=3,"small",I12459&lt;=6,"Medium",I12459&lt;=9,"Large")</f>
        <v>small</v>
      </c>
      <c r="K12459" s="36">
        <v>45035</v>
      </c>
      <c r="L12459" s="36">
        <v>45036</v>
      </c>
      <c r="M12459" t="s">
        <v>612</v>
      </c>
      <c r="N12459" t="s">
        <v>604</v>
      </c>
      <c r="O12459" s="37" t="str">
        <f t="shared" si="973"/>
        <v>Digital Payment</v>
      </c>
      <c r="P12459">
        <v>252</v>
      </c>
      <c r="Q12459" s="37" t="str">
        <f>IF(P12459&gt;500,"High","low")</f>
        <v>low</v>
      </c>
      <c r="R12459" s="37" t="str">
        <f t="shared" si="974"/>
        <v>AVERAGE</v>
      </c>
      <c r="S12459" t="s">
        <v>628</v>
      </c>
    </row>
    <row r="12460" spans="1:19" x14ac:dyDescent="0.2">
      <c r="A12460" t="s">
        <v>13071</v>
      </c>
      <c r="B12460" t="s">
        <v>67</v>
      </c>
      <c r="C12460" t="s">
        <v>617</v>
      </c>
      <c r="D12460">
        <v>2206.33</v>
      </c>
      <c r="E12460" s="37" t="str">
        <f t="shared" si="970"/>
        <v xml:space="preserve"> </v>
      </c>
      <c r="F12460">
        <v>0.4</v>
      </c>
      <c r="G12460" s="37" t="str">
        <f t="shared" si="971"/>
        <v>Heavy Discount</v>
      </c>
      <c r="H12460" s="37" t="str">
        <f t="shared" si="972"/>
        <v>Medium</v>
      </c>
      <c r="I12460">
        <v>1</v>
      </c>
      <c r="J12460" t="str" cm="1">
        <f t="array" ref="J12460">_xlfn.IFS(I12460&lt;=3,"small",I12460&lt;=6,"Medium",I12460&lt;=9,"Large")</f>
        <v>small</v>
      </c>
      <c r="K12460" s="36">
        <v>45481</v>
      </c>
      <c r="L12460" s="36">
        <v>45484</v>
      </c>
      <c r="M12460" t="s">
        <v>603</v>
      </c>
      <c r="N12460" t="s">
        <v>604</v>
      </c>
      <c r="O12460" s="37" t="str">
        <f t="shared" si="973"/>
        <v>Digital Payment</v>
      </c>
      <c r="P12460">
        <v>315.54000000000002</v>
      </c>
      <c r="Q12460" s="37" t="str">
        <f>IF(P12460&gt;500,"High","low")</f>
        <v>low</v>
      </c>
      <c r="R12460" s="37" t="str">
        <f t="shared" si="974"/>
        <v>AVERAGE</v>
      </c>
      <c r="S12460" t="s">
        <v>609</v>
      </c>
    </row>
    <row r="12461" spans="1:19" x14ac:dyDescent="0.2">
      <c r="A12461" t="s">
        <v>13072</v>
      </c>
      <c r="B12461" t="s">
        <v>75</v>
      </c>
      <c r="C12461" t="s">
        <v>597</v>
      </c>
      <c r="D12461">
        <v>1145.1099999999999</v>
      </c>
      <c r="E12461" s="37" t="str">
        <f t="shared" si="970"/>
        <v xml:space="preserve"> </v>
      </c>
      <c r="F12461">
        <v>0.15</v>
      </c>
      <c r="G12461" s="37" t="str">
        <f t="shared" si="971"/>
        <v>Normal Discount</v>
      </c>
      <c r="H12461" s="37" t="str">
        <f t="shared" si="972"/>
        <v>Low</v>
      </c>
      <c r="I12461">
        <v>9</v>
      </c>
      <c r="J12461" t="str" cm="1">
        <f t="array" ref="J12461">_xlfn.IFS(I12461&lt;=3,"small",I12461&lt;=6,"Medium",I12461&lt;=9,"Large")</f>
        <v>Large</v>
      </c>
      <c r="K12461" s="36">
        <v>45347</v>
      </c>
      <c r="L12461" s="36">
        <v>45350</v>
      </c>
      <c r="M12461" t="s">
        <v>598</v>
      </c>
      <c r="N12461" t="s">
        <v>608</v>
      </c>
      <c r="O12461" s="37" t="str">
        <f t="shared" si="973"/>
        <v>Cash Payment</v>
      </c>
      <c r="P12461">
        <v>118.56</v>
      </c>
      <c r="Q12461" s="37" t="str">
        <f>IF(P12461&gt;500,"High","low")</f>
        <v>low</v>
      </c>
      <c r="R12461" s="37" t="str">
        <f t="shared" si="974"/>
        <v>AVERAGE</v>
      </c>
      <c r="S12461" t="s">
        <v>609</v>
      </c>
    </row>
    <row r="12462" spans="1:19" x14ac:dyDescent="0.2">
      <c r="A12462" t="s">
        <v>13073</v>
      </c>
      <c r="B12462" t="s">
        <v>90</v>
      </c>
      <c r="C12462" t="s">
        <v>617</v>
      </c>
      <c r="D12462">
        <v>4331.6000000000004</v>
      </c>
      <c r="E12462" s="37" t="str">
        <f t="shared" si="970"/>
        <v xml:space="preserve"> </v>
      </c>
      <c r="F12462">
        <v>0.28999999999999998</v>
      </c>
      <c r="G12462" s="37" t="str">
        <f t="shared" si="971"/>
        <v>Normal Discount</v>
      </c>
      <c r="H12462" s="37" t="str">
        <f t="shared" si="972"/>
        <v>Medium</v>
      </c>
      <c r="I12462">
        <v>2</v>
      </c>
      <c r="J12462" t="str" cm="1">
        <f t="array" ref="J12462">_xlfn.IFS(I12462&lt;=3,"small",I12462&lt;=6,"Medium",I12462&lt;=9,"Large")</f>
        <v>small</v>
      </c>
      <c r="K12462" s="36">
        <v>45524</v>
      </c>
      <c r="L12462" s="36">
        <v>45531</v>
      </c>
      <c r="M12462" t="s">
        <v>612</v>
      </c>
      <c r="N12462" t="s">
        <v>608</v>
      </c>
      <c r="O12462" s="37" t="str">
        <f t="shared" si="973"/>
        <v>Cash Payment</v>
      </c>
      <c r="P12462">
        <v>696.56</v>
      </c>
      <c r="Q12462" s="37" t="str">
        <f>IF(P12462&gt;500,"High","low")</f>
        <v>High</v>
      </c>
      <c r="R12462" s="37" t="str">
        <f t="shared" si="974"/>
        <v>Good</v>
      </c>
      <c r="S12462" t="s">
        <v>609</v>
      </c>
    </row>
    <row r="12463" spans="1:19" x14ac:dyDescent="0.2">
      <c r="A12463" t="s">
        <v>13074</v>
      </c>
      <c r="B12463" t="s">
        <v>83</v>
      </c>
      <c r="C12463" t="s">
        <v>607</v>
      </c>
      <c r="D12463">
        <v>1057.51</v>
      </c>
      <c r="E12463" s="37" t="str">
        <f t="shared" si="970"/>
        <v xml:space="preserve"> </v>
      </c>
      <c r="F12463">
        <v>0.32</v>
      </c>
      <c r="G12463" s="37" t="str">
        <f t="shared" si="971"/>
        <v>Heavy Discount</v>
      </c>
      <c r="H12463" s="37" t="str">
        <f t="shared" si="972"/>
        <v>Medium</v>
      </c>
      <c r="I12463">
        <v>7</v>
      </c>
      <c r="J12463" t="str" cm="1">
        <f t="array" ref="J12463">_xlfn.IFS(I12463&lt;=3,"small",I12463&lt;=6,"Medium",I12463&lt;=9,"Large")</f>
        <v>Large</v>
      </c>
      <c r="K12463" s="36">
        <v>45367</v>
      </c>
      <c r="L12463" s="36">
        <v>45370</v>
      </c>
      <c r="M12463" t="s">
        <v>603</v>
      </c>
      <c r="N12463" t="s">
        <v>604</v>
      </c>
      <c r="O12463" s="37" t="str">
        <f t="shared" si="973"/>
        <v>Digital Payment</v>
      </c>
      <c r="P12463">
        <v>184.13</v>
      </c>
      <c r="Q12463" s="37" t="str">
        <f>IF(P12463&gt;500,"High","low")</f>
        <v>low</v>
      </c>
      <c r="R12463" s="37" t="str">
        <f t="shared" si="974"/>
        <v>AVERAGE</v>
      </c>
      <c r="S12463" t="s">
        <v>620</v>
      </c>
    </row>
    <row r="12464" spans="1:19" x14ac:dyDescent="0.2">
      <c r="A12464" t="s">
        <v>13075</v>
      </c>
      <c r="B12464" t="s">
        <v>67</v>
      </c>
      <c r="C12464" t="s">
        <v>614</v>
      </c>
      <c r="D12464">
        <v>4309.16</v>
      </c>
      <c r="E12464" s="37" t="str">
        <f t="shared" si="970"/>
        <v>Excellent Order</v>
      </c>
      <c r="F12464">
        <v>0.37</v>
      </c>
      <c r="G12464" s="37" t="str">
        <f t="shared" si="971"/>
        <v>Heavy Discount</v>
      </c>
      <c r="H12464" s="37" t="str">
        <f t="shared" si="972"/>
        <v>Medium</v>
      </c>
      <c r="I12464">
        <v>8</v>
      </c>
      <c r="J12464" t="str" cm="1">
        <f t="array" ref="J12464">_xlfn.IFS(I12464&lt;=3,"small",I12464&lt;=6,"Medium",I12464&lt;=9,"Large")</f>
        <v>Large</v>
      </c>
      <c r="K12464" s="36">
        <v>45207</v>
      </c>
      <c r="L12464" s="36">
        <v>45210</v>
      </c>
      <c r="M12464" t="s">
        <v>598</v>
      </c>
      <c r="N12464" t="s">
        <v>604</v>
      </c>
      <c r="O12464" s="37" t="str">
        <f t="shared" si="973"/>
        <v>Digital Payment</v>
      </c>
      <c r="P12464">
        <v>930.25</v>
      </c>
      <c r="Q12464" s="37" t="str">
        <f>IF(P12464&gt;500,"High","low")</f>
        <v>High</v>
      </c>
      <c r="R12464" s="37" t="str">
        <f t="shared" si="974"/>
        <v>Good</v>
      </c>
      <c r="S12464" t="s">
        <v>609</v>
      </c>
    </row>
    <row r="12465" spans="1:19" x14ac:dyDescent="0.2">
      <c r="A12465" t="s">
        <v>13076</v>
      </c>
      <c r="B12465" t="s">
        <v>75</v>
      </c>
      <c r="C12465" t="s">
        <v>617</v>
      </c>
      <c r="D12465">
        <v>2332.5100000000002</v>
      </c>
      <c r="E12465" s="37" t="str">
        <f t="shared" si="970"/>
        <v xml:space="preserve"> </v>
      </c>
      <c r="F12465">
        <v>0.03</v>
      </c>
      <c r="G12465" s="37" t="str">
        <f t="shared" si="971"/>
        <v>Normal Discount</v>
      </c>
      <c r="H12465" s="37" t="str">
        <f t="shared" si="972"/>
        <v>Low</v>
      </c>
      <c r="I12465">
        <v>3</v>
      </c>
      <c r="J12465" t="str" cm="1">
        <f t="array" ref="J12465">_xlfn.IFS(I12465&lt;=3,"small",I12465&lt;=6,"Medium",I12465&lt;=9,"Large")</f>
        <v>small</v>
      </c>
      <c r="K12465" s="36">
        <v>45442</v>
      </c>
      <c r="L12465" s="36">
        <v>45445</v>
      </c>
      <c r="M12465" t="s">
        <v>612</v>
      </c>
      <c r="N12465" t="s">
        <v>604</v>
      </c>
      <c r="O12465" s="37" t="str">
        <f t="shared" si="973"/>
        <v>Digital Payment</v>
      </c>
      <c r="P12465">
        <v>542.25</v>
      </c>
      <c r="Q12465" s="37" t="str">
        <f>IF(P12465&gt;500,"High","low")</f>
        <v>High</v>
      </c>
      <c r="R12465" s="37" t="str">
        <f t="shared" si="974"/>
        <v>Good</v>
      </c>
      <c r="S12465" t="s">
        <v>620</v>
      </c>
    </row>
    <row r="12466" spans="1:19" x14ac:dyDescent="0.2">
      <c r="A12466" t="s">
        <v>13077</v>
      </c>
      <c r="B12466" t="s">
        <v>90</v>
      </c>
      <c r="C12466" t="s">
        <v>614</v>
      </c>
      <c r="D12466">
        <v>4191.92</v>
      </c>
      <c r="E12466" s="37" t="str">
        <f t="shared" si="970"/>
        <v xml:space="preserve"> </v>
      </c>
      <c r="F12466">
        <v>0.43</v>
      </c>
      <c r="G12466" s="37" t="str">
        <f t="shared" si="971"/>
        <v>Heavy Discount</v>
      </c>
      <c r="H12466" s="37" t="str">
        <f t="shared" si="972"/>
        <v>High</v>
      </c>
      <c r="I12466">
        <v>7</v>
      </c>
      <c r="J12466" t="str" cm="1">
        <f t="array" ref="J12466">_xlfn.IFS(I12466&lt;=3,"small",I12466&lt;=6,"Medium",I12466&lt;=9,"Large")</f>
        <v>Large</v>
      </c>
      <c r="K12466" s="36">
        <v>45475</v>
      </c>
      <c r="L12466" s="36">
        <v>45479</v>
      </c>
      <c r="M12466" t="s">
        <v>603</v>
      </c>
      <c r="N12466" t="s">
        <v>608</v>
      </c>
      <c r="O12466" s="37" t="str">
        <f t="shared" si="973"/>
        <v>Cash Payment</v>
      </c>
      <c r="P12466">
        <v>456.4</v>
      </c>
      <c r="Q12466" s="37" t="str">
        <f>IF(P12466&gt;500,"High","low")</f>
        <v>low</v>
      </c>
      <c r="R12466" s="37" t="str">
        <f t="shared" si="974"/>
        <v>AVERAGE</v>
      </c>
      <c r="S12466" t="s">
        <v>600</v>
      </c>
    </row>
    <row r="12467" spans="1:19" x14ac:dyDescent="0.2">
      <c r="A12467" t="s">
        <v>13078</v>
      </c>
      <c r="B12467" t="s">
        <v>67</v>
      </c>
      <c r="C12467" t="s">
        <v>597</v>
      </c>
      <c r="D12467">
        <v>1395.99</v>
      </c>
      <c r="E12467" s="37" t="str">
        <f t="shared" si="970"/>
        <v xml:space="preserve"> </v>
      </c>
      <c r="F12467">
        <v>0.06</v>
      </c>
      <c r="G12467" s="37" t="str">
        <f t="shared" si="971"/>
        <v>Normal Discount</v>
      </c>
      <c r="H12467" s="37" t="str">
        <f t="shared" si="972"/>
        <v>Low</v>
      </c>
      <c r="I12467">
        <v>4</v>
      </c>
      <c r="J12467" t="str" cm="1">
        <f t="array" ref="J12467">_xlfn.IFS(I12467&lt;=3,"small",I12467&lt;=6,"Medium",I12467&lt;=9,"Large")</f>
        <v>Medium</v>
      </c>
      <c r="K12467" s="36">
        <v>45062</v>
      </c>
      <c r="L12467" s="36">
        <v>45069</v>
      </c>
      <c r="M12467" t="s">
        <v>598</v>
      </c>
      <c r="N12467" t="s">
        <v>608</v>
      </c>
      <c r="O12467" s="37" t="str">
        <f t="shared" si="973"/>
        <v>Cash Payment</v>
      </c>
      <c r="P12467">
        <v>399.21</v>
      </c>
      <c r="Q12467" s="37" t="str">
        <f>IF(P12467&gt;500,"High","low")</f>
        <v>low</v>
      </c>
      <c r="R12467" s="37" t="str">
        <f t="shared" si="974"/>
        <v>AVERAGE</v>
      </c>
      <c r="S12467" t="s">
        <v>600</v>
      </c>
    </row>
    <row r="12468" spans="1:19" x14ac:dyDescent="0.2">
      <c r="A12468" t="s">
        <v>13079</v>
      </c>
      <c r="B12468" t="s">
        <v>90</v>
      </c>
      <c r="C12468" t="s">
        <v>602</v>
      </c>
      <c r="D12468">
        <v>750.38</v>
      </c>
      <c r="E12468" s="37" t="str">
        <f t="shared" si="970"/>
        <v xml:space="preserve"> </v>
      </c>
      <c r="F12468">
        <v>0.05</v>
      </c>
      <c r="G12468" s="37" t="str">
        <f t="shared" si="971"/>
        <v>Normal Discount</v>
      </c>
      <c r="H12468" s="37" t="str">
        <f t="shared" si="972"/>
        <v>Low</v>
      </c>
      <c r="I12468">
        <v>2</v>
      </c>
      <c r="J12468" t="str" cm="1">
        <f t="array" ref="J12468">_xlfn.IFS(I12468&lt;=3,"small",I12468&lt;=6,"Medium",I12468&lt;=9,"Large")</f>
        <v>small</v>
      </c>
      <c r="K12468" s="36">
        <v>45404</v>
      </c>
      <c r="L12468" s="36">
        <v>45408</v>
      </c>
      <c r="M12468" t="s">
        <v>603</v>
      </c>
      <c r="N12468" t="s">
        <v>599</v>
      </c>
      <c r="O12468" s="37" t="str">
        <f t="shared" si="973"/>
        <v>Digital Payment</v>
      </c>
      <c r="P12468">
        <v>156.06</v>
      </c>
      <c r="Q12468" s="37" t="str">
        <f>IF(P12468&gt;500,"High","low")</f>
        <v>low</v>
      </c>
      <c r="R12468" s="37" t="str">
        <f t="shared" si="974"/>
        <v>AVERAGE</v>
      </c>
      <c r="S12468" t="s">
        <v>615</v>
      </c>
    </row>
    <row r="12469" spans="1:19" x14ac:dyDescent="0.2">
      <c r="A12469" t="s">
        <v>13080</v>
      </c>
      <c r="B12469" t="s">
        <v>90</v>
      </c>
      <c r="C12469" t="s">
        <v>614</v>
      </c>
      <c r="D12469">
        <v>2819.31</v>
      </c>
      <c r="E12469" s="37" t="str">
        <f t="shared" si="970"/>
        <v xml:space="preserve"> </v>
      </c>
      <c r="F12469">
        <v>0.23</v>
      </c>
      <c r="G12469" s="37" t="str">
        <f t="shared" si="971"/>
        <v>Normal Discount</v>
      </c>
      <c r="H12469" s="37" t="str">
        <f t="shared" si="972"/>
        <v>Medium</v>
      </c>
      <c r="I12469">
        <v>4</v>
      </c>
      <c r="J12469" t="str" cm="1">
        <f t="array" ref="J12469">_xlfn.IFS(I12469&lt;=3,"small",I12469&lt;=6,"Medium",I12469&lt;=9,"Large")</f>
        <v>Medium</v>
      </c>
      <c r="K12469" s="36">
        <v>44935</v>
      </c>
      <c r="L12469" s="36">
        <v>44940</v>
      </c>
      <c r="M12469" t="s">
        <v>603</v>
      </c>
      <c r="N12469" t="s">
        <v>599</v>
      </c>
      <c r="O12469" s="37" t="str">
        <f t="shared" si="973"/>
        <v>Digital Payment</v>
      </c>
      <c r="P12469">
        <v>213.09</v>
      </c>
      <c r="Q12469" s="37" t="str">
        <f>IF(P12469&gt;500,"High","low")</f>
        <v>low</v>
      </c>
      <c r="R12469" s="37" t="str">
        <f t="shared" si="974"/>
        <v>AVERAGE</v>
      </c>
      <c r="S12469" t="s">
        <v>605</v>
      </c>
    </row>
    <row r="12470" spans="1:19" x14ac:dyDescent="0.2">
      <c r="A12470" t="s">
        <v>13081</v>
      </c>
      <c r="B12470" t="s">
        <v>83</v>
      </c>
      <c r="C12470" t="s">
        <v>617</v>
      </c>
      <c r="D12470">
        <v>2596.2399999999998</v>
      </c>
      <c r="E12470" s="37" t="str">
        <f t="shared" si="970"/>
        <v xml:space="preserve"> </v>
      </c>
      <c r="F12470">
        <v>0.19</v>
      </c>
      <c r="G12470" s="37" t="str">
        <f t="shared" si="971"/>
        <v>Normal Discount</v>
      </c>
      <c r="H12470" s="37" t="str">
        <f t="shared" si="972"/>
        <v>Low</v>
      </c>
      <c r="I12470">
        <v>8</v>
      </c>
      <c r="J12470" t="str" cm="1">
        <f t="array" ref="J12470">_xlfn.IFS(I12470&lt;=3,"small",I12470&lt;=6,"Medium",I12470&lt;=9,"Large")</f>
        <v>Large</v>
      </c>
      <c r="K12470" s="36">
        <v>45517</v>
      </c>
      <c r="L12470" s="36">
        <v>45523</v>
      </c>
      <c r="M12470" t="s">
        <v>612</v>
      </c>
      <c r="N12470" t="s">
        <v>599</v>
      </c>
      <c r="O12470" s="37" t="str">
        <f t="shared" si="973"/>
        <v>Digital Payment</v>
      </c>
      <c r="P12470">
        <v>626.14</v>
      </c>
      <c r="Q12470" s="37" t="str">
        <f>IF(P12470&gt;500,"High","low")</f>
        <v>High</v>
      </c>
      <c r="R12470" s="37" t="str">
        <f t="shared" si="974"/>
        <v>Good</v>
      </c>
      <c r="S12470" t="s">
        <v>628</v>
      </c>
    </row>
    <row r="12471" spans="1:19" x14ac:dyDescent="0.2">
      <c r="A12471" t="s">
        <v>13082</v>
      </c>
      <c r="B12471" t="s">
        <v>83</v>
      </c>
      <c r="C12471" t="s">
        <v>607</v>
      </c>
      <c r="D12471">
        <v>1847.38</v>
      </c>
      <c r="E12471" s="37" t="str">
        <f t="shared" si="970"/>
        <v xml:space="preserve"> </v>
      </c>
      <c r="F12471">
        <v>0.03</v>
      </c>
      <c r="G12471" s="37" t="str">
        <f t="shared" si="971"/>
        <v>Normal Discount</v>
      </c>
      <c r="H12471" s="37" t="str">
        <f t="shared" si="972"/>
        <v>Low</v>
      </c>
      <c r="I12471">
        <v>2</v>
      </c>
      <c r="J12471" t="str" cm="1">
        <f t="array" ref="J12471">_xlfn.IFS(I12471&lt;=3,"small",I12471&lt;=6,"Medium",I12471&lt;=9,"Large")</f>
        <v>small</v>
      </c>
      <c r="K12471" s="36">
        <v>45169</v>
      </c>
      <c r="L12471" s="36">
        <v>45172</v>
      </c>
      <c r="M12471" t="s">
        <v>603</v>
      </c>
      <c r="N12471" t="s">
        <v>599</v>
      </c>
      <c r="O12471" s="37" t="str">
        <f t="shared" si="973"/>
        <v>Digital Payment</v>
      </c>
      <c r="P12471">
        <v>416.12</v>
      </c>
      <c r="Q12471" s="37" t="str">
        <f>IF(P12471&gt;500,"High","low")</f>
        <v>low</v>
      </c>
      <c r="R12471" s="37" t="str">
        <f t="shared" si="974"/>
        <v>AVERAGE</v>
      </c>
      <c r="S12471" t="s">
        <v>615</v>
      </c>
    </row>
    <row r="12472" spans="1:19" x14ac:dyDescent="0.2">
      <c r="A12472" t="s">
        <v>13083</v>
      </c>
      <c r="B12472" t="s">
        <v>67</v>
      </c>
      <c r="C12472" t="s">
        <v>607</v>
      </c>
      <c r="D12472">
        <v>3347.82</v>
      </c>
      <c r="E12472" s="37" t="str">
        <f t="shared" si="970"/>
        <v xml:space="preserve"> </v>
      </c>
      <c r="F12472">
        <v>0.08</v>
      </c>
      <c r="G12472" s="37" t="str">
        <f t="shared" si="971"/>
        <v>Normal Discount</v>
      </c>
      <c r="H12472" s="37" t="str">
        <f t="shared" si="972"/>
        <v>Low</v>
      </c>
      <c r="I12472">
        <v>6</v>
      </c>
      <c r="J12472" t="str" cm="1">
        <f t="array" ref="J12472">_xlfn.IFS(I12472&lt;=3,"small",I12472&lt;=6,"Medium",I12472&lt;=9,"Large")</f>
        <v>Medium</v>
      </c>
      <c r="K12472" s="36">
        <v>45290</v>
      </c>
      <c r="L12472" s="36">
        <v>45292</v>
      </c>
      <c r="M12472" t="s">
        <v>612</v>
      </c>
      <c r="N12472" t="s">
        <v>604</v>
      </c>
      <c r="O12472" s="37" t="str">
        <f t="shared" si="973"/>
        <v>Digital Payment</v>
      </c>
      <c r="P12472">
        <v>747.08</v>
      </c>
      <c r="Q12472" s="37" t="str">
        <f>IF(P12472&gt;500,"High","low")</f>
        <v>High</v>
      </c>
      <c r="R12472" s="37" t="str">
        <f t="shared" si="974"/>
        <v>Good</v>
      </c>
      <c r="S12472" t="s">
        <v>628</v>
      </c>
    </row>
    <row r="12473" spans="1:19" x14ac:dyDescent="0.2">
      <c r="A12473" t="s">
        <v>13084</v>
      </c>
      <c r="B12473" t="s">
        <v>90</v>
      </c>
      <c r="C12473" t="s">
        <v>607</v>
      </c>
      <c r="D12473">
        <v>566.20000000000005</v>
      </c>
      <c r="E12473" s="37" t="str">
        <f t="shared" si="970"/>
        <v xml:space="preserve"> </v>
      </c>
      <c r="F12473">
        <v>0.22</v>
      </c>
      <c r="G12473" s="37" t="str">
        <f t="shared" si="971"/>
        <v>Normal Discount</v>
      </c>
      <c r="H12473" s="37" t="str">
        <f t="shared" si="972"/>
        <v>Medium</v>
      </c>
      <c r="I12473">
        <v>3</v>
      </c>
      <c r="J12473" t="str" cm="1">
        <f t="array" ref="J12473">_xlfn.IFS(I12473&lt;=3,"small",I12473&lt;=6,"Medium",I12473&lt;=9,"Large")</f>
        <v>small</v>
      </c>
      <c r="K12473" s="36">
        <v>45378</v>
      </c>
      <c r="L12473" s="36">
        <v>45382</v>
      </c>
      <c r="M12473" t="s">
        <v>612</v>
      </c>
      <c r="N12473" t="s">
        <v>599</v>
      </c>
      <c r="O12473" s="37" t="str">
        <f t="shared" si="973"/>
        <v>Digital Payment</v>
      </c>
      <c r="P12473">
        <v>139.08000000000001</v>
      </c>
      <c r="Q12473" s="37" t="str">
        <f>IF(P12473&gt;500,"High","low")</f>
        <v>low</v>
      </c>
      <c r="R12473" s="37" t="str">
        <f t="shared" si="974"/>
        <v>AVERAGE</v>
      </c>
      <c r="S12473" t="s">
        <v>628</v>
      </c>
    </row>
    <row r="12474" spans="1:19" x14ac:dyDescent="0.2">
      <c r="A12474" t="s">
        <v>13085</v>
      </c>
      <c r="B12474" t="s">
        <v>67</v>
      </c>
      <c r="C12474" t="s">
        <v>607</v>
      </c>
      <c r="D12474">
        <v>3147.81</v>
      </c>
      <c r="E12474" s="37" t="str">
        <f t="shared" si="970"/>
        <v xml:space="preserve"> </v>
      </c>
      <c r="F12474">
        <v>0.41</v>
      </c>
      <c r="G12474" s="37" t="str">
        <f t="shared" si="971"/>
        <v>Heavy Discount</v>
      </c>
      <c r="H12474" s="37" t="str">
        <f t="shared" si="972"/>
        <v>High</v>
      </c>
      <c r="I12474">
        <v>3</v>
      </c>
      <c r="J12474" t="str" cm="1">
        <f t="array" ref="J12474">_xlfn.IFS(I12474&lt;=3,"small",I12474&lt;=6,"Medium",I12474&lt;=9,"Large")</f>
        <v>small</v>
      </c>
      <c r="K12474" s="36">
        <v>45431</v>
      </c>
      <c r="L12474" s="36">
        <v>45435</v>
      </c>
      <c r="M12474" t="s">
        <v>598</v>
      </c>
      <c r="N12474" t="s">
        <v>599</v>
      </c>
      <c r="O12474" s="37" t="str">
        <f t="shared" si="973"/>
        <v>Digital Payment</v>
      </c>
      <c r="P12474">
        <v>660.66</v>
      </c>
      <c r="Q12474" s="37" t="str">
        <f>IF(P12474&gt;500,"High","low")</f>
        <v>High</v>
      </c>
      <c r="R12474" s="37" t="str">
        <f t="shared" si="974"/>
        <v>Good</v>
      </c>
      <c r="S12474" t="s">
        <v>600</v>
      </c>
    </row>
    <row r="12475" spans="1:19" x14ac:dyDescent="0.2">
      <c r="A12475" t="s">
        <v>13086</v>
      </c>
      <c r="B12475" t="s">
        <v>67</v>
      </c>
      <c r="C12475" t="s">
        <v>614</v>
      </c>
      <c r="D12475">
        <v>1137.5999999999999</v>
      </c>
      <c r="E12475" s="37" t="str">
        <f t="shared" si="970"/>
        <v xml:space="preserve"> </v>
      </c>
      <c r="F12475">
        <v>0.06</v>
      </c>
      <c r="G12475" s="37" t="str">
        <f t="shared" si="971"/>
        <v>Normal Discount</v>
      </c>
      <c r="H12475" s="37" t="str">
        <f t="shared" si="972"/>
        <v>Low</v>
      </c>
      <c r="I12475">
        <v>6</v>
      </c>
      <c r="J12475" t="str" cm="1">
        <f t="array" ref="J12475">_xlfn.IFS(I12475&lt;=3,"small",I12475&lt;=6,"Medium",I12475&lt;=9,"Large")</f>
        <v>Medium</v>
      </c>
      <c r="K12475" s="36">
        <v>45610</v>
      </c>
      <c r="L12475" s="36">
        <v>45615</v>
      </c>
      <c r="M12475" t="s">
        <v>598</v>
      </c>
      <c r="N12475" t="s">
        <v>599</v>
      </c>
      <c r="O12475" s="37" t="str">
        <f t="shared" si="973"/>
        <v>Digital Payment</v>
      </c>
      <c r="P12475">
        <v>61.68</v>
      </c>
      <c r="Q12475" s="37" t="str">
        <f>IF(P12475&gt;500,"High","low")</f>
        <v>low</v>
      </c>
      <c r="R12475" s="37" t="str">
        <f t="shared" si="974"/>
        <v>AVERAGE</v>
      </c>
      <c r="S12475" t="s">
        <v>615</v>
      </c>
    </row>
    <row r="12476" spans="1:19" x14ac:dyDescent="0.2">
      <c r="A12476" t="s">
        <v>13087</v>
      </c>
      <c r="B12476" t="s">
        <v>90</v>
      </c>
      <c r="C12476" t="s">
        <v>607</v>
      </c>
      <c r="D12476">
        <v>731.88</v>
      </c>
      <c r="E12476" s="37" t="str">
        <f t="shared" si="970"/>
        <v xml:space="preserve"> </v>
      </c>
      <c r="F12476">
        <v>0.05</v>
      </c>
      <c r="G12476" s="37" t="str">
        <f t="shared" si="971"/>
        <v>Normal Discount</v>
      </c>
      <c r="H12476" s="37" t="str">
        <f t="shared" si="972"/>
        <v>Low</v>
      </c>
      <c r="I12476">
        <v>3</v>
      </c>
      <c r="J12476" t="str" cm="1">
        <f t="array" ref="J12476">_xlfn.IFS(I12476&lt;=3,"small",I12476&lt;=6,"Medium",I12476&lt;=9,"Large")</f>
        <v>small</v>
      </c>
      <c r="K12476" s="36">
        <v>44991</v>
      </c>
      <c r="L12476" s="36">
        <v>44995</v>
      </c>
      <c r="M12476" t="s">
        <v>598</v>
      </c>
      <c r="N12476" t="s">
        <v>599</v>
      </c>
      <c r="O12476" s="37" t="str">
        <f t="shared" si="973"/>
        <v>Digital Payment</v>
      </c>
      <c r="P12476">
        <v>157.22</v>
      </c>
      <c r="Q12476" s="37" t="str">
        <f>IF(P12476&gt;500,"High","low")</f>
        <v>low</v>
      </c>
      <c r="R12476" s="37" t="str">
        <f t="shared" si="974"/>
        <v>AVERAGE</v>
      </c>
      <c r="S12476" t="s">
        <v>620</v>
      </c>
    </row>
    <row r="12477" spans="1:19" x14ac:dyDescent="0.2">
      <c r="A12477" t="s">
        <v>13088</v>
      </c>
      <c r="B12477" t="s">
        <v>67</v>
      </c>
      <c r="C12477" t="s">
        <v>602</v>
      </c>
      <c r="D12477">
        <v>4557.08</v>
      </c>
      <c r="E12477" s="37" t="str">
        <f t="shared" si="970"/>
        <v>Excellent Order</v>
      </c>
      <c r="F12477">
        <v>0.4</v>
      </c>
      <c r="G12477" s="37" t="str">
        <f t="shared" si="971"/>
        <v>Heavy Discount</v>
      </c>
      <c r="H12477" s="37" t="str">
        <f t="shared" si="972"/>
        <v>Medium</v>
      </c>
      <c r="I12477">
        <v>2</v>
      </c>
      <c r="J12477" t="str" cm="1">
        <f t="array" ref="J12477">_xlfn.IFS(I12477&lt;=3,"small",I12477&lt;=6,"Medium",I12477&lt;=9,"Large")</f>
        <v>small</v>
      </c>
      <c r="K12477" s="36">
        <v>44940</v>
      </c>
      <c r="L12477" s="36">
        <v>44941</v>
      </c>
      <c r="M12477" t="s">
        <v>603</v>
      </c>
      <c r="N12477" t="s">
        <v>608</v>
      </c>
      <c r="O12477" s="37" t="str">
        <f t="shared" si="973"/>
        <v>Cash Payment</v>
      </c>
      <c r="P12477">
        <v>1140.28</v>
      </c>
      <c r="Q12477" s="37" t="str">
        <f>IF(P12477&gt;500,"High","low")</f>
        <v>High</v>
      </c>
      <c r="R12477" s="37" t="str">
        <f t="shared" si="974"/>
        <v>Excellent</v>
      </c>
      <c r="S12477" t="s">
        <v>620</v>
      </c>
    </row>
    <row r="12478" spans="1:19" x14ac:dyDescent="0.2">
      <c r="A12478" t="s">
        <v>13089</v>
      </c>
      <c r="B12478" t="s">
        <v>90</v>
      </c>
      <c r="C12478" t="s">
        <v>597</v>
      </c>
      <c r="D12478">
        <v>2353</v>
      </c>
      <c r="E12478" s="37" t="str">
        <f t="shared" si="970"/>
        <v xml:space="preserve"> </v>
      </c>
      <c r="F12478">
        <v>0.25</v>
      </c>
      <c r="G12478" s="37" t="str">
        <f t="shared" si="971"/>
        <v>Normal Discount</v>
      </c>
      <c r="H12478" s="37" t="str">
        <f t="shared" si="972"/>
        <v>Medium</v>
      </c>
      <c r="I12478">
        <v>2</v>
      </c>
      <c r="J12478" t="str" cm="1">
        <f t="array" ref="J12478">_xlfn.IFS(I12478&lt;=3,"small",I12478&lt;=6,"Medium",I12478&lt;=9,"Large")</f>
        <v>small</v>
      </c>
      <c r="K12478" s="36">
        <v>45657</v>
      </c>
      <c r="L12478" s="36">
        <v>45663</v>
      </c>
      <c r="M12478" t="s">
        <v>612</v>
      </c>
      <c r="N12478" t="s">
        <v>608</v>
      </c>
      <c r="O12478" s="37" t="str">
        <f t="shared" si="973"/>
        <v>Cash Payment</v>
      </c>
      <c r="P12478">
        <v>439.74</v>
      </c>
      <c r="Q12478" s="37" t="str">
        <f>IF(P12478&gt;500,"High","low")</f>
        <v>low</v>
      </c>
      <c r="R12478" s="37" t="str">
        <f t="shared" si="974"/>
        <v>AVERAGE</v>
      </c>
      <c r="S12478" t="s">
        <v>605</v>
      </c>
    </row>
    <row r="12479" spans="1:19" x14ac:dyDescent="0.2">
      <c r="A12479" t="s">
        <v>13090</v>
      </c>
      <c r="B12479" t="s">
        <v>90</v>
      </c>
      <c r="C12479" t="s">
        <v>614</v>
      </c>
      <c r="D12479">
        <v>3840.74</v>
      </c>
      <c r="E12479" s="37" t="str">
        <f t="shared" si="970"/>
        <v xml:space="preserve"> </v>
      </c>
      <c r="F12479">
        <v>0.18</v>
      </c>
      <c r="G12479" s="37" t="str">
        <f t="shared" si="971"/>
        <v>Normal Discount</v>
      </c>
      <c r="H12479" s="37" t="str">
        <f t="shared" si="972"/>
        <v>Low</v>
      </c>
      <c r="I12479">
        <v>3</v>
      </c>
      <c r="J12479" t="str" cm="1">
        <f t="array" ref="J12479">_xlfn.IFS(I12479&lt;=3,"small",I12479&lt;=6,"Medium",I12479&lt;=9,"Large")</f>
        <v>small</v>
      </c>
      <c r="K12479" s="36">
        <v>45052</v>
      </c>
      <c r="L12479" s="36">
        <v>45056</v>
      </c>
      <c r="M12479" t="s">
        <v>612</v>
      </c>
      <c r="N12479" t="s">
        <v>604</v>
      </c>
      <c r="O12479" s="37" t="str">
        <f t="shared" si="973"/>
        <v>Digital Payment</v>
      </c>
      <c r="P12479">
        <v>368.12</v>
      </c>
      <c r="Q12479" s="37" t="str">
        <f>IF(P12479&gt;500,"High","low")</f>
        <v>low</v>
      </c>
      <c r="R12479" s="37" t="str">
        <f t="shared" si="974"/>
        <v>AVERAGE</v>
      </c>
      <c r="S12479" t="s">
        <v>628</v>
      </c>
    </row>
    <row r="12480" spans="1:19" x14ac:dyDescent="0.2">
      <c r="A12480" t="s">
        <v>13091</v>
      </c>
      <c r="B12480" t="s">
        <v>90</v>
      </c>
      <c r="C12480" t="s">
        <v>614</v>
      </c>
      <c r="D12480">
        <v>536.66999999999996</v>
      </c>
      <c r="E12480" s="37" t="str">
        <f t="shared" si="970"/>
        <v xml:space="preserve"> </v>
      </c>
      <c r="F12480">
        <v>0.23</v>
      </c>
      <c r="G12480" s="37" t="str">
        <f t="shared" si="971"/>
        <v>Normal Discount</v>
      </c>
      <c r="H12480" s="37" t="str">
        <f t="shared" si="972"/>
        <v>Medium</v>
      </c>
      <c r="I12480">
        <v>2</v>
      </c>
      <c r="J12480" t="str" cm="1">
        <f t="array" ref="J12480">_xlfn.IFS(I12480&lt;=3,"small",I12480&lt;=6,"Medium",I12480&lt;=9,"Large")</f>
        <v>small</v>
      </c>
      <c r="K12480" s="36">
        <v>45464</v>
      </c>
      <c r="L12480" s="36">
        <v>45465</v>
      </c>
      <c r="M12480" t="s">
        <v>598</v>
      </c>
      <c r="N12480" t="s">
        <v>608</v>
      </c>
      <c r="O12480" s="37" t="str">
        <f t="shared" si="973"/>
        <v>Cash Payment</v>
      </c>
      <c r="P12480">
        <v>117.08</v>
      </c>
      <c r="Q12480" s="37" t="str">
        <f>IF(P12480&gt;500,"High","low")</f>
        <v>low</v>
      </c>
      <c r="R12480" s="37" t="str">
        <f t="shared" si="974"/>
        <v>AVERAGE</v>
      </c>
      <c r="S12480" t="s">
        <v>620</v>
      </c>
    </row>
    <row r="12481" spans="1:19" x14ac:dyDescent="0.2">
      <c r="A12481" t="s">
        <v>13092</v>
      </c>
      <c r="B12481" t="s">
        <v>90</v>
      </c>
      <c r="C12481" t="s">
        <v>607</v>
      </c>
      <c r="D12481">
        <v>381.58</v>
      </c>
      <c r="E12481" s="37" t="str">
        <f t="shared" si="970"/>
        <v xml:space="preserve"> </v>
      </c>
      <c r="F12481">
        <v>0.21</v>
      </c>
      <c r="G12481" s="37" t="str">
        <f t="shared" si="971"/>
        <v>Normal Discount</v>
      </c>
      <c r="H12481" s="37" t="str">
        <f t="shared" si="972"/>
        <v>Medium</v>
      </c>
      <c r="I12481">
        <v>6</v>
      </c>
      <c r="J12481" t="str" cm="1">
        <f t="array" ref="J12481">_xlfn.IFS(I12481&lt;=3,"small",I12481&lt;=6,"Medium",I12481&lt;=9,"Large")</f>
        <v>Medium</v>
      </c>
      <c r="K12481" s="36">
        <v>45342</v>
      </c>
      <c r="L12481" s="36">
        <v>45347</v>
      </c>
      <c r="M12481" t="s">
        <v>612</v>
      </c>
      <c r="N12481" t="s">
        <v>604</v>
      </c>
      <c r="O12481" s="37" t="str">
        <f t="shared" si="973"/>
        <v>Digital Payment</v>
      </c>
      <c r="P12481">
        <v>23.57</v>
      </c>
      <c r="Q12481" s="37" t="str">
        <f>IF(P12481&gt;500,"High","low")</f>
        <v>low</v>
      </c>
      <c r="R12481" s="37" t="str">
        <f t="shared" si="974"/>
        <v>AVERAGE</v>
      </c>
      <c r="S12481" t="s">
        <v>600</v>
      </c>
    </row>
    <row r="12482" spans="1:19" x14ac:dyDescent="0.2">
      <c r="A12482" t="s">
        <v>13093</v>
      </c>
      <c r="B12482" t="s">
        <v>75</v>
      </c>
      <c r="C12482" t="s">
        <v>607</v>
      </c>
      <c r="D12482">
        <v>2524.7800000000002</v>
      </c>
      <c r="E12482" s="37" t="str">
        <f t="shared" si="970"/>
        <v xml:space="preserve"> </v>
      </c>
      <c r="F12482">
        <v>0.39</v>
      </c>
      <c r="G12482" s="37" t="str">
        <f t="shared" si="971"/>
        <v>Heavy Discount</v>
      </c>
      <c r="H12482" s="37" t="str">
        <f t="shared" si="972"/>
        <v>Medium</v>
      </c>
      <c r="I12482">
        <v>4</v>
      </c>
      <c r="J12482" t="str" cm="1">
        <f t="array" ref="J12482">_xlfn.IFS(I12482&lt;=3,"small",I12482&lt;=6,"Medium",I12482&lt;=9,"Large")</f>
        <v>Medium</v>
      </c>
      <c r="K12482" s="36">
        <v>45179</v>
      </c>
      <c r="L12482" s="36">
        <v>45180</v>
      </c>
      <c r="M12482" t="s">
        <v>612</v>
      </c>
      <c r="N12482" t="s">
        <v>599</v>
      </c>
      <c r="O12482" s="37" t="str">
        <f t="shared" si="973"/>
        <v>Digital Payment</v>
      </c>
      <c r="P12482">
        <v>416.52</v>
      </c>
      <c r="Q12482" s="37" t="str">
        <f>IF(P12482&gt;500,"High","low")</f>
        <v>low</v>
      </c>
      <c r="R12482" s="37" t="str">
        <f t="shared" si="974"/>
        <v>AVERAGE</v>
      </c>
      <c r="S12482" t="s">
        <v>605</v>
      </c>
    </row>
    <row r="12483" spans="1:19" x14ac:dyDescent="0.2">
      <c r="A12483" t="s">
        <v>13094</v>
      </c>
      <c r="B12483" t="s">
        <v>90</v>
      </c>
      <c r="C12483" t="s">
        <v>614</v>
      </c>
      <c r="D12483">
        <v>1646.2</v>
      </c>
      <c r="E12483" s="37" t="str">
        <f t="shared" ref="E12483:E12546" si="975">IF(AND(D12483&gt;4000,P12483&gt;800),"Excellent Order"," ")</f>
        <v xml:space="preserve"> </v>
      </c>
      <c r="F12483">
        <v>0</v>
      </c>
      <c r="G12483" s="37" t="str">
        <f t="shared" ref="G12483:G12546" si="976">IF(F12483&gt;30%,"Heavy Discount","Normal Discount")</f>
        <v>Normal Discount</v>
      </c>
      <c r="H12483" s="37" t="str">
        <f t="shared" ref="H12483:H12546" si="977">IF(F12483&gt;0.4,"High",IF(F12483&gt;=0.2,"Medium","Low"))</f>
        <v>Low</v>
      </c>
      <c r="I12483">
        <v>1</v>
      </c>
      <c r="J12483" t="str" cm="1">
        <f t="array" ref="J12483">_xlfn.IFS(I12483&lt;=3,"small",I12483&lt;=6,"Medium",I12483&lt;=9,"Large")</f>
        <v>small</v>
      </c>
      <c r="K12483" s="36">
        <v>45312</v>
      </c>
      <c r="L12483" s="36">
        <v>45318</v>
      </c>
      <c r="M12483" t="s">
        <v>612</v>
      </c>
      <c r="N12483" t="s">
        <v>599</v>
      </c>
      <c r="O12483" s="37" t="str">
        <f t="shared" ref="O12483:O12546" si="978">IF(OR(N12483="Card",N12483="UPI"),"Digital Payment","Cash Payment")</f>
        <v>Digital Payment</v>
      </c>
      <c r="P12483">
        <v>279.31</v>
      </c>
      <c r="Q12483" s="37" t="str">
        <f>IF(P12483&gt;500,"High","low")</f>
        <v>low</v>
      </c>
      <c r="R12483" s="37" t="str">
        <f t="shared" ref="R12483:R12546" si="979">IF(P12483&gt;1000,"Excellent",IF(P12483&gt;=500,"Good","AVERAGE"))</f>
        <v>AVERAGE</v>
      </c>
      <c r="S12483" t="s">
        <v>615</v>
      </c>
    </row>
    <row r="12484" spans="1:19" x14ac:dyDescent="0.2">
      <c r="A12484" t="s">
        <v>13095</v>
      </c>
      <c r="B12484" t="s">
        <v>83</v>
      </c>
      <c r="C12484" t="s">
        <v>607</v>
      </c>
      <c r="D12484">
        <v>124.05</v>
      </c>
      <c r="E12484" s="37" t="str">
        <f t="shared" si="975"/>
        <v xml:space="preserve"> </v>
      </c>
      <c r="F12484">
        <v>0.22</v>
      </c>
      <c r="G12484" s="37" t="str">
        <f t="shared" si="976"/>
        <v>Normal Discount</v>
      </c>
      <c r="H12484" s="37" t="str">
        <f t="shared" si="977"/>
        <v>Medium</v>
      </c>
      <c r="I12484">
        <v>3</v>
      </c>
      <c r="J12484" t="str" cm="1">
        <f t="array" ref="J12484">_xlfn.IFS(I12484&lt;=3,"small",I12484&lt;=6,"Medium",I12484&lt;=9,"Large")</f>
        <v>small</v>
      </c>
      <c r="K12484" s="36">
        <v>45146</v>
      </c>
      <c r="L12484" s="36">
        <v>45153</v>
      </c>
      <c r="M12484" t="s">
        <v>598</v>
      </c>
      <c r="N12484" t="s">
        <v>599</v>
      </c>
      <c r="O12484" s="37" t="str">
        <f t="shared" si="978"/>
        <v>Digital Payment</v>
      </c>
      <c r="P12484">
        <v>36.659999999999997</v>
      </c>
      <c r="Q12484" s="37" t="str">
        <f>IF(P12484&gt;500,"High","low")</f>
        <v>low</v>
      </c>
      <c r="R12484" s="37" t="str">
        <f t="shared" si="979"/>
        <v>AVERAGE</v>
      </c>
      <c r="S12484" t="s">
        <v>620</v>
      </c>
    </row>
    <row r="12485" spans="1:19" x14ac:dyDescent="0.2">
      <c r="A12485" t="s">
        <v>13096</v>
      </c>
      <c r="B12485" t="s">
        <v>83</v>
      </c>
      <c r="C12485" t="s">
        <v>607</v>
      </c>
      <c r="D12485">
        <v>998.14</v>
      </c>
      <c r="E12485" s="37" t="str">
        <f t="shared" si="975"/>
        <v xml:space="preserve"> </v>
      </c>
      <c r="F12485">
        <v>0.08</v>
      </c>
      <c r="G12485" s="37" t="str">
        <f t="shared" si="976"/>
        <v>Normal Discount</v>
      </c>
      <c r="H12485" s="37" t="str">
        <f t="shared" si="977"/>
        <v>Low</v>
      </c>
      <c r="I12485">
        <v>3</v>
      </c>
      <c r="J12485" t="str" cm="1">
        <f t="array" ref="J12485">_xlfn.IFS(I12485&lt;=3,"small",I12485&lt;=6,"Medium",I12485&lt;=9,"Large")</f>
        <v>small</v>
      </c>
      <c r="K12485" s="36">
        <v>45359</v>
      </c>
      <c r="L12485" s="36">
        <v>45361</v>
      </c>
      <c r="M12485" t="s">
        <v>598</v>
      </c>
      <c r="N12485" t="s">
        <v>599</v>
      </c>
      <c r="O12485" s="37" t="str">
        <f t="shared" si="978"/>
        <v>Digital Payment</v>
      </c>
      <c r="P12485">
        <v>95.02</v>
      </c>
      <c r="Q12485" s="37" t="str">
        <f>IF(P12485&gt;500,"High","low")</f>
        <v>low</v>
      </c>
      <c r="R12485" s="37" t="str">
        <f t="shared" si="979"/>
        <v>AVERAGE</v>
      </c>
      <c r="S12485" t="s">
        <v>628</v>
      </c>
    </row>
    <row r="12486" spans="1:19" x14ac:dyDescent="0.2">
      <c r="A12486" t="s">
        <v>13097</v>
      </c>
      <c r="B12486" t="s">
        <v>83</v>
      </c>
      <c r="C12486" t="s">
        <v>607</v>
      </c>
      <c r="D12486">
        <v>1172</v>
      </c>
      <c r="E12486" s="37" t="str">
        <f t="shared" si="975"/>
        <v xml:space="preserve"> </v>
      </c>
      <c r="F12486">
        <v>0.15</v>
      </c>
      <c r="G12486" s="37" t="str">
        <f t="shared" si="976"/>
        <v>Normal Discount</v>
      </c>
      <c r="H12486" s="37" t="str">
        <f t="shared" si="977"/>
        <v>Low</v>
      </c>
      <c r="I12486">
        <v>4</v>
      </c>
      <c r="J12486" t="str" cm="1">
        <f t="array" ref="J12486">_xlfn.IFS(I12486&lt;=3,"small",I12486&lt;=6,"Medium",I12486&lt;=9,"Large")</f>
        <v>Medium</v>
      </c>
      <c r="K12486" s="36">
        <v>45129</v>
      </c>
      <c r="L12486" s="36">
        <v>45136</v>
      </c>
      <c r="M12486" t="s">
        <v>603</v>
      </c>
      <c r="N12486" t="s">
        <v>608</v>
      </c>
      <c r="O12486" s="37" t="str">
        <f t="shared" si="978"/>
        <v>Cash Payment</v>
      </c>
      <c r="P12486">
        <v>216.69</v>
      </c>
      <c r="Q12486" s="37" t="str">
        <f>IF(P12486&gt;500,"High","low")</f>
        <v>low</v>
      </c>
      <c r="R12486" s="37" t="str">
        <f t="shared" si="979"/>
        <v>AVERAGE</v>
      </c>
      <c r="S12486" t="s">
        <v>615</v>
      </c>
    </row>
    <row r="12487" spans="1:19" x14ac:dyDescent="0.2">
      <c r="A12487" t="s">
        <v>13098</v>
      </c>
      <c r="B12487" t="s">
        <v>90</v>
      </c>
      <c r="C12487" t="s">
        <v>607</v>
      </c>
      <c r="D12487">
        <v>1513.68</v>
      </c>
      <c r="E12487" s="37" t="str">
        <f t="shared" si="975"/>
        <v xml:space="preserve"> </v>
      </c>
      <c r="F12487">
        <v>0.06</v>
      </c>
      <c r="G12487" s="37" t="str">
        <f t="shared" si="976"/>
        <v>Normal Discount</v>
      </c>
      <c r="H12487" s="37" t="str">
        <f t="shared" si="977"/>
        <v>Low</v>
      </c>
      <c r="I12487">
        <v>6</v>
      </c>
      <c r="J12487" t="str" cm="1">
        <f t="array" ref="J12487">_xlfn.IFS(I12487&lt;=3,"small",I12487&lt;=6,"Medium",I12487&lt;=9,"Large")</f>
        <v>Medium</v>
      </c>
      <c r="K12487" s="36">
        <v>45461</v>
      </c>
      <c r="L12487" s="36">
        <v>45465</v>
      </c>
      <c r="M12487" t="s">
        <v>603</v>
      </c>
      <c r="N12487" t="s">
        <v>608</v>
      </c>
      <c r="O12487" s="37" t="str">
        <f t="shared" si="978"/>
        <v>Cash Payment</v>
      </c>
      <c r="P12487">
        <v>338.22</v>
      </c>
      <c r="Q12487" s="37" t="str">
        <f>IF(P12487&gt;500,"High","low")</f>
        <v>low</v>
      </c>
      <c r="R12487" s="37" t="str">
        <f t="shared" si="979"/>
        <v>AVERAGE</v>
      </c>
      <c r="S12487" t="s">
        <v>605</v>
      </c>
    </row>
    <row r="12488" spans="1:19" x14ac:dyDescent="0.2">
      <c r="A12488" t="s">
        <v>13099</v>
      </c>
      <c r="B12488" t="s">
        <v>83</v>
      </c>
      <c r="C12488" t="s">
        <v>607</v>
      </c>
      <c r="D12488">
        <v>4399.92</v>
      </c>
      <c r="E12488" s="37" t="str">
        <f t="shared" si="975"/>
        <v xml:space="preserve"> </v>
      </c>
      <c r="F12488">
        <v>0.21</v>
      </c>
      <c r="G12488" s="37" t="str">
        <f t="shared" si="976"/>
        <v>Normal Discount</v>
      </c>
      <c r="H12488" s="37" t="str">
        <f t="shared" si="977"/>
        <v>Medium</v>
      </c>
      <c r="I12488">
        <v>1</v>
      </c>
      <c r="J12488" t="str" cm="1">
        <f t="array" ref="J12488">_xlfn.IFS(I12488&lt;=3,"small",I12488&lt;=6,"Medium",I12488&lt;=9,"Large")</f>
        <v>small</v>
      </c>
      <c r="K12488" s="36">
        <v>45532</v>
      </c>
      <c r="L12488" s="36">
        <v>45534</v>
      </c>
      <c r="M12488" t="s">
        <v>603</v>
      </c>
      <c r="N12488" t="s">
        <v>608</v>
      </c>
      <c r="O12488" s="37" t="str">
        <f t="shared" si="978"/>
        <v>Cash Payment</v>
      </c>
      <c r="P12488">
        <v>236.13</v>
      </c>
      <c r="Q12488" s="37" t="str">
        <f>IF(P12488&gt;500,"High","low")</f>
        <v>low</v>
      </c>
      <c r="R12488" s="37" t="str">
        <f t="shared" si="979"/>
        <v>AVERAGE</v>
      </c>
      <c r="S12488" t="s">
        <v>605</v>
      </c>
    </row>
    <row r="12489" spans="1:19" x14ac:dyDescent="0.2">
      <c r="A12489" t="s">
        <v>13100</v>
      </c>
      <c r="B12489" t="s">
        <v>75</v>
      </c>
      <c r="C12489" t="s">
        <v>617</v>
      </c>
      <c r="D12489">
        <v>2160.9499999999998</v>
      </c>
      <c r="E12489" s="37" t="str">
        <f t="shared" si="975"/>
        <v xml:space="preserve"> </v>
      </c>
      <c r="F12489">
        <v>0.32</v>
      </c>
      <c r="G12489" s="37" t="str">
        <f t="shared" si="976"/>
        <v>Heavy Discount</v>
      </c>
      <c r="H12489" s="37" t="str">
        <f t="shared" si="977"/>
        <v>Medium</v>
      </c>
      <c r="I12489">
        <v>2</v>
      </c>
      <c r="J12489" t="str" cm="1">
        <f t="array" ref="J12489">_xlfn.IFS(I12489&lt;=3,"small",I12489&lt;=6,"Medium",I12489&lt;=9,"Large")</f>
        <v>small</v>
      </c>
      <c r="K12489" s="36">
        <v>45426</v>
      </c>
      <c r="L12489" s="36">
        <v>45429</v>
      </c>
      <c r="M12489" t="s">
        <v>598</v>
      </c>
      <c r="N12489" t="s">
        <v>604</v>
      </c>
      <c r="O12489" s="37" t="str">
        <f t="shared" si="978"/>
        <v>Digital Payment</v>
      </c>
      <c r="P12489">
        <v>596.1</v>
      </c>
      <c r="Q12489" s="37" t="str">
        <f>IF(P12489&gt;500,"High","low")</f>
        <v>High</v>
      </c>
      <c r="R12489" s="37" t="str">
        <f t="shared" si="979"/>
        <v>Good</v>
      </c>
      <c r="S12489" t="s">
        <v>620</v>
      </c>
    </row>
    <row r="12490" spans="1:19" x14ac:dyDescent="0.2">
      <c r="A12490" t="s">
        <v>13101</v>
      </c>
      <c r="B12490" t="s">
        <v>67</v>
      </c>
      <c r="C12490" t="s">
        <v>617</v>
      </c>
      <c r="D12490">
        <v>3429.22</v>
      </c>
      <c r="E12490" s="37" t="str">
        <f t="shared" si="975"/>
        <v xml:space="preserve"> </v>
      </c>
      <c r="F12490">
        <v>0.33</v>
      </c>
      <c r="G12490" s="37" t="str">
        <f t="shared" si="976"/>
        <v>Heavy Discount</v>
      </c>
      <c r="H12490" s="37" t="str">
        <f t="shared" si="977"/>
        <v>Medium</v>
      </c>
      <c r="I12490">
        <v>3</v>
      </c>
      <c r="J12490" t="str" cm="1">
        <f t="array" ref="J12490">_xlfn.IFS(I12490&lt;=3,"small",I12490&lt;=6,"Medium",I12490&lt;=9,"Large")</f>
        <v>small</v>
      </c>
      <c r="K12490" s="36">
        <v>45242</v>
      </c>
      <c r="L12490" s="36">
        <v>45247</v>
      </c>
      <c r="M12490" t="s">
        <v>598</v>
      </c>
      <c r="N12490" t="s">
        <v>604</v>
      </c>
      <c r="O12490" s="37" t="str">
        <f t="shared" si="978"/>
        <v>Digital Payment</v>
      </c>
      <c r="P12490">
        <v>769.46</v>
      </c>
      <c r="Q12490" s="37" t="str">
        <f>IF(P12490&gt;500,"High","low")</f>
        <v>High</v>
      </c>
      <c r="R12490" s="37" t="str">
        <f t="shared" si="979"/>
        <v>Good</v>
      </c>
      <c r="S12490" t="s">
        <v>620</v>
      </c>
    </row>
    <row r="12491" spans="1:19" x14ac:dyDescent="0.2">
      <c r="A12491" t="s">
        <v>13102</v>
      </c>
      <c r="B12491" t="s">
        <v>90</v>
      </c>
      <c r="C12491" t="s">
        <v>617</v>
      </c>
      <c r="D12491">
        <v>190.14</v>
      </c>
      <c r="E12491" s="37" t="str">
        <f t="shared" si="975"/>
        <v xml:space="preserve"> </v>
      </c>
      <c r="F12491">
        <v>0.4</v>
      </c>
      <c r="G12491" s="37" t="str">
        <f t="shared" si="976"/>
        <v>Heavy Discount</v>
      </c>
      <c r="H12491" s="37" t="str">
        <f t="shared" si="977"/>
        <v>Medium</v>
      </c>
      <c r="I12491">
        <v>5</v>
      </c>
      <c r="J12491" t="str" cm="1">
        <f t="array" ref="J12491">_xlfn.IFS(I12491&lt;=3,"small",I12491&lt;=6,"Medium",I12491&lt;=9,"Large")</f>
        <v>Medium</v>
      </c>
      <c r="K12491" s="36">
        <v>45149</v>
      </c>
      <c r="L12491" s="36">
        <v>45154</v>
      </c>
      <c r="M12491" t="s">
        <v>612</v>
      </c>
      <c r="N12491" t="s">
        <v>604</v>
      </c>
      <c r="O12491" s="37" t="str">
        <f t="shared" si="978"/>
        <v>Digital Payment</v>
      </c>
      <c r="P12491">
        <v>39.21</v>
      </c>
      <c r="Q12491" s="37" t="str">
        <f>IF(P12491&gt;500,"High","low")</f>
        <v>low</v>
      </c>
      <c r="R12491" s="37" t="str">
        <f t="shared" si="979"/>
        <v>AVERAGE</v>
      </c>
      <c r="S12491" t="s">
        <v>605</v>
      </c>
    </row>
    <row r="12492" spans="1:19" x14ac:dyDescent="0.2">
      <c r="A12492" t="s">
        <v>13103</v>
      </c>
      <c r="B12492" t="s">
        <v>83</v>
      </c>
      <c r="C12492" t="s">
        <v>614</v>
      </c>
      <c r="D12492">
        <v>4088.24</v>
      </c>
      <c r="E12492" s="37" t="str">
        <f t="shared" si="975"/>
        <v>Excellent Order</v>
      </c>
      <c r="F12492">
        <v>0.41</v>
      </c>
      <c r="G12492" s="37" t="str">
        <f t="shared" si="976"/>
        <v>Heavy Discount</v>
      </c>
      <c r="H12492" s="37" t="str">
        <f t="shared" si="977"/>
        <v>High</v>
      </c>
      <c r="I12492">
        <v>7</v>
      </c>
      <c r="J12492" t="str" cm="1">
        <f t="array" ref="J12492">_xlfn.IFS(I12492&lt;=3,"small",I12492&lt;=6,"Medium",I12492&lt;=9,"Large")</f>
        <v>Large</v>
      </c>
      <c r="K12492" s="36">
        <v>45586</v>
      </c>
      <c r="L12492" s="36">
        <v>45590</v>
      </c>
      <c r="M12492" t="s">
        <v>603</v>
      </c>
      <c r="N12492" t="s">
        <v>604</v>
      </c>
      <c r="O12492" s="37" t="str">
        <f t="shared" si="978"/>
        <v>Digital Payment</v>
      </c>
      <c r="P12492">
        <v>860.77</v>
      </c>
      <c r="Q12492" s="37" t="str">
        <f>IF(P12492&gt;500,"High","low")</f>
        <v>High</v>
      </c>
      <c r="R12492" s="37" t="str">
        <f t="shared" si="979"/>
        <v>Good</v>
      </c>
      <c r="S12492" t="s">
        <v>609</v>
      </c>
    </row>
    <row r="12493" spans="1:19" x14ac:dyDescent="0.2">
      <c r="A12493" t="s">
        <v>13104</v>
      </c>
      <c r="B12493" t="s">
        <v>75</v>
      </c>
      <c r="C12493" t="s">
        <v>597</v>
      </c>
      <c r="D12493">
        <v>1277.6099999999999</v>
      </c>
      <c r="E12493" s="37" t="str">
        <f t="shared" si="975"/>
        <v xml:space="preserve"> </v>
      </c>
      <c r="F12493">
        <v>0.3</v>
      </c>
      <c r="G12493" s="37" t="str">
        <f t="shared" si="976"/>
        <v>Normal Discount</v>
      </c>
      <c r="H12493" s="37" t="str">
        <f t="shared" si="977"/>
        <v>Medium</v>
      </c>
      <c r="I12493">
        <v>1</v>
      </c>
      <c r="J12493" t="str" cm="1">
        <f t="array" ref="J12493">_xlfn.IFS(I12493&lt;=3,"small",I12493&lt;=6,"Medium",I12493&lt;=9,"Large")</f>
        <v>small</v>
      </c>
      <c r="K12493" s="36">
        <v>45403</v>
      </c>
      <c r="L12493" s="36">
        <v>45409</v>
      </c>
      <c r="M12493" t="s">
        <v>598</v>
      </c>
      <c r="N12493" t="s">
        <v>599</v>
      </c>
      <c r="O12493" s="37" t="str">
        <f t="shared" si="978"/>
        <v>Digital Payment</v>
      </c>
      <c r="P12493">
        <v>100.67</v>
      </c>
      <c r="Q12493" s="37" t="str">
        <f>IF(P12493&gt;500,"High","low")</f>
        <v>low</v>
      </c>
      <c r="R12493" s="37" t="str">
        <f t="shared" si="979"/>
        <v>AVERAGE</v>
      </c>
      <c r="S12493" t="s">
        <v>615</v>
      </c>
    </row>
    <row r="12494" spans="1:19" x14ac:dyDescent="0.2">
      <c r="A12494" t="s">
        <v>13105</v>
      </c>
      <c r="B12494" t="s">
        <v>67</v>
      </c>
      <c r="C12494" t="s">
        <v>614</v>
      </c>
      <c r="D12494">
        <v>1614.29</v>
      </c>
      <c r="E12494" s="37" t="str">
        <f t="shared" si="975"/>
        <v xml:space="preserve"> </v>
      </c>
      <c r="F12494">
        <v>0.18</v>
      </c>
      <c r="G12494" s="37" t="str">
        <f t="shared" si="976"/>
        <v>Normal Discount</v>
      </c>
      <c r="H12494" s="37" t="str">
        <f t="shared" si="977"/>
        <v>Low</v>
      </c>
      <c r="I12494">
        <v>2</v>
      </c>
      <c r="J12494" t="str" cm="1">
        <f t="array" ref="J12494">_xlfn.IFS(I12494&lt;=3,"small",I12494&lt;=6,"Medium",I12494&lt;=9,"Large")</f>
        <v>small</v>
      </c>
      <c r="K12494" s="36">
        <v>45256</v>
      </c>
      <c r="L12494" s="36">
        <v>45263</v>
      </c>
      <c r="M12494" t="s">
        <v>612</v>
      </c>
      <c r="N12494" t="s">
        <v>599</v>
      </c>
      <c r="O12494" s="37" t="str">
        <f t="shared" si="978"/>
        <v>Digital Payment</v>
      </c>
      <c r="P12494">
        <v>467.34</v>
      </c>
      <c r="Q12494" s="37" t="str">
        <f>IF(P12494&gt;500,"High","low")</f>
        <v>low</v>
      </c>
      <c r="R12494" s="37" t="str">
        <f t="shared" si="979"/>
        <v>AVERAGE</v>
      </c>
      <c r="S12494" t="s">
        <v>628</v>
      </c>
    </row>
    <row r="12495" spans="1:19" x14ac:dyDescent="0.2">
      <c r="A12495" t="s">
        <v>13106</v>
      </c>
      <c r="B12495" t="s">
        <v>75</v>
      </c>
      <c r="C12495" t="s">
        <v>617</v>
      </c>
      <c r="D12495">
        <v>321.76</v>
      </c>
      <c r="E12495" s="37" t="str">
        <f t="shared" si="975"/>
        <v xml:space="preserve"> </v>
      </c>
      <c r="F12495">
        <v>0.03</v>
      </c>
      <c r="G12495" s="37" t="str">
        <f t="shared" si="976"/>
        <v>Normal Discount</v>
      </c>
      <c r="H12495" s="37" t="str">
        <f t="shared" si="977"/>
        <v>Low</v>
      </c>
      <c r="I12495">
        <v>4</v>
      </c>
      <c r="J12495" t="str" cm="1">
        <f t="array" ref="J12495">_xlfn.IFS(I12495&lt;=3,"small",I12495&lt;=6,"Medium",I12495&lt;=9,"Large")</f>
        <v>Medium</v>
      </c>
      <c r="K12495" s="36">
        <v>44985</v>
      </c>
      <c r="L12495" s="36">
        <v>44989</v>
      </c>
      <c r="M12495" t="s">
        <v>603</v>
      </c>
      <c r="N12495" t="s">
        <v>608</v>
      </c>
      <c r="O12495" s="37" t="str">
        <f t="shared" si="978"/>
        <v>Cash Payment</v>
      </c>
      <c r="P12495">
        <v>51.62</v>
      </c>
      <c r="Q12495" s="37" t="str">
        <f>IF(P12495&gt;500,"High","low")</f>
        <v>low</v>
      </c>
      <c r="R12495" s="37" t="str">
        <f t="shared" si="979"/>
        <v>AVERAGE</v>
      </c>
      <c r="S12495" t="s">
        <v>615</v>
      </c>
    </row>
    <row r="12496" spans="1:19" x14ac:dyDescent="0.2">
      <c r="A12496" t="s">
        <v>13107</v>
      </c>
      <c r="B12496" t="s">
        <v>83</v>
      </c>
      <c r="C12496" t="s">
        <v>614</v>
      </c>
      <c r="D12496">
        <v>2107.5</v>
      </c>
      <c r="E12496" s="37" t="str">
        <f t="shared" si="975"/>
        <v xml:space="preserve"> </v>
      </c>
      <c r="F12496">
        <v>0.02</v>
      </c>
      <c r="G12496" s="37" t="str">
        <f t="shared" si="976"/>
        <v>Normal Discount</v>
      </c>
      <c r="H12496" s="37" t="str">
        <f t="shared" si="977"/>
        <v>Low</v>
      </c>
      <c r="I12496">
        <v>1</v>
      </c>
      <c r="J12496" t="str" cm="1">
        <f t="array" ref="J12496">_xlfn.IFS(I12496&lt;=3,"small",I12496&lt;=6,"Medium",I12496&lt;=9,"Large")</f>
        <v>small</v>
      </c>
      <c r="K12496" s="36">
        <v>45085</v>
      </c>
      <c r="L12496" s="36">
        <v>45090</v>
      </c>
      <c r="M12496" t="s">
        <v>612</v>
      </c>
      <c r="N12496" t="s">
        <v>599</v>
      </c>
      <c r="O12496" s="37" t="str">
        <f t="shared" si="978"/>
        <v>Digital Payment</v>
      </c>
      <c r="P12496">
        <v>406.87</v>
      </c>
      <c r="Q12496" s="37" t="str">
        <f>IF(P12496&gt;500,"High","low")</f>
        <v>low</v>
      </c>
      <c r="R12496" s="37" t="str">
        <f t="shared" si="979"/>
        <v>AVERAGE</v>
      </c>
      <c r="S12496" t="s">
        <v>628</v>
      </c>
    </row>
    <row r="12497" spans="1:19" x14ac:dyDescent="0.2">
      <c r="A12497" t="s">
        <v>13108</v>
      </c>
      <c r="B12497" t="s">
        <v>75</v>
      </c>
      <c r="C12497" t="s">
        <v>597</v>
      </c>
      <c r="D12497">
        <v>4277.63</v>
      </c>
      <c r="E12497" s="37" t="str">
        <f t="shared" si="975"/>
        <v xml:space="preserve"> </v>
      </c>
      <c r="F12497">
        <v>0.06</v>
      </c>
      <c r="G12497" s="37" t="str">
        <f t="shared" si="976"/>
        <v>Normal Discount</v>
      </c>
      <c r="H12497" s="37" t="str">
        <f t="shared" si="977"/>
        <v>Low</v>
      </c>
      <c r="I12497">
        <v>1</v>
      </c>
      <c r="J12497" t="str" cm="1">
        <f t="array" ref="J12497">_xlfn.IFS(I12497&lt;=3,"small",I12497&lt;=6,"Medium",I12497&lt;=9,"Large")</f>
        <v>small</v>
      </c>
      <c r="K12497" s="36">
        <v>45570</v>
      </c>
      <c r="L12497" s="36">
        <v>45574</v>
      </c>
      <c r="M12497" t="s">
        <v>598</v>
      </c>
      <c r="N12497" t="s">
        <v>608</v>
      </c>
      <c r="O12497" s="37" t="str">
        <f t="shared" si="978"/>
        <v>Cash Payment</v>
      </c>
      <c r="P12497">
        <v>485.27</v>
      </c>
      <c r="Q12497" s="37" t="str">
        <f>IF(P12497&gt;500,"High","low")</f>
        <v>low</v>
      </c>
      <c r="R12497" s="37" t="str">
        <f t="shared" si="979"/>
        <v>AVERAGE</v>
      </c>
      <c r="S12497" t="s">
        <v>605</v>
      </c>
    </row>
    <row r="12498" spans="1:19" x14ac:dyDescent="0.2">
      <c r="A12498" t="s">
        <v>13109</v>
      </c>
      <c r="B12498" t="s">
        <v>67</v>
      </c>
      <c r="C12498" t="s">
        <v>607</v>
      </c>
      <c r="D12498">
        <v>1955.8</v>
      </c>
      <c r="E12498" s="37" t="str">
        <f t="shared" si="975"/>
        <v xml:space="preserve"> </v>
      </c>
      <c r="F12498">
        <v>0.49</v>
      </c>
      <c r="G12498" s="37" t="str">
        <f t="shared" si="976"/>
        <v>Heavy Discount</v>
      </c>
      <c r="H12498" s="37" t="str">
        <f t="shared" si="977"/>
        <v>High</v>
      </c>
      <c r="I12498">
        <v>9</v>
      </c>
      <c r="J12498" t="str" cm="1">
        <f t="array" ref="J12498">_xlfn.IFS(I12498&lt;=3,"small",I12498&lt;=6,"Medium",I12498&lt;=9,"Large")</f>
        <v>Large</v>
      </c>
      <c r="K12498" s="36">
        <v>45182</v>
      </c>
      <c r="L12498" s="36">
        <v>45183</v>
      </c>
      <c r="M12498" t="s">
        <v>603</v>
      </c>
      <c r="N12498" t="s">
        <v>604</v>
      </c>
      <c r="O12498" s="37" t="str">
        <f t="shared" si="978"/>
        <v>Digital Payment</v>
      </c>
      <c r="P12498">
        <v>152.27000000000001</v>
      </c>
      <c r="Q12498" s="37" t="str">
        <f>IF(P12498&gt;500,"High","low")</f>
        <v>low</v>
      </c>
      <c r="R12498" s="37" t="str">
        <f t="shared" si="979"/>
        <v>AVERAGE</v>
      </c>
      <c r="S12498" t="s">
        <v>628</v>
      </c>
    </row>
    <row r="12499" spans="1:19" x14ac:dyDescent="0.2">
      <c r="A12499" t="s">
        <v>13110</v>
      </c>
      <c r="B12499" t="s">
        <v>83</v>
      </c>
      <c r="C12499" t="s">
        <v>602</v>
      </c>
      <c r="D12499">
        <v>4552.17</v>
      </c>
      <c r="E12499" s="37" t="str">
        <f t="shared" si="975"/>
        <v>Excellent Order</v>
      </c>
      <c r="F12499">
        <v>0.39</v>
      </c>
      <c r="G12499" s="37" t="str">
        <f t="shared" si="976"/>
        <v>Heavy Discount</v>
      </c>
      <c r="H12499" s="37" t="str">
        <f t="shared" si="977"/>
        <v>Medium</v>
      </c>
      <c r="I12499">
        <v>6</v>
      </c>
      <c r="J12499" t="str" cm="1">
        <f t="array" ref="J12499">_xlfn.IFS(I12499&lt;=3,"small",I12499&lt;=6,"Medium",I12499&lt;=9,"Large")</f>
        <v>Medium</v>
      </c>
      <c r="K12499" s="36">
        <v>45306</v>
      </c>
      <c r="L12499" s="36">
        <v>45312</v>
      </c>
      <c r="M12499" t="s">
        <v>598</v>
      </c>
      <c r="N12499" t="s">
        <v>599</v>
      </c>
      <c r="O12499" s="37" t="str">
        <f t="shared" si="978"/>
        <v>Digital Payment</v>
      </c>
      <c r="P12499">
        <v>1124.22</v>
      </c>
      <c r="Q12499" s="37" t="str">
        <f>IF(P12499&gt;500,"High","low")</f>
        <v>High</v>
      </c>
      <c r="R12499" s="37" t="str">
        <f t="shared" si="979"/>
        <v>Excellent</v>
      </c>
      <c r="S12499" t="s">
        <v>628</v>
      </c>
    </row>
    <row r="12500" spans="1:19" x14ac:dyDescent="0.2">
      <c r="A12500" t="s">
        <v>13111</v>
      </c>
      <c r="B12500" t="s">
        <v>67</v>
      </c>
      <c r="C12500" t="s">
        <v>617</v>
      </c>
      <c r="D12500">
        <v>4350.49</v>
      </c>
      <c r="E12500" s="37" t="str">
        <f t="shared" si="975"/>
        <v>Excellent Order</v>
      </c>
      <c r="F12500">
        <v>0.2</v>
      </c>
      <c r="G12500" s="37" t="str">
        <f t="shared" si="976"/>
        <v>Normal Discount</v>
      </c>
      <c r="H12500" s="37" t="str">
        <f t="shared" si="977"/>
        <v>Medium</v>
      </c>
      <c r="I12500">
        <v>2</v>
      </c>
      <c r="J12500" t="str" cm="1">
        <f t="array" ref="J12500">_xlfn.IFS(I12500&lt;=3,"small",I12500&lt;=6,"Medium",I12500&lt;=9,"Large")</f>
        <v>small</v>
      </c>
      <c r="K12500" s="36">
        <v>45456</v>
      </c>
      <c r="L12500" s="36">
        <v>45462</v>
      </c>
      <c r="M12500" t="s">
        <v>612</v>
      </c>
      <c r="N12500" t="s">
        <v>599</v>
      </c>
      <c r="O12500" s="37" t="str">
        <f t="shared" si="978"/>
        <v>Digital Payment</v>
      </c>
      <c r="P12500">
        <v>856.12</v>
      </c>
      <c r="Q12500" s="37" t="str">
        <f>IF(P12500&gt;500,"High","low")</f>
        <v>High</v>
      </c>
      <c r="R12500" s="37" t="str">
        <f t="shared" si="979"/>
        <v>Good</v>
      </c>
      <c r="S12500" t="s">
        <v>600</v>
      </c>
    </row>
    <row r="12501" spans="1:19" x14ac:dyDescent="0.2">
      <c r="A12501" t="s">
        <v>13112</v>
      </c>
      <c r="B12501" t="s">
        <v>75</v>
      </c>
      <c r="C12501" t="s">
        <v>617</v>
      </c>
      <c r="D12501">
        <v>403.61</v>
      </c>
      <c r="E12501" s="37" t="str">
        <f t="shared" si="975"/>
        <v xml:space="preserve"> </v>
      </c>
      <c r="F12501">
        <v>0.23</v>
      </c>
      <c r="G12501" s="37" t="str">
        <f t="shared" si="976"/>
        <v>Normal Discount</v>
      </c>
      <c r="H12501" s="37" t="str">
        <f t="shared" si="977"/>
        <v>Medium</v>
      </c>
      <c r="I12501">
        <v>7</v>
      </c>
      <c r="J12501" t="str" cm="1">
        <f t="array" ref="J12501">_xlfn.IFS(I12501&lt;=3,"small",I12501&lt;=6,"Medium",I12501&lt;=9,"Large")</f>
        <v>Large</v>
      </c>
      <c r="K12501" s="36">
        <v>45629</v>
      </c>
      <c r="L12501" s="36">
        <v>45630</v>
      </c>
      <c r="M12501" t="s">
        <v>603</v>
      </c>
      <c r="N12501" t="s">
        <v>599</v>
      </c>
      <c r="O12501" s="37" t="str">
        <f t="shared" si="978"/>
        <v>Digital Payment</v>
      </c>
      <c r="P12501">
        <v>59.54</v>
      </c>
      <c r="Q12501" s="37" t="str">
        <f>IF(P12501&gt;500,"High","low")</f>
        <v>low</v>
      </c>
      <c r="R12501" s="37" t="str">
        <f t="shared" si="979"/>
        <v>AVERAGE</v>
      </c>
      <c r="S12501" t="s">
        <v>605</v>
      </c>
    </row>
    <row r="12502" spans="1:19" x14ac:dyDescent="0.2">
      <c r="A12502" t="s">
        <v>13113</v>
      </c>
      <c r="B12502" t="s">
        <v>90</v>
      </c>
      <c r="C12502" t="s">
        <v>597</v>
      </c>
      <c r="D12502">
        <v>1595.83</v>
      </c>
      <c r="E12502" s="37" t="str">
        <f t="shared" si="975"/>
        <v xml:space="preserve"> </v>
      </c>
      <c r="F12502">
        <v>0.37</v>
      </c>
      <c r="G12502" s="37" t="str">
        <f t="shared" si="976"/>
        <v>Heavy Discount</v>
      </c>
      <c r="H12502" s="37" t="str">
        <f t="shared" si="977"/>
        <v>Medium</v>
      </c>
      <c r="I12502">
        <v>6</v>
      </c>
      <c r="J12502" t="str" cm="1">
        <f t="array" ref="J12502">_xlfn.IFS(I12502&lt;=3,"small",I12502&lt;=6,"Medium",I12502&lt;=9,"Large")</f>
        <v>Medium</v>
      </c>
      <c r="K12502" s="36">
        <v>45290</v>
      </c>
      <c r="L12502" s="36">
        <v>45296</v>
      </c>
      <c r="M12502" t="s">
        <v>603</v>
      </c>
      <c r="N12502" t="s">
        <v>599</v>
      </c>
      <c r="O12502" s="37" t="str">
        <f t="shared" si="978"/>
        <v>Digital Payment</v>
      </c>
      <c r="P12502">
        <v>142.99</v>
      </c>
      <c r="Q12502" s="37" t="str">
        <f>IF(P12502&gt;500,"High","low")</f>
        <v>low</v>
      </c>
      <c r="R12502" s="37" t="str">
        <f t="shared" si="979"/>
        <v>AVERAGE</v>
      </c>
      <c r="S12502" t="s">
        <v>620</v>
      </c>
    </row>
    <row r="12503" spans="1:19" x14ac:dyDescent="0.2">
      <c r="A12503" t="s">
        <v>13114</v>
      </c>
      <c r="B12503" t="s">
        <v>90</v>
      </c>
      <c r="C12503" t="s">
        <v>607</v>
      </c>
      <c r="D12503">
        <v>4561.04</v>
      </c>
      <c r="E12503" s="37" t="str">
        <f t="shared" si="975"/>
        <v xml:space="preserve"> </v>
      </c>
      <c r="F12503">
        <v>0.26</v>
      </c>
      <c r="G12503" s="37" t="str">
        <f t="shared" si="976"/>
        <v>Normal Discount</v>
      </c>
      <c r="H12503" s="37" t="str">
        <f t="shared" si="977"/>
        <v>Medium</v>
      </c>
      <c r="I12503">
        <v>6</v>
      </c>
      <c r="J12503" t="str" cm="1">
        <f t="array" ref="J12503">_xlfn.IFS(I12503&lt;=3,"small",I12503&lt;=6,"Medium",I12503&lt;=9,"Large")</f>
        <v>Medium</v>
      </c>
      <c r="K12503" s="36">
        <v>45149</v>
      </c>
      <c r="L12503" s="36">
        <v>45150</v>
      </c>
      <c r="M12503" t="s">
        <v>603</v>
      </c>
      <c r="N12503" t="s">
        <v>608</v>
      </c>
      <c r="O12503" s="37" t="str">
        <f t="shared" si="978"/>
        <v>Cash Payment</v>
      </c>
      <c r="P12503">
        <v>692.01</v>
      </c>
      <c r="Q12503" s="37" t="str">
        <f>IF(P12503&gt;500,"High","low")</f>
        <v>High</v>
      </c>
      <c r="R12503" s="37" t="str">
        <f t="shared" si="979"/>
        <v>Good</v>
      </c>
      <c r="S12503" t="s">
        <v>620</v>
      </c>
    </row>
    <row r="12504" spans="1:19" x14ac:dyDescent="0.2">
      <c r="A12504" t="s">
        <v>13115</v>
      </c>
      <c r="B12504" t="s">
        <v>90</v>
      </c>
      <c r="C12504" t="s">
        <v>607</v>
      </c>
      <c r="D12504">
        <v>246.06</v>
      </c>
      <c r="E12504" s="37" t="str">
        <f t="shared" si="975"/>
        <v xml:space="preserve"> </v>
      </c>
      <c r="F12504">
        <v>0.18</v>
      </c>
      <c r="G12504" s="37" t="str">
        <f t="shared" si="976"/>
        <v>Normal Discount</v>
      </c>
      <c r="H12504" s="37" t="str">
        <f t="shared" si="977"/>
        <v>Low</v>
      </c>
      <c r="I12504">
        <v>8</v>
      </c>
      <c r="J12504" t="str" cm="1">
        <f t="array" ref="J12504">_xlfn.IFS(I12504&lt;=3,"small",I12504&lt;=6,"Medium",I12504&lt;=9,"Large")</f>
        <v>Large</v>
      </c>
      <c r="K12504" s="36">
        <v>45381</v>
      </c>
      <c r="L12504" s="36">
        <v>45386</v>
      </c>
      <c r="M12504" t="s">
        <v>612</v>
      </c>
      <c r="N12504" t="s">
        <v>604</v>
      </c>
      <c r="O12504" s="37" t="str">
        <f t="shared" si="978"/>
        <v>Digital Payment</v>
      </c>
      <c r="P12504">
        <v>12.48</v>
      </c>
      <c r="Q12504" s="37" t="str">
        <f>IF(P12504&gt;500,"High","low")</f>
        <v>low</v>
      </c>
      <c r="R12504" s="37" t="str">
        <f t="shared" si="979"/>
        <v>AVERAGE</v>
      </c>
      <c r="S12504" t="s">
        <v>620</v>
      </c>
    </row>
    <row r="12505" spans="1:19" x14ac:dyDescent="0.2">
      <c r="A12505" t="s">
        <v>13116</v>
      </c>
      <c r="B12505" t="s">
        <v>90</v>
      </c>
      <c r="C12505" t="s">
        <v>602</v>
      </c>
      <c r="D12505">
        <v>3852.46</v>
      </c>
      <c r="E12505" s="37" t="str">
        <f t="shared" si="975"/>
        <v xml:space="preserve"> </v>
      </c>
      <c r="F12505">
        <v>0.17</v>
      </c>
      <c r="G12505" s="37" t="str">
        <f t="shared" si="976"/>
        <v>Normal Discount</v>
      </c>
      <c r="H12505" s="37" t="str">
        <f t="shared" si="977"/>
        <v>Low</v>
      </c>
      <c r="I12505">
        <v>3</v>
      </c>
      <c r="J12505" t="str" cm="1">
        <f t="array" ref="J12505">_xlfn.IFS(I12505&lt;=3,"small",I12505&lt;=6,"Medium",I12505&lt;=9,"Large")</f>
        <v>small</v>
      </c>
      <c r="K12505" s="36">
        <v>45457</v>
      </c>
      <c r="L12505" s="36">
        <v>45462</v>
      </c>
      <c r="M12505" t="s">
        <v>612</v>
      </c>
      <c r="N12505" t="s">
        <v>604</v>
      </c>
      <c r="O12505" s="37" t="str">
        <f t="shared" si="978"/>
        <v>Digital Payment</v>
      </c>
      <c r="P12505">
        <v>1130.8800000000001</v>
      </c>
      <c r="Q12505" s="37" t="str">
        <f>IF(P12505&gt;500,"High","low")</f>
        <v>High</v>
      </c>
      <c r="R12505" s="37" t="str">
        <f t="shared" si="979"/>
        <v>Excellent</v>
      </c>
      <c r="S12505" t="s">
        <v>600</v>
      </c>
    </row>
    <row r="12506" spans="1:19" x14ac:dyDescent="0.2">
      <c r="A12506" t="s">
        <v>13117</v>
      </c>
      <c r="B12506" t="s">
        <v>67</v>
      </c>
      <c r="C12506" t="s">
        <v>607</v>
      </c>
      <c r="D12506">
        <v>4541.5</v>
      </c>
      <c r="E12506" s="37" t="str">
        <f t="shared" si="975"/>
        <v>Excellent Order</v>
      </c>
      <c r="F12506">
        <v>0.1</v>
      </c>
      <c r="G12506" s="37" t="str">
        <f t="shared" si="976"/>
        <v>Normal Discount</v>
      </c>
      <c r="H12506" s="37" t="str">
        <f t="shared" si="977"/>
        <v>Low</v>
      </c>
      <c r="I12506">
        <v>2</v>
      </c>
      <c r="J12506" t="str" cm="1">
        <f t="array" ref="J12506">_xlfn.IFS(I12506&lt;=3,"small",I12506&lt;=6,"Medium",I12506&lt;=9,"Large")</f>
        <v>small</v>
      </c>
      <c r="K12506" s="36">
        <v>45248</v>
      </c>
      <c r="L12506" s="36">
        <v>45254</v>
      </c>
      <c r="M12506" t="s">
        <v>598</v>
      </c>
      <c r="N12506" t="s">
        <v>608</v>
      </c>
      <c r="O12506" s="37" t="str">
        <f t="shared" si="978"/>
        <v>Cash Payment</v>
      </c>
      <c r="P12506">
        <v>945.74</v>
      </c>
      <c r="Q12506" s="37" t="str">
        <f>IF(P12506&gt;500,"High","low")</f>
        <v>High</v>
      </c>
      <c r="R12506" s="37" t="str">
        <f t="shared" si="979"/>
        <v>Good</v>
      </c>
      <c r="S12506" t="s">
        <v>620</v>
      </c>
    </row>
    <row r="12507" spans="1:19" x14ac:dyDescent="0.2">
      <c r="A12507" t="s">
        <v>13118</v>
      </c>
      <c r="B12507" t="s">
        <v>90</v>
      </c>
      <c r="C12507" t="s">
        <v>597</v>
      </c>
      <c r="D12507">
        <v>3875.41</v>
      </c>
      <c r="E12507" s="37" t="str">
        <f t="shared" si="975"/>
        <v xml:space="preserve"> </v>
      </c>
      <c r="F12507">
        <v>0.44</v>
      </c>
      <c r="G12507" s="37" t="str">
        <f t="shared" si="976"/>
        <v>Heavy Discount</v>
      </c>
      <c r="H12507" s="37" t="str">
        <f t="shared" si="977"/>
        <v>High</v>
      </c>
      <c r="I12507">
        <v>9</v>
      </c>
      <c r="J12507" t="str" cm="1">
        <f t="array" ref="J12507">_xlfn.IFS(I12507&lt;=3,"small",I12507&lt;=6,"Medium",I12507&lt;=9,"Large")</f>
        <v>Large</v>
      </c>
      <c r="K12507" s="36">
        <v>45557</v>
      </c>
      <c r="L12507" s="36">
        <v>45559</v>
      </c>
      <c r="M12507" t="s">
        <v>612</v>
      </c>
      <c r="N12507" t="s">
        <v>608</v>
      </c>
      <c r="O12507" s="37" t="str">
        <f t="shared" si="978"/>
        <v>Cash Payment</v>
      </c>
      <c r="P12507">
        <v>472.99</v>
      </c>
      <c r="Q12507" s="37" t="str">
        <f>IF(P12507&gt;500,"High","low")</f>
        <v>low</v>
      </c>
      <c r="R12507" s="37" t="str">
        <f t="shared" si="979"/>
        <v>AVERAGE</v>
      </c>
      <c r="S12507" t="s">
        <v>605</v>
      </c>
    </row>
    <row r="12508" spans="1:19" x14ac:dyDescent="0.2">
      <c r="A12508" t="s">
        <v>13119</v>
      </c>
      <c r="B12508" t="s">
        <v>67</v>
      </c>
      <c r="C12508" t="s">
        <v>607</v>
      </c>
      <c r="D12508">
        <v>3744.69</v>
      </c>
      <c r="E12508" s="37" t="str">
        <f t="shared" si="975"/>
        <v xml:space="preserve"> </v>
      </c>
      <c r="F12508">
        <v>0.21</v>
      </c>
      <c r="G12508" s="37" t="str">
        <f t="shared" si="976"/>
        <v>Normal Discount</v>
      </c>
      <c r="H12508" s="37" t="str">
        <f t="shared" si="977"/>
        <v>Medium</v>
      </c>
      <c r="I12508">
        <v>5</v>
      </c>
      <c r="J12508" t="str" cm="1">
        <f t="array" ref="J12508">_xlfn.IFS(I12508&lt;=3,"small",I12508&lt;=6,"Medium",I12508&lt;=9,"Large")</f>
        <v>Medium</v>
      </c>
      <c r="K12508" s="36">
        <v>45228</v>
      </c>
      <c r="L12508" s="36">
        <v>45231</v>
      </c>
      <c r="M12508" t="s">
        <v>612</v>
      </c>
      <c r="N12508" t="s">
        <v>599</v>
      </c>
      <c r="O12508" s="37" t="str">
        <f t="shared" si="978"/>
        <v>Digital Payment</v>
      </c>
      <c r="P12508">
        <v>996.11</v>
      </c>
      <c r="Q12508" s="37" t="str">
        <f>IF(P12508&gt;500,"High","low")</f>
        <v>High</v>
      </c>
      <c r="R12508" s="37" t="str">
        <f t="shared" si="979"/>
        <v>Good</v>
      </c>
      <c r="S12508" t="s">
        <v>609</v>
      </c>
    </row>
    <row r="12509" spans="1:19" x14ac:dyDescent="0.2">
      <c r="A12509" t="s">
        <v>13120</v>
      </c>
      <c r="B12509" t="s">
        <v>83</v>
      </c>
      <c r="C12509" t="s">
        <v>597</v>
      </c>
      <c r="D12509">
        <v>4232.4399999999996</v>
      </c>
      <c r="E12509" s="37" t="str">
        <f t="shared" si="975"/>
        <v xml:space="preserve"> </v>
      </c>
      <c r="F12509">
        <v>0.38</v>
      </c>
      <c r="G12509" s="37" t="str">
        <f t="shared" si="976"/>
        <v>Heavy Discount</v>
      </c>
      <c r="H12509" s="37" t="str">
        <f t="shared" si="977"/>
        <v>Medium</v>
      </c>
      <c r="I12509">
        <v>6</v>
      </c>
      <c r="J12509" t="str" cm="1">
        <f t="array" ref="J12509">_xlfn.IFS(I12509&lt;=3,"small",I12509&lt;=6,"Medium",I12509&lt;=9,"Large")</f>
        <v>Medium</v>
      </c>
      <c r="K12509" s="36">
        <v>45146</v>
      </c>
      <c r="L12509" s="36">
        <v>45150</v>
      </c>
      <c r="M12509" t="s">
        <v>603</v>
      </c>
      <c r="N12509" t="s">
        <v>604</v>
      </c>
      <c r="O12509" s="37" t="str">
        <f t="shared" si="978"/>
        <v>Digital Payment</v>
      </c>
      <c r="P12509">
        <v>311.19</v>
      </c>
      <c r="Q12509" s="37" t="str">
        <f>IF(P12509&gt;500,"High","low")</f>
        <v>low</v>
      </c>
      <c r="R12509" s="37" t="str">
        <f t="shared" si="979"/>
        <v>AVERAGE</v>
      </c>
      <c r="S12509" t="s">
        <v>600</v>
      </c>
    </row>
    <row r="12510" spans="1:19" x14ac:dyDescent="0.2">
      <c r="A12510" t="s">
        <v>13121</v>
      </c>
      <c r="B12510" t="s">
        <v>90</v>
      </c>
      <c r="C12510" t="s">
        <v>617</v>
      </c>
      <c r="D12510">
        <v>3362.37</v>
      </c>
      <c r="E12510" s="37" t="str">
        <f t="shared" si="975"/>
        <v xml:space="preserve"> </v>
      </c>
      <c r="F12510">
        <v>0.28999999999999998</v>
      </c>
      <c r="G12510" s="37" t="str">
        <f t="shared" si="976"/>
        <v>Normal Discount</v>
      </c>
      <c r="H12510" s="37" t="str">
        <f t="shared" si="977"/>
        <v>Medium</v>
      </c>
      <c r="I12510">
        <v>7</v>
      </c>
      <c r="J12510" t="str" cm="1">
        <f t="array" ref="J12510">_xlfn.IFS(I12510&lt;=3,"small",I12510&lt;=6,"Medium",I12510&lt;=9,"Large")</f>
        <v>Large</v>
      </c>
      <c r="K12510" s="36">
        <v>45092</v>
      </c>
      <c r="L12510" s="36">
        <v>45099</v>
      </c>
      <c r="M12510" t="s">
        <v>612</v>
      </c>
      <c r="N12510" t="s">
        <v>599</v>
      </c>
      <c r="O12510" s="37" t="str">
        <f t="shared" si="978"/>
        <v>Digital Payment</v>
      </c>
      <c r="P12510">
        <v>354.52</v>
      </c>
      <c r="Q12510" s="37" t="str">
        <f>IF(P12510&gt;500,"High","low")</f>
        <v>low</v>
      </c>
      <c r="R12510" s="37" t="str">
        <f t="shared" si="979"/>
        <v>AVERAGE</v>
      </c>
      <c r="S12510" t="s">
        <v>600</v>
      </c>
    </row>
    <row r="12511" spans="1:19" x14ac:dyDescent="0.2">
      <c r="A12511" t="s">
        <v>13122</v>
      </c>
      <c r="B12511" t="s">
        <v>67</v>
      </c>
      <c r="C12511" t="s">
        <v>617</v>
      </c>
      <c r="D12511">
        <v>2173.17</v>
      </c>
      <c r="E12511" s="37" t="str">
        <f t="shared" si="975"/>
        <v xml:space="preserve"> </v>
      </c>
      <c r="F12511">
        <v>0.38</v>
      </c>
      <c r="G12511" s="37" t="str">
        <f t="shared" si="976"/>
        <v>Heavy Discount</v>
      </c>
      <c r="H12511" s="37" t="str">
        <f t="shared" si="977"/>
        <v>Medium</v>
      </c>
      <c r="I12511">
        <v>2</v>
      </c>
      <c r="J12511" t="str" cm="1">
        <f t="array" ref="J12511">_xlfn.IFS(I12511&lt;=3,"small",I12511&lt;=6,"Medium",I12511&lt;=9,"Large")</f>
        <v>small</v>
      </c>
      <c r="K12511" s="36">
        <v>45083</v>
      </c>
      <c r="L12511" s="36">
        <v>45088</v>
      </c>
      <c r="M12511" t="s">
        <v>603</v>
      </c>
      <c r="N12511" t="s">
        <v>599</v>
      </c>
      <c r="O12511" s="37" t="str">
        <f t="shared" si="978"/>
        <v>Digital Payment</v>
      </c>
      <c r="P12511">
        <v>283.75</v>
      </c>
      <c r="Q12511" s="37" t="str">
        <f>IF(P12511&gt;500,"High","low")</f>
        <v>low</v>
      </c>
      <c r="R12511" s="37" t="str">
        <f t="shared" si="979"/>
        <v>AVERAGE</v>
      </c>
      <c r="S12511" t="s">
        <v>620</v>
      </c>
    </row>
    <row r="12512" spans="1:19" x14ac:dyDescent="0.2">
      <c r="A12512" t="s">
        <v>13123</v>
      </c>
      <c r="B12512" t="s">
        <v>90</v>
      </c>
      <c r="C12512" t="s">
        <v>617</v>
      </c>
      <c r="D12512">
        <v>407.5</v>
      </c>
      <c r="E12512" s="37" t="str">
        <f t="shared" si="975"/>
        <v xml:space="preserve"> </v>
      </c>
      <c r="F12512">
        <v>0.16</v>
      </c>
      <c r="G12512" s="37" t="str">
        <f t="shared" si="976"/>
        <v>Normal Discount</v>
      </c>
      <c r="H12512" s="37" t="str">
        <f t="shared" si="977"/>
        <v>Low</v>
      </c>
      <c r="I12512">
        <v>6</v>
      </c>
      <c r="J12512" t="str" cm="1">
        <f t="array" ref="J12512">_xlfn.IFS(I12512&lt;=3,"small",I12512&lt;=6,"Medium",I12512&lt;=9,"Large")</f>
        <v>Medium</v>
      </c>
      <c r="K12512" s="36">
        <v>45273</v>
      </c>
      <c r="L12512" s="36">
        <v>45275</v>
      </c>
      <c r="M12512" t="s">
        <v>612</v>
      </c>
      <c r="N12512" t="s">
        <v>599</v>
      </c>
      <c r="O12512" s="37" t="str">
        <f t="shared" si="978"/>
        <v>Digital Payment</v>
      </c>
      <c r="P12512">
        <v>112.38</v>
      </c>
      <c r="Q12512" s="37" t="str">
        <f>IF(P12512&gt;500,"High","low")</f>
        <v>low</v>
      </c>
      <c r="R12512" s="37" t="str">
        <f t="shared" si="979"/>
        <v>AVERAGE</v>
      </c>
      <c r="S12512" t="s">
        <v>609</v>
      </c>
    </row>
    <row r="12513" spans="1:19" x14ac:dyDescent="0.2">
      <c r="A12513" t="s">
        <v>13124</v>
      </c>
      <c r="B12513" t="s">
        <v>90</v>
      </c>
      <c r="C12513" t="s">
        <v>614</v>
      </c>
      <c r="D12513">
        <v>3961.04</v>
      </c>
      <c r="E12513" s="37" t="str">
        <f t="shared" si="975"/>
        <v xml:space="preserve"> </v>
      </c>
      <c r="F12513">
        <v>0.38</v>
      </c>
      <c r="G12513" s="37" t="str">
        <f t="shared" si="976"/>
        <v>Heavy Discount</v>
      </c>
      <c r="H12513" s="37" t="str">
        <f t="shared" si="977"/>
        <v>Medium</v>
      </c>
      <c r="I12513">
        <v>1</v>
      </c>
      <c r="J12513" t="str" cm="1">
        <f t="array" ref="J12513">_xlfn.IFS(I12513&lt;=3,"small",I12513&lt;=6,"Medium",I12513&lt;=9,"Large")</f>
        <v>small</v>
      </c>
      <c r="K12513" s="36">
        <v>45181</v>
      </c>
      <c r="L12513" s="36">
        <v>45188</v>
      </c>
      <c r="M12513" t="s">
        <v>598</v>
      </c>
      <c r="N12513" t="s">
        <v>604</v>
      </c>
      <c r="O12513" s="37" t="str">
        <f t="shared" si="978"/>
        <v>Digital Payment</v>
      </c>
      <c r="P12513">
        <v>449.99</v>
      </c>
      <c r="Q12513" s="37" t="str">
        <f>IF(P12513&gt;500,"High","low")</f>
        <v>low</v>
      </c>
      <c r="R12513" s="37" t="str">
        <f t="shared" si="979"/>
        <v>AVERAGE</v>
      </c>
      <c r="S12513" t="s">
        <v>628</v>
      </c>
    </row>
    <row r="12514" spans="1:19" x14ac:dyDescent="0.2">
      <c r="A12514" t="s">
        <v>13125</v>
      </c>
      <c r="B12514" t="s">
        <v>90</v>
      </c>
      <c r="C12514" t="s">
        <v>617</v>
      </c>
      <c r="D12514">
        <v>4535.74</v>
      </c>
      <c r="E12514" s="37" t="str">
        <f t="shared" si="975"/>
        <v xml:space="preserve"> </v>
      </c>
      <c r="F12514">
        <v>0.39</v>
      </c>
      <c r="G12514" s="37" t="str">
        <f t="shared" si="976"/>
        <v>Heavy Discount</v>
      </c>
      <c r="H12514" s="37" t="str">
        <f t="shared" si="977"/>
        <v>Medium</v>
      </c>
      <c r="I12514">
        <v>9</v>
      </c>
      <c r="J12514" t="str" cm="1">
        <f t="array" ref="J12514">_xlfn.IFS(I12514&lt;=3,"small",I12514&lt;=6,"Medium",I12514&lt;=9,"Large")</f>
        <v>Large</v>
      </c>
      <c r="K12514" s="36">
        <v>45614</v>
      </c>
      <c r="L12514" s="36">
        <v>45617</v>
      </c>
      <c r="M12514" t="s">
        <v>603</v>
      </c>
      <c r="N12514" t="s">
        <v>599</v>
      </c>
      <c r="O12514" s="37" t="str">
        <f t="shared" si="978"/>
        <v>Digital Payment</v>
      </c>
      <c r="P12514">
        <v>701.33</v>
      </c>
      <c r="Q12514" s="37" t="str">
        <f>IF(P12514&gt;500,"High","low")</f>
        <v>High</v>
      </c>
      <c r="R12514" s="37" t="str">
        <f t="shared" si="979"/>
        <v>Good</v>
      </c>
      <c r="S12514" t="s">
        <v>628</v>
      </c>
    </row>
    <row r="12515" spans="1:19" x14ac:dyDescent="0.2">
      <c r="A12515" t="s">
        <v>13126</v>
      </c>
      <c r="B12515" t="s">
        <v>67</v>
      </c>
      <c r="C12515" t="s">
        <v>597</v>
      </c>
      <c r="D12515">
        <v>2606.77</v>
      </c>
      <c r="E12515" s="37" t="str">
        <f t="shared" si="975"/>
        <v xml:space="preserve"> </v>
      </c>
      <c r="F12515">
        <v>0.05</v>
      </c>
      <c r="G12515" s="37" t="str">
        <f t="shared" si="976"/>
        <v>Normal Discount</v>
      </c>
      <c r="H12515" s="37" t="str">
        <f t="shared" si="977"/>
        <v>Low</v>
      </c>
      <c r="I12515">
        <v>6</v>
      </c>
      <c r="J12515" t="str" cm="1">
        <f t="array" ref="J12515">_xlfn.IFS(I12515&lt;=3,"small",I12515&lt;=6,"Medium",I12515&lt;=9,"Large")</f>
        <v>Medium</v>
      </c>
      <c r="K12515" s="36">
        <v>45614</v>
      </c>
      <c r="L12515" s="36">
        <v>45615</v>
      </c>
      <c r="M12515" t="s">
        <v>612</v>
      </c>
      <c r="N12515" t="s">
        <v>599</v>
      </c>
      <c r="O12515" s="37" t="str">
        <f t="shared" si="978"/>
        <v>Digital Payment</v>
      </c>
      <c r="P12515">
        <v>532.29</v>
      </c>
      <c r="Q12515" s="37" t="str">
        <f>IF(P12515&gt;500,"High","low")</f>
        <v>High</v>
      </c>
      <c r="R12515" s="37" t="str">
        <f t="shared" si="979"/>
        <v>Good</v>
      </c>
      <c r="S12515" t="s">
        <v>620</v>
      </c>
    </row>
    <row r="12516" spans="1:19" x14ac:dyDescent="0.2">
      <c r="A12516" t="s">
        <v>13127</v>
      </c>
      <c r="B12516" t="s">
        <v>75</v>
      </c>
      <c r="C12516" t="s">
        <v>602</v>
      </c>
      <c r="D12516">
        <v>2709.3</v>
      </c>
      <c r="E12516" s="37" t="str">
        <f t="shared" si="975"/>
        <v xml:space="preserve"> </v>
      </c>
      <c r="F12516">
        <v>0.05</v>
      </c>
      <c r="G12516" s="37" t="str">
        <f t="shared" si="976"/>
        <v>Normal Discount</v>
      </c>
      <c r="H12516" s="37" t="str">
        <f t="shared" si="977"/>
        <v>Low</v>
      </c>
      <c r="I12516">
        <v>7</v>
      </c>
      <c r="J12516" t="str" cm="1">
        <f t="array" ref="J12516">_xlfn.IFS(I12516&lt;=3,"small",I12516&lt;=6,"Medium",I12516&lt;=9,"Large")</f>
        <v>Large</v>
      </c>
      <c r="K12516" s="36">
        <v>45115</v>
      </c>
      <c r="L12516" s="36">
        <v>45119</v>
      </c>
      <c r="M12516" t="s">
        <v>612</v>
      </c>
      <c r="N12516" t="s">
        <v>599</v>
      </c>
      <c r="O12516" s="37" t="str">
        <f t="shared" si="978"/>
        <v>Digital Payment</v>
      </c>
      <c r="P12516">
        <v>659.37</v>
      </c>
      <c r="Q12516" s="37" t="str">
        <f>IF(P12516&gt;500,"High","low")</f>
        <v>High</v>
      </c>
      <c r="R12516" s="37" t="str">
        <f t="shared" si="979"/>
        <v>Good</v>
      </c>
      <c r="S12516" t="s">
        <v>615</v>
      </c>
    </row>
    <row r="12517" spans="1:19" x14ac:dyDescent="0.2">
      <c r="A12517" t="s">
        <v>13128</v>
      </c>
      <c r="B12517" t="s">
        <v>90</v>
      </c>
      <c r="C12517" t="s">
        <v>607</v>
      </c>
      <c r="D12517">
        <v>2076.11</v>
      </c>
      <c r="E12517" s="37" t="str">
        <f t="shared" si="975"/>
        <v xml:space="preserve"> </v>
      </c>
      <c r="F12517">
        <v>0.49</v>
      </c>
      <c r="G12517" s="37" t="str">
        <f t="shared" si="976"/>
        <v>Heavy Discount</v>
      </c>
      <c r="H12517" s="37" t="str">
        <f t="shared" si="977"/>
        <v>High</v>
      </c>
      <c r="I12517">
        <v>5</v>
      </c>
      <c r="J12517" t="str" cm="1">
        <f t="array" ref="J12517">_xlfn.IFS(I12517&lt;=3,"small",I12517&lt;=6,"Medium",I12517&lt;=9,"Large")</f>
        <v>Medium</v>
      </c>
      <c r="K12517" s="36">
        <v>45377</v>
      </c>
      <c r="L12517" s="36">
        <v>45382</v>
      </c>
      <c r="M12517" t="s">
        <v>598</v>
      </c>
      <c r="N12517" t="s">
        <v>599</v>
      </c>
      <c r="O12517" s="37" t="str">
        <f t="shared" si="978"/>
        <v>Digital Payment</v>
      </c>
      <c r="P12517">
        <v>448.16</v>
      </c>
      <c r="Q12517" s="37" t="str">
        <f>IF(P12517&gt;500,"High","low")</f>
        <v>low</v>
      </c>
      <c r="R12517" s="37" t="str">
        <f t="shared" si="979"/>
        <v>AVERAGE</v>
      </c>
      <c r="S12517" t="s">
        <v>620</v>
      </c>
    </row>
    <row r="12518" spans="1:19" x14ac:dyDescent="0.2">
      <c r="A12518" t="s">
        <v>13129</v>
      </c>
      <c r="B12518" t="s">
        <v>90</v>
      </c>
      <c r="C12518" t="s">
        <v>617</v>
      </c>
      <c r="D12518">
        <v>4298.72</v>
      </c>
      <c r="E12518" s="37" t="str">
        <f t="shared" si="975"/>
        <v>Excellent Order</v>
      </c>
      <c r="F12518">
        <v>0.06</v>
      </c>
      <c r="G12518" s="37" t="str">
        <f t="shared" si="976"/>
        <v>Normal Discount</v>
      </c>
      <c r="H12518" s="37" t="str">
        <f t="shared" si="977"/>
        <v>Low</v>
      </c>
      <c r="I12518">
        <v>2</v>
      </c>
      <c r="J12518" t="str" cm="1">
        <f t="array" ref="J12518">_xlfn.IFS(I12518&lt;=3,"small",I12518&lt;=6,"Medium",I12518&lt;=9,"Large")</f>
        <v>small</v>
      </c>
      <c r="K12518" s="36">
        <v>45102</v>
      </c>
      <c r="L12518" s="36">
        <v>45104</v>
      </c>
      <c r="M12518" t="s">
        <v>603</v>
      </c>
      <c r="N12518" t="s">
        <v>608</v>
      </c>
      <c r="O12518" s="37" t="str">
        <f t="shared" si="978"/>
        <v>Cash Payment</v>
      </c>
      <c r="P12518">
        <v>948.26</v>
      </c>
      <c r="Q12518" s="37" t="str">
        <f>IF(P12518&gt;500,"High","low")</f>
        <v>High</v>
      </c>
      <c r="R12518" s="37" t="str">
        <f t="shared" si="979"/>
        <v>Good</v>
      </c>
      <c r="S12518" t="s">
        <v>620</v>
      </c>
    </row>
    <row r="12519" spans="1:19" x14ac:dyDescent="0.2">
      <c r="A12519" t="s">
        <v>13130</v>
      </c>
      <c r="B12519" t="s">
        <v>83</v>
      </c>
      <c r="C12519" t="s">
        <v>614</v>
      </c>
      <c r="D12519">
        <v>172.54</v>
      </c>
      <c r="E12519" s="37" t="str">
        <f t="shared" si="975"/>
        <v xml:space="preserve"> </v>
      </c>
      <c r="F12519">
        <v>0.34</v>
      </c>
      <c r="G12519" s="37" t="str">
        <f t="shared" si="976"/>
        <v>Heavy Discount</v>
      </c>
      <c r="H12519" s="37" t="str">
        <f t="shared" si="977"/>
        <v>Medium</v>
      </c>
      <c r="I12519">
        <v>4</v>
      </c>
      <c r="J12519" t="str" cm="1">
        <f t="array" ref="J12519">_xlfn.IFS(I12519&lt;=3,"small",I12519&lt;=6,"Medium",I12519&lt;=9,"Large")</f>
        <v>Medium</v>
      </c>
      <c r="K12519" s="36">
        <v>45008</v>
      </c>
      <c r="L12519" s="36">
        <v>45015</v>
      </c>
      <c r="M12519" t="s">
        <v>598</v>
      </c>
      <c r="N12519" t="s">
        <v>608</v>
      </c>
      <c r="O12519" s="37" t="str">
        <f t="shared" si="978"/>
        <v>Cash Payment</v>
      </c>
      <c r="P12519">
        <v>40.659999999999997</v>
      </c>
      <c r="Q12519" s="37" t="str">
        <f>IF(P12519&gt;500,"High","low")</f>
        <v>low</v>
      </c>
      <c r="R12519" s="37" t="str">
        <f t="shared" si="979"/>
        <v>AVERAGE</v>
      </c>
      <c r="S12519" t="s">
        <v>620</v>
      </c>
    </row>
    <row r="12520" spans="1:19" x14ac:dyDescent="0.2">
      <c r="A12520" t="s">
        <v>13131</v>
      </c>
      <c r="B12520" t="s">
        <v>75</v>
      </c>
      <c r="C12520" t="s">
        <v>614</v>
      </c>
      <c r="D12520">
        <v>3160.29</v>
      </c>
      <c r="E12520" s="37" t="str">
        <f t="shared" si="975"/>
        <v xml:space="preserve"> </v>
      </c>
      <c r="F12520">
        <v>0.37</v>
      </c>
      <c r="G12520" s="37" t="str">
        <f t="shared" si="976"/>
        <v>Heavy Discount</v>
      </c>
      <c r="H12520" s="37" t="str">
        <f t="shared" si="977"/>
        <v>Medium</v>
      </c>
      <c r="I12520">
        <v>5</v>
      </c>
      <c r="J12520" t="str" cm="1">
        <f t="array" ref="J12520">_xlfn.IFS(I12520&lt;=3,"small",I12520&lt;=6,"Medium",I12520&lt;=9,"Large")</f>
        <v>Medium</v>
      </c>
      <c r="K12520" s="36">
        <v>45652</v>
      </c>
      <c r="L12520" s="36">
        <v>45653</v>
      </c>
      <c r="M12520" t="s">
        <v>598</v>
      </c>
      <c r="N12520" t="s">
        <v>599</v>
      </c>
      <c r="O12520" s="37" t="str">
        <f t="shared" si="978"/>
        <v>Digital Payment</v>
      </c>
      <c r="P12520">
        <v>621.91999999999996</v>
      </c>
      <c r="Q12520" s="37" t="str">
        <f>IF(P12520&gt;500,"High","low")</f>
        <v>High</v>
      </c>
      <c r="R12520" s="37" t="str">
        <f t="shared" si="979"/>
        <v>Good</v>
      </c>
      <c r="S12520" t="s">
        <v>605</v>
      </c>
    </row>
    <row r="12521" spans="1:19" x14ac:dyDescent="0.2">
      <c r="A12521" t="s">
        <v>13132</v>
      </c>
      <c r="B12521" t="s">
        <v>67</v>
      </c>
      <c r="C12521" t="s">
        <v>597</v>
      </c>
      <c r="D12521">
        <v>4546.32</v>
      </c>
      <c r="E12521" s="37" t="str">
        <f t="shared" si="975"/>
        <v>Excellent Order</v>
      </c>
      <c r="F12521">
        <v>0.03</v>
      </c>
      <c r="G12521" s="37" t="str">
        <f t="shared" si="976"/>
        <v>Normal Discount</v>
      </c>
      <c r="H12521" s="37" t="str">
        <f t="shared" si="977"/>
        <v>Low</v>
      </c>
      <c r="I12521">
        <v>2</v>
      </c>
      <c r="J12521" t="str" cm="1">
        <f t="array" ref="J12521">_xlfn.IFS(I12521&lt;=3,"small",I12521&lt;=6,"Medium",I12521&lt;=9,"Large")</f>
        <v>small</v>
      </c>
      <c r="K12521" s="36">
        <v>45014</v>
      </c>
      <c r="L12521" s="36">
        <v>45017</v>
      </c>
      <c r="M12521" t="s">
        <v>598</v>
      </c>
      <c r="N12521" t="s">
        <v>599</v>
      </c>
      <c r="O12521" s="37" t="str">
        <f t="shared" si="978"/>
        <v>Digital Payment</v>
      </c>
      <c r="P12521">
        <v>804.5</v>
      </c>
      <c r="Q12521" s="37" t="str">
        <f>IF(P12521&gt;500,"High","low")</f>
        <v>High</v>
      </c>
      <c r="R12521" s="37" t="str">
        <f t="shared" si="979"/>
        <v>Good</v>
      </c>
      <c r="S12521" t="s">
        <v>628</v>
      </c>
    </row>
    <row r="12522" spans="1:19" x14ac:dyDescent="0.2">
      <c r="A12522" t="s">
        <v>13133</v>
      </c>
      <c r="B12522" t="s">
        <v>83</v>
      </c>
      <c r="C12522" t="s">
        <v>602</v>
      </c>
      <c r="D12522">
        <v>605.79</v>
      </c>
      <c r="E12522" s="37" t="str">
        <f t="shared" si="975"/>
        <v xml:space="preserve"> </v>
      </c>
      <c r="F12522">
        <v>0.37</v>
      </c>
      <c r="G12522" s="37" t="str">
        <f t="shared" si="976"/>
        <v>Heavy Discount</v>
      </c>
      <c r="H12522" s="37" t="str">
        <f t="shared" si="977"/>
        <v>Medium</v>
      </c>
      <c r="I12522">
        <v>9</v>
      </c>
      <c r="J12522" t="str" cm="1">
        <f t="array" ref="J12522">_xlfn.IFS(I12522&lt;=3,"small",I12522&lt;=6,"Medium",I12522&lt;=9,"Large")</f>
        <v>Large</v>
      </c>
      <c r="K12522" s="36">
        <v>45249</v>
      </c>
      <c r="L12522" s="36">
        <v>45255</v>
      </c>
      <c r="M12522" t="s">
        <v>598</v>
      </c>
      <c r="N12522" t="s">
        <v>599</v>
      </c>
      <c r="O12522" s="37" t="str">
        <f t="shared" si="978"/>
        <v>Digital Payment</v>
      </c>
      <c r="P12522">
        <v>156</v>
      </c>
      <c r="Q12522" s="37" t="str">
        <f>IF(P12522&gt;500,"High","low")</f>
        <v>low</v>
      </c>
      <c r="R12522" s="37" t="str">
        <f t="shared" si="979"/>
        <v>AVERAGE</v>
      </c>
      <c r="S12522" t="s">
        <v>620</v>
      </c>
    </row>
    <row r="12523" spans="1:19" x14ac:dyDescent="0.2">
      <c r="A12523" t="s">
        <v>13134</v>
      </c>
      <c r="B12523" t="s">
        <v>90</v>
      </c>
      <c r="C12523" t="s">
        <v>617</v>
      </c>
      <c r="D12523">
        <v>4799.91</v>
      </c>
      <c r="E12523" s="37" t="str">
        <f t="shared" si="975"/>
        <v>Excellent Order</v>
      </c>
      <c r="F12523">
        <v>0.21</v>
      </c>
      <c r="G12523" s="37" t="str">
        <f t="shared" si="976"/>
        <v>Normal Discount</v>
      </c>
      <c r="H12523" s="37" t="str">
        <f t="shared" si="977"/>
        <v>Medium</v>
      </c>
      <c r="I12523">
        <v>2</v>
      </c>
      <c r="J12523" t="str" cm="1">
        <f t="array" ref="J12523">_xlfn.IFS(I12523&lt;=3,"small",I12523&lt;=6,"Medium",I12523&lt;=9,"Large")</f>
        <v>small</v>
      </c>
      <c r="K12523" s="36">
        <v>45307</v>
      </c>
      <c r="L12523" s="36">
        <v>45309</v>
      </c>
      <c r="M12523" t="s">
        <v>612</v>
      </c>
      <c r="N12523" t="s">
        <v>599</v>
      </c>
      <c r="O12523" s="37" t="str">
        <f t="shared" si="978"/>
        <v>Digital Payment</v>
      </c>
      <c r="P12523">
        <v>1096</v>
      </c>
      <c r="Q12523" s="37" t="str">
        <f>IF(P12523&gt;500,"High","low")</f>
        <v>High</v>
      </c>
      <c r="R12523" s="37" t="str">
        <f t="shared" si="979"/>
        <v>Excellent</v>
      </c>
      <c r="S12523" t="s">
        <v>609</v>
      </c>
    </row>
    <row r="12524" spans="1:19" x14ac:dyDescent="0.2">
      <c r="A12524" t="s">
        <v>13135</v>
      </c>
      <c r="B12524" t="s">
        <v>83</v>
      </c>
      <c r="C12524" t="s">
        <v>617</v>
      </c>
      <c r="D12524">
        <v>4841.62</v>
      </c>
      <c r="E12524" s="37" t="str">
        <f t="shared" si="975"/>
        <v>Excellent Order</v>
      </c>
      <c r="F12524">
        <v>0.14000000000000001</v>
      </c>
      <c r="G12524" s="37" t="str">
        <f t="shared" si="976"/>
        <v>Normal Discount</v>
      </c>
      <c r="H12524" s="37" t="str">
        <f t="shared" si="977"/>
        <v>Low</v>
      </c>
      <c r="I12524">
        <v>2</v>
      </c>
      <c r="J12524" t="str" cm="1">
        <f t="array" ref="J12524">_xlfn.IFS(I12524&lt;=3,"small",I12524&lt;=6,"Medium",I12524&lt;=9,"Large")</f>
        <v>small</v>
      </c>
      <c r="K12524" s="36">
        <v>45485</v>
      </c>
      <c r="L12524" s="36">
        <v>45488</v>
      </c>
      <c r="M12524" t="s">
        <v>612</v>
      </c>
      <c r="N12524" t="s">
        <v>599</v>
      </c>
      <c r="O12524" s="37" t="str">
        <f t="shared" si="978"/>
        <v>Digital Payment</v>
      </c>
      <c r="P12524">
        <v>820.39</v>
      </c>
      <c r="Q12524" s="37" t="str">
        <f>IF(P12524&gt;500,"High","low")</f>
        <v>High</v>
      </c>
      <c r="R12524" s="37" t="str">
        <f t="shared" si="979"/>
        <v>Good</v>
      </c>
      <c r="S12524" t="s">
        <v>615</v>
      </c>
    </row>
    <row r="12525" spans="1:19" x14ac:dyDescent="0.2">
      <c r="A12525" t="s">
        <v>13136</v>
      </c>
      <c r="B12525" t="s">
        <v>83</v>
      </c>
      <c r="C12525" t="s">
        <v>614</v>
      </c>
      <c r="D12525">
        <v>4655.97</v>
      </c>
      <c r="E12525" s="37" t="str">
        <f t="shared" si="975"/>
        <v>Excellent Order</v>
      </c>
      <c r="F12525">
        <v>0.33</v>
      </c>
      <c r="G12525" s="37" t="str">
        <f t="shared" si="976"/>
        <v>Heavy Discount</v>
      </c>
      <c r="H12525" s="37" t="str">
        <f t="shared" si="977"/>
        <v>Medium</v>
      </c>
      <c r="I12525">
        <v>2</v>
      </c>
      <c r="J12525" t="str" cm="1">
        <f t="array" ref="J12525">_xlfn.IFS(I12525&lt;=3,"small",I12525&lt;=6,"Medium",I12525&lt;=9,"Large")</f>
        <v>small</v>
      </c>
      <c r="K12525" s="36">
        <v>44950</v>
      </c>
      <c r="L12525" s="36">
        <v>44956</v>
      </c>
      <c r="M12525" t="s">
        <v>598</v>
      </c>
      <c r="N12525" t="s">
        <v>599</v>
      </c>
      <c r="O12525" s="37" t="str">
        <f t="shared" si="978"/>
        <v>Digital Payment</v>
      </c>
      <c r="P12525">
        <v>1220.46</v>
      </c>
      <c r="Q12525" s="37" t="str">
        <f>IF(P12525&gt;500,"High","low")</f>
        <v>High</v>
      </c>
      <c r="R12525" s="37" t="str">
        <f t="shared" si="979"/>
        <v>Excellent</v>
      </c>
      <c r="S12525" t="s">
        <v>605</v>
      </c>
    </row>
    <row r="12526" spans="1:19" x14ac:dyDescent="0.2">
      <c r="A12526" t="s">
        <v>13137</v>
      </c>
      <c r="B12526" t="s">
        <v>90</v>
      </c>
      <c r="C12526" t="s">
        <v>597</v>
      </c>
      <c r="D12526">
        <v>2366.48</v>
      </c>
      <c r="E12526" s="37" t="str">
        <f t="shared" si="975"/>
        <v xml:space="preserve"> </v>
      </c>
      <c r="F12526">
        <v>0.42</v>
      </c>
      <c r="G12526" s="37" t="str">
        <f t="shared" si="976"/>
        <v>Heavy Discount</v>
      </c>
      <c r="H12526" s="37" t="str">
        <f t="shared" si="977"/>
        <v>High</v>
      </c>
      <c r="I12526">
        <v>2</v>
      </c>
      <c r="J12526" t="str" cm="1">
        <f t="array" ref="J12526">_xlfn.IFS(I12526&lt;=3,"small",I12526&lt;=6,"Medium",I12526&lt;=9,"Large")</f>
        <v>small</v>
      </c>
      <c r="K12526" s="36">
        <v>45273</v>
      </c>
      <c r="L12526" s="36">
        <v>45278</v>
      </c>
      <c r="M12526" t="s">
        <v>598</v>
      </c>
      <c r="N12526" t="s">
        <v>599</v>
      </c>
      <c r="O12526" s="37" t="str">
        <f t="shared" si="978"/>
        <v>Digital Payment</v>
      </c>
      <c r="P12526">
        <v>222.4</v>
      </c>
      <c r="Q12526" s="37" t="str">
        <f>IF(P12526&gt;500,"High","low")</f>
        <v>low</v>
      </c>
      <c r="R12526" s="37" t="str">
        <f t="shared" si="979"/>
        <v>AVERAGE</v>
      </c>
      <c r="S12526" t="s">
        <v>620</v>
      </c>
    </row>
    <row r="12527" spans="1:19" x14ac:dyDescent="0.2">
      <c r="A12527" t="s">
        <v>13138</v>
      </c>
      <c r="B12527" t="s">
        <v>75</v>
      </c>
      <c r="C12527" t="s">
        <v>614</v>
      </c>
      <c r="D12527">
        <v>1976.55</v>
      </c>
      <c r="E12527" s="37" t="str">
        <f t="shared" si="975"/>
        <v xml:space="preserve"> </v>
      </c>
      <c r="F12527">
        <v>0.28999999999999998</v>
      </c>
      <c r="G12527" s="37" t="str">
        <f t="shared" si="976"/>
        <v>Normal Discount</v>
      </c>
      <c r="H12527" s="37" t="str">
        <f t="shared" si="977"/>
        <v>Medium</v>
      </c>
      <c r="I12527">
        <v>5</v>
      </c>
      <c r="J12527" t="str" cm="1">
        <f t="array" ref="J12527">_xlfn.IFS(I12527&lt;=3,"small",I12527&lt;=6,"Medium",I12527&lt;=9,"Large")</f>
        <v>Medium</v>
      </c>
      <c r="K12527" s="36">
        <v>45372</v>
      </c>
      <c r="L12527" s="36">
        <v>45378</v>
      </c>
      <c r="M12527" t="s">
        <v>612</v>
      </c>
      <c r="N12527" t="s">
        <v>604</v>
      </c>
      <c r="O12527" s="37" t="str">
        <f t="shared" si="978"/>
        <v>Digital Payment</v>
      </c>
      <c r="P12527">
        <v>535.29999999999995</v>
      </c>
      <c r="Q12527" s="37" t="str">
        <f>IF(P12527&gt;500,"High","low")</f>
        <v>High</v>
      </c>
      <c r="R12527" s="37" t="str">
        <f t="shared" si="979"/>
        <v>Good</v>
      </c>
      <c r="S12527" t="s">
        <v>615</v>
      </c>
    </row>
    <row r="12528" spans="1:19" x14ac:dyDescent="0.2">
      <c r="A12528" t="s">
        <v>13139</v>
      </c>
      <c r="B12528" t="s">
        <v>75</v>
      </c>
      <c r="C12528" t="s">
        <v>614</v>
      </c>
      <c r="D12528">
        <v>3559.14</v>
      </c>
      <c r="E12528" s="37" t="str">
        <f t="shared" si="975"/>
        <v xml:space="preserve"> </v>
      </c>
      <c r="F12528">
        <v>0.44</v>
      </c>
      <c r="G12528" s="37" t="str">
        <f t="shared" si="976"/>
        <v>Heavy Discount</v>
      </c>
      <c r="H12528" s="37" t="str">
        <f t="shared" si="977"/>
        <v>High</v>
      </c>
      <c r="I12528">
        <v>7</v>
      </c>
      <c r="J12528" t="str" cm="1">
        <f t="array" ref="J12528">_xlfn.IFS(I12528&lt;=3,"small",I12528&lt;=6,"Medium",I12528&lt;=9,"Large")</f>
        <v>Large</v>
      </c>
      <c r="K12528" s="36">
        <v>45368</v>
      </c>
      <c r="L12528" s="36">
        <v>45370</v>
      </c>
      <c r="M12528" t="s">
        <v>603</v>
      </c>
      <c r="N12528" t="s">
        <v>604</v>
      </c>
      <c r="O12528" s="37" t="str">
        <f t="shared" si="978"/>
        <v>Digital Payment</v>
      </c>
      <c r="P12528">
        <v>328.79</v>
      </c>
      <c r="Q12528" s="37" t="str">
        <f>IF(P12528&gt;500,"High","low")</f>
        <v>low</v>
      </c>
      <c r="R12528" s="37" t="str">
        <f t="shared" si="979"/>
        <v>AVERAGE</v>
      </c>
      <c r="S12528" t="s">
        <v>605</v>
      </c>
    </row>
    <row r="12529" spans="1:19" x14ac:dyDescent="0.2">
      <c r="A12529" t="s">
        <v>13140</v>
      </c>
      <c r="B12529" t="s">
        <v>83</v>
      </c>
      <c r="C12529" t="s">
        <v>602</v>
      </c>
      <c r="D12529">
        <v>1661.58</v>
      </c>
      <c r="E12529" s="37" t="str">
        <f t="shared" si="975"/>
        <v xml:space="preserve"> </v>
      </c>
      <c r="F12529">
        <v>0.01</v>
      </c>
      <c r="G12529" s="37" t="str">
        <f t="shared" si="976"/>
        <v>Normal Discount</v>
      </c>
      <c r="H12529" s="37" t="str">
        <f t="shared" si="977"/>
        <v>Low</v>
      </c>
      <c r="I12529">
        <v>1</v>
      </c>
      <c r="J12529" t="str" cm="1">
        <f t="array" ref="J12529">_xlfn.IFS(I12529&lt;=3,"small",I12529&lt;=6,"Medium",I12529&lt;=9,"Large")</f>
        <v>small</v>
      </c>
      <c r="K12529" s="36">
        <v>45344</v>
      </c>
      <c r="L12529" s="36">
        <v>45348</v>
      </c>
      <c r="M12529" t="s">
        <v>612</v>
      </c>
      <c r="N12529" t="s">
        <v>608</v>
      </c>
      <c r="O12529" s="37" t="str">
        <f t="shared" si="978"/>
        <v>Cash Payment</v>
      </c>
      <c r="P12529">
        <v>185.86</v>
      </c>
      <c r="Q12529" s="37" t="str">
        <f>IF(P12529&gt;500,"High","low")</f>
        <v>low</v>
      </c>
      <c r="R12529" s="37" t="str">
        <f t="shared" si="979"/>
        <v>AVERAGE</v>
      </c>
      <c r="S12529" t="s">
        <v>600</v>
      </c>
    </row>
    <row r="12530" spans="1:19" x14ac:dyDescent="0.2">
      <c r="A12530" t="s">
        <v>13141</v>
      </c>
      <c r="B12530" t="s">
        <v>90</v>
      </c>
      <c r="C12530" t="s">
        <v>597</v>
      </c>
      <c r="D12530">
        <v>434.89</v>
      </c>
      <c r="E12530" s="37" t="str">
        <f t="shared" si="975"/>
        <v xml:space="preserve"> </v>
      </c>
      <c r="F12530">
        <v>0.37</v>
      </c>
      <c r="G12530" s="37" t="str">
        <f t="shared" si="976"/>
        <v>Heavy Discount</v>
      </c>
      <c r="H12530" s="37" t="str">
        <f t="shared" si="977"/>
        <v>Medium</v>
      </c>
      <c r="I12530">
        <v>9</v>
      </c>
      <c r="J12530" t="str" cm="1">
        <f t="array" ref="J12530">_xlfn.IFS(I12530&lt;=3,"small",I12530&lt;=6,"Medium",I12530&lt;=9,"Large")</f>
        <v>Large</v>
      </c>
      <c r="K12530" s="36">
        <v>45486</v>
      </c>
      <c r="L12530" s="36">
        <v>45487</v>
      </c>
      <c r="M12530" t="s">
        <v>612</v>
      </c>
      <c r="N12530" t="s">
        <v>608</v>
      </c>
      <c r="O12530" s="37" t="str">
        <f t="shared" si="978"/>
        <v>Cash Payment</v>
      </c>
      <c r="P12530">
        <v>50.52</v>
      </c>
      <c r="Q12530" s="37" t="str">
        <f>IF(P12530&gt;500,"High","low")</f>
        <v>low</v>
      </c>
      <c r="R12530" s="37" t="str">
        <f t="shared" si="979"/>
        <v>AVERAGE</v>
      </c>
      <c r="S12530" t="s">
        <v>615</v>
      </c>
    </row>
    <row r="12531" spans="1:19" x14ac:dyDescent="0.2">
      <c r="A12531" t="s">
        <v>13142</v>
      </c>
      <c r="B12531" t="s">
        <v>67</v>
      </c>
      <c r="C12531" t="s">
        <v>602</v>
      </c>
      <c r="D12531">
        <v>4516.97</v>
      </c>
      <c r="E12531" s="37" t="str">
        <f t="shared" si="975"/>
        <v xml:space="preserve"> </v>
      </c>
      <c r="F12531">
        <v>0.08</v>
      </c>
      <c r="G12531" s="37" t="str">
        <f t="shared" si="976"/>
        <v>Normal Discount</v>
      </c>
      <c r="H12531" s="37" t="str">
        <f t="shared" si="977"/>
        <v>Low</v>
      </c>
      <c r="I12531">
        <v>6</v>
      </c>
      <c r="J12531" t="str" cm="1">
        <f t="array" ref="J12531">_xlfn.IFS(I12531&lt;=3,"small",I12531&lt;=6,"Medium",I12531&lt;=9,"Large")</f>
        <v>Medium</v>
      </c>
      <c r="K12531" s="36">
        <v>45401</v>
      </c>
      <c r="L12531" s="36">
        <v>45403</v>
      </c>
      <c r="M12531" t="s">
        <v>612</v>
      </c>
      <c r="N12531" t="s">
        <v>599</v>
      </c>
      <c r="O12531" s="37" t="str">
        <f t="shared" si="978"/>
        <v>Digital Payment</v>
      </c>
      <c r="P12531">
        <v>298.16000000000003</v>
      </c>
      <c r="Q12531" s="37" t="str">
        <f>IF(P12531&gt;500,"High","low")</f>
        <v>low</v>
      </c>
      <c r="R12531" s="37" t="str">
        <f t="shared" si="979"/>
        <v>AVERAGE</v>
      </c>
      <c r="S12531" t="s">
        <v>628</v>
      </c>
    </row>
    <row r="12532" spans="1:19" x14ac:dyDescent="0.2">
      <c r="A12532" t="s">
        <v>13143</v>
      </c>
      <c r="B12532" t="s">
        <v>83</v>
      </c>
      <c r="C12532" t="s">
        <v>597</v>
      </c>
      <c r="D12532">
        <v>3210.79</v>
      </c>
      <c r="E12532" s="37" t="str">
        <f t="shared" si="975"/>
        <v xml:space="preserve"> </v>
      </c>
      <c r="F12532">
        <v>0.14000000000000001</v>
      </c>
      <c r="G12532" s="37" t="str">
        <f t="shared" si="976"/>
        <v>Normal Discount</v>
      </c>
      <c r="H12532" s="37" t="str">
        <f t="shared" si="977"/>
        <v>Low</v>
      </c>
      <c r="I12532">
        <v>1</v>
      </c>
      <c r="J12532" t="str" cm="1">
        <f t="array" ref="J12532">_xlfn.IFS(I12532&lt;=3,"small",I12532&lt;=6,"Medium",I12532&lt;=9,"Large")</f>
        <v>small</v>
      </c>
      <c r="K12532" s="36">
        <v>44971</v>
      </c>
      <c r="L12532" s="36">
        <v>44978</v>
      </c>
      <c r="M12532" t="s">
        <v>598</v>
      </c>
      <c r="N12532" t="s">
        <v>604</v>
      </c>
      <c r="O12532" s="37" t="str">
        <f t="shared" si="978"/>
        <v>Digital Payment</v>
      </c>
      <c r="P12532">
        <v>400.18</v>
      </c>
      <c r="Q12532" s="37" t="str">
        <f>IF(P12532&gt;500,"High","low")</f>
        <v>low</v>
      </c>
      <c r="R12532" s="37" t="str">
        <f t="shared" si="979"/>
        <v>AVERAGE</v>
      </c>
      <c r="S12532" t="s">
        <v>628</v>
      </c>
    </row>
    <row r="12533" spans="1:19" x14ac:dyDescent="0.2">
      <c r="A12533" t="s">
        <v>13144</v>
      </c>
      <c r="B12533" t="s">
        <v>67</v>
      </c>
      <c r="C12533" t="s">
        <v>617</v>
      </c>
      <c r="D12533">
        <v>1115.06</v>
      </c>
      <c r="E12533" s="37" t="str">
        <f t="shared" si="975"/>
        <v xml:space="preserve"> </v>
      </c>
      <c r="F12533">
        <v>0.28999999999999998</v>
      </c>
      <c r="G12533" s="37" t="str">
        <f t="shared" si="976"/>
        <v>Normal Discount</v>
      </c>
      <c r="H12533" s="37" t="str">
        <f t="shared" si="977"/>
        <v>Medium</v>
      </c>
      <c r="I12533">
        <v>1</v>
      </c>
      <c r="J12533" t="str" cm="1">
        <f t="array" ref="J12533">_xlfn.IFS(I12533&lt;=3,"small",I12533&lt;=6,"Medium",I12533&lt;=9,"Large")</f>
        <v>small</v>
      </c>
      <c r="K12533" s="36">
        <v>45083</v>
      </c>
      <c r="L12533" s="36">
        <v>45088</v>
      </c>
      <c r="M12533" t="s">
        <v>598</v>
      </c>
      <c r="N12533" t="s">
        <v>599</v>
      </c>
      <c r="O12533" s="37" t="str">
        <f t="shared" si="978"/>
        <v>Digital Payment</v>
      </c>
      <c r="P12533">
        <v>132.94</v>
      </c>
      <c r="Q12533" s="37" t="str">
        <f>IF(P12533&gt;500,"High","low")</f>
        <v>low</v>
      </c>
      <c r="R12533" s="37" t="str">
        <f t="shared" si="979"/>
        <v>AVERAGE</v>
      </c>
      <c r="S12533" t="s">
        <v>628</v>
      </c>
    </row>
    <row r="12534" spans="1:19" x14ac:dyDescent="0.2">
      <c r="A12534" t="s">
        <v>13145</v>
      </c>
      <c r="B12534" t="s">
        <v>83</v>
      </c>
      <c r="C12534" t="s">
        <v>607</v>
      </c>
      <c r="D12534">
        <v>190.2</v>
      </c>
      <c r="E12534" s="37" t="str">
        <f t="shared" si="975"/>
        <v xml:space="preserve"> </v>
      </c>
      <c r="F12534">
        <v>0.14000000000000001</v>
      </c>
      <c r="G12534" s="37" t="str">
        <f t="shared" si="976"/>
        <v>Normal Discount</v>
      </c>
      <c r="H12534" s="37" t="str">
        <f t="shared" si="977"/>
        <v>Low</v>
      </c>
      <c r="I12534">
        <v>9</v>
      </c>
      <c r="J12534" t="str" cm="1">
        <f t="array" ref="J12534">_xlfn.IFS(I12534&lt;=3,"small",I12534&lt;=6,"Medium",I12534&lt;=9,"Large")</f>
        <v>Large</v>
      </c>
      <c r="K12534" s="36">
        <v>45045</v>
      </c>
      <c r="L12534" s="36">
        <v>45050</v>
      </c>
      <c r="M12534" t="s">
        <v>598</v>
      </c>
      <c r="N12534" t="s">
        <v>604</v>
      </c>
      <c r="O12534" s="37" t="str">
        <f t="shared" si="978"/>
        <v>Digital Payment</v>
      </c>
      <c r="P12534">
        <v>37.549999999999997</v>
      </c>
      <c r="Q12534" s="37" t="str">
        <f>IF(P12534&gt;500,"High","low")</f>
        <v>low</v>
      </c>
      <c r="R12534" s="37" t="str">
        <f t="shared" si="979"/>
        <v>AVERAGE</v>
      </c>
      <c r="S12534" t="s">
        <v>615</v>
      </c>
    </row>
    <row r="12535" spans="1:19" x14ac:dyDescent="0.2">
      <c r="A12535" t="s">
        <v>13146</v>
      </c>
      <c r="B12535" t="s">
        <v>83</v>
      </c>
      <c r="C12535" t="s">
        <v>607</v>
      </c>
      <c r="D12535">
        <v>3645.23</v>
      </c>
      <c r="E12535" s="37" t="str">
        <f t="shared" si="975"/>
        <v xml:space="preserve"> </v>
      </c>
      <c r="F12535">
        <v>0.08</v>
      </c>
      <c r="G12535" s="37" t="str">
        <f t="shared" si="976"/>
        <v>Normal Discount</v>
      </c>
      <c r="H12535" s="37" t="str">
        <f t="shared" si="977"/>
        <v>Low</v>
      </c>
      <c r="I12535">
        <v>9</v>
      </c>
      <c r="J12535" t="str" cm="1">
        <f t="array" ref="J12535">_xlfn.IFS(I12535&lt;=3,"small",I12535&lt;=6,"Medium",I12535&lt;=9,"Large")</f>
        <v>Large</v>
      </c>
      <c r="K12535" s="36">
        <v>45421</v>
      </c>
      <c r="L12535" s="36">
        <v>45424</v>
      </c>
      <c r="M12535" t="s">
        <v>598</v>
      </c>
      <c r="N12535" t="s">
        <v>604</v>
      </c>
      <c r="O12535" s="37" t="str">
        <f t="shared" si="978"/>
        <v>Digital Payment</v>
      </c>
      <c r="P12535">
        <v>727.36</v>
      </c>
      <c r="Q12535" s="37" t="str">
        <f>IF(P12535&gt;500,"High","low")</f>
        <v>High</v>
      </c>
      <c r="R12535" s="37" t="str">
        <f t="shared" si="979"/>
        <v>Good</v>
      </c>
      <c r="S12535" t="s">
        <v>605</v>
      </c>
    </row>
    <row r="12536" spans="1:19" x14ac:dyDescent="0.2">
      <c r="A12536" t="s">
        <v>13147</v>
      </c>
      <c r="B12536" t="s">
        <v>90</v>
      </c>
      <c r="C12536" t="s">
        <v>597</v>
      </c>
      <c r="D12536">
        <v>4278.72</v>
      </c>
      <c r="E12536" s="37" t="str">
        <f t="shared" si="975"/>
        <v>Excellent Order</v>
      </c>
      <c r="F12536">
        <v>0.44</v>
      </c>
      <c r="G12536" s="37" t="str">
        <f t="shared" si="976"/>
        <v>Heavy Discount</v>
      </c>
      <c r="H12536" s="37" t="str">
        <f t="shared" si="977"/>
        <v>High</v>
      </c>
      <c r="I12536">
        <v>1</v>
      </c>
      <c r="J12536" t="str" cm="1">
        <f t="array" ref="J12536">_xlfn.IFS(I12536&lt;=3,"small",I12536&lt;=6,"Medium",I12536&lt;=9,"Large")</f>
        <v>small</v>
      </c>
      <c r="K12536" s="36">
        <v>45548</v>
      </c>
      <c r="L12536" s="36">
        <v>45551</v>
      </c>
      <c r="M12536" t="s">
        <v>603</v>
      </c>
      <c r="N12536" t="s">
        <v>599</v>
      </c>
      <c r="O12536" s="37" t="str">
        <f t="shared" si="978"/>
        <v>Digital Payment</v>
      </c>
      <c r="P12536">
        <v>801.04</v>
      </c>
      <c r="Q12536" s="37" t="str">
        <f>IF(P12536&gt;500,"High","low")</f>
        <v>High</v>
      </c>
      <c r="R12536" s="37" t="str">
        <f t="shared" si="979"/>
        <v>Good</v>
      </c>
      <c r="S12536" t="s">
        <v>620</v>
      </c>
    </row>
    <row r="12537" spans="1:19" x14ac:dyDescent="0.2">
      <c r="A12537" t="s">
        <v>13148</v>
      </c>
      <c r="B12537" t="s">
        <v>90</v>
      </c>
      <c r="C12537" t="s">
        <v>607</v>
      </c>
      <c r="D12537">
        <v>2087.67</v>
      </c>
      <c r="E12537" s="37" t="str">
        <f t="shared" si="975"/>
        <v xml:space="preserve"> </v>
      </c>
      <c r="F12537">
        <v>0.45</v>
      </c>
      <c r="G12537" s="37" t="str">
        <f t="shared" si="976"/>
        <v>Heavy Discount</v>
      </c>
      <c r="H12537" s="37" t="str">
        <f t="shared" si="977"/>
        <v>High</v>
      </c>
      <c r="I12537">
        <v>1</v>
      </c>
      <c r="J12537" t="str" cm="1">
        <f t="array" ref="J12537">_xlfn.IFS(I12537&lt;=3,"small",I12537&lt;=6,"Medium",I12537&lt;=9,"Large")</f>
        <v>small</v>
      </c>
      <c r="K12537" s="36">
        <v>45117</v>
      </c>
      <c r="L12537" s="36">
        <v>45121</v>
      </c>
      <c r="M12537" t="s">
        <v>612</v>
      </c>
      <c r="N12537" t="s">
        <v>604</v>
      </c>
      <c r="O12537" s="37" t="str">
        <f t="shared" si="978"/>
        <v>Digital Payment</v>
      </c>
      <c r="P12537">
        <v>433.06</v>
      </c>
      <c r="Q12537" s="37" t="str">
        <f>IF(P12537&gt;500,"High","low")</f>
        <v>low</v>
      </c>
      <c r="R12537" s="37" t="str">
        <f t="shared" si="979"/>
        <v>AVERAGE</v>
      </c>
      <c r="S12537" t="s">
        <v>620</v>
      </c>
    </row>
    <row r="12538" spans="1:19" x14ac:dyDescent="0.2">
      <c r="A12538" t="s">
        <v>13149</v>
      </c>
      <c r="B12538" t="s">
        <v>67</v>
      </c>
      <c r="C12538" t="s">
        <v>614</v>
      </c>
      <c r="D12538">
        <v>496.4</v>
      </c>
      <c r="E12538" s="37" t="str">
        <f t="shared" si="975"/>
        <v xml:space="preserve"> </v>
      </c>
      <c r="F12538">
        <v>0.02</v>
      </c>
      <c r="G12538" s="37" t="str">
        <f t="shared" si="976"/>
        <v>Normal Discount</v>
      </c>
      <c r="H12538" s="37" t="str">
        <f t="shared" si="977"/>
        <v>Low</v>
      </c>
      <c r="I12538">
        <v>5</v>
      </c>
      <c r="J12538" t="str" cm="1">
        <f t="array" ref="J12538">_xlfn.IFS(I12538&lt;=3,"small",I12538&lt;=6,"Medium",I12538&lt;=9,"Large")</f>
        <v>Medium</v>
      </c>
      <c r="K12538" s="36">
        <v>45486</v>
      </c>
      <c r="L12538" s="36">
        <v>45491</v>
      </c>
      <c r="M12538" t="s">
        <v>603</v>
      </c>
      <c r="N12538" t="s">
        <v>608</v>
      </c>
      <c r="O12538" s="37" t="str">
        <f t="shared" si="978"/>
        <v>Cash Payment</v>
      </c>
      <c r="P12538">
        <v>29.81</v>
      </c>
      <c r="Q12538" s="37" t="str">
        <f>IF(P12538&gt;500,"High","low")</f>
        <v>low</v>
      </c>
      <c r="R12538" s="37" t="str">
        <f t="shared" si="979"/>
        <v>AVERAGE</v>
      </c>
      <c r="S12538" t="s">
        <v>609</v>
      </c>
    </row>
    <row r="12539" spans="1:19" x14ac:dyDescent="0.2">
      <c r="A12539" t="s">
        <v>13150</v>
      </c>
      <c r="B12539" t="s">
        <v>67</v>
      </c>
      <c r="C12539" t="s">
        <v>617</v>
      </c>
      <c r="D12539">
        <v>3278.24</v>
      </c>
      <c r="E12539" s="37" t="str">
        <f t="shared" si="975"/>
        <v xml:space="preserve"> </v>
      </c>
      <c r="F12539">
        <v>0.25</v>
      </c>
      <c r="G12539" s="37" t="str">
        <f t="shared" si="976"/>
        <v>Normal Discount</v>
      </c>
      <c r="H12539" s="37" t="str">
        <f t="shared" si="977"/>
        <v>Medium</v>
      </c>
      <c r="I12539">
        <v>5</v>
      </c>
      <c r="J12539" t="str" cm="1">
        <f t="array" ref="J12539">_xlfn.IFS(I12539&lt;=3,"small",I12539&lt;=6,"Medium",I12539&lt;=9,"Large")</f>
        <v>Medium</v>
      </c>
      <c r="K12539" s="36">
        <v>45322</v>
      </c>
      <c r="L12539" s="36">
        <v>45329</v>
      </c>
      <c r="M12539" t="s">
        <v>598</v>
      </c>
      <c r="N12539" t="s">
        <v>599</v>
      </c>
      <c r="O12539" s="37" t="str">
        <f t="shared" si="978"/>
        <v>Digital Payment</v>
      </c>
      <c r="P12539">
        <v>736.61</v>
      </c>
      <c r="Q12539" s="37" t="str">
        <f>IF(P12539&gt;500,"High","low")</f>
        <v>High</v>
      </c>
      <c r="R12539" s="37" t="str">
        <f t="shared" si="979"/>
        <v>Good</v>
      </c>
      <c r="S12539" t="s">
        <v>620</v>
      </c>
    </row>
    <row r="12540" spans="1:19" x14ac:dyDescent="0.2">
      <c r="A12540" t="s">
        <v>13151</v>
      </c>
      <c r="B12540" t="s">
        <v>75</v>
      </c>
      <c r="C12540" t="s">
        <v>617</v>
      </c>
      <c r="D12540">
        <v>1554.95</v>
      </c>
      <c r="E12540" s="37" t="str">
        <f t="shared" si="975"/>
        <v xml:space="preserve"> </v>
      </c>
      <c r="F12540">
        <v>0.1</v>
      </c>
      <c r="G12540" s="37" t="str">
        <f t="shared" si="976"/>
        <v>Normal Discount</v>
      </c>
      <c r="H12540" s="37" t="str">
        <f t="shared" si="977"/>
        <v>Low</v>
      </c>
      <c r="I12540">
        <v>7</v>
      </c>
      <c r="J12540" t="str" cm="1">
        <f t="array" ref="J12540">_xlfn.IFS(I12540&lt;=3,"small",I12540&lt;=6,"Medium",I12540&lt;=9,"Large")</f>
        <v>Large</v>
      </c>
      <c r="K12540" s="36">
        <v>45388</v>
      </c>
      <c r="L12540" s="36">
        <v>45393</v>
      </c>
      <c r="M12540" t="s">
        <v>612</v>
      </c>
      <c r="N12540" t="s">
        <v>604</v>
      </c>
      <c r="O12540" s="37" t="str">
        <f t="shared" si="978"/>
        <v>Digital Payment</v>
      </c>
      <c r="P12540">
        <v>446.57</v>
      </c>
      <c r="Q12540" s="37" t="str">
        <f>IF(P12540&gt;500,"High","low")</f>
        <v>low</v>
      </c>
      <c r="R12540" s="37" t="str">
        <f t="shared" si="979"/>
        <v>AVERAGE</v>
      </c>
      <c r="S12540" t="s">
        <v>628</v>
      </c>
    </row>
    <row r="12541" spans="1:19" x14ac:dyDescent="0.2">
      <c r="A12541" t="s">
        <v>13152</v>
      </c>
      <c r="B12541" t="s">
        <v>90</v>
      </c>
      <c r="C12541" t="s">
        <v>607</v>
      </c>
      <c r="D12541">
        <v>805.34</v>
      </c>
      <c r="E12541" s="37" t="str">
        <f t="shared" si="975"/>
        <v xml:space="preserve"> </v>
      </c>
      <c r="F12541">
        <v>0.43</v>
      </c>
      <c r="G12541" s="37" t="str">
        <f t="shared" si="976"/>
        <v>Heavy Discount</v>
      </c>
      <c r="H12541" s="37" t="str">
        <f t="shared" si="977"/>
        <v>High</v>
      </c>
      <c r="I12541">
        <v>4</v>
      </c>
      <c r="J12541" t="str" cm="1">
        <f t="array" ref="J12541">_xlfn.IFS(I12541&lt;=3,"small",I12541&lt;=6,"Medium",I12541&lt;=9,"Large")</f>
        <v>Medium</v>
      </c>
      <c r="K12541" s="36">
        <v>45337</v>
      </c>
      <c r="L12541" s="36">
        <v>45342</v>
      </c>
      <c r="M12541" t="s">
        <v>598</v>
      </c>
      <c r="N12541" t="s">
        <v>599</v>
      </c>
      <c r="O12541" s="37" t="str">
        <f t="shared" si="978"/>
        <v>Digital Payment</v>
      </c>
      <c r="P12541">
        <v>167.52</v>
      </c>
      <c r="Q12541" s="37" t="str">
        <f>IF(P12541&gt;500,"High","low")</f>
        <v>low</v>
      </c>
      <c r="R12541" s="37" t="str">
        <f t="shared" si="979"/>
        <v>AVERAGE</v>
      </c>
      <c r="S12541" t="s">
        <v>605</v>
      </c>
    </row>
    <row r="12542" spans="1:19" x14ac:dyDescent="0.2">
      <c r="A12542" t="s">
        <v>13153</v>
      </c>
      <c r="B12542" t="s">
        <v>83</v>
      </c>
      <c r="C12542" t="s">
        <v>597</v>
      </c>
      <c r="D12542">
        <v>2600.94</v>
      </c>
      <c r="E12542" s="37" t="str">
        <f t="shared" si="975"/>
        <v xml:space="preserve"> </v>
      </c>
      <c r="F12542">
        <v>0.23</v>
      </c>
      <c r="G12542" s="37" t="str">
        <f t="shared" si="976"/>
        <v>Normal Discount</v>
      </c>
      <c r="H12542" s="37" t="str">
        <f t="shared" si="977"/>
        <v>Medium</v>
      </c>
      <c r="I12542">
        <v>1</v>
      </c>
      <c r="J12542" t="str" cm="1">
        <f t="array" ref="J12542">_xlfn.IFS(I12542&lt;=3,"small",I12542&lt;=6,"Medium",I12542&lt;=9,"Large")</f>
        <v>small</v>
      </c>
      <c r="K12542" s="36">
        <v>45120</v>
      </c>
      <c r="L12542" s="36">
        <v>45121</v>
      </c>
      <c r="M12542" t="s">
        <v>603</v>
      </c>
      <c r="N12542" t="s">
        <v>604</v>
      </c>
      <c r="O12542" s="37" t="str">
        <f t="shared" si="978"/>
        <v>Digital Payment</v>
      </c>
      <c r="P12542">
        <v>310.79000000000002</v>
      </c>
      <c r="Q12542" s="37" t="str">
        <f>IF(P12542&gt;500,"High","low")</f>
        <v>low</v>
      </c>
      <c r="R12542" s="37" t="str">
        <f t="shared" si="979"/>
        <v>AVERAGE</v>
      </c>
      <c r="S12542" t="s">
        <v>620</v>
      </c>
    </row>
    <row r="12543" spans="1:19" x14ac:dyDescent="0.2">
      <c r="A12543" t="s">
        <v>13154</v>
      </c>
      <c r="B12543" t="s">
        <v>83</v>
      </c>
      <c r="C12543" t="s">
        <v>614</v>
      </c>
      <c r="D12543">
        <v>2461.0300000000002</v>
      </c>
      <c r="E12543" s="37" t="str">
        <f t="shared" si="975"/>
        <v xml:space="preserve"> </v>
      </c>
      <c r="F12543">
        <v>0.24</v>
      </c>
      <c r="G12543" s="37" t="str">
        <f t="shared" si="976"/>
        <v>Normal Discount</v>
      </c>
      <c r="H12543" s="37" t="str">
        <f t="shared" si="977"/>
        <v>Medium</v>
      </c>
      <c r="I12543">
        <v>6</v>
      </c>
      <c r="J12543" t="str" cm="1">
        <f t="array" ref="J12543">_xlfn.IFS(I12543&lt;=3,"small",I12543&lt;=6,"Medium",I12543&lt;=9,"Large")</f>
        <v>Medium</v>
      </c>
      <c r="K12543" s="36">
        <v>44963</v>
      </c>
      <c r="L12543" s="36">
        <v>44964</v>
      </c>
      <c r="M12543" t="s">
        <v>603</v>
      </c>
      <c r="N12543" t="s">
        <v>599</v>
      </c>
      <c r="O12543" s="37" t="str">
        <f t="shared" si="978"/>
        <v>Digital Payment</v>
      </c>
      <c r="P12543">
        <v>313.43</v>
      </c>
      <c r="Q12543" s="37" t="str">
        <f>IF(P12543&gt;500,"High","low")</f>
        <v>low</v>
      </c>
      <c r="R12543" s="37" t="str">
        <f t="shared" si="979"/>
        <v>AVERAGE</v>
      </c>
      <c r="S12543" t="s">
        <v>600</v>
      </c>
    </row>
    <row r="12544" spans="1:19" x14ac:dyDescent="0.2">
      <c r="A12544" t="s">
        <v>13155</v>
      </c>
      <c r="B12544" t="s">
        <v>75</v>
      </c>
      <c r="C12544" t="s">
        <v>597</v>
      </c>
      <c r="D12544">
        <v>2632.18</v>
      </c>
      <c r="E12544" s="37" t="str">
        <f t="shared" si="975"/>
        <v xml:space="preserve"> </v>
      </c>
      <c r="F12544">
        <v>0.31</v>
      </c>
      <c r="G12544" s="37" t="str">
        <f t="shared" si="976"/>
        <v>Heavy Discount</v>
      </c>
      <c r="H12544" s="37" t="str">
        <f t="shared" si="977"/>
        <v>Medium</v>
      </c>
      <c r="I12544">
        <v>3</v>
      </c>
      <c r="J12544" t="str" cm="1">
        <f t="array" ref="J12544">_xlfn.IFS(I12544&lt;=3,"small",I12544&lt;=6,"Medium",I12544&lt;=9,"Large")</f>
        <v>small</v>
      </c>
      <c r="K12544" s="36">
        <v>45052</v>
      </c>
      <c r="L12544" s="36">
        <v>45057</v>
      </c>
      <c r="M12544" t="s">
        <v>598</v>
      </c>
      <c r="N12544" t="s">
        <v>608</v>
      </c>
      <c r="O12544" s="37" t="str">
        <f t="shared" si="978"/>
        <v>Cash Payment</v>
      </c>
      <c r="P12544">
        <v>635.65</v>
      </c>
      <c r="Q12544" s="37" t="str">
        <f>IF(P12544&gt;500,"High","low")</f>
        <v>High</v>
      </c>
      <c r="R12544" s="37" t="str">
        <f t="shared" si="979"/>
        <v>Good</v>
      </c>
      <c r="S12544" t="s">
        <v>600</v>
      </c>
    </row>
    <row r="12545" spans="1:19" x14ac:dyDescent="0.2">
      <c r="A12545" t="s">
        <v>13156</v>
      </c>
      <c r="B12545" t="s">
        <v>90</v>
      </c>
      <c r="C12545" t="s">
        <v>607</v>
      </c>
      <c r="D12545">
        <v>4137.2700000000004</v>
      </c>
      <c r="E12545" s="37" t="str">
        <f t="shared" si="975"/>
        <v xml:space="preserve"> </v>
      </c>
      <c r="F12545">
        <v>0.03</v>
      </c>
      <c r="G12545" s="37" t="str">
        <f t="shared" si="976"/>
        <v>Normal Discount</v>
      </c>
      <c r="H12545" s="37" t="str">
        <f t="shared" si="977"/>
        <v>Low</v>
      </c>
      <c r="I12545">
        <v>7</v>
      </c>
      <c r="J12545" t="str" cm="1">
        <f t="array" ref="J12545">_xlfn.IFS(I12545&lt;=3,"small",I12545&lt;=6,"Medium",I12545&lt;=9,"Large")</f>
        <v>Large</v>
      </c>
      <c r="K12545" s="36">
        <v>44971</v>
      </c>
      <c r="L12545" s="36">
        <v>44972</v>
      </c>
      <c r="M12545" t="s">
        <v>603</v>
      </c>
      <c r="N12545" t="s">
        <v>604</v>
      </c>
      <c r="O12545" s="37" t="str">
        <f t="shared" si="978"/>
        <v>Digital Payment</v>
      </c>
      <c r="P12545">
        <v>322.18</v>
      </c>
      <c r="Q12545" s="37" t="str">
        <f>IF(P12545&gt;500,"High","low")</f>
        <v>low</v>
      </c>
      <c r="R12545" s="37" t="str">
        <f t="shared" si="979"/>
        <v>AVERAGE</v>
      </c>
      <c r="S12545" t="s">
        <v>609</v>
      </c>
    </row>
    <row r="12546" spans="1:19" x14ac:dyDescent="0.2">
      <c r="A12546" t="s">
        <v>13157</v>
      </c>
      <c r="B12546" t="s">
        <v>83</v>
      </c>
      <c r="C12546" t="s">
        <v>617</v>
      </c>
      <c r="D12546">
        <v>2474.27</v>
      </c>
      <c r="E12546" s="37" t="str">
        <f t="shared" si="975"/>
        <v xml:space="preserve"> </v>
      </c>
      <c r="F12546">
        <v>0.06</v>
      </c>
      <c r="G12546" s="37" t="str">
        <f t="shared" si="976"/>
        <v>Normal Discount</v>
      </c>
      <c r="H12546" s="37" t="str">
        <f t="shared" si="977"/>
        <v>Low</v>
      </c>
      <c r="I12546">
        <v>1</v>
      </c>
      <c r="J12546" t="str" cm="1">
        <f t="array" ref="J12546">_xlfn.IFS(I12546&lt;=3,"small",I12546&lt;=6,"Medium",I12546&lt;=9,"Large")</f>
        <v>small</v>
      </c>
      <c r="K12546" s="36">
        <v>45111</v>
      </c>
      <c r="L12546" s="36">
        <v>45116</v>
      </c>
      <c r="M12546" t="s">
        <v>598</v>
      </c>
      <c r="N12546" t="s">
        <v>608</v>
      </c>
      <c r="O12546" s="37" t="str">
        <f t="shared" si="978"/>
        <v>Cash Payment</v>
      </c>
      <c r="P12546">
        <v>354.23</v>
      </c>
      <c r="Q12546" s="37" t="str">
        <f>IF(P12546&gt;500,"High","low")</f>
        <v>low</v>
      </c>
      <c r="R12546" s="37" t="str">
        <f t="shared" si="979"/>
        <v>AVERAGE</v>
      </c>
      <c r="S12546" t="s">
        <v>600</v>
      </c>
    </row>
    <row r="12547" spans="1:19" x14ac:dyDescent="0.2">
      <c r="A12547" t="s">
        <v>13158</v>
      </c>
      <c r="B12547" t="s">
        <v>75</v>
      </c>
      <c r="C12547" t="s">
        <v>617</v>
      </c>
      <c r="D12547">
        <v>4512.6499999999996</v>
      </c>
      <c r="E12547" s="37" t="str">
        <f t="shared" ref="E12547:E12610" si="980">IF(AND(D12547&gt;4000,P12547&gt;800),"Excellent Order"," ")</f>
        <v xml:space="preserve"> </v>
      </c>
      <c r="F12547">
        <v>0.25</v>
      </c>
      <c r="G12547" s="37" t="str">
        <f t="shared" ref="G12547:G12610" si="981">IF(F12547&gt;30%,"Heavy Discount","Normal Discount")</f>
        <v>Normal Discount</v>
      </c>
      <c r="H12547" s="37" t="str">
        <f t="shared" ref="H12547:H12610" si="982">IF(F12547&gt;0.4,"High",IF(F12547&gt;=0.2,"Medium","Low"))</f>
        <v>Medium</v>
      </c>
      <c r="I12547">
        <v>4</v>
      </c>
      <c r="J12547" t="str" cm="1">
        <f t="array" ref="J12547">_xlfn.IFS(I12547&lt;=3,"small",I12547&lt;=6,"Medium",I12547&lt;=9,"Large")</f>
        <v>Medium</v>
      </c>
      <c r="K12547" s="36">
        <v>44944</v>
      </c>
      <c r="L12547" s="36">
        <v>44947</v>
      </c>
      <c r="M12547" t="s">
        <v>598</v>
      </c>
      <c r="N12547" t="s">
        <v>604</v>
      </c>
      <c r="O12547" s="37" t="str">
        <f t="shared" ref="O12547:O12610" si="983">IF(OR(N12547="Card",N12547="UPI"),"Digital Payment","Cash Payment")</f>
        <v>Digital Payment</v>
      </c>
      <c r="P12547">
        <v>440.4</v>
      </c>
      <c r="Q12547" s="37" t="str">
        <f>IF(P12547&gt;500,"High","low")</f>
        <v>low</v>
      </c>
      <c r="R12547" s="37" t="str">
        <f t="shared" ref="R12547:R12610" si="984">IF(P12547&gt;1000,"Excellent",IF(P12547&gt;=500,"Good","AVERAGE"))</f>
        <v>AVERAGE</v>
      </c>
      <c r="S12547" t="s">
        <v>600</v>
      </c>
    </row>
    <row r="12548" spans="1:19" x14ac:dyDescent="0.2">
      <c r="A12548" t="s">
        <v>13159</v>
      </c>
      <c r="B12548" t="s">
        <v>75</v>
      </c>
      <c r="C12548" t="s">
        <v>597</v>
      </c>
      <c r="D12548">
        <v>4224.87</v>
      </c>
      <c r="E12548" s="37" t="str">
        <f t="shared" si="980"/>
        <v xml:space="preserve"> </v>
      </c>
      <c r="F12548">
        <v>0.48</v>
      </c>
      <c r="G12548" s="37" t="str">
        <f t="shared" si="981"/>
        <v>Heavy Discount</v>
      </c>
      <c r="H12548" s="37" t="str">
        <f t="shared" si="982"/>
        <v>High</v>
      </c>
      <c r="I12548">
        <v>9</v>
      </c>
      <c r="J12548" t="str" cm="1">
        <f t="array" ref="J12548">_xlfn.IFS(I12548&lt;=3,"small",I12548&lt;=6,"Medium",I12548&lt;=9,"Large")</f>
        <v>Large</v>
      </c>
      <c r="K12548" s="36">
        <v>45437</v>
      </c>
      <c r="L12548" s="36">
        <v>45440</v>
      </c>
      <c r="M12548" t="s">
        <v>603</v>
      </c>
      <c r="N12548" t="s">
        <v>599</v>
      </c>
      <c r="O12548" s="37" t="str">
        <f t="shared" si="983"/>
        <v>Digital Payment</v>
      </c>
      <c r="P12548">
        <v>422.62</v>
      </c>
      <c r="Q12548" s="37" t="str">
        <f>IF(P12548&gt;500,"High","low")</f>
        <v>low</v>
      </c>
      <c r="R12548" s="37" t="str">
        <f t="shared" si="984"/>
        <v>AVERAGE</v>
      </c>
      <c r="S12548" t="s">
        <v>628</v>
      </c>
    </row>
    <row r="12549" spans="1:19" x14ac:dyDescent="0.2">
      <c r="A12549" t="s">
        <v>13160</v>
      </c>
      <c r="B12549" t="s">
        <v>83</v>
      </c>
      <c r="C12549" t="s">
        <v>602</v>
      </c>
      <c r="D12549">
        <v>3290.47</v>
      </c>
      <c r="E12549" s="37" t="str">
        <f t="shared" si="980"/>
        <v xml:space="preserve"> </v>
      </c>
      <c r="F12549">
        <v>0.42</v>
      </c>
      <c r="G12549" s="37" t="str">
        <f t="shared" si="981"/>
        <v>Heavy Discount</v>
      </c>
      <c r="H12549" s="37" t="str">
        <f t="shared" si="982"/>
        <v>High</v>
      </c>
      <c r="I12549">
        <v>6</v>
      </c>
      <c r="J12549" t="str" cm="1">
        <f t="array" ref="J12549">_xlfn.IFS(I12549&lt;=3,"small",I12549&lt;=6,"Medium",I12549&lt;=9,"Large")</f>
        <v>Medium</v>
      </c>
      <c r="K12549" s="36">
        <v>45451</v>
      </c>
      <c r="L12549" s="36">
        <v>45458</v>
      </c>
      <c r="M12549" t="s">
        <v>603</v>
      </c>
      <c r="N12549" t="s">
        <v>604</v>
      </c>
      <c r="O12549" s="37" t="str">
        <f t="shared" si="983"/>
        <v>Digital Payment</v>
      </c>
      <c r="P12549">
        <v>167.43</v>
      </c>
      <c r="Q12549" s="37" t="str">
        <f>IF(P12549&gt;500,"High","low")</f>
        <v>low</v>
      </c>
      <c r="R12549" s="37" t="str">
        <f t="shared" si="984"/>
        <v>AVERAGE</v>
      </c>
      <c r="S12549" t="s">
        <v>609</v>
      </c>
    </row>
    <row r="12550" spans="1:19" x14ac:dyDescent="0.2">
      <c r="A12550" t="s">
        <v>13161</v>
      </c>
      <c r="B12550" t="s">
        <v>83</v>
      </c>
      <c r="C12550" t="s">
        <v>597</v>
      </c>
      <c r="D12550">
        <v>378.57</v>
      </c>
      <c r="E12550" s="37" t="str">
        <f t="shared" si="980"/>
        <v xml:space="preserve"> </v>
      </c>
      <c r="F12550">
        <v>0.44</v>
      </c>
      <c r="G12550" s="37" t="str">
        <f t="shared" si="981"/>
        <v>Heavy Discount</v>
      </c>
      <c r="H12550" s="37" t="str">
        <f t="shared" si="982"/>
        <v>High</v>
      </c>
      <c r="I12550">
        <v>2</v>
      </c>
      <c r="J12550" t="str" cm="1">
        <f t="array" ref="J12550">_xlfn.IFS(I12550&lt;=3,"small",I12550&lt;=6,"Medium",I12550&lt;=9,"Large")</f>
        <v>small</v>
      </c>
      <c r="K12550" s="36">
        <v>45255</v>
      </c>
      <c r="L12550" s="36">
        <v>45256</v>
      </c>
      <c r="M12550" t="s">
        <v>598</v>
      </c>
      <c r="N12550" t="s">
        <v>604</v>
      </c>
      <c r="O12550" s="37" t="str">
        <f t="shared" si="983"/>
        <v>Digital Payment</v>
      </c>
      <c r="P12550">
        <v>102.94</v>
      </c>
      <c r="Q12550" s="37" t="str">
        <f>IF(P12550&gt;500,"High","low")</f>
        <v>low</v>
      </c>
      <c r="R12550" s="37" t="str">
        <f t="shared" si="984"/>
        <v>AVERAGE</v>
      </c>
      <c r="S12550" t="s">
        <v>609</v>
      </c>
    </row>
    <row r="12551" spans="1:19" x14ac:dyDescent="0.2">
      <c r="A12551" t="s">
        <v>13162</v>
      </c>
      <c r="B12551" t="s">
        <v>67</v>
      </c>
      <c r="C12551" t="s">
        <v>602</v>
      </c>
      <c r="D12551">
        <v>4338.2299999999996</v>
      </c>
      <c r="E12551" s="37" t="str">
        <f t="shared" si="980"/>
        <v xml:space="preserve"> </v>
      </c>
      <c r="F12551">
        <v>7.0000000000000007E-2</v>
      </c>
      <c r="G12551" s="37" t="str">
        <f t="shared" si="981"/>
        <v>Normal Discount</v>
      </c>
      <c r="H12551" s="37" t="str">
        <f t="shared" si="982"/>
        <v>Low</v>
      </c>
      <c r="I12551">
        <v>6</v>
      </c>
      <c r="J12551" t="str" cm="1">
        <f t="array" ref="J12551">_xlfn.IFS(I12551&lt;=3,"small",I12551&lt;=6,"Medium",I12551&lt;=9,"Large")</f>
        <v>Medium</v>
      </c>
      <c r="K12551" s="36">
        <v>45238</v>
      </c>
      <c r="L12551" s="36">
        <v>45241</v>
      </c>
      <c r="M12551" t="s">
        <v>598</v>
      </c>
      <c r="N12551" t="s">
        <v>604</v>
      </c>
      <c r="O12551" s="37" t="str">
        <f t="shared" si="983"/>
        <v>Digital Payment</v>
      </c>
      <c r="P12551">
        <v>560.86</v>
      </c>
      <c r="Q12551" s="37" t="str">
        <f>IF(P12551&gt;500,"High","low")</f>
        <v>High</v>
      </c>
      <c r="R12551" s="37" t="str">
        <f t="shared" si="984"/>
        <v>Good</v>
      </c>
      <c r="S12551" t="s">
        <v>615</v>
      </c>
    </row>
    <row r="12552" spans="1:19" x14ac:dyDescent="0.2">
      <c r="A12552" t="s">
        <v>13163</v>
      </c>
      <c r="B12552" t="s">
        <v>90</v>
      </c>
      <c r="C12552" t="s">
        <v>597</v>
      </c>
      <c r="D12552">
        <v>4537.3</v>
      </c>
      <c r="E12552" s="37" t="str">
        <f t="shared" si="980"/>
        <v xml:space="preserve"> </v>
      </c>
      <c r="F12552">
        <v>0.48</v>
      </c>
      <c r="G12552" s="37" t="str">
        <f t="shared" si="981"/>
        <v>Heavy Discount</v>
      </c>
      <c r="H12552" s="37" t="str">
        <f t="shared" si="982"/>
        <v>High</v>
      </c>
      <c r="I12552">
        <v>9</v>
      </c>
      <c r="J12552" t="str" cm="1">
        <f t="array" ref="J12552">_xlfn.IFS(I12552&lt;=3,"small",I12552&lt;=6,"Medium",I12552&lt;=9,"Large")</f>
        <v>Large</v>
      </c>
      <c r="K12552" s="36">
        <v>45128</v>
      </c>
      <c r="L12552" s="36">
        <v>45134</v>
      </c>
      <c r="M12552" t="s">
        <v>598</v>
      </c>
      <c r="N12552" t="s">
        <v>599</v>
      </c>
      <c r="O12552" s="37" t="str">
        <f t="shared" si="983"/>
        <v>Digital Payment</v>
      </c>
      <c r="P12552">
        <v>665.91</v>
      </c>
      <c r="Q12552" s="37" t="str">
        <f>IF(P12552&gt;500,"High","low")</f>
        <v>High</v>
      </c>
      <c r="R12552" s="37" t="str">
        <f t="shared" si="984"/>
        <v>Good</v>
      </c>
      <c r="S12552" t="s">
        <v>615</v>
      </c>
    </row>
    <row r="12553" spans="1:19" x14ac:dyDescent="0.2">
      <c r="A12553" t="s">
        <v>13164</v>
      </c>
      <c r="B12553" t="s">
        <v>67</v>
      </c>
      <c r="C12553" t="s">
        <v>602</v>
      </c>
      <c r="D12553">
        <v>1937.73</v>
      </c>
      <c r="E12553" s="37" t="str">
        <f t="shared" si="980"/>
        <v xml:space="preserve"> </v>
      </c>
      <c r="F12553">
        <v>0.36</v>
      </c>
      <c r="G12553" s="37" t="str">
        <f t="shared" si="981"/>
        <v>Heavy Discount</v>
      </c>
      <c r="H12553" s="37" t="str">
        <f t="shared" si="982"/>
        <v>Medium</v>
      </c>
      <c r="I12553">
        <v>1</v>
      </c>
      <c r="J12553" t="str" cm="1">
        <f t="array" ref="J12553">_xlfn.IFS(I12553&lt;=3,"small",I12553&lt;=6,"Medium",I12553&lt;=9,"Large")</f>
        <v>small</v>
      </c>
      <c r="K12553" s="36">
        <v>44946</v>
      </c>
      <c r="L12553" s="36">
        <v>44949</v>
      </c>
      <c r="M12553" t="s">
        <v>612</v>
      </c>
      <c r="N12553" t="s">
        <v>604</v>
      </c>
      <c r="O12553" s="37" t="str">
        <f t="shared" si="983"/>
        <v>Digital Payment</v>
      </c>
      <c r="P12553">
        <v>109.29</v>
      </c>
      <c r="Q12553" s="37" t="str">
        <f>IF(P12553&gt;500,"High","low")</f>
        <v>low</v>
      </c>
      <c r="R12553" s="37" t="str">
        <f t="shared" si="984"/>
        <v>AVERAGE</v>
      </c>
      <c r="S12553" t="s">
        <v>609</v>
      </c>
    </row>
    <row r="12554" spans="1:19" x14ac:dyDescent="0.2">
      <c r="A12554" t="s">
        <v>13165</v>
      </c>
      <c r="B12554" t="s">
        <v>75</v>
      </c>
      <c r="C12554" t="s">
        <v>602</v>
      </c>
      <c r="D12554">
        <v>2678.14</v>
      </c>
      <c r="E12554" s="37" t="str">
        <f t="shared" si="980"/>
        <v xml:space="preserve"> </v>
      </c>
      <c r="F12554">
        <v>0.16</v>
      </c>
      <c r="G12554" s="37" t="str">
        <f t="shared" si="981"/>
        <v>Normal Discount</v>
      </c>
      <c r="H12554" s="37" t="str">
        <f t="shared" si="982"/>
        <v>Low</v>
      </c>
      <c r="I12554">
        <v>5</v>
      </c>
      <c r="J12554" t="str" cm="1">
        <f t="array" ref="J12554">_xlfn.IFS(I12554&lt;=3,"small",I12554&lt;=6,"Medium",I12554&lt;=9,"Large")</f>
        <v>Medium</v>
      </c>
      <c r="K12554" s="36">
        <v>45316</v>
      </c>
      <c r="L12554" s="36">
        <v>45323</v>
      </c>
      <c r="M12554" t="s">
        <v>603</v>
      </c>
      <c r="N12554" t="s">
        <v>608</v>
      </c>
      <c r="O12554" s="37" t="str">
        <f t="shared" si="983"/>
        <v>Cash Payment</v>
      </c>
      <c r="P12554">
        <v>197.53</v>
      </c>
      <c r="Q12554" s="37" t="str">
        <f>IF(P12554&gt;500,"High","low")</f>
        <v>low</v>
      </c>
      <c r="R12554" s="37" t="str">
        <f t="shared" si="984"/>
        <v>AVERAGE</v>
      </c>
      <c r="S12554" t="s">
        <v>615</v>
      </c>
    </row>
    <row r="12555" spans="1:19" x14ac:dyDescent="0.2">
      <c r="A12555" t="s">
        <v>13166</v>
      </c>
      <c r="B12555" t="s">
        <v>83</v>
      </c>
      <c r="C12555" t="s">
        <v>602</v>
      </c>
      <c r="D12555">
        <v>1477</v>
      </c>
      <c r="E12555" s="37" t="str">
        <f t="shared" si="980"/>
        <v xml:space="preserve"> </v>
      </c>
      <c r="F12555">
        <v>0.43</v>
      </c>
      <c r="G12555" s="37" t="str">
        <f t="shared" si="981"/>
        <v>Heavy Discount</v>
      </c>
      <c r="H12555" s="37" t="str">
        <f t="shared" si="982"/>
        <v>High</v>
      </c>
      <c r="I12555">
        <v>8</v>
      </c>
      <c r="J12555" t="str" cm="1">
        <f t="array" ref="J12555">_xlfn.IFS(I12555&lt;=3,"small",I12555&lt;=6,"Medium",I12555&lt;=9,"Large")</f>
        <v>Large</v>
      </c>
      <c r="K12555" s="36">
        <v>45336</v>
      </c>
      <c r="L12555" s="36">
        <v>45343</v>
      </c>
      <c r="M12555" t="s">
        <v>603</v>
      </c>
      <c r="N12555" t="s">
        <v>608</v>
      </c>
      <c r="O12555" s="37" t="str">
        <f t="shared" si="983"/>
        <v>Cash Payment</v>
      </c>
      <c r="P12555">
        <v>155.97999999999999</v>
      </c>
      <c r="Q12555" s="37" t="str">
        <f>IF(P12555&gt;500,"High","low")</f>
        <v>low</v>
      </c>
      <c r="R12555" s="37" t="str">
        <f t="shared" si="984"/>
        <v>AVERAGE</v>
      </c>
      <c r="S12555" t="s">
        <v>620</v>
      </c>
    </row>
    <row r="12556" spans="1:19" x14ac:dyDescent="0.2">
      <c r="A12556" t="s">
        <v>13167</v>
      </c>
      <c r="B12556" t="s">
        <v>67</v>
      </c>
      <c r="C12556" t="s">
        <v>602</v>
      </c>
      <c r="D12556">
        <v>172.11</v>
      </c>
      <c r="E12556" s="37" t="str">
        <f t="shared" si="980"/>
        <v xml:space="preserve"> </v>
      </c>
      <c r="F12556">
        <v>0.37</v>
      </c>
      <c r="G12556" s="37" t="str">
        <f t="shared" si="981"/>
        <v>Heavy Discount</v>
      </c>
      <c r="H12556" s="37" t="str">
        <f t="shared" si="982"/>
        <v>Medium</v>
      </c>
      <c r="I12556">
        <v>7</v>
      </c>
      <c r="J12556" t="str" cm="1">
        <f t="array" ref="J12556">_xlfn.IFS(I12556&lt;=3,"small",I12556&lt;=6,"Medium",I12556&lt;=9,"Large")</f>
        <v>Large</v>
      </c>
      <c r="K12556" s="36">
        <v>45115</v>
      </c>
      <c r="L12556" s="36">
        <v>45119</v>
      </c>
      <c r="M12556" t="s">
        <v>603</v>
      </c>
      <c r="N12556" t="s">
        <v>604</v>
      </c>
      <c r="O12556" s="37" t="str">
        <f t="shared" si="983"/>
        <v>Digital Payment</v>
      </c>
      <c r="P12556">
        <v>15.98</v>
      </c>
      <c r="Q12556" s="37" t="str">
        <f>IF(P12556&gt;500,"High","low")</f>
        <v>low</v>
      </c>
      <c r="R12556" s="37" t="str">
        <f t="shared" si="984"/>
        <v>AVERAGE</v>
      </c>
      <c r="S12556" t="s">
        <v>605</v>
      </c>
    </row>
    <row r="12557" spans="1:19" x14ac:dyDescent="0.2">
      <c r="A12557" t="s">
        <v>13168</v>
      </c>
      <c r="B12557" t="s">
        <v>75</v>
      </c>
      <c r="C12557" t="s">
        <v>614</v>
      </c>
      <c r="D12557">
        <v>2449.31</v>
      </c>
      <c r="E12557" s="37" t="str">
        <f t="shared" si="980"/>
        <v xml:space="preserve"> </v>
      </c>
      <c r="F12557">
        <v>0.37</v>
      </c>
      <c r="G12557" s="37" t="str">
        <f t="shared" si="981"/>
        <v>Heavy Discount</v>
      </c>
      <c r="H12557" s="37" t="str">
        <f t="shared" si="982"/>
        <v>Medium</v>
      </c>
      <c r="I12557">
        <v>2</v>
      </c>
      <c r="J12557" t="str" cm="1">
        <f t="array" ref="J12557">_xlfn.IFS(I12557&lt;=3,"small",I12557&lt;=6,"Medium",I12557&lt;=9,"Large")</f>
        <v>small</v>
      </c>
      <c r="K12557" s="36">
        <v>45012</v>
      </c>
      <c r="L12557" s="36">
        <v>45016</v>
      </c>
      <c r="M12557" t="s">
        <v>603</v>
      </c>
      <c r="N12557" t="s">
        <v>599</v>
      </c>
      <c r="O12557" s="37" t="str">
        <f t="shared" si="983"/>
        <v>Digital Payment</v>
      </c>
      <c r="P12557">
        <v>636.47</v>
      </c>
      <c r="Q12557" s="37" t="str">
        <f>IF(P12557&gt;500,"High","low")</f>
        <v>High</v>
      </c>
      <c r="R12557" s="37" t="str">
        <f t="shared" si="984"/>
        <v>Good</v>
      </c>
      <c r="S12557" t="s">
        <v>620</v>
      </c>
    </row>
    <row r="12558" spans="1:19" x14ac:dyDescent="0.2">
      <c r="A12558" t="s">
        <v>13169</v>
      </c>
      <c r="B12558" t="s">
        <v>90</v>
      </c>
      <c r="C12558" t="s">
        <v>602</v>
      </c>
      <c r="D12558">
        <v>733.86</v>
      </c>
      <c r="E12558" s="37" t="str">
        <f t="shared" si="980"/>
        <v xml:space="preserve"> </v>
      </c>
      <c r="F12558">
        <v>0.37</v>
      </c>
      <c r="G12558" s="37" t="str">
        <f t="shared" si="981"/>
        <v>Heavy Discount</v>
      </c>
      <c r="H12558" s="37" t="str">
        <f t="shared" si="982"/>
        <v>Medium</v>
      </c>
      <c r="I12558">
        <v>8</v>
      </c>
      <c r="J12558" t="str" cm="1">
        <f t="array" ref="J12558">_xlfn.IFS(I12558&lt;=3,"small",I12558&lt;=6,"Medium",I12558&lt;=9,"Large")</f>
        <v>Large</v>
      </c>
      <c r="K12558" s="36">
        <v>45556</v>
      </c>
      <c r="L12558" s="36">
        <v>45561</v>
      </c>
      <c r="M12558" t="s">
        <v>603</v>
      </c>
      <c r="N12558" t="s">
        <v>604</v>
      </c>
      <c r="O12558" s="37" t="str">
        <f t="shared" si="983"/>
        <v>Digital Payment</v>
      </c>
      <c r="P12558">
        <v>211.28</v>
      </c>
      <c r="Q12558" s="37" t="str">
        <f>IF(P12558&gt;500,"High","low")</f>
        <v>low</v>
      </c>
      <c r="R12558" s="37" t="str">
        <f t="shared" si="984"/>
        <v>AVERAGE</v>
      </c>
      <c r="S12558" t="s">
        <v>605</v>
      </c>
    </row>
    <row r="12559" spans="1:19" x14ac:dyDescent="0.2">
      <c r="A12559" t="s">
        <v>13170</v>
      </c>
      <c r="B12559" t="s">
        <v>83</v>
      </c>
      <c r="C12559" t="s">
        <v>602</v>
      </c>
      <c r="D12559">
        <v>998.29</v>
      </c>
      <c r="E12559" s="37" t="str">
        <f t="shared" si="980"/>
        <v xml:space="preserve"> </v>
      </c>
      <c r="F12559">
        <v>0.4</v>
      </c>
      <c r="G12559" s="37" t="str">
        <f t="shared" si="981"/>
        <v>Heavy Discount</v>
      </c>
      <c r="H12559" s="37" t="str">
        <f t="shared" si="982"/>
        <v>Medium</v>
      </c>
      <c r="I12559">
        <v>9</v>
      </c>
      <c r="J12559" t="str" cm="1">
        <f t="array" ref="J12559">_xlfn.IFS(I12559&lt;=3,"small",I12559&lt;=6,"Medium",I12559&lt;=9,"Large")</f>
        <v>Large</v>
      </c>
      <c r="K12559" s="36">
        <v>45097</v>
      </c>
      <c r="L12559" s="36">
        <v>45099</v>
      </c>
      <c r="M12559" t="s">
        <v>598</v>
      </c>
      <c r="N12559" t="s">
        <v>599</v>
      </c>
      <c r="O12559" s="37" t="str">
        <f t="shared" si="983"/>
        <v>Digital Payment</v>
      </c>
      <c r="P12559">
        <v>283.33999999999997</v>
      </c>
      <c r="Q12559" s="37" t="str">
        <f>IF(P12559&gt;500,"High","low")</f>
        <v>low</v>
      </c>
      <c r="R12559" s="37" t="str">
        <f t="shared" si="984"/>
        <v>AVERAGE</v>
      </c>
      <c r="S12559" t="s">
        <v>600</v>
      </c>
    </row>
    <row r="12560" spans="1:19" x14ac:dyDescent="0.2">
      <c r="A12560" t="s">
        <v>13171</v>
      </c>
      <c r="B12560" t="s">
        <v>67</v>
      </c>
      <c r="C12560" t="s">
        <v>617</v>
      </c>
      <c r="D12560">
        <v>2455.48</v>
      </c>
      <c r="E12560" s="37" t="str">
        <f t="shared" si="980"/>
        <v xml:space="preserve"> </v>
      </c>
      <c r="F12560">
        <v>0.47</v>
      </c>
      <c r="G12560" s="37" t="str">
        <f t="shared" si="981"/>
        <v>Heavy Discount</v>
      </c>
      <c r="H12560" s="37" t="str">
        <f t="shared" si="982"/>
        <v>High</v>
      </c>
      <c r="I12560">
        <v>8</v>
      </c>
      <c r="J12560" t="str" cm="1">
        <f t="array" ref="J12560">_xlfn.IFS(I12560&lt;=3,"small",I12560&lt;=6,"Medium",I12560&lt;=9,"Large")</f>
        <v>Large</v>
      </c>
      <c r="K12560" s="36">
        <v>45613</v>
      </c>
      <c r="L12560" s="36">
        <v>45615</v>
      </c>
      <c r="M12560" t="s">
        <v>598</v>
      </c>
      <c r="N12560" t="s">
        <v>608</v>
      </c>
      <c r="O12560" s="37" t="str">
        <f t="shared" si="983"/>
        <v>Cash Payment</v>
      </c>
      <c r="P12560">
        <v>253.92</v>
      </c>
      <c r="Q12560" s="37" t="str">
        <f>IF(P12560&gt;500,"High","low")</f>
        <v>low</v>
      </c>
      <c r="R12560" s="37" t="str">
        <f t="shared" si="984"/>
        <v>AVERAGE</v>
      </c>
      <c r="S12560" t="s">
        <v>620</v>
      </c>
    </row>
    <row r="12561" spans="1:19" x14ac:dyDescent="0.2">
      <c r="A12561" t="s">
        <v>13172</v>
      </c>
      <c r="B12561" t="s">
        <v>90</v>
      </c>
      <c r="C12561" t="s">
        <v>614</v>
      </c>
      <c r="D12561">
        <v>4348.49</v>
      </c>
      <c r="E12561" s="37" t="str">
        <f t="shared" si="980"/>
        <v xml:space="preserve"> </v>
      </c>
      <c r="F12561">
        <v>7.0000000000000007E-2</v>
      </c>
      <c r="G12561" s="37" t="str">
        <f t="shared" si="981"/>
        <v>Normal Discount</v>
      </c>
      <c r="H12561" s="37" t="str">
        <f t="shared" si="982"/>
        <v>Low</v>
      </c>
      <c r="I12561">
        <v>6</v>
      </c>
      <c r="J12561" t="str" cm="1">
        <f t="array" ref="J12561">_xlfn.IFS(I12561&lt;=3,"small",I12561&lt;=6,"Medium",I12561&lt;=9,"Large")</f>
        <v>Medium</v>
      </c>
      <c r="K12561" s="36">
        <v>45412</v>
      </c>
      <c r="L12561" s="36">
        <v>45416</v>
      </c>
      <c r="M12561" t="s">
        <v>612</v>
      </c>
      <c r="N12561" t="s">
        <v>604</v>
      </c>
      <c r="O12561" s="37" t="str">
        <f t="shared" si="983"/>
        <v>Digital Payment</v>
      </c>
      <c r="P12561">
        <v>355.12</v>
      </c>
      <c r="Q12561" s="37" t="str">
        <f>IF(P12561&gt;500,"High","low")</f>
        <v>low</v>
      </c>
      <c r="R12561" s="37" t="str">
        <f t="shared" si="984"/>
        <v>AVERAGE</v>
      </c>
      <c r="S12561" t="s">
        <v>628</v>
      </c>
    </row>
    <row r="12562" spans="1:19" x14ac:dyDescent="0.2">
      <c r="A12562" t="s">
        <v>13173</v>
      </c>
      <c r="B12562" t="s">
        <v>67</v>
      </c>
      <c r="C12562" t="s">
        <v>602</v>
      </c>
      <c r="D12562">
        <v>4238.7</v>
      </c>
      <c r="E12562" s="37" t="str">
        <f t="shared" si="980"/>
        <v>Excellent Order</v>
      </c>
      <c r="F12562">
        <v>0.5</v>
      </c>
      <c r="G12562" s="37" t="str">
        <f t="shared" si="981"/>
        <v>Heavy Discount</v>
      </c>
      <c r="H12562" s="37" t="str">
        <f t="shared" si="982"/>
        <v>High</v>
      </c>
      <c r="I12562">
        <v>9</v>
      </c>
      <c r="J12562" t="str" cm="1">
        <f t="array" ref="J12562">_xlfn.IFS(I12562&lt;=3,"small",I12562&lt;=6,"Medium",I12562&lt;=9,"Large")</f>
        <v>Large</v>
      </c>
      <c r="K12562" s="36">
        <v>45391</v>
      </c>
      <c r="L12562" s="36">
        <v>45397</v>
      </c>
      <c r="M12562" t="s">
        <v>603</v>
      </c>
      <c r="N12562" t="s">
        <v>604</v>
      </c>
      <c r="O12562" s="37" t="str">
        <f t="shared" si="983"/>
        <v>Digital Payment</v>
      </c>
      <c r="P12562">
        <v>911.36</v>
      </c>
      <c r="Q12562" s="37" t="str">
        <f>IF(P12562&gt;500,"High","low")</f>
        <v>High</v>
      </c>
      <c r="R12562" s="37" t="str">
        <f t="shared" si="984"/>
        <v>Good</v>
      </c>
      <c r="S12562" t="s">
        <v>605</v>
      </c>
    </row>
    <row r="12563" spans="1:19" x14ac:dyDescent="0.2">
      <c r="A12563" t="s">
        <v>13174</v>
      </c>
      <c r="B12563" t="s">
        <v>75</v>
      </c>
      <c r="C12563" t="s">
        <v>607</v>
      </c>
      <c r="D12563">
        <v>4828.84</v>
      </c>
      <c r="E12563" s="37" t="str">
        <f t="shared" si="980"/>
        <v xml:space="preserve"> </v>
      </c>
      <c r="F12563">
        <v>0.44</v>
      </c>
      <c r="G12563" s="37" t="str">
        <f t="shared" si="981"/>
        <v>Heavy Discount</v>
      </c>
      <c r="H12563" s="37" t="str">
        <f t="shared" si="982"/>
        <v>High</v>
      </c>
      <c r="I12563">
        <v>8</v>
      </c>
      <c r="J12563" t="str" cm="1">
        <f t="array" ref="J12563">_xlfn.IFS(I12563&lt;=3,"small",I12563&lt;=6,"Medium",I12563&lt;=9,"Large")</f>
        <v>Large</v>
      </c>
      <c r="K12563" s="36">
        <v>45055</v>
      </c>
      <c r="L12563" s="36">
        <v>45060</v>
      </c>
      <c r="M12563" t="s">
        <v>598</v>
      </c>
      <c r="N12563" t="s">
        <v>604</v>
      </c>
      <c r="O12563" s="37" t="str">
        <f t="shared" si="983"/>
        <v>Digital Payment</v>
      </c>
      <c r="P12563">
        <v>578.61</v>
      </c>
      <c r="Q12563" s="37" t="str">
        <f>IF(P12563&gt;500,"High","low")</f>
        <v>High</v>
      </c>
      <c r="R12563" s="37" t="str">
        <f t="shared" si="984"/>
        <v>Good</v>
      </c>
      <c r="S12563" t="s">
        <v>615</v>
      </c>
    </row>
    <row r="12564" spans="1:19" x14ac:dyDescent="0.2">
      <c r="A12564" t="s">
        <v>13175</v>
      </c>
      <c r="B12564" t="s">
        <v>90</v>
      </c>
      <c r="C12564" t="s">
        <v>614</v>
      </c>
      <c r="D12564">
        <v>2465.14</v>
      </c>
      <c r="E12564" s="37" t="str">
        <f t="shared" si="980"/>
        <v xml:space="preserve"> </v>
      </c>
      <c r="F12564">
        <v>0.22</v>
      </c>
      <c r="G12564" s="37" t="str">
        <f t="shared" si="981"/>
        <v>Normal Discount</v>
      </c>
      <c r="H12564" s="37" t="str">
        <f t="shared" si="982"/>
        <v>Medium</v>
      </c>
      <c r="I12564">
        <v>4</v>
      </c>
      <c r="J12564" t="str" cm="1">
        <f t="array" ref="J12564">_xlfn.IFS(I12564&lt;=3,"small",I12564&lt;=6,"Medium",I12564&lt;=9,"Large")</f>
        <v>Medium</v>
      </c>
      <c r="K12564" s="36">
        <v>45127</v>
      </c>
      <c r="L12564" s="36">
        <v>45131</v>
      </c>
      <c r="M12564" t="s">
        <v>603</v>
      </c>
      <c r="N12564" t="s">
        <v>608</v>
      </c>
      <c r="O12564" s="37" t="str">
        <f t="shared" si="983"/>
        <v>Cash Payment</v>
      </c>
      <c r="P12564">
        <v>158.01</v>
      </c>
      <c r="Q12564" s="37" t="str">
        <f>IF(P12564&gt;500,"High","low")</f>
        <v>low</v>
      </c>
      <c r="R12564" s="37" t="str">
        <f t="shared" si="984"/>
        <v>AVERAGE</v>
      </c>
      <c r="S12564" t="s">
        <v>628</v>
      </c>
    </row>
    <row r="12565" spans="1:19" x14ac:dyDescent="0.2">
      <c r="A12565" t="s">
        <v>13176</v>
      </c>
      <c r="B12565" t="s">
        <v>67</v>
      </c>
      <c r="C12565" t="s">
        <v>617</v>
      </c>
      <c r="D12565">
        <v>2804.84</v>
      </c>
      <c r="E12565" s="37" t="str">
        <f t="shared" si="980"/>
        <v xml:space="preserve"> </v>
      </c>
      <c r="F12565">
        <v>0.08</v>
      </c>
      <c r="G12565" s="37" t="str">
        <f t="shared" si="981"/>
        <v>Normal Discount</v>
      </c>
      <c r="H12565" s="37" t="str">
        <f t="shared" si="982"/>
        <v>Low</v>
      </c>
      <c r="I12565">
        <v>6</v>
      </c>
      <c r="J12565" t="str" cm="1">
        <f t="array" ref="J12565">_xlfn.IFS(I12565&lt;=3,"small",I12565&lt;=6,"Medium",I12565&lt;=9,"Large")</f>
        <v>Medium</v>
      </c>
      <c r="K12565" s="36">
        <v>45464</v>
      </c>
      <c r="L12565" s="36">
        <v>45467</v>
      </c>
      <c r="M12565" t="s">
        <v>612</v>
      </c>
      <c r="N12565" t="s">
        <v>608</v>
      </c>
      <c r="O12565" s="37" t="str">
        <f t="shared" si="983"/>
        <v>Cash Payment</v>
      </c>
      <c r="P12565">
        <v>534.65</v>
      </c>
      <c r="Q12565" s="37" t="str">
        <f>IF(P12565&gt;500,"High","low")</f>
        <v>High</v>
      </c>
      <c r="R12565" s="37" t="str">
        <f t="shared" si="984"/>
        <v>Good</v>
      </c>
      <c r="S12565" t="s">
        <v>628</v>
      </c>
    </row>
    <row r="12566" spans="1:19" x14ac:dyDescent="0.2">
      <c r="A12566" t="s">
        <v>13177</v>
      </c>
      <c r="B12566" t="s">
        <v>90</v>
      </c>
      <c r="C12566" t="s">
        <v>597</v>
      </c>
      <c r="D12566">
        <v>4128.37</v>
      </c>
      <c r="E12566" s="37" t="str">
        <f t="shared" si="980"/>
        <v xml:space="preserve"> </v>
      </c>
      <c r="F12566">
        <v>0.23</v>
      </c>
      <c r="G12566" s="37" t="str">
        <f t="shared" si="981"/>
        <v>Normal Discount</v>
      </c>
      <c r="H12566" s="37" t="str">
        <f t="shared" si="982"/>
        <v>Medium</v>
      </c>
      <c r="I12566">
        <v>5</v>
      </c>
      <c r="J12566" t="str" cm="1">
        <f t="array" ref="J12566">_xlfn.IFS(I12566&lt;=3,"small",I12566&lt;=6,"Medium",I12566&lt;=9,"Large")</f>
        <v>Medium</v>
      </c>
      <c r="K12566" s="36">
        <v>45502</v>
      </c>
      <c r="L12566" s="36">
        <v>45507</v>
      </c>
      <c r="M12566" t="s">
        <v>612</v>
      </c>
      <c r="N12566" t="s">
        <v>608</v>
      </c>
      <c r="O12566" s="37" t="str">
        <f t="shared" si="983"/>
        <v>Cash Payment</v>
      </c>
      <c r="P12566">
        <v>481.39</v>
      </c>
      <c r="Q12566" s="37" t="str">
        <f>IF(P12566&gt;500,"High","low")</f>
        <v>low</v>
      </c>
      <c r="R12566" s="37" t="str">
        <f t="shared" si="984"/>
        <v>AVERAGE</v>
      </c>
      <c r="S12566" t="s">
        <v>609</v>
      </c>
    </row>
    <row r="12567" spans="1:19" x14ac:dyDescent="0.2">
      <c r="A12567" t="s">
        <v>13178</v>
      </c>
      <c r="B12567" t="s">
        <v>75</v>
      </c>
      <c r="C12567" t="s">
        <v>617</v>
      </c>
      <c r="D12567">
        <v>3528.4</v>
      </c>
      <c r="E12567" s="37" t="str">
        <f t="shared" si="980"/>
        <v xml:space="preserve"> </v>
      </c>
      <c r="F12567">
        <v>0.39</v>
      </c>
      <c r="G12567" s="37" t="str">
        <f t="shared" si="981"/>
        <v>Heavy Discount</v>
      </c>
      <c r="H12567" s="37" t="str">
        <f t="shared" si="982"/>
        <v>Medium</v>
      </c>
      <c r="I12567">
        <v>9</v>
      </c>
      <c r="J12567" t="str" cm="1">
        <f t="array" ref="J12567">_xlfn.IFS(I12567&lt;=3,"small",I12567&lt;=6,"Medium",I12567&lt;=9,"Large")</f>
        <v>Large</v>
      </c>
      <c r="K12567" s="36">
        <v>45628</v>
      </c>
      <c r="L12567" s="36">
        <v>45634</v>
      </c>
      <c r="M12567" t="s">
        <v>612</v>
      </c>
      <c r="N12567" t="s">
        <v>599</v>
      </c>
      <c r="O12567" s="37" t="str">
        <f t="shared" si="983"/>
        <v>Digital Payment</v>
      </c>
      <c r="P12567">
        <v>457.67</v>
      </c>
      <c r="Q12567" s="37" t="str">
        <f>IF(P12567&gt;500,"High","low")</f>
        <v>low</v>
      </c>
      <c r="R12567" s="37" t="str">
        <f t="shared" si="984"/>
        <v>AVERAGE</v>
      </c>
      <c r="S12567" t="s">
        <v>600</v>
      </c>
    </row>
    <row r="12568" spans="1:19" x14ac:dyDescent="0.2">
      <c r="A12568" t="s">
        <v>13179</v>
      </c>
      <c r="B12568" t="s">
        <v>90</v>
      </c>
      <c r="C12568" t="s">
        <v>617</v>
      </c>
      <c r="D12568">
        <v>995.83</v>
      </c>
      <c r="E12568" s="37" t="str">
        <f t="shared" si="980"/>
        <v xml:space="preserve"> </v>
      </c>
      <c r="F12568">
        <v>0.3</v>
      </c>
      <c r="G12568" s="37" t="str">
        <f t="shared" si="981"/>
        <v>Normal Discount</v>
      </c>
      <c r="H12568" s="37" t="str">
        <f t="shared" si="982"/>
        <v>Medium</v>
      </c>
      <c r="I12568">
        <v>4</v>
      </c>
      <c r="J12568" t="str" cm="1">
        <f t="array" ref="J12568">_xlfn.IFS(I12568&lt;=3,"small",I12568&lt;=6,"Medium",I12568&lt;=9,"Large")</f>
        <v>Medium</v>
      </c>
      <c r="K12568" s="36">
        <v>45424</v>
      </c>
      <c r="L12568" s="36">
        <v>45429</v>
      </c>
      <c r="M12568" t="s">
        <v>598</v>
      </c>
      <c r="N12568" t="s">
        <v>604</v>
      </c>
      <c r="O12568" s="37" t="str">
        <f t="shared" si="983"/>
        <v>Digital Payment</v>
      </c>
      <c r="P12568">
        <v>197.87</v>
      </c>
      <c r="Q12568" s="37" t="str">
        <f>IF(P12568&gt;500,"High","low")</f>
        <v>low</v>
      </c>
      <c r="R12568" s="37" t="str">
        <f t="shared" si="984"/>
        <v>AVERAGE</v>
      </c>
      <c r="S12568" t="s">
        <v>600</v>
      </c>
    </row>
    <row r="12569" spans="1:19" x14ac:dyDescent="0.2">
      <c r="A12569" t="s">
        <v>13180</v>
      </c>
      <c r="B12569" t="s">
        <v>67</v>
      </c>
      <c r="C12569" t="s">
        <v>614</v>
      </c>
      <c r="D12569">
        <v>2051.06</v>
      </c>
      <c r="E12569" s="37" t="str">
        <f t="shared" si="980"/>
        <v xml:space="preserve"> </v>
      </c>
      <c r="F12569">
        <v>0.14000000000000001</v>
      </c>
      <c r="G12569" s="37" t="str">
        <f t="shared" si="981"/>
        <v>Normal Discount</v>
      </c>
      <c r="H12569" s="37" t="str">
        <f t="shared" si="982"/>
        <v>Low</v>
      </c>
      <c r="I12569">
        <v>1</v>
      </c>
      <c r="J12569" t="str" cm="1">
        <f t="array" ref="J12569">_xlfn.IFS(I12569&lt;=3,"small",I12569&lt;=6,"Medium",I12569&lt;=9,"Large")</f>
        <v>small</v>
      </c>
      <c r="K12569" s="36">
        <v>45303</v>
      </c>
      <c r="L12569" s="36">
        <v>45305</v>
      </c>
      <c r="M12569" t="s">
        <v>612</v>
      </c>
      <c r="N12569" t="s">
        <v>599</v>
      </c>
      <c r="O12569" s="37" t="str">
        <f t="shared" si="983"/>
        <v>Digital Payment</v>
      </c>
      <c r="P12569">
        <v>460.1</v>
      </c>
      <c r="Q12569" s="37" t="str">
        <f>IF(P12569&gt;500,"High","low")</f>
        <v>low</v>
      </c>
      <c r="R12569" s="37" t="str">
        <f t="shared" si="984"/>
        <v>AVERAGE</v>
      </c>
      <c r="S12569" t="s">
        <v>628</v>
      </c>
    </row>
    <row r="12570" spans="1:19" x14ac:dyDescent="0.2">
      <c r="A12570" t="s">
        <v>13181</v>
      </c>
      <c r="B12570" t="s">
        <v>75</v>
      </c>
      <c r="C12570" t="s">
        <v>614</v>
      </c>
      <c r="D12570">
        <v>4652.88</v>
      </c>
      <c r="E12570" s="37" t="str">
        <f t="shared" si="980"/>
        <v xml:space="preserve"> </v>
      </c>
      <c r="F12570">
        <v>0.2</v>
      </c>
      <c r="G12570" s="37" t="str">
        <f t="shared" si="981"/>
        <v>Normal Discount</v>
      </c>
      <c r="H12570" s="37" t="str">
        <f t="shared" si="982"/>
        <v>Medium</v>
      </c>
      <c r="I12570">
        <v>9</v>
      </c>
      <c r="J12570" t="str" cm="1">
        <f t="array" ref="J12570">_xlfn.IFS(I12570&lt;=3,"small",I12570&lt;=6,"Medium",I12570&lt;=9,"Large")</f>
        <v>Large</v>
      </c>
      <c r="K12570" s="36">
        <v>45188</v>
      </c>
      <c r="L12570" s="36">
        <v>45190</v>
      </c>
      <c r="M12570" t="s">
        <v>603</v>
      </c>
      <c r="N12570" t="s">
        <v>604</v>
      </c>
      <c r="O12570" s="37" t="str">
        <f t="shared" si="983"/>
        <v>Digital Payment</v>
      </c>
      <c r="P12570">
        <v>360.6</v>
      </c>
      <c r="Q12570" s="37" t="str">
        <f>IF(P12570&gt;500,"High","low")</f>
        <v>low</v>
      </c>
      <c r="R12570" s="37" t="str">
        <f t="shared" si="984"/>
        <v>AVERAGE</v>
      </c>
      <c r="S12570" t="s">
        <v>600</v>
      </c>
    </row>
    <row r="12571" spans="1:19" x14ac:dyDescent="0.2">
      <c r="A12571" t="s">
        <v>13182</v>
      </c>
      <c r="B12571" t="s">
        <v>83</v>
      </c>
      <c r="C12571" t="s">
        <v>607</v>
      </c>
      <c r="D12571">
        <v>816.02</v>
      </c>
      <c r="E12571" s="37" t="str">
        <f t="shared" si="980"/>
        <v xml:space="preserve"> </v>
      </c>
      <c r="F12571">
        <v>0.48</v>
      </c>
      <c r="G12571" s="37" t="str">
        <f t="shared" si="981"/>
        <v>Heavy Discount</v>
      </c>
      <c r="H12571" s="37" t="str">
        <f t="shared" si="982"/>
        <v>High</v>
      </c>
      <c r="I12571">
        <v>9</v>
      </c>
      <c r="J12571" t="str" cm="1">
        <f t="array" ref="J12571">_xlfn.IFS(I12571&lt;=3,"small",I12571&lt;=6,"Medium",I12571&lt;=9,"Large")</f>
        <v>Large</v>
      </c>
      <c r="K12571" s="36">
        <v>45036</v>
      </c>
      <c r="L12571" s="36">
        <v>45038</v>
      </c>
      <c r="M12571" t="s">
        <v>612</v>
      </c>
      <c r="N12571" t="s">
        <v>599</v>
      </c>
      <c r="O12571" s="37" t="str">
        <f t="shared" si="983"/>
        <v>Digital Payment</v>
      </c>
      <c r="P12571">
        <v>51.13</v>
      </c>
      <c r="Q12571" s="37" t="str">
        <f>IF(P12571&gt;500,"High","low")</f>
        <v>low</v>
      </c>
      <c r="R12571" s="37" t="str">
        <f t="shared" si="984"/>
        <v>AVERAGE</v>
      </c>
      <c r="S12571" t="s">
        <v>620</v>
      </c>
    </row>
    <row r="12572" spans="1:19" x14ac:dyDescent="0.2">
      <c r="A12572" t="s">
        <v>13183</v>
      </c>
      <c r="B12572" t="s">
        <v>67</v>
      </c>
      <c r="C12572" t="s">
        <v>607</v>
      </c>
      <c r="D12572">
        <v>1125.8499999999999</v>
      </c>
      <c r="E12572" s="37" t="str">
        <f t="shared" si="980"/>
        <v xml:space="preserve"> </v>
      </c>
      <c r="F12572">
        <v>0.4</v>
      </c>
      <c r="G12572" s="37" t="str">
        <f t="shared" si="981"/>
        <v>Heavy Discount</v>
      </c>
      <c r="H12572" s="37" t="str">
        <f t="shared" si="982"/>
        <v>Medium</v>
      </c>
      <c r="I12572">
        <v>7</v>
      </c>
      <c r="J12572" t="str" cm="1">
        <f t="array" ref="J12572">_xlfn.IFS(I12572&lt;=3,"small",I12572&lt;=6,"Medium",I12572&lt;=9,"Large")</f>
        <v>Large</v>
      </c>
      <c r="K12572" s="36">
        <v>45244</v>
      </c>
      <c r="L12572" s="36">
        <v>45245</v>
      </c>
      <c r="M12572" t="s">
        <v>612</v>
      </c>
      <c r="N12572" t="s">
        <v>599</v>
      </c>
      <c r="O12572" s="37" t="str">
        <f t="shared" si="983"/>
        <v>Digital Payment</v>
      </c>
      <c r="P12572">
        <v>288.43</v>
      </c>
      <c r="Q12572" s="37" t="str">
        <f>IF(P12572&gt;500,"High","low")</f>
        <v>low</v>
      </c>
      <c r="R12572" s="37" t="str">
        <f t="shared" si="984"/>
        <v>AVERAGE</v>
      </c>
      <c r="S12572" t="s">
        <v>628</v>
      </c>
    </row>
    <row r="12573" spans="1:19" x14ac:dyDescent="0.2">
      <c r="A12573" t="s">
        <v>13184</v>
      </c>
      <c r="B12573" t="s">
        <v>67</v>
      </c>
      <c r="C12573" t="s">
        <v>614</v>
      </c>
      <c r="D12573">
        <v>2063.23</v>
      </c>
      <c r="E12573" s="37" t="str">
        <f t="shared" si="980"/>
        <v xml:space="preserve"> </v>
      </c>
      <c r="F12573">
        <v>0.06</v>
      </c>
      <c r="G12573" s="37" t="str">
        <f t="shared" si="981"/>
        <v>Normal Discount</v>
      </c>
      <c r="H12573" s="37" t="str">
        <f t="shared" si="982"/>
        <v>Low</v>
      </c>
      <c r="I12573">
        <v>5</v>
      </c>
      <c r="J12573" t="str" cm="1">
        <f t="array" ref="J12573">_xlfn.IFS(I12573&lt;=3,"small",I12573&lt;=6,"Medium",I12573&lt;=9,"Large")</f>
        <v>Medium</v>
      </c>
      <c r="K12573" s="36">
        <v>45504</v>
      </c>
      <c r="L12573" s="36">
        <v>45507</v>
      </c>
      <c r="M12573" t="s">
        <v>612</v>
      </c>
      <c r="N12573" t="s">
        <v>608</v>
      </c>
      <c r="O12573" s="37" t="str">
        <f t="shared" si="983"/>
        <v>Cash Payment</v>
      </c>
      <c r="P12573">
        <v>241.45</v>
      </c>
      <c r="Q12573" s="37" t="str">
        <f>IF(P12573&gt;500,"High","low")</f>
        <v>low</v>
      </c>
      <c r="R12573" s="37" t="str">
        <f t="shared" si="984"/>
        <v>AVERAGE</v>
      </c>
      <c r="S12573" t="s">
        <v>615</v>
      </c>
    </row>
    <row r="12574" spans="1:19" x14ac:dyDescent="0.2">
      <c r="A12574" t="s">
        <v>13185</v>
      </c>
      <c r="B12574" t="s">
        <v>75</v>
      </c>
      <c r="C12574" t="s">
        <v>614</v>
      </c>
      <c r="D12574">
        <v>4705.38</v>
      </c>
      <c r="E12574" s="37" t="str">
        <f t="shared" si="980"/>
        <v>Excellent Order</v>
      </c>
      <c r="F12574">
        <v>0.27</v>
      </c>
      <c r="G12574" s="37" t="str">
        <f t="shared" si="981"/>
        <v>Normal Discount</v>
      </c>
      <c r="H12574" s="37" t="str">
        <f t="shared" si="982"/>
        <v>Medium</v>
      </c>
      <c r="I12574">
        <v>7</v>
      </c>
      <c r="J12574" t="str" cm="1">
        <f t="array" ref="J12574">_xlfn.IFS(I12574&lt;=3,"small",I12574&lt;=6,"Medium",I12574&lt;=9,"Large")</f>
        <v>Large</v>
      </c>
      <c r="K12574" s="36">
        <v>45608</v>
      </c>
      <c r="L12574" s="36">
        <v>45615</v>
      </c>
      <c r="M12574" t="s">
        <v>603</v>
      </c>
      <c r="N12574" t="s">
        <v>599</v>
      </c>
      <c r="O12574" s="37" t="str">
        <f t="shared" si="983"/>
        <v>Digital Payment</v>
      </c>
      <c r="P12574">
        <v>853.67</v>
      </c>
      <c r="Q12574" s="37" t="str">
        <f>IF(P12574&gt;500,"High","low")</f>
        <v>High</v>
      </c>
      <c r="R12574" s="37" t="str">
        <f t="shared" si="984"/>
        <v>Good</v>
      </c>
      <c r="S12574" t="s">
        <v>600</v>
      </c>
    </row>
    <row r="12575" spans="1:19" x14ac:dyDescent="0.2">
      <c r="A12575" t="s">
        <v>13186</v>
      </c>
      <c r="B12575" t="s">
        <v>75</v>
      </c>
      <c r="C12575" t="s">
        <v>614</v>
      </c>
      <c r="D12575">
        <v>657.71</v>
      </c>
      <c r="E12575" s="37" t="str">
        <f t="shared" si="980"/>
        <v xml:space="preserve"> </v>
      </c>
      <c r="F12575">
        <v>0.47</v>
      </c>
      <c r="G12575" s="37" t="str">
        <f t="shared" si="981"/>
        <v>Heavy Discount</v>
      </c>
      <c r="H12575" s="37" t="str">
        <f t="shared" si="982"/>
        <v>High</v>
      </c>
      <c r="I12575">
        <v>9</v>
      </c>
      <c r="J12575" t="str" cm="1">
        <f t="array" ref="J12575">_xlfn.IFS(I12575&lt;=3,"small",I12575&lt;=6,"Medium",I12575&lt;=9,"Large")</f>
        <v>Large</v>
      </c>
      <c r="K12575" s="36">
        <v>45465</v>
      </c>
      <c r="L12575" s="36">
        <v>45468</v>
      </c>
      <c r="M12575" t="s">
        <v>603</v>
      </c>
      <c r="N12575" t="s">
        <v>599</v>
      </c>
      <c r="O12575" s="37" t="str">
        <f t="shared" si="983"/>
        <v>Digital Payment</v>
      </c>
      <c r="P12575">
        <v>161.97</v>
      </c>
      <c r="Q12575" s="37" t="str">
        <f>IF(P12575&gt;500,"High","low")</f>
        <v>low</v>
      </c>
      <c r="R12575" s="37" t="str">
        <f t="shared" si="984"/>
        <v>AVERAGE</v>
      </c>
      <c r="S12575" t="s">
        <v>615</v>
      </c>
    </row>
    <row r="12576" spans="1:19" x14ac:dyDescent="0.2">
      <c r="A12576" t="s">
        <v>13187</v>
      </c>
      <c r="B12576" t="s">
        <v>83</v>
      </c>
      <c r="C12576" t="s">
        <v>597</v>
      </c>
      <c r="D12576">
        <v>3397.42</v>
      </c>
      <c r="E12576" s="37" t="str">
        <f t="shared" si="980"/>
        <v xml:space="preserve"> </v>
      </c>
      <c r="F12576">
        <v>0.02</v>
      </c>
      <c r="G12576" s="37" t="str">
        <f t="shared" si="981"/>
        <v>Normal Discount</v>
      </c>
      <c r="H12576" s="37" t="str">
        <f t="shared" si="982"/>
        <v>Low</v>
      </c>
      <c r="I12576">
        <v>3</v>
      </c>
      <c r="J12576" t="str" cm="1">
        <f t="array" ref="J12576">_xlfn.IFS(I12576&lt;=3,"small",I12576&lt;=6,"Medium",I12576&lt;=9,"Large")</f>
        <v>small</v>
      </c>
      <c r="K12576" s="36">
        <v>45008</v>
      </c>
      <c r="L12576" s="36">
        <v>45011</v>
      </c>
      <c r="M12576" t="s">
        <v>612</v>
      </c>
      <c r="N12576" t="s">
        <v>599</v>
      </c>
      <c r="O12576" s="37" t="str">
        <f t="shared" si="983"/>
        <v>Digital Payment</v>
      </c>
      <c r="P12576">
        <v>216.59</v>
      </c>
      <c r="Q12576" s="37" t="str">
        <f>IF(P12576&gt;500,"High","low")</f>
        <v>low</v>
      </c>
      <c r="R12576" s="37" t="str">
        <f t="shared" si="984"/>
        <v>AVERAGE</v>
      </c>
      <c r="S12576" t="s">
        <v>620</v>
      </c>
    </row>
    <row r="12577" spans="1:19" x14ac:dyDescent="0.2">
      <c r="A12577" t="s">
        <v>13188</v>
      </c>
      <c r="B12577" t="s">
        <v>67</v>
      </c>
      <c r="C12577" t="s">
        <v>617</v>
      </c>
      <c r="D12577">
        <v>747.4</v>
      </c>
      <c r="E12577" s="37" t="str">
        <f t="shared" si="980"/>
        <v xml:space="preserve"> </v>
      </c>
      <c r="F12577">
        <v>0.02</v>
      </c>
      <c r="G12577" s="37" t="str">
        <f t="shared" si="981"/>
        <v>Normal Discount</v>
      </c>
      <c r="H12577" s="37" t="str">
        <f t="shared" si="982"/>
        <v>Low</v>
      </c>
      <c r="I12577">
        <v>5</v>
      </c>
      <c r="J12577" t="str" cm="1">
        <f t="array" ref="J12577">_xlfn.IFS(I12577&lt;=3,"small",I12577&lt;=6,"Medium",I12577&lt;=9,"Large")</f>
        <v>Medium</v>
      </c>
      <c r="K12577" s="36">
        <v>45536</v>
      </c>
      <c r="L12577" s="36">
        <v>45539</v>
      </c>
      <c r="M12577" t="s">
        <v>598</v>
      </c>
      <c r="N12577" t="s">
        <v>599</v>
      </c>
      <c r="O12577" s="37" t="str">
        <f t="shared" si="983"/>
        <v>Digital Payment</v>
      </c>
      <c r="P12577">
        <v>181.87</v>
      </c>
      <c r="Q12577" s="37" t="str">
        <f>IF(P12577&gt;500,"High","low")</f>
        <v>low</v>
      </c>
      <c r="R12577" s="37" t="str">
        <f t="shared" si="984"/>
        <v>AVERAGE</v>
      </c>
      <c r="S12577" t="s">
        <v>600</v>
      </c>
    </row>
    <row r="12578" spans="1:19" x14ac:dyDescent="0.2">
      <c r="A12578" t="s">
        <v>13189</v>
      </c>
      <c r="B12578" t="s">
        <v>75</v>
      </c>
      <c r="C12578" t="s">
        <v>607</v>
      </c>
      <c r="D12578">
        <v>2670.06</v>
      </c>
      <c r="E12578" s="37" t="str">
        <f t="shared" si="980"/>
        <v xml:space="preserve"> </v>
      </c>
      <c r="F12578">
        <v>0.36</v>
      </c>
      <c r="G12578" s="37" t="str">
        <f t="shared" si="981"/>
        <v>Heavy Discount</v>
      </c>
      <c r="H12578" s="37" t="str">
        <f t="shared" si="982"/>
        <v>Medium</v>
      </c>
      <c r="I12578">
        <v>3</v>
      </c>
      <c r="J12578" t="str" cm="1">
        <f t="array" ref="J12578">_xlfn.IFS(I12578&lt;=3,"small",I12578&lt;=6,"Medium",I12578&lt;=9,"Large")</f>
        <v>small</v>
      </c>
      <c r="K12578" s="36">
        <v>45651</v>
      </c>
      <c r="L12578" s="36">
        <v>45657</v>
      </c>
      <c r="M12578" t="s">
        <v>598</v>
      </c>
      <c r="N12578" t="s">
        <v>599</v>
      </c>
      <c r="O12578" s="37" t="str">
        <f t="shared" si="983"/>
        <v>Digital Payment</v>
      </c>
      <c r="P12578">
        <v>506.22</v>
      </c>
      <c r="Q12578" s="37" t="str">
        <f>IF(P12578&gt;500,"High","low")</f>
        <v>High</v>
      </c>
      <c r="R12578" s="37" t="str">
        <f t="shared" si="984"/>
        <v>Good</v>
      </c>
      <c r="S12578" t="s">
        <v>609</v>
      </c>
    </row>
    <row r="12579" spans="1:19" x14ac:dyDescent="0.2">
      <c r="A12579" t="s">
        <v>13190</v>
      </c>
      <c r="B12579" t="s">
        <v>83</v>
      </c>
      <c r="C12579" t="s">
        <v>607</v>
      </c>
      <c r="D12579">
        <v>2729.16</v>
      </c>
      <c r="E12579" s="37" t="str">
        <f t="shared" si="980"/>
        <v xml:space="preserve"> </v>
      </c>
      <c r="F12579">
        <v>0.28999999999999998</v>
      </c>
      <c r="G12579" s="37" t="str">
        <f t="shared" si="981"/>
        <v>Normal Discount</v>
      </c>
      <c r="H12579" s="37" t="str">
        <f t="shared" si="982"/>
        <v>Medium</v>
      </c>
      <c r="I12579">
        <v>8</v>
      </c>
      <c r="J12579" t="str" cm="1">
        <f t="array" ref="J12579">_xlfn.IFS(I12579&lt;=3,"small",I12579&lt;=6,"Medium",I12579&lt;=9,"Large")</f>
        <v>Large</v>
      </c>
      <c r="K12579" s="36">
        <v>45503</v>
      </c>
      <c r="L12579" s="36">
        <v>45506</v>
      </c>
      <c r="M12579" t="s">
        <v>598</v>
      </c>
      <c r="N12579" t="s">
        <v>604</v>
      </c>
      <c r="O12579" s="37" t="str">
        <f t="shared" si="983"/>
        <v>Digital Payment</v>
      </c>
      <c r="P12579">
        <v>208.45</v>
      </c>
      <c r="Q12579" s="37" t="str">
        <f>IF(P12579&gt;500,"High","low")</f>
        <v>low</v>
      </c>
      <c r="R12579" s="37" t="str">
        <f t="shared" si="984"/>
        <v>AVERAGE</v>
      </c>
      <c r="S12579" t="s">
        <v>620</v>
      </c>
    </row>
    <row r="12580" spans="1:19" x14ac:dyDescent="0.2">
      <c r="A12580" t="s">
        <v>13191</v>
      </c>
      <c r="B12580" t="s">
        <v>83</v>
      </c>
      <c r="C12580" t="s">
        <v>602</v>
      </c>
      <c r="D12580">
        <v>308.87</v>
      </c>
      <c r="E12580" s="37" t="str">
        <f t="shared" si="980"/>
        <v xml:space="preserve"> </v>
      </c>
      <c r="F12580">
        <v>0.02</v>
      </c>
      <c r="G12580" s="37" t="str">
        <f t="shared" si="981"/>
        <v>Normal Discount</v>
      </c>
      <c r="H12580" s="37" t="str">
        <f t="shared" si="982"/>
        <v>Low</v>
      </c>
      <c r="I12580">
        <v>1</v>
      </c>
      <c r="J12580" t="str" cm="1">
        <f t="array" ref="J12580">_xlfn.IFS(I12580&lt;=3,"small",I12580&lt;=6,"Medium",I12580&lt;=9,"Large")</f>
        <v>small</v>
      </c>
      <c r="K12580" s="36">
        <v>45101</v>
      </c>
      <c r="L12580" s="36">
        <v>45107</v>
      </c>
      <c r="M12580" t="s">
        <v>612</v>
      </c>
      <c r="N12580" t="s">
        <v>599</v>
      </c>
      <c r="O12580" s="37" t="str">
        <f t="shared" si="983"/>
        <v>Digital Payment</v>
      </c>
      <c r="P12580">
        <v>67.66</v>
      </c>
      <c r="Q12580" s="37" t="str">
        <f>IF(P12580&gt;500,"High","low")</f>
        <v>low</v>
      </c>
      <c r="R12580" s="37" t="str">
        <f t="shared" si="984"/>
        <v>AVERAGE</v>
      </c>
      <c r="S12580" t="s">
        <v>620</v>
      </c>
    </row>
    <row r="12581" spans="1:19" x14ac:dyDescent="0.2">
      <c r="A12581" t="s">
        <v>13192</v>
      </c>
      <c r="B12581" t="s">
        <v>75</v>
      </c>
      <c r="C12581" t="s">
        <v>597</v>
      </c>
      <c r="D12581">
        <v>4775.18</v>
      </c>
      <c r="E12581" s="37" t="str">
        <f t="shared" si="980"/>
        <v xml:space="preserve"> </v>
      </c>
      <c r="F12581">
        <v>0.5</v>
      </c>
      <c r="G12581" s="37" t="str">
        <f t="shared" si="981"/>
        <v>Heavy Discount</v>
      </c>
      <c r="H12581" s="37" t="str">
        <f t="shared" si="982"/>
        <v>High</v>
      </c>
      <c r="I12581">
        <v>4</v>
      </c>
      <c r="J12581" t="str" cm="1">
        <f t="array" ref="J12581">_xlfn.IFS(I12581&lt;=3,"small",I12581&lt;=6,"Medium",I12581&lt;=9,"Large")</f>
        <v>Medium</v>
      </c>
      <c r="K12581" s="36">
        <v>45598</v>
      </c>
      <c r="L12581" s="36">
        <v>45601</v>
      </c>
      <c r="M12581" t="s">
        <v>612</v>
      </c>
      <c r="N12581" t="s">
        <v>599</v>
      </c>
      <c r="O12581" s="37" t="str">
        <f t="shared" si="983"/>
        <v>Digital Payment</v>
      </c>
      <c r="P12581">
        <v>325.88</v>
      </c>
      <c r="Q12581" s="37" t="str">
        <f>IF(P12581&gt;500,"High","low")</f>
        <v>low</v>
      </c>
      <c r="R12581" s="37" t="str">
        <f t="shared" si="984"/>
        <v>AVERAGE</v>
      </c>
      <c r="S12581" t="s">
        <v>605</v>
      </c>
    </row>
    <row r="12582" spans="1:19" x14ac:dyDescent="0.2">
      <c r="A12582" t="s">
        <v>13193</v>
      </c>
      <c r="B12582" t="s">
        <v>67</v>
      </c>
      <c r="C12582" t="s">
        <v>614</v>
      </c>
      <c r="D12582">
        <v>4052.45</v>
      </c>
      <c r="E12582" s="37" t="str">
        <f t="shared" si="980"/>
        <v xml:space="preserve"> </v>
      </c>
      <c r="F12582">
        <v>0.28999999999999998</v>
      </c>
      <c r="G12582" s="37" t="str">
        <f t="shared" si="981"/>
        <v>Normal Discount</v>
      </c>
      <c r="H12582" s="37" t="str">
        <f t="shared" si="982"/>
        <v>Medium</v>
      </c>
      <c r="I12582">
        <v>7</v>
      </c>
      <c r="J12582" t="str" cm="1">
        <f t="array" ref="J12582">_xlfn.IFS(I12582&lt;=3,"small",I12582&lt;=6,"Medium",I12582&lt;=9,"Large")</f>
        <v>Large</v>
      </c>
      <c r="K12582" s="36">
        <v>45289</v>
      </c>
      <c r="L12582" s="36">
        <v>45290</v>
      </c>
      <c r="M12582" t="s">
        <v>598</v>
      </c>
      <c r="N12582" t="s">
        <v>604</v>
      </c>
      <c r="O12582" s="37" t="str">
        <f t="shared" si="983"/>
        <v>Digital Payment</v>
      </c>
      <c r="P12582">
        <v>517.91</v>
      </c>
      <c r="Q12582" s="37" t="str">
        <f>IF(P12582&gt;500,"High","low")</f>
        <v>High</v>
      </c>
      <c r="R12582" s="37" t="str">
        <f t="shared" si="984"/>
        <v>Good</v>
      </c>
      <c r="S12582" t="s">
        <v>609</v>
      </c>
    </row>
    <row r="12583" spans="1:19" x14ac:dyDescent="0.2">
      <c r="A12583" t="s">
        <v>13194</v>
      </c>
      <c r="B12583" t="s">
        <v>90</v>
      </c>
      <c r="C12583" t="s">
        <v>614</v>
      </c>
      <c r="D12583">
        <v>1583.99</v>
      </c>
      <c r="E12583" s="37" t="str">
        <f t="shared" si="980"/>
        <v xml:space="preserve"> </v>
      </c>
      <c r="F12583">
        <v>0.25</v>
      </c>
      <c r="G12583" s="37" t="str">
        <f t="shared" si="981"/>
        <v>Normal Discount</v>
      </c>
      <c r="H12583" s="37" t="str">
        <f t="shared" si="982"/>
        <v>Medium</v>
      </c>
      <c r="I12583">
        <v>9</v>
      </c>
      <c r="J12583" t="str" cm="1">
        <f t="array" ref="J12583">_xlfn.IFS(I12583&lt;=3,"small",I12583&lt;=6,"Medium",I12583&lt;=9,"Large")</f>
        <v>Large</v>
      </c>
      <c r="K12583" s="36">
        <v>45088</v>
      </c>
      <c r="L12583" s="36">
        <v>45093</v>
      </c>
      <c r="M12583" t="s">
        <v>598</v>
      </c>
      <c r="N12583" t="s">
        <v>608</v>
      </c>
      <c r="O12583" s="37" t="str">
        <f t="shared" si="983"/>
        <v>Cash Payment</v>
      </c>
      <c r="P12583">
        <v>291.42</v>
      </c>
      <c r="Q12583" s="37" t="str">
        <f>IF(P12583&gt;500,"High","low")</f>
        <v>low</v>
      </c>
      <c r="R12583" s="37" t="str">
        <f t="shared" si="984"/>
        <v>AVERAGE</v>
      </c>
      <c r="S12583" t="s">
        <v>615</v>
      </c>
    </row>
    <row r="12584" spans="1:19" x14ac:dyDescent="0.2">
      <c r="A12584" t="s">
        <v>13195</v>
      </c>
      <c r="B12584" t="s">
        <v>90</v>
      </c>
      <c r="C12584" t="s">
        <v>597</v>
      </c>
      <c r="D12584">
        <v>740.06</v>
      </c>
      <c r="E12584" s="37" t="str">
        <f t="shared" si="980"/>
        <v xml:space="preserve"> </v>
      </c>
      <c r="F12584">
        <v>0.22</v>
      </c>
      <c r="G12584" s="37" t="str">
        <f t="shared" si="981"/>
        <v>Normal Discount</v>
      </c>
      <c r="H12584" s="37" t="str">
        <f t="shared" si="982"/>
        <v>Medium</v>
      </c>
      <c r="I12584">
        <v>2</v>
      </c>
      <c r="J12584" t="str" cm="1">
        <f t="array" ref="J12584">_xlfn.IFS(I12584&lt;=3,"small",I12584&lt;=6,"Medium",I12584&lt;=9,"Large")</f>
        <v>small</v>
      </c>
      <c r="K12584" s="36">
        <v>45357</v>
      </c>
      <c r="L12584" s="36">
        <v>45359</v>
      </c>
      <c r="M12584" t="s">
        <v>598</v>
      </c>
      <c r="N12584" t="s">
        <v>608</v>
      </c>
      <c r="O12584" s="37" t="str">
        <f t="shared" si="983"/>
        <v>Cash Payment</v>
      </c>
      <c r="P12584">
        <v>161.72999999999999</v>
      </c>
      <c r="Q12584" s="37" t="str">
        <f>IF(P12584&gt;500,"High","low")</f>
        <v>low</v>
      </c>
      <c r="R12584" s="37" t="str">
        <f t="shared" si="984"/>
        <v>AVERAGE</v>
      </c>
      <c r="S12584" t="s">
        <v>615</v>
      </c>
    </row>
    <row r="12585" spans="1:19" x14ac:dyDescent="0.2">
      <c r="A12585" t="s">
        <v>13196</v>
      </c>
      <c r="B12585" t="s">
        <v>83</v>
      </c>
      <c r="C12585" t="s">
        <v>607</v>
      </c>
      <c r="D12585">
        <v>1793.57</v>
      </c>
      <c r="E12585" s="37" t="str">
        <f t="shared" si="980"/>
        <v xml:space="preserve"> </v>
      </c>
      <c r="F12585">
        <v>0.35</v>
      </c>
      <c r="G12585" s="37" t="str">
        <f t="shared" si="981"/>
        <v>Heavy Discount</v>
      </c>
      <c r="H12585" s="37" t="str">
        <f t="shared" si="982"/>
        <v>Medium</v>
      </c>
      <c r="I12585">
        <v>9</v>
      </c>
      <c r="J12585" t="str" cm="1">
        <f t="array" ref="J12585">_xlfn.IFS(I12585&lt;=3,"small",I12585&lt;=6,"Medium",I12585&lt;=9,"Large")</f>
        <v>Large</v>
      </c>
      <c r="K12585" s="36">
        <v>45043</v>
      </c>
      <c r="L12585" s="36">
        <v>45045</v>
      </c>
      <c r="M12585" t="s">
        <v>603</v>
      </c>
      <c r="N12585" t="s">
        <v>608</v>
      </c>
      <c r="O12585" s="37" t="str">
        <f t="shared" si="983"/>
        <v>Cash Payment</v>
      </c>
      <c r="P12585">
        <v>207.33</v>
      </c>
      <c r="Q12585" s="37" t="str">
        <f>IF(P12585&gt;500,"High","low")</f>
        <v>low</v>
      </c>
      <c r="R12585" s="37" t="str">
        <f t="shared" si="984"/>
        <v>AVERAGE</v>
      </c>
      <c r="S12585" t="s">
        <v>605</v>
      </c>
    </row>
    <row r="12586" spans="1:19" x14ac:dyDescent="0.2">
      <c r="A12586" t="s">
        <v>13197</v>
      </c>
      <c r="B12586" t="s">
        <v>90</v>
      </c>
      <c r="C12586" t="s">
        <v>614</v>
      </c>
      <c r="D12586">
        <v>4481.96</v>
      </c>
      <c r="E12586" s="37" t="str">
        <f t="shared" si="980"/>
        <v xml:space="preserve"> </v>
      </c>
      <c r="F12586">
        <v>0.23</v>
      </c>
      <c r="G12586" s="37" t="str">
        <f t="shared" si="981"/>
        <v>Normal Discount</v>
      </c>
      <c r="H12586" s="37" t="str">
        <f t="shared" si="982"/>
        <v>Medium</v>
      </c>
      <c r="I12586">
        <v>6</v>
      </c>
      <c r="J12586" t="str" cm="1">
        <f t="array" ref="J12586">_xlfn.IFS(I12586&lt;=3,"small",I12586&lt;=6,"Medium",I12586&lt;=9,"Large")</f>
        <v>Medium</v>
      </c>
      <c r="K12586" s="36">
        <v>45443</v>
      </c>
      <c r="L12586" s="36">
        <v>45445</v>
      </c>
      <c r="M12586" t="s">
        <v>603</v>
      </c>
      <c r="N12586" t="s">
        <v>604</v>
      </c>
      <c r="O12586" s="37" t="str">
        <f t="shared" si="983"/>
        <v>Digital Payment</v>
      </c>
      <c r="P12586">
        <v>426.19</v>
      </c>
      <c r="Q12586" s="37" t="str">
        <f>IF(P12586&gt;500,"High","low")</f>
        <v>low</v>
      </c>
      <c r="R12586" s="37" t="str">
        <f t="shared" si="984"/>
        <v>AVERAGE</v>
      </c>
      <c r="S12586" t="s">
        <v>620</v>
      </c>
    </row>
    <row r="12587" spans="1:19" x14ac:dyDescent="0.2">
      <c r="A12587" t="s">
        <v>13198</v>
      </c>
      <c r="B12587" t="s">
        <v>90</v>
      </c>
      <c r="C12587" t="s">
        <v>602</v>
      </c>
      <c r="D12587">
        <v>750.15</v>
      </c>
      <c r="E12587" s="37" t="str">
        <f t="shared" si="980"/>
        <v xml:space="preserve"> </v>
      </c>
      <c r="F12587">
        <v>0.33</v>
      </c>
      <c r="G12587" s="37" t="str">
        <f t="shared" si="981"/>
        <v>Heavy Discount</v>
      </c>
      <c r="H12587" s="37" t="str">
        <f t="shared" si="982"/>
        <v>Medium</v>
      </c>
      <c r="I12587">
        <v>7</v>
      </c>
      <c r="J12587" t="str" cm="1">
        <f t="array" ref="J12587">_xlfn.IFS(I12587&lt;=3,"small",I12587&lt;=6,"Medium",I12587&lt;=9,"Large")</f>
        <v>Large</v>
      </c>
      <c r="K12587" s="36">
        <v>45474</v>
      </c>
      <c r="L12587" s="36">
        <v>45480</v>
      </c>
      <c r="M12587" t="s">
        <v>598</v>
      </c>
      <c r="N12587" t="s">
        <v>599</v>
      </c>
      <c r="O12587" s="37" t="str">
        <f t="shared" si="983"/>
        <v>Digital Payment</v>
      </c>
      <c r="P12587">
        <v>176.33</v>
      </c>
      <c r="Q12587" s="37" t="str">
        <f>IF(P12587&gt;500,"High","low")</f>
        <v>low</v>
      </c>
      <c r="R12587" s="37" t="str">
        <f t="shared" si="984"/>
        <v>AVERAGE</v>
      </c>
      <c r="S12587" t="s">
        <v>620</v>
      </c>
    </row>
    <row r="12588" spans="1:19" x14ac:dyDescent="0.2">
      <c r="A12588" t="s">
        <v>13199</v>
      </c>
      <c r="B12588" t="s">
        <v>75</v>
      </c>
      <c r="C12588" t="s">
        <v>607</v>
      </c>
      <c r="D12588">
        <v>1811.65</v>
      </c>
      <c r="E12588" s="37" t="str">
        <f t="shared" si="980"/>
        <v xml:space="preserve"> </v>
      </c>
      <c r="F12588">
        <v>0.24</v>
      </c>
      <c r="G12588" s="37" t="str">
        <f t="shared" si="981"/>
        <v>Normal Discount</v>
      </c>
      <c r="H12588" s="37" t="str">
        <f t="shared" si="982"/>
        <v>Medium</v>
      </c>
      <c r="I12588">
        <v>4</v>
      </c>
      <c r="J12588" t="str" cm="1">
        <f t="array" ref="J12588">_xlfn.IFS(I12588&lt;=3,"small",I12588&lt;=6,"Medium",I12588&lt;=9,"Large")</f>
        <v>Medium</v>
      </c>
      <c r="K12588" s="36">
        <v>45564</v>
      </c>
      <c r="L12588" s="36">
        <v>45567</v>
      </c>
      <c r="M12588" t="s">
        <v>603</v>
      </c>
      <c r="N12588" t="s">
        <v>599</v>
      </c>
      <c r="O12588" s="37" t="str">
        <f t="shared" si="983"/>
        <v>Digital Payment</v>
      </c>
      <c r="P12588">
        <v>275.63</v>
      </c>
      <c r="Q12588" s="37" t="str">
        <f>IF(P12588&gt;500,"High","low")</f>
        <v>low</v>
      </c>
      <c r="R12588" s="37" t="str">
        <f t="shared" si="984"/>
        <v>AVERAGE</v>
      </c>
      <c r="S12588" t="s">
        <v>600</v>
      </c>
    </row>
    <row r="12589" spans="1:19" x14ac:dyDescent="0.2">
      <c r="A12589" t="s">
        <v>13200</v>
      </c>
      <c r="B12589" t="s">
        <v>83</v>
      </c>
      <c r="C12589" t="s">
        <v>617</v>
      </c>
      <c r="D12589">
        <v>2522.09</v>
      </c>
      <c r="E12589" s="37" t="str">
        <f t="shared" si="980"/>
        <v xml:space="preserve"> </v>
      </c>
      <c r="F12589">
        <v>0.31</v>
      </c>
      <c r="G12589" s="37" t="str">
        <f t="shared" si="981"/>
        <v>Heavy Discount</v>
      </c>
      <c r="H12589" s="37" t="str">
        <f t="shared" si="982"/>
        <v>Medium</v>
      </c>
      <c r="I12589">
        <v>5</v>
      </c>
      <c r="J12589" t="str" cm="1">
        <f t="array" ref="J12589">_xlfn.IFS(I12589&lt;=3,"small",I12589&lt;=6,"Medium",I12589&lt;=9,"Large")</f>
        <v>Medium</v>
      </c>
      <c r="K12589" s="36">
        <v>45172</v>
      </c>
      <c r="L12589" s="36">
        <v>45174</v>
      </c>
      <c r="M12589" t="s">
        <v>603</v>
      </c>
      <c r="N12589" t="s">
        <v>604</v>
      </c>
      <c r="O12589" s="37" t="str">
        <f t="shared" si="983"/>
        <v>Digital Payment</v>
      </c>
      <c r="P12589">
        <v>254.32</v>
      </c>
      <c r="Q12589" s="37" t="str">
        <f>IF(P12589&gt;500,"High","low")</f>
        <v>low</v>
      </c>
      <c r="R12589" s="37" t="str">
        <f t="shared" si="984"/>
        <v>AVERAGE</v>
      </c>
      <c r="S12589" t="s">
        <v>600</v>
      </c>
    </row>
    <row r="12590" spans="1:19" x14ac:dyDescent="0.2">
      <c r="A12590" t="s">
        <v>13201</v>
      </c>
      <c r="B12590" t="s">
        <v>67</v>
      </c>
      <c r="C12590" t="s">
        <v>597</v>
      </c>
      <c r="D12590">
        <v>261.13</v>
      </c>
      <c r="E12590" s="37" t="str">
        <f t="shared" si="980"/>
        <v xml:space="preserve"> </v>
      </c>
      <c r="F12590">
        <v>0.4</v>
      </c>
      <c r="G12590" s="37" t="str">
        <f t="shared" si="981"/>
        <v>Heavy Discount</v>
      </c>
      <c r="H12590" s="37" t="str">
        <f t="shared" si="982"/>
        <v>Medium</v>
      </c>
      <c r="I12590">
        <v>1</v>
      </c>
      <c r="J12590" t="str" cm="1">
        <f t="array" ref="J12590">_xlfn.IFS(I12590&lt;=3,"small",I12590&lt;=6,"Medium",I12590&lt;=9,"Large")</f>
        <v>small</v>
      </c>
      <c r="K12590" s="36">
        <v>45191</v>
      </c>
      <c r="L12590" s="36">
        <v>45197</v>
      </c>
      <c r="M12590" t="s">
        <v>612</v>
      </c>
      <c r="N12590" t="s">
        <v>604</v>
      </c>
      <c r="O12590" s="37" t="str">
        <f t="shared" si="983"/>
        <v>Digital Payment</v>
      </c>
      <c r="P12590">
        <v>51.86</v>
      </c>
      <c r="Q12590" s="37" t="str">
        <f>IF(P12590&gt;500,"High","low")</f>
        <v>low</v>
      </c>
      <c r="R12590" s="37" t="str">
        <f t="shared" si="984"/>
        <v>AVERAGE</v>
      </c>
      <c r="S12590" t="s">
        <v>620</v>
      </c>
    </row>
    <row r="12591" spans="1:19" x14ac:dyDescent="0.2">
      <c r="A12591" t="s">
        <v>13202</v>
      </c>
      <c r="B12591" t="s">
        <v>83</v>
      </c>
      <c r="C12591" t="s">
        <v>607</v>
      </c>
      <c r="D12591">
        <v>1413.37</v>
      </c>
      <c r="E12591" s="37" t="str">
        <f t="shared" si="980"/>
        <v xml:space="preserve"> </v>
      </c>
      <c r="F12591">
        <v>0.41</v>
      </c>
      <c r="G12591" s="37" t="str">
        <f t="shared" si="981"/>
        <v>Heavy Discount</v>
      </c>
      <c r="H12591" s="37" t="str">
        <f t="shared" si="982"/>
        <v>High</v>
      </c>
      <c r="I12591">
        <v>4</v>
      </c>
      <c r="J12591" t="str" cm="1">
        <f t="array" ref="J12591">_xlfn.IFS(I12591&lt;=3,"small",I12591&lt;=6,"Medium",I12591&lt;=9,"Large")</f>
        <v>Medium</v>
      </c>
      <c r="K12591" s="36">
        <v>45035</v>
      </c>
      <c r="L12591" s="36">
        <v>45036</v>
      </c>
      <c r="M12591" t="s">
        <v>603</v>
      </c>
      <c r="N12591" t="s">
        <v>604</v>
      </c>
      <c r="O12591" s="37" t="str">
        <f t="shared" si="983"/>
        <v>Digital Payment</v>
      </c>
      <c r="P12591">
        <v>209.99</v>
      </c>
      <c r="Q12591" s="37" t="str">
        <f>IF(P12591&gt;500,"High","low")</f>
        <v>low</v>
      </c>
      <c r="R12591" s="37" t="str">
        <f t="shared" si="984"/>
        <v>AVERAGE</v>
      </c>
      <c r="S12591" t="s">
        <v>600</v>
      </c>
    </row>
    <row r="12592" spans="1:19" x14ac:dyDescent="0.2">
      <c r="A12592" t="s">
        <v>13203</v>
      </c>
      <c r="B12592" t="s">
        <v>75</v>
      </c>
      <c r="C12592" t="s">
        <v>617</v>
      </c>
      <c r="D12592">
        <v>3018.61</v>
      </c>
      <c r="E12592" s="37" t="str">
        <f t="shared" si="980"/>
        <v xml:space="preserve"> </v>
      </c>
      <c r="F12592">
        <v>0.42</v>
      </c>
      <c r="G12592" s="37" t="str">
        <f t="shared" si="981"/>
        <v>Heavy Discount</v>
      </c>
      <c r="H12592" s="37" t="str">
        <f t="shared" si="982"/>
        <v>High</v>
      </c>
      <c r="I12592">
        <v>8</v>
      </c>
      <c r="J12592" t="str" cm="1">
        <f t="array" ref="J12592">_xlfn.IFS(I12592&lt;=3,"small",I12592&lt;=6,"Medium",I12592&lt;=9,"Large")</f>
        <v>Large</v>
      </c>
      <c r="K12592" s="36">
        <v>45089</v>
      </c>
      <c r="L12592" s="36">
        <v>45096</v>
      </c>
      <c r="M12592" t="s">
        <v>612</v>
      </c>
      <c r="N12592" t="s">
        <v>608</v>
      </c>
      <c r="O12592" s="37" t="str">
        <f t="shared" si="983"/>
        <v>Cash Payment</v>
      </c>
      <c r="P12592">
        <v>618.6</v>
      </c>
      <c r="Q12592" s="37" t="str">
        <f>IF(P12592&gt;500,"High","low")</f>
        <v>High</v>
      </c>
      <c r="R12592" s="37" t="str">
        <f t="shared" si="984"/>
        <v>Good</v>
      </c>
      <c r="S12592" t="s">
        <v>609</v>
      </c>
    </row>
    <row r="12593" spans="1:19" x14ac:dyDescent="0.2">
      <c r="A12593" t="s">
        <v>13204</v>
      </c>
      <c r="B12593" t="s">
        <v>90</v>
      </c>
      <c r="C12593" t="s">
        <v>602</v>
      </c>
      <c r="D12593">
        <v>1687.43</v>
      </c>
      <c r="E12593" s="37" t="str">
        <f t="shared" si="980"/>
        <v xml:space="preserve"> </v>
      </c>
      <c r="F12593">
        <v>0.1</v>
      </c>
      <c r="G12593" s="37" t="str">
        <f t="shared" si="981"/>
        <v>Normal Discount</v>
      </c>
      <c r="H12593" s="37" t="str">
        <f t="shared" si="982"/>
        <v>Low</v>
      </c>
      <c r="I12593">
        <v>6</v>
      </c>
      <c r="J12593" t="str" cm="1">
        <f t="array" ref="J12593">_xlfn.IFS(I12593&lt;=3,"small",I12593&lt;=6,"Medium",I12593&lt;=9,"Large")</f>
        <v>Medium</v>
      </c>
      <c r="K12593" s="36">
        <v>45257</v>
      </c>
      <c r="L12593" s="36">
        <v>45260</v>
      </c>
      <c r="M12593" t="s">
        <v>612</v>
      </c>
      <c r="N12593" t="s">
        <v>608</v>
      </c>
      <c r="O12593" s="37" t="str">
        <f t="shared" si="983"/>
        <v>Cash Payment</v>
      </c>
      <c r="P12593">
        <v>414.32</v>
      </c>
      <c r="Q12593" s="37" t="str">
        <f>IF(P12593&gt;500,"High","low")</f>
        <v>low</v>
      </c>
      <c r="R12593" s="37" t="str">
        <f t="shared" si="984"/>
        <v>AVERAGE</v>
      </c>
      <c r="S12593" t="s">
        <v>600</v>
      </c>
    </row>
    <row r="12594" spans="1:19" x14ac:dyDescent="0.2">
      <c r="A12594" t="s">
        <v>13205</v>
      </c>
      <c r="B12594" t="s">
        <v>67</v>
      </c>
      <c r="C12594" t="s">
        <v>597</v>
      </c>
      <c r="D12594">
        <v>4365.57</v>
      </c>
      <c r="E12594" s="37" t="str">
        <f t="shared" si="980"/>
        <v xml:space="preserve"> </v>
      </c>
      <c r="F12594">
        <v>0.03</v>
      </c>
      <c r="G12594" s="37" t="str">
        <f t="shared" si="981"/>
        <v>Normal Discount</v>
      </c>
      <c r="H12594" s="37" t="str">
        <f t="shared" si="982"/>
        <v>Low</v>
      </c>
      <c r="I12594">
        <v>7</v>
      </c>
      <c r="J12594" t="str" cm="1">
        <f t="array" ref="J12594">_xlfn.IFS(I12594&lt;=3,"small",I12594&lt;=6,"Medium",I12594&lt;=9,"Large")</f>
        <v>Large</v>
      </c>
      <c r="K12594" s="36">
        <v>45484</v>
      </c>
      <c r="L12594" s="36">
        <v>45491</v>
      </c>
      <c r="M12594" t="s">
        <v>598</v>
      </c>
      <c r="N12594" t="s">
        <v>608</v>
      </c>
      <c r="O12594" s="37" t="str">
        <f t="shared" si="983"/>
        <v>Cash Payment</v>
      </c>
      <c r="P12594">
        <v>240.23</v>
      </c>
      <c r="Q12594" s="37" t="str">
        <f>IF(P12594&gt;500,"High","low")</f>
        <v>low</v>
      </c>
      <c r="R12594" s="37" t="str">
        <f t="shared" si="984"/>
        <v>AVERAGE</v>
      </c>
      <c r="S12594" t="s">
        <v>620</v>
      </c>
    </row>
    <row r="12595" spans="1:19" x14ac:dyDescent="0.2">
      <c r="A12595" t="s">
        <v>13206</v>
      </c>
      <c r="B12595" t="s">
        <v>83</v>
      </c>
      <c r="C12595" t="s">
        <v>614</v>
      </c>
      <c r="D12595">
        <v>4690.1499999999996</v>
      </c>
      <c r="E12595" s="37" t="str">
        <f t="shared" si="980"/>
        <v xml:space="preserve"> </v>
      </c>
      <c r="F12595">
        <v>0.42</v>
      </c>
      <c r="G12595" s="37" t="str">
        <f t="shared" si="981"/>
        <v>Heavy Discount</v>
      </c>
      <c r="H12595" s="37" t="str">
        <f t="shared" si="982"/>
        <v>High</v>
      </c>
      <c r="I12595">
        <v>1</v>
      </c>
      <c r="J12595" t="str" cm="1">
        <f t="array" ref="J12595">_xlfn.IFS(I12595&lt;=3,"small",I12595&lt;=6,"Medium",I12595&lt;=9,"Large")</f>
        <v>small</v>
      </c>
      <c r="K12595" s="36">
        <v>45031</v>
      </c>
      <c r="L12595" s="36">
        <v>45034</v>
      </c>
      <c r="M12595" t="s">
        <v>603</v>
      </c>
      <c r="N12595" t="s">
        <v>604</v>
      </c>
      <c r="O12595" s="37" t="str">
        <f t="shared" si="983"/>
        <v>Digital Payment</v>
      </c>
      <c r="P12595">
        <v>651.48</v>
      </c>
      <c r="Q12595" s="37" t="str">
        <f>IF(P12595&gt;500,"High","low")</f>
        <v>High</v>
      </c>
      <c r="R12595" s="37" t="str">
        <f t="shared" si="984"/>
        <v>Good</v>
      </c>
      <c r="S12595" t="s">
        <v>615</v>
      </c>
    </row>
    <row r="12596" spans="1:19" x14ac:dyDescent="0.2">
      <c r="A12596" t="s">
        <v>13207</v>
      </c>
      <c r="B12596" t="s">
        <v>90</v>
      </c>
      <c r="C12596" t="s">
        <v>614</v>
      </c>
      <c r="D12596">
        <v>2263.56</v>
      </c>
      <c r="E12596" s="37" t="str">
        <f t="shared" si="980"/>
        <v xml:space="preserve"> </v>
      </c>
      <c r="F12596">
        <v>0.02</v>
      </c>
      <c r="G12596" s="37" t="str">
        <f t="shared" si="981"/>
        <v>Normal Discount</v>
      </c>
      <c r="H12596" s="37" t="str">
        <f t="shared" si="982"/>
        <v>Low</v>
      </c>
      <c r="I12596">
        <v>7</v>
      </c>
      <c r="J12596" t="str" cm="1">
        <f t="array" ref="J12596">_xlfn.IFS(I12596&lt;=3,"small",I12596&lt;=6,"Medium",I12596&lt;=9,"Large")</f>
        <v>Large</v>
      </c>
      <c r="K12596" s="36">
        <v>45195</v>
      </c>
      <c r="L12596" s="36">
        <v>45196</v>
      </c>
      <c r="M12596" t="s">
        <v>598</v>
      </c>
      <c r="N12596" t="s">
        <v>608</v>
      </c>
      <c r="O12596" s="37" t="str">
        <f t="shared" si="983"/>
        <v>Cash Payment</v>
      </c>
      <c r="P12596">
        <v>311.83</v>
      </c>
      <c r="Q12596" s="37" t="str">
        <f>IF(P12596&gt;500,"High","low")</f>
        <v>low</v>
      </c>
      <c r="R12596" s="37" t="str">
        <f t="shared" si="984"/>
        <v>AVERAGE</v>
      </c>
      <c r="S12596" t="s">
        <v>605</v>
      </c>
    </row>
    <row r="12597" spans="1:19" x14ac:dyDescent="0.2">
      <c r="A12597" t="s">
        <v>13208</v>
      </c>
      <c r="B12597" t="s">
        <v>83</v>
      </c>
      <c r="C12597" t="s">
        <v>617</v>
      </c>
      <c r="D12597">
        <v>2706.9</v>
      </c>
      <c r="E12597" s="37" t="str">
        <f t="shared" si="980"/>
        <v xml:space="preserve"> </v>
      </c>
      <c r="F12597">
        <v>0.11</v>
      </c>
      <c r="G12597" s="37" t="str">
        <f t="shared" si="981"/>
        <v>Normal Discount</v>
      </c>
      <c r="H12597" s="37" t="str">
        <f t="shared" si="982"/>
        <v>Low</v>
      </c>
      <c r="I12597">
        <v>6</v>
      </c>
      <c r="J12597" t="str" cm="1">
        <f t="array" ref="J12597">_xlfn.IFS(I12597&lt;=3,"small",I12597&lt;=6,"Medium",I12597&lt;=9,"Large")</f>
        <v>Medium</v>
      </c>
      <c r="K12597" s="36">
        <v>44987</v>
      </c>
      <c r="L12597" s="36">
        <v>44992</v>
      </c>
      <c r="M12597" t="s">
        <v>612</v>
      </c>
      <c r="N12597" t="s">
        <v>604</v>
      </c>
      <c r="O12597" s="37" t="str">
        <f t="shared" si="983"/>
        <v>Digital Payment</v>
      </c>
      <c r="P12597">
        <v>744.13</v>
      </c>
      <c r="Q12597" s="37" t="str">
        <f>IF(P12597&gt;500,"High","low")</f>
        <v>High</v>
      </c>
      <c r="R12597" s="37" t="str">
        <f t="shared" si="984"/>
        <v>Good</v>
      </c>
      <c r="S12597" t="s">
        <v>615</v>
      </c>
    </row>
    <row r="12598" spans="1:19" x14ac:dyDescent="0.2">
      <c r="A12598" t="s">
        <v>13209</v>
      </c>
      <c r="B12598" t="s">
        <v>67</v>
      </c>
      <c r="C12598" t="s">
        <v>607</v>
      </c>
      <c r="D12598">
        <v>3190.96</v>
      </c>
      <c r="E12598" s="37" t="str">
        <f t="shared" si="980"/>
        <v xml:space="preserve"> </v>
      </c>
      <c r="F12598">
        <v>0.26</v>
      </c>
      <c r="G12598" s="37" t="str">
        <f t="shared" si="981"/>
        <v>Normal Discount</v>
      </c>
      <c r="H12598" s="37" t="str">
        <f t="shared" si="982"/>
        <v>Medium</v>
      </c>
      <c r="I12598">
        <v>4</v>
      </c>
      <c r="J12598" t="str" cm="1">
        <f t="array" ref="J12598">_xlfn.IFS(I12598&lt;=3,"small",I12598&lt;=6,"Medium",I12598&lt;=9,"Large")</f>
        <v>Medium</v>
      </c>
      <c r="K12598" s="36">
        <v>45468</v>
      </c>
      <c r="L12598" s="36">
        <v>45469</v>
      </c>
      <c r="M12598" t="s">
        <v>603</v>
      </c>
      <c r="N12598" t="s">
        <v>608</v>
      </c>
      <c r="O12598" s="37" t="str">
        <f t="shared" si="983"/>
        <v>Cash Payment</v>
      </c>
      <c r="P12598">
        <v>954.91</v>
      </c>
      <c r="Q12598" s="37" t="str">
        <f>IF(P12598&gt;500,"High","low")</f>
        <v>High</v>
      </c>
      <c r="R12598" s="37" t="str">
        <f t="shared" si="984"/>
        <v>Good</v>
      </c>
      <c r="S12598" t="s">
        <v>609</v>
      </c>
    </row>
    <row r="12599" spans="1:19" x14ac:dyDescent="0.2">
      <c r="A12599" t="s">
        <v>13210</v>
      </c>
      <c r="B12599" t="s">
        <v>83</v>
      </c>
      <c r="C12599" t="s">
        <v>602</v>
      </c>
      <c r="D12599">
        <v>3356.22</v>
      </c>
      <c r="E12599" s="37" t="str">
        <f t="shared" si="980"/>
        <v xml:space="preserve"> </v>
      </c>
      <c r="F12599">
        <v>0.43</v>
      </c>
      <c r="G12599" s="37" t="str">
        <f t="shared" si="981"/>
        <v>Heavy Discount</v>
      </c>
      <c r="H12599" s="37" t="str">
        <f t="shared" si="982"/>
        <v>High</v>
      </c>
      <c r="I12599">
        <v>2</v>
      </c>
      <c r="J12599" t="str" cm="1">
        <f t="array" ref="J12599">_xlfn.IFS(I12599&lt;=3,"small",I12599&lt;=6,"Medium",I12599&lt;=9,"Large")</f>
        <v>small</v>
      </c>
      <c r="K12599" s="36">
        <v>45536</v>
      </c>
      <c r="L12599" s="36">
        <v>45537</v>
      </c>
      <c r="M12599" t="s">
        <v>598</v>
      </c>
      <c r="N12599" t="s">
        <v>599</v>
      </c>
      <c r="O12599" s="37" t="str">
        <f t="shared" si="983"/>
        <v>Digital Payment</v>
      </c>
      <c r="P12599">
        <v>715.63</v>
      </c>
      <c r="Q12599" s="37" t="str">
        <f>IF(P12599&gt;500,"High","low")</f>
        <v>High</v>
      </c>
      <c r="R12599" s="37" t="str">
        <f t="shared" si="984"/>
        <v>Good</v>
      </c>
      <c r="S12599" t="s">
        <v>615</v>
      </c>
    </row>
    <row r="12600" spans="1:19" x14ac:dyDescent="0.2">
      <c r="A12600" t="s">
        <v>13211</v>
      </c>
      <c r="B12600" t="s">
        <v>83</v>
      </c>
      <c r="C12600" t="s">
        <v>617</v>
      </c>
      <c r="D12600">
        <v>409.96</v>
      </c>
      <c r="E12600" s="37" t="str">
        <f t="shared" si="980"/>
        <v xml:space="preserve"> </v>
      </c>
      <c r="F12600">
        <v>0.45</v>
      </c>
      <c r="G12600" s="37" t="str">
        <f t="shared" si="981"/>
        <v>Heavy Discount</v>
      </c>
      <c r="H12600" s="37" t="str">
        <f t="shared" si="982"/>
        <v>High</v>
      </c>
      <c r="I12600">
        <v>2</v>
      </c>
      <c r="J12600" t="str" cm="1">
        <f t="array" ref="J12600">_xlfn.IFS(I12600&lt;=3,"small",I12600&lt;=6,"Medium",I12600&lt;=9,"Large")</f>
        <v>small</v>
      </c>
      <c r="K12600" s="36">
        <v>45470</v>
      </c>
      <c r="L12600" s="36">
        <v>45477</v>
      </c>
      <c r="M12600" t="s">
        <v>598</v>
      </c>
      <c r="N12600" t="s">
        <v>604</v>
      </c>
      <c r="O12600" s="37" t="str">
        <f t="shared" si="983"/>
        <v>Digital Payment</v>
      </c>
      <c r="P12600">
        <v>62.3</v>
      </c>
      <c r="Q12600" s="37" t="str">
        <f>IF(P12600&gt;500,"High","low")</f>
        <v>low</v>
      </c>
      <c r="R12600" s="37" t="str">
        <f t="shared" si="984"/>
        <v>AVERAGE</v>
      </c>
      <c r="S12600" t="s">
        <v>615</v>
      </c>
    </row>
    <row r="12601" spans="1:19" x14ac:dyDescent="0.2">
      <c r="A12601" t="s">
        <v>13212</v>
      </c>
      <c r="B12601" t="s">
        <v>83</v>
      </c>
      <c r="C12601" t="s">
        <v>602</v>
      </c>
      <c r="D12601">
        <v>363.03</v>
      </c>
      <c r="E12601" s="37" t="str">
        <f t="shared" si="980"/>
        <v xml:space="preserve"> </v>
      </c>
      <c r="F12601">
        <v>0.31</v>
      </c>
      <c r="G12601" s="37" t="str">
        <f t="shared" si="981"/>
        <v>Heavy Discount</v>
      </c>
      <c r="H12601" s="37" t="str">
        <f t="shared" si="982"/>
        <v>Medium</v>
      </c>
      <c r="I12601">
        <v>7</v>
      </c>
      <c r="J12601" t="str" cm="1">
        <f t="array" ref="J12601">_xlfn.IFS(I12601&lt;=3,"small",I12601&lt;=6,"Medium",I12601&lt;=9,"Large")</f>
        <v>Large</v>
      </c>
      <c r="K12601" s="36">
        <v>45121</v>
      </c>
      <c r="L12601" s="36">
        <v>45128</v>
      </c>
      <c r="M12601" t="s">
        <v>598</v>
      </c>
      <c r="N12601" t="s">
        <v>599</v>
      </c>
      <c r="O12601" s="37" t="str">
        <f t="shared" si="983"/>
        <v>Digital Payment</v>
      </c>
      <c r="P12601">
        <v>58.1</v>
      </c>
      <c r="Q12601" s="37" t="str">
        <f>IF(P12601&gt;500,"High","low")</f>
        <v>low</v>
      </c>
      <c r="R12601" s="37" t="str">
        <f t="shared" si="984"/>
        <v>AVERAGE</v>
      </c>
      <c r="S12601" t="s">
        <v>620</v>
      </c>
    </row>
    <row r="12602" spans="1:19" x14ac:dyDescent="0.2">
      <c r="A12602" t="s">
        <v>13213</v>
      </c>
      <c r="B12602" t="s">
        <v>90</v>
      </c>
      <c r="C12602" t="s">
        <v>602</v>
      </c>
      <c r="D12602">
        <v>4341.38</v>
      </c>
      <c r="E12602" s="37" t="str">
        <f t="shared" si="980"/>
        <v>Excellent Order</v>
      </c>
      <c r="F12602">
        <v>0.48</v>
      </c>
      <c r="G12602" s="37" t="str">
        <f t="shared" si="981"/>
        <v>Heavy Discount</v>
      </c>
      <c r="H12602" s="37" t="str">
        <f t="shared" si="982"/>
        <v>High</v>
      </c>
      <c r="I12602">
        <v>3</v>
      </c>
      <c r="J12602" t="str" cm="1">
        <f t="array" ref="J12602">_xlfn.IFS(I12602&lt;=3,"small",I12602&lt;=6,"Medium",I12602&lt;=9,"Large")</f>
        <v>small</v>
      </c>
      <c r="K12602" s="36">
        <v>45381</v>
      </c>
      <c r="L12602" s="36">
        <v>45382</v>
      </c>
      <c r="M12602" t="s">
        <v>612</v>
      </c>
      <c r="N12602" t="s">
        <v>604</v>
      </c>
      <c r="O12602" s="37" t="str">
        <f t="shared" si="983"/>
        <v>Digital Payment</v>
      </c>
      <c r="P12602">
        <v>937.21</v>
      </c>
      <c r="Q12602" s="37" t="str">
        <f>IF(P12602&gt;500,"High","low")</f>
        <v>High</v>
      </c>
      <c r="R12602" s="37" t="str">
        <f t="shared" si="984"/>
        <v>Good</v>
      </c>
      <c r="S12602" t="s">
        <v>620</v>
      </c>
    </row>
    <row r="12603" spans="1:19" x14ac:dyDescent="0.2">
      <c r="A12603" t="s">
        <v>13214</v>
      </c>
      <c r="B12603" t="s">
        <v>67</v>
      </c>
      <c r="C12603" t="s">
        <v>602</v>
      </c>
      <c r="D12603">
        <v>1177.3699999999999</v>
      </c>
      <c r="E12603" s="37" t="str">
        <f t="shared" si="980"/>
        <v xml:space="preserve"> </v>
      </c>
      <c r="F12603">
        <v>0.36</v>
      </c>
      <c r="G12603" s="37" t="str">
        <f t="shared" si="981"/>
        <v>Heavy Discount</v>
      </c>
      <c r="H12603" s="37" t="str">
        <f t="shared" si="982"/>
        <v>Medium</v>
      </c>
      <c r="I12603">
        <v>2</v>
      </c>
      <c r="J12603" t="str" cm="1">
        <f t="array" ref="J12603">_xlfn.IFS(I12603&lt;=3,"small",I12603&lt;=6,"Medium",I12603&lt;=9,"Large")</f>
        <v>small</v>
      </c>
      <c r="K12603" s="36">
        <v>45536</v>
      </c>
      <c r="L12603" s="36">
        <v>45543</v>
      </c>
      <c r="M12603" t="s">
        <v>598</v>
      </c>
      <c r="N12603" t="s">
        <v>608</v>
      </c>
      <c r="O12603" s="37" t="str">
        <f t="shared" si="983"/>
        <v>Cash Payment</v>
      </c>
      <c r="P12603">
        <v>233.79</v>
      </c>
      <c r="Q12603" s="37" t="str">
        <f>IF(P12603&gt;500,"High","low")</f>
        <v>low</v>
      </c>
      <c r="R12603" s="37" t="str">
        <f t="shared" si="984"/>
        <v>AVERAGE</v>
      </c>
      <c r="S12603" t="s">
        <v>620</v>
      </c>
    </row>
    <row r="12604" spans="1:19" x14ac:dyDescent="0.2">
      <c r="A12604" t="s">
        <v>13215</v>
      </c>
      <c r="B12604" t="s">
        <v>67</v>
      </c>
      <c r="C12604" t="s">
        <v>597</v>
      </c>
      <c r="D12604">
        <v>2962.12</v>
      </c>
      <c r="E12604" s="37" t="str">
        <f t="shared" si="980"/>
        <v xml:space="preserve"> </v>
      </c>
      <c r="F12604">
        <v>0.26</v>
      </c>
      <c r="G12604" s="37" t="str">
        <f t="shared" si="981"/>
        <v>Normal Discount</v>
      </c>
      <c r="H12604" s="37" t="str">
        <f t="shared" si="982"/>
        <v>Medium</v>
      </c>
      <c r="I12604">
        <v>3</v>
      </c>
      <c r="J12604" t="str" cm="1">
        <f t="array" ref="J12604">_xlfn.IFS(I12604&lt;=3,"small",I12604&lt;=6,"Medium",I12604&lt;=9,"Large")</f>
        <v>small</v>
      </c>
      <c r="K12604" s="36">
        <v>45574</v>
      </c>
      <c r="L12604" s="36">
        <v>45579</v>
      </c>
      <c r="M12604" t="s">
        <v>598</v>
      </c>
      <c r="N12604" t="s">
        <v>599</v>
      </c>
      <c r="O12604" s="37" t="str">
        <f t="shared" si="983"/>
        <v>Digital Payment</v>
      </c>
      <c r="P12604">
        <v>784.53</v>
      </c>
      <c r="Q12604" s="37" t="str">
        <f>IF(P12604&gt;500,"High","low")</f>
        <v>High</v>
      </c>
      <c r="R12604" s="37" t="str">
        <f t="shared" si="984"/>
        <v>Good</v>
      </c>
      <c r="S12604" t="s">
        <v>620</v>
      </c>
    </row>
    <row r="12605" spans="1:19" x14ac:dyDescent="0.2">
      <c r="A12605" t="s">
        <v>13216</v>
      </c>
      <c r="B12605" t="s">
        <v>90</v>
      </c>
      <c r="C12605" t="s">
        <v>617</v>
      </c>
      <c r="D12605">
        <v>3160.89</v>
      </c>
      <c r="E12605" s="37" t="str">
        <f t="shared" si="980"/>
        <v xml:space="preserve"> </v>
      </c>
      <c r="F12605">
        <v>7.0000000000000007E-2</v>
      </c>
      <c r="G12605" s="37" t="str">
        <f t="shared" si="981"/>
        <v>Normal Discount</v>
      </c>
      <c r="H12605" s="37" t="str">
        <f t="shared" si="982"/>
        <v>Low</v>
      </c>
      <c r="I12605">
        <v>2</v>
      </c>
      <c r="J12605" t="str" cm="1">
        <f t="array" ref="J12605">_xlfn.IFS(I12605&lt;=3,"small",I12605&lt;=6,"Medium",I12605&lt;=9,"Large")</f>
        <v>small</v>
      </c>
      <c r="K12605" s="36">
        <v>45353</v>
      </c>
      <c r="L12605" s="36">
        <v>45359</v>
      </c>
      <c r="M12605" t="s">
        <v>603</v>
      </c>
      <c r="N12605" t="s">
        <v>608</v>
      </c>
      <c r="O12605" s="37" t="str">
        <f t="shared" si="983"/>
        <v>Cash Payment</v>
      </c>
      <c r="P12605">
        <v>722.12</v>
      </c>
      <c r="Q12605" s="37" t="str">
        <f>IF(P12605&gt;500,"High","low")</f>
        <v>High</v>
      </c>
      <c r="R12605" s="37" t="str">
        <f t="shared" si="984"/>
        <v>Good</v>
      </c>
      <c r="S12605" t="s">
        <v>620</v>
      </c>
    </row>
    <row r="12606" spans="1:19" x14ac:dyDescent="0.2">
      <c r="A12606" t="s">
        <v>13217</v>
      </c>
      <c r="B12606" t="s">
        <v>90</v>
      </c>
      <c r="C12606" t="s">
        <v>597</v>
      </c>
      <c r="D12606">
        <v>905.87</v>
      </c>
      <c r="E12606" s="37" t="str">
        <f t="shared" si="980"/>
        <v xml:space="preserve"> </v>
      </c>
      <c r="F12606">
        <v>0.21</v>
      </c>
      <c r="G12606" s="37" t="str">
        <f t="shared" si="981"/>
        <v>Normal Discount</v>
      </c>
      <c r="H12606" s="37" t="str">
        <f t="shared" si="982"/>
        <v>Medium</v>
      </c>
      <c r="I12606">
        <v>3</v>
      </c>
      <c r="J12606" t="str" cm="1">
        <f t="array" ref="J12606">_xlfn.IFS(I12606&lt;=3,"small",I12606&lt;=6,"Medium",I12606&lt;=9,"Large")</f>
        <v>small</v>
      </c>
      <c r="K12606" s="36">
        <v>45358</v>
      </c>
      <c r="L12606" s="36">
        <v>45360</v>
      </c>
      <c r="M12606" t="s">
        <v>612</v>
      </c>
      <c r="N12606" t="s">
        <v>604</v>
      </c>
      <c r="O12606" s="37" t="str">
        <f t="shared" si="983"/>
        <v>Digital Payment</v>
      </c>
      <c r="P12606">
        <v>75.66</v>
      </c>
      <c r="Q12606" s="37" t="str">
        <f>IF(P12606&gt;500,"High","low")</f>
        <v>low</v>
      </c>
      <c r="R12606" s="37" t="str">
        <f t="shared" si="984"/>
        <v>AVERAGE</v>
      </c>
      <c r="S12606" t="s">
        <v>605</v>
      </c>
    </row>
    <row r="12607" spans="1:19" x14ac:dyDescent="0.2">
      <c r="A12607" t="s">
        <v>13218</v>
      </c>
      <c r="B12607" t="s">
        <v>90</v>
      </c>
      <c r="C12607" t="s">
        <v>607</v>
      </c>
      <c r="D12607">
        <v>3831.82</v>
      </c>
      <c r="E12607" s="37" t="str">
        <f t="shared" si="980"/>
        <v xml:space="preserve"> </v>
      </c>
      <c r="F12607">
        <v>0.41</v>
      </c>
      <c r="G12607" s="37" t="str">
        <f t="shared" si="981"/>
        <v>Heavy Discount</v>
      </c>
      <c r="H12607" s="37" t="str">
        <f t="shared" si="982"/>
        <v>High</v>
      </c>
      <c r="I12607">
        <v>5</v>
      </c>
      <c r="J12607" t="str" cm="1">
        <f t="array" ref="J12607">_xlfn.IFS(I12607&lt;=3,"small",I12607&lt;=6,"Medium",I12607&lt;=9,"Large")</f>
        <v>Medium</v>
      </c>
      <c r="K12607" s="36">
        <v>45470</v>
      </c>
      <c r="L12607" s="36">
        <v>45471</v>
      </c>
      <c r="M12607" t="s">
        <v>612</v>
      </c>
      <c r="N12607" t="s">
        <v>599</v>
      </c>
      <c r="O12607" s="37" t="str">
        <f t="shared" si="983"/>
        <v>Digital Payment</v>
      </c>
      <c r="P12607">
        <v>995.04</v>
      </c>
      <c r="Q12607" s="37" t="str">
        <f>IF(P12607&gt;500,"High","low")</f>
        <v>High</v>
      </c>
      <c r="R12607" s="37" t="str">
        <f t="shared" si="984"/>
        <v>Good</v>
      </c>
      <c r="S12607" t="s">
        <v>605</v>
      </c>
    </row>
    <row r="12608" spans="1:19" x14ac:dyDescent="0.2">
      <c r="A12608" t="s">
        <v>13219</v>
      </c>
      <c r="B12608" t="s">
        <v>75</v>
      </c>
      <c r="C12608" t="s">
        <v>607</v>
      </c>
      <c r="D12608">
        <v>4343.13</v>
      </c>
      <c r="E12608" s="37" t="str">
        <f t="shared" si="980"/>
        <v xml:space="preserve"> </v>
      </c>
      <c r="F12608">
        <v>0.14000000000000001</v>
      </c>
      <c r="G12608" s="37" t="str">
        <f t="shared" si="981"/>
        <v>Normal Discount</v>
      </c>
      <c r="H12608" s="37" t="str">
        <f t="shared" si="982"/>
        <v>Low</v>
      </c>
      <c r="I12608">
        <v>5</v>
      </c>
      <c r="J12608" t="str" cm="1">
        <f t="array" ref="J12608">_xlfn.IFS(I12608&lt;=3,"small",I12608&lt;=6,"Medium",I12608&lt;=9,"Large")</f>
        <v>Medium</v>
      </c>
      <c r="K12608" s="36">
        <v>45286</v>
      </c>
      <c r="L12608" s="36">
        <v>45289</v>
      </c>
      <c r="M12608" t="s">
        <v>603</v>
      </c>
      <c r="N12608" t="s">
        <v>604</v>
      </c>
      <c r="O12608" s="37" t="str">
        <f t="shared" si="983"/>
        <v>Digital Payment</v>
      </c>
      <c r="P12608">
        <v>533.15</v>
      </c>
      <c r="Q12608" s="37" t="str">
        <f>IF(P12608&gt;500,"High","low")</f>
        <v>High</v>
      </c>
      <c r="R12608" s="37" t="str">
        <f t="shared" si="984"/>
        <v>Good</v>
      </c>
      <c r="S12608" t="s">
        <v>605</v>
      </c>
    </row>
    <row r="12609" spans="1:19" x14ac:dyDescent="0.2">
      <c r="A12609" t="s">
        <v>13220</v>
      </c>
      <c r="B12609" t="s">
        <v>83</v>
      </c>
      <c r="C12609" t="s">
        <v>614</v>
      </c>
      <c r="D12609">
        <v>1498.35</v>
      </c>
      <c r="E12609" s="37" t="str">
        <f t="shared" si="980"/>
        <v xml:space="preserve"> </v>
      </c>
      <c r="F12609">
        <v>0.28999999999999998</v>
      </c>
      <c r="G12609" s="37" t="str">
        <f t="shared" si="981"/>
        <v>Normal Discount</v>
      </c>
      <c r="H12609" s="37" t="str">
        <f t="shared" si="982"/>
        <v>Medium</v>
      </c>
      <c r="I12609">
        <v>7</v>
      </c>
      <c r="J12609" t="str" cm="1">
        <f t="array" ref="J12609">_xlfn.IFS(I12609&lt;=3,"small",I12609&lt;=6,"Medium",I12609&lt;=9,"Large")</f>
        <v>Large</v>
      </c>
      <c r="K12609" s="36">
        <v>45260</v>
      </c>
      <c r="L12609" s="36">
        <v>45262</v>
      </c>
      <c r="M12609" t="s">
        <v>598</v>
      </c>
      <c r="N12609" t="s">
        <v>608</v>
      </c>
      <c r="O12609" s="37" t="str">
        <f t="shared" si="983"/>
        <v>Cash Payment</v>
      </c>
      <c r="P12609">
        <v>360.28</v>
      </c>
      <c r="Q12609" s="37" t="str">
        <f>IF(P12609&gt;500,"High","low")</f>
        <v>low</v>
      </c>
      <c r="R12609" s="37" t="str">
        <f t="shared" si="984"/>
        <v>AVERAGE</v>
      </c>
      <c r="S12609" t="s">
        <v>605</v>
      </c>
    </row>
    <row r="12610" spans="1:19" x14ac:dyDescent="0.2">
      <c r="A12610" t="s">
        <v>13221</v>
      </c>
      <c r="B12610" t="s">
        <v>83</v>
      </c>
      <c r="C12610" t="s">
        <v>614</v>
      </c>
      <c r="D12610">
        <v>4401.42</v>
      </c>
      <c r="E12610" s="37" t="str">
        <f t="shared" si="980"/>
        <v xml:space="preserve"> </v>
      </c>
      <c r="F12610">
        <v>0.49</v>
      </c>
      <c r="G12610" s="37" t="str">
        <f t="shared" si="981"/>
        <v>Heavy Discount</v>
      </c>
      <c r="H12610" s="37" t="str">
        <f t="shared" si="982"/>
        <v>High</v>
      </c>
      <c r="I12610">
        <v>3</v>
      </c>
      <c r="J12610" t="str" cm="1">
        <f t="array" ref="J12610">_xlfn.IFS(I12610&lt;=3,"small",I12610&lt;=6,"Medium",I12610&lt;=9,"Large")</f>
        <v>small</v>
      </c>
      <c r="K12610" s="36">
        <v>45251</v>
      </c>
      <c r="L12610" s="36">
        <v>45253</v>
      </c>
      <c r="M12610" t="s">
        <v>598</v>
      </c>
      <c r="N12610" t="s">
        <v>604</v>
      </c>
      <c r="O12610" s="37" t="str">
        <f t="shared" si="983"/>
        <v>Digital Payment</v>
      </c>
      <c r="P12610">
        <v>281.01</v>
      </c>
      <c r="Q12610" s="37" t="str">
        <f>IF(P12610&gt;500,"High","low")</f>
        <v>low</v>
      </c>
      <c r="R12610" s="37" t="str">
        <f t="shared" si="984"/>
        <v>AVERAGE</v>
      </c>
      <c r="S12610" t="s">
        <v>600</v>
      </c>
    </row>
    <row r="12611" spans="1:19" x14ac:dyDescent="0.2">
      <c r="A12611" t="s">
        <v>13222</v>
      </c>
      <c r="B12611" t="s">
        <v>67</v>
      </c>
      <c r="C12611" t="s">
        <v>614</v>
      </c>
      <c r="D12611">
        <v>497.08</v>
      </c>
      <c r="E12611" s="37" t="str">
        <f t="shared" ref="E12611:E12674" si="985">IF(AND(D12611&gt;4000,P12611&gt;800),"Excellent Order"," ")</f>
        <v xml:space="preserve"> </v>
      </c>
      <c r="F12611">
        <v>0.09</v>
      </c>
      <c r="G12611" s="37" t="str">
        <f t="shared" ref="G12611:G12674" si="986">IF(F12611&gt;30%,"Heavy Discount","Normal Discount")</f>
        <v>Normal Discount</v>
      </c>
      <c r="H12611" s="37" t="str">
        <f t="shared" ref="H12611:H12674" si="987">IF(F12611&gt;0.4,"High",IF(F12611&gt;=0.2,"Medium","Low"))</f>
        <v>Low</v>
      </c>
      <c r="I12611">
        <v>3</v>
      </c>
      <c r="J12611" t="str" cm="1">
        <f t="array" ref="J12611">_xlfn.IFS(I12611&lt;=3,"small",I12611&lt;=6,"Medium",I12611&lt;=9,"Large")</f>
        <v>small</v>
      </c>
      <c r="K12611" s="36">
        <v>45189</v>
      </c>
      <c r="L12611" s="36">
        <v>45195</v>
      </c>
      <c r="M12611" t="s">
        <v>603</v>
      </c>
      <c r="N12611" t="s">
        <v>608</v>
      </c>
      <c r="O12611" s="37" t="str">
        <f t="shared" ref="O12611:O12674" si="988">IF(OR(N12611="Card",N12611="UPI"),"Digital Payment","Cash Payment")</f>
        <v>Cash Payment</v>
      </c>
      <c r="P12611">
        <v>63.78</v>
      </c>
      <c r="Q12611" s="37" t="str">
        <f>IF(P12611&gt;500,"High","low")</f>
        <v>low</v>
      </c>
      <c r="R12611" s="37" t="str">
        <f t="shared" ref="R12611:R12674" si="989">IF(P12611&gt;1000,"Excellent",IF(P12611&gt;=500,"Good","AVERAGE"))</f>
        <v>AVERAGE</v>
      </c>
      <c r="S12611" t="s">
        <v>605</v>
      </c>
    </row>
    <row r="12612" spans="1:19" x14ac:dyDescent="0.2">
      <c r="A12612" t="s">
        <v>13223</v>
      </c>
      <c r="B12612" t="s">
        <v>83</v>
      </c>
      <c r="C12612" t="s">
        <v>607</v>
      </c>
      <c r="D12612">
        <v>4022.27</v>
      </c>
      <c r="E12612" s="37" t="str">
        <f t="shared" si="985"/>
        <v>Excellent Order</v>
      </c>
      <c r="F12612">
        <v>0.05</v>
      </c>
      <c r="G12612" s="37" t="str">
        <f t="shared" si="986"/>
        <v>Normal Discount</v>
      </c>
      <c r="H12612" s="37" t="str">
        <f t="shared" si="987"/>
        <v>Low</v>
      </c>
      <c r="I12612">
        <v>7</v>
      </c>
      <c r="J12612" t="str" cm="1">
        <f t="array" ref="J12612">_xlfn.IFS(I12612&lt;=3,"small",I12612&lt;=6,"Medium",I12612&lt;=9,"Large")</f>
        <v>Large</v>
      </c>
      <c r="K12612" s="36">
        <v>45587</v>
      </c>
      <c r="L12612" s="36">
        <v>45591</v>
      </c>
      <c r="M12612" t="s">
        <v>603</v>
      </c>
      <c r="N12612" t="s">
        <v>604</v>
      </c>
      <c r="O12612" s="37" t="str">
        <f t="shared" si="988"/>
        <v>Digital Payment</v>
      </c>
      <c r="P12612">
        <v>928.96</v>
      </c>
      <c r="Q12612" s="37" t="str">
        <f>IF(P12612&gt;500,"High","low")</f>
        <v>High</v>
      </c>
      <c r="R12612" s="37" t="str">
        <f t="shared" si="989"/>
        <v>Good</v>
      </c>
      <c r="S12612" t="s">
        <v>609</v>
      </c>
    </row>
    <row r="12613" spans="1:19" x14ac:dyDescent="0.2">
      <c r="A12613" t="s">
        <v>13224</v>
      </c>
      <c r="B12613" t="s">
        <v>75</v>
      </c>
      <c r="C12613" t="s">
        <v>602</v>
      </c>
      <c r="D12613">
        <v>3236.54</v>
      </c>
      <c r="E12613" s="37" t="str">
        <f t="shared" si="985"/>
        <v xml:space="preserve"> </v>
      </c>
      <c r="F12613">
        <v>0.4</v>
      </c>
      <c r="G12613" s="37" t="str">
        <f t="shared" si="986"/>
        <v>Heavy Discount</v>
      </c>
      <c r="H12613" s="37" t="str">
        <f t="shared" si="987"/>
        <v>Medium</v>
      </c>
      <c r="I12613">
        <v>6</v>
      </c>
      <c r="J12613" t="str" cm="1">
        <f t="array" ref="J12613">_xlfn.IFS(I12613&lt;=3,"small",I12613&lt;=6,"Medium",I12613&lt;=9,"Large")</f>
        <v>Medium</v>
      </c>
      <c r="K12613" s="36">
        <v>45530</v>
      </c>
      <c r="L12613" s="36">
        <v>45531</v>
      </c>
      <c r="M12613" t="s">
        <v>612</v>
      </c>
      <c r="N12613" t="s">
        <v>604</v>
      </c>
      <c r="O12613" s="37" t="str">
        <f t="shared" si="988"/>
        <v>Digital Payment</v>
      </c>
      <c r="P12613">
        <v>952.21</v>
      </c>
      <c r="Q12613" s="37" t="str">
        <f>IF(P12613&gt;500,"High","low")</f>
        <v>High</v>
      </c>
      <c r="R12613" s="37" t="str">
        <f t="shared" si="989"/>
        <v>Good</v>
      </c>
      <c r="S12613" t="s">
        <v>620</v>
      </c>
    </row>
    <row r="12614" spans="1:19" x14ac:dyDescent="0.2">
      <c r="A12614" t="s">
        <v>13225</v>
      </c>
      <c r="B12614" t="s">
        <v>90</v>
      </c>
      <c r="C12614" t="s">
        <v>602</v>
      </c>
      <c r="D12614">
        <v>2957.24</v>
      </c>
      <c r="E12614" s="37" t="str">
        <f t="shared" si="985"/>
        <v xml:space="preserve"> </v>
      </c>
      <c r="F12614">
        <v>0.01</v>
      </c>
      <c r="G12614" s="37" t="str">
        <f t="shared" si="986"/>
        <v>Normal Discount</v>
      </c>
      <c r="H12614" s="37" t="str">
        <f t="shared" si="987"/>
        <v>Low</v>
      </c>
      <c r="I12614">
        <v>6</v>
      </c>
      <c r="J12614" t="str" cm="1">
        <f t="array" ref="J12614">_xlfn.IFS(I12614&lt;=3,"small",I12614&lt;=6,"Medium",I12614&lt;=9,"Large")</f>
        <v>Medium</v>
      </c>
      <c r="K12614" s="36">
        <v>45380</v>
      </c>
      <c r="L12614" s="36">
        <v>45382</v>
      </c>
      <c r="M12614" t="s">
        <v>603</v>
      </c>
      <c r="N12614" t="s">
        <v>604</v>
      </c>
      <c r="O12614" s="37" t="str">
        <f t="shared" si="988"/>
        <v>Digital Payment</v>
      </c>
      <c r="P12614">
        <v>444.98</v>
      </c>
      <c r="Q12614" s="37" t="str">
        <f>IF(P12614&gt;500,"High","low")</f>
        <v>low</v>
      </c>
      <c r="R12614" s="37" t="str">
        <f t="shared" si="989"/>
        <v>AVERAGE</v>
      </c>
      <c r="S12614" t="s">
        <v>600</v>
      </c>
    </row>
    <row r="12615" spans="1:19" x14ac:dyDescent="0.2">
      <c r="A12615" t="s">
        <v>13226</v>
      </c>
      <c r="B12615" t="s">
        <v>67</v>
      </c>
      <c r="C12615" t="s">
        <v>617</v>
      </c>
      <c r="D12615">
        <v>1227.6500000000001</v>
      </c>
      <c r="E12615" s="37" t="str">
        <f t="shared" si="985"/>
        <v xml:space="preserve"> </v>
      </c>
      <c r="F12615">
        <v>0.32</v>
      </c>
      <c r="G12615" s="37" t="str">
        <f t="shared" si="986"/>
        <v>Heavy Discount</v>
      </c>
      <c r="H12615" s="37" t="str">
        <f t="shared" si="987"/>
        <v>Medium</v>
      </c>
      <c r="I12615">
        <v>4</v>
      </c>
      <c r="J12615" t="str" cm="1">
        <f t="array" ref="J12615">_xlfn.IFS(I12615&lt;=3,"small",I12615&lt;=6,"Medium",I12615&lt;=9,"Large")</f>
        <v>Medium</v>
      </c>
      <c r="K12615" s="36">
        <v>45476</v>
      </c>
      <c r="L12615" s="36">
        <v>45479</v>
      </c>
      <c r="M12615" t="s">
        <v>598</v>
      </c>
      <c r="N12615" t="s">
        <v>608</v>
      </c>
      <c r="O12615" s="37" t="str">
        <f t="shared" si="988"/>
        <v>Cash Payment</v>
      </c>
      <c r="P12615">
        <v>136.04</v>
      </c>
      <c r="Q12615" s="37" t="str">
        <f>IF(P12615&gt;500,"High","low")</f>
        <v>low</v>
      </c>
      <c r="R12615" s="37" t="str">
        <f t="shared" si="989"/>
        <v>AVERAGE</v>
      </c>
      <c r="S12615" t="s">
        <v>628</v>
      </c>
    </row>
    <row r="12616" spans="1:19" x14ac:dyDescent="0.2">
      <c r="A12616" t="s">
        <v>13227</v>
      </c>
      <c r="B12616" t="s">
        <v>67</v>
      </c>
      <c r="C12616" t="s">
        <v>607</v>
      </c>
      <c r="D12616">
        <v>1873.02</v>
      </c>
      <c r="E12616" s="37" t="str">
        <f t="shared" si="985"/>
        <v xml:space="preserve"> </v>
      </c>
      <c r="F12616">
        <v>0.17</v>
      </c>
      <c r="G12616" s="37" t="str">
        <f t="shared" si="986"/>
        <v>Normal Discount</v>
      </c>
      <c r="H12616" s="37" t="str">
        <f t="shared" si="987"/>
        <v>Low</v>
      </c>
      <c r="I12616">
        <v>4</v>
      </c>
      <c r="J12616" t="str" cm="1">
        <f t="array" ref="J12616">_xlfn.IFS(I12616&lt;=3,"small",I12616&lt;=6,"Medium",I12616&lt;=9,"Large")</f>
        <v>Medium</v>
      </c>
      <c r="K12616" s="36">
        <v>45352</v>
      </c>
      <c r="L12616" s="36">
        <v>45357</v>
      </c>
      <c r="M12616" t="s">
        <v>598</v>
      </c>
      <c r="N12616" t="s">
        <v>604</v>
      </c>
      <c r="O12616" s="37" t="str">
        <f t="shared" si="988"/>
        <v>Digital Payment</v>
      </c>
      <c r="P12616">
        <v>501.55</v>
      </c>
      <c r="Q12616" s="37" t="str">
        <f>IF(P12616&gt;500,"High","low")</f>
        <v>High</v>
      </c>
      <c r="R12616" s="37" t="str">
        <f t="shared" si="989"/>
        <v>Good</v>
      </c>
      <c r="S12616" t="s">
        <v>605</v>
      </c>
    </row>
    <row r="12617" spans="1:19" x14ac:dyDescent="0.2">
      <c r="A12617" t="s">
        <v>13228</v>
      </c>
      <c r="B12617" t="s">
        <v>83</v>
      </c>
      <c r="C12617" t="s">
        <v>614</v>
      </c>
      <c r="D12617">
        <v>4560.49</v>
      </c>
      <c r="E12617" s="37" t="str">
        <f t="shared" si="985"/>
        <v>Excellent Order</v>
      </c>
      <c r="F12617">
        <v>0.36</v>
      </c>
      <c r="G12617" s="37" t="str">
        <f t="shared" si="986"/>
        <v>Heavy Discount</v>
      </c>
      <c r="H12617" s="37" t="str">
        <f t="shared" si="987"/>
        <v>Medium</v>
      </c>
      <c r="I12617">
        <v>2</v>
      </c>
      <c r="J12617" t="str" cm="1">
        <f t="array" ref="J12617">_xlfn.IFS(I12617&lt;=3,"small",I12617&lt;=6,"Medium",I12617&lt;=9,"Large")</f>
        <v>small</v>
      </c>
      <c r="K12617" s="36">
        <v>45543</v>
      </c>
      <c r="L12617" s="36">
        <v>45548</v>
      </c>
      <c r="M12617" t="s">
        <v>598</v>
      </c>
      <c r="N12617" t="s">
        <v>604</v>
      </c>
      <c r="O12617" s="37" t="str">
        <f t="shared" si="988"/>
        <v>Digital Payment</v>
      </c>
      <c r="P12617">
        <v>1187.25</v>
      </c>
      <c r="Q12617" s="37" t="str">
        <f>IF(P12617&gt;500,"High","low")</f>
        <v>High</v>
      </c>
      <c r="R12617" s="37" t="str">
        <f t="shared" si="989"/>
        <v>Excellent</v>
      </c>
      <c r="S12617" t="s">
        <v>620</v>
      </c>
    </row>
    <row r="12618" spans="1:19" x14ac:dyDescent="0.2">
      <c r="A12618" t="s">
        <v>13229</v>
      </c>
      <c r="B12618" t="s">
        <v>67</v>
      </c>
      <c r="C12618" t="s">
        <v>607</v>
      </c>
      <c r="D12618">
        <v>2382.13</v>
      </c>
      <c r="E12618" s="37" t="str">
        <f t="shared" si="985"/>
        <v xml:space="preserve"> </v>
      </c>
      <c r="F12618">
        <v>0.06</v>
      </c>
      <c r="G12618" s="37" t="str">
        <f t="shared" si="986"/>
        <v>Normal Discount</v>
      </c>
      <c r="H12618" s="37" t="str">
        <f t="shared" si="987"/>
        <v>Low</v>
      </c>
      <c r="I12618">
        <v>6</v>
      </c>
      <c r="J12618" t="str" cm="1">
        <f t="array" ref="J12618">_xlfn.IFS(I12618&lt;=3,"small",I12618&lt;=6,"Medium",I12618&lt;=9,"Large")</f>
        <v>Medium</v>
      </c>
      <c r="K12618" s="36">
        <v>45313</v>
      </c>
      <c r="L12618" s="36">
        <v>45319</v>
      </c>
      <c r="M12618" t="s">
        <v>612</v>
      </c>
      <c r="N12618" t="s">
        <v>599</v>
      </c>
      <c r="O12618" s="37" t="str">
        <f t="shared" si="988"/>
        <v>Digital Payment</v>
      </c>
      <c r="P12618">
        <v>443.32</v>
      </c>
      <c r="Q12618" s="37" t="str">
        <f>IF(P12618&gt;500,"High","low")</f>
        <v>low</v>
      </c>
      <c r="R12618" s="37" t="str">
        <f t="shared" si="989"/>
        <v>AVERAGE</v>
      </c>
      <c r="S12618" t="s">
        <v>609</v>
      </c>
    </row>
    <row r="12619" spans="1:19" x14ac:dyDescent="0.2">
      <c r="A12619" t="s">
        <v>13230</v>
      </c>
      <c r="B12619" t="s">
        <v>90</v>
      </c>
      <c r="C12619" t="s">
        <v>602</v>
      </c>
      <c r="D12619">
        <v>3012.46</v>
      </c>
      <c r="E12619" s="37" t="str">
        <f t="shared" si="985"/>
        <v xml:space="preserve"> </v>
      </c>
      <c r="F12619">
        <v>0.17</v>
      </c>
      <c r="G12619" s="37" t="str">
        <f t="shared" si="986"/>
        <v>Normal Discount</v>
      </c>
      <c r="H12619" s="37" t="str">
        <f t="shared" si="987"/>
        <v>Low</v>
      </c>
      <c r="I12619">
        <v>3</v>
      </c>
      <c r="J12619" t="str" cm="1">
        <f t="array" ref="J12619">_xlfn.IFS(I12619&lt;=3,"small",I12619&lt;=6,"Medium",I12619&lt;=9,"Large")</f>
        <v>small</v>
      </c>
      <c r="K12619" s="36">
        <v>45091</v>
      </c>
      <c r="L12619" s="36">
        <v>45093</v>
      </c>
      <c r="M12619" t="s">
        <v>598</v>
      </c>
      <c r="N12619" t="s">
        <v>604</v>
      </c>
      <c r="O12619" s="37" t="str">
        <f t="shared" si="988"/>
        <v>Digital Payment</v>
      </c>
      <c r="P12619">
        <v>351.38</v>
      </c>
      <c r="Q12619" s="37" t="str">
        <f>IF(P12619&gt;500,"High","low")</f>
        <v>low</v>
      </c>
      <c r="R12619" s="37" t="str">
        <f t="shared" si="989"/>
        <v>AVERAGE</v>
      </c>
      <c r="S12619" t="s">
        <v>609</v>
      </c>
    </row>
    <row r="12620" spans="1:19" x14ac:dyDescent="0.2">
      <c r="A12620" t="s">
        <v>13231</v>
      </c>
      <c r="B12620" t="s">
        <v>67</v>
      </c>
      <c r="C12620" t="s">
        <v>602</v>
      </c>
      <c r="D12620">
        <v>4685.67</v>
      </c>
      <c r="E12620" s="37" t="str">
        <f t="shared" si="985"/>
        <v xml:space="preserve"> </v>
      </c>
      <c r="F12620">
        <v>0.01</v>
      </c>
      <c r="G12620" s="37" t="str">
        <f t="shared" si="986"/>
        <v>Normal Discount</v>
      </c>
      <c r="H12620" s="37" t="str">
        <f t="shared" si="987"/>
        <v>Low</v>
      </c>
      <c r="I12620">
        <v>6</v>
      </c>
      <c r="J12620" t="str" cm="1">
        <f t="array" ref="J12620">_xlfn.IFS(I12620&lt;=3,"small",I12620&lt;=6,"Medium",I12620&lt;=9,"Large")</f>
        <v>Medium</v>
      </c>
      <c r="K12620" s="36">
        <v>45455</v>
      </c>
      <c r="L12620" s="36">
        <v>45460</v>
      </c>
      <c r="M12620" t="s">
        <v>603</v>
      </c>
      <c r="N12620" t="s">
        <v>599</v>
      </c>
      <c r="O12620" s="37" t="str">
        <f t="shared" si="988"/>
        <v>Digital Payment</v>
      </c>
      <c r="P12620">
        <v>595.74</v>
      </c>
      <c r="Q12620" s="37" t="str">
        <f>IF(P12620&gt;500,"High","low")</f>
        <v>High</v>
      </c>
      <c r="R12620" s="37" t="str">
        <f t="shared" si="989"/>
        <v>Good</v>
      </c>
      <c r="S12620" t="s">
        <v>605</v>
      </c>
    </row>
    <row r="12621" spans="1:19" x14ac:dyDescent="0.2">
      <c r="A12621" t="s">
        <v>13232</v>
      </c>
      <c r="B12621" t="s">
        <v>90</v>
      </c>
      <c r="C12621" t="s">
        <v>597</v>
      </c>
      <c r="D12621">
        <v>2385.79</v>
      </c>
      <c r="E12621" s="37" t="str">
        <f t="shared" si="985"/>
        <v xml:space="preserve"> </v>
      </c>
      <c r="F12621">
        <v>0.12</v>
      </c>
      <c r="G12621" s="37" t="str">
        <f t="shared" si="986"/>
        <v>Normal Discount</v>
      </c>
      <c r="H12621" s="37" t="str">
        <f t="shared" si="987"/>
        <v>Low</v>
      </c>
      <c r="I12621">
        <v>3</v>
      </c>
      <c r="J12621" t="str" cm="1">
        <f t="array" ref="J12621">_xlfn.IFS(I12621&lt;=3,"small",I12621&lt;=6,"Medium",I12621&lt;=9,"Large")</f>
        <v>small</v>
      </c>
      <c r="K12621" s="36">
        <v>45599</v>
      </c>
      <c r="L12621" s="36">
        <v>45606</v>
      </c>
      <c r="M12621" t="s">
        <v>612</v>
      </c>
      <c r="N12621" t="s">
        <v>604</v>
      </c>
      <c r="O12621" s="37" t="str">
        <f t="shared" si="988"/>
        <v>Digital Payment</v>
      </c>
      <c r="P12621">
        <v>410.84</v>
      </c>
      <c r="Q12621" s="37" t="str">
        <f>IF(P12621&gt;500,"High","low")</f>
        <v>low</v>
      </c>
      <c r="R12621" s="37" t="str">
        <f t="shared" si="989"/>
        <v>AVERAGE</v>
      </c>
      <c r="S12621" t="s">
        <v>609</v>
      </c>
    </row>
    <row r="12622" spans="1:19" x14ac:dyDescent="0.2">
      <c r="A12622" t="s">
        <v>13233</v>
      </c>
      <c r="B12622" t="s">
        <v>75</v>
      </c>
      <c r="C12622" t="s">
        <v>597</v>
      </c>
      <c r="D12622">
        <v>2002.52</v>
      </c>
      <c r="E12622" s="37" t="str">
        <f t="shared" si="985"/>
        <v xml:space="preserve"> </v>
      </c>
      <c r="F12622">
        <v>0.24</v>
      </c>
      <c r="G12622" s="37" t="str">
        <f t="shared" si="986"/>
        <v>Normal Discount</v>
      </c>
      <c r="H12622" s="37" t="str">
        <f t="shared" si="987"/>
        <v>Medium</v>
      </c>
      <c r="I12622">
        <v>3</v>
      </c>
      <c r="J12622" t="str" cm="1">
        <f t="array" ref="J12622">_xlfn.IFS(I12622&lt;=3,"small",I12622&lt;=6,"Medium",I12622&lt;=9,"Large")</f>
        <v>small</v>
      </c>
      <c r="K12622" s="36">
        <v>45448</v>
      </c>
      <c r="L12622" s="36">
        <v>45452</v>
      </c>
      <c r="M12622" t="s">
        <v>612</v>
      </c>
      <c r="N12622" t="s">
        <v>599</v>
      </c>
      <c r="O12622" s="37" t="str">
        <f t="shared" si="988"/>
        <v>Digital Payment</v>
      </c>
      <c r="P12622">
        <v>591.85</v>
      </c>
      <c r="Q12622" s="37" t="str">
        <f>IF(P12622&gt;500,"High","low")</f>
        <v>High</v>
      </c>
      <c r="R12622" s="37" t="str">
        <f t="shared" si="989"/>
        <v>Good</v>
      </c>
      <c r="S12622" t="s">
        <v>620</v>
      </c>
    </row>
    <row r="12623" spans="1:19" x14ac:dyDescent="0.2">
      <c r="A12623" t="s">
        <v>13234</v>
      </c>
      <c r="B12623" t="s">
        <v>75</v>
      </c>
      <c r="C12623" t="s">
        <v>617</v>
      </c>
      <c r="D12623">
        <v>4476.6899999999996</v>
      </c>
      <c r="E12623" s="37" t="str">
        <f t="shared" si="985"/>
        <v xml:space="preserve"> </v>
      </c>
      <c r="F12623">
        <v>0.09</v>
      </c>
      <c r="G12623" s="37" t="str">
        <f t="shared" si="986"/>
        <v>Normal Discount</v>
      </c>
      <c r="H12623" s="37" t="str">
        <f t="shared" si="987"/>
        <v>Low</v>
      </c>
      <c r="I12623">
        <v>1</v>
      </c>
      <c r="J12623" t="str" cm="1">
        <f t="array" ref="J12623">_xlfn.IFS(I12623&lt;=3,"small",I12623&lt;=6,"Medium",I12623&lt;=9,"Large")</f>
        <v>small</v>
      </c>
      <c r="K12623" s="36">
        <v>45475</v>
      </c>
      <c r="L12623" s="36">
        <v>45480</v>
      </c>
      <c r="M12623" t="s">
        <v>612</v>
      </c>
      <c r="N12623" t="s">
        <v>604</v>
      </c>
      <c r="O12623" s="37" t="str">
        <f t="shared" si="988"/>
        <v>Digital Payment</v>
      </c>
      <c r="P12623">
        <v>348.08</v>
      </c>
      <c r="Q12623" s="37" t="str">
        <f>IF(P12623&gt;500,"High","low")</f>
        <v>low</v>
      </c>
      <c r="R12623" s="37" t="str">
        <f t="shared" si="989"/>
        <v>AVERAGE</v>
      </c>
      <c r="S12623" t="s">
        <v>605</v>
      </c>
    </row>
    <row r="12624" spans="1:19" x14ac:dyDescent="0.2">
      <c r="A12624" t="s">
        <v>13235</v>
      </c>
      <c r="B12624" t="s">
        <v>90</v>
      </c>
      <c r="C12624" t="s">
        <v>607</v>
      </c>
      <c r="D12624">
        <v>4563.3500000000004</v>
      </c>
      <c r="E12624" s="37" t="str">
        <f t="shared" si="985"/>
        <v xml:space="preserve"> </v>
      </c>
      <c r="F12624">
        <v>0.3</v>
      </c>
      <c r="G12624" s="37" t="str">
        <f t="shared" si="986"/>
        <v>Normal Discount</v>
      </c>
      <c r="H12624" s="37" t="str">
        <f t="shared" si="987"/>
        <v>Medium</v>
      </c>
      <c r="I12624">
        <v>5</v>
      </c>
      <c r="J12624" t="str" cm="1">
        <f t="array" ref="J12624">_xlfn.IFS(I12624&lt;=3,"small",I12624&lt;=6,"Medium",I12624&lt;=9,"Large")</f>
        <v>Medium</v>
      </c>
      <c r="K12624" s="36">
        <v>45053</v>
      </c>
      <c r="L12624" s="36">
        <v>45058</v>
      </c>
      <c r="M12624" t="s">
        <v>598</v>
      </c>
      <c r="N12624" t="s">
        <v>608</v>
      </c>
      <c r="O12624" s="37" t="str">
        <f t="shared" si="988"/>
        <v>Cash Payment</v>
      </c>
      <c r="P12624">
        <v>643.34</v>
      </c>
      <c r="Q12624" s="37" t="str">
        <f>IF(P12624&gt;500,"High","low")</f>
        <v>High</v>
      </c>
      <c r="R12624" s="37" t="str">
        <f t="shared" si="989"/>
        <v>Good</v>
      </c>
      <c r="S12624" t="s">
        <v>615</v>
      </c>
    </row>
    <row r="12625" spans="1:19" x14ac:dyDescent="0.2">
      <c r="A12625" t="s">
        <v>13236</v>
      </c>
      <c r="B12625" t="s">
        <v>83</v>
      </c>
      <c r="C12625" t="s">
        <v>597</v>
      </c>
      <c r="D12625">
        <v>1837.73</v>
      </c>
      <c r="E12625" s="37" t="str">
        <f t="shared" si="985"/>
        <v xml:space="preserve"> </v>
      </c>
      <c r="F12625">
        <v>0.06</v>
      </c>
      <c r="G12625" s="37" t="str">
        <f t="shared" si="986"/>
        <v>Normal Discount</v>
      </c>
      <c r="H12625" s="37" t="str">
        <f t="shared" si="987"/>
        <v>Low</v>
      </c>
      <c r="I12625">
        <v>2</v>
      </c>
      <c r="J12625" t="str" cm="1">
        <f t="array" ref="J12625">_xlfn.IFS(I12625&lt;=3,"small",I12625&lt;=6,"Medium",I12625&lt;=9,"Large")</f>
        <v>small</v>
      </c>
      <c r="K12625" s="36">
        <v>45343</v>
      </c>
      <c r="L12625" s="36">
        <v>45348</v>
      </c>
      <c r="M12625" t="s">
        <v>603</v>
      </c>
      <c r="N12625" t="s">
        <v>604</v>
      </c>
      <c r="O12625" s="37" t="str">
        <f t="shared" si="988"/>
        <v>Digital Payment</v>
      </c>
      <c r="P12625">
        <v>487.43</v>
      </c>
      <c r="Q12625" s="37" t="str">
        <f>IF(P12625&gt;500,"High","low")</f>
        <v>low</v>
      </c>
      <c r="R12625" s="37" t="str">
        <f t="shared" si="989"/>
        <v>AVERAGE</v>
      </c>
      <c r="S12625" t="s">
        <v>605</v>
      </c>
    </row>
    <row r="12626" spans="1:19" x14ac:dyDescent="0.2">
      <c r="A12626" t="s">
        <v>13237</v>
      </c>
      <c r="B12626" t="s">
        <v>67</v>
      </c>
      <c r="C12626" t="s">
        <v>597</v>
      </c>
      <c r="D12626">
        <v>3000.75</v>
      </c>
      <c r="E12626" s="37" t="str">
        <f t="shared" si="985"/>
        <v xml:space="preserve"> </v>
      </c>
      <c r="F12626">
        <v>0.37</v>
      </c>
      <c r="G12626" s="37" t="str">
        <f t="shared" si="986"/>
        <v>Heavy Discount</v>
      </c>
      <c r="H12626" s="37" t="str">
        <f t="shared" si="987"/>
        <v>Medium</v>
      </c>
      <c r="I12626">
        <v>2</v>
      </c>
      <c r="J12626" t="str" cm="1">
        <f t="array" ref="J12626">_xlfn.IFS(I12626&lt;=3,"small",I12626&lt;=6,"Medium",I12626&lt;=9,"Large")</f>
        <v>small</v>
      </c>
      <c r="K12626" s="36">
        <v>45210</v>
      </c>
      <c r="L12626" s="36">
        <v>45213</v>
      </c>
      <c r="M12626" t="s">
        <v>612</v>
      </c>
      <c r="N12626" t="s">
        <v>608</v>
      </c>
      <c r="O12626" s="37" t="str">
        <f t="shared" si="988"/>
        <v>Cash Payment</v>
      </c>
      <c r="P12626">
        <v>871.53</v>
      </c>
      <c r="Q12626" s="37" t="str">
        <f>IF(P12626&gt;500,"High","low")</f>
        <v>High</v>
      </c>
      <c r="R12626" s="37" t="str">
        <f t="shared" si="989"/>
        <v>Good</v>
      </c>
      <c r="S12626" t="s">
        <v>615</v>
      </c>
    </row>
    <row r="12627" spans="1:19" x14ac:dyDescent="0.2">
      <c r="A12627" t="s">
        <v>13238</v>
      </c>
      <c r="B12627" t="s">
        <v>83</v>
      </c>
      <c r="C12627" t="s">
        <v>607</v>
      </c>
      <c r="D12627">
        <v>4822.2700000000004</v>
      </c>
      <c r="E12627" s="37" t="str">
        <f t="shared" si="985"/>
        <v xml:space="preserve"> </v>
      </c>
      <c r="F12627">
        <v>0.46</v>
      </c>
      <c r="G12627" s="37" t="str">
        <f t="shared" si="986"/>
        <v>Heavy Discount</v>
      </c>
      <c r="H12627" s="37" t="str">
        <f t="shared" si="987"/>
        <v>High</v>
      </c>
      <c r="I12627">
        <v>9</v>
      </c>
      <c r="J12627" t="str" cm="1">
        <f t="array" ref="J12627">_xlfn.IFS(I12627&lt;=3,"small",I12627&lt;=6,"Medium",I12627&lt;=9,"Large")</f>
        <v>Large</v>
      </c>
      <c r="K12627" s="36">
        <v>45653</v>
      </c>
      <c r="L12627" s="36">
        <v>45657</v>
      </c>
      <c r="M12627" t="s">
        <v>612</v>
      </c>
      <c r="N12627" t="s">
        <v>599</v>
      </c>
      <c r="O12627" s="37" t="str">
        <f t="shared" si="988"/>
        <v>Digital Payment</v>
      </c>
      <c r="P12627">
        <v>302.16000000000003</v>
      </c>
      <c r="Q12627" s="37" t="str">
        <f>IF(P12627&gt;500,"High","low")</f>
        <v>low</v>
      </c>
      <c r="R12627" s="37" t="str">
        <f t="shared" si="989"/>
        <v>AVERAGE</v>
      </c>
      <c r="S12627" t="s">
        <v>628</v>
      </c>
    </row>
    <row r="12628" spans="1:19" x14ac:dyDescent="0.2">
      <c r="A12628" t="s">
        <v>13239</v>
      </c>
      <c r="B12628" t="s">
        <v>67</v>
      </c>
      <c r="C12628" t="s">
        <v>602</v>
      </c>
      <c r="D12628">
        <v>371.81</v>
      </c>
      <c r="E12628" s="37" t="str">
        <f t="shared" si="985"/>
        <v xml:space="preserve"> </v>
      </c>
      <c r="F12628">
        <v>0.19</v>
      </c>
      <c r="G12628" s="37" t="str">
        <f t="shared" si="986"/>
        <v>Normal Discount</v>
      </c>
      <c r="H12628" s="37" t="str">
        <f t="shared" si="987"/>
        <v>Low</v>
      </c>
      <c r="I12628">
        <v>2</v>
      </c>
      <c r="J12628" t="str" cm="1">
        <f t="array" ref="J12628">_xlfn.IFS(I12628&lt;=3,"small",I12628&lt;=6,"Medium",I12628&lt;=9,"Large")</f>
        <v>small</v>
      </c>
      <c r="K12628" s="36">
        <v>45096</v>
      </c>
      <c r="L12628" s="36">
        <v>45100</v>
      </c>
      <c r="M12628" t="s">
        <v>612</v>
      </c>
      <c r="N12628" t="s">
        <v>599</v>
      </c>
      <c r="O12628" s="37" t="str">
        <f t="shared" si="988"/>
        <v>Digital Payment</v>
      </c>
      <c r="P12628">
        <v>73.37</v>
      </c>
      <c r="Q12628" s="37" t="str">
        <f>IF(P12628&gt;500,"High","low")</f>
        <v>low</v>
      </c>
      <c r="R12628" s="37" t="str">
        <f t="shared" si="989"/>
        <v>AVERAGE</v>
      </c>
      <c r="S12628" t="s">
        <v>628</v>
      </c>
    </row>
    <row r="12629" spans="1:19" x14ac:dyDescent="0.2">
      <c r="A12629" t="s">
        <v>13240</v>
      </c>
      <c r="B12629" t="s">
        <v>75</v>
      </c>
      <c r="C12629" t="s">
        <v>617</v>
      </c>
      <c r="D12629">
        <v>295.02999999999997</v>
      </c>
      <c r="E12629" s="37" t="str">
        <f t="shared" si="985"/>
        <v xml:space="preserve"> </v>
      </c>
      <c r="F12629">
        <v>0.26</v>
      </c>
      <c r="G12629" s="37" t="str">
        <f t="shared" si="986"/>
        <v>Normal Discount</v>
      </c>
      <c r="H12629" s="37" t="str">
        <f t="shared" si="987"/>
        <v>Medium</v>
      </c>
      <c r="I12629">
        <v>2</v>
      </c>
      <c r="J12629" t="str" cm="1">
        <f t="array" ref="J12629">_xlfn.IFS(I12629&lt;=3,"small",I12629&lt;=6,"Medium",I12629&lt;=9,"Large")</f>
        <v>small</v>
      </c>
      <c r="K12629" s="36">
        <v>45558</v>
      </c>
      <c r="L12629" s="36">
        <v>45563</v>
      </c>
      <c r="M12629" t="s">
        <v>603</v>
      </c>
      <c r="N12629" t="s">
        <v>604</v>
      </c>
      <c r="O12629" s="37" t="str">
        <f t="shared" si="988"/>
        <v>Digital Payment</v>
      </c>
      <c r="P12629">
        <v>59.33</v>
      </c>
      <c r="Q12629" s="37" t="str">
        <f>IF(P12629&gt;500,"High","low")</f>
        <v>low</v>
      </c>
      <c r="R12629" s="37" t="str">
        <f t="shared" si="989"/>
        <v>AVERAGE</v>
      </c>
      <c r="S12629" t="s">
        <v>628</v>
      </c>
    </row>
    <row r="12630" spans="1:19" x14ac:dyDescent="0.2">
      <c r="A12630" t="s">
        <v>13241</v>
      </c>
      <c r="B12630" t="s">
        <v>75</v>
      </c>
      <c r="C12630" t="s">
        <v>617</v>
      </c>
      <c r="D12630">
        <v>2631.24</v>
      </c>
      <c r="E12630" s="37" t="str">
        <f t="shared" si="985"/>
        <v xml:space="preserve"> </v>
      </c>
      <c r="F12630">
        <v>0.24</v>
      </c>
      <c r="G12630" s="37" t="str">
        <f t="shared" si="986"/>
        <v>Normal Discount</v>
      </c>
      <c r="H12630" s="37" t="str">
        <f t="shared" si="987"/>
        <v>Medium</v>
      </c>
      <c r="I12630">
        <v>6</v>
      </c>
      <c r="J12630" t="str" cm="1">
        <f t="array" ref="J12630">_xlfn.IFS(I12630&lt;=3,"small",I12630&lt;=6,"Medium",I12630&lt;=9,"Large")</f>
        <v>Medium</v>
      </c>
      <c r="K12630" s="36">
        <v>45292</v>
      </c>
      <c r="L12630" s="36">
        <v>45294</v>
      </c>
      <c r="M12630" t="s">
        <v>603</v>
      </c>
      <c r="N12630" t="s">
        <v>599</v>
      </c>
      <c r="O12630" s="37" t="str">
        <f t="shared" si="988"/>
        <v>Digital Payment</v>
      </c>
      <c r="P12630">
        <v>463.48</v>
      </c>
      <c r="Q12630" s="37" t="str">
        <f>IF(P12630&gt;500,"High","low")</f>
        <v>low</v>
      </c>
      <c r="R12630" s="37" t="str">
        <f t="shared" si="989"/>
        <v>AVERAGE</v>
      </c>
      <c r="S12630" t="s">
        <v>620</v>
      </c>
    </row>
    <row r="12631" spans="1:19" x14ac:dyDescent="0.2">
      <c r="A12631" t="s">
        <v>13242</v>
      </c>
      <c r="B12631" t="s">
        <v>75</v>
      </c>
      <c r="C12631" t="s">
        <v>617</v>
      </c>
      <c r="D12631">
        <v>1527.08</v>
      </c>
      <c r="E12631" s="37" t="str">
        <f t="shared" si="985"/>
        <v xml:space="preserve"> </v>
      </c>
      <c r="F12631">
        <v>0.39</v>
      </c>
      <c r="G12631" s="37" t="str">
        <f t="shared" si="986"/>
        <v>Heavy Discount</v>
      </c>
      <c r="H12631" s="37" t="str">
        <f t="shared" si="987"/>
        <v>Medium</v>
      </c>
      <c r="I12631">
        <v>1</v>
      </c>
      <c r="J12631" t="str" cm="1">
        <f t="array" ref="J12631">_xlfn.IFS(I12631&lt;=3,"small",I12631&lt;=6,"Medium",I12631&lt;=9,"Large")</f>
        <v>small</v>
      </c>
      <c r="K12631" s="36">
        <v>44984</v>
      </c>
      <c r="L12631" s="36">
        <v>44990</v>
      </c>
      <c r="M12631" t="s">
        <v>598</v>
      </c>
      <c r="N12631" t="s">
        <v>604</v>
      </c>
      <c r="O12631" s="37" t="str">
        <f t="shared" si="988"/>
        <v>Digital Payment</v>
      </c>
      <c r="P12631">
        <v>92.82</v>
      </c>
      <c r="Q12631" s="37" t="str">
        <f>IF(P12631&gt;500,"High","low")</f>
        <v>low</v>
      </c>
      <c r="R12631" s="37" t="str">
        <f t="shared" si="989"/>
        <v>AVERAGE</v>
      </c>
      <c r="S12631" t="s">
        <v>600</v>
      </c>
    </row>
    <row r="12632" spans="1:19" x14ac:dyDescent="0.2">
      <c r="A12632" t="s">
        <v>13243</v>
      </c>
      <c r="B12632" t="s">
        <v>67</v>
      </c>
      <c r="C12632" t="s">
        <v>597</v>
      </c>
      <c r="D12632">
        <v>2951.06</v>
      </c>
      <c r="E12632" s="37" t="str">
        <f t="shared" si="985"/>
        <v xml:space="preserve"> </v>
      </c>
      <c r="F12632">
        <v>0.5</v>
      </c>
      <c r="G12632" s="37" t="str">
        <f t="shared" si="986"/>
        <v>Heavy Discount</v>
      </c>
      <c r="H12632" s="37" t="str">
        <f t="shared" si="987"/>
        <v>High</v>
      </c>
      <c r="I12632">
        <v>8</v>
      </c>
      <c r="J12632" t="str" cm="1">
        <f t="array" ref="J12632">_xlfn.IFS(I12632&lt;=3,"small",I12632&lt;=6,"Medium",I12632&lt;=9,"Large")</f>
        <v>Large</v>
      </c>
      <c r="K12632" s="36">
        <v>45614</v>
      </c>
      <c r="L12632" s="36">
        <v>45621</v>
      </c>
      <c r="M12632" t="s">
        <v>603</v>
      </c>
      <c r="N12632" t="s">
        <v>599</v>
      </c>
      <c r="O12632" s="37" t="str">
        <f t="shared" si="988"/>
        <v>Digital Payment</v>
      </c>
      <c r="P12632">
        <v>381.88</v>
      </c>
      <c r="Q12632" s="37" t="str">
        <f>IF(P12632&gt;500,"High","low")</f>
        <v>low</v>
      </c>
      <c r="R12632" s="37" t="str">
        <f t="shared" si="989"/>
        <v>AVERAGE</v>
      </c>
      <c r="S12632" t="s">
        <v>628</v>
      </c>
    </row>
    <row r="12633" spans="1:19" x14ac:dyDescent="0.2">
      <c r="A12633" t="s">
        <v>13244</v>
      </c>
      <c r="B12633" t="s">
        <v>75</v>
      </c>
      <c r="C12633" t="s">
        <v>602</v>
      </c>
      <c r="D12633">
        <v>3649.05</v>
      </c>
      <c r="E12633" s="37" t="str">
        <f t="shared" si="985"/>
        <v xml:space="preserve"> </v>
      </c>
      <c r="F12633">
        <v>0.37</v>
      </c>
      <c r="G12633" s="37" t="str">
        <f t="shared" si="986"/>
        <v>Heavy Discount</v>
      </c>
      <c r="H12633" s="37" t="str">
        <f t="shared" si="987"/>
        <v>Medium</v>
      </c>
      <c r="I12633">
        <v>1</v>
      </c>
      <c r="J12633" t="str" cm="1">
        <f t="array" ref="J12633">_xlfn.IFS(I12633&lt;=3,"small",I12633&lt;=6,"Medium",I12633&lt;=9,"Large")</f>
        <v>small</v>
      </c>
      <c r="K12633" s="36">
        <v>45424</v>
      </c>
      <c r="L12633" s="36">
        <v>45430</v>
      </c>
      <c r="M12633" t="s">
        <v>598</v>
      </c>
      <c r="N12633" t="s">
        <v>599</v>
      </c>
      <c r="O12633" s="37" t="str">
        <f t="shared" si="988"/>
        <v>Digital Payment</v>
      </c>
      <c r="P12633">
        <v>584.08000000000004</v>
      </c>
      <c r="Q12633" s="37" t="str">
        <f>IF(P12633&gt;500,"High","low")</f>
        <v>High</v>
      </c>
      <c r="R12633" s="37" t="str">
        <f t="shared" si="989"/>
        <v>Good</v>
      </c>
      <c r="S12633" t="s">
        <v>605</v>
      </c>
    </row>
    <row r="12634" spans="1:19" x14ac:dyDescent="0.2">
      <c r="A12634" t="s">
        <v>13245</v>
      </c>
      <c r="B12634" t="s">
        <v>75</v>
      </c>
      <c r="C12634" t="s">
        <v>617</v>
      </c>
      <c r="D12634">
        <v>438.46</v>
      </c>
      <c r="E12634" s="37" t="str">
        <f t="shared" si="985"/>
        <v xml:space="preserve"> </v>
      </c>
      <c r="F12634">
        <v>0.11</v>
      </c>
      <c r="G12634" s="37" t="str">
        <f t="shared" si="986"/>
        <v>Normal Discount</v>
      </c>
      <c r="H12634" s="37" t="str">
        <f t="shared" si="987"/>
        <v>Low</v>
      </c>
      <c r="I12634">
        <v>9</v>
      </c>
      <c r="J12634" t="str" cm="1">
        <f t="array" ref="J12634">_xlfn.IFS(I12634&lt;=3,"small",I12634&lt;=6,"Medium",I12634&lt;=9,"Large")</f>
        <v>Large</v>
      </c>
      <c r="K12634" s="36">
        <v>45361</v>
      </c>
      <c r="L12634" s="36">
        <v>45364</v>
      </c>
      <c r="M12634" t="s">
        <v>603</v>
      </c>
      <c r="N12634" t="s">
        <v>608</v>
      </c>
      <c r="O12634" s="37" t="str">
        <f t="shared" si="988"/>
        <v>Cash Payment</v>
      </c>
      <c r="P12634">
        <v>75.38</v>
      </c>
      <c r="Q12634" s="37" t="str">
        <f>IF(P12634&gt;500,"High","low")</f>
        <v>low</v>
      </c>
      <c r="R12634" s="37" t="str">
        <f t="shared" si="989"/>
        <v>AVERAGE</v>
      </c>
      <c r="S12634" t="s">
        <v>628</v>
      </c>
    </row>
    <row r="12635" spans="1:19" x14ac:dyDescent="0.2">
      <c r="A12635" t="s">
        <v>13246</v>
      </c>
      <c r="B12635" t="s">
        <v>75</v>
      </c>
      <c r="C12635" t="s">
        <v>607</v>
      </c>
      <c r="D12635">
        <v>4423.6000000000004</v>
      </c>
      <c r="E12635" s="37" t="str">
        <f t="shared" si="985"/>
        <v>Excellent Order</v>
      </c>
      <c r="F12635">
        <v>0.35</v>
      </c>
      <c r="G12635" s="37" t="str">
        <f t="shared" si="986"/>
        <v>Heavy Discount</v>
      </c>
      <c r="H12635" s="37" t="str">
        <f t="shared" si="987"/>
        <v>Medium</v>
      </c>
      <c r="I12635">
        <v>4</v>
      </c>
      <c r="J12635" t="str" cm="1">
        <f t="array" ref="J12635">_xlfn.IFS(I12635&lt;=3,"small",I12635&lt;=6,"Medium",I12635&lt;=9,"Large")</f>
        <v>Medium</v>
      </c>
      <c r="K12635" s="36">
        <v>45292</v>
      </c>
      <c r="L12635" s="36">
        <v>45294</v>
      </c>
      <c r="M12635" t="s">
        <v>598</v>
      </c>
      <c r="N12635" t="s">
        <v>604</v>
      </c>
      <c r="O12635" s="37" t="str">
        <f t="shared" si="988"/>
        <v>Digital Payment</v>
      </c>
      <c r="P12635">
        <v>1289.04</v>
      </c>
      <c r="Q12635" s="37" t="str">
        <f>IF(P12635&gt;500,"High","low")</f>
        <v>High</v>
      </c>
      <c r="R12635" s="37" t="str">
        <f t="shared" si="989"/>
        <v>Excellent</v>
      </c>
      <c r="S12635" t="s">
        <v>600</v>
      </c>
    </row>
    <row r="12636" spans="1:19" x14ac:dyDescent="0.2">
      <c r="A12636" t="s">
        <v>13247</v>
      </c>
      <c r="B12636" t="s">
        <v>75</v>
      </c>
      <c r="C12636" t="s">
        <v>617</v>
      </c>
      <c r="D12636">
        <v>1456.75</v>
      </c>
      <c r="E12636" s="37" t="str">
        <f t="shared" si="985"/>
        <v xml:space="preserve"> </v>
      </c>
      <c r="F12636">
        <v>0.31</v>
      </c>
      <c r="G12636" s="37" t="str">
        <f t="shared" si="986"/>
        <v>Heavy Discount</v>
      </c>
      <c r="H12636" s="37" t="str">
        <f t="shared" si="987"/>
        <v>Medium</v>
      </c>
      <c r="I12636">
        <v>3</v>
      </c>
      <c r="J12636" t="str" cm="1">
        <f t="array" ref="J12636">_xlfn.IFS(I12636&lt;=3,"small",I12636&lt;=6,"Medium",I12636&lt;=9,"Large")</f>
        <v>small</v>
      </c>
      <c r="K12636" s="36">
        <v>45454</v>
      </c>
      <c r="L12636" s="36">
        <v>45455</v>
      </c>
      <c r="M12636" t="s">
        <v>598</v>
      </c>
      <c r="N12636" t="s">
        <v>604</v>
      </c>
      <c r="O12636" s="37" t="str">
        <f t="shared" si="988"/>
        <v>Digital Payment</v>
      </c>
      <c r="P12636">
        <v>183.84</v>
      </c>
      <c r="Q12636" s="37" t="str">
        <f>IF(P12636&gt;500,"High","low")</f>
        <v>low</v>
      </c>
      <c r="R12636" s="37" t="str">
        <f t="shared" si="989"/>
        <v>AVERAGE</v>
      </c>
      <c r="S12636" t="s">
        <v>628</v>
      </c>
    </row>
    <row r="12637" spans="1:19" x14ac:dyDescent="0.2">
      <c r="A12637" t="s">
        <v>13248</v>
      </c>
      <c r="B12637" t="s">
        <v>83</v>
      </c>
      <c r="C12637" t="s">
        <v>614</v>
      </c>
      <c r="D12637">
        <v>1968.6</v>
      </c>
      <c r="E12637" s="37" t="str">
        <f t="shared" si="985"/>
        <v xml:space="preserve"> </v>
      </c>
      <c r="F12637">
        <v>0.11</v>
      </c>
      <c r="G12637" s="37" t="str">
        <f t="shared" si="986"/>
        <v>Normal Discount</v>
      </c>
      <c r="H12637" s="37" t="str">
        <f t="shared" si="987"/>
        <v>Low</v>
      </c>
      <c r="I12637">
        <v>7</v>
      </c>
      <c r="J12637" t="str" cm="1">
        <f t="array" ref="J12637">_xlfn.IFS(I12637&lt;=3,"small",I12637&lt;=6,"Medium",I12637&lt;=9,"Large")</f>
        <v>Large</v>
      </c>
      <c r="K12637" s="36">
        <v>45150</v>
      </c>
      <c r="L12637" s="36">
        <v>45153</v>
      </c>
      <c r="M12637" t="s">
        <v>598</v>
      </c>
      <c r="N12637" t="s">
        <v>604</v>
      </c>
      <c r="O12637" s="37" t="str">
        <f t="shared" si="988"/>
        <v>Digital Payment</v>
      </c>
      <c r="P12637">
        <v>127.54</v>
      </c>
      <c r="Q12637" s="37" t="str">
        <f>IF(P12637&gt;500,"High","low")</f>
        <v>low</v>
      </c>
      <c r="R12637" s="37" t="str">
        <f t="shared" si="989"/>
        <v>AVERAGE</v>
      </c>
      <c r="S12637" t="s">
        <v>628</v>
      </c>
    </row>
    <row r="12638" spans="1:19" x14ac:dyDescent="0.2">
      <c r="A12638" t="s">
        <v>13249</v>
      </c>
      <c r="B12638" t="s">
        <v>75</v>
      </c>
      <c r="C12638" t="s">
        <v>602</v>
      </c>
      <c r="D12638">
        <v>1751.48</v>
      </c>
      <c r="E12638" s="37" t="str">
        <f t="shared" si="985"/>
        <v xml:space="preserve"> </v>
      </c>
      <c r="F12638">
        <v>0.12</v>
      </c>
      <c r="G12638" s="37" t="str">
        <f t="shared" si="986"/>
        <v>Normal Discount</v>
      </c>
      <c r="H12638" s="37" t="str">
        <f t="shared" si="987"/>
        <v>Low</v>
      </c>
      <c r="I12638">
        <v>8</v>
      </c>
      <c r="J12638" t="str" cm="1">
        <f t="array" ref="J12638">_xlfn.IFS(I12638&lt;=3,"small",I12638&lt;=6,"Medium",I12638&lt;=9,"Large")</f>
        <v>Large</v>
      </c>
      <c r="K12638" s="36">
        <v>44988</v>
      </c>
      <c r="L12638" s="36">
        <v>44994</v>
      </c>
      <c r="M12638" t="s">
        <v>612</v>
      </c>
      <c r="N12638" t="s">
        <v>604</v>
      </c>
      <c r="O12638" s="37" t="str">
        <f t="shared" si="988"/>
        <v>Digital Payment</v>
      </c>
      <c r="P12638">
        <v>140.15</v>
      </c>
      <c r="Q12638" s="37" t="str">
        <f>IF(P12638&gt;500,"High","low")</f>
        <v>low</v>
      </c>
      <c r="R12638" s="37" t="str">
        <f t="shared" si="989"/>
        <v>AVERAGE</v>
      </c>
      <c r="S12638" t="s">
        <v>600</v>
      </c>
    </row>
    <row r="12639" spans="1:19" x14ac:dyDescent="0.2">
      <c r="A12639" t="s">
        <v>13250</v>
      </c>
      <c r="B12639" t="s">
        <v>75</v>
      </c>
      <c r="C12639" t="s">
        <v>614</v>
      </c>
      <c r="D12639">
        <v>4215.1899999999996</v>
      </c>
      <c r="E12639" s="37" t="str">
        <f t="shared" si="985"/>
        <v xml:space="preserve"> </v>
      </c>
      <c r="F12639">
        <v>0.33</v>
      </c>
      <c r="G12639" s="37" t="str">
        <f t="shared" si="986"/>
        <v>Heavy Discount</v>
      </c>
      <c r="H12639" s="37" t="str">
        <f t="shared" si="987"/>
        <v>Medium</v>
      </c>
      <c r="I12639">
        <v>5</v>
      </c>
      <c r="J12639" t="str" cm="1">
        <f t="array" ref="J12639">_xlfn.IFS(I12639&lt;=3,"small",I12639&lt;=6,"Medium",I12639&lt;=9,"Large")</f>
        <v>Medium</v>
      </c>
      <c r="K12639" s="36">
        <v>45359</v>
      </c>
      <c r="L12639" s="36">
        <v>45364</v>
      </c>
      <c r="M12639" t="s">
        <v>598</v>
      </c>
      <c r="N12639" t="s">
        <v>604</v>
      </c>
      <c r="O12639" s="37" t="str">
        <f t="shared" si="988"/>
        <v>Digital Payment</v>
      </c>
      <c r="P12639">
        <v>582.33000000000004</v>
      </c>
      <c r="Q12639" s="37" t="str">
        <f>IF(P12639&gt;500,"High","low")</f>
        <v>High</v>
      </c>
      <c r="R12639" s="37" t="str">
        <f t="shared" si="989"/>
        <v>Good</v>
      </c>
      <c r="S12639" t="s">
        <v>609</v>
      </c>
    </row>
    <row r="12640" spans="1:19" x14ac:dyDescent="0.2">
      <c r="A12640" t="s">
        <v>13251</v>
      </c>
      <c r="B12640" t="s">
        <v>83</v>
      </c>
      <c r="C12640" t="s">
        <v>602</v>
      </c>
      <c r="D12640">
        <v>936.2</v>
      </c>
      <c r="E12640" s="37" t="str">
        <f t="shared" si="985"/>
        <v xml:space="preserve"> </v>
      </c>
      <c r="F12640">
        <v>0.4</v>
      </c>
      <c r="G12640" s="37" t="str">
        <f t="shared" si="986"/>
        <v>Heavy Discount</v>
      </c>
      <c r="H12640" s="37" t="str">
        <f t="shared" si="987"/>
        <v>Medium</v>
      </c>
      <c r="I12640">
        <v>3</v>
      </c>
      <c r="J12640" t="str" cm="1">
        <f t="array" ref="J12640">_xlfn.IFS(I12640&lt;=3,"small",I12640&lt;=6,"Medium",I12640&lt;=9,"Large")</f>
        <v>small</v>
      </c>
      <c r="K12640" s="36">
        <v>45527</v>
      </c>
      <c r="L12640" s="36">
        <v>45530</v>
      </c>
      <c r="M12640" t="s">
        <v>612</v>
      </c>
      <c r="N12640" t="s">
        <v>604</v>
      </c>
      <c r="O12640" s="37" t="str">
        <f t="shared" si="988"/>
        <v>Digital Payment</v>
      </c>
      <c r="P12640">
        <v>229.02</v>
      </c>
      <c r="Q12640" s="37" t="str">
        <f>IF(P12640&gt;500,"High","low")</f>
        <v>low</v>
      </c>
      <c r="R12640" s="37" t="str">
        <f t="shared" si="989"/>
        <v>AVERAGE</v>
      </c>
      <c r="S12640" t="s">
        <v>620</v>
      </c>
    </row>
    <row r="12641" spans="1:19" x14ac:dyDescent="0.2">
      <c r="A12641" t="s">
        <v>13252</v>
      </c>
      <c r="B12641" t="s">
        <v>83</v>
      </c>
      <c r="C12641" t="s">
        <v>607</v>
      </c>
      <c r="D12641">
        <v>240.5</v>
      </c>
      <c r="E12641" s="37" t="str">
        <f t="shared" si="985"/>
        <v xml:space="preserve"> </v>
      </c>
      <c r="F12641">
        <v>0.38</v>
      </c>
      <c r="G12641" s="37" t="str">
        <f t="shared" si="986"/>
        <v>Heavy Discount</v>
      </c>
      <c r="H12641" s="37" t="str">
        <f t="shared" si="987"/>
        <v>Medium</v>
      </c>
      <c r="I12641">
        <v>4</v>
      </c>
      <c r="J12641" t="str" cm="1">
        <f t="array" ref="J12641">_xlfn.IFS(I12641&lt;=3,"small",I12641&lt;=6,"Medium",I12641&lt;=9,"Large")</f>
        <v>Medium</v>
      </c>
      <c r="K12641" s="36">
        <v>45581</v>
      </c>
      <c r="L12641" s="36">
        <v>45584</v>
      </c>
      <c r="M12641" t="s">
        <v>603</v>
      </c>
      <c r="N12641" t="s">
        <v>604</v>
      </c>
      <c r="O12641" s="37" t="str">
        <f t="shared" si="988"/>
        <v>Digital Payment</v>
      </c>
      <c r="P12641">
        <v>48.53</v>
      </c>
      <c r="Q12641" s="37" t="str">
        <f>IF(P12641&gt;500,"High","low")</f>
        <v>low</v>
      </c>
      <c r="R12641" s="37" t="str">
        <f t="shared" si="989"/>
        <v>AVERAGE</v>
      </c>
      <c r="S12641" t="s">
        <v>620</v>
      </c>
    </row>
    <row r="12642" spans="1:19" x14ac:dyDescent="0.2">
      <c r="A12642" t="s">
        <v>13253</v>
      </c>
      <c r="B12642" t="s">
        <v>67</v>
      </c>
      <c r="C12642" t="s">
        <v>597</v>
      </c>
      <c r="D12642">
        <v>4861.83</v>
      </c>
      <c r="E12642" s="37" t="str">
        <f t="shared" si="985"/>
        <v>Excellent Order</v>
      </c>
      <c r="F12642">
        <v>0.3</v>
      </c>
      <c r="G12642" s="37" t="str">
        <f t="shared" si="986"/>
        <v>Normal Discount</v>
      </c>
      <c r="H12642" s="37" t="str">
        <f t="shared" si="987"/>
        <v>Medium</v>
      </c>
      <c r="I12642">
        <v>6</v>
      </c>
      <c r="J12642" t="str" cm="1">
        <f t="array" ref="J12642">_xlfn.IFS(I12642&lt;=3,"small",I12642&lt;=6,"Medium",I12642&lt;=9,"Large")</f>
        <v>Medium</v>
      </c>
      <c r="K12642" s="36">
        <v>45454</v>
      </c>
      <c r="L12642" s="36">
        <v>45456</v>
      </c>
      <c r="M12642" t="s">
        <v>612</v>
      </c>
      <c r="N12642" t="s">
        <v>608</v>
      </c>
      <c r="O12642" s="37" t="str">
        <f t="shared" si="988"/>
        <v>Cash Payment</v>
      </c>
      <c r="P12642">
        <v>1193.52</v>
      </c>
      <c r="Q12642" s="37" t="str">
        <f>IF(P12642&gt;500,"High","low")</f>
        <v>High</v>
      </c>
      <c r="R12642" s="37" t="str">
        <f t="shared" si="989"/>
        <v>Excellent</v>
      </c>
      <c r="S12642" t="s">
        <v>600</v>
      </c>
    </row>
    <row r="12643" spans="1:19" x14ac:dyDescent="0.2">
      <c r="A12643" t="s">
        <v>13254</v>
      </c>
      <c r="B12643" t="s">
        <v>90</v>
      </c>
      <c r="C12643" t="s">
        <v>597</v>
      </c>
      <c r="D12643">
        <v>4905.1000000000004</v>
      </c>
      <c r="E12643" s="37" t="str">
        <f t="shared" si="985"/>
        <v>Excellent Order</v>
      </c>
      <c r="F12643">
        <v>0.47</v>
      </c>
      <c r="G12643" s="37" t="str">
        <f t="shared" si="986"/>
        <v>Heavy Discount</v>
      </c>
      <c r="H12643" s="37" t="str">
        <f t="shared" si="987"/>
        <v>High</v>
      </c>
      <c r="I12643">
        <v>5</v>
      </c>
      <c r="J12643" t="str" cm="1">
        <f t="array" ref="J12643">_xlfn.IFS(I12643&lt;=3,"small",I12643&lt;=6,"Medium",I12643&lt;=9,"Large")</f>
        <v>Medium</v>
      </c>
      <c r="K12643" s="36">
        <v>45135</v>
      </c>
      <c r="L12643" s="36">
        <v>45141</v>
      </c>
      <c r="M12643" t="s">
        <v>598</v>
      </c>
      <c r="N12643" t="s">
        <v>608</v>
      </c>
      <c r="O12643" s="37" t="str">
        <f t="shared" si="988"/>
        <v>Cash Payment</v>
      </c>
      <c r="P12643">
        <v>1371.54</v>
      </c>
      <c r="Q12643" s="37" t="str">
        <f>IF(P12643&gt;500,"High","low")</f>
        <v>High</v>
      </c>
      <c r="R12643" s="37" t="str">
        <f t="shared" si="989"/>
        <v>Excellent</v>
      </c>
      <c r="S12643" t="s">
        <v>605</v>
      </c>
    </row>
    <row r="12644" spans="1:19" x14ac:dyDescent="0.2">
      <c r="A12644" t="s">
        <v>13255</v>
      </c>
      <c r="B12644" t="s">
        <v>75</v>
      </c>
      <c r="C12644" t="s">
        <v>602</v>
      </c>
      <c r="D12644">
        <v>1362.69</v>
      </c>
      <c r="E12644" s="37" t="str">
        <f t="shared" si="985"/>
        <v xml:space="preserve"> </v>
      </c>
      <c r="F12644">
        <v>0.37</v>
      </c>
      <c r="G12644" s="37" t="str">
        <f t="shared" si="986"/>
        <v>Heavy Discount</v>
      </c>
      <c r="H12644" s="37" t="str">
        <f t="shared" si="987"/>
        <v>Medium</v>
      </c>
      <c r="I12644">
        <v>4</v>
      </c>
      <c r="J12644" t="str" cm="1">
        <f t="array" ref="J12644">_xlfn.IFS(I12644&lt;=3,"small",I12644&lt;=6,"Medium",I12644&lt;=9,"Large")</f>
        <v>Medium</v>
      </c>
      <c r="K12644" s="36">
        <v>44953</v>
      </c>
      <c r="L12644" s="36">
        <v>44954</v>
      </c>
      <c r="M12644" t="s">
        <v>612</v>
      </c>
      <c r="N12644" t="s">
        <v>599</v>
      </c>
      <c r="O12644" s="37" t="str">
        <f t="shared" si="988"/>
        <v>Digital Payment</v>
      </c>
      <c r="P12644">
        <v>109.3</v>
      </c>
      <c r="Q12644" s="37" t="str">
        <f>IF(P12644&gt;500,"High","low")</f>
        <v>low</v>
      </c>
      <c r="R12644" s="37" t="str">
        <f t="shared" si="989"/>
        <v>AVERAGE</v>
      </c>
      <c r="S12644" t="s">
        <v>628</v>
      </c>
    </row>
    <row r="12645" spans="1:19" x14ac:dyDescent="0.2">
      <c r="A12645" t="s">
        <v>13256</v>
      </c>
      <c r="B12645" t="s">
        <v>75</v>
      </c>
      <c r="C12645" t="s">
        <v>617</v>
      </c>
      <c r="D12645">
        <v>145.83000000000001</v>
      </c>
      <c r="E12645" s="37" t="str">
        <f t="shared" si="985"/>
        <v xml:space="preserve"> </v>
      </c>
      <c r="F12645">
        <v>0.27</v>
      </c>
      <c r="G12645" s="37" t="str">
        <f t="shared" si="986"/>
        <v>Normal Discount</v>
      </c>
      <c r="H12645" s="37" t="str">
        <f t="shared" si="987"/>
        <v>Medium</v>
      </c>
      <c r="I12645">
        <v>3</v>
      </c>
      <c r="J12645" t="str" cm="1">
        <f t="array" ref="J12645">_xlfn.IFS(I12645&lt;=3,"small",I12645&lt;=6,"Medium",I12645&lt;=9,"Large")</f>
        <v>small</v>
      </c>
      <c r="K12645" s="36">
        <v>45485</v>
      </c>
      <c r="L12645" s="36">
        <v>45488</v>
      </c>
      <c r="M12645" t="s">
        <v>598</v>
      </c>
      <c r="N12645" t="s">
        <v>604</v>
      </c>
      <c r="O12645" s="37" t="str">
        <f t="shared" si="988"/>
        <v>Digital Payment</v>
      </c>
      <c r="P12645">
        <v>26.52</v>
      </c>
      <c r="Q12645" s="37" t="str">
        <f>IF(P12645&gt;500,"High","low")</f>
        <v>low</v>
      </c>
      <c r="R12645" s="37" t="str">
        <f t="shared" si="989"/>
        <v>AVERAGE</v>
      </c>
      <c r="S12645" t="s">
        <v>609</v>
      </c>
    </row>
    <row r="12646" spans="1:19" x14ac:dyDescent="0.2">
      <c r="A12646" t="s">
        <v>13257</v>
      </c>
      <c r="B12646" t="s">
        <v>75</v>
      </c>
      <c r="C12646" t="s">
        <v>614</v>
      </c>
      <c r="D12646">
        <v>3264.99</v>
      </c>
      <c r="E12646" s="37" t="str">
        <f t="shared" si="985"/>
        <v xml:space="preserve"> </v>
      </c>
      <c r="F12646">
        <v>0.41</v>
      </c>
      <c r="G12646" s="37" t="str">
        <f t="shared" si="986"/>
        <v>Heavy Discount</v>
      </c>
      <c r="H12646" s="37" t="str">
        <f t="shared" si="987"/>
        <v>High</v>
      </c>
      <c r="I12646">
        <v>6</v>
      </c>
      <c r="J12646" t="str" cm="1">
        <f t="array" ref="J12646">_xlfn.IFS(I12646&lt;=3,"small",I12646&lt;=6,"Medium",I12646&lt;=9,"Large")</f>
        <v>Medium</v>
      </c>
      <c r="K12646" s="36">
        <v>45080</v>
      </c>
      <c r="L12646" s="36">
        <v>45081</v>
      </c>
      <c r="M12646" t="s">
        <v>612</v>
      </c>
      <c r="N12646" t="s">
        <v>608</v>
      </c>
      <c r="O12646" s="37" t="str">
        <f t="shared" si="988"/>
        <v>Cash Payment</v>
      </c>
      <c r="P12646">
        <v>673.15</v>
      </c>
      <c r="Q12646" s="37" t="str">
        <f>IF(P12646&gt;500,"High","low")</f>
        <v>High</v>
      </c>
      <c r="R12646" s="37" t="str">
        <f t="shared" si="989"/>
        <v>Good</v>
      </c>
      <c r="S12646" t="s">
        <v>600</v>
      </c>
    </row>
    <row r="12647" spans="1:19" x14ac:dyDescent="0.2">
      <c r="A12647" t="s">
        <v>13258</v>
      </c>
      <c r="B12647" t="s">
        <v>67</v>
      </c>
      <c r="C12647" t="s">
        <v>607</v>
      </c>
      <c r="D12647">
        <v>3277.47</v>
      </c>
      <c r="E12647" s="37" t="str">
        <f t="shared" si="985"/>
        <v xml:space="preserve"> </v>
      </c>
      <c r="F12647">
        <v>0.15</v>
      </c>
      <c r="G12647" s="37" t="str">
        <f t="shared" si="986"/>
        <v>Normal Discount</v>
      </c>
      <c r="H12647" s="37" t="str">
        <f t="shared" si="987"/>
        <v>Low</v>
      </c>
      <c r="I12647">
        <v>7</v>
      </c>
      <c r="J12647" t="str" cm="1">
        <f t="array" ref="J12647">_xlfn.IFS(I12647&lt;=3,"small",I12647&lt;=6,"Medium",I12647&lt;=9,"Large")</f>
        <v>Large</v>
      </c>
      <c r="K12647" s="36">
        <v>45382</v>
      </c>
      <c r="L12647" s="36">
        <v>45383</v>
      </c>
      <c r="M12647" t="s">
        <v>603</v>
      </c>
      <c r="N12647" t="s">
        <v>604</v>
      </c>
      <c r="O12647" s="37" t="str">
        <f t="shared" si="988"/>
        <v>Digital Payment</v>
      </c>
      <c r="P12647">
        <v>505.41</v>
      </c>
      <c r="Q12647" s="37" t="str">
        <f>IF(P12647&gt;500,"High","low")</f>
        <v>High</v>
      </c>
      <c r="R12647" s="37" t="str">
        <f t="shared" si="989"/>
        <v>Good</v>
      </c>
      <c r="S12647" t="s">
        <v>615</v>
      </c>
    </row>
    <row r="12648" spans="1:19" x14ac:dyDescent="0.2">
      <c r="A12648" t="s">
        <v>13259</v>
      </c>
      <c r="B12648" t="s">
        <v>75</v>
      </c>
      <c r="C12648" t="s">
        <v>617</v>
      </c>
      <c r="D12648">
        <v>4707.75</v>
      </c>
      <c r="E12648" s="37" t="str">
        <f t="shared" si="985"/>
        <v xml:space="preserve"> </v>
      </c>
      <c r="F12648">
        <v>0.13</v>
      </c>
      <c r="G12648" s="37" t="str">
        <f t="shared" si="986"/>
        <v>Normal Discount</v>
      </c>
      <c r="H12648" s="37" t="str">
        <f t="shared" si="987"/>
        <v>Low</v>
      </c>
      <c r="I12648">
        <v>2</v>
      </c>
      <c r="J12648" t="str" cm="1">
        <f t="array" ref="J12648">_xlfn.IFS(I12648&lt;=3,"small",I12648&lt;=6,"Medium",I12648&lt;=9,"Large")</f>
        <v>small</v>
      </c>
      <c r="K12648" s="36">
        <v>45351</v>
      </c>
      <c r="L12648" s="36">
        <v>45353</v>
      </c>
      <c r="M12648" t="s">
        <v>612</v>
      </c>
      <c r="N12648" t="s">
        <v>599</v>
      </c>
      <c r="O12648" s="37" t="str">
        <f t="shared" si="988"/>
        <v>Digital Payment</v>
      </c>
      <c r="P12648">
        <v>768.34</v>
      </c>
      <c r="Q12648" s="37" t="str">
        <f>IF(P12648&gt;500,"High","low")</f>
        <v>High</v>
      </c>
      <c r="R12648" s="37" t="str">
        <f t="shared" si="989"/>
        <v>Good</v>
      </c>
      <c r="S12648" t="s">
        <v>628</v>
      </c>
    </row>
    <row r="12649" spans="1:19" x14ac:dyDescent="0.2">
      <c r="A12649" t="s">
        <v>13260</v>
      </c>
      <c r="B12649" t="s">
        <v>90</v>
      </c>
      <c r="C12649" t="s">
        <v>597</v>
      </c>
      <c r="D12649">
        <v>1562.51</v>
      </c>
      <c r="E12649" s="37" t="str">
        <f t="shared" si="985"/>
        <v xml:space="preserve"> </v>
      </c>
      <c r="F12649">
        <v>0.49</v>
      </c>
      <c r="G12649" s="37" t="str">
        <f t="shared" si="986"/>
        <v>Heavy Discount</v>
      </c>
      <c r="H12649" s="37" t="str">
        <f t="shared" si="987"/>
        <v>High</v>
      </c>
      <c r="I12649">
        <v>6</v>
      </c>
      <c r="J12649" t="str" cm="1">
        <f t="array" ref="J12649">_xlfn.IFS(I12649&lt;=3,"small",I12649&lt;=6,"Medium",I12649&lt;=9,"Large")</f>
        <v>Medium</v>
      </c>
      <c r="K12649" s="36">
        <v>45287</v>
      </c>
      <c r="L12649" s="36">
        <v>45293</v>
      </c>
      <c r="M12649" t="s">
        <v>598</v>
      </c>
      <c r="N12649" t="s">
        <v>604</v>
      </c>
      <c r="O12649" s="37" t="str">
        <f t="shared" si="988"/>
        <v>Digital Payment</v>
      </c>
      <c r="P12649">
        <v>111.06</v>
      </c>
      <c r="Q12649" s="37" t="str">
        <f>IF(P12649&gt;500,"High","low")</f>
        <v>low</v>
      </c>
      <c r="R12649" s="37" t="str">
        <f t="shared" si="989"/>
        <v>AVERAGE</v>
      </c>
      <c r="S12649" t="s">
        <v>615</v>
      </c>
    </row>
    <row r="12650" spans="1:19" x14ac:dyDescent="0.2">
      <c r="A12650" t="s">
        <v>13261</v>
      </c>
      <c r="B12650" t="s">
        <v>83</v>
      </c>
      <c r="C12650" t="s">
        <v>617</v>
      </c>
      <c r="D12650">
        <v>1028.57</v>
      </c>
      <c r="E12650" s="37" t="str">
        <f t="shared" si="985"/>
        <v xml:space="preserve"> </v>
      </c>
      <c r="F12650">
        <v>0.47</v>
      </c>
      <c r="G12650" s="37" t="str">
        <f t="shared" si="986"/>
        <v>Heavy Discount</v>
      </c>
      <c r="H12650" s="37" t="str">
        <f t="shared" si="987"/>
        <v>High</v>
      </c>
      <c r="I12650">
        <v>3</v>
      </c>
      <c r="J12650" t="str" cm="1">
        <f t="array" ref="J12650">_xlfn.IFS(I12650&lt;=3,"small",I12650&lt;=6,"Medium",I12650&lt;=9,"Large")</f>
        <v>small</v>
      </c>
      <c r="K12650" s="36">
        <v>45577</v>
      </c>
      <c r="L12650" s="36">
        <v>45583</v>
      </c>
      <c r="M12650" t="s">
        <v>612</v>
      </c>
      <c r="N12650" t="s">
        <v>604</v>
      </c>
      <c r="O12650" s="37" t="str">
        <f t="shared" si="988"/>
        <v>Digital Payment</v>
      </c>
      <c r="P12650">
        <v>66.510000000000005</v>
      </c>
      <c r="Q12650" s="37" t="str">
        <f>IF(P12650&gt;500,"High","low")</f>
        <v>low</v>
      </c>
      <c r="R12650" s="37" t="str">
        <f t="shared" si="989"/>
        <v>AVERAGE</v>
      </c>
      <c r="S12650" t="s">
        <v>609</v>
      </c>
    </row>
    <row r="12651" spans="1:19" x14ac:dyDescent="0.2">
      <c r="A12651" t="s">
        <v>13262</v>
      </c>
      <c r="B12651" t="s">
        <v>67</v>
      </c>
      <c r="C12651" t="s">
        <v>614</v>
      </c>
      <c r="D12651">
        <v>3120.27</v>
      </c>
      <c r="E12651" s="37" t="str">
        <f t="shared" si="985"/>
        <v xml:space="preserve"> </v>
      </c>
      <c r="F12651">
        <v>0.44</v>
      </c>
      <c r="G12651" s="37" t="str">
        <f t="shared" si="986"/>
        <v>Heavy Discount</v>
      </c>
      <c r="H12651" s="37" t="str">
        <f t="shared" si="987"/>
        <v>High</v>
      </c>
      <c r="I12651">
        <v>8</v>
      </c>
      <c r="J12651" t="str" cm="1">
        <f t="array" ref="J12651">_xlfn.IFS(I12651&lt;=3,"small",I12651&lt;=6,"Medium",I12651&lt;=9,"Large")</f>
        <v>Large</v>
      </c>
      <c r="K12651" s="36">
        <v>45017</v>
      </c>
      <c r="L12651" s="36">
        <v>45019</v>
      </c>
      <c r="M12651" t="s">
        <v>598</v>
      </c>
      <c r="N12651" t="s">
        <v>604</v>
      </c>
      <c r="O12651" s="37" t="str">
        <f t="shared" si="988"/>
        <v>Digital Payment</v>
      </c>
      <c r="P12651">
        <v>189.53</v>
      </c>
      <c r="Q12651" s="37" t="str">
        <f>IF(P12651&gt;500,"High","low")</f>
        <v>low</v>
      </c>
      <c r="R12651" s="37" t="str">
        <f t="shared" si="989"/>
        <v>AVERAGE</v>
      </c>
      <c r="S12651" t="s">
        <v>609</v>
      </c>
    </row>
    <row r="12652" spans="1:19" x14ac:dyDescent="0.2">
      <c r="A12652" t="s">
        <v>13263</v>
      </c>
      <c r="B12652" t="s">
        <v>83</v>
      </c>
      <c r="C12652" t="s">
        <v>597</v>
      </c>
      <c r="D12652">
        <v>2861.99</v>
      </c>
      <c r="E12652" s="37" t="str">
        <f t="shared" si="985"/>
        <v xml:space="preserve"> </v>
      </c>
      <c r="F12652">
        <v>0.11</v>
      </c>
      <c r="G12652" s="37" t="str">
        <f t="shared" si="986"/>
        <v>Normal Discount</v>
      </c>
      <c r="H12652" s="37" t="str">
        <f t="shared" si="987"/>
        <v>Low</v>
      </c>
      <c r="I12652">
        <v>2</v>
      </c>
      <c r="J12652" t="str" cm="1">
        <f t="array" ref="J12652">_xlfn.IFS(I12652&lt;=3,"small",I12652&lt;=6,"Medium",I12652&lt;=9,"Large")</f>
        <v>small</v>
      </c>
      <c r="K12652" s="36">
        <v>45447</v>
      </c>
      <c r="L12652" s="36">
        <v>45454</v>
      </c>
      <c r="M12652" t="s">
        <v>598</v>
      </c>
      <c r="N12652" t="s">
        <v>604</v>
      </c>
      <c r="O12652" s="37" t="str">
        <f t="shared" si="988"/>
        <v>Digital Payment</v>
      </c>
      <c r="P12652">
        <v>612.22</v>
      </c>
      <c r="Q12652" s="37" t="str">
        <f>IF(P12652&gt;500,"High","low")</f>
        <v>High</v>
      </c>
      <c r="R12652" s="37" t="str">
        <f t="shared" si="989"/>
        <v>Good</v>
      </c>
      <c r="S12652" t="s">
        <v>615</v>
      </c>
    </row>
    <row r="12653" spans="1:19" x14ac:dyDescent="0.2">
      <c r="A12653" t="s">
        <v>13264</v>
      </c>
      <c r="B12653" t="s">
        <v>75</v>
      </c>
      <c r="C12653" t="s">
        <v>602</v>
      </c>
      <c r="D12653">
        <v>3616.91</v>
      </c>
      <c r="E12653" s="37" t="str">
        <f t="shared" si="985"/>
        <v xml:space="preserve"> </v>
      </c>
      <c r="F12653">
        <v>0.28999999999999998</v>
      </c>
      <c r="G12653" s="37" t="str">
        <f t="shared" si="986"/>
        <v>Normal Discount</v>
      </c>
      <c r="H12653" s="37" t="str">
        <f t="shared" si="987"/>
        <v>Medium</v>
      </c>
      <c r="I12653">
        <v>5</v>
      </c>
      <c r="J12653" t="str" cm="1">
        <f t="array" ref="J12653">_xlfn.IFS(I12653&lt;=3,"small",I12653&lt;=6,"Medium",I12653&lt;=9,"Large")</f>
        <v>Medium</v>
      </c>
      <c r="K12653" s="36">
        <v>45108</v>
      </c>
      <c r="L12653" s="36">
        <v>45113</v>
      </c>
      <c r="M12653" t="s">
        <v>603</v>
      </c>
      <c r="N12653" t="s">
        <v>608</v>
      </c>
      <c r="O12653" s="37" t="str">
        <f t="shared" si="988"/>
        <v>Cash Payment</v>
      </c>
      <c r="P12653">
        <v>272.02999999999997</v>
      </c>
      <c r="Q12653" s="37" t="str">
        <f>IF(P12653&gt;500,"High","low")</f>
        <v>low</v>
      </c>
      <c r="R12653" s="37" t="str">
        <f t="shared" si="989"/>
        <v>AVERAGE</v>
      </c>
      <c r="S12653" t="s">
        <v>628</v>
      </c>
    </row>
    <row r="12654" spans="1:19" x14ac:dyDescent="0.2">
      <c r="A12654" t="s">
        <v>13265</v>
      </c>
      <c r="B12654" t="s">
        <v>75</v>
      </c>
      <c r="C12654" t="s">
        <v>607</v>
      </c>
      <c r="D12654">
        <v>4437.12</v>
      </c>
      <c r="E12654" s="37" t="str">
        <f t="shared" si="985"/>
        <v xml:space="preserve"> </v>
      </c>
      <c r="F12654">
        <v>0.27</v>
      </c>
      <c r="G12654" s="37" t="str">
        <f t="shared" si="986"/>
        <v>Normal Discount</v>
      </c>
      <c r="H12654" s="37" t="str">
        <f t="shared" si="987"/>
        <v>Medium</v>
      </c>
      <c r="I12654">
        <v>8</v>
      </c>
      <c r="J12654" t="str" cm="1">
        <f t="array" ref="J12654">_xlfn.IFS(I12654&lt;=3,"small",I12654&lt;=6,"Medium",I12654&lt;=9,"Large")</f>
        <v>Large</v>
      </c>
      <c r="K12654" s="36">
        <v>45449</v>
      </c>
      <c r="L12654" s="36">
        <v>45456</v>
      </c>
      <c r="M12654" t="s">
        <v>598</v>
      </c>
      <c r="N12654" t="s">
        <v>608</v>
      </c>
      <c r="O12654" s="37" t="str">
        <f t="shared" si="988"/>
        <v>Cash Payment</v>
      </c>
      <c r="P12654">
        <v>630.62</v>
      </c>
      <c r="Q12654" s="37" t="str">
        <f>IF(P12654&gt;500,"High","low")</f>
        <v>High</v>
      </c>
      <c r="R12654" s="37" t="str">
        <f t="shared" si="989"/>
        <v>Good</v>
      </c>
      <c r="S12654" t="s">
        <v>615</v>
      </c>
    </row>
    <row r="12655" spans="1:19" x14ac:dyDescent="0.2">
      <c r="A12655" t="s">
        <v>13266</v>
      </c>
      <c r="B12655" t="s">
        <v>75</v>
      </c>
      <c r="C12655" t="s">
        <v>607</v>
      </c>
      <c r="D12655">
        <v>2842.75</v>
      </c>
      <c r="E12655" s="37" t="str">
        <f t="shared" si="985"/>
        <v xml:space="preserve"> </v>
      </c>
      <c r="F12655">
        <v>0.1</v>
      </c>
      <c r="G12655" s="37" t="str">
        <f t="shared" si="986"/>
        <v>Normal Discount</v>
      </c>
      <c r="H12655" s="37" t="str">
        <f t="shared" si="987"/>
        <v>Low</v>
      </c>
      <c r="I12655">
        <v>9</v>
      </c>
      <c r="J12655" t="str" cm="1">
        <f t="array" ref="J12655">_xlfn.IFS(I12655&lt;=3,"small",I12655&lt;=6,"Medium",I12655&lt;=9,"Large")</f>
        <v>Large</v>
      </c>
      <c r="K12655" s="36">
        <v>45445</v>
      </c>
      <c r="L12655" s="36">
        <v>45450</v>
      </c>
      <c r="M12655" t="s">
        <v>598</v>
      </c>
      <c r="N12655" t="s">
        <v>604</v>
      </c>
      <c r="O12655" s="37" t="str">
        <f t="shared" si="988"/>
        <v>Digital Payment</v>
      </c>
      <c r="P12655">
        <v>793.89</v>
      </c>
      <c r="Q12655" s="37" t="str">
        <f>IF(P12655&gt;500,"High","low")</f>
        <v>High</v>
      </c>
      <c r="R12655" s="37" t="str">
        <f t="shared" si="989"/>
        <v>Good</v>
      </c>
      <c r="S12655" t="s">
        <v>600</v>
      </c>
    </row>
    <row r="12656" spans="1:19" x14ac:dyDescent="0.2">
      <c r="A12656" t="s">
        <v>13267</v>
      </c>
      <c r="B12656" t="s">
        <v>90</v>
      </c>
      <c r="C12656" t="s">
        <v>597</v>
      </c>
      <c r="D12656">
        <v>835.37</v>
      </c>
      <c r="E12656" s="37" t="str">
        <f t="shared" si="985"/>
        <v xml:space="preserve"> </v>
      </c>
      <c r="F12656">
        <v>0.22</v>
      </c>
      <c r="G12656" s="37" t="str">
        <f t="shared" si="986"/>
        <v>Normal Discount</v>
      </c>
      <c r="H12656" s="37" t="str">
        <f t="shared" si="987"/>
        <v>Medium</v>
      </c>
      <c r="I12656">
        <v>7</v>
      </c>
      <c r="J12656" t="str" cm="1">
        <f t="array" ref="J12656">_xlfn.IFS(I12656&lt;=3,"small",I12656&lt;=6,"Medium",I12656&lt;=9,"Large")</f>
        <v>Large</v>
      </c>
      <c r="K12656" s="36">
        <v>45466</v>
      </c>
      <c r="L12656" s="36">
        <v>45469</v>
      </c>
      <c r="M12656" t="s">
        <v>603</v>
      </c>
      <c r="N12656" t="s">
        <v>604</v>
      </c>
      <c r="O12656" s="37" t="str">
        <f t="shared" si="988"/>
        <v>Digital Payment</v>
      </c>
      <c r="P12656">
        <v>76.8</v>
      </c>
      <c r="Q12656" s="37" t="str">
        <f>IF(P12656&gt;500,"High","low")</f>
        <v>low</v>
      </c>
      <c r="R12656" s="37" t="str">
        <f t="shared" si="989"/>
        <v>AVERAGE</v>
      </c>
      <c r="S12656" t="s">
        <v>628</v>
      </c>
    </row>
    <row r="12657" spans="1:19" x14ac:dyDescent="0.2">
      <c r="A12657" t="s">
        <v>13268</v>
      </c>
      <c r="B12657" t="s">
        <v>90</v>
      </c>
      <c r="C12657" t="s">
        <v>602</v>
      </c>
      <c r="D12657">
        <v>3030.83</v>
      </c>
      <c r="E12657" s="37" t="str">
        <f t="shared" si="985"/>
        <v xml:space="preserve"> </v>
      </c>
      <c r="F12657">
        <v>0.23</v>
      </c>
      <c r="G12657" s="37" t="str">
        <f t="shared" si="986"/>
        <v>Normal Discount</v>
      </c>
      <c r="H12657" s="37" t="str">
        <f t="shared" si="987"/>
        <v>Medium</v>
      </c>
      <c r="I12657">
        <v>9</v>
      </c>
      <c r="J12657" t="str" cm="1">
        <f t="array" ref="J12657">_xlfn.IFS(I12657&lt;=3,"small",I12657&lt;=6,"Medium",I12657&lt;=9,"Large")</f>
        <v>Large</v>
      </c>
      <c r="K12657" s="36">
        <v>44988</v>
      </c>
      <c r="L12657" s="36">
        <v>44993</v>
      </c>
      <c r="M12657" t="s">
        <v>598</v>
      </c>
      <c r="N12657" t="s">
        <v>604</v>
      </c>
      <c r="O12657" s="37" t="str">
        <f t="shared" si="988"/>
        <v>Digital Payment</v>
      </c>
      <c r="P12657">
        <v>509.82</v>
      </c>
      <c r="Q12657" s="37" t="str">
        <f>IF(P12657&gt;500,"High","low")</f>
        <v>High</v>
      </c>
      <c r="R12657" s="37" t="str">
        <f t="shared" si="989"/>
        <v>Good</v>
      </c>
      <c r="S12657" t="s">
        <v>605</v>
      </c>
    </row>
    <row r="12658" spans="1:19" x14ac:dyDescent="0.2">
      <c r="A12658" t="s">
        <v>13269</v>
      </c>
      <c r="B12658" t="s">
        <v>67</v>
      </c>
      <c r="C12658" t="s">
        <v>614</v>
      </c>
      <c r="D12658">
        <v>1933.1</v>
      </c>
      <c r="E12658" s="37" t="str">
        <f t="shared" si="985"/>
        <v xml:space="preserve"> </v>
      </c>
      <c r="F12658">
        <v>0.12</v>
      </c>
      <c r="G12658" s="37" t="str">
        <f t="shared" si="986"/>
        <v>Normal Discount</v>
      </c>
      <c r="H12658" s="37" t="str">
        <f t="shared" si="987"/>
        <v>Low</v>
      </c>
      <c r="I12658">
        <v>9</v>
      </c>
      <c r="J12658" t="str" cm="1">
        <f t="array" ref="J12658">_xlfn.IFS(I12658&lt;=3,"small",I12658&lt;=6,"Medium",I12658&lt;=9,"Large")</f>
        <v>Large</v>
      </c>
      <c r="K12658" s="36">
        <v>45602</v>
      </c>
      <c r="L12658" s="36">
        <v>45609</v>
      </c>
      <c r="M12658" t="s">
        <v>612</v>
      </c>
      <c r="N12658" t="s">
        <v>604</v>
      </c>
      <c r="O12658" s="37" t="str">
        <f t="shared" si="988"/>
        <v>Digital Payment</v>
      </c>
      <c r="P12658">
        <v>449.18</v>
      </c>
      <c r="Q12658" s="37" t="str">
        <f>IF(P12658&gt;500,"High","low")</f>
        <v>low</v>
      </c>
      <c r="R12658" s="37" t="str">
        <f t="shared" si="989"/>
        <v>AVERAGE</v>
      </c>
      <c r="S12658" t="s">
        <v>620</v>
      </c>
    </row>
    <row r="12659" spans="1:19" x14ac:dyDescent="0.2">
      <c r="A12659" t="s">
        <v>13270</v>
      </c>
      <c r="B12659" t="s">
        <v>83</v>
      </c>
      <c r="C12659" t="s">
        <v>607</v>
      </c>
      <c r="D12659">
        <v>2318.4</v>
      </c>
      <c r="E12659" s="37" t="str">
        <f t="shared" si="985"/>
        <v xml:space="preserve"> </v>
      </c>
      <c r="F12659">
        <v>0.48</v>
      </c>
      <c r="G12659" s="37" t="str">
        <f t="shared" si="986"/>
        <v>Heavy Discount</v>
      </c>
      <c r="H12659" s="37" t="str">
        <f t="shared" si="987"/>
        <v>High</v>
      </c>
      <c r="I12659">
        <v>8</v>
      </c>
      <c r="J12659" t="str" cm="1">
        <f t="array" ref="J12659">_xlfn.IFS(I12659&lt;=3,"small",I12659&lt;=6,"Medium",I12659&lt;=9,"Large")</f>
        <v>Large</v>
      </c>
      <c r="K12659" s="36">
        <v>45553</v>
      </c>
      <c r="L12659" s="36">
        <v>45559</v>
      </c>
      <c r="M12659" t="s">
        <v>603</v>
      </c>
      <c r="N12659" t="s">
        <v>599</v>
      </c>
      <c r="O12659" s="37" t="str">
        <f t="shared" si="988"/>
        <v>Digital Payment</v>
      </c>
      <c r="P12659">
        <v>259.45</v>
      </c>
      <c r="Q12659" s="37" t="str">
        <f>IF(P12659&gt;500,"High","low")</f>
        <v>low</v>
      </c>
      <c r="R12659" s="37" t="str">
        <f t="shared" si="989"/>
        <v>AVERAGE</v>
      </c>
      <c r="S12659" t="s">
        <v>605</v>
      </c>
    </row>
    <row r="12660" spans="1:19" x14ac:dyDescent="0.2">
      <c r="A12660" t="s">
        <v>13271</v>
      </c>
      <c r="B12660" t="s">
        <v>75</v>
      </c>
      <c r="C12660" t="s">
        <v>597</v>
      </c>
      <c r="D12660">
        <v>4801.47</v>
      </c>
      <c r="E12660" s="37" t="str">
        <f t="shared" si="985"/>
        <v xml:space="preserve"> </v>
      </c>
      <c r="F12660">
        <v>0.25</v>
      </c>
      <c r="G12660" s="37" t="str">
        <f t="shared" si="986"/>
        <v>Normal Discount</v>
      </c>
      <c r="H12660" s="37" t="str">
        <f t="shared" si="987"/>
        <v>Medium</v>
      </c>
      <c r="I12660">
        <v>7</v>
      </c>
      <c r="J12660" t="str" cm="1">
        <f t="array" ref="J12660">_xlfn.IFS(I12660&lt;=3,"small",I12660&lt;=6,"Medium",I12660&lt;=9,"Large")</f>
        <v>Large</v>
      </c>
      <c r="K12660" s="36">
        <v>44999</v>
      </c>
      <c r="L12660" s="36">
        <v>45001</v>
      </c>
      <c r="M12660" t="s">
        <v>603</v>
      </c>
      <c r="N12660" t="s">
        <v>604</v>
      </c>
      <c r="O12660" s="37" t="str">
        <f t="shared" si="988"/>
        <v>Digital Payment</v>
      </c>
      <c r="P12660">
        <v>266.29000000000002</v>
      </c>
      <c r="Q12660" s="37" t="str">
        <f>IF(P12660&gt;500,"High","low")</f>
        <v>low</v>
      </c>
      <c r="R12660" s="37" t="str">
        <f t="shared" si="989"/>
        <v>AVERAGE</v>
      </c>
      <c r="S12660" t="s">
        <v>615</v>
      </c>
    </row>
    <row r="12661" spans="1:19" x14ac:dyDescent="0.2">
      <c r="A12661" t="s">
        <v>13272</v>
      </c>
      <c r="B12661" t="s">
        <v>75</v>
      </c>
      <c r="C12661" t="s">
        <v>607</v>
      </c>
      <c r="D12661">
        <v>2819.24</v>
      </c>
      <c r="E12661" s="37" t="str">
        <f t="shared" si="985"/>
        <v xml:space="preserve"> </v>
      </c>
      <c r="F12661">
        <v>0.26</v>
      </c>
      <c r="G12661" s="37" t="str">
        <f t="shared" si="986"/>
        <v>Normal Discount</v>
      </c>
      <c r="H12661" s="37" t="str">
        <f t="shared" si="987"/>
        <v>Medium</v>
      </c>
      <c r="I12661">
        <v>6</v>
      </c>
      <c r="J12661" t="str" cm="1">
        <f t="array" ref="J12661">_xlfn.IFS(I12661&lt;=3,"small",I12661&lt;=6,"Medium",I12661&lt;=9,"Large")</f>
        <v>Medium</v>
      </c>
      <c r="K12661" s="36">
        <v>45025</v>
      </c>
      <c r="L12661" s="36">
        <v>45030</v>
      </c>
      <c r="M12661" t="s">
        <v>598</v>
      </c>
      <c r="N12661" t="s">
        <v>608</v>
      </c>
      <c r="O12661" s="37" t="str">
        <f t="shared" si="988"/>
        <v>Cash Payment</v>
      </c>
      <c r="P12661">
        <v>689.22</v>
      </c>
      <c r="Q12661" s="37" t="str">
        <f>IF(P12661&gt;500,"High","low")</f>
        <v>High</v>
      </c>
      <c r="R12661" s="37" t="str">
        <f t="shared" si="989"/>
        <v>Good</v>
      </c>
      <c r="S12661" t="s">
        <v>620</v>
      </c>
    </row>
    <row r="12662" spans="1:19" x14ac:dyDescent="0.2">
      <c r="A12662" t="s">
        <v>13273</v>
      </c>
      <c r="B12662" t="s">
        <v>75</v>
      </c>
      <c r="C12662" t="s">
        <v>602</v>
      </c>
      <c r="D12662">
        <v>833.27</v>
      </c>
      <c r="E12662" s="37" t="str">
        <f t="shared" si="985"/>
        <v xml:space="preserve"> </v>
      </c>
      <c r="F12662">
        <v>0.3</v>
      </c>
      <c r="G12662" s="37" t="str">
        <f t="shared" si="986"/>
        <v>Normal Discount</v>
      </c>
      <c r="H12662" s="37" t="str">
        <f t="shared" si="987"/>
        <v>Medium</v>
      </c>
      <c r="I12662">
        <v>3</v>
      </c>
      <c r="J12662" t="str" cm="1">
        <f t="array" ref="J12662">_xlfn.IFS(I12662&lt;=3,"small",I12662&lt;=6,"Medium",I12662&lt;=9,"Large")</f>
        <v>small</v>
      </c>
      <c r="K12662" s="36">
        <v>45629</v>
      </c>
      <c r="L12662" s="36">
        <v>45634</v>
      </c>
      <c r="M12662" t="s">
        <v>598</v>
      </c>
      <c r="N12662" t="s">
        <v>604</v>
      </c>
      <c r="O12662" s="37" t="str">
        <f t="shared" si="988"/>
        <v>Digital Payment</v>
      </c>
      <c r="P12662">
        <v>193.47</v>
      </c>
      <c r="Q12662" s="37" t="str">
        <f>IF(P12662&gt;500,"High","low")</f>
        <v>low</v>
      </c>
      <c r="R12662" s="37" t="str">
        <f t="shared" si="989"/>
        <v>AVERAGE</v>
      </c>
      <c r="S12662" t="s">
        <v>615</v>
      </c>
    </row>
    <row r="12663" spans="1:19" x14ac:dyDescent="0.2">
      <c r="A12663" t="s">
        <v>13274</v>
      </c>
      <c r="B12663" t="s">
        <v>75</v>
      </c>
      <c r="C12663" t="s">
        <v>614</v>
      </c>
      <c r="D12663">
        <v>2271.48</v>
      </c>
      <c r="E12663" s="37" t="str">
        <f t="shared" si="985"/>
        <v xml:space="preserve"> </v>
      </c>
      <c r="F12663">
        <v>0.44</v>
      </c>
      <c r="G12663" s="37" t="str">
        <f t="shared" si="986"/>
        <v>Heavy Discount</v>
      </c>
      <c r="H12663" s="37" t="str">
        <f t="shared" si="987"/>
        <v>High</v>
      </c>
      <c r="I12663">
        <v>8</v>
      </c>
      <c r="J12663" t="str" cm="1">
        <f t="array" ref="J12663">_xlfn.IFS(I12663&lt;=3,"small",I12663&lt;=6,"Medium",I12663&lt;=9,"Large")</f>
        <v>Large</v>
      </c>
      <c r="K12663" s="36">
        <v>45233</v>
      </c>
      <c r="L12663" s="36">
        <v>45238</v>
      </c>
      <c r="M12663" t="s">
        <v>603</v>
      </c>
      <c r="N12663" t="s">
        <v>604</v>
      </c>
      <c r="O12663" s="37" t="str">
        <f t="shared" si="988"/>
        <v>Digital Payment</v>
      </c>
      <c r="P12663">
        <v>670.08</v>
      </c>
      <c r="Q12663" s="37" t="str">
        <f>IF(P12663&gt;500,"High","low")</f>
        <v>High</v>
      </c>
      <c r="R12663" s="37" t="str">
        <f t="shared" si="989"/>
        <v>Good</v>
      </c>
      <c r="S12663" t="s">
        <v>605</v>
      </c>
    </row>
    <row r="12664" spans="1:19" x14ac:dyDescent="0.2">
      <c r="A12664" t="s">
        <v>13275</v>
      </c>
      <c r="B12664" t="s">
        <v>90</v>
      </c>
      <c r="C12664" t="s">
        <v>602</v>
      </c>
      <c r="D12664">
        <v>1219.31</v>
      </c>
      <c r="E12664" s="37" t="str">
        <f t="shared" si="985"/>
        <v xml:space="preserve"> </v>
      </c>
      <c r="F12664">
        <v>0.27</v>
      </c>
      <c r="G12664" s="37" t="str">
        <f t="shared" si="986"/>
        <v>Normal Discount</v>
      </c>
      <c r="H12664" s="37" t="str">
        <f t="shared" si="987"/>
        <v>Medium</v>
      </c>
      <c r="I12664">
        <v>3</v>
      </c>
      <c r="J12664" t="str" cm="1">
        <f t="array" ref="J12664">_xlfn.IFS(I12664&lt;=3,"small",I12664&lt;=6,"Medium",I12664&lt;=9,"Large")</f>
        <v>small</v>
      </c>
      <c r="K12664" s="36">
        <v>45131</v>
      </c>
      <c r="L12664" s="36">
        <v>45137</v>
      </c>
      <c r="M12664" t="s">
        <v>612</v>
      </c>
      <c r="N12664" t="s">
        <v>599</v>
      </c>
      <c r="O12664" s="37" t="str">
        <f t="shared" si="988"/>
        <v>Digital Payment</v>
      </c>
      <c r="P12664">
        <v>245.84</v>
      </c>
      <c r="Q12664" s="37" t="str">
        <f>IF(P12664&gt;500,"High","low")</f>
        <v>low</v>
      </c>
      <c r="R12664" s="37" t="str">
        <f t="shared" si="989"/>
        <v>AVERAGE</v>
      </c>
      <c r="S12664" t="s">
        <v>615</v>
      </c>
    </row>
    <row r="12665" spans="1:19" x14ac:dyDescent="0.2">
      <c r="A12665" t="s">
        <v>13276</v>
      </c>
      <c r="B12665" t="s">
        <v>83</v>
      </c>
      <c r="C12665" t="s">
        <v>617</v>
      </c>
      <c r="D12665">
        <v>763.86</v>
      </c>
      <c r="E12665" s="37" t="str">
        <f t="shared" si="985"/>
        <v xml:space="preserve"> </v>
      </c>
      <c r="F12665">
        <v>0.27</v>
      </c>
      <c r="G12665" s="37" t="str">
        <f t="shared" si="986"/>
        <v>Normal Discount</v>
      </c>
      <c r="H12665" s="37" t="str">
        <f t="shared" si="987"/>
        <v>Medium</v>
      </c>
      <c r="I12665">
        <v>9</v>
      </c>
      <c r="J12665" t="str" cm="1">
        <f t="array" ref="J12665">_xlfn.IFS(I12665&lt;=3,"small",I12665&lt;=6,"Medium",I12665&lt;=9,"Large")</f>
        <v>Large</v>
      </c>
      <c r="K12665" s="36">
        <v>45506</v>
      </c>
      <c r="L12665" s="36">
        <v>45507</v>
      </c>
      <c r="M12665" t="s">
        <v>598</v>
      </c>
      <c r="N12665" t="s">
        <v>604</v>
      </c>
      <c r="O12665" s="37" t="str">
        <f t="shared" si="988"/>
        <v>Digital Payment</v>
      </c>
      <c r="P12665">
        <v>97.23</v>
      </c>
      <c r="Q12665" s="37" t="str">
        <f>IF(P12665&gt;500,"High","low")</f>
        <v>low</v>
      </c>
      <c r="R12665" s="37" t="str">
        <f t="shared" si="989"/>
        <v>AVERAGE</v>
      </c>
      <c r="S12665" t="s">
        <v>628</v>
      </c>
    </row>
    <row r="12666" spans="1:19" x14ac:dyDescent="0.2">
      <c r="A12666" t="s">
        <v>13277</v>
      </c>
      <c r="B12666" t="s">
        <v>83</v>
      </c>
      <c r="C12666" t="s">
        <v>602</v>
      </c>
      <c r="D12666">
        <v>3589.95</v>
      </c>
      <c r="E12666" s="37" t="str">
        <f t="shared" si="985"/>
        <v xml:space="preserve"> </v>
      </c>
      <c r="F12666">
        <v>0.12</v>
      </c>
      <c r="G12666" s="37" t="str">
        <f t="shared" si="986"/>
        <v>Normal Discount</v>
      </c>
      <c r="H12666" s="37" t="str">
        <f t="shared" si="987"/>
        <v>Low</v>
      </c>
      <c r="I12666">
        <v>9</v>
      </c>
      <c r="J12666" t="str" cm="1">
        <f t="array" ref="J12666">_xlfn.IFS(I12666&lt;=3,"small",I12666&lt;=6,"Medium",I12666&lt;=9,"Large")</f>
        <v>Large</v>
      </c>
      <c r="K12666" s="36">
        <v>45192</v>
      </c>
      <c r="L12666" s="36">
        <v>45197</v>
      </c>
      <c r="M12666" t="s">
        <v>612</v>
      </c>
      <c r="N12666" t="s">
        <v>599</v>
      </c>
      <c r="O12666" s="37" t="str">
        <f t="shared" si="988"/>
        <v>Digital Payment</v>
      </c>
      <c r="P12666">
        <v>295.91000000000003</v>
      </c>
      <c r="Q12666" s="37" t="str">
        <f>IF(P12666&gt;500,"High","low")</f>
        <v>low</v>
      </c>
      <c r="R12666" s="37" t="str">
        <f t="shared" si="989"/>
        <v>AVERAGE</v>
      </c>
      <c r="S12666" t="s">
        <v>620</v>
      </c>
    </row>
    <row r="12667" spans="1:19" x14ac:dyDescent="0.2">
      <c r="A12667" t="s">
        <v>13278</v>
      </c>
      <c r="B12667" t="s">
        <v>67</v>
      </c>
      <c r="C12667" t="s">
        <v>602</v>
      </c>
      <c r="D12667">
        <v>3179.99</v>
      </c>
      <c r="E12667" s="37" t="str">
        <f t="shared" si="985"/>
        <v xml:space="preserve"> </v>
      </c>
      <c r="F12667">
        <v>0.3</v>
      </c>
      <c r="G12667" s="37" t="str">
        <f t="shared" si="986"/>
        <v>Normal Discount</v>
      </c>
      <c r="H12667" s="37" t="str">
        <f t="shared" si="987"/>
        <v>Medium</v>
      </c>
      <c r="I12667">
        <v>9</v>
      </c>
      <c r="J12667" t="str" cm="1">
        <f t="array" ref="J12667">_xlfn.IFS(I12667&lt;=3,"small",I12667&lt;=6,"Medium",I12667&lt;=9,"Large")</f>
        <v>Large</v>
      </c>
      <c r="K12667" s="36">
        <v>45304</v>
      </c>
      <c r="L12667" s="36">
        <v>45306</v>
      </c>
      <c r="M12667" t="s">
        <v>598</v>
      </c>
      <c r="N12667" t="s">
        <v>604</v>
      </c>
      <c r="O12667" s="37" t="str">
        <f t="shared" si="988"/>
        <v>Digital Payment</v>
      </c>
      <c r="P12667">
        <v>237.63</v>
      </c>
      <c r="Q12667" s="37" t="str">
        <f>IF(P12667&gt;500,"High","low")</f>
        <v>low</v>
      </c>
      <c r="R12667" s="37" t="str">
        <f t="shared" si="989"/>
        <v>AVERAGE</v>
      </c>
      <c r="S12667" t="s">
        <v>600</v>
      </c>
    </row>
    <row r="12668" spans="1:19" x14ac:dyDescent="0.2">
      <c r="A12668" t="s">
        <v>13279</v>
      </c>
      <c r="B12668" t="s">
        <v>90</v>
      </c>
      <c r="C12668" t="s">
        <v>607</v>
      </c>
      <c r="D12668">
        <v>2539.17</v>
      </c>
      <c r="E12668" s="37" t="str">
        <f t="shared" si="985"/>
        <v xml:space="preserve"> </v>
      </c>
      <c r="F12668">
        <v>0.19</v>
      </c>
      <c r="G12668" s="37" t="str">
        <f t="shared" si="986"/>
        <v>Normal Discount</v>
      </c>
      <c r="H12668" s="37" t="str">
        <f t="shared" si="987"/>
        <v>Low</v>
      </c>
      <c r="I12668">
        <v>4</v>
      </c>
      <c r="J12668" t="str" cm="1">
        <f t="array" ref="J12668">_xlfn.IFS(I12668&lt;=3,"small",I12668&lt;=6,"Medium",I12668&lt;=9,"Large")</f>
        <v>Medium</v>
      </c>
      <c r="K12668" s="36">
        <v>45464</v>
      </c>
      <c r="L12668" s="36">
        <v>45471</v>
      </c>
      <c r="M12668" t="s">
        <v>598</v>
      </c>
      <c r="N12668" t="s">
        <v>608</v>
      </c>
      <c r="O12668" s="37" t="str">
        <f t="shared" si="988"/>
        <v>Cash Payment</v>
      </c>
      <c r="P12668">
        <v>531.89</v>
      </c>
      <c r="Q12668" s="37" t="str">
        <f>IF(P12668&gt;500,"High","low")</f>
        <v>High</v>
      </c>
      <c r="R12668" s="37" t="str">
        <f t="shared" si="989"/>
        <v>Good</v>
      </c>
      <c r="S12668" t="s">
        <v>605</v>
      </c>
    </row>
    <row r="12669" spans="1:19" x14ac:dyDescent="0.2">
      <c r="A12669" t="s">
        <v>13280</v>
      </c>
      <c r="B12669" t="s">
        <v>75</v>
      </c>
      <c r="C12669" t="s">
        <v>602</v>
      </c>
      <c r="D12669">
        <v>2173.87</v>
      </c>
      <c r="E12669" s="37" t="str">
        <f t="shared" si="985"/>
        <v xml:space="preserve"> </v>
      </c>
      <c r="F12669">
        <v>0.32</v>
      </c>
      <c r="G12669" s="37" t="str">
        <f t="shared" si="986"/>
        <v>Heavy Discount</v>
      </c>
      <c r="H12669" s="37" t="str">
        <f t="shared" si="987"/>
        <v>Medium</v>
      </c>
      <c r="I12669">
        <v>9</v>
      </c>
      <c r="J12669" t="str" cm="1">
        <f t="array" ref="J12669">_xlfn.IFS(I12669&lt;=3,"small",I12669&lt;=6,"Medium",I12669&lt;=9,"Large")</f>
        <v>Large</v>
      </c>
      <c r="K12669" s="36">
        <v>45377</v>
      </c>
      <c r="L12669" s="36">
        <v>45378</v>
      </c>
      <c r="M12669" t="s">
        <v>603</v>
      </c>
      <c r="N12669" t="s">
        <v>599</v>
      </c>
      <c r="O12669" s="37" t="str">
        <f t="shared" si="988"/>
        <v>Digital Payment</v>
      </c>
      <c r="P12669">
        <v>298.54000000000002</v>
      </c>
      <c r="Q12669" s="37" t="str">
        <f>IF(P12669&gt;500,"High","low")</f>
        <v>low</v>
      </c>
      <c r="R12669" s="37" t="str">
        <f t="shared" si="989"/>
        <v>AVERAGE</v>
      </c>
      <c r="S12669" t="s">
        <v>609</v>
      </c>
    </row>
    <row r="12670" spans="1:19" x14ac:dyDescent="0.2">
      <c r="A12670" t="s">
        <v>13281</v>
      </c>
      <c r="B12670" t="s">
        <v>83</v>
      </c>
      <c r="C12670" t="s">
        <v>597</v>
      </c>
      <c r="D12670">
        <v>1678.87</v>
      </c>
      <c r="E12670" s="37" t="str">
        <f t="shared" si="985"/>
        <v xml:space="preserve"> </v>
      </c>
      <c r="F12670">
        <v>0.15</v>
      </c>
      <c r="G12670" s="37" t="str">
        <f t="shared" si="986"/>
        <v>Normal Discount</v>
      </c>
      <c r="H12670" s="37" t="str">
        <f t="shared" si="987"/>
        <v>Low</v>
      </c>
      <c r="I12670">
        <v>2</v>
      </c>
      <c r="J12670" t="str" cm="1">
        <f t="array" ref="J12670">_xlfn.IFS(I12670&lt;=3,"small",I12670&lt;=6,"Medium",I12670&lt;=9,"Large")</f>
        <v>small</v>
      </c>
      <c r="K12670" s="36">
        <v>45583</v>
      </c>
      <c r="L12670" s="36">
        <v>45588</v>
      </c>
      <c r="M12670" t="s">
        <v>603</v>
      </c>
      <c r="N12670" t="s">
        <v>604</v>
      </c>
      <c r="O12670" s="37" t="str">
        <f t="shared" si="988"/>
        <v>Digital Payment</v>
      </c>
      <c r="P12670">
        <v>433.11</v>
      </c>
      <c r="Q12670" s="37" t="str">
        <f>IF(P12670&gt;500,"High","low")</f>
        <v>low</v>
      </c>
      <c r="R12670" s="37" t="str">
        <f t="shared" si="989"/>
        <v>AVERAGE</v>
      </c>
      <c r="S12670" t="s">
        <v>600</v>
      </c>
    </row>
    <row r="12671" spans="1:19" x14ac:dyDescent="0.2">
      <c r="A12671" t="s">
        <v>13282</v>
      </c>
      <c r="B12671" t="s">
        <v>83</v>
      </c>
      <c r="C12671" t="s">
        <v>607</v>
      </c>
      <c r="D12671">
        <v>531.24</v>
      </c>
      <c r="E12671" s="37" t="str">
        <f t="shared" si="985"/>
        <v xml:space="preserve"> </v>
      </c>
      <c r="F12671">
        <v>0.36</v>
      </c>
      <c r="G12671" s="37" t="str">
        <f t="shared" si="986"/>
        <v>Heavy Discount</v>
      </c>
      <c r="H12671" s="37" t="str">
        <f t="shared" si="987"/>
        <v>Medium</v>
      </c>
      <c r="I12671">
        <v>1</v>
      </c>
      <c r="J12671" t="str" cm="1">
        <f t="array" ref="J12671">_xlfn.IFS(I12671&lt;=3,"small",I12671&lt;=6,"Medium",I12671&lt;=9,"Large")</f>
        <v>small</v>
      </c>
      <c r="K12671" s="36">
        <v>45593</v>
      </c>
      <c r="L12671" s="36">
        <v>45598</v>
      </c>
      <c r="M12671" t="s">
        <v>612</v>
      </c>
      <c r="N12671" t="s">
        <v>604</v>
      </c>
      <c r="O12671" s="37" t="str">
        <f t="shared" si="988"/>
        <v>Digital Payment</v>
      </c>
      <c r="P12671">
        <v>43.1</v>
      </c>
      <c r="Q12671" s="37" t="str">
        <f>IF(P12671&gt;500,"High","low")</f>
        <v>low</v>
      </c>
      <c r="R12671" s="37" t="str">
        <f t="shared" si="989"/>
        <v>AVERAGE</v>
      </c>
      <c r="S12671" t="s">
        <v>620</v>
      </c>
    </row>
    <row r="12672" spans="1:19" x14ac:dyDescent="0.2">
      <c r="A12672" t="s">
        <v>13283</v>
      </c>
      <c r="B12672" t="s">
        <v>90</v>
      </c>
      <c r="C12672" t="s">
        <v>607</v>
      </c>
      <c r="D12672">
        <v>1566.42</v>
      </c>
      <c r="E12672" s="37" t="str">
        <f t="shared" si="985"/>
        <v xml:space="preserve"> </v>
      </c>
      <c r="F12672">
        <v>0.31</v>
      </c>
      <c r="G12672" s="37" t="str">
        <f t="shared" si="986"/>
        <v>Heavy Discount</v>
      </c>
      <c r="H12672" s="37" t="str">
        <f t="shared" si="987"/>
        <v>Medium</v>
      </c>
      <c r="I12672">
        <v>8</v>
      </c>
      <c r="J12672" t="str" cm="1">
        <f t="array" ref="J12672">_xlfn.IFS(I12672&lt;=3,"small",I12672&lt;=6,"Medium",I12672&lt;=9,"Large")</f>
        <v>Large</v>
      </c>
      <c r="K12672" s="36">
        <v>45204</v>
      </c>
      <c r="L12672" s="36">
        <v>45206</v>
      </c>
      <c r="M12672" t="s">
        <v>603</v>
      </c>
      <c r="N12672" t="s">
        <v>608</v>
      </c>
      <c r="O12672" s="37" t="str">
        <f t="shared" si="988"/>
        <v>Cash Payment</v>
      </c>
      <c r="P12672">
        <v>455.83</v>
      </c>
      <c r="Q12672" s="37" t="str">
        <f>IF(P12672&gt;500,"High","low")</f>
        <v>low</v>
      </c>
      <c r="R12672" s="37" t="str">
        <f t="shared" si="989"/>
        <v>AVERAGE</v>
      </c>
      <c r="S12672" t="s">
        <v>609</v>
      </c>
    </row>
    <row r="12673" spans="1:19" x14ac:dyDescent="0.2">
      <c r="A12673" t="s">
        <v>13284</v>
      </c>
      <c r="B12673" t="s">
        <v>67</v>
      </c>
      <c r="C12673" t="s">
        <v>617</v>
      </c>
      <c r="D12673">
        <v>4208.13</v>
      </c>
      <c r="E12673" s="37" t="str">
        <f t="shared" si="985"/>
        <v xml:space="preserve"> </v>
      </c>
      <c r="F12673">
        <v>0.24</v>
      </c>
      <c r="G12673" s="37" t="str">
        <f t="shared" si="986"/>
        <v>Normal Discount</v>
      </c>
      <c r="H12673" s="37" t="str">
        <f t="shared" si="987"/>
        <v>Medium</v>
      </c>
      <c r="I12673">
        <v>6</v>
      </c>
      <c r="J12673" t="str" cm="1">
        <f t="array" ref="J12673">_xlfn.IFS(I12673&lt;=3,"small",I12673&lt;=6,"Medium",I12673&lt;=9,"Large")</f>
        <v>Medium</v>
      </c>
      <c r="K12673" s="36">
        <v>45546</v>
      </c>
      <c r="L12673" s="36">
        <v>45549</v>
      </c>
      <c r="M12673" t="s">
        <v>612</v>
      </c>
      <c r="N12673" t="s">
        <v>608</v>
      </c>
      <c r="O12673" s="37" t="str">
        <f t="shared" si="988"/>
        <v>Cash Payment</v>
      </c>
      <c r="P12673">
        <v>273.33</v>
      </c>
      <c r="Q12673" s="37" t="str">
        <f>IF(P12673&gt;500,"High","low")</f>
        <v>low</v>
      </c>
      <c r="R12673" s="37" t="str">
        <f t="shared" si="989"/>
        <v>AVERAGE</v>
      </c>
      <c r="S12673" t="s">
        <v>620</v>
      </c>
    </row>
    <row r="12674" spans="1:19" x14ac:dyDescent="0.2">
      <c r="A12674" t="s">
        <v>13285</v>
      </c>
      <c r="B12674" t="s">
        <v>67</v>
      </c>
      <c r="C12674" t="s">
        <v>597</v>
      </c>
      <c r="D12674">
        <v>3940.01</v>
      </c>
      <c r="E12674" s="37" t="str">
        <f t="shared" si="985"/>
        <v xml:space="preserve"> </v>
      </c>
      <c r="F12674">
        <v>0.05</v>
      </c>
      <c r="G12674" s="37" t="str">
        <f t="shared" si="986"/>
        <v>Normal Discount</v>
      </c>
      <c r="H12674" s="37" t="str">
        <f t="shared" si="987"/>
        <v>Low</v>
      </c>
      <c r="I12674">
        <v>9</v>
      </c>
      <c r="J12674" t="str" cm="1">
        <f t="array" ref="J12674">_xlfn.IFS(I12674&lt;=3,"small",I12674&lt;=6,"Medium",I12674&lt;=9,"Large")</f>
        <v>Large</v>
      </c>
      <c r="K12674" s="36">
        <v>45474</v>
      </c>
      <c r="L12674" s="36">
        <v>45476</v>
      </c>
      <c r="M12674" t="s">
        <v>612</v>
      </c>
      <c r="N12674" t="s">
        <v>608</v>
      </c>
      <c r="O12674" s="37" t="str">
        <f t="shared" si="988"/>
        <v>Cash Payment</v>
      </c>
      <c r="P12674">
        <v>967.11</v>
      </c>
      <c r="Q12674" s="37" t="str">
        <f>IF(P12674&gt;500,"High","low")</f>
        <v>High</v>
      </c>
      <c r="R12674" s="37" t="str">
        <f t="shared" si="989"/>
        <v>Good</v>
      </c>
      <c r="S12674" t="s">
        <v>605</v>
      </c>
    </row>
    <row r="12675" spans="1:19" x14ac:dyDescent="0.2">
      <c r="A12675" t="s">
        <v>13286</v>
      </c>
      <c r="B12675" t="s">
        <v>75</v>
      </c>
      <c r="C12675" t="s">
        <v>602</v>
      </c>
      <c r="D12675">
        <v>4864.3599999999997</v>
      </c>
      <c r="E12675" s="37" t="str">
        <f t="shared" ref="E12675:E12738" si="990">IF(AND(D12675&gt;4000,P12675&gt;800),"Excellent Order"," ")</f>
        <v>Excellent Order</v>
      </c>
      <c r="F12675">
        <v>0.31</v>
      </c>
      <c r="G12675" s="37" t="str">
        <f t="shared" ref="G12675:G12738" si="991">IF(F12675&gt;30%,"Heavy Discount","Normal Discount")</f>
        <v>Heavy Discount</v>
      </c>
      <c r="H12675" s="37" t="str">
        <f t="shared" ref="H12675:H12738" si="992">IF(F12675&gt;0.4,"High",IF(F12675&gt;=0.2,"Medium","Low"))</f>
        <v>Medium</v>
      </c>
      <c r="I12675">
        <v>9</v>
      </c>
      <c r="J12675" t="str" cm="1">
        <f t="array" ref="J12675">_xlfn.IFS(I12675&lt;=3,"small",I12675&lt;=6,"Medium",I12675&lt;=9,"Large")</f>
        <v>Large</v>
      </c>
      <c r="K12675" s="36">
        <v>45382</v>
      </c>
      <c r="L12675" s="36">
        <v>45386</v>
      </c>
      <c r="M12675" t="s">
        <v>603</v>
      </c>
      <c r="N12675" t="s">
        <v>604</v>
      </c>
      <c r="O12675" s="37" t="str">
        <f t="shared" ref="O12675:O12738" si="993">IF(OR(N12675="Card",N12675="UPI"),"Digital Payment","Cash Payment")</f>
        <v>Digital Payment</v>
      </c>
      <c r="P12675">
        <v>1189.22</v>
      </c>
      <c r="Q12675" s="37" t="str">
        <f>IF(P12675&gt;500,"High","low")</f>
        <v>High</v>
      </c>
      <c r="R12675" s="37" t="str">
        <f t="shared" ref="R12675:R12738" si="994">IF(P12675&gt;1000,"Excellent",IF(P12675&gt;=500,"Good","AVERAGE"))</f>
        <v>Excellent</v>
      </c>
      <c r="S12675" t="s">
        <v>609</v>
      </c>
    </row>
    <row r="12676" spans="1:19" x14ac:dyDescent="0.2">
      <c r="A12676" t="s">
        <v>13287</v>
      </c>
      <c r="B12676" t="s">
        <v>67</v>
      </c>
      <c r="C12676" t="s">
        <v>617</v>
      </c>
      <c r="D12676">
        <v>3314.73</v>
      </c>
      <c r="E12676" s="37" t="str">
        <f t="shared" si="990"/>
        <v xml:space="preserve"> </v>
      </c>
      <c r="F12676">
        <v>0.43</v>
      </c>
      <c r="G12676" s="37" t="str">
        <f t="shared" si="991"/>
        <v>Heavy Discount</v>
      </c>
      <c r="H12676" s="37" t="str">
        <f t="shared" si="992"/>
        <v>High</v>
      </c>
      <c r="I12676">
        <v>3</v>
      </c>
      <c r="J12676" t="str" cm="1">
        <f t="array" ref="J12676">_xlfn.IFS(I12676&lt;=3,"small",I12676&lt;=6,"Medium",I12676&lt;=9,"Large")</f>
        <v>small</v>
      </c>
      <c r="K12676" s="36">
        <v>45400</v>
      </c>
      <c r="L12676" s="36">
        <v>45402</v>
      </c>
      <c r="M12676" t="s">
        <v>612</v>
      </c>
      <c r="N12676" t="s">
        <v>608</v>
      </c>
      <c r="O12676" s="37" t="str">
        <f t="shared" si="993"/>
        <v>Cash Payment</v>
      </c>
      <c r="P12676">
        <v>673.87</v>
      </c>
      <c r="Q12676" s="37" t="str">
        <f>IF(P12676&gt;500,"High","low")</f>
        <v>High</v>
      </c>
      <c r="R12676" s="37" t="str">
        <f t="shared" si="994"/>
        <v>Good</v>
      </c>
      <c r="S12676" t="s">
        <v>620</v>
      </c>
    </row>
    <row r="12677" spans="1:19" x14ac:dyDescent="0.2">
      <c r="A12677" t="s">
        <v>13288</v>
      </c>
      <c r="B12677" t="s">
        <v>83</v>
      </c>
      <c r="C12677" t="s">
        <v>597</v>
      </c>
      <c r="D12677">
        <v>2812.83</v>
      </c>
      <c r="E12677" s="37" t="str">
        <f t="shared" si="990"/>
        <v xml:space="preserve"> </v>
      </c>
      <c r="F12677">
        <v>0.09</v>
      </c>
      <c r="G12677" s="37" t="str">
        <f t="shared" si="991"/>
        <v>Normal Discount</v>
      </c>
      <c r="H12677" s="37" t="str">
        <f t="shared" si="992"/>
        <v>Low</v>
      </c>
      <c r="I12677">
        <v>2</v>
      </c>
      <c r="J12677" t="str" cm="1">
        <f t="array" ref="J12677">_xlfn.IFS(I12677&lt;=3,"small",I12677&lt;=6,"Medium",I12677&lt;=9,"Large")</f>
        <v>small</v>
      </c>
      <c r="K12677" s="36">
        <v>45107</v>
      </c>
      <c r="L12677" s="36">
        <v>45110</v>
      </c>
      <c r="M12677" t="s">
        <v>603</v>
      </c>
      <c r="N12677" t="s">
        <v>608</v>
      </c>
      <c r="O12677" s="37" t="str">
        <f t="shared" si="993"/>
        <v>Cash Payment</v>
      </c>
      <c r="P12677">
        <v>838.62</v>
      </c>
      <c r="Q12677" s="37" t="str">
        <f>IF(P12677&gt;500,"High","low")</f>
        <v>High</v>
      </c>
      <c r="R12677" s="37" t="str">
        <f t="shared" si="994"/>
        <v>Good</v>
      </c>
      <c r="S12677" t="s">
        <v>605</v>
      </c>
    </row>
    <row r="12678" spans="1:19" x14ac:dyDescent="0.2">
      <c r="A12678" t="s">
        <v>13289</v>
      </c>
      <c r="B12678" t="s">
        <v>67</v>
      </c>
      <c r="C12678" t="s">
        <v>617</v>
      </c>
      <c r="D12678">
        <v>1550.62</v>
      </c>
      <c r="E12678" s="37" t="str">
        <f t="shared" si="990"/>
        <v xml:space="preserve"> </v>
      </c>
      <c r="F12678">
        <v>0.04</v>
      </c>
      <c r="G12678" s="37" t="str">
        <f t="shared" si="991"/>
        <v>Normal Discount</v>
      </c>
      <c r="H12678" s="37" t="str">
        <f t="shared" si="992"/>
        <v>Low</v>
      </c>
      <c r="I12678">
        <v>7</v>
      </c>
      <c r="J12678" t="str" cm="1">
        <f t="array" ref="J12678">_xlfn.IFS(I12678&lt;=3,"small",I12678&lt;=6,"Medium",I12678&lt;=9,"Large")</f>
        <v>Large</v>
      </c>
      <c r="K12678" s="36">
        <v>45181</v>
      </c>
      <c r="L12678" s="36">
        <v>45183</v>
      </c>
      <c r="M12678" t="s">
        <v>612</v>
      </c>
      <c r="N12678" t="s">
        <v>599</v>
      </c>
      <c r="O12678" s="37" t="str">
        <f t="shared" si="993"/>
        <v>Digital Payment</v>
      </c>
      <c r="P12678">
        <v>79.28</v>
      </c>
      <c r="Q12678" s="37" t="str">
        <f>IF(P12678&gt;500,"High","low")</f>
        <v>low</v>
      </c>
      <c r="R12678" s="37" t="str">
        <f t="shared" si="994"/>
        <v>AVERAGE</v>
      </c>
      <c r="S12678" t="s">
        <v>620</v>
      </c>
    </row>
    <row r="12679" spans="1:19" x14ac:dyDescent="0.2">
      <c r="A12679" t="s">
        <v>13290</v>
      </c>
      <c r="B12679" t="s">
        <v>75</v>
      </c>
      <c r="C12679" t="s">
        <v>614</v>
      </c>
      <c r="D12679">
        <v>476.62</v>
      </c>
      <c r="E12679" s="37" t="str">
        <f t="shared" si="990"/>
        <v xml:space="preserve"> </v>
      </c>
      <c r="F12679">
        <v>0.02</v>
      </c>
      <c r="G12679" s="37" t="str">
        <f t="shared" si="991"/>
        <v>Normal Discount</v>
      </c>
      <c r="H12679" s="37" t="str">
        <f t="shared" si="992"/>
        <v>Low</v>
      </c>
      <c r="I12679">
        <v>5</v>
      </c>
      <c r="J12679" t="str" cm="1">
        <f t="array" ref="J12679">_xlfn.IFS(I12679&lt;=3,"small",I12679&lt;=6,"Medium",I12679&lt;=9,"Large")</f>
        <v>Medium</v>
      </c>
      <c r="K12679" s="36">
        <v>45275</v>
      </c>
      <c r="L12679" s="36">
        <v>45276</v>
      </c>
      <c r="M12679" t="s">
        <v>612</v>
      </c>
      <c r="N12679" t="s">
        <v>599</v>
      </c>
      <c r="O12679" s="37" t="str">
        <f t="shared" si="993"/>
        <v>Digital Payment</v>
      </c>
      <c r="P12679">
        <v>79.260000000000005</v>
      </c>
      <c r="Q12679" s="37" t="str">
        <f>IF(P12679&gt;500,"High","low")</f>
        <v>low</v>
      </c>
      <c r="R12679" s="37" t="str">
        <f t="shared" si="994"/>
        <v>AVERAGE</v>
      </c>
      <c r="S12679" t="s">
        <v>609</v>
      </c>
    </row>
    <row r="12680" spans="1:19" x14ac:dyDescent="0.2">
      <c r="A12680" t="s">
        <v>13291</v>
      </c>
      <c r="B12680" t="s">
        <v>83</v>
      </c>
      <c r="C12680" t="s">
        <v>602</v>
      </c>
      <c r="D12680">
        <v>3128.29</v>
      </c>
      <c r="E12680" s="37" t="str">
        <f t="shared" si="990"/>
        <v xml:space="preserve"> </v>
      </c>
      <c r="F12680">
        <v>0.02</v>
      </c>
      <c r="G12680" s="37" t="str">
        <f t="shared" si="991"/>
        <v>Normal Discount</v>
      </c>
      <c r="H12680" s="37" t="str">
        <f t="shared" si="992"/>
        <v>Low</v>
      </c>
      <c r="I12680">
        <v>6</v>
      </c>
      <c r="J12680" t="str" cm="1">
        <f t="array" ref="J12680">_xlfn.IFS(I12680&lt;=3,"small",I12680&lt;=6,"Medium",I12680&lt;=9,"Large")</f>
        <v>Medium</v>
      </c>
      <c r="K12680" s="36">
        <v>45595</v>
      </c>
      <c r="L12680" s="36">
        <v>45596</v>
      </c>
      <c r="M12680" t="s">
        <v>598</v>
      </c>
      <c r="N12680" t="s">
        <v>604</v>
      </c>
      <c r="O12680" s="37" t="str">
        <f t="shared" si="993"/>
        <v>Digital Payment</v>
      </c>
      <c r="P12680">
        <v>239.14</v>
      </c>
      <c r="Q12680" s="37" t="str">
        <f>IF(P12680&gt;500,"High","low")</f>
        <v>low</v>
      </c>
      <c r="R12680" s="37" t="str">
        <f t="shared" si="994"/>
        <v>AVERAGE</v>
      </c>
      <c r="S12680" t="s">
        <v>620</v>
      </c>
    </row>
    <row r="12681" spans="1:19" x14ac:dyDescent="0.2">
      <c r="A12681" t="s">
        <v>13292</v>
      </c>
      <c r="B12681" t="s">
        <v>67</v>
      </c>
      <c r="C12681" t="s">
        <v>617</v>
      </c>
      <c r="D12681">
        <v>2491.9899999999998</v>
      </c>
      <c r="E12681" s="37" t="str">
        <f t="shared" si="990"/>
        <v xml:space="preserve"> </v>
      </c>
      <c r="F12681">
        <v>0.42</v>
      </c>
      <c r="G12681" s="37" t="str">
        <f t="shared" si="991"/>
        <v>Heavy Discount</v>
      </c>
      <c r="H12681" s="37" t="str">
        <f t="shared" si="992"/>
        <v>High</v>
      </c>
      <c r="I12681">
        <v>5</v>
      </c>
      <c r="J12681" t="str" cm="1">
        <f t="array" ref="J12681">_xlfn.IFS(I12681&lt;=3,"small",I12681&lt;=6,"Medium",I12681&lt;=9,"Large")</f>
        <v>Medium</v>
      </c>
      <c r="K12681" s="36">
        <v>45283</v>
      </c>
      <c r="L12681" s="36">
        <v>45285</v>
      </c>
      <c r="M12681" t="s">
        <v>603</v>
      </c>
      <c r="N12681" t="s">
        <v>608</v>
      </c>
      <c r="O12681" s="37" t="str">
        <f t="shared" si="993"/>
        <v>Cash Payment</v>
      </c>
      <c r="P12681">
        <v>445.35</v>
      </c>
      <c r="Q12681" s="37" t="str">
        <f>IF(P12681&gt;500,"High","low")</f>
        <v>low</v>
      </c>
      <c r="R12681" s="37" t="str">
        <f t="shared" si="994"/>
        <v>AVERAGE</v>
      </c>
      <c r="S12681" t="s">
        <v>609</v>
      </c>
    </row>
    <row r="12682" spans="1:19" x14ac:dyDescent="0.2">
      <c r="A12682" t="s">
        <v>13293</v>
      </c>
      <c r="B12682" t="s">
        <v>67</v>
      </c>
      <c r="C12682" t="s">
        <v>614</v>
      </c>
      <c r="D12682">
        <v>3819.47</v>
      </c>
      <c r="E12682" s="37" t="str">
        <f t="shared" si="990"/>
        <v xml:space="preserve"> </v>
      </c>
      <c r="F12682">
        <v>0.36</v>
      </c>
      <c r="G12682" s="37" t="str">
        <f t="shared" si="991"/>
        <v>Heavy Discount</v>
      </c>
      <c r="H12682" s="37" t="str">
        <f t="shared" si="992"/>
        <v>Medium</v>
      </c>
      <c r="I12682">
        <v>4</v>
      </c>
      <c r="J12682" t="str" cm="1">
        <f t="array" ref="J12682">_xlfn.IFS(I12682&lt;=3,"small",I12682&lt;=6,"Medium",I12682&lt;=9,"Large")</f>
        <v>Medium</v>
      </c>
      <c r="K12682" s="36">
        <v>45049</v>
      </c>
      <c r="L12682" s="36">
        <v>45056</v>
      </c>
      <c r="M12682" t="s">
        <v>603</v>
      </c>
      <c r="N12682" t="s">
        <v>608</v>
      </c>
      <c r="O12682" s="37" t="str">
        <f t="shared" si="993"/>
        <v>Cash Payment</v>
      </c>
      <c r="P12682">
        <v>377.77</v>
      </c>
      <c r="Q12682" s="37" t="str">
        <f>IF(P12682&gt;500,"High","low")</f>
        <v>low</v>
      </c>
      <c r="R12682" s="37" t="str">
        <f t="shared" si="994"/>
        <v>AVERAGE</v>
      </c>
      <c r="S12682" t="s">
        <v>620</v>
      </c>
    </row>
    <row r="12683" spans="1:19" x14ac:dyDescent="0.2">
      <c r="A12683" t="s">
        <v>13294</v>
      </c>
      <c r="B12683" t="s">
        <v>90</v>
      </c>
      <c r="C12683" t="s">
        <v>602</v>
      </c>
      <c r="D12683">
        <v>2118.1</v>
      </c>
      <c r="E12683" s="37" t="str">
        <f t="shared" si="990"/>
        <v xml:space="preserve"> </v>
      </c>
      <c r="F12683">
        <v>0.1</v>
      </c>
      <c r="G12683" s="37" t="str">
        <f t="shared" si="991"/>
        <v>Normal Discount</v>
      </c>
      <c r="H12683" s="37" t="str">
        <f t="shared" si="992"/>
        <v>Low</v>
      </c>
      <c r="I12683">
        <v>1</v>
      </c>
      <c r="J12683" t="str" cm="1">
        <f t="array" ref="J12683">_xlfn.IFS(I12683&lt;=3,"small",I12683&lt;=6,"Medium",I12683&lt;=9,"Large")</f>
        <v>small</v>
      </c>
      <c r="K12683" s="36">
        <v>45240</v>
      </c>
      <c r="L12683" s="36">
        <v>45241</v>
      </c>
      <c r="M12683" t="s">
        <v>603</v>
      </c>
      <c r="N12683" t="s">
        <v>604</v>
      </c>
      <c r="O12683" s="37" t="str">
        <f t="shared" si="993"/>
        <v>Digital Payment</v>
      </c>
      <c r="P12683">
        <v>342.29</v>
      </c>
      <c r="Q12683" s="37" t="str">
        <f>IF(P12683&gt;500,"High","low")</f>
        <v>low</v>
      </c>
      <c r="R12683" s="37" t="str">
        <f t="shared" si="994"/>
        <v>AVERAGE</v>
      </c>
      <c r="S12683" t="s">
        <v>620</v>
      </c>
    </row>
    <row r="12684" spans="1:19" x14ac:dyDescent="0.2">
      <c r="A12684" t="s">
        <v>13295</v>
      </c>
      <c r="B12684" t="s">
        <v>75</v>
      </c>
      <c r="C12684" t="s">
        <v>617</v>
      </c>
      <c r="D12684">
        <v>4929.2</v>
      </c>
      <c r="E12684" s="37" t="str">
        <f t="shared" si="990"/>
        <v xml:space="preserve"> </v>
      </c>
      <c r="F12684">
        <v>0.46</v>
      </c>
      <c r="G12684" s="37" t="str">
        <f t="shared" si="991"/>
        <v>Heavy Discount</v>
      </c>
      <c r="H12684" s="37" t="str">
        <f t="shared" si="992"/>
        <v>High</v>
      </c>
      <c r="I12684">
        <v>4</v>
      </c>
      <c r="J12684" t="str" cm="1">
        <f t="array" ref="J12684">_xlfn.IFS(I12684&lt;=3,"small",I12684&lt;=6,"Medium",I12684&lt;=9,"Large")</f>
        <v>Medium</v>
      </c>
      <c r="K12684" s="36">
        <v>45197</v>
      </c>
      <c r="L12684" s="36">
        <v>45200</v>
      </c>
      <c r="M12684" t="s">
        <v>603</v>
      </c>
      <c r="N12684" t="s">
        <v>608</v>
      </c>
      <c r="O12684" s="37" t="str">
        <f t="shared" si="993"/>
        <v>Cash Payment</v>
      </c>
      <c r="P12684">
        <v>293.32</v>
      </c>
      <c r="Q12684" s="37" t="str">
        <f>IF(P12684&gt;500,"High","low")</f>
        <v>low</v>
      </c>
      <c r="R12684" s="37" t="str">
        <f t="shared" si="994"/>
        <v>AVERAGE</v>
      </c>
      <c r="S12684" t="s">
        <v>620</v>
      </c>
    </row>
    <row r="12685" spans="1:19" x14ac:dyDescent="0.2">
      <c r="A12685" t="s">
        <v>13296</v>
      </c>
      <c r="B12685" t="s">
        <v>67</v>
      </c>
      <c r="C12685" t="s">
        <v>617</v>
      </c>
      <c r="D12685">
        <v>2048.3000000000002</v>
      </c>
      <c r="E12685" s="37" t="str">
        <f t="shared" si="990"/>
        <v xml:space="preserve"> </v>
      </c>
      <c r="F12685">
        <v>7.0000000000000007E-2</v>
      </c>
      <c r="G12685" s="37" t="str">
        <f t="shared" si="991"/>
        <v>Normal Discount</v>
      </c>
      <c r="H12685" s="37" t="str">
        <f t="shared" si="992"/>
        <v>Low</v>
      </c>
      <c r="I12685">
        <v>3</v>
      </c>
      <c r="J12685" t="str" cm="1">
        <f t="array" ref="J12685">_xlfn.IFS(I12685&lt;=3,"small",I12685&lt;=6,"Medium",I12685&lt;=9,"Large")</f>
        <v>small</v>
      </c>
      <c r="K12685" s="36">
        <v>45108</v>
      </c>
      <c r="L12685" s="36">
        <v>45112</v>
      </c>
      <c r="M12685" t="s">
        <v>598</v>
      </c>
      <c r="N12685" t="s">
        <v>608</v>
      </c>
      <c r="O12685" s="37" t="str">
        <f t="shared" si="993"/>
        <v>Cash Payment</v>
      </c>
      <c r="P12685">
        <v>334.52</v>
      </c>
      <c r="Q12685" s="37" t="str">
        <f>IF(P12685&gt;500,"High","low")</f>
        <v>low</v>
      </c>
      <c r="R12685" s="37" t="str">
        <f t="shared" si="994"/>
        <v>AVERAGE</v>
      </c>
      <c r="S12685" t="s">
        <v>628</v>
      </c>
    </row>
    <row r="12686" spans="1:19" x14ac:dyDescent="0.2">
      <c r="A12686" t="s">
        <v>13297</v>
      </c>
      <c r="B12686" t="s">
        <v>90</v>
      </c>
      <c r="C12686" t="s">
        <v>617</v>
      </c>
      <c r="D12686">
        <v>1732.05</v>
      </c>
      <c r="E12686" s="37" t="str">
        <f t="shared" si="990"/>
        <v xml:space="preserve"> </v>
      </c>
      <c r="F12686">
        <v>0.19</v>
      </c>
      <c r="G12686" s="37" t="str">
        <f t="shared" si="991"/>
        <v>Normal Discount</v>
      </c>
      <c r="H12686" s="37" t="str">
        <f t="shared" si="992"/>
        <v>Low</v>
      </c>
      <c r="I12686">
        <v>3</v>
      </c>
      <c r="J12686" t="str" cm="1">
        <f t="array" ref="J12686">_xlfn.IFS(I12686&lt;=3,"small",I12686&lt;=6,"Medium",I12686&lt;=9,"Large")</f>
        <v>small</v>
      </c>
      <c r="K12686" s="36">
        <v>45628</v>
      </c>
      <c r="L12686" s="36">
        <v>45632</v>
      </c>
      <c r="M12686" t="s">
        <v>598</v>
      </c>
      <c r="N12686" t="s">
        <v>599</v>
      </c>
      <c r="O12686" s="37" t="str">
        <f t="shared" si="993"/>
        <v>Digital Payment</v>
      </c>
      <c r="P12686">
        <v>375.33</v>
      </c>
      <c r="Q12686" s="37" t="str">
        <f>IF(P12686&gt;500,"High","low")</f>
        <v>low</v>
      </c>
      <c r="R12686" s="37" t="str">
        <f t="shared" si="994"/>
        <v>AVERAGE</v>
      </c>
      <c r="S12686" t="s">
        <v>628</v>
      </c>
    </row>
    <row r="12687" spans="1:19" x14ac:dyDescent="0.2">
      <c r="A12687" t="s">
        <v>13298</v>
      </c>
      <c r="B12687" t="s">
        <v>83</v>
      </c>
      <c r="C12687" t="s">
        <v>617</v>
      </c>
      <c r="D12687">
        <v>4367.83</v>
      </c>
      <c r="E12687" s="37" t="str">
        <f t="shared" si="990"/>
        <v>Excellent Order</v>
      </c>
      <c r="F12687">
        <v>0.23</v>
      </c>
      <c r="G12687" s="37" t="str">
        <f t="shared" si="991"/>
        <v>Normal Discount</v>
      </c>
      <c r="H12687" s="37" t="str">
        <f t="shared" si="992"/>
        <v>Medium</v>
      </c>
      <c r="I12687">
        <v>5</v>
      </c>
      <c r="J12687" t="str" cm="1">
        <f t="array" ref="J12687">_xlfn.IFS(I12687&lt;=3,"small",I12687&lt;=6,"Medium",I12687&lt;=9,"Large")</f>
        <v>Medium</v>
      </c>
      <c r="K12687" s="36">
        <v>44983</v>
      </c>
      <c r="L12687" s="36">
        <v>44986</v>
      </c>
      <c r="M12687" t="s">
        <v>598</v>
      </c>
      <c r="N12687" t="s">
        <v>608</v>
      </c>
      <c r="O12687" s="37" t="str">
        <f t="shared" si="993"/>
        <v>Cash Payment</v>
      </c>
      <c r="P12687">
        <v>1178.21</v>
      </c>
      <c r="Q12687" s="37" t="str">
        <f>IF(P12687&gt;500,"High","low")</f>
        <v>High</v>
      </c>
      <c r="R12687" s="37" t="str">
        <f t="shared" si="994"/>
        <v>Excellent</v>
      </c>
      <c r="S12687" t="s">
        <v>609</v>
      </c>
    </row>
    <row r="12688" spans="1:19" x14ac:dyDescent="0.2">
      <c r="A12688" t="s">
        <v>13299</v>
      </c>
      <c r="B12688" t="s">
        <v>90</v>
      </c>
      <c r="C12688" t="s">
        <v>607</v>
      </c>
      <c r="D12688">
        <v>2037.98</v>
      </c>
      <c r="E12688" s="37" t="str">
        <f t="shared" si="990"/>
        <v xml:space="preserve"> </v>
      </c>
      <c r="F12688">
        <v>0.04</v>
      </c>
      <c r="G12688" s="37" t="str">
        <f t="shared" si="991"/>
        <v>Normal Discount</v>
      </c>
      <c r="H12688" s="37" t="str">
        <f t="shared" si="992"/>
        <v>Low</v>
      </c>
      <c r="I12688">
        <v>1</v>
      </c>
      <c r="J12688" t="str" cm="1">
        <f t="array" ref="J12688">_xlfn.IFS(I12688&lt;=3,"small",I12688&lt;=6,"Medium",I12688&lt;=9,"Large")</f>
        <v>small</v>
      </c>
      <c r="K12688" s="36">
        <v>45566</v>
      </c>
      <c r="L12688" s="36">
        <v>45571</v>
      </c>
      <c r="M12688" t="s">
        <v>598</v>
      </c>
      <c r="N12688" t="s">
        <v>608</v>
      </c>
      <c r="O12688" s="37" t="str">
        <f t="shared" si="993"/>
        <v>Cash Payment</v>
      </c>
      <c r="P12688">
        <v>574.39</v>
      </c>
      <c r="Q12688" s="37" t="str">
        <f>IF(P12688&gt;500,"High","low")</f>
        <v>High</v>
      </c>
      <c r="R12688" s="37" t="str">
        <f t="shared" si="994"/>
        <v>Good</v>
      </c>
      <c r="S12688" t="s">
        <v>615</v>
      </c>
    </row>
    <row r="12689" spans="1:19" x14ac:dyDescent="0.2">
      <c r="A12689" t="s">
        <v>13300</v>
      </c>
      <c r="B12689" t="s">
        <v>90</v>
      </c>
      <c r="C12689" t="s">
        <v>617</v>
      </c>
      <c r="D12689">
        <v>4367.3999999999996</v>
      </c>
      <c r="E12689" s="37" t="str">
        <f t="shared" si="990"/>
        <v xml:space="preserve"> </v>
      </c>
      <c r="F12689">
        <v>0.17</v>
      </c>
      <c r="G12689" s="37" t="str">
        <f t="shared" si="991"/>
        <v>Normal Discount</v>
      </c>
      <c r="H12689" s="37" t="str">
        <f t="shared" si="992"/>
        <v>Low</v>
      </c>
      <c r="I12689">
        <v>6</v>
      </c>
      <c r="J12689" t="str" cm="1">
        <f t="array" ref="J12689">_xlfn.IFS(I12689&lt;=3,"small",I12689&lt;=6,"Medium",I12689&lt;=9,"Large")</f>
        <v>Medium</v>
      </c>
      <c r="K12689" s="36">
        <v>45005</v>
      </c>
      <c r="L12689" s="36">
        <v>45010</v>
      </c>
      <c r="M12689" t="s">
        <v>603</v>
      </c>
      <c r="N12689" t="s">
        <v>604</v>
      </c>
      <c r="O12689" s="37" t="str">
        <f t="shared" si="993"/>
        <v>Digital Payment</v>
      </c>
      <c r="P12689">
        <v>604.19000000000005</v>
      </c>
      <c r="Q12689" s="37" t="str">
        <f>IF(P12689&gt;500,"High","low")</f>
        <v>High</v>
      </c>
      <c r="R12689" s="37" t="str">
        <f t="shared" si="994"/>
        <v>Good</v>
      </c>
      <c r="S12689" t="s">
        <v>615</v>
      </c>
    </row>
    <row r="12690" spans="1:19" x14ac:dyDescent="0.2">
      <c r="A12690" t="s">
        <v>13301</v>
      </c>
      <c r="B12690" t="s">
        <v>67</v>
      </c>
      <c r="C12690" t="s">
        <v>607</v>
      </c>
      <c r="D12690">
        <v>234.04</v>
      </c>
      <c r="E12690" s="37" t="str">
        <f t="shared" si="990"/>
        <v xml:space="preserve"> </v>
      </c>
      <c r="F12690">
        <v>0.05</v>
      </c>
      <c r="G12690" s="37" t="str">
        <f t="shared" si="991"/>
        <v>Normal Discount</v>
      </c>
      <c r="H12690" s="37" t="str">
        <f t="shared" si="992"/>
        <v>Low</v>
      </c>
      <c r="I12690">
        <v>2</v>
      </c>
      <c r="J12690" t="str" cm="1">
        <f t="array" ref="J12690">_xlfn.IFS(I12690&lt;=3,"small",I12690&lt;=6,"Medium",I12690&lt;=9,"Large")</f>
        <v>small</v>
      </c>
      <c r="K12690" s="36">
        <v>45509</v>
      </c>
      <c r="L12690" s="36">
        <v>45513</v>
      </c>
      <c r="M12690" t="s">
        <v>612</v>
      </c>
      <c r="N12690" t="s">
        <v>608</v>
      </c>
      <c r="O12690" s="37" t="str">
        <f t="shared" si="993"/>
        <v>Cash Payment</v>
      </c>
      <c r="P12690">
        <v>58.96</v>
      </c>
      <c r="Q12690" s="37" t="str">
        <f>IF(P12690&gt;500,"High","low")</f>
        <v>low</v>
      </c>
      <c r="R12690" s="37" t="str">
        <f t="shared" si="994"/>
        <v>AVERAGE</v>
      </c>
      <c r="S12690" t="s">
        <v>628</v>
      </c>
    </row>
    <row r="12691" spans="1:19" x14ac:dyDescent="0.2">
      <c r="A12691" t="s">
        <v>13302</v>
      </c>
      <c r="B12691" t="s">
        <v>67</v>
      </c>
      <c r="C12691" t="s">
        <v>607</v>
      </c>
      <c r="D12691">
        <v>3493.71</v>
      </c>
      <c r="E12691" s="37" t="str">
        <f t="shared" si="990"/>
        <v xml:space="preserve"> </v>
      </c>
      <c r="F12691">
        <v>0.39</v>
      </c>
      <c r="G12691" s="37" t="str">
        <f t="shared" si="991"/>
        <v>Heavy Discount</v>
      </c>
      <c r="H12691" s="37" t="str">
        <f t="shared" si="992"/>
        <v>Medium</v>
      </c>
      <c r="I12691">
        <v>1</v>
      </c>
      <c r="J12691" t="str" cm="1">
        <f t="array" ref="J12691">_xlfn.IFS(I12691&lt;=3,"small",I12691&lt;=6,"Medium",I12691&lt;=9,"Large")</f>
        <v>small</v>
      </c>
      <c r="K12691" s="36">
        <v>44984</v>
      </c>
      <c r="L12691" s="36">
        <v>44985</v>
      </c>
      <c r="M12691" t="s">
        <v>603</v>
      </c>
      <c r="N12691" t="s">
        <v>604</v>
      </c>
      <c r="O12691" s="37" t="str">
        <f t="shared" si="993"/>
        <v>Digital Payment</v>
      </c>
      <c r="P12691">
        <v>942.63</v>
      </c>
      <c r="Q12691" s="37" t="str">
        <f>IF(P12691&gt;500,"High","low")</f>
        <v>High</v>
      </c>
      <c r="R12691" s="37" t="str">
        <f t="shared" si="994"/>
        <v>Good</v>
      </c>
      <c r="S12691" t="s">
        <v>615</v>
      </c>
    </row>
    <row r="12692" spans="1:19" x14ac:dyDescent="0.2">
      <c r="A12692" t="s">
        <v>13303</v>
      </c>
      <c r="B12692" t="s">
        <v>67</v>
      </c>
      <c r="C12692" t="s">
        <v>614</v>
      </c>
      <c r="D12692">
        <v>452.08</v>
      </c>
      <c r="E12692" s="37" t="str">
        <f t="shared" si="990"/>
        <v xml:space="preserve"> </v>
      </c>
      <c r="F12692">
        <v>0.02</v>
      </c>
      <c r="G12692" s="37" t="str">
        <f t="shared" si="991"/>
        <v>Normal Discount</v>
      </c>
      <c r="H12692" s="37" t="str">
        <f t="shared" si="992"/>
        <v>Low</v>
      </c>
      <c r="I12692">
        <v>8</v>
      </c>
      <c r="J12692" t="str" cm="1">
        <f t="array" ref="J12692">_xlfn.IFS(I12692&lt;=3,"small",I12692&lt;=6,"Medium",I12692&lt;=9,"Large")</f>
        <v>Large</v>
      </c>
      <c r="K12692" s="36">
        <v>45359</v>
      </c>
      <c r="L12692" s="36">
        <v>45360</v>
      </c>
      <c r="M12692" t="s">
        <v>603</v>
      </c>
      <c r="N12692" t="s">
        <v>604</v>
      </c>
      <c r="O12692" s="37" t="str">
        <f t="shared" si="993"/>
        <v>Digital Payment</v>
      </c>
      <c r="P12692">
        <v>132.18</v>
      </c>
      <c r="Q12692" s="37" t="str">
        <f>IF(P12692&gt;500,"High","low")</f>
        <v>low</v>
      </c>
      <c r="R12692" s="37" t="str">
        <f t="shared" si="994"/>
        <v>AVERAGE</v>
      </c>
      <c r="S12692" t="s">
        <v>628</v>
      </c>
    </row>
    <row r="12693" spans="1:19" x14ac:dyDescent="0.2">
      <c r="A12693" t="s">
        <v>13304</v>
      </c>
      <c r="B12693" t="s">
        <v>90</v>
      </c>
      <c r="C12693" t="s">
        <v>602</v>
      </c>
      <c r="D12693">
        <v>826.34</v>
      </c>
      <c r="E12693" s="37" t="str">
        <f t="shared" si="990"/>
        <v xml:space="preserve"> </v>
      </c>
      <c r="F12693">
        <v>0.01</v>
      </c>
      <c r="G12693" s="37" t="str">
        <f t="shared" si="991"/>
        <v>Normal Discount</v>
      </c>
      <c r="H12693" s="37" t="str">
        <f t="shared" si="992"/>
        <v>Low</v>
      </c>
      <c r="I12693">
        <v>3</v>
      </c>
      <c r="J12693" t="str" cm="1">
        <f t="array" ref="J12693">_xlfn.IFS(I12693&lt;=3,"small",I12693&lt;=6,"Medium",I12693&lt;=9,"Large")</f>
        <v>small</v>
      </c>
      <c r="K12693" s="36">
        <v>45432</v>
      </c>
      <c r="L12693" s="36">
        <v>45437</v>
      </c>
      <c r="M12693" t="s">
        <v>598</v>
      </c>
      <c r="N12693" t="s">
        <v>604</v>
      </c>
      <c r="O12693" s="37" t="str">
        <f t="shared" si="993"/>
        <v>Digital Payment</v>
      </c>
      <c r="P12693">
        <v>132.13</v>
      </c>
      <c r="Q12693" s="37" t="str">
        <f>IF(P12693&gt;500,"High","low")</f>
        <v>low</v>
      </c>
      <c r="R12693" s="37" t="str">
        <f t="shared" si="994"/>
        <v>AVERAGE</v>
      </c>
      <c r="S12693" t="s">
        <v>600</v>
      </c>
    </row>
    <row r="12694" spans="1:19" x14ac:dyDescent="0.2">
      <c r="A12694" t="s">
        <v>13305</v>
      </c>
      <c r="B12694" t="s">
        <v>83</v>
      </c>
      <c r="C12694" t="s">
        <v>607</v>
      </c>
      <c r="D12694">
        <v>3530.37</v>
      </c>
      <c r="E12694" s="37" t="str">
        <f t="shared" si="990"/>
        <v xml:space="preserve"> </v>
      </c>
      <c r="F12694">
        <v>0.37</v>
      </c>
      <c r="G12694" s="37" t="str">
        <f t="shared" si="991"/>
        <v>Heavy Discount</v>
      </c>
      <c r="H12694" s="37" t="str">
        <f t="shared" si="992"/>
        <v>Medium</v>
      </c>
      <c r="I12694">
        <v>6</v>
      </c>
      <c r="J12694" t="str" cm="1">
        <f t="array" ref="J12694">_xlfn.IFS(I12694&lt;=3,"small",I12694&lt;=6,"Medium",I12694&lt;=9,"Large")</f>
        <v>Medium</v>
      </c>
      <c r="K12694" s="36">
        <v>45343</v>
      </c>
      <c r="L12694" s="36">
        <v>45347</v>
      </c>
      <c r="M12694" t="s">
        <v>598</v>
      </c>
      <c r="N12694" t="s">
        <v>608</v>
      </c>
      <c r="O12694" s="37" t="str">
        <f t="shared" si="993"/>
        <v>Cash Payment</v>
      </c>
      <c r="P12694">
        <v>899.86</v>
      </c>
      <c r="Q12694" s="37" t="str">
        <f>IF(P12694&gt;500,"High","low")</f>
        <v>High</v>
      </c>
      <c r="R12694" s="37" t="str">
        <f t="shared" si="994"/>
        <v>Good</v>
      </c>
      <c r="S12694" t="s">
        <v>609</v>
      </c>
    </row>
    <row r="12695" spans="1:19" x14ac:dyDescent="0.2">
      <c r="A12695" t="s">
        <v>13306</v>
      </c>
      <c r="B12695" t="s">
        <v>75</v>
      </c>
      <c r="C12695" t="s">
        <v>597</v>
      </c>
      <c r="D12695">
        <v>1519.64</v>
      </c>
      <c r="E12695" s="37" t="str">
        <f t="shared" si="990"/>
        <v xml:space="preserve"> </v>
      </c>
      <c r="F12695">
        <v>0.39</v>
      </c>
      <c r="G12695" s="37" t="str">
        <f t="shared" si="991"/>
        <v>Heavy Discount</v>
      </c>
      <c r="H12695" s="37" t="str">
        <f t="shared" si="992"/>
        <v>Medium</v>
      </c>
      <c r="I12695">
        <v>2</v>
      </c>
      <c r="J12695" t="str" cm="1">
        <f t="array" ref="J12695">_xlfn.IFS(I12695&lt;=3,"small",I12695&lt;=6,"Medium",I12695&lt;=9,"Large")</f>
        <v>small</v>
      </c>
      <c r="K12695" s="36">
        <v>45484</v>
      </c>
      <c r="L12695" s="36">
        <v>45486</v>
      </c>
      <c r="M12695" t="s">
        <v>603</v>
      </c>
      <c r="N12695" t="s">
        <v>608</v>
      </c>
      <c r="O12695" s="37" t="str">
        <f t="shared" si="993"/>
        <v>Cash Payment</v>
      </c>
      <c r="P12695">
        <v>174.9</v>
      </c>
      <c r="Q12695" s="37" t="str">
        <f>IF(P12695&gt;500,"High","low")</f>
        <v>low</v>
      </c>
      <c r="R12695" s="37" t="str">
        <f t="shared" si="994"/>
        <v>AVERAGE</v>
      </c>
      <c r="S12695" t="s">
        <v>609</v>
      </c>
    </row>
    <row r="12696" spans="1:19" x14ac:dyDescent="0.2">
      <c r="A12696" t="s">
        <v>13307</v>
      </c>
      <c r="B12696" t="s">
        <v>90</v>
      </c>
      <c r="C12696" t="s">
        <v>607</v>
      </c>
      <c r="D12696">
        <v>1131.1199999999999</v>
      </c>
      <c r="E12696" s="37" t="str">
        <f t="shared" si="990"/>
        <v xml:space="preserve"> </v>
      </c>
      <c r="F12696">
        <v>0.25</v>
      </c>
      <c r="G12696" s="37" t="str">
        <f t="shared" si="991"/>
        <v>Normal Discount</v>
      </c>
      <c r="H12696" s="37" t="str">
        <f t="shared" si="992"/>
        <v>Medium</v>
      </c>
      <c r="I12696">
        <v>5</v>
      </c>
      <c r="J12696" t="str" cm="1">
        <f t="array" ref="J12696">_xlfn.IFS(I12696&lt;=3,"small",I12696&lt;=6,"Medium",I12696&lt;=9,"Large")</f>
        <v>Medium</v>
      </c>
      <c r="K12696" s="36">
        <v>45492</v>
      </c>
      <c r="L12696" s="36">
        <v>45498</v>
      </c>
      <c r="M12696" t="s">
        <v>603</v>
      </c>
      <c r="N12696" t="s">
        <v>604</v>
      </c>
      <c r="O12696" s="37" t="str">
        <f t="shared" si="993"/>
        <v>Digital Payment</v>
      </c>
      <c r="P12696">
        <v>273.55</v>
      </c>
      <c r="Q12696" s="37" t="str">
        <f>IF(P12696&gt;500,"High","low")</f>
        <v>low</v>
      </c>
      <c r="R12696" s="37" t="str">
        <f t="shared" si="994"/>
        <v>AVERAGE</v>
      </c>
      <c r="S12696" t="s">
        <v>605</v>
      </c>
    </row>
    <row r="12697" spans="1:19" x14ac:dyDescent="0.2">
      <c r="A12697" t="s">
        <v>13308</v>
      </c>
      <c r="B12697" t="s">
        <v>67</v>
      </c>
      <c r="C12697" t="s">
        <v>597</v>
      </c>
      <c r="D12697">
        <v>4027.48</v>
      </c>
      <c r="E12697" s="37" t="str">
        <f t="shared" si="990"/>
        <v>Excellent Order</v>
      </c>
      <c r="F12697">
        <v>0.16</v>
      </c>
      <c r="G12697" s="37" t="str">
        <f t="shared" si="991"/>
        <v>Normal Discount</v>
      </c>
      <c r="H12697" s="37" t="str">
        <f t="shared" si="992"/>
        <v>Low</v>
      </c>
      <c r="I12697">
        <v>9</v>
      </c>
      <c r="J12697" t="str" cm="1">
        <f t="array" ref="J12697">_xlfn.IFS(I12697&lt;=3,"small",I12697&lt;=6,"Medium",I12697&lt;=9,"Large")</f>
        <v>Large</v>
      </c>
      <c r="K12697" s="36">
        <v>45646</v>
      </c>
      <c r="L12697" s="36">
        <v>45648</v>
      </c>
      <c r="M12697" t="s">
        <v>612</v>
      </c>
      <c r="N12697" t="s">
        <v>599</v>
      </c>
      <c r="O12697" s="37" t="str">
        <f t="shared" si="993"/>
        <v>Digital Payment</v>
      </c>
      <c r="P12697">
        <v>1006.46</v>
      </c>
      <c r="Q12697" s="37" t="str">
        <f>IF(P12697&gt;500,"High","low")</f>
        <v>High</v>
      </c>
      <c r="R12697" s="37" t="str">
        <f t="shared" si="994"/>
        <v>Excellent</v>
      </c>
      <c r="S12697" t="s">
        <v>628</v>
      </c>
    </row>
    <row r="12698" spans="1:19" x14ac:dyDescent="0.2">
      <c r="A12698" t="s">
        <v>13309</v>
      </c>
      <c r="B12698" t="s">
        <v>75</v>
      </c>
      <c r="C12698" t="s">
        <v>614</v>
      </c>
      <c r="D12698">
        <v>4736.6099999999997</v>
      </c>
      <c r="E12698" s="37" t="str">
        <f t="shared" si="990"/>
        <v>Excellent Order</v>
      </c>
      <c r="F12698">
        <v>0.12</v>
      </c>
      <c r="G12698" s="37" t="str">
        <f t="shared" si="991"/>
        <v>Normal Discount</v>
      </c>
      <c r="H12698" s="37" t="str">
        <f t="shared" si="992"/>
        <v>Low</v>
      </c>
      <c r="I12698">
        <v>7</v>
      </c>
      <c r="J12698" t="str" cm="1">
        <f t="array" ref="J12698">_xlfn.IFS(I12698&lt;=3,"small",I12698&lt;=6,"Medium",I12698&lt;=9,"Large")</f>
        <v>Large</v>
      </c>
      <c r="K12698" s="36">
        <v>45011</v>
      </c>
      <c r="L12698" s="36">
        <v>45012</v>
      </c>
      <c r="M12698" t="s">
        <v>598</v>
      </c>
      <c r="N12698" t="s">
        <v>608</v>
      </c>
      <c r="O12698" s="37" t="str">
        <f t="shared" si="993"/>
        <v>Cash Payment</v>
      </c>
      <c r="P12698">
        <v>1247.73</v>
      </c>
      <c r="Q12698" s="37" t="str">
        <f>IF(P12698&gt;500,"High","low")</f>
        <v>High</v>
      </c>
      <c r="R12698" s="37" t="str">
        <f t="shared" si="994"/>
        <v>Excellent</v>
      </c>
      <c r="S12698" t="s">
        <v>620</v>
      </c>
    </row>
    <row r="12699" spans="1:19" x14ac:dyDescent="0.2">
      <c r="A12699" t="s">
        <v>13310</v>
      </c>
      <c r="B12699" t="s">
        <v>83</v>
      </c>
      <c r="C12699" t="s">
        <v>597</v>
      </c>
      <c r="D12699">
        <v>1238.67</v>
      </c>
      <c r="E12699" s="37" t="str">
        <f t="shared" si="990"/>
        <v xml:space="preserve"> </v>
      </c>
      <c r="F12699">
        <v>0.06</v>
      </c>
      <c r="G12699" s="37" t="str">
        <f t="shared" si="991"/>
        <v>Normal Discount</v>
      </c>
      <c r="H12699" s="37" t="str">
        <f t="shared" si="992"/>
        <v>Low</v>
      </c>
      <c r="I12699">
        <v>4</v>
      </c>
      <c r="J12699" t="str" cm="1">
        <f t="array" ref="J12699">_xlfn.IFS(I12699&lt;=3,"small",I12699&lt;=6,"Medium",I12699&lt;=9,"Large")</f>
        <v>Medium</v>
      </c>
      <c r="K12699" s="36">
        <v>45445</v>
      </c>
      <c r="L12699" s="36">
        <v>45448</v>
      </c>
      <c r="M12699" t="s">
        <v>612</v>
      </c>
      <c r="N12699" t="s">
        <v>599</v>
      </c>
      <c r="O12699" s="37" t="str">
        <f t="shared" si="993"/>
        <v>Digital Payment</v>
      </c>
      <c r="P12699">
        <v>313.74</v>
      </c>
      <c r="Q12699" s="37" t="str">
        <f>IF(P12699&gt;500,"High","low")</f>
        <v>low</v>
      </c>
      <c r="R12699" s="37" t="str">
        <f t="shared" si="994"/>
        <v>AVERAGE</v>
      </c>
      <c r="S12699" t="s">
        <v>628</v>
      </c>
    </row>
    <row r="12700" spans="1:19" x14ac:dyDescent="0.2">
      <c r="A12700" t="s">
        <v>13311</v>
      </c>
      <c r="B12700" t="s">
        <v>75</v>
      </c>
      <c r="C12700" t="s">
        <v>614</v>
      </c>
      <c r="D12700">
        <v>1654.26</v>
      </c>
      <c r="E12700" s="37" t="str">
        <f t="shared" si="990"/>
        <v xml:space="preserve"> </v>
      </c>
      <c r="F12700">
        <v>0.24</v>
      </c>
      <c r="G12700" s="37" t="str">
        <f t="shared" si="991"/>
        <v>Normal Discount</v>
      </c>
      <c r="H12700" s="37" t="str">
        <f t="shared" si="992"/>
        <v>Medium</v>
      </c>
      <c r="I12700">
        <v>3</v>
      </c>
      <c r="J12700" t="str" cm="1">
        <f t="array" ref="J12700">_xlfn.IFS(I12700&lt;=3,"small",I12700&lt;=6,"Medium",I12700&lt;=9,"Large")</f>
        <v>small</v>
      </c>
      <c r="K12700" s="36">
        <v>45418</v>
      </c>
      <c r="L12700" s="36">
        <v>45424</v>
      </c>
      <c r="M12700" t="s">
        <v>603</v>
      </c>
      <c r="N12700" t="s">
        <v>604</v>
      </c>
      <c r="O12700" s="37" t="str">
        <f t="shared" si="993"/>
        <v>Digital Payment</v>
      </c>
      <c r="P12700">
        <v>407.86</v>
      </c>
      <c r="Q12700" s="37" t="str">
        <f>IF(P12700&gt;500,"High","low")</f>
        <v>low</v>
      </c>
      <c r="R12700" s="37" t="str">
        <f t="shared" si="994"/>
        <v>AVERAGE</v>
      </c>
      <c r="S12700" t="s">
        <v>620</v>
      </c>
    </row>
    <row r="12701" spans="1:19" x14ac:dyDescent="0.2">
      <c r="A12701" t="s">
        <v>13312</v>
      </c>
      <c r="B12701" t="s">
        <v>67</v>
      </c>
      <c r="C12701" t="s">
        <v>614</v>
      </c>
      <c r="D12701">
        <v>3598.96</v>
      </c>
      <c r="E12701" s="37" t="str">
        <f t="shared" si="990"/>
        <v xml:space="preserve"> </v>
      </c>
      <c r="F12701">
        <v>0.25</v>
      </c>
      <c r="G12701" s="37" t="str">
        <f t="shared" si="991"/>
        <v>Normal Discount</v>
      </c>
      <c r="H12701" s="37" t="str">
        <f t="shared" si="992"/>
        <v>Medium</v>
      </c>
      <c r="I12701">
        <v>9</v>
      </c>
      <c r="J12701" t="str" cm="1">
        <f t="array" ref="J12701">_xlfn.IFS(I12701&lt;=3,"small",I12701&lt;=6,"Medium",I12701&lt;=9,"Large")</f>
        <v>Large</v>
      </c>
      <c r="K12701" s="36">
        <v>45211</v>
      </c>
      <c r="L12701" s="36">
        <v>45218</v>
      </c>
      <c r="M12701" t="s">
        <v>598</v>
      </c>
      <c r="N12701" t="s">
        <v>599</v>
      </c>
      <c r="O12701" s="37" t="str">
        <f t="shared" si="993"/>
        <v>Digital Payment</v>
      </c>
      <c r="P12701">
        <v>794.36</v>
      </c>
      <c r="Q12701" s="37" t="str">
        <f>IF(P12701&gt;500,"High","low")</f>
        <v>High</v>
      </c>
      <c r="R12701" s="37" t="str">
        <f t="shared" si="994"/>
        <v>Good</v>
      </c>
      <c r="S12701" t="s">
        <v>609</v>
      </c>
    </row>
    <row r="12702" spans="1:19" x14ac:dyDescent="0.2">
      <c r="A12702" t="s">
        <v>13313</v>
      </c>
      <c r="B12702" t="s">
        <v>90</v>
      </c>
      <c r="C12702" t="s">
        <v>614</v>
      </c>
      <c r="D12702">
        <v>4094.94</v>
      </c>
      <c r="E12702" s="37" t="str">
        <f t="shared" si="990"/>
        <v xml:space="preserve"> </v>
      </c>
      <c r="F12702">
        <v>0.23</v>
      </c>
      <c r="G12702" s="37" t="str">
        <f t="shared" si="991"/>
        <v>Normal Discount</v>
      </c>
      <c r="H12702" s="37" t="str">
        <f t="shared" si="992"/>
        <v>Medium</v>
      </c>
      <c r="I12702">
        <v>4</v>
      </c>
      <c r="J12702" t="str" cm="1">
        <f t="array" ref="J12702">_xlfn.IFS(I12702&lt;=3,"small",I12702&lt;=6,"Medium",I12702&lt;=9,"Large")</f>
        <v>Medium</v>
      </c>
      <c r="K12702" s="36">
        <v>45575</v>
      </c>
      <c r="L12702" s="36">
        <v>45580</v>
      </c>
      <c r="M12702" t="s">
        <v>603</v>
      </c>
      <c r="N12702" t="s">
        <v>604</v>
      </c>
      <c r="O12702" s="37" t="str">
        <f t="shared" si="993"/>
        <v>Digital Payment</v>
      </c>
      <c r="P12702">
        <v>318.36</v>
      </c>
      <c r="Q12702" s="37" t="str">
        <f>IF(P12702&gt;500,"High","low")</f>
        <v>low</v>
      </c>
      <c r="R12702" s="37" t="str">
        <f t="shared" si="994"/>
        <v>AVERAGE</v>
      </c>
      <c r="S12702" t="s">
        <v>628</v>
      </c>
    </row>
    <row r="12703" spans="1:19" x14ac:dyDescent="0.2">
      <c r="A12703" t="s">
        <v>13314</v>
      </c>
      <c r="B12703" t="s">
        <v>90</v>
      </c>
      <c r="C12703" t="s">
        <v>597</v>
      </c>
      <c r="D12703">
        <v>4995.8999999999996</v>
      </c>
      <c r="E12703" s="37" t="str">
        <f t="shared" si="990"/>
        <v xml:space="preserve"> </v>
      </c>
      <c r="F12703">
        <v>0.39</v>
      </c>
      <c r="G12703" s="37" t="str">
        <f t="shared" si="991"/>
        <v>Heavy Discount</v>
      </c>
      <c r="H12703" s="37" t="str">
        <f t="shared" si="992"/>
        <v>Medium</v>
      </c>
      <c r="I12703">
        <v>5</v>
      </c>
      <c r="J12703" t="str" cm="1">
        <f t="array" ref="J12703">_xlfn.IFS(I12703&lt;=3,"small",I12703&lt;=6,"Medium",I12703&lt;=9,"Large")</f>
        <v>Medium</v>
      </c>
      <c r="K12703" s="36">
        <v>44975</v>
      </c>
      <c r="L12703" s="36">
        <v>44976</v>
      </c>
      <c r="M12703" t="s">
        <v>598</v>
      </c>
      <c r="N12703" t="s">
        <v>608</v>
      </c>
      <c r="O12703" s="37" t="str">
        <f t="shared" si="993"/>
        <v>Cash Payment</v>
      </c>
      <c r="P12703">
        <v>714.47</v>
      </c>
      <c r="Q12703" s="37" t="str">
        <f>IF(P12703&gt;500,"High","low")</f>
        <v>High</v>
      </c>
      <c r="R12703" s="37" t="str">
        <f t="shared" si="994"/>
        <v>Good</v>
      </c>
      <c r="S12703" t="s">
        <v>609</v>
      </c>
    </row>
    <row r="12704" spans="1:19" x14ac:dyDescent="0.2">
      <c r="A12704" t="s">
        <v>13315</v>
      </c>
      <c r="B12704" t="s">
        <v>67</v>
      </c>
      <c r="C12704" t="s">
        <v>597</v>
      </c>
      <c r="D12704">
        <v>1439.52</v>
      </c>
      <c r="E12704" s="37" t="str">
        <f t="shared" si="990"/>
        <v xml:space="preserve"> </v>
      </c>
      <c r="F12704">
        <v>0.05</v>
      </c>
      <c r="G12704" s="37" t="str">
        <f t="shared" si="991"/>
        <v>Normal Discount</v>
      </c>
      <c r="H12704" s="37" t="str">
        <f t="shared" si="992"/>
        <v>Low</v>
      </c>
      <c r="I12704">
        <v>6</v>
      </c>
      <c r="J12704" t="str" cm="1">
        <f t="array" ref="J12704">_xlfn.IFS(I12704&lt;=3,"small",I12704&lt;=6,"Medium",I12704&lt;=9,"Large")</f>
        <v>Medium</v>
      </c>
      <c r="K12704" s="36">
        <v>45276</v>
      </c>
      <c r="L12704" s="36">
        <v>45282</v>
      </c>
      <c r="M12704" t="s">
        <v>612</v>
      </c>
      <c r="N12704" t="s">
        <v>604</v>
      </c>
      <c r="O12704" s="37" t="str">
        <f t="shared" si="993"/>
        <v>Digital Payment</v>
      </c>
      <c r="P12704">
        <v>160.83000000000001</v>
      </c>
      <c r="Q12704" s="37" t="str">
        <f>IF(P12704&gt;500,"High","low")</f>
        <v>low</v>
      </c>
      <c r="R12704" s="37" t="str">
        <f t="shared" si="994"/>
        <v>AVERAGE</v>
      </c>
      <c r="S12704" t="s">
        <v>605</v>
      </c>
    </row>
    <row r="12705" spans="1:19" x14ac:dyDescent="0.2">
      <c r="A12705" t="s">
        <v>13316</v>
      </c>
      <c r="B12705" t="s">
        <v>90</v>
      </c>
      <c r="C12705" t="s">
        <v>614</v>
      </c>
      <c r="D12705">
        <v>2827.43</v>
      </c>
      <c r="E12705" s="37" t="str">
        <f t="shared" si="990"/>
        <v xml:space="preserve"> </v>
      </c>
      <c r="F12705">
        <v>0.34</v>
      </c>
      <c r="G12705" s="37" t="str">
        <f t="shared" si="991"/>
        <v>Heavy Discount</v>
      </c>
      <c r="H12705" s="37" t="str">
        <f t="shared" si="992"/>
        <v>Medium</v>
      </c>
      <c r="I12705">
        <v>5</v>
      </c>
      <c r="J12705" t="str" cm="1">
        <f t="array" ref="J12705">_xlfn.IFS(I12705&lt;=3,"small",I12705&lt;=6,"Medium",I12705&lt;=9,"Large")</f>
        <v>Medium</v>
      </c>
      <c r="K12705" s="36">
        <v>45361</v>
      </c>
      <c r="L12705" s="36">
        <v>45364</v>
      </c>
      <c r="M12705" t="s">
        <v>612</v>
      </c>
      <c r="N12705" t="s">
        <v>599</v>
      </c>
      <c r="O12705" s="37" t="str">
        <f t="shared" si="993"/>
        <v>Digital Payment</v>
      </c>
      <c r="P12705">
        <v>447.45</v>
      </c>
      <c r="Q12705" s="37" t="str">
        <f>IF(P12705&gt;500,"High","low")</f>
        <v>low</v>
      </c>
      <c r="R12705" s="37" t="str">
        <f t="shared" si="994"/>
        <v>AVERAGE</v>
      </c>
      <c r="S12705" t="s">
        <v>620</v>
      </c>
    </row>
    <row r="12706" spans="1:19" x14ac:dyDescent="0.2">
      <c r="A12706" t="s">
        <v>13317</v>
      </c>
      <c r="B12706" t="s">
        <v>67</v>
      </c>
      <c r="C12706" t="s">
        <v>614</v>
      </c>
      <c r="D12706">
        <v>756.69</v>
      </c>
      <c r="E12706" s="37" t="str">
        <f t="shared" si="990"/>
        <v xml:space="preserve"> </v>
      </c>
      <c r="F12706">
        <v>0.2</v>
      </c>
      <c r="G12706" s="37" t="str">
        <f t="shared" si="991"/>
        <v>Normal Discount</v>
      </c>
      <c r="H12706" s="37" t="str">
        <f t="shared" si="992"/>
        <v>Medium</v>
      </c>
      <c r="I12706">
        <v>9</v>
      </c>
      <c r="J12706" t="str" cm="1">
        <f t="array" ref="J12706">_xlfn.IFS(I12706&lt;=3,"small",I12706&lt;=6,"Medium",I12706&lt;=9,"Large")</f>
        <v>Large</v>
      </c>
      <c r="K12706" s="36">
        <v>45408</v>
      </c>
      <c r="L12706" s="36">
        <v>45411</v>
      </c>
      <c r="M12706" t="s">
        <v>598</v>
      </c>
      <c r="N12706" t="s">
        <v>599</v>
      </c>
      <c r="O12706" s="37" t="str">
        <f t="shared" si="993"/>
        <v>Digital Payment</v>
      </c>
      <c r="P12706">
        <v>211.23</v>
      </c>
      <c r="Q12706" s="37" t="str">
        <f>IF(P12706&gt;500,"High","low")</f>
        <v>low</v>
      </c>
      <c r="R12706" s="37" t="str">
        <f t="shared" si="994"/>
        <v>AVERAGE</v>
      </c>
      <c r="S12706" t="s">
        <v>628</v>
      </c>
    </row>
    <row r="12707" spans="1:19" x14ac:dyDescent="0.2">
      <c r="A12707" t="s">
        <v>13318</v>
      </c>
      <c r="B12707" t="s">
        <v>90</v>
      </c>
      <c r="C12707" t="s">
        <v>602</v>
      </c>
      <c r="D12707">
        <v>1721.12</v>
      </c>
      <c r="E12707" s="37" t="str">
        <f t="shared" si="990"/>
        <v xml:space="preserve"> </v>
      </c>
      <c r="F12707">
        <v>0.12</v>
      </c>
      <c r="G12707" s="37" t="str">
        <f t="shared" si="991"/>
        <v>Normal Discount</v>
      </c>
      <c r="H12707" s="37" t="str">
        <f t="shared" si="992"/>
        <v>Low</v>
      </c>
      <c r="I12707">
        <v>1</v>
      </c>
      <c r="J12707" t="str" cm="1">
        <f t="array" ref="J12707">_xlfn.IFS(I12707&lt;=3,"small",I12707&lt;=6,"Medium",I12707&lt;=9,"Large")</f>
        <v>small</v>
      </c>
      <c r="K12707" s="36">
        <v>45237</v>
      </c>
      <c r="L12707" s="36">
        <v>45244</v>
      </c>
      <c r="M12707" t="s">
        <v>612</v>
      </c>
      <c r="N12707" t="s">
        <v>608</v>
      </c>
      <c r="O12707" s="37" t="str">
        <f t="shared" si="993"/>
        <v>Cash Payment</v>
      </c>
      <c r="P12707">
        <v>350.26</v>
      </c>
      <c r="Q12707" s="37" t="str">
        <f>IF(P12707&gt;500,"High","low")</f>
        <v>low</v>
      </c>
      <c r="R12707" s="37" t="str">
        <f t="shared" si="994"/>
        <v>AVERAGE</v>
      </c>
      <c r="S12707" t="s">
        <v>600</v>
      </c>
    </row>
    <row r="12708" spans="1:19" x14ac:dyDescent="0.2">
      <c r="A12708" t="s">
        <v>13319</v>
      </c>
      <c r="B12708" t="s">
        <v>90</v>
      </c>
      <c r="C12708" t="s">
        <v>614</v>
      </c>
      <c r="D12708">
        <v>320.35000000000002</v>
      </c>
      <c r="E12708" s="37" t="str">
        <f t="shared" si="990"/>
        <v xml:space="preserve"> </v>
      </c>
      <c r="F12708">
        <v>0.34</v>
      </c>
      <c r="G12708" s="37" t="str">
        <f t="shared" si="991"/>
        <v>Heavy Discount</v>
      </c>
      <c r="H12708" s="37" t="str">
        <f t="shared" si="992"/>
        <v>Medium</v>
      </c>
      <c r="I12708">
        <v>6</v>
      </c>
      <c r="J12708" t="str" cm="1">
        <f t="array" ref="J12708">_xlfn.IFS(I12708&lt;=3,"small",I12708&lt;=6,"Medium",I12708&lt;=9,"Large")</f>
        <v>Medium</v>
      </c>
      <c r="K12708" s="36">
        <v>45306</v>
      </c>
      <c r="L12708" s="36">
        <v>45313</v>
      </c>
      <c r="M12708" t="s">
        <v>612</v>
      </c>
      <c r="N12708" t="s">
        <v>604</v>
      </c>
      <c r="O12708" s="37" t="str">
        <f t="shared" si="993"/>
        <v>Digital Payment</v>
      </c>
      <c r="P12708">
        <v>22.74</v>
      </c>
      <c r="Q12708" s="37" t="str">
        <f>IF(P12708&gt;500,"High","low")</f>
        <v>low</v>
      </c>
      <c r="R12708" s="37" t="str">
        <f t="shared" si="994"/>
        <v>AVERAGE</v>
      </c>
      <c r="S12708" t="s">
        <v>609</v>
      </c>
    </row>
    <row r="12709" spans="1:19" x14ac:dyDescent="0.2">
      <c r="A12709" t="s">
        <v>13320</v>
      </c>
      <c r="B12709" t="s">
        <v>90</v>
      </c>
      <c r="C12709" t="s">
        <v>617</v>
      </c>
      <c r="D12709">
        <v>1133.1099999999999</v>
      </c>
      <c r="E12709" s="37" t="str">
        <f t="shared" si="990"/>
        <v xml:space="preserve"> </v>
      </c>
      <c r="F12709">
        <v>0.1</v>
      </c>
      <c r="G12709" s="37" t="str">
        <f t="shared" si="991"/>
        <v>Normal Discount</v>
      </c>
      <c r="H12709" s="37" t="str">
        <f t="shared" si="992"/>
        <v>Low</v>
      </c>
      <c r="I12709">
        <v>4</v>
      </c>
      <c r="J12709" t="str" cm="1">
        <f t="array" ref="J12709">_xlfn.IFS(I12709&lt;=3,"small",I12709&lt;=6,"Medium",I12709&lt;=9,"Large")</f>
        <v>Medium</v>
      </c>
      <c r="K12709" s="36">
        <v>45631</v>
      </c>
      <c r="L12709" s="36">
        <v>45638</v>
      </c>
      <c r="M12709" t="s">
        <v>603</v>
      </c>
      <c r="N12709" t="s">
        <v>604</v>
      </c>
      <c r="O12709" s="37" t="str">
        <f t="shared" si="993"/>
        <v>Digital Payment</v>
      </c>
      <c r="P12709">
        <v>141.25</v>
      </c>
      <c r="Q12709" s="37" t="str">
        <f>IF(P12709&gt;500,"High","low")</f>
        <v>low</v>
      </c>
      <c r="R12709" s="37" t="str">
        <f t="shared" si="994"/>
        <v>AVERAGE</v>
      </c>
      <c r="S12709" t="s">
        <v>600</v>
      </c>
    </row>
    <row r="12710" spans="1:19" x14ac:dyDescent="0.2">
      <c r="A12710" t="s">
        <v>13321</v>
      </c>
      <c r="B12710" t="s">
        <v>83</v>
      </c>
      <c r="C12710" t="s">
        <v>602</v>
      </c>
      <c r="D12710">
        <v>2582.0700000000002</v>
      </c>
      <c r="E12710" s="37" t="str">
        <f t="shared" si="990"/>
        <v xml:space="preserve"> </v>
      </c>
      <c r="F12710">
        <v>0.12</v>
      </c>
      <c r="G12710" s="37" t="str">
        <f t="shared" si="991"/>
        <v>Normal Discount</v>
      </c>
      <c r="H12710" s="37" t="str">
        <f t="shared" si="992"/>
        <v>Low</v>
      </c>
      <c r="I12710">
        <v>4</v>
      </c>
      <c r="J12710" t="str" cm="1">
        <f t="array" ref="J12710">_xlfn.IFS(I12710&lt;=3,"small",I12710&lt;=6,"Medium",I12710&lt;=9,"Large")</f>
        <v>Medium</v>
      </c>
      <c r="K12710" s="36">
        <v>45408</v>
      </c>
      <c r="L12710" s="36">
        <v>45413</v>
      </c>
      <c r="M12710" t="s">
        <v>598</v>
      </c>
      <c r="N12710" t="s">
        <v>608</v>
      </c>
      <c r="O12710" s="37" t="str">
        <f t="shared" si="993"/>
        <v>Cash Payment</v>
      </c>
      <c r="P12710">
        <v>678.99</v>
      </c>
      <c r="Q12710" s="37" t="str">
        <f>IF(P12710&gt;500,"High","low")</f>
        <v>High</v>
      </c>
      <c r="R12710" s="37" t="str">
        <f t="shared" si="994"/>
        <v>Good</v>
      </c>
      <c r="S12710" t="s">
        <v>609</v>
      </c>
    </row>
    <row r="12711" spans="1:19" x14ac:dyDescent="0.2">
      <c r="A12711" t="s">
        <v>13322</v>
      </c>
      <c r="B12711" t="s">
        <v>83</v>
      </c>
      <c r="C12711" t="s">
        <v>602</v>
      </c>
      <c r="D12711">
        <v>902.42</v>
      </c>
      <c r="E12711" s="37" t="str">
        <f t="shared" si="990"/>
        <v xml:space="preserve"> </v>
      </c>
      <c r="F12711">
        <v>0.5</v>
      </c>
      <c r="G12711" s="37" t="str">
        <f t="shared" si="991"/>
        <v>Heavy Discount</v>
      </c>
      <c r="H12711" s="37" t="str">
        <f t="shared" si="992"/>
        <v>High</v>
      </c>
      <c r="I12711">
        <v>3</v>
      </c>
      <c r="J12711" t="str" cm="1">
        <f t="array" ref="J12711">_xlfn.IFS(I12711&lt;=3,"small",I12711&lt;=6,"Medium",I12711&lt;=9,"Large")</f>
        <v>small</v>
      </c>
      <c r="K12711" s="36">
        <v>45522</v>
      </c>
      <c r="L12711" s="36">
        <v>45525</v>
      </c>
      <c r="M12711" t="s">
        <v>603</v>
      </c>
      <c r="N12711" t="s">
        <v>604</v>
      </c>
      <c r="O12711" s="37" t="str">
        <f t="shared" si="993"/>
        <v>Digital Payment</v>
      </c>
      <c r="P12711">
        <v>129.79</v>
      </c>
      <c r="Q12711" s="37" t="str">
        <f>IF(P12711&gt;500,"High","low")</f>
        <v>low</v>
      </c>
      <c r="R12711" s="37" t="str">
        <f t="shared" si="994"/>
        <v>AVERAGE</v>
      </c>
      <c r="S12711" t="s">
        <v>628</v>
      </c>
    </row>
    <row r="12712" spans="1:19" x14ac:dyDescent="0.2">
      <c r="A12712" t="s">
        <v>13323</v>
      </c>
      <c r="B12712" t="s">
        <v>67</v>
      </c>
      <c r="C12712" t="s">
        <v>602</v>
      </c>
      <c r="D12712">
        <v>4457.9799999999996</v>
      </c>
      <c r="E12712" s="37" t="str">
        <f t="shared" si="990"/>
        <v xml:space="preserve"> </v>
      </c>
      <c r="F12712">
        <v>0.44</v>
      </c>
      <c r="G12712" s="37" t="str">
        <f t="shared" si="991"/>
        <v>Heavy Discount</v>
      </c>
      <c r="H12712" s="37" t="str">
        <f t="shared" si="992"/>
        <v>High</v>
      </c>
      <c r="I12712">
        <v>5</v>
      </c>
      <c r="J12712" t="str" cm="1">
        <f t="array" ref="J12712">_xlfn.IFS(I12712&lt;=3,"small",I12712&lt;=6,"Medium",I12712&lt;=9,"Large")</f>
        <v>Medium</v>
      </c>
      <c r="K12712" s="36">
        <v>45021</v>
      </c>
      <c r="L12712" s="36">
        <v>45028</v>
      </c>
      <c r="M12712" t="s">
        <v>612</v>
      </c>
      <c r="N12712" t="s">
        <v>604</v>
      </c>
      <c r="O12712" s="37" t="str">
        <f t="shared" si="993"/>
        <v>Digital Payment</v>
      </c>
      <c r="P12712">
        <v>230.92</v>
      </c>
      <c r="Q12712" s="37" t="str">
        <f>IF(P12712&gt;500,"High","low")</f>
        <v>low</v>
      </c>
      <c r="R12712" s="37" t="str">
        <f t="shared" si="994"/>
        <v>AVERAGE</v>
      </c>
      <c r="S12712" t="s">
        <v>628</v>
      </c>
    </row>
    <row r="12713" spans="1:19" x14ac:dyDescent="0.2">
      <c r="A12713" t="s">
        <v>13324</v>
      </c>
      <c r="B12713" t="s">
        <v>83</v>
      </c>
      <c r="C12713" t="s">
        <v>617</v>
      </c>
      <c r="D12713">
        <v>3580.51</v>
      </c>
      <c r="E12713" s="37" t="str">
        <f t="shared" si="990"/>
        <v xml:space="preserve"> </v>
      </c>
      <c r="F12713">
        <v>0.35</v>
      </c>
      <c r="G12713" s="37" t="str">
        <f t="shared" si="991"/>
        <v>Heavy Discount</v>
      </c>
      <c r="H12713" s="37" t="str">
        <f t="shared" si="992"/>
        <v>Medium</v>
      </c>
      <c r="I12713">
        <v>8</v>
      </c>
      <c r="J12713" t="str" cm="1">
        <f t="array" ref="J12713">_xlfn.IFS(I12713&lt;=3,"small",I12713&lt;=6,"Medium",I12713&lt;=9,"Large")</f>
        <v>Large</v>
      </c>
      <c r="K12713" s="36">
        <v>45453</v>
      </c>
      <c r="L12713" s="36">
        <v>45456</v>
      </c>
      <c r="M12713" t="s">
        <v>603</v>
      </c>
      <c r="N12713" t="s">
        <v>608</v>
      </c>
      <c r="O12713" s="37" t="str">
        <f t="shared" si="993"/>
        <v>Cash Payment</v>
      </c>
      <c r="P12713">
        <v>873.14</v>
      </c>
      <c r="Q12713" s="37" t="str">
        <f>IF(P12713&gt;500,"High","low")</f>
        <v>High</v>
      </c>
      <c r="R12713" s="37" t="str">
        <f t="shared" si="994"/>
        <v>Good</v>
      </c>
      <c r="S12713" t="s">
        <v>620</v>
      </c>
    </row>
    <row r="12714" spans="1:19" x14ac:dyDescent="0.2">
      <c r="A12714" t="s">
        <v>13325</v>
      </c>
      <c r="B12714" t="s">
        <v>67</v>
      </c>
      <c r="C12714" t="s">
        <v>602</v>
      </c>
      <c r="D12714">
        <v>235.91</v>
      </c>
      <c r="E12714" s="37" t="str">
        <f t="shared" si="990"/>
        <v xml:space="preserve"> </v>
      </c>
      <c r="F12714">
        <v>0.16</v>
      </c>
      <c r="G12714" s="37" t="str">
        <f t="shared" si="991"/>
        <v>Normal Discount</v>
      </c>
      <c r="H12714" s="37" t="str">
        <f t="shared" si="992"/>
        <v>Low</v>
      </c>
      <c r="I12714">
        <v>4</v>
      </c>
      <c r="J12714" t="str" cm="1">
        <f t="array" ref="J12714">_xlfn.IFS(I12714&lt;=3,"small",I12714&lt;=6,"Medium",I12714&lt;=9,"Large")</f>
        <v>Medium</v>
      </c>
      <c r="K12714" s="36">
        <v>45617</v>
      </c>
      <c r="L12714" s="36">
        <v>45623</v>
      </c>
      <c r="M12714" t="s">
        <v>612</v>
      </c>
      <c r="N12714" t="s">
        <v>599</v>
      </c>
      <c r="O12714" s="37" t="str">
        <f t="shared" si="993"/>
        <v>Digital Payment</v>
      </c>
      <c r="P12714">
        <v>20.09</v>
      </c>
      <c r="Q12714" s="37" t="str">
        <f>IF(P12714&gt;500,"High","low")</f>
        <v>low</v>
      </c>
      <c r="R12714" s="37" t="str">
        <f t="shared" si="994"/>
        <v>AVERAGE</v>
      </c>
      <c r="S12714" t="s">
        <v>600</v>
      </c>
    </row>
    <row r="12715" spans="1:19" x14ac:dyDescent="0.2">
      <c r="A12715" t="s">
        <v>13326</v>
      </c>
      <c r="B12715" t="s">
        <v>75</v>
      </c>
      <c r="C12715" t="s">
        <v>602</v>
      </c>
      <c r="D12715">
        <v>4395.84</v>
      </c>
      <c r="E12715" s="37" t="str">
        <f t="shared" si="990"/>
        <v xml:space="preserve"> </v>
      </c>
      <c r="F12715">
        <v>0.27</v>
      </c>
      <c r="G12715" s="37" t="str">
        <f t="shared" si="991"/>
        <v>Normal Discount</v>
      </c>
      <c r="H12715" s="37" t="str">
        <f t="shared" si="992"/>
        <v>Medium</v>
      </c>
      <c r="I12715">
        <v>7</v>
      </c>
      <c r="J12715" t="str" cm="1">
        <f t="array" ref="J12715">_xlfn.IFS(I12715&lt;=3,"small",I12715&lt;=6,"Medium",I12715&lt;=9,"Large")</f>
        <v>Large</v>
      </c>
      <c r="K12715" s="36">
        <v>44960</v>
      </c>
      <c r="L12715" s="36">
        <v>44965</v>
      </c>
      <c r="M12715" t="s">
        <v>612</v>
      </c>
      <c r="N12715" t="s">
        <v>604</v>
      </c>
      <c r="O12715" s="37" t="str">
        <f t="shared" si="993"/>
        <v>Digital Payment</v>
      </c>
      <c r="P12715">
        <v>353.82</v>
      </c>
      <c r="Q12715" s="37" t="str">
        <f>IF(P12715&gt;500,"High","low")</f>
        <v>low</v>
      </c>
      <c r="R12715" s="37" t="str">
        <f t="shared" si="994"/>
        <v>AVERAGE</v>
      </c>
      <c r="S12715" t="s">
        <v>600</v>
      </c>
    </row>
    <row r="12716" spans="1:19" x14ac:dyDescent="0.2">
      <c r="A12716" t="s">
        <v>13327</v>
      </c>
      <c r="B12716" t="s">
        <v>75</v>
      </c>
      <c r="C12716" t="s">
        <v>597</v>
      </c>
      <c r="D12716">
        <v>4888.87</v>
      </c>
      <c r="E12716" s="37" t="str">
        <f t="shared" si="990"/>
        <v>Excellent Order</v>
      </c>
      <c r="F12716">
        <v>0.06</v>
      </c>
      <c r="G12716" s="37" t="str">
        <f t="shared" si="991"/>
        <v>Normal Discount</v>
      </c>
      <c r="H12716" s="37" t="str">
        <f t="shared" si="992"/>
        <v>Low</v>
      </c>
      <c r="I12716">
        <v>8</v>
      </c>
      <c r="J12716" t="str" cm="1">
        <f t="array" ref="J12716">_xlfn.IFS(I12716&lt;=3,"small",I12716&lt;=6,"Medium",I12716&lt;=9,"Large")</f>
        <v>Large</v>
      </c>
      <c r="K12716" s="36">
        <v>45507</v>
      </c>
      <c r="L12716" s="36">
        <v>45513</v>
      </c>
      <c r="M12716" t="s">
        <v>603</v>
      </c>
      <c r="N12716" t="s">
        <v>604</v>
      </c>
      <c r="O12716" s="37" t="str">
        <f t="shared" si="993"/>
        <v>Digital Payment</v>
      </c>
      <c r="P12716">
        <v>998.35</v>
      </c>
      <c r="Q12716" s="37" t="str">
        <f>IF(P12716&gt;500,"High","low")</f>
        <v>High</v>
      </c>
      <c r="R12716" s="37" t="str">
        <f t="shared" si="994"/>
        <v>Good</v>
      </c>
      <c r="S12716" t="s">
        <v>615</v>
      </c>
    </row>
    <row r="12717" spans="1:19" x14ac:dyDescent="0.2">
      <c r="A12717" t="s">
        <v>13328</v>
      </c>
      <c r="B12717" t="s">
        <v>83</v>
      </c>
      <c r="C12717" t="s">
        <v>597</v>
      </c>
      <c r="D12717">
        <v>2559.12</v>
      </c>
      <c r="E12717" s="37" t="str">
        <f t="shared" si="990"/>
        <v xml:space="preserve"> </v>
      </c>
      <c r="F12717">
        <v>0.17</v>
      </c>
      <c r="G12717" s="37" t="str">
        <f t="shared" si="991"/>
        <v>Normal Discount</v>
      </c>
      <c r="H12717" s="37" t="str">
        <f t="shared" si="992"/>
        <v>Low</v>
      </c>
      <c r="I12717">
        <v>5</v>
      </c>
      <c r="J12717" t="str" cm="1">
        <f t="array" ref="J12717">_xlfn.IFS(I12717&lt;=3,"small",I12717&lt;=6,"Medium",I12717&lt;=9,"Large")</f>
        <v>Medium</v>
      </c>
      <c r="K12717" s="36">
        <v>45140</v>
      </c>
      <c r="L12717" s="36">
        <v>45144</v>
      </c>
      <c r="M12717" t="s">
        <v>603</v>
      </c>
      <c r="N12717" t="s">
        <v>608</v>
      </c>
      <c r="O12717" s="37" t="str">
        <f t="shared" si="993"/>
        <v>Cash Payment</v>
      </c>
      <c r="P12717">
        <v>491.97</v>
      </c>
      <c r="Q12717" s="37" t="str">
        <f>IF(P12717&gt;500,"High","low")</f>
        <v>low</v>
      </c>
      <c r="R12717" s="37" t="str">
        <f t="shared" si="994"/>
        <v>AVERAGE</v>
      </c>
      <c r="S12717" t="s">
        <v>620</v>
      </c>
    </row>
    <row r="12718" spans="1:19" x14ac:dyDescent="0.2">
      <c r="A12718" t="s">
        <v>13329</v>
      </c>
      <c r="B12718" t="s">
        <v>75</v>
      </c>
      <c r="C12718" t="s">
        <v>614</v>
      </c>
      <c r="D12718">
        <v>1641.59</v>
      </c>
      <c r="E12718" s="37" t="str">
        <f t="shared" si="990"/>
        <v xml:space="preserve"> </v>
      </c>
      <c r="F12718">
        <v>0.03</v>
      </c>
      <c r="G12718" s="37" t="str">
        <f t="shared" si="991"/>
        <v>Normal Discount</v>
      </c>
      <c r="H12718" s="37" t="str">
        <f t="shared" si="992"/>
        <v>Low</v>
      </c>
      <c r="I12718">
        <v>1</v>
      </c>
      <c r="J12718" t="str" cm="1">
        <f t="array" ref="J12718">_xlfn.IFS(I12718&lt;=3,"small",I12718&lt;=6,"Medium",I12718&lt;=9,"Large")</f>
        <v>small</v>
      </c>
      <c r="K12718" s="36">
        <v>44938</v>
      </c>
      <c r="L12718" s="36">
        <v>44944</v>
      </c>
      <c r="M12718" t="s">
        <v>598</v>
      </c>
      <c r="N12718" t="s">
        <v>604</v>
      </c>
      <c r="O12718" s="37" t="str">
        <f t="shared" si="993"/>
        <v>Digital Payment</v>
      </c>
      <c r="P12718">
        <v>230.24</v>
      </c>
      <c r="Q12718" s="37" t="str">
        <f>IF(P12718&gt;500,"High","low")</f>
        <v>low</v>
      </c>
      <c r="R12718" s="37" t="str">
        <f t="shared" si="994"/>
        <v>AVERAGE</v>
      </c>
      <c r="S12718" t="s">
        <v>628</v>
      </c>
    </row>
    <row r="12719" spans="1:19" x14ac:dyDescent="0.2">
      <c r="A12719" t="s">
        <v>13330</v>
      </c>
      <c r="B12719" t="s">
        <v>75</v>
      </c>
      <c r="C12719" t="s">
        <v>614</v>
      </c>
      <c r="D12719">
        <v>1390.98</v>
      </c>
      <c r="E12719" s="37" t="str">
        <f t="shared" si="990"/>
        <v xml:space="preserve"> </v>
      </c>
      <c r="F12719">
        <v>0.31</v>
      </c>
      <c r="G12719" s="37" t="str">
        <f t="shared" si="991"/>
        <v>Heavy Discount</v>
      </c>
      <c r="H12719" s="37" t="str">
        <f t="shared" si="992"/>
        <v>Medium</v>
      </c>
      <c r="I12719">
        <v>8</v>
      </c>
      <c r="J12719" t="str" cm="1">
        <f t="array" ref="J12719">_xlfn.IFS(I12719&lt;=3,"small",I12719&lt;=6,"Medium",I12719&lt;=9,"Large")</f>
        <v>Large</v>
      </c>
      <c r="K12719" s="36">
        <v>45611</v>
      </c>
      <c r="L12719" s="36">
        <v>45613</v>
      </c>
      <c r="M12719" t="s">
        <v>598</v>
      </c>
      <c r="N12719" t="s">
        <v>599</v>
      </c>
      <c r="O12719" s="37" t="str">
        <f t="shared" si="993"/>
        <v>Digital Payment</v>
      </c>
      <c r="P12719">
        <v>141.76</v>
      </c>
      <c r="Q12719" s="37" t="str">
        <f>IF(P12719&gt;500,"High","low")</f>
        <v>low</v>
      </c>
      <c r="R12719" s="37" t="str">
        <f t="shared" si="994"/>
        <v>AVERAGE</v>
      </c>
      <c r="S12719" t="s">
        <v>615</v>
      </c>
    </row>
    <row r="12720" spans="1:19" x14ac:dyDescent="0.2">
      <c r="A12720" t="s">
        <v>13331</v>
      </c>
      <c r="B12720" t="s">
        <v>90</v>
      </c>
      <c r="C12720" t="s">
        <v>607</v>
      </c>
      <c r="D12720">
        <v>528.36</v>
      </c>
      <c r="E12720" s="37" t="str">
        <f t="shared" si="990"/>
        <v xml:space="preserve"> </v>
      </c>
      <c r="F12720">
        <v>0.43</v>
      </c>
      <c r="G12720" s="37" t="str">
        <f t="shared" si="991"/>
        <v>Heavy Discount</v>
      </c>
      <c r="H12720" s="37" t="str">
        <f t="shared" si="992"/>
        <v>High</v>
      </c>
      <c r="I12720">
        <v>3</v>
      </c>
      <c r="J12720" t="str" cm="1">
        <f t="array" ref="J12720">_xlfn.IFS(I12720&lt;=3,"small",I12720&lt;=6,"Medium",I12720&lt;=9,"Large")</f>
        <v>small</v>
      </c>
      <c r="K12720" s="36">
        <v>45597</v>
      </c>
      <c r="L12720" s="36">
        <v>45601</v>
      </c>
      <c r="M12720" t="s">
        <v>603</v>
      </c>
      <c r="N12720" t="s">
        <v>599</v>
      </c>
      <c r="O12720" s="37" t="str">
        <f t="shared" si="993"/>
        <v>Digital Payment</v>
      </c>
      <c r="P12720">
        <v>40.1</v>
      </c>
      <c r="Q12720" s="37" t="str">
        <f>IF(P12720&gt;500,"High","low")</f>
        <v>low</v>
      </c>
      <c r="R12720" s="37" t="str">
        <f t="shared" si="994"/>
        <v>AVERAGE</v>
      </c>
      <c r="S12720" t="s">
        <v>600</v>
      </c>
    </row>
    <row r="12721" spans="1:19" x14ac:dyDescent="0.2">
      <c r="A12721" t="s">
        <v>13332</v>
      </c>
      <c r="B12721" t="s">
        <v>90</v>
      </c>
      <c r="C12721" t="s">
        <v>617</v>
      </c>
      <c r="D12721">
        <v>2508.89</v>
      </c>
      <c r="E12721" s="37" t="str">
        <f t="shared" si="990"/>
        <v xml:space="preserve"> </v>
      </c>
      <c r="F12721">
        <v>0.4</v>
      </c>
      <c r="G12721" s="37" t="str">
        <f t="shared" si="991"/>
        <v>Heavy Discount</v>
      </c>
      <c r="H12721" s="37" t="str">
        <f t="shared" si="992"/>
        <v>Medium</v>
      </c>
      <c r="I12721">
        <v>4</v>
      </c>
      <c r="J12721" t="str" cm="1">
        <f t="array" ref="J12721">_xlfn.IFS(I12721&lt;=3,"small",I12721&lt;=6,"Medium",I12721&lt;=9,"Large")</f>
        <v>Medium</v>
      </c>
      <c r="K12721" s="36">
        <v>45076</v>
      </c>
      <c r="L12721" s="36">
        <v>45078</v>
      </c>
      <c r="M12721" t="s">
        <v>612</v>
      </c>
      <c r="N12721" t="s">
        <v>608</v>
      </c>
      <c r="O12721" s="37" t="str">
        <f t="shared" si="993"/>
        <v>Cash Payment</v>
      </c>
      <c r="P12721">
        <v>201.72</v>
      </c>
      <c r="Q12721" s="37" t="str">
        <f>IF(P12721&gt;500,"High","low")</f>
        <v>low</v>
      </c>
      <c r="R12721" s="37" t="str">
        <f t="shared" si="994"/>
        <v>AVERAGE</v>
      </c>
      <c r="S12721" t="s">
        <v>605</v>
      </c>
    </row>
    <row r="12722" spans="1:19" x14ac:dyDescent="0.2">
      <c r="A12722" t="s">
        <v>13333</v>
      </c>
      <c r="B12722" t="s">
        <v>67</v>
      </c>
      <c r="C12722" t="s">
        <v>597</v>
      </c>
      <c r="D12722">
        <v>345.69</v>
      </c>
      <c r="E12722" s="37" t="str">
        <f t="shared" si="990"/>
        <v xml:space="preserve"> </v>
      </c>
      <c r="F12722">
        <v>0.43</v>
      </c>
      <c r="G12722" s="37" t="str">
        <f t="shared" si="991"/>
        <v>Heavy Discount</v>
      </c>
      <c r="H12722" s="37" t="str">
        <f t="shared" si="992"/>
        <v>High</v>
      </c>
      <c r="I12722">
        <v>7</v>
      </c>
      <c r="J12722" t="str" cm="1">
        <f t="array" ref="J12722">_xlfn.IFS(I12722&lt;=3,"small",I12722&lt;=6,"Medium",I12722&lt;=9,"Large")</f>
        <v>Large</v>
      </c>
      <c r="K12722" s="36">
        <v>45166</v>
      </c>
      <c r="L12722" s="36">
        <v>45168</v>
      </c>
      <c r="M12722" t="s">
        <v>612</v>
      </c>
      <c r="N12722" t="s">
        <v>608</v>
      </c>
      <c r="O12722" s="37" t="str">
        <f t="shared" si="993"/>
        <v>Cash Payment</v>
      </c>
      <c r="P12722">
        <v>80.87</v>
      </c>
      <c r="Q12722" s="37" t="str">
        <f>IF(P12722&gt;500,"High","low")</f>
        <v>low</v>
      </c>
      <c r="R12722" s="37" t="str">
        <f t="shared" si="994"/>
        <v>AVERAGE</v>
      </c>
      <c r="S12722" t="s">
        <v>628</v>
      </c>
    </row>
    <row r="12723" spans="1:19" x14ac:dyDescent="0.2">
      <c r="A12723" t="s">
        <v>13334</v>
      </c>
      <c r="B12723" t="s">
        <v>75</v>
      </c>
      <c r="C12723" t="s">
        <v>614</v>
      </c>
      <c r="D12723">
        <v>2568.8000000000002</v>
      </c>
      <c r="E12723" s="37" t="str">
        <f t="shared" si="990"/>
        <v xml:space="preserve"> </v>
      </c>
      <c r="F12723">
        <v>0.09</v>
      </c>
      <c r="G12723" s="37" t="str">
        <f t="shared" si="991"/>
        <v>Normal Discount</v>
      </c>
      <c r="H12723" s="37" t="str">
        <f t="shared" si="992"/>
        <v>Low</v>
      </c>
      <c r="I12723">
        <v>9</v>
      </c>
      <c r="J12723" t="str" cm="1">
        <f t="array" ref="J12723">_xlfn.IFS(I12723&lt;=3,"small",I12723&lt;=6,"Medium",I12723&lt;=9,"Large")</f>
        <v>Large</v>
      </c>
      <c r="K12723" s="36">
        <v>44998</v>
      </c>
      <c r="L12723" s="36">
        <v>45003</v>
      </c>
      <c r="M12723" t="s">
        <v>598</v>
      </c>
      <c r="N12723" t="s">
        <v>604</v>
      </c>
      <c r="O12723" s="37" t="str">
        <f t="shared" si="993"/>
        <v>Digital Payment</v>
      </c>
      <c r="P12723">
        <v>706.6</v>
      </c>
      <c r="Q12723" s="37" t="str">
        <f>IF(P12723&gt;500,"High","low")</f>
        <v>High</v>
      </c>
      <c r="R12723" s="37" t="str">
        <f t="shared" si="994"/>
        <v>Good</v>
      </c>
      <c r="S12723" t="s">
        <v>628</v>
      </c>
    </row>
    <row r="12724" spans="1:19" x14ac:dyDescent="0.2">
      <c r="A12724" t="s">
        <v>13335</v>
      </c>
      <c r="B12724" t="s">
        <v>67</v>
      </c>
      <c r="C12724" t="s">
        <v>617</v>
      </c>
      <c r="D12724">
        <v>1337.49</v>
      </c>
      <c r="E12724" s="37" t="str">
        <f t="shared" si="990"/>
        <v xml:space="preserve"> </v>
      </c>
      <c r="F12724">
        <v>0.33</v>
      </c>
      <c r="G12724" s="37" t="str">
        <f t="shared" si="991"/>
        <v>Heavy Discount</v>
      </c>
      <c r="H12724" s="37" t="str">
        <f t="shared" si="992"/>
        <v>Medium</v>
      </c>
      <c r="I12724">
        <v>4</v>
      </c>
      <c r="J12724" t="str" cm="1">
        <f t="array" ref="J12724">_xlfn.IFS(I12724&lt;=3,"small",I12724&lt;=6,"Medium",I12724&lt;=9,"Large")</f>
        <v>Medium</v>
      </c>
      <c r="K12724" s="36">
        <v>45118</v>
      </c>
      <c r="L12724" s="36">
        <v>45122</v>
      </c>
      <c r="M12724" t="s">
        <v>603</v>
      </c>
      <c r="N12724" t="s">
        <v>604</v>
      </c>
      <c r="O12724" s="37" t="str">
        <f t="shared" si="993"/>
        <v>Digital Payment</v>
      </c>
      <c r="P12724">
        <v>254.78</v>
      </c>
      <c r="Q12724" s="37" t="str">
        <f>IF(P12724&gt;500,"High","low")</f>
        <v>low</v>
      </c>
      <c r="R12724" s="37" t="str">
        <f t="shared" si="994"/>
        <v>AVERAGE</v>
      </c>
      <c r="S12724" t="s">
        <v>609</v>
      </c>
    </row>
    <row r="12725" spans="1:19" x14ac:dyDescent="0.2">
      <c r="A12725" t="s">
        <v>13336</v>
      </c>
      <c r="B12725" t="s">
        <v>67</v>
      </c>
      <c r="C12725" t="s">
        <v>602</v>
      </c>
      <c r="D12725">
        <v>2434.52</v>
      </c>
      <c r="E12725" s="37" t="str">
        <f t="shared" si="990"/>
        <v xml:space="preserve"> </v>
      </c>
      <c r="F12725">
        <v>0.48</v>
      </c>
      <c r="G12725" s="37" t="str">
        <f t="shared" si="991"/>
        <v>Heavy Discount</v>
      </c>
      <c r="H12725" s="37" t="str">
        <f t="shared" si="992"/>
        <v>High</v>
      </c>
      <c r="I12725">
        <v>4</v>
      </c>
      <c r="J12725" t="str" cm="1">
        <f t="array" ref="J12725">_xlfn.IFS(I12725&lt;=3,"small",I12725&lt;=6,"Medium",I12725&lt;=9,"Large")</f>
        <v>Medium</v>
      </c>
      <c r="K12725" s="36">
        <v>45155</v>
      </c>
      <c r="L12725" s="36">
        <v>45162</v>
      </c>
      <c r="M12725" t="s">
        <v>598</v>
      </c>
      <c r="N12725" t="s">
        <v>608</v>
      </c>
      <c r="O12725" s="37" t="str">
        <f t="shared" si="993"/>
        <v>Cash Payment</v>
      </c>
      <c r="P12725">
        <v>514.77</v>
      </c>
      <c r="Q12725" s="37" t="str">
        <f>IF(P12725&gt;500,"High","low")</f>
        <v>High</v>
      </c>
      <c r="R12725" s="37" t="str">
        <f t="shared" si="994"/>
        <v>Good</v>
      </c>
      <c r="S12725" t="s">
        <v>605</v>
      </c>
    </row>
    <row r="12726" spans="1:19" x14ac:dyDescent="0.2">
      <c r="A12726" t="s">
        <v>13337</v>
      </c>
      <c r="B12726" t="s">
        <v>75</v>
      </c>
      <c r="C12726" t="s">
        <v>617</v>
      </c>
      <c r="D12726">
        <v>2150.08</v>
      </c>
      <c r="E12726" s="37" t="str">
        <f t="shared" si="990"/>
        <v xml:space="preserve"> </v>
      </c>
      <c r="F12726">
        <v>0.39</v>
      </c>
      <c r="G12726" s="37" t="str">
        <f t="shared" si="991"/>
        <v>Heavy Discount</v>
      </c>
      <c r="H12726" s="37" t="str">
        <f t="shared" si="992"/>
        <v>Medium</v>
      </c>
      <c r="I12726">
        <v>6</v>
      </c>
      <c r="J12726" t="str" cm="1">
        <f t="array" ref="J12726">_xlfn.IFS(I12726&lt;=3,"small",I12726&lt;=6,"Medium",I12726&lt;=9,"Large")</f>
        <v>Medium</v>
      </c>
      <c r="K12726" s="36">
        <v>45210</v>
      </c>
      <c r="L12726" s="36">
        <v>45216</v>
      </c>
      <c r="M12726" t="s">
        <v>598</v>
      </c>
      <c r="N12726" t="s">
        <v>604</v>
      </c>
      <c r="O12726" s="37" t="str">
        <f t="shared" si="993"/>
        <v>Digital Payment</v>
      </c>
      <c r="P12726">
        <v>630.6</v>
      </c>
      <c r="Q12726" s="37" t="str">
        <f>IF(P12726&gt;500,"High","low")</f>
        <v>High</v>
      </c>
      <c r="R12726" s="37" t="str">
        <f t="shared" si="994"/>
        <v>Good</v>
      </c>
      <c r="S12726" t="s">
        <v>605</v>
      </c>
    </row>
    <row r="12727" spans="1:19" x14ac:dyDescent="0.2">
      <c r="A12727" t="s">
        <v>13338</v>
      </c>
      <c r="B12727" t="s">
        <v>83</v>
      </c>
      <c r="C12727" t="s">
        <v>597</v>
      </c>
      <c r="D12727">
        <v>1595.06</v>
      </c>
      <c r="E12727" s="37" t="str">
        <f t="shared" si="990"/>
        <v xml:space="preserve"> </v>
      </c>
      <c r="F12727">
        <v>0</v>
      </c>
      <c r="G12727" s="37" t="str">
        <f t="shared" si="991"/>
        <v>Normal Discount</v>
      </c>
      <c r="H12727" s="37" t="str">
        <f t="shared" si="992"/>
        <v>Low</v>
      </c>
      <c r="I12727">
        <v>9</v>
      </c>
      <c r="J12727" t="str" cm="1">
        <f t="array" ref="J12727">_xlfn.IFS(I12727&lt;=3,"small",I12727&lt;=6,"Medium",I12727&lt;=9,"Large")</f>
        <v>Large</v>
      </c>
      <c r="K12727" s="36">
        <v>45385</v>
      </c>
      <c r="L12727" s="36">
        <v>45390</v>
      </c>
      <c r="M12727" t="s">
        <v>603</v>
      </c>
      <c r="N12727" t="s">
        <v>608</v>
      </c>
      <c r="O12727" s="37" t="str">
        <f t="shared" si="993"/>
        <v>Cash Payment</v>
      </c>
      <c r="P12727">
        <v>85.99</v>
      </c>
      <c r="Q12727" s="37" t="str">
        <f>IF(P12727&gt;500,"High","low")</f>
        <v>low</v>
      </c>
      <c r="R12727" s="37" t="str">
        <f t="shared" si="994"/>
        <v>AVERAGE</v>
      </c>
      <c r="S12727" t="s">
        <v>620</v>
      </c>
    </row>
    <row r="12728" spans="1:19" x14ac:dyDescent="0.2">
      <c r="A12728" t="s">
        <v>13339</v>
      </c>
      <c r="B12728" t="s">
        <v>75</v>
      </c>
      <c r="C12728" t="s">
        <v>607</v>
      </c>
      <c r="D12728">
        <v>2298.33</v>
      </c>
      <c r="E12728" s="37" t="str">
        <f t="shared" si="990"/>
        <v xml:space="preserve"> </v>
      </c>
      <c r="F12728">
        <v>0.44</v>
      </c>
      <c r="G12728" s="37" t="str">
        <f t="shared" si="991"/>
        <v>Heavy Discount</v>
      </c>
      <c r="H12728" s="37" t="str">
        <f t="shared" si="992"/>
        <v>High</v>
      </c>
      <c r="I12728">
        <v>4</v>
      </c>
      <c r="J12728" t="str" cm="1">
        <f t="array" ref="J12728">_xlfn.IFS(I12728&lt;=3,"small",I12728&lt;=6,"Medium",I12728&lt;=9,"Large")</f>
        <v>Medium</v>
      </c>
      <c r="K12728" s="36">
        <v>45257</v>
      </c>
      <c r="L12728" s="36">
        <v>45263</v>
      </c>
      <c r="M12728" t="s">
        <v>612</v>
      </c>
      <c r="N12728" t="s">
        <v>599</v>
      </c>
      <c r="O12728" s="37" t="str">
        <f t="shared" si="993"/>
        <v>Digital Payment</v>
      </c>
      <c r="P12728">
        <v>204.51</v>
      </c>
      <c r="Q12728" s="37" t="str">
        <f>IF(P12728&gt;500,"High","low")</f>
        <v>low</v>
      </c>
      <c r="R12728" s="37" t="str">
        <f t="shared" si="994"/>
        <v>AVERAGE</v>
      </c>
      <c r="S12728" t="s">
        <v>615</v>
      </c>
    </row>
    <row r="12729" spans="1:19" x14ac:dyDescent="0.2">
      <c r="A12729" t="s">
        <v>13340</v>
      </c>
      <c r="B12729" t="s">
        <v>90</v>
      </c>
      <c r="C12729" t="s">
        <v>597</v>
      </c>
      <c r="D12729">
        <v>2422.77</v>
      </c>
      <c r="E12729" s="37" t="str">
        <f t="shared" si="990"/>
        <v xml:space="preserve"> </v>
      </c>
      <c r="F12729">
        <v>0.35</v>
      </c>
      <c r="G12729" s="37" t="str">
        <f t="shared" si="991"/>
        <v>Heavy Discount</v>
      </c>
      <c r="H12729" s="37" t="str">
        <f t="shared" si="992"/>
        <v>Medium</v>
      </c>
      <c r="I12729">
        <v>8</v>
      </c>
      <c r="J12729" t="str" cm="1">
        <f t="array" ref="J12729">_xlfn.IFS(I12729&lt;=3,"small",I12729&lt;=6,"Medium",I12729&lt;=9,"Large")</f>
        <v>Large</v>
      </c>
      <c r="K12729" s="36">
        <v>45397</v>
      </c>
      <c r="L12729" s="36">
        <v>45401</v>
      </c>
      <c r="M12729" t="s">
        <v>598</v>
      </c>
      <c r="N12729" t="s">
        <v>599</v>
      </c>
      <c r="O12729" s="37" t="str">
        <f t="shared" si="993"/>
        <v>Digital Payment</v>
      </c>
      <c r="P12729">
        <v>405.92</v>
      </c>
      <c r="Q12729" s="37" t="str">
        <f>IF(P12729&gt;500,"High","low")</f>
        <v>low</v>
      </c>
      <c r="R12729" s="37" t="str">
        <f t="shared" si="994"/>
        <v>AVERAGE</v>
      </c>
      <c r="S12729" t="s">
        <v>620</v>
      </c>
    </row>
    <row r="12730" spans="1:19" x14ac:dyDescent="0.2">
      <c r="A12730" t="s">
        <v>13341</v>
      </c>
      <c r="B12730" t="s">
        <v>75</v>
      </c>
      <c r="C12730" t="s">
        <v>614</v>
      </c>
      <c r="D12730">
        <v>4185.09</v>
      </c>
      <c r="E12730" s="37" t="str">
        <f t="shared" si="990"/>
        <v xml:space="preserve"> </v>
      </c>
      <c r="F12730">
        <v>0.06</v>
      </c>
      <c r="G12730" s="37" t="str">
        <f t="shared" si="991"/>
        <v>Normal Discount</v>
      </c>
      <c r="H12730" s="37" t="str">
        <f t="shared" si="992"/>
        <v>Low</v>
      </c>
      <c r="I12730">
        <v>3</v>
      </c>
      <c r="J12730" t="str" cm="1">
        <f t="array" ref="J12730">_xlfn.IFS(I12730&lt;=3,"small",I12730&lt;=6,"Medium",I12730&lt;=9,"Large")</f>
        <v>small</v>
      </c>
      <c r="K12730" s="36">
        <v>45160</v>
      </c>
      <c r="L12730" s="36">
        <v>45163</v>
      </c>
      <c r="M12730" t="s">
        <v>603</v>
      </c>
      <c r="N12730" t="s">
        <v>599</v>
      </c>
      <c r="O12730" s="37" t="str">
        <f t="shared" si="993"/>
        <v>Digital Payment</v>
      </c>
      <c r="P12730">
        <v>301.33</v>
      </c>
      <c r="Q12730" s="37" t="str">
        <f>IF(P12730&gt;500,"High","low")</f>
        <v>low</v>
      </c>
      <c r="R12730" s="37" t="str">
        <f t="shared" si="994"/>
        <v>AVERAGE</v>
      </c>
      <c r="S12730" t="s">
        <v>600</v>
      </c>
    </row>
    <row r="12731" spans="1:19" x14ac:dyDescent="0.2">
      <c r="A12731" t="s">
        <v>13342</v>
      </c>
      <c r="B12731" t="s">
        <v>83</v>
      </c>
      <c r="C12731" t="s">
        <v>614</v>
      </c>
      <c r="D12731">
        <v>3362.34</v>
      </c>
      <c r="E12731" s="37" t="str">
        <f t="shared" si="990"/>
        <v xml:space="preserve"> </v>
      </c>
      <c r="F12731">
        <v>0.16</v>
      </c>
      <c r="G12731" s="37" t="str">
        <f t="shared" si="991"/>
        <v>Normal Discount</v>
      </c>
      <c r="H12731" s="37" t="str">
        <f t="shared" si="992"/>
        <v>Low</v>
      </c>
      <c r="I12731">
        <v>2</v>
      </c>
      <c r="J12731" t="str" cm="1">
        <f t="array" ref="J12731">_xlfn.IFS(I12731&lt;=3,"small",I12731&lt;=6,"Medium",I12731&lt;=9,"Large")</f>
        <v>small</v>
      </c>
      <c r="K12731" s="36">
        <v>45259</v>
      </c>
      <c r="L12731" s="36">
        <v>45265</v>
      </c>
      <c r="M12731" t="s">
        <v>603</v>
      </c>
      <c r="N12731" t="s">
        <v>604</v>
      </c>
      <c r="O12731" s="37" t="str">
        <f t="shared" si="993"/>
        <v>Digital Payment</v>
      </c>
      <c r="P12731">
        <v>388.24</v>
      </c>
      <c r="Q12731" s="37" t="str">
        <f>IF(P12731&gt;500,"High","low")</f>
        <v>low</v>
      </c>
      <c r="R12731" s="37" t="str">
        <f t="shared" si="994"/>
        <v>AVERAGE</v>
      </c>
      <c r="S12731" t="s">
        <v>609</v>
      </c>
    </row>
    <row r="12732" spans="1:19" x14ac:dyDescent="0.2">
      <c r="A12732" t="s">
        <v>13343</v>
      </c>
      <c r="B12732" t="s">
        <v>67</v>
      </c>
      <c r="C12732" t="s">
        <v>617</v>
      </c>
      <c r="D12732">
        <v>2222.4699999999998</v>
      </c>
      <c r="E12732" s="37" t="str">
        <f t="shared" si="990"/>
        <v xml:space="preserve"> </v>
      </c>
      <c r="F12732">
        <v>0.06</v>
      </c>
      <c r="G12732" s="37" t="str">
        <f t="shared" si="991"/>
        <v>Normal Discount</v>
      </c>
      <c r="H12732" s="37" t="str">
        <f t="shared" si="992"/>
        <v>Low</v>
      </c>
      <c r="I12732">
        <v>4</v>
      </c>
      <c r="J12732" t="str" cm="1">
        <f t="array" ref="J12732">_xlfn.IFS(I12732&lt;=3,"small",I12732&lt;=6,"Medium",I12732&lt;=9,"Large")</f>
        <v>Medium</v>
      </c>
      <c r="K12732" s="36">
        <v>44969</v>
      </c>
      <c r="L12732" s="36">
        <v>44970</v>
      </c>
      <c r="M12732" t="s">
        <v>603</v>
      </c>
      <c r="N12732" t="s">
        <v>608</v>
      </c>
      <c r="O12732" s="37" t="str">
        <f t="shared" si="993"/>
        <v>Cash Payment</v>
      </c>
      <c r="P12732">
        <v>326.55</v>
      </c>
      <c r="Q12732" s="37" t="str">
        <f>IF(P12732&gt;500,"High","low")</f>
        <v>low</v>
      </c>
      <c r="R12732" s="37" t="str">
        <f t="shared" si="994"/>
        <v>AVERAGE</v>
      </c>
      <c r="S12732" t="s">
        <v>605</v>
      </c>
    </row>
    <row r="12733" spans="1:19" x14ac:dyDescent="0.2">
      <c r="A12733" t="s">
        <v>13344</v>
      </c>
      <c r="B12733" t="s">
        <v>67</v>
      </c>
      <c r="C12733" t="s">
        <v>597</v>
      </c>
      <c r="D12733">
        <v>4535.6899999999996</v>
      </c>
      <c r="E12733" s="37" t="str">
        <f t="shared" si="990"/>
        <v>Excellent Order</v>
      </c>
      <c r="F12733">
        <v>0.36</v>
      </c>
      <c r="G12733" s="37" t="str">
        <f t="shared" si="991"/>
        <v>Heavy Discount</v>
      </c>
      <c r="H12733" s="37" t="str">
        <f t="shared" si="992"/>
        <v>Medium</v>
      </c>
      <c r="I12733">
        <v>4</v>
      </c>
      <c r="J12733" t="str" cm="1">
        <f t="array" ref="J12733">_xlfn.IFS(I12733&lt;=3,"small",I12733&lt;=6,"Medium",I12733&lt;=9,"Large")</f>
        <v>Medium</v>
      </c>
      <c r="K12733" s="36">
        <v>45337</v>
      </c>
      <c r="L12733" s="36">
        <v>45341</v>
      </c>
      <c r="M12733" t="s">
        <v>612</v>
      </c>
      <c r="N12733" t="s">
        <v>599</v>
      </c>
      <c r="O12733" s="37" t="str">
        <f t="shared" si="993"/>
        <v>Digital Payment</v>
      </c>
      <c r="P12733">
        <v>1027.4100000000001</v>
      </c>
      <c r="Q12733" s="37" t="str">
        <f>IF(P12733&gt;500,"High","low")</f>
        <v>High</v>
      </c>
      <c r="R12733" s="37" t="str">
        <f t="shared" si="994"/>
        <v>Excellent</v>
      </c>
      <c r="S12733" t="s">
        <v>609</v>
      </c>
    </row>
    <row r="12734" spans="1:19" x14ac:dyDescent="0.2">
      <c r="A12734" t="s">
        <v>13345</v>
      </c>
      <c r="B12734" t="s">
        <v>90</v>
      </c>
      <c r="C12734" t="s">
        <v>614</v>
      </c>
      <c r="D12734">
        <v>3803.13</v>
      </c>
      <c r="E12734" s="37" t="str">
        <f t="shared" si="990"/>
        <v xml:space="preserve"> </v>
      </c>
      <c r="F12734">
        <v>0</v>
      </c>
      <c r="G12734" s="37" t="str">
        <f t="shared" si="991"/>
        <v>Normal Discount</v>
      </c>
      <c r="H12734" s="37" t="str">
        <f t="shared" si="992"/>
        <v>Low</v>
      </c>
      <c r="I12734">
        <v>7</v>
      </c>
      <c r="J12734" t="str" cm="1">
        <f t="array" ref="J12734">_xlfn.IFS(I12734&lt;=3,"small",I12734&lt;=6,"Medium",I12734&lt;=9,"Large")</f>
        <v>Large</v>
      </c>
      <c r="K12734" s="36">
        <v>45023</v>
      </c>
      <c r="L12734" s="36">
        <v>45027</v>
      </c>
      <c r="M12734" t="s">
        <v>603</v>
      </c>
      <c r="N12734" t="s">
        <v>604</v>
      </c>
      <c r="O12734" s="37" t="str">
        <f t="shared" si="993"/>
        <v>Digital Payment</v>
      </c>
      <c r="P12734">
        <v>315.77</v>
      </c>
      <c r="Q12734" s="37" t="str">
        <f>IF(P12734&gt;500,"High","low")</f>
        <v>low</v>
      </c>
      <c r="R12734" s="37" t="str">
        <f t="shared" si="994"/>
        <v>AVERAGE</v>
      </c>
      <c r="S12734" t="s">
        <v>609</v>
      </c>
    </row>
    <row r="12735" spans="1:19" x14ac:dyDescent="0.2">
      <c r="A12735" t="s">
        <v>13346</v>
      </c>
      <c r="B12735" t="s">
        <v>90</v>
      </c>
      <c r="C12735" t="s">
        <v>602</v>
      </c>
      <c r="D12735">
        <v>471.01</v>
      </c>
      <c r="E12735" s="37" t="str">
        <f t="shared" si="990"/>
        <v xml:space="preserve"> </v>
      </c>
      <c r="F12735">
        <v>0.23</v>
      </c>
      <c r="G12735" s="37" t="str">
        <f t="shared" si="991"/>
        <v>Normal Discount</v>
      </c>
      <c r="H12735" s="37" t="str">
        <f t="shared" si="992"/>
        <v>Medium</v>
      </c>
      <c r="I12735">
        <v>7</v>
      </c>
      <c r="J12735" t="str" cm="1">
        <f t="array" ref="J12735">_xlfn.IFS(I12735&lt;=3,"small",I12735&lt;=6,"Medium",I12735&lt;=9,"Large")</f>
        <v>Large</v>
      </c>
      <c r="K12735" s="36">
        <v>45299</v>
      </c>
      <c r="L12735" s="36">
        <v>45306</v>
      </c>
      <c r="M12735" t="s">
        <v>598</v>
      </c>
      <c r="N12735" t="s">
        <v>608</v>
      </c>
      <c r="O12735" s="37" t="str">
        <f t="shared" si="993"/>
        <v>Cash Payment</v>
      </c>
      <c r="P12735">
        <v>94.4</v>
      </c>
      <c r="Q12735" s="37" t="str">
        <f>IF(P12735&gt;500,"High","low")</f>
        <v>low</v>
      </c>
      <c r="R12735" s="37" t="str">
        <f t="shared" si="994"/>
        <v>AVERAGE</v>
      </c>
      <c r="S12735" t="s">
        <v>615</v>
      </c>
    </row>
    <row r="12736" spans="1:19" x14ac:dyDescent="0.2">
      <c r="A12736" t="s">
        <v>13347</v>
      </c>
      <c r="B12736" t="s">
        <v>90</v>
      </c>
      <c r="C12736" t="s">
        <v>602</v>
      </c>
      <c r="D12736">
        <v>853.35</v>
      </c>
      <c r="E12736" s="37" t="str">
        <f t="shared" si="990"/>
        <v xml:space="preserve"> </v>
      </c>
      <c r="F12736">
        <v>0.5</v>
      </c>
      <c r="G12736" s="37" t="str">
        <f t="shared" si="991"/>
        <v>Heavy Discount</v>
      </c>
      <c r="H12736" s="37" t="str">
        <f t="shared" si="992"/>
        <v>High</v>
      </c>
      <c r="I12736">
        <v>9</v>
      </c>
      <c r="J12736" t="str" cm="1">
        <f t="array" ref="J12736">_xlfn.IFS(I12736&lt;=3,"small",I12736&lt;=6,"Medium",I12736&lt;=9,"Large")</f>
        <v>Large</v>
      </c>
      <c r="K12736" s="36">
        <v>45528</v>
      </c>
      <c r="L12736" s="36">
        <v>45531</v>
      </c>
      <c r="M12736" t="s">
        <v>598</v>
      </c>
      <c r="N12736" t="s">
        <v>604</v>
      </c>
      <c r="O12736" s="37" t="str">
        <f t="shared" si="993"/>
        <v>Digital Payment</v>
      </c>
      <c r="P12736">
        <v>53.72</v>
      </c>
      <c r="Q12736" s="37" t="str">
        <f>IF(P12736&gt;500,"High","low")</f>
        <v>low</v>
      </c>
      <c r="R12736" s="37" t="str">
        <f t="shared" si="994"/>
        <v>AVERAGE</v>
      </c>
      <c r="S12736" t="s">
        <v>620</v>
      </c>
    </row>
    <row r="12737" spans="1:19" x14ac:dyDescent="0.2">
      <c r="A12737" t="s">
        <v>13348</v>
      </c>
      <c r="B12737" t="s">
        <v>67</v>
      </c>
      <c r="C12737" t="s">
        <v>607</v>
      </c>
      <c r="D12737">
        <v>500.17</v>
      </c>
      <c r="E12737" s="37" t="str">
        <f t="shared" si="990"/>
        <v xml:space="preserve"> </v>
      </c>
      <c r="F12737">
        <v>0.43</v>
      </c>
      <c r="G12737" s="37" t="str">
        <f t="shared" si="991"/>
        <v>Heavy Discount</v>
      </c>
      <c r="H12737" s="37" t="str">
        <f t="shared" si="992"/>
        <v>High</v>
      </c>
      <c r="I12737">
        <v>2</v>
      </c>
      <c r="J12737" t="str" cm="1">
        <f t="array" ref="J12737">_xlfn.IFS(I12737&lt;=3,"small",I12737&lt;=6,"Medium",I12737&lt;=9,"Large")</f>
        <v>small</v>
      </c>
      <c r="K12737" s="36">
        <v>45161</v>
      </c>
      <c r="L12737" s="36">
        <v>45168</v>
      </c>
      <c r="M12737" t="s">
        <v>603</v>
      </c>
      <c r="N12737" t="s">
        <v>599</v>
      </c>
      <c r="O12737" s="37" t="str">
        <f t="shared" si="993"/>
        <v>Digital Payment</v>
      </c>
      <c r="P12737">
        <v>80.930000000000007</v>
      </c>
      <c r="Q12737" s="37" t="str">
        <f>IF(P12737&gt;500,"High","low")</f>
        <v>low</v>
      </c>
      <c r="R12737" s="37" t="str">
        <f t="shared" si="994"/>
        <v>AVERAGE</v>
      </c>
      <c r="S12737" t="s">
        <v>600</v>
      </c>
    </row>
    <row r="12738" spans="1:19" x14ac:dyDescent="0.2">
      <c r="A12738" t="s">
        <v>13349</v>
      </c>
      <c r="B12738" t="s">
        <v>90</v>
      </c>
      <c r="C12738" t="s">
        <v>617</v>
      </c>
      <c r="D12738">
        <v>1662.43</v>
      </c>
      <c r="E12738" s="37" t="str">
        <f t="shared" si="990"/>
        <v xml:space="preserve"> </v>
      </c>
      <c r="F12738">
        <v>0.28999999999999998</v>
      </c>
      <c r="G12738" s="37" t="str">
        <f t="shared" si="991"/>
        <v>Normal Discount</v>
      </c>
      <c r="H12738" s="37" t="str">
        <f t="shared" si="992"/>
        <v>Medium</v>
      </c>
      <c r="I12738">
        <v>4</v>
      </c>
      <c r="J12738" t="str" cm="1">
        <f t="array" ref="J12738">_xlfn.IFS(I12738&lt;=3,"small",I12738&lt;=6,"Medium",I12738&lt;=9,"Large")</f>
        <v>Medium</v>
      </c>
      <c r="K12738" s="36">
        <v>45346</v>
      </c>
      <c r="L12738" s="36">
        <v>45349</v>
      </c>
      <c r="M12738" t="s">
        <v>612</v>
      </c>
      <c r="N12738" t="s">
        <v>608</v>
      </c>
      <c r="O12738" s="37" t="str">
        <f t="shared" si="993"/>
        <v>Cash Payment</v>
      </c>
      <c r="P12738">
        <v>124.14</v>
      </c>
      <c r="Q12738" s="37" t="str">
        <f>IF(P12738&gt;500,"High","low")</f>
        <v>low</v>
      </c>
      <c r="R12738" s="37" t="str">
        <f t="shared" si="994"/>
        <v>AVERAGE</v>
      </c>
      <c r="S12738" t="s">
        <v>609</v>
      </c>
    </row>
    <row r="12739" spans="1:19" x14ac:dyDescent="0.2">
      <c r="A12739" t="s">
        <v>13350</v>
      </c>
      <c r="B12739" t="s">
        <v>75</v>
      </c>
      <c r="C12739" t="s">
        <v>614</v>
      </c>
      <c r="D12739">
        <v>2234.67</v>
      </c>
      <c r="E12739" s="37" t="str">
        <f t="shared" ref="E12739:E12802" si="995">IF(AND(D12739&gt;4000,P12739&gt;800),"Excellent Order"," ")</f>
        <v xml:space="preserve"> </v>
      </c>
      <c r="F12739">
        <v>0.35</v>
      </c>
      <c r="G12739" s="37" t="str">
        <f t="shared" ref="G12739:G12802" si="996">IF(F12739&gt;30%,"Heavy Discount","Normal Discount")</f>
        <v>Heavy Discount</v>
      </c>
      <c r="H12739" s="37" t="str">
        <f t="shared" ref="H12739:H12802" si="997">IF(F12739&gt;0.4,"High",IF(F12739&gt;=0.2,"Medium","Low"))</f>
        <v>Medium</v>
      </c>
      <c r="I12739">
        <v>3</v>
      </c>
      <c r="J12739" t="str" cm="1">
        <f t="array" ref="J12739">_xlfn.IFS(I12739&lt;=3,"small",I12739&lt;=6,"Medium",I12739&lt;=9,"Large")</f>
        <v>small</v>
      </c>
      <c r="K12739" s="36">
        <v>45023</v>
      </c>
      <c r="L12739" s="36">
        <v>45030</v>
      </c>
      <c r="M12739" t="s">
        <v>612</v>
      </c>
      <c r="N12739" t="s">
        <v>608</v>
      </c>
      <c r="O12739" s="37" t="str">
        <f t="shared" ref="O12739:O12802" si="998">IF(OR(N12739="Card",N12739="UPI"),"Digital Payment","Cash Payment")</f>
        <v>Cash Payment</v>
      </c>
      <c r="P12739">
        <v>390.09</v>
      </c>
      <c r="Q12739" s="37" t="str">
        <f>IF(P12739&gt;500,"High","low")</f>
        <v>low</v>
      </c>
      <c r="R12739" s="37" t="str">
        <f t="shared" ref="R12739:R12802" si="999">IF(P12739&gt;1000,"Excellent",IF(P12739&gt;=500,"Good","AVERAGE"))</f>
        <v>AVERAGE</v>
      </c>
      <c r="S12739" t="s">
        <v>615</v>
      </c>
    </row>
    <row r="12740" spans="1:19" x14ac:dyDescent="0.2">
      <c r="A12740" t="s">
        <v>13351</v>
      </c>
      <c r="B12740" t="s">
        <v>67</v>
      </c>
      <c r="C12740" t="s">
        <v>607</v>
      </c>
      <c r="D12740">
        <v>2570.81</v>
      </c>
      <c r="E12740" s="37" t="str">
        <f t="shared" si="995"/>
        <v xml:space="preserve"> </v>
      </c>
      <c r="F12740">
        <v>0.3</v>
      </c>
      <c r="G12740" s="37" t="str">
        <f t="shared" si="996"/>
        <v>Normal Discount</v>
      </c>
      <c r="H12740" s="37" t="str">
        <f t="shared" si="997"/>
        <v>Medium</v>
      </c>
      <c r="I12740">
        <v>3</v>
      </c>
      <c r="J12740" t="str" cm="1">
        <f t="array" ref="J12740">_xlfn.IFS(I12740&lt;=3,"small",I12740&lt;=6,"Medium",I12740&lt;=9,"Large")</f>
        <v>small</v>
      </c>
      <c r="K12740" s="36">
        <v>45220</v>
      </c>
      <c r="L12740" s="36">
        <v>45222</v>
      </c>
      <c r="M12740" t="s">
        <v>603</v>
      </c>
      <c r="N12740" t="s">
        <v>604</v>
      </c>
      <c r="O12740" s="37" t="str">
        <f t="shared" si="998"/>
        <v>Digital Payment</v>
      </c>
      <c r="P12740">
        <v>395.59</v>
      </c>
      <c r="Q12740" s="37" t="str">
        <f>IF(P12740&gt;500,"High","low")</f>
        <v>low</v>
      </c>
      <c r="R12740" s="37" t="str">
        <f t="shared" si="999"/>
        <v>AVERAGE</v>
      </c>
      <c r="S12740" t="s">
        <v>600</v>
      </c>
    </row>
    <row r="12741" spans="1:19" x14ac:dyDescent="0.2">
      <c r="A12741" t="s">
        <v>13352</v>
      </c>
      <c r="B12741" t="s">
        <v>83</v>
      </c>
      <c r="C12741" t="s">
        <v>602</v>
      </c>
      <c r="D12741">
        <v>4271.92</v>
      </c>
      <c r="E12741" s="37" t="str">
        <f t="shared" si="995"/>
        <v xml:space="preserve"> </v>
      </c>
      <c r="F12741">
        <v>0.41</v>
      </c>
      <c r="G12741" s="37" t="str">
        <f t="shared" si="996"/>
        <v>Heavy Discount</v>
      </c>
      <c r="H12741" s="37" t="str">
        <f t="shared" si="997"/>
        <v>High</v>
      </c>
      <c r="I12741">
        <v>7</v>
      </c>
      <c r="J12741" t="str" cm="1">
        <f t="array" ref="J12741">_xlfn.IFS(I12741&lt;=3,"small",I12741&lt;=6,"Medium",I12741&lt;=9,"Large")</f>
        <v>Large</v>
      </c>
      <c r="K12741" s="36">
        <v>45512</v>
      </c>
      <c r="L12741" s="36">
        <v>45513</v>
      </c>
      <c r="M12741" t="s">
        <v>612</v>
      </c>
      <c r="N12741" t="s">
        <v>608</v>
      </c>
      <c r="O12741" s="37" t="str">
        <f t="shared" si="998"/>
        <v>Cash Payment</v>
      </c>
      <c r="P12741">
        <v>618.98</v>
      </c>
      <c r="Q12741" s="37" t="str">
        <f>IF(P12741&gt;500,"High","low")</f>
        <v>High</v>
      </c>
      <c r="R12741" s="37" t="str">
        <f t="shared" si="999"/>
        <v>Good</v>
      </c>
      <c r="S12741" t="s">
        <v>628</v>
      </c>
    </row>
    <row r="12742" spans="1:19" x14ac:dyDescent="0.2">
      <c r="A12742" t="s">
        <v>13353</v>
      </c>
      <c r="B12742" t="s">
        <v>67</v>
      </c>
      <c r="C12742" t="s">
        <v>607</v>
      </c>
      <c r="D12742">
        <v>187.99</v>
      </c>
      <c r="E12742" s="37" t="str">
        <f t="shared" si="995"/>
        <v xml:space="preserve"> </v>
      </c>
      <c r="F12742">
        <v>0.44</v>
      </c>
      <c r="G12742" s="37" t="str">
        <f t="shared" si="996"/>
        <v>Heavy Discount</v>
      </c>
      <c r="H12742" s="37" t="str">
        <f t="shared" si="997"/>
        <v>High</v>
      </c>
      <c r="I12742">
        <v>6</v>
      </c>
      <c r="J12742" t="str" cm="1">
        <f t="array" ref="J12742">_xlfn.IFS(I12742&lt;=3,"small",I12742&lt;=6,"Medium",I12742&lt;=9,"Large")</f>
        <v>Medium</v>
      </c>
      <c r="K12742" s="36">
        <v>45178</v>
      </c>
      <c r="L12742" s="36">
        <v>45179</v>
      </c>
      <c r="M12742" t="s">
        <v>603</v>
      </c>
      <c r="N12742" t="s">
        <v>608</v>
      </c>
      <c r="O12742" s="37" t="str">
        <f t="shared" si="998"/>
        <v>Cash Payment</v>
      </c>
      <c r="P12742">
        <v>47.58</v>
      </c>
      <c r="Q12742" s="37" t="str">
        <f>IF(P12742&gt;500,"High","low")</f>
        <v>low</v>
      </c>
      <c r="R12742" s="37" t="str">
        <f t="shared" si="999"/>
        <v>AVERAGE</v>
      </c>
      <c r="S12742" t="s">
        <v>628</v>
      </c>
    </row>
    <row r="12743" spans="1:19" x14ac:dyDescent="0.2">
      <c r="A12743" t="s">
        <v>13354</v>
      </c>
      <c r="B12743" t="s">
        <v>75</v>
      </c>
      <c r="C12743" t="s">
        <v>607</v>
      </c>
      <c r="D12743">
        <v>2198.61</v>
      </c>
      <c r="E12743" s="37" t="str">
        <f t="shared" si="995"/>
        <v xml:space="preserve"> </v>
      </c>
      <c r="F12743">
        <v>0.38</v>
      </c>
      <c r="G12743" s="37" t="str">
        <f t="shared" si="996"/>
        <v>Heavy Discount</v>
      </c>
      <c r="H12743" s="37" t="str">
        <f t="shared" si="997"/>
        <v>Medium</v>
      </c>
      <c r="I12743">
        <v>3</v>
      </c>
      <c r="J12743" t="str" cm="1">
        <f t="array" ref="J12743">_xlfn.IFS(I12743&lt;=3,"small",I12743&lt;=6,"Medium",I12743&lt;=9,"Large")</f>
        <v>small</v>
      </c>
      <c r="K12743" s="36">
        <v>45294</v>
      </c>
      <c r="L12743" s="36">
        <v>45295</v>
      </c>
      <c r="M12743" t="s">
        <v>612</v>
      </c>
      <c r="N12743" t="s">
        <v>604</v>
      </c>
      <c r="O12743" s="37" t="str">
        <f t="shared" si="998"/>
        <v>Digital Payment</v>
      </c>
      <c r="P12743">
        <v>393.69</v>
      </c>
      <c r="Q12743" s="37" t="str">
        <f>IF(P12743&gt;500,"High","low")</f>
        <v>low</v>
      </c>
      <c r="R12743" s="37" t="str">
        <f t="shared" si="999"/>
        <v>AVERAGE</v>
      </c>
      <c r="S12743" t="s">
        <v>605</v>
      </c>
    </row>
    <row r="12744" spans="1:19" x14ac:dyDescent="0.2">
      <c r="A12744" t="s">
        <v>13355</v>
      </c>
      <c r="B12744" t="s">
        <v>75</v>
      </c>
      <c r="C12744" t="s">
        <v>614</v>
      </c>
      <c r="D12744">
        <v>2113.89</v>
      </c>
      <c r="E12744" s="37" t="str">
        <f t="shared" si="995"/>
        <v xml:space="preserve"> </v>
      </c>
      <c r="F12744">
        <v>0.09</v>
      </c>
      <c r="G12744" s="37" t="str">
        <f t="shared" si="996"/>
        <v>Normal Discount</v>
      </c>
      <c r="H12744" s="37" t="str">
        <f t="shared" si="997"/>
        <v>Low</v>
      </c>
      <c r="I12744">
        <v>8</v>
      </c>
      <c r="J12744" t="str" cm="1">
        <f t="array" ref="J12744">_xlfn.IFS(I12744&lt;=3,"small",I12744&lt;=6,"Medium",I12744&lt;=9,"Large")</f>
        <v>Large</v>
      </c>
      <c r="K12744" s="36">
        <v>44967</v>
      </c>
      <c r="L12744" s="36">
        <v>44973</v>
      </c>
      <c r="M12744" t="s">
        <v>612</v>
      </c>
      <c r="N12744" t="s">
        <v>608</v>
      </c>
      <c r="O12744" s="37" t="str">
        <f t="shared" si="998"/>
        <v>Cash Payment</v>
      </c>
      <c r="P12744">
        <v>249.31</v>
      </c>
      <c r="Q12744" s="37" t="str">
        <f>IF(P12744&gt;500,"High","low")</f>
        <v>low</v>
      </c>
      <c r="R12744" s="37" t="str">
        <f t="shared" si="999"/>
        <v>AVERAGE</v>
      </c>
      <c r="S12744" t="s">
        <v>609</v>
      </c>
    </row>
    <row r="12745" spans="1:19" x14ac:dyDescent="0.2">
      <c r="A12745" t="s">
        <v>13356</v>
      </c>
      <c r="B12745" t="s">
        <v>90</v>
      </c>
      <c r="C12745" t="s">
        <v>614</v>
      </c>
      <c r="D12745">
        <v>4742.63</v>
      </c>
      <c r="E12745" s="37" t="str">
        <f t="shared" si="995"/>
        <v>Excellent Order</v>
      </c>
      <c r="F12745">
        <v>0.19</v>
      </c>
      <c r="G12745" s="37" t="str">
        <f t="shared" si="996"/>
        <v>Normal Discount</v>
      </c>
      <c r="H12745" s="37" t="str">
        <f t="shared" si="997"/>
        <v>Low</v>
      </c>
      <c r="I12745">
        <v>8</v>
      </c>
      <c r="J12745" t="str" cm="1">
        <f t="array" ref="J12745">_xlfn.IFS(I12745&lt;=3,"small",I12745&lt;=6,"Medium",I12745&lt;=9,"Large")</f>
        <v>Large</v>
      </c>
      <c r="K12745" s="36">
        <v>45226</v>
      </c>
      <c r="L12745" s="36">
        <v>45230</v>
      </c>
      <c r="M12745" t="s">
        <v>603</v>
      </c>
      <c r="N12745" t="s">
        <v>599</v>
      </c>
      <c r="O12745" s="37" t="str">
        <f t="shared" si="998"/>
        <v>Digital Payment</v>
      </c>
      <c r="P12745">
        <v>1200.92</v>
      </c>
      <c r="Q12745" s="37" t="str">
        <f>IF(P12745&gt;500,"High","low")</f>
        <v>High</v>
      </c>
      <c r="R12745" s="37" t="str">
        <f t="shared" si="999"/>
        <v>Excellent</v>
      </c>
      <c r="S12745" t="s">
        <v>605</v>
      </c>
    </row>
    <row r="12746" spans="1:19" x14ac:dyDescent="0.2">
      <c r="A12746" t="s">
        <v>13357</v>
      </c>
      <c r="B12746" t="s">
        <v>67</v>
      </c>
      <c r="C12746" t="s">
        <v>614</v>
      </c>
      <c r="D12746">
        <v>1281.08</v>
      </c>
      <c r="E12746" s="37" t="str">
        <f t="shared" si="995"/>
        <v xml:space="preserve"> </v>
      </c>
      <c r="F12746">
        <v>0.39</v>
      </c>
      <c r="G12746" s="37" t="str">
        <f t="shared" si="996"/>
        <v>Heavy Discount</v>
      </c>
      <c r="H12746" s="37" t="str">
        <f t="shared" si="997"/>
        <v>Medium</v>
      </c>
      <c r="I12746">
        <v>7</v>
      </c>
      <c r="J12746" t="str" cm="1">
        <f t="array" ref="J12746">_xlfn.IFS(I12746&lt;=3,"small",I12746&lt;=6,"Medium",I12746&lt;=9,"Large")</f>
        <v>Large</v>
      </c>
      <c r="K12746" s="36">
        <v>45234</v>
      </c>
      <c r="L12746" s="36">
        <v>45238</v>
      </c>
      <c r="M12746" t="s">
        <v>598</v>
      </c>
      <c r="N12746" t="s">
        <v>599</v>
      </c>
      <c r="O12746" s="37" t="str">
        <f t="shared" si="998"/>
        <v>Digital Payment</v>
      </c>
      <c r="P12746">
        <v>230.83</v>
      </c>
      <c r="Q12746" s="37" t="str">
        <f>IF(P12746&gt;500,"High","low")</f>
        <v>low</v>
      </c>
      <c r="R12746" s="37" t="str">
        <f t="shared" si="999"/>
        <v>AVERAGE</v>
      </c>
      <c r="S12746" t="s">
        <v>615</v>
      </c>
    </row>
    <row r="12747" spans="1:19" x14ac:dyDescent="0.2">
      <c r="A12747" t="s">
        <v>13358</v>
      </c>
      <c r="B12747" t="s">
        <v>67</v>
      </c>
      <c r="C12747" t="s">
        <v>617</v>
      </c>
      <c r="D12747">
        <v>699.79</v>
      </c>
      <c r="E12747" s="37" t="str">
        <f t="shared" si="995"/>
        <v xml:space="preserve"> </v>
      </c>
      <c r="F12747">
        <v>0.41</v>
      </c>
      <c r="G12747" s="37" t="str">
        <f t="shared" si="996"/>
        <v>Heavy Discount</v>
      </c>
      <c r="H12747" s="37" t="str">
        <f t="shared" si="997"/>
        <v>High</v>
      </c>
      <c r="I12747">
        <v>9</v>
      </c>
      <c r="J12747" t="str" cm="1">
        <f t="array" ref="J12747">_xlfn.IFS(I12747&lt;=3,"small",I12747&lt;=6,"Medium",I12747&lt;=9,"Large")</f>
        <v>Large</v>
      </c>
      <c r="K12747" s="36">
        <v>45225</v>
      </c>
      <c r="L12747" s="36">
        <v>45230</v>
      </c>
      <c r="M12747" t="s">
        <v>598</v>
      </c>
      <c r="N12747" t="s">
        <v>604</v>
      </c>
      <c r="O12747" s="37" t="str">
        <f t="shared" si="998"/>
        <v>Digital Payment</v>
      </c>
      <c r="P12747">
        <v>205.66</v>
      </c>
      <c r="Q12747" s="37" t="str">
        <f>IF(P12747&gt;500,"High","low")</f>
        <v>low</v>
      </c>
      <c r="R12747" s="37" t="str">
        <f t="shared" si="999"/>
        <v>AVERAGE</v>
      </c>
      <c r="S12747" t="s">
        <v>600</v>
      </c>
    </row>
    <row r="12748" spans="1:19" x14ac:dyDescent="0.2">
      <c r="A12748" t="s">
        <v>13359</v>
      </c>
      <c r="B12748" t="s">
        <v>67</v>
      </c>
      <c r="C12748" t="s">
        <v>607</v>
      </c>
      <c r="D12748">
        <v>797.08</v>
      </c>
      <c r="E12748" s="37" t="str">
        <f t="shared" si="995"/>
        <v xml:space="preserve"> </v>
      </c>
      <c r="F12748">
        <v>0.31</v>
      </c>
      <c r="G12748" s="37" t="str">
        <f t="shared" si="996"/>
        <v>Heavy Discount</v>
      </c>
      <c r="H12748" s="37" t="str">
        <f t="shared" si="997"/>
        <v>Medium</v>
      </c>
      <c r="I12748">
        <v>3</v>
      </c>
      <c r="J12748" t="str" cm="1">
        <f t="array" ref="J12748">_xlfn.IFS(I12748&lt;=3,"small",I12748&lt;=6,"Medium",I12748&lt;=9,"Large")</f>
        <v>small</v>
      </c>
      <c r="K12748" s="36">
        <v>44927</v>
      </c>
      <c r="L12748" s="36">
        <v>44929</v>
      </c>
      <c r="M12748" t="s">
        <v>598</v>
      </c>
      <c r="N12748" t="s">
        <v>599</v>
      </c>
      <c r="O12748" s="37" t="str">
        <f t="shared" si="998"/>
        <v>Digital Payment</v>
      </c>
      <c r="P12748">
        <v>138.51</v>
      </c>
      <c r="Q12748" s="37" t="str">
        <f>IF(P12748&gt;500,"High","low")</f>
        <v>low</v>
      </c>
      <c r="R12748" s="37" t="str">
        <f t="shared" si="999"/>
        <v>AVERAGE</v>
      </c>
      <c r="S12748" t="s">
        <v>605</v>
      </c>
    </row>
    <row r="12749" spans="1:19" x14ac:dyDescent="0.2">
      <c r="A12749" t="s">
        <v>13360</v>
      </c>
      <c r="B12749" t="s">
        <v>83</v>
      </c>
      <c r="C12749" t="s">
        <v>607</v>
      </c>
      <c r="D12749">
        <v>2648.7</v>
      </c>
      <c r="E12749" s="37" t="str">
        <f t="shared" si="995"/>
        <v xml:space="preserve"> </v>
      </c>
      <c r="F12749">
        <v>0.36</v>
      </c>
      <c r="G12749" s="37" t="str">
        <f t="shared" si="996"/>
        <v>Heavy Discount</v>
      </c>
      <c r="H12749" s="37" t="str">
        <f t="shared" si="997"/>
        <v>Medium</v>
      </c>
      <c r="I12749">
        <v>5</v>
      </c>
      <c r="J12749" t="str" cm="1">
        <f t="array" ref="J12749">_xlfn.IFS(I12749&lt;=3,"small",I12749&lt;=6,"Medium",I12749&lt;=9,"Large")</f>
        <v>Medium</v>
      </c>
      <c r="K12749" s="36">
        <v>45019</v>
      </c>
      <c r="L12749" s="36">
        <v>45022</v>
      </c>
      <c r="M12749" t="s">
        <v>598</v>
      </c>
      <c r="N12749" t="s">
        <v>599</v>
      </c>
      <c r="O12749" s="37" t="str">
        <f t="shared" si="998"/>
        <v>Digital Payment</v>
      </c>
      <c r="P12749">
        <v>678.87</v>
      </c>
      <c r="Q12749" s="37" t="str">
        <f>IF(P12749&gt;500,"High","low")</f>
        <v>High</v>
      </c>
      <c r="R12749" s="37" t="str">
        <f t="shared" si="999"/>
        <v>Good</v>
      </c>
      <c r="S12749" t="s">
        <v>620</v>
      </c>
    </row>
    <row r="12750" spans="1:19" x14ac:dyDescent="0.2">
      <c r="A12750" t="s">
        <v>13361</v>
      </c>
      <c r="B12750" t="s">
        <v>90</v>
      </c>
      <c r="C12750" t="s">
        <v>617</v>
      </c>
      <c r="D12750">
        <v>2015.43</v>
      </c>
      <c r="E12750" s="37" t="str">
        <f t="shared" si="995"/>
        <v xml:space="preserve"> </v>
      </c>
      <c r="F12750">
        <v>0.09</v>
      </c>
      <c r="G12750" s="37" t="str">
        <f t="shared" si="996"/>
        <v>Normal Discount</v>
      </c>
      <c r="H12750" s="37" t="str">
        <f t="shared" si="997"/>
        <v>Low</v>
      </c>
      <c r="I12750">
        <v>6</v>
      </c>
      <c r="J12750" t="str" cm="1">
        <f t="array" ref="J12750">_xlfn.IFS(I12750&lt;=3,"small",I12750&lt;=6,"Medium",I12750&lt;=9,"Large")</f>
        <v>Medium</v>
      </c>
      <c r="K12750" s="36">
        <v>45207</v>
      </c>
      <c r="L12750" s="36">
        <v>45210</v>
      </c>
      <c r="M12750" t="s">
        <v>598</v>
      </c>
      <c r="N12750" t="s">
        <v>599</v>
      </c>
      <c r="O12750" s="37" t="str">
        <f t="shared" si="998"/>
        <v>Digital Payment</v>
      </c>
      <c r="P12750">
        <v>101.46</v>
      </c>
      <c r="Q12750" s="37" t="str">
        <f>IF(P12750&gt;500,"High","low")</f>
        <v>low</v>
      </c>
      <c r="R12750" s="37" t="str">
        <f t="shared" si="999"/>
        <v>AVERAGE</v>
      </c>
      <c r="S12750" t="s">
        <v>620</v>
      </c>
    </row>
    <row r="12751" spans="1:19" x14ac:dyDescent="0.2">
      <c r="A12751" t="s">
        <v>13362</v>
      </c>
      <c r="B12751" t="s">
        <v>75</v>
      </c>
      <c r="C12751" t="s">
        <v>602</v>
      </c>
      <c r="D12751">
        <v>3795.3</v>
      </c>
      <c r="E12751" s="37" t="str">
        <f t="shared" si="995"/>
        <v xml:space="preserve"> </v>
      </c>
      <c r="F12751">
        <v>0.19</v>
      </c>
      <c r="G12751" s="37" t="str">
        <f t="shared" si="996"/>
        <v>Normal Discount</v>
      </c>
      <c r="H12751" s="37" t="str">
        <f t="shared" si="997"/>
        <v>Low</v>
      </c>
      <c r="I12751">
        <v>9</v>
      </c>
      <c r="J12751" t="str" cm="1">
        <f t="array" ref="J12751">_xlfn.IFS(I12751&lt;=3,"small",I12751&lt;=6,"Medium",I12751&lt;=9,"Large")</f>
        <v>Large</v>
      </c>
      <c r="K12751" s="36">
        <v>45444</v>
      </c>
      <c r="L12751" s="36">
        <v>45447</v>
      </c>
      <c r="M12751" t="s">
        <v>598</v>
      </c>
      <c r="N12751" t="s">
        <v>608</v>
      </c>
      <c r="O12751" s="37" t="str">
        <f t="shared" si="998"/>
        <v>Cash Payment</v>
      </c>
      <c r="P12751">
        <v>428.15</v>
      </c>
      <c r="Q12751" s="37" t="str">
        <f>IF(P12751&gt;500,"High","low")</f>
        <v>low</v>
      </c>
      <c r="R12751" s="37" t="str">
        <f t="shared" si="999"/>
        <v>AVERAGE</v>
      </c>
      <c r="S12751" t="s">
        <v>600</v>
      </c>
    </row>
    <row r="12752" spans="1:19" x14ac:dyDescent="0.2">
      <c r="A12752" t="s">
        <v>13363</v>
      </c>
      <c r="B12752" t="s">
        <v>75</v>
      </c>
      <c r="C12752" t="s">
        <v>597</v>
      </c>
      <c r="D12752">
        <v>1683.59</v>
      </c>
      <c r="E12752" s="37" t="str">
        <f t="shared" si="995"/>
        <v xml:space="preserve"> </v>
      </c>
      <c r="F12752">
        <v>0.27</v>
      </c>
      <c r="G12752" s="37" t="str">
        <f t="shared" si="996"/>
        <v>Normal Discount</v>
      </c>
      <c r="H12752" s="37" t="str">
        <f t="shared" si="997"/>
        <v>Medium</v>
      </c>
      <c r="I12752">
        <v>4</v>
      </c>
      <c r="J12752" t="str" cm="1">
        <f t="array" ref="J12752">_xlfn.IFS(I12752&lt;=3,"small",I12752&lt;=6,"Medium",I12752&lt;=9,"Large")</f>
        <v>Medium</v>
      </c>
      <c r="K12752" s="36">
        <v>45384</v>
      </c>
      <c r="L12752" s="36">
        <v>45389</v>
      </c>
      <c r="M12752" t="s">
        <v>603</v>
      </c>
      <c r="N12752" t="s">
        <v>599</v>
      </c>
      <c r="O12752" s="37" t="str">
        <f t="shared" si="998"/>
        <v>Digital Payment</v>
      </c>
      <c r="P12752">
        <v>96.61</v>
      </c>
      <c r="Q12752" s="37" t="str">
        <f>IF(P12752&gt;500,"High","low")</f>
        <v>low</v>
      </c>
      <c r="R12752" s="37" t="str">
        <f t="shared" si="999"/>
        <v>AVERAGE</v>
      </c>
      <c r="S12752" t="s">
        <v>628</v>
      </c>
    </row>
    <row r="12753" spans="1:19" x14ac:dyDescent="0.2">
      <c r="A12753" t="s">
        <v>13364</v>
      </c>
      <c r="B12753" t="s">
        <v>90</v>
      </c>
      <c r="C12753" t="s">
        <v>602</v>
      </c>
      <c r="D12753">
        <v>727.01</v>
      </c>
      <c r="E12753" s="37" t="str">
        <f t="shared" si="995"/>
        <v xml:space="preserve"> </v>
      </c>
      <c r="F12753">
        <v>0.49</v>
      </c>
      <c r="G12753" s="37" t="str">
        <f t="shared" si="996"/>
        <v>Heavy Discount</v>
      </c>
      <c r="H12753" s="37" t="str">
        <f t="shared" si="997"/>
        <v>High</v>
      </c>
      <c r="I12753">
        <v>5</v>
      </c>
      <c r="J12753" t="str" cm="1">
        <f t="array" ref="J12753">_xlfn.IFS(I12753&lt;=3,"small",I12753&lt;=6,"Medium",I12753&lt;=9,"Large")</f>
        <v>Medium</v>
      </c>
      <c r="K12753" s="36">
        <v>45414</v>
      </c>
      <c r="L12753" s="36">
        <v>45419</v>
      </c>
      <c r="M12753" t="s">
        <v>612</v>
      </c>
      <c r="N12753" t="s">
        <v>599</v>
      </c>
      <c r="O12753" s="37" t="str">
        <f t="shared" si="998"/>
        <v>Digital Payment</v>
      </c>
      <c r="P12753">
        <v>135.97</v>
      </c>
      <c r="Q12753" s="37" t="str">
        <f>IF(P12753&gt;500,"High","low")</f>
        <v>low</v>
      </c>
      <c r="R12753" s="37" t="str">
        <f t="shared" si="999"/>
        <v>AVERAGE</v>
      </c>
      <c r="S12753" t="s">
        <v>609</v>
      </c>
    </row>
    <row r="12754" spans="1:19" x14ac:dyDescent="0.2">
      <c r="A12754" t="s">
        <v>13365</v>
      </c>
      <c r="B12754" t="s">
        <v>75</v>
      </c>
      <c r="C12754" t="s">
        <v>617</v>
      </c>
      <c r="D12754">
        <v>1995.69</v>
      </c>
      <c r="E12754" s="37" t="str">
        <f t="shared" si="995"/>
        <v xml:space="preserve"> </v>
      </c>
      <c r="F12754">
        <v>0.4</v>
      </c>
      <c r="G12754" s="37" t="str">
        <f t="shared" si="996"/>
        <v>Heavy Discount</v>
      </c>
      <c r="H12754" s="37" t="str">
        <f t="shared" si="997"/>
        <v>Medium</v>
      </c>
      <c r="I12754">
        <v>9</v>
      </c>
      <c r="J12754" t="str" cm="1">
        <f t="array" ref="J12754">_xlfn.IFS(I12754&lt;=3,"small",I12754&lt;=6,"Medium",I12754&lt;=9,"Large")</f>
        <v>Large</v>
      </c>
      <c r="K12754" s="36">
        <v>45333</v>
      </c>
      <c r="L12754" s="36">
        <v>45337</v>
      </c>
      <c r="M12754" t="s">
        <v>598</v>
      </c>
      <c r="N12754" t="s">
        <v>608</v>
      </c>
      <c r="O12754" s="37" t="str">
        <f t="shared" si="998"/>
        <v>Cash Payment</v>
      </c>
      <c r="P12754">
        <v>335.78</v>
      </c>
      <c r="Q12754" s="37" t="str">
        <f>IF(P12754&gt;500,"High","low")</f>
        <v>low</v>
      </c>
      <c r="R12754" s="37" t="str">
        <f t="shared" si="999"/>
        <v>AVERAGE</v>
      </c>
      <c r="S12754" t="s">
        <v>620</v>
      </c>
    </row>
    <row r="12755" spans="1:19" x14ac:dyDescent="0.2">
      <c r="A12755" t="s">
        <v>13366</v>
      </c>
      <c r="B12755" t="s">
        <v>75</v>
      </c>
      <c r="C12755" t="s">
        <v>607</v>
      </c>
      <c r="D12755">
        <v>4426.87</v>
      </c>
      <c r="E12755" s="37" t="str">
        <f t="shared" si="995"/>
        <v>Excellent Order</v>
      </c>
      <c r="F12755">
        <v>0.1</v>
      </c>
      <c r="G12755" s="37" t="str">
        <f t="shared" si="996"/>
        <v>Normal Discount</v>
      </c>
      <c r="H12755" s="37" t="str">
        <f t="shared" si="997"/>
        <v>Low</v>
      </c>
      <c r="I12755">
        <v>4</v>
      </c>
      <c r="J12755" t="str" cm="1">
        <f t="array" ref="J12755">_xlfn.IFS(I12755&lt;=3,"small",I12755&lt;=6,"Medium",I12755&lt;=9,"Large")</f>
        <v>Medium</v>
      </c>
      <c r="K12755" s="36">
        <v>45201</v>
      </c>
      <c r="L12755" s="36">
        <v>45206</v>
      </c>
      <c r="M12755" t="s">
        <v>598</v>
      </c>
      <c r="N12755" t="s">
        <v>599</v>
      </c>
      <c r="O12755" s="37" t="str">
        <f t="shared" si="998"/>
        <v>Digital Payment</v>
      </c>
      <c r="P12755">
        <v>1060.68</v>
      </c>
      <c r="Q12755" s="37" t="str">
        <f>IF(P12755&gt;500,"High","low")</f>
        <v>High</v>
      </c>
      <c r="R12755" s="37" t="str">
        <f t="shared" si="999"/>
        <v>Excellent</v>
      </c>
      <c r="S12755" t="s">
        <v>615</v>
      </c>
    </row>
    <row r="12756" spans="1:19" x14ac:dyDescent="0.2">
      <c r="A12756" t="s">
        <v>13367</v>
      </c>
      <c r="B12756" t="s">
        <v>90</v>
      </c>
      <c r="C12756" t="s">
        <v>607</v>
      </c>
      <c r="D12756">
        <v>2087.08</v>
      </c>
      <c r="E12756" s="37" t="str">
        <f t="shared" si="995"/>
        <v xml:space="preserve"> </v>
      </c>
      <c r="F12756">
        <v>0.18</v>
      </c>
      <c r="G12756" s="37" t="str">
        <f t="shared" si="996"/>
        <v>Normal Discount</v>
      </c>
      <c r="H12756" s="37" t="str">
        <f t="shared" si="997"/>
        <v>Low</v>
      </c>
      <c r="I12756">
        <v>2</v>
      </c>
      <c r="J12756" t="str" cm="1">
        <f t="array" ref="J12756">_xlfn.IFS(I12756&lt;=3,"small",I12756&lt;=6,"Medium",I12756&lt;=9,"Large")</f>
        <v>small</v>
      </c>
      <c r="K12756" s="36">
        <v>45413</v>
      </c>
      <c r="L12756" s="36">
        <v>45418</v>
      </c>
      <c r="M12756" t="s">
        <v>612</v>
      </c>
      <c r="N12756" t="s">
        <v>608</v>
      </c>
      <c r="O12756" s="37" t="str">
        <f t="shared" si="998"/>
        <v>Cash Payment</v>
      </c>
      <c r="P12756">
        <v>163.21</v>
      </c>
      <c r="Q12756" s="37" t="str">
        <f>IF(P12756&gt;500,"High","low")</f>
        <v>low</v>
      </c>
      <c r="R12756" s="37" t="str">
        <f t="shared" si="999"/>
        <v>AVERAGE</v>
      </c>
      <c r="S12756" t="s">
        <v>615</v>
      </c>
    </row>
    <row r="12757" spans="1:19" x14ac:dyDescent="0.2">
      <c r="A12757" t="s">
        <v>13368</v>
      </c>
      <c r="B12757" t="s">
        <v>75</v>
      </c>
      <c r="C12757" t="s">
        <v>614</v>
      </c>
      <c r="D12757">
        <v>4184.78</v>
      </c>
      <c r="E12757" s="37" t="str">
        <f t="shared" si="995"/>
        <v>Excellent Order</v>
      </c>
      <c r="F12757">
        <v>0.11</v>
      </c>
      <c r="G12757" s="37" t="str">
        <f t="shared" si="996"/>
        <v>Normal Discount</v>
      </c>
      <c r="H12757" s="37" t="str">
        <f t="shared" si="997"/>
        <v>Low</v>
      </c>
      <c r="I12757">
        <v>9</v>
      </c>
      <c r="J12757" t="str" cm="1">
        <f t="array" ref="J12757">_xlfn.IFS(I12757&lt;=3,"small",I12757&lt;=6,"Medium",I12757&lt;=9,"Large")</f>
        <v>Large</v>
      </c>
      <c r="K12757" s="36">
        <v>45029</v>
      </c>
      <c r="L12757" s="36">
        <v>45032</v>
      </c>
      <c r="M12757" t="s">
        <v>603</v>
      </c>
      <c r="N12757" t="s">
        <v>608</v>
      </c>
      <c r="O12757" s="37" t="str">
        <f t="shared" si="998"/>
        <v>Cash Payment</v>
      </c>
      <c r="P12757">
        <v>1078</v>
      </c>
      <c r="Q12757" s="37" t="str">
        <f>IF(P12757&gt;500,"High","low")</f>
        <v>High</v>
      </c>
      <c r="R12757" s="37" t="str">
        <f t="shared" si="999"/>
        <v>Excellent</v>
      </c>
      <c r="S12757" t="s">
        <v>605</v>
      </c>
    </row>
    <row r="12758" spans="1:19" x14ac:dyDescent="0.2">
      <c r="A12758" t="s">
        <v>13369</v>
      </c>
      <c r="B12758" t="s">
        <v>67</v>
      </c>
      <c r="C12758" t="s">
        <v>614</v>
      </c>
      <c r="D12758">
        <v>1920.5</v>
      </c>
      <c r="E12758" s="37" t="str">
        <f t="shared" si="995"/>
        <v xml:space="preserve"> </v>
      </c>
      <c r="F12758">
        <v>0.08</v>
      </c>
      <c r="G12758" s="37" t="str">
        <f t="shared" si="996"/>
        <v>Normal Discount</v>
      </c>
      <c r="H12758" s="37" t="str">
        <f t="shared" si="997"/>
        <v>Low</v>
      </c>
      <c r="I12758">
        <v>3</v>
      </c>
      <c r="J12758" t="str" cm="1">
        <f t="array" ref="J12758">_xlfn.IFS(I12758&lt;=3,"small",I12758&lt;=6,"Medium",I12758&lt;=9,"Large")</f>
        <v>small</v>
      </c>
      <c r="K12758" s="36">
        <v>45329</v>
      </c>
      <c r="L12758" s="36">
        <v>45335</v>
      </c>
      <c r="M12758" t="s">
        <v>603</v>
      </c>
      <c r="N12758" t="s">
        <v>599</v>
      </c>
      <c r="O12758" s="37" t="str">
        <f t="shared" si="998"/>
        <v>Digital Payment</v>
      </c>
      <c r="P12758">
        <v>130.68</v>
      </c>
      <c r="Q12758" s="37" t="str">
        <f>IF(P12758&gt;500,"High","low")</f>
        <v>low</v>
      </c>
      <c r="R12758" s="37" t="str">
        <f t="shared" si="999"/>
        <v>AVERAGE</v>
      </c>
      <c r="S12758" t="s">
        <v>615</v>
      </c>
    </row>
    <row r="12759" spans="1:19" x14ac:dyDescent="0.2">
      <c r="A12759" t="s">
        <v>13370</v>
      </c>
      <c r="B12759" t="s">
        <v>83</v>
      </c>
      <c r="C12759" t="s">
        <v>607</v>
      </c>
      <c r="D12759">
        <v>1478.79</v>
      </c>
      <c r="E12759" s="37" t="str">
        <f t="shared" si="995"/>
        <v xml:space="preserve"> </v>
      </c>
      <c r="F12759">
        <v>0.06</v>
      </c>
      <c r="G12759" s="37" t="str">
        <f t="shared" si="996"/>
        <v>Normal Discount</v>
      </c>
      <c r="H12759" s="37" t="str">
        <f t="shared" si="997"/>
        <v>Low</v>
      </c>
      <c r="I12759">
        <v>6</v>
      </c>
      <c r="J12759" t="str" cm="1">
        <f t="array" ref="J12759">_xlfn.IFS(I12759&lt;=3,"small",I12759&lt;=6,"Medium",I12759&lt;=9,"Large")</f>
        <v>Medium</v>
      </c>
      <c r="K12759" s="36">
        <v>45033</v>
      </c>
      <c r="L12759" s="36">
        <v>45039</v>
      </c>
      <c r="M12759" t="s">
        <v>603</v>
      </c>
      <c r="N12759" t="s">
        <v>599</v>
      </c>
      <c r="O12759" s="37" t="str">
        <f t="shared" si="998"/>
        <v>Digital Payment</v>
      </c>
      <c r="P12759">
        <v>386.24</v>
      </c>
      <c r="Q12759" s="37" t="str">
        <f>IF(P12759&gt;500,"High","low")</f>
        <v>low</v>
      </c>
      <c r="R12759" s="37" t="str">
        <f t="shared" si="999"/>
        <v>AVERAGE</v>
      </c>
      <c r="S12759" t="s">
        <v>615</v>
      </c>
    </row>
    <row r="12760" spans="1:19" x14ac:dyDescent="0.2">
      <c r="A12760" t="s">
        <v>13371</v>
      </c>
      <c r="B12760" t="s">
        <v>90</v>
      </c>
      <c r="C12760" t="s">
        <v>607</v>
      </c>
      <c r="D12760">
        <v>3896.83</v>
      </c>
      <c r="E12760" s="37" t="str">
        <f t="shared" si="995"/>
        <v xml:space="preserve"> </v>
      </c>
      <c r="F12760">
        <v>0.48</v>
      </c>
      <c r="G12760" s="37" t="str">
        <f t="shared" si="996"/>
        <v>Heavy Discount</v>
      </c>
      <c r="H12760" s="37" t="str">
        <f t="shared" si="997"/>
        <v>High</v>
      </c>
      <c r="I12760">
        <v>9</v>
      </c>
      <c r="J12760" t="str" cm="1">
        <f t="array" ref="J12760">_xlfn.IFS(I12760&lt;=3,"small",I12760&lt;=6,"Medium",I12760&lt;=9,"Large")</f>
        <v>Large</v>
      </c>
      <c r="K12760" s="36">
        <v>45311</v>
      </c>
      <c r="L12760" s="36">
        <v>45316</v>
      </c>
      <c r="M12760" t="s">
        <v>612</v>
      </c>
      <c r="N12760" t="s">
        <v>608</v>
      </c>
      <c r="O12760" s="37" t="str">
        <f t="shared" si="998"/>
        <v>Cash Payment</v>
      </c>
      <c r="P12760">
        <v>731.92</v>
      </c>
      <c r="Q12760" s="37" t="str">
        <f>IF(P12760&gt;500,"High","low")</f>
        <v>High</v>
      </c>
      <c r="R12760" s="37" t="str">
        <f t="shared" si="999"/>
        <v>Good</v>
      </c>
      <c r="S12760" t="s">
        <v>600</v>
      </c>
    </row>
    <row r="12761" spans="1:19" x14ac:dyDescent="0.2">
      <c r="A12761" t="s">
        <v>13372</v>
      </c>
      <c r="B12761" t="s">
        <v>83</v>
      </c>
      <c r="C12761" t="s">
        <v>614</v>
      </c>
      <c r="D12761">
        <v>1125.25</v>
      </c>
      <c r="E12761" s="37" t="str">
        <f t="shared" si="995"/>
        <v xml:space="preserve"> </v>
      </c>
      <c r="F12761">
        <v>0.45</v>
      </c>
      <c r="G12761" s="37" t="str">
        <f t="shared" si="996"/>
        <v>Heavy Discount</v>
      </c>
      <c r="H12761" s="37" t="str">
        <f t="shared" si="997"/>
        <v>High</v>
      </c>
      <c r="I12761">
        <v>3</v>
      </c>
      <c r="J12761" t="str" cm="1">
        <f t="array" ref="J12761">_xlfn.IFS(I12761&lt;=3,"small",I12761&lt;=6,"Medium",I12761&lt;=9,"Large")</f>
        <v>small</v>
      </c>
      <c r="K12761" s="36">
        <v>45156</v>
      </c>
      <c r="L12761" s="36">
        <v>45163</v>
      </c>
      <c r="M12761" t="s">
        <v>603</v>
      </c>
      <c r="N12761" t="s">
        <v>599</v>
      </c>
      <c r="O12761" s="37" t="str">
        <f t="shared" si="998"/>
        <v>Digital Payment</v>
      </c>
      <c r="P12761">
        <v>81.94</v>
      </c>
      <c r="Q12761" s="37" t="str">
        <f>IF(P12761&gt;500,"High","low")</f>
        <v>low</v>
      </c>
      <c r="R12761" s="37" t="str">
        <f t="shared" si="999"/>
        <v>AVERAGE</v>
      </c>
      <c r="S12761" t="s">
        <v>600</v>
      </c>
    </row>
    <row r="12762" spans="1:19" x14ac:dyDescent="0.2">
      <c r="A12762" t="s">
        <v>13373</v>
      </c>
      <c r="B12762" t="s">
        <v>75</v>
      </c>
      <c r="C12762" t="s">
        <v>614</v>
      </c>
      <c r="D12762">
        <v>1235.97</v>
      </c>
      <c r="E12762" s="37" t="str">
        <f t="shared" si="995"/>
        <v xml:space="preserve"> </v>
      </c>
      <c r="F12762">
        <v>0.24</v>
      </c>
      <c r="G12762" s="37" t="str">
        <f t="shared" si="996"/>
        <v>Normal Discount</v>
      </c>
      <c r="H12762" s="37" t="str">
        <f t="shared" si="997"/>
        <v>Medium</v>
      </c>
      <c r="I12762">
        <v>8</v>
      </c>
      <c r="J12762" t="str" cm="1">
        <f t="array" ref="J12762">_xlfn.IFS(I12762&lt;=3,"small",I12762&lt;=6,"Medium",I12762&lt;=9,"Large")</f>
        <v>Large</v>
      </c>
      <c r="K12762" s="36">
        <v>45131</v>
      </c>
      <c r="L12762" s="36">
        <v>45138</v>
      </c>
      <c r="M12762" t="s">
        <v>598</v>
      </c>
      <c r="N12762" t="s">
        <v>608</v>
      </c>
      <c r="O12762" s="37" t="str">
        <f t="shared" si="998"/>
        <v>Cash Payment</v>
      </c>
      <c r="P12762">
        <v>71.37</v>
      </c>
      <c r="Q12762" s="37" t="str">
        <f>IF(P12762&gt;500,"High","low")</f>
        <v>low</v>
      </c>
      <c r="R12762" s="37" t="str">
        <f t="shared" si="999"/>
        <v>AVERAGE</v>
      </c>
      <c r="S12762" t="s">
        <v>600</v>
      </c>
    </row>
    <row r="12763" spans="1:19" x14ac:dyDescent="0.2">
      <c r="A12763" t="s">
        <v>13374</v>
      </c>
      <c r="B12763" t="s">
        <v>75</v>
      </c>
      <c r="C12763" t="s">
        <v>602</v>
      </c>
      <c r="D12763">
        <v>344.08</v>
      </c>
      <c r="E12763" s="37" t="str">
        <f t="shared" si="995"/>
        <v xml:space="preserve"> </v>
      </c>
      <c r="F12763">
        <v>0.27</v>
      </c>
      <c r="G12763" s="37" t="str">
        <f t="shared" si="996"/>
        <v>Normal Discount</v>
      </c>
      <c r="H12763" s="37" t="str">
        <f t="shared" si="997"/>
        <v>Medium</v>
      </c>
      <c r="I12763">
        <v>9</v>
      </c>
      <c r="J12763" t="str" cm="1">
        <f t="array" ref="J12763">_xlfn.IFS(I12763&lt;=3,"small",I12763&lt;=6,"Medium",I12763&lt;=9,"Large")</f>
        <v>Large</v>
      </c>
      <c r="K12763" s="36">
        <v>45303</v>
      </c>
      <c r="L12763" s="36">
        <v>45305</v>
      </c>
      <c r="M12763" t="s">
        <v>598</v>
      </c>
      <c r="N12763" t="s">
        <v>608</v>
      </c>
      <c r="O12763" s="37" t="str">
        <f t="shared" si="998"/>
        <v>Cash Payment</v>
      </c>
      <c r="P12763">
        <v>85.83</v>
      </c>
      <c r="Q12763" s="37" t="str">
        <f>IF(P12763&gt;500,"High","low")</f>
        <v>low</v>
      </c>
      <c r="R12763" s="37" t="str">
        <f t="shared" si="999"/>
        <v>AVERAGE</v>
      </c>
      <c r="S12763" t="s">
        <v>600</v>
      </c>
    </row>
    <row r="12764" spans="1:19" x14ac:dyDescent="0.2">
      <c r="A12764" t="s">
        <v>13375</v>
      </c>
      <c r="B12764" t="s">
        <v>67</v>
      </c>
      <c r="C12764" t="s">
        <v>607</v>
      </c>
      <c r="D12764">
        <v>1020.44</v>
      </c>
      <c r="E12764" s="37" t="str">
        <f t="shared" si="995"/>
        <v xml:space="preserve"> </v>
      </c>
      <c r="F12764">
        <v>0.42</v>
      </c>
      <c r="G12764" s="37" t="str">
        <f t="shared" si="996"/>
        <v>Heavy Discount</v>
      </c>
      <c r="H12764" s="37" t="str">
        <f t="shared" si="997"/>
        <v>High</v>
      </c>
      <c r="I12764">
        <v>3</v>
      </c>
      <c r="J12764" t="str" cm="1">
        <f t="array" ref="J12764">_xlfn.IFS(I12764&lt;=3,"small",I12764&lt;=6,"Medium",I12764&lt;=9,"Large")</f>
        <v>small</v>
      </c>
      <c r="K12764" s="36">
        <v>45104</v>
      </c>
      <c r="L12764" s="36">
        <v>45111</v>
      </c>
      <c r="M12764" t="s">
        <v>603</v>
      </c>
      <c r="N12764" t="s">
        <v>604</v>
      </c>
      <c r="O12764" s="37" t="str">
        <f t="shared" si="998"/>
        <v>Digital Payment</v>
      </c>
      <c r="P12764">
        <v>131.91999999999999</v>
      </c>
      <c r="Q12764" s="37" t="str">
        <f>IF(P12764&gt;500,"High","low")</f>
        <v>low</v>
      </c>
      <c r="R12764" s="37" t="str">
        <f t="shared" si="999"/>
        <v>AVERAGE</v>
      </c>
      <c r="S12764" t="s">
        <v>620</v>
      </c>
    </row>
    <row r="12765" spans="1:19" x14ac:dyDescent="0.2">
      <c r="A12765" t="s">
        <v>13376</v>
      </c>
      <c r="B12765" t="s">
        <v>90</v>
      </c>
      <c r="C12765" t="s">
        <v>607</v>
      </c>
      <c r="D12765">
        <v>1956.2</v>
      </c>
      <c r="E12765" s="37" t="str">
        <f t="shared" si="995"/>
        <v xml:space="preserve"> </v>
      </c>
      <c r="F12765">
        <v>0.32</v>
      </c>
      <c r="G12765" s="37" t="str">
        <f t="shared" si="996"/>
        <v>Heavy Discount</v>
      </c>
      <c r="H12765" s="37" t="str">
        <f t="shared" si="997"/>
        <v>Medium</v>
      </c>
      <c r="I12765">
        <v>3</v>
      </c>
      <c r="J12765" t="str" cm="1">
        <f t="array" ref="J12765">_xlfn.IFS(I12765&lt;=3,"small",I12765&lt;=6,"Medium",I12765&lt;=9,"Large")</f>
        <v>small</v>
      </c>
      <c r="K12765" s="36">
        <v>45024</v>
      </c>
      <c r="L12765" s="36">
        <v>45029</v>
      </c>
      <c r="M12765" t="s">
        <v>612</v>
      </c>
      <c r="N12765" t="s">
        <v>599</v>
      </c>
      <c r="O12765" s="37" t="str">
        <f t="shared" si="998"/>
        <v>Digital Payment</v>
      </c>
      <c r="P12765">
        <v>560.02</v>
      </c>
      <c r="Q12765" s="37" t="str">
        <f>IF(P12765&gt;500,"High","low")</f>
        <v>High</v>
      </c>
      <c r="R12765" s="37" t="str">
        <f t="shared" si="999"/>
        <v>Good</v>
      </c>
      <c r="S12765" t="s">
        <v>609</v>
      </c>
    </row>
    <row r="12766" spans="1:19" x14ac:dyDescent="0.2">
      <c r="A12766" t="s">
        <v>13377</v>
      </c>
      <c r="B12766" t="s">
        <v>75</v>
      </c>
      <c r="C12766" t="s">
        <v>617</v>
      </c>
      <c r="D12766">
        <v>2057.91</v>
      </c>
      <c r="E12766" s="37" t="str">
        <f t="shared" si="995"/>
        <v xml:space="preserve"> </v>
      </c>
      <c r="F12766">
        <v>0.37</v>
      </c>
      <c r="G12766" s="37" t="str">
        <f t="shared" si="996"/>
        <v>Heavy Discount</v>
      </c>
      <c r="H12766" s="37" t="str">
        <f t="shared" si="997"/>
        <v>Medium</v>
      </c>
      <c r="I12766">
        <v>4</v>
      </c>
      <c r="J12766" t="str" cm="1">
        <f t="array" ref="J12766">_xlfn.IFS(I12766&lt;=3,"small",I12766&lt;=6,"Medium",I12766&lt;=9,"Large")</f>
        <v>Medium</v>
      </c>
      <c r="K12766" s="36">
        <v>45496</v>
      </c>
      <c r="L12766" s="36">
        <v>45503</v>
      </c>
      <c r="M12766" t="s">
        <v>603</v>
      </c>
      <c r="N12766" t="s">
        <v>604</v>
      </c>
      <c r="O12766" s="37" t="str">
        <f t="shared" si="998"/>
        <v>Digital Payment</v>
      </c>
      <c r="P12766">
        <v>610.94000000000005</v>
      </c>
      <c r="Q12766" s="37" t="str">
        <f>IF(P12766&gt;500,"High","low")</f>
        <v>High</v>
      </c>
      <c r="R12766" s="37" t="str">
        <f t="shared" si="999"/>
        <v>Good</v>
      </c>
      <c r="S12766" t="s">
        <v>620</v>
      </c>
    </row>
    <row r="12767" spans="1:19" x14ac:dyDescent="0.2">
      <c r="A12767" t="s">
        <v>13378</v>
      </c>
      <c r="B12767" t="s">
        <v>90</v>
      </c>
      <c r="C12767" t="s">
        <v>602</v>
      </c>
      <c r="D12767">
        <v>2161.08</v>
      </c>
      <c r="E12767" s="37" t="str">
        <f t="shared" si="995"/>
        <v xml:space="preserve"> </v>
      </c>
      <c r="F12767">
        <v>0.4</v>
      </c>
      <c r="G12767" s="37" t="str">
        <f t="shared" si="996"/>
        <v>Heavy Discount</v>
      </c>
      <c r="H12767" s="37" t="str">
        <f t="shared" si="997"/>
        <v>Medium</v>
      </c>
      <c r="I12767">
        <v>1</v>
      </c>
      <c r="J12767" t="str" cm="1">
        <f t="array" ref="J12767">_xlfn.IFS(I12767&lt;=3,"small",I12767&lt;=6,"Medium",I12767&lt;=9,"Large")</f>
        <v>small</v>
      </c>
      <c r="K12767" s="36">
        <v>45263</v>
      </c>
      <c r="L12767" s="36">
        <v>45269</v>
      </c>
      <c r="M12767" t="s">
        <v>612</v>
      </c>
      <c r="N12767" t="s">
        <v>604</v>
      </c>
      <c r="O12767" s="37" t="str">
        <f t="shared" si="998"/>
        <v>Digital Payment</v>
      </c>
      <c r="P12767">
        <v>541.41999999999996</v>
      </c>
      <c r="Q12767" s="37" t="str">
        <f>IF(P12767&gt;500,"High","low")</f>
        <v>High</v>
      </c>
      <c r="R12767" s="37" t="str">
        <f t="shared" si="999"/>
        <v>Good</v>
      </c>
      <c r="S12767" t="s">
        <v>609</v>
      </c>
    </row>
    <row r="12768" spans="1:19" x14ac:dyDescent="0.2">
      <c r="A12768" t="s">
        <v>13379</v>
      </c>
      <c r="B12768" t="s">
        <v>90</v>
      </c>
      <c r="C12768" t="s">
        <v>597</v>
      </c>
      <c r="D12768">
        <v>2450.5</v>
      </c>
      <c r="E12768" s="37" t="str">
        <f t="shared" si="995"/>
        <v xml:space="preserve"> </v>
      </c>
      <c r="F12768">
        <v>0.24</v>
      </c>
      <c r="G12768" s="37" t="str">
        <f t="shared" si="996"/>
        <v>Normal Discount</v>
      </c>
      <c r="H12768" s="37" t="str">
        <f t="shared" si="997"/>
        <v>Medium</v>
      </c>
      <c r="I12768">
        <v>2</v>
      </c>
      <c r="J12768" t="str" cm="1">
        <f t="array" ref="J12768">_xlfn.IFS(I12768&lt;=3,"small",I12768&lt;=6,"Medium",I12768&lt;=9,"Large")</f>
        <v>small</v>
      </c>
      <c r="K12768" s="36">
        <v>45103</v>
      </c>
      <c r="L12768" s="36">
        <v>45109</v>
      </c>
      <c r="M12768" t="s">
        <v>598</v>
      </c>
      <c r="N12768" t="s">
        <v>608</v>
      </c>
      <c r="O12768" s="37" t="str">
        <f t="shared" si="998"/>
        <v>Cash Payment</v>
      </c>
      <c r="P12768">
        <v>589.54</v>
      </c>
      <c r="Q12768" s="37" t="str">
        <f>IF(P12768&gt;500,"High","low")</f>
        <v>High</v>
      </c>
      <c r="R12768" s="37" t="str">
        <f t="shared" si="999"/>
        <v>Good</v>
      </c>
      <c r="S12768" t="s">
        <v>615</v>
      </c>
    </row>
    <row r="12769" spans="1:19" x14ac:dyDescent="0.2">
      <c r="A12769" t="s">
        <v>13380</v>
      </c>
      <c r="B12769" t="s">
        <v>90</v>
      </c>
      <c r="C12769" t="s">
        <v>597</v>
      </c>
      <c r="D12769">
        <v>2902.36</v>
      </c>
      <c r="E12769" s="37" t="str">
        <f t="shared" si="995"/>
        <v xml:space="preserve"> </v>
      </c>
      <c r="F12769">
        <v>0.49</v>
      </c>
      <c r="G12769" s="37" t="str">
        <f t="shared" si="996"/>
        <v>Heavy Discount</v>
      </c>
      <c r="H12769" s="37" t="str">
        <f t="shared" si="997"/>
        <v>High</v>
      </c>
      <c r="I12769">
        <v>1</v>
      </c>
      <c r="J12769" t="str" cm="1">
        <f t="array" ref="J12769">_xlfn.IFS(I12769&lt;=3,"small",I12769&lt;=6,"Medium",I12769&lt;=9,"Large")</f>
        <v>small</v>
      </c>
      <c r="K12769" s="36">
        <v>45536</v>
      </c>
      <c r="L12769" s="36">
        <v>45537</v>
      </c>
      <c r="M12769" t="s">
        <v>598</v>
      </c>
      <c r="N12769" t="s">
        <v>608</v>
      </c>
      <c r="O12769" s="37" t="str">
        <f t="shared" si="998"/>
        <v>Cash Payment</v>
      </c>
      <c r="P12769">
        <v>664.67</v>
      </c>
      <c r="Q12769" s="37" t="str">
        <f>IF(P12769&gt;500,"High","low")</f>
        <v>High</v>
      </c>
      <c r="R12769" s="37" t="str">
        <f t="shared" si="999"/>
        <v>Good</v>
      </c>
      <c r="S12769" t="s">
        <v>605</v>
      </c>
    </row>
    <row r="12770" spans="1:19" x14ac:dyDescent="0.2">
      <c r="A12770" t="s">
        <v>13381</v>
      </c>
      <c r="B12770" t="s">
        <v>90</v>
      </c>
      <c r="C12770" t="s">
        <v>597</v>
      </c>
      <c r="D12770">
        <v>1028.2</v>
      </c>
      <c r="E12770" s="37" t="str">
        <f t="shared" si="995"/>
        <v xml:space="preserve"> </v>
      </c>
      <c r="F12770">
        <v>0.31</v>
      </c>
      <c r="G12770" s="37" t="str">
        <f t="shared" si="996"/>
        <v>Heavy Discount</v>
      </c>
      <c r="H12770" s="37" t="str">
        <f t="shared" si="997"/>
        <v>Medium</v>
      </c>
      <c r="I12770">
        <v>3</v>
      </c>
      <c r="J12770" t="str" cm="1">
        <f t="array" ref="J12770">_xlfn.IFS(I12770&lt;=3,"small",I12770&lt;=6,"Medium",I12770&lt;=9,"Large")</f>
        <v>small</v>
      </c>
      <c r="K12770" s="36">
        <v>45018</v>
      </c>
      <c r="L12770" s="36">
        <v>45023</v>
      </c>
      <c r="M12770" t="s">
        <v>603</v>
      </c>
      <c r="N12770" t="s">
        <v>604</v>
      </c>
      <c r="O12770" s="37" t="str">
        <f t="shared" si="998"/>
        <v>Digital Payment</v>
      </c>
      <c r="P12770">
        <v>102.51</v>
      </c>
      <c r="Q12770" s="37" t="str">
        <f>IF(P12770&gt;500,"High","low")</f>
        <v>low</v>
      </c>
      <c r="R12770" s="37" t="str">
        <f t="shared" si="999"/>
        <v>AVERAGE</v>
      </c>
      <c r="S12770" t="s">
        <v>620</v>
      </c>
    </row>
    <row r="12771" spans="1:19" x14ac:dyDescent="0.2">
      <c r="A12771" t="s">
        <v>13382</v>
      </c>
      <c r="B12771" t="s">
        <v>90</v>
      </c>
      <c r="C12771" t="s">
        <v>614</v>
      </c>
      <c r="D12771">
        <v>3108.33</v>
      </c>
      <c r="E12771" s="37" t="str">
        <f t="shared" si="995"/>
        <v xml:space="preserve"> </v>
      </c>
      <c r="F12771">
        <v>0.32</v>
      </c>
      <c r="G12771" s="37" t="str">
        <f t="shared" si="996"/>
        <v>Heavy Discount</v>
      </c>
      <c r="H12771" s="37" t="str">
        <f t="shared" si="997"/>
        <v>Medium</v>
      </c>
      <c r="I12771">
        <v>6</v>
      </c>
      <c r="J12771" t="str" cm="1">
        <f t="array" ref="J12771">_xlfn.IFS(I12771&lt;=3,"small",I12771&lt;=6,"Medium",I12771&lt;=9,"Large")</f>
        <v>Medium</v>
      </c>
      <c r="K12771" s="36">
        <v>45177</v>
      </c>
      <c r="L12771" s="36">
        <v>45181</v>
      </c>
      <c r="M12771" t="s">
        <v>612</v>
      </c>
      <c r="N12771" t="s">
        <v>599</v>
      </c>
      <c r="O12771" s="37" t="str">
        <f t="shared" si="998"/>
        <v>Digital Payment</v>
      </c>
      <c r="P12771">
        <v>274.93</v>
      </c>
      <c r="Q12771" s="37" t="str">
        <f>IF(P12771&gt;500,"High","low")</f>
        <v>low</v>
      </c>
      <c r="R12771" s="37" t="str">
        <f t="shared" si="999"/>
        <v>AVERAGE</v>
      </c>
      <c r="S12771" t="s">
        <v>620</v>
      </c>
    </row>
    <row r="12772" spans="1:19" x14ac:dyDescent="0.2">
      <c r="A12772" t="s">
        <v>13383</v>
      </c>
      <c r="B12772" t="s">
        <v>83</v>
      </c>
      <c r="C12772" t="s">
        <v>597</v>
      </c>
      <c r="D12772">
        <v>1749.12</v>
      </c>
      <c r="E12772" s="37" t="str">
        <f t="shared" si="995"/>
        <v xml:space="preserve"> </v>
      </c>
      <c r="F12772">
        <v>7.0000000000000007E-2</v>
      </c>
      <c r="G12772" s="37" t="str">
        <f t="shared" si="996"/>
        <v>Normal Discount</v>
      </c>
      <c r="H12772" s="37" t="str">
        <f t="shared" si="997"/>
        <v>Low</v>
      </c>
      <c r="I12772">
        <v>8</v>
      </c>
      <c r="J12772" t="str" cm="1">
        <f t="array" ref="J12772">_xlfn.IFS(I12772&lt;=3,"small",I12772&lt;=6,"Medium",I12772&lt;=9,"Large")</f>
        <v>Large</v>
      </c>
      <c r="K12772" s="36">
        <v>45428</v>
      </c>
      <c r="L12772" s="36">
        <v>45430</v>
      </c>
      <c r="M12772" t="s">
        <v>598</v>
      </c>
      <c r="N12772" t="s">
        <v>604</v>
      </c>
      <c r="O12772" s="37" t="str">
        <f t="shared" si="998"/>
        <v>Digital Payment</v>
      </c>
      <c r="P12772">
        <v>264.29000000000002</v>
      </c>
      <c r="Q12772" s="37" t="str">
        <f>IF(P12772&gt;500,"High","low")</f>
        <v>low</v>
      </c>
      <c r="R12772" s="37" t="str">
        <f t="shared" si="999"/>
        <v>AVERAGE</v>
      </c>
      <c r="S12772" t="s">
        <v>628</v>
      </c>
    </row>
    <row r="12773" spans="1:19" x14ac:dyDescent="0.2">
      <c r="A12773" t="s">
        <v>13384</v>
      </c>
      <c r="B12773" t="s">
        <v>67</v>
      </c>
      <c r="C12773" t="s">
        <v>617</v>
      </c>
      <c r="D12773">
        <v>3696.65</v>
      </c>
      <c r="E12773" s="37" t="str">
        <f t="shared" si="995"/>
        <v xml:space="preserve"> </v>
      </c>
      <c r="F12773">
        <v>0.49</v>
      </c>
      <c r="G12773" s="37" t="str">
        <f t="shared" si="996"/>
        <v>Heavy Discount</v>
      </c>
      <c r="H12773" s="37" t="str">
        <f t="shared" si="997"/>
        <v>High</v>
      </c>
      <c r="I12773">
        <v>5</v>
      </c>
      <c r="J12773" t="str" cm="1">
        <f t="array" ref="J12773">_xlfn.IFS(I12773&lt;=3,"small",I12773&lt;=6,"Medium",I12773&lt;=9,"Large")</f>
        <v>Medium</v>
      </c>
      <c r="K12773" s="36">
        <v>45283</v>
      </c>
      <c r="L12773" s="36">
        <v>45288</v>
      </c>
      <c r="M12773" t="s">
        <v>612</v>
      </c>
      <c r="N12773" t="s">
        <v>604</v>
      </c>
      <c r="O12773" s="37" t="str">
        <f t="shared" si="998"/>
        <v>Digital Payment</v>
      </c>
      <c r="P12773">
        <v>1058.3499999999999</v>
      </c>
      <c r="Q12773" s="37" t="str">
        <f>IF(P12773&gt;500,"High","low")</f>
        <v>High</v>
      </c>
      <c r="R12773" s="37" t="str">
        <f t="shared" si="999"/>
        <v>Excellent</v>
      </c>
      <c r="S12773" t="s">
        <v>605</v>
      </c>
    </row>
    <row r="12774" spans="1:19" x14ac:dyDescent="0.2">
      <c r="A12774" t="s">
        <v>13385</v>
      </c>
      <c r="B12774" t="s">
        <v>90</v>
      </c>
      <c r="C12774" t="s">
        <v>614</v>
      </c>
      <c r="D12774">
        <v>2830.3</v>
      </c>
      <c r="E12774" s="37" t="str">
        <f t="shared" si="995"/>
        <v xml:space="preserve"> </v>
      </c>
      <c r="F12774">
        <v>0.04</v>
      </c>
      <c r="G12774" s="37" t="str">
        <f t="shared" si="996"/>
        <v>Normal Discount</v>
      </c>
      <c r="H12774" s="37" t="str">
        <f t="shared" si="997"/>
        <v>Low</v>
      </c>
      <c r="I12774">
        <v>8</v>
      </c>
      <c r="J12774" t="str" cm="1">
        <f t="array" ref="J12774">_xlfn.IFS(I12774&lt;=3,"small",I12774&lt;=6,"Medium",I12774&lt;=9,"Large")</f>
        <v>Large</v>
      </c>
      <c r="K12774" s="36">
        <v>45142</v>
      </c>
      <c r="L12774" s="36">
        <v>45146</v>
      </c>
      <c r="M12774" t="s">
        <v>598</v>
      </c>
      <c r="N12774" t="s">
        <v>599</v>
      </c>
      <c r="O12774" s="37" t="str">
        <f t="shared" si="998"/>
        <v>Digital Payment</v>
      </c>
      <c r="P12774">
        <v>164.98</v>
      </c>
      <c r="Q12774" s="37" t="str">
        <f>IF(P12774&gt;500,"High","low")</f>
        <v>low</v>
      </c>
      <c r="R12774" s="37" t="str">
        <f t="shared" si="999"/>
        <v>AVERAGE</v>
      </c>
      <c r="S12774" t="s">
        <v>609</v>
      </c>
    </row>
    <row r="12775" spans="1:19" x14ac:dyDescent="0.2">
      <c r="A12775" t="s">
        <v>13386</v>
      </c>
      <c r="B12775" t="s">
        <v>83</v>
      </c>
      <c r="C12775" t="s">
        <v>614</v>
      </c>
      <c r="D12775">
        <v>2815.92</v>
      </c>
      <c r="E12775" s="37" t="str">
        <f t="shared" si="995"/>
        <v xml:space="preserve"> </v>
      </c>
      <c r="F12775">
        <v>0.49</v>
      </c>
      <c r="G12775" s="37" t="str">
        <f t="shared" si="996"/>
        <v>Heavy Discount</v>
      </c>
      <c r="H12775" s="37" t="str">
        <f t="shared" si="997"/>
        <v>High</v>
      </c>
      <c r="I12775">
        <v>6</v>
      </c>
      <c r="J12775" t="str" cm="1">
        <f t="array" ref="J12775">_xlfn.IFS(I12775&lt;=3,"small",I12775&lt;=6,"Medium",I12775&lt;=9,"Large")</f>
        <v>Medium</v>
      </c>
      <c r="K12775" s="36">
        <v>45358</v>
      </c>
      <c r="L12775" s="36">
        <v>45364</v>
      </c>
      <c r="M12775" t="s">
        <v>603</v>
      </c>
      <c r="N12775" t="s">
        <v>608</v>
      </c>
      <c r="O12775" s="37" t="str">
        <f t="shared" si="998"/>
        <v>Cash Payment</v>
      </c>
      <c r="P12775">
        <v>718.45</v>
      </c>
      <c r="Q12775" s="37" t="str">
        <f>IF(P12775&gt;500,"High","low")</f>
        <v>High</v>
      </c>
      <c r="R12775" s="37" t="str">
        <f t="shared" si="999"/>
        <v>Good</v>
      </c>
      <c r="S12775" t="s">
        <v>615</v>
      </c>
    </row>
    <row r="12776" spans="1:19" x14ac:dyDescent="0.2">
      <c r="A12776" t="s">
        <v>13387</v>
      </c>
      <c r="B12776" t="s">
        <v>75</v>
      </c>
      <c r="C12776" t="s">
        <v>597</v>
      </c>
      <c r="D12776">
        <v>3458.89</v>
      </c>
      <c r="E12776" s="37" t="str">
        <f t="shared" si="995"/>
        <v xml:space="preserve"> </v>
      </c>
      <c r="F12776">
        <v>0.46</v>
      </c>
      <c r="G12776" s="37" t="str">
        <f t="shared" si="996"/>
        <v>Heavy Discount</v>
      </c>
      <c r="H12776" s="37" t="str">
        <f t="shared" si="997"/>
        <v>High</v>
      </c>
      <c r="I12776">
        <v>1</v>
      </c>
      <c r="J12776" t="str" cm="1">
        <f t="array" ref="J12776">_xlfn.IFS(I12776&lt;=3,"small",I12776&lt;=6,"Medium",I12776&lt;=9,"Large")</f>
        <v>small</v>
      </c>
      <c r="K12776" s="36">
        <v>45643</v>
      </c>
      <c r="L12776" s="36">
        <v>45645</v>
      </c>
      <c r="M12776" t="s">
        <v>603</v>
      </c>
      <c r="N12776" t="s">
        <v>604</v>
      </c>
      <c r="O12776" s="37" t="str">
        <f t="shared" si="998"/>
        <v>Digital Payment</v>
      </c>
      <c r="P12776">
        <v>529.04</v>
      </c>
      <c r="Q12776" s="37" t="str">
        <f>IF(P12776&gt;500,"High","low")</f>
        <v>High</v>
      </c>
      <c r="R12776" s="37" t="str">
        <f t="shared" si="999"/>
        <v>Good</v>
      </c>
      <c r="S12776" t="s">
        <v>600</v>
      </c>
    </row>
    <row r="12777" spans="1:19" x14ac:dyDescent="0.2">
      <c r="A12777" t="s">
        <v>13388</v>
      </c>
      <c r="B12777" t="s">
        <v>90</v>
      </c>
      <c r="C12777" t="s">
        <v>614</v>
      </c>
      <c r="D12777">
        <v>1731.79</v>
      </c>
      <c r="E12777" s="37" t="str">
        <f t="shared" si="995"/>
        <v xml:space="preserve"> </v>
      </c>
      <c r="F12777">
        <v>0.43</v>
      </c>
      <c r="G12777" s="37" t="str">
        <f t="shared" si="996"/>
        <v>Heavy Discount</v>
      </c>
      <c r="H12777" s="37" t="str">
        <f t="shared" si="997"/>
        <v>High</v>
      </c>
      <c r="I12777">
        <v>3</v>
      </c>
      <c r="J12777" t="str" cm="1">
        <f t="array" ref="J12777">_xlfn.IFS(I12777&lt;=3,"small",I12777&lt;=6,"Medium",I12777&lt;=9,"Large")</f>
        <v>small</v>
      </c>
      <c r="K12777" s="36">
        <v>45464</v>
      </c>
      <c r="L12777" s="36">
        <v>45469</v>
      </c>
      <c r="M12777" t="s">
        <v>598</v>
      </c>
      <c r="N12777" t="s">
        <v>599</v>
      </c>
      <c r="O12777" s="37" t="str">
        <f t="shared" si="998"/>
        <v>Digital Payment</v>
      </c>
      <c r="P12777">
        <v>100.61</v>
      </c>
      <c r="Q12777" s="37" t="str">
        <f>IF(P12777&gt;500,"High","low")</f>
        <v>low</v>
      </c>
      <c r="R12777" s="37" t="str">
        <f t="shared" si="999"/>
        <v>AVERAGE</v>
      </c>
      <c r="S12777" t="s">
        <v>605</v>
      </c>
    </row>
    <row r="12778" spans="1:19" x14ac:dyDescent="0.2">
      <c r="A12778" t="s">
        <v>13389</v>
      </c>
      <c r="B12778" t="s">
        <v>75</v>
      </c>
      <c r="C12778" t="s">
        <v>602</v>
      </c>
      <c r="D12778">
        <v>2203.2399999999998</v>
      </c>
      <c r="E12778" s="37" t="str">
        <f t="shared" si="995"/>
        <v xml:space="preserve"> </v>
      </c>
      <c r="F12778">
        <v>0.34</v>
      </c>
      <c r="G12778" s="37" t="str">
        <f t="shared" si="996"/>
        <v>Heavy Discount</v>
      </c>
      <c r="H12778" s="37" t="str">
        <f t="shared" si="997"/>
        <v>Medium</v>
      </c>
      <c r="I12778">
        <v>2</v>
      </c>
      <c r="J12778" t="str" cm="1">
        <f t="array" ref="J12778">_xlfn.IFS(I12778&lt;=3,"small",I12778&lt;=6,"Medium",I12778&lt;=9,"Large")</f>
        <v>small</v>
      </c>
      <c r="K12778" s="36">
        <v>45061</v>
      </c>
      <c r="L12778" s="36">
        <v>45068</v>
      </c>
      <c r="M12778" t="s">
        <v>598</v>
      </c>
      <c r="N12778" t="s">
        <v>599</v>
      </c>
      <c r="O12778" s="37" t="str">
        <f t="shared" si="998"/>
        <v>Digital Payment</v>
      </c>
      <c r="P12778">
        <v>208.39</v>
      </c>
      <c r="Q12778" s="37" t="str">
        <f>IF(P12778&gt;500,"High","low")</f>
        <v>low</v>
      </c>
      <c r="R12778" s="37" t="str">
        <f t="shared" si="999"/>
        <v>AVERAGE</v>
      </c>
      <c r="S12778" t="s">
        <v>615</v>
      </c>
    </row>
    <row r="12779" spans="1:19" x14ac:dyDescent="0.2">
      <c r="A12779" t="s">
        <v>13390</v>
      </c>
      <c r="B12779" t="s">
        <v>90</v>
      </c>
      <c r="C12779" t="s">
        <v>602</v>
      </c>
      <c r="D12779">
        <v>2956.2</v>
      </c>
      <c r="E12779" s="37" t="str">
        <f t="shared" si="995"/>
        <v xml:space="preserve"> </v>
      </c>
      <c r="F12779">
        <v>0.3</v>
      </c>
      <c r="G12779" s="37" t="str">
        <f t="shared" si="996"/>
        <v>Normal Discount</v>
      </c>
      <c r="H12779" s="37" t="str">
        <f t="shared" si="997"/>
        <v>Medium</v>
      </c>
      <c r="I12779">
        <v>6</v>
      </c>
      <c r="J12779" t="str" cm="1">
        <f t="array" ref="J12779">_xlfn.IFS(I12779&lt;=3,"small",I12779&lt;=6,"Medium",I12779&lt;=9,"Large")</f>
        <v>Medium</v>
      </c>
      <c r="K12779" s="36">
        <v>44970</v>
      </c>
      <c r="L12779" s="36">
        <v>44972</v>
      </c>
      <c r="M12779" t="s">
        <v>612</v>
      </c>
      <c r="N12779" t="s">
        <v>599</v>
      </c>
      <c r="O12779" s="37" t="str">
        <f t="shared" si="998"/>
        <v>Digital Payment</v>
      </c>
      <c r="P12779">
        <v>872.99</v>
      </c>
      <c r="Q12779" s="37" t="str">
        <f>IF(P12779&gt;500,"High","low")</f>
        <v>High</v>
      </c>
      <c r="R12779" s="37" t="str">
        <f t="shared" si="999"/>
        <v>Good</v>
      </c>
      <c r="S12779" t="s">
        <v>605</v>
      </c>
    </row>
    <row r="12780" spans="1:19" x14ac:dyDescent="0.2">
      <c r="A12780" t="s">
        <v>13391</v>
      </c>
      <c r="B12780" t="s">
        <v>83</v>
      </c>
      <c r="C12780" t="s">
        <v>597</v>
      </c>
      <c r="D12780">
        <v>2165.62</v>
      </c>
      <c r="E12780" s="37" t="str">
        <f t="shared" si="995"/>
        <v xml:space="preserve"> </v>
      </c>
      <c r="F12780">
        <v>0.5</v>
      </c>
      <c r="G12780" s="37" t="str">
        <f t="shared" si="996"/>
        <v>Heavy Discount</v>
      </c>
      <c r="H12780" s="37" t="str">
        <f t="shared" si="997"/>
        <v>High</v>
      </c>
      <c r="I12780">
        <v>8</v>
      </c>
      <c r="J12780" t="str" cm="1">
        <f t="array" ref="J12780">_xlfn.IFS(I12780&lt;=3,"small",I12780&lt;=6,"Medium",I12780&lt;=9,"Large")</f>
        <v>Large</v>
      </c>
      <c r="K12780" s="36">
        <v>45580</v>
      </c>
      <c r="L12780" s="36">
        <v>45586</v>
      </c>
      <c r="M12780" t="s">
        <v>598</v>
      </c>
      <c r="N12780" t="s">
        <v>608</v>
      </c>
      <c r="O12780" s="37" t="str">
        <f t="shared" si="998"/>
        <v>Cash Payment</v>
      </c>
      <c r="P12780">
        <v>549.62</v>
      </c>
      <c r="Q12780" s="37" t="str">
        <f>IF(P12780&gt;500,"High","low")</f>
        <v>High</v>
      </c>
      <c r="R12780" s="37" t="str">
        <f t="shared" si="999"/>
        <v>Good</v>
      </c>
      <c r="S12780" t="s">
        <v>609</v>
      </c>
    </row>
    <row r="12781" spans="1:19" x14ac:dyDescent="0.2">
      <c r="A12781" t="s">
        <v>13392</v>
      </c>
      <c r="B12781" t="s">
        <v>83</v>
      </c>
      <c r="C12781" t="s">
        <v>617</v>
      </c>
      <c r="D12781">
        <v>2276.86</v>
      </c>
      <c r="E12781" s="37" t="str">
        <f t="shared" si="995"/>
        <v xml:space="preserve"> </v>
      </c>
      <c r="F12781">
        <v>0.49</v>
      </c>
      <c r="G12781" s="37" t="str">
        <f t="shared" si="996"/>
        <v>Heavy Discount</v>
      </c>
      <c r="H12781" s="37" t="str">
        <f t="shared" si="997"/>
        <v>High</v>
      </c>
      <c r="I12781">
        <v>6</v>
      </c>
      <c r="J12781" t="str" cm="1">
        <f t="array" ref="J12781">_xlfn.IFS(I12781&lt;=3,"small",I12781&lt;=6,"Medium",I12781&lt;=9,"Large")</f>
        <v>Medium</v>
      </c>
      <c r="K12781" s="36">
        <v>44978</v>
      </c>
      <c r="L12781" s="36">
        <v>44984</v>
      </c>
      <c r="M12781" t="s">
        <v>603</v>
      </c>
      <c r="N12781" t="s">
        <v>599</v>
      </c>
      <c r="O12781" s="37" t="str">
        <f t="shared" si="998"/>
        <v>Digital Payment</v>
      </c>
      <c r="P12781">
        <v>585.22</v>
      </c>
      <c r="Q12781" s="37" t="str">
        <f>IF(P12781&gt;500,"High","low")</f>
        <v>High</v>
      </c>
      <c r="R12781" s="37" t="str">
        <f t="shared" si="999"/>
        <v>Good</v>
      </c>
      <c r="S12781" t="s">
        <v>620</v>
      </c>
    </row>
    <row r="12782" spans="1:19" x14ac:dyDescent="0.2">
      <c r="A12782" t="s">
        <v>13393</v>
      </c>
      <c r="B12782" t="s">
        <v>83</v>
      </c>
      <c r="C12782" t="s">
        <v>614</v>
      </c>
      <c r="D12782">
        <v>1435.19</v>
      </c>
      <c r="E12782" s="37" t="str">
        <f t="shared" si="995"/>
        <v xml:space="preserve"> </v>
      </c>
      <c r="F12782">
        <v>0.41</v>
      </c>
      <c r="G12782" s="37" t="str">
        <f t="shared" si="996"/>
        <v>Heavy Discount</v>
      </c>
      <c r="H12782" s="37" t="str">
        <f t="shared" si="997"/>
        <v>High</v>
      </c>
      <c r="I12782">
        <v>4</v>
      </c>
      <c r="J12782" t="str" cm="1">
        <f t="array" ref="J12782">_xlfn.IFS(I12782&lt;=3,"small",I12782&lt;=6,"Medium",I12782&lt;=9,"Large")</f>
        <v>Medium</v>
      </c>
      <c r="K12782" s="36">
        <v>45598</v>
      </c>
      <c r="L12782" s="36">
        <v>45599</v>
      </c>
      <c r="M12782" t="s">
        <v>598</v>
      </c>
      <c r="N12782" t="s">
        <v>604</v>
      </c>
      <c r="O12782" s="37" t="str">
        <f t="shared" si="998"/>
        <v>Digital Payment</v>
      </c>
      <c r="P12782">
        <v>268.74</v>
      </c>
      <c r="Q12782" s="37" t="str">
        <f>IF(P12782&gt;500,"High","low")</f>
        <v>low</v>
      </c>
      <c r="R12782" s="37" t="str">
        <f t="shared" si="999"/>
        <v>AVERAGE</v>
      </c>
      <c r="S12782" t="s">
        <v>615</v>
      </c>
    </row>
    <row r="12783" spans="1:19" x14ac:dyDescent="0.2">
      <c r="A12783" t="s">
        <v>13394</v>
      </c>
      <c r="B12783" t="s">
        <v>67</v>
      </c>
      <c r="C12783" t="s">
        <v>607</v>
      </c>
      <c r="D12783">
        <v>1508.19</v>
      </c>
      <c r="E12783" s="37" t="str">
        <f t="shared" si="995"/>
        <v xml:space="preserve"> </v>
      </c>
      <c r="F12783">
        <v>0.04</v>
      </c>
      <c r="G12783" s="37" t="str">
        <f t="shared" si="996"/>
        <v>Normal Discount</v>
      </c>
      <c r="H12783" s="37" t="str">
        <f t="shared" si="997"/>
        <v>Low</v>
      </c>
      <c r="I12783">
        <v>4</v>
      </c>
      <c r="J12783" t="str" cm="1">
        <f t="array" ref="J12783">_xlfn.IFS(I12783&lt;=3,"small",I12783&lt;=6,"Medium",I12783&lt;=9,"Large")</f>
        <v>Medium</v>
      </c>
      <c r="K12783" s="36">
        <v>45641</v>
      </c>
      <c r="L12783" s="36">
        <v>45644</v>
      </c>
      <c r="M12783" t="s">
        <v>603</v>
      </c>
      <c r="N12783" t="s">
        <v>599</v>
      </c>
      <c r="O12783" s="37" t="str">
        <f t="shared" si="998"/>
        <v>Digital Payment</v>
      </c>
      <c r="P12783">
        <v>90.28</v>
      </c>
      <c r="Q12783" s="37" t="str">
        <f>IF(P12783&gt;500,"High","low")</f>
        <v>low</v>
      </c>
      <c r="R12783" s="37" t="str">
        <f t="shared" si="999"/>
        <v>AVERAGE</v>
      </c>
      <c r="S12783" t="s">
        <v>615</v>
      </c>
    </row>
    <row r="12784" spans="1:19" x14ac:dyDescent="0.2">
      <c r="A12784" t="s">
        <v>13395</v>
      </c>
      <c r="B12784" t="s">
        <v>75</v>
      </c>
      <c r="C12784" t="s">
        <v>597</v>
      </c>
      <c r="D12784">
        <v>3524.89</v>
      </c>
      <c r="E12784" s="37" t="str">
        <f t="shared" si="995"/>
        <v xml:space="preserve"> </v>
      </c>
      <c r="F12784">
        <v>0.19</v>
      </c>
      <c r="G12784" s="37" t="str">
        <f t="shared" si="996"/>
        <v>Normal Discount</v>
      </c>
      <c r="H12784" s="37" t="str">
        <f t="shared" si="997"/>
        <v>Low</v>
      </c>
      <c r="I12784">
        <v>9</v>
      </c>
      <c r="J12784" t="str" cm="1">
        <f t="array" ref="J12784">_xlfn.IFS(I12784&lt;=3,"small",I12784&lt;=6,"Medium",I12784&lt;=9,"Large")</f>
        <v>Large</v>
      </c>
      <c r="K12784" s="36">
        <v>45001</v>
      </c>
      <c r="L12784" s="36">
        <v>45006</v>
      </c>
      <c r="M12784" t="s">
        <v>612</v>
      </c>
      <c r="N12784" t="s">
        <v>599</v>
      </c>
      <c r="O12784" s="37" t="str">
        <f t="shared" si="998"/>
        <v>Digital Payment</v>
      </c>
      <c r="P12784">
        <v>897.12</v>
      </c>
      <c r="Q12784" s="37" t="str">
        <f>IF(P12784&gt;500,"High","low")</f>
        <v>High</v>
      </c>
      <c r="R12784" s="37" t="str">
        <f t="shared" si="999"/>
        <v>Good</v>
      </c>
      <c r="S12784" t="s">
        <v>600</v>
      </c>
    </row>
    <row r="12785" spans="1:19" x14ac:dyDescent="0.2">
      <c r="A12785" t="s">
        <v>13396</v>
      </c>
      <c r="B12785" t="s">
        <v>67</v>
      </c>
      <c r="C12785" t="s">
        <v>614</v>
      </c>
      <c r="D12785">
        <v>120.98</v>
      </c>
      <c r="E12785" s="37" t="str">
        <f t="shared" si="995"/>
        <v xml:space="preserve"> </v>
      </c>
      <c r="F12785">
        <v>0.43</v>
      </c>
      <c r="G12785" s="37" t="str">
        <f t="shared" si="996"/>
        <v>Heavy Discount</v>
      </c>
      <c r="H12785" s="37" t="str">
        <f t="shared" si="997"/>
        <v>High</v>
      </c>
      <c r="I12785">
        <v>1</v>
      </c>
      <c r="J12785" t="str" cm="1">
        <f t="array" ref="J12785">_xlfn.IFS(I12785&lt;=3,"small",I12785&lt;=6,"Medium",I12785&lt;=9,"Large")</f>
        <v>small</v>
      </c>
      <c r="K12785" s="36">
        <v>45111</v>
      </c>
      <c r="L12785" s="36">
        <v>45113</v>
      </c>
      <c r="M12785" t="s">
        <v>598</v>
      </c>
      <c r="N12785" t="s">
        <v>604</v>
      </c>
      <c r="O12785" s="37" t="str">
        <f t="shared" si="998"/>
        <v>Digital Payment</v>
      </c>
      <c r="P12785">
        <v>20.37</v>
      </c>
      <c r="Q12785" s="37" t="str">
        <f>IF(P12785&gt;500,"High","low")</f>
        <v>low</v>
      </c>
      <c r="R12785" s="37" t="str">
        <f t="shared" si="999"/>
        <v>AVERAGE</v>
      </c>
      <c r="S12785" t="s">
        <v>628</v>
      </c>
    </row>
    <row r="12786" spans="1:19" x14ac:dyDescent="0.2">
      <c r="A12786" t="s">
        <v>13397</v>
      </c>
      <c r="B12786" t="s">
        <v>90</v>
      </c>
      <c r="C12786" t="s">
        <v>597</v>
      </c>
      <c r="D12786">
        <v>566.91999999999996</v>
      </c>
      <c r="E12786" s="37" t="str">
        <f t="shared" si="995"/>
        <v xml:space="preserve"> </v>
      </c>
      <c r="F12786">
        <v>0.35</v>
      </c>
      <c r="G12786" s="37" t="str">
        <f t="shared" si="996"/>
        <v>Heavy Discount</v>
      </c>
      <c r="H12786" s="37" t="str">
        <f t="shared" si="997"/>
        <v>Medium</v>
      </c>
      <c r="I12786">
        <v>2</v>
      </c>
      <c r="J12786" t="str" cm="1">
        <f t="array" ref="J12786">_xlfn.IFS(I12786&lt;=3,"small",I12786&lt;=6,"Medium",I12786&lt;=9,"Large")</f>
        <v>small</v>
      </c>
      <c r="K12786" s="36">
        <v>44978</v>
      </c>
      <c r="L12786" s="36">
        <v>44982</v>
      </c>
      <c r="M12786" t="s">
        <v>603</v>
      </c>
      <c r="N12786" t="s">
        <v>599</v>
      </c>
      <c r="O12786" s="37" t="str">
        <f t="shared" si="998"/>
        <v>Digital Payment</v>
      </c>
      <c r="P12786">
        <v>129.65</v>
      </c>
      <c r="Q12786" s="37" t="str">
        <f>IF(P12786&gt;500,"High","low")</f>
        <v>low</v>
      </c>
      <c r="R12786" s="37" t="str">
        <f t="shared" si="999"/>
        <v>AVERAGE</v>
      </c>
      <c r="S12786" t="s">
        <v>615</v>
      </c>
    </row>
    <row r="12787" spans="1:19" x14ac:dyDescent="0.2">
      <c r="A12787" t="s">
        <v>13398</v>
      </c>
      <c r="B12787" t="s">
        <v>75</v>
      </c>
      <c r="C12787" t="s">
        <v>597</v>
      </c>
      <c r="D12787">
        <v>4749.17</v>
      </c>
      <c r="E12787" s="37" t="str">
        <f t="shared" si="995"/>
        <v>Excellent Order</v>
      </c>
      <c r="F12787">
        <v>0.06</v>
      </c>
      <c r="G12787" s="37" t="str">
        <f t="shared" si="996"/>
        <v>Normal Discount</v>
      </c>
      <c r="H12787" s="37" t="str">
        <f t="shared" si="997"/>
        <v>Low</v>
      </c>
      <c r="I12787">
        <v>4</v>
      </c>
      <c r="J12787" t="str" cm="1">
        <f t="array" ref="J12787">_xlfn.IFS(I12787&lt;=3,"small",I12787&lt;=6,"Medium",I12787&lt;=9,"Large")</f>
        <v>Medium</v>
      </c>
      <c r="K12787" s="36">
        <v>45165</v>
      </c>
      <c r="L12787" s="36">
        <v>45166</v>
      </c>
      <c r="M12787" t="s">
        <v>603</v>
      </c>
      <c r="N12787" t="s">
        <v>604</v>
      </c>
      <c r="O12787" s="37" t="str">
        <f t="shared" si="998"/>
        <v>Digital Payment</v>
      </c>
      <c r="P12787">
        <v>1122.9000000000001</v>
      </c>
      <c r="Q12787" s="37" t="str">
        <f>IF(P12787&gt;500,"High","low")</f>
        <v>High</v>
      </c>
      <c r="R12787" s="37" t="str">
        <f t="shared" si="999"/>
        <v>Excellent</v>
      </c>
      <c r="S12787" t="s">
        <v>620</v>
      </c>
    </row>
    <row r="12788" spans="1:19" x14ac:dyDescent="0.2">
      <c r="A12788" t="s">
        <v>13399</v>
      </c>
      <c r="B12788" t="s">
        <v>83</v>
      </c>
      <c r="C12788" t="s">
        <v>617</v>
      </c>
      <c r="D12788">
        <v>1016.39</v>
      </c>
      <c r="E12788" s="37" t="str">
        <f t="shared" si="995"/>
        <v xml:space="preserve"> </v>
      </c>
      <c r="F12788">
        <v>0.17</v>
      </c>
      <c r="G12788" s="37" t="str">
        <f t="shared" si="996"/>
        <v>Normal Discount</v>
      </c>
      <c r="H12788" s="37" t="str">
        <f t="shared" si="997"/>
        <v>Low</v>
      </c>
      <c r="I12788">
        <v>3</v>
      </c>
      <c r="J12788" t="str" cm="1">
        <f t="array" ref="J12788">_xlfn.IFS(I12788&lt;=3,"small",I12788&lt;=6,"Medium",I12788&lt;=9,"Large")</f>
        <v>small</v>
      </c>
      <c r="K12788" s="36">
        <v>45552</v>
      </c>
      <c r="L12788" s="36">
        <v>45555</v>
      </c>
      <c r="M12788" t="s">
        <v>603</v>
      </c>
      <c r="N12788" t="s">
        <v>608</v>
      </c>
      <c r="O12788" s="37" t="str">
        <f t="shared" si="998"/>
        <v>Cash Payment</v>
      </c>
      <c r="P12788">
        <v>61.06</v>
      </c>
      <c r="Q12788" s="37" t="str">
        <f>IF(P12788&gt;500,"High","low")</f>
        <v>low</v>
      </c>
      <c r="R12788" s="37" t="str">
        <f t="shared" si="999"/>
        <v>AVERAGE</v>
      </c>
      <c r="S12788" t="s">
        <v>600</v>
      </c>
    </row>
    <row r="12789" spans="1:19" x14ac:dyDescent="0.2">
      <c r="A12789" t="s">
        <v>13400</v>
      </c>
      <c r="B12789" t="s">
        <v>75</v>
      </c>
      <c r="C12789" t="s">
        <v>607</v>
      </c>
      <c r="D12789">
        <v>2148.79</v>
      </c>
      <c r="E12789" s="37" t="str">
        <f t="shared" si="995"/>
        <v xml:space="preserve"> </v>
      </c>
      <c r="F12789">
        <v>0.01</v>
      </c>
      <c r="G12789" s="37" t="str">
        <f t="shared" si="996"/>
        <v>Normal Discount</v>
      </c>
      <c r="H12789" s="37" t="str">
        <f t="shared" si="997"/>
        <v>Low</v>
      </c>
      <c r="I12789">
        <v>9</v>
      </c>
      <c r="J12789" t="str" cm="1">
        <f t="array" ref="J12789">_xlfn.IFS(I12789&lt;=3,"small",I12789&lt;=6,"Medium",I12789&lt;=9,"Large")</f>
        <v>Large</v>
      </c>
      <c r="K12789" s="36">
        <v>45627</v>
      </c>
      <c r="L12789" s="36">
        <v>45631</v>
      </c>
      <c r="M12789" t="s">
        <v>612</v>
      </c>
      <c r="N12789" t="s">
        <v>608</v>
      </c>
      <c r="O12789" s="37" t="str">
        <f t="shared" si="998"/>
        <v>Cash Payment</v>
      </c>
      <c r="P12789">
        <v>228.45</v>
      </c>
      <c r="Q12789" s="37" t="str">
        <f>IF(P12789&gt;500,"High","low")</f>
        <v>low</v>
      </c>
      <c r="R12789" s="37" t="str">
        <f t="shared" si="999"/>
        <v>AVERAGE</v>
      </c>
      <c r="S12789" t="s">
        <v>605</v>
      </c>
    </row>
    <row r="12790" spans="1:19" x14ac:dyDescent="0.2">
      <c r="A12790" t="s">
        <v>13401</v>
      </c>
      <c r="B12790" t="s">
        <v>83</v>
      </c>
      <c r="C12790" t="s">
        <v>614</v>
      </c>
      <c r="D12790">
        <v>4263.46</v>
      </c>
      <c r="E12790" s="37" t="str">
        <f t="shared" si="995"/>
        <v>Excellent Order</v>
      </c>
      <c r="F12790">
        <v>0.45</v>
      </c>
      <c r="G12790" s="37" t="str">
        <f t="shared" si="996"/>
        <v>Heavy Discount</v>
      </c>
      <c r="H12790" s="37" t="str">
        <f t="shared" si="997"/>
        <v>High</v>
      </c>
      <c r="I12790">
        <v>5</v>
      </c>
      <c r="J12790" t="str" cm="1">
        <f t="array" ref="J12790">_xlfn.IFS(I12790&lt;=3,"small",I12790&lt;=6,"Medium",I12790&lt;=9,"Large")</f>
        <v>Medium</v>
      </c>
      <c r="K12790" s="36">
        <v>44988</v>
      </c>
      <c r="L12790" s="36">
        <v>44989</v>
      </c>
      <c r="M12790" t="s">
        <v>603</v>
      </c>
      <c r="N12790" t="s">
        <v>599</v>
      </c>
      <c r="O12790" s="37" t="str">
        <f t="shared" si="998"/>
        <v>Digital Payment</v>
      </c>
      <c r="P12790">
        <v>1100.95</v>
      </c>
      <c r="Q12790" s="37" t="str">
        <f>IF(P12790&gt;500,"High","low")</f>
        <v>High</v>
      </c>
      <c r="R12790" s="37" t="str">
        <f t="shared" si="999"/>
        <v>Excellent</v>
      </c>
      <c r="S12790" t="s">
        <v>628</v>
      </c>
    </row>
    <row r="12791" spans="1:19" x14ac:dyDescent="0.2">
      <c r="A12791" t="s">
        <v>13402</v>
      </c>
      <c r="B12791" t="s">
        <v>67</v>
      </c>
      <c r="C12791" t="s">
        <v>597</v>
      </c>
      <c r="D12791">
        <v>100.5</v>
      </c>
      <c r="E12791" s="37" t="str">
        <f t="shared" si="995"/>
        <v xml:space="preserve"> </v>
      </c>
      <c r="F12791">
        <v>0.37</v>
      </c>
      <c r="G12791" s="37" t="str">
        <f t="shared" si="996"/>
        <v>Heavy Discount</v>
      </c>
      <c r="H12791" s="37" t="str">
        <f t="shared" si="997"/>
        <v>Medium</v>
      </c>
      <c r="I12791">
        <v>8</v>
      </c>
      <c r="J12791" t="str" cm="1">
        <f t="array" ref="J12791">_xlfn.IFS(I12791&lt;=3,"small",I12791&lt;=6,"Medium",I12791&lt;=9,"Large")</f>
        <v>Large</v>
      </c>
      <c r="K12791" s="36">
        <v>45652</v>
      </c>
      <c r="L12791" s="36">
        <v>45657</v>
      </c>
      <c r="M12791" t="s">
        <v>612</v>
      </c>
      <c r="N12791" t="s">
        <v>608</v>
      </c>
      <c r="O12791" s="37" t="str">
        <f t="shared" si="998"/>
        <v>Cash Payment</v>
      </c>
      <c r="P12791">
        <v>17.37</v>
      </c>
      <c r="Q12791" s="37" t="str">
        <f>IF(P12791&gt;500,"High","low")</f>
        <v>low</v>
      </c>
      <c r="R12791" s="37" t="str">
        <f t="shared" si="999"/>
        <v>AVERAGE</v>
      </c>
      <c r="S12791" t="s">
        <v>600</v>
      </c>
    </row>
    <row r="12792" spans="1:19" x14ac:dyDescent="0.2">
      <c r="A12792" t="s">
        <v>13403</v>
      </c>
      <c r="B12792" t="s">
        <v>67</v>
      </c>
      <c r="C12792" t="s">
        <v>597</v>
      </c>
      <c r="D12792">
        <v>4633.38</v>
      </c>
      <c r="E12792" s="37" t="str">
        <f t="shared" si="995"/>
        <v xml:space="preserve"> </v>
      </c>
      <c r="F12792">
        <v>0.22</v>
      </c>
      <c r="G12792" s="37" t="str">
        <f t="shared" si="996"/>
        <v>Normal Discount</v>
      </c>
      <c r="H12792" s="37" t="str">
        <f t="shared" si="997"/>
        <v>Medium</v>
      </c>
      <c r="I12792">
        <v>4</v>
      </c>
      <c r="J12792" t="str" cm="1">
        <f t="array" ref="J12792">_xlfn.IFS(I12792&lt;=3,"small",I12792&lt;=6,"Medium",I12792&lt;=9,"Large")</f>
        <v>Medium</v>
      </c>
      <c r="K12792" s="36">
        <v>45258</v>
      </c>
      <c r="L12792" s="36">
        <v>45262</v>
      </c>
      <c r="M12792" t="s">
        <v>612</v>
      </c>
      <c r="N12792" t="s">
        <v>608</v>
      </c>
      <c r="O12792" s="37" t="str">
        <f t="shared" si="998"/>
        <v>Cash Payment</v>
      </c>
      <c r="P12792">
        <v>268.49</v>
      </c>
      <c r="Q12792" s="37" t="str">
        <f>IF(P12792&gt;500,"High","low")</f>
        <v>low</v>
      </c>
      <c r="R12792" s="37" t="str">
        <f t="shared" si="999"/>
        <v>AVERAGE</v>
      </c>
      <c r="S12792" t="s">
        <v>609</v>
      </c>
    </row>
    <row r="12793" spans="1:19" x14ac:dyDescent="0.2">
      <c r="A12793" t="s">
        <v>13404</v>
      </c>
      <c r="B12793" t="s">
        <v>83</v>
      </c>
      <c r="C12793" t="s">
        <v>614</v>
      </c>
      <c r="D12793">
        <v>362.09</v>
      </c>
      <c r="E12793" s="37" t="str">
        <f t="shared" si="995"/>
        <v xml:space="preserve"> </v>
      </c>
      <c r="F12793">
        <v>0.38</v>
      </c>
      <c r="G12793" s="37" t="str">
        <f t="shared" si="996"/>
        <v>Heavy Discount</v>
      </c>
      <c r="H12793" s="37" t="str">
        <f t="shared" si="997"/>
        <v>Medium</v>
      </c>
      <c r="I12793">
        <v>4</v>
      </c>
      <c r="J12793" t="str" cm="1">
        <f t="array" ref="J12793">_xlfn.IFS(I12793&lt;=3,"small",I12793&lt;=6,"Medium",I12793&lt;=9,"Large")</f>
        <v>Medium</v>
      </c>
      <c r="K12793" s="36">
        <v>45085</v>
      </c>
      <c r="L12793" s="36">
        <v>45092</v>
      </c>
      <c r="M12793" t="s">
        <v>598</v>
      </c>
      <c r="N12793" t="s">
        <v>599</v>
      </c>
      <c r="O12793" s="37" t="str">
        <f t="shared" si="998"/>
        <v>Digital Payment</v>
      </c>
      <c r="P12793">
        <v>104.93</v>
      </c>
      <c r="Q12793" s="37" t="str">
        <f>IF(P12793&gt;500,"High","low")</f>
        <v>low</v>
      </c>
      <c r="R12793" s="37" t="str">
        <f t="shared" si="999"/>
        <v>AVERAGE</v>
      </c>
      <c r="S12793" t="s">
        <v>615</v>
      </c>
    </row>
    <row r="12794" spans="1:19" x14ac:dyDescent="0.2">
      <c r="A12794" t="s">
        <v>13405</v>
      </c>
      <c r="B12794" t="s">
        <v>83</v>
      </c>
      <c r="C12794" t="s">
        <v>597</v>
      </c>
      <c r="D12794">
        <v>937.26</v>
      </c>
      <c r="E12794" s="37" t="str">
        <f t="shared" si="995"/>
        <v xml:space="preserve"> </v>
      </c>
      <c r="F12794">
        <v>0.47</v>
      </c>
      <c r="G12794" s="37" t="str">
        <f t="shared" si="996"/>
        <v>Heavy Discount</v>
      </c>
      <c r="H12794" s="37" t="str">
        <f t="shared" si="997"/>
        <v>High</v>
      </c>
      <c r="I12794">
        <v>3</v>
      </c>
      <c r="J12794" t="str" cm="1">
        <f t="array" ref="J12794">_xlfn.IFS(I12794&lt;=3,"small",I12794&lt;=6,"Medium",I12794&lt;=9,"Large")</f>
        <v>small</v>
      </c>
      <c r="K12794" s="36">
        <v>45339</v>
      </c>
      <c r="L12794" s="36">
        <v>45341</v>
      </c>
      <c r="M12794" t="s">
        <v>612</v>
      </c>
      <c r="N12794" t="s">
        <v>604</v>
      </c>
      <c r="O12794" s="37" t="str">
        <f t="shared" si="998"/>
        <v>Digital Payment</v>
      </c>
      <c r="P12794">
        <v>191.68</v>
      </c>
      <c r="Q12794" s="37" t="str">
        <f>IF(P12794&gt;500,"High","low")</f>
        <v>low</v>
      </c>
      <c r="R12794" s="37" t="str">
        <f t="shared" si="999"/>
        <v>AVERAGE</v>
      </c>
      <c r="S12794" t="s">
        <v>609</v>
      </c>
    </row>
    <row r="12795" spans="1:19" x14ac:dyDescent="0.2">
      <c r="A12795" t="s">
        <v>13406</v>
      </c>
      <c r="B12795" t="s">
        <v>90</v>
      </c>
      <c r="C12795" t="s">
        <v>597</v>
      </c>
      <c r="D12795">
        <v>242.61</v>
      </c>
      <c r="E12795" s="37" t="str">
        <f t="shared" si="995"/>
        <v xml:space="preserve"> </v>
      </c>
      <c r="F12795">
        <v>0.14000000000000001</v>
      </c>
      <c r="G12795" s="37" t="str">
        <f t="shared" si="996"/>
        <v>Normal Discount</v>
      </c>
      <c r="H12795" s="37" t="str">
        <f t="shared" si="997"/>
        <v>Low</v>
      </c>
      <c r="I12795">
        <v>9</v>
      </c>
      <c r="J12795" t="str" cm="1">
        <f t="array" ref="J12795">_xlfn.IFS(I12795&lt;=3,"small",I12795&lt;=6,"Medium",I12795&lt;=9,"Large")</f>
        <v>Large</v>
      </c>
      <c r="K12795" s="36">
        <v>45213</v>
      </c>
      <c r="L12795" s="36">
        <v>45219</v>
      </c>
      <c r="M12795" t="s">
        <v>598</v>
      </c>
      <c r="N12795" t="s">
        <v>604</v>
      </c>
      <c r="O12795" s="37" t="str">
        <f t="shared" si="998"/>
        <v>Digital Payment</v>
      </c>
      <c r="P12795">
        <v>36.36</v>
      </c>
      <c r="Q12795" s="37" t="str">
        <f>IF(P12795&gt;500,"High","low")</f>
        <v>low</v>
      </c>
      <c r="R12795" s="37" t="str">
        <f t="shared" si="999"/>
        <v>AVERAGE</v>
      </c>
      <c r="S12795" t="s">
        <v>600</v>
      </c>
    </row>
    <row r="12796" spans="1:19" x14ac:dyDescent="0.2">
      <c r="A12796" t="s">
        <v>13407</v>
      </c>
      <c r="B12796" t="s">
        <v>67</v>
      </c>
      <c r="C12796" t="s">
        <v>597</v>
      </c>
      <c r="D12796">
        <v>2645.65</v>
      </c>
      <c r="E12796" s="37" t="str">
        <f t="shared" si="995"/>
        <v xml:space="preserve"> </v>
      </c>
      <c r="F12796">
        <v>0.14000000000000001</v>
      </c>
      <c r="G12796" s="37" t="str">
        <f t="shared" si="996"/>
        <v>Normal Discount</v>
      </c>
      <c r="H12796" s="37" t="str">
        <f t="shared" si="997"/>
        <v>Low</v>
      </c>
      <c r="I12796">
        <v>2</v>
      </c>
      <c r="J12796" t="str" cm="1">
        <f t="array" ref="J12796">_xlfn.IFS(I12796&lt;=3,"small",I12796&lt;=6,"Medium",I12796&lt;=9,"Large")</f>
        <v>small</v>
      </c>
      <c r="K12796" s="36">
        <v>45450</v>
      </c>
      <c r="L12796" s="36">
        <v>45451</v>
      </c>
      <c r="M12796" t="s">
        <v>598</v>
      </c>
      <c r="N12796" t="s">
        <v>604</v>
      </c>
      <c r="O12796" s="37" t="str">
        <f t="shared" si="998"/>
        <v>Digital Payment</v>
      </c>
      <c r="P12796">
        <v>728.04</v>
      </c>
      <c r="Q12796" s="37" t="str">
        <f>IF(P12796&gt;500,"High","low")</f>
        <v>High</v>
      </c>
      <c r="R12796" s="37" t="str">
        <f t="shared" si="999"/>
        <v>Good</v>
      </c>
      <c r="S12796" t="s">
        <v>609</v>
      </c>
    </row>
    <row r="12797" spans="1:19" x14ac:dyDescent="0.2">
      <c r="A12797" t="s">
        <v>13408</v>
      </c>
      <c r="B12797" t="s">
        <v>67</v>
      </c>
      <c r="C12797" t="s">
        <v>602</v>
      </c>
      <c r="D12797">
        <v>4721.16</v>
      </c>
      <c r="E12797" s="37" t="str">
        <f t="shared" si="995"/>
        <v xml:space="preserve"> </v>
      </c>
      <c r="F12797">
        <v>0.24</v>
      </c>
      <c r="G12797" s="37" t="str">
        <f t="shared" si="996"/>
        <v>Normal Discount</v>
      </c>
      <c r="H12797" s="37" t="str">
        <f t="shared" si="997"/>
        <v>Medium</v>
      </c>
      <c r="I12797">
        <v>3</v>
      </c>
      <c r="J12797" t="str" cm="1">
        <f t="array" ref="J12797">_xlfn.IFS(I12797&lt;=3,"small",I12797&lt;=6,"Medium",I12797&lt;=9,"Large")</f>
        <v>small</v>
      </c>
      <c r="K12797" s="36">
        <v>45239</v>
      </c>
      <c r="L12797" s="36">
        <v>45240</v>
      </c>
      <c r="M12797" t="s">
        <v>598</v>
      </c>
      <c r="N12797" t="s">
        <v>604</v>
      </c>
      <c r="O12797" s="37" t="str">
        <f t="shared" si="998"/>
        <v>Digital Payment</v>
      </c>
      <c r="P12797">
        <v>391.94</v>
      </c>
      <c r="Q12797" s="37" t="str">
        <f>IF(P12797&gt;500,"High","low")</f>
        <v>low</v>
      </c>
      <c r="R12797" s="37" t="str">
        <f t="shared" si="999"/>
        <v>AVERAGE</v>
      </c>
      <c r="S12797" t="s">
        <v>615</v>
      </c>
    </row>
    <row r="12798" spans="1:19" x14ac:dyDescent="0.2">
      <c r="A12798" t="s">
        <v>13409</v>
      </c>
      <c r="B12798" t="s">
        <v>90</v>
      </c>
      <c r="C12798" t="s">
        <v>602</v>
      </c>
      <c r="D12798">
        <v>4211.28</v>
      </c>
      <c r="E12798" s="37" t="str">
        <f t="shared" si="995"/>
        <v>Excellent Order</v>
      </c>
      <c r="F12798">
        <v>0.35</v>
      </c>
      <c r="G12798" s="37" t="str">
        <f t="shared" si="996"/>
        <v>Heavy Discount</v>
      </c>
      <c r="H12798" s="37" t="str">
        <f t="shared" si="997"/>
        <v>Medium</v>
      </c>
      <c r="I12798">
        <v>3</v>
      </c>
      <c r="J12798" t="str" cm="1">
        <f t="array" ref="J12798">_xlfn.IFS(I12798&lt;=3,"small",I12798&lt;=6,"Medium",I12798&lt;=9,"Large")</f>
        <v>small</v>
      </c>
      <c r="K12798" s="36">
        <v>45607</v>
      </c>
      <c r="L12798" s="36">
        <v>45612</v>
      </c>
      <c r="M12798" t="s">
        <v>603</v>
      </c>
      <c r="N12798" t="s">
        <v>604</v>
      </c>
      <c r="O12798" s="37" t="str">
        <f t="shared" si="998"/>
        <v>Digital Payment</v>
      </c>
      <c r="P12798">
        <v>1236.5899999999999</v>
      </c>
      <c r="Q12798" s="37" t="str">
        <f>IF(P12798&gt;500,"High","low")</f>
        <v>High</v>
      </c>
      <c r="R12798" s="37" t="str">
        <f t="shared" si="999"/>
        <v>Excellent</v>
      </c>
      <c r="S12798" t="s">
        <v>628</v>
      </c>
    </row>
    <row r="12799" spans="1:19" x14ac:dyDescent="0.2">
      <c r="A12799" t="s">
        <v>13410</v>
      </c>
      <c r="B12799" t="s">
        <v>67</v>
      </c>
      <c r="C12799" t="s">
        <v>607</v>
      </c>
      <c r="D12799">
        <v>3234.77</v>
      </c>
      <c r="E12799" s="37" t="str">
        <f t="shared" si="995"/>
        <v xml:space="preserve"> </v>
      </c>
      <c r="F12799">
        <v>0.5</v>
      </c>
      <c r="G12799" s="37" t="str">
        <f t="shared" si="996"/>
        <v>Heavy Discount</v>
      </c>
      <c r="H12799" s="37" t="str">
        <f t="shared" si="997"/>
        <v>High</v>
      </c>
      <c r="I12799">
        <v>3</v>
      </c>
      <c r="J12799" t="str" cm="1">
        <f t="array" ref="J12799">_xlfn.IFS(I12799&lt;=3,"small",I12799&lt;=6,"Medium",I12799&lt;=9,"Large")</f>
        <v>small</v>
      </c>
      <c r="K12799" s="36">
        <v>44953</v>
      </c>
      <c r="L12799" s="36">
        <v>44954</v>
      </c>
      <c r="M12799" t="s">
        <v>598</v>
      </c>
      <c r="N12799" t="s">
        <v>599</v>
      </c>
      <c r="O12799" s="37" t="str">
        <f t="shared" si="998"/>
        <v>Digital Payment</v>
      </c>
      <c r="P12799">
        <v>371.82</v>
      </c>
      <c r="Q12799" s="37" t="str">
        <f>IF(P12799&gt;500,"High","low")</f>
        <v>low</v>
      </c>
      <c r="R12799" s="37" t="str">
        <f t="shared" si="999"/>
        <v>AVERAGE</v>
      </c>
      <c r="S12799" t="s">
        <v>600</v>
      </c>
    </row>
    <row r="12800" spans="1:19" x14ac:dyDescent="0.2">
      <c r="A12800" t="s">
        <v>13411</v>
      </c>
      <c r="B12800" t="s">
        <v>83</v>
      </c>
      <c r="C12800" t="s">
        <v>617</v>
      </c>
      <c r="D12800">
        <v>1008.89</v>
      </c>
      <c r="E12800" s="37" t="str">
        <f t="shared" si="995"/>
        <v xml:space="preserve"> </v>
      </c>
      <c r="F12800">
        <v>0.08</v>
      </c>
      <c r="G12800" s="37" t="str">
        <f t="shared" si="996"/>
        <v>Normal Discount</v>
      </c>
      <c r="H12800" s="37" t="str">
        <f t="shared" si="997"/>
        <v>Low</v>
      </c>
      <c r="I12800">
        <v>4</v>
      </c>
      <c r="J12800" t="str" cm="1">
        <f t="array" ref="J12800">_xlfn.IFS(I12800&lt;=3,"small",I12800&lt;=6,"Medium",I12800&lt;=9,"Large")</f>
        <v>Medium</v>
      </c>
      <c r="K12800" s="36">
        <v>45404</v>
      </c>
      <c r="L12800" s="36">
        <v>45407</v>
      </c>
      <c r="M12800" t="s">
        <v>603</v>
      </c>
      <c r="N12800" t="s">
        <v>608</v>
      </c>
      <c r="O12800" s="37" t="str">
        <f t="shared" si="998"/>
        <v>Cash Payment</v>
      </c>
      <c r="P12800">
        <v>191.84</v>
      </c>
      <c r="Q12800" s="37" t="str">
        <f>IF(P12800&gt;500,"High","low")</f>
        <v>low</v>
      </c>
      <c r="R12800" s="37" t="str">
        <f t="shared" si="999"/>
        <v>AVERAGE</v>
      </c>
      <c r="S12800" t="s">
        <v>609</v>
      </c>
    </row>
    <row r="12801" spans="1:19" x14ac:dyDescent="0.2">
      <c r="A12801" t="s">
        <v>13412</v>
      </c>
      <c r="B12801" t="s">
        <v>75</v>
      </c>
      <c r="C12801" t="s">
        <v>614</v>
      </c>
      <c r="D12801">
        <v>4361.03</v>
      </c>
      <c r="E12801" s="37" t="str">
        <f t="shared" si="995"/>
        <v>Excellent Order</v>
      </c>
      <c r="F12801">
        <v>0.17</v>
      </c>
      <c r="G12801" s="37" t="str">
        <f t="shared" si="996"/>
        <v>Normal Discount</v>
      </c>
      <c r="H12801" s="37" t="str">
        <f t="shared" si="997"/>
        <v>Low</v>
      </c>
      <c r="I12801">
        <v>5</v>
      </c>
      <c r="J12801" t="str" cm="1">
        <f t="array" ref="J12801">_xlfn.IFS(I12801&lt;=3,"small",I12801&lt;=6,"Medium",I12801&lt;=9,"Large")</f>
        <v>Medium</v>
      </c>
      <c r="K12801" s="36">
        <v>45292</v>
      </c>
      <c r="L12801" s="36">
        <v>45294</v>
      </c>
      <c r="M12801" t="s">
        <v>598</v>
      </c>
      <c r="N12801" t="s">
        <v>604</v>
      </c>
      <c r="O12801" s="37" t="str">
        <f t="shared" si="998"/>
        <v>Digital Payment</v>
      </c>
      <c r="P12801">
        <v>1109.9000000000001</v>
      </c>
      <c r="Q12801" s="37" t="str">
        <f>IF(P12801&gt;500,"High","low")</f>
        <v>High</v>
      </c>
      <c r="R12801" s="37" t="str">
        <f t="shared" si="999"/>
        <v>Excellent</v>
      </c>
      <c r="S12801" t="s">
        <v>609</v>
      </c>
    </row>
    <row r="12802" spans="1:19" x14ac:dyDescent="0.2">
      <c r="A12802" t="s">
        <v>13413</v>
      </c>
      <c r="B12802" t="s">
        <v>75</v>
      </c>
      <c r="C12802" t="s">
        <v>617</v>
      </c>
      <c r="D12802">
        <v>3798.4</v>
      </c>
      <c r="E12802" s="37" t="str">
        <f t="shared" si="995"/>
        <v xml:space="preserve"> </v>
      </c>
      <c r="F12802">
        <v>0.18</v>
      </c>
      <c r="G12802" s="37" t="str">
        <f t="shared" si="996"/>
        <v>Normal Discount</v>
      </c>
      <c r="H12802" s="37" t="str">
        <f t="shared" si="997"/>
        <v>Low</v>
      </c>
      <c r="I12802">
        <v>6</v>
      </c>
      <c r="J12802" t="str" cm="1">
        <f t="array" ref="J12802">_xlfn.IFS(I12802&lt;=3,"small",I12802&lt;=6,"Medium",I12802&lt;=9,"Large")</f>
        <v>Medium</v>
      </c>
      <c r="K12802" s="36">
        <v>45334</v>
      </c>
      <c r="L12802" s="36">
        <v>45340</v>
      </c>
      <c r="M12802" t="s">
        <v>598</v>
      </c>
      <c r="N12802" t="s">
        <v>608</v>
      </c>
      <c r="O12802" s="37" t="str">
        <f t="shared" si="998"/>
        <v>Cash Payment</v>
      </c>
      <c r="P12802">
        <v>442.1</v>
      </c>
      <c r="Q12802" s="37" t="str">
        <f>IF(P12802&gt;500,"High","low")</f>
        <v>low</v>
      </c>
      <c r="R12802" s="37" t="str">
        <f t="shared" si="999"/>
        <v>AVERAGE</v>
      </c>
      <c r="S12802" t="s">
        <v>609</v>
      </c>
    </row>
    <row r="12803" spans="1:19" x14ac:dyDescent="0.2">
      <c r="A12803" t="s">
        <v>13414</v>
      </c>
      <c r="B12803" t="s">
        <v>67</v>
      </c>
      <c r="C12803" t="s">
        <v>617</v>
      </c>
      <c r="D12803">
        <v>1407.55</v>
      </c>
      <c r="E12803" s="37" t="str">
        <f t="shared" ref="E12803:E12866" si="1000">IF(AND(D12803&gt;4000,P12803&gt;800),"Excellent Order"," ")</f>
        <v xml:space="preserve"> </v>
      </c>
      <c r="F12803">
        <v>0.36</v>
      </c>
      <c r="G12803" s="37" t="str">
        <f t="shared" ref="G12803:G12866" si="1001">IF(F12803&gt;30%,"Heavy Discount","Normal Discount")</f>
        <v>Heavy Discount</v>
      </c>
      <c r="H12803" s="37" t="str">
        <f t="shared" ref="H12803:H12866" si="1002">IF(F12803&gt;0.4,"High",IF(F12803&gt;=0.2,"Medium","Low"))</f>
        <v>Medium</v>
      </c>
      <c r="I12803">
        <v>5</v>
      </c>
      <c r="J12803" t="str" cm="1">
        <f t="array" ref="J12803">_xlfn.IFS(I12803&lt;=3,"small",I12803&lt;=6,"Medium",I12803&lt;=9,"Large")</f>
        <v>Medium</v>
      </c>
      <c r="K12803" s="36">
        <v>45264</v>
      </c>
      <c r="L12803" s="36">
        <v>45269</v>
      </c>
      <c r="M12803" t="s">
        <v>603</v>
      </c>
      <c r="N12803" t="s">
        <v>604</v>
      </c>
      <c r="O12803" s="37" t="str">
        <f t="shared" ref="O12803:O12866" si="1003">IF(OR(N12803="Card",N12803="UPI"),"Digital Payment","Cash Payment")</f>
        <v>Digital Payment</v>
      </c>
      <c r="P12803">
        <v>172.8</v>
      </c>
      <c r="Q12803" s="37" t="str">
        <f>IF(P12803&gt;500,"High","low")</f>
        <v>low</v>
      </c>
      <c r="R12803" s="37" t="str">
        <f t="shared" ref="R12803:R12866" si="1004">IF(P12803&gt;1000,"Excellent",IF(P12803&gt;=500,"Good","AVERAGE"))</f>
        <v>AVERAGE</v>
      </c>
      <c r="S12803" t="s">
        <v>628</v>
      </c>
    </row>
    <row r="12804" spans="1:19" x14ac:dyDescent="0.2">
      <c r="A12804" t="s">
        <v>13415</v>
      </c>
      <c r="B12804" t="s">
        <v>90</v>
      </c>
      <c r="C12804" t="s">
        <v>602</v>
      </c>
      <c r="D12804">
        <v>4044.94</v>
      </c>
      <c r="E12804" s="37" t="str">
        <f t="shared" si="1000"/>
        <v xml:space="preserve"> </v>
      </c>
      <c r="F12804">
        <v>0.44</v>
      </c>
      <c r="G12804" s="37" t="str">
        <f t="shared" si="1001"/>
        <v>Heavy Discount</v>
      </c>
      <c r="H12804" s="37" t="str">
        <f t="shared" si="1002"/>
        <v>High</v>
      </c>
      <c r="I12804">
        <v>9</v>
      </c>
      <c r="J12804" t="str" cm="1">
        <f t="array" ref="J12804">_xlfn.IFS(I12804&lt;=3,"small",I12804&lt;=6,"Medium",I12804&lt;=9,"Large")</f>
        <v>Large</v>
      </c>
      <c r="K12804" s="36">
        <v>45334</v>
      </c>
      <c r="L12804" s="36">
        <v>45341</v>
      </c>
      <c r="M12804" t="s">
        <v>598</v>
      </c>
      <c r="N12804" t="s">
        <v>599</v>
      </c>
      <c r="O12804" s="37" t="str">
        <f t="shared" si="1003"/>
        <v>Digital Payment</v>
      </c>
      <c r="P12804">
        <v>799.93</v>
      </c>
      <c r="Q12804" s="37" t="str">
        <f>IF(P12804&gt;500,"High","low")</f>
        <v>High</v>
      </c>
      <c r="R12804" s="37" t="str">
        <f t="shared" si="1004"/>
        <v>Good</v>
      </c>
      <c r="S12804" t="s">
        <v>600</v>
      </c>
    </row>
    <row r="12805" spans="1:19" x14ac:dyDescent="0.2">
      <c r="A12805" t="s">
        <v>13416</v>
      </c>
      <c r="B12805" t="s">
        <v>83</v>
      </c>
      <c r="C12805" t="s">
        <v>607</v>
      </c>
      <c r="D12805">
        <v>4398.04</v>
      </c>
      <c r="E12805" s="37" t="str">
        <f t="shared" si="1000"/>
        <v xml:space="preserve"> </v>
      </c>
      <c r="F12805">
        <v>0.09</v>
      </c>
      <c r="G12805" s="37" t="str">
        <f t="shared" si="1001"/>
        <v>Normal Discount</v>
      </c>
      <c r="H12805" s="37" t="str">
        <f t="shared" si="1002"/>
        <v>Low</v>
      </c>
      <c r="I12805">
        <v>7</v>
      </c>
      <c r="J12805" t="str" cm="1">
        <f t="array" ref="J12805">_xlfn.IFS(I12805&lt;=3,"small",I12805&lt;=6,"Medium",I12805&lt;=9,"Large")</f>
        <v>Large</v>
      </c>
      <c r="K12805" s="36">
        <v>45002</v>
      </c>
      <c r="L12805" s="36">
        <v>45005</v>
      </c>
      <c r="M12805" t="s">
        <v>598</v>
      </c>
      <c r="N12805" t="s">
        <v>599</v>
      </c>
      <c r="O12805" s="37" t="str">
        <f t="shared" si="1003"/>
        <v>Digital Payment</v>
      </c>
      <c r="P12805">
        <v>301.05</v>
      </c>
      <c r="Q12805" s="37" t="str">
        <f>IF(P12805&gt;500,"High","low")</f>
        <v>low</v>
      </c>
      <c r="R12805" s="37" t="str">
        <f t="shared" si="1004"/>
        <v>AVERAGE</v>
      </c>
      <c r="S12805" t="s">
        <v>600</v>
      </c>
    </row>
    <row r="12806" spans="1:19" x14ac:dyDescent="0.2">
      <c r="A12806" t="s">
        <v>13417</v>
      </c>
      <c r="B12806" t="s">
        <v>75</v>
      </c>
      <c r="C12806" t="s">
        <v>617</v>
      </c>
      <c r="D12806">
        <v>3521.31</v>
      </c>
      <c r="E12806" s="37" t="str">
        <f t="shared" si="1000"/>
        <v xml:space="preserve"> </v>
      </c>
      <c r="F12806">
        <v>0.36</v>
      </c>
      <c r="G12806" s="37" t="str">
        <f t="shared" si="1001"/>
        <v>Heavy Discount</v>
      </c>
      <c r="H12806" s="37" t="str">
        <f t="shared" si="1002"/>
        <v>Medium</v>
      </c>
      <c r="I12806">
        <v>7</v>
      </c>
      <c r="J12806" t="str" cm="1">
        <f t="array" ref="J12806">_xlfn.IFS(I12806&lt;=3,"small",I12806&lt;=6,"Medium",I12806&lt;=9,"Large")</f>
        <v>Large</v>
      </c>
      <c r="K12806" s="36">
        <v>45594</v>
      </c>
      <c r="L12806" s="36">
        <v>45599</v>
      </c>
      <c r="M12806" t="s">
        <v>603</v>
      </c>
      <c r="N12806" t="s">
        <v>608</v>
      </c>
      <c r="O12806" s="37" t="str">
        <f t="shared" si="1003"/>
        <v>Cash Payment</v>
      </c>
      <c r="P12806">
        <v>843.35</v>
      </c>
      <c r="Q12806" s="37" t="str">
        <f>IF(P12806&gt;500,"High","low")</f>
        <v>High</v>
      </c>
      <c r="R12806" s="37" t="str">
        <f t="shared" si="1004"/>
        <v>Good</v>
      </c>
      <c r="S12806" t="s">
        <v>609</v>
      </c>
    </row>
    <row r="12807" spans="1:19" x14ac:dyDescent="0.2">
      <c r="A12807" t="s">
        <v>13418</v>
      </c>
      <c r="B12807" t="s">
        <v>83</v>
      </c>
      <c r="C12807" t="s">
        <v>617</v>
      </c>
      <c r="D12807">
        <v>591.88</v>
      </c>
      <c r="E12807" s="37" t="str">
        <f t="shared" si="1000"/>
        <v xml:space="preserve"> </v>
      </c>
      <c r="F12807">
        <v>0.45</v>
      </c>
      <c r="G12807" s="37" t="str">
        <f t="shared" si="1001"/>
        <v>Heavy Discount</v>
      </c>
      <c r="H12807" s="37" t="str">
        <f t="shared" si="1002"/>
        <v>High</v>
      </c>
      <c r="I12807">
        <v>7</v>
      </c>
      <c r="J12807" t="str" cm="1">
        <f t="array" ref="J12807">_xlfn.IFS(I12807&lt;=3,"small",I12807&lt;=6,"Medium",I12807&lt;=9,"Large")</f>
        <v>Large</v>
      </c>
      <c r="K12807" s="36">
        <v>45001</v>
      </c>
      <c r="L12807" s="36">
        <v>45006</v>
      </c>
      <c r="M12807" t="s">
        <v>603</v>
      </c>
      <c r="N12807" t="s">
        <v>608</v>
      </c>
      <c r="O12807" s="37" t="str">
        <f t="shared" si="1003"/>
        <v>Cash Payment</v>
      </c>
      <c r="P12807">
        <v>75.25</v>
      </c>
      <c r="Q12807" s="37" t="str">
        <f>IF(P12807&gt;500,"High","low")</f>
        <v>low</v>
      </c>
      <c r="R12807" s="37" t="str">
        <f t="shared" si="1004"/>
        <v>AVERAGE</v>
      </c>
      <c r="S12807" t="s">
        <v>600</v>
      </c>
    </row>
    <row r="12808" spans="1:19" x14ac:dyDescent="0.2">
      <c r="A12808" t="s">
        <v>13419</v>
      </c>
      <c r="B12808" t="s">
        <v>67</v>
      </c>
      <c r="C12808" t="s">
        <v>597</v>
      </c>
      <c r="D12808">
        <v>4922.8100000000004</v>
      </c>
      <c r="E12808" s="37" t="str">
        <f t="shared" si="1000"/>
        <v>Excellent Order</v>
      </c>
      <c r="F12808">
        <v>0.06</v>
      </c>
      <c r="G12808" s="37" t="str">
        <f t="shared" si="1001"/>
        <v>Normal Discount</v>
      </c>
      <c r="H12808" s="37" t="str">
        <f t="shared" si="1002"/>
        <v>Low</v>
      </c>
      <c r="I12808">
        <v>7</v>
      </c>
      <c r="J12808" t="str" cm="1">
        <f t="array" ref="J12808">_xlfn.IFS(I12808&lt;=3,"small",I12808&lt;=6,"Medium",I12808&lt;=9,"Large")</f>
        <v>Large</v>
      </c>
      <c r="K12808" s="36">
        <v>45185</v>
      </c>
      <c r="L12808" s="36">
        <v>45187</v>
      </c>
      <c r="M12808" t="s">
        <v>603</v>
      </c>
      <c r="N12808" t="s">
        <v>608</v>
      </c>
      <c r="O12808" s="37" t="str">
        <f t="shared" si="1003"/>
        <v>Cash Payment</v>
      </c>
      <c r="P12808">
        <v>1423.24</v>
      </c>
      <c r="Q12808" s="37" t="str">
        <f>IF(P12808&gt;500,"High","low")</f>
        <v>High</v>
      </c>
      <c r="R12808" s="37" t="str">
        <f t="shared" si="1004"/>
        <v>Excellent</v>
      </c>
      <c r="S12808" t="s">
        <v>605</v>
      </c>
    </row>
    <row r="12809" spans="1:19" x14ac:dyDescent="0.2">
      <c r="A12809" t="s">
        <v>13420</v>
      </c>
      <c r="B12809" t="s">
        <v>67</v>
      </c>
      <c r="C12809" t="s">
        <v>614</v>
      </c>
      <c r="D12809">
        <v>472.4</v>
      </c>
      <c r="E12809" s="37" t="str">
        <f t="shared" si="1000"/>
        <v xml:space="preserve"> </v>
      </c>
      <c r="F12809">
        <v>0.32</v>
      </c>
      <c r="G12809" s="37" t="str">
        <f t="shared" si="1001"/>
        <v>Heavy Discount</v>
      </c>
      <c r="H12809" s="37" t="str">
        <f t="shared" si="1002"/>
        <v>Medium</v>
      </c>
      <c r="I12809">
        <v>2</v>
      </c>
      <c r="J12809" t="str" cm="1">
        <f t="array" ref="J12809">_xlfn.IFS(I12809&lt;=3,"small",I12809&lt;=6,"Medium",I12809&lt;=9,"Large")</f>
        <v>small</v>
      </c>
      <c r="K12809" s="36">
        <v>45283</v>
      </c>
      <c r="L12809" s="36">
        <v>45284</v>
      </c>
      <c r="M12809" t="s">
        <v>598</v>
      </c>
      <c r="N12809" t="s">
        <v>608</v>
      </c>
      <c r="O12809" s="37" t="str">
        <f t="shared" si="1003"/>
        <v>Cash Payment</v>
      </c>
      <c r="P12809">
        <v>57.7</v>
      </c>
      <c r="Q12809" s="37" t="str">
        <f>IF(P12809&gt;500,"High","low")</f>
        <v>low</v>
      </c>
      <c r="R12809" s="37" t="str">
        <f t="shared" si="1004"/>
        <v>AVERAGE</v>
      </c>
      <c r="S12809" t="s">
        <v>605</v>
      </c>
    </row>
    <row r="12810" spans="1:19" x14ac:dyDescent="0.2">
      <c r="A12810" t="s">
        <v>13421</v>
      </c>
      <c r="B12810" t="s">
        <v>75</v>
      </c>
      <c r="C12810" t="s">
        <v>607</v>
      </c>
      <c r="D12810">
        <v>3306.92</v>
      </c>
      <c r="E12810" s="37" t="str">
        <f t="shared" si="1000"/>
        <v xml:space="preserve"> </v>
      </c>
      <c r="F12810">
        <v>0.1</v>
      </c>
      <c r="G12810" s="37" t="str">
        <f t="shared" si="1001"/>
        <v>Normal Discount</v>
      </c>
      <c r="H12810" s="37" t="str">
        <f t="shared" si="1002"/>
        <v>Low</v>
      </c>
      <c r="I12810">
        <v>8</v>
      </c>
      <c r="J12810" t="str" cm="1">
        <f t="array" ref="J12810">_xlfn.IFS(I12810&lt;=3,"small",I12810&lt;=6,"Medium",I12810&lt;=9,"Large")</f>
        <v>Large</v>
      </c>
      <c r="K12810" s="36">
        <v>45441</v>
      </c>
      <c r="L12810" s="36">
        <v>45446</v>
      </c>
      <c r="M12810" t="s">
        <v>612</v>
      </c>
      <c r="N12810" t="s">
        <v>599</v>
      </c>
      <c r="O12810" s="37" t="str">
        <f t="shared" si="1003"/>
        <v>Digital Payment</v>
      </c>
      <c r="P12810">
        <v>943.47</v>
      </c>
      <c r="Q12810" s="37" t="str">
        <f>IF(P12810&gt;500,"High","low")</f>
        <v>High</v>
      </c>
      <c r="R12810" s="37" t="str">
        <f t="shared" si="1004"/>
        <v>Good</v>
      </c>
      <c r="S12810" t="s">
        <v>600</v>
      </c>
    </row>
    <row r="12811" spans="1:19" x14ac:dyDescent="0.2">
      <c r="A12811" t="s">
        <v>13422</v>
      </c>
      <c r="B12811" t="s">
        <v>67</v>
      </c>
      <c r="C12811" t="s">
        <v>614</v>
      </c>
      <c r="D12811">
        <v>641.57000000000005</v>
      </c>
      <c r="E12811" s="37" t="str">
        <f t="shared" si="1000"/>
        <v xml:space="preserve"> </v>
      </c>
      <c r="F12811">
        <v>0.22</v>
      </c>
      <c r="G12811" s="37" t="str">
        <f t="shared" si="1001"/>
        <v>Normal Discount</v>
      </c>
      <c r="H12811" s="37" t="str">
        <f t="shared" si="1002"/>
        <v>Medium</v>
      </c>
      <c r="I12811">
        <v>1</v>
      </c>
      <c r="J12811" t="str" cm="1">
        <f t="array" ref="J12811">_xlfn.IFS(I12811&lt;=3,"small",I12811&lt;=6,"Medium",I12811&lt;=9,"Large")</f>
        <v>small</v>
      </c>
      <c r="K12811" s="36">
        <v>45211</v>
      </c>
      <c r="L12811" s="36">
        <v>45215</v>
      </c>
      <c r="M12811" t="s">
        <v>603</v>
      </c>
      <c r="N12811" t="s">
        <v>608</v>
      </c>
      <c r="O12811" s="37" t="str">
        <f t="shared" si="1003"/>
        <v>Cash Payment</v>
      </c>
      <c r="P12811">
        <v>50.25</v>
      </c>
      <c r="Q12811" s="37" t="str">
        <f>IF(P12811&gt;500,"High","low")</f>
        <v>low</v>
      </c>
      <c r="R12811" s="37" t="str">
        <f t="shared" si="1004"/>
        <v>AVERAGE</v>
      </c>
      <c r="S12811" t="s">
        <v>628</v>
      </c>
    </row>
    <row r="12812" spans="1:19" x14ac:dyDescent="0.2">
      <c r="A12812" t="s">
        <v>13423</v>
      </c>
      <c r="B12812" t="s">
        <v>90</v>
      </c>
      <c r="C12812" t="s">
        <v>602</v>
      </c>
      <c r="D12812">
        <v>4536.53</v>
      </c>
      <c r="E12812" s="37" t="str">
        <f t="shared" si="1000"/>
        <v xml:space="preserve"> </v>
      </c>
      <c r="F12812">
        <v>0.06</v>
      </c>
      <c r="G12812" s="37" t="str">
        <f t="shared" si="1001"/>
        <v>Normal Discount</v>
      </c>
      <c r="H12812" s="37" t="str">
        <f t="shared" si="1002"/>
        <v>Low</v>
      </c>
      <c r="I12812">
        <v>6</v>
      </c>
      <c r="J12812" t="str" cm="1">
        <f t="array" ref="J12812">_xlfn.IFS(I12812&lt;=3,"small",I12812&lt;=6,"Medium",I12812&lt;=9,"Large")</f>
        <v>Medium</v>
      </c>
      <c r="K12812" s="36">
        <v>45342</v>
      </c>
      <c r="L12812" s="36">
        <v>45344</v>
      </c>
      <c r="M12812" t="s">
        <v>598</v>
      </c>
      <c r="N12812" t="s">
        <v>604</v>
      </c>
      <c r="O12812" s="37" t="str">
        <f t="shared" si="1003"/>
        <v>Digital Payment</v>
      </c>
      <c r="P12812">
        <v>681.2</v>
      </c>
      <c r="Q12812" s="37" t="str">
        <f>IF(P12812&gt;500,"High","low")</f>
        <v>High</v>
      </c>
      <c r="R12812" s="37" t="str">
        <f t="shared" si="1004"/>
        <v>Good</v>
      </c>
      <c r="S12812" t="s">
        <v>628</v>
      </c>
    </row>
    <row r="12813" spans="1:19" x14ac:dyDescent="0.2">
      <c r="A12813" t="s">
        <v>13424</v>
      </c>
      <c r="B12813" t="s">
        <v>67</v>
      </c>
      <c r="C12813" t="s">
        <v>617</v>
      </c>
      <c r="D12813">
        <v>1814.89</v>
      </c>
      <c r="E12813" s="37" t="str">
        <f t="shared" si="1000"/>
        <v xml:space="preserve"> </v>
      </c>
      <c r="F12813">
        <v>0.34</v>
      </c>
      <c r="G12813" s="37" t="str">
        <f t="shared" si="1001"/>
        <v>Heavy Discount</v>
      </c>
      <c r="H12813" s="37" t="str">
        <f t="shared" si="1002"/>
        <v>Medium</v>
      </c>
      <c r="I12813">
        <v>3</v>
      </c>
      <c r="J12813" t="str" cm="1">
        <f t="array" ref="J12813">_xlfn.IFS(I12813&lt;=3,"small",I12813&lt;=6,"Medium",I12813&lt;=9,"Large")</f>
        <v>small</v>
      </c>
      <c r="K12813" s="36">
        <v>44980</v>
      </c>
      <c r="L12813" s="36">
        <v>44982</v>
      </c>
      <c r="M12813" t="s">
        <v>612</v>
      </c>
      <c r="N12813" t="s">
        <v>599</v>
      </c>
      <c r="O12813" s="37" t="str">
        <f t="shared" si="1003"/>
        <v>Digital Payment</v>
      </c>
      <c r="P12813">
        <v>385.44</v>
      </c>
      <c r="Q12813" s="37" t="str">
        <f>IF(P12813&gt;500,"High","low")</f>
        <v>low</v>
      </c>
      <c r="R12813" s="37" t="str">
        <f t="shared" si="1004"/>
        <v>AVERAGE</v>
      </c>
      <c r="S12813" t="s">
        <v>605</v>
      </c>
    </row>
    <row r="12814" spans="1:19" x14ac:dyDescent="0.2">
      <c r="A12814" t="s">
        <v>13425</v>
      </c>
      <c r="B12814" t="s">
        <v>67</v>
      </c>
      <c r="C12814" t="s">
        <v>617</v>
      </c>
      <c r="D12814">
        <v>2606.36</v>
      </c>
      <c r="E12814" s="37" t="str">
        <f t="shared" si="1000"/>
        <v xml:space="preserve"> </v>
      </c>
      <c r="F12814">
        <v>0.2</v>
      </c>
      <c r="G12814" s="37" t="str">
        <f t="shared" si="1001"/>
        <v>Normal Discount</v>
      </c>
      <c r="H12814" s="37" t="str">
        <f t="shared" si="1002"/>
        <v>Medium</v>
      </c>
      <c r="I12814">
        <v>6</v>
      </c>
      <c r="J12814" t="str" cm="1">
        <f t="array" ref="J12814">_xlfn.IFS(I12814&lt;=3,"small",I12814&lt;=6,"Medium",I12814&lt;=9,"Large")</f>
        <v>Medium</v>
      </c>
      <c r="K12814" s="36">
        <v>45348</v>
      </c>
      <c r="L12814" s="36">
        <v>45355</v>
      </c>
      <c r="M12814" t="s">
        <v>612</v>
      </c>
      <c r="N12814" t="s">
        <v>604</v>
      </c>
      <c r="O12814" s="37" t="str">
        <f t="shared" si="1003"/>
        <v>Digital Payment</v>
      </c>
      <c r="P12814">
        <v>300.66000000000003</v>
      </c>
      <c r="Q12814" s="37" t="str">
        <f>IF(P12814&gt;500,"High","low")</f>
        <v>low</v>
      </c>
      <c r="R12814" s="37" t="str">
        <f t="shared" si="1004"/>
        <v>AVERAGE</v>
      </c>
      <c r="S12814" t="s">
        <v>605</v>
      </c>
    </row>
    <row r="12815" spans="1:19" x14ac:dyDescent="0.2">
      <c r="A12815" t="s">
        <v>13426</v>
      </c>
      <c r="B12815" t="s">
        <v>67</v>
      </c>
      <c r="C12815" t="s">
        <v>614</v>
      </c>
      <c r="D12815">
        <v>975.93</v>
      </c>
      <c r="E12815" s="37" t="str">
        <f t="shared" si="1000"/>
        <v xml:space="preserve"> </v>
      </c>
      <c r="F12815">
        <v>0.28000000000000003</v>
      </c>
      <c r="G12815" s="37" t="str">
        <f t="shared" si="1001"/>
        <v>Normal Discount</v>
      </c>
      <c r="H12815" s="37" t="str">
        <f t="shared" si="1002"/>
        <v>Medium</v>
      </c>
      <c r="I12815">
        <v>6</v>
      </c>
      <c r="J12815" t="str" cm="1">
        <f t="array" ref="J12815">_xlfn.IFS(I12815&lt;=3,"small",I12815&lt;=6,"Medium",I12815&lt;=9,"Large")</f>
        <v>Medium</v>
      </c>
      <c r="K12815" s="36">
        <v>45149</v>
      </c>
      <c r="L12815" s="36">
        <v>45153</v>
      </c>
      <c r="M12815" t="s">
        <v>598</v>
      </c>
      <c r="N12815" t="s">
        <v>599</v>
      </c>
      <c r="O12815" s="37" t="str">
        <f t="shared" si="1003"/>
        <v>Digital Payment</v>
      </c>
      <c r="P12815">
        <v>230.96</v>
      </c>
      <c r="Q12815" s="37" t="str">
        <f>IF(P12815&gt;500,"High","low")</f>
        <v>low</v>
      </c>
      <c r="R12815" s="37" t="str">
        <f t="shared" si="1004"/>
        <v>AVERAGE</v>
      </c>
      <c r="S12815" t="s">
        <v>605</v>
      </c>
    </row>
    <row r="12816" spans="1:19" x14ac:dyDescent="0.2">
      <c r="A12816" t="s">
        <v>13427</v>
      </c>
      <c r="B12816" t="s">
        <v>83</v>
      </c>
      <c r="C12816" t="s">
        <v>602</v>
      </c>
      <c r="D12816">
        <v>2778.15</v>
      </c>
      <c r="E12816" s="37" t="str">
        <f t="shared" si="1000"/>
        <v xml:space="preserve"> </v>
      </c>
      <c r="F12816">
        <v>0.26</v>
      </c>
      <c r="G12816" s="37" t="str">
        <f t="shared" si="1001"/>
        <v>Normal Discount</v>
      </c>
      <c r="H12816" s="37" t="str">
        <f t="shared" si="1002"/>
        <v>Medium</v>
      </c>
      <c r="I12816">
        <v>8</v>
      </c>
      <c r="J12816" t="str" cm="1">
        <f t="array" ref="J12816">_xlfn.IFS(I12816&lt;=3,"small",I12816&lt;=6,"Medium",I12816&lt;=9,"Large")</f>
        <v>Large</v>
      </c>
      <c r="K12816" s="36">
        <v>45366</v>
      </c>
      <c r="L12816" s="36">
        <v>45368</v>
      </c>
      <c r="M12816" t="s">
        <v>612</v>
      </c>
      <c r="N12816" t="s">
        <v>599</v>
      </c>
      <c r="O12816" s="37" t="str">
        <f t="shared" si="1003"/>
        <v>Digital Payment</v>
      </c>
      <c r="P12816">
        <v>828.54</v>
      </c>
      <c r="Q12816" s="37" t="str">
        <f>IF(P12816&gt;500,"High","low")</f>
        <v>High</v>
      </c>
      <c r="R12816" s="37" t="str">
        <f t="shared" si="1004"/>
        <v>Good</v>
      </c>
      <c r="S12816" t="s">
        <v>615</v>
      </c>
    </row>
    <row r="12817" spans="1:19" x14ac:dyDescent="0.2">
      <c r="A12817" t="s">
        <v>13428</v>
      </c>
      <c r="B12817" t="s">
        <v>83</v>
      </c>
      <c r="C12817" t="s">
        <v>597</v>
      </c>
      <c r="D12817">
        <v>4700.32</v>
      </c>
      <c r="E12817" s="37" t="str">
        <f t="shared" si="1000"/>
        <v>Excellent Order</v>
      </c>
      <c r="F12817">
        <v>0.35</v>
      </c>
      <c r="G12817" s="37" t="str">
        <f t="shared" si="1001"/>
        <v>Heavy Discount</v>
      </c>
      <c r="H12817" s="37" t="str">
        <f t="shared" si="1002"/>
        <v>Medium</v>
      </c>
      <c r="I12817">
        <v>4</v>
      </c>
      <c r="J12817" t="str" cm="1">
        <f t="array" ref="J12817">_xlfn.IFS(I12817&lt;=3,"small",I12817&lt;=6,"Medium",I12817&lt;=9,"Large")</f>
        <v>Medium</v>
      </c>
      <c r="K12817" s="36">
        <v>45587</v>
      </c>
      <c r="L12817" s="36">
        <v>45592</v>
      </c>
      <c r="M12817" t="s">
        <v>603</v>
      </c>
      <c r="N12817" t="s">
        <v>604</v>
      </c>
      <c r="O12817" s="37" t="str">
        <f t="shared" si="1003"/>
        <v>Digital Payment</v>
      </c>
      <c r="P12817">
        <v>1342.2</v>
      </c>
      <c r="Q12817" s="37" t="str">
        <f>IF(P12817&gt;500,"High","low")</f>
        <v>High</v>
      </c>
      <c r="R12817" s="37" t="str">
        <f t="shared" si="1004"/>
        <v>Excellent</v>
      </c>
      <c r="S12817" t="s">
        <v>628</v>
      </c>
    </row>
    <row r="12818" spans="1:19" x14ac:dyDescent="0.2">
      <c r="A12818" t="s">
        <v>13429</v>
      </c>
      <c r="B12818" t="s">
        <v>75</v>
      </c>
      <c r="C12818" t="s">
        <v>597</v>
      </c>
      <c r="D12818">
        <v>4518</v>
      </c>
      <c r="E12818" s="37" t="str">
        <f t="shared" si="1000"/>
        <v>Excellent Order</v>
      </c>
      <c r="F12818">
        <v>0.45</v>
      </c>
      <c r="G12818" s="37" t="str">
        <f t="shared" si="1001"/>
        <v>Heavy Discount</v>
      </c>
      <c r="H12818" s="37" t="str">
        <f t="shared" si="1002"/>
        <v>High</v>
      </c>
      <c r="I12818">
        <v>3</v>
      </c>
      <c r="J12818" t="str" cm="1">
        <f t="array" ref="J12818">_xlfn.IFS(I12818&lt;=3,"small",I12818&lt;=6,"Medium",I12818&lt;=9,"Large")</f>
        <v>small</v>
      </c>
      <c r="K12818" s="36">
        <v>45479</v>
      </c>
      <c r="L12818" s="36">
        <v>45482</v>
      </c>
      <c r="M12818" t="s">
        <v>598</v>
      </c>
      <c r="N12818" t="s">
        <v>599</v>
      </c>
      <c r="O12818" s="37" t="str">
        <f t="shared" si="1003"/>
        <v>Digital Payment</v>
      </c>
      <c r="P12818">
        <v>1330.88</v>
      </c>
      <c r="Q12818" s="37" t="str">
        <f>IF(P12818&gt;500,"High","low")</f>
        <v>High</v>
      </c>
      <c r="R12818" s="37" t="str">
        <f t="shared" si="1004"/>
        <v>Excellent</v>
      </c>
      <c r="S12818" t="s">
        <v>628</v>
      </c>
    </row>
    <row r="12819" spans="1:19" x14ac:dyDescent="0.2">
      <c r="A12819" t="s">
        <v>13430</v>
      </c>
      <c r="B12819" t="s">
        <v>75</v>
      </c>
      <c r="C12819" t="s">
        <v>617</v>
      </c>
      <c r="D12819">
        <v>413.09</v>
      </c>
      <c r="E12819" s="37" t="str">
        <f t="shared" si="1000"/>
        <v xml:space="preserve"> </v>
      </c>
      <c r="F12819">
        <v>0.14000000000000001</v>
      </c>
      <c r="G12819" s="37" t="str">
        <f t="shared" si="1001"/>
        <v>Normal Discount</v>
      </c>
      <c r="H12819" s="37" t="str">
        <f t="shared" si="1002"/>
        <v>Low</v>
      </c>
      <c r="I12819">
        <v>2</v>
      </c>
      <c r="J12819" t="str" cm="1">
        <f t="array" ref="J12819">_xlfn.IFS(I12819&lt;=3,"small",I12819&lt;=6,"Medium",I12819&lt;=9,"Large")</f>
        <v>small</v>
      </c>
      <c r="K12819" s="36">
        <v>45458</v>
      </c>
      <c r="L12819" s="36">
        <v>45459</v>
      </c>
      <c r="M12819" t="s">
        <v>598</v>
      </c>
      <c r="N12819" t="s">
        <v>608</v>
      </c>
      <c r="O12819" s="37" t="str">
        <f t="shared" si="1003"/>
        <v>Cash Payment</v>
      </c>
      <c r="P12819">
        <v>26.32</v>
      </c>
      <c r="Q12819" s="37" t="str">
        <f>IF(P12819&gt;500,"High","low")</f>
        <v>low</v>
      </c>
      <c r="R12819" s="37" t="str">
        <f t="shared" si="1004"/>
        <v>AVERAGE</v>
      </c>
      <c r="S12819" t="s">
        <v>600</v>
      </c>
    </row>
    <row r="12820" spans="1:19" x14ac:dyDescent="0.2">
      <c r="A12820" t="s">
        <v>13431</v>
      </c>
      <c r="B12820" t="s">
        <v>75</v>
      </c>
      <c r="C12820" t="s">
        <v>617</v>
      </c>
      <c r="D12820">
        <v>1953.47</v>
      </c>
      <c r="E12820" s="37" t="str">
        <f t="shared" si="1000"/>
        <v xml:space="preserve"> </v>
      </c>
      <c r="F12820">
        <v>0.3</v>
      </c>
      <c r="G12820" s="37" t="str">
        <f t="shared" si="1001"/>
        <v>Normal Discount</v>
      </c>
      <c r="H12820" s="37" t="str">
        <f t="shared" si="1002"/>
        <v>Medium</v>
      </c>
      <c r="I12820">
        <v>6</v>
      </c>
      <c r="J12820" t="str" cm="1">
        <f t="array" ref="J12820">_xlfn.IFS(I12820&lt;=3,"small",I12820&lt;=6,"Medium",I12820&lt;=9,"Large")</f>
        <v>Medium</v>
      </c>
      <c r="K12820" s="36">
        <v>45172</v>
      </c>
      <c r="L12820" s="36">
        <v>45178</v>
      </c>
      <c r="M12820" t="s">
        <v>603</v>
      </c>
      <c r="N12820" t="s">
        <v>604</v>
      </c>
      <c r="O12820" s="37" t="str">
        <f t="shared" si="1003"/>
        <v>Digital Payment</v>
      </c>
      <c r="P12820">
        <v>393.1</v>
      </c>
      <c r="Q12820" s="37" t="str">
        <f>IF(P12820&gt;500,"High","low")</f>
        <v>low</v>
      </c>
      <c r="R12820" s="37" t="str">
        <f t="shared" si="1004"/>
        <v>AVERAGE</v>
      </c>
      <c r="S12820" t="s">
        <v>615</v>
      </c>
    </row>
    <row r="12821" spans="1:19" x14ac:dyDescent="0.2">
      <c r="A12821" t="s">
        <v>13432</v>
      </c>
      <c r="B12821" t="s">
        <v>67</v>
      </c>
      <c r="C12821" t="s">
        <v>607</v>
      </c>
      <c r="D12821">
        <v>1410.41</v>
      </c>
      <c r="E12821" s="37" t="str">
        <f t="shared" si="1000"/>
        <v xml:space="preserve"> </v>
      </c>
      <c r="F12821">
        <v>0.28999999999999998</v>
      </c>
      <c r="G12821" s="37" t="str">
        <f t="shared" si="1001"/>
        <v>Normal Discount</v>
      </c>
      <c r="H12821" s="37" t="str">
        <f t="shared" si="1002"/>
        <v>Medium</v>
      </c>
      <c r="I12821">
        <v>3</v>
      </c>
      <c r="J12821" t="str" cm="1">
        <f t="array" ref="J12821">_xlfn.IFS(I12821&lt;=3,"small",I12821&lt;=6,"Medium",I12821&lt;=9,"Large")</f>
        <v>small</v>
      </c>
      <c r="K12821" s="36">
        <v>45498</v>
      </c>
      <c r="L12821" s="36">
        <v>45505</v>
      </c>
      <c r="M12821" t="s">
        <v>612</v>
      </c>
      <c r="N12821" t="s">
        <v>599</v>
      </c>
      <c r="O12821" s="37" t="str">
        <f t="shared" si="1003"/>
        <v>Digital Payment</v>
      </c>
      <c r="P12821">
        <v>373.39</v>
      </c>
      <c r="Q12821" s="37" t="str">
        <f>IF(P12821&gt;500,"High","low")</f>
        <v>low</v>
      </c>
      <c r="R12821" s="37" t="str">
        <f t="shared" si="1004"/>
        <v>AVERAGE</v>
      </c>
      <c r="S12821" t="s">
        <v>628</v>
      </c>
    </row>
    <row r="12822" spans="1:19" x14ac:dyDescent="0.2">
      <c r="A12822" t="s">
        <v>13433</v>
      </c>
      <c r="B12822" t="s">
        <v>83</v>
      </c>
      <c r="C12822" t="s">
        <v>614</v>
      </c>
      <c r="D12822">
        <v>2458.67</v>
      </c>
      <c r="E12822" s="37" t="str">
        <f t="shared" si="1000"/>
        <v xml:space="preserve"> </v>
      </c>
      <c r="F12822">
        <v>0.16</v>
      </c>
      <c r="G12822" s="37" t="str">
        <f t="shared" si="1001"/>
        <v>Normal Discount</v>
      </c>
      <c r="H12822" s="37" t="str">
        <f t="shared" si="1002"/>
        <v>Low</v>
      </c>
      <c r="I12822">
        <v>4</v>
      </c>
      <c r="J12822" t="str" cm="1">
        <f t="array" ref="J12822">_xlfn.IFS(I12822&lt;=3,"small",I12822&lt;=6,"Medium",I12822&lt;=9,"Large")</f>
        <v>Medium</v>
      </c>
      <c r="K12822" s="36">
        <v>45641</v>
      </c>
      <c r="L12822" s="36">
        <v>45648</v>
      </c>
      <c r="M12822" t="s">
        <v>598</v>
      </c>
      <c r="N12822" t="s">
        <v>599</v>
      </c>
      <c r="O12822" s="37" t="str">
        <f t="shared" si="1003"/>
        <v>Digital Payment</v>
      </c>
      <c r="P12822">
        <v>660.08</v>
      </c>
      <c r="Q12822" s="37" t="str">
        <f>IF(P12822&gt;500,"High","low")</f>
        <v>High</v>
      </c>
      <c r="R12822" s="37" t="str">
        <f t="shared" si="1004"/>
        <v>Good</v>
      </c>
      <c r="S12822" t="s">
        <v>609</v>
      </c>
    </row>
    <row r="12823" spans="1:19" x14ac:dyDescent="0.2">
      <c r="A12823" t="s">
        <v>13434</v>
      </c>
      <c r="B12823" t="s">
        <v>90</v>
      </c>
      <c r="C12823" t="s">
        <v>617</v>
      </c>
      <c r="D12823">
        <v>4185.2700000000004</v>
      </c>
      <c r="E12823" s="37" t="str">
        <f t="shared" si="1000"/>
        <v xml:space="preserve"> </v>
      </c>
      <c r="F12823">
        <v>0.25</v>
      </c>
      <c r="G12823" s="37" t="str">
        <f t="shared" si="1001"/>
        <v>Normal Discount</v>
      </c>
      <c r="H12823" s="37" t="str">
        <f t="shared" si="1002"/>
        <v>Medium</v>
      </c>
      <c r="I12823">
        <v>9</v>
      </c>
      <c r="J12823" t="str" cm="1">
        <f t="array" ref="J12823">_xlfn.IFS(I12823&lt;=3,"small",I12823&lt;=6,"Medium",I12823&lt;=9,"Large")</f>
        <v>Large</v>
      </c>
      <c r="K12823" s="36">
        <v>45384</v>
      </c>
      <c r="L12823" s="36">
        <v>45387</v>
      </c>
      <c r="M12823" t="s">
        <v>598</v>
      </c>
      <c r="N12823" t="s">
        <v>604</v>
      </c>
      <c r="O12823" s="37" t="str">
        <f t="shared" si="1003"/>
        <v>Digital Payment</v>
      </c>
      <c r="P12823">
        <v>719.05</v>
      </c>
      <c r="Q12823" s="37" t="str">
        <f>IF(P12823&gt;500,"High","low")</f>
        <v>High</v>
      </c>
      <c r="R12823" s="37" t="str">
        <f t="shared" si="1004"/>
        <v>Good</v>
      </c>
      <c r="S12823" t="s">
        <v>609</v>
      </c>
    </row>
    <row r="12824" spans="1:19" x14ac:dyDescent="0.2">
      <c r="A12824" t="s">
        <v>13435</v>
      </c>
      <c r="B12824" t="s">
        <v>67</v>
      </c>
      <c r="C12824" t="s">
        <v>602</v>
      </c>
      <c r="D12824">
        <v>3720.37</v>
      </c>
      <c r="E12824" s="37" t="str">
        <f t="shared" si="1000"/>
        <v xml:space="preserve"> </v>
      </c>
      <c r="F12824">
        <v>0.02</v>
      </c>
      <c r="G12824" s="37" t="str">
        <f t="shared" si="1001"/>
        <v>Normal Discount</v>
      </c>
      <c r="H12824" s="37" t="str">
        <f t="shared" si="1002"/>
        <v>Low</v>
      </c>
      <c r="I12824">
        <v>7</v>
      </c>
      <c r="J12824" t="str" cm="1">
        <f t="array" ref="J12824">_xlfn.IFS(I12824&lt;=3,"small",I12824&lt;=6,"Medium",I12824&lt;=9,"Large")</f>
        <v>Large</v>
      </c>
      <c r="K12824" s="36">
        <v>45109</v>
      </c>
      <c r="L12824" s="36">
        <v>45111</v>
      </c>
      <c r="M12824" t="s">
        <v>603</v>
      </c>
      <c r="N12824" t="s">
        <v>604</v>
      </c>
      <c r="O12824" s="37" t="str">
        <f t="shared" si="1003"/>
        <v>Digital Payment</v>
      </c>
      <c r="P12824">
        <v>196.76</v>
      </c>
      <c r="Q12824" s="37" t="str">
        <f>IF(P12824&gt;500,"High","low")</f>
        <v>low</v>
      </c>
      <c r="R12824" s="37" t="str">
        <f t="shared" si="1004"/>
        <v>AVERAGE</v>
      </c>
      <c r="S12824" t="s">
        <v>605</v>
      </c>
    </row>
    <row r="12825" spans="1:19" x14ac:dyDescent="0.2">
      <c r="A12825" t="s">
        <v>13436</v>
      </c>
      <c r="B12825" t="s">
        <v>67</v>
      </c>
      <c r="C12825" t="s">
        <v>614</v>
      </c>
      <c r="D12825">
        <v>1785.49</v>
      </c>
      <c r="E12825" s="37" t="str">
        <f t="shared" si="1000"/>
        <v xml:space="preserve"> </v>
      </c>
      <c r="F12825">
        <v>0.21</v>
      </c>
      <c r="G12825" s="37" t="str">
        <f t="shared" si="1001"/>
        <v>Normal Discount</v>
      </c>
      <c r="H12825" s="37" t="str">
        <f t="shared" si="1002"/>
        <v>Medium</v>
      </c>
      <c r="I12825">
        <v>1</v>
      </c>
      <c r="J12825" t="str" cm="1">
        <f t="array" ref="J12825">_xlfn.IFS(I12825&lt;=3,"small",I12825&lt;=6,"Medium",I12825&lt;=9,"Large")</f>
        <v>small</v>
      </c>
      <c r="K12825" s="36">
        <v>45185</v>
      </c>
      <c r="L12825" s="36">
        <v>45189</v>
      </c>
      <c r="M12825" t="s">
        <v>598</v>
      </c>
      <c r="N12825" t="s">
        <v>608</v>
      </c>
      <c r="O12825" s="37" t="str">
        <f t="shared" si="1003"/>
        <v>Cash Payment</v>
      </c>
      <c r="P12825">
        <v>432.27</v>
      </c>
      <c r="Q12825" s="37" t="str">
        <f>IF(P12825&gt;500,"High","low")</f>
        <v>low</v>
      </c>
      <c r="R12825" s="37" t="str">
        <f t="shared" si="1004"/>
        <v>AVERAGE</v>
      </c>
      <c r="S12825" t="s">
        <v>600</v>
      </c>
    </row>
    <row r="12826" spans="1:19" x14ac:dyDescent="0.2">
      <c r="A12826" t="s">
        <v>13437</v>
      </c>
      <c r="B12826" t="s">
        <v>67</v>
      </c>
      <c r="C12826" t="s">
        <v>607</v>
      </c>
      <c r="D12826">
        <v>1975.06</v>
      </c>
      <c r="E12826" s="37" t="str">
        <f t="shared" si="1000"/>
        <v xml:space="preserve"> </v>
      </c>
      <c r="F12826">
        <v>0.14000000000000001</v>
      </c>
      <c r="G12826" s="37" t="str">
        <f t="shared" si="1001"/>
        <v>Normal Discount</v>
      </c>
      <c r="H12826" s="37" t="str">
        <f t="shared" si="1002"/>
        <v>Low</v>
      </c>
      <c r="I12826">
        <v>4</v>
      </c>
      <c r="J12826" t="str" cm="1">
        <f t="array" ref="J12826">_xlfn.IFS(I12826&lt;=3,"small",I12826&lt;=6,"Medium",I12826&lt;=9,"Large")</f>
        <v>Medium</v>
      </c>
      <c r="K12826" s="36">
        <v>45562</v>
      </c>
      <c r="L12826" s="36">
        <v>45564</v>
      </c>
      <c r="M12826" t="s">
        <v>598</v>
      </c>
      <c r="N12826" t="s">
        <v>608</v>
      </c>
      <c r="O12826" s="37" t="str">
        <f t="shared" si="1003"/>
        <v>Cash Payment</v>
      </c>
      <c r="P12826">
        <v>562.26</v>
      </c>
      <c r="Q12826" s="37" t="str">
        <f>IF(P12826&gt;500,"High","low")</f>
        <v>High</v>
      </c>
      <c r="R12826" s="37" t="str">
        <f t="shared" si="1004"/>
        <v>Good</v>
      </c>
      <c r="S12826" t="s">
        <v>609</v>
      </c>
    </row>
    <row r="12827" spans="1:19" x14ac:dyDescent="0.2">
      <c r="A12827" t="s">
        <v>13438</v>
      </c>
      <c r="B12827" t="s">
        <v>90</v>
      </c>
      <c r="C12827" t="s">
        <v>597</v>
      </c>
      <c r="D12827">
        <v>3305.85</v>
      </c>
      <c r="E12827" s="37" t="str">
        <f t="shared" si="1000"/>
        <v xml:space="preserve"> </v>
      </c>
      <c r="F12827">
        <v>0.43</v>
      </c>
      <c r="G12827" s="37" t="str">
        <f t="shared" si="1001"/>
        <v>Heavy Discount</v>
      </c>
      <c r="H12827" s="37" t="str">
        <f t="shared" si="1002"/>
        <v>High</v>
      </c>
      <c r="I12827">
        <v>8</v>
      </c>
      <c r="J12827" t="str" cm="1">
        <f t="array" ref="J12827">_xlfn.IFS(I12827&lt;=3,"small",I12827&lt;=6,"Medium",I12827&lt;=9,"Large")</f>
        <v>Large</v>
      </c>
      <c r="K12827" s="36">
        <v>45196</v>
      </c>
      <c r="L12827" s="36">
        <v>45198</v>
      </c>
      <c r="M12827" t="s">
        <v>598</v>
      </c>
      <c r="N12827" t="s">
        <v>608</v>
      </c>
      <c r="O12827" s="37" t="str">
        <f t="shared" si="1003"/>
        <v>Cash Payment</v>
      </c>
      <c r="P12827">
        <v>168.82</v>
      </c>
      <c r="Q12827" s="37" t="str">
        <f>IF(P12827&gt;500,"High","low")</f>
        <v>low</v>
      </c>
      <c r="R12827" s="37" t="str">
        <f t="shared" si="1004"/>
        <v>AVERAGE</v>
      </c>
      <c r="S12827" t="s">
        <v>628</v>
      </c>
    </row>
    <row r="12828" spans="1:19" x14ac:dyDescent="0.2">
      <c r="A12828" t="s">
        <v>13439</v>
      </c>
      <c r="B12828" t="s">
        <v>75</v>
      </c>
      <c r="C12828" t="s">
        <v>607</v>
      </c>
      <c r="D12828">
        <v>1051.7</v>
      </c>
      <c r="E12828" s="37" t="str">
        <f t="shared" si="1000"/>
        <v xml:space="preserve"> </v>
      </c>
      <c r="F12828">
        <v>0.18</v>
      </c>
      <c r="G12828" s="37" t="str">
        <f t="shared" si="1001"/>
        <v>Normal Discount</v>
      </c>
      <c r="H12828" s="37" t="str">
        <f t="shared" si="1002"/>
        <v>Low</v>
      </c>
      <c r="I12828">
        <v>4</v>
      </c>
      <c r="J12828" t="str" cm="1">
        <f t="array" ref="J12828">_xlfn.IFS(I12828&lt;=3,"small",I12828&lt;=6,"Medium",I12828&lt;=9,"Large")</f>
        <v>Medium</v>
      </c>
      <c r="K12828" s="36">
        <v>45547</v>
      </c>
      <c r="L12828" s="36">
        <v>45554</v>
      </c>
      <c r="M12828" t="s">
        <v>603</v>
      </c>
      <c r="N12828" t="s">
        <v>608</v>
      </c>
      <c r="O12828" s="37" t="str">
        <f t="shared" si="1003"/>
        <v>Cash Payment</v>
      </c>
      <c r="P12828">
        <v>64.08</v>
      </c>
      <c r="Q12828" s="37" t="str">
        <f>IF(P12828&gt;500,"High","low")</f>
        <v>low</v>
      </c>
      <c r="R12828" s="37" t="str">
        <f t="shared" si="1004"/>
        <v>AVERAGE</v>
      </c>
      <c r="S12828" t="s">
        <v>600</v>
      </c>
    </row>
    <row r="12829" spans="1:19" x14ac:dyDescent="0.2">
      <c r="A12829" t="s">
        <v>13440</v>
      </c>
      <c r="B12829" t="s">
        <v>90</v>
      </c>
      <c r="C12829" t="s">
        <v>614</v>
      </c>
      <c r="D12829">
        <v>603.37</v>
      </c>
      <c r="E12829" s="37" t="str">
        <f t="shared" si="1000"/>
        <v xml:space="preserve"> </v>
      </c>
      <c r="F12829">
        <v>0.1</v>
      </c>
      <c r="G12829" s="37" t="str">
        <f t="shared" si="1001"/>
        <v>Normal Discount</v>
      </c>
      <c r="H12829" s="37" t="str">
        <f t="shared" si="1002"/>
        <v>Low</v>
      </c>
      <c r="I12829">
        <v>1</v>
      </c>
      <c r="J12829" t="str" cm="1">
        <f t="array" ref="J12829">_xlfn.IFS(I12829&lt;=3,"small",I12829&lt;=6,"Medium",I12829&lt;=9,"Large")</f>
        <v>small</v>
      </c>
      <c r="K12829" s="36">
        <v>45277</v>
      </c>
      <c r="L12829" s="36">
        <v>45279</v>
      </c>
      <c r="M12829" t="s">
        <v>598</v>
      </c>
      <c r="N12829" t="s">
        <v>608</v>
      </c>
      <c r="O12829" s="37" t="str">
        <f t="shared" si="1003"/>
        <v>Cash Payment</v>
      </c>
      <c r="P12829">
        <v>146.88</v>
      </c>
      <c r="Q12829" s="37" t="str">
        <f>IF(P12829&gt;500,"High","low")</f>
        <v>low</v>
      </c>
      <c r="R12829" s="37" t="str">
        <f t="shared" si="1004"/>
        <v>AVERAGE</v>
      </c>
      <c r="S12829" t="s">
        <v>615</v>
      </c>
    </row>
    <row r="12830" spans="1:19" x14ac:dyDescent="0.2">
      <c r="A12830" t="s">
        <v>13441</v>
      </c>
      <c r="B12830" t="s">
        <v>75</v>
      </c>
      <c r="C12830" t="s">
        <v>597</v>
      </c>
      <c r="D12830">
        <v>1288.68</v>
      </c>
      <c r="E12830" s="37" t="str">
        <f t="shared" si="1000"/>
        <v xml:space="preserve"> </v>
      </c>
      <c r="F12830">
        <v>0.26</v>
      </c>
      <c r="G12830" s="37" t="str">
        <f t="shared" si="1001"/>
        <v>Normal Discount</v>
      </c>
      <c r="H12830" s="37" t="str">
        <f t="shared" si="1002"/>
        <v>Medium</v>
      </c>
      <c r="I12830">
        <v>2</v>
      </c>
      <c r="J12830" t="str" cm="1">
        <f t="array" ref="J12830">_xlfn.IFS(I12830&lt;=3,"small",I12830&lt;=6,"Medium",I12830&lt;=9,"Large")</f>
        <v>small</v>
      </c>
      <c r="K12830" s="36">
        <v>45114</v>
      </c>
      <c r="L12830" s="36">
        <v>45120</v>
      </c>
      <c r="M12830" t="s">
        <v>603</v>
      </c>
      <c r="N12830" t="s">
        <v>604</v>
      </c>
      <c r="O12830" s="37" t="str">
        <f t="shared" si="1003"/>
        <v>Digital Payment</v>
      </c>
      <c r="P12830">
        <v>315.36</v>
      </c>
      <c r="Q12830" s="37" t="str">
        <f>IF(P12830&gt;500,"High","low")</f>
        <v>low</v>
      </c>
      <c r="R12830" s="37" t="str">
        <f t="shared" si="1004"/>
        <v>AVERAGE</v>
      </c>
      <c r="S12830" t="s">
        <v>628</v>
      </c>
    </row>
    <row r="12831" spans="1:19" x14ac:dyDescent="0.2">
      <c r="A12831" t="s">
        <v>13442</v>
      </c>
      <c r="B12831" t="s">
        <v>90</v>
      </c>
      <c r="C12831" t="s">
        <v>602</v>
      </c>
      <c r="D12831">
        <v>707.76</v>
      </c>
      <c r="E12831" s="37" t="str">
        <f t="shared" si="1000"/>
        <v xml:space="preserve"> </v>
      </c>
      <c r="F12831">
        <v>0.41</v>
      </c>
      <c r="G12831" s="37" t="str">
        <f t="shared" si="1001"/>
        <v>Heavy Discount</v>
      </c>
      <c r="H12831" s="37" t="str">
        <f t="shared" si="1002"/>
        <v>High</v>
      </c>
      <c r="I12831">
        <v>5</v>
      </c>
      <c r="J12831" t="str" cm="1">
        <f t="array" ref="J12831">_xlfn.IFS(I12831&lt;=3,"small",I12831&lt;=6,"Medium",I12831&lt;=9,"Large")</f>
        <v>Medium</v>
      </c>
      <c r="K12831" s="36">
        <v>45428</v>
      </c>
      <c r="L12831" s="36">
        <v>45429</v>
      </c>
      <c r="M12831" t="s">
        <v>598</v>
      </c>
      <c r="N12831" t="s">
        <v>604</v>
      </c>
      <c r="O12831" s="37" t="str">
        <f t="shared" si="1003"/>
        <v>Digital Payment</v>
      </c>
      <c r="P12831">
        <v>72.63</v>
      </c>
      <c r="Q12831" s="37" t="str">
        <f>IF(P12831&gt;500,"High","low")</f>
        <v>low</v>
      </c>
      <c r="R12831" s="37" t="str">
        <f t="shared" si="1004"/>
        <v>AVERAGE</v>
      </c>
      <c r="S12831" t="s">
        <v>605</v>
      </c>
    </row>
    <row r="12832" spans="1:19" x14ac:dyDescent="0.2">
      <c r="A12832" t="s">
        <v>13443</v>
      </c>
      <c r="B12832" t="s">
        <v>83</v>
      </c>
      <c r="C12832" t="s">
        <v>597</v>
      </c>
      <c r="D12832">
        <v>1824.72</v>
      </c>
      <c r="E12832" s="37" t="str">
        <f t="shared" si="1000"/>
        <v xml:space="preserve"> </v>
      </c>
      <c r="F12832">
        <v>0.18</v>
      </c>
      <c r="G12832" s="37" t="str">
        <f t="shared" si="1001"/>
        <v>Normal Discount</v>
      </c>
      <c r="H12832" s="37" t="str">
        <f t="shared" si="1002"/>
        <v>Low</v>
      </c>
      <c r="I12832">
        <v>6</v>
      </c>
      <c r="J12832" t="str" cm="1">
        <f t="array" ref="J12832">_xlfn.IFS(I12832&lt;=3,"small",I12832&lt;=6,"Medium",I12832&lt;=9,"Large")</f>
        <v>Medium</v>
      </c>
      <c r="K12832" s="36">
        <v>45103</v>
      </c>
      <c r="L12832" s="36">
        <v>45105</v>
      </c>
      <c r="M12832" t="s">
        <v>612</v>
      </c>
      <c r="N12832" t="s">
        <v>604</v>
      </c>
      <c r="O12832" s="37" t="str">
        <f t="shared" si="1003"/>
        <v>Digital Payment</v>
      </c>
      <c r="P12832">
        <v>418.5</v>
      </c>
      <c r="Q12832" s="37" t="str">
        <f>IF(P12832&gt;500,"High","low")</f>
        <v>low</v>
      </c>
      <c r="R12832" s="37" t="str">
        <f t="shared" si="1004"/>
        <v>AVERAGE</v>
      </c>
      <c r="S12832" t="s">
        <v>615</v>
      </c>
    </row>
    <row r="12833" spans="1:19" x14ac:dyDescent="0.2">
      <c r="A12833" t="s">
        <v>13444</v>
      </c>
      <c r="B12833" t="s">
        <v>67</v>
      </c>
      <c r="C12833" t="s">
        <v>597</v>
      </c>
      <c r="D12833">
        <v>4694.07</v>
      </c>
      <c r="E12833" s="37" t="str">
        <f t="shared" si="1000"/>
        <v>Excellent Order</v>
      </c>
      <c r="F12833">
        <v>0.42</v>
      </c>
      <c r="G12833" s="37" t="str">
        <f t="shared" si="1001"/>
        <v>Heavy Discount</v>
      </c>
      <c r="H12833" s="37" t="str">
        <f t="shared" si="1002"/>
        <v>High</v>
      </c>
      <c r="I12833">
        <v>1</v>
      </c>
      <c r="J12833" t="str" cm="1">
        <f t="array" ref="J12833">_xlfn.IFS(I12833&lt;=3,"small",I12833&lt;=6,"Medium",I12833&lt;=9,"Large")</f>
        <v>small</v>
      </c>
      <c r="K12833" s="36">
        <v>45319</v>
      </c>
      <c r="L12833" s="36">
        <v>45321</v>
      </c>
      <c r="M12833" t="s">
        <v>612</v>
      </c>
      <c r="N12833" t="s">
        <v>604</v>
      </c>
      <c r="O12833" s="37" t="str">
        <f t="shared" si="1003"/>
        <v>Digital Payment</v>
      </c>
      <c r="P12833">
        <v>1271.07</v>
      </c>
      <c r="Q12833" s="37" t="str">
        <f>IF(P12833&gt;500,"High","low")</f>
        <v>High</v>
      </c>
      <c r="R12833" s="37" t="str">
        <f t="shared" si="1004"/>
        <v>Excellent</v>
      </c>
      <c r="S12833" t="s">
        <v>620</v>
      </c>
    </row>
    <row r="12834" spans="1:19" x14ac:dyDescent="0.2">
      <c r="A12834" t="s">
        <v>13445</v>
      </c>
      <c r="B12834" t="s">
        <v>67</v>
      </c>
      <c r="C12834" t="s">
        <v>602</v>
      </c>
      <c r="D12834">
        <v>689.47</v>
      </c>
      <c r="E12834" s="37" t="str">
        <f t="shared" si="1000"/>
        <v xml:space="preserve"> </v>
      </c>
      <c r="F12834">
        <v>0.16</v>
      </c>
      <c r="G12834" s="37" t="str">
        <f t="shared" si="1001"/>
        <v>Normal Discount</v>
      </c>
      <c r="H12834" s="37" t="str">
        <f t="shared" si="1002"/>
        <v>Low</v>
      </c>
      <c r="I12834">
        <v>5</v>
      </c>
      <c r="J12834" t="str" cm="1">
        <f t="array" ref="J12834">_xlfn.IFS(I12834&lt;=3,"small",I12834&lt;=6,"Medium",I12834&lt;=9,"Large")</f>
        <v>Medium</v>
      </c>
      <c r="K12834" s="36">
        <v>45364</v>
      </c>
      <c r="L12834" s="36">
        <v>45370</v>
      </c>
      <c r="M12834" t="s">
        <v>598</v>
      </c>
      <c r="N12834" t="s">
        <v>608</v>
      </c>
      <c r="O12834" s="37" t="str">
        <f t="shared" si="1003"/>
        <v>Cash Payment</v>
      </c>
      <c r="P12834">
        <v>78.88</v>
      </c>
      <c r="Q12834" s="37" t="str">
        <f>IF(P12834&gt;500,"High","low")</f>
        <v>low</v>
      </c>
      <c r="R12834" s="37" t="str">
        <f t="shared" si="1004"/>
        <v>AVERAGE</v>
      </c>
      <c r="S12834" t="s">
        <v>620</v>
      </c>
    </row>
    <row r="12835" spans="1:19" x14ac:dyDescent="0.2">
      <c r="A12835" t="s">
        <v>13446</v>
      </c>
      <c r="B12835" t="s">
        <v>67</v>
      </c>
      <c r="C12835" t="s">
        <v>617</v>
      </c>
      <c r="D12835">
        <v>4109.78</v>
      </c>
      <c r="E12835" s="37" t="str">
        <f t="shared" si="1000"/>
        <v xml:space="preserve"> </v>
      </c>
      <c r="F12835">
        <v>0.37</v>
      </c>
      <c r="G12835" s="37" t="str">
        <f t="shared" si="1001"/>
        <v>Heavy Discount</v>
      </c>
      <c r="H12835" s="37" t="str">
        <f t="shared" si="1002"/>
        <v>Medium</v>
      </c>
      <c r="I12835">
        <v>8</v>
      </c>
      <c r="J12835" t="str" cm="1">
        <f t="array" ref="J12835">_xlfn.IFS(I12835&lt;=3,"small",I12835&lt;=6,"Medium",I12835&lt;=9,"Large")</f>
        <v>Large</v>
      </c>
      <c r="K12835" s="36">
        <v>45275</v>
      </c>
      <c r="L12835" s="36">
        <v>45277</v>
      </c>
      <c r="M12835" t="s">
        <v>598</v>
      </c>
      <c r="N12835" t="s">
        <v>599</v>
      </c>
      <c r="O12835" s="37" t="str">
        <f t="shared" si="1003"/>
        <v>Digital Payment</v>
      </c>
      <c r="P12835">
        <v>664.67</v>
      </c>
      <c r="Q12835" s="37" t="str">
        <f>IF(P12835&gt;500,"High","low")</f>
        <v>High</v>
      </c>
      <c r="R12835" s="37" t="str">
        <f t="shared" si="1004"/>
        <v>Good</v>
      </c>
      <c r="S12835" t="s">
        <v>600</v>
      </c>
    </row>
    <row r="12836" spans="1:19" x14ac:dyDescent="0.2">
      <c r="A12836" t="s">
        <v>13447</v>
      </c>
      <c r="B12836" t="s">
        <v>75</v>
      </c>
      <c r="C12836" t="s">
        <v>617</v>
      </c>
      <c r="D12836">
        <v>2719.78</v>
      </c>
      <c r="E12836" s="37" t="str">
        <f t="shared" si="1000"/>
        <v xml:space="preserve"> </v>
      </c>
      <c r="F12836">
        <v>0.06</v>
      </c>
      <c r="G12836" s="37" t="str">
        <f t="shared" si="1001"/>
        <v>Normal Discount</v>
      </c>
      <c r="H12836" s="37" t="str">
        <f t="shared" si="1002"/>
        <v>Low</v>
      </c>
      <c r="I12836">
        <v>8</v>
      </c>
      <c r="J12836" t="str" cm="1">
        <f t="array" ref="J12836">_xlfn.IFS(I12836&lt;=3,"small",I12836&lt;=6,"Medium",I12836&lt;=9,"Large")</f>
        <v>Large</v>
      </c>
      <c r="K12836" s="36">
        <v>45420</v>
      </c>
      <c r="L12836" s="36">
        <v>45424</v>
      </c>
      <c r="M12836" t="s">
        <v>603</v>
      </c>
      <c r="N12836" t="s">
        <v>608</v>
      </c>
      <c r="O12836" s="37" t="str">
        <f t="shared" si="1003"/>
        <v>Cash Payment</v>
      </c>
      <c r="P12836">
        <v>466.57</v>
      </c>
      <c r="Q12836" s="37" t="str">
        <f>IF(P12836&gt;500,"High","low")</f>
        <v>low</v>
      </c>
      <c r="R12836" s="37" t="str">
        <f t="shared" si="1004"/>
        <v>AVERAGE</v>
      </c>
      <c r="S12836" t="s">
        <v>600</v>
      </c>
    </row>
    <row r="12837" spans="1:19" x14ac:dyDescent="0.2">
      <c r="A12837" t="s">
        <v>13448</v>
      </c>
      <c r="B12837" t="s">
        <v>90</v>
      </c>
      <c r="C12837" t="s">
        <v>597</v>
      </c>
      <c r="D12837">
        <v>3201.23</v>
      </c>
      <c r="E12837" s="37" t="str">
        <f t="shared" si="1000"/>
        <v xml:space="preserve"> </v>
      </c>
      <c r="F12837">
        <v>0.03</v>
      </c>
      <c r="G12837" s="37" t="str">
        <f t="shared" si="1001"/>
        <v>Normal Discount</v>
      </c>
      <c r="H12837" s="37" t="str">
        <f t="shared" si="1002"/>
        <v>Low</v>
      </c>
      <c r="I12837">
        <v>2</v>
      </c>
      <c r="J12837" t="str" cm="1">
        <f t="array" ref="J12837">_xlfn.IFS(I12837&lt;=3,"small",I12837&lt;=6,"Medium",I12837&lt;=9,"Large")</f>
        <v>small</v>
      </c>
      <c r="K12837" s="36">
        <v>44989</v>
      </c>
      <c r="L12837" s="36">
        <v>44994</v>
      </c>
      <c r="M12837" t="s">
        <v>612</v>
      </c>
      <c r="N12837" t="s">
        <v>604</v>
      </c>
      <c r="O12837" s="37" t="str">
        <f t="shared" si="1003"/>
        <v>Digital Payment</v>
      </c>
      <c r="P12837">
        <v>491.65</v>
      </c>
      <c r="Q12837" s="37" t="str">
        <f>IF(P12837&gt;500,"High","low")</f>
        <v>low</v>
      </c>
      <c r="R12837" s="37" t="str">
        <f t="shared" si="1004"/>
        <v>AVERAGE</v>
      </c>
      <c r="S12837" t="s">
        <v>615</v>
      </c>
    </row>
    <row r="12838" spans="1:19" x14ac:dyDescent="0.2">
      <c r="A12838" t="s">
        <v>13449</v>
      </c>
      <c r="B12838" t="s">
        <v>83</v>
      </c>
      <c r="C12838" t="s">
        <v>597</v>
      </c>
      <c r="D12838">
        <v>933.4</v>
      </c>
      <c r="E12838" s="37" t="str">
        <f t="shared" si="1000"/>
        <v xml:space="preserve"> </v>
      </c>
      <c r="F12838">
        <v>0.37</v>
      </c>
      <c r="G12838" s="37" t="str">
        <f t="shared" si="1001"/>
        <v>Heavy Discount</v>
      </c>
      <c r="H12838" s="37" t="str">
        <f t="shared" si="1002"/>
        <v>Medium</v>
      </c>
      <c r="I12838">
        <v>9</v>
      </c>
      <c r="J12838" t="str" cm="1">
        <f t="array" ref="J12838">_xlfn.IFS(I12838&lt;=3,"small",I12838&lt;=6,"Medium",I12838&lt;=9,"Large")</f>
        <v>Large</v>
      </c>
      <c r="K12838" s="36">
        <v>45106</v>
      </c>
      <c r="L12838" s="36">
        <v>45112</v>
      </c>
      <c r="M12838" t="s">
        <v>612</v>
      </c>
      <c r="N12838" t="s">
        <v>604</v>
      </c>
      <c r="O12838" s="37" t="str">
        <f t="shared" si="1003"/>
        <v>Digital Payment</v>
      </c>
      <c r="P12838">
        <v>122.83</v>
      </c>
      <c r="Q12838" s="37" t="str">
        <f>IF(P12838&gt;500,"High","low")</f>
        <v>low</v>
      </c>
      <c r="R12838" s="37" t="str">
        <f t="shared" si="1004"/>
        <v>AVERAGE</v>
      </c>
      <c r="S12838" t="s">
        <v>628</v>
      </c>
    </row>
    <row r="12839" spans="1:19" x14ac:dyDescent="0.2">
      <c r="A12839" t="s">
        <v>13450</v>
      </c>
      <c r="B12839" t="s">
        <v>90</v>
      </c>
      <c r="C12839" t="s">
        <v>607</v>
      </c>
      <c r="D12839">
        <v>841.73</v>
      </c>
      <c r="E12839" s="37" t="str">
        <f t="shared" si="1000"/>
        <v xml:space="preserve"> </v>
      </c>
      <c r="F12839">
        <v>0.18</v>
      </c>
      <c r="G12839" s="37" t="str">
        <f t="shared" si="1001"/>
        <v>Normal Discount</v>
      </c>
      <c r="H12839" s="37" t="str">
        <f t="shared" si="1002"/>
        <v>Low</v>
      </c>
      <c r="I12839">
        <v>2</v>
      </c>
      <c r="J12839" t="str" cm="1">
        <f t="array" ref="J12839">_xlfn.IFS(I12839&lt;=3,"small",I12839&lt;=6,"Medium",I12839&lt;=9,"Large")</f>
        <v>small</v>
      </c>
      <c r="K12839" s="36">
        <v>45460</v>
      </c>
      <c r="L12839" s="36">
        <v>45462</v>
      </c>
      <c r="M12839" t="s">
        <v>598</v>
      </c>
      <c r="N12839" t="s">
        <v>608</v>
      </c>
      <c r="O12839" s="37" t="str">
        <f t="shared" si="1003"/>
        <v>Cash Payment</v>
      </c>
      <c r="P12839">
        <v>250.27</v>
      </c>
      <c r="Q12839" s="37" t="str">
        <f>IF(P12839&gt;500,"High","low")</f>
        <v>low</v>
      </c>
      <c r="R12839" s="37" t="str">
        <f t="shared" si="1004"/>
        <v>AVERAGE</v>
      </c>
      <c r="S12839" t="s">
        <v>615</v>
      </c>
    </row>
    <row r="12840" spans="1:19" x14ac:dyDescent="0.2">
      <c r="A12840" t="s">
        <v>13451</v>
      </c>
      <c r="B12840" t="s">
        <v>67</v>
      </c>
      <c r="C12840" t="s">
        <v>617</v>
      </c>
      <c r="D12840">
        <v>897.44</v>
      </c>
      <c r="E12840" s="37" t="str">
        <f t="shared" si="1000"/>
        <v xml:space="preserve"> </v>
      </c>
      <c r="F12840">
        <v>0.2</v>
      </c>
      <c r="G12840" s="37" t="str">
        <f t="shared" si="1001"/>
        <v>Normal Discount</v>
      </c>
      <c r="H12840" s="37" t="str">
        <f t="shared" si="1002"/>
        <v>Medium</v>
      </c>
      <c r="I12840">
        <v>4</v>
      </c>
      <c r="J12840" t="str" cm="1">
        <f t="array" ref="J12840">_xlfn.IFS(I12840&lt;=3,"small",I12840&lt;=6,"Medium",I12840&lt;=9,"Large")</f>
        <v>Medium</v>
      </c>
      <c r="K12840" s="36">
        <v>45237</v>
      </c>
      <c r="L12840" s="36">
        <v>45239</v>
      </c>
      <c r="M12840" t="s">
        <v>598</v>
      </c>
      <c r="N12840" t="s">
        <v>599</v>
      </c>
      <c r="O12840" s="37" t="str">
        <f t="shared" si="1003"/>
        <v>Digital Payment</v>
      </c>
      <c r="P12840">
        <v>172.87</v>
      </c>
      <c r="Q12840" s="37" t="str">
        <f>IF(P12840&gt;500,"High","low")</f>
        <v>low</v>
      </c>
      <c r="R12840" s="37" t="str">
        <f t="shared" si="1004"/>
        <v>AVERAGE</v>
      </c>
      <c r="S12840" t="s">
        <v>609</v>
      </c>
    </row>
    <row r="12841" spans="1:19" x14ac:dyDescent="0.2">
      <c r="A12841" t="s">
        <v>13452</v>
      </c>
      <c r="B12841" t="s">
        <v>83</v>
      </c>
      <c r="C12841" t="s">
        <v>602</v>
      </c>
      <c r="D12841">
        <v>3368.61</v>
      </c>
      <c r="E12841" s="37" t="str">
        <f t="shared" si="1000"/>
        <v xml:space="preserve"> </v>
      </c>
      <c r="F12841">
        <v>0.28999999999999998</v>
      </c>
      <c r="G12841" s="37" t="str">
        <f t="shared" si="1001"/>
        <v>Normal Discount</v>
      </c>
      <c r="H12841" s="37" t="str">
        <f t="shared" si="1002"/>
        <v>Medium</v>
      </c>
      <c r="I12841">
        <v>4</v>
      </c>
      <c r="J12841" t="str" cm="1">
        <f t="array" ref="J12841">_xlfn.IFS(I12841&lt;=3,"small",I12841&lt;=6,"Medium",I12841&lt;=9,"Large")</f>
        <v>Medium</v>
      </c>
      <c r="K12841" s="36">
        <v>45551</v>
      </c>
      <c r="L12841" s="36">
        <v>45557</v>
      </c>
      <c r="M12841" t="s">
        <v>603</v>
      </c>
      <c r="N12841" t="s">
        <v>599</v>
      </c>
      <c r="O12841" s="37" t="str">
        <f t="shared" si="1003"/>
        <v>Digital Payment</v>
      </c>
      <c r="P12841">
        <v>770.67</v>
      </c>
      <c r="Q12841" s="37" t="str">
        <f>IF(P12841&gt;500,"High","low")</f>
        <v>High</v>
      </c>
      <c r="R12841" s="37" t="str">
        <f t="shared" si="1004"/>
        <v>Good</v>
      </c>
      <c r="S12841" t="s">
        <v>605</v>
      </c>
    </row>
    <row r="12842" spans="1:19" x14ac:dyDescent="0.2">
      <c r="A12842" t="s">
        <v>13453</v>
      </c>
      <c r="B12842" t="s">
        <v>83</v>
      </c>
      <c r="C12842" t="s">
        <v>597</v>
      </c>
      <c r="D12842">
        <v>3764.16</v>
      </c>
      <c r="E12842" s="37" t="str">
        <f t="shared" si="1000"/>
        <v xml:space="preserve"> </v>
      </c>
      <c r="F12842">
        <v>0.49</v>
      </c>
      <c r="G12842" s="37" t="str">
        <f t="shared" si="1001"/>
        <v>Heavy Discount</v>
      </c>
      <c r="H12842" s="37" t="str">
        <f t="shared" si="1002"/>
        <v>High</v>
      </c>
      <c r="I12842">
        <v>4</v>
      </c>
      <c r="J12842" t="str" cm="1">
        <f t="array" ref="J12842">_xlfn.IFS(I12842&lt;=3,"small",I12842&lt;=6,"Medium",I12842&lt;=9,"Large")</f>
        <v>Medium</v>
      </c>
      <c r="K12842" s="36">
        <v>45036</v>
      </c>
      <c r="L12842" s="36">
        <v>45043</v>
      </c>
      <c r="M12842" t="s">
        <v>603</v>
      </c>
      <c r="N12842" t="s">
        <v>608</v>
      </c>
      <c r="O12842" s="37" t="str">
        <f t="shared" si="1003"/>
        <v>Cash Payment</v>
      </c>
      <c r="P12842">
        <v>288.52</v>
      </c>
      <c r="Q12842" s="37" t="str">
        <f>IF(P12842&gt;500,"High","low")</f>
        <v>low</v>
      </c>
      <c r="R12842" s="37" t="str">
        <f t="shared" si="1004"/>
        <v>AVERAGE</v>
      </c>
      <c r="S12842" t="s">
        <v>628</v>
      </c>
    </row>
    <row r="12843" spans="1:19" x14ac:dyDescent="0.2">
      <c r="A12843" t="s">
        <v>13454</v>
      </c>
      <c r="B12843" t="s">
        <v>67</v>
      </c>
      <c r="C12843" t="s">
        <v>597</v>
      </c>
      <c r="D12843">
        <v>4609.2</v>
      </c>
      <c r="E12843" s="37" t="str">
        <f t="shared" si="1000"/>
        <v>Excellent Order</v>
      </c>
      <c r="F12843">
        <v>0.09</v>
      </c>
      <c r="G12843" s="37" t="str">
        <f t="shared" si="1001"/>
        <v>Normal Discount</v>
      </c>
      <c r="H12843" s="37" t="str">
        <f t="shared" si="1002"/>
        <v>Low</v>
      </c>
      <c r="I12843">
        <v>7</v>
      </c>
      <c r="J12843" t="str" cm="1">
        <f t="array" ref="J12843">_xlfn.IFS(I12843&lt;=3,"small",I12843&lt;=6,"Medium",I12843&lt;=9,"Large")</f>
        <v>Large</v>
      </c>
      <c r="K12843" s="36">
        <v>45441</v>
      </c>
      <c r="L12843" s="36">
        <v>45443</v>
      </c>
      <c r="M12843" t="s">
        <v>603</v>
      </c>
      <c r="N12843" t="s">
        <v>604</v>
      </c>
      <c r="O12843" s="37" t="str">
        <f t="shared" si="1003"/>
        <v>Digital Payment</v>
      </c>
      <c r="P12843">
        <v>817.56</v>
      </c>
      <c r="Q12843" s="37" t="str">
        <f>IF(P12843&gt;500,"High","low")</f>
        <v>High</v>
      </c>
      <c r="R12843" s="37" t="str">
        <f t="shared" si="1004"/>
        <v>Good</v>
      </c>
      <c r="S12843" t="s">
        <v>605</v>
      </c>
    </row>
    <row r="12844" spans="1:19" x14ac:dyDescent="0.2">
      <c r="A12844" t="s">
        <v>13455</v>
      </c>
      <c r="B12844" t="s">
        <v>90</v>
      </c>
      <c r="C12844" t="s">
        <v>607</v>
      </c>
      <c r="D12844">
        <v>2051.14</v>
      </c>
      <c r="E12844" s="37" t="str">
        <f t="shared" si="1000"/>
        <v xml:space="preserve"> </v>
      </c>
      <c r="F12844">
        <v>0.15</v>
      </c>
      <c r="G12844" s="37" t="str">
        <f t="shared" si="1001"/>
        <v>Normal Discount</v>
      </c>
      <c r="H12844" s="37" t="str">
        <f t="shared" si="1002"/>
        <v>Low</v>
      </c>
      <c r="I12844">
        <v>8</v>
      </c>
      <c r="J12844" t="str" cm="1">
        <f t="array" ref="J12844">_xlfn.IFS(I12844&lt;=3,"small",I12844&lt;=6,"Medium",I12844&lt;=9,"Large")</f>
        <v>Large</v>
      </c>
      <c r="K12844" s="36">
        <v>45184</v>
      </c>
      <c r="L12844" s="36">
        <v>45185</v>
      </c>
      <c r="M12844" t="s">
        <v>598</v>
      </c>
      <c r="N12844" t="s">
        <v>599</v>
      </c>
      <c r="O12844" s="37" t="str">
        <f t="shared" si="1003"/>
        <v>Digital Payment</v>
      </c>
      <c r="P12844">
        <v>562.04999999999995</v>
      </c>
      <c r="Q12844" s="37" t="str">
        <f>IF(P12844&gt;500,"High","low")</f>
        <v>High</v>
      </c>
      <c r="R12844" s="37" t="str">
        <f t="shared" si="1004"/>
        <v>Good</v>
      </c>
      <c r="S12844" t="s">
        <v>615</v>
      </c>
    </row>
    <row r="12845" spans="1:19" x14ac:dyDescent="0.2">
      <c r="A12845" t="s">
        <v>13456</v>
      </c>
      <c r="B12845" t="s">
        <v>67</v>
      </c>
      <c r="C12845" t="s">
        <v>607</v>
      </c>
      <c r="D12845">
        <v>2363.65</v>
      </c>
      <c r="E12845" s="37" t="str">
        <f t="shared" si="1000"/>
        <v xml:space="preserve"> </v>
      </c>
      <c r="F12845">
        <v>0.32</v>
      </c>
      <c r="G12845" s="37" t="str">
        <f t="shared" si="1001"/>
        <v>Heavy Discount</v>
      </c>
      <c r="H12845" s="37" t="str">
        <f t="shared" si="1002"/>
        <v>Medium</v>
      </c>
      <c r="I12845">
        <v>8</v>
      </c>
      <c r="J12845" t="str" cm="1">
        <f t="array" ref="J12845">_xlfn.IFS(I12845&lt;=3,"small",I12845&lt;=6,"Medium",I12845&lt;=9,"Large")</f>
        <v>Large</v>
      </c>
      <c r="K12845" s="36">
        <v>45625</v>
      </c>
      <c r="L12845" s="36">
        <v>45629</v>
      </c>
      <c r="M12845" t="s">
        <v>598</v>
      </c>
      <c r="N12845" t="s">
        <v>599</v>
      </c>
      <c r="O12845" s="37" t="str">
        <f t="shared" si="1003"/>
        <v>Digital Payment</v>
      </c>
      <c r="P12845">
        <v>539.65</v>
      </c>
      <c r="Q12845" s="37" t="str">
        <f>IF(P12845&gt;500,"High","low")</f>
        <v>High</v>
      </c>
      <c r="R12845" s="37" t="str">
        <f t="shared" si="1004"/>
        <v>Good</v>
      </c>
      <c r="S12845" t="s">
        <v>600</v>
      </c>
    </row>
    <row r="12846" spans="1:19" x14ac:dyDescent="0.2">
      <c r="A12846" t="s">
        <v>13457</v>
      </c>
      <c r="B12846" t="s">
        <v>90</v>
      </c>
      <c r="C12846" t="s">
        <v>607</v>
      </c>
      <c r="D12846">
        <v>2401.02</v>
      </c>
      <c r="E12846" s="37" t="str">
        <f t="shared" si="1000"/>
        <v xml:space="preserve"> </v>
      </c>
      <c r="F12846">
        <v>0.35</v>
      </c>
      <c r="G12846" s="37" t="str">
        <f t="shared" si="1001"/>
        <v>Heavy Discount</v>
      </c>
      <c r="H12846" s="37" t="str">
        <f t="shared" si="1002"/>
        <v>Medium</v>
      </c>
      <c r="I12846">
        <v>4</v>
      </c>
      <c r="J12846" t="str" cm="1">
        <f t="array" ref="J12846">_xlfn.IFS(I12846&lt;=3,"small",I12846&lt;=6,"Medium",I12846&lt;=9,"Large")</f>
        <v>Medium</v>
      </c>
      <c r="K12846" s="36">
        <v>45466</v>
      </c>
      <c r="L12846" s="36">
        <v>45469</v>
      </c>
      <c r="M12846" t="s">
        <v>603</v>
      </c>
      <c r="N12846" t="s">
        <v>604</v>
      </c>
      <c r="O12846" s="37" t="str">
        <f t="shared" si="1003"/>
        <v>Digital Payment</v>
      </c>
      <c r="P12846">
        <v>288.06</v>
      </c>
      <c r="Q12846" s="37" t="str">
        <f>IF(P12846&gt;500,"High","low")</f>
        <v>low</v>
      </c>
      <c r="R12846" s="37" t="str">
        <f t="shared" si="1004"/>
        <v>AVERAGE</v>
      </c>
      <c r="S12846" t="s">
        <v>609</v>
      </c>
    </row>
    <row r="12847" spans="1:19" x14ac:dyDescent="0.2">
      <c r="A12847" t="s">
        <v>13458</v>
      </c>
      <c r="B12847" t="s">
        <v>83</v>
      </c>
      <c r="C12847" t="s">
        <v>614</v>
      </c>
      <c r="D12847">
        <v>1422.5</v>
      </c>
      <c r="E12847" s="37" t="str">
        <f t="shared" si="1000"/>
        <v xml:space="preserve"> </v>
      </c>
      <c r="F12847">
        <v>0.35</v>
      </c>
      <c r="G12847" s="37" t="str">
        <f t="shared" si="1001"/>
        <v>Heavy Discount</v>
      </c>
      <c r="H12847" s="37" t="str">
        <f t="shared" si="1002"/>
        <v>Medium</v>
      </c>
      <c r="I12847">
        <v>4</v>
      </c>
      <c r="J12847" t="str" cm="1">
        <f t="array" ref="J12847">_xlfn.IFS(I12847&lt;=3,"small",I12847&lt;=6,"Medium",I12847&lt;=9,"Large")</f>
        <v>Medium</v>
      </c>
      <c r="K12847" s="36">
        <v>45347</v>
      </c>
      <c r="L12847" s="36">
        <v>45353</v>
      </c>
      <c r="M12847" t="s">
        <v>612</v>
      </c>
      <c r="N12847" t="s">
        <v>608</v>
      </c>
      <c r="O12847" s="37" t="str">
        <f t="shared" si="1003"/>
        <v>Cash Payment</v>
      </c>
      <c r="P12847">
        <v>370.86</v>
      </c>
      <c r="Q12847" s="37" t="str">
        <f>IF(P12847&gt;500,"High","low")</f>
        <v>low</v>
      </c>
      <c r="R12847" s="37" t="str">
        <f t="shared" si="1004"/>
        <v>AVERAGE</v>
      </c>
      <c r="S12847" t="s">
        <v>628</v>
      </c>
    </row>
    <row r="12848" spans="1:19" x14ac:dyDescent="0.2">
      <c r="A12848" t="s">
        <v>13459</v>
      </c>
      <c r="B12848" t="s">
        <v>83</v>
      </c>
      <c r="C12848" t="s">
        <v>602</v>
      </c>
      <c r="D12848">
        <v>1708.34</v>
      </c>
      <c r="E12848" s="37" t="str">
        <f t="shared" si="1000"/>
        <v xml:space="preserve"> </v>
      </c>
      <c r="F12848">
        <v>0.3</v>
      </c>
      <c r="G12848" s="37" t="str">
        <f t="shared" si="1001"/>
        <v>Normal Discount</v>
      </c>
      <c r="H12848" s="37" t="str">
        <f t="shared" si="1002"/>
        <v>Medium</v>
      </c>
      <c r="I12848">
        <v>6</v>
      </c>
      <c r="J12848" t="str" cm="1">
        <f t="array" ref="J12848">_xlfn.IFS(I12848&lt;=3,"small",I12848&lt;=6,"Medium",I12848&lt;=9,"Large")</f>
        <v>Medium</v>
      </c>
      <c r="K12848" s="36">
        <v>45174</v>
      </c>
      <c r="L12848" s="36">
        <v>45179</v>
      </c>
      <c r="M12848" t="s">
        <v>598</v>
      </c>
      <c r="N12848" t="s">
        <v>608</v>
      </c>
      <c r="O12848" s="37" t="str">
        <f t="shared" si="1003"/>
        <v>Cash Payment</v>
      </c>
      <c r="P12848">
        <v>107.79</v>
      </c>
      <c r="Q12848" s="37" t="str">
        <f>IF(P12848&gt;500,"High","low")</f>
        <v>low</v>
      </c>
      <c r="R12848" s="37" t="str">
        <f t="shared" si="1004"/>
        <v>AVERAGE</v>
      </c>
      <c r="S12848" t="s">
        <v>605</v>
      </c>
    </row>
    <row r="12849" spans="1:19" x14ac:dyDescent="0.2">
      <c r="A12849" t="s">
        <v>13460</v>
      </c>
      <c r="B12849" t="s">
        <v>67</v>
      </c>
      <c r="C12849" t="s">
        <v>614</v>
      </c>
      <c r="D12849">
        <v>4249.42</v>
      </c>
      <c r="E12849" s="37" t="str">
        <f t="shared" si="1000"/>
        <v>Excellent Order</v>
      </c>
      <c r="F12849">
        <v>0.28999999999999998</v>
      </c>
      <c r="G12849" s="37" t="str">
        <f t="shared" si="1001"/>
        <v>Normal Discount</v>
      </c>
      <c r="H12849" s="37" t="str">
        <f t="shared" si="1002"/>
        <v>Medium</v>
      </c>
      <c r="I12849">
        <v>9</v>
      </c>
      <c r="J12849" t="str" cm="1">
        <f t="array" ref="J12849">_xlfn.IFS(I12849&lt;=3,"small",I12849&lt;=6,"Medium",I12849&lt;=9,"Large")</f>
        <v>Large</v>
      </c>
      <c r="K12849" s="36">
        <v>45379</v>
      </c>
      <c r="L12849" s="36">
        <v>45381</v>
      </c>
      <c r="M12849" t="s">
        <v>598</v>
      </c>
      <c r="N12849" t="s">
        <v>608</v>
      </c>
      <c r="O12849" s="37" t="str">
        <f t="shared" si="1003"/>
        <v>Cash Payment</v>
      </c>
      <c r="P12849">
        <v>1259.42</v>
      </c>
      <c r="Q12849" s="37" t="str">
        <f>IF(P12849&gt;500,"High","low")</f>
        <v>High</v>
      </c>
      <c r="R12849" s="37" t="str">
        <f t="shared" si="1004"/>
        <v>Excellent</v>
      </c>
      <c r="S12849" t="s">
        <v>628</v>
      </c>
    </row>
    <row r="12850" spans="1:19" x14ac:dyDescent="0.2">
      <c r="A12850" t="s">
        <v>13461</v>
      </c>
      <c r="B12850" t="s">
        <v>83</v>
      </c>
      <c r="C12850" t="s">
        <v>597</v>
      </c>
      <c r="D12850">
        <v>1784.24</v>
      </c>
      <c r="E12850" s="37" t="str">
        <f t="shared" si="1000"/>
        <v xml:space="preserve"> </v>
      </c>
      <c r="F12850">
        <v>7.0000000000000007E-2</v>
      </c>
      <c r="G12850" s="37" t="str">
        <f t="shared" si="1001"/>
        <v>Normal Discount</v>
      </c>
      <c r="H12850" s="37" t="str">
        <f t="shared" si="1002"/>
        <v>Low</v>
      </c>
      <c r="I12850">
        <v>5</v>
      </c>
      <c r="J12850" t="str" cm="1">
        <f t="array" ref="J12850">_xlfn.IFS(I12850&lt;=3,"small",I12850&lt;=6,"Medium",I12850&lt;=9,"Large")</f>
        <v>Medium</v>
      </c>
      <c r="K12850" s="36">
        <v>44935</v>
      </c>
      <c r="L12850" s="36">
        <v>44938</v>
      </c>
      <c r="M12850" t="s">
        <v>598</v>
      </c>
      <c r="N12850" t="s">
        <v>604</v>
      </c>
      <c r="O12850" s="37" t="str">
        <f t="shared" si="1003"/>
        <v>Digital Payment</v>
      </c>
      <c r="P12850">
        <v>427.22</v>
      </c>
      <c r="Q12850" s="37" t="str">
        <f>IF(P12850&gt;500,"High","low")</f>
        <v>low</v>
      </c>
      <c r="R12850" s="37" t="str">
        <f t="shared" si="1004"/>
        <v>AVERAGE</v>
      </c>
      <c r="S12850" t="s">
        <v>628</v>
      </c>
    </row>
    <row r="12851" spans="1:19" x14ac:dyDescent="0.2">
      <c r="A12851" t="s">
        <v>13462</v>
      </c>
      <c r="B12851" t="s">
        <v>75</v>
      </c>
      <c r="C12851" t="s">
        <v>607</v>
      </c>
      <c r="D12851">
        <v>4358.57</v>
      </c>
      <c r="E12851" s="37" t="str">
        <f t="shared" si="1000"/>
        <v>Excellent Order</v>
      </c>
      <c r="F12851">
        <v>0.42</v>
      </c>
      <c r="G12851" s="37" t="str">
        <f t="shared" si="1001"/>
        <v>Heavy Discount</v>
      </c>
      <c r="H12851" s="37" t="str">
        <f t="shared" si="1002"/>
        <v>High</v>
      </c>
      <c r="I12851">
        <v>2</v>
      </c>
      <c r="J12851" t="str" cm="1">
        <f t="array" ref="J12851">_xlfn.IFS(I12851&lt;=3,"small",I12851&lt;=6,"Medium",I12851&lt;=9,"Large")</f>
        <v>small</v>
      </c>
      <c r="K12851" s="36">
        <v>45628</v>
      </c>
      <c r="L12851" s="36">
        <v>45631</v>
      </c>
      <c r="M12851" t="s">
        <v>603</v>
      </c>
      <c r="N12851" t="s">
        <v>599</v>
      </c>
      <c r="O12851" s="37" t="str">
        <f t="shared" si="1003"/>
        <v>Digital Payment</v>
      </c>
      <c r="P12851">
        <v>1254.07</v>
      </c>
      <c r="Q12851" s="37" t="str">
        <f>IF(P12851&gt;500,"High","low")</f>
        <v>High</v>
      </c>
      <c r="R12851" s="37" t="str">
        <f t="shared" si="1004"/>
        <v>Excellent</v>
      </c>
      <c r="S12851" t="s">
        <v>620</v>
      </c>
    </row>
    <row r="12852" spans="1:19" x14ac:dyDescent="0.2">
      <c r="A12852" t="s">
        <v>13463</v>
      </c>
      <c r="B12852" t="s">
        <v>83</v>
      </c>
      <c r="C12852" t="s">
        <v>607</v>
      </c>
      <c r="D12852">
        <v>1595.81</v>
      </c>
      <c r="E12852" s="37" t="str">
        <f t="shared" si="1000"/>
        <v xml:space="preserve"> </v>
      </c>
      <c r="F12852">
        <v>0</v>
      </c>
      <c r="G12852" s="37" t="str">
        <f t="shared" si="1001"/>
        <v>Normal Discount</v>
      </c>
      <c r="H12852" s="37" t="str">
        <f t="shared" si="1002"/>
        <v>Low</v>
      </c>
      <c r="I12852">
        <v>9</v>
      </c>
      <c r="J12852" t="str" cm="1">
        <f t="array" ref="J12852">_xlfn.IFS(I12852&lt;=3,"small",I12852&lt;=6,"Medium",I12852&lt;=9,"Large")</f>
        <v>Large</v>
      </c>
      <c r="K12852" s="36">
        <v>45214</v>
      </c>
      <c r="L12852" s="36">
        <v>45215</v>
      </c>
      <c r="M12852" t="s">
        <v>598</v>
      </c>
      <c r="N12852" t="s">
        <v>604</v>
      </c>
      <c r="O12852" s="37" t="str">
        <f t="shared" si="1003"/>
        <v>Digital Payment</v>
      </c>
      <c r="P12852">
        <v>421.04</v>
      </c>
      <c r="Q12852" s="37" t="str">
        <f>IF(P12852&gt;500,"High","low")</f>
        <v>low</v>
      </c>
      <c r="R12852" s="37" t="str">
        <f t="shared" si="1004"/>
        <v>AVERAGE</v>
      </c>
      <c r="S12852" t="s">
        <v>615</v>
      </c>
    </row>
    <row r="12853" spans="1:19" x14ac:dyDescent="0.2">
      <c r="A12853" t="s">
        <v>13464</v>
      </c>
      <c r="B12853" t="s">
        <v>75</v>
      </c>
      <c r="C12853" t="s">
        <v>607</v>
      </c>
      <c r="D12853">
        <v>1765.43</v>
      </c>
      <c r="E12853" s="37" t="str">
        <f t="shared" si="1000"/>
        <v xml:space="preserve"> </v>
      </c>
      <c r="F12853">
        <v>0.21</v>
      </c>
      <c r="G12853" s="37" t="str">
        <f t="shared" si="1001"/>
        <v>Normal Discount</v>
      </c>
      <c r="H12853" s="37" t="str">
        <f t="shared" si="1002"/>
        <v>Medium</v>
      </c>
      <c r="I12853">
        <v>9</v>
      </c>
      <c r="J12853" t="str" cm="1">
        <f t="array" ref="J12853">_xlfn.IFS(I12853&lt;=3,"small",I12853&lt;=6,"Medium",I12853&lt;=9,"Large")</f>
        <v>Large</v>
      </c>
      <c r="K12853" s="36">
        <v>45391</v>
      </c>
      <c r="L12853" s="36">
        <v>45392</v>
      </c>
      <c r="M12853" t="s">
        <v>598</v>
      </c>
      <c r="N12853" t="s">
        <v>599</v>
      </c>
      <c r="O12853" s="37" t="str">
        <f t="shared" si="1003"/>
        <v>Digital Payment</v>
      </c>
      <c r="P12853">
        <v>428.62</v>
      </c>
      <c r="Q12853" s="37" t="str">
        <f>IF(P12853&gt;500,"High","low")</f>
        <v>low</v>
      </c>
      <c r="R12853" s="37" t="str">
        <f t="shared" si="1004"/>
        <v>AVERAGE</v>
      </c>
      <c r="S12853" t="s">
        <v>615</v>
      </c>
    </row>
    <row r="12854" spans="1:19" x14ac:dyDescent="0.2">
      <c r="A12854" t="s">
        <v>13465</v>
      </c>
      <c r="B12854" t="s">
        <v>83</v>
      </c>
      <c r="C12854" t="s">
        <v>617</v>
      </c>
      <c r="D12854">
        <v>2845.38</v>
      </c>
      <c r="E12854" s="37" t="str">
        <f t="shared" si="1000"/>
        <v xml:space="preserve"> </v>
      </c>
      <c r="F12854">
        <v>0.11</v>
      </c>
      <c r="G12854" s="37" t="str">
        <f t="shared" si="1001"/>
        <v>Normal Discount</v>
      </c>
      <c r="H12854" s="37" t="str">
        <f t="shared" si="1002"/>
        <v>Low</v>
      </c>
      <c r="I12854">
        <v>1</v>
      </c>
      <c r="J12854" t="str" cm="1">
        <f t="array" ref="J12854">_xlfn.IFS(I12854&lt;=3,"small",I12854&lt;=6,"Medium",I12854&lt;=9,"Large")</f>
        <v>small</v>
      </c>
      <c r="K12854" s="36">
        <v>45001</v>
      </c>
      <c r="L12854" s="36">
        <v>45008</v>
      </c>
      <c r="M12854" t="s">
        <v>612</v>
      </c>
      <c r="N12854" t="s">
        <v>599</v>
      </c>
      <c r="O12854" s="37" t="str">
        <f t="shared" si="1003"/>
        <v>Digital Payment</v>
      </c>
      <c r="P12854">
        <v>456.92</v>
      </c>
      <c r="Q12854" s="37" t="str">
        <f>IF(P12854&gt;500,"High","low")</f>
        <v>low</v>
      </c>
      <c r="R12854" s="37" t="str">
        <f t="shared" si="1004"/>
        <v>AVERAGE</v>
      </c>
      <c r="S12854" t="s">
        <v>609</v>
      </c>
    </row>
    <row r="12855" spans="1:19" x14ac:dyDescent="0.2">
      <c r="A12855" t="s">
        <v>13466</v>
      </c>
      <c r="B12855" t="s">
        <v>67</v>
      </c>
      <c r="C12855" t="s">
        <v>602</v>
      </c>
      <c r="D12855">
        <v>605.32000000000005</v>
      </c>
      <c r="E12855" s="37" t="str">
        <f t="shared" si="1000"/>
        <v xml:space="preserve"> </v>
      </c>
      <c r="F12855">
        <v>0.05</v>
      </c>
      <c r="G12855" s="37" t="str">
        <f t="shared" si="1001"/>
        <v>Normal Discount</v>
      </c>
      <c r="H12855" s="37" t="str">
        <f t="shared" si="1002"/>
        <v>Low</v>
      </c>
      <c r="I12855">
        <v>9</v>
      </c>
      <c r="J12855" t="str" cm="1">
        <f t="array" ref="J12855">_xlfn.IFS(I12855&lt;=3,"small",I12855&lt;=6,"Medium",I12855&lt;=9,"Large")</f>
        <v>Large</v>
      </c>
      <c r="K12855" s="36">
        <v>45028</v>
      </c>
      <c r="L12855" s="36">
        <v>45034</v>
      </c>
      <c r="M12855" t="s">
        <v>603</v>
      </c>
      <c r="N12855" t="s">
        <v>608</v>
      </c>
      <c r="O12855" s="37" t="str">
        <f t="shared" si="1003"/>
        <v>Cash Payment</v>
      </c>
      <c r="P12855">
        <v>152.47</v>
      </c>
      <c r="Q12855" s="37" t="str">
        <f>IF(P12855&gt;500,"High","low")</f>
        <v>low</v>
      </c>
      <c r="R12855" s="37" t="str">
        <f t="shared" si="1004"/>
        <v>AVERAGE</v>
      </c>
      <c r="S12855" t="s">
        <v>628</v>
      </c>
    </row>
    <row r="12856" spans="1:19" x14ac:dyDescent="0.2">
      <c r="A12856" t="s">
        <v>13467</v>
      </c>
      <c r="B12856" t="s">
        <v>67</v>
      </c>
      <c r="C12856" t="s">
        <v>614</v>
      </c>
      <c r="D12856">
        <v>4618.1099999999997</v>
      </c>
      <c r="E12856" s="37" t="str">
        <f t="shared" si="1000"/>
        <v xml:space="preserve"> </v>
      </c>
      <c r="F12856">
        <v>0.16</v>
      </c>
      <c r="G12856" s="37" t="str">
        <f t="shared" si="1001"/>
        <v>Normal Discount</v>
      </c>
      <c r="H12856" s="37" t="str">
        <f t="shared" si="1002"/>
        <v>Low</v>
      </c>
      <c r="I12856">
        <v>7</v>
      </c>
      <c r="J12856" t="str" cm="1">
        <f t="array" ref="J12856">_xlfn.IFS(I12856&lt;=3,"small",I12856&lt;=6,"Medium",I12856&lt;=9,"Large")</f>
        <v>Large</v>
      </c>
      <c r="K12856" s="36">
        <v>45437</v>
      </c>
      <c r="L12856" s="36">
        <v>45440</v>
      </c>
      <c r="M12856" t="s">
        <v>603</v>
      </c>
      <c r="N12856" t="s">
        <v>604</v>
      </c>
      <c r="O12856" s="37" t="str">
        <f t="shared" si="1003"/>
        <v>Digital Payment</v>
      </c>
      <c r="P12856">
        <v>318.62</v>
      </c>
      <c r="Q12856" s="37" t="str">
        <f>IF(P12856&gt;500,"High","low")</f>
        <v>low</v>
      </c>
      <c r="R12856" s="37" t="str">
        <f t="shared" si="1004"/>
        <v>AVERAGE</v>
      </c>
      <c r="S12856" t="s">
        <v>605</v>
      </c>
    </row>
    <row r="12857" spans="1:19" x14ac:dyDescent="0.2">
      <c r="A12857" t="s">
        <v>13468</v>
      </c>
      <c r="B12857" t="s">
        <v>75</v>
      </c>
      <c r="C12857" t="s">
        <v>602</v>
      </c>
      <c r="D12857">
        <v>4119.96</v>
      </c>
      <c r="E12857" s="37" t="str">
        <f t="shared" si="1000"/>
        <v xml:space="preserve"> </v>
      </c>
      <c r="F12857">
        <v>0.33</v>
      </c>
      <c r="G12857" s="37" t="str">
        <f t="shared" si="1001"/>
        <v>Heavy Discount</v>
      </c>
      <c r="H12857" s="37" t="str">
        <f t="shared" si="1002"/>
        <v>Medium</v>
      </c>
      <c r="I12857">
        <v>1</v>
      </c>
      <c r="J12857" t="str" cm="1">
        <f t="array" ref="J12857">_xlfn.IFS(I12857&lt;=3,"small",I12857&lt;=6,"Medium",I12857&lt;=9,"Large")</f>
        <v>small</v>
      </c>
      <c r="K12857" s="36">
        <v>45217</v>
      </c>
      <c r="L12857" s="36">
        <v>45219</v>
      </c>
      <c r="M12857" t="s">
        <v>603</v>
      </c>
      <c r="N12857" t="s">
        <v>608</v>
      </c>
      <c r="O12857" s="37" t="str">
        <f t="shared" si="1003"/>
        <v>Cash Payment</v>
      </c>
      <c r="P12857">
        <v>441.08</v>
      </c>
      <c r="Q12857" s="37" t="str">
        <f>IF(P12857&gt;500,"High","low")</f>
        <v>low</v>
      </c>
      <c r="R12857" s="37" t="str">
        <f t="shared" si="1004"/>
        <v>AVERAGE</v>
      </c>
      <c r="S12857" t="s">
        <v>620</v>
      </c>
    </row>
    <row r="12858" spans="1:19" x14ac:dyDescent="0.2">
      <c r="A12858" t="s">
        <v>13469</v>
      </c>
      <c r="B12858" t="s">
        <v>67</v>
      </c>
      <c r="C12858" t="s">
        <v>607</v>
      </c>
      <c r="D12858">
        <v>3385.47</v>
      </c>
      <c r="E12858" s="37" t="str">
        <f t="shared" si="1000"/>
        <v xml:space="preserve"> </v>
      </c>
      <c r="F12858">
        <v>0.25</v>
      </c>
      <c r="G12858" s="37" t="str">
        <f t="shared" si="1001"/>
        <v>Normal Discount</v>
      </c>
      <c r="H12858" s="37" t="str">
        <f t="shared" si="1002"/>
        <v>Medium</v>
      </c>
      <c r="I12858">
        <v>2</v>
      </c>
      <c r="J12858" t="str" cm="1">
        <f t="array" ref="J12858">_xlfn.IFS(I12858&lt;=3,"small",I12858&lt;=6,"Medium",I12858&lt;=9,"Large")</f>
        <v>small</v>
      </c>
      <c r="K12858" s="36">
        <v>45485</v>
      </c>
      <c r="L12858" s="36">
        <v>45490</v>
      </c>
      <c r="M12858" t="s">
        <v>603</v>
      </c>
      <c r="N12858" t="s">
        <v>599</v>
      </c>
      <c r="O12858" s="37" t="str">
        <f t="shared" si="1003"/>
        <v>Digital Payment</v>
      </c>
      <c r="P12858">
        <v>920.42</v>
      </c>
      <c r="Q12858" s="37" t="str">
        <f>IF(P12858&gt;500,"High","low")</f>
        <v>High</v>
      </c>
      <c r="R12858" s="37" t="str">
        <f t="shared" si="1004"/>
        <v>Good</v>
      </c>
      <c r="S12858" t="s">
        <v>615</v>
      </c>
    </row>
    <row r="12859" spans="1:19" x14ac:dyDescent="0.2">
      <c r="A12859" t="s">
        <v>13470</v>
      </c>
      <c r="B12859" t="s">
        <v>83</v>
      </c>
      <c r="C12859" t="s">
        <v>597</v>
      </c>
      <c r="D12859">
        <v>4941.8100000000004</v>
      </c>
      <c r="E12859" s="37" t="str">
        <f t="shared" si="1000"/>
        <v>Excellent Order</v>
      </c>
      <c r="F12859">
        <v>0.44</v>
      </c>
      <c r="G12859" s="37" t="str">
        <f t="shared" si="1001"/>
        <v>Heavy Discount</v>
      </c>
      <c r="H12859" s="37" t="str">
        <f t="shared" si="1002"/>
        <v>High</v>
      </c>
      <c r="I12859">
        <v>2</v>
      </c>
      <c r="J12859" t="str" cm="1">
        <f t="array" ref="J12859">_xlfn.IFS(I12859&lt;=3,"small",I12859&lt;=6,"Medium",I12859&lt;=9,"Large")</f>
        <v>small</v>
      </c>
      <c r="K12859" s="36">
        <v>45474</v>
      </c>
      <c r="L12859" s="36">
        <v>45481</v>
      </c>
      <c r="M12859" t="s">
        <v>598</v>
      </c>
      <c r="N12859" t="s">
        <v>599</v>
      </c>
      <c r="O12859" s="37" t="str">
        <f t="shared" si="1003"/>
        <v>Digital Payment</v>
      </c>
      <c r="P12859">
        <v>1110.78</v>
      </c>
      <c r="Q12859" s="37" t="str">
        <f>IF(P12859&gt;500,"High","low")</f>
        <v>High</v>
      </c>
      <c r="R12859" s="37" t="str">
        <f t="shared" si="1004"/>
        <v>Excellent</v>
      </c>
      <c r="S12859" t="s">
        <v>609</v>
      </c>
    </row>
    <row r="12860" spans="1:19" x14ac:dyDescent="0.2">
      <c r="A12860" t="s">
        <v>13471</v>
      </c>
      <c r="B12860" t="s">
        <v>83</v>
      </c>
      <c r="C12860" t="s">
        <v>617</v>
      </c>
      <c r="D12860">
        <v>178.4</v>
      </c>
      <c r="E12860" s="37" t="str">
        <f t="shared" si="1000"/>
        <v xml:space="preserve"> </v>
      </c>
      <c r="F12860">
        <v>0.3</v>
      </c>
      <c r="G12860" s="37" t="str">
        <f t="shared" si="1001"/>
        <v>Normal Discount</v>
      </c>
      <c r="H12860" s="37" t="str">
        <f t="shared" si="1002"/>
        <v>Medium</v>
      </c>
      <c r="I12860">
        <v>8</v>
      </c>
      <c r="J12860" t="str" cm="1">
        <f t="array" ref="J12860">_xlfn.IFS(I12860&lt;=3,"small",I12860&lt;=6,"Medium",I12860&lt;=9,"Large")</f>
        <v>Large</v>
      </c>
      <c r="K12860" s="36">
        <v>45585</v>
      </c>
      <c r="L12860" s="36">
        <v>45587</v>
      </c>
      <c r="M12860" t="s">
        <v>603</v>
      </c>
      <c r="N12860" t="s">
        <v>608</v>
      </c>
      <c r="O12860" s="37" t="str">
        <f t="shared" si="1003"/>
        <v>Cash Payment</v>
      </c>
      <c r="P12860">
        <v>17.23</v>
      </c>
      <c r="Q12860" s="37" t="str">
        <f>IF(P12860&gt;500,"High","low")</f>
        <v>low</v>
      </c>
      <c r="R12860" s="37" t="str">
        <f t="shared" si="1004"/>
        <v>AVERAGE</v>
      </c>
      <c r="S12860" t="s">
        <v>628</v>
      </c>
    </row>
    <row r="12861" spans="1:19" x14ac:dyDescent="0.2">
      <c r="A12861" t="s">
        <v>13472</v>
      </c>
      <c r="B12861" t="s">
        <v>67</v>
      </c>
      <c r="C12861" t="s">
        <v>602</v>
      </c>
      <c r="D12861">
        <v>2114.1999999999998</v>
      </c>
      <c r="E12861" s="37" t="str">
        <f t="shared" si="1000"/>
        <v xml:space="preserve"> </v>
      </c>
      <c r="F12861">
        <v>0.13</v>
      </c>
      <c r="G12861" s="37" t="str">
        <f t="shared" si="1001"/>
        <v>Normal Discount</v>
      </c>
      <c r="H12861" s="37" t="str">
        <f t="shared" si="1002"/>
        <v>Low</v>
      </c>
      <c r="I12861">
        <v>1</v>
      </c>
      <c r="J12861" t="str" cm="1">
        <f t="array" ref="J12861">_xlfn.IFS(I12861&lt;=3,"small",I12861&lt;=6,"Medium",I12861&lt;=9,"Large")</f>
        <v>small</v>
      </c>
      <c r="K12861" s="36">
        <v>45049</v>
      </c>
      <c r="L12861" s="36">
        <v>45053</v>
      </c>
      <c r="M12861" t="s">
        <v>598</v>
      </c>
      <c r="N12861" t="s">
        <v>604</v>
      </c>
      <c r="O12861" s="37" t="str">
        <f t="shared" si="1003"/>
        <v>Digital Payment</v>
      </c>
      <c r="P12861">
        <v>325.33999999999997</v>
      </c>
      <c r="Q12861" s="37" t="str">
        <f>IF(P12861&gt;500,"High","low")</f>
        <v>low</v>
      </c>
      <c r="R12861" s="37" t="str">
        <f t="shared" si="1004"/>
        <v>AVERAGE</v>
      </c>
      <c r="S12861" t="s">
        <v>628</v>
      </c>
    </row>
    <row r="12862" spans="1:19" x14ac:dyDescent="0.2">
      <c r="A12862" t="s">
        <v>13473</v>
      </c>
      <c r="B12862" t="s">
        <v>83</v>
      </c>
      <c r="C12862" t="s">
        <v>597</v>
      </c>
      <c r="D12862">
        <v>4305.88</v>
      </c>
      <c r="E12862" s="37" t="str">
        <f t="shared" si="1000"/>
        <v>Excellent Order</v>
      </c>
      <c r="F12862">
        <v>0.26</v>
      </c>
      <c r="G12862" s="37" t="str">
        <f t="shared" si="1001"/>
        <v>Normal Discount</v>
      </c>
      <c r="H12862" s="37" t="str">
        <f t="shared" si="1002"/>
        <v>Medium</v>
      </c>
      <c r="I12862">
        <v>3</v>
      </c>
      <c r="J12862" t="str" cm="1">
        <f t="array" ref="J12862">_xlfn.IFS(I12862&lt;=3,"small",I12862&lt;=6,"Medium",I12862&lt;=9,"Large")</f>
        <v>small</v>
      </c>
      <c r="K12862" s="36">
        <v>45591</v>
      </c>
      <c r="L12862" s="36">
        <v>45595</v>
      </c>
      <c r="M12862" t="s">
        <v>598</v>
      </c>
      <c r="N12862" t="s">
        <v>604</v>
      </c>
      <c r="O12862" s="37" t="str">
        <f t="shared" si="1003"/>
        <v>Digital Payment</v>
      </c>
      <c r="P12862">
        <v>983.25</v>
      </c>
      <c r="Q12862" s="37" t="str">
        <f>IF(P12862&gt;500,"High","low")</f>
        <v>High</v>
      </c>
      <c r="R12862" s="37" t="str">
        <f t="shared" si="1004"/>
        <v>Good</v>
      </c>
      <c r="S12862" t="s">
        <v>600</v>
      </c>
    </row>
    <row r="12863" spans="1:19" x14ac:dyDescent="0.2">
      <c r="A12863" t="s">
        <v>13474</v>
      </c>
      <c r="B12863" t="s">
        <v>90</v>
      </c>
      <c r="C12863" t="s">
        <v>607</v>
      </c>
      <c r="D12863">
        <v>2221.7800000000002</v>
      </c>
      <c r="E12863" s="37" t="str">
        <f t="shared" si="1000"/>
        <v xml:space="preserve"> </v>
      </c>
      <c r="F12863">
        <v>0.11</v>
      </c>
      <c r="G12863" s="37" t="str">
        <f t="shared" si="1001"/>
        <v>Normal Discount</v>
      </c>
      <c r="H12863" s="37" t="str">
        <f t="shared" si="1002"/>
        <v>Low</v>
      </c>
      <c r="I12863">
        <v>1</v>
      </c>
      <c r="J12863" t="str" cm="1">
        <f t="array" ref="J12863">_xlfn.IFS(I12863&lt;=3,"small",I12863&lt;=6,"Medium",I12863&lt;=9,"Large")</f>
        <v>small</v>
      </c>
      <c r="K12863" s="36">
        <v>45356</v>
      </c>
      <c r="L12863" s="36">
        <v>45360</v>
      </c>
      <c r="M12863" t="s">
        <v>603</v>
      </c>
      <c r="N12863" t="s">
        <v>604</v>
      </c>
      <c r="O12863" s="37" t="str">
        <f t="shared" si="1003"/>
        <v>Digital Payment</v>
      </c>
      <c r="P12863">
        <v>553.39</v>
      </c>
      <c r="Q12863" s="37" t="str">
        <f>IF(P12863&gt;500,"High","low")</f>
        <v>High</v>
      </c>
      <c r="R12863" s="37" t="str">
        <f t="shared" si="1004"/>
        <v>Good</v>
      </c>
      <c r="S12863" t="s">
        <v>628</v>
      </c>
    </row>
    <row r="12864" spans="1:19" x14ac:dyDescent="0.2">
      <c r="A12864" t="s">
        <v>13475</v>
      </c>
      <c r="B12864" t="s">
        <v>90</v>
      </c>
      <c r="C12864" t="s">
        <v>607</v>
      </c>
      <c r="D12864">
        <v>125.68</v>
      </c>
      <c r="E12864" s="37" t="str">
        <f t="shared" si="1000"/>
        <v xml:space="preserve"> </v>
      </c>
      <c r="F12864">
        <v>0.09</v>
      </c>
      <c r="G12864" s="37" t="str">
        <f t="shared" si="1001"/>
        <v>Normal Discount</v>
      </c>
      <c r="H12864" s="37" t="str">
        <f t="shared" si="1002"/>
        <v>Low</v>
      </c>
      <c r="I12864">
        <v>5</v>
      </c>
      <c r="J12864" t="str" cm="1">
        <f t="array" ref="J12864">_xlfn.IFS(I12864&lt;=3,"small",I12864&lt;=6,"Medium",I12864&lt;=9,"Large")</f>
        <v>Medium</v>
      </c>
      <c r="K12864" s="36">
        <v>45242</v>
      </c>
      <c r="L12864" s="36">
        <v>45248</v>
      </c>
      <c r="M12864" t="s">
        <v>603</v>
      </c>
      <c r="N12864" t="s">
        <v>608</v>
      </c>
      <c r="O12864" s="37" t="str">
        <f t="shared" si="1003"/>
        <v>Cash Payment</v>
      </c>
      <c r="P12864">
        <v>32.69</v>
      </c>
      <c r="Q12864" s="37" t="str">
        <f>IF(P12864&gt;500,"High","low")</f>
        <v>low</v>
      </c>
      <c r="R12864" s="37" t="str">
        <f t="shared" si="1004"/>
        <v>AVERAGE</v>
      </c>
      <c r="S12864" t="s">
        <v>609</v>
      </c>
    </row>
    <row r="12865" spans="1:19" x14ac:dyDescent="0.2">
      <c r="A12865" t="s">
        <v>13476</v>
      </c>
      <c r="B12865" t="s">
        <v>83</v>
      </c>
      <c r="C12865" t="s">
        <v>607</v>
      </c>
      <c r="D12865">
        <v>873</v>
      </c>
      <c r="E12865" s="37" t="str">
        <f t="shared" si="1000"/>
        <v xml:space="preserve"> </v>
      </c>
      <c r="F12865">
        <v>0.48</v>
      </c>
      <c r="G12865" s="37" t="str">
        <f t="shared" si="1001"/>
        <v>Heavy Discount</v>
      </c>
      <c r="H12865" s="37" t="str">
        <f t="shared" si="1002"/>
        <v>High</v>
      </c>
      <c r="I12865">
        <v>4</v>
      </c>
      <c r="J12865" t="str" cm="1">
        <f t="array" ref="J12865">_xlfn.IFS(I12865&lt;=3,"small",I12865&lt;=6,"Medium",I12865&lt;=9,"Large")</f>
        <v>Medium</v>
      </c>
      <c r="K12865" s="36">
        <v>45047</v>
      </c>
      <c r="L12865" s="36">
        <v>45054</v>
      </c>
      <c r="M12865" t="s">
        <v>598</v>
      </c>
      <c r="N12865" t="s">
        <v>608</v>
      </c>
      <c r="O12865" s="37" t="str">
        <f t="shared" si="1003"/>
        <v>Cash Payment</v>
      </c>
      <c r="P12865">
        <v>75.94</v>
      </c>
      <c r="Q12865" s="37" t="str">
        <f>IF(P12865&gt;500,"High","low")</f>
        <v>low</v>
      </c>
      <c r="R12865" s="37" t="str">
        <f t="shared" si="1004"/>
        <v>AVERAGE</v>
      </c>
      <c r="S12865" t="s">
        <v>605</v>
      </c>
    </row>
    <row r="12866" spans="1:19" x14ac:dyDescent="0.2">
      <c r="A12866" t="s">
        <v>13477</v>
      </c>
      <c r="B12866" t="s">
        <v>67</v>
      </c>
      <c r="C12866" t="s">
        <v>607</v>
      </c>
      <c r="D12866">
        <v>2226.9499999999998</v>
      </c>
      <c r="E12866" s="37" t="str">
        <f t="shared" si="1000"/>
        <v xml:space="preserve"> </v>
      </c>
      <c r="F12866">
        <v>0.23</v>
      </c>
      <c r="G12866" s="37" t="str">
        <f t="shared" si="1001"/>
        <v>Normal Discount</v>
      </c>
      <c r="H12866" s="37" t="str">
        <f t="shared" si="1002"/>
        <v>Medium</v>
      </c>
      <c r="I12866">
        <v>3</v>
      </c>
      <c r="J12866" t="str" cm="1">
        <f t="array" ref="J12866">_xlfn.IFS(I12866&lt;=3,"small",I12866&lt;=6,"Medium",I12866&lt;=9,"Large")</f>
        <v>small</v>
      </c>
      <c r="K12866" s="36">
        <v>45158</v>
      </c>
      <c r="L12866" s="36">
        <v>45165</v>
      </c>
      <c r="M12866" t="s">
        <v>612</v>
      </c>
      <c r="N12866" t="s">
        <v>599</v>
      </c>
      <c r="O12866" s="37" t="str">
        <f t="shared" si="1003"/>
        <v>Digital Payment</v>
      </c>
      <c r="P12866">
        <v>115.14</v>
      </c>
      <c r="Q12866" s="37" t="str">
        <f>IF(P12866&gt;500,"High","low")</f>
        <v>low</v>
      </c>
      <c r="R12866" s="37" t="str">
        <f t="shared" si="1004"/>
        <v>AVERAGE</v>
      </c>
      <c r="S12866" t="s">
        <v>609</v>
      </c>
    </row>
    <row r="12867" spans="1:19" x14ac:dyDescent="0.2">
      <c r="A12867" t="s">
        <v>13478</v>
      </c>
      <c r="B12867" t="s">
        <v>75</v>
      </c>
      <c r="C12867" t="s">
        <v>617</v>
      </c>
      <c r="D12867">
        <v>3372.94</v>
      </c>
      <c r="E12867" s="37" t="str">
        <f t="shared" ref="E12867:E12930" si="1005">IF(AND(D12867&gt;4000,P12867&gt;800),"Excellent Order"," ")</f>
        <v xml:space="preserve"> </v>
      </c>
      <c r="F12867">
        <v>0.33</v>
      </c>
      <c r="G12867" s="37" t="str">
        <f t="shared" ref="G12867:G12930" si="1006">IF(F12867&gt;30%,"Heavy Discount","Normal Discount")</f>
        <v>Heavy Discount</v>
      </c>
      <c r="H12867" s="37" t="str">
        <f t="shared" ref="H12867:H12930" si="1007">IF(F12867&gt;0.4,"High",IF(F12867&gt;=0.2,"Medium","Low"))</f>
        <v>Medium</v>
      </c>
      <c r="I12867">
        <v>8</v>
      </c>
      <c r="J12867" t="str" cm="1">
        <f t="array" ref="J12867">_xlfn.IFS(I12867&lt;=3,"small",I12867&lt;=6,"Medium",I12867&lt;=9,"Large")</f>
        <v>Large</v>
      </c>
      <c r="K12867" s="36">
        <v>45533</v>
      </c>
      <c r="L12867" s="36">
        <v>45539</v>
      </c>
      <c r="M12867" t="s">
        <v>612</v>
      </c>
      <c r="N12867" t="s">
        <v>604</v>
      </c>
      <c r="O12867" s="37" t="str">
        <f t="shared" ref="O12867:O12930" si="1008">IF(OR(N12867="Card",N12867="UPI"),"Digital Payment","Cash Payment")</f>
        <v>Digital Payment</v>
      </c>
      <c r="P12867">
        <v>282.02</v>
      </c>
      <c r="Q12867" s="37" t="str">
        <f>IF(P12867&gt;500,"High","low")</f>
        <v>low</v>
      </c>
      <c r="R12867" s="37" t="str">
        <f t="shared" ref="R12867:R12930" si="1009">IF(P12867&gt;1000,"Excellent",IF(P12867&gt;=500,"Good","AVERAGE"))</f>
        <v>AVERAGE</v>
      </c>
      <c r="S12867" t="s">
        <v>609</v>
      </c>
    </row>
    <row r="12868" spans="1:19" x14ac:dyDescent="0.2">
      <c r="A12868" t="s">
        <v>13479</v>
      </c>
      <c r="B12868" t="s">
        <v>67</v>
      </c>
      <c r="C12868" t="s">
        <v>617</v>
      </c>
      <c r="D12868">
        <v>897.01</v>
      </c>
      <c r="E12868" s="37" t="str">
        <f t="shared" si="1005"/>
        <v xml:space="preserve"> </v>
      </c>
      <c r="F12868">
        <v>0.44</v>
      </c>
      <c r="G12868" s="37" t="str">
        <f t="shared" si="1006"/>
        <v>Heavy Discount</v>
      </c>
      <c r="H12868" s="37" t="str">
        <f t="shared" si="1007"/>
        <v>High</v>
      </c>
      <c r="I12868">
        <v>7</v>
      </c>
      <c r="J12868" t="str" cm="1">
        <f t="array" ref="J12868">_xlfn.IFS(I12868&lt;=3,"small",I12868&lt;=6,"Medium",I12868&lt;=9,"Large")</f>
        <v>Large</v>
      </c>
      <c r="K12868" s="36">
        <v>44949</v>
      </c>
      <c r="L12868" s="36">
        <v>44951</v>
      </c>
      <c r="M12868" t="s">
        <v>603</v>
      </c>
      <c r="N12868" t="s">
        <v>608</v>
      </c>
      <c r="O12868" s="37" t="str">
        <f t="shared" si="1008"/>
        <v>Cash Payment</v>
      </c>
      <c r="P12868">
        <v>155.24</v>
      </c>
      <c r="Q12868" s="37" t="str">
        <f>IF(P12868&gt;500,"High","low")</f>
        <v>low</v>
      </c>
      <c r="R12868" s="37" t="str">
        <f t="shared" si="1009"/>
        <v>AVERAGE</v>
      </c>
      <c r="S12868" t="s">
        <v>609</v>
      </c>
    </row>
    <row r="12869" spans="1:19" x14ac:dyDescent="0.2">
      <c r="A12869" t="s">
        <v>13480</v>
      </c>
      <c r="B12869" t="s">
        <v>75</v>
      </c>
      <c r="C12869" t="s">
        <v>602</v>
      </c>
      <c r="D12869">
        <v>2295.41</v>
      </c>
      <c r="E12869" s="37" t="str">
        <f t="shared" si="1005"/>
        <v xml:space="preserve"> </v>
      </c>
      <c r="F12869">
        <v>0.16</v>
      </c>
      <c r="G12869" s="37" t="str">
        <f t="shared" si="1006"/>
        <v>Normal Discount</v>
      </c>
      <c r="H12869" s="37" t="str">
        <f t="shared" si="1007"/>
        <v>Low</v>
      </c>
      <c r="I12869">
        <v>4</v>
      </c>
      <c r="J12869" t="str" cm="1">
        <f t="array" ref="J12869">_xlfn.IFS(I12869&lt;=3,"small",I12869&lt;=6,"Medium",I12869&lt;=9,"Large")</f>
        <v>Medium</v>
      </c>
      <c r="K12869" s="36">
        <v>45553</v>
      </c>
      <c r="L12869" s="36">
        <v>45554</v>
      </c>
      <c r="M12869" t="s">
        <v>598</v>
      </c>
      <c r="N12869" t="s">
        <v>599</v>
      </c>
      <c r="O12869" s="37" t="str">
        <f t="shared" si="1008"/>
        <v>Digital Payment</v>
      </c>
      <c r="P12869">
        <v>643.72</v>
      </c>
      <c r="Q12869" s="37" t="str">
        <f>IF(P12869&gt;500,"High","low")</f>
        <v>High</v>
      </c>
      <c r="R12869" s="37" t="str">
        <f t="shared" si="1009"/>
        <v>Good</v>
      </c>
      <c r="S12869" t="s">
        <v>615</v>
      </c>
    </row>
    <row r="12870" spans="1:19" x14ac:dyDescent="0.2">
      <c r="A12870" t="s">
        <v>13481</v>
      </c>
      <c r="B12870" t="s">
        <v>67</v>
      </c>
      <c r="C12870" t="s">
        <v>607</v>
      </c>
      <c r="D12870">
        <v>162.66</v>
      </c>
      <c r="E12870" s="37" t="str">
        <f t="shared" si="1005"/>
        <v xml:space="preserve"> </v>
      </c>
      <c r="F12870">
        <v>0.39</v>
      </c>
      <c r="G12870" s="37" t="str">
        <f t="shared" si="1006"/>
        <v>Heavy Discount</v>
      </c>
      <c r="H12870" s="37" t="str">
        <f t="shared" si="1007"/>
        <v>Medium</v>
      </c>
      <c r="I12870">
        <v>1</v>
      </c>
      <c r="J12870" t="str" cm="1">
        <f t="array" ref="J12870">_xlfn.IFS(I12870&lt;=3,"small",I12870&lt;=6,"Medium",I12870&lt;=9,"Large")</f>
        <v>small</v>
      </c>
      <c r="K12870" s="36">
        <v>45388</v>
      </c>
      <c r="L12870" s="36">
        <v>45394</v>
      </c>
      <c r="M12870" t="s">
        <v>598</v>
      </c>
      <c r="N12870" t="s">
        <v>608</v>
      </c>
      <c r="O12870" s="37" t="str">
        <f t="shared" si="1008"/>
        <v>Cash Payment</v>
      </c>
      <c r="P12870">
        <v>16.010000000000002</v>
      </c>
      <c r="Q12870" s="37" t="str">
        <f>IF(P12870&gt;500,"High","low")</f>
        <v>low</v>
      </c>
      <c r="R12870" s="37" t="str">
        <f t="shared" si="1009"/>
        <v>AVERAGE</v>
      </c>
      <c r="S12870" t="s">
        <v>609</v>
      </c>
    </row>
    <row r="12871" spans="1:19" x14ac:dyDescent="0.2">
      <c r="A12871" t="s">
        <v>13482</v>
      </c>
      <c r="B12871" t="s">
        <v>83</v>
      </c>
      <c r="C12871" t="s">
        <v>617</v>
      </c>
      <c r="D12871">
        <v>2439.75</v>
      </c>
      <c r="E12871" s="37" t="str">
        <f t="shared" si="1005"/>
        <v xml:space="preserve"> </v>
      </c>
      <c r="F12871">
        <v>0.39</v>
      </c>
      <c r="G12871" s="37" t="str">
        <f t="shared" si="1006"/>
        <v>Heavy Discount</v>
      </c>
      <c r="H12871" s="37" t="str">
        <f t="shared" si="1007"/>
        <v>Medium</v>
      </c>
      <c r="I12871">
        <v>7</v>
      </c>
      <c r="J12871" t="str" cm="1">
        <f t="array" ref="J12871">_xlfn.IFS(I12871&lt;=3,"small",I12871&lt;=6,"Medium",I12871&lt;=9,"Large")</f>
        <v>Large</v>
      </c>
      <c r="K12871" s="36">
        <v>45593</v>
      </c>
      <c r="L12871" s="36">
        <v>45596</v>
      </c>
      <c r="M12871" t="s">
        <v>603</v>
      </c>
      <c r="N12871" t="s">
        <v>599</v>
      </c>
      <c r="O12871" s="37" t="str">
        <f t="shared" si="1008"/>
        <v>Digital Payment</v>
      </c>
      <c r="P12871">
        <v>592.47</v>
      </c>
      <c r="Q12871" s="37" t="str">
        <f>IF(P12871&gt;500,"High","low")</f>
        <v>High</v>
      </c>
      <c r="R12871" s="37" t="str">
        <f t="shared" si="1009"/>
        <v>Good</v>
      </c>
      <c r="S12871" t="s">
        <v>628</v>
      </c>
    </row>
    <row r="12872" spans="1:19" x14ac:dyDescent="0.2">
      <c r="A12872" t="s">
        <v>13483</v>
      </c>
      <c r="B12872" t="s">
        <v>90</v>
      </c>
      <c r="C12872" t="s">
        <v>597</v>
      </c>
      <c r="D12872">
        <v>4490.03</v>
      </c>
      <c r="E12872" s="37" t="str">
        <f t="shared" si="1005"/>
        <v>Excellent Order</v>
      </c>
      <c r="F12872">
        <v>0.41</v>
      </c>
      <c r="G12872" s="37" t="str">
        <f t="shared" si="1006"/>
        <v>Heavy Discount</v>
      </c>
      <c r="H12872" s="37" t="str">
        <f t="shared" si="1007"/>
        <v>High</v>
      </c>
      <c r="I12872">
        <v>3</v>
      </c>
      <c r="J12872" t="str" cm="1">
        <f t="array" ref="J12872">_xlfn.IFS(I12872&lt;=3,"small",I12872&lt;=6,"Medium",I12872&lt;=9,"Large")</f>
        <v>small</v>
      </c>
      <c r="K12872" s="36">
        <v>45601</v>
      </c>
      <c r="L12872" s="36">
        <v>45604</v>
      </c>
      <c r="M12872" t="s">
        <v>612</v>
      </c>
      <c r="N12872" t="s">
        <v>604</v>
      </c>
      <c r="O12872" s="37" t="str">
        <f t="shared" si="1008"/>
        <v>Digital Payment</v>
      </c>
      <c r="P12872">
        <v>986.52</v>
      </c>
      <c r="Q12872" s="37" t="str">
        <f>IF(P12872&gt;500,"High","low")</f>
        <v>High</v>
      </c>
      <c r="R12872" s="37" t="str">
        <f t="shared" si="1009"/>
        <v>Good</v>
      </c>
      <c r="S12872" t="s">
        <v>620</v>
      </c>
    </row>
    <row r="12873" spans="1:19" x14ac:dyDescent="0.2">
      <c r="A12873" t="s">
        <v>13484</v>
      </c>
      <c r="B12873" t="s">
        <v>67</v>
      </c>
      <c r="C12873" t="s">
        <v>617</v>
      </c>
      <c r="D12873">
        <v>3024.16</v>
      </c>
      <c r="E12873" s="37" t="str">
        <f t="shared" si="1005"/>
        <v xml:space="preserve"> </v>
      </c>
      <c r="F12873">
        <v>0.09</v>
      </c>
      <c r="G12873" s="37" t="str">
        <f t="shared" si="1006"/>
        <v>Normal Discount</v>
      </c>
      <c r="H12873" s="37" t="str">
        <f t="shared" si="1007"/>
        <v>Low</v>
      </c>
      <c r="I12873">
        <v>5</v>
      </c>
      <c r="J12873" t="str" cm="1">
        <f t="array" ref="J12873">_xlfn.IFS(I12873&lt;=3,"small",I12873&lt;=6,"Medium",I12873&lt;=9,"Large")</f>
        <v>Medium</v>
      </c>
      <c r="K12873" s="36">
        <v>45515</v>
      </c>
      <c r="L12873" s="36">
        <v>45521</v>
      </c>
      <c r="M12873" t="s">
        <v>612</v>
      </c>
      <c r="N12873" t="s">
        <v>599</v>
      </c>
      <c r="O12873" s="37" t="str">
        <f t="shared" si="1008"/>
        <v>Digital Payment</v>
      </c>
      <c r="P12873">
        <v>879.89</v>
      </c>
      <c r="Q12873" s="37" t="str">
        <f>IF(P12873&gt;500,"High","low")</f>
        <v>High</v>
      </c>
      <c r="R12873" s="37" t="str">
        <f t="shared" si="1009"/>
        <v>Good</v>
      </c>
      <c r="S12873" t="s">
        <v>620</v>
      </c>
    </row>
    <row r="12874" spans="1:19" x14ac:dyDescent="0.2">
      <c r="A12874" t="s">
        <v>13485</v>
      </c>
      <c r="B12874" t="s">
        <v>75</v>
      </c>
      <c r="C12874" t="s">
        <v>617</v>
      </c>
      <c r="D12874">
        <v>2259.21</v>
      </c>
      <c r="E12874" s="37" t="str">
        <f t="shared" si="1005"/>
        <v xml:space="preserve"> </v>
      </c>
      <c r="F12874">
        <v>0.48</v>
      </c>
      <c r="G12874" s="37" t="str">
        <f t="shared" si="1006"/>
        <v>Heavy Discount</v>
      </c>
      <c r="H12874" s="37" t="str">
        <f t="shared" si="1007"/>
        <v>High</v>
      </c>
      <c r="I12874">
        <v>8</v>
      </c>
      <c r="J12874" t="str" cm="1">
        <f t="array" ref="J12874">_xlfn.IFS(I12874&lt;=3,"small",I12874&lt;=6,"Medium",I12874&lt;=9,"Large")</f>
        <v>Large</v>
      </c>
      <c r="K12874" s="36">
        <v>45218</v>
      </c>
      <c r="L12874" s="36">
        <v>45220</v>
      </c>
      <c r="M12874" t="s">
        <v>612</v>
      </c>
      <c r="N12874" t="s">
        <v>608</v>
      </c>
      <c r="O12874" s="37" t="str">
        <f t="shared" si="1008"/>
        <v>Cash Payment</v>
      </c>
      <c r="P12874">
        <v>277.20999999999998</v>
      </c>
      <c r="Q12874" s="37" t="str">
        <f>IF(P12874&gt;500,"High","low")</f>
        <v>low</v>
      </c>
      <c r="R12874" s="37" t="str">
        <f t="shared" si="1009"/>
        <v>AVERAGE</v>
      </c>
      <c r="S12874" t="s">
        <v>628</v>
      </c>
    </row>
    <row r="12875" spans="1:19" x14ac:dyDescent="0.2">
      <c r="A12875" t="s">
        <v>13486</v>
      </c>
      <c r="B12875" t="s">
        <v>90</v>
      </c>
      <c r="C12875" t="s">
        <v>602</v>
      </c>
      <c r="D12875">
        <v>895.07</v>
      </c>
      <c r="E12875" s="37" t="str">
        <f t="shared" si="1005"/>
        <v xml:space="preserve"> </v>
      </c>
      <c r="F12875">
        <v>0.14000000000000001</v>
      </c>
      <c r="G12875" s="37" t="str">
        <f t="shared" si="1006"/>
        <v>Normal Discount</v>
      </c>
      <c r="H12875" s="37" t="str">
        <f t="shared" si="1007"/>
        <v>Low</v>
      </c>
      <c r="I12875">
        <v>9</v>
      </c>
      <c r="J12875" t="str" cm="1">
        <f t="array" ref="J12875">_xlfn.IFS(I12875&lt;=3,"small",I12875&lt;=6,"Medium",I12875&lt;=9,"Large")</f>
        <v>Large</v>
      </c>
      <c r="K12875" s="36">
        <v>45654</v>
      </c>
      <c r="L12875" s="36">
        <v>45656</v>
      </c>
      <c r="M12875" t="s">
        <v>603</v>
      </c>
      <c r="N12875" t="s">
        <v>608</v>
      </c>
      <c r="O12875" s="37" t="str">
        <f t="shared" si="1008"/>
        <v>Cash Payment</v>
      </c>
      <c r="P12875">
        <v>198.24</v>
      </c>
      <c r="Q12875" s="37" t="str">
        <f>IF(P12875&gt;500,"High","low")</f>
        <v>low</v>
      </c>
      <c r="R12875" s="37" t="str">
        <f t="shared" si="1009"/>
        <v>AVERAGE</v>
      </c>
      <c r="S12875" t="s">
        <v>600</v>
      </c>
    </row>
    <row r="12876" spans="1:19" x14ac:dyDescent="0.2">
      <c r="A12876" t="s">
        <v>13487</v>
      </c>
      <c r="B12876" t="s">
        <v>75</v>
      </c>
      <c r="C12876" t="s">
        <v>617</v>
      </c>
      <c r="D12876">
        <v>1091.8499999999999</v>
      </c>
      <c r="E12876" s="37" t="str">
        <f t="shared" si="1005"/>
        <v xml:space="preserve"> </v>
      </c>
      <c r="F12876">
        <v>0.39</v>
      </c>
      <c r="G12876" s="37" t="str">
        <f t="shared" si="1006"/>
        <v>Heavy Discount</v>
      </c>
      <c r="H12876" s="37" t="str">
        <f t="shared" si="1007"/>
        <v>Medium</v>
      </c>
      <c r="I12876">
        <v>7</v>
      </c>
      <c r="J12876" t="str" cm="1">
        <f t="array" ref="J12876">_xlfn.IFS(I12876&lt;=3,"small",I12876&lt;=6,"Medium",I12876&lt;=9,"Large")</f>
        <v>Large</v>
      </c>
      <c r="K12876" s="36">
        <v>45535</v>
      </c>
      <c r="L12876" s="36">
        <v>45540</v>
      </c>
      <c r="M12876" t="s">
        <v>603</v>
      </c>
      <c r="N12876" t="s">
        <v>604</v>
      </c>
      <c r="O12876" s="37" t="str">
        <f t="shared" si="1008"/>
        <v>Digital Payment</v>
      </c>
      <c r="P12876">
        <v>62.66</v>
      </c>
      <c r="Q12876" s="37" t="str">
        <f>IF(P12876&gt;500,"High","low")</f>
        <v>low</v>
      </c>
      <c r="R12876" s="37" t="str">
        <f t="shared" si="1009"/>
        <v>AVERAGE</v>
      </c>
      <c r="S12876" t="s">
        <v>609</v>
      </c>
    </row>
    <row r="12877" spans="1:19" x14ac:dyDescent="0.2">
      <c r="A12877" t="s">
        <v>13488</v>
      </c>
      <c r="B12877" t="s">
        <v>83</v>
      </c>
      <c r="C12877" t="s">
        <v>597</v>
      </c>
      <c r="D12877">
        <v>474.9</v>
      </c>
      <c r="E12877" s="37" t="str">
        <f t="shared" si="1005"/>
        <v xml:space="preserve"> </v>
      </c>
      <c r="F12877">
        <v>0.08</v>
      </c>
      <c r="G12877" s="37" t="str">
        <f t="shared" si="1006"/>
        <v>Normal Discount</v>
      </c>
      <c r="H12877" s="37" t="str">
        <f t="shared" si="1007"/>
        <v>Low</v>
      </c>
      <c r="I12877">
        <v>6</v>
      </c>
      <c r="J12877" t="str" cm="1">
        <f t="array" ref="J12877">_xlfn.IFS(I12877&lt;=3,"small",I12877&lt;=6,"Medium",I12877&lt;=9,"Large")</f>
        <v>Medium</v>
      </c>
      <c r="K12877" s="36">
        <v>45125</v>
      </c>
      <c r="L12877" s="36">
        <v>45132</v>
      </c>
      <c r="M12877" t="s">
        <v>612</v>
      </c>
      <c r="N12877" t="s">
        <v>604</v>
      </c>
      <c r="O12877" s="37" t="str">
        <f t="shared" si="1008"/>
        <v>Digital Payment</v>
      </c>
      <c r="P12877">
        <v>52.25</v>
      </c>
      <c r="Q12877" s="37" t="str">
        <f>IF(P12877&gt;500,"High","low")</f>
        <v>low</v>
      </c>
      <c r="R12877" s="37" t="str">
        <f t="shared" si="1009"/>
        <v>AVERAGE</v>
      </c>
      <c r="S12877" t="s">
        <v>600</v>
      </c>
    </row>
    <row r="12878" spans="1:19" x14ac:dyDescent="0.2">
      <c r="A12878" t="s">
        <v>13489</v>
      </c>
      <c r="B12878" t="s">
        <v>90</v>
      </c>
      <c r="C12878" t="s">
        <v>607</v>
      </c>
      <c r="D12878">
        <v>3737.81</v>
      </c>
      <c r="E12878" s="37" t="str">
        <f t="shared" si="1005"/>
        <v xml:space="preserve"> </v>
      </c>
      <c r="F12878">
        <v>0.46</v>
      </c>
      <c r="G12878" s="37" t="str">
        <f t="shared" si="1006"/>
        <v>Heavy Discount</v>
      </c>
      <c r="H12878" s="37" t="str">
        <f t="shared" si="1007"/>
        <v>High</v>
      </c>
      <c r="I12878">
        <v>5</v>
      </c>
      <c r="J12878" t="str" cm="1">
        <f t="array" ref="J12878">_xlfn.IFS(I12878&lt;=3,"small",I12878&lt;=6,"Medium",I12878&lt;=9,"Large")</f>
        <v>Medium</v>
      </c>
      <c r="K12878" s="36">
        <v>45063</v>
      </c>
      <c r="L12878" s="36">
        <v>45070</v>
      </c>
      <c r="M12878" t="s">
        <v>603</v>
      </c>
      <c r="N12878" t="s">
        <v>608</v>
      </c>
      <c r="O12878" s="37" t="str">
        <f t="shared" si="1008"/>
        <v>Cash Payment</v>
      </c>
      <c r="P12878">
        <v>771.19</v>
      </c>
      <c r="Q12878" s="37" t="str">
        <f>IF(P12878&gt;500,"High","low")</f>
        <v>High</v>
      </c>
      <c r="R12878" s="37" t="str">
        <f t="shared" si="1009"/>
        <v>Good</v>
      </c>
      <c r="S12878" t="s">
        <v>605</v>
      </c>
    </row>
    <row r="12879" spans="1:19" x14ac:dyDescent="0.2">
      <c r="A12879" t="s">
        <v>13490</v>
      </c>
      <c r="B12879" t="s">
        <v>75</v>
      </c>
      <c r="C12879" t="s">
        <v>614</v>
      </c>
      <c r="D12879">
        <v>477.96</v>
      </c>
      <c r="E12879" s="37" t="str">
        <f t="shared" si="1005"/>
        <v xml:space="preserve"> </v>
      </c>
      <c r="F12879">
        <v>0.21</v>
      </c>
      <c r="G12879" s="37" t="str">
        <f t="shared" si="1006"/>
        <v>Normal Discount</v>
      </c>
      <c r="H12879" s="37" t="str">
        <f t="shared" si="1007"/>
        <v>Medium</v>
      </c>
      <c r="I12879">
        <v>5</v>
      </c>
      <c r="J12879" t="str" cm="1">
        <f t="array" ref="J12879">_xlfn.IFS(I12879&lt;=3,"small",I12879&lt;=6,"Medium",I12879&lt;=9,"Large")</f>
        <v>Medium</v>
      </c>
      <c r="K12879" s="36">
        <v>45296</v>
      </c>
      <c r="L12879" s="36">
        <v>45300</v>
      </c>
      <c r="M12879" t="s">
        <v>598</v>
      </c>
      <c r="N12879" t="s">
        <v>608</v>
      </c>
      <c r="O12879" s="37" t="str">
        <f t="shared" si="1008"/>
        <v>Cash Payment</v>
      </c>
      <c r="P12879">
        <v>139.86000000000001</v>
      </c>
      <c r="Q12879" s="37" t="str">
        <f>IF(P12879&gt;500,"High","low")</f>
        <v>low</v>
      </c>
      <c r="R12879" s="37" t="str">
        <f t="shared" si="1009"/>
        <v>AVERAGE</v>
      </c>
      <c r="S12879" t="s">
        <v>615</v>
      </c>
    </row>
    <row r="12880" spans="1:19" x14ac:dyDescent="0.2">
      <c r="A12880" t="s">
        <v>13491</v>
      </c>
      <c r="B12880" t="s">
        <v>67</v>
      </c>
      <c r="C12880" t="s">
        <v>602</v>
      </c>
      <c r="D12880">
        <v>1981.35</v>
      </c>
      <c r="E12880" s="37" t="str">
        <f t="shared" si="1005"/>
        <v xml:space="preserve"> </v>
      </c>
      <c r="F12880">
        <v>0.33</v>
      </c>
      <c r="G12880" s="37" t="str">
        <f t="shared" si="1006"/>
        <v>Heavy Discount</v>
      </c>
      <c r="H12880" s="37" t="str">
        <f t="shared" si="1007"/>
        <v>Medium</v>
      </c>
      <c r="I12880">
        <v>4</v>
      </c>
      <c r="J12880" t="str" cm="1">
        <f t="array" ref="J12880">_xlfn.IFS(I12880&lt;=3,"small",I12880&lt;=6,"Medium",I12880&lt;=9,"Large")</f>
        <v>Medium</v>
      </c>
      <c r="K12880" s="36">
        <v>44947</v>
      </c>
      <c r="L12880" s="36">
        <v>44949</v>
      </c>
      <c r="M12880" t="s">
        <v>612</v>
      </c>
      <c r="N12880" t="s">
        <v>604</v>
      </c>
      <c r="O12880" s="37" t="str">
        <f t="shared" si="1008"/>
        <v>Digital Payment</v>
      </c>
      <c r="P12880">
        <v>296.74</v>
      </c>
      <c r="Q12880" s="37" t="str">
        <f>IF(P12880&gt;500,"High","low")</f>
        <v>low</v>
      </c>
      <c r="R12880" s="37" t="str">
        <f t="shared" si="1009"/>
        <v>AVERAGE</v>
      </c>
      <c r="S12880" t="s">
        <v>609</v>
      </c>
    </row>
    <row r="12881" spans="1:19" x14ac:dyDescent="0.2">
      <c r="A12881" t="s">
        <v>13492</v>
      </c>
      <c r="B12881" t="s">
        <v>83</v>
      </c>
      <c r="C12881" t="s">
        <v>597</v>
      </c>
      <c r="D12881">
        <v>3774.24</v>
      </c>
      <c r="E12881" s="37" t="str">
        <f t="shared" si="1005"/>
        <v xml:space="preserve"> </v>
      </c>
      <c r="F12881">
        <v>0.43</v>
      </c>
      <c r="G12881" s="37" t="str">
        <f t="shared" si="1006"/>
        <v>Heavy Discount</v>
      </c>
      <c r="H12881" s="37" t="str">
        <f t="shared" si="1007"/>
        <v>High</v>
      </c>
      <c r="I12881">
        <v>7</v>
      </c>
      <c r="J12881" t="str" cm="1">
        <f t="array" ref="J12881">_xlfn.IFS(I12881&lt;=3,"small",I12881&lt;=6,"Medium",I12881&lt;=9,"Large")</f>
        <v>Large</v>
      </c>
      <c r="K12881" s="36">
        <v>45086</v>
      </c>
      <c r="L12881" s="36">
        <v>45091</v>
      </c>
      <c r="M12881" t="s">
        <v>603</v>
      </c>
      <c r="N12881" t="s">
        <v>608</v>
      </c>
      <c r="O12881" s="37" t="str">
        <f t="shared" si="1008"/>
        <v>Cash Payment</v>
      </c>
      <c r="P12881">
        <v>815.57</v>
      </c>
      <c r="Q12881" s="37" t="str">
        <f>IF(P12881&gt;500,"High","low")</f>
        <v>High</v>
      </c>
      <c r="R12881" s="37" t="str">
        <f t="shared" si="1009"/>
        <v>Good</v>
      </c>
      <c r="S12881" t="s">
        <v>615</v>
      </c>
    </row>
    <row r="12882" spans="1:19" x14ac:dyDescent="0.2">
      <c r="A12882" t="s">
        <v>13493</v>
      </c>
      <c r="B12882" t="s">
        <v>83</v>
      </c>
      <c r="C12882" t="s">
        <v>602</v>
      </c>
      <c r="D12882">
        <v>3592.83</v>
      </c>
      <c r="E12882" s="37" t="str">
        <f t="shared" si="1005"/>
        <v xml:space="preserve"> </v>
      </c>
      <c r="F12882">
        <v>0.14000000000000001</v>
      </c>
      <c r="G12882" s="37" t="str">
        <f t="shared" si="1006"/>
        <v>Normal Discount</v>
      </c>
      <c r="H12882" s="37" t="str">
        <f t="shared" si="1007"/>
        <v>Low</v>
      </c>
      <c r="I12882">
        <v>1</v>
      </c>
      <c r="J12882" t="str" cm="1">
        <f t="array" ref="J12882">_xlfn.IFS(I12882&lt;=3,"small",I12882&lt;=6,"Medium",I12882&lt;=9,"Large")</f>
        <v>small</v>
      </c>
      <c r="K12882" s="36">
        <v>45248</v>
      </c>
      <c r="L12882" s="36">
        <v>45253</v>
      </c>
      <c r="M12882" t="s">
        <v>598</v>
      </c>
      <c r="N12882" t="s">
        <v>604</v>
      </c>
      <c r="O12882" s="37" t="str">
        <f t="shared" si="1008"/>
        <v>Digital Payment</v>
      </c>
      <c r="P12882">
        <v>245.74</v>
      </c>
      <c r="Q12882" s="37" t="str">
        <f>IF(P12882&gt;500,"High","low")</f>
        <v>low</v>
      </c>
      <c r="R12882" s="37" t="str">
        <f t="shared" si="1009"/>
        <v>AVERAGE</v>
      </c>
      <c r="S12882" t="s">
        <v>600</v>
      </c>
    </row>
    <row r="12883" spans="1:19" x14ac:dyDescent="0.2">
      <c r="A12883" t="s">
        <v>13494</v>
      </c>
      <c r="B12883" t="s">
        <v>83</v>
      </c>
      <c r="C12883" t="s">
        <v>607</v>
      </c>
      <c r="D12883">
        <v>2929.91</v>
      </c>
      <c r="E12883" s="37" t="str">
        <f t="shared" si="1005"/>
        <v xml:space="preserve"> </v>
      </c>
      <c r="F12883">
        <v>0.19</v>
      </c>
      <c r="G12883" s="37" t="str">
        <f t="shared" si="1006"/>
        <v>Normal Discount</v>
      </c>
      <c r="H12883" s="37" t="str">
        <f t="shared" si="1007"/>
        <v>Low</v>
      </c>
      <c r="I12883">
        <v>3</v>
      </c>
      <c r="J12883" t="str" cm="1">
        <f t="array" ref="J12883">_xlfn.IFS(I12883&lt;=3,"small",I12883&lt;=6,"Medium",I12883&lt;=9,"Large")</f>
        <v>small</v>
      </c>
      <c r="K12883" s="36">
        <v>45226</v>
      </c>
      <c r="L12883" s="36">
        <v>45232</v>
      </c>
      <c r="M12883" t="s">
        <v>598</v>
      </c>
      <c r="N12883" t="s">
        <v>599</v>
      </c>
      <c r="O12883" s="37" t="str">
        <f t="shared" si="1008"/>
        <v>Digital Payment</v>
      </c>
      <c r="P12883">
        <v>154.84</v>
      </c>
      <c r="Q12883" s="37" t="str">
        <f>IF(P12883&gt;500,"High","low")</f>
        <v>low</v>
      </c>
      <c r="R12883" s="37" t="str">
        <f t="shared" si="1009"/>
        <v>AVERAGE</v>
      </c>
      <c r="S12883" t="s">
        <v>620</v>
      </c>
    </row>
    <row r="12884" spans="1:19" x14ac:dyDescent="0.2">
      <c r="A12884" t="s">
        <v>13495</v>
      </c>
      <c r="B12884" t="s">
        <v>67</v>
      </c>
      <c r="C12884" t="s">
        <v>617</v>
      </c>
      <c r="D12884">
        <v>2899.41</v>
      </c>
      <c r="E12884" s="37" t="str">
        <f t="shared" si="1005"/>
        <v xml:space="preserve"> </v>
      </c>
      <c r="F12884">
        <v>0.16</v>
      </c>
      <c r="G12884" s="37" t="str">
        <f t="shared" si="1006"/>
        <v>Normal Discount</v>
      </c>
      <c r="H12884" s="37" t="str">
        <f t="shared" si="1007"/>
        <v>Low</v>
      </c>
      <c r="I12884">
        <v>6</v>
      </c>
      <c r="J12884" t="str" cm="1">
        <f t="array" ref="J12884">_xlfn.IFS(I12884&lt;=3,"small",I12884&lt;=6,"Medium",I12884&lt;=9,"Large")</f>
        <v>Medium</v>
      </c>
      <c r="K12884" s="36">
        <v>45559</v>
      </c>
      <c r="L12884" s="36">
        <v>45566</v>
      </c>
      <c r="M12884" t="s">
        <v>612</v>
      </c>
      <c r="N12884" t="s">
        <v>608</v>
      </c>
      <c r="O12884" s="37" t="str">
        <f t="shared" si="1008"/>
        <v>Cash Payment</v>
      </c>
      <c r="P12884">
        <v>253.75</v>
      </c>
      <c r="Q12884" s="37" t="str">
        <f>IF(P12884&gt;500,"High","low")</f>
        <v>low</v>
      </c>
      <c r="R12884" s="37" t="str">
        <f t="shared" si="1009"/>
        <v>AVERAGE</v>
      </c>
      <c r="S12884" t="s">
        <v>600</v>
      </c>
    </row>
    <row r="12885" spans="1:19" x14ac:dyDescent="0.2">
      <c r="A12885" t="s">
        <v>13496</v>
      </c>
      <c r="B12885" t="s">
        <v>67</v>
      </c>
      <c r="C12885" t="s">
        <v>617</v>
      </c>
      <c r="D12885">
        <v>542.61</v>
      </c>
      <c r="E12885" s="37" t="str">
        <f t="shared" si="1005"/>
        <v xml:space="preserve"> </v>
      </c>
      <c r="F12885">
        <v>0.14000000000000001</v>
      </c>
      <c r="G12885" s="37" t="str">
        <f t="shared" si="1006"/>
        <v>Normal Discount</v>
      </c>
      <c r="H12885" s="37" t="str">
        <f t="shared" si="1007"/>
        <v>Low</v>
      </c>
      <c r="I12885">
        <v>1</v>
      </c>
      <c r="J12885" t="str" cm="1">
        <f t="array" ref="J12885">_xlfn.IFS(I12885&lt;=3,"small",I12885&lt;=6,"Medium",I12885&lt;=9,"Large")</f>
        <v>small</v>
      </c>
      <c r="K12885" s="36">
        <v>45399</v>
      </c>
      <c r="L12885" s="36">
        <v>45400</v>
      </c>
      <c r="M12885" t="s">
        <v>598</v>
      </c>
      <c r="N12885" t="s">
        <v>604</v>
      </c>
      <c r="O12885" s="37" t="str">
        <f t="shared" si="1008"/>
        <v>Digital Payment</v>
      </c>
      <c r="P12885">
        <v>106</v>
      </c>
      <c r="Q12885" s="37" t="str">
        <f>IF(P12885&gt;500,"High","low")</f>
        <v>low</v>
      </c>
      <c r="R12885" s="37" t="str">
        <f t="shared" si="1009"/>
        <v>AVERAGE</v>
      </c>
      <c r="S12885" t="s">
        <v>609</v>
      </c>
    </row>
    <row r="12886" spans="1:19" x14ac:dyDescent="0.2">
      <c r="A12886" t="s">
        <v>13497</v>
      </c>
      <c r="B12886" t="s">
        <v>90</v>
      </c>
      <c r="C12886" t="s">
        <v>597</v>
      </c>
      <c r="D12886">
        <v>957.08</v>
      </c>
      <c r="E12886" s="37" t="str">
        <f t="shared" si="1005"/>
        <v xml:space="preserve"> </v>
      </c>
      <c r="F12886">
        <v>0.26</v>
      </c>
      <c r="G12886" s="37" t="str">
        <f t="shared" si="1006"/>
        <v>Normal Discount</v>
      </c>
      <c r="H12886" s="37" t="str">
        <f t="shared" si="1007"/>
        <v>Medium</v>
      </c>
      <c r="I12886">
        <v>7</v>
      </c>
      <c r="J12886" t="str" cm="1">
        <f t="array" ref="J12886">_xlfn.IFS(I12886&lt;=3,"small",I12886&lt;=6,"Medium",I12886&lt;=9,"Large")</f>
        <v>Large</v>
      </c>
      <c r="K12886" s="36">
        <v>45631</v>
      </c>
      <c r="L12886" s="36">
        <v>45637</v>
      </c>
      <c r="M12886" t="s">
        <v>598</v>
      </c>
      <c r="N12886" t="s">
        <v>608</v>
      </c>
      <c r="O12886" s="37" t="str">
        <f t="shared" si="1008"/>
        <v>Cash Payment</v>
      </c>
      <c r="P12886">
        <v>241.58</v>
      </c>
      <c r="Q12886" s="37" t="str">
        <f>IF(P12886&gt;500,"High","low")</f>
        <v>low</v>
      </c>
      <c r="R12886" s="37" t="str">
        <f t="shared" si="1009"/>
        <v>AVERAGE</v>
      </c>
      <c r="S12886" t="s">
        <v>620</v>
      </c>
    </row>
    <row r="12887" spans="1:19" x14ac:dyDescent="0.2">
      <c r="A12887" t="s">
        <v>13498</v>
      </c>
      <c r="B12887" t="s">
        <v>67</v>
      </c>
      <c r="C12887" t="s">
        <v>607</v>
      </c>
      <c r="D12887">
        <v>2720.25</v>
      </c>
      <c r="E12887" s="37" t="str">
        <f t="shared" si="1005"/>
        <v xml:space="preserve"> </v>
      </c>
      <c r="F12887">
        <v>0.27</v>
      </c>
      <c r="G12887" s="37" t="str">
        <f t="shared" si="1006"/>
        <v>Normal Discount</v>
      </c>
      <c r="H12887" s="37" t="str">
        <f t="shared" si="1007"/>
        <v>Medium</v>
      </c>
      <c r="I12887">
        <v>2</v>
      </c>
      <c r="J12887" t="str" cm="1">
        <f t="array" ref="J12887">_xlfn.IFS(I12887&lt;=3,"small",I12887&lt;=6,"Medium",I12887&lt;=9,"Large")</f>
        <v>small</v>
      </c>
      <c r="K12887" s="36">
        <v>45385</v>
      </c>
      <c r="L12887" s="36">
        <v>45389</v>
      </c>
      <c r="M12887" t="s">
        <v>603</v>
      </c>
      <c r="N12887" t="s">
        <v>608</v>
      </c>
      <c r="O12887" s="37" t="str">
        <f t="shared" si="1008"/>
        <v>Cash Payment</v>
      </c>
      <c r="P12887">
        <v>382.86</v>
      </c>
      <c r="Q12887" s="37" t="str">
        <f>IF(P12887&gt;500,"High","low")</f>
        <v>low</v>
      </c>
      <c r="R12887" s="37" t="str">
        <f t="shared" si="1009"/>
        <v>AVERAGE</v>
      </c>
      <c r="S12887" t="s">
        <v>620</v>
      </c>
    </row>
    <row r="12888" spans="1:19" x14ac:dyDescent="0.2">
      <c r="A12888" t="s">
        <v>13499</v>
      </c>
      <c r="B12888" t="s">
        <v>90</v>
      </c>
      <c r="C12888" t="s">
        <v>614</v>
      </c>
      <c r="D12888">
        <v>1805.59</v>
      </c>
      <c r="E12888" s="37" t="str">
        <f t="shared" si="1005"/>
        <v xml:space="preserve"> </v>
      </c>
      <c r="F12888">
        <v>0.04</v>
      </c>
      <c r="G12888" s="37" t="str">
        <f t="shared" si="1006"/>
        <v>Normal Discount</v>
      </c>
      <c r="H12888" s="37" t="str">
        <f t="shared" si="1007"/>
        <v>Low</v>
      </c>
      <c r="I12888">
        <v>7</v>
      </c>
      <c r="J12888" t="str" cm="1">
        <f t="array" ref="J12888">_xlfn.IFS(I12888&lt;=3,"small",I12888&lt;=6,"Medium",I12888&lt;=9,"Large")</f>
        <v>Large</v>
      </c>
      <c r="K12888" s="36">
        <v>45262</v>
      </c>
      <c r="L12888" s="36">
        <v>45265</v>
      </c>
      <c r="M12888" t="s">
        <v>598</v>
      </c>
      <c r="N12888" t="s">
        <v>599</v>
      </c>
      <c r="O12888" s="37" t="str">
        <f t="shared" si="1008"/>
        <v>Digital Payment</v>
      </c>
      <c r="P12888">
        <v>406.43</v>
      </c>
      <c r="Q12888" s="37" t="str">
        <f>IF(P12888&gt;500,"High","low")</f>
        <v>low</v>
      </c>
      <c r="R12888" s="37" t="str">
        <f t="shared" si="1009"/>
        <v>AVERAGE</v>
      </c>
      <c r="S12888" t="s">
        <v>609</v>
      </c>
    </row>
    <row r="12889" spans="1:19" x14ac:dyDescent="0.2">
      <c r="A12889" t="s">
        <v>13500</v>
      </c>
      <c r="B12889" t="s">
        <v>83</v>
      </c>
      <c r="C12889" t="s">
        <v>614</v>
      </c>
      <c r="D12889">
        <v>192.79</v>
      </c>
      <c r="E12889" s="37" t="str">
        <f t="shared" si="1005"/>
        <v xml:space="preserve"> </v>
      </c>
      <c r="F12889">
        <v>0.34</v>
      </c>
      <c r="G12889" s="37" t="str">
        <f t="shared" si="1006"/>
        <v>Heavy Discount</v>
      </c>
      <c r="H12889" s="37" t="str">
        <f t="shared" si="1007"/>
        <v>Medium</v>
      </c>
      <c r="I12889">
        <v>4</v>
      </c>
      <c r="J12889" t="str" cm="1">
        <f t="array" ref="J12889">_xlfn.IFS(I12889&lt;=3,"small",I12889&lt;=6,"Medium",I12889&lt;=9,"Large")</f>
        <v>Medium</v>
      </c>
      <c r="K12889" s="36">
        <v>45653</v>
      </c>
      <c r="L12889" s="36">
        <v>45660</v>
      </c>
      <c r="M12889" t="s">
        <v>612</v>
      </c>
      <c r="N12889" t="s">
        <v>604</v>
      </c>
      <c r="O12889" s="37" t="str">
        <f t="shared" si="1008"/>
        <v>Digital Payment</v>
      </c>
      <c r="P12889">
        <v>32.6</v>
      </c>
      <c r="Q12889" s="37" t="str">
        <f>IF(P12889&gt;500,"High","low")</f>
        <v>low</v>
      </c>
      <c r="R12889" s="37" t="str">
        <f t="shared" si="1009"/>
        <v>AVERAGE</v>
      </c>
      <c r="S12889" t="s">
        <v>620</v>
      </c>
    </row>
    <row r="12890" spans="1:19" x14ac:dyDescent="0.2">
      <c r="A12890" t="s">
        <v>13501</v>
      </c>
      <c r="B12890" t="s">
        <v>90</v>
      </c>
      <c r="C12890" t="s">
        <v>617</v>
      </c>
      <c r="D12890">
        <v>4011.02</v>
      </c>
      <c r="E12890" s="37" t="str">
        <f t="shared" si="1005"/>
        <v>Excellent Order</v>
      </c>
      <c r="F12890">
        <v>0.21</v>
      </c>
      <c r="G12890" s="37" t="str">
        <f t="shared" si="1006"/>
        <v>Normal Discount</v>
      </c>
      <c r="H12890" s="37" t="str">
        <f t="shared" si="1007"/>
        <v>Medium</v>
      </c>
      <c r="I12890">
        <v>9</v>
      </c>
      <c r="J12890" t="str" cm="1">
        <f t="array" ref="J12890">_xlfn.IFS(I12890&lt;=3,"small",I12890&lt;=6,"Medium",I12890&lt;=9,"Large")</f>
        <v>Large</v>
      </c>
      <c r="K12890" s="36">
        <v>45581</v>
      </c>
      <c r="L12890" s="36">
        <v>45583</v>
      </c>
      <c r="M12890" t="s">
        <v>612</v>
      </c>
      <c r="N12890" t="s">
        <v>599</v>
      </c>
      <c r="O12890" s="37" t="str">
        <f t="shared" si="1008"/>
        <v>Digital Payment</v>
      </c>
      <c r="P12890">
        <v>1021.08</v>
      </c>
      <c r="Q12890" s="37" t="str">
        <f>IF(P12890&gt;500,"High","low")</f>
        <v>High</v>
      </c>
      <c r="R12890" s="37" t="str">
        <f t="shared" si="1009"/>
        <v>Excellent</v>
      </c>
      <c r="S12890" t="s">
        <v>628</v>
      </c>
    </row>
    <row r="12891" spans="1:19" x14ac:dyDescent="0.2">
      <c r="A12891" t="s">
        <v>13502</v>
      </c>
      <c r="B12891" t="s">
        <v>75</v>
      </c>
      <c r="C12891" t="s">
        <v>607</v>
      </c>
      <c r="D12891">
        <v>3303.69</v>
      </c>
      <c r="E12891" s="37" t="str">
        <f t="shared" si="1005"/>
        <v xml:space="preserve"> </v>
      </c>
      <c r="F12891">
        <v>0.44</v>
      </c>
      <c r="G12891" s="37" t="str">
        <f t="shared" si="1006"/>
        <v>Heavy Discount</v>
      </c>
      <c r="H12891" s="37" t="str">
        <f t="shared" si="1007"/>
        <v>High</v>
      </c>
      <c r="I12891">
        <v>5</v>
      </c>
      <c r="J12891" t="str" cm="1">
        <f t="array" ref="J12891">_xlfn.IFS(I12891&lt;=3,"small",I12891&lt;=6,"Medium",I12891&lt;=9,"Large")</f>
        <v>Medium</v>
      </c>
      <c r="K12891" s="36">
        <v>45593</v>
      </c>
      <c r="L12891" s="36">
        <v>45600</v>
      </c>
      <c r="M12891" t="s">
        <v>603</v>
      </c>
      <c r="N12891" t="s">
        <v>599</v>
      </c>
      <c r="O12891" s="37" t="str">
        <f t="shared" si="1008"/>
        <v>Digital Payment</v>
      </c>
      <c r="P12891">
        <v>251.15</v>
      </c>
      <c r="Q12891" s="37" t="str">
        <f>IF(P12891&gt;500,"High","low")</f>
        <v>low</v>
      </c>
      <c r="R12891" s="37" t="str">
        <f t="shared" si="1009"/>
        <v>AVERAGE</v>
      </c>
      <c r="S12891" t="s">
        <v>620</v>
      </c>
    </row>
    <row r="12892" spans="1:19" x14ac:dyDescent="0.2">
      <c r="A12892" t="s">
        <v>13503</v>
      </c>
      <c r="B12892" t="s">
        <v>83</v>
      </c>
      <c r="C12892" t="s">
        <v>607</v>
      </c>
      <c r="D12892">
        <v>1696.35</v>
      </c>
      <c r="E12892" s="37" t="str">
        <f t="shared" si="1005"/>
        <v xml:space="preserve"> </v>
      </c>
      <c r="F12892">
        <v>0.44</v>
      </c>
      <c r="G12892" s="37" t="str">
        <f t="shared" si="1006"/>
        <v>Heavy Discount</v>
      </c>
      <c r="H12892" s="37" t="str">
        <f t="shared" si="1007"/>
        <v>High</v>
      </c>
      <c r="I12892">
        <v>1</v>
      </c>
      <c r="J12892" t="str" cm="1">
        <f t="array" ref="J12892">_xlfn.IFS(I12892&lt;=3,"small",I12892&lt;=6,"Medium",I12892&lt;=9,"Large")</f>
        <v>small</v>
      </c>
      <c r="K12892" s="36">
        <v>44942</v>
      </c>
      <c r="L12892" s="36">
        <v>44943</v>
      </c>
      <c r="M12892" t="s">
        <v>603</v>
      </c>
      <c r="N12892" t="s">
        <v>599</v>
      </c>
      <c r="O12892" s="37" t="str">
        <f t="shared" si="1008"/>
        <v>Digital Payment</v>
      </c>
      <c r="P12892">
        <v>332.51</v>
      </c>
      <c r="Q12892" s="37" t="str">
        <f>IF(P12892&gt;500,"High","low")</f>
        <v>low</v>
      </c>
      <c r="R12892" s="37" t="str">
        <f t="shared" si="1009"/>
        <v>AVERAGE</v>
      </c>
      <c r="S12892" t="s">
        <v>609</v>
      </c>
    </row>
    <row r="12893" spans="1:19" x14ac:dyDescent="0.2">
      <c r="A12893" t="s">
        <v>13504</v>
      </c>
      <c r="B12893" t="s">
        <v>83</v>
      </c>
      <c r="C12893" t="s">
        <v>597</v>
      </c>
      <c r="D12893">
        <v>581.21</v>
      </c>
      <c r="E12893" s="37" t="str">
        <f t="shared" si="1005"/>
        <v xml:space="preserve"> </v>
      </c>
      <c r="F12893">
        <v>0.36</v>
      </c>
      <c r="G12893" s="37" t="str">
        <f t="shared" si="1006"/>
        <v>Heavy Discount</v>
      </c>
      <c r="H12893" s="37" t="str">
        <f t="shared" si="1007"/>
        <v>Medium</v>
      </c>
      <c r="I12893">
        <v>4</v>
      </c>
      <c r="J12893" t="str" cm="1">
        <f t="array" ref="J12893">_xlfn.IFS(I12893&lt;=3,"small",I12893&lt;=6,"Medium",I12893&lt;=9,"Large")</f>
        <v>Medium</v>
      </c>
      <c r="K12893" s="36">
        <v>45228</v>
      </c>
      <c r="L12893" s="36">
        <v>45235</v>
      </c>
      <c r="M12893" t="s">
        <v>603</v>
      </c>
      <c r="N12893" t="s">
        <v>599</v>
      </c>
      <c r="O12893" s="37" t="str">
        <f t="shared" si="1008"/>
        <v>Digital Payment</v>
      </c>
      <c r="P12893">
        <v>164.42</v>
      </c>
      <c r="Q12893" s="37" t="str">
        <f>IF(P12893&gt;500,"High","low")</f>
        <v>low</v>
      </c>
      <c r="R12893" s="37" t="str">
        <f t="shared" si="1009"/>
        <v>AVERAGE</v>
      </c>
      <c r="S12893" t="s">
        <v>605</v>
      </c>
    </row>
    <row r="12894" spans="1:19" x14ac:dyDescent="0.2">
      <c r="A12894" t="s">
        <v>13505</v>
      </c>
      <c r="B12894" t="s">
        <v>90</v>
      </c>
      <c r="C12894" t="s">
        <v>614</v>
      </c>
      <c r="D12894">
        <v>2996.88</v>
      </c>
      <c r="E12894" s="37" t="str">
        <f t="shared" si="1005"/>
        <v xml:space="preserve"> </v>
      </c>
      <c r="F12894">
        <v>0.43</v>
      </c>
      <c r="G12894" s="37" t="str">
        <f t="shared" si="1006"/>
        <v>Heavy Discount</v>
      </c>
      <c r="H12894" s="37" t="str">
        <f t="shared" si="1007"/>
        <v>High</v>
      </c>
      <c r="I12894">
        <v>4</v>
      </c>
      <c r="J12894" t="str" cm="1">
        <f t="array" ref="J12894">_xlfn.IFS(I12894&lt;=3,"small",I12894&lt;=6,"Medium",I12894&lt;=9,"Large")</f>
        <v>Medium</v>
      </c>
      <c r="K12894" s="36">
        <v>45407</v>
      </c>
      <c r="L12894" s="36">
        <v>45408</v>
      </c>
      <c r="M12894" t="s">
        <v>612</v>
      </c>
      <c r="N12894" t="s">
        <v>608</v>
      </c>
      <c r="O12894" s="37" t="str">
        <f t="shared" si="1008"/>
        <v>Cash Payment</v>
      </c>
      <c r="P12894">
        <v>216.21</v>
      </c>
      <c r="Q12894" s="37" t="str">
        <f>IF(P12894&gt;500,"High","low")</f>
        <v>low</v>
      </c>
      <c r="R12894" s="37" t="str">
        <f t="shared" si="1009"/>
        <v>AVERAGE</v>
      </c>
      <c r="S12894" t="s">
        <v>620</v>
      </c>
    </row>
    <row r="12895" spans="1:19" x14ac:dyDescent="0.2">
      <c r="A12895" t="s">
        <v>13506</v>
      </c>
      <c r="B12895" t="s">
        <v>83</v>
      </c>
      <c r="C12895" t="s">
        <v>597</v>
      </c>
      <c r="D12895">
        <v>1807.89</v>
      </c>
      <c r="E12895" s="37" t="str">
        <f t="shared" si="1005"/>
        <v xml:space="preserve"> </v>
      </c>
      <c r="F12895">
        <v>0.46</v>
      </c>
      <c r="G12895" s="37" t="str">
        <f t="shared" si="1006"/>
        <v>Heavy Discount</v>
      </c>
      <c r="H12895" s="37" t="str">
        <f t="shared" si="1007"/>
        <v>High</v>
      </c>
      <c r="I12895">
        <v>4</v>
      </c>
      <c r="J12895" t="str" cm="1">
        <f t="array" ref="J12895">_xlfn.IFS(I12895&lt;=3,"small",I12895&lt;=6,"Medium",I12895&lt;=9,"Large")</f>
        <v>Medium</v>
      </c>
      <c r="K12895" s="36">
        <v>45285</v>
      </c>
      <c r="L12895" s="36">
        <v>45290</v>
      </c>
      <c r="M12895" t="s">
        <v>603</v>
      </c>
      <c r="N12895" t="s">
        <v>604</v>
      </c>
      <c r="O12895" s="37" t="str">
        <f t="shared" si="1008"/>
        <v>Digital Payment</v>
      </c>
      <c r="P12895">
        <v>209.32</v>
      </c>
      <c r="Q12895" s="37" t="str">
        <f>IF(P12895&gt;500,"High","low")</f>
        <v>low</v>
      </c>
      <c r="R12895" s="37" t="str">
        <f t="shared" si="1009"/>
        <v>AVERAGE</v>
      </c>
      <c r="S12895" t="s">
        <v>615</v>
      </c>
    </row>
    <row r="12896" spans="1:19" x14ac:dyDescent="0.2">
      <c r="A12896" t="s">
        <v>13507</v>
      </c>
      <c r="B12896" t="s">
        <v>67</v>
      </c>
      <c r="C12896" t="s">
        <v>602</v>
      </c>
      <c r="D12896">
        <v>1351.41</v>
      </c>
      <c r="E12896" s="37" t="str">
        <f t="shared" si="1005"/>
        <v xml:space="preserve"> </v>
      </c>
      <c r="F12896">
        <v>0.28999999999999998</v>
      </c>
      <c r="G12896" s="37" t="str">
        <f t="shared" si="1006"/>
        <v>Normal Discount</v>
      </c>
      <c r="H12896" s="37" t="str">
        <f t="shared" si="1007"/>
        <v>Medium</v>
      </c>
      <c r="I12896">
        <v>3</v>
      </c>
      <c r="J12896" t="str" cm="1">
        <f t="array" ref="J12896">_xlfn.IFS(I12896&lt;=3,"small",I12896&lt;=6,"Medium",I12896&lt;=9,"Large")</f>
        <v>small</v>
      </c>
      <c r="K12896" s="36">
        <v>45638</v>
      </c>
      <c r="L12896" s="36">
        <v>45644</v>
      </c>
      <c r="M12896" t="s">
        <v>612</v>
      </c>
      <c r="N12896" t="s">
        <v>599</v>
      </c>
      <c r="O12896" s="37" t="str">
        <f t="shared" si="1008"/>
        <v>Digital Payment</v>
      </c>
      <c r="P12896">
        <v>159.85</v>
      </c>
      <c r="Q12896" s="37" t="str">
        <f>IF(P12896&gt;500,"High","low")</f>
        <v>low</v>
      </c>
      <c r="R12896" s="37" t="str">
        <f t="shared" si="1009"/>
        <v>AVERAGE</v>
      </c>
      <c r="S12896" t="s">
        <v>605</v>
      </c>
    </row>
    <row r="12897" spans="1:19" x14ac:dyDescent="0.2">
      <c r="A12897" t="s">
        <v>13508</v>
      </c>
      <c r="B12897" t="s">
        <v>75</v>
      </c>
      <c r="C12897" t="s">
        <v>607</v>
      </c>
      <c r="D12897">
        <v>3635.2</v>
      </c>
      <c r="E12897" s="37" t="str">
        <f t="shared" si="1005"/>
        <v xml:space="preserve"> </v>
      </c>
      <c r="F12897">
        <v>0.49</v>
      </c>
      <c r="G12897" s="37" t="str">
        <f t="shared" si="1006"/>
        <v>Heavy Discount</v>
      </c>
      <c r="H12897" s="37" t="str">
        <f t="shared" si="1007"/>
        <v>High</v>
      </c>
      <c r="I12897">
        <v>3</v>
      </c>
      <c r="J12897" t="str" cm="1">
        <f t="array" ref="J12897">_xlfn.IFS(I12897&lt;=3,"small",I12897&lt;=6,"Medium",I12897&lt;=9,"Large")</f>
        <v>small</v>
      </c>
      <c r="K12897" s="36">
        <v>45503</v>
      </c>
      <c r="L12897" s="36">
        <v>45509</v>
      </c>
      <c r="M12897" t="s">
        <v>612</v>
      </c>
      <c r="N12897" t="s">
        <v>608</v>
      </c>
      <c r="O12897" s="37" t="str">
        <f t="shared" si="1008"/>
        <v>Cash Payment</v>
      </c>
      <c r="P12897">
        <v>775.09</v>
      </c>
      <c r="Q12897" s="37" t="str">
        <f>IF(P12897&gt;500,"High","low")</f>
        <v>High</v>
      </c>
      <c r="R12897" s="37" t="str">
        <f t="shared" si="1009"/>
        <v>Good</v>
      </c>
      <c r="S12897" t="s">
        <v>615</v>
      </c>
    </row>
    <row r="12898" spans="1:19" x14ac:dyDescent="0.2">
      <c r="A12898" t="s">
        <v>13509</v>
      </c>
      <c r="B12898" t="s">
        <v>90</v>
      </c>
      <c r="C12898" t="s">
        <v>614</v>
      </c>
      <c r="D12898">
        <v>1707.94</v>
      </c>
      <c r="E12898" s="37" t="str">
        <f t="shared" si="1005"/>
        <v xml:space="preserve"> </v>
      </c>
      <c r="F12898">
        <v>0.48</v>
      </c>
      <c r="G12898" s="37" t="str">
        <f t="shared" si="1006"/>
        <v>Heavy Discount</v>
      </c>
      <c r="H12898" s="37" t="str">
        <f t="shared" si="1007"/>
        <v>High</v>
      </c>
      <c r="I12898">
        <v>5</v>
      </c>
      <c r="J12898" t="str" cm="1">
        <f t="array" ref="J12898">_xlfn.IFS(I12898&lt;=3,"small",I12898&lt;=6,"Medium",I12898&lt;=9,"Large")</f>
        <v>Medium</v>
      </c>
      <c r="K12898" s="36">
        <v>44945</v>
      </c>
      <c r="L12898" s="36">
        <v>44948</v>
      </c>
      <c r="M12898" t="s">
        <v>603</v>
      </c>
      <c r="N12898" t="s">
        <v>604</v>
      </c>
      <c r="O12898" s="37" t="str">
        <f t="shared" si="1008"/>
        <v>Digital Payment</v>
      </c>
      <c r="P12898">
        <v>418.97</v>
      </c>
      <c r="Q12898" s="37" t="str">
        <f>IF(P12898&gt;500,"High","low")</f>
        <v>low</v>
      </c>
      <c r="R12898" s="37" t="str">
        <f t="shared" si="1009"/>
        <v>AVERAGE</v>
      </c>
      <c r="S12898" t="s">
        <v>600</v>
      </c>
    </row>
    <row r="12899" spans="1:19" x14ac:dyDescent="0.2">
      <c r="A12899" t="s">
        <v>13510</v>
      </c>
      <c r="B12899" t="s">
        <v>90</v>
      </c>
      <c r="C12899" t="s">
        <v>597</v>
      </c>
      <c r="D12899">
        <v>766.64</v>
      </c>
      <c r="E12899" s="37" t="str">
        <f t="shared" si="1005"/>
        <v xml:space="preserve"> </v>
      </c>
      <c r="F12899">
        <v>0.05</v>
      </c>
      <c r="G12899" s="37" t="str">
        <f t="shared" si="1006"/>
        <v>Normal Discount</v>
      </c>
      <c r="H12899" s="37" t="str">
        <f t="shared" si="1007"/>
        <v>Low</v>
      </c>
      <c r="I12899">
        <v>5</v>
      </c>
      <c r="J12899" t="str" cm="1">
        <f t="array" ref="J12899">_xlfn.IFS(I12899&lt;=3,"small",I12899&lt;=6,"Medium",I12899&lt;=9,"Large")</f>
        <v>Medium</v>
      </c>
      <c r="K12899" s="36">
        <v>45528</v>
      </c>
      <c r="L12899" s="36">
        <v>45529</v>
      </c>
      <c r="M12899" t="s">
        <v>598</v>
      </c>
      <c r="N12899" t="s">
        <v>604</v>
      </c>
      <c r="O12899" s="37" t="str">
        <f t="shared" si="1008"/>
        <v>Digital Payment</v>
      </c>
      <c r="P12899">
        <v>160.94999999999999</v>
      </c>
      <c r="Q12899" s="37" t="str">
        <f>IF(P12899&gt;500,"High","low")</f>
        <v>low</v>
      </c>
      <c r="R12899" s="37" t="str">
        <f t="shared" si="1009"/>
        <v>AVERAGE</v>
      </c>
      <c r="S12899" t="s">
        <v>620</v>
      </c>
    </row>
    <row r="12900" spans="1:19" x14ac:dyDescent="0.2">
      <c r="A12900" t="s">
        <v>13511</v>
      </c>
      <c r="B12900" t="s">
        <v>83</v>
      </c>
      <c r="C12900" t="s">
        <v>617</v>
      </c>
      <c r="D12900">
        <v>2460.1</v>
      </c>
      <c r="E12900" s="37" t="str">
        <f t="shared" si="1005"/>
        <v xml:space="preserve"> </v>
      </c>
      <c r="F12900">
        <v>0.26</v>
      </c>
      <c r="G12900" s="37" t="str">
        <f t="shared" si="1006"/>
        <v>Normal Discount</v>
      </c>
      <c r="H12900" s="37" t="str">
        <f t="shared" si="1007"/>
        <v>Medium</v>
      </c>
      <c r="I12900">
        <v>2</v>
      </c>
      <c r="J12900" t="str" cm="1">
        <f t="array" ref="J12900">_xlfn.IFS(I12900&lt;=3,"small",I12900&lt;=6,"Medium",I12900&lt;=9,"Large")</f>
        <v>small</v>
      </c>
      <c r="K12900" s="36">
        <v>45475</v>
      </c>
      <c r="L12900" s="36">
        <v>45479</v>
      </c>
      <c r="M12900" t="s">
        <v>603</v>
      </c>
      <c r="N12900" t="s">
        <v>608</v>
      </c>
      <c r="O12900" s="37" t="str">
        <f t="shared" si="1008"/>
        <v>Cash Payment</v>
      </c>
      <c r="P12900">
        <v>398.29</v>
      </c>
      <c r="Q12900" s="37" t="str">
        <f>IF(P12900&gt;500,"High","low")</f>
        <v>low</v>
      </c>
      <c r="R12900" s="37" t="str">
        <f t="shared" si="1009"/>
        <v>AVERAGE</v>
      </c>
      <c r="S12900" t="s">
        <v>600</v>
      </c>
    </row>
    <row r="12901" spans="1:19" x14ac:dyDescent="0.2">
      <c r="A12901" t="s">
        <v>13512</v>
      </c>
      <c r="B12901" t="s">
        <v>67</v>
      </c>
      <c r="C12901" t="s">
        <v>602</v>
      </c>
      <c r="D12901">
        <v>4159.4799999999996</v>
      </c>
      <c r="E12901" s="37" t="str">
        <f t="shared" si="1005"/>
        <v xml:space="preserve"> </v>
      </c>
      <c r="F12901">
        <v>0.06</v>
      </c>
      <c r="G12901" s="37" t="str">
        <f t="shared" si="1006"/>
        <v>Normal Discount</v>
      </c>
      <c r="H12901" s="37" t="str">
        <f t="shared" si="1007"/>
        <v>Low</v>
      </c>
      <c r="I12901">
        <v>9</v>
      </c>
      <c r="J12901" t="str" cm="1">
        <f t="array" ref="J12901">_xlfn.IFS(I12901&lt;=3,"small",I12901&lt;=6,"Medium",I12901&lt;=9,"Large")</f>
        <v>Large</v>
      </c>
      <c r="K12901" s="36">
        <v>45624</v>
      </c>
      <c r="L12901" s="36">
        <v>45625</v>
      </c>
      <c r="M12901" t="s">
        <v>612</v>
      </c>
      <c r="N12901" t="s">
        <v>599</v>
      </c>
      <c r="O12901" s="37" t="str">
        <f t="shared" si="1008"/>
        <v>Digital Payment</v>
      </c>
      <c r="P12901">
        <v>468.49</v>
      </c>
      <c r="Q12901" s="37" t="str">
        <f>IF(P12901&gt;500,"High","low")</f>
        <v>low</v>
      </c>
      <c r="R12901" s="37" t="str">
        <f t="shared" si="1009"/>
        <v>AVERAGE</v>
      </c>
      <c r="S12901" t="s">
        <v>620</v>
      </c>
    </row>
    <row r="12902" spans="1:19" x14ac:dyDescent="0.2">
      <c r="A12902" t="s">
        <v>13513</v>
      </c>
      <c r="B12902" t="s">
        <v>83</v>
      </c>
      <c r="C12902" t="s">
        <v>597</v>
      </c>
      <c r="D12902">
        <v>4263.33</v>
      </c>
      <c r="E12902" s="37" t="str">
        <f t="shared" si="1005"/>
        <v>Excellent Order</v>
      </c>
      <c r="F12902">
        <v>0.34</v>
      </c>
      <c r="G12902" s="37" t="str">
        <f t="shared" si="1006"/>
        <v>Heavy Discount</v>
      </c>
      <c r="H12902" s="37" t="str">
        <f t="shared" si="1007"/>
        <v>Medium</v>
      </c>
      <c r="I12902">
        <v>3</v>
      </c>
      <c r="J12902" t="str" cm="1">
        <f t="array" ref="J12902">_xlfn.IFS(I12902&lt;=3,"small",I12902&lt;=6,"Medium",I12902&lt;=9,"Large")</f>
        <v>small</v>
      </c>
      <c r="K12902" s="36">
        <v>45365</v>
      </c>
      <c r="L12902" s="36">
        <v>45370</v>
      </c>
      <c r="M12902" t="s">
        <v>598</v>
      </c>
      <c r="N12902" t="s">
        <v>608</v>
      </c>
      <c r="O12902" s="37" t="str">
        <f t="shared" si="1008"/>
        <v>Cash Payment</v>
      </c>
      <c r="P12902">
        <v>1203.24</v>
      </c>
      <c r="Q12902" s="37" t="str">
        <f>IF(P12902&gt;500,"High","low")</f>
        <v>High</v>
      </c>
      <c r="R12902" s="37" t="str">
        <f t="shared" si="1009"/>
        <v>Excellent</v>
      </c>
      <c r="S12902" t="s">
        <v>600</v>
      </c>
    </row>
    <row r="12903" spans="1:19" x14ac:dyDescent="0.2">
      <c r="A12903" t="s">
        <v>13514</v>
      </c>
      <c r="B12903" t="s">
        <v>83</v>
      </c>
      <c r="C12903" t="s">
        <v>617</v>
      </c>
      <c r="D12903">
        <v>4261.78</v>
      </c>
      <c r="E12903" s="37" t="str">
        <f t="shared" si="1005"/>
        <v xml:space="preserve"> </v>
      </c>
      <c r="F12903">
        <v>0.38</v>
      </c>
      <c r="G12903" s="37" t="str">
        <f t="shared" si="1006"/>
        <v>Heavy Discount</v>
      </c>
      <c r="H12903" s="37" t="str">
        <f t="shared" si="1007"/>
        <v>Medium</v>
      </c>
      <c r="I12903">
        <v>4</v>
      </c>
      <c r="J12903" t="str" cm="1">
        <f t="array" ref="J12903">_xlfn.IFS(I12903&lt;=3,"small",I12903&lt;=6,"Medium",I12903&lt;=9,"Large")</f>
        <v>Medium</v>
      </c>
      <c r="K12903" s="36">
        <v>45235</v>
      </c>
      <c r="L12903" s="36">
        <v>45236</v>
      </c>
      <c r="M12903" t="s">
        <v>603</v>
      </c>
      <c r="N12903" t="s">
        <v>604</v>
      </c>
      <c r="O12903" s="37" t="str">
        <f t="shared" si="1008"/>
        <v>Digital Payment</v>
      </c>
      <c r="P12903">
        <v>406.23</v>
      </c>
      <c r="Q12903" s="37" t="str">
        <f>IF(P12903&gt;500,"High","low")</f>
        <v>low</v>
      </c>
      <c r="R12903" s="37" t="str">
        <f t="shared" si="1009"/>
        <v>AVERAGE</v>
      </c>
      <c r="S12903" t="s">
        <v>605</v>
      </c>
    </row>
    <row r="12904" spans="1:19" x14ac:dyDescent="0.2">
      <c r="A12904" t="s">
        <v>13515</v>
      </c>
      <c r="B12904" t="s">
        <v>90</v>
      </c>
      <c r="C12904" t="s">
        <v>614</v>
      </c>
      <c r="D12904">
        <v>2162.5100000000002</v>
      </c>
      <c r="E12904" s="37" t="str">
        <f t="shared" si="1005"/>
        <v xml:space="preserve"> </v>
      </c>
      <c r="F12904">
        <v>0.44</v>
      </c>
      <c r="G12904" s="37" t="str">
        <f t="shared" si="1006"/>
        <v>Heavy Discount</v>
      </c>
      <c r="H12904" s="37" t="str">
        <f t="shared" si="1007"/>
        <v>High</v>
      </c>
      <c r="I12904">
        <v>2</v>
      </c>
      <c r="J12904" t="str" cm="1">
        <f t="array" ref="J12904">_xlfn.IFS(I12904&lt;=3,"small",I12904&lt;=6,"Medium",I12904&lt;=9,"Large")</f>
        <v>small</v>
      </c>
      <c r="K12904" s="36">
        <v>44973</v>
      </c>
      <c r="L12904" s="36">
        <v>44978</v>
      </c>
      <c r="M12904" t="s">
        <v>598</v>
      </c>
      <c r="N12904" t="s">
        <v>599</v>
      </c>
      <c r="O12904" s="37" t="str">
        <f t="shared" si="1008"/>
        <v>Digital Payment</v>
      </c>
      <c r="P12904">
        <v>523.97</v>
      </c>
      <c r="Q12904" s="37" t="str">
        <f>IF(P12904&gt;500,"High","low")</f>
        <v>High</v>
      </c>
      <c r="R12904" s="37" t="str">
        <f t="shared" si="1009"/>
        <v>Good</v>
      </c>
      <c r="S12904" t="s">
        <v>620</v>
      </c>
    </row>
    <row r="12905" spans="1:19" x14ac:dyDescent="0.2">
      <c r="A12905" t="s">
        <v>13516</v>
      </c>
      <c r="B12905" t="s">
        <v>83</v>
      </c>
      <c r="C12905" t="s">
        <v>614</v>
      </c>
      <c r="D12905">
        <v>3975.58</v>
      </c>
      <c r="E12905" s="37" t="str">
        <f t="shared" si="1005"/>
        <v xml:space="preserve"> </v>
      </c>
      <c r="F12905">
        <v>0.33</v>
      </c>
      <c r="G12905" s="37" t="str">
        <f t="shared" si="1006"/>
        <v>Heavy Discount</v>
      </c>
      <c r="H12905" s="37" t="str">
        <f t="shared" si="1007"/>
        <v>Medium</v>
      </c>
      <c r="I12905">
        <v>8</v>
      </c>
      <c r="J12905" t="str" cm="1">
        <f t="array" ref="J12905">_xlfn.IFS(I12905&lt;=3,"small",I12905&lt;=6,"Medium",I12905&lt;=9,"Large")</f>
        <v>Large</v>
      </c>
      <c r="K12905" s="36">
        <v>45057</v>
      </c>
      <c r="L12905" s="36">
        <v>45064</v>
      </c>
      <c r="M12905" t="s">
        <v>612</v>
      </c>
      <c r="N12905" t="s">
        <v>604</v>
      </c>
      <c r="O12905" s="37" t="str">
        <f t="shared" si="1008"/>
        <v>Digital Payment</v>
      </c>
      <c r="P12905">
        <v>354.79</v>
      </c>
      <c r="Q12905" s="37" t="str">
        <f>IF(P12905&gt;500,"High","low")</f>
        <v>low</v>
      </c>
      <c r="R12905" s="37" t="str">
        <f t="shared" si="1009"/>
        <v>AVERAGE</v>
      </c>
      <c r="S12905" t="s">
        <v>609</v>
      </c>
    </row>
    <row r="12906" spans="1:19" x14ac:dyDescent="0.2">
      <c r="A12906" t="s">
        <v>13517</v>
      </c>
      <c r="B12906" t="s">
        <v>75</v>
      </c>
      <c r="C12906" t="s">
        <v>602</v>
      </c>
      <c r="D12906">
        <v>4266.13</v>
      </c>
      <c r="E12906" s="37" t="str">
        <f t="shared" si="1005"/>
        <v xml:space="preserve"> </v>
      </c>
      <c r="F12906">
        <v>0.23</v>
      </c>
      <c r="G12906" s="37" t="str">
        <f t="shared" si="1006"/>
        <v>Normal Discount</v>
      </c>
      <c r="H12906" s="37" t="str">
        <f t="shared" si="1007"/>
        <v>Medium</v>
      </c>
      <c r="I12906">
        <v>7</v>
      </c>
      <c r="J12906" t="str" cm="1">
        <f t="array" ref="J12906">_xlfn.IFS(I12906&lt;=3,"small",I12906&lt;=6,"Medium",I12906&lt;=9,"Large")</f>
        <v>Large</v>
      </c>
      <c r="K12906" s="36">
        <v>45014</v>
      </c>
      <c r="L12906" s="36">
        <v>45015</v>
      </c>
      <c r="M12906" t="s">
        <v>603</v>
      </c>
      <c r="N12906" t="s">
        <v>599</v>
      </c>
      <c r="O12906" s="37" t="str">
        <f t="shared" si="1008"/>
        <v>Digital Payment</v>
      </c>
      <c r="P12906">
        <v>664.29</v>
      </c>
      <c r="Q12906" s="37" t="str">
        <f>IF(P12906&gt;500,"High","low")</f>
        <v>High</v>
      </c>
      <c r="R12906" s="37" t="str">
        <f t="shared" si="1009"/>
        <v>Good</v>
      </c>
      <c r="S12906" t="s">
        <v>628</v>
      </c>
    </row>
    <row r="12907" spans="1:19" x14ac:dyDescent="0.2">
      <c r="A12907" t="s">
        <v>13518</v>
      </c>
      <c r="B12907" t="s">
        <v>83</v>
      </c>
      <c r="C12907" t="s">
        <v>617</v>
      </c>
      <c r="D12907">
        <v>2351.7399999999998</v>
      </c>
      <c r="E12907" s="37" t="str">
        <f t="shared" si="1005"/>
        <v xml:space="preserve"> </v>
      </c>
      <c r="F12907">
        <v>0.08</v>
      </c>
      <c r="G12907" s="37" t="str">
        <f t="shared" si="1006"/>
        <v>Normal Discount</v>
      </c>
      <c r="H12907" s="37" t="str">
        <f t="shared" si="1007"/>
        <v>Low</v>
      </c>
      <c r="I12907">
        <v>3</v>
      </c>
      <c r="J12907" t="str" cm="1">
        <f t="array" ref="J12907">_xlfn.IFS(I12907&lt;=3,"small",I12907&lt;=6,"Medium",I12907&lt;=9,"Large")</f>
        <v>small</v>
      </c>
      <c r="K12907" s="36">
        <v>45268</v>
      </c>
      <c r="L12907" s="36">
        <v>45272</v>
      </c>
      <c r="M12907" t="s">
        <v>603</v>
      </c>
      <c r="N12907" t="s">
        <v>599</v>
      </c>
      <c r="O12907" s="37" t="str">
        <f t="shared" si="1008"/>
        <v>Digital Payment</v>
      </c>
      <c r="P12907">
        <v>294.76</v>
      </c>
      <c r="Q12907" s="37" t="str">
        <f>IF(P12907&gt;500,"High","low")</f>
        <v>low</v>
      </c>
      <c r="R12907" s="37" t="str">
        <f t="shared" si="1009"/>
        <v>AVERAGE</v>
      </c>
      <c r="S12907" t="s">
        <v>600</v>
      </c>
    </row>
    <row r="12908" spans="1:19" x14ac:dyDescent="0.2">
      <c r="A12908" t="s">
        <v>13519</v>
      </c>
      <c r="B12908" t="s">
        <v>83</v>
      </c>
      <c r="C12908" t="s">
        <v>607</v>
      </c>
      <c r="D12908">
        <v>1661.82</v>
      </c>
      <c r="E12908" s="37" t="str">
        <f t="shared" si="1005"/>
        <v xml:space="preserve"> </v>
      </c>
      <c r="F12908">
        <v>0.06</v>
      </c>
      <c r="G12908" s="37" t="str">
        <f t="shared" si="1006"/>
        <v>Normal Discount</v>
      </c>
      <c r="H12908" s="37" t="str">
        <f t="shared" si="1007"/>
        <v>Low</v>
      </c>
      <c r="I12908">
        <v>5</v>
      </c>
      <c r="J12908" t="str" cm="1">
        <f t="array" ref="J12908">_xlfn.IFS(I12908&lt;=3,"small",I12908&lt;=6,"Medium",I12908&lt;=9,"Large")</f>
        <v>Medium</v>
      </c>
      <c r="K12908" s="36">
        <v>44988</v>
      </c>
      <c r="L12908" s="36">
        <v>44990</v>
      </c>
      <c r="M12908" t="s">
        <v>598</v>
      </c>
      <c r="N12908" t="s">
        <v>608</v>
      </c>
      <c r="O12908" s="37" t="str">
        <f t="shared" si="1008"/>
        <v>Cash Payment</v>
      </c>
      <c r="P12908">
        <v>202.45</v>
      </c>
      <c r="Q12908" s="37" t="str">
        <f>IF(P12908&gt;500,"High","low")</f>
        <v>low</v>
      </c>
      <c r="R12908" s="37" t="str">
        <f t="shared" si="1009"/>
        <v>AVERAGE</v>
      </c>
      <c r="S12908" t="s">
        <v>628</v>
      </c>
    </row>
    <row r="12909" spans="1:19" x14ac:dyDescent="0.2">
      <c r="A12909" t="s">
        <v>13520</v>
      </c>
      <c r="B12909" t="s">
        <v>90</v>
      </c>
      <c r="C12909" t="s">
        <v>614</v>
      </c>
      <c r="D12909">
        <v>3539.63</v>
      </c>
      <c r="E12909" s="37" t="str">
        <f t="shared" si="1005"/>
        <v xml:space="preserve"> </v>
      </c>
      <c r="F12909">
        <v>0.24</v>
      </c>
      <c r="G12909" s="37" t="str">
        <f t="shared" si="1006"/>
        <v>Normal Discount</v>
      </c>
      <c r="H12909" s="37" t="str">
        <f t="shared" si="1007"/>
        <v>Medium</v>
      </c>
      <c r="I12909">
        <v>1</v>
      </c>
      <c r="J12909" t="str" cm="1">
        <f t="array" ref="J12909">_xlfn.IFS(I12909&lt;=3,"small",I12909&lt;=6,"Medium",I12909&lt;=9,"Large")</f>
        <v>small</v>
      </c>
      <c r="K12909" s="36">
        <v>45055</v>
      </c>
      <c r="L12909" s="36">
        <v>45057</v>
      </c>
      <c r="M12909" t="s">
        <v>603</v>
      </c>
      <c r="N12909" t="s">
        <v>599</v>
      </c>
      <c r="O12909" s="37" t="str">
        <f t="shared" si="1008"/>
        <v>Digital Payment</v>
      </c>
      <c r="P12909">
        <v>447.78</v>
      </c>
      <c r="Q12909" s="37" t="str">
        <f>IF(P12909&gt;500,"High","low")</f>
        <v>low</v>
      </c>
      <c r="R12909" s="37" t="str">
        <f t="shared" si="1009"/>
        <v>AVERAGE</v>
      </c>
      <c r="S12909" t="s">
        <v>620</v>
      </c>
    </row>
    <row r="12910" spans="1:19" x14ac:dyDescent="0.2">
      <c r="A12910" t="s">
        <v>13521</v>
      </c>
      <c r="B12910" t="s">
        <v>83</v>
      </c>
      <c r="C12910" t="s">
        <v>607</v>
      </c>
      <c r="D12910">
        <v>4531.8999999999996</v>
      </c>
      <c r="E12910" s="37" t="str">
        <f t="shared" si="1005"/>
        <v>Excellent Order</v>
      </c>
      <c r="F12910">
        <v>0.42</v>
      </c>
      <c r="G12910" s="37" t="str">
        <f t="shared" si="1006"/>
        <v>Heavy Discount</v>
      </c>
      <c r="H12910" s="37" t="str">
        <f t="shared" si="1007"/>
        <v>High</v>
      </c>
      <c r="I12910">
        <v>6</v>
      </c>
      <c r="J12910" t="str" cm="1">
        <f t="array" ref="J12910">_xlfn.IFS(I12910&lt;=3,"small",I12910&lt;=6,"Medium",I12910&lt;=9,"Large")</f>
        <v>Medium</v>
      </c>
      <c r="K12910" s="36">
        <v>44965</v>
      </c>
      <c r="L12910" s="36">
        <v>44966</v>
      </c>
      <c r="M12910" t="s">
        <v>598</v>
      </c>
      <c r="N12910" t="s">
        <v>599</v>
      </c>
      <c r="O12910" s="37" t="str">
        <f t="shared" si="1008"/>
        <v>Digital Payment</v>
      </c>
      <c r="P12910">
        <v>1161.71</v>
      </c>
      <c r="Q12910" s="37" t="str">
        <f>IF(P12910&gt;500,"High","low")</f>
        <v>High</v>
      </c>
      <c r="R12910" s="37" t="str">
        <f t="shared" si="1009"/>
        <v>Excellent</v>
      </c>
      <c r="S12910" t="s">
        <v>600</v>
      </c>
    </row>
    <row r="12911" spans="1:19" x14ac:dyDescent="0.2">
      <c r="A12911" t="s">
        <v>13522</v>
      </c>
      <c r="B12911" t="s">
        <v>67</v>
      </c>
      <c r="C12911" t="s">
        <v>607</v>
      </c>
      <c r="D12911">
        <v>4863.55</v>
      </c>
      <c r="E12911" s="37" t="str">
        <f t="shared" si="1005"/>
        <v xml:space="preserve"> </v>
      </c>
      <c r="F12911">
        <v>0.38</v>
      </c>
      <c r="G12911" s="37" t="str">
        <f t="shared" si="1006"/>
        <v>Heavy Discount</v>
      </c>
      <c r="H12911" s="37" t="str">
        <f t="shared" si="1007"/>
        <v>Medium</v>
      </c>
      <c r="I12911">
        <v>6</v>
      </c>
      <c r="J12911" t="str" cm="1">
        <f t="array" ref="J12911">_xlfn.IFS(I12911&lt;=3,"small",I12911&lt;=6,"Medium",I12911&lt;=9,"Large")</f>
        <v>Medium</v>
      </c>
      <c r="K12911" s="36">
        <v>45087</v>
      </c>
      <c r="L12911" s="36">
        <v>45090</v>
      </c>
      <c r="M12911" t="s">
        <v>598</v>
      </c>
      <c r="N12911" t="s">
        <v>608</v>
      </c>
      <c r="O12911" s="37" t="str">
        <f t="shared" si="1008"/>
        <v>Cash Payment</v>
      </c>
      <c r="P12911">
        <v>525.16</v>
      </c>
      <c r="Q12911" s="37" t="str">
        <f>IF(P12911&gt;500,"High","low")</f>
        <v>High</v>
      </c>
      <c r="R12911" s="37" t="str">
        <f t="shared" si="1009"/>
        <v>Good</v>
      </c>
      <c r="S12911" t="s">
        <v>600</v>
      </c>
    </row>
    <row r="12912" spans="1:19" x14ac:dyDescent="0.2">
      <c r="A12912" t="s">
        <v>13523</v>
      </c>
      <c r="B12912" t="s">
        <v>90</v>
      </c>
      <c r="C12912" t="s">
        <v>597</v>
      </c>
      <c r="D12912">
        <v>1522.1</v>
      </c>
      <c r="E12912" s="37" t="str">
        <f t="shared" si="1005"/>
        <v xml:space="preserve"> </v>
      </c>
      <c r="F12912">
        <v>0.44</v>
      </c>
      <c r="G12912" s="37" t="str">
        <f t="shared" si="1006"/>
        <v>Heavy Discount</v>
      </c>
      <c r="H12912" s="37" t="str">
        <f t="shared" si="1007"/>
        <v>High</v>
      </c>
      <c r="I12912">
        <v>5</v>
      </c>
      <c r="J12912" t="str" cm="1">
        <f t="array" ref="J12912">_xlfn.IFS(I12912&lt;=3,"small",I12912&lt;=6,"Medium",I12912&lt;=9,"Large")</f>
        <v>Medium</v>
      </c>
      <c r="K12912" s="36">
        <v>45600</v>
      </c>
      <c r="L12912" s="36">
        <v>45606</v>
      </c>
      <c r="M12912" t="s">
        <v>612</v>
      </c>
      <c r="N12912" t="s">
        <v>599</v>
      </c>
      <c r="O12912" s="37" t="str">
        <f t="shared" si="1008"/>
        <v>Digital Payment</v>
      </c>
      <c r="P12912">
        <v>161.81</v>
      </c>
      <c r="Q12912" s="37" t="str">
        <f>IF(P12912&gt;500,"High","low")</f>
        <v>low</v>
      </c>
      <c r="R12912" s="37" t="str">
        <f t="shared" si="1009"/>
        <v>AVERAGE</v>
      </c>
      <c r="S12912" t="s">
        <v>628</v>
      </c>
    </row>
    <row r="12913" spans="1:19" x14ac:dyDescent="0.2">
      <c r="A12913" t="s">
        <v>13524</v>
      </c>
      <c r="B12913" t="s">
        <v>83</v>
      </c>
      <c r="C12913" t="s">
        <v>597</v>
      </c>
      <c r="D12913">
        <v>4785.24</v>
      </c>
      <c r="E12913" s="37" t="str">
        <f t="shared" si="1005"/>
        <v xml:space="preserve"> </v>
      </c>
      <c r="F12913">
        <v>0.41</v>
      </c>
      <c r="G12913" s="37" t="str">
        <f t="shared" si="1006"/>
        <v>Heavy Discount</v>
      </c>
      <c r="H12913" s="37" t="str">
        <f t="shared" si="1007"/>
        <v>High</v>
      </c>
      <c r="I12913">
        <v>9</v>
      </c>
      <c r="J12913" t="str" cm="1">
        <f t="array" ref="J12913">_xlfn.IFS(I12913&lt;=3,"small",I12913&lt;=6,"Medium",I12913&lt;=9,"Large")</f>
        <v>Large</v>
      </c>
      <c r="K12913" s="36">
        <v>44975</v>
      </c>
      <c r="L12913" s="36">
        <v>44982</v>
      </c>
      <c r="M12913" t="s">
        <v>603</v>
      </c>
      <c r="N12913" t="s">
        <v>608</v>
      </c>
      <c r="O12913" s="37" t="str">
        <f t="shared" si="1008"/>
        <v>Cash Payment</v>
      </c>
      <c r="P12913">
        <v>636.92999999999995</v>
      </c>
      <c r="Q12913" s="37" t="str">
        <f>IF(P12913&gt;500,"High","low")</f>
        <v>High</v>
      </c>
      <c r="R12913" s="37" t="str">
        <f t="shared" si="1009"/>
        <v>Good</v>
      </c>
      <c r="S12913" t="s">
        <v>609</v>
      </c>
    </row>
    <row r="12914" spans="1:19" x14ac:dyDescent="0.2">
      <c r="A12914" t="s">
        <v>13525</v>
      </c>
      <c r="B12914" t="s">
        <v>75</v>
      </c>
      <c r="C12914" t="s">
        <v>614</v>
      </c>
      <c r="D12914">
        <v>2546.48</v>
      </c>
      <c r="E12914" s="37" t="str">
        <f t="shared" si="1005"/>
        <v xml:space="preserve"> </v>
      </c>
      <c r="F12914">
        <v>0.1</v>
      </c>
      <c r="G12914" s="37" t="str">
        <f t="shared" si="1006"/>
        <v>Normal Discount</v>
      </c>
      <c r="H12914" s="37" t="str">
        <f t="shared" si="1007"/>
        <v>Low</v>
      </c>
      <c r="I12914">
        <v>4</v>
      </c>
      <c r="J12914" t="str" cm="1">
        <f t="array" ref="J12914">_xlfn.IFS(I12914&lt;=3,"small",I12914&lt;=6,"Medium",I12914&lt;=9,"Large")</f>
        <v>Medium</v>
      </c>
      <c r="K12914" s="36">
        <v>45563</v>
      </c>
      <c r="L12914" s="36">
        <v>45565</v>
      </c>
      <c r="M12914" t="s">
        <v>598</v>
      </c>
      <c r="N12914" t="s">
        <v>604</v>
      </c>
      <c r="O12914" s="37" t="str">
        <f t="shared" si="1008"/>
        <v>Digital Payment</v>
      </c>
      <c r="P12914">
        <v>541.1</v>
      </c>
      <c r="Q12914" s="37" t="str">
        <f>IF(P12914&gt;500,"High","low")</f>
        <v>High</v>
      </c>
      <c r="R12914" s="37" t="str">
        <f t="shared" si="1009"/>
        <v>Good</v>
      </c>
      <c r="S12914" t="s">
        <v>628</v>
      </c>
    </row>
    <row r="12915" spans="1:19" x14ac:dyDescent="0.2">
      <c r="A12915" t="s">
        <v>13526</v>
      </c>
      <c r="B12915" t="s">
        <v>75</v>
      </c>
      <c r="C12915" t="s">
        <v>607</v>
      </c>
      <c r="D12915">
        <v>1599.57</v>
      </c>
      <c r="E12915" s="37" t="str">
        <f t="shared" si="1005"/>
        <v xml:space="preserve"> </v>
      </c>
      <c r="F12915">
        <v>0.1</v>
      </c>
      <c r="G12915" s="37" t="str">
        <f t="shared" si="1006"/>
        <v>Normal Discount</v>
      </c>
      <c r="H12915" s="37" t="str">
        <f t="shared" si="1007"/>
        <v>Low</v>
      </c>
      <c r="I12915">
        <v>2</v>
      </c>
      <c r="J12915" t="str" cm="1">
        <f t="array" ref="J12915">_xlfn.IFS(I12915&lt;=3,"small",I12915&lt;=6,"Medium",I12915&lt;=9,"Large")</f>
        <v>small</v>
      </c>
      <c r="K12915" s="36">
        <v>45231</v>
      </c>
      <c r="L12915" s="36">
        <v>45232</v>
      </c>
      <c r="M12915" t="s">
        <v>598</v>
      </c>
      <c r="N12915" t="s">
        <v>604</v>
      </c>
      <c r="O12915" s="37" t="str">
        <f t="shared" si="1008"/>
        <v>Digital Payment</v>
      </c>
      <c r="P12915">
        <v>301.52999999999997</v>
      </c>
      <c r="Q12915" s="37" t="str">
        <f>IF(P12915&gt;500,"High","low")</f>
        <v>low</v>
      </c>
      <c r="R12915" s="37" t="str">
        <f t="shared" si="1009"/>
        <v>AVERAGE</v>
      </c>
      <c r="S12915" t="s">
        <v>620</v>
      </c>
    </row>
    <row r="12916" spans="1:19" x14ac:dyDescent="0.2">
      <c r="A12916" t="s">
        <v>13527</v>
      </c>
      <c r="B12916" t="s">
        <v>90</v>
      </c>
      <c r="C12916" t="s">
        <v>597</v>
      </c>
      <c r="D12916">
        <v>4943.1499999999996</v>
      </c>
      <c r="E12916" s="37" t="str">
        <f t="shared" si="1005"/>
        <v xml:space="preserve"> </v>
      </c>
      <c r="F12916">
        <v>0.23</v>
      </c>
      <c r="G12916" s="37" t="str">
        <f t="shared" si="1006"/>
        <v>Normal Discount</v>
      </c>
      <c r="H12916" s="37" t="str">
        <f t="shared" si="1007"/>
        <v>Medium</v>
      </c>
      <c r="I12916">
        <v>7</v>
      </c>
      <c r="J12916" t="str" cm="1">
        <f t="array" ref="J12916">_xlfn.IFS(I12916&lt;=3,"small",I12916&lt;=6,"Medium",I12916&lt;=9,"Large")</f>
        <v>Large</v>
      </c>
      <c r="K12916" s="36">
        <v>45320</v>
      </c>
      <c r="L12916" s="36">
        <v>45322</v>
      </c>
      <c r="M12916" t="s">
        <v>598</v>
      </c>
      <c r="N12916" t="s">
        <v>608</v>
      </c>
      <c r="O12916" s="37" t="str">
        <f t="shared" si="1008"/>
        <v>Cash Payment</v>
      </c>
      <c r="P12916">
        <v>772</v>
      </c>
      <c r="Q12916" s="37" t="str">
        <f>IF(P12916&gt;500,"High","low")</f>
        <v>High</v>
      </c>
      <c r="R12916" s="37" t="str">
        <f t="shared" si="1009"/>
        <v>Good</v>
      </c>
      <c r="S12916" t="s">
        <v>609</v>
      </c>
    </row>
    <row r="12917" spans="1:19" x14ac:dyDescent="0.2">
      <c r="A12917" t="s">
        <v>13528</v>
      </c>
      <c r="B12917" t="s">
        <v>90</v>
      </c>
      <c r="C12917" t="s">
        <v>617</v>
      </c>
      <c r="D12917">
        <v>4401.26</v>
      </c>
      <c r="E12917" s="37" t="str">
        <f t="shared" si="1005"/>
        <v>Excellent Order</v>
      </c>
      <c r="F12917">
        <v>0.1</v>
      </c>
      <c r="G12917" s="37" t="str">
        <f t="shared" si="1006"/>
        <v>Normal Discount</v>
      </c>
      <c r="H12917" s="37" t="str">
        <f t="shared" si="1007"/>
        <v>Low</v>
      </c>
      <c r="I12917">
        <v>5</v>
      </c>
      <c r="J12917" t="str" cm="1">
        <f t="array" ref="J12917">_xlfn.IFS(I12917&lt;=3,"small",I12917&lt;=6,"Medium",I12917&lt;=9,"Large")</f>
        <v>Medium</v>
      </c>
      <c r="K12917" s="36">
        <v>45278</v>
      </c>
      <c r="L12917" s="36">
        <v>45283</v>
      </c>
      <c r="M12917" t="s">
        <v>598</v>
      </c>
      <c r="N12917" t="s">
        <v>599</v>
      </c>
      <c r="O12917" s="37" t="str">
        <f t="shared" si="1008"/>
        <v>Digital Payment</v>
      </c>
      <c r="P12917">
        <v>1254</v>
      </c>
      <c r="Q12917" s="37" t="str">
        <f>IF(P12917&gt;500,"High","low")</f>
        <v>High</v>
      </c>
      <c r="R12917" s="37" t="str">
        <f t="shared" si="1009"/>
        <v>Excellent</v>
      </c>
      <c r="S12917" t="s">
        <v>628</v>
      </c>
    </row>
    <row r="12918" spans="1:19" x14ac:dyDescent="0.2">
      <c r="A12918" t="s">
        <v>13529</v>
      </c>
      <c r="B12918" t="s">
        <v>83</v>
      </c>
      <c r="C12918" t="s">
        <v>617</v>
      </c>
      <c r="D12918">
        <v>3492.84</v>
      </c>
      <c r="E12918" s="37" t="str">
        <f t="shared" si="1005"/>
        <v xml:space="preserve"> </v>
      </c>
      <c r="F12918">
        <v>0.09</v>
      </c>
      <c r="G12918" s="37" t="str">
        <f t="shared" si="1006"/>
        <v>Normal Discount</v>
      </c>
      <c r="H12918" s="37" t="str">
        <f t="shared" si="1007"/>
        <v>Low</v>
      </c>
      <c r="I12918">
        <v>7</v>
      </c>
      <c r="J12918" t="str" cm="1">
        <f t="array" ref="J12918">_xlfn.IFS(I12918&lt;=3,"small",I12918&lt;=6,"Medium",I12918&lt;=9,"Large")</f>
        <v>Large</v>
      </c>
      <c r="K12918" s="36">
        <v>44997</v>
      </c>
      <c r="L12918" s="36">
        <v>44998</v>
      </c>
      <c r="M12918" t="s">
        <v>612</v>
      </c>
      <c r="N12918" t="s">
        <v>604</v>
      </c>
      <c r="O12918" s="37" t="str">
        <f t="shared" si="1008"/>
        <v>Digital Payment</v>
      </c>
      <c r="P12918">
        <v>324.7</v>
      </c>
      <c r="Q12918" s="37" t="str">
        <f>IF(P12918&gt;500,"High","low")</f>
        <v>low</v>
      </c>
      <c r="R12918" s="37" t="str">
        <f t="shared" si="1009"/>
        <v>AVERAGE</v>
      </c>
      <c r="S12918" t="s">
        <v>615</v>
      </c>
    </row>
    <row r="12919" spans="1:19" x14ac:dyDescent="0.2">
      <c r="A12919" t="s">
        <v>13530</v>
      </c>
      <c r="B12919" t="s">
        <v>67</v>
      </c>
      <c r="C12919" t="s">
        <v>617</v>
      </c>
      <c r="D12919">
        <v>4485.22</v>
      </c>
      <c r="E12919" s="37" t="str">
        <f t="shared" si="1005"/>
        <v xml:space="preserve"> </v>
      </c>
      <c r="F12919">
        <v>0.13</v>
      </c>
      <c r="G12919" s="37" t="str">
        <f t="shared" si="1006"/>
        <v>Normal Discount</v>
      </c>
      <c r="H12919" s="37" t="str">
        <f t="shared" si="1007"/>
        <v>Low</v>
      </c>
      <c r="I12919">
        <v>7</v>
      </c>
      <c r="J12919" t="str" cm="1">
        <f t="array" ref="J12919">_xlfn.IFS(I12919&lt;=3,"small",I12919&lt;=6,"Medium",I12919&lt;=9,"Large")</f>
        <v>Large</v>
      </c>
      <c r="K12919" s="36">
        <v>45386</v>
      </c>
      <c r="L12919" s="36">
        <v>45387</v>
      </c>
      <c r="M12919" t="s">
        <v>603</v>
      </c>
      <c r="N12919" t="s">
        <v>604</v>
      </c>
      <c r="O12919" s="37" t="str">
        <f t="shared" si="1008"/>
        <v>Digital Payment</v>
      </c>
      <c r="P12919">
        <v>359.23</v>
      </c>
      <c r="Q12919" s="37" t="str">
        <f>IF(P12919&gt;500,"High","low")</f>
        <v>low</v>
      </c>
      <c r="R12919" s="37" t="str">
        <f t="shared" si="1009"/>
        <v>AVERAGE</v>
      </c>
      <c r="S12919" t="s">
        <v>615</v>
      </c>
    </row>
    <row r="12920" spans="1:19" x14ac:dyDescent="0.2">
      <c r="A12920" t="s">
        <v>13531</v>
      </c>
      <c r="B12920" t="s">
        <v>83</v>
      </c>
      <c r="C12920" t="s">
        <v>617</v>
      </c>
      <c r="D12920">
        <v>3439.29</v>
      </c>
      <c r="E12920" s="37" t="str">
        <f t="shared" si="1005"/>
        <v xml:space="preserve"> </v>
      </c>
      <c r="F12920">
        <v>0.01</v>
      </c>
      <c r="G12920" s="37" t="str">
        <f t="shared" si="1006"/>
        <v>Normal Discount</v>
      </c>
      <c r="H12920" s="37" t="str">
        <f t="shared" si="1007"/>
        <v>Low</v>
      </c>
      <c r="I12920">
        <v>7</v>
      </c>
      <c r="J12920" t="str" cm="1">
        <f t="array" ref="J12920">_xlfn.IFS(I12920&lt;=3,"small",I12920&lt;=6,"Medium",I12920&lt;=9,"Large")</f>
        <v>Large</v>
      </c>
      <c r="K12920" s="36">
        <v>44965</v>
      </c>
      <c r="L12920" s="36">
        <v>44967</v>
      </c>
      <c r="M12920" t="s">
        <v>603</v>
      </c>
      <c r="N12920" t="s">
        <v>599</v>
      </c>
      <c r="O12920" s="37" t="str">
        <f t="shared" si="1008"/>
        <v>Digital Payment</v>
      </c>
      <c r="P12920">
        <v>323.83</v>
      </c>
      <c r="Q12920" s="37" t="str">
        <f>IF(P12920&gt;500,"High","low")</f>
        <v>low</v>
      </c>
      <c r="R12920" s="37" t="str">
        <f t="shared" si="1009"/>
        <v>AVERAGE</v>
      </c>
      <c r="S12920" t="s">
        <v>615</v>
      </c>
    </row>
    <row r="12921" spans="1:19" x14ac:dyDescent="0.2">
      <c r="A12921" t="s">
        <v>13532</v>
      </c>
      <c r="B12921" t="s">
        <v>75</v>
      </c>
      <c r="C12921" t="s">
        <v>607</v>
      </c>
      <c r="D12921">
        <v>2257.98</v>
      </c>
      <c r="E12921" s="37" t="str">
        <f t="shared" si="1005"/>
        <v xml:space="preserve"> </v>
      </c>
      <c r="F12921">
        <v>0.28999999999999998</v>
      </c>
      <c r="G12921" s="37" t="str">
        <f t="shared" si="1006"/>
        <v>Normal Discount</v>
      </c>
      <c r="H12921" s="37" t="str">
        <f t="shared" si="1007"/>
        <v>Medium</v>
      </c>
      <c r="I12921">
        <v>3</v>
      </c>
      <c r="J12921" t="str" cm="1">
        <f t="array" ref="J12921">_xlfn.IFS(I12921&lt;=3,"small",I12921&lt;=6,"Medium",I12921&lt;=9,"Large")</f>
        <v>small</v>
      </c>
      <c r="K12921" s="36">
        <v>45026</v>
      </c>
      <c r="L12921" s="36">
        <v>45030</v>
      </c>
      <c r="M12921" t="s">
        <v>612</v>
      </c>
      <c r="N12921" t="s">
        <v>599</v>
      </c>
      <c r="O12921" s="37" t="str">
        <f t="shared" si="1008"/>
        <v>Digital Payment</v>
      </c>
      <c r="P12921">
        <v>455.07</v>
      </c>
      <c r="Q12921" s="37" t="str">
        <f>IF(P12921&gt;500,"High","low")</f>
        <v>low</v>
      </c>
      <c r="R12921" s="37" t="str">
        <f t="shared" si="1009"/>
        <v>AVERAGE</v>
      </c>
      <c r="S12921" t="s">
        <v>620</v>
      </c>
    </row>
    <row r="12922" spans="1:19" x14ac:dyDescent="0.2">
      <c r="A12922" t="s">
        <v>13533</v>
      </c>
      <c r="B12922" t="s">
        <v>67</v>
      </c>
      <c r="C12922" t="s">
        <v>617</v>
      </c>
      <c r="D12922">
        <v>4745.4399999999996</v>
      </c>
      <c r="E12922" s="37" t="str">
        <f t="shared" si="1005"/>
        <v>Excellent Order</v>
      </c>
      <c r="F12922">
        <v>0.2</v>
      </c>
      <c r="G12922" s="37" t="str">
        <f t="shared" si="1006"/>
        <v>Normal Discount</v>
      </c>
      <c r="H12922" s="37" t="str">
        <f t="shared" si="1007"/>
        <v>Medium</v>
      </c>
      <c r="I12922">
        <v>5</v>
      </c>
      <c r="J12922" t="str" cm="1">
        <f t="array" ref="J12922">_xlfn.IFS(I12922&lt;=3,"small",I12922&lt;=6,"Medium",I12922&lt;=9,"Large")</f>
        <v>Medium</v>
      </c>
      <c r="K12922" s="36">
        <v>45401</v>
      </c>
      <c r="L12922" s="36">
        <v>45408</v>
      </c>
      <c r="M12922" t="s">
        <v>603</v>
      </c>
      <c r="N12922" t="s">
        <v>608</v>
      </c>
      <c r="O12922" s="37" t="str">
        <f t="shared" si="1008"/>
        <v>Cash Payment</v>
      </c>
      <c r="P12922">
        <v>1172.99</v>
      </c>
      <c r="Q12922" s="37" t="str">
        <f>IF(P12922&gt;500,"High","low")</f>
        <v>High</v>
      </c>
      <c r="R12922" s="37" t="str">
        <f t="shared" si="1009"/>
        <v>Excellent</v>
      </c>
      <c r="S12922" t="s">
        <v>620</v>
      </c>
    </row>
    <row r="12923" spans="1:19" x14ac:dyDescent="0.2">
      <c r="A12923" t="s">
        <v>13534</v>
      </c>
      <c r="B12923" t="s">
        <v>67</v>
      </c>
      <c r="C12923" t="s">
        <v>607</v>
      </c>
      <c r="D12923">
        <v>4819.91</v>
      </c>
      <c r="E12923" s="37" t="str">
        <f t="shared" si="1005"/>
        <v>Excellent Order</v>
      </c>
      <c r="F12923">
        <v>0.12</v>
      </c>
      <c r="G12923" s="37" t="str">
        <f t="shared" si="1006"/>
        <v>Normal Discount</v>
      </c>
      <c r="H12923" s="37" t="str">
        <f t="shared" si="1007"/>
        <v>Low</v>
      </c>
      <c r="I12923">
        <v>1</v>
      </c>
      <c r="J12923" t="str" cm="1">
        <f t="array" ref="J12923">_xlfn.IFS(I12923&lt;=3,"small",I12923&lt;=6,"Medium",I12923&lt;=9,"Large")</f>
        <v>small</v>
      </c>
      <c r="K12923" s="36">
        <v>45439</v>
      </c>
      <c r="L12923" s="36">
        <v>45445</v>
      </c>
      <c r="M12923" t="s">
        <v>612</v>
      </c>
      <c r="N12923" t="s">
        <v>608</v>
      </c>
      <c r="O12923" s="37" t="str">
        <f t="shared" si="1008"/>
        <v>Cash Payment</v>
      </c>
      <c r="P12923">
        <v>1138.99</v>
      </c>
      <c r="Q12923" s="37" t="str">
        <f>IF(P12923&gt;500,"High","low")</f>
        <v>High</v>
      </c>
      <c r="R12923" s="37" t="str">
        <f t="shared" si="1009"/>
        <v>Excellent</v>
      </c>
      <c r="S12923" t="s">
        <v>628</v>
      </c>
    </row>
    <row r="12924" spans="1:19" x14ac:dyDescent="0.2">
      <c r="A12924" t="s">
        <v>13535</v>
      </c>
      <c r="B12924" t="s">
        <v>67</v>
      </c>
      <c r="C12924" t="s">
        <v>614</v>
      </c>
      <c r="D12924">
        <v>1639.46</v>
      </c>
      <c r="E12924" s="37" t="str">
        <f t="shared" si="1005"/>
        <v xml:space="preserve"> </v>
      </c>
      <c r="F12924">
        <v>7.0000000000000007E-2</v>
      </c>
      <c r="G12924" s="37" t="str">
        <f t="shared" si="1006"/>
        <v>Normal Discount</v>
      </c>
      <c r="H12924" s="37" t="str">
        <f t="shared" si="1007"/>
        <v>Low</v>
      </c>
      <c r="I12924">
        <v>6</v>
      </c>
      <c r="J12924" t="str" cm="1">
        <f t="array" ref="J12924">_xlfn.IFS(I12924&lt;=3,"small",I12924&lt;=6,"Medium",I12924&lt;=9,"Large")</f>
        <v>Medium</v>
      </c>
      <c r="K12924" s="36">
        <v>45612</v>
      </c>
      <c r="L12924" s="36">
        <v>45619</v>
      </c>
      <c r="M12924" t="s">
        <v>603</v>
      </c>
      <c r="N12924" t="s">
        <v>604</v>
      </c>
      <c r="O12924" s="37" t="str">
        <f t="shared" si="1008"/>
        <v>Digital Payment</v>
      </c>
      <c r="P12924">
        <v>455.16</v>
      </c>
      <c r="Q12924" s="37" t="str">
        <f>IF(P12924&gt;500,"High","low")</f>
        <v>low</v>
      </c>
      <c r="R12924" s="37" t="str">
        <f t="shared" si="1009"/>
        <v>AVERAGE</v>
      </c>
      <c r="S12924" t="s">
        <v>600</v>
      </c>
    </row>
    <row r="12925" spans="1:19" x14ac:dyDescent="0.2">
      <c r="A12925" t="s">
        <v>13536</v>
      </c>
      <c r="B12925" t="s">
        <v>83</v>
      </c>
      <c r="C12925" t="s">
        <v>614</v>
      </c>
      <c r="D12925">
        <v>1836.54</v>
      </c>
      <c r="E12925" s="37" t="str">
        <f t="shared" si="1005"/>
        <v xml:space="preserve"> </v>
      </c>
      <c r="F12925">
        <v>0.23</v>
      </c>
      <c r="G12925" s="37" t="str">
        <f t="shared" si="1006"/>
        <v>Normal Discount</v>
      </c>
      <c r="H12925" s="37" t="str">
        <f t="shared" si="1007"/>
        <v>Medium</v>
      </c>
      <c r="I12925">
        <v>4</v>
      </c>
      <c r="J12925" t="str" cm="1">
        <f t="array" ref="J12925">_xlfn.IFS(I12925&lt;=3,"small",I12925&lt;=6,"Medium",I12925&lt;=9,"Large")</f>
        <v>Medium</v>
      </c>
      <c r="K12925" s="36">
        <v>45602</v>
      </c>
      <c r="L12925" s="36">
        <v>45603</v>
      </c>
      <c r="M12925" t="s">
        <v>598</v>
      </c>
      <c r="N12925" t="s">
        <v>599</v>
      </c>
      <c r="O12925" s="37" t="str">
        <f t="shared" si="1008"/>
        <v>Digital Payment</v>
      </c>
      <c r="P12925">
        <v>428.1</v>
      </c>
      <c r="Q12925" s="37" t="str">
        <f>IF(P12925&gt;500,"High","low")</f>
        <v>low</v>
      </c>
      <c r="R12925" s="37" t="str">
        <f t="shared" si="1009"/>
        <v>AVERAGE</v>
      </c>
      <c r="S12925" t="s">
        <v>609</v>
      </c>
    </row>
    <row r="12926" spans="1:19" x14ac:dyDescent="0.2">
      <c r="A12926" t="s">
        <v>13537</v>
      </c>
      <c r="B12926" t="s">
        <v>75</v>
      </c>
      <c r="C12926" t="s">
        <v>617</v>
      </c>
      <c r="D12926">
        <v>1975.33</v>
      </c>
      <c r="E12926" s="37" t="str">
        <f t="shared" si="1005"/>
        <v xml:space="preserve"> </v>
      </c>
      <c r="F12926">
        <v>0.3</v>
      </c>
      <c r="G12926" s="37" t="str">
        <f t="shared" si="1006"/>
        <v>Normal Discount</v>
      </c>
      <c r="H12926" s="37" t="str">
        <f t="shared" si="1007"/>
        <v>Medium</v>
      </c>
      <c r="I12926">
        <v>2</v>
      </c>
      <c r="J12926" t="str" cm="1">
        <f t="array" ref="J12926">_xlfn.IFS(I12926&lt;=3,"small",I12926&lt;=6,"Medium",I12926&lt;=9,"Large")</f>
        <v>small</v>
      </c>
      <c r="K12926" s="36">
        <v>45610</v>
      </c>
      <c r="L12926" s="36">
        <v>45617</v>
      </c>
      <c r="M12926" t="s">
        <v>612</v>
      </c>
      <c r="N12926" t="s">
        <v>599</v>
      </c>
      <c r="O12926" s="37" t="str">
        <f t="shared" si="1008"/>
        <v>Digital Payment</v>
      </c>
      <c r="P12926">
        <v>592.5</v>
      </c>
      <c r="Q12926" s="37" t="str">
        <f>IF(P12926&gt;500,"High","low")</f>
        <v>High</v>
      </c>
      <c r="R12926" s="37" t="str">
        <f t="shared" si="1009"/>
        <v>Good</v>
      </c>
      <c r="S12926" t="s">
        <v>628</v>
      </c>
    </row>
    <row r="12927" spans="1:19" x14ac:dyDescent="0.2">
      <c r="A12927" t="s">
        <v>13538</v>
      </c>
      <c r="B12927" t="s">
        <v>90</v>
      </c>
      <c r="C12927" t="s">
        <v>617</v>
      </c>
      <c r="D12927">
        <v>4128.5200000000004</v>
      </c>
      <c r="E12927" s="37" t="str">
        <f t="shared" si="1005"/>
        <v xml:space="preserve"> </v>
      </c>
      <c r="F12927">
        <v>0.49</v>
      </c>
      <c r="G12927" s="37" t="str">
        <f t="shared" si="1006"/>
        <v>Heavy Discount</v>
      </c>
      <c r="H12927" s="37" t="str">
        <f t="shared" si="1007"/>
        <v>High</v>
      </c>
      <c r="I12927">
        <v>3</v>
      </c>
      <c r="J12927" t="str" cm="1">
        <f t="array" ref="J12927">_xlfn.IFS(I12927&lt;=3,"small",I12927&lt;=6,"Medium",I12927&lt;=9,"Large")</f>
        <v>small</v>
      </c>
      <c r="K12927" s="36">
        <v>45469</v>
      </c>
      <c r="L12927" s="36">
        <v>45470</v>
      </c>
      <c r="M12927" t="s">
        <v>603</v>
      </c>
      <c r="N12927" t="s">
        <v>599</v>
      </c>
      <c r="O12927" s="37" t="str">
        <f t="shared" si="1008"/>
        <v>Digital Payment</v>
      </c>
      <c r="P12927">
        <v>773.55</v>
      </c>
      <c r="Q12927" s="37" t="str">
        <f>IF(P12927&gt;500,"High","low")</f>
        <v>High</v>
      </c>
      <c r="R12927" s="37" t="str">
        <f t="shared" si="1009"/>
        <v>Good</v>
      </c>
      <c r="S12927" t="s">
        <v>605</v>
      </c>
    </row>
    <row r="12928" spans="1:19" x14ac:dyDescent="0.2">
      <c r="A12928" t="s">
        <v>13539</v>
      </c>
      <c r="B12928" t="s">
        <v>83</v>
      </c>
      <c r="C12928" t="s">
        <v>617</v>
      </c>
      <c r="D12928">
        <v>3976.61</v>
      </c>
      <c r="E12928" s="37" t="str">
        <f t="shared" si="1005"/>
        <v xml:space="preserve"> </v>
      </c>
      <c r="F12928">
        <v>0.13</v>
      </c>
      <c r="G12928" s="37" t="str">
        <f t="shared" si="1006"/>
        <v>Normal Discount</v>
      </c>
      <c r="H12928" s="37" t="str">
        <f t="shared" si="1007"/>
        <v>Low</v>
      </c>
      <c r="I12928">
        <v>3</v>
      </c>
      <c r="J12928" t="str" cm="1">
        <f t="array" ref="J12928">_xlfn.IFS(I12928&lt;=3,"small",I12928&lt;=6,"Medium",I12928&lt;=9,"Large")</f>
        <v>small</v>
      </c>
      <c r="K12928" s="36">
        <v>45023</v>
      </c>
      <c r="L12928" s="36">
        <v>45027</v>
      </c>
      <c r="M12928" t="s">
        <v>598</v>
      </c>
      <c r="N12928" t="s">
        <v>608</v>
      </c>
      <c r="O12928" s="37" t="str">
        <f t="shared" si="1008"/>
        <v>Cash Payment</v>
      </c>
      <c r="P12928">
        <v>1187.8699999999999</v>
      </c>
      <c r="Q12928" s="37" t="str">
        <f>IF(P12928&gt;500,"High","low")</f>
        <v>High</v>
      </c>
      <c r="R12928" s="37" t="str">
        <f t="shared" si="1009"/>
        <v>Excellent</v>
      </c>
      <c r="S12928" t="s">
        <v>615</v>
      </c>
    </row>
    <row r="12929" spans="1:19" x14ac:dyDescent="0.2">
      <c r="A12929" t="s">
        <v>13540</v>
      </c>
      <c r="B12929" t="s">
        <v>90</v>
      </c>
      <c r="C12929" t="s">
        <v>614</v>
      </c>
      <c r="D12929">
        <v>4917.26</v>
      </c>
      <c r="E12929" s="37" t="str">
        <f t="shared" si="1005"/>
        <v>Excellent Order</v>
      </c>
      <c r="F12929">
        <v>0.01</v>
      </c>
      <c r="G12929" s="37" t="str">
        <f t="shared" si="1006"/>
        <v>Normal Discount</v>
      </c>
      <c r="H12929" s="37" t="str">
        <f t="shared" si="1007"/>
        <v>Low</v>
      </c>
      <c r="I12929">
        <v>1</v>
      </c>
      <c r="J12929" t="str" cm="1">
        <f t="array" ref="J12929">_xlfn.IFS(I12929&lt;=3,"small",I12929&lt;=6,"Medium",I12929&lt;=9,"Large")</f>
        <v>small</v>
      </c>
      <c r="K12929" s="36">
        <v>45548</v>
      </c>
      <c r="L12929" s="36">
        <v>45552</v>
      </c>
      <c r="M12929" t="s">
        <v>612</v>
      </c>
      <c r="N12929" t="s">
        <v>608</v>
      </c>
      <c r="O12929" s="37" t="str">
        <f t="shared" si="1008"/>
        <v>Cash Payment</v>
      </c>
      <c r="P12929">
        <v>906.61</v>
      </c>
      <c r="Q12929" s="37" t="str">
        <f>IF(P12929&gt;500,"High","low")</f>
        <v>High</v>
      </c>
      <c r="R12929" s="37" t="str">
        <f t="shared" si="1009"/>
        <v>Good</v>
      </c>
      <c r="S12929" t="s">
        <v>620</v>
      </c>
    </row>
    <row r="12930" spans="1:19" x14ac:dyDescent="0.2">
      <c r="A12930" t="s">
        <v>13541</v>
      </c>
      <c r="B12930" t="s">
        <v>67</v>
      </c>
      <c r="C12930" t="s">
        <v>597</v>
      </c>
      <c r="D12930">
        <v>2379.5500000000002</v>
      </c>
      <c r="E12930" s="37" t="str">
        <f t="shared" si="1005"/>
        <v xml:space="preserve"> </v>
      </c>
      <c r="F12930">
        <v>0.37</v>
      </c>
      <c r="G12930" s="37" t="str">
        <f t="shared" si="1006"/>
        <v>Heavy Discount</v>
      </c>
      <c r="H12930" s="37" t="str">
        <f t="shared" si="1007"/>
        <v>Medium</v>
      </c>
      <c r="I12930">
        <v>7</v>
      </c>
      <c r="J12930" t="str" cm="1">
        <f t="array" ref="J12930">_xlfn.IFS(I12930&lt;=3,"small",I12930&lt;=6,"Medium",I12930&lt;=9,"Large")</f>
        <v>Large</v>
      </c>
      <c r="K12930" s="36">
        <v>45624</v>
      </c>
      <c r="L12930" s="36">
        <v>45628</v>
      </c>
      <c r="M12930" t="s">
        <v>598</v>
      </c>
      <c r="N12930" t="s">
        <v>608</v>
      </c>
      <c r="O12930" s="37" t="str">
        <f t="shared" si="1008"/>
        <v>Cash Payment</v>
      </c>
      <c r="P12930">
        <v>166.99</v>
      </c>
      <c r="Q12930" s="37" t="str">
        <f>IF(P12930&gt;500,"High","low")</f>
        <v>low</v>
      </c>
      <c r="R12930" s="37" t="str">
        <f t="shared" si="1009"/>
        <v>AVERAGE</v>
      </c>
      <c r="S12930" t="s">
        <v>615</v>
      </c>
    </row>
    <row r="12931" spans="1:19" x14ac:dyDescent="0.2">
      <c r="A12931" t="s">
        <v>13542</v>
      </c>
      <c r="B12931" t="s">
        <v>67</v>
      </c>
      <c r="C12931" t="s">
        <v>614</v>
      </c>
      <c r="D12931">
        <v>3710.16</v>
      </c>
      <c r="E12931" s="37" t="str">
        <f t="shared" ref="E12931:E12994" si="1010">IF(AND(D12931&gt;4000,P12931&gt;800),"Excellent Order"," ")</f>
        <v xml:space="preserve"> </v>
      </c>
      <c r="F12931">
        <v>0.12</v>
      </c>
      <c r="G12931" s="37" t="str">
        <f t="shared" ref="G12931:G12994" si="1011">IF(F12931&gt;30%,"Heavy Discount","Normal Discount")</f>
        <v>Normal Discount</v>
      </c>
      <c r="H12931" s="37" t="str">
        <f t="shared" ref="H12931:H12994" si="1012">IF(F12931&gt;0.4,"High",IF(F12931&gt;=0.2,"Medium","Low"))</f>
        <v>Low</v>
      </c>
      <c r="I12931">
        <v>3</v>
      </c>
      <c r="J12931" t="str" cm="1">
        <f t="array" ref="J12931">_xlfn.IFS(I12931&lt;=3,"small",I12931&lt;=6,"Medium",I12931&lt;=9,"Large")</f>
        <v>small</v>
      </c>
      <c r="K12931" s="36">
        <v>45314</v>
      </c>
      <c r="L12931" s="36">
        <v>45320</v>
      </c>
      <c r="M12931" t="s">
        <v>612</v>
      </c>
      <c r="N12931" t="s">
        <v>604</v>
      </c>
      <c r="O12931" s="37" t="str">
        <f t="shared" ref="O12931:O12994" si="1013">IF(OR(N12931="Card",N12931="UPI"),"Digital Payment","Cash Payment")</f>
        <v>Digital Payment</v>
      </c>
      <c r="P12931">
        <v>931.65</v>
      </c>
      <c r="Q12931" s="37" t="str">
        <f>IF(P12931&gt;500,"High","low")</f>
        <v>High</v>
      </c>
      <c r="R12931" s="37" t="str">
        <f t="shared" ref="R12931:R12994" si="1014">IF(P12931&gt;1000,"Excellent",IF(P12931&gt;=500,"Good","AVERAGE"))</f>
        <v>Good</v>
      </c>
      <c r="S12931" t="s">
        <v>620</v>
      </c>
    </row>
    <row r="12932" spans="1:19" x14ac:dyDescent="0.2">
      <c r="A12932" t="s">
        <v>13543</v>
      </c>
      <c r="B12932" t="s">
        <v>83</v>
      </c>
      <c r="C12932" t="s">
        <v>617</v>
      </c>
      <c r="D12932">
        <v>4297.93</v>
      </c>
      <c r="E12932" s="37" t="str">
        <f t="shared" si="1010"/>
        <v>Excellent Order</v>
      </c>
      <c r="F12932">
        <v>0.24</v>
      </c>
      <c r="G12932" s="37" t="str">
        <f t="shared" si="1011"/>
        <v>Normal Discount</v>
      </c>
      <c r="H12932" s="37" t="str">
        <f t="shared" si="1012"/>
        <v>Medium</v>
      </c>
      <c r="I12932">
        <v>7</v>
      </c>
      <c r="J12932" t="str" cm="1">
        <f t="array" ref="J12932">_xlfn.IFS(I12932&lt;=3,"small",I12932&lt;=6,"Medium",I12932&lt;=9,"Large")</f>
        <v>Large</v>
      </c>
      <c r="K12932" s="36">
        <v>45438</v>
      </c>
      <c r="L12932" s="36">
        <v>45441</v>
      </c>
      <c r="M12932" t="s">
        <v>612</v>
      </c>
      <c r="N12932" t="s">
        <v>599</v>
      </c>
      <c r="O12932" s="37" t="str">
        <f t="shared" si="1013"/>
        <v>Digital Payment</v>
      </c>
      <c r="P12932">
        <v>1166.97</v>
      </c>
      <c r="Q12932" s="37" t="str">
        <f>IF(P12932&gt;500,"High","low")</f>
        <v>High</v>
      </c>
      <c r="R12932" s="37" t="str">
        <f t="shared" si="1014"/>
        <v>Excellent</v>
      </c>
      <c r="S12932" t="s">
        <v>600</v>
      </c>
    </row>
    <row r="12933" spans="1:19" x14ac:dyDescent="0.2">
      <c r="A12933" t="s">
        <v>13544</v>
      </c>
      <c r="B12933" t="s">
        <v>75</v>
      </c>
      <c r="C12933" t="s">
        <v>597</v>
      </c>
      <c r="D12933">
        <v>1184.03</v>
      </c>
      <c r="E12933" s="37" t="str">
        <f t="shared" si="1010"/>
        <v xml:space="preserve"> </v>
      </c>
      <c r="F12933">
        <v>0.4</v>
      </c>
      <c r="G12933" s="37" t="str">
        <f t="shared" si="1011"/>
        <v>Heavy Discount</v>
      </c>
      <c r="H12933" s="37" t="str">
        <f t="shared" si="1012"/>
        <v>Medium</v>
      </c>
      <c r="I12933">
        <v>9</v>
      </c>
      <c r="J12933" t="str" cm="1">
        <f t="array" ref="J12933">_xlfn.IFS(I12933&lt;=3,"small",I12933&lt;=6,"Medium",I12933&lt;=9,"Large")</f>
        <v>Large</v>
      </c>
      <c r="K12933" s="36">
        <v>44979</v>
      </c>
      <c r="L12933" s="36">
        <v>44982</v>
      </c>
      <c r="M12933" t="s">
        <v>612</v>
      </c>
      <c r="N12933" t="s">
        <v>608</v>
      </c>
      <c r="O12933" s="37" t="str">
        <f t="shared" si="1013"/>
        <v>Cash Payment</v>
      </c>
      <c r="P12933">
        <v>191.87</v>
      </c>
      <c r="Q12933" s="37" t="str">
        <f>IF(P12933&gt;500,"High","low")</f>
        <v>low</v>
      </c>
      <c r="R12933" s="37" t="str">
        <f t="shared" si="1014"/>
        <v>AVERAGE</v>
      </c>
      <c r="S12933" t="s">
        <v>605</v>
      </c>
    </row>
    <row r="12934" spans="1:19" x14ac:dyDescent="0.2">
      <c r="A12934" t="s">
        <v>13545</v>
      </c>
      <c r="B12934" t="s">
        <v>67</v>
      </c>
      <c r="C12934" t="s">
        <v>597</v>
      </c>
      <c r="D12934">
        <v>3140.72</v>
      </c>
      <c r="E12934" s="37" t="str">
        <f t="shared" si="1010"/>
        <v xml:space="preserve"> </v>
      </c>
      <c r="F12934">
        <v>0.02</v>
      </c>
      <c r="G12934" s="37" t="str">
        <f t="shared" si="1011"/>
        <v>Normal Discount</v>
      </c>
      <c r="H12934" s="37" t="str">
        <f t="shared" si="1012"/>
        <v>Low</v>
      </c>
      <c r="I12934">
        <v>6</v>
      </c>
      <c r="J12934" t="str" cm="1">
        <f t="array" ref="J12934">_xlfn.IFS(I12934&lt;=3,"small",I12934&lt;=6,"Medium",I12934&lt;=9,"Large")</f>
        <v>Medium</v>
      </c>
      <c r="K12934" s="36">
        <v>45399</v>
      </c>
      <c r="L12934" s="36">
        <v>45406</v>
      </c>
      <c r="M12934" t="s">
        <v>598</v>
      </c>
      <c r="N12934" t="s">
        <v>599</v>
      </c>
      <c r="O12934" s="37" t="str">
        <f t="shared" si="1013"/>
        <v>Digital Payment</v>
      </c>
      <c r="P12934">
        <v>273.92</v>
      </c>
      <c r="Q12934" s="37" t="str">
        <f>IF(P12934&gt;500,"High","low")</f>
        <v>low</v>
      </c>
      <c r="R12934" s="37" t="str">
        <f t="shared" si="1014"/>
        <v>AVERAGE</v>
      </c>
      <c r="S12934" t="s">
        <v>628</v>
      </c>
    </row>
    <row r="12935" spans="1:19" x14ac:dyDescent="0.2">
      <c r="A12935" t="s">
        <v>13546</v>
      </c>
      <c r="B12935" t="s">
        <v>90</v>
      </c>
      <c r="C12935" t="s">
        <v>602</v>
      </c>
      <c r="D12935">
        <v>2783.77</v>
      </c>
      <c r="E12935" s="37" t="str">
        <f t="shared" si="1010"/>
        <v xml:space="preserve"> </v>
      </c>
      <c r="F12935">
        <v>7.0000000000000007E-2</v>
      </c>
      <c r="G12935" s="37" t="str">
        <f t="shared" si="1011"/>
        <v>Normal Discount</v>
      </c>
      <c r="H12935" s="37" t="str">
        <f t="shared" si="1012"/>
        <v>Low</v>
      </c>
      <c r="I12935">
        <v>8</v>
      </c>
      <c r="J12935" t="str" cm="1">
        <f t="array" ref="J12935">_xlfn.IFS(I12935&lt;=3,"small",I12935&lt;=6,"Medium",I12935&lt;=9,"Large")</f>
        <v>Large</v>
      </c>
      <c r="K12935" s="36">
        <v>45541</v>
      </c>
      <c r="L12935" s="36">
        <v>45547</v>
      </c>
      <c r="M12935" t="s">
        <v>603</v>
      </c>
      <c r="N12935" t="s">
        <v>608</v>
      </c>
      <c r="O12935" s="37" t="str">
        <f t="shared" si="1013"/>
        <v>Cash Payment</v>
      </c>
      <c r="P12935">
        <v>791.16</v>
      </c>
      <c r="Q12935" s="37" t="str">
        <f>IF(P12935&gt;500,"High","low")</f>
        <v>High</v>
      </c>
      <c r="R12935" s="37" t="str">
        <f t="shared" si="1014"/>
        <v>Good</v>
      </c>
      <c r="S12935" t="s">
        <v>628</v>
      </c>
    </row>
    <row r="12936" spans="1:19" x14ac:dyDescent="0.2">
      <c r="A12936" t="s">
        <v>13547</v>
      </c>
      <c r="B12936" t="s">
        <v>90</v>
      </c>
      <c r="C12936" t="s">
        <v>607</v>
      </c>
      <c r="D12936">
        <v>3739.85</v>
      </c>
      <c r="E12936" s="37" t="str">
        <f t="shared" si="1010"/>
        <v xml:space="preserve"> </v>
      </c>
      <c r="F12936">
        <v>0.05</v>
      </c>
      <c r="G12936" s="37" t="str">
        <f t="shared" si="1011"/>
        <v>Normal Discount</v>
      </c>
      <c r="H12936" s="37" t="str">
        <f t="shared" si="1012"/>
        <v>Low</v>
      </c>
      <c r="I12936">
        <v>1</v>
      </c>
      <c r="J12936" t="str" cm="1">
        <f t="array" ref="J12936">_xlfn.IFS(I12936&lt;=3,"small",I12936&lt;=6,"Medium",I12936&lt;=9,"Large")</f>
        <v>small</v>
      </c>
      <c r="K12936" s="36">
        <v>45111</v>
      </c>
      <c r="L12936" s="36">
        <v>45115</v>
      </c>
      <c r="M12936" t="s">
        <v>603</v>
      </c>
      <c r="N12936" t="s">
        <v>599</v>
      </c>
      <c r="O12936" s="37" t="str">
        <f t="shared" si="1013"/>
        <v>Digital Payment</v>
      </c>
      <c r="P12936">
        <v>1029.6300000000001</v>
      </c>
      <c r="Q12936" s="37" t="str">
        <f>IF(P12936&gt;500,"High","low")</f>
        <v>High</v>
      </c>
      <c r="R12936" s="37" t="str">
        <f t="shared" si="1014"/>
        <v>Excellent</v>
      </c>
      <c r="S12936" t="s">
        <v>620</v>
      </c>
    </row>
    <row r="12937" spans="1:19" x14ac:dyDescent="0.2">
      <c r="A12937" t="s">
        <v>13548</v>
      </c>
      <c r="B12937" t="s">
        <v>83</v>
      </c>
      <c r="C12937" t="s">
        <v>617</v>
      </c>
      <c r="D12937">
        <v>3507.6</v>
      </c>
      <c r="E12937" s="37" t="str">
        <f t="shared" si="1010"/>
        <v xml:space="preserve"> </v>
      </c>
      <c r="F12937">
        <v>0.12</v>
      </c>
      <c r="G12937" s="37" t="str">
        <f t="shared" si="1011"/>
        <v>Normal Discount</v>
      </c>
      <c r="H12937" s="37" t="str">
        <f t="shared" si="1012"/>
        <v>Low</v>
      </c>
      <c r="I12937">
        <v>8</v>
      </c>
      <c r="J12937" t="str" cm="1">
        <f t="array" ref="J12937">_xlfn.IFS(I12937&lt;=3,"small",I12937&lt;=6,"Medium",I12937&lt;=9,"Large")</f>
        <v>Large</v>
      </c>
      <c r="K12937" s="36">
        <v>45127</v>
      </c>
      <c r="L12937" s="36">
        <v>45130</v>
      </c>
      <c r="M12937" t="s">
        <v>612</v>
      </c>
      <c r="N12937" t="s">
        <v>604</v>
      </c>
      <c r="O12937" s="37" t="str">
        <f t="shared" si="1013"/>
        <v>Digital Payment</v>
      </c>
      <c r="P12937">
        <v>405.92</v>
      </c>
      <c r="Q12937" s="37" t="str">
        <f>IF(P12937&gt;500,"High","low")</f>
        <v>low</v>
      </c>
      <c r="R12937" s="37" t="str">
        <f t="shared" si="1014"/>
        <v>AVERAGE</v>
      </c>
      <c r="S12937" t="s">
        <v>615</v>
      </c>
    </row>
    <row r="12938" spans="1:19" x14ac:dyDescent="0.2">
      <c r="A12938" t="s">
        <v>13549</v>
      </c>
      <c r="B12938" t="s">
        <v>90</v>
      </c>
      <c r="C12938" t="s">
        <v>607</v>
      </c>
      <c r="D12938">
        <v>4082.68</v>
      </c>
      <c r="E12938" s="37" t="str">
        <f t="shared" si="1010"/>
        <v xml:space="preserve"> </v>
      </c>
      <c r="F12938">
        <v>0.09</v>
      </c>
      <c r="G12938" s="37" t="str">
        <f t="shared" si="1011"/>
        <v>Normal Discount</v>
      </c>
      <c r="H12938" s="37" t="str">
        <f t="shared" si="1012"/>
        <v>Low</v>
      </c>
      <c r="I12938">
        <v>8</v>
      </c>
      <c r="J12938" t="str" cm="1">
        <f t="array" ref="J12938">_xlfn.IFS(I12938&lt;=3,"small",I12938&lt;=6,"Medium",I12938&lt;=9,"Large")</f>
        <v>Large</v>
      </c>
      <c r="K12938" s="36">
        <v>45004</v>
      </c>
      <c r="L12938" s="36">
        <v>45008</v>
      </c>
      <c r="M12938" t="s">
        <v>612</v>
      </c>
      <c r="N12938" t="s">
        <v>604</v>
      </c>
      <c r="O12938" s="37" t="str">
        <f t="shared" si="1013"/>
        <v>Digital Payment</v>
      </c>
      <c r="P12938">
        <v>377.85</v>
      </c>
      <c r="Q12938" s="37" t="str">
        <f>IF(P12938&gt;500,"High","low")</f>
        <v>low</v>
      </c>
      <c r="R12938" s="37" t="str">
        <f t="shared" si="1014"/>
        <v>AVERAGE</v>
      </c>
      <c r="S12938" t="s">
        <v>609</v>
      </c>
    </row>
    <row r="12939" spans="1:19" x14ac:dyDescent="0.2">
      <c r="A12939" t="s">
        <v>13550</v>
      </c>
      <c r="B12939" t="s">
        <v>75</v>
      </c>
      <c r="C12939" t="s">
        <v>602</v>
      </c>
      <c r="D12939">
        <v>1624.61</v>
      </c>
      <c r="E12939" s="37" t="str">
        <f t="shared" si="1010"/>
        <v xml:space="preserve"> </v>
      </c>
      <c r="F12939">
        <v>0.16</v>
      </c>
      <c r="G12939" s="37" t="str">
        <f t="shared" si="1011"/>
        <v>Normal Discount</v>
      </c>
      <c r="H12939" s="37" t="str">
        <f t="shared" si="1012"/>
        <v>Low</v>
      </c>
      <c r="I12939">
        <v>3</v>
      </c>
      <c r="J12939" t="str" cm="1">
        <f t="array" ref="J12939">_xlfn.IFS(I12939&lt;=3,"small",I12939&lt;=6,"Medium",I12939&lt;=9,"Large")</f>
        <v>small</v>
      </c>
      <c r="K12939" s="36">
        <v>45174</v>
      </c>
      <c r="L12939" s="36">
        <v>45179</v>
      </c>
      <c r="M12939" t="s">
        <v>603</v>
      </c>
      <c r="N12939" t="s">
        <v>604</v>
      </c>
      <c r="O12939" s="37" t="str">
        <f t="shared" si="1013"/>
        <v>Digital Payment</v>
      </c>
      <c r="P12939">
        <v>119.29</v>
      </c>
      <c r="Q12939" s="37" t="str">
        <f>IF(P12939&gt;500,"High","low")</f>
        <v>low</v>
      </c>
      <c r="R12939" s="37" t="str">
        <f t="shared" si="1014"/>
        <v>AVERAGE</v>
      </c>
      <c r="S12939" t="s">
        <v>615</v>
      </c>
    </row>
    <row r="12940" spans="1:19" x14ac:dyDescent="0.2">
      <c r="A12940" t="s">
        <v>13551</v>
      </c>
      <c r="B12940" t="s">
        <v>67</v>
      </c>
      <c r="C12940" t="s">
        <v>607</v>
      </c>
      <c r="D12940">
        <v>1160.1500000000001</v>
      </c>
      <c r="E12940" s="37" t="str">
        <f t="shared" si="1010"/>
        <v xml:space="preserve"> </v>
      </c>
      <c r="F12940">
        <v>0.37</v>
      </c>
      <c r="G12940" s="37" t="str">
        <f t="shared" si="1011"/>
        <v>Heavy Discount</v>
      </c>
      <c r="H12940" s="37" t="str">
        <f t="shared" si="1012"/>
        <v>Medium</v>
      </c>
      <c r="I12940">
        <v>6</v>
      </c>
      <c r="J12940" t="str" cm="1">
        <f t="array" ref="J12940">_xlfn.IFS(I12940&lt;=3,"small",I12940&lt;=6,"Medium",I12940&lt;=9,"Large")</f>
        <v>Medium</v>
      </c>
      <c r="K12940" s="36">
        <v>45360</v>
      </c>
      <c r="L12940" s="36">
        <v>45366</v>
      </c>
      <c r="M12940" t="s">
        <v>603</v>
      </c>
      <c r="N12940" t="s">
        <v>608</v>
      </c>
      <c r="O12940" s="37" t="str">
        <f t="shared" si="1013"/>
        <v>Cash Payment</v>
      </c>
      <c r="P12940">
        <v>122.26</v>
      </c>
      <c r="Q12940" s="37" t="str">
        <f>IF(P12940&gt;500,"High","low")</f>
        <v>low</v>
      </c>
      <c r="R12940" s="37" t="str">
        <f t="shared" si="1014"/>
        <v>AVERAGE</v>
      </c>
      <c r="S12940" t="s">
        <v>620</v>
      </c>
    </row>
    <row r="12941" spans="1:19" x14ac:dyDescent="0.2">
      <c r="A12941" t="s">
        <v>13552</v>
      </c>
      <c r="B12941" t="s">
        <v>90</v>
      </c>
      <c r="C12941" t="s">
        <v>617</v>
      </c>
      <c r="D12941">
        <v>4045.47</v>
      </c>
      <c r="E12941" s="37" t="str">
        <f t="shared" si="1010"/>
        <v>Excellent Order</v>
      </c>
      <c r="F12941">
        <v>0.02</v>
      </c>
      <c r="G12941" s="37" t="str">
        <f t="shared" si="1011"/>
        <v>Normal Discount</v>
      </c>
      <c r="H12941" s="37" t="str">
        <f t="shared" si="1012"/>
        <v>Low</v>
      </c>
      <c r="I12941">
        <v>6</v>
      </c>
      <c r="J12941" t="str" cm="1">
        <f t="array" ref="J12941">_xlfn.IFS(I12941&lt;=3,"small",I12941&lt;=6,"Medium",I12941&lt;=9,"Large")</f>
        <v>Medium</v>
      </c>
      <c r="K12941" s="36">
        <v>44958</v>
      </c>
      <c r="L12941" s="36">
        <v>44963</v>
      </c>
      <c r="M12941" t="s">
        <v>603</v>
      </c>
      <c r="N12941" t="s">
        <v>599</v>
      </c>
      <c r="O12941" s="37" t="str">
        <f t="shared" si="1013"/>
        <v>Digital Payment</v>
      </c>
      <c r="P12941">
        <v>1035.92</v>
      </c>
      <c r="Q12941" s="37" t="str">
        <f>IF(P12941&gt;500,"High","low")</f>
        <v>High</v>
      </c>
      <c r="R12941" s="37" t="str">
        <f t="shared" si="1014"/>
        <v>Excellent</v>
      </c>
      <c r="S12941" t="s">
        <v>628</v>
      </c>
    </row>
    <row r="12942" spans="1:19" x14ac:dyDescent="0.2">
      <c r="A12942" t="s">
        <v>13553</v>
      </c>
      <c r="B12942" t="s">
        <v>90</v>
      </c>
      <c r="C12942" t="s">
        <v>602</v>
      </c>
      <c r="D12942">
        <v>1866.76</v>
      </c>
      <c r="E12942" s="37" t="str">
        <f t="shared" si="1010"/>
        <v xml:space="preserve"> </v>
      </c>
      <c r="F12942">
        <v>0.04</v>
      </c>
      <c r="G12942" s="37" t="str">
        <f t="shared" si="1011"/>
        <v>Normal Discount</v>
      </c>
      <c r="H12942" s="37" t="str">
        <f t="shared" si="1012"/>
        <v>Low</v>
      </c>
      <c r="I12942">
        <v>7</v>
      </c>
      <c r="J12942" t="str" cm="1">
        <f t="array" ref="J12942">_xlfn.IFS(I12942&lt;=3,"small",I12942&lt;=6,"Medium",I12942&lt;=9,"Large")</f>
        <v>Large</v>
      </c>
      <c r="K12942" s="36">
        <v>45572</v>
      </c>
      <c r="L12942" s="36">
        <v>45573</v>
      </c>
      <c r="M12942" t="s">
        <v>612</v>
      </c>
      <c r="N12942" t="s">
        <v>599</v>
      </c>
      <c r="O12942" s="37" t="str">
        <f t="shared" si="1013"/>
        <v>Digital Payment</v>
      </c>
      <c r="P12942">
        <v>365.41</v>
      </c>
      <c r="Q12942" s="37" t="str">
        <f>IF(P12942&gt;500,"High","low")</f>
        <v>low</v>
      </c>
      <c r="R12942" s="37" t="str">
        <f t="shared" si="1014"/>
        <v>AVERAGE</v>
      </c>
      <c r="S12942" t="s">
        <v>609</v>
      </c>
    </row>
    <row r="12943" spans="1:19" x14ac:dyDescent="0.2">
      <c r="A12943" t="s">
        <v>13554</v>
      </c>
      <c r="B12943" t="s">
        <v>67</v>
      </c>
      <c r="C12943" t="s">
        <v>607</v>
      </c>
      <c r="D12943">
        <v>1509.11</v>
      </c>
      <c r="E12943" s="37" t="str">
        <f t="shared" si="1010"/>
        <v xml:space="preserve"> </v>
      </c>
      <c r="F12943">
        <v>0.28000000000000003</v>
      </c>
      <c r="G12943" s="37" t="str">
        <f t="shared" si="1011"/>
        <v>Normal Discount</v>
      </c>
      <c r="H12943" s="37" t="str">
        <f t="shared" si="1012"/>
        <v>Medium</v>
      </c>
      <c r="I12943">
        <v>3</v>
      </c>
      <c r="J12943" t="str" cm="1">
        <f t="array" ref="J12943">_xlfn.IFS(I12943&lt;=3,"small",I12943&lt;=6,"Medium",I12943&lt;=9,"Large")</f>
        <v>small</v>
      </c>
      <c r="K12943" s="36">
        <v>45379</v>
      </c>
      <c r="L12943" s="36">
        <v>45385</v>
      </c>
      <c r="M12943" t="s">
        <v>603</v>
      </c>
      <c r="N12943" t="s">
        <v>608</v>
      </c>
      <c r="O12943" s="37" t="str">
        <f t="shared" si="1013"/>
        <v>Cash Payment</v>
      </c>
      <c r="P12943">
        <v>257.73</v>
      </c>
      <c r="Q12943" s="37" t="str">
        <f>IF(P12943&gt;500,"High","low")</f>
        <v>low</v>
      </c>
      <c r="R12943" s="37" t="str">
        <f t="shared" si="1014"/>
        <v>AVERAGE</v>
      </c>
      <c r="S12943" t="s">
        <v>605</v>
      </c>
    </row>
    <row r="12944" spans="1:19" x14ac:dyDescent="0.2">
      <c r="A12944" t="s">
        <v>13555</v>
      </c>
      <c r="B12944" t="s">
        <v>83</v>
      </c>
      <c r="C12944" t="s">
        <v>614</v>
      </c>
      <c r="D12944">
        <v>1750.41</v>
      </c>
      <c r="E12944" s="37" t="str">
        <f t="shared" si="1010"/>
        <v xml:space="preserve"> </v>
      </c>
      <c r="F12944">
        <v>0.26</v>
      </c>
      <c r="G12944" s="37" t="str">
        <f t="shared" si="1011"/>
        <v>Normal Discount</v>
      </c>
      <c r="H12944" s="37" t="str">
        <f t="shared" si="1012"/>
        <v>Medium</v>
      </c>
      <c r="I12944">
        <v>1</v>
      </c>
      <c r="J12944" t="str" cm="1">
        <f t="array" ref="J12944">_xlfn.IFS(I12944&lt;=3,"small",I12944&lt;=6,"Medium",I12944&lt;=9,"Large")</f>
        <v>small</v>
      </c>
      <c r="K12944" s="36">
        <v>45531</v>
      </c>
      <c r="L12944" s="36">
        <v>45532</v>
      </c>
      <c r="M12944" t="s">
        <v>603</v>
      </c>
      <c r="N12944" t="s">
        <v>599</v>
      </c>
      <c r="O12944" s="37" t="str">
        <f t="shared" si="1013"/>
        <v>Digital Payment</v>
      </c>
      <c r="P12944">
        <v>480.94</v>
      </c>
      <c r="Q12944" s="37" t="str">
        <f>IF(P12944&gt;500,"High","low")</f>
        <v>low</v>
      </c>
      <c r="R12944" s="37" t="str">
        <f t="shared" si="1014"/>
        <v>AVERAGE</v>
      </c>
      <c r="S12944" t="s">
        <v>628</v>
      </c>
    </row>
    <row r="12945" spans="1:19" x14ac:dyDescent="0.2">
      <c r="A12945" t="s">
        <v>13556</v>
      </c>
      <c r="B12945" t="s">
        <v>90</v>
      </c>
      <c r="C12945" t="s">
        <v>597</v>
      </c>
      <c r="D12945">
        <v>425.13</v>
      </c>
      <c r="E12945" s="37" t="str">
        <f t="shared" si="1010"/>
        <v xml:space="preserve"> </v>
      </c>
      <c r="F12945">
        <v>0.24</v>
      </c>
      <c r="G12945" s="37" t="str">
        <f t="shared" si="1011"/>
        <v>Normal Discount</v>
      </c>
      <c r="H12945" s="37" t="str">
        <f t="shared" si="1012"/>
        <v>Medium</v>
      </c>
      <c r="I12945">
        <v>9</v>
      </c>
      <c r="J12945" t="str" cm="1">
        <f t="array" ref="J12945">_xlfn.IFS(I12945&lt;=3,"small",I12945&lt;=6,"Medium",I12945&lt;=9,"Large")</f>
        <v>Large</v>
      </c>
      <c r="K12945" s="36">
        <v>45432</v>
      </c>
      <c r="L12945" s="36">
        <v>45436</v>
      </c>
      <c r="M12945" t="s">
        <v>598</v>
      </c>
      <c r="N12945" t="s">
        <v>608</v>
      </c>
      <c r="O12945" s="37" t="str">
        <f t="shared" si="1013"/>
        <v>Cash Payment</v>
      </c>
      <c r="P12945">
        <v>57.57</v>
      </c>
      <c r="Q12945" s="37" t="str">
        <f>IF(P12945&gt;500,"High","low")</f>
        <v>low</v>
      </c>
      <c r="R12945" s="37" t="str">
        <f t="shared" si="1014"/>
        <v>AVERAGE</v>
      </c>
      <c r="S12945" t="s">
        <v>628</v>
      </c>
    </row>
    <row r="12946" spans="1:19" x14ac:dyDescent="0.2">
      <c r="A12946" t="s">
        <v>13557</v>
      </c>
      <c r="B12946" t="s">
        <v>83</v>
      </c>
      <c r="C12946" t="s">
        <v>602</v>
      </c>
      <c r="D12946">
        <v>3888.41</v>
      </c>
      <c r="E12946" s="37" t="str">
        <f t="shared" si="1010"/>
        <v xml:space="preserve"> </v>
      </c>
      <c r="F12946">
        <v>0.26</v>
      </c>
      <c r="G12946" s="37" t="str">
        <f t="shared" si="1011"/>
        <v>Normal Discount</v>
      </c>
      <c r="H12946" s="37" t="str">
        <f t="shared" si="1012"/>
        <v>Medium</v>
      </c>
      <c r="I12946">
        <v>6</v>
      </c>
      <c r="J12946" t="str" cm="1">
        <f t="array" ref="J12946">_xlfn.IFS(I12946&lt;=3,"small",I12946&lt;=6,"Medium",I12946&lt;=9,"Large")</f>
        <v>Medium</v>
      </c>
      <c r="K12946" s="36">
        <v>45307</v>
      </c>
      <c r="L12946" s="36">
        <v>45311</v>
      </c>
      <c r="M12946" t="s">
        <v>612</v>
      </c>
      <c r="N12946" t="s">
        <v>599</v>
      </c>
      <c r="O12946" s="37" t="str">
        <f t="shared" si="1013"/>
        <v>Digital Payment</v>
      </c>
      <c r="P12946">
        <v>647.74</v>
      </c>
      <c r="Q12946" s="37" t="str">
        <f>IF(P12946&gt;500,"High","low")</f>
        <v>High</v>
      </c>
      <c r="R12946" s="37" t="str">
        <f t="shared" si="1014"/>
        <v>Good</v>
      </c>
      <c r="S12946" t="s">
        <v>620</v>
      </c>
    </row>
    <row r="12947" spans="1:19" x14ac:dyDescent="0.2">
      <c r="A12947" t="s">
        <v>13558</v>
      </c>
      <c r="B12947" t="s">
        <v>83</v>
      </c>
      <c r="C12947" t="s">
        <v>614</v>
      </c>
      <c r="D12947">
        <v>3604.28</v>
      </c>
      <c r="E12947" s="37" t="str">
        <f t="shared" si="1010"/>
        <v xml:space="preserve"> </v>
      </c>
      <c r="F12947">
        <v>0.37</v>
      </c>
      <c r="G12947" s="37" t="str">
        <f t="shared" si="1011"/>
        <v>Heavy Discount</v>
      </c>
      <c r="H12947" s="37" t="str">
        <f t="shared" si="1012"/>
        <v>Medium</v>
      </c>
      <c r="I12947">
        <v>5</v>
      </c>
      <c r="J12947" t="str" cm="1">
        <f t="array" ref="J12947">_xlfn.IFS(I12947&lt;=3,"small",I12947&lt;=6,"Medium",I12947&lt;=9,"Large")</f>
        <v>Medium</v>
      </c>
      <c r="K12947" s="36">
        <v>45320</v>
      </c>
      <c r="L12947" s="36">
        <v>45323</v>
      </c>
      <c r="M12947" t="s">
        <v>603</v>
      </c>
      <c r="N12947" t="s">
        <v>604</v>
      </c>
      <c r="O12947" s="37" t="str">
        <f t="shared" si="1013"/>
        <v>Digital Payment</v>
      </c>
      <c r="P12947">
        <v>1040.3900000000001</v>
      </c>
      <c r="Q12947" s="37" t="str">
        <f>IF(P12947&gt;500,"High","low")</f>
        <v>High</v>
      </c>
      <c r="R12947" s="37" t="str">
        <f t="shared" si="1014"/>
        <v>Excellent</v>
      </c>
      <c r="S12947" t="s">
        <v>620</v>
      </c>
    </row>
    <row r="12948" spans="1:19" x14ac:dyDescent="0.2">
      <c r="A12948" t="s">
        <v>13559</v>
      </c>
      <c r="B12948" t="s">
        <v>90</v>
      </c>
      <c r="C12948" t="s">
        <v>617</v>
      </c>
      <c r="D12948">
        <v>2808.19</v>
      </c>
      <c r="E12948" s="37" t="str">
        <f t="shared" si="1010"/>
        <v xml:space="preserve"> </v>
      </c>
      <c r="F12948">
        <v>0.28999999999999998</v>
      </c>
      <c r="G12948" s="37" t="str">
        <f t="shared" si="1011"/>
        <v>Normal Discount</v>
      </c>
      <c r="H12948" s="37" t="str">
        <f t="shared" si="1012"/>
        <v>Medium</v>
      </c>
      <c r="I12948">
        <v>2</v>
      </c>
      <c r="J12948" t="str" cm="1">
        <f t="array" ref="J12948">_xlfn.IFS(I12948&lt;=3,"small",I12948&lt;=6,"Medium",I12948&lt;=9,"Large")</f>
        <v>small</v>
      </c>
      <c r="K12948" s="36">
        <v>45333</v>
      </c>
      <c r="L12948" s="36">
        <v>45334</v>
      </c>
      <c r="M12948" t="s">
        <v>598</v>
      </c>
      <c r="N12948" t="s">
        <v>599</v>
      </c>
      <c r="O12948" s="37" t="str">
        <f t="shared" si="1013"/>
        <v>Digital Payment</v>
      </c>
      <c r="P12948">
        <v>334.54</v>
      </c>
      <c r="Q12948" s="37" t="str">
        <f>IF(P12948&gt;500,"High","low")</f>
        <v>low</v>
      </c>
      <c r="R12948" s="37" t="str">
        <f t="shared" si="1014"/>
        <v>AVERAGE</v>
      </c>
      <c r="S12948" t="s">
        <v>620</v>
      </c>
    </row>
    <row r="12949" spans="1:19" x14ac:dyDescent="0.2">
      <c r="A12949" t="s">
        <v>13560</v>
      </c>
      <c r="B12949" t="s">
        <v>75</v>
      </c>
      <c r="C12949" t="s">
        <v>597</v>
      </c>
      <c r="D12949">
        <v>3608.82</v>
      </c>
      <c r="E12949" s="37" t="str">
        <f t="shared" si="1010"/>
        <v xml:space="preserve"> </v>
      </c>
      <c r="F12949">
        <v>0.23</v>
      </c>
      <c r="G12949" s="37" t="str">
        <f t="shared" si="1011"/>
        <v>Normal Discount</v>
      </c>
      <c r="H12949" s="37" t="str">
        <f t="shared" si="1012"/>
        <v>Medium</v>
      </c>
      <c r="I12949">
        <v>4</v>
      </c>
      <c r="J12949" t="str" cm="1">
        <f t="array" ref="J12949">_xlfn.IFS(I12949&lt;=3,"small",I12949&lt;=6,"Medium",I12949&lt;=9,"Large")</f>
        <v>Medium</v>
      </c>
      <c r="K12949" s="36">
        <v>45107</v>
      </c>
      <c r="L12949" s="36">
        <v>45110</v>
      </c>
      <c r="M12949" t="s">
        <v>598</v>
      </c>
      <c r="N12949" t="s">
        <v>599</v>
      </c>
      <c r="O12949" s="37" t="str">
        <f t="shared" si="1013"/>
        <v>Digital Payment</v>
      </c>
      <c r="P12949">
        <v>804.85</v>
      </c>
      <c r="Q12949" s="37" t="str">
        <f>IF(P12949&gt;500,"High","low")</f>
        <v>High</v>
      </c>
      <c r="R12949" s="37" t="str">
        <f t="shared" si="1014"/>
        <v>Good</v>
      </c>
      <c r="S12949" t="s">
        <v>615</v>
      </c>
    </row>
    <row r="12950" spans="1:19" x14ac:dyDescent="0.2">
      <c r="A12950" t="s">
        <v>13561</v>
      </c>
      <c r="B12950" t="s">
        <v>83</v>
      </c>
      <c r="C12950" t="s">
        <v>602</v>
      </c>
      <c r="D12950">
        <v>1928.35</v>
      </c>
      <c r="E12950" s="37" t="str">
        <f t="shared" si="1010"/>
        <v xml:space="preserve"> </v>
      </c>
      <c r="F12950">
        <v>0.04</v>
      </c>
      <c r="G12950" s="37" t="str">
        <f t="shared" si="1011"/>
        <v>Normal Discount</v>
      </c>
      <c r="H12950" s="37" t="str">
        <f t="shared" si="1012"/>
        <v>Low</v>
      </c>
      <c r="I12950">
        <v>5</v>
      </c>
      <c r="J12950" t="str" cm="1">
        <f t="array" ref="J12950">_xlfn.IFS(I12950&lt;=3,"small",I12950&lt;=6,"Medium",I12950&lt;=9,"Large")</f>
        <v>Medium</v>
      </c>
      <c r="K12950" s="36">
        <v>45243</v>
      </c>
      <c r="L12950" s="36">
        <v>45245</v>
      </c>
      <c r="M12950" t="s">
        <v>612</v>
      </c>
      <c r="N12950" t="s">
        <v>599</v>
      </c>
      <c r="O12950" s="37" t="str">
        <f t="shared" si="1013"/>
        <v>Digital Payment</v>
      </c>
      <c r="P12950">
        <v>177.42</v>
      </c>
      <c r="Q12950" s="37" t="str">
        <f>IF(P12950&gt;500,"High","low")</f>
        <v>low</v>
      </c>
      <c r="R12950" s="37" t="str">
        <f t="shared" si="1014"/>
        <v>AVERAGE</v>
      </c>
      <c r="S12950" t="s">
        <v>605</v>
      </c>
    </row>
    <row r="12951" spans="1:19" x14ac:dyDescent="0.2">
      <c r="A12951" t="s">
        <v>13562</v>
      </c>
      <c r="B12951" t="s">
        <v>90</v>
      </c>
      <c r="C12951" t="s">
        <v>597</v>
      </c>
      <c r="D12951">
        <v>1547.31</v>
      </c>
      <c r="E12951" s="37" t="str">
        <f t="shared" si="1010"/>
        <v xml:space="preserve"> </v>
      </c>
      <c r="F12951">
        <v>0.49</v>
      </c>
      <c r="G12951" s="37" t="str">
        <f t="shared" si="1011"/>
        <v>Heavy Discount</v>
      </c>
      <c r="H12951" s="37" t="str">
        <f t="shared" si="1012"/>
        <v>High</v>
      </c>
      <c r="I12951">
        <v>4</v>
      </c>
      <c r="J12951" t="str" cm="1">
        <f t="array" ref="J12951">_xlfn.IFS(I12951&lt;=3,"small",I12951&lt;=6,"Medium",I12951&lt;=9,"Large")</f>
        <v>Medium</v>
      </c>
      <c r="K12951" s="36">
        <v>45585</v>
      </c>
      <c r="L12951" s="36">
        <v>45589</v>
      </c>
      <c r="M12951" t="s">
        <v>603</v>
      </c>
      <c r="N12951" t="s">
        <v>608</v>
      </c>
      <c r="O12951" s="37" t="str">
        <f t="shared" si="1013"/>
        <v>Cash Payment</v>
      </c>
      <c r="P12951">
        <v>291.82</v>
      </c>
      <c r="Q12951" s="37" t="str">
        <f>IF(P12951&gt;500,"High","low")</f>
        <v>low</v>
      </c>
      <c r="R12951" s="37" t="str">
        <f t="shared" si="1014"/>
        <v>AVERAGE</v>
      </c>
      <c r="S12951" t="s">
        <v>620</v>
      </c>
    </row>
    <row r="12952" spans="1:19" x14ac:dyDescent="0.2">
      <c r="A12952" t="s">
        <v>13563</v>
      </c>
      <c r="B12952" t="s">
        <v>83</v>
      </c>
      <c r="C12952" t="s">
        <v>602</v>
      </c>
      <c r="D12952">
        <v>4325.2700000000004</v>
      </c>
      <c r="E12952" s="37" t="str">
        <f t="shared" si="1010"/>
        <v>Excellent Order</v>
      </c>
      <c r="F12952">
        <v>0.12</v>
      </c>
      <c r="G12952" s="37" t="str">
        <f t="shared" si="1011"/>
        <v>Normal Discount</v>
      </c>
      <c r="H12952" s="37" t="str">
        <f t="shared" si="1012"/>
        <v>Low</v>
      </c>
      <c r="I12952">
        <v>4</v>
      </c>
      <c r="J12952" t="str" cm="1">
        <f t="array" ref="J12952">_xlfn.IFS(I12952&lt;=3,"small",I12952&lt;=6,"Medium",I12952&lt;=9,"Large")</f>
        <v>Medium</v>
      </c>
      <c r="K12952" s="36">
        <v>45570</v>
      </c>
      <c r="L12952" s="36">
        <v>45571</v>
      </c>
      <c r="M12952" t="s">
        <v>603</v>
      </c>
      <c r="N12952" t="s">
        <v>599</v>
      </c>
      <c r="O12952" s="37" t="str">
        <f t="shared" si="1013"/>
        <v>Digital Payment</v>
      </c>
      <c r="P12952">
        <v>1136.9000000000001</v>
      </c>
      <c r="Q12952" s="37" t="str">
        <f>IF(P12952&gt;500,"High","low")</f>
        <v>High</v>
      </c>
      <c r="R12952" s="37" t="str">
        <f t="shared" si="1014"/>
        <v>Excellent</v>
      </c>
      <c r="S12952" t="s">
        <v>600</v>
      </c>
    </row>
    <row r="12953" spans="1:19" x14ac:dyDescent="0.2">
      <c r="A12953" t="s">
        <v>13564</v>
      </c>
      <c r="B12953" t="s">
        <v>67</v>
      </c>
      <c r="C12953" t="s">
        <v>602</v>
      </c>
      <c r="D12953">
        <v>2170.0300000000002</v>
      </c>
      <c r="E12953" s="37" t="str">
        <f t="shared" si="1010"/>
        <v xml:space="preserve"> </v>
      </c>
      <c r="F12953">
        <v>0.43</v>
      </c>
      <c r="G12953" s="37" t="str">
        <f t="shared" si="1011"/>
        <v>Heavy Discount</v>
      </c>
      <c r="H12953" s="37" t="str">
        <f t="shared" si="1012"/>
        <v>High</v>
      </c>
      <c r="I12953">
        <v>6</v>
      </c>
      <c r="J12953" t="str" cm="1">
        <f t="array" ref="J12953">_xlfn.IFS(I12953&lt;=3,"small",I12953&lt;=6,"Medium",I12953&lt;=9,"Large")</f>
        <v>Medium</v>
      </c>
      <c r="K12953" s="36">
        <v>45598</v>
      </c>
      <c r="L12953" s="36">
        <v>45599</v>
      </c>
      <c r="M12953" t="s">
        <v>612</v>
      </c>
      <c r="N12953" t="s">
        <v>608</v>
      </c>
      <c r="O12953" s="37" t="str">
        <f t="shared" si="1013"/>
        <v>Cash Payment</v>
      </c>
      <c r="P12953">
        <v>270.39</v>
      </c>
      <c r="Q12953" s="37" t="str">
        <f>IF(P12953&gt;500,"High","low")</f>
        <v>low</v>
      </c>
      <c r="R12953" s="37" t="str">
        <f t="shared" si="1014"/>
        <v>AVERAGE</v>
      </c>
      <c r="S12953" t="s">
        <v>615</v>
      </c>
    </row>
    <row r="12954" spans="1:19" x14ac:dyDescent="0.2">
      <c r="A12954" t="s">
        <v>13565</v>
      </c>
      <c r="B12954" t="s">
        <v>75</v>
      </c>
      <c r="C12954" t="s">
        <v>607</v>
      </c>
      <c r="D12954">
        <v>1059.97</v>
      </c>
      <c r="E12954" s="37" t="str">
        <f t="shared" si="1010"/>
        <v xml:space="preserve"> </v>
      </c>
      <c r="F12954">
        <v>0.19</v>
      </c>
      <c r="G12954" s="37" t="str">
        <f t="shared" si="1011"/>
        <v>Normal Discount</v>
      </c>
      <c r="H12954" s="37" t="str">
        <f t="shared" si="1012"/>
        <v>Low</v>
      </c>
      <c r="I12954">
        <v>4</v>
      </c>
      <c r="J12954" t="str" cm="1">
        <f t="array" ref="J12954">_xlfn.IFS(I12954&lt;=3,"small",I12954&lt;=6,"Medium",I12954&lt;=9,"Large")</f>
        <v>Medium</v>
      </c>
      <c r="K12954" s="36">
        <v>45228</v>
      </c>
      <c r="L12954" s="36">
        <v>45231</v>
      </c>
      <c r="M12954" t="s">
        <v>598</v>
      </c>
      <c r="N12954" t="s">
        <v>599</v>
      </c>
      <c r="O12954" s="37" t="str">
        <f t="shared" si="1013"/>
        <v>Digital Payment</v>
      </c>
      <c r="P12954">
        <v>99.57</v>
      </c>
      <c r="Q12954" s="37" t="str">
        <f>IF(P12954&gt;500,"High","low")</f>
        <v>low</v>
      </c>
      <c r="R12954" s="37" t="str">
        <f t="shared" si="1014"/>
        <v>AVERAGE</v>
      </c>
      <c r="S12954" t="s">
        <v>605</v>
      </c>
    </row>
    <row r="12955" spans="1:19" x14ac:dyDescent="0.2">
      <c r="A12955" t="s">
        <v>13566</v>
      </c>
      <c r="B12955" t="s">
        <v>75</v>
      </c>
      <c r="C12955" t="s">
        <v>597</v>
      </c>
      <c r="D12955">
        <v>3770.32</v>
      </c>
      <c r="E12955" s="37" t="str">
        <f t="shared" si="1010"/>
        <v xml:space="preserve"> </v>
      </c>
      <c r="F12955">
        <v>0.34</v>
      </c>
      <c r="G12955" s="37" t="str">
        <f t="shared" si="1011"/>
        <v>Heavy Discount</v>
      </c>
      <c r="H12955" s="37" t="str">
        <f t="shared" si="1012"/>
        <v>Medium</v>
      </c>
      <c r="I12955">
        <v>9</v>
      </c>
      <c r="J12955" t="str" cm="1">
        <f t="array" ref="J12955">_xlfn.IFS(I12955&lt;=3,"small",I12955&lt;=6,"Medium",I12955&lt;=9,"Large")</f>
        <v>Large</v>
      </c>
      <c r="K12955" s="36">
        <v>45500</v>
      </c>
      <c r="L12955" s="36">
        <v>45505</v>
      </c>
      <c r="M12955" t="s">
        <v>612</v>
      </c>
      <c r="N12955" t="s">
        <v>599</v>
      </c>
      <c r="O12955" s="37" t="str">
        <f t="shared" si="1013"/>
        <v>Digital Payment</v>
      </c>
      <c r="P12955">
        <v>1012.96</v>
      </c>
      <c r="Q12955" s="37" t="str">
        <f>IF(P12955&gt;500,"High","low")</f>
        <v>High</v>
      </c>
      <c r="R12955" s="37" t="str">
        <f t="shared" si="1014"/>
        <v>Excellent</v>
      </c>
      <c r="S12955" t="s">
        <v>628</v>
      </c>
    </row>
    <row r="12956" spans="1:19" x14ac:dyDescent="0.2">
      <c r="A12956" t="s">
        <v>13567</v>
      </c>
      <c r="B12956" t="s">
        <v>67</v>
      </c>
      <c r="C12956" t="s">
        <v>597</v>
      </c>
      <c r="D12956">
        <v>1745.77</v>
      </c>
      <c r="E12956" s="37" t="str">
        <f t="shared" si="1010"/>
        <v xml:space="preserve"> </v>
      </c>
      <c r="F12956">
        <v>0.23</v>
      </c>
      <c r="G12956" s="37" t="str">
        <f t="shared" si="1011"/>
        <v>Normal Discount</v>
      </c>
      <c r="H12956" s="37" t="str">
        <f t="shared" si="1012"/>
        <v>Medium</v>
      </c>
      <c r="I12956">
        <v>2</v>
      </c>
      <c r="J12956" t="str" cm="1">
        <f t="array" ref="J12956">_xlfn.IFS(I12956&lt;=3,"small",I12956&lt;=6,"Medium",I12956&lt;=9,"Large")</f>
        <v>small</v>
      </c>
      <c r="K12956" s="36">
        <v>45236</v>
      </c>
      <c r="L12956" s="36">
        <v>45240</v>
      </c>
      <c r="M12956" t="s">
        <v>598</v>
      </c>
      <c r="N12956" t="s">
        <v>608</v>
      </c>
      <c r="O12956" s="37" t="str">
        <f t="shared" si="1013"/>
        <v>Cash Payment</v>
      </c>
      <c r="P12956">
        <v>165.5</v>
      </c>
      <c r="Q12956" s="37" t="str">
        <f>IF(P12956&gt;500,"High","low")</f>
        <v>low</v>
      </c>
      <c r="R12956" s="37" t="str">
        <f t="shared" si="1014"/>
        <v>AVERAGE</v>
      </c>
      <c r="S12956" t="s">
        <v>609</v>
      </c>
    </row>
    <row r="12957" spans="1:19" x14ac:dyDescent="0.2">
      <c r="A12957" t="s">
        <v>13568</v>
      </c>
      <c r="B12957" t="s">
        <v>67</v>
      </c>
      <c r="C12957" t="s">
        <v>614</v>
      </c>
      <c r="D12957">
        <v>1138.07</v>
      </c>
      <c r="E12957" s="37" t="str">
        <f t="shared" si="1010"/>
        <v xml:space="preserve"> </v>
      </c>
      <c r="F12957">
        <v>0.18</v>
      </c>
      <c r="G12957" s="37" t="str">
        <f t="shared" si="1011"/>
        <v>Normal Discount</v>
      </c>
      <c r="H12957" s="37" t="str">
        <f t="shared" si="1012"/>
        <v>Low</v>
      </c>
      <c r="I12957">
        <v>5</v>
      </c>
      <c r="J12957" t="str" cm="1">
        <f t="array" ref="J12957">_xlfn.IFS(I12957&lt;=3,"small",I12957&lt;=6,"Medium",I12957&lt;=9,"Large")</f>
        <v>Medium</v>
      </c>
      <c r="K12957" s="36">
        <v>45653</v>
      </c>
      <c r="L12957" s="36">
        <v>45660</v>
      </c>
      <c r="M12957" t="s">
        <v>603</v>
      </c>
      <c r="N12957" t="s">
        <v>604</v>
      </c>
      <c r="O12957" s="37" t="str">
        <f t="shared" si="1013"/>
        <v>Digital Payment</v>
      </c>
      <c r="P12957">
        <v>315.24</v>
      </c>
      <c r="Q12957" s="37" t="str">
        <f>IF(P12957&gt;500,"High","low")</f>
        <v>low</v>
      </c>
      <c r="R12957" s="37" t="str">
        <f t="shared" si="1014"/>
        <v>AVERAGE</v>
      </c>
      <c r="S12957" t="s">
        <v>615</v>
      </c>
    </row>
    <row r="12958" spans="1:19" x14ac:dyDescent="0.2">
      <c r="A12958" t="s">
        <v>13569</v>
      </c>
      <c r="B12958" t="s">
        <v>83</v>
      </c>
      <c r="C12958" t="s">
        <v>617</v>
      </c>
      <c r="D12958">
        <v>233.35</v>
      </c>
      <c r="E12958" s="37" t="str">
        <f t="shared" si="1010"/>
        <v xml:space="preserve"> </v>
      </c>
      <c r="F12958">
        <v>0.31</v>
      </c>
      <c r="G12958" s="37" t="str">
        <f t="shared" si="1011"/>
        <v>Heavy Discount</v>
      </c>
      <c r="H12958" s="37" t="str">
        <f t="shared" si="1012"/>
        <v>Medium</v>
      </c>
      <c r="I12958">
        <v>3</v>
      </c>
      <c r="J12958" t="str" cm="1">
        <f t="array" ref="J12958">_xlfn.IFS(I12958&lt;=3,"small",I12958&lt;=6,"Medium",I12958&lt;=9,"Large")</f>
        <v>small</v>
      </c>
      <c r="K12958" s="36">
        <v>45504</v>
      </c>
      <c r="L12958" s="36">
        <v>45508</v>
      </c>
      <c r="M12958" t="s">
        <v>612</v>
      </c>
      <c r="N12958" t="s">
        <v>604</v>
      </c>
      <c r="O12958" s="37" t="str">
        <f t="shared" si="1013"/>
        <v>Digital Payment</v>
      </c>
      <c r="P12958">
        <v>53.89</v>
      </c>
      <c r="Q12958" s="37" t="str">
        <f>IF(P12958&gt;500,"High","low")</f>
        <v>low</v>
      </c>
      <c r="R12958" s="37" t="str">
        <f t="shared" si="1014"/>
        <v>AVERAGE</v>
      </c>
      <c r="S12958" t="s">
        <v>620</v>
      </c>
    </row>
    <row r="12959" spans="1:19" x14ac:dyDescent="0.2">
      <c r="A12959" t="s">
        <v>13570</v>
      </c>
      <c r="B12959" t="s">
        <v>67</v>
      </c>
      <c r="C12959" t="s">
        <v>614</v>
      </c>
      <c r="D12959">
        <v>4855.95</v>
      </c>
      <c r="E12959" s="37" t="str">
        <f t="shared" si="1010"/>
        <v xml:space="preserve"> </v>
      </c>
      <c r="F12959">
        <v>0.27</v>
      </c>
      <c r="G12959" s="37" t="str">
        <f t="shared" si="1011"/>
        <v>Normal Discount</v>
      </c>
      <c r="H12959" s="37" t="str">
        <f t="shared" si="1012"/>
        <v>Medium</v>
      </c>
      <c r="I12959">
        <v>8</v>
      </c>
      <c r="J12959" t="str" cm="1">
        <f t="array" ref="J12959">_xlfn.IFS(I12959&lt;=3,"small",I12959&lt;=6,"Medium",I12959&lt;=9,"Large")</f>
        <v>Large</v>
      </c>
      <c r="K12959" s="36">
        <v>45456</v>
      </c>
      <c r="L12959" s="36">
        <v>45460</v>
      </c>
      <c r="M12959" t="s">
        <v>612</v>
      </c>
      <c r="N12959" t="s">
        <v>604</v>
      </c>
      <c r="O12959" s="37" t="str">
        <f t="shared" si="1013"/>
        <v>Digital Payment</v>
      </c>
      <c r="P12959">
        <v>450.79</v>
      </c>
      <c r="Q12959" s="37" t="str">
        <f>IF(P12959&gt;500,"High","low")</f>
        <v>low</v>
      </c>
      <c r="R12959" s="37" t="str">
        <f t="shared" si="1014"/>
        <v>AVERAGE</v>
      </c>
      <c r="S12959" t="s">
        <v>605</v>
      </c>
    </row>
    <row r="12960" spans="1:19" x14ac:dyDescent="0.2">
      <c r="A12960" t="s">
        <v>13571</v>
      </c>
      <c r="B12960" t="s">
        <v>75</v>
      </c>
      <c r="C12960" t="s">
        <v>607</v>
      </c>
      <c r="D12960">
        <v>2389.7199999999998</v>
      </c>
      <c r="E12960" s="37" t="str">
        <f t="shared" si="1010"/>
        <v xml:space="preserve"> </v>
      </c>
      <c r="F12960">
        <v>0.12</v>
      </c>
      <c r="G12960" s="37" t="str">
        <f t="shared" si="1011"/>
        <v>Normal Discount</v>
      </c>
      <c r="H12960" s="37" t="str">
        <f t="shared" si="1012"/>
        <v>Low</v>
      </c>
      <c r="I12960">
        <v>3</v>
      </c>
      <c r="J12960" t="str" cm="1">
        <f t="array" ref="J12960">_xlfn.IFS(I12960&lt;=3,"small",I12960&lt;=6,"Medium",I12960&lt;=9,"Large")</f>
        <v>small</v>
      </c>
      <c r="K12960" s="36">
        <v>45534</v>
      </c>
      <c r="L12960" s="36">
        <v>45539</v>
      </c>
      <c r="M12960" t="s">
        <v>603</v>
      </c>
      <c r="N12960" t="s">
        <v>608</v>
      </c>
      <c r="O12960" s="37" t="str">
        <f t="shared" si="1013"/>
        <v>Cash Payment</v>
      </c>
      <c r="P12960">
        <v>655.27</v>
      </c>
      <c r="Q12960" s="37" t="str">
        <f>IF(P12960&gt;500,"High","low")</f>
        <v>High</v>
      </c>
      <c r="R12960" s="37" t="str">
        <f t="shared" si="1014"/>
        <v>Good</v>
      </c>
      <c r="S12960" t="s">
        <v>605</v>
      </c>
    </row>
    <row r="12961" spans="1:19" x14ac:dyDescent="0.2">
      <c r="A12961" t="s">
        <v>13572</v>
      </c>
      <c r="B12961" t="s">
        <v>67</v>
      </c>
      <c r="C12961" t="s">
        <v>602</v>
      </c>
      <c r="D12961">
        <v>892.61</v>
      </c>
      <c r="E12961" s="37" t="str">
        <f t="shared" si="1010"/>
        <v xml:space="preserve"> </v>
      </c>
      <c r="F12961">
        <v>0.17</v>
      </c>
      <c r="G12961" s="37" t="str">
        <f t="shared" si="1011"/>
        <v>Normal Discount</v>
      </c>
      <c r="H12961" s="37" t="str">
        <f t="shared" si="1012"/>
        <v>Low</v>
      </c>
      <c r="I12961">
        <v>8</v>
      </c>
      <c r="J12961" t="str" cm="1">
        <f t="array" ref="J12961">_xlfn.IFS(I12961&lt;=3,"small",I12961&lt;=6,"Medium",I12961&lt;=9,"Large")</f>
        <v>Large</v>
      </c>
      <c r="K12961" s="36">
        <v>45486</v>
      </c>
      <c r="L12961" s="36">
        <v>45492</v>
      </c>
      <c r="M12961" t="s">
        <v>598</v>
      </c>
      <c r="N12961" t="s">
        <v>604</v>
      </c>
      <c r="O12961" s="37" t="str">
        <f t="shared" si="1013"/>
        <v>Digital Payment</v>
      </c>
      <c r="P12961">
        <v>99.71</v>
      </c>
      <c r="Q12961" s="37" t="str">
        <f>IF(P12961&gt;500,"High","low")</f>
        <v>low</v>
      </c>
      <c r="R12961" s="37" t="str">
        <f t="shared" si="1014"/>
        <v>AVERAGE</v>
      </c>
      <c r="S12961" t="s">
        <v>600</v>
      </c>
    </row>
    <row r="12962" spans="1:19" x14ac:dyDescent="0.2">
      <c r="A12962" t="s">
        <v>13573</v>
      </c>
      <c r="B12962" t="s">
        <v>90</v>
      </c>
      <c r="C12962" t="s">
        <v>607</v>
      </c>
      <c r="D12962">
        <v>3813.27</v>
      </c>
      <c r="E12962" s="37" t="str">
        <f t="shared" si="1010"/>
        <v xml:space="preserve"> </v>
      </c>
      <c r="F12962">
        <v>0.02</v>
      </c>
      <c r="G12962" s="37" t="str">
        <f t="shared" si="1011"/>
        <v>Normal Discount</v>
      </c>
      <c r="H12962" s="37" t="str">
        <f t="shared" si="1012"/>
        <v>Low</v>
      </c>
      <c r="I12962">
        <v>8</v>
      </c>
      <c r="J12962" t="str" cm="1">
        <f t="array" ref="J12962">_xlfn.IFS(I12962&lt;=3,"small",I12962&lt;=6,"Medium",I12962&lt;=9,"Large")</f>
        <v>Large</v>
      </c>
      <c r="K12962" s="36">
        <v>45486</v>
      </c>
      <c r="L12962" s="36">
        <v>45493</v>
      </c>
      <c r="M12962" t="s">
        <v>598</v>
      </c>
      <c r="N12962" t="s">
        <v>608</v>
      </c>
      <c r="O12962" s="37" t="str">
        <f t="shared" si="1013"/>
        <v>Cash Payment</v>
      </c>
      <c r="P12962">
        <v>434.54</v>
      </c>
      <c r="Q12962" s="37" t="str">
        <f>IF(P12962&gt;500,"High","low")</f>
        <v>low</v>
      </c>
      <c r="R12962" s="37" t="str">
        <f t="shared" si="1014"/>
        <v>AVERAGE</v>
      </c>
      <c r="S12962" t="s">
        <v>615</v>
      </c>
    </row>
    <row r="12963" spans="1:19" x14ac:dyDescent="0.2">
      <c r="A12963" t="s">
        <v>13574</v>
      </c>
      <c r="B12963" t="s">
        <v>90</v>
      </c>
      <c r="C12963" t="s">
        <v>607</v>
      </c>
      <c r="D12963">
        <v>4449.49</v>
      </c>
      <c r="E12963" s="37" t="str">
        <f t="shared" si="1010"/>
        <v>Excellent Order</v>
      </c>
      <c r="F12963">
        <v>0.1</v>
      </c>
      <c r="G12963" s="37" t="str">
        <f t="shared" si="1011"/>
        <v>Normal Discount</v>
      </c>
      <c r="H12963" s="37" t="str">
        <f t="shared" si="1012"/>
        <v>Low</v>
      </c>
      <c r="I12963">
        <v>2</v>
      </c>
      <c r="J12963" t="str" cm="1">
        <f t="array" ref="J12963">_xlfn.IFS(I12963&lt;=3,"small",I12963&lt;=6,"Medium",I12963&lt;=9,"Large")</f>
        <v>small</v>
      </c>
      <c r="K12963" s="36">
        <v>45166</v>
      </c>
      <c r="L12963" s="36">
        <v>45170</v>
      </c>
      <c r="M12963" t="s">
        <v>612</v>
      </c>
      <c r="N12963" t="s">
        <v>608</v>
      </c>
      <c r="O12963" s="37" t="str">
        <f t="shared" si="1013"/>
        <v>Cash Payment</v>
      </c>
      <c r="P12963">
        <v>1064.6600000000001</v>
      </c>
      <c r="Q12963" s="37" t="str">
        <f>IF(P12963&gt;500,"High","low")</f>
        <v>High</v>
      </c>
      <c r="R12963" s="37" t="str">
        <f t="shared" si="1014"/>
        <v>Excellent</v>
      </c>
      <c r="S12963" t="s">
        <v>609</v>
      </c>
    </row>
    <row r="12964" spans="1:19" x14ac:dyDescent="0.2">
      <c r="A12964" t="s">
        <v>13575</v>
      </c>
      <c r="B12964" t="s">
        <v>83</v>
      </c>
      <c r="C12964" t="s">
        <v>614</v>
      </c>
      <c r="D12964">
        <v>2687.04</v>
      </c>
      <c r="E12964" s="37" t="str">
        <f t="shared" si="1010"/>
        <v xml:space="preserve"> </v>
      </c>
      <c r="F12964">
        <v>0.17</v>
      </c>
      <c r="G12964" s="37" t="str">
        <f t="shared" si="1011"/>
        <v>Normal Discount</v>
      </c>
      <c r="H12964" s="37" t="str">
        <f t="shared" si="1012"/>
        <v>Low</v>
      </c>
      <c r="I12964">
        <v>7</v>
      </c>
      <c r="J12964" t="str" cm="1">
        <f t="array" ref="J12964">_xlfn.IFS(I12964&lt;=3,"small",I12964&lt;=6,"Medium",I12964&lt;=9,"Large")</f>
        <v>Large</v>
      </c>
      <c r="K12964" s="36">
        <v>45148</v>
      </c>
      <c r="L12964" s="36">
        <v>45153</v>
      </c>
      <c r="M12964" t="s">
        <v>598</v>
      </c>
      <c r="N12964" t="s">
        <v>599</v>
      </c>
      <c r="O12964" s="37" t="str">
        <f t="shared" si="1013"/>
        <v>Digital Payment</v>
      </c>
      <c r="P12964">
        <v>548.62</v>
      </c>
      <c r="Q12964" s="37" t="str">
        <f>IF(P12964&gt;500,"High","low")</f>
        <v>High</v>
      </c>
      <c r="R12964" s="37" t="str">
        <f t="shared" si="1014"/>
        <v>Good</v>
      </c>
      <c r="S12964" t="s">
        <v>615</v>
      </c>
    </row>
    <row r="12965" spans="1:19" x14ac:dyDescent="0.2">
      <c r="A12965" t="s">
        <v>13576</v>
      </c>
      <c r="B12965" t="s">
        <v>75</v>
      </c>
      <c r="C12965" t="s">
        <v>602</v>
      </c>
      <c r="D12965">
        <v>238.96</v>
      </c>
      <c r="E12965" s="37" t="str">
        <f t="shared" si="1010"/>
        <v xml:space="preserve"> </v>
      </c>
      <c r="F12965">
        <v>0.49</v>
      </c>
      <c r="G12965" s="37" t="str">
        <f t="shared" si="1011"/>
        <v>Heavy Discount</v>
      </c>
      <c r="H12965" s="37" t="str">
        <f t="shared" si="1012"/>
        <v>High</v>
      </c>
      <c r="I12965">
        <v>6</v>
      </c>
      <c r="J12965" t="str" cm="1">
        <f t="array" ref="J12965">_xlfn.IFS(I12965&lt;=3,"small",I12965&lt;=6,"Medium",I12965&lt;=9,"Large")</f>
        <v>Medium</v>
      </c>
      <c r="K12965" s="36">
        <v>45593</v>
      </c>
      <c r="L12965" s="36">
        <v>45598</v>
      </c>
      <c r="M12965" t="s">
        <v>598</v>
      </c>
      <c r="N12965" t="s">
        <v>604</v>
      </c>
      <c r="O12965" s="37" t="str">
        <f t="shared" si="1013"/>
        <v>Digital Payment</v>
      </c>
      <c r="P12965">
        <v>61.45</v>
      </c>
      <c r="Q12965" s="37" t="str">
        <f>IF(P12965&gt;500,"High","low")</f>
        <v>low</v>
      </c>
      <c r="R12965" s="37" t="str">
        <f t="shared" si="1014"/>
        <v>AVERAGE</v>
      </c>
      <c r="S12965" t="s">
        <v>628</v>
      </c>
    </row>
    <row r="12966" spans="1:19" x14ac:dyDescent="0.2">
      <c r="A12966" t="s">
        <v>13577</v>
      </c>
      <c r="B12966" t="s">
        <v>90</v>
      </c>
      <c r="C12966" t="s">
        <v>617</v>
      </c>
      <c r="D12966">
        <v>1889.2</v>
      </c>
      <c r="E12966" s="37" t="str">
        <f t="shared" si="1010"/>
        <v xml:space="preserve"> </v>
      </c>
      <c r="F12966">
        <v>0.26</v>
      </c>
      <c r="G12966" s="37" t="str">
        <f t="shared" si="1011"/>
        <v>Normal Discount</v>
      </c>
      <c r="H12966" s="37" t="str">
        <f t="shared" si="1012"/>
        <v>Medium</v>
      </c>
      <c r="I12966">
        <v>1</v>
      </c>
      <c r="J12966" t="str" cm="1">
        <f t="array" ref="J12966">_xlfn.IFS(I12966&lt;=3,"small",I12966&lt;=6,"Medium",I12966&lt;=9,"Large")</f>
        <v>small</v>
      </c>
      <c r="K12966" s="36">
        <v>45500</v>
      </c>
      <c r="L12966" s="36">
        <v>45503</v>
      </c>
      <c r="M12966" t="s">
        <v>603</v>
      </c>
      <c r="N12966" t="s">
        <v>604</v>
      </c>
      <c r="O12966" s="37" t="str">
        <f t="shared" si="1013"/>
        <v>Digital Payment</v>
      </c>
      <c r="P12966">
        <v>280.67</v>
      </c>
      <c r="Q12966" s="37" t="str">
        <f>IF(P12966&gt;500,"High","low")</f>
        <v>low</v>
      </c>
      <c r="R12966" s="37" t="str">
        <f t="shared" si="1014"/>
        <v>AVERAGE</v>
      </c>
      <c r="S12966" t="s">
        <v>605</v>
      </c>
    </row>
    <row r="12967" spans="1:19" x14ac:dyDescent="0.2">
      <c r="A12967" t="s">
        <v>13578</v>
      </c>
      <c r="B12967" t="s">
        <v>67</v>
      </c>
      <c r="C12967" t="s">
        <v>607</v>
      </c>
      <c r="D12967">
        <v>1291.2</v>
      </c>
      <c r="E12967" s="37" t="str">
        <f t="shared" si="1010"/>
        <v xml:space="preserve"> </v>
      </c>
      <c r="F12967">
        <v>0.35</v>
      </c>
      <c r="G12967" s="37" t="str">
        <f t="shared" si="1011"/>
        <v>Heavy Discount</v>
      </c>
      <c r="H12967" s="37" t="str">
        <f t="shared" si="1012"/>
        <v>Medium</v>
      </c>
      <c r="I12967">
        <v>2</v>
      </c>
      <c r="J12967" t="str" cm="1">
        <f t="array" ref="J12967">_xlfn.IFS(I12967&lt;=3,"small",I12967&lt;=6,"Medium",I12967&lt;=9,"Large")</f>
        <v>small</v>
      </c>
      <c r="K12967" s="36">
        <v>45028</v>
      </c>
      <c r="L12967" s="36">
        <v>45032</v>
      </c>
      <c r="M12967" t="s">
        <v>598</v>
      </c>
      <c r="N12967" t="s">
        <v>599</v>
      </c>
      <c r="O12967" s="37" t="str">
        <f t="shared" si="1013"/>
        <v>Digital Payment</v>
      </c>
      <c r="P12967">
        <v>299.08999999999997</v>
      </c>
      <c r="Q12967" s="37" t="str">
        <f>IF(P12967&gt;500,"High","low")</f>
        <v>low</v>
      </c>
      <c r="R12967" s="37" t="str">
        <f t="shared" si="1014"/>
        <v>AVERAGE</v>
      </c>
      <c r="S12967" t="s">
        <v>620</v>
      </c>
    </row>
    <row r="12968" spans="1:19" x14ac:dyDescent="0.2">
      <c r="A12968" t="s">
        <v>13579</v>
      </c>
      <c r="B12968" t="s">
        <v>90</v>
      </c>
      <c r="C12968" t="s">
        <v>617</v>
      </c>
      <c r="D12968">
        <v>3218.35</v>
      </c>
      <c r="E12968" s="37" t="str">
        <f t="shared" si="1010"/>
        <v xml:space="preserve"> </v>
      </c>
      <c r="F12968">
        <v>0.34</v>
      </c>
      <c r="G12968" s="37" t="str">
        <f t="shared" si="1011"/>
        <v>Heavy Discount</v>
      </c>
      <c r="H12968" s="37" t="str">
        <f t="shared" si="1012"/>
        <v>Medium</v>
      </c>
      <c r="I12968">
        <v>4</v>
      </c>
      <c r="J12968" t="str" cm="1">
        <f t="array" ref="J12968">_xlfn.IFS(I12968&lt;=3,"small",I12968&lt;=6,"Medium",I12968&lt;=9,"Large")</f>
        <v>Medium</v>
      </c>
      <c r="K12968" s="36">
        <v>45307</v>
      </c>
      <c r="L12968" s="36">
        <v>45312</v>
      </c>
      <c r="M12968" t="s">
        <v>603</v>
      </c>
      <c r="N12968" t="s">
        <v>608</v>
      </c>
      <c r="O12968" s="37" t="str">
        <f t="shared" si="1013"/>
        <v>Cash Payment</v>
      </c>
      <c r="P12968">
        <v>604.75</v>
      </c>
      <c r="Q12968" s="37" t="str">
        <f>IF(P12968&gt;500,"High","low")</f>
        <v>High</v>
      </c>
      <c r="R12968" s="37" t="str">
        <f t="shared" si="1014"/>
        <v>Good</v>
      </c>
      <c r="S12968" t="s">
        <v>615</v>
      </c>
    </row>
    <row r="12969" spans="1:19" x14ac:dyDescent="0.2">
      <c r="A12969" t="s">
        <v>13580</v>
      </c>
      <c r="B12969" t="s">
        <v>90</v>
      </c>
      <c r="C12969" t="s">
        <v>602</v>
      </c>
      <c r="D12969">
        <v>2642.4</v>
      </c>
      <c r="E12969" s="37" t="str">
        <f t="shared" si="1010"/>
        <v xml:space="preserve"> </v>
      </c>
      <c r="F12969">
        <v>0.49</v>
      </c>
      <c r="G12969" s="37" t="str">
        <f t="shared" si="1011"/>
        <v>Heavy Discount</v>
      </c>
      <c r="H12969" s="37" t="str">
        <f t="shared" si="1012"/>
        <v>High</v>
      </c>
      <c r="I12969">
        <v>2</v>
      </c>
      <c r="J12969" t="str" cm="1">
        <f t="array" ref="J12969">_xlfn.IFS(I12969&lt;=3,"small",I12969&lt;=6,"Medium",I12969&lt;=9,"Large")</f>
        <v>small</v>
      </c>
      <c r="K12969" s="36">
        <v>45284</v>
      </c>
      <c r="L12969" s="36">
        <v>45289</v>
      </c>
      <c r="M12969" t="s">
        <v>598</v>
      </c>
      <c r="N12969" t="s">
        <v>599</v>
      </c>
      <c r="O12969" s="37" t="str">
        <f t="shared" si="1013"/>
        <v>Digital Payment</v>
      </c>
      <c r="P12969">
        <v>474.77</v>
      </c>
      <c r="Q12969" s="37" t="str">
        <f>IF(P12969&gt;500,"High","low")</f>
        <v>low</v>
      </c>
      <c r="R12969" s="37" t="str">
        <f t="shared" si="1014"/>
        <v>AVERAGE</v>
      </c>
      <c r="S12969" t="s">
        <v>600</v>
      </c>
    </row>
    <row r="12970" spans="1:19" x14ac:dyDescent="0.2">
      <c r="A12970" t="s">
        <v>13581</v>
      </c>
      <c r="B12970" t="s">
        <v>83</v>
      </c>
      <c r="C12970" t="s">
        <v>602</v>
      </c>
      <c r="D12970">
        <v>1843.11</v>
      </c>
      <c r="E12970" s="37" t="str">
        <f t="shared" si="1010"/>
        <v xml:space="preserve"> </v>
      </c>
      <c r="F12970">
        <v>0.28000000000000003</v>
      </c>
      <c r="G12970" s="37" t="str">
        <f t="shared" si="1011"/>
        <v>Normal Discount</v>
      </c>
      <c r="H12970" s="37" t="str">
        <f t="shared" si="1012"/>
        <v>Medium</v>
      </c>
      <c r="I12970">
        <v>5</v>
      </c>
      <c r="J12970" t="str" cm="1">
        <f t="array" ref="J12970">_xlfn.IFS(I12970&lt;=3,"small",I12970&lt;=6,"Medium",I12970&lt;=9,"Large")</f>
        <v>Medium</v>
      </c>
      <c r="K12970" s="36">
        <v>45260</v>
      </c>
      <c r="L12970" s="36">
        <v>45263</v>
      </c>
      <c r="M12970" t="s">
        <v>603</v>
      </c>
      <c r="N12970" t="s">
        <v>599</v>
      </c>
      <c r="O12970" s="37" t="str">
        <f t="shared" si="1013"/>
        <v>Digital Payment</v>
      </c>
      <c r="P12970">
        <v>382.32</v>
      </c>
      <c r="Q12970" s="37" t="str">
        <f>IF(P12970&gt;500,"High","low")</f>
        <v>low</v>
      </c>
      <c r="R12970" s="37" t="str">
        <f t="shared" si="1014"/>
        <v>AVERAGE</v>
      </c>
      <c r="S12970" t="s">
        <v>620</v>
      </c>
    </row>
    <row r="12971" spans="1:19" x14ac:dyDescent="0.2">
      <c r="A12971" t="s">
        <v>13582</v>
      </c>
      <c r="B12971" t="s">
        <v>67</v>
      </c>
      <c r="C12971" t="s">
        <v>614</v>
      </c>
      <c r="D12971">
        <v>3277.68</v>
      </c>
      <c r="E12971" s="37" t="str">
        <f t="shared" si="1010"/>
        <v xml:space="preserve"> </v>
      </c>
      <c r="F12971">
        <v>0.28999999999999998</v>
      </c>
      <c r="G12971" s="37" t="str">
        <f t="shared" si="1011"/>
        <v>Normal Discount</v>
      </c>
      <c r="H12971" s="37" t="str">
        <f t="shared" si="1012"/>
        <v>Medium</v>
      </c>
      <c r="I12971">
        <v>3</v>
      </c>
      <c r="J12971" t="str" cm="1">
        <f t="array" ref="J12971">_xlfn.IFS(I12971&lt;=3,"small",I12971&lt;=6,"Medium",I12971&lt;=9,"Large")</f>
        <v>small</v>
      </c>
      <c r="K12971" s="36">
        <v>45234</v>
      </c>
      <c r="L12971" s="36">
        <v>45238</v>
      </c>
      <c r="M12971" t="s">
        <v>612</v>
      </c>
      <c r="N12971" t="s">
        <v>604</v>
      </c>
      <c r="O12971" s="37" t="str">
        <f t="shared" si="1013"/>
        <v>Digital Payment</v>
      </c>
      <c r="P12971">
        <v>911.09</v>
      </c>
      <c r="Q12971" s="37" t="str">
        <f>IF(P12971&gt;500,"High","low")</f>
        <v>High</v>
      </c>
      <c r="R12971" s="37" t="str">
        <f t="shared" si="1014"/>
        <v>Good</v>
      </c>
      <c r="S12971" t="s">
        <v>609</v>
      </c>
    </row>
    <row r="12972" spans="1:19" x14ac:dyDescent="0.2">
      <c r="A12972" t="s">
        <v>13583</v>
      </c>
      <c r="B12972" t="s">
        <v>67</v>
      </c>
      <c r="C12972" t="s">
        <v>597</v>
      </c>
      <c r="D12972">
        <v>2963.7</v>
      </c>
      <c r="E12972" s="37" t="str">
        <f t="shared" si="1010"/>
        <v xml:space="preserve"> </v>
      </c>
      <c r="F12972">
        <v>0.15</v>
      </c>
      <c r="G12972" s="37" t="str">
        <f t="shared" si="1011"/>
        <v>Normal Discount</v>
      </c>
      <c r="H12972" s="37" t="str">
        <f t="shared" si="1012"/>
        <v>Low</v>
      </c>
      <c r="I12972">
        <v>6</v>
      </c>
      <c r="J12972" t="str" cm="1">
        <f t="array" ref="J12972">_xlfn.IFS(I12972&lt;=3,"small",I12972&lt;=6,"Medium",I12972&lt;=9,"Large")</f>
        <v>Medium</v>
      </c>
      <c r="K12972" s="36">
        <v>44927</v>
      </c>
      <c r="L12972" s="36">
        <v>44934</v>
      </c>
      <c r="M12972" t="s">
        <v>612</v>
      </c>
      <c r="N12972" t="s">
        <v>604</v>
      </c>
      <c r="O12972" s="37" t="str">
        <f t="shared" si="1013"/>
        <v>Digital Payment</v>
      </c>
      <c r="P12972">
        <v>614.41999999999996</v>
      </c>
      <c r="Q12972" s="37" t="str">
        <f>IF(P12972&gt;500,"High","low")</f>
        <v>High</v>
      </c>
      <c r="R12972" s="37" t="str">
        <f t="shared" si="1014"/>
        <v>Good</v>
      </c>
      <c r="S12972" t="s">
        <v>605</v>
      </c>
    </row>
    <row r="12973" spans="1:19" x14ac:dyDescent="0.2">
      <c r="A12973" t="s">
        <v>13584</v>
      </c>
      <c r="B12973" t="s">
        <v>67</v>
      </c>
      <c r="C12973" t="s">
        <v>614</v>
      </c>
      <c r="D12973">
        <v>4541.8</v>
      </c>
      <c r="E12973" s="37" t="str">
        <f t="shared" si="1010"/>
        <v>Excellent Order</v>
      </c>
      <c r="F12973">
        <v>0.31</v>
      </c>
      <c r="G12973" s="37" t="str">
        <f t="shared" si="1011"/>
        <v>Heavy Discount</v>
      </c>
      <c r="H12973" s="37" t="str">
        <f t="shared" si="1012"/>
        <v>Medium</v>
      </c>
      <c r="I12973">
        <v>9</v>
      </c>
      <c r="J12973" t="str" cm="1">
        <f t="array" ref="J12973">_xlfn.IFS(I12973&lt;=3,"small",I12973&lt;=6,"Medium",I12973&lt;=9,"Large")</f>
        <v>Large</v>
      </c>
      <c r="K12973" s="36">
        <v>45478</v>
      </c>
      <c r="L12973" s="36">
        <v>45480</v>
      </c>
      <c r="M12973" t="s">
        <v>612</v>
      </c>
      <c r="N12973" t="s">
        <v>608</v>
      </c>
      <c r="O12973" s="37" t="str">
        <f t="shared" si="1013"/>
        <v>Cash Payment</v>
      </c>
      <c r="P12973">
        <v>846.13</v>
      </c>
      <c r="Q12973" s="37" t="str">
        <f>IF(P12973&gt;500,"High","low")</f>
        <v>High</v>
      </c>
      <c r="R12973" s="37" t="str">
        <f t="shared" si="1014"/>
        <v>Good</v>
      </c>
      <c r="S12973" t="s">
        <v>620</v>
      </c>
    </row>
    <row r="12974" spans="1:19" x14ac:dyDescent="0.2">
      <c r="A12974" t="s">
        <v>13585</v>
      </c>
      <c r="B12974" t="s">
        <v>83</v>
      </c>
      <c r="C12974" t="s">
        <v>617</v>
      </c>
      <c r="D12974">
        <v>3024.33</v>
      </c>
      <c r="E12974" s="37" t="str">
        <f t="shared" si="1010"/>
        <v xml:space="preserve"> </v>
      </c>
      <c r="F12974">
        <v>0.38</v>
      </c>
      <c r="G12974" s="37" t="str">
        <f t="shared" si="1011"/>
        <v>Heavy Discount</v>
      </c>
      <c r="H12974" s="37" t="str">
        <f t="shared" si="1012"/>
        <v>Medium</v>
      </c>
      <c r="I12974">
        <v>7</v>
      </c>
      <c r="J12974" t="str" cm="1">
        <f t="array" ref="J12974">_xlfn.IFS(I12974&lt;=3,"small",I12974&lt;=6,"Medium",I12974&lt;=9,"Large")</f>
        <v>Large</v>
      </c>
      <c r="K12974" s="36">
        <v>45510</v>
      </c>
      <c r="L12974" s="36">
        <v>45516</v>
      </c>
      <c r="M12974" t="s">
        <v>598</v>
      </c>
      <c r="N12974" t="s">
        <v>608</v>
      </c>
      <c r="O12974" s="37" t="str">
        <f t="shared" si="1013"/>
        <v>Cash Payment</v>
      </c>
      <c r="P12974">
        <v>895.71</v>
      </c>
      <c r="Q12974" s="37" t="str">
        <f>IF(P12974&gt;500,"High","low")</f>
        <v>High</v>
      </c>
      <c r="R12974" s="37" t="str">
        <f t="shared" si="1014"/>
        <v>Good</v>
      </c>
      <c r="S12974" t="s">
        <v>615</v>
      </c>
    </row>
    <row r="12975" spans="1:19" x14ac:dyDescent="0.2">
      <c r="A12975" t="s">
        <v>13586</v>
      </c>
      <c r="B12975" t="s">
        <v>67</v>
      </c>
      <c r="C12975" t="s">
        <v>614</v>
      </c>
      <c r="D12975">
        <v>2587.79</v>
      </c>
      <c r="E12975" s="37" t="str">
        <f t="shared" si="1010"/>
        <v xml:space="preserve"> </v>
      </c>
      <c r="F12975">
        <v>0.05</v>
      </c>
      <c r="G12975" s="37" t="str">
        <f t="shared" si="1011"/>
        <v>Normal Discount</v>
      </c>
      <c r="H12975" s="37" t="str">
        <f t="shared" si="1012"/>
        <v>Low</v>
      </c>
      <c r="I12975">
        <v>5</v>
      </c>
      <c r="J12975" t="str" cm="1">
        <f t="array" ref="J12975">_xlfn.IFS(I12975&lt;=3,"small",I12975&lt;=6,"Medium",I12975&lt;=9,"Large")</f>
        <v>Medium</v>
      </c>
      <c r="K12975" s="36">
        <v>45071</v>
      </c>
      <c r="L12975" s="36">
        <v>45078</v>
      </c>
      <c r="M12975" t="s">
        <v>612</v>
      </c>
      <c r="N12975" t="s">
        <v>599</v>
      </c>
      <c r="O12975" s="37" t="str">
        <f t="shared" si="1013"/>
        <v>Digital Payment</v>
      </c>
      <c r="P12975">
        <v>665.68</v>
      </c>
      <c r="Q12975" s="37" t="str">
        <f>IF(P12975&gt;500,"High","low")</f>
        <v>High</v>
      </c>
      <c r="R12975" s="37" t="str">
        <f t="shared" si="1014"/>
        <v>Good</v>
      </c>
      <c r="S12975" t="s">
        <v>628</v>
      </c>
    </row>
    <row r="12976" spans="1:19" x14ac:dyDescent="0.2">
      <c r="A12976" t="s">
        <v>13587</v>
      </c>
      <c r="B12976" t="s">
        <v>67</v>
      </c>
      <c r="C12976" t="s">
        <v>602</v>
      </c>
      <c r="D12976">
        <v>4135.9799999999996</v>
      </c>
      <c r="E12976" s="37" t="str">
        <f t="shared" si="1010"/>
        <v xml:space="preserve"> </v>
      </c>
      <c r="F12976">
        <v>0.24</v>
      </c>
      <c r="G12976" s="37" t="str">
        <f t="shared" si="1011"/>
        <v>Normal Discount</v>
      </c>
      <c r="H12976" s="37" t="str">
        <f t="shared" si="1012"/>
        <v>Medium</v>
      </c>
      <c r="I12976">
        <v>1</v>
      </c>
      <c r="J12976" t="str" cm="1">
        <f t="array" ref="J12976">_xlfn.IFS(I12976&lt;=3,"small",I12976&lt;=6,"Medium",I12976&lt;=9,"Large")</f>
        <v>small</v>
      </c>
      <c r="K12976" s="36">
        <v>44927</v>
      </c>
      <c r="L12976" s="36">
        <v>44932</v>
      </c>
      <c r="M12976" t="s">
        <v>612</v>
      </c>
      <c r="N12976" t="s">
        <v>599</v>
      </c>
      <c r="O12976" s="37" t="str">
        <f t="shared" si="1013"/>
        <v>Digital Payment</v>
      </c>
      <c r="P12976">
        <v>220.18</v>
      </c>
      <c r="Q12976" s="37" t="str">
        <f>IF(P12976&gt;500,"High","low")</f>
        <v>low</v>
      </c>
      <c r="R12976" s="37" t="str">
        <f t="shared" si="1014"/>
        <v>AVERAGE</v>
      </c>
      <c r="S12976" t="s">
        <v>620</v>
      </c>
    </row>
    <row r="12977" spans="1:19" x14ac:dyDescent="0.2">
      <c r="A12977" t="s">
        <v>13588</v>
      </c>
      <c r="B12977" t="s">
        <v>90</v>
      </c>
      <c r="C12977" t="s">
        <v>607</v>
      </c>
      <c r="D12977">
        <v>1091.8599999999999</v>
      </c>
      <c r="E12977" s="37" t="str">
        <f t="shared" si="1010"/>
        <v xml:space="preserve"> </v>
      </c>
      <c r="F12977">
        <v>0.21</v>
      </c>
      <c r="G12977" s="37" t="str">
        <f t="shared" si="1011"/>
        <v>Normal Discount</v>
      </c>
      <c r="H12977" s="37" t="str">
        <f t="shared" si="1012"/>
        <v>Medium</v>
      </c>
      <c r="I12977">
        <v>1</v>
      </c>
      <c r="J12977" t="str" cm="1">
        <f t="array" ref="J12977">_xlfn.IFS(I12977&lt;=3,"small",I12977&lt;=6,"Medium",I12977&lt;=9,"Large")</f>
        <v>small</v>
      </c>
      <c r="K12977" s="36">
        <v>45516</v>
      </c>
      <c r="L12977" s="36">
        <v>45523</v>
      </c>
      <c r="M12977" t="s">
        <v>603</v>
      </c>
      <c r="N12977" t="s">
        <v>608</v>
      </c>
      <c r="O12977" s="37" t="str">
        <f t="shared" si="1013"/>
        <v>Cash Payment</v>
      </c>
      <c r="P12977">
        <v>119.6</v>
      </c>
      <c r="Q12977" s="37" t="str">
        <f>IF(P12977&gt;500,"High","low")</f>
        <v>low</v>
      </c>
      <c r="R12977" s="37" t="str">
        <f t="shared" si="1014"/>
        <v>AVERAGE</v>
      </c>
      <c r="S12977" t="s">
        <v>615</v>
      </c>
    </row>
    <row r="12978" spans="1:19" x14ac:dyDescent="0.2">
      <c r="A12978" t="s">
        <v>13589</v>
      </c>
      <c r="B12978" t="s">
        <v>90</v>
      </c>
      <c r="C12978" t="s">
        <v>597</v>
      </c>
      <c r="D12978">
        <v>1293.47</v>
      </c>
      <c r="E12978" s="37" t="str">
        <f t="shared" si="1010"/>
        <v xml:space="preserve"> </v>
      </c>
      <c r="F12978">
        <v>0.06</v>
      </c>
      <c r="G12978" s="37" t="str">
        <f t="shared" si="1011"/>
        <v>Normal Discount</v>
      </c>
      <c r="H12978" s="37" t="str">
        <f t="shared" si="1012"/>
        <v>Low</v>
      </c>
      <c r="I12978">
        <v>1</v>
      </c>
      <c r="J12978" t="str" cm="1">
        <f t="array" ref="J12978">_xlfn.IFS(I12978&lt;=3,"small",I12978&lt;=6,"Medium",I12978&lt;=9,"Large")</f>
        <v>small</v>
      </c>
      <c r="K12978" s="36">
        <v>45417</v>
      </c>
      <c r="L12978" s="36">
        <v>45418</v>
      </c>
      <c r="M12978" t="s">
        <v>603</v>
      </c>
      <c r="N12978" t="s">
        <v>608</v>
      </c>
      <c r="O12978" s="37" t="str">
        <f t="shared" si="1013"/>
        <v>Cash Payment</v>
      </c>
      <c r="P12978">
        <v>205.96</v>
      </c>
      <c r="Q12978" s="37" t="str">
        <f>IF(P12978&gt;500,"High","low")</f>
        <v>low</v>
      </c>
      <c r="R12978" s="37" t="str">
        <f t="shared" si="1014"/>
        <v>AVERAGE</v>
      </c>
      <c r="S12978" t="s">
        <v>615</v>
      </c>
    </row>
    <row r="12979" spans="1:19" x14ac:dyDescent="0.2">
      <c r="A12979" t="s">
        <v>13590</v>
      </c>
      <c r="B12979" t="s">
        <v>67</v>
      </c>
      <c r="C12979" t="s">
        <v>602</v>
      </c>
      <c r="D12979">
        <v>3939.51</v>
      </c>
      <c r="E12979" s="37" t="str">
        <f t="shared" si="1010"/>
        <v xml:space="preserve"> </v>
      </c>
      <c r="F12979">
        <v>0.17</v>
      </c>
      <c r="G12979" s="37" t="str">
        <f t="shared" si="1011"/>
        <v>Normal Discount</v>
      </c>
      <c r="H12979" s="37" t="str">
        <f t="shared" si="1012"/>
        <v>Low</v>
      </c>
      <c r="I12979">
        <v>3</v>
      </c>
      <c r="J12979" t="str" cm="1">
        <f t="array" ref="J12979">_xlfn.IFS(I12979&lt;=3,"small",I12979&lt;=6,"Medium",I12979&lt;=9,"Large")</f>
        <v>small</v>
      </c>
      <c r="K12979" s="36">
        <v>45418</v>
      </c>
      <c r="L12979" s="36">
        <v>45424</v>
      </c>
      <c r="M12979" t="s">
        <v>612</v>
      </c>
      <c r="N12979" t="s">
        <v>604</v>
      </c>
      <c r="O12979" s="37" t="str">
        <f t="shared" si="1013"/>
        <v>Digital Payment</v>
      </c>
      <c r="P12979">
        <v>632.24</v>
      </c>
      <c r="Q12979" s="37" t="str">
        <f>IF(P12979&gt;500,"High","low")</f>
        <v>High</v>
      </c>
      <c r="R12979" s="37" t="str">
        <f t="shared" si="1014"/>
        <v>Good</v>
      </c>
      <c r="S12979" t="s">
        <v>628</v>
      </c>
    </row>
    <row r="12980" spans="1:19" x14ac:dyDescent="0.2">
      <c r="A12980" t="s">
        <v>13591</v>
      </c>
      <c r="B12980" t="s">
        <v>75</v>
      </c>
      <c r="C12980" t="s">
        <v>607</v>
      </c>
      <c r="D12980">
        <v>2267.52</v>
      </c>
      <c r="E12980" s="37" t="str">
        <f t="shared" si="1010"/>
        <v xml:space="preserve"> </v>
      </c>
      <c r="F12980">
        <v>0.27</v>
      </c>
      <c r="G12980" s="37" t="str">
        <f t="shared" si="1011"/>
        <v>Normal Discount</v>
      </c>
      <c r="H12980" s="37" t="str">
        <f t="shared" si="1012"/>
        <v>Medium</v>
      </c>
      <c r="I12980">
        <v>7</v>
      </c>
      <c r="J12980" t="str" cm="1">
        <f t="array" ref="J12980">_xlfn.IFS(I12980&lt;=3,"small",I12980&lt;=6,"Medium",I12980&lt;=9,"Large")</f>
        <v>Large</v>
      </c>
      <c r="K12980" s="36">
        <v>45643</v>
      </c>
      <c r="L12980" s="36">
        <v>45646</v>
      </c>
      <c r="M12980" t="s">
        <v>612</v>
      </c>
      <c r="N12980" t="s">
        <v>604</v>
      </c>
      <c r="O12980" s="37" t="str">
        <f t="shared" si="1013"/>
        <v>Digital Payment</v>
      </c>
      <c r="P12980">
        <v>653.78</v>
      </c>
      <c r="Q12980" s="37" t="str">
        <f>IF(P12980&gt;500,"High","low")</f>
        <v>High</v>
      </c>
      <c r="R12980" s="37" t="str">
        <f t="shared" si="1014"/>
        <v>Good</v>
      </c>
      <c r="S12980" t="s">
        <v>615</v>
      </c>
    </row>
    <row r="12981" spans="1:19" x14ac:dyDescent="0.2">
      <c r="A12981" t="s">
        <v>13592</v>
      </c>
      <c r="B12981" t="s">
        <v>75</v>
      </c>
      <c r="C12981" t="s">
        <v>617</v>
      </c>
      <c r="D12981">
        <v>2105.2600000000002</v>
      </c>
      <c r="E12981" s="37" t="str">
        <f t="shared" si="1010"/>
        <v xml:space="preserve"> </v>
      </c>
      <c r="F12981">
        <v>0.32</v>
      </c>
      <c r="G12981" s="37" t="str">
        <f t="shared" si="1011"/>
        <v>Heavy Discount</v>
      </c>
      <c r="H12981" s="37" t="str">
        <f t="shared" si="1012"/>
        <v>Medium</v>
      </c>
      <c r="I12981">
        <v>9</v>
      </c>
      <c r="J12981" t="str" cm="1">
        <f t="array" ref="J12981">_xlfn.IFS(I12981&lt;=3,"small",I12981&lt;=6,"Medium",I12981&lt;=9,"Large")</f>
        <v>Large</v>
      </c>
      <c r="K12981" s="36">
        <v>45643</v>
      </c>
      <c r="L12981" s="36">
        <v>45650</v>
      </c>
      <c r="M12981" t="s">
        <v>598</v>
      </c>
      <c r="N12981" t="s">
        <v>599</v>
      </c>
      <c r="O12981" s="37" t="str">
        <f t="shared" si="1013"/>
        <v>Digital Payment</v>
      </c>
      <c r="P12981">
        <v>263.64999999999998</v>
      </c>
      <c r="Q12981" s="37" t="str">
        <f>IF(P12981&gt;500,"High","low")</f>
        <v>low</v>
      </c>
      <c r="R12981" s="37" t="str">
        <f t="shared" si="1014"/>
        <v>AVERAGE</v>
      </c>
      <c r="S12981" t="s">
        <v>609</v>
      </c>
    </row>
    <row r="12982" spans="1:19" x14ac:dyDescent="0.2">
      <c r="A12982" t="s">
        <v>13593</v>
      </c>
      <c r="B12982" t="s">
        <v>67</v>
      </c>
      <c r="C12982" t="s">
        <v>617</v>
      </c>
      <c r="D12982">
        <v>4446.68</v>
      </c>
      <c r="E12982" s="37" t="str">
        <f t="shared" si="1010"/>
        <v>Excellent Order</v>
      </c>
      <c r="F12982">
        <v>0.14000000000000001</v>
      </c>
      <c r="G12982" s="37" t="str">
        <f t="shared" si="1011"/>
        <v>Normal Discount</v>
      </c>
      <c r="H12982" s="37" t="str">
        <f t="shared" si="1012"/>
        <v>Low</v>
      </c>
      <c r="I12982">
        <v>6</v>
      </c>
      <c r="J12982" t="str" cm="1">
        <f t="array" ref="J12982">_xlfn.IFS(I12982&lt;=3,"small",I12982&lt;=6,"Medium",I12982&lt;=9,"Large")</f>
        <v>Medium</v>
      </c>
      <c r="K12982" s="36">
        <v>45429</v>
      </c>
      <c r="L12982" s="36">
        <v>45435</v>
      </c>
      <c r="M12982" t="s">
        <v>598</v>
      </c>
      <c r="N12982" t="s">
        <v>608</v>
      </c>
      <c r="O12982" s="37" t="str">
        <f t="shared" si="1013"/>
        <v>Cash Payment</v>
      </c>
      <c r="P12982">
        <v>1300.75</v>
      </c>
      <c r="Q12982" s="37" t="str">
        <f>IF(P12982&gt;500,"High","low")</f>
        <v>High</v>
      </c>
      <c r="R12982" s="37" t="str">
        <f t="shared" si="1014"/>
        <v>Excellent</v>
      </c>
      <c r="S12982" t="s">
        <v>628</v>
      </c>
    </row>
    <row r="12983" spans="1:19" x14ac:dyDescent="0.2">
      <c r="A12983" t="s">
        <v>13594</v>
      </c>
      <c r="B12983" t="s">
        <v>75</v>
      </c>
      <c r="C12983" t="s">
        <v>617</v>
      </c>
      <c r="D12983">
        <v>3089.53</v>
      </c>
      <c r="E12983" s="37" t="str">
        <f t="shared" si="1010"/>
        <v xml:space="preserve"> </v>
      </c>
      <c r="F12983">
        <v>0.24</v>
      </c>
      <c r="G12983" s="37" t="str">
        <f t="shared" si="1011"/>
        <v>Normal Discount</v>
      </c>
      <c r="H12983" s="37" t="str">
        <f t="shared" si="1012"/>
        <v>Medium</v>
      </c>
      <c r="I12983">
        <v>7</v>
      </c>
      <c r="J12983" t="str" cm="1">
        <f t="array" ref="J12983">_xlfn.IFS(I12983&lt;=3,"small",I12983&lt;=6,"Medium",I12983&lt;=9,"Large")</f>
        <v>Large</v>
      </c>
      <c r="K12983" s="36">
        <v>45460</v>
      </c>
      <c r="L12983" s="36">
        <v>45463</v>
      </c>
      <c r="M12983" t="s">
        <v>598</v>
      </c>
      <c r="N12983" t="s">
        <v>604</v>
      </c>
      <c r="O12983" s="37" t="str">
        <f t="shared" si="1013"/>
        <v>Digital Payment</v>
      </c>
      <c r="P12983">
        <v>179.95</v>
      </c>
      <c r="Q12983" s="37" t="str">
        <f>IF(P12983&gt;500,"High","low")</f>
        <v>low</v>
      </c>
      <c r="R12983" s="37" t="str">
        <f t="shared" si="1014"/>
        <v>AVERAGE</v>
      </c>
      <c r="S12983" t="s">
        <v>609</v>
      </c>
    </row>
    <row r="12984" spans="1:19" x14ac:dyDescent="0.2">
      <c r="A12984" t="s">
        <v>13595</v>
      </c>
      <c r="B12984" t="s">
        <v>83</v>
      </c>
      <c r="C12984" t="s">
        <v>614</v>
      </c>
      <c r="D12984">
        <v>4034.25</v>
      </c>
      <c r="E12984" s="37" t="str">
        <f t="shared" si="1010"/>
        <v>Excellent Order</v>
      </c>
      <c r="F12984">
        <v>0.37</v>
      </c>
      <c r="G12984" s="37" t="str">
        <f t="shared" si="1011"/>
        <v>Heavy Discount</v>
      </c>
      <c r="H12984" s="37" t="str">
        <f t="shared" si="1012"/>
        <v>Medium</v>
      </c>
      <c r="I12984">
        <v>3</v>
      </c>
      <c r="J12984" t="str" cm="1">
        <f t="array" ref="J12984">_xlfn.IFS(I12984&lt;=3,"small",I12984&lt;=6,"Medium",I12984&lt;=9,"Large")</f>
        <v>small</v>
      </c>
      <c r="K12984" s="36">
        <v>45308</v>
      </c>
      <c r="L12984" s="36">
        <v>45311</v>
      </c>
      <c r="M12984" t="s">
        <v>598</v>
      </c>
      <c r="N12984" t="s">
        <v>608</v>
      </c>
      <c r="O12984" s="37" t="str">
        <f t="shared" si="1013"/>
        <v>Cash Payment</v>
      </c>
      <c r="P12984">
        <v>1113.57</v>
      </c>
      <c r="Q12984" s="37" t="str">
        <f>IF(P12984&gt;500,"High","low")</f>
        <v>High</v>
      </c>
      <c r="R12984" s="37" t="str">
        <f t="shared" si="1014"/>
        <v>Excellent</v>
      </c>
      <c r="S12984" t="s">
        <v>605</v>
      </c>
    </row>
    <row r="12985" spans="1:19" x14ac:dyDescent="0.2">
      <c r="A12985" t="s">
        <v>13596</v>
      </c>
      <c r="B12985" t="s">
        <v>90</v>
      </c>
      <c r="C12985" t="s">
        <v>617</v>
      </c>
      <c r="D12985">
        <v>4068.21</v>
      </c>
      <c r="E12985" s="37" t="str">
        <f t="shared" si="1010"/>
        <v>Excellent Order</v>
      </c>
      <c r="F12985">
        <v>0.21</v>
      </c>
      <c r="G12985" s="37" t="str">
        <f t="shared" si="1011"/>
        <v>Normal Discount</v>
      </c>
      <c r="H12985" s="37" t="str">
        <f t="shared" si="1012"/>
        <v>Medium</v>
      </c>
      <c r="I12985">
        <v>8</v>
      </c>
      <c r="J12985" t="str" cm="1">
        <f t="array" ref="J12985">_xlfn.IFS(I12985&lt;=3,"small",I12985&lt;=6,"Medium",I12985&lt;=9,"Large")</f>
        <v>Large</v>
      </c>
      <c r="K12985" s="36">
        <v>45158</v>
      </c>
      <c r="L12985" s="36">
        <v>45165</v>
      </c>
      <c r="M12985" t="s">
        <v>603</v>
      </c>
      <c r="N12985" t="s">
        <v>599</v>
      </c>
      <c r="O12985" s="37" t="str">
        <f t="shared" si="1013"/>
        <v>Digital Payment</v>
      </c>
      <c r="P12985">
        <v>851.78</v>
      </c>
      <c r="Q12985" s="37" t="str">
        <f>IF(P12985&gt;500,"High","low")</f>
        <v>High</v>
      </c>
      <c r="R12985" s="37" t="str">
        <f t="shared" si="1014"/>
        <v>Good</v>
      </c>
      <c r="S12985" t="s">
        <v>609</v>
      </c>
    </row>
    <row r="12986" spans="1:19" x14ac:dyDescent="0.2">
      <c r="A12986" t="s">
        <v>13597</v>
      </c>
      <c r="B12986" t="s">
        <v>83</v>
      </c>
      <c r="C12986" t="s">
        <v>617</v>
      </c>
      <c r="D12986">
        <v>688.13</v>
      </c>
      <c r="E12986" s="37" t="str">
        <f t="shared" si="1010"/>
        <v xml:space="preserve"> </v>
      </c>
      <c r="F12986">
        <v>0.47</v>
      </c>
      <c r="G12986" s="37" t="str">
        <f t="shared" si="1011"/>
        <v>Heavy Discount</v>
      </c>
      <c r="H12986" s="37" t="str">
        <f t="shared" si="1012"/>
        <v>High</v>
      </c>
      <c r="I12986">
        <v>6</v>
      </c>
      <c r="J12986" t="str" cm="1">
        <f t="array" ref="J12986">_xlfn.IFS(I12986&lt;=3,"small",I12986&lt;=6,"Medium",I12986&lt;=9,"Large")</f>
        <v>Medium</v>
      </c>
      <c r="K12986" s="36">
        <v>45483</v>
      </c>
      <c r="L12986" s="36">
        <v>45487</v>
      </c>
      <c r="M12986" t="s">
        <v>598</v>
      </c>
      <c r="N12986" t="s">
        <v>599</v>
      </c>
      <c r="O12986" s="37" t="str">
        <f t="shared" si="1013"/>
        <v>Digital Payment</v>
      </c>
      <c r="P12986">
        <v>104.87</v>
      </c>
      <c r="Q12986" s="37" t="str">
        <f>IF(P12986&gt;500,"High","low")</f>
        <v>low</v>
      </c>
      <c r="R12986" s="37" t="str">
        <f t="shared" si="1014"/>
        <v>AVERAGE</v>
      </c>
      <c r="S12986" t="s">
        <v>615</v>
      </c>
    </row>
    <row r="12987" spans="1:19" x14ac:dyDescent="0.2">
      <c r="A12987" t="s">
        <v>13598</v>
      </c>
      <c r="B12987" t="s">
        <v>90</v>
      </c>
      <c r="C12987" t="s">
        <v>614</v>
      </c>
      <c r="D12987">
        <v>3303.14</v>
      </c>
      <c r="E12987" s="37" t="str">
        <f t="shared" si="1010"/>
        <v xml:space="preserve"> </v>
      </c>
      <c r="F12987">
        <v>0.02</v>
      </c>
      <c r="G12987" s="37" t="str">
        <f t="shared" si="1011"/>
        <v>Normal Discount</v>
      </c>
      <c r="H12987" s="37" t="str">
        <f t="shared" si="1012"/>
        <v>Low</v>
      </c>
      <c r="I12987">
        <v>3</v>
      </c>
      <c r="J12987" t="str" cm="1">
        <f t="array" ref="J12987">_xlfn.IFS(I12987&lt;=3,"small",I12987&lt;=6,"Medium",I12987&lt;=9,"Large")</f>
        <v>small</v>
      </c>
      <c r="K12987" s="36">
        <v>45215</v>
      </c>
      <c r="L12987" s="36">
        <v>45222</v>
      </c>
      <c r="M12987" t="s">
        <v>612</v>
      </c>
      <c r="N12987" t="s">
        <v>604</v>
      </c>
      <c r="O12987" s="37" t="str">
        <f t="shared" si="1013"/>
        <v>Digital Payment</v>
      </c>
      <c r="P12987">
        <v>982.88</v>
      </c>
      <c r="Q12987" s="37" t="str">
        <f>IF(P12987&gt;500,"High","low")</f>
        <v>High</v>
      </c>
      <c r="R12987" s="37" t="str">
        <f t="shared" si="1014"/>
        <v>Good</v>
      </c>
      <c r="S12987" t="s">
        <v>620</v>
      </c>
    </row>
    <row r="12988" spans="1:19" x14ac:dyDescent="0.2">
      <c r="A12988" t="s">
        <v>13599</v>
      </c>
      <c r="B12988" t="s">
        <v>75</v>
      </c>
      <c r="C12988" t="s">
        <v>607</v>
      </c>
      <c r="D12988">
        <v>4767.33</v>
      </c>
      <c r="E12988" s="37" t="str">
        <f t="shared" si="1010"/>
        <v>Excellent Order</v>
      </c>
      <c r="F12988">
        <v>0.13</v>
      </c>
      <c r="G12988" s="37" t="str">
        <f t="shared" si="1011"/>
        <v>Normal Discount</v>
      </c>
      <c r="H12988" s="37" t="str">
        <f t="shared" si="1012"/>
        <v>Low</v>
      </c>
      <c r="I12988">
        <v>2</v>
      </c>
      <c r="J12988" t="str" cm="1">
        <f t="array" ref="J12988">_xlfn.IFS(I12988&lt;=3,"small",I12988&lt;=6,"Medium",I12988&lt;=9,"Large")</f>
        <v>small</v>
      </c>
      <c r="K12988" s="36">
        <v>45322</v>
      </c>
      <c r="L12988" s="36">
        <v>45324</v>
      </c>
      <c r="M12988" t="s">
        <v>603</v>
      </c>
      <c r="N12988" t="s">
        <v>608</v>
      </c>
      <c r="O12988" s="37" t="str">
        <f t="shared" si="1013"/>
        <v>Cash Payment</v>
      </c>
      <c r="P12988">
        <v>1427.69</v>
      </c>
      <c r="Q12988" s="37" t="str">
        <f>IF(P12988&gt;500,"High","low")</f>
        <v>High</v>
      </c>
      <c r="R12988" s="37" t="str">
        <f t="shared" si="1014"/>
        <v>Excellent</v>
      </c>
      <c r="S12988" t="s">
        <v>609</v>
      </c>
    </row>
    <row r="12989" spans="1:19" x14ac:dyDescent="0.2">
      <c r="A12989" t="s">
        <v>13600</v>
      </c>
      <c r="B12989" t="s">
        <v>75</v>
      </c>
      <c r="C12989" t="s">
        <v>602</v>
      </c>
      <c r="D12989">
        <v>2452.13</v>
      </c>
      <c r="E12989" s="37" t="str">
        <f t="shared" si="1010"/>
        <v xml:space="preserve"> </v>
      </c>
      <c r="F12989">
        <v>7.0000000000000007E-2</v>
      </c>
      <c r="G12989" s="37" t="str">
        <f t="shared" si="1011"/>
        <v>Normal Discount</v>
      </c>
      <c r="H12989" s="37" t="str">
        <f t="shared" si="1012"/>
        <v>Low</v>
      </c>
      <c r="I12989">
        <v>9</v>
      </c>
      <c r="J12989" t="str" cm="1">
        <f t="array" ref="J12989">_xlfn.IFS(I12989&lt;=3,"small",I12989&lt;=6,"Medium",I12989&lt;=9,"Large")</f>
        <v>Large</v>
      </c>
      <c r="K12989" s="36">
        <v>45635</v>
      </c>
      <c r="L12989" s="36">
        <v>45636</v>
      </c>
      <c r="M12989" t="s">
        <v>603</v>
      </c>
      <c r="N12989" t="s">
        <v>608</v>
      </c>
      <c r="O12989" s="37" t="str">
        <f t="shared" si="1013"/>
        <v>Cash Payment</v>
      </c>
      <c r="P12989">
        <v>380.02</v>
      </c>
      <c r="Q12989" s="37" t="str">
        <f>IF(P12989&gt;500,"High","low")</f>
        <v>low</v>
      </c>
      <c r="R12989" s="37" t="str">
        <f t="shared" si="1014"/>
        <v>AVERAGE</v>
      </c>
      <c r="S12989" t="s">
        <v>609</v>
      </c>
    </row>
    <row r="12990" spans="1:19" x14ac:dyDescent="0.2">
      <c r="A12990" t="s">
        <v>13601</v>
      </c>
      <c r="B12990" t="s">
        <v>67</v>
      </c>
      <c r="C12990" t="s">
        <v>597</v>
      </c>
      <c r="D12990">
        <v>3687.69</v>
      </c>
      <c r="E12990" s="37" t="str">
        <f t="shared" si="1010"/>
        <v xml:space="preserve"> </v>
      </c>
      <c r="F12990">
        <v>0.27</v>
      </c>
      <c r="G12990" s="37" t="str">
        <f t="shared" si="1011"/>
        <v>Normal Discount</v>
      </c>
      <c r="H12990" s="37" t="str">
        <f t="shared" si="1012"/>
        <v>Medium</v>
      </c>
      <c r="I12990">
        <v>7</v>
      </c>
      <c r="J12990" t="str" cm="1">
        <f t="array" ref="J12990">_xlfn.IFS(I12990&lt;=3,"small",I12990&lt;=6,"Medium",I12990&lt;=9,"Large")</f>
        <v>Large</v>
      </c>
      <c r="K12990" s="36">
        <v>45056</v>
      </c>
      <c r="L12990" s="36">
        <v>45062</v>
      </c>
      <c r="M12990" t="s">
        <v>598</v>
      </c>
      <c r="N12990" t="s">
        <v>604</v>
      </c>
      <c r="O12990" s="37" t="str">
        <f t="shared" si="1013"/>
        <v>Digital Payment</v>
      </c>
      <c r="P12990">
        <v>362.65</v>
      </c>
      <c r="Q12990" s="37" t="str">
        <f>IF(P12990&gt;500,"High","low")</f>
        <v>low</v>
      </c>
      <c r="R12990" s="37" t="str">
        <f t="shared" si="1014"/>
        <v>AVERAGE</v>
      </c>
      <c r="S12990" t="s">
        <v>620</v>
      </c>
    </row>
    <row r="12991" spans="1:19" x14ac:dyDescent="0.2">
      <c r="A12991" t="s">
        <v>13602</v>
      </c>
      <c r="B12991" t="s">
        <v>75</v>
      </c>
      <c r="C12991" t="s">
        <v>617</v>
      </c>
      <c r="D12991">
        <v>2876.99</v>
      </c>
      <c r="E12991" s="37" t="str">
        <f t="shared" si="1010"/>
        <v xml:space="preserve"> </v>
      </c>
      <c r="F12991">
        <v>0.09</v>
      </c>
      <c r="G12991" s="37" t="str">
        <f t="shared" si="1011"/>
        <v>Normal Discount</v>
      </c>
      <c r="H12991" s="37" t="str">
        <f t="shared" si="1012"/>
        <v>Low</v>
      </c>
      <c r="I12991">
        <v>9</v>
      </c>
      <c r="J12991" t="str" cm="1">
        <f t="array" ref="J12991">_xlfn.IFS(I12991&lt;=3,"small",I12991&lt;=6,"Medium",I12991&lt;=9,"Large")</f>
        <v>Large</v>
      </c>
      <c r="K12991" s="36">
        <v>45241</v>
      </c>
      <c r="L12991" s="36">
        <v>45247</v>
      </c>
      <c r="M12991" t="s">
        <v>598</v>
      </c>
      <c r="N12991" t="s">
        <v>604</v>
      </c>
      <c r="O12991" s="37" t="str">
        <f t="shared" si="1013"/>
        <v>Digital Payment</v>
      </c>
      <c r="P12991">
        <v>472.35</v>
      </c>
      <c r="Q12991" s="37" t="str">
        <f>IF(P12991&gt;500,"High","low")</f>
        <v>low</v>
      </c>
      <c r="R12991" s="37" t="str">
        <f t="shared" si="1014"/>
        <v>AVERAGE</v>
      </c>
      <c r="S12991" t="s">
        <v>600</v>
      </c>
    </row>
    <row r="12992" spans="1:19" x14ac:dyDescent="0.2">
      <c r="A12992" t="s">
        <v>13603</v>
      </c>
      <c r="B12992" t="s">
        <v>75</v>
      </c>
      <c r="C12992" t="s">
        <v>617</v>
      </c>
      <c r="D12992">
        <v>1103.75</v>
      </c>
      <c r="E12992" s="37" t="str">
        <f t="shared" si="1010"/>
        <v xml:space="preserve"> </v>
      </c>
      <c r="F12992">
        <v>0.37</v>
      </c>
      <c r="G12992" s="37" t="str">
        <f t="shared" si="1011"/>
        <v>Heavy Discount</v>
      </c>
      <c r="H12992" s="37" t="str">
        <f t="shared" si="1012"/>
        <v>Medium</v>
      </c>
      <c r="I12992">
        <v>4</v>
      </c>
      <c r="J12992" t="str" cm="1">
        <f t="array" ref="J12992">_xlfn.IFS(I12992&lt;=3,"small",I12992&lt;=6,"Medium",I12992&lt;=9,"Large")</f>
        <v>Medium</v>
      </c>
      <c r="K12992" s="36">
        <v>45436</v>
      </c>
      <c r="L12992" s="36">
        <v>45443</v>
      </c>
      <c r="M12992" t="s">
        <v>603</v>
      </c>
      <c r="N12992" t="s">
        <v>599</v>
      </c>
      <c r="O12992" s="37" t="str">
        <f t="shared" si="1013"/>
        <v>Digital Payment</v>
      </c>
      <c r="P12992">
        <v>285</v>
      </c>
      <c r="Q12992" s="37" t="str">
        <f>IF(P12992&gt;500,"High","low")</f>
        <v>low</v>
      </c>
      <c r="R12992" s="37" t="str">
        <f t="shared" si="1014"/>
        <v>AVERAGE</v>
      </c>
      <c r="S12992" t="s">
        <v>600</v>
      </c>
    </row>
    <row r="12993" spans="1:19" x14ac:dyDescent="0.2">
      <c r="A12993" t="s">
        <v>13604</v>
      </c>
      <c r="B12993" t="s">
        <v>67</v>
      </c>
      <c r="C12993" t="s">
        <v>617</v>
      </c>
      <c r="D12993">
        <v>1056.45</v>
      </c>
      <c r="E12993" s="37" t="str">
        <f t="shared" si="1010"/>
        <v xml:space="preserve"> </v>
      </c>
      <c r="F12993">
        <v>0.46</v>
      </c>
      <c r="G12993" s="37" t="str">
        <f t="shared" si="1011"/>
        <v>Heavy Discount</v>
      </c>
      <c r="H12993" s="37" t="str">
        <f t="shared" si="1012"/>
        <v>High</v>
      </c>
      <c r="I12993">
        <v>4</v>
      </c>
      <c r="J12993" t="str" cm="1">
        <f t="array" ref="J12993">_xlfn.IFS(I12993&lt;=3,"small",I12993&lt;=6,"Medium",I12993&lt;=9,"Large")</f>
        <v>Medium</v>
      </c>
      <c r="K12993" s="36">
        <v>45428</v>
      </c>
      <c r="L12993" s="36">
        <v>45434</v>
      </c>
      <c r="M12993" t="s">
        <v>612</v>
      </c>
      <c r="N12993" t="s">
        <v>599</v>
      </c>
      <c r="O12993" s="37" t="str">
        <f t="shared" si="1013"/>
        <v>Digital Payment</v>
      </c>
      <c r="P12993">
        <v>238.81</v>
      </c>
      <c r="Q12993" s="37" t="str">
        <f>IF(P12993&gt;500,"High","low")</f>
        <v>low</v>
      </c>
      <c r="R12993" s="37" t="str">
        <f t="shared" si="1014"/>
        <v>AVERAGE</v>
      </c>
      <c r="S12993" t="s">
        <v>605</v>
      </c>
    </row>
    <row r="12994" spans="1:19" x14ac:dyDescent="0.2">
      <c r="A12994" t="s">
        <v>13605</v>
      </c>
      <c r="B12994" t="s">
        <v>67</v>
      </c>
      <c r="C12994" t="s">
        <v>614</v>
      </c>
      <c r="D12994">
        <v>2225.7800000000002</v>
      </c>
      <c r="E12994" s="37" t="str">
        <f t="shared" si="1010"/>
        <v xml:space="preserve"> </v>
      </c>
      <c r="F12994">
        <v>0.1</v>
      </c>
      <c r="G12994" s="37" t="str">
        <f t="shared" si="1011"/>
        <v>Normal Discount</v>
      </c>
      <c r="H12994" s="37" t="str">
        <f t="shared" si="1012"/>
        <v>Low</v>
      </c>
      <c r="I12994">
        <v>6</v>
      </c>
      <c r="J12994" t="str" cm="1">
        <f t="array" ref="J12994">_xlfn.IFS(I12994&lt;=3,"small",I12994&lt;=6,"Medium",I12994&lt;=9,"Large")</f>
        <v>Medium</v>
      </c>
      <c r="K12994" s="36">
        <v>45076</v>
      </c>
      <c r="L12994" s="36">
        <v>45079</v>
      </c>
      <c r="M12994" t="s">
        <v>612</v>
      </c>
      <c r="N12994" t="s">
        <v>608</v>
      </c>
      <c r="O12994" s="37" t="str">
        <f t="shared" si="1013"/>
        <v>Cash Payment</v>
      </c>
      <c r="P12994">
        <v>144.12</v>
      </c>
      <c r="Q12994" s="37" t="str">
        <f>IF(P12994&gt;500,"High","low")</f>
        <v>low</v>
      </c>
      <c r="R12994" s="37" t="str">
        <f t="shared" si="1014"/>
        <v>AVERAGE</v>
      </c>
      <c r="S12994" t="s">
        <v>605</v>
      </c>
    </row>
    <row r="12995" spans="1:19" x14ac:dyDescent="0.2">
      <c r="A12995" t="s">
        <v>13606</v>
      </c>
      <c r="B12995" t="s">
        <v>90</v>
      </c>
      <c r="C12995" t="s">
        <v>614</v>
      </c>
      <c r="D12995">
        <v>2466.65</v>
      </c>
      <c r="E12995" s="37" t="str">
        <f t="shared" ref="E12995:E13058" si="1015">IF(AND(D12995&gt;4000,P12995&gt;800),"Excellent Order"," ")</f>
        <v xml:space="preserve"> </v>
      </c>
      <c r="F12995">
        <v>0.45</v>
      </c>
      <c r="G12995" s="37" t="str">
        <f t="shared" ref="G12995:G13058" si="1016">IF(F12995&gt;30%,"Heavy Discount","Normal Discount")</f>
        <v>Heavy Discount</v>
      </c>
      <c r="H12995" s="37" t="str">
        <f t="shared" ref="H12995:H13058" si="1017">IF(F12995&gt;0.4,"High",IF(F12995&gt;=0.2,"Medium","Low"))</f>
        <v>High</v>
      </c>
      <c r="I12995">
        <v>2</v>
      </c>
      <c r="J12995" t="str" cm="1">
        <f t="array" ref="J12995">_xlfn.IFS(I12995&lt;=3,"small",I12995&lt;=6,"Medium",I12995&lt;=9,"Large")</f>
        <v>small</v>
      </c>
      <c r="K12995" s="36">
        <v>45651</v>
      </c>
      <c r="L12995" s="36">
        <v>45658</v>
      </c>
      <c r="M12995" t="s">
        <v>612</v>
      </c>
      <c r="N12995" t="s">
        <v>608</v>
      </c>
      <c r="O12995" s="37" t="str">
        <f t="shared" ref="O12995:O13058" si="1018">IF(OR(N12995="Card",N12995="UPI"),"Digital Payment","Cash Payment")</f>
        <v>Cash Payment</v>
      </c>
      <c r="P12995">
        <v>260.72000000000003</v>
      </c>
      <c r="Q12995" s="37" t="str">
        <f>IF(P12995&gt;500,"High","low")</f>
        <v>low</v>
      </c>
      <c r="R12995" s="37" t="str">
        <f t="shared" ref="R12995:R13058" si="1019">IF(P12995&gt;1000,"Excellent",IF(P12995&gt;=500,"Good","AVERAGE"))</f>
        <v>AVERAGE</v>
      </c>
      <c r="S12995" t="s">
        <v>628</v>
      </c>
    </row>
    <row r="12996" spans="1:19" x14ac:dyDescent="0.2">
      <c r="A12996" t="s">
        <v>13607</v>
      </c>
      <c r="B12996" t="s">
        <v>75</v>
      </c>
      <c r="C12996" t="s">
        <v>614</v>
      </c>
      <c r="D12996">
        <v>2565.35</v>
      </c>
      <c r="E12996" s="37" t="str">
        <f t="shared" si="1015"/>
        <v xml:space="preserve"> </v>
      </c>
      <c r="F12996">
        <v>0.32</v>
      </c>
      <c r="G12996" s="37" t="str">
        <f t="shared" si="1016"/>
        <v>Heavy Discount</v>
      </c>
      <c r="H12996" s="37" t="str">
        <f t="shared" si="1017"/>
        <v>Medium</v>
      </c>
      <c r="I12996">
        <v>1</v>
      </c>
      <c r="J12996" t="str" cm="1">
        <f t="array" ref="J12996">_xlfn.IFS(I12996&lt;=3,"small",I12996&lt;=6,"Medium",I12996&lt;=9,"Large")</f>
        <v>small</v>
      </c>
      <c r="K12996" s="36">
        <v>45543</v>
      </c>
      <c r="L12996" s="36">
        <v>45548</v>
      </c>
      <c r="M12996" t="s">
        <v>598</v>
      </c>
      <c r="N12996" t="s">
        <v>604</v>
      </c>
      <c r="O12996" s="37" t="str">
        <f t="shared" si="1018"/>
        <v>Digital Payment</v>
      </c>
      <c r="P12996">
        <v>427.1</v>
      </c>
      <c r="Q12996" s="37" t="str">
        <f>IF(P12996&gt;500,"High","low")</f>
        <v>low</v>
      </c>
      <c r="R12996" s="37" t="str">
        <f t="shared" si="1019"/>
        <v>AVERAGE</v>
      </c>
      <c r="S12996" t="s">
        <v>605</v>
      </c>
    </row>
    <row r="12997" spans="1:19" x14ac:dyDescent="0.2">
      <c r="A12997" t="s">
        <v>13608</v>
      </c>
      <c r="B12997" t="s">
        <v>90</v>
      </c>
      <c r="C12997" t="s">
        <v>597</v>
      </c>
      <c r="D12997">
        <v>4779.5</v>
      </c>
      <c r="E12997" s="37" t="str">
        <f t="shared" si="1015"/>
        <v>Excellent Order</v>
      </c>
      <c r="F12997">
        <v>0.1</v>
      </c>
      <c r="G12997" s="37" t="str">
        <f t="shared" si="1016"/>
        <v>Normal Discount</v>
      </c>
      <c r="H12997" s="37" t="str">
        <f t="shared" si="1017"/>
        <v>Low</v>
      </c>
      <c r="I12997">
        <v>3</v>
      </c>
      <c r="J12997" t="str" cm="1">
        <f t="array" ref="J12997">_xlfn.IFS(I12997&lt;=3,"small",I12997&lt;=6,"Medium",I12997&lt;=9,"Large")</f>
        <v>small</v>
      </c>
      <c r="K12997" s="36">
        <v>45615</v>
      </c>
      <c r="L12997" s="36">
        <v>45617</v>
      </c>
      <c r="M12997" t="s">
        <v>612</v>
      </c>
      <c r="N12997" t="s">
        <v>599</v>
      </c>
      <c r="O12997" s="37" t="str">
        <f t="shared" si="1018"/>
        <v>Digital Payment</v>
      </c>
      <c r="P12997">
        <v>1384.21</v>
      </c>
      <c r="Q12997" s="37" t="str">
        <f>IF(P12997&gt;500,"High","low")</f>
        <v>High</v>
      </c>
      <c r="R12997" s="37" t="str">
        <f t="shared" si="1019"/>
        <v>Excellent</v>
      </c>
      <c r="S12997" t="s">
        <v>605</v>
      </c>
    </row>
    <row r="12998" spans="1:19" x14ac:dyDescent="0.2">
      <c r="A12998" t="s">
        <v>13609</v>
      </c>
      <c r="B12998" t="s">
        <v>90</v>
      </c>
      <c r="C12998" t="s">
        <v>602</v>
      </c>
      <c r="D12998">
        <v>591.25</v>
      </c>
      <c r="E12998" s="37" t="str">
        <f t="shared" si="1015"/>
        <v xml:space="preserve"> </v>
      </c>
      <c r="F12998">
        <v>0.37</v>
      </c>
      <c r="G12998" s="37" t="str">
        <f t="shared" si="1016"/>
        <v>Heavy Discount</v>
      </c>
      <c r="H12998" s="37" t="str">
        <f t="shared" si="1017"/>
        <v>Medium</v>
      </c>
      <c r="I12998">
        <v>5</v>
      </c>
      <c r="J12998" t="str" cm="1">
        <f t="array" ref="J12998">_xlfn.IFS(I12998&lt;=3,"small",I12998&lt;=6,"Medium",I12998&lt;=9,"Large")</f>
        <v>Medium</v>
      </c>
      <c r="K12998" s="36">
        <v>45322</v>
      </c>
      <c r="L12998" s="36">
        <v>45324</v>
      </c>
      <c r="M12998" t="s">
        <v>612</v>
      </c>
      <c r="N12998" t="s">
        <v>599</v>
      </c>
      <c r="O12998" s="37" t="str">
        <f t="shared" si="1018"/>
        <v>Digital Payment</v>
      </c>
      <c r="P12998">
        <v>120.73</v>
      </c>
      <c r="Q12998" s="37" t="str">
        <f>IF(P12998&gt;500,"High","low")</f>
        <v>low</v>
      </c>
      <c r="R12998" s="37" t="str">
        <f t="shared" si="1019"/>
        <v>AVERAGE</v>
      </c>
      <c r="S12998" t="s">
        <v>628</v>
      </c>
    </row>
    <row r="12999" spans="1:19" x14ac:dyDescent="0.2">
      <c r="A12999" t="s">
        <v>13610</v>
      </c>
      <c r="B12999" t="s">
        <v>83</v>
      </c>
      <c r="C12999" t="s">
        <v>617</v>
      </c>
      <c r="D12999">
        <v>1964.58</v>
      </c>
      <c r="E12999" s="37" t="str">
        <f t="shared" si="1015"/>
        <v xml:space="preserve"> </v>
      </c>
      <c r="F12999">
        <v>0.05</v>
      </c>
      <c r="G12999" s="37" t="str">
        <f t="shared" si="1016"/>
        <v>Normal Discount</v>
      </c>
      <c r="H12999" s="37" t="str">
        <f t="shared" si="1017"/>
        <v>Low</v>
      </c>
      <c r="I12999">
        <v>2</v>
      </c>
      <c r="J12999" t="str" cm="1">
        <f t="array" ref="J12999">_xlfn.IFS(I12999&lt;=3,"small",I12999&lt;=6,"Medium",I12999&lt;=9,"Large")</f>
        <v>small</v>
      </c>
      <c r="K12999" s="36">
        <v>45637</v>
      </c>
      <c r="L12999" s="36">
        <v>45644</v>
      </c>
      <c r="M12999" t="s">
        <v>603</v>
      </c>
      <c r="N12999" t="s">
        <v>604</v>
      </c>
      <c r="O12999" s="37" t="str">
        <f t="shared" si="1018"/>
        <v>Digital Payment</v>
      </c>
      <c r="P12999">
        <v>123.11</v>
      </c>
      <c r="Q12999" s="37" t="str">
        <f>IF(P12999&gt;500,"High","low")</f>
        <v>low</v>
      </c>
      <c r="R12999" s="37" t="str">
        <f t="shared" si="1019"/>
        <v>AVERAGE</v>
      </c>
      <c r="S12999" t="s">
        <v>609</v>
      </c>
    </row>
    <row r="13000" spans="1:19" x14ac:dyDescent="0.2">
      <c r="A13000" t="s">
        <v>13611</v>
      </c>
      <c r="B13000" t="s">
        <v>75</v>
      </c>
      <c r="C13000" t="s">
        <v>607</v>
      </c>
      <c r="D13000">
        <v>2621.2800000000002</v>
      </c>
      <c r="E13000" s="37" t="str">
        <f t="shared" si="1015"/>
        <v xml:space="preserve"> </v>
      </c>
      <c r="F13000">
        <v>0.35</v>
      </c>
      <c r="G13000" s="37" t="str">
        <f t="shared" si="1016"/>
        <v>Heavy Discount</v>
      </c>
      <c r="H13000" s="37" t="str">
        <f t="shared" si="1017"/>
        <v>Medium</v>
      </c>
      <c r="I13000">
        <v>9</v>
      </c>
      <c r="J13000" t="str" cm="1">
        <f t="array" ref="J13000">_xlfn.IFS(I13000&lt;=3,"small",I13000&lt;=6,"Medium",I13000&lt;=9,"Large")</f>
        <v>Large</v>
      </c>
      <c r="K13000" s="36">
        <v>45143</v>
      </c>
      <c r="L13000" s="36">
        <v>45146</v>
      </c>
      <c r="M13000" t="s">
        <v>598</v>
      </c>
      <c r="N13000" t="s">
        <v>599</v>
      </c>
      <c r="O13000" s="37" t="str">
        <f t="shared" si="1018"/>
        <v>Digital Payment</v>
      </c>
      <c r="P13000">
        <v>382.42</v>
      </c>
      <c r="Q13000" s="37" t="str">
        <f>IF(P13000&gt;500,"High","low")</f>
        <v>low</v>
      </c>
      <c r="R13000" s="37" t="str">
        <f t="shared" si="1019"/>
        <v>AVERAGE</v>
      </c>
      <c r="S13000" t="s">
        <v>605</v>
      </c>
    </row>
    <row r="13001" spans="1:19" x14ac:dyDescent="0.2">
      <c r="A13001" t="s">
        <v>13612</v>
      </c>
      <c r="B13001" t="s">
        <v>75</v>
      </c>
      <c r="C13001" t="s">
        <v>617</v>
      </c>
      <c r="D13001">
        <v>4819.25</v>
      </c>
      <c r="E13001" s="37" t="str">
        <f t="shared" si="1015"/>
        <v>Excellent Order</v>
      </c>
      <c r="F13001">
        <v>0.43</v>
      </c>
      <c r="G13001" s="37" t="str">
        <f t="shared" si="1016"/>
        <v>Heavy Discount</v>
      </c>
      <c r="H13001" s="37" t="str">
        <f t="shared" si="1017"/>
        <v>High</v>
      </c>
      <c r="I13001">
        <v>1</v>
      </c>
      <c r="J13001" t="str" cm="1">
        <f t="array" ref="J13001">_xlfn.IFS(I13001&lt;=3,"small",I13001&lt;=6,"Medium",I13001&lt;=9,"Large")</f>
        <v>small</v>
      </c>
      <c r="K13001" s="36">
        <v>45407</v>
      </c>
      <c r="L13001" s="36">
        <v>45408</v>
      </c>
      <c r="M13001" t="s">
        <v>612</v>
      </c>
      <c r="N13001" t="s">
        <v>608</v>
      </c>
      <c r="O13001" s="37" t="str">
        <f t="shared" si="1018"/>
        <v>Cash Payment</v>
      </c>
      <c r="P13001">
        <v>1333.44</v>
      </c>
      <c r="Q13001" s="37" t="str">
        <f>IF(P13001&gt;500,"High","low")</f>
        <v>High</v>
      </c>
      <c r="R13001" s="37" t="str">
        <f t="shared" si="1019"/>
        <v>Excellent</v>
      </c>
      <c r="S13001" t="s">
        <v>620</v>
      </c>
    </row>
    <row r="13002" spans="1:19" x14ac:dyDescent="0.2">
      <c r="A13002" t="s">
        <v>13613</v>
      </c>
      <c r="B13002" t="s">
        <v>83</v>
      </c>
      <c r="C13002" t="s">
        <v>617</v>
      </c>
      <c r="D13002">
        <v>2571.14</v>
      </c>
      <c r="E13002" s="37" t="str">
        <f t="shared" si="1015"/>
        <v xml:space="preserve"> </v>
      </c>
      <c r="F13002">
        <v>0.48</v>
      </c>
      <c r="G13002" s="37" t="str">
        <f t="shared" si="1016"/>
        <v>Heavy Discount</v>
      </c>
      <c r="H13002" s="37" t="str">
        <f t="shared" si="1017"/>
        <v>High</v>
      </c>
      <c r="I13002">
        <v>3</v>
      </c>
      <c r="J13002" t="str" cm="1">
        <f t="array" ref="J13002">_xlfn.IFS(I13002&lt;=3,"small",I13002&lt;=6,"Medium",I13002&lt;=9,"Large")</f>
        <v>small</v>
      </c>
      <c r="K13002" s="36">
        <v>45454</v>
      </c>
      <c r="L13002" s="36">
        <v>45457</v>
      </c>
      <c r="M13002" t="s">
        <v>612</v>
      </c>
      <c r="N13002" t="s">
        <v>599</v>
      </c>
      <c r="O13002" s="37" t="str">
        <f t="shared" si="1018"/>
        <v>Digital Payment</v>
      </c>
      <c r="P13002">
        <v>453.76</v>
      </c>
      <c r="Q13002" s="37" t="str">
        <f>IF(P13002&gt;500,"High","low")</f>
        <v>low</v>
      </c>
      <c r="R13002" s="37" t="str">
        <f t="shared" si="1019"/>
        <v>AVERAGE</v>
      </c>
      <c r="S13002" t="s">
        <v>620</v>
      </c>
    </row>
    <row r="13003" spans="1:19" x14ac:dyDescent="0.2">
      <c r="A13003" t="s">
        <v>13614</v>
      </c>
      <c r="B13003" t="s">
        <v>90</v>
      </c>
      <c r="C13003" t="s">
        <v>617</v>
      </c>
      <c r="D13003">
        <v>3898.85</v>
      </c>
      <c r="E13003" s="37" t="str">
        <f t="shared" si="1015"/>
        <v xml:space="preserve"> </v>
      </c>
      <c r="F13003">
        <v>0.03</v>
      </c>
      <c r="G13003" s="37" t="str">
        <f t="shared" si="1016"/>
        <v>Normal Discount</v>
      </c>
      <c r="H13003" s="37" t="str">
        <f t="shared" si="1017"/>
        <v>Low</v>
      </c>
      <c r="I13003">
        <v>5</v>
      </c>
      <c r="J13003" t="str" cm="1">
        <f t="array" ref="J13003">_xlfn.IFS(I13003&lt;=3,"small",I13003&lt;=6,"Medium",I13003&lt;=9,"Large")</f>
        <v>Medium</v>
      </c>
      <c r="K13003" s="36">
        <v>45094</v>
      </c>
      <c r="L13003" s="36">
        <v>45095</v>
      </c>
      <c r="M13003" t="s">
        <v>598</v>
      </c>
      <c r="N13003" t="s">
        <v>608</v>
      </c>
      <c r="O13003" s="37" t="str">
        <f t="shared" si="1018"/>
        <v>Cash Payment</v>
      </c>
      <c r="P13003">
        <v>289.55</v>
      </c>
      <c r="Q13003" s="37" t="str">
        <f>IF(P13003&gt;500,"High","low")</f>
        <v>low</v>
      </c>
      <c r="R13003" s="37" t="str">
        <f t="shared" si="1019"/>
        <v>AVERAGE</v>
      </c>
      <c r="S13003" t="s">
        <v>600</v>
      </c>
    </row>
    <row r="13004" spans="1:19" x14ac:dyDescent="0.2">
      <c r="A13004" t="s">
        <v>13615</v>
      </c>
      <c r="B13004" t="s">
        <v>75</v>
      </c>
      <c r="C13004" t="s">
        <v>617</v>
      </c>
      <c r="D13004">
        <v>3771.46</v>
      </c>
      <c r="E13004" s="37" t="str">
        <f t="shared" si="1015"/>
        <v xml:space="preserve"> </v>
      </c>
      <c r="F13004">
        <v>0.03</v>
      </c>
      <c r="G13004" s="37" t="str">
        <f t="shared" si="1016"/>
        <v>Normal Discount</v>
      </c>
      <c r="H13004" s="37" t="str">
        <f t="shared" si="1017"/>
        <v>Low</v>
      </c>
      <c r="I13004">
        <v>1</v>
      </c>
      <c r="J13004" t="str" cm="1">
        <f t="array" ref="J13004">_xlfn.IFS(I13004&lt;=3,"small",I13004&lt;=6,"Medium",I13004&lt;=9,"Large")</f>
        <v>small</v>
      </c>
      <c r="K13004" s="36">
        <v>45099</v>
      </c>
      <c r="L13004" s="36">
        <v>45102</v>
      </c>
      <c r="M13004" t="s">
        <v>612</v>
      </c>
      <c r="N13004" t="s">
        <v>608</v>
      </c>
      <c r="O13004" s="37" t="str">
        <f t="shared" si="1018"/>
        <v>Cash Payment</v>
      </c>
      <c r="P13004">
        <v>752.86</v>
      </c>
      <c r="Q13004" s="37" t="str">
        <f>IF(P13004&gt;500,"High","low")</f>
        <v>High</v>
      </c>
      <c r="R13004" s="37" t="str">
        <f t="shared" si="1019"/>
        <v>Good</v>
      </c>
      <c r="S13004" t="s">
        <v>605</v>
      </c>
    </row>
    <row r="13005" spans="1:19" x14ac:dyDescent="0.2">
      <c r="A13005" t="s">
        <v>13616</v>
      </c>
      <c r="B13005" t="s">
        <v>90</v>
      </c>
      <c r="C13005" t="s">
        <v>602</v>
      </c>
      <c r="D13005">
        <v>2875.58</v>
      </c>
      <c r="E13005" s="37" t="str">
        <f t="shared" si="1015"/>
        <v xml:space="preserve"> </v>
      </c>
      <c r="F13005">
        <v>0.47</v>
      </c>
      <c r="G13005" s="37" t="str">
        <f t="shared" si="1016"/>
        <v>Heavy Discount</v>
      </c>
      <c r="H13005" s="37" t="str">
        <f t="shared" si="1017"/>
        <v>High</v>
      </c>
      <c r="I13005">
        <v>4</v>
      </c>
      <c r="J13005" t="str" cm="1">
        <f t="array" ref="J13005">_xlfn.IFS(I13005&lt;=3,"small",I13005&lt;=6,"Medium",I13005&lt;=9,"Large")</f>
        <v>Medium</v>
      </c>
      <c r="K13005" s="36">
        <v>45502</v>
      </c>
      <c r="L13005" s="36">
        <v>45505</v>
      </c>
      <c r="M13005" t="s">
        <v>603</v>
      </c>
      <c r="N13005" t="s">
        <v>599</v>
      </c>
      <c r="O13005" s="37" t="str">
        <f t="shared" si="1018"/>
        <v>Digital Payment</v>
      </c>
      <c r="P13005">
        <v>630.82000000000005</v>
      </c>
      <c r="Q13005" s="37" t="str">
        <f>IF(P13005&gt;500,"High","low")</f>
        <v>High</v>
      </c>
      <c r="R13005" s="37" t="str">
        <f t="shared" si="1019"/>
        <v>Good</v>
      </c>
      <c r="S13005" t="s">
        <v>605</v>
      </c>
    </row>
    <row r="13006" spans="1:19" x14ac:dyDescent="0.2">
      <c r="A13006" t="s">
        <v>13617</v>
      </c>
      <c r="B13006" t="s">
        <v>83</v>
      </c>
      <c r="C13006" t="s">
        <v>607</v>
      </c>
      <c r="D13006">
        <v>740.45</v>
      </c>
      <c r="E13006" s="37" t="str">
        <f t="shared" si="1015"/>
        <v xml:space="preserve"> </v>
      </c>
      <c r="F13006">
        <v>0.39</v>
      </c>
      <c r="G13006" s="37" t="str">
        <f t="shared" si="1016"/>
        <v>Heavy Discount</v>
      </c>
      <c r="H13006" s="37" t="str">
        <f t="shared" si="1017"/>
        <v>Medium</v>
      </c>
      <c r="I13006">
        <v>1</v>
      </c>
      <c r="J13006" t="str" cm="1">
        <f t="array" ref="J13006">_xlfn.IFS(I13006&lt;=3,"small",I13006&lt;=6,"Medium",I13006&lt;=9,"Large")</f>
        <v>small</v>
      </c>
      <c r="K13006" s="36">
        <v>45629</v>
      </c>
      <c r="L13006" s="36">
        <v>45632</v>
      </c>
      <c r="M13006" t="s">
        <v>612</v>
      </c>
      <c r="N13006" t="s">
        <v>604</v>
      </c>
      <c r="O13006" s="37" t="str">
        <f t="shared" si="1018"/>
        <v>Digital Payment</v>
      </c>
      <c r="P13006">
        <v>176.36</v>
      </c>
      <c r="Q13006" s="37" t="str">
        <f>IF(P13006&gt;500,"High","low")</f>
        <v>low</v>
      </c>
      <c r="R13006" s="37" t="str">
        <f t="shared" si="1019"/>
        <v>AVERAGE</v>
      </c>
      <c r="S13006" t="s">
        <v>615</v>
      </c>
    </row>
    <row r="13007" spans="1:19" x14ac:dyDescent="0.2">
      <c r="A13007" t="s">
        <v>13618</v>
      </c>
      <c r="B13007" t="s">
        <v>67</v>
      </c>
      <c r="C13007" t="s">
        <v>614</v>
      </c>
      <c r="D13007">
        <v>1171.92</v>
      </c>
      <c r="E13007" s="37" t="str">
        <f t="shared" si="1015"/>
        <v xml:space="preserve"> </v>
      </c>
      <c r="F13007">
        <v>0.39</v>
      </c>
      <c r="G13007" s="37" t="str">
        <f t="shared" si="1016"/>
        <v>Heavy Discount</v>
      </c>
      <c r="H13007" s="37" t="str">
        <f t="shared" si="1017"/>
        <v>Medium</v>
      </c>
      <c r="I13007">
        <v>7</v>
      </c>
      <c r="J13007" t="str" cm="1">
        <f t="array" ref="J13007">_xlfn.IFS(I13007&lt;=3,"small",I13007&lt;=6,"Medium",I13007&lt;=9,"Large")</f>
        <v>Large</v>
      </c>
      <c r="K13007" s="36">
        <v>45617</v>
      </c>
      <c r="L13007" s="36">
        <v>45621</v>
      </c>
      <c r="M13007" t="s">
        <v>612</v>
      </c>
      <c r="N13007" t="s">
        <v>608</v>
      </c>
      <c r="O13007" s="37" t="str">
        <f t="shared" si="1018"/>
        <v>Cash Payment</v>
      </c>
      <c r="P13007">
        <v>156.94999999999999</v>
      </c>
      <c r="Q13007" s="37" t="str">
        <f>IF(P13007&gt;500,"High","low")</f>
        <v>low</v>
      </c>
      <c r="R13007" s="37" t="str">
        <f t="shared" si="1019"/>
        <v>AVERAGE</v>
      </c>
      <c r="S13007" t="s">
        <v>615</v>
      </c>
    </row>
    <row r="13008" spans="1:19" x14ac:dyDescent="0.2">
      <c r="A13008" t="s">
        <v>13619</v>
      </c>
      <c r="B13008" t="s">
        <v>90</v>
      </c>
      <c r="C13008" t="s">
        <v>607</v>
      </c>
      <c r="D13008">
        <v>1276.69</v>
      </c>
      <c r="E13008" s="37" t="str">
        <f t="shared" si="1015"/>
        <v xml:space="preserve"> </v>
      </c>
      <c r="F13008">
        <v>0.37</v>
      </c>
      <c r="G13008" s="37" t="str">
        <f t="shared" si="1016"/>
        <v>Heavy Discount</v>
      </c>
      <c r="H13008" s="37" t="str">
        <f t="shared" si="1017"/>
        <v>Medium</v>
      </c>
      <c r="I13008">
        <v>1</v>
      </c>
      <c r="J13008" t="str" cm="1">
        <f t="array" ref="J13008">_xlfn.IFS(I13008&lt;=3,"small",I13008&lt;=6,"Medium",I13008&lt;=9,"Large")</f>
        <v>small</v>
      </c>
      <c r="K13008" s="36">
        <v>45163</v>
      </c>
      <c r="L13008" s="36">
        <v>45166</v>
      </c>
      <c r="M13008" t="s">
        <v>612</v>
      </c>
      <c r="N13008" t="s">
        <v>608</v>
      </c>
      <c r="O13008" s="37" t="str">
        <f t="shared" si="1018"/>
        <v>Cash Payment</v>
      </c>
      <c r="P13008">
        <v>287.57</v>
      </c>
      <c r="Q13008" s="37" t="str">
        <f>IF(P13008&gt;500,"High","low")</f>
        <v>low</v>
      </c>
      <c r="R13008" s="37" t="str">
        <f t="shared" si="1019"/>
        <v>AVERAGE</v>
      </c>
      <c r="S13008" t="s">
        <v>600</v>
      </c>
    </row>
    <row r="13009" spans="1:19" x14ac:dyDescent="0.2">
      <c r="A13009" t="s">
        <v>13620</v>
      </c>
      <c r="B13009" t="s">
        <v>75</v>
      </c>
      <c r="C13009" t="s">
        <v>617</v>
      </c>
      <c r="D13009">
        <v>289.43</v>
      </c>
      <c r="E13009" s="37" t="str">
        <f t="shared" si="1015"/>
        <v xml:space="preserve"> </v>
      </c>
      <c r="F13009">
        <v>0.36</v>
      </c>
      <c r="G13009" s="37" t="str">
        <f t="shared" si="1016"/>
        <v>Heavy Discount</v>
      </c>
      <c r="H13009" s="37" t="str">
        <f t="shared" si="1017"/>
        <v>Medium</v>
      </c>
      <c r="I13009">
        <v>3</v>
      </c>
      <c r="J13009" t="str" cm="1">
        <f t="array" ref="J13009">_xlfn.IFS(I13009&lt;=3,"small",I13009&lt;=6,"Medium",I13009&lt;=9,"Large")</f>
        <v>small</v>
      </c>
      <c r="K13009" s="36">
        <v>44936</v>
      </c>
      <c r="L13009" s="36">
        <v>44938</v>
      </c>
      <c r="M13009" t="s">
        <v>603</v>
      </c>
      <c r="N13009" t="s">
        <v>608</v>
      </c>
      <c r="O13009" s="37" t="str">
        <f t="shared" si="1018"/>
        <v>Cash Payment</v>
      </c>
      <c r="P13009">
        <v>37.64</v>
      </c>
      <c r="Q13009" s="37" t="str">
        <f>IF(P13009&gt;500,"High","low")</f>
        <v>low</v>
      </c>
      <c r="R13009" s="37" t="str">
        <f t="shared" si="1019"/>
        <v>AVERAGE</v>
      </c>
      <c r="S13009" t="s">
        <v>600</v>
      </c>
    </row>
    <row r="13010" spans="1:19" x14ac:dyDescent="0.2">
      <c r="A13010" t="s">
        <v>13621</v>
      </c>
      <c r="B13010" t="s">
        <v>67</v>
      </c>
      <c r="C13010" t="s">
        <v>607</v>
      </c>
      <c r="D13010">
        <v>1958.17</v>
      </c>
      <c r="E13010" s="37" t="str">
        <f t="shared" si="1015"/>
        <v xml:space="preserve"> </v>
      </c>
      <c r="F13010">
        <v>0.31</v>
      </c>
      <c r="G13010" s="37" t="str">
        <f t="shared" si="1016"/>
        <v>Heavy Discount</v>
      </c>
      <c r="H13010" s="37" t="str">
        <f t="shared" si="1017"/>
        <v>Medium</v>
      </c>
      <c r="I13010">
        <v>4</v>
      </c>
      <c r="J13010" t="str" cm="1">
        <f t="array" ref="J13010">_xlfn.IFS(I13010&lt;=3,"small",I13010&lt;=6,"Medium",I13010&lt;=9,"Large")</f>
        <v>Medium</v>
      </c>
      <c r="K13010" s="36">
        <v>45002</v>
      </c>
      <c r="L13010" s="36">
        <v>45007</v>
      </c>
      <c r="M13010" t="s">
        <v>603</v>
      </c>
      <c r="N13010" t="s">
        <v>608</v>
      </c>
      <c r="O13010" s="37" t="str">
        <f t="shared" si="1018"/>
        <v>Cash Payment</v>
      </c>
      <c r="P13010">
        <v>352.63</v>
      </c>
      <c r="Q13010" s="37" t="str">
        <f>IF(P13010&gt;500,"High","low")</f>
        <v>low</v>
      </c>
      <c r="R13010" s="37" t="str">
        <f t="shared" si="1019"/>
        <v>AVERAGE</v>
      </c>
      <c r="S13010" t="s">
        <v>605</v>
      </c>
    </row>
    <row r="13011" spans="1:19" x14ac:dyDescent="0.2">
      <c r="A13011" t="s">
        <v>13622</v>
      </c>
      <c r="B13011" t="s">
        <v>90</v>
      </c>
      <c r="C13011" t="s">
        <v>617</v>
      </c>
      <c r="D13011">
        <v>3091.52</v>
      </c>
      <c r="E13011" s="37" t="str">
        <f t="shared" si="1015"/>
        <v xml:space="preserve"> </v>
      </c>
      <c r="F13011">
        <v>0.41</v>
      </c>
      <c r="G13011" s="37" t="str">
        <f t="shared" si="1016"/>
        <v>Heavy Discount</v>
      </c>
      <c r="H13011" s="37" t="str">
        <f t="shared" si="1017"/>
        <v>High</v>
      </c>
      <c r="I13011">
        <v>4</v>
      </c>
      <c r="J13011" t="str" cm="1">
        <f t="array" ref="J13011">_xlfn.IFS(I13011&lt;=3,"small",I13011&lt;=6,"Medium",I13011&lt;=9,"Large")</f>
        <v>Medium</v>
      </c>
      <c r="K13011" s="36">
        <v>45140</v>
      </c>
      <c r="L13011" s="36">
        <v>45146</v>
      </c>
      <c r="M13011" t="s">
        <v>612</v>
      </c>
      <c r="N13011" t="s">
        <v>604</v>
      </c>
      <c r="O13011" s="37" t="str">
        <f t="shared" si="1018"/>
        <v>Digital Payment</v>
      </c>
      <c r="P13011">
        <v>169.65</v>
      </c>
      <c r="Q13011" s="37" t="str">
        <f>IF(P13011&gt;500,"High","low")</f>
        <v>low</v>
      </c>
      <c r="R13011" s="37" t="str">
        <f t="shared" si="1019"/>
        <v>AVERAGE</v>
      </c>
      <c r="S13011" t="s">
        <v>605</v>
      </c>
    </row>
    <row r="13012" spans="1:19" x14ac:dyDescent="0.2">
      <c r="A13012" t="s">
        <v>13623</v>
      </c>
      <c r="B13012" t="s">
        <v>90</v>
      </c>
      <c r="C13012" t="s">
        <v>607</v>
      </c>
      <c r="D13012">
        <v>806.9</v>
      </c>
      <c r="E13012" s="37" t="str">
        <f t="shared" si="1015"/>
        <v xml:space="preserve"> </v>
      </c>
      <c r="F13012">
        <v>0.02</v>
      </c>
      <c r="G13012" s="37" t="str">
        <f t="shared" si="1016"/>
        <v>Normal Discount</v>
      </c>
      <c r="H13012" s="37" t="str">
        <f t="shared" si="1017"/>
        <v>Low</v>
      </c>
      <c r="I13012">
        <v>7</v>
      </c>
      <c r="J13012" t="str" cm="1">
        <f t="array" ref="J13012">_xlfn.IFS(I13012&lt;=3,"small",I13012&lt;=6,"Medium",I13012&lt;=9,"Large")</f>
        <v>Large</v>
      </c>
      <c r="K13012" s="36">
        <v>45047</v>
      </c>
      <c r="L13012" s="36">
        <v>45053</v>
      </c>
      <c r="M13012" t="s">
        <v>612</v>
      </c>
      <c r="N13012" t="s">
        <v>604</v>
      </c>
      <c r="O13012" s="37" t="str">
        <f t="shared" si="1018"/>
        <v>Digital Payment</v>
      </c>
      <c r="P13012">
        <v>176.33</v>
      </c>
      <c r="Q13012" s="37" t="str">
        <f>IF(P13012&gt;500,"High","low")</f>
        <v>low</v>
      </c>
      <c r="R13012" s="37" t="str">
        <f t="shared" si="1019"/>
        <v>AVERAGE</v>
      </c>
      <c r="S13012" t="s">
        <v>628</v>
      </c>
    </row>
    <row r="13013" spans="1:19" x14ac:dyDescent="0.2">
      <c r="A13013" t="s">
        <v>13624</v>
      </c>
      <c r="B13013" t="s">
        <v>67</v>
      </c>
      <c r="C13013" t="s">
        <v>597</v>
      </c>
      <c r="D13013">
        <v>957.68</v>
      </c>
      <c r="E13013" s="37" t="str">
        <f t="shared" si="1015"/>
        <v xml:space="preserve"> </v>
      </c>
      <c r="F13013">
        <v>0.37</v>
      </c>
      <c r="G13013" s="37" t="str">
        <f t="shared" si="1016"/>
        <v>Heavy Discount</v>
      </c>
      <c r="H13013" s="37" t="str">
        <f t="shared" si="1017"/>
        <v>Medium</v>
      </c>
      <c r="I13013">
        <v>5</v>
      </c>
      <c r="J13013" t="str" cm="1">
        <f t="array" ref="J13013">_xlfn.IFS(I13013&lt;=3,"small",I13013&lt;=6,"Medium",I13013&lt;=9,"Large")</f>
        <v>Medium</v>
      </c>
      <c r="K13013" s="36">
        <v>45099</v>
      </c>
      <c r="L13013" s="36">
        <v>45104</v>
      </c>
      <c r="M13013" t="s">
        <v>612</v>
      </c>
      <c r="N13013" t="s">
        <v>599</v>
      </c>
      <c r="O13013" s="37" t="str">
        <f t="shared" si="1018"/>
        <v>Digital Payment</v>
      </c>
      <c r="P13013">
        <v>138.47</v>
      </c>
      <c r="Q13013" s="37" t="str">
        <f>IF(P13013&gt;500,"High","low")</f>
        <v>low</v>
      </c>
      <c r="R13013" s="37" t="str">
        <f t="shared" si="1019"/>
        <v>AVERAGE</v>
      </c>
      <c r="S13013" t="s">
        <v>615</v>
      </c>
    </row>
    <row r="13014" spans="1:19" x14ac:dyDescent="0.2">
      <c r="A13014" t="s">
        <v>13625</v>
      </c>
      <c r="B13014" t="s">
        <v>67</v>
      </c>
      <c r="C13014" t="s">
        <v>607</v>
      </c>
      <c r="D13014">
        <v>3564.23</v>
      </c>
      <c r="E13014" s="37" t="str">
        <f t="shared" si="1015"/>
        <v xml:space="preserve"> </v>
      </c>
      <c r="F13014">
        <v>0.28999999999999998</v>
      </c>
      <c r="G13014" s="37" t="str">
        <f t="shared" si="1016"/>
        <v>Normal Discount</v>
      </c>
      <c r="H13014" s="37" t="str">
        <f t="shared" si="1017"/>
        <v>Medium</v>
      </c>
      <c r="I13014">
        <v>8</v>
      </c>
      <c r="J13014" t="str" cm="1">
        <f t="array" ref="J13014">_xlfn.IFS(I13014&lt;=3,"small",I13014&lt;=6,"Medium",I13014&lt;=9,"Large")</f>
        <v>Large</v>
      </c>
      <c r="K13014" s="36">
        <v>45494</v>
      </c>
      <c r="L13014" s="36">
        <v>45497</v>
      </c>
      <c r="M13014" t="s">
        <v>603</v>
      </c>
      <c r="N13014" t="s">
        <v>608</v>
      </c>
      <c r="O13014" s="37" t="str">
        <f t="shared" si="1018"/>
        <v>Cash Payment</v>
      </c>
      <c r="P13014">
        <v>806.42</v>
      </c>
      <c r="Q13014" s="37" t="str">
        <f>IF(P13014&gt;500,"High","low")</f>
        <v>High</v>
      </c>
      <c r="R13014" s="37" t="str">
        <f t="shared" si="1019"/>
        <v>Good</v>
      </c>
      <c r="S13014" t="s">
        <v>628</v>
      </c>
    </row>
    <row r="13015" spans="1:19" x14ac:dyDescent="0.2">
      <c r="A13015" t="s">
        <v>13626</v>
      </c>
      <c r="B13015" t="s">
        <v>67</v>
      </c>
      <c r="C13015" t="s">
        <v>614</v>
      </c>
      <c r="D13015">
        <v>929.34</v>
      </c>
      <c r="E13015" s="37" t="str">
        <f t="shared" si="1015"/>
        <v xml:space="preserve"> </v>
      </c>
      <c r="F13015">
        <v>0.45</v>
      </c>
      <c r="G13015" s="37" t="str">
        <f t="shared" si="1016"/>
        <v>Heavy Discount</v>
      </c>
      <c r="H13015" s="37" t="str">
        <f t="shared" si="1017"/>
        <v>High</v>
      </c>
      <c r="I13015">
        <v>3</v>
      </c>
      <c r="J13015" t="str" cm="1">
        <f t="array" ref="J13015">_xlfn.IFS(I13015&lt;=3,"small",I13015&lt;=6,"Medium",I13015&lt;=9,"Large")</f>
        <v>small</v>
      </c>
      <c r="K13015" s="36">
        <v>45156</v>
      </c>
      <c r="L13015" s="36">
        <v>45160</v>
      </c>
      <c r="M13015" t="s">
        <v>603</v>
      </c>
      <c r="N13015" t="s">
        <v>608</v>
      </c>
      <c r="O13015" s="37" t="str">
        <f t="shared" si="1018"/>
        <v>Cash Payment</v>
      </c>
      <c r="P13015">
        <v>270.52</v>
      </c>
      <c r="Q13015" s="37" t="str">
        <f>IF(P13015&gt;500,"High","low")</f>
        <v>low</v>
      </c>
      <c r="R13015" s="37" t="str">
        <f t="shared" si="1019"/>
        <v>AVERAGE</v>
      </c>
      <c r="S13015" t="s">
        <v>600</v>
      </c>
    </row>
    <row r="13016" spans="1:19" x14ac:dyDescent="0.2">
      <c r="A13016" t="s">
        <v>13627</v>
      </c>
      <c r="B13016" t="s">
        <v>75</v>
      </c>
      <c r="C13016" t="s">
        <v>614</v>
      </c>
      <c r="D13016">
        <v>763.14</v>
      </c>
      <c r="E13016" s="37" t="str">
        <f t="shared" si="1015"/>
        <v xml:space="preserve"> </v>
      </c>
      <c r="F13016">
        <v>0.47</v>
      </c>
      <c r="G13016" s="37" t="str">
        <f t="shared" si="1016"/>
        <v>Heavy Discount</v>
      </c>
      <c r="H13016" s="37" t="str">
        <f t="shared" si="1017"/>
        <v>High</v>
      </c>
      <c r="I13016">
        <v>8</v>
      </c>
      <c r="J13016" t="str" cm="1">
        <f t="array" ref="J13016">_xlfn.IFS(I13016&lt;=3,"small",I13016&lt;=6,"Medium",I13016&lt;=9,"Large")</f>
        <v>Large</v>
      </c>
      <c r="K13016" s="36">
        <v>45511</v>
      </c>
      <c r="L13016" s="36">
        <v>45514</v>
      </c>
      <c r="M13016" t="s">
        <v>598</v>
      </c>
      <c r="N13016" t="s">
        <v>608</v>
      </c>
      <c r="O13016" s="37" t="str">
        <f t="shared" si="1018"/>
        <v>Cash Payment</v>
      </c>
      <c r="P13016">
        <v>53.63</v>
      </c>
      <c r="Q13016" s="37" t="str">
        <f>IF(P13016&gt;500,"High","low")</f>
        <v>low</v>
      </c>
      <c r="R13016" s="37" t="str">
        <f t="shared" si="1019"/>
        <v>AVERAGE</v>
      </c>
      <c r="S13016" t="s">
        <v>600</v>
      </c>
    </row>
    <row r="13017" spans="1:19" x14ac:dyDescent="0.2">
      <c r="A13017" t="s">
        <v>13628</v>
      </c>
      <c r="B13017" t="s">
        <v>75</v>
      </c>
      <c r="C13017" t="s">
        <v>607</v>
      </c>
      <c r="D13017">
        <v>4891.43</v>
      </c>
      <c r="E13017" s="37" t="str">
        <f t="shared" si="1015"/>
        <v>Excellent Order</v>
      </c>
      <c r="F13017">
        <v>0.12</v>
      </c>
      <c r="G13017" s="37" t="str">
        <f t="shared" si="1016"/>
        <v>Normal Discount</v>
      </c>
      <c r="H13017" s="37" t="str">
        <f t="shared" si="1017"/>
        <v>Low</v>
      </c>
      <c r="I13017">
        <v>9</v>
      </c>
      <c r="J13017" t="str" cm="1">
        <f t="array" ref="J13017">_xlfn.IFS(I13017&lt;=3,"small",I13017&lt;=6,"Medium",I13017&lt;=9,"Large")</f>
        <v>Large</v>
      </c>
      <c r="K13017" s="36">
        <v>45650</v>
      </c>
      <c r="L13017" s="36">
        <v>45653</v>
      </c>
      <c r="M13017" t="s">
        <v>612</v>
      </c>
      <c r="N13017" t="s">
        <v>608</v>
      </c>
      <c r="O13017" s="37" t="str">
        <f t="shared" si="1018"/>
        <v>Cash Payment</v>
      </c>
      <c r="P13017">
        <v>1295.5</v>
      </c>
      <c r="Q13017" s="37" t="str">
        <f>IF(P13017&gt;500,"High","low")</f>
        <v>High</v>
      </c>
      <c r="R13017" s="37" t="str">
        <f t="shared" si="1019"/>
        <v>Excellent</v>
      </c>
      <c r="S13017" t="s">
        <v>600</v>
      </c>
    </row>
    <row r="13018" spans="1:19" x14ac:dyDescent="0.2">
      <c r="A13018" t="s">
        <v>13629</v>
      </c>
      <c r="B13018" t="s">
        <v>90</v>
      </c>
      <c r="C13018" t="s">
        <v>607</v>
      </c>
      <c r="D13018">
        <v>172.2</v>
      </c>
      <c r="E13018" s="37" t="str">
        <f t="shared" si="1015"/>
        <v xml:space="preserve"> </v>
      </c>
      <c r="F13018">
        <v>0.39</v>
      </c>
      <c r="G13018" s="37" t="str">
        <f t="shared" si="1016"/>
        <v>Heavy Discount</v>
      </c>
      <c r="H13018" s="37" t="str">
        <f t="shared" si="1017"/>
        <v>Medium</v>
      </c>
      <c r="I13018">
        <v>9</v>
      </c>
      <c r="J13018" t="str" cm="1">
        <f t="array" ref="J13018">_xlfn.IFS(I13018&lt;=3,"small",I13018&lt;=6,"Medium",I13018&lt;=9,"Large")</f>
        <v>Large</v>
      </c>
      <c r="K13018" s="36">
        <v>44939</v>
      </c>
      <c r="L13018" s="36">
        <v>44940</v>
      </c>
      <c r="M13018" t="s">
        <v>612</v>
      </c>
      <c r="N13018" t="s">
        <v>604</v>
      </c>
      <c r="O13018" s="37" t="str">
        <f t="shared" si="1018"/>
        <v>Digital Payment</v>
      </c>
      <c r="P13018">
        <v>18.62</v>
      </c>
      <c r="Q13018" s="37" t="str">
        <f>IF(P13018&gt;500,"High","low")</f>
        <v>low</v>
      </c>
      <c r="R13018" s="37" t="str">
        <f t="shared" si="1019"/>
        <v>AVERAGE</v>
      </c>
      <c r="S13018" t="s">
        <v>620</v>
      </c>
    </row>
    <row r="13019" spans="1:19" x14ac:dyDescent="0.2">
      <c r="A13019" t="s">
        <v>13630</v>
      </c>
      <c r="B13019" t="s">
        <v>90</v>
      </c>
      <c r="C13019" t="s">
        <v>602</v>
      </c>
      <c r="D13019">
        <v>1694.5</v>
      </c>
      <c r="E13019" s="37" t="str">
        <f t="shared" si="1015"/>
        <v xml:space="preserve"> </v>
      </c>
      <c r="F13019">
        <v>0.48</v>
      </c>
      <c r="G13019" s="37" t="str">
        <f t="shared" si="1016"/>
        <v>Heavy Discount</v>
      </c>
      <c r="H13019" s="37" t="str">
        <f t="shared" si="1017"/>
        <v>High</v>
      </c>
      <c r="I13019">
        <v>9</v>
      </c>
      <c r="J13019" t="str" cm="1">
        <f t="array" ref="J13019">_xlfn.IFS(I13019&lt;=3,"small",I13019&lt;=6,"Medium",I13019&lt;=9,"Large")</f>
        <v>Large</v>
      </c>
      <c r="K13019" s="36">
        <v>44990</v>
      </c>
      <c r="L13019" s="36">
        <v>44996</v>
      </c>
      <c r="M13019" t="s">
        <v>603</v>
      </c>
      <c r="N13019" t="s">
        <v>608</v>
      </c>
      <c r="O13019" s="37" t="str">
        <f t="shared" si="1018"/>
        <v>Cash Payment</v>
      </c>
      <c r="P13019">
        <v>187.3</v>
      </c>
      <c r="Q13019" s="37" t="str">
        <f>IF(P13019&gt;500,"High","low")</f>
        <v>low</v>
      </c>
      <c r="R13019" s="37" t="str">
        <f t="shared" si="1019"/>
        <v>AVERAGE</v>
      </c>
      <c r="S13019" t="s">
        <v>600</v>
      </c>
    </row>
    <row r="13020" spans="1:19" x14ac:dyDescent="0.2">
      <c r="A13020" t="s">
        <v>13631</v>
      </c>
      <c r="B13020" t="s">
        <v>83</v>
      </c>
      <c r="C13020" t="s">
        <v>607</v>
      </c>
      <c r="D13020">
        <v>271.19</v>
      </c>
      <c r="E13020" s="37" t="str">
        <f t="shared" si="1015"/>
        <v xml:space="preserve"> </v>
      </c>
      <c r="F13020">
        <v>0.13</v>
      </c>
      <c r="G13020" s="37" t="str">
        <f t="shared" si="1016"/>
        <v>Normal Discount</v>
      </c>
      <c r="H13020" s="37" t="str">
        <f t="shared" si="1017"/>
        <v>Low</v>
      </c>
      <c r="I13020">
        <v>1</v>
      </c>
      <c r="J13020" t="str" cm="1">
        <f t="array" ref="J13020">_xlfn.IFS(I13020&lt;=3,"small",I13020&lt;=6,"Medium",I13020&lt;=9,"Large")</f>
        <v>small</v>
      </c>
      <c r="K13020" s="36">
        <v>45553</v>
      </c>
      <c r="L13020" s="36">
        <v>45559</v>
      </c>
      <c r="M13020" t="s">
        <v>598</v>
      </c>
      <c r="N13020" t="s">
        <v>608</v>
      </c>
      <c r="O13020" s="37" t="str">
        <f t="shared" si="1018"/>
        <v>Cash Payment</v>
      </c>
      <c r="P13020">
        <v>28.88</v>
      </c>
      <c r="Q13020" s="37" t="str">
        <f>IF(P13020&gt;500,"High","low")</f>
        <v>low</v>
      </c>
      <c r="R13020" s="37" t="str">
        <f t="shared" si="1019"/>
        <v>AVERAGE</v>
      </c>
      <c r="S13020" t="s">
        <v>615</v>
      </c>
    </row>
    <row r="13021" spans="1:19" x14ac:dyDescent="0.2">
      <c r="A13021" t="s">
        <v>13632</v>
      </c>
      <c r="B13021" t="s">
        <v>75</v>
      </c>
      <c r="C13021" t="s">
        <v>614</v>
      </c>
      <c r="D13021">
        <v>4206.4399999999996</v>
      </c>
      <c r="E13021" s="37" t="str">
        <f t="shared" si="1015"/>
        <v xml:space="preserve"> </v>
      </c>
      <c r="F13021">
        <v>0.43</v>
      </c>
      <c r="G13021" s="37" t="str">
        <f t="shared" si="1016"/>
        <v>Heavy Discount</v>
      </c>
      <c r="H13021" s="37" t="str">
        <f t="shared" si="1017"/>
        <v>High</v>
      </c>
      <c r="I13021">
        <v>9</v>
      </c>
      <c r="J13021" t="str" cm="1">
        <f t="array" ref="J13021">_xlfn.IFS(I13021&lt;=3,"small",I13021&lt;=6,"Medium",I13021&lt;=9,"Large")</f>
        <v>Large</v>
      </c>
      <c r="K13021" s="36">
        <v>45654</v>
      </c>
      <c r="L13021" s="36">
        <v>45656</v>
      </c>
      <c r="M13021" t="s">
        <v>612</v>
      </c>
      <c r="N13021" t="s">
        <v>599</v>
      </c>
      <c r="O13021" s="37" t="str">
        <f t="shared" si="1018"/>
        <v>Digital Payment</v>
      </c>
      <c r="P13021">
        <v>354.94</v>
      </c>
      <c r="Q13021" s="37" t="str">
        <f>IF(P13021&gt;500,"High","low")</f>
        <v>low</v>
      </c>
      <c r="R13021" s="37" t="str">
        <f t="shared" si="1019"/>
        <v>AVERAGE</v>
      </c>
      <c r="S13021" t="s">
        <v>615</v>
      </c>
    </row>
    <row r="13022" spans="1:19" x14ac:dyDescent="0.2">
      <c r="A13022" t="s">
        <v>13633</v>
      </c>
      <c r="B13022" t="s">
        <v>90</v>
      </c>
      <c r="C13022" t="s">
        <v>597</v>
      </c>
      <c r="D13022">
        <v>2959.32</v>
      </c>
      <c r="E13022" s="37" t="str">
        <f t="shared" si="1015"/>
        <v xml:space="preserve"> </v>
      </c>
      <c r="F13022">
        <v>0.28999999999999998</v>
      </c>
      <c r="G13022" s="37" t="str">
        <f t="shared" si="1016"/>
        <v>Normal Discount</v>
      </c>
      <c r="H13022" s="37" t="str">
        <f t="shared" si="1017"/>
        <v>Medium</v>
      </c>
      <c r="I13022">
        <v>8</v>
      </c>
      <c r="J13022" t="str" cm="1">
        <f t="array" ref="J13022">_xlfn.IFS(I13022&lt;=3,"small",I13022&lt;=6,"Medium",I13022&lt;=9,"Large")</f>
        <v>Large</v>
      </c>
      <c r="K13022" s="36">
        <v>45596</v>
      </c>
      <c r="L13022" s="36">
        <v>45602</v>
      </c>
      <c r="M13022" t="s">
        <v>612</v>
      </c>
      <c r="N13022" t="s">
        <v>604</v>
      </c>
      <c r="O13022" s="37" t="str">
        <f t="shared" si="1018"/>
        <v>Digital Payment</v>
      </c>
      <c r="P13022">
        <v>293.06</v>
      </c>
      <c r="Q13022" s="37" t="str">
        <f>IF(P13022&gt;500,"High","low")</f>
        <v>low</v>
      </c>
      <c r="R13022" s="37" t="str">
        <f t="shared" si="1019"/>
        <v>AVERAGE</v>
      </c>
      <c r="S13022" t="s">
        <v>600</v>
      </c>
    </row>
    <row r="13023" spans="1:19" x14ac:dyDescent="0.2">
      <c r="A13023" t="s">
        <v>13634</v>
      </c>
      <c r="B13023" t="s">
        <v>67</v>
      </c>
      <c r="C13023" t="s">
        <v>614</v>
      </c>
      <c r="D13023">
        <v>334.96</v>
      </c>
      <c r="E13023" s="37" t="str">
        <f t="shared" si="1015"/>
        <v xml:space="preserve"> </v>
      </c>
      <c r="F13023">
        <v>0.2</v>
      </c>
      <c r="G13023" s="37" t="str">
        <f t="shared" si="1016"/>
        <v>Normal Discount</v>
      </c>
      <c r="H13023" s="37" t="str">
        <f t="shared" si="1017"/>
        <v>Medium</v>
      </c>
      <c r="I13023">
        <v>2</v>
      </c>
      <c r="J13023" t="str" cm="1">
        <f t="array" ref="J13023">_xlfn.IFS(I13023&lt;=3,"small",I13023&lt;=6,"Medium",I13023&lt;=9,"Large")</f>
        <v>small</v>
      </c>
      <c r="K13023" s="36">
        <v>45552</v>
      </c>
      <c r="L13023" s="36">
        <v>45553</v>
      </c>
      <c r="M13023" t="s">
        <v>598</v>
      </c>
      <c r="N13023" t="s">
        <v>599</v>
      </c>
      <c r="O13023" s="37" t="str">
        <f t="shared" si="1018"/>
        <v>Digital Payment</v>
      </c>
      <c r="P13023">
        <v>78.92</v>
      </c>
      <c r="Q13023" s="37" t="str">
        <f>IF(P13023&gt;500,"High","low")</f>
        <v>low</v>
      </c>
      <c r="R13023" s="37" t="str">
        <f t="shared" si="1019"/>
        <v>AVERAGE</v>
      </c>
      <c r="S13023" t="s">
        <v>628</v>
      </c>
    </row>
    <row r="13024" spans="1:19" x14ac:dyDescent="0.2">
      <c r="A13024" t="s">
        <v>13635</v>
      </c>
      <c r="B13024" t="s">
        <v>67</v>
      </c>
      <c r="C13024" t="s">
        <v>602</v>
      </c>
      <c r="D13024">
        <v>3115.27</v>
      </c>
      <c r="E13024" s="37" t="str">
        <f t="shared" si="1015"/>
        <v xml:space="preserve"> </v>
      </c>
      <c r="F13024">
        <v>0.41</v>
      </c>
      <c r="G13024" s="37" t="str">
        <f t="shared" si="1016"/>
        <v>Heavy Discount</v>
      </c>
      <c r="H13024" s="37" t="str">
        <f t="shared" si="1017"/>
        <v>High</v>
      </c>
      <c r="I13024">
        <v>3</v>
      </c>
      <c r="J13024" t="str" cm="1">
        <f t="array" ref="J13024">_xlfn.IFS(I13024&lt;=3,"small",I13024&lt;=6,"Medium",I13024&lt;=9,"Large")</f>
        <v>small</v>
      </c>
      <c r="K13024" s="36">
        <v>45492</v>
      </c>
      <c r="L13024" s="36">
        <v>45498</v>
      </c>
      <c r="M13024" t="s">
        <v>598</v>
      </c>
      <c r="N13024" t="s">
        <v>604</v>
      </c>
      <c r="O13024" s="37" t="str">
        <f t="shared" si="1018"/>
        <v>Digital Payment</v>
      </c>
      <c r="P13024">
        <v>754.25</v>
      </c>
      <c r="Q13024" s="37" t="str">
        <f>IF(P13024&gt;500,"High","low")</f>
        <v>High</v>
      </c>
      <c r="R13024" s="37" t="str">
        <f t="shared" si="1019"/>
        <v>Good</v>
      </c>
      <c r="S13024" t="s">
        <v>605</v>
      </c>
    </row>
    <row r="13025" spans="1:19" x14ac:dyDescent="0.2">
      <c r="A13025" t="s">
        <v>13636</v>
      </c>
      <c r="B13025" t="s">
        <v>75</v>
      </c>
      <c r="C13025" t="s">
        <v>607</v>
      </c>
      <c r="D13025">
        <v>703.17</v>
      </c>
      <c r="E13025" s="37" t="str">
        <f t="shared" si="1015"/>
        <v xml:space="preserve"> </v>
      </c>
      <c r="F13025">
        <v>0.44</v>
      </c>
      <c r="G13025" s="37" t="str">
        <f t="shared" si="1016"/>
        <v>Heavy Discount</v>
      </c>
      <c r="H13025" s="37" t="str">
        <f t="shared" si="1017"/>
        <v>High</v>
      </c>
      <c r="I13025">
        <v>7</v>
      </c>
      <c r="J13025" t="str" cm="1">
        <f t="array" ref="J13025">_xlfn.IFS(I13025&lt;=3,"small",I13025&lt;=6,"Medium",I13025&lt;=9,"Large")</f>
        <v>Large</v>
      </c>
      <c r="K13025" s="36">
        <v>45456</v>
      </c>
      <c r="L13025" s="36">
        <v>45461</v>
      </c>
      <c r="M13025" t="s">
        <v>603</v>
      </c>
      <c r="N13025" t="s">
        <v>599</v>
      </c>
      <c r="O13025" s="37" t="str">
        <f t="shared" si="1018"/>
        <v>Digital Payment</v>
      </c>
      <c r="P13025">
        <v>204.14</v>
      </c>
      <c r="Q13025" s="37" t="str">
        <f>IF(P13025&gt;500,"High","low")</f>
        <v>low</v>
      </c>
      <c r="R13025" s="37" t="str">
        <f t="shared" si="1019"/>
        <v>AVERAGE</v>
      </c>
      <c r="S13025" t="s">
        <v>628</v>
      </c>
    </row>
    <row r="13026" spans="1:19" x14ac:dyDescent="0.2">
      <c r="A13026" t="s">
        <v>13637</v>
      </c>
      <c r="B13026" t="s">
        <v>67</v>
      </c>
      <c r="C13026" t="s">
        <v>597</v>
      </c>
      <c r="D13026">
        <v>2529.09</v>
      </c>
      <c r="E13026" s="37" t="str">
        <f t="shared" si="1015"/>
        <v xml:space="preserve"> </v>
      </c>
      <c r="F13026">
        <v>0.14000000000000001</v>
      </c>
      <c r="G13026" s="37" t="str">
        <f t="shared" si="1016"/>
        <v>Normal Discount</v>
      </c>
      <c r="H13026" s="37" t="str">
        <f t="shared" si="1017"/>
        <v>Low</v>
      </c>
      <c r="I13026">
        <v>3</v>
      </c>
      <c r="J13026" t="str" cm="1">
        <f t="array" ref="J13026">_xlfn.IFS(I13026&lt;=3,"small",I13026&lt;=6,"Medium",I13026&lt;=9,"Large")</f>
        <v>small</v>
      </c>
      <c r="K13026" s="36">
        <v>45463</v>
      </c>
      <c r="L13026" s="36">
        <v>45469</v>
      </c>
      <c r="M13026" t="s">
        <v>603</v>
      </c>
      <c r="N13026" t="s">
        <v>608</v>
      </c>
      <c r="O13026" s="37" t="str">
        <f t="shared" si="1018"/>
        <v>Cash Payment</v>
      </c>
      <c r="P13026">
        <v>192.07</v>
      </c>
      <c r="Q13026" s="37" t="str">
        <f>IF(P13026&gt;500,"High","low")</f>
        <v>low</v>
      </c>
      <c r="R13026" s="37" t="str">
        <f t="shared" si="1019"/>
        <v>AVERAGE</v>
      </c>
      <c r="S13026" t="s">
        <v>620</v>
      </c>
    </row>
    <row r="13027" spans="1:19" x14ac:dyDescent="0.2">
      <c r="A13027" t="s">
        <v>13638</v>
      </c>
      <c r="B13027" t="s">
        <v>83</v>
      </c>
      <c r="C13027" t="s">
        <v>614</v>
      </c>
      <c r="D13027">
        <v>3380.12</v>
      </c>
      <c r="E13027" s="37" t="str">
        <f t="shared" si="1015"/>
        <v xml:space="preserve"> </v>
      </c>
      <c r="F13027">
        <v>0.4</v>
      </c>
      <c r="G13027" s="37" t="str">
        <f t="shared" si="1016"/>
        <v>Heavy Discount</v>
      </c>
      <c r="H13027" s="37" t="str">
        <f t="shared" si="1017"/>
        <v>Medium</v>
      </c>
      <c r="I13027">
        <v>2</v>
      </c>
      <c r="J13027" t="str" cm="1">
        <f t="array" ref="J13027">_xlfn.IFS(I13027&lt;=3,"small",I13027&lt;=6,"Medium",I13027&lt;=9,"Large")</f>
        <v>small</v>
      </c>
      <c r="K13027" s="36">
        <v>45619</v>
      </c>
      <c r="L13027" s="36">
        <v>45623</v>
      </c>
      <c r="M13027" t="s">
        <v>612</v>
      </c>
      <c r="N13027" t="s">
        <v>604</v>
      </c>
      <c r="O13027" s="37" t="str">
        <f t="shared" si="1018"/>
        <v>Digital Payment</v>
      </c>
      <c r="P13027">
        <v>296.25</v>
      </c>
      <c r="Q13027" s="37" t="str">
        <f>IF(P13027&gt;500,"High","low")</f>
        <v>low</v>
      </c>
      <c r="R13027" s="37" t="str">
        <f t="shared" si="1019"/>
        <v>AVERAGE</v>
      </c>
      <c r="S13027" t="s">
        <v>600</v>
      </c>
    </row>
    <row r="13028" spans="1:19" x14ac:dyDescent="0.2">
      <c r="A13028" t="s">
        <v>13639</v>
      </c>
      <c r="B13028" t="s">
        <v>90</v>
      </c>
      <c r="C13028" t="s">
        <v>597</v>
      </c>
      <c r="D13028">
        <v>827.68</v>
      </c>
      <c r="E13028" s="37" t="str">
        <f t="shared" si="1015"/>
        <v xml:space="preserve"> </v>
      </c>
      <c r="F13028">
        <v>0.02</v>
      </c>
      <c r="G13028" s="37" t="str">
        <f t="shared" si="1016"/>
        <v>Normal Discount</v>
      </c>
      <c r="H13028" s="37" t="str">
        <f t="shared" si="1017"/>
        <v>Low</v>
      </c>
      <c r="I13028">
        <v>4</v>
      </c>
      <c r="J13028" t="str" cm="1">
        <f t="array" ref="J13028">_xlfn.IFS(I13028&lt;=3,"small",I13028&lt;=6,"Medium",I13028&lt;=9,"Large")</f>
        <v>Medium</v>
      </c>
      <c r="K13028" s="36">
        <v>45449</v>
      </c>
      <c r="L13028" s="36">
        <v>45450</v>
      </c>
      <c r="M13028" t="s">
        <v>598</v>
      </c>
      <c r="N13028" t="s">
        <v>604</v>
      </c>
      <c r="O13028" s="37" t="str">
        <f t="shared" si="1018"/>
        <v>Digital Payment</v>
      </c>
      <c r="P13028">
        <v>224.54</v>
      </c>
      <c r="Q13028" s="37" t="str">
        <f>IF(P13028&gt;500,"High","low")</f>
        <v>low</v>
      </c>
      <c r="R13028" s="37" t="str">
        <f t="shared" si="1019"/>
        <v>AVERAGE</v>
      </c>
      <c r="S13028" t="s">
        <v>609</v>
      </c>
    </row>
    <row r="13029" spans="1:19" x14ac:dyDescent="0.2">
      <c r="A13029" t="s">
        <v>13640</v>
      </c>
      <c r="B13029" t="s">
        <v>90</v>
      </c>
      <c r="C13029" t="s">
        <v>617</v>
      </c>
      <c r="D13029">
        <v>2535.5500000000002</v>
      </c>
      <c r="E13029" s="37" t="str">
        <f t="shared" si="1015"/>
        <v xml:space="preserve"> </v>
      </c>
      <c r="F13029">
        <v>0.21</v>
      </c>
      <c r="G13029" s="37" t="str">
        <f t="shared" si="1016"/>
        <v>Normal Discount</v>
      </c>
      <c r="H13029" s="37" t="str">
        <f t="shared" si="1017"/>
        <v>Medium</v>
      </c>
      <c r="I13029">
        <v>9</v>
      </c>
      <c r="J13029" t="str" cm="1">
        <f t="array" ref="J13029">_xlfn.IFS(I13029&lt;=3,"small",I13029&lt;=6,"Medium",I13029&lt;=9,"Large")</f>
        <v>Large</v>
      </c>
      <c r="K13029" s="36">
        <v>45606</v>
      </c>
      <c r="L13029" s="36">
        <v>45608</v>
      </c>
      <c r="M13029" t="s">
        <v>598</v>
      </c>
      <c r="N13029" t="s">
        <v>604</v>
      </c>
      <c r="O13029" s="37" t="str">
        <f t="shared" si="1018"/>
        <v>Digital Payment</v>
      </c>
      <c r="P13029">
        <v>484.66</v>
      </c>
      <c r="Q13029" s="37" t="str">
        <f>IF(P13029&gt;500,"High","low")</f>
        <v>low</v>
      </c>
      <c r="R13029" s="37" t="str">
        <f t="shared" si="1019"/>
        <v>AVERAGE</v>
      </c>
      <c r="S13029" t="s">
        <v>615</v>
      </c>
    </row>
    <row r="13030" spans="1:19" x14ac:dyDescent="0.2">
      <c r="A13030" t="s">
        <v>13641</v>
      </c>
      <c r="B13030" t="s">
        <v>90</v>
      </c>
      <c r="C13030" t="s">
        <v>614</v>
      </c>
      <c r="D13030">
        <v>2341.31</v>
      </c>
      <c r="E13030" s="37" t="str">
        <f t="shared" si="1015"/>
        <v xml:space="preserve"> </v>
      </c>
      <c r="F13030">
        <v>0.03</v>
      </c>
      <c r="G13030" s="37" t="str">
        <f t="shared" si="1016"/>
        <v>Normal Discount</v>
      </c>
      <c r="H13030" s="37" t="str">
        <f t="shared" si="1017"/>
        <v>Low</v>
      </c>
      <c r="I13030">
        <v>2</v>
      </c>
      <c r="J13030" t="str" cm="1">
        <f t="array" ref="J13030">_xlfn.IFS(I13030&lt;=3,"small",I13030&lt;=6,"Medium",I13030&lt;=9,"Large")</f>
        <v>small</v>
      </c>
      <c r="K13030" s="36">
        <v>45408</v>
      </c>
      <c r="L13030" s="36">
        <v>45410</v>
      </c>
      <c r="M13030" t="s">
        <v>603</v>
      </c>
      <c r="N13030" t="s">
        <v>604</v>
      </c>
      <c r="O13030" s="37" t="str">
        <f t="shared" si="1018"/>
        <v>Digital Payment</v>
      </c>
      <c r="P13030">
        <v>436.17</v>
      </c>
      <c r="Q13030" s="37" t="str">
        <f>IF(P13030&gt;500,"High","low")</f>
        <v>low</v>
      </c>
      <c r="R13030" s="37" t="str">
        <f t="shared" si="1019"/>
        <v>AVERAGE</v>
      </c>
      <c r="S13030" t="s">
        <v>628</v>
      </c>
    </row>
    <row r="13031" spans="1:19" x14ac:dyDescent="0.2">
      <c r="A13031" t="s">
        <v>13642</v>
      </c>
      <c r="B13031" t="s">
        <v>75</v>
      </c>
      <c r="C13031" t="s">
        <v>617</v>
      </c>
      <c r="D13031">
        <v>4587.18</v>
      </c>
      <c r="E13031" s="37" t="str">
        <f t="shared" si="1015"/>
        <v>Excellent Order</v>
      </c>
      <c r="F13031">
        <v>0.15</v>
      </c>
      <c r="G13031" s="37" t="str">
        <f t="shared" si="1016"/>
        <v>Normal Discount</v>
      </c>
      <c r="H13031" s="37" t="str">
        <f t="shared" si="1017"/>
        <v>Low</v>
      </c>
      <c r="I13031">
        <v>1</v>
      </c>
      <c r="J13031" t="str" cm="1">
        <f t="array" ref="J13031">_xlfn.IFS(I13031&lt;=3,"small",I13031&lt;=6,"Medium",I13031&lt;=9,"Large")</f>
        <v>small</v>
      </c>
      <c r="K13031" s="36">
        <v>45528</v>
      </c>
      <c r="L13031" s="36">
        <v>45530</v>
      </c>
      <c r="M13031" t="s">
        <v>612</v>
      </c>
      <c r="N13031" t="s">
        <v>608</v>
      </c>
      <c r="O13031" s="37" t="str">
        <f t="shared" si="1018"/>
        <v>Cash Payment</v>
      </c>
      <c r="P13031">
        <v>1114.5999999999999</v>
      </c>
      <c r="Q13031" s="37" t="str">
        <f>IF(P13031&gt;500,"High","low")</f>
        <v>High</v>
      </c>
      <c r="R13031" s="37" t="str">
        <f t="shared" si="1019"/>
        <v>Excellent</v>
      </c>
      <c r="S13031" t="s">
        <v>628</v>
      </c>
    </row>
    <row r="13032" spans="1:19" x14ac:dyDescent="0.2">
      <c r="A13032" t="s">
        <v>13643</v>
      </c>
      <c r="B13032" t="s">
        <v>67</v>
      </c>
      <c r="C13032" t="s">
        <v>597</v>
      </c>
      <c r="D13032">
        <v>4978.9399999999996</v>
      </c>
      <c r="E13032" s="37" t="str">
        <f t="shared" si="1015"/>
        <v>Excellent Order</v>
      </c>
      <c r="F13032">
        <v>0.48</v>
      </c>
      <c r="G13032" s="37" t="str">
        <f t="shared" si="1016"/>
        <v>Heavy Discount</v>
      </c>
      <c r="H13032" s="37" t="str">
        <f t="shared" si="1017"/>
        <v>High</v>
      </c>
      <c r="I13032">
        <v>7</v>
      </c>
      <c r="J13032" t="str" cm="1">
        <f t="array" ref="J13032">_xlfn.IFS(I13032&lt;=3,"small",I13032&lt;=6,"Medium",I13032&lt;=9,"Large")</f>
        <v>Large</v>
      </c>
      <c r="K13032" s="36">
        <v>45013</v>
      </c>
      <c r="L13032" s="36">
        <v>45018</v>
      </c>
      <c r="M13032" t="s">
        <v>598</v>
      </c>
      <c r="N13032" t="s">
        <v>608</v>
      </c>
      <c r="O13032" s="37" t="str">
        <f t="shared" si="1018"/>
        <v>Cash Payment</v>
      </c>
      <c r="P13032">
        <v>937.25</v>
      </c>
      <c r="Q13032" s="37" t="str">
        <f>IF(P13032&gt;500,"High","low")</f>
        <v>High</v>
      </c>
      <c r="R13032" s="37" t="str">
        <f t="shared" si="1019"/>
        <v>Good</v>
      </c>
      <c r="S13032" t="s">
        <v>605</v>
      </c>
    </row>
    <row r="13033" spans="1:19" x14ac:dyDescent="0.2">
      <c r="A13033" t="s">
        <v>13644</v>
      </c>
      <c r="B13033" t="s">
        <v>83</v>
      </c>
      <c r="C13033" t="s">
        <v>607</v>
      </c>
      <c r="D13033">
        <v>3306.92</v>
      </c>
      <c r="E13033" s="37" t="str">
        <f t="shared" si="1015"/>
        <v xml:space="preserve"> </v>
      </c>
      <c r="F13033">
        <v>0.37</v>
      </c>
      <c r="G13033" s="37" t="str">
        <f t="shared" si="1016"/>
        <v>Heavy Discount</v>
      </c>
      <c r="H13033" s="37" t="str">
        <f t="shared" si="1017"/>
        <v>Medium</v>
      </c>
      <c r="I13033">
        <v>1</v>
      </c>
      <c r="J13033" t="str" cm="1">
        <f t="array" ref="J13033">_xlfn.IFS(I13033&lt;=3,"small",I13033&lt;=6,"Medium",I13033&lt;=9,"Large")</f>
        <v>small</v>
      </c>
      <c r="K13033" s="36">
        <v>45423</v>
      </c>
      <c r="L13033" s="36">
        <v>45424</v>
      </c>
      <c r="M13033" t="s">
        <v>612</v>
      </c>
      <c r="N13033" t="s">
        <v>608</v>
      </c>
      <c r="O13033" s="37" t="str">
        <f t="shared" si="1018"/>
        <v>Cash Payment</v>
      </c>
      <c r="P13033">
        <v>216.74</v>
      </c>
      <c r="Q13033" s="37" t="str">
        <f>IF(P13033&gt;500,"High","low")</f>
        <v>low</v>
      </c>
      <c r="R13033" s="37" t="str">
        <f t="shared" si="1019"/>
        <v>AVERAGE</v>
      </c>
      <c r="S13033" t="s">
        <v>615</v>
      </c>
    </row>
    <row r="13034" spans="1:19" x14ac:dyDescent="0.2">
      <c r="A13034" t="s">
        <v>13645</v>
      </c>
      <c r="B13034" t="s">
        <v>75</v>
      </c>
      <c r="C13034" t="s">
        <v>607</v>
      </c>
      <c r="D13034">
        <v>4288.8100000000004</v>
      </c>
      <c r="E13034" s="37" t="str">
        <f t="shared" si="1015"/>
        <v>Excellent Order</v>
      </c>
      <c r="F13034">
        <v>0.38</v>
      </c>
      <c r="G13034" s="37" t="str">
        <f t="shared" si="1016"/>
        <v>Heavy Discount</v>
      </c>
      <c r="H13034" s="37" t="str">
        <f t="shared" si="1017"/>
        <v>Medium</v>
      </c>
      <c r="I13034">
        <v>6</v>
      </c>
      <c r="J13034" t="str" cm="1">
        <f t="array" ref="J13034">_xlfn.IFS(I13034&lt;=3,"small",I13034&lt;=6,"Medium",I13034&lt;=9,"Large")</f>
        <v>Medium</v>
      </c>
      <c r="K13034" s="36">
        <v>45352</v>
      </c>
      <c r="L13034" s="36">
        <v>45354</v>
      </c>
      <c r="M13034" t="s">
        <v>603</v>
      </c>
      <c r="N13034" t="s">
        <v>599</v>
      </c>
      <c r="O13034" s="37" t="str">
        <f t="shared" si="1018"/>
        <v>Digital Payment</v>
      </c>
      <c r="P13034">
        <v>1178.54</v>
      </c>
      <c r="Q13034" s="37" t="str">
        <f>IF(P13034&gt;500,"High","low")</f>
        <v>High</v>
      </c>
      <c r="R13034" s="37" t="str">
        <f t="shared" si="1019"/>
        <v>Excellent</v>
      </c>
      <c r="S13034" t="s">
        <v>605</v>
      </c>
    </row>
    <row r="13035" spans="1:19" x14ac:dyDescent="0.2">
      <c r="A13035" t="s">
        <v>13646</v>
      </c>
      <c r="B13035" t="s">
        <v>90</v>
      </c>
      <c r="C13035" t="s">
        <v>607</v>
      </c>
      <c r="D13035">
        <v>3269.72</v>
      </c>
      <c r="E13035" s="37" t="str">
        <f t="shared" si="1015"/>
        <v xml:space="preserve"> </v>
      </c>
      <c r="F13035">
        <v>7.0000000000000007E-2</v>
      </c>
      <c r="G13035" s="37" t="str">
        <f t="shared" si="1016"/>
        <v>Normal Discount</v>
      </c>
      <c r="H13035" s="37" t="str">
        <f t="shared" si="1017"/>
        <v>Low</v>
      </c>
      <c r="I13035">
        <v>5</v>
      </c>
      <c r="J13035" t="str" cm="1">
        <f t="array" ref="J13035">_xlfn.IFS(I13035&lt;=3,"small",I13035&lt;=6,"Medium",I13035&lt;=9,"Large")</f>
        <v>Medium</v>
      </c>
      <c r="K13035" s="36">
        <v>45613</v>
      </c>
      <c r="L13035" s="36">
        <v>45620</v>
      </c>
      <c r="M13035" t="s">
        <v>612</v>
      </c>
      <c r="N13035" t="s">
        <v>608</v>
      </c>
      <c r="O13035" s="37" t="str">
        <f t="shared" si="1018"/>
        <v>Cash Payment</v>
      </c>
      <c r="P13035">
        <v>272.95</v>
      </c>
      <c r="Q13035" s="37" t="str">
        <f>IF(P13035&gt;500,"High","low")</f>
        <v>low</v>
      </c>
      <c r="R13035" s="37" t="str">
        <f t="shared" si="1019"/>
        <v>AVERAGE</v>
      </c>
      <c r="S13035" t="s">
        <v>628</v>
      </c>
    </row>
    <row r="13036" spans="1:19" x14ac:dyDescent="0.2">
      <c r="A13036" t="s">
        <v>13647</v>
      </c>
      <c r="B13036" t="s">
        <v>83</v>
      </c>
      <c r="C13036" t="s">
        <v>617</v>
      </c>
      <c r="D13036">
        <v>4393.8</v>
      </c>
      <c r="E13036" s="37" t="str">
        <f t="shared" si="1015"/>
        <v xml:space="preserve"> </v>
      </c>
      <c r="F13036">
        <v>0.28999999999999998</v>
      </c>
      <c r="G13036" s="37" t="str">
        <f t="shared" si="1016"/>
        <v>Normal Discount</v>
      </c>
      <c r="H13036" s="37" t="str">
        <f t="shared" si="1017"/>
        <v>Medium</v>
      </c>
      <c r="I13036">
        <v>8</v>
      </c>
      <c r="J13036" t="str" cm="1">
        <f t="array" ref="J13036">_xlfn.IFS(I13036&lt;=3,"small",I13036&lt;=6,"Medium",I13036&lt;=9,"Large")</f>
        <v>Large</v>
      </c>
      <c r="K13036" s="36">
        <v>44982</v>
      </c>
      <c r="L13036" s="36">
        <v>44987</v>
      </c>
      <c r="M13036" t="s">
        <v>603</v>
      </c>
      <c r="N13036" t="s">
        <v>604</v>
      </c>
      <c r="O13036" s="37" t="str">
        <f t="shared" si="1018"/>
        <v>Digital Payment</v>
      </c>
      <c r="P13036">
        <v>747.1</v>
      </c>
      <c r="Q13036" s="37" t="str">
        <f>IF(P13036&gt;500,"High","low")</f>
        <v>High</v>
      </c>
      <c r="R13036" s="37" t="str">
        <f t="shared" si="1019"/>
        <v>Good</v>
      </c>
      <c r="S13036" t="s">
        <v>609</v>
      </c>
    </row>
    <row r="13037" spans="1:19" x14ac:dyDescent="0.2">
      <c r="A13037" t="s">
        <v>13648</v>
      </c>
      <c r="B13037" t="s">
        <v>90</v>
      </c>
      <c r="C13037" t="s">
        <v>607</v>
      </c>
      <c r="D13037">
        <v>2223.0300000000002</v>
      </c>
      <c r="E13037" s="37" t="str">
        <f t="shared" si="1015"/>
        <v xml:space="preserve"> </v>
      </c>
      <c r="F13037">
        <v>0.19</v>
      </c>
      <c r="G13037" s="37" t="str">
        <f t="shared" si="1016"/>
        <v>Normal Discount</v>
      </c>
      <c r="H13037" s="37" t="str">
        <f t="shared" si="1017"/>
        <v>Low</v>
      </c>
      <c r="I13037">
        <v>3</v>
      </c>
      <c r="J13037" t="str" cm="1">
        <f t="array" ref="J13037">_xlfn.IFS(I13037&lt;=3,"small",I13037&lt;=6,"Medium",I13037&lt;=9,"Large")</f>
        <v>small</v>
      </c>
      <c r="K13037" s="36">
        <v>45655</v>
      </c>
      <c r="L13037" s="36">
        <v>45659</v>
      </c>
      <c r="M13037" t="s">
        <v>612</v>
      </c>
      <c r="N13037" t="s">
        <v>608</v>
      </c>
      <c r="O13037" s="37" t="str">
        <f t="shared" si="1018"/>
        <v>Cash Payment</v>
      </c>
      <c r="P13037">
        <v>313.74</v>
      </c>
      <c r="Q13037" s="37" t="str">
        <f>IF(P13037&gt;500,"High","low")</f>
        <v>low</v>
      </c>
      <c r="R13037" s="37" t="str">
        <f t="shared" si="1019"/>
        <v>AVERAGE</v>
      </c>
      <c r="S13037" t="s">
        <v>615</v>
      </c>
    </row>
    <row r="13038" spans="1:19" x14ac:dyDescent="0.2">
      <c r="A13038" t="s">
        <v>13649</v>
      </c>
      <c r="B13038" t="s">
        <v>90</v>
      </c>
      <c r="C13038" t="s">
        <v>602</v>
      </c>
      <c r="D13038">
        <v>3079.15</v>
      </c>
      <c r="E13038" s="37" t="str">
        <f t="shared" si="1015"/>
        <v xml:space="preserve"> </v>
      </c>
      <c r="F13038">
        <v>0.37</v>
      </c>
      <c r="G13038" s="37" t="str">
        <f t="shared" si="1016"/>
        <v>Heavy Discount</v>
      </c>
      <c r="H13038" s="37" t="str">
        <f t="shared" si="1017"/>
        <v>Medium</v>
      </c>
      <c r="I13038">
        <v>3</v>
      </c>
      <c r="J13038" t="str" cm="1">
        <f t="array" ref="J13038">_xlfn.IFS(I13038&lt;=3,"small",I13038&lt;=6,"Medium",I13038&lt;=9,"Large")</f>
        <v>small</v>
      </c>
      <c r="K13038" s="36">
        <v>45536</v>
      </c>
      <c r="L13038" s="36">
        <v>45539</v>
      </c>
      <c r="M13038" t="s">
        <v>598</v>
      </c>
      <c r="N13038" t="s">
        <v>608</v>
      </c>
      <c r="O13038" s="37" t="str">
        <f t="shared" si="1018"/>
        <v>Cash Payment</v>
      </c>
      <c r="P13038">
        <v>438.68</v>
      </c>
      <c r="Q13038" s="37" t="str">
        <f>IF(P13038&gt;500,"High","low")</f>
        <v>low</v>
      </c>
      <c r="R13038" s="37" t="str">
        <f t="shared" si="1019"/>
        <v>AVERAGE</v>
      </c>
      <c r="S13038" t="s">
        <v>609</v>
      </c>
    </row>
    <row r="13039" spans="1:19" x14ac:dyDescent="0.2">
      <c r="A13039" t="s">
        <v>13650</v>
      </c>
      <c r="B13039" t="s">
        <v>75</v>
      </c>
      <c r="C13039" t="s">
        <v>614</v>
      </c>
      <c r="D13039">
        <v>4241.33</v>
      </c>
      <c r="E13039" s="37" t="str">
        <f t="shared" si="1015"/>
        <v xml:space="preserve"> </v>
      </c>
      <c r="F13039">
        <v>0.08</v>
      </c>
      <c r="G13039" s="37" t="str">
        <f t="shared" si="1016"/>
        <v>Normal Discount</v>
      </c>
      <c r="H13039" s="37" t="str">
        <f t="shared" si="1017"/>
        <v>Low</v>
      </c>
      <c r="I13039">
        <v>1</v>
      </c>
      <c r="J13039" t="str" cm="1">
        <f t="array" ref="J13039">_xlfn.IFS(I13039&lt;=3,"small",I13039&lt;=6,"Medium",I13039&lt;=9,"Large")</f>
        <v>small</v>
      </c>
      <c r="K13039" s="36">
        <v>45251</v>
      </c>
      <c r="L13039" s="36">
        <v>45255</v>
      </c>
      <c r="M13039" t="s">
        <v>612</v>
      </c>
      <c r="N13039" t="s">
        <v>599</v>
      </c>
      <c r="O13039" s="37" t="str">
        <f t="shared" si="1018"/>
        <v>Digital Payment</v>
      </c>
      <c r="P13039">
        <v>513.44000000000005</v>
      </c>
      <c r="Q13039" s="37" t="str">
        <f>IF(P13039&gt;500,"High","low")</f>
        <v>High</v>
      </c>
      <c r="R13039" s="37" t="str">
        <f t="shared" si="1019"/>
        <v>Good</v>
      </c>
      <c r="S13039" t="s">
        <v>615</v>
      </c>
    </row>
    <row r="13040" spans="1:19" x14ac:dyDescent="0.2">
      <c r="A13040" t="s">
        <v>13651</v>
      </c>
      <c r="B13040" t="s">
        <v>90</v>
      </c>
      <c r="C13040" t="s">
        <v>614</v>
      </c>
      <c r="D13040">
        <v>4598.62</v>
      </c>
      <c r="E13040" s="37" t="str">
        <f t="shared" si="1015"/>
        <v>Excellent Order</v>
      </c>
      <c r="F13040">
        <v>0.14000000000000001</v>
      </c>
      <c r="G13040" s="37" t="str">
        <f t="shared" si="1016"/>
        <v>Normal Discount</v>
      </c>
      <c r="H13040" s="37" t="str">
        <f t="shared" si="1017"/>
        <v>Low</v>
      </c>
      <c r="I13040">
        <v>4</v>
      </c>
      <c r="J13040" t="str" cm="1">
        <f t="array" ref="J13040">_xlfn.IFS(I13040&lt;=3,"small",I13040&lt;=6,"Medium",I13040&lt;=9,"Large")</f>
        <v>Medium</v>
      </c>
      <c r="K13040" s="36">
        <v>45467</v>
      </c>
      <c r="L13040" s="36">
        <v>45468</v>
      </c>
      <c r="M13040" t="s">
        <v>598</v>
      </c>
      <c r="N13040" t="s">
        <v>604</v>
      </c>
      <c r="O13040" s="37" t="str">
        <f t="shared" si="1018"/>
        <v>Digital Payment</v>
      </c>
      <c r="P13040">
        <v>1330.37</v>
      </c>
      <c r="Q13040" s="37" t="str">
        <f>IF(P13040&gt;500,"High","low")</f>
        <v>High</v>
      </c>
      <c r="R13040" s="37" t="str">
        <f t="shared" si="1019"/>
        <v>Excellent</v>
      </c>
      <c r="S13040" t="s">
        <v>600</v>
      </c>
    </row>
    <row r="13041" spans="1:19" x14ac:dyDescent="0.2">
      <c r="A13041" t="s">
        <v>13652</v>
      </c>
      <c r="B13041" t="s">
        <v>83</v>
      </c>
      <c r="C13041" t="s">
        <v>597</v>
      </c>
      <c r="D13041">
        <v>220.95</v>
      </c>
      <c r="E13041" s="37" t="str">
        <f t="shared" si="1015"/>
        <v xml:space="preserve"> </v>
      </c>
      <c r="F13041">
        <v>0.45</v>
      </c>
      <c r="G13041" s="37" t="str">
        <f t="shared" si="1016"/>
        <v>Heavy Discount</v>
      </c>
      <c r="H13041" s="37" t="str">
        <f t="shared" si="1017"/>
        <v>High</v>
      </c>
      <c r="I13041">
        <v>6</v>
      </c>
      <c r="J13041" t="str" cm="1">
        <f t="array" ref="J13041">_xlfn.IFS(I13041&lt;=3,"small",I13041&lt;=6,"Medium",I13041&lt;=9,"Large")</f>
        <v>Medium</v>
      </c>
      <c r="K13041" s="36">
        <v>45404</v>
      </c>
      <c r="L13041" s="36">
        <v>45408</v>
      </c>
      <c r="M13041" t="s">
        <v>598</v>
      </c>
      <c r="N13041" t="s">
        <v>599</v>
      </c>
      <c r="O13041" s="37" t="str">
        <f t="shared" si="1018"/>
        <v>Digital Payment</v>
      </c>
      <c r="P13041">
        <v>15.69</v>
      </c>
      <c r="Q13041" s="37" t="str">
        <f>IF(P13041&gt;500,"High","low")</f>
        <v>low</v>
      </c>
      <c r="R13041" s="37" t="str">
        <f t="shared" si="1019"/>
        <v>AVERAGE</v>
      </c>
      <c r="S13041" t="s">
        <v>628</v>
      </c>
    </row>
    <row r="13042" spans="1:19" x14ac:dyDescent="0.2">
      <c r="A13042" t="s">
        <v>13653</v>
      </c>
      <c r="B13042" t="s">
        <v>90</v>
      </c>
      <c r="C13042" t="s">
        <v>617</v>
      </c>
      <c r="D13042">
        <v>609.37</v>
      </c>
      <c r="E13042" s="37" t="str">
        <f t="shared" si="1015"/>
        <v xml:space="preserve"> </v>
      </c>
      <c r="F13042">
        <v>0.08</v>
      </c>
      <c r="G13042" s="37" t="str">
        <f t="shared" si="1016"/>
        <v>Normal Discount</v>
      </c>
      <c r="H13042" s="37" t="str">
        <f t="shared" si="1017"/>
        <v>Low</v>
      </c>
      <c r="I13042">
        <v>5</v>
      </c>
      <c r="J13042" t="str" cm="1">
        <f t="array" ref="J13042">_xlfn.IFS(I13042&lt;=3,"small",I13042&lt;=6,"Medium",I13042&lt;=9,"Large")</f>
        <v>Medium</v>
      </c>
      <c r="K13042" s="36">
        <v>45242</v>
      </c>
      <c r="L13042" s="36">
        <v>45249</v>
      </c>
      <c r="M13042" t="s">
        <v>598</v>
      </c>
      <c r="N13042" t="s">
        <v>608</v>
      </c>
      <c r="O13042" s="37" t="str">
        <f t="shared" si="1018"/>
        <v>Cash Payment</v>
      </c>
      <c r="P13042">
        <v>152.72</v>
      </c>
      <c r="Q13042" s="37" t="str">
        <f>IF(P13042&gt;500,"High","low")</f>
        <v>low</v>
      </c>
      <c r="R13042" s="37" t="str">
        <f t="shared" si="1019"/>
        <v>AVERAGE</v>
      </c>
      <c r="S13042" t="s">
        <v>615</v>
      </c>
    </row>
    <row r="13043" spans="1:19" x14ac:dyDescent="0.2">
      <c r="A13043" t="s">
        <v>13654</v>
      </c>
      <c r="B13043" t="s">
        <v>67</v>
      </c>
      <c r="C13043" t="s">
        <v>614</v>
      </c>
      <c r="D13043">
        <v>4662.74</v>
      </c>
      <c r="E13043" s="37" t="str">
        <f t="shared" si="1015"/>
        <v xml:space="preserve"> </v>
      </c>
      <c r="F13043">
        <v>0.32</v>
      </c>
      <c r="G13043" s="37" t="str">
        <f t="shared" si="1016"/>
        <v>Heavy Discount</v>
      </c>
      <c r="H13043" s="37" t="str">
        <f t="shared" si="1017"/>
        <v>Medium</v>
      </c>
      <c r="I13043">
        <v>7</v>
      </c>
      <c r="J13043" t="str" cm="1">
        <f t="array" ref="J13043">_xlfn.IFS(I13043&lt;=3,"small",I13043&lt;=6,"Medium",I13043&lt;=9,"Large")</f>
        <v>Large</v>
      </c>
      <c r="K13043" s="36">
        <v>45427</v>
      </c>
      <c r="L13043" s="36">
        <v>45433</v>
      </c>
      <c r="M13043" t="s">
        <v>603</v>
      </c>
      <c r="N13043" t="s">
        <v>599</v>
      </c>
      <c r="O13043" s="37" t="str">
        <f t="shared" si="1018"/>
        <v>Digital Payment</v>
      </c>
      <c r="P13043">
        <v>690.69</v>
      </c>
      <c r="Q13043" s="37" t="str">
        <f>IF(P13043&gt;500,"High","low")</f>
        <v>High</v>
      </c>
      <c r="R13043" s="37" t="str">
        <f t="shared" si="1019"/>
        <v>Good</v>
      </c>
      <c r="S13043" t="s">
        <v>605</v>
      </c>
    </row>
    <row r="13044" spans="1:19" x14ac:dyDescent="0.2">
      <c r="A13044" t="s">
        <v>13655</v>
      </c>
      <c r="B13044" t="s">
        <v>90</v>
      </c>
      <c r="C13044" t="s">
        <v>617</v>
      </c>
      <c r="D13044">
        <v>2885.69</v>
      </c>
      <c r="E13044" s="37" t="str">
        <f t="shared" si="1015"/>
        <v xml:space="preserve"> </v>
      </c>
      <c r="F13044">
        <v>0.16</v>
      </c>
      <c r="G13044" s="37" t="str">
        <f t="shared" si="1016"/>
        <v>Normal Discount</v>
      </c>
      <c r="H13044" s="37" t="str">
        <f t="shared" si="1017"/>
        <v>Low</v>
      </c>
      <c r="I13044">
        <v>1</v>
      </c>
      <c r="J13044" t="str" cm="1">
        <f t="array" ref="J13044">_xlfn.IFS(I13044&lt;=3,"small",I13044&lt;=6,"Medium",I13044&lt;=9,"Large")</f>
        <v>small</v>
      </c>
      <c r="K13044" s="36">
        <v>45591</v>
      </c>
      <c r="L13044" s="36">
        <v>45596</v>
      </c>
      <c r="M13044" t="s">
        <v>598</v>
      </c>
      <c r="N13044" t="s">
        <v>599</v>
      </c>
      <c r="O13044" s="37" t="str">
        <f t="shared" si="1018"/>
        <v>Digital Payment</v>
      </c>
      <c r="P13044">
        <v>182.26</v>
      </c>
      <c r="Q13044" s="37" t="str">
        <f>IF(P13044&gt;500,"High","low")</f>
        <v>low</v>
      </c>
      <c r="R13044" s="37" t="str">
        <f t="shared" si="1019"/>
        <v>AVERAGE</v>
      </c>
      <c r="S13044" t="s">
        <v>620</v>
      </c>
    </row>
    <row r="13045" spans="1:19" x14ac:dyDescent="0.2">
      <c r="A13045" t="s">
        <v>13656</v>
      </c>
      <c r="B13045" t="s">
        <v>75</v>
      </c>
      <c r="C13045" t="s">
        <v>597</v>
      </c>
      <c r="D13045">
        <v>4951.9399999999996</v>
      </c>
      <c r="E13045" s="37" t="str">
        <f t="shared" si="1015"/>
        <v>Excellent Order</v>
      </c>
      <c r="F13045">
        <v>0.04</v>
      </c>
      <c r="G13045" s="37" t="str">
        <f t="shared" si="1016"/>
        <v>Normal Discount</v>
      </c>
      <c r="H13045" s="37" t="str">
        <f t="shared" si="1017"/>
        <v>Low</v>
      </c>
      <c r="I13045">
        <v>3</v>
      </c>
      <c r="J13045" t="str" cm="1">
        <f t="array" ref="J13045">_xlfn.IFS(I13045&lt;=3,"small",I13045&lt;=6,"Medium",I13045&lt;=9,"Large")</f>
        <v>small</v>
      </c>
      <c r="K13045" s="36">
        <v>45033</v>
      </c>
      <c r="L13045" s="36">
        <v>45034</v>
      </c>
      <c r="M13045" t="s">
        <v>612</v>
      </c>
      <c r="N13045" t="s">
        <v>604</v>
      </c>
      <c r="O13045" s="37" t="str">
        <f t="shared" si="1018"/>
        <v>Digital Payment</v>
      </c>
      <c r="P13045">
        <v>957</v>
      </c>
      <c r="Q13045" s="37" t="str">
        <f>IF(P13045&gt;500,"High","low")</f>
        <v>High</v>
      </c>
      <c r="R13045" s="37" t="str">
        <f t="shared" si="1019"/>
        <v>Good</v>
      </c>
      <c r="S13045" t="s">
        <v>615</v>
      </c>
    </row>
    <row r="13046" spans="1:19" x14ac:dyDescent="0.2">
      <c r="A13046" t="s">
        <v>13657</v>
      </c>
      <c r="B13046" t="s">
        <v>83</v>
      </c>
      <c r="C13046" t="s">
        <v>607</v>
      </c>
      <c r="D13046">
        <v>3983.9</v>
      </c>
      <c r="E13046" s="37" t="str">
        <f t="shared" si="1015"/>
        <v xml:space="preserve"> </v>
      </c>
      <c r="F13046">
        <v>0.11</v>
      </c>
      <c r="G13046" s="37" t="str">
        <f t="shared" si="1016"/>
        <v>Normal Discount</v>
      </c>
      <c r="H13046" s="37" t="str">
        <f t="shared" si="1017"/>
        <v>Low</v>
      </c>
      <c r="I13046">
        <v>4</v>
      </c>
      <c r="J13046" t="str" cm="1">
        <f t="array" ref="J13046">_xlfn.IFS(I13046&lt;=3,"small",I13046&lt;=6,"Medium",I13046&lt;=9,"Large")</f>
        <v>Medium</v>
      </c>
      <c r="K13046" s="36">
        <v>45610</v>
      </c>
      <c r="L13046" s="36">
        <v>45617</v>
      </c>
      <c r="M13046" t="s">
        <v>603</v>
      </c>
      <c r="N13046" t="s">
        <v>604</v>
      </c>
      <c r="O13046" s="37" t="str">
        <f t="shared" si="1018"/>
        <v>Digital Payment</v>
      </c>
      <c r="P13046">
        <v>569.9</v>
      </c>
      <c r="Q13046" s="37" t="str">
        <f>IF(P13046&gt;500,"High","low")</f>
        <v>High</v>
      </c>
      <c r="R13046" s="37" t="str">
        <f t="shared" si="1019"/>
        <v>Good</v>
      </c>
      <c r="S13046" t="s">
        <v>600</v>
      </c>
    </row>
    <row r="13047" spans="1:19" x14ac:dyDescent="0.2">
      <c r="A13047" t="s">
        <v>13658</v>
      </c>
      <c r="B13047" t="s">
        <v>75</v>
      </c>
      <c r="C13047" t="s">
        <v>597</v>
      </c>
      <c r="D13047">
        <v>4108.8900000000003</v>
      </c>
      <c r="E13047" s="37" t="str">
        <f t="shared" si="1015"/>
        <v xml:space="preserve"> </v>
      </c>
      <c r="F13047">
        <v>0.43</v>
      </c>
      <c r="G13047" s="37" t="str">
        <f t="shared" si="1016"/>
        <v>Heavy Discount</v>
      </c>
      <c r="H13047" s="37" t="str">
        <f t="shared" si="1017"/>
        <v>High</v>
      </c>
      <c r="I13047">
        <v>6</v>
      </c>
      <c r="J13047" t="str" cm="1">
        <f t="array" ref="J13047">_xlfn.IFS(I13047&lt;=3,"small",I13047&lt;=6,"Medium",I13047&lt;=9,"Large")</f>
        <v>Medium</v>
      </c>
      <c r="K13047" s="36">
        <v>45344</v>
      </c>
      <c r="L13047" s="36">
        <v>45346</v>
      </c>
      <c r="M13047" t="s">
        <v>598</v>
      </c>
      <c r="N13047" t="s">
        <v>604</v>
      </c>
      <c r="O13047" s="37" t="str">
        <f t="shared" si="1018"/>
        <v>Digital Payment</v>
      </c>
      <c r="P13047">
        <v>432.05</v>
      </c>
      <c r="Q13047" s="37" t="str">
        <f>IF(P13047&gt;500,"High","low")</f>
        <v>low</v>
      </c>
      <c r="R13047" s="37" t="str">
        <f t="shared" si="1019"/>
        <v>AVERAGE</v>
      </c>
      <c r="S13047" t="s">
        <v>615</v>
      </c>
    </row>
    <row r="13048" spans="1:19" x14ac:dyDescent="0.2">
      <c r="A13048" t="s">
        <v>13659</v>
      </c>
      <c r="B13048" t="s">
        <v>67</v>
      </c>
      <c r="C13048" t="s">
        <v>602</v>
      </c>
      <c r="D13048">
        <v>1992</v>
      </c>
      <c r="E13048" s="37" t="str">
        <f t="shared" si="1015"/>
        <v xml:space="preserve"> </v>
      </c>
      <c r="F13048">
        <v>0.46</v>
      </c>
      <c r="G13048" s="37" t="str">
        <f t="shared" si="1016"/>
        <v>Heavy Discount</v>
      </c>
      <c r="H13048" s="37" t="str">
        <f t="shared" si="1017"/>
        <v>High</v>
      </c>
      <c r="I13048">
        <v>4</v>
      </c>
      <c r="J13048" t="str" cm="1">
        <f t="array" ref="J13048">_xlfn.IFS(I13048&lt;=3,"small",I13048&lt;=6,"Medium",I13048&lt;=9,"Large")</f>
        <v>Medium</v>
      </c>
      <c r="K13048" s="36">
        <v>45047</v>
      </c>
      <c r="L13048" s="36">
        <v>45052</v>
      </c>
      <c r="M13048" t="s">
        <v>598</v>
      </c>
      <c r="N13048" t="s">
        <v>604</v>
      </c>
      <c r="O13048" s="37" t="str">
        <f t="shared" si="1018"/>
        <v>Digital Payment</v>
      </c>
      <c r="P13048">
        <v>284.07</v>
      </c>
      <c r="Q13048" s="37" t="str">
        <f>IF(P13048&gt;500,"High","low")</f>
        <v>low</v>
      </c>
      <c r="R13048" s="37" t="str">
        <f t="shared" si="1019"/>
        <v>AVERAGE</v>
      </c>
      <c r="S13048" t="s">
        <v>605</v>
      </c>
    </row>
    <row r="13049" spans="1:19" x14ac:dyDescent="0.2">
      <c r="A13049" t="s">
        <v>13660</v>
      </c>
      <c r="B13049" t="s">
        <v>90</v>
      </c>
      <c r="C13049" t="s">
        <v>607</v>
      </c>
      <c r="D13049">
        <v>1361.95</v>
      </c>
      <c r="E13049" s="37" t="str">
        <f t="shared" si="1015"/>
        <v xml:space="preserve"> </v>
      </c>
      <c r="F13049">
        <v>0.21</v>
      </c>
      <c r="G13049" s="37" t="str">
        <f t="shared" si="1016"/>
        <v>Normal Discount</v>
      </c>
      <c r="H13049" s="37" t="str">
        <f t="shared" si="1017"/>
        <v>Medium</v>
      </c>
      <c r="I13049">
        <v>7</v>
      </c>
      <c r="J13049" t="str" cm="1">
        <f t="array" ref="J13049">_xlfn.IFS(I13049&lt;=3,"small",I13049&lt;=6,"Medium",I13049&lt;=9,"Large")</f>
        <v>Large</v>
      </c>
      <c r="K13049" s="36">
        <v>44938</v>
      </c>
      <c r="L13049" s="36">
        <v>44944</v>
      </c>
      <c r="M13049" t="s">
        <v>603</v>
      </c>
      <c r="N13049" t="s">
        <v>599</v>
      </c>
      <c r="O13049" s="37" t="str">
        <f t="shared" si="1018"/>
        <v>Digital Payment</v>
      </c>
      <c r="P13049">
        <v>400.79</v>
      </c>
      <c r="Q13049" s="37" t="str">
        <f>IF(P13049&gt;500,"High","low")</f>
        <v>low</v>
      </c>
      <c r="R13049" s="37" t="str">
        <f t="shared" si="1019"/>
        <v>AVERAGE</v>
      </c>
      <c r="S13049" t="s">
        <v>605</v>
      </c>
    </row>
    <row r="13050" spans="1:19" x14ac:dyDescent="0.2">
      <c r="A13050" t="s">
        <v>13661</v>
      </c>
      <c r="B13050" t="s">
        <v>75</v>
      </c>
      <c r="C13050" t="s">
        <v>607</v>
      </c>
      <c r="D13050">
        <v>3031.47</v>
      </c>
      <c r="E13050" s="37" t="str">
        <f t="shared" si="1015"/>
        <v xml:space="preserve"> </v>
      </c>
      <c r="F13050">
        <v>0.31</v>
      </c>
      <c r="G13050" s="37" t="str">
        <f t="shared" si="1016"/>
        <v>Heavy Discount</v>
      </c>
      <c r="H13050" s="37" t="str">
        <f t="shared" si="1017"/>
        <v>Medium</v>
      </c>
      <c r="I13050">
        <v>3</v>
      </c>
      <c r="J13050" t="str" cm="1">
        <f t="array" ref="J13050">_xlfn.IFS(I13050&lt;=3,"small",I13050&lt;=6,"Medium",I13050&lt;=9,"Large")</f>
        <v>small</v>
      </c>
      <c r="K13050" s="36">
        <v>45275</v>
      </c>
      <c r="L13050" s="36">
        <v>45276</v>
      </c>
      <c r="M13050" t="s">
        <v>603</v>
      </c>
      <c r="N13050" t="s">
        <v>608</v>
      </c>
      <c r="O13050" s="37" t="str">
        <f t="shared" si="1018"/>
        <v>Cash Payment</v>
      </c>
      <c r="P13050">
        <v>732.04</v>
      </c>
      <c r="Q13050" s="37" t="str">
        <f>IF(P13050&gt;500,"High","low")</f>
        <v>High</v>
      </c>
      <c r="R13050" s="37" t="str">
        <f t="shared" si="1019"/>
        <v>Good</v>
      </c>
      <c r="S13050" t="s">
        <v>615</v>
      </c>
    </row>
    <row r="13051" spans="1:19" x14ac:dyDescent="0.2">
      <c r="A13051" t="s">
        <v>13662</v>
      </c>
      <c r="B13051" t="s">
        <v>75</v>
      </c>
      <c r="C13051" t="s">
        <v>607</v>
      </c>
      <c r="D13051">
        <v>4407.26</v>
      </c>
      <c r="E13051" s="37" t="str">
        <f t="shared" si="1015"/>
        <v>Excellent Order</v>
      </c>
      <c r="F13051">
        <v>0.26</v>
      </c>
      <c r="G13051" s="37" t="str">
        <f t="shared" si="1016"/>
        <v>Normal Discount</v>
      </c>
      <c r="H13051" s="37" t="str">
        <f t="shared" si="1017"/>
        <v>Medium</v>
      </c>
      <c r="I13051">
        <v>8</v>
      </c>
      <c r="J13051" t="str" cm="1">
        <f t="array" ref="J13051">_xlfn.IFS(I13051&lt;=3,"small",I13051&lt;=6,"Medium",I13051&lt;=9,"Large")</f>
        <v>Large</v>
      </c>
      <c r="K13051" s="36">
        <v>45477</v>
      </c>
      <c r="L13051" s="36">
        <v>45484</v>
      </c>
      <c r="M13051" t="s">
        <v>598</v>
      </c>
      <c r="N13051" t="s">
        <v>599</v>
      </c>
      <c r="O13051" s="37" t="str">
        <f t="shared" si="1018"/>
        <v>Digital Payment</v>
      </c>
      <c r="P13051">
        <v>1123.8</v>
      </c>
      <c r="Q13051" s="37" t="str">
        <f>IF(P13051&gt;500,"High","low")</f>
        <v>High</v>
      </c>
      <c r="R13051" s="37" t="str">
        <f t="shared" si="1019"/>
        <v>Excellent</v>
      </c>
      <c r="S13051" t="s">
        <v>609</v>
      </c>
    </row>
    <row r="13052" spans="1:19" x14ac:dyDescent="0.2">
      <c r="A13052" t="s">
        <v>13663</v>
      </c>
      <c r="B13052" t="s">
        <v>75</v>
      </c>
      <c r="C13052" t="s">
        <v>597</v>
      </c>
      <c r="D13052">
        <v>3655.92</v>
      </c>
      <c r="E13052" s="37" t="str">
        <f t="shared" si="1015"/>
        <v xml:space="preserve"> </v>
      </c>
      <c r="F13052">
        <v>0.14000000000000001</v>
      </c>
      <c r="G13052" s="37" t="str">
        <f t="shared" si="1016"/>
        <v>Normal Discount</v>
      </c>
      <c r="H13052" s="37" t="str">
        <f t="shared" si="1017"/>
        <v>Low</v>
      </c>
      <c r="I13052">
        <v>7</v>
      </c>
      <c r="J13052" t="str" cm="1">
        <f t="array" ref="J13052">_xlfn.IFS(I13052&lt;=3,"small",I13052&lt;=6,"Medium",I13052&lt;=9,"Large")</f>
        <v>Large</v>
      </c>
      <c r="K13052" s="36">
        <v>45073</v>
      </c>
      <c r="L13052" s="36">
        <v>45079</v>
      </c>
      <c r="M13052" t="s">
        <v>603</v>
      </c>
      <c r="N13052" t="s">
        <v>604</v>
      </c>
      <c r="O13052" s="37" t="str">
        <f t="shared" si="1018"/>
        <v>Digital Payment</v>
      </c>
      <c r="P13052">
        <v>663.1</v>
      </c>
      <c r="Q13052" s="37" t="str">
        <f>IF(P13052&gt;500,"High","low")</f>
        <v>High</v>
      </c>
      <c r="R13052" s="37" t="str">
        <f t="shared" si="1019"/>
        <v>Good</v>
      </c>
      <c r="S13052" t="s">
        <v>628</v>
      </c>
    </row>
    <row r="13053" spans="1:19" x14ac:dyDescent="0.2">
      <c r="A13053" t="s">
        <v>13664</v>
      </c>
      <c r="B13053" t="s">
        <v>75</v>
      </c>
      <c r="C13053" t="s">
        <v>602</v>
      </c>
      <c r="D13053">
        <v>2413.66</v>
      </c>
      <c r="E13053" s="37" t="str">
        <f t="shared" si="1015"/>
        <v xml:space="preserve"> </v>
      </c>
      <c r="F13053">
        <v>0.17</v>
      </c>
      <c r="G13053" s="37" t="str">
        <f t="shared" si="1016"/>
        <v>Normal Discount</v>
      </c>
      <c r="H13053" s="37" t="str">
        <f t="shared" si="1017"/>
        <v>Low</v>
      </c>
      <c r="I13053">
        <v>3</v>
      </c>
      <c r="J13053" t="str" cm="1">
        <f t="array" ref="J13053">_xlfn.IFS(I13053&lt;=3,"small",I13053&lt;=6,"Medium",I13053&lt;=9,"Large")</f>
        <v>small</v>
      </c>
      <c r="K13053" s="36">
        <v>45585</v>
      </c>
      <c r="L13053" s="36">
        <v>45592</v>
      </c>
      <c r="M13053" t="s">
        <v>598</v>
      </c>
      <c r="N13053" t="s">
        <v>604</v>
      </c>
      <c r="O13053" s="37" t="str">
        <f t="shared" si="1018"/>
        <v>Digital Payment</v>
      </c>
      <c r="P13053">
        <v>298.98</v>
      </c>
      <c r="Q13053" s="37" t="str">
        <f>IF(P13053&gt;500,"High","low")</f>
        <v>low</v>
      </c>
      <c r="R13053" s="37" t="str">
        <f t="shared" si="1019"/>
        <v>AVERAGE</v>
      </c>
      <c r="S13053" t="s">
        <v>609</v>
      </c>
    </row>
    <row r="13054" spans="1:19" x14ac:dyDescent="0.2">
      <c r="A13054" t="s">
        <v>13665</v>
      </c>
      <c r="B13054" t="s">
        <v>67</v>
      </c>
      <c r="C13054" t="s">
        <v>617</v>
      </c>
      <c r="D13054">
        <v>3790.68</v>
      </c>
      <c r="E13054" s="37" t="str">
        <f t="shared" si="1015"/>
        <v xml:space="preserve"> </v>
      </c>
      <c r="F13054">
        <v>0.26</v>
      </c>
      <c r="G13054" s="37" t="str">
        <f t="shared" si="1016"/>
        <v>Normal Discount</v>
      </c>
      <c r="H13054" s="37" t="str">
        <f t="shared" si="1017"/>
        <v>Medium</v>
      </c>
      <c r="I13054">
        <v>9</v>
      </c>
      <c r="J13054" t="str" cm="1">
        <f t="array" ref="J13054">_xlfn.IFS(I13054&lt;=3,"small",I13054&lt;=6,"Medium",I13054&lt;=9,"Large")</f>
        <v>Large</v>
      </c>
      <c r="K13054" s="36">
        <v>44955</v>
      </c>
      <c r="L13054" s="36">
        <v>44961</v>
      </c>
      <c r="M13054" t="s">
        <v>598</v>
      </c>
      <c r="N13054" t="s">
        <v>604</v>
      </c>
      <c r="O13054" s="37" t="str">
        <f t="shared" si="1018"/>
        <v>Digital Payment</v>
      </c>
      <c r="P13054">
        <v>709.05</v>
      </c>
      <c r="Q13054" s="37" t="str">
        <f>IF(P13054&gt;500,"High","low")</f>
        <v>High</v>
      </c>
      <c r="R13054" s="37" t="str">
        <f t="shared" si="1019"/>
        <v>Good</v>
      </c>
      <c r="S13054" t="s">
        <v>628</v>
      </c>
    </row>
    <row r="13055" spans="1:19" x14ac:dyDescent="0.2">
      <c r="A13055" t="s">
        <v>13666</v>
      </c>
      <c r="B13055" t="s">
        <v>67</v>
      </c>
      <c r="C13055" t="s">
        <v>597</v>
      </c>
      <c r="D13055">
        <v>3482.95</v>
      </c>
      <c r="E13055" s="37" t="str">
        <f t="shared" si="1015"/>
        <v xml:space="preserve"> </v>
      </c>
      <c r="F13055">
        <v>0.35</v>
      </c>
      <c r="G13055" s="37" t="str">
        <f t="shared" si="1016"/>
        <v>Heavy Discount</v>
      </c>
      <c r="H13055" s="37" t="str">
        <f t="shared" si="1017"/>
        <v>Medium</v>
      </c>
      <c r="I13055">
        <v>5</v>
      </c>
      <c r="J13055" t="str" cm="1">
        <f t="array" ref="J13055">_xlfn.IFS(I13055&lt;=3,"small",I13055&lt;=6,"Medium",I13055&lt;=9,"Large")</f>
        <v>Medium</v>
      </c>
      <c r="K13055" s="36">
        <v>45632</v>
      </c>
      <c r="L13055" s="36">
        <v>45633</v>
      </c>
      <c r="M13055" t="s">
        <v>598</v>
      </c>
      <c r="N13055" t="s">
        <v>604</v>
      </c>
      <c r="O13055" s="37" t="str">
        <f t="shared" si="1018"/>
        <v>Digital Payment</v>
      </c>
      <c r="P13055">
        <v>649.19000000000005</v>
      </c>
      <c r="Q13055" s="37" t="str">
        <f>IF(P13055&gt;500,"High","low")</f>
        <v>High</v>
      </c>
      <c r="R13055" s="37" t="str">
        <f t="shared" si="1019"/>
        <v>Good</v>
      </c>
      <c r="S13055" t="s">
        <v>620</v>
      </c>
    </row>
    <row r="13056" spans="1:19" x14ac:dyDescent="0.2">
      <c r="A13056" t="s">
        <v>13667</v>
      </c>
      <c r="B13056" t="s">
        <v>90</v>
      </c>
      <c r="C13056" t="s">
        <v>614</v>
      </c>
      <c r="D13056">
        <v>4573.95</v>
      </c>
      <c r="E13056" s="37" t="str">
        <f t="shared" si="1015"/>
        <v xml:space="preserve"> </v>
      </c>
      <c r="F13056">
        <v>0.17</v>
      </c>
      <c r="G13056" s="37" t="str">
        <f t="shared" si="1016"/>
        <v>Normal Discount</v>
      </c>
      <c r="H13056" s="37" t="str">
        <f t="shared" si="1017"/>
        <v>Low</v>
      </c>
      <c r="I13056">
        <v>2</v>
      </c>
      <c r="J13056" t="str" cm="1">
        <f t="array" ref="J13056">_xlfn.IFS(I13056&lt;=3,"small",I13056&lt;=6,"Medium",I13056&lt;=9,"Large")</f>
        <v>small</v>
      </c>
      <c r="K13056" s="36">
        <v>45528</v>
      </c>
      <c r="L13056" s="36">
        <v>45533</v>
      </c>
      <c r="M13056" t="s">
        <v>603</v>
      </c>
      <c r="N13056" t="s">
        <v>599</v>
      </c>
      <c r="O13056" s="37" t="str">
        <f t="shared" si="1018"/>
        <v>Digital Payment</v>
      </c>
      <c r="P13056">
        <v>398.31</v>
      </c>
      <c r="Q13056" s="37" t="str">
        <f>IF(P13056&gt;500,"High","low")</f>
        <v>low</v>
      </c>
      <c r="R13056" s="37" t="str">
        <f t="shared" si="1019"/>
        <v>AVERAGE</v>
      </c>
      <c r="S13056" t="s">
        <v>620</v>
      </c>
    </row>
    <row r="13057" spans="1:19" x14ac:dyDescent="0.2">
      <c r="A13057" t="s">
        <v>13668</v>
      </c>
      <c r="B13057" t="s">
        <v>90</v>
      </c>
      <c r="C13057" t="s">
        <v>614</v>
      </c>
      <c r="D13057">
        <v>1391.43</v>
      </c>
      <c r="E13057" s="37" t="str">
        <f t="shared" si="1015"/>
        <v xml:space="preserve"> </v>
      </c>
      <c r="F13057">
        <v>0.35</v>
      </c>
      <c r="G13057" s="37" t="str">
        <f t="shared" si="1016"/>
        <v>Heavy Discount</v>
      </c>
      <c r="H13057" s="37" t="str">
        <f t="shared" si="1017"/>
        <v>Medium</v>
      </c>
      <c r="I13057">
        <v>9</v>
      </c>
      <c r="J13057" t="str" cm="1">
        <f t="array" ref="J13057">_xlfn.IFS(I13057&lt;=3,"small",I13057&lt;=6,"Medium",I13057&lt;=9,"Large")</f>
        <v>Large</v>
      </c>
      <c r="K13057" s="36">
        <v>45419</v>
      </c>
      <c r="L13057" s="36">
        <v>45423</v>
      </c>
      <c r="M13057" t="s">
        <v>612</v>
      </c>
      <c r="N13057" t="s">
        <v>599</v>
      </c>
      <c r="O13057" s="37" t="str">
        <f t="shared" si="1018"/>
        <v>Digital Payment</v>
      </c>
      <c r="P13057">
        <v>299.85000000000002</v>
      </c>
      <c r="Q13057" s="37" t="str">
        <f>IF(P13057&gt;500,"High","low")</f>
        <v>low</v>
      </c>
      <c r="R13057" s="37" t="str">
        <f t="shared" si="1019"/>
        <v>AVERAGE</v>
      </c>
      <c r="S13057" t="s">
        <v>609</v>
      </c>
    </row>
    <row r="13058" spans="1:19" x14ac:dyDescent="0.2">
      <c r="A13058" t="s">
        <v>13669</v>
      </c>
      <c r="B13058" t="s">
        <v>83</v>
      </c>
      <c r="C13058" t="s">
        <v>597</v>
      </c>
      <c r="D13058">
        <v>684.63</v>
      </c>
      <c r="E13058" s="37" t="str">
        <f t="shared" si="1015"/>
        <v xml:space="preserve"> </v>
      </c>
      <c r="F13058">
        <v>0.48</v>
      </c>
      <c r="G13058" s="37" t="str">
        <f t="shared" si="1016"/>
        <v>Heavy Discount</v>
      </c>
      <c r="H13058" s="37" t="str">
        <f t="shared" si="1017"/>
        <v>High</v>
      </c>
      <c r="I13058">
        <v>8</v>
      </c>
      <c r="J13058" t="str" cm="1">
        <f t="array" ref="J13058">_xlfn.IFS(I13058&lt;=3,"small",I13058&lt;=6,"Medium",I13058&lt;=9,"Large")</f>
        <v>Large</v>
      </c>
      <c r="K13058" s="36">
        <v>45283</v>
      </c>
      <c r="L13058" s="36">
        <v>45290</v>
      </c>
      <c r="M13058" t="s">
        <v>612</v>
      </c>
      <c r="N13058" t="s">
        <v>608</v>
      </c>
      <c r="O13058" s="37" t="str">
        <f t="shared" si="1018"/>
        <v>Cash Payment</v>
      </c>
      <c r="P13058">
        <v>167.95</v>
      </c>
      <c r="Q13058" s="37" t="str">
        <f>IF(P13058&gt;500,"High","low")</f>
        <v>low</v>
      </c>
      <c r="R13058" s="37" t="str">
        <f t="shared" si="1019"/>
        <v>AVERAGE</v>
      </c>
      <c r="S13058" t="s">
        <v>628</v>
      </c>
    </row>
    <row r="13059" spans="1:19" x14ac:dyDescent="0.2">
      <c r="A13059" t="s">
        <v>13670</v>
      </c>
      <c r="B13059" t="s">
        <v>67</v>
      </c>
      <c r="C13059" t="s">
        <v>617</v>
      </c>
      <c r="D13059">
        <v>2403.25</v>
      </c>
      <c r="E13059" s="37" t="str">
        <f t="shared" ref="E13059:E13122" si="1020">IF(AND(D13059&gt;4000,P13059&gt;800),"Excellent Order"," ")</f>
        <v xml:space="preserve"> </v>
      </c>
      <c r="F13059">
        <v>0.01</v>
      </c>
      <c r="G13059" s="37" t="str">
        <f t="shared" ref="G13059:G13122" si="1021">IF(F13059&gt;30%,"Heavy Discount","Normal Discount")</f>
        <v>Normal Discount</v>
      </c>
      <c r="H13059" s="37" t="str">
        <f t="shared" ref="H13059:H13122" si="1022">IF(F13059&gt;0.4,"High",IF(F13059&gt;=0.2,"Medium","Low"))</f>
        <v>Low</v>
      </c>
      <c r="I13059">
        <v>8</v>
      </c>
      <c r="J13059" t="str" cm="1">
        <f t="array" ref="J13059">_xlfn.IFS(I13059&lt;=3,"small",I13059&lt;=6,"Medium",I13059&lt;=9,"Large")</f>
        <v>Large</v>
      </c>
      <c r="K13059" s="36">
        <v>45152</v>
      </c>
      <c r="L13059" s="36">
        <v>45156</v>
      </c>
      <c r="M13059" t="s">
        <v>603</v>
      </c>
      <c r="N13059" t="s">
        <v>604</v>
      </c>
      <c r="O13059" s="37" t="str">
        <f t="shared" ref="O13059:O13122" si="1023">IF(OR(N13059="Card",N13059="UPI"),"Digital Payment","Cash Payment")</f>
        <v>Digital Payment</v>
      </c>
      <c r="P13059">
        <v>449.96</v>
      </c>
      <c r="Q13059" s="37" t="str">
        <f>IF(P13059&gt;500,"High","low")</f>
        <v>low</v>
      </c>
      <c r="R13059" s="37" t="str">
        <f t="shared" ref="R13059:R13122" si="1024">IF(P13059&gt;1000,"Excellent",IF(P13059&gt;=500,"Good","AVERAGE"))</f>
        <v>AVERAGE</v>
      </c>
      <c r="S13059" t="s">
        <v>600</v>
      </c>
    </row>
    <row r="13060" spans="1:19" x14ac:dyDescent="0.2">
      <c r="A13060" t="s">
        <v>13671</v>
      </c>
      <c r="B13060" t="s">
        <v>75</v>
      </c>
      <c r="C13060" t="s">
        <v>614</v>
      </c>
      <c r="D13060">
        <v>1869.3</v>
      </c>
      <c r="E13060" s="37" t="str">
        <f t="shared" si="1020"/>
        <v xml:space="preserve"> </v>
      </c>
      <c r="F13060">
        <v>0.08</v>
      </c>
      <c r="G13060" s="37" t="str">
        <f t="shared" si="1021"/>
        <v>Normal Discount</v>
      </c>
      <c r="H13060" s="37" t="str">
        <f t="shared" si="1022"/>
        <v>Low</v>
      </c>
      <c r="I13060">
        <v>1</v>
      </c>
      <c r="J13060" t="str" cm="1">
        <f t="array" ref="J13060">_xlfn.IFS(I13060&lt;=3,"small",I13060&lt;=6,"Medium",I13060&lt;=9,"Large")</f>
        <v>small</v>
      </c>
      <c r="K13060" s="36">
        <v>45258</v>
      </c>
      <c r="L13060" s="36">
        <v>45260</v>
      </c>
      <c r="M13060" t="s">
        <v>603</v>
      </c>
      <c r="N13060" t="s">
        <v>599</v>
      </c>
      <c r="O13060" s="37" t="str">
        <f t="shared" si="1023"/>
        <v>Digital Payment</v>
      </c>
      <c r="P13060">
        <v>278.92</v>
      </c>
      <c r="Q13060" s="37" t="str">
        <f>IF(P13060&gt;500,"High","low")</f>
        <v>low</v>
      </c>
      <c r="R13060" s="37" t="str">
        <f t="shared" si="1024"/>
        <v>AVERAGE</v>
      </c>
      <c r="S13060" t="s">
        <v>609</v>
      </c>
    </row>
    <row r="13061" spans="1:19" x14ac:dyDescent="0.2">
      <c r="A13061" t="s">
        <v>13672</v>
      </c>
      <c r="B13061" t="s">
        <v>75</v>
      </c>
      <c r="C13061" t="s">
        <v>617</v>
      </c>
      <c r="D13061">
        <v>4876.82</v>
      </c>
      <c r="E13061" s="37" t="str">
        <f t="shared" si="1020"/>
        <v>Excellent Order</v>
      </c>
      <c r="F13061">
        <v>0.46</v>
      </c>
      <c r="G13061" s="37" t="str">
        <f t="shared" si="1021"/>
        <v>Heavy Discount</v>
      </c>
      <c r="H13061" s="37" t="str">
        <f t="shared" si="1022"/>
        <v>High</v>
      </c>
      <c r="I13061">
        <v>4</v>
      </c>
      <c r="J13061" t="str" cm="1">
        <f t="array" ref="J13061">_xlfn.IFS(I13061&lt;=3,"small",I13061&lt;=6,"Medium",I13061&lt;=9,"Large")</f>
        <v>Medium</v>
      </c>
      <c r="K13061" s="36">
        <v>45458</v>
      </c>
      <c r="L13061" s="36">
        <v>45465</v>
      </c>
      <c r="M13061" t="s">
        <v>612</v>
      </c>
      <c r="N13061" t="s">
        <v>608</v>
      </c>
      <c r="O13061" s="37" t="str">
        <f t="shared" si="1023"/>
        <v>Cash Payment</v>
      </c>
      <c r="P13061">
        <v>1022.73</v>
      </c>
      <c r="Q13061" s="37" t="str">
        <f>IF(P13061&gt;500,"High","low")</f>
        <v>High</v>
      </c>
      <c r="R13061" s="37" t="str">
        <f t="shared" si="1024"/>
        <v>Excellent</v>
      </c>
      <c r="S13061" t="s">
        <v>615</v>
      </c>
    </row>
    <row r="13062" spans="1:19" x14ac:dyDescent="0.2">
      <c r="A13062" t="s">
        <v>13673</v>
      </c>
      <c r="B13062" t="s">
        <v>83</v>
      </c>
      <c r="C13062" t="s">
        <v>607</v>
      </c>
      <c r="D13062">
        <v>136.77000000000001</v>
      </c>
      <c r="E13062" s="37" t="str">
        <f t="shared" si="1020"/>
        <v xml:space="preserve"> </v>
      </c>
      <c r="F13062">
        <v>0.04</v>
      </c>
      <c r="G13062" s="37" t="str">
        <f t="shared" si="1021"/>
        <v>Normal Discount</v>
      </c>
      <c r="H13062" s="37" t="str">
        <f t="shared" si="1022"/>
        <v>Low</v>
      </c>
      <c r="I13062">
        <v>7</v>
      </c>
      <c r="J13062" t="str" cm="1">
        <f t="array" ref="J13062">_xlfn.IFS(I13062&lt;=3,"small",I13062&lt;=6,"Medium",I13062&lt;=9,"Large")</f>
        <v>Large</v>
      </c>
      <c r="K13062" s="36">
        <v>45440</v>
      </c>
      <c r="L13062" s="36">
        <v>45446</v>
      </c>
      <c r="M13062" t="s">
        <v>603</v>
      </c>
      <c r="N13062" t="s">
        <v>608</v>
      </c>
      <c r="O13062" s="37" t="str">
        <f t="shared" si="1023"/>
        <v>Cash Payment</v>
      </c>
      <c r="P13062">
        <v>25.21</v>
      </c>
      <c r="Q13062" s="37" t="str">
        <f>IF(P13062&gt;500,"High","low")</f>
        <v>low</v>
      </c>
      <c r="R13062" s="37" t="str">
        <f t="shared" si="1024"/>
        <v>AVERAGE</v>
      </c>
      <c r="S13062" t="s">
        <v>609</v>
      </c>
    </row>
    <row r="13063" spans="1:19" x14ac:dyDescent="0.2">
      <c r="A13063" t="s">
        <v>13674</v>
      </c>
      <c r="B13063" t="s">
        <v>75</v>
      </c>
      <c r="C13063" t="s">
        <v>597</v>
      </c>
      <c r="D13063">
        <v>4673.58</v>
      </c>
      <c r="E13063" s="37" t="str">
        <f t="shared" si="1020"/>
        <v xml:space="preserve"> </v>
      </c>
      <c r="F13063">
        <v>0.38</v>
      </c>
      <c r="G13063" s="37" t="str">
        <f t="shared" si="1021"/>
        <v>Heavy Discount</v>
      </c>
      <c r="H13063" s="37" t="str">
        <f t="shared" si="1022"/>
        <v>Medium</v>
      </c>
      <c r="I13063">
        <v>6</v>
      </c>
      <c r="J13063" t="str" cm="1">
        <f t="array" ref="J13063">_xlfn.IFS(I13063&lt;=3,"small",I13063&lt;=6,"Medium",I13063&lt;=9,"Large")</f>
        <v>Medium</v>
      </c>
      <c r="K13063" s="36">
        <v>45082</v>
      </c>
      <c r="L13063" s="36">
        <v>45083</v>
      </c>
      <c r="M13063" t="s">
        <v>612</v>
      </c>
      <c r="N13063" t="s">
        <v>608</v>
      </c>
      <c r="O13063" s="37" t="str">
        <f t="shared" si="1023"/>
        <v>Cash Payment</v>
      </c>
      <c r="P13063">
        <v>330.76</v>
      </c>
      <c r="Q13063" s="37" t="str">
        <f>IF(P13063&gt;500,"High","low")</f>
        <v>low</v>
      </c>
      <c r="R13063" s="37" t="str">
        <f t="shared" si="1024"/>
        <v>AVERAGE</v>
      </c>
      <c r="S13063" t="s">
        <v>615</v>
      </c>
    </row>
    <row r="13064" spans="1:19" x14ac:dyDescent="0.2">
      <c r="A13064" t="s">
        <v>13675</v>
      </c>
      <c r="B13064" t="s">
        <v>83</v>
      </c>
      <c r="C13064" t="s">
        <v>607</v>
      </c>
      <c r="D13064">
        <v>4779.8900000000003</v>
      </c>
      <c r="E13064" s="37" t="str">
        <f t="shared" si="1020"/>
        <v xml:space="preserve"> </v>
      </c>
      <c r="F13064">
        <v>0.31</v>
      </c>
      <c r="G13064" s="37" t="str">
        <f t="shared" si="1021"/>
        <v>Heavy Discount</v>
      </c>
      <c r="H13064" s="37" t="str">
        <f t="shared" si="1022"/>
        <v>Medium</v>
      </c>
      <c r="I13064">
        <v>9</v>
      </c>
      <c r="J13064" t="str" cm="1">
        <f t="array" ref="J13064">_xlfn.IFS(I13064&lt;=3,"small",I13064&lt;=6,"Medium",I13064&lt;=9,"Large")</f>
        <v>Large</v>
      </c>
      <c r="K13064" s="36">
        <v>45472</v>
      </c>
      <c r="L13064" s="36">
        <v>45476</v>
      </c>
      <c r="M13064" t="s">
        <v>598</v>
      </c>
      <c r="N13064" t="s">
        <v>608</v>
      </c>
      <c r="O13064" s="37" t="str">
        <f t="shared" si="1023"/>
        <v>Cash Payment</v>
      </c>
      <c r="P13064">
        <v>686.47</v>
      </c>
      <c r="Q13064" s="37" t="str">
        <f>IF(P13064&gt;500,"High","low")</f>
        <v>High</v>
      </c>
      <c r="R13064" s="37" t="str">
        <f t="shared" si="1024"/>
        <v>Good</v>
      </c>
      <c r="S13064" t="s">
        <v>609</v>
      </c>
    </row>
    <row r="13065" spans="1:19" x14ac:dyDescent="0.2">
      <c r="A13065" t="s">
        <v>13676</v>
      </c>
      <c r="B13065" t="s">
        <v>90</v>
      </c>
      <c r="C13065" t="s">
        <v>614</v>
      </c>
      <c r="D13065">
        <v>349.7</v>
      </c>
      <c r="E13065" s="37" t="str">
        <f t="shared" si="1020"/>
        <v xml:space="preserve"> </v>
      </c>
      <c r="F13065">
        <v>0.02</v>
      </c>
      <c r="G13065" s="37" t="str">
        <f t="shared" si="1021"/>
        <v>Normal Discount</v>
      </c>
      <c r="H13065" s="37" t="str">
        <f t="shared" si="1022"/>
        <v>Low</v>
      </c>
      <c r="I13065">
        <v>8</v>
      </c>
      <c r="J13065" t="str" cm="1">
        <f t="array" ref="J13065">_xlfn.IFS(I13065&lt;=3,"small",I13065&lt;=6,"Medium",I13065&lt;=9,"Large")</f>
        <v>Large</v>
      </c>
      <c r="K13065" s="36">
        <v>45203</v>
      </c>
      <c r="L13065" s="36">
        <v>45204</v>
      </c>
      <c r="M13065" t="s">
        <v>603</v>
      </c>
      <c r="N13065" t="s">
        <v>604</v>
      </c>
      <c r="O13065" s="37" t="str">
        <f t="shared" si="1023"/>
        <v>Digital Payment</v>
      </c>
      <c r="P13065">
        <v>98.47</v>
      </c>
      <c r="Q13065" s="37" t="str">
        <f>IF(P13065&gt;500,"High","low")</f>
        <v>low</v>
      </c>
      <c r="R13065" s="37" t="str">
        <f t="shared" si="1024"/>
        <v>AVERAGE</v>
      </c>
      <c r="S13065" t="s">
        <v>628</v>
      </c>
    </row>
    <row r="13066" spans="1:19" x14ac:dyDescent="0.2">
      <c r="A13066" t="s">
        <v>13677</v>
      </c>
      <c r="B13066" t="s">
        <v>67</v>
      </c>
      <c r="C13066" t="s">
        <v>617</v>
      </c>
      <c r="D13066">
        <v>4458.8900000000003</v>
      </c>
      <c r="E13066" s="37" t="str">
        <f t="shared" si="1020"/>
        <v xml:space="preserve"> </v>
      </c>
      <c r="F13066">
        <v>0</v>
      </c>
      <c r="G13066" s="37" t="str">
        <f t="shared" si="1021"/>
        <v>Normal Discount</v>
      </c>
      <c r="H13066" s="37" t="str">
        <f t="shared" si="1022"/>
        <v>Low</v>
      </c>
      <c r="I13066">
        <v>9</v>
      </c>
      <c r="J13066" t="str" cm="1">
        <f t="array" ref="J13066">_xlfn.IFS(I13066&lt;=3,"small",I13066&lt;=6,"Medium",I13066&lt;=9,"Large")</f>
        <v>Large</v>
      </c>
      <c r="K13066" s="36">
        <v>45265</v>
      </c>
      <c r="L13066" s="36">
        <v>45269</v>
      </c>
      <c r="M13066" t="s">
        <v>598</v>
      </c>
      <c r="N13066" t="s">
        <v>608</v>
      </c>
      <c r="O13066" s="37" t="str">
        <f t="shared" si="1023"/>
        <v>Cash Payment</v>
      </c>
      <c r="P13066">
        <v>291.51</v>
      </c>
      <c r="Q13066" s="37" t="str">
        <f>IF(P13066&gt;500,"High","low")</f>
        <v>low</v>
      </c>
      <c r="R13066" s="37" t="str">
        <f t="shared" si="1024"/>
        <v>AVERAGE</v>
      </c>
      <c r="S13066" t="s">
        <v>600</v>
      </c>
    </row>
    <row r="13067" spans="1:19" x14ac:dyDescent="0.2">
      <c r="A13067" t="s">
        <v>13678</v>
      </c>
      <c r="B13067" t="s">
        <v>83</v>
      </c>
      <c r="C13067" t="s">
        <v>607</v>
      </c>
      <c r="D13067">
        <v>2406.8200000000002</v>
      </c>
      <c r="E13067" s="37" t="str">
        <f t="shared" si="1020"/>
        <v xml:space="preserve"> </v>
      </c>
      <c r="F13067">
        <v>0.25</v>
      </c>
      <c r="G13067" s="37" t="str">
        <f t="shared" si="1021"/>
        <v>Normal Discount</v>
      </c>
      <c r="H13067" s="37" t="str">
        <f t="shared" si="1022"/>
        <v>Medium</v>
      </c>
      <c r="I13067">
        <v>4</v>
      </c>
      <c r="J13067" t="str" cm="1">
        <f t="array" ref="J13067">_xlfn.IFS(I13067&lt;=3,"small",I13067&lt;=6,"Medium",I13067&lt;=9,"Large")</f>
        <v>Medium</v>
      </c>
      <c r="K13067" s="36">
        <v>45644</v>
      </c>
      <c r="L13067" s="36">
        <v>45649</v>
      </c>
      <c r="M13067" t="s">
        <v>612</v>
      </c>
      <c r="N13067" t="s">
        <v>604</v>
      </c>
      <c r="O13067" s="37" t="str">
        <f t="shared" si="1023"/>
        <v>Digital Payment</v>
      </c>
      <c r="P13067">
        <v>291.12</v>
      </c>
      <c r="Q13067" s="37" t="str">
        <f>IF(P13067&gt;500,"High","low")</f>
        <v>low</v>
      </c>
      <c r="R13067" s="37" t="str">
        <f t="shared" si="1024"/>
        <v>AVERAGE</v>
      </c>
      <c r="S13067" t="s">
        <v>600</v>
      </c>
    </row>
    <row r="13068" spans="1:19" x14ac:dyDescent="0.2">
      <c r="A13068" t="s">
        <v>13679</v>
      </c>
      <c r="B13068" t="s">
        <v>75</v>
      </c>
      <c r="C13068" t="s">
        <v>614</v>
      </c>
      <c r="D13068">
        <v>3854.14</v>
      </c>
      <c r="E13068" s="37" t="str">
        <f t="shared" si="1020"/>
        <v xml:space="preserve"> </v>
      </c>
      <c r="F13068">
        <v>0.06</v>
      </c>
      <c r="G13068" s="37" t="str">
        <f t="shared" si="1021"/>
        <v>Normal Discount</v>
      </c>
      <c r="H13068" s="37" t="str">
        <f t="shared" si="1022"/>
        <v>Low</v>
      </c>
      <c r="I13068">
        <v>8</v>
      </c>
      <c r="J13068" t="str" cm="1">
        <f t="array" ref="J13068">_xlfn.IFS(I13068&lt;=3,"small",I13068&lt;=6,"Medium",I13068&lt;=9,"Large")</f>
        <v>Large</v>
      </c>
      <c r="K13068" s="36">
        <v>45263</v>
      </c>
      <c r="L13068" s="36">
        <v>45269</v>
      </c>
      <c r="M13068" t="s">
        <v>603</v>
      </c>
      <c r="N13068" t="s">
        <v>608</v>
      </c>
      <c r="O13068" s="37" t="str">
        <f t="shared" si="1023"/>
        <v>Cash Payment</v>
      </c>
      <c r="P13068">
        <v>1018.04</v>
      </c>
      <c r="Q13068" s="37" t="str">
        <f>IF(P13068&gt;500,"High","low")</f>
        <v>High</v>
      </c>
      <c r="R13068" s="37" t="str">
        <f t="shared" si="1024"/>
        <v>Excellent</v>
      </c>
      <c r="S13068" t="s">
        <v>615</v>
      </c>
    </row>
    <row r="13069" spans="1:19" x14ac:dyDescent="0.2">
      <c r="A13069" t="s">
        <v>13680</v>
      </c>
      <c r="B13069" t="s">
        <v>83</v>
      </c>
      <c r="C13069" t="s">
        <v>602</v>
      </c>
      <c r="D13069">
        <v>488.35</v>
      </c>
      <c r="E13069" s="37" t="str">
        <f t="shared" si="1020"/>
        <v xml:space="preserve"> </v>
      </c>
      <c r="F13069">
        <v>0.44</v>
      </c>
      <c r="G13069" s="37" t="str">
        <f t="shared" si="1021"/>
        <v>Heavy Discount</v>
      </c>
      <c r="H13069" s="37" t="str">
        <f t="shared" si="1022"/>
        <v>High</v>
      </c>
      <c r="I13069">
        <v>6</v>
      </c>
      <c r="J13069" t="str" cm="1">
        <f t="array" ref="J13069">_xlfn.IFS(I13069&lt;=3,"small",I13069&lt;=6,"Medium",I13069&lt;=9,"Large")</f>
        <v>Medium</v>
      </c>
      <c r="K13069" s="36">
        <v>45366</v>
      </c>
      <c r="L13069" s="36">
        <v>45371</v>
      </c>
      <c r="M13069" t="s">
        <v>598</v>
      </c>
      <c r="N13069" t="s">
        <v>608</v>
      </c>
      <c r="O13069" s="37" t="str">
        <f t="shared" si="1023"/>
        <v>Cash Payment</v>
      </c>
      <c r="P13069">
        <v>24.58</v>
      </c>
      <c r="Q13069" s="37" t="str">
        <f>IF(P13069&gt;500,"High","low")</f>
        <v>low</v>
      </c>
      <c r="R13069" s="37" t="str">
        <f t="shared" si="1024"/>
        <v>AVERAGE</v>
      </c>
      <c r="S13069" t="s">
        <v>600</v>
      </c>
    </row>
    <row r="13070" spans="1:19" x14ac:dyDescent="0.2">
      <c r="A13070" t="s">
        <v>13681</v>
      </c>
      <c r="B13070" t="s">
        <v>90</v>
      </c>
      <c r="C13070" t="s">
        <v>607</v>
      </c>
      <c r="D13070">
        <v>4780.51</v>
      </c>
      <c r="E13070" s="37" t="str">
        <f t="shared" si="1020"/>
        <v>Excellent Order</v>
      </c>
      <c r="F13070">
        <v>0.24</v>
      </c>
      <c r="G13070" s="37" t="str">
        <f t="shared" si="1021"/>
        <v>Normal Discount</v>
      </c>
      <c r="H13070" s="37" t="str">
        <f t="shared" si="1022"/>
        <v>Medium</v>
      </c>
      <c r="I13070">
        <v>9</v>
      </c>
      <c r="J13070" t="str" cm="1">
        <f t="array" ref="J13070">_xlfn.IFS(I13070&lt;=3,"small",I13070&lt;=6,"Medium",I13070&lt;=9,"Large")</f>
        <v>Large</v>
      </c>
      <c r="K13070" s="36">
        <v>45315</v>
      </c>
      <c r="L13070" s="36">
        <v>45319</v>
      </c>
      <c r="M13070" t="s">
        <v>598</v>
      </c>
      <c r="N13070" t="s">
        <v>599</v>
      </c>
      <c r="O13070" s="37" t="str">
        <f t="shared" si="1023"/>
        <v>Digital Payment</v>
      </c>
      <c r="P13070">
        <v>1363.84</v>
      </c>
      <c r="Q13070" s="37" t="str">
        <f>IF(P13070&gt;500,"High","low")</f>
        <v>High</v>
      </c>
      <c r="R13070" s="37" t="str">
        <f t="shared" si="1024"/>
        <v>Excellent</v>
      </c>
      <c r="S13070" t="s">
        <v>615</v>
      </c>
    </row>
    <row r="13071" spans="1:19" x14ac:dyDescent="0.2">
      <c r="A13071" t="s">
        <v>13682</v>
      </c>
      <c r="B13071" t="s">
        <v>75</v>
      </c>
      <c r="C13071" t="s">
        <v>602</v>
      </c>
      <c r="D13071">
        <v>3076.99</v>
      </c>
      <c r="E13071" s="37" t="str">
        <f t="shared" si="1020"/>
        <v xml:space="preserve"> </v>
      </c>
      <c r="F13071">
        <v>0.12</v>
      </c>
      <c r="G13071" s="37" t="str">
        <f t="shared" si="1021"/>
        <v>Normal Discount</v>
      </c>
      <c r="H13071" s="37" t="str">
        <f t="shared" si="1022"/>
        <v>Low</v>
      </c>
      <c r="I13071">
        <v>1</v>
      </c>
      <c r="J13071" t="str" cm="1">
        <f t="array" ref="J13071">_xlfn.IFS(I13071&lt;=3,"small",I13071&lt;=6,"Medium",I13071&lt;=9,"Large")</f>
        <v>small</v>
      </c>
      <c r="K13071" s="36">
        <v>45267</v>
      </c>
      <c r="L13071" s="36">
        <v>45272</v>
      </c>
      <c r="M13071" t="s">
        <v>603</v>
      </c>
      <c r="N13071" t="s">
        <v>604</v>
      </c>
      <c r="O13071" s="37" t="str">
        <f t="shared" si="1023"/>
        <v>Digital Payment</v>
      </c>
      <c r="P13071">
        <v>683.23</v>
      </c>
      <c r="Q13071" s="37" t="str">
        <f>IF(P13071&gt;500,"High","low")</f>
        <v>High</v>
      </c>
      <c r="R13071" s="37" t="str">
        <f t="shared" si="1024"/>
        <v>Good</v>
      </c>
      <c r="S13071" t="s">
        <v>628</v>
      </c>
    </row>
    <row r="13072" spans="1:19" x14ac:dyDescent="0.2">
      <c r="A13072" t="s">
        <v>13683</v>
      </c>
      <c r="B13072" t="s">
        <v>90</v>
      </c>
      <c r="C13072" t="s">
        <v>602</v>
      </c>
      <c r="D13072">
        <v>4503.6000000000004</v>
      </c>
      <c r="E13072" s="37" t="str">
        <f t="shared" si="1020"/>
        <v xml:space="preserve"> </v>
      </c>
      <c r="F13072">
        <v>0.08</v>
      </c>
      <c r="G13072" s="37" t="str">
        <f t="shared" si="1021"/>
        <v>Normal Discount</v>
      </c>
      <c r="H13072" s="37" t="str">
        <f t="shared" si="1022"/>
        <v>Low</v>
      </c>
      <c r="I13072">
        <v>6</v>
      </c>
      <c r="J13072" t="str" cm="1">
        <f t="array" ref="J13072">_xlfn.IFS(I13072&lt;=3,"small",I13072&lt;=6,"Medium",I13072&lt;=9,"Large")</f>
        <v>Medium</v>
      </c>
      <c r="K13072" s="36">
        <v>45625</v>
      </c>
      <c r="L13072" s="36">
        <v>45631</v>
      </c>
      <c r="M13072" t="s">
        <v>598</v>
      </c>
      <c r="N13072" t="s">
        <v>604</v>
      </c>
      <c r="O13072" s="37" t="str">
        <f t="shared" si="1023"/>
        <v>Digital Payment</v>
      </c>
      <c r="P13072">
        <v>652.02</v>
      </c>
      <c r="Q13072" s="37" t="str">
        <f>IF(P13072&gt;500,"High","low")</f>
        <v>High</v>
      </c>
      <c r="R13072" s="37" t="str">
        <f t="shared" si="1024"/>
        <v>Good</v>
      </c>
      <c r="S13072" t="s">
        <v>600</v>
      </c>
    </row>
    <row r="13073" spans="1:19" x14ac:dyDescent="0.2">
      <c r="A13073" t="s">
        <v>13684</v>
      </c>
      <c r="B13073" t="s">
        <v>90</v>
      </c>
      <c r="C13073" t="s">
        <v>614</v>
      </c>
      <c r="D13073">
        <v>3397.52</v>
      </c>
      <c r="E13073" s="37" t="str">
        <f t="shared" si="1020"/>
        <v xml:space="preserve"> </v>
      </c>
      <c r="F13073">
        <v>0.42</v>
      </c>
      <c r="G13073" s="37" t="str">
        <f t="shared" si="1021"/>
        <v>Heavy Discount</v>
      </c>
      <c r="H13073" s="37" t="str">
        <f t="shared" si="1022"/>
        <v>High</v>
      </c>
      <c r="I13073">
        <v>2</v>
      </c>
      <c r="J13073" t="str" cm="1">
        <f t="array" ref="J13073">_xlfn.IFS(I13073&lt;=3,"small",I13073&lt;=6,"Medium",I13073&lt;=9,"Large")</f>
        <v>small</v>
      </c>
      <c r="K13073" s="36">
        <v>45010</v>
      </c>
      <c r="L13073" s="36">
        <v>45011</v>
      </c>
      <c r="M13073" t="s">
        <v>603</v>
      </c>
      <c r="N13073" t="s">
        <v>608</v>
      </c>
      <c r="O13073" s="37" t="str">
        <f t="shared" si="1023"/>
        <v>Cash Payment</v>
      </c>
      <c r="P13073">
        <v>194.08</v>
      </c>
      <c r="Q13073" s="37" t="str">
        <f>IF(P13073&gt;500,"High","low")</f>
        <v>low</v>
      </c>
      <c r="R13073" s="37" t="str">
        <f t="shared" si="1024"/>
        <v>AVERAGE</v>
      </c>
      <c r="S13073" t="s">
        <v>605</v>
      </c>
    </row>
    <row r="13074" spans="1:19" x14ac:dyDescent="0.2">
      <c r="A13074" t="s">
        <v>13685</v>
      </c>
      <c r="B13074" t="s">
        <v>83</v>
      </c>
      <c r="C13074" t="s">
        <v>597</v>
      </c>
      <c r="D13074">
        <v>2730.37</v>
      </c>
      <c r="E13074" s="37" t="str">
        <f t="shared" si="1020"/>
        <v xml:space="preserve"> </v>
      </c>
      <c r="F13074">
        <v>0.36</v>
      </c>
      <c r="G13074" s="37" t="str">
        <f t="shared" si="1021"/>
        <v>Heavy Discount</v>
      </c>
      <c r="H13074" s="37" t="str">
        <f t="shared" si="1022"/>
        <v>Medium</v>
      </c>
      <c r="I13074">
        <v>3</v>
      </c>
      <c r="J13074" t="str" cm="1">
        <f t="array" ref="J13074">_xlfn.IFS(I13074&lt;=3,"small",I13074&lt;=6,"Medium",I13074&lt;=9,"Large")</f>
        <v>small</v>
      </c>
      <c r="K13074" s="36">
        <v>45117</v>
      </c>
      <c r="L13074" s="36">
        <v>45123</v>
      </c>
      <c r="M13074" t="s">
        <v>598</v>
      </c>
      <c r="N13074" t="s">
        <v>604</v>
      </c>
      <c r="O13074" s="37" t="str">
        <f t="shared" si="1023"/>
        <v>Digital Payment</v>
      </c>
      <c r="P13074">
        <v>167.67</v>
      </c>
      <c r="Q13074" s="37" t="str">
        <f>IF(P13074&gt;500,"High","low")</f>
        <v>low</v>
      </c>
      <c r="R13074" s="37" t="str">
        <f t="shared" si="1024"/>
        <v>AVERAGE</v>
      </c>
      <c r="S13074" t="s">
        <v>600</v>
      </c>
    </row>
    <row r="13075" spans="1:19" x14ac:dyDescent="0.2">
      <c r="A13075" t="s">
        <v>13686</v>
      </c>
      <c r="B13075" t="s">
        <v>90</v>
      </c>
      <c r="C13075" t="s">
        <v>617</v>
      </c>
      <c r="D13075">
        <v>945.23</v>
      </c>
      <c r="E13075" s="37" t="str">
        <f t="shared" si="1020"/>
        <v xml:space="preserve"> </v>
      </c>
      <c r="F13075">
        <v>0.36</v>
      </c>
      <c r="G13075" s="37" t="str">
        <f t="shared" si="1021"/>
        <v>Heavy Discount</v>
      </c>
      <c r="H13075" s="37" t="str">
        <f t="shared" si="1022"/>
        <v>Medium</v>
      </c>
      <c r="I13075">
        <v>9</v>
      </c>
      <c r="J13075" t="str" cm="1">
        <f t="array" ref="J13075">_xlfn.IFS(I13075&lt;=3,"small",I13075&lt;=6,"Medium",I13075&lt;=9,"Large")</f>
        <v>Large</v>
      </c>
      <c r="K13075" s="36">
        <v>45227</v>
      </c>
      <c r="L13075" s="36">
        <v>45232</v>
      </c>
      <c r="M13075" t="s">
        <v>598</v>
      </c>
      <c r="N13075" t="s">
        <v>599</v>
      </c>
      <c r="O13075" s="37" t="str">
        <f t="shared" si="1023"/>
        <v>Digital Payment</v>
      </c>
      <c r="P13075">
        <v>117.11</v>
      </c>
      <c r="Q13075" s="37" t="str">
        <f>IF(P13075&gt;500,"High","low")</f>
        <v>low</v>
      </c>
      <c r="R13075" s="37" t="str">
        <f t="shared" si="1024"/>
        <v>AVERAGE</v>
      </c>
      <c r="S13075" t="s">
        <v>600</v>
      </c>
    </row>
    <row r="13076" spans="1:19" x14ac:dyDescent="0.2">
      <c r="A13076" t="s">
        <v>13687</v>
      </c>
      <c r="B13076" t="s">
        <v>75</v>
      </c>
      <c r="C13076" t="s">
        <v>614</v>
      </c>
      <c r="D13076">
        <v>971.98</v>
      </c>
      <c r="E13076" s="37" t="str">
        <f t="shared" si="1020"/>
        <v xml:space="preserve"> </v>
      </c>
      <c r="F13076">
        <v>0.04</v>
      </c>
      <c r="G13076" s="37" t="str">
        <f t="shared" si="1021"/>
        <v>Normal Discount</v>
      </c>
      <c r="H13076" s="37" t="str">
        <f t="shared" si="1022"/>
        <v>Low</v>
      </c>
      <c r="I13076">
        <v>5</v>
      </c>
      <c r="J13076" t="str" cm="1">
        <f t="array" ref="J13076">_xlfn.IFS(I13076&lt;=3,"small",I13076&lt;=6,"Medium",I13076&lt;=9,"Large")</f>
        <v>Medium</v>
      </c>
      <c r="K13076" s="36">
        <v>45265</v>
      </c>
      <c r="L13076" s="36">
        <v>45267</v>
      </c>
      <c r="M13076" t="s">
        <v>598</v>
      </c>
      <c r="N13076" t="s">
        <v>608</v>
      </c>
      <c r="O13076" s="37" t="str">
        <f t="shared" si="1023"/>
        <v>Cash Payment</v>
      </c>
      <c r="P13076">
        <v>208.77</v>
      </c>
      <c r="Q13076" s="37" t="str">
        <f>IF(P13076&gt;500,"High","low")</f>
        <v>low</v>
      </c>
      <c r="R13076" s="37" t="str">
        <f t="shared" si="1024"/>
        <v>AVERAGE</v>
      </c>
      <c r="S13076" t="s">
        <v>628</v>
      </c>
    </row>
    <row r="13077" spans="1:19" x14ac:dyDescent="0.2">
      <c r="A13077" t="s">
        <v>13688</v>
      </c>
      <c r="B13077" t="s">
        <v>90</v>
      </c>
      <c r="C13077" t="s">
        <v>607</v>
      </c>
      <c r="D13077">
        <v>2415.59</v>
      </c>
      <c r="E13077" s="37" t="str">
        <f t="shared" si="1020"/>
        <v xml:space="preserve"> </v>
      </c>
      <c r="F13077">
        <v>0.31</v>
      </c>
      <c r="G13077" s="37" t="str">
        <f t="shared" si="1021"/>
        <v>Heavy Discount</v>
      </c>
      <c r="H13077" s="37" t="str">
        <f t="shared" si="1022"/>
        <v>Medium</v>
      </c>
      <c r="I13077">
        <v>5</v>
      </c>
      <c r="J13077" t="str" cm="1">
        <f t="array" ref="J13077">_xlfn.IFS(I13077&lt;=3,"small",I13077&lt;=6,"Medium",I13077&lt;=9,"Large")</f>
        <v>Medium</v>
      </c>
      <c r="K13077" s="36">
        <v>45397</v>
      </c>
      <c r="L13077" s="36">
        <v>45401</v>
      </c>
      <c r="M13077" t="s">
        <v>612</v>
      </c>
      <c r="N13077" t="s">
        <v>599</v>
      </c>
      <c r="O13077" s="37" t="str">
        <f t="shared" si="1023"/>
        <v>Digital Payment</v>
      </c>
      <c r="P13077">
        <v>161.4</v>
      </c>
      <c r="Q13077" s="37" t="str">
        <f>IF(P13077&gt;500,"High","low")</f>
        <v>low</v>
      </c>
      <c r="R13077" s="37" t="str">
        <f t="shared" si="1024"/>
        <v>AVERAGE</v>
      </c>
      <c r="S13077" t="s">
        <v>615</v>
      </c>
    </row>
    <row r="13078" spans="1:19" x14ac:dyDescent="0.2">
      <c r="A13078" t="s">
        <v>13689</v>
      </c>
      <c r="B13078" t="s">
        <v>90</v>
      </c>
      <c r="C13078" t="s">
        <v>617</v>
      </c>
      <c r="D13078">
        <v>4365.17</v>
      </c>
      <c r="E13078" s="37" t="str">
        <f t="shared" si="1020"/>
        <v>Excellent Order</v>
      </c>
      <c r="F13078">
        <v>0.43</v>
      </c>
      <c r="G13078" s="37" t="str">
        <f t="shared" si="1021"/>
        <v>Heavy Discount</v>
      </c>
      <c r="H13078" s="37" t="str">
        <f t="shared" si="1022"/>
        <v>High</v>
      </c>
      <c r="I13078">
        <v>1</v>
      </c>
      <c r="J13078" t="str" cm="1">
        <f t="array" ref="J13078">_xlfn.IFS(I13078&lt;=3,"small",I13078&lt;=6,"Medium",I13078&lt;=9,"Large")</f>
        <v>small</v>
      </c>
      <c r="K13078" s="36">
        <v>44959</v>
      </c>
      <c r="L13078" s="36">
        <v>44966</v>
      </c>
      <c r="M13078" t="s">
        <v>603</v>
      </c>
      <c r="N13078" t="s">
        <v>608</v>
      </c>
      <c r="O13078" s="37" t="str">
        <f t="shared" si="1023"/>
        <v>Cash Payment</v>
      </c>
      <c r="P13078">
        <v>1180.4000000000001</v>
      </c>
      <c r="Q13078" s="37" t="str">
        <f>IF(P13078&gt;500,"High","low")</f>
        <v>High</v>
      </c>
      <c r="R13078" s="37" t="str">
        <f t="shared" si="1024"/>
        <v>Excellent</v>
      </c>
      <c r="S13078" t="s">
        <v>628</v>
      </c>
    </row>
    <row r="13079" spans="1:19" x14ac:dyDescent="0.2">
      <c r="A13079" t="s">
        <v>13690</v>
      </c>
      <c r="B13079" t="s">
        <v>83</v>
      </c>
      <c r="C13079" t="s">
        <v>597</v>
      </c>
      <c r="D13079">
        <v>664.57</v>
      </c>
      <c r="E13079" s="37" t="str">
        <f t="shared" si="1020"/>
        <v xml:space="preserve"> </v>
      </c>
      <c r="F13079">
        <v>0.38</v>
      </c>
      <c r="G13079" s="37" t="str">
        <f t="shared" si="1021"/>
        <v>Heavy Discount</v>
      </c>
      <c r="H13079" s="37" t="str">
        <f t="shared" si="1022"/>
        <v>Medium</v>
      </c>
      <c r="I13079">
        <v>2</v>
      </c>
      <c r="J13079" t="str" cm="1">
        <f t="array" ref="J13079">_xlfn.IFS(I13079&lt;=3,"small",I13079&lt;=6,"Medium",I13079&lt;=9,"Large")</f>
        <v>small</v>
      </c>
      <c r="K13079" s="36">
        <v>45392</v>
      </c>
      <c r="L13079" s="36">
        <v>45394</v>
      </c>
      <c r="M13079" t="s">
        <v>598</v>
      </c>
      <c r="N13079" t="s">
        <v>604</v>
      </c>
      <c r="O13079" s="37" t="str">
        <f t="shared" si="1023"/>
        <v>Digital Payment</v>
      </c>
      <c r="P13079">
        <v>175.72</v>
      </c>
      <c r="Q13079" s="37" t="str">
        <f>IF(P13079&gt;500,"High","low")</f>
        <v>low</v>
      </c>
      <c r="R13079" s="37" t="str">
        <f t="shared" si="1024"/>
        <v>AVERAGE</v>
      </c>
      <c r="S13079" t="s">
        <v>609</v>
      </c>
    </row>
    <row r="13080" spans="1:19" x14ac:dyDescent="0.2">
      <c r="A13080" t="s">
        <v>13691</v>
      </c>
      <c r="B13080" t="s">
        <v>90</v>
      </c>
      <c r="C13080" t="s">
        <v>614</v>
      </c>
      <c r="D13080">
        <v>4992.09</v>
      </c>
      <c r="E13080" s="37" t="str">
        <f t="shared" si="1020"/>
        <v xml:space="preserve"> </v>
      </c>
      <c r="F13080">
        <v>0.06</v>
      </c>
      <c r="G13080" s="37" t="str">
        <f t="shared" si="1021"/>
        <v>Normal Discount</v>
      </c>
      <c r="H13080" s="37" t="str">
        <f t="shared" si="1022"/>
        <v>Low</v>
      </c>
      <c r="I13080">
        <v>9</v>
      </c>
      <c r="J13080" t="str" cm="1">
        <f t="array" ref="J13080">_xlfn.IFS(I13080&lt;=3,"small",I13080&lt;=6,"Medium",I13080&lt;=9,"Large")</f>
        <v>Large</v>
      </c>
      <c r="K13080" s="36">
        <v>45217</v>
      </c>
      <c r="L13080" s="36">
        <v>45223</v>
      </c>
      <c r="M13080" t="s">
        <v>603</v>
      </c>
      <c r="N13080" t="s">
        <v>608</v>
      </c>
      <c r="O13080" s="37" t="str">
        <f t="shared" si="1023"/>
        <v>Cash Payment</v>
      </c>
      <c r="P13080">
        <v>605.49</v>
      </c>
      <c r="Q13080" s="37" t="str">
        <f>IF(P13080&gt;500,"High","low")</f>
        <v>High</v>
      </c>
      <c r="R13080" s="37" t="str">
        <f t="shared" si="1024"/>
        <v>Good</v>
      </c>
      <c r="S13080" t="s">
        <v>605</v>
      </c>
    </row>
    <row r="13081" spans="1:19" x14ac:dyDescent="0.2">
      <c r="A13081" t="s">
        <v>13692</v>
      </c>
      <c r="B13081" t="s">
        <v>67</v>
      </c>
      <c r="C13081" t="s">
        <v>597</v>
      </c>
      <c r="D13081">
        <v>4391.97</v>
      </c>
      <c r="E13081" s="37" t="str">
        <f t="shared" si="1020"/>
        <v xml:space="preserve"> </v>
      </c>
      <c r="F13081">
        <v>0.47</v>
      </c>
      <c r="G13081" s="37" t="str">
        <f t="shared" si="1021"/>
        <v>Heavy Discount</v>
      </c>
      <c r="H13081" s="37" t="str">
        <f t="shared" si="1022"/>
        <v>High</v>
      </c>
      <c r="I13081">
        <v>7</v>
      </c>
      <c r="J13081" t="str" cm="1">
        <f t="array" ref="J13081">_xlfn.IFS(I13081&lt;=3,"small",I13081&lt;=6,"Medium",I13081&lt;=9,"Large")</f>
        <v>Large</v>
      </c>
      <c r="K13081" s="36">
        <v>45228</v>
      </c>
      <c r="L13081" s="36">
        <v>45233</v>
      </c>
      <c r="M13081" t="s">
        <v>598</v>
      </c>
      <c r="N13081" t="s">
        <v>608</v>
      </c>
      <c r="O13081" s="37" t="str">
        <f t="shared" si="1023"/>
        <v>Cash Payment</v>
      </c>
      <c r="P13081">
        <v>433.12</v>
      </c>
      <c r="Q13081" s="37" t="str">
        <f>IF(P13081&gt;500,"High","low")</f>
        <v>low</v>
      </c>
      <c r="R13081" s="37" t="str">
        <f t="shared" si="1024"/>
        <v>AVERAGE</v>
      </c>
      <c r="S13081" t="s">
        <v>600</v>
      </c>
    </row>
    <row r="13082" spans="1:19" x14ac:dyDescent="0.2">
      <c r="A13082" t="s">
        <v>13693</v>
      </c>
      <c r="B13082" t="s">
        <v>83</v>
      </c>
      <c r="C13082" t="s">
        <v>607</v>
      </c>
      <c r="D13082">
        <v>2023.54</v>
      </c>
      <c r="E13082" s="37" t="str">
        <f t="shared" si="1020"/>
        <v xml:space="preserve"> </v>
      </c>
      <c r="F13082">
        <v>0.03</v>
      </c>
      <c r="G13082" s="37" t="str">
        <f t="shared" si="1021"/>
        <v>Normal Discount</v>
      </c>
      <c r="H13082" s="37" t="str">
        <f t="shared" si="1022"/>
        <v>Low</v>
      </c>
      <c r="I13082">
        <v>4</v>
      </c>
      <c r="J13082" t="str" cm="1">
        <f t="array" ref="J13082">_xlfn.IFS(I13082&lt;=3,"small",I13082&lt;=6,"Medium",I13082&lt;=9,"Large")</f>
        <v>Medium</v>
      </c>
      <c r="K13082" s="36">
        <v>45565</v>
      </c>
      <c r="L13082" s="36">
        <v>45569</v>
      </c>
      <c r="M13082" t="s">
        <v>612</v>
      </c>
      <c r="N13082" t="s">
        <v>604</v>
      </c>
      <c r="O13082" s="37" t="str">
        <f t="shared" si="1023"/>
        <v>Digital Payment</v>
      </c>
      <c r="P13082">
        <v>318.41000000000003</v>
      </c>
      <c r="Q13082" s="37" t="str">
        <f>IF(P13082&gt;500,"High","low")</f>
        <v>low</v>
      </c>
      <c r="R13082" s="37" t="str">
        <f t="shared" si="1024"/>
        <v>AVERAGE</v>
      </c>
      <c r="S13082" t="s">
        <v>605</v>
      </c>
    </row>
    <row r="13083" spans="1:19" x14ac:dyDescent="0.2">
      <c r="A13083" t="s">
        <v>13694</v>
      </c>
      <c r="B13083" t="s">
        <v>83</v>
      </c>
      <c r="C13083" t="s">
        <v>614</v>
      </c>
      <c r="D13083">
        <v>1340.28</v>
      </c>
      <c r="E13083" s="37" t="str">
        <f t="shared" si="1020"/>
        <v xml:space="preserve"> </v>
      </c>
      <c r="F13083">
        <v>0.28000000000000003</v>
      </c>
      <c r="G13083" s="37" t="str">
        <f t="shared" si="1021"/>
        <v>Normal Discount</v>
      </c>
      <c r="H13083" s="37" t="str">
        <f t="shared" si="1022"/>
        <v>Medium</v>
      </c>
      <c r="I13083">
        <v>7</v>
      </c>
      <c r="J13083" t="str" cm="1">
        <f t="array" ref="J13083">_xlfn.IFS(I13083&lt;=3,"small",I13083&lt;=6,"Medium",I13083&lt;=9,"Large")</f>
        <v>Large</v>
      </c>
      <c r="K13083" s="36">
        <v>45411</v>
      </c>
      <c r="L13083" s="36">
        <v>45415</v>
      </c>
      <c r="M13083" t="s">
        <v>612</v>
      </c>
      <c r="N13083" t="s">
        <v>599</v>
      </c>
      <c r="O13083" s="37" t="str">
        <f t="shared" si="1023"/>
        <v>Digital Payment</v>
      </c>
      <c r="P13083">
        <v>161.62</v>
      </c>
      <c r="Q13083" s="37" t="str">
        <f>IF(P13083&gt;500,"High","low")</f>
        <v>low</v>
      </c>
      <c r="R13083" s="37" t="str">
        <f t="shared" si="1024"/>
        <v>AVERAGE</v>
      </c>
      <c r="S13083" t="s">
        <v>615</v>
      </c>
    </row>
    <row r="13084" spans="1:19" x14ac:dyDescent="0.2">
      <c r="A13084" t="s">
        <v>13695</v>
      </c>
      <c r="B13084" t="s">
        <v>75</v>
      </c>
      <c r="C13084" t="s">
        <v>607</v>
      </c>
      <c r="D13084">
        <v>4617.78</v>
      </c>
      <c r="E13084" s="37" t="str">
        <f t="shared" si="1020"/>
        <v>Excellent Order</v>
      </c>
      <c r="F13084">
        <v>0.47</v>
      </c>
      <c r="G13084" s="37" t="str">
        <f t="shared" si="1021"/>
        <v>Heavy Discount</v>
      </c>
      <c r="H13084" s="37" t="str">
        <f t="shared" si="1022"/>
        <v>High</v>
      </c>
      <c r="I13084">
        <v>2</v>
      </c>
      <c r="J13084" t="str" cm="1">
        <f t="array" ref="J13084">_xlfn.IFS(I13084&lt;=3,"small",I13084&lt;=6,"Medium",I13084&lt;=9,"Large")</f>
        <v>small</v>
      </c>
      <c r="K13084" s="36">
        <v>45602</v>
      </c>
      <c r="L13084" s="36">
        <v>45603</v>
      </c>
      <c r="M13084" t="s">
        <v>612</v>
      </c>
      <c r="N13084" t="s">
        <v>604</v>
      </c>
      <c r="O13084" s="37" t="str">
        <f t="shared" si="1023"/>
        <v>Digital Payment</v>
      </c>
      <c r="P13084">
        <v>1328.08</v>
      </c>
      <c r="Q13084" s="37" t="str">
        <f>IF(P13084&gt;500,"High","low")</f>
        <v>High</v>
      </c>
      <c r="R13084" s="37" t="str">
        <f t="shared" si="1024"/>
        <v>Excellent</v>
      </c>
      <c r="S13084" t="s">
        <v>615</v>
      </c>
    </row>
    <row r="13085" spans="1:19" x14ac:dyDescent="0.2">
      <c r="A13085" t="s">
        <v>13696</v>
      </c>
      <c r="B13085" t="s">
        <v>75</v>
      </c>
      <c r="C13085" t="s">
        <v>617</v>
      </c>
      <c r="D13085">
        <v>703.74</v>
      </c>
      <c r="E13085" s="37" t="str">
        <f t="shared" si="1020"/>
        <v xml:space="preserve"> </v>
      </c>
      <c r="F13085">
        <v>0.41</v>
      </c>
      <c r="G13085" s="37" t="str">
        <f t="shared" si="1021"/>
        <v>Heavy Discount</v>
      </c>
      <c r="H13085" s="37" t="str">
        <f t="shared" si="1022"/>
        <v>High</v>
      </c>
      <c r="I13085">
        <v>5</v>
      </c>
      <c r="J13085" t="str" cm="1">
        <f t="array" ref="J13085">_xlfn.IFS(I13085&lt;=3,"small",I13085&lt;=6,"Medium",I13085&lt;=9,"Large")</f>
        <v>Medium</v>
      </c>
      <c r="K13085" s="36">
        <v>45290</v>
      </c>
      <c r="L13085" s="36">
        <v>45291</v>
      </c>
      <c r="M13085" t="s">
        <v>612</v>
      </c>
      <c r="N13085" t="s">
        <v>608</v>
      </c>
      <c r="O13085" s="37" t="str">
        <f t="shared" si="1023"/>
        <v>Cash Payment</v>
      </c>
      <c r="P13085">
        <v>137.71</v>
      </c>
      <c r="Q13085" s="37" t="str">
        <f>IF(P13085&gt;500,"High","low")</f>
        <v>low</v>
      </c>
      <c r="R13085" s="37" t="str">
        <f t="shared" si="1024"/>
        <v>AVERAGE</v>
      </c>
      <c r="S13085" t="s">
        <v>600</v>
      </c>
    </row>
    <row r="13086" spans="1:19" x14ac:dyDescent="0.2">
      <c r="A13086" t="s">
        <v>13697</v>
      </c>
      <c r="B13086" t="s">
        <v>75</v>
      </c>
      <c r="C13086" t="s">
        <v>617</v>
      </c>
      <c r="D13086">
        <v>1801.72</v>
      </c>
      <c r="E13086" s="37" t="str">
        <f t="shared" si="1020"/>
        <v xml:space="preserve"> </v>
      </c>
      <c r="F13086">
        <v>0.34</v>
      </c>
      <c r="G13086" s="37" t="str">
        <f t="shared" si="1021"/>
        <v>Heavy Discount</v>
      </c>
      <c r="H13086" s="37" t="str">
        <f t="shared" si="1022"/>
        <v>Medium</v>
      </c>
      <c r="I13086">
        <v>9</v>
      </c>
      <c r="J13086" t="str" cm="1">
        <f t="array" ref="J13086">_xlfn.IFS(I13086&lt;=3,"small",I13086&lt;=6,"Medium",I13086&lt;=9,"Large")</f>
        <v>Large</v>
      </c>
      <c r="K13086" s="36">
        <v>45628</v>
      </c>
      <c r="L13086" s="36">
        <v>45633</v>
      </c>
      <c r="M13086" t="s">
        <v>603</v>
      </c>
      <c r="N13086" t="s">
        <v>608</v>
      </c>
      <c r="O13086" s="37" t="str">
        <f t="shared" si="1023"/>
        <v>Cash Payment</v>
      </c>
      <c r="P13086">
        <v>421.64</v>
      </c>
      <c r="Q13086" s="37" t="str">
        <f>IF(P13086&gt;500,"High","low")</f>
        <v>low</v>
      </c>
      <c r="R13086" s="37" t="str">
        <f t="shared" si="1024"/>
        <v>AVERAGE</v>
      </c>
      <c r="S13086" t="s">
        <v>609</v>
      </c>
    </row>
    <row r="13087" spans="1:19" x14ac:dyDescent="0.2">
      <c r="A13087" t="s">
        <v>13698</v>
      </c>
      <c r="B13087" t="s">
        <v>75</v>
      </c>
      <c r="C13087" t="s">
        <v>597</v>
      </c>
      <c r="D13087">
        <v>511.17</v>
      </c>
      <c r="E13087" s="37" t="str">
        <f t="shared" si="1020"/>
        <v xml:space="preserve"> </v>
      </c>
      <c r="F13087">
        <v>0.43</v>
      </c>
      <c r="G13087" s="37" t="str">
        <f t="shared" si="1021"/>
        <v>Heavy Discount</v>
      </c>
      <c r="H13087" s="37" t="str">
        <f t="shared" si="1022"/>
        <v>High</v>
      </c>
      <c r="I13087">
        <v>2</v>
      </c>
      <c r="J13087" t="str" cm="1">
        <f t="array" ref="J13087">_xlfn.IFS(I13087&lt;=3,"small",I13087&lt;=6,"Medium",I13087&lt;=9,"Large")</f>
        <v>small</v>
      </c>
      <c r="K13087" s="36">
        <v>45009</v>
      </c>
      <c r="L13087" s="36">
        <v>45016</v>
      </c>
      <c r="M13087" t="s">
        <v>612</v>
      </c>
      <c r="N13087" t="s">
        <v>608</v>
      </c>
      <c r="O13087" s="37" t="str">
        <f t="shared" si="1023"/>
        <v>Cash Payment</v>
      </c>
      <c r="P13087">
        <v>93.37</v>
      </c>
      <c r="Q13087" s="37" t="str">
        <f>IF(P13087&gt;500,"High","low")</f>
        <v>low</v>
      </c>
      <c r="R13087" s="37" t="str">
        <f t="shared" si="1024"/>
        <v>AVERAGE</v>
      </c>
      <c r="S13087" t="s">
        <v>615</v>
      </c>
    </row>
    <row r="13088" spans="1:19" x14ac:dyDescent="0.2">
      <c r="A13088" t="s">
        <v>13699</v>
      </c>
      <c r="B13088" t="s">
        <v>67</v>
      </c>
      <c r="C13088" t="s">
        <v>597</v>
      </c>
      <c r="D13088">
        <v>4771.97</v>
      </c>
      <c r="E13088" s="37" t="str">
        <f t="shared" si="1020"/>
        <v>Excellent Order</v>
      </c>
      <c r="F13088">
        <v>0.34</v>
      </c>
      <c r="G13088" s="37" t="str">
        <f t="shared" si="1021"/>
        <v>Heavy Discount</v>
      </c>
      <c r="H13088" s="37" t="str">
        <f t="shared" si="1022"/>
        <v>Medium</v>
      </c>
      <c r="I13088">
        <v>3</v>
      </c>
      <c r="J13088" t="str" cm="1">
        <f t="array" ref="J13088">_xlfn.IFS(I13088&lt;=3,"small",I13088&lt;=6,"Medium",I13088&lt;=9,"Large")</f>
        <v>small</v>
      </c>
      <c r="K13088" s="36">
        <v>45656</v>
      </c>
      <c r="L13088" s="36">
        <v>45657</v>
      </c>
      <c r="M13088" t="s">
        <v>612</v>
      </c>
      <c r="N13088" t="s">
        <v>599</v>
      </c>
      <c r="O13088" s="37" t="str">
        <f t="shared" si="1023"/>
        <v>Digital Payment</v>
      </c>
      <c r="P13088">
        <v>1236.68</v>
      </c>
      <c r="Q13088" s="37" t="str">
        <f>IF(P13088&gt;500,"High","low")</f>
        <v>High</v>
      </c>
      <c r="R13088" s="37" t="str">
        <f t="shared" si="1024"/>
        <v>Excellent</v>
      </c>
      <c r="S13088" t="s">
        <v>605</v>
      </c>
    </row>
    <row r="13089" spans="1:19" x14ac:dyDescent="0.2">
      <c r="A13089" t="s">
        <v>13700</v>
      </c>
      <c r="B13089" t="s">
        <v>83</v>
      </c>
      <c r="C13089" t="s">
        <v>617</v>
      </c>
      <c r="D13089">
        <v>3126.35</v>
      </c>
      <c r="E13089" s="37" t="str">
        <f t="shared" si="1020"/>
        <v xml:space="preserve"> </v>
      </c>
      <c r="F13089">
        <v>0.03</v>
      </c>
      <c r="G13089" s="37" t="str">
        <f t="shared" si="1021"/>
        <v>Normal Discount</v>
      </c>
      <c r="H13089" s="37" t="str">
        <f t="shared" si="1022"/>
        <v>Low</v>
      </c>
      <c r="I13089">
        <v>5</v>
      </c>
      <c r="J13089" t="str" cm="1">
        <f t="array" ref="J13089">_xlfn.IFS(I13089&lt;=3,"small",I13089&lt;=6,"Medium",I13089&lt;=9,"Large")</f>
        <v>Medium</v>
      </c>
      <c r="K13089" s="36">
        <v>45289</v>
      </c>
      <c r="L13089" s="36">
        <v>45296</v>
      </c>
      <c r="M13089" t="s">
        <v>612</v>
      </c>
      <c r="N13089" t="s">
        <v>604</v>
      </c>
      <c r="O13089" s="37" t="str">
        <f t="shared" si="1023"/>
        <v>Digital Payment</v>
      </c>
      <c r="P13089">
        <v>232.73</v>
      </c>
      <c r="Q13089" s="37" t="str">
        <f>IF(P13089&gt;500,"High","low")</f>
        <v>low</v>
      </c>
      <c r="R13089" s="37" t="str">
        <f t="shared" si="1024"/>
        <v>AVERAGE</v>
      </c>
      <c r="S13089" t="s">
        <v>609</v>
      </c>
    </row>
    <row r="13090" spans="1:19" x14ac:dyDescent="0.2">
      <c r="A13090" t="s">
        <v>13701</v>
      </c>
      <c r="B13090" t="s">
        <v>90</v>
      </c>
      <c r="C13090" t="s">
        <v>602</v>
      </c>
      <c r="D13090">
        <v>1747.28</v>
      </c>
      <c r="E13090" s="37" t="str">
        <f t="shared" si="1020"/>
        <v xml:space="preserve"> </v>
      </c>
      <c r="F13090">
        <v>0.18</v>
      </c>
      <c r="G13090" s="37" t="str">
        <f t="shared" si="1021"/>
        <v>Normal Discount</v>
      </c>
      <c r="H13090" s="37" t="str">
        <f t="shared" si="1022"/>
        <v>Low</v>
      </c>
      <c r="I13090">
        <v>5</v>
      </c>
      <c r="J13090" t="str" cm="1">
        <f t="array" ref="J13090">_xlfn.IFS(I13090&lt;=3,"small",I13090&lt;=6,"Medium",I13090&lt;=9,"Large")</f>
        <v>Medium</v>
      </c>
      <c r="K13090" s="36">
        <v>44952</v>
      </c>
      <c r="L13090" s="36">
        <v>44953</v>
      </c>
      <c r="M13090" t="s">
        <v>612</v>
      </c>
      <c r="N13090" t="s">
        <v>604</v>
      </c>
      <c r="O13090" s="37" t="str">
        <f t="shared" si="1023"/>
        <v>Digital Payment</v>
      </c>
      <c r="P13090">
        <v>403.05</v>
      </c>
      <c r="Q13090" s="37" t="str">
        <f>IF(P13090&gt;500,"High","low")</f>
        <v>low</v>
      </c>
      <c r="R13090" s="37" t="str">
        <f t="shared" si="1024"/>
        <v>AVERAGE</v>
      </c>
      <c r="S13090" t="s">
        <v>609</v>
      </c>
    </row>
    <row r="13091" spans="1:19" x14ac:dyDescent="0.2">
      <c r="A13091" t="s">
        <v>13702</v>
      </c>
      <c r="B13091" t="s">
        <v>75</v>
      </c>
      <c r="C13091" t="s">
        <v>617</v>
      </c>
      <c r="D13091">
        <v>1449.87</v>
      </c>
      <c r="E13091" s="37" t="str">
        <f t="shared" si="1020"/>
        <v xml:space="preserve"> </v>
      </c>
      <c r="F13091">
        <v>0.21</v>
      </c>
      <c r="G13091" s="37" t="str">
        <f t="shared" si="1021"/>
        <v>Normal Discount</v>
      </c>
      <c r="H13091" s="37" t="str">
        <f t="shared" si="1022"/>
        <v>Medium</v>
      </c>
      <c r="I13091">
        <v>8</v>
      </c>
      <c r="J13091" t="str" cm="1">
        <f t="array" ref="J13091">_xlfn.IFS(I13091&lt;=3,"small",I13091&lt;=6,"Medium",I13091&lt;=9,"Large")</f>
        <v>Large</v>
      </c>
      <c r="K13091" s="36">
        <v>45573</v>
      </c>
      <c r="L13091" s="36">
        <v>45575</v>
      </c>
      <c r="M13091" t="s">
        <v>612</v>
      </c>
      <c r="N13091" t="s">
        <v>604</v>
      </c>
      <c r="O13091" s="37" t="str">
        <f t="shared" si="1023"/>
        <v>Digital Payment</v>
      </c>
      <c r="P13091">
        <v>350.71</v>
      </c>
      <c r="Q13091" s="37" t="str">
        <f>IF(P13091&gt;500,"High","low")</f>
        <v>low</v>
      </c>
      <c r="R13091" s="37" t="str">
        <f t="shared" si="1024"/>
        <v>AVERAGE</v>
      </c>
      <c r="S13091" t="s">
        <v>605</v>
      </c>
    </row>
    <row r="13092" spans="1:19" x14ac:dyDescent="0.2">
      <c r="A13092" t="s">
        <v>13703</v>
      </c>
      <c r="B13092" t="s">
        <v>75</v>
      </c>
      <c r="C13092" t="s">
        <v>614</v>
      </c>
      <c r="D13092">
        <v>2276.06</v>
      </c>
      <c r="E13092" s="37" t="str">
        <f t="shared" si="1020"/>
        <v xml:space="preserve"> </v>
      </c>
      <c r="F13092">
        <v>0.27</v>
      </c>
      <c r="G13092" s="37" t="str">
        <f t="shared" si="1021"/>
        <v>Normal Discount</v>
      </c>
      <c r="H13092" s="37" t="str">
        <f t="shared" si="1022"/>
        <v>Medium</v>
      </c>
      <c r="I13092">
        <v>7</v>
      </c>
      <c r="J13092" t="str" cm="1">
        <f t="array" ref="J13092">_xlfn.IFS(I13092&lt;=3,"small",I13092&lt;=6,"Medium",I13092&lt;=9,"Large")</f>
        <v>Large</v>
      </c>
      <c r="K13092" s="36">
        <v>45269</v>
      </c>
      <c r="L13092" s="36">
        <v>45271</v>
      </c>
      <c r="M13092" t="s">
        <v>603</v>
      </c>
      <c r="N13092" t="s">
        <v>604</v>
      </c>
      <c r="O13092" s="37" t="str">
        <f t="shared" si="1023"/>
        <v>Digital Payment</v>
      </c>
      <c r="P13092">
        <v>318.81</v>
      </c>
      <c r="Q13092" s="37" t="str">
        <f>IF(P13092&gt;500,"High","low")</f>
        <v>low</v>
      </c>
      <c r="R13092" s="37" t="str">
        <f t="shared" si="1024"/>
        <v>AVERAGE</v>
      </c>
      <c r="S13092" t="s">
        <v>620</v>
      </c>
    </row>
    <row r="13093" spans="1:19" x14ac:dyDescent="0.2">
      <c r="A13093" t="s">
        <v>13704</v>
      </c>
      <c r="B13093" t="s">
        <v>75</v>
      </c>
      <c r="C13093" t="s">
        <v>607</v>
      </c>
      <c r="D13093">
        <v>547.75</v>
      </c>
      <c r="E13093" s="37" t="str">
        <f t="shared" si="1020"/>
        <v xml:space="preserve"> </v>
      </c>
      <c r="F13093">
        <v>0.11</v>
      </c>
      <c r="G13093" s="37" t="str">
        <f t="shared" si="1021"/>
        <v>Normal Discount</v>
      </c>
      <c r="H13093" s="37" t="str">
        <f t="shared" si="1022"/>
        <v>Low</v>
      </c>
      <c r="I13093">
        <v>3</v>
      </c>
      <c r="J13093" t="str" cm="1">
        <f t="array" ref="J13093">_xlfn.IFS(I13093&lt;=3,"small",I13093&lt;=6,"Medium",I13093&lt;=9,"Large")</f>
        <v>small</v>
      </c>
      <c r="K13093" s="36">
        <v>45571</v>
      </c>
      <c r="L13093" s="36">
        <v>45573</v>
      </c>
      <c r="M13093" t="s">
        <v>612</v>
      </c>
      <c r="N13093" t="s">
        <v>604</v>
      </c>
      <c r="O13093" s="37" t="str">
        <f t="shared" si="1023"/>
        <v>Digital Payment</v>
      </c>
      <c r="P13093">
        <v>39.08</v>
      </c>
      <c r="Q13093" s="37" t="str">
        <f>IF(P13093&gt;500,"High","low")</f>
        <v>low</v>
      </c>
      <c r="R13093" s="37" t="str">
        <f t="shared" si="1024"/>
        <v>AVERAGE</v>
      </c>
      <c r="S13093" t="s">
        <v>605</v>
      </c>
    </row>
    <row r="13094" spans="1:19" x14ac:dyDescent="0.2">
      <c r="A13094" t="s">
        <v>13705</v>
      </c>
      <c r="B13094" t="s">
        <v>90</v>
      </c>
      <c r="C13094" t="s">
        <v>617</v>
      </c>
      <c r="D13094">
        <v>4457.8100000000004</v>
      </c>
      <c r="E13094" s="37" t="str">
        <f t="shared" si="1020"/>
        <v>Excellent Order</v>
      </c>
      <c r="F13094">
        <v>0.44</v>
      </c>
      <c r="G13094" s="37" t="str">
        <f t="shared" si="1021"/>
        <v>Heavy Discount</v>
      </c>
      <c r="H13094" s="37" t="str">
        <f t="shared" si="1022"/>
        <v>High</v>
      </c>
      <c r="I13094">
        <v>5</v>
      </c>
      <c r="J13094" t="str" cm="1">
        <f t="array" ref="J13094">_xlfn.IFS(I13094&lt;=3,"small",I13094&lt;=6,"Medium",I13094&lt;=9,"Large")</f>
        <v>Medium</v>
      </c>
      <c r="K13094" s="36">
        <v>45299</v>
      </c>
      <c r="L13094" s="36">
        <v>45304</v>
      </c>
      <c r="M13094" t="s">
        <v>612</v>
      </c>
      <c r="N13094" t="s">
        <v>604</v>
      </c>
      <c r="O13094" s="37" t="str">
        <f t="shared" si="1023"/>
        <v>Digital Payment</v>
      </c>
      <c r="P13094">
        <v>950.96</v>
      </c>
      <c r="Q13094" s="37" t="str">
        <f>IF(P13094&gt;500,"High","low")</f>
        <v>High</v>
      </c>
      <c r="R13094" s="37" t="str">
        <f t="shared" si="1024"/>
        <v>Good</v>
      </c>
      <c r="S13094" t="s">
        <v>620</v>
      </c>
    </row>
    <row r="13095" spans="1:19" x14ac:dyDescent="0.2">
      <c r="A13095" t="s">
        <v>13706</v>
      </c>
      <c r="B13095" t="s">
        <v>75</v>
      </c>
      <c r="C13095" t="s">
        <v>617</v>
      </c>
      <c r="D13095">
        <v>2603.61</v>
      </c>
      <c r="E13095" s="37" t="str">
        <f t="shared" si="1020"/>
        <v xml:space="preserve"> </v>
      </c>
      <c r="F13095">
        <v>0.11</v>
      </c>
      <c r="G13095" s="37" t="str">
        <f t="shared" si="1021"/>
        <v>Normal Discount</v>
      </c>
      <c r="H13095" s="37" t="str">
        <f t="shared" si="1022"/>
        <v>Low</v>
      </c>
      <c r="I13095">
        <v>8</v>
      </c>
      <c r="J13095" t="str" cm="1">
        <f t="array" ref="J13095">_xlfn.IFS(I13095&lt;=3,"small",I13095&lt;=6,"Medium",I13095&lt;=9,"Large")</f>
        <v>Large</v>
      </c>
      <c r="K13095" s="36">
        <v>45653</v>
      </c>
      <c r="L13095" s="36">
        <v>45660</v>
      </c>
      <c r="M13095" t="s">
        <v>612</v>
      </c>
      <c r="N13095" t="s">
        <v>604</v>
      </c>
      <c r="O13095" s="37" t="str">
        <f t="shared" si="1023"/>
        <v>Digital Payment</v>
      </c>
      <c r="P13095">
        <v>328.12</v>
      </c>
      <c r="Q13095" s="37" t="str">
        <f>IF(P13095&gt;500,"High","low")</f>
        <v>low</v>
      </c>
      <c r="R13095" s="37" t="str">
        <f t="shared" si="1024"/>
        <v>AVERAGE</v>
      </c>
      <c r="S13095" t="s">
        <v>620</v>
      </c>
    </row>
    <row r="13096" spans="1:19" x14ac:dyDescent="0.2">
      <c r="A13096" t="s">
        <v>13707</v>
      </c>
      <c r="B13096" t="s">
        <v>90</v>
      </c>
      <c r="C13096" t="s">
        <v>607</v>
      </c>
      <c r="D13096">
        <v>3652.98</v>
      </c>
      <c r="E13096" s="37" t="str">
        <f t="shared" si="1020"/>
        <v xml:space="preserve"> </v>
      </c>
      <c r="F13096">
        <v>0.33</v>
      </c>
      <c r="G13096" s="37" t="str">
        <f t="shared" si="1021"/>
        <v>Heavy Discount</v>
      </c>
      <c r="H13096" s="37" t="str">
        <f t="shared" si="1022"/>
        <v>Medium</v>
      </c>
      <c r="I13096">
        <v>5</v>
      </c>
      <c r="J13096" t="str" cm="1">
        <f t="array" ref="J13096">_xlfn.IFS(I13096&lt;=3,"small",I13096&lt;=6,"Medium",I13096&lt;=9,"Large")</f>
        <v>Medium</v>
      </c>
      <c r="K13096" s="36">
        <v>45401</v>
      </c>
      <c r="L13096" s="36">
        <v>45407</v>
      </c>
      <c r="M13096" t="s">
        <v>603</v>
      </c>
      <c r="N13096" t="s">
        <v>604</v>
      </c>
      <c r="O13096" s="37" t="str">
        <f t="shared" si="1023"/>
        <v>Digital Payment</v>
      </c>
      <c r="P13096">
        <v>715.66</v>
      </c>
      <c r="Q13096" s="37" t="str">
        <f>IF(P13096&gt;500,"High","low")</f>
        <v>High</v>
      </c>
      <c r="R13096" s="37" t="str">
        <f t="shared" si="1024"/>
        <v>Good</v>
      </c>
      <c r="S13096" t="s">
        <v>615</v>
      </c>
    </row>
    <row r="13097" spans="1:19" x14ac:dyDescent="0.2">
      <c r="A13097" t="s">
        <v>13708</v>
      </c>
      <c r="B13097" t="s">
        <v>83</v>
      </c>
      <c r="C13097" t="s">
        <v>607</v>
      </c>
      <c r="D13097">
        <v>1245.3499999999999</v>
      </c>
      <c r="E13097" s="37" t="str">
        <f t="shared" si="1020"/>
        <v xml:space="preserve"> </v>
      </c>
      <c r="F13097">
        <v>0.44</v>
      </c>
      <c r="G13097" s="37" t="str">
        <f t="shared" si="1021"/>
        <v>Heavy Discount</v>
      </c>
      <c r="H13097" s="37" t="str">
        <f t="shared" si="1022"/>
        <v>High</v>
      </c>
      <c r="I13097">
        <v>2</v>
      </c>
      <c r="J13097" t="str" cm="1">
        <f t="array" ref="J13097">_xlfn.IFS(I13097&lt;=3,"small",I13097&lt;=6,"Medium",I13097&lt;=9,"Large")</f>
        <v>small</v>
      </c>
      <c r="K13097" s="36">
        <v>45007</v>
      </c>
      <c r="L13097" s="36">
        <v>45013</v>
      </c>
      <c r="M13097" t="s">
        <v>603</v>
      </c>
      <c r="N13097" t="s">
        <v>604</v>
      </c>
      <c r="O13097" s="37" t="str">
        <f t="shared" si="1023"/>
        <v>Digital Payment</v>
      </c>
      <c r="P13097">
        <v>336.56</v>
      </c>
      <c r="Q13097" s="37" t="str">
        <f>IF(P13097&gt;500,"High","low")</f>
        <v>low</v>
      </c>
      <c r="R13097" s="37" t="str">
        <f t="shared" si="1024"/>
        <v>AVERAGE</v>
      </c>
      <c r="S13097" t="s">
        <v>628</v>
      </c>
    </row>
    <row r="13098" spans="1:19" x14ac:dyDescent="0.2">
      <c r="A13098" t="s">
        <v>13709</v>
      </c>
      <c r="B13098" t="s">
        <v>83</v>
      </c>
      <c r="C13098" t="s">
        <v>614</v>
      </c>
      <c r="D13098">
        <v>2568.37</v>
      </c>
      <c r="E13098" s="37" t="str">
        <f t="shared" si="1020"/>
        <v xml:space="preserve"> </v>
      </c>
      <c r="F13098">
        <v>0.37</v>
      </c>
      <c r="G13098" s="37" t="str">
        <f t="shared" si="1021"/>
        <v>Heavy Discount</v>
      </c>
      <c r="H13098" s="37" t="str">
        <f t="shared" si="1022"/>
        <v>Medium</v>
      </c>
      <c r="I13098">
        <v>2</v>
      </c>
      <c r="J13098" t="str" cm="1">
        <f t="array" ref="J13098">_xlfn.IFS(I13098&lt;=3,"small",I13098&lt;=6,"Medium",I13098&lt;=9,"Large")</f>
        <v>small</v>
      </c>
      <c r="K13098" s="36">
        <v>45266</v>
      </c>
      <c r="L13098" s="36">
        <v>45273</v>
      </c>
      <c r="M13098" t="s">
        <v>612</v>
      </c>
      <c r="N13098" t="s">
        <v>608</v>
      </c>
      <c r="O13098" s="37" t="str">
        <f t="shared" si="1023"/>
        <v>Cash Payment</v>
      </c>
      <c r="P13098">
        <v>662.62</v>
      </c>
      <c r="Q13098" s="37" t="str">
        <f>IF(P13098&gt;500,"High","low")</f>
        <v>High</v>
      </c>
      <c r="R13098" s="37" t="str">
        <f t="shared" si="1024"/>
        <v>Good</v>
      </c>
      <c r="S13098" t="s">
        <v>615</v>
      </c>
    </row>
    <row r="13099" spans="1:19" x14ac:dyDescent="0.2">
      <c r="A13099" t="s">
        <v>13710</v>
      </c>
      <c r="B13099" t="s">
        <v>83</v>
      </c>
      <c r="C13099" t="s">
        <v>607</v>
      </c>
      <c r="D13099">
        <v>1134.32</v>
      </c>
      <c r="E13099" s="37" t="str">
        <f t="shared" si="1020"/>
        <v xml:space="preserve"> </v>
      </c>
      <c r="F13099">
        <v>7.0000000000000007E-2</v>
      </c>
      <c r="G13099" s="37" t="str">
        <f t="shared" si="1021"/>
        <v>Normal Discount</v>
      </c>
      <c r="H13099" s="37" t="str">
        <f t="shared" si="1022"/>
        <v>Low</v>
      </c>
      <c r="I13099">
        <v>1</v>
      </c>
      <c r="J13099" t="str" cm="1">
        <f t="array" ref="J13099">_xlfn.IFS(I13099&lt;=3,"small",I13099&lt;=6,"Medium",I13099&lt;=9,"Large")</f>
        <v>small</v>
      </c>
      <c r="K13099" s="36">
        <v>45646</v>
      </c>
      <c r="L13099" s="36">
        <v>45653</v>
      </c>
      <c r="M13099" t="s">
        <v>612</v>
      </c>
      <c r="N13099" t="s">
        <v>604</v>
      </c>
      <c r="O13099" s="37" t="str">
        <f t="shared" si="1023"/>
        <v>Digital Payment</v>
      </c>
      <c r="P13099">
        <v>220.03</v>
      </c>
      <c r="Q13099" s="37" t="str">
        <f>IF(P13099&gt;500,"High","low")</f>
        <v>low</v>
      </c>
      <c r="R13099" s="37" t="str">
        <f t="shared" si="1024"/>
        <v>AVERAGE</v>
      </c>
      <c r="S13099" t="s">
        <v>609</v>
      </c>
    </row>
    <row r="13100" spans="1:19" x14ac:dyDescent="0.2">
      <c r="A13100" t="s">
        <v>13711</v>
      </c>
      <c r="B13100" t="s">
        <v>67</v>
      </c>
      <c r="C13100" t="s">
        <v>597</v>
      </c>
      <c r="D13100">
        <v>4098.8599999999997</v>
      </c>
      <c r="E13100" s="37" t="str">
        <f t="shared" si="1020"/>
        <v xml:space="preserve"> </v>
      </c>
      <c r="F13100">
        <v>0.48</v>
      </c>
      <c r="G13100" s="37" t="str">
        <f t="shared" si="1021"/>
        <v>Heavy Discount</v>
      </c>
      <c r="H13100" s="37" t="str">
        <f t="shared" si="1022"/>
        <v>High</v>
      </c>
      <c r="I13100">
        <v>6</v>
      </c>
      <c r="J13100" t="str" cm="1">
        <f t="array" ref="J13100">_xlfn.IFS(I13100&lt;=3,"small",I13100&lt;=6,"Medium",I13100&lt;=9,"Large")</f>
        <v>Medium</v>
      </c>
      <c r="K13100" s="36">
        <v>45550</v>
      </c>
      <c r="L13100" s="36">
        <v>45557</v>
      </c>
      <c r="M13100" t="s">
        <v>598</v>
      </c>
      <c r="N13100" t="s">
        <v>608</v>
      </c>
      <c r="O13100" s="37" t="str">
        <f t="shared" si="1023"/>
        <v>Cash Payment</v>
      </c>
      <c r="P13100">
        <v>316.20999999999998</v>
      </c>
      <c r="Q13100" s="37" t="str">
        <f>IF(P13100&gt;500,"High","low")</f>
        <v>low</v>
      </c>
      <c r="R13100" s="37" t="str">
        <f t="shared" si="1024"/>
        <v>AVERAGE</v>
      </c>
      <c r="S13100" t="s">
        <v>628</v>
      </c>
    </row>
    <row r="13101" spans="1:19" x14ac:dyDescent="0.2">
      <c r="A13101" t="s">
        <v>13712</v>
      </c>
      <c r="B13101" t="s">
        <v>90</v>
      </c>
      <c r="C13101" t="s">
        <v>617</v>
      </c>
      <c r="D13101">
        <v>3898.85</v>
      </c>
      <c r="E13101" s="37" t="str">
        <f t="shared" si="1020"/>
        <v xml:space="preserve"> </v>
      </c>
      <c r="F13101">
        <v>0.05</v>
      </c>
      <c r="G13101" s="37" t="str">
        <f t="shared" si="1021"/>
        <v>Normal Discount</v>
      </c>
      <c r="H13101" s="37" t="str">
        <f t="shared" si="1022"/>
        <v>Low</v>
      </c>
      <c r="I13101">
        <v>1</v>
      </c>
      <c r="J13101" t="str" cm="1">
        <f t="array" ref="J13101">_xlfn.IFS(I13101&lt;=3,"small",I13101&lt;=6,"Medium",I13101&lt;=9,"Large")</f>
        <v>small</v>
      </c>
      <c r="K13101" s="36">
        <v>45416</v>
      </c>
      <c r="L13101" s="36">
        <v>45422</v>
      </c>
      <c r="M13101" t="s">
        <v>603</v>
      </c>
      <c r="N13101" t="s">
        <v>604</v>
      </c>
      <c r="O13101" s="37" t="str">
        <f t="shared" si="1023"/>
        <v>Digital Payment</v>
      </c>
      <c r="P13101">
        <v>631.13</v>
      </c>
      <c r="Q13101" s="37" t="str">
        <f>IF(P13101&gt;500,"High","low")</f>
        <v>High</v>
      </c>
      <c r="R13101" s="37" t="str">
        <f t="shared" si="1024"/>
        <v>Good</v>
      </c>
      <c r="S13101" t="s">
        <v>615</v>
      </c>
    </row>
    <row r="13102" spans="1:19" x14ac:dyDescent="0.2">
      <c r="A13102" t="s">
        <v>13713</v>
      </c>
      <c r="B13102" t="s">
        <v>75</v>
      </c>
      <c r="C13102" t="s">
        <v>607</v>
      </c>
      <c r="D13102">
        <v>826.19</v>
      </c>
      <c r="E13102" s="37" t="str">
        <f t="shared" si="1020"/>
        <v xml:space="preserve"> </v>
      </c>
      <c r="F13102">
        <v>0.1</v>
      </c>
      <c r="G13102" s="37" t="str">
        <f t="shared" si="1021"/>
        <v>Normal Discount</v>
      </c>
      <c r="H13102" s="37" t="str">
        <f t="shared" si="1022"/>
        <v>Low</v>
      </c>
      <c r="I13102">
        <v>8</v>
      </c>
      <c r="J13102" t="str" cm="1">
        <f t="array" ref="J13102">_xlfn.IFS(I13102&lt;=3,"small",I13102&lt;=6,"Medium",I13102&lt;=9,"Large")</f>
        <v>Large</v>
      </c>
      <c r="K13102" s="36">
        <v>45049</v>
      </c>
      <c r="L13102" s="36">
        <v>45053</v>
      </c>
      <c r="M13102" t="s">
        <v>603</v>
      </c>
      <c r="N13102" t="s">
        <v>604</v>
      </c>
      <c r="O13102" s="37" t="str">
        <f t="shared" si="1023"/>
        <v>Digital Payment</v>
      </c>
      <c r="P13102">
        <v>191.23</v>
      </c>
      <c r="Q13102" s="37" t="str">
        <f>IF(P13102&gt;500,"High","low")</f>
        <v>low</v>
      </c>
      <c r="R13102" s="37" t="str">
        <f t="shared" si="1024"/>
        <v>AVERAGE</v>
      </c>
      <c r="S13102" t="s">
        <v>620</v>
      </c>
    </row>
    <row r="13103" spans="1:19" x14ac:dyDescent="0.2">
      <c r="A13103" t="s">
        <v>13714</v>
      </c>
      <c r="B13103" t="s">
        <v>75</v>
      </c>
      <c r="C13103" t="s">
        <v>614</v>
      </c>
      <c r="D13103">
        <v>465.08</v>
      </c>
      <c r="E13103" s="37" t="str">
        <f t="shared" si="1020"/>
        <v xml:space="preserve"> </v>
      </c>
      <c r="F13103">
        <v>7.0000000000000007E-2</v>
      </c>
      <c r="G13103" s="37" t="str">
        <f t="shared" si="1021"/>
        <v>Normal Discount</v>
      </c>
      <c r="H13103" s="37" t="str">
        <f t="shared" si="1022"/>
        <v>Low</v>
      </c>
      <c r="I13103">
        <v>1</v>
      </c>
      <c r="J13103" t="str" cm="1">
        <f t="array" ref="J13103">_xlfn.IFS(I13103&lt;=3,"small",I13103&lt;=6,"Medium",I13103&lt;=9,"Large")</f>
        <v>small</v>
      </c>
      <c r="K13103" s="36">
        <v>45372</v>
      </c>
      <c r="L13103" s="36">
        <v>45375</v>
      </c>
      <c r="M13103" t="s">
        <v>598</v>
      </c>
      <c r="N13103" t="s">
        <v>608</v>
      </c>
      <c r="O13103" s="37" t="str">
        <f t="shared" si="1023"/>
        <v>Cash Payment</v>
      </c>
      <c r="P13103">
        <v>89.18</v>
      </c>
      <c r="Q13103" s="37" t="str">
        <f>IF(P13103&gt;500,"High","low")</f>
        <v>low</v>
      </c>
      <c r="R13103" s="37" t="str">
        <f t="shared" si="1024"/>
        <v>AVERAGE</v>
      </c>
      <c r="S13103" t="s">
        <v>620</v>
      </c>
    </row>
    <row r="13104" spans="1:19" x14ac:dyDescent="0.2">
      <c r="A13104" t="s">
        <v>13715</v>
      </c>
      <c r="B13104" t="s">
        <v>75</v>
      </c>
      <c r="C13104" t="s">
        <v>607</v>
      </c>
      <c r="D13104">
        <v>4138.5600000000004</v>
      </c>
      <c r="E13104" s="37" t="str">
        <f t="shared" si="1020"/>
        <v xml:space="preserve"> </v>
      </c>
      <c r="F13104">
        <v>0.33</v>
      </c>
      <c r="G13104" s="37" t="str">
        <f t="shared" si="1021"/>
        <v>Heavy Discount</v>
      </c>
      <c r="H13104" s="37" t="str">
        <f t="shared" si="1022"/>
        <v>Medium</v>
      </c>
      <c r="I13104">
        <v>8</v>
      </c>
      <c r="J13104" t="str" cm="1">
        <f t="array" ref="J13104">_xlfn.IFS(I13104&lt;=3,"small",I13104&lt;=6,"Medium",I13104&lt;=9,"Large")</f>
        <v>Large</v>
      </c>
      <c r="K13104" s="36">
        <v>45048</v>
      </c>
      <c r="L13104" s="36">
        <v>45053</v>
      </c>
      <c r="M13104" t="s">
        <v>598</v>
      </c>
      <c r="N13104" t="s">
        <v>604</v>
      </c>
      <c r="O13104" s="37" t="str">
        <f t="shared" si="1023"/>
        <v>Digital Payment</v>
      </c>
      <c r="P13104">
        <v>547.63</v>
      </c>
      <c r="Q13104" s="37" t="str">
        <f>IF(P13104&gt;500,"High","low")</f>
        <v>High</v>
      </c>
      <c r="R13104" s="37" t="str">
        <f t="shared" si="1024"/>
        <v>Good</v>
      </c>
      <c r="S13104" t="s">
        <v>615</v>
      </c>
    </row>
    <row r="13105" spans="1:19" x14ac:dyDescent="0.2">
      <c r="A13105" t="s">
        <v>13716</v>
      </c>
      <c r="B13105" t="s">
        <v>75</v>
      </c>
      <c r="C13105" t="s">
        <v>617</v>
      </c>
      <c r="D13105">
        <v>637.27</v>
      </c>
      <c r="E13105" s="37" t="str">
        <f t="shared" si="1020"/>
        <v xml:space="preserve"> </v>
      </c>
      <c r="F13105">
        <v>0.4</v>
      </c>
      <c r="G13105" s="37" t="str">
        <f t="shared" si="1021"/>
        <v>Heavy Discount</v>
      </c>
      <c r="H13105" s="37" t="str">
        <f t="shared" si="1022"/>
        <v>Medium</v>
      </c>
      <c r="I13105">
        <v>6</v>
      </c>
      <c r="J13105" t="str" cm="1">
        <f t="array" ref="J13105">_xlfn.IFS(I13105&lt;=3,"small",I13105&lt;=6,"Medium",I13105&lt;=9,"Large")</f>
        <v>Medium</v>
      </c>
      <c r="K13105" s="36">
        <v>45006</v>
      </c>
      <c r="L13105" s="36">
        <v>45010</v>
      </c>
      <c r="M13105" t="s">
        <v>612</v>
      </c>
      <c r="N13105" t="s">
        <v>599</v>
      </c>
      <c r="O13105" s="37" t="str">
        <f t="shared" si="1023"/>
        <v>Digital Payment</v>
      </c>
      <c r="P13105">
        <v>81</v>
      </c>
      <c r="Q13105" s="37" t="str">
        <f>IF(P13105&gt;500,"High","low")</f>
        <v>low</v>
      </c>
      <c r="R13105" s="37" t="str">
        <f t="shared" si="1024"/>
        <v>AVERAGE</v>
      </c>
      <c r="S13105" t="s">
        <v>628</v>
      </c>
    </row>
    <row r="13106" spans="1:19" x14ac:dyDescent="0.2">
      <c r="A13106" t="s">
        <v>13717</v>
      </c>
      <c r="B13106" t="s">
        <v>67</v>
      </c>
      <c r="C13106" t="s">
        <v>602</v>
      </c>
      <c r="D13106">
        <v>2787.57</v>
      </c>
      <c r="E13106" s="37" t="str">
        <f t="shared" si="1020"/>
        <v xml:space="preserve"> </v>
      </c>
      <c r="F13106">
        <v>0.12</v>
      </c>
      <c r="G13106" s="37" t="str">
        <f t="shared" si="1021"/>
        <v>Normal Discount</v>
      </c>
      <c r="H13106" s="37" t="str">
        <f t="shared" si="1022"/>
        <v>Low</v>
      </c>
      <c r="I13106">
        <v>9</v>
      </c>
      <c r="J13106" t="str" cm="1">
        <f t="array" ref="J13106">_xlfn.IFS(I13106&lt;=3,"small",I13106&lt;=6,"Medium",I13106&lt;=9,"Large")</f>
        <v>Large</v>
      </c>
      <c r="K13106" s="36">
        <v>45566</v>
      </c>
      <c r="L13106" s="36">
        <v>45567</v>
      </c>
      <c r="M13106" t="s">
        <v>612</v>
      </c>
      <c r="N13106" t="s">
        <v>604</v>
      </c>
      <c r="O13106" s="37" t="str">
        <f t="shared" si="1023"/>
        <v>Digital Payment</v>
      </c>
      <c r="P13106">
        <v>612.19000000000005</v>
      </c>
      <c r="Q13106" s="37" t="str">
        <f>IF(P13106&gt;500,"High","low")</f>
        <v>High</v>
      </c>
      <c r="R13106" s="37" t="str">
        <f t="shared" si="1024"/>
        <v>Good</v>
      </c>
      <c r="S13106" t="s">
        <v>609</v>
      </c>
    </row>
    <row r="13107" spans="1:19" x14ac:dyDescent="0.2">
      <c r="A13107" t="s">
        <v>13718</v>
      </c>
      <c r="B13107" t="s">
        <v>75</v>
      </c>
      <c r="C13107" t="s">
        <v>607</v>
      </c>
      <c r="D13107">
        <v>2718.99</v>
      </c>
      <c r="E13107" s="37" t="str">
        <f t="shared" si="1020"/>
        <v xml:space="preserve"> </v>
      </c>
      <c r="F13107">
        <v>0.49</v>
      </c>
      <c r="G13107" s="37" t="str">
        <f t="shared" si="1021"/>
        <v>Heavy Discount</v>
      </c>
      <c r="H13107" s="37" t="str">
        <f t="shared" si="1022"/>
        <v>High</v>
      </c>
      <c r="I13107">
        <v>3</v>
      </c>
      <c r="J13107" t="str" cm="1">
        <f t="array" ref="J13107">_xlfn.IFS(I13107&lt;=3,"small",I13107&lt;=6,"Medium",I13107&lt;=9,"Large")</f>
        <v>small</v>
      </c>
      <c r="K13107" s="36">
        <v>45260</v>
      </c>
      <c r="L13107" s="36">
        <v>45265</v>
      </c>
      <c r="M13107" t="s">
        <v>598</v>
      </c>
      <c r="N13107" t="s">
        <v>608</v>
      </c>
      <c r="O13107" s="37" t="str">
        <f t="shared" si="1023"/>
        <v>Cash Payment</v>
      </c>
      <c r="P13107">
        <v>565.34</v>
      </c>
      <c r="Q13107" s="37" t="str">
        <f>IF(P13107&gt;500,"High","low")</f>
        <v>High</v>
      </c>
      <c r="R13107" s="37" t="str">
        <f t="shared" si="1024"/>
        <v>Good</v>
      </c>
      <c r="S13107" t="s">
        <v>600</v>
      </c>
    </row>
    <row r="13108" spans="1:19" x14ac:dyDescent="0.2">
      <c r="A13108" t="s">
        <v>13719</v>
      </c>
      <c r="B13108" t="s">
        <v>67</v>
      </c>
      <c r="C13108" t="s">
        <v>597</v>
      </c>
      <c r="D13108">
        <v>1094.43</v>
      </c>
      <c r="E13108" s="37" t="str">
        <f t="shared" si="1020"/>
        <v xml:space="preserve"> </v>
      </c>
      <c r="F13108">
        <v>7.0000000000000007E-2</v>
      </c>
      <c r="G13108" s="37" t="str">
        <f t="shared" si="1021"/>
        <v>Normal Discount</v>
      </c>
      <c r="H13108" s="37" t="str">
        <f t="shared" si="1022"/>
        <v>Low</v>
      </c>
      <c r="I13108">
        <v>7</v>
      </c>
      <c r="J13108" t="str" cm="1">
        <f t="array" ref="J13108">_xlfn.IFS(I13108&lt;=3,"small",I13108&lt;=6,"Medium",I13108&lt;=9,"Large")</f>
        <v>Large</v>
      </c>
      <c r="K13108" s="36">
        <v>45000</v>
      </c>
      <c r="L13108" s="36">
        <v>45004</v>
      </c>
      <c r="M13108" t="s">
        <v>603</v>
      </c>
      <c r="N13108" t="s">
        <v>608</v>
      </c>
      <c r="O13108" s="37" t="str">
        <f t="shared" si="1023"/>
        <v>Cash Payment</v>
      </c>
      <c r="P13108">
        <v>216.77</v>
      </c>
      <c r="Q13108" s="37" t="str">
        <f>IF(P13108&gt;500,"High","low")</f>
        <v>low</v>
      </c>
      <c r="R13108" s="37" t="str">
        <f t="shared" si="1024"/>
        <v>AVERAGE</v>
      </c>
      <c r="S13108" t="s">
        <v>628</v>
      </c>
    </row>
    <row r="13109" spans="1:19" x14ac:dyDescent="0.2">
      <c r="A13109" t="s">
        <v>13720</v>
      </c>
      <c r="B13109" t="s">
        <v>90</v>
      </c>
      <c r="C13109" t="s">
        <v>617</v>
      </c>
      <c r="D13109">
        <v>2997.65</v>
      </c>
      <c r="E13109" s="37" t="str">
        <f t="shared" si="1020"/>
        <v xml:space="preserve"> </v>
      </c>
      <c r="F13109">
        <v>0.16</v>
      </c>
      <c r="G13109" s="37" t="str">
        <f t="shared" si="1021"/>
        <v>Normal Discount</v>
      </c>
      <c r="H13109" s="37" t="str">
        <f t="shared" si="1022"/>
        <v>Low</v>
      </c>
      <c r="I13109">
        <v>2</v>
      </c>
      <c r="J13109" t="str" cm="1">
        <f t="array" ref="J13109">_xlfn.IFS(I13109&lt;=3,"small",I13109&lt;=6,"Medium",I13109&lt;=9,"Large")</f>
        <v>small</v>
      </c>
      <c r="K13109" s="36">
        <v>45376</v>
      </c>
      <c r="L13109" s="36">
        <v>45381</v>
      </c>
      <c r="M13109" t="s">
        <v>603</v>
      </c>
      <c r="N13109" t="s">
        <v>608</v>
      </c>
      <c r="O13109" s="37" t="str">
        <f t="shared" si="1023"/>
        <v>Cash Payment</v>
      </c>
      <c r="P13109">
        <v>863.33</v>
      </c>
      <c r="Q13109" s="37" t="str">
        <f>IF(P13109&gt;500,"High","low")</f>
        <v>High</v>
      </c>
      <c r="R13109" s="37" t="str">
        <f t="shared" si="1024"/>
        <v>Good</v>
      </c>
      <c r="S13109" t="s">
        <v>609</v>
      </c>
    </row>
    <row r="13110" spans="1:19" x14ac:dyDescent="0.2">
      <c r="A13110" t="s">
        <v>13721</v>
      </c>
      <c r="B13110" t="s">
        <v>83</v>
      </c>
      <c r="C13110" t="s">
        <v>614</v>
      </c>
      <c r="D13110">
        <v>2563.5</v>
      </c>
      <c r="E13110" s="37" t="str">
        <f t="shared" si="1020"/>
        <v xml:space="preserve"> </v>
      </c>
      <c r="F13110">
        <v>0.25</v>
      </c>
      <c r="G13110" s="37" t="str">
        <f t="shared" si="1021"/>
        <v>Normal Discount</v>
      </c>
      <c r="H13110" s="37" t="str">
        <f t="shared" si="1022"/>
        <v>Medium</v>
      </c>
      <c r="I13110">
        <v>5</v>
      </c>
      <c r="J13110" t="str" cm="1">
        <f t="array" ref="J13110">_xlfn.IFS(I13110&lt;=3,"small",I13110&lt;=6,"Medium",I13110&lt;=9,"Large")</f>
        <v>Medium</v>
      </c>
      <c r="K13110" s="36">
        <v>45223</v>
      </c>
      <c r="L13110" s="36">
        <v>45224</v>
      </c>
      <c r="M13110" t="s">
        <v>612</v>
      </c>
      <c r="N13110" t="s">
        <v>604</v>
      </c>
      <c r="O13110" s="37" t="str">
        <f t="shared" si="1023"/>
        <v>Digital Payment</v>
      </c>
      <c r="P13110">
        <v>701.66</v>
      </c>
      <c r="Q13110" s="37" t="str">
        <f>IF(P13110&gt;500,"High","low")</f>
        <v>High</v>
      </c>
      <c r="R13110" s="37" t="str">
        <f t="shared" si="1024"/>
        <v>Good</v>
      </c>
      <c r="S13110" t="s">
        <v>609</v>
      </c>
    </row>
    <row r="13111" spans="1:19" x14ac:dyDescent="0.2">
      <c r="A13111" t="s">
        <v>13722</v>
      </c>
      <c r="B13111" t="s">
        <v>75</v>
      </c>
      <c r="C13111" t="s">
        <v>617</v>
      </c>
      <c r="D13111">
        <v>2595.0300000000002</v>
      </c>
      <c r="E13111" s="37" t="str">
        <f t="shared" si="1020"/>
        <v xml:space="preserve"> </v>
      </c>
      <c r="F13111">
        <v>0.4</v>
      </c>
      <c r="G13111" s="37" t="str">
        <f t="shared" si="1021"/>
        <v>Heavy Discount</v>
      </c>
      <c r="H13111" s="37" t="str">
        <f t="shared" si="1022"/>
        <v>Medium</v>
      </c>
      <c r="I13111">
        <v>1</v>
      </c>
      <c r="J13111" t="str" cm="1">
        <f t="array" ref="J13111">_xlfn.IFS(I13111&lt;=3,"small",I13111&lt;=6,"Medium",I13111&lt;=9,"Large")</f>
        <v>small</v>
      </c>
      <c r="K13111" s="36">
        <v>45012</v>
      </c>
      <c r="L13111" s="36">
        <v>45013</v>
      </c>
      <c r="M13111" t="s">
        <v>603</v>
      </c>
      <c r="N13111" t="s">
        <v>599</v>
      </c>
      <c r="O13111" s="37" t="str">
        <f t="shared" si="1023"/>
        <v>Digital Payment</v>
      </c>
      <c r="P13111">
        <v>333.47</v>
      </c>
      <c r="Q13111" s="37" t="str">
        <f>IF(P13111&gt;500,"High","low")</f>
        <v>low</v>
      </c>
      <c r="R13111" s="37" t="str">
        <f t="shared" si="1024"/>
        <v>AVERAGE</v>
      </c>
      <c r="S13111" t="s">
        <v>605</v>
      </c>
    </row>
    <row r="13112" spans="1:19" x14ac:dyDescent="0.2">
      <c r="A13112" t="s">
        <v>13723</v>
      </c>
      <c r="B13112" t="s">
        <v>83</v>
      </c>
      <c r="C13112" t="s">
        <v>602</v>
      </c>
      <c r="D13112">
        <v>1862.53</v>
      </c>
      <c r="E13112" s="37" t="str">
        <f t="shared" si="1020"/>
        <v xml:space="preserve"> </v>
      </c>
      <c r="F13112">
        <v>0.19</v>
      </c>
      <c r="G13112" s="37" t="str">
        <f t="shared" si="1021"/>
        <v>Normal Discount</v>
      </c>
      <c r="H13112" s="37" t="str">
        <f t="shared" si="1022"/>
        <v>Low</v>
      </c>
      <c r="I13112">
        <v>5</v>
      </c>
      <c r="J13112" t="str" cm="1">
        <f t="array" ref="J13112">_xlfn.IFS(I13112&lt;=3,"small",I13112&lt;=6,"Medium",I13112&lt;=9,"Large")</f>
        <v>Medium</v>
      </c>
      <c r="K13112" s="36">
        <v>45630</v>
      </c>
      <c r="L13112" s="36">
        <v>45635</v>
      </c>
      <c r="M13112" t="s">
        <v>603</v>
      </c>
      <c r="N13112" t="s">
        <v>599</v>
      </c>
      <c r="O13112" s="37" t="str">
        <f t="shared" si="1023"/>
        <v>Digital Payment</v>
      </c>
      <c r="P13112">
        <v>209.06</v>
      </c>
      <c r="Q13112" s="37" t="str">
        <f>IF(P13112&gt;500,"High","low")</f>
        <v>low</v>
      </c>
      <c r="R13112" s="37" t="str">
        <f t="shared" si="1024"/>
        <v>AVERAGE</v>
      </c>
      <c r="S13112" t="s">
        <v>605</v>
      </c>
    </row>
    <row r="13113" spans="1:19" x14ac:dyDescent="0.2">
      <c r="A13113" t="s">
        <v>13724</v>
      </c>
      <c r="B13113" t="s">
        <v>90</v>
      </c>
      <c r="C13113" t="s">
        <v>614</v>
      </c>
      <c r="D13113">
        <v>4208.3</v>
      </c>
      <c r="E13113" s="37" t="str">
        <f t="shared" si="1020"/>
        <v>Excellent Order</v>
      </c>
      <c r="F13113">
        <v>0.09</v>
      </c>
      <c r="G13113" s="37" t="str">
        <f t="shared" si="1021"/>
        <v>Normal Discount</v>
      </c>
      <c r="H13113" s="37" t="str">
        <f t="shared" si="1022"/>
        <v>Low</v>
      </c>
      <c r="I13113">
        <v>8</v>
      </c>
      <c r="J13113" t="str" cm="1">
        <f t="array" ref="J13113">_xlfn.IFS(I13113&lt;=3,"small",I13113&lt;=6,"Medium",I13113&lt;=9,"Large")</f>
        <v>Large</v>
      </c>
      <c r="K13113" s="36">
        <v>45426</v>
      </c>
      <c r="L13113" s="36">
        <v>45432</v>
      </c>
      <c r="M13113" t="s">
        <v>598</v>
      </c>
      <c r="N13113" t="s">
        <v>604</v>
      </c>
      <c r="O13113" s="37" t="str">
        <f t="shared" si="1023"/>
        <v>Digital Payment</v>
      </c>
      <c r="P13113">
        <v>1181.2</v>
      </c>
      <c r="Q13113" s="37" t="str">
        <f>IF(P13113&gt;500,"High","low")</f>
        <v>High</v>
      </c>
      <c r="R13113" s="37" t="str">
        <f t="shared" si="1024"/>
        <v>Excellent</v>
      </c>
      <c r="S13113" t="s">
        <v>620</v>
      </c>
    </row>
    <row r="13114" spans="1:19" x14ac:dyDescent="0.2">
      <c r="A13114" t="s">
        <v>13725</v>
      </c>
      <c r="B13114" t="s">
        <v>90</v>
      </c>
      <c r="C13114" t="s">
        <v>602</v>
      </c>
      <c r="D13114">
        <v>513.41999999999996</v>
      </c>
      <c r="E13114" s="37" t="str">
        <f t="shared" si="1020"/>
        <v xml:space="preserve"> </v>
      </c>
      <c r="F13114">
        <v>0.23</v>
      </c>
      <c r="G13114" s="37" t="str">
        <f t="shared" si="1021"/>
        <v>Normal Discount</v>
      </c>
      <c r="H13114" s="37" t="str">
        <f t="shared" si="1022"/>
        <v>Medium</v>
      </c>
      <c r="I13114">
        <v>3</v>
      </c>
      <c r="J13114" t="str" cm="1">
        <f t="array" ref="J13114">_xlfn.IFS(I13114&lt;=3,"small",I13114&lt;=6,"Medium",I13114&lt;=9,"Large")</f>
        <v>small</v>
      </c>
      <c r="K13114" s="36">
        <v>45049</v>
      </c>
      <c r="L13114" s="36">
        <v>45054</v>
      </c>
      <c r="M13114" t="s">
        <v>612</v>
      </c>
      <c r="N13114" t="s">
        <v>608</v>
      </c>
      <c r="O13114" s="37" t="str">
        <f t="shared" si="1023"/>
        <v>Cash Payment</v>
      </c>
      <c r="P13114">
        <v>52.41</v>
      </c>
      <c r="Q13114" s="37" t="str">
        <f>IF(P13114&gt;500,"High","low")</f>
        <v>low</v>
      </c>
      <c r="R13114" s="37" t="str">
        <f t="shared" si="1024"/>
        <v>AVERAGE</v>
      </c>
      <c r="S13114" t="s">
        <v>615</v>
      </c>
    </row>
    <row r="13115" spans="1:19" x14ac:dyDescent="0.2">
      <c r="A13115" t="s">
        <v>13726</v>
      </c>
      <c r="B13115" t="s">
        <v>75</v>
      </c>
      <c r="C13115" t="s">
        <v>602</v>
      </c>
      <c r="D13115">
        <v>2249.25</v>
      </c>
      <c r="E13115" s="37" t="str">
        <f t="shared" si="1020"/>
        <v xml:space="preserve"> </v>
      </c>
      <c r="F13115">
        <v>0.24</v>
      </c>
      <c r="G13115" s="37" t="str">
        <f t="shared" si="1021"/>
        <v>Normal Discount</v>
      </c>
      <c r="H13115" s="37" t="str">
        <f t="shared" si="1022"/>
        <v>Medium</v>
      </c>
      <c r="I13115">
        <v>6</v>
      </c>
      <c r="J13115" t="str" cm="1">
        <f t="array" ref="J13115">_xlfn.IFS(I13115&lt;=3,"small",I13115&lt;=6,"Medium",I13115&lt;=9,"Large")</f>
        <v>Medium</v>
      </c>
      <c r="K13115" s="36">
        <v>45565</v>
      </c>
      <c r="L13115" s="36">
        <v>45568</v>
      </c>
      <c r="M13115" t="s">
        <v>603</v>
      </c>
      <c r="N13115" t="s">
        <v>608</v>
      </c>
      <c r="O13115" s="37" t="str">
        <f t="shared" si="1023"/>
        <v>Cash Payment</v>
      </c>
      <c r="P13115">
        <v>661.93</v>
      </c>
      <c r="Q13115" s="37" t="str">
        <f>IF(P13115&gt;500,"High","low")</f>
        <v>High</v>
      </c>
      <c r="R13115" s="37" t="str">
        <f t="shared" si="1024"/>
        <v>Good</v>
      </c>
      <c r="S13115" t="s">
        <v>605</v>
      </c>
    </row>
    <row r="13116" spans="1:19" x14ac:dyDescent="0.2">
      <c r="A13116" t="s">
        <v>13727</v>
      </c>
      <c r="B13116" t="s">
        <v>90</v>
      </c>
      <c r="C13116" t="s">
        <v>597</v>
      </c>
      <c r="D13116">
        <v>1373.1</v>
      </c>
      <c r="E13116" s="37" t="str">
        <f t="shared" si="1020"/>
        <v xml:space="preserve"> </v>
      </c>
      <c r="F13116">
        <v>0.01</v>
      </c>
      <c r="G13116" s="37" t="str">
        <f t="shared" si="1021"/>
        <v>Normal Discount</v>
      </c>
      <c r="H13116" s="37" t="str">
        <f t="shared" si="1022"/>
        <v>Low</v>
      </c>
      <c r="I13116">
        <v>4</v>
      </c>
      <c r="J13116" t="str" cm="1">
        <f t="array" ref="J13116">_xlfn.IFS(I13116&lt;=3,"small",I13116&lt;=6,"Medium",I13116&lt;=9,"Large")</f>
        <v>Medium</v>
      </c>
      <c r="K13116" s="36">
        <v>45355</v>
      </c>
      <c r="L13116" s="36">
        <v>45357</v>
      </c>
      <c r="M13116" t="s">
        <v>603</v>
      </c>
      <c r="N13116" t="s">
        <v>599</v>
      </c>
      <c r="O13116" s="37" t="str">
        <f t="shared" si="1023"/>
        <v>Digital Payment</v>
      </c>
      <c r="P13116">
        <v>142.61000000000001</v>
      </c>
      <c r="Q13116" s="37" t="str">
        <f>IF(P13116&gt;500,"High","low")</f>
        <v>low</v>
      </c>
      <c r="R13116" s="37" t="str">
        <f t="shared" si="1024"/>
        <v>AVERAGE</v>
      </c>
      <c r="S13116" t="s">
        <v>615</v>
      </c>
    </row>
    <row r="13117" spans="1:19" x14ac:dyDescent="0.2">
      <c r="A13117" t="s">
        <v>13728</v>
      </c>
      <c r="B13117" t="s">
        <v>83</v>
      </c>
      <c r="C13117" t="s">
        <v>607</v>
      </c>
      <c r="D13117">
        <v>4257.32</v>
      </c>
      <c r="E13117" s="37" t="str">
        <f t="shared" si="1020"/>
        <v xml:space="preserve"> </v>
      </c>
      <c r="F13117">
        <v>0.01</v>
      </c>
      <c r="G13117" s="37" t="str">
        <f t="shared" si="1021"/>
        <v>Normal Discount</v>
      </c>
      <c r="H13117" s="37" t="str">
        <f t="shared" si="1022"/>
        <v>Low</v>
      </c>
      <c r="I13117">
        <v>8</v>
      </c>
      <c r="J13117" t="str" cm="1">
        <f t="array" ref="J13117">_xlfn.IFS(I13117&lt;=3,"small",I13117&lt;=6,"Medium",I13117&lt;=9,"Large")</f>
        <v>Large</v>
      </c>
      <c r="K13117" s="36">
        <v>45468</v>
      </c>
      <c r="L13117" s="36">
        <v>45472</v>
      </c>
      <c r="M13117" t="s">
        <v>612</v>
      </c>
      <c r="N13117" t="s">
        <v>604</v>
      </c>
      <c r="O13117" s="37" t="str">
        <f t="shared" si="1023"/>
        <v>Digital Payment</v>
      </c>
      <c r="P13117">
        <v>328.11</v>
      </c>
      <c r="Q13117" s="37" t="str">
        <f>IF(P13117&gt;500,"High","low")</f>
        <v>low</v>
      </c>
      <c r="R13117" s="37" t="str">
        <f t="shared" si="1024"/>
        <v>AVERAGE</v>
      </c>
      <c r="S13117" t="s">
        <v>605</v>
      </c>
    </row>
    <row r="13118" spans="1:19" x14ac:dyDescent="0.2">
      <c r="A13118" t="s">
        <v>13729</v>
      </c>
      <c r="B13118" t="s">
        <v>75</v>
      </c>
      <c r="C13118" t="s">
        <v>597</v>
      </c>
      <c r="D13118">
        <v>1202.8900000000001</v>
      </c>
      <c r="E13118" s="37" t="str">
        <f t="shared" si="1020"/>
        <v xml:space="preserve"> </v>
      </c>
      <c r="F13118">
        <v>0.14000000000000001</v>
      </c>
      <c r="G13118" s="37" t="str">
        <f t="shared" si="1021"/>
        <v>Normal Discount</v>
      </c>
      <c r="H13118" s="37" t="str">
        <f t="shared" si="1022"/>
        <v>Low</v>
      </c>
      <c r="I13118">
        <v>2</v>
      </c>
      <c r="J13118" t="str" cm="1">
        <f t="array" ref="J13118">_xlfn.IFS(I13118&lt;=3,"small",I13118&lt;=6,"Medium",I13118&lt;=9,"Large")</f>
        <v>small</v>
      </c>
      <c r="K13118" s="36">
        <v>45093</v>
      </c>
      <c r="L13118" s="36">
        <v>45099</v>
      </c>
      <c r="M13118" t="s">
        <v>603</v>
      </c>
      <c r="N13118" t="s">
        <v>599</v>
      </c>
      <c r="O13118" s="37" t="str">
        <f t="shared" si="1023"/>
        <v>Digital Payment</v>
      </c>
      <c r="P13118">
        <v>177.63</v>
      </c>
      <c r="Q13118" s="37" t="str">
        <f>IF(P13118&gt;500,"High","low")</f>
        <v>low</v>
      </c>
      <c r="R13118" s="37" t="str">
        <f t="shared" si="1024"/>
        <v>AVERAGE</v>
      </c>
      <c r="S13118" t="s">
        <v>628</v>
      </c>
    </row>
    <row r="13119" spans="1:19" x14ac:dyDescent="0.2">
      <c r="A13119" t="s">
        <v>13730</v>
      </c>
      <c r="B13119" t="s">
        <v>67</v>
      </c>
      <c r="C13119" t="s">
        <v>597</v>
      </c>
      <c r="D13119">
        <v>3858.42</v>
      </c>
      <c r="E13119" s="37" t="str">
        <f t="shared" si="1020"/>
        <v xml:space="preserve"> </v>
      </c>
      <c r="F13119">
        <v>0.37</v>
      </c>
      <c r="G13119" s="37" t="str">
        <f t="shared" si="1021"/>
        <v>Heavy Discount</v>
      </c>
      <c r="H13119" s="37" t="str">
        <f t="shared" si="1022"/>
        <v>Medium</v>
      </c>
      <c r="I13119">
        <v>5</v>
      </c>
      <c r="J13119" t="str" cm="1">
        <f t="array" ref="J13119">_xlfn.IFS(I13119&lt;=3,"small",I13119&lt;=6,"Medium",I13119&lt;=9,"Large")</f>
        <v>Medium</v>
      </c>
      <c r="K13119" s="36">
        <v>45585</v>
      </c>
      <c r="L13119" s="36">
        <v>45586</v>
      </c>
      <c r="M13119" t="s">
        <v>612</v>
      </c>
      <c r="N13119" t="s">
        <v>604</v>
      </c>
      <c r="O13119" s="37" t="str">
        <f t="shared" si="1023"/>
        <v>Digital Payment</v>
      </c>
      <c r="P13119">
        <v>1062.02</v>
      </c>
      <c r="Q13119" s="37" t="str">
        <f>IF(P13119&gt;500,"High","low")</f>
        <v>High</v>
      </c>
      <c r="R13119" s="37" t="str">
        <f t="shared" si="1024"/>
        <v>Excellent</v>
      </c>
      <c r="S13119" t="s">
        <v>600</v>
      </c>
    </row>
    <row r="13120" spans="1:19" x14ac:dyDescent="0.2">
      <c r="A13120" t="s">
        <v>13731</v>
      </c>
      <c r="B13120" t="s">
        <v>75</v>
      </c>
      <c r="C13120" t="s">
        <v>597</v>
      </c>
      <c r="D13120">
        <v>3096.43</v>
      </c>
      <c r="E13120" s="37" t="str">
        <f t="shared" si="1020"/>
        <v xml:space="preserve"> </v>
      </c>
      <c r="F13120">
        <v>0.18</v>
      </c>
      <c r="G13120" s="37" t="str">
        <f t="shared" si="1021"/>
        <v>Normal Discount</v>
      </c>
      <c r="H13120" s="37" t="str">
        <f t="shared" si="1022"/>
        <v>Low</v>
      </c>
      <c r="I13120">
        <v>6</v>
      </c>
      <c r="J13120" t="str" cm="1">
        <f t="array" ref="J13120">_xlfn.IFS(I13120&lt;=3,"small",I13120&lt;=6,"Medium",I13120&lt;=9,"Large")</f>
        <v>Medium</v>
      </c>
      <c r="K13120" s="36">
        <v>45357</v>
      </c>
      <c r="L13120" s="36">
        <v>45358</v>
      </c>
      <c r="M13120" t="s">
        <v>598</v>
      </c>
      <c r="N13120" t="s">
        <v>599</v>
      </c>
      <c r="O13120" s="37" t="str">
        <f t="shared" si="1023"/>
        <v>Digital Payment</v>
      </c>
      <c r="P13120">
        <v>720.97</v>
      </c>
      <c r="Q13120" s="37" t="str">
        <f>IF(P13120&gt;500,"High","low")</f>
        <v>High</v>
      </c>
      <c r="R13120" s="37" t="str">
        <f t="shared" si="1024"/>
        <v>Good</v>
      </c>
      <c r="S13120" t="s">
        <v>605</v>
      </c>
    </row>
    <row r="13121" spans="1:19" x14ac:dyDescent="0.2">
      <c r="A13121" t="s">
        <v>13732</v>
      </c>
      <c r="B13121" t="s">
        <v>83</v>
      </c>
      <c r="C13121" t="s">
        <v>614</v>
      </c>
      <c r="D13121">
        <v>4386.47</v>
      </c>
      <c r="E13121" s="37" t="str">
        <f t="shared" si="1020"/>
        <v>Excellent Order</v>
      </c>
      <c r="F13121">
        <v>0.11</v>
      </c>
      <c r="G13121" s="37" t="str">
        <f t="shared" si="1021"/>
        <v>Normal Discount</v>
      </c>
      <c r="H13121" s="37" t="str">
        <f t="shared" si="1022"/>
        <v>Low</v>
      </c>
      <c r="I13121">
        <v>8</v>
      </c>
      <c r="J13121" t="str" cm="1">
        <f t="array" ref="J13121">_xlfn.IFS(I13121&lt;=3,"small",I13121&lt;=6,"Medium",I13121&lt;=9,"Large")</f>
        <v>Large</v>
      </c>
      <c r="K13121" s="36">
        <v>44964</v>
      </c>
      <c r="L13121" s="36">
        <v>44968</v>
      </c>
      <c r="M13121" t="s">
        <v>612</v>
      </c>
      <c r="N13121" t="s">
        <v>608</v>
      </c>
      <c r="O13121" s="37" t="str">
        <f t="shared" si="1023"/>
        <v>Cash Payment</v>
      </c>
      <c r="P13121">
        <v>875.75</v>
      </c>
      <c r="Q13121" s="37" t="str">
        <f>IF(P13121&gt;500,"High","low")</f>
        <v>High</v>
      </c>
      <c r="R13121" s="37" t="str">
        <f t="shared" si="1024"/>
        <v>Good</v>
      </c>
      <c r="S13121" t="s">
        <v>615</v>
      </c>
    </row>
    <row r="13122" spans="1:19" x14ac:dyDescent="0.2">
      <c r="A13122" t="s">
        <v>13733</v>
      </c>
      <c r="B13122" t="s">
        <v>75</v>
      </c>
      <c r="C13122" t="s">
        <v>607</v>
      </c>
      <c r="D13122">
        <v>3009.59</v>
      </c>
      <c r="E13122" s="37" t="str">
        <f t="shared" si="1020"/>
        <v xml:space="preserve"> </v>
      </c>
      <c r="F13122">
        <v>0.06</v>
      </c>
      <c r="G13122" s="37" t="str">
        <f t="shared" si="1021"/>
        <v>Normal Discount</v>
      </c>
      <c r="H13122" s="37" t="str">
        <f t="shared" si="1022"/>
        <v>Low</v>
      </c>
      <c r="I13122">
        <v>2</v>
      </c>
      <c r="J13122" t="str" cm="1">
        <f t="array" ref="J13122">_xlfn.IFS(I13122&lt;=3,"small",I13122&lt;=6,"Medium",I13122&lt;=9,"Large")</f>
        <v>small</v>
      </c>
      <c r="K13122" s="36">
        <v>45327</v>
      </c>
      <c r="L13122" s="36">
        <v>45333</v>
      </c>
      <c r="M13122" t="s">
        <v>598</v>
      </c>
      <c r="N13122" t="s">
        <v>599</v>
      </c>
      <c r="O13122" s="37" t="str">
        <f t="shared" si="1023"/>
        <v>Digital Payment</v>
      </c>
      <c r="P13122">
        <v>678.34</v>
      </c>
      <c r="Q13122" s="37" t="str">
        <f>IF(P13122&gt;500,"High","low")</f>
        <v>High</v>
      </c>
      <c r="R13122" s="37" t="str">
        <f t="shared" si="1024"/>
        <v>Good</v>
      </c>
      <c r="S13122" t="s">
        <v>615</v>
      </c>
    </row>
    <row r="13123" spans="1:19" x14ac:dyDescent="0.2">
      <c r="A13123" t="s">
        <v>13734</v>
      </c>
      <c r="B13123" t="s">
        <v>75</v>
      </c>
      <c r="C13123" t="s">
        <v>607</v>
      </c>
      <c r="D13123">
        <v>2826.77</v>
      </c>
      <c r="E13123" s="37" t="str">
        <f t="shared" ref="E13123:E13186" si="1025">IF(AND(D13123&gt;4000,P13123&gt;800),"Excellent Order"," ")</f>
        <v xml:space="preserve"> </v>
      </c>
      <c r="F13123">
        <v>0.14000000000000001</v>
      </c>
      <c r="G13123" s="37" t="str">
        <f t="shared" ref="G13123:G13186" si="1026">IF(F13123&gt;30%,"Heavy Discount","Normal Discount")</f>
        <v>Normal Discount</v>
      </c>
      <c r="H13123" s="37" t="str">
        <f t="shared" ref="H13123:H13186" si="1027">IF(F13123&gt;0.4,"High",IF(F13123&gt;=0.2,"Medium","Low"))</f>
        <v>Low</v>
      </c>
      <c r="I13123">
        <v>9</v>
      </c>
      <c r="J13123" t="str" cm="1">
        <f t="array" ref="J13123">_xlfn.IFS(I13123&lt;=3,"small",I13123&lt;=6,"Medium",I13123&lt;=9,"Large")</f>
        <v>Large</v>
      </c>
      <c r="K13123" s="36">
        <v>45539</v>
      </c>
      <c r="L13123" s="36">
        <v>45544</v>
      </c>
      <c r="M13123" t="s">
        <v>603</v>
      </c>
      <c r="N13123" t="s">
        <v>604</v>
      </c>
      <c r="O13123" s="37" t="str">
        <f t="shared" ref="O13123:O13186" si="1028">IF(OR(N13123="Card",N13123="UPI"),"Digital Payment","Cash Payment")</f>
        <v>Digital Payment</v>
      </c>
      <c r="P13123">
        <v>508.93</v>
      </c>
      <c r="Q13123" s="37" t="str">
        <f>IF(P13123&gt;500,"High","low")</f>
        <v>High</v>
      </c>
      <c r="R13123" s="37" t="str">
        <f t="shared" ref="R13123:R13186" si="1029">IF(P13123&gt;1000,"Excellent",IF(P13123&gt;=500,"Good","AVERAGE"))</f>
        <v>Good</v>
      </c>
      <c r="S13123" t="s">
        <v>605</v>
      </c>
    </row>
    <row r="13124" spans="1:19" x14ac:dyDescent="0.2">
      <c r="A13124" t="s">
        <v>13735</v>
      </c>
      <c r="B13124" t="s">
        <v>83</v>
      </c>
      <c r="C13124" t="s">
        <v>614</v>
      </c>
      <c r="D13124">
        <v>4025.54</v>
      </c>
      <c r="E13124" s="37" t="str">
        <f t="shared" si="1025"/>
        <v xml:space="preserve"> </v>
      </c>
      <c r="F13124">
        <v>0.24</v>
      </c>
      <c r="G13124" s="37" t="str">
        <f t="shared" si="1026"/>
        <v>Normal Discount</v>
      </c>
      <c r="H13124" s="37" t="str">
        <f t="shared" si="1027"/>
        <v>Medium</v>
      </c>
      <c r="I13124">
        <v>7</v>
      </c>
      <c r="J13124" t="str" cm="1">
        <f t="array" ref="J13124">_xlfn.IFS(I13124&lt;=3,"small",I13124&lt;=6,"Medium",I13124&lt;=9,"Large")</f>
        <v>Large</v>
      </c>
      <c r="K13124" s="36">
        <v>45517</v>
      </c>
      <c r="L13124" s="36">
        <v>45520</v>
      </c>
      <c r="M13124" t="s">
        <v>598</v>
      </c>
      <c r="N13124" t="s">
        <v>608</v>
      </c>
      <c r="O13124" s="37" t="str">
        <f t="shared" si="1028"/>
        <v>Cash Payment</v>
      </c>
      <c r="P13124">
        <v>521.13</v>
      </c>
      <c r="Q13124" s="37" t="str">
        <f>IF(P13124&gt;500,"High","low")</f>
        <v>High</v>
      </c>
      <c r="R13124" s="37" t="str">
        <f t="shared" si="1029"/>
        <v>Good</v>
      </c>
      <c r="S13124" t="s">
        <v>620</v>
      </c>
    </row>
    <row r="13125" spans="1:19" x14ac:dyDescent="0.2">
      <c r="A13125" t="s">
        <v>13736</v>
      </c>
      <c r="B13125" t="s">
        <v>75</v>
      </c>
      <c r="C13125" t="s">
        <v>597</v>
      </c>
      <c r="D13125">
        <v>2856.18</v>
      </c>
      <c r="E13125" s="37" t="str">
        <f t="shared" si="1025"/>
        <v xml:space="preserve"> </v>
      </c>
      <c r="F13125">
        <v>0.05</v>
      </c>
      <c r="G13125" s="37" t="str">
        <f t="shared" si="1026"/>
        <v>Normal Discount</v>
      </c>
      <c r="H13125" s="37" t="str">
        <f t="shared" si="1027"/>
        <v>Low</v>
      </c>
      <c r="I13125">
        <v>4</v>
      </c>
      <c r="J13125" t="str" cm="1">
        <f t="array" ref="J13125">_xlfn.IFS(I13125&lt;=3,"small",I13125&lt;=6,"Medium",I13125&lt;=9,"Large")</f>
        <v>Medium</v>
      </c>
      <c r="K13125" s="36">
        <v>45028</v>
      </c>
      <c r="L13125" s="36">
        <v>45034</v>
      </c>
      <c r="M13125" t="s">
        <v>603</v>
      </c>
      <c r="N13125" t="s">
        <v>599</v>
      </c>
      <c r="O13125" s="37" t="str">
        <f t="shared" si="1028"/>
        <v>Digital Payment</v>
      </c>
      <c r="P13125">
        <v>497.69</v>
      </c>
      <c r="Q13125" s="37" t="str">
        <f>IF(P13125&gt;500,"High","low")</f>
        <v>low</v>
      </c>
      <c r="R13125" s="37" t="str">
        <f t="shared" si="1029"/>
        <v>AVERAGE</v>
      </c>
      <c r="S13125" t="s">
        <v>600</v>
      </c>
    </row>
    <row r="13126" spans="1:19" x14ac:dyDescent="0.2">
      <c r="A13126" t="s">
        <v>13737</v>
      </c>
      <c r="B13126" t="s">
        <v>75</v>
      </c>
      <c r="C13126" t="s">
        <v>597</v>
      </c>
      <c r="D13126">
        <v>4238.26</v>
      </c>
      <c r="E13126" s="37" t="str">
        <f t="shared" si="1025"/>
        <v xml:space="preserve"> </v>
      </c>
      <c r="F13126">
        <v>0.01</v>
      </c>
      <c r="G13126" s="37" t="str">
        <f t="shared" si="1026"/>
        <v>Normal Discount</v>
      </c>
      <c r="H13126" s="37" t="str">
        <f t="shared" si="1027"/>
        <v>Low</v>
      </c>
      <c r="I13126">
        <v>2</v>
      </c>
      <c r="J13126" t="str" cm="1">
        <f t="array" ref="J13126">_xlfn.IFS(I13126&lt;=3,"small",I13126&lt;=6,"Medium",I13126&lt;=9,"Large")</f>
        <v>small</v>
      </c>
      <c r="K13126" s="36">
        <v>45417</v>
      </c>
      <c r="L13126" s="36">
        <v>45421</v>
      </c>
      <c r="M13126" t="s">
        <v>598</v>
      </c>
      <c r="N13126" t="s">
        <v>599</v>
      </c>
      <c r="O13126" s="37" t="str">
        <f t="shared" si="1028"/>
        <v>Digital Payment</v>
      </c>
      <c r="P13126">
        <v>614.33000000000004</v>
      </c>
      <c r="Q13126" s="37" t="str">
        <f>IF(P13126&gt;500,"High","low")</f>
        <v>High</v>
      </c>
      <c r="R13126" s="37" t="str">
        <f t="shared" si="1029"/>
        <v>Good</v>
      </c>
      <c r="S13126" t="s">
        <v>615</v>
      </c>
    </row>
    <row r="13127" spans="1:19" x14ac:dyDescent="0.2">
      <c r="A13127" t="s">
        <v>13738</v>
      </c>
      <c r="B13127" t="s">
        <v>83</v>
      </c>
      <c r="C13127" t="s">
        <v>602</v>
      </c>
      <c r="D13127">
        <v>341.66</v>
      </c>
      <c r="E13127" s="37" t="str">
        <f t="shared" si="1025"/>
        <v xml:space="preserve"> </v>
      </c>
      <c r="F13127">
        <v>0.06</v>
      </c>
      <c r="G13127" s="37" t="str">
        <f t="shared" si="1026"/>
        <v>Normal Discount</v>
      </c>
      <c r="H13127" s="37" t="str">
        <f t="shared" si="1027"/>
        <v>Low</v>
      </c>
      <c r="I13127">
        <v>8</v>
      </c>
      <c r="J13127" t="str" cm="1">
        <f t="array" ref="J13127">_xlfn.IFS(I13127&lt;=3,"small",I13127&lt;=6,"Medium",I13127&lt;=9,"Large")</f>
        <v>Large</v>
      </c>
      <c r="K13127" s="36">
        <v>45601</v>
      </c>
      <c r="L13127" s="36">
        <v>45606</v>
      </c>
      <c r="M13127" t="s">
        <v>612</v>
      </c>
      <c r="N13127" t="s">
        <v>599</v>
      </c>
      <c r="O13127" s="37" t="str">
        <f t="shared" si="1028"/>
        <v>Digital Payment</v>
      </c>
      <c r="P13127">
        <v>82.68</v>
      </c>
      <c r="Q13127" s="37" t="str">
        <f>IF(P13127&gt;500,"High","low")</f>
        <v>low</v>
      </c>
      <c r="R13127" s="37" t="str">
        <f t="shared" si="1029"/>
        <v>AVERAGE</v>
      </c>
      <c r="S13127" t="s">
        <v>600</v>
      </c>
    </row>
    <row r="13128" spans="1:19" x14ac:dyDescent="0.2">
      <c r="A13128" t="s">
        <v>13739</v>
      </c>
      <c r="B13128" t="s">
        <v>90</v>
      </c>
      <c r="C13128" t="s">
        <v>602</v>
      </c>
      <c r="D13128">
        <v>2526.23</v>
      </c>
      <c r="E13128" s="37" t="str">
        <f t="shared" si="1025"/>
        <v xml:space="preserve"> </v>
      </c>
      <c r="F13128">
        <v>0.37</v>
      </c>
      <c r="G13128" s="37" t="str">
        <f t="shared" si="1026"/>
        <v>Heavy Discount</v>
      </c>
      <c r="H13128" s="37" t="str">
        <f t="shared" si="1027"/>
        <v>Medium</v>
      </c>
      <c r="I13128">
        <v>2</v>
      </c>
      <c r="J13128" t="str" cm="1">
        <f t="array" ref="J13128">_xlfn.IFS(I13128&lt;=3,"small",I13128&lt;=6,"Medium",I13128&lt;=9,"Large")</f>
        <v>small</v>
      </c>
      <c r="K13128" s="36">
        <v>45391</v>
      </c>
      <c r="L13128" s="36">
        <v>45392</v>
      </c>
      <c r="M13128" t="s">
        <v>603</v>
      </c>
      <c r="N13128" t="s">
        <v>604</v>
      </c>
      <c r="O13128" s="37" t="str">
        <f t="shared" si="1028"/>
        <v>Digital Payment</v>
      </c>
      <c r="P13128">
        <v>231.61</v>
      </c>
      <c r="Q13128" s="37" t="str">
        <f>IF(P13128&gt;500,"High","low")</f>
        <v>low</v>
      </c>
      <c r="R13128" s="37" t="str">
        <f t="shared" si="1029"/>
        <v>AVERAGE</v>
      </c>
      <c r="S13128" t="s">
        <v>609</v>
      </c>
    </row>
    <row r="13129" spans="1:19" x14ac:dyDescent="0.2">
      <c r="A13129" t="s">
        <v>13740</v>
      </c>
      <c r="B13129" t="s">
        <v>83</v>
      </c>
      <c r="C13129" t="s">
        <v>617</v>
      </c>
      <c r="D13129">
        <v>4082.19</v>
      </c>
      <c r="E13129" s="37" t="str">
        <f t="shared" si="1025"/>
        <v xml:space="preserve"> </v>
      </c>
      <c r="F13129">
        <v>0.23</v>
      </c>
      <c r="G13129" s="37" t="str">
        <f t="shared" si="1026"/>
        <v>Normal Discount</v>
      </c>
      <c r="H13129" s="37" t="str">
        <f t="shared" si="1027"/>
        <v>Medium</v>
      </c>
      <c r="I13129">
        <v>2</v>
      </c>
      <c r="J13129" t="str" cm="1">
        <f t="array" ref="J13129">_xlfn.IFS(I13129&lt;=3,"small",I13129&lt;=6,"Medium",I13129&lt;=9,"Large")</f>
        <v>small</v>
      </c>
      <c r="K13129" s="36">
        <v>45523</v>
      </c>
      <c r="L13129" s="36">
        <v>45528</v>
      </c>
      <c r="M13129" t="s">
        <v>603</v>
      </c>
      <c r="N13129" t="s">
        <v>604</v>
      </c>
      <c r="O13129" s="37" t="str">
        <f t="shared" si="1028"/>
        <v>Digital Payment</v>
      </c>
      <c r="P13129">
        <v>663.21</v>
      </c>
      <c r="Q13129" s="37" t="str">
        <f>IF(P13129&gt;500,"High","low")</f>
        <v>High</v>
      </c>
      <c r="R13129" s="37" t="str">
        <f t="shared" si="1029"/>
        <v>Good</v>
      </c>
      <c r="S13129" t="s">
        <v>609</v>
      </c>
    </row>
    <row r="13130" spans="1:19" x14ac:dyDescent="0.2">
      <c r="A13130" t="s">
        <v>13741</v>
      </c>
      <c r="B13130" t="s">
        <v>75</v>
      </c>
      <c r="C13130" t="s">
        <v>602</v>
      </c>
      <c r="D13130">
        <v>4256.99</v>
      </c>
      <c r="E13130" s="37" t="str">
        <f t="shared" si="1025"/>
        <v xml:space="preserve"> </v>
      </c>
      <c r="F13130">
        <v>0.22</v>
      </c>
      <c r="G13130" s="37" t="str">
        <f t="shared" si="1026"/>
        <v>Normal Discount</v>
      </c>
      <c r="H13130" s="37" t="str">
        <f t="shared" si="1027"/>
        <v>Medium</v>
      </c>
      <c r="I13130">
        <v>9</v>
      </c>
      <c r="J13130" t="str" cm="1">
        <f t="array" ref="J13130">_xlfn.IFS(I13130&lt;=3,"small",I13130&lt;=6,"Medium",I13130&lt;=9,"Large")</f>
        <v>Large</v>
      </c>
      <c r="K13130" s="36">
        <v>45548</v>
      </c>
      <c r="L13130" s="36">
        <v>45550</v>
      </c>
      <c r="M13130" t="s">
        <v>598</v>
      </c>
      <c r="N13130" t="s">
        <v>599</v>
      </c>
      <c r="O13130" s="37" t="str">
        <f t="shared" si="1028"/>
        <v>Digital Payment</v>
      </c>
      <c r="P13130">
        <v>326.37</v>
      </c>
      <c r="Q13130" s="37" t="str">
        <f>IF(P13130&gt;500,"High","low")</f>
        <v>low</v>
      </c>
      <c r="R13130" s="37" t="str">
        <f t="shared" si="1029"/>
        <v>AVERAGE</v>
      </c>
      <c r="S13130" t="s">
        <v>605</v>
      </c>
    </row>
    <row r="13131" spans="1:19" x14ac:dyDescent="0.2">
      <c r="A13131" t="s">
        <v>13742</v>
      </c>
      <c r="B13131" t="s">
        <v>67</v>
      </c>
      <c r="C13131" t="s">
        <v>607</v>
      </c>
      <c r="D13131">
        <v>4186.87</v>
      </c>
      <c r="E13131" s="37" t="str">
        <f t="shared" si="1025"/>
        <v xml:space="preserve"> </v>
      </c>
      <c r="F13131">
        <v>0.01</v>
      </c>
      <c r="G13131" s="37" t="str">
        <f t="shared" si="1026"/>
        <v>Normal Discount</v>
      </c>
      <c r="H13131" s="37" t="str">
        <f t="shared" si="1027"/>
        <v>Low</v>
      </c>
      <c r="I13131">
        <v>4</v>
      </c>
      <c r="J13131" t="str" cm="1">
        <f t="array" ref="J13131">_xlfn.IFS(I13131&lt;=3,"small",I13131&lt;=6,"Medium",I13131&lt;=9,"Large")</f>
        <v>Medium</v>
      </c>
      <c r="K13131" s="36">
        <v>45368</v>
      </c>
      <c r="L13131" s="36">
        <v>45371</v>
      </c>
      <c r="M13131" t="s">
        <v>612</v>
      </c>
      <c r="N13131" t="s">
        <v>599</v>
      </c>
      <c r="O13131" s="37" t="str">
        <f t="shared" si="1028"/>
        <v>Digital Payment</v>
      </c>
      <c r="P13131">
        <v>254.66</v>
      </c>
      <c r="Q13131" s="37" t="str">
        <f>IF(P13131&gt;500,"High","low")</f>
        <v>low</v>
      </c>
      <c r="R13131" s="37" t="str">
        <f t="shared" si="1029"/>
        <v>AVERAGE</v>
      </c>
      <c r="S13131" t="s">
        <v>615</v>
      </c>
    </row>
    <row r="13132" spans="1:19" x14ac:dyDescent="0.2">
      <c r="A13132" t="s">
        <v>13743</v>
      </c>
      <c r="B13132" t="s">
        <v>67</v>
      </c>
      <c r="C13132" t="s">
        <v>614</v>
      </c>
      <c r="D13132">
        <v>3061.47</v>
      </c>
      <c r="E13132" s="37" t="str">
        <f t="shared" si="1025"/>
        <v xml:space="preserve"> </v>
      </c>
      <c r="F13132">
        <v>0.36</v>
      </c>
      <c r="G13132" s="37" t="str">
        <f t="shared" si="1026"/>
        <v>Heavy Discount</v>
      </c>
      <c r="H13132" s="37" t="str">
        <f t="shared" si="1027"/>
        <v>Medium</v>
      </c>
      <c r="I13132">
        <v>7</v>
      </c>
      <c r="J13132" t="str" cm="1">
        <f t="array" ref="J13132">_xlfn.IFS(I13132&lt;=3,"small",I13132&lt;=6,"Medium",I13132&lt;=9,"Large")</f>
        <v>Large</v>
      </c>
      <c r="K13132" s="36">
        <v>45332</v>
      </c>
      <c r="L13132" s="36">
        <v>45339</v>
      </c>
      <c r="M13132" t="s">
        <v>612</v>
      </c>
      <c r="N13132" t="s">
        <v>599</v>
      </c>
      <c r="O13132" s="37" t="str">
        <f t="shared" si="1028"/>
        <v>Digital Payment</v>
      </c>
      <c r="P13132">
        <v>330.99</v>
      </c>
      <c r="Q13132" s="37" t="str">
        <f>IF(P13132&gt;500,"High","low")</f>
        <v>low</v>
      </c>
      <c r="R13132" s="37" t="str">
        <f t="shared" si="1029"/>
        <v>AVERAGE</v>
      </c>
      <c r="S13132" t="s">
        <v>600</v>
      </c>
    </row>
    <row r="13133" spans="1:19" x14ac:dyDescent="0.2">
      <c r="A13133" t="s">
        <v>13744</v>
      </c>
      <c r="B13133" t="s">
        <v>83</v>
      </c>
      <c r="C13133" t="s">
        <v>597</v>
      </c>
      <c r="D13133">
        <v>4970.46</v>
      </c>
      <c r="E13133" s="37" t="str">
        <f t="shared" si="1025"/>
        <v xml:space="preserve"> </v>
      </c>
      <c r="F13133">
        <v>0.1</v>
      </c>
      <c r="G13133" s="37" t="str">
        <f t="shared" si="1026"/>
        <v>Normal Discount</v>
      </c>
      <c r="H13133" s="37" t="str">
        <f t="shared" si="1027"/>
        <v>Low</v>
      </c>
      <c r="I13133">
        <v>4</v>
      </c>
      <c r="J13133" t="str" cm="1">
        <f t="array" ref="J13133">_xlfn.IFS(I13133&lt;=3,"small",I13133&lt;=6,"Medium",I13133&lt;=9,"Large")</f>
        <v>Medium</v>
      </c>
      <c r="K13133" s="36">
        <v>45315</v>
      </c>
      <c r="L13133" s="36">
        <v>45317</v>
      </c>
      <c r="M13133" t="s">
        <v>598</v>
      </c>
      <c r="N13133" t="s">
        <v>608</v>
      </c>
      <c r="O13133" s="37" t="str">
        <f t="shared" si="1028"/>
        <v>Cash Payment</v>
      </c>
      <c r="P13133">
        <v>448.64</v>
      </c>
      <c r="Q13133" s="37" t="str">
        <f>IF(P13133&gt;500,"High","low")</f>
        <v>low</v>
      </c>
      <c r="R13133" s="37" t="str">
        <f t="shared" si="1029"/>
        <v>AVERAGE</v>
      </c>
      <c r="S13133" t="s">
        <v>600</v>
      </c>
    </row>
    <row r="13134" spans="1:19" x14ac:dyDescent="0.2">
      <c r="A13134" t="s">
        <v>13745</v>
      </c>
      <c r="B13134" t="s">
        <v>67</v>
      </c>
      <c r="C13134" t="s">
        <v>617</v>
      </c>
      <c r="D13134">
        <v>988.79</v>
      </c>
      <c r="E13134" s="37" t="str">
        <f t="shared" si="1025"/>
        <v xml:space="preserve"> </v>
      </c>
      <c r="F13134">
        <v>0.05</v>
      </c>
      <c r="G13134" s="37" t="str">
        <f t="shared" si="1026"/>
        <v>Normal Discount</v>
      </c>
      <c r="H13134" s="37" t="str">
        <f t="shared" si="1027"/>
        <v>Low</v>
      </c>
      <c r="I13134">
        <v>5</v>
      </c>
      <c r="J13134" t="str" cm="1">
        <f t="array" ref="J13134">_xlfn.IFS(I13134&lt;=3,"small",I13134&lt;=6,"Medium",I13134&lt;=9,"Large")</f>
        <v>Medium</v>
      </c>
      <c r="K13134" s="36">
        <v>45114</v>
      </c>
      <c r="L13134" s="36">
        <v>45116</v>
      </c>
      <c r="M13134" t="s">
        <v>598</v>
      </c>
      <c r="N13134" t="s">
        <v>608</v>
      </c>
      <c r="O13134" s="37" t="str">
        <f t="shared" si="1028"/>
        <v>Cash Payment</v>
      </c>
      <c r="P13134">
        <v>242.71</v>
      </c>
      <c r="Q13134" s="37" t="str">
        <f>IF(P13134&gt;500,"High","low")</f>
        <v>low</v>
      </c>
      <c r="R13134" s="37" t="str">
        <f t="shared" si="1029"/>
        <v>AVERAGE</v>
      </c>
      <c r="S13134" t="s">
        <v>615</v>
      </c>
    </row>
    <row r="13135" spans="1:19" x14ac:dyDescent="0.2">
      <c r="A13135" t="s">
        <v>13746</v>
      </c>
      <c r="B13135" t="s">
        <v>75</v>
      </c>
      <c r="C13135" t="s">
        <v>602</v>
      </c>
      <c r="D13135">
        <v>954.84</v>
      </c>
      <c r="E13135" s="37" t="str">
        <f t="shared" si="1025"/>
        <v xml:space="preserve"> </v>
      </c>
      <c r="F13135">
        <v>0.42</v>
      </c>
      <c r="G13135" s="37" t="str">
        <f t="shared" si="1026"/>
        <v>Heavy Discount</v>
      </c>
      <c r="H13135" s="37" t="str">
        <f t="shared" si="1027"/>
        <v>High</v>
      </c>
      <c r="I13135">
        <v>1</v>
      </c>
      <c r="J13135" t="str" cm="1">
        <f t="array" ref="J13135">_xlfn.IFS(I13135&lt;=3,"small",I13135&lt;=6,"Medium",I13135&lt;=9,"Large")</f>
        <v>small</v>
      </c>
      <c r="K13135" s="36">
        <v>44962</v>
      </c>
      <c r="L13135" s="36">
        <v>44967</v>
      </c>
      <c r="M13135" t="s">
        <v>612</v>
      </c>
      <c r="N13135" t="s">
        <v>599</v>
      </c>
      <c r="O13135" s="37" t="str">
        <f t="shared" si="1028"/>
        <v>Digital Payment</v>
      </c>
      <c r="P13135">
        <v>86.03</v>
      </c>
      <c r="Q13135" s="37" t="str">
        <f>IF(P13135&gt;500,"High","low")</f>
        <v>low</v>
      </c>
      <c r="R13135" s="37" t="str">
        <f t="shared" si="1029"/>
        <v>AVERAGE</v>
      </c>
      <c r="S13135" t="s">
        <v>615</v>
      </c>
    </row>
    <row r="13136" spans="1:19" x14ac:dyDescent="0.2">
      <c r="A13136" t="s">
        <v>13747</v>
      </c>
      <c r="B13136" t="s">
        <v>75</v>
      </c>
      <c r="C13136" t="s">
        <v>617</v>
      </c>
      <c r="D13136">
        <v>260.83</v>
      </c>
      <c r="E13136" s="37" t="str">
        <f t="shared" si="1025"/>
        <v xml:space="preserve"> </v>
      </c>
      <c r="F13136">
        <v>0.24</v>
      </c>
      <c r="G13136" s="37" t="str">
        <f t="shared" si="1026"/>
        <v>Normal Discount</v>
      </c>
      <c r="H13136" s="37" t="str">
        <f t="shared" si="1027"/>
        <v>Medium</v>
      </c>
      <c r="I13136">
        <v>1</v>
      </c>
      <c r="J13136" t="str" cm="1">
        <f t="array" ref="J13136">_xlfn.IFS(I13136&lt;=3,"small",I13136&lt;=6,"Medium",I13136&lt;=9,"Large")</f>
        <v>small</v>
      </c>
      <c r="K13136" s="36">
        <v>45138</v>
      </c>
      <c r="L13136" s="36">
        <v>45145</v>
      </c>
      <c r="M13136" t="s">
        <v>598</v>
      </c>
      <c r="N13136" t="s">
        <v>608</v>
      </c>
      <c r="O13136" s="37" t="str">
        <f t="shared" si="1028"/>
        <v>Cash Payment</v>
      </c>
      <c r="P13136">
        <v>56.88</v>
      </c>
      <c r="Q13136" s="37" t="str">
        <f>IF(P13136&gt;500,"High","low")</f>
        <v>low</v>
      </c>
      <c r="R13136" s="37" t="str">
        <f t="shared" si="1029"/>
        <v>AVERAGE</v>
      </c>
      <c r="S13136" t="s">
        <v>605</v>
      </c>
    </row>
    <row r="13137" spans="1:19" x14ac:dyDescent="0.2">
      <c r="A13137" t="s">
        <v>13748</v>
      </c>
      <c r="B13137" t="s">
        <v>83</v>
      </c>
      <c r="C13137" t="s">
        <v>614</v>
      </c>
      <c r="D13137">
        <v>4947.75</v>
      </c>
      <c r="E13137" s="37" t="str">
        <f t="shared" si="1025"/>
        <v>Excellent Order</v>
      </c>
      <c r="F13137">
        <v>0.37</v>
      </c>
      <c r="G13137" s="37" t="str">
        <f t="shared" si="1026"/>
        <v>Heavy Discount</v>
      </c>
      <c r="H13137" s="37" t="str">
        <f t="shared" si="1027"/>
        <v>Medium</v>
      </c>
      <c r="I13137">
        <v>3</v>
      </c>
      <c r="J13137" t="str" cm="1">
        <f t="array" ref="J13137">_xlfn.IFS(I13137&lt;=3,"small",I13137&lt;=6,"Medium",I13137&lt;=9,"Large")</f>
        <v>small</v>
      </c>
      <c r="K13137" s="36">
        <v>45292</v>
      </c>
      <c r="L13137" s="36">
        <v>45297</v>
      </c>
      <c r="M13137" t="s">
        <v>612</v>
      </c>
      <c r="N13137" t="s">
        <v>608</v>
      </c>
      <c r="O13137" s="37" t="str">
        <f t="shared" si="1028"/>
        <v>Cash Payment</v>
      </c>
      <c r="P13137">
        <v>869.41</v>
      </c>
      <c r="Q13137" s="37" t="str">
        <f>IF(P13137&gt;500,"High","low")</f>
        <v>High</v>
      </c>
      <c r="R13137" s="37" t="str">
        <f t="shared" si="1029"/>
        <v>Good</v>
      </c>
      <c r="S13137" t="s">
        <v>620</v>
      </c>
    </row>
    <row r="13138" spans="1:19" x14ac:dyDescent="0.2">
      <c r="A13138" t="s">
        <v>13749</v>
      </c>
      <c r="B13138" t="s">
        <v>75</v>
      </c>
      <c r="C13138" t="s">
        <v>614</v>
      </c>
      <c r="D13138">
        <v>1805.3</v>
      </c>
      <c r="E13138" s="37" t="str">
        <f t="shared" si="1025"/>
        <v xml:space="preserve"> </v>
      </c>
      <c r="F13138">
        <v>0.41</v>
      </c>
      <c r="G13138" s="37" t="str">
        <f t="shared" si="1026"/>
        <v>Heavy Discount</v>
      </c>
      <c r="H13138" s="37" t="str">
        <f t="shared" si="1027"/>
        <v>High</v>
      </c>
      <c r="I13138">
        <v>6</v>
      </c>
      <c r="J13138" t="str" cm="1">
        <f t="array" ref="J13138">_xlfn.IFS(I13138&lt;=3,"small",I13138&lt;=6,"Medium",I13138&lt;=9,"Large")</f>
        <v>Medium</v>
      </c>
      <c r="K13138" s="36">
        <v>45239</v>
      </c>
      <c r="L13138" s="36">
        <v>45245</v>
      </c>
      <c r="M13138" t="s">
        <v>603</v>
      </c>
      <c r="N13138" t="s">
        <v>604</v>
      </c>
      <c r="O13138" s="37" t="str">
        <f t="shared" si="1028"/>
        <v>Digital Payment</v>
      </c>
      <c r="P13138">
        <v>253.25</v>
      </c>
      <c r="Q13138" s="37" t="str">
        <f>IF(P13138&gt;500,"High","low")</f>
        <v>low</v>
      </c>
      <c r="R13138" s="37" t="str">
        <f t="shared" si="1029"/>
        <v>AVERAGE</v>
      </c>
      <c r="S13138" t="s">
        <v>628</v>
      </c>
    </row>
    <row r="13139" spans="1:19" x14ac:dyDescent="0.2">
      <c r="A13139" t="s">
        <v>13750</v>
      </c>
      <c r="B13139" t="s">
        <v>90</v>
      </c>
      <c r="C13139" t="s">
        <v>617</v>
      </c>
      <c r="D13139">
        <v>3834.07</v>
      </c>
      <c r="E13139" s="37" t="str">
        <f t="shared" si="1025"/>
        <v xml:space="preserve"> </v>
      </c>
      <c r="F13139">
        <v>0.48</v>
      </c>
      <c r="G13139" s="37" t="str">
        <f t="shared" si="1026"/>
        <v>Heavy Discount</v>
      </c>
      <c r="H13139" s="37" t="str">
        <f t="shared" si="1027"/>
        <v>High</v>
      </c>
      <c r="I13139">
        <v>1</v>
      </c>
      <c r="J13139" t="str" cm="1">
        <f t="array" ref="J13139">_xlfn.IFS(I13139&lt;=3,"small",I13139&lt;=6,"Medium",I13139&lt;=9,"Large")</f>
        <v>small</v>
      </c>
      <c r="K13139" s="36">
        <v>45429</v>
      </c>
      <c r="L13139" s="36">
        <v>45436</v>
      </c>
      <c r="M13139" t="s">
        <v>603</v>
      </c>
      <c r="N13139" t="s">
        <v>608</v>
      </c>
      <c r="O13139" s="37" t="str">
        <f t="shared" si="1028"/>
        <v>Cash Payment</v>
      </c>
      <c r="P13139">
        <v>250.82</v>
      </c>
      <c r="Q13139" s="37" t="str">
        <f>IF(P13139&gt;500,"High","low")</f>
        <v>low</v>
      </c>
      <c r="R13139" s="37" t="str">
        <f t="shared" si="1029"/>
        <v>AVERAGE</v>
      </c>
      <c r="S13139" t="s">
        <v>615</v>
      </c>
    </row>
    <row r="13140" spans="1:19" x14ac:dyDescent="0.2">
      <c r="A13140" t="s">
        <v>13751</v>
      </c>
      <c r="B13140" t="s">
        <v>75</v>
      </c>
      <c r="C13140" t="s">
        <v>617</v>
      </c>
      <c r="D13140">
        <v>392.58</v>
      </c>
      <c r="E13140" s="37" t="str">
        <f t="shared" si="1025"/>
        <v xml:space="preserve"> </v>
      </c>
      <c r="F13140">
        <v>0.31</v>
      </c>
      <c r="G13140" s="37" t="str">
        <f t="shared" si="1026"/>
        <v>Heavy Discount</v>
      </c>
      <c r="H13140" s="37" t="str">
        <f t="shared" si="1027"/>
        <v>Medium</v>
      </c>
      <c r="I13140">
        <v>4</v>
      </c>
      <c r="J13140" t="str" cm="1">
        <f t="array" ref="J13140">_xlfn.IFS(I13140&lt;=3,"small",I13140&lt;=6,"Medium",I13140&lt;=9,"Large")</f>
        <v>Medium</v>
      </c>
      <c r="K13140" s="36">
        <v>45522</v>
      </c>
      <c r="L13140" s="36">
        <v>45528</v>
      </c>
      <c r="M13140" t="s">
        <v>612</v>
      </c>
      <c r="N13140" t="s">
        <v>599</v>
      </c>
      <c r="O13140" s="37" t="str">
        <f t="shared" si="1028"/>
        <v>Digital Payment</v>
      </c>
      <c r="P13140">
        <v>60.55</v>
      </c>
      <c r="Q13140" s="37" t="str">
        <f>IF(P13140&gt;500,"High","low")</f>
        <v>low</v>
      </c>
      <c r="R13140" s="37" t="str">
        <f t="shared" si="1029"/>
        <v>AVERAGE</v>
      </c>
      <c r="S13140" t="s">
        <v>600</v>
      </c>
    </row>
    <row r="13141" spans="1:19" x14ac:dyDescent="0.2">
      <c r="A13141" t="s">
        <v>13752</v>
      </c>
      <c r="B13141" t="s">
        <v>83</v>
      </c>
      <c r="C13141" t="s">
        <v>617</v>
      </c>
      <c r="D13141">
        <v>1563.57</v>
      </c>
      <c r="E13141" s="37" t="str">
        <f t="shared" si="1025"/>
        <v xml:space="preserve"> </v>
      </c>
      <c r="F13141">
        <v>0.03</v>
      </c>
      <c r="G13141" s="37" t="str">
        <f t="shared" si="1026"/>
        <v>Normal Discount</v>
      </c>
      <c r="H13141" s="37" t="str">
        <f t="shared" si="1027"/>
        <v>Low</v>
      </c>
      <c r="I13141">
        <v>9</v>
      </c>
      <c r="J13141" t="str" cm="1">
        <f t="array" ref="J13141">_xlfn.IFS(I13141&lt;=3,"small",I13141&lt;=6,"Medium",I13141&lt;=9,"Large")</f>
        <v>Large</v>
      </c>
      <c r="K13141" s="36">
        <v>45016</v>
      </c>
      <c r="L13141" s="36">
        <v>45023</v>
      </c>
      <c r="M13141" t="s">
        <v>598</v>
      </c>
      <c r="N13141" t="s">
        <v>608</v>
      </c>
      <c r="O13141" s="37" t="str">
        <f t="shared" si="1028"/>
        <v>Cash Payment</v>
      </c>
      <c r="P13141">
        <v>300.48</v>
      </c>
      <c r="Q13141" s="37" t="str">
        <f>IF(P13141&gt;500,"High","low")</f>
        <v>low</v>
      </c>
      <c r="R13141" s="37" t="str">
        <f t="shared" si="1029"/>
        <v>AVERAGE</v>
      </c>
      <c r="S13141" t="s">
        <v>600</v>
      </c>
    </row>
    <row r="13142" spans="1:19" x14ac:dyDescent="0.2">
      <c r="A13142" t="s">
        <v>13753</v>
      </c>
      <c r="B13142" t="s">
        <v>90</v>
      </c>
      <c r="C13142" t="s">
        <v>597</v>
      </c>
      <c r="D13142">
        <v>3156.85</v>
      </c>
      <c r="E13142" s="37" t="str">
        <f t="shared" si="1025"/>
        <v xml:space="preserve"> </v>
      </c>
      <c r="F13142">
        <v>0.28000000000000003</v>
      </c>
      <c r="G13142" s="37" t="str">
        <f t="shared" si="1026"/>
        <v>Normal Discount</v>
      </c>
      <c r="H13142" s="37" t="str">
        <f t="shared" si="1027"/>
        <v>Medium</v>
      </c>
      <c r="I13142">
        <v>2</v>
      </c>
      <c r="J13142" t="str" cm="1">
        <f t="array" ref="J13142">_xlfn.IFS(I13142&lt;=3,"small",I13142&lt;=6,"Medium",I13142&lt;=9,"Large")</f>
        <v>small</v>
      </c>
      <c r="K13142" s="36">
        <v>45570</v>
      </c>
      <c r="L13142" s="36">
        <v>45574</v>
      </c>
      <c r="M13142" t="s">
        <v>598</v>
      </c>
      <c r="N13142" t="s">
        <v>608</v>
      </c>
      <c r="O13142" s="37" t="str">
        <f t="shared" si="1028"/>
        <v>Cash Payment</v>
      </c>
      <c r="P13142">
        <v>250.73</v>
      </c>
      <c r="Q13142" s="37" t="str">
        <f>IF(P13142&gt;500,"High","low")</f>
        <v>low</v>
      </c>
      <c r="R13142" s="37" t="str">
        <f t="shared" si="1029"/>
        <v>AVERAGE</v>
      </c>
      <c r="S13142" t="s">
        <v>609</v>
      </c>
    </row>
    <row r="13143" spans="1:19" x14ac:dyDescent="0.2">
      <c r="A13143" t="s">
        <v>13754</v>
      </c>
      <c r="B13143" t="s">
        <v>90</v>
      </c>
      <c r="C13143" t="s">
        <v>607</v>
      </c>
      <c r="D13143">
        <v>2671.42</v>
      </c>
      <c r="E13143" s="37" t="str">
        <f t="shared" si="1025"/>
        <v xml:space="preserve"> </v>
      </c>
      <c r="F13143">
        <v>0.25</v>
      </c>
      <c r="G13143" s="37" t="str">
        <f t="shared" si="1026"/>
        <v>Normal Discount</v>
      </c>
      <c r="H13143" s="37" t="str">
        <f t="shared" si="1027"/>
        <v>Medium</v>
      </c>
      <c r="I13143">
        <v>2</v>
      </c>
      <c r="J13143" t="str" cm="1">
        <f t="array" ref="J13143">_xlfn.IFS(I13143&lt;=3,"small",I13143&lt;=6,"Medium",I13143&lt;=9,"Large")</f>
        <v>small</v>
      </c>
      <c r="K13143" s="36">
        <v>45233</v>
      </c>
      <c r="L13143" s="36">
        <v>45239</v>
      </c>
      <c r="M13143" t="s">
        <v>598</v>
      </c>
      <c r="N13143" t="s">
        <v>604</v>
      </c>
      <c r="O13143" s="37" t="str">
        <f t="shared" si="1028"/>
        <v>Digital Payment</v>
      </c>
      <c r="P13143">
        <v>741.08</v>
      </c>
      <c r="Q13143" s="37" t="str">
        <f>IF(P13143&gt;500,"High","low")</f>
        <v>High</v>
      </c>
      <c r="R13143" s="37" t="str">
        <f t="shared" si="1029"/>
        <v>Good</v>
      </c>
      <c r="S13143" t="s">
        <v>615</v>
      </c>
    </row>
    <row r="13144" spans="1:19" x14ac:dyDescent="0.2">
      <c r="A13144" t="s">
        <v>13755</v>
      </c>
      <c r="B13144" t="s">
        <v>67</v>
      </c>
      <c r="C13144" t="s">
        <v>602</v>
      </c>
      <c r="D13144">
        <v>1117.97</v>
      </c>
      <c r="E13144" s="37" t="str">
        <f t="shared" si="1025"/>
        <v xml:space="preserve"> </v>
      </c>
      <c r="F13144">
        <v>0.03</v>
      </c>
      <c r="G13144" s="37" t="str">
        <f t="shared" si="1026"/>
        <v>Normal Discount</v>
      </c>
      <c r="H13144" s="37" t="str">
        <f t="shared" si="1027"/>
        <v>Low</v>
      </c>
      <c r="I13144">
        <v>2</v>
      </c>
      <c r="J13144" t="str" cm="1">
        <f t="array" ref="J13144">_xlfn.IFS(I13144&lt;=3,"small",I13144&lt;=6,"Medium",I13144&lt;=9,"Large")</f>
        <v>small</v>
      </c>
      <c r="K13144" s="36">
        <v>45522</v>
      </c>
      <c r="L13144" s="36">
        <v>45523</v>
      </c>
      <c r="M13144" t="s">
        <v>603</v>
      </c>
      <c r="N13144" t="s">
        <v>608</v>
      </c>
      <c r="O13144" s="37" t="str">
        <f t="shared" si="1028"/>
        <v>Cash Payment</v>
      </c>
      <c r="P13144">
        <v>86.87</v>
      </c>
      <c r="Q13144" s="37" t="str">
        <f>IF(P13144&gt;500,"High","low")</f>
        <v>low</v>
      </c>
      <c r="R13144" s="37" t="str">
        <f t="shared" si="1029"/>
        <v>AVERAGE</v>
      </c>
      <c r="S13144" t="s">
        <v>620</v>
      </c>
    </row>
    <row r="13145" spans="1:19" x14ac:dyDescent="0.2">
      <c r="A13145" t="s">
        <v>13756</v>
      </c>
      <c r="B13145" t="s">
        <v>75</v>
      </c>
      <c r="C13145" t="s">
        <v>602</v>
      </c>
      <c r="D13145">
        <v>2361.81</v>
      </c>
      <c r="E13145" s="37" t="str">
        <f t="shared" si="1025"/>
        <v xml:space="preserve"> </v>
      </c>
      <c r="F13145">
        <v>0.15</v>
      </c>
      <c r="G13145" s="37" t="str">
        <f t="shared" si="1026"/>
        <v>Normal Discount</v>
      </c>
      <c r="H13145" s="37" t="str">
        <f t="shared" si="1027"/>
        <v>Low</v>
      </c>
      <c r="I13145">
        <v>7</v>
      </c>
      <c r="J13145" t="str" cm="1">
        <f t="array" ref="J13145">_xlfn.IFS(I13145&lt;=3,"small",I13145&lt;=6,"Medium",I13145&lt;=9,"Large")</f>
        <v>Large</v>
      </c>
      <c r="K13145" s="36">
        <v>45032</v>
      </c>
      <c r="L13145" s="36">
        <v>45035</v>
      </c>
      <c r="M13145" t="s">
        <v>603</v>
      </c>
      <c r="N13145" t="s">
        <v>608</v>
      </c>
      <c r="O13145" s="37" t="str">
        <f t="shared" si="1028"/>
        <v>Cash Payment</v>
      </c>
      <c r="P13145">
        <v>608.51</v>
      </c>
      <c r="Q13145" s="37" t="str">
        <f>IF(P13145&gt;500,"High","low")</f>
        <v>High</v>
      </c>
      <c r="R13145" s="37" t="str">
        <f t="shared" si="1029"/>
        <v>Good</v>
      </c>
      <c r="S13145" t="s">
        <v>620</v>
      </c>
    </row>
    <row r="13146" spans="1:19" x14ac:dyDescent="0.2">
      <c r="A13146" t="s">
        <v>13757</v>
      </c>
      <c r="B13146" t="s">
        <v>83</v>
      </c>
      <c r="C13146" t="s">
        <v>602</v>
      </c>
      <c r="D13146">
        <v>633.03</v>
      </c>
      <c r="E13146" s="37" t="str">
        <f t="shared" si="1025"/>
        <v xml:space="preserve"> </v>
      </c>
      <c r="F13146">
        <v>0.21</v>
      </c>
      <c r="G13146" s="37" t="str">
        <f t="shared" si="1026"/>
        <v>Normal Discount</v>
      </c>
      <c r="H13146" s="37" t="str">
        <f t="shared" si="1027"/>
        <v>Medium</v>
      </c>
      <c r="I13146">
        <v>7</v>
      </c>
      <c r="J13146" t="str" cm="1">
        <f t="array" ref="J13146">_xlfn.IFS(I13146&lt;=3,"small",I13146&lt;=6,"Medium",I13146&lt;=9,"Large")</f>
        <v>Large</v>
      </c>
      <c r="K13146" s="36">
        <v>45618</v>
      </c>
      <c r="L13146" s="36">
        <v>45625</v>
      </c>
      <c r="M13146" t="s">
        <v>612</v>
      </c>
      <c r="N13146" t="s">
        <v>599</v>
      </c>
      <c r="O13146" s="37" t="str">
        <f t="shared" si="1028"/>
        <v>Digital Payment</v>
      </c>
      <c r="P13146">
        <v>155.61000000000001</v>
      </c>
      <c r="Q13146" s="37" t="str">
        <f>IF(P13146&gt;500,"High","low")</f>
        <v>low</v>
      </c>
      <c r="R13146" s="37" t="str">
        <f t="shared" si="1029"/>
        <v>AVERAGE</v>
      </c>
      <c r="S13146" t="s">
        <v>628</v>
      </c>
    </row>
    <row r="13147" spans="1:19" x14ac:dyDescent="0.2">
      <c r="A13147" t="s">
        <v>13758</v>
      </c>
      <c r="B13147" t="s">
        <v>67</v>
      </c>
      <c r="C13147" t="s">
        <v>617</v>
      </c>
      <c r="D13147">
        <v>2759.25</v>
      </c>
      <c r="E13147" s="37" t="str">
        <f t="shared" si="1025"/>
        <v xml:space="preserve"> </v>
      </c>
      <c r="F13147">
        <v>0.08</v>
      </c>
      <c r="G13147" s="37" t="str">
        <f t="shared" si="1026"/>
        <v>Normal Discount</v>
      </c>
      <c r="H13147" s="37" t="str">
        <f t="shared" si="1027"/>
        <v>Low</v>
      </c>
      <c r="I13147">
        <v>6</v>
      </c>
      <c r="J13147" t="str" cm="1">
        <f t="array" ref="J13147">_xlfn.IFS(I13147&lt;=3,"small",I13147&lt;=6,"Medium",I13147&lt;=9,"Large")</f>
        <v>Medium</v>
      </c>
      <c r="K13147" s="36">
        <v>45129</v>
      </c>
      <c r="L13147" s="36">
        <v>45136</v>
      </c>
      <c r="M13147" t="s">
        <v>612</v>
      </c>
      <c r="N13147" t="s">
        <v>608</v>
      </c>
      <c r="O13147" s="37" t="str">
        <f t="shared" si="1028"/>
        <v>Cash Payment</v>
      </c>
      <c r="P13147">
        <v>748.23</v>
      </c>
      <c r="Q13147" s="37" t="str">
        <f>IF(P13147&gt;500,"High","low")</f>
        <v>High</v>
      </c>
      <c r="R13147" s="37" t="str">
        <f t="shared" si="1029"/>
        <v>Good</v>
      </c>
      <c r="S13147" t="s">
        <v>620</v>
      </c>
    </row>
    <row r="13148" spans="1:19" x14ac:dyDescent="0.2">
      <c r="A13148" t="s">
        <v>13759</v>
      </c>
      <c r="B13148" t="s">
        <v>67</v>
      </c>
      <c r="C13148" t="s">
        <v>617</v>
      </c>
      <c r="D13148">
        <v>575.01</v>
      </c>
      <c r="E13148" s="37" t="str">
        <f t="shared" si="1025"/>
        <v xml:space="preserve"> </v>
      </c>
      <c r="F13148">
        <v>0</v>
      </c>
      <c r="G13148" s="37" t="str">
        <f t="shared" si="1026"/>
        <v>Normal Discount</v>
      </c>
      <c r="H13148" s="37" t="str">
        <f t="shared" si="1027"/>
        <v>Low</v>
      </c>
      <c r="I13148">
        <v>2</v>
      </c>
      <c r="J13148" t="str" cm="1">
        <f t="array" ref="J13148">_xlfn.IFS(I13148&lt;=3,"small",I13148&lt;=6,"Medium",I13148&lt;=9,"Large")</f>
        <v>small</v>
      </c>
      <c r="K13148" s="36">
        <v>45253</v>
      </c>
      <c r="L13148" s="36">
        <v>45255</v>
      </c>
      <c r="M13148" t="s">
        <v>598</v>
      </c>
      <c r="N13148" t="s">
        <v>604</v>
      </c>
      <c r="O13148" s="37" t="str">
        <f t="shared" si="1028"/>
        <v>Digital Payment</v>
      </c>
      <c r="P13148">
        <v>44.01</v>
      </c>
      <c r="Q13148" s="37" t="str">
        <f>IF(P13148&gt;500,"High","low")</f>
        <v>low</v>
      </c>
      <c r="R13148" s="37" t="str">
        <f t="shared" si="1029"/>
        <v>AVERAGE</v>
      </c>
      <c r="S13148" t="s">
        <v>628</v>
      </c>
    </row>
    <row r="13149" spans="1:19" x14ac:dyDescent="0.2">
      <c r="A13149" t="s">
        <v>13760</v>
      </c>
      <c r="B13149" t="s">
        <v>75</v>
      </c>
      <c r="C13149" t="s">
        <v>617</v>
      </c>
      <c r="D13149">
        <v>3216.08</v>
      </c>
      <c r="E13149" s="37" t="str">
        <f t="shared" si="1025"/>
        <v xml:space="preserve"> </v>
      </c>
      <c r="F13149">
        <v>0.38</v>
      </c>
      <c r="G13149" s="37" t="str">
        <f t="shared" si="1026"/>
        <v>Heavy Discount</v>
      </c>
      <c r="H13149" s="37" t="str">
        <f t="shared" si="1027"/>
        <v>Medium</v>
      </c>
      <c r="I13149">
        <v>5</v>
      </c>
      <c r="J13149" t="str" cm="1">
        <f t="array" ref="J13149">_xlfn.IFS(I13149&lt;=3,"small",I13149&lt;=6,"Medium",I13149&lt;=9,"Large")</f>
        <v>Medium</v>
      </c>
      <c r="K13149" s="36">
        <v>45237</v>
      </c>
      <c r="L13149" s="36">
        <v>45242</v>
      </c>
      <c r="M13149" t="s">
        <v>603</v>
      </c>
      <c r="N13149" t="s">
        <v>604</v>
      </c>
      <c r="O13149" s="37" t="str">
        <f t="shared" si="1028"/>
        <v>Digital Payment</v>
      </c>
      <c r="P13149">
        <v>530.79999999999995</v>
      </c>
      <c r="Q13149" s="37" t="str">
        <f>IF(P13149&gt;500,"High","low")</f>
        <v>High</v>
      </c>
      <c r="R13149" s="37" t="str">
        <f t="shared" si="1029"/>
        <v>Good</v>
      </c>
      <c r="S13149" t="s">
        <v>605</v>
      </c>
    </row>
    <row r="13150" spans="1:19" x14ac:dyDescent="0.2">
      <c r="A13150" t="s">
        <v>13761</v>
      </c>
      <c r="B13150" t="s">
        <v>75</v>
      </c>
      <c r="C13150" t="s">
        <v>597</v>
      </c>
      <c r="D13150">
        <v>861.25</v>
      </c>
      <c r="E13150" s="37" t="str">
        <f t="shared" si="1025"/>
        <v xml:space="preserve"> </v>
      </c>
      <c r="F13150">
        <v>0.43</v>
      </c>
      <c r="G13150" s="37" t="str">
        <f t="shared" si="1026"/>
        <v>Heavy Discount</v>
      </c>
      <c r="H13150" s="37" t="str">
        <f t="shared" si="1027"/>
        <v>High</v>
      </c>
      <c r="I13150">
        <v>6</v>
      </c>
      <c r="J13150" t="str" cm="1">
        <f t="array" ref="J13150">_xlfn.IFS(I13150&lt;=3,"small",I13150&lt;=6,"Medium",I13150&lt;=9,"Large")</f>
        <v>Medium</v>
      </c>
      <c r="K13150" s="36">
        <v>45546</v>
      </c>
      <c r="L13150" s="36">
        <v>45547</v>
      </c>
      <c r="M13150" t="s">
        <v>612</v>
      </c>
      <c r="N13150" t="s">
        <v>604</v>
      </c>
      <c r="O13150" s="37" t="str">
        <f t="shared" si="1028"/>
        <v>Digital Payment</v>
      </c>
      <c r="P13150">
        <v>110.78</v>
      </c>
      <c r="Q13150" s="37" t="str">
        <f>IF(P13150&gt;500,"High","low")</f>
        <v>low</v>
      </c>
      <c r="R13150" s="37" t="str">
        <f t="shared" si="1029"/>
        <v>AVERAGE</v>
      </c>
      <c r="S13150" t="s">
        <v>615</v>
      </c>
    </row>
    <row r="13151" spans="1:19" x14ac:dyDescent="0.2">
      <c r="A13151" t="s">
        <v>13762</v>
      </c>
      <c r="B13151" t="s">
        <v>83</v>
      </c>
      <c r="C13151" t="s">
        <v>597</v>
      </c>
      <c r="D13151">
        <v>2780.72</v>
      </c>
      <c r="E13151" s="37" t="str">
        <f t="shared" si="1025"/>
        <v xml:space="preserve"> </v>
      </c>
      <c r="F13151">
        <v>0.11</v>
      </c>
      <c r="G13151" s="37" t="str">
        <f t="shared" si="1026"/>
        <v>Normal Discount</v>
      </c>
      <c r="H13151" s="37" t="str">
        <f t="shared" si="1027"/>
        <v>Low</v>
      </c>
      <c r="I13151">
        <v>6</v>
      </c>
      <c r="J13151" t="str" cm="1">
        <f t="array" ref="J13151">_xlfn.IFS(I13151&lt;=3,"small",I13151&lt;=6,"Medium",I13151&lt;=9,"Large")</f>
        <v>Medium</v>
      </c>
      <c r="K13151" s="36">
        <v>44957</v>
      </c>
      <c r="L13151" s="36">
        <v>44961</v>
      </c>
      <c r="M13151" t="s">
        <v>598</v>
      </c>
      <c r="N13151" t="s">
        <v>599</v>
      </c>
      <c r="O13151" s="37" t="str">
        <f t="shared" si="1028"/>
        <v>Digital Payment</v>
      </c>
      <c r="P13151">
        <v>615.70000000000005</v>
      </c>
      <c r="Q13151" s="37" t="str">
        <f>IF(P13151&gt;500,"High","low")</f>
        <v>High</v>
      </c>
      <c r="R13151" s="37" t="str">
        <f t="shared" si="1029"/>
        <v>Good</v>
      </c>
      <c r="S13151" t="s">
        <v>605</v>
      </c>
    </row>
    <row r="13152" spans="1:19" x14ac:dyDescent="0.2">
      <c r="A13152" t="s">
        <v>13763</v>
      </c>
      <c r="B13152" t="s">
        <v>67</v>
      </c>
      <c r="C13152" t="s">
        <v>597</v>
      </c>
      <c r="D13152">
        <v>732.69</v>
      </c>
      <c r="E13152" s="37" t="str">
        <f t="shared" si="1025"/>
        <v xml:space="preserve"> </v>
      </c>
      <c r="F13152">
        <v>0</v>
      </c>
      <c r="G13152" s="37" t="str">
        <f t="shared" si="1026"/>
        <v>Normal Discount</v>
      </c>
      <c r="H13152" s="37" t="str">
        <f t="shared" si="1027"/>
        <v>Low</v>
      </c>
      <c r="I13152">
        <v>6</v>
      </c>
      <c r="J13152" t="str" cm="1">
        <f t="array" ref="J13152">_xlfn.IFS(I13152&lt;=3,"small",I13152&lt;=6,"Medium",I13152&lt;=9,"Large")</f>
        <v>Medium</v>
      </c>
      <c r="K13152" s="36">
        <v>44976</v>
      </c>
      <c r="L13152" s="36">
        <v>44983</v>
      </c>
      <c r="M13152" t="s">
        <v>612</v>
      </c>
      <c r="N13152" t="s">
        <v>608</v>
      </c>
      <c r="O13152" s="37" t="str">
        <f t="shared" si="1028"/>
        <v>Cash Payment</v>
      </c>
      <c r="P13152">
        <v>70.91</v>
      </c>
      <c r="Q13152" s="37" t="str">
        <f>IF(P13152&gt;500,"High","low")</f>
        <v>low</v>
      </c>
      <c r="R13152" s="37" t="str">
        <f t="shared" si="1029"/>
        <v>AVERAGE</v>
      </c>
      <c r="S13152" t="s">
        <v>605</v>
      </c>
    </row>
    <row r="13153" spans="1:19" x14ac:dyDescent="0.2">
      <c r="A13153" t="s">
        <v>13764</v>
      </c>
      <c r="B13153" t="s">
        <v>83</v>
      </c>
      <c r="C13153" t="s">
        <v>597</v>
      </c>
      <c r="D13153">
        <v>2063.48</v>
      </c>
      <c r="E13153" s="37" t="str">
        <f t="shared" si="1025"/>
        <v xml:space="preserve"> </v>
      </c>
      <c r="F13153">
        <v>0.44</v>
      </c>
      <c r="G13153" s="37" t="str">
        <f t="shared" si="1026"/>
        <v>Heavy Discount</v>
      </c>
      <c r="H13153" s="37" t="str">
        <f t="shared" si="1027"/>
        <v>High</v>
      </c>
      <c r="I13153">
        <v>6</v>
      </c>
      <c r="J13153" t="str" cm="1">
        <f t="array" ref="J13153">_xlfn.IFS(I13153&lt;=3,"small",I13153&lt;=6,"Medium",I13153&lt;=9,"Large")</f>
        <v>Medium</v>
      </c>
      <c r="K13153" s="36">
        <v>45013</v>
      </c>
      <c r="L13153" s="36">
        <v>45018</v>
      </c>
      <c r="M13153" t="s">
        <v>603</v>
      </c>
      <c r="N13153" t="s">
        <v>608</v>
      </c>
      <c r="O13153" s="37" t="str">
        <f t="shared" si="1028"/>
        <v>Cash Payment</v>
      </c>
      <c r="P13153">
        <v>149.59</v>
      </c>
      <c r="Q13153" s="37" t="str">
        <f>IF(P13153&gt;500,"High","low")</f>
        <v>low</v>
      </c>
      <c r="R13153" s="37" t="str">
        <f t="shared" si="1029"/>
        <v>AVERAGE</v>
      </c>
      <c r="S13153" t="s">
        <v>600</v>
      </c>
    </row>
    <row r="13154" spans="1:19" x14ac:dyDescent="0.2">
      <c r="A13154" t="s">
        <v>13765</v>
      </c>
      <c r="B13154" t="s">
        <v>67</v>
      </c>
      <c r="C13154" t="s">
        <v>614</v>
      </c>
      <c r="D13154">
        <v>1823.97</v>
      </c>
      <c r="E13154" s="37" t="str">
        <f t="shared" si="1025"/>
        <v xml:space="preserve"> </v>
      </c>
      <c r="F13154">
        <v>7.0000000000000007E-2</v>
      </c>
      <c r="G13154" s="37" t="str">
        <f t="shared" si="1026"/>
        <v>Normal Discount</v>
      </c>
      <c r="H13154" s="37" t="str">
        <f t="shared" si="1027"/>
        <v>Low</v>
      </c>
      <c r="I13154">
        <v>1</v>
      </c>
      <c r="J13154" t="str" cm="1">
        <f t="array" ref="J13154">_xlfn.IFS(I13154&lt;=3,"small",I13154&lt;=6,"Medium",I13154&lt;=9,"Large")</f>
        <v>small</v>
      </c>
      <c r="K13154" s="36">
        <v>45581</v>
      </c>
      <c r="L13154" s="36">
        <v>45585</v>
      </c>
      <c r="M13154" t="s">
        <v>603</v>
      </c>
      <c r="N13154" t="s">
        <v>608</v>
      </c>
      <c r="O13154" s="37" t="str">
        <f t="shared" si="1028"/>
        <v>Cash Payment</v>
      </c>
      <c r="P13154">
        <v>190.97</v>
      </c>
      <c r="Q13154" s="37" t="str">
        <f>IF(P13154&gt;500,"High","low")</f>
        <v>low</v>
      </c>
      <c r="R13154" s="37" t="str">
        <f t="shared" si="1029"/>
        <v>AVERAGE</v>
      </c>
      <c r="S13154" t="s">
        <v>615</v>
      </c>
    </row>
    <row r="13155" spans="1:19" x14ac:dyDescent="0.2">
      <c r="A13155" t="s">
        <v>13766</v>
      </c>
      <c r="B13155" t="s">
        <v>67</v>
      </c>
      <c r="C13155" t="s">
        <v>597</v>
      </c>
      <c r="D13155">
        <v>3806.41</v>
      </c>
      <c r="E13155" s="37" t="str">
        <f t="shared" si="1025"/>
        <v xml:space="preserve"> </v>
      </c>
      <c r="F13155">
        <v>0.2</v>
      </c>
      <c r="G13155" s="37" t="str">
        <f t="shared" si="1026"/>
        <v>Normal Discount</v>
      </c>
      <c r="H13155" s="37" t="str">
        <f t="shared" si="1027"/>
        <v>Medium</v>
      </c>
      <c r="I13155">
        <v>4</v>
      </c>
      <c r="J13155" t="str" cm="1">
        <f t="array" ref="J13155">_xlfn.IFS(I13155&lt;=3,"small",I13155&lt;=6,"Medium",I13155&lt;=9,"Large")</f>
        <v>Medium</v>
      </c>
      <c r="K13155" s="36">
        <v>44991</v>
      </c>
      <c r="L13155" s="36">
        <v>44997</v>
      </c>
      <c r="M13155" t="s">
        <v>603</v>
      </c>
      <c r="N13155" t="s">
        <v>604</v>
      </c>
      <c r="O13155" s="37" t="str">
        <f t="shared" si="1028"/>
        <v>Digital Payment</v>
      </c>
      <c r="P13155">
        <v>1134.25</v>
      </c>
      <c r="Q13155" s="37" t="str">
        <f>IF(P13155&gt;500,"High","low")</f>
        <v>High</v>
      </c>
      <c r="R13155" s="37" t="str">
        <f t="shared" si="1029"/>
        <v>Excellent</v>
      </c>
      <c r="S13155" t="s">
        <v>628</v>
      </c>
    </row>
    <row r="13156" spans="1:19" x14ac:dyDescent="0.2">
      <c r="A13156" t="s">
        <v>13767</v>
      </c>
      <c r="B13156" t="s">
        <v>67</v>
      </c>
      <c r="C13156" t="s">
        <v>597</v>
      </c>
      <c r="D13156">
        <v>3241.69</v>
      </c>
      <c r="E13156" s="37" t="str">
        <f t="shared" si="1025"/>
        <v xml:space="preserve"> </v>
      </c>
      <c r="F13156">
        <v>0.18</v>
      </c>
      <c r="G13156" s="37" t="str">
        <f t="shared" si="1026"/>
        <v>Normal Discount</v>
      </c>
      <c r="H13156" s="37" t="str">
        <f t="shared" si="1027"/>
        <v>Low</v>
      </c>
      <c r="I13156">
        <v>1</v>
      </c>
      <c r="J13156" t="str" cm="1">
        <f t="array" ref="J13156">_xlfn.IFS(I13156&lt;=3,"small",I13156&lt;=6,"Medium",I13156&lt;=9,"Large")</f>
        <v>small</v>
      </c>
      <c r="K13156" s="36">
        <v>45526</v>
      </c>
      <c r="L13156" s="36">
        <v>45533</v>
      </c>
      <c r="M13156" t="s">
        <v>603</v>
      </c>
      <c r="N13156" t="s">
        <v>604</v>
      </c>
      <c r="O13156" s="37" t="str">
        <f t="shared" si="1028"/>
        <v>Digital Payment</v>
      </c>
      <c r="P13156">
        <v>368.74</v>
      </c>
      <c r="Q13156" s="37" t="str">
        <f>IF(P13156&gt;500,"High","low")</f>
        <v>low</v>
      </c>
      <c r="R13156" s="37" t="str">
        <f t="shared" si="1029"/>
        <v>AVERAGE</v>
      </c>
      <c r="S13156" t="s">
        <v>605</v>
      </c>
    </row>
    <row r="13157" spans="1:19" x14ac:dyDescent="0.2">
      <c r="A13157" t="s">
        <v>13768</v>
      </c>
      <c r="B13157" t="s">
        <v>75</v>
      </c>
      <c r="C13157" t="s">
        <v>597</v>
      </c>
      <c r="D13157">
        <v>4691.74</v>
      </c>
      <c r="E13157" s="37" t="str">
        <f t="shared" si="1025"/>
        <v xml:space="preserve"> </v>
      </c>
      <c r="F13157">
        <v>0.08</v>
      </c>
      <c r="G13157" s="37" t="str">
        <f t="shared" si="1026"/>
        <v>Normal Discount</v>
      </c>
      <c r="H13157" s="37" t="str">
        <f t="shared" si="1027"/>
        <v>Low</v>
      </c>
      <c r="I13157">
        <v>3</v>
      </c>
      <c r="J13157" t="str" cm="1">
        <f t="array" ref="J13157">_xlfn.IFS(I13157&lt;=3,"small",I13157&lt;=6,"Medium",I13157&lt;=9,"Large")</f>
        <v>small</v>
      </c>
      <c r="K13157" s="36">
        <v>45261</v>
      </c>
      <c r="L13157" s="36">
        <v>45267</v>
      </c>
      <c r="M13157" t="s">
        <v>612</v>
      </c>
      <c r="N13157" t="s">
        <v>604</v>
      </c>
      <c r="O13157" s="37" t="str">
        <f t="shared" si="1028"/>
        <v>Digital Payment</v>
      </c>
      <c r="P13157">
        <v>570.76</v>
      </c>
      <c r="Q13157" s="37" t="str">
        <f>IF(P13157&gt;500,"High","low")</f>
        <v>High</v>
      </c>
      <c r="R13157" s="37" t="str">
        <f t="shared" si="1029"/>
        <v>Good</v>
      </c>
      <c r="S13157" t="s">
        <v>600</v>
      </c>
    </row>
    <row r="13158" spans="1:19" x14ac:dyDescent="0.2">
      <c r="A13158" t="s">
        <v>13769</v>
      </c>
      <c r="B13158" t="s">
        <v>67</v>
      </c>
      <c r="C13158" t="s">
        <v>602</v>
      </c>
      <c r="D13158">
        <v>4617.3599999999997</v>
      </c>
      <c r="E13158" s="37" t="str">
        <f t="shared" si="1025"/>
        <v>Excellent Order</v>
      </c>
      <c r="F13158">
        <v>0.3</v>
      </c>
      <c r="G13158" s="37" t="str">
        <f t="shared" si="1026"/>
        <v>Normal Discount</v>
      </c>
      <c r="H13158" s="37" t="str">
        <f t="shared" si="1027"/>
        <v>Medium</v>
      </c>
      <c r="I13158">
        <v>2</v>
      </c>
      <c r="J13158" t="str" cm="1">
        <f t="array" ref="J13158">_xlfn.IFS(I13158&lt;=3,"small",I13158&lt;=6,"Medium",I13158&lt;=9,"Large")</f>
        <v>small</v>
      </c>
      <c r="K13158" s="36">
        <v>45102</v>
      </c>
      <c r="L13158" s="36">
        <v>45108</v>
      </c>
      <c r="M13158" t="s">
        <v>598</v>
      </c>
      <c r="N13158" t="s">
        <v>599</v>
      </c>
      <c r="O13158" s="37" t="str">
        <f t="shared" si="1028"/>
        <v>Digital Payment</v>
      </c>
      <c r="P13158">
        <v>1064.1400000000001</v>
      </c>
      <c r="Q13158" s="37" t="str">
        <f>IF(P13158&gt;500,"High","low")</f>
        <v>High</v>
      </c>
      <c r="R13158" s="37" t="str">
        <f t="shared" si="1029"/>
        <v>Excellent</v>
      </c>
      <c r="S13158" t="s">
        <v>615</v>
      </c>
    </row>
    <row r="13159" spans="1:19" x14ac:dyDescent="0.2">
      <c r="A13159" t="s">
        <v>13770</v>
      </c>
      <c r="B13159" t="s">
        <v>67</v>
      </c>
      <c r="C13159" t="s">
        <v>602</v>
      </c>
      <c r="D13159">
        <v>3652.48</v>
      </c>
      <c r="E13159" s="37" t="str">
        <f t="shared" si="1025"/>
        <v xml:space="preserve"> </v>
      </c>
      <c r="F13159">
        <v>0.46</v>
      </c>
      <c r="G13159" s="37" t="str">
        <f t="shared" si="1026"/>
        <v>Heavy Discount</v>
      </c>
      <c r="H13159" s="37" t="str">
        <f t="shared" si="1027"/>
        <v>High</v>
      </c>
      <c r="I13159">
        <v>2</v>
      </c>
      <c r="J13159" t="str" cm="1">
        <f t="array" ref="J13159">_xlfn.IFS(I13159&lt;=3,"small",I13159&lt;=6,"Medium",I13159&lt;=9,"Large")</f>
        <v>small</v>
      </c>
      <c r="K13159" s="36">
        <v>45587</v>
      </c>
      <c r="L13159" s="36">
        <v>45592</v>
      </c>
      <c r="M13159" t="s">
        <v>603</v>
      </c>
      <c r="N13159" t="s">
        <v>604</v>
      </c>
      <c r="O13159" s="37" t="str">
        <f t="shared" si="1028"/>
        <v>Digital Payment</v>
      </c>
      <c r="P13159">
        <v>467.28</v>
      </c>
      <c r="Q13159" s="37" t="str">
        <f>IF(P13159&gt;500,"High","low")</f>
        <v>low</v>
      </c>
      <c r="R13159" s="37" t="str">
        <f t="shared" si="1029"/>
        <v>AVERAGE</v>
      </c>
      <c r="S13159" t="s">
        <v>615</v>
      </c>
    </row>
    <row r="13160" spans="1:19" x14ac:dyDescent="0.2">
      <c r="A13160" t="s">
        <v>13771</v>
      </c>
      <c r="B13160" t="s">
        <v>67</v>
      </c>
      <c r="C13160" t="s">
        <v>602</v>
      </c>
      <c r="D13160">
        <v>3875.87</v>
      </c>
      <c r="E13160" s="37" t="str">
        <f t="shared" si="1025"/>
        <v xml:space="preserve"> </v>
      </c>
      <c r="F13160">
        <v>0.26</v>
      </c>
      <c r="G13160" s="37" t="str">
        <f t="shared" si="1026"/>
        <v>Normal Discount</v>
      </c>
      <c r="H13160" s="37" t="str">
        <f t="shared" si="1027"/>
        <v>Medium</v>
      </c>
      <c r="I13160">
        <v>6</v>
      </c>
      <c r="J13160" t="str" cm="1">
        <f t="array" ref="J13160">_xlfn.IFS(I13160&lt;=3,"small",I13160&lt;=6,"Medium",I13160&lt;=9,"Large")</f>
        <v>Medium</v>
      </c>
      <c r="K13160" s="36">
        <v>45396</v>
      </c>
      <c r="L13160" s="36">
        <v>45403</v>
      </c>
      <c r="M13160" t="s">
        <v>598</v>
      </c>
      <c r="N13160" t="s">
        <v>604</v>
      </c>
      <c r="O13160" s="37" t="str">
        <f t="shared" si="1028"/>
        <v>Digital Payment</v>
      </c>
      <c r="P13160">
        <v>705.81</v>
      </c>
      <c r="Q13160" s="37" t="str">
        <f>IF(P13160&gt;500,"High","low")</f>
        <v>High</v>
      </c>
      <c r="R13160" s="37" t="str">
        <f t="shared" si="1029"/>
        <v>Good</v>
      </c>
      <c r="S13160" t="s">
        <v>609</v>
      </c>
    </row>
    <row r="13161" spans="1:19" x14ac:dyDescent="0.2">
      <c r="A13161" t="s">
        <v>13772</v>
      </c>
      <c r="B13161" t="s">
        <v>90</v>
      </c>
      <c r="C13161" t="s">
        <v>607</v>
      </c>
      <c r="D13161">
        <v>3162.07</v>
      </c>
      <c r="E13161" s="37" t="str">
        <f t="shared" si="1025"/>
        <v xml:space="preserve"> </v>
      </c>
      <c r="F13161">
        <v>0.49</v>
      </c>
      <c r="G13161" s="37" t="str">
        <f t="shared" si="1026"/>
        <v>Heavy Discount</v>
      </c>
      <c r="H13161" s="37" t="str">
        <f t="shared" si="1027"/>
        <v>High</v>
      </c>
      <c r="I13161">
        <v>1</v>
      </c>
      <c r="J13161" t="str" cm="1">
        <f t="array" ref="J13161">_xlfn.IFS(I13161&lt;=3,"small",I13161&lt;=6,"Medium",I13161&lt;=9,"Large")</f>
        <v>small</v>
      </c>
      <c r="K13161" s="36">
        <v>44950</v>
      </c>
      <c r="L13161" s="36">
        <v>44956</v>
      </c>
      <c r="M13161" t="s">
        <v>603</v>
      </c>
      <c r="N13161" t="s">
        <v>599</v>
      </c>
      <c r="O13161" s="37" t="str">
        <f t="shared" si="1028"/>
        <v>Digital Payment</v>
      </c>
      <c r="P13161">
        <v>751.66</v>
      </c>
      <c r="Q13161" s="37" t="str">
        <f>IF(P13161&gt;500,"High","low")</f>
        <v>High</v>
      </c>
      <c r="R13161" s="37" t="str">
        <f t="shared" si="1029"/>
        <v>Good</v>
      </c>
      <c r="S13161" t="s">
        <v>605</v>
      </c>
    </row>
    <row r="13162" spans="1:19" x14ac:dyDescent="0.2">
      <c r="A13162" t="s">
        <v>13773</v>
      </c>
      <c r="B13162" t="s">
        <v>75</v>
      </c>
      <c r="C13162" t="s">
        <v>614</v>
      </c>
      <c r="D13162">
        <v>3489.15</v>
      </c>
      <c r="E13162" s="37" t="str">
        <f t="shared" si="1025"/>
        <v xml:space="preserve"> </v>
      </c>
      <c r="F13162">
        <v>0.1</v>
      </c>
      <c r="G13162" s="37" t="str">
        <f t="shared" si="1026"/>
        <v>Normal Discount</v>
      </c>
      <c r="H13162" s="37" t="str">
        <f t="shared" si="1027"/>
        <v>Low</v>
      </c>
      <c r="I13162">
        <v>4</v>
      </c>
      <c r="J13162" t="str" cm="1">
        <f t="array" ref="J13162">_xlfn.IFS(I13162&lt;=3,"small",I13162&lt;=6,"Medium",I13162&lt;=9,"Large")</f>
        <v>Medium</v>
      </c>
      <c r="K13162" s="36">
        <v>45589</v>
      </c>
      <c r="L13162" s="36">
        <v>45596</v>
      </c>
      <c r="M13162" t="s">
        <v>612</v>
      </c>
      <c r="N13162" t="s">
        <v>599</v>
      </c>
      <c r="O13162" s="37" t="str">
        <f t="shared" si="1028"/>
        <v>Digital Payment</v>
      </c>
      <c r="P13162">
        <v>466.54</v>
      </c>
      <c r="Q13162" s="37" t="str">
        <f>IF(P13162&gt;500,"High","low")</f>
        <v>low</v>
      </c>
      <c r="R13162" s="37" t="str">
        <f t="shared" si="1029"/>
        <v>AVERAGE</v>
      </c>
      <c r="S13162" t="s">
        <v>628</v>
      </c>
    </row>
    <row r="13163" spans="1:19" x14ac:dyDescent="0.2">
      <c r="A13163" t="s">
        <v>13774</v>
      </c>
      <c r="B13163" t="s">
        <v>90</v>
      </c>
      <c r="C13163" t="s">
        <v>617</v>
      </c>
      <c r="D13163">
        <v>3124.39</v>
      </c>
      <c r="E13163" s="37" t="str">
        <f t="shared" si="1025"/>
        <v xml:space="preserve"> </v>
      </c>
      <c r="F13163">
        <v>0.42</v>
      </c>
      <c r="G13163" s="37" t="str">
        <f t="shared" si="1026"/>
        <v>Heavy Discount</v>
      </c>
      <c r="H13163" s="37" t="str">
        <f t="shared" si="1027"/>
        <v>High</v>
      </c>
      <c r="I13163">
        <v>9</v>
      </c>
      <c r="J13163" t="str" cm="1">
        <f t="array" ref="J13163">_xlfn.IFS(I13163&lt;=3,"small",I13163&lt;=6,"Medium",I13163&lt;=9,"Large")</f>
        <v>Large</v>
      </c>
      <c r="K13163" s="36">
        <v>45251</v>
      </c>
      <c r="L13163" s="36">
        <v>45254</v>
      </c>
      <c r="M13163" t="s">
        <v>603</v>
      </c>
      <c r="N13163" t="s">
        <v>599</v>
      </c>
      <c r="O13163" s="37" t="str">
        <f t="shared" si="1028"/>
        <v>Digital Payment</v>
      </c>
      <c r="P13163">
        <v>437.95</v>
      </c>
      <c r="Q13163" s="37" t="str">
        <f>IF(P13163&gt;500,"High","low")</f>
        <v>low</v>
      </c>
      <c r="R13163" s="37" t="str">
        <f t="shared" si="1029"/>
        <v>AVERAGE</v>
      </c>
      <c r="S13163" t="s">
        <v>600</v>
      </c>
    </row>
    <row r="13164" spans="1:19" x14ac:dyDescent="0.2">
      <c r="A13164" t="s">
        <v>13775</v>
      </c>
      <c r="B13164" t="s">
        <v>75</v>
      </c>
      <c r="C13164" t="s">
        <v>597</v>
      </c>
      <c r="D13164">
        <v>1627.65</v>
      </c>
      <c r="E13164" s="37" t="str">
        <f t="shared" si="1025"/>
        <v xml:space="preserve"> </v>
      </c>
      <c r="F13164">
        <v>0.13</v>
      </c>
      <c r="G13164" s="37" t="str">
        <f t="shared" si="1026"/>
        <v>Normal Discount</v>
      </c>
      <c r="H13164" s="37" t="str">
        <f t="shared" si="1027"/>
        <v>Low</v>
      </c>
      <c r="I13164">
        <v>3</v>
      </c>
      <c r="J13164" t="str" cm="1">
        <f t="array" ref="J13164">_xlfn.IFS(I13164&lt;=3,"small",I13164&lt;=6,"Medium",I13164&lt;=9,"Large")</f>
        <v>small</v>
      </c>
      <c r="K13164" s="36">
        <v>44962</v>
      </c>
      <c r="L13164" s="36">
        <v>44964</v>
      </c>
      <c r="M13164" t="s">
        <v>612</v>
      </c>
      <c r="N13164" t="s">
        <v>608</v>
      </c>
      <c r="O13164" s="37" t="str">
        <f t="shared" si="1028"/>
        <v>Cash Payment</v>
      </c>
      <c r="P13164">
        <v>172.24</v>
      </c>
      <c r="Q13164" s="37" t="str">
        <f>IF(P13164&gt;500,"High","low")</f>
        <v>low</v>
      </c>
      <c r="R13164" s="37" t="str">
        <f t="shared" si="1029"/>
        <v>AVERAGE</v>
      </c>
      <c r="S13164" t="s">
        <v>620</v>
      </c>
    </row>
    <row r="13165" spans="1:19" x14ac:dyDescent="0.2">
      <c r="A13165" t="s">
        <v>13776</v>
      </c>
      <c r="B13165" t="s">
        <v>83</v>
      </c>
      <c r="C13165" t="s">
        <v>602</v>
      </c>
      <c r="D13165">
        <v>1818.38</v>
      </c>
      <c r="E13165" s="37" t="str">
        <f t="shared" si="1025"/>
        <v xml:space="preserve"> </v>
      </c>
      <c r="F13165">
        <v>0.13</v>
      </c>
      <c r="G13165" s="37" t="str">
        <f t="shared" si="1026"/>
        <v>Normal Discount</v>
      </c>
      <c r="H13165" s="37" t="str">
        <f t="shared" si="1027"/>
        <v>Low</v>
      </c>
      <c r="I13165">
        <v>8</v>
      </c>
      <c r="J13165" t="str" cm="1">
        <f t="array" ref="J13165">_xlfn.IFS(I13165&lt;=3,"small",I13165&lt;=6,"Medium",I13165&lt;=9,"Large")</f>
        <v>Large</v>
      </c>
      <c r="K13165" s="36">
        <v>45158</v>
      </c>
      <c r="L13165" s="36">
        <v>45162</v>
      </c>
      <c r="M13165" t="s">
        <v>603</v>
      </c>
      <c r="N13165" t="s">
        <v>604</v>
      </c>
      <c r="O13165" s="37" t="str">
        <f t="shared" si="1028"/>
        <v>Digital Payment</v>
      </c>
      <c r="P13165">
        <v>431.83</v>
      </c>
      <c r="Q13165" s="37" t="str">
        <f>IF(P13165&gt;500,"High","low")</f>
        <v>low</v>
      </c>
      <c r="R13165" s="37" t="str">
        <f t="shared" si="1029"/>
        <v>AVERAGE</v>
      </c>
      <c r="S13165" t="s">
        <v>609</v>
      </c>
    </row>
    <row r="13166" spans="1:19" x14ac:dyDescent="0.2">
      <c r="A13166" t="s">
        <v>13777</v>
      </c>
      <c r="B13166" t="s">
        <v>90</v>
      </c>
      <c r="C13166" t="s">
        <v>614</v>
      </c>
      <c r="D13166">
        <v>2916.2</v>
      </c>
      <c r="E13166" s="37" t="str">
        <f t="shared" si="1025"/>
        <v xml:space="preserve"> </v>
      </c>
      <c r="F13166">
        <v>0.06</v>
      </c>
      <c r="G13166" s="37" t="str">
        <f t="shared" si="1026"/>
        <v>Normal Discount</v>
      </c>
      <c r="H13166" s="37" t="str">
        <f t="shared" si="1027"/>
        <v>Low</v>
      </c>
      <c r="I13166">
        <v>9</v>
      </c>
      <c r="J13166" t="str" cm="1">
        <f t="array" ref="J13166">_xlfn.IFS(I13166&lt;=3,"small",I13166&lt;=6,"Medium",I13166&lt;=9,"Large")</f>
        <v>Large</v>
      </c>
      <c r="K13166" s="36">
        <v>45624</v>
      </c>
      <c r="L13166" s="36">
        <v>45628</v>
      </c>
      <c r="M13166" t="s">
        <v>603</v>
      </c>
      <c r="N13166" t="s">
        <v>608</v>
      </c>
      <c r="O13166" s="37" t="str">
        <f t="shared" si="1028"/>
        <v>Cash Payment</v>
      </c>
      <c r="P13166">
        <v>869.7</v>
      </c>
      <c r="Q13166" s="37" t="str">
        <f>IF(P13166&gt;500,"High","low")</f>
        <v>High</v>
      </c>
      <c r="R13166" s="37" t="str">
        <f t="shared" si="1029"/>
        <v>Good</v>
      </c>
      <c r="S13166" t="s">
        <v>609</v>
      </c>
    </row>
    <row r="13167" spans="1:19" x14ac:dyDescent="0.2">
      <c r="A13167" t="s">
        <v>13778</v>
      </c>
      <c r="B13167" t="s">
        <v>83</v>
      </c>
      <c r="C13167" t="s">
        <v>597</v>
      </c>
      <c r="D13167">
        <v>3628.87</v>
      </c>
      <c r="E13167" s="37" t="str">
        <f t="shared" si="1025"/>
        <v xml:space="preserve"> </v>
      </c>
      <c r="F13167">
        <v>0.43</v>
      </c>
      <c r="G13167" s="37" t="str">
        <f t="shared" si="1026"/>
        <v>Heavy Discount</v>
      </c>
      <c r="H13167" s="37" t="str">
        <f t="shared" si="1027"/>
        <v>High</v>
      </c>
      <c r="I13167">
        <v>2</v>
      </c>
      <c r="J13167" t="str" cm="1">
        <f t="array" ref="J13167">_xlfn.IFS(I13167&lt;=3,"small",I13167&lt;=6,"Medium",I13167&lt;=9,"Large")</f>
        <v>small</v>
      </c>
      <c r="K13167" s="36">
        <v>45528</v>
      </c>
      <c r="L13167" s="36">
        <v>45532</v>
      </c>
      <c r="M13167" t="s">
        <v>612</v>
      </c>
      <c r="N13167" t="s">
        <v>604</v>
      </c>
      <c r="O13167" s="37" t="str">
        <f t="shared" si="1028"/>
        <v>Digital Payment</v>
      </c>
      <c r="P13167">
        <v>238.03</v>
      </c>
      <c r="Q13167" s="37" t="str">
        <f>IF(P13167&gt;500,"High","low")</f>
        <v>low</v>
      </c>
      <c r="R13167" s="37" t="str">
        <f t="shared" si="1029"/>
        <v>AVERAGE</v>
      </c>
      <c r="S13167" t="s">
        <v>615</v>
      </c>
    </row>
    <row r="13168" spans="1:19" x14ac:dyDescent="0.2">
      <c r="A13168" t="s">
        <v>13779</v>
      </c>
      <c r="B13168" t="s">
        <v>67</v>
      </c>
      <c r="C13168" t="s">
        <v>607</v>
      </c>
      <c r="D13168">
        <v>2089.98</v>
      </c>
      <c r="E13168" s="37" t="str">
        <f t="shared" si="1025"/>
        <v xml:space="preserve"> </v>
      </c>
      <c r="F13168">
        <v>0.36</v>
      </c>
      <c r="G13168" s="37" t="str">
        <f t="shared" si="1026"/>
        <v>Heavy Discount</v>
      </c>
      <c r="H13168" s="37" t="str">
        <f t="shared" si="1027"/>
        <v>Medium</v>
      </c>
      <c r="I13168">
        <v>5</v>
      </c>
      <c r="J13168" t="str" cm="1">
        <f t="array" ref="J13168">_xlfn.IFS(I13168&lt;=3,"small",I13168&lt;=6,"Medium",I13168&lt;=9,"Large")</f>
        <v>Medium</v>
      </c>
      <c r="K13168" s="36">
        <v>45248</v>
      </c>
      <c r="L13168" s="36">
        <v>45253</v>
      </c>
      <c r="M13168" t="s">
        <v>598</v>
      </c>
      <c r="N13168" t="s">
        <v>599</v>
      </c>
      <c r="O13168" s="37" t="str">
        <f t="shared" si="1028"/>
        <v>Digital Payment</v>
      </c>
      <c r="P13168">
        <v>317.16000000000003</v>
      </c>
      <c r="Q13168" s="37" t="str">
        <f>IF(P13168&gt;500,"High","low")</f>
        <v>low</v>
      </c>
      <c r="R13168" s="37" t="str">
        <f t="shared" si="1029"/>
        <v>AVERAGE</v>
      </c>
      <c r="S13168" t="s">
        <v>600</v>
      </c>
    </row>
    <row r="13169" spans="1:19" x14ac:dyDescent="0.2">
      <c r="A13169" t="s">
        <v>13780</v>
      </c>
      <c r="B13169" t="s">
        <v>83</v>
      </c>
      <c r="C13169" t="s">
        <v>617</v>
      </c>
      <c r="D13169">
        <v>799.07</v>
      </c>
      <c r="E13169" s="37" t="str">
        <f t="shared" si="1025"/>
        <v xml:space="preserve"> </v>
      </c>
      <c r="F13169">
        <v>0.17</v>
      </c>
      <c r="G13169" s="37" t="str">
        <f t="shared" si="1026"/>
        <v>Normal Discount</v>
      </c>
      <c r="H13169" s="37" t="str">
        <f t="shared" si="1027"/>
        <v>Low</v>
      </c>
      <c r="I13169">
        <v>6</v>
      </c>
      <c r="J13169" t="str" cm="1">
        <f t="array" ref="J13169">_xlfn.IFS(I13169&lt;=3,"small",I13169&lt;=6,"Medium",I13169&lt;=9,"Large")</f>
        <v>Medium</v>
      </c>
      <c r="K13169" s="36">
        <v>45152</v>
      </c>
      <c r="L13169" s="36">
        <v>45156</v>
      </c>
      <c r="M13169" t="s">
        <v>598</v>
      </c>
      <c r="N13169" t="s">
        <v>608</v>
      </c>
      <c r="O13169" s="37" t="str">
        <f t="shared" si="1028"/>
        <v>Cash Payment</v>
      </c>
      <c r="P13169">
        <v>108.53</v>
      </c>
      <c r="Q13169" s="37" t="str">
        <f>IF(P13169&gt;500,"High","low")</f>
        <v>low</v>
      </c>
      <c r="R13169" s="37" t="str">
        <f t="shared" si="1029"/>
        <v>AVERAGE</v>
      </c>
      <c r="S13169" t="s">
        <v>600</v>
      </c>
    </row>
    <row r="13170" spans="1:19" x14ac:dyDescent="0.2">
      <c r="A13170" t="s">
        <v>13781</v>
      </c>
      <c r="B13170" t="s">
        <v>83</v>
      </c>
      <c r="C13170" t="s">
        <v>597</v>
      </c>
      <c r="D13170">
        <v>2351.14</v>
      </c>
      <c r="E13170" s="37" t="str">
        <f t="shared" si="1025"/>
        <v xml:space="preserve"> </v>
      </c>
      <c r="F13170">
        <v>0.17</v>
      </c>
      <c r="G13170" s="37" t="str">
        <f t="shared" si="1026"/>
        <v>Normal Discount</v>
      </c>
      <c r="H13170" s="37" t="str">
        <f t="shared" si="1027"/>
        <v>Low</v>
      </c>
      <c r="I13170">
        <v>5</v>
      </c>
      <c r="J13170" t="str" cm="1">
        <f t="array" ref="J13170">_xlfn.IFS(I13170&lt;=3,"small",I13170&lt;=6,"Medium",I13170&lt;=9,"Large")</f>
        <v>Medium</v>
      </c>
      <c r="K13170" s="36">
        <v>45286</v>
      </c>
      <c r="L13170" s="36">
        <v>45291</v>
      </c>
      <c r="M13170" t="s">
        <v>603</v>
      </c>
      <c r="N13170" t="s">
        <v>604</v>
      </c>
      <c r="O13170" s="37" t="str">
        <f t="shared" si="1028"/>
        <v>Digital Payment</v>
      </c>
      <c r="P13170">
        <v>326.11</v>
      </c>
      <c r="Q13170" s="37" t="str">
        <f>IF(P13170&gt;500,"High","low")</f>
        <v>low</v>
      </c>
      <c r="R13170" s="37" t="str">
        <f t="shared" si="1029"/>
        <v>AVERAGE</v>
      </c>
      <c r="S13170" t="s">
        <v>609</v>
      </c>
    </row>
    <row r="13171" spans="1:19" x14ac:dyDescent="0.2">
      <c r="A13171" t="s">
        <v>13782</v>
      </c>
      <c r="B13171" t="s">
        <v>83</v>
      </c>
      <c r="C13171" t="s">
        <v>617</v>
      </c>
      <c r="D13171">
        <v>4819.62</v>
      </c>
      <c r="E13171" s="37" t="str">
        <f t="shared" si="1025"/>
        <v>Excellent Order</v>
      </c>
      <c r="F13171">
        <v>0.42</v>
      </c>
      <c r="G13171" s="37" t="str">
        <f t="shared" si="1026"/>
        <v>Heavy Discount</v>
      </c>
      <c r="H13171" s="37" t="str">
        <f t="shared" si="1027"/>
        <v>High</v>
      </c>
      <c r="I13171">
        <v>6</v>
      </c>
      <c r="J13171" t="str" cm="1">
        <f t="array" ref="J13171">_xlfn.IFS(I13171&lt;=3,"small",I13171&lt;=6,"Medium",I13171&lt;=9,"Large")</f>
        <v>Medium</v>
      </c>
      <c r="K13171" s="36">
        <v>45117</v>
      </c>
      <c r="L13171" s="36">
        <v>45124</v>
      </c>
      <c r="M13171" t="s">
        <v>603</v>
      </c>
      <c r="N13171" t="s">
        <v>599</v>
      </c>
      <c r="O13171" s="37" t="str">
        <f t="shared" si="1028"/>
        <v>Digital Payment</v>
      </c>
      <c r="P13171">
        <v>872.62</v>
      </c>
      <c r="Q13171" s="37" t="str">
        <f>IF(P13171&gt;500,"High","low")</f>
        <v>High</v>
      </c>
      <c r="R13171" s="37" t="str">
        <f t="shared" si="1029"/>
        <v>Good</v>
      </c>
      <c r="S13171" t="s">
        <v>620</v>
      </c>
    </row>
    <row r="13172" spans="1:19" x14ac:dyDescent="0.2">
      <c r="A13172" t="s">
        <v>13783</v>
      </c>
      <c r="B13172" t="s">
        <v>83</v>
      </c>
      <c r="C13172" t="s">
        <v>597</v>
      </c>
      <c r="D13172">
        <v>1149.03</v>
      </c>
      <c r="E13172" s="37" t="str">
        <f t="shared" si="1025"/>
        <v xml:space="preserve"> </v>
      </c>
      <c r="F13172">
        <v>0.46</v>
      </c>
      <c r="G13172" s="37" t="str">
        <f t="shared" si="1026"/>
        <v>Heavy Discount</v>
      </c>
      <c r="H13172" s="37" t="str">
        <f t="shared" si="1027"/>
        <v>High</v>
      </c>
      <c r="I13172">
        <v>5</v>
      </c>
      <c r="J13172" t="str" cm="1">
        <f t="array" ref="J13172">_xlfn.IFS(I13172&lt;=3,"small",I13172&lt;=6,"Medium",I13172&lt;=9,"Large")</f>
        <v>Medium</v>
      </c>
      <c r="K13172" s="36">
        <v>45099</v>
      </c>
      <c r="L13172" s="36">
        <v>45104</v>
      </c>
      <c r="M13172" t="s">
        <v>598</v>
      </c>
      <c r="N13172" t="s">
        <v>604</v>
      </c>
      <c r="O13172" s="37" t="str">
        <f t="shared" si="1028"/>
        <v>Digital Payment</v>
      </c>
      <c r="P13172">
        <v>246.67</v>
      </c>
      <c r="Q13172" s="37" t="str">
        <f>IF(P13172&gt;500,"High","low")</f>
        <v>low</v>
      </c>
      <c r="R13172" s="37" t="str">
        <f t="shared" si="1029"/>
        <v>AVERAGE</v>
      </c>
      <c r="S13172" t="s">
        <v>609</v>
      </c>
    </row>
    <row r="13173" spans="1:19" x14ac:dyDescent="0.2">
      <c r="A13173" t="s">
        <v>13784</v>
      </c>
      <c r="B13173" t="s">
        <v>75</v>
      </c>
      <c r="C13173" t="s">
        <v>607</v>
      </c>
      <c r="D13173">
        <v>3280.44</v>
      </c>
      <c r="E13173" s="37" t="str">
        <f t="shared" si="1025"/>
        <v xml:space="preserve"> </v>
      </c>
      <c r="F13173">
        <v>0.3</v>
      </c>
      <c r="G13173" s="37" t="str">
        <f t="shared" si="1026"/>
        <v>Normal Discount</v>
      </c>
      <c r="H13173" s="37" t="str">
        <f t="shared" si="1027"/>
        <v>Medium</v>
      </c>
      <c r="I13173">
        <v>7</v>
      </c>
      <c r="J13173" t="str" cm="1">
        <f t="array" ref="J13173">_xlfn.IFS(I13173&lt;=3,"small",I13173&lt;=6,"Medium",I13173&lt;=9,"Large")</f>
        <v>Large</v>
      </c>
      <c r="K13173" s="36">
        <v>45521</v>
      </c>
      <c r="L13173" s="36">
        <v>45528</v>
      </c>
      <c r="M13173" t="s">
        <v>612</v>
      </c>
      <c r="N13173" t="s">
        <v>599</v>
      </c>
      <c r="O13173" s="37" t="str">
        <f t="shared" si="1028"/>
        <v>Digital Payment</v>
      </c>
      <c r="P13173">
        <v>566.87</v>
      </c>
      <c r="Q13173" s="37" t="str">
        <f>IF(P13173&gt;500,"High","low")</f>
        <v>High</v>
      </c>
      <c r="R13173" s="37" t="str">
        <f t="shared" si="1029"/>
        <v>Good</v>
      </c>
      <c r="S13173" t="s">
        <v>615</v>
      </c>
    </row>
    <row r="13174" spans="1:19" x14ac:dyDescent="0.2">
      <c r="A13174" t="s">
        <v>13785</v>
      </c>
      <c r="B13174" t="s">
        <v>90</v>
      </c>
      <c r="C13174" t="s">
        <v>614</v>
      </c>
      <c r="D13174">
        <v>4914.45</v>
      </c>
      <c r="E13174" s="37" t="str">
        <f t="shared" si="1025"/>
        <v>Excellent Order</v>
      </c>
      <c r="F13174">
        <v>0.2</v>
      </c>
      <c r="G13174" s="37" t="str">
        <f t="shared" si="1026"/>
        <v>Normal Discount</v>
      </c>
      <c r="H13174" s="37" t="str">
        <f t="shared" si="1027"/>
        <v>Medium</v>
      </c>
      <c r="I13174">
        <v>5</v>
      </c>
      <c r="J13174" t="str" cm="1">
        <f t="array" ref="J13174">_xlfn.IFS(I13174&lt;=3,"small",I13174&lt;=6,"Medium",I13174&lt;=9,"Large")</f>
        <v>Medium</v>
      </c>
      <c r="K13174" s="36">
        <v>45559</v>
      </c>
      <c r="L13174" s="36">
        <v>45566</v>
      </c>
      <c r="M13174" t="s">
        <v>603</v>
      </c>
      <c r="N13174" t="s">
        <v>599</v>
      </c>
      <c r="O13174" s="37" t="str">
        <f t="shared" si="1028"/>
        <v>Digital Payment</v>
      </c>
      <c r="P13174">
        <v>1181.18</v>
      </c>
      <c r="Q13174" s="37" t="str">
        <f>IF(P13174&gt;500,"High","low")</f>
        <v>High</v>
      </c>
      <c r="R13174" s="37" t="str">
        <f t="shared" si="1029"/>
        <v>Excellent</v>
      </c>
      <c r="S13174" t="s">
        <v>620</v>
      </c>
    </row>
    <row r="13175" spans="1:19" x14ac:dyDescent="0.2">
      <c r="A13175" t="s">
        <v>13786</v>
      </c>
      <c r="B13175" t="s">
        <v>75</v>
      </c>
      <c r="C13175" t="s">
        <v>617</v>
      </c>
      <c r="D13175">
        <v>1943.56</v>
      </c>
      <c r="E13175" s="37" t="str">
        <f t="shared" si="1025"/>
        <v xml:space="preserve"> </v>
      </c>
      <c r="F13175">
        <v>0.03</v>
      </c>
      <c r="G13175" s="37" t="str">
        <f t="shared" si="1026"/>
        <v>Normal Discount</v>
      </c>
      <c r="H13175" s="37" t="str">
        <f t="shared" si="1027"/>
        <v>Low</v>
      </c>
      <c r="I13175">
        <v>5</v>
      </c>
      <c r="J13175" t="str" cm="1">
        <f t="array" ref="J13175">_xlfn.IFS(I13175&lt;=3,"small",I13175&lt;=6,"Medium",I13175&lt;=9,"Large")</f>
        <v>Medium</v>
      </c>
      <c r="K13175" s="36">
        <v>45392</v>
      </c>
      <c r="L13175" s="36">
        <v>45398</v>
      </c>
      <c r="M13175" t="s">
        <v>612</v>
      </c>
      <c r="N13175" t="s">
        <v>604</v>
      </c>
      <c r="O13175" s="37" t="str">
        <f t="shared" si="1028"/>
        <v>Digital Payment</v>
      </c>
      <c r="P13175">
        <v>127.92</v>
      </c>
      <c r="Q13175" s="37" t="str">
        <f>IF(P13175&gt;500,"High","low")</f>
        <v>low</v>
      </c>
      <c r="R13175" s="37" t="str">
        <f t="shared" si="1029"/>
        <v>AVERAGE</v>
      </c>
      <c r="S13175" t="s">
        <v>628</v>
      </c>
    </row>
    <row r="13176" spans="1:19" x14ac:dyDescent="0.2">
      <c r="A13176" t="s">
        <v>13787</v>
      </c>
      <c r="B13176" t="s">
        <v>75</v>
      </c>
      <c r="C13176" t="s">
        <v>617</v>
      </c>
      <c r="D13176">
        <v>4450.63</v>
      </c>
      <c r="E13176" s="37" t="str">
        <f t="shared" si="1025"/>
        <v>Excellent Order</v>
      </c>
      <c r="F13176">
        <v>0.06</v>
      </c>
      <c r="G13176" s="37" t="str">
        <f t="shared" si="1026"/>
        <v>Normal Discount</v>
      </c>
      <c r="H13176" s="37" t="str">
        <f t="shared" si="1027"/>
        <v>Low</v>
      </c>
      <c r="I13176">
        <v>7</v>
      </c>
      <c r="J13176" t="str" cm="1">
        <f t="array" ref="J13176">_xlfn.IFS(I13176&lt;=3,"small",I13176&lt;=6,"Medium",I13176&lt;=9,"Large")</f>
        <v>Large</v>
      </c>
      <c r="K13176" s="36">
        <v>45616</v>
      </c>
      <c r="L13176" s="36">
        <v>45619</v>
      </c>
      <c r="M13176" t="s">
        <v>598</v>
      </c>
      <c r="N13176" t="s">
        <v>608</v>
      </c>
      <c r="O13176" s="37" t="str">
        <f t="shared" si="1028"/>
        <v>Cash Payment</v>
      </c>
      <c r="P13176">
        <v>1113.48</v>
      </c>
      <c r="Q13176" s="37" t="str">
        <f>IF(P13176&gt;500,"High","low")</f>
        <v>High</v>
      </c>
      <c r="R13176" s="37" t="str">
        <f t="shared" si="1029"/>
        <v>Excellent</v>
      </c>
      <c r="S13176" t="s">
        <v>600</v>
      </c>
    </row>
    <row r="13177" spans="1:19" x14ac:dyDescent="0.2">
      <c r="A13177" t="s">
        <v>13788</v>
      </c>
      <c r="B13177" t="s">
        <v>75</v>
      </c>
      <c r="C13177" t="s">
        <v>614</v>
      </c>
      <c r="D13177">
        <v>4333.6400000000003</v>
      </c>
      <c r="E13177" s="37" t="str">
        <f t="shared" si="1025"/>
        <v>Excellent Order</v>
      </c>
      <c r="F13177">
        <v>7.0000000000000007E-2</v>
      </c>
      <c r="G13177" s="37" t="str">
        <f t="shared" si="1026"/>
        <v>Normal Discount</v>
      </c>
      <c r="H13177" s="37" t="str">
        <f t="shared" si="1027"/>
        <v>Low</v>
      </c>
      <c r="I13177">
        <v>3</v>
      </c>
      <c r="J13177" t="str" cm="1">
        <f t="array" ref="J13177">_xlfn.IFS(I13177&lt;=3,"small",I13177&lt;=6,"Medium",I13177&lt;=9,"Large")</f>
        <v>small</v>
      </c>
      <c r="K13177" s="36">
        <v>45125</v>
      </c>
      <c r="L13177" s="36">
        <v>45131</v>
      </c>
      <c r="M13177" t="s">
        <v>603</v>
      </c>
      <c r="N13177" t="s">
        <v>599</v>
      </c>
      <c r="O13177" s="37" t="str">
        <f t="shared" si="1028"/>
        <v>Digital Payment</v>
      </c>
      <c r="P13177">
        <v>1173.01</v>
      </c>
      <c r="Q13177" s="37" t="str">
        <f>IF(P13177&gt;500,"High","low")</f>
        <v>High</v>
      </c>
      <c r="R13177" s="37" t="str">
        <f t="shared" si="1029"/>
        <v>Excellent</v>
      </c>
      <c r="S13177" t="s">
        <v>605</v>
      </c>
    </row>
    <row r="13178" spans="1:19" x14ac:dyDescent="0.2">
      <c r="A13178" t="s">
        <v>13789</v>
      </c>
      <c r="B13178" t="s">
        <v>83</v>
      </c>
      <c r="C13178" t="s">
        <v>617</v>
      </c>
      <c r="D13178">
        <v>1761.32</v>
      </c>
      <c r="E13178" s="37" t="str">
        <f t="shared" si="1025"/>
        <v xml:space="preserve"> </v>
      </c>
      <c r="F13178">
        <v>0.14000000000000001</v>
      </c>
      <c r="G13178" s="37" t="str">
        <f t="shared" si="1026"/>
        <v>Normal Discount</v>
      </c>
      <c r="H13178" s="37" t="str">
        <f t="shared" si="1027"/>
        <v>Low</v>
      </c>
      <c r="I13178">
        <v>7</v>
      </c>
      <c r="J13178" t="str" cm="1">
        <f t="array" ref="J13178">_xlfn.IFS(I13178&lt;=3,"small",I13178&lt;=6,"Medium",I13178&lt;=9,"Large")</f>
        <v>Large</v>
      </c>
      <c r="K13178" s="36">
        <v>45055</v>
      </c>
      <c r="L13178" s="36">
        <v>45060</v>
      </c>
      <c r="M13178" t="s">
        <v>598</v>
      </c>
      <c r="N13178" t="s">
        <v>604</v>
      </c>
      <c r="O13178" s="37" t="str">
        <f t="shared" si="1028"/>
        <v>Digital Payment</v>
      </c>
      <c r="P13178">
        <v>351.15</v>
      </c>
      <c r="Q13178" s="37" t="str">
        <f>IF(P13178&gt;500,"High","low")</f>
        <v>low</v>
      </c>
      <c r="R13178" s="37" t="str">
        <f t="shared" si="1029"/>
        <v>AVERAGE</v>
      </c>
      <c r="S13178" t="s">
        <v>600</v>
      </c>
    </row>
    <row r="13179" spans="1:19" x14ac:dyDescent="0.2">
      <c r="A13179" t="s">
        <v>13790</v>
      </c>
      <c r="B13179" t="s">
        <v>75</v>
      </c>
      <c r="C13179" t="s">
        <v>602</v>
      </c>
      <c r="D13179">
        <v>582.73</v>
      </c>
      <c r="E13179" s="37" t="str">
        <f t="shared" si="1025"/>
        <v xml:space="preserve"> </v>
      </c>
      <c r="F13179">
        <v>0.13</v>
      </c>
      <c r="G13179" s="37" t="str">
        <f t="shared" si="1026"/>
        <v>Normal Discount</v>
      </c>
      <c r="H13179" s="37" t="str">
        <f t="shared" si="1027"/>
        <v>Low</v>
      </c>
      <c r="I13179">
        <v>8</v>
      </c>
      <c r="J13179" t="str" cm="1">
        <f t="array" ref="J13179">_xlfn.IFS(I13179&lt;=3,"small",I13179&lt;=6,"Medium",I13179&lt;=9,"Large")</f>
        <v>Large</v>
      </c>
      <c r="K13179" s="36">
        <v>45268</v>
      </c>
      <c r="L13179" s="36">
        <v>45274</v>
      </c>
      <c r="M13179" t="s">
        <v>598</v>
      </c>
      <c r="N13179" t="s">
        <v>599</v>
      </c>
      <c r="O13179" s="37" t="str">
        <f t="shared" si="1028"/>
        <v>Digital Payment</v>
      </c>
      <c r="P13179">
        <v>75.73</v>
      </c>
      <c r="Q13179" s="37" t="str">
        <f>IF(P13179&gt;500,"High","low")</f>
        <v>low</v>
      </c>
      <c r="R13179" s="37" t="str">
        <f t="shared" si="1029"/>
        <v>AVERAGE</v>
      </c>
      <c r="S13179" t="s">
        <v>628</v>
      </c>
    </row>
    <row r="13180" spans="1:19" x14ac:dyDescent="0.2">
      <c r="A13180" t="s">
        <v>13791</v>
      </c>
      <c r="B13180" t="s">
        <v>90</v>
      </c>
      <c r="C13180" t="s">
        <v>614</v>
      </c>
      <c r="D13180">
        <v>974.84</v>
      </c>
      <c r="E13180" s="37" t="str">
        <f t="shared" si="1025"/>
        <v xml:space="preserve"> </v>
      </c>
      <c r="F13180">
        <v>0.27</v>
      </c>
      <c r="G13180" s="37" t="str">
        <f t="shared" si="1026"/>
        <v>Normal Discount</v>
      </c>
      <c r="H13180" s="37" t="str">
        <f t="shared" si="1027"/>
        <v>Medium</v>
      </c>
      <c r="I13180">
        <v>5</v>
      </c>
      <c r="J13180" t="str" cm="1">
        <f t="array" ref="J13180">_xlfn.IFS(I13180&lt;=3,"small",I13180&lt;=6,"Medium",I13180&lt;=9,"Large")</f>
        <v>Medium</v>
      </c>
      <c r="K13180" s="36">
        <v>45009</v>
      </c>
      <c r="L13180" s="36">
        <v>45010</v>
      </c>
      <c r="M13180" t="s">
        <v>612</v>
      </c>
      <c r="N13180" t="s">
        <v>599</v>
      </c>
      <c r="O13180" s="37" t="str">
        <f t="shared" si="1028"/>
        <v>Digital Payment</v>
      </c>
      <c r="P13180">
        <v>164.22</v>
      </c>
      <c r="Q13180" s="37" t="str">
        <f>IF(P13180&gt;500,"High","low")</f>
        <v>low</v>
      </c>
      <c r="R13180" s="37" t="str">
        <f t="shared" si="1029"/>
        <v>AVERAGE</v>
      </c>
      <c r="S13180" t="s">
        <v>628</v>
      </c>
    </row>
    <row r="13181" spans="1:19" x14ac:dyDescent="0.2">
      <c r="A13181" t="s">
        <v>13792</v>
      </c>
      <c r="B13181" t="s">
        <v>75</v>
      </c>
      <c r="C13181" t="s">
        <v>607</v>
      </c>
      <c r="D13181">
        <v>1892.17</v>
      </c>
      <c r="E13181" s="37" t="str">
        <f t="shared" si="1025"/>
        <v xml:space="preserve"> </v>
      </c>
      <c r="F13181">
        <v>0.47</v>
      </c>
      <c r="G13181" s="37" t="str">
        <f t="shared" si="1026"/>
        <v>Heavy Discount</v>
      </c>
      <c r="H13181" s="37" t="str">
        <f t="shared" si="1027"/>
        <v>High</v>
      </c>
      <c r="I13181">
        <v>4</v>
      </c>
      <c r="J13181" t="str" cm="1">
        <f t="array" ref="J13181">_xlfn.IFS(I13181&lt;=3,"small",I13181&lt;=6,"Medium",I13181&lt;=9,"Large")</f>
        <v>Medium</v>
      </c>
      <c r="K13181" s="36">
        <v>45063</v>
      </c>
      <c r="L13181" s="36">
        <v>45067</v>
      </c>
      <c r="M13181" t="s">
        <v>612</v>
      </c>
      <c r="N13181" t="s">
        <v>608</v>
      </c>
      <c r="O13181" s="37" t="str">
        <f t="shared" si="1028"/>
        <v>Cash Payment</v>
      </c>
      <c r="P13181">
        <v>376.26</v>
      </c>
      <c r="Q13181" s="37" t="str">
        <f>IF(P13181&gt;500,"High","low")</f>
        <v>low</v>
      </c>
      <c r="R13181" s="37" t="str">
        <f t="shared" si="1029"/>
        <v>AVERAGE</v>
      </c>
      <c r="S13181" t="s">
        <v>605</v>
      </c>
    </row>
    <row r="13182" spans="1:19" x14ac:dyDescent="0.2">
      <c r="A13182" t="s">
        <v>13793</v>
      </c>
      <c r="B13182" t="s">
        <v>67</v>
      </c>
      <c r="C13182" t="s">
        <v>597</v>
      </c>
      <c r="D13182">
        <v>4799.76</v>
      </c>
      <c r="E13182" s="37" t="str">
        <f t="shared" si="1025"/>
        <v>Excellent Order</v>
      </c>
      <c r="F13182">
        <v>0.43</v>
      </c>
      <c r="G13182" s="37" t="str">
        <f t="shared" si="1026"/>
        <v>Heavy Discount</v>
      </c>
      <c r="H13182" s="37" t="str">
        <f t="shared" si="1027"/>
        <v>High</v>
      </c>
      <c r="I13182">
        <v>2</v>
      </c>
      <c r="J13182" t="str" cm="1">
        <f t="array" ref="J13182">_xlfn.IFS(I13182&lt;=3,"small",I13182&lt;=6,"Medium",I13182&lt;=9,"Large")</f>
        <v>small</v>
      </c>
      <c r="K13182" s="36">
        <v>45537</v>
      </c>
      <c r="L13182" s="36">
        <v>45539</v>
      </c>
      <c r="M13182" t="s">
        <v>612</v>
      </c>
      <c r="N13182" t="s">
        <v>608</v>
      </c>
      <c r="O13182" s="37" t="str">
        <f t="shared" si="1028"/>
        <v>Cash Payment</v>
      </c>
      <c r="P13182">
        <v>1195.5</v>
      </c>
      <c r="Q13182" s="37" t="str">
        <f>IF(P13182&gt;500,"High","low")</f>
        <v>High</v>
      </c>
      <c r="R13182" s="37" t="str">
        <f t="shared" si="1029"/>
        <v>Excellent</v>
      </c>
      <c r="S13182" t="s">
        <v>620</v>
      </c>
    </row>
    <row r="13183" spans="1:19" x14ac:dyDescent="0.2">
      <c r="A13183" t="s">
        <v>13794</v>
      </c>
      <c r="B13183" t="s">
        <v>83</v>
      </c>
      <c r="C13183" t="s">
        <v>597</v>
      </c>
      <c r="D13183">
        <v>1444.81</v>
      </c>
      <c r="E13183" s="37" t="str">
        <f t="shared" si="1025"/>
        <v xml:space="preserve"> </v>
      </c>
      <c r="F13183">
        <v>0.25</v>
      </c>
      <c r="G13183" s="37" t="str">
        <f t="shared" si="1026"/>
        <v>Normal Discount</v>
      </c>
      <c r="H13183" s="37" t="str">
        <f t="shared" si="1027"/>
        <v>Medium</v>
      </c>
      <c r="I13183">
        <v>5</v>
      </c>
      <c r="J13183" t="str" cm="1">
        <f t="array" ref="J13183">_xlfn.IFS(I13183&lt;=3,"small",I13183&lt;=6,"Medium",I13183&lt;=9,"Large")</f>
        <v>Medium</v>
      </c>
      <c r="K13183" s="36">
        <v>45428</v>
      </c>
      <c r="L13183" s="36">
        <v>45432</v>
      </c>
      <c r="M13183" t="s">
        <v>612</v>
      </c>
      <c r="N13183" t="s">
        <v>599</v>
      </c>
      <c r="O13183" s="37" t="str">
        <f t="shared" si="1028"/>
        <v>Digital Payment</v>
      </c>
      <c r="P13183">
        <v>355.38</v>
      </c>
      <c r="Q13183" s="37" t="str">
        <f>IF(P13183&gt;500,"High","low")</f>
        <v>low</v>
      </c>
      <c r="R13183" s="37" t="str">
        <f t="shared" si="1029"/>
        <v>AVERAGE</v>
      </c>
      <c r="S13183" t="s">
        <v>600</v>
      </c>
    </row>
    <row r="13184" spans="1:19" x14ac:dyDescent="0.2">
      <c r="A13184" t="s">
        <v>13795</v>
      </c>
      <c r="B13184" t="s">
        <v>67</v>
      </c>
      <c r="C13184" t="s">
        <v>614</v>
      </c>
      <c r="D13184">
        <v>4641.6400000000003</v>
      </c>
      <c r="E13184" s="37" t="str">
        <f t="shared" si="1025"/>
        <v xml:space="preserve"> </v>
      </c>
      <c r="F13184">
        <v>0.01</v>
      </c>
      <c r="G13184" s="37" t="str">
        <f t="shared" si="1026"/>
        <v>Normal Discount</v>
      </c>
      <c r="H13184" s="37" t="str">
        <f t="shared" si="1027"/>
        <v>Low</v>
      </c>
      <c r="I13184">
        <v>6</v>
      </c>
      <c r="J13184" t="str" cm="1">
        <f t="array" ref="J13184">_xlfn.IFS(I13184&lt;=3,"small",I13184&lt;=6,"Medium",I13184&lt;=9,"Large")</f>
        <v>Medium</v>
      </c>
      <c r="K13184" s="36">
        <v>45089</v>
      </c>
      <c r="L13184" s="36">
        <v>45090</v>
      </c>
      <c r="M13184" t="s">
        <v>603</v>
      </c>
      <c r="N13184" t="s">
        <v>604</v>
      </c>
      <c r="O13184" s="37" t="str">
        <f t="shared" si="1028"/>
        <v>Digital Payment</v>
      </c>
      <c r="P13184">
        <v>635.1</v>
      </c>
      <c r="Q13184" s="37" t="str">
        <f>IF(P13184&gt;500,"High","low")</f>
        <v>High</v>
      </c>
      <c r="R13184" s="37" t="str">
        <f t="shared" si="1029"/>
        <v>Good</v>
      </c>
      <c r="S13184" t="s">
        <v>605</v>
      </c>
    </row>
    <row r="13185" spans="1:19" x14ac:dyDescent="0.2">
      <c r="A13185" t="s">
        <v>13796</v>
      </c>
      <c r="B13185" t="s">
        <v>90</v>
      </c>
      <c r="C13185" t="s">
        <v>602</v>
      </c>
      <c r="D13185">
        <v>988.69</v>
      </c>
      <c r="E13185" s="37" t="str">
        <f t="shared" si="1025"/>
        <v xml:space="preserve"> </v>
      </c>
      <c r="F13185">
        <v>0.03</v>
      </c>
      <c r="G13185" s="37" t="str">
        <f t="shared" si="1026"/>
        <v>Normal Discount</v>
      </c>
      <c r="H13185" s="37" t="str">
        <f t="shared" si="1027"/>
        <v>Low</v>
      </c>
      <c r="I13185">
        <v>9</v>
      </c>
      <c r="J13185" t="str" cm="1">
        <f t="array" ref="J13185">_xlfn.IFS(I13185&lt;=3,"small",I13185&lt;=6,"Medium",I13185&lt;=9,"Large")</f>
        <v>Large</v>
      </c>
      <c r="K13185" s="36">
        <v>45067</v>
      </c>
      <c r="L13185" s="36">
        <v>45074</v>
      </c>
      <c r="M13185" t="s">
        <v>603</v>
      </c>
      <c r="N13185" t="s">
        <v>604</v>
      </c>
      <c r="O13185" s="37" t="str">
        <f t="shared" si="1028"/>
        <v>Digital Payment</v>
      </c>
      <c r="P13185">
        <v>156.47</v>
      </c>
      <c r="Q13185" s="37" t="str">
        <f>IF(P13185&gt;500,"High","low")</f>
        <v>low</v>
      </c>
      <c r="R13185" s="37" t="str">
        <f t="shared" si="1029"/>
        <v>AVERAGE</v>
      </c>
      <c r="S13185" t="s">
        <v>615</v>
      </c>
    </row>
    <row r="13186" spans="1:19" x14ac:dyDescent="0.2">
      <c r="A13186" t="s">
        <v>13797</v>
      </c>
      <c r="B13186" t="s">
        <v>90</v>
      </c>
      <c r="C13186" t="s">
        <v>607</v>
      </c>
      <c r="D13186">
        <v>4852.08</v>
      </c>
      <c r="E13186" s="37" t="str">
        <f t="shared" si="1025"/>
        <v>Excellent Order</v>
      </c>
      <c r="F13186">
        <v>0.43</v>
      </c>
      <c r="G13186" s="37" t="str">
        <f t="shared" si="1026"/>
        <v>Heavy Discount</v>
      </c>
      <c r="H13186" s="37" t="str">
        <f t="shared" si="1027"/>
        <v>High</v>
      </c>
      <c r="I13186">
        <v>6</v>
      </c>
      <c r="J13186" t="str" cm="1">
        <f t="array" ref="J13186">_xlfn.IFS(I13186&lt;=3,"small",I13186&lt;=6,"Medium",I13186&lt;=9,"Large")</f>
        <v>Medium</v>
      </c>
      <c r="K13186" s="36">
        <v>45592</v>
      </c>
      <c r="L13186" s="36">
        <v>45598</v>
      </c>
      <c r="M13186" t="s">
        <v>603</v>
      </c>
      <c r="N13186" t="s">
        <v>608</v>
      </c>
      <c r="O13186" s="37" t="str">
        <f t="shared" si="1028"/>
        <v>Cash Payment</v>
      </c>
      <c r="P13186">
        <v>1170.9000000000001</v>
      </c>
      <c r="Q13186" s="37" t="str">
        <f>IF(P13186&gt;500,"High","low")</f>
        <v>High</v>
      </c>
      <c r="R13186" s="37" t="str">
        <f t="shared" si="1029"/>
        <v>Excellent</v>
      </c>
      <c r="S13186" t="s">
        <v>600</v>
      </c>
    </row>
    <row r="13187" spans="1:19" x14ac:dyDescent="0.2">
      <c r="A13187" t="s">
        <v>13798</v>
      </c>
      <c r="B13187" t="s">
        <v>90</v>
      </c>
      <c r="C13187" t="s">
        <v>597</v>
      </c>
      <c r="D13187">
        <v>1538.66</v>
      </c>
      <c r="E13187" s="37" t="str">
        <f t="shared" ref="E13187:E13250" si="1030">IF(AND(D13187&gt;4000,P13187&gt;800),"Excellent Order"," ")</f>
        <v xml:space="preserve"> </v>
      </c>
      <c r="F13187">
        <v>0.14000000000000001</v>
      </c>
      <c r="G13187" s="37" t="str">
        <f t="shared" ref="G13187:G13250" si="1031">IF(F13187&gt;30%,"Heavy Discount","Normal Discount")</f>
        <v>Normal Discount</v>
      </c>
      <c r="H13187" s="37" t="str">
        <f t="shared" ref="H13187:H13250" si="1032">IF(F13187&gt;0.4,"High",IF(F13187&gt;=0.2,"Medium","Low"))</f>
        <v>Low</v>
      </c>
      <c r="I13187">
        <v>6</v>
      </c>
      <c r="J13187" t="str" cm="1">
        <f t="array" ref="J13187">_xlfn.IFS(I13187&lt;=3,"small",I13187&lt;=6,"Medium",I13187&lt;=9,"Large")</f>
        <v>Medium</v>
      </c>
      <c r="K13187" s="36">
        <v>45099</v>
      </c>
      <c r="L13187" s="36">
        <v>45104</v>
      </c>
      <c r="M13187" t="s">
        <v>612</v>
      </c>
      <c r="N13187" t="s">
        <v>599</v>
      </c>
      <c r="O13187" s="37" t="str">
        <f t="shared" ref="O13187:O13250" si="1033">IF(OR(N13187="Card",N13187="UPI"),"Digital Payment","Cash Payment")</f>
        <v>Digital Payment</v>
      </c>
      <c r="P13187">
        <v>241.71</v>
      </c>
      <c r="Q13187" s="37" t="str">
        <f>IF(P13187&gt;500,"High","low")</f>
        <v>low</v>
      </c>
      <c r="R13187" s="37" t="str">
        <f t="shared" ref="R13187:R13250" si="1034">IF(P13187&gt;1000,"Excellent",IF(P13187&gt;=500,"Good","AVERAGE"))</f>
        <v>AVERAGE</v>
      </c>
      <c r="S13187" t="s">
        <v>620</v>
      </c>
    </row>
    <row r="13188" spans="1:19" x14ac:dyDescent="0.2">
      <c r="A13188" t="s">
        <v>13799</v>
      </c>
      <c r="B13188" t="s">
        <v>90</v>
      </c>
      <c r="C13188" t="s">
        <v>597</v>
      </c>
      <c r="D13188">
        <v>3202.15</v>
      </c>
      <c r="E13188" s="37" t="str">
        <f t="shared" si="1030"/>
        <v xml:space="preserve"> </v>
      </c>
      <c r="F13188">
        <v>0.16</v>
      </c>
      <c r="G13188" s="37" t="str">
        <f t="shared" si="1031"/>
        <v>Normal Discount</v>
      </c>
      <c r="H13188" s="37" t="str">
        <f t="shared" si="1032"/>
        <v>Low</v>
      </c>
      <c r="I13188">
        <v>6</v>
      </c>
      <c r="J13188" t="str" cm="1">
        <f t="array" ref="J13188">_xlfn.IFS(I13188&lt;=3,"small",I13188&lt;=6,"Medium",I13188&lt;=9,"Large")</f>
        <v>Medium</v>
      </c>
      <c r="K13188" s="36">
        <v>45105</v>
      </c>
      <c r="L13188" s="36">
        <v>45111</v>
      </c>
      <c r="M13188" t="s">
        <v>598</v>
      </c>
      <c r="N13188" t="s">
        <v>604</v>
      </c>
      <c r="O13188" s="37" t="str">
        <f t="shared" si="1033"/>
        <v>Digital Payment</v>
      </c>
      <c r="P13188">
        <v>668.62</v>
      </c>
      <c r="Q13188" s="37" t="str">
        <f>IF(P13188&gt;500,"High","low")</f>
        <v>High</v>
      </c>
      <c r="R13188" s="37" t="str">
        <f t="shared" si="1034"/>
        <v>Good</v>
      </c>
      <c r="S13188" t="s">
        <v>609</v>
      </c>
    </row>
    <row r="13189" spans="1:19" x14ac:dyDescent="0.2">
      <c r="A13189" t="s">
        <v>13800</v>
      </c>
      <c r="B13189" t="s">
        <v>75</v>
      </c>
      <c r="C13189" t="s">
        <v>602</v>
      </c>
      <c r="D13189">
        <v>441.49</v>
      </c>
      <c r="E13189" s="37" t="str">
        <f t="shared" si="1030"/>
        <v xml:space="preserve"> </v>
      </c>
      <c r="F13189">
        <v>7.0000000000000007E-2</v>
      </c>
      <c r="G13189" s="37" t="str">
        <f t="shared" si="1031"/>
        <v>Normal Discount</v>
      </c>
      <c r="H13189" s="37" t="str">
        <f t="shared" si="1032"/>
        <v>Low</v>
      </c>
      <c r="I13189">
        <v>8</v>
      </c>
      <c r="J13189" t="str" cm="1">
        <f t="array" ref="J13189">_xlfn.IFS(I13189&lt;=3,"small",I13189&lt;=6,"Medium",I13189&lt;=9,"Large")</f>
        <v>Large</v>
      </c>
      <c r="K13189" s="36">
        <v>45079</v>
      </c>
      <c r="L13189" s="36">
        <v>45082</v>
      </c>
      <c r="M13189" t="s">
        <v>603</v>
      </c>
      <c r="N13189" t="s">
        <v>604</v>
      </c>
      <c r="O13189" s="37" t="str">
        <f t="shared" si="1033"/>
        <v>Digital Payment</v>
      </c>
      <c r="P13189">
        <v>131</v>
      </c>
      <c r="Q13189" s="37" t="str">
        <f>IF(P13189&gt;500,"High","low")</f>
        <v>low</v>
      </c>
      <c r="R13189" s="37" t="str">
        <f t="shared" si="1034"/>
        <v>AVERAGE</v>
      </c>
      <c r="S13189" t="s">
        <v>620</v>
      </c>
    </row>
    <row r="13190" spans="1:19" x14ac:dyDescent="0.2">
      <c r="A13190" t="s">
        <v>13801</v>
      </c>
      <c r="B13190" t="s">
        <v>83</v>
      </c>
      <c r="C13190" t="s">
        <v>617</v>
      </c>
      <c r="D13190">
        <v>1568.35</v>
      </c>
      <c r="E13190" s="37" t="str">
        <f t="shared" si="1030"/>
        <v xml:space="preserve"> </v>
      </c>
      <c r="F13190">
        <v>0.11</v>
      </c>
      <c r="G13190" s="37" t="str">
        <f t="shared" si="1031"/>
        <v>Normal Discount</v>
      </c>
      <c r="H13190" s="37" t="str">
        <f t="shared" si="1032"/>
        <v>Low</v>
      </c>
      <c r="I13190">
        <v>6</v>
      </c>
      <c r="J13190" t="str" cm="1">
        <f t="array" ref="J13190">_xlfn.IFS(I13190&lt;=3,"small",I13190&lt;=6,"Medium",I13190&lt;=9,"Large")</f>
        <v>Medium</v>
      </c>
      <c r="K13190" s="36">
        <v>45494</v>
      </c>
      <c r="L13190" s="36">
        <v>45499</v>
      </c>
      <c r="M13190" t="s">
        <v>612</v>
      </c>
      <c r="N13190" t="s">
        <v>604</v>
      </c>
      <c r="O13190" s="37" t="str">
        <f t="shared" si="1033"/>
        <v>Digital Payment</v>
      </c>
      <c r="P13190">
        <v>408</v>
      </c>
      <c r="Q13190" s="37" t="str">
        <f>IF(P13190&gt;500,"High","low")</f>
        <v>low</v>
      </c>
      <c r="R13190" s="37" t="str">
        <f t="shared" si="1034"/>
        <v>AVERAGE</v>
      </c>
      <c r="S13190" t="s">
        <v>605</v>
      </c>
    </row>
    <row r="13191" spans="1:19" x14ac:dyDescent="0.2">
      <c r="A13191" t="s">
        <v>13802</v>
      </c>
      <c r="B13191" t="s">
        <v>90</v>
      </c>
      <c r="C13191" t="s">
        <v>614</v>
      </c>
      <c r="D13191">
        <v>1132.48</v>
      </c>
      <c r="E13191" s="37" t="str">
        <f t="shared" si="1030"/>
        <v xml:space="preserve"> </v>
      </c>
      <c r="F13191">
        <v>0.12</v>
      </c>
      <c r="G13191" s="37" t="str">
        <f t="shared" si="1031"/>
        <v>Normal Discount</v>
      </c>
      <c r="H13191" s="37" t="str">
        <f t="shared" si="1032"/>
        <v>Low</v>
      </c>
      <c r="I13191">
        <v>1</v>
      </c>
      <c r="J13191" t="str" cm="1">
        <f t="array" ref="J13191">_xlfn.IFS(I13191&lt;=3,"small",I13191&lt;=6,"Medium",I13191&lt;=9,"Large")</f>
        <v>small</v>
      </c>
      <c r="K13191" s="36">
        <v>45569</v>
      </c>
      <c r="L13191" s="36">
        <v>45572</v>
      </c>
      <c r="M13191" t="s">
        <v>603</v>
      </c>
      <c r="N13191" t="s">
        <v>604</v>
      </c>
      <c r="O13191" s="37" t="str">
        <f t="shared" si="1033"/>
        <v>Digital Payment</v>
      </c>
      <c r="P13191">
        <v>118.35</v>
      </c>
      <c r="Q13191" s="37" t="str">
        <f>IF(P13191&gt;500,"High","low")</f>
        <v>low</v>
      </c>
      <c r="R13191" s="37" t="str">
        <f t="shared" si="1034"/>
        <v>AVERAGE</v>
      </c>
      <c r="S13191" t="s">
        <v>628</v>
      </c>
    </row>
    <row r="13192" spans="1:19" x14ac:dyDescent="0.2">
      <c r="A13192" t="s">
        <v>13803</v>
      </c>
      <c r="B13192" t="s">
        <v>67</v>
      </c>
      <c r="C13192" t="s">
        <v>602</v>
      </c>
      <c r="D13192">
        <v>116.74</v>
      </c>
      <c r="E13192" s="37" t="str">
        <f t="shared" si="1030"/>
        <v xml:space="preserve"> </v>
      </c>
      <c r="F13192">
        <v>0.21</v>
      </c>
      <c r="G13192" s="37" t="str">
        <f t="shared" si="1031"/>
        <v>Normal Discount</v>
      </c>
      <c r="H13192" s="37" t="str">
        <f t="shared" si="1032"/>
        <v>Medium</v>
      </c>
      <c r="I13192">
        <v>1</v>
      </c>
      <c r="J13192" t="str" cm="1">
        <f t="array" ref="J13192">_xlfn.IFS(I13192&lt;=3,"small",I13192&lt;=6,"Medium",I13192&lt;=9,"Large")</f>
        <v>small</v>
      </c>
      <c r="K13192" s="36">
        <v>45385</v>
      </c>
      <c r="L13192" s="36">
        <v>45387</v>
      </c>
      <c r="M13192" t="s">
        <v>603</v>
      </c>
      <c r="N13192" t="s">
        <v>604</v>
      </c>
      <c r="O13192" s="37" t="str">
        <f t="shared" si="1033"/>
        <v>Digital Payment</v>
      </c>
      <c r="P13192">
        <v>17.86</v>
      </c>
      <c r="Q13192" s="37" t="str">
        <f>IF(P13192&gt;500,"High","low")</f>
        <v>low</v>
      </c>
      <c r="R13192" s="37" t="str">
        <f t="shared" si="1034"/>
        <v>AVERAGE</v>
      </c>
      <c r="S13192" t="s">
        <v>620</v>
      </c>
    </row>
    <row r="13193" spans="1:19" x14ac:dyDescent="0.2">
      <c r="A13193" t="s">
        <v>13804</v>
      </c>
      <c r="B13193" t="s">
        <v>90</v>
      </c>
      <c r="C13193" t="s">
        <v>602</v>
      </c>
      <c r="D13193">
        <v>868.17</v>
      </c>
      <c r="E13193" s="37" t="str">
        <f t="shared" si="1030"/>
        <v xml:space="preserve"> </v>
      </c>
      <c r="F13193">
        <v>0.31</v>
      </c>
      <c r="G13193" s="37" t="str">
        <f t="shared" si="1031"/>
        <v>Heavy Discount</v>
      </c>
      <c r="H13193" s="37" t="str">
        <f t="shared" si="1032"/>
        <v>Medium</v>
      </c>
      <c r="I13193">
        <v>2</v>
      </c>
      <c r="J13193" t="str" cm="1">
        <f t="array" ref="J13193">_xlfn.IFS(I13193&lt;=3,"small",I13193&lt;=6,"Medium",I13193&lt;=9,"Large")</f>
        <v>small</v>
      </c>
      <c r="K13193" s="36">
        <v>45404</v>
      </c>
      <c r="L13193" s="36">
        <v>45408</v>
      </c>
      <c r="M13193" t="s">
        <v>603</v>
      </c>
      <c r="N13193" t="s">
        <v>599</v>
      </c>
      <c r="O13193" s="37" t="str">
        <f t="shared" si="1033"/>
        <v>Digital Payment</v>
      </c>
      <c r="P13193">
        <v>161.75</v>
      </c>
      <c r="Q13193" s="37" t="str">
        <f>IF(P13193&gt;500,"High","low")</f>
        <v>low</v>
      </c>
      <c r="R13193" s="37" t="str">
        <f t="shared" si="1034"/>
        <v>AVERAGE</v>
      </c>
      <c r="S13193" t="s">
        <v>609</v>
      </c>
    </row>
    <row r="13194" spans="1:19" x14ac:dyDescent="0.2">
      <c r="A13194" t="s">
        <v>13805</v>
      </c>
      <c r="B13194" t="s">
        <v>83</v>
      </c>
      <c r="C13194" t="s">
        <v>602</v>
      </c>
      <c r="D13194">
        <v>3006.21</v>
      </c>
      <c r="E13194" s="37" t="str">
        <f t="shared" si="1030"/>
        <v xml:space="preserve"> </v>
      </c>
      <c r="F13194">
        <v>0.18</v>
      </c>
      <c r="G13194" s="37" t="str">
        <f t="shared" si="1031"/>
        <v>Normal Discount</v>
      </c>
      <c r="H13194" s="37" t="str">
        <f t="shared" si="1032"/>
        <v>Low</v>
      </c>
      <c r="I13194">
        <v>1</v>
      </c>
      <c r="J13194" t="str" cm="1">
        <f t="array" ref="J13194">_xlfn.IFS(I13194&lt;=3,"small",I13194&lt;=6,"Medium",I13194&lt;=9,"Large")</f>
        <v>small</v>
      </c>
      <c r="K13194" s="36">
        <v>45491</v>
      </c>
      <c r="L13194" s="36">
        <v>45498</v>
      </c>
      <c r="M13194" t="s">
        <v>612</v>
      </c>
      <c r="N13194" t="s">
        <v>599</v>
      </c>
      <c r="O13194" s="37" t="str">
        <f t="shared" si="1033"/>
        <v>Digital Payment</v>
      </c>
      <c r="P13194">
        <v>599.84</v>
      </c>
      <c r="Q13194" s="37" t="str">
        <f>IF(P13194&gt;500,"High","low")</f>
        <v>High</v>
      </c>
      <c r="R13194" s="37" t="str">
        <f t="shared" si="1034"/>
        <v>Good</v>
      </c>
      <c r="S13194" t="s">
        <v>620</v>
      </c>
    </row>
    <row r="13195" spans="1:19" x14ac:dyDescent="0.2">
      <c r="A13195" t="s">
        <v>13806</v>
      </c>
      <c r="B13195" t="s">
        <v>67</v>
      </c>
      <c r="C13195" t="s">
        <v>602</v>
      </c>
      <c r="D13195">
        <v>2010.61</v>
      </c>
      <c r="E13195" s="37" t="str">
        <f t="shared" si="1030"/>
        <v xml:space="preserve"> </v>
      </c>
      <c r="F13195">
        <v>0.22</v>
      </c>
      <c r="G13195" s="37" t="str">
        <f t="shared" si="1031"/>
        <v>Normal Discount</v>
      </c>
      <c r="H13195" s="37" t="str">
        <f t="shared" si="1032"/>
        <v>Medium</v>
      </c>
      <c r="I13195">
        <v>3</v>
      </c>
      <c r="J13195" t="str" cm="1">
        <f t="array" ref="J13195">_xlfn.IFS(I13195&lt;=3,"small",I13195&lt;=6,"Medium",I13195&lt;=9,"Large")</f>
        <v>small</v>
      </c>
      <c r="K13195" s="36">
        <v>45500</v>
      </c>
      <c r="L13195" s="36">
        <v>45505</v>
      </c>
      <c r="M13195" t="s">
        <v>603</v>
      </c>
      <c r="N13195" t="s">
        <v>599</v>
      </c>
      <c r="O13195" s="37" t="str">
        <f t="shared" si="1033"/>
        <v>Digital Payment</v>
      </c>
      <c r="P13195">
        <v>250.24</v>
      </c>
      <c r="Q13195" s="37" t="str">
        <f>IF(P13195&gt;500,"High","low")</f>
        <v>low</v>
      </c>
      <c r="R13195" s="37" t="str">
        <f t="shared" si="1034"/>
        <v>AVERAGE</v>
      </c>
      <c r="S13195" t="s">
        <v>605</v>
      </c>
    </row>
    <row r="13196" spans="1:19" x14ac:dyDescent="0.2">
      <c r="A13196" t="s">
        <v>13807</v>
      </c>
      <c r="B13196" t="s">
        <v>67</v>
      </c>
      <c r="C13196" t="s">
        <v>617</v>
      </c>
      <c r="D13196">
        <v>3640.6</v>
      </c>
      <c r="E13196" s="37" t="str">
        <f t="shared" si="1030"/>
        <v xml:space="preserve"> </v>
      </c>
      <c r="F13196">
        <v>0.09</v>
      </c>
      <c r="G13196" s="37" t="str">
        <f t="shared" si="1031"/>
        <v>Normal Discount</v>
      </c>
      <c r="H13196" s="37" t="str">
        <f t="shared" si="1032"/>
        <v>Low</v>
      </c>
      <c r="I13196">
        <v>3</v>
      </c>
      <c r="J13196" t="str" cm="1">
        <f t="array" ref="J13196">_xlfn.IFS(I13196&lt;=3,"small",I13196&lt;=6,"Medium",I13196&lt;=9,"Large")</f>
        <v>small</v>
      </c>
      <c r="K13196" s="36">
        <v>45031</v>
      </c>
      <c r="L13196" s="36">
        <v>45034</v>
      </c>
      <c r="M13196" t="s">
        <v>598</v>
      </c>
      <c r="N13196" t="s">
        <v>604</v>
      </c>
      <c r="O13196" s="37" t="str">
        <f t="shared" si="1033"/>
        <v>Digital Payment</v>
      </c>
      <c r="P13196">
        <v>1019.1</v>
      </c>
      <c r="Q13196" s="37" t="str">
        <f>IF(P13196&gt;500,"High","low")</f>
        <v>High</v>
      </c>
      <c r="R13196" s="37" t="str">
        <f t="shared" si="1034"/>
        <v>Excellent</v>
      </c>
      <c r="S13196" t="s">
        <v>605</v>
      </c>
    </row>
    <row r="13197" spans="1:19" x14ac:dyDescent="0.2">
      <c r="A13197" t="s">
        <v>13808</v>
      </c>
      <c r="B13197" t="s">
        <v>67</v>
      </c>
      <c r="C13197" t="s">
        <v>607</v>
      </c>
      <c r="D13197">
        <v>3388.27</v>
      </c>
      <c r="E13197" s="37" t="str">
        <f t="shared" si="1030"/>
        <v xml:space="preserve"> </v>
      </c>
      <c r="F13197">
        <v>0.03</v>
      </c>
      <c r="G13197" s="37" t="str">
        <f t="shared" si="1031"/>
        <v>Normal Discount</v>
      </c>
      <c r="H13197" s="37" t="str">
        <f t="shared" si="1032"/>
        <v>Low</v>
      </c>
      <c r="I13197">
        <v>4</v>
      </c>
      <c r="J13197" t="str" cm="1">
        <f t="array" ref="J13197">_xlfn.IFS(I13197&lt;=3,"small",I13197&lt;=6,"Medium",I13197&lt;=9,"Large")</f>
        <v>Medium</v>
      </c>
      <c r="K13197" s="36">
        <v>45633</v>
      </c>
      <c r="L13197" s="36">
        <v>45636</v>
      </c>
      <c r="M13197" t="s">
        <v>603</v>
      </c>
      <c r="N13197" t="s">
        <v>599</v>
      </c>
      <c r="O13197" s="37" t="str">
        <f t="shared" si="1033"/>
        <v>Digital Payment</v>
      </c>
      <c r="P13197">
        <v>940.16</v>
      </c>
      <c r="Q13197" s="37" t="str">
        <f>IF(P13197&gt;500,"High","low")</f>
        <v>High</v>
      </c>
      <c r="R13197" s="37" t="str">
        <f t="shared" si="1034"/>
        <v>Good</v>
      </c>
      <c r="S13197" t="s">
        <v>605</v>
      </c>
    </row>
    <row r="13198" spans="1:19" x14ac:dyDescent="0.2">
      <c r="A13198" t="s">
        <v>13809</v>
      </c>
      <c r="B13198" t="s">
        <v>75</v>
      </c>
      <c r="C13198" t="s">
        <v>602</v>
      </c>
      <c r="D13198">
        <v>4016.57</v>
      </c>
      <c r="E13198" s="37" t="str">
        <f t="shared" si="1030"/>
        <v xml:space="preserve"> </v>
      </c>
      <c r="F13198">
        <v>0.17</v>
      </c>
      <c r="G13198" s="37" t="str">
        <f t="shared" si="1031"/>
        <v>Normal Discount</v>
      </c>
      <c r="H13198" s="37" t="str">
        <f t="shared" si="1032"/>
        <v>Low</v>
      </c>
      <c r="I13198">
        <v>6</v>
      </c>
      <c r="J13198" t="str" cm="1">
        <f t="array" ref="J13198">_xlfn.IFS(I13198&lt;=3,"small",I13198&lt;=6,"Medium",I13198&lt;=9,"Large")</f>
        <v>Medium</v>
      </c>
      <c r="K13198" s="36">
        <v>45126</v>
      </c>
      <c r="L13198" s="36">
        <v>45127</v>
      </c>
      <c r="M13198" t="s">
        <v>612</v>
      </c>
      <c r="N13198" t="s">
        <v>608</v>
      </c>
      <c r="O13198" s="37" t="str">
        <f t="shared" si="1033"/>
        <v>Cash Payment</v>
      </c>
      <c r="P13198">
        <v>365.4</v>
      </c>
      <c r="Q13198" s="37" t="str">
        <f>IF(P13198&gt;500,"High","low")</f>
        <v>low</v>
      </c>
      <c r="R13198" s="37" t="str">
        <f t="shared" si="1034"/>
        <v>AVERAGE</v>
      </c>
      <c r="S13198" t="s">
        <v>605</v>
      </c>
    </row>
    <row r="13199" spans="1:19" x14ac:dyDescent="0.2">
      <c r="A13199" t="s">
        <v>13810</v>
      </c>
      <c r="B13199" t="s">
        <v>90</v>
      </c>
      <c r="C13199" t="s">
        <v>602</v>
      </c>
      <c r="D13199">
        <v>4348.42</v>
      </c>
      <c r="E13199" s="37" t="str">
        <f t="shared" si="1030"/>
        <v>Excellent Order</v>
      </c>
      <c r="F13199">
        <v>0.03</v>
      </c>
      <c r="G13199" s="37" t="str">
        <f t="shared" si="1031"/>
        <v>Normal Discount</v>
      </c>
      <c r="H13199" s="37" t="str">
        <f t="shared" si="1032"/>
        <v>Low</v>
      </c>
      <c r="I13199">
        <v>7</v>
      </c>
      <c r="J13199" t="str" cm="1">
        <f t="array" ref="J13199">_xlfn.IFS(I13199&lt;=3,"small",I13199&lt;=6,"Medium",I13199&lt;=9,"Large")</f>
        <v>Large</v>
      </c>
      <c r="K13199" s="36">
        <v>45241</v>
      </c>
      <c r="L13199" s="36">
        <v>45242</v>
      </c>
      <c r="M13199" t="s">
        <v>612</v>
      </c>
      <c r="N13199" t="s">
        <v>599</v>
      </c>
      <c r="O13199" s="37" t="str">
        <f t="shared" si="1033"/>
        <v>Digital Payment</v>
      </c>
      <c r="P13199">
        <v>1228.1400000000001</v>
      </c>
      <c r="Q13199" s="37" t="str">
        <f>IF(P13199&gt;500,"High","low")</f>
        <v>High</v>
      </c>
      <c r="R13199" s="37" t="str">
        <f t="shared" si="1034"/>
        <v>Excellent</v>
      </c>
      <c r="S13199" t="s">
        <v>615</v>
      </c>
    </row>
    <row r="13200" spans="1:19" x14ac:dyDescent="0.2">
      <c r="A13200" t="s">
        <v>13811</v>
      </c>
      <c r="B13200" t="s">
        <v>75</v>
      </c>
      <c r="C13200" t="s">
        <v>614</v>
      </c>
      <c r="D13200">
        <v>4117.1400000000003</v>
      </c>
      <c r="E13200" s="37" t="str">
        <f t="shared" si="1030"/>
        <v xml:space="preserve"> </v>
      </c>
      <c r="F13200">
        <v>0.15</v>
      </c>
      <c r="G13200" s="37" t="str">
        <f t="shared" si="1031"/>
        <v>Normal Discount</v>
      </c>
      <c r="H13200" s="37" t="str">
        <f t="shared" si="1032"/>
        <v>Low</v>
      </c>
      <c r="I13200">
        <v>9</v>
      </c>
      <c r="J13200" t="str" cm="1">
        <f t="array" ref="J13200">_xlfn.IFS(I13200&lt;=3,"small",I13200&lt;=6,"Medium",I13200&lt;=9,"Large")</f>
        <v>Large</v>
      </c>
      <c r="K13200" s="36">
        <v>45332</v>
      </c>
      <c r="L13200" s="36">
        <v>45336</v>
      </c>
      <c r="M13200" t="s">
        <v>603</v>
      </c>
      <c r="N13200" t="s">
        <v>604</v>
      </c>
      <c r="O13200" s="37" t="str">
        <f t="shared" si="1033"/>
        <v>Digital Payment</v>
      </c>
      <c r="P13200">
        <v>664.3</v>
      </c>
      <c r="Q13200" s="37" t="str">
        <f>IF(P13200&gt;500,"High","low")</f>
        <v>High</v>
      </c>
      <c r="R13200" s="37" t="str">
        <f t="shared" si="1034"/>
        <v>Good</v>
      </c>
      <c r="S13200" t="s">
        <v>605</v>
      </c>
    </row>
    <row r="13201" spans="1:19" x14ac:dyDescent="0.2">
      <c r="A13201" t="s">
        <v>13812</v>
      </c>
      <c r="B13201" t="s">
        <v>67</v>
      </c>
      <c r="C13201" t="s">
        <v>597</v>
      </c>
      <c r="D13201">
        <v>2295.5</v>
      </c>
      <c r="E13201" s="37" t="str">
        <f t="shared" si="1030"/>
        <v xml:space="preserve"> </v>
      </c>
      <c r="F13201">
        <v>0.42</v>
      </c>
      <c r="G13201" s="37" t="str">
        <f t="shared" si="1031"/>
        <v>Heavy Discount</v>
      </c>
      <c r="H13201" s="37" t="str">
        <f t="shared" si="1032"/>
        <v>High</v>
      </c>
      <c r="I13201">
        <v>8</v>
      </c>
      <c r="J13201" t="str" cm="1">
        <f t="array" ref="J13201">_xlfn.IFS(I13201&lt;=3,"small",I13201&lt;=6,"Medium",I13201&lt;=9,"Large")</f>
        <v>Large</v>
      </c>
      <c r="K13201" s="36">
        <v>45604</v>
      </c>
      <c r="L13201" s="36">
        <v>45607</v>
      </c>
      <c r="M13201" t="s">
        <v>603</v>
      </c>
      <c r="N13201" t="s">
        <v>599</v>
      </c>
      <c r="O13201" s="37" t="str">
        <f t="shared" si="1033"/>
        <v>Digital Payment</v>
      </c>
      <c r="P13201">
        <v>366.26</v>
      </c>
      <c r="Q13201" s="37" t="str">
        <f>IF(P13201&gt;500,"High","low")</f>
        <v>low</v>
      </c>
      <c r="R13201" s="37" t="str">
        <f t="shared" si="1034"/>
        <v>AVERAGE</v>
      </c>
      <c r="S13201" t="s">
        <v>628</v>
      </c>
    </row>
    <row r="13202" spans="1:19" x14ac:dyDescent="0.2">
      <c r="A13202" t="s">
        <v>13813</v>
      </c>
      <c r="B13202" t="s">
        <v>75</v>
      </c>
      <c r="C13202" t="s">
        <v>617</v>
      </c>
      <c r="D13202">
        <v>1612.77</v>
      </c>
      <c r="E13202" s="37" t="str">
        <f t="shared" si="1030"/>
        <v xml:space="preserve"> </v>
      </c>
      <c r="F13202">
        <v>0.18</v>
      </c>
      <c r="G13202" s="37" t="str">
        <f t="shared" si="1031"/>
        <v>Normal Discount</v>
      </c>
      <c r="H13202" s="37" t="str">
        <f t="shared" si="1032"/>
        <v>Low</v>
      </c>
      <c r="I13202">
        <v>6</v>
      </c>
      <c r="J13202" t="str" cm="1">
        <f t="array" ref="J13202">_xlfn.IFS(I13202&lt;=3,"small",I13202&lt;=6,"Medium",I13202&lt;=9,"Large")</f>
        <v>Medium</v>
      </c>
      <c r="K13202" s="36">
        <v>45654</v>
      </c>
      <c r="L13202" s="36">
        <v>45656</v>
      </c>
      <c r="M13202" t="s">
        <v>598</v>
      </c>
      <c r="N13202" t="s">
        <v>608</v>
      </c>
      <c r="O13202" s="37" t="str">
        <f t="shared" si="1033"/>
        <v>Cash Payment</v>
      </c>
      <c r="P13202">
        <v>154.32</v>
      </c>
      <c r="Q13202" s="37" t="str">
        <f>IF(P13202&gt;500,"High","low")</f>
        <v>low</v>
      </c>
      <c r="R13202" s="37" t="str">
        <f t="shared" si="1034"/>
        <v>AVERAGE</v>
      </c>
      <c r="S13202" t="s">
        <v>609</v>
      </c>
    </row>
    <row r="13203" spans="1:19" x14ac:dyDescent="0.2">
      <c r="A13203" t="s">
        <v>13814</v>
      </c>
      <c r="B13203" t="s">
        <v>75</v>
      </c>
      <c r="C13203" t="s">
        <v>602</v>
      </c>
      <c r="D13203">
        <v>2561.2800000000002</v>
      </c>
      <c r="E13203" s="37" t="str">
        <f t="shared" si="1030"/>
        <v xml:space="preserve"> </v>
      </c>
      <c r="F13203">
        <v>0.1</v>
      </c>
      <c r="G13203" s="37" t="str">
        <f t="shared" si="1031"/>
        <v>Normal Discount</v>
      </c>
      <c r="H13203" s="37" t="str">
        <f t="shared" si="1032"/>
        <v>Low</v>
      </c>
      <c r="I13203">
        <v>9</v>
      </c>
      <c r="J13203" t="str" cm="1">
        <f t="array" ref="J13203">_xlfn.IFS(I13203&lt;=3,"small",I13203&lt;=6,"Medium",I13203&lt;=9,"Large")</f>
        <v>Large</v>
      </c>
      <c r="K13203" s="36">
        <v>45213</v>
      </c>
      <c r="L13203" s="36">
        <v>45216</v>
      </c>
      <c r="M13203" t="s">
        <v>598</v>
      </c>
      <c r="N13203" t="s">
        <v>608</v>
      </c>
      <c r="O13203" s="37" t="str">
        <f t="shared" si="1033"/>
        <v>Cash Payment</v>
      </c>
      <c r="P13203">
        <v>181.79</v>
      </c>
      <c r="Q13203" s="37" t="str">
        <f>IF(P13203&gt;500,"High","low")</f>
        <v>low</v>
      </c>
      <c r="R13203" s="37" t="str">
        <f t="shared" si="1034"/>
        <v>AVERAGE</v>
      </c>
      <c r="S13203" t="s">
        <v>620</v>
      </c>
    </row>
    <row r="13204" spans="1:19" x14ac:dyDescent="0.2">
      <c r="A13204" t="s">
        <v>13815</v>
      </c>
      <c r="B13204" t="s">
        <v>75</v>
      </c>
      <c r="C13204" t="s">
        <v>607</v>
      </c>
      <c r="D13204">
        <v>2722.13</v>
      </c>
      <c r="E13204" s="37" t="str">
        <f t="shared" si="1030"/>
        <v xml:space="preserve"> </v>
      </c>
      <c r="F13204">
        <v>0.45</v>
      </c>
      <c r="G13204" s="37" t="str">
        <f t="shared" si="1031"/>
        <v>Heavy Discount</v>
      </c>
      <c r="H13204" s="37" t="str">
        <f t="shared" si="1032"/>
        <v>High</v>
      </c>
      <c r="I13204">
        <v>4</v>
      </c>
      <c r="J13204" t="str" cm="1">
        <f t="array" ref="J13204">_xlfn.IFS(I13204&lt;=3,"small",I13204&lt;=6,"Medium",I13204&lt;=9,"Large")</f>
        <v>Medium</v>
      </c>
      <c r="K13204" s="36">
        <v>45292</v>
      </c>
      <c r="L13204" s="36">
        <v>45295</v>
      </c>
      <c r="M13204" t="s">
        <v>598</v>
      </c>
      <c r="N13204" t="s">
        <v>604</v>
      </c>
      <c r="O13204" s="37" t="str">
        <f t="shared" si="1033"/>
        <v>Digital Payment</v>
      </c>
      <c r="P13204">
        <v>305.2</v>
      </c>
      <c r="Q13204" s="37" t="str">
        <f>IF(P13204&gt;500,"High","low")</f>
        <v>low</v>
      </c>
      <c r="R13204" s="37" t="str">
        <f t="shared" si="1034"/>
        <v>AVERAGE</v>
      </c>
      <c r="S13204" t="s">
        <v>615</v>
      </c>
    </row>
    <row r="13205" spans="1:19" x14ac:dyDescent="0.2">
      <c r="A13205" t="s">
        <v>13816</v>
      </c>
      <c r="B13205" t="s">
        <v>90</v>
      </c>
      <c r="C13205" t="s">
        <v>607</v>
      </c>
      <c r="D13205">
        <v>1634.56</v>
      </c>
      <c r="E13205" s="37" t="str">
        <f t="shared" si="1030"/>
        <v xml:space="preserve"> </v>
      </c>
      <c r="F13205">
        <v>0.32</v>
      </c>
      <c r="G13205" s="37" t="str">
        <f t="shared" si="1031"/>
        <v>Heavy Discount</v>
      </c>
      <c r="H13205" s="37" t="str">
        <f t="shared" si="1032"/>
        <v>Medium</v>
      </c>
      <c r="I13205">
        <v>6</v>
      </c>
      <c r="J13205" t="str" cm="1">
        <f t="array" ref="J13205">_xlfn.IFS(I13205&lt;=3,"small",I13205&lt;=6,"Medium",I13205&lt;=9,"Large")</f>
        <v>Medium</v>
      </c>
      <c r="K13205" s="36">
        <v>45143</v>
      </c>
      <c r="L13205" s="36">
        <v>45148</v>
      </c>
      <c r="M13205" t="s">
        <v>612</v>
      </c>
      <c r="N13205" t="s">
        <v>599</v>
      </c>
      <c r="O13205" s="37" t="str">
        <f t="shared" si="1033"/>
        <v>Digital Payment</v>
      </c>
      <c r="P13205">
        <v>441.36</v>
      </c>
      <c r="Q13205" s="37" t="str">
        <f>IF(P13205&gt;500,"High","low")</f>
        <v>low</v>
      </c>
      <c r="R13205" s="37" t="str">
        <f t="shared" si="1034"/>
        <v>AVERAGE</v>
      </c>
      <c r="S13205" t="s">
        <v>600</v>
      </c>
    </row>
    <row r="13206" spans="1:19" x14ac:dyDescent="0.2">
      <c r="A13206" t="s">
        <v>13817</v>
      </c>
      <c r="B13206" t="s">
        <v>67</v>
      </c>
      <c r="C13206" t="s">
        <v>607</v>
      </c>
      <c r="D13206">
        <v>2746.03</v>
      </c>
      <c r="E13206" s="37" t="str">
        <f t="shared" si="1030"/>
        <v xml:space="preserve"> </v>
      </c>
      <c r="F13206">
        <v>0.49</v>
      </c>
      <c r="G13206" s="37" t="str">
        <f t="shared" si="1031"/>
        <v>Heavy Discount</v>
      </c>
      <c r="H13206" s="37" t="str">
        <f t="shared" si="1032"/>
        <v>High</v>
      </c>
      <c r="I13206">
        <v>7</v>
      </c>
      <c r="J13206" t="str" cm="1">
        <f t="array" ref="J13206">_xlfn.IFS(I13206&lt;=3,"small",I13206&lt;=6,"Medium",I13206&lt;=9,"Large")</f>
        <v>Large</v>
      </c>
      <c r="K13206" s="36">
        <v>45476</v>
      </c>
      <c r="L13206" s="36">
        <v>45481</v>
      </c>
      <c r="M13206" t="s">
        <v>603</v>
      </c>
      <c r="N13206" t="s">
        <v>608</v>
      </c>
      <c r="O13206" s="37" t="str">
        <f t="shared" si="1033"/>
        <v>Cash Payment</v>
      </c>
      <c r="P13206">
        <v>416.71</v>
      </c>
      <c r="Q13206" s="37" t="str">
        <f>IF(P13206&gt;500,"High","low")</f>
        <v>low</v>
      </c>
      <c r="R13206" s="37" t="str">
        <f t="shared" si="1034"/>
        <v>AVERAGE</v>
      </c>
      <c r="S13206" t="s">
        <v>620</v>
      </c>
    </row>
    <row r="13207" spans="1:19" x14ac:dyDescent="0.2">
      <c r="A13207" t="s">
        <v>13818</v>
      </c>
      <c r="B13207" t="s">
        <v>67</v>
      </c>
      <c r="C13207" t="s">
        <v>614</v>
      </c>
      <c r="D13207">
        <v>618.32000000000005</v>
      </c>
      <c r="E13207" s="37" t="str">
        <f t="shared" si="1030"/>
        <v xml:space="preserve"> </v>
      </c>
      <c r="F13207">
        <v>0.15</v>
      </c>
      <c r="G13207" s="37" t="str">
        <f t="shared" si="1031"/>
        <v>Normal Discount</v>
      </c>
      <c r="H13207" s="37" t="str">
        <f t="shared" si="1032"/>
        <v>Low</v>
      </c>
      <c r="I13207">
        <v>2</v>
      </c>
      <c r="J13207" t="str" cm="1">
        <f t="array" ref="J13207">_xlfn.IFS(I13207&lt;=3,"small",I13207&lt;=6,"Medium",I13207&lt;=9,"Large")</f>
        <v>small</v>
      </c>
      <c r="K13207" s="36">
        <v>45231</v>
      </c>
      <c r="L13207" s="36">
        <v>45232</v>
      </c>
      <c r="M13207" t="s">
        <v>603</v>
      </c>
      <c r="N13207" t="s">
        <v>604</v>
      </c>
      <c r="O13207" s="37" t="str">
        <f t="shared" si="1033"/>
        <v>Digital Payment</v>
      </c>
      <c r="P13207">
        <v>173.07</v>
      </c>
      <c r="Q13207" s="37" t="str">
        <f>IF(P13207&gt;500,"High","low")</f>
        <v>low</v>
      </c>
      <c r="R13207" s="37" t="str">
        <f t="shared" si="1034"/>
        <v>AVERAGE</v>
      </c>
      <c r="S13207" t="s">
        <v>620</v>
      </c>
    </row>
    <row r="13208" spans="1:19" x14ac:dyDescent="0.2">
      <c r="A13208" t="s">
        <v>13819</v>
      </c>
      <c r="B13208" t="s">
        <v>90</v>
      </c>
      <c r="C13208" t="s">
        <v>607</v>
      </c>
      <c r="D13208">
        <v>1232.0999999999999</v>
      </c>
      <c r="E13208" s="37" t="str">
        <f t="shared" si="1030"/>
        <v xml:space="preserve"> </v>
      </c>
      <c r="F13208">
        <v>0.1</v>
      </c>
      <c r="G13208" s="37" t="str">
        <f t="shared" si="1031"/>
        <v>Normal Discount</v>
      </c>
      <c r="H13208" s="37" t="str">
        <f t="shared" si="1032"/>
        <v>Low</v>
      </c>
      <c r="I13208">
        <v>1</v>
      </c>
      <c r="J13208" t="str" cm="1">
        <f t="array" ref="J13208">_xlfn.IFS(I13208&lt;=3,"small",I13208&lt;=6,"Medium",I13208&lt;=9,"Large")</f>
        <v>small</v>
      </c>
      <c r="K13208" s="36">
        <v>45656</v>
      </c>
      <c r="L13208" s="36">
        <v>45661</v>
      </c>
      <c r="M13208" t="s">
        <v>603</v>
      </c>
      <c r="N13208" t="s">
        <v>608</v>
      </c>
      <c r="O13208" s="37" t="str">
        <f t="shared" si="1033"/>
        <v>Cash Payment</v>
      </c>
      <c r="P13208">
        <v>246.33</v>
      </c>
      <c r="Q13208" s="37" t="str">
        <f>IF(P13208&gt;500,"High","low")</f>
        <v>low</v>
      </c>
      <c r="R13208" s="37" t="str">
        <f t="shared" si="1034"/>
        <v>AVERAGE</v>
      </c>
      <c r="S13208" t="s">
        <v>605</v>
      </c>
    </row>
    <row r="13209" spans="1:19" x14ac:dyDescent="0.2">
      <c r="A13209" t="s">
        <v>13820</v>
      </c>
      <c r="B13209" t="s">
        <v>75</v>
      </c>
      <c r="C13209" t="s">
        <v>614</v>
      </c>
      <c r="D13209">
        <v>3755.64</v>
      </c>
      <c r="E13209" s="37" t="str">
        <f t="shared" si="1030"/>
        <v xml:space="preserve"> </v>
      </c>
      <c r="F13209">
        <v>0.15</v>
      </c>
      <c r="G13209" s="37" t="str">
        <f t="shared" si="1031"/>
        <v>Normal Discount</v>
      </c>
      <c r="H13209" s="37" t="str">
        <f t="shared" si="1032"/>
        <v>Low</v>
      </c>
      <c r="I13209">
        <v>8</v>
      </c>
      <c r="J13209" t="str" cm="1">
        <f t="array" ref="J13209">_xlfn.IFS(I13209&lt;=3,"small",I13209&lt;=6,"Medium",I13209&lt;=9,"Large")</f>
        <v>Large</v>
      </c>
      <c r="K13209" s="36">
        <v>45026</v>
      </c>
      <c r="L13209" s="36">
        <v>45029</v>
      </c>
      <c r="M13209" t="s">
        <v>612</v>
      </c>
      <c r="N13209" t="s">
        <v>604</v>
      </c>
      <c r="O13209" s="37" t="str">
        <f t="shared" si="1033"/>
        <v>Digital Payment</v>
      </c>
      <c r="P13209">
        <v>195.51</v>
      </c>
      <c r="Q13209" s="37" t="str">
        <f>IF(P13209&gt;500,"High","low")</f>
        <v>low</v>
      </c>
      <c r="R13209" s="37" t="str">
        <f t="shared" si="1034"/>
        <v>AVERAGE</v>
      </c>
      <c r="S13209" t="s">
        <v>600</v>
      </c>
    </row>
    <row r="13210" spans="1:19" x14ac:dyDescent="0.2">
      <c r="A13210" t="s">
        <v>13821</v>
      </c>
      <c r="B13210" t="s">
        <v>75</v>
      </c>
      <c r="C13210" t="s">
        <v>617</v>
      </c>
      <c r="D13210">
        <v>995.88</v>
      </c>
      <c r="E13210" s="37" t="str">
        <f t="shared" si="1030"/>
        <v xml:space="preserve"> </v>
      </c>
      <c r="F13210">
        <v>0.41</v>
      </c>
      <c r="G13210" s="37" t="str">
        <f t="shared" si="1031"/>
        <v>Heavy Discount</v>
      </c>
      <c r="H13210" s="37" t="str">
        <f t="shared" si="1032"/>
        <v>High</v>
      </c>
      <c r="I13210">
        <v>8</v>
      </c>
      <c r="J13210" t="str" cm="1">
        <f t="array" ref="J13210">_xlfn.IFS(I13210&lt;=3,"small",I13210&lt;=6,"Medium",I13210&lt;=9,"Large")</f>
        <v>Large</v>
      </c>
      <c r="K13210" s="36">
        <v>45337</v>
      </c>
      <c r="L13210" s="36">
        <v>45342</v>
      </c>
      <c r="M13210" t="s">
        <v>598</v>
      </c>
      <c r="N13210" t="s">
        <v>608</v>
      </c>
      <c r="O13210" s="37" t="str">
        <f t="shared" si="1033"/>
        <v>Cash Payment</v>
      </c>
      <c r="P13210">
        <v>132.16</v>
      </c>
      <c r="Q13210" s="37" t="str">
        <f>IF(P13210&gt;500,"High","low")</f>
        <v>low</v>
      </c>
      <c r="R13210" s="37" t="str">
        <f t="shared" si="1034"/>
        <v>AVERAGE</v>
      </c>
      <c r="S13210" t="s">
        <v>605</v>
      </c>
    </row>
    <row r="13211" spans="1:19" x14ac:dyDescent="0.2">
      <c r="A13211" t="s">
        <v>13822</v>
      </c>
      <c r="B13211" t="s">
        <v>83</v>
      </c>
      <c r="C13211" t="s">
        <v>607</v>
      </c>
      <c r="D13211">
        <v>781.29</v>
      </c>
      <c r="E13211" s="37" t="str">
        <f t="shared" si="1030"/>
        <v xml:space="preserve"> </v>
      </c>
      <c r="F13211">
        <v>0.08</v>
      </c>
      <c r="G13211" s="37" t="str">
        <f t="shared" si="1031"/>
        <v>Normal Discount</v>
      </c>
      <c r="H13211" s="37" t="str">
        <f t="shared" si="1032"/>
        <v>Low</v>
      </c>
      <c r="I13211">
        <v>7</v>
      </c>
      <c r="J13211" t="str" cm="1">
        <f t="array" ref="J13211">_xlfn.IFS(I13211&lt;=3,"small",I13211&lt;=6,"Medium",I13211&lt;=9,"Large")</f>
        <v>Large</v>
      </c>
      <c r="K13211" s="36">
        <v>45461</v>
      </c>
      <c r="L13211" s="36">
        <v>45462</v>
      </c>
      <c r="M13211" t="s">
        <v>612</v>
      </c>
      <c r="N13211" t="s">
        <v>604</v>
      </c>
      <c r="O13211" s="37" t="str">
        <f t="shared" si="1033"/>
        <v>Digital Payment</v>
      </c>
      <c r="P13211">
        <v>63.98</v>
      </c>
      <c r="Q13211" s="37" t="str">
        <f>IF(P13211&gt;500,"High","low")</f>
        <v>low</v>
      </c>
      <c r="R13211" s="37" t="str">
        <f t="shared" si="1034"/>
        <v>AVERAGE</v>
      </c>
      <c r="S13211" t="s">
        <v>600</v>
      </c>
    </row>
    <row r="13212" spans="1:19" x14ac:dyDescent="0.2">
      <c r="A13212" t="s">
        <v>13823</v>
      </c>
      <c r="B13212" t="s">
        <v>83</v>
      </c>
      <c r="C13212" t="s">
        <v>597</v>
      </c>
      <c r="D13212">
        <v>1507.98</v>
      </c>
      <c r="E13212" s="37" t="str">
        <f t="shared" si="1030"/>
        <v xml:space="preserve"> </v>
      </c>
      <c r="F13212">
        <v>0.12</v>
      </c>
      <c r="G13212" s="37" t="str">
        <f t="shared" si="1031"/>
        <v>Normal Discount</v>
      </c>
      <c r="H13212" s="37" t="str">
        <f t="shared" si="1032"/>
        <v>Low</v>
      </c>
      <c r="I13212">
        <v>9</v>
      </c>
      <c r="J13212" t="str" cm="1">
        <f t="array" ref="J13212">_xlfn.IFS(I13212&lt;=3,"small",I13212&lt;=6,"Medium",I13212&lt;=9,"Large")</f>
        <v>Large</v>
      </c>
      <c r="K13212" s="36">
        <v>45266</v>
      </c>
      <c r="L13212" s="36">
        <v>45270</v>
      </c>
      <c r="M13212" t="s">
        <v>612</v>
      </c>
      <c r="N13212" t="s">
        <v>599</v>
      </c>
      <c r="O13212" s="37" t="str">
        <f t="shared" si="1033"/>
        <v>Digital Payment</v>
      </c>
      <c r="P13212">
        <v>356.45</v>
      </c>
      <c r="Q13212" s="37" t="str">
        <f>IF(P13212&gt;500,"High","low")</f>
        <v>low</v>
      </c>
      <c r="R13212" s="37" t="str">
        <f t="shared" si="1034"/>
        <v>AVERAGE</v>
      </c>
      <c r="S13212" t="s">
        <v>615</v>
      </c>
    </row>
    <row r="13213" spans="1:19" x14ac:dyDescent="0.2">
      <c r="A13213" t="s">
        <v>13824</v>
      </c>
      <c r="B13213" t="s">
        <v>83</v>
      </c>
      <c r="C13213" t="s">
        <v>602</v>
      </c>
      <c r="D13213">
        <v>1918.14</v>
      </c>
      <c r="E13213" s="37" t="str">
        <f t="shared" si="1030"/>
        <v xml:space="preserve"> </v>
      </c>
      <c r="F13213">
        <v>0.35</v>
      </c>
      <c r="G13213" s="37" t="str">
        <f t="shared" si="1031"/>
        <v>Heavy Discount</v>
      </c>
      <c r="H13213" s="37" t="str">
        <f t="shared" si="1032"/>
        <v>Medium</v>
      </c>
      <c r="I13213">
        <v>9</v>
      </c>
      <c r="J13213" t="str" cm="1">
        <f t="array" ref="J13213">_xlfn.IFS(I13213&lt;=3,"small",I13213&lt;=6,"Medium",I13213&lt;=9,"Large")</f>
        <v>Large</v>
      </c>
      <c r="K13213" s="36">
        <v>45209</v>
      </c>
      <c r="L13213" s="36">
        <v>45215</v>
      </c>
      <c r="M13213" t="s">
        <v>603</v>
      </c>
      <c r="N13213" t="s">
        <v>599</v>
      </c>
      <c r="O13213" s="37" t="str">
        <f t="shared" si="1033"/>
        <v>Digital Payment</v>
      </c>
      <c r="P13213">
        <v>420.56</v>
      </c>
      <c r="Q13213" s="37" t="str">
        <f>IF(P13213&gt;500,"High","low")</f>
        <v>low</v>
      </c>
      <c r="R13213" s="37" t="str">
        <f t="shared" si="1034"/>
        <v>AVERAGE</v>
      </c>
      <c r="S13213" t="s">
        <v>605</v>
      </c>
    </row>
    <row r="13214" spans="1:19" x14ac:dyDescent="0.2">
      <c r="A13214" t="s">
        <v>13825</v>
      </c>
      <c r="B13214" t="s">
        <v>90</v>
      </c>
      <c r="C13214" t="s">
        <v>617</v>
      </c>
      <c r="D13214">
        <v>1709.89</v>
      </c>
      <c r="E13214" s="37" t="str">
        <f t="shared" si="1030"/>
        <v xml:space="preserve"> </v>
      </c>
      <c r="F13214">
        <v>0.37</v>
      </c>
      <c r="G13214" s="37" t="str">
        <f t="shared" si="1031"/>
        <v>Heavy Discount</v>
      </c>
      <c r="H13214" s="37" t="str">
        <f t="shared" si="1032"/>
        <v>Medium</v>
      </c>
      <c r="I13214">
        <v>3</v>
      </c>
      <c r="J13214" t="str" cm="1">
        <f t="array" ref="J13214">_xlfn.IFS(I13214&lt;=3,"small",I13214&lt;=6,"Medium",I13214&lt;=9,"Large")</f>
        <v>small</v>
      </c>
      <c r="K13214" s="36">
        <v>45519</v>
      </c>
      <c r="L13214" s="36">
        <v>45521</v>
      </c>
      <c r="M13214" t="s">
        <v>612</v>
      </c>
      <c r="N13214" t="s">
        <v>604</v>
      </c>
      <c r="O13214" s="37" t="str">
        <f t="shared" si="1033"/>
        <v>Digital Payment</v>
      </c>
      <c r="P13214">
        <v>183.17</v>
      </c>
      <c r="Q13214" s="37" t="str">
        <f>IF(P13214&gt;500,"High","low")</f>
        <v>low</v>
      </c>
      <c r="R13214" s="37" t="str">
        <f t="shared" si="1034"/>
        <v>AVERAGE</v>
      </c>
      <c r="S13214" t="s">
        <v>605</v>
      </c>
    </row>
    <row r="13215" spans="1:19" x14ac:dyDescent="0.2">
      <c r="A13215" t="s">
        <v>13826</v>
      </c>
      <c r="B13215" t="s">
        <v>67</v>
      </c>
      <c r="C13215" t="s">
        <v>597</v>
      </c>
      <c r="D13215">
        <v>1935.57</v>
      </c>
      <c r="E13215" s="37" t="str">
        <f t="shared" si="1030"/>
        <v xml:space="preserve"> </v>
      </c>
      <c r="F13215">
        <v>0.48</v>
      </c>
      <c r="G13215" s="37" t="str">
        <f t="shared" si="1031"/>
        <v>Heavy Discount</v>
      </c>
      <c r="H13215" s="37" t="str">
        <f t="shared" si="1032"/>
        <v>High</v>
      </c>
      <c r="I13215">
        <v>1</v>
      </c>
      <c r="J13215" t="str" cm="1">
        <f t="array" ref="J13215">_xlfn.IFS(I13215&lt;=3,"small",I13215&lt;=6,"Medium",I13215&lt;=9,"Large")</f>
        <v>small</v>
      </c>
      <c r="K13215" s="36">
        <v>45580</v>
      </c>
      <c r="L13215" s="36">
        <v>45586</v>
      </c>
      <c r="M13215" t="s">
        <v>598</v>
      </c>
      <c r="N13215" t="s">
        <v>608</v>
      </c>
      <c r="O13215" s="37" t="str">
        <f t="shared" si="1033"/>
        <v>Cash Payment</v>
      </c>
      <c r="P13215">
        <v>197.71</v>
      </c>
      <c r="Q13215" s="37" t="str">
        <f>IF(P13215&gt;500,"High","low")</f>
        <v>low</v>
      </c>
      <c r="R13215" s="37" t="str">
        <f t="shared" si="1034"/>
        <v>AVERAGE</v>
      </c>
      <c r="S13215" t="s">
        <v>609</v>
      </c>
    </row>
    <row r="13216" spans="1:19" x14ac:dyDescent="0.2">
      <c r="A13216" t="s">
        <v>13827</v>
      </c>
      <c r="B13216" t="s">
        <v>83</v>
      </c>
      <c r="C13216" t="s">
        <v>617</v>
      </c>
      <c r="D13216">
        <v>785.57</v>
      </c>
      <c r="E13216" s="37" t="str">
        <f t="shared" si="1030"/>
        <v xml:space="preserve"> </v>
      </c>
      <c r="F13216">
        <v>0.49</v>
      </c>
      <c r="G13216" s="37" t="str">
        <f t="shared" si="1031"/>
        <v>Heavy Discount</v>
      </c>
      <c r="H13216" s="37" t="str">
        <f t="shared" si="1032"/>
        <v>High</v>
      </c>
      <c r="I13216">
        <v>9</v>
      </c>
      <c r="J13216" t="str" cm="1">
        <f t="array" ref="J13216">_xlfn.IFS(I13216&lt;=3,"small",I13216&lt;=6,"Medium",I13216&lt;=9,"Large")</f>
        <v>Large</v>
      </c>
      <c r="K13216" s="36">
        <v>45057</v>
      </c>
      <c r="L13216" s="36">
        <v>45063</v>
      </c>
      <c r="M13216" t="s">
        <v>603</v>
      </c>
      <c r="N13216" t="s">
        <v>608</v>
      </c>
      <c r="O13216" s="37" t="str">
        <f t="shared" si="1033"/>
        <v>Cash Payment</v>
      </c>
      <c r="P13216">
        <v>216.52</v>
      </c>
      <c r="Q13216" s="37" t="str">
        <f>IF(P13216&gt;500,"High","low")</f>
        <v>low</v>
      </c>
      <c r="R13216" s="37" t="str">
        <f t="shared" si="1034"/>
        <v>AVERAGE</v>
      </c>
      <c r="S13216" t="s">
        <v>620</v>
      </c>
    </row>
    <row r="13217" spans="1:19" x14ac:dyDescent="0.2">
      <c r="A13217" t="s">
        <v>13828</v>
      </c>
      <c r="B13217" t="s">
        <v>67</v>
      </c>
      <c r="C13217" t="s">
        <v>607</v>
      </c>
      <c r="D13217">
        <v>910.44</v>
      </c>
      <c r="E13217" s="37" t="str">
        <f t="shared" si="1030"/>
        <v xml:space="preserve"> </v>
      </c>
      <c r="F13217">
        <v>0.33</v>
      </c>
      <c r="G13217" s="37" t="str">
        <f t="shared" si="1031"/>
        <v>Heavy Discount</v>
      </c>
      <c r="H13217" s="37" t="str">
        <f t="shared" si="1032"/>
        <v>Medium</v>
      </c>
      <c r="I13217">
        <v>1</v>
      </c>
      <c r="J13217" t="str" cm="1">
        <f t="array" ref="J13217">_xlfn.IFS(I13217&lt;=3,"small",I13217&lt;=6,"Medium",I13217&lt;=9,"Large")</f>
        <v>small</v>
      </c>
      <c r="K13217" s="36">
        <v>45030</v>
      </c>
      <c r="L13217" s="36">
        <v>45033</v>
      </c>
      <c r="M13217" t="s">
        <v>603</v>
      </c>
      <c r="N13217" t="s">
        <v>599</v>
      </c>
      <c r="O13217" s="37" t="str">
        <f t="shared" si="1033"/>
        <v>Digital Payment</v>
      </c>
      <c r="P13217">
        <v>72.239999999999995</v>
      </c>
      <c r="Q13217" s="37" t="str">
        <f>IF(P13217&gt;500,"High","low")</f>
        <v>low</v>
      </c>
      <c r="R13217" s="37" t="str">
        <f t="shared" si="1034"/>
        <v>AVERAGE</v>
      </c>
      <c r="S13217" t="s">
        <v>628</v>
      </c>
    </row>
    <row r="13218" spans="1:19" x14ac:dyDescent="0.2">
      <c r="A13218" t="s">
        <v>13829</v>
      </c>
      <c r="B13218" t="s">
        <v>67</v>
      </c>
      <c r="C13218" t="s">
        <v>617</v>
      </c>
      <c r="D13218">
        <v>1255.5899999999999</v>
      </c>
      <c r="E13218" s="37" t="str">
        <f t="shared" si="1030"/>
        <v xml:space="preserve"> </v>
      </c>
      <c r="F13218">
        <v>0.18</v>
      </c>
      <c r="G13218" s="37" t="str">
        <f t="shared" si="1031"/>
        <v>Normal Discount</v>
      </c>
      <c r="H13218" s="37" t="str">
        <f t="shared" si="1032"/>
        <v>Low</v>
      </c>
      <c r="I13218">
        <v>1</v>
      </c>
      <c r="J13218" t="str" cm="1">
        <f t="array" ref="J13218">_xlfn.IFS(I13218&lt;=3,"small",I13218&lt;=6,"Medium",I13218&lt;=9,"Large")</f>
        <v>small</v>
      </c>
      <c r="K13218" s="36">
        <v>45465</v>
      </c>
      <c r="L13218" s="36">
        <v>45467</v>
      </c>
      <c r="M13218" t="s">
        <v>603</v>
      </c>
      <c r="N13218" t="s">
        <v>599</v>
      </c>
      <c r="O13218" s="37" t="str">
        <f t="shared" si="1033"/>
        <v>Digital Payment</v>
      </c>
      <c r="P13218">
        <v>73.14</v>
      </c>
      <c r="Q13218" s="37" t="str">
        <f>IF(P13218&gt;500,"High","low")</f>
        <v>low</v>
      </c>
      <c r="R13218" s="37" t="str">
        <f t="shared" si="1034"/>
        <v>AVERAGE</v>
      </c>
      <c r="S13218" t="s">
        <v>620</v>
      </c>
    </row>
    <row r="13219" spans="1:19" x14ac:dyDescent="0.2">
      <c r="A13219" t="s">
        <v>13830</v>
      </c>
      <c r="B13219" t="s">
        <v>67</v>
      </c>
      <c r="C13219" t="s">
        <v>617</v>
      </c>
      <c r="D13219">
        <v>2069.7600000000002</v>
      </c>
      <c r="E13219" s="37" t="str">
        <f t="shared" si="1030"/>
        <v xml:space="preserve"> </v>
      </c>
      <c r="F13219">
        <v>0.23</v>
      </c>
      <c r="G13219" s="37" t="str">
        <f t="shared" si="1031"/>
        <v>Normal Discount</v>
      </c>
      <c r="H13219" s="37" t="str">
        <f t="shared" si="1032"/>
        <v>Medium</v>
      </c>
      <c r="I13219">
        <v>5</v>
      </c>
      <c r="J13219" t="str" cm="1">
        <f t="array" ref="J13219">_xlfn.IFS(I13219&lt;=3,"small",I13219&lt;=6,"Medium",I13219&lt;=9,"Large")</f>
        <v>Medium</v>
      </c>
      <c r="K13219" s="36">
        <v>45628</v>
      </c>
      <c r="L13219" s="36">
        <v>45634</v>
      </c>
      <c r="M13219" t="s">
        <v>598</v>
      </c>
      <c r="N13219" t="s">
        <v>604</v>
      </c>
      <c r="O13219" s="37" t="str">
        <f t="shared" si="1033"/>
        <v>Digital Payment</v>
      </c>
      <c r="P13219">
        <v>293.01</v>
      </c>
      <c r="Q13219" s="37" t="str">
        <f>IF(P13219&gt;500,"High","low")</f>
        <v>low</v>
      </c>
      <c r="R13219" s="37" t="str">
        <f t="shared" si="1034"/>
        <v>AVERAGE</v>
      </c>
      <c r="S13219" t="s">
        <v>609</v>
      </c>
    </row>
    <row r="13220" spans="1:19" x14ac:dyDescent="0.2">
      <c r="A13220" t="s">
        <v>13831</v>
      </c>
      <c r="B13220" t="s">
        <v>90</v>
      </c>
      <c r="C13220" t="s">
        <v>617</v>
      </c>
      <c r="D13220">
        <v>1745.91</v>
      </c>
      <c r="E13220" s="37" t="str">
        <f t="shared" si="1030"/>
        <v xml:space="preserve"> </v>
      </c>
      <c r="F13220">
        <v>0.22</v>
      </c>
      <c r="G13220" s="37" t="str">
        <f t="shared" si="1031"/>
        <v>Normal Discount</v>
      </c>
      <c r="H13220" s="37" t="str">
        <f t="shared" si="1032"/>
        <v>Medium</v>
      </c>
      <c r="I13220">
        <v>2</v>
      </c>
      <c r="J13220" t="str" cm="1">
        <f t="array" ref="J13220">_xlfn.IFS(I13220&lt;=3,"small",I13220&lt;=6,"Medium",I13220&lt;=9,"Large")</f>
        <v>small</v>
      </c>
      <c r="K13220" s="36">
        <v>45178</v>
      </c>
      <c r="L13220" s="36">
        <v>45184</v>
      </c>
      <c r="M13220" t="s">
        <v>612</v>
      </c>
      <c r="N13220" t="s">
        <v>608</v>
      </c>
      <c r="O13220" s="37" t="str">
        <f t="shared" si="1033"/>
        <v>Cash Payment</v>
      </c>
      <c r="P13220">
        <v>333.38</v>
      </c>
      <c r="Q13220" s="37" t="str">
        <f>IF(P13220&gt;500,"High","low")</f>
        <v>low</v>
      </c>
      <c r="R13220" s="37" t="str">
        <f t="shared" si="1034"/>
        <v>AVERAGE</v>
      </c>
      <c r="S13220" t="s">
        <v>605</v>
      </c>
    </row>
    <row r="13221" spans="1:19" x14ac:dyDescent="0.2">
      <c r="A13221" t="s">
        <v>13832</v>
      </c>
      <c r="B13221" t="s">
        <v>90</v>
      </c>
      <c r="C13221" t="s">
        <v>614</v>
      </c>
      <c r="D13221">
        <v>3977.54</v>
      </c>
      <c r="E13221" s="37" t="str">
        <f t="shared" si="1030"/>
        <v xml:space="preserve"> </v>
      </c>
      <c r="F13221">
        <v>0.19</v>
      </c>
      <c r="G13221" s="37" t="str">
        <f t="shared" si="1031"/>
        <v>Normal Discount</v>
      </c>
      <c r="H13221" s="37" t="str">
        <f t="shared" si="1032"/>
        <v>Low</v>
      </c>
      <c r="I13221">
        <v>2</v>
      </c>
      <c r="J13221" t="str" cm="1">
        <f t="array" ref="J13221">_xlfn.IFS(I13221&lt;=3,"small",I13221&lt;=6,"Medium",I13221&lt;=9,"Large")</f>
        <v>small</v>
      </c>
      <c r="K13221" s="36">
        <v>45610</v>
      </c>
      <c r="L13221" s="36">
        <v>45617</v>
      </c>
      <c r="M13221" t="s">
        <v>603</v>
      </c>
      <c r="N13221" t="s">
        <v>604</v>
      </c>
      <c r="O13221" s="37" t="str">
        <f t="shared" si="1033"/>
        <v>Digital Payment</v>
      </c>
      <c r="P13221">
        <v>1112.8</v>
      </c>
      <c r="Q13221" s="37" t="str">
        <f>IF(P13221&gt;500,"High","low")</f>
        <v>High</v>
      </c>
      <c r="R13221" s="37" t="str">
        <f t="shared" si="1034"/>
        <v>Excellent</v>
      </c>
      <c r="S13221" t="s">
        <v>600</v>
      </c>
    </row>
    <row r="13222" spans="1:19" x14ac:dyDescent="0.2">
      <c r="A13222" t="s">
        <v>13833</v>
      </c>
      <c r="B13222" t="s">
        <v>90</v>
      </c>
      <c r="C13222" t="s">
        <v>597</v>
      </c>
      <c r="D13222">
        <v>2675.04</v>
      </c>
      <c r="E13222" s="37" t="str">
        <f t="shared" si="1030"/>
        <v xml:space="preserve"> </v>
      </c>
      <c r="F13222">
        <v>0.17</v>
      </c>
      <c r="G13222" s="37" t="str">
        <f t="shared" si="1031"/>
        <v>Normal Discount</v>
      </c>
      <c r="H13222" s="37" t="str">
        <f t="shared" si="1032"/>
        <v>Low</v>
      </c>
      <c r="I13222">
        <v>5</v>
      </c>
      <c r="J13222" t="str" cm="1">
        <f t="array" ref="J13222">_xlfn.IFS(I13222&lt;=3,"small",I13222&lt;=6,"Medium",I13222&lt;=9,"Large")</f>
        <v>Medium</v>
      </c>
      <c r="K13222" s="36">
        <v>44951</v>
      </c>
      <c r="L13222" s="36">
        <v>44955</v>
      </c>
      <c r="M13222" t="s">
        <v>612</v>
      </c>
      <c r="N13222" t="s">
        <v>599</v>
      </c>
      <c r="O13222" s="37" t="str">
        <f t="shared" si="1033"/>
        <v>Digital Payment</v>
      </c>
      <c r="P13222">
        <v>743.36</v>
      </c>
      <c r="Q13222" s="37" t="str">
        <f>IF(P13222&gt;500,"High","low")</f>
        <v>High</v>
      </c>
      <c r="R13222" s="37" t="str">
        <f t="shared" si="1034"/>
        <v>Good</v>
      </c>
      <c r="S13222" t="s">
        <v>615</v>
      </c>
    </row>
    <row r="13223" spans="1:19" x14ac:dyDescent="0.2">
      <c r="A13223" t="s">
        <v>13834</v>
      </c>
      <c r="B13223" t="s">
        <v>90</v>
      </c>
      <c r="C13223" t="s">
        <v>607</v>
      </c>
      <c r="D13223">
        <v>2920.94</v>
      </c>
      <c r="E13223" s="37" t="str">
        <f t="shared" si="1030"/>
        <v xml:space="preserve"> </v>
      </c>
      <c r="F13223">
        <v>0.08</v>
      </c>
      <c r="G13223" s="37" t="str">
        <f t="shared" si="1031"/>
        <v>Normal Discount</v>
      </c>
      <c r="H13223" s="37" t="str">
        <f t="shared" si="1032"/>
        <v>Low</v>
      </c>
      <c r="I13223">
        <v>7</v>
      </c>
      <c r="J13223" t="str" cm="1">
        <f t="array" ref="J13223">_xlfn.IFS(I13223&lt;=3,"small",I13223&lt;=6,"Medium",I13223&lt;=9,"Large")</f>
        <v>Large</v>
      </c>
      <c r="K13223" s="36">
        <v>45115</v>
      </c>
      <c r="L13223" s="36">
        <v>45122</v>
      </c>
      <c r="M13223" t="s">
        <v>603</v>
      </c>
      <c r="N13223" t="s">
        <v>604</v>
      </c>
      <c r="O13223" s="37" t="str">
        <f t="shared" si="1033"/>
        <v>Digital Payment</v>
      </c>
      <c r="P13223">
        <v>247.99</v>
      </c>
      <c r="Q13223" s="37" t="str">
        <f>IF(P13223&gt;500,"High","low")</f>
        <v>low</v>
      </c>
      <c r="R13223" s="37" t="str">
        <f t="shared" si="1034"/>
        <v>AVERAGE</v>
      </c>
      <c r="S13223" t="s">
        <v>620</v>
      </c>
    </row>
    <row r="13224" spans="1:19" x14ac:dyDescent="0.2">
      <c r="A13224" t="s">
        <v>13835</v>
      </c>
      <c r="B13224" t="s">
        <v>83</v>
      </c>
      <c r="C13224" t="s">
        <v>602</v>
      </c>
      <c r="D13224">
        <v>2846.91</v>
      </c>
      <c r="E13224" s="37" t="str">
        <f t="shared" si="1030"/>
        <v xml:space="preserve"> </v>
      </c>
      <c r="F13224">
        <v>0.18</v>
      </c>
      <c r="G13224" s="37" t="str">
        <f t="shared" si="1031"/>
        <v>Normal Discount</v>
      </c>
      <c r="H13224" s="37" t="str">
        <f t="shared" si="1032"/>
        <v>Low</v>
      </c>
      <c r="I13224">
        <v>6</v>
      </c>
      <c r="J13224" t="str" cm="1">
        <f t="array" ref="J13224">_xlfn.IFS(I13224&lt;=3,"small",I13224&lt;=6,"Medium",I13224&lt;=9,"Large")</f>
        <v>Medium</v>
      </c>
      <c r="K13224" s="36">
        <v>45129</v>
      </c>
      <c r="L13224" s="36">
        <v>45132</v>
      </c>
      <c r="M13224" t="s">
        <v>598</v>
      </c>
      <c r="N13224" t="s">
        <v>604</v>
      </c>
      <c r="O13224" s="37" t="str">
        <f t="shared" si="1033"/>
        <v>Digital Payment</v>
      </c>
      <c r="P13224">
        <v>702.45</v>
      </c>
      <c r="Q13224" s="37" t="str">
        <f>IF(P13224&gt;500,"High","low")</f>
        <v>High</v>
      </c>
      <c r="R13224" s="37" t="str">
        <f t="shared" si="1034"/>
        <v>Good</v>
      </c>
      <c r="S13224" t="s">
        <v>600</v>
      </c>
    </row>
    <row r="13225" spans="1:19" x14ac:dyDescent="0.2">
      <c r="A13225" t="s">
        <v>13836</v>
      </c>
      <c r="B13225" t="s">
        <v>75</v>
      </c>
      <c r="C13225" t="s">
        <v>607</v>
      </c>
      <c r="D13225">
        <v>2054</v>
      </c>
      <c r="E13225" s="37" t="str">
        <f t="shared" si="1030"/>
        <v xml:space="preserve"> </v>
      </c>
      <c r="F13225">
        <v>0.48</v>
      </c>
      <c r="G13225" s="37" t="str">
        <f t="shared" si="1031"/>
        <v>Heavy Discount</v>
      </c>
      <c r="H13225" s="37" t="str">
        <f t="shared" si="1032"/>
        <v>High</v>
      </c>
      <c r="I13225">
        <v>5</v>
      </c>
      <c r="J13225" t="str" cm="1">
        <f t="array" ref="J13225">_xlfn.IFS(I13225&lt;=3,"small",I13225&lt;=6,"Medium",I13225&lt;=9,"Large")</f>
        <v>Medium</v>
      </c>
      <c r="K13225" s="36">
        <v>45434</v>
      </c>
      <c r="L13225" s="36">
        <v>45436</v>
      </c>
      <c r="M13225" t="s">
        <v>612</v>
      </c>
      <c r="N13225" t="s">
        <v>604</v>
      </c>
      <c r="O13225" s="37" t="str">
        <f t="shared" si="1033"/>
        <v>Digital Payment</v>
      </c>
      <c r="P13225">
        <v>582.54</v>
      </c>
      <c r="Q13225" s="37" t="str">
        <f>IF(P13225&gt;500,"High","low")</f>
        <v>High</v>
      </c>
      <c r="R13225" s="37" t="str">
        <f t="shared" si="1034"/>
        <v>Good</v>
      </c>
      <c r="S13225" t="s">
        <v>609</v>
      </c>
    </row>
    <row r="13226" spans="1:19" x14ac:dyDescent="0.2">
      <c r="A13226" t="s">
        <v>13837</v>
      </c>
      <c r="B13226" t="s">
        <v>75</v>
      </c>
      <c r="C13226" t="s">
        <v>607</v>
      </c>
      <c r="D13226">
        <v>4904.37</v>
      </c>
      <c r="E13226" s="37" t="str">
        <f t="shared" si="1030"/>
        <v>Excellent Order</v>
      </c>
      <c r="F13226">
        <v>0.44</v>
      </c>
      <c r="G13226" s="37" t="str">
        <f t="shared" si="1031"/>
        <v>Heavy Discount</v>
      </c>
      <c r="H13226" s="37" t="str">
        <f t="shared" si="1032"/>
        <v>High</v>
      </c>
      <c r="I13226">
        <v>3</v>
      </c>
      <c r="J13226" t="str" cm="1">
        <f t="array" ref="J13226">_xlfn.IFS(I13226&lt;=3,"small",I13226&lt;=6,"Medium",I13226&lt;=9,"Large")</f>
        <v>small</v>
      </c>
      <c r="K13226" s="36">
        <v>44978</v>
      </c>
      <c r="L13226" s="36">
        <v>44982</v>
      </c>
      <c r="M13226" t="s">
        <v>612</v>
      </c>
      <c r="N13226" t="s">
        <v>608</v>
      </c>
      <c r="O13226" s="37" t="str">
        <f t="shared" si="1033"/>
        <v>Cash Payment</v>
      </c>
      <c r="P13226">
        <v>1267.2</v>
      </c>
      <c r="Q13226" s="37" t="str">
        <f>IF(P13226&gt;500,"High","low")</f>
        <v>High</v>
      </c>
      <c r="R13226" s="37" t="str">
        <f t="shared" si="1034"/>
        <v>Excellent</v>
      </c>
      <c r="S13226" t="s">
        <v>628</v>
      </c>
    </row>
    <row r="13227" spans="1:19" x14ac:dyDescent="0.2">
      <c r="A13227" t="s">
        <v>13838</v>
      </c>
      <c r="B13227" t="s">
        <v>75</v>
      </c>
      <c r="C13227" t="s">
        <v>614</v>
      </c>
      <c r="D13227">
        <v>282.91000000000003</v>
      </c>
      <c r="E13227" s="37" t="str">
        <f t="shared" si="1030"/>
        <v xml:space="preserve"> </v>
      </c>
      <c r="F13227">
        <v>0.31</v>
      </c>
      <c r="G13227" s="37" t="str">
        <f t="shared" si="1031"/>
        <v>Heavy Discount</v>
      </c>
      <c r="H13227" s="37" t="str">
        <f t="shared" si="1032"/>
        <v>Medium</v>
      </c>
      <c r="I13227">
        <v>9</v>
      </c>
      <c r="J13227" t="str" cm="1">
        <f t="array" ref="J13227">_xlfn.IFS(I13227&lt;=3,"small",I13227&lt;=6,"Medium",I13227&lt;=9,"Large")</f>
        <v>Large</v>
      </c>
      <c r="K13227" s="36">
        <v>45578</v>
      </c>
      <c r="L13227" s="36">
        <v>45581</v>
      </c>
      <c r="M13227" t="s">
        <v>612</v>
      </c>
      <c r="N13227" t="s">
        <v>604</v>
      </c>
      <c r="O13227" s="37" t="str">
        <f t="shared" si="1033"/>
        <v>Digital Payment</v>
      </c>
      <c r="P13227">
        <v>43.44</v>
      </c>
      <c r="Q13227" s="37" t="str">
        <f>IF(P13227&gt;500,"High","low")</f>
        <v>low</v>
      </c>
      <c r="R13227" s="37" t="str">
        <f t="shared" si="1034"/>
        <v>AVERAGE</v>
      </c>
      <c r="S13227" t="s">
        <v>628</v>
      </c>
    </row>
    <row r="13228" spans="1:19" x14ac:dyDescent="0.2">
      <c r="A13228" t="s">
        <v>13839</v>
      </c>
      <c r="B13228" t="s">
        <v>83</v>
      </c>
      <c r="C13228" t="s">
        <v>614</v>
      </c>
      <c r="D13228">
        <v>1157.6099999999999</v>
      </c>
      <c r="E13228" s="37" t="str">
        <f t="shared" si="1030"/>
        <v xml:space="preserve"> </v>
      </c>
      <c r="F13228">
        <v>0.1</v>
      </c>
      <c r="G13228" s="37" t="str">
        <f t="shared" si="1031"/>
        <v>Normal Discount</v>
      </c>
      <c r="H13228" s="37" t="str">
        <f t="shared" si="1032"/>
        <v>Low</v>
      </c>
      <c r="I13228">
        <v>8</v>
      </c>
      <c r="J13228" t="str" cm="1">
        <f t="array" ref="J13228">_xlfn.IFS(I13228&lt;=3,"small",I13228&lt;=6,"Medium",I13228&lt;=9,"Large")</f>
        <v>Large</v>
      </c>
      <c r="K13228" s="36">
        <v>45432</v>
      </c>
      <c r="L13228" s="36">
        <v>45439</v>
      </c>
      <c r="M13228" t="s">
        <v>598</v>
      </c>
      <c r="N13228" t="s">
        <v>604</v>
      </c>
      <c r="O13228" s="37" t="str">
        <f t="shared" si="1033"/>
        <v>Digital Payment</v>
      </c>
      <c r="P13228">
        <v>118</v>
      </c>
      <c r="Q13228" s="37" t="str">
        <f>IF(P13228&gt;500,"High","low")</f>
        <v>low</v>
      </c>
      <c r="R13228" s="37" t="str">
        <f t="shared" si="1034"/>
        <v>AVERAGE</v>
      </c>
      <c r="S13228" t="s">
        <v>628</v>
      </c>
    </row>
    <row r="13229" spans="1:19" x14ac:dyDescent="0.2">
      <c r="A13229" t="s">
        <v>13840</v>
      </c>
      <c r="B13229" t="s">
        <v>75</v>
      </c>
      <c r="C13229" t="s">
        <v>617</v>
      </c>
      <c r="D13229">
        <v>1494.81</v>
      </c>
      <c r="E13229" s="37" t="str">
        <f t="shared" si="1030"/>
        <v xml:space="preserve"> </v>
      </c>
      <c r="F13229">
        <v>0.44</v>
      </c>
      <c r="G13229" s="37" t="str">
        <f t="shared" si="1031"/>
        <v>Heavy Discount</v>
      </c>
      <c r="H13229" s="37" t="str">
        <f t="shared" si="1032"/>
        <v>High</v>
      </c>
      <c r="I13229">
        <v>3</v>
      </c>
      <c r="J13229" t="str" cm="1">
        <f t="array" ref="J13229">_xlfn.IFS(I13229&lt;=3,"small",I13229&lt;=6,"Medium",I13229&lt;=9,"Large")</f>
        <v>small</v>
      </c>
      <c r="K13229" s="36">
        <v>45394</v>
      </c>
      <c r="L13229" s="36">
        <v>45398</v>
      </c>
      <c r="M13229" t="s">
        <v>598</v>
      </c>
      <c r="N13229" t="s">
        <v>599</v>
      </c>
      <c r="O13229" s="37" t="str">
        <f t="shared" si="1033"/>
        <v>Digital Payment</v>
      </c>
      <c r="P13229">
        <v>416.89</v>
      </c>
      <c r="Q13229" s="37" t="str">
        <f>IF(P13229&gt;500,"High","low")</f>
        <v>low</v>
      </c>
      <c r="R13229" s="37" t="str">
        <f t="shared" si="1034"/>
        <v>AVERAGE</v>
      </c>
      <c r="S13229" t="s">
        <v>600</v>
      </c>
    </row>
    <row r="13230" spans="1:19" x14ac:dyDescent="0.2">
      <c r="A13230" t="s">
        <v>13841</v>
      </c>
      <c r="B13230" t="s">
        <v>83</v>
      </c>
      <c r="C13230" t="s">
        <v>607</v>
      </c>
      <c r="D13230">
        <v>4418.3599999999997</v>
      </c>
      <c r="E13230" s="37" t="str">
        <f t="shared" si="1030"/>
        <v>Excellent Order</v>
      </c>
      <c r="F13230">
        <v>0.16</v>
      </c>
      <c r="G13230" s="37" t="str">
        <f t="shared" si="1031"/>
        <v>Normal Discount</v>
      </c>
      <c r="H13230" s="37" t="str">
        <f t="shared" si="1032"/>
        <v>Low</v>
      </c>
      <c r="I13230">
        <v>7</v>
      </c>
      <c r="J13230" t="str" cm="1">
        <f t="array" ref="J13230">_xlfn.IFS(I13230&lt;=3,"small",I13230&lt;=6,"Medium",I13230&lt;=9,"Large")</f>
        <v>Large</v>
      </c>
      <c r="K13230" s="36">
        <v>45344</v>
      </c>
      <c r="L13230" s="36">
        <v>45350</v>
      </c>
      <c r="M13230" t="s">
        <v>598</v>
      </c>
      <c r="N13230" t="s">
        <v>608</v>
      </c>
      <c r="O13230" s="37" t="str">
        <f t="shared" si="1033"/>
        <v>Cash Payment</v>
      </c>
      <c r="P13230">
        <v>808.58</v>
      </c>
      <c r="Q13230" s="37" t="str">
        <f>IF(P13230&gt;500,"High","low")</f>
        <v>High</v>
      </c>
      <c r="R13230" s="37" t="str">
        <f t="shared" si="1034"/>
        <v>Good</v>
      </c>
      <c r="S13230" t="s">
        <v>620</v>
      </c>
    </row>
    <row r="13231" spans="1:19" x14ac:dyDescent="0.2">
      <c r="A13231" t="s">
        <v>13842</v>
      </c>
      <c r="B13231" t="s">
        <v>83</v>
      </c>
      <c r="C13231" t="s">
        <v>597</v>
      </c>
      <c r="D13231">
        <v>4602.46</v>
      </c>
      <c r="E13231" s="37" t="str">
        <f t="shared" si="1030"/>
        <v xml:space="preserve"> </v>
      </c>
      <c r="F13231">
        <v>0.27</v>
      </c>
      <c r="G13231" s="37" t="str">
        <f t="shared" si="1031"/>
        <v>Normal Discount</v>
      </c>
      <c r="H13231" s="37" t="str">
        <f t="shared" si="1032"/>
        <v>Medium</v>
      </c>
      <c r="I13231">
        <v>3</v>
      </c>
      <c r="J13231" t="str" cm="1">
        <f t="array" ref="J13231">_xlfn.IFS(I13231&lt;=3,"small",I13231&lt;=6,"Medium",I13231&lt;=9,"Large")</f>
        <v>small</v>
      </c>
      <c r="K13231" s="36">
        <v>45046</v>
      </c>
      <c r="L13231" s="36">
        <v>45049</v>
      </c>
      <c r="M13231" t="s">
        <v>598</v>
      </c>
      <c r="N13231" t="s">
        <v>599</v>
      </c>
      <c r="O13231" s="37" t="str">
        <f t="shared" si="1033"/>
        <v>Digital Payment</v>
      </c>
      <c r="P13231">
        <v>521.4</v>
      </c>
      <c r="Q13231" s="37" t="str">
        <f>IF(P13231&gt;500,"High","low")</f>
        <v>High</v>
      </c>
      <c r="R13231" s="37" t="str">
        <f t="shared" si="1034"/>
        <v>Good</v>
      </c>
      <c r="S13231" t="s">
        <v>600</v>
      </c>
    </row>
    <row r="13232" spans="1:19" x14ac:dyDescent="0.2">
      <c r="A13232" t="s">
        <v>13843</v>
      </c>
      <c r="B13232" t="s">
        <v>83</v>
      </c>
      <c r="C13232" t="s">
        <v>614</v>
      </c>
      <c r="D13232">
        <v>4245.91</v>
      </c>
      <c r="E13232" s="37" t="str">
        <f t="shared" si="1030"/>
        <v xml:space="preserve"> </v>
      </c>
      <c r="F13232">
        <v>0.46</v>
      </c>
      <c r="G13232" s="37" t="str">
        <f t="shared" si="1031"/>
        <v>Heavy Discount</v>
      </c>
      <c r="H13232" s="37" t="str">
        <f t="shared" si="1032"/>
        <v>High</v>
      </c>
      <c r="I13232">
        <v>6</v>
      </c>
      <c r="J13232" t="str" cm="1">
        <f t="array" ref="J13232">_xlfn.IFS(I13232&lt;=3,"small",I13232&lt;=6,"Medium",I13232&lt;=9,"Large")</f>
        <v>Medium</v>
      </c>
      <c r="K13232" s="36">
        <v>45418</v>
      </c>
      <c r="L13232" s="36">
        <v>45425</v>
      </c>
      <c r="M13232" t="s">
        <v>603</v>
      </c>
      <c r="N13232" t="s">
        <v>599</v>
      </c>
      <c r="O13232" s="37" t="str">
        <f t="shared" si="1033"/>
        <v>Digital Payment</v>
      </c>
      <c r="P13232">
        <v>555.70000000000005</v>
      </c>
      <c r="Q13232" s="37" t="str">
        <f>IF(P13232&gt;500,"High","low")</f>
        <v>High</v>
      </c>
      <c r="R13232" s="37" t="str">
        <f t="shared" si="1034"/>
        <v>Good</v>
      </c>
      <c r="S13232" t="s">
        <v>609</v>
      </c>
    </row>
    <row r="13233" spans="1:19" x14ac:dyDescent="0.2">
      <c r="A13233" t="s">
        <v>13844</v>
      </c>
      <c r="B13233" t="s">
        <v>75</v>
      </c>
      <c r="C13233" t="s">
        <v>614</v>
      </c>
      <c r="D13233">
        <v>2143.06</v>
      </c>
      <c r="E13233" s="37" t="str">
        <f t="shared" si="1030"/>
        <v xml:space="preserve"> </v>
      </c>
      <c r="F13233">
        <v>0.17</v>
      </c>
      <c r="G13233" s="37" t="str">
        <f t="shared" si="1031"/>
        <v>Normal Discount</v>
      </c>
      <c r="H13233" s="37" t="str">
        <f t="shared" si="1032"/>
        <v>Low</v>
      </c>
      <c r="I13233">
        <v>3</v>
      </c>
      <c r="J13233" t="str" cm="1">
        <f t="array" ref="J13233">_xlfn.IFS(I13233&lt;=3,"small",I13233&lt;=6,"Medium",I13233&lt;=9,"Large")</f>
        <v>small</v>
      </c>
      <c r="K13233" s="36">
        <v>45183</v>
      </c>
      <c r="L13233" s="36">
        <v>45186</v>
      </c>
      <c r="M13233" t="s">
        <v>612</v>
      </c>
      <c r="N13233" t="s">
        <v>608</v>
      </c>
      <c r="O13233" s="37" t="str">
        <f t="shared" si="1033"/>
        <v>Cash Payment</v>
      </c>
      <c r="P13233">
        <v>408.11</v>
      </c>
      <c r="Q13233" s="37" t="str">
        <f>IF(P13233&gt;500,"High","low")</f>
        <v>low</v>
      </c>
      <c r="R13233" s="37" t="str">
        <f t="shared" si="1034"/>
        <v>AVERAGE</v>
      </c>
      <c r="S13233" t="s">
        <v>609</v>
      </c>
    </row>
    <row r="13234" spans="1:19" x14ac:dyDescent="0.2">
      <c r="A13234" t="s">
        <v>13845</v>
      </c>
      <c r="B13234" t="s">
        <v>67</v>
      </c>
      <c r="C13234" t="s">
        <v>597</v>
      </c>
      <c r="D13234">
        <v>4581.66</v>
      </c>
      <c r="E13234" s="37" t="str">
        <f t="shared" si="1030"/>
        <v xml:space="preserve"> </v>
      </c>
      <c r="F13234">
        <v>0.46</v>
      </c>
      <c r="G13234" s="37" t="str">
        <f t="shared" si="1031"/>
        <v>Heavy Discount</v>
      </c>
      <c r="H13234" s="37" t="str">
        <f t="shared" si="1032"/>
        <v>High</v>
      </c>
      <c r="I13234">
        <v>8</v>
      </c>
      <c r="J13234" t="str" cm="1">
        <f t="array" ref="J13234">_xlfn.IFS(I13234&lt;=3,"small",I13234&lt;=6,"Medium",I13234&lt;=9,"Large")</f>
        <v>Large</v>
      </c>
      <c r="K13234" s="36">
        <v>45384</v>
      </c>
      <c r="L13234" s="36">
        <v>45390</v>
      </c>
      <c r="M13234" t="s">
        <v>598</v>
      </c>
      <c r="N13234" t="s">
        <v>599</v>
      </c>
      <c r="O13234" s="37" t="str">
        <f t="shared" si="1033"/>
        <v>Digital Payment</v>
      </c>
      <c r="P13234">
        <v>694.36</v>
      </c>
      <c r="Q13234" s="37" t="str">
        <f>IF(P13234&gt;500,"High","low")</f>
        <v>High</v>
      </c>
      <c r="R13234" s="37" t="str">
        <f t="shared" si="1034"/>
        <v>Good</v>
      </c>
      <c r="S13234" t="s">
        <v>620</v>
      </c>
    </row>
    <row r="13235" spans="1:19" x14ac:dyDescent="0.2">
      <c r="A13235" t="s">
        <v>13846</v>
      </c>
      <c r="B13235" t="s">
        <v>75</v>
      </c>
      <c r="C13235" t="s">
        <v>614</v>
      </c>
      <c r="D13235">
        <v>582.69000000000005</v>
      </c>
      <c r="E13235" s="37" t="str">
        <f t="shared" si="1030"/>
        <v xml:space="preserve"> </v>
      </c>
      <c r="F13235">
        <v>0.12</v>
      </c>
      <c r="G13235" s="37" t="str">
        <f t="shared" si="1031"/>
        <v>Normal Discount</v>
      </c>
      <c r="H13235" s="37" t="str">
        <f t="shared" si="1032"/>
        <v>Low</v>
      </c>
      <c r="I13235">
        <v>3</v>
      </c>
      <c r="J13235" t="str" cm="1">
        <f t="array" ref="J13235">_xlfn.IFS(I13235&lt;=3,"small",I13235&lt;=6,"Medium",I13235&lt;=9,"Large")</f>
        <v>small</v>
      </c>
      <c r="K13235" s="36">
        <v>45119</v>
      </c>
      <c r="L13235" s="36">
        <v>45123</v>
      </c>
      <c r="M13235" t="s">
        <v>603</v>
      </c>
      <c r="N13235" t="s">
        <v>599</v>
      </c>
      <c r="O13235" s="37" t="str">
        <f t="shared" si="1033"/>
        <v>Digital Payment</v>
      </c>
      <c r="P13235">
        <v>34.97</v>
      </c>
      <c r="Q13235" s="37" t="str">
        <f>IF(P13235&gt;500,"High","low")</f>
        <v>low</v>
      </c>
      <c r="R13235" s="37" t="str">
        <f t="shared" si="1034"/>
        <v>AVERAGE</v>
      </c>
      <c r="S13235" t="s">
        <v>628</v>
      </c>
    </row>
    <row r="13236" spans="1:19" x14ac:dyDescent="0.2">
      <c r="A13236" t="s">
        <v>13847</v>
      </c>
      <c r="B13236" t="s">
        <v>75</v>
      </c>
      <c r="C13236" t="s">
        <v>597</v>
      </c>
      <c r="D13236">
        <v>3296.93</v>
      </c>
      <c r="E13236" s="37" t="str">
        <f t="shared" si="1030"/>
        <v xml:space="preserve"> </v>
      </c>
      <c r="F13236">
        <v>0.46</v>
      </c>
      <c r="G13236" s="37" t="str">
        <f t="shared" si="1031"/>
        <v>Heavy Discount</v>
      </c>
      <c r="H13236" s="37" t="str">
        <f t="shared" si="1032"/>
        <v>High</v>
      </c>
      <c r="I13236">
        <v>5</v>
      </c>
      <c r="J13236" t="str" cm="1">
        <f t="array" ref="J13236">_xlfn.IFS(I13236&lt;=3,"small",I13236&lt;=6,"Medium",I13236&lt;=9,"Large")</f>
        <v>Medium</v>
      </c>
      <c r="K13236" s="36">
        <v>45564</v>
      </c>
      <c r="L13236" s="36">
        <v>45571</v>
      </c>
      <c r="M13236" t="s">
        <v>612</v>
      </c>
      <c r="N13236" t="s">
        <v>599</v>
      </c>
      <c r="O13236" s="37" t="str">
        <f t="shared" si="1033"/>
        <v>Digital Payment</v>
      </c>
      <c r="P13236">
        <v>638.27</v>
      </c>
      <c r="Q13236" s="37" t="str">
        <f>IF(P13236&gt;500,"High","low")</f>
        <v>High</v>
      </c>
      <c r="R13236" s="37" t="str">
        <f t="shared" si="1034"/>
        <v>Good</v>
      </c>
      <c r="S13236" t="s">
        <v>609</v>
      </c>
    </row>
    <row r="13237" spans="1:19" x14ac:dyDescent="0.2">
      <c r="A13237" t="s">
        <v>13848</v>
      </c>
      <c r="B13237" t="s">
        <v>90</v>
      </c>
      <c r="C13237" t="s">
        <v>602</v>
      </c>
      <c r="D13237">
        <v>4692.3999999999996</v>
      </c>
      <c r="E13237" s="37" t="str">
        <f t="shared" si="1030"/>
        <v xml:space="preserve"> </v>
      </c>
      <c r="F13237">
        <v>0.18</v>
      </c>
      <c r="G13237" s="37" t="str">
        <f t="shared" si="1031"/>
        <v>Normal Discount</v>
      </c>
      <c r="H13237" s="37" t="str">
        <f t="shared" si="1032"/>
        <v>Low</v>
      </c>
      <c r="I13237">
        <v>3</v>
      </c>
      <c r="J13237" t="str" cm="1">
        <f t="array" ref="J13237">_xlfn.IFS(I13237&lt;=3,"small",I13237&lt;=6,"Medium",I13237&lt;=9,"Large")</f>
        <v>small</v>
      </c>
      <c r="K13237" s="36">
        <v>45059</v>
      </c>
      <c r="L13237" s="36">
        <v>45060</v>
      </c>
      <c r="M13237" t="s">
        <v>603</v>
      </c>
      <c r="N13237" t="s">
        <v>599</v>
      </c>
      <c r="O13237" s="37" t="str">
        <f t="shared" si="1033"/>
        <v>Digital Payment</v>
      </c>
      <c r="P13237">
        <v>710.72</v>
      </c>
      <c r="Q13237" s="37" t="str">
        <f>IF(P13237&gt;500,"High","low")</f>
        <v>High</v>
      </c>
      <c r="R13237" s="37" t="str">
        <f t="shared" si="1034"/>
        <v>Good</v>
      </c>
      <c r="S13237" t="s">
        <v>605</v>
      </c>
    </row>
    <row r="13238" spans="1:19" x14ac:dyDescent="0.2">
      <c r="A13238" t="s">
        <v>13849</v>
      </c>
      <c r="B13238" t="s">
        <v>83</v>
      </c>
      <c r="C13238" t="s">
        <v>597</v>
      </c>
      <c r="D13238">
        <v>3799.01</v>
      </c>
      <c r="E13238" s="37" t="str">
        <f t="shared" si="1030"/>
        <v xml:space="preserve"> </v>
      </c>
      <c r="F13238">
        <v>0.19</v>
      </c>
      <c r="G13238" s="37" t="str">
        <f t="shared" si="1031"/>
        <v>Normal Discount</v>
      </c>
      <c r="H13238" s="37" t="str">
        <f t="shared" si="1032"/>
        <v>Low</v>
      </c>
      <c r="I13238">
        <v>8</v>
      </c>
      <c r="J13238" t="str" cm="1">
        <f t="array" ref="J13238">_xlfn.IFS(I13238&lt;=3,"small",I13238&lt;=6,"Medium",I13238&lt;=9,"Large")</f>
        <v>Large</v>
      </c>
      <c r="K13238" s="36">
        <v>45111</v>
      </c>
      <c r="L13238" s="36">
        <v>45118</v>
      </c>
      <c r="M13238" t="s">
        <v>598</v>
      </c>
      <c r="N13238" t="s">
        <v>608</v>
      </c>
      <c r="O13238" s="37" t="str">
        <f t="shared" si="1033"/>
        <v>Cash Payment</v>
      </c>
      <c r="P13238">
        <v>639.61</v>
      </c>
      <c r="Q13238" s="37" t="str">
        <f>IF(P13238&gt;500,"High","low")</f>
        <v>High</v>
      </c>
      <c r="R13238" s="37" t="str">
        <f t="shared" si="1034"/>
        <v>Good</v>
      </c>
      <c r="S13238" t="s">
        <v>628</v>
      </c>
    </row>
    <row r="13239" spans="1:19" x14ac:dyDescent="0.2">
      <c r="A13239" t="s">
        <v>13850</v>
      </c>
      <c r="B13239" t="s">
        <v>67</v>
      </c>
      <c r="C13239" t="s">
        <v>602</v>
      </c>
      <c r="D13239">
        <v>1461.55</v>
      </c>
      <c r="E13239" s="37" t="str">
        <f t="shared" si="1030"/>
        <v xml:space="preserve"> </v>
      </c>
      <c r="F13239">
        <v>0.28000000000000003</v>
      </c>
      <c r="G13239" s="37" t="str">
        <f t="shared" si="1031"/>
        <v>Normal Discount</v>
      </c>
      <c r="H13239" s="37" t="str">
        <f t="shared" si="1032"/>
        <v>Medium</v>
      </c>
      <c r="I13239">
        <v>9</v>
      </c>
      <c r="J13239" t="str" cm="1">
        <f t="array" ref="J13239">_xlfn.IFS(I13239&lt;=3,"small",I13239&lt;=6,"Medium",I13239&lt;=9,"Large")</f>
        <v>Large</v>
      </c>
      <c r="K13239" s="36">
        <v>45076</v>
      </c>
      <c r="L13239" s="36">
        <v>45078</v>
      </c>
      <c r="M13239" t="s">
        <v>603</v>
      </c>
      <c r="N13239" t="s">
        <v>608</v>
      </c>
      <c r="O13239" s="37" t="str">
        <f t="shared" si="1033"/>
        <v>Cash Payment</v>
      </c>
      <c r="P13239">
        <v>348.09</v>
      </c>
      <c r="Q13239" s="37" t="str">
        <f>IF(P13239&gt;500,"High","low")</f>
        <v>low</v>
      </c>
      <c r="R13239" s="37" t="str">
        <f t="shared" si="1034"/>
        <v>AVERAGE</v>
      </c>
      <c r="S13239" t="s">
        <v>605</v>
      </c>
    </row>
    <row r="13240" spans="1:19" x14ac:dyDescent="0.2">
      <c r="A13240" t="s">
        <v>13851</v>
      </c>
      <c r="B13240" t="s">
        <v>90</v>
      </c>
      <c r="C13240" t="s">
        <v>617</v>
      </c>
      <c r="D13240">
        <v>3615.78</v>
      </c>
      <c r="E13240" s="37" t="str">
        <f t="shared" si="1030"/>
        <v xml:space="preserve"> </v>
      </c>
      <c r="F13240">
        <v>0.17</v>
      </c>
      <c r="G13240" s="37" t="str">
        <f t="shared" si="1031"/>
        <v>Normal Discount</v>
      </c>
      <c r="H13240" s="37" t="str">
        <f t="shared" si="1032"/>
        <v>Low</v>
      </c>
      <c r="I13240">
        <v>6</v>
      </c>
      <c r="J13240" t="str" cm="1">
        <f t="array" ref="J13240">_xlfn.IFS(I13240&lt;=3,"small",I13240&lt;=6,"Medium",I13240&lt;=9,"Large")</f>
        <v>Medium</v>
      </c>
      <c r="K13240" s="36">
        <v>45353</v>
      </c>
      <c r="L13240" s="36">
        <v>45354</v>
      </c>
      <c r="M13240" t="s">
        <v>612</v>
      </c>
      <c r="N13240" t="s">
        <v>604</v>
      </c>
      <c r="O13240" s="37" t="str">
        <f t="shared" si="1033"/>
        <v>Digital Payment</v>
      </c>
      <c r="P13240">
        <v>204.01</v>
      </c>
      <c r="Q13240" s="37" t="str">
        <f>IF(P13240&gt;500,"High","low")</f>
        <v>low</v>
      </c>
      <c r="R13240" s="37" t="str">
        <f t="shared" si="1034"/>
        <v>AVERAGE</v>
      </c>
      <c r="S13240" t="s">
        <v>615</v>
      </c>
    </row>
    <row r="13241" spans="1:19" x14ac:dyDescent="0.2">
      <c r="A13241" t="s">
        <v>13852</v>
      </c>
      <c r="B13241" t="s">
        <v>67</v>
      </c>
      <c r="C13241" t="s">
        <v>617</v>
      </c>
      <c r="D13241">
        <v>1544.34</v>
      </c>
      <c r="E13241" s="37" t="str">
        <f t="shared" si="1030"/>
        <v xml:space="preserve"> </v>
      </c>
      <c r="F13241">
        <v>0.22</v>
      </c>
      <c r="G13241" s="37" t="str">
        <f t="shared" si="1031"/>
        <v>Normal Discount</v>
      </c>
      <c r="H13241" s="37" t="str">
        <f t="shared" si="1032"/>
        <v>Medium</v>
      </c>
      <c r="I13241">
        <v>4</v>
      </c>
      <c r="J13241" t="str" cm="1">
        <f t="array" ref="J13241">_xlfn.IFS(I13241&lt;=3,"small",I13241&lt;=6,"Medium",I13241&lt;=9,"Large")</f>
        <v>Medium</v>
      </c>
      <c r="K13241" s="36">
        <v>45184</v>
      </c>
      <c r="L13241" s="36">
        <v>45189</v>
      </c>
      <c r="M13241" t="s">
        <v>598</v>
      </c>
      <c r="N13241" t="s">
        <v>599</v>
      </c>
      <c r="O13241" s="37" t="str">
        <f t="shared" si="1033"/>
        <v>Digital Payment</v>
      </c>
      <c r="P13241">
        <v>102.59</v>
      </c>
      <c r="Q13241" s="37" t="str">
        <f>IF(P13241&gt;500,"High","low")</f>
        <v>low</v>
      </c>
      <c r="R13241" s="37" t="str">
        <f t="shared" si="1034"/>
        <v>AVERAGE</v>
      </c>
      <c r="S13241" t="s">
        <v>628</v>
      </c>
    </row>
    <row r="13242" spans="1:19" x14ac:dyDescent="0.2">
      <c r="A13242" t="s">
        <v>13853</v>
      </c>
      <c r="B13242" t="s">
        <v>67</v>
      </c>
      <c r="C13242" t="s">
        <v>614</v>
      </c>
      <c r="D13242">
        <v>646.75</v>
      </c>
      <c r="E13242" s="37" t="str">
        <f t="shared" si="1030"/>
        <v xml:space="preserve"> </v>
      </c>
      <c r="F13242">
        <v>0.25</v>
      </c>
      <c r="G13242" s="37" t="str">
        <f t="shared" si="1031"/>
        <v>Normal Discount</v>
      </c>
      <c r="H13242" s="37" t="str">
        <f t="shared" si="1032"/>
        <v>Medium</v>
      </c>
      <c r="I13242">
        <v>4</v>
      </c>
      <c r="J13242" t="str" cm="1">
        <f t="array" ref="J13242">_xlfn.IFS(I13242&lt;=3,"small",I13242&lt;=6,"Medium",I13242&lt;=9,"Large")</f>
        <v>Medium</v>
      </c>
      <c r="K13242" s="36">
        <v>45383</v>
      </c>
      <c r="L13242" s="36">
        <v>45385</v>
      </c>
      <c r="M13242" t="s">
        <v>598</v>
      </c>
      <c r="N13242" t="s">
        <v>604</v>
      </c>
      <c r="O13242" s="37" t="str">
        <f t="shared" si="1033"/>
        <v>Digital Payment</v>
      </c>
      <c r="P13242">
        <v>32.5</v>
      </c>
      <c r="Q13242" s="37" t="str">
        <f>IF(P13242&gt;500,"High","low")</f>
        <v>low</v>
      </c>
      <c r="R13242" s="37" t="str">
        <f t="shared" si="1034"/>
        <v>AVERAGE</v>
      </c>
      <c r="S13242" t="s">
        <v>600</v>
      </c>
    </row>
    <row r="13243" spans="1:19" x14ac:dyDescent="0.2">
      <c r="A13243" t="s">
        <v>13854</v>
      </c>
      <c r="B13243" t="s">
        <v>83</v>
      </c>
      <c r="C13243" t="s">
        <v>597</v>
      </c>
      <c r="D13243">
        <v>3614.39</v>
      </c>
      <c r="E13243" s="37" t="str">
        <f t="shared" si="1030"/>
        <v xml:space="preserve"> </v>
      </c>
      <c r="F13243">
        <v>0.25</v>
      </c>
      <c r="G13243" s="37" t="str">
        <f t="shared" si="1031"/>
        <v>Normal Discount</v>
      </c>
      <c r="H13243" s="37" t="str">
        <f t="shared" si="1032"/>
        <v>Medium</v>
      </c>
      <c r="I13243">
        <v>5</v>
      </c>
      <c r="J13243" t="str" cm="1">
        <f t="array" ref="J13243">_xlfn.IFS(I13243&lt;=3,"small",I13243&lt;=6,"Medium",I13243&lt;=9,"Large")</f>
        <v>Medium</v>
      </c>
      <c r="K13243" s="36">
        <v>45317</v>
      </c>
      <c r="L13243" s="36">
        <v>45320</v>
      </c>
      <c r="M13243" t="s">
        <v>603</v>
      </c>
      <c r="N13243" t="s">
        <v>604</v>
      </c>
      <c r="O13243" s="37" t="str">
        <f t="shared" si="1033"/>
        <v>Digital Payment</v>
      </c>
      <c r="P13243">
        <v>564.46</v>
      </c>
      <c r="Q13243" s="37" t="str">
        <f>IF(P13243&gt;500,"High","low")</f>
        <v>High</v>
      </c>
      <c r="R13243" s="37" t="str">
        <f t="shared" si="1034"/>
        <v>Good</v>
      </c>
      <c r="S13243" t="s">
        <v>600</v>
      </c>
    </row>
    <row r="13244" spans="1:19" x14ac:dyDescent="0.2">
      <c r="A13244" t="s">
        <v>13855</v>
      </c>
      <c r="B13244" t="s">
        <v>75</v>
      </c>
      <c r="C13244" t="s">
        <v>614</v>
      </c>
      <c r="D13244">
        <v>978.21</v>
      </c>
      <c r="E13244" s="37" t="str">
        <f t="shared" si="1030"/>
        <v xml:space="preserve"> </v>
      </c>
      <c r="F13244">
        <v>0.48</v>
      </c>
      <c r="G13244" s="37" t="str">
        <f t="shared" si="1031"/>
        <v>Heavy Discount</v>
      </c>
      <c r="H13244" s="37" t="str">
        <f t="shared" si="1032"/>
        <v>High</v>
      </c>
      <c r="I13244">
        <v>3</v>
      </c>
      <c r="J13244" t="str" cm="1">
        <f t="array" ref="J13244">_xlfn.IFS(I13244&lt;=3,"small",I13244&lt;=6,"Medium",I13244&lt;=9,"Large")</f>
        <v>small</v>
      </c>
      <c r="K13244" s="36">
        <v>45203</v>
      </c>
      <c r="L13244" s="36">
        <v>45209</v>
      </c>
      <c r="M13244" t="s">
        <v>612</v>
      </c>
      <c r="N13244" t="s">
        <v>599</v>
      </c>
      <c r="O13244" s="37" t="str">
        <f t="shared" si="1033"/>
        <v>Digital Payment</v>
      </c>
      <c r="P13244">
        <v>117.5</v>
      </c>
      <c r="Q13244" s="37" t="str">
        <f>IF(P13244&gt;500,"High","low")</f>
        <v>low</v>
      </c>
      <c r="R13244" s="37" t="str">
        <f t="shared" si="1034"/>
        <v>AVERAGE</v>
      </c>
      <c r="S13244" t="s">
        <v>615</v>
      </c>
    </row>
    <row r="13245" spans="1:19" x14ac:dyDescent="0.2">
      <c r="A13245" t="s">
        <v>13856</v>
      </c>
      <c r="B13245" t="s">
        <v>83</v>
      </c>
      <c r="C13245" t="s">
        <v>597</v>
      </c>
      <c r="D13245">
        <v>644.22</v>
      </c>
      <c r="E13245" s="37" t="str">
        <f t="shared" si="1030"/>
        <v xml:space="preserve"> </v>
      </c>
      <c r="F13245">
        <v>0.14000000000000001</v>
      </c>
      <c r="G13245" s="37" t="str">
        <f t="shared" si="1031"/>
        <v>Normal Discount</v>
      </c>
      <c r="H13245" s="37" t="str">
        <f t="shared" si="1032"/>
        <v>Low</v>
      </c>
      <c r="I13245">
        <v>4</v>
      </c>
      <c r="J13245" t="str" cm="1">
        <f t="array" ref="J13245">_xlfn.IFS(I13245&lt;=3,"small",I13245&lt;=6,"Medium",I13245&lt;=9,"Large")</f>
        <v>Medium</v>
      </c>
      <c r="K13245" s="36">
        <v>45253</v>
      </c>
      <c r="L13245" s="36">
        <v>45255</v>
      </c>
      <c r="M13245" t="s">
        <v>598</v>
      </c>
      <c r="N13245" t="s">
        <v>608</v>
      </c>
      <c r="O13245" s="37" t="str">
        <f t="shared" si="1033"/>
        <v>Cash Payment</v>
      </c>
      <c r="P13245">
        <v>98.16</v>
      </c>
      <c r="Q13245" s="37" t="str">
        <f>IF(P13245&gt;500,"High","low")</f>
        <v>low</v>
      </c>
      <c r="R13245" s="37" t="str">
        <f t="shared" si="1034"/>
        <v>AVERAGE</v>
      </c>
      <c r="S13245" t="s">
        <v>605</v>
      </c>
    </row>
    <row r="13246" spans="1:19" x14ac:dyDescent="0.2">
      <c r="A13246" t="s">
        <v>13857</v>
      </c>
      <c r="B13246" t="s">
        <v>83</v>
      </c>
      <c r="C13246" t="s">
        <v>614</v>
      </c>
      <c r="D13246">
        <v>2803.62</v>
      </c>
      <c r="E13246" s="37" t="str">
        <f t="shared" si="1030"/>
        <v xml:space="preserve"> </v>
      </c>
      <c r="F13246">
        <v>0.14000000000000001</v>
      </c>
      <c r="G13246" s="37" t="str">
        <f t="shared" si="1031"/>
        <v>Normal Discount</v>
      </c>
      <c r="H13246" s="37" t="str">
        <f t="shared" si="1032"/>
        <v>Low</v>
      </c>
      <c r="I13246">
        <v>4</v>
      </c>
      <c r="J13246" t="str" cm="1">
        <f t="array" ref="J13246">_xlfn.IFS(I13246&lt;=3,"small",I13246&lt;=6,"Medium",I13246&lt;=9,"Large")</f>
        <v>Medium</v>
      </c>
      <c r="K13246" s="36">
        <v>45497</v>
      </c>
      <c r="L13246" s="36">
        <v>45499</v>
      </c>
      <c r="M13246" t="s">
        <v>603</v>
      </c>
      <c r="N13246" t="s">
        <v>604</v>
      </c>
      <c r="O13246" s="37" t="str">
        <f t="shared" si="1033"/>
        <v>Digital Payment</v>
      </c>
      <c r="P13246">
        <v>544.74</v>
      </c>
      <c r="Q13246" s="37" t="str">
        <f>IF(P13246&gt;500,"High","low")</f>
        <v>High</v>
      </c>
      <c r="R13246" s="37" t="str">
        <f t="shared" si="1034"/>
        <v>Good</v>
      </c>
      <c r="S13246" t="s">
        <v>605</v>
      </c>
    </row>
    <row r="13247" spans="1:19" x14ac:dyDescent="0.2">
      <c r="A13247" t="s">
        <v>13858</v>
      </c>
      <c r="B13247" t="s">
        <v>90</v>
      </c>
      <c r="C13247" t="s">
        <v>617</v>
      </c>
      <c r="D13247">
        <v>3141.06</v>
      </c>
      <c r="E13247" s="37" t="str">
        <f t="shared" si="1030"/>
        <v xml:space="preserve"> </v>
      </c>
      <c r="F13247">
        <v>0.42</v>
      </c>
      <c r="G13247" s="37" t="str">
        <f t="shared" si="1031"/>
        <v>Heavy Discount</v>
      </c>
      <c r="H13247" s="37" t="str">
        <f t="shared" si="1032"/>
        <v>High</v>
      </c>
      <c r="I13247">
        <v>1</v>
      </c>
      <c r="J13247" t="str" cm="1">
        <f t="array" ref="J13247">_xlfn.IFS(I13247&lt;=3,"small",I13247&lt;=6,"Medium",I13247&lt;=9,"Large")</f>
        <v>small</v>
      </c>
      <c r="K13247" s="36">
        <v>45046</v>
      </c>
      <c r="L13247" s="36">
        <v>45051</v>
      </c>
      <c r="M13247" t="s">
        <v>612</v>
      </c>
      <c r="N13247" t="s">
        <v>599</v>
      </c>
      <c r="O13247" s="37" t="str">
        <f t="shared" si="1033"/>
        <v>Digital Payment</v>
      </c>
      <c r="P13247">
        <v>163.59</v>
      </c>
      <c r="Q13247" s="37" t="str">
        <f>IF(P13247&gt;500,"High","low")</f>
        <v>low</v>
      </c>
      <c r="R13247" s="37" t="str">
        <f t="shared" si="1034"/>
        <v>AVERAGE</v>
      </c>
      <c r="S13247" t="s">
        <v>620</v>
      </c>
    </row>
    <row r="13248" spans="1:19" x14ac:dyDescent="0.2">
      <c r="A13248" t="s">
        <v>13859</v>
      </c>
      <c r="B13248" t="s">
        <v>83</v>
      </c>
      <c r="C13248" t="s">
        <v>617</v>
      </c>
      <c r="D13248">
        <v>350.18</v>
      </c>
      <c r="E13248" s="37" t="str">
        <f t="shared" si="1030"/>
        <v xml:space="preserve"> </v>
      </c>
      <c r="F13248">
        <v>0.2</v>
      </c>
      <c r="G13248" s="37" t="str">
        <f t="shared" si="1031"/>
        <v>Normal Discount</v>
      </c>
      <c r="H13248" s="37" t="str">
        <f t="shared" si="1032"/>
        <v>Medium</v>
      </c>
      <c r="I13248">
        <v>1</v>
      </c>
      <c r="J13248" t="str" cm="1">
        <f t="array" ref="J13248">_xlfn.IFS(I13248&lt;=3,"small",I13248&lt;=6,"Medium",I13248&lt;=9,"Large")</f>
        <v>small</v>
      </c>
      <c r="K13248" s="36">
        <v>45511</v>
      </c>
      <c r="L13248" s="36">
        <v>45518</v>
      </c>
      <c r="M13248" t="s">
        <v>598</v>
      </c>
      <c r="N13248" t="s">
        <v>604</v>
      </c>
      <c r="O13248" s="37" t="str">
        <f t="shared" si="1033"/>
        <v>Digital Payment</v>
      </c>
      <c r="P13248">
        <v>31.38</v>
      </c>
      <c r="Q13248" s="37" t="str">
        <f>IF(P13248&gt;500,"High","low")</f>
        <v>low</v>
      </c>
      <c r="R13248" s="37" t="str">
        <f t="shared" si="1034"/>
        <v>AVERAGE</v>
      </c>
      <c r="S13248" t="s">
        <v>615</v>
      </c>
    </row>
    <row r="13249" spans="1:19" x14ac:dyDescent="0.2">
      <c r="A13249" t="s">
        <v>13860</v>
      </c>
      <c r="B13249" t="s">
        <v>75</v>
      </c>
      <c r="C13249" t="s">
        <v>614</v>
      </c>
      <c r="D13249">
        <v>121.9</v>
      </c>
      <c r="E13249" s="37" t="str">
        <f t="shared" si="1030"/>
        <v xml:space="preserve"> </v>
      </c>
      <c r="F13249">
        <v>0.04</v>
      </c>
      <c r="G13249" s="37" t="str">
        <f t="shared" si="1031"/>
        <v>Normal Discount</v>
      </c>
      <c r="H13249" s="37" t="str">
        <f t="shared" si="1032"/>
        <v>Low</v>
      </c>
      <c r="I13249">
        <v>9</v>
      </c>
      <c r="J13249" t="str" cm="1">
        <f t="array" ref="J13249">_xlfn.IFS(I13249&lt;=3,"small",I13249&lt;=6,"Medium",I13249&lt;=9,"Large")</f>
        <v>Large</v>
      </c>
      <c r="K13249" s="36">
        <v>45177</v>
      </c>
      <c r="L13249" s="36">
        <v>45183</v>
      </c>
      <c r="M13249" t="s">
        <v>598</v>
      </c>
      <c r="N13249" t="s">
        <v>604</v>
      </c>
      <c r="O13249" s="37" t="str">
        <f t="shared" si="1033"/>
        <v>Digital Payment</v>
      </c>
      <c r="P13249">
        <v>9.99</v>
      </c>
      <c r="Q13249" s="37" t="str">
        <f>IF(P13249&gt;500,"High","low")</f>
        <v>low</v>
      </c>
      <c r="R13249" s="37" t="str">
        <f t="shared" si="1034"/>
        <v>AVERAGE</v>
      </c>
      <c r="S13249" t="s">
        <v>600</v>
      </c>
    </row>
    <row r="13250" spans="1:19" x14ac:dyDescent="0.2">
      <c r="A13250" t="s">
        <v>13861</v>
      </c>
      <c r="B13250" t="s">
        <v>67</v>
      </c>
      <c r="C13250" t="s">
        <v>597</v>
      </c>
      <c r="D13250">
        <v>4422.1400000000003</v>
      </c>
      <c r="E13250" s="37" t="str">
        <f t="shared" si="1030"/>
        <v>Excellent Order</v>
      </c>
      <c r="F13250">
        <v>0.24</v>
      </c>
      <c r="G13250" s="37" t="str">
        <f t="shared" si="1031"/>
        <v>Normal Discount</v>
      </c>
      <c r="H13250" s="37" t="str">
        <f t="shared" si="1032"/>
        <v>Medium</v>
      </c>
      <c r="I13250">
        <v>3</v>
      </c>
      <c r="J13250" t="str" cm="1">
        <f t="array" ref="J13250">_xlfn.IFS(I13250&lt;=3,"small",I13250&lt;=6,"Medium",I13250&lt;=9,"Large")</f>
        <v>small</v>
      </c>
      <c r="K13250" s="36">
        <v>45041</v>
      </c>
      <c r="L13250" s="36">
        <v>45048</v>
      </c>
      <c r="M13250" t="s">
        <v>603</v>
      </c>
      <c r="N13250" t="s">
        <v>604</v>
      </c>
      <c r="O13250" s="37" t="str">
        <f t="shared" si="1033"/>
        <v>Digital Payment</v>
      </c>
      <c r="P13250">
        <v>907.83</v>
      </c>
      <c r="Q13250" s="37" t="str">
        <f>IF(P13250&gt;500,"High","low")</f>
        <v>High</v>
      </c>
      <c r="R13250" s="37" t="str">
        <f t="shared" si="1034"/>
        <v>Good</v>
      </c>
      <c r="S13250" t="s">
        <v>605</v>
      </c>
    </row>
    <row r="13251" spans="1:19" x14ac:dyDescent="0.2">
      <c r="A13251" t="s">
        <v>13862</v>
      </c>
      <c r="B13251" t="s">
        <v>83</v>
      </c>
      <c r="C13251" t="s">
        <v>607</v>
      </c>
      <c r="D13251">
        <v>664.74</v>
      </c>
      <c r="E13251" s="37" t="str">
        <f t="shared" ref="E13251:E13314" si="1035">IF(AND(D13251&gt;4000,P13251&gt;800),"Excellent Order"," ")</f>
        <v xml:space="preserve"> </v>
      </c>
      <c r="F13251">
        <v>0.28000000000000003</v>
      </c>
      <c r="G13251" s="37" t="str">
        <f t="shared" ref="G13251:G13314" si="1036">IF(F13251&gt;30%,"Heavy Discount","Normal Discount")</f>
        <v>Normal Discount</v>
      </c>
      <c r="H13251" s="37" t="str">
        <f t="shared" ref="H13251:H13314" si="1037">IF(F13251&gt;0.4,"High",IF(F13251&gt;=0.2,"Medium","Low"))</f>
        <v>Medium</v>
      </c>
      <c r="I13251">
        <v>5</v>
      </c>
      <c r="J13251" t="str" cm="1">
        <f t="array" ref="J13251">_xlfn.IFS(I13251&lt;=3,"small",I13251&lt;=6,"Medium",I13251&lt;=9,"Large")</f>
        <v>Medium</v>
      </c>
      <c r="K13251" s="36">
        <v>45322</v>
      </c>
      <c r="L13251" s="36">
        <v>45323</v>
      </c>
      <c r="M13251" t="s">
        <v>603</v>
      </c>
      <c r="N13251" t="s">
        <v>608</v>
      </c>
      <c r="O13251" s="37" t="str">
        <f t="shared" ref="O13251:O13314" si="1038">IF(OR(N13251="Card",N13251="UPI"),"Digital Payment","Cash Payment")</f>
        <v>Cash Payment</v>
      </c>
      <c r="P13251">
        <v>131.49</v>
      </c>
      <c r="Q13251" s="37" t="str">
        <f>IF(P13251&gt;500,"High","low")</f>
        <v>low</v>
      </c>
      <c r="R13251" s="37" t="str">
        <f t="shared" ref="R13251:R13314" si="1039">IF(P13251&gt;1000,"Excellent",IF(P13251&gt;=500,"Good","AVERAGE"))</f>
        <v>AVERAGE</v>
      </c>
      <c r="S13251" t="s">
        <v>600</v>
      </c>
    </row>
    <row r="13252" spans="1:19" x14ac:dyDescent="0.2">
      <c r="A13252" t="s">
        <v>13863</v>
      </c>
      <c r="B13252" t="s">
        <v>67</v>
      </c>
      <c r="C13252" t="s">
        <v>597</v>
      </c>
      <c r="D13252">
        <v>2961.1</v>
      </c>
      <c r="E13252" s="37" t="str">
        <f t="shared" si="1035"/>
        <v xml:space="preserve"> </v>
      </c>
      <c r="F13252">
        <v>0.31</v>
      </c>
      <c r="G13252" s="37" t="str">
        <f t="shared" si="1036"/>
        <v>Heavy Discount</v>
      </c>
      <c r="H13252" s="37" t="str">
        <f t="shared" si="1037"/>
        <v>Medium</v>
      </c>
      <c r="I13252">
        <v>2</v>
      </c>
      <c r="J13252" t="str" cm="1">
        <f t="array" ref="J13252">_xlfn.IFS(I13252&lt;=3,"small",I13252&lt;=6,"Medium",I13252&lt;=9,"Large")</f>
        <v>small</v>
      </c>
      <c r="K13252" s="36">
        <v>45418</v>
      </c>
      <c r="L13252" s="36">
        <v>45421</v>
      </c>
      <c r="M13252" t="s">
        <v>612</v>
      </c>
      <c r="N13252" t="s">
        <v>604</v>
      </c>
      <c r="O13252" s="37" t="str">
        <f t="shared" si="1038"/>
        <v>Digital Payment</v>
      </c>
      <c r="P13252">
        <v>205.46</v>
      </c>
      <c r="Q13252" s="37" t="str">
        <f>IF(P13252&gt;500,"High","low")</f>
        <v>low</v>
      </c>
      <c r="R13252" s="37" t="str">
        <f t="shared" si="1039"/>
        <v>AVERAGE</v>
      </c>
      <c r="S13252" t="s">
        <v>600</v>
      </c>
    </row>
    <row r="13253" spans="1:19" x14ac:dyDescent="0.2">
      <c r="A13253" t="s">
        <v>13864</v>
      </c>
      <c r="B13253" t="s">
        <v>83</v>
      </c>
      <c r="C13253" t="s">
        <v>614</v>
      </c>
      <c r="D13253">
        <v>4772.38</v>
      </c>
      <c r="E13253" s="37" t="str">
        <f t="shared" si="1035"/>
        <v>Excellent Order</v>
      </c>
      <c r="F13253">
        <v>0.12</v>
      </c>
      <c r="G13253" s="37" t="str">
        <f t="shared" si="1036"/>
        <v>Normal Discount</v>
      </c>
      <c r="H13253" s="37" t="str">
        <f t="shared" si="1037"/>
        <v>Low</v>
      </c>
      <c r="I13253">
        <v>1</v>
      </c>
      <c r="J13253" t="str" cm="1">
        <f t="array" ref="J13253">_xlfn.IFS(I13253&lt;=3,"small",I13253&lt;=6,"Medium",I13253&lt;=9,"Large")</f>
        <v>small</v>
      </c>
      <c r="K13253" s="36">
        <v>45538</v>
      </c>
      <c r="L13253" s="36">
        <v>45540</v>
      </c>
      <c r="M13253" t="s">
        <v>603</v>
      </c>
      <c r="N13253" t="s">
        <v>599</v>
      </c>
      <c r="O13253" s="37" t="str">
        <f t="shared" si="1038"/>
        <v>Digital Payment</v>
      </c>
      <c r="P13253">
        <v>1194.95</v>
      </c>
      <c r="Q13253" s="37" t="str">
        <f>IF(P13253&gt;500,"High","low")</f>
        <v>High</v>
      </c>
      <c r="R13253" s="37" t="str">
        <f t="shared" si="1039"/>
        <v>Excellent</v>
      </c>
      <c r="S13253" t="s">
        <v>605</v>
      </c>
    </row>
    <row r="13254" spans="1:19" x14ac:dyDescent="0.2">
      <c r="A13254" t="s">
        <v>13865</v>
      </c>
      <c r="B13254" t="s">
        <v>67</v>
      </c>
      <c r="C13254" t="s">
        <v>597</v>
      </c>
      <c r="D13254">
        <v>2608.36</v>
      </c>
      <c r="E13254" s="37" t="str">
        <f t="shared" si="1035"/>
        <v xml:space="preserve"> </v>
      </c>
      <c r="F13254">
        <v>0.49</v>
      </c>
      <c r="G13254" s="37" t="str">
        <f t="shared" si="1036"/>
        <v>Heavy Discount</v>
      </c>
      <c r="H13254" s="37" t="str">
        <f t="shared" si="1037"/>
        <v>High</v>
      </c>
      <c r="I13254">
        <v>7</v>
      </c>
      <c r="J13254" t="str" cm="1">
        <f t="array" ref="J13254">_xlfn.IFS(I13254&lt;=3,"small",I13254&lt;=6,"Medium",I13254&lt;=9,"Large")</f>
        <v>Large</v>
      </c>
      <c r="K13254" s="36">
        <v>45511</v>
      </c>
      <c r="L13254" s="36">
        <v>45512</v>
      </c>
      <c r="M13254" t="s">
        <v>598</v>
      </c>
      <c r="N13254" t="s">
        <v>608</v>
      </c>
      <c r="O13254" s="37" t="str">
        <f t="shared" si="1038"/>
        <v>Cash Payment</v>
      </c>
      <c r="P13254">
        <v>235.4</v>
      </c>
      <c r="Q13254" s="37" t="str">
        <f>IF(P13254&gt;500,"High","low")</f>
        <v>low</v>
      </c>
      <c r="R13254" s="37" t="str">
        <f t="shared" si="1039"/>
        <v>AVERAGE</v>
      </c>
      <c r="S13254" t="s">
        <v>620</v>
      </c>
    </row>
    <row r="13255" spans="1:19" x14ac:dyDescent="0.2">
      <c r="A13255" t="s">
        <v>13866</v>
      </c>
      <c r="B13255" t="s">
        <v>83</v>
      </c>
      <c r="C13255" t="s">
        <v>602</v>
      </c>
      <c r="D13255">
        <v>785.01</v>
      </c>
      <c r="E13255" s="37" t="str">
        <f t="shared" si="1035"/>
        <v xml:space="preserve"> </v>
      </c>
      <c r="F13255">
        <v>0.37</v>
      </c>
      <c r="G13255" s="37" t="str">
        <f t="shared" si="1036"/>
        <v>Heavy Discount</v>
      </c>
      <c r="H13255" s="37" t="str">
        <f t="shared" si="1037"/>
        <v>Medium</v>
      </c>
      <c r="I13255">
        <v>9</v>
      </c>
      <c r="J13255" t="str" cm="1">
        <f t="array" ref="J13255">_xlfn.IFS(I13255&lt;=3,"small",I13255&lt;=6,"Medium",I13255&lt;=9,"Large")</f>
        <v>Large</v>
      </c>
      <c r="K13255" s="36">
        <v>45064</v>
      </c>
      <c r="L13255" s="36">
        <v>45069</v>
      </c>
      <c r="M13255" t="s">
        <v>598</v>
      </c>
      <c r="N13255" t="s">
        <v>599</v>
      </c>
      <c r="O13255" s="37" t="str">
        <f t="shared" si="1038"/>
        <v>Digital Payment</v>
      </c>
      <c r="P13255">
        <v>73.209999999999994</v>
      </c>
      <c r="Q13255" s="37" t="str">
        <f>IF(P13255&gt;500,"High","low")</f>
        <v>low</v>
      </c>
      <c r="R13255" s="37" t="str">
        <f t="shared" si="1039"/>
        <v>AVERAGE</v>
      </c>
      <c r="S13255" t="s">
        <v>620</v>
      </c>
    </row>
    <row r="13256" spans="1:19" x14ac:dyDescent="0.2">
      <c r="A13256" t="s">
        <v>13867</v>
      </c>
      <c r="B13256" t="s">
        <v>90</v>
      </c>
      <c r="C13256" t="s">
        <v>597</v>
      </c>
      <c r="D13256">
        <v>2028.07</v>
      </c>
      <c r="E13256" s="37" t="str">
        <f t="shared" si="1035"/>
        <v xml:space="preserve"> </v>
      </c>
      <c r="F13256">
        <v>0.36</v>
      </c>
      <c r="G13256" s="37" t="str">
        <f t="shared" si="1036"/>
        <v>Heavy Discount</v>
      </c>
      <c r="H13256" s="37" t="str">
        <f t="shared" si="1037"/>
        <v>Medium</v>
      </c>
      <c r="I13256">
        <v>4</v>
      </c>
      <c r="J13256" t="str" cm="1">
        <f t="array" ref="J13256">_xlfn.IFS(I13256&lt;=3,"small",I13256&lt;=6,"Medium",I13256&lt;=9,"Large")</f>
        <v>Medium</v>
      </c>
      <c r="K13256" s="36">
        <v>45551</v>
      </c>
      <c r="L13256" s="36">
        <v>45552</v>
      </c>
      <c r="M13256" t="s">
        <v>612</v>
      </c>
      <c r="N13256" t="s">
        <v>599</v>
      </c>
      <c r="O13256" s="37" t="str">
        <f t="shared" si="1038"/>
        <v>Digital Payment</v>
      </c>
      <c r="P13256">
        <v>305.58999999999997</v>
      </c>
      <c r="Q13256" s="37" t="str">
        <f>IF(P13256&gt;500,"High","low")</f>
        <v>low</v>
      </c>
      <c r="R13256" s="37" t="str">
        <f t="shared" si="1039"/>
        <v>AVERAGE</v>
      </c>
      <c r="S13256" t="s">
        <v>628</v>
      </c>
    </row>
    <row r="13257" spans="1:19" x14ac:dyDescent="0.2">
      <c r="A13257" t="s">
        <v>13868</v>
      </c>
      <c r="B13257" t="s">
        <v>67</v>
      </c>
      <c r="C13257" t="s">
        <v>617</v>
      </c>
      <c r="D13257">
        <v>3157.81</v>
      </c>
      <c r="E13257" s="37" t="str">
        <f t="shared" si="1035"/>
        <v xml:space="preserve"> </v>
      </c>
      <c r="F13257">
        <v>0.44</v>
      </c>
      <c r="G13257" s="37" t="str">
        <f t="shared" si="1036"/>
        <v>Heavy Discount</v>
      </c>
      <c r="H13257" s="37" t="str">
        <f t="shared" si="1037"/>
        <v>High</v>
      </c>
      <c r="I13257">
        <v>4</v>
      </c>
      <c r="J13257" t="str" cm="1">
        <f t="array" ref="J13257">_xlfn.IFS(I13257&lt;=3,"small",I13257&lt;=6,"Medium",I13257&lt;=9,"Large")</f>
        <v>Medium</v>
      </c>
      <c r="K13257" s="36">
        <v>45512</v>
      </c>
      <c r="L13257" s="36">
        <v>45517</v>
      </c>
      <c r="M13257" t="s">
        <v>612</v>
      </c>
      <c r="N13257" t="s">
        <v>599</v>
      </c>
      <c r="O13257" s="37" t="str">
        <f t="shared" si="1038"/>
        <v>Digital Payment</v>
      </c>
      <c r="P13257">
        <v>419.96</v>
      </c>
      <c r="Q13257" s="37" t="str">
        <f>IF(P13257&gt;500,"High","low")</f>
        <v>low</v>
      </c>
      <c r="R13257" s="37" t="str">
        <f t="shared" si="1039"/>
        <v>AVERAGE</v>
      </c>
      <c r="S13257" t="s">
        <v>609</v>
      </c>
    </row>
    <row r="13258" spans="1:19" x14ac:dyDescent="0.2">
      <c r="A13258" t="s">
        <v>13869</v>
      </c>
      <c r="B13258" t="s">
        <v>83</v>
      </c>
      <c r="C13258" t="s">
        <v>617</v>
      </c>
      <c r="D13258">
        <v>3837.91</v>
      </c>
      <c r="E13258" s="37" t="str">
        <f t="shared" si="1035"/>
        <v xml:space="preserve"> </v>
      </c>
      <c r="F13258">
        <v>0.01</v>
      </c>
      <c r="G13258" s="37" t="str">
        <f t="shared" si="1036"/>
        <v>Normal Discount</v>
      </c>
      <c r="H13258" s="37" t="str">
        <f t="shared" si="1037"/>
        <v>Low</v>
      </c>
      <c r="I13258">
        <v>3</v>
      </c>
      <c r="J13258" t="str" cm="1">
        <f t="array" ref="J13258">_xlfn.IFS(I13258&lt;=3,"small",I13258&lt;=6,"Medium",I13258&lt;=9,"Large")</f>
        <v>small</v>
      </c>
      <c r="K13258" s="36">
        <v>45186</v>
      </c>
      <c r="L13258" s="36">
        <v>45192</v>
      </c>
      <c r="M13258" t="s">
        <v>612</v>
      </c>
      <c r="N13258" t="s">
        <v>604</v>
      </c>
      <c r="O13258" s="37" t="str">
        <f t="shared" si="1038"/>
        <v>Digital Payment</v>
      </c>
      <c r="P13258">
        <v>1117.8399999999999</v>
      </c>
      <c r="Q13258" s="37" t="str">
        <f>IF(P13258&gt;500,"High","low")</f>
        <v>High</v>
      </c>
      <c r="R13258" s="37" t="str">
        <f t="shared" si="1039"/>
        <v>Excellent</v>
      </c>
      <c r="S13258" t="s">
        <v>609</v>
      </c>
    </row>
    <row r="13259" spans="1:19" x14ac:dyDescent="0.2">
      <c r="A13259" t="s">
        <v>13870</v>
      </c>
      <c r="B13259" t="s">
        <v>83</v>
      </c>
      <c r="C13259" t="s">
        <v>602</v>
      </c>
      <c r="D13259">
        <v>3074</v>
      </c>
      <c r="E13259" s="37" t="str">
        <f t="shared" si="1035"/>
        <v xml:space="preserve"> </v>
      </c>
      <c r="F13259">
        <v>0.31</v>
      </c>
      <c r="G13259" s="37" t="str">
        <f t="shared" si="1036"/>
        <v>Heavy Discount</v>
      </c>
      <c r="H13259" s="37" t="str">
        <f t="shared" si="1037"/>
        <v>Medium</v>
      </c>
      <c r="I13259">
        <v>3</v>
      </c>
      <c r="J13259" t="str" cm="1">
        <f t="array" ref="J13259">_xlfn.IFS(I13259&lt;=3,"small",I13259&lt;=6,"Medium",I13259&lt;=9,"Large")</f>
        <v>small</v>
      </c>
      <c r="K13259" s="36">
        <v>45502</v>
      </c>
      <c r="L13259" s="36">
        <v>45504</v>
      </c>
      <c r="M13259" t="s">
        <v>603</v>
      </c>
      <c r="N13259" t="s">
        <v>608</v>
      </c>
      <c r="O13259" s="37" t="str">
        <f t="shared" si="1038"/>
        <v>Cash Payment</v>
      </c>
      <c r="P13259">
        <v>850.97</v>
      </c>
      <c r="Q13259" s="37" t="str">
        <f>IF(P13259&gt;500,"High","low")</f>
        <v>High</v>
      </c>
      <c r="R13259" s="37" t="str">
        <f t="shared" si="1039"/>
        <v>Good</v>
      </c>
      <c r="S13259" t="s">
        <v>600</v>
      </c>
    </row>
    <row r="13260" spans="1:19" x14ac:dyDescent="0.2">
      <c r="A13260" t="s">
        <v>13871</v>
      </c>
      <c r="B13260" t="s">
        <v>90</v>
      </c>
      <c r="C13260" t="s">
        <v>597</v>
      </c>
      <c r="D13260">
        <v>268.14999999999998</v>
      </c>
      <c r="E13260" s="37" t="str">
        <f t="shared" si="1035"/>
        <v xml:space="preserve"> </v>
      </c>
      <c r="F13260">
        <v>0.41</v>
      </c>
      <c r="G13260" s="37" t="str">
        <f t="shared" si="1036"/>
        <v>Heavy Discount</v>
      </c>
      <c r="H13260" s="37" t="str">
        <f t="shared" si="1037"/>
        <v>High</v>
      </c>
      <c r="I13260">
        <v>2</v>
      </c>
      <c r="J13260" t="str" cm="1">
        <f t="array" ref="J13260">_xlfn.IFS(I13260&lt;=3,"small",I13260&lt;=6,"Medium",I13260&lt;=9,"Large")</f>
        <v>small</v>
      </c>
      <c r="K13260" s="36">
        <v>45582</v>
      </c>
      <c r="L13260" s="36">
        <v>45585</v>
      </c>
      <c r="M13260" t="s">
        <v>598</v>
      </c>
      <c r="N13260" t="s">
        <v>604</v>
      </c>
      <c r="O13260" s="37" t="str">
        <f t="shared" si="1038"/>
        <v>Digital Payment</v>
      </c>
      <c r="P13260">
        <v>16.82</v>
      </c>
      <c r="Q13260" s="37" t="str">
        <f>IF(P13260&gt;500,"High","low")</f>
        <v>low</v>
      </c>
      <c r="R13260" s="37" t="str">
        <f t="shared" si="1039"/>
        <v>AVERAGE</v>
      </c>
      <c r="S13260" t="s">
        <v>609</v>
      </c>
    </row>
    <row r="13261" spans="1:19" x14ac:dyDescent="0.2">
      <c r="A13261" t="s">
        <v>13872</v>
      </c>
      <c r="B13261" t="s">
        <v>90</v>
      </c>
      <c r="C13261" t="s">
        <v>607</v>
      </c>
      <c r="D13261">
        <v>801.2</v>
      </c>
      <c r="E13261" s="37" t="str">
        <f t="shared" si="1035"/>
        <v xml:space="preserve"> </v>
      </c>
      <c r="F13261">
        <v>0.02</v>
      </c>
      <c r="G13261" s="37" t="str">
        <f t="shared" si="1036"/>
        <v>Normal Discount</v>
      </c>
      <c r="H13261" s="37" t="str">
        <f t="shared" si="1037"/>
        <v>Low</v>
      </c>
      <c r="I13261">
        <v>3</v>
      </c>
      <c r="J13261" t="str" cm="1">
        <f t="array" ref="J13261">_xlfn.IFS(I13261&lt;=3,"small",I13261&lt;=6,"Medium",I13261&lt;=9,"Large")</f>
        <v>small</v>
      </c>
      <c r="K13261" s="36">
        <v>45231</v>
      </c>
      <c r="L13261" s="36">
        <v>45232</v>
      </c>
      <c r="M13261" t="s">
        <v>603</v>
      </c>
      <c r="N13261" t="s">
        <v>599</v>
      </c>
      <c r="O13261" s="37" t="str">
        <f t="shared" si="1038"/>
        <v>Digital Payment</v>
      </c>
      <c r="P13261">
        <v>118.58</v>
      </c>
      <c r="Q13261" s="37" t="str">
        <f>IF(P13261&gt;500,"High","low")</f>
        <v>low</v>
      </c>
      <c r="R13261" s="37" t="str">
        <f t="shared" si="1039"/>
        <v>AVERAGE</v>
      </c>
      <c r="S13261" t="s">
        <v>609</v>
      </c>
    </row>
    <row r="13262" spans="1:19" x14ac:dyDescent="0.2">
      <c r="A13262" t="s">
        <v>13873</v>
      </c>
      <c r="B13262" t="s">
        <v>90</v>
      </c>
      <c r="C13262" t="s">
        <v>597</v>
      </c>
      <c r="D13262">
        <v>1921.83</v>
      </c>
      <c r="E13262" s="37" t="str">
        <f t="shared" si="1035"/>
        <v xml:space="preserve"> </v>
      </c>
      <c r="F13262">
        <v>0.38</v>
      </c>
      <c r="G13262" s="37" t="str">
        <f t="shared" si="1036"/>
        <v>Heavy Discount</v>
      </c>
      <c r="H13262" s="37" t="str">
        <f t="shared" si="1037"/>
        <v>Medium</v>
      </c>
      <c r="I13262">
        <v>5</v>
      </c>
      <c r="J13262" t="str" cm="1">
        <f t="array" ref="J13262">_xlfn.IFS(I13262&lt;=3,"small",I13262&lt;=6,"Medium",I13262&lt;=9,"Large")</f>
        <v>Medium</v>
      </c>
      <c r="K13262" s="36">
        <v>45422</v>
      </c>
      <c r="L13262" s="36">
        <v>45429</v>
      </c>
      <c r="M13262" t="s">
        <v>598</v>
      </c>
      <c r="N13262" t="s">
        <v>604</v>
      </c>
      <c r="O13262" s="37" t="str">
        <f t="shared" si="1038"/>
        <v>Digital Payment</v>
      </c>
      <c r="P13262">
        <v>472.57</v>
      </c>
      <c r="Q13262" s="37" t="str">
        <f>IF(P13262&gt;500,"High","low")</f>
        <v>low</v>
      </c>
      <c r="R13262" s="37" t="str">
        <f t="shared" si="1039"/>
        <v>AVERAGE</v>
      </c>
      <c r="S13262" t="s">
        <v>605</v>
      </c>
    </row>
    <row r="13263" spans="1:19" x14ac:dyDescent="0.2">
      <c r="A13263" t="s">
        <v>13874</v>
      </c>
      <c r="B13263" t="s">
        <v>67</v>
      </c>
      <c r="C13263" t="s">
        <v>617</v>
      </c>
      <c r="D13263">
        <v>3558</v>
      </c>
      <c r="E13263" s="37" t="str">
        <f t="shared" si="1035"/>
        <v xml:space="preserve"> </v>
      </c>
      <c r="F13263">
        <v>0.49</v>
      </c>
      <c r="G13263" s="37" t="str">
        <f t="shared" si="1036"/>
        <v>Heavy Discount</v>
      </c>
      <c r="H13263" s="37" t="str">
        <f t="shared" si="1037"/>
        <v>High</v>
      </c>
      <c r="I13263">
        <v>8</v>
      </c>
      <c r="J13263" t="str" cm="1">
        <f t="array" ref="J13263">_xlfn.IFS(I13263&lt;=3,"small",I13263&lt;=6,"Medium",I13263&lt;=9,"Large")</f>
        <v>Large</v>
      </c>
      <c r="K13263" s="36">
        <v>45538</v>
      </c>
      <c r="L13263" s="36">
        <v>45543</v>
      </c>
      <c r="M13263" t="s">
        <v>612</v>
      </c>
      <c r="N13263" t="s">
        <v>604</v>
      </c>
      <c r="O13263" s="37" t="str">
        <f t="shared" si="1038"/>
        <v>Digital Payment</v>
      </c>
      <c r="P13263">
        <v>737.64</v>
      </c>
      <c r="Q13263" s="37" t="str">
        <f>IF(P13263&gt;500,"High","low")</f>
        <v>High</v>
      </c>
      <c r="R13263" s="37" t="str">
        <f t="shared" si="1039"/>
        <v>Good</v>
      </c>
      <c r="S13263" t="s">
        <v>615</v>
      </c>
    </row>
    <row r="13264" spans="1:19" x14ac:dyDescent="0.2">
      <c r="A13264" t="s">
        <v>13875</v>
      </c>
      <c r="B13264" t="s">
        <v>67</v>
      </c>
      <c r="C13264" t="s">
        <v>617</v>
      </c>
      <c r="D13264">
        <v>2963.21</v>
      </c>
      <c r="E13264" s="37" t="str">
        <f t="shared" si="1035"/>
        <v xml:space="preserve"> </v>
      </c>
      <c r="F13264">
        <v>0.3</v>
      </c>
      <c r="G13264" s="37" t="str">
        <f t="shared" si="1036"/>
        <v>Normal Discount</v>
      </c>
      <c r="H13264" s="37" t="str">
        <f t="shared" si="1037"/>
        <v>Medium</v>
      </c>
      <c r="I13264">
        <v>8</v>
      </c>
      <c r="J13264" t="str" cm="1">
        <f t="array" ref="J13264">_xlfn.IFS(I13264&lt;=3,"small",I13264&lt;=6,"Medium",I13264&lt;=9,"Large")</f>
        <v>Large</v>
      </c>
      <c r="K13264" s="36">
        <v>45081</v>
      </c>
      <c r="L13264" s="36">
        <v>45084</v>
      </c>
      <c r="M13264" t="s">
        <v>598</v>
      </c>
      <c r="N13264" t="s">
        <v>608</v>
      </c>
      <c r="O13264" s="37" t="str">
        <f t="shared" si="1038"/>
        <v>Cash Payment</v>
      </c>
      <c r="P13264">
        <v>719.81</v>
      </c>
      <c r="Q13264" s="37" t="str">
        <f>IF(P13264&gt;500,"High","low")</f>
        <v>High</v>
      </c>
      <c r="R13264" s="37" t="str">
        <f t="shared" si="1039"/>
        <v>Good</v>
      </c>
      <c r="S13264" t="s">
        <v>620</v>
      </c>
    </row>
    <row r="13265" spans="1:19" x14ac:dyDescent="0.2">
      <c r="A13265" t="s">
        <v>13876</v>
      </c>
      <c r="B13265" t="s">
        <v>90</v>
      </c>
      <c r="C13265" t="s">
        <v>614</v>
      </c>
      <c r="D13265">
        <v>319.01</v>
      </c>
      <c r="E13265" s="37" t="str">
        <f t="shared" si="1035"/>
        <v xml:space="preserve"> </v>
      </c>
      <c r="F13265">
        <v>0.21</v>
      </c>
      <c r="G13265" s="37" t="str">
        <f t="shared" si="1036"/>
        <v>Normal Discount</v>
      </c>
      <c r="H13265" s="37" t="str">
        <f t="shared" si="1037"/>
        <v>Medium</v>
      </c>
      <c r="I13265">
        <v>5</v>
      </c>
      <c r="J13265" t="str" cm="1">
        <f t="array" ref="J13265">_xlfn.IFS(I13265&lt;=3,"small",I13265&lt;=6,"Medium",I13265&lt;=9,"Large")</f>
        <v>Medium</v>
      </c>
      <c r="K13265" s="36">
        <v>44932</v>
      </c>
      <c r="L13265" s="36">
        <v>44939</v>
      </c>
      <c r="M13265" t="s">
        <v>598</v>
      </c>
      <c r="N13265" t="s">
        <v>599</v>
      </c>
      <c r="O13265" s="37" t="str">
        <f t="shared" si="1038"/>
        <v>Digital Payment</v>
      </c>
      <c r="P13265">
        <v>48.42</v>
      </c>
      <c r="Q13265" s="37" t="str">
        <f>IF(P13265&gt;500,"High","low")</f>
        <v>low</v>
      </c>
      <c r="R13265" s="37" t="str">
        <f t="shared" si="1039"/>
        <v>AVERAGE</v>
      </c>
      <c r="S13265" t="s">
        <v>609</v>
      </c>
    </row>
    <row r="13266" spans="1:19" x14ac:dyDescent="0.2">
      <c r="A13266" t="s">
        <v>13877</v>
      </c>
      <c r="B13266" t="s">
        <v>75</v>
      </c>
      <c r="C13266" t="s">
        <v>617</v>
      </c>
      <c r="D13266">
        <v>4004.74</v>
      </c>
      <c r="E13266" s="37" t="str">
        <f t="shared" si="1035"/>
        <v xml:space="preserve"> </v>
      </c>
      <c r="F13266">
        <v>0.23</v>
      </c>
      <c r="G13266" s="37" t="str">
        <f t="shared" si="1036"/>
        <v>Normal Discount</v>
      </c>
      <c r="H13266" s="37" t="str">
        <f t="shared" si="1037"/>
        <v>Medium</v>
      </c>
      <c r="I13266">
        <v>1</v>
      </c>
      <c r="J13266" t="str" cm="1">
        <f t="array" ref="J13266">_xlfn.IFS(I13266&lt;=3,"small",I13266&lt;=6,"Medium",I13266&lt;=9,"Large")</f>
        <v>small</v>
      </c>
      <c r="K13266" s="36">
        <v>45542</v>
      </c>
      <c r="L13266" s="36">
        <v>45544</v>
      </c>
      <c r="M13266" t="s">
        <v>612</v>
      </c>
      <c r="N13266" t="s">
        <v>599</v>
      </c>
      <c r="O13266" s="37" t="str">
        <f t="shared" si="1038"/>
        <v>Digital Payment</v>
      </c>
      <c r="P13266">
        <v>589.61</v>
      </c>
      <c r="Q13266" s="37" t="str">
        <f>IF(P13266&gt;500,"High","low")</f>
        <v>High</v>
      </c>
      <c r="R13266" s="37" t="str">
        <f t="shared" si="1039"/>
        <v>Good</v>
      </c>
      <c r="S13266" t="s">
        <v>615</v>
      </c>
    </row>
    <row r="13267" spans="1:19" x14ac:dyDescent="0.2">
      <c r="A13267" t="s">
        <v>13878</v>
      </c>
      <c r="B13267" t="s">
        <v>75</v>
      </c>
      <c r="C13267" t="s">
        <v>614</v>
      </c>
      <c r="D13267">
        <v>3065.11</v>
      </c>
      <c r="E13267" s="37" t="str">
        <f t="shared" si="1035"/>
        <v xml:space="preserve"> </v>
      </c>
      <c r="F13267">
        <v>0.34</v>
      </c>
      <c r="G13267" s="37" t="str">
        <f t="shared" si="1036"/>
        <v>Heavy Discount</v>
      </c>
      <c r="H13267" s="37" t="str">
        <f t="shared" si="1037"/>
        <v>Medium</v>
      </c>
      <c r="I13267">
        <v>2</v>
      </c>
      <c r="J13267" t="str" cm="1">
        <f t="array" ref="J13267">_xlfn.IFS(I13267&lt;=3,"small",I13267&lt;=6,"Medium",I13267&lt;=9,"Large")</f>
        <v>small</v>
      </c>
      <c r="K13267" s="36">
        <v>45447</v>
      </c>
      <c r="L13267" s="36">
        <v>45448</v>
      </c>
      <c r="M13267" t="s">
        <v>612</v>
      </c>
      <c r="N13267" t="s">
        <v>599</v>
      </c>
      <c r="O13267" s="37" t="str">
        <f t="shared" si="1038"/>
        <v>Digital Payment</v>
      </c>
      <c r="P13267">
        <v>741.13</v>
      </c>
      <c r="Q13267" s="37" t="str">
        <f>IF(P13267&gt;500,"High","low")</f>
        <v>High</v>
      </c>
      <c r="R13267" s="37" t="str">
        <f t="shared" si="1039"/>
        <v>Good</v>
      </c>
      <c r="S13267" t="s">
        <v>628</v>
      </c>
    </row>
    <row r="13268" spans="1:19" x14ac:dyDescent="0.2">
      <c r="A13268" t="s">
        <v>13879</v>
      </c>
      <c r="B13268" t="s">
        <v>83</v>
      </c>
      <c r="C13268" t="s">
        <v>617</v>
      </c>
      <c r="D13268">
        <v>4447.04</v>
      </c>
      <c r="E13268" s="37" t="str">
        <f t="shared" si="1035"/>
        <v xml:space="preserve"> </v>
      </c>
      <c r="F13268">
        <v>0.28000000000000003</v>
      </c>
      <c r="G13268" s="37" t="str">
        <f t="shared" si="1036"/>
        <v>Normal Discount</v>
      </c>
      <c r="H13268" s="37" t="str">
        <f t="shared" si="1037"/>
        <v>Medium</v>
      </c>
      <c r="I13268">
        <v>8</v>
      </c>
      <c r="J13268" t="str" cm="1">
        <f t="array" ref="J13268">_xlfn.IFS(I13268&lt;=3,"small",I13268&lt;=6,"Medium",I13268&lt;=9,"Large")</f>
        <v>Large</v>
      </c>
      <c r="K13268" s="36">
        <v>45470</v>
      </c>
      <c r="L13268" s="36">
        <v>45474</v>
      </c>
      <c r="M13268" t="s">
        <v>598</v>
      </c>
      <c r="N13268" t="s">
        <v>604</v>
      </c>
      <c r="O13268" s="37" t="str">
        <f t="shared" si="1038"/>
        <v>Digital Payment</v>
      </c>
      <c r="P13268">
        <v>546.96</v>
      </c>
      <c r="Q13268" s="37" t="str">
        <f>IF(P13268&gt;500,"High","low")</f>
        <v>High</v>
      </c>
      <c r="R13268" s="37" t="str">
        <f t="shared" si="1039"/>
        <v>Good</v>
      </c>
      <c r="S13268" t="s">
        <v>628</v>
      </c>
    </row>
    <row r="13269" spans="1:19" x14ac:dyDescent="0.2">
      <c r="A13269" t="s">
        <v>13880</v>
      </c>
      <c r="B13269" t="s">
        <v>75</v>
      </c>
      <c r="C13269" t="s">
        <v>617</v>
      </c>
      <c r="D13269">
        <v>2146.5</v>
      </c>
      <c r="E13269" s="37" t="str">
        <f t="shared" si="1035"/>
        <v xml:space="preserve"> </v>
      </c>
      <c r="F13269">
        <v>0.39</v>
      </c>
      <c r="G13269" s="37" t="str">
        <f t="shared" si="1036"/>
        <v>Heavy Discount</v>
      </c>
      <c r="H13269" s="37" t="str">
        <f t="shared" si="1037"/>
        <v>Medium</v>
      </c>
      <c r="I13269">
        <v>9</v>
      </c>
      <c r="J13269" t="str" cm="1">
        <f t="array" ref="J13269">_xlfn.IFS(I13269&lt;=3,"small",I13269&lt;=6,"Medium",I13269&lt;=9,"Large")</f>
        <v>Large</v>
      </c>
      <c r="K13269" s="36">
        <v>45348</v>
      </c>
      <c r="L13269" s="36">
        <v>45355</v>
      </c>
      <c r="M13269" t="s">
        <v>603</v>
      </c>
      <c r="N13269" t="s">
        <v>604</v>
      </c>
      <c r="O13269" s="37" t="str">
        <f t="shared" si="1038"/>
        <v>Digital Payment</v>
      </c>
      <c r="P13269">
        <v>138.26</v>
      </c>
      <c r="Q13269" s="37" t="str">
        <f>IF(P13269&gt;500,"High","low")</f>
        <v>low</v>
      </c>
      <c r="R13269" s="37" t="str">
        <f t="shared" si="1039"/>
        <v>AVERAGE</v>
      </c>
      <c r="S13269" t="s">
        <v>628</v>
      </c>
    </row>
    <row r="13270" spans="1:19" x14ac:dyDescent="0.2">
      <c r="A13270" t="s">
        <v>13881</v>
      </c>
      <c r="B13270" t="s">
        <v>83</v>
      </c>
      <c r="C13270" t="s">
        <v>607</v>
      </c>
      <c r="D13270">
        <v>2501.9899999999998</v>
      </c>
      <c r="E13270" s="37" t="str">
        <f t="shared" si="1035"/>
        <v xml:space="preserve"> </v>
      </c>
      <c r="F13270">
        <v>0.21</v>
      </c>
      <c r="G13270" s="37" t="str">
        <f t="shared" si="1036"/>
        <v>Normal Discount</v>
      </c>
      <c r="H13270" s="37" t="str">
        <f t="shared" si="1037"/>
        <v>Medium</v>
      </c>
      <c r="I13270">
        <v>7</v>
      </c>
      <c r="J13270" t="str" cm="1">
        <f t="array" ref="J13270">_xlfn.IFS(I13270&lt;=3,"small",I13270&lt;=6,"Medium",I13270&lt;=9,"Large")</f>
        <v>Large</v>
      </c>
      <c r="K13270" s="36">
        <v>44956</v>
      </c>
      <c r="L13270" s="36">
        <v>44959</v>
      </c>
      <c r="M13270" t="s">
        <v>612</v>
      </c>
      <c r="N13270" t="s">
        <v>608</v>
      </c>
      <c r="O13270" s="37" t="str">
        <f t="shared" si="1038"/>
        <v>Cash Payment</v>
      </c>
      <c r="P13270">
        <v>682</v>
      </c>
      <c r="Q13270" s="37" t="str">
        <f>IF(P13270&gt;500,"High","low")</f>
        <v>High</v>
      </c>
      <c r="R13270" s="37" t="str">
        <f t="shared" si="1039"/>
        <v>Good</v>
      </c>
      <c r="S13270" t="s">
        <v>628</v>
      </c>
    </row>
    <row r="13271" spans="1:19" x14ac:dyDescent="0.2">
      <c r="A13271" t="s">
        <v>13882</v>
      </c>
      <c r="B13271" t="s">
        <v>67</v>
      </c>
      <c r="C13271" t="s">
        <v>614</v>
      </c>
      <c r="D13271">
        <v>2087.1999999999998</v>
      </c>
      <c r="E13271" s="37" t="str">
        <f t="shared" si="1035"/>
        <v xml:space="preserve"> </v>
      </c>
      <c r="F13271">
        <v>0.21</v>
      </c>
      <c r="G13271" s="37" t="str">
        <f t="shared" si="1036"/>
        <v>Normal Discount</v>
      </c>
      <c r="H13271" s="37" t="str">
        <f t="shared" si="1037"/>
        <v>Medium</v>
      </c>
      <c r="I13271">
        <v>9</v>
      </c>
      <c r="J13271" t="str" cm="1">
        <f t="array" ref="J13271">_xlfn.IFS(I13271&lt;=3,"small",I13271&lt;=6,"Medium",I13271&lt;=9,"Large")</f>
        <v>Large</v>
      </c>
      <c r="K13271" s="36">
        <v>45227</v>
      </c>
      <c r="L13271" s="36">
        <v>45228</v>
      </c>
      <c r="M13271" t="s">
        <v>612</v>
      </c>
      <c r="N13271" t="s">
        <v>608</v>
      </c>
      <c r="O13271" s="37" t="str">
        <f t="shared" si="1038"/>
        <v>Cash Payment</v>
      </c>
      <c r="P13271">
        <v>598.03</v>
      </c>
      <c r="Q13271" s="37" t="str">
        <f>IF(P13271&gt;500,"High","low")</f>
        <v>High</v>
      </c>
      <c r="R13271" s="37" t="str">
        <f t="shared" si="1039"/>
        <v>Good</v>
      </c>
      <c r="S13271" t="s">
        <v>605</v>
      </c>
    </row>
    <row r="13272" spans="1:19" x14ac:dyDescent="0.2">
      <c r="A13272" t="s">
        <v>13883</v>
      </c>
      <c r="B13272" t="s">
        <v>67</v>
      </c>
      <c r="C13272" t="s">
        <v>614</v>
      </c>
      <c r="D13272">
        <v>3640.03</v>
      </c>
      <c r="E13272" s="37" t="str">
        <f t="shared" si="1035"/>
        <v xml:space="preserve"> </v>
      </c>
      <c r="F13272">
        <v>0.37</v>
      </c>
      <c r="G13272" s="37" t="str">
        <f t="shared" si="1036"/>
        <v>Heavy Discount</v>
      </c>
      <c r="H13272" s="37" t="str">
        <f t="shared" si="1037"/>
        <v>Medium</v>
      </c>
      <c r="I13272">
        <v>9</v>
      </c>
      <c r="J13272" t="str" cm="1">
        <f t="array" ref="J13272">_xlfn.IFS(I13272&lt;=3,"small",I13272&lt;=6,"Medium",I13272&lt;=9,"Large")</f>
        <v>Large</v>
      </c>
      <c r="K13272" s="36">
        <v>45296</v>
      </c>
      <c r="L13272" s="36">
        <v>45303</v>
      </c>
      <c r="M13272" t="s">
        <v>603</v>
      </c>
      <c r="N13272" t="s">
        <v>599</v>
      </c>
      <c r="O13272" s="37" t="str">
        <f t="shared" si="1038"/>
        <v>Digital Payment</v>
      </c>
      <c r="P13272">
        <v>738.49</v>
      </c>
      <c r="Q13272" s="37" t="str">
        <f>IF(P13272&gt;500,"High","low")</f>
        <v>High</v>
      </c>
      <c r="R13272" s="37" t="str">
        <f t="shared" si="1039"/>
        <v>Good</v>
      </c>
      <c r="S13272" t="s">
        <v>609</v>
      </c>
    </row>
    <row r="13273" spans="1:19" x14ac:dyDescent="0.2">
      <c r="A13273" t="s">
        <v>13884</v>
      </c>
      <c r="B13273" t="s">
        <v>75</v>
      </c>
      <c r="C13273" t="s">
        <v>617</v>
      </c>
      <c r="D13273">
        <v>3785.44</v>
      </c>
      <c r="E13273" s="37" t="str">
        <f t="shared" si="1035"/>
        <v xml:space="preserve"> </v>
      </c>
      <c r="F13273">
        <v>0.32</v>
      </c>
      <c r="G13273" s="37" t="str">
        <f t="shared" si="1036"/>
        <v>Heavy Discount</v>
      </c>
      <c r="H13273" s="37" t="str">
        <f t="shared" si="1037"/>
        <v>Medium</v>
      </c>
      <c r="I13273">
        <v>6</v>
      </c>
      <c r="J13273" t="str" cm="1">
        <f t="array" ref="J13273">_xlfn.IFS(I13273&lt;=3,"small",I13273&lt;=6,"Medium",I13273&lt;=9,"Large")</f>
        <v>Medium</v>
      </c>
      <c r="K13273" s="36">
        <v>45076</v>
      </c>
      <c r="L13273" s="36">
        <v>45081</v>
      </c>
      <c r="M13273" t="s">
        <v>603</v>
      </c>
      <c r="N13273" t="s">
        <v>604</v>
      </c>
      <c r="O13273" s="37" t="str">
        <f t="shared" si="1038"/>
        <v>Digital Payment</v>
      </c>
      <c r="P13273">
        <v>886.66</v>
      </c>
      <c r="Q13273" s="37" t="str">
        <f>IF(P13273&gt;500,"High","low")</f>
        <v>High</v>
      </c>
      <c r="R13273" s="37" t="str">
        <f t="shared" si="1039"/>
        <v>Good</v>
      </c>
      <c r="S13273" t="s">
        <v>620</v>
      </c>
    </row>
    <row r="13274" spans="1:19" x14ac:dyDescent="0.2">
      <c r="A13274" t="s">
        <v>13885</v>
      </c>
      <c r="B13274" t="s">
        <v>67</v>
      </c>
      <c r="C13274" t="s">
        <v>614</v>
      </c>
      <c r="D13274">
        <v>3643.89</v>
      </c>
      <c r="E13274" s="37" t="str">
        <f t="shared" si="1035"/>
        <v xml:space="preserve"> </v>
      </c>
      <c r="F13274">
        <v>0.39</v>
      </c>
      <c r="G13274" s="37" t="str">
        <f t="shared" si="1036"/>
        <v>Heavy Discount</v>
      </c>
      <c r="H13274" s="37" t="str">
        <f t="shared" si="1037"/>
        <v>Medium</v>
      </c>
      <c r="I13274">
        <v>6</v>
      </c>
      <c r="J13274" t="str" cm="1">
        <f t="array" ref="J13274">_xlfn.IFS(I13274&lt;=3,"small",I13274&lt;=6,"Medium",I13274&lt;=9,"Large")</f>
        <v>Medium</v>
      </c>
      <c r="K13274" s="36">
        <v>45647</v>
      </c>
      <c r="L13274" s="36">
        <v>45651</v>
      </c>
      <c r="M13274" t="s">
        <v>603</v>
      </c>
      <c r="N13274" t="s">
        <v>604</v>
      </c>
      <c r="O13274" s="37" t="str">
        <f t="shared" si="1038"/>
        <v>Digital Payment</v>
      </c>
      <c r="P13274">
        <v>810.4</v>
      </c>
      <c r="Q13274" s="37" t="str">
        <f>IF(P13274&gt;500,"High","low")</f>
        <v>High</v>
      </c>
      <c r="R13274" s="37" t="str">
        <f t="shared" si="1039"/>
        <v>Good</v>
      </c>
      <c r="S13274" t="s">
        <v>605</v>
      </c>
    </row>
    <row r="13275" spans="1:19" x14ac:dyDescent="0.2">
      <c r="A13275" t="s">
        <v>13886</v>
      </c>
      <c r="B13275" t="s">
        <v>90</v>
      </c>
      <c r="C13275" t="s">
        <v>617</v>
      </c>
      <c r="D13275">
        <v>1528.84</v>
      </c>
      <c r="E13275" s="37" t="str">
        <f t="shared" si="1035"/>
        <v xml:space="preserve"> </v>
      </c>
      <c r="F13275">
        <v>0.44</v>
      </c>
      <c r="G13275" s="37" t="str">
        <f t="shared" si="1036"/>
        <v>Heavy Discount</v>
      </c>
      <c r="H13275" s="37" t="str">
        <f t="shared" si="1037"/>
        <v>High</v>
      </c>
      <c r="I13275">
        <v>7</v>
      </c>
      <c r="J13275" t="str" cm="1">
        <f t="array" ref="J13275">_xlfn.IFS(I13275&lt;=3,"small",I13275&lt;=6,"Medium",I13275&lt;=9,"Large")</f>
        <v>Large</v>
      </c>
      <c r="K13275" s="36">
        <v>45566</v>
      </c>
      <c r="L13275" s="36">
        <v>45569</v>
      </c>
      <c r="M13275" t="s">
        <v>603</v>
      </c>
      <c r="N13275" t="s">
        <v>599</v>
      </c>
      <c r="O13275" s="37" t="str">
        <f t="shared" si="1038"/>
        <v>Digital Payment</v>
      </c>
      <c r="P13275">
        <v>281.58</v>
      </c>
      <c r="Q13275" s="37" t="str">
        <f>IF(P13275&gt;500,"High","low")</f>
        <v>low</v>
      </c>
      <c r="R13275" s="37" t="str">
        <f t="shared" si="1039"/>
        <v>AVERAGE</v>
      </c>
      <c r="S13275" t="s">
        <v>600</v>
      </c>
    </row>
    <row r="13276" spans="1:19" x14ac:dyDescent="0.2">
      <c r="A13276" t="s">
        <v>13887</v>
      </c>
      <c r="B13276" t="s">
        <v>90</v>
      </c>
      <c r="C13276" t="s">
        <v>617</v>
      </c>
      <c r="D13276">
        <v>3216.55</v>
      </c>
      <c r="E13276" s="37" t="str">
        <f t="shared" si="1035"/>
        <v xml:space="preserve"> </v>
      </c>
      <c r="F13276">
        <v>0.13</v>
      </c>
      <c r="G13276" s="37" t="str">
        <f t="shared" si="1036"/>
        <v>Normal Discount</v>
      </c>
      <c r="H13276" s="37" t="str">
        <f t="shared" si="1037"/>
        <v>Low</v>
      </c>
      <c r="I13276">
        <v>1</v>
      </c>
      <c r="J13276" t="str" cm="1">
        <f t="array" ref="J13276">_xlfn.IFS(I13276&lt;=3,"small",I13276&lt;=6,"Medium",I13276&lt;=9,"Large")</f>
        <v>small</v>
      </c>
      <c r="K13276" s="36">
        <v>45455</v>
      </c>
      <c r="L13276" s="36">
        <v>45461</v>
      </c>
      <c r="M13276" t="s">
        <v>612</v>
      </c>
      <c r="N13276" t="s">
        <v>608</v>
      </c>
      <c r="O13276" s="37" t="str">
        <f t="shared" si="1038"/>
        <v>Cash Payment</v>
      </c>
      <c r="P13276">
        <v>643.53</v>
      </c>
      <c r="Q13276" s="37" t="str">
        <f>IF(P13276&gt;500,"High","low")</f>
        <v>High</v>
      </c>
      <c r="R13276" s="37" t="str">
        <f t="shared" si="1039"/>
        <v>Good</v>
      </c>
      <c r="S13276" t="s">
        <v>605</v>
      </c>
    </row>
    <row r="13277" spans="1:19" x14ac:dyDescent="0.2">
      <c r="A13277" t="s">
        <v>13888</v>
      </c>
      <c r="B13277" t="s">
        <v>75</v>
      </c>
      <c r="C13277" t="s">
        <v>597</v>
      </c>
      <c r="D13277">
        <v>1758.79</v>
      </c>
      <c r="E13277" s="37" t="str">
        <f t="shared" si="1035"/>
        <v xml:space="preserve"> </v>
      </c>
      <c r="F13277">
        <v>0.16</v>
      </c>
      <c r="G13277" s="37" t="str">
        <f t="shared" si="1036"/>
        <v>Normal Discount</v>
      </c>
      <c r="H13277" s="37" t="str">
        <f t="shared" si="1037"/>
        <v>Low</v>
      </c>
      <c r="I13277">
        <v>9</v>
      </c>
      <c r="J13277" t="str" cm="1">
        <f t="array" ref="J13277">_xlfn.IFS(I13277&lt;=3,"small",I13277&lt;=6,"Medium",I13277&lt;=9,"Large")</f>
        <v>Large</v>
      </c>
      <c r="K13277" s="36">
        <v>45051</v>
      </c>
      <c r="L13277" s="36">
        <v>45057</v>
      </c>
      <c r="M13277" t="s">
        <v>603</v>
      </c>
      <c r="N13277" t="s">
        <v>608</v>
      </c>
      <c r="O13277" s="37" t="str">
        <f t="shared" si="1038"/>
        <v>Cash Payment</v>
      </c>
      <c r="P13277">
        <v>325.48</v>
      </c>
      <c r="Q13277" s="37" t="str">
        <f>IF(P13277&gt;500,"High","low")</f>
        <v>low</v>
      </c>
      <c r="R13277" s="37" t="str">
        <f t="shared" si="1039"/>
        <v>AVERAGE</v>
      </c>
      <c r="S13277" t="s">
        <v>605</v>
      </c>
    </row>
    <row r="13278" spans="1:19" x14ac:dyDescent="0.2">
      <c r="A13278" t="s">
        <v>13889</v>
      </c>
      <c r="B13278" t="s">
        <v>75</v>
      </c>
      <c r="C13278" t="s">
        <v>614</v>
      </c>
      <c r="D13278">
        <v>4187.58</v>
      </c>
      <c r="E13278" s="37" t="str">
        <f t="shared" si="1035"/>
        <v xml:space="preserve"> </v>
      </c>
      <c r="F13278">
        <v>0.26</v>
      </c>
      <c r="G13278" s="37" t="str">
        <f t="shared" si="1036"/>
        <v>Normal Discount</v>
      </c>
      <c r="H13278" s="37" t="str">
        <f t="shared" si="1037"/>
        <v>Medium</v>
      </c>
      <c r="I13278">
        <v>1</v>
      </c>
      <c r="J13278" t="str" cm="1">
        <f t="array" ref="J13278">_xlfn.IFS(I13278&lt;=3,"small",I13278&lt;=6,"Medium",I13278&lt;=9,"Large")</f>
        <v>small</v>
      </c>
      <c r="K13278" s="36">
        <v>44980</v>
      </c>
      <c r="L13278" s="36">
        <v>44984</v>
      </c>
      <c r="M13278" t="s">
        <v>603</v>
      </c>
      <c r="N13278" t="s">
        <v>608</v>
      </c>
      <c r="O13278" s="37" t="str">
        <f t="shared" si="1038"/>
        <v>Cash Payment</v>
      </c>
      <c r="P13278">
        <v>328.08</v>
      </c>
      <c r="Q13278" s="37" t="str">
        <f>IF(P13278&gt;500,"High","low")</f>
        <v>low</v>
      </c>
      <c r="R13278" s="37" t="str">
        <f t="shared" si="1039"/>
        <v>AVERAGE</v>
      </c>
      <c r="S13278" t="s">
        <v>600</v>
      </c>
    </row>
    <row r="13279" spans="1:19" x14ac:dyDescent="0.2">
      <c r="A13279" t="s">
        <v>13890</v>
      </c>
      <c r="B13279" t="s">
        <v>83</v>
      </c>
      <c r="C13279" t="s">
        <v>602</v>
      </c>
      <c r="D13279">
        <v>370.07</v>
      </c>
      <c r="E13279" s="37" t="str">
        <f t="shared" si="1035"/>
        <v xml:space="preserve"> </v>
      </c>
      <c r="F13279">
        <v>0.47</v>
      </c>
      <c r="G13279" s="37" t="str">
        <f t="shared" si="1036"/>
        <v>Heavy Discount</v>
      </c>
      <c r="H13279" s="37" t="str">
        <f t="shared" si="1037"/>
        <v>High</v>
      </c>
      <c r="I13279">
        <v>8</v>
      </c>
      <c r="J13279" t="str" cm="1">
        <f t="array" ref="J13279">_xlfn.IFS(I13279&lt;=3,"small",I13279&lt;=6,"Medium",I13279&lt;=9,"Large")</f>
        <v>Large</v>
      </c>
      <c r="K13279" s="36">
        <v>45517</v>
      </c>
      <c r="L13279" s="36">
        <v>45520</v>
      </c>
      <c r="M13279" t="s">
        <v>603</v>
      </c>
      <c r="N13279" t="s">
        <v>604</v>
      </c>
      <c r="O13279" s="37" t="str">
        <f t="shared" si="1038"/>
        <v>Digital Payment</v>
      </c>
      <c r="P13279">
        <v>48</v>
      </c>
      <c r="Q13279" s="37" t="str">
        <f>IF(P13279&gt;500,"High","low")</f>
        <v>low</v>
      </c>
      <c r="R13279" s="37" t="str">
        <f t="shared" si="1039"/>
        <v>AVERAGE</v>
      </c>
      <c r="S13279" t="s">
        <v>600</v>
      </c>
    </row>
    <row r="13280" spans="1:19" x14ac:dyDescent="0.2">
      <c r="A13280" t="s">
        <v>13891</v>
      </c>
      <c r="B13280" t="s">
        <v>67</v>
      </c>
      <c r="C13280" t="s">
        <v>614</v>
      </c>
      <c r="D13280">
        <v>284.83</v>
      </c>
      <c r="E13280" s="37" t="str">
        <f t="shared" si="1035"/>
        <v xml:space="preserve"> </v>
      </c>
      <c r="F13280">
        <v>0.42</v>
      </c>
      <c r="G13280" s="37" t="str">
        <f t="shared" si="1036"/>
        <v>Heavy Discount</v>
      </c>
      <c r="H13280" s="37" t="str">
        <f t="shared" si="1037"/>
        <v>High</v>
      </c>
      <c r="I13280">
        <v>2</v>
      </c>
      <c r="J13280" t="str" cm="1">
        <f t="array" ref="J13280">_xlfn.IFS(I13280&lt;=3,"small",I13280&lt;=6,"Medium",I13280&lt;=9,"Large")</f>
        <v>small</v>
      </c>
      <c r="K13280" s="36">
        <v>45086</v>
      </c>
      <c r="L13280" s="36">
        <v>45092</v>
      </c>
      <c r="M13280" t="s">
        <v>598</v>
      </c>
      <c r="N13280" t="s">
        <v>604</v>
      </c>
      <c r="O13280" s="37" t="str">
        <f t="shared" si="1038"/>
        <v>Digital Payment</v>
      </c>
      <c r="P13280">
        <v>15.47</v>
      </c>
      <c r="Q13280" s="37" t="str">
        <f>IF(P13280&gt;500,"High","low")</f>
        <v>low</v>
      </c>
      <c r="R13280" s="37" t="str">
        <f t="shared" si="1039"/>
        <v>AVERAGE</v>
      </c>
      <c r="S13280" t="s">
        <v>615</v>
      </c>
    </row>
    <row r="13281" spans="1:19" x14ac:dyDescent="0.2">
      <c r="A13281" t="s">
        <v>13892</v>
      </c>
      <c r="B13281" t="s">
        <v>83</v>
      </c>
      <c r="C13281" t="s">
        <v>614</v>
      </c>
      <c r="D13281">
        <v>598.37</v>
      </c>
      <c r="E13281" s="37" t="str">
        <f t="shared" si="1035"/>
        <v xml:space="preserve"> </v>
      </c>
      <c r="F13281">
        <v>0.23</v>
      </c>
      <c r="G13281" s="37" t="str">
        <f t="shared" si="1036"/>
        <v>Normal Discount</v>
      </c>
      <c r="H13281" s="37" t="str">
        <f t="shared" si="1037"/>
        <v>Medium</v>
      </c>
      <c r="I13281">
        <v>7</v>
      </c>
      <c r="J13281" t="str" cm="1">
        <f t="array" ref="J13281">_xlfn.IFS(I13281&lt;=3,"small",I13281&lt;=6,"Medium",I13281&lt;=9,"Large")</f>
        <v>Large</v>
      </c>
      <c r="K13281" s="36">
        <v>45082</v>
      </c>
      <c r="L13281" s="36">
        <v>45089</v>
      </c>
      <c r="M13281" t="s">
        <v>612</v>
      </c>
      <c r="N13281" t="s">
        <v>599</v>
      </c>
      <c r="O13281" s="37" t="str">
        <f t="shared" si="1038"/>
        <v>Digital Payment</v>
      </c>
      <c r="P13281">
        <v>41.45</v>
      </c>
      <c r="Q13281" s="37" t="str">
        <f>IF(P13281&gt;500,"High","low")</f>
        <v>low</v>
      </c>
      <c r="R13281" s="37" t="str">
        <f t="shared" si="1039"/>
        <v>AVERAGE</v>
      </c>
      <c r="S13281" t="s">
        <v>615</v>
      </c>
    </row>
    <row r="13282" spans="1:19" x14ac:dyDescent="0.2">
      <c r="A13282" t="s">
        <v>13893</v>
      </c>
      <c r="B13282" t="s">
        <v>83</v>
      </c>
      <c r="C13282" t="s">
        <v>607</v>
      </c>
      <c r="D13282">
        <v>1091.58</v>
      </c>
      <c r="E13282" s="37" t="str">
        <f t="shared" si="1035"/>
        <v xml:space="preserve"> </v>
      </c>
      <c r="F13282">
        <v>0.28999999999999998</v>
      </c>
      <c r="G13282" s="37" t="str">
        <f t="shared" si="1036"/>
        <v>Normal Discount</v>
      </c>
      <c r="H13282" s="37" t="str">
        <f t="shared" si="1037"/>
        <v>Medium</v>
      </c>
      <c r="I13282">
        <v>5</v>
      </c>
      <c r="J13282" t="str" cm="1">
        <f t="array" ref="J13282">_xlfn.IFS(I13282&lt;=3,"small",I13282&lt;=6,"Medium",I13282&lt;=9,"Large")</f>
        <v>Medium</v>
      </c>
      <c r="K13282" s="36">
        <v>45321</v>
      </c>
      <c r="L13282" s="36">
        <v>45323</v>
      </c>
      <c r="M13282" t="s">
        <v>612</v>
      </c>
      <c r="N13282" t="s">
        <v>608</v>
      </c>
      <c r="O13282" s="37" t="str">
        <f t="shared" si="1038"/>
        <v>Cash Payment</v>
      </c>
      <c r="P13282">
        <v>193.3</v>
      </c>
      <c r="Q13282" s="37" t="str">
        <f>IF(P13282&gt;500,"High","low")</f>
        <v>low</v>
      </c>
      <c r="R13282" s="37" t="str">
        <f t="shared" si="1039"/>
        <v>AVERAGE</v>
      </c>
      <c r="S13282" t="s">
        <v>628</v>
      </c>
    </row>
    <row r="13283" spans="1:19" x14ac:dyDescent="0.2">
      <c r="A13283" t="s">
        <v>13894</v>
      </c>
      <c r="B13283" t="s">
        <v>90</v>
      </c>
      <c r="C13283" t="s">
        <v>602</v>
      </c>
      <c r="D13283">
        <v>284.41000000000003</v>
      </c>
      <c r="E13283" s="37" t="str">
        <f t="shared" si="1035"/>
        <v xml:space="preserve"> </v>
      </c>
      <c r="F13283">
        <v>0.36</v>
      </c>
      <c r="G13283" s="37" t="str">
        <f t="shared" si="1036"/>
        <v>Heavy Discount</v>
      </c>
      <c r="H13283" s="37" t="str">
        <f t="shared" si="1037"/>
        <v>Medium</v>
      </c>
      <c r="I13283">
        <v>8</v>
      </c>
      <c r="J13283" t="str" cm="1">
        <f t="array" ref="J13283">_xlfn.IFS(I13283&lt;=3,"small",I13283&lt;=6,"Medium",I13283&lt;=9,"Large")</f>
        <v>Large</v>
      </c>
      <c r="K13283" s="36">
        <v>45349</v>
      </c>
      <c r="L13283" s="36">
        <v>45355</v>
      </c>
      <c r="M13283" t="s">
        <v>603</v>
      </c>
      <c r="N13283" t="s">
        <v>608</v>
      </c>
      <c r="O13283" s="37" t="str">
        <f t="shared" si="1038"/>
        <v>Cash Payment</v>
      </c>
      <c r="P13283">
        <v>26.86</v>
      </c>
      <c r="Q13283" s="37" t="str">
        <f>IF(P13283&gt;500,"High","low")</f>
        <v>low</v>
      </c>
      <c r="R13283" s="37" t="str">
        <f t="shared" si="1039"/>
        <v>AVERAGE</v>
      </c>
      <c r="S13283" t="s">
        <v>615</v>
      </c>
    </row>
    <row r="13284" spans="1:19" x14ac:dyDescent="0.2">
      <c r="A13284" t="s">
        <v>13895</v>
      </c>
      <c r="B13284" t="s">
        <v>90</v>
      </c>
      <c r="C13284" t="s">
        <v>602</v>
      </c>
      <c r="D13284">
        <v>450.92</v>
      </c>
      <c r="E13284" s="37" t="str">
        <f t="shared" si="1035"/>
        <v xml:space="preserve"> </v>
      </c>
      <c r="F13284">
        <v>0.26</v>
      </c>
      <c r="G13284" s="37" t="str">
        <f t="shared" si="1036"/>
        <v>Normal Discount</v>
      </c>
      <c r="H13284" s="37" t="str">
        <f t="shared" si="1037"/>
        <v>Medium</v>
      </c>
      <c r="I13284">
        <v>7</v>
      </c>
      <c r="J13284" t="str" cm="1">
        <f t="array" ref="J13284">_xlfn.IFS(I13284&lt;=3,"small",I13284&lt;=6,"Medium",I13284&lt;=9,"Large")</f>
        <v>Large</v>
      </c>
      <c r="K13284" s="36">
        <v>45297</v>
      </c>
      <c r="L13284" s="36">
        <v>45302</v>
      </c>
      <c r="M13284" t="s">
        <v>612</v>
      </c>
      <c r="N13284" t="s">
        <v>608</v>
      </c>
      <c r="O13284" s="37" t="str">
        <f t="shared" si="1038"/>
        <v>Cash Payment</v>
      </c>
      <c r="P13284">
        <v>62.82</v>
      </c>
      <c r="Q13284" s="37" t="str">
        <f>IF(P13284&gt;500,"High","low")</f>
        <v>low</v>
      </c>
      <c r="R13284" s="37" t="str">
        <f t="shared" si="1039"/>
        <v>AVERAGE</v>
      </c>
      <c r="S13284" t="s">
        <v>609</v>
      </c>
    </row>
    <row r="13285" spans="1:19" x14ac:dyDescent="0.2">
      <c r="A13285" t="s">
        <v>13896</v>
      </c>
      <c r="B13285" t="s">
        <v>90</v>
      </c>
      <c r="C13285" t="s">
        <v>607</v>
      </c>
      <c r="D13285">
        <v>1599.68</v>
      </c>
      <c r="E13285" s="37" t="str">
        <f t="shared" si="1035"/>
        <v xml:space="preserve"> </v>
      </c>
      <c r="F13285">
        <v>0.05</v>
      </c>
      <c r="G13285" s="37" t="str">
        <f t="shared" si="1036"/>
        <v>Normal Discount</v>
      </c>
      <c r="H13285" s="37" t="str">
        <f t="shared" si="1037"/>
        <v>Low</v>
      </c>
      <c r="I13285">
        <v>8</v>
      </c>
      <c r="J13285" t="str" cm="1">
        <f t="array" ref="J13285">_xlfn.IFS(I13285&lt;=3,"small",I13285&lt;=6,"Medium",I13285&lt;=9,"Large")</f>
        <v>Large</v>
      </c>
      <c r="K13285" s="36">
        <v>45093</v>
      </c>
      <c r="L13285" s="36">
        <v>45098</v>
      </c>
      <c r="M13285" t="s">
        <v>603</v>
      </c>
      <c r="N13285" t="s">
        <v>608</v>
      </c>
      <c r="O13285" s="37" t="str">
        <f t="shared" si="1038"/>
        <v>Cash Payment</v>
      </c>
      <c r="P13285">
        <v>414.73</v>
      </c>
      <c r="Q13285" s="37" t="str">
        <f>IF(P13285&gt;500,"High","low")</f>
        <v>low</v>
      </c>
      <c r="R13285" s="37" t="str">
        <f t="shared" si="1039"/>
        <v>AVERAGE</v>
      </c>
      <c r="S13285" t="s">
        <v>605</v>
      </c>
    </row>
    <row r="13286" spans="1:19" x14ac:dyDescent="0.2">
      <c r="A13286" t="s">
        <v>13897</v>
      </c>
      <c r="B13286" t="s">
        <v>90</v>
      </c>
      <c r="C13286" t="s">
        <v>607</v>
      </c>
      <c r="D13286">
        <v>588.97</v>
      </c>
      <c r="E13286" s="37" t="str">
        <f t="shared" si="1035"/>
        <v xml:space="preserve"> </v>
      </c>
      <c r="F13286">
        <v>0.18</v>
      </c>
      <c r="G13286" s="37" t="str">
        <f t="shared" si="1036"/>
        <v>Normal Discount</v>
      </c>
      <c r="H13286" s="37" t="str">
        <f t="shared" si="1037"/>
        <v>Low</v>
      </c>
      <c r="I13286">
        <v>2</v>
      </c>
      <c r="J13286" t="str" cm="1">
        <f t="array" ref="J13286">_xlfn.IFS(I13286&lt;=3,"small",I13286&lt;=6,"Medium",I13286&lt;=9,"Large")</f>
        <v>small</v>
      </c>
      <c r="K13286" s="36">
        <v>45639</v>
      </c>
      <c r="L13286" s="36">
        <v>45641</v>
      </c>
      <c r="M13286" t="s">
        <v>612</v>
      </c>
      <c r="N13286" t="s">
        <v>599</v>
      </c>
      <c r="O13286" s="37" t="str">
        <f t="shared" si="1038"/>
        <v>Digital Payment</v>
      </c>
      <c r="P13286">
        <v>42.25</v>
      </c>
      <c r="Q13286" s="37" t="str">
        <f>IF(P13286&gt;500,"High","low")</f>
        <v>low</v>
      </c>
      <c r="R13286" s="37" t="str">
        <f t="shared" si="1039"/>
        <v>AVERAGE</v>
      </c>
      <c r="S13286" t="s">
        <v>605</v>
      </c>
    </row>
    <row r="13287" spans="1:19" x14ac:dyDescent="0.2">
      <c r="A13287" t="s">
        <v>13898</v>
      </c>
      <c r="B13287" t="s">
        <v>83</v>
      </c>
      <c r="C13287" t="s">
        <v>614</v>
      </c>
      <c r="D13287">
        <v>4030.16</v>
      </c>
      <c r="E13287" s="37" t="str">
        <f t="shared" si="1035"/>
        <v>Excellent Order</v>
      </c>
      <c r="F13287">
        <v>0.02</v>
      </c>
      <c r="G13287" s="37" t="str">
        <f t="shared" si="1036"/>
        <v>Normal Discount</v>
      </c>
      <c r="H13287" s="37" t="str">
        <f t="shared" si="1037"/>
        <v>Low</v>
      </c>
      <c r="I13287">
        <v>9</v>
      </c>
      <c r="J13287" t="str" cm="1">
        <f t="array" ref="J13287">_xlfn.IFS(I13287&lt;=3,"small",I13287&lt;=6,"Medium",I13287&lt;=9,"Large")</f>
        <v>Large</v>
      </c>
      <c r="K13287" s="36">
        <v>45591</v>
      </c>
      <c r="L13287" s="36">
        <v>45594</v>
      </c>
      <c r="M13287" t="s">
        <v>603</v>
      </c>
      <c r="N13287" t="s">
        <v>599</v>
      </c>
      <c r="O13287" s="37" t="str">
        <f t="shared" si="1038"/>
        <v>Digital Payment</v>
      </c>
      <c r="P13287">
        <v>1039.6400000000001</v>
      </c>
      <c r="Q13287" s="37" t="str">
        <f>IF(P13287&gt;500,"High","low")</f>
        <v>High</v>
      </c>
      <c r="R13287" s="37" t="str">
        <f t="shared" si="1039"/>
        <v>Excellent</v>
      </c>
      <c r="S13287" t="s">
        <v>620</v>
      </c>
    </row>
    <row r="13288" spans="1:19" x14ac:dyDescent="0.2">
      <c r="A13288" t="s">
        <v>13899</v>
      </c>
      <c r="B13288" t="s">
        <v>90</v>
      </c>
      <c r="C13288" t="s">
        <v>597</v>
      </c>
      <c r="D13288">
        <v>363.95</v>
      </c>
      <c r="E13288" s="37" t="str">
        <f t="shared" si="1035"/>
        <v xml:space="preserve"> </v>
      </c>
      <c r="F13288">
        <v>0.33</v>
      </c>
      <c r="G13288" s="37" t="str">
        <f t="shared" si="1036"/>
        <v>Heavy Discount</v>
      </c>
      <c r="H13288" s="37" t="str">
        <f t="shared" si="1037"/>
        <v>Medium</v>
      </c>
      <c r="I13288">
        <v>6</v>
      </c>
      <c r="J13288" t="str" cm="1">
        <f t="array" ref="J13288">_xlfn.IFS(I13288&lt;=3,"small",I13288&lt;=6,"Medium",I13288&lt;=9,"Large")</f>
        <v>Medium</v>
      </c>
      <c r="K13288" s="36">
        <v>45250</v>
      </c>
      <c r="L13288" s="36">
        <v>45253</v>
      </c>
      <c r="M13288" t="s">
        <v>612</v>
      </c>
      <c r="N13288" t="s">
        <v>599</v>
      </c>
      <c r="O13288" s="37" t="str">
        <f t="shared" si="1038"/>
        <v>Digital Payment</v>
      </c>
      <c r="P13288">
        <v>99.59</v>
      </c>
      <c r="Q13288" s="37" t="str">
        <f>IF(P13288&gt;500,"High","low")</f>
        <v>low</v>
      </c>
      <c r="R13288" s="37" t="str">
        <f t="shared" si="1039"/>
        <v>AVERAGE</v>
      </c>
      <c r="S13288" t="s">
        <v>620</v>
      </c>
    </row>
    <row r="13289" spans="1:19" x14ac:dyDescent="0.2">
      <c r="A13289" t="s">
        <v>13900</v>
      </c>
      <c r="B13289" t="s">
        <v>67</v>
      </c>
      <c r="C13289" t="s">
        <v>607</v>
      </c>
      <c r="D13289">
        <v>4548.8500000000004</v>
      </c>
      <c r="E13289" s="37" t="str">
        <f t="shared" si="1035"/>
        <v xml:space="preserve"> </v>
      </c>
      <c r="F13289">
        <v>0.17</v>
      </c>
      <c r="G13289" s="37" t="str">
        <f t="shared" si="1036"/>
        <v>Normal Discount</v>
      </c>
      <c r="H13289" s="37" t="str">
        <f t="shared" si="1037"/>
        <v>Low</v>
      </c>
      <c r="I13289">
        <v>6</v>
      </c>
      <c r="J13289" t="str" cm="1">
        <f t="array" ref="J13289">_xlfn.IFS(I13289&lt;=3,"small",I13289&lt;=6,"Medium",I13289&lt;=9,"Large")</f>
        <v>Medium</v>
      </c>
      <c r="K13289" s="36">
        <v>45116</v>
      </c>
      <c r="L13289" s="36">
        <v>45121</v>
      </c>
      <c r="M13289" t="s">
        <v>598</v>
      </c>
      <c r="N13289" t="s">
        <v>604</v>
      </c>
      <c r="O13289" s="37" t="str">
        <f t="shared" si="1038"/>
        <v>Digital Payment</v>
      </c>
      <c r="P13289">
        <v>589.70000000000005</v>
      </c>
      <c r="Q13289" s="37" t="str">
        <f>IF(P13289&gt;500,"High","low")</f>
        <v>High</v>
      </c>
      <c r="R13289" s="37" t="str">
        <f t="shared" si="1039"/>
        <v>Good</v>
      </c>
      <c r="S13289" t="s">
        <v>615</v>
      </c>
    </row>
    <row r="13290" spans="1:19" x14ac:dyDescent="0.2">
      <c r="A13290" t="s">
        <v>13901</v>
      </c>
      <c r="B13290" t="s">
        <v>90</v>
      </c>
      <c r="C13290" t="s">
        <v>602</v>
      </c>
      <c r="D13290">
        <v>4367.1099999999997</v>
      </c>
      <c r="E13290" s="37" t="str">
        <f t="shared" si="1035"/>
        <v xml:space="preserve"> </v>
      </c>
      <c r="F13290">
        <v>0.37</v>
      </c>
      <c r="G13290" s="37" t="str">
        <f t="shared" si="1036"/>
        <v>Heavy Discount</v>
      </c>
      <c r="H13290" s="37" t="str">
        <f t="shared" si="1037"/>
        <v>Medium</v>
      </c>
      <c r="I13290">
        <v>6</v>
      </c>
      <c r="J13290" t="str" cm="1">
        <f t="array" ref="J13290">_xlfn.IFS(I13290&lt;=3,"small",I13290&lt;=6,"Medium",I13290&lt;=9,"Large")</f>
        <v>Medium</v>
      </c>
      <c r="K13290" s="36">
        <v>45585</v>
      </c>
      <c r="L13290" s="36">
        <v>45586</v>
      </c>
      <c r="M13290" t="s">
        <v>598</v>
      </c>
      <c r="N13290" t="s">
        <v>608</v>
      </c>
      <c r="O13290" s="37" t="str">
        <f t="shared" si="1038"/>
        <v>Cash Payment</v>
      </c>
      <c r="P13290">
        <v>715.42</v>
      </c>
      <c r="Q13290" s="37" t="str">
        <f>IF(P13290&gt;500,"High","low")</f>
        <v>High</v>
      </c>
      <c r="R13290" s="37" t="str">
        <f t="shared" si="1039"/>
        <v>Good</v>
      </c>
      <c r="S13290" t="s">
        <v>628</v>
      </c>
    </row>
    <row r="13291" spans="1:19" x14ac:dyDescent="0.2">
      <c r="A13291" t="s">
        <v>13902</v>
      </c>
      <c r="B13291" t="s">
        <v>90</v>
      </c>
      <c r="C13291" t="s">
        <v>602</v>
      </c>
      <c r="D13291">
        <v>1121.08</v>
      </c>
      <c r="E13291" s="37" t="str">
        <f t="shared" si="1035"/>
        <v xml:space="preserve"> </v>
      </c>
      <c r="F13291">
        <v>0.21</v>
      </c>
      <c r="G13291" s="37" t="str">
        <f t="shared" si="1036"/>
        <v>Normal Discount</v>
      </c>
      <c r="H13291" s="37" t="str">
        <f t="shared" si="1037"/>
        <v>Medium</v>
      </c>
      <c r="I13291">
        <v>1</v>
      </c>
      <c r="J13291" t="str" cm="1">
        <f t="array" ref="J13291">_xlfn.IFS(I13291&lt;=3,"small",I13291&lt;=6,"Medium",I13291&lt;=9,"Large")</f>
        <v>small</v>
      </c>
      <c r="K13291" s="36">
        <v>45451</v>
      </c>
      <c r="L13291" s="36">
        <v>45457</v>
      </c>
      <c r="M13291" t="s">
        <v>603</v>
      </c>
      <c r="N13291" t="s">
        <v>604</v>
      </c>
      <c r="O13291" s="37" t="str">
        <f t="shared" si="1038"/>
        <v>Digital Payment</v>
      </c>
      <c r="P13291">
        <v>171.57</v>
      </c>
      <c r="Q13291" s="37" t="str">
        <f>IF(P13291&gt;500,"High","low")</f>
        <v>low</v>
      </c>
      <c r="R13291" s="37" t="str">
        <f t="shared" si="1039"/>
        <v>AVERAGE</v>
      </c>
      <c r="S13291" t="s">
        <v>620</v>
      </c>
    </row>
    <row r="13292" spans="1:19" x14ac:dyDescent="0.2">
      <c r="A13292" t="s">
        <v>13903</v>
      </c>
      <c r="B13292" t="s">
        <v>90</v>
      </c>
      <c r="C13292" t="s">
        <v>614</v>
      </c>
      <c r="D13292">
        <v>450.48</v>
      </c>
      <c r="E13292" s="37" t="str">
        <f t="shared" si="1035"/>
        <v xml:space="preserve"> </v>
      </c>
      <c r="F13292">
        <v>0.02</v>
      </c>
      <c r="G13292" s="37" t="str">
        <f t="shared" si="1036"/>
        <v>Normal Discount</v>
      </c>
      <c r="H13292" s="37" t="str">
        <f t="shared" si="1037"/>
        <v>Low</v>
      </c>
      <c r="I13292">
        <v>7</v>
      </c>
      <c r="J13292" t="str" cm="1">
        <f t="array" ref="J13292">_xlfn.IFS(I13292&lt;=3,"small",I13292&lt;=6,"Medium",I13292&lt;=9,"Large")</f>
        <v>Large</v>
      </c>
      <c r="K13292" s="36">
        <v>45438</v>
      </c>
      <c r="L13292" s="36">
        <v>45445</v>
      </c>
      <c r="M13292" t="s">
        <v>603</v>
      </c>
      <c r="N13292" t="s">
        <v>599</v>
      </c>
      <c r="O13292" s="37" t="str">
        <f t="shared" si="1038"/>
        <v>Digital Payment</v>
      </c>
      <c r="P13292">
        <v>38.79</v>
      </c>
      <c r="Q13292" s="37" t="str">
        <f>IF(P13292&gt;500,"High","low")</f>
        <v>low</v>
      </c>
      <c r="R13292" s="37" t="str">
        <f t="shared" si="1039"/>
        <v>AVERAGE</v>
      </c>
      <c r="S13292" t="s">
        <v>600</v>
      </c>
    </row>
    <row r="13293" spans="1:19" x14ac:dyDescent="0.2">
      <c r="A13293" t="s">
        <v>13904</v>
      </c>
      <c r="B13293" t="s">
        <v>75</v>
      </c>
      <c r="C13293" t="s">
        <v>597</v>
      </c>
      <c r="D13293">
        <v>617.12</v>
      </c>
      <c r="E13293" s="37" t="str">
        <f t="shared" si="1035"/>
        <v xml:space="preserve"> </v>
      </c>
      <c r="F13293">
        <v>0.19</v>
      </c>
      <c r="G13293" s="37" t="str">
        <f t="shared" si="1036"/>
        <v>Normal Discount</v>
      </c>
      <c r="H13293" s="37" t="str">
        <f t="shared" si="1037"/>
        <v>Low</v>
      </c>
      <c r="I13293">
        <v>2</v>
      </c>
      <c r="J13293" t="str" cm="1">
        <f t="array" ref="J13293">_xlfn.IFS(I13293&lt;=3,"small",I13293&lt;=6,"Medium",I13293&lt;=9,"Large")</f>
        <v>small</v>
      </c>
      <c r="K13293" s="36">
        <v>45211</v>
      </c>
      <c r="L13293" s="36">
        <v>45214</v>
      </c>
      <c r="M13293" t="s">
        <v>612</v>
      </c>
      <c r="N13293" t="s">
        <v>599</v>
      </c>
      <c r="O13293" s="37" t="str">
        <f t="shared" si="1038"/>
        <v>Digital Payment</v>
      </c>
      <c r="P13293">
        <v>45.36</v>
      </c>
      <c r="Q13293" s="37" t="str">
        <f>IF(P13293&gt;500,"High","low")</f>
        <v>low</v>
      </c>
      <c r="R13293" s="37" t="str">
        <f t="shared" si="1039"/>
        <v>AVERAGE</v>
      </c>
      <c r="S13293" t="s">
        <v>605</v>
      </c>
    </row>
    <row r="13294" spans="1:19" x14ac:dyDescent="0.2">
      <c r="A13294" t="s">
        <v>13905</v>
      </c>
      <c r="B13294" t="s">
        <v>67</v>
      </c>
      <c r="C13294" t="s">
        <v>617</v>
      </c>
      <c r="D13294">
        <v>2839.53</v>
      </c>
      <c r="E13294" s="37" t="str">
        <f t="shared" si="1035"/>
        <v xml:space="preserve"> </v>
      </c>
      <c r="F13294">
        <v>0.11</v>
      </c>
      <c r="G13294" s="37" t="str">
        <f t="shared" si="1036"/>
        <v>Normal Discount</v>
      </c>
      <c r="H13294" s="37" t="str">
        <f t="shared" si="1037"/>
        <v>Low</v>
      </c>
      <c r="I13294">
        <v>2</v>
      </c>
      <c r="J13294" t="str" cm="1">
        <f t="array" ref="J13294">_xlfn.IFS(I13294&lt;=3,"small",I13294&lt;=6,"Medium",I13294&lt;=9,"Large")</f>
        <v>small</v>
      </c>
      <c r="K13294" s="36">
        <v>45165</v>
      </c>
      <c r="L13294" s="36">
        <v>45167</v>
      </c>
      <c r="M13294" t="s">
        <v>598</v>
      </c>
      <c r="N13294" t="s">
        <v>604</v>
      </c>
      <c r="O13294" s="37" t="str">
        <f t="shared" si="1038"/>
        <v>Digital Payment</v>
      </c>
      <c r="P13294">
        <v>461.55</v>
      </c>
      <c r="Q13294" s="37" t="str">
        <f>IF(P13294&gt;500,"High","low")</f>
        <v>low</v>
      </c>
      <c r="R13294" s="37" t="str">
        <f t="shared" si="1039"/>
        <v>AVERAGE</v>
      </c>
      <c r="S13294" t="s">
        <v>609</v>
      </c>
    </row>
    <row r="13295" spans="1:19" x14ac:dyDescent="0.2">
      <c r="A13295" t="s">
        <v>13906</v>
      </c>
      <c r="B13295" t="s">
        <v>67</v>
      </c>
      <c r="C13295" t="s">
        <v>607</v>
      </c>
      <c r="D13295">
        <v>3044.49</v>
      </c>
      <c r="E13295" s="37" t="str">
        <f t="shared" si="1035"/>
        <v xml:space="preserve"> </v>
      </c>
      <c r="F13295">
        <v>0.11</v>
      </c>
      <c r="G13295" s="37" t="str">
        <f t="shared" si="1036"/>
        <v>Normal Discount</v>
      </c>
      <c r="H13295" s="37" t="str">
        <f t="shared" si="1037"/>
        <v>Low</v>
      </c>
      <c r="I13295">
        <v>5</v>
      </c>
      <c r="J13295" t="str" cm="1">
        <f t="array" ref="J13295">_xlfn.IFS(I13295&lt;=3,"small",I13295&lt;=6,"Medium",I13295&lt;=9,"Large")</f>
        <v>Medium</v>
      </c>
      <c r="K13295" s="36">
        <v>45511</v>
      </c>
      <c r="L13295" s="36">
        <v>45516</v>
      </c>
      <c r="M13295" t="s">
        <v>603</v>
      </c>
      <c r="N13295" t="s">
        <v>604</v>
      </c>
      <c r="O13295" s="37" t="str">
        <f t="shared" si="1038"/>
        <v>Digital Payment</v>
      </c>
      <c r="P13295">
        <v>583.76</v>
      </c>
      <c r="Q13295" s="37" t="str">
        <f>IF(P13295&gt;500,"High","low")</f>
        <v>High</v>
      </c>
      <c r="R13295" s="37" t="str">
        <f t="shared" si="1039"/>
        <v>Good</v>
      </c>
      <c r="S13295" t="s">
        <v>615</v>
      </c>
    </row>
    <row r="13296" spans="1:19" x14ac:dyDescent="0.2">
      <c r="A13296" t="s">
        <v>13907</v>
      </c>
      <c r="B13296" t="s">
        <v>83</v>
      </c>
      <c r="C13296" t="s">
        <v>607</v>
      </c>
      <c r="D13296">
        <v>1646.36</v>
      </c>
      <c r="E13296" s="37" t="str">
        <f t="shared" si="1035"/>
        <v xml:space="preserve"> </v>
      </c>
      <c r="F13296">
        <v>0.19</v>
      </c>
      <c r="G13296" s="37" t="str">
        <f t="shared" si="1036"/>
        <v>Normal Discount</v>
      </c>
      <c r="H13296" s="37" t="str">
        <f t="shared" si="1037"/>
        <v>Low</v>
      </c>
      <c r="I13296">
        <v>6</v>
      </c>
      <c r="J13296" t="str" cm="1">
        <f t="array" ref="J13296">_xlfn.IFS(I13296&lt;=3,"small",I13296&lt;=6,"Medium",I13296&lt;=9,"Large")</f>
        <v>Medium</v>
      </c>
      <c r="K13296" s="36">
        <v>45608</v>
      </c>
      <c r="L13296" s="36">
        <v>45615</v>
      </c>
      <c r="M13296" t="s">
        <v>612</v>
      </c>
      <c r="N13296" t="s">
        <v>604</v>
      </c>
      <c r="O13296" s="37" t="str">
        <f t="shared" si="1038"/>
        <v>Digital Payment</v>
      </c>
      <c r="P13296">
        <v>283.36</v>
      </c>
      <c r="Q13296" s="37" t="str">
        <f>IF(P13296&gt;500,"High","low")</f>
        <v>low</v>
      </c>
      <c r="R13296" s="37" t="str">
        <f t="shared" si="1039"/>
        <v>AVERAGE</v>
      </c>
      <c r="S13296" t="s">
        <v>605</v>
      </c>
    </row>
    <row r="13297" spans="1:19" x14ac:dyDescent="0.2">
      <c r="A13297" t="s">
        <v>13908</v>
      </c>
      <c r="B13297" t="s">
        <v>83</v>
      </c>
      <c r="C13297" t="s">
        <v>614</v>
      </c>
      <c r="D13297">
        <v>1554.48</v>
      </c>
      <c r="E13297" s="37" t="str">
        <f t="shared" si="1035"/>
        <v xml:space="preserve"> </v>
      </c>
      <c r="F13297">
        <v>0.49</v>
      </c>
      <c r="G13297" s="37" t="str">
        <f t="shared" si="1036"/>
        <v>Heavy Discount</v>
      </c>
      <c r="H13297" s="37" t="str">
        <f t="shared" si="1037"/>
        <v>High</v>
      </c>
      <c r="I13297">
        <v>1</v>
      </c>
      <c r="J13297" t="str" cm="1">
        <f t="array" ref="J13297">_xlfn.IFS(I13297&lt;=3,"small",I13297&lt;=6,"Medium",I13297&lt;=9,"Large")</f>
        <v>small</v>
      </c>
      <c r="K13297" s="36">
        <v>45372</v>
      </c>
      <c r="L13297" s="36">
        <v>45374</v>
      </c>
      <c r="M13297" t="s">
        <v>598</v>
      </c>
      <c r="N13297" t="s">
        <v>604</v>
      </c>
      <c r="O13297" s="37" t="str">
        <f t="shared" si="1038"/>
        <v>Digital Payment</v>
      </c>
      <c r="P13297">
        <v>342.11</v>
      </c>
      <c r="Q13297" s="37" t="str">
        <f>IF(P13297&gt;500,"High","low")</f>
        <v>low</v>
      </c>
      <c r="R13297" s="37" t="str">
        <f t="shared" si="1039"/>
        <v>AVERAGE</v>
      </c>
      <c r="S13297" t="s">
        <v>605</v>
      </c>
    </row>
    <row r="13298" spans="1:19" x14ac:dyDescent="0.2">
      <c r="A13298" t="s">
        <v>13909</v>
      </c>
      <c r="B13298" t="s">
        <v>90</v>
      </c>
      <c r="C13298" t="s">
        <v>597</v>
      </c>
      <c r="D13298">
        <v>2704.36</v>
      </c>
      <c r="E13298" s="37" t="str">
        <f t="shared" si="1035"/>
        <v xml:space="preserve"> </v>
      </c>
      <c r="F13298">
        <v>0.48</v>
      </c>
      <c r="G13298" s="37" t="str">
        <f t="shared" si="1036"/>
        <v>Heavy Discount</v>
      </c>
      <c r="H13298" s="37" t="str">
        <f t="shared" si="1037"/>
        <v>High</v>
      </c>
      <c r="I13298">
        <v>1</v>
      </c>
      <c r="J13298" t="str" cm="1">
        <f t="array" ref="J13298">_xlfn.IFS(I13298&lt;=3,"small",I13298&lt;=6,"Medium",I13298&lt;=9,"Large")</f>
        <v>small</v>
      </c>
      <c r="K13298" s="36">
        <v>45125</v>
      </c>
      <c r="L13298" s="36">
        <v>45127</v>
      </c>
      <c r="M13298" t="s">
        <v>598</v>
      </c>
      <c r="N13298" t="s">
        <v>599</v>
      </c>
      <c r="O13298" s="37" t="str">
        <f t="shared" si="1038"/>
        <v>Digital Payment</v>
      </c>
      <c r="P13298">
        <v>457.04</v>
      </c>
      <c r="Q13298" s="37" t="str">
        <f>IF(P13298&gt;500,"High","low")</f>
        <v>low</v>
      </c>
      <c r="R13298" s="37" t="str">
        <f t="shared" si="1039"/>
        <v>AVERAGE</v>
      </c>
      <c r="S13298" t="s">
        <v>615</v>
      </c>
    </row>
    <row r="13299" spans="1:19" x14ac:dyDescent="0.2">
      <c r="A13299" t="s">
        <v>13910</v>
      </c>
      <c r="B13299" t="s">
        <v>75</v>
      </c>
      <c r="C13299" t="s">
        <v>602</v>
      </c>
      <c r="D13299">
        <v>1597.58</v>
      </c>
      <c r="E13299" s="37" t="str">
        <f t="shared" si="1035"/>
        <v xml:space="preserve"> </v>
      </c>
      <c r="F13299">
        <v>0.4</v>
      </c>
      <c r="G13299" s="37" t="str">
        <f t="shared" si="1036"/>
        <v>Heavy Discount</v>
      </c>
      <c r="H13299" s="37" t="str">
        <f t="shared" si="1037"/>
        <v>Medium</v>
      </c>
      <c r="I13299">
        <v>1</v>
      </c>
      <c r="J13299" t="str" cm="1">
        <f t="array" ref="J13299">_xlfn.IFS(I13299&lt;=3,"small",I13299&lt;=6,"Medium",I13299&lt;=9,"Large")</f>
        <v>small</v>
      </c>
      <c r="K13299" s="36">
        <v>45125</v>
      </c>
      <c r="L13299" s="36">
        <v>45128</v>
      </c>
      <c r="M13299" t="s">
        <v>612</v>
      </c>
      <c r="N13299" t="s">
        <v>604</v>
      </c>
      <c r="O13299" s="37" t="str">
        <f t="shared" si="1038"/>
        <v>Digital Payment</v>
      </c>
      <c r="P13299">
        <v>424.79</v>
      </c>
      <c r="Q13299" s="37" t="str">
        <f>IF(P13299&gt;500,"High","low")</f>
        <v>low</v>
      </c>
      <c r="R13299" s="37" t="str">
        <f t="shared" si="1039"/>
        <v>AVERAGE</v>
      </c>
      <c r="S13299" t="s">
        <v>615</v>
      </c>
    </row>
    <row r="13300" spans="1:19" x14ac:dyDescent="0.2">
      <c r="A13300" t="s">
        <v>13911</v>
      </c>
      <c r="B13300" t="s">
        <v>83</v>
      </c>
      <c r="C13300" t="s">
        <v>602</v>
      </c>
      <c r="D13300">
        <v>4678.17</v>
      </c>
      <c r="E13300" s="37" t="str">
        <f t="shared" si="1035"/>
        <v>Excellent Order</v>
      </c>
      <c r="F13300">
        <v>0.12</v>
      </c>
      <c r="G13300" s="37" t="str">
        <f t="shared" si="1036"/>
        <v>Normal Discount</v>
      </c>
      <c r="H13300" s="37" t="str">
        <f t="shared" si="1037"/>
        <v>Low</v>
      </c>
      <c r="I13300">
        <v>7</v>
      </c>
      <c r="J13300" t="str" cm="1">
        <f t="array" ref="J13300">_xlfn.IFS(I13300&lt;=3,"small",I13300&lt;=6,"Medium",I13300&lt;=9,"Large")</f>
        <v>Large</v>
      </c>
      <c r="K13300" s="36">
        <v>44947</v>
      </c>
      <c r="L13300" s="36">
        <v>44953</v>
      </c>
      <c r="M13300" t="s">
        <v>612</v>
      </c>
      <c r="N13300" t="s">
        <v>604</v>
      </c>
      <c r="O13300" s="37" t="str">
        <f t="shared" si="1038"/>
        <v>Digital Payment</v>
      </c>
      <c r="P13300">
        <v>941.67</v>
      </c>
      <c r="Q13300" s="37" t="str">
        <f>IF(P13300&gt;500,"High","low")</f>
        <v>High</v>
      </c>
      <c r="R13300" s="37" t="str">
        <f t="shared" si="1039"/>
        <v>Good</v>
      </c>
      <c r="S13300" t="s">
        <v>609</v>
      </c>
    </row>
    <row r="13301" spans="1:19" x14ac:dyDescent="0.2">
      <c r="A13301" t="s">
        <v>13912</v>
      </c>
      <c r="B13301" t="s">
        <v>83</v>
      </c>
      <c r="C13301" t="s">
        <v>617</v>
      </c>
      <c r="D13301">
        <v>1974.9</v>
      </c>
      <c r="E13301" s="37" t="str">
        <f t="shared" si="1035"/>
        <v xml:space="preserve"> </v>
      </c>
      <c r="F13301">
        <v>0.38</v>
      </c>
      <c r="G13301" s="37" t="str">
        <f t="shared" si="1036"/>
        <v>Heavy Discount</v>
      </c>
      <c r="H13301" s="37" t="str">
        <f t="shared" si="1037"/>
        <v>Medium</v>
      </c>
      <c r="I13301">
        <v>1</v>
      </c>
      <c r="J13301" t="str" cm="1">
        <f t="array" ref="J13301">_xlfn.IFS(I13301&lt;=3,"small",I13301&lt;=6,"Medium",I13301&lt;=9,"Large")</f>
        <v>small</v>
      </c>
      <c r="K13301" s="36">
        <v>45191</v>
      </c>
      <c r="L13301" s="36">
        <v>45193</v>
      </c>
      <c r="M13301" t="s">
        <v>612</v>
      </c>
      <c r="N13301" t="s">
        <v>604</v>
      </c>
      <c r="O13301" s="37" t="str">
        <f t="shared" si="1038"/>
        <v>Digital Payment</v>
      </c>
      <c r="P13301">
        <v>210.47</v>
      </c>
      <c r="Q13301" s="37" t="str">
        <f>IF(P13301&gt;500,"High","low")</f>
        <v>low</v>
      </c>
      <c r="R13301" s="37" t="str">
        <f t="shared" si="1039"/>
        <v>AVERAGE</v>
      </c>
      <c r="S13301" t="s">
        <v>609</v>
      </c>
    </row>
    <row r="13302" spans="1:19" x14ac:dyDescent="0.2">
      <c r="A13302" t="s">
        <v>13913</v>
      </c>
      <c r="B13302" t="s">
        <v>90</v>
      </c>
      <c r="C13302" t="s">
        <v>602</v>
      </c>
      <c r="D13302">
        <v>1177.0899999999999</v>
      </c>
      <c r="E13302" s="37" t="str">
        <f t="shared" si="1035"/>
        <v xml:space="preserve"> </v>
      </c>
      <c r="F13302">
        <v>0.01</v>
      </c>
      <c r="G13302" s="37" t="str">
        <f t="shared" si="1036"/>
        <v>Normal Discount</v>
      </c>
      <c r="H13302" s="37" t="str">
        <f t="shared" si="1037"/>
        <v>Low</v>
      </c>
      <c r="I13302">
        <v>9</v>
      </c>
      <c r="J13302" t="str" cm="1">
        <f t="array" ref="J13302">_xlfn.IFS(I13302&lt;=3,"small",I13302&lt;=6,"Medium",I13302&lt;=9,"Large")</f>
        <v>Large</v>
      </c>
      <c r="K13302" s="36">
        <v>45424</v>
      </c>
      <c r="L13302" s="36">
        <v>45429</v>
      </c>
      <c r="M13302" t="s">
        <v>603</v>
      </c>
      <c r="N13302" t="s">
        <v>604</v>
      </c>
      <c r="O13302" s="37" t="str">
        <f t="shared" si="1038"/>
        <v>Digital Payment</v>
      </c>
      <c r="P13302">
        <v>316.67</v>
      </c>
      <c r="Q13302" s="37" t="str">
        <f>IF(P13302&gt;500,"High","low")</f>
        <v>low</v>
      </c>
      <c r="R13302" s="37" t="str">
        <f t="shared" si="1039"/>
        <v>AVERAGE</v>
      </c>
      <c r="S13302" t="s">
        <v>615</v>
      </c>
    </row>
    <row r="13303" spans="1:19" x14ac:dyDescent="0.2">
      <c r="A13303" t="s">
        <v>13914</v>
      </c>
      <c r="B13303" t="s">
        <v>90</v>
      </c>
      <c r="C13303" t="s">
        <v>607</v>
      </c>
      <c r="D13303">
        <v>815.23</v>
      </c>
      <c r="E13303" s="37" t="str">
        <f t="shared" si="1035"/>
        <v xml:space="preserve"> </v>
      </c>
      <c r="F13303">
        <v>0.03</v>
      </c>
      <c r="G13303" s="37" t="str">
        <f t="shared" si="1036"/>
        <v>Normal Discount</v>
      </c>
      <c r="H13303" s="37" t="str">
        <f t="shared" si="1037"/>
        <v>Low</v>
      </c>
      <c r="I13303">
        <v>3</v>
      </c>
      <c r="J13303" t="str" cm="1">
        <f t="array" ref="J13303">_xlfn.IFS(I13303&lt;=3,"small",I13303&lt;=6,"Medium",I13303&lt;=9,"Large")</f>
        <v>small</v>
      </c>
      <c r="K13303" s="36">
        <v>45611</v>
      </c>
      <c r="L13303" s="36">
        <v>45612</v>
      </c>
      <c r="M13303" t="s">
        <v>598</v>
      </c>
      <c r="N13303" t="s">
        <v>604</v>
      </c>
      <c r="O13303" s="37" t="str">
        <f t="shared" si="1038"/>
        <v>Digital Payment</v>
      </c>
      <c r="P13303">
        <v>216.16</v>
      </c>
      <c r="Q13303" s="37" t="str">
        <f>IF(P13303&gt;500,"High","low")</f>
        <v>low</v>
      </c>
      <c r="R13303" s="37" t="str">
        <f t="shared" si="1039"/>
        <v>AVERAGE</v>
      </c>
      <c r="S13303" t="s">
        <v>609</v>
      </c>
    </row>
    <row r="13304" spans="1:19" x14ac:dyDescent="0.2">
      <c r="A13304" t="s">
        <v>13915</v>
      </c>
      <c r="B13304" t="s">
        <v>83</v>
      </c>
      <c r="C13304" t="s">
        <v>617</v>
      </c>
      <c r="D13304">
        <v>3195.37</v>
      </c>
      <c r="E13304" s="37" t="str">
        <f t="shared" si="1035"/>
        <v xml:space="preserve"> </v>
      </c>
      <c r="F13304">
        <v>0.42</v>
      </c>
      <c r="G13304" s="37" t="str">
        <f t="shared" si="1036"/>
        <v>Heavy Discount</v>
      </c>
      <c r="H13304" s="37" t="str">
        <f t="shared" si="1037"/>
        <v>High</v>
      </c>
      <c r="I13304">
        <v>2</v>
      </c>
      <c r="J13304" t="str" cm="1">
        <f t="array" ref="J13304">_xlfn.IFS(I13304&lt;=3,"small",I13304&lt;=6,"Medium",I13304&lt;=9,"Large")</f>
        <v>small</v>
      </c>
      <c r="K13304" s="36">
        <v>45337</v>
      </c>
      <c r="L13304" s="36">
        <v>45342</v>
      </c>
      <c r="M13304" t="s">
        <v>603</v>
      </c>
      <c r="N13304" t="s">
        <v>599</v>
      </c>
      <c r="O13304" s="37" t="str">
        <f t="shared" si="1038"/>
        <v>Digital Payment</v>
      </c>
      <c r="P13304">
        <v>455.44</v>
      </c>
      <c r="Q13304" s="37" t="str">
        <f>IF(P13304&gt;500,"High","low")</f>
        <v>low</v>
      </c>
      <c r="R13304" s="37" t="str">
        <f t="shared" si="1039"/>
        <v>AVERAGE</v>
      </c>
      <c r="S13304" t="s">
        <v>600</v>
      </c>
    </row>
    <row r="13305" spans="1:19" x14ac:dyDescent="0.2">
      <c r="A13305" t="s">
        <v>13916</v>
      </c>
      <c r="B13305" t="s">
        <v>83</v>
      </c>
      <c r="C13305" t="s">
        <v>597</v>
      </c>
      <c r="D13305">
        <v>1700.64</v>
      </c>
      <c r="E13305" s="37" t="str">
        <f t="shared" si="1035"/>
        <v xml:space="preserve"> </v>
      </c>
      <c r="F13305">
        <v>0.28000000000000003</v>
      </c>
      <c r="G13305" s="37" t="str">
        <f t="shared" si="1036"/>
        <v>Normal Discount</v>
      </c>
      <c r="H13305" s="37" t="str">
        <f t="shared" si="1037"/>
        <v>Medium</v>
      </c>
      <c r="I13305">
        <v>6</v>
      </c>
      <c r="J13305" t="str" cm="1">
        <f t="array" ref="J13305">_xlfn.IFS(I13305&lt;=3,"small",I13305&lt;=6,"Medium",I13305&lt;=9,"Large")</f>
        <v>Medium</v>
      </c>
      <c r="K13305" s="36">
        <v>45267</v>
      </c>
      <c r="L13305" s="36">
        <v>45271</v>
      </c>
      <c r="M13305" t="s">
        <v>612</v>
      </c>
      <c r="N13305" t="s">
        <v>604</v>
      </c>
      <c r="O13305" s="37" t="str">
        <f t="shared" si="1038"/>
        <v>Digital Payment</v>
      </c>
      <c r="P13305">
        <v>165.48</v>
      </c>
      <c r="Q13305" s="37" t="str">
        <f>IF(P13305&gt;500,"High","low")</f>
        <v>low</v>
      </c>
      <c r="R13305" s="37" t="str">
        <f t="shared" si="1039"/>
        <v>AVERAGE</v>
      </c>
      <c r="S13305" t="s">
        <v>605</v>
      </c>
    </row>
    <row r="13306" spans="1:19" x14ac:dyDescent="0.2">
      <c r="A13306" t="s">
        <v>13917</v>
      </c>
      <c r="B13306" t="s">
        <v>67</v>
      </c>
      <c r="C13306" t="s">
        <v>617</v>
      </c>
      <c r="D13306">
        <v>1025.0899999999999</v>
      </c>
      <c r="E13306" s="37" t="str">
        <f t="shared" si="1035"/>
        <v xml:space="preserve"> </v>
      </c>
      <c r="F13306">
        <v>0.19</v>
      </c>
      <c r="G13306" s="37" t="str">
        <f t="shared" si="1036"/>
        <v>Normal Discount</v>
      </c>
      <c r="H13306" s="37" t="str">
        <f t="shared" si="1037"/>
        <v>Low</v>
      </c>
      <c r="I13306">
        <v>2</v>
      </c>
      <c r="J13306" t="str" cm="1">
        <f t="array" ref="J13306">_xlfn.IFS(I13306&lt;=3,"small",I13306&lt;=6,"Medium",I13306&lt;=9,"Large")</f>
        <v>small</v>
      </c>
      <c r="K13306" s="36">
        <v>45123</v>
      </c>
      <c r="L13306" s="36">
        <v>45128</v>
      </c>
      <c r="M13306" t="s">
        <v>603</v>
      </c>
      <c r="N13306" t="s">
        <v>599</v>
      </c>
      <c r="O13306" s="37" t="str">
        <f t="shared" si="1038"/>
        <v>Digital Payment</v>
      </c>
      <c r="P13306">
        <v>250.75</v>
      </c>
      <c r="Q13306" s="37" t="str">
        <f>IF(P13306&gt;500,"High","low")</f>
        <v>low</v>
      </c>
      <c r="R13306" s="37" t="str">
        <f t="shared" si="1039"/>
        <v>AVERAGE</v>
      </c>
      <c r="S13306" t="s">
        <v>620</v>
      </c>
    </row>
    <row r="13307" spans="1:19" x14ac:dyDescent="0.2">
      <c r="A13307" t="s">
        <v>13918</v>
      </c>
      <c r="B13307" t="s">
        <v>75</v>
      </c>
      <c r="C13307" t="s">
        <v>597</v>
      </c>
      <c r="D13307">
        <v>1451.5</v>
      </c>
      <c r="E13307" s="37" t="str">
        <f t="shared" si="1035"/>
        <v xml:space="preserve"> </v>
      </c>
      <c r="F13307">
        <v>0.37</v>
      </c>
      <c r="G13307" s="37" t="str">
        <f t="shared" si="1036"/>
        <v>Heavy Discount</v>
      </c>
      <c r="H13307" s="37" t="str">
        <f t="shared" si="1037"/>
        <v>Medium</v>
      </c>
      <c r="I13307">
        <v>5</v>
      </c>
      <c r="J13307" t="str" cm="1">
        <f t="array" ref="J13307">_xlfn.IFS(I13307&lt;=3,"small",I13307&lt;=6,"Medium",I13307&lt;=9,"Large")</f>
        <v>Medium</v>
      </c>
      <c r="K13307" s="36">
        <v>45059</v>
      </c>
      <c r="L13307" s="36">
        <v>45063</v>
      </c>
      <c r="M13307" t="s">
        <v>612</v>
      </c>
      <c r="N13307" t="s">
        <v>599</v>
      </c>
      <c r="O13307" s="37" t="str">
        <f t="shared" si="1038"/>
        <v>Digital Payment</v>
      </c>
      <c r="P13307">
        <v>94.28</v>
      </c>
      <c r="Q13307" s="37" t="str">
        <f>IF(P13307&gt;500,"High","low")</f>
        <v>low</v>
      </c>
      <c r="R13307" s="37" t="str">
        <f t="shared" si="1039"/>
        <v>AVERAGE</v>
      </c>
      <c r="S13307" t="s">
        <v>628</v>
      </c>
    </row>
    <row r="13308" spans="1:19" x14ac:dyDescent="0.2">
      <c r="A13308" t="s">
        <v>13919</v>
      </c>
      <c r="B13308" t="s">
        <v>67</v>
      </c>
      <c r="C13308" t="s">
        <v>602</v>
      </c>
      <c r="D13308">
        <v>1608.62</v>
      </c>
      <c r="E13308" s="37" t="str">
        <f t="shared" si="1035"/>
        <v xml:space="preserve"> </v>
      </c>
      <c r="F13308">
        <v>0.06</v>
      </c>
      <c r="G13308" s="37" t="str">
        <f t="shared" si="1036"/>
        <v>Normal Discount</v>
      </c>
      <c r="H13308" s="37" t="str">
        <f t="shared" si="1037"/>
        <v>Low</v>
      </c>
      <c r="I13308">
        <v>5</v>
      </c>
      <c r="J13308" t="str" cm="1">
        <f t="array" ref="J13308">_xlfn.IFS(I13308&lt;=3,"small",I13308&lt;=6,"Medium",I13308&lt;=9,"Large")</f>
        <v>Medium</v>
      </c>
      <c r="K13308" s="36">
        <v>45197</v>
      </c>
      <c r="L13308" s="36">
        <v>45200</v>
      </c>
      <c r="M13308" t="s">
        <v>603</v>
      </c>
      <c r="N13308" t="s">
        <v>608</v>
      </c>
      <c r="O13308" s="37" t="str">
        <f t="shared" si="1038"/>
        <v>Cash Payment</v>
      </c>
      <c r="P13308">
        <v>252.53</v>
      </c>
      <c r="Q13308" s="37" t="str">
        <f>IF(P13308&gt;500,"High","low")</f>
        <v>low</v>
      </c>
      <c r="R13308" s="37" t="str">
        <f t="shared" si="1039"/>
        <v>AVERAGE</v>
      </c>
      <c r="S13308" t="s">
        <v>609</v>
      </c>
    </row>
    <row r="13309" spans="1:19" x14ac:dyDescent="0.2">
      <c r="A13309" t="s">
        <v>13920</v>
      </c>
      <c r="B13309" t="s">
        <v>83</v>
      </c>
      <c r="C13309" t="s">
        <v>614</v>
      </c>
      <c r="D13309">
        <v>3166.58</v>
      </c>
      <c r="E13309" s="37" t="str">
        <f t="shared" si="1035"/>
        <v xml:space="preserve"> </v>
      </c>
      <c r="F13309">
        <v>0.14000000000000001</v>
      </c>
      <c r="G13309" s="37" t="str">
        <f t="shared" si="1036"/>
        <v>Normal Discount</v>
      </c>
      <c r="H13309" s="37" t="str">
        <f t="shared" si="1037"/>
        <v>Low</v>
      </c>
      <c r="I13309">
        <v>9</v>
      </c>
      <c r="J13309" t="str" cm="1">
        <f t="array" ref="J13309">_xlfn.IFS(I13309&lt;=3,"small",I13309&lt;=6,"Medium",I13309&lt;=9,"Large")</f>
        <v>Large</v>
      </c>
      <c r="K13309" s="36">
        <v>45515</v>
      </c>
      <c r="L13309" s="36">
        <v>45519</v>
      </c>
      <c r="M13309" t="s">
        <v>603</v>
      </c>
      <c r="N13309" t="s">
        <v>608</v>
      </c>
      <c r="O13309" s="37" t="str">
        <f t="shared" si="1038"/>
        <v>Cash Payment</v>
      </c>
      <c r="P13309">
        <v>522.22</v>
      </c>
      <c r="Q13309" s="37" t="str">
        <f>IF(P13309&gt;500,"High","low")</f>
        <v>High</v>
      </c>
      <c r="R13309" s="37" t="str">
        <f t="shared" si="1039"/>
        <v>Good</v>
      </c>
      <c r="S13309" t="s">
        <v>600</v>
      </c>
    </row>
    <row r="13310" spans="1:19" x14ac:dyDescent="0.2">
      <c r="A13310" t="s">
        <v>13921</v>
      </c>
      <c r="B13310" t="s">
        <v>67</v>
      </c>
      <c r="C13310" t="s">
        <v>617</v>
      </c>
      <c r="D13310">
        <v>955.94</v>
      </c>
      <c r="E13310" s="37" t="str">
        <f t="shared" si="1035"/>
        <v xml:space="preserve"> </v>
      </c>
      <c r="F13310">
        <v>0.36</v>
      </c>
      <c r="G13310" s="37" t="str">
        <f t="shared" si="1036"/>
        <v>Heavy Discount</v>
      </c>
      <c r="H13310" s="37" t="str">
        <f t="shared" si="1037"/>
        <v>Medium</v>
      </c>
      <c r="I13310">
        <v>4</v>
      </c>
      <c r="J13310" t="str" cm="1">
        <f t="array" ref="J13310">_xlfn.IFS(I13310&lt;=3,"small",I13310&lt;=6,"Medium",I13310&lt;=9,"Large")</f>
        <v>Medium</v>
      </c>
      <c r="K13310" s="36">
        <v>45535</v>
      </c>
      <c r="L13310" s="36">
        <v>45536</v>
      </c>
      <c r="M13310" t="s">
        <v>612</v>
      </c>
      <c r="N13310" t="s">
        <v>599</v>
      </c>
      <c r="O13310" s="37" t="str">
        <f t="shared" si="1038"/>
        <v>Digital Payment</v>
      </c>
      <c r="P13310">
        <v>198.14</v>
      </c>
      <c r="Q13310" s="37" t="str">
        <f>IF(P13310&gt;500,"High","low")</f>
        <v>low</v>
      </c>
      <c r="R13310" s="37" t="str">
        <f t="shared" si="1039"/>
        <v>AVERAGE</v>
      </c>
      <c r="S13310" t="s">
        <v>600</v>
      </c>
    </row>
    <row r="13311" spans="1:19" x14ac:dyDescent="0.2">
      <c r="A13311" t="s">
        <v>13922</v>
      </c>
      <c r="B13311" t="s">
        <v>67</v>
      </c>
      <c r="C13311" t="s">
        <v>617</v>
      </c>
      <c r="D13311">
        <v>3690.74</v>
      </c>
      <c r="E13311" s="37" t="str">
        <f t="shared" si="1035"/>
        <v xml:space="preserve"> </v>
      </c>
      <c r="F13311">
        <v>0.1</v>
      </c>
      <c r="G13311" s="37" t="str">
        <f t="shared" si="1036"/>
        <v>Normal Discount</v>
      </c>
      <c r="H13311" s="37" t="str">
        <f t="shared" si="1037"/>
        <v>Low</v>
      </c>
      <c r="I13311">
        <v>8</v>
      </c>
      <c r="J13311" t="str" cm="1">
        <f t="array" ref="J13311">_xlfn.IFS(I13311&lt;=3,"small",I13311&lt;=6,"Medium",I13311&lt;=9,"Large")</f>
        <v>Large</v>
      </c>
      <c r="K13311" s="36">
        <v>45610</v>
      </c>
      <c r="L13311" s="36">
        <v>45617</v>
      </c>
      <c r="M13311" t="s">
        <v>603</v>
      </c>
      <c r="N13311" t="s">
        <v>599</v>
      </c>
      <c r="O13311" s="37" t="str">
        <f t="shared" si="1038"/>
        <v>Digital Payment</v>
      </c>
      <c r="P13311">
        <v>434.95</v>
      </c>
      <c r="Q13311" s="37" t="str">
        <f>IF(P13311&gt;500,"High","low")</f>
        <v>low</v>
      </c>
      <c r="R13311" s="37" t="str">
        <f t="shared" si="1039"/>
        <v>AVERAGE</v>
      </c>
      <c r="S13311" t="s">
        <v>615</v>
      </c>
    </row>
    <row r="13312" spans="1:19" x14ac:dyDescent="0.2">
      <c r="A13312" t="s">
        <v>13923</v>
      </c>
      <c r="B13312" t="s">
        <v>83</v>
      </c>
      <c r="C13312" t="s">
        <v>607</v>
      </c>
      <c r="D13312">
        <v>1593.92</v>
      </c>
      <c r="E13312" s="37" t="str">
        <f t="shared" si="1035"/>
        <v xml:space="preserve"> </v>
      </c>
      <c r="F13312">
        <v>0.3</v>
      </c>
      <c r="G13312" s="37" t="str">
        <f t="shared" si="1036"/>
        <v>Normal Discount</v>
      </c>
      <c r="H13312" s="37" t="str">
        <f t="shared" si="1037"/>
        <v>Medium</v>
      </c>
      <c r="I13312">
        <v>7</v>
      </c>
      <c r="J13312" t="str" cm="1">
        <f t="array" ref="J13312">_xlfn.IFS(I13312&lt;=3,"small",I13312&lt;=6,"Medium",I13312&lt;=9,"Large")</f>
        <v>Large</v>
      </c>
      <c r="K13312" s="36">
        <v>45305</v>
      </c>
      <c r="L13312" s="36">
        <v>45312</v>
      </c>
      <c r="M13312" t="s">
        <v>612</v>
      </c>
      <c r="N13312" t="s">
        <v>599</v>
      </c>
      <c r="O13312" s="37" t="str">
        <f t="shared" si="1038"/>
        <v>Digital Payment</v>
      </c>
      <c r="P13312">
        <v>221.1</v>
      </c>
      <c r="Q13312" s="37" t="str">
        <f>IF(P13312&gt;500,"High","low")</f>
        <v>low</v>
      </c>
      <c r="R13312" s="37" t="str">
        <f t="shared" si="1039"/>
        <v>AVERAGE</v>
      </c>
      <c r="S13312" t="s">
        <v>628</v>
      </c>
    </row>
    <row r="13313" spans="1:19" x14ac:dyDescent="0.2">
      <c r="A13313" t="s">
        <v>13924</v>
      </c>
      <c r="B13313" t="s">
        <v>90</v>
      </c>
      <c r="C13313" t="s">
        <v>607</v>
      </c>
      <c r="D13313">
        <v>2492.7199999999998</v>
      </c>
      <c r="E13313" s="37" t="str">
        <f t="shared" si="1035"/>
        <v xml:space="preserve"> </v>
      </c>
      <c r="F13313">
        <v>0.22</v>
      </c>
      <c r="G13313" s="37" t="str">
        <f t="shared" si="1036"/>
        <v>Normal Discount</v>
      </c>
      <c r="H13313" s="37" t="str">
        <f t="shared" si="1037"/>
        <v>Medium</v>
      </c>
      <c r="I13313">
        <v>7</v>
      </c>
      <c r="J13313" t="str" cm="1">
        <f t="array" ref="J13313">_xlfn.IFS(I13313&lt;=3,"small",I13313&lt;=6,"Medium",I13313&lt;=9,"Large")</f>
        <v>Large</v>
      </c>
      <c r="K13313" s="36">
        <v>45470</v>
      </c>
      <c r="L13313" s="36">
        <v>45473</v>
      </c>
      <c r="M13313" t="s">
        <v>598</v>
      </c>
      <c r="N13313" t="s">
        <v>604</v>
      </c>
      <c r="O13313" s="37" t="str">
        <f t="shared" si="1038"/>
        <v>Digital Payment</v>
      </c>
      <c r="P13313">
        <v>718.75</v>
      </c>
      <c r="Q13313" s="37" t="str">
        <f>IF(P13313&gt;500,"High","low")</f>
        <v>High</v>
      </c>
      <c r="R13313" s="37" t="str">
        <f t="shared" si="1039"/>
        <v>Good</v>
      </c>
      <c r="S13313" t="s">
        <v>620</v>
      </c>
    </row>
    <row r="13314" spans="1:19" x14ac:dyDescent="0.2">
      <c r="A13314" t="s">
        <v>13925</v>
      </c>
      <c r="B13314" t="s">
        <v>83</v>
      </c>
      <c r="C13314" t="s">
        <v>597</v>
      </c>
      <c r="D13314">
        <v>3308.71</v>
      </c>
      <c r="E13314" s="37" t="str">
        <f t="shared" si="1035"/>
        <v xml:space="preserve"> </v>
      </c>
      <c r="F13314">
        <v>0.1</v>
      </c>
      <c r="G13314" s="37" t="str">
        <f t="shared" si="1036"/>
        <v>Normal Discount</v>
      </c>
      <c r="H13314" s="37" t="str">
        <f t="shared" si="1037"/>
        <v>Low</v>
      </c>
      <c r="I13314">
        <v>1</v>
      </c>
      <c r="J13314" t="str" cm="1">
        <f t="array" ref="J13314">_xlfn.IFS(I13314&lt;=3,"small",I13314&lt;=6,"Medium",I13314&lt;=9,"Large")</f>
        <v>small</v>
      </c>
      <c r="K13314" s="36">
        <v>44962</v>
      </c>
      <c r="L13314" s="36">
        <v>44969</v>
      </c>
      <c r="M13314" t="s">
        <v>598</v>
      </c>
      <c r="N13314" t="s">
        <v>599</v>
      </c>
      <c r="O13314" s="37" t="str">
        <f t="shared" si="1038"/>
        <v>Digital Payment</v>
      </c>
      <c r="P13314">
        <v>887.52</v>
      </c>
      <c r="Q13314" s="37" t="str">
        <f>IF(P13314&gt;500,"High","low")</f>
        <v>High</v>
      </c>
      <c r="R13314" s="37" t="str">
        <f t="shared" si="1039"/>
        <v>Good</v>
      </c>
      <c r="S13314" t="s">
        <v>609</v>
      </c>
    </row>
    <row r="13315" spans="1:19" x14ac:dyDescent="0.2">
      <c r="A13315" t="s">
        <v>13926</v>
      </c>
      <c r="B13315" t="s">
        <v>90</v>
      </c>
      <c r="C13315" t="s">
        <v>614</v>
      </c>
      <c r="D13315">
        <v>2763.74</v>
      </c>
      <c r="E13315" s="37" t="str">
        <f t="shared" ref="E13315:E13378" si="1040">IF(AND(D13315&gt;4000,P13315&gt;800),"Excellent Order"," ")</f>
        <v xml:space="preserve"> </v>
      </c>
      <c r="F13315">
        <v>0.44</v>
      </c>
      <c r="G13315" s="37" t="str">
        <f t="shared" ref="G13315:G13378" si="1041">IF(F13315&gt;30%,"Heavy Discount","Normal Discount")</f>
        <v>Heavy Discount</v>
      </c>
      <c r="H13315" s="37" t="str">
        <f t="shared" ref="H13315:H13378" si="1042">IF(F13315&gt;0.4,"High",IF(F13315&gt;=0.2,"Medium","Low"))</f>
        <v>High</v>
      </c>
      <c r="I13315">
        <v>6</v>
      </c>
      <c r="J13315" t="str" cm="1">
        <f t="array" ref="J13315">_xlfn.IFS(I13315&lt;=3,"small",I13315&lt;=6,"Medium",I13315&lt;=9,"Large")</f>
        <v>Medium</v>
      </c>
      <c r="K13315" s="36">
        <v>45615</v>
      </c>
      <c r="L13315" s="36">
        <v>45622</v>
      </c>
      <c r="M13315" t="s">
        <v>598</v>
      </c>
      <c r="N13315" t="s">
        <v>608</v>
      </c>
      <c r="O13315" s="37" t="str">
        <f t="shared" ref="O13315:O13378" si="1043">IF(OR(N13315="Card",N13315="UPI"),"Digital Payment","Cash Payment")</f>
        <v>Cash Payment</v>
      </c>
      <c r="P13315">
        <v>401.99</v>
      </c>
      <c r="Q13315" s="37" t="str">
        <f>IF(P13315&gt;500,"High","low")</f>
        <v>low</v>
      </c>
      <c r="R13315" s="37" t="str">
        <f t="shared" ref="R13315:R13378" si="1044">IF(P13315&gt;1000,"Excellent",IF(P13315&gt;=500,"Good","AVERAGE"))</f>
        <v>AVERAGE</v>
      </c>
      <c r="S13315" t="s">
        <v>609</v>
      </c>
    </row>
    <row r="13316" spans="1:19" x14ac:dyDescent="0.2">
      <c r="A13316" t="s">
        <v>13927</v>
      </c>
      <c r="B13316" t="s">
        <v>83</v>
      </c>
      <c r="C13316" t="s">
        <v>607</v>
      </c>
      <c r="D13316">
        <v>3344.94</v>
      </c>
      <c r="E13316" s="37" t="str">
        <f t="shared" si="1040"/>
        <v xml:space="preserve"> </v>
      </c>
      <c r="F13316">
        <v>0.22</v>
      </c>
      <c r="G13316" s="37" t="str">
        <f t="shared" si="1041"/>
        <v>Normal Discount</v>
      </c>
      <c r="H13316" s="37" t="str">
        <f t="shared" si="1042"/>
        <v>Medium</v>
      </c>
      <c r="I13316">
        <v>6</v>
      </c>
      <c r="J13316" t="str" cm="1">
        <f t="array" ref="J13316">_xlfn.IFS(I13316&lt;=3,"small",I13316&lt;=6,"Medium",I13316&lt;=9,"Large")</f>
        <v>Medium</v>
      </c>
      <c r="K13316" s="36">
        <v>45363</v>
      </c>
      <c r="L13316" s="36">
        <v>45364</v>
      </c>
      <c r="M13316" t="s">
        <v>598</v>
      </c>
      <c r="N13316" t="s">
        <v>599</v>
      </c>
      <c r="O13316" s="37" t="str">
        <f t="shared" si="1043"/>
        <v>Digital Payment</v>
      </c>
      <c r="P13316">
        <v>975.81</v>
      </c>
      <c r="Q13316" s="37" t="str">
        <f>IF(P13316&gt;500,"High","low")</f>
        <v>High</v>
      </c>
      <c r="R13316" s="37" t="str">
        <f t="shared" si="1044"/>
        <v>Good</v>
      </c>
      <c r="S13316" t="s">
        <v>615</v>
      </c>
    </row>
    <row r="13317" spans="1:19" x14ac:dyDescent="0.2">
      <c r="A13317" t="s">
        <v>13928</v>
      </c>
      <c r="B13317" t="s">
        <v>83</v>
      </c>
      <c r="C13317" t="s">
        <v>607</v>
      </c>
      <c r="D13317">
        <v>1680.72</v>
      </c>
      <c r="E13317" s="37" t="str">
        <f t="shared" si="1040"/>
        <v xml:space="preserve"> </v>
      </c>
      <c r="F13317">
        <v>0.3</v>
      </c>
      <c r="G13317" s="37" t="str">
        <f t="shared" si="1041"/>
        <v>Normal Discount</v>
      </c>
      <c r="H13317" s="37" t="str">
        <f t="shared" si="1042"/>
        <v>Medium</v>
      </c>
      <c r="I13317">
        <v>8</v>
      </c>
      <c r="J13317" t="str" cm="1">
        <f t="array" ref="J13317">_xlfn.IFS(I13317&lt;=3,"small",I13317&lt;=6,"Medium",I13317&lt;=9,"Large")</f>
        <v>Large</v>
      </c>
      <c r="K13317" s="36">
        <v>45333</v>
      </c>
      <c r="L13317" s="36">
        <v>45340</v>
      </c>
      <c r="M13317" t="s">
        <v>598</v>
      </c>
      <c r="N13317" t="s">
        <v>599</v>
      </c>
      <c r="O13317" s="37" t="str">
        <f t="shared" si="1043"/>
        <v>Digital Payment</v>
      </c>
      <c r="P13317">
        <v>110.18</v>
      </c>
      <c r="Q13317" s="37" t="str">
        <f>IF(P13317&gt;500,"High","low")</f>
        <v>low</v>
      </c>
      <c r="R13317" s="37" t="str">
        <f t="shared" si="1044"/>
        <v>AVERAGE</v>
      </c>
      <c r="S13317" t="s">
        <v>600</v>
      </c>
    </row>
    <row r="13318" spans="1:19" x14ac:dyDescent="0.2">
      <c r="A13318" t="s">
        <v>13929</v>
      </c>
      <c r="B13318" t="s">
        <v>83</v>
      </c>
      <c r="C13318" t="s">
        <v>602</v>
      </c>
      <c r="D13318">
        <v>4820.8999999999996</v>
      </c>
      <c r="E13318" s="37" t="str">
        <f t="shared" si="1040"/>
        <v xml:space="preserve"> </v>
      </c>
      <c r="F13318">
        <v>0.13</v>
      </c>
      <c r="G13318" s="37" t="str">
        <f t="shared" si="1041"/>
        <v>Normal Discount</v>
      </c>
      <c r="H13318" s="37" t="str">
        <f t="shared" si="1042"/>
        <v>Low</v>
      </c>
      <c r="I13318">
        <v>6</v>
      </c>
      <c r="J13318" t="str" cm="1">
        <f t="array" ref="J13318">_xlfn.IFS(I13318&lt;=3,"small",I13318&lt;=6,"Medium",I13318&lt;=9,"Large")</f>
        <v>Medium</v>
      </c>
      <c r="K13318" s="36">
        <v>45072</v>
      </c>
      <c r="L13318" s="36">
        <v>45076</v>
      </c>
      <c r="M13318" t="s">
        <v>603</v>
      </c>
      <c r="N13318" t="s">
        <v>608</v>
      </c>
      <c r="O13318" s="37" t="str">
        <f t="shared" si="1043"/>
        <v>Cash Payment</v>
      </c>
      <c r="P13318">
        <v>607.75</v>
      </c>
      <c r="Q13318" s="37" t="str">
        <f>IF(P13318&gt;500,"High","low")</f>
        <v>High</v>
      </c>
      <c r="R13318" s="37" t="str">
        <f t="shared" si="1044"/>
        <v>Good</v>
      </c>
      <c r="S13318" t="s">
        <v>628</v>
      </c>
    </row>
    <row r="13319" spans="1:19" x14ac:dyDescent="0.2">
      <c r="A13319" t="s">
        <v>13930</v>
      </c>
      <c r="B13319" t="s">
        <v>75</v>
      </c>
      <c r="C13319" t="s">
        <v>602</v>
      </c>
      <c r="D13319">
        <v>2349.0500000000002</v>
      </c>
      <c r="E13319" s="37" t="str">
        <f t="shared" si="1040"/>
        <v xml:space="preserve"> </v>
      </c>
      <c r="F13319">
        <v>0.17</v>
      </c>
      <c r="G13319" s="37" t="str">
        <f t="shared" si="1041"/>
        <v>Normal Discount</v>
      </c>
      <c r="H13319" s="37" t="str">
        <f t="shared" si="1042"/>
        <v>Low</v>
      </c>
      <c r="I13319">
        <v>8</v>
      </c>
      <c r="J13319" t="str" cm="1">
        <f t="array" ref="J13319">_xlfn.IFS(I13319&lt;=3,"small",I13319&lt;=6,"Medium",I13319&lt;=9,"Large")</f>
        <v>Large</v>
      </c>
      <c r="K13319" s="36">
        <v>45322</v>
      </c>
      <c r="L13319" s="36">
        <v>45325</v>
      </c>
      <c r="M13319" t="s">
        <v>598</v>
      </c>
      <c r="N13319" t="s">
        <v>604</v>
      </c>
      <c r="O13319" s="37" t="str">
        <f t="shared" si="1043"/>
        <v>Digital Payment</v>
      </c>
      <c r="P13319">
        <v>534.79999999999995</v>
      </c>
      <c r="Q13319" s="37" t="str">
        <f>IF(P13319&gt;500,"High","low")</f>
        <v>High</v>
      </c>
      <c r="R13319" s="37" t="str">
        <f t="shared" si="1044"/>
        <v>Good</v>
      </c>
      <c r="S13319" t="s">
        <v>620</v>
      </c>
    </row>
    <row r="13320" spans="1:19" x14ac:dyDescent="0.2">
      <c r="A13320" t="s">
        <v>13931</v>
      </c>
      <c r="B13320" t="s">
        <v>90</v>
      </c>
      <c r="C13320" t="s">
        <v>607</v>
      </c>
      <c r="D13320">
        <v>1677.47</v>
      </c>
      <c r="E13320" s="37" t="str">
        <f t="shared" si="1040"/>
        <v xml:space="preserve"> </v>
      </c>
      <c r="F13320">
        <v>0.02</v>
      </c>
      <c r="G13320" s="37" t="str">
        <f t="shared" si="1041"/>
        <v>Normal Discount</v>
      </c>
      <c r="H13320" s="37" t="str">
        <f t="shared" si="1042"/>
        <v>Low</v>
      </c>
      <c r="I13320">
        <v>6</v>
      </c>
      <c r="J13320" t="str" cm="1">
        <f t="array" ref="J13320">_xlfn.IFS(I13320&lt;=3,"small",I13320&lt;=6,"Medium",I13320&lt;=9,"Large")</f>
        <v>Medium</v>
      </c>
      <c r="K13320" s="36">
        <v>45308</v>
      </c>
      <c r="L13320" s="36">
        <v>45312</v>
      </c>
      <c r="M13320" t="s">
        <v>598</v>
      </c>
      <c r="N13320" t="s">
        <v>599</v>
      </c>
      <c r="O13320" s="37" t="str">
        <f t="shared" si="1043"/>
        <v>Digital Payment</v>
      </c>
      <c r="P13320">
        <v>335.61</v>
      </c>
      <c r="Q13320" s="37" t="str">
        <f>IF(P13320&gt;500,"High","low")</f>
        <v>low</v>
      </c>
      <c r="R13320" s="37" t="str">
        <f t="shared" si="1044"/>
        <v>AVERAGE</v>
      </c>
      <c r="S13320" t="s">
        <v>600</v>
      </c>
    </row>
    <row r="13321" spans="1:19" x14ac:dyDescent="0.2">
      <c r="A13321" t="s">
        <v>13932</v>
      </c>
      <c r="B13321" t="s">
        <v>75</v>
      </c>
      <c r="C13321" t="s">
        <v>597</v>
      </c>
      <c r="D13321">
        <v>1552.33</v>
      </c>
      <c r="E13321" s="37" t="str">
        <f t="shared" si="1040"/>
        <v xml:space="preserve"> </v>
      </c>
      <c r="F13321">
        <v>0.24</v>
      </c>
      <c r="G13321" s="37" t="str">
        <f t="shared" si="1041"/>
        <v>Normal Discount</v>
      </c>
      <c r="H13321" s="37" t="str">
        <f t="shared" si="1042"/>
        <v>Medium</v>
      </c>
      <c r="I13321">
        <v>8</v>
      </c>
      <c r="J13321" t="str" cm="1">
        <f t="array" ref="J13321">_xlfn.IFS(I13321&lt;=3,"small",I13321&lt;=6,"Medium",I13321&lt;=9,"Large")</f>
        <v>Large</v>
      </c>
      <c r="K13321" s="36">
        <v>45056</v>
      </c>
      <c r="L13321" s="36">
        <v>45058</v>
      </c>
      <c r="M13321" t="s">
        <v>603</v>
      </c>
      <c r="N13321" t="s">
        <v>608</v>
      </c>
      <c r="O13321" s="37" t="str">
        <f t="shared" si="1043"/>
        <v>Cash Payment</v>
      </c>
      <c r="P13321">
        <v>281.49</v>
      </c>
      <c r="Q13321" s="37" t="str">
        <f>IF(P13321&gt;500,"High","low")</f>
        <v>low</v>
      </c>
      <c r="R13321" s="37" t="str">
        <f t="shared" si="1044"/>
        <v>AVERAGE</v>
      </c>
      <c r="S13321" t="s">
        <v>620</v>
      </c>
    </row>
    <row r="13322" spans="1:19" x14ac:dyDescent="0.2">
      <c r="A13322" t="s">
        <v>13933</v>
      </c>
      <c r="B13322" t="s">
        <v>83</v>
      </c>
      <c r="C13322" t="s">
        <v>614</v>
      </c>
      <c r="D13322">
        <v>309.20999999999998</v>
      </c>
      <c r="E13322" s="37" t="str">
        <f t="shared" si="1040"/>
        <v xml:space="preserve"> </v>
      </c>
      <c r="F13322">
        <v>0.17</v>
      </c>
      <c r="G13322" s="37" t="str">
        <f t="shared" si="1041"/>
        <v>Normal Discount</v>
      </c>
      <c r="H13322" s="37" t="str">
        <f t="shared" si="1042"/>
        <v>Low</v>
      </c>
      <c r="I13322">
        <v>5</v>
      </c>
      <c r="J13322" t="str" cm="1">
        <f t="array" ref="J13322">_xlfn.IFS(I13322&lt;=3,"small",I13322&lt;=6,"Medium",I13322&lt;=9,"Large")</f>
        <v>Medium</v>
      </c>
      <c r="K13322" s="36">
        <v>45162</v>
      </c>
      <c r="L13322" s="36">
        <v>45163</v>
      </c>
      <c r="M13322" t="s">
        <v>598</v>
      </c>
      <c r="N13322" t="s">
        <v>604</v>
      </c>
      <c r="O13322" s="37" t="str">
        <f t="shared" si="1043"/>
        <v>Digital Payment</v>
      </c>
      <c r="P13322">
        <v>75</v>
      </c>
      <c r="Q13322" s="37" t="str">
        <f>IF(P13322&gt;500,"High","low")</f>
        <v>low</v>
      </c>
      <c r="R13322" s="37" t="str">
        <f t="shared" si="1044"/>
        <v>AVERAGE</v>
      </c>
      <c r="S13322" t="s">
        <v>620</v>
      </c>
    </row>
    <row r="13323" spans="1:19" x14ac:dyDescent="0.2">
      <c r="A13323" t="s">
        <v>13934</v>
      </c>
      <c r="B13323" t="s">
        <v>67</v>
      </c>
      <c r="C13323" t="s">
        <v>607</v>
      </c>
      <c r="D13323">
        <v>3455.55</v>
      </c>
      <c r="E13323" s="37" t="str">
        <f t="shared" si="1040"/>
        <v xml:space="preserve"> </v>
      </c>
      <c r="F13323">
        <v>0.16</v>
      </c>
      <c r="G13323" s="37" t="str">
        <f t="shared" si="1041"/>
        <v>Normal Discount</v>
      </c>
      <c r="H13323" s="37" t="str">
        <f t="shared" si="1042"/>
        <v>Low</v>
      </c>
      <c r="I13323">
        <v>9</v>
      </c>
      <c r="J13323" t="str" cm="1">
        <f t="array" ref="J13323">_xlfn.IFS(I13323&lt;=3,"small",I13323&lt;=6,"Medium",I13323&lt;=9,"Large")</f>
        <v>Large</v>
      </c>
      <c r="K13323" s="36">
        <v>45593</v>
      </c>
      <c r="L13323" s="36">
        <v>45595</v>
      </c>
      <c r="M13323" t="s">
        <v>598</v>
      </c>
      <c r="N13323" t="s">
        <v>604</v>
      </c>
      <c r="O13323" s="37" t="str">
        <f t="shared" si="1043"/>
        <v>Digital Payment</v>
      </c>
      <c r="P13323">
        <v>1017.11</v>
      </c>
      <c r="Q13323" s="37" t="str">
        <f>IF(P13323&gt;500,"High","low")</f>
        <v>High</v>
      </c>
      <c r="R13323" s="37" t="str">
        <f t="shared" si="1044"/>
        <v>Excellent</v>
      </c>
      <c r="S13323" t="s">
        <v>628</v>
      </c>
    </row>
    <row r="13324" spans="1:19" x14ac:dyDescent="0.2">
      <c r="A13324" t="s">
        <v>13935</v>
      </c>
      <c r="B13324" t="s">
        <v>75</v>
      </c>
      <c r="C13324" t="s">
        <v>597</v>
      </c>
      <c r="D13324">
        <v>1386.32</v>
      </c>
      <c r="E13324" s="37" t="str">
        <f t="shared" si="1040"/>
        <v xml:space="preserve"> </v>
      </c>
      <c r="F13324">
        <v>0.44</v>
      </c>
      <c r="G13324" s="37" t="str">
        <f t="shared" si="1041"/>
        <v>Heavy Discount</v>
      </c>
      <c r="H13324" s="37" t="str">
        <f t="shared" si="1042"/>
        <v>High</v>
      </c>
      <c r="I13324">
        <v>4</v>
      </c>
      <c r="J13324" t="str" cm="1">
        <f t="array" ref="J13324">_xlfn.IFS(I13324&lt;=3,"small",I13324&lt;=6,"Medium",I13324&lt;=9,"Large")</f>
        <v>Medium</v>
      </c>
      <c r="K13324" s="36">
        <v>45104</v>
      </c>
      <c r="L13324" s="36">
        <v>45105</v>
      </c>
      <c r="M13324" t="s">
        <v>603</v>
      </c>
      <c r="N13324" t="s">
        <v>608</v>
      </c>
      <c r="O13324" s="37" t="str">
        <f t="shared" si="1043"/>
        <v>Cash Payment</v>
      </c>
      <c r="P13324">
        <v>310.91000000000003</v>
      </c>
      <c r="Q13324" s="37" t="str">
        <f>IF(P13324&gt;500,"High","low")</f>
        <v>low</v>
      </c>
      <c r="R13324" s="37" t="str">
        <f t="shared" si="1044"/>
        <v>AVERAGE</v>
      </c>
      <c r="S13324" t="s">
        <v>605</v>
      </c>
    </row>
    <row r="13325" spans="1:19" x14ac:dyDescent="0.2">
      <c r="A13325" t="s">
        <v>13936</v>
      </c>
      <c r="B13325" t="s">
        <v>90</v>
      </c>
      <c r="C13325" t="s">
        <v>597</v>
      </c>
      <c r="D13325">
        <v>4798.76</v>
      </c>
      <c r="E13325" s="37" t="str">
        <f t="shared" si="1040"/>
        <v xml:space="preserve"> </v>
      </c>
      <c r="F13325">
        <v>0.35</v>
      </c>
      <c r="G13325" s="37" t="str">
        <f t="shared" si="1041"/>
        <v>Heavy Discount</v>
      </c>
      <c r="H13325" s="37" t="str">
        <f t="shared" si="1042"/>
        <v>Medium</v>
      </c>
      <c r="I13325">
        <v>6</v>
      </c>
      <c r="J13325" t="str" cm="1">
        <f t="array" ref="J13325">_xlfn.IFS(I13325&lt;=3,"small",I13325&lt;=6,"Medium",I13325&lt;=9,"Large")</f>
        <v>Medium</v>
      </c>
      <c r="K13325" s="36">
        <v>45341</v>
      </c>
      <c r="L13325" s="36">
        <v>45342</v>
      </c>
      <c r="M13325" t="s">
        <v>603</v>
      </c>
      <c r="N13325" t="s">
        <v>608</v>
      </c>
      <c r="O13325" s="37" t="str">
        <f t="shared" si="1043"/>
        <v>Cash Payment</v>
      </c>
      <c r="P13325">
        <v>759.06</v>
      </c>
      <c r="Q13325" s="37" t="str">
        <f>IF(P13325&gt;500,"High","low")</f>
        <v>High</v>
      </c>
      <c r="R13325" s="37" t="str">
        <f t="shared" si="1044"/>
        <v>Good</v>
      </c>
      <c r="S13325" t="s">
        <v>605</v>
      </c>
    </row>
    <row r="13326" spans="1:19" x14ac:dyDescent="0.2">
      <c r="A13326" t="s">
        <v>13937</v>
      </c>
      <c r="B13326" t="s">
        <v>83</v>
      </c>
      <c r="C13326" t="s">
        <v>607</v>
      </c>
      <c r="D13326">
        <v>1131.18</v>
      </c>
      <c r="E13326" s="37" t="str">
        <f t="shared" si="1040"/>
        <v xml:space="preserve"> </v>
      </c>
      <c r="F13326">
        <v>0.23</v>
      </c>
      <c r="G13326" s="37" t="str">
        <f t="shared" si="1041"/>
        <v>Normal Discount</v>
      </c>
      <c r="H13326" s="37" t="str">
        <f t="shared" si="1042"/>
        <v>Medium</v>
      </c>
      <c r="I13326">
        <v>2</v>
      </c>
      <c r="J13326" t="str" cm="1">
        <f t="array" ref="J13326">_xlfn.IFS(I13326&lt;=3,"small",I13326&lt;=6,"Medium",I13326&lt;=9,"Large")</f>
        <v>small</v>
      </c>
      <c r="K13326" s="36">
        <v>45358</v>
      </c>
      <c r="L13326" s="36">
        <v>45361</v>
      </c>
      <c r="M13326" t="s">
        <v>612</v>
      </c>
      <c r="N13326" t="s">
        <v>599</v>
      </c>
      <c r="O13326" s="37" t="str">
        <f t="shared" si="1043"/>
        <v>Digital Payment</v>
      </c>
      <c r="P13326">
        <v>249.71</v>
      </c>
      <c r="Q13326" s="37" t="str">
        <f>IF(P13326&gt;500,"High","low")</f>
        <v>low</v>
      </c>
      <c r="R13326" s="37" t="str">
        <f t="shared" si="1044"/>
        <v>AVERAGE</v>
      </c>
      <c r="S13326" t="s">
        <v>600</v>
      </c>
    </row>
    <row r="13327" spans="1:19" x14ac:dyDescent="0.2">
      <c r="A13327" t="s">
        <v>13938</v>
      </c>
      <c r="B13327" t="s">
        <v>75</v>
      </c>
      <c r="C13327" t="s">
        <v>597</v>
      </c>
      <c r="D13327">
        <v>2694.51</v>
      </c>
      <c r="E13327" s="37" t="str">
        <f t="shared" si="1040"/>
        <v xml:space="preserve"> </v>
      </c>
      <c r="F13327">
        <v>0.1</v>
      </c>
      <c r="G13327" s="37" t="str">
        <f t="shared" si="1041"/>
        <v>Normal Discount</v>
      </c>
      <c r="H13327" s="37" t="str">
        <f t="shared" si="1042"/>
        <v>Low</v>
      </c>
      <c r="I13327">
        <v>3</v>
      </c>
      <c r="J13327" t="str" cm="1">
        <f t="array" ref="J13327">_xlfn.IFS(I13327&lt;=3,"small",I13327&lt;=6,"Medium",I13327&lt;=9,"Large")</f>
        <v>small</v>
      </c>
      <c r="K13327" s="36">
        <v>44995</v>
      </c>
      <c r="L13327" s="36">
        <v>45001</v>
      </c>
      <c r="M13327" t="s">
        <v>612</v>
      </c>
      <c r="N13327" t="s">
        <v>608</v>
      </c>
      <c r="O13327" s="37" t="str">
        <f t="shared" si="1043"/>
        <v>Cash Payment</v>
      </c>
      <c r="P13327">
        <v>490.71</v>
      </c>
      <c r="Q13327" s="37" t="str">
        <f>IF(P13327&gt;500,"High","low")</f>
        <v>low</v>
      </c>
      <c r="R13327" s="37" t="str">
        <f t="shared" si="1044"/>
        <v>AVERAGE</v>
      </c>
      <c r="S13327" t="s">
        <v>628</v>
      </c>
    </row>
    <row r="13328" spans="1:19" x14ac:dyDescent="0.2">
      <c r="A13328" t="s">
        <v>13939</v>
      </c>
      <c r="B13328" t="s">
        <v>67</v>
      </c>
      <c r="C13328" t="s">
        <v>617</v>
      </c>
      <c r="D13328">
        <v>3703.81</v>
      </c>
      <c r="E13328" s="37" t="str">
        <f t="shared" si="1040"/>
        <v xml:space="preserve"> </v>
      </c>
      <c r="F13328">
        <v>0.49</v>
      </c>
      <c r="G13328" s="37" t="str">
        <f t="shared" si="1041"/>
        <v>Heavy Discount</v>
      </c>
      <c r="H13328" s="37" t="str">
        <f t="shared" si="1042"/>
        <v>High</v>
      </c>
      <c r="I13328">
        <v>4</v>
      </c>
      <c r="J13328" t="str" cm="1">
        <f t="array" ref="J13328">_xlfn.IFS(I13328&lt;=3,"small",I13328&lt;=6,"Medium",I13328&lt;=9,"Large")</f>
        <v>Medium</v>
      </c>
      <c r="K13328" s="36">
        <v>45071</v>
      </c>
      <c r="L13328" s="36">
        <v>45073</v>
      </c>
      <c r="M13328" t="s">
        <v>612</v>
      </c>
      <c r="N13328" t="s">
        <v>608</v>
      </c>
      <c r="O13328" s="37" t="str">
        <f t="shared" si="1043"/>
        <v>Cash Payment</v>
      </c>
      <c r="P13328">
        <v>771.03</v>
      </c>
      <c r="Q13328" s="37" t="str">
        <f>IF(P13328&gt;500,"High","low")</f>
        <v>High</v>
      </c>
      <c r="R13328" s="37" t="str">
        <f t="shared" si="1044"/>
        <v>Good</v>
      </c>
      <c r="S13328" t="s">
        <v>615</v>
      </c>
    </row>
    <row r="13329" spans="1:19" x14ac:dyDescent="0.2">
      <c r="A13329" t="s">
        <v>13940</v>
      </c>
      <c r="B13329" t="s">
        <v>75</v>
      </c>
      <c r="C13329" t="s">
        <v>597</v>
      </c>
      <c r="D13329">
        <v>4363.5600000000004</v>
      </c>
      <c r="E13329" s="37" t="str">
        <f t="shared" si="1040"/>
        <v>Excellent Order</v>
      </c>
      <c r="F13329">
        <v>0.04</v>
      </c>
      <c r="G13329" s="37" t="str">
        <f t="shared" si="1041"/>
        <v>Normal Discount</v>
      </c>
      <c r="H13329" s="37" t="str">
        <f t="shared" si="1042"/>
        <v>Low</v>
      </c>
      <c r="I13329">
        <v>3</v>
      </c>
      <c r="J13329" t="str" cm="1">
        <f t="array" ref="J13329">_xlfn.IFS(I13329&lt;=3,"small",I13329&lt;=6,"Medium",I13329&lt;=9,"Large")</f>
        <v>small</v>
      </c>
      <c r="K13329" s="36">
        <v>44969</v>
      </c>
      <c r="L13329" s="36">
        <v>44973</v>
      </c>
      <c r="M13329" t="s">
        <v>603</v>
      </c>
      <c r="N13329" t="s">
        <v>604</v>
      </c>
      <c r="O13329" s="37" t="str">
        <f t="shared" si="1043"/>
        <v>Digital Payment</v>
      </c>
      <c r="P13329">
        <v>951.93</v>
      </c>
      <c r="Q13329" s="37" t="str">
        <f>IF(P13329&gt;500,"High","low")</f>
        <v>High</v>
      </c>
      <c r="R13329" s="37" t="str">
        <f t="shared" si="1044"/>
        <v>Good</v>
      </c>
      <c r="S13329" t="s">
        <v>615</v>
      </c>
    </row>
    <row r="13330" spans="1:19" x14ac:dyDescent="0.2">
      <c r="A13330" t="s">
        <v>13941</v>
      </c>
      <c r="B13330" t="s">
        <v>90</v>
      </c>
      <c r="C13330" t="s">
        <v>607</v>
      </c>
      <c r="D13330">
        <v>866.66</v>
      </c>
      <c r="E13330" s="37" t="str">
        <f t="shared" si="1040"/>
        <v xml:space="preserve"> </v>
      </c>
      <c r="F13330">
        <v>7.0000000000000007E-2</v>
      </c>
      <c r="G13330" s="37" t="str">
        <f t="shared" si="1041"/>
        <v>Normal Discount</v>
      </c>
      <c r="H13330" s="37" t="str">
        <f t="shared" si="1042"/>
        <v>Low</v>
      </c>
      <c r="I13330">
        <v>7</v>
      </c>
      <c r="J13330" t="str" cm="1">
        <f t="array" ref="J13330">_xlfn.IFS(I13330&lt;=3,"small",I13330&lt;=6,"Medium",I13330&lt;=9,"Large")</f>
        <v>Large</v>
      </c>
      <c r="K13330" s="36">
        <v>45381</v>
      </c>
      <c r="L13330" s="36">
        <v>45384</v>
      </c>
      <c r="M13330" t="s">
        <v>612</v>
      </c>
      <c r="N13330" t="s">
        <v>608</v>
      </c>
      <c r="O13330" s="37" t="str">
        <f t="shared" si="1043"/>
        <v>Cash Payment</v>
      </c>
      <c r="P13330">
        <v>258.60000000000002</v>
      </c>
      <c r="Q13330" s="37" t="str">
        <f>IF(P13330&gt;500,"High","low")</f>
        <v>low</v>
      </c>
      <c r="R13330" s="37" t="str">
        <f t="shared" si="1044"/>
        <v>AVERAGE</v>
      </c>
      <c r="S13330" t="s">
        <v>605</v>
      </c>
    </row>
    <row r="13331" spans="1:19" x14ac:dyDescent="0.2">
      <c r="A13331" t="s">
        <v>13942</v>
      </c>
      <c r="B13331" t="s">
        <v>75</v>
      </c>
      <c r="C13331" t="s">
        <v>597</v>
      </c>
      <c r="D13331">
        <v>4928.47</v>
      </c>
      <c r="E13331" s="37" t="str">
        <f t="shared" si="1040"/>
        <v>Excellent Order</v>
      </c>
      <c r="F13331">
        <v>0.14000000000000001</v>
      </c>
      <c r="G13331" s="37" t="str">
        <f t="shared" si="1041"/>
        <v>Normal Discount</v>
      </c>
      <c r="H13331" s="37" t="str">
        <f t="shared" si="1042"/>
        <v>Low</v>
      </c>
      <c r="I13331">
        <v>9</v>
      </c>
      <c r="J13331" t="str" cm="1">
        <f t="array" ref="J13331">_xlfn.IFS(I13331&lt;=3,"small",I13331&lt;=6,"Medium",I13331&lt;=9,"Large")</f>
        <v>Large</v>
      </c>
      <c r="K13331" s="36">
        <v>45072</v>
      </c>
      <c r="L13331" s="36">
        <v>45078</v>
      </c>
      <c r="M13331" t="s">
        <v>603</v>
      </c>
      <c r="N13331" t="s">
        <v>604</v>
      </c>
      <c r="O13331" s="37" t="str">
        <f t="shared" si="1043"/>
        <v>Digital Payment</v>
      </c>
      <c r="P13331">
        <v>858.1</v>
      </c>
      <c r="Q13331" s="37" t="str">
        <f>IF(P13331&gt;500,"High","low")</f>
        <v>High</v>
      </c>
      <c r="R13331" s="37" t="str">
        <f t="shared" si="1044"/>
        <v>Good</v>
      </c>
      <c r="S13331" t="s">
        <v>615</v>
      </c>
    </row>
    <row r="13332" spans="1:19" x14ac:dyDescent="0.2">
      <c r="A13332" t="s">
        <v>13943</v>
      </c>
      <c r="B13332" t="s">
        <v>67</v>
      </c>
      <c r="C13332" t="s">
        <v>607</v>
      </c>
      <c r="D13332">
        <v>4543.07</v>
      </c>
      <c r="E13332" s="37" t="str">
        <f t="shared" si="1040"/>
        <v>Excellent Order</v>
      </c>
      <c r="F13332">
        <v>0.48</v>
      </c>
      <c r="G13332" s="37" t="str">
        <f t="shared" si="1041"/>
        <v>Heavy Discount</v>
      </c>
      <c r="H13332" s="37" t="str">
        <f t="shared" si="1042"/>
        <v>High</v>
      </c>
      <c r="I13332">
        <v>6</v>
      </c>
      <c r="J13332" t="str" cm="1">
        <f t="array" ref="J13332">_xlfn.IFS(I13332&lt;=3,"small",I13332&lt;=6,"Medium",I13332&lt;=9,"Large")</f>
        <v>Medium</v>
      </c>
      <c r="K13332" s="36">
        <v>45120</v>
      </c>
      <c r="L13332" s="36">
        <v>45121</v>
      </c>
      <c r="M13332" t="s">
        <v>598</v>
      </c>
      <c r="N13332" t="s">
        <v>599</v>
      </c>
      <c r="O13332" s="37" t="str">
        <f t="shared" si="1043"/>
        <v>Digital Payment</v>
      </c>
      <c r="P13332">
        <v>1095.1099999999999</v>
      </c>
      <c r="Q13332" s="37" t="str">
        <f>IF(P13332&gt;500,"High","low")</f>
        <v>High</v>
      </c>
      <c r="R13332" s="37" t="str">
        <f t="shared" si="1044"/>
        <v>Excellent</v>
      </c>
      <c r="S13332" t="s">
        <v>620</v>
      </c>
    </row>
    <row r="13333" spans="1:19" x14ac:dyDescent="0.2">
      <c r="A13333" t="s">
        <v>13944</v>
      </c>
      <c r="B13333" t="s">
        <v>67</v>
      </c>
      <c r="C13333" t="s">
        <v>602</v>
      </c>
      <c r="D13333">
        <v>4817.96</v>
      </c>
      <c r="E13333" s="37" t="str">
        <f t="shared" si="1040"/>
        <v>Excellent Order</v>
      </c>
      <c r="F13333">
        <v>0.14000000000000001</v>
      </c>
      <c r="G13333" s="37" t="str">
        <f t="shared" si="1041"/>
        <v>Normal Discount</v>
      </c>
      <c r="H13333" s="37" t="str">
        <f t="shared" si="1042"/>
        <v>Low</v>
      </c>
      <c r="I13333">
        <v>3</v>
      </c>
      <c r="J13333" t="str" cm="1">
        <f t="array" ref="J13333">_xlfn.IFS(I13333&lt;=3,"small",I13333&lt;=6,"Medium",I13333&lt;=9,"Large")</f>
        <v>small</v>
      </c>
      <c r="K13333" s="36">
        <v>44989</v>
      </c>
      <c r="L13333" s="36">
        <v>44993</v>
      </c>
      <c r="M13333" t="s">
        <v>612</v>
      </c>
      <c r="N13333" t="s">
        <v>608</v>
      </c>
      <c r="O13333" s="37" t="str">
        <f t="shared" si="1043"/>
        <v>Cash Payment</v>
      </c>
      <c r="P13333">
        <v>1385.27</v>
      </c>
      <c r="Q13333" s="37" t="str">
        <f>IF(P13333&gt;500,"High","low")</f>
        <v>High</v>
      </c>
      <c r="R13333" s="37" t="str">
        <f t="shared" si="1044"/>
        <v>Excellent</v>
      </c>
      <c r="S13333" t="s">
        <v>600</v>
      </c>
    </row>
    <row r="13334" spans="1:19" x14ac:dyDescent="0.2">
      <c r="A13334" t="s">
        <v>13945</v>
      </c>
      <c r="B13334" t="s">
        <v>90</v>
      </c>
      <c r="C13334" t="s">
        <v>607</v>
      </c>
      <c r="D13334">
        <v>4278.09</v>
      </c>
      <c r="E13334" s="37" t="str">
        <f t="shared" si="1040"/>
        <v xml:space="preserve"> </v>
      </c>
      <c r="F13334">
        <v>0.25</v>
      </c>
      <c r="G13334" s="37" t="str">
        <f t="shared" si="1041"/>
        <v>Normal Discount</v>
      </c>
      <c r="H13334" s="37" t="str">
        <f t="shared" si="1042"/>
        <v>Medium</v>
      </c>
      <c r="I13334">
        <v>9</v>
      </c>
      <c r="J13334" t="str" cm="1">
        <f t="array" ref="J13334">_xlfn.IFS(I13334&lt;=3,"small",I13334&lt;=6,"Medium",I13334&lt;=9,"Large")</f>
        <v>Large</v>
      </c>
      <c r="K13334" s="36">
        <v>45210</v>
      </c>
      <c r="L13334" s="36">
        <v>45211</v>
      </c>
      <c r="M13334" t="s">
        <v>598</v>
      </c>
      <c r="N13334" t="s">
        <v>608</v>
      </c>
      <c r="O13334" s="37" t="str">
        <f t="shared" si="1043"/>
        <v>Cash Payment</v>
      </c>
      <c r="P13334">
        <v>449.27</v>
      </c>
      <c r="Q13334" s="37" t="str">
        <f>IF(P13334&gt;500,"High","low")</f>
        <v>low</v>
      </c>
      <c r="R13334" s="37" t="str">
        <f t="shared" si="1044"/>
        <v>AVERAGE</v>
      </c>
      <c r="S13334" t="s">
        <v>609</v>
      </c>
    </row>
    <row r="13335" spans="1:19" x14ac:dyDescent="0.2">
      <c r="A13335" t="s">
        <v>13946</v>
      </c>
      <c r="B13335" t="s">
        <v>67</v>
      </c>
      <c r="C13335" t="s">
        <v>597</v>
      </c>
      <c r="D13335">
        <v>4400.58</v>
      </c>
      <c r="E13335" s="37" t="str">
        <f t="shared" si="1040"/>
        <v xml:space="preserve"> </v>
      </c>
      <c r="F13335">
        <v>0.38</v>
      </c>
      <c r="G13335" s="37" t="str">
        <f t="shared" si="1041"/>
        <v>Heavy Discount</v>
      </c>
      <c r="H13335" s="37" t="str">
        <f t="shared" si="1042"/>
        <v>Medium</v>
      </c>
      <c r="I13335">
        <v>1</v>
      </c>
      <c r="J13335" t="str" cm="1">
        <f t="array" ref="J13335">_xlfn.IFS(I13335&lt;=3,"small",I13335&lt;=6,"Medium",I13335&lt;=9,"Large")</f>
        <v>small</v>
      </c>
      <c r="K13335" s="36">
        <v>45633</v>
      </c>
      <c r="L13335" s="36">
        <v>45634</v>
      </c>
      <c r="M13335" t="s">
        <v>603</v>
      </c>
      <c r="N13335" t="s">
        <v>599</v>
      </c>
      <c r="O13335" s="37" t="str">
        <f t="shared" si="1043"/>
        <v>Digital Payment</v>
      </c>
      <c r="P13335">
        <v>641.55999999999995</v>
      </c>
      <c r="Q13335" s="37" t="str">
        <f>IF(P13335&gt;500,"High","low")</f>
        <v>High</v>
      </c>
      <c r="R13335" s="37" t="str">
        <f t="shared" si="1044"/>
        <v>Good</v>
      </c>
      <c r="S13335" t="s">
        <v>609</v>
      </c>
    </row>
    <row r="13336" spans="1:19" x14ac:dyDescent="0.2">
      <c r="A13336" t="s">
        <v>13947</v>
      </c>
      <c r="B13336" t="s">
        <v>83</v>
      </c>
      <c r="C13336" t="s">
        <v>607</v>
      </c>
      <c r="D13336">
        <v>3034.26</v>
      </c>
      <c r="E13336" s="37" t="str">
        <f t="shared" si="1040"/>
        <v xml:space="preserve"> </v>
      </c>
      <c r="F13336">
        <v>0.46</v>
      </c>
      <c r="G13336" s="37" t="str">
        <f t="shared" si="1041"/>
        <v>Heavy Discount</v>
      </c>
      <c r="H13336" s="37" t="str">
        <f t="shared" si="1042"/>
        <v>High</v>
      </c>
      <c r="I13336">
        <v>5</v>
      </c>
      <c r="J13336" t="str" cm="1">
        <f t="array" ref="J13336">_xlfn.IFS(I13336&lt;=3,"small",I13336&lt;=6,"Medium",I13336&lt;=9,"Large")</f>
        <v>Medium</v>
      </c>
      <c r="K13336" s="36">
        <v>45319</v>
      </c>
      <c r="L13336" s="36">
        <v>45323</v>
      </c>
      <c r="M13336" t="s">
        <v>603</v>
      </c>
      <c r="N13336" t="s">
        <v>608</v>
      </c>
      <c r="O13336" s="37" t="str">
        <f t="shared" si="1043"/>
        <v>Cash Payment</v>
      </c>
      <c r="P13336">
        <v>573.6</v>
      </c>
      <c r="Q13336" s="37" t="str">
        <f>IF(P13336&gt;500,"High","low")</f>
        <v>High</v>
      </c>
      <c r="R13336" s="37" t="str">
        <f t="shared" si="1044"/>
        <v>Good</v>
      </c>
      <c r="S13336" t="s">
        <v>615</v>
      </c>
    </row>
    <row r="13337" spans="1:19" x14ac:dyDescent="0.2">
      <c r="A13337" t="s">
        <v>13948</v>
      </c>
      <c r="B13337" t="s">
        <v>67</v>
      </c>
      <c r="C13337" t="s">
        <v>614</v>
      </c>
      <c r="D13337">
        <v>4242.0200000000004</v>
      </c>
      <c r="E13337" s="37" t="str">
        <f t="shared" si="1040"/>
        <v xml:space="preserve"> </v>
      </c>
      <c r="F13337">
        <v>0.3</v>
      </c>
      <c r="G13337" s="37" t="str">
        <f t="shared" si="1041"/>
        <v>Normal Discount</v>
      </c>
      <c r="H13337" s="37" t="str">
        <f t="shared" si="1042"/>
        <v>Medium</v>
      </c>
      <c r="I13337">
        <v>5</v>
      </c>
      <c r="J13337" t="str" cm="1">
        <f t="array" ref="J13337">_xlfn.IFS(I13337&lt;=3,"small",I13337&lt;=6,"Medium",I13337&lt;=9,"Large")</f>
        <v>Medium</v>
      </c>
      <c r="K13337" s="36">
        <v>45535</v>
      </c>
      <c r="L13337" s="36">
        <v>45540</v>
      </c>
      <c r="M13337" t="s">
        <v>603</v>
      </c>
      <c r="N13337" t="s">
        <v>608</v>
      </c>
      <c r="O13337" s="37" t="str">
        <f t="shared" si="1043"/>
        <v>Cash Payment</v>
      </c>
      <c r="P13337">
        <v>630.6</v>
      </c>
      <c r="Q13337" s="37" t="str">
        <f>IF(P13337&gt;500,"High","low")</f>
        <v>High</v>
      </c>
      <c r="R13337" s="37" t="str">
        <f t="shared" si="1044"/>
        <v>Good</v>
      </c>
      <c r="S13337" t="s">
        <v>615</v>
      </c>
    </row>
    <row r="13338" spans="1:19" x14ac:dyDescent="0.2">
      <c r="A13338" t="s">
        <v>13949</v>
      </c>
      <c r="B13338" t="s">
        <v>83</v>
      </c>
      <c r="C13338" t="s">
        <v>607</v>
      </c>
      <c r="D13338">
        <v>2716.67</v>
      </c>
      <c r="E13338" s="37" t="str">
        <f t="shared" si="1040"/>
        <v xml:space="preserve"> </v>
      </c>
      <c r="F13338">
        <v>0.19</v>
      </c>
      <c r="G13338" s="37" t="str">
        <f t="shared" si="1041"/>
        <v>Normal Discount</v>
      </c>
      <c r="H13338" s="37" t="str">
        <f t="shared" si="1042"/>
        <v>Low</v>
      </c>
      <c r="I13338">
        <v>2</v>
      </c>
      <c r="J13338" t="str" cm="1">
        <f t="array" ref="J13338">_xlfn.IFS(I13338&lt;=3,"small",I13338&lt;=6,"Medium",I13338&lt;=9,"Large")</f>
        <v>small</v>
      </c>
      <c r="K13338" s="36">
        <v>44954</v>
      </c>
      <c r="L13338" s="36">
        <v>44958</v>
      </c>
      <c r="M13338" t="s">
        <v>598</v>
      </c>
      <c r="N13338" t="s">
        <v>608</v>
      </c>
      <c r="O13338" s="37" t="str">
        <f t="shared" si="1043"/>
        <v>Cash Payment</v>
      </c>
      <c r="P13338">
        <v>631.85</v>
      </c>
      <c r="Q13338" s="37" t="str">
        <f>IF(P13338&gt;500,"High","low")</f>
        <v>High</v>
      </c>
      <c r="R13338" s="37" t="str">
        <f t="shared" si="1044"/>
        <v>Good</v>
      </c>
      <c r="S13338" t="s">
        <v>609</v>
      </c>
    </row>
    <row r="13339" spans="1:19" x14ac:dyDescent="0.2">
      <c r="A13339" t="s">
        <v>13950</v>
      </c>
      <c r="B13339" t="s">
        <v>75</v>
      </c>
      <c r="C13339" t="s">
        <v>607</v>
      </c>
      <c r="D13339">
        <v>2737.26</v>
      </c>
      <c r="E13339" s="37" t="str">
        <f t="shared" si="1040"/>
        <v xml:space="preserve"> </v>
      </c>
      <c r="F13339">
        <v>0.49</v>
      </c>
      <c r="G13339" s="37" t="str">
        <f t="shared" si="1041"/>
        <v>Heavy Discount</v>
      </c>
      <c r="H13339" s="37" t="str">
        <f t="shared" si="1042"/>
        <v>High</v>
      </c>
      <c r="I13339">
        <v>5</v>
      </c>
      <c r="J13339" t="str" cm="1">
        <f t="array" ref="J13339">_xlfn.IFS(I13339&lt;=3,"small",I13339&lt;=6,"Medium",I13339&lt;=9,"Large")</f>
        <v>Medium</v>
      </c>
      <c r="K13339" s="36">
        <v>45434</v>
      </c>
      <c r="L13339" s="36">
        <v>45441</v>
      </c>
      <c r="M13339" t="s">
        <v>598</v>
      </c>
      <c r="N13339" t="s">
        <v>608</v>
      </c>
      <c r="O13339" s="37" t="str">
        <f t="shared" si="1043"/>
        <v>Cash Payment</v>
      </c>
      <c r="P13339">
        <v>250.41</v>
      </c>
      <c r="Q13339" s="37" t="str">
        <f>IF(P13339&gt;500,"High","low")</f>
        <v>low</v>
      </c>
      <c r="R13339" s="37" t="str">
        <f t="shared" si="1044"/>
        <v>AVERAGE</v>
      </c>
      <c r="S13339" t="s">
        <v>605</v>
      </c>
    </row>
    <row r="13340" spans="1:19" x14ac:dyDescent="0.2">
      <c r="A13340" t="s">
        <v>13951</v>
      </c>
      <c r="B13340" t="s">
        <v>83</v>
      </c>
      <c r="C13340" t="s">
        <v>614</v>
      </c>
      <c r="D13340">
        <v>2856.64</v>
      </c>
      <c r="E13340" s="37" t="str">
        <f t="shared" si="1040"/>
        <v xml:space="preserve"> </v>
      </c>
      <c r="F13340">
        <v>0.01</v>
      </c>
      <c r="G13340" s="37" t="str">
        <f t="shared" si="1041"/>
        <v>Normal Discount</v>
      </c>
      <c r="H13340" s="37" t="str">
        <f t="shared" si="1042"/>
        <v>Low</v>
      </c>
      <c r="I13340">
        <v>1</v>
      </c>
      <c r="J13340" t="str" cm="1">
        <f t="array" ref="J13340">_xlfn.IFS(I13340&lt;=3,"small",I13340&lt;=6,"Medium",I13340&lt;=9,"Large")</f>
        <v>small</v>
      </c>
      <c r="K13340" s="36">
        <v>45581</v>
      </c>
      <c r="L13340" s="36">
        <v>45584</v>
      </c>
      <c r="M13340" t="s">
        <v>598</v>
      </c>
      <c r="N13340" t="s">
        <v>608</v>
      </c>
      <c r="O13340" s="37" t="str">
        <f t="shared" si="1043"/>
        <v>Cash Payment</v>
      </c>
      <c r="P13340">
        <v>818.77</v>
      </c>
      <c r="Q13340" s="37" t="str">
        <f>IF(P13340&gt;500,"High","low")</f>
        <v>High</v>
      </c>
      <c r="R13340" s="37" t="str">
        <f t="shared" si="1044"/>
        <v>Good</v>
      </c>
      <c r="S13340" t="s">
        <v>615</v>
      </c>
    </row>
    <row r="13341" spans="1:19" x14ac:dyDescent="0.2">
      <c r="A13341" t="s">
        <v>13952</v>
      </c>
      <c r="B13341" t="s">
        <v>83</v>
      </c>
      <c r="C13341" t="s">
        <v>614</v>
      </c>
      <c r="D13341">
        <v>4981.96</v>
      </c>
      <c r="E13341" s="37" t="str">
        <f t="shared" si="1040"/>
        <v xml:space="preserve"> </v>
      </c>
      <c r="F13341">
        <v>0.42</v>
      </c>
      <c r="G13341" s="37" t="str">
        <f t="shared" si="1041"/>
        <v>Heavy Discount</v>
      </c>
      <c r="H13341" s="37" t="str">
        <f t="shared" si="1042"/>
        <v>High</v>
      </c>
      <c r="I13341">
        <v>1</v>
      </c>
      <c r="J13341" t="str" cm="1">
        <f t="array" ref="J13341">_xlfn.IFS(I13341&lt;=3,"small",I13341&lt;=6,"Medium",I13341&lt;=9,"Large")</f>
        <v>small</v>
      </c>
      <c r="K13341" s="36">
        <v>45385</v>
      </c>
      <c r="L13341" s="36">
        <v>45389</v>
      </c>
      <c r="M13341" t="s">
        <v>612</v>
      </c>
      <c r="N13341" t="s">
        <v>608</v>
      </c>
      <c r="O13341" s="37" t="str">
        <f t="shared" si="1043"/>
        <v>Cash Payment</v>
      </c>
      <c r="P13341">
        <v>718.5</v>
      </c>
      <c r="Q13341" s="37" t="str">
        <f>IF(P13341&gt;500,"High","low")</f>
        <v>High</v>
      </c>
      <c r="R13341" s="37" t="str">
        <f t="shared" si="1044"/>
        <v>Good</v>
      </c>
      <c r="S13341" t="s">
        <v>605</v>
      </c>
    </row>
    <row r="13342" spans="1:19" x14ac:dyDescent="0.2">
      <c r="A13342" t="s">
        <v>13953</v>
      </c>
      <c r="B13342" t="s">
        <v>75</v>
      </c>
      <c r="C13342" t="s">
        <v>614</v>
      </c>
      <c r="D13342">
        <v>611.53</v>
      </c>
      <c r="E13342" s="37" t="str">
        <f t="shared" si="1040"/>
        <v xml:space="preserve"> </v>
      </c>
      <c r="F13342">
        <v>0.14000000000000001</v>
      </c>
      <c r="G13342" s="37" t="str">
        <f t="shared" si="1041"/>
        <v>Normal Discount</v>
      </c>
      <c r="H13342" s="37" t="str">
        <f t="shared" si="1042"/>
        <v>Low</v>
      </c>
      <c r="I13342">
        <v>4</v>
      </c>
      <c r="J13342" t="str" cm="1">
        <f t="array" ref="J13342">_xlfn.IFS(I13342&lt;=3,"small",I13342&lt;=6,"Medium",I13342&lt;=9,"Large")</f>
        <v>Medium</v>
      </c>
      <c r="K13342" s="36">
        <v>45548</v>
      </c>
      <c r="L13342" s="36">
        <v>45551</v>
      </c>
      <c r="M13342" t="s">
        <v>603</v>
      </c>
      <c r="N13342" t="s">
        <v>604</v>
      </c>
      <c r="O13342" s="37" t="str">
        <f t="shared" si="1043"/>
        <v>Digital Payment</v>
      </c>
      <c r="P13342">
        <v>170.44</v>
      </c>
      <c r="Q13342" s="37" t="str">
        <f>IF(P13342&gt;500,"High","low")</f>
        <v>low</v>
      </c>
      <c r="R13342" s="37" t="str">
        <f t="shared" si="1044"/>
        <v>AVERAGE</v>
      </c>
      <c r="S13342" t="s">
        <v>615</v>
      </c>
    </row>
    <row r="13343" spans="1:19" x14ac:dyDescent="0.2">
      <c r="A13343" t="s">
        <v>13954</v>
      </c>
      <c r="B13343" t="s">
        <v>67</v>
      </c>
      <c r="C13343" t="s">
        <v>617</v>
      </c>
      <c r="D13343">
        <v>4047.49</v>
      </c>
      <c r="E13343" s="37" t="str">
        <f t="shared" si="1040"/>
        <v>Excellent Order</v>
      </c>
      <c r="F13343">
        <v>0.41</v>
      </c>
      <c r="G13343" s="37" t="str">
        <f t="shared" si="1041"/>
        <v>Heavy Discount</v>
      </c>
      <c r="H13343" s="37" t="str">
        <f t="shared" si="1042"/>
        <v>High</v>
      </c>
      <c r="I13343">
        <v>6</v>
      </c>
      <c r="J13343" t="str" cm="1">
        <f t="array" ref="J13343">_xlfn.IFS(I13343&lt;=3,"small",I13343&lt;=6,"Medium",I13343&lt;=9,"Large")</f>
        <v>Medium</v>
      </c>
      <c r="K13343" s="36">
        <v>45657</v>
      </c>
      <c r="L13343" s="36">
        <v>45659</v>
      </c>
      <c r="M13343" t="s">
        <v>598</v>
      </c>
      <c r="N13343" t="s">
        <v>608</v>
      </c>
      <c r="O13343" s="37" t="str">
        <f t="shared" si="1043"/>
        <v>Cash Payment</v>
      </c>
      <c r="P13343">
        <v>1171.5</v>
      </c>
      <c r="Q13343" s="37" t="str">
        <f>IF(P13343&gt;500,"High","low")</f>
        <v>High</v>
      </c>
      <c r="R13343" s="37" t="str">
        <f t="shared" si="1044"/>
        <v>Excellent</v>
      </c>
      <c r="S13343" t="s">
        <v>605</v>
      </c>
    </row>
    <row r="13344" spans="1:19" x14ac:dyDescent="0.2">
      <c r="A13344" t="s">
        <v>13955</v>
      </c>
      <c r="B13344" t="s">
        <v>83</v>
      </c>
      <c r="C13344" t="s">
        <v>607</v>
      </c>
      <c r="D13344">
        <v>1439.23</v>
      </c>
      <c r="E13344" s="37" t="str">
        <f t="shared" si="1040"/>
        <v xml:space="preserve"> </v>
      </c>
      <c r="F13344">
        <v>0.08</v>
      </c>
      <c r="G13344" s="37" t="str">
        <f t="shared" si="1041"/>
        <v>Normal Discount</v>
      </c>
      <c r="H13344" s="37" t="str">
        <f t="shared" si="1042"/>
        <v>Low</v>
      </c>
      <c r="I13344">
        <v>2</v>
      </c>
      <c r="J13344" t="str" cm="1">
        <f t="array" ref="J13344">_xlfn.IFS(I13344&lt;=3,"small",I13344&lt;=6,"Medium",I13344&lt;=9,"Large")</f>
        <v>small</v>
      </c>
      <c r="K13344" s="36">
        <v>45002</v>
      </c>
      <c r="L13344" s="36">
        <v>45006</v>
      </c>
      <c r="M13344" t="s">
        <v>612</v>
      </c>
      <c r="N13344" t="s">
        <v>608</v>
      </c>
      <c r="O13344" s="37" t="str">
        <f t="shared" si="1043"/>
        <v>Cash Payment</v>
      </c>
      <c r="P13344">
        <v>142.66</v>
      </c>
      <c r="Q13344" s="37" t="str">
        <f>IF(P13344&gt;500,"High","low")</f>
        <v>low</v>
      </c>
      <c r="R13344" s="37" t="str">
        <f t="shared" si="1044"/>
        <v>AVERAGE</v>
      </c>
      <c r="S13344" t="s">
        <v>605</v>
      </c>
    </row>
    <row r="13345" spans="1:19" x14ac:dyDescent="0.2">
      <c r="A13345" t="s">
        <v>13956</v>
      </c>
      <c r="B13345" t="s">
        <v>67</v>
      </c>
      <c r="C13345" t="s">
        <v>614</v>
      </c>
      <c r="D13345">
        <v>1870.01</v>
      </c>
      <c r="E13345" s="37" t="str">
        <f t="shared" si="1040"/>
        <v xml:space="preserve"> </v>
      </c>
      <c r="F13345">
        <v>0.17</v>
      </c>
      <c r="G13345" s="37" t="str">
        <f t="shared" si="1041"/>
        <v>Normal Discount</v>
      </c>
      <c r="H13345" s="37" t="str">
        <f t="shared" si="1042"/>
        <v>Low</v>
      </c>
      <c r="I13345">
        <v>5</v>
      </c>
      <c r="J13345" t="str" cm="1">
        <f t="array" ref="J13345">_xlfn.IFS(I13345&lt;=3,"small",I13345&lt;=6,"Medium",I13345&lt;=9,"Large")</f>
        <v>Medium</v>
      </c>
      <c r="K13345" s="36">
        <v>45128</v>
      </c>
      <c r="L13345" s="36">
        <v>45134</v>
      </c>
      <c r="M13345" t="s">
        <v>598</v>
      </c>
      <c r="N13345" t="s">
        <v>599</v>
      </c>
      <c r="O13345" s="37" t="str">
        <f t="shared" si="1043"/>
        <v>Digital Payment</v>
      </c>
      <c r="P13345">
        <v>357.29</v>
      </c>
      <c r="Q13345" s="37" t="str">
        <f>IF(P13345&gt;500,"High","low")</f>
        <v>low</v>
      </c>
      <c r="R13345" s="37" t="str">
        <f t="shared" si="1044"/>
        <v>AVERAGE</v>
      </c>
      <c r="S13345" t="s">
        <v>615</v>
      </c>
    </row>
    <row r="13346" spans="1:19" x14ac:dyDescent="0.2">
      <c r="A13346" t="s">
        <v>13957</v>
      </c>
      <c r="B13346" t="s">
        <v>75</v>
      </c>
      <c r="C13346" t="s">
        <v>614</v>
      </c>
      <c r="D13346">
        <v>494.61</v>
      </c>
      <c r="E13346" s="37" t="str">
        <f t="shared" si="1040"/>
        <v xml:space="preserve"> </v>
      </c>
      <c r="F13346">
        <v>0.03</v>
      </c>
      <c r="G13346" s="37" t="str">
        <f t="shared" si="1041"/>
        <v>Normal Discount</v>
      </c>
      <c r="H13346" s="37" t="str">
        <f t="shared" si="1042"/>
        <v>Low</v>
      </c>
      <c r="I13346">
        <v>5</v>
      </c>
      <c r="J13346" t="str" cm="1">
        <f t="array" ref="J13346">_xlfn.IFS(I13346&lt;=3,"small",I13346&lt;=6,"Medium",I13346&lt;=9,"Large")</f>
        <v>Medium</v>
      </c>
      <c r="K13346" s="36">
        <v>45127</v>
      </c>
      <c r="L13346" s="36">
        <v>45129</v>
      </c>
      <c r="M13346" t="s">
        <v>603</v>
      </c>
      <c r="N13346" t="s">
        <v>608</v>
      </c>
      <c r="O13346" s="37" t="str">
        <f t="shared" si="1043"/>
        <v>Cash Payment</v>
      </c>
      <c r="P13346">
        <v>118.92</v>
      </c>
      <c r="Q13346" s="37" t="str">
        <f>IF(P13346&gt;500,"High","low")</f>
        <v>low</v>
      </c>
      <c r="R13346" s="37" t="str">
        <f t="shared" si="1044"/>
        <v>AVERAGE</v>
      </c>
      <c r="S13346" t="s">
        <v>605</v>
      </c>
    </row>
    <row r="13347" spans="1:19" x14ac:dyDescent="0.2">
      <c r="A13347" t="s">
        <v>13958</v>
      </c>
      <c r="B13347" t="s">
        <v>90</v>
      </c>
      <c r="C13347" t="s">
        <v>602</v>
      </c>
      <c r="D13347">
        <v>1822.71</v>
      </c>
      <c r="E13347" s="37" t="str">
        <f t="shared" si="1040"/>
        <v xml:space="preserve"> </v>
      </c>
      <c r="F13347">
        <v>0.1</v>
      </c>
      <c r="G13347" s="37" t="str">
        <f t="shared" si="1041"/>
        <v>Normal Discount</v>
      </c>
      <c r="H13347" s="37" t="str">
        <f t="shared" si="1042"/>
        <v>Low</v>
      </c>
      <c r="I13347">
        <v>3</v>
      </c>
      <c r="J13347" t="str" cm="1">
        <f t="array" ref="J13347">_xlfn.IFS(I13347&lt;=3,"small",I13347&lt;=6,"Medium",I13347&lt;=9,"Large")</f>
        <v>small</v>
      </c>
      <c r="K13347" s="36">
        <v>45299</v>
      </c>
      <c r="L13347" s="36">
        <v>45303</v>
      </c>
      <c r="M13347" t="s">
        <v>612</v>
      </c>
      <c r="N13347" t="s">
        <v>599</v>
      </c>
      <c r="O13347" s="37" t="str">
        <f t="shared" si="1043"/>
        <v>Digital Payment</v>
      </c>
      <c r="P13347">
        <v>106.71</v>
      </c>
      <c r="Q13347" s="37" t="str">
        <f>IF(P13347&gt;500,"High","low")</f>
        <v>low</v>
      </c>
      <c r="R13347" s="37" t="str">
        <f t="shared" si="1044"/>
        <v>AVERAGE</v>
      </c>
      <c r="S13347" t="s">
        <v>615</v>
      </c>
    </row>
    <row r="13348" spans="1:19" x14ac:dyDescent="0.2">
      <c r="A13348" t="s">
        <v>13959</v>
      </c>
      <c r="B13348" t="s">
        <v>67</v>
      </c>
      <c r="C13348" t="s">
        <v>617</v>
      </c>
      <c r="D13348">
        <v>4954.74</v>
      </c>
      <c r="E13348" s="37" t="str">
        <f t="shared" si="1040"/>
        <v xml:space="preserve"> </v>
      </c>
      <c r="F13348">
        <v>0.3</v>
      </c>
      <c r="G13348" s="37" t="str">
        <f t="shared" si="1041"/>
        <v>Normal Discount</v>
      </c>
      <c r="H13348" s="37" t="str">
        <f t="shared" si="1042"/>
        <v>Medium</v>
      </c>
      <c r="I13348">
        <v>4</v>
      </c>
      <c r="J13348" t="str" cm="1">
        <f t="array" ref="J13348">_xlfn.IFS(I13348&lt;=3,"small",I13348&lt;=6,"Medium",I13348&lt;=9,"Large")</f>
        <v>Medium</v>
      </c>
      <c r="K13348" s="36">
        <v>45248</v>
      </c>
      <c r="L13348" s="36">
        <v>45254</v>
      </c>
      <c r="M13348" t="s">
        <v>612</v>
      </c>
      <c r="N13348" t="s">
        <v>599</v>
      </c>
      <c r="O13348" s="37" t="str">
        <f t="shared" si="1043"/>
        <v>Digital Payment</v>
      </c>
      <c r="P13348">
        <v>745.93</v>
      </c>
      <c r="Q13348" s="37" t="str">
        <f>IF(P13348&gt;500,"High","low")</f>
        <v>High</v>
      </c>
      <c r="R13348" s="37" t="str">
        <f t="shared" si="1044"/>
        <v>Good</v>
      </c>
      <c r="S13348" t="s">
        <v>620</v>
      </c>
    </row>
    <row r="13349" spans="1:19" x14ac:dyDescent="0.2">
      <c r="A13349" t="s">
        <v>13960</v>
      </c>
      <c r="B13349" t="s">
        <v>67</v>
      </c>
      <c r="C13349" t="s">
        <v>607</v>
      </c>
      <c r="D13349">
        <v>2045.64</v>
      </c>
      <c r="E13349" s="37" t="str">
        <f t="shared" si="1040"/>
        <v xml:space="preserve"> </v>
      </c>
      <c r="F13349">
        <v>0.38</v>
      </c>
      <c r="G13349" s="37" t="str">
        <f t="shared" si="1041"/>
        <v>Heavy Discount</v>
      </c>
      <c r="H13349" s="37" t="str">
        <f t="shared" si="1042"/>
        <v>Medium</v>
      </c>
      <c r="I13349">
        <v>2</v>
      </c>
      <c r="J13349" t="str" cm="1">
        <f t="array" ref="J13349">_xlfn.IFS(I13349&lt;=3,"small",I13349&lt;=6,"Medium",I13349&lt;=9,"Large")</f>
        <v>small</v>
      </c>
      <c r="K13349" s="36">
        <v>45255</v>
      </c>
      <c r="L13349" s="36">
        <v>45258</v>
      </c>
      <c r="M13349" t="s">
        <v>612</v>
      </c>
      <c r="N13349" t="s">
        <v>599</v>
      </c>
      <c r="O13349" s="37" t="str">
        <f t="shared" si="1043"/>
        <v>Digital Payment</v>
      </c>
      <c r="P13349">
        <v>314.24</v>
      </c>
      <c r="Q13349" s="37" t="str">
        <f>IF(P13349&gt;500,"High","low")</f>
        <v>low</v>
      </c>
      <c r="R13349" s="37" t="str">
        <f t="shared" si="1044"/>
        <v>AVERAGE</v>
      </c>
      <c r="S13349" t="s">
        <v>615</v>
      </c>
    </row>
    <row r="13350" spans="1:19" x14ac:dyDescent="0.2">
      <c r="A13350" t="s">
        <v>13961</v>
      </c>
      <c r="B13350" t="s">
        <v>90</v>
      </c>
      <c r="C13350" t="s">
        <v>597</v>
      </c>
      <c r="D13350">
        <v>3381.47</v>
      </c>
      <c r="E13350" s="37" t="str">
        <f t="shared" si="1040"/>
        <v xml:space="preserve"> </v>
      </c>
      <c r="F13350">
        <v>0.46</v>
      </c>
      <c r="G13350" s="37" t="str">
        <f t="shared" si="1041"/>
        <v>Heavy Discount</v>
      </c>
      <c r="H13350" s="37" t="str">
        <f t="shared" si="1042"/>
        <v>High</v>
      </c>
      <c r="I13350">
        <v>7</v>
      </c>
      <c r="J13350" t="str" cm="1">
        <f t="array" ref="J13350">_xlfn.IFS(I13350&lt;=3,"small",I13350&lt;=6,"Medium",I13350&lt;=9,"Large")</f>
        <v>Large</v>
      </c>
      <c r="K13350" s="36">
        <v>45293</v>
      </c>
      <c r="L13350" s="36">
        <v>45299</v>
      </c>
      <c r="M13350" t="s">
        <v>612</v>
      </c>
      <c r="N13350" t="s">
        <v>599</v>
      </c>
      <c r="O13350" s="37" t="str">
        <f t="shared" si="1043"/>
        <v>Digital Payment</v>
      </c>
      <c r="P13350">
        <v>731.64</v>
      </c>
      <c r="Q13350" s="37" t="str">
        <f>IF(P13350&gt;500,"High","low")</f>
        <v>High</v>
      </c>
      <c r="R13350" s="37" t="str">
        <f t="shared" si="1044"/>
        <v>Good</v>
      </c>
      <c r="S13350" t="s">
        <v>609</v>
      </c>
    </row>
    <row r="13351" spans="1:19" x14ac:dyDescent="0.2">
      <c r="A13351" t="s">
        <v>13962</v>
      </c>
      <c r="B13351" t="s">
        <v>90</v>
      </c>
      <c r="C13351" t="s">
        <v>617</v>
      </c>
      <c r="D13351">
        <v>691.49</v>
      </c>
      <c r="E13351" s="37" t="str">
        <f t="shared" si="1040"/>
        <v xml:space="preserve"> </v>
      </c>
      <c r="F13351">
        <v>0.06</v>
      </c>
      <c r="G13351" s="37" t="str">
        <f t="shared" si="1041"/>
        <v>Normal Discount</v>
      </c>
      <c r="H13351" s="37" t="str">
        <f t="shared" si="1042"/>
        <v>Low</v>
      </c>
      <c r="I13351">
        <v>3</v>
      </c>
      <c r="J13351" t="str" cm="1">
        <f t="array" ref="J13351">_xlfn.IFS(I13351&lt;=3,"small",I13351&lt;=6,"Medium",I13351&lt;=9,"Large")</f>
        <v>small</v>
      </c>
      <c r="K13351" s="36">
        <v>45558</v>
      </c>
      <c r="L13351" s="36">
        <v>45564</v>
      </c>
      <c r="M13351" t="s">
        <v>612</v>
      </c>
      <c r="N13351" t="s">
        <v>604</v>
      </c>
      <c r="O13351" s="37" t="str">
        <f t="shared" si="1043"/>
        <v>Digital Payment</v>
      </c>
      <c r="P13351">
        <v>124.75</v>
      </c>
      <c r="Q13351" s="37" t="str">
        <f>IF(P13351&gt;500,"High","low")</f>
        <v>low</v>
      </c>
      <c r="R13351" s="37" t="str">
        <f t="shared" si="1044"/>
        <v>AVERAGE</v>
      </c>
      <c r="S13351" t="s">
        <v>600</v>
      </c>
    </row>
    <row r="13352" spans="1:19" x14ac:dyDescent="0.2">
      <c r="A13352" t="s">
        <v>13963</v>
      </c>
      <c r="B13352" t="s">
        <v>75</v>
      </c>
      <c r="C13352" t="s">
        <v>617</v>
      </c>
      <c r="D13352">
        <v>4620.24</v>
      </c>
      <c r="E13352" s="37" t="str">
        <f t="shared" si="1040"/>
        <v>Excellent Order</v>
      </c>
      <c r="F13352">
        <v>7.0000000000000007E-2</v>
      </c>
      <c r="G13352" s="37" t="str">
        <f t="shared" si="1041"/>
        <v>Normal Discount</v>
      </c>
      <c r="H13352" s="37" t="str">
        <f t="shared" si="1042"/>
        <v>Low</v>
      </c>
      <c r="I13352">
        <v>6</v>
      </c>
      <c r="J13352" t="str" cm="1">
        <f t="array" ref="J13352">_xlfn.IFS(I13352&lt;=3,"small",I13352&lt;=6,"Medium",I13352&lt;=9,"Large")</f>
        <v>Medium</v>
      </c>
      <c r="K13352" s="36">
        <v>45105</v>
      </c>
      <c r="L13352" s="36">
        <v>45107</v>
      </c>
      <c r="M13352" t="s">
        <v>612</v>
      </c>
      <c r="N13352" t="s">
        <v>604</v>
      </c>
      <c r="O13352" s="37" t="str">
        <f t="shared" si="1043"/>
        <v>Digital Payment</v>
      </c>
      <c r="P13352">
        <v>1076.1400000000001</v>
      </c>
      <c r="Q13352" s="37" t="str">
        <f>IF(P13352&gt;500,"High","low")</f>
        <v>High</v>
      </c>
      <c r="R13352" s="37" t="str">
        <f t="shared" si="1044"/>
        <v>Excellent</v>
      </c>
      <c r="S13352" t="s">
        <v>628</v>
      </c>
    </row>
    <row r="13353" spans="1:19" x14ac:dyDescent="0.2">
      <c r="A13353" t="s">
        <v>13964</v>
      </c>
      <c r="B13353" t="s">
        <v>67</v>
      </c>
      <c r="C13353" t="s">
        <v>602</v>
      </c>
      <c r="D13353">
        <v>4155.95</v>
      </c>
      <c r="E13353" s="37" t="str">
        <f t="shared" si="1040"/>
        <v xml:space="preserve"> </v>
      </c>
      <c r="F13353">
        <v>0.47</v>
      </c>
      <c r="G13353" s="37" t="str">
        <f t="shared" si="1041"/>
        <v>Heavy Discount</v>
      </c>
      <c r="H13353" s="37" t="str">
        <f t="shared" si="1042"/>
        <v>High</v>
      </c>
      <c r="I13353">
        <v>9</v>
      </c>
      <c r="J13353" t="str" cm="1">
        <f t="array" ref="J13353">_xlfn.IFS(I13353&lt;=3,"small",I13353&lt;=6,"Medium",I13353&lt;=9,"Large")</f>
        <v>Large</v>
      </c>
      <c r="K13353" s="36">
        <v>45053</v>
      </c>
      <c r="L13353" s="36">
        <v>45058</v>
      </c>
      <c r="M13353" t="s">
        <v>603</v>
      </c>
      <c r="N13353" t="s">
        <v>608</v>
      </c>
      <c r="O13353" s="37" t="str">
        <f t="shared" si="1043"/>
        <v>Cash Payment</v>
      </c>
      <c r="P13353">
        <v>582.22</v>
      </c>
      <c r="Q13353" s="37" t="str">
        <f>IF(P13353&gt;500,"High","low")</f>
        <v>High</v>
      </c>
      <c r="R13353" s="37" t="str">
        <f t="shared" si="1044"/>
        <v>Good</v>
      </c>
      <c r="S13353" t="s">
        <v>609</v>
      </c>
    </row>
    <row r="13354" spans="1:19" x14ac:dyDescent="0.2">
      <c r="A13354" t="s">
        <v>13965</v>
      </c>
      <c r="B13354" t="s">
        <v>67</v>
      </c>
      <c r="C13354" t="s">
        <v>607</v>
      </c>
      <c r="D13354">
        <v>1992.84</v>
      </c>
      <c r="E13354" s="37" t="str">
        <f t="shared" si="1040"/>
        <v xml:space="preserve"> </v>
      </c>
      <c r="F13354">
        <v>0.38</v>
      </c>
      <c r="G13354" s="37" t="str">
        <f t="shared" si="1041"/>
        <v>Heavy Discount</v>
      </c>
      <c r="H13354" s="37" t="str">
        <f t="shared" si="1042"/>
        <v>Medium</v>
      </c>
      <c r="I13354">
        <v>7</v>
      </c>
      <c r="J13354" t="str" cm="1">
        <f t="array" ref="J13354">_xlfn.IFS(I13354&lt;=3,"small",I13354&lt;=6,"Medium",I13354&lt;=9,"Large")</f>
        <v>Large</v>
      </c>
      <c r="K13354" s="36">
        <v>45070</v>
      </c>
      <c r="L13354" s="36">
        <v>45074</v>
      </c>
      <c r="M13354" t="s">
        <v>603</v>
      </c>
      <c r="N13354" t="s">
        <v>599</v>
      </c>
      <c r="O13354" s="37" t="str">
        <f t="shared" si="1043"/>
        <v>Digital Payment</v>
      </c>
      <c r="P13354">
        <v>302.61</v>
      </c>
      <c r="Q13354" s="37" t="str">
        <f>IF(P13354&gt;500,"High","low")</f>
        <v>low</v>
      </c>
      <c r="R13354" s="37" t="str">
        <f t="shared" si="1044"/>
        <v>AVERAGE</v>
      </c>
      <c r="S13354" t="s">
        <v>600</v>
      </c>
    </row>
    <row r="13355" spans="1:19" x14ac:dyDescent="0.2">
      <c r="A13355" t="s">
        <v>13966</v>
      </c>
      <c r="B13355" t="s">
        <v>75</v>
      </c>
      <c r="C13355" t="s">
        <v>607</v>
      </c>
      <c r="D13355">
        <v>1807.47</v>
      </c>
      <c r="E13355" s="37" t="str">
        <f t="shared" si="1040"/>
        <v xml:space="preserve"> </v>
      </c>
      <c r="F13355">
        <v>0.27</v>
      </c>
      <c r="G13355" s="37" t="str">
        <f t="shared" si="1041"/>
        <v>Normal Discount</v>
      </c>
      <c r="H13355" s="37" t="str">
        <f t="shared" si="1042"/>
        <v>Medium</v>
      </c>
      <c r="I13355">
        <v>4</v>
      </c>
      <c r="J13355" t="str" cm="1">
        <f t="array" ref="J13355">_xlfn.IFS(I13355&lt;=3,"small",I13355&lt;=6,"Medium",I13355&lt;=9,"Large")</f>
        <v>Medium</v>
      </c>
      <c r="K13355" s="36">
        <v>45119</v>
      </c>
      <c r="L13355" s="36">
        <v>45122</v>
      </c>
      <c r="M13355" t="s">
        <v>612</v>
      </c>
      <c r="N13355" t="s">
        <v>604</v>
      </c>
      <c r="O13355" s="37" t="str">
        <f t="shared" si="1043"/>
        <v>Digital Payment</v>
      </c>
      <c r="P13355">
        <v>274.31</v>
      </c>
      <c r="Q13355" s="37" t="str">
        <f>IF(P13355&gt;500,"High","low")</f>
        <v>low</v>
      </c>
      <c r="R13355" s="37" t="str">
        <f t="shared" si="1044"/>
        <v>AVERAGE</v>
      </c>
      <c r="S13355" t="s">
        <v>609</v>
      </c>
    </row>
    <row r="13356" spans="1:19" x14ac:dyDescent="0.2">
      <c r="A13356" t="s">
        <v>13967</v>
      </c>
      <c r="B13356" t="s">
        <v>67</v>
      </c>
      <c r="C13356" t="s">
        <v>614</v>
      </c>
      <c r="D13356">
        <v>2218.11</v>
      </c>
      <c r="E13356" s="37" t="str">
        <f t="shared" si="1040"/>
        <v xml:space="preserve"> </v>
      </c>
      <c r="F13356">
        <v>0.24</v>
      </c>
      <c r="G13356" s="37" t="str">
        <f t="shared" si="1041"/>
        <v>Normal Discount</v>
      </c>
      <c r="H13356" s="37" t="str">
        <f t="shared" si="1042"/>
        <v>Medium</v>
      </c>
      <c r="I13356">
        <v>2</v>
      </c>
      <c r="J13356" t="str" cm="1">
        <f t="array" ref="J13356">_xlfn.IFS(I13356&lt;=3,"small",I13356&lt;=6,"Medium",I13356&lt;=9,"Large")</f>
        <v>small</v>
      </c>
      <c r="K13356" s="36">
        <v>45395</v>
      </c>
      <c r="L13356" s="36">
        <v>45398</v>
      </c>
      <c r="M13356" t="s">
        <v>603</v>
      </c>
      <c r="N13356" t="s">
        <v>604</v>
      </c>
      <c r="O13356" s="37" t="str">
        <f t="shared" si="1043"/>
        <v>Digital Payment</v>
      </c>
      <c r="P13356">
        <v>292.77999999999997</v>
      </c>
      <c r="Q13356" s="37" t="str">
        <f>IF(P13356&gt;500,"High","low")</f>
        <v>low</v>
      </c>
      <c r="R13356" s="37" t="str">
        <f t="shared" si="1044"/>
        <v>AVERAGE</v>
      </c>
      <c r="S13356" t="s">
        <v>615</v>
      </c>
    </row>
    <row r="13357" spans="1:19" x14ac:dyDescent="0.2">
      <c r="A13357" t="s">
        <v>13968</v>
      </c>
      <c r="B13357" t="s">
        <v>83</v>
      </c>
      <c r="C13357" t="s">
        <v>614</v>
      </c>
      <c r="D13357">
        <v>2066.17</v>
      </c>
      <c r="E13357" s="37" t="str">
        <f t="shared" si="1040"/>
        <v xml:space="preserve"> </v>
      </c>
      <c r="F13357">
        <v>0.08</v>
      </c>
      <c r="G13357" s="37" t="str">
        <f t="shared" si="1041"/>
        <v>Normal Discount</v>
      </c>
      <c r="H13357" s="37" t="str">
        <f t="shared" si="1042"/>
        <v>Low</v>
      </c>
      <c r="I13357">
        <v>7</v>
      </c>
      <c r="J13357" t="str" cm="1">
        <f t="array" ref="J13357">_xlfn.IFS(I13357&lt;=3,"small",I13357&lt;=6,"Medium",I13357&lt;=9,"Large")</f>
        <v>Large</v>
      </c>
      <c r="K13357" s="36">
        <v>45168</v>
      </c>
      <c r="L13357" s="36">
        <v>45175</v>
      </c>
      <c r="M13357" t="s">
        <v>603</v>
      </c>
      <c r="N13357" t="s">
        <v>604</v>
      </c>
      <c r="O13357" s="37" t="str">
        <f t="shared" si="1043"/>
        <v>Digital Payment</v>
      </c>
      <c r="P13357">
        <v>143.72999999999999</v>
      </c>
      <c r="Q13357" s="37" t="str">
        <f>IF(P13357&gt;500,"High","low")</f>
        <v>low</v>
      </c>
      <c r="R13357" s="37" t="str">
        <f t="shared" si="1044"/>
        <v>AVERAGE</v>
      </c>
      <c r="S13357" t="s">
        <v>609</v>
      </c>
    </row>
    <row r="13358" spans="1:19" x14ac:dyDescent="0.2">
      <c r="A13358" t="s">
        <v>13969</v>
      </c>
      <c r="B13358" t="s">
        <v>83</v>
      </c>
      <c r="C13358" t="s">
        <v>617</v>
      </c>
      <c r="D13358">
        <v>1364.45</v>
      </c>
      <c r="E13358" s="37" t="str">
        <f t="shared" si="1040"/>
        <v xml:space="preserve"> </v>
      </c>
      <c r="F13358">
        <v>0.19</v>
      </c>
      <c r="G13358" s="37" t="str">
        <f t="shared" si="1041"/>
        <v>Normal Discount</v>
      </c>
      <c r="H13358" s="37" t="str">
        <f t="shared" si="1042"/>
        <v>Low</v>
      </c>
      <c r="I13358">
        <v>8</v>
      </c>
      <c r="J13358" t="str" cm="1">
        <f t="array" ref="J13358">_xlfn.IFS(I13358&lt;=3,"small",I13358&lt;=6,"Medium",I13358&lt;=9,"Large")</f>
        <v>Large</v>
      </c>
      <c r="K13358" s="36">
        <v>44983</v>
      </c>
      <c r="L13358" s="36">
        <v>44984</v>
      </c>
      <c r="M13358" t="s">
        <v>598</v>
      </c>
      <c r="N13358" t="s">
        <v>608</v>
      </c>
      <c r="O13358" s="37" t="str">
        <f t="shared" si="1043"/>
        <v>Cash Payment</v>
      </c>
      <c r="P13358">
        <v>224.36</v>
      </c>
      <c r="Q13358" s="37" t="str">
        <f>IF(P13358&gt;500,"High","low")</f>
        <v>low</v>
      </c>
      <c r="R13358" s="37" t="str">
        <f t="shared" si="1044"/>
        <v>AVERAGE</v>
      </c>
      <c r="S13358" t="s">
        <v>615</v>
      </c>
    </row>
    <row r="13359" spans="1:19" x14ac:dyDescent="0.2">
      <c r="A13359" t="s">
        <v>13970</v>
      </c>
      <c r="B13359" t="s">
        <v>83</v>
      </c>
      <c r="C13359" t="s">
        <v>602</v>
      </c>
      <c r="D13359">
        <v>4955.1499999999996</v>
      </c>
      <c r="E13359" s="37" t="str">
        <f t="shared" si="1040"/>
        <v>Excellent Order</v>
      </c>
      <c r="F13359">
        <v>0.19</v>
      </c>
      <c r="G13359" s="37" t="str">
        <f t="shared" si="1041"/>
        <v>Normal Discount</v>
      </c>
      <c r="H13359" s="37" t="str">
        <f t="shared" si="1042"/>
        <v>Low</v>
      </c>
      <c r="I13359">
        <v>3</v>
      </c>
      <c r="J13359" t="str" cm="1">
        <f t="array" ref="J13359">_xlfn.IFS(I13359&lt;=3,"small",I13359&lt;=6,"Medium",I13359&lt;=9,"Large")</f>
        <v>small</v>
      </c>
      <c r="K13359" s="36">
        <v>45347</v>
      </c>
      <c r="L13359" s="36">
        <v>45350</v>
      </c>
      <c r="M13359" t="s">
        <v>598</v>
      </c>
      <c r="N13359" t="s">
        <v>608</v>
      </c>
      <c r="O13359" s="37" t="str">
        <f t="shared" si="1043"/>
        <v>Cash Payment</v>
      </c>
      <c r="P13359">
        <v>1317.87</v>
      </c>
      <c r="Q13359" s="37" t="str">
        <f>IF(P13359&gt;500,"High","low")</f>
        <v>High</v>
      </c>
      <c r="R13359" s="37" t="str">
        <f t="shared" si="1044"/>
        <v>Excellent</v>
      </c>
      <c r="S13359" t="s">
        <v>628</v>
      </c>
    </row>
    <row r="13360" spans="1:19" x14ac:dyDescent="0.2">
      <c r="A13360" t="s">
        <v>13971</v>
      </c>
      <c r="B13360" t="s">
        <v>67</v>
      </c>
      <c r="C13360" t="s">
        <v>607</v>
      </c>
      <c r="D13360">
        <v>4071.68</v>
      </c>
      <c r="E13360" s="37" t="str">
        <f t="shared" si="1040"/>
        <v xml:space="preserve"> </v>
      </c>
      <c r="F13360">
        <v>0.32</v>
      </c>
      <c r="G13360" s="37" t="str">
        <f t="shared" si="1041"/>
        <v>Heavy Discount</v>
      </c>
      <c r="H13360" s="37" t="str">
        <f t="shared" si="1042"/>
        <v>Medium</v>
      </c>
      <c r="I13360">
        <v>7</v>
      </c>
      <c r="J13360" t="str" cm="1">
        <f t="array" ref="J13360">_xlfn.IFS(I13360&lt;=3,"small",I13360&lt;=6,"Medium",I13360&lt;=9,"Large")</f>
        <v>Large</v>
      </c>
      <c r="K13360" s="36">
        <v>45605</v>
      </c>
      <c r="L13360" s="36">
        <v>45612</v>
      </c>
      <c r="M13360" t="s">
        <v>598</v>
      </c>
      <c r="N13360" t="s">
        <v>604</v>
      </c>
      <c r="O13360" s="37" t="str">
        <f t="shared" si="1043"/>
        <v>Digital Payment</v>
      </c>
      <c r="P13360">
        <v>636.63</v>
      </c>
      <c r="Q13360" s="37" t="str">
        <f>IF(P13360&gt;500,"High","low")</f>
        <v>High</v>
      </c>
      <c r="R13360" s="37" t="str">
        <f t="shared" si="1044"/>
        <v>Good</v>
      </c>
      <c r="S13360" t="s">
        <v>609</v>
      </c>
    </row>
    <row r="13361" spans="1:19" x14ac:dyDescent="0.2">
      <c r="A13361" t="s">
        <v>13972</v>
      </c>
      <c r="B13361" t="s">
        <v>83</v>
      </c>
      <c r="C13361" t="s">
        <v>602</v>
      </c>
      <c r="D13361">
        <v>1412.82</v>
      </c>
      <c r="E13361" s="37" t="str">
        <f t="shared" si="1040"/>
        <v xml:space="preserve"> </v>
      </c>
      <c r="F13361">
        <v>0.3</v>
      </c>
      <c r="G13361" s="37" t="str">
        <f t="shared" si="1041"/>
        <v>Normal Discount</v>
      </c>
      <c r="H13361" s="37" t="str">
        <f t="shared" si="1042"/>
        <v>Medium</v>
      </c>
      <c r="I13361">
        <v>1</v>
      </c>
      <c r="J13361" t="str" cm="1">
        <f t="array" ref="J13361">_xlfn.IFS(I13361&lt;=3,"small",I13361&lt;=6,"Medium",I13361&lt;=9,"Large")</f>
        <v>small</v>
      </c>
      <c r="K13361" s="36">
        <v>45503</v>
      </c>
      <c r="L13361" s="36">
        <v>45506</v>
      </c>
      <c r="M13361" t="s">
        <v>612</v>
      </c>
      <c r="N13361" t="s">
        <v>608</v>
      </c>
      <c r="O13361" s="37" t="str">
        <f t="shared" si="1043"/>
        <v>Cash Payment</v>
      </c>
      <c r="P13361">
        <v>121.3</v>
      </c>
      <c r="Q13361" s="37" t="str">
        <f>IF(P13361&gt;500,"High","low")</f>
        <v>low</v>
      </c>
      <c r="R13361" s="37" t="str">
        <f t="shared" si="1044"/>
        <v>AVERAGE</v>
      </c>
      <c r="S13361" t="s">
        <v>605</v>
      </c>
    </row>
    <row r="13362" spans="1:19" x14ac:dyDescent="0.2">
      <c r="A13362" t="s">
        <v>13973</v>
      </c>
      <c r="B13362" t="s">
        <v>83</v>
      </c>
      <c r="C13362" t="s">
        <v>597</v>
      </c>
      <c r="D13362">
        <v>4910.45</v>
      </c>
      <c r="E13362" s="37" t="str">
        <f t="shared" si="1040"/>
        <v xml:space="preserve"> </v>
      </c>
      <c r="F13362">
        <v>0.03</v>
      </c>
      <c r="G13362" s="37" t="str">
        <f t="shared" si="1041"/>
        <v>Normal Discount</v>
      </c>
      <c r="H13362" s="37" t="str">
        <f t="shared" si="1042"/>
        <v>Low</v>
      </c>
      <c r="I13362">
        <v>8</v>
      </c>
      <c r="J13362" t="str" cm="1">
        <f t="array" ref="J13362">_xlfn.IFS(I13362&lt;=3,"small",I13362&lt;=6,"Medium",I13362&lt;=9,"Large")</f>
        <v>Large</v>
      </c>
      <c r="K13362" s="36">
        <v>45359</v>
      </c>
      <c r="L13362" s="36">
        <v>45363</v>
      </c>
      <c r="M13362" t="s">
        <v>598</v>
      </c>
      <c r="N13362" t="s">
        <v>599</v>
      </c>
      <c r="O13362" s="37" t="str">
        <f t="shared" si="1043"/>
        <v>Digital Payment</v>
      </c>
      <c r="P13362">
        <v>622.59</v>
      </c>
      <c r="Q13362" s="37" t="str">
        <f>IF(P13362&gt;500,"High","low")</f>
        <v>High</v>
      </c>
      <c r="R13362" s="37" t="str">
        <f t="shared" si="1044"/>
        <v>Good</v>
      </c>
      <c r="S13362" t="s">
        <v>609</v>
      </c>
    </row>
    <row r="13363" spans="1:19" x14ac:dyDescent="0.2">
      <c r="A13363" t="s">
        <v>13974</v>
      </c>
      <c r="B13363" t="s">
        <v>75</v>
      </c>
      <c r="C13363" t="s">
        <v>607</v>
      </c>
      <c r="D13363">
        <v>176.1</v>
      </c>
      <c r="E13363" s="37" t="str">
        <f t="shared" si="1040"/>
        <v xml:space="preserve"> </v>
      </c>
      <c r="F13363">
        <v>0.42</v>
      </c>
      <c r="G13363" s="37" t="str">
        <f t="shared" si="1041"/>
        <v>Heavy Discount</v>
      </c>
      <c r="H13363" s="37" t="str">
        <f t="shared" si="1042"/>
        <v>High</v>
      </c>
      <c r="I13363">
        <v>7</v>
      </c>
      <c r="J13363" t="str" cm="1">
        <f t="array" ref="J13363">_xlfn.IFS(I13363&lt;=3,"small",I13363&lt;=6,"Medium",I13363&lt;=9,"Large")</f>
        <v>Large</v>
      </c>
      <c r="K13363" s="36">
        <v>44973</v>
      </c>
      <c r="L13363" s="36">
        <v>44975</v>
      </c>
      <c r="M13363" t="s">
        <v>603</v>
      </c>
      <c r="N13363" t="s">
        <v>608</v>
      </c>
      <c r="O13363" s="37" t="str">
        <f t="shared" si="1043"/>
        <v>Cash Payment</v>
      </c>
      <c r="P13363">
        <v>42.19</v>
      </c>
      <c r="Q13363" s="37" t="str">
        <f>IF(P13363&gt;500,"High","low")</f>
        <v>low</v>
      </c>
      <c r="R13363" s="37" t="str">
        <f t="shared" si="1044"/>
        <v>AVERAGE</v>
      </c>
      <c r="S13363" t="s">
        <v>628</v>
      </c>
    </row>
    <row r="13364" spans="1:19" x14ac:dyDescent="0.2">
      <c r="A13364" t="s">
        <v>13975</v>
      </c>
      <c r="B13364" t="s">
        <v>75</v>
      </c>
      <c r="C13364" t="s">
        <v>614</v>
      </c>
      <c r="D13364">
        <v>2245.6999999999998</v>
      </c>
      <c r="E13364" s="37" t="str">
        <f t="shared" si="1040"/>
        <v xml:space="preserve"> </v>
      </c>
      <c r="F13364">
        <v>0.47</v>
      </c>
      <c r="G13364" s="37" t="str">
        <f t="shared" si="1041"/>
        <v>Heavy Discount</v>
      </c>
      <c r="H13364" s="37" t="str">
        <f t="shared" si="1042"/>
        <v>High</v>
      </c>
      <c r="I13364">
        <v>6</v>
      </c>
      <c r="J13364" t="str" cm="1">
        <f t="array" ref="J13364">_xlfn.IFS(I13364&lt;=3,"small",I13364&lt;=6,"Medium",I13364&lt;=9,"Large")</f>
        <v>Medium</v>
      </c>
      <c r="K13364" s="36">
        <v>45350</v>
      </c>
      <c r="L13364" s="36">
        <v>45356</v>
      </c>
      <c r="M13364" t="s">
        <v>598</v>
      </c>
      <c r="N13364" t="s">
        <v>599</v>
      </c>
      <c r="O13364" s="37" t="str">
        <f t="shared" si="1043"/>
        <v>Digital Payment</v>
      </c>
      <c r="P13364">
        <v>255.16</v>
      </c>
      <c r="Q13364" s="37" t="str">
        <f>IF(P13364&gt;500,"High","low")</f>
        <v>low</v>
      </c>
      <c r="R13364" s="37" t="str">
        <f t="shared" si="1044"/>
        <v>AVERAGE</v>
      </c>
      <c r="S13364" t="s">
        <v>620</v>
      </c>
    </row>
    <row r="13365" spans="1:19" x14ac:dyDescent="0.2">
      <c r="A13365" t="s">
        <v>13976</v>
      </c>
      <c r="B13365" t="s">
        <v>90</v>
      </c>
      <c r="C13365" t="s">
        <v>617</v>
      </c>
      <c r="D13365">
        <v>2890.48</v>
      </c>
      <c r="E13365" s="37" t="str">
        <f t="shared" si="1040"/>
        <v xml:space="preserve"> </v>
      </c>
      <c r="F13365">
        <v>0.39</v>
      </c>
      <c r="G13365" s="37" t="str">
        <f t="shared" si="1041"/>
        <v>Heavy Discount</v>
      </c>
      <c r="H13365" s="37" t="str">
        <f t="shared" si="1042"/>
        <v>Medium</v>
      </c>
      <c r="I13365">
        <v>3</v>
      </c>
      <c r="J13365" t="str" cm="1">
        <f t="array" ref="J13365">_xlfn.IFS(I13365&lt;=3,"small",I13365&lt;=6,"Medium",I13365&lt;=9,"Large")</f>
        <v>small</v>
      </c>
      <c r="K13365" s="36">
        <v>45324</v>
      </c>
      <c r="L13365" s="36">
        <v>45331</v>
      </c>
      <c r="M13365" t="s">
        <v>612</v>
      </c>
      <c r="N13365" t="s">
        <v>608</v>
      </c>
      <c r="O13365" s="37" t="str">
        <f t="shared" si="1043"/>
        <v>Cash Payment</v>
      </c>
      <c r="P13365">
        <v>187.2</v>
      </c>
      <c r="Q13365" s="37" t="str">
        <f>IF(P13365&gt;500,"High","low")</f>
        <v>low</v>
      </c>
      <c r="R13365" s="37" t="str">
        <f t="shared" si="1044"/>
        <v>AVERAGE</v>
      </c>
      <c r="S13365" t="s">
        <v>600</v>
      </c>
    </row>
    <row r="13366" spans="1:19" x14ac:dyDescent="0.2">
      <c r="A13366" t="s">
        <v>13977</v>
      </c>
      <c r="B13366" t="s">
        <v>90</v>
      </c>
      <c r="C13366" t="s">
        <v>602</v>
      </c>
      <c r="D13366">
        <v>284.17</v>
      </c>
      <c r="E13366" s="37" t="str">
        <f t="shared" si="1040"/>
        <v xml:space="preserve"> </v>
      </c>
      <c r="F13366">
        <v>0.09</v>
      </c>
      <c r="G13366" s="37" t="str">
        <f t="shared" si="1041"/>
        <v>Normal Discount</v>
      </c>
      <c r="H13366" s="37" t="str">
        <f t="shared" si="1042"/>
        <v>Low</v>
      </c>
      <c r="I13366">
        <v>4</v>
      </c>
      <c r="J13366" t="str" cm="1">
        <f t="array" ref="J13366">_xlfn.IFS(I13366&lt;=3,"small",I13366&lt;=6,"Medium",I13366&lt;=9,"Large")</f>
        <v>Medium</v>
      </c>
      <c r="K13366" s="36">
        <v>45222</v>
      </c>
      <c r="L13366" s="36">
        <v>45226</v>
      </c>
      <c r="M13366" t="s">
        <v>612</v>
      </c>
      <c r="N13366" t="s">
        <v>599</v>
      </c>
      <c r="O13366" s="37" t="str">
        <f t="shared" si="1043"/>
        <v>Digital Payment</v>
      </c>
      <c r="P13366">
        <v>18.07</v>
      </c>
      <c r="Q13366" s="37" t="str">
        <f>IF(P13366&gt;500,"High","low")</f>
        <v>low</v>
      </c>
      <c r="R13366" s="37" t="str">
        <f t="shared" si="1044"/>
        <v>AVERAGE</v>
      </c>
      <c r="S13366" t="s">
        <v>628</v>
      </c>
    </row>
    <row r="13367" spans="1:19" x14ac:dyDescent="0.2">
      <c r="A13367" t="s">
        <v>13978</v>
      </c>
      <c r="B13367" t="s">
        <v>90</v>
      </c>
      <c r="C13367" t="s">
        <v>614</v>
      </c>
      <c r="D13367">
        <v>889.08</v>
      </c>
      <c r="E13367" s="37" t="str">
        <f t="shared" si="1040"/>
        <v xml:space="preserve"> </v>
      </c>
      <c r="F13367">
        <v>0.09</v>
      </c>
      <c r="G13367" s="37" t="str">
        <f t="shared" si="1041"/>
        <v>Normal Discount</v>
      </c>
      <c r="H13367" s="37" t="str">
        <f t="shared" si="1042"/>
        <v>Low</v>
      </c>
      <c r="I13367">
        <v>8</v>
      </c>
      <c r="J13367" t="str" cm="1">
        <f t="array" ref="J13367">_xlfn.IFS(I13367&lt;=3,"small",I13367&lt;=6,"Medium",I13367&lt;=9,"Large")</f>
        <v>Large</v>
      </c>
      <c r="K13367" s="36">
        <v>45230</v>
      </c>
      <c r="L13367" s="36">
        <v>45234</v>
      </c>
      <c r="M13367" t="s">
        <v>603</v>
      </c>
      <c r="N13367" t="s">
        <v>608</v>
      </c>
      <c r="O13367" s="37" t="str">
        <f t="shared" si="1043"/>
        <v>Cash Payment</v>
      </c>
      <c r="P13367">
        <v>179.36</v>
      </c>
      <c r="Q13367" s="37" t="str">
        <f>IF(P13367&gt;500,"High","low")</f>
        <v>low</v>
      </c>
      <c r="R13367" s="37" t="str">
        <f t="shared" si="1044"/>
        <v>AVERAGE</v>
      </c>
      <c r="S13367" t="s">
        <v>609</v>
      </c>
    </row>
    <row r="13368" spans="1:19" x14ac:dyDescent="0.2">
      <c r="A13368" t="s">
        <v>13979</v>
      </c>
      <c r="B13368" t="s">
        <v>90</v>
      </c>
      <c r="C13368" t="s">
        <v>617</v>
      </c>
      <c r="D13368">
        <v>1364.84</v>
      </c>
      <c r="E13368" s="37" t="str">
        <f t="shared" si="1040"/>
        <v xml:space="preserve"> </v>
      </c>
      <c r="F13368">
        <v>0.36</v>
      </c>
      <c r="G13368" s="37" t="str">
        <f t="shared" si="1041"/>
        <v>Heavy Discount</v>
      </c>
      <c r="H13368" s="37" t="str">
        <f t="shared" si="1042"/>
        <v>Medium</v>
      </c>
      <c r="I13368">
        <v>1</v>
      </c>
      <c r="J13368" t="str" cm="1">
        <f t="array" ref="J13368">_xlfn.IFS(I13368&lt;=3,"small",I13368&lt;=6,"Medium",I13368&lt;=9,"Large")</f>
        <v>small</v>
      </c>
      <c r="K13368" s="36">
        <v>45162</v>
      </c>
      <c r="L13368" s="36">
        <v>45167</v>
      </c>
      <c r="M13368" t="s">
        <v>603</v>
      </c>
      <c r="N13368" t="s">
        <v>608</v>
      </c>
      <c r="O13368" s="37" t="str">
        <f t="shared" si="1043"/>
        <v>Cash Payment</v>
      </c>
      <c r="P13368">
        <v>374.6</v>
      </c>
      <c r="Q13368" s="37" t="str">
        <f>IF(P13368&gt;500,"High","low")</f>
        <v>low</v>
      </c>
      <c r="R13368" s="37" t="str">
        <f t="shared" si="1044"/>
        <v>AVERAGE</v>
      </c>
      <c r="S13368" t="s">
        <v>615</v>
      </c>
    </row>
    <row r="13369" spans="1:19" x14ac:dyDescent="0.2">
      <c r="A13369" t="s">
        <v>13980</v>
      </c>
      <c r="B13369" t="s">
        <v>75</v>
      </c>
      <c r="C13369" t="s">
        <v>614</v>
      </c>
      <c r="D13369">
        <v>3629.11</v>
      </c>
      <c r="E13369" s="37" t="str">
        <f t="shared" si="1040"/>
        <v xml:space="preserve"> </v>
      </c>
      <c r="F13369">
        <v>0.22</v>
      </c>
      <c r="G13369" s="37" t="str">
        <f t="shared" si="1041"/>
        <v>Normal Discount</v>
      </c>
      <c r="H13369" s="37" t="str">
        <f t="shared" si="1042"/>
        <v>Medium</v>
      </c>
      <c r="I13369">
        <v>2</v>
      </c>
      <c r="J13369" t="str" cm="1">
        <f t="array" ref="J13369">_xlfn.IFS(I13369&lt;=3,"small",I13369&lt;=6,"Medium",I13369&lt;=9,"Large")</f>
        <v>small</v>
      </c>
      <c r="K13369" s="36">
        <v>45342</v>
      </c>
      <c r="L13369" s="36">
        <v>45348</v>
      </c>
      <c r="M13369" t="s">
        <v>598</v>
      </c>
      <c r="N13369" t="s">
        <v>599</v>
      </c>
      <c r="O13369" s="37" t="str">
        <f t="shared" si="1043"/>
        <v>Digital Payment</v>
      </c>
      <c r="P13369">
        <v>417.43</v>
      </c>
      <c r="Q13369" s="37" t="str">
        <f>IF(P13369&gt;500,"High","low")</f>
        <v>low</v>
      </c>
      <c r="R13369" s="37" t="str">
        <f t="shared" si="1044"/>
        <v>AVERAGE</v>
      </c>
      <c r="S13369" t="s">
        <v>600</v>
      </c>
    </row>
    <row r="13370" spans="1:19" x14ac:dyDescent="0.2">
      <c r="A13370" t="s">
        <v>13981</v>
      </c>
      <c r="B13370" t="s">
        <v>75</v>
      </c>
      <c r="C13370" t="s">
        <v>607</v>
      </c>
      <c r="D13370">
        <v>4704.74</v>
      </c>
      <c r="E13370" s="37" t="str">
        <f t="shared" si="1040"/>
        <v>Excellent Order</v>
      </c>
      <c r="F13370">
        <v>0.39</v>
      </c>
      <c r="G13370" s="37" t="str">
        <f t="shared" si="1041"/>
        <v>Heavy Discount</v>
      </c>
      <c r="H13370" s="37" t="str">
        <f t="shared" si="1042"/>
        <v>Medium</v>
      </c>
      <c r="I13370">
        <v>1</v>
      </c>
      <c r="J13370" t="str" cm="1">
        <f t="array" ref="J13370">_xlfn.IFS(I13370&lt;=3,"small",I13370&lt;=6,"Medium",I13370&lt;=9,"Large")</f>
        <v>small</v>
      </c>
      <c r="K13370" s="36">
        <v>45539</v>
      </c>
      <c r="L13370" s="36">
        <v>45544</v>
      </c>
      <c r="M13370" t="s">
        <v>598</v>
      </c>
      <c r="N13370" t="s">
        <v>599</v>
      </c>
      <c r="O13370" s="37" t="str">
        <f t="shared" si="1043"/>
        <v>Digital Payment</v>
      </c>
      <c r="P13370">
        <v>1397.24</v>
      </c>
      <c r="Q13370" s="37" t="str">
        <f>IF(P13370&gt;500,"High","low")</f>
        <v>High</v>
      </c>
      <c r="R13370" s="37" t="str">
        <f t="shared" si="1044"/>
        <v>Excellent</v>
      </c>
      <c r="S13370" t="s">
        <v>628</v>
      </c>
    </row>
    <row r="13371" spans="1:19" x14ac:dyDescent="0.2">
      <c r="A13371" t="s">
        <v>13982</v>
      </c>
      <c r="B13371" t="s">
        <v>75</v>
      </c>
      <c r="C13371" t="s">
        <v>602</v>
      </c>
      <c r="D13371">
        <v>3160.22</v>
      </c>
      <c r="E13371" s="37" t="str">
        <f t="shared" si="1040"/>
        <v xml:space="preserve"> </v>
      </c>
      <c r="F13371">
        <v>0.04</v>
      </c>
      <c r="G13371" s="37" t="str">
        <f t="shared" si="1041"/>
        <v>Normal Discount</v>
      </c>
      <c r="H13371" s="37" t="str">
        <f t="shared" si="1042"/>
        <v>Low</v>
      </c>
      <c r="I13371">
        <v>4</v>
      </c>
      <c r="J13371" t="str" cm="1">
        <f t="array" ref="J13371">_xlfn.IFS(I13371&lt;=3,"small",I13371&lt;=6,"Medium",I13371&lt;=9,"Large")</f>
        <v>Medium</v>
      </c>
      <c r="K13371" s="36">
        <v>45599</v>
      </c>
      <c r="L13371" s="36">
        <v>45603</v>
      </c>
      <c r="M13371" t="s">
        <v>598</v>
      </c>
      <c r="N13371" t="s">
        <v>599</v>
      </c>
      <c r="O13371" s="37" t="str">
        <f t="shared" si="1043"/>
        <v>Digital Payment</v>
      </c>
      <c r="P13371">
        <v>332.01</v>
      </c>
      <c r="Q13371" s="37" t="str">
        <f>IF(P13371&gt;500,"High","low")</f>
        <v>low</v>
      </c>
      <c r="R13371" s="37" t="str">
        <f t="shared" si="1044"/>
        <v>AVERAGE</v>
      </c>
      <c r="S13371" t="s">
        <v>609</v>
      </c>
    </row>
    <row r="13372" spans="1:19" x14ac:dyDescent="0.2">
      <c r="A13372" t="s">
        <v>13983</v>
      </c>
      <c r="B13372" t="s">
        <v>83</v>
      </c>
      <c r="C13372" t="s">
        <v>597</v>
      </c>
      <c r="D13372">
        <v>2857.04</v>
      </c>
      <c r="E13372" s="37" t="str">
        <f t="shared" si="1040"/>
        <v xml:space="preserve"> </v>
      </c>
      <c r="F13372">
        <v>0.36</v>
      </c>
      <c r="G13372" s="37" t="str">
        <f t="shared" si="1041"/>
        <v>Heavy Discount</v>
      </c>
      <c r="H13372" s="37" t="str">
        <f t="shared" si="1042"/>
        <v>Medium</v>
      </c>
      <c r="I13372">
        <v>6</v>
      </c>
      <c r="J13372" t="str" cm="1">
        <f t="array" ref="J13372">_xlfn.IFS(I13372&lt;=3,"small",I13372&lt;=6,"Medium",I13372&lt;=9,"Large")</f>
        <v>Medium</v>
      </c>
      <c r="K13372" s="36">
        <v>45340</v>
      </c>
      <c r="L13372" s="36">
        <v>45345</v>
      </c>
      <c r="M13372" t="s">
        <v>612</v>
      </c>
      <c r="N13372" t="s">
        <v>604</v>
      </c>
      <c r="O13372" s="37" t="str">
        <f t="shared" si="1043"/>
        <v>Digital Payment</v>
      </c>
      <c r="P13372">
        <v>390.05</v>
      </c>
      <c r="Q13372" s="37" t="str">
        <f>IF(P13372&gt;500,"High","low")</f>
        <v>low</v>
      </c>
      <c r="R13372" s="37" t="str">
        <f t="shared" si="1044"/>
        <v>AVERAGE</v>
      </c>
      <c r="S13372" t="s">
        <v>620</v>
      </c>
    </row>
    <row r="13373" spans="1:19" x14ac:dyDescent="0.2">
      <c r="A13373" t="s">
        <v>13984</v>
      </c>
      <c r="B13373" t="s">
        <v>83</v>
      </c>
      <c r="C13373" t="s">
        <v>614</v>
      </c>
      <c r="D13373">
        <v>2730.12</v>
      </c>
      <c r="E13373" s="37" t="str">
        <f t="shared" si="1040"/>
        <v xml:space="preserve"> </v>
      </c>
      <c r="F13373">
        <v>0.21</v>
      </c>
      <c r="G13373" s="37" t="str">
        <f t="shared" si="1041"/>
        <v>Normal Discount</v>
      </c>
      <c r="H13373" s="37" t="str">
        <f t="shared" si="1042"/>
        <v>Medium</v>
      </c>
      <c r="I13373">
        <v>5</v>
      </c>
      <c r="J13373" t="str" cm="1">
        <f t="array" ref="J13373">_xlfn.IFS(I13373&lt;=3,"small",I13373&lt;=6,"Medium",I13373&lt;=9,"Large")</f>
        <v>Medium</v>
      </c>
      <c r="K13373" s="36">
        <v>45046</v>
      </c>
      <c r="L13373" s="36">
        <v>45047</v>
      </c>
      <c r="M13373" t="s">
        <v>598</v>
      </c>
      <c r="N13373" t="s">
        <v>608</v>
      </c>
      <c r="O13373" s="37" t="str">
        <f t="shared" si="1043"/>
        <v>Cash Payment</v>
      </c>
      <c r="P13373">
        <v>455.65</v>
      </c>
      <c r="Q13373" s="37" t="str">
        <f>IF(P13373&gt;500,"High","low")</f>
        <v>low</v>
      </c>
      <c r="R13373" s="37" t="str">
        <f t="shared" si="1044"/>
        <v>AVERAGE</v>
      </c>
      <c r="S13373" t="s">
        <v>600</v>
      </c>
    </row>
    <row r="13374" spans="1:19" x14ac:dyDescent="0.2">
      <c r="A13374" t="s">
        <v>13985</v>
      </c>
      <c r="B13374" t="s">
        <v>90</v>
      </c>
      <c r="C13374" t="s">
        <v>602</v>
      </c>
      <c r="D13374">
        <v>1818.45</v>
      </c>
      <c r="E13374" s="37" t="str">
        <f t="shared" si="1040"/>
        <v xml:space="preserve"> </v>
      </c>
      <c r="F13374">
        <v>0.02</v>
      </c>
      <c r="G13374" s="37" t="str">
        <f t="shared" si="1041"/>
        <v>Normal Discount</v>
      </c>
      <c r="H13374" s="37" t="str">
        <f t="shared" si="1042"/>
        <v>Low</v>
      </c>
      <c r="I13374">
        <v>6</v>
      </c>
      <c r="J13374" t="str" cm="1">
        <f t="array" ref="J13374">_xlfn.IFS(I13374&lt;=3,"small",I13374&lt;=6,"Medium",I13374&lt;=9,"Large")</f>
        <v>Medium</v>
      </c>
      <c r="K13374" s="36">
        <v>45592</v>
      </c>
      <c r="L13374" s="36">
        <v>45595</v>
      </c>
      <c r="M13374" t="s">
        <v>598</v>
      </c>
      <c r="N13374" t="s">
        <v>608</v>
      </c>
      <c r="O13374" s="37" t="str">
        <f t="shared" si="1043"/>
        <v>Cash Payment</v>
      </c>
      <c r="P13374">
        <v>139.81</v>
      </c>
      <c r="Q13374" s="37" t="str">
        <f>IF(P13374&gt;500,"High","low")</f>
        <v>low</v>
      </c>
      <c r="R13374" s="37" t="str">
        <f t="shared" si="1044"/>
        <v>AVERAGE</v>
      </c>
      <c r="S13374" t="s">
        <v>600</v>
      </c>
    </row>
    <row r="13375" spans="1:19" x14ac:dyDescent="0.2">
      <c r="A13375" t="s">
        <v>13986</v>
      </c>
      <c r="B13375" t="s">
        <v>83</v>
      </c>
      <c r="C13375" t="s">
        <v>607</v>
      </c>
      <c r="D13375">
        <v>4155.8</v>
      </c>
      <c r="E13375" s="37" t="str">
        <f t="shared" si="1040"/>
        <v xml:space="preserve"> </v>
      </c>
      <c r="F13375">
        <v>0.27</v>
      </c>
      <c r="G13375" s="37" t="str">
        <f t="shared" si="1041"/>
        <v>Normal Discount</v>
      </c>
      <c r="H13375" s="37" t="str">
        <f t="shared" si="1042"/>
        <v>Medium</v>
      </c>
      <c r="I13375">
        <v>2</v>
      </c>
      <c r="J13375" t="str" cm="1">
        <f t="array" ref="J13375">_xlfn.IFS(I13375&lt;=3,"small",I13375&lt;=6,"Medium",I13375&lt;=9,"Large")</f>
        <v>small</v>
      </c>
      <c r="K13375" s="36">
        <v>45481</v>
      </c>
      <c r="L13375" s="36">
        <v>45487</v>
      </c>
      <c r="M13375" t="s">
        <v>603</v>
      </c>
      <c r="N13375" t="s">
        <v>604</v>
      </c>
      <c r="O13375" s="37" t="str">
        <f t="shared" si="1043"/>
        <v>Digital Payment</v>
      </c>
      <c r="P13375">
        <v>512.38</v>
      </c>
      <c r="Q13375" s="37" t="str">
        <f>IF(P13375&gt;500,"High","low")</f>
        <v>High</v>
      </c>
      <c r="R13375" s="37" t="str">
        <f t="shared" si="1044"/>
        <v>Good</v>
      </c>
      <c r="S13375" t="s">
        <v>605</v>
      </c>
    </row>
    <row r="13376" spans="1:19" x14ac:dyDescent="0.2">
      <c r="A13376" t="s">
        <v>13987</v>
      </c>
      <c r="B13376" t="s">
        <v>67</v>
      </c>
      <c r="C13376" t="s">
        <v>614</v>
      </c>
      <c r="D13376">
        <v>2749.76</v>
      </c>
      <c r="E13376" s="37" t="str">
        <f t="shared" si="1040"/>
        <v xml:space="preserve"> </v>
      </c>
      <c r="F13376">
        <v>0.35</v>
      </c>
      <c r="G13376" s="37" t="str">
        <f t="shared" si="1041"/>
        <v>Heavy Discount</v>
      </c>
      <c r="H13376" s="37" t="str">
        <f t="shared" si="1042"/>
        <v>Medium</v>
      </c>
      <c r="I13376">
        <v>5</v>
      </c>
      <c r="J13376" t="str" cm="1">
        <f t="array" ref="J13376">_xlfn.IFS(I13376&lt;=3,"small",I13376&lt;=6,"Medium",I13376&lt;=9,"Large")</f>
        <v>Medium</v>
      </c>
      <c r="K13376" s="36">
        <v>45365</v>
      </c>
      <c r="L13376" s="36">
        <v>45372</v>
      </c>
      <c r="M13376" t="s">
        <v>612</v>
      </c>
      <c r="N13376" t="s">
        <v>608</v>
      </c>
      <c r="O13376" s="37" t="str">
        <f t="shared" si="1043"/>
        <v>Cash Payment</v>
      </c>
      <c r="P13376">
        <v>550.95000000000005</v>
      </c>
      <c r="Q13376" s="37" t="str">
        <f>IF(P13376&gt;500,"High","low")</f>
        <v>High</v>
      </c>
      <c r="R13376" s="37" t="str">
        <f t="shared" si="1044"/>
        <v>Good</v>
      </c>
      <c r="S13376" t="s">
        <v>609</v>
      </c>
    </row>
    <row r="13377" spans="1:19" x14ac:dyDescent="0.2">
      <c r="A13377" t="s">
        <v>13988</v>
      </c>
      <c r="B13377" t="s">
        <v>75</v>
      </c>
      <c r="C13377" t="s">
        <v>607</v>
      </c>
      <c r="D13377">
        <v>1227.51</v>
      </c>
      <c r="E13377" s="37" t="str">
        <f t="shared" si="1040"/>
        <v xml:space="preserve"> </v>
      </c>
      <c r="F13377">
        <v>0.26</v>
      </c>
      <c r="G13377" s="37" t="str">
        <f t="shared" si="1041"/>
        <v>Normal Discount</v>
      </c>
      <c r="H13377" s="37" t="str">
        <f t="shared" si="1042"/>
        <v>Medium</v>
      </c>
      <c r="I13377">
        <v>1</v>
      </c>
      <c r="J13377" t="str" cm="1">
        <f t="array" ref="J13377">_xlfn.IFS(I13377&lt;=3,"small",I13377&lt;=6,"Medium",I13377&lt;=9,"Large")</f>
        <v>small</v>
      </c>
      <c r="K13377" s="36">
        <v>45482</v>
      </c>
      <c r="L13377" s="36">
        <v>45489</v>
      </c>
      <c r="M13377" t="s">
        <v>612</v>
      </c>
      <c r="N13377" t="s">
        <v>599</v>
      </c>
      <c r="O13377" s="37" t="str">
        <f t="shared" si="1043"/>
        <v>Digital Payment</v>
      </c>
      <c r="P13377">
        <v>65.09</v>
      </c>
      <c r="Q13377" s="37" t="str">
        <f>IF(P13377&gt;500,"High","low")</f>
        <v>low</v>
      </c>
      <c r="R13377" s="37" t="str">
        <f t="shared" si="1044"/>
        <v>AVERAGE</v>
      </c>
      <c r="S13377" t="s">
        <v>628</v>
      </c>
    </row>
    <row r="13378" spans="1:19" x14ac:dyDescent="0.2">
      <c r="A13378" t="s">
        <v>13989</v>
      </c>
      <c r="B13378" t="s">
        <v>90</v>
      </c>
      <c r="C13378" t="s">
        <v>597</v>
      </c>
      <c r="D13378">
        <v>770.47</v>
      </c>
      <c r="E13378" s="37" t="str">
        <f t="shared" si="1040"/>
        <v xml:space="preserve"> </v>
      </c>
      <c r="F13378">
        <v>0.06</v>
      </c>
      <c r="G13378" s="37" t="str">
        <f t="shared" si="1041"/>
        <v>Normal Discount</v>
      </c>
      <c r="H13378" s="37" t="str">
        <f t="shared" si="1042"/>
        <v>Low</v>
      </c>
      <c r="I13378">
        <v>6</v>
      </c>
      <c r="J13378" t="str" cm="1">
        <f t="array" ref="J13378">_xlfn.IFS(I13378&lt;=3,"small",I13378&lt;=6,"Medium",I13378&lt;=9,"Large")</f>
        <v>Medium</v>
      </c>
      <c r="K13378" s="36">
        <v>45004</v>
      </c>
      <c r="L13378" s="36">
        <v>45008</v>
      </c>
      <c r="M13378" t="s">
        <v>603</v>
      </c>
      <c r="N13378" t="s">
        <v>599</v>
      </c>
      <c r="O13378" s="37" t="str">
        <f t="shared" si="1043"/>
        <v>Digital Payment</v>
      </c>
      <c r="P13378">
        <v>131.65</v>
      </c>
      <c r="Q13378" s="37" t="str">
        <f>IF(P13378&gt;500,"High","low")</f>
        <v>low</v>
      </c>
      <c r="R13378" s="37" t="str">
        <f t="shared" si="1044"/>
        <v>AVERAGE</v>
      </c>
      <c r="S13378" t="s">
        <v>600</v>
      </c>
    </row>
    <row r="13379" spans="1:19" x14ac:dyDescent="0.2">
      <c r="A13379" t="s">
        <v>13990</v>
      </c>
      <c r="B13379" t="s">
        <v>90</v>
      </c>
      <c r="C13379" t="s">
        <v>597</v>
      </c>
      <c r="D13379">
        <v>4929.01</v>
      </c>
      <c r="E13379" s="37" t="str">
        <f t="shared" ref="E13379:E13442" si="1045">IF(AND(D13379&gt;4000,P13379&gt;800),"Excellent Order"," ")</f>
        <v>Excellent Order</v>
      </c>
      <c r="F13379">
        <v>0.41</v>
      </c>
      <c r="G13379" s="37" t="str">
        <f t="shared" ref="G13379:G13442" si="1046">IF(F13379&gt;30%,"Heavy Discount","Normal Discount")</f>
        <v>Heavy Discount</v>
      </c>
      <c r="H13379" s="37" t="str">
        <f t="shared" ref="H13379:H13442" si="1047">IF(F13379&gt;0.4,"High",IF(F13379&gt;=0.2,"Medium","Low"))</f>
        <v>High</v>
      </c>
      <c r="I13379">
        <v>4</v>
      </c>
      <c r="J13379" t="str" cm="1">
        <f t="array" ref="J13379">_xlfn.IFS(I13379&lt;=3,"small",I13379&lt;=6,"Medium",I13379&lt;=9,"Large")</f>
        <v>Medium</v>
      </c>
      <c r="K13379" s="36">
        <v>45258</v>
      </c>
      <c r="L13379" s="36">
        <v>45260</v>
      </c>
      <c r="M13379" t="s">
        <v>612</v>
      </c>
      <c r="N13379" t="s">
        <v>604</v>
      </c>
      <c r="O13379" s="37" t="str">
        <f t="shared" ref="O13379:O13442" si="1048">IF(OR(N13379="Card",N13379="UPI"),"Digital Payment","Cash Payment")</f>
        <v>Digital Payment</v>
      </c>
      <c r="P13379">
        <v>1059.02</v>
      </c>
      <c r="Q13379" s="37" t="str">
        <f>IF(P13379&gt;500,"High","low")</f>
        <v>High</v>
      </c>
      <c r="R13379" s="37" t="str">
        <f t="shared" ref="R13379:R13442" si="1049">IF(P13379&gt;1000,"Excellent",IF(P13379&gt;=500,"Good","AVERAGE"))</f>
        <v>Excellent</v>
      </c>
      <c r="S13379" t="s">
        <v>605</v>
      </c>
    </row>
    <row r="13380" spans="1:19" x14ac:dyDescent="0.2">
      <c r="A13380" t="s">
        <v>13991</v>
      </c>
      <c r="B13380" t="s">
        <v>67</v>
      </c>
      <c r="C13380" t="s">
        <v>617</v>
      </c>
      <c r="D13380">
        <v>185.62</v>
      </c>
      <c r="E13380" s="37" t="str">
        <f t="shared" si="1045"/>
        <v xml:space="preserve"> </v>
      </c>
      <c r="F13380">
        <v>0.16</v>
      </c>
      <c r="G13380" s="37" t="str">
        <f t="shared" si="1046"/>
        <v>Normal Discount</v>
      </c>
      <c r="H13380" s="37" t="str">
        <f t="shared" si="1047"/>
        <v>Low</v>
      </c>
      <c r="I13380">
        <v>9</v>
      </c>
      <c r="J13380" t="str" cm="1">
        <f t="array" ref="J13380">_xlfn.IFS(I13380&lt;=3,"small",I13380&lt;=6,"Medium",I13380&lt;=9,"Large")</f>
        <v>Large</v>
      </c>
      <c r="K13380" s="36">
        <v>45034</v>
      </c>
      <c r="L13380" s="36">
        <v>45039</v>
      </c>
      <c r="M13380" t="s">
        <v>603</v>
      </c>
      <c r="N13380" t="s">
        <v>608</v>
      </c>
      <c r="O13380" s="37" t="str">
        <f t="shared" si="1048"/>
        <v>Cash Payment</v>
      </c>
      <c r="P13380">
        <v>23.12</v>
      </c>
      <c r="Q13380" s="37" t="str">
        <f>IF(P13380&gt;500,"High","low")</f>
        <v>low</v>
      </c>
      <c r="R13380" s="37" t="str">
        <f t="shared" si="1049"/>
        <v>AVERAGE</v>
      </c>
      <c r="S13380" t="s">
        <v>628</v>
      </c>
    </row>
    <row r="13381" spans="1:19" x14ac:dyDescent="0.2">
      <c r="A13381" t="s">
        <v>13992</v>
      </c>
      <c r="B13381" t="s">
        <v>83</v>
      </c>
      <c r="C13381" t="s">
        <v>617</v>
      </c>
      <c r="D13381">
        <v>4673.8599999999997</v>
      </c>
      <c r="E13381" s="37" t="str">
        <f t="shared" si="1045"/>
        <v>Excellent Order</v>
      </c>
      <c r="F13381">
        <v>0.46</v>
      </c>
      <c r="G13381" s="37" t="str">
        <f t="shared" si="1046"/>
        <v>Heavy Discount</v>
      </c>
      <c r="H13381" s="37" t="str">
        <f t="shared" si="1047"/>
        <v>High</v>
      </c>
      <c r="I13381">
        <v>3</v>
      </c>
      <c r="J13381" t="str" cm="1">
        <f t="array" ref="J13381">_xlfn.IFS(I13381&lt;=3,"small",I13381&lt;=6,"Medium",I13381&lt;=9,"Large")</f>
        <v>small</v>
      </c>
      <c r="K13381" s="36">
        <v>45313</v>
      </c>
      <c r="L13381" s="36">
        <v>45320</v>
      </c>
      <c r="M13381" t="s">
        <v>603</v>
      </c>
      <c r="N13381" t="s">
        <v>608</v>
      </c>
      <c r="O13381" s="37" t="str">
        <f t="shared" si="1048"/>
        <v>Cash Payment</v>
      </c>
      <c r="P13381">
        <v>1251.56</v>
      </c>
      <c r="Q13381" s="37" t="str">
        <f>IF(P13381&gt;500,"High","low")</f>
        <v>High</v>
      </c>
      <c r="R13381" s="37" t="str">
        <f t="shared" si="1049"/>
        <v>Excellent</v>
      </c>
      <c r="S13381" t="s">
        <v>609</v>
      </c>
    </row>
    <row r="13382" spans="1:19" x14ac:dyDescent="0.2">
      <c r="A13382" t="s">
        <v>13993</v>
      </c>
      <c r="B13382" t="s">
        <v>90</v>
      </c>
      <c r="C13382" t="s">
        <v>617</v>
      </c>
      <c r="D13382">
        <v>1169.69</v>
      </c>
      <c r="E13382" s="37" t="str">
        <f t="shared" si="1045"/>
        <v xml:space="preserve"> </v>
      </c>
      <c r="F13382">
        <v>0.45</v>
      </c>
      <c r="G13382" s="37" t="str">
        <f t="shared" si="1046"/>
        <v>Heavy Discount</v>
      </c>
      <c r="H13382" s="37" t="str">
        <f t="shared" si="1047"/>
        <v>High</v>
      </c>
      <c r="I13382">
        <v>3</v>
      </c>
      <c r="J13382" t="str" cm="1">
        <f t="array" ref="J13382">_xlfn.IFS(I13382&lt;=3,"small",I13382&lt;=6,"Medium",I13382&lt;=9,"Large")</f>
        <v>small</v>
      </c>
      <c r="K13382" s="36">
        <v>44933</v>
      </c>
      <c r="L13382" s="36">
        <v>44934</v>
      </c>
      <c r="M13382" t="s">
        <v>603</v>
      </c>
      <c r="N13382" t="s">
        <v>604</v>
      </c>
      <c r="O13382" s="37" t="str">
        <f t="shared" si="1048"/>
        <v>Digital Payment</v>
      </c>
      <c r="P13382">
        <v>139.56</v>
      </c>
      <c r="Q13382" s="37" t="str">
        <f>IF(P13382&gt;500,"High","low")</f>
        <v>low</v>
      </c>
      <c r="R13382" s="37" t="str">
        <f t="shared" si="1049"/>
        <v>AVERAGE</v>
      </c>
      <c r="S13382" t="s">
        <v>600</v>
      </c>
    </row>
    <row r="13383" spans="1:19" x14ac:dyDescent="0.2">
      <c r="A13383" t="s">
        <v>13994</v>
      </c>
      <c r="B13383" t="s">
        <v>83</v>
      </c>
      <c r="C13383" t="s">
        <v>607</v>
      </c>
      <c r="D13383">
        <v>3321.99</v>
      </c>
      <c r="E13383" s="37" t="str">
        <f t="shared" si="1045"/>
        <v xml:space="preserve"> </v>
      </c>
      <c r="F13383">
        <v>0.1</v>
      </c>
      <c r="G13383" s="37" t="str">
        <f t="shared" si="1046"/>
        <v>Normal Discount</v>
      </c>
      <c r="H13383" s="37" t="str">
        <f t="shared" si="1047"/>
        <v>Low</v>
      </c>
      <c r="I13383">
        <v>9</v>
      </c>
      <c r="J13383" t="str" cm="1">
        <f t="array" ref="J13383">_xlfn.IFS(I13383&lt;=3,"small",I13383&lt;=6,"Medium",I13383&lt;=9,"Large")</f>
        <v>Large</v>
      </c>
      <c r="K13383" s="36">
        <v>45496</v>
      </c>
      <c r="L13383" s="36">
        <v>45501</v>
      </c>
      <c r="M13383" t="s">
        <v>598</v>
      </c>
      <c r="N13383" t="s">
        <v>599</v>
      </c>
      <c r="O13383" s="37" t="str">
        <f t="shared" si="1048"/>
        <v>Digital Payment</v>
      </c>
      <c r="P13383">
        <v>923.54</v>
      </c>
      <c r="Q13383" s="37" t="str">
        <f>IF(P13383&gt;500,"High","low")</f>
        <v>High</v>
      </c>
      <c r="R13383" s="37" t="str">
        <f t="shared" si="1049"/>
        <v>Good</v>
      </c>
      <c r="S13383" t="s">
        <v>600</v>
      </c>
    </row>
    <row r="13384" spans="1:19" x14ac:dyDescent="0.2">
      <c r="A13384" t="s">
        <v>13995</v>
      </c>
      <c r="B13384" t="s">
        <v>83</v>
      </c>
      <c r="C13384" t="s">
        <v>617</v>
      </c>
      <c r="D13384">
        <v>1577.51</v>
      </c>
      <c r="E13384" s="37" t="str">
        <f t="shared" si="1045"/>
        <v xml:space="preserve"> </v>
      </c>
      <c r="F13384">
        <v>0.24</v>
      </c>
      <c r="G13384" s="37" t="str">
        <f t="shared" si="1046"/>
        <v>Normal Discount</v>
      </c>
      <c r="H13384" s="37" t="str">
        <f t="shared" si="1047"/>
        <v>Medium</v>
      </c>
      <c r="I13384">
        <v>4</v>
      </c>
      <c r="J13384" t="str" cm="1">
        <f t="array" ref="J13384">_xlfn.IFS(I13384&lt;=3,"small",I13384&lt;=6,"Medium",I13384&lt;=9,"Large")</f>
        <v>Medium</v>
      </c>
      <c r="K13384" s="36">
        <v>45320</v>
      </c>
      <c r="L13384" s="36">
        <v>45321</v>
      </c>
      <c r="M13384" t="s">
        <v>598</v>
      </c>
      <c r="N13384" t="s">
        <v>599</v>
      </c>
      <c r="O13384" s="37" t="str">
        <f t="shared" si="1048"/>
        <v>Digital Payment</v>
      </c>
      <c r="P13384">
        <v>407.49</v>
      </c>
      <c r="Q13384" s="37" t="str">
        <f>IF(P13384&gt;500,"High","low")</f>
        <v>low</v>
      </c>
      <c r="R13384" s="37" t="str">
        <f t="shared" si="1049"/>
        <v>AVERAGE</v>
      </c>
      <c r="S13384" t="s">
        <v>600</v>
      </c>
    </row>
    <row r="13385" spans="1:19" x14ac:dyDescent="0.2">
      <c r="A13385" t="s">
        <v>13996</v>
      </c>
      <c r="B13385" t="s">
        <v>67</v>
      </c>
      <c r="C13385" t="s">
        <v>602</v>
      </c>
      <c r="D13385">
        <v>4313.07</v>
      </c>
      <c r="E13385" s="37" t="str">
        <f t="shared" si="1045"/>
        <v xml:space="preserve"> </v>
      </c>
      <c r="F13385">
        <v>7.0000000000000007E-2</v>
      </c>
      <c r="G13385" s="37" t="str">
        <f t="shared" si="1046"/>
        <v>Normal Discount</v>
      </c>
      <c r="H13385" s="37" t="str">
        <f t="shared" si="1047"/>
        <v>Low</v>
      </c>
      <c r="I13385">
        <v>7</v>
      </c>
      <c r="J13385" t="str" cm="1">
        <f t="array" ref="J13385">_xlfn.IFS(I13385&lt;=3,"small",I13385&lt;=6,"Medium",I13385&lt;=9,"Large")</f>
        <v>Large</v>
      </c>
      <c r="K13385" s="36">
        <v>45448</v>
      </c>
      <c r="L13385" s="36">
        <v>45454</v>
      </c>
      <c r="M13385" t="s">
        <v>612</v>
      </c>
      <c r="N13385" t="s">
        <v>608</v>
      </c>
      <c r="O13385" s="37" t="str">
        <f t="shared" si="1048"/>
        <v>Cash Payment</v>
      </c>
      <c r="P13385">
        <v>467.4</v>
      </c>
      <c r="Q13385" s="37" t="str">
        <f>IF(P13385&gt;500,"High","low")</f>
        <v>low</v>
      </c>
      <c r="R13385" s="37" t="str">
        <f t="shared" si="1049"/>
        <v>AVERAGE</v>
      </c>
      <c r="S13385" t="s">
        <v>615</v>
      </c>
    </row>
    <row r="13386" spans="1:19" x14ac:dyDescent="0.2">
      <c r="A13386" t="s">
        <v>13997</v>
      </c>
      <c r="B13386" t="s">
        <v>90</v>
      </c>
      <c r="C13386" t="s">
        <v>607</v>
      </c>
      <c r="D13386">
        <v>2762.88</v>
      </c>
      <c r="E13386" s="37" t="str">
        <f t="shared" si="1045"/>
        <v xml:space="preserve"> </v>
      </c>
      <c r="F13386">
        <v>0.34</v>
      </c>
      <c r="G13386" s="37" t="str">
        <f t="shared" si="1046"/>
        <v>Heavy Discount</v>
      </c>
      <c r="H13386" s="37" t="str">
        <f t="shared" si="1047"/>
        <v>Medium</v>
      </c>
      <c r="I13386">
        <v>2</v>
      </c>
      <c r="J13386" t="str" cm="1">
        <f t="array" ref="J13386">_xlfn.IFS(I13386&lt;=3,"small",I13386&lt;=6,"Medium",I13386&lt;=9,"Large")</f>
        <v>small</v>
      </c>
      <c r="K13386" s="36">
        <v>45154</v>
      </c>
      <c r="L13386" s="36">
        <v>45155</v>
      </c>
      <c r="M13386" t="s">
        <v>603</v>
      </c>
      <c r="N13386" t="s">
        <v>599</v>
      </c>
      <c r="O13386" s="37" t="str">
        <f t="shared" si="1048"/>
        <v>Digital Payment</v>
      </c>
      <c r="P13386">
        <v>181.64</v>
      </c>
      <c r="Q13386" s="37" t="str">
        <f>IF(P13386&gt;500,"High","low")</f>
        <v>low</v>
      </c>
      <c r="R13386" s="37" t="str">
        <f t="shared" si="1049"/>
        <v>AVERAGE</v>
      </c>
      <c r="S13386" t="s">
        <v>620</v>
      </c>
    </row>
    <row r="13387" spans="1:19" x14ac:dyDescent="0.2">
      <c r="A13387" t="s">
        <v>13998</v>
      </c>
      <c r="B13387" t="s">
        <v>83</v>
      </c>
      <c r="C13387" t="s">
        <v>607</v>
      </c>
      <c r="D13387">
        <v>791.18</v>
      </c>
      <c r="E13387" s="37" t="str">
        <f t="shared" si="1045"/>
        <v xml:space="preserve"> </v>
      </c>
      <c r="F13387">
        <v>0.43</v>
      </c>
      <c r="G13387" s="37" t="str">
        <f t="shared" si="1046"/>
        <v>Heavy Discount</v>
      </c>
      <c r="H13387" s="37" t="str">
        <f t="shared" si="1047"/>
        <v>High</v>
      </c>
      <c r="I13387">
        <v>1</v>
      </c>
      <c r="J13387" t="str" cm="1">
        <f t="array" ref="J13387">_xlfn.IFS(I13387&lt;=3,"small",I13387&lt;=6,"Medium",I13387&lt;=9,"Large")</f>
        <v>small</v>
      </c>
      <c r="K13387" s="36">
        <v>45096</v>
      </c>
      <c r="L13387" s="36">
        <v>45102</v>
      </c>
      <c r="M13387" t="s">
        <v>598</v>
      </c>
      <c r="N13387" t="s">
        <v>608</v>
      </c>
      <c r="O13387" s="37" t="str">
        <f t="shared" si="1048"/>
        <v>Cash Payment</v>
      </c>
      <c r="P13387">
        <v>45.81</v>
      </c>
      <c r="Q13387" s="37" t="str">
        <f>IF(P13387&gt;500,"High","low")</f>
        <v>low</v>
      </c>
      <c r="R13387" s="37" t="str">
        <f t="shared" si="1049"/>
        <v>AVERAGE</v>
      </c>
      <c r="S13387" t="s">
        <v>609</v>
      </c>
    </row>
    <row r="13388" spans="1:19" x14ac:dyDescent="0.2">
      <c r="A13388" t="s">
        <v>13999</v>
      </c>
      <c r="B13388" t="s">
        <v>83</v>
      </c>
      <c r="C13388" t="s">
        <v>617</v>
      </c>
      <c r="D13388">
        <v>1422.19</v>
      </c>
      <c r="E13388" s="37" t="str">
        <f t="shared" si="1045"/>
        <v xml:space="preserve"> </v>
      </c>
      <c r="F13388">
        <v>0.32</v>
      </c>
      <c r="G13388" s="37" t="str">
        <f t="shared" si="1046"/>
        <v>Heavy Discount</v>
      </c>
      <c r="H13388" s="37" t="str">
        <f t="shared" si="1047"/>
        <v>Medium</v>
      </c>
      <c r="I13388">
        <v>1</v>
      </c>
      <c r="J13388" t="str" cm="1">
        <f t="array" ref="J13388">_xlfn.IFS(I13388&lt;=3,"small",I13388&lt;=6,"Medium",I13388&lt;=9,"Large")</f>
        <v>small</v>
      </c>
      <c r="K13388" s="36">
        <v>44960</v>
      </c>
      <c r="L13388" s="36">
        <v>44966</v>
      </c>
      <c r="M13388" t="s">
        <v>612</v>
      </c>
      <c r="N13388" t="s">
        <v>599</v>
      </c>
      <c r="O13388" s="37" t="str">
        <f t="shared" si="1048"/>
        <v>Digital Payment</v>
      </c>
      <c r="P13388">
        <v>347</v>
      </c>
      <c r="Q13388" s="37" t="str">
        <f>IF(P13388&gt;500,"High","low")</f>
        <v>low</v>
      </c>
      <c r="R13388" s="37" t="str">
        <f t="shared" si="1049"/>
        <v>AVERAGE</v>
      </c>
      <c r="S13388" t="s">
        <v>609</v>
      </c>
    </row>
    <row r="13389" spans="1:19" x14ac:dyDescent="0.2">
      <c r="A13389" t="s">
        <v>14000</v>
      </c>
      <c r="B13389" t="s">
        <v>67</v>
      </c>
      <c r="C13389" t="s">
        <v>617</v>
      </c>
      <c r="D13389">
        <v>1669.56</v>
      </c>
      <c r="E13389" s="37" t="str">
        <f t="shared" si="1045"/>
        <v xml:space="preserve"> </v>
      </c>
      <c r="F13389">
        <v>0.13</v>
      </c>
      <c r="G13389" s="37" t="str">
        <f t="shared" si="1046"/>
        <v>Normal Discount</v>
      </c>
      <c r="H13389" s="37" t="str">
        <f t="shared" si="1047"/>
        <v>Low</v>
      </c>
      <c r="I13389">
        <v>6</v>
      </c>
      <c r="J13389" t="str" cm="1">
        <f t="array" ref="J13389">_xlfn.IFS(I13389&lt;=3,"small",I13389&lt;=6,"Medium",I13389&lt;=9,"Large")</f>
        <v>Medium</v>
      </c>
      <c r="K13389" s="36">
        <v>45648</v>
      </c>
      <c r="L13389" s="36">
        <v>45655</v>
      </c>
      <c r="M13389" t="s">
        <v>612</v>
      </c>
      <c r="N13389" t="s">
        <v>599</v>
      </c>
      <c r="O13389" s="37" t="str">
        <f t="shared" si="1048"/>
        <v>Digital Payment</v>
      </c>
      <c r="P13389">
        <v>318.04000000000002</v>
      </c>
      <c r="Q13389" s="37" t="str">
        <f>IF(P13389&gt;500,"High","low")</f>
        <v>low</v>
      </c>
      <c r="R13389" s="37" t="str">
        <f t="shared" si="1049"/>
        <v>AVERAGE</v>
      </c>
      <c r="S13389" t="s">
        <v>615</v>
      </c>
    </row>
    <row r="13390" spans="1:19" x14ac:dyDescent="0.2">
      <c r="A13390" t="s">
        <v>14001</v>
      </c>
      <c r="B13390" t="s">
        <v>67</v>
      </c>
      <c r="C13390" t="s">
        <v>607</v>
      </c>
      <c r="D13390">
        <v>4441.0200000000004</v>
      </c>
      <c r="E13390" s="37" t="str">
        <f t="shared" si="1045"/>
        <v xml:space="preserve"> </v>
      </c>
      <c r="F13390">
        <v>0.04</v>
      </c>
      <c r="G13390" s="37" t="str">
        <f t="shared" si="1046"/>
        <v>Normal Discount</v>
      </c>
      <c r="H13390" s="37" t="str">
        <f t="shared" si="1047"/>
        <v>Low</v>
      </c>
      <c r="I13390">
        <v>4</v>
      </c>
      <c r="J13390" t="str" cm="1">
        <f t="array" ref="J13390">_xlfn.IFS(I13390&lt;=3,"small",I13390&lt;=6,"Medium",I13390&lt;=9,"Large")</f>
        <v>Medium</v>
      </c>
      <c r="K13390" s="36">
        <v>45080</v>
      </c>
      <c r="L13390" s="36">
        <v>45081</v>
      </c>
      <c r="M13390" t="s">
        <v>603</v>
      </c>
      <c r="N13390" t="s">
        <v>608</v>
      </c>
      <c r="O13390" s="37" t="str">
        <f t="shared" si="1048"/>
        <v>Cash Payment</v>
      </c>
      <c r="P13390">
        <v>419.23</v>
      </c>
      <c r="Q13390" s="37" t="str">
        <f>IF(P13390&gt;500,"High","low")</f>
        <v>low</v>
      </c>
      <c r="R13390" s="37" t="str">
        <f t="shared" si="1049"/>
        <v>AVERAGE</v>
      </c>
      <c r="S13390" t="s">
        <v>600</v>
      </c>
    </row>
    <row r="13391" spans="1:19" x14ac:dyDescent="0.2">
      <c r="A13391" t="s">
        <v>14002</v>
      </c>
      <c r="B13391" t="s">
        <v>83</v>
      </c>
      <c r="C13391" t="s">
        <v>597</v>
      </c>
      <c r="D13391">
        <v>3857.02</v>
      </c>
      <c r="E13391" s="37" t="str">
        <f t="shared" si="1045"/>
        <v xml:space="preserve"> </v>
      </c>
      <c r="F13391">
        <v>0.03</v>
      </c>
      <c r="G13391" s="37" t="str">
        <f t="shared" si="1046"/>
        <v>Normal Discount</v>
      </c>
      <c r="H13391" s="37" t="str">
        <f t="shared" si="1047"/>
        <v>Low</v>
      </c>
      <c r="I13391">
        <v>2</v>
      </c>
      <c r="J13391" t="str" cm="1">
        <f t="array" ref="J13391">_xlfn.IFS(I13391&lt;=3,"small",I13391&lt;=6,"Medium",I13391&lt;=9,"Large")</f>
        <v>small</v>
      </c>
      <c r="K13391" s="36">
        <v>45056</v>
      </c>
      <c r="L13391" s="36">
        <v>45060</v>
      </c>
      <c r="M13391" t="s">
        <v>603</v>
      </c>
      <c r="N13391" t="s">
        <v>608</v>
      </c>
      <c r="O13391" s="37" t="str">
        <f t="shared" si="1048"/>
        <v>Cash Payment</v>
      </c>
      <c r="P13391">
        <v>351.07</v>
      </c>
      <c r="Q13391" s="37" t="str">
        <f>IF(P13391&gt;500,"High","low")</f>
        <v>low</v>
      </c>
      <c r="R13391" s="37" t="str">
        <f t="shared" si="1049"/>
        <v>AVERAGE</v>
      </c>
      <c r="S13391" t="s">
        <v>628</v>
      </c>
    </row>
    <row r="13392" spans="1:19" x14ac:dyDescent="0.2">
      <c r="A13392" t="s">
        <v>14003</v>
      </c>
      <c r="B13392" t="s">
        <v>67</v>
      </c>
      <c r="C13392" t="s">
        <v>597</v>
      </c>
      <c r="D13392">
        <v>4164.9799999999996</v>
      </c>
      <c r="E13392" s="37" t="str">
        <f t="shared" si="1045"/>
        <v xml:space="preserve"> </v>
      </c>
      <c r="F13392">
        <v>0.31</v>
      </c>
      <c r="G13392" s="37" t="str">
        <f t="shared" si="1046"/>
        <v>Heavy Discount</v>
      </c>
      <c r="H13392" s="37" t="str">
        <f t="shared" si="1047"/>
        <v>Medium</v>
      </c>
      <c r="I13392">
        <v>7</v>
      </c>
      <c r="J13392" t="str" cm="1">
        <f t="array" ref="J13392">_xlfn.IFS(I13392&lt;=3,"small",I13392&lt;=6,"Medium",I13392&lt;=9,"Large")</f>
        <v>Large</v>
      </c>
      <c r="K13392" s="36">
        <v>45639</v>
      </c>
      <c r="L13392" s="36">
        <v>45642</v>
      </c>
      <c r="M13392" t="s">
        <v>612</v>
      </c>
      <c r="N13392" t="s">
        <v>599</v>
      </c>
      <c r="O13392" s="37" t="str">
        <f t="shared" si="1048"/>
        <v>Digital Payment</v>
      </c>
      <c r="P13392">
        <v>601.65</v>
      </c>
      <c r="Q13392" s="37" t="str">
        <f>IF(P13392&gt;500,"High","low")</f>
        <v>High</v>
      </c>
      <c r="R13392" s="37" t="str">
        <f t="shared" si="1049"/>
        <v>Good</v>
      </c>
      <c r="S13392" t="s">
        <v>605</v>
      </c>
    </row>
    <row r="13393" spans="1:19" x14ac:dyDescent="0.2">
      <c r="A13393" t="s">
        <v>14004</v>
      </c>
      <c r="B13393" t="s">
        <v>83</v>
      </c>
      <c r="C13393" t="s">
        <v>617</v>
      </c>
      <c r="D13393">
        <v>356.04</v>
      </c>
      <c r="E13393" s="37" t="str">
        <f t="shared" si="1045"/>
        <v xml:space="preserve"> </v>
      </c>
      <c r="F13393">
        <v>0.48</v>
      </c>
      <c r="G13393" s="37" t="str">
        <f t="shared" si="1046"/>
        <v>Heavy Discount</v>
      </c>
      <c r="H13393" s="37" t="str">
        <f t="shared" si="1047"/>
        <v>High</v>
      </c>
      <c r="I13393">
        <v>8</v>
      </c>
      <c r="J13393" t="str" cm="1">
        <f t="array" ref="J13393">_xlfn.IFS(I13393&lt;=3,"small",I13393&lt;=6,"Medium",I13393&lt;=9,"Large")</f>
        <v>Large</v>
      </c>
      <c r="K13393" s="36">
        <v>45483</v>
      </c>
      <c r="L13393" s="36">
        <v>45487</v>
      </c>
      <c r="M13393" t="s">
        <v>612</v>
      </c>
      <c r="N13393" t="s">
        <v>608</v>
      </c>
      <c r="O13393" s="37" t="str">
        <f t="shared" si="1048"/>
        <v>Cash Payment</v>
      </c>
      <c r="P13393">
        <v>25.51</v>
      </c>
      <c r="Q13393" s="37" t="str">
        <f>IF(P13393&gt;500,"High","low")</f>
        <v>low</v>
      </c>
      <c r="R13393" s="37" t="str">
        <f t="shared" si="1049"/>
        <v>AVERAGE</v>
      </c>
      <c r="S13393" t="s">
        <v>615</v>
      </c>
    </row>
    <row r="13394" spans="1:19" x14ac:dyDescent="0.2">
      <c r="A13394" t="s">
        <v>14005</v>
      </c>
      <c r="B13394" t="s">
        <v>90</v>
      </c>
      <c r="C13394" t="s">
        <v>597</v>
      </c>
      <c r="D13394">
        <v>2936.03</v>
      </c>
      <c r="E13394" s="37" t="str">
        <f t="shared" si="1045"/>
        <v xml:space="preserve"> </v>
      </c>
      <c r="F13394">
        <v>0.35</v>
      </c>
      <c r="G13394" s="37" t="str">
        <f t="shared" si="1046"/>
        <v>Heavy Discount</v>
      </c>
      <c r="H13394" s="37" t="str">
        <f t="shared" si="1047"/>
        <v>Medium</v>
      </c>
      <c r="I13394">
        <v>7</v>
      </c>
      <c r="J13394" t="str" cm="1">
        <f t="array" ref="J13394">_xlfn.IFS(I13394&lt;=3,"small",I13394&lt;=6,"Medium",I13394&lt;=9,"Large")</f>
        <v>Large</v>
      </c>
      <c r="K13394" s="36">
        <v>44931</v>
      </c>
      <c r="L13394" s="36">
        <v>44934</v>
      </c>
      <c r="M13394" t="s">
        <v>612</v>
      </c>
      <c r="N13394" t="s">
        <v>599</v>
      </c>
      <c r="O13394" s="37" t="str">
        <f t="shared" si="1048"/>
        <v>Digital Payment</v>
      </c>
      <c r="P13394">
        <v>654.19000000000005</v>
      </c>
      <c r="Q13394" s="37" t="str">
        <f>IF(P13394&gt;500,"High","low")</f>
        <v>High</v>
      </c>
      <c r="R13394" s="37" t="str">
        <f t="shared" si="1049"/>
        <v>Good</v>
      </c>
      <c r="S13394" t="s">
        <v>600</v>
      </c>
    </row>
    <row r="13395" spans="1:19" x14ac:dyDescent="0.2">
      <c r="A13395" t="s">
        <v>14006</v>
      </c>
      <c r="B13395" t="s">
        <v>75</v>
      </c>
      <c r="C13395" t="s">
        <v>602</v>
      </c>
      <c r="D13395">
        <v>4995.97</v>
      </c>
      <c r="E13395" s="37" t="str">
        <f t="shared" si="1045"/>
        <v>Excellent Order</v>
      </c>
      <c r="F13395">
        <v>0.37</v>
      </c>
      <c r="G13395" s="37" t="str">
        <f t="shared" si="1046"/>
        <v>Heavy Discount</v>
      </c>
      <c r="H13395" s="37" t="str">
        <f t="shared" si="1047"/>
        <v>Medium</v>
      </c>
      <c r="I13395">
        <v>9</v>
      </c>
      <c r="J13395" t="str" cm="1">
        <f t="array" ref="J13395">_xlfn.IFS(I13395&lt;=3,"small",I13395&lt;=6,"Medium",I13395&lt;=9,"Large")</f>
        <v>Large</v>
      </c>
      <c r="K13395" s="36">
        <v>44952</v>
      </c>
      <c r="L13395" s="36">
        <v>44954</v>
      </c>
      <c r="M13395" t="s">
        <v>598</v>
      </c>
      <c r="N13395" t="s">
        <v>608</v>
      </c>
      <c r="O13395" s="37" t="str">
        <f t="shared" si="1048"/>
        <v>Cash Payment</v>
      </c>
      <c r="P13395">
        <v>1435.25</v>
      </c>
      <c r="Q13395" s="37" t="str">
        <f>IF(P13395&gt;500,"High","low")</f>
        <v>High</v>
      </c>
      <c r="R13395" s="37" t="str">
        <f t="shared" si="1049"/>
        <v>Excellent</v>
      </c>
      <c r="S13395" t="s">
        <v>605</v>
      </c>
    </row>
    <row r="13396" spans="1:19" x14ac:dyDescent="0.2">
      <c r="A13396" t="s">
        <v>14007</v>
      </c>
      <c r="B13396" t="s">
        <v>67</v>
      </c>
      <c r="C13396" t="s">
        <v>602</v>
      </c>
      <c r="D13396">
        <v>3947.48</v>
      </c>
      <c r="E13396" s="37" t="str">
        <f t="shared" si="1045"/>
        <v xml:space="preserve"> </v>
      </c>
      <c r="F13396">
        <v>0.16</v>
      </c>
      <c r="G13396" s="37" t="str">
        <f t="shared" si="1046"/>
        <v>Normal Discount</v>
      </c>
      <c r="H13396" s="37" t="str">
        <f t="shared" si="1047"/>
        <v>Low</v>
      </c>
      <c r="I13396">
        <v>1</v>
      </c>
      <c r="J13396" t="str" cm="1">
        <f t="array" ref="J13396">_xlfn.IFS(I13396&lt;=3,"small",I13396&lt;=6,"Medium",I13396&lt;=9,"Large")</f>
        <v>small</v>
      </c>
      <c r="K13396" s="36">
        <v>45426</v>
      </c>
      <c r="L13396" s="36">
        <v>45433</v>
      </c>
      <c r="M13396" t="s">
        <v>598</v>
      </c>
      <c r="N13396" t="s">
        <v>604</v>
      </c>
      <c r="O13396" s="37" t="str">
        <f t="shared" si="1048"/>
        <v>Digital Payment</v>
      </c>
      <c r="P13396">
        <v>605.99</v>
      </c>
      <c r="Q13396" s="37" t="str">
        <f>IF(P13396&gt;500,"High","low")</f>
        <v>High</v>
      </c>
      <c r="R13396" s="37" t="str">
        <f t="shared" si="1049"/>
        <v>Good</v>
      </c>
      <c r="S13396" t="s">
        <v>615</v>
      </c>
    </row>
    <row r="13397" spans="1:19" x14ac:dyDescent="0.2">
      <c r="A13397" t="s">
        <v>14008</v>
      </c>
      <c r="B13397" t="s">
        <v>75</v>
      </c>
      <c r="C13397" t="s">
        <v>602</v>
      </c>
      <c r="D13397">
        <v>691.47</v>
      </c>
      <c r="E13397" s="37" t="str">
        <f t="shared" si="1045"/>
        <v xml:space="preserve"> </v>
      </c>
      <c r="F13397">
        <v>0.28999999999999998</v>
      </c>
      <c r="G13397" s="37" t="str">
        <f t="shared" si="1046"/>
        <v>Normal Discount</v>
      </c>
      <c r="H13397" s="37" t="str">
        <f t="shared" si="1047"/>
        <v>Medium</v>
      </c>
      <c r="I13397">
        <v>6</v>
      </c>
      <c r="J13397" t="str" cm="1">
        <f t="array" ref="J13397">_xlfn.IFS(I13397&lt;=3,"small",I13397&lt;=6,"Medium",I13397&lt;=9,"Large")</f>
        <v>Medium</v>
      </c>
      <c r="K13397" s="36">
        <v>45261</v>
      </c>
      <c r="L13397" s="36">
        <v>45266</v>
      </c>
      <c r="M13397" t="s">
        <v>612</v>
      </c>
      <c r="N13397" t="s">
        <v>608</v>
      </c>
      <c r="O13397" s="37" t="str">
        <f t="shared" si="1048"/>
        <v>Cash Payment</v>
      </c>
      <c r="P13397">
        <v>184.88</v>
      </c>
      <c r="Q13397" s="37" t="str">
        <f>IF(P13397&gt;500,"High","low")</f>
        <v>low</v>
      </c>
      <c r="R13397" s="37" t="str">
        <f t="shared" si="1049"/>
        <v>AVERAGE</v>
      </c>
      <c r="S13397" t="s">
        <v>620</v>
      </c>
    </row>
    <row r="13398" spans="1:19" x14ac:dyDescent="0.2">
      <c r="A13398" t="s">
        <v>14009</v>
      </c>
      <c r="B13398" t="s">
        <v>83</v>
      </c>
      <c r="C13398" t="s">
        <v>607</v>
      </c>
      <c r="D13398">
        <v>3426.21</v>
      </c>
      <c r="E13398" s="37" t="str">
        <f t="shared" si="1045"/>
        <v xml:space="preserve"> </v>
      </c>
      <c r="F13398">
        <v>0.16</v>
      </c>
      <c r="G13398" s="37" t="str">
        <f t="shared" si="1046"/>
        <v>Normal Discount</v>
      </c>
      <c r="H13398" s="37" t="str">
        <f t="shared" si="1047"/>
        <v>Low</v>
      </c>
      <c r="I13398">
        <v>8</v>
      </c>
      <c r="J13398" t="str" cm="1">
        <f t="array" ref="J13398">_xlfn.IFS(I13398&lt;=3,"small",I13398&lt;=6,"Medium",I13398&lt;=9,"Large")</f>
        <v>Large</v>
      </c>
      <c r="K13398" s="36">
        <v>45335</v>
      </c>
      <c r="L13398" s="36">
        <v>45339</v>
      </c>
      <c r="M13398" t="s">
        <v>612</v>
      </c>
      <c r="N13398" t="s">
        <v>599</v>
      </c>
      <c r="O13398" s="37" t="str">
        <f t="shared" si="1048"/>
        <v>Digital Payment</v>
      </c>
      <c r="P13398">
        <v>451.5</v>
      </c>
      <c r="Q13398" s="37" t="str">
        <f>IF(P13398&gt;500,"High","low")</f>
        <v>low</v>
      </c>
      <c r="R13398" s="37" t="str">
        <f t="shared" si="1049"/>
        <v>AVERAGE</v>
      </c>
      <c r="S13398" t="s">
        <v>615</v>
      </c>
    </row>
    <row r="13399" spans="1:19" x14ac:dyDescent="0.2">
      <c r="A13399" t="s">
        <v>14010</v>
      </c>
      <c r="B13399" t="s">
        <v>83</v>
      </c>
      <c r="C13399" t="s">
        <v>607</v>
      </c>
      <c r="D13399">
        <v>3752.09</v>
      </c>
      <c r="E13399" s="37" t="str">
        <f t="shared" si="1045"/>
        <v xml:space="preserve"> </v>
      </c>
      <c r="F13399">
        <v>0.45</v>
      </c>
      <c r="G13399" s="37" t="str">
        <f t="shared" si="1046"/>
        <v>Heavy Discount</v>
      </c>
      <c r="H13399" s="37" t="str">
        <f t="shared" si="1047"/>
        <v>High</v>
      </c>
      <c r="I13399">
        <v>9</v>
      </c>
      <c r="J13399" t="str" cm="1">
        <f t="array" ref="J13399">_xlfn.IFS(I13399&lt;=3,"small",I13399&lt;=6,"Medium",I13399&lt;=9,"Large")</f>
        <v>Large</v>
      </c>
      <c r="K13399" s="36">
        <v>45018</v>
      </c>
      <c r="L13399" s="36">
        <v>45023</v>
      </c>
      <c r="M13399" t="s">
        <v>612</v>
      </c>
      <c r="N13399" t="s">
        <v>599</v>
      </c>
      <c r="O13399" s="37" t="str">
        <f t="shared" si="1048"/>
        <v>Digital Payment</v>
      </c>
      <c r="P13399">
        <v>419.17</v>
      </c>
      <c r="Q13399" s="37" t="str">
        <f>IF(P13399&gt;500,"High","low")</f>
        <v>low</v>
      </c>
      <c r="R13399" s="37" t="str">
        <f t="shared" si="1049"/>
        <v>AVERAGE</v>
      </c>
      <c r="S13399" t="s">
        <v>615</v>
      </c>
    </row>
    <row r="13400" spans="1:19" x14ac:dyDescent="0.2">
      <c r="A13400" t="s">
        <v>14011</v>
      </c>
      <c r="B13400" t="s">
        <v>83</v>
      </c>
      <c r="C13400" t="s">
        <v>607</v>
      </c>
      <c r="D13400">
        <v>2619.8200000000002</v>
      </c>
      <c r="E13400" s="37" t="str">
        <f t="shared" si="1045"/>
        <v xml:space="preserve"> </v>
      </c>
      <c r="F13400">
        <v>7.0000000000000007E-2</v>
      </c>
      <c r="G13400" s="37" t="str">
        <f t="shared" si="1046"/>
        <v>Normal Discount</v>
      </c>
      <c r="H13400" s="37" t="str">
        <f t="shared" si="1047"/>
        <v>Low</v>
      </c>
      <c r="I13400">
        <v>8</v>
      </c>
      <c r="J13400" t="str" cm="1">
        <f t="array" ref="J13400">_xlfn.IFS(I13400&lt;=3,"small",I13400&lt;=6,"Medium",I13400&lt;=9,"Large")</f>
        <v>Large</v>
      </c>
      <c r="K13400" s="36">
        <v>45653</v>
      </c>
      <c r="L13400" s="36">
        <v>45659</v>
      </c>
      <c r="M13400" t="s">
        <v>598</v>
      </c>
      <c r="N13400" t="s">
        <v>599</v>
      </c>
      <c r="O13400" s="37" t="str">
        <f t="shared" si="1048"/>
        <v>Digital Payment</v>
      </c>
      <c r="P13400">
        <v>349.97</v>
      </c>
      <c r="Q13400" s="37" t="str">
        <f>IF(P13400&gt;500,"High","low")</f>
        <v>low</v>
      </c>
      <c r="R13400" s="37" t="str">
        <f t="shared" si="1049"/>
        <v>AVERAGE</v>
      </c>
      <c r="S13400" t="s">
        <v>600</v>
      </c>
    </row>
    <row r="13401" spans="1:19" x14ac:dyDescent="0.2">
      <c r="A13401" t="s">
        <v>14012</v>
      </c>
      <c r="B13401" t="s">
        <v>75</v>
      </c>
      <c r="C13401" t="s">
        <v>607</v>
      </c>
      <c r="D13401">
        <v>485.89</v>
      </c>
      <c r="E13401" s="37" t="str">
        <f t="shared" si="1045"/>
        <v xml:space="preserve"> </v>
      </c>
      <c r="F13401">
        <v>0.32</v>
      </c>
      <c r="G13401" s="37" t="str">
        <f t="shared" si="1046"/>
        <v>Heavy Discount</v>
      </c>
      <c r="H13401" s="37" t="str">
        <f t="shared" si="1047"/>
        <v>Medium</v>
      </c>
      <c r="I13401">
        <v>6</v>
      </c>
      <c r="J13401" t="str" cm="1">
        <f t="array" ref="J13401">_xlfn.IFS(I13401&lt;=3,"small",I13401&lt;=6,"Medium",I13401&lt;=9,"Large")</f>
        <v>Medium</v>
      </c>
      <c r="K13401" s="36">
        <v>45523</v>
      </c>
      <c r="L13401" s="36">
        <v>45528</v>
      </c>
      <c r="M13401" t="s">
        <v>603</v>
      </c>
      <c r="N13401" t="s">
        <v>604</v>
      </c>
      <c r="O13401" s="37" t="str">
        <f t="shared" si="1048"/>
        <v>Digital Payment</v>
      </c>
      <c r="P13401">
        <v>49.66</v>
      </c>
      <c r="Q13401" s="37" t="str">
        <f>IF(P13401&gt;500,"High","low")</f>
        <v>low</v>
      </c>
      <c r="R13401" s="37" t="str">
        <f t="shared" si="1049"/>
        <v>AVERAGE</v>
      </c>
      <c r="S13401" t="s">
        <v>600</v>
      </c>
    </row>
    <row r="13402" spans="1:19" x14ac:dyDescent="0.2">
      <c r="A13402" t="s">
        <v>14013</v>
      </c>
      <c r="B13402" t="s">
        <v>83</v>
      </c>
      <c r="C13402" t="s">
        <v>607</v>
      </c>
      <c r="D13402">
        <v>269.95999999999998</v>
      </c>
      <c r="E13402" s="37" t="str">
        <f t="shared" si="1045"/>
        <v xml:space="preserve"> </v>
      </c>
      <c r="F13402">
        <v>0.37</v>
      </c>
      <c r="G13402" s="37" t="str">
        <f t="shared" si="1046"/>
        <v>Heavy Discount</v>
      </c>
      <c r="H13402" s="37" t="str">
        <f t="shared" si="1047"/>
        <v>Medium</v>
      </c>
      <c r="I13402">
        <v>8</v>
      </c>
      <c r="J13402" t="str" cm="1">
        <f t="array" ref="J13402">_xlfn.IFS(I13402&lt;=3,"small",I13402&lt;=6,"Medium",I13402&lt;=9,"Large")</f>
        <v>Large</v>
      </c>
      <c r="K13402" s="36">
        <v>45460</v>
      </c>
      <c r="L13402" s="36">
        <v>45466</v>
      </c>
      <c r="M13402" t="s">
        <v>603</v>
      </c>
      <c r="N13402" t="s">
        <v>599</v>
      </c>
      <c r="O13402" s="37" t="str">
        <f t="shared" si="1048"/>
        <v>Digital Payment</v>
      </c>
      <c r="P13402">
        <v>29.47</v>
      </c>
      <c r="Q13402" s="37" t="str">
        <f>IF(P13402&gt;500,"High","low")</f>
        <v>low</v>
      </c>
      <c r="R13402" s="37" t="str">
        <f t="shared" si="1049"/>
        <v>AVERAGE</v>
      </c>
      <c r="S13402" t="s">
        <v>609</v>
      </c>
    </row>
    <row r="13403" spans="1:19" x14ac:dyDescent="0.2">
      <c r="A13403" t="s">
        <v>14014</v>
      </c>
      <c r="B13403" t="s">
        <v>67</v>
      </c>
      <c r="C13403" t="s">
        <v>617</v>
      </c>
      <c r="D13403">
        <v>4695.2700000000004</v>
      </c>
      <c r="E13403" s="37" t="str">
        <f t="shared" si="1045"/>
        <v>Excellent Order</v>
      </c>
      <c r="F13403">
        <v>0.35</v>
      </c>
      <c r="G13403" s="37" t="str">
        <f t="shared" si="1046"/>
        <v>Heavy Discount</v>
      </c>
      <c r="H13403" s="37" t="str">
        <f t="shared" si="1047"/>
        <v>Medium</v>
      </c>
      <c r="I13403">
        <v>8</v>
      </c>
      <c r="J13403" t="str" cm="1">
        <f t="array" ref="J13403">_xlfn.IFS(I13403&lt;=3,"small",I13403&lt;=6,"Medium",I13403&lt;=9,"Large")</f>
        <v>Large</v>
      </c>
      <c r="K13403" s="36">
        <v>45329</v>
      </c>
      <c r="L13403" s="36">
        <v>45335</v>
      </c>
      <c r="M13403" t="s">
        <v>612</v>
      </c>
      <c r="N13403" t="s">
        <v>608</v>
      </c>
      <c r="O13403" s="37" t="str">
        <f t="shared" si="1048"/>
        <v>Cash Payment</v>
      </c>
      <c r="P13403">
        <v>1044.0999999999999</v>
      </c>
      <c r="Q13403" s="37" t="str">
        <f>IF(P13403&gt;500,"High","low")</f>
        <v>High</v>
      </c>
      <c r="R13403" s="37" t="str">
        <f t="shared" si="1049"/>
        <v>Excellent</v>
      </c>
      <c r="S13403" t="s">
        <v>620</v>
      </c>
    </row>
    <row r="13404" spans="1:19" x14ac:dyDescent="0.2">
      <c r="A13404" t="s">
        <v>14015</v>
      </c>
      <c r="B13404" t="s">
        <v>90</v>
      </c>
      <c r="C13404" t="s">
        <v>597</v>
      </c>
      <c r="D13404">
        <v>1361.82</v>
      </c>
      <c r="E13404" s="37" t="str">
        <f t="shared" si="1045"/>
        <v xml:space="preserve"> </v>
      </c>
      <c r="F13404">
        <v>0.13</v>
      </c>
      <c r="G13404" s="37" t="str">
        <f t="shared" si="1046"/>
        <v>Normal Discount</v>
      </c>
      <c r="H13404" s="37" t="str">
        <f t="shared" si="1047"/>
        <v>Low</v>
      </c>
      <c r="I13404">
        <v>1</v>
      </c>
      <c r="J13404" t="str" cm="1">
        <f t="array" ref="J13404">_xlfn.IFS(I13404&lt;=3,"small",I13404&lt;=6,"Medium",I13404&lt;=9,"Large")</f>
        <v>small</v>
      </c>
      <c r="K13404" s="36">
        <v>45424</v>
      </c>
      <c r="L13404" s="36">
        <v>45426</v>
      </c>
      <c r="M13404" t="s">
        <v>598</v>
      </c>
      <c r="N13404" t="s">
        <v>608</v>
      </c>
      <c r="O13404" s="37" t="str">
        <f t="shared" si="1048"/>
        <v>Cash Payment</v>
      </c>
      <c r="P13404">
        <v>362.5</v>
      </c>
      <c r="Q13404" s="37" t="str">
        <f>IF(P13404&gt;500,"High","low")</f>
        <v>low</v>
      </c>
      <c r="R13404" s="37" t="str">
        <f t="shared" si="1049"/>
        <v>AVERAGE</v>
      </c>
      <c r="S13404" t="s">
        <v>620</v>
      </c>
    </row>
    <row r="13405" spans="1:19" x14ac:dyDescent="0.2">
      <c r="A13405" t="s">
        <v>14016</v>
      </c>
      <c r="B13405" t="s">
        <v>90</v>
      </c>
      <c r="C13405" t="s">
        <v>617</v>
      </c>
      <c r="D13405">
        <v>1956.94</v>
      </c>
      <c r="E13405" s="37" t="str">
        <f t="shared" si="1045"/>
        <v xml:space="preserve"> </v>
      </c>
      <c r="F13405">
        <v>0.24</v>
      </c>
      <c r="G13405" s="37" t="str">
        <f t="shared" si="1046"/>
        <v>Normal Discount</v>
      </c>
      <c r="H13405" s="37" t="str">
        <f t="shared" si="1047"/>
        <v>Medium</v>
      </c>
      <c r="I13405">
        <v>8</v>
      </c>
      <c r="J13405" t="str" cm="1">
        <f t="array" ref="J13405">_xlfn.IFS(I13405&lt;=3,"small",I13405&lt;=6,"Medium",I13405&lt;=9,"Large")</f>
        <v>Large</v>
      </c>
      <c r="K13405" s="36">
        <v>44968</v>
      </c>
      <c r="L13405" s="36">
        <v>44973</v>
      </c>
      <c r="M13405" t="s">
        <v>598</v>
      </c>
      <c r="N13405" t="s">
        <v>599</v>
      </c>
      <c r="O13405" s="37" t="str">
        <f t="shared" si="1048"/>
        <v>Digital Payment</v>
      </c>
      <c r="P13405">
        <v>284.27</v>
      </c>
      <c r="Q13405" s="37" t="str">
        <f>IF(P13405&gt;500,"High","low")</f>
        <v>low</v>
      </c>
      <c r="R13405" s="37" t="str">
        <f t="shared" si="1049"/>
        <v>AVERAGE</v>
      </c>
      <c r="S13405" t="s">
        <v>609</v>
      </c>
    </row>
    <row r="13406" spans="1:19" x14ac:dyDescent="0.2">
      <c r="A13406" t="s">
        <v>14017</v>
      </c>
      <c r="B13406" t="s">
        <v>67</v>
      </c>
      <c r="C13406" t="s">
        <v>597</v>
      </c>
      <c r="D13406">
        <v>3996.86</v>
      </c>
      <c r="E13406" s="37" t="str">
        <f t="shared" si="1045"/>
        <v xml:space="preserve"> </v>
      </c>
      <c r="F13406">
        <v>0.33</v>
      </c>
      <c r="G13406" s="37" t="str">
        <f t="shared" si="1046"/>
        <v>Heavy Discount</v>
      </c>
      <c r="H13406" s="37" t="str">
        <f t="shared" si="1047"/>
        <v>Medium</v>
      </c>
      <c r="I13406">
        <v>7</v>
      </c>
      <c r="J13406" t="str" cm="1">
        <f t="array" ref="J13406">_xlfn.IFS(I13406&lt;=3,"small",I13406&lt;=6,"Medium",I13406&lt;=9,"Large")</f>
        <v>Large</v>
      </c>
      <c r="K13406" s="36">
        <v>45410</v>
      </c>
      <c r="L13406" s="36">
        <v>45413</v>
      </c>
      <c r="M13406" t="s">
        <v>612</v>
      </c>
      <c r="N13406" t="s">
        <v>608</v>
      </c>
      <c r="O13406" s="37" t="str">
        <f t="shared" si="1048"/>
        <v>Cash Payment</v>
      </c>
      <c r="P13406">
        <v>790.67</v>
      </c>
      <c r="Q13406" s="37" t="str">
        <f>IF(P13406&gt;500,"High","low")</f>
        <v>High</v>
      </c>
      <c r="R13406" s="37" t="str">
        <f t="shared" si="1049"/>
        <v>Good</v>
      </c>
      <c r="S13406" t="s">
        <v>605</v>
      </c>
    </row>
    <row r="13407" spans="1:19" x14ac:dyDescent="0.2">
      <c r="A13407" t="s">
        <v>14018</v>
      </c>
      <c r="B13407" t="s">
        <v>90</v>
      </c>
      <c r="C13407" t="s">
        <v>617</v>
      </c>
      <c r="D13407">
        <v>3477.38</v>
      </c>
      <c r="E13407" s="37" t="str">
        <f t="shared" si="1045"/>
        <v xml:space="preserve"> </v>
      </c>
      <c r="F13407">
        <v>0.47</v>
      </c>
      <c r="G13407" s="37" t="str">
        <f t="shared" si="1046"/>
        <v>Heavy Discount</v>
      </c>
      <c r="H13407" s="37" t="str">
        <f t="shared" si="1047"/>
        <v>High</v>
      </c>
      <c r="I13407">
        <v>8</v>
      </c>
      <c r="J13407" t="str" cm="1">
        <f t="array" ref="J13407">_xlfn.IFS(I13407&lt;=3,"small",I13407&lt;=6,"Medium",I13407&lt;=9,"Large")</f>
        <v>Large</v>
      </c>
      <c r="K13407" s="36">
        <v>45085</v>
      </c>
      <c r="L13407" s="36">
        <v>45089</v>
      </c>
      <c r="M13407" t="s">
        <v>612</v>
      </c>
      <c r="N13407" t="s">
        <v>599</v>
      </c>
      <c r="O13407" s="37" t="str">
        <f t="shared" si="1048"/>
        <v>Digital Payment</v>
      </c>
      <c r="P13407">
        <v>312.72000000000003</v>
      </c>
      <c r="Q13407" s="37" t="str">
        <f>IF(P13407&gt;500,"High","low")</f>
        <v>low</v>
      </c>
      <c r="R13407" s="37" t="str">
        <f t="shared" si="1049"/>
        <v>AVERAGE</v>
      </c>
      <c r="S13407" t="s">
        <v>609</v>
      </c>
    </row>
    <row r="13408" spans="1:19" x14ac:dyDescent="0.2">
      <c r="A13408" t="s">
        <v>14019</v>
      </c>
      <c r="B13408" t="s">
        <v>75</v>
      </c>
      <c r="C13408" t="s">
        <v>602</v>
      </c>
      <c r="D13408">
        <v>4845.97</v>
      </c>
      <c r="E13408" s="37" t="str">
        <f t="shared" si="1045"/>
        <v>Excellent Order</v>
      </c>
      <c r="F13408">
        <v>0.25</v>
      </c>
      <c r="G13408" s="37" t="str">
        <f t="shared" si="1046"/>
        <v>Normal Discount</v>
      </c>
      <c r="H13408" s="37" t="str">
        <f t="shared" si="1047"/>
        <v>Medium</v>
      </c>
      <c r="I13408">
        <v>8</v>
      </c>
      <c r="J13408" t="str" cm="1">
        <f t="array" ref="J13408">_xlfn.IFS(I13408&lt;=3,"small",I13408&lt;=6,"Medium",I13408&lt;=9,"Large")</f>
        <v>Large</v>
      </c>
      <c r="K13408" s="36">
        <v>45597</v>
      </c>
      <c r="L13408" s="36">
        <v>45599</v>
      </c>
      <c r="M13408" t="s">
        <v>612</v>
      </c>
      <c r="N13408" t="s">
        <v>604</v>
      </c>
      <c r="O13408" s="37" t="str">
        <f t="shared" si="1048"/>
        <v>Digital Payment</v>
      </c>
      <c r="P13408">
        <v>1158.83</v>
      </c>
      <c r="Q13408" s="37" t="str">
        <f>IF(P13408&gt;500,"High","low")</f>
        <v>High</v>
      </c>
      <c r="R13408" s="37" t="str">
        <f t="shared" si="1049"/>
        <v>Excellent</v>
      </c>
      <c r="S13408" t="s">
        <v>609</v>
      </c>
    </row>
    <row r="13409" spans="1:19" x14ac:dyDescent="0.2">
      <c r="A13409" t="s">
        <v>14020</v>
      </c>
      <c r="B13409" t="s">
        <v>83</v>
      </c>
      <c r="C13409" t="s">
        <v>614</v>
      </c>
      <c r="D13409">
        <v>554.91</v>
      </c>
      <c r="E13409" s="37" t="str">
        <f t="shared" si="1045"/>
        <v xml:space="preserve"> </v>
      </c>
      <c r="F13409">
        <v>0.15</v>
      </c>
      <c r="G13409" s="37" t="str">
        <f t="shared" si="1046"/>
        <v>Normal Discount</v>
      </c>
      <c r="H13409" s="37" t="str">
        <f t="shared" si="1047"/>
        <v>Low</v>
      </c>
      <c r="I13409">
        <v>6</v>
      </c>
      <c r="J13409" t="str" cm="1">
        <f t="array" ref="J13409">_xlfn.IFS(I13409&lt;=3,"small",I13409&lt;=6,"Medium",I13409&lt;=9,"Large")</f>
        <v>Medium</v>
      </c>
      <c r="K13409" s="36">
        <v>45281</v>
      </c>
      <c r="L13409" s="36">
        <v>45287</v>
      </c>
      <c r="M13409" t="s">
        <v>598</v>
      </c>
      <c r="N13409" t="s">
        <v>599</v>
      </c>
      <c r="O13409" s="37" t="str">
        <f t="shared" si="1048"/>
        <v>Digital Payment</v>
      </c>
      <c r="P13409">
        <v>40.06</v>
      </c>
      <c r="Q13409" s="37" t="str">
        <f>IF(P13409&gt;500,"High","low")</f>
        <v>low</v>
      </c>
      <c r="R13409" s="37" t="str">
        <f t="shared" si="1049"/>
        <v>AVERAGE</v>
      </c>
      <c r="S13409" t="s">
        <v>600</v>
      </c>
    </row>
    <row r="13410" spans="1:19" x14ac:dyDescent="0.2">
      <c r="A13410" t="s">
        <v>14021</v>
      </c>
      <c r="B13410" t="s">
        <v>83</v>
      </c>
      <c r="C13410" t="s">
        <v>607</v>
      </c>
      <c r="D13410">
        <v>3563.91</v>
      </c>
      <c r="E13410" s="37" t="str">
        <f t="shared" si="1045"/>
        <v xml:space="preserve"> </v>
      </c>
      <c r="F13410">
        <v>0.19</v>
      </c>
      <c r="G13410" s="37" t="str">
        <f t="shared" si="1046"/>
        <v>Normal Discount</v>
      </c>
      <c r="H13410" s="37" t="str">
        <f t="shared" si="1047"/>
        <v>Low</v>
      </c>
      <c r="I13410">
        <v>9</v>
      </c>
      <c r="J13410" t="str" cm="1">
        <f t="array" ref="J13410">_xlfn.IFS(I13410&lt;=3,"small",I13410&lt;=6,"Medium",I13410&lt;=9,"Large")</f>
        <v>Large</v>
      </c>
      <c r="K13410" s="36">
        <v>45426</v>
      </c>
      <c r="L13410" s="36">
        <v>45433</v>
      </c>
      <c r="M13410" t="s">
        <v>603</v>
      </c>
      <c r="N13410" t="s">
        <v>604</v>
      </c>
      <c r="O13410" s="37" t="str">
        <f t="shared" si="1048"/>
        <v>Digital Payment</v>
      </c>
      <c r="P13410">
        <v>337.25</v>
      </c>
      <c r="Q13410" s="37" t="str">
        <f>IF(P13410&gt;500,"High","low")</f>
        <v>low</v>
      </c>
      <c r="R13410" s="37" t="str">
        <f t="shared" si="1049"/>
        <v>AVERAGE</v>
      </c>
      <c r="S13410" t="s">
        <v>620</v>
      </c>
    </row>
    <row r="13411" spans="1:19" x14ac:dyDescent="0.2">
      <c r="A13411" t="s">
        <v>14022</v>
      </c>
      <c r="B13411" t="s">
        <v>83</v>
      </c>
      <c r="C13411" t="s">
        <v>614</v>
      </c>
      <c r="D13411">
        <v>502.92</v>
      </c>
      <c r="E13411" s="37" t="str">
        <f t="shared" si="1045"/>
        <v xml:space="preserve"> </v>
      </c>
      <c r="F13411">
        <v>0.27</v>
      </c>
      <c r="G13411" s="37" t="str">
        <f t="shared" si="1046"/>
        <v>Normal Discount</v>
      </c>
      <c r="H13411" s="37" t="str">
        <f t="shared" si="1047"/>
        <v>Medium</v>
      </c>
      <c r="I13411">
        <v>3</v>
      </c>
      <c r="J13411" t="str" cm="1">
        <f t="array" ref="J13411">_xlfn.IFS(I13411&lt;=3,"small",I13411&lt;=6,"Medium",I13411&lt;=9,"Large")</f>
        <v>small</v>
      </c>
      <c r="K13411" s="36">
        <v>45176</v>
      </c>
      <c r="L13411" s="36">
        <v>45182</v>
      </c>
      <c r="M13411" t="s">
        <v>598</v>
      </c>
      <c r="N13411" t="s">
        <v>599</v>
      </c>
      <c r="O13411" s="37" t="str">
        <f t="shared" si="1048"/>
        <v>Digital Payment</v>
      </c>
      <c r="P13411">
        <v>77.650000000000006</v>
      </c>
      <c r="Q13411" s="37" t="str">
        <f>IF(P13411&gt;500,"High","low")</f>
        <v>low</v>
      </c>
      <c r="R13411" s="37" t="str">
        <f t="shared" si="1049"/>
        <v>AVERAGE</v>
      </c>
      <c r="S13411" t="s">
        <v>615</v>
      </c>
    </row>
    <row r="13412" spans="1:19" x14ac:dyDescent="0.2">
      <c r="A13412" t="s">
        <v>14023</v>
      </c>
      <c r="B13412" t="s">
        <v>75</v>
      </c>
      <c r="C13412" t="s">
        <v>614</v>
      </c>
      <c r="D13412">
        <v>100.81</v>
      </c>
      <c r="E13412" s="37" t="str">
        <f t="shared" si="1045"/>
        <v xml:space="preserve"> </v>
      </c>
      <c r="F13412">
        <v>0.49</v>
      </c>
      <c r="G13412" s="37" t="str">
        <f t="shared" si="1046"/>
        <v>Heavy Discount</v>
      </c>
      <c r="H13412" s="37" t="str">
        <f t="shared" si="1047"/>
        <v>High</v>
      </c>
      <c r="I13412">
        <v>1</v>
      </c>
      <c r="J13412" t="str" cm="1">
        <f t="array" ref="J13412">_xlfn.IFS(I13412&lt;=3,"small",I13412&lt;=6,"Medium",I13412&lt;=9,"Large")</f>
        <v>small</v>
      </c>
      <c r="K13412" s="36">
        <v>45257</v>
      </c>
      <c r="L13412" s="36">
        <v>45260</v>
      </c>
      <c r="M13412" t="s">
        <v>598</v>
      </c>
      <c r="N13412" t="s">
        <v>604</v>
      </c>
      <c r="O13412" s="37" t="str">
        <f t="shared" si="1048"/>
        <v>Digital Payment</v>
      </c>
      <c r="P13412">
        <v>8.01</v>
      </c>
      <c r="Q13412" s="37" t="str">
        <f>IF(P13412&gt;500,"High","low")</f>
        <v>low</v>
      </c>
      <c r="R13412" s="37" t="str">
        <f t="shared" si="1049"/>
        <v>AVERAGE</v>
      </c>
      <c r="S13412" t="s">
        <v>600</v>
      </c>
    </row>
    <row r="13413" spans="1:19" x14ac:dyDescent="0.2">
      <c r="A13413" t="s">
        <v>14024</v>
      </c>
      <c r="B13413" t="s">
        <v>75</v>
      </c>
      <c r="C13413" t="s">
        <v>602</v>
      </c>
      <c r="D13413">
        <v>689.13</v>
      </c>
      <c r="E13413" s="37" t="str">
        <f t="shared" si="1045"/>
        <v xml:space="preserve"> </v>
      </c>
      <c r="F13413">
        <v>0.31</v>
      </c>
      <c r="G13413" s="37" t="str">
        <f t="shared" si="1046"/>
        <v>Heavy Discount</v>
      </c>
      <c r="H13413" s="37" t="str">
        <f t="shared" si="1047"/>
        <v>Medium</v>
      </c>
      <c r="I13413">
        <v>9</v>
      </c>
      <c r="J13413" t="str" cm="1">
        <f t="array" ref="J13413">_xlfn.IFS(I13413&lt;=3,"small",I13413&lt;=6,"Medium",I13413&lt;=9,"Large")</f>
        <v>Large</v>
      </c>
      <c r="K13413" s="36">
        <v>45140</v>
      </c>
      <c r="L13413" s="36">
        <v>45146</v>
      </c>
      <c r="M13413" t="s">
        <v>598</v>
      </c>
      <c r="N13413" t="s">
        <v>604</v>
      </c>
      <c r="O13413" s="37" t="str">
        <f t="shared" si="1048"/>
        <v>Digital Payment</v>
      </c>
      <c r="P13413">
        <v>188.85</v>
      </c>
      <c r="Q13413" s="37" t="str">
        <f>IF(P13413&gt;500,"High","low")</f>
        <v>low</v>
      </c>
      <c r="R13413" s="37" t="str">
        <f t="shared" si="1049"/>
        <v>AVERAGE</v>
      </c>
      <c r="S13413" t="s">
        <v>615</v>
      </c>
    </row>
    <row r="13414" spans="1:19" x14ac:dyDescent="0.2">
      <c r="A13414" t="s">
        <v>14025</v>
      </c>
      <c r="B13414" t="s">
        <v>75</v>
      </c>
      <c r="C13414" t="s">
        <v>614</v>
      </c>
      <c r="D13414">
        <v>3121.96</v>
      </c>
      <c r="E13414" s="37" t="str">
        <f t="shared" si="1045"/>
        <v xml:space="preserve"> </v>
      </c>
      <c r="F13414">
        <v>0.08</v>
      </c>
      <c r="G13414" s="37" t="str">
        <f t="shared" si="1046"/>
        <v>Normal Discount</v>
      </c>
      <c r="H13414" s="37" t="str">
        <f t="shared" si="1047"/>
        <v>Low</v>
      </c>
      <c r="I13414">
        <v>2</v>
      </c>
      <c r="J13414" t="str" cm="1">
        <f t="array" ref="J13414">_xlfn.IFS(I13414&lt;=3,"small",I13414&lt;=6,"Medium",I13414&lt;=9,"Large")</f>
        <v>small</v>
      </c>
      <c r="K13414" s="36">
        <v>45289</v>
      </c>
      <c r="L13414" s="36">
        <v>45292</v>
      </c>
      <c r="M13414" t="s">
        <v>603</v>
      </c>
      <c r="N13414" t="s">
        <v>604</v>
      </c>
      <c r="O13414" s="37" t="str">
        <f t="shared" si="1048"/>
        <v>Digital Payment</v>
      </c>
      <c r="P13414">
        <v>540.45000000000005</v>
      </c>
      <c r="Q13414" s="37" t="str">
        <f>IF(P13414&gt;500,"High","low")</f>
        <v>High</v>
      </c>
      <c r="R13414" s="37" t="str">
        <f t="shared" si="1049"/>
        <v>Good</v>
      </c>
      <c r="S13414" t="s">
        <v>628</v>
      </c>
    </row>
    <row r="13415" spans="1:19" x14ac:dyDescent="0.2">
      <c r="A13415" t="s">
        <v>14026</v>
      </c>
      <c r="B13415" t="s">
        <v>67</v>
      </c>
      <c r="C13415" t="s">
        <v>614</v>
      </c>
      <c r="D13415">
        <v>3413.34</v>
      </c>
      <c r="E13415" s="37" t="str">
        <f t="shared" si="1045"/>
        <v xml:space="preserve"> </v>
      </c>
      <c r="F13415">
        <v>0.42</v>
      </c>
      <c r="G13415" s="37" t="str">
        <f t="shared" si="1046"/>
        <v>Heavy Discount</v>
      </c>
      <c r="H13415" s="37" t="str">
        <f t="shared" si="1047"/>
        <v>High</v>
      </c>
      <c r="I13415">
        <v>3</v>
      </c>
      <c r="J13415" t="str" cm="1">
        <f t="array" ref="J13415">_xlfn.IFS(I13415&lt;=3,"small",I13415&lt;=6,"Medium",I13415&lt;=9,"Large")</f>
        <v>small</v>
      </c>
      <c r="K13415" s="36">
        <v>45400</v>
      </c>
      <c r="L13415" s="36">
        <v>45406</v>
      </c>
      <c r="M13415" t="s">
        <v>603</v>
      </c>
      <c r="N13415" t="s">
        <v>608</v>
      </c>
      <c r="O13415" s="37" t="str">
        <f t="shared" si="1048"/>
        <v>Cash Payment</v>
      </c>
      <c r="P13415">
        <v>414.15</v>
      </c>
      <c r="Q13415" s="37" t="str">
        <f>IF(P13415&gt;500,"High","low")</f>
        <v>low</v>
      </c>
      <c r="R13415" s="37" t="str">
        <f t="shared" si="1049"/>
        <v>AVERAGE</v>
      </c>
      <c r="S13415" t="s">
        <v>600</v>
      </c>
    </row>
    <row r="13416" spans="1:19" x14ac:dyDescent="0.2">
      <c r="A13416" t="s">
        <v>14027</v>
      </c>
      <c r="B13416" t="s">
        <v>75</v>
      </c>
      <c r="C13416" t="s">
        <v>602</v>
      </c>
      <c r="D13416">
        <v>2247.87</v>
      </c>
      <c r="E13416" s="37" t="str">
        <f t="shared" si="1045"/>
        <v xml:space="preserve"> </v>
      </c>
      <c r="F13416">
        <v>0.09</v>
      </c>
      <c r="G13416" s="37" t="str">
        <f t="shared" si="1046"/>
        <v>Normal Discount</v>
      </c>
      <c r="H13416" s="37" t="str">
        <f t="shared" si="1047"/>
        <v>Low</v>
      </c>
      <c r="I13416">
        <v>4</v>
      </c>
      <c r="J13416" t="str" cm="1">
        <f t="array" ref="J13416">_xlfn.IFS(I13416&lt;=3,"small",I13416&lt;=6,"Medium",I13416&lt;=9,"Large")</f>
        <v>Medium</v>
      </c>
      <c r="K13416" s="36">
        <v>45346</v>
      </c>
      <c r="L13416" s="36">
        <v>45352</v>
      </c>
      <c r="M13416" t="s">
        <v>603</v>
      </c>
      <c r="N13416" t="s">
        <v>608</v>
      </c>
      <c r="O13416" s="37" t="str">
        <f t="shared" si="1048"/>
        <v>Cash Payment</v>
      </c>
      <c r="P13416">
        <v>190.41</v>
      </c>
      <c r="Q13416" s="37" t="str">
        <f>IF(P13416&gt;500,"High","low")</f>
        <v>low</v>
      </c>
      <c r="R13416" s="37" t="str">
        <f t="shared" si="1049"/>
        <v>AVERAGE</v>
      </c>
      <c r="S13416" t="s">
        <v>628</v>
      </c>
    </row>
    <row r="13417" spans="1:19" x14ac:dyDescent="0.2">
      <c r="A13417" t="s">
        <v>14028</v>
      </c>
      <c r="B13417" t="s">
        <v>90</v>
      </c>
      <c r="C13417" t="s">
        <v>597</v>
      </c>
      <c r="D13417">
        <v>325.75</v>
      </c>
      <c r="E13417" s="37" t="str">
        <f t="shared" si="1045"/>
        <v xml:space="preserve"> </v>
      </c>
      <c r="F13417">
        <v>0.02</v>
      </c>
      <c r="G13417" s="37" t="str">
        <f t="shared" si="1046"/>
        <v>Normal Discount</v>
      </c>
      <c r="H13417" s="37" t="str">
        <f t="shared" si="1047"/>
        <v>Low</v>
      </c>
      <c r="I13417">
        <v>8</v>
      </c>
      <c r="J13417" t="str" cm="1">
        <f t="array" ref="J13417">_xlfn.IFS(I13417&lt;=3,"small",I13417&lt;=6,"Medium",I13417&lt;=9,"Large")</f>
        <v>Large</v>
      </c>
      <c r="K13417" s="36">
        <v>45166</v>
      </c>
      <c r="L13417" s="36">
        <v>45168</v>
      </c>
      <c r="M13417" t="s">
        <v>612</v>
      </c>
      <c r="N13417" t="s">
        <v>608</v>
      </c>
      <c r="O13417" s="37" t="str">
        <f t="shared" si="1048"/>
        <v>Cash Payment</v>
      </c>
      <c r="P13417">
        <v>30.1</v>
      </c>
      <c r="Q13417" s="37" t="str">
        <f>IF(P13417&gt;500,"High","low")</f>
        <v>low</v>
      </c>
      <c r="R13417" s="37" t="str">
        <f t="shared" si="1049"/>
        <v>AVERAGE</v>
      </c>
      <c r="S13417" t="s">
        <v>615</v>
      </c>
    </row>
    <row r="13418" spans="1:19" x14ac:dyDescent="0.2">
      <c r="A13418" t="s">
        <v>14029</v>
      </c>
      <c r="B13418" t="s">
        <v>67</v>
      </c>
      <c r="C13418" t="s">
        <v>617</v>
      </c>
      <c r="D13418">
        <v>3206.89</v>
      </c>
      <c r="E13418" s="37" t="str">
        <f t="shared" si="1045"/>
        <v xml:space="preserve"> </v>
      </c>
      <c r="F13418">
        <v>0.05</v>
      </c>
      <c r="G13418" s="37" t="str">
        <f t="shared" si="1046"/>
        <v>Normal Discount</v>
      </c>
      <c r="H13418" s="37" t="str">
        <f t="shared" si="1047"/>
        <v>Low</v>
      </c>
      <c r="I13418">
        <v>9</v>
      </c>
      <c r="J13418" t="str" cm="1">
        <f t="array" ref="J13418">_xlfn.IFS(I13418&lt;=3,"small",I13418&lt;=6,"Medium",I13418&lt;=9,"Large")</f>
        <v>Large</v>
      </c>
      <c r="K13418" s="36">
        <v>45376</v>
      </c>
      <c r="L13418" s="36">
        <v>45378</v>
      </c>
      <c r="M13418" t="s">
        <v>603</v>
      </c>
      <c r="N13418" t="s">
        <v>604</v>
      </c>
      <c r="O13418" s="37" t="str">
        <f t="shared" si="1048"/>
        <v>Digital Payment</v>
      </c>
      <c r="P13418">
        <v>745.75</v>
      </c>
      <c r="Q13418" s="37" t="str">
        <f>IF(P13418&gt;500,"High","low")</f>
        <v>High</v>
      </c>
      <c r="R13418" s="37" t="str">
        <f t="shared" si="1049"/>
        <v>Good</v>
      </c>
      <c r="S13418" t="s">
        <v>620</v>
      </c>
    </row>
    <row r="13419" spans="1:19" x14ac:dyDescent="0.2">
      <c r="A13419" t="s">
        <v>14030</v>
      </c>
      <c r="B13419" t="s">
        <v>67</v>
      </c>
      <c r="C13419" t="s">
        <v>614</v>
      </c>
      <c r="D13419">
        <v>520.51</v>
      </c>
      <c r="E13419" s="37" t="str">
        <f t="shared" si="1045"/>
        <v xml:space="preserve"> </v>
      </c>
      <c r="F13419">
        <v>0.39</v>
      </c>
      <c r="G13419" s="37" t="str">
        <f t="shared" si="1046"/>
        <v>Heavy Discount</v>
      </c>
      <c r="H13419" s="37" t="str">
        <f t="shared" si="1047"/>
        <v>Medium</v>
      </c>
      <c r="I13419">
        <v>3</v>
      </c>
      <c r="J13419" t="str" cm="1">
        <f t="array" ref="J13419">_xlfn.IFS(I13419&lt;=3,"small",I13419&lt;=6,"Medium",I13419&lt;=9,"Large")</f>
        <v>small</v>
      </c>
      <c r="K13419" s="36">
        <v>44993</v>
      </c>
      <c r="L13419" s="36">
        <v>44998</v>
      </c>
      <c r="M13419" t="s">
        <v>612</v>
      </c>
      <c r="N13419" t="s">
        <v>608</v>
      </c>
      <c r="O13419" s="37" t="str">
        <f t="shared" si="1048"/>
        <v>Cash Payment</v>
      </c>
      <c r="P13419">
        <v>140.72999999999999</v>
      </c>
      <c r="Q13419" s="37" t="str">
        <f>IF(P13419&gt;500,"High","low")</f>
        <v>low</v>
      </c>
      <c r="R13419" s="37" t="str">
        <f t="shared" si="1049"/>
        <v>AVERAGE</v>
      </c>
      <c r="S13419" t="s">
        <v>600</v>
      </c>
    </row>
    <row r="13420" spans="1:19" x14ac:dyDescent="0.2">
      <c r="A13420" t="s">
        <v>14031</v>
      </c>
      <c r="B13420" t="s">
        <v>67</v>
      </c>
      <c r="C13420" t="s">
        <v>607</v>
      </c>
      <c r="D13420">
        <v>794.46</v>
      </c>
      <c r="E13420" s="37" t="str">
        <f t="shared" si="1045"/>
        <v xml:space="preserve"> </v>
      </c>
      <c r="F13420">
        <v>0.45</v>
      </c>
      <c r="G13420" s="37" t="str">
        <f t="shared" si="1046"/>
        <v>Heavy Discount</v>
      </c>
      <c r="H13420" s="37" t="str">
        <f t="shared" si="1047"/>
        <v>High</v>
      </c>
      <c r="I13420">
        <v>2</v>
      </c>
      <c r="J13420" t="str" cm="1">
        <f t="array" ref="J13420">_xlfn.IFS(I13420&lt;=3,"small",I13420&lt;=6,"Medium",I13420&lt;=9,"Large")</f>
        <v>small</v>
      </c>
      <c r="K13420" s="36">
        <v>45117</v>
      </c>
      <c r="L13420" s="36">
        <v>45118</v>
      </c>
      <c r="M13420" t="s">
        <v>612</v>
      </c>
      <c r="N13420" t="s">
        <v>608</v>
      </c>
      <c r="O13420" s="37" t="str">
        <f t="shared" si="1048"/>
        <v>Cash Payment</v>
      </c>
      <c r="P13420">
        <v>167.72</v>
      </c>
      <c r="Q13420" s="37" t="str">
        <f>IF(P13420&gt;500,"High","low")</f>
        <v>low</v>
      </c>
      <c r="R13420" s="37" t="str">
        <f t="shared" si="1049"/>
        <v>AVERAGE</v>
      </c>
      <c r="S13420" t="s">
        <v>605</v>
      </c>
    </row>
    <row r="13421" spans="1:19" x14ac:dyDescent="0.2">
      <c r="A13421" t="s">
        <v>14032</v>
      </c>
      <c r="B13421" t="s">
        <v>75</v>
      </c>
      <c r="C13421" t="s">
        <v>602</v>
      </c>
      <c r="D13421">
        <v>2611.62</v>
      </c>
      <c r="E13421" s="37" t="str">
        <f t="shared" si="1045"/>
        <v xml:space="preserve"> </v>
      </c>
      <c r="F13421">
        <v>0.13</v>
      </c>
      <c r="G13421" s="37" t="str">
        <f t="shared" si="1046"/>
        <v>Normal Discount</v>
      </c>
      <c r="H13421" s="37" t="str">
        <f t="shared" si="1047"/>
        <v>Low</v>
      </c>
      <c r="I13421">
        <v>2</v>
      </c>
      <c r="J13421" t="str" cm="1">
        <f t="array" ref="J13421">_xlfn.IFS(I13421&lt;=3,"small",I13421&lt;=6,"Medium",I13421&lt;=9,"Large")</f>
        <v>small</v>
      </c>
      <c r="K13421" s="36">
        <v>45296</v>
      </c>
      <c r="L13421" s="36">
        <v>45302</v>
      </c>
      <c r="M13421" t="s">
        <v>603</v>
      </c>
      <c r="N13421" t="s">
        <v>608</v>
      </c>
      <c r="O13421" s="37" t="str">
        <f t="shared" si="1048"/>
        <v>Cash Payment</v>
      </c>
      <c r="P13421">
        <v>363.63</v>
      </c>
      <c r="Q13421" s="37" t="str">
        <f>IF(P13421&gt;500,"High","low")</f>
        <v>low</v>
      </c>
      <c r="R13421" s="37" t="str">
        <f t="shared" si="1049"/>
        <v>AVERAGE</v>
      </c>
      <c r="S13421" t="s">
        <v>620</v>
      </c>
    </row>
    <row r="13422" spans="1:19" x14ac:dyDescent="0.2">
      <c r="A13422" t="s">
        <v>14033</v>
      </c>
      <c r="B13422" t="s">
        <v>67</v>
      </c>
      <c r="C13422" t="s">
        <v>614</v>
      </c>
      <c r="D13422">
        <v>1767.83</v>
      </c>
      <c r="E13422" s="37" t="str">
        <f t="shared" si="1045"/>
        <v xml:space="preserve"> </v>
      </c>
      <c r="F13422">
        <v>0.25</v>
      </c>
      <c r="G13422" s="37" t="str">
        <f t="shared" si="1046"/>
        <v>Normal Discount</v>
      </c>
      <c r="H13422" s="37" t="str">
        <f t="shared" si="1047"/>
        <v>Medium</v>
      </c>
      <c r="I13422">
        <v>9</v>
      </c>
      <c r="J13422" t="str" cm="1">
        <f t="array" ref="J13422">_xlfn.IFS(I13422&lt;=3,"small",I13422&lt;=6,"Medium",I13422&lt;=9,"Large")</f>
        <v>Large</v>
      </c>
      <c r="K13422" s="36">
        <v>45205</v>
      </c>
      <c r="L13422" s="36">
        <v>45208</v>
      </c>
      <c r="M13422" t="s">
        <v>612</v>
      </c>
      <c r="N13422" t="s">
        <v>608</v>
      </c>
      <c r="O13422" s="37" t="str">
        <f t="shared" si="1048"/>
        <v>Cash Payment</v>
      </c>
      <c r="P13422">
        <v>203.72</v>
      </c>
      <c r="Q13422" s="37" t="str">
        <f>IF(P13422&gt;500,"High","low")</f>
        <v>low</v>
      </c>
      <c r="R13422" s="37" t="str">
        <f t="shared" si="1049"/>
        <v>AVERAGE</v>
      </c>
      <c r="S13422" t="s">
        <v>628</v>
      </c>
    </row>
    <row r="13423" spans="1:19" x14ac:dyDescent="0.2">
      <c r="A13423" t="s">
        <v>14034</v>
      </c>
      <c r="B13423" t="s">
        <v>75</v>
      </c>
      <c r="C13423" t="s">
        <v>597</v>
      </c>
      <c r="D13423">
        <v>2377.29</v>
      </c>
      <c r="E13423" s="37" t="str">
        <f t="shared" si="1045"/>
        <v xml:space="preserve"> </v>
      </c>
      <c r="F13423">
        <v>0.3</v>
      </c>
      <c r="G13423" s="37" t="str">
        <f t="shared" si="1046"/>
        <v>Normal Discount</v>
      </c>
      <c r="H13423" s="37" t="str">
        <f t="shared" si="1047"/>
        <v>Medium</v>
      </c>
      <c r="I13423">
        <v>8</v>
      </c>
      <c r="J13423" t="str" cm="1">
        <f t="array" ref="J13423">_xlfn.IFS(I13423&lt;=3,"small",I13423&lt;=6,"Medium",I13423&lt;=9,"Large")</f>
        <v>Large</v>
      </c>
      <c r="K13423" s="36">
        <v>44976</v>
      </c>
      <c r="L13423" s="36">
        <v>44982</v>
      </c>
      <c r="M13423" t="s">
        <v>598</v>
      </c>
      <c r="N13423" t="s">
        <v>599</v>
      </c>
      <c r="O13423" s="37" t="str">
        <f t="shared" si="1048"/>
        <v>Digital Payment</v>
      </c>
      <c r="P13423">
        <v>408.39</v>
      </c>
      <c r="Q13423" s="37" t="str">
        <f>IF(P13423&gt;500,"High","low")</f>
        <v>low</v>
      </c>
      <c r="R13423" s="37" t="str">
        <f t="shared" si="1049"/>
        <v>AVERAGE</v>
      </c>
      <c r="S13423" t="s">
        <v>609</v>
      </c>
    </row>
    <row r="13424" spans="1:19" x14ac:dyDescent="0.2">
      <c r="A13424" t="s">
        <v>14035</v>
      </c>
      <c r="B13424" t="s">
        <v>75</v>
      </c>
      <c r="C13424" t="s">
        <v>597</v>
      </c>
      <c r="D13424">
        <v>3211.88</v>
      </c>
      <c r="E13424" s="37" t="str">
        <f t="shared" si="1045"/>
        <v xml:space="preserve"> </v>
      </c>
      <c r="F13424">
        <v>0.21</v>
      </c>
      <c r="G13424" s="37" t="str">
        <f t="shared" si="1046"/>
        <v>Normal Discount</v>
      </c>
      <c r="H13424" s="37" t="str">
        <f t="shared" si="1047"/>
        <v>Medium</v>
      </c>
      <c r="I13424">
        <v>2</v>
      </c>
      <c r="J13424" t="str" cm="1">
        <f t="array" ref="J13424">_xlfn.IFS(I13424&lt;=3,"small",I13424&lt;=6,"Medium",I13424&lt;=9,"Large")</f>
        <v>small</v>
      </c>
      <c r="K13424" s="36">
        <v>45247</v>
      </c>
      <c r="L13424" s="36">
        <v>45250</v>
      </c>
      <c r="M13424" t="s">
        <v>612</v>
      </c>
      <c r="N13424" t="s">
        <v>604</v>
      </c>
      <c r="O13424" s="37" t="str">
        <f t="shared" si="1048"/>
        <v>Digital Payment</v>
      </c>
      <c r="P13424">
        <v>402.53</v>
      </c>
      <c r="Q13424" s="37" t="str">
        <f>IF(P13424&gt;500,"High","low")</f>
        <v>low</v>
      </c>
      <c r="R13424" s="37" t="str">
        <f t="shared" si="1049"/>
        <v>AVERAGE</v>
      </c>
      <c r="S13424" t="s">
        <v>620</v>
      </c>
    </row>
    <row r="13425" spans="1:19" x14ac:dyDescent="0.2">
      <c r="A13425" t="s">
        <v>14036</v>
      </c>
      <c r="B13425" t="s">
        <v>67</v>
      </c>
      <c r="C13425" t="s">
        <v>607</v>
      </c>
      <c r="D13425">
        <v>884.03</v>
      </c>
      <c r="E13425" s="37" t="str">
        <f t="shared" si="1045"/>
        <v xml:space="preserve"> </v>
      </c>
      <c r="F13425">
        <v>0.03</v>
      </c>
      <c r="G13425" s="37" t="str">
        <f t="shared" si="1046"/>
        <v>Normal Discount</v>
      </c>
      <c r="H13425" s="37" t="str">
        <f t="shared" si="1047"/>
        <v>Low</v>
      </c>
      <c r="I13425">
        <v>8</v>
      </c>
      <c r="J13425" t="str" cm="1">
        <f t="array" ref="J13425">_xlfn.IFS(I13425&lt;=3,"small",I13425&lt;=6,"Medium",I13425&lt;=9,"Large")</f>
        <v>Large</v>
      </c>
      <c r="K13425" s="36">
        <v>45635</v>
      </c>
      <c r="L13425" s="36">
        <v>45642</v>
      </c>
      <c r="M13425" t="s">
        <v>598</v>
      </c>
      <c r="N13425" t="s">
        <v>599</v>
      </c>
      <c r="O13425" s="37" t="str">
        <f t="shared" si="1048"/>
        <v>Digital Payment</v>
      </c>
      <c r="P13425">
        <v>153.72</v>
      </c>
      <c r="Q13425" s="37" t="str">
        <f>IF(P13425&gt;500,"High","low")</f>
        <v>low</v>
      </c>
      <c r="R13425" s="37" t="str">
        <f t="shared" si="1049"/>
        <v>AVERAGE</v>
      </c>
      <c r="S13425" t="s">
        <v>600</v>
      </c>
    </row>
    <row r="13426" spans="1:19" x14ac:dyDescent="0.2">
      <c r="A13426" t="s">
        <v>14037</v>
      </c>
      <c r="B13426" t="s">
        <v>83</v>
      </c>
      <c r="C13426" t="s">
        <v>614</v>
      </c>
      <c r="D13426">
        <v>4476.13</v>
      </c>
      <c r="E13426" s="37" t="str">
        <f t="shared" si="1045"/>
        <v xml:space="preserve"> </v>
      </c>
      <c r="F13426">
        <v>0.03</v>
      </c>
      <c r="G13426" s="37" t="str">
        <f t="shared" si="1046"/>
        <v>Normal Discount</v>
      </c>
      <c r="H13426" s="37" t="str">
        <f t="shared" si="1047"/>
        <v>Low</v>
      </c>
      <c r="I13426">
        <v>4</v>
      </c>
      <c r="J13426" t="str" cm="1">
        <f t="array" ref="J13426">_xlfn.IFS(I13426&lt;=3,"small",I13426&lt;=6,"Medium",I13426&lt;=9,"Large")</f>
        <v>Medium</v>
      </c>
      <c r="K13426" s="36">
        <v>45098</v>
      </c>
      <c r="L13426" s="36">
        <v>45099</v>
      </c>
      <c r="M13426" t="s">
        <v>612</v>
      </c>
      <c r="N13426" t="s">
        <v>604</v>
      </c>
      <c r="O13426" s="37" t="str">
        <f t="shared" si="1048"/>
        <v>Digital Payment</v>
      </c>
      <c r="P13426">
        <v>236.36</v>
      </c>
      <c r="Q13426" s="37" t="str">
        <f>IF(P13426&gt;500,"High","low")</f>
        <v>low</v>
      </c>
      <c r="R13426" s="37" t="str">
        <f t="shared" si="1049"/>
        <v>AVERAGE</v>
      </c>
      <c r="S13426" t="s">
        <v>609</v>
      </c>
    </row>
    <row r="13427" spans="1:19" x14ac:dyDescent="0.2">
      <c r="A13427" t="s">
        <v>14038</v>
      </c>
      <c r="B13427" t="s">
        <v>83</v>
      </c>
      <c r="C13427" t="s">
        <v>607</v>
      </c>
      <c r="D13427">
        <v>2841.45</v>
      </c>
      <c r="E13427" s="37" t="str">
        <f t="shared" si="1045"/>
        <v xml:space="preserve"> </v>
      </c>
      <c r="F13427">
        <v>0.22</v>
      </c>
      <c r="G13427" s="37" t="str">
        <f t="shared" si="1046"/>
        <v>Normal Discount</v>
      </c>
      <c r="H13427" s="37" t="str">
        <f t="shared" si="1047"/>
        <v>Medium</v>
      </c>
      <c r="I13427">
        <v>6</v>
      </c>
      <c r="J13427" t="str" cm="1">
        <f t="array" ref="J13427">_xlfn.IFS(I13427&lt;=3,"small",I13427&lt;=6,"Medium",I13427&lt;=9,"Large")</f>
        <v>Medium</v>
      </c>
      <c r="K13427" s="36">
        <v>45624</v>
      </c>
      <c r="L13427" s="36">
        <v>45627</v>
      </c>
      <c r="M13427" t="s">
        <v>612</v>
      </c>
      <c r="N13427" t="s">
        <v>599</v>
      </c>
      <c r="O13427" s="37" t="str">
        <f t="shared" si="1048"/>
        <v>Digital Payment</v>
      </c>
      <c r="P13427">
        <v>768.93</v>
      </c>
      <c r="Q13427" s="37" t="str">
        <f>IF(P13427&gt;500,"High","low")</f>
        <v>High</v>
      </c>
      <c r="R13427" s="37" t="str">
        <f t="shared" si="1049"/>
        <v>Good</v>
      </c>
      <c r="S13427" t="s">
        <v>605</v>
      </c>
    </row>
    <row r="13428" spans="1:19" x14ac:dyDescent="0.2">
      <c r="A13428" t="s">
        <v>14039</v>
      </c>
      <c r="B13428" t="s">
        <v>67</v>
      </c>
      <c r="C13428" t="s">
        <v>597</v>
      </c>
      <c r="D13428">
        <v>208.26</v>
      </c>
      <c r="E13428" s="37" t="str">
        <f t="shared" si="1045"/>
        <v xml:space="preserve"> </v>
      </c>
      <c r="F13428">
        <v>0.4</v>
      </c>
      <c r="G13428" s="37" t="str">
        <f t="shared" si="1046"/>
        <v>Heavy Discount</v>
      </c>
      <c r="H13428" s="37" t="str">
        <f t="shared" si="1047"/>
        <v>Medium</v>
      </c>
      <c r="I13428">
        <v>5</v>
      </c>
      <c r="J13428" t="str" cm="1">
        <f t="array" ref="J13428">_xlfn.IFS(I13428&lt;=3,"small",I13428&lt;=6,"Medium",I13428&lt;=9,"Large")</f>
        <v>Medium</v>
      </c>
      <c r="K13428" s="36">
        <v>45623</v>
      </c>
      <c r="L13428" s="36">
        <v>45629</v>
      </c>
      <c r="M13428" t="s">
        <v>603</v>
      </c>
      <c r="N13428" t="s">
        <v>608</v>
      </c>
      <c r="O13428" s="37" t="str">
        <f t="shared" si="1048"/>
        <v>Cash Payment</v>
      </c>
      <c r="P13428">
        <v>41.05</v>
      </c>
      <c r="Q13428" s="37" t="str">
        <f>IF(P13428&gt;500,"High","low")</f>
        <v>low</v>
      </c>
      <c r="R13428" s="37" t="str">
        <f t="shared" si="1049"/>
        <v>AVERAGE</v>
      </c>
      <c r="S13428" t="s">
        <v>620</v>
      </c>
    </row>
    <row r="13429" spans="1:19" x14ac:dyDescent="0.2">
      <c r="A13429" t="s">
        <v>14040</v>
      </c>
      <c r="B13429" t="s">
        <v>83</v>
      </c>
      <c r="C13429" t="s">
        <v>597</v>
      </c>
      <c r="D13429">
        <v>3179.42</v>
      </c>
      <c r="E13429" s="37" t="str">
        <f t="shared" si="1045"/>
        <v xml:space="preserve"> </v>
      </c>
      <c r="F13429">
        <v>0.04</v>
      </c>
      <c r="G13429" s="37" t="str">
        <f t="shared" si="1046"/>
        <v>Normal Discount</v>
      </c>
      <c r="H13429" s="37" t="str">
        <f t="shared" si="1047"/>
        <v>Low</v>
      </c>
      <c r="I13429">
        <v>5</v>
      </c>
      <c r="J13429" t="str" cm="1">
        <f t="array" ref="J13429">_xlfn.IFS(I13429&lt;=3,"small",I13429&lt;=6,"Medium",I13429&lt;=9,"Large")</f>
        <v>Medium</v>
      </c>
      <c r="K13429" s="36">
        <v>45603</v>
      </c>
      <c r="L13429" s="36">
        <v>45607</v>
      </c>
      <c r="M13429" t="s">
        <v>598</v>
      </c>
      <c r="N13429" t="s">
        <v>608</v>
      </c>
      <c r="O13429" s="37" t="str">
        <f t="shared" si="1048"/>
        <v>Cash Payment</v>
      </c>
      <c r="P13429">
        <v>548.36</v>
      </c>
      <c r="Q13429" s="37" t="str">
        <f>IF(P13429&gt;500,"High","low")</f>
        <v>High</v>
      </c>
      <c r="R13429" s="37" t="str">
        <f t="shared" si="1049"/>
        <v>Good</v>
      </c>
      <c r="S13429" t="s">
        <v>600</v>
      </c>
    </row>
    <row r="13430" spans="1:19" x14ac:dyDescent="0.2">
      <c r="A13430" t="s">
        <v>14041</v>
      </c>
      <c r="B13430" t="s">
        <v>90</v>
      </c>
      <c r="C13430" t="s">
        <v>617</v>
      </c>
      <c r="D13430">
        <v>2369.58</v>
      </c>
      <c r="E13430" s="37" t="str">
        <f t="shared" si="1045"/>
        <v xml:space="preserve"> </v>
      </c>
      <c r="F13430">
        <v>0.1</v>
      </c>
      <c r="G13430" s="37" t="str">
        <f t="shared" si="1046"/>
        <v>Normal Discount</v>
      </c>
      <c r="H13430" s="37" t="str">
        <f t="shared" si="1047"/>
        <v>Low</v>
      </c>
      <c r="I13430">
        <v>7</v>
      </c>
      <c r="J13430" t="str" cm="1">
        <f t="array" ref="J13430">_xlfn.IFS(I13430&lt;=3,"small",I13430&lt;=6,"Medium",I13430&lt;=9,"Large")</f>
        <v>Large</v>
      </c>
      <c r="K13430" s="36">
        <v>45375</v>
      </c>
      <c r="L13430" s="36">
        <v>45380</v>
      </c>
      <c r="M13430" t="s">
        <v>598</v>
      </c>
      <c r="N13430" t="s">
        <v>599</v>
      </c>
      <c r="O13430" s="37" t="str">
        <f t="shared" si="1048"/>
        <v>Digital Payment</v>
      </c>
      <c r="P13430">
        <v>402.88</v>
      </c>
      <c r="Q13430" s="37" t="str">
        <f>IF(P13430&gt;500,"High","low")</f>
        <v>low</v>
      </c>
      <c r="R13430" s="37" t="str">
        <f t="shared" si="1049"/>
        <v>AVERAGE</v>
      </c>
      <c r="S13430" t="s">
        <v>605</v>
      </c>
    </row>
    <row r="13431" spans="1:19" x14ac:dyDescent="0.2">
      <c r="A13431" t="s">
        <v>14042</v>
      </c>
      <c r="B13431" t="s">
        <v>90</v>
      </c>
      <c r="C13431" t="s">
        <v>597</v>
      </c>
      <c r="D13431">
        <v>3538.03</v>
      </c>
      <c r="E13431" s="37" t="str">
        <f t="shared" si="1045"/>
        <v xml:space="preserve"> </v>
      </c>
      <c r="F13431">
        <v>0.13</v>
      </c>
      <c r="G13431" s="37" t="str">
        <f t="shared" si="1046"/>
        <v>Normal Discount</v>
      </c>
      <c r="H13431" s="37" t="str">
        <f t="shared" si="1047"/>
        <v>Low</v>
      </c>
      <c r="I13431">
        <v>8</v>
      </c>
      <c r="J13431" t="str" cm="1">
        <f t="array" ref="J13431">_xlfn.IFS(I13431&lt;=3,"small",I13431&lt;=6,"Medium",I13431&lt;=9,"Large")</f>
        <v>Large</v>
      </c>
      <c r="K13431" s="36">
        <v>44944</v>
      </c>
      <c r="L13431" s="36">
        <v>44949</v>
      </c>
      <c r="M13431" t="s">
        <v>603</v>
      </c>
      <c r="N13431" t="s">
        <v>599</v>
      </c>
      <c r="O13431" s="37" t="str">
        <f t="shared" si="1048"/>
        <v>Digital Payment</v>
      </c>
      <c r="P13431">
        <v>853.55</v>
      </c>
      <c r="Q13431" s="37" t="str">
        <f>IF(P13431&gt;500,"High","low")</f>
        <v>High</v>
      </c>
      <c r="R13431" s="37" t="str">
        <f t="shared" si="1049"/>
        <v>Good</v>
      </c>
      <c r="S13431" t="s">
        <v>609</v>
      </c>
    </row>
    <row r="13432" spans="1:19" x14ac:dyDescent="0.2">
      <c r="A13432" t="s">
        <v>14043</v>
      </c>
      <c r="B13432" t="s">
        <v>75</v>
      </c>
      <c r="C13432" t="s">
        <v>602</v>
      </c>
      <c r="D13432">
        <v>3941.76</v>
      </c>
      <c r="E13432" s="37" t="str">
        <f t="shared" si="1045"/>
        <v xml:space="preserve"> </v>
      </c>
      <c r="F13432">
        <v>0.28000000000000003</v>
      </c>
      <c r="G13432" s="37" t="str">
        <f t="shared" si="1046"/>
        <v>Normal Discount</v>
      </c>
      <c r="H13432" s="37" t="str">
        <f t="shared" si="1047"/>
        <v>Medium</v>
      </c>
      <c r="I13432">
        <v>5</v>
      </c>
      <c r="J13432" t="str" cm="1">
        <f t="array" ref="J13432">_xlfn.IFS(I13432&lt;=3,"small",I13432&lt;=6,"Medium",I13432&lt;=9,"Large")</f>
        <v>Medium</v>
      </c>
      <c r="K13432" s="36">
        <v>45298</v>
      </c>
      <c r="L13432" s="36">
        <v>45302</v>
      </c>
      <c r="M13432" t="s">
        <v>598</v>
      </c>
      <c r="N13432" t="s">
        <v>608</v>
      </c>
      <c r="O13432" s="37" t="str">
        <f t="shared" si="1048"/>
        <v>Cash Payment</v>
      </c>
      <c r="P13432">
        <v>735.8</v>
      </c>
      <c r="Q13432" s="37" t="str">
        <f>IF(P13432&gt;500,"High","low")</f>
        <v>High</v>
      </c>
      <c r="R13432" s="37" t="str">
        <f t="shared" si="1049"/>
        <v>Good</v>
      </c>
      <c r="S13432" t="s">
        <v>628</v>
      </c>
    </row>
    <row r="13433" spans="1:19" x14ac:dyDescent="0.2">
      <c r="A13433" t="s">
        <v>14044</v>
      </c>
      <c r="B13433" t="s">
        <v>83</v>
      </c>
      <c r="C13433" t="s">
        <v>617</v>
      </c>
      <c r="D13433">
        <v>4700.34</v>
      </c>
      <c r="E13433" s="37" t="str">
        <f t="shared" si="1045"/>
        <v>Excellent Order</v>
      </c>
      <c r="F13433">
        <v>0.02</v>
      </c>
      <c r="G13433" s="37" t="str">
        <f t="shared" si="1046"/>
        <v>Normal Discount</v>
      </c>
      <c r="H13433" s="37" t="str">
        <f t="shared" si="1047"/>
        <v>Low</v>
      </c>
      <c r="I13433">
        <v>4</v>
      </c>
      <c r="J13433" t="str" cm="1">
        <f t="array" ref="J13433">_xlfn.IFS(I13433&lt;=3,"small",I13433&lt;=6,"Medium",I13433&lt;=9,"Large")</f>
        <v>Medium</v>
      </c>
      <c r="K13433" s="36">
        <v>45315</v>
      </c>
      <c r="L13433" s="36">
        <v>45316</v>
      </c>
      <c r="M13433" t="s">
        <v>598</v>
      </c>
      <c r="N13433" t="s">
        <v>608</v>
      </c>
      <c r="O13433" s="37" t="str">
        <f t="shared" si="1048"/>
        <v>Cash Payment</v>
      </c>
      <c r="P13433">
        <v>988.33</v>
      </c>
      <c r="Q13433" s="37" t="str">
        <f>IF(P13433&gt;500,"High","low")</f>
        <v>High</v>
      </c>
      <c r="R13433" s="37" t="str">
        <f t="shared" si="1049"/>
        <v>Good</v>
      </c>
      <c r="S13433" t="s">
        <v>628</v>
      </c>
    </row>
    <row r="13434" spans="1:19" x14ac:dyDescent="0.2">
      <c r="A13434" t="s">
        <v>14045</v>
      </c>
      <c r="B13434" t="s">
        <v>90</v>
      </c>
      <c r="C13434" t="s">
        <v>607</v>
      </c>
      <c r="D13434">
        <v>4991.8900000000003</v>
      </c>
      <c r="E13434" s="37" t="str">
        <f t="shared" si="1045"/>
        <v>Excellent Order</v>
      </c>
      <c r="F13434">
        <v>0.43</v>
      </c>
      <c r="G13434" s="37" t="str">
        <f t="shared" si="1046"/>
        <v>Heavy Discount</v>
      </c>
      <c r="H13434" s="37" t="str">
        <f t="shared" si="1047"/>
        <v>High</v>
      </c>
      <c r="I13434">
        <v>2</v>
      </c>
      <c r="J13434" t="str" cm="1">
        <f t="array" ref="J13434">_xlfn.IFS(I13434&lt;=3,"small",I13434&lt;=6,"Medium",I13434&lt;=9,"Large")</f>
        <v>small</v>
      </c>
      <c r="K13434" s="36">
        <v>45392</v>
      </c>
      <c r="L13434" s="36">
        <v>45394</v>
      </c>
      <c r="M13434" t="s">
        <v>598</v>
      </c>
      <c r="N13434" t="s">
        <v>599</v>
      </c>
      <c r="O13434" s="37" t="str">
        <f t="shared" si="1048"/>
        <v>Digital Payment</v>
      </c>
      <c r="P13434">
        <v>1244.3599999999999</v>
      </c>
      <c r="Q13434" s="37" t="str">
        <f>IF(P13434&gt;500,"High","low")</f>
        <v>High</v>
      </c>
      <c r="R13434" s="37" t="str">
        <f t="shared" si="1049"/>
        <v>Excellent</v>
      </c>
      <c r="S13434" t="s">
        <v>620</v>
      </c>
    </row>
    <row r="13435" spans="1:19" x14ac:dyDescent="0.2">
      <c r="A13435" t="s">
        <v>14046</v>
      </c>
      <c r="B13435" t="s">
        <v>67</v>
      </c>
      <c r="C13435" t="s">
        <v>597</v>
      </c>
      <c r="D13435">
        <v>2793.12</v>
      </c>
      <c r="E13435" s="37" t="str">
        <f t="shared" si="1045"/>
        <v xml:space="preserve"> </v>
      </c>
      <c r="F13435">
        <v>0.24</v>
      </c>
      <c r="G13435" s="37" t="str">
        <f t="shared" si="1046"/>
        <v>Normal Discount</v>
      </c>
      <c r="H13435" s="37" t="str">
        <f t="shared" si="1047"/>
        <v>Medium</v>
      </c>
      <c r="I13435">
        <v>5</v>
      </c>
      <c r="J13435" t="str" cm="1">
        <f t="array" ref="J13435">_xlfn.IFS(I13435&lt;=3,"small",I13435&lt;=6,"Medium",I13435&lt;=9,"Large")</f>
        <v>Medium</v>
      </c>
      <c r="K13435" s="36">
        <v>45537</v>
      </c>
      <c r="L13435" s="36">
        <v>45540</v>
      </c>
      <c r="M13435" t="s">
        <v>598</v>
      </c>
      <c r="N13435" t="s">
        <v>604</v>
      </c>
      <c r="O13435" s="37" t="str">
        <f t="shared" si="1048"/>
        <v>Digital Payment</v>
      </c>
      <c r="P13435">
        <v>737</v>
      </c>
      <c r="Q13435" s="37" t="str">
        <f>IF(P13435&gt;500,"High","low")</f>
        <v>High</v>
      </c>
      <c r="R13435" s="37" t="str">
        <f t="shared" si="1049"/>
        <v>Good</v>
      </c>
      <c r="S13435" t="s">
        <v>615</v>
      </c>
    </row>
    <row r="13436" spans="1:19" x14ac:dyDescent="0.2">
      <c r="A13436" t="s">
        <v>14047</v>
      </c>
      <c r="B13436" t="s">
        <v>83</v>
      </c>
      <c r="C13436" t="s">
        <v>602</v>
      </c>
      <c r="D13436">
        <v>2851.39</v>
      </c>
      <c r="E13436" s="37" t="str">
        <f t="shared" si="1045"/>
        <v xml:space="preserve"> </v>
      </c>
      <c r="F13436">
        <v>0.24</v>
      </c>
      <c r="G13436" s="37" t="str">
        <f t="shared" si="1046"/>
        <v>Normal Discount</v>
      </c>
      <c r="H13436" s="37" t="str">
        <f t="shared" si="1047"/>
        <v>Medium</v>
      </c>
      <c r="I13436">
        <v>8</v>
      </c>
      <c r="J13436" t="str" cm="1">
        <f t="array" ref="J13436">_xlfn.IFS(I13436&lt;=3,"small",I13436&lt;=6,"Medium",I13436&lt;=9,"Large")</f>
        <v>Large</v>
      </c>
      <c r="K13436" s="36">
        <v>45556</v>
      </c>
      <c r="L13436" s="36">
        <v>45559</v>
      </c>
      <c r="M13436" t="s">
        <v>603</v>
      </c>
      <c r="N13436" t="s">
        <v>599</v>
      </c>
      <c r="O13436" s="37" t="str">
        <f t="shared" si="1048"/>
        <v>Digital Payment</v>
      </c>
      <c r="P13436">
        <v>536.20000000000005</v>
      </c>
      <c r="Q13436" s="37" t="str">
        <f>IF(P13436&gt;500,"High","low")</f>
        <v>High</v>
      </c>
      <c r="R13436" s="37" t="str">
        <f t="shared" si="1049"/>
        <v>Good</v>
      </c>
      <c r="S13436" t="s">
        <v>600</v>
      </c>
    </row>
    <row r="13437" spans="1:19" x14ac:dyDescent="0.2">
      <c r="A13437" t="s">
        <v>14048</v>
      </c>
      <c r="B13437" t="s">
        <v>90</v>
      </c>
      <c r="C13437" t="s">
        <v>617</v>
      </c>
      <c r="D13437">
        <v>209.98</v>
      </c>
      <c r="E13437" s="37" t="str">
        <f t="shared" si="1045"/>
        <v xml:space="preserve"> </v>
      </c>
      <c r="F13437">
        <v>0.16</v>
      </c>
      <c r="G13437" s="37" t="str">
        <f t="shared" si="1046"/>
        <v>Normal Discount</v>
      </c>
      <c r="H13437" s="37" t="str">
        <f t="shared" si="1047"/>
        <v>Low</v>
      </c>
      <c r="I13437">
        <v>1</v>
      </c>
      <c r="J13437" t="str" cm="1">
        <f t="array" ref="J13437">_xlfn.IFS(I13437&lt;=3,"small",I13437&lt;=6,"Medium",I13437&lt;=9,"Large")</f>
        <v>small</v>
      </c>
      <c r="K13437" s="36">
        <v>45172</v>
      </c>
      <c r="L13437" s="36">
        <v>45174</v>
      </c>
      <c r="M13437" t="s">
        <v>603</v>
      </c>
      <c r="N13437" t="s">
        <v>599</v>
      </c>
      <c r="O13437" s="37" t="str">
        <f t="shared" si="1048"/>
        <v>Digital Payment</v>
      </c>
      <c r="P13437">
        <v>41.17</v>
      </c>
      <c r="Q13437" s="37" t="str">
        <f>IF(P13437&gt;500,"High","low")</f>
        <v>low</v>
      </c>
      <c r="R13437" s="37" t="str">
        <f t="shared" si="1049"/>
        <v>AVERAGE</v>
      </c>
      <c r="S13437" t="s">
        <v>620</v>
      </c>
    </row>
    <row r="13438" spans="1:19" x14ac:dyDescent="0.2">
      <c r="A13438" t="s">
        <v>14049</v>
      </c>
      <c r="B13438" t="s">
        <v>90</v>
      </c>
      <c r="C13438" t="s">
        <v>602</v>
      </c>
      <c r="D13438">
        <v>4339.34</v>
      </c>
      <c r="E13438" s="37" t="str">
        <f t="shared" si="1045"/>
        <v>Excellent Order</v>
      </c>
      <c r="F13438">
        <v>0.11</v>
      </c>
      <c r="G13438" s="37" t="str">
        <f t="shared" si="1046"/>
        <v>Normal Discount</v>
      </c>
      <c r="H13438" s="37" t="str">
        <f t="shared" si="1047"/>
        <v>Low</v>
      </c>
      <c r="I13438">
        <v>6</v>
      </c>
      <c r="J13438" t="str" cm="1">
        <f t="array" ref="J13438">_xlfn.IFS(I13438&lt;=3,"small",I13438&lt;=6,"Medium",I13438&lt;=9,"Large")</f>
        <v>Medium</v>
      </c>
      <c r="K13438" s="36">
        <v>45022</v>
      </c>
      <c r="L13438" s="36">
        <v>45024</v>
      </c>
      <c r="M13438" t="s">
        <v>612</v>
      </c>
      <c r="N13438" t="s">
        <v>599</v>
      </c>
      <c r="O13438" s="37" t="str">
        <f t="shared" si="1048"/>
        <v>Digital Payment</v>
      </c>
      <c r="P13438">
        <v>959.7</v>
      </c>
      <c r="Q13438" s="37" t="str">
        <f>IF(P13438&gt;500,"High","low")</f>
        <v>High</v>
      </c>
      <c r="R13438" s="37" t="str">
        <f t="shared" si="1049"/>
        <v>Good</v>
      </c>
      <c r="S13438" t="s">
        <v>620</v>
      </c>
    </row>
    <row r="13439" spans="1:19" x14ac:dyDescent="0.2">
      <c r="A13439" t="s">
        <v>14050</v>
      </c>
      <c r="B13439" t="s">
        <v>67</v>
      </c>
      <c r="C13439" t="s">
        <v>617</v>
      </c>
      <c r="D13439">
        <v>240.72</v>
      </c>
      <c r="E13439" s="37" t="str">
        <f t="shared" si="1045"/>
        <v xml:space="preserve"> </v>
      </c>
      <c r="F13439">
        <v>0.18</v>
      </c>
      <c r="G13439" s="37" t="str">
        <f t="shared" si="1046"/>
        <v>Normal Discount</v>
      </c>
      <c r="H13439" s="37" t="str">
        <f t="shared" si="1047"/>
        <v>Low</v>
      </c>
      <c r="I13439">
        <v>2</v>
      </c>
      <c r="J13439" t="str" cm="1">
        <f t="array" ref="J13439">_xlfn.IFS(I13439&lt;=3,"small",I13439&lt;=6,"Medium",I13439&lt;=9,"Large")</f>
        <v>small</v>
      </c>
      <c r="K13439" s="36">
        <v>45215</v>
      </c>
      <c r="L13439" s="36">
        <v>45216</v>
      </c>
      <c r="M13439" t="s">
        <v>603</v>
      </c>
      <c r="N13439" t="s">
        <v>599</v>
      </c>
      <c r="O13439" s="37" t="str">
        <f t="shared" si="1048"/>
        <v>Digital Payment</v>
      </c>
      <c r="P13439">
        <v>40.46</v>
      </c>
      <c r="Q13439" s="37" t="str">
        <f>IF(P13439&gt;500,"High","low")</f>
        <v>low</v>
      </c>
      <c r="R13439" s="37" t="str">
        <f t="shared" si="1049"/>
        <v>AVERAGE</v>
      </c>
      <c r="S13439" t="s">
        <v>615</v>
      </c>
    </row>
    <row r="13440" spans="1:19" x14ac:dyDescent="0.2">
      <c r="A13440" t="s">
        <v>14051</v>
      </c>
      <c r="B13440" t="s">
        <v>75</v>
      </c>
      <c r="C13440" t="s">
        <v>617</v>
      </c>
      <c r="D13440">
        <v>3200.06</v>
      </c>
      <c r="E13440" s="37" t="str">
        <f t="shared" si="1045"/>
        <v xml:space="preserve"> </v>
      </c>
      <c r="F13440">
        <v>0.46</v>
      </c>
      <c r="G13440" s="37" t="str">
        <f t="shared" si="1046"/>
        <v>Heavy Discount</v>
      </c>
      <c r="H13440" s="37" t="str">
        <f t="shared" si="1047"/>
        <v>High</v>
      </c>
      <c r="I13440">
        <v>2</v>
      </c>
      <c r="J13440" t="str" cm="1">
        <f t="array" ref="J13440">_xlfn.IFS(I13440&lt;=3,"small",I13440&lt;=6,"Medium",I13440&lt;=9,"Large")</f>
        <v>small</v>
      </c>
      <c r="K13440" s="36">
        <v>45142</v>
      </c>
      <c r="L13440" s="36">
        <v>45148</v>
      </c>
      <c r="M13440" t="s">
        <v>612</v>
      </c>
      <c r="N13440" t="s">
        <v>599</v>
      </c>
      <c r="O13440" s="37" t="str">
        <f t="shared" si="1048"/>
        <v>Digital Payment</v>
      </c>
      <c r="P13440">
        <v>882.56</v>
      </c>
      <c r="Q13440" s="37" t="str">
        <f>IF(P13440&gt;500,"High","low")</f>
        <v>High</v>
      </c>
      <c r="R13440" s="37" t="str">
        <f t="shared" si="1049"/>
        <v>Good</v>
      </c>
      <c r="S13440" t="s">
        <v>620</v>
      </c>
    </row>
    <row r="13441" spans="1:19" x14ac:dyDescent="0.2">
      <c r="A13441" t="s">
        <v>14052</v>
      </c>
      <c r="B13441" t="s">
        <v>67</v>
      </c>
      <c r="C13441" t="s">
        <v>617</v>
      </c>
      <c r="D13441">
        <v>583.03</v>
      </c>
      <c r="E13441" s="37" t="str">
        <f t="shared" si="1045"/>
        <v xml:space="preserve"> </v>
      </c>
      <c r="F13441">
        <v>0.05</v>
      </c>
      <c r="G13441" s="37" t="str">
        <f t="shared" si="1046"/>
        <v>Normal Discount</v>
      </c>
      <c r="H13441" s="37" t="str">
        <f t="shared" si="1047"/>
        <v>Low</v>
      </c>
      <c r="I13441">
        <v>8</v>
      </c>
      <c r="J13441" t="str" cm="1">
        <f t="array" ref="J13441">_xlfn.IFS(I13441&lt;=3,"small",I13441&lt;=6,"Medium",I13441&lt;=9,"Large")</f>
        <v>Large</v>
      </c>
      <c r="K13441" s="36">
        <v>45593</v>
      </c>
      <c r="L13441" s="36">
        <v>45596</v>
      </c>
      <c r="M13441" t="s">
        <v>598</v>
      </c>
      <c r="N13441" t="s">
        <v>608</v>
      </c>
      <c r="O13441" s="37" t="str">
        <f t="shared" si="1048"/>
        <v>Cash Payment</v>
      </c>
      <c r="P13441">
        <v>108.39</v>
      </c>
      <c r="Q13441" s="37" t="str">
        <f>IF(P13441&gt;500,"High","low")</f>
        <v>low</v>
      </c>
      <c r="R13441" s="37" t="str">
        <f t="shared" si="1049"/>
        <v>AVERAGE</v>
      </c>
      <c r="S13441" t="s">
        <v>609</v>
      </c>
    </row>
    <row r="13442" spans="1:19" x14ac:dyDescent="0.2">
      <c r="A13442" t="s">
        <v>14053</v>
      </c>
      <c r="B13442" t="s">
        <v>75</v>
      </c>
      <c r="C13442" t="s">
        <v>607</v>
      </c>
      <c r="D13442">
        <v>1500.61</v>
      </c>
      <c r="E13442" s="37" t="str">
        <f t="shared" si="1045"/>
        <v xml:space="preserve"> </v>
      </c>
      <c r="F13442">
        <v>0.03</v>
      </c>
      <c r="G13442" s="37" t="str">
        <f t="shared" si="1046"/>
        <v>Normal Discount</v>
      </c>
      <c r="H13442" s="37" t="str">
        <f t="shared" si="1047"/>
        <v>Low</v>
      </c>
      <c r="I13442">
        <v>6</v>
      </c>
      <c r="J13442" t="str" cm="1">
        <f t="array" ref="J13442">_xlfn.IFS(I13442&lt;=3,"small",I13442&lt;=6,"Medium",I13442&lt;=9,"Large")</f>
        <v>Medium</v>
      </c>
      <c r="K13442" s="36">
        <v>45137</v>
      </c>
      <c r="L13442" s="36">
        <v>45139</v>
      </c>
      <c r="M13442" t="s">
        <v>603</v>
      </c>
      <c r="N13442" t="s">
        <v>599</v>
      </c>
      <c r="O13442" s="37" t="str">
        <f t="shared" si="1048"/>
        <v>Digital Payment</v>
      </c>
      <c r="P13442">
        <v>421.76</v>
      </c>
      <c r="Q13442" s="37" t="str">
        <f>IF(P13442&gt;500,"High","low")</f>
        <v>low</v>
      </c>
      <c r="R13442" s="37" t="str">
        <f t="shared" si="1049"/>
        <v>AVERAGE</v>
      </c>
      <c r="S13442" t="s">
        <v>609</v>
      </c>
    </row>
    <row r="13443" spans="1:19" x14ac:dyDescent="0.2">
      <c r="A13443" t="s">
        <v>14054</v>
      </c>
      <c r="B13443" t="s">
        <v>90</v>
      </c>
      <c r="C13443" t="s">
        <v>617</v>
      </c>
      <c r="D13443">
        <v>787.61</v>
      </c>
      <c r="E13443" s="37" t="str">
        <f t="shared" ref="E13443:E13506" si="1050">IF(AND(D13443&gt;4000,P13443&gt;800),"Excellent Order"," ")</f>
        <v xml:space="preserve"> </v>
      </c>
      <c r="F13443">
        <v>0.06</v>
      </c>
      <c r="G13443" s="37" t="str">
        <f t="shared" ref="G13443:G13506" si="1051">IF(F13443&gt;30%,"Heavy Discount","Normal Discount")</f>
        <v>Normal Discount</v>
      </c>
      <c r="H13443" s="37" t="str">
        <f t="shared" ref="H13443:H13506" si="1052">IF(F13443&gt;0.4,"High",IF(F13443&gt;=0.2,"Medium","Low"))</f>
        <v>Low</v>
      </c>
      <c r="I13443">
        <v>6</v>
      </c>
      <c r="J13443" t="str" cm="1">
        <f t="array" ref="J13443">_xlfn.IFS(I13443&lt;=3,"small",I13443&lt;=6,"Medium",I13443&lt;=9,"Large")</f>
        <v>Medium</v>
      </c>
      <c r="K13443" s="36">
        <v>45008</v>
      </c>
      <c r="L13443" s="36">
        <v>45011</v>
      </c>
      <c r="M13443" t="s">
        <v>612</v>
      </c>
      <c r="N13443" t="s">
        <v>608</v>
      </c>
      <c r="O13443" s="37" t="str">
        <f t="shared" ref="O13443:O13506" si="1053">IF(OR(N13443="Card",N13443="UPI"),"Digital Payment","Cash Payment")</f>
        <v>Cash Payment</v>
      </c>
      <c r="P13443">
        <v>197.6</v>
      </c>
      <c r="Q13443" s="37" t="str">
        <f>IF(P13443&gt;500,"High","low")</f>
        <v>low</v>
      </c>
      <c r="R13443" s="37" t="str">
        <f t="shared" ref="R13443:R13506" si="1054">IF(P13443&gt;1000,"Excellent",IF(P13443&gt;=500,"Good","AVERAGE"))</f>
        <v>AVERAGE</v>
      </c>
      <c r="S13443" t="s">
        <v>628</v>
      </c>
    </row>
    <row r="13444" spans="1:19" x14ac:dyDescent="0.2">
      <c r="A13444" t="s">
        <v>14055</v>
      </c>
      <c r="B13444" t="s">
        <v>75</v>
      </c>
      <c r="C13444" t="s">
        <v>617</v>
      </c>
      <c r="D13444">
        <v>773.23</v>
      </c>
      <c r="E13444" s="37" t="str">
        <f t="shared" si="1050"/>
        <v xml:space="preserve"> </v>
      </c>
      <c r="F13444">
        <v>0.39</v>
      </c>
      <c r="G13444" s="37" t="str">
        <f t="shared" si="1051"/>
        <v>Heavy Discount</v>
      </c>
      <c r="H13444" s="37" t="str">
        <f t="shared" si="1052"/>
        <v>Medium</v>
      </c>
      <c r="I13444">
        <v>6</v>
      </c>
      <c r="J13444" t="str" cm="1">
        <f t="array" ref="J13444">_xlfn.IFS(I13444&lt;=3,"small",I13444&lt;=6,"Medium",I13444&lt;=9,"Large")</f>
        <v>Medium</v>
      </c>
      <c r="K13444" s="36">
        <v>45517</v>
      </c>
      <c r="L13444" s="36">
        <v>45523</v>
      </c>
      <c r="M13444" t="s">
        <v>612</v>
      </c>
      <c r="N13444" t="s">
        <v>608</v>
      </c>
      <c r="O13444" s="37" t="str">
        <f t="shared" si="1053"/>
        <v>Cash Payment</v>
      </c>
      <c r="P13444">
        <v>108.89</v>
      </c>
      <c r="Q13444" s="37" t="str">
        <f>IF(P13444&gt;500,"High","low")</f>
        <v>low</v>
      </c>
      <c r="R13444" s="37" t="str">
        <f t="shared" si="1054"/>
        <v>AVERAGE</v>
      </c>
      <c r="S13444" t="s">
        <v>615</v>
      </c>
    </row>
    <row r="13445" spans="1:19" x14ac:dyDescent="0.2">
      <c r="A13445" t="s">
        <v>14056</v>
      </c>
      <c r="B13445" t="s">
        <v>90</v>
      </c>
      <c r="C13445" t="s">
        <v>602</v>
      </c>
      <c r="D13445">
        <v>465.54</v>
      </c>
      <c r="E13445" s="37" t="str">
        <f t="shared" si="1050"/>
        <v xml:space="preserve"> </v>
      </c>
      <c r="F13445">
        <v>0.02</v>
      </c>
      <c r="G13445" s="37" t="str">
        <f t="shared" si="1051"/>
        <v>Normal Discount</v>
      </c>
      <c r="H13445" s="37" t="str">
        <f t="shared" si="1052"/>
        <v>Low</v>
      </c>
      <c r="I13445">
        <v>9</v>
      </c>
      <c r="J13445" t="str" cm="1">
        <f t="array" ref="J13445">_xlfn.IFS(I13445&lt;=3,"small",I13445&lt;=6,"Medium",I13445&lt;=9,"Large")</f>
        <v>Large</v>
      </c>
      <c r="K13445" s="36">
        <v>45529</v>
      </c>
      <c r="L13445" s="36">
        <v>45533</v>
      </c>
      <c r="M13445" t="s">
        <v>598</v>
      </c>
      <c r="N13445" t="s">
        <v>599</v>
      </c>
      <c r="O13445" s="37" t="str">
        <f t="shared" si="1053"/>
        <v>Digital Payment</v>
      </c>
      <c r="P13445">
        <v>100.55</v>
      </c>
      <c r="Q13445" s="37" t="str">
        <f>IF(P13445&gt;500,"High","low")</f>
        <v>low</v>
      </c>
      <c r="R13445" s="37" t="str">
        <f t="shared" si="1054"/>
        <v>AVERAGE</v>
      </c>
      <c r="S13445" t="s">
        <v>605</v>
      </c>
    </row>
    <row r="13446" spans="1:19" x14ac:dyDescent="0.2">
      <c r="A13446" t="s">
        <v>14057</v>
      </c>
      <c r="B13446" t="s">
        <v>90</v>
      </c>
      <c r="C13446" t="s">
        <v>617</v>
      </c>
      <c r="D13446">
        <v>1657.62</v>
      </c>
      <c r="E13446" s="37" t="str">
        <f t="shared" si="1050"/>
        <v xml:space="preserve"> </v>
      </c>
      <c r="F13446">
        <v>0.17</v>
      </c>
      <c r="G13446" s="37" t="str">
        <f t="shared" si="1051"/>
        <v>Normal Discount</v>
      </c>
      <c r="H13446" s="37" t="str">
        <f t="shared" si="1052"/>
        <v>Low</v>
      </c>
      <c r="I13446">
        <v>3</v>
      </c>
      <c r="J13446" t="str" cm="1">
        <f t="array" ref="J13446">_xlfn.IFS(I13446&lt;=3,"small",I13446&lt;=6,"Medium",I13446&lt;=9,"Large")</f>
        <v>small</v>
      </c>
      <c r="K13446" s="36">
        <v>45559</v>
      </c>
      <c r="L13446" s="36">
        <v>45566</v>
      </c>
      <c r="M13446" t="s">
        <v>612</v>
      </c>
      <c r="N13446" t="s">
        <v>599</v>
      </c>
      <c r="O13446" s="37" t="str">
        <f t="shared" si="1053"/>
        <v>Digital Payment</v>
      </c>
      <c r="P13446">
        <v>379.97</v>
      </c>
      <c r="Q13446" s="37" t="str">
        <f>IF(P13446&gt;500,"High","low")</f>
        <v>low</v>
      </c>
      <c r="R13446" s="37" t="str">
        <f t="shared" si="1054"/>
        <v>AVERAGE</v>
      </c>
      <c r="S13446" t="s">
        <v>628</v>
      </c>
    </row>
    <row r="13447" spans="1:19" x14ac:dyDescent="0.2">
      <c r="A13447" t="s">
        <v>14058</v>
      </c>
      <c r="B13447" t="s">
        <v>83</v>
      </c>
      <c r="C13447" t="s">
        <v>607</v>
      </c>
      <c r="D13447">
        <v>2175.89</v>
      </c>
      <c r="E13447" s="37" t="str">
        <f t="shared" si="1050"/>
        <v xml:space="preserve"> </v>
      </c>
      <c r="F13447">
        <v>0.21</v>
      </c>
      <c r="G13447" s="37" t="str">
        <f t="shared" si="1051"/>
        <v>Normal Discount</v>
      </c>
      <c r="H13447" s="37" t="str">
        <f t="shared" si="1052"/>
        <v>Medium</v>
      </c>
      <c r="I13447">
        <v>2</v>
      </c>
      <c r="J13447" t="str" cm="1">
        <f t="array" ref="J13447">_xlfn.IFS(I13447&lt;=3,"small",I13447&lt;=6,"Medium",I13447&lt;=9,"Large")</f>
        <v>small</v>
      </c>
      <c r="K13447" s="36">
        <v>45385</v>
      </c>
      <c r="L13447" s="36">
        <v>45391</v>
      </c>
      <c r="M13447" t="s">
        <v>598</v>
      </c>
      <c r="N13447" t="s">
        <v>599</v>
      </c>
      <c r="O13447" s="37" t="str">
        <f t="shared" si="1053"/>
        <v>Digital Payment</v>
      </c>
      <c r="P13447">
        <v>363.21</v>
      </c>
      <c r="Q13447" s="37" t="str">
        <f>IF(P13447&gt;500,"High","low")</f>
        <v>low</v>
      </c>
      <c r="R13447" s="37" t="str">
        <f t="shared" si="1054"/>
        <v>AVERAGE</v>
      </c>
      <c r="S13447" t="s">
        <v>609</v>
      </c>
    </row>
    <row r="13448" spans="1:19" x14ac:dyDescent="0.2">
      <c r="A13448" t="s">
        <v>14059</v>
      </c>
      <c r="B13448" t="s">
        <v>75</v>
      </c>
      <c r="C13448" t="s">
        <v>602</v>
      </c>
      <c r="D13448">
        <v>2375.92</v>
      </c>
      <c r="E13448" s="37" t="str">
        <f t="shared" si="1050"/>
        <v xml:space="preserve"> </v>
      </c>
      <c r="F13448">
        <v>0.25</v>
      </c>
      <c r="G13448" s="37" t="str">
        <f t="shared" si="1051"/>
        <v>Normal Discount</v>
      </c>
      <c r="H13448" s="37" t="str">
        <f t="shared" si="1052"/>
        <v>Medium</v>
      </c>
      <c r="I13448">
        <v>5</v>
      </c>
      <c r="J13448" t="str" cm="1">
        <f t="array" ref="J13448">_xlfn.IFS(I13448&lt;=3,"small",I13448&lt;=6,"Medium",I13448&lt;=9,"Large")</f>
        <v>Medium</v>
      </c>
      <c r="K13448" s="36">
        <v>45308</v>
      </c>
      <c r="L13448" s="36">
        <v>45310</v>
      </c>
      <c r="M13448" t="s">
        <v>603</v>
      </c>
      <c r="N13448" t="s">
        <v>604</v>
      </c>
      <c r="O13448" s="37" t="str">
        <f t="shared" si="1053"/>
        <v>Digital Payment</v>
      </c>
      <c r="P13448">
        <v>538.41999999999996</v>
      </c>
      <c r="Q13448" s="37" t="str">
        <f>IF(P13448&gt;500,"High","low")</f>
        <v>High</v>
      </c>
      <c r="R13448" s="37" t="str">
        <f t="shared" si="1054"/>
        <v>Good</v>
      </c>
      <c r="S13448" t="s">
        <v>609</v>
      </c>
    </row>
    <row r="13449" spans="1:19" x14ac:dyDescent="0.2">
      <c r="A13449" t="s">
        <v>14060</v>
      </c>
      <c r="B13449" t="s">
        <v>75</v>
      </c>
      <c r="C13449" t="s">
        <v>617</v>
      </c>
      <c r="D13449">
        <v>2254.5700000000002</v>
      </c>
      <c r="E13449" s="37" t="str">
        <f t="shared" si="1050"/>
        <v xml:space="preserve"> </v>
      </c>
      <c r="F13449">
        <v>0</v>
      </c>
      <c r="G13449" s="37" t="str">
        <f t="shared" si="1051"/>
        <v>Normal Discount</v>
      </c>
      <c r="H13449" s="37" t="str">
        <f t="shared" si="1052"/>
        <v>Low</v>
      </c>
      <c r="I13449">
        <v>6</v>
      </c>
      <c r="J13449" t="str" cm="1">
        <f t="array" ref="J13449">_xlfn.IFS(I13449&lt;=3,"small",I13449&lt;=6,"Medium",I13449&lt;=9,"Large")</f>
        <v>Medium</v>
      </c>
      <c r="K13449" s="36">
        <v>45185</v>
      </c>
      <c r="L13449" s="36">
        <v>45186</v>
      </c>
      <c r="M13449" t="s">
        <v>598</v>
      </c>
      <c r="N13449" t="s">
        <v>604</v>
      </c>
      <c r="O13449" s="37" t="str">
        <f t="shared" si="1053"/>
        <v>Digital Payment</v>
      </c>
      <c r="P13449">
        <v>248.49</v>
      </c>
      <c r="Q13449" s="37" t="str">
        <f>IF(P13449&gt;500,"High","low")</f>
        <v>low</v>
      </c>
      <c r="R13449" s="37" t="str">
        <f t="shared" si="1054"/>
        <v>AVERAGE</v>
      </c>
      <c r="S13449" t="s">
        <v>605</v>
      </c>
    </row>
    <row r="13450" spans="1:19" x14ac:dyDescent="0.2">
      <c r="A13450" t="s">
        <v>14061</v>
      </c>
      <c r="B13450" t="s">
        <v>75</v>
      </c>
      <c r="C13450" t="s">
        <v>602</v>
      </c>
      <c r="D13450">
        <v>2666.09</v>
      </c>
      <c r="E13450" s="37" t="str">
        <f t="shared" si="1050"/>
        <v xml:space="preserve"> </v>
      </c>
      <c r="F13450">
        <v>0.24</v>
      </c>
      <c r="G13450" s="37" t="str">
        <f t="shared" si="1051"/>
        <v>Normal Discount</v>
      </c>
      <c r="H13450" s="37" t="str">
        <f t="shared" si="1052"/>
        <v>Medium</v>
      </c>
      <c r="I13450">
        <v>9</v>
      </c>
      <c r="J13450" t="str" cm="1">
        <f t="array" ref="J13450">_xlfn.IFS(I13450&lt;=3,"small",I13450&lt;=6,"Medium",I13450&lt;=9,"Large")</f>
        <v>Large</v>
      </c>
      <c r="K13450" s="36">
        <v>45605</v>
      </c>
      <c r="L13450" s="36">
        <v>45606</v>
      </c>
      <c r="M13450" t="s">
        <v>603</v>
      </c>
      <c r="N13450" t="s">
        <v>608</v>
      </c>
      <c r="O13450" s="37" t="str">
        <f t="shared" si="1053"/>
        <v>Cash Payment</v>
      </c>
      <c r="P13450">
        <v>325.97000000000003</v>
      </c>
      <c r="Q13450" s="37" t="str">
        <f>IF(P13450&gt;500,"High","low")</f>
        <v>low</v>
      </c>
      <c r="R13450" s="37" t="str">
        <f t="shared" si="1054"/>
        <v>AVERAGE</v>
      </c>
      <c r="S13450" t="s">
        <v>628</v>
      </c>
    </row>
    <row r="13451" spans="1:19" x14ac:dyDescent="0.2">
      <c r="A13451" t="s">
        <v>14062</v>
      </c>
      <c r="B13451" t="s">
        <v>67</v>
      </c>
      <c r="C13451" t="s">
        <v>607</v>
      </c>
      <c r="D13451">
        <v>4312.96</v>
      </c>
      <c r="E13451" s="37" t="str">
        <f t="shared" si="1050"/>
        <v>Excellent Order</v>
      </c>
      <c r="F13451">
        <v>0.1</v>
      </c>
      <c r="G13451" s="37" t="str">
        <f t="shared" si="1051"/>
        <v>Normal Discount</v>
      </c>
      <c r="H13451" s="37" t="str">
        <f t="shared" si="1052"/>
        <v>Low</v>
      </c>
      <c r="I13451">
        <v>9</v>
      </c>
      <c r="J13451" t="str" cm="1">
        <f t="array" ref="J13451">_xlfn.IFS(I13451&lt;=3,"small",I13451&lt;=6,"Medium",I13451&lt;=9,"Large")</f>
        <v>Large</v>
      </c>
      <c r="K13451" s="36">
        <v>45322</v>
      </c>
      <c r="L13451" s="36">
        <v>45328</v>
      </c>
      <c r="M13451" t="s">
        <v>603</v>
      </c>
      <c r="N13451" t="s">
        <v>599</v>
      </c>
      <c r="O13451" s="37" t="str">
        <f t="shared" si="1053"/>
        <v>Digital Payment</v>
      </c>
      <c r="P13451">
        <v>909.76</v>
      </c>
      <c r="Q13451" s="37" t="str">
        <f>IF(P13451&gt;500,"High","low")</f>
        <v>High</v>
      </c>
      <c r="R13451" s="37" t="str">
        <f t="shared" si="1054"/>
        <v>Good</v>
      </c>
      <c r="S13451" t="s">
        <v>620</v>
      </c>
    </row>
    <row r="13452" spans="1:19" x14ac:dyDescent="0.2">
      <c r="A13452" t="s">
        <v>14063</v>
      </c>
      <c r="B13452" t="s">
        <v>83</v>
      </c>
      <c r="C13452" t="s">
        <v>602</v>
      </c>
      <c r="D13452">
        <v>3195.8</v>
      </c>
      <c r="E13452" s="37" t="str">
        <f t="shared" si="1050"/>
        <v xml:space="preserve"> </v>
      </c>
      <c r="F13452">
        <v>0.05</v>
      </c>
      <c r="G13452" s="37" t="str">
        <f t="shared" si="1051"/>
        <v>Normal Discount</v>
      </c>
      <c r="H13452" s="37" t="str">
        <f t="shared" si="1052"/>
        <v>Low</v>
      </c>
      <c r="I13452">
        <v>2</v>
      </c>
      <c r="J13452" t="str" cm="1">
        <f t="array" ref="J13452">_xlfn.IFS(I13452&lt;=3,"small",I13452&lt;=6,"Medium",I13452&lt;=9,"Large")</f>
        <v>small</v>
      </c>
      <c r="K13452" s="36">
        <v>44959</v>
      </c>
      <c r="L13452" s="36">
        <v>44962</v>
      </c>
      <c r="M13452" t="s">
        <v>612</v>
      </c>
      <c r="N13452" t="s">
        <v>608</v>
      </c>
      <c r="O13452" s="37" t="str">
        <f t="shared" si="1053"/>
        <v>Cash Payment</v>
      </c>
      <c r="P13452">
        <v>545.54</v>
      </c>
      <c r="Q13452" s="37" t="str">
        <f>IF(P13452&gt;500,"High","low")</f>
        <v>High</v>
      </c>
      <c r="R13452" s="37" t="str">
        <f t="shared" si="1054"/>
        <v>Good</v>
      </c>
      <c r="S13452" t="s">
        <v>628</v>
      </c>
    </row>
    <row r="13453" spans="1:19" x14ac:dyDescent="0.2">
      <c r="A13453" t="s">
        <v>14064</v>
      </c>
      <c r="B13453" t="s">
        <v>83</v>
      </c>
      <c r="C13453" t="s">
        <v>607</v>
      </c>
      <c r="D13453">
        <v>184.7</v>
      </c>
      <c r="E13453" s="37" t="str">
        <f t="shared" si="1050"/>
        <v xml:space="preserve"> </v>
      </c>
      <c r="F13453">
        <v>0.27</v>
      </c>
      <c r="G13453" s="37" t="str">
        <f t="shared" si="1051"/>
        <v>Normal Discount</v>
      </c>
      <c r="H13453" s="37" t="str">
        <f t="shared" si="1052"/>
        <v>Medium</v>
      </c>
      <c r="I13453">
        <v>9</v>
      </c>
      <c r="J13453" t="str" cm="1">
        <f t="array" ref="J13453">_xlfn.IFS(I13453&lt;=3,"small",I13453&lt;=6,"Medium",I13453&lt;=9,"Large")</f>
        <v>Large</v>
      </c>
      <c r="K13453" s="36">
        <v>45196</v>
      </c>
      <c r="L13453" s="36">
        <v>45199</v>
      </c>
      <c r="M13453" t="s">
        <v>598</v>
      </c>
      <c r="N13453" t="s">
        <v>599</v>
      </c>
      <c r="O13453" s="37" t="str">
        <f t="shared" si="1053"/>
        <v>Digital Payment</v>
      </c>
      <c r="P13453">
        <v>26.94</v>
      </c>
      <c r="Q13453" s="37" t="str">
        <f>IF(P13453&gt;500,"High","low")</f>
        <v>low</v>
      </c>
      <c r="R13453" s="37" t="str">
        <f t="shared" si="1054"/>
        <v>AVERAGE</v>
      </c>
      <c r="S13453" t="s">
        <v>600</v>
      </c>
    </row>
    <row r="13454" spans="1:19" x14ac:dyDescent="0.2">
      <c r="A13454" t="s">
        <v>14065</v>
      </c>
      <c r="B13454" t="s">
        <v>83</v>
      </c>
      <c r="C13454" t="s">
        <v>597</v>
      </c>
      <c r="D13454">
        <v>947.47</v>
      </c>
      <c r="E13454" s="37" t="str">
        <f t="shared" si="1050"/>
        <v xml:space="preserve"> </v>
      </c>
      <c r="F13454">
        <v>0.37</v>
      </c>
      <c r="G13454" s="37" t="str">
        <f t="shared" si="1051"/>
        <v>Heavy Discount</v>
      </c>
      <c r="H13454" s="37" t="str">
        <f t="shared" si="1052"/>
        <v>Medium</v>
      </c>
      <c r="I13454">
        <v>9</v>
      </c>
      <c r="J13454" t="str" cm="1">
        <f t="array" ref="J13454">_xlfn.IFS(I13454&lt;=3,"small",I13454&lt;=6,"Medium",I13454&lt;=9,"Large")</f>
        <v>Large</v>
      </c>
      <c r="K13454" s="36">
        <v>45393</v>
      </c>
      <c r="L13454" s="36">
        <v>45399</v>
      </c>
      <c r="M13454" t="s">
        <v>598</v>
      </c>
      <c r="N13454" t="s">
        <v>599</v>
      </c>
      <c r="O13454" s="37" t="str">
        <f t="shared" si="1053"/>
        <v>Digital Payment</v>
      </c>
      <c r="P13454">
        <v>63.16</v>
      </c>
      <c r="Q13454" s="37" t="str">
        <f>IF(P13454&gt;500,"High","low")</f>
        <v>low</v>
      </c>
      <c r="R13454" s="37" t="str">
        <f t="shared" si="1054"/>
        <v>AVERAGE</v>
      </c>
      <c r="S13454" t="s">
        <v>628</v>
      </c>
    </row>
    <row r="13455" spans="1:19" x14ac:dyDescent="0.2">
      <c r="A13455" t="s">
        <v>14066</v>
      </c>
      <c r="B13455" t="s">
        <v>67</v>
      </c>
      <c r="C13455" t="s">
        <v>617</v>
      </c>
      <c r="D13455">
        <v>1809.85</v>
      </c>
      <c r="E13455" s="37" t="str">
        <f t="shared" si="1050"/>
        <v xml:space="preserve"> </v>
      </c>
      <c r="F13455">
        <v>0.47</v>
      </c>
      <c r="G13455" s="37" t="str">
        <f t="shared" si="1051"/>
        <v>Heavy Discount</v>
      </c>
      <c r="H13455" s="37" t="str">
        <f t="shared" si="1052"/>
        <v>High</v>
      </c>
      <c r="I13455">
        <v>6</v>
      </c>
      <c r="J13455" t="str" cm="1">
        <f t="array" ref="J13455">_xlfn.IFS(I13455&lt;=3,"small",I13455&lt;=6,"Medium",I13455&lt;=9,"Large")</f>
        <v>Medium</v>
      </c>
      <c r="K13455" s="36">
        <v>45395</v>
      </c>
      <c r="L13455" s="36">
        <v>45396</v>
      </c>
      <c r="M13455" t="s">
        <v>612</v>
      </c>
      <c r="N13455" t="s">
        <v>599</v>
      </c>
      <c r="O13455" s="37" t="str">
        <f t="shared" si="1053"/>
        <v>Digital Payment</v>
      </c>
      <c r="P13455">
        <v>535.70000000000005</v>
      </c>
      <c r="Q13455" s="37" t="str">
        <f>IF(P13455&gt;500,"High","low")</f>
        <v>High</v>
      </c>
      <c r="R13455" s="37" t="str">
        <f t="shared" si="1054"/>
        <v>Good</v>
      </c>
      <c r="S13455" t="s">
        <v>609</v>
      </c>
    </row>
    <row r="13456" spans="1:19" x14ac:dyDescent="0.2">
      <c r="A13456" t="s">
        <v>14067</v>
      </c>
      <c r="B13456" t="s">
        <v>75</v>
      </c>
      <c r="C13456" t="s">
        <v>607</v>
      </c>
      <c r="D13456">
        <v>4750.3100000000004</v>
      </c>
      <c r="E13456" s="37" t="str">
        <f t="shared" si="1050"/>
        <v xml:space="preserve"> </v>
      </c>
      <c r="F13456">
        <v>0.46</v>
      </c>
      <c r="G13456" s="37" t="str">
        <f t="shared" si="1051"/>
        <v>Heavy Discount</v>
      </c>
      <c r="H13456" s="37" t="str">
        <f t="shared" si="1052"/>
        <v>High</v>
      </c>
      <c r="I13456">
        <v>1</v>
      </c>
      <c r="J13456" t="str" cm="1">
        <f t="array" ref="J13456">_xlfn.IFS(I13456&lt;=3,"small",I13456&lt;=6,"Medium",I13456&lt;=9,"Large")</f>
        <v>small</v>
      </c>
      <c r="K13456" s="36">
        <v>45351</v>
      </c>
      <c r="L13456" s="36">
        <v>45354</v>
      </c>
      <c r="M13456" t="s">
        <v>598</v>
      </c>
      <c r="N13456" t="s">
        <v>608</v>
      </c>
      <c r="O13456" s="37" t="str">
        <f t="shared" si="1053"/>
        <v>Cash Payment</v>
      </c>
      <c r="P13456">
        <v>508.17</v>
      </c>
      <c r="Q13456" s="37" t="str">
        <f>IF(P13456&gt;500,"High","low")</f>
        <v>High</v>
      </c>
      <c r="R13456" s="37" t="str">
        <f t="shared" si="1054"/>
        <v>Good</v>
      </c>
      <c r="S13456" t="s">
        <v>609</v>
      </c>
    </row>
    <row r="13457" spans="1:19" x14ac:dyDescent="0.2">
      <c r="A13457" t="s">
        <v>14068</v>
      </c>
      <c r="B13457" t="s">
        <v>75</v>
      </c>
      <c r="C13457" t="s">
        <v>617</v>
      </c>
      <c r="D13457">
        <v>482.59</v>
      </c>
      <c r="E13457" s="37" t="str">
        <f t="shared" si="1050"/>
        <v xml:space="preserve"> </v>
      </c>
      <c r="F13457">
        <v>0.2</v>
      </c>
      <c r="G13457" s="37" t="str">
        <f t="shared" si="1051"/>
        <v>Normal Discount</v>
      </c>
      <c r="H13457" s="37" t="str">
        <f t="shared" si="1052"/>
        <v>Medium</v>
      </c>
      <c r="I13457">
        <v>8</v>
      </c>
      <c r="J13457" t="str" cm="1">
        <f t="array" ref="J13457">_xlfn.IFS(I13457&lt;=3,"small",I13457&lt;=6,"Medium",I13457&lt;=9,"Large")</f>
        <v>Large</v>
      </c>
      <c r="K13457" s="36">
        <v>45355</v>
      </c>
      <c r="L13457" s="36">
        <v>45356</v>
      </c>
      <c r="M13457" t="s">
        <v>598</v>
      </c>
      <c r="N13457" t="s">
        <v>604</v>
      </c>
      <c r="O13457" s="37" t="str">
        <f t="shared" si="1053"/>
        <v>Digital Payment</v>
      </c>
      <c r="P13457">
        <v>99.23</v>
      </c>
      <c r="Q13457" s="37" t="str">
        <f>IF(P13457&gt;500,"High","low")</f>
        <v>low</v>
      </c>
      <c r="R13457" s="37" t="str">
        <f t="shared" si="1054"/>
        <v>AVERAGE</v>
      </c>
      <c r="S13457" t="s">
        <v>609</v>
      </c>
    </row>
    <row r="13458" spans="1:19" x14ac:dyDescent="0.2">
      <c r="A13458" t="s">
        <v>14069</v>
      </c>
      <c r="B13458" t="s">
        <v>75</v>
      </c>
      <c r="C13458" t="s">
        <v>607</v>
      </c>
      <c r="D13458">
        <v>3579.58</v>
      </c>
      <c r="E13458" s="37" t="str">
        <f t="shared" si="1050"/>
        <v xml:space="preserve"> </v>
      </c>
      <c r="F13458">
        <v>0.35</v>
      </c>
      <c r="G13458" s="37" t="str">
        <f t="shared" si="1051"/>
        <v>Heavy Discount</v>
      </c>
      <c r="H13458" s="37" t="str">
        <f t="shared" si="1052"/>
        <v>Medium</v>
      </c>
      <c r="I13458">
        <v>8</v>
      </c>
      <c r="J13458" t="str" cm="1">
        <f t="array" ref="J13458">_xlfn.IFS(I13458&lt;=3,"small",I13458&lt;=6,"Medium",I13458&lt;=9,"Large")</f>
        <v>Large</v>
      </c>
      <c r="K13458" s="36">
        <v>45469</v>
      </c>
      <c r="L13458" s="36">
        <v>45474</v>
      </c>
      <c r="M13458" t="s">
        <v>612</v>
      </c>
      <c r="N13458" t="s">
        <v>608</v>
      </c>
      <c r="O13458" s="37" t="str">
        <f t="shared" si="1053"/>
        <v>Cash Payment</v>
      </c>
      <c r="P13458">
        <v>887.85</v>
      </c>
      <c r="Q13458" s="37" t="str">
        <f>IF(P13458&gt;500,"High","low")</f>
        <v>High</v>
      </c>
      <c r="R13458" s="37" t="str">
        <f t="shared" si="1054"/>
        <v>Good</v>
      </c>
      <c r="S13458" t="s">
        <v>600</v>
      </c>
    </row>
    <row r="13459" spans="1:19" x14ac:dyDescent="0.2">
      <c r="A13459" t="s">
        <v>14070</v>
      </c>
      <c r="B13459" t="s">
        <v>83</v>
      </c>
      <c r="C13459" t="s">
        <v>614</v>
      </c>
      <c r="D13459">
        <v>262.16000000000003</v>
      </c>
      <c r="E13459" s="37" t="str">
        <f t="shared" si="1050"/>
        <v xml:space="preserve"> </v>
      </c>
      <c r="F13459">
        <v>0.35</v>
      </c>
      <c r="G13459" s="37" t="str">
        <f t="shared" si="1051"/>
        <v>Heavy Discount</v>
      </c>
      <c r="H13459" s="37" t="str">
        <f t="shared" si="1052"/>
        <v>Medium</v>
      </c>
      <c r="I13459">
        <v>8</v>
      </c>
      <c r="J13459" t="str" cm="1">
        <f t="array" ref="J13459">_xlfn.IFS(I13459&lt;=3,"small",I13459&lt;=6,"Medium",I13459&lt;=9,"Large")</f>
        <v>Large</v>
      </c>
      <c r="K13459" s="36">
        <v>45507</v>
      </c>
      <c r="L13459" s="36">
        <v>45508</v>
      </c>
      <c r="M13459" t="s">
        <v>603</v>
      </c>
      <c r="N13459" t="s">
        <v>608</v>
      </c>
      <c r="O13459" s="37" t="str">
        <f t="shared" si="1053"/>
        <v>Cash Payment</v>
      </c>
      <c r="P13459">
        <v>46.4</v>
      </c>
      <c r="Q13459" s="37" t="str">
        <f>IF(P13459&gt;500,"High","low")</f>
        <v>low</v>
      </c>
      <c r="R13459" s="37" t="str">
        <f t="shared" si="1054"/>
        <v>AVERAGE</v>
      </c>
      <c r="S13459" t="s">
        <v>615</v>
      </c>
    </row>
    <row r="13460" spans="1:19" x14ac:dyDescent="0.2">
      <c r="A13460" t="s">
        <v>14071</v>
      </c>
      <c r="B13460" t="s">
        <v>83</v>
      </c>
      <c r="C13460" t="s">
        <v>614</v>
      </c>
      <c r="D13460">
        <v>1876.43</v>
      </c>
      <c r="E13460" s="37" t="str">
        <f t="shared" si="1050"/>
        <v xml:space="preserve"> </v>
      </c>
      <c r="F13460">
        <v>0.21</v>
      </c>
      <c r="G13460" s="37" t="str">
        <f t="shared" si="1051"/>
        <v>Normal Discount</v>
      </c>
      <c r="H13460" s="37" t="str">
        <f t="shared" si="1052"/>
        <v>Medium</v>
      </c>
      <c r="I13460">
        <v>8</v>
      </c>
      <c r="J13460" t="str" cm="1">
        <f t="array" ref="J13460">_xlfn.IFS(I13460&lt;=3,"small",I13460&lt;=6,"Medium",I13460&lt;=9,"Large")</f>
        <v>Large</v>
      </c>
      <c r="K13460" s="36">
        <v>45025</v>
      </c>
      <c r="L13460" s="36">
        <v>45031</v>
      </c>
      <c r="M13460" t="s">
        <v>598</v>
      </c>
      <c r="N13460" t="s">
        <v>604</v>
      </c>
      <c r="O13460" s="37" t="str">
        <f t="shared" si="1053"/>
        <v>Digital Payment</v>
      </c>
      <c r="P13460">
        <v>365.49</v>
      </c>
      <c r="Q13460" s="37" t="str">
        <f>IF(P13460&gt;500,"High","low")</f>
        <v>low</v>
      </c>
      <c r="R13460" s="37" t="str">
        <f t="shared" si="1054"/>
        <v>AVERAGE</v>
      </c>
      <c r="S13460" t="s">
        <v>620</v>
      </c>
    </row>
    <row r="13461" spans="1:19" x14ac:dyDescent="0.2">
      <c r="A13461" t="s">
        <v>14072</v>
      </c>
      <c r="B13461" t="s">
        <v>90</v>
      </c>
      <c r="C13461" t="s">
        <v>614</v>
      </c>
      <c r="D13461">
        <v>3873.73</v>
      </c>
      <c r="E13461" s="37" t="str">
        <f t="shared" si="1050"/>
        <v xml:space="preserve"> </v>
      </c>
      <c r="F13461">
        <v>0.05</v>
      </c>
      <c r="G13461" s="37" t="str">
        <f t="shared" si="1051"/>
        <v>Normal Discount</v>
      </c>
      <c r="H13461" s="37" t="str">
        <f t="shared" si="1052"/>
        <v>Low</v>
      </c>
      <c r="I13461">
        <v>5</v>
      </c>
      <c r="J13461" t="str" cm="1">
        <f t="array" ref="J13461">_xlfn.IFS(I13461&lt;=3,"small",I13461&lt;=6,"Medium",I13461&lt;=9,"Large")</f>
        <v>Medium</v>
      </c>
      <c r="K13461" s="36">
        <v>45370</v>
      </c>
      <c r="L13461" s="36">
        <v>45377</v>
      </c>
      <c r="M13461" t="s">
        <v>603</v>
      </c>
      <c r="N13461" t="s">
        <v>599</v>
      </c>
      <c r="O13461" s="37" t="str">
        <f t="shared" si="1053"/>
        <v>Digital Payment</v>
      </c>
      <c r="P13461">
        <v>708.29</v>
      </c>
      <c r="Q13461" s="37" t="str">
        <f>IF(P13461&gt;500,"High","low")</f>
        <v>High</v>
      </c>
      <c r="R13461" s="37" t="str">
        <f t="shared" si="1054"/>
        <v>Good</v>
      </c>
      <c r="S13461" t="s">
        <v>628</v>
      </c>
    </row>
    <row r="13462" spans="1:19" x14ac:dyDescent="0.2">
      <c r="A13462" t="s">
        <v>14073</v>
      </c>
      <c r="B13462" t="s">
        <v>67</v>
      </c>
      <c r="C13462" t="s">
        <v>607</v>
      </c>
      <c r="D13462">
        <v>1785.25</v>
      </c>
      <c r="E13462" s="37" t="str">
        <f t="shared" si="1050"/>
        <v xml:space="preserve"> </v>
      </c>
      <c r="F13462">
        <v>0.19</v>
      </c>
      <c r="G13462" s="37" t="str">
        <f t="shared" si="1051"/>
        <v>Normal Discount</v>
      </c>
      <c r="H13462" s="37" t="str">
        <f t="shared" si="1052"/>
        <v>Low</v>
      </c>
      <c r="I13462">
        <v>2</v>
      </c>
      <c r="J13462" t="str" cm="1">
        <f t="array" ref="J13462">_xlfn.IFS(I13462&lt;=3,"small",I13462&lt;=6,"Medium",I13462&lt;=9,"Large")</f>
        <v>small</v>
      </c>
      <c r="K13462" s="36">
        <v>45534</v>
      </c>
      <c r="L13462" s="36">
        <v>45540</v>
      </c>
      <c r="M13462" t="s">
        <v>612</v>
      </c>
      <c r="N13462" t="s">
        <v>608</v>
      </c>
      <c r="O13462" s="37" t="str">
        <f t="shared" si="1053"/>
        <v>Cash Payment</v>
      </c>
      <c r="P13462">
        <v>373.36</v>
      </c>
      <c r="Q13462" s="37" t="str">
        <f>IF(P13462&gt;500,"High","low")</f>
        <v>low</v>
      </c>
      <c r="R13462" s="37" t="str">
        <f t="shared" si="1054"/>
        <v>AVERAGE</v>
      </c>
      <c r="S13462" t="s">
        <v>620</v>
      </c>
    </row>
    <row r="13463" spans="1:19" x14ac:dyDescent="0.2">
      <c r="A13463" t="s">
        <v>14074</v>
      </c>
      <c r="B13463" t="s">
        <v>67</v>
      </c>
      <c r="C13463" t="s">
        <v>617</v>
      </c>
      <c r="D13463">
        <v>2208.38</v>
      </c>
      <c r="E13463" s="37" t="str">
        <f t="shared" si="1050"/>
        <v xml:space="preserve"> </v>
      </c>
      <c r="F13463">
        <v>0.5</v>
      </c>
      <c r="G13463" s="37" t="str">
        <f t="shared" si="1051"/>
        <v>Heavy Discount</v>
      </c>
      <c r="H13463" s="37" t="str">
        <f t="shared" si="1052"/>
        <v>High</v>
      </c>
      <c r="I13463">
        <v>9</v>
      </c>
      <c r="J13463" t="str" cm="1">
        <f t="array" ref="J13463">_xlfn.IFS(I13463&lt;=3,"small",I13463&lt;=6,"Medium",I13463&lt;=9,"Large")</f>
        <v>Large</v>
      </c>
      <c r="K13463" s="36">
        <v>45297</v>
      </c>
      <c r="L13463" s="36">
        <v>45302</v>
      </c>
      <c r="M13463" t="s">
        <v>612</v>
      </c>
      <c r="N13463" t="s">
        <v>599</v>
      </c>
      <c r="O13463" s="37" t="str">
        <f t="shared" si="1053"/>
        <v>Digital Payment</v>
      </c>
      <c r="P13463">
        <v>340.28</v>
      </c>
      <c r="Q13463" s="37" t="str">
        <f>IF(P13463&gt;500,"High","low")</f>
        <v>low</v>
      </c>
      <c r="R13463" s="37" t="str">
        <f t="shared" si="1054"/>
        <v>AVERAGE</v>
      </c>
      <c r="S13463" t="s">
        <v>600</v>
      </c>
    </row>
    <row r="13464" spans="1:19" x14ac:dyDescent="0.2">
      <c r="A13464" t="s">
        <v>14075</v>
      </c>
      <c r="B13464" t="s">
        <v>83</v>
      </c>
      <c r="C13464" t="s">
        <v>614</v>
      </c>
      <c r="D13464">
        <v>4535.99</v>
      </c>
      <c r="E13464" s="37" t="str">
        <f t="shared" si="1050"/>
        <v xml:space="preserve"> </v>
      </c>
      <c r="F13464">
        <v>0.28000000000000003</v>
      </c>
      <c r="G13464" s="37" t="str">
        <f t="shared" si="1051"/>
        <v>Normal Discount</v>
      </c>
      <c r="H13464" s="37" t="str">
        <f t="shared" si="1052"/>
        <v>Medium</v>
      </c>
      <c r="I13464">
        <v>6</v>
      </c>
      <c r="J13464" t="str" cm="1">
        <f t="array" ref="J13464">_xlfn.IFS(I13464&lt;=3,"small",I13464&lt;=6,"Medium",I13464&lt;=9,"Large")</f>
        <v>Medium</v>
      </c>
      <c r="K13464" s="36">
        <v>45058</v>
      </c>
      <c r="L13464" s="36">
        <v>45065</v>
      </c>
      <c r="M13464" t="s">
        <v>603</v>
      </c>
      <c r="N13464" t="s">
        <v>599</v>
      </c>
      <c r="O13464" s="37" t="str">
        <f t="shared" si="1053"/>
        <v>Digital Payment</v>
      </c>
      <c r="P13464">
        <v>630.64</v>
      </c>
      <c r="Q13464" s="37" t="str">
        <f>IF(P13464&gt;500,"High","low")</f>
        <v>High</v>
      </c>
      <c r="R13464" s="37" t="str">
        <f t="shared" si="1054"/>
        <v>Good</v>
      </c>
      <c r="S13464" t="s">
        <v>628</v>
      </c>
    </row>
    <row r="13465" spans="1:19" x14ac:dyDescent="0.2">
      <c r="A13465" t="s">
        <v>14076</v>
      </c>
      <c r="B13465" t="s">
        <v>90</v>
      </c>
      <c r="C13465" t="s">
        <v>617</v>
      </c>
      <c r="D13465">
        <v>424.23</v>
      </c>
      <c r="E13465" s="37" t="str">
        <f t="shared" si="1050"/>
        <v xml:space="preserve"> </v>
      </c>
      <c r="F13465">
        <v>0.17</v>
      </c>
      <c r="G13465" s="37" t="str">
        <f t="shared" si="1051"/>
        <v>Normal Discount</v>
      </c>
      <c r="H13465" s="37" t="str">
        <f t="shared" si="1052"/>
        <v>Low</v>
      </c>
      <c r="I13465">
        <v>3</v>
      </c>
      <c r="J13465" t="str" cm="1">
        <f t="array" ref="J13465">_xlfn.IFS(I13465&lt;=3,"small",I13465&lt;=6,"Medium",I13465&lt;=9,"Large")</f>
        <v>small</v>
      </c>
      <c r="K13465" s="36">
        <v>45192</v>
      </c>
      <c r="L13465" s="36">
        <v>45199</v>
      </c>
      <c r="M13465" t="s">
        <v>598</v>
      </c>
      <c r="N13465" t="s">
        <v>604</v>
      </c>
      <c r="O13465" s="37" t="str">
        <f t="shared" si="1053"/>
        <v>Digital Payment</v>
      </c>
      <c r="P13465">
        <v>125.7</v>
      </c>
      <c r="Q13465" s="37" t="str">
        <f>IF(P13465&gt;500,"High","low")</f>
        <v>low</v>
      </c>
      <c r="R13465" s="37" t="str">
        <f t="shared" si="1054"/>
        <v>AVERAGE</v>
      </c>
      <c r="S13465" t="s">
        <v>615</v>
      </c>
    </row>
    <row r="13466" spans="1:19" x14ac:dyDescent="0.2">
      <c r="A13466" t="s">
        <v>14077</v>
      </c>
      <c r="B13466" t="s">
        <v>75</v>
      </c>
      <c r="C13466" t="s">
        <v>607</v>
      </c>
      <c r="D13466">
        <v>2685.55</v>
      </c>
      <c r="E13466" s="37" t="str">
        <f t="shared" si="1050"/>
        <v xml:space="preserve"> </v>
      </c>
      <c r="F13466">
        <v>0.37</v>
      </c>
      <c r="G13466" s="37" t="str">
        <f t="shared" si="1051"/>
        <v>Heavy Discount</v>
      </c>
      <c r="H13466" s="37" t="str">
        <f t="shared" si="1052"/>
        <v>Medium</v>
      </c>
      <c r="I13466">
        <v>1</v>
      </c>
      <c r="J13466" t="str" cm="1">
        <f t="array" ref="J13466">_xlfn.IFS(I13466&lt;=3,"small",I13466&lt;=6,"Medium",I13466&lt;=9,"Large")</f>
        <v>small</v>
      </c>
      <c r="K13466" s="36">
        <v>45148</v>
      </c>
      <c r="L13466" s="36">
        <v>45152</v>
      </c>
      <c r="M13466" t="s">
        <v>603</v>
      </c>
      <c r="N13466" t="s">
        <v>608</v>
      </c>
      <c r="O13466" s="37" t="str">
        <f t="shared" si="1053"/>
        <v>Cash Payment</v>
      </c>
      <c r="P13466">
        <v>385.03</v>
      </c>
      <c r="Q13466" s="37" t="str">
        <f>IF(P13466&gt;500,"High","low")</f>
        <v>low</v>
      </c>
      <c r="R13466" s="37" t="str">
        <f t="shared" si="1054"/>
        <v>AVERAGE</v>
      </c>
      <c r="S13466" t="s">
        <v>605</v>
      </c>
    </row>
    <row r="13467" spans="1:19" x14ac:dyDescent="0.2">
      <c r="A13467" t="s">
        <v>14078</v>
      </c>
      <c r="B13467" t="s">
        <v>83</v>
      </c>
      <c r="C13467" t="s">
        <v>617</v>
      </c>
      <c r="D13467">
        <v>1894.56</v>
      </c>
      <c r="E13467" s="37" t="str">
        <f t="shared" si="1050"/>
        <v xml:space="preserve"> </v>
      </c>
      <c r="F13467">
        <v>0.34</v>
      </c>
      <c r="G13467" s="37" t="str">
        <f t="shared" si="1051"/>
        <v>Heavy Discount</v>
      </c>
      <c r="H13467" s="37" t="str">
        <f t="shared" si="1052"/>
        <v>Medium</v>
      </c>
      <c r="I13467">
        <v>5</v>
      </c>
      <c r="J13467" t="str" cm="1">
        <f t="array" ref="J13467">_xlfn.IFS(I13467&lt;=3,"small",I13467&lt;=6,"Medium",I13467&lt;=9,"Large")</f>
        <v>Medium</v>
      </c>
      <c r="K13467" s="36">
        <v>45557</v>
      </c>
      <c r="L13467" s="36">
        <v>45563</v>
      </c>
      <c r="M13467" t="s">
        <v>598</v>
      </c>
      <c r="N13467" t="s">
        <v>604</v>
      </c>
      <c r="O13467" s="37" t="str">
        <f t="shared" si="1053"/>
        <v>Digital Payment</v>
      </c>
      <c r="P13467">
        <v>306.13</v>
      </c>
      <c r="Q13467" s="37" t="str">
        <f>IF(P13467&gt;500,"High","low")</f>
        <v>low</v>
      </c>
      <c r="R13467" s="37" t="str">
        <f t="shared" si="1054"/>
        <v>AVERAGE</v>
      </c>
      <c r="S13467" t="s">
        <v>609</v>
      </c>
    </row>
    <row r="13468" spans="1:19" x14ac:dyDescent="0.2">
      <c r="A13468" t="s">
        <v>14079</v>
      </c>
      <c r="B13468" t="s">
        <v>67</v>
      </c>
      <c r="C13468" t="s">
        <v>617</v>
      </c>
      <c r="D13468">
        <v>4822.68</v>
      </c>
      <c r="E13468" s="37" t="str">
        <f t="shared" si="1050"/>
        <v xml:space="preserve"> </v>
      </c>
      <c r="F13468">
        <v>0.28999999999999998</v>
      </c>
      <c r="G13468" s="37" t="str">
        <f t="shared" si="1051"/>
        <v>Normal Discount</v>
      </c>
      <c r="H13468" s="37" t="str">
        <f t="shared" si="1052"/>
        <v>Medium</v>
      </c>
      <c r="I13468">
        <v>4</v>
      </c>
      <c r="J13468" t="str" cm="1">
        <f t="array" ref="J13468">_xlfn.IFS(I13468&lt;=3,"small",I13468&lt;=6,"Medium",I13468&lt;=9,"Large")</f>
        <v>Medium</v>
      </c>
      <c r="K13468" s="36">
        <v>45283</v>
      </c>
      <c r="L13468" s="36">
        <v>45287</v>
      </c>
      <c r="M13468" t="s">
        <v>603</v>
      </c>
      <c r="N13468" t="s">
        <v>608</v>
      </c>
      <c r="O13468" s="37" t="str">
        <f t="shared" si="1053"/>
        <v>Cash Payment</v>
      </c>
      <c r="P13468">
        <v>436.53</v>
      </c>
      <c r="Q13468" s="37" t="str">
        <f>IF(P13468&gt;500,"High","low")</f>
        <v>low</v>
      </c>
      <c r="R13468" s="37" t="str">
        <f t="shared" si="1054"/>
        <v>AVERAGE</v>
      </c>
      <c r="S13468" t="s">
        <v>609</v>
      </c>
    </row>
    <row r="13469" spans="1:19" x14ac:dyDescent="0.2">
      <c r="A13469" t="s">
        <v>14080</v>
      </c>
      <c r="B13469" t="s">
        <v>67</v>
      </c>
      <c r="C13469" t="s">
        <v>614</v>
      </c>
      <c r="D13469">
        <v>3989.08</v>
      </c>
      <c r="E13469" s="37" t="str">
        <f t="shared" si="1050"/>
        <v xml:space="preserve"> </v>
      </c>
      <c r="F13469">
        <v>0.32</v>
      </c>
      <c r="G13469" s="37" t="str">
        <f t="shared" si="1051"/>
        <v>Heavy Discount</v>
      </c>
      <c r="H13469" s="37" t="str">
        <f t="shared" si="1052"/>
        <v>Medium</v>
      </c>
      <c r="I13469">
        <v>4</v>
      </c>
      <c r="J13469" t="str" cm="1">
        <f t="array" ref="J13469">_xlfn.IFS(I13469&lt;=3,"small",I13469&lt;=6,"Medium",I13469&lt;=9,"Large")</f>
        <v>Medium</v>
      </c>
      <c r="K13469" s="36">
        <v>45425</v>
      </c>
      <c r="L13469" s="36">
        <v>45432</v>
      </c>
      <c r="M13469" t="s">
        <v>612</v>
      </c>
      <c r="N13469" t="s">
        <v>604</v>
      </c>
      <c r="O13469" s="37" t="str">
        <f t="shared" si="1053"/>
        <v>Digital Payment</v>
      </c>
      <c r="P13469">
        <v>1024.4000000000001</v>
      </c>
      <c r="Q13469" s="37" t="str">
        <f>IF(P13469&gt;500,"High","low")</f>
        <v>High</v>
      </c>
      <c r="R13469" s="37" t="str">
        <f t="shared" si="1054"/>
        <v>Excellent</v>
      </c>
      <c r="S13469" t="s">
        <v>605</v>
      </c>
    </row>
    <row r="13470" spans="1:19" x14ac:dyDescent="0.2">
      <c r="A13470" t="s">
        <v>14081</v>
      </c>
      <c r="B13470" t="s">
        <v>67</v>
      </c>
      <c r="C13470" t="s">
        <v>602</v>
      </c>
      <c r="D13470">
        <v>698.18</v>
      </c>
      <c r="E13470" s="37" t="str">
        <f t="shared" si="1050"/>
        <v xml:space="preserve"> </v>
      </c>
      <c r="F13470">
        <v>0.28999999999999998</v>
      </c>
      <c r="G13470" s="37" t="str">
        <f t="shared" si="1051"/>
        <v>Normal Discount</v>
      </c>
      <c r="H13470" s="37" t="str">
        <f t="shared" si="1052"/>
        <v>Medium</v>
      </c>
      <c r="I13470">
        <v>9</v>
      </c>
      <c r="J13470" t="str" cm="1">
        <f t="array" ref="J13470">_xlfn.IFS(I13470&lt;=3,"small",I13470&lt;=6,"Medium",I13470&lt;=9,"Large")</f>
        <v>Large</v>
      </c>
      <c r="K13470" s="36">
        <v>45063</v>
      </c>
      <c r="L13470" s="36">
        <v>45070</v>
      </c>
      <c r="M13470" t="s">
        <v>598</v>
      </c>
      <c r="N13470" t="s">
        <v>599</v>
      </c>
      <c r="O13470" s="37" t="str">
        <f t="shared" si="1053"/>
        <v>Digital Payment</v>
      </c>
      <c r="P13470">
        <v>169.95</v>
      </c>
      <c r="Q13470" s="37" t="str">
        <f>IF(P13470&gt;500,"High","low")</f>
        <v>low</v>
      </c>
      <c r="R13470" s="37" t="str">
        <f t="shared" si="1054"/>
        <v>AVERAGE</v>
      </c>
      <c r="S13470" t="s">
        <v>600</v>
      </c>
    </row>
    <row r="13471" spans="1:19" x14ac:dyDescent="0.2">
      <c r="A13471" t="s">
        <v>14082</v>
      </c>
      <c r="B13471" t="s">
        <v>75</v>
      </c>
      <c r="C13471" t="s">
        <v>597</v>
      </c>
      <c r="D13471">
        <v>4644.3100000000004</v>
      </c>
      <c r="E13471" s="37" t="str">
        <f t="shared" si="1050"/>
        <v>Excellent Order</v>
      </c>
      <c r="F13471">
        <v>0.48</v>
      </c>
      <c r="G13471" s="37" t="str">
        <f t="shared" si="1051"/>
        <v>Heavy Discount</v>
      </c>
      <c r="H13471" s="37" t="str">
        <f t="shared" si="1052"/>
        <v>High</v>
      </c>
      <c r="I13471">
        <v>6</v>
      </c>
      <c r="J13471" t="str" cm="1">
        <f t="array" ref="J13471">_xlfn.IFS(I13471&lt;=3,"small",I13471&lt;=6,"Medium",I13471&lt;=9,"Large")</f>
        <v>Medium</v>
      </c>
      <c r="K13471" s="36">
        <v>45627</v>
      </c>
      <c r="L13471" s="36">
        <v>45631</v>
      </c>
      <c r="M13471" t="s">
        <v>598</v>
      </c>
      <c r="N13471" t="s">
        <v>604</v>
      </c>
      <c r="O13471" s="37" t="str">
        <f t="shared" si="1053"/>
        <v>Digital Payment</v>
      </c>
      <c r="P13471">
        <v>1082.03</v>
      </c>
      <c r="Q13471" s="37" t="str">
        <f>IF(P13471&gt;500,"High","low")</f>
        <v>High</v>
      </c>
      <c r="R13471" s="37" t="str">
        <f t="shared" si="1054"/>
        <v>Excellent</v>
      </c>
      <c r="S13471" t="s">
        <v>628</v>
      </c>
    </row>
    <row r="13472" spans="1:19" x14ac:dyDescent="0.2">
      <c r="A13472" t="s">
        <v>14083</v>
      </c>
      <c r="B13472" t="s">
        <v>67</v>
      </c>
      <c r="C13472" t="s">
        <v>607</v>
      </c>
      <c r="D13472">
        <v>1134.95</v>
      </c>
      <c r="E13472" s="37" t="str">
        <f t="shared" si="1050"/>
        <v xml:space="preserve"> </v>
      </c>
      <c r="F13472">
        <v>0.25</v>
      </c>
      <c r="G13472" s="37" t="str">
        <f t="shared" si="1051"/>
        <v>Normal Discount</v>
      </c>
      <c r="H13472" s="37" t="str">
        <f t="shared" si="1052"/>
        <v>Medium</v>
      </c>
      <c r="I13472">
        <v>8</v>
      </c>
      <c r="J13472" t="str" cm="1">
        <f t="array" ref="J13472">_xlfn.IFS(I13472&lt;=3,"small",I13472&lt;=6,"Medium",I13472&lt;=9,"Large")</f>
        <v>Large</v>
      </c>
      <c r="K13472" s="36">
        <v>45656</v>
      </c>
      <c r="L13472" s="36">
        <v>45658</v>
      </c>
      <c r="M13472" t="s">
        <v>598</v>
      </c>
      <c r="N13472" t="s">
        <v>599</v>
      </c>
      <c r="O13472" s="37" t="str">
        <f t="shared" si="1053"/>
        <v>Digital Payment</v>
      </c>
      <c r="P13472">
        <v>303.24</v>
      </c>
      <c r="Q13472" s="37" t="str">
        <f>IF(P13472&gt;500,"High","low")</f>
        <v>low</v>
      </c>
      <c r="R13472" s="37" t="str">
        <f t="shared" si="1054"/>
        <v>AVERAGE</v>
      </c>
      <c r="S13472" t="s">
        <v>600</v>
      </c>
    </row>
    <row r="13473" spans="1:19" x14ac:dyDescent="0.2">
      <c r="A13473" t="s">
        <v>14084</v>
      </c>
      <c r="B13473" t="s">
        <v>75</v>
      </c>
      <c r="C13473" t="s">
        <v>607</v>
      </c>
      <c r="D13473">
        <v>515.61</v>
      </c>
      <c r="E13473" s="37" t="str">
        <f t="shared" si="1050"/>
        <v xml:space="preserve"> </v>
      </c>
      <c r="F13473">
        <v>0.3</v>
      </c>
      <c r="G13473" s="37" t="str">
        <f t="shared" si="1051"/>
        <v>Normal Discount</v>
      </c>
      <c r="H13473" s="37" t="str">
        <f t="shared" si="1052"/>
        <v>Medium</v>
      </c>
      <c r="I13473">
        <v>9</v>
      </c>
      <c r="J13473" t="str" cm="1">
        <f t="array" ref="J13473">_xlfn.IFS(I13473&lt;=3,"small",I13473&lt;=6,"Medium",I13473&lt;=9,"Large")</f>
        <v>Large</v>
      </c>
      <c r="K13473" s="36">
        <v>45075</v>
      </c>
      <c r="L13473" s="36">
        <v>45076</v>
      </c>
      <c r="M13473" t="s">
        <v>612</v>
      </c>
      <c r="N13473" t="s">
        <v>608</v>
      </c>
      <c r="O13473" s="37" t="str">
        <f t="shared" si="1053"/>
        <v>Cash Payment</v>
      </c>
      <c r="P13473">
        <v>28.17</v>
      </c>
      <c r="Q13473" s="37" t="str">
        <f>IF(P13473&gt;500,"High","low")</f>
        <v>low</v>
      </c>
      <c r="R13473" s="37" t="str">
        <f t="shared" si="1054"/>
        <v>AVERAGE</v>
      </c>
      <c r="S13473" t="s">
        <v>609</v>
      </c>
    </row>
    <row r="13474" spans="1:19" x14ac:dyDescent="0.2">
      <c r="A13474" t="s">
        <v>14085</v>
      </c>
      <c r="B13474" t="s">
        <v>75</v>
      </c>
      <c r="C13474" t="s">
        <v>607</v>
      </c>
      <c r="D13474">
        <v>2753.81</v>
      </c>
      <c r="E13474" s="37" t="str">
        <f t="shared" si="1050"/>
        <v xml:space="preserve"> </v>
      </c>
      <c r="F13474">
        <v>0.24</v>
      </c>
      <c r="G13474" s="37" t="str">
        <f t="shared" si="1051"/>
        <v>Normal Discount</v>
      </c>
      <c r="H13474" s="37" t="str">
        <f t="shared" si="1052"/>
        <v>Medium</v>
      </c>
      <c r="I13474">
        <v>1</v>
      </c>
      <c r="J13474" t="str" cm="1">
        <f t="array" ref="J13474">_xlfn.IFS(I13474&lt;=3,"small",I13474&lt;=6,"Medium",I13474&lt;=9,"Large")</f>
        <v>small</v>
      </c>
      <c r="K13474" s="36">
        <v>45053</v>
      </c>
      <c r="L13474" s="36">
        <v>45058</v>
      </c>
      <c r="M13474" t="s">
        <v>612</v>
      </c>
      <c r="N13474" t="s">
        <v>608</v>
      </c>
      <c r="O13474" s="37" t="str">
        <f t="shared" si="1053"/>
        <v>Cash Payment</v>
      </c>
      <c r="P13474">
        <v>150.06</v>
      </c>
      <c r="Q13474" s="37" t="str">
        <f>IF(P13474&gt;500,"High","low")</f>
        <v>low</v>
      </c>
      <c r="R13474" s="37" t="str">
        <f t="shared" si="1054"/>
        <v>AVERAGE</v>
      </c>
      <c r="S13474" t="s">
        <v>615</v>
      </c>
    </row>
    <row r="13475" spans="1:19" x14ac:dyDescent="0.2">
      <c r="A13475" t="s">
        <v>14086</v>
      </c>
      <c r="B13475" t="s">
        <v>75</v>
      </c>
      <c r="C13475" t="s">
        <v>597</v>
      </c>
      <c r="D13475">
        <v>3709.49</v>
      </c>
      <c r="E13475" s="37" t="str">
        <f t="shared" si="1050"/>
        <v xml:space="preserve"> </v>
      </c>
      <c r="F13475">
        <v>0.3</v>
      </c>
      <c r="G13475" s="37" t="str">
        <f t="shared" si="1051"/>
        <v>Normal Discount</v>
      </c>
      <c r="H13475" s="37" t="str">
        <f t="shared" si="1052"/>
        <v>Medium</v>
      </c>
      <c r="I13475">
        <v>7</v>
      </c>
      <c r="J13475" t="str" cm="1">
        <f t="array" ref="J13475">_xlfn.IFS(I13475&lt;=3,"small",I13475&lt;=6,"Medium",I13475&lt;=9,"Large")</f>
        <v>Large</v>
      </c>
      <c r="K13475" s="36">
        <v>45166</v>
      </c>
      <c r="L13475" s="36">
        <v>45173</v>
      </c>
      <c r="M13475" t="s">
        <v>598</v>
      </c>
      <c r="N13475" t="s">
        <v>604</v>
      </c>
      <c r="O13475" s="37" t="str">
        <f t="shared" si="1053"/>
        <v>Digital Payment</v>
      </c>
      <c r="P13475">
        <v>1091.5899999999999</v>
      </c>
      <c r="Q13475" s="37" t="str">
        <f>IF(P13475&gt;500,"High","low")</f>
        <v>High</v>
      </c>
      <c r="R13475" s="37" t="str">
        <f t="shared" si="1054"/>
        <v>Excellent</v>
      </c>
      <c r="S13475" t="s">
        <v>628</v>
      </c>
    </row>
    <row r="13476" spans="1:19" x14ac:dyDescent="0.2">
      <c r="A13476" t="s">
        <v>14087</v>
      </c>
      <c r="B13476" t="s">
        <v>83</v>
      </c>
      <c r="C13476" t="s">
        <v>602</v>
      </c>
      <c r="D13476">
        <v>3608.65</v>
      </c>
      <c r="E13476" s="37" t="str">
        <f t="shared" si="1050"/>
        <v xml:space="preserve"> </v>
      </c>
      <c r="F13476">
        <v>0.45</v>
      </c>
      <c r="G13476" s="37" t="str">
        <f t="shared" si="1051"/>
        <v>Heavy Discount</v>
      </c>
      <c r="H13476" s="37" t="str">
        <f t="shared" si="1052"/>
        <v>High</v>
      </c>
      <c r="I13476">
        <v>7</v>
      </c>
      <c r="J13476" t="str" cm="1">
        <f t="array" ref="J13476">_xlfn.IFS(I13476&lt;=3,"small",I13476&lt;=6,"Medium",I13476&lt;=9,"Large")</f>
        <v>Large</v>
      </c>
      <c r="K13476" s="36">
        <v>45205</v>
      </c>
      <c r="L13476" s="36">
        <v>45210</v>
      </c>
      <c r="M13476" t="s">
        <v>612</v>
      </c>
      <c r="N13476" t="s">
        <v>604</v>
      </c>
      <c r="O13476" s="37" t="str">
        <f t="shared" si="1053"/>
        <v>Digital Payment</v>
      </c>
      <c r="P13476">
        <v>353.69</v>
      </c>
      <c r="Q13476" s="37" t="str">
        <f>IF(P13476&gt;500,"High","low")</f>
        <v>low</v>
      </c>
      <c r="R13476" s="37" t="str">
        <f t="shared" si="1054"/>
        <v>AVERAGE</v>
      </c>
      <c r="S13476" t="s">
        <v>620</v>
      </c>
    </row>
    <row r="13477" spans="1:19" x14ac:dyDescent="0.2">
      <c r="A13477" t="s">
        <v>14088</v>
      </c>
      <c r="B13477" t="s">
        <v>75</v>
      </c>
      <c r="C13477" t="s">
        <v>617</v>
      </c>
      <c r="D13477">
        <v>2716.87</v>
      </c>
      <c r="E13477" s="37" t="str">
        <f t="shared" si="1050"/>
        <v xml:space="preserve"> </v>
      </c>
      <c r="F13477">
        <v>0.17</v>
      </c>
      <c r="G13477" s="37" t="str">
        <f t="shared" si="1051"/>
        <v>Normal Discount</v>
      </c>
      <c r="H13477" s="37" t="str">
        <f t="shared" si="1052"/>
        <v>Low</v>
      </c>
      <c r="I13477">
        <v>9</v>
      </c>
      <c r="J13477" t="str" cm="1">
        <f t="array" ref="J13477">_xlfn.IFS(I13477&lt;=3,"small",I13477&lt;=6,"Medium",I13477&lt;=9,"Large")</f>
        <v>Large</v>
      </c>
      <c r="K13477" s="36">
        <v>44987</v>
      </c>
      <c r="L13477" s="36">
        <v>44992</v>
      </c>
      <c r="M13477" t="s">
        <v>603</v>
      </c>
      <c r="N13477" t="s">
        <v>599</v>
      </c>
      <c r="O13477" s="37" t="str">
        <f t="shared" si="1053"/>
        <v>Digital Payment</v>
      </c>
      <c r="P13477">
        <v>738.51</v>
      </c>
      <c r="Q13477" s="37" t="str">
        <f>IF(P13477&gt;500,"High","low")</f>
        <v>High</v>
      </c>
      <c r="R13477" s="37" t="str">
        <f t="shared" si="1054"/>
        <v>Good</v>
      </c>
      <c r="S13477" t="s">
        <v>615</v>
      </c>
    </row>
    <row r="13478" spans="1:19" x14ac:dyDescent="0.2">
      <c r="A13478" t="s">
        <v>14089</v>
      </c>
      <c r="B13478" t="s">
        <v>90</v>
      </c>
      <c r="C13478" t="s">
        <v>607</v>
      </c>
      <c r="D13478">
        <v>2514.41</v>
      </c>
      <c r="E13478" s="37" t="str">
        <f t="shared" si="1050"/>
        <v xml:space="preserve"> </v>
      </c>
      <c r="F13478">
        <v>0.25</v>
      </c>
      <c r="G13478" s="37" t="str">
        <f t="shared" si="1051"/>
        <v>Normal Discount</v>
      </c>
      <c r="H13478" s="37" t="str">
        <f t="shared" si="1052"/>
        <v>Medium</v>
      </c>
      <c r="I13478">
        <v>1</v>
      </c>
      <c r="J13478" t="str" cm="1">
        <f t="array" ref="J13478">_xlfn.IFS(I13478&lt;=3,"small",I13478&lt;=6,"Medium",I13478&lt;=9,"Large")</f>
        <v>small</v>
      </c>
      <c r="K13478" s="36">
        <v>45533</v>
      </c>
      <c r="L13478" s="36">
        <v>45539</v>
      </c>
      <c r="M13478" t="s">
        <v>603</v>
      </c>
      <c r="N13478" t="s">
        <v>608</v>
      </c>
      <c r="O13478" s="37" t="str">
        <f t="shared" si="1053"/>
        <v>Cash Payment</v>
      </c>
      <c r="P13478">
        <v>625.19000000000005</v>
      </c>
      <c r="Q13478" s="37" t="str">
        <f>IF(P13478&gt;500,"High","low")</f>
        <v>High</v>
      </c>
      <c r="R13478" s="37" t="str">
        <f t="shared" si="1054"/>
        <v>Good</v>
      </c>
      <c r="S13478" t="s">
        <v>615</v>
      </c>
    </row>
    <row r="13479" spans="1:19" x14ac:dyDescent="0.2">
      <c r="A13479" t="s">
        <v>14090</v>
      </c>
      <c r="B13479" t="s">
        <v>67</v>
      </c>
      <c r="C13479" t="s">
        <v>617</v>
      </c>
      <c r="D13479">
        <v>4850.7700000000004</v>
      </c>
      <c r="E13479" s="37" t="str">
        <f t="shared" si="1050"/>
        <v>Excellent Order</v>
      </c>
      <c r="F13479">
        <v>0.22</v>
      </c>
      <c r="G13479" s="37" t="str">
        <f t="shared" si="1051"/>
        <v>Normal Discount</v>
      </c>
      <c r="H13479" s="37" t="str">
        <f t="shared" si="1052"/>
        <v>Medium</v>
      </c>
      <c r="I13479">
        <v>2</v>
      </c>
      <c r="J13479" t="str" cm="1">
        <f t="array" ref="J13479">_xlfn.IFS(I13479&lt;=3,"small",I13479&lt;=6,"Medium",I13479&lt;=9,"Large")</f>
        <v>small</v>
      </c>
      <c r="K13479" s="36">
        <v>45304</v>
      </c>
      <c r="L13479" s="36">
        <v>45305</v>
      </c>
      <c r="M13479" t="s">
        <v>612</v>
      </c>
      <c r="N13479" t="s">
        <v>599</v>
      </c>
      <c r="O13479" s="37" t="str">
        <f t="shared" si="1053"/>
        <v>Digital Payment</v>
      </c>
      <c r="P13479">
        <v>872.96</v>
      </c>
      <c r="Q13479" s="37" t="str">
        <f>IF(P13479&gt;500,"High","low")</f>
        <v>High</v>
      </c>
      <c r="R13479" s="37" t="str">
        <f t="shared" si="1054"/>
        <v>Good</v>
      </c>
      <c r="S13479" t="s">
        <v>600</v>
      </c>
    </row>
    <row r="13480" spans="1:19" x14ac:dyDescent="0.2">
      <c r="A13480" t="s">
        <v>14091</v>
      </c>
      <c r="B13480" t="s">
        <v>83</v>
      </c>
      <c r="C13480" t="s">
        <v>614</v>
      </c>
      <c r="D13480">
        <v>4120.74</v>
      </c>
      <c r="E13480" s="37" t="str">
        <f t="shared" si="1050"/>
        <v xml:space="preserve"> </v>
      </c>
      <c r="F13480">
        <v>0.2</v>
      </c>
      <c r="G13480" s="37" t="str">
        <f t="shared" si="1051"/>
        <v>Normal Discount</v>
      </c>
      <c r="H13480" s="37" t="str">
        <f t="shared" si="1052"/>
        <v>Medium</v>
      </c>
      <c r="I13480">
        <v>6</v>
      </c>
      <c r="J13480" t="str" cm="1">
        <f t="array" ref="J13480">_xlfn.IFS(I13480&lt;=3,"small",I13480&lt;=6,"Medium",I13480&lt;=9,"Large")</f>
        <v>Medium</v>
      </c>
      <c r="K13480" s="36">
        <v>45327</v>
      </c>
      <c r="L13480" s="36">
        <v>45333</v>
      </c>
      <c r="M13480" t="s">
        <v>612</v>
      </c>
      <c r="N13480" t="s">
        <v>604</v>
      </c>
      <c r="O13480" s="37" t="str">
        <f t="shared" si="1053"/>
        <v>Digital Payment</v>
      </c>
      <c r="P13480">
        <v>250.33</v>
      </c>
      <c r="Q13480" s="37" t="str">
        <f>IF(P13480&gt;500,"High","low")</f>
        <v>low</v>
      </c>
      <c r="R13480" s="37" t="str">
        <f t="shared" si="1054"/>
        <v>AVERAGE</v>
      </c>
      <c r="S13480" t="s">
        <v>600</v>
      </c>
    </row>
    <row r="13481" spans="1:19" x14ac:dyDescent="0.2">
      <c r="A13481" t="s">
        <v>14092</v>
      </c>
      <c r="B13481" t="s">
        <v>67</v>
      </c>
      <c r="C13481" t="s">
        <v>614</v>
      </c>
      <c r="D13481">
        <v>3523.34</v>
      </c>
      <c r="E13481" s="37" t="str">
        <f t="shared" si="1050"/>
        <v xml:space="preserve"> </v>
      </c>
      <c r="F13481">
        <v>0.41</v>
      </c>
      <c r="G13481" s="37" t="str">
        <f t="shared" si="1051"/>
        <v>Heavy Discount</v>
      </c>
      <c r="H13481" s="37" t="str">
        <f t="shared" si="1052"/>
        <v>High</v>
      </c>
      <c r="I13481">
        <v>4</v>
      </c>
      <c r="J13481" t="str" cm="1">
        <f t="array" ref="J13481">_xlfn.IFS(I13481&lt;=3,"small",I13481&lt;=6,"Medium",I13481&lt;=9,"Large")</f>
        <v>Medium</v>
      </c>
      <c r="K13481" s="36">
        <v>45286</v>
      </c>
      <c r="L13481" s="36">
        <v>45290</v>
      </c>
      <c r="M13481" t="s">
        <v>598</v>
      </c>
      <c r="N13481" t="s">
        <v>604</v>
      </c>
      <c r="O13481" s="37" t="str">
        <f t="shared" si="1053"/>
        <v>Digital Payment</v>
      </c>
      <c r="P13481">
        <v>357.23</v>
      </c>
      <c r="Q13481" s="37" t="str">
        <f>IF(P13481&gt;500,"High","low")</f>
        <v>low</v>
      </c>
      <c r="R13481" s="37" t="str">
        <f t="shared" si="1054"/>
        <v>AVERAGE</v>
      </c>
      <c r="S13481" t="s">
        <v>620</v>
      </c>
    </row>
    <row r="13482" spans="1:19" x14ac:dyDescent="0.2">
      <c r="A13482" t="s">
        <v>14093</v>
      </c>
      <c r="B13482" t="s">
        <v>75</v>
      </c>
      <c r="C13482" t="s">
        <v>614</v>
      </c>
      <c r="D13482">
        <v>1056.54</v>
      </c>
      <c r="E13482" s="37" t="str">
        <f t="shared" si="1050"/>
        <v xml:space="preserve"> </v>
      </c>
      <c r="F13482">
        <v>0.12</v>
      </c>
      <c r="G13482" s="37" t="str">
        <f t="shared" si="1051"/>
        <v>Normal Discount</v>
      </c>
      <c r="H13482" s="37" t="str">
        <f t="shared" si="1052"/>
        <v>Low</v>
      </c>
      <c r="I13482">
        <v>5</v>
      </c>
      <c r="J13482" t="str" cm="1">
        <f t="array" ref="J13482">_xlfn.IFS(I13482&lt;=3,"small",I13482&lt;=6,"Medium",I13482&lt;=9,"Large")</f>
        <v>Medium</v>
      </c>
      <c r="K13482" s="36">
        <v>45365</v>
      </c>
      <c r="L13482" s="36">
        <v>45367</v>
      </c>
      <c r="M13482" t="s">
        <v>612</v>
      </c>
      <c r="N13482" t="s">
        <v>604</v>
      </c>
      <c r="O13482" s="37" t="str">
        <f t="shared" si="1053"/>
        <v>Digital Payment</v>
      </c>
      <c r="P13482">
        <v>70.39</v>
      </c>
      <c r="Q13482" s="37" t="str">
        <f>IF(P13482&gt;500,"High","low")</f>
        <v>low</v>
      </c>
      <c r="R13482" s="37" t="str">
        <f t="shared" si="1054"/>
        <v>AVERAGE</v>
      </c>
      <c r="S13482" t="s">
        <v>628</v>
      </c>
    </row>
    <row r="13483" spans="1:19" x14ac:dyDescent="0.2">
      <c r="A13483" t="s">
        <v>14094</v>
      </c>
      <c r="B13483" t="s">
        <v>83</v>
      </c>
      <c r="C13483" t="s">
        <v>607</v>
      </c>
      <c r="D13483">
        <v>4116.88</v>
      </c>
      <c r="E13483" s="37" t="str">
        <f t="shared" si="1050"/>
        <v>Excellent Order</v>
      </c>
      <c r="F13483">
        <v>0.25</v>
      </c>
      <c r="G13483" s="37" t="str">
        <f t="shared" si="1051"/>
        <v>Normal Discount</v>
      </c>
      <c r="H13483" s="37" t="str">
        <f t="shared" si="1052"/>
        <v>Medium</v>
      </c>
      <c r="I13483">
        <v>5</v>
      </c>
      <c r="J13483" t="str" cm="1">
        <f t="array" ref="J13483">_xlfn.IFS(I13483&lt;=3,"small",I13483&lt;=6,"Medium",I13483&lt;=9,"Large")</f>
        <v>Medium</v>
      </c>
      <c r="K13483" s="36">
        <v>45203</v>
      </c>
      <c r="L13483" s="36">
        <v>45204</v>
      </c>
      <c r="M13483" t="s">
        <v>598</v>
      </c>
      <c r="N13483" t="s">
        <v>604</v>
      </c>
      <c r="O13483" s="37" t="str">
        <f t="shared" si="1053"/>
        <v>Digital Payment</v>
      </c>
      <c r="P13483">
        <v>1007.02</v>
      </c>
      <c r="Q13483" s="37" t="str">
        <f>IF(P13483&gt;500,"High","low")</f>
        <v>High</v>
      </c>
      <c r="R13483" s="37" t="str">
        <f t="shared" si="1054"/>
        <v>Excellent</v>
      </c>
      <c r="S13483" t="s">
        <v>609</v>
      </c>
    </row>
    <row r="13484" spans="1:19" x14ac:dyDescent="0.2">
      <c r="A13484" t="s">
        <v>14095</v>
      </c>
      <c r="B13484" t="s">
        <v>90</v>
      </c>
      <c r="C13484" t="s">
        <v>597</v>
      </c>
      <c r="D13484">
        <v>3773.93</v>
      </c>
      <c r="E13484" s="37" t="str">
        <f t="shared" si="1050"/>
        <v xml:space="preserve"> </v>
      </c>
      <c r="F13484">
        <v>0.46</v>
      </c>
      <c r="G13484" s="37" t="str">
        <f t="shared" si="1051"/>
        <v>Heavy Discount</v>
      </c>
      <c r="H13484" s="37" t="str">
        <f t="shared" si="1052"/>
        <v>High</v>
      </c>
      <c r="I13484">
        <v>1</v>
      </c>
      <c r="J13484" t="str" cm="1">
        <f t="array" ref="J13484">_xlfn.IFS(I13484&lt;=3,"small",I13484&lt;=6,"Medium",I13484&lt;=9,"Large")</f>
        <v>small</v>
      </c>
      <c r="K13484" s="36">
        <v>45364</v>
      </c>
      <c r="L13484" s="36">
        <v>45370</v>
      </c>
      <c r="M13484" t="s">
        <v>603</v>
      </c>
      <c r="N13484" t="s">
        <v>608</v>
      </c>
      <c r="O13484" s="37" t="str">
        <f t="shared" si="1053"/>
        <v>Cash Payment</v>
      </c>
      <c r="P13484">
        <v>663.67</v>
      </c>
      <c r="Q13484" s="37" t="str">
        <f>IF(P13484&gt;500,"High","low")</f>
        <v>High</v>
      </c>
      <c r="R13484" s="37" t="str">
        <f t="shared" si="1054"/>
        <v>Good</v>
      </c>
      <c r="S13484" t="s">
        <v>609</v>
      </c>
    </row>
    <row r="13485" spans="1:19" x14ac:dyDescent="0.2">
      <c r="A13485" t="s">
        <v>14096</v>
      </c>
      <c r="B13485" t="s">
        <v>75</v>
      </c>
      <c r="C13485" t="s">
        <v>607</v>
      </c>
      <c r="D13485">
        <v>4960.93</v>
      </c>
      <c r="E13485" s="37" t="str">
        <f t="shared" si="1050"/>
        <v>Excellent Order</v>
      </c>
      <c r="F13485">
        <v>0.08</v>
      </c>
      <c r="G13485" s="37" t="str">
        <f t="shared" si="1051"/>
        <v>Normal Discount</v>
      </c>
      <c r="H13485" s="37" t="str">
        <f t="shared" si="1052"/>
        <v>Low</v>
      </c>
      <c r="I13485">
        <v>1</v>
      </c>
      <c r="J13485" t="str" cm="1">
        <f t="array" ref="J13485">_xlfn.IFS(I13485&lt;=3,"small",I13485&lt;=6,"Medium",I13485&lt;=9,"Large")</f>
        <v>small</v>
      </c>
      <c r="K13485" s="36">
        <v>45485</v>
      </c>
      <c r="L13485" s="36">
        <v>45492</v>
      </c>
      <c r="M13485" t="s">
        <v>598</v>
      </c>
      <c r="N13485" t="s">
        <v>599</v>
      </c>
      <c r="O13485" s="37" t="str">
        <f t="shared" si="1053"/>
        <v>Digital Payment</v>
      </c>
      <c r="P13485">
        <v>1471.48</v>
      </c>
      <c r="Q13485" s="37" t="str">
        <f>IF(P13485&gt;500,"High","low")</f>
        <v>High</v>
      </c>
      <c r="R13485" s="37" t="str">
        <f t="shared" si="1054"/>
        <v>Excellent</v>
      </c>
      <c r="S13485" t="s">
        <v>600</v>
      </c>
    </row>
    <row r="13486" spans="1:19" x14ac:dyDescent="0.2">
      <c r="A13486" t="s">
        <v>14097</v>
      </c>
      <c r="B13486" t="s">
        <v>67</v>
      </c>
      <c r="C13486" t="s">
        <v>614</v>
      </c>
      <c r="D13486">
        <v>751.68</v>
      </c>
      <c r="E13486" s="37" t="str">
        <f t="shared" si="1050"/>
        <v xml:space="preserve"> </v>
      </c>
      <c r="F13486">
        <v>0</v>
      </c>
      <c r="G13486" s="37" t="str">
        <f t="shared" si="1051"/>
        <v>Normal Discount</v>
      </c>
      <c r="H13486" s="37" t="str">
        <f t="shared" si="1052"/>
        <v>Low</v>
      </c>
      <c r="I13486">
        <v>7</v>
      </c>
      <c r="J13486" t="str" cm="1">
        <f t="array" ref="J13486">_xlfn.IFS(I13486&lt;=3,"small",I13486&lt;=6,"Medium",I13486&lt;=9,"Large")</f>
        <v>Large</v>
      </c>
      <c r="K13486" s="36">
        <v>45607</v>
      </c>
      <c r="L13486" s="36">
        <v>45609</v>
      </c>
      <c r="M13486" t="s">
        <v>612</v>
      </c>
      <c r="N13486" t="s">
        <v>608</v>
      </c>
      <c r="O13486" s="37" t="str">
        <f t="shared" si="1053"/>
        <v>Cash Payment</v>
      </c>
      <c r="P13486">
        <v>138.44</v>
      </c>
      <c r="Q13486" s="37" t="str">
        <f>IF(P13486&gt;500,"High","low")</f>
        <v>low</v>
      </c>
      <c r="R13486" s="37" t="str">
        <f t="shared" si="1054"/>
        <v>AVERAGE</v>
      </c>
      <c r="S13486" t="s">
        <v>609</v>
      </c>
    </row>
    <row r="13487" spans="1:19" x14ac:dyDescent="0.2">
      <c r="A13487" t="s">
        <v>14098</v>
      </c>
      <c r="B13487" t="s">
        <v>90</v>
      </c>
      <c r="C13487" t="s">
        <v>614</v>
      </c>
      <c r="D13487">
        <v>3604.95</v>
      </c>
      <c r="E13487" s="37" t="str">
        <f t="shared" si="1050"/>
        <v xml:space="preserve"> </v>
      </c>
      <c r="F13487">
        <v>0.13</v>
      </c>
      <c r="G13487" s="37" t="str">
        <f t="shared" si="1051"/>
        <v>Normal Discount</v>
      </c>
      <c r="H13487" s="37" t="str">
        <f t="shared" si="1052"/>
        <v>Low</v>
      </c>
      <c r="I13487">
        <v>3</v>
      </c>
      <c r="J13487" t="str" cm="1">
        <f t="array" ref="J13487">_xlfn.IFS(I13487&lt;=3,"small",I13487&lt;=6,"Medium",I13487&lt;=9,"Large")</f>
        <v>small</v>
      </c>
      <c r="K13487" s="36">
        <v>45023</v>
      </c>
      <c r="L13487" s="36">
        <v>45025</v>
      </c>
      <c r="M13487" t="s">
        <v>603</v>
      </c>
      <c r="N13487" t="s">
        <v>608</v>
      </c>
      <c r="O13487" s="37" t="str">
        <f t="shared" si="1053"/>
        <v>Cash Payment</v>
      </c>
      <c r="P13487">
        <v>282.01</v>
      </c>
      <c r="Q13487" s="37" t="str">
        <f>IF(P13487&gt;500,"High","low")</f>
        <v>low</v>
      </c>
      <c r="R13487" s="37" t="str">
        <f t="shared" si="1054"/>
        <v>AVERAGE</v>
      </c>
      <c r="S13487" t="s">
        <v>615</v>
      </c>
    </row>
    <row r="13488" spans="1:19" x14ac:dyDescent="0.2">
      <c r="A13488" t="s">
        <v>14099</v>
      </c>
      <c r="B13488" t="s">
        <v>75</v>
      </c>
      <c r="C13488" t="s">
        <v>607</v>
      </c>
      <c r="D13488">
        <v>4897.51</v>
      </c>
      <c r="E13488" s="37" t="str">
        <f t="shared" si="1050"/>
        <v xml:space="preserve"> </v>
      </c>
      <c r="F13488">
        <v>0.46</v>
      </c>
      <c r="G13488" s="37" t="str">
        <f t="shared" si="1051"/>
        <v>Heavy Discount</v>
      </c>
      <c r="H13488" s="37" t="str">
        <f t="shared" si="1052"/>
        <v>High</v>
      </c>
      <c r="I13488">
        <v>5</v>
      </c>
      <c r="J13488" t="str" cm="1">
        <f t="array" ref="J13488">_xlfn.IFS(I13488&lt;=3,"small",I13488&lt;=6,"Medium",I13488&lt;=9,"Large")</f>
        <v>Medium</v>
      </c>
      <c r="K13488" s="36">
        <v>45069</v>
      </c>
      <c r="L13488" s="36">
        <v>45071</v>
      </c>
      <c r="M13488" t="s">
        <v>598</v>
      </c>
      <c r="N13488" t="s">
        <v>608</v>
      </c>
      <c r="O13488" s="37" t="str">
        <f t="shared" si="1053"/>
        <v>Cash Payment</v>
      </c>
      <c r="P13488">
        <v>367.9</v>
      </c>
      <c r="Q13488" s="37" t="str">
        <f>IF(P13488&gt;500,"High","low")</f>
        <v>low</v>
      </c>
      <c r="R13488" s="37" t="str">
        <f t="shared" si="1054"/>
        <v>AVERAGE</v>
      </c>
      <c r="S13488" t="s">
        <v>615</v>
      </c>
    </row>
    <row r="13489" spans="1:19" x14ac:dyDescent="0.2">
      <c r="A13489" t="s">
        <v>14100</v>
      </c>
      <c r="B13489" t="s">
        <v>90</v>
      </c>
      <c r="C13489" t="s">
        <v>597</v>
      </c>
      <c r="D13489">
        <v>2366.71</v>
      </c>
      <c r="E13489" s="37" t="str">
        <f t="shared" si="1050"/>
        <v xml:space="preserve"> </v>
      </c>
      <c r="F13489">
        <v>0.04</v>
      </c>
      <c r="G13489" s="37" t="str">
        <f t="shared" si="1051"/>
        <v>Normal Discount</v>
      </c>
      <c r="H13489" s="37" t="str">
        <f t="shared" si="1052"/>
        <v>Low</v>
      </c>
      <c r="I13489">
        <v>8</v>
      </c>
      <c r="J13489" t="str" cm="1">
        <f t="array" ref="J13489">_xlfn.IFS(I13489&lt;=3,"small",I13489&lt;=6,"Medium",I13489&lt;=9,"Large")</f>
        <v>Large</v>
      </c>
      <c r="K13489" s="36">
        <v>45150</v>
      </c>
      <c r="L13489" s="36">
        <v>45151</v>
      </c>
      <c r="M13489" t="s">
        <v>612</v>
      </c>
      <c r="N13489" t="s">
        <v>604</v>
      </c>
      <c r="O13489" s="37" t="str">
        <f t="shared" si="1053"/>
        <v>Digital Payment</v>
      </c>
      <c r="P13489">
        <v>428.34</v>
      </c>
      <c r="Q13489" s="37" t="str">
        <f>IF(P13489&gt;500,"High","low")</f>
        <v>low</v>
      </c>
      <c r="R13489" s="37" t="str">
        <f t="shared" si="1054"/>
        <v>AVERAGE</v>
      </c>
      <c r="S13489" t="s">
        <v>628</v>
      </c>
    </row>
    <row r="13490" spans="1:19" x14ac:dyDescent="0.2">
      <c r="A13490" t="s">
        <v>14101</v>
      </c>
      <c r="B13490" t="s">
        <v>75</v>
      </c>
      <c r="C13490" t="s">
        <v>597</v>
      </c>
      <c r="D13490">
        <v>3693.71</v>
      </c>
      <c r="E13490" s="37" t="str">
        <f t="shared" si="1050"/>
        <v xml:space="preserve"> </v>
      </c>
      <c r="F13490">
        <v>7.0000000000000007E-2</v>
      </c>
      <c r="G13490" s="37" t="str">
        <f t="shared" si="1051"/>
        <v>Normal Discount</v>
      </c>
      <c r="H13490" s="37" t="str">
        <f t="shared" si="1052"/>
        <v>Low</v>
      </c>
      <c r="I13490">
        <v>5</v>
      </c>
      <c r="J13490" t="str" cm="1">
        <f t="array" ref="J13490">_xlfn.IFS(I13490&lt;=3,"small",I13490&lt;=6,"Medium",I13490&lt;=9,"Large")</f>
        <v>Medium</v>
      </c>
      <c r="K13490" s="36">
        <v>45241</v>
      </c>
      <c r="L13490" s="36">
        <v>45245</v>
      </c>
      <c r="M13490" t="s">
        <v>612</v>
      </c>
      <c r="N13490" t="s">
        <v>604</v>
      </c>
      <c r="O13490" s="37" t="str">
        <f t="shared" si="1053"/>
        <v>Digital Payment</v>
      </c>
      <c r="P13490">
        <v>723.96</v>
      </c>
      <c r="Q13490" s="37" t="str">
        <f>IF(P13490&gt;500,"High","low")</f>
        <v>High</v>
      </c>
      <c r="R13490" s="37" t="str">
        <f t="shared" si="1054"/>
        <v>Good</v>
      </c>
      <c r="S13490" t="s">
        <v>628</v>
      </c>
    </row>
    <row r="13491" spans="1:19" x14ac:dyDescent="0.2">
      <c r="A13491" t="s">
        <v>14102</v>
      </c>
      <c r="B13491" t="s">
        <v>83</v>
      </c>
      <c r="C13491" t="s">
        <v>617</v>
      </c>
      <c r="D13491">
        <v>4879.32</v>
      </c>
      <c r="E13491" s="37" t="str">
        <f t="shared" si="1050"/>
        <v xml:space="preserve"> </v>
      </c>
      <c r="F13491">
        <v>0.16</v>
      </c>
      <c r="G13491" s="37" t="str">
        <f t="shared" si="1051"/>
        <v>Normal Discount</v>
      </c>
      <c r="H13491" s="37" t="str">
        <f t="shared" si="1052"/>
        <v>Low</v>
      </c>
      <c r="I13491">
        <v>9</v>
      </c>
      <c r="J13491" t="str" cm="1">
        <f t="array" ref="J13491">_xlfn.IFS(I13491&lt;=3,"small",I13491&lt;=6,"Medium",I13491&lt;=9,"Large")</f>
        <v>Large</v>
      </c>
      <c r="K13491" s="36">
        <v>44955</v>
      </c>
      <c r="L13491" s="36">
        <v>44961</v>
      </c>
      <c r="M13491" t="s">
        <v>612</v>
      </c>
      <c r="N13491" t="s">
        <v>599</v>
      </c>
      <c r="O13491" s="37" t="str">
        <f t="shared" si="1053"/>
        <v>Digital Payment</v>
      </c>
      <c r="P13491">
        <v>433.09</v>
      </c>
      <c r="Q13491" s="37" t="str">
        <f>IF(P13491&gt;500,"High","low")</f>
        <v>low</v>
      </c>
      <c r="R13491" s="37" t="str">
        <f t="shared" si="1054"/>
        <v>AVERAGE</v>
      </c>
      <c r="S13491" t="s">
        <v>615</v>
      </c>
    </row>
    <row r="13492" spans="1:19" x14ac:dyDescent="0.2">
      <c r="A13492" t="s">
        <v>14103</v>
      </c>
      <c r="B13492" t="s">
        <v>75</v>
      </c>
      <c r="C13492" t="s">
        <v>602</v>
      </c>
      <c r="D13492">
        <v>2782.68</v>
      </c>
      <c r="E13492" s="37" t="str">
        <f t="shared" si="1050"/>
        <v xml:space="preserve"> </v>
      </c>
      <c r="F13492">
        <v>0.38</v>
      </c>
      <c r="G13492" s="37" t="str">
        <f t="shared" si="1051"/>
        <v>Heavy Discount</v>
      </c>
      <c r="H13492" s="37" t="str">
        <f t="shared" si="1052"/>
        <v>Medium</v>
      </c>
      <c r="I13492">
        <v>4</v>
      </c>
      <c r="J13492" t="str" cm="1">
        <f t="array" ref="J13492">_xlfn.IFS(I13492&lt;=3,"small",I13492&lt;=6,"Medium",I13492&lt;=9,"Large")</f>
        <v>Medium</v>
      </c>
      <c r="K13492" s="36">
        <v>45449</v>
      </c>
      <c r="L13492" s="36">
        <v>45453</v>
      </c>
      <c r="M13492" t="s">
        <v>603</v>
      </c>
      <c r="N13492" t="s">
        <v>608</v>
      </c>
      <c r="O13492" s="37" t="str">
        <f t="shared" si="1053"/>
        <v>Cash Payment</v>
      </c>
      <c r="P13492">
        <v>245.77</v>
      </c>
      <c r="Q13492" s="37" t="str">
        <f>IF(P13492&gt;500,"High","low")</f>
        <v>low</v>
      </c>
      <c r="R13492" s="37" t="str">
        <f t="shared" si="1054"/>
        <v>AVERAGE</v>
      </c>
      <c r="S13492" t="s">
        <v>628</v>
      </c>
    </row>
    <row r="13493" spans="1:19" x14ac:dyDescent="0.2">
      <c r="A13493" t="s">
        <v>14104</v>
      </c>
      <c r="B13493" t="s">
        <v>83</v>
      </c>
      <c r="C13493" t="s">
        <v>614</v>
      </c>
      <c r="D13493">
        <v>3525.3</v>
      </c>
      <c r="E13493" s="37" t="str">
        <f t="shared" si="1050"/>
        <v xml:space="preserve"> </v>
      </c>
      <c r="F13493">
        <v>0.38</v>
      </c>
      <c r="G13493" s="37" t="str">
        <f t="shared" si="1051"/>
        <v>Heavy Discount</v>
      </c>
      <c r="H13493" s="37" t="str">
        <f t="shared" si="1052"/>
        <v>Medium</v>
      </c>
      <c r="I13493">
        <v>7</v>
      </c>
      <c r="J13493" t="str" cm="1">
        <f t="array" ref="J13493">_xlfn.IFS(I13493&lt;=3,"small",I13493&lt;=6,"Medium",I13493&lt;=9,"Large")</f>
        <v>Large</v>
      </c>
      <c r="K13493" s="36">
        <v>44955</v>
      </c>
      <c r="L13493" s="36">
        <v>44958</v>
      </c>
      <c r="M13493" t="s">
        <v>612</v>
      </c>
      <c r="N13493" t="s">
        <v>604</v>
      </c>
      <c r="O13493" s="37" t="str">
        <f t="shared" si="1053"/>
        <v>Digital Payment</v>
      </c>
      <c r="P13493">
        <v>982.81</v>
      </c>
      <c r="Q13493" s="37" t="str">
        <f>IF(P13493&gt;500,"High","low")</f>
        <v>High</v>
      </c>
      <c r="R13493" s="37" t="str">
        <f t="shared" si="1054"/>
        <v>Good</v>
      </c>
      <c r="S13493" t="s">
        <v>609</v>
      </c>
    </row>
    <row r="13494" spans="1:19" x14ac:dyDescent="0.2">
      <c r="A13494" t="s">
        <v>14105</v>
      </c>
      <c r="B13494" t="s">
        <v>75</v>
      </c>
      <c r="C13494" t="s">
        <v>597</v>
      </c>
      <c r="D13494">
        <v>198.42</v>
      </c>
      <c r="E13494" s="37" t="str">
        <f t="shared" si="1050"/>
        <v xml:space="preserve"> </v>
      </c>
      <c r="F13494">
        <v>0.04</v>
      </c>
      <c r="G13494" s="37" t="str">
        <f t="shared" si="1051"/>
        <v>Normal Discount</v>
      </c>
      <c r="H13494" s="37" t="str">
        <f t="shared" si="1052"/>
        <v>Low</v>
      </c>
      <c r="I13494">
        <v>8</v>
      </c>
      <c r="J13494" t="str" cm="1">
        <f t="array" ref="J13494">_xlfn.IFS(I13494&lt;=3,"small",I13494&lt;=6,"Medium",I13494&lt;=9,"Large")</f>
        <v>Large</v>
      </c>
      <c r="K13494" s="36">
        <v>45297</v>
      </c>
      <c r="L13494" s="36">
        <v>45302</v>
      </c>
      <c r="M13494" t="s">
        <v>603</v>
      </c>
      <c r="N13494" t="s">
        <v>608</v>
      </c>
      <c r="O13494" s="37" t="str">
        <f t="shared" si="1053"/>
        <v>Cash Payment</v>
      </c>
      <c r="P13494">
        <v>51.81</v>
      </c>
      <c r="Q13494" s="37" t="str">
        <f>IF(P13494&gt;500,"High","low")</f>
        <v>low</v>
      </c>
      <c r="R13494" s="37" t="str">
        <f t="shared" si="1054"/>
        <v>AVERAGE</v>
      </c>
      <c r="S13494" t="s">
        <v>620</v>
      </c>
    </row>
    <row r="13495" spans="1:19" x14ac:dyDescent="0.2">
      <c r="A13495" t="s">
        <v>14106</v>
      </c>
      <c r="B13495" t="s">
        <v>75</v>
      </c>
      <c r="C13495" t="s">
        <v>614</v>
      </c>
      <c r="D13495">
        <v>2646.36</v>
      </c>
      <c r="E13495" s="37" t="str">
        <f t="shared" si="1050"/>
        <v xml:space="preserve"> </v>
      </c>
      <c r="F13495">
        <v>0.47</v>
      </c>
      <c r="G13495" s="37" t="str">
        <f t="shared" si="1051"/>
        <v>Heavy Discount</v>
      </c>
      <c r="H13495" s="37" t="str">
        <f t="shared" si="1052"/>
        <v>High</v>
      </c>
      <c r="I13495">
        <v>7</v>
      </c>
      <c r="J13495" t="str" cm="1">
        <f t="array" ref="J13495">_xlfn.IFS(I13495&lt;=3,"small",I13495&lt;=6,"Medium",I13495&lt;=9,"Large")</f>
        <v>Large</v>
      </c>
      <c r="K13495" s="36">
        <v>45524</v>
      </c>
      <c r="L13495" s="36">
        <v>45529</v>
      </c>
      <c r="M13495" t="s">
        <v>612</v>
      </c>
      <c r="N13495" t="s">
        <v>608</v>
      </c>
      <c r="O13495" s="37" t="str">
        <f t="shared" si="1053"/>
        <v>Cash Payment</v>
      </c>
      <c r="P13495">
        <v>138.99</v>
      </c>
      <c r="Q13495" s="37" t="str">
        <f>IF(P13495&gt;500,"High","low")</f>
        <v>low</v>
      </c>
      <c r="R13495" s="37" t="str">
        <f t="shared" si="1054"/>
        <v>AVERAGE</v>
      </c>
      <c r="S13495" t="s">
        <v>615</v>
      </c>
    </row>
    <row r="13496" spans="1:19" x14ac:dyDescent="0.2">
      <c r="A13496" t="s">
        <v>14107</v>
      </c>
      <c r="B13496" t="s">
        <v>67</v>
      </c>
      <c r="C13496" t="s">
        <v>602</v>
      </c>
      <c r="D13496">
        <v>1353.42</v>
      </c>
      <c r="E13496" s="37" t="str">
        <f t="shared" si="1050"/>
        <v xml:space="preserve"> </v>
      </c>
      <c r="F13496">
        <v>0.12</v>
      </c>
      <c r="G13496" s="37" t="str">
        <f t="shared" si="1051"/>
        <v>Normal Discount</v>
      </c>
      <c r="H13496" s="37" t="str">
        <f t="shared" si="1052"/>
        <v>Low</v>
      </c>
      <c r="I13496">
        <v>4</v>
      </c>
      <c r="J13496" t="str" cm="1">
        <f t="array" ref="J13496">_xlfn.IFS(I13496&lt;=3,"small",I13496&lt;=6,"Medium",I13496&lt;=9,"Large")</f>
        <v>Medium</v>
      </c>
      <c r="K13496" s="36">
        <v>45648</v>
      </c>
      <c r="L13496" s="36">
        <v>45652</v>
      </c>
      <c r="M13496" t="s">
        <v>612</v>
      </c>
      <c r="N13496" t="s">
        <v>608</v>
      </c>
      <c r="O13496" s="37" t="str">
        <f t="shared" si="1053"/>
        <v>Cash Payment</v>
      </c>
      <c r="P13496">
        <v>320.26</v>
      </c>
      <c r="Q13496" s="37" t="str">
        <f>IF(P13496&gt;500,"High","low")</f>
        <v>low</v>
      </c>
      <c r="R13496" s="37" t="str">
        <f t="shared" si="1054"/>
        <v>AVERAGE</v>
      </c>
      <c r="S13496" t="s">
        <v>600</v>
      </c>
    </row>
    <row r="13497" spans="1:19" x14ac:dyDescent="0.2">
      <c r="A13497" t="s">
        <v>14108</v>
      </c>
      <c r="B13497" t="s">
        <v>90</v>
      </c>
      <c r="C13497" t="s">
        <v>614</v>
      </c>
      <c r="D13497">
        <v>743.1</v>
      </c>
      <c r="E13497" s="37" t="str">
        <f t="shared" si="1050"/>
        <v xml:space="preserve"> </v>
      </c>
      <c r="F13497">
        <v>0.14000000000000001</v>
      </c>
      <c r="G13497" s="37" t="str">
        <f t="shared" si="1051"/>
        <v>Normal Discount</v>
      </c>
      <c r="H13497" s="37" t="str">
        <f t="shared" si="1052"/>
        <v>Low</v>
      </c>
      <c r="I13497">
        <v>8</v>
      </c>
      <c r="J13497" t="str" cm="1">
        <f t="array" ref="J13497">_xlfn.IFS(I13497&lt;=3,"small",I13497&lt;=6,"Medium",I13497&lt;=9,"Large")</f>
        <v>Large</v>
      </c>
      <c r="K13497" s="36">
        <v>45271</v>
      </c>
      <c r="L13497" s="36">
        <v>45276</v>
      </c>
      <c r="M13497" t="s">
        <v>603</v>
      </c>
      <c r="N13497" t="s">
        <v>604</v>
      </c>
      <c r="O13497" s="37" t="str">
        <f t="shared" si="1053"/>
        <v>Digital Payment</v>
      </c>
      <c r="P13497">
        <v>135.07</v>
      </c>
      <c r="Q13497" s="37" t="str">
        <f>IF(P13497&gt;500,"High","low")</f>
        <v>low</v>
      </c>
      <c r="R13497" s="37" t="str">
        <f t="shared" si="1054"/>
        <v>AVERAGE</v>
      </c>
      <c r="S13497" t="s">
        <v>605</v>
      </c>
    </row>
    <row r="13498" spans="1:19" x14ac:dyDescent="0.2">
      <c r="A13498" t="s">
        <v>14109</v>
      </c>
      <c r="B13498" t="s">
        <v>90</v>
      </c>
      <c r="C13498" t="s">
        <v>597</v>
      </c>
      <c r="D13498">
        <v>3572.13</v>
      </c>
      <c r="E13498" s="37" t="str">
        <f t="shared" si="1050"/>
        <v xml:space="preserve"> </v>
      </c>
      <c r="F13498">
        <v>0.19</v>
      </c>
      <c r="G13498" s="37" t="str">
        <f t="shared" si="1051"/>
        <v>Normal Discount</v>
      </c>
      <c r="H13498" s="37" t="str">
        <f t="shared" si="1052"/>
        <v>Low</v>
      </c>
      <c r="I13498">
        <v>4</v>
      </c>
      <c r="J13498" t="str" cm="1">
        <f t="array" ref="J13498">_xlfn.IFS(I13498&lt;=3,"small",I13498&lt;=6,"Medium",I13498&lt;=9,"Large")</f>
        <v>Medium</v>
      </c>
      <c r="K13498" s="36">
        <v>45267</v>
      </c>
      <c r="L13498" s="36">
        <v>45271</v>
      </c>
      <c r="M13498" t="s">
        <v>603</v>
      </c>
      <c r="N13498" t="s">
        <v>608</v>
      </c>
      <c r="O13498" s="37" t="str">
        <f t="shared" si="1053"/>
        <v>Cash Payment</v>
      </c>
      <c r="P13498">
        <v>754.82</v>
      </c>
      <c r="Q13498" s="37" t="str">
        <f>IF(P13498&gt;500,"High","low")</f>
        <v>High</v>
      </c>
      <c r="R13498" s="37" t="str">
        <f t="shared" si="1054"/>
        <v>Good</v>
      </c>
      <c r="S13498" t="s">
        <v>628</v>
      </c>
    </row>
    <row r="13499" spans="1:19" x14ac:dyDescent="0.2">
      <c r="A13499" t="s">
        <v>14110</v>
      </c>
      <c r="B13499" t="s">
        <v>90</v>
      </c>
      <c r="C13499" t="s">
        <v>617</v>
      </c>
      <c r="D13499">
        <v>291.54000000000002</v>
      </c>
      <c r="E13499" s="37" t="str">
        <f t="shared" si="1050"/>
        <v xml:space="preserve"> </v>
      </c>
      <c r="F13499">
        <v>0.32</v>
      </c>
      <c r="G13499" s="37" t="str">
        <f t="shared" si="1051"/>
        <v>Heavy Discount</v>
      </c>
      <c r="H13499" s="37" t="str">
        <f t="shared" si="1052"/>
        <v>Medium</v>
      </c>
      <c r="I13499">
        <v>8</v>
      </c>
      <c r="J13499" t="str" cm="1">
        <f t="array" ref="J13499">_xlfn.IFS(I13499&lt;=3,"small",I13499&lt;=6,"Medium",I13499&lt;=9,"Large")</f>
        <v>Large</v>
      </c>
      <c r="K13499" s="36">
        <v>45398</v>
      </c>
      <c r="L13499" s="36">
        <v>45405</v>
      </c>
      <c r="M13499" t="s">
        <v>603</v>
      </c>
      <c r="N13499" t="s">
        <v>599</v>
      </c>
      <c r="O13499" s="37" t="str">
        <f t="shared" si="1053"/>
        <v>Digital Payment</v>
      </c>
      <c r="P13499">
        <v>17.47</v>
      </c>
      <c r="Q13499" s="37" t="str">
        <f>IF(P13499&gt;500,"High","low")</f>
        <v>low</v>
      </c>
      <c r="R13499" s="37" t="str">
        <f t="shared" si="1054"/>
        <v>AVERAGE</v>
      </c>
      <c r="S13499" t="s">
        <v>615</v>
      </c>
    </row>
    <row r="13500" spans="1:19" x14ac:dyDescent="0.2">
      <c r="A13500" t="s">
        <v>14111</v>
      </c>
      <c r="B13500" t="s">
        <v>75</v>
      </c>
      <c r="C13500" t="s">
        <v>607</v>
      </c>
      <c r="D13500">
        <v>4533.84</v>
      </c>
      <c r="E13500" s="37" t="str">
        <f t="shared" si="1050"/>
        <v xml:space="preserve"> </v>
      </c>
      <c r="F13500">
        <v>0.26</v>
      </c>
      <c r="G13500" s="37" t="str">
        <f t="shared" si="1051"/>
        <v>Normal Discount</v>
      </c>
      <c r="H13500" s="37" t="str">
        <f t="shared" si="1052"/>
        <v>Medium</v>
      </c>
      <c r="I13500">
        <v>8</v>
      </c>
      <c r="J13500" t="str" cm="1">
        <f t="array" ref="J13500">_xlfn.IFS(I13500&lt;=3,"small",I13500&lt;=6,"Medium",I13500&lt;=9,"Large")</f>
        <v>Large</v>
      </c>
      <c r="K13500" s="36">
        <v>45552</v>
      </c>
      <c r="L13500" s="36">
        <v>45554</v>
      </c>
      <c r="M13500" t="s">
        <v>598</v>
      </c>
      <c r="N13500" t="s">
        <v>604</v>
      </c>
      <c r="O13500" s="37" t="str">
        <f t="shared" si="1053"/>
        <v>Digital Payment</v>
      </c>
      <c r="P13500">
        <v>722.52</v>
      </c>
      <c r="Q13500" s="37" t="str">
        <f>IF(P13500&gt;500,"High","low")</f>
        <v>High</v>
      </c>
      <c r="R13500" s="37" t="str">
        <f t="shared" si="1054"/>
        <v>Good</v>
      </c>
      <c r="S13500" t="s">
        <v>620</v>
      </c>
    </row>
    <row r="13501" spans="1:19" x14ac:dyDescent="0.2">
      <c r="A13501" t="s">
        <v>14112</v>
      </c>
      <c r="B13501" t="s">
        <v>75</v>
      </c>
      <c r="C13501" t="s">
        <v>607</v>
      </c>
      <c r="D13501">
        <v>2637.09</v>
      </c>
      <c r="E13501" s="37" t="str">
        <f t="shared" si="1050"/>
        <v xml:space="preserve"> </v>
      </c>
      <c r="F13501">
        <v>0.46</v>
      </c>
      <c r="G13501" s="37" t="str">
        <f t="shared" si="1051"/>
        <v>Heavy Discount</v>
      </c>
      <c r="H13501" s="37" t="str">
        <f t="shared" si="1052"/>
        <v>High</v>
      </c>
      <c r="I13501">
        <v>4</v>
      </c>
      <c r="J13501" t="str" cm="1">
        <f t="array" ref="J13501">_xlfn.IFS(I13501&lt;=3,"small",I13501&lt;=6,"Medium",I13501&lt;=9,"Large")</f>
        <v>Medium</v>
      </c>
      <c r="K13501" s="36">
        <v>45494</v>
      </c>
      <c r="L13501" s="36">
        <v>45500</v>
      </c>
      <c r="M13501" t="s">
        <v>612</v>
      </c>
      <c r="N13501" t="s">
        <v>599</v>
      </c>
      <c r="O13501" s="37" t="str">
        <f t="shared" si="1053"/>
        <v>Digital Payment</v>
      </c>
      <c r="P13501">
        <v>443.88</v>
      </c>
      <c r="Q13501" s="37" t="str">
        <f>IF(P13501&gt;500,"High","low")</f>
        <v>low</v>
      </c>
      <c r="R13501" s="37" t="str">
        <f t="shared" si="1054"/>
        <v>AVERAGE</v>
      </c>
      <c r="S13501" t="s">
        <v>600</v>
      </c>
    </row>
    <row r="13502" spans="1:19" x14ac:dyDescent="0.2">
      <c r="A13502" t="s">
        <v>14113</v>
      </c>
      <c r="B13502" t="s">
        <v>75</v>
      </c>
      <c r="C13502" t="s">
        <v>597</v>
      </c>
      <c r="D13502">
        <v>3276.33</v>
      </c>
      <c r="E13502" s="37" t="str">
        <f t="shared" si="1050"/>
        <v xml:space="preserve"> </v>
      </c>
      <c r="F13502">
        <v>0.28000000000000003</v>
      </c>
      <c r="G13502" s="37" t="str">
        <f t="shared" si="1051"/>
        <v>Normal Discount</v>
      </c>
      <c r="H13502" s="37" t="str">
        <f t="shared" si="1052"/>
        <v>Medium</v>
      </c>
      <c r="I13502">
        <v>5</v>
      </c>
      <c r="J13502" t="str" cm="1">
        <f t="array" ref="J13502">_xlfn.IFS(I13502&lt;=3,"small",I13502&lt;=6,"Medium",I13502&lt;=9,"Large")</f>
        <v>Medium</v>
      </c>
      <c r="K13502" s="36">
        <v>45107</v>
      </c>
      <c r="L13502" s="36">
        <v>45114</v>
      </c>
      <c r="M13502" t="s">
        <v>603</v>
      </c>
      <c r="N13502" t="s">
        <v>604</v>
      </c>
      <c r="O13502" s="37" t="str">
        <f t="shared" si="1053"/>
        <v>Digital Payment</v>
      </c>
      <c r="P13502">
        <v>268.76</v>
      </c>
      <c r="Q13502" s="37" t="str">
        <f>IF(P13502&gt;500,"High","low")</f>
        <v>low</v>
      </c>
      <c r="R13502" s="37" t="str">
        <f t="shared" si="1054"/>
        <v>AVERAGE</v>
      </c>
      <c r="S13502" t="s">
        <v>605</v>
      </c>
    </row>
    <row r="13503" spans="1:19" x14ac:dyDescent="0.2">
      <c r="A13503" t="s">
        <v>14114</v>
      </c>
      <c r="B13503" t="s">
        <v>83</v>
      </c>
      <c r="C13503" t="s">
        <v>597</v>
      </c>
      <c r="D13503">
        <v>1341.83</v>
      </c>
      <c r="E13503" s="37" t="str">
        <f t="shared" si="1050"/>
        <v xml:space="preserve"> </v>
      </c>
      <c r="F13503">
        <v>0.43</v>
      </c>
      <c r="G13503" s="37" t="str">
        <f t="shared" si="1051"/>
        <v>Heavy Discount</v>
      </c>
      <c r="H13503" s="37" t="str">
        <f t="shared" si="1052"/>
        <v>High</v>
      </c>
      <c r="I13503">
        <v>5</v>
      </c>
      <c r="J13503" t="str" cm="1">
        <f t="array" ref="J13503">_xlfn.IFS(I13503&lt;=3,"small",I13503&lt;=6,"Medium",I13503&lt;=9,"Large")</f>
        <v>Medium</v>
      </c>
      <c r="K13503" s="36">
        <v>45441</v>
      </c>
      <c r="L13503" s="36">
        <v>45444</v>
      </c>
      <c r="M13503" t="s">
        <v>598</v>
      </c>
      <c r="N13503" t="s">
        <v>608</v>
      </c>
      <c r="O13503" s="37" t="str">
        <f t="shared" si="1053"/>
        <v>Cash Payment</v>
      </c>
      <c r="P13503">
        <v>378.89</v>
      </c>
      <c r="Q13503" s="37" t="str">
        <f>IF(P13503&gt;500,"High","low")</f>
        <v>low</v>
      </c>
      <c r="R13503" s="37" t="str">
        <f t="shared" si="1054"/>
        <v>AVERAGE</v>
      </c>
      <c r="S13503" t="s">
        <v>605</v>
      </c>
    </row>
    <row r="13504" spans="1:19" x14ac:dyDescent="0.2">
      <c r="A13504" t="s">
        <v>14115</v>
      </c>
      <c r="B13504" t="s">
        <v>83</v>
      </c>
      <c r="C13504" t="s">
        <v>602</v>
      </c>
      <c r="D13504">
        <v>992.75</v>
      </c>
      <c r="E13504" s="37" t="str">
        <f t="shared" si="1050"/>
        <v xml:space="preserve"> </v>
      </c>
      <c r="F13504">
        <v>0.04</v>
      </c>
      <c r="G13504" s="37" t="str">
        <f t="shared" si="1051"/>
        <v>Normal Discount</v>
      </c>
      <c r="H13504" s="37" t="str">
        <f t="shared" si="1052"/>
        <v>Low</v>
      </c>
      <c r="I13504">
        <v>5</v>
      </c>
      <c r="J13504" t="str" cm="1">
        <f t="array" ref="J13504">_xlfn.IFS(I13504&lt;=3,"small",I13504&lt;=6,"Medium",I13504&lt;=9,"Large")</f>
        <v>Medium</v>
      </c>
      <c r="K13504" s="36">
        <v>45451</v>
      </c>
      <c r="L13504" s="36">
        <v>45456</v>
      </c>
      <c r="M13504" t="s">
        <v>598</v>
      </c>
      <c r="N13504" t="s">
        <v>608</v>
      </c>
      <c r="O13504" s="37" t="str">
        <f t="shared" si="1053"/>
        <v>Cash Payment</v>
      </c>
      <c r="P13504">
        <v>52.57</v>
      </c>
      <c r="Q13504" s="37" t="str">
        <f>IF(P13504&gt;500,"High","low")</f>
        <v>low</v>
      </c>
      <c r="R13504" s="37" t="str">
        <f t="shared" si="1054"/>
        <v>AVERAGE</v>
      </c>
      <c r="S13504" t="s">
        <v>609</v>
      </c>
    </row>
    <row r="13505" spans="1:19" x14ac:dyDescent="0.2">
      <c r="A13505" t="s">
        <v>14116</v>
      </c>
      <c r="B13505" t="s">
        <v>67</v>
      </c>
      <c r="C13505" t="s">
        <v>614</v>
      </c>
      <c r="D13505">
        <v>1294.3900000000001</v>
      </c>
      <c r="E13505" s="37" t="str">
        <f t="shared" si="1050"/>
        <v xml:space="preserve"> </v>
      </c>
      <c r="F13505">
        <v>0.43</v>
      </c>
      <c r="G13505" s="37" t="str">
        <f t="shared" si="1051"/>
        <v>Heavy Discount</v>
      </c>
      <c r="H13505" s="37" t="str">
        <f t="shared" si="1052"/>
        <v>High</v>
      </c>
      <c r="I13505">
        <v>3</v>
      </c>
      <c r="J13505" t="str" cm="1">
        <f t="array" ref="J13505">_xlfn.IFS(I13505&lt;=3,"small",I13505&lt;=6,"Medium",I13505&lt;=9,"Large")</f>
        <v>small</v>
      </c>
      <c r="K13505" s="36">
        <v>45348</v>
      </c>
      <c r="L13505" s="36">
        <v>45355</v>
      </c>
      <c r="M13505" t="s">
        <v>603</v>
      </c>
      <c r="N13505" t="s">
        <v>608</v>
      </c>
      <c r="O13505" s="37" t="str">
        <f t="shared" si="1053"/>
        <v>Cash Payment</v>
      </c>
      <c r="P13505">
        <v>95.04</v>
      </c>
      <c r="Q13505" s="37" t="str">
        <f>IF(P13505&gt;500,"High","low")</f>
        <v>low</v>
      </c>
      <c r="R13505" s="37" t="str">
        <f t="shared" si="1054"/>
        <v>AVERAGE</v>
      </c>
      <c r="S13505" t="s">
        <v>609</v>
      </c>
    </row>
    <row r="13506" spans="1:19" x14ac:dyDescent="0.2">
      <c r="A13506" t="s">
        <v>14117</v>
      </c>
      <c r="B13506" t="s">
        <v>75</v>
      </c>
      <c r="C13506" t="s">
        <v>602</v>
      </c>
      <c r="D13506">
        <v>1238.24</v>
      </c>
      <c r="E13506" s="37" t="str">
        <f t="shared" si="1050"/>
        <v xml:space="preserve"> </v>
      </c>
      <c r="F13506">
        <v>0.1</v>
      </c>
      <c r="G13506" s="37" t="str">
        <f t="shared" si="1051"/>
        <v>Normal Discount</v>
      </c>
      <c r="H13506" s="37" t="str">
        <f t="shared" si="1052"/>
        <v>Low</v>
      </c>
      <c r="I13506">
        <v>2</v>
      </c>
      <c r="J13506" t="str" cm="1">
        <f t="array" ref="J13506">_xlfn.IFS(I13506&lt;=3,"small",I13506&lt;=6,"Medium",I13506&lt;=9,"Large")</f>
        <v>small</v>
      </c>
      <c r="K13506" s="36">
        <v>45302</v>
      </c>
      <c r="L13506" s="36">
        <v>45304</v>
      </c>
      <c r="M13506" t="s">
        <v>612</v>
      </c>
      <c r="N13506" t="s">
        <v>604</v>
      </c>
      <c r="O13506" s="37" t="str">
        <f t="shared" si="1053"/>
        <v>Digital Payment</v>
      </c>
      <c r="P13506">
        <v>238</v>
      </c>
      <c r="Q13506" s="37" t="str">
        <f>IF(P13506&gt;500,"High","low")</f>
        <v>low</v>
      </c>
      <c r="R13506" s="37" t="str">
        <f t="shared" si="1054"/>
        <v>AVERAGE</v>
      </c>
      <c r="S13506" t="s">
        <v>605</v>
      </c>
    </row>
    <row r="13507" spans="1:19" x14ac:dyDescent="0.2">
      <c r="A13507" t="s">
        <v>14118</v>
      </c>
      <c r="B13507" t="s">
        <v>90</v>
      </c>
      <c r="C13507" t="s">
        <v>607</v>
      </c>
      <c r="D13507">
        <v>4336.0600000000004</v>
      </c>
      <c r="E13507" s="37" t="str">
        <f t="shared" ref="E13507:E13570" si="1055">IF(AND(D13507&gt;4000,P13507&gt;800),"Excellent Order"," ")</f>
        <v xml:space="preserve"> </v>
      </c>
      <c r="F13507">
        <v>0.18</v>
      </c>
      <c r="G13507" s="37" t="str">
        <f t="shared" ref="G13507:G13570" si="1056">IF(F13507&gt;30%,"Heavy Discount","Normal Discount")</f>
        <v>Normal Discount</v>
      </c>
      <c r="H13507" s="37" t="str">
        <f t="shared" ref="H13507:H13570" si="1057">IF(F13507&gt;0.4,"High",IF(F13507&gt;=0.2,"Medium","Low"))</f>
        <v>Low</v>
      </c>
      <c r="I13507">
        <v>1</v>
      </c>
      <c r="J13507" t="str" cm="1">
        <f t="array" ref="J13507">_xlfn.IFS(I13507&lt;=3,"small",I13507&lt;=6,"Medium",I13507&lt;=9,"Large")</f>
        <v>small</v>
      </c>
      <c r="K13507" s="36">
        <v>45333</v>
      </c>
      <c r="L13507" s="36">
        <v>45338</v>
      </c>
      <c r="M13507" t="s">
        <v>603</v>
      </c>
      <c r="N13507" t="s">
        <v>599</v>
      </c>
      <c r="O13507" s="37" t="str">
        <f t="shared" ref="O13507:O13570" si="1058">IF(OR(N13507="Card",N13507="UPI"),"Digital Payment","Cash Payment")</f>
        <v>Digital Payment</v>
      </c>
      <c r="P13507">
        <v>221.49</v>
      </c>
      <c r="Q13507" s="37" t="str">
        <f>IF(P13507&gt;500,"High","low")</f>
        <v>low</v>
      </c>
      <c r="R13507" s="37" t="str">
        <f t="shared" ref="R13507:R13570" si="1059">IF(P13507&gt;1000,"Excellent",IF(P13507&gt;=500,"Good","AVERAGE"))</f>
        <v>AVERAGE</v>
      </c>
      <c r="S13507" t="s">
        <v>605</v>
      </c>
    </row>
    <row r="13508" spans="1:19" x14ac:dyDescent="0.2">
      <c r="A13508" t="s">
        <v>14119</v>
      </c>
      <c r="B13508" t="s">
        <v>90</v>
      </c>
      <c r="C13508" t="s">
        <v>614</v>
      </c>
      <c r="D13508">
        <v>3957.96</v>
      </c>
      <c r="E13508" s="37" t="str">
        <f t="shared" si="1055"/>
        <v xml:space="preserve"> </v>
      </c>
      <c r="F13508">
        <v>0.16</v>
      </c>
      <c r="G13508" s="37" t="str">
        <f t="shared" si="1056"/>
        <v>Normal Discount</v>
      </c>
      <c r="H13508" s="37" t="str">
        <f t="shared" si="1057"/>
        <v>Low</v>
      </c>
      <c r="I13508">
        <v>3</v>
      </c>
      <c r="J13508" t="str" cm="1">
        <f t="array" ref="J13508">_xlfn.IFS(I13508&lt;=3,"small",I13508&lt;=6,"Medium",I13508&lt;=9,"Large")</f>
        <v>small</v>
      </c>
      <c r="K13508" s="36">
        <v>45383</v>
      </c>
      <c r="L13508" s="36">
        <v>45386</v>
      </c>
      <c r="M13508" t="s">
        <v>603</v>
      </c>
      <c r="N13508" t="s">
        <v>599</v>
      </c>
      <c r="O13508" s="37" t="str">
        <f t="shared" si="1058"/>
        <v>Digital Payment</v>
      </c>
      <c r="P13508">
        <v>1181.1199999999999</v>
      </c>
      <c r="Q13508" s="37" t="str">
        <f>IF(P13508&gt;500,"High","low")</f>
        <v>High</v>
      </c>
      <c r="R13508" s="37" t="str">
        <f t="shared" si="1059"/>
        <v>Excellent</v>
      </c>
      <c r="S13508" t="s">
        <v>609</v>
      </c>
    </row>
    <row r="13509" spans="1:19" x14ac:dyDescent="0.2">
      <c r="A13509" t="s">
        <v>14120</v>
      </c>
      <c r="B13509" t="s">
        <v>67</v>
      </c>
      <c r="C13509" t="s">
        <v>602</v>
      </c>
      <c r="D13509">
        <v>4278.41</v>
      </c>
      <c r="E13509" s="37" t="str">
        <f t="shared" si="1055"/>
        <v xml:space="preserve"> </v>
      </c>
      <c r="F13509">
        <v>0.17</v>
      </c>
      <c r="G13509" s="37" t="str">
        <f t="shared" si="1056"/>
        <v>Normal Discount</v>
      </c>
      <c r="H13509" s="37" t="str">
        <f t="shared" si="1057"/>
        <v>Low</v>
      </c>
      <c r="I13509">
        <v>9</v>
      </c>
      <c r="J13509" t="str" cm="1">
        <f t="array" ref="J13509">_xlfn.IFS(I13509&lt;=3,"small",I13509&lt;=6,"Medium",I13509&lt;=9,"Large")</f>
        <v>Large</v>
      </c>
      <c r="K13509" s="36">
        <v>45423</v>
      </c>
      <c r="L13509" s="36">
        <v>45424</v>
      </c>
      <c r="M13509" t="s">
        <v>612</v>
      </c>
      <c r="N13509" t="s">
        <v>608</v>
      </c>
      <c r="O13509" s="37" t="str">
        <f t="shared" si="1058"/>
        <v>Cash Payment</v>
      </c>
      <c r="P13509">
        <v>245.8</v>
      </c>
      <c r="Q13509" s="37" t="str">
        <f>IF(P13509&gt;500,"High","low")</f>
        <v>low</v>
      </c>
      <c r="R13509" s="37" t="str">
        <f t="shared" si="1059"/>
        <v>AVERAGE</v>
      </c>
      <c r="S13509" t="s">
        <v>609</v>
      </c>
    </row>
    <row r="13510" spans="1:19" x14ac:dyDescent="0.2">
      <c r="A13510" t="s">
        <v>14121</v>
      </c>
      <c r="B13510" t="s">
        <v>90</v>
      </c>
      <c r="C13510" t="s">
        <v>607</v>
      </c>
      <c r="D13510">
        <v>3700.87</v>
      </c>
      <c r="E13510" s="37" t="str">
        <f t="shared" si="1055"/>
        <v xml:space="preserve"> </v>
      </c>
      <c r="F13510">
        <v>0.46</v>
      </c>
      <c r="G13510" s="37" t="str">
        <f t="shared" si="1056"/>
        <v>Heavy Discount</v>
      </c>
      <c r="H13510" s="37" t="str">
        <f t="shared" si="1057"/>
        <v>High</v>
      </c>
      <c r="I13510">
        <v>7</v>
      </c>
      <c r="J13510" t="str" cm="1">
        <f t="array" ref="J13510">_xlfn.IFS(I13510&lt;=3,"small",I13510&lt;=6,"Medium",I13510&lt;=9,"Large")</f>
        <v>Large</v>
      </c>
      <c r="K13510" s="36">
        <v>44982</v>
      </c>
      <c r="L13510" s="36">
        <v>44985</v>
      </c>
      <c r="M13510" t="s">
        <v>598</v>
      </c>
      <c r="N13510" t="s">
        <v>599</v>
      </c>
      <c r="O13510" s="37" t="str">
        <f t="shared" si="1058"/>
        <v>Digital Payment</v>
      </c>
      <c r="P13510">
        <v>768.63</v>
      </c>
      <c r="Q13510" s="37" t="str">
        <f>IF(P13510&gt;500,"High","low")</f>
        <v>High</v>
      </c>
      <c r="R13510" s="37" t="str">
        <f t="shared" si="1059"/>
        <v>Good</v>
      </c>
      <c r="S13510" t="s">
        <v>600</v>
      </c>
    </row>
    <row r="13511" spans="1:19" x14ac:dyDescent="0.2">
      <c r="A13511" t="s">
        <v>14122</v>
      </c>
      <c r="B13511" t="s">
        <v>67</v>
      </c>
      <c r="C13511" t="s">
        <v>614</v>
      </c>
      <c r="D13511">
        <v>3253.4</v>
      </c>
      <c r="E13511" s="37" t="str">
        <f t="shared" si="1055"/>
        <v xml:space="preserve"> </v>
      </c>
      <c r="F13511">
        <v>0.22</v>
      </c>
      <c r="G13511" s="37" t="str">
        <f t="shared" si="1056"/>
        <v>Normal Discount</v>
      </c>
      <c r="H13511" s="37" t="str">
        <f t="shared" si="1057"/>
        <v>Medium</v>
      </c>
      <c r="I13511">
        <v>2</v>
      </c>
      <c r="J13511" t="str" cm="1">
        <f t="array" ref="J13511">_xlfn.IFS(I13511&lt;=3,"small",I13511&lt;=6,"Medium",I13511&lt;=9,"Large")</f>
        <v>small</v>
      </c>
      <c r="K13511" s="36">
        <v>45191</v>
      </c>
      <c r="L13511" s="36">
        <v>45193</v>
      </c>
      <c r="M13511" t="s">
        <v>598</v>
      </c>
      <c r="N13511" t="s">
        <v>599</v>
      </c>
      <c r="O13511" s="37" t="str">
        <f t="shared" si="1058"/>
        <v>Digital Payment</v>
      </c>
      <c r="P13511">
        <v>456.72</v>
      </c>
      <c r="Q13511" s="37" t="str">
        <f>IF(P13511&gt;500,"High","low")</f>
        <v>low</v>
      </c>
      <c r="R13511" s="37" t="str">
        <f t="shared" si="1059"/>
        <v>AVERAGE</v>
      </c>
      <c r="S13511" t="s">
        <v>620</v>
      </c>
    </row>
    <row r="13512" spans="1:19" x14ac:dyDescent="0.2">
      <c r="A13512" t="s">
        <v>14123</v>
      </c>
      <c r="B13512" t="s">
        <v>75</v>
      </c>
      <c r="C13512" t="s">
        <v>617</v>
      </c>
      <c r="D13512">
        <v>2686.59</v>
      </c>
      <c r="E13512" s="37" t="str">
        <f t="shared" si="1055"/>
        <v xml:space="preserve"> </v>
      </c>
      <c r="F13512">
        <v>0.13</v>
      </c>
      <c r="G13512" s="37" t="str">
        <f t="shared" si="1056"/>
        <v>Normal Discount</v>
      </c>
      <c r="H13512" s="37" t="str">
        <f t="shared" si="1057"/>
        <v>Low</v>
      </c>
      <c r="I13512">
        <v>8</v>
      </c>
      <c r="J13512" t="str" cm="1">
        <f t="array" ref="J13512">_xlfn.IFS(I13512&lt;=3,"small",I13512&lt;=6,"Medium",I13512&lt;=9,"Large")</f>
        <v>Large</v>
      </c>
      <c r="K13512" s="36">
        <v>45049</v>
      </c>
      <c r="L13512" s="36">
        <v>45052</v>
      </c>
      <c r="M13512" t="s">
        <v>612</v>
      </c>
      <c r="N13512" t="s">
        <v>599</v>
      </c>
      <c r="O13512" s="37" t="str">
        <f t="shared" si="1058"/>
        <v>Digital Payment</v>
      </c>
      <c r="P13512">
        <v>209.92</v>
      </c>
      <c r="Q13512" s="37" t="str">
        <f>IF(P13512&gt;500,"High","low")</f>
        <v>low</v>
      </c>
      <c r="R13512" s="37" t="str">
        <f t="shared" si="1059"/>
        <v>AVERAGE</v>
      </c>
      <c r="S13512" t="s">
        <v>628</v>
      </c>
    </row>
    <row r="13513" spans="1:19" x14ac:dyDescent="0.2">
      <c r="A13513" t="s">
        <v>14124</v>
      </c>
      <c r="B13513" t="s">
        <v>90</v>
      </c>
      <c r="C13513" t="s">
        <v>617</v>
      </c>
      <c r="D13513">
        <v>1400.86</v>
      </c>
      <c r="E13513" s="37" t="str">
        <f t="shared" si="1055"/>
        <v xml:space="preserve"> </v>
      </c>
      <c r="F13513">
        <v>0.15</v>
      </c>
      <c r="G13513" s="37" t="str">
        <f t="shared" si="1056"/>
        <v>Normal Discount</v>
      </c>
      <c r="H13513" s="37" t="str">
        <f t="shared" si="1057"/>
        <v>Low</v>
      </c>
      <c r="I13513">
        <v>8</v>
      </c>
      <c r="J13513" t="str" cm="1">
        <f t="array" ref="J13513">_xlfn.IFS(I13513&lt;=3,"small",I13513&lt;=6,"Medium",I13513&lt;=9,"Large")</f>
        <v>Large</v>
      </c>
      <c r="K13513" s="36">
        <v>45304</v>
      </c>
      <c r="L13513" s="36">
        <v>45306</v>
      </c>
      <c r="M13513" t="s">
        <v>612</v>
      </c>
      <c r="N13513" t="s">
        <v>608</v>
      </c>
      <c r="O13513" s="37" t="str">
        <f t="shared" si="1058"/>
        <v>Cash Payment</v>
      </c>
      <c r="P13513">
        <v>372.34</v>
      </c>
      <c r="Q13513" s="37" t="str">
        <f>IF(P13513&gt;500,"High","low")</f>
        <v>low</v>
      </c>
      <c r="R13513" s="37" t="str">
        <f t="shared" si="1059"/>
        <v>AVERAGE</v>
      </c>
      <c r="S13513" t="s">
        <v>605</v>
      </c>
    </row>
    <row r="13514" spans="1:19" x14ac:dyDescent="0.2">
      <c r="A13514" t="s">
        <v>14125</v>
      </c>
      <c r="B13514" t="s">
        <v>75</v>
      </c>
      <c r="C13514" t="s">
        <v>602</v>
      </c>
      <c r="D13514">
        <v>3556.28</v>
      </c>
      <c r="E13514" s="37" t="str">
        <f t="shared" si="1055"/>
        <v xml:space="preserve"> </v>
      </c>
      <c r="F13514">
        <v>0.4</v>
      </c>
      <c r="G13514" s="37" t="str">
        <f t="shared" si="1056"/>
        <v>Heavy Discount</v>
      </c>
      <c r="H13514" s="37" t="str">
        <f t="shared" si="1057"/>
        <v>Medium</v>
      </c>
      <c r="I13514">
        <v>7</v>
      </c>
      <c r="J13514" t="str" cm="1">
        <f t="array" ref="J13514">_xlfn.IFS(I13514&lt;=3,"small",I13514&lt;=6,"Medium",I13514&lt;=9,"Large")</f>
        <v>Large</v>
      </c>
      <c r="K13514" s="36">
        <v>45265</v>
      </c>
      <c r="L13514" s="36">
        <v>45268</v>
      </c>
      <c r="M13514" t="s">
        <v>612</v>
      </c>
      <c r="N13514" t="s">
        <v>604</v>
      </c>
      <c r="O13514" s="37" t="str">
        <f t="shared" si="1058"/>
        <v>Digital Payment</v>
      </c>
      <c r="P13514">
        <v>663.21</v>
      </c>
      <c r="Q13514" s="37" t="str">
        <f>IF(P13514&gt;500,"High","low")</f>
        <v>High</v>
      </c>
      <c r="R13514" s="37" t="str">
        <f t="shared" si="1059"/>
        <v>Good</v>
      </c>
      <c r="S13514" t="s">
        <v>620</v>
      </c>
    </row>
    <row r="13515" spans="1:19" x14ac:dyDescent="0.2">
      <c r="A13515" t="s">
        <v>14126</v>
      </c>
      <c r="B13515" t="s">
        <v>83</v>
      </c>
      <c r="C13515" t="s">
        <v>597</v>
      </c>
      <c r="D13515">
        <v>769.26</v>
      </c>
      <c r="E13515" s="37" t="str">
        <f t="shared" si="1055"/>
        <v xml:space="preserve"> </v>
      </c>
      <c r="F13515">
        <v>0.27</v>
      </c>
      <c r="G13515" s="37" t="str">
        <f t="shared" si="1056"/>
        <v>Normal Discount</v>
      </c>
      <c r="H13515" s="37" t="str">
        <f t="shared" si="1057"/>
        <v>Medium</v>
      </c>
      <c r="I13515">
        <v>6</v>
      </c>
      <c r="J13515" t="str" cm="1">
        <f t="array" ref="J13515">_xlfn.IFS(I13515&lt;=3,"small",I13515&lt;=6,"Medium",I13515&lt;=9,"Large")</f>
        <v>Medium</v>
      </c>
      <c r="K13515" s="36">
        <v>45153</v>
      </c>
      <c r="L13515" s="36">
        <v>45160</v>
      </c>
      <c r="M13515" t="s">
        <v>598</v>
      </c>
      <c r="N13515" t="s">
        <v>608</v>
      </c>
      <c r="O13515" s="37" t="str">
        <f t="shared" si="1058"/>
        <v>Cash Payment</v>
      </c>
      <c r="P13515">
        <v>167.55</v>
      </c>
      <c r="Q13515" s="37" t="str">
        <f>IF(P13515&gt;500,"High","low")</f>
        <v>low</v>
      </c>
      <c r="R13515" s="37" t="str">
        <f t="shared" si="1059"/>
        <v>AVERAGE</v>
      </c>
      <c r="S13515" t="s">
        <v>600</v>
      </c>
    </row>
    <row r="13516" spans="1:19" x14ac:dyDescent="0.2">
      <c r="A13516" t="s">
        <v>14127</v>
      </c>
      <c r="B13516" t="s">
        <v>90</v>
      </c>
      <c r="C13516" t="s">
        <v>614</v>
      </c>
      <c r="D13516">
        <v>2604.1999999999998</v>
      </c>
      <c r="E13516" s="37" t="str">
        <f t="shared" si="1055"/>
        <v xml:space="preserve"> </v>
      </c>
      <c r="F13516">
        <v>0.22</v>
      </c>
      <c r="G13516" s="37" t="str">
        <f t="shared" si="1056"/>
        <v>Normal Discount</v>
      </c>
      <c r="H13516" s="37" t="str">
        <f t="shared" si="1057"/>
        <v>Medium</v>
      </c>
      <c r="I13516">
        <v>2</v>
      </c>
      <c r="J13516" t="str" cm="1">
        <f t="array" ref="J13516">_xlfn.IFS(I13516&lt;=3,"small",I13516&lt;=6,"Medium",I13516&lt;=9,"Large")</f>
        <v>small</v>
      </c>
      <c r="K13516" s="36">
        <v>45402</v>
      </c>
      <c r="L13516" s="36">
        <v>45407</v>
      </c>
      <c r="M13516" t="s">
        <v>612</v>
      </c>
      <c r="N13516" t="s">
        <v>608</v>
      </c>
      <c r="O13516" s="37" t="str">
        <f t="shared" si="1058"/>
        <v>Cash Payment</v>
      </c>
      <c r="P13516">
        <v>642.14</v>
      </c>
      <c r="Q13516" s="37" t="str">
        <f>IF(P13516&gt;500,"High","low")</f>
        <v>High</v>
      </c>
      <c r="R13516" s="37" t="str">
        <f t="shared" si="1059"/>
        <v>Good</v>
      </c>
      <c r="S13516" t="s">
        <v>600</v>
      </c>
    </row>
    <row r="13517" spans="1:19" x14ac:dyDescent="0.2">
      <c r="A13517" t="s">
        <v>14128</v>
      </c>
      <c r="B13517" t="s">
        <v>83</v>
      </c>
      <c r="C13517" t="s">
        <v>602</v>
      </c>
      <c r="D13517">
        <v>1056.8499999999999</v>
      </c>
      <c r="E13517" s="37" t="str">
        <f t="shared" si="1055"/>
        <v xml:space="preserve"> </v>
      </c>
      <c r="F13517">
        <v>0.46</v>
      </c>
      <c r="G13517" s="37" t="str">
        <f t="shared" si="1056"/>
        <v>Heavy Discount</v>
      </c>
      <c r="H13517" s="37" t="str">
        <f t="shared" si="1057"/>
        <v>High</v>
      </c>
      <c r="I13517">
        <v>4</v>
      </c>
      <c r="J13517" t="str" cm="1">
        <f t="array" ref="J13517">_xlfn.IFS(I13517&lt;=3,"small",I13517&lt;=6,"Medium",I13517&lt;=9,"Large")</f>
        <v>Medium</v>
      </c>
      <c r="K13517" s="36">
        <v>45082</v>
      </c>
      <c r="L13517" s="36">
        <v>45088</v>
      </c>
      <c r="M13517" t="s">
        <v>603</v>
      </c>
      <c r="N13517" t="s">
        <v>599</v>
      </c>
      <c r="O13517" s="37" t="str">
        <f t="shared" si="1058"/>
        <v>Digital Payment</v>
      </c>
      <c r="P13517">
        <v>198.71</v>
      </c>
      <c r="Q13517" s="37" t="str">
        <f>IF(P13517&gt;500,"High","low")</f>
        <v>low</v>
      </c>
      <c r="R13517" s="37" t="str">
        <f t="shared" si="1059"/>
        <v>AVERAGE</v>
      </c>
      <c r="S13517" t="s">
        <v>609</v>
      </c>
    </row>
    <row r="13518" spans="1:19" x14ac:dyDescent="0.2">
      <c r="A13518" t="s">
        <v>14129</v>
      </c>
      <c r="B13518" t="s">
        <v>90</v>
      </c>
      <c r="C13518" t="s">
        <v>597</v>
      </c>
      <c r="D13518">
        <v>2573.3200000000002</v>
      </c>
      <c r="E13518" s="37" t="str">
        <f t="shared" si="1055"/>
        <v xml:space="preserve"> </v>
      </c>
      <c r="F13518">
        <v>0.47</v>
      </c>
      <c r="G13518" s="37" t="str">
        <f t="shared" si="1056"/>
        <v>Heavy Discount</v>
      </c>
      <c r="H13518" s="37" t="str">
        <f t="shared" si="1057"/>
        <v>High</v>
      </c>
      <c r="I13518">
        <v>1</v>
      </c>
      <c r="J13518" t="str" cm="1">
        <f t="array" ref="J13518">_xlfn.IFS(I13518&lt;=3,"small",I13518&lt;=6,"Medium",I13518&lt;=9,"Large")</f>
        <v>small</v>
      </c>
      <c r="K13518" s="36">
        <v>45005</v>
      </c>
      <c r="L13518" s="36">
        <v>45008</v>
      </c>
      <c r="M13518" t="s">
        <v>603</v>
      </c>
      <c r="N13518" t="s">
        <v>608</v>
      </c>
      <c r="O13518" s="37" t="str">
        <f t="shared" si="1058"/>
        <v>Cash Payment</v>
      </c>
      <c r="P13518">
        <v>290.94</v>
      </c>
      <c r="Q13518" s="37" t="str">
        <f>IF(P13518&gt;500,"High","low")</f>
        <v>low</v>
      </c>
      <c r="R13518" s="37" t="str">
        <f t="shared" si="1059"/>
        <v>AVERAGE</v>
      </c>
      <c r="S13518" t="s">
        <v>609</v>
      </c>
    </row>
    <row r="13519" spans="1:19" x14ac:dyDescent="0.2">
      <c r="A13519" t="s">
        <v>14130</v>
      </c>
      <c r="B13519" t="s">
        <v>75</v>
      </c>
      <c r="C13519" t="s">
        <v>597</v>
      </c>
      <c r="D13519">
        <v>1540.15</v>
      </c>
      <c r="E13519" s="37" t="str">
        <f t="shared" si="1055"/>
        <v xml:space="preserve"> </v>
      </c>
      <c r="F13519">
        <v>0.38</v>
      </c>
      <c r="G13519" s="37" t="str">
        <f t="shared" si="1056"/>
        <v>Heavy Discount</v>
      </c>
      <c r="H13519" s="37" t="str">
        <f t="shared" si="1057"/>
        <v>Medium</v>
      </c>
      <c r="I13519">
        <v>7</v>
      </c>
      <c r="J13519" t="str" cm="1">
        <f t="array" ref="J13519">_xlfn.IFS(I13519&lt;=3,"small",I13519&lt;=6,"Medium",I13519&lt;=9,"Large")</f>
        <v>Large</v>
      </c>
      <c r="K13519" s="36">
        <v>45201</v>
      </c>
      <c r="L13519" s="36">
        <v>45204</v>
      </c>
      <c r="M13519" t="s">
        <v>612</v>
      </c>
      <c r="N13519" t="s">
        <v>599</v>
      </c>
      <c r="O13519" s="37" t="str">
        <f t="shared" si="1058"/>
        <v>Digital Payment</v>
      </c>
      <c r="P13519">
        <v>197.2</v>
      </c>
      <c r="Q13519" s="37" t="str">
        <f>IF(P13519&gt;500,"High","low")</f>
        <v>low</v>
      </c>
      <c r="R13519" s="37" t="str">
        <f t="shared" si="1059"/>
        <v>AVERAGE</v>
      </c>
      <c r="S13519" t="s">
        <v>628</v>
      </c>
    </row>
    <row r="13520" spans="1:19" x14ac:dyDescent="0.2">
      <c r="A13520" t="s">
        <v>14131</v>
      </c>
      <c r="B13520" t="s">
        <v>67</v>
      </c>
      <c r="C13520" t="s">
        <v>614</v>
      </c>
      <c r="D13520">
        <v>362.05</v>
      </c>
      <c r="E13520" s="37" t="str">
        <f t="shared" si="1055"/>
        <v xml:space="preserve"> </v>
      </c>
      <c r="F13520">
        <v>0.26</v>
      </c>
      <c r="G13520" s="37" t="str">
        <f t="shared" si="1056"/>
        <v>Normal Discount</v>
      </c>
      <c r="H13520" s="37" t="str">
        <f t="shared" si="1057"/>
        <v>Medium</v>
      </c>
      <c r="I13520">
        <v>2</v>
      </c>
      <c r="J13520" t="str" cm="1">
        <f t="array" ref="J13520">_xlfn.IFS(I13520&lt;=3,"small",I13520&lt;=6,"Medium",I13520&lt;=9,"Large")</f>
        <v>small</v>
      </c>
      <c r="K13520" s="36">
        <v>45279</v>
      </c>
      <c r="L13520" s="36">
        <v>45283</v>
      </c>
      <c r="M13520" t="s">
        <v>603</v>
      </c>
      <c r="N13520" t="s">
        <v>608</v>
      </c>
      <c r="O13520" s="37" t="str">
        <f t="shared" si="1058"/>
        <v>Cash Payment</v>
      </c>
      <c r="P13520">
        <v>92.83</v>
      </c>
      <c r="Q13520" s="37" t="str">
        <f>IF(P13520&gt;500,"High","low")</f>
        <v>low</v>
      </c>
      <c r="R13520" s="37" t="str">
        <f t="shared" si="1059"/>
        <v>AVERAGE</v>
      </c>
      <c r="S13520" t="s">
        <v>620</v>
      </c>
    </row>
    <row r="13521" spans="1:19" x14ac:dyDescent="0.2">
      <c r="A13521" t="s">
        <v>14132</v>
      </c>
      <c r="B13521" t="s">
        <v>75</v>
      </c>
      <c r="C13521" t="s">
        <v>614</v>
      </c>
      <c r="D13521">
        <v>2568.17</v>
      </c>
      <c r="E13521" s="37" t="str">
        <f t="shared" si="1055"/>
        <v xml:space="preserve"> </v>
      </c>
      <c r="F13521">
        <v>0.06</v>
      </c>
      <c r="G13521" s="37" t="str">
        <f t="shared" si="1056"/>
        <v>Normal Discount</v>
      </c>
      <c r="H13521" s="37" t="str">
        <f t="shared" si="1057"/>
        <v>Low</v>
      </c>
      <c r="I13521">
        <v>6</v>
      </c>
      <c r="J13521" t="str" cm="1">
        <f t="array" ref="J13521">_xlfn.IFS(I13521&lt;=3,"small",I13521&lt;=6,"Medium",I13521&lt;=9,"Large")</f>
        <v>Medium</v>
      </c>
      <c r="K13521" s="36">
        <v>45146</v>
      </c>
      <c r="L13521" s="36">
        <v>45149</v>
      </c>
      <c r="M13521" t="s">
        <v>612</v>
      </c>
      <c r="N13521" t="s">
        <v>608</v>
      </c>
      <c r="O13521" s="37" t="str">
        <f t="shared" si="1058"/>
        <v>Cash Payment</v>
      </c>
      <c r="P13521">
        <v>633.16</v>
      </c>
      <c r="Q13521" s="37" t="str">
        <f>IF(P13521&gt;500,"High","low")</f>
        <v>High</v>
      </c>
      <c r="R13521" s="37" t="str">
        <f t="shared" si="1059"/>
        <v>Good</v>
      </c>
      <c r="S13521" t="s">
        <v>628</v>
      </c>
    </row>
    <row r="13522" spans="1:19" x14ac:dyDescent="0.2">
      <c r="A13522" t="s">
        <v>14133</v>
      </c>
      <c r="B13522" t="s">
        <v>75</v>
      </c>
      <c r="C13522" t="s">
        <v>597</v>
      </c>
      <c r="D13522">
        <v>990.97</v>
      </c>
      <c r="E13522" s="37" t="str">
        <f t="shared" si="1055"/>
        <v xml:space="preserve"> </v>
      </c>
      <c r="F13522">
        <v>0.35</v>
      </c>
      <c r="G13522" s="37" t="str">
        <f t="shared" si="1056"/>
        <v>Heavy Discount</v>
      </c>
      <c r="H13522" s="37" t="str">
        <f t="shared" si="1057"/>
        <v>Medium</v>
      </c>
      <c r="I13522">
        <v>9</v>
      </c>
      <c r="J13522" t="str" cm="1">
        <f t="array" ref="J13522">_xlfn.IFS(I13522&lt;=3,"small",I13522&lt;=6,"Medium",I13522&lt;=9,"Large")</f>
        <v>Large</v>
      </c>
      <c r="K13522" s="36">
        <v>45186</v>
      </c>
      <c r="L13522" s="36">
        <v>45191</v>
      </c>
      <c r="M13522" t="s">
        <v>598</v>
      </c>
      <c r="N13522" t="s">
        <v>604</v>
      </c>
      <c r="O13522" s="37" t="str">
        <f t="shared" si="1058"/>
        <v>Digital Payment</v>
      </c>
      <c r="P13522">
        <v>53.13</v>
      </c>
      <c r="Q13522" s="37" t="str">
        <f>IF(P13522&gt;500,"High","low")</f>
        <v>low</v>
      </c>
      <c r="R13522" s="37" t="str">
        <f t="shared" si="1059"/>
        <v>AVERAGE</v>
      </c>
      <c r="S13522" t="s">
        <v>628</v>
      </c>
    </row>
    <row r="13523" spans="1:19" x14ac:dyDescent="0.2">
      <c r="A13523" t="s">
        <v>14134</v>
      </c>
      <c r="B13523" t="s">
        <v>75</v>
      </c>
      <c r="C13523" t="s">
        <v>607</v>
      </c>
      <c r="D13523">
        <v>889.66</v>
      </c>
      <c r="E13523" s="37" t="str">
        <f t="shared" si="1055"/>
        <v xml:space="preserve"> </v>
      </c>
      <c r="F13523">
        <v>0.41</v>
      </c>
      <c r="G13523" s="37" t="str">
        <f t="shared" si="1056"/>
        <v>Heavy Discount</v>
      </c>
      <c r="H13523" s="37" t="str">
        <f t="shared" si="1057"/>
        <v>High</v>
      </c>
      <c r="I13523">
        <v>5</v>
      </c>
      <c r="J13523" t="str" cm="1">
        <f t="array" ref="J13523">_xlfn.IFS(I13523&lt;=3,"small",I13523&lt;=6,"Medium",I13523&lt;=9,"Large")</f>
        <v>Medium</v>
      </c>
      <c r="K13523" s="36">
        <v>45357</v>
      </c>
      <c r="L13523" s="36">
        <v>45359</v>
      </c>
      <c r="M13523" t="s">
        <v>598</v>
      </c>
      <c r="N13523" t="s">
        <v>599</v>
      </c>
      <c r="O13523" s="37" t="str">
        <f t="shared" si="1058"/>
        <v>Digital Payment</v>
      </c>
      <c r="P13523">
        <v>173.22</v>
      </c>
      <c r="Q13523" s="37" t="str">
        <f>IF(P13523&gt;500,"High","low")</f>
        <v>low</v>
      </c>
      <c r="R13523" s="37" t="str">
        <f t="shared" si="1059"/>
        <v>AVERAGE</v>
      </c>
      <c r="S13523" t="s">
        <v>615</v>
      </c>
    </row>
    <row r="13524" spans="1:19" x14ac:dyDescent="0.2">
      <c r="A13524" t="s">
        <v>14135</v>
      </c>
      <c r="B13524" t="s">
        <v>90</v>
      </c>
      <c r="C13524" t="s">
        <v>602</v>
      </c>
      <c r="D13524">
        <v>1983.39</v>
      </c>
      <c r="E13524" s="37" t="str">
        <f t="shared" si="1055"/>
        <v xml:space="preserve"> </v>
      </c>
      <c r="F13524">
        <v>0.43</v>
      </c>
      <c r="G13524" s="37" t="str">
        <f t="shared" si="1056"/>
        <v>Heavy Discount</v>
      </c>
      <c r="H13524" s="37" t="str">
        <f t="shared" si="1057"/>
        <v>High</v>
      </c>
      <c r="I13524">
        <v>5</v>
      </c>
      <c r="J13524" t="str" cm="1">
        <f t="array" ref="J13524">_xlfn.IFS(I13524&lt;=3,"small",I13524&lt;=6,"Medium",I13524&lt;=9,"Large")</f>
        <v>Medium</v>
      </c>
      <c r="K13524" s="36">
        <v>45341</v>
      </c>
      <c r="L13524" s="36">
        <v>45342</v>
      </c>
      <c r="M13524" t="s">
        <v>603</v>
      </c>
      <c r="N13524" t="s">
        <v>608</v>
      </c>
      <c r="O13524" s="37" t="str">
        <f t="shared" si="1058"/>
        <v>Cash Payment</v>
      </c>
      <c r="P13524">
        <v>472.7</v>
      </c>
      <c r="Q13524" s="37" t="str">
        <f>IF(P13524&gt;500,"High","low")</f>
        <v>low</v>
      </c>
      <c r="R13524" s="37" t="str">
        <f t="shared" si="1059"/>
        <v>AVERAGE</v>
      </c>
      <c r="S13524" t="s">
        <v>615</v>
      </c>
    </row>
    <row r="13525" spans="1:19" x14ac:dyDescent="0.2">
      <c r="A13525" t="s">
        <v>14136</v>
      </c>
      <c r="B13525" t="s">
        <v>67</v>
      </c>
      <c r="C13525" t="s">
        <v>614</v>
      </c>
      <c r="D13525">
        <v>1872.76</v>
      </c>
      <c r="E13525" s="37" t="str">
        <f t="shared" si="1055"/>
        <v xml:space="preserve"> </v>
      </c>
      <c r="F13525">
        <v>0.28999999999999998</v>
      </c>
      <c r="G13525" s="37" t="str">
        <f t="shared" si="1056"/>
        <v>Normal Discount</v>
      </c>
      <c r="H13525" s="37" t="str">
        <f t="shared" si="1057"/>
        <v>Medium</v>
      </c>
      <c r="I13525">
        <v>4</v>
      </c>
      <c r="J13525" t="str" cm="1">
        <f t="array" ref="J13525">_xlfn.IFS(I13525&lt;=3,"small",I13525&lt;=6,"Medium",I13525&lt;=9,"Large")</f>
        <v>Medium</v>
      </c>
      <c r="K13525" s="36">
        <v>45315</v>
      </c>
      <c r="L13525" s="36">
        <v>45316</v>
      </c>
      <c r="M13525" t="s">
        <v>598</v>
      </c>
      <c r="N13525" t="s">
        <v>608</v>
      </c>
      <c r="O13525" s="37" t="str">
        <f t="shared" si="1058"/>
        <v>Cash Payment</v>
      </c>
      <c r="P13525">
        <v>140.78</v>
      </c>
      <c r="Q13525" s="37" t="str">
        <f>IF(P13525&gt;500,"High","low")</f>
        <v>low</v>
      </c>
      <c r="R13525" s="37" t="str">
        <f t="shared" si="1059"/>
        <v>AVERAGE</v>
      </c>
      <c r="S13525" t="s">
        <v>605</v>
      </c>
    </row>
    <row r="13526" spans="1:19" x14ac:dyDescent="0.2">
      <c r="A13526" t="s">
        <v>14137</v>
      </c>
      <c r="B13526" t="s">
        <v>83</v>
      </c>
      <c r="C13526" t="s">
        <v>597</v>
      </c>
      <c r="D13526">
        <v>4348.09</v>
      </c>
      <c r="E13526" s="37" t="str">
        <f t="shared" si="1055"/>
        <v>Excellent Order</v>
      </c>
      <c r="F13526">
        <v>0.31</v>
      </c>
      <c r="G13526" s="37" t="str">
        <f t="shared" si="1056"/>
        <v>Heavy Discount</v>
      </c>
      <c r="H13526" s="37" t="str">
        <f t="shared" si="1057"/>
        <v>Medium</v>
      </c>
      <c r="I13526">
        <v>1</v>
      </c>
      <c r="J13526" t="str" cm="1">
        <f t="array" ref="J13526">_xlfn.IFS(I13526&lt;=3,"small",I13526&lt;=6,"Medium",I13526&lt;=9,"Large")</f>
        <v>small</v>
      </c>
      <c r="K13526" s="36">
        <v>45050</v>
      </c>
      <c r="L13526" s="36">
        <v>45051</v>
      </c>
      <c r="M13526" t="s">
        <v>612</v>
      </c>
      <c r="N13526" t="s">
        <v>604</v>
      </c>
      <c r="O13526" s="37" t="str">
        <f t="shared" si="1058"/>
        <v>Digital Payment</v>
      </c>
      <c r="P13526">
        <v>884.23</v>
      </c>
      <c r="Q13526" s="37" t="str">
        <f>IF(P13526&gt;500,"High","low")</f>
        <v>High</v>
      </c>
      <c r="R13526" s="37" t="str">
        <f t="shared" si="1059"/>
        <v>Good</v>
      </c>
      <c r="S13526" t="s">
        <v>615</v>
      </c>
    </row>
    <row r="13527" spans="1:19" x14ac:dyDescent="0.2">
      <c r="A13527" t="s">
        <v>14138</v>
      </c>
      <c r="B13527" t="s">
        <v>75</v>
      </c>
      <c r="C13527" t="s">
        <v>607</v>
      </c>
      <c r="D13527">
        <v>2866.72</v>
      </c>
      <c r="E13527" s="37" t="str">
        <f t="shared" si="1055"/>
        <v xml:space="preserve"> </v>
      </c>
      <c r="F13527">
        <v>0.35</v>
      </c>
      <c r="G13527" s="37" t="str">
        <f t="shared" si="1056"/>
        <v>Heavy Discount</v>
      </c>
      <c r="H13527" s="37" t="str">
        <f t="shared" si="1057"/>
        <v>Medium</v>
      </c>
      <c r="I13527">
        <v>4</v>
      </c>
      <c r="J13527" t="str" cm="1">
        <f t="array" ref="J13527">_xlfn.IFS(I13527&lt;=3,"small",I13527&lt;=6,"Medium",I13527&lt;=9,"Large")</f>
        <v>Medium</v>
      </c>
      <c r="K13527" s="36">
        <v>45215</v>
      </c>
      <c r="L13527" s="36">
        <v>45222</v>
      </c>
      <c r="M13527" t="s">
        <v>603</v>
      </c>
      <c r="N13527" t="s">
        <v>599</v>
      </c>
      <c r="O13527" s="37" t="str">
        <f t="shared" si="1058"/>
        <v>Digital Payment</v>
      </c>
      <c r="P13527">
        <v>477.45</v>
      </c>
      <c r="Q13527" s="37" t="str">
        <f>IF(P13527&gt;500,"High","low")</f>
        <v>low</v>
      </c>
      <c r="R13527" s="37" t="str">
        <f t="shared" si="1059"/>
        <v>AVERAGE</v>
      </c>
      <c r="S13527" t="s">
        <v>605</v>
      </c>
    </row>
    <row r="13528" spans="1:19" x14ac:dyDescent="0.2">
      <c r="A13528" t="s">
        <v>14139</v>
      </c>
      <c r="B13528" t="s">
        <v>90</v>
      </c>
      <c r="C13528" t="s">
        <v>617</v>
      </c>
      <c r="D13528">
        <v>4287.38</v>
      </c>
      <c r="E13528" s="37" t="str">
        <f t="shared" si="1055"/>
        <v xml:space="preserve"> </v>
      </c>
      <c r="F13528">
        <v>0.44</v>
      </c>
      <c r="G13528" s="37" t="str">
        <f t="shared" si="1056"/>
        <v>Heavy Discount</v>
      </c>
      <c r="H13528" s="37" t="str">
        <f t="shared" si="1057"/>
        <v>High</v>
      </c>
      <c r="I13528">
        <v>9</v>
      </c>
      <c r="J13528" t="str" cm="1">
        <f t="array" ref="J13528">_xlfn.IFS(I13528&lt;=3,"small",I13528&lt;=6,"Medium",I13528&lt;=9,"Large")</f>
        <v>Large</v>
      </c>
      <c r="K13528" s="36">
        <v>45230</v>
      </c>
      <c r="L13528" s="36">
        <v>45231</v>
      </c>
      <c r="M13528" t="s">
        <v>612</v>
      </c>
      <c r="N13528" t="s">
        <v>608</v>
      </c>
      <c r="O13528" s="37" t="str">
        <f t="shared" si="1058"/>
        <v>Cash Payment</v>
      </c>
      <c r="P13528">
        <v>447.8</v>
      </c>
      <c r="Q13528" s="37" t="str">
        <f>IF(P13528&gt;500,"High","low")</f>
        <v>low</v>
      </c>
      <c r="R13528" s="37" t="str">
        <f t="shared" si="1059"/>
        <v>AVERAGE</v>
      </c>
      <c r="S13528" t="s">
        <v>620</v>
      </c>
    </row>
    <row r="13529" spans="1:19" x14ac:dyDescent="0.2">
      <c r="A13529" t="s">
        <v>14140</v>
      </c>
      <c r="B13529" t="s">
        <v>83</v>
      </c>
      <c r="C13529" t="s">
        <v>597</v>
      </c>
      <c r="D13529">
        <v>819.49</v>
      </c>
      <c r="E13529" s="37" t="str">
        <f t="shared" si="1055"/>
        <v xml:space="preserve"> </v>
      </c>
      <c r="F13529">
        <v>0.02</v>
      </c>
      <c r="G13529" s="37" t="str">
        <f t="shared" si="1056"/>
        <v>Normal Discount</v>
      </c>
      <c r="H13529" s="37" t="str">
        <f t="shared" si="1057"/>
        <v>Low</v>
      </c>
      <c r="I13529">
        <v>9</v>
      </c>
      <c r="J13529" t="str" cm="1">
        <f t="array" ref="J13529">_xlfn.IFS(I13529&lt;=3,"small",I13529&lt;=6,"Medium",I13529&lt;=9,"Large")</f>
        <v>Large</v>
      </c>
      <c r="K13529" s="36">
        <v>45086</v>
      </c>
      <c r="L13529" s="36">
        <v>45092</v>
      </c>
      <c r="M13529" t="s">
        <v>612</v>
      </c>
      <c r="N13529" t="s">
        <v>599</v>
      </c>
      <c r="O13529" s="37" t="str">
        <f t="shared" si="1058"/>
        <v>Digital Payment</v>
      </c>
      <c r="P13529">
        <v>171.6</v>
      </c>
      <c r="Q13529" s="37" t="str">
        <f>IF(P13529&gt;500,"High","low")</f>
        <v>low</v>
      </c>
      <c r="R13529" s="37" t="str">
        <f t="shared" si="1059"/>
        <v>AVERAGE</v>
      </c>
      <c r="S13529" t="s">
        <v>609</v>
      </c>
    </row>
    <row r="13530" spans="1:19" x14ac:dyDescent="0.2">
      <c r="A13530" t="s">
        <v>14141</v>
      </c>
      <c r="B13530" t="s">
        <v>75</v>
      </c>
      <c r="C13530" t="s">
        <v>607</v>
      </c>
      <c r="D13530">
        <v>1850.82</v>
      </c>
      <c r="E13530" s="37" t="str">
        <f t="shared" si="1055"/>
        <v xml:space="preserve"> </v>
      </c>
      <c r="F13530">
        <v>0.28000000000000003</v>
      </c>
      <c r="G13530" s="37" t="str">
        <f t="shared" si="1056"/>
        <v>Normal Discount</v>
      </c>
      <c r="H13530" s="37" t="str">
        <f t="shared" si="1057"/>
        <v>Medium</v>
      </c>
      <c r="I13530">
        <v>7</v>
      </c>
      <c r="J13530" t="str" cm="1">
        <f t="array" ref="J13530">_xlfn.IFS(I13530&lt;=3,"small",I13530&lt;=6,"Medium",I13530&lt;=9,"Large")</f>
        <v>Large</v>
      </c>
      <c r="K13530" s="36">
        <v>45308</v>
      </c>
      <c r="L13530" s="36">
        <v>45310</v>
      </c>
      <c r="M13530" t="s">
        <v>612</v>
      </c>
      <c r="N13530" t="s">
        <v>608</v>
      </c>
      <c r="O13530" s="37" t="str">
        <f t="shared" si="1058"/>
        <v>Cash Payment</v>
      </c>
      <c r="P13530">
        <v>231.2</v>
      </c>
      <c r="Q13530" s="37" t="str">
        <f>IF(P13530&gt;500,"High","low")</f>
        <v>low</v>
      </c>
      <c r="R13530" s="37" t="str">
        <f t="shared" si="1059"/>
        <v>AVERAGE</v>
      </c>
      <c r="S13530" t="s">
        <v>620</v>
      </c>
    </row>
    <row r="13531" spans="1:19" x14ac:dyDescent="0.2">
      <c r="A13531" t="s">
        <v>14142</v>
      </c>
      <c r="B13531" t="s">
        <v>83</v>
      </c>
      <c r="C13531" t="s">
        <v>617</v>
      </c>
      <c r="D13531">
        <v>2821.12</v>
      </c>
      <c r="E13531" s="37" t="str">
        <f t="shared" si="1055"/>
        <v xml:space="preserve"> </v>
      </c>
      <c r="F13531">
        <v>0.18</v>
      </c>
      <c r="G13531" s="37" t="str">
        <f t="shared" si="1056"/>
        <v>Normal Discount</v>
      </c>
      <c r="H13531" s="37" t="str">
        <f t="shared" si="1057"/>
        <v>Low</v>
      </c>
      <c r="I13531">
        <v>4</v>
      </c>
      <c r="J13531" t="str" cm="1">
        <f t="array" ref="J13531">_xlfn.IFS(I13531&lt;=3,"small",I13531&lt;=6,"Medium",I13531&lt;=9,"Large")</f>
        <v>Medium</v>
      </c>
      <c r="K13531" s="36">
        <v>45038</v>
      </c>
      <c r="L13531" s="36">
        <v>45044</v>
      </c>
      <c r="M13531" t="s">
        <v>598</v>
      </c>
      <c r="N13531" t="s">
        <v>599</v>
      </c>
      <c r="O13531" s="37" t="str">
        <f t="shared" si="1058"/>
        <v>Digital Payment</v>
      </c>
      <c r="P13531">
        <v>282.12</v>
      </c>
      <c r="Q13531" s="37" t="str">
        <f>IF(P13531&gt;500,"High","low")</f>
        <v>low</v>
      </c>
      <c r="R13531" s="37" t="str">
        <f t="shared" si="1059"/>
        <v>AVERAGE</v>
      </c>
      <c r="S13531" t="s">
        <v>615</v>
      </c>
    </row>
    <row r="13532" spans="1:19" x14ac:dyDescent="0.2">
      <c r="A13532" t="s">
        <v>14143</v>
      </c>
      <c r="B13532" t="s">
        <v>75</v>
      </c>
      <c r="C13532" t="s">
        <v>607</v>
      </c>
      <c r="D13532">
        <v>850.33</v>
      </c>
      <c r="E13532" s="37" t="str">
        <f t="shared" si="1055"/>
        <v xml:space="preserve"> </v>
      </c>
      <c r="F13532">
        <v>0.42</v>
      </c>
      <c r="G13532" s="37" t="str">
        <f t="shared" si="1056"/>
        <v>Heavy Discount</v>
      </c>
      <c r="H13532" s="37" t="str">
        <f t="shared" si="1057"/>
        <v>High</v>
      </c>
      <c r="I13532">
        <v>9</v>
      </c>
      <c r="J13532" t="str" cm="1">
        <f t="array" ref="J13532">_xlfn.IFS(I13532&lt;=3,"small",I13532&lt;=6,"Medium",I13532&lt;=9,"Large")</f>
        <v>Large</v>
      </c>
      <c r="K13532" s="36">
        <v>45539</v>
      </c>
      <c r="L13532" s="36">
        <v>45541</v>
      </c>
      <c r="M13532" t="s">
        <v>612</v>
      </c>
      <c r="N13532" t="s">
        <v>599</v>
      </c>
      <c r="O13532" s="37" t="str">
        <f t="shared" si="1058"/>
        <v>Digital Payment</v>
      </c>
      <c r="P13532">
        <v>138.02000000000001</v>
      </c>
      <c r="Q13532" s="37" t="str">
        <f>IF(P13532&gt;500,"High","low")</f>
        <v>low</v>
      </c>
      <c r="R13532" s="37" t="str">
        <f t="shared" si="1059"/>
        <v>AVERAGE</v>
      </c>
      <c r="S13532" t="s">
        <v>600</v>
      </c>
    </row>
    <row r="13533" spans="1:19" x14ac:dyDescent="0.2">
      <c r="A13533" t="s">
        <v>14144</v>
      </c>
      <c r="B13533" t="s">
        <v>83</v>
      </c>
      <c r="C13533" t="s">
        <v>614</v>
      </c>
      <c r="D13533">
        <v>727.48</v>
      </c>
      <c r="E13533" s="37" t="str">
        <f t="shared" si="1055"/>
        <v xml:space="preserve"> </v>
      </c>
      <c r="F13533">
        <v>7.0000000000000007E-2</v>
      </c>
      <c r="G13533" s="37" t="str">
        <f t="shared" si="1056"/>
        <v>Normal Discount</v>
      </c>
      <c r="H13533" s="37" t="str">
        <f t="shared" si="1057"/>
        <v>Low</v>
      </c>
      <c r="I13533">
        <v>5</v>
      </c>
      <c r="J13533" t="str" cm="1">
        <f t="array" ref="J13533">_xlfn.IFS(I13533&lt;=3,"small",I13533&lt;=6,"Medium",I13533&lt;=9,"Large")</f>
        <v>Medium</v>
      </c>
      <c r="K13533" s="36">
        <v>45152</v>
      </c>
      <c r="L13533" s="36">
        <v>45153</v>
      </c>
      <c r="M13533" t="s">
        <v>598</v>
      </c>
      <c r="N13533" t="s">
        <v>608</v>
      </c>
      <c r="O13533" s="37" t="str">
        <f t="shared" si="1058"/>
        <v>Cash Payment</v>
      </c>
      <c r="P13533">
        <v>145.77000000000001</v>
      </c>
      <c r="Q13533" s="37" t="str">
        <f>IF(P13533&gt;500,"High","low")</f>
        <v>low</v>
      </c>
      <c r="R13533" s="37" t="str">
        <f t="shared" si="1059"/>
        <v>AVERAGE</v>
      </c>
      <c r="S13533" t="s">
        <v>609</v>
      </c>
    </row>
    <row r="13534" spans="1:19" x14ac:dyDescent="0.2">
      <c r="A13534" t="s">
        <v>14145</v>
      </c>
      <c r="B13534" t="s">
        <v>83</v>
      </c>
      <c r="C13534" t="s">
        <v>597</v>
      </c>
      <c r="D13534">
        <v>3340.87</v>
      </c>
      <c r="E13534" s="37" t="str">
        <f t="shared" si="1055"/>
        <v xml:space="preserve"> </v>
      </c>
      <c r="F13534">
        <v>0.45</v>
      </c>
      <c r="G13534" s="37" t="str">
        <f t="shared" si="1056"/>
        <v>Heavy Discount</v>
      </c>
      <c r="H13534" s="37" t="str">
        <f t="shared" si="1057"/>
        <v>High</v>
      </c>
      <c r="I13534">
        <v>2</v>
      </c>
      <c r="J13534" t="str" cm="1">
        <f t="array" ref="J13534">_xlfn.IFS(I13534&lt;=3,"small",I13534&lt;=6,"Medium",I13534&lt;=9,"Large")</f>
        <v>small</v>
      </c>
      <c r="K13534" s="36">
        <v>45414</v>
      </c>
      <c r="L13534" s="36">
        <v>45421</v>
      </c>
      <c r="M13534" t="s">
        <v>612</v>
      </c>
      <c r="N13534" t="s">
        <v>604</v>
      </c>
      <c r="O13534" s="37" t="str">
        <f t="shared" si="1058"/>
        <v>Digital Payment</v>
      </c>
      <c r="P13534">
        <v>528.20000000000005</v>
      </c>
      <c r="Q13534" s="37" t="str">
        <f>IF(P13534&gt;500,"High","low")</f>
        <v>High</v>
      </c>
      <c r="R13534" s="37" t="str">
        <f t="shared" si="1059"/>
        <v>Good</v>
      </c>
      <c r="S13534" t="s">
        <v>620</v>
      </c>
    </row>
    <row r="13535" spans="1:19" x14ac:dyDescent="0.2">
      <c r="A13535" t="s">
        <v>14146</v>
      </c>
      <c r="B13535" t="s">
        <v>67</v>
      </c>
      <c r="C13535" t="s">
        <v>617</v>
      </c>
      <c r="D13535">
        <v>3303.79</v>
      </c>
      <c r="E13535" s="37" t="str">
        <f t="shared" si="1055"/>
        <v xml:space="preserve"> </v>
      </c>
      <c r="F13535">
        <v>0.06</v>
      </c>
      <c r="G13535" s="37" t="str">
        <f t="shared" si="1056"/>
        <v>Normal Discount</v>
      </c>
      <c r="H13535" s="37" t="str">
        <f t="shared" si="1057"/>
        <v>Low</v>
      </c>
      <c r="I13535">
        <v>9</v>
      </c>
      <c r="J13535" t="str" cm="1">
        <f t="array" ref="J13535">_xlfn.IFS(I13535&lt;=3,"small",I13535&lt;=6,"Medium",I13535&lt;=9,"Large")</f>
        <v>Large</v>
      </c>
      <c r="K13535" s="36">
        <v>45485</v>
      </c>
      <c r="L13535" s="36">
        <v>45488</v>
      </c>
      <c r="M13535" t="s">
        <v>612</v>
      </c>
      <c r="N13535" t="s">
        <v>608</v>
      </c>
      <c r="O13535" s="37" t="str">
        <f t="shared" si="1058"/>
        <v>Cash Payment</v>
      </c>
      <c r="P13535">
        <v>917.18</v>
      </c>
      <c r="Q13535" s="37" t="str">
        <f>IF(P13535&gt;500,"High","low")</f>
        <v>High</v>
      </c>
      <c r="R13535" s="37" t="str">
        <f t="shared" si="1059"/>
        <v>Good</v>
      </c>
      <c r="S13535" t="s">
        <v>615</v>
      </c>
    </row>
    <row r="13536" spans="1:19" x14ac:dyDescent="0.2">
      <c r="A13536" t="s">
        <v>14147</v>
      </c>
      <c r="B13536" t="s">
        <v>67</v>
      </c>
      <c r="C13536" t="s">
        <v>607</v>
      </c>
      <c r="D13536">
        <v>1247.3800000000001</v>
      </c>
      <c r="E13536" s="37" t="str">
        <f t="shared" si="1055"/>
        <v xml:space="preserve"> </v>
      </c>
      <c r="F13536">
        <v>0.04</v>
      </c>
      <c r="G13536" s="37" t="str">
        <f t="shared" si="1056"/>
        <v>Normal Discount</v>
      </c>
      <c r="H13536" s="37" t="str">
        <f t="shared" si="1057"/>
        <v>Low</v>
      </c>
      <c r="I13536">
        <v>6</v>
      </c>
      <c r="J13536" t="str" cm="1">
        <f t="array" ref="J13536">_xlfn.IFS(I13536&lt;=3,"small",I13536&lt;=6,"Medium",I13536&lt;=9,"Large")</f>
        <v>Medium</v>
      </c>
      <c r="K13536" s="36">
        <v>45575</v>
      </c>
      <c r="L13536" s="36">
        <v>45578</v>
      </c>
      <c r="M13536" t="s">
        <v>598</v>
      </c>
      <c r="N13536" t="s">
        <v>604</v>
      </c>
      <c r="O13536" s="37" t="str">
        <f t="shared" si="1058"/>
        <v>Digital Payment</v>
      </c>
      <c r="P13536">
        <v>343.05</v>
      </c>
      <c r="Q13536" s="37" t="str">
        <f>IF(P13536&gt;500,"High","low")</f>
        <v>low</v>
      </c>
      <c r="R13536" s="37" t="str">
        <f t="shared" si="1059"/>
        <v>AVERAGE</v>
      </c>
      <c r="S13536" t="s">
        <v>615</v>
      </c>
    </row>
    <row r="13537" spans="1:19" x14ac:dyDescent="0.2">
      <c r="A13537" t="s">
        <v>14148</v>
      </c>
      <c r="B13537" t="s">
        <v>75</v>
      </c>
      <c r="C13537" t="s">
        <v>617</v>
      </c>
      <c r="D13537">
        <v>1212.9100000000001</v>
      </c>
      <c r="E13537" s="37" t="str">
        <f t="shared" si="1055"/>
        <v xml:space="preserve"> </v>
      </c>
      <c r="F13537">
        <v>0.17</v>
      </c>
      <c r="G13537" s="37" t="str">
        <f t="shared" si="1056"/>
        <v>Normal Discount</v>
      </c>
      <c r="H13537" s="37" t="str">
        <f t="shared" si="1057"/>
        <v>Low</v>
      </c>
      <c r="I13537">
        <v>5</v>
      </c>
      <c r="J13537" t="str" cm="1">
        <f t="array" ref="J13537">_xlfn.IFS(I13537&lt;=3,"small",I13537&lt;=6,"Medium",I13537&lt;=9,"Large")</f>
        <v>Medium</v>
      </c>
      <c r="K13537" s="36">
        <v>45287</v>
      </c>
      <c r="L13537" s="36">
        <v>45293</v>
      </c>
      <c r="M13537" t="s">
        <v>603</v>
      </c>
      <c r="N13537" t="s">
        <v>604</v>
      </c>
      <c r="O13537" s="37" t="str">
        <f t="shared" si="1058"/>
        <v>Digital Payment</v>
      </c>
      <c r="P13537">
        <v>172.61</v>
      </c>
      <c r="Q13537" s="37" t="str">
        <f>IF(P13537&gt;500,"High","low")</f>
        <v>low</v>
      </c>
      <c r="R13537" s="37" t="str">
        <f t="shared" si="1059"/>
        <v>AVERAGE</v>
      </c>
      <c r="S13537" t="s">
        <v>600</v>
      </c>
    </row>
    <row r="13538" spans="1:19" x14ac:dyDescent="0.2">
      <c r="A13538" t="s">
        <v>14149</v>
      </c>
      <c r="B13538" t="s">
        <v>90</v>
      </c>
      <c r="C13538" t="s">
        <v>602</v>
      </c>
      <c r="D13538">
        <v>3752.68</v>
      </c>
      <c r="E13538" s="37" t="str">
        <f t="shared" si="1055"/>
        <v xml:space="preserve"> </v>
      </c>
      <c r="F13538">
        <v>0.5</v>
      </c>
      <c r="G13538" s="37" t="str">
        <f t="shared" si="1056"/>
        <v>Heavy Discount</v>
      </c>
      <c r="H13538" s="37" t="str">
        <f t="shared" si="1057"/>
        <v>High</v>
      </c>
      <c r="I13538">
        <v>8</v>
      </c>
      <c r="J13538" t="str" cm="1">
        <f t="array" ref="J13538">_xlfn.IFS(I13538&lt;=3,"small",I13538&lt;=6,"Medium",I13538&lt;=9,"Large")</f>
        <v>Large</v>
      </c>
      <c r="K13538" s="36">
        <v>45089</v>
      </c>
      <c r="L13538" s="36">
        <v>45093</v>
      </c>
      <c r="M13538" t="s">
        <v>603</v>
      </c>
      <c r="N13538" t="s">
        <v>608</v>
      </c>
      <c r="O13538" s="37" t="str">
        <f t="shared" si="1058"/>
        <v>Cash Payment</v>
      </c>
      <c r="P13538">
        <v>385.94</v>
      </c>
      <c r="Q13538" s="37" t="str">
        <f>IF(P13538&gt;500,"High","low")</f>
        <v>low</v>
      </c>
      <c r="R13538" s="37" t="str">
        <f t="shared" si="1059"/>
        <v>AVERAGE</v>
      </c>
      <c r="S13538" t="s">
        <v>605</v>
      </c>
    </row>
    <row r="13539" spans="1:19" x14ac:dyDescent="0.2">
      <c r="A13539" t="s">
        <v>14150</v>
      </c>
      <c r="B13539" t="s">
        <v>67</v>
      </c>
      <c r="C13539" t="s">
        <v>597</v>
      </c>
      <c r="D13539">
        <v>673.24</v>
      </c>
      <c r="E13539" s="37" t="str">
        <f t="shared" si="1055"/>
        <v xml:space="preserve"> </v>
      </c>
      <c r="F13539">
        <v>0.32</v>
      </c>
      <c r="G13539" s="37" t="str">
        <f t="shared" si="1056"/>
        <v>Heavy Discount</v>
      </c>
      <c r="H13539" s="37" t="str">
        <f t="shared" si="1057"/>
        <v>Medium</v>
      </c>
      <c r="I13539">
        <v>2</v>
      </c>
      <c r="J13539" t="str" cm="1">
        <f t="array" ref="J13539">_xlfn.IFS(I13539&lt;=3,"small",I13539&lt;=6,"Medium",I13539&lt;=9,"Large")</f>
        <v>small</v>
      </c>
      <c r="K13539" s="36">
        <v>44973</v>
      </c>
      <c r="L13539" s="36">
        <v>44975</v>
      </c>
      <c r="M13539" t="s">
        <v>598</v>
      </c>
      <c r="N13539" t="s">
        <v>608</v>
      </c>
      <c r="O13539" s="37" t="str">
        <f t="shared" si="1058"/>
        <v>Cash Payment</v>
      </c>
      <c r="P13539">
        <v>185.18</v>
      </c>
      <c r="Q13539" s="37" t="str">
        <f>IF(P13539&gt;500,"High","low")</f>
        <v>low</v>
      </c>
      <c r="R13539" s="37" t="str">
        <f t="shared" si="1059"/>
        <v>AVERAGE</v>
      </c>
      <c r="S13539" t="s">
        <v>609</v>
      </c>
    </row>
    <row r="13540" spans="1:19" x14ac:dyDescent="0.2">
      <c r="A13540" t="s">
        <v>14151</v>
      </c>
      <c r="B13540" t="s">
        <v>83</v>
      </c>
      <c r="C13540" t="s">
        <v>614</v>
      </c>
      <c r="D13540">
        <v>4623.99</v>
      </c>
      <c r="E13540" s="37" t="str">
        <f t="shared" si="1055"/>
        <v xml:space="preserve"> </v>
      </c>
      <c r="F13540">
        <v>0.01</v>
      </c>
      <c r="G13540" s="37" t="str">
        <f t="shared" si="1056"/>
        <v>Normal Discount</v>
      </c>
      <c r="H13540" s="37" t="str">
        <f t="shared" si="1057"/>
        <v>Low</v>
      </c>
      <c r="I13540">
        <v>5</v>
      </c>
      <c r="J13540" t="str" cm="1">
        <f t="array" ref="J13540">_xlfn.IFS(I13540&lt;=3,"small",I13540&lt;=6,"Medium",I13540&lt;=9,"Large")</f>
        <v>Medium</v>
      </c>
      <c r="K13540" s="36">
        <v>45526</v>
      </c>
      <c r="L13540" s="36">
        <v>45530</v>
      </c>
      <c r="M13540" t="s">
        <v>603</v>
      </c>
      <c r="N13540" t="s">
        <v>604</v>
      </c>
      <c r="O13540" s="37" t="str">
        <f t="shared" si="1058"/>
        <v>Digital Payment</v>
      </c>
      <c r="P13540">
        <v>712.8</v>
      </c>
      <c r="Q13540" s="37" t="str">
        <f>IF(P13540&gt;500,"High","low")</f>
        <v>High</v>
      </c>
      <c r="R13540" s="37" t="str">
        <f t="shared" si="1059"/>
        <v>Good</v>
      </c>
      <c r="S13540" t="s">
        <v>615</v>
      </c>
    </row>
    <row r="13541" spans="1:19" x14ac:dyDescent="0.2">
      <c r="A13541" t="s">
        <v>14152</v>
      </c>
      <c r="B13541" t="s">
        <v>67</v>
      </c>
      <c r="C13541" t="s">
        <v>617</v>
      </c>
      <c r="D13541">
        <v>4724.32</v>
      </c>
      <c r="E13541" s="37" t="str">
        <f t="shared" si="1055"/>
        <v xml:space="preserve"> </v>
      </c>
      <c r="F13541">
        <v>0.12</v>
      </c>
      <c r="G13541" s="37" t="str">
        <f t="shared" si="1056"/>
        <v>Normal Discount</v>
      </c>
      <c r="H13541" s="37" t="str">
        <f t="shared" si="1057"/>
        <v>Low</v>
      </c>
      <c r="I13541">
        <v>8</v>
      </c>
      <c r="J13541" t="str" cm="1">
        <f t="array" ref="J13541">_xlfn.IFS(I13541&lt;=3,"small",I13541&lt;=6,"Medium",I13541&lt;=9,"Large")</f>
        <v>Large</v>
      </c>
      <c r="K13541" s="36">
        <v>45264</v>
      </c>
      <c r="L13541" s="36">
        <v>45269</v>
      </c>
      <c r="M13541" t="s">
        <v>598</v>
      </c>
      <c r="N13541" t="s">
        <v>608</v>
      </c>
      <c r="O13541" s="37" t="str">
        <f t="shared" si="1058"/>
        <v>Cash Payment</v>
      </c>
      <c r="P13541">
        <v>603.09</v>
      </c>
      <c r="Q13541" s="37" t="str">
        <f>IF(P13541&gt;500,"High","low")</f>
        <v>High</v>
      </c>
      <c r="R13541" s="37" t="str">
        <f t="shared" si="1059"/>
        <v>Good</v>
      </c>
      <c r="S13541" t="s">
        <v>605</v>
      </c>
    </row>
    <row r="13542" spans="1:19" x14ac:dyDescent="0.2">
      <c r="A13542" t="s">
        <v>14153</v>
      </c>
      <c r="B13542" t="s">
        <v>67</v>
      </c>
      <c r="C13542" t="s">
        <v>607</v>
      </c>
      <c r="D13542">
        <v>4367.8599999999997</v>
      </c>
      <c r="E13542" s="37" t="str">
        <f t="shared" si="1055"/>
        <v>Excellent Order</v>
      </c>
      <c r="F13542">
        <v>7.0000000000000007E-2</v>
      </c>
      <c r="G13542" s="37" t="str">
        <f t="shared" si="1056"/>
        <v>Normal Discount</v>
      </c>
      <c r="H13542" s="37" t="str">
        <f t="shared" si="1057"/>
        <v>Low</v>
      </c>
      <c r="I13542">
        <v>4</v>
      </c>
      <c r="J13542" t="str" cm="1">
        <f t="array" ref="J13542">_xlfn.IFS(I13542&lt;=3,"small",I13542&lt;=6,"Medium",I13542&lt;=9,"Large")</f>
        <v>Medium</v>
      </c>
      <c r="K13542" s="36">
        <v>45199</v>
      </c>
      <c r="L13542" s="36">
        <v>45201</v>
      </c>
      <c r="M13542" t="s">
        <v>612</v>
      </c>
      <c r="N13542" t="s">
        <v>608</v>
      </c>
      <c r="O13542" s="37" t="str">
        <f t="shared" si="1058"/>
        <v>Cash Payment</v>
      </c>
      <c r="P13542">
        <v>1264.78</v>
      </c>
      <c r="Q13542" s="37" t="str">
        <f>IF(P13542&gt;500,"High","low")</f>
        <v>High</v>
      </c>
      <c r="R13542" s="37" t="str">
        <f t="shared" si="1059"/>
        <v>Excellent</v>
      </c>
      <c r="S13542" t="s">
        <v>600</v>
      </c>
    </row>
    <row r="13543" spans="1:19" x14ac:dyDescent="0.2">
      <c r="A13543" t="s">
        <v>14154</v>
      </c>
      <c r="B13543" t="s">
        <v>75</v>
      </c>
      <c r="C13543" t="s">
        <v>617</v>
      </c>
      <c r="D13543">
        <v>1132.32</v>
      </c>
      <c r="E13543" s="37" t="str">
        <f t="shared" si="1055"/>
        <v xml:space="preserve"> </v>
      </c>
      <c r="F13543">
        <v>0</v>
      </c>
      <c r="G13543" s="37" t="str">
        <f t="shared" si="1056"/>
        <v>Normal Discount</v>
      </c>
      <c r="H13543" s="37" t="str">
        <f t="shared" si="1057"/>
        <v>Low</v>
      </c>
      <c r="I13543">
        <v>9</v>
      </c>
      <c r="J13543" t="str" cm="1">
        <f t="array" ref="J13543">_xlfn.IFS(I13543&lt;=3,"small",I13543&lt;=6,"Medium",I13543&lt;=9,"Large")</f>
        <v>Large</v>
      </c>
      <c r="K13543" s="36">
        <v>44981</v>
      </c>
      <c r="L13543" s="36">
        <v>44982</v>
      </c>
      <c r="M13543" t="s">
        <v>612</v>
      </c>
      <c r="N13543" t="s">
        <v>604</v>
      </c>
      <c r="O13543" s="37" t="str">
        <f t="shared" si="1058"/>
        <v>Digital Payment</v>
      </c>
      <c r="P13543">
        <v>196.11</v>
      </c>
      <c r="Q13543" s="37" t="str">
        <f>IF(P13543&gt;500,"High","low")</f>
        <v>low</v>
      </c>
      <c r="R13543" s="37" t="str">
        <f t="shared" si="1059"/>
        <v>AVERAGE</v>
      </c>
      <c r="S13543" t="s">
        <v>600</v>
      </c>
    </row>
    <row r="13544" spans="1:19" x14ac:dyDescent="0.2">
      <c r="A13544" t="s">
        <v>14155</v>
      </c>
      <c r="B13544" t="s">
        <v>67</v>
      </c>
      <c r="C13544" t="s">
        <v>607</v>
      </c>
      <c r="D13544">
        <v>182.33</v>
      </c>
      <c r="E13544" s="37" t="str">
        <f t="shared" si="1055"/>
        <v xml:space="preserve"> </v>
      </c>
      <c r="F13544">
        <v>0.26</v>
      </c>
      <c r="G13544" s="37" t="str">
        <f t="shared" si="1056"/>
        <v>Normal Discount</v>
      </c>
      <c r="H13544" s="37" t="str">
        <f t="shared" si="1057"/>
        <v>Medium</v>
      </c>
      <c r="I13544">
        <v>7</v>
      </c>
      <c r="J13544" t="str" cm="1">
        <f t="array" ref="J13544">_xlfn.IFS(I13544&lt;=3,"small",I13544&lt;=6,"Medium",I13544&lt;=9,"Large")</f>
        <v>Large</v>
      </c>
      <c r="K13544" s="36">
        <v>45193</v>
      </c>
      <c r="L13544" s="36">
        <v>45194</v>
      </c>
      <c r="M13544" t="s">
        <v>598</v>
      </c>
      <c r="N13544" t="s">
        <v>608</v>
      </c>
      <c r="O13544" s="37" t="str">
        <f t="shared" si="1058"/>
        <v>Cash Payment</v>
      </c>
      <c r="P13544">
        <v>48.97</v>
      </c>
      <c r="Q13544" s="37" t="str">
        <f>IF(P13544&gt;500,"High","low")</f>
        <v>low</v>
      </c>
      <c r="R13544" s="37" t="str">
        <f t="shared" si="1059"/>
        <v>AVERAGE</v>
      </c>
      <c r="S13544" t="s">
        <v>609</v>
      </c>
    </row>
    <row r="13545" spans="1:19" x14ac:dyDescent="0.2">
      <c r="A13545" t="s">
        <v>14156</v>
      </c>
      <c r="B13545" t="s">
        <v>67</v>
      </c>
      <c r="C13545" t="s">
        <v>617</v>
      </c>
      <c r="D13545">
        <v>4689.79</v>
      </c>
      <c r="E13545" s="37" t="str">
        <f t="shared" si="1055"/>
        <v xml:space="preserve"> </v>
      </c>
      <c r="F13545">
        <v>0.19</v>
      </c>
      <c r="G13545" s="37" t="str">
        <f t="shared" si="1056"/>
        <v>Normal Discount</v>
      </c>
      <c r="H13545" s="37" t="str">
        <f t="shared" si="1057"/>
        <v>Low</v>
      </c>
      <c r="I13545">
        <v>7</v>
      </c>
      <c r="J13545" t="str" cm="1">
        <f t="array" ref="J13545">_xlfn.IFS(I13545&lt;=3,"small",I13545&lt;=6,"Medium",I13545&lt;=9,"Large")</f>
        <v>Large</v>
      </c>
      <c r="K13545" s="36">
        <v>45471</v>
      </c>
      <c r="L13545" s="36">
        <v>45475</v>
      </c>
      <c r="M13545" t="s">
        <v>603</v>
      </c>
      <c r="N13545" t="s">
        <v>608</v>
      </c>
      <c r="O13545" s="37" t="str">
        <f t="shared" si="1058"/>
        <v>Cash Payment</v>
      </c>
      <c r="P13545">
        <v>245.27</v>
      </c>
      <c r="Q13545" s="37" t="str">
        <f>IF(P13545&gt;500,"High","low")</f>
        <v>low</v>
      </c>
      <c r="R13545" s="37" t="str">
        <f t="shared" si="1059"/>
        <v>AVERAGE</v>
      </c>
      <c r="S13545" t="s">
        <v>615</v>
      </c>
    </row>
    <row r="13546" spans="1:19" x14ac:dyDescent="0.2">
      <c r="A13546" t="s">
        <v>14157</v>
      </c>
      <c r="B13546" t="s">
        <v>83</v>
      </c>
      <c r="C13546" t="s">
        <v>614</v>
      </c>
      <c r="D13546">
        <v>1785.46</v>
      </c>
      <c r="E13546" s="37" t="str">
        <f t="shared" si="1055"/>
        <v xml:space="preserve"> </v>
      </c>
      <c r="F13546">
        <v>0.31</v>
      </c>
      <c r="G13546" s="37" t="str">
        <f t="shared" si="1056"/>
        <v>Heavy Discount</v>
      </c>
      <c r="H13546" s="37" t="str">
        <f t="shared" si="1057"/>
        <v>Medium</v>
      </c>
      <c r="I13546">
        <v>9</v>
      </c>
      <c r="J13546" t="str" cm="1">
        <f t="array" ref="J13546">_xlfn.IFS(I13546&lt;=3,"small",I13546&lt;=6,"Medium",I13546&lt;=9,"Large")</f>
        <v>Large</v>
      </c>
      <c r="K13546" s="36">
        <v>45246</v>
      </c>
      <c r="L13546" s="36">
        <v>45248</v>
      </c>
      <c r="M13546" t="s">
        <v>603</v>
      </c>
      <c r="N13546" t="s">
        <v>599</v>
      </c>
      <c r="O13546" s="37" t="str">
        <f t="shared" si="1058"/>
        <v>Digital Payment</v>
      </c>
      <c r="P13546">
        <v>113.72</v>
      </c>
      <c r="Q13546" s="37" t="str">
        <f>IF(P13546&gt;500,"High","low")</f>
        <v>low</v>
      </c>
      <c r="R13546" s="37" t="str">
        <f t="shared" si="1059"/>
        <v>AVERAGE</v>
      </c>
      <c r="S13546" t="s">
        <v>615</v>
      </c>
    </row>
    <row r="13547" spans="1:19" x14ac:dyDescent="0.2">
      <c r="A13547" t="s">
        <v>14158</v>
      </c>
      <c r="B13547" t="s">
        <v>67</v>
      </c>
      <c r="C13547" t="s">
        <v>614</v>
      </c>
      <c r="D13547">
        <v>1621.01</v>
      </c>
      <c r="E13547" s="37" t="str">
        <f t="shared" si="1055"/>
        <v xml:space="preserve"> </v>
      </c>
      <c r="F13547">
        <v>0.11</v>
      </c>
      <c r="G13547" s="37" t="str">
        <f t="shared" si="1056"/>
        <v>Normal Discount</v>
      </c>
      <c r="H13547" s="37" t="str">
        <f t="shared" si="1057"/>
        <v>Low</v>
      </c>
      <c r="I13547">
        <v>3</v>
      </c>
      <c r="J13547" t="str" cm="1">
        <f t="array" ref="J13547">_xlfn.IFS(I13547&lt;=3,"small",I13547&lt;=6,"Medium",I13547&lt;=9,"Large")</f>
        <v>small</v>
      </c>
      <c r="K13547" s="36">
        <v>44984</v>
      </c>
      <c r="L13547" s="36">
        <v>44987</v>
      </c>
      <c r="M13547" t="s">
        <v>603</v>
      </c>
      <c r="N13547" t="s">
        <v>604</v>
      </c>
      <c r="O13547" s="37" t="str">
        <f t="shared" si="1058"/>
        <v>Digital Payment</v>
      </c>
      <c r="P13547">
        <v>275.12</v>
      </c>
      <c r="Q13547" s="37" t="str">
        <f>IF(P13547&gt;500,"High","low")</f>
        <v>low</v>
      </c>
      <c r="R13547" s="37" t="str">
        <f t="shared" si="1059"/>
        <v>AVERAGE</v>
      </c>
      <c r="S13547" t="s">
        <v>609</v>
      </c>
    </row>
    <row r="13548" spans="1:19" x14ac:dyDescent="0.2">
      <c r="A13548" t="s">
        <v>14159</v>
      </c>
      <c r="B13548" t="s">
        <v>83</v>
      </c>
      <c r="C13548" t="s">
        <v>597</v>
      </c>
      <c r="D13548">
        <v>1382.22</v>
      </c>
      <c r="E13548" s="37" t="str">
        <f t="shared" si="1055"/>
        <v xml:space="preserve"> </v>
      </c>
      <c r="F13548">
        <v>0.42</v>
      </c>
      <c r="G13548" s="37" t="str">
        <f t="shared" si="1056"/>
        <v>Heavy Discount</v>
      </c>
      <c r="H13548" s="37" t="str">
        <f t="shared" si="1057"/>
        <v>High</v>
      </c>
      <c r="I13548">
        <v>3</v>
      </c>
      <c r="J13548" t="str" cm="1">
        <f t="array" ref="J13548">_xlfn.IFS(I13548&lt;=3,"small",I13548&lt;=6,"Medium",I13548&lt;=9,"Large")</f>
        <v>small</v>
      </c>
      <c r="K13548" s="36">
        <v>45546</v>
      </c>
      <c r="L13548" s="36">
        <v>45548</v>
      </c>
      <c r="M13548" t="s">
        <v>612</v>
      </c>
      <c r="N13548" t="s">
        <v>599</v>
      </c>
      <c r="O13548" s="37" t="str">
        <f t="shared" si="1058"/>
        <v>Digital Payment</v>
      </c>
      <c r="P13548">
        <v>294.44</v>
      </c>
      <c r="Q13548" s="37" t="str">
        <f>IF(P13548&gt;500,"High","low")</f>
        <v>low</v>
      </c>
      <c r="R13548" s="37" t="str">
        <f t="shared" si="1059"/>
        <v>AVERAGE</v>
      </c>
      <c r="S13548" t="s">
        <v>609</v>
      </c>
    </row>
    <row r="13549" spans="1:19" x14ac:dyDescent="0.2">
      <c r="A13549" t="s">
        <v>14160</v>
      </c>
      <c r="B13549" t="s">
        <v>67</v>
      </c>
      <c r="C13549" t="s">
        <v>614</v>
      </c>
      <c r="D13549">
        <v>1298.23</v>
      </c>
      <c r="E13549" s="37" t="str">
        <f t="shared" si="1055"/>
        <v xml:space="preserve"> </v>
      </c>
      <c r="F13549">
        <v>0.19</v>
      </c>
      <c r="G13549" s="37" t="str">
        <f t="shared" si="1056"/>
        <v>Normal Discount</v>
      </c>
      <c r="H13549" s="37" t="str">
        <f t="shared" si="1057"/>
        <v>Low</v>
      </c>
      <c r="I13549">
        <v>7</v>
      </c>
      <c r="J13549" t="str" cm="1">
        <f t="array" ref="J13549">_xlfn.IFS(I13549&lt;=3,"small",I13549&lt;=6,"Medium",I13549&lt;=9,"Large")</f>
        <v>Large</v>
      </c>
      <c r="K13549" s="36">
        <v>45200</v>
      </c>
      <c r="L13549" s="36">
        <v>45204</v>
      </c>
      <c r="M13549" t="s">
        <v>603</v>
      </c>
      <c r="N13549" t="s">
        <v>599</v>
      </c>
      <c r="O13549" s="37" t="str">
        <f t="shared" si="1058"/>
        <v>Digital Payment</v>
      </c>
      <c r="P13549">
        <v>220.41</v>
      </c>
      <c r="Q13549" s="37" t="str">
        <f>IF(P13549&gt;500,"High","low")</f>
        <v>low</v>
      </c>
      <c r="R13549" s="37" t="str">
        <f t="shared" si="1059"/>
        <v>AVERAGE</v>
      </c>
      <c r="S13549" t="s">
        <v>605</v>
      </c>
    </row>
    <row r="13550" spans="1:19" x14ac:dyDescent="0.2">
      <c r="A13550" t="s">
        <v>14161</v>
      </c>
      <c r="B13550" t="s">
        <v>67</v>
      </c>
      <c r="C13550" t="s">
        <v>617</v>
      </c>
      <c r="D13550">
        <v>3699.31</v>
      </c>
      <c r="E13550" s="37" t="str">
        <f t="shared" si="1055"/>
        <v xml:space="preserve"> </v>
      </c>
      <c r="F13550">
        <v>0.24</v>
      </c>
      <c r="G13550" s="37" t="str">
        <f t="shared" si="1056"/>
        <v>Normal Discount</v>
      </c>
      <c r="H13550" s="37" t="str">
        <f t="shared" si="1057"/>
        <v>Medium</v>
      </c>
      <c r="I13550">
        <v>2</v>
      </c>
      <c r="J13550" t="str" cm="1">
        <f t="array" ref="J13550">_xlfn.IFS(I13550&lt;=3,"small",I13550&lt;=6,"Medium",I13550&lt;=9,"Large")</f>
        <v>small</v>
      </c>
      <c r="K13550" s="36">
        <v>45260</v>
      </c>
      <c r="L13550" s="36">
        <v>45264</v>
      </c>
      <c r="M13550" t="s">
        <v>612</v>
      </c>
      <c r="N13550" t="s">
        <v>608</v>
      </c>
      <c r="O13550" s="37" t="str">
        <f t="shared" si="1058"/>
        <v>Cash Payment</v>
      </c>
      <c r="P13550">
        <v>623.24</v>
      </c>
      <c r="Q13550" s="37" t="str">
        <f>IF(P13550&gt;500,"High","low")</f>
        <v>High</v>
      </c>
      <c r="R13550" s="37" t="str">
        <f t="shared" si="1059"/>
        <v>Good</v>
      </c>
      <c r="S13550" t="s">
        <v>628</v>
      </c>
    </row>
    <row r="13551" spans="1:19" x14ac:dyDescent="0.2">
      <c r="A13551" t="s">
        <v>14162</v>
      </c>
      <c r="B13551" t="s">
        <v>90</v>
      </c>
      <c r="C13551" t="s">
        <v>617</v>
      </c>
      <c r="D13551">
        <v>4548.68</v>
      </c>
      <c r="E13551" s="37" t="str">
        <f t="shared" si="1055"/>
        <v xml:space="preserve"> </v>
      </c>
      <c r="F13551">
        <v>0.37</v>
      </c>
      <c r="G13551" s="37" t="str">
        <f t="shared" si="1056"/>
        <v>Heavy Discount</v>
      </c>
      <c r="H13551" s="37" t="str">
        <f t="shared" si="1057"/>
        <v>Medium</v>
      </c>
      <c r="I13551">
        <v>3</v>
      </c>
      <c r="J13551" t="str" cm="1">
        <f t="array" ref="J13551">_xlfn.IFS(I13551&lt;=3,"small",I13551&lt;=6,"Medium",I13551&lt;=9,"Large")</f>
        <v>small</v>
      </c>
      <c r="K13551" s="36">
        <v>45611</v>
      </c>
      <c r="L13551" s="36">
        <v>45617</v>
      </c>
      <c r="M13551" t="s">
        <v>612</v>
      </c>
      <c r="N13551" t="s">
        <v>604</v>
      </c>
      <c r="O13551" s="37" t="str">
        <f t="shared" si="1058"/>
        <v>Digital Payment</v>
      </c>
      <c r="P13551">
        <v>603.04999999999995</v>
      </c>
      <c r="Q13551" s="37" t="str">
        <f>IF(P13551&gt;500,"High","low")</f>
        <v>High</v>
      </c>
      <c r="R13551" s="37" t="str">
        <f t="shared" si="1059"/>
        <v>Good</v>
      </c>
      <c r="S13551" t="s">
        <v>605</v>
      </c>
    </row>
    <row r="13552" spans="1:19" x14ac:dyDescent="0.2">
      <c r="A13552" t="s">
        <v>14163</v>
      </c>
      <c r="B13552" t="s">
        <v>67</v>
      </c>
      <c r="C13552" t="s">
        <v>614</v>
      </c>
      <c r="D13552">
        <v>3951.68</v>
      </c>
      <c r="E13552" s="37" t="str">
        <f t="shared" si="1055"/>
        <v xml:space="preserve"> </v>
      </c>
      <c r="F13552">
        <v>0.08</v>
      </c>
      <c r="G13552" s="37" t="str">
        <f t="shared" si="1056"/>
        <v>Normal Discount</v>
      </c>
      <c r="H13552" s="37" t="str">
        <f t="shared" si="1057"/>
        <v>Low</v>
      </c>
      <c r="I13552">
        <v>6</v>
      </c>
      <c r="J13552" t="str" cm="1">
        <f t="array" ref="J13552">_xlfn.IFS(I13552&lt;=3,"small",I13552&lt;=6,"Medium",I13552&lt;=9,"Large")</f>
        <v>Medium</v>
      </c>
      <c r="K13552" s="36">
        <v>45049</v>
      </c>
      <c r="L13552" s="36">
        <v>45055</v>
      </c>
      <c r="M13552" t="s">
        <v>612</v>
      </c>
      <c r="N13552" t="s">
        <v>604</v>
      </c>
      <c r="O13552" s="37" t="str">
        <f t="shared" si="1058"/>
        <v>Digital Payment</v>
      </c>
      <c r="P13552">
        <v>648.37</v>
      </c>
      <c r="Q13552" s="37" t="str">
        <f>IF(P13552&gt;500,"High","low")</f>
        <v>High</v>
      </c>
      <c r="R13552" s="37" t="str">
        <f t="shared" si="1059"/>
        <v>Good</v>
      </c>
      <c r="S13552" t="s">
        <v>600</v>
      </c>
    </row>
    <row r="13553" spans="1:19" x14ac:dyDescent="0.2">
      <c r="A13553" t="s">
        <v>14164</v>
      </c>
      <c r="B13553" t="s">
        <v>83</v>
      </c>
      <c r="C13553" t="s">
        <v>602</v>
      </c>
      <c r="D13553">
        <v>3403.13</v>
      </c>
      <c r="E13553" s="37" t="str">
        <f t="shared" si="1055"/>
        <v xml:space="preserve"> </v>
      </c>
      <c r="F13553">
        <v>0.13</v>
      </c>
      <c r="G13553" s="37" t="str">
        <f t="shared" si="1056"/>
        <v>Normal Discount</v>
      </c>
      <c r="H13553" s="37" t="str">
        <f t="shared" si="1057"/>
        <v>Low</v>
      </c>
      <c r="I13553">
        <v>9</v>
      </c>
      <c r="J13553" t="str" cm="1">
        <f t="array" ref="J13553">_xlfn.IFS(I13553&lt;=3,"small",I13553&lt;=6,"Medium",I13553&lt;=9,"Large")</f>
        <v>Large</v>
      </c>
      <c r="K13553" s="36">
        <v>45481</v>
      </c>
      <c r="L13553" s="36">
        <v>45488</v>
      </c>
      <c r="M13553" t="s">
        <v>612</v>
      </c>
      <c r="N13553" t="s">
        <v>608</v>
      </c>
      <c r="O13553" s="37" t="str">
        <f t="shared" si="1058"/>
        <v>Cash Payment</v>
      </c>
      <c r="P13553">
        <v>879.31</v>
      </c>
      <c r="Q13553" s="37" t="str">
        <f>IF(P13553&gt;500,"High","low")</f>
        <v>High</v>
      </c>
      <c r="R13553" s="37" t="str">
        <f t="shared" si="1059"/>
        <v>Good</v>
      </c>
      <c r="S13553" t="s">
        <v>605</v>
      </c>
    </row>
    <row r="13554" spans="1:19" x14ac:dyDescent="0.2">
      <c r="A13554" t="s">
        <v>14165</v>
      </c>
      <c r="B13554" t="s">
        <v>83</v>
      </c>
      <c r="C13554" t="s">
        <v>617</v>
      </c>
      <c r="D13554">
        <v>1510.01</v>
      </c>
      <c r="E13554" s="37" t="str">
        <f t="shared" si="1055"/>
        <v xml:space="preserve"> </v>
      </c>
      <c r="F13554">
        <v>0.08</v>
      </c>
      <c r="G13554" s="37" t="str">
        <f t="shared" si="1056"/>
        <v>Normal Discount</v>
      </c>
      <c r="H13554" s="37" t="str">
        <f t="shared" si="1057"/>
        <v>Low</v>
      </c>
      <c r="I13554">
        <v>4</v>
      </c>
      <c r="J13554" t="str" cm="1">
        <f t="array" ref="J13554">_xlfn.IFS(I13554&lt;=3,"small",I13554&lt;=6,"Medium",I13554&lt;=9,"Large")</f>
        <v>Medium</v>
      </c>
      <c r="K13554" s="36">
        <v>45074</v>
      </c>
      <c r="L13554" s="36">
        <v>45075</v>
      </c>
      <c r="M13554" t="s">
        <v>612</v>
      </c>
      <c r="N13554" t="s">
        <v>599</v>
      </c>
      <c r="O13554" s="37" t="str">
        <f t="shared" si="1058"/>
        <v>Digital Payment</v>
      </c>
      <c r="P13554">
        <v>362.95</v>
      </c>
      <c r="Q13554" s="37" t="str">
        <f>IF(P13554&gt;500,"High","low")</f>
        <v>low</v>
      </c>
      <c r="R13554" s="37" t="str">
        <f t="shared" si="1059"/>
        <v>AVERAGE</v>
      </c>
      <c r="S13554" t="s">
        <v>609</v>
      </c>
    </row>
    <row r="13555" spans="1:19" x14ac:dyDescent="0.2">
      <c r="A13555" t="s">
        <v>14166</v>
      </c>
      <c r="B13555" t="s">
        <v>75</v>
      </c>
      <c r="C13555" t="s">
        <v>597</v>
      </c>
      <c r="D13555">
        <v>2780.12</v>
      </c>
      <c r="E13555" s="37" t="str">
        <f t="shared" si="1055"/>
        <v xml:space="preserve"> </v>
      </c>
      <c r="F13555">
        <v>0.38</v>
      </c>
      <c r="G13555" s="37" t="str">
        <f t="shared" si="1056"/>
        <v>Heavy Discount</v>
      </c>
      <c r="H13555" s="37" t="str">
        <f t="shared" si="1057"/>
        <v>Medium</v>
      </c>
      <c r="I13555">
        <v>5</v>
      </c>
      <c r="J13555" t="str" cm="1">
        <f t="array" ref="J13555">_xlfn.IFS(I13555&lt;=3,"small",I13555&lt;=6,"Medium",I13555&lt;=9,"Large")</f>
        <v>Medium</v>
      </c>
      <c r="K13555" s="36">
        <v>45239</v>
      </c>
      <c r="L13555" s="36">
        <v>45240</v>
      </c>
      <c r="M13555" t="s">
        <v>598</v>
      </c>
      <c r="N13555" t="s">
        <v>604</v>
      </c>
      <c r="O13555" s="37" t="str">
        <f t="shared" si="1058"/>
        <v>Digital Payment</v>
      </c>
      <c r="P13555">
        <v>298.49</v>
      </c>
      <c r="Q13555" s="37" t="str">
        <f>IF(P13555&gt;500,"High","low")</f>
        <v>low</v>
      </c>
      <c r="R13555" s="37" t="str">
        <f t="shared" si="1059"/>
        <v>AVERAGE</v>
      </c>
      <c r="S13555" t="s">
        <v>609</v>
      </c>
    </row>
    <row r="13556" spans="1:19" x14ac:dyDescent="0.2">
      <c r="A13556" t="s">
        <v>14167</v>
      </c>
      <c r="B13556" t="s">
        <v>75</v>
      </c>
      <c r="C13556" t="s">
        <v>602</v>
      </c>
      <c r="D13556">
        <v>1261.1400000000001</v>
      </c>
      <c r="E13556" s="37" t="str">
        <f t="shared" si="1055"/>
        <v xml:space="preserve"> </v>
      </c>
      <c r="F13556">
        <v>0.05</v>
      </c>
      <c r="G13556" s="37" t="str">
        <f t="shared" si="1056"/>
        <v>Normal Discount</v>
      </c>
      <c r="H13556" s="37" t="str">
        <f t="shared" si="1057"/>
        <v>Low</v>
      </c>
      <c r="I13556">
        <v>6</v>
      </c>
      <c r="J13556" t="str" cm="1">
        <f t="array" ref="J13556">_xlfn.IFS(I13556&lt;=3,"small",I13556&lt;=6,"Medium",I13556&lt;=9,"Large")</f>
        <v>Medium</v>
      </c>
      <c r="K13556" s="36">
        <v>45136</v>
      </c>
      <c r="L13556" s="36">
        <v>45141</v>
      </c>
      <c r="M13556" t="s">
        <v>612</v>
      </c>
      <c r="N13556" t="s">
        <v>599</v>
      </c>
      <c r="O13556" s="37" t="str">
        <f t="shared" si="1058"/>
        <v>Digital Payment</v>
      </c>
      <c r="P13556">
        <v>289.68</v>
      </c>
      <c r="Q13556" s="37" t="str">
        <f>IF(P13556&gt;500,"High","low")</f>
        <v>low</v>
      </c>
      <c r="R13556" s="37" t="str">
        <f t="shared" si="1059"/>
        <v>AVERAGE</v>
      </c>
      <c r="S13556" t="s">
        <v>609</v>
      </c>
    </row>
    <row r="13557" spans="1:19" x14ac:dyDescent="0.2">
      <c r="A13557" t="s">
        <v>14168</v>
      </c>
      <c r="B13557" t="s">
        <v>90</v>
      </c>
      <c r="C13557" t="s">
        <v>614</v>
      </c>
      <c r="D13557">
        <v>646.38</v>
      </c>
      <c r="E13557" s="37" t="str">
        <f t="shared" si="1055"/>
        <v xml:space="preserve"> </v>
      </c>
      <c r="F13557">
        <v>0.24</v>
      </c>
      <c r="G13557" s="37" t="str">
        <f t="shared" si="1056"/>
        <v>Normal Discount</v>
      </c>
      <c r="H13557" s="37" t="str">
        <f t="shared" si="1057"/>
        <v>Medium</v>
      </c>
      <c r="I13557">
        <v>3</v>
      </c>
      <c r="J13557" t="str" cm="1">
        <f t="array" ref="J13557">_xlfn.IFS(I13557&lt;=3,"small",I13557&lt;=6,"Medium",I13557&lt;=9,"Large")</f>
        <v>small</v>
      </c>
      <c r="K13557" s="36">
        <v>45200</v>
      </c>
      <c r="L13557" s="36">
        <v>45207</v>
      </c>
      <c r="M13557" t="s">
        <v>612</v>
      </c>
      <c r="N13557" t="s">
        <v>608</v>
      </c>
      <c r="O13557" s="37" t="str">
        <f t="shared" si="1058"/>
        <v>Cash Payment</v>
      </c>
      <c r="P13557">
        <v>142.87</v>
      </c>
      <c r="Q13557" s="37" t="str">
        <f>IF(P13557&gt;500,"High","low")</f>
        <v>low</v>
      </c>
      <c r="R13557" s="37" t="str">
        <f t="shared" si="1059"/>
        <v>AVERAGE</v>
      </c>
      <c r="S13557" t="s">
        <v>600</v>
      </c>
    </row>
    <row r="13558" spans="1:19" x14ac:dyDescent="0.2">
      <c r="A13558" t="s">
        <v>14169</v>
      </c>
      <c r="B13558" t="s">
        <v>83</v>
      </c>
      <c r="C13558" t="s">
        <v>607</v>
      </c>
      <c r="D13558">
        <v>689.44</v>
      </c>
      <c r="E13558" s="37" t="str">
        <f t="shared" si="1055"/>
        <v xml:space="preserve"> </v>
      </c>
      <c r="F13558">
        <v>0.37</v>
      </c>
      <c r="G13558" s="37" t="str">
        <f t="shared" si="1056"/>
        <v>Heavy Discount</v>
      </c>
      <c r="H13558" s="37" t="str">
        <f t="shared" si="1057"/>
        <v>Medium</v>
      </c>
      <c r="I13558">
        <v>2</v>
      </c>
      <c r="J13558" t="str" cm="1">
        <f t="array" ref="J13558">_xlfn.IFS(I13558&lt;=3,"small",I13558&lt;=6,"Medium",I13558&lt;=9,"Large")</f>
        <v>small</v>
      </c>
      <c r="K13558" s="36">
        <v>45071</v>
      </c>
      <c r="L13558" s="36">
        <v>45078</v>
      </c>
      <c r="M13558" t="s">
        <v>612</v>
      </c>
      <c r="N13558" t="s">
        <v>608</v>
      </c>
      <c r="O13558" s="37" t="str">
        <f t="shared" si="1058"/>
        <v>Cash Payment</v>
      </c>
      <c r="P13558">
        <v>57.51</v>
      </c>
      <c r="Q13558" s="37" t="str">
        <f>IF(P13558&gt;500,"High","low")</f>
        <v>low</v>
      </c>
      <c r="R13558" s="37" t="str">
        <f t="shared" si="1059"/>
        <v>AVERAGE</v>
      </c>
      <c r="S13558" t="s">
        <v>609</v>
      </c>
    </row>
    <row r="13559" spans="1:19" x14ac:dyDescent="0.2">
      <c r="A13559" t="s">
        <v>14170</v>
      </c>
      <c r="B13559" t="s">
        <v>83</v>
      </c>
      <c r="C13559" t="s">
        <v>617</v>
      </c>
      <c r="D13559">
        <v>3058.47</v>
      </c>
      <c r="E13559" s="37" t="str">
        <f t="shared" si="1055"/>
        <v xml:space="preserve"> </v>
      </c>
      <c r="F13559">
        <v>0.25</v>
      </c>
      <c r="G13559" s="37" t="str">
        <f t="shared" si="1056"/>
        <v>Normal Discount</v>
      </c>
      <c r="H13559" s="37" t="str">
        <f t="shared" si="1057"/>
        <v>Medium</v>
      </c>
      <c r="I13559">
        <v>4</v>
      </c>
      <c r="J13559" t="str" cm="1">
        <f t="array" ref="J13559">_xlfn.IFS(I13559&lt;=3,"small",I13559&lt;=6,"Medium",I13559&lt;=9,"Large")</f>
        <v>Medium</v>
      </c>
      <c r="K13559" s="36">
        <v>45527</v>
      </c>
      <c r="L13559" s="36">
        <v>45531</v>
      </c>
      <c r="M13559" t="s">
        <v>598</v>
      </c>
      <c r="N13559" t="s">
        <v>599</v>
      </c>
      <c r="O13559" s="37" t="str">
        <f t="shared" si="1058"/>
        <v>Digital Payment</v>
      </c>
      <c r="P13559">
        <v>813.18</v>
      </c>
      <c r="Q13559" s="37" t="str">
        <f>IF(P13559&gt;500,"High","low")</f>
        <v>High</v>
      </c>
      <c r="R13559" s="37" t="str">
        <f t="shared" si="1059"/>
        <v>Good</v>
      </c>
      <c r="S13559" t="s">
        <v>600</v>
      </c>
    </row>
    <row r="13560" spans="1:19" x14ac:dyDescent="0.2">
      <c r="A13560" t="s">
        <v>14171</v>
      </c>
      <c r="B13560" t="s">
        <v>83</v>
      </c>
      <c r="C13560" t="s">
        <v>607</v>
      </c>
      <c r="D13560">
        <v>288.55</v>
      </c>
      <c r="E13560" s="37" t="str">
        <f t="shared" si="1055"/>
        <v xml:space="preserve"> </v>
      </c>
      <c r="F13560">
        <v>0.25</v>
      </c>
      <c r="G13560" s="37" t="str">
        <f t="shared" si="1056"/>
        <v>Normal Discount</v>
      </c>
      <c r="H13560" s="37" t="str">
        <f t="shared" si="1057"/>
        <v>Medium</v>
      </c>
      <c r="I13560">
        <v>6</v>
      </c>
      <c r="J13560" t="str" cm="1">
        <f t="array" ref="J13560">_xlfn.IFS(I13560&lt;=3,"small",I13560&lt;=6,"Medium",I13560&lt;=9,"Large")</f>
        <v>Medium</v>
      </c>
      <c r="K13560" s="36">
        <v>45300</v>
      </c>
      <c r="L13560" s="36">
        <v>45307</v>
      </c>
      <c r="M13560" t="s">
        <v>603</v>
      </c>
      <c r="N13560" t="s">
        <v>599</v>
      </c>
      <c r="O13560" s="37" t="str">
        <f t="shared" si="1058"/>
        <v>Digital Payment</v>
      </c>
      <c r="P13560">
        <v>18.77</v>
      </c>
      <c r="Q13560" s="37" t="str">
        <f>IF(P13560&gt;500,"High","low")</f>
        <v>low</v>
      </c>
      <c r="R13560" s="37" t="str">
        <f t="shared" si="1059"/>
        <v>AVERAGE</v>
      </c>
      <c r="S13560" t="s">
        <v>605</v>
      </c>
    </row>
    <row r="13561" spans="1:19" x14ac:dyDescent="0.2">
      <c r="A13561" t="s">
        <v>14172</v>
      </c>
      <c r="B13561" t="s">
        <v>90</v>
      </c>
      <c r="C13561" t="s">
        <v>597</v>
      </c>
      <c r="D13561">
        <v>4868.95</v>
      </c>
      <c r="E13561" s="37" t="str">
        <f t="shared" si="1055"/>
        <v xml:space="preserve"> </v>
      </c>
      <c r="F13561">
        <v>0.03</v>
      </c>
      <c r="G13561" s="37" t="str">
        <f t="shared" si="1056"/>
        <v>Normal Discount</v>
      </c>
      <c r="H13561" s="37" t="str">
        <f t="shared" si="1057"/>
        <v>Low</v>
      </c>
      <c r="I13561">
        <v>4</v>
      </c>
      <c r="J13561" t="str" cm="1">
        <f t="array" ref="J13561">_xlfn.IFS(I13561&lt;=3,"small",I13561&lt;=6,"Medium",I13561&lt;=9,"Large")</f>
        <v>Medium</v>
      </c>
      <c r="K13561" s="36">
        <v>45282</v>
      </c>
      <c r="L13561" s="36">
        <v>45287</v>
      </c>
      <c r="M13561" t="s">
        <v>598</v>
      </c>
      <c r="N13561" t="s">
        <v>604</v>
      </c>
      <c r="O13561" s="37" t="str">
        <f t="shared" si="1058"/>
        <v>Digital Payment</v>
      </c>
      <c r="P13561">
        <v>249.15</v>
      </c>
      <c r="Q13561" s="37" t="str">
        <f>IF(P13561&gt;500,"High","low")</f>
        <v>low</v>
      </c>
      <c r="R13561" s="37" t="str">
        <f t="shared" si="1059"/>
        <v>AVERAGE</v>
      </c>
      <c r="S13561" t="s">
        <v>600</v>
      </c>
    </row>
    <row r="13562" spans="1:19" x14ac:dyDescent="0.2">
      <c r="A13562" t="s">
        <v>14173</v>
      </c>
      <c r="B13562" t="s">
        <v>83</v>
      </c>
      <c r="C13562" t="s">
        <v>602</v>
      </c>
      <c r="D13562">
        <v>4977.79</v>
      </c>
      <c r="E13562" s="37" t="str">
        <f t="shared" si="1055"/>
        <v>Excellent Order</v>
      </c>
      <c r="F13562">
        <v>0.39</v>
      </c>
      <c r="G13562" s="37" t="str">
        <f t="shared" si="1056"/>
        <v>Heavy Discount</v>
      </c>
      <c r="H13562" s="37" t="str">
        <f t="shared" si="1057"/>
        <v>Medium</v>
      </c>
      <c r="I13562">
        <v>8</v>
      </c>
      <c r="J13562" t="str" cm="1">
        <f t="array" ref="J13562">_xlfn.IFS(I13562&lt;=3,"small",I13562&lt;=6,"Medium",I13562&lt;=9,"Large")</f>
        <v>Large</v>
      </c>
      <c r="K13562" s="36">
        <v>45477</v>
      </c>
      <c r="L13562" s="36">
        <v>45482</v>
      </c>
      <c r="M13562" t="s">
        <v>598</v>
      </c>
      <c r="N13562" t="s">
        <v>604</v>
      </c>
      <c r="O13562" s="37" t="str">
        <f t="shared" si="1058"/>
        <v>Digital Payment</v>
      </c>
      <c r="P13562">
        <v>1251.19</v>
      </c>
      <c r="Q13562" s="37" t="str">
        <f>IF(P13562&gt;500,"High","low")</f>
        <v>High</v>
      </c>
      <c r="R13562" s="37" t="str">
        <f t="shared" si="1059"/>
        <v>Excellent</v>
      </c>
      <c r="S13562" t="s">
        <v>620</v>
      </c>
    </row>
    <row r="13563" spans="1:19" x14ac:dyDescent="0.2">
      <c r="A13563" t="s">
        <v>14174</v>
      </c>
      <c r="B13563" t="s">
        <v>75</v>
      </c>
      <c r="C13563" t="s">
        <v>607</v>
      </c>
      <c r="D13563">
        <v>832.18</v>
      </c>
      <c r="E13563" s="37" t="str">
        <f t="shared" si="1055"/>
        <v xml:space="preserve"> </v>
      </c>
      <c r="F13563">
        <v>0.3</v>
      </c>
      <c r="G13563" s="37" t="str">
        <f t="shared" si="1056"/>
        <v>Normal Discount</v>
      </c>
      <c r="H13563" s="37" t="str">
        <f t="shared" si="1057"/>
        <v>Medium</v>
      </c>
      <c r="I13563">
        <v>9</v>
      </c>
      <c r="J13563" t="str" cm="1">
        <f t="array" ref="J13563">_xlfn.IFS(I13563&lt;=3,"small",I13563&lt;=6,"Medium",I13563&lt;=9,"Large")</f>
        <v>Large</v>
      </c>
      <c r="K13563" s="36">
        <v>45390</v>
      </c>
      <c r="L13563" s="36">
        <v>45397</v>
      </c>
      <c r="M13563" t="s">
        <v>612</v>
      </c>
      <c r="N13563" t="s">
        <v>608</v>
      </c>
      <c r="O13563" s="37" t="str">
        <f t="shared" si="1058"/>
        <v>Cash Payment</v>
      </c>
      <c r="P13563">
        <v>176.43</v>
      </c>
      <c r="Q13563" s="37" t="str">
        <f>IF(P13563&gt;500,"High","low")</f>
        <v>low</v>
      </c>
      <c r="R13563" s="37" t="str">
        <f t="shared" si="1059"/>
        <v>AVERAGE</v>
      </c>
      <c r="S13563" t="s">
        <v>628</v>
      </c>
    </row>
    <row r="13564" spans="1:19" x14ac:dyDescent="0.2">
      <c r="A13564" t="s">
        <v>14175</v>
      </c>
      <c r="B13564" t="s">
        <v>90</v>
      </c>
      <c r="C13564" t="s">
        <v>597</v>
      </c>
      <c r="D13564">
        <v>2193.7800000000002</v>
      </c>
      <c r="E13564" s="37" t="str">
        <f t="shared" si="1055"/>
        <v xml:space="preserve"> </v>
      </c>
      <c r="F13564">
        <v>0.33</v>
      </c>
      <c r="G13564" s="37" t="str">
        <f t="shared" si="1056"/>
        <v>Heavy Discount</v>
      </c>
      <c r="H13564" s="37" t="str">
        <f t="shared" si="1057"/>
        <v>Medium</v>
      </c>
      <c r="I13564">
        <v>8</v>
      </c>
      <c r="J13564" t="str" cm="1">
        <f t="array" ref="J13564">_xlfn.IFS(I13564&lt;=3,"small",I13564&lt;=6,"Medium",I13564&lt;=9,"Large")</f>
        <v>Large</v>
      </c>
      <c r="K13564" s="36">
        <v>45093</v>
      </c>
      <c r="L13564" s="36">
        <v>45094</v>
      </c>
      <c r="M13564" t="s">
        <v>603</v>
      </c>
      <c r="N13564" t="s">
        <v>599</v>
      </c>
      <c r="O13564" s="37" t="str">
        <f t="shared" si="1058"/>
        <v>Digital Payment</v>
      </c>
      <c r="P13564">
        <v>213.88</v>
      </c>
      <c r="Q13564" s="37" t="str">
        <f>IF(P13564&gt;500,"High","low")</f>
        <v>low</v>
      </c>
      <c r="R13564" s="37" t="str">
        <f t="shared" si="1059"/>
        <v>AVERAGE</v>
      </c>
      <c r="S13564" t="s">
        <v>628</v>
      </c>
    </row>
    <row r="13565" spans="1:19" x14ac:dyDescent="0.2">
      <c r="A13565" t="s">
        <v>14176</v>
      </c>
      <c r="B13565" t="s">
        <v>75</v>
      </c>
      <c r="C13565" t="s">
        <v>607</v>
      </c>
      <c r="D13565">
        <v>3863.57</v>
      </c>
      <c r="E13565" s="37" t="str">
        <f t="shared" si="1055"/>
        <v xml:space="preserve"> </v>
      </c>
      <c r="F13565">
        <v>0.38</v>
      </c>
      <c r="G13565" s="37" t="str">
        <f t="shared" si="1056"/>
        <v>Heavy Discount</v>
      </c>
      <c r="H13565" s="37" t="str">
        <f t="shared" si="1057"/>
        <v>Medium</v>
      </c>
      <c r="I13565">
        <v>7</v>
      </c>
      <c r="J13565" t="str" cm="1">
        <f t="array" ref="J13565">_xlfn.IFS(I13565&lt;=3,"small",I13565&lt;=6,"Medium",I13565&lt;=9,"Large")</f>
        <v>Large</v>
      </c>
      <c r="K13565" s="36">
        <v>45270</v>
      </c>
      <c r="L13565" s="36">
        <v>45273</v>
      </c>
      <c r="M13565" t="s">
        <v>612</v>
      </c>
      <c r="N13565" t="s">
        <v>599</v>
      </c>
      <c r="O13565" s="37" t="str">
        <f t="shared" si="1058"/>
        <v>Digital Payment</v>
      </c>
      <c r="P13565">
        <v>892.86</v>
      </c>
      <c r="Q13565" s="37" t="str">
        <f>IF(P13565&gt;500,"High","low")</f>
        <v>High</v>
      </c>
      <c r="R13565" s="37" t="str">
        <f t="shared" si="1059"/>
        <v>Good</v>
      </c>
      <c r="S13565" t="s">
        <v>628</v>
      </c>
    </row>
    <row r="13566" spans="1:19" x14ac:dyDescent="0.2">
      <c r="A13566" t="s">
        <v>14177</v>
      </c>
      <c r="B13566" t="s">
        <v>75</v>
      </c>
      <c r="C13566" t="s">
        <v>607</v>
      </c>
      <c r="D13566">
        <v>4779.83</v>
      </c>
      <c r="E13566" s="37" t="str">
        <f t="shared" si="1055"/>
        <v>Excellent Order</v>
      </c>
      <c r="F13566">
        <v>0.28000000000000003</v>
      </c>
      <c r="G13566" s="37" t="str">
        <f t="shared" si="1056"/>
        <v>Normal Discount</v>
      </c>
      <c r="H13566" s="37" t="str">
        <f t="shared" si="1057"/>
        <v>Medium</v>
      </c>
      <c r="I13566">
        <v>2</v>
      </c>
      <c r="J13566" t="str" cm="1">
        <f t="array" ref="J13566">_xlfn.IFS(I13566&lt;=3,"small",I13566&lt;=6,"Medium",I13566&lt;=9,"Large")</f>
        <v>small</v>
      </c>
      <c r="K13566" s="36">
        <v>45075</v>
      </c>
      <c r="L13566" s="36">
        <v>45076</v>
      </c>
      <c r="M13566" t="s">
        <v>598</v>
      </c>
      <c r="N13566" t="s">
        <v>608</v>
      </c>
      <c r="O13566" s="37" t="str">
        <f t="shared" si="1058"/>
        <v>Cash Payment</v>
      </c>
      <c r="P13566">
        <v>1289.73</v>
      </c>
      <c r="Q13566" s="37" t="str">
        <f>IF(P13566&gt;500,"High","low")</f>
        <v>High</v>
      </c>
      <c r="R13566" s="37" t="str">
        <f t="shared" si="1059"/>
        <v>Excellent</v>
      </c>
      <c r="S13566" t="s">
        <v>609</v>
      </c>
    </row>
    <row r="13567" spans="1:19" x14ac:dyDescent="0.2">
      <c r="A13567" t="s">
        <v>14178</v>
      </c>
      <c r="B13567" t="s">
        <v>90</v>
      </c>
      <c r="C13567" t="s">
        <v>597</v>
      </c>
      <c r="D13567">
        <v>4467.47</v>
      </c>
      <c r="E13567" s="37" t="str">
        <f t="shared" si="1055"/>
        <v xml:space="preserve"> </v>
      </c>
      <c r="F13567">
        <v>0.25</v>
      </c>
      <c r="G13567" s="37" t="str">
        <f t="shared" si="1056"/>
        <v>Normal Discount</v>
      </c>
      <c r="H13567" s="37" t="str">
        <f t="shared" si="1057"/>
        <v>Medium</v>
      </c>
      <c r="I13567">
        <v>2</v>
      </c>
      <c r="J13567" t="str" cm="1">
        <f t="array" ref="J13567">_xlfn.IFS(I13567&lt;=3,"small",I13567&lt;=6,"Medium",I13567&lt;=9,"Large")</f>
        <v>small</v>
      </c>
      <c r="K13567" s="36">
        <v>45211</v>
      </c>
      <c r="L13567" s="36">
        <v>45213</v>
      </c>
      <c r="M13567" t="s">
        <v>603</v>
      </c>
      <c r="N13567" t="s">
        <v>599</v>
      </c>
      <c r="O13567" s="37" t="str">
        <f t="shared" si="1058"/>
        <v>Digital Payment</v>
      </c>
      <c r="P13567">
        <v>420.43</v>
      </c>
      <c r="Q13567" s="37" t="str">
        <f>IF(P13567&gt;500,"High","low")</f>
        <v>low</v>
      </c>
      <c r="R13567" s="37" t="str">
        <f t="shared" si="1059"/>
        <v>AVERAGE</v>
      </c>
      <c r="S13567" t="s">
        <v>628</v>
      </c>
    </row>
    <row r="13568" spans="1:19" x14ac:dyDescent="0.2">
      <c r="A13568" t="s">
        <v>14179</v>
      </c>
      <c r="B13568" t="s">
        <v>67</v>
      </c>
      <c r="C13568" t="s">
        <v>617</v>
      </c>
      <c r="D13568">
        <v>1348.3</v>
      </c>
      <c r="E13568" s="37" t="str">
        <f t="shared" si="1055"/>
        <v xml:space="preserve"> </v>
      </c>
      <c r="F13568">
        <v>0.33</v>
      </c>
      <c r="G13568" s="37" t="str">
        <f t="shared" si="1056"/>
        <v>Heavy Discount</v>
      </c>
      <c r="H13568" s="37" t="str">
        <f t="shared" si="1057"/>
        <v>Medium</v>
      </c>
      <c r="I13568">
        <v>5</v>
      </c>
      <c r="J13568" t="str" cm="1">
        <f t="array" ref="J13568">_xlfn.IFS(I13568&lt;=3,"small",I13568&lt;=6,"Medium",I13568&lt;=9,"Large")</f>
        <v>Medium</v>
      </c>
      <c r="K13568" s="36">
        <v>45280</v>
      </c>
      <c r="L13568" s="36">
        <v>45283</v>
      </c>
      <c r="M13568" t="s">
        <v>598</v>
      </c>
      <c r="N13568" t="s">
        <v>599</v>
      </c>
      <c r="O13568" s="37" t="str">
        <f t="shared" si="1058"/>
        <v>Digital Payment</v>
      </c>
      <c r="P13568">
        <v>180.31</v>
      </c>
      <c r="Q13568" s="37" t="str">
        <f>IF(P13568&gt;500,"High","low")</f>
        <v>low</v>
      </c>
      <c r="R13568" s="37" t="str">
        <f t="shared" si="1059"/>
        <v>AVERAGE</v>
      </c>
      <c r="S13568" t="s">
        <v>620</v>
      </c>
    </row>
    <row r="13569" spans="1:19" x14ac:dyDescent="0.2">
      <c r="A13569" t="s">
        <v>14180</v>
      </c>
      <c r="B13569" t="s">
        <v>67</v>
      </c>
      <c r="C13569" t="s">
        <v>607</v>
      </c>
      <c r="D13569">
        <v>517.46</v>
      </c>
      <c r="E13569" s="37" t="str">
        <f t="shared" si="1055"/>
        <v xml:space="preserve"> </v>
      </c>
      <c r="F13569">
        <v>0.45</v>
      </c>
      <c r="G13569" s="37" t="str">
        <f t="shared" si="1056"/>
        <v>Heavy Discount</v>
      </c>
      <c r="H13569" s="37" t="str">
        <f t="shared" si="1057"/>
        <v>High</v>
      </c>
      <c r="I13569">
        <v>4</v>
      </c>
      <c r="J13569" t="str" cm="1">
        <f t="array" ref="J13569">_xlfn.IFS(I13569&lt;=3,"small",I13569&lt;=6,"Medium",I13569&lt;=9,"Large")</f>
        <v>Medium</v>
      </c>
      <c r="K13569" s="36">
        <v>45187</v>
      </c>
      <c r="L13569" s="36">
        <v>45193</v>
      </c>
      <c r="M13569" t="s">
        <v>598</v>
      </c>
      <c r="N13569" t="s">
        <v>599</v>
      </c>
      <c r="O13569" s="37" t="str">
        <f t="shared" si="1058"/>
        <v>Digital Payment</v>
      </c>
      <c r="P13569">
        <v>132.16999999999999</v>
      </c>
      <c r="Q13569" s="37" t="str">
        <f>IF(P13569&gt;500,"High","low")</f>
        <v>low</v>
      </c>
      <c r="R13569" s="37" t="str">
        <f t="shared" si="1059"/>
        <v>AVERAGE</v>
      </c>
      <c r="S13569" t="s">
        <v>600</v>
      </c>
    </row>
    <row r="13570" spans="1:19" x14ac:dyDescent="0.2">
      <c r="A13570" t="s">
        <v>14181</v>
      </c>
      <c r="B13570" t="s">
        <v>75</v>
      </c>
      <c r="C13570" t="s">
        <v>597</v>
      </c>
      <c r="D13570">
        <v>1514.77</v>
      </c>
      <c r="E13570" s="37" t="str">
        <f t="shared" si="1055"/>
        <v xml:space="preserve"> </v>
      </c>
      <c r="F13570">
        <v>0.32</v>
      </c>
      <c r="G13570" s="37" t="str">
        <f t="shared" si="1056"/>
        <v>Heavy Discount</v>
      </c>
      <c r="H13570" s="37" t="str">
        <f t="shared" si="1057"/>
        <v>Medium</v>
      </c>
      <c r="I13570">
        <v>4</v>
      </c>
      <c r="J13570" t="str" cm="1">
        <f t="array" ref="J13570">_xlfn.IFS(I13570&lt;=3,"small",I13570&lt;=6,"Medium",I13570&lt;=9,"Large")</f>
        <v>Medium</v>
      </c>
      <c r="K13570" s="36">
        <v>45633</v>
      </c>
      <c r="L13570" s="36">
        <v>45637</v>
      </c>
      <c r="M13570" t="s">
        <v>598</v>
      </c>
      <c r="N13570" t="s">
        <v>608</v>
      </c>
      <c r="O13570" s="37" t="str">
        <f t="shared" si="1058"/>
        <v>Cash Payment</v>
      </c>
      <c r="P13570">
        <v>364.37</v>
      </c>
      <c r="Q13570" s="37" t="str">
        <f>IF(P13570&gt;500,"High","low")</f>
        <v>low</v>
      </c>
      <c r="R13570" s="37" t="str">
        <f t="shared" si="1059"/>
        <v>AVERAGE</v>
      </c>
      <c r="S13570" t="s">
        <v>605</v>
      </c>
    </row>
    <row r="13571" spans="1:19" x14ac:dyDescent="0.2">
      <c r="A13571" t="s">
        <v>14182</v>
      </c>
      <c r="B13571" t="s">
        <v>67</v>
      </c>
      <c r="C13571" t="s">
        <v>607</v>
      </c>
      <c r="D13571">
        <v>2242.46</v>
      </c>
      <c r="E13571" s="37" t="str">
        <f t="shared" ref="E13571:E13634" si="1060">IF(AND(D13571&gt;4000,P13571&gt;800),"Excellent Order"," ")</f>
        <v xml:space="preserve"> </v>
      </c>
      <c r="F13571">
        <v>0.39</v>
      </c>
      <c r="G13571" s="37" t="str">
        <f t="shared" ref="G13571:G13634" si="1061">IF(F13571&gt;30%,"Heavy Discount","Normal Discount")</f>
        <v>Heavy Discount</v>
      </c>
      <c r="H13571" s="37" t="str">
        <f t="shared" ref="H13571:H13634" si="1062">IF(F13571&gt;0.4,"High",IF(F13571&gt;=0.2,"Medium","Low"))</f>
        <v>Medium</v>
      </c>
      <c r="I13571">
        <v>4</v>
      </c>
      <c r="J13571" t="str" cm="1">
        <f t="array" ref="J13571">_xlfn.IFS(I13571&lt;=3,"small",I13571&lt;=6,"Medium",I13571&lt;=9,"Large")</f>
        <v>Medium</v>
      </c>
      <c r="K13571" s="36">
        <v>45575</v>
      </c>
      <c r="L13571" s="36">
        <v>45578</v>
      </c>
      <c r="M13571" t="s">
        <v>603</v>
      </c>
      <c r="N13571" t="s">
        <v>599</v>
      </c>
      <c r="O13571" s="37" t="str">
        <f t="shared" ref="O13571:O13634" si="1063">IF(OR(N13571="Card",N13571="UPI"),"Digital Payment","Cash Payment")</f>
        <v>Digital Payment</v>
      </c>
      <c r="P13571">
        <v>451.99</v>
      </c>
      <c r="Q13571" s="37" t="str">
        <f>IF(P13571&gt;500,"High","low")</f>
        <v>low</v>
      </c>
      <c r="R13571" s="37" t="str">
        <f t="shared" ref="R13571:R13634" si="1064">IF(P13571&gt;1000,"Excellent",IF(P13571&gt;=500,"Good","AVERAGE"))</f>
        <v>AVERAGE</v>
      </c>
      <c r="S13571" t="s">
        <v>609</v>
      </c>
    </row>
    <row r="13572" spans="1:19" x14ac:dyDescent="0.2">
      <c r="A13572" t="s">
        <v>14183</v>
      </c>
      <c r="B13572" t="s">
        <v>83</v>
      </c>
      <c r="C13572" t="s">
        <v>617</v>
      </c>
      <c r="D13572">
        <v>1863.7</v>
      </c>
      <c r="E13572" s="37" t="str">
        <f t="shared" si="1060"/>
        <v xml:space="preserve"> </v>
      </c>
      <c r="F13572">
        <v>0.24</v>
      </c>
      <c r="G13572" s="37" t="str">
        <f t="shared" si="1061"/>
        <v>Normal Discount</v>
      </c>
      <c r="H13572" s="37" t="str">
        <f t="shared" si="1062"/>
        <v>Medium</v>
      </c>
      <c r="I13572">
        <v>7</v>
      </c>
      <c r="J13572" t="str" cm="1">
        <f t="array" ref="J13572">_xlfn.IFS(I13572&lt;=3,"small",I13572&lt;=6,"Medium",I13572&lt;=9,"Large")</f>
        <v>Large</v>
      </c>
      <c r="K13572" s="36">
        <v>45633</v>
      </c>
      <c r="L13572" s="36">
        <v>45637</v>
      </c>
      <c r="M13572" t="s">
        <v>612</v>
      </c>
      <c r="N13572" t="s">
        <v>604</v>
      </c>
      <c r="O13572" s="37" t="str">
        <f t="shared" si="1063"/>
        <v>Digital Payment</v>
      </c>
      <c r="P13572">
        <v>274.74</v>
      </c>
      <c r="Q13572" s="37" t="str">
        <f>IF(P13572&gt;500,"High","low")</f>
        <v>low</v>
      </c>
      <c r="R13572" s="37" t="str">
        <f t="shared" si="1064"/>
        <v>AVERAGE</v>
      </c>
      <c r="S13572" t="s">
        <v>609</v>
      </c>
    </row>
    <row r="13573" spans="1:19" x14ac:dyDescent="0.2">
      <c r="A13573" t="s">
        <v>14184</v>
      </c>
      <c r="B13573" t="s">
        <v>90</v>
      </c>
      <c r="C13573" t="s">
        <v>597</v>
      </c>
      <c r="D13573">
        <v>3891.96</v>
      </c>
      <c r="E13573" s="37" t="str">
        <f t="shared" si="1060"/>
        <v xml:space="preserve"> </v>
      </c>
      <c r="F13573">
        <v>0.28999999999999998</v>
      </c>
      <c r="G13573" s="37" t="str">
        <f t="shared" si="1061"/>
        <v>Normal Discount</v>
      </c>
      <c r="H13573" s="37" t="str">
        <f t="shared" si="1062"/>
        <v>Medium</v>
      </c>
      <c r="I13573">
        <v>3</v>
      </c>
      <c r="J13573" t="str" cm="1">
        <f t="array" ref="J13573">_xlfn.IFS(I13573&lt;=3,"small",I13573&lt;=6,"Medium",I13573&lt;=9,"Large")</f>
        <v>small</v>
      </c>
      <c r="K13573" s="36">
        <v>45098</v>
      </c>
      <c r="L13573" s="36">
        <v>45102</v>
      </c>
      <c r="M13573" t="s">
        <v>612</v>
      </c>
      <c r="N13573" t="s">
        <v>604</v>
      </c>
      <c r="O13573" s="37" t="str">
        <f t="shared" si="1063"/>
        <v>Digital Payment</v>
      </c>
      <c r="P13573">
        <v>598.89</v>
      </c>
      <c r="Q13573" s="37" t="str">
        <f>IF(P13573&gt;500,"High","low")</f>
        <v>High</v>
      </c>
      <c r="R13573" s="37" t="str">
        <f t="shared" si="1064"/>
        <v>Good</v>
      </c>
      <c r="S13573" t="s">
        <v>620</v>
      </c>
    </row>
    <row r="13574" spans="1:19" x14ac:dyDescent="0.2">
      <c r="A13574" t="s">
        <v>14185</v>
      </c>
      <c r="B13574" t="s">
        <v>75</v>
      </c>
      <c r="C13574" t="s">
        <v>607</v>
      </c>
      <c r="D13574">
        <v>1363.16</v>
      </c>
      <c r="E13574" s="37" t="str">
        <f t="shared" si="1060"/>
        <v xml:space="preserve"> </v>
      </c>
      <c r="F13574">
        <v>0.09</v>
      </c>
      <c r="G13574" s="37" t="str">
        <f t="shared" si="1061"/>
        <v>Normal Discount</v>
      </c>
      <c r="H13574" s="37" t="str">
        <f t="shared" si="1062"/>
        <v>Low</v>
      </c>
      <c r="I13574">
        <v>2</v>
      </c>
      <c r="J13574" t="str" cm="1">
        <f t="array" ref="J13574">_xlfn.IFS(I13574&lt;=3,"small",I13574&lt;=6,"Medium",I13574&lt;=9,"Large")</f>
        <v>small</v>
      </c>
      <c r="K13574" s="36">
        <v>45116</v>
      </c>
      <c r="L13574" s="36">
        <v>45121</v>
      </c>
      <c r="M13574" t="s">
        <v>603</v>
      </c>
      <c r="N13574" t="s">
        <v>608</v>
      </c>
      <c r="O13574" s="37" t="str">
        <f t="shared" si="1063"/>
        <v>Cash Payment</v>
      </c>
      <c r="P13574">
        <v>215.52</v>
      </c>
      <c r="Q13574" s="37" t="str">
        <f>IF(P13574&gt;500,"High","low")</f>
        <v>low</v>
      </c>
      <c r="R13574" s="37" t="str">
        <f t="shared" si="1064"/>
        <v>AVERAGE</v>
      </c>
      <c r="S13574" t="s">
        <v>600</v>
      </c>
    </row>
    <row r="13575" spans="1:19" x14ac:dyDescent="0.2">
      <c r="A13575" t="s">
        <v>14186</v>
      </c>
      <c r="B13575" t="s">
        <v>83</v>
      </c>
      <c r="C13575" t="s">
        <v>614</v>
      </c>
      <c r="D13575">
        <v>4307.32</v>
      </c>
      <c r="E13575" s="37" t="str">
        <f t="shared" si="1060"/>
        <v>Excellent Order</v>
      </c>
      <c r="F13575">
        <v>0.24</v>
      </c>
      <c r="G13575" s="37" t="str">
        <f t="shared" si="1061"/>
        <v>Normal Discount</v>
      </c>
      <c r="H13575" s="37" t="str">
        <f t="shared" si="1062"/>
        <v>Medium</v>
      </c>
      <c r="I13575">
        <v>5</v>
      </c>
      <c r="J13575" t="str" cm="1">
        <f t="array" ref="J13575">_xlfn.IFS(I13575&lt;=3,"small",I13575&lt;=6,"Medium",I13575&lt;=9,"Large")</f>
        <v>Medium</v>
      </c>
      <c r="K13575" s="36">
        <v>45039</v>
      </c>
      <c r="L13575" s="36">
        <v>45041</v>
      </c>
      <c r="M13575" t="s">
        <v>603</v>
      </c>
      <c r="N13575" t="s">
        <v>608</v>
      </c>
      <c r="O13575" s="37" t="str">
        <f t="shared" si="1063"/>
        <v>Cash Payment</v>
      </c>
      <c r="P13575">
        <v>1210.78</v>
      </c>
      <c r="Q13575" s="37" t="str">
        <f>IF(P13575&gt;500,"High","low")</f>
        <v>High</v>
      </c>
      <c r="R13575" s="37" t="str">
        <f t="shared" si="1064"/>
        <v>Excellent</v>
      </c>
      <c r="S13575" t="s">
        <v>628</v>
      </c>
    </row>
    <row r="13576" spans="1:19" x14ac:dyDescent="0.2">
      <c r="A13576" t="s">
        <v>14187</v>
      </c>
      <c r="B13576" t="s">
        <v>67</v>
      </c>
      <c r="C13576" t="s">
        <v>617</v>
      </c>
      <c r="D13576">
        <v>1205.6099999999999</v>
      </c>
      <c r="E13576" s="37" t="str">
        <f t="shared" si="1060"/>
        <v xml:space="preserve"> </v>
      </c>
      <c r="F13576">
        <v>7.0000000000000007E-2</v>
      </c>
      <c r="G13576" s="37" t="str">
        <f t="shared" si="1061"/>
        <v>Normal Discount</v>
      </c>
      <c r="H13576" s="37" t="str">
        <f t="shared" si="1062"/>
        <v>Low</v>
      </c>
      <c r="I13576">
        <v>6</v>
      </c>
      <c r="J13576" t="str" cm="1">
        <f t="array" ref="J13576">_xlfn.IFS(I13576&lt;=3,"small",I13576&lt;=6,"Medium",I13576&lt;=9,"Large")</f>
        <v>Medium</v>
      </c>
      <c r="K13576" s="36">
        <v>45421</v>
      </c>
      <c r="L13576" s="36">
        <v>45422</v>
      </c>
      <c r="M13576" t="s">
        <v>603</v>
      </c>
      <c r="N13576" t="s">
        <v>604</v>
      </c>
      <c r="O13576" s="37" t="str">
        <f t="shared" si="1063"/>
        <v>Digital Payment</v>
      </c>
      <c r="P13576">
        <v>217.66</v>
      </c>
      <c r="Q13576" s="37" t="str">
        <f>IF(P13576&gt;500,"High","low")</f>
        <v>low</v>
      </c>
      <c r="R13576" s="37" t="str">
        <f t="shared" si="1064"/>
        <v>AVERAGE</v>
      </c>
      <c r="S13576" t="s">
        <v>600</v>
      </c>
    </row>
    <row r="13577" spans="1:19" x14ac:dyDescent="0.2">
      <c r="A13577" t="s">
        <v>14188</v>
      </c>
      <c r="B13577" t="s">
        <v>83</v>
      </c>
      <c r="C13577" t="s">
        <v>607</v>
      </c>
      <c r="D13577">
        <v>1870.63</v>
      </c>
      <c r="E13577" s="37" t="str">
        <f t="shared" si="1060"/>
        <v xml:space="preserve"> </v>
      </c>
      <c r="F13577">
        <v>0.23</v>
      </c>
      <c r="G13577" s="37" t="str">
        <f t="shared" si="1061"/>
        <v>Normal Discount</v>
      </c>
      <c r="H13577" s="37" t="str">
        <f t="shared" si="1062"/>
        <v>Medium</v>
      </c>
      <c r="I13577">
        <v>8</v>
      </c>
      <c r="J13577" t="str" cm="1">
        <f t="array" ref="J13577">_xlfn.IFS(I13577&lt;=3,"small",I13577&lt;=6,"Medium",I13577&lt;=9,"Large")</f>
        <v>Large</v>
      </c>
      <c r="K13577" s="36">
        <v>45628</v>
      </c>
      <c r="L13577" s="36">
        <v>45635</v>
      </c>
      <c r="M13577" t="s">
        <v>598</v>
      </c>
      <c r="N13577" t="s">
        <v>599</v>
      </c>
      <c r="O13577" s="37" t="str">
        <f t="shared" si="1063"/>
        <v>Digital Payment</v>
      </c>
      <c r="P13577">
        <v>332.37</v>
      </c>
      <c r="Q13577" s="37" t="str">
        <f>IF(P13577&gt;500,"High","low")</f>
        <v>low</v>
      </c>
      <c r="R13577" s="37" t="str">
        <f t="shared" si="1064"/>
        <v>AVERAGE</v>
      </c>
      <c r="S13577" t="s">
        <v>600</v>
      </c>
    </row>
    <row r="13578" spans="1:19" x14ac:dyDescent="0.2">
      <c r="A13578" t="s">
        <v>14189</v>
      </c>
      <c r="B13578" t="s">
        <v>67</v>
      </c>
      <c r="C13578" t="s">
        <v>602</v>
      </c>
      <c r="D13578">
        <v>2294.2600000000002</v>
      </c>
      <c r="E13578" s="37" t="str">
        <f t="shared" si="1060"/>
        <v xml:space="preserve"> </v>
      </c>
      <c r="F13578">
        <v>0.03</v>
      </c>
      <c r="G13578" s="37" t="str">
        <f t="shared" si="1061"/>
        <v>Normal Discount</v>
      </c>
      <c r="H13578" s="37" t="str">
        <f t="shared" si="1062"/>
        <v>Low</v>
      </c>
      <c r="I13578">
        <v>3</v>
      </c>
      <c r="J13578" t="str" cm="1">
        <f t="array" ref="J13578">_xlfn.IFS(I13578&lt;=3,"small",I13578&lt;=6,"Medium",I13578&lt;=9,"Large")</f>
        <v>small</v>
      </c>
      <c r="K13578" s="36">
        <v>45372</v>
      </c>
      <c r="L13578" s="36">
        <v>45377</v>
      </c>
      <c r="M13578" t="s">
        <v>612</v>
      </c>
      <c r="N13578" t="s">
        <v>599</v>
      </c>
      <c r="O13578" s="37" t="str">
        <f t="shared" si="1063"/>
        <v>Digital Payment</v>
      </c>
      <c r="P13578">
        <v>324.89999999999998</v>
      </c>
      <c r="Q13578" s="37" t="str">
        <f>IF(P13578&gt;500,"High","low")</f>
        <v>low</v>
      </c>
      <c r="R13578" s="37" t="str">
        <f t="shared" si="1064"/>
        <v>AVERAGE</v>
      </c>
      <c r="S13578" t="s">
        <v>615</v>
      </c>
    </row>
    <row r="13579" spans="1:19" x14ac:dyDescent="0.2">
      <c r="A13579" t="s">
        <v>14190</v>
      </c>
      <c r="B13579" t="s">
        <v>75</v>
      </c>
      <c r="C13579" t="s">
        <v>597</v>
      </c>
      <c r="D13579">
        <v>1526.97</v>
      </c>
      <c r="E13579" s="37" t="str">
        <f t="shared" si="1060"/>
        <v xml:space="preserve"> </v>
      </c>
      <c r="F13579">
        <v>0.28999999999999998</v>
      </c>
      <c r="G13579" s="37" t="str">
        <f t="shared" si="1061"/>
        <v>Normal Discount</v>
      </c>
      <c r="H13579" s="37" t="str">
        <f t="shared" si="1062"/>
        <v>Medium</v>
      </c>
      <c r="I13579">
        <v>4</v>
      </c>
      <c r="J13579" t="str" cm="1">
        <f t="array" ref="J13579">_xlfn.IFS(I13579&lt;=3,"small",I13579&lt;=6,"Medium",I13579&lt;=9,"Large")</f>
        <v>Medium</v>
      </c>
      <c r="K13579" s="36">
        <v>45626</v>
      </c>
      <c r="L13579" s="36">
        <v>45631</v>
      </c>
      <c r="M13579" t="s">
        <v>598</v>
      </c>
      <c r="N13579" t="s">
        <v>608</v>
      </c>
      <c r="O13579" s="37" t="str">
        <f t="shared" si="1063"/>
        <v>Cash Payment</v>
      </c>
      <c r="P13579">
        <v>320.23</v>
      </c>
      <c r="Q13579" s="37" t="str">
        <f>IF(P13579&gt;500,"High","low")</f>
        <v>low</v>
      </c>
      <c r="R13579" s="37" t="str">
        <f t="shared" si="1064"/>
        <v>AVERAGE</v>
      </c>
      <c r="S13579" t="s">
        <v>628</v>
      </c>
    </row>
    <row r="13580" spans="1:19" x14ac:dyDescent="0.2">
      <c r="A13580" t="s">
        <v>14191</v>
      </c>
      <c r="B13580" t="s">
        <v>83</v>
      </c>
      <c r="C13580" t="s">
        <v>607</v>
      </c>
      <c r="D13580">
        <v>3855.22</v>
      </c>
      <c r="E13580" s="37" t="str">
        <f t="shared" si="1060"/>
        <v xml:space="preserve"> </v>
      </c>
      <c r="F13580">
        <v>0.14000000000000001</v>
      </c>
      <c r="G13580" s="37" t="str">
        <f t="shared" si="1061"/>
        <v>Normal Discount</v>
      </c>
      <c r="H13580" s="37" t="str">
        <f t="shared" si="1062"/>
        <v>Low</v>
      </c>
      <c r="I13580">
        <v>4</v>
      </c>
      <c r="J13580" t="str" cm="1">
        <f t="array" ref="J13580">_xlfn.IFS(I13580&lt;=3,"small",I13580&lt;=6,"Medium",I13580&lt;=9,"Large")</f>
        <v>Medium</v>
      </c>
      <c r="K13580" s="36">
        <v>45359</v>
      </c>
      <c r="L13580" s="36">
        <v>45361</v>
      </c>
      <c r="M13580" t="s">
        <v>603</v>
      </c>
      <c r="N13580" t="s">
        <v>599</v>
      </c>
      <c r="O13580" s="37" t="str">
        <f t="shared" si="1063"/>
        <v>Digital Payment</v>
      </c>
      <c r="P13580">
        <v>726.42</v>
      </c>
      <c r="Q13580" s="37" t="str">
        <f>IF(P13580&gt;500,"High","low")</f>
        <v>High</v>
      </c>
      <c r="R13580" s="37" t="str">
        <f t="shared" si="1064"/>
        <v>Good</v>
      </c>
      <c r="S13580" t="s">
        <v>609</v>
      </c>
    </row>
    <row r="13581" spans="1:19" x14ac:dyDescent="0.2">
      <c r="A13581" t="s">
        <v>14192</v>
      </c>
      <c r="B13581" t="s">
        <v>90</v>
      </c>
      <c r="C13581" t="s">
        <v>617</v>
      </c>
      <c r="D13581">
        <v>2106.7800000000002</v>
      </c>
      <c r="E13581" s="37" t="str">
        <f t="shared" si="1060"/>
        <v xml:space="preserve"> </v>
      </c>
      <c r="F13581">
        <v>0.42</v>
      </c>
      <c r="G13581" s="37" t="str">
        <f t="shared" si="1061"/>
        <v>Heavy Discount</v>
      </c>
      <c r="H13581" s="37" t="str">
        <f t="shared" si="1062"/>
        <v>High</v>
      </c>
      <c r="I13581">
        <v>4</v>
      </c>
      <c r="J13581" t="str" cm="1">
        <f t="array" ref="J13581">_xlfn.IFS(I13581&lt;=3,"small",I13581&lt;=6,"Medium",I13581&lt;=9,"Large")</f>
        <v>Medium</v>
      </c>
      <c r="K13581" s="36">
        <v>45093</v>
      </c>
      <c r="L13581" s="36">
        <v>45094</v>
      </c>
      <c r="M13581" t="s">
        <v>598</v>
      </c>
      <c r="N13581" t="s">
        <v>604</v>
      </c>
      <c r="O13581" s="37" t="str">
        <f t="shared" si="1063"/>
        <v>Digital Payment</v>
      </c>
      <c r="P13581">
        <v>450.01</v>
      </c>
      <c r="Q13581" s="37" t="str">
        <f>IF(P13581&gt;500,"High","low")</f>
        <v>low</v>
      </c>
      <c r="R13581" s="37" t="str">
        <f t="shared" si="1064"/>
        <v>AVERAGE</v>
      </c>
      <c r="S13581" t="s">
        <v>620</v>
      </c>
    </row>
    <row r="13582" spans="1:19" x14ac:dyDescent="0.2">
      <c r="A13582" t="s">
        <v>14193</v>
      </c>
      <c r="B13582" t="s">
        <v>75</v>
      </c>
      <c r="C13582" t="s">
        <v>617</v>
      </c>
      <c r="D13582">
        <v>4446.43</v>
      </c>
      <c r="E13582" s="37" t="str">
        <f t="shared" si="1060"/>
        <v>Excellent Order</v>
      </c>
      <c r="F13582">
        <v>0.19</v>
      </c>
      <c r="G13582" s="37" t="str">
        <f t="shared" si="1061"/>
        <v>Normal Discount</v>
      </c>
      <c r="H13582" s="37" t="str">
        <f t="shared" si="1062"/>
        <v>Low</v>
      </c>
      <c r="I13582">
        <v>7</v>
      </c>
      <c r="J13582" t="str" cm="1">
        <f t="array" ref="J13582">_xlfn.IFS(I13582&lt;=3,"small",I13582&lt;=6,"Medium",I13582&lt;=9,"Large")</f>
        <v>Large</v>
      </c>
      <c r="K13582" s="36">
        <v>45607</v>
      </c>
      <c r="L13582" s="36">
        <v>45612</v>
      </c>
      <c r="M13582" t="s">
        <v>598</v>
      </c>
      <c r="N13582" t="s">
        <v>599</v>
      </c>
      <c r="O13582" s="37" t="str">
        <f t="shared" si="1063"/>
        <v>Digital Payment</v>
      </c>
      <c r="P13582">
        <v>1268.5899999999999</v>
      </c>
      <c r="Q13582" s="37" t="str">
        <f>IF(P13582&gt;500,"High","low")</f>
        <v>High</v>
      </c>
      <c r="R13582" s="37" t="str">
        <f t="shared" si="1064"/>
        <v>Excellent</v>
      </c>
      <c r="S13582" t="s">
        <v>600</v>
      </c>
    </row>
    <row r="13583" spans="1:19" x14ac:dyDescent="0.2">
      <c r="A13583" t="s">
        <v>14194</v>
      </c>
      <c r="B13583" t="s">
        <v>83</v>
      </c>
      <c r="C13583" t="s">
        <v>602</v>
      </c>
      <c r="D13583">
        <v>4821.58</v>
      </c>
      <c r="E13583" s="37" t="str">
        <f t="shared" si="1060"/>
        <v>Excellent Order</v>
      </c>
      <c r="F13583">
        <v>0.46</v>
      </c>
      <c r="G13583" s="37" t="str">
        <f t="shared" si="1061"/>
        <v>Heavy Discount</v>
      </c>
      <c r="H13583" s="37" t="str">
        <f t="shared" si="1062"/>
        <v>High</v>
      </c>
      <c r="I13583">
        <v>4</v>
      </c>
      <c r="J13583" t="str" cm="1">
        <f t="array" ref="J13583">_xlfn.IFS(I13583&lt;=3,"small",I13583&lt;=6,"Medium",I13583&lt;=9,"Large")</f>
        <v>Medium</v>
      </c>
      <c r="K13583" s="36">
        <v>45232</v>
      </c>
      <c r="L13583" s="36">
        <v>45235</v>
      </c>
      <c r="M13583" t="s">
        <v>603</v>
      </c>
      <c r="N13583" t="s">
        <v>599</v>
      </c>
      <c r="O13583" s="37" t="str">
        <f t="shared" si="1063"/>
        <v>Digital Payment</v>
      </c>
      <c r="P13583">
        <v>1211.5899999999999</v>
      </c>
      <c r="Q13583" s="37" t="str">
        <f>IF(P13583&gt;500,"High","low")</f>
        <v>High</v>
      </c>
      <c r="R13583" s="37" t="str">
        <f t="shared" si="1064"/>
        <v>Excellent</v>
      </c>
      <c r="S13583" t="s">
        <v>615</v>
      </c>
    </row>
    <row r="13584" spans="1:19" x14ac:dyDescent="0.2">
      <c r="A13584" t="s">
        <v>14195</v>
      </c>
      <c r="B13584" t="s">
        <v>83</v>
      </c>
      <c r="C13584" t="s">
        <v>602</v>
      </c>
      <c r="D13584">
        <v>4313.0600000000004</v>
      </c>
      <c r="E13584" s="37" t="str">
        <f t="shared" si="1060"/>
        <v xml:space="preserve"> </v>
      </c>
      <c r="F13584">
        <v>0.24</v>
      </c>
      <c r="G13584" s="37" t="str">
        <f t="shared" si="1061"/>
        <v>Normal Discount</v>
      </c>
      <c r="H13584" s="37" t="str">
        <f t="shared" si="1062"/>
        <v>Medium</v>
      </c>
      <c r="I13584">
        <v>7</v>
      </c>
      <c r="J13584" t="str" cm="1">
        <f t="array" ref="J13584">_xlfn.IFS(I13584&lt;=3,"small",I13584&lt;=6,"Medium",I13584&lt;=9,"Large")</f>
        <v>Large</v>
      </c>
      <c r="K13584" s="36">
        <v>45455</v>
      </c>
      <c r="L13584" s="36">
        <v>45456</v>
      </c>
      <c r="M13584" t="s">
        <v>603</v>
      </c>
      <c r="N13584" t="s">
        <v>604</v>
      </c>
      <c r="O13584" s="37" t="str">
        <f t="shared" si="1063"/>
        <v>Digital Payment</v>
      </c>
      <c r="P13584">
        <v>283.41000000000003</v>
      </c>
      <c r="Q13584" s="37" t="str">
        <f>IF(P13584&gt;500,"High","low")</f>
        <v>low</v>
      </c>
      <c r="R13584" s="37" t="str">
        <f t="shared" si="1064"/>
        <v>AVERAGE</v>
      </c>
      <c r="S13584" t="s">
        <v>609</v>
      </c>
    </row>
    <row r="13585" spans="1:19" x14ac:dyDescent="0.2">
      <c r="A13585" t="s">
        <v>14196</v>
      </c>
      <c r="B13585" t="s">
        <v>67</v>
      </c>
      <c r="C13585" t="s">
        <v>607</v>
      </c>
      <c r="D13585">
        <v>2660.86</v>
      </c>
      <c r="E13585" s="37" t="str">
        <f t="shared" si="1060"/>
        <v xml:space="preserve"> </v>
      </c>
      <c r="F13585">
        <v>0.42</v>
      </c>
      <c r="G13585" s="37" t="str">
        <f t="shared" si="1061"/>
        <v>Heavy Discount</v>
      </c>
      <c r="H13585" s="37" t="str">
        <f t="shared" si="1062"/>
        <v>High</v>
      </c>
      <c r="I13585">
        <v>4</v>
      </c>
      <c r="J13585" t="str" cm="1">
        <f t="array" ref="J13585">_xlfn.IFS(I13585&lt;=3,"small",I13585&lt;=6,"Medium",I13585&lt;=9,"Large")</f>
        <v>Medium</v>
      </c>
      <c r="K13585" s="36">
        <v>45491</v>
      </c>
      <c r="L13585" s="36">
        <v>45493</v>
      </c>
      <c r="M13585" t="s">
        <v>603</v>
      </c>
      <c r="N13585" t="s">
        <v>608</v>
      </c>
      <c r="O13585" s="37" t="str">
        <f t="shared" si="1063"/>
        <v>Cash Payment</v>
      </c>
      <c r="P13585">
        <v>787.19</v>
      </c>
      <c r="Q13585" s="37" t="str">
        <f>IF(P13585&gt;500,"High","low")</f>
        <v>High</v>
      </c>
      <c r="R13585" s="37" t="str">
        <f t="shared" si="1064"/>
        <v>Good</v>
      </c>
      <c r="S13585" t="s">
        <v>620</v>
      </c>
    </row>
    <row r="13586" spans="1:19" x14ac:dyDescent="0.2">
      <c r="A13586" t="s">
        <v>14197</v>
      </c>
      <c r="B13586" t="s">
        <v>75</v>
      </c>
      <c r="C13586" t="s">
        <v>614</v>
      </c>
      <c r="D13586">
        <v>2598.06</v>
      </c>
      <c r="E13586" s="37" t="str">
        <f t="shared" si="1060"/>
        <v xml:space="preserve"> </v>
      </c>
      <c r="F13586">
        <v>0.15</v>
      </c>
      <c r="G13586" s="37" t="str">
        <f t="shared" si="1061"/>
        <v>Normal Discount</v>
      </c>
      <c r="H13586" s="37" t="str">
        <f t="shared" si="1062"/>
        <v>Low</v>
      </c>
      <c r="I13586">
        <v>8</v>
      </c>
      <c r="J13586" t="str" cm="1">
        <f t="array" ref="J13586">_xlfn.IFS(I13586&lt;=3,"small",I13586&lt;=6,"Medium",I13586&lt;=9,"Large")</f>
        <v>Large</v>
      </c>
      <c r="K13586" s="36">
        <v>45304</v>
      </c>
      <c r="L13586" s="36">
        <v>45307</v>
      </c>
      <c r="M13586" t="s">
        <v>612</v>
      </c>
      <c r="N13586" t="s">
        <v>599</v>
      </c>
      <c r="O13586" s="37" t="str">
        <f t="shared" si="1063"/>
        <v>Digital Payment</v>
      </c>
      <c r="P13586">
        <v>288.54000000000002</v>
      </c>
      <c r="Q13586" s="37" t="str">
        <f>IF(P13586&gt;500,"High","low")</f>
        <v>low</v>
      </c>
      <c r="R13586" s="37" t="str">
        <f t="shared" si="1064"/>
        <v>AVERAGE</v>
      </c>
      <c r="S13586" t="s">
        <v>605</v>
      </c>
    </row>
    <row r="13587" spans="1:19" x14ac:dyDescent="0.2">
      <c r="A13587" t="s">
        <v>14198</v>
      </c>
      <c r="B13587" t="s">
        <v>75</v>
      </c>
      <c r="C13587" t="s">
        <v>617</v>
      </c>
      <c r="D13587">
        <v>1157.78</v>
      </c>
      <c r="E13587" s="37" t="str">
        <f t="shared" si="1060"/>
        <v xml:space="preserve"> </v>
      </c>
      <c r="F13587">
        <v>0.23</v>
      </c>
      <c r="G13587" s="37" t="str">
        <f t="shared" si="1061"/>
        <v>Normal Discount</v>
      </c>
      <c r="H13587" s="37" t="str">
        <f t="shared" si="1062"/>
        <v>Medium</v>
      </c>
      <c r="I13587">
        <v>5</v>
      </c>
      <c r="J13587" t="str" cm="1">
        <f t="array" ref="J13587">_xlfn.IFS(I13587&lt;=3,"small",I13587&lt;=6,"Medium",I13587&lt;=9,"Large")</f>
        <v>Medium</v>
      </c>
      <c r="K13587" s="36">
        <v>45109</v>
      </c>
      <c r="L13587" s="36">
        <v>45112</v>
      </c>
      <c r="M13587" t="s">
        <v>603</v>
      </c>
      <c r="N13587" t="s">
        <v>599</v>
      </c>
      <c r="O13587" s="37" t="str">
        <f t="shared" si="1063"/>
        <v>Digital Payment</v>
      </c>
      <c r="P13587">
        <v>244.1</v>
      </c>
      <c r="Q13587" s="37" t="str">
        <f>IF(P13587&gt;500,"High","low")</f>
        <v>low</v>
      </c>
      <c r="R13587" s="37" t="str">
        <f t="shared" si="1064"/>
        <v>AVERAGE</v>
      </c>
      <c r="S13587" t="s">
        <v>605</v>
      </c>
    </row>
    <row r="13588" spans="1:19" x14ac:dyDescent="0.2">
      <c r="A13588" t="s">
        <v>14199</v>
      </c>
      <c r="B13588" t="s">
        <v>75</v>
      </c>
      <c r="C13588" t="s">
        <v>614</v>
      </c>
      <c r="D13588">
        <v>3002.16</v>
      </c>
      <c r="E13588" s="37" t="str">
        <f t="shared" si="1060"/>
        <v xml:space="preserve"> </v>
      </c>
      <c r="F13588">
        <v>0.32</v>
      </c>
      <c r="G13588" s="37" t="str">
        <f t="shared" si="1061"/>
        <v>Heavy Discount</v>
      </c>
      <c r="H13588" s="37" t="str">
        <f t="shared" si="1062"/>
        <v>Medium</v>
      </c>
      <c r="I13588">
        <v>2</v>
      </c>
      <c r="J13588" t="str" cm="1">
        <f t="array" ref="J13588">_xlfn.IFS(I13588&lt;=3,"small",I13588&lt;=6,"Medium",I13588&lt;=9,"Large")</f>
        <v>small</v>
      </c>
      <c r="K13588" s="36">
        <v>45132</v>
      </c>
      <c r="L13588" s="36">
        <v>45137</v>
      </c>
      <c r="M13588" t="s">
        <v>612</v>
      </c>
      <c r="N13588" t="s">
        <v>599</v>
      </c>
      <c r="O13588" s="37" t="str">
        <f t="shared" si="1063"/>
        <v>Digital Payment</v>
      </c>
      <c r="P13588">
        <v>615.95000000000005</v>
      </c>
      <c r="Q13588" s="37" t="str">
        <f>IF(P13588&gt;500,"High","low")</f>
        <v>High</v>
      </c>
      <c r="R13588" s="37" t="str">
        <f t="shared" si="1064"/>
        <v>Good</v>
      </c>
      <c r="S13588" t="s">
        <v>628</v>
      </c>
    </row>
    <row r="13589" spans="1:19" x14ac:dyDescent="0.2">
      <c r="A13589" t="s">
        <v>14200</v>
      </c>
      <c r="B13589" t="s">
        <v>75</v>
      </c>
      <c r="C13589" t="s">
        <v>614</v>
      </c>
      <c r="D13589">
        <v>4768.3599999999997</v>
      </c>
      <c r="E13589" s="37" t="str">
        <f t="shared" si="1060"/>
        <v xml:space="preserve"> </v>
      </c>
      <c r="F13589">
        <v>0.13</v>
      </c>
      <c r="G13589" s="37" t="str">
        <f t="shared" si="1061"/>
        <v>Normal Discount</v>
      </c>
      <c r="H13589" s="37" t="str">
        <f t="shared" si="1062"/>
        <v>Low</v>
      </c>
      <c r="I13589">
        <v>9</v>
      </c>
      <c r="J13589" t="str" cm="1">
        <f t="array" ref="J13589">_xlfn.IFS(I13589&lt;=3,"small",I13589&lt;=6,"Medium",I13589&lt;=9,"Large")</f>
        <v>Large</v>
      </c>
      <c r="K13589" s="36">
        <v>45366</v>
      </c>
      <c r="L13589" s="36">
        <v>45368</v>
      </c>
      <c r="M13589" t="s">
        <v>603</v>
      </c>
      <c r="N13589" t="s">
        <v>599</v>
      </c>
      <c r="O13589" s="37" t="str">
        <f t="shared" si="1063"/>
        <v>Digital Payment</v>
      </c>
      <c r="P13589">
        <v>291.95</v>
      </c>
      <c r="Q13589" s="37" t="str">
        <f>IF(P13589&gt;500,"High","low")</f>
        <v>low</v>
      </c>
      <c r="R13589" s="37" t="str">
        <f t="shared" si="1064"/>
        <v>AVERAGE</v>
      </c>
      <c r="S13589" t="s">
        <v>609</v>
      </c>
    </row>
    <row r="13590" spans="1:19" x14ac:dyDescent="0.2">
      <c r="A13590" t="s">
        <v>14201</v>
      </c>
      <c r="B13590" t="s">
        <v>67</v>
      </c>
      <c r="C13590" t="s">
        <v>607</v>
      </c>
      <c r="D13590">
        <v>494.97</v>
      </c>
      <c r="E13590" s="37" t="str">
        <f t="shared" si="1060"/>
        <v xml:space="preserve"> </v>
      </c>
      <c r="F13590">
        <v>0.33</v>
      </c>
      <c r="G13590" s="37" t="str">
        <f t="shared" si="1061"/>
        <v>Heavy Discount</v>
      </c>
      <c r="H13590" s="37" t="str">
        <f t="shared" si="1062"/>
        <v>Medium</v>
      </c>
      <c r="I13590">
        <v>9</v>
      </c>
      <c r="J13590" t="str" cm="1">
        <f t="array" ref="J13590">_xlfn.IFS(I13590&lt;=3,"small",I13590&lt;=6,"Medium",I13590&lt;=9,"Large")</f>
        <v>Large</v>
      </c>
      <c r="K13590" s="36">
        <v>45119</v>
      </c>
      <c r="L13590" s="36">
        <v>45121</v>
      </c>
      <c r="M13590" t="s">
        <v>598</v>
      </c>
      <c r="N13590" t="s">
        <v>599</v>
      </c>
      <c r="O13590" s="37" t="str">
        <f t="shared" si="1063"/>
        <v>Digital Payment</v>
      </c>
      <c r="P13590">
        <v>146.83000000000001</v>
      </c>
      <c r="Q13590" s="37" t="str">
        <f>IF(P13590&gt;500,"High","low")</f>
        <v>low</v>
      </c>
      <c r="R13590" s="37" t="str">
        <f t="shared" si="1064"/>
        <v>AVERAGE</v>
      </c>
      <c r="S13590" t="s">
        <v>628</v>
      </c>
    </row>
    <row r="13591" spans="1:19" x14ac:dyDescent="0.2">
      <c r="A13591" t="s">
        <v>14202</v>
      </c>
      <c r="B13591" t="s">
        <v>90</v>
      </c>
      <c r="C13591" t="s">
        <v>597</v>
      </c>
      <c r="D13591">
        <v>3787.04</v>
      </c>
      <c r="E13591" s="37" t="str">
        <f t="shared" si="1060"/>
        <v xml:space="preserve"> </v>
      </c>
      <c r="F13591">
        <v>0.14000000000000001</v>
      </c>
      <c r="G13591" s="37" t="str">
        <f t="shared" si="1061"/>
        <v>Normal Discount</v>
      </c>
      <c r="H13591" s="37" t="str">
        <f t="shared" si="1062"/>
        <v>Low</v>
      </c>
      <c r="I13591">
        <v>1</v>
      </c>
      <c r="J13591" t="str" cm="1">
        <f t="array" ref="J13591">_xlfn.IFS(I13591&lt;=3,"small",I13591&lt;=6,"Medium",I13591&lt;=9,"Large")</f>
        <v>small</v>
      </c>
      <c r="K13591" s="36">
        <v>45581</v>
      </c>
      <c r="L13591" s="36">
        <v>45586</v>
      </c>
      <c r="M13591" t="s">
        <v>603</v>
      </c>
      <c r="N13591" t="s">
        <v>608</v>
      </c>
      <c r="O13591" s="37" t="str">
        <f t="shared" si="1063"/>
        <v>Cash Payment</v>
      </c>
      <c r="P13591">
        <v>597.08000000000004</v>
      </c>
      <c r="Q13591" s="37" t="str">
        <f>IF(P13591&gt;500,"High","low")</f>
        <v>High</v>
      </c>
      <c r="R13591" s="37" t="str">
        <f t="shared" si="1064"/>
        <v>Good</v>
      </c>
      <c r="S13591" t="s">
        <v>628</v>
      </c>
    </row>
    <row r="13592" spans="1:19" x14ac:dyDescent="0.2">
      <c r="A13592" t="s">
        <v>14203</v>
      </c>
      <c r="B13592" t="s">
        <v>75</v>
      </c>
      <c r="C13592" t="s">
        <v>597</v>
      </c>
      <c r="D13592">
        <v>4360.74</v>
      </c>
      <c r="E13592" s="37" t="str">
        <f t="shared" si="1060"/>
        <v>Excellent Order</v>
      </c>
      <c r="F13592">
        <v>0.24</v>
      </c>
      <c r="G13592" s="37" t="str">
        <f t="shared" si="1061"/>
        <v>Normal Discount</v>
      </c>
      <c r="H13592" s="37" t="str">
        <f t="shared" si="1062"/>
        <v>Medium</v>
      </c>
      <c r="I13592">
        <v>5</v>
      </c>
      <c r="J13592" t="str" cm="1">
        <f t="array" ref="J13592">_xlfn.IFS(I13592&lt;=3,"small",I13592&lt;=6,"Medium",I13592&lt;=9,"Large")</f>
        <v>Medium</v>
      </c>
      <c r="K13592" s="36">
        <v>45184</v>
      </c>
      <c r="L13592" s="36">
        <v>45190</v>
      </c>
      <c r="M13592" t="s">
        <v>598</v>
      </c>
      <c r="N13592" t="s">
        <v>599</v>
      </c>
      <c r="O13592" s="37" t="str">
        <f t="shared" si="1063"/>
        <v>Digital Payment</v>
      </c>
      <c r="P13592">
        <v>1102.08</v>
      </c>
      <c r="Q13592" s="37" t="str">
        <f>IF(P13592&gt;500,"High","low")</f>
        <v>High</v>
      </c>
      <c r="R13592" s="37" t="str">
        <f t="shared" si="1064"/>
        <v>Excellent</v>
      </c>
      <c r="S13592" t="s">
        <v>615</v>
      </c>
    </row>
    <row r="13593" spans="1:19" x14ac:dyDescent="0.2">
      <c r="A13593" t="s">
        <v>14204</v>
      </c>
      <c r="B13593" t="s">
        <v>67</v>
      </c>
      <c r="C13593" t="s">
        <v>597</v>
      </c>
      <c r="D13593">
        <v>4934.8500000000004</v>
      </c>
      <c r="E13593" s="37" t="str">
        <f t="shared" si="1060"/>
        <v xml:space="preserve"> </v>
      </c>
      <c r="F13593">
        <v>0.01</v>
      </c>
      <c r="G13593" s="37" t="str">
        <f t="shared" si="1061"/>
        <v>Normal Discount</v>
      </c>
      <c r="H13593" s="37" t="str">
        <f t="shared" si="1062"/>
        <v>Low</v>
      </c>
      <c r="I13593">
        <v>3</v>
      </c>
      <c r="J13593" t="str" cm="1">
        <f t="array" ref="J13593">_xlfn.IFS(I13593&lt;=3,"small",I13593&lt;=6,"Medium",I13593&lt;=9,"Large")</f>
        <v>small</v>
      </c>
      <c r="K13593" s="36">
        <v>44938</v>
      </c>
      <c r="L13593" s="36">
        <v>44939</v>
      </c>
      <c r="M13593" t="s">
        <v>598</v>
      </c>
      <c r="N13593" t="s">
        <v>604</v>
      </c>
      <c r="O13593" s="37" t="str">
        <f t="shared" si="1063"/>
        <v>Digital Payment</v>
      </c>
      <c r="P13593">
        <v>719.78</v>
      </c>
      <c r="Q13593" s="37" t="str">
        <f>IF(P13593&gt;500,"High","low")</f>
        <v>High</v>
      </c>
      <c r="R13593" s="37" t="str">
        <f t="shared" si="1064"/>
        <v>Good</v>
      </c>
      <c r="S13593" t="s">
        <v>600</v>
      </c>
    </row>
    <row r="13594" spans="1:19" x14ac:dyDescent="0.2">
      <c r="A13594" t="s">
        <v>14205</v>
      </c>
      <c r="B13594" t="s">
        <v>90</v>
      </c>
      <c r="C13594" t="s">
        <v>602</v>
      </c>
      <c r="D13594">
        <v>1740.31</v>
      </c>
      <c r="E13594" s="37" t="str">
        <f t="shared" si="1060"/>
        <v xml:space="preserve"> </v>
      </c>
      <c r="F13594">
        <v>0.04</v>
      </c>
      <c r="G13594" s="37" t="str">
        <f t="shared" si="1061"/>
        <v>Normal Discount</v>
      </c>
      <c r="H13594" s="37" t="str">
        <f t="shared" si="1062"/>
        <v>Low</v>
      </c>
      <c r="I13594">
        <v>5</v>
      </c>
      <c r="J13594" t="str" cm="1">
        <f t="array" ref="J13594">_xlfn.IFS(I13594&lt;=3,"small",I13594&lt;=6,"Medium",I13594&lt;=9,"Large")</f>
        <v>Medium</v>
      </c>
      <c r="K13594" s="36">
        <v>45111</v>
      </c>
      <c r="L13594" s="36">
        <v>45115</v>
      </c>
      <c r="M13594" t="s">
        <v>612</v>
      </c>
      <c r="N13594" t="s">
        <v>608</v>
      </c>
      <c r="O13594" s="37" t="str">
        <f t="shared" si="1063"/>
        <v>Cash Payment</v>
      </c>
      <c r="P13594">
        <v>249.6</v>
      </c>
      <c r="Q13594" s="37" t="str">
        <f>IF(P13594&gt;500,"High","low")</f>
        <v>low</v>
      </c>
      <c r="R13594" s="37" t="str">
        <f t="shared" si="1064"/>
        <v>AVERAGE</v>
      </c>
      <c r="S13594" t="s">
        <v>628</v>
      </c>
    </row>
    <row r="13595" spans="1:19" x14ac:dyDescent="0.2">
      <c r="A13595" t="s">
        <v>14206</v>
      </c>
      <c r="B13595" t="s">
        <v>90</v>
      </c>
      <c r="C13595" t="s">
        <v>617</v>
      </c>
      <c r="D13595">
        <v>1842.31</v>
      </c>
      <c r="E13595" s="37" t="str">
        <f t="shared" si="1060"/>
        <v xml:space="preserve"> </v>
      </c>
      <c r="F13595">
        <v>0.11</v>
      </c>
      <c r="G13595" s="37" t="str">
        <f t="shared" si="1061"/>
        <v>Normal Discount</v>
      </c>
      <c r="H13595" s="37" t="str">
        <f t="shared" si="1062"/>
        <v>Low</v>
      </c>
      <c r="I13595">
        <v>4</v>
      </c>
      <c r="J13595" t="str" cm="1">
        <f t="array" ref="J13595">_xlfn.IFS(I13595&lt;=3,"small",I13595&lt;=6,"Medium",I13595&lt;=9,"Large")</f>
        <v>Medium</v>
      </c>
      <c r="K13595" s="36">
        <v>45141</v>
      </c>
      <c r="L13595" s="36">
        <v>45146</v>
      </c>
      <c r="M13595" t="s">
        <v>598</v>
      </c>
      <c r="N13595" t="s">
        <v>604</v>
      </c>
      <c r="O13595" s="37" t="str">
        <f t="shared" si="1063"/>
        <v>Digital Payment</v>
      </c>
      <c r="P13595">
        <v>398.63</v>
      </c>
      <c r="Q13595" s="37" t="str">
        <f>IF(P13595&gt;500,"High","low")</f>
        <v>low</v>
      </c>
      <c r="R13595" s="37" t="str">
        <f t="shared" si="1064"/>
        <v>AVERAGE</v>
      </c>
      <c r="S13595" t="s">
        <v>615</v>
      </c>
    </row>
    <row r="13596" spans="1:19" x14ac:dyDescent="0.2">
      <c r="A13596" t="s">
        <v>14207</v>
      </c>
      <c r="B13596" t="s">
        <v>67</v>
      </c>
      <c r="C13596" t="s">
        <v>602</v>
      </c>
      <c r="D13596">
        <v>1225.9000000000001</v>
      </c>
      <c r="E13596" s="37" t="str">
        <f t="shared" si="1060"/>
        <v xml:space="preserve"> </v>
      </c>
      <c r="F13596">
        <v>0.4</v>
      </c>
      <c r="G13596" s="37" t="str">
        <f t="shared" si="1061"/>
        <v>Heavy Discount</v>
      </c>
      <c r="H13596" s="37" t="str">
        <f t="shared" si="1062"/>
        <v>Medium</v>
      </c>
      <c r="I13596">
        <v>3</v>
      </c>
      <c r="J13596" t="str" cm="1">
        <f t="array" ref="J13596">_xlfn.IFS(I13596&lt;=3,"small",I13596&lt;=6,"Medium",I13596&lt;=9,"Large")</f>
        <v>small</v>
      </c>
      <c r="K13596" s="36">
        <v>45628</v>
      </c>
      <c r="L13596" s="36">
        <v>45631</v>
      </c>
      <c r="M13596" t="s">
        <v>603</v>
      </c>
      <c r="N13596" t="s">
        <v>599</v>
      </c>
      <c r="O13596" s="37" t="str">
        <f t="shared" si="1063"/>
        <v>Digital Payment</v>
      </c>
      <c r="P13596">
        <v>165.83</v>
      </c>
      <c r="Q13596" s="37" t="str">
        <f>IF(P13596&gt;500,"High","low")</f>
        <v>low</v>
      </c>
      <c r="R13596" s="37" t="str">
        <f t="shared" si="1064"/>
        <v>AVERAGE</v>
      </c>
      <c r="S13596" t="s">
        <v>615</v>
      </c>
    </row>
    <row r="13597" spans="1:19" x14ac:dyDescent="0.2">
      <c r="A13597" t="s">
        <v>14208</v>
      </c>
      <c r="B13597" t="s">
        <v>75</v>
      </c>
      <c r="C13597" t="s">
        <v>617</v>
      </c>
      <c r="D13597">
        <v>3966.41</v>
      </c>
      <c r="E13597" s="37" t="str">
        <f t="shared" si="1060"/>
        <v xml:space="preserve"> </v>
      </c>
      <c r="F13597">
        <v>0.33</v>
      </c>
      <c r="G13597" s="37" t="str">
        <f t="shared" si="1061"/>
        <v>Heavy Discount</v>
      </c>
      <c r="H13597" s="37" t="str">
        <f t="shared" si="1062"/>
        <v>Medium</v>
      </c>
      <c r="I13597">
        <v>7</v>
      </c>
      <c r="J13597" t="str" cm="1">
        <f t="array" ref="J13597">_xlfn.IFS(I13597&lt;=3,"small",I13597&lt;=6,"Medium",I13597&lt;=9,"Large")</f>
        <v>Large</v>
      </c>
      <c r="K13597" s="36">
        <v>45600</v>
      </c>
      <c r="L13597" s="36">
        <v>45604</v>
      </c>
      <c r="M13597" t="s">
        <v>598</v>
      </c>
      <c r="N13597" t="s">
        <v>608</v>
      </c>
      <c r="O13597" s="37" t="str">
        <f t="shared" si="1063"/>
        <v>Cash Payment</v>
      </c>
      <c r="P13597">
        <v>624.86</v>
      </c>
      <c r="Q13597" s="37" t="str">
        <f>IF(P13597&gt;500,"High","low")</f>
        <v>High</v>
      </c>
      <c r="R13597" s="37" t="str">
        <f t="shared" si="1064"/>
        <v>Good</v>
      </c>
      <c r="S13597" t="s">
        <v>620</v>
      </c>
    </row>
    <row r="13598" spans="1:19" x14ac:dyDescent="0.2">
      <c r="A13598" t="s">
        <v>14209</v>
      </c>
      <c r="B13598" t="s">
        <v>90</v>
      </c>
      <c r="C13598" t="s">
        <v>617</v>
      </c>
      <c r="D13598">
        <v>786.19</v>
      </c>
      <c r="E13598" s="37" t="str">
        <f t="shared" si="1060"/>
        <v xml:space="preserve"> </v>
      </c>
      <c r="F13598">
        <v>0.45</v>
      </c>
      <c r="G13598" s="37" t="str">
        <f t="shared" si="1061"/>
        <v>Heavy Discount</v>
      </c>
      <c r="H13598" s="37" t="str">
        <f t="shared" si="1062"/>
        <v>High</v>
      </c>
      <c r="I13598">
        <v>5</v>
      </c>
      <c r="J13598" t="str" cm="1">
        <f t="array" ref="J13598">_xlfn.IFS(I13598&lt;=3,"small",I13598&lt;=6,"Medium",I13598&lt;=9,"Large")</f>
        <v>Medium</v>
      </c>
      <c r="K13598" s="36">
        <v>45644</v>
      </c>
      <c r="L13598" s="36">
        <v>45645</v>
      </c>
      <c r="M13598" t="s">
        <v>598</v>
      </c>
      <c r="N13598" t="s">
        <v>599</v>
      </c>
      <c r="O13598" s="37" t="str">
        <f t="shared" si="1063"/>
        <v>Digital Payment</v>
      </c>
      <c r="P13598">
        <v>132.69</v>
      </c>
      <c r="Q13598" s="37" t="str">
        <f>IF(P13598&gt;500,"High","low")</f>
        <v>low</v>
      </c>
      <c r="R13598" s="37" t="str">
        <f t="shared" si="1064"/>
        <v>AVERAGE</v>
      </c>
      <c r="S13598" t="s">
        <v>615</v>
      </c>
    </row>
    <row r="13599" spans="1:19" x14ac:dyDescent="0.2">
      <c r="A13599" t="s">
        <v>14210</v>
      </c>
      <c r="B13599" t="s">
        <v>75</v>
      </c>
      <c r="C13599" t="s">
        <v>617</v>
      </c>
      <c r="D13599">
        <v>1412.06</v>
      </c>
      <c r="E13599" s="37" t="str">
        <f t="shared" si="1060"/>
        <v xml:space="preserve"> </v>
      </c>
      <c r="F13599">
        <v>0.45</v>
      </c>
      <c r="G13599" s="37" t="str">
        <f t="shared" si="1061"/>
        <v>Heavy Discount</v>
      </c>
      <c r="H13599" s="37" t="str">
        <f t="shared" si="1062"/>
        <v>High</v>
      </c>
      <c r="I13599">
        <v>1</v>
      </c>
      <c r="J13599" t="str" cm="1">
        <f t="array" ref="J13599">_xlfn.IFS(I13599&lt;=3,"small",I13599&lt;=6,"Medium",I13599&lt;=9,"Large")</f>
        <v>small</v>
      </c>
      <c r="K13599" s="36">
        <v>45385</v>
      </c>
      <c r="L13599" s="36">
        <v>45391</v>
      </c>
      <c r="M13599" t="s">
        <v>598</v>
      </c>
      <c r="N13599" t="s">
        <v>604</v>
      </c>
      <c r="O13599" s="37" t="str">
        <f t="shared" si="1063"/>
        <v>Digital Payment</v>
      </c>
      <c r="P13599">
        <v>222.92</v>
      </c>
      <c r="Q13599" s="37" t="str">
        <f>IF(P13599&gt;500,"High","low")</f>
        <v>low</v>
      </c>
      <c r="R13599" s="37" t="str">
        <f t="shared" si="1064"/>
        <v>AVERAGE</v>
      </c>
      <c r="S13599" t="s">
        <v>609</v>
      </c>
    </row>
    <row r="13600" spans="1:19" x14ac:dyDescent="0.2">
      <c r="A13600" t="s">
        <v>14211</v>
      </c>
      <c r="B13600" t="s">
        <v>75</v>
      </c>
      <c r="C13600" t="s">
        <v>607</v>
      </c>
      <c r="D13600">
        <v>1546.79</v>
      </c>
      <c r="E13600" s="37" t="str">
        <f t="shared" si="1060"/>
        <v xml:space="preserve"> </v>
      </c>
      <c r="F13600">
        <v>0.19</v>
      </c>
      <c r="G13600" s="37" t="str">
        <f t="shared" si="1061"/>
        <v>Normal Discount</v>
      </c>
      <c r="H13600" s="37" t="str">
        <f t="shared" si="1062"/>
        <v>Low</v>
      </c>
      <c r="I13600">
        <v>4</v>
      </c>
      <c r="J13600" t="str" cm="1">
        <f t="array" ref="J13600">_xlfn.IFS(I13600&lt;=3,"small",I13600&lt;=6,"Medium",I13600&lt;=9,"Large")</f>
        <v>Medium</v>
      </c>
      <c r="K13600" s="36">
        <v>45266</v>
      </c>
      <c r="L13600" s="36">
        <v>45273</v>
      </c>
      <c r="M13600" t="s">
        <v>603</v>
      </c>
      <c r="N13600" t="s">
        <v>604</v>
      </c>
      <c r="O13600" s="37" t="str">
        <f t="shared" si="1063"/>
        <v>Digital Payment</v>
      </c>
      <c r="P13600">
        <v>196.83</v>
      </c>
      <c r="Q13600" s="37" t="str">
        <f>IF(P13600&gt;500,"High","low")</f>
        <v>low</v>
      </c>
      <c r="R13600" s="37" t="str">
        <f t="shared" si="1064"/>
        <v>AVERAGE</v>
      </c>
      <c r="S13600" t="s">
        <v>628</v>
      </c>
    </row>
    <row r="13601" spans="1:19" x14ac:dyDescent="0.2">
      <c r="A13601" t="s">
        <v>14212</v>
      </c>
      <c r="B13601" t="s">
        <v>83</v>
      </c>
      <c r="C13601" t="s">
        <v>597</v>
      </c>
      <c r="D13601">
        <v>1937.16</v>
      </c>
      <c r="E13601" s="37" t="str">
        <f t="shared" si="1060"/>
        <v xml:space="preserve"> </v>
      </c>
      <c r="F13601">
        <v>0.18</v>
      </c>
      <c r="G13601" s="37" t="str">
        <f t="shared" si="1061"/>
        <v>Normal Discount</v>
      </c>
      <c r="H13601" s="37" t="str">
        <f t="shared" si="1062"/>
        <v>Low</v>
      </c>
      <c r="I13601">
        <v>1</v>
      </c>
      <c r="J13601" t="str" cm="1">
        <f t="array" ref="J13601">_xlfn.IFS(I13601&lt;=3,"small",I13601&lt;=6,"Medium",I13601&lt;=9,"Large")</f>
        <v>small</v>
      </c>
      <c r="K13601" s="36">
        <v>45290</v>
      </c>
      <c r="L13601" s="36">
        <v>45291</v>
      </c>
      <c r="M13601" t="s">
        <v>603</v>
      </c>
      <c r="N13601" t="s">
        <v>599</v>
      </c>
      <c r="O13601" s="37" t="str">
        <f t="shared" si="1063"/>
        <v>Digital Payment</v>
      </c>
      <c r="P13601">
        <v>481.27</v>
      </c>
      <c r="Q13601" s="37" t="str">
        <f>IF(P13601&gt;500,"High","low")</f>
        <v>low</v>
      </c>
      <c r="R13601" s="37" t="str">
        <f t="shared" si="1064"/>
        <v>AVERAGE</v>
      </c>
      <c r="S13601" t="s">
        <v>605</v>
      </c>
    </row>
    <row r="13602" spans="1:19" x14ac:dyDescent="0.2">
      <c r="A13602" t="s">
        <v>14213</v>
      </c>
      <c r="B13602" t="s">
        <v>75</v>
      </c>
      <c r="C13602" t="s">
        <v>602</v>
      </c>
      <c r="D13602">
        <v>2166.16</v>
      </c>
      <c r="E13602" s="37" t="str">
        <f t="shared" si="1060"/>
        <v xml:space="preserve"> </v>
      </c>
      <c r="F13602">
        <v>0.42</v>
      </c>
      <c r="G13602" s="37" t="str">
        <f t="shared" si="1061"/>
        <v>Heavy Discount</v>
      </c>
      <c r="H13602" s="37" t="str">
        <f t="shared" si="1062"/>
        <v>High</v>
      </c>
      <c r="I13602">
        <v>3</v>
      </c>
      <c r="J13602" t="str" cm="1">
        <f t="array" ref="J13602">_xlfn.IFS(I13602&lt;=3,"small",I13602&lt;=6,"Medium",I13602&lt;=9,"Large")</f>
        <v>small</v>
      </c>
      <c r="K13602" s="36">
        <v>45637</v>
      </c>
      <c r="L13602" s="36">
        <v>45643</v>
      </c>
      <c r="M13602" t="s">
        <v>598</v>
      </c>
      <c r="N13602" t="s">
        <v>599</v>
      </c>
      <c r="O13602" s="37" t="str">
        <f t="shared" si="1063"/>
        <v>Digital Payment</v>
      </c>
      <c r="P13602">
        <v>542.70000000000005</v>
      </c>
      <c r="Q13602" s="37" t="str">
        <f>IF(P13602&gt;500,"High","low")</f>
        <v>High</v>
      </c>
      <c r="R13602" s="37" t="str">
        <f t="shared" si="1064"/>
        <v>Good</v>
      </c>
      <c r="S13602" t="s">
        <v>615</v>
      </c>
    </row>
    <row r="13603" spans="1:19" x14ac:dyDescent="0.2">
      <c r="A13603" t="s">
        <v>14214</v>
      </c>
      <c r="B13603" t="s">
        <v>83</v>
      </c>
      <c r="C13603" t="s">
        <v>602</v>
      </c>
      <c r="D13603">
        <v>2839.22</v>
      </c>
      <c r="E13603" s="37" t="str">
        <f t="shared" si="1060"/>
        <v xml:space="preserve"> </v>
      </c>
      <c r="F13603">
        <v>0.21</v>
      </c>
      <c r="G13603" s="37" t="str">
        <f t="shared" si="1061"/>
        <v>Normal Discount</v>
      </c>
      <c r="H13603" s="37" t="str">
        <f t="shared" si="1062"/>
        <v>Medium</v>
      </c>
      <c r="I13603">
        <v>5</v>
      </c>
      <c r="J13603" t="str" cm="1">
        <f t="array" ref="J13603">_xlfn.IFS(I13603&lt;=3,"small",I13603&lt;=6,"Medium",I13603&lt;=9,"Large")</f>
        <v>Medium</v>
      </c>
      <c r="K13603" s="36">
        <v>45247</v>
      </c>
      <c r="L13603" s="36">
        <v>45254</v>
      </c>
      <c r="M13603" t="s">
        <v>598</v>
      </c>
      <c r="N13603" t="s">
        <v>608</v>
      </c>
      <c r="O13603" s="37" t="str">
        <f t="shared" si="1063"/>
        <v>Cash Payment</v>
      </c>
      <c r="P13603">
        <v>693.68</v>
      </c>
      <c r="Q13603" s="37" t="str">
        <f>IF(P13603&gt;500,"High","low")</f>
        <v>High</v>
      </c>
      <c r="R13603" s="37" t="str">
        <f t="shared" si="1064"/>
        <v>Good</v>
      </c>
      <c r="S13603" t="s">
        <v>628</v>
      </c>
    </row>
    <row r="13604" spans="1:19" x14ac:dyDescent="0.2">
      <c r="A13604" t="s">
        <v>14215</v>
      </c>
      <c r="B13604" t="s">
        <v>90</v>
      </c>
      <c r="C13604" t="s">
        <v>607</v>
      </c>
      <c r="D13604">
        <v>4747.03</v>
      </c>
      <c r="E13604" s="37" t="str">
        <f t="shared" si="1060"/>
        <v xml:space="preserve"> </v>
      </c>
      <c r="F13604">
        <v>0.43</v>
      </c>
      <c r="G13604" s="37" t="str">
        <f t="shared" si="1061"/>
        <v>Heavy Discount</v>
      </c>
      <c r="H13604" s="37" t="str">
        <f t="shared" si="1062"/>
        <v>High</v>
      </c>
      <c r="I13604">
        <v>6</v>
      </c>
      <c r="J13604" t="str" cm="1">
        <f t="array" ref="J13604">_xlfn.IFS(I13604&lt;=3,"small",I13604&lt;=6,"Medium",I13604&lt;=9,"Large")</f>
        <v>Medium</v>
      </c>
      <c r="K13604" s="36">
        <v>45558</v>
      </c>
      <c r="L13604" s="36">
        <v>45565</v>
      </c>
      <c r="M13604" t="s">
        <v>612</v>
      </c>
      <c r="N13604" t="s">
        <v>608</v>
      </c>
      <c r="O13604" s="37" t="str">
        <f t="shared" si="1063"/>
        <v>Cash Payment</v>
      </c>
      <c r="P13604">
        <v>261.49</v>
      </c>
      <c r="Q13604" s="37" t="str">
        <f>IF(P13604&gt;500,"High","low")</f>
        <v>low</v>
      </c>
      <c r="R13604" s="37" t="str">
        <f t="shared" si="1064"/>
        <v>AVERAGE</v>
      </c>
      <c r="S13604" t="s">
        <v>628</v>
      </c>
    </row>
    <row r="13605" spans="1:19" x14ac:dyDescent="0.2">
      <c r="A13605" t="s">
        <v>14216</v>
      </c>
      <c r="B13605" t="s">
        <v>67</v>
      </c>
      <c r="C13605" t="s">
        <v>617</v>
      </c>
      <c r="D13605">
        <v>1311.67</v>
      </c>
      <c r="E13605" s="37" t="str">
        <f t="shared" si="1060"/>
        <v xml:space="preserve"> </v>
      </c>
      <c r="F13605">
        <v>0.25</v>
      </c>
      <c r="G13605" s="37" t="str">
        <f t="shared" si="1061"/>
        <v>Normal Discount</v>
      </c>
      <c r="H13605" s="37" t="str">
        <f t="shared" si="1062"/>
        <v>Medium</v>
      </c>
      <c r="I13605">
        <v>1</v>
      </c>
      <c r="J13605" t="str" cm="1">
        <f t="array" ref="J13605">_xlfn.IFS(I13605&lt;=3,"small",I13605&lt;=6,"Medium",I13605&lt;=9,"Large")</f>
        <v>small</v>
      </c>
      <c r="K13605" s="36">
        <v>45166</v>
      </c>
      <c r="L13605" s="36">
        <v>45173</v>
      </c>
      <c r="M13605" t="s">
        <v>598</v>
      </c>
      <c r="N13605" t="s">
        <v>599</v>
      </c>
      <c r="O13605" s="37" t="str">
        <f t="shared" si="1063"/>
        <v>Digital Payment</v>
      </c>
      <c r="P13605">
        <v>235.37</v>
      </c>
      <c r="Q13605" s="37" t="str">
        <f>IF(P13605&gt;500,"High","low")</f>
        <v>low</v>
      </c>
      <c r="R13605" s="37" t="str">
        <f t="shared" si="1064"/>
        <v>AVERAGE</v>
      </c>
      <c r="S13605" t="s">
        <v>600</v>
      </c>
    </row>
    <row r="13606" spans="1:19" x14ac:dyDescent="0.2">
      <c r="A13606" t="s">
        <v>14217</v>
      </c>
      <c r="B13606" t="s">
        <v>83</v>
      </c>
      <c r="C13606" t="s">
        <v>597</v>
      </c>
      <c r="D13606">
        <v>3918.18</v>
      </c>
      <c r="E13606" s="37" t="str">
        <f t="shared" si="1060"/>
        <v xml:space="preserve"> </v>
      </c>
      <c r="F13606">
        <v>0.21</v>
      </c>
      <c r="G13606" s="37" t="str">
        <f t="shared" si="1061"/>
        <v>Normal Discount</v>
      </c>
      <c r="H13606" s="37" t="str">
        <f t="shared" si="1062"/>
        <v>Medium</v>
      </c>
      <c r="I13606">
        <v>9</v>
      </c>
      <c r="J13606" t="str" cm="1">
        <f t="array" ref="J13606">_xlfn.IFS(I13606&lt;=3,"small",I13606&lt;=6,"Medium",I13606&lt;=9,"Large")</f>
        <v>Large</v>
      </c>
      <c r="K13606" s="36">
        <v>44941</v>
      </c>
      <c r="L13606" s="36">
        <v>44948</v>
      </c>
      <c r="M13606" t="s">
        <v>598</v>
      </c>
      <c r="N13606" t="s">
        <v>608</v>
      </c>
      <c r="O13606" s="37" t="str">
        <f t="shared" si="1063"/>
        <v>Cash Payment</v>
      </c>
      <c r="P13606">
        <v>987.5</v>
      </c>
      <c r="Q13606" s="37" t="str">
        <f>IF(P13606&gt;500,"High","low")</f>
        <v>High</v>
      </c>
      <c r="R13606" s="37" t="str">
        <f t="shared" si="1064"/>
        <v>Good</v>
      </c>
      <c r="S13606" t="s">
        <v>609</v>
      </c>
    </row>
    <row r="13607" spans="1:19" x14ac:dyDescent="0.2">
      <c r="A13607" t="s">
        <v>14218</v>
      </c>
      <c r="B13607" t="s">
        <v>67</v>
      </c>
      <c r="C13607" t="s">
        <v>614</v>
      </c>
      <c r="D13607">
        <v>3414.31</v>
      </c>
      <c r="E13607" s="37" t="str">
        <f t="shared" si="1060"/>
        <v xml:space="preserve"> </v>
      </c>
      <c r="F13607">
        <v>0.14000000000000001</v>
      </c>
      <c r="G13607" s="37" t="str">
        <f t="shared" si="1061"/>
        <v>Normal Discount</v>
      </c>
      <c r="H13607" s="37" t="str">
        <f t="shared" si="1062"/>
        <v>Low</v>
      </c>
      <c r="I13607">
        <v>9</v>
      </c>
      <c r="J13607" t="str" cm="1">
        <f t="array" ref="J13607">_xlfn.IFS(I13607&lt;=3,"small",I13607&lt;=6,"Medium",I13607&lt;=9,"Large")</f>
        <v>Large</v>
      </c>
      <c r="K13607" s="36">
        <v>45092</v>
      </c>
      <c r="L13607" s="36">
        <v>45093</v>
      </c>
      <c r="M13607" t="s">
        <v>612</v>
      </c>
      <c r="N13607" t="s">
        <v>608</v>
      </c>
      <c r="O13607" s="37" t="str">
        <f t="shared" si="1063"/>
        <v>Cash Payment</v>
      </c>
      <c r="P13607">
        <v>176.42</v>
      </c>
      <c r="Q13607" s="37" t="str">
        <f>IF(P13607&gt;500,"High","low")</f>
        <v>low</v>
      </c>
      <c r="R13607" s="37" t="str">
        <f t="shared" si="1064"/>
        <v>AVERAGE</v>
      </c>
      <c r="S13607" t="s">
        <v>615</v>
      </c>
    </row>
    <row r="13608" spans="1:19" x14ac:dyDescent="0.2">
      <c r="A13608" t="s">
        <v>14219</v>
      </c>
      <c r="B13608" t="s">
        <v>90</v>
      </c>
      <c r="C13608" t="s">
        <v>614</v>
      </c>
      <c r="D13608">
        <v>668.65</v>
      </c>
      <c r="E13608" s="37" t="str">
        <f t="shared" si="1060"/>
        <v xml:space="preserve"> </v>
      </c>
      <c r="F13608">
        <v>0.06</v>
      </c>
      <c r="G13608" s="37" t="str">
        <f t="shared" si="1061"/>
        <v>Normal Discount</v>
      </c>
      <c r="H13608" s="37" t="str">
        <f t="shared" si="1062"/>
        <v>Low</v>
      </c>
      <c r="I13608">
        <v>1</v>
      </c>
      <c r="J13608" t="str" cm="1">
        <f t="array" ref="J13608">_xlfn.IFS(I13608&lt;=3,"small",I13608&lt;=6,"Medium",I13608&lt;=9,"Large")</f>
        <v>small</v>
      </c>
      <c r="K13608" s="36">
        <v>45280</v>
      </c>
      <c r="L13608" s="36">
        <v>45284</v>
      </c>
      <c r="M13608" t="s">
        <v>598</v>
      </c>
      <c r="N13608" t="s">
        <v>608</v>
      </c>
      <c r="O13608" s="37" t="str">
        <f t="shared" si="1063"/>
        <v>Cash Payment</v>
      </c>
      <c r="P13608">
        <v>73.239999999999995</v>
      </c>
      <c r="Q13608" s="37" t="str">
        <f>IF(P13608&gt;500,"High","low")</f>
        <v>low</v>
      </c>
      <c r="R13608" s="37" t="str">
        <f t="shared" si="1064"/>
        <v>AVERAGE</v>
      </c>
      <c r="S13608" t="s">
        <v>605</v>
      </c>
    </row>
    <row r="13609" spans="1:19" x14ac:dyDescent="0.2">
      <c r="A13609" t="s">
        <v>14220</v>
      </c>
      <c r="B13609" t="s">
        <v>75</v>
      </c>
      <c r="C13609" t="s">
        <v>607</v>
      </c>
      <c r="D13609">
        <v>4070.85</v>
      </c>
      <c r="E13609" s="37" t="str">
        <f t="shared" si="1060"/>
        <v xml:space="preserve"> </v>
      </c>
      <c r="F13609">
        <v>0.26</v>
      </c>
      <c r="G13609" s="37" t="str">
        <f t="shared" si="1061"/>
        <v>Normal Discount</v>
      </c>
      <c r="H13609" s="37" t="str">
        <f t="shared" si="1062"/>
        <v>Medium</v>
      </c>
      <c r="I13609">
        <v>7</v>
      </c>
      <c r="J13609" t="str" cm="1">
        <f t="array" ref="J13609">_xlfn.IFS(I13609&lt;=3,"small",I13609&lt;=6,"Medium",I13609&lt;=9,"Large")</f>
        <v>Large</v>
      </c>
      <c r="K13609" s="36">
        <v>45383</v>
      </c>
      <c r="L13609" s="36">
        <v>45388</v>
      </c>
      <c r="M13609" t="s">
        <v>603</v>
      </c>
      <c r="N13609" t="s">
        <v>604</v>
      </c>
      <c r="O13609" s="37" t="str">
        <f t="shared" si="1063"/>
        <v>Digital Payment</v>
      </c>
      <c r="P13609">
        <v>741.78</v>
      </c>
      <c r="Q13609" s="37" t="str">
        <f>IF(P13609&gt;500,"High","low")</f>
        <v>High</v>
      </c>
      <c r="R13609" s="37" t="str">
        <f t="shared" si="1064"/>
        <v>Good</v>
      </c>
      <c r="S13609" t="s">
        <v>628</v>
      </c>
    </row>
    <row r="13610" spans="1:19" x14ac:dyDescent="0.2">
      <c r="A13610" t="s">
        <v>14221</v>
      </c>
      <c r="B13610" t="s">
        <v>90</v>
      </c>
      <c r="C13610" t="s">
        <v>597</v>
      </c>
      <c r="D13610">
        <v>544</v>
      </c>
      <c r="E13610" s="37" t="str">
        <f t="shared" si="1060"/>
        <v xml:space="preserve"> </v>
      </c>
      <c r="F13610">
        <v>0.16</v>
      </c>
      <c r="G13610" s="37" t="str">
        <f t="shared" si="1061"/>
        <v>Normal Discount</v>
      </c>
      <c r="H13610" s="37" t="str">
        <f t="shared" si="1062"/>
        <v>Low</v>
      </c>
      <c r="I13610">
        <v>4</v>
      </c>
      <c r="J13610" t="str" cm="1">
        <f t="array" ref="J13610">_xlfn.IFS(I13610&lt;=3,"small",I13610&lt;=6,"Medium",I13610&lt;=9,"Large")</f>
        <v>Medium</v>
      </c>
      <c r="K13610" s="36">
        <v>45247</v>
      </c>
      <c r="L13610" s="36">
        <v>45253</v>
      </c>
      <c r="M13610" t="s">
        <v>598</v>
      </c>
      <c r="N13610" t="s">
        <v>604</v>
      </c>
      <c r="O13610" s="37" t="str">
        <f t="shared" si="1063"/>
        <v>Digital Payment</v>
      </c>
      <c r="P13610">
        <v>78.72</v>
      </c>
      <c r="Q13610" s="37" t="str">
        <f>IF(P13610&gt;500,"High","low")</f>
        <v>low</v>
      </c>
      <c r="R13610" s="37" t="str">
        <f t="shared" si="1064"/>
        <v>AVERAGE</v>
      </c>
      <c r="S13610" t="s">
        <v>609</v>
      </c>
    </row>
    <row r="13611" spans="1:19" x14ac:dyDescent="0.2">
      <c r="A13611" t="s">
        <v>14222</v>
      </c>
      <c r="B13611" t="s">
        <v>67</v>
      </c>
      <c r="C13611" t="s">
        <v>614</v>
      </c>
      <c r="D13611">
        <v>3720.74</v>
      </c>
      <c r="E13611" s="37" t="str">
        <f t="shared" si="1060"/>
        <v xml:space="preserve"> </v>
      </c>
      <c r="F13611">
        <v>0.12</v>
      </c>
      <c r="G13611" s="37" t="str">
        <f t="shared" si="1061"/>
        <v>Normal Discount</v>
      </c>
      <c r="H13611" s="37" t="str">
        <f t="shared" si="1062"/>
        <v>Low</v>
      </c>
      <c r="I13611">
        <v>2</v>
      </c>
      <c r="J13611" t="str" cm="1">
        <f t="array" ref="J13611">_xlfn.IFS(I13611&lt;=3,"small",I13611&lt;=6,"Medium",I13611&lt;=9,"Large")</f>
        <v>small</v>
      </c>
      <c r="K13611" s="36">
        <v>45191</v>
      </c>
      <c r="L13611" s="36">
        <v>45193</v>
      </c>
      <c r="M13611" t="s">
        <v>598</v>
      </c>
      <c r="N13611" t="s">
        <v>599</v>
      </c>
      <c r="O13611" s="37" t="str">
        <f t="shared" si="1063"/>
        <v>Digital Payment</v>
      </c>
      <c r="P13611">
        <v>918.67</v>
      </c>
      <c r="Q13611" s="37" t="str">
        <f>IF(P13611&gt;500,"High","low")</f>
        <v>High</v>
      </c>
      <c r="R13611" s="37" t="str">
        <f t="shared" si="1064"/>
        <v>Good</v>
      </c>
      <c r="S13611" t="s">
        <v>605</v>
      </c>
    </row>
    <row r="13612" spans="1:19" x14ac:dyDescent="0.2">
      <c r="A13612" t="s">
        <v>14223</v>
      </c>
      <c r="B13612" t="s">
        <v>90</v>
      </c>
      <c r="C13612" t="s">
        <v>614</v>
      </c>
      <c r="D13612">
        <v>3607.36</v>
      </c>
      <c r="E13612" s="37" t="str">
        <f t="shared" si="1060"/>
        <v xml:space="preserve"> </v>
      </c>
      <c r="F13612">
        <v>0.08</v>
      </c>
      <c r="G13612" s="37" t="str">
        <f t="shared" si="1061"/>
        <v>Normal Discount</v>
      </c>
      <c r="H13612" s="37" t="str">
        <f t="shared" si="1062"/>
        <v>Low</v>
      </c>
      <c r="I13612">
        <v>2</v>
      </c>
      <c r="J13612" t="str" cm="1">
        <f t="array" ref="J13612">_xlfn.IFS(I13612&lt;=3,"small",I13612&lt;=6,"Medium",I13612&lt;=9,"Large")</f>
        <v>small</v>
      </c>
      <c r="K13612" s="36">
        <v>45096</v>
      </c>
      <c r="L13612" s="36">
        <v>45101</v>
      </c>
      <c r="M13612" t="s">
        <v>603</v>
      </c>
      <c r="N13612" t="s">
        <v>608</v>
      </c>
      <c r="O13612" s="37" t="str">
        <f t="shared" si="1063"/>
        <v>Cash Payment</v>
      </c>
      <c r="P13612">
        <v>680.52</v>
      </c>
      <c r="Q13612" s="37" t="str">
        <f>IF(P13612&gt;500,"High","low")</f>
        <v>High</v>
      </c>
      <c r="R13612" s="37" t="str">
        <f t="shared" si="1064"/>
        <v>Good</v>
      </c>
      <c r="S13612" t="s">
        <v>600</v>
      </c>
    </row>
    <row r="13613" spans="1:19" x14ac:dyDescent="0.2">
      <c r="A13613" t="s">
        <v>14224</v>
      </c>
      <c r="B13613" t="s">
        <v>75</v>
      </c>
      <c r="C13613" t="s">
        <v>602</v>
      </c>
      <c r="D13613">
        <v>3478.07</v>
      </c>
      <c r="E13613" s="37" t="str">
        <f t="shared" si="1060"/>
        <v xml:space="preserve"> </v>
      </c>
      <c r="F13613">
        <v>0.19</v>
      </c>
      <c r="G13613" s="37" t="str">
        <f t="shared" si="1061"/>
        <v>Normal Discount</v>
      </c>
      <c r="H13613" s="37" t="str">
        <f t="shared" si="1062"/>
        <v>Low</v>
      </c>
      <c r="I13613">
        <v>6</v>
      </c>
      <c r="J13613" t="str" cm="1">
        <f t="array" ref="J13613">_xlfn.IFS(I13613&lt;=3,"small",I13613&lt;=6,"Medium",I13613&lt;=9,"Large")</f>
        <v>Medium</v>
      </c>
      <c r="K13613" s="36">
        <v>45437</v>
      </c>
      <c r="L13613" s="36">
        <v>45442</v>
      </c>
      <c r="M13613" t="s">
        <v>603</v>
      </c>
      <c r="N13613" t="s">
        <v>599</v>
      </c>
      <c r="O13613" s="37" t="str">
        <f t="shared" si="1063"/>
        <v>Digital Payment</v>
      </c>
      <c r="P13613">
        <v>781.1</v>
      </c>
      <c r="Q13613" s="37" t="str">
        <f>IF(P13613&gt;500,"High","low")</f>
        <v>High</v>
      </c>
      <c r="R13613" s="37" t="str">
        <f t="shared" si="1064"/>
        <v>Good</v>
      </c>
      <c r="S13613" t="s">
        <v>605</v>
      </c>
    </row>
    <row r="13614" spans="1:19" x14ac:dyDescent="0.2">
      <c r="A13614" t="s">
        <v>14225</v>
      </c>
      <c r="B13614" t="s">
        <v>90</v>
      </c>
      <c r="C13614" t="s">
        <v>597</v>
      </c>
      <c r="D13614">
        <v>1455.79</v>
      </c>
      <c r="E13614" s="37" t="str">
        <f t="shared" si="1060"/>
        <v xml:space="preserve"> </v>
      </c>
      <c r="F13614">
        <v>0.28000000000000003</v>
      </c>
      <c r="G13614" s="37" t="str">
        <f t="shared" si="1061"/>
        <v>Normal Discount</v>
      </c>
      <c r="H13614" s="37" t="str">
        <f t="shared" si="1062"/>
        <v>Medium</v>
      </c>
      <c r="I13614">
        <v>6</v>
      </c>
      <c r="J13614" t="str" cm="1">
        <f t="array" ref="J13614">_xlfn.IFS(I13614&lt;=3,"small",I13614&lt;=6,"Medium",I13614&lt;=9,"Large")</f>
        <v>Medium</v>
      </c>
      <c r="K13614" s="36">
        <v>45376</v>
      </c>
      <c r="L13614" s="36">
        <v>45380</v>
      </c>
      <c r="M13614" t="s">
        <v>612</v>
      </c>
      <c r="N13614" t="s">
        <v>604</v>
      </c>
      <c r="O13614" s="37" t="str">
        <f t="shared" si="1063"/>
        <v>Digital Payment</v>
      </c>
      <c r="P13614">
        <v>83.73</v>
      </c>
      <c r="Q13614" s="37" t="str">
        <f>IF(P13614&gt;500,"High","low")</f>
        <v>low</v>
      </c>
      <c r="R13614" s="37" t="str">
        <f t="shared" si="1064"/>
        <v>AVERAGE</v>
      </c>
      <c r="S13614" t="s">
        <v>620</v>
      </c>
    </row>
    <row r="13615" spans="1:19" x14ac:dyDescent="0.2">
      <c r="A13615" t="s">
        <v>14226</v>
      </c>
      <c r="B13615" t="s">
        <v>75</v>
      </c>
      <c r="C13615" t="s">
        <v>614</v>
      </c>
      <c r="D13615">
        <v>2909.5</v>
      </c>
      <c r="E13615" s="37" t="str">
        <f t="shared" si="1060"/>
        <v xml:space="preserve"> </v>
      </c>
      <c r="F13615">
        <v>0.42</v>
      </c>
      <c r="G13615" s="37" t="str">
        <f t="shared" si="1061"/>
        <v>Heavy Discount</v>
      </c>
      <c r="H13615" s="37" t="str">
        <f t="shared" si="1062"/>
        <v>High</v>
      </c>
      <c r="I13615">
        <v>5</v>
      </c>
      <c r="J13615" t="str" cm="1">
        <f t="array" ref="J13615">_xlfn.IFS(I13615&lt;=3,"small",I13615&lt;=6,"Medium",I13615&lt;=9,"Large")</f>
        <v>Medium</v>
      </c>
      <c r="K13615" s="36">
        <v>45652</v>
      </c>
      <c r="L13615" s="36">
        <v>45655</v>
      </c>
      <c r="M13615" t="s">
        <v>612</v>
      </c>
      <c r="N13615" t="s">
        <v>608</v>
      </c>
      <c r="O13615" s="37" t="str">
        <f t="shared" si="1063"/>
        <v>Cash Payment</v>
      </c>
      <c r="P13615">
        <v>244.96</v>
      </c>
      <c r="Q13615" s="37" t="str">
        <f>IF(P13615&gt;500,"High","low")</f>
        <v>low</v>
      </c>
      <c r="R13615" s="37" t="str">
        <f t="shared" si="1064"/>
        <v>AVERAGE</v>
      </c>
      <c r="S13615" t="s">
        <v>600</v>
      </c>
    </row>
    <row r="13616" spans="1:19" x14ac:dyDescent="0.2">
      <c r="A13616" t="s">
        <v>14227</v>
      </c>
      <c r="B13616" t="s">
        <v>83</v>
      </c>
      <c r="C13616" t="s">
        <v>602</v>
      </c>
      <c r="D13616">
        <v>3831.73</v>
      </c>
      <c r="E13616" s="37" t="str">
        <f t="shared" si="1060"/>
        <v xml:space="preserve"> </v>
      </c>
      <c r="F13616">
        <v>0.41</v>
      </c>
      <c r="G13616" s="37" t="str">
        <f t="shared" si="1061"/>
        <v>Heavy Discount</v>
      </c>
      <c r="H13616" s="37" t="str">
        <f t="shared" si="1062"/>
        <v>High</v>
      </c>
      <c r="I13616">
        <v>3</v>
      </c>
      <c r="J13616" t="str" cm="1">
        <f t="array" ref="J13616">_xlfn.IFS(I13616&lt;=3,"small",I13616&lt;=6,"Medium",I13616&lt;=9,"Large")</f>
        <v>small</v>
      </c>
      <c r="K13616" s="36">
        <v>45617</v>
      </c>
      <c r="L13616" s="36">
        <v>45624</v>
      </c>
      <c r="M13616" t="s">
        <v>612</v>
      </c>
      <c r="N13616" t="s">
        <v>608</v>
      </c>
      <c r="O13616" s="37" t="str">
        <f t="shared" si="1063"/>
        <v>Cash Payment</v>
      </c>
      <c r="P13616">
        <v>677.89</v>
      </c>
      <c r="Q13616" s="37" t="str">
        <f>IF(P13616&gt;500,"High","low")</f>
        <v>High</v>
      </c>
      <c r="R13616" s="37" t="str">
        <f t="shared" si="1064"/>
        <v>Good</v>
      </c>
      <c r="S13616" t="s">
        <v>615</v>
      </c>
    </row>
    <row r="13617" spans="1:19" x14ac:dyDescent="0.2">
      <c r="A13617" t="s">
        <v>14228</v>
      </c>
      <c r="B13617" t="s">
        <v>67</v>
      </c>
      <c r="C13617" t="s">
        <v>597</v>
      </c>
      <c r="D13617">
        <v>3224.2</v>
      </c>
      <c r="E13617" s="37" t="str">
        <f t="shared" si="1060"/>
        <v xml:space="preserve"> </v>
      </c>
      <c r="F13617">
        <v>0.43</v>
      </c>
      <c r="G13617" s="37" t="str">
        <f t="shared" si="1061"/>
        <v>Heavy Discount</v>
      </c>
      <c r="H13617" s="37" t="str">
        <f t="shared" si="1062"/>
        <v>High</v>
      </c>
      <c r="I13617">
        <v>7</v>
      </c>
      <c r="J13617" t="str" cm="1">
        <f t="array" ref="J13617">_xlfn.IFS(I13617&lt;=3,"small",I13617&lt;=6,"Medium",I13617&lt;=9,"Large")</f>
        <v>Large</v>
      </c>
      <c r="K13617" s="36">
        <v>45004</v>
      </c>
      <c r="L13617" s="36">
        <v>45008</v>
      </c>
      <c r="M13617" t="s">
        <v>598</v>
      </c>
      <c r="N13617" t="s">
        <v>604</v>
      </c>
      <c r="O13617" s="37" t="str">
        <f t="shared" si="1063"/>
        <v>Digital Payment</v>
      </c>
      <c r="P13617">
        <v>825.29</v>
      </c>
      <c r="Q13617" s="37" t="str">
        <f>IF(P13617&gt;500,"High","low")</f>
        <v>High</v>
      </c>
      <c r="R13617" s="37" t="str">
        <f t="shared" si="1064"/>
        <v>Good</v>
      </c>
      <c r="S13617" t="s">
        <v>615</v>
      </c>
    </row>
    <row r="13618" spans="1:19" x14ac:dyDescent="0.2">
      <c r="A13618" t="s">
        <v>14229</v>
      </c>
      <c r="B13618" t="s">
        <v>75</v>
      </c>
      <c r="C13618" t="s">
        <v>617</v>
      </c>
      <c r="D13618">
        <v>4041.1</v>
      </c>
      <c r="E13618" s="37" t="str">
        <f t="shared" si="1060"/>
        <v xml:space="preserve"> </v>
      </c>
      <c r="F13618">
        <v>0.28999999999999998</v>
      </c>
      <c r="G13618" s="37" t="str">
        <f t="shared" si="1061"/>
        <v>Normal Discount</v>
      </c>
      <c r="H13618" s="37" t="str">
        <f t="shared" si="1062"/>
        <v>Medium</v>
      </c>
      <c r="I13618">
        <v>3</v>
      </c>
      <c r="J13618" t="str" cm="1">
        <f t="array" ref="J13618">_xlfn.IFS(I13618&lt;=3,"small",I13618&lt;=6,"Medium",I13618&lt;=9,"Large")</f>
        <v>small</v>
      </c>
      <c r="K13618" s="36">
        <v>45134</v>
      </c>
      <c r="L13618" s="36">
        <v>45137</v>
      </c>
      <c r="M13618" t="s">
        <v>598</v>
      </c>
      <c r="N13618" t="s">
        <v>608</v>
      </c>
      <c r="O13618" s="37" t="str">
        <f t="shared" si="1063"/>
        <v>Cash Payment</v>
      </c>
      <c r="P13618">
        <v>271.31</v>
      </c>
      <c r="Q13618" s="37" t="str">
        <f>IF(P13618&gt;500,"High","low")</f>
        <v>low</v>
      </c>
      <c r="R13618" s="37" t="str">
        <f t="shared" si="1064"/>
        <v>AVERAGE</v>
      </c>
      <c r="S13618" t="s">
        <v>628</v>
      </c>
    </row>
    <row r="13619" spans="1:19" x14ac:dyDescent="0.2">
      <c r="A13619" t="s">
        <v>14230</v>
      </c>
      <c r="B13619" t="s">
        <v>75</v>
      </c>
      <c r="C13619" t="s">
        <v>597</v>
      </c>
      <c r="D13619">
        <v>3470.62</v>
      </c>
      <c r="E13619" s="37" t="str">
        <f t="shared" si="1060"/>
        <v xml:space="preserve"> </v>
      </c>
      <c r="F13619">
        <v>0.28000000000000003</v>
      </c>
      <c r="G13619" s="37" t="str">
        <f t="shared" si="1061"/>
        <v>Normal Discount</v>
      </c>
      <c r="H13619" s="37" t="str">
        <f t="shared" si="1062"/>
        <v>Medium</v>
      </c>
      <c r="I13619">
        <v>7</v>
      </c>
      <c r="J13619" t="str" cm="1">
        <f t="array" ref="J13619">_xlfn.IFS(I13619&lt;=3,"small",I13619&lt;=6,"Medium",I13619&lt;=9,"Large")</f>
        <v>Large</v>
      </c>
      <c r="K13619" s="36">
        <v>44957</v>
      </c>
      <c r="L13619" s="36">
        <v>44961</v>
      </c>
      <c r="M13619" t="s">
        <v>612</v>
      </c>
      <c r="N13619" t="s">
        <v>608</v>
      </c>
      <c r="O13619" s="37" t="str">
        <f t="shared" si="1063"/>
        <v>Cash Payment</v>
      </c>
      <c r="P13619">
        <v>190.14</v>
      </c>
      <c r="Q13619" s="37" t="str">
        <f>IF(P13619&gt;500,"High","low")</f>
        <v>low</v>
      </c>
      <c r="R13619" s="37" t="str">
        <f t="shared" si="1064"/>
        <v>AVERAGE</v>
      </c>
      <c r="S13619" t="s">
        <v>609</v>
      </c>
    </row>
    <row r="13620" spans="1:19" x14ac:dyDescent="0.2">
      <c r="A13620" t="s">
        <v>14231</v>
      </c>
      <c r="B13620" t="s">
        <v>90</v>
      </c>
      <c r="C13620" t="s">
        <v>607</v>
      </c>
      <c r="D13620">
        <v>1444.8</v>
      </c>
      <c r="E13620" s="37" t="str">
        <f t="shared" si="1060"/>
        <v xml:space="preserve"> </v>
      </c>
      <c r="F13620">
        <v>0.45</v>
      </c>
      <c r="G13620" s="37" t="str">
        <f t="shared" si="1061"/>
        <v>Heavy Discount</v>
      </c>
      <c r="H13620" s="37" t="str">
        <f t="shared" si="1062"/>
        <v>High</v>
      </c>
      <c r="I13620">
        <v>2</v>
      </c>
      <c r="J13620" t="str" cm="1">
        <f t="array" ref="J13620">_xlfn.IFS(I13620&lt;=3,"small",I13620&lt;=6,"Medium",I13620&lt;=9,"Large")</f>
        <v>small</v>
      </c>
      <c r="K13620" s="36">
        <v>45120</v>
      </c>
      <c r="L13620" s="36">
        <v>45123</v>
      </c>
      <c r="M13620" t="s">
        <v>603</v>
      </c>
      <c r="N13620" t="s">
        <v>599</v>
      </c>
      <c r="O13620" s="37" t="str">
        <f t="shared" si="1063"/>
        <v>Digital Payment</v>
      </c>
      <c r="P13620">
        <v>306.24</v>
      </c>
      <c r="Q13620" s="37" t="str">
        <f>IF(P13620&gt;500,"High","low")</f>
        <v>low</v>
      </c>
      <c r="R13620" s="37" t="str">
        <f t="shared" si="1064"/>
        <v>AVERAGE</v>
      </c>
      <c r="S13620" t="s">
        <v>600</v>
      </c>
    </row>
    <row r="13621" spans="1:19" x14ac:dyDescent="0.2">
      <c r="A13621" t="s">
        <v>14232</v>
      </c>
      <c r="B13621" t="s">
        <v>83</v>
      </c>
      <c r="C13621" t="s">
        <v>602</v>
      </c>
      <c r="D13621">
        <v>849.98</v>
      </c>
      <c r="E13621" s="37" t="str">
        <f t="shared" si="1060"/>
        <v xml:space="preserve"> </v>
      </c>
      <c r="F13621">
        <v>0.14000000000000001</v>
      </c>
      <c r="G13621" s="37" t="str">
        <f t="shared" si="1061"/>
        <v>Normal Discount</v>
      </c>
      <c r="H13621" s="37" t="str">
        <f t="shared" si="1062"/>
        <v>Low</v>
      </c>
      <c r="I13621">
        <v>8</v>
      </c>
      <c r="J13621" t="str" cm="1">
        <f t="array" ref="J13621">_xlfn.IFS(I13621&lt;=3,"small",I13621&lt;=6,"Medium",I13621&lt;=9,"Large")</f>
        <v>Large</v>
      </c>
      <c r="K13621" s="36">
        <v>45086</v>
      </c>
      <c r="L13621" s="36">
        <v>45088</v>
      </c>
      <c r="M13621" t="s">
        <v>612</v>
      </c>
      <c r="N13621" t="s">
        <v>599</v>
      </c>
      <c r="O13621" s="37" t="str">
        <f t="shared" si="1063"/>
        <v>Digital Payment</v>
      </c>
      <c r="P13621">
        <v>139.4</v>
      </c>
      <c r="Q13621" s="37" t="str">
        <f>IF(P13621&gt;500,"High","low")</f>
        <v>low</v>
      </c>
      <c r="R13621" s="37" t="str">
        <f t="shared" si="1064"/>
        <v>AVERAGE</v>
      </c>
      <c r="S13621" t="s">
        <v>609</v>
      </c>
    </row>
    <row r="13622" spans="1:19" x14ac:dyDescent="0.2">
      <c r="A13622" t="s">
        <v>14233</v>
      </c>
      <c r="B13622" t="s">
        <v>75</v>
      </c>
      <c r="C13622" t="s">
        <v>617</v>
      </c>
      <c r="D13622">
        <v>3196.7</v>
      </c>
      <c r="E13622" s="37" t="str">
        <f t="shared" si="1060"/>
        <v xml:space="preserve"> </v>
      </c>
      <c r="F13622">
        <v>7.0000000000000007E-2</v>
      </c>
      <c r="G13622" s="37" t="str">
        <f t="shared" si="1061"/>
        <v>Normal Discount</v>
      </c>
      <c r="H13622" s="37" t="str">
        <f t="shared" si="1062"/>
        <v>Low</v>
      </c>
      <c r="I13622">
        <v>2</v>
      </c>
      <c r="J13622" t="str" cm="1">
        <f t="array" ref="J13622">_xlfn.IFS(I13622&lt;=3,"small",I13622&lt;=6,"Medium",I13622&lt;=9,"Large")</f>
        <v>small</v>
      </c>
      <c r="K13622" s="36">
        <v>45026</v>
      </c>
      <c r="L13622" s="36">
        <v>45032</v>
      </c>
      <c r="M13622" t="s">
        <v>603</v>
      </c>
      <c r="N13622" t="s">
        <v>604</v>
      </c>
      <c r="O13622" s="37" t="str">
        <f t="shared" si="1063"/>
        <v>Digital Payment</v>
      </c>
      <c r="P13622">
        <v>396.72</v>
      </c>
      <c r="Q13622" s="37" t="str">
        <f>IF(P13622&gt;500,"High","low")</f>
        <v>low</v>
      </c>
      <c r="R13622" s="37" t="str">
        <f t="shared" si="1064"/>
        <v>AVERAGE</v>
      </c>
      <c r="S13622" t="s">
        <v>628</v>
      </c>
    </row>
    <row r="13623" spans="1:19" x14ac:dyDescent="0.2">
      <c r="A13623" t="s">
        <v>14234</v>
      </c>
      <c r="B13623" t="s">
        <v>83</v>
      </c>
      <c r="C13623" t="s">
        <v>602</v>
      </c>
      <c r="D13623">
        <v>3822.82</v>
      </c>
      <c r="E13623" s="37" t="str">
        <f t="shared" si="1060"/>
        <v xml:space="preserve"> </v>
      </c>
      <c r="F13623">
        <v>0.04</v>
      </c>
      <c r="G13623" s="37" t="str">
        <f t="shared" si="1061"/>
        <v>Normal Discount</v>
      </c>
      <c r="H13623" s="37" t="str">
        <f t="shared" si="1062"/>
        <v>Low</v>
      </c>
      <c r="I13623">
        <v>2</v>
      </c>
      <c r="J13623" t="str" cm="1">
        <f t="array" ref="J13623">_xlfn.IFS(I13623&lt;=3,"small",I13623&lt;=6,"Medium",I13623&lt;=9,"Large")</f>
        <v>small</v>
      </c>
      <c r="K13623" s="36">
        <v>45430</v>
      </c>
      <c r="L13623" s="36">
        <v>45432</v>
      </c>
      <c r="M13623" t="s">
        <v>612</v>
      </c>
      <c r="N13623" t="s">
        <v>599</v>
      </c>
      <c r="O13623" s="37" t="str">
        <f t="shared" si="1063"/>
        <v>Digital Payment</v>
      </c>
      <c r="P13623">
        <v>331.59</v>
      </c>
      <c r="Q13623" s="37" t="str">
        <f>IF(P13623&gt;500,"High","low")</f>
        <v>low</v>
      </c>
      <c r="R13623" s="37" t="str">
        <f t="shared" si="1064"/>
        <v>AVERAGE</v>
      </c>
      <c r="S13623" t="s">
        <v>620</v>
      </c>
    </row>
    <row r="13624" spans="1:19" x14ac:dyDescent="0.2">
      <c r="A13624" t="s">
        <v>14235</v>
      </c>
      <c r="B13624" t="s">
        <v>83</v>
      </c>
      <c r="C13624" t="s">
        <v>602</v>
      </c>
      <c r="D13624">
        <v>797.38</v>
      </c>
      <c r="E13624" s="37" t="str">
        <f t="shared" si="1060"/>
        <v xml:space="preserve"> </v>
      </c>
      <c r="F13624">
        <v>0.44</v>
      </c>
      <c r="G13624" s="37" t="str">
        <f t="shared" si="1061"/>
        <v>Heavy Discount</v>
      </c>
      <c r="H13624" s="37" t="str">
        <f t="shared" si="1062"/>
        <v>High</v>
      </c>
      <c r="I13624">
        <v>4</v>
      </c>
      <c r="J13624" t="str" cm="1">
        <f t="array" ref="J13624">_xlfn.IFS(I13624&lt;=3,"small",I13624&lt;=6,"Medium",I13624&lt;=9,"Large")</f>
        <v>Medium</v>
      </c>
      <c r="K13624" s="36">
        <v>45129</v>
      </c>
      <c r="L13624" s="36">
        <v>45130</v>
      </c>
      <c r="M13624" t="s">
        <v>612</v>
      </c>
      <c r="N13624" t="s">
        <v>599</v>
      </c>
      <c r="O13624" s="37" t="str">
        <f t="shared" si="1063"/>
        <v>Digital Payment</v>
      </c>
      <c r="P13624">
        <v>98.49</v>
      </c>
      <c r="Q13624" s="37" t="str">
        <f>IF(P13624&gt;500,"High","low")</f>
        <v>low</v>
      </c>
      <c r="R13624" s="37" t="str">
        <f t="shared" si="1064"/>
        <v>AVERAGE</v>
      </c>
      <c r="S13624" t="s">
        <v>615</v>
      </c>
    </row>
    <row r="13625" spans="1:19" x14ac:dyDescent="0.2">
      <c r="A13625" t="s">
        <v>14236</v>
      </c>
      <c r="B13625" t="s">
        <v>90</v>
      </c>
      <c r="C13625" t="s">
        <v>614</v>
      </c>
      <c r="D13625">
        <v>956.62</v>
      </c>
      <c r="E13625" s="37" t="str">
        <f t="shared" si="1060"/>
        <v xml:space="preserve"> </v>
      </c>
      <c r="F13625">
        <v>0.19</v>
      </c>
      <c r="G13625" s="37" t="str">
        <f t="shared" si="1061"/>
        <v>Normal Discount</v>
      </c>
      <c r="H13625" s="37" t="str">
        <f t="shared" si="1062"/>
        <v>Low</v>
      </c>
      <c r="I13625">
        <v>1</v>
      </c>
      <c r="J13625" t="str" cm="1">
        <f t="array" ref="J13625">_xlfn.IFS(I13625&lt;=3,"small",I13625&lt;=6,"Medium",I13625&lt;=9,"Large")</f>
        <v>small</v>
      </c>
      <c r="K13625" s="36">
        <v>44934</v>
      </c>
      <c r="L13625" s="36">
        <v>44941</v>
      </c>
      <c r="M13625" t="s">
        <v>598</v>
      </c>
      <c r="N13625" t="s">
        <v>608</v>
      </c>
      <c r="O13625" s="37" t="str">
        <f t="shared" si="1063"/>
        <v>Cash Payment</v>
      </c>
      <c r="P13625">
        <v>110.96</v>
      </c>
      <c r="Q13625" s="37" t="str">
        <f>IF(P13625&gt;500,"High","low")</f>
        <v>low</v>
      </c>
      <c r="R13625" s="37" t="str">
        <f t="shared" si="1064"/>
        <v>AVERAGE</v>
      </c>
      <c r="S13625" t="s">
        <v>609</v>
      </c>
    </row>
    <row r="13626" spans="1:19" x14ac:dyDescent="0.2">
      <c r="A13626" t="s">
        <v>14237</v>
      </c>
      <c r="B13626" t="s">
        <v>75</v>
      </c>
      <c r="C13626" t="s">
        <v>597</v>
      </c>
      <c r="D13626">
        <v>159.13999999999999</v>
      </c>
      <c r="E13626" s="37" t="str">
        <f t="shared" si="1060"/>
        <v xml:space="preserve"> </v>
      </c>
      <c r="F13626">
        <v>0.25</v>
      </c>
      <c r="G13626" s="37" t="str">
        <f t="shared" si="1061"/>
        <v>Normal Discount</v>
      </c>
      <c r="H13626" s="37" t="str">
        <f t="shared" si="1062"/>
        <v>Medium</v>
      </c>
      <c r="I13626">
        <v>7</v>
      </c>
      <c r="J13626" t="str" cm="1">
        <f t="array" ref="J13626">_xlfn.IFS(I13626&lt;=3,"small",I13626&lt;=6,"Medium",I13626&lt;=9,"Large")</f>
        <v>Large</v>
      </c>
      <c r="K13626" s="36">
        <v>45635</v>
      </c>
      <c r="L13626" s="36">
        <v>45636</v>
      </c>
      <c r="M13626" t="s">
        <v>603</v>
      </c>
      <c r="N13626" t="s">
        <v>599</v>
      </c>
      <c r="O13626" s="37" t="str">
        <f t="shared" si="1063"/>
        <v>Digital Payment</v>
      </c>
      <c r="P13626">
        <v>10.07</v>
      </c>
      <c r="Q13626" s="37" t="str">
        <f>IF(P13626&gt;500,"High","low")</f>
        <v>low</v>
      </c>
      <c r="R13626" s="37" t="str">
        <f t="shared" si="1064"/>
        <v>AVERAGE</v>
      </c>
      <c r="S13626" t="s">
        <v>615</v>
      </c>
    </row>
    <row r="13627" spans="1:19" x14ac:dyDescent="0.2">
      <c r="A13627" t="s">
        <v>14238</v>
      </c>
      <c r="B13627" t="s">
        <v>90</v>
      </c>
      <c r="C13627" t="s">
        <v>602</v>
      </c>
      <c r="D13627">
        <v>2705.57</v>
      </c>
      <c r="E13627" s="37" t="str">
        <f t="shared" si="1060"/>
        <v xml:space="preserve"> </v>
      </c>
      <c r="F13627">
        <v>0.4</v>
      </c>
      <c r="G13627" s="37" t="str">
        <f t="shared" si="1061"/>
        <v>Heavy Discount</v>
      </c>
      <c r="H13627" s="37" t="str">
        <f t="shared" si="1062"/>
        <v>Medium</v>
      </c>
      <c r="I13627">
        <v>2</v>
      </c>
      <c r="J13627" t="str" cm="1">
        <f t="array" ref="J13627">_xlfn.IFS(I13627&lt;=3,"small",I13627&lt;=6,"Medium",I13627&lt;=9,"Large")</f>
        <v>small</v>
      </c>
      <c r="K13627" s="36">
        <v>45408</v>
      </c>
      <c r="L13627" s="36">
        <v>45411</v>
      </c>
      <c r="M13627" t="s">
        <v>612</v>
      </c>
      <c r="N13627" t="s">
        <v>599</v>
      </c>
      <c r="O13627" s="37" t="str">
        <f t="shared" si="1063"/>
        <v>Digital Payment</v>
      </c>
      <c r="P13627">
        <v>541.53</v>
      </c>
      <c r="Q13627" s="37" t="str">
        <f>IF(P13627&gt;500,"High","low")</f>
        <v>High</v>
      </c>
      <c r="R13627" s="37" t="str">
        <f t="shared" si="1064"/>
        <v>Good</v>
      </c>
      <c r="S13627" t="s">
        <v>628</v>
      </c>
    </row>
    <row r="13628" spans="1:19" x14ac:dyDescent="0.2">
      <c r="A13628" t="s">
        <v>14239</v>
      </c>
      <c r="B13628" t="s">
        <v>67</v>
      </c>
      <c r="C13628" t="s">
        <v>602</v>
      </c>
      <c r="D13628">
        <v>2757.23</v>
      </c>
      <c r="E13628" s="37" t="str">
        <f t="shared" si="1060"/>
        <v xml:space="preserve"> </v>
      </c>
      <c r="F13628">
        <v>0.19</v>
      </c>
      <c r="G13628" s="37" t="str">
        <f t="shared" si="1061"/>
        <v>Normal Discount</v>
      </c>
      <c r="H13628" s="37" t="str">
        <f t="shared" si="1062"/>
        <v>Low</v>
      </c>
      <c r="I13628">
        <v>6</v>
      </c>
      <c r="J13628" t="str" cm="1">
        <f t="array" ref="J13628">_xlfn.IFS(I13628&lt;=3,"small",I13628&lt;=6,"Medium",I13628&lt;=9,"Large")</f>
        <v>Medium</v>
      </c>
      <c r="K13628" s="36">
        <v>45470</v>
      </c>
      <c r="L13628" s="36">
        <v>45475</v>
      </c>
      <c r="M13628" t="s">
        <v>612</v>
      </c>
      <c r="N13628" t="s">
        <v>608</v>
      </c>
      <c r="O13628" s="37" t="str">
        <f t="shared" si="1063"/>
        <v>Cash Payment</v>
      </c>
      <c r="P13628">
        <v>727.15</v>
      </c>
      <c r="Q13628" s="37" t="str">
        <f>IF(P13628&gt;500,"High","low")</f>
        <v>High</v>
      </c>
      <c r="R13628" s="37" t="str">
        <f t="shared" si="1064"/>
        <v>Good</v>
      </c>
      <c r="S13628" t="s">
        <v>605</v>
      </c>
    </row>
    <row r="13629" spans="1:19" x14ac:dyDescent="0.2">
      <c r="A13629" t="s">
        <v>14240</v>
      </c>
      <c r="B13629" t="s">
        <v>67</v>
      </c>
      <c r="C13629" t="s">
        <v>607</v>
      </c>
      <c r="D13629">
        <v>2550.37</v>
      </c>
      <c r="E13629" s="37" t="str">
        <f t="shared" si="1060"/>
        <v xml:space="preserve"> </v>
      </c>
      <c r="F13629">
        <v>0.43</v>
      </c>
      <c r="G13629" s="37" t="str">
        <f t="shared" si="1061"/>
        <v>Heavy Discount</v>
      </c>
      <c r="H13629" s="37" t="str">
        <f t="shared" si="1062"/>
        <v>High</v>
      </c>
      <c r="I13629">
        <v>5</v>
      </c>
      <c r="J13629" t="str" cm="1">
        <f t="array" ref="J13629">_xlfn.IFS(I13629&lt;=3,"small",I13629&lt;=6,"Medium",I13629&lt;=9,"Large")</f>
        <v>Medium</v>
      </c>
      <c r="K13629" s="36">
        <v>45229</v>
      </c>
      <c r="L13629" s="36">
        <v>45236</v>
      </c>
      <c r="M13629" t="s">
        <v>603</v>
      </c>
      <c r="N13629" t="s">
        <v>599</v>
      </c>
      <c r="O13629" s="37" t="str">
        <f t="shared" si="1063"/>
        <v>Digital Payment</v>
      </c>
      <c r="P13629">
        <v>591.03</v>
      </c>
      <c r="Q13629" s="37" t="str">
        <f>IF(P13629&gt;500,"High","low")</f>
        <v>High</v>
      </c>
      <c r="R13629" s="37" t="str">
        <f t="shared" si="1064"/>
        <v>Good</v>
      </c>
      <c r="S13629" t="s">
        <v>620</v>
      </c>
    </row>
    <row r="13630" spans="1:19" x14ac:dyDescent="0.2">
      <c r="A13630" t="s">
        <v>14241</v>
      </c>
      <c r="B13630" t="s">
        <v>75</v>
      </c>
      <c r="C13630" t="s">
        <v>607</v>
      </c>
      <c r="D13630">
        <v>1648.45</v>
      </c>
      <c r="E13630" s="37" t="str">
        <f t="shared" si="1060"/>
        <v xml:space="preserve"> </v>
      </c>
      <c r="F13630">
        <v>0.16</v>
      </c>
      <c r="G13630" s="37" t="str">
        <f t="shared" si="1061"/>
        <v>Normal Discount</v>
      </c>
      <c r="H13630" s="37" t="str">
        <f t="shared" si="1062"/>
        <v>Low</v>
      </c>
      <c r="I13630">
        <v>5</v>
      </c>
      <c r="J13630" t="str" cm="1">
        <f t="array" ref="J13630">_xlfn.IFS(I13630&lt;=3,"small",I13630&lt;=6,"Medium",I13630&lt;=9,"Large")</f>
        <v>Medium</v>
      </c>
      <c r="K13630" s="36">
        <v>44934</v>
      </c>
      <c r="L13630" s="36">
        <v>44935</v>
      </c>
      <c r="M13630" t="s">
        <v>598</v>
      </c>
      <c r="N13630" t="s">
        <v>599</v>
      </c>
      <c r="O13630" s="37" t="str">
        <f t="shared" si="1063"/>
        <v>Digital Payment</v>
      </c>
      <c r="P13630">
        <v>336.88</v>
      </c>
      <c r="Q13630" s="37" t="str">
        <f>IF(P13630&gt;500,"High","low")</f>
        <v>low</v>
      </c>
      <c r="R13630" s="37" t="str">
        <f t="shared" si="1064"/>
        <v>AVERAGE</v>
      </c>
      <c r="S13630" t="s">
        <v>600</v>
      </c>
    </row>
    <row r="13631" spans="1:19" x14ac:dyDescent="0.2">
      <c r="A13631" t="s">
        <v>14242</v>
      </c>
      <c r="B13631" t="s">
        <v>83</v>
      </c>
      <c r="C13631" t="s">
        <v>607</v>
      </c>
      <c r="D13631">
        <v>2196.2800000000002</v>
      </c>
      <c r="E13631" s="37" t="str">
        <f t="shared" si="1060"/>
        <v xml:space="preserve"> </v>
      </c>
      <c r="F13631">
        <v>0.37</v>
      </c>
      <c r="G13631" s="37" t="str">
        <f t="shared" si="1061"/>
        <v>Heavy Discount</v>
      </c>
      <c r="H13631" s="37" t="str">
        <f t="shared" si="1062"/>
        <v>Medium</v>
      </c>
      <c r="I13631">
        <v>4</v>
      </c>
      <c r="J13631" t="str" cm="1">
        <f t="array" ref="J13631">_xlfn.IFS(I13631&lt;=3,"small",I13631&lt;=6,"Medium",I13631&lt;=9,"Large")</f>
        <v>Medium</v>
      </c>
      <c r="K13631" s="36">
        <v>45600</v>
      </c>
      <c r="L13631" s="36">
        <v>45604</v>
      </c>
      <c r="M13631" t="s">
        <v>603</v>
      </c>
      <c r="N13631" t="s">
        <v>604</v>
      </c>
      <c r="O13631" s="37" t="str">
        <f t="shared" si="1063"/>
        <v>Digital Payment</v>
      </c>
      <c r="P13631">
        <v>274.32</v>
      </c>
      <c r="Q13631" s="37" t="str">
        <f>IF(P13631&gt;500,"High","low")</f>
        <v>low</v>
      </c>
      <c r="R13631" s="37" t="str">
        <f t="shared" si="1064"/>
        <v>AVERAGE</v>
      </c>
      <c r="S13631" t="s">
        <v>609</v>
      </c>
    </row>
    <row r="13632" spans="1:19" x14ac:dyDescent="0.2">
      <c r="A13632" t="s">
        <v>14243</v>
      </c>
      <c r="B13632" t="s">
        <v>75</v>
      </c>
      <c r="C13632" t="s">
        <v>602</v>
      </c>
      <c r="D13632">
        <v>3854.56</v>
      </c>
      <c r="E13632" s="37" t="str">
        <f t="shared" si="1060"/>
        <v xml:space="preserve"> </v>
      </c>
      <c r="F13632">
        <v>0.33</v>
      </c>
      <c r="G13632" s="37" t="str">
        <f t="shared" si="1061"/>
        <v>Heavy Discount</v>
      </c>
      <c r="H13632" s="37" t="str">
        <f t="shared" si="1062"/>
        <v>Medium</v>
      </c>
      <c r="I13632">
        <v>5</v>
      </c>
      <c r="J13632" t="str" cm="1">
        <f t="array" ref="J13632">_xlfn.IFS(I13632&lt;=3,"small",I13632&lt;=6,"Medium",I13632&lt;=9,"Large")</f>
        <v>Medium</v>
      </c>
      <c r="K13632" s="36">
        <v>45098</v>
      </c>
      <c r="L13632" s="36">
        <v>45100</v>
      </c>
      <c r="M13632" t="s">
        <v>612</v>
      </c>
      <c r="N13632" t="s">
        <v>608</v>
      </c>
      <c r="O13632" s="37" t="str">
        <f t="shared" si="1063"/>
        <v>Cash Payment</v>
      </c>
      <c r="P13632">
        <v>700.59</v>
      </c>
      <c r="Q13632" s="37" t="str">
        <f>IF(P13632&gt;500,"High","low")</f>
        <v>High</v>
      </c>
      <c r="R13632" s="37" t="str">
        <f t="shared" si="1064"/>
        <v>Good</v>
      </c>
      <c r="S13632" t="s">
        <v>615</v>
      </c>
    </row>
    <row r="13633" spans="1:19" x14ac:dyDescent="0.2">
      <c r="A13633" t="s">
        <v>14244</v>
      </c>
      <c r="B13633" t="s">
        <v>75</v>
      </c>
      <c r="C13633" t="s">
        <v>617</v>
      </c>
      <c r="D13633">
        <v>990.8</v>
      </c>
      <c r="E13633" s="37" t="str">
        <f t="shared" si="1060"/>
        <v xml:space="preserve"> </v>
      </c>
      <c r="F13633">
        <v>0.1</v>
      </c>
      <c r="G13633" s="37" t="str">
        <f t="shared" si="1061"/>
        <v>Normal Discount</v>
      </c>
      <c r="H13633" s="37" t="str">
        <f t="shared" si="1062"/>
        <v>Low</v>
      </c>
      <c r="I13633">
        <v>9</v>
      </c>
      <c r="J13633" t="str" cm="1">
        <f t="array" ref="J13633">_xlfn.IFS(I13633&lt;=3,"small",I13633&lt;=6,"Medium",I13633&lt;=9,"Large")</f>
        <v>Large</v>
      </c>
      <c r="K13633" s="36">
        <v>45079</v>
      </c>
      <c r="L13633" s="36">
        <v>45080</v>
      </c>
      <c r="M13633" t="s">
        <v>603</v>
      </c>
      <c r="N13633" t="s">
        <v>599</v>
      </c>
      <c r="O13633" s="37" t="str">
        <f t="shared" si="1063"/>
        <v>Digital Payment</v>
      </c>
      <c r="P13633">
        <v>117.36</v>
      </c>
      <c r="Q13633" s="37" t="str">
        <f>IF(P13633&gt;500,"High","low")</f>
        <v>low</v>
      </c>
      <c r="R13633" s="37" t="str">
        <f t="shared" si="1064"/>
        <v>AVERAGE</v>
      </c>
      <c r="S13633" t="s">
        <v>620</v>
      </c>
    </row>
    <row r="13634" spans="1:19" x14ac:dyDescent="0.2">
      <c r="A13634" t="s">
        <v>14245</v>
      </c>
      <c r="B13634" t="s">
        <v>67</v>
      </c>
      <c r="C13634" t="s">
        <v>597</v>
      </c>
      <c r="D13634">
        <v>1087.58</v>
      </c>
      <c r="E13634" s="37" t="str">
        <f t="shared" si="1060"/>
        <v xml:space="preserve"> </v>
      </c>
      <c r="F13634">
        <v>0.06</v>
      </c>
      <c r="G13634" s="37" t="str">
        <f t="shared" si="1061"/>
        <v>Normal Discount</v>
      </c>
      <c r="H13634" s="37" t="str">
        <f t="shared" si="1062"/>
        <v>Low</v>
      </c>
      <c r="I13634">
        <v>1</v>
      </c>
      <c r="J13634" t="str" cm="1">
        <f t="array" ref="J13634">_xlfn.IFS(I13634&lt;=3,"small",I13634&lt;=6,"Medium",I13634&lt;=9,"Large")</f>
        <v>small</v>
      </c>
      <c r="K13634" s="36">
        <v>45208</v>
      </c>
      <c r="L13634" s="36">
        <v>45209</v>
      </c>
      <c r="M13634" t="s">
        <v>603</v>
      </c>
      <c r="N13634" t="s">
        <v>599</v>
      </c>
      <c r="O13634" s="37" t="str">
        <f t="shared" si="1063"/>
        <v>Digital Payment</v>
      </c>
      <c r="P13634">
        <v>95.49</v>
      </c>
      <c r="Q13634" s="37" t="str">
        <f>IF(P13634&gt;500,"High","low")</f>
        <v>low</v>
      </c>
      <c r="R13634" s="37" t="str">
        <f t="shared" si="1064"/>
        <v>AVERAGE</v>
      </c>
      <c r="S13634" t="s">
        <v>615</v>
      </c>
    </row>
    <row r="13635" spans="1:19" x14ac:dyDescent="0.2">
      <c r="A13635" t="s">
        <v>14246</v>
      </c>
      <c r="B13635" t="s">
        <v>67</v>
      </c>
      <c r="C13635" t="s">
        <v>602</v>
      </c>
      <c r="D13635">
        <v>3368.19</v>
      </c>
      <c r="E13635" s="37" t="str">
        <f t="shared" ref="E13635:E13698" si="1065">IF(AND(D13635&gt;4000,P13635&gt;800),"Excellent Order"," ")</f>
        <v xml:space="preserve"> </v>
      </c>
      <c r="F13635">
        <v>0.06</v>
      </c>
      <c r="G13635" s="37" t="str">
        <f t="shared" ref="G13635:G13698" si="1066">IF(F13635&gt;30%,"Heavy Discount","Normal Discount")</f>
        <v>Normal Discount</v>
      </c>
      <c r="H13635" s="37" t="str">
        <f t="shared" ref="H13635:H13698" si="1067">IF(F13635&gt;0.4,"High",IF(F13635&gt;=0.2,"Medium","Low"))</f>
        <v>Low</v>
      </c>
      <c r="I13635">
        <v>2</v>
      </c>
      <c r="J13635" t="str" cm="1">
        <f t="array" ref="J13635">_xlfn.IFS(I13635&lt;=3,"small",I13635&lt;=6,"Medium",I13635&lt;=9,"Large")</f>
        <v>small</v>
      </c>
      <c r="K13635" s="36">
        <v>45319</v>
      </c>
      <c r="L13635" s="36">
        <v>45320</v>
      </c>
      <c r="M13635" t="s">
        <v>603</v>
      </c>
      <c r="N13635" t="s">
        <v>599</v>
      </c>
      <c r="O13635" s="37" t="str">
        <f t="shared" ref="O13635:O13698" si="1068">IF(OR(N13635="Card",N13635="UPI"),"Digital Payment","Cash Payment")</f>
        <v>Digital Payment</v>
      </c>
      <c r="P13635">
        <v>247.84</v>
      </c>
      <c r="Q13635" s="37" t="str">
        <f>IF(P13635&gt;500,"High","low")</f>
        <v>low</v>
      </c>
      <c r="R13635" s="37" t="str">
        <f t="shared" ref="R13635:R13698" si="1069">IF(P13635&gt;1000,"Excellent",IF(P13635&gt;=500,"Good","AVERAGE"))</f>
        <v>AVERAGE</v>
      </c>
      <c r="S13635" t="s">
        <v>615</v>
      </c>
    </row>
    <row r="13636" spans="1:19" x14ac:dyDescent="0.2">
      <c r="A13636" t="s">
        <v>14247</v>
      </c>
      <c r="B13636" t="s">
        <v>83</v>
      </c>
      <c r="C13636" t="s">
        <v>614</v>
      </c>
      <c r="D13636">
        <v>4347.8100000000004</v>
      </c>
      <c r="E13636" s="37" t="str">
        <f t="shared" si="1065"/>
        <v xml:space="preserve"> </v>
      </c>
      <c r="F13636">
        <v>0.33</v>
      </c>
      <c r="G13636" s="37" t="str">
        <f t="shared" si="1066"/>
        <v>Heavy Discount</v>
      </c>
      <c r="H13636" s="37" t="str">
        <f t="shared" si="1067"/>
        <v>Medium</v>
      </c>
      <c r="I13636">
        <v>7</v>
      </c>
      <c r="J13636" t="str" cm="1">
        <f t="array" ref="J13636">_xlfn.IFS(I13636&lt;=3,"small",I13636&lt;=6,"Medium",I13636&lt;=9,"Large")</f>
        <v>Large</v>
      </c>
      <c r="K13636" s="36">
        <v>45229</v>
      </c>
      <c r="L13636" s="36">
        <v>45233</v>
      </c>
      <c r="M13636" t="s">
        <v>612</v>
      </c>
      <c r="N13636" t="s">
        <v>599</v>
      </c>
      <c r="O13636" s="37" t="str">
        <f t="shared" si="1068"/>
        <v>Digital Payment</v>
      </c>
      <c r="P13636">
        <v>308.20999999999998</v>
      </c>
      <c r="Q13636" s="37" t="str">
        <f>IF(P13636&gt;500,"High","low")</f>
        <v>low</v>
      </c>
      <c r="R13636" s="37" t="str">
        <f t="shared" si="1069"/>
        <v>AVERAGE</v>
      </c>
      <c r="S13636" t="s">
        <v>628</v>
      </c>
    </row>
    <row r="13637" spans="1:19" x14ac:dyDescent="0.2">
      <c r="A13637" t="s">
        <v>14248</v>
      </c>
      <c r="B13637" t="s">
        <v>83</v>
      </c>
      <c r="C13637" t="s">
        <v>617</v>
      </c>
      <c r="D13637">
        <v>1767.93</v>
      </c>
      <c r="E13637" s="37" t="str">
        <f t="shared" si="1065"/>
        <v xml:space="preserve"> </v>
      </c>
      <c r="F13637">
        <v>0.01</v>
      </c>
      <c r="G13637" s="37" t="str">
        <f t="shared" si="1066"/>
        <v>Normal Discount</v>
      </c>
      <c r="H13637" s="37" t="str">
        <f t="shared" si="1067"/>
        <v>Low</v>
      </c>
      <c r="I13637">
        <v>9</v>
      </c>
      <c r="J13637" t="str" cm="1">
        <f t="array" ref="J13637">_xlfn.IFS(I13637&lt;=3,"small",I13637&lt;=6,"Medium",I13637&lt;=9,"Large")</f>
        <v>Large</v>
      </c>
      <c r="K13637" s="36">
        <v>45126</v>
      </c>
      <c r="L13637" s="36">
        <v>45130</v>
      </c>
      <c r="M13637" t="s">
        <v>603</v>
      </c>
      <c r="N13637" t="s">
        <v>608</v>
      </c>
      <c r="O13637" s="37" t="str">
        <f t="shared" si="1068"/>
        <v>Cash Payment</v>
      </c>
      <c r="P13637">
        <v>293.33999999999997</v>
      </c>
      <c r="Q13637" s="37" t="str">
        <f>IF(P13637&gt;500,"High","low")</f>
        <v>low</v>
      </c>
      <c r="R13637" s="37" t="str">
        <f t="shared" si="1069"/>
        <v>AVERAGE</v>
      </c>
      <c r="S13637" t="s">
        <v>620</v>
      </c>
    </row>
    <row r="13638" spans="1:19" x14ac:dyDescent="0.2">
      <c r="A13638" t="s">
        <v>14249</v>
      </c>
      <c r="B13638" t="s">
        <v>75</v>
      </c>
      <c r="C13638" t="s">
        <v>617</v>
      </c>
      <c r="D13638">
        <v>4670.45</v>
      </c>
      <c r="E13638" s="37" t="str">
        <f t="shared" si="1065"/>
        <v>Excellent Order</v>
      </c>
      <c r="F13638">
        <v>0.33</v>
      </c>
      <c r="G13638" s="37" t="str">
        <f t="shared" si="1066"/>
        <v>Heavy Discount</v>
      </c>
      <c r="H13638" s="37" t="str">
        <f t="shared" si="1067"/>
        <v>Medium</v>
      </c>
      <c r="I13638">
        <v>3</v>
      </c>
      <c r="J13638" t="str" cm="1">
        <f t="array" ref="J13638">_xlfn.IFS(I13638&lt;=3,"small",I13638&lt;=6,"Medium",I13638&lt;=9,"Large")</f>
        <v>small</v>
      </c>
      <c r="K13638" s="36">
        <v>45071</v>
      </c>
      <c r="L13638" s="36">
        <v>45072</v>
      </c>
      <c r="M13638" t="s">
        <v>598</v>
      </c>
      <c r="N13638" t="s">
        <v>599</v>
      </c>
      <c r="O13638" s="37" t="str">
        <f t="shared" si="1068"/>
        <v>Digital Payment</v>
      </c>
      <c r="P13638">
        <v>1074.8800000000001</v>
      </c>
      <c r="Q13638" s="37" t="str">
        <f>IF(P13638&gt;500,"High","low")</f>
        <v>High</v>
      </c>
      <c r="R13638" s="37" t="str">
        <f t="shared" si="1069"/>
        <v>Excellent</v>
      </c>
      <c r="S13638" t="s">
        <v>628</v>
      </c>
    </row>
    <row r="13639" spans="1:19" x14ac:dyDescent="0.2">
      <c r="A13639" t="s">
        <v>14250</v>
      </c>
      <c r="B13639" t="s">
        <v>90</v>
      </c>
      <c r="C13639" t="s">
        <v>597</v>
      </c>
      <c r="D13639">
        <v>382.61</v>
      </c>
      <c r="E13639" s="37" t="str">
        <f t="shared" si="1065"/>
        <v xml:space="preserve"> </v>
      </c>
      <c r="F13639">
        <v>0.39</v>
      </c>
      <c r="G13639" s="37" t="str">
        <f t="shared" si="1066"/>
        <v>Heavy Discount</v>
      </c>
      <c r="H13639" s="37" t="str">
        <f t="shared" si="1067"/>
        <v>Medium</v>
      </c>
      <c r="I13639">
        <v>6</v>
      </c>
      <c r="J13639" t="str" cm="1">
        <f t="array" ref="J13639">_xlfn.IFS(I13639&lt;=3,"small",I13639&lt;=6,"Medium",I13639&lt;=9,"Large")</f>
        <v>Medium</v>
      </c>
      <c r="K13639" s="36">
        <v>44941</v>
      </c>
      <c r="L13639" s="36">
        <v>44946</v>
      </c>
      <c r="M13639" t="s">
        <v>612</v>
      </c>
      <c r="N13639" t="s">
        <v>604</v>
      </c>
      <c r="O13639" s="37" t="str">
        <f t="shared" si="1068"/>
        <v>Digital Payment</v>
      </c>
      <c r="P13639">
        <v>63.95</v>
      </c>
      <c r="Q13639" s="37" t="str">
        <f>IF(P13639&gt;500,"High","low")</f>
        <v>low</v>
      </c>
      <c r="R13639" s="37" t="str">
        <f t="shared" si="1069"/>
        <v>AVERAGE</v>
      </c>
      <c r="S13639" t="s">
        <v>628</v>
      </c>
    </row>
    <row r="13640" spans="1:19" x14ac:dyDescent="0.2">
      <c r="A13640" t="s">
        <v>14251</v>
      </c>
      <c r="B13640" t="s">
        <v>75</v>
      </c>
      <c r="C13640" t="s">
        <v>617</v>
      </c>
      <c r="D13640">
        <v>680.74</v>
      </c>
      <c r="E13640" s="37" t="str">
        <f t="shared" si="1065"/>
        <v xml:space="preserve"> </v>
      </c>
      <c r="F13640">
        <v>0.15</v>
      </c>
      <c r="G13640" s="37" t="str">
        <f t="shared" si="1066"/>
        <v>Normal Discount</v>
      </c>
      <c r="H13640" s="37" t="str">
        <f t="shared" si="1067"/>
        <v>Low</v>
      </c>
      <c r="I13640">
        <v>5</v>
      </c>
      <c r="J13640" t="str" cm="1">
        <f t="array" ref="J13640">_xlfn.IFS(I13640&lt;=3,"small",I13640&lt;=6,"Medium",I13640&lt;=9,"Large")</f>
        <v>Medium</v>
      </c>
      <c r="K13640" s="36">
        <v>45608</v>
      </c>
      <c r="L13640" s="36">
        <v>45614</v>
      </c>
      <c r="M13640" t="s">
        <v>612</v>
      </c>
      <c r="N13640" t="s">
        <v>604</v>
      </c>
      <c r="O13640" s="37" t="str">
        <f t="shared" si="1068"/>
        <v>Digital Payment</v>
      </c>
      <c r="P13640">
        <v>134.86000000000001</v>
      </c>
      <c r="Q13640" s="37" t="str">
        <f>IF(P13640&gt;500,"High","low")</f>
        <v>low</v>
      </c>
      <c r="R13640" s="37" t="str">
        <f t="shared" si="1069"/>
        <v>AVERAGE</v>
      </c>
      <c r="S13640" t="s">
        <v>609</v>
      </c>
    </row>
    <row r="13641" spans="1:19" x14ac:dyDescent="0.2">
      <c r="A13641" t="s">
        <v>14252</v>
      </c>
      <c r="B13641" t="s">
        <v>83</v>
      </c>
      <c r="C13641" t="s">
        <v>597</v>
      </c>
      <c r="D13641">
        <v>2353.8000000000002</v>
      </c>
      <c r="E13641" s="37" t="str">
        <f t="shared" si="1065"/>
        <v xml:space="preserve"> </v>
      </c>
      <c r="F13641">
        <v>0.37</v>
      </c>
      <c r="G13641" s="37" t="str">
        <f t="shared" si="1066"/>
        <v>Heavy Discount</v>
      </c>
      <c r="H13641" s="37" t="str">
        <f t="shared" si="1067"/>
        <v>Medium</v>
      </c>
      <c r="I13641">
        <v>9</v>
      </c>
      <c r="J13641" t="str" cm="1">
        <f t="array" ref="J13641">_xlfn.IFS(I13641&lt;=3,"small",I13641&lt;=6,"Medium",I13641&lt;=9,"Large")</f>
        <v>Large</v>
      </c>
      <c r="K13641" s="36">
        <v>45236</v>
      </c>
      <c r="L13641" s="36">
        <v>45242</v>
      </c>
      <c r="M13641" t="s">
        <v>598</v>
      </c>
      <c r="N13641" t="s">
        <v>599</v>
      </c>
      <c r="O13641" s="37" t="str">
        <f t="shared" si="1068"/>
        <v>Digital Payment</v>
      </c>
      <c r="P13641">
        <v>450.94</v>
      </c>
      <c r="Q13641" s="37" t="str">
        <f>IF(P13641&gt;500,"High","low")</f>
        <v>low</v>
      </c>
      <c r="R13641" s="37" t="str">
        <f t="shared" si="1069"/>
        <v>AVERAGE</v>
      </c>
      <c r="S13641" t="s">
        <v>605</v>
      </c>
    </row>
    <row r="13642" spans="1:19" x14ac:dyDescent="0.2">
      <c r="A13642" t="s">
        <v>14253</v>
      </c>
      <c r="B13642" t="s">
        <v>90</v>
      </c>
      <c r="C13642" t="s">
        <v>617</v>
      </c>
      <c r="D13642">
        <v>3645.08</v>
      </c>
      <c r="E13642" s="37" t="str">
        <f t="shared" si="1065"/>
        <v xml:space="preserve"> </v>
      </c>
      <c r="F13642">
        <v>0.08</v>
      </c>
      <c r="G13642" s="37" t="str">
        <f t="shared" si="1066"/>
        <v>Normal Discount</v>
      </c>
      <c r="H13642" s="37" t="str">
        <f t="shared" si="1067"/>
        <v>Low</v>
      </c>
      <c r="I13642">
        <v>9</v>
      </c>
      <c r="J13642" t="str" cm="1">
        <f t="array" ref="J13642">_xlfn.IFS(I13642&lt;=3,"small",I13642&lt;=6,"Medium",I13642&lt;=9,"Large")</f>
        <v>Large</v>
      </c>
      <c r="K13642" s="36">
        <v>45323</v>
      </c>
      <c r="L13642" s="36">
        <v>45329</v>
      </c>
      <c r="M13642" t="s">
        <v>598</v>
      </c>
      <c r="N13642" t="s">
        <v>599</v>
      </c>
      <c r="O13642" s="37" t="str">
        <f t="shared" si="1068"/>
        <v>Digital Payment</v>
      </c>
      <c r="P13642">
        <v>461.14</v>
      </c>
      <c r="Q13642" s="37" t="str">
        <f>IF(P13642&gt;500,"High","low")</f>
        <v>low</v>
      </c>
      <c r="R13642" s="37" t="str">
        <f t="shared" si="1069"/>
        <v>AVERAGE</v>
      </c>
      <c r="S13642" t="s">
        <v>605</v>
      </c>
    </row>
    <row r="13643" spans="1:19" x14ac:dyDescent="0.2">
      <c r="A13643" t="s">
        <v>14254</v>
      </c>
      <c r="B13643" t="s">
        <v>67</v>
      </c>
      <c r="C13643" t="s">
        <v>597</v>
      </c>
      <c r="D13643">
        <v>1917.1</v>
      </c>
      <c r="E13643" s="37" t="str">
        <f t="shared" si="1065"/>
        <v xml:space="preserve"> </v>
      </c>
      <c r="F13643">
        <v>0.48</v>
      </c>
      <c r="G13643" s="37" t="str">
        <f t="shared" si="1066"/>
        <v>Heavy Discount</v>
      </c>
      <c r="H13643" s="37" t="str">
        <f t="shared" si="1067"/>
        <v>High</v>
      </c>
      <c r="I13643">
        <v>3</v>
      </c>
      <c r="J13643" t="str" cm="1">
        <f t="array" ref="J13643">_xlfn.IFS(I13643&lt;=3,"small",I13643&lt;=6,"Medium",I13643&lt;=9,"Large")</f>
        <v>small</v>
      </c>
      <c r="K13643" s="36">
        <v>45432</v>
      </c>
      <c r="L13643" s="36">
        <v>45439</v>
      </c>
      <c r="M13643" t="s">
        <v>612</v>
      </c>
      <c r="N13643" t="s">
        <v>608</v>
      </c>
      <c r="O13643" s="37" t="str">
        <f t="shared" si="1068"/>
        <v>Cash Payment</v>
      </c>
      <c r="P13643">
        <v>537.09</v>
      </c>
      <c r="Q13643" s="37" t="str">
        <f>IF(P13643&gt;500,"High","low")</f>
        <v>High</v>
      </c>
      <c r="R13643" s="37" t="str">
        <f t="shared" si="1069"/>
        <v>Good</v>
      </c>
      <c r="S13643" t="s">
        <v>600</v>
      </c>
    </row>
    <row r="13644" spans="1:19" x14ac:dyDescent="0.2">
      <c r="A13644" t="s">
        <v>14255</v>
      </c>
      <c r="B13644" t="s">
        <v>83</v>
      </c>
      <c r="C13644" t="s">
        <v>607</v>
      </c>
      <c r="D13644">
        <v>2818.26</v>
      </c>
      <c r="E13644" s="37" t="str">
        <f t="shared" si="1065"/>
        <v xml:space="preserve"> </v>
      </c>
      <c r="F13644">
        <v>0.12</v>
      </c>
      <c r="G13644" s="37" t="str">
        <f t="shared" si="1066"/>
        <v>Normal Discount</v>
      </c>
      <c r="H13644" s="37" t="str">
        <f t="shared" si="1067"/>
        <v>Low</v>
      </c>
      <c r="I13644">
        <v>2</v>
      </c>
      <c r="J13644" t="str" cm="1">
        <f t="array" ref="J13644">_xlfn.IFS(I13644&lt;=3,"small",I13644&lt;=6,"Medium",I13644&lt;=9,"Large")</f>
        <v>small</v>
      </c>
      <c r="K13644" s="36">
        <v>45421</v>
      </c>
      <c r="L13644" s="36">
        <v>45426</v>
      </c>
      <c r="M13644" t="s">
        <v>612</v>
      </c>
      <c r="N13644" t="s">
        <v>608</v>
      </c>
      <c r="O13644" s="37" t="str">
        <f t="shared" si="1068"/>
        <v>Cash Payment</v>
      </c>
      <c r="P13644">
        <v>659.29</v>
      </c>
      <c r="Q13644" s="37" t="str">
        <f>IF(P13644&gt;500,"High","low")</f>
        <v>High</v>
      </c>
      <c r="R13644" s="37" t="str">
        <f t="shared" si="1069"/>
        <v>Good</v>
      </c>
      <c r="S13644" t="s">
        <v>600</v>
      </c>
    </row>
    <row r="13645" spans="1:19" x14ac:dyDescent="0.2">
      <c r="A13645" t="s">
        <v>14256</v>
      </c>
      <c r="B13645" t="s">
        <v>83</v>
      </c>
      <c r="C13645" t="s">
        <v>607</v>
      </c>
      <c r="D13645">
        <v>240</v>
      </c>
      <c r="E13645" s="37" t="str">
        <f t="shared" si="1065"/>
        <v xml:space="preserve"> </v>
      </c>
      <c r="F13645">
        <v>0.24</v>
      </c>
      <c r="G13645" s="37" t="str">
        <f t="shared" si="1066"/>
        <v>Normal Discount</v>
      </c>
      <c r="H13645" s="37" t="str">
        <f t="shared" si="1067"/>
        <v>Medium</v>
      </c>
      <c r="I13645">
        <v>4</v>
      </c>
      <c r="J13645" t="str" cm="1">
        <f t="array" ref="J13645">_xlfn.IFS(I13645&lt;=3,"small",I13645&lt;=6,"Medium",I13645&lt;=9,"Large")</f>
        <v>Medium</v>
      </c>
      <c r="K13645" s="36">
        <v>45616</v>
      </c>
      <c r="L13645" s="36">
        <v>45623</v>
      </c>
      <c r="M13645" t="s">
        <v>598</v>
      </c>
      <c r="N13645" t="s">
        <v>608</v>
      </c>
      <c r="O13645" s="37" t="str">
        <f t="shared" si="1068"/>
        <v>Cash Payment</v>
      </c>
      <c r="P13645">
        <v>55.35</v>
      </c>
      <c r="Q13645" s="37" t="str">
        <f>IF(P13645&gt;500,"High","low")</f>
        <v>low</v>
      </c>
      <c r="R13645" s="37" t="str">
        <f t="shared" si="1069"/>
        <v>AVERAGE</v>
      </c>
      <c r="S13645" t="s">
        <v>628</v>
      </c>
    </row>
    <row r="13646" spans="1:19" x14ac:dyDescent="0.2">
      <c r="A13646" t="s">
        <v>14257</v>
      </c>
      <c r="B13646" t="s">
        <v>90</v>
      </c>
      <c r="C13646" t="s">
        <v>617</v>
      </c>
      <c r="D13646">
        <v>2362.9899999999998</v>
      </c>
      <c r="E13646" s="37" t="str">
        <f t="shared" si="1065"/>
        <v xml:space="preserve"> </v>
      </c>
      <c r="F13646">
        <v>0.49</v>
      </c>
      <c r="G13646" s="37" t="str">
        <f t="shared" si="1066"/>
        <v>Heavy Discount</v>
      </c>
      <c r="H13646" s="37" t="str">
        <f t="shared" si="1067"/>
        <v>High</v>
      </c>
      <c r="I13646">
        <v>9</v>
      </c>
      <c r="J13646" t="str" cm="1">
        <f t="array" ref="J13646">_xlfn.IFS(I13646&lt;=3,"small",I13646&lt;=6,"Medium",I13646&lt;=9,"Large")</f>
        <v>Large</v>
      </c>
      <c r="K13646" s="36">
        <v>44970</v>
      </c>
      <c r="L13646" s="36">
        <v>44974</v>
      </c>
      <c r="M13646" t="s">
        <v>612</v>
      </c>
      <c r="N13646" t="s">
        <v>604</v>
      </c>
      <c r="O13646" s="37" t="str">
        <f t="shared" si="1068"/>
        <v>Digital Payment</v>
      </c>
      <c r="P13646">
        <v>417.77</v>
      </c>
      <c r="Q13646" s="37" t="str">
        <f>IF(P13646&gt;500,"High","low")</f>
        <v>low</v>
      </c>
      <c r="R13646" s="37" t="str">
        <f t="shared" si="1069"/>
        <v>AVERAGE</v>
      </c>
      <c r="S13646" t="s">
        <v>628</v>
      </c>
    </row>
    <row r="13647" spans="1:19" x14ac:dyDescent="0.2">
      <c r="A13647" t="s">
        <v>14258</v>
      </c>
      <c r="B13647" t="s">
        <v>83</v>
      </c>
      <c r="C13647" t="s">
        <v>617</v>
      </c>
      <c r="D13647">
        <v>1288.6199999999999</v>
      </c>
      <c r="E13647" s="37" t="str">
        <f t="shared" si="1065"/>
        <v xml:space="preserve"> </v>
      </c>
      <c r="F13647">
        <v>0.45</v>
      </c>
      <c r="G13647" s="37" t="str">
        <f t="shared" si="1066"/>
        <v>Heavy Discount</v>
      </c>
      <c r="H13647" s="37" t="str">
        <f t="shared" si="1067"/>
        <v>High</v>
      </c>
      <c r="I13647">
        <v>3</v>
      </c>
      <c r="J13647" t="str" cm="1">
        <f t="array" ref="J13647">_xlfn.IFS(I13647&lt;=3,"small",I13647&lt;=6,"Medium",I13647&lt;=9,"Large")</f>
        <v>small</v>
      </c>
      <c r="K13647" s="36">
        <v>45185</v>
      </c>
      <c r="L13647" s="36">
        <v>45192</v>
      </c>
      <c r="M13647" t="s">
        <v>598</v>
      </c>
      <c r="N13647" t="s">
        <v>604</v>
      </c>
      <c r="O13647" s="37" t="str">
        <f t="shared" si="1068"/>
        <v>Digital Payment</v>
      </c>
      <c r="P13647">
        <v>125.56</v>
      </c>
      <c r="Q13647" s="37" t="str">
        <f>IF(P13647&gt;500,"High","low")</f>
        <v>low</v>
      </c>
      <c r="R13647" s="37" t="str">
        <f t="shared" si="1069"/>
        <v>AVERAGE</v>
      </c>
      <c r="S13647" t="s">
        <v>615</v>
      </c>
    </row>
    <row r="13648" spans="1:19" x14ac:dyDescent="0.2">
      <c r="A13648" t="s">
        <v>14259</v>
      </c>
      <c r="B13648" t="s">
        <v>83</v>
      </c>
      <c r="C13648" t="s">
        <v>597</v>
      </c>
      <c r="D13648">
        <v>2630.21</v>
      </c>
      <c r="E13648" s="37" t="str">
        <f t="shared" si="1065"/>
        <v xml:space="preserve"> </v>
      </c>
      <c r="F13648">
        <v>0.33</v>
      </c>
      <c r="G13648" s="37" t="str">
        <f t="shared" si="1066"/>
        <v>Heavy Discount</v>
      </c>
      <c r="H13648" s="37" t="str">
        <f t="shared" si="1067"/>
        <v>Medium</v>
      </c>
      <c r="I13648">
        <v>4</v>
      </c>
      <c r="J13648" t="str" cm="1">
        <f t="array" ref="J13648">_xlfn.IFS(I13648&lt;=3,"small",I13648&lt;=6,"Medium",I13648&lt;=9,"Large")</f>
        <v>Medium</v>
      </c>
      <c r="K13648" s="36">
        <v>45107</v>
      </c>
      <c r="L13648" s="36">
        <v>45111</v>
      </c>
      <c r="M13648" t="s">
        <v>612</v>
      </c>
      <c r="N13648" t="s">
        <v>599</v>
      </c>
      <c r="O13648" s="37" t="str">
        <f t="shared" si="1068"/>
        <v>Digital Payment</v>
      </c>
      <c r="P13648">
        <v>414.26</v>
      </c>
      <c r="Q13648" s="37" t="str">
        <f>IF(P13648&gt;500,"High","low")</f>
        <v>low</v>
      </c>
      <c r="R13648" s="37" t="str">
        <f t="shared" si="1069"/>
        <v>AVERAGE</v>
      </c>
      <c r="S13648" t="s">
        <v>615</v>
      </c>
    </row>
    <row r="13649" spans="1:19" x14ac:dyDescent="0.2">
      <c r="A13649" t="s">
        <v>14260</v>
      </c>
      <c r="B13649" t="s">
        <v>83</v>
      </c>
      <c r="C13649" t="s">
        <v>597</v>
      </c>
      <c r="D13649">
        <v>2676.58</v>
      </c>
      <c r="E13649" s="37" t="str">
        <f t="shared" si="1065"/>
        <v xml:space="preserve"> </v>
      </c>
      <c r="F13649">
        <v>0.18</v>
      </c>
      <c r="G13649" s="37" t="str">
        <f t="shared" si="1066"/>
        <v>Normal Discount</v>
      </c>
      <c r="H13649" s="37" t="str">
        <f t="shared" si="1067"/>
        <v>Low</v>
      </c>
      <c r="I13649">
        <v>2</v>
      </c>
      <c r="J13649" t="str" cm="1">
        <f t="array" ref="J13649">_xlfn.IFS(I13649&lt;=3,"small",I13649&lt;=6,"Medium",I13649&lt;=9,"Large")</f>
        <v>small</v>
      </c>
      <c r="K13649" s="36">
        <v>45238</v>
      </c>
      <c r="L13649" s="36">
        <v>45245</v>
      </c>
      <c r="M13649" t="s">
        <v>612</v>
      </c>
      <c r="N13649" t="s">
        <v>599</v>
      </c>
      <c r="O13649" s="37" t="str">
        <f t="shared" si="1068"/>
        <v>Digital Payment</v>
      </c>
      <c r="P13649">
        <v>283.77</v>
      </c>
      <c r="Q13649" s="37" t="str">
        <f>IF(P13649&gt;500,"High","low")</f>
        <v>low</v>
      </c>
      <c r="R13649" s="37" t="str">
        <f t="shared" si="1069"/>
        <v>AVERAGE</v>
      </c>
      <c r="S13649" t="s">
        <v>620</v>
      </c>
    </row>
    <row r="13650" spans="1:19" x14ac:dyDescent="0.2">
      <c r="A13650" t="s">
        <v>14261</v>
      </c>
      <c r="B13650" t="s">
        <v>83</v>
      </c>
      <c r="C13650" t="s">
        <v>602</v>
      </c>
      <c r="D13650">
        <v>3790.48</v>
      </c>
      <c r="E13650" s="37" t="str">
        <f t="shared" si="1065"/>
        <v xml:space="preserve"> </v>
      </c>
      <c r="F13650">
        <v>0.35</v>
      </c>
      <c r="G13650" s="37" t="str">
        <f t="shared" si="1066"/>
        <v>Heavy Discount</v>
      </c>
      <c r="H13650" s="37" t="str">
        <f t="shared" si="1067"/>
        <v>Medium</v>
      </c>
      <c r="I13650">
        <v>1</v>
      </c>
      <c r="J13650" t="str" cm="1">
        <f t="array" ref="J13650">_xlfn.IFS(I13650&lt;=3,"small",I13650&lt;=6,"Medium",I13650&lt;=9,"Large")</f>
        <v>small</v>
      </c>
      <c r="K13650" s="36">
        <v>44980</v>
      </c>
      <c r="L13650" s="36">
        <v>44982</v>
      </c>
      <c r="M13650" t="s">
        <v>612</v>
      </c>
      <c r="N13650" t="s">
        <v>604</v>
      </c>
      <c r="O13650" s="37" t="str">
        <f t="shared" si="1068"/>
        <v>Digital Payment</v>
      </c>
      <c r="P13650">
        <v>368.89</v>
      </c>
      <c r="Q13650" s="37" t="str">
        <f>IF(P13650&gt;500,"High","low")</f>
        <v>low</v>
      </c>
      <c r="R13650" s="37" t="str">
        <f t="shared" si="1069"/>
        <v>AVERAGE</v>
      </c>
      <c r="S13650" t="s">
        <v>609</v>
      </c>
    </row>
    <row r="13651" spans="1:19" x14ac:dyDescent="0.2">
      <c r="A13651" t="s">
        <v>14262</v>
      </c>
      <c r="B13651" t="s">
        <v>83</v>
      </c>
      <c r="C13651" t="s">
        <v>607</v>
      </c>
      <c r="D13651">
        <v>2745.22</v>
      </c>
      <c r="E13651" s="37" t="str">
        <f t="shared" si="1065"/>
        <v xml:space="preserve"> </v>
      </c>
      <c r="F13651">
        <v>0.23</v>
      </c>
      <c r="G13651" s="37" t="str">
        <f t="shared" si="1066"/>
        <v>Normal Discount</v>
      </c>
      <c r="H13651" s="37" t="str">
        <f t="shared" si="1067"/>
        <v>Medium</v>
      </c>
      <c r="I13651">
        <v>5</v>
      </c>
      <c r="J13651" t="str" cm="1">
        <f t="array" ref="J13651">_xlfn.IFS(I13651&lt;=3,"small",I13651&lt;=6,"Medium",I13651&lt;=9,"Large")</f>
        <v>Medium</v>
      </c>
      <c r="K13651" s="36">
        <v>45623</v>
      </c>
      <c r="L13651" s="36">
        <v>45628</v>
      </c>
      <c r="M13651" t="s">
        <v>603</v>
      </c>
      <c r="N13651" t="s">
        <v>604</v>
      </c>
      <c r="O13651" s="37" t="str">
        <f t="shared" si="1068"/>
        <v>Digital Payment</v>
      </c>
      <c r="P13651">
        <v>206.62</v>
      </c>
      <c r="Q13651" s="37" t="str">
        <f>IF(P13651&gt;500,"High","low")</f>
        <v>low</v>
      </c>
      <c r="R13651" s="37" t="str">
        <f t="shared" si="1069"/>
        <v>AVERAGE</v>
      </c>
      <c r="S13651" t="s">
        <v>628</v>
      </c>
    </row>
    <row r="13652" spans="1:19" x14ac:dyDescent="0.2">
      <c r="A13652" t="s">
        <v>14263</v>
      </c>
      <c r="B13652" t="s">
        <v>83</v>
      </c>
      <c r="C13652" t="s">
        <v>602</v>
      </c>
      <c r="D13652">
        <v>3109.92</v>
      </c>
      <c r="E13652" s="37" t="str">
        <f t="shared" si="1065"/>
        <v xml:space="preserve"> </v>
      </c>
      <c r="F13652">
        <v>0.05</v>
      </c>
      <c r="G13652" s="37" t="str">
        <f t="shared" si="1066"/>
        <v>Normal Discount</v>
      </c>
      <c r="H13652" s="37" t="str">
        <f t="shared" si="1067"/>
        <v>Low</v>
      </c>
      <c r="I13652">
        <v>4</v>
      </c>
      <c r="J13652" t="str" cm="1">
        <f t="array" ref="J13652">_xlfn.IFS(I13652&lt;=3,"small",I13652&lt;=6,"Medium",I13652&lt;=9,"Large")</f>
        <v>Medium</v>
      </c>
      <c r="K13652" s="36">
        <v>45578</v>
      </c>
      <c r="L13652" s="36">
        <v>45584</v>
      </c>
      <c r="M13652" t="s">
        <v>612</v>
      </c>
      <c r="N13652" t="s">
        <v>599</v>
      </c>
      <c r="O13652" s="37" t="str">
        <f t="shared" si="1068"/>
        <v>Digital Payment</v>
      </c>
      <c r="P13652">
        <v>363.67</v>
      </c>
      <c r="Q13652" s="37" t="str">
        <f>IF(P13652&gt;500,"High","low")</f>
        <v>low</v>
      </c>
      <c r="R13652" s="37" t="str">
        <f t="shared" si="1069"/>
        <v>AVERAGE</v>
      </c>
      <c r="S13652" t="s">
        <v>615</v>
      </c>
    </row>
    <row r="13653" spans="1:19" x14ac:dyDescent="0.2">
      <c r="A13653" t="s">
        <v>14264</v>
      </c>
      <c r="B13653" t="s">
        <v>83</v>
      </c>
      <c r="C13653" t="s">
        <v>602</v>
      </c>
      <c r="D13653">
        <v>2695.27</v>
      </c>
      <c r="E13653" s="37" t="str">
        <f t="shared" si="1065"/>
        <v xml:space="preserve"> </v>
      </c>
      <c r="F13653">
        <v>0.4</v>
      </c>
      <c r="G13653" s="37" t="str">
        <f t="shared" si="1066"/>
        <v>Heavy Discount</v>
      </c>
      <c r="H13653" s="37" t="str">
        <f t="shared" si="1067"/>
        <v>Medium</v>
      </c>
      <c r="I13653">
        <v>2</v>
      </c>
      <c r="J13653" t="str" cm="1">
        <f t="array" ref="J13653">_xlfn.IFS(I13653&lt;=3,"small",I13653&lt;=6,"Medium",I13653&lt;=9,"Large")</f>
        <v>small</v>
      </c>
      <c r="K13653" s="36">
        <v>45275</v>
      </c>
      <c r="L13653" s="36">
        <v>45282</v>
      </c>
      <c r="M13653" t="s">
        <v>603</v>
      </c>
      <c r="N13653" t="s">
        <v>604</v>
      </c>
      <c r="O13653" s="37" t="str">
        <f t="shared" si="1068"/>
        <v>Digital Payment</v>
      </c>
      <c r="P13653">
        <v>589.14</v>
      </c>
      <c r="Q13653" s="37" t="str">
        <f>IF(P13653&gt;500,"High","low")</f>
        <v>High</v>
      </c>
      <c r="R13653" s="37" t="str">
        <f t="shared" si="1069"/>
        <v>Good</v>
      </c>
      <c r="S13653" t="s">
        <v>605</v>
      </c>
    </row>
    <row r="13654" spans="1:19" x14ac:dyDescent="0.2">
      <c r="A13654" t="s">
        <v>14265</v>
      </c>
      <c r="B13654" t="s">
        <v>83</v>
      </c>
      <c r="C13654" t="s">
        <v>614</v>
      </c>
      <c r="D13654">
        <v>4952.8500000000004</v>
      </c>
      <c r="E13654" s="37" t="str">
        <f t="shared" si="1065"/>
        <v>Excellent Order</v>
      </c>
      <c r="F13654">
        <v>0.44</v>
      </c>
      <c r="G13654" s="37" t="str">
        <f t="shared" si="1066"/>
        <v>Heavy Discount</v>
      </c>
      <c r="H13654" s="37" t="str">
        <f t="shared" si="1067"/>
        <v>High</v>
      </c>
      <c r="I13654">
        <v>6</v>
      </c>
      <c r="J13654" t="str" cm="1">
        <f t="array" ref="J13654">_xlfn.IFS(I13654&lt;=3,"small",I13654&lt;=6,"Medium",I13654&lt;=9,"Large")</f>
        <v>Medium</v>
      </c>
      <c r="K13654" s="36">
        <v>45310</v>
      </c>
      <c r="L13654" s="36">
        <v>45311</v>
      </c>
      <c r="M13654" t="s">
        <v>598</v>
      </c>
      <c r="N13654" t="s">
        <v>599</v>
      </c>
      <c r="O13654" s="37" t="str">
        <f t="shared" si="1068"/>
        <v>Digital Payment</v>
      </c>
      <c r="P13654">
        <v>1206.5899999999999</v>
      </c>
      <c r="Q13654" s="37" t="str">
        <f>IF(P13654&gt;500,"High","low")</f>
        <v>High</v>
      </c>
      <c r="R13654" s="37" t="str">
        <f t="shared" si="1069"/>
        <v>Excellent</v>
      </c>
      <c r="S13654" t="s">
        <v>600</v>
      </c>
    </row>
    <row r="13655" spans="1:19" x14ac:dyDescent="0.2">
      <c r="A13655" t="s">
        <v>14266</v>
      </c>
      <c r="B13655" t="s">
        <v>67</v>
      </c>
      <c r="C13655" t="s">
        <v>597</v>
      </c>
      <c r="D13655">
        <v>3978.93</v>
      </c>
      <c r="E13655" s="37" t="str">
        <f t="shared" si="1065"/>
        <v xml:space="preserve"> </v>
      </c>
      <c r="F13655">
        <v>0.2</v>
      </c>
      <c r="G13655" s="37" t="str">
        <f t="shared" si="1066"/>
        <v>Normal Discount</v>
      </c>
      <c r="H13655" s="37" t="str">
        <f t="shared" si="1067"/>
        <v>Medium</v>
      </c>
      <c r="I13655">
        <v>5</v>
      </c>
      <c r="J13655" t="str" cm="1">
        <f t="array" ref="J13655">_xlfn.IFS(I13655&lt;=3,"small",I13655&lt;=6,"Medium",I13655&lt;=9,"Large")</f>
        <v>Medium</v>
      </c>
      <c r="K13655" s="36">
        <v>45113</v>
      </c>
      <c r="L13655" s="36">
        <v>45116</v>
      </c>
      <c r="M13655" t="s">
        <v>612</v>
      </c>
      <c r="N13655" t="s">
        <v>608</v>
      </c>
      <c r="O13655" s="37" t="str">
        <f t="shared" si="1068"/>
        <v>Cash Payment</v>
      </c>
      <c r="P13655">
        <v>1128.9100000000001</v>
      </c>
      <c r="Q13655" s="37" t="str">
        <f>IF(P13655&gt;500,"High","low")</f>
        <v>High</v>
      </c>
      <c r="R13655" s="37" t="str">
        <f t="shared" si="1069"/>
        <v>Excellent</v>
      </c>
      <c r="S13655" t="s">
        <v>628</v>
      </c>
    </row>
    <row r="13656" spans="1:19" x14ac:dyDescent="0.2">
      <c r="A13656" t="s">
        <v>14267</v>
      </c>
      <c r="B13656" t="s">
        <v>83</v>
      </c>
      <c r="C13656" t="s">
        <v>614</v>
      </c>
      <c r="D13656">
        <v>3802.66</v>
      </c>
      <c r="E13656" s="37" t="str">
        <f t="shared" si="1065"/>
        <v xml:space="preserve"> </v>
      </c>
      <c r="F13656">
        <v>0.33</v>
      </c>
      <c r="G13656" s="37" t="str">
        <f t="shared" si="1066"/>
        <v>Heavy Discount</v>
      </c>
      <c r="H13656" s="37" t="str">
        <f t="shared" si="1067"/>
        <v>Medium</v>
      </c>
      <c r="I13656">
        <v>1</v>
      </c>
      <c r="J13656" t="str" cm="1">
        <f t="array" ref="J13656">_xlfn.IFS(I13656&lt;=3,"small",I13656&lt;=6,"Medium",I13656&lt;=9,"Large")</f>
        <v>small</v>
      </c>
      <c r="K13656" s="36">
        <v>45247</v>
      </c>
      <c r="L13656" s="36">
        <v>45254</v>
      </c>
      <c r="M13656" t="s">
        <v>612</v>
      </c>
      <c r="N13656" t="s">
        <v>599</v>
      </c>
      <c r="O13656" s="37" t="str">
        <f t="shared" si="1068"/>
        <v>Digital Payment</v>
      </c>
      <c r="P13656">
        <v>661.03</v>
      </c>
      <c r="Q13656" s="37" t="str">
        <f>IF(P13656&gt;500,"High","low")</f>
        <v>High</v>
      </c>
      <c r="R13656" s="37" t="str">
        <f t="shared" si="1069"/>
        <v>Good</v>
      </c>
      <c r="S13656" t="s">
        <v>609</v>
      </c>
    </row>
    <row r="13657" spans="1:19" x14ac:dyDescent="0.2">
      <c r="A13657" t="s">
        <v>14268</v>
      </c>
      <c r="B13657" t="s">
        <v>67</v>
      </c>
      <c r="C13657" t="s">
        <v>614</v>
      </c>
      <c r="D13657">
        <v>3173.57</v>
      </c>
      <c r="E13657" s="37" t="str">
        <f t="shared" si="1065"/>
        <v xml:space="preserve"> </v>
      </c>
      <c r="F13657">
        <v>0.02</v>
      </c>
      <c r="G13657" s="37" t="str">
        <f t="shared" si="1066"/>
        <v>Normal Discount</v>
      </c>
      <c r="H13657" s="37" t="str">
        <f t="shared" si="1067"/>
        <v>Low</v>
      </c>
      <c r="I13657">
        <v>3</v>
      </c>
      <c r="J13657" t="str" cm="1">
        <f t="array" ref="J13657">_xlfn.IFS(I13657&lt;=3,"small",I13657&lt;=6,"Medium",I13657&lt;=9,"Large")</f>
        <v>small</v>
      </c>
      <c r="K13657" s="36">
        <v>45278</v>
      </c>
      <c r="L13657" s="36">
        <v>45280</v>
      </c>
      <c r="M13657" t="s">
        <v>603</v>
      </c>
      <c r="N13657" t="s">
        <v>608</v>
      </c>
      <c r="O13657" s="37" t="str">
        <f t="shared" si="1068"/>
        <v>Cash Payment</v>
      </c>
      <c r="P13657">
        <v>679.14</v>
      </c>
      <c r="Q13657" s="37" t="str">
        <f>IF(P13657&gt;500,"High","low")</f>
        <v>High</v>
      </c>
      <c r="R13657" s="37" t="str">
        <f t="shared" si="1069"/>
        <v>Good</v>
      </c>
      <c r="S13657" t="s">
        <v>609</v>
      </c>
    </row>
    <row r="13658" spans="1:19" x14ac:dyDescent="0.2">
      <c r="A13658" t="s">
        <v>14269</v>
      </c>
      <c r="B13658" t="s">
        <v>67</v>
      </c>
      <c r="C13658" t="s">
        <v>602</v>
      </c>
      <c r="D13658">
        <v>2689.02</v>
      </c>
      <c r="E13658" s="37" t="str">
        <f t="shared" si="1065"/>
        <v xml:space="preserve"> </v>
      </c>
      <c r="F13658">
        <v>0.1</v>
      </c>
      <c r="G13658" s="37" t="str">
        <f t="shared" si="1066"/>
        <v>Normal Discount</v>
      </c>
      <c r="H13658" s="37" t="str">
        <f t="shared" si="1067"/>
        <v>Low</v>
      </c>
      <c r="I13658">
        <v>4</v>
      </c>
      <c r="J13658" t="str" cm="1">
        <f t="array" ref="J13658">_xlfn.IFS(I13658&lt;=3,"small",I13658&lt;=6,"Medium",I13658&lt;=9,"Large")</f>
        <v>Medium</v>
      </c>
      <c r="K13658" s="36">
        <v>45586</v>
      </c>
      <c r="L13658" s="36">
        <v>45592</v>
      </c>
      <c r="M13658" t="s">
        <v>598</v>
      </c>
      <c r="N13658" t="s">
        <v>608</v>
      </c>
      <c r="O13658" s="37" t="str">
        <f t="shared" si="1068"/>
        <v>Cash Payment</v>
      </c>
      <c r="P13658">
        <v>769.43</v>
      </c>
      <c r="Q13658" s="37" t="str">
        <f>IF(P13658&gt;500,"High","low")</f>
        <v>High</v>
      </c>
      <c r="R13658" s="37" t="str">
        <f t="shared" si="1069"/>
        <v>Good</v>
      </c>
      <c r="S13658" t="s">
        <v>628</v>
      </c>
    </row>
    <row r="13659" spans="1:19" x14ac:dyDescent="0.2">
      <c r="A13659" t="s">
        <v>14270</v>
      </c>
      <c r="B13659" t="s">
        <v>75</v>
      </c>
      <c r="C13659" t="s">
        <v>614</v>
      </c>
      <c r="D13659">
        <v>1789.31</v>
      </c>
      <c r="E13659" s="37" t="str">
        <f t="shared" si="1065"/>
        <v xml:space="preserve"> </v>
      </c>
      <c r="F13659">
        <v>0.28999999999999998</v>
      </c>
      <c r="G13659" s="37" t="str">
        <f t="shared" si="1066"/>
        <v>Normal Discount</v>
      </c>
      <c r="H13659" s="37" t="str">
        <f t="shared" si="1067"/>
        <v>Medium</v>
      </c>
      <c r="I13659">
        <v>1</v>
      </c>
      <c r="J13659" t="str" cm="1">
        <f t="array" ref="J13659">_xlfn.IFS(I13659&lt;=3,"small",I13659&lt;=6,"Medium",I13659&lt;=9,"Large")</f>
        <v>small</v>
      </c>
      <c r="K13659" s="36">
        <v>45382</v>
      </c>
      <c r="L13659" s="36">
        <v>45384</v>
      </c>
      <c r="M13659" t="s">
        <v>598</v>
      </c>
      <c r="N13659" t="s">
        <v>604</v>
      </c>
      <c r="O13659" s="37" t="str">
        <f t="shared" si="1068"/>
        <v>Digital Payment</v>
      </c>
      <c r="P13659">
        <v>390.04</v>
      </c>
      <c r="Q13659" s="37" t="str">
        <f>IF(P13659&gt;500,"High","low")</f>
        <v>low</v>
      </c>
      <c r="R13659" s="37" t="str">
        <f t="shared" si="1069"/>
        <v>AVERAGE</v>
      </c>
      <c r="S13659" t="s">
        <v>605</v>
      </c>
    </row>
    <row r="13660" spans="1:19" x14ac:dyDescent="0.2">
      <c r="A13660" t="s">
        <v>14271</v>
      </c>
      <c r="B13660" t="s">
        <v>75</v>
      </c>
      <c r="C13660" t="s">
        <v>597</v>
      </c>
      <c r="D13660">
        <v>3941.44</v>
      </c>
      <c r="E13660" s="37" t="str">
        <f t="shared" si="1065"/>
        <v xml:space="preserve"> </v>
      </c>
      <c r="F13660">
        <v>0.14000000000000001</v>
      </c>
      <c r="G13660" s="37" t="str">
        <f t="shared" si="1066"/>
        <v>Normal Discount</v>
      </c>
      <c r="H13660" s="37" t="str">
        <f t="shared" si="1067"/>
        <v>Low</v>
      </c>
      <c r="I13660">
        <v>8</v>
      </c>
      <c r="J13660" t="str" cm="1">
        <f t="array" ref="J13660">_xlfn.IFS(I13660&lt;=3,"small",I13660&lt;=6,"Medium",I13660&lt;=9,"Large")</f>
        <v>Large</v>
      </c>
      <c r="K13660" s="36">
        <v>45219</v>
      </c>
      <c r="L13660" s="36">
        <v>45225</v>
      </c>
      <c r="M13660" t="s">
        <v>603</v>
      </c>
      <c r="N13660" t="s">
        <v>604</v>
      </c>
      <c r="O13660" s="37" t="str">
        <f t="shared" si="1068"/>
        <v>Digital Payment</v>
      </c>
      <c r="P13660">
        <v>897.5</v>
      </c>
      <c r="Q13660" s="37" t="str">
        <f>IF(P13660&gt;500,"High","low")</f>
        <v>High</v>
      </c>
      <c r="R13660" s="37" t="str">
        <f t="shared" si="1069"/>
        <v>Good</v>
      </c>
      <c r="S13660" t="s">
        <v>615</v>
      </c>
    </row>
    <row r="13661" spans="1:19" x14ac:dyDescent="0.2">
      <c r="A13661" t="s">
        <v>14272</v>
      </c>
      <c r="B13661" t="s">
        <v>67</v>
      </c>
      <c r="C13661" t="s">
        <v>602</v>
      </c>
      <c r="D13661">
        <v>1029.08</v>
      </c>
      <c r="E13661" s="37" t="str">
        <f t="shared" si="1065"/>
        <v xml:space="preserve"> </v>
      </c>
      <c r="F13661">
        <v>0.47</v>
      </c>
      <c r="G13661" s="37" t="str">
        <f t="shared" si="1066"/>
        <v>Heavy Discount</v>
      </c>
      <c r="H13661" s="37" t="str">
        <f t="shared" si="1067"/>
        <v>High</v>
      </c>
      <c r="I13661">
        <v>3</v>
      </c>
      <c r="J13661" t="str" cm="1">
        <f t="array" ref="J13661">_xlfn.IFS(I13661&lt;=3,"small",I13661&lt;=6,"Medium",I13661&lt;=9,"Large")</f>
        <v>small</v>
      </c>
      <c r="K13661" s="36">
        <v>45085</v>
      </c>
      <c r="L13661" s="36">
        <v>45086</v>
      </c>
      <c r="M13661" t="s">
        <v>598</v>
      </c>
      <c r="N13661" t="s">
        <v>608</v>
      </c>
      <c r="O13661" s="37" t="str">
        <f t="shared" si="1068"/>
        <v>Cash Payment</v>
      </c>
      <c r="P13661">
        <v>252.29</v>
      </c>
      <c r="Q13661" s="37" t="str">
        <f>IF(P13661&gt;500,"High","low")</f>
        <v>low</v>
      </c>
      <c r="R13661" s="37" t="str">
        <f t="shared" si="1069"/>
        <v>AVERAGE</v>
      </c>
      <c r="S13661" t="s">
        <v>600</v>
      </c>
    </row>
    <row r="13662" spans="1:19" x14ac:dyDescent="0.2">
      <c r="A13662" t="s">
        <v>14273</v>
      </c>
      <c r="B13662" t="s">
        <v>67</v>
      </c>
      <c r="C13662" t="s">
        <v>597</v>
      </c>
      <c r="D13662">
        <v>279.08999999999997</v>
      </c>
      <c r="E13662" s="37" t="str">
        <f t="shared" si="1065"/>
        <v xml:space="preserve"> </v>
      </c>
      <c r="F13662">
        <v>0.42</v>
      </c>
      <c r="G13662" s="37" t="str">
        <f t="shared" si="1066"/>
        <v>Heavy Discount</v>
      </c>
      <c r="H13662" s="37" t="str">
        <f t="shared" si="1067"/>
        <v>High</v>
      </c>
      <c r="I13662">
        <v>5</v>
      </c>
      <c r="J13662" t="str" cm="1">
        <f t="array" ref="J13662">_xlfn.IFS(I13662&lt;=3,"small",I13662&lt;=6,"Medium",I13662&lt;=9,"Large")</f>
        <v>Medium</v>
      </c>
      <c r="K13662" s="36">
        <v>45405</v>
      </c>
      <c r="L13662" s="36">
        <v>45412</v>
      </c>
      <c r="M13662" t="s">
        <v>603</v>
      </c>
      <c r="N13662" t="s">
        <v>608</v>
      </c>
      <c r="O13662" s="37" t="str">
        <f t="shared" si="1068"/>
        <v>Cash Payment</v>
      </c>
      <c r="P13662">
        <v>30.98</v>
      </c>
      <c r="Q13662" s="37" t="str">
        <f>IF(P13662&gt;500,"High","low")</f>
        <v>low</v>
      </c>
      <c r="R13662" s="37" t="str">
        <f t="shared" si="1069"/>
        <v>AVERAGE</v>
      </c>
      <c r="S13662" t="s">
        <v>615</v>
      </c>
    </row>
    <row r="13663" spans="1:19" x14ac:dyDescent="0.2">
      <c r="A13663" t="s">
        <v>14274</v>
      </c>
      <c r="B13663" t="s">
        <v>83</v>
      </c>
      <c r="C13663" t="s">
        <v>617</v>
      </c>
      <c r="D13663">
        <v>3521.04</v>
      </c>
      <c r="E13663" s="37" t="str">
        <f t="shared" si="1065"/>
        <v xml:space="preserve"> </v>
      </c>
      <c r="F13663">
        <v>0.33</v>
      </c>
      <c r="G13663" s="37" t="str">
        <f t="shared" si="1066"/>
        <v>Heavy Discount</v>
      </c>
      <c r="H13663" s="37" t="str">
        <f t="shared" si="1067"/>
        <v>Medium</v>
      </c>
      <c r="I13663">
        <v>3</v>
      </c>
      <c r="J13663" t="str" cm="1">
        <f t="array" ref="J13663">_xlfn.IFS(I13663&lt;=3,"small",I13663&lt;=6,"Medium",I13663&lt;=9,"Large")</f>
        <v>small</v>
      </c>
      <c r="K13663" s="36">
        <v>44951</v>
      </c>
      <c r="L13663" s="36">
        <v>44952</v>
      </c>
      <c r="M13663" t="s">
        <v>612</v>
      </c>
      <c r="N13663" t="s">
        <v>604</v>
      </c>
      <c r="O13663" s="37" t="str">
        <f t="shared" si="1068"/>
        <v>Digital Payment</v>
      </c>
      <c r="P13663">
        <v>856.37</v>
      </c>
      <c r="Q13663" s="37" t="str">
        <f>IF(P13663&gt;500,"High","low")</f>
        <v>High</v>
      </c>
      <c r="R13663" s="37" t="str">
        <f t="shared" si="1069"/>
        <v>Good</v>
      </c>
      <c r="S13663" t="s">
        <v>628</v>
      </c>
    </row>
    <row r="13664" spans="1:19" x14ac:dyDescent="0.2">
      <c r="A13664" t="s">
        <v>14275</v>
      </c>
      <c r="B13664" t="s">
        <v>75</v>
      </c>
      <c r="C13664" t="s">
        <v>614</v>
      </c>
      <c r="D13664">
        <v>809.77</v>
      </c>
      <c r="E13664" s="37" t="str">
        <f t="shared" si="1065"/>
        <v xml:space="preserve"> </v>
      </c>
      <c r="F13664">
        <v>0.5</v>
      </c>
      <c r="G13664" s="37" t="str">
        <f t="shared" si="1066"/>
        <v>Heavy Discount</v>
      </c>
      <c r="H13664" s="37" t="str">
        <f t="shared" si="1067"/>
        <v>High</v>
      </c>
      <c r="I13664">
        <v>4</v>
      </c>
      <c r="J13664" t="str" cm="1">
        <f t="array" ref="J13664">_xlfn.IFS(I13664&lt;=3,"small",I13664&lt;=6,"Medium",I13664&lt;=9,"Large")</f>
        <v>Medium</v>
      </c>
      <c r="K13664" s="36">
        <v>45158</v>
      </c>
      <c r="L13664" s="36">
        <v>45162</v>
      </c>
      <c r="M13664" t="s">
        <v>603</v>
      </c>
      <c r="N13664" t="s">
        <v>599</v>
      </c>
      <c r="O13664" s="37" t="str">
        <f t="shared" si="1068"/>
        <v>Digital Payment</v>
      </c>
      <c r="P13664">
        <v>221.06</v>
      </c>
      <c r="Q13664" s="37" t="str">
        <f>IF(P13664&gt;500,"High","low")</f>
        <v>low</v>
      </c>
      <c r="R13664" s="37" t="str">
        <f t="shared" si="1069"/>
        <v>AVERAGE</v>
      </c>
      <c r="S13664" t="s">
        <v>615</v>
      </c>
    </row>
    <row r="13665" spans="1:19" x14ac:dyDescent="0.2">
      <c r="A13665" t="s">
        <v>14276</v>
      </c>
      <c r="B13665" t="s">
        <v>90</v>
      </c>
      <c r="C13665" t="s">
        <v>602</v>
      </c>
      <c r="D13665">
        <v>4528.75</v>
      </c>
      <c r="E13665" s="37" t="str">
        <f t="shared" si="1065"/>
        <v xml:space="preserve"> </v>
      </c>
      <c r="F13665">
        <v>0.12</v>
      </c>
      <c r="G13665" s="37" t="str">
        <f t="shared" si="1066"/>
        <v>Normal Discount</v>
      </c>
      <c r="H13665" s="37" t="str">
        <f t="shared" si="1067"/>
        <v>Low</v>
      </c>
      <c r="I13665">
        <v>9</v>
      </c>
      <c r="J13665" t="str" cm="1">
        <f t="array" ref="J13665">_xlfn.IFS(I13665&lt;=3,"small",I13665&lt;=6,"Medium",I13665&lt;=9,"Large")</f>
        <v>Large</v>
      </c>
      <c r="K13665" s="36">
        <v>45547</v>
      </c>
      <c r="L13665" s="36">
        <v>45552</v>
      </c>
      <c r="M13665" t="s">
        <v>603</v>
      </c>
      <c r="N13665" t="s">
        <v>604</v>
      </c>
      <c r="O13665" s="37" t="str">
        <f t="shared" si="1068"/>
        <v>Digital Payment</v>
      </c>
      <c r="P13665">
        <v>301.43</v>
      </c>
      <c r="Q13665" s="37" t="str">
        <f>IF(P13665&gt;500,"High","low")</f>
        <v>low</v>
      </c>
      <c r="R13665" s="37" t="str">
        <f t="shared" si="1069"/>
        <v>AVERAGE</v>
      </c>
      <c r="S13665" t="s">
        <v>620</v>
      </c>
    </row>
    <row r="13666" spans="1:19" x14ac:dyDescent="0.2">
      <c r="A13666" t="s">
        <v>14277</v>
      </c>
      <c r="B13666" t="s">
        <v>75</v>
      </c>
      <c r="C13666" t="s">
        <v>607</v>
      </c>
      <c r="D13666">
        <v>3876.34</v>
      </c>
      <c r="E13666" s="37" t="str">
        <f t="shared" si="1065"/>
        <v xml:space="preserve"> </v>
      </c>
      <c r="F13666">
        <v>0.46</v>
      </c>
      <c r="G13666" s="37" t="str">
        <f t="shared" si="1066"/>
        <v>Heavy Discount</v>
      </c>
      <c r="H13666" s="37" t="str">
        <f t="shared" si="1067"/>
        <v>High</v>
      </c>
      <c r="I13666">
        <v>3</v>
      </c>
      <c r="J13666" t="str" cm="1">
        <f t="array" ref="J13666">_xlfn.IFS(I13666&lt;=3,"small",I13666&lt;=6,"Medium",I13666&lt;=9,"Large")</f>
        <v>small</v>
      </c>
      <c r="K13666" s="36">
        <v>45487</v>
      </c>
      <c r="L13666" s="36">
        <v>45494</v>
      </c>
      <c r="M13666" t="s">
        <v>598</v>
      </c>
      <c r="N13666" t="s">
        <v>604</v>
      </c>
      <c r="O13666" s="37" t="str">
        <f t="shared" si="1068"/>
        <v>Digital Payment</v>
      </c>
      <c r="P13666">
        <v>1073.3499999999999</v>
      </c>
      <c r="Q13666" s="37" t="str">
        <f>IF(P13666&gt;500,"High","low")</f>
        <v>High</v>
      </c>
      <c r="R13666" s="37" t="str">
        <f t="shared" si="1069"/>
        <v>Excellent</v>
      </c>
      <c r="S13666" t="s">
        <v>620</v>
      </c>
    </row>
    <row r="13667" spans="1:19" x14ac:dyDescent="0.2">
      <c r="A13667" t="s">
        <v>14278</v>
      </c>
      <c r="B13667" t="s">
        <v>67</v>
      </c>
      <c r="C13667" t="s">
        <v>597</v>
      </c>
      <c r="D13667">
        <v>3051</v>
      </c>
      <c r="E13667" s="37" t="str">
        <f t="shared" si="1065"/>
        <v xml:space="preserve"> </v>
      </c>
      <c r="F13667">
        <v>0.15</v>
      </c>
      <c r="G13667" s="37" t="str">
        <f t="shared" si="1066"/>
        <v>Normal Discount</v>
      </c>
      <c r="H13667" s="37" t="str">
        <f t="shared" si="1067"/>
        <v>Low</v>
      </c>
      <c r="I13667">
        <v>8</v>
      </c>
      <c r="J13667" t="str" cm="1">
        <f t="array" ref="J13667">_xlfn.IFS(I13667&lt;=3,"small",I13667&lt;=6,"Medium",I13667&lt;=9,"Large")</f>
        <v>Large</v>
      </c>
      <c r="K13667" s="36">
        <v>45446</v>
      </c>
      <c r="L13667" s="36">
        <v>45453</v>
      </c>
      <c r="M13667" t="s">
        <v>612</v>
      </c>
      <c r="N13667" t="s">
        <v>608</v>
      </c>
      <c r="O13667" s="37" t="str">
        <f t="shared" si="1068"/>
        <v>Cash Payment</v>
      </c>
      <c r="P13667">
        <v>383.16</v>
      </c>
      <c r="Q13667" s="37" t="str">
        <f>IF(P13667&gt;500,"High","low")</f>
        <v>low</v>
      </c>
      <c r="R13667" s="37" t="str">
        <f t="shared" si="1069"/>
        <v>AVERAGE</v>
      </c>
      <c r="S13667" t="s">
        <v>615</v>
      </c>
    </row>
    <row r="13668" spans="1:19" x14ac:dyDescent="0.2">
      <c r="A13668" t="s">
        <v>14279</v>
      </c>
      <c r="B13668" t="s">
        <v>67</v>
      </c>
      <c r="C13668" t="s">
        <v>614</v>
      </c>
      <c r="D13668">
        <v>1638.23</v>
      </c>
      <c r="E13668" s="37" t="str">
        <f t="shared" si="1065"/>
        <v xml:space="preserve"> </v>
      </c>
      <c r="F13668">
        <v>0.3</v>
      </c>
      <c r="G13668" s="37" t="str">
        <f t="shared" si="1066"/>
        <v>Normal Discount</v>
      </c>
      <c r="H13668" s="37" t="str">
        <f t="shared" si="1067"/>
        <v>Medium</v>
      </c>
      <c r="I13668">
        <v>6</v>
      </c>
      <c r="J13668" t="str" cm="1">
        <f t="array" ref="J13668">_xlfn.IFS(I13668&lt;=3,"small",I13668&lt;=6,"Medium",I13668&lt;=9,"Large")</f>
        <v>Medium</v>
      </c>
      <c r="K13668" s="36">
        <v>45404</v>
      </c>
      <c r="L13668" s="36">
        <v>45408</v>
      </c>
      <c r="M13668" t="s">
        <v>612</v>
      </c>
      <c r="N13668" t="s">
        <v>604</v>
      </c>
      <c r="O13668" s="37" t="str">
        <f t="shared" si="1068"/>
        <v>Digital Payment</v>
      </c>
      <c r="P13668">
        <v>434.13</v>
      </c>
      <c r="Q13668" s="37" t="str">
        <f>IF(P13668&gt;500,"High","low")</f>
        <v>low</v>
      </c>
      <c r="R13668" s="37" t="str">
        <f t="shared" si="1069"/>
        <v>AVERAGE</v>
      </c>
      <c r="S13668" t="s">
        <v>620</v>
      </c>
    </row>
    <row r="13669" spans="1:19" x14ac:dyDescent="0.2">
      <c r="A13669" t="s">
        <v>14280</v>
      </c>
      <c r="B13669" t="s">
        <v>83</v>
      </c>
      <c r="C13669" t="s">
        <v>597</v>
      </c>
      <c r="D13669">
        <v>3225.92</v>
      </c>
      <c r="E13669" s="37" t="str">
        <f t="shared" si="1065"/>
        <v xml:space="preserve"> </v>
      </c>
      <c r="F13669">
        <v>0.22</v>
      </c>
      <c r="G13669" s="37" t="str">
        <f t="shared" si="1066"/>
        <v>Normal Discount</v>
      </c>
      <c r="H13669" s="37" t="str">
        <f t="shared" si="1067"/>
        <v>Medium</v>
      </c>
      <c r="I13669">
        <v>6</v>
      </c>
      <c r="J13669" t="str" cm="1">
        <f t="array" ref="J13669">_xlfn.IFS(I13669&lt;=3,"small",I13669&lt;=6,"Medium",I13669&lt;=9,"Large")</f>
        <v>Medium</v>
      </c>
      <c r="K13669" s="36">
        <v>45532</v>
      </c>
      <c r="L13669" s="36">
        <v>45537</v>
      </c>
      <c r="M13669" t="s">
        <v>603</v>
      </c>
      <c r="N13669" t="s">
        <v>608</v>
      </c>
      <c r="O13669" s="37" t="str">
        <f t="shared" si="1068"/>
        <v>Cash Payment</v>
      </c>
      <c r="P13669">
        <v>201.83</v>
      </c>
      <c r="Q13669" s="37" t="str">
        <f>IF(P13669&gt;500,"High","low")</f>
        <v>low</v>
      </c>
      <c r="R13669" s="37" t="str">
        <f t="shared" si="1069"/>
        <v>AVERAGE</v>
      </c>
      <c r="S13669" t="s">
        <v>615</v>
      </c>
    </row>
    <row r="13670" spans="1:19" x14ac:dyDescent="0.2">
      <c r="A13670" t="s">
        <v>14281</v>
      </c>
      <c r="B13670" t="s">
        <v>83</v>
      </c>
      <c r="C13670" t="s">
        <v>597</v>
      </c>
      <c r="D13670">
        <v>2436.6</v>
      </c>
      <c r="E13670" s="37" t="str">
        <f t="shared" si="1065"/>
        <v xml:space="preserve"> </v>
      </c>
      <c r="F13670">
        <v>0.22</v>
      </c>
      <c r="G13670" s="37" t="str">
        <f t="shared" si="1066"/>
        <v>Normal Discount</v>
      </c>
      <c r="H13670" s="37" t="str">
        <f t="shared" si="1067"/>
        <v>Medium</v>
      </c>
      <c r="I13670">
        <v>1</v>
      </c>
      <c r="J13670" t="str" cm="1">
        <f t="array" ref="J13670">_xlfn.IFS(I13670&lt;=3,"small",I13670&lt;=6,"Medium",I13670&lt;=9,"Large")</f>
        <v>small</v>
      </c>
      <c r="K13670" s="36">
        <v>45559</v>
      </c>
      <c r="L13670" s="36">
        <v>45566</v>
      </c>
      <c r="M13670" t="s">
        <v>598</v>
      </c>
      <c r="N13670" t="s">
        <v>608</v>
      </c>
      <c r="O13670" s="37" t="str">
        <f t="shared" si="1068"/>
        <v>Cash Payment</v>
      </c>
      <c r="P13670">
        <v>684.71</v>
      </c>
      <c r="Q13670" s="37" t="str">
        <f>IF(P13670&gt;500,"High","low")</f>
        <v>High</v>
      </c>
      <c r="R13670" s="37" t="str">
        <f t="shared" si="1069"/>
        <v>Good</v>
      </c>
      <c r="S13670" t="s">
        <v>620</v>
      </c>
    </row>
    <row r="13671" spans="1:19" x14ac:dyDescent="0.2">
      <c r="A13671" t="s">
        <v>14282</v>
      </c>
      <c r="B13671" t="s">
        <v>75</v>
      </c>
      <c r="C13671" t="s">
        <v>617</v>
      </c>
      <c r="D13671">
        <v>1526.63</v>
      </c>
      <c r="E13671" s="37" t="str">
        <f t="shared" si="1065"/>
        <v xml:space="preserve"> </v>
      </c>
      <c r="F13671">
        <v>0.38</v>
      </c>
      <c r="G13671" s="37" t="str">
        <f t="shared" si="1066"/>
        <v>Heavy Discount</v>
      </c>
      <c r="H13671" s="37" t="str">
        <f t="shared" si="1067"/>
        <v>Medium</v>
      </c>
      <c r="I13671">
        <v>7</v>
      </c>
      <c r="J13671" t="str" cm="1">
        <f t="array" ref="J13671">_xlfn.IFS(I13671&lt;=3,"small",I13671&lt;=6,"Medium",I13671&lt;=9,"Large")</f>
        <v>Large</v>
      </c>
      <c r="K13671" s="36">
        <v>45345</v>
      </c>
      <c r="L13671" s="36">
        <v>45350</v>
      </c>
      <c r="M13671" t="s">
        <v>603</v>
      </c>
      <c r="N13671" t="s">
        <v>599</v>
      </c>
      <c r="O13671" s="37" t="str">
        <f t="shared" si="1068"/>
        <v>Digital Payment</v>
      </c>
      <c r="P13671">
        <v>197.61</v>
      </c>
      <c r="Q13671" s="37" t="str">
        <f>IF(P13671&gt;500,"High","low")</f>
        <v>low</v>
      </c>
      <c r="R13671" s="37" t="str">
        <f t="shared" si="1069"/>
        <v>AVERAGE</v>
      </c>
      <c r="S13671" t="s">
        <v>609</v>
      </c>
    </row>
    <row r="13672" spans="1:19" x14ac:dyDescent="0.2">
      <c r="A13672" t="s">
        <v>14283</v>
      </c>
      <c r="B13672" t="s">
        <v>83</v>
      </c>
      <c r="C13672" t="s">
        <v>597</v>
      </c>
      <c r="D13672">
        <v>4730.8900000000003</v>
      </c>
      <c r="E13672" s="37" t="str">
        <f t="shared" si="1065"/>
        <v>Excellent Order</v>
      </c>
      <c r="F13672">
        <v>0.17</v>
      </c>
      <c r="G13672" s="37" t="str">
        <f t="shared" si="1066"/>
        <v>Normal Discount</v>
      </c>
      <c r="H13672" s="37" t="str">
        <f t="shared" si="1067"/>
        <v>Low</v>
      </c>
      <c r="I13672">
        <v>4</v>
      </c>
      <c r="J13672" t="str" cm="1">
        <f t="array" ref="J13672">_xlfn.IFS(I13672&lt;=3,"small",I13672&lt;=6,"Medium",I13672&lt;=9,"Large")</f>
        <v>Medium</v>
      </c>
      <c r="K13672" s="36">
        <v>45296</v>
      </c>
      <c r="L13672" s="36">
        <v>45303</v>
      </c>
      <c r="M13672" t="s">
        <v>612</v>
      </c>
      <c r="N13672" t="s">
        <v>604</v>
      </c>
      <c r="O13672" s="37" t="str">
        <f t="shared" si="1068"/>
        <v>Digital Payment</v>
      </c>
      <c r="P13672">
        <v>1150.6400000000001</v>
      </c>
      <c r="Q13672" s="37" t="str">
        <f>IF(P13672&gt;500,"High","low")</f>
        <v>High</v>
      </c>
      <c r="R13672" s="37" t="str">
        <f t="shared" si="1069"/>
        <v>Excellent</v>
      </c>
      <c r="S13672" t="s">
        <v>600</v>
      </c>
    </row>
    <row r="13673" spans="1:19" x14ac:dyDescent="0.2">
      <c r="A13673" t="s">
        <v>14284</v>
      </c>
      <c r="B13673" t="s">
        <v>90</v>
      </c>
      <c r="C13673" t="s">
        <v>617</v>
      </c>
      <c r="D13673">
        <v>893.26</v>
      </c>
      <c r="E13673" s="37" t="str">
        <f t="shared" si="1065"/>
        <v xml:space="preserve"> </v>
      </c>
      <c r="F13673">
        <v>0.25</v>
      </c>
      <c r="G13673" s="37" t="str">
        <f t="shared" si="1066"/>
        <v>Normal Discount</v>
      </c>
      <c r="H13673" s="37" t="str">
        <f t="shared" si="1067"/>
        <v>Medium</v>
      </c>
      <c r="I13673">
        <v>8</v>
      </c>
      <c r="J13673" t="str" cm="1">
        <f t="array" ref="J13673">_xlfn.IFS(I13673&lt;=3,"small",I13673&lt;=6,"Medium",I13673&lt;=9,"Large")</f>
        <v>Large</v>
      </c>
      <c r="K13673" s="36">
        <v>45418</v>
      </c>
      <c r="L13673" s="36">
        <v>45421</v>
      </c>
      <c r="M13673" t="s">
        <v>612</v>
      </c>
      <c r="N13673" t="s">
        <v>604</v>
      </c>
      <c r="O13673" s="37" t="str">
        <f t="shared" si="1068"/>
        <v>Digital Payment</v>
      </c>
      <c r="P13673">
        <v>64.34</v>
      </c>
      <c r="Q13673" s="37" t="str">
        <f>IF(P13673&gt;500,"High","low")</f>
        <v>low</v>
      </c>
      <c r="R13673" s="37" t="str">
        <f t="shared" si="1069"/>
        <v>AVERAGE</v>
      </c>
      <c r="S13673" t="s">
        <v>620</v>
      </c>
    </row>
    <row r="13674" spans="1:19" x14ac:dyDescent="0.2">
      <c r="A13674" t="s">
        <v>14285</v>
      </c>
      <c r="B13674" t="s">
        <v>90</v>
      </c>
      <c r="C13674" t="s">
        <v>617</v>
      </c>
      <c r="D13674">
        <v>3791.58</v>
      </c>
      <c r="E13674" s="37" t="str">
        <f t="shared" si="1065"/>
        <v xml:space="preserve"> </v>
      </c>
      <c r="F13674">
        <v>0.11</v>
      </c>
      <c r="G13674" s="37" t="str">
        <f t="shared" si="1066"/>
        <v>Normal Discount</v>
      </c>
      <c r="H13674" s="37" t="str">
        <f t="shared" si="1067"/>
        <v>Low</v>
      </c>
      <c r="I13674">
        <v>9</v>
      </c>
      <c r="J13674" t="str" cm="1">
        <f t="array" ref="J13674">_xlfn.IFS(I13674&lt;=3,"small",I13674&lt;=6,"Medium",I13674&lt;=9,"Large")</f>
        <v>Large</v>
      </c>
      <c r="K13674" s="36">
        <v>44939</v>
      </c>
      <c r="L13674" s="36">
        <v>44941</v>
      </c>
      <c r="M13674" t="s">
        <v>598</v>
      </c>
      <c r="N13674" t="s">
        <v>599</v>
      </c>
      <c r="O13674" s="37" t="str">
        <f t="shared" si="1068"/>
        <v>Digital Payment</v>
      </c>
      <c r="P13674">
        <v>956.72</v>
      </c>
      <c r="Q13674" s="37" t="str">
        <f>IF(P13674&gt;500,"High","low")</f>
        <v>High</v>
      </c>
      <c r="R13674" s="37" t="str">
        <f t="shared" si="1069"/>
        <v>Good</v>
      </c>
      <c r="S13674" t="s">
        <v>600</v>
      </c>
    </row>
    <row r="13675" spans="1:19" x14ac:dyDescent="0.2">
      <c r="A13675" t="s">
        <v>14286</v>
      </c>
      <c r="B13675" t="s">
        <v>83</v>
      </c>
      <c r="C13675" t="s">
        <v>617</v>
      </c>
      <c r="D13675">
        <v>4020.19</v>
      </c>
      <c r="E13675" s="37" t="str">
        <f t="shared" si="1065"/>
        <v xml:space="preserve"> </v>
      </c>
      <c r="F13675">
        <v>0.38</v>
      </c>
      <c r="G13675" s="37" t="str">
        <f t="shared" si="1066"/>
        <v>Heavy Discount</v>
      </c>
      <c r="H13675" s="37" t="str">
        <f t="shared" si="1067"/>
        <v>Medium</v>
      </c>
      <c r="I13675">
        <v>2</v>
      </c>
      <c r="J13675" t="str" cm="1">
        <f t="array" ref="J13675">_xlfn.IFS(I13675&lt;=3,"small",I13675&lt;=6,"Medium",I13675&lt;=9,"Large")</f>
        <v>small</v>
      </c>
      <c r="K13675" s="36">
        <v>44999</v>
      </c>
      <c r="L13675" s="36">
        <v>45002</v>
      </c>
      <c r="M13675" t="s">
        <v>612</v>
      </c>
      <c r="N13675" t="s">
        <v>604</v>
      </c>
      <c r="O13675" s="37" t="str">
        <f t="shared" si="1068"/>
        <v>Digital Payment</v>
      </c>
      <c r="P13675">
        <v>553.95000000000005</v>
      </c>
      <c r="Q13675" s="37" t="str">
        <f>IF(P13675&gt;500,"High","low")</f>
        <v>High</v>
      </c>
      <c r="R13675" s="37" t="str">
        <f t="shared" si="1069"/>
        <v>Good</v>
      </c>
      <c r="S13675" t="s">
        <v>609</v>
      </c>
    </row>
    <row r="13676" spans="1:19" x14ac:dyDescent="0.2">
      <c r="A13676" t="s">
        <v>14287</v>
      </c>
      <c r="B13676" t="s">
        <v>90</v>
      </c>
      <c r="C13676" t="s">
        <v>614</v>
      </c>
      <c r="D13676">
        <v>4763.79</v>
      </c>
      <c r="E13676" s="37" t="str">
        <f t="shared" si="1065"/>
        <v>Excellent Order</v>
      </c>
      <c r="F13676">
        <v>0.28000000000000003</v>
      </c>
      <c r="G13676" s="37" t="str">
        <f t="shared" si="1066"/>
        <v>Normal Discount</v>
      </c>
      <c r="H13676" s="37" t="str">
        <f t="shared" si="1067"/>
        <v>Medium</v>
      </c>
      <c r="I13676">
        <v>8</v>
      </c>
      <c r="J13676" t="str" cm="1">
        <f t="array" ref="J13676">_xlfn.IFS(I13676&lt;=3,"small",I13676&lt;=6,"Medium",I13676&lt;=9,"Large")</f>
        <v>Large</v>
      </c>
      <c r="K13676" s="36">
        <v>45078</v>
      </c>
      <c r="L13676" s="36">
        <v>45079</v>
      </c>
      <c r="M13676" t="s">
        <v>612</v>
      </c>
      <c r="N13676" t="s">
        <v>599</v>
      </c>
      <c r="O13676" s="37" t="str">
        <f t="shared" si="1068"/>
        <v>Digital Payment</v>
      </c>
      <c r="P13676">
        <v>1299.42</v>
      </c>
      <c r="Q13676" s="37" t="str">
        <f>IF(P13676&gt;500,"High","low")</f>
        <v>High</v>
      </c>
      <c r="R13676" s="37" t="str">
        <f t="shared" si="1069"/>
        <v>Excellent</v>
      </c>
      <c r="S13676" t="s">
        <v>600</v>
      </c>
    </row>
    <row r="13677" spans="1:19" x14ac:dyDescent="0.2">
      <c r="A13677" t="s">
        <v>14288</v>
      </c>
      <c r="B13677" t="s">
        <v>90</v>
      </c>
      <c r="C13677" t="s">
        <v>597</v>
      </c>
      <c r="D13677">
        <v>2792.14</v>
      </c>
      <c r="E13677" s="37" t="str">
        <f t="shared" si="1065"/>
        <v xml:space="preserve"> </v>
      </c>
      <c r="F13677">
        <v>0.13</v>
      </c>
      <c r="G13677" s="37" t="str">
        <f t="shared" si="1066"/>
        <v>Normal Discount</v>
      </c>
      <c r="H13677" s="37" t="str">
        <f t="shared" si="1067"/>
        <v>Low</v>
      </c>
      <c r="I13677">
        <v>8</v>
      </c>
      <c r="J13677" t="str" cm="1">
        <f t="array" ref="J13677">_xlfn.IFS(I13677&lt;=3,"small",I13677&lt;=6,"Medium",I13677&lt;=9,"Large")</f>
        <v>Large</v>
      </c>
      <c r="K13677" s="36">
        <v>45358</v>
      </c>
      <c r="L13677" s="36">
        <v>45361</v>
      </c>
      <c r="M13677" t="s">
        <v>603</v>
      </c>
      <c r="N13677" t="s">
        <v>604</v>
      </c>
      <c r="O13677" s="37" t="str">
        <f t="shared" si="1068"/>
        <v>Digital Payment</v>
      </c>
      <c r="P13677">
        <v>499.38</v>
      </c>
      <c r="Q13677" s="37" t="str">
        <f>IF(P13677&gt;500,"High","low")</f>
        <v>low</v>
      </c>
      <c r="R13677" s="37" t="str">
        <f t="shared" si="1069"/>
        <v>AVERAGE</v>
      </c>
      <c r="S13677" t="s">
        <v>605</v>
      </c>
    </row>
    <row r="13678" spans="1:19" x14ac:dyDescent="0.2">
      <c r="A13678" t="s">
        <v>14289</v>
      </c>
      <c r="B13678" t="s">
        <v>75</v>
      </c>
      <c r="C13678" t="s">
        <v>597</v>
      </c>
      <c r="D13678">
        <v>2720.89</v>
      </c>
      <c r="E13678" s="37" t="str">
        <f t="shared" si="1065"/>
        <v xml:space="preserve"> </v>
      </c>
      <c r="F13678">
        <v>0.13</v>
      </c>
      <c r="G13678" s="37" t="str">
        <f t="shared" si="1066"/>
        <v>Normal Discount</v>
      </c>
      <c r="H13678" s="37" t="str">
        <f t="shared" si="1067"/>
        <v>Low</v>
      </c>
      <c r="I13678">
        <v>6</v>
      </c>
      <c r="J13678" t="str" cm="1">
        <f t="array" ref="J13678">_xlfn.IFS(I13678&lt;=3,"small",I13678&lt;=6,"Medium",I13678&lt;=9,"Large")</f>
        <v>Medium</v>
      </c>
      <c r="K13678" s="36">
        <v>45471</v>
      </c>
      <c r="L13678" s="36">
        <v>45474</v>
      </c>
      <c r="M13678" t="s">
        <v>603</v>
      </c>
      <c r="N13678" t="s">
        <v>604</v>
      </c>
      <c r="O13678" s="37" t="str">
        <f t="shared" si="1068"/>
        <v>Digital Payment</v>
      </c>
      <c r="P13678">
        <v>753.77</v>
      </c>
      <c r="Q13678" s="37" t="str">
        <f>IF(P13678&gt;500,"High","low")</f>
        <v>High</v>
      </c>
      <c r="R13678" s="37" t="str">
        <f t="shared" si="1069"/>
        <v>Good</v>
      </c>
      <c r="S13678" t="s">
        <v>615</v>
      </c>
    </row>
    <row r="13679" spans="1:19" x14ac:dyDescent="0.2">
      <c r="A13679" t="s">
        <v>14290</v>
      </c>
      <c r="B13679" t="s">
        <v>90</v>
      </c>
      <c r="C13679" t="s">
        <v>617</v>
      </c>
      <c r="D13679">
        <v>4609.42</v>
      </c>
      <c r="E13679" s="37" t="str">
        <f t="shared" si="1065"/>
        <v>Excellent Order</v>
      </c>
      <c r="F13679">
        <v>0.15</v>
      </c>
      <c r="G13679" s="37" t="str">
        <f t="shared" si="1066"/>
        <v>Normal Discount</v>
      </c>
      <c r="H13679" s="37" t="str">
        <f t="shared" si="1067"/>
        <v>Low</v>
      </c>
      <c r="I13679">
        <v>3</v>
      </c>
      <c r="J13679" t="str" cm="1">
        <f t="array" ref="J13679">_xlfn.IFS(I13679&lt;=3,"small",I13679&lt;=6,"Medium",I13679&lt;=9,"Large")</f>
        <v>small</v>
      </c>
      <c r="K13679" s="36">
        <v>45183</v>
      </c>
      <c r="L13679" s="36">
        <v>45185</v>
      </c>
      <c r="M13679" t="s">
        <v>612</v>
      </c>
      <c r="N13679" t="s">
        <v>608</v>
      </c>
      <c r="O13679" s="37" t="str">
        <f t="shared" si="1068"/>
        <v>Cash Payment</v>
      </c>
      <c r="P13679">
        <v>827.81</v>
      </c>
      <c r="Q13679" s="37" t="str">
        <f>IF(P13679&gt;500,"High","low")</f>
        <v>High</v>
      </c>
      <c r="R13679" s="37" t="str">
        <f t="shared" si="1069"/>
        <v>Good</v>
      </c>
      <c r="S13679" t="s">
        <v>609</v>
      </c>
    </row>
    <row r="13680" spans="1:19" x14ac:dyDescent="0.2">
      <c r="A13680" t="s">
        <v>14291</v>
      </c>
      <c r="B13680" t="s">
        <v>67</v>
      </c>
      <c r="C13680" t="s">
        <v>597</v>
      </c>
      <c r="D13680">
        <v>4025.36</v>
      </c>
      <c r="E13680" s="37" t="str">
        <f t="shared" si="1065"/>
        <v>Excellent Order</v>
      </c>
      <c r="F13680">
        <v>0.35</v>
      </c>
      <c r="G13680" s="37" t="str">
        <f t="shared" si="1066"/>
        <v>Heavy Discount</v>
      </c>
      <c r="H13680" s="37" t="str">
        <f t="shared" si="1067"/>
        <v>Medium</v>
      </c>
      <c r="I13680">
        <v>5</v>
      </c>
      <c r="J13680" t="str" cm="1">
        <f t="array" ref="J13680">_xlfn.IFS(I13680&lt;=3,"small",I13680&lt;=6,"Medium",I13680&lt;=9,"Large")</f>
        <v>Medium</v>
      </c>
      <c r="K13680" s="36">
        <v>45254</v>
      </c>
      <c r="L13680" s="36">
        <v>45261</v>
      </c>
      <c r="M13680" t="s">
        <v>598</v>
      </c>
      <c r="N13680" t="s">
        <v>599</v>
      </c>
      <c r="O13680" s="37" t="str">
        <f t="shared" si="1068"/>
        <v>Digital Payment</v>
      </c>
      <c r="P13680">
        <v>1077.1199999999999</v>
      </c>
      <c r="Q13680" s="37" t="str">
        <f>IF(P13680&gt;500,"High","low")</f>
        <v>High</v>
      </c>
      <c r="R13680" s="37" t="str">
        <f t="shared" si="1069"/>
        <v>Excellent</v>
      </c>
      <c r="S13680" t="s">
        <v>609</v>
      </c>
    </row>
    <row r="13681" spans="1:19" x14ac:dyDescent="0.2">
      <c r="A13681" t="s">
        <v>14292</v>
      </c>
      <c r="B13681" t="s">
        <v>67</v>
      </c>
      <c r="C13681" t="s">
        <v>597</v>
      </c>
      <c r="D13681">
        <v>3841.82</v>
      </c>
      <c r="E13681" s="37" t="str">
        <f t="shared" si="1065"/>
        <v xml:space="preserve"> </v>
      </c>
      <c r="F13681">
        <v>0.3</v>
      </c>
      <c r="G13681" s="37" t="str">
        <f t="shared" si="1066"/>
        <v>Normal Discount</v>
      </c>
      <c r="H13681" s="37" t="str">
        <f t="shared" si="1067"/>
        <v>Medium</v>
      </c>
      <c r="I13681">
        <v>2</v>
      </c>
      <c r="J13681" t="str" cm="1">
        <f t="array" ref="J13681">_xlfn.IFS(I13681&lt;=3,"small",I13681&lt;=6,"Medium",I13681&lt;=9,"Large")</f>
        <v>small</v>
      </c>
      <c r="K13681" s="36">
        <v>45180</v>
      </c>
      <c r="L13681" s="36">
        <v>45183</v>
      </c>
      <c r="M13681" t="s">
        <v>598</v>
      </c>
      <c r="N13681" t="s">
        <v>604</v>
      </c>
      <c r="O13681" s="37" t="str">
        <f t="shared" si="1068"/>
        <v>Digital Payment</v>
      </c>
      <c r="P13681">
        <v>680.87</v>
      </c>
      <c r="Q13681" s="37" t="str">
        <f>IF(P13681&gt;500,"High","low")</f>
        <v>High</v>
      </c>
      <c r="R13681" s="37" t="str">
        <f t="shared" si="1069"/>
        <v>Good</v>
      </c>
      <c r="S13681" t="s">
        <v>628</v>
      </c>
    </row>
    <row r="13682" spans="1:19" x14ac:dyDescent="0.2">
      <c r="A13682" t="s">
        <v>14293</v>
      </c>
      <c r="B13682" t="s">
        <v>75</v>
      </c>
      <c r="C13682" t="s">
        <v>617</v>
      </c>
      <c r="D13682">
        <v>3966.77</v>
      </c>
      <c r="E13682" s="37" t="str">
        <f t="shared" si="1065"/>
        <v xml:space="preserve"> </v>
      </c>
      <c r="F13682">
        <v>0.41</v>
      </c>
      <c r="G13682" s="37" t="str">
        <f t="shared" si="1066"/>
        <v>Heavy Discount</v>
      </c>
      <c r="H13682" s="37" t="str">
        <f t="shared" si="1067"/>
        <v>High</v>
      </c>
      <c r="I13682">
        <v>6</v>
      </c>
      <c r="J13682" t="str" cm="1">
        <f t="array" ref="J13682">_xlfn.IFS(I13682&lt;=3,"small",I13682&lt;=6,"Medium",I13682&lt;=9,"Large")</f>
        <v>Medium</v>
      </c>
      <c r="K13682" s="36">
        <v>45580</v>
      </c>
      <c r="L13682" s="36">
        <v>45582</v>
      </c>
      <c r="M13682" t="s">
        <v>612</v>
      </c>
      <c r="N13682" t="s">
        <v>604</v>
      </c>
      <c r="O13682" s="37" t="str">
        <f t="shared" si="1068"/>
        <v>Digital Payment</v>
      </c>
      <c r="P13682">
        <v>629.5</v>
      </c>
      <c r="Q13682" s="37" t="str">
        <f>IF(P13682&gt;500,"High","low")</f>
        <v>High</v>
      </c>
      <c r="R13682" s="37" t="str">
        <f t="shared" si="1069"/>
        <v>Good</v>
      </c>
      <c r="S13682" t="s">
        <v>605</v>
      </c>
    </row>
    <row r="13683" spans="1:19" x14ac:dyDescent="0.2">
      <c r="A13683" t="s">
        <v>14294</v>
      </c>
      <c r="B13683" t="s">
        <v>83</v>
      </c>
      <c r="C13683" t="s">
        <v>607</v>
      </c>
      <c r="D13683">
        <v>2516.59</v>
      </c>
      <c r="E13683" s="37" t="str">
        <f t="shared" si="1065"/>
        <v xml:space="preserve"> </v>
      </c>
      <c r="F13683">
        <v>0.28999999999999998</v>
      </c>
      <c r="G13683" s="37" t="str">
        <f t="shared" si="1066"/>
        <v>Normal Discount</v>
      </c>
      <c r="H13683" s="37" t="str">
        <f t="shared" si="1067"/>
        <v>Medium</v>
      </c>
      <c r="I13683">
        <v>3</v>
      </c>
      <c r="J13683" t="str" cm="1">
        <f t="array" ref="J13683">_xlfn.IFS(I13683&lt;=3,"small",I13683&lt;=6,"Medium",I13683&lt;=9,"Large")</f>
        <v>small</v>
      </c>
      <c r="K13683" s="36">
        <v>45615</v>
      </c>
      <c r="L13683" s="36">
        <v>45617</v>
      </c>
      <c r="M13683" t="s">
        <v>598</v>
      </c>
      <c r="N13683" t="s">
        <v>599</v>
      </c>
      <c r="O13683" s="37" t="str">
        <f t="shared" si="1068"/>
        <v>Digital Payment</v>
      </c>
      <c r="P13683">
        <v>603.51</v>
      </c>
      <c r="Q13683" s="37" t="str">
        <f>IF(P13683&gt;500,"High","low")</f>
        <v>High</v>
      </c>
      <c r="R13683" s="37" t="str">
        <f t="shared" si="1069"/>
        <v>Good</v>
      </c>
      <c r="S13683" t="s">
        <v>615</v>
      </c>
    </row>
    <row r="13684" spans="1:19" x14ac:dyDescent="0.2">
      <c r="A13684" t="s">
        <v>14295</v>
      </c>
      <c r="B13684" t="s">
        <v>75</v>
      </c>
      <c r="C13684" t="s">
        <v>607</v>
      </c>
      <c r="D13684">
        <v>302.95</v>
      </c>
      <c r="E13684" s="37" t="str">
        <f t="shared" si="1065"/>
        <v xml:space="preserve"> </v>
      </c>
      <c r="F13684">
        <v>0.15</v>
      </c>
      <c r="G13684" s="37" t="str">
        <f t="shared" si="1066"/>
        <v>Normal Discount</v>
      </c>
      <c r="H13684" s="37" t="str">
        <f t="shared" si="1067"/>
        <v>Low</v>
      </c>
      <c r="I13684">
        <v>4</v>
      </c>
      <c r="J13684" t="str" cm="1">
        <f t="array" ref="J13684">_xlfn.IFS(I13684&lt;=3,"small",I13684&lt;=6,"Medium",I13684&lt;=9,"Large")</f>
        <v>Medium</v>
      </c>
      <c r="K13684" s="36">
        <v>45048</v>
      </c>
      <c r="L13684" s="36">
        <v>45050</v>
      </c>
      <c r="M13684" t="s">
        <v>612</v>
      </c>
      <c r="N13684" t="s">
        <v>608</v>
      </c>
      <c r="O13684" s="37" t="str">
        <f t="shared" si="1068"/>
        <v>Cash Payment</v>
      </c>
      <c r="P13684">
        <v>42.31</v>
      </c>
      <c r="Q13684" s="37" t="str">
        <f>IF(P13684&gt;500,"High","low")</f>
        <v>low</v>
      </c>
      <c r="R13684" s="37" t="str">
        <f t="shared" si="1069"/>
        <v>AVERAGE</v>
      </c>
      <c r="S13684" t="s">
        <v>605</v>
      </c>
    </row>
    <row r="13685" spans="1:19" x14ac:dyDescent="0.2">
      <c r="A13685" t="s">
        <v>14296</v>
      </c>
      <c r="B13685" t="s">
        <v>83</v>
      </c>
      <c r="C13685" t="s">
        <v>617</v>
      </c>
      <c r="D13685">
        <v>1071.5</v>
      </c>
      <c r="E13685" s="37" t="str">
        <f t="shared" si="1065"/>
        <v xml:space="preserve"> </v>
      </c>
      <c r="F13685">
        <v>0.48</v>
      </c>
      <c r="G13685" s="37" t="str">
        <f t="shared" si="1066"/>
        <v>Heavy Discount</v>
      </c>
      <c r="H13685" s="37" t="str">
        <f t="shared" si="1067"/>
        <v>High</v>
      </c>
      <c r="I13685">
        <v>9</v>
      </c>
      <c r="J13685" t="str" cm="1">
        <f t="array" ref="J13685">_xlfn.IFS(I13685&lt;=3,"small",I13685&lt;=6,"Medium",I13685&lt;=9,"Large")</f>
        <v>Large</v>
      </c>
      <c r="K13685" s="36">
        <v>44959</v>
      </c>
      <c r="L13685" s="36">
        <v>44961</v>
      </c>
      <c r="M13685" t="s">
        <v>612</v>
      </c>
      <c r="N13685" t="s">
        <v>604</v>
      </c>
      <c r="O13685" s="37" t="str">
        <f t="shared" si="1068"/>
        <v>Digital Payment</v>
      </c>
      <c r="P13685">
        <v>252.18</v>
      </c>
      <c r="Q13685" s="37" t="str">
        <f>IF(P13685&gt;500,"High","low")</f>
        <v>low</v>
      </c>
      <c r="R13685" s="37" t="str">
        <f t="shared" si="1069"/>
        <v>AVERAGE</v>
      </c>
      <c r="S13685" t="s">
        <v>615</v>
      </c>
    </row>
    <row r="13686" spans="1:19" x14ac:dyDescent="0.2">
      <c r="A13686" t="s">
        <v>14297</v>
      </c>
      <c r="B13686" t="s">
        <v>83</v>
      </c>
      <c r="C13686" t="s">
        <v>614</v>
      </c>
      <c r="D13686">
        <v>3250.66</v>
      </c>
      <c r="E13686" s="37" t="str">
        <f t="shared" si="1065"/>
        <v xml:space="preserve"> </v>
      </c>
      <c r="F13686">
        <v>0.44</v>
      </c>
      <c r="G13686" s="37" t="str">
        <f t="shared" si="1066"/>
        <v>Heavy Discount</v>
      </c>
      <c r="H13686" s="37" t="str">
        <f t="shared" si="1067"/>
        <v>High</v>
      </c>
      <c r="I13686">
        <v>5</v>
      </c>
      <c r="J13686" t="str" cm="1">
        <f t="array" ref="J13686">_xlfn.IFS(I13686&lt;=3,"small",I13686&lt;=6,"Medium",I13686&lt;=9,"Large")</f>
        <v>Medium</v>
      </c>
      <c r="K13686" s="36">
        <v>45186</v>
      </c>
      <c r="L13686" s="36">
        <v>45189</v>
      </c>
      <c r="M13686" t="s">
        <v>603</v>
      </c>
      <c r="N13686" t="s">
        <v>604</v>
      </c>
      <c r="O13686" s="37" t="str">
        <f t="shared" si="1068"/>
        <v>Digital Payment</v>
      </c>
      <c r="P13686">
        <v>523.33000000000004</v>
      </c>
      <c r="Q13686" s="37" t="str">
        <f>IF(P13686&gt;500,"High","low")</f>
        <v>High</v>
      </c>
      <c r="R13686" s="37" t="str">
        <f t="shared" si="1069"/>
        <v>Good</v>
      </c>
      <c r="S13686" t="s">
        <v>620</v>
      </c>
    </row>
    <row r="13687" spans="1:19" x14ac:dyDescent="0.2">
      <c r="A13687" t="s">
        <v>14298</v>
      </c>
      <c r="B13687" t="s">
        <v>83</v>
      </c>
      <c r="C13687" t="s">
        <v>597</v>
      </c>
      <c r="D13687">
        <v>2041.21</v>
      </c>
      <c r="E13687" s="37" t="str">
        <f t="shared" si="1065"/>
        <v xml:space="preserve"> </v>
      </c>
      <c r="F13687">
        <v>0.14000000000000001</v>
      </c>
      <c r="G13687" s="37" t="str">
        <f t="shared" si="1066"/>
        <v>Normal Discount</v>
      </c>
      <c r="H13687" s="37" t="str">
        <f t="shared" si="1067"/>
        <v>Low</v>
      </c>
      <c r="I13687">
        <v>7</v>
      </c>
      <c r="J13687" t="str" cm="1">
        <f t="array" ref="J13687">_xlfn.IFS(I13687&lt;=3,"small",I13687&lt;=6,"Medium",I13687&lt;=9,"Large")</f>
        <v>Large</v>
      </c>
      <c r="K13687" s="36">
        <v>45476</v>
      </c>
      <c r="L13687" s="36">
        <v>45480</v>
      </c>
      <c r="M13687" t="s">
        <v>603</v>
      </c>
      <c r="N13687" t="s">
        <v>604</v>
      </c>
      <c r="O13687" s="37" t="str">
        <f t="shared" si="1068"/>
        <v>Digital Payment</v>
      </c>
      <c r="P13687">
        <v>197.38</v>
      </c>
      <c r="Q13687" s="37" t="str">
        <f>IF(P13687&gt;500,"High","low")</f>
        <v>low</v>
      </c>
      <c r="R13687" s="37" t="str">
        <f t="shared" si="1069"/>
        <v>AVERAGE</v>
      </c>
      <c r="S13687" t="s">
        <v>600</v>
      </c>
    </row>
    <row r="13688" spans="1:19" x14ac:dyDescent="0.2">
      <c r="A13688" t="s">
        <v>14299</v>
      </c>
      <c r="B13688" t="s">
        <v>83</v>
      </c>
      <c r="C13688" t="s">
        <v>597</v>
      </c>
      <c r="D13688">
        <v>3073.17</v>
      </c>
      <c r="E13688" s="37" t="str">
        <f t="shared" si="1065"/>
        <v xml:space="preserve"> </v>
      </c>
      <c r="F13688">
        <v>0.46</v>
      </c>
      <c r="G13688" s="37" t="str">
        <f t="shared" si="1066"/>
        <v>Heavy Discount</v>
      </c>
      <c r="H13688" s="37" t="str">
        <f t="shared" si="1067"/>
        <v>High</v>
      </c>
      <c r="I13688">
        <v>9</v>
      </c>
      <c r="J13688" t="str" cm="1">
        <f t="array" ref="J13688">_xlfn.IFS(I13688&lt;=3,"small",I13688&lt;=6,"Medium",I13688&lt;=9,"Large")</f>
        <v>Large</v>
      </c>
      <c r="K13688" s="36">
        <v>45079</v>
      </c>
      <c r="L13688" s="36">
        <v>45083</v>
      </c>
      <c r="M13688" t="s">
        <v>598</v>
      </c>
      <c r="N13688" t="s">
        <v>608</v>
      </c>
      <c r="O13688" s="37" t="str">
        <f t="shared" si="1068"/>
        <v>Cash Payment</v>
      </c>
      <c r="P13688">
        <v>903.39</v>
      </c>
      <c r="Q13688" s="37" t="str">
        <f>IF(P13688&gt;500,"High","low")</f>
        <v>High</v>
      </c>
      <c r="R13688" s="37" t="str">
        <f t="shared" si="1069"/>
        <v>Good</v>
      </c>
      <c r="S13688" t="s">
        <v>600</v>
      </c>
    </row>
    <row r="13689" spans="1:19" x14ac:dyDescent="0.2">
      <c r="A13689" t="s">
        <v>14300</v>
      </c>
      <c r="B13689" t="s">
        <v>83</v>
      </c>
      <c r="C13689" t="s">
        <v>607</v>
      </c>
      <c r="D13689">
        <v>2803.22</v>
      </c>
      <c r="E13689" s="37" t="str">
        <f t="shared" si="1065"/>
        <v xml:space="preserve"> </v>
      </c>
      <c r="F13689">
        <v>0.36</v>
      </c>
      <c r="G13689" s="37" t="str">
        <f t="shared" si="1066"/>
        <v>Heavy Discount</v>
      </c>
      <c r="H13689" s="37" t="str">
        <f t="shared" si="1067"/>
        <v>Medium</v>
      </c>
      <c r="I13689">
        <v>5</v>
      </c>
      <c r="J13689" t="str" cm="1">
        <f t="array" ref="J13689">_xlfn.IFS(I13689&lt;=3,"small",I13689&lt;=6,"Medium",I13689&lt;=9,"Large")</f>
        <v>Medium</v>
      </c>
      <c r="K13689" s="36">
        <v>45171</v>
      </c>
      <c r="L13689" s="36">
        <v>45177</v>
      </c>
      <c r="M13689" t="s">
        <v>598</v>
      </c>
      <c r="N13689" t="s">
        <v>608</v>
      </c>
      <c r="O13689" s="37" t="str">
        <f t="shared" si="1068"/>
        <v>Cash Payment</v>
      </c>
      <c r="P13689">
        <v>331.64</v>
      </c>
      <c r="Q13689" s="37" t="str">
        <f>IF(P13689&gt;500,"High","low")</f>
        <v>low</v>
      </c>
      <c r="R13689" s="37" t="str">
        <f t="shared" si="1069"/>
        <v>AVERAGE</v>
      </c>
      <c r="S13689" t="s">
        <v>605</v>
      </c>
    </row>
    <row r="13690" spans="1:19" x14ac:dyDescent="0.2">
      <c r="A13690" t="s">
        <v>14301</v>
      </c>
      <c r="B13690" t="s">
        <v>75</v>
      </c>
      <c r="C13690" t="s">
        <v>617</v>
      </c>
      <c r="D13690">
        <v>2249.44</v>
      </c>
      <c r="E13690" s="37" t="str">
        <f t="shared" si="1065"/>
        <v xml:space="preserve"> </v>
      </c>
      <c r="F13690">
        <v>0.21</v>
      </c>
      <c r="G13690" s="37" t="str">
        <f t="shared" si="1066"/>
        <v>Normal Discount</v>
      </c>
      <c r="H13690" s="37" t="str">
        <f t="shared" si="1067"/>
        <v>Medium</v>
      </c>
      <c r="I13690">
        <v>1</v>
      </c>
      <c r="J13690" t="str" cm="1">
        <f t="array" ref="J13690">_xlfn.IFS(I13690&lt;=3,"small",I13690&lt;=6,"Medium",I13690&lt;=9,"Large")</f>
        <v>small</v>
      </c>
      <c r="K13690" s="36">
        <v>45067</v>
      </c>
      <c r="L13690" s="36">
        <v>45068</v>
      </c>
      <c r="M13690" t="s">
        <v>612</v>
      </c>
      <c r="N13690" t="s">
        <v>599</v>
      </c>
      <c r="O13690" s="37" t="str">
        <f t="shared" si="1068"/>
        <v>Digital Payment</v>
      </c>
      <c r="P13690">
        <v>314.83</v>
      </c>
      <c r="Q13690" s="37" t="str">
        <f>IF(P13690&gt;500,"High","low")</f>
        <v>low</v>
      </c>
      <c r="R13690" s="37" t="str">
        <f t="shared" si="1069"/>
        <v>AVERAGE</v>
      </c>
      <c r="S13690" t="s">
        <v>620</v>
      </c>
    </row>
    <row r="13691" spans="1:19" x14ac:dyDescent="0.2">
      <c r="A13691" t="s">
        <v>14302</v>
      </c>
      <c r="B13691" t="s">
        <v>83</v>
      </c>
      <c r="C13691" t="s">
        <v>614</v>
      </c>
      <c r="D13691">
        <v>1250.17</v>
      </c>
      <c r="E13691" s="37" t="str">
        <f t="shared" si="1065"/>
        <v xml:space="preserve"> </v>
      </c>
      <c r="F13691">
        <v>0.23</v>
      </c>
      <c r="G13691" s="37" t="str">
        <f t="shared" si="1066"/>
        <v>Normal Discount</v>
      </c>
      <c r="H13691" s="37" t="str">
        <f t="shared" si="1067"/>
        <v>Medium</v>
      </c>
      <c r="I13691">
        <v>2</v>
      </c>
      <c r="J13691" t="str" cm="1">
        <f t="array" ref="J13691">_xlfn.IFS(I13691&lt;=3,"small",I13691&lt;=6,"Medium",I13691&lt;=9,"Large")</f>
        <v>small</v>
      </c>
      <c r="K13691" s="36">
        <v>45557</v>
      </c>
      <c r="L13691" s="36">
        <v>45559</v>
      </c>
      <c r="M13691" t="s">
        <v>603</v>
      </c>
      <c r="N13691" t="s">
        <v>604</v>
      </c>
      <c r="O13691" s="37" t="str">
        <f t="shared" si="1068"/>
        <v>Digital Payment</v>
      </c>
      <c r="P13691">
        <v>227.29</v>
      </c>
      <c r="Q13691" s="37" t="str">
        <f>IF(P13691&gt;500,"High","low")</f>
        <v>low</v>
      </c>
      <c r="R13691" s="37" t="str">
        <f t="shared" si="1069"/>
        <v>AVERAGE</v>
      </c>
      <c r="S13691" t="s">
        <v>600</v>
      </c>
    </row>
    <row r="13692" spans="1:19" x14ac:dyDescent="0.2">
      <c r="A13692" t="s">
        <v>14303</v>
      </c>
      <c r="B13692" t="s">
        <v>90</v>
      </c>
      <c r="C13692" t="s">
        <v>617</v>
      </c>
      <c r="D13692">
        <v>3622.9</v>
      </c>
      <c r="E13692" s="37" t="str">
        <f t="shared" si="1065"/>
        <v xml:space="preserve"> </v>
      </c>
      <c r="F13692">
        <v>0.22</v>
      </c>
      <c r="G13692" s="37" t="str">
        <f t="shared" si="1066"/>
        <v>Normal Discount</v>
      </c>
      <c r="H13692" s="37" t="str">
        <f t="shared" si="1067"/>
        <v>Medium</v>
      </c>
      <c r="I13692">
        <v>3</v>
      </c>
      <c r="J13692" t="str" cm="1">
        <f t="array" ref="J13692">_xlfn.IFS(I13692&lt;=3,"small",I13692&lt;=6,"Medium",I13692&lt;=9,"Large")</f>
        <v>small</v>
      </c>
      <c r="K13692" s="36">
        <v>45415</v>
      </c>
      <c r="L13692" s="36">
        <v>45419</v>
      </c>
      <c r="M13692" t="s">
        <v>603</v>
      </c>
      <c r="N13692" t="s">
        <v>608</v>
      </c>
      <c r="O13692" s="37" t="str">
        <f t="shared" si="1068"/>
        <v>Cash Payment</v>
      </c>
      <c r="P13692">
        <v>906.87</v>
      </c>
      <c r="Q13692" s="37" t="str">
        <f>IF(P13692&gt;500,"High","low")</f>
        <v>High</v>
      </c>
      <c r="R13692" s="37" t="str">
        <f t="shared" si="1069"/>
        <v>Good</v>
      </c>
      <c r="S13692" t="s">
        <v>620</v>
      </c>
    </row>
    <row r="13693" spans="1:19" x14ac:dyDescent="0.2">
      <c r="A13693" t="s">
        <v>14304</v>
      </c>
      <c r="B13693" t="s">
        <v>90</v>
      </c>
      <c r="C13693" t="s">
        <v>607</v>
      </c>
      <c r="D13693">
        <v>4554.32</v>
      </c>
      <c r="E13693" s="37" t="str">
        <f t="shared" si="1065"/>
        <v xml:space="preserve"> </v>
      </c>
      <c r="F13693">
        <v>0.4</v>
      </c>
      <c r="G13693" s="37" t="str">
        <f t="shared" si="1066"/>
        <v>Heavy Discount</v>
      </c>
      <c r="H13693" s="37" t="str">
        <f t="shared" si="1067"/>
        <v>Medium</v>
      </c>
      <c r="I13693">
        <v>3</v>
      </c>
      <c r="J13693" t="str" cm="1">
        <f t="array" ref="J13693">_xlfn.IFS(I13693&lt;=3,"small",I13693&lt;=6,"Medium",I13693&lt;=9,"Large")</f>
        <v>small</v>
      </c>
      <c r="K13693" s="36">
        <v>45156</v>
      </c>
      <c r="L13693" s="36">
        <v>45157</v>
      </c>
      <c r="M13693" t="s">
        <v>603</v>
      </c>
      <c r="N13693" t="s">
        <v>604</v>
      </c>
      <c r="O13693" s="37" t="str">
        <f t="shared" si="1068"/>
        <v>Digital Payment</v>
      </c>
      <c r="P13693">
        <v>747.51</v>
      </c>
      <c r="Q13693" s="37" t="str">
        <f>IF(P13693&gt;500,"High","low")</f>
        <v>High</v>
      </c>
      <c r="R13693" s="37" t="str">
        <f t="shared" si="1069"/>
        <v>Good</v>
      </c>
      <c r="S13693" t="s">
        <v>609</v>
      </c>
    </row>
    <row r="13694" spans="1:19" x14ac:dyDescent="0.2">
      <c r="A13694" t="s">
        <v>14305</v>
      </c>
      <c r="B13694" t="s">
        <v>83</v>
      </c>
      <c r="C13694" t="s">
        <v>607</v>
      </c>
      <c r="D13694">
        <v>3872.82</v>
      </c>
      <c r="E13694" s="37" t="str">
        <f t="shared" si="1065"/>
        <v xml:space="preserve"> </v>
      </c>
      <c r="F13694">
        <v>0.09</v>
      </c>
      <c r="G13694" s="37" t="str">
        <f t="shared" si="1066"/>
        <v>Normal Discount</v>
      </c>
      <c r="H13694" s="37" t="str">
        <f t="shared" si="1067"/>
        <v>Low</v>
      </c>
      <c r="I13694">
        <v>1</v>
      </c>
      <c r="J13694" t="str" cm="1">
        <f t="array" ref="J13694">_xlfn.IFS(I13694&lt;=3,"small",I13694&lt;=6,"Medium",I13694&lt;=9,"Large")</f>
        <v>small</v>
      </c>
      <c r="K13694" s="36">
        <v>45127</v>
      </c>
      <c r="L13694" s="36">
        <v>45134</v>
      </c>
      <c r="M13694" t="s">
        <v>612</v>
      </c>
      <c r="N13694" t="s">
        <v>599</v>
      </c>
      <c r="O13694" s="37" t="str">
        <f t="shared" si="1068"/>
        <v>Digital Payment</v>
      </c>
      <c r="P13694">
        <v>426.81</v>
      </c>
      <c r="Q13694" s="37" t="str">
        <f>IF(P13694&gt;500,"High","low")</f>
        <v>low</v>
      </c>
      <c r="R13694" s="37" t="str">
        <f t="shared" si="1069"/>
        <v>AVERAGE</v>
      </c>
      <c r="S13694" t="s">
        <v>609</v>
      </c>
    </row>
    <row r="13695" spans="1:19" x14ac:dyDescent="0.2">
      <c r="A13695" t="s">
        <v>14306</v>
      </c>
      <c r="B13695" t="s">
        <v>90</v>
      </c>
      <c r="C13695" t="s">
        <v>597</v>
      </c>
      <c r="D13695">
        <v>688.19</v>
      </c>
      <c r="E13695" s="37" t="str">
        <f t="shared" si="1065"/>
        <v xml:space="preserve"> </v>
      </c>
      <c r="F13695">
        <v>0.03</v>
      </c>
      <c r="G13695" s="37" t="str">
        <f t="shared" si="1066"/>
        <v>Normal Discount</v>
      </c>
      <c r="H13695" s="37" t="str">
        <f t="shared" si="1067"/>
        <v>Low</v>
      </c>
      <c r="I13695">
        <v>9</v>
      </c>
      <c r="J13695" t="str" cm="1">
        <f t="array" ref="J13695">_xlfn.IFS(I13695&lt;=3,"small",I13695&lt;=6,"Medium",I13695&lt;=9,"Large")</f>
        <v>Large</v>
      </c>
      <c r="K13695" s="36">
        <v>45481</v>
      </c>
      <c r="L13695" s="36">
        <v>45484</v>
      </c>
      <c r="M13695" t="s">
        <v>603</v>
      </c>
      <c r="N13695" t="s">
        <v>599</v>
      </c>
      <c r="O13695" s="37" t="str">
        <f t="shared" si="1068"/>
        <v>Digital Payment</v>
      </c>
      <c r="P13695">
        <v>152.30000000000001</v>
      </c>
      <c r="Q13695" s="37" t="str">
        <f>IF(P13695&gt;500,"High","low")</f>
        <v>low</v>
      </c>
      <c r="R13695" s="37" t="str">
        <f t="shared" si="1069"/>
        <v>AVERAGE</v>
      </c>
      <c r="S13695" t="s">
        <v>620</v>
      </c>
    </row>
    <row r="13696" spans="1:19" x14ac:dyDescent="0.2">
      <c r="A13696" t="s">
        <v>14307</v>
      </c>
      <c r="B13696" t="s">
        <v>67</v>
      </c>
      <c r="C13696" t="s">
        <v>602</v>
      </c>
      <c r="D13696">
        <v>2735.95</v>
      </c>
      <c r="E13696" s="37" t="str">
        <f t="shared" si="1065"/>
        <v xml:space="preserve"> </v>
      </c>
      <c r="F13696">
        <v>0.25</v>
      </c>
      <c r="G13696" s="37" t="str">
        <f t="shared" si="1066"/>
        <v>Normal Discount</v>
      </c>
      <c r="H13696" s="37" t="str">
        <f t="shared" si="1067"/>
        <v>Medium</v>
      </c>
      <c r="I13696">
        <v>9</v>
      </c>
      <c r="J13696" t="str" cm="1">
        <f t="array" ref="J13696">_xlfn.IFS(I13696&lt;=3,"small",I13696&lt;=6,"Medium",I13696&lt;=9,"Large")</f>
        <v>Large</v>
      </c>
      <c r="K13696" s="36">
        <v>45092</v>
      </c>
      <c r="L13696" s="36">
        <v>45098</v>
      </c>
      <c r="M13696" t="s">
        <v>603</v>
      </c>
      <c r="N13696" t="s">
        <v>599</v>
      </c>
      <c r="O13696" s="37" t="str">
        <f t="shared" si="1068"/>
        <v>Digital Payment</v>
      </c>
      <c r="P13696">
        <v>668.87</v>
      </c>
      <c r="Q13696" s="37" t="str">
        <f>IF(P13696&gt;500,"High","low")</f>
        <v>High</v>
      </c>
      <c r="R13696" s="37" t="str">
        <f t="shared" si="1069"/>
        <v>Good</v>
      </c>
      <c r="S13696" t="s">
        <v>628</v>
      </c>
    </row>
    <row r="13697" spans="1:19" x14ac:dyDescent="0.2">
      <c r="A13697" t="s">
        <v>14308</v>
      </c>
      <c r="B13697" t="s">
        <v>75</v>
      </c>
      <c r="C13697" t="s">
        <v>614</v>
      </c>
      <c r="D13697">
        <v>4193.29</v>
      </c>
      <c r="E13697" s="37" t="str">
        <f t="shared" si="1065"/>
        <v>Excellent Order</v>
      </c>
      <c r="F13697">
        <v>0.15</v>
      </c>
      <c r="G13697" s="37" t="str">
        <f t="shared" si="1066"/>
        <v>Normal Discount</v>
      </c>
      <c r="H13697" s="37" t="str">
        <f t="shared" si="1067"/>
        <v>Low</v>
      </c>
      <c r="I13697">
        <v>4</v>
      </c>
      <c r="J13697" t="str" cm="1">
        <f t="array" ref="J13697">_xlfn.IFS(I13697&lt;=3,"small",I13697&lt;=6,"Medium",I13697&lt;=9,"Large")</f>
        <v>Medium</v>
      </c>
      <c r="K13697" s="36">
        <v>44961</v>
      </c>
      <c r="L13697" s="36">
        <v>44968</v>
      </c>
      <c r="M13697" t="s">
        <v>598</v>
      </c>
      <c r="N13697" t="s">
        <v>599</v>
      </c>
      <c r="O13697" s="37" t="str">
        <f t="shared" si="1068"/>
        <v>Digital Payment</v>
      </c>
      <c r="P13697">
        <v>1054.72</v>
      </c>
      <c r="Q13697" s="37" t="str">
        <f>IF(P13697&gt;500,"High","low")</f>
        <v>High</v>
      </c>
      <c r="R13697" s="37" t="str">
        <f t="shared" si="1069"/>
        <v>Excellent</v>
      </c>
      <c r="S13697" t="s">
        <v>615</v>
      </c>
    </row>
    <row r="13698" spans="1:19" x14ac:dyDescent="0.2">
      <c r="A13698" t="s">
        <v>14309</v>
      </c>
      <c r="B13698" t="s">
        <v>75</v>
      </c>
      <c r="C13698" t="s">
        <v>614</v>
      </c>
      <c r="D13698">
        <v>2995.81</v>
      </c>
      <c r="E13698" s="37" t="str">
        <f t="shared" si="1065"/>
        <v xml:space="preserve"> </v>
      </c>
      <c r="F13698">
        <v>0.28000000000000003</v>
      </c>
      <c r="G13698" s="37" t="str">
        <f t="shared" si="1066"/>
        <v>Normal Discount</v>
      </c>
      <c r="H13698" s="37" t="str">
        <f t="shared" si="1067"/>
        <v>Medium</v>
      </c>
      <c r="I13698">
        <v>9</v>
      </c>
      <c r="J13698" t="str" cm="1">
        <f t="array" ref="J13698">_xlfn.IFS(I13698&lt;=3,"small",I13698&lt;=6,"Medium",I13698&lt;=9,"Large")</f>
        <v>Large</v>
      </c>
      <c r="K13698" s="36">
        <v>45531</v>
      </c>
      <c r="L13698" s="36">
        <v>45532</v>
      </c>
      <c r="M13698" t="s">
        <v>603</v>
      </c>
      <c r="N13698" t="s">
        <v>608</v>
      </c>
      <c r="O13698" s="37" t="str">
        <f t="shared" si="1068"/>
        <v>Cash Payment</v>
      </c>
      <c r="P13698">
        <v>551.98</v>
      </c>
      <c r="Q13698" s="37" t="str">
        <f>IF(P13698&gt;500,"High","low")</f>
        <v>High</v>
      </c>
      <c r="R13698" s="37" t="str">
        <f t="shared" si="1069"/>
        <v>Good</v>
      </c>
      <c r="S13698" t="s">
        <v>609</v>
      </c>
    </row>
    <row r="13699" spans="1:19" x14ac:dyDescent="0.2">
      <c r="A13699" t="s">
        <v>14310</v>
      </c>
      <c r="B13699" t="s">
        <v>83</v>
      </c>
      <c r="C13699" t="s">
        <v>602</v>
      </c>
      <c r="D13699">
        <v>2253.89</v>
      </c>
      <c r="E13699" s="37" t="str">
        <f t="shared" ref="E13699:E13762" si="1070">IF(AND(D13699&gt;4000,P13699&gt;800),"Excellent Order"," ")</f>
        <v xml:space="preserve"> </v>
      </c>
      <c r="F13699">
        <v>0.49</v>
      </c>
      <c r="G13699" s="37" t="str">
        <f t="shared" ref="G13699:G13762" si="1071">IF(F13699&gt;30%,"Heavy Discount","Normal Discount")</f>
        <v>Heavy Discount</v>
      </c>
      <c r="H13699" s="37" t="str">
        <f t="shared" ref="H13699:H13762" si="1072">IF(F13699&gt;0.4,"High",IF(F13699&gt;=0.2,"Medium","Low"))</f>
        <v>High</v>
      </c>
      <c r="I13699">
        <v>4</v>
      </c>
      <c r="J13699" t="str" cm="1">
        <f t="array" ref="J13699">_xlfn.IFS(I13699&lt;=3,"small",I13699&lt;=6,"Medium",I13699&lt;=9,"Large")</f>
        <v>Medium</v>
      </c>
      <c r="K13699" s="36">
        <v>45156</v>
      </c>
      <c r="L13699" s="36">
        <v>45160</v>
      </c>
      <c r="M13699" t="s">
        <v>598</v>
      </c>
      <c r="N13699" t="s">
        <v>599</v>
      </c>
      <c r="O13699" s="37" t="str">
        <f t="shared" ref="O13699:O13762" si="1073">IF(OR(N13699="Card",N13699="UPI"),"Digital Payment","Cash Payment")</f>
        <v>Digital Payment</v>
      </c>
      <c r="P13699">
        <v>500.37</v>
      </c>
      <c r="Q13699" s="37" t="str">
        <f>IF(P13699&gt;500,"High","low")</f>
        <v>High</v>
      </c>
      <c r="R13699" s="37" t="str">
        <f t="shared" ref="R13699:R13762" si="1074">IF(P13699&gt;1000,"Excellent",IF(P13699&gt;=500,"Good","AVERAGE"))</f>
        <v>Good</v>
      </c>
      <c r="S13699" t="s">
        <v>605</v>
      </c>
    </row>
    <row r="13700" spans="1:19" x14ac:dyDescent="0.2">
      <c r="A13700" t="s">
        <v>14311</v>
      </c>
      <c r="B13700" t="s">
        <v>83</v>
      </c>
      <c r="C13700" t="s">
        <v>607</v>
      </c>
      <c r="D13700">
        <v>1494.28</v>
      </c>
      <c r="E13700" s="37" t="str">
        <f t="shared" si="1070"/>
        <v xml:space="preserve"> </v>
      </c>
      <c r="F13700">
        <v>0.34</v>
      </c>
      <c r="G13700" s="37" t="str">
        <f t="shared" si="1071"/>
        <v>Heavy Discount</v>
      </c>
      <c r="H13700" s="37" t="str">
        <f t="shared" si="1072"/>
        <v>Medium</v>
      </c>
      <c r="I13700">
        <v>8</v>
      </c>
      <c r="J13700" t="str" cm="1">
        <f t="array" ref="J13700">_xlfn.IFS(I13700&lt;=3,"small",I13700&lt;=6,"Medium",I13700&lt;=9,"Large")</f>
        <v>Large</v>
      </c>
      <c r="K13700" s="36">
        <v>45216</v>
      </c>
      <c r="L13700" s="36">
        <v>45222</v>
      </c>
      <c r="M13700" t="s">
        <v>598</v>
      </c>
      <c r="N13700" t="s">
        <v>599</v>
      </c>
      <c r="O13700" s="37" t="str">
        <f t="shared" si="1073"/>
        <v>Digital Payment</v>
      </c>
      <c r="P13700">
        <v>203.49</v>
      </c>
      <c r="Q13700" s="37" t="str">
        <f>IF(P13700&gt;500,"High","low")</f>
        <v>low</v>
      </c>
      <c r="R13700" s="37" t="str">
        <f t="shared" si="1074"/>
        <v>AVERAGE</v>
      </c>
      <c r="S13700" t="s">
        <v>615</v>
      </c>
    </row>
    <row r="13701" spans="1:19" x14ac:dyDescent="0.2">
      <c r="A13701" t="s">
        <v>14312</v>
      </c>
      <c r="B13701" t="s">
        <v>67</v>
      </c>
      <c r="C13701" t="s">
        <v>617</v>
      </c>
      <c r="D13701">
        <v>1718.91</v>
      </c>
      <c r="E13701" s="37" t="str">
        <f t="shared" si="1070"/>
        <v xml:space="preserve"> </v>
      </c>
      <c r="F13701">
        <v>0.48</v>
      </c>
      <c r="G13701" s="37" t="str">
        <f t="shared" si="1071"/>
        <v>Heavy Discount</v>
      </c>
      <c r="H13701" s="37" t="str">
        <f t="shared" si="1072"/>
        <v>High</v>
      </c>
      <c r="I13701">
        <v>3</v>
      </c>
      <c r="J13701" t="str" cm="1">
        <f t="array" ref="J13701">_xlfn.IFS(I13701&lt;=3,"small",I13701&lt;=6,"Medium",I13701&lt;=9,"Large")</f>
        <v>small</v>
      </c>
      <c r="K13701" s="36">
        <v>45352</v>
      </c>
      <c r="L13701" s="36">
        <v>45353</v>
      </c>
      <c r="M13701" t="s">
        <v>598</v>
      </c>
      <c r="N13701" t="s">
        <v>608</v>
      </c>
      <c r="O13701" s="37" t="str">
        <f t="shared" si="1073"/>
        <v>Cash Payment</v>
      </c>
      <c r="P13701">
        <v>148.31</v>
      </c>
      <c r="Q13701" s="37" t="str">
        <f>IF(P13701&gt;500,"High","low")</f>
        <v>low</v>
      </c>
      <c r="R13701" s="37" t="str">
        <f t="shared" si="1074"/>
        <v>AVERAGE</v>
      </c>
      <c r="S13701" t="s">
        <v>628</v>
      </c>
    </row>
    <row r="13702" spans="1:19" x14ac:dyDescent="0.2">
      <c r="A13702" t="s">
        <v>14313</v>
      </c>
      <c r="B13702" t="s">
        <v>83</v>
      </c>
      <c r="C13702" t="s">
        <v>614</v>
      </c>
      <c r="D13702">
        <v>1286.57</v>
      </c>
      <c r="E13702" s="37" t="str">
        <f t="shared" si="1070"/>
        <v xml:space="preserve"> </v>
      </c>
      <c r="F13702">
        <v>0.37</v>
      </c>
      <c r="G13702" s="37" t="str">
        <f t="shared" si="1071"/>
        <v>Heavy Discount</v>
      </c>
      <c r="H13702" s="37" t="str">
        <f t="shared" si="1072"/>
        <v>Medium</v>
      </c>
      <c r="I13702">
        <v>9</v>
      </c>
      <c r="J13702" t="str" cm="1">
        <f t="array" ref="J13702">_xlfn.IFS(I13702&lt;=3,"small",I13702&lt;=6,"Medium",I13702&lt;=9,"Large")</f>
        <v>Large</v>
      </c>
      <c r="K13702" s="36">
        <v>45530</v>
      </c>
      <c r="L13702" s="36">
        <v>45531</v>
      </c>
      <c r="M13702" t="s">
        <v>612</v>
      </c>
      <c r="N13702" t="s">
        <v>604</v>
      </c>
      <c r="O13702" s="37" t="str">
        <f t="shared" si="1073"/>
        <v>Digital Payment</v>
      </c>
      <c r="P13702">
        <v>113.25</v>
      </c>
      <c r="Q13702" s="37" t="str">
        <f>IF(P13702&gt;500,"High","low")</f>
        <v>low</v>
      </c>
      <c r="R13702" s="37" t="str">
        <f t="shared" si="1074"/>
        <v>AVERAGE</v>
      </c>
      <c r="S13702" t="s">
        <v>609</v>
      </c>
    </row>
    <row r="13703" spans="1:19" x14ac:dyDescent="0.2">
      <c r="A13703" t="s">
        <v>14314</v>
      </c>
      <c r="B13703" t="s">
        <v>90</v>
      </c>
      <c r="C13703" t="s">
        <v>602</v>
      </c>
      <c r="D13703">
        <v>1059.06</v>
      </c>
      <c r="E13703" s="37" t="str">
        <f t="shared" si="1070"/>
        <v xml:space="preserve"> </v>
      </c>
      <c r="F13703">
        <v>0.04</v>
      </c>
      <c r="G13703" s="37" t="str">
        <f t="shared" si="1071"/>
        <v>Normal Discount</v>
      </c>
      <c r="H13703" s="37" t="str">
        <f t="shared" si="1072"/>
        <v>Low</v>
      </c>
      <c r="I13703">
        <v>4</v>
      </c>
      <c r="J13703" t="str" cm="1">
        <f t="array" ref="J13703">_xlfn.IFS(I13703&lt;=3,"small",I13703&lt;=6,"Medium",I13703&lt;=9,"Large")</f>
        <v>Medium</v>
      </c>
      <c r="K13703" s="36">
        <v>45617</v>
      </c>
      <c r="L13703" s="36">
        <v>45623</v>
      </c>
      <c r="M13703" t="s">
        <v>598</v>
      </c>
      <c r="N13703" t="s">
        <v>604</v>
      </c>
      <c r="O13703" s="37" t="str">
        <f t="shared" si="1073"/>
        <v>Digital Payment</v>
      </c>
      <c r="P13703">
        <v>64.319999999999993</v>
      </c>
      <c r="Q13703" s="37" t="str">
        <f>IF(P13703&gt;500,"High","low")</f>
        <v>low</v>
      </c>
      <c r="R13703" s="37" t="str">
        <f t="shared" si="1074"/>
        <v>AVERAGE</v>
      </c>
      <c r="S13703" t="s">
        <v>615</v>
      </c>
    </row>
    <row r="13704" spans="1:19" x14ac:dyDescent="0.2">
      <c r="A13704" t="s">
        <v>14315</v>
      </c>
      <c r="B13704" t="s">
        <v>67</v>
      </c>
      <c r="C13704" t="s">
        <v>597</v>
      </c>
      <c r="D13704">
        <v>2985.44</v>
      </c>
      <c r="E13704" s="37" t="str">
        <f t="shared" si="1070"/>
        <v xml:space="preserve"> </v>
      </c>
      <c r="F13704">
        <v>0.44</v>
      </c>
      <c r="G13704" s="37" t="str">
        <f t="shared" si="1071"/>
        <v>Heavy Discount</v>
      </c>
      <c r="H13704" s="37" t="str">
        <f t="shared" si="1072"/>
        <v>High</v>
      </c>
      <c r="I13704">
        <v>8</v>
      </c>
      <c r="J13704" t="str" cm="1">
        <f t="array" ref="J13704">_xlfn.IFS(I13704&lt;=3,"small",I13704&lt;=6,"Medium",I13704&lt;=9,"Large")</f>
        <v>Large</v>
      </c>
      <c r="K13704" s="36">
        <v>45603</v>
      </c>
      <c r="L13704" s="36">
        <v>45609</v>
      </c>
      <c r="M13704" t="s">
        <v>603</v>
      </c>
      <c r="N13704" t="s">
        <v>608</v>
      </c>
      <c r="O13704" s="37" t="str">
        <f t="shared" si="1073"/>
        <v>Cash Payment</v>
      </c>
      <c r="P13704">
        <v>323.99</v>
      </c>
      <c r="Q13704" s="37" t="str">
        <f>IF(P13704&gt;500,"High","low")</f>
        <v>low</v>
      </c>
      <c r="R13704" s="37" t="str">
        <f t="shared" si="1074"/>
        <v>AVERAGE</v>
      </c>
      <c r="S13704" t="s">
        <v>605</v>
      </c>
    </row>
    <row r="13705" spans="1:19" x14ac:dyDescent="0.2">
      <c r="A13705" t="s">
        <v>14316</v>
      </c>
      <c r="B13705" t="s">
        <v>90</v>
      </c>
      <c r="C13705" t="s">
        <v>597</v>
      </c>
      <c r="D13705">
        <v>2595.9899999999998</v>
      </c>
      <c r="E13705" s="37" t="str">
        <f t="shared" si="1070"/>
        <v xml:space="preserve"> </v>
      </c>
      <c r="F13705">
        <v>0.1</v>
      </c>
      <c r="G13705" s="37" t="str">
        <f t="shared" si="1071"/>
        <v>Normal Discount</v>
      </c>
      <c r="H13705" s="37" t="str">
        <f t="shared" si="1072"/>
        <v>Low</v>
      </c>
      <c r="I13705">
        <v>2</v>
      </c>
      <c r="J13705" t="str" cm="1">
        <f t="array" ref="J13705">_xlfn.IFS(I13705&lt;=3,"small",I13705&lt;=6,"Medium",I13705&lt;=9,"Large")</f>
        <v>small</v>
      </c>
      <c r="K13705" s="36">
        <v>44992</v>
      </c>
      <c r="L13705" s="36">
        <v>44993</v>
      </c>
      <c r="M13705" t="s">
        <v>603</v>
      </c>
      <c r="N13705" t="s">
        <v>599</v>
      </c>
      <c r="O13705" s="37" t="str">
        <f t="shared" si="1073"/>
        <v>Digital Payment</v>
      </c>
      <c r="P13705">
        <v>557.79999999999995</v>
      </c>
      <c r="Q13705" s="37" t="str">
        <f>IF(P13705&gt;500,"High","low")</f>
        <v>High</v>
      </c>
      <c r="R13705" s="37" t="str">
        <f t="shared" si="1074"/>
        <v>Good</v>
      </c>
      <c r="S13705" t="s">
        <v>620</v>
      </c>
    </row>
    <row r="13706" spans="1:19" x14ac:dyDescent="0.2">
      <c r="A13706" t="s">
        <v>14317</v>
      </c>
      <c r="B13706" t="s">
        <v>75</v>
      </c>
      <c r="C13706" t="s">
        <v>607</v>
      </c>
      <c r="D13706">
        <v>3700.68</v>
      </c>
      <c r="E13706" s="37" t="str">
        <f t="shared" si="1070"/>
        <v xml:space="preserve"> </v>
      </c>
      <c r="F13706">
        <v>0.43</v>
      </c>
      <c r="G13706" s="37" t="str">
        <f t="shared" si="1071"/>
        <v>Heavy Discount</v>
      </c>
      <c r="H13706" s="37" t="str">
        <f t="shared" si="1072"/>
        <v>High</v>
      </c>
      <c r="I13706">
        <v>7</v>
      </c>
      <c r="J13706" t="str" cm="1">
        <f t="array" ref="J13706">_xlfn.IFS(I13706&lt;=3,"small",I13706&lt;=6,"Medium",I13706&lt;=9,"Large")</f>
        <v>Large</v>
      </c>
      <c r="K13706" s="36">
        <v>44960</v>
      </c>
      <c r="L13706" s="36">
        <v>44964</v>
      </c>
      <c r="M13706" t="s">
        <v>598</v>
      </c>
      <c r="N13706" t="s">
        <v>599</v>
      </c>
      <c r="O13706" s="37" t="str">
        <f t="shared" si="1073"/>
        <v>Digital Payment</v>
      </c>
      <c r="P13706">
        <v>1025.8</v>
      </c>
      <c r="Q13706" s="37" t="str">
        <f>IF(P13706&gt;500,"High","low")</f>
        <v>High</v>
      </c>
      <c r="R13706" s="37" t="str">
        <f t="shared" si="1074"/>
        <v>Excellent</v>
      </c>
      <c r="S13706" t="s">
        <v>620</v>
      </c>
    </row>
    <row r="13707" spans="1:19" x14ac:dyDescent="0.2">
      <c r="A13707" t="s">
        <v>14318</v>
      </c>
      <c r="B13707" t="s">
        <v>90</v>
      </c>
      <c r="C13707" t="s">
        <v>614</v>
      </c>
      <c r="D13707">
        <v>1608.85</v>
      </c>
      <c r="E13707" s="37" t="str">
        <f t="shared" si="1070"/>
        <v xml:space="preserve"> </v>
      </c>
      <c r="F13707">
        <v>0.37</v>
      </c>
      <c r="G13707" s="37" t="str">
        <f t="shared" si="1071"/>
        <v>Heavy Discount</v>
      </c>
      <c r="H13707" s="37" t="str">
        <f t="shared" si="1072"/>
        <v>Medium</v>
      </c>
      <c r="I13707">
        <v>2</v>
      </c>
      <c r="J13707" t="str" cm="1">
        <f t="array" ref="J13707">_xlfn.IFS(I13707&lt;=3,"small",I13707&lt;=6,"Medium",I13707&lt;=9,"Large")</f>
        <v>small</v>
      </c>
      <c r="K13707" s="36">
        <v>45158</v>
      </c>
      <c r="L13707" s="36">
        <v>45164</v>
      </c>
      <c r="M13707" t="s">
        <v>612</v>
      </c>
      <c r="N13707" t="s">
        <v>608</v>
      </c>
      <c r="O13707" s="37" t="str">
        <f t="shared" si="1073"/>
        <v>Cash Payment</v>
      </c>
      <c r="P13707">
        <v>399.38</v>
      </c>
      <c r="Q13707" s="37" t="str">
        <f>IF(P13707&gt;500,"High","low")</f>
        <v>low</v>
      </c>
      <c r="R13707" s="37" t="str">
        <f t="shared" si="1074"/>
        <v>AVERAGE</v>
      </c>
      <c r="S13707" t="s">
        <v>605</v>
      </c>
    </row>
    <row r="13708" spans="1:19" x14ac:dyDescent="0.2">
      <c r="A13708" t="s">
        <v>14319</v>
      </c>
      <c r="B13708" t="s">
        <v>75</v>
      </c>
      <c r="C13708" t="s">
        <v>617</v>
      </c>
      <c r="D13708">
        <v>2358.04</v>
      </c>
      <c r="E13708" s="37" t="str">
        <f t="shared" si="1070"/>
        <v xml:space="preserve"> </v>
      </c>
      <c r="F13708">
        <v>0.42</v>
      </c>
      <c r="G13708" s="37" t="str">
        <f t="shared" si="1071"/>
        <v>Heavy Discount</v>
      </c>
      <c r="H13708" s="37" t="str">
        <f t="shared" si="1072"/>
        <v>High</v>
      </c>
      <c r="I13708">
        <v>5</v>
      </c>
      <c r="J13708" t="str" cm="1">
        <f t="array" ref="J13708">_xlfn.IFS(I13708&lt;=3,"small",I13708&lt;=6,"Medium",I13708&lt;=9,"Large")</f>
        <v>Medium</v>
      </c>
      <c r="K13708" s="36">
        <v>45592</v>
      </c>
      <c r="L13708" s="36">
        <v>45594</v>
      </c>
      <c r="M13708" t="s">
        <v>603</v>
      </c>
      <c r="N13708" t="s">
        <v>604</v>
      </c>
      <c r="O13708" s="37" t="str">
        <f t="shared" si="1073"/>
        <v>Digital Payment</v>
      </c>
      <c r="P13708">
        <v>569.72</v>
      </c>
      <c r="Q13708" s="37" t="str">
        <f>IF(P13708&gt;500,"High","low")</f>
        <v>High</v>
      </c>
      <c r="R13708" s="37" t="str">
        <f t="shared" si="1074"/>
        <v>Good</v>
      </c>
      <c r="S13708" t="s">
        <v>609</v>
      </c>
    </row>
    <row r="13709" spans="1:19" x14ac:dyDescent="0.2">
      <c r="A13709" t="s">
        <v>14320</v>
      </c>
      <c r="B13709" t="s">
        <v>90</v>
      </c>
      <c r="C13709" t="s">
        <v>614</v>
      </c>
      <c r="D13709">
        <v>3433.81</v>
      </c>
      <c r="E13709" s="37" t="str">
        <f t="shared" si="1070"/>
        <v xml:space="preserve"> </v>
      </c>
      <c r="F13709">
        <v>0.13</v>
      </c>
      <c r="G13709" s="37" t="str">
        <f t="shared" si="1071"/>
        <v>Normal Discount</v>
      </c>
      <c r="H13709" s="37" t="str">
        <f t="shared" si="1072"/>
        <v>Low</v>
      </c>
      <c r="I13709">
        <v>9</v>
      </c>
      <c r="J13709" t="str" cm="1">
        <f t="array" ref="J13709">_xlfn.IFS(I13709&lt;=3,"small",I13709&lt;=6,"Medium",I13709&lt;=9,"Large")</f>
        <v>Large</v>
      </c>
      <c r="K13709" s="36">
        <v>45258</v>
      </c>
      <c r="L13709" s="36">
        <v>45265</v>
      </c>
      <c r="M13709" t="s">
        <v>603</v>
      </c>
      <c r="N13709" t="s">
        <v>599</v>
      </c>
      <c r="O13709" s="37" t="str">
        <f t="shared" si="1073"/>
        <v>Digital Payment</v>
      </c>
      <c r="P13709">
        <v>952.37</v>
      </c>
      <c r="Q13709" s="37" t="str">
        <f>IF(P13709&gt;500,"High","low")</f>
        <v>High</v>
      </c>
      <c r="R13709" s="37" t="str">
        <f t="shared" si="1074"/>
        <v>Good</v>
      </c>
      <c r="S13709" t="s">
        <v>600</v>
      </c>
    </row>
    <row r="13710" spans="1:19" x14ac:dyDescent="0.2">
      <c r="A13710" t="s">
        <v>14321</v>
      </c>
      <c r="B13710" t="s">
        <v>75</v>
      </c>
      <c r="C13710" t="s">
        <v>597</v>
      </c>
      <c r="D13710">
        <v>4819.8500000000004</v>
      </c>
      <c r="E13710" s="37" t="str">
        <f t="shared" si="1070"/>
        <v xml:space="preserve"> </v>
      </c>
      <c r="F13710">
        <v>0.4</v>
      </c>
      <c r="G13710" s="37" t="str">
        <f t="shared" si="1071"/>
        <v>Heavy Discount</v>
      </c>
      <c r="H13710" s="37" t="str">
        <f t="shared" si="1072"/>
        <v>Medium</v>
      </c>
      <c r="I13710">
        <v>5</v>
      </c>
      <c r="J13710" t="str" cm="1">
        <f t="array" ref="J13710">_xlfn.IFS(I13710&lt;=3,"small",I13710&lt;=6,"Medium",I13710&lt;=9,"Large")</f>
        <v>Medium</v>
      </c>
      <c r="K13710" s="36">
        <v>45614</v>
      </c>
      <c r="L13710" s="36">
        <v>45617</v>
      </c>
      <c r="M13710" t="s">
        <v>598</v>
      </c>
      <c r="N13710" t="s">
        <v>604</v>
      </c>
      <c r="O13710" s="37" t="str">
        <f t="shared" si="1073"/>
        <v>Digital Payment</v>
      </c>
      <c r="P13710">
        <v>515.61</v>
      </c>
      <c r="Q13710" s="37" t="str">
        <f>IF(P13710&gt;500,"High","low")</f>
        <v>High</v>
      </c>
      <c r="R13710" s="37" t="str">
        <f t="shared" si="1074"/>
        <v>Good</v>
      </c>
      <c r="S13710" t="s">
        <v>628</v>
      </c>
    </row>
    <row r="13711" spans="1:19" x14ac:dyDescent="0.2">
      <c r="A13711" t="s">
        <v>14322</v>
      </c>
      <c r="B13711" t="s">
        <v>83</v>
      </c>
      <c r="C13711" t="s">
        <v>614</v>
      </c>
      <c r="D13711">
        <v>1809.46</v>
      </c>
      <c r="E13711" s="37" t="str">
        <f t="shared" si="1070"/>
        <v xml:space="preserve"> </v>
      </c>
      <c r="F13711">
        <v>0.31</v>
      </c>
      <c r="G13711" s="37" t="str">
        <f t="shared" si="1071"/>
        <v>Heavy Discount</v>
      </c>
      <c r="H13711" s="37" t="str">
        <f t="shared" si="1072"/>
        <v>Medium</v>
      </c>
      <c r="I13711">
        <v>4</v>
      </c>
      <c r="J13711" t="str" cm="1">
        <f t="array" ref="J13711">_xlfn.IFS(I13711&lt;=3,"small",I13711&lt;=6,"Medium",I13711&lt;=9,"Large")</f>
        <v>Medium</v>
      </c>
      <c r="K13711" s="36">
        <v>45053</v>
      </c>
      <c r="L13711" s="36">
        <v>45055</v>
      </c>
      <c r="M13711" t="s">
        <v>598</v>
      </c>
      <c r="N13711" t="s">
        <v>604</v>
      </c>
      <c r="O13711" s="37" t="str">
        <f t="shared" si="1073"/>
        <v>Digital Payment</v>
      </c>
      <c r="P13711">
        <v>117.15</v>
      </c>
      <c r="Q13711" s="37" t="str">
        <f>IF(P13711&gt;500,"High","low")</f>
        <v>low</v>
      </c>
      <c r="R13711" s="37" t="str">
        <f t="shared" si="1074"/>
        <v>AVERAGE</v>
      </c>
      <c r="S13711" t="s">
        <v>628</v>
      </c>
    </row>
    <row r="13712" spans="1:19" x14ac:dyDescent="0.2">
      <c r="A13712" t="s">
        <v>14323</v>
      </c>
      <c r="B13712" t="s">
        <v>90</v>
      </c>
      <c r="C13712" t="s">
        <v>597</v>
      </c>
      <c r="D13712">
        <v>1561.22</v>
      </c>
      <c r="E13712" s="37" t="str">
        <f t="shared" si="1070"/>
        <v xml:space="preserve"> </v>
      </c>
      <c r="F13712">
        <v>0.04</v>
      </c>
      <c r="G13712" s="37" t="str">
        <f t="shared" si="1071"/>
        <v>Normal Discount</v>
      </c>
      <c r="H13712" s="37" t="str">
        <f t="shared" si="1072"/>
        <v>Low</v>
      </c>
      <c r="I13712">
        <v>8</v>
      </c>
      <c r="J13712" t="str" cm="1">
        <f t="array" ref="J13712">_xlfn.IFS(I13712&lt;=3,"small",I13712&lt;=6,"Medium",I13712&lt;=9,"Large")</f>
        <v>Large</v>
      </c>
      <c r="K13712" s="36">
        <v>45051</v>
      </c>
      <c r="L13712" s="36">
        <v>45056</v>
      </c>
      <c r="M13712" t="s">
        <v>612</v>
      </c>
      <c r="N13712" t="s">
        <v>608</v>
      </c>
      <c r="O13712" s="37" t="str">
        <f t="shared" si="1073"/>
        <v>Cash Payment</v>
      </c>
      <c r="P13712">
        <v>241.98</v>
      </c>
      <c r="Q13712" s="37" t="str">
        <f>IF(P13712&gt;500,"High","low")</f>
        <v>low</v>
      </c>
      <c r="R13712" s="37" t="str">
        <f t="shared" si="1074"/>
        <v>AVERAGE</v>
      </c>
      <c r="S13712" t="s">
        <v>609</v>
      </c>
    </row>
    <row r="13713" spans="1:19" x14ac:dyDescent="0.2">
      <c r="A13713" t="s">
        <v>14324</v>
      </c>
      <c r="B13713" t="s">
        <v>75</v>
      </c>
      <c r="C13713" t="s">
        <v>602</v>
      </c>
      <c r="D13713">
        <v>2301.5100000000002</v>
      </c>
      <c r="E13713" s="37" t="str">
        <f t="shared" si="1070"/>
        <v xml:space="preserve"> </v>
      </c>
      <c r="F13713">
        <v>0.44</v>
      </c>
      <c r="G13713" s="37" t="str">
        <f t="shared" si="1071"/>
        <v>Heavy Discount</v>
      </c>
      <c r="H13713" s="37" t="str">
        <f t="shared" si="1072"/>
        <v>High</v>
      </c>
      <c r="I13713">
        <v>5</v>
      </c>
      <c r="J13713" t="str" cm="1">
        <f t="array" ref="J13713">_xlfn.IFS(I13713&lt;=3,"small",I13713&lt;=6,"Medium",I13713&lt;=9,"Large")</f>
        <v>Medium</v>
      </c>
      <c r="K13713" s="36">
        <v>45294</v>
      </c>
      <c r="L13713" s="36">
        <v>45296</v>
      </c>
      <c r="M13713" t="s">
        <v>598</v>
      </c>
      <c r="N13713" t="s">
        <v>599</v>
      </c>
      <c r="O13713" s="37" t="str">
        <f t="shared" si="1073"/>
        <v>Digital Payment</v>
      </c>
      <c r="P13713">
        <v>331.78</v>
      </c>
      <c r="Q13713" s="37" t="str">
        <f>IF(P13713&gt;500,"High","low")</f>
        <v>low</v>
      </c>
      <c r="R13713" s="37" t="str">
        <f t="shared" si="1074"/>
        <v>AVERAGE</v>
      </c>
      <c r="S13713" t="s">
        <v>605</v>
      </c>
    </row>
    <row r="13714" spans="1:19" x14ac:dyDescent="0.2">
      <c r="A13714" t="s">
        <v>14325</v>
      </c>
      <c r="B13714" t="s">
        <v>90</v>
      </c>
      <c r="C13714" t="s">
        <v>602</v>
      </c>
      <c r="D13714">
        <v>3646.98</v>
      </c>
      <c r="E13714" s="37" t="str">
        <f t="shared" si="1070"/>
        <v xml:space="preserve"> </v>
      </c>
      <c r="F13714">
        <v>0.44</v>
      </c>
      <c r="G13714" s="37" t="str">
        <f t="shared" si="1071"/>
        <v>Heavy Discount</v>
      </c>
      <c r="H13714" s="37" t="str">
        <f t="shared" si="1072"/>
        <v>High</v>
      </c>
      <c r="I13714">
        <v>9</v>
      </c>
      <c r="J13714" t="str" cm="1">
        <f t="array" ref="J13714">_xlfn.IFS(I13714&lt;=3,"small",I13714&lt;=6,"Medium",I13714&lt;=9,"Large")</f>
        <v>Large</v>
      </c>
      <c r="K13714" s="36">
        <v>45005</v>
      </c>
      <c r="L13714" s="36">
        <v>45012</v>
      </c>
      <c r="M13714" t="s">
        <v>598</v>
      </c>
      <c r="N13714" t="s">
        <v>608</v>
      </c>
      <c r="O13714" s="37" t="str">
        <f t="shared" si="1073"/>
        <v>Cash Payment</v>
      </c>
      <c r="P13714">
        <v>727.02</v>
      </c>
      <c r="Q13714" s="37" t="str">
        <f>IF(P13714&gt;500,"High","low")</f>
        <v>High</v>
      </c>
      <c r="R13714" s="37" t="str">
        <f t="shared" si="1074"/>
        <v>Good</v>
      </c>
      <c r="S13714" t="s">
        <v>600</v>
      </c>
    </row>
    <row r="13715" spans="1:19" x14ac:dyDescent="0.2">
      <c r="A13715" t="s">
        <v>14326</v>
      </c>
      <c r="B13715" t="s">
        <v>67</v>
      </c>
      <c r="C13715" t="s">
        <v>597</v>
      </c>
      <c r="D13715">
        <v>4811.6000000000004</v>
      </c>
      <c r="E13715" s="37" t="str">
        <f t="shared" si="1070"/>
        <v>Excellent Order</v>
      </c>
      <c r="F13715">
        <v>0.28999999999999998</v>
      </c>
      <c r="G13715" s="37" t="str">
        <f t="shared" si="1071"/>
        <v>Normal Discount</v>
      </c>
      <c r="H13715" s="37" t="str">
        <f t="shared" si="1072"/>
        <v>Medium</v>
      </c>
      <c r="I13715">
        <v>9</v>
      </c>
      <c r="J13715" t="str" cm="1">
        <f t="array" ref="J13715">_xlfn.IFS(I13715&lt;=3,"small",I13715&lt;=6,"Medium",I13715&lt;=9,"Large")</f>
        <v>Large</v>
      </c>
      <c r="K13715" s="36">
        <v>44936</v>
      </c>
      <c r="L13715" s="36">
        <v>44942</v>
      </c>
      <c r="M13715" t="s">
        <v>603</v>
      </c>
      <c r="N13715" t="s">
        <v>599</v>
      </c>
      <c r="O13715" s="37" t="str">
        <f t="shared" si="1073"/>
        <v>Digital Payment</v>
      </c>
      <c r="P13715">
        <v>821.3</v>
      </c>
      <c r="Q13715" s="37" t="str">
        <f>IF(P13715&gt;500,"High","low")</f>
        <v>High</v>
      </c>
      <c r="R13715" s="37" t="str">
        <f t="shared" si="1074"/>
        <v>Good</v>
      </c>
      <c r="S13715" t="s">
        <v>628</v>
      </c>
    </row>
    <row r="13716" spans="1:19" x14ac:dyDescent="0.2">
      <c r="A13716" t="s">
        <v>14327</v>
      </c>
      <c r="B13716" t="s">
        <v>83</v>
      </c>
      <c r="C13716" t="s">
        <v>617</v>
      </c>
      <c r="D13716">
        <v>2729.03</v>
      </c>
      <c r="E13716" s="37" t="str">
        <f t="shared" si="1070"/>
        <v xml:space="preserve"> </v>
      </c>
      <c r="F13716">
        <v>0.23</v>
      </c>
      <c r="G13716" s="37" t="str">
        <f t="shared" si="1071"/>
        <v>Normal Discount</v>
      </c>
      <c r="H13716" s="37" t="str">
        <f t="shared" si="1072"/>
        <v>Medium</v>
      </c>
      <c r="I13716">
        <v>2</v>
      </c>
      <c r="J13716" t="str" cm="1">
        <f t="array" ref="J13716">_xlfn.IFS(I13716&lt;=3,"small",I13716&lt;=6,"Medium",I13716&lt;=9,"Large")</f>
        <v>small</v>
      </c>
      <c r="K13716" s="36">
        <v>45474</v>
      </c>
      <c r="L13716" s="36">
        <v>45477</v>
      </c>
      <c r="M13716" t="s">
        <v>598</v>
      </c>
      <c r="N13716" t="s">
        <v>604</v>
      </c>
      <c r="O13716" s="37" t="str">
        <f t="shared" si="1073"/>
        <v>Digital Payment</v>
      </c>
      <c r="P13716">
        <v>646.99</v>
      </c>
      <c r="Q13716" s="37" t="str">
        <f>IF(P13716&gt;500,"High","low")</f>
        <v>High</v>
      </c>
      <c r="R13716" s="37" t="str">
        <f t="shared" si="1074"/>
        <v>Good</v>
      </c>
      <c r="S13716" t="s">
        <v>605</v>
      </c>
    </row>
    <row r="13717" spans="1:19" x14ac:dyDescent="0.2">
      <c r="A13717" t="s">
        <v>14328</v>
      </c>
      <c r="B13717" t="s">
        <v>75</v>
      </c>
      <c r="C13717" t="s">
        <v>617</v>
      </c>
      <c r="D13717">
        <v>4080.96</v>
      </c>
      <c r="E13717" s="37" t="str">
        <f t="shared" si="1070"/>
        <v>Excellent Order</v>
      </c>
      <c r="F13717">
        <v>0.2</v>
      </c>
      <c r="G13717" s="37" t="str">
        <f t="shared" si="1071"/>
        <v>Normal Discount</v>
      </c>
      <c r="H13717" s="37" t="str">
        <f t="shared" si="1072"/>
        <v>Medium</v>
      </c>
      <c r="I13717">
        <v>9</v>
      </c>
      <c r="J13717" t="str" cm="1">
        <f t="array" ref="J13717">_xlfn.IFS(I13717&lt;=3,"small",I13717&lt;=6,"Medium",I13717&lt;=9,"Large")</f>
        <v>Large</v>
      </c>
      <c r="K13717" s="36">
        <v>45094</v>
      </c>
      <c r="L13717" s="36">
        <v>45101</v>
      </c>
      <c r="M13717" t="s">
        <v>603</v>
      </c>
      <c r="N13717" t="s">
        <v>608</v>
      </c>
      <c r="O13717" s="37" t="str">
        <f t="shared" si="1073"/>
        <v>Cash Payment</v>
      </c>
      <c r="P13717">
        <v>1016.57</v>
      </c>
      <c r="Q13717" s="37" t="str">
        <f>IF(P13717&gt;500,"High","low")</f>
        <v>High</v>
      </c>
      <c r="R13717" s="37" t="str">
        <f t="shared" si="1074"/>
        <v>Excellent</v>
      </c>
      <c r="S13717" t="s">
        <v>605</v>
      </c>
    </row>
    <row r="13718" spans="1:19" x14ac:dyDescent="0.2">
      <c r="A13718" t="s">
        <v>14329</v>
      </c>
      <c r="B13718" t="s">
        <v>67</v>
      </c>
      <c r="C13718" t="s">
        <v>614</v>
      </c>
      <c r="D13718">
        <v>2375.56</v>
      </c>
      <c r="E13718" s="37" t="str">
        <f t="shared" si="1070"/>
        <v xml:space="preserve"> </v>
      </c>
      <c r="F13718">
        <v>0.3</v>
      </c>
      <c r="G13718" s="37" t="str">
        <f t="shared" si="1071"/>
        <v>Normal Discount</v>
      </c>
      <c r="H13718" s="37" t="str">
        <f t="shared" si="1072"/>
        <v>Medium</v>
      </c>
      <c r="I13718">
        <v>8</v>
      </c>
      <c r="J13718" t="str" cm="1">
        <f t="array" ref="J13718">_xlfn.IFS(I13718&lt;=3,"small",I13718&lt;=6,"Medium",I13718&lt;=9,"Large")</f>
        <v>Large</v>
      </c>
      <c r="K13718" s="36">
        <v>45063</v>
      </c>
      <c r="L13718" s="36">
        <v>45064</v>
      </c>
      <c r="M13718" t="s">
        <v>598</v>
      </c>
      <c r="N13718" t="s">
        <v>599</v>
      </c>
      <c r="O13718" s="37" t="str">
        <f t="shared" si="1073"/>
        <v>Digital Payment</v>
      </c>
      <c r="P13718">
        <v>461.5</v>
      </c>
      <c r="Q13718" s="37" t="str">
        <f>IF(P13718&gt;500,"High","low")</f>
        <v>low</v>
      </c>
      <c r="R13718" s="37" t="str">
        <f t="shared" si="1074"/>
        <v>AVERAGE</v>
      </c>
      <c r="S13718" t="s">
        <v>600</v>
      </c>
    </row>
    <row r="13719" spans="1:19" x14ac:dyDescent="0.2">
      <c r="A13719" t="s">
        <v>14330</v>
      </c>
      <c r="B13719" t="s">
        <v>90</v>
      </c>
      <c r="C13719" t="s">
        <v>597</v>
      </c>
      <c r="D13719">
        <v>295.3</v>
      </c>
      <c r="E13719" s="37" t="str">
        <f t="shared" si="1070"/>
        <v xml:space="preserve"> </v>
      </c>
      <c r="F13719">
        <v>0.42</v>
      </c>
      <c r="G13719" s="37" t="str">
        <f t="shared" si="1071"/>
        <v>Heavy Discount</v>
      </c>
      <c r="H13719" s="37" t="str">
        <f t="shared" si="1072"/>
        <v>High</v>
      </c>
      <c r="I13719">
        <v>7</v>
      </c>
      <c r="J13719" t="str" cm="1">
        <f t="array" ref="J13719">_xlfn.IFS(I13719&lt;=3,"small",I13719&lt;=6,"Medium",I13719&lt;=9,"Large")</f>
        <v>Large</v>
      </c>
      <c r="K13719" s="36">
        <v>45107</v>
      </c>
      <c r="L13719" s="36">
        <v>45109</v>
      </c>
      <c r="M13719" t="s">
        <v>612</v>
      </c>
      <c r="N13719" t="s">
        <v>608</v>
      </c>
      <c r="O13719" s="37" t="str">
        <f t="shared" si="1073"/>
        <v>Cash Payment</v>
      </c>
      <c r="P13719">
        <v>30.11</v>
      </c>
      <c r="Q13719" s="37" t="str">
        <f>IF(P13719&gt;500,"High","low")</f>
        <v>low</v>
      </c>
      <c r="R13719" s="37" t="str">
        <f t="shared" si="1074"/>
        <v>AVERAGE</v>
      </c>
      <c r="S13719" t="s">
        <v>600</v>
      </c>
    </row>
    <row r="13720" spans="1:19" x14ac:dyDescent="0.2">
      <c r="A13720" t="s">
        <v>14331</v>
      </c>
      <c r="B13720" t="s">
        <v>67</v>
      </c>
      <c r="C13720" t="s">
        <v>607</v>
      </c>
      <c r="D13720">
        <v>4481.6400000000003</v>
      </c>
      <c r="E13720" s="37" t="str">
        <f t="shared" si="1070"/>
        <v>Excellent Order</v>
      </c>
      <c r="F13720">
        <v>0.28000000000000003</v>
      </c>
      <c r="G13720" s="37" t="str">
        <f t="shared" si="1071"/>
        <v>Normal Discount</v>
      </c>
      <c r="H13720" s="37" t="str">
        <f t="shared" si="1072"/>
        <v>Medium</v>
      </c>
      <c r="I13720">
        <v>6</v>
      </c>
      <c r="J13720" t="str" cm="1">
        <f t="array" ref="J13720">_xlfn.IFS(I13720&lt;=3,"small",I13720&lt;=6,"Medium",I13720&lt;=9,"Large")</f>
        <v>Medium</v>
      </c>
      <c r="K13720" s="36">
        <v>45647</v>
      </c>
      <c r="L13720" s="36">
        <v>45654</v>
      </c>
      <c r="M13720" t="s">
        <v>603</v>
      </c>
      <c r="N13720" t="s">
        <v>608</v>
      </c>
      <c r="O13720" s="37" t="str">
        <f t="shared" si="1073"/>
        <v>Cash Payment</v>
      </c>
      <c r="P13720">
        <v>1208.31</v>
      </c>
      <c r="Q13720" s="37" t="str">
        <f>IF(P13720&gt;500,"High","low")</f>
        <v>High</v>
      </c>
      <c r="R13720" s="37" t="str">
        <f t="shared" si="1074"/>
        <v>Excellent</v>
      </c>
      <c r="S13720" t="s">
        <v>605</v>
      </c>
    </row>
    <row r="13721" spans="1:19" x14ac:dyDescent="0.2">
      <c r="A13721" t="s">
        <v>14332</v>
      </c>
      <c r="B13721" t="s">
        <v>90</v>
      </c>
      <c r="C13721" t="s">
        <v>617</v>
      </c>
      <c r="D13721">
        <v>1520.4</v>
      </c>
      <c r="E13721" s="37" t="str">
        <f t="shared" si="1070"/>
        <v xml:space="preserve"> </v>
      </c>
      <c r="F13721">
        <v>0.06</v>
      </c>
      <c r="G13721" s="37" t="str">
        <f t="shared" si="1071"/>
        <v>Normal Discount</v>
      </c>
      <c r="H13721" s="37" t="str">
        <f t="shared" si="1072"/>
        <v>Low</v>
      </c>
      <c r="I13721">
        <v>4</v>
      </c>
      <c r="J13721" t="str" cm="1">
        <f t="array" ref="J13721">_xlfn.IFS(I13721&lt;=3,"small",I13721&lt;=6,"Medium",I13721&lt;=9,"Large")</f>
        <v>Medium</v>
      </c>
      <c r="K13721" s="36">
        <v>45380</v>
      </c>
      <c r="L13721" s="36">
        <v>45384</v>
      </c>
      <c r="M13721" t="s">
        <v>612</v>
      </c>
      <c r="N13721" t="s">
        <v>608</v>
      </c>
      <c r="O13721" s="37" t="str">
        <f t="shared" si="1073"/>
        <v>Cash Payment</v>
      </c>
      <c r="P13721">
        <v>176.49</v>
      </c>
      <c r="Q13721" s="37" t="str">
        <f>IF(P13721&gt;500,"High","low")</f>
        <v>low</v>
      </c>
      <c r="R13721" s="37" t="str">
        <f t="shared" si="1074"/>
        <v>AVERAGE</v>
      </c>
      <c r="S13721" t="s">
        <v>609</v>
      </c>
    </row>
    <row r="13722" spans="1:19" x14ac:dyDescent="0.2">
      <c r="A13722" t="s">
        <v>14333</v>
      </c>
      <c r="B13722" t="s">
        <v>83</v>
      </c>
      <c r="C13722" t="s">
        <v>617</v>
      </c>
      <c r="D13722">
        <v>779.46</v>
      </c>
      <c r="E13722" s="37" t="str">
        <f t="shared" si="1070"/>
        <v xml:space="preserve"> </v>
      </c>
      <c r="F13722">
        <v>0.15</v>
      </c>
      <c r="G13722" s="37" t="str">
        <f t="shared" si="1071"/>
        <v>Normal Discount</v>
      </c>
      <c r="H13722" s="37" t="str">
        <f t="shared" si="1072"/>
        <v>Low</v>
      </c>
      <c r="I13722">
        <v>7</v>
      </c>
      <c r="J13722" t="str" cm="1">
        <f t="array" ref="J13722">_xlfn.IFS(I13722&lt;=3,"small",I13722&lt;=6,"Medium",I13722&lt;=9,"Large")</f>
        <v>Large</v>
      </c>
      <c r="K13722" s="36">
        <v>45012</v>
      </c>
      <c r="L13722" s="36">
        <v>45018</v>
      </c>
      <c r="M13722" t="s">
        <v>603</v>
      </c>
      <c r="N13722" t="s">
        <v>599</v>
      </c>
      <c r="O13722" s="37" t="str">
        <f t="shared" si="1073"/>
        <v>Digital Payment</v>
      </c>
      <c r="P13722">
        <v>188.12</v>
      </c>
      <c r="Q13722" s="37" t="str">
        <f>IF(P13722&gt;500,"High","low")</f>
        <v>low</v>
      </c>
      <c r="R13722" s="37" t="str">
        <f t="shared" si="1074"/>
        <v>AVERAGE</v>
      </c>
      <c r="S13722" t="s">
        <v>615</v>
      </c>
    </row>
    <row r="13723" spans="1:19" x14ac:dyDescent="0.2">
      <c r="A13723" t="s">
        <v>14334</v>
      </c>
      <c r="B13723" t="s">
        <v>67</v>
      </c>
      <c r="C13723" t="s">
        <v>602</v>
      </c>
      <c r="D13723">
        <v>4981.1899999999996</v>
      </c>
      <c r="E13723" s="37" t="str">
        <f t="shared" si="1070"/>
        <v>Excellent Order</v>
      </c>
      <c r="F13723">
        <v>0.33</v>
      </c>
      <c r="G13723" s="37" t="str">
        <f t="shared" si="1071"/>
        <v>Heavy Discount</v>
      </c>
      <c r="H13723" s="37" t="str">
        <f t="shared" si="1072"/>
        <v>Medium</v>
      </c>
      <c r="I13723">
        <v>6</v>
      </c>
      <c r="J13723" t="str" cm="1">
        <f t="array" ref="J13723">_xlfn.IFS(I13723&lt;=3,"small",I13723&lt;=6,"Medium",I13723&lt;=9,"Large")</f>
        <v>Medium</v>
      </c>
      <c r="K13723" s="36">
        <v>45646</v>
      </c>
      <c r="L13723" s="36">
        <v>45651</v>
      </c>
      <c r="M13723" t="s">
        <v>603</v>
      </c>
      <c r="N13723" t="s">
        <v>604</v>
      </c>
      <c r="O13723" s="37" t="str">
        <f t="shared" si="1073"/>
        <v>Digital Payment</v>
      </c>
      <c r="P13723">
        <v>881.72</v>
      </c>
      <c r="Q13723" s="37" t="str">
        <f>IF(P13723&gt;500,"High","low")</f>
        <v>High</v>
      </c>
      <c r="R13723" s="37" t="str">
        <f t="shared" si="1074"/>
        <v>Good</v>
      </c>
      <c r="S13723" t="s">
        <v>605</v>
      </c>
    </row>
    <row r="13724" spans="1:19" x14ac:dyDescent="0.2">
      <c r="A13724" t="s">
        <v>14335</v>
      </c>
      <c r="B13724" t="s">
        <v>83</v>
      </c>
      <c r="C13724" t="s">
        <v>617</v>
      </c>
      <c r="D13724">
        <v>1802.26</v>
      </c>
      <c r="E13724" s="37" t="str">
        <f t="shared" si="1070"/>
        <v xml:space="preserve"> </v>
      </c>
      <c r="F13724">
        <v>0.32</v>
      </c>
      <c r="G13724" s="37" t="str">
        <f t="shared" si="1071"/>
        <v>Heavy Discount</v>
      </c>
      <c r="H13724" s="37" t="str">
        <f t="shared" si="1072"/>
        <v>Medium</v>
      </c>
      <c r="I13724">
        <v>8</v>
      </c>
      <c r="J13724" t="str" cm="1">
        <f t="array" ref="J13724">_xlfn.IFS(I13724&lt;=3,"small",I13724&lt;=6,"Medium",I13724&lt;=9,"Large")</f>
        <v>Large</v>
      </c>
      <c r="K13724" s="36">
        <v>45140</v>
      </c>
      <c r="L13724" s="36">
        <v>45141</v>
      </c>
      <c r="M13724" t="s">
        <v>612</v>
      </c>
      <c r="N13724" t="s">
        <v>599</v>
      </c>
      <c r="O13724" s="37" t="str">
        <f t="shared" si="1073"/>
        <v>Digital Payment</v>
      </c>
      <c r="P13724">
        <v>340.95</v>
      </c>
      <c r="Q13724" s="37" t="str">
        <f>IF(P13724&gt;500,"High","low")</f>
        <v>low</v>
      </c>
      <c r="R13724" s="37" t="str">
        <f t="shared" si="1074"/>
        <v>AVERAGE</v>
      </c>
      <c r="S13724" t="s">
        <v>628</v>
      </c>
    </row>
    <row r="13725" spans="1:19" x14ac:dyDescent="0.2">
      <c r="A13725" t="s">
        <v>14336</v>
      </c>
      <c r="B13725" t="s">
        <v>75</v>
      </c>
      <c r="C13725" t="s">
        <v>617</v>
      </c>
      <c r="D13725">
        <v>769.04</v>
      </c>
      <c r="E13725" s="37" t="str">
        <f t="shared" si="1070"/>
        <v xml:space="preserve"> </v>
      </c>
      <c r="F13725">
        <v>0.26</v>
      </c>
      <c r="G13725" s="37" t="str">
        <f t="shared" si="1071"/>
        <v>Normal Discount</v>
      </c>
      <c r="H13725" s="37" t="str">
        <f t="shared" si="1072"/>
        <v>Medium</v>
      </c>
      <c r="I13725">
        <v>1</v>
      </c>
      <c r="J13725" t="str" cm="1">
        <f t="array" ref="J13725">_xlfn.IFS(I13725&lt;=3,"small",I13725&lt;=6,"Medium",I13725&lt;=9,"Large")</f>
        <v>small</v>
      </c>
      <c r="K13725" s="36">
        <v>45235</v>
      </c>
      <c r="L13725" s="36">
        <v>45236</v>
      </c>
      <c r="M13725" t="s">
        <v>598</v>
      </c>
      <c r="N13725" t="s">
        <v>604</v>
      </c>
      <c r="O13725" s="37" t="str">
        <f t="shared" si="1073"/>
        <v>Digital Payment</v>
      </c>
      <c r="P13725">
        <v>69.44</v>
      </c>
      <c r="Q13725" s="37" t="str">
        <f>IF(P13725&gt;500,"High","low")</f>
        <v>low</v>
      </c>
      <c r="R13725" s="37" t="str">
        <f t="shared" si="1074"/>
        <v>AVERAGE</v>
      </c>
      <c r="S13725" t="s">
        <v>600</v>
      </c>
    </row>
    <row r="13726" spans="1:19" x14ac:dyDescent="0.2">
      <c r="A13726" t="s">
        <v>14337</v>
      </c>
      <c r="B13726" t="s">
        <v>90</v>
      </c>
      <c r="C13726" t="s">
        <v>617</v>
      </c>
      <c r="D13726">
        <v>1626.56</v>
      </c>
      <c r="E13726" s="37" t="str">
        <f t="shared" si="1070"/>
        <v xml:space="preserve"> </v>
      </c>
      <c r="F13726">
        <v>0.12</v>
      </c>
      <c r="G13726" s="37" t="str">
        <f t="shared" si="1071"/>
        <v>Normal Discount</v>
      </c>
      <c r="H13726" s="37" t="str">
        <f t="shared" si="1072"/>
        <v>Low</v>
      </c>
      <c r="I13726">
        <v>3</v>
      </c>
      <c r="J13726" t="str" cm="1">
        <f t="array" ref="J13726">_xlfn.IFS(I13726&lt;=3,"small",I13726&lt;=6,"Medium",I13726&lt;=9,"Large")</f>
        <v>small</v>
      </c>
      <c r="K13726" s="36">
        <v>45093</v>
      </c>
      <c r="L13726" s="36">
        <v>45094</v>
      </c>
      <c r="M13726" t="s">
        <v>598</v>
      </c>
      <c r="N13726" t="s">
        <v>608</v>
      </c>
      <c r="O13726" s="37" t="str">
        <f t="shared" si="1073"/>
        <v>Cash Payment</v>
      </c>
      <c r="P13726">
        <v>313.36</v>
      </c>
      <c r="Q13726" s="37" t="str">
        <f>IF(P13726&gt;500,"High","low")</f>
        <v>low</v>
      </c>
      <c r="R13726" s="37" t="str">
        <f t="shared" si="1074"/>
        <v>AVERAGE</v>
      </c>
      <c r="S13726" t="s">
        <v>620</v>
      </c>
    </row>
    <row r="13727" spans="1:19" x14ac:dyDescent="0.2">
      <c r="A13727" t="s">
        <v>14338</v>
      </c>
      <c r="B13727" t="s">
        <v>90</v>
      </c>
      <c r="C13727" t="s">
        <v>597</v>
      </c>
      <c r="D13727">
        <v>2617.8000000000002</v>
      </c>
      <c r="E13727" s="37" t="str">
        <f t="shared" si="1070"/>
        <v xml:space="preserve"> </v>
      </c>
      <c r="F13727">
        <v>0.14000000000000001</v>
      </c>
      <c r="G13727" s="37" t="str">
        <f t="shared" si="1071"/>
        <v>Normal Discount</v>
      </c>
      <c r="H13727" s="37" t="str">
        <f t="shared" si="1072"/>
        <v>Low</v>
      </c>
      <c r="I13727">
        <v>8</v>
      </c>
      <c r="J13727" t="str" cm="1">
        <f t="array" ref="J13727">_xlfn.IFS(I13727&lt;=3,"small",I13727&lt;=6,"Medium",I13727&lt;=9,"Large")</f>
        <v>Large</v>
      </c>
      <c r="K13727" s="36">
        <v>45243</v>
      </c>
      <c r="L13727" s="36">
        <v>45245</v>
      </c>
      <c r="M13727" t="s">
        <v>603</v>
      </c>
      <c r="N13727" t="s">
        <v>604</v>
      </c>
      <c r="O13727" s="37" t="str">
        <f t="shared" si="1073"/>
        <v>Digital Payment</v>
      </c>
      <c r="P13727">
        <v>677.16</v>
      </c>
      <c r="Q13727" s="37" t="str">
        <f>IF(P13727&gt;500,"High","low")</f>
        <v>High</v>
      </c>
      <c r="R13727" s="37" t="str">
        <f t="shared" si="1074"/>
        <v>Good</v>
      </c>
      <c r="S13727" t="s">
        <v>628</v>
      </c>
    </row>
    <row r="13728" spans="1:19" x14ac:dyDescent="0.2">
      <c r="A13728" t="s">
        <v>14339</v>
      </c>
      <c r="B13728" t="s">
        <v>83</v>
      </c>
      <c r="C13728" t="s">
        <v>597</v>
      </c>
      <c r="D13728">
        <v>530.99</v>
      </c>
      <c r="E13728" s="37" t="str">
        <f t="shared" si="1070"/>
        <v xml:space="preserve"> </v>
      </c>
      <c r="F13728">
        <v>0.24</v>
      </c>
      <c r="G13728" s="37" t="str">
        <f t="shared" si="1071"/>
        <v>Normal Discount</v>
      </c>
      <c r="H13728" s="37" t="str">
        <f t="shared" si="1072"/>
        <v>Medium</v>
      </c>
      <c r="I13728">
        <v>2</v>
      </c>
      <c r="J13728" t="str" cm="1">
        <f t="array" ref="J13728">_xlfn.IFS(I13728&lt;=3,"small",I13728&lt;=6,"Medium",I13728&lt;=9,"Large")</f>
        <v>small</v>
      </c>
      <c r="K13728" s="36">
        <v>44978</v>
      </c>
      <c r="L13728" s="36">
        <v>44982</v>
      </c>
      <c r="M13728" t="s">
        <v>612</v>
      </c>
      <c r="N13728" t="s">
        <v>608</v>
      </c>
      <c r="O13728" s="37" t="str">
        <f t="shared" si="1073"/>
        <v>Cash Payment</v>
      </c>
      <c r="P13728">
        <v>84.57</v>
      </c>
      <c r="Q13728" s="37" t="str">
        <f>IF(P13728&gt;500,"High","low")</f>
        <v>low</v>
      </c>
      <c r="R13728" s="37" t="str">
        <f t="shared" si="1074"/>
        <v>AVERAGE</v>
      </c>
      <c r="S13728" t="s">
        <v>609</v>
      </c>
    </row>
    <row r="13729" spans="1:19" x14ac:dyDescent="0.2">
      <c r="A13729" t="s">
        <v>14340</v>
      </c>
      <c r="B13729" t="s">
        <v>83</v>
      </c>
      <c r="C13729" t="s">
        <v>602</v>
      </c>
      <c r="D13729">
        <v>1827.84</v>
      </c>
      <c r="E13729" s="37" t="str">
        <f t="shared" si="1070"/>
        <v xml:space="preserve"> </v>
      </c>
      <c r="F13729">
        <v>0.2</v>
      </c>
      <c r="G13729" s="37" t="str">
        <f t="shared" si="1071"/>
        <v>Normal Discount</v>
      </c>
      <c r="H13729" s="37" t="str">
        <f t="shared" si="1072"/>
        <v>Medium</v>
      </c>
      <c r="I13729">
        <v>9</v>
      </c>
      <c r="J13729" t="str" cm="1">
        <f t="array" ref="J13729">_xlfn.IFS(I13729&lt;=3,"small",I13729&lt;=6,"Medium",I13729&lt;=9,"Large")</f>
        <v>Large</v>
      </c>
      <c r="K13729" s="36">
        <v>45122</v>
      </c>
      <c r="L13729" s="36">
        <v>45129</v>
      </c>
      <c r="M13729" t="s">
        <v>598</v>
      </c>
      <c r="N13729" t="s">
        <v>599</v>
      </c>
      <c r="O13729" s="37" t="str">
        <f t="shared" si="1073"/>
        <v>Digital Payment</v>
      </c>
      <c r="P13729">
        <v>239.26</v>
      </c>
      <c r="Q13729" s="37" t="str">
        <f>IF(P13729&gt;500,"High","low")</f>
        <v>low</v>
      </c>
      <c r="R13729" s="37" t="str">
        <f t="shared" si="1074"/>
        <v>AVERAGE</v>
      </c>
      <c r="S13729" t="s">
        <v>628</v>
      </c>
    </row>
    <row r="13730" spans="1:19" x14ac:dyDescent="0.2">
      <c r="A13730" t="s">
        <v>14341</v>
      </c>
      <c r="B13730" t="s">
        <v>75</v>
      </c>
      <c r="C13730" t="s">
        <v>614</v>
      </c>
      <c r="D13730">
        <v>3377.4</v>
      </c>
      <c r="E13730" s="37" t="str">
        <f t="shared" si="1070"/>
        <v xml:space="preserve"> </v>
      </c>
      <c r="F13730">
        <v>0.16</v>
      </c>
      <c r="G13730" s="37" t="str">
        <f t="shared" si="1071"/>
        <v>Normal Discount</v>
      </c>
      <c r="H13730" s="37" t="str">
        <f t="shared" si="1072"/>
        <v>Low</v>
      </c>
      <c r="I13730">
        <v>2</v>
      </c>
      <c r="J13730" t="str" cm="1">
        <f t="array" ref="J13730">_xlfn.IFS(I13730&lt;=3,"small",I13730&lt;=6,"Medium",I13730&lt;=9,"Large")</f>
        <v>small</v>
      </c>
      <c r="K13730" s="36">
        <v>45634</v>
      </c>
      <c r="L13730" s="36">
        <v>45640</v>
      </c>
      <c r="M13730" t="s">
        <v>598</v>
      </c>
      <c r="N13730" t="s">
        <v>608</v>
      </c>
      <c r="O13730" s="37" t="str">
        <f t="shared" si="1073"/>
        <v>Cash Payment</v>
      </c>
      <c r="P13730">
        <v>396.01</v>
      </c>
      <c r="Q13730" s="37" t="str">
        <f>IF(P13730&gt;500,"High","low")</f>
        <v>low</v>
      </c>
      <c r="R13730" s="37" t="str">
        <f t="shared" si="1074"/>
        <v>AVERAGE</v>
      </c>
      <c r="S13730" t="s">
        <v>609</v>
      </c>
    </row>
    <row r="13731" spans="1:19" x14ac:dyDescent="0.2">
      <c r="A13731" t="s">
        <v>14342</v>
      </c>
      <c r="B13731" t="s">
        <v>67</v>
      </c>
      <c r="C13731" t="s">
        <v>617</v>
      </c>
      <c r="D13731">
        <v>4588.07</v>
      </c>
      <c r="E13731" s="37" t="str">
        <f t="shared" si="1070"/>
        <v xml:space="preserve"> </v>
      </c>
      <c r="F13731">
        <v>0.41</v>
      </c>
      <c r="G13731" s="37" t="str">
        <f t="shared" si="1071"/>
        <v>Heavy Discount</v>
      </c>
      <c r="H13731" s="37" t="str">
        <f t="shared" si="1072"/>
        <v>High</v>
      </c>
      <c r="I13731">
        <v>9</v>
      </c>
      <c r="J13731" t="str" cm="1">
        <f t="array" ref="J13731">_xlfn.IFS(I13731&lt;=3,"small",I13731&lt;=6,"Medium",I13731&lt;=9,"Large")</f>
        <v>Large</v>
      </c>
      <c r="K13731" s="36">
        <v>45639</v>
      </c>
      <c r="L13731" s="36">
        <v>45645</v>
      </c>
      <c r="M13731" t="s">
        <v>598</v>
      </c>
      <c r="N13731" t="s">
        <v>604</v>
      </c>
      <c r="O13731" s="37" t="str">
        <f t="shared" si="1073"/>
        <v>Digital Payment</v>
      </c>
      <c r="P13731">
        <v>770.97</v>
      </c>
      <c r="Q13731" s="37" t="str">
        <f>IF(P13731&gt;500,"High","low")</f>
        <v>High</v>
      </c>
      <c r="R13731" s="37" t="str">
        <f t="shared" si="1074"/>
        <v>Good</v>
      </c>
      <c r="S13731" t="s">
        <v>628</v>
      </c>
    </row>
    <row r="13732" spans="1:19" x14ac:dyDescent="0.2">
      <c r="A13732" t="s">
        <v>14343</v>
      </c>
      <c r="B13732" t="s">
        <v>90</v>
      </c>
      <c r="C13732" t="s">
        <v>614</v>
      </c>
      <c r="D13732">
        <v>2047.44</v>
      </c>
      <c r="E13732" s="37" t="str">
        <f t="shared" si="1070"/>
        <v xml:space="preserve"> </v>
      </c>
      <c r="F13732">
        <v>0.25</v>
      </c>
      <c r="G13732" s="37" t="str">
        <f t="shared" si="1071"/>
        <v>Normal Discount</v>
      </c>
      <c r="H13732" s="37" t="str">
        <f t="shared" si="1072"/>
        <v>Medium</v>
      </c>
      <c r="I13732">
        <v>7</v>
      </c>
      <c r="J13732" t="str" cm="1">
        <f t="array" ref="J13732">_xlfn.IFS(I13732&lt;=3,"small",I13732&lt;=6,"Medium",I13732&lt;=9,"Large")</f>
        <v>Large</v>
      </c>
      <c r="K13732" s="36">
        <v>45132</v>
      </c>
      <c r="L13732" s="36">
        <v>45135</v>
      </c>
      <c r="M13732" t="s">
        <v>612</v>
      </c>
      <c r="N13732" t="s">
        <v>604</v>
      </c>
      <c r="O13732" s="37" t="str">
        <f t="shared" si="1073"/>
        <v>Digital Payment</v>
      </c>
      <c r="P13732">
        <v>228.54</v>
      </c>
      <c r="Q13732" s="37" t="str">
        <f>IF(P13732&gt;500,"High","low")</f>
        <v>low</v>
      </c>
      <c r="R13732" s="37" t="str">
        <f t="shared" si="1074"/>
        <v>AVERAGE</v>
      </c>
      <c r="S13732" t="s">
        <v>620</v>
      </c>
    </row>
    <row r="13733" spans="1:19" x14ac:dyDescent="0.2">
      <c r="A13733" t="s">
        <v>14344</v>
      </c>
      <c r="B13733" t="s">
        <v>90</v>
      </c>
      <c r="C13733" t="s">
        <v>597</v>
      </c>
      <c r="D13733">
        <v>2866.36</v>
      </c>
      <c r="E13733" s="37" t="str">
        <f t="shared" si="1070"/>
        <v xml:space="preserve"> </v>
      </c>
      <c r="F13733">
        <v>0.25</v>
      </c>
      <c r="G13733" s="37" t="str">
        <f t="shared" si="1071"/>
        <v>Normal Discount</v>
      </c>
      <c r="H13733" s="37" t="str">
        <f t="shared" si="1072"/>
        <v>Medium</v>
      </c>
      <c r="I13733">
        <v>4</v>
      </c>
      <c r="J13733" t="str" cm="1">
        <f t="array" ref="J13733">_xlfn.IFS(I13733&lt;=3,"small",I13733&lt;=6,"Medium",I13733&lt;=9,"Large")</f>
        <v>Medium</v>
      </c>
      <c r="K13733" s="36">
        <v>45608</v>
      </c>
      <c r="L13733" s="36">
        <v>45613</v>
      </c>
      <c r="M13733" t="s">
        <v>598</v>
      </c>
      <c r="N13733" t="s">
        <v>608</v>
      </c>
      <c r="O13733" s="37" t="str">
        <f t="shared" si="1073"/>
        <v>Cash Payment</v>
      </c>
      <c r="P13733">
        <v>457.68</v>
      </c>
      <c r="Q13733" s="37" t="str">
        <f>IF(P13733&gt;500,"High","low")</f>
        <v>low</v>
      </c>
      <c r="R13733" s="37" t="str">
        <f t="shared" si="1074"/>
        <v>AVERAGE</v>
      </c>
      <c r="S13733" t="s">
        <v>615</v>
      </c>
    </row>
    <row r="13734" spans="1:19" x14ac:dyDescent="0.2">
      <c r="A13734" t="s">
        <v>14345</v>
      </c>
      <c r="B13734" t="s">
        <v>75</v>
      </c>
      <c r="C13734" t="s">
        <v>617</v>
      </c>
      <c r="D13734">
        <v>3216.7</v>
      </c>
      <c r="E13734" s="37" t="str">
        <f t="shared" si="1070"/>
        <v xml:space="preserve"> </v>
      </c>
      <c r="F13734">
        <v>0.21</v>
      </c>
      <c r="G13734" s="37" t="str">
        <f t="shared" si="1071"/>
        <v>Normal Discount</v>
      </c>
      <c r="H13734" s="37" t="str">
        <f t="shared" si="1072"/>
        <v>Medium</v>
      </c>
      <c r="I13734">
        <v>3</v>
      </c>
      <c r="J13734" t="str" cm="1">
        <f t="array" ref="J13734">_xlfn.IFS(I13734&lt;=3,"small",I13734&lt;=6,"Medium",I13734&lt;=9,"Large")</f>
        <v>small</v>
      </c>
      <c r="K13734" s="36">
        <v>45169</v>
      </c>
      <c r="L13734" s="36">
        <v>45173</v>
      </c>
      <c r="M13734" t="s">
        <v>598</v>
      </c>
      <c r="N13734" t="s">
        <v>604</v>
      </c>
      <c r="O13734" s="37" t="str">
        <f t="shared" si="1073"/>
        <v>Digital Payment</v>
      </c>
      <c r="P13734">
        <v>560.69000000000005</v>
      </c>
      <c r="Q13734" s="37" t="str">
        <f>IF(P13734&gt;500,"High","low")</f>
        <v>High</v>
      </c>
      <c r="R13734" s="37" t="str">
        <f t="shared" si="1074"/>
        <v>Good</v>
      </c>
      <c r="S13734" t="s">
        <v>605</v>
      </c>
    </row>
    <row r="13735" spans="1:19" x14ac:dyDescent="0.2">
      <c r="A13735" t="s">
        <v>14346</v>
      </c>
      <c r="B13735" t="s">
        <v>75</v>
      </c>
      <c r="C13735" t="s">
        <v>614</v>
      </c>
      <c r="D13735">
        <v>446.69</v>
      </c>
      <c r="E13735" s="37" t="str">
        <f t="shared" si="1070"/>
        <v xml:space="preserve"> </v>
      </c>
      <c r="F13735">
        <v>0.34</v>
      </c>
      <c r="G13735" s="37" t="str">
        <f t="shared" si="1071"/>
        <v>Heavy Discount</v>
      </c>
      <c r="H13735" s="37" t="str">
        <f t="shared" si="1072"/>
        <v>Medium</v>
      </c>
      <c r="I13735">
        <v>8</v>
      </c>
      <c r="J13735" t="str" cm="1">
        <f t="array" ref="J13735">_xlfn.IFS(I13735&lt;=3,"small",I13735&lt;=6,"Medium",I13735&lt;=9,"Large")</f>
        <v>Large</v>
      </c>
      <c r="K13735" s="36">
        <v>45144</v>
      </c>
      <c r="L13735" s="36">
        <v>45146</v>
      </c>
      <c r="M13735" t="s">
        <v>603</v>
      </c>
      <c r="N13735" t="s">
        <v>599</v>
      </c>
      <c r="O13735" s="37" t="str">
        <f t="shared" si="1073"/>
        <v>Digital Payment</v>
      </c>
      <c r="P13735">
        <v>41.4</v>
      </c>
      <c r="Q13735" s="37" t="str">
        <f>IF(P13735&gt;500,"High","low")</f>
        <v>low</v>
      </c>
      <c r="R13735" s="37" t="str">
        <f t="shared" si="1074"/>
        <v>AVERAGE</v>
      </c>
      <c r="S13735" t="s">
        <v>609</v>
      </c>
    </row>
    <row r="13736" spans="1:19" x14ac:dyDescent="0.2">
      <c r="A13736" t="s">
        <v>14347</v>
      </c>
      <c r="B13736" t="s">
        <v>83</v>
      </c>
      <c r="C13736" t="s">
        <v>614</v>
      </c>
      <c r="D13736">
        <v>1776.9</v>
      </c>
      <c r="E13736" s="37" t="str">
        <f t="shared" si="1070"/>
        <v xml:space="preserve"> </v>
      </c>
      <c r="F13736">
        <v>0.09</v>
      </c>
      <c r="G13736" s="37" t="str">
        <f t="shared" si="1071"/>
        <v>Normal Discount</v>
      </c>
      <c r="H13736" s="37" t="str">
        <f t="shared" si="1072"/>
        <v>Low</v>
      </c>
      <c r="I13736">
        <v>7</v>
      </c>
      <c r="J13736" t="str" cm="1">
        <f t="array" ref="J13736">_xlfn.IFS(I13736&lt;=3,"small",I13736&lt;=6,"Medium",I13736&lt;=9,"Large")</f>
        <v>Large</v>
      </c>
      <c r="K13736" s="36">
        <v>45633</v>
      </c>
      <c r="L13736" s="36">
        <v>45638</v>
      </c>
      <c r="M13736" t="s">
        <v>603</v>
      </c>
      <c r="N13736" t="s">
        <v>604</v>
      </c>
      <c r="O13736" s="37" t="str">
        <f t="shared" si="1073"/>
        <v>Digital Payment</v>
      </c>
      <c r="P13736">
        <v>468.9</v>
      </c>
      <c r="Q13736" s="37" t="str">
        <f>IF(P13736&gt;500,"High","low")</f>
        <v>low</v>
      </c>
      <c r="R13736" s="37" t="str">
        <f t="shared" si="1074"/>
        <v>AVERAGE</v>
      </c>
      <c r="S13736" t="s">
        <v>628</v>
      </c>
    </row>
    <row r="13737" spans="1:19" x14ac:dyDescent="0.2">
      <c r="A13737" t="s">
        <v>14348</v>
      </c>
      <c r="B13737" t="s">
        <v>83</v>
      </c>
      <c r="C13737" t="s">
        <v>607</v>
      </c>
      <c r="D13737">
        <v>3452.84</v>
      </c>
      <c r="E13737" s="37" t="str">
        <f t="shared" si="1070"/>
        <v xml:space="preserve"> </v>
      </c>
      <c r="F13737">
        <v>0.47</v>
      </c>
      <c r="G13737" s="37" t="str">
        <f t="shared" si="1071"/>
        <v>Heavy Discount</v>
      </c>
      <c r="H13737" s="37" t="str">
        <f t="shared" si="1072"/>
        <v>High</v>
      </c>
      <c r="I13737">
        <v>1</v>
      </c>
      <c r="J13737" t="str" cm="1">
        <f t="array" ref="J13737">_xlfn.IFS(I13737&lt;=3,"small",I13737&lt;=6,"Medium",I13737&lt;=9,"Large")</f>
        <v>small</v>
      </c>
      <c r="K13737" s="36">
        <v>45278</v>
      </c>
      <c r="L13737" s="36">
        <v>45285</v>
      </c>
      <c r="M13737" t="s">
        <v>612</v>
      </c>
      <c r="N13737" t="s">
        <v>608</v>
      </c>
      <c r="O13737" s="37" t="str">
        <f t="shared" si="1073"/>
        <v>Cash Payment</v>
      </c>
      <c r="P13737">
        <v>794.71</v>
      </c>
      <c r="Q13737" s="37" t="str">
        <f>IF(P13737&gt;500,"High","low")</f>
        <v>High</v>
      </c>
      <c r="R13737" s="37" t="str">
        <f t="shared" si="1074"/>
        <v>Good</v>
      </c>
      <c r="S13737" t="s">
        <v>609</v>
      </c>
    </row>
    <row r="13738" spans="1:19" x14ac:dyDescent="0.2">
      <c r="A13738" t="s">
        <v>14349</v>
      </c>
      <c r="B13738" t="s">
        <v>67</v>
      </c>
      <c r="C13738" t="s">
        <v>597</v>
      </c>
      <c r="D13738">
        <v>3704.74</v>
      </c>
      <c r="E13738" s="37" t="str">
        <f t="shared" si="1070"/>
        <v xml:space="preserve"> </v>
      </c>
      <c r="F13738">
        <v>0.05</v>
      </c>
      <c r="G13738" s="37" t="str">
        <f t="shared" si="1071"/>
        <v>Normal Discount</v>
      </c>
      <c r="H13738" s="37" t="str">
        <f t="shared" si="1072"/>
        <v>Low</v>
      </c>
      <c r="I13738">
        <v>7</v>
      </c>
      <c r="J13738" t="str" cm="1">
        <f t="array" ref="J13738">_xlfn.IFS(I13738&lt;=3,"small",I13738&lt;=6,"Medium",I13738&lt;=9,"Large")</f>
        <v>Large</v>
      </c>
      <c r="K13738" s="36">
        <v>45513</v>
      </c>
      <c r="L13738" s="36">
        <v>45517</v>
      </c>
      <c r="M13738" t="s">
        <v>603</v>
      </c>
      <c r="N13738" t="s">
        <v>608</v>
      </c>
      <c r="O13738" s="37" t="str">
        <f t="shared" si="1073"/>
        <v>Cash Payment</v>
      </c>
      <c r="P13738">
        <v>942.36</v>
      </c>
      <c r="Q13738" s="37" t="str">
        <f>IF(P13738&gt;500,"High","low")</f>
        <v>High</v>
      </c>
      <c r="R13738" s="37" t="str">
        <f t="shared" si="1074"/>
        <v>Good</v>
      </c>
      <c r="S13738" t="s">
        <v>605</v>
      </c>
    </row>
    <row r="13739" spans="1:19" x14ac:dyDescent="0.2">
      <c r="A13739" t="s">
        <v>14350</v>
      </c>
      <c r="B13739" t="s">
        <v>75</v>
      </c>
      <c r="C13739" t="s">
        <v>602</v>
      </c>
      <c r="D13739">
        <v>1844.17</v>
      </c>
      <c r="E13739" s="37" t="str">
        <f t="shared" si="1070"/>
        <v xml:space="preserve"> </v>
      </c>
      <c r="F13739">
        <v>0.36</v>
      </c>
      <c r="G13739" s="37" t="str">
        <f t="shared" si="1071"/>
        <v>Heavy Discount</v>
      </c>
      <c r="H13739" s="37" t="str">
        <f t="shared" si="1072"/>
        <v>Medium</v>
      </c>
      <c r="I13739">
        <v>1</v>
      </c>
      <c r="J13739" t="str" cm="1">
        <f t="array" ref="J13739">_xlfn.IFS(I13739&lt;=3,"small",I13739&lt;=6,"Medium",I13739&lt;=9,"Large")</f>
        <v>small</v>
      </c>
      <c r="K13739" s="36">
        <v>45105</v>
      </c>
      <c r="L13739" s="36">
        <v>45108</v>
      </c>
      <c r="M13739" t="s">
        <v>598</v>
      </c>
      <c r="N13739" t="s">
        <v>604</v>
      </c>
      <c r="O13739" s="37" t="str">
        <f t="shared" si="1073"/>
        <v>Digital Payment</v>
      </c>
      <c r="P13739">
        <v>490.15</v>
      </c>
      <c r="Q13739" s="37" t="str">
        <f>IF(P13739&gt;500,"High","low")</f>
        <v>low</v>
      </c>
      <c r="R13739" s="37" t="str">
        <f t="shared" si="1074"/>
        <v>AVERAGE</v>
      </c>
      <c r="S13739" t="s">
        <v>620</v>
      </c>
    </row>
    <row r="13740" spans="1:19" x14ac:dyDescent="0.2">
      <c r="A13740" t="s">
        <v>14351</v>
      </c>
      <c r="B13740" t="s">
        <v>67</v>
      </c>
      <c r="C13740" t="s">
        <v>602</v>
      </c>
      <c r="D13740">
        <v>133.01</v>
      </c>
      <c r="E13740" s="37" t="str">
        <f t="shared" si="1070"/>
        <v xml:space="preserve"> </v>
      </c>
      <c r="F13740">
        <v>0.35</v>
      </c>
      <c r="G13740" s="37" t="str">
        <f t="shared" si="1071"/>
        <v>Heavy Discount</v>
      </c>
      <c r="H13740" s="37" t="str">
        <f t="shared" si="1072"/>
        <v>Medium</v>
      </c>
      <c r="I13740">
        <v>1</v>
      </c>
      <c r="J13740" t="str" cm="1">
        <f t="array" ref="J13740">_xlfn.IFS(I13740&lt;=3,"small",I13740&lt;=6,"Medium",I13740&lt;=9,"Large")</f>
        <v>small</v>
      </c>
      <c r="K13740" s="36">
        <v>45313</v>
      </c>
      <c r="L13740" s="36">
        <v>45316</v>
      </c>
      <c r="M13740" t="s">
        <v>603</v>
      </c>
      <c r="N13740" t="s">
        <v>608</v>
      </c>
      <c r="O13740" s="37" t="str">
        <f t="shared" si="1073"/>
        <v>Cash Payment</v>
      </c>
      <c r="P13740">
        <v>23.59</v>
      </c>
      <c r="Q13740" s="37" t="str">
        <f>IF(P13740&gt;500,"High","low")</f>
        <v>low</v>
      </c>
      <c r="R13740" s="37" t="str">
        <f t="shared" si="1074"/>
        <v>AVERAGE</v>
      </c>
      <c r="S13740" t="s">
        <v>600</v>
      </c>
    </row>
    <row r="13741" spans="1:19" x14ac:dyDescent="0.2">
      <c r="A13741" t="s">
        <v>14352</v>
      </c>
      <c r="B13741" t="s">
        <v>75</v>
      </c>
      <c r="C13741" t="s">
        <v>607</v>
      </c>
      <c r="D13741">
        <v>133.63999999999999</v>
      </c>
      <c r="E13741" s="37" t="str">
        <f t="shared" si="1070"/>
        <v xml:space="preserve"> </v>
      </c>
      <c r="F13741">
        <v>0.06</v>
      </c>
      <c r="G13741" s="37" t="str">
        <f t="shared" si="1071"/>
        <v>Normal Discount</v>
      </c>
      <c r="H13741" s="37" t="str">
        <f t="shared" si="1072"/>
        <v>Low</v>
      </c>
      <c r="I13741">
        <v>5</v>
      </c>
      <c r="J13741" t="str" cm="1">
        <f t="array" ref="J13741">_xlfn.IFS(I13741&lt;=3,"small",I13741&lt;=6,"Medium",I13741&lt;=9,"Large")</f>
        <v>Medium</v>
      </c>
      <c r="K13741" s="36">
        <v>45290</v>
      </c>
      <c r="L13741" s="36">
        <v>45291</v>
      </c>
      <c r="M13741" t="s">
        <v>603</v>
      </c>
      <c r="N13741" t="s">
        <v>608</v>
      </c>
      <c r="O13741" s="37" t="str">
        <f t="shared" si="1073"/>
        <v>Cash Payment</v>
      </c>
      <c r="P13741">
        <v>36.22</v>
      </c>
      <c r="Q13741" s="37" t="str">
        <f>IF(P13741&gt;500,"High","low")</f>
        <v>low</v>
      </c>
      <c r="R13741" s="37" t="str">
        <f t="shared" si="1074"/>
        <v>AVERAGE</v>
      </c>
      <c r="S13741" t="s">
        <v>628</v>
      </c>
    </row>
    <row r="13742" spans="1:19" x14ac:dyDescent="0.2">
      <c r="A13742" t="s">
        <v>14353</v>
      </c>
      <c r="B13742" t="s">
        <v>90</v>
      </c>
      <c r="C13742" t="s">
        <v>614</v>
      </c>
      <c r="D13742">
        <v>2736.79</v>
      </c>
      <c r="E13742" s="37" t="str">
        <f t="shared" si="1070"/>
        <v xml:space="preserve"> </v>
      </c>
      <c r="F13742">
        <v>0.5</v>
      </c>
      <c r="G13742" s="37" t="str">
        <f t="shared" si="1071"/>
        <v>Heavy Discount</v>
      </c>
      <c r="H13742" s="37" t="str">
        <f t="shared" si="1072"/>
        <v>High</v>
      </c>
      <c r="I13742">
        <v>5</v>
      </c>
      <c r="J13742" t="str" cm="1">
        <f t="array" ref="J13742">_xlfn.IFS(I13742&lt;=3,"small",I13742&lt;=6,"Medium",I13742&lt;=9,"Large")</f>
        <v>Medium</v>
      </c>
      <c r="K13742" s="36">
        <v>45558</v>
      </c>
      <c r="L13742" s="36">
        <v>45559</v>
      </c>
      <c r="M13742" t="s">
        <v>598</v>
      </c>
      <c r="N13742" t="s">
        <v>608</v>
      </c>
      <c r="O13742" s="37" t="str">
        <f t="shared" si="1073"/>
        <v>Cash Payment</v>
      </c>
      <c r="P13742">
        <v>544.14</v>
      </c>
      <c r="Q13742" s="37" t="str">
        <f>IF(P13742&gt;500,"High","low")</f>
        <v>High</v>
      </c>
      <c r="R13742" s="37" t="str">
        <f t="shared" si="1074"/>
        <v>Good</v>
      </c>
      <c r="S13742" t="s">
        <v>600</v>
      </c>
    </row>
    <row r="13743" spans="1:19" x14ac:dyDescent="0.2">
      <c r="A13743" t="s">
        <v>14354</v>
      </c>
      <c r="B13743" t="s">
        <v>75</v>
      </c>
      <c r="C13743" t="s">
        <v>607</v>
      </c>
      <c r="D13743">
        <v>2802.28</v>
      </c>
      <c r="E13743" s="37" t="str">
        <f t="shared" si="1070"/>
        <v xml:space="preserve"> </v>
      </c>
      <c r="F13743">
        <v>0.02</v>
      </c>
      <c r="G13743" s="37" t="str">
        <f t="shared" si="1071"/>
        <v>Normal Discount</v>
      </c>
      <c r="H13743" s="37" t="str">
        <f t="shared" si="1072"/>
        <v>Low</v>
      </c>
      <c r="I13743">
        <v>2</v>
      </c>
      <c r="J13743" t="str" cm="1">
        <f t="array" ref="J13743">_xlfn.IFS(I13743&lt;=3,"small",I13743&lt;=6,"Medium",I13743&lt;=9,"Large")</f>
        <v>small</v>
      </c>
      <c r="K13743" s="36">
        <v>45303</v>
      </c>
      <c r="L13743" s="36">
        <v>45306</v>
      </c>
      <c r="M13743" t="s">
        <v>598</v>
      </c>
      <c r="N13743" t="s">
        <v>608</v>
      </c>
      <c r="O13743" s="37" t="str">
        <f t="shared" si="1073"/>
        <v>Cash Payment</v>
      </c>
      <c r="P13743">
        <v>812.8</v>
      </c>
      <c r="Q13743" s="37" t="str">
        <f>IF(P13743&gt;500,"High","low")</f>
        <v>High</v>
      </c>
      <c r="R13743" s="37" t="str">
        <f t="shared" si="1074"/>
        <v>Good</v>
      </c>
      <c r="S13743" t="s">
        <v>609</v>
      </c>
    </row>
    <row r="13744" spans="1:19" x14ac:dyDescent="0.2">
      <c r="A13744" t="s">
        <v>14355</v>
      </c>
      <c r="B13744" t="s">
        <v>75</v>
      </c>
      <c r="C13744" t="s">
        <v>607</v>
      </c>
      <c r="D13744">
        <v>2823.03</v>
      </c>
      <c r="E13744" s="37" t="str">
        <f t="shared" si="1070"/>
        <v xml:space="preserve"> </v>
      </c>
      <c r="F13744">
        <v>0.18</v>
      </c>
      <c r="G13744" s="37" t="str">
        <f t="shared" si="1071"/>
        <v>Normal Discount</v>
      </c>
      <c r="H13744" s="37" t="str">
        <f t="shared" si="1072"/>
        <v>Low</v>
      </c>
      <c r="I13744">
        <v>7</v>
      </c>
      <c r="J13744" t="str" cm="1">
        <f t="array" ref="J13744">_xlfn.IFS(I13744&lt;=3,"small",I13744&lt;=6,"Medium",I13744&lt;=9,"Large")</f>
        <v>Large</v>
      </c>
      <c r="K13744" s="36">
        <v>45499</v>
      </c>
      <c r="L13744" s="36">
        <v>45500</v>
      </c>
      <c r="M13744" t="s">
        <v>612</v>
      </c>
      <c r="N13744" t="s">
        <v>608</v>
      </c>
      <c r="O13744" s="37" t="str">
        <f t="shared" si="1073"/>
        <v>Cash Payment</v>
      </c>
      <c r="P13744">
        <v>444.32</v>
      </c>
      <c r="Q13744" s="37" t="str">
        <f>IF(P13744&gt;500,"High","low")</f>
        <v>low</v>
      </c>
      <c r="R13744" s="37" t="str">
        <f t="shared" si="1074"/>
        <v>AVERAGE</v>
      </c>
      <c r="S13744" t="s">
        <v>615</v>
      </c>
    </row>
    <row r="13745" spans="1:19" x14ac:dyDescent="0.2">
      <c r="A13745" t="s">
        <v>14356</v>
      </c>
      <c r="B13745" t="s">
        <v>90</v>
      </c>
      <c r="C13745" t="s">
        <v>597</v>
      </c>
      <c r="D13745">
        <v>3636.59</v>
      </c>
      <c r="E13745" s="37" t="str">
        <f t="shared" si="1070"/>
        <v xml:space="preserve"> </v>
      </c>
      <c r="F13745">
        <v>0.21</v>
      </c>
      <c r="G13745" s="37" t="str">
        <f t="shared" si="1071"/>
        <v>Normal Discount</v>
      </c>
      <c r="H13745" s="37" t="str">
        <f t="shared" si="1072"/>
        <v>Medium</v>
      </c>
      <c r="I13745">
        <v>3</v>
      </c>
      <c r="J13745" t="str" cm="1">
        <f t="array" ref="J13745">_xlfn.IFS(I13745&lt;=3,"small",I13745&lt;=6,"Medium",I13745&lt;=9,"Large")</f>
        <v>small</v>
      </c>
      <c r="K13745" s="36">
        <v>45206</v>
      </c>
      <c r="L13745" s="36">
        <v>45207</v>
      </c>
      <c r="M13745" t="s">
        <v>612</v>
      </c>
      <c r="N13745" t="s">
        <v>599</v>
      </c>
      <c r="O13745" s="37" t="str">
        <f t="shared" si="1073"/>
        <v>Digital Payment</v>
      </c>
      <c r="P13745">
        <v>889.14</v>
      </c>
      <c r="Q13745" s="37" t="str">
        <f>IF(P13745&gt;500,"High","low")</f>
        <v>High</v>
      </c>
      <c r="R13745" s="37" t="str">
        <f t="shared" si="1074"/>
        <v>Good</v>
      </c>
      <c r="S13745" t="s">
        <v>615</v>
      </c>
    </row>
    <row r="13746" spans="1:19" x14ac:dyDescent="0.2">
      <c r="A13746" t="s">
        <v>14357</v>
      </c>
      <c r="B13746" t="s">
        <v>75</v>
      </c>
      <c r="C13746" t="s">
        <v>617</v>
      </c>
      <c r="D13746">
        <v>4614.22</v>
      </c>
      <c r="E13746" s="37" t="str">
        <f t="shared" si="1070"/>
        <v xml:space="preserve"> </v>
      </c>
      <c r="F13746">
        <v>0.4</v>
      </c>
      <c r="G13746" s="37" t="str">
        <f t="shared" si="1071"/>
        <v>Heavy Discount</v>
      </c>
      <c r="H13746" s="37" t="str">
        <f t="shared" si="1072"/>
        <v>Medium</v>
      </c>
      <c r="I13746">
        <v>1</v>
      </c>
      <c r="J13746" t="str" cm="1">
        <f t="array" ref="J13746">_xlfn.IFS(I13746&lt;=3,"small",I13746&lt;=6,"Medium",I13746&lt;=9,"Large")</f>
        <v>small</v>
      </c>
      <c r="K13746" s="36">
        <v>45586</v>
      </c>
      <c r="L13746" s="36">
        <v>45589</v>
      </c>
      <c r="M13746" t="s">
        <v>598</v>
      </c>
      <c r="N13746" t="s">
        <v>608</v>
      </c>
      <c r="O13746" s="37" t="str">
        <f t="shared" si="1073"/>
        <v>Cash Payment</v>
      </c>
      <c r="P13746">
        <v>634.77</v>
      </c>
      <c r="Q13746" s="37" t="str">
        <f>IF(P13746&gt;500,"High","low")</f>
        <v>High</v>
      </c>
      <c r="R13746" s="37" t="str">
        <f t="shared" si="1074"/>
        <v>Good</v>
      </c>
      <c r="S13746" t="s">
        <v>615</v>
      </c>
    </row>
    <row r="13747" spans="1:19" x14ac:dyDescent="0.2">
      <c r="A13747" t="s">
        <v>14358</v>
      </c>
      <c r="B13747" t="s">
        <v>67</v>
      </c>
      <c r="C13747" t="s">
        <v>614</v>
      </c>
      <c r="D13747">
        <v>4951.83</v>
      </c>
      <c r="E13747" s="37" t="str">
        <f t="shared" si="1070"/>
        <v xml:space="preserve"> </v>
      </c>
      <c r="F13747">
        <v>0.01</v>
      </c>
      <c r="G13747" s="37" t="str">
        <f t="shared" si="1071"/>
        <v>Normal Discount</v>
      </c>
      <c r="H13747" s="37" t="str">
        <f t="shared" si="1072"/>
        <v>Low</v>
      </c>
      <c r="I13747">
        <v>7</v>
      </c>
      <c r="J13747" t="str" cm="1">
        <f t="array" ref="J13747">_xlfn.IFS(I13747&lt;=3,"small",I13747&lt;=6,"Medium",I13747&lt;=9,"Large")</f>
        <v>Large</v>
      </c>
      <c r="K13747" s="36">
        <v>45000</v>
      </c>
      <c r="L13747" s="36">
        <v>45005</v>
      </c>
      <c r="M13747" t="s">
        <v>603</v>
      </c>
      <c r="N13747" t="s">
        <v>608</v>
      </c>
      <c r="O13747" s="37" t="str">
        <f t="shared" si="1073"/>
        <v>Cash Payment</v>
      </c>
      <c r="P13747">
        <v>405.75</v>
      </c>
      <c r="Q13747" s="37" t="str">
        <f>IF(P13747&gt;500,"High","low")</f>
        <v>low</v>
      </c>
      <c r="R13747" s="37" t="str">
        <f t="shared" si="1074"/>
        <v>AVERAGE</v>
      </c>
      <c r="S13747" t="s">
        <v>609</v>
      </c>
    </row>
    <row r="13748" spans="1:19" x14ac:dyDescent="0.2">
      <c r="A13748" t="s">
        <v>14359</v>
      </c>
      <c r="B13748" t="s">
        <v>83</v>
      </c>
      <c r="C13748" t="s">
        <v>602</v>
      </c>
      <c r="D13748">
        <v>3535.23</v>
      </c>
      <c r="E13748" s="37" t="str">
        <f t="shared" si="1070"/>
        <v xml:space="preserve"> </v>
      </c>
      <c r="F13748">
        <v>0.28000000000000003</v>
      </c>
      <c r="G13748" s="37" t="str">
        <f t="shared" si="1071"/>
        <v>Normal Discount</v>
      </c>
      <c r="H13748" s="37" t="str">
        <f t="shared" si="1072"/>
        <v>Medium</v>
      </c>
      <c r="I13748">
        <v>4</v>
      </c>
      <c r="J13748" t="str" cm="1">
        <f t="array" ref="J13748">_xlfn.IFS(I13748&lt;=3,"small",I13748&lt;=6,"Medium",I13748&lt;=9,"Large")</f>
        <v>Medium</v>
      </c>
      <c r="K13748" s="36">
        <v>45653</v>
      </c>
      <c r="L13748" s="36">
        <v>45659</v>
      </c>
      <c r="M13748" t="s">
        <v>612</v>
      </c>
      <c r="N13748" t="s">
        <v>599</v>
      </c>
      <c r="O13748" s="37" t="str">
        <f t="shared" si="1073"/>
        <v>Digital Payment</v>
      </c>
      <c r="P13748">
        <v>939.62</v>
      </c>
      <c r="Q13748" s="37" t="str">
        <f>IF(P13748&gt;500,"High","low")</f>
        <v>High</v>
      </c>
      <c r="R13748" s="37" t="str">
        <f t="shared" si="1074"/>
        <v>Good</v>
      </c>
      <c r="S13748" t="s">
        <v>628</v>
      </c>
    </row>
    <row r="13749" spans="1:19" x14ac:dyDescent="0.2">
      <c r="A13749" t="s">
        <v>14360</v>
      </c>
      <c r="B13749" t="s">
        <v>83</v>
      </c>
      <c r="C13749" t="s">
        <v>602</v>
      </c>
      <c r="D13749">
        <v>2618.59</v>
      </c>
      <c r="E13749" s="37" t="str">
        <f t="shared" si="1070"/>
        <v xml:space="preserve"> </v>
      </c>
      <c r="F13749">
        <v>0.1</v>
      </c>
      <c r="G13749" s="37" t="str">
        <f t="shared" si="1071"/>
        <v>Normal Discount</v>
      </c>
      <c r="H13749" s="37" t="str">
        <f t="shared" si="1072"/>
        <v>Low</v>
      </c>
      <c r="I13749">
        <v>4</v>
      </c>
      <c r="J13749" t="str" cm="1">
        <f t="array" ref="J13749">_xlfn.IFS(I13749&lt;=3,"small",I13749&lt;=6,"Medium",I13749&lt;=9,"Large")</f>
        <v>Medium</v>
      </c>
      <c r="K13749" s="36">
        <v>45426</v>
      </c>
      <c r="L13749" s="36">
        <v>45433</v>
      </c>
      <c r="M13749" t="s">
        <v>603</v>
      </c>
      <c r="N13749" t="s">
        <v>604</v>
      </c>
      <c r="O13749" s="37" t="str">
        <f t="shared" si="1073"/>
        <v>Digital Payment</v>
      </c>
      <c r="P13749">
        <v>588.4</v>
      </c>
      <c r="Q13749" s="37" t="str">
        <f>IF(P13749&gt;500,"High","low")</f>
        <v>High</v>
      </c>
      <c r="R13749" s="37" t="str">
        <f t="shared" si="1074"/>
        <v>Good</v>
      </c>
      <c r="S13749" t="s">
        <v>620</v>
      </c>
    </row>
    <row r="13750" spans="1:19" x14ac:dyDescent="0.2">
      <c r="A13750" t="s">
        <v>14361</v>
      </c>
      <c r="B13750" t="s">
        <v>67</v>
      </c>
      <c r="C13750" t="s">
        <v>607</v>
      </c>
      <c r="D13750">
        <v>790.87</v>
      </c>
      <c r="E13750" s="37" t="str">
        <f t="shared" si="1070"/>
        <v xml:space="preserve"> </v>
      </c>
      <c r="F13750">
        <v>0.28999999999999998</v>
      </c>
      <c r="G13750" s="37" t="str">
        <f t="shared" si="1071"/>
        <v>Normal Discount</v>
      </c>
      <c r="H13750" s="37" t="str">
        <f t="shared" si="1072"/>
        <v>Medium</v>
      </c>
      <c r="I13750">
        <v>3</v>
      </c>
      <c r="J13750" t="str" cm="1">
        <f t="array" ref="J13750">_xlfn.IFS(I13750&lt;=3,"small",I13750&lt;=6,"Medium",I13750&lt;=9,"Large")</f>
        <v>small</v>
      </c>
      <c r="K13750" s="36">
        <v>45416</v>
      </c>
      <c r="L13750" s="36">
        <v>45419</v>
      </c>
      <c r="M13750" t="s">
        <v>603</v>
      </c>
      <c r="N13750" t="s">
        <v>608</v>
      </c>
      <c r="O13750" s="37" t="str">
        <f t="shared" si="1073"/>
        <v>Cash Payment</v>
      </c>
      <c r="P13750">
        <v>154.74</v>
      </c>
      <c r="Q13750" s="37" t="str">
        <f>IF(P13750&gt;500,"High","low")</f>
        <v>low</v>
      </c>
      <c r="R13750" s="37" t="str">
        <f t="shared" si="1074"/>
        <v>AVERAGE</v>
      </c>
      <c r="S13750" t="s">
        <v>615</v>
      </c>
    </row>
    <row r="13751" spans="1:19" x14ac:dyDescent="0.2">
      <c r="A13751" t="s">
        <v>14362</v>
      </c>
      <c r="B13751" t="s">
        <v>90</v>
      </c>
      <c r="C13751" t="s">
        <v>607</v>
      </c>
      <c r="D13751">
        <v>1982.46</v>
      </c>
      <c r="E13751" s="37" t="str">
        <f t="shared" si="1070"/>
        <v xml:space="preserve"> </v>
      </c>
      <c r="F13751">
        <v>0.32</v>
      </c>
      <c r="G13751" s="37" t="str">
        <f t="shared" si="1071"/>
        <v>Heavy Discount</v>
      </c>
      <c r="H13751" s="37" t="str">
        <f t="shared" si="1072"/>
        <v>Medium</v>
      </c>
      <c r="I13751">
        <v>7</v>
      </c>
      <c r="J13751" t="str" cm="1">
        <f t="array" ref="J13751">_xlfn.IFS(I13751&lt;=3,"small",I13751&lt;=6,"Medium",I13751&lt;=9,"Large")</f>
        <v>Large</v>
      </c>
      <c r="K13751" s="36">
        <v>45023</v>
      </c>
      <c r="L13751" s="36">
        <v>45030</v>
      </c>
      <c r="M13751" t="s">
        <v>598</v>
      </c>
      <c r="N13751" t="s">
        <v>608</v>
      </c>
      <c r="O13751" s="37" t="str">
        <f t="shared" si="1073"/>
        <v>Cash Payment</v>
      </c>
      <c r="P13751">
        <v>570.33000000000004</v>
      </c>
      <c r="Q13751" s="37" t="str">
        <f>IF(P13751&gt;500,"High","low")</f>
        <v>High</v>
      </c>
      <c r="R13751" s="37" t="str">
        <f t="shared" si="1074"/>
        <v>Good</v>
      </c>
      <c r="S13751" t="s">
        <v>628</v>
      </c>
    </row>
    <row r="13752" spans="1:19" x14ac:dyDescent="0.2">
      <c r="A13752" t="s">
        <v>14363</v>
      </c>
      <c r="B13752" t="s">
        <v>75</v>
      </c>
      <c r="C13752" t="s">
        <v>607</v>
      </c>
      <c r="D13752">
        <v>2905.04</v>
      </c>
      <c r="E13752" s="37" t="str">
        <f t="shared" si="1070"/>
        <v xml:space="preserve"> </v>
      </c>
      <c r="F13752">
        <v>0.02</v>
      </c>
      <c r="G13752" s="37" t="str">
        <f t="shared" si="1071"/>
        <v>Normal Discount</v>
      </c>
      <c r="H13752" s="37" t="str">
        <f t="shared" si="1072"/>
        <v>Low</v>
      </c>
      <c r="I13752">
        <v>2</v>
      </c>
      <c r="J13752" t="str" cm="1">
        <f t="array" ref="J13752">_xlfn.IFS(I13752&lt;=3,"small",I13752&lt;=6,"Medium",I13752&lt;=9,"Large")</f>
        <v>small</v>
      </c>
      <c r="K13752" s="36">
        <v>44961</v>
      </c>
      <c r="L13752" s="36">
        <v>44962</v>
      </c>
      <c r="M13752" t="s">
        <v>612</v>
      </c>
      <c r="N13752" t="s">
        <v>608</v>
      </c>
      <c r="O13752" s="37" t="str">
        <f t="shared" si="1073"/>
        <v>Cash Payment</v>
      </c>
      <c r="P13752">
        <v>717.96</v>
      </c>
      <c r="Q13752" s="37" t="str">
        <f>IF(P13752&gt;500,"High","low")</f>
        <v>High</v>
      </c>
      <c r="R13752" s="37" t="str">
        <f t="shared" si="1074"/>
        <v>Good</v>
      </c>
      <c r="S13752" t="s">
        <v>620</v>
      </c>
    </row>
    <row r="13753" spans="1:19" x14ac:dyDescent="0.2">
      <c r="A13753" t="s">
        <v>14364</v>
      </c>
      <c r="B13753" t="s">
        <v>67</v>
      </c>
      <c r="C13753" t="s">
        <v>614</v>
      </c>
      <c r="D13753">
        <v>4999.0600000000004</v>
      </c>
      <c r="E13753" s="37" t="str">
        <f t="shared" si="1070"/>
        <v xml:space="preserve"> </v>
      </c>
      <c r="F13753">
        <v>0.03</v>
      </c>
      <c r="G13753" s="37" t="str">
        <f t="shared" si="1071"/>
        <v>Normal Discount</v>
      </c>
      <c r="H13753" s="37" t="str">
        <f t="shared" si="1072"/>
        <v>Low</v>
      </c>
      <c r="I13753">
        <v>7</v>
      </c>
      <c r="J13753" t="str" cm="1">
        <f t="array" ref="J13753">_xlfn.IFS(I13753&lt;=3,"small",I13753&lt;=6,"Medium",I13753&lt;=9,"Large")</f>
        <v>Large</v>
      </c>
      <c r="K13753" s="36">
        <v>45516</v>
      </c>
      <c r="L13753" s="36">
        <v>45523</v>
      </c>
      <c r="M13753" t="s">
        <v>612</v>
      </c>
      <c r="N13753" t="s">
        <v>599</v>
      </c>
      <c r="O13753" s="37" t="str">
        <f t="shared" si="1073"/>
        <v>Digital Payment</v>
      </c>
      <c r="P13753">
        <v>340.23</v>
      </c>
      <c r="Q13753" s="37" t="str">
        <f>IF(P13753&gt;500,"High","low")</f>
        <v>low</v>
      </c>
      <c r="R13753" s="37" t="str">
        <f t="shared" si="1074"/>
        <v>AVERAGE</v>
      </c>
      <c r="S13753" t="s">
        <v>605</v>
      </c>
    </row>
    <row r="13754" spans="1:19" x14ac:dyDescent="0.2">
      <c r="A13754" t="s">
        <v>14365</v>
      </c>
      <c r="B13754" t="s">
        <v>83</v>
      </c>
      <c r="C13754" t="s">
        <v>607</v>
      </c>
      <c r="D13754">
        <v>722.21</v>
      </c>
      <c r="E13754" s="37" t="str">
        <f t="shared" si="1070"/>
        <v xml:space="preserve"> </v>
      </c>
      <c r="F13754">
        <v>0.04</v>
      </c>
      <c r="G13754" s="37" t="str">
        <f t="shared" si="1071"/>
        <v>Normal Discount</v>
      </c>
      <c r="H13754" s="37" t="str">
        <f t="shared" si="1072"/>
        <v>Low</v>
      </c>
      <c r="I13754">
        <v>8</v>
      </c>
      <c r="J13754" t="str" cm="1">
        <f t="array" ref="J13754">_xlfn.IFS(I13754&lt;=3,"small",I13754&lt;=6,"Medium",I13754&lt;=9,"Large")</f>
        <v>Large</v>
      </c>
      <c r="K13754" s="36">
        <v>45427</v>
      </c>
      <c r="L13754" s="36">
        <v>45432</v>
      </c>
      <c r="M13754" t="s">
        <v>598</v>
      </c>
      <c r="N13754" t="s">
        <v>608</v>
      </c>
      <c r="O13754" s="37" t="str">
        <f t="shared" si="1073"/>
        <v>Cash Payment</v>
      </c>
      <c r="P13754">
        <v>43.87</v>
      </c>
      <c r="Q13754" s="37" t="str">
        <f>IF(P13754&gt;500,"High","low")</f>
        <v>low</v>
      </c>
      <c r="R13754" s="37" t="str">
        <f t="shared" si="1074"/>
        <v>AVERAGE</v>
      </c>
      <c r="S13754" t="s">
        <v>620</v>
      </c>
    </row>
    <row r="13755" spans="1:19" x14ac:dyDescent="0.2">
      <c r="A13755" t="s">
        <v>14366</v>
      </c>
      <c r="B13755" t="s">
        <v>83</v>
      </c>
      <c r="C13755" t="s">
        <v>607</v>
      </c>
      <c r="D13755">
        <v>3986.07</v>
      </c>
      <c r="E13755" s="37" t="str">
        <f t="shared" si="1070"/>
        <v xml:space="preserve"> </v>
      </c>
      <c r="F13755">
        <v>0.43</v>
      </c>
      <c r="G13755" s="37" t="str">
        <f t="shared" si="1071"/>
        <v>Heavy Discount</v>
      </c>
      <c r="H13755" s="37" t="str">
        <f t="shared" si="1072"/>
        <v>High</v>
      </c>
      <c r="I13755">
        <v>2</v>
      </c>
      <c r="J13755" t="str" cm="1">
        <f t="array" ref="J13755">_xlfn.IFS(I13755&lt;=3,"small",I13755&lt;=6,"Medium",I13755&lt;=9,"Large")</f>
        <v>small</v>
      </c>
      <c r="K13755" s="36">
        <v>45212</v>
      </c>
      <c r="L13755" s="36">
        <v>45213</v>
      </c>
      <c r="M13755" t="s">
        <v>612</v>
      </c>
      <c r="N13755" t="s">
        <v>599</v>
      </c>
      <c r="O13755" s="37" t="str">
        <f t="shared" si="1073"/>
        <v>Digital Payment</v>
      </c>
      <c r="P13755">
        <v>774.43</v>
      </c>
      <c r="Q13755" s="37" t="str">
        <f>IF(P13755&gt;500,"High","low")</f>
        <v>High</v>
      </c>
      <c r="R13755" s="37" t="str">
        <f t="shared" si="1074"/>
        <v>Good</v>
      </c>
      <c r="S13755" t="s">
        <v>605</v>
      </c>
    </row>
    <row r="13756" spans="1:19" x14ac:dyDescent="0.2">
      <c r="A13756" t="s">
        <v>14367</v>
      </c>
      <c r="B13756" t="s">
        <v>67</v>
      </c>
      <c r="C13756" t="s">
        <v>617</v>
      </c>
      <c r="D13756">
        <v>4994.8100000000004</v>
      </c>
      <c r="E13756" s="37" t="str">
        <f t="shared" si="1070"/>
        <v>Excellent Order</v>
      </c>
      <c r="F13756">
        <v>0.46</v>
      </c>
      <c r="G13756" s="37" t="str">
        <f t="shared" si="1071"/>
        <v>Heavy Discount</v>
      </c>
      <c r="H13756" s="37" t="str">
        <f t="shared" si="1072"/>
        <v>High</v>
      </c>
      <c r="I13756">
        <v>8</v>
      </c>
      <c r="J13756" t="str" cm="1">
        <f t="array" ref="J13756">_xlfn.IFS(I13756&lt;=3,"small",I13756&lt;=6,"Medium",I13756&lt;=9,"Large")</f>
        <v>Large</v>
      </c>
      <c r="K13756" s="36">
        <v>45009</v>
      </c>
      <c r="L13756" s="36">
        <v>45011</v>
      </c>
      <c r="M13756" t="s">
        <v>598</v>
      </c>
      <c r="N13756" t="s">
        <v>608</v>
      </c>
      <c r="O13756" s="37" t="str">
        <f t="shared" si="1073"/>
        <v>Cash Payment</v>
      </c>
      <c r="P13756">
        <v>819.35</v>
      </c>
      <c r="Q13756" s="37" t="str">
        <f>IF(P13756&gt;500,"High","low")</f>
        <v>High</v>
      </c>
      <c r="R13756" s="37" t="str">
        <f t="shared" si="1074"/>
        <v>Good</v>
      </c>
      <c r="S13756" t="s">
        <v>600</v>
      </c>
    </row>
    <row r="13757" spans="1:19" x14ac:dyDescent="0.2">
      <c r="A13757" t="s">
        <v>14368</v>
      </c>
      <c r="B13757" t="s">
        <v>83</v>
      </c>
      <c r="C13757" t="s">
        <v>614</v>
      </c>
      <c r="D13757">
        <v>4045.93</v>
      </c>
      <c r="E13757" s="37" t="str">
        <f t="shared" si="1070"/>
        <v xml:space="preserve"> </v>
      </c>
      <c r="F13757">
        <v>0.22</v>
      </c>
      <c r="G13757" s="37" t="str">
        <f t="shared" si="1071"/>
        <v>Normal Discount</v>
      </c>
      <c r="H13757" s="37" t="str">
        <f t="shared" si="1072"/>
        <v>Medium</v>
      </c>
      <c r="I13757">
        <v>7</v>
      </c>
      <c r="J13757" t="str" cm="1">
        <f t="array" ref="J13757">_xlfn.IFS(I13757&lt;=3,"small",I13757&lt;=6,"Medium",I13757&lt;=9,"Large")</f>
        <v>Large</v>
      </c>
      <c r="K13757" s="36">
        <v>44967</v>
      </c>
      <c r="L13757" s="36">
        <v>44968</v>
      </c>
      <c r="M13757" t="s">
        <v>598</v>
      </c>
      <c r="N13757" t="s">
        <v>604</v>
      </c>
      <c r="O13757" s="37" t="str">
        <f t="shared" si="1073"/>
        <v>Digital Payment</v>
      </c>
      <c r="P13757">
        <v>254.06</v>
      </c>
      <c r="Q13757" s="37" t="str">
        <f>IF(P13757&gt;500,"High","low")</f>
        <v>low</v>
      </c>
      <c r="R13757" s="37" t="str">
        <f t="shared" si="1074"/>
        <v>AVERAGE</v>
      </c>
      <c r="S13757" t="s">
        <v>620</v>
      </c>
    </row>
    <row r="13758" spans="1:19" x14ac:dyDescent="0.2">
      <c r="A13758" t="s">
        <v>14369</v>
      </c>
      <c r="B13758" t="s">
        <v>67</v>
      </c>
      <c r="C13758" t="s">
        <v>597</v>
      </c>
      <c r="D13758">
        <v>3859.01</v>
      </c>
      <c r="E13758" s="37" t="str">
        <f t="shared" si="1070"/>
        <v xml:space="preserve"> </v>
      </c>
      <c r="F13758">
        <v>0.44</v>
      </c>
      <c r="G13758" s="37" t="str">
        <f t="shared" si="1071"/>
        <v>Heavy Discount</v>
      </c>
      <c r="H13758" s="37" t="str">
        <f t="shared" si="1072"/>
        <v>High</v>
      </c>
      <c r="I13758">
        <v>8</v>
      </c>
      <c r="J13758" t="str" cm="1">
        <f t="array" ref="J13758">_xlfn.IFS(I13758&lt;=3,"small",I13758&lt;=6,"Medium",I13758&lt;=9,"Large")</f>
        <v>Large</v>
      </c>
      <c r="K13758" s="36">
        <v>45424</v>
      </c>
      <c r="L13758" s="36">
        <v>45428</v>
      </c>
      <c r="M13758" t="s">
        <v>598</v>
      </c>
      <c r="N13758" t="s">
        <v>599</v>
      </c>
      <c r="O13758" s="37" t="str">
        <f t="shared" si="1073"/>
        <v>Digital Payment</v>
      </c>
      <c r="P13758">
        <v>287.47000000000003</v>
      </c>
      <c r="Q13758" s="37" t="str">
        <f>IF(P13758&gt;500,"High","low")</f>
        <v>low</v>
      </c>
      <c r="R13758" s="37" t="str">
        <f t="shared" si="1074"/>
        <v>AVERAGE</v>
      </c>
      <c r="S13758" t="s">
        <v>628</v>
      </c>
    </row>
    <row r="13759" spans="1:19" x14ac:dyDescent="0.2">
      <c r="A13759" t="s">
        <v>14370</v>
      </c>
      <c r="B13759" t="s">
        <v>83</v>
      </c>
      <c r="C13759" t="s">
        <v>597</v>
      </c>
      <c r="D13759">
        <v>1367.54</v>
      </c>
      <c r="E13759" s="37" t="str">
        <f t="shared" si="1070"/>
        <v xml:space="preserve"> </v>
      </c>
      <c r="F13759">
        <v>0.24</v>
      </c>
      <c r="G13759" s="37" t="str">
        <f t="shared" si="1071"/>
        <v>Normal Discount</v>
      </c>
      <c r="H13759" s="37" t="str">
        <f t="shared" si="1072"/>
        <v>Medium</v>
      </c>
      <c r="I13759">
        <v>3</v>
      </c>
      <c r="J13759" t="str" cm="1">
        <f t="array" ref="J13759">_xlfn.IFS(I13759&lt;=3,"small",I13759&lt;=6,"Medium",I13759&lt;=9,"Large")</f>
        <v>small</v>
      </c>
      <c r="K13759" s="36">
        <v>45540</v>
      </c>
      <c r="L13759" s="36">
        <v>45544</v>
      </c>
      <c r="M13759" t="s">
        <v>603</v>
      </c>
      <c r="N13759" t="s">
        <v>604</v>
      </c>
      <c r="O13759" s="37" t="str">
        <f t="shared" si="1073"/>
        <v>Digital Payment</v>
      </c>
      <c r="P13759">
        <v>185.19</v>
      </c>
      <c r="Q13759" s="37" t="str">
        <f>IF(P13759&gt;500,"High","low")</f>
        <v>low</v>
      </c>
      <c r="R13759" s="37" t="str">
        <f t="shared" si="1074"/>
        <v>AVERAGE</v>
      </c>
      <c r="S13759" t="s">
        <v>620</v>
      </c>
    </row>
    <row r="13760" spans="1:19" x14ac:dyDescent="0.2">
      <c r="A13760" t="s">
        <v>14371</v>
      </c>
      <c r="B13760" t="s">
        <v>67</v>
      </c>
      <c r="C13760" t="s">
        <v>617</v>
      </c>
      <c r="D13760">
        <v>116.48</v>
      </c>
      <c r="E13760" s="37" t="str">
        <f t="shared" si="1070"/>
        <v xml:space="preserve"> </v>
      </c>
      <c r="F13760">
        <v>0.2</v>
      </c>
      <c r="G13760" s="37" t="str">
        <f t="shared" si="1071"/>
        <v>Normal Discount</v>
      </c>
      <c r="H13760" s="37" t="str">
        <f t="shared" si="1072"/>
        <v>Medium</v>
      </c>
      <c r="I13760">
        <v>6</v>
      </c>
      <c r="J13760" t="str" cm="1">
        <f t="array" ref="J13760">_xlfn.IFS(I13760&lt;=3,"small",I13760&lt;=6,"Medium",I13760&lt;=9,"Large")</f>
        <v>Medium</v>
      </c>
      <c r="K13760" s="36">
        <v>45615</v>
      </c>
      <c r="L13760" s="36">
        <v>45621</v>
      </c>
      <c r="M13760" t="s">
        <v>598</v>
      </c>
      <c r="N13760" t="s">
        <v>599</v>
      </c>
      <c r="O13760" s="37" t="str">
        <f t="shared" si="1073"/>
        <v>Digital Payment</v>
      </c>
      <c r="P13760">
        <v>18.27</v>
      </c>
      <c r="Q13760" s="37" t="str">
        <f>IF(P13760&gt;500,"High","low")</f>
        <v>low</v>
      </c>
      <c r="R13760" s="37" t="str">
        <f t="shared" si="1074"/>
        <v>AVERAGE</v>
      </c>
      <c r="S13760" t="s">
        <v>609</v>
      </c>
    </row>
    <row r="13761" spans="1:19" x14ac:dyDescent="0.2">
      <c r="A13761" t="s">
        <v>14372</v>
      </c>
      <c r="B13761" t="s">
        <v>75</v>
      </c>
      <c r="C13761" t="s">
        <v>602</v>
      </c>
      <c r="D13761">
        <v>1207.3399999999999</v>
      </c>
      <c r="E13761" s="37" t="str">
        <f t="shared" si="1070"/>
        <v xml:space="preserve"> </v>
      </c>
      <c r="F13761">
        <v>0.27</v>
      </c>
      <c r="G13761" s="37" t="str">
        <f t="shared" si="1071"/>
        <v>Normal Discount</v>
      </c>
      <c r="H13761" s="37" t="str">
        <f t="shared" si="1072"/>
        <v>Medium</v>
      </c>
      <c r="I13761">
        <v>1</v>
      </c>
      <c r="J13761" t="str" cm="1">
        <f t="array" ref="J13761">_xlfn.IFS(I13761&lt;=3,"small",I13761&lt;=6,"Medium",I13761&lt;=9,"Large")</f>
        <v>small</v>
      </c>
      <c r="K13761" s="36">
        <v>45522</v>
      </c>
      <c r="L13761" s="36">
        <v>45528</v>
      </c>
      <c r="M13761" t="s">
        <v>598</v>
      </c>
      <c r="N13761" t="s">
        <v>599</v>
      </c>
      <c r="O13761" s="37" t="str">
        <f t="shared" si="1073"/>
        <v>Digital Payment</v>
      </c>
      <c r="P13761">
        <v>278.27999999999997</v>
      </c>
      <c r="Q13761" s="37" t="str">
        <f>IF(P13761&gt;500,"High","low")</f>
        <v>low</v>
      </c>
      <c r="R13761" s="37" t="str">
        <f t="shared" si="1074"/>
        <v>AVERAGE</v>
      </c>
      <c r="S13761" t="s">
        <v>600</v>
      </c>
    </row>
    <row r="13762" spans="1:19" x14ac:dyDescent="0.2">
      <c r="A13762" t="s">
        <v>14373</v>
      </c>
      <c r="B13762" t="s">
        <v>75</v>
      </c>
      <c r="C13762" t="s">
        <v>597</v>
      </c>
      <c r="D13762">
        <v>3970.02</v>
      </c>
      <c r="E13762" s="37" t="str">
        <f t="shared" si="1070"/>
        <v xml:space="preserve"> </v>
      </c>
      <c r="F13762">
        <v>0.4</v>
      </c>
      <c r="G13762" s="37" t="str">
        <f t="shared" si="1071"/>
        <v>Heavy Discount</v>
      </c>
      <c r="H13762" s="37" t="str">
        <f t="shared" si="1072"/>
        <v>Medium</v>
      </c>
      <c r="I13762">
        <v>7</v>
      </c>
      <c r="J13762" t="str" cm="1">
        <f t="array" ref="J13762">_xlfn.IFS(I13762&lt;=3,"small",I13762&lt;=6,"Medium",I13762&lt;=9,"Large")</f>
        <v>Large</v>
      </c>
      <c r="K13762" s="36">
        <v>45139</v>
      </c>
      <c r="L13762" s="36">
        <v>45145</v>
      </c>
      <c r="M13762" t="s">
        <v>598</v>
      </c>
      <c r="N13762" t="s">
        <v>599</v>
      </c>
      <c r="O13762" s="37" t="str">
        <f t="shared" si="1073"/>
        <v>Digital Payment</v>
      </c>
      <c r="P13762">
        <v>960.42</v>
      </c>
      <c r="Q13762" s="37" t="str">
        <f>IF(P13762&gt;500,"High","low")</f>
        <v>High</v>
      </c>
      <c r="R13762" s="37" t="str">
        <f t="shared" si="1074"/>
        <v>Good</v>
      </c>
      <c r="S13762" t="s">
        <v>620</v>
      </c>
    </row>
    <row r="13763" spans="1:19" x14ac:dyDescent="0.2">
      <c r="A13763" t="s">
        <v>14374</v>
      </c>
      <c r="B13763" t="s">
        <v>75</v>
      </c>
      <c r="C13763" t="s">
        <v>614</v>
      </c>
      <c r="D13763">
        <v>625.67999999999995</v>
      </c>
      <c r="E13763" s="37" t="str">
        <f t="shared" ref="E13763:E13826" si="1075">IF(AND(D13763&gt;4000,P13763&gt;800),"Excellent Order"," ")</f>
        <v xml:space="preserve"> </v>
      </c>
      <c r="F13763">
        <v>0.11</v>
      </c>
      <c r="G13763" s="37" t="str">
        <f t="shared" ref="G13763:G13826" si="1076">IF(F13763&gt;30%,"Heavy Discount","Normal Discount")</f>
        <v>Normal Discount</v>
      </c>
      <c r="H13763" s="37" t="str">
        <f t="shared" ref="H13763:H13826" si="1077">IF(F13763&gt;0.4,"High",IF(F13763&gt;=0.2,"Medium","Low"))</f>
        <v>Low</v>
      </c>
      <c r="I13763">
        <v>4</v>
      </c>
      <c r="J13763" t="str" cm="1">
        <f t="array" ref="J13763">_xlfn.IFS(I13763&lt;=3,"small",I13763&lt;=6,"Medium",I13763&lt;=9,"Large")</f>
        <v>Medium</v>
      </c>
      <c r="K13763" s="36">
        <v>45174</v>
      </c>
      <c r="L13763" s="36">
        <v>45180</v>
      </c>
      <c r="M13763" t="s">
        <v>598</v>
      </c>
      <c r="N13763" t="s">
        <v>599</v>
      </c>
      <c r="O13763" s="37" t="str">
        <f t="shared" ref="O13763:O13826" si="1078">IF(OR(N13763="Card",N13763="UPI"),"Digital Payment","Cash Payment")</f>
        <v>Digital Payment</v>
      </c>
      <c r="P13763">
        <v>114.71</v>
      </c>
      <c r="Q13763" s="37" t="str">
        <f>IF(P13763&gt;500,"High","low")</f>
        <v>low</v>
      </c>
      <c r="R13763" s="37" t="str">
        <f t="shared" ref="R13763:R13826" si="1079">IF(P13763&gt;1000,"Excellent",IF(P13763&gt;=500,"Good","AVERAGE"))</f>
        <v>AVERAGE</v>
      </c>
      <c r="S13763" t="s">
        <v>605</v>
      </c>
    </row>
    <row r="13764" spans="1:19" x14ac:dyDescent="0.2">
      <c r="A13764" t="s">
        <v>14375</v>
      </c>
      <c r="B13764" t="s">
        <v>75</v>
      </c>
      <c r="C13764" t="s">
        <v>602</v>
      </c>
      <c r="D13764">
        <v>1550.98</v>
      </c>
      <c r="E13764" s="37" t="str">
        <f t="shared" si="1075"/>
        <v xml:space="preserve"> </v>
      </c>
      <c r="F13764">
        <v>0.15</v>
      </c>
      <c r="G13764" s="37" t="str">
        <f t="shared" si="1076"/>
        <v>Normal Discount</v>
      </c>
      <c r="H13764" s="37" t="str">
        <f t="shared" si="1077"/>
        <v>Low</v>
      </c>
      <c r="I13764">
        <v>4</v>
      </c>
      <c r="J13764" t="str" cm="1">
        <f t="array" ref="J13764">_xlfn.IFS(I13764&lt;=3,"small",I13764&lt;=6,"Medium",I13764&lt;=9,"Large")</f>
        <v>Medium</v>
      </c>
      <c r="K13764" s="36">
        <v>45503</v>
      </c>
      <c r="L13764" s="36">
        <v>45509</v>
      </c>
      <c r="M13764" t="s">
        <v>598</v>
      </c>
      <c r="N13764" t="s">
        <v>604</v>
      </c>
      <c r="O13764" s="37" t="str">
        <f t="shared" si="1078"/>
        <v>Digital Payment</v>
      </c>
      <c r="P13764">
        <v>134.33000000000001</v>
      </c>
      <c r="Q13764" s="37" t="str">
        <f>IF(P13764&gt;500,"High","low")</f>
        <v>low</v>
      </c>
      <c r="R13764" s="37" t="str">
        <f t="shared" si="1079"/>
        <v>AVERAGE</v>
      </c>
      <c r="S13764" t="s">
        <v>605</v>
      </c>
    </row>
    <row r="13765" spans="1:19" x14ac:dyDescent="0.2">
      <c r="A13765" t="s">
        <v>14376</v>
      </c>
      <c r="B13765" t="s">
        <v>83</v>
      </c>
      <c r="C13765" t="s">
        <v>607</v>
      </c>
      <c r="D13765">
        <v>2856.28</v>
      </c>
      <c r="E13765" s="37" t="str">
        <f t="shared" si="1075"/>
        <v xml:space="preserve"> </v>
      </c>
      <c r="F13765">
        <v>0.42</v>
      </c>
      <c r="G13765" s="37" t="str">
        <f t="shared" si="1076"/>
        <v>Heavy Discount</v>
      </c>
      <c r="H13765" s="37" t="str">
        <f t="shared" si="1077"/>
        <v>High</v>
      </c>
      <c r="I13765">
        <v>9</v>
      </c>
      <c r="J13765" t="str" cm="1">
        <f t="array" ref="J13765">_xlfn.IFS(I13765&lt;=3,"small",I13765&lt;=6,"Medium",I13765&lt;=9,"Large")</f>
        <v>Large</v>
      </c>
      <c r="K13765" s="36">
        <v>45523</v>
      </c>
      <c r="L13765" s="36">
        <v>45524</v>
      </c>
      <c r="M13765" t="s">
        <v>598</v>
      </c>
      <c r="N13765" t="s">
        <v>608</v>
      </c>
      <c r="O13765" s="37" t="str">
        <f t="shared" si="1078"/>
        <v>Cash Payment</v>
      </c>
      <c r="P13765">
        <v>396.67</v>
      </c>
      <c r="Q13765" s="37" t="str">
        <f>IF(P13765&gt;500,"High","low")</f>
        <v>low</v>
      </c>
      <c r="R13765" s="37" t="str">
        <f t="shared" si="1079"/>
        <v>AVERAGE</v>
      </c>
      <c r="S13765" t="s">
        <v>620</v>
      </c>
    </row>
    <row r="13766" spans="1:19" x14ac:dyDescent="0.2">
      <c r="A13766" t="s">
        <v>14377</v>
      </c>
      <c r="B13766" t="s">
        <v>90</v>
      </c>
      <c r="C13766" t="s">
        <v>614</v>
      </c>
      <c r="D13766">
        <v>2941.07</v>
      </c>
      <c r="E13766" s="37" t="str">
        <f t="shared" si="1075"/>
        <v xml:space="preserve"> </v>
      </c>
      <c r="F13766">
        <v>0.46</v>
      </c>
      <c r="G13766" s="37" t="str">
        <f t="shared" si="1076"/>
        <v>Heavy Discount</v>
      </c>
      <c r="H13766" s="37" t="str">
        <f t="shared" si="1077"/>
        <v>High</v>
      </c>
      <c r="I13766">
        <v>7</v>
      </c>
      <c r="J13766" t="str" cm="1">
        <f t="array" ref="J13766">_xlfn.IFS(I13766&lt;=3,"small",I13766&lt;=6,"Medium",I13766&lt;=9,"Large")</f>
        <v>Large</v>
      </c>
      <c r="K13766" s="36">
        <v>45047</v>
      </c>
      <c r="L13766" s="36">
        <v>45048</v>
      </c>
      <c r="M13766" t="s">
        <v>612</v>
      </c>
      <c r="N13766" t="s">
        <v>604</v>
      </c>
      <c r="O13766" s="37" t="str">
        <f t="shared" si="1078"/>
        <v>Digital Payment</v>
      </c>
      <c r="P13766">
        <v>740.84</v>
      </c>
      <c r="Q13766" s="37" t="str">
        <f>IF(P13766&gt;500,"High","low")</f>
        <v>High</v>
      </c>
      <c r="R13766" s="37" t="str">
        <f t="shared" si="1079"/>
        <v>Good</v>
      </c>
      <c r="S13766" t="s">
        <v>605</v>
      </c>
    </row>
    <row r="13767" spans="1:19" x14ac:dyDescent="0.2">
      <c r="A13767" t="s">
        <v>14378</v>
      </c>
      <c r="B13767" t="s">
        <v>67</v>
      </c>
      <c r="C13767" t="s">
        <v>602</v>
      </c>
      <c r="D13767">
        <v>2760.64</v>
      </c>
      <c r="E13767" s="37" t="str">
        <f t="shared" si="1075"/>
        <v xml:space="preserve"> </v>
      </c>
      <c r="F13767">
        <v>0.06</v>
      </c>
      <c r="G13767" s="37" t="str">
        <f t="shared" si="1076"/>
        <v>Normal Discount</v>
      </c>
      <c r="H13767" s="37" t="str">
        <f t="shared" si="1077"/>
        <v>Low</v>
      </c>
      <c r="I13767">
        <v>8</v>
      </c>
      <c r="J13767" t="str" cm="1">
        <f t="array" ref="J13767">_xlfn.IFS(I13767&lt;=3,"small",I13767&lt;=6,"Medium",I13767&lt;=9,"Large")</f>
        <v>Large</v>
      </c>
      <c r="K13767" s="36">
        <v>45382</v>
      </c>
      <c r="L13767" s="36">
        <v>45384</v>
      </c>
      <c r="M13767" t="s">
        <v>612</v>
      </c>
      <c r="N13767" t="s">
        <v>608</v>
      </c>
      <c r="O13767" s="37" t="str">
        <f t="shared" si="1078"/>
        <v>Cash Payment</v>
      </c>
      <c r="P13767">
        <v>768.28</v>
      </c>
      <c r="Q13767" s="37" t="str">
        <f>IF(P13767&gt;500,"High","low")</f>
        <v>High</v>
      </c>
      <c r="R13767" s="37" t="str">
        <f t="shared" si="1079"/>
        <v>Good</v>
      </c>
      <c r="S13767" t="s">
        <v>615</v>
      </c>
    </row>
    <row r="13768" spans="1:19" x14ac:dyDescent="0.2">
      <c r="A13768" t="s">
        <v>14379</v>
      </c>
      <c r="B13768" t="s">
        <v>90</v>
      </c>
      <c r="C13768" t="s">
        <v>597</v>
      </c>
      <c r="D13768">
        <v>4906.33</v>
      </c>
      <c r="E13768" s="37" t="str">
        <f t="shared" si="1075"/>
        <v xml:space="preserve"> </v>
      </c>
      <c r="F13768">
        <v>0.35</v>
      </c>
      <c r="G13768" s="37" t="str">
        <f t="shared" si="1076"/>
        <v>Heavy Discount</v>
      </c>
      <c r="H13768" s="37" t="str">
        <f t="shared" si="1077"/>
        <v>Medium</v>
      </c>
      <c r="I13768">
        <v>6</v>
      </c>
      <c r="J13768" t="str" cm="1">
        <f t="array" ref="J13768">_xlfn.IFS(I13768&lt;=3,"small",I13768&lt;=6,"Medium",I13768&lt;=9,"Large")</f>
        <v>Medium</v>
      </c>
      <c r="K13768" s="36">
        <v>45351</v>
      </c>
      <c r="L13768" s="36">
        <v>45356</v>
      </c>
      <c r="M13768" t="s">
        <v>603</v>
      </c>
      <c r="N13768" t="s">
        <v>604</v>
      </c>
      <c r="O13768" s="37" t="str">
        <f t="shared" si="1078"/>
        <v>Digital Payment</v>
      </c>
      <c r="P13768">
        <v>618.65</v>
      </c>
      <c r="Q13768" s="37" t="str">
        <f>IF(P13768&gt;500,"High","low")</f>
        <v>High</v>
      </c>
      <c r="R13768" s="37" t="str">
        <f t="shared" si="1079"/>
        <v>Good</v>
      </c>
      <c r="S13768" t="s">
        <v>600</v>
      </c>
    </row>
    <row r="13769" spans="1:19" x14ac:dyDescent="0.2">
      <c r="A13769" t="s">
        <v>14380</v>
      </c>
      <c r="B13769" t="s">
        <v>83</v>
      </c>
      <c r="C13769" t="s">
        <v>607</v>
      </c>
      <c r="D13769">
        <v>160.19999999999999</v>
      </c>
      <c r="E13769" s="37" t="str">
        <f t="shared" si="1075"/>
        <v xml:space="preserve"> </v>
      </c>
      <c r="F13769">
        <v>0</v>
      </c>
      <c r="G13769" s="37" t="str">
        <f t="shared" si="1076"/>
        <v>Normal Discount</v>
      </c>
      <c r="H13769" s="37" t="str">
        <f t="shared" si="1077"/>
        <v>Low</v>
      </c>
      <c r="I13769">
        <v>2</v>
      </c>
      <c r="J13769" t="str" cm="1">
        <f t="array" ref="J13769">_xlfn.IFS(I13769&lt;=3,"small",I13769&lt;=6,"Medium",I13769&lt;=9,"Large")</f>
        <v>small</v>
      </c>
      <c r="K13769" s="36">
        <v>45363</v>
      </c>
      <c r="L13769" s="36">
        <v>45368</v>
      </c>
      <c r="M13769" t="s">
        <v>598</v>
      </c>
      <c r="N13769" t="s">
        <v>604</v>
      </c>
      <c r="O13769" s="37" t="str">
        <f t="shared" si="1078"/>
        <v>Digital Payment</v>
      </c>
      <c r="P13769">
        <v>10.25</v>
      </c>
      <c r="Q13769" s="37" t="str">
        <f>IF(P13769&gt;500,"High","low")</f>
        <v>low</v>
      </c>
      <c r="R13769" s="37" t="str">
        <f t="shared" si="1079"/>
        <v>AVERAGE</v>
      </c>
      <c r="S13769" t="s">
        <v>620</v>
      </c>
    </row>
    <row r="13770" spans="1:19" x14ac:dyDescent="0.2">
      <c r="A13770" t="s">
        <v>14381</v>
      </c>
      <c r="B13770" t="s">
        <v>83</v>
      </c>
      <c r="C13770" t="s">
        <v>607</v>
      </c>
      <c r="D13770">
        <v>2489.23</v>
      </c>
      <c r="E13770" s="37" t="str">
        <f t="shared" si="1075"/>
        <v xml:space="preserve"> </v>
      </c>
      <c r="F13770">
        <v>0.12</v>
      </c>
      <c r="G13770" s="37" t="str">
        <f t="shared" si="1076"/>
        <v>Normal Discount</v>
      </c>
      <c r="H13770" s="37" t="str">
        <f t="shared" si="1077"/>
        <v>Low</v>
      </c>
      <c r="I13770">
        <v>3</v>
      </c>
      <c r="J13770" t="str" cm="1">
        <f t="array" ref="J13770">_xlfn.IFS(I13770&lt;=3,"small",I13770&lt;=6,"Medium",I13770&lt;=9,"Large")</f>
        <v>small</v>
      </c>
      <c r="K13770" s="36">
        <v>45641</v>
      </c>
      <c r="L13770" s="36">
        <v>45643</v>
      </c>
      <c r="M13770" t="s">
        <v>612</v>
      </c>
      <c r="N13770" t="s">
        <v>599</v>
      </c>
      <c r="O13770" s="37" t="str">
        <f t="shared" si="1078"/>
        <v>Digital Payment</v>
      </c>
      <c r="P13770">
        <v>296.52999999999997</v>
      </c>
      <c r="Q13770" s="37" t="str">
        <f>IF(P13770&gt;500,"High","low")</f>
        <v>low</v>
      </c>
      <c r="R13770" s="37" t="str">
        <f t="shared" si="1079"/>
        <v>AVERAGE</v>
      </c>
      <c r="S13770" t="s">
        <v>615</v>
      </c>
    </row>
    <row r="13771" spans="1:19" x14ac:dyDescent="0.2">
      <c r="A13771" t="s">
        <v>14382</v>
      </c>
      <c r="B13771" t="s">
        <v>90</v>
      </c>
      <c r="C13771" t="s">
        <v>614</v>
      </c>
      <c r="D13771">
        <v>2571.66</v>
      </c>
      <c r="E13771" s="37" t="str">
        <f t="shared" si="1075"/>
        <v xml:space="preserve"> </v>
      </c>
      <c r="F13771">
        <v>0.03</v>
      </c>
      <c r="G13771" s="37" t="str">
        <f t="shared" si="1076"/>
        <v>Normal Discount</v>
      </c>
      <c r="H13771" s="37" t="str">
        <f t="shared" si="1077"/>
        <v>Low</v>
      </c>
      <c r="I13771">
        <v>4</v>
      </c>
      <c r="J13771" t="str" cm="1">
        <f t="array" ref="J13771">_xlfn.IFS(I13771&lt;=3,"small",I13771&lt;=6,"Medium",I13771&lt;=9,"Large")</f>
        <v>Medium</v>
      </c>
      <c r="K13771" s="36">
        <v>45326</v>
      </c>
      <c r="L13771" s="36">
        <v>45329</v>
      </c>
      <c r="M13771" t="s">
        <v>598</v>
      </c>
      <c r="N13771" t="s">
        <v>599</v>
      </c>
      <c r="O13771" s="37" t="str">
        <f t="shared" si="1078"/>
        <v>Digital Payment</v>
      </c>
      <c r="P13771">
        <v>656.57</v>
      </c>
      <c r="Q13771" s="37" t="str">
        <f>IF(P13771&gt;500,"High","low")</f>
        <v>High</v>
      </c>
      <c r="R13771" s="37" t="str">
        <f t="shared" si="1079"/>
        <v>Good</v>
      </c>
      <c r="S13771" t="s">
        <v>600</v>
      </c>
    </row>
    <row r="13772" spans="1:19" x14ac:dyDescent="0.2">
      <c r="A13772" t="s">
        <v>14383</v>
      </c>
      <c r="B13772" t="s">
        <v>90</v>
      </c>
      <c r="C13772" t="s">
        <v>607</v>
      </c>
      <c r="D13772">
        <v>1537.28</v>
      </c>
      <c r="E13772" s="37" t="str">
        <f t="shared" si="1075"/>
        <v xml:space="preserve"> </v>
      </c>
      <c r="F13772">
        <v>0.26</v>
      </c>
      <c r="G13772" s="37" t="str">
        <f t="shared" si="1076"/>
        <v>Normal Discount</v>
      </c>
      <c r="H13772" s="37" t="str">
        <f t="shared" si="1077"/>
        <v>Medium</v>
      </c>
      <c r="I13772">
        <v>2</v>
      </c>
      <c r="J13772" t="str" cm="1">
        <f t="array" ref="J13772">_xlfn.IFS(I13772&lt;=3,"small",I13772&lt;=6,"Medium",I13772&lt;=9,"Large")</f>
        <v>small</v>
      </c>
      <c r="K13772" s="36">
        <v>45575</v>
      </c>
      <c r="L13772" s="36">
        <v>45576</v>
      </c>
      <c r="M13772" t="s">
        <v>598</v>
      </c>
      <c r="N13772" t="s">
        <v>599</v>
      </c>
      <c r="O13772" s="37" t="str">
        <f t="shared" si="1078"/>
        <v>Digital Payment</v>
      </c>
      <c r="P13772">
        <v>229.84</v>
      </c>
      <c r="Q13772" s="37" t="str">
        <f>IF(P13772&gt;500,"High","low")</f>
        <v>low</v>
      </c>
      <c r="R13772" s="37" t="str">
        <f t="shared" si="1079"/>
        <v>AVERAGE</v>
      </c>
      <c r="S13772" t="s">
        <v>609</v>
      </c>
    </row>
    <row r="13773" spans="1:19" x14ac:dyDescent="0.2">
      <c r="A13773" t="s">
        <v>14384</v>
      </c>
      <c r="B13773" t="s">
        <v>83</v>
      </c>
      <c r="C13773" t="s">
        <v>602</v>
      </c>
      <c r="D13773">
        <v>2672.85</v>
      </c>
      <c r="E13773" s="37" t="str">
        <f t="shared" si="1075"/>
        <v xml:space="preserve"> </v>
      </c>
      <c r="F13773">
        <v>0.17</v>
      </c>
      <c r="G13773" s="37" t="str">
        <f t="shared" si="1076"/>
        <v>Normal Discount</v>
      </c>
      <c r="H13773" s="37" t="str">
        <f t="shared" si="1077"/>
        <v>Low</v>
      </c>
      <c r="I13773">
        <v>1</v>
      </c>
      <c r="J13773" t="str" cm="1">
        <f t="array" ref="J13773">_xlfn.IFS(I13773&lt;=3,"small",I13773&lt;=6,"Medium",I13773&lt;=9,"Large")</f>
        <v>small</v>
      </c>
      <c r="K13773" s="36">
        <v>45167</v>
      </c>
      <c r="L13773" s="36">
        <v>45168</v>
      </c>
      <c r="M13773" t="s">
        <v>612</v>
      </c>
      <c r="N13773" t="s">
        <v>604</v>
      </c>
      <c r="O13773" s="37" t="str">
        <f t="shared" si="1078"/>
        <v>Digital Payment</v>
      </c>
      <c r="P13773">
        <v>222.63</v>
      </c>
      <c r="Q13773" s="37" t="str">
        <f>IF(P13773&gt;500,"High","low")</f>
        <v>low</v>
      </c>
      <c r="R13773" s="37" t="str">
        <f t="shared" si="1079"/>
        <v>AVERAGE</v>
      </c>
      <c r="S13773" t="s">
        <v>620</v>
      </c>
    </row>
    <row r="13774" spans="1:19" x14ac:dyDescent="0.2">
      <c r="A13774" t="s">
        <v>14385</v>
      </c>
      <c r="B13774" t="s">
        <v>83</v>
      </c>
      <c r="C13774" t="s">
        <v>617</v>
      </c>
      <c r="D13774">
        <v>3399.07</v>
      </c>
      <c r="E13774" s="37" t="str">
        <f t="shared" si="1075"/>
        <v xml:space="preserve"> </v>
      </c>
      <c r="F13774">
        <v>7.0000000000000007E-2</v>
      </c>
      <c r="G13774" s="37" t="str">
        <f t="shared" si="1076"/>
        <v>Normal Discount</v>
      </c>
      <c r="H13774" s="37" t="str">
        <f t="shared" si="1077"/>
        <v>Low</v>
      </c>
      <c r="I13774">
        <v>9</v>
      </c>
      <c r="J13774" t="str" cm="1">
        <f t="array" ref="J13774">_xlfn.IFS(I13774&lt;=3,"small",I13774&lt;=6,"Medium",I13774&lt;=9,"Large")</f>
        <v>Large</v>
      </c>
      <c r="K13774" s="36">
        <v>45534</v>
      </c>
      <c r="L13774" s="36">
        <v>45538</v>
      </c>
      <c r="M13774" t="s">
        <v>612</v>
      </c>
      <c r="N13774" t="s">
        <v>599</v>
      </c>
      <c r="O13774" s="37" t="str">
        <f t="shared" si="1078"/>
        <v>Digital Payment</v>
      </c>
      <c r="P13774">
        <v>753.8</v>
      </c>
      <c r="Q13774" s="37" t="str">
        <f>IF(P13774&gt;500,"High","low")</f>
        <v>High</v>
      </c>
      <c r="R13774" s="37" t="str">
        <f t="shared" si="1079"/>
        <v>Good</v>
      </c>
      <c r="S13774" t="s">
        <v>615</v>
      </c>
    </row>
    <row r="13775" spans="1:19" x14ac:dyDescent="0.2">
      <c r="A13775" t="s">
        <v>14386</v>
      </c>
      <c r="B13775" t="s">
        <v>67</v>
      </c>
      <c r="C13775" t="s">
        <v>597</v>
      </c>
      <c r="D13775">
        <v>3396.5</v>
      </c>
      <c r="E13775" s="37" t="str">
        <f t="shared" si="1075"/>
        <v xml:space="preserve"> </v>
      </c>
      <c r="F13775">
        <v>0</v>
      </c>
      <c r="G13775" s="37" t="str">
        <f t="shared" si="1076"/>
        <v>Normal Discount</v>
      </c>
      <c r="H13775" s="37" t="str">
        <f t="shared" si="1077"/>
        <v>Low</v>
      </c>
      <c r="I13775">
        <v>2</v>
      </c>
      <c r="J13775" t="str" cm="1">
        <f t="array" ref="J13775">_xlfn.IFS(I13775&lt;=3,"small",I13775&lt;=6,"Medium",I13775&lt;=9,"Large")</f>
        <v>small</v>
      </c>
      <c r="K13775" s="36">
        <v>45374</v>
      </c>
      <c r="L13775" s="36">
        <v>45378</v>
      </c>
      <c r="M13775" t="s">
        <v>612</v>
      </c>
      <c r="N13775" t="s">
        <v>599</v>
      </c>
      <c r="O13775" s="37" t="str">
        <f t="shared" si="1078"/>
        <v>Digital Payment</v>
      </c>
      <c r="P13775">
        <v>876.15</v>
      </c>
      <c r="Q13775" s="37" t="str">
        <f>IF(P13775&gt;500,"High","low")</f>
        <v>High</v>
      </c>
      <c r="R13775" s="37" t="str">
        <f t="shared" si="1079"/>
        <v>Good</v>
      </c>
      <c r="S13775" t="s">
        <v>628</v>
      </c>
    </row>
    <row r="13776" spans="1:19" x14ac:dyDescent="0.2">
      <c r="A13776" t="s">
        <v>14387</v>
      </c>
      <c r="B13776" t="s">
        <v>75</v>
      </c>
      <c r="C13776" t="s">
        <v>614</v>
      </c>
      <c r="D13776">
        <v>530.5</v>
      </c>
      <c r="E13776" s="37" t="str">
        <f t="shared" si="1075"/>
        <v xml:space="preserve"> </v>
      </c>
      <c r="F13776">
        <v>0.19</v>
      </c>
      <c r="G13776" s="37" t="str">
        <f t="shared" si="1076"/>
        <v>Normal Discount</v>
      </c>
      <c r="H13776" s="37" t="str">
        <f t="shared" si="1077"/>
        <v>Low</v>
      </c>
      <c r="I13776">
        <v>5</v>
      </c>
      <c r="J13776" t="str" cm="1">
        <f t="array" ref="J13776">_xlfn.IFS(I13776&lt;=3,"small",I13776&lt;=6,"Medium",I13776&lt;=9,"Large")</f>
        <v>Medium</v>
      </c>
      <c r="K13776" s="36">
        <v>45589</v>
      </c>
      <c r="L13776" s="36">
        <v>45592</v>
      </c>
      <c r="M13776" t="s">
        <v>603</v>
      </c>
      <c r="N13776" t="s">
        <v>604</v>
      </c>
      <c r="O13776" s="37" t="str">
        <f t="shared" si="1078"/>
        <v>Digital Payment</v>
      </c>
      <c r="P13776">
        <v>110.43</v>
      </c>
      <c r="Q13776" s="37" t="str">
        <f>IF(P13776&gt;500,"High","low")</f>
        <v>low</v>
      </c>
      <c r="R13776" s="37" t="str">
        <f t="shared" si="1079"/>
        <v>AVERAGE</v>
      </c>
      <c r="S13776" t="s">
        <v>605</v>
      </c>
    </row>
    <row r="13777" spans="1:19" x14ac:dyDescent="0.2">
      <c r="A13777" t="s">
        <v>14388</v>
      </c>
      <c r="B13777" t="s">
        <v>75</v>
      </c>
      <c r="C13777" t="s">
        <v>617</v>
      </c>
      <c r="D13777">
        <v>4032.05</v>
      </c>
      <c r="E13777" s="37" t="str">
        <f t="shared" si="1075"/>
        <v>Excellent Order</v>
      </c>
      <c r="F13777">
        <v>0.15</v>
      </c>
      <c r="G13777" s="37" t="str">
        <f t="shared" si="1076"/>
        <v>Normal Discount</v>
      </c>
      <c r="H13777" s="37" t="str">
        <f t="shared" si="1077"/>
        <v>Low</v>
      </c>
      <c r="I13777">
        <v>7</v>
      </c>
      <c r="J13777" t="str" cm="1">
        <f t="array" ref="J13777">_xlfn.IFS(I13777&lt;=3,"small",I13777&lt;=6,"Medium",I13777&lt;=9,"Large")</f>
        <v>Large</v>
      </c>
      <c r="K13777" s="36">
        <v>45357</v>
      </c>
      <c r="L13777" s="36">
        <v>45362</v>
      </c>
      <c r="M13777" t="s">
        <v>612</v>
      </c>
      <c r="N13777" t="s">
        <v>604</v>
      </c>
      <c r="O13777" s="37" t="str">
        <f t="shared" si="1078"/>
        <v>Digital Payment</v>
      </c>
      <c r="P13777">
        <v>988.38</v>
      </c>
      <c r="Q13777" s="37" t="str">
        <f>IF(P13777&gt;500,"High","low")</f>
        <v>High</v>
      </c>
      <c r="R13777" s="37" t="str">
        <f t="shared" si="1079"/>
        <v>Good</v>
      </c>
      <c r="S13777" t="s">
        <v>609</v>
      </c>
    </row>
    <row r="13778" spans="1:19" x14ac:dyDescent="0.2">
      <c r="A13778" t="s">
        <v>14389</v>
      </c>
      <c r="B13778" t="s">
        <v>67</v>
      </c>
      <c r="C13778" t="s">
        <v>617</v>
      </c>
      <c r="D13778">
        <v>4660.4799999999996</v>
      </c>
      <c r="E13778" s="37" t="str">
        <f t="shared" si="1075"/>
        <v>Excellent Order</v>
      </c>
      <c r="F13778">
        <v>0.02</v>
      </c>
      <c r="G13778" s="37" t="str">
        <f t="shared" si="1076"/>
        <v>Normal Discount</v>
      </c>
      <c r="H13778" s="37" t="str">
        <f t="shared" si="1077"/>
        <v>Low</v>
      </c>
      <c r="I13778">
        <v>2</v>
      </c>
      <c r="J13778" t="str" cm="1">
        <f t="array" ref="J13778">_xlfn.IFS(I13778&lt;=3,"small",I13778&lt;=6,"Medium",I13778&lt;=9,"Large")</f>
        <v>small</v>
      </c>
      <c r="K13778" s="36">
        <v>45615</v>
      </c>
      <c r="L13778" s="36">
        <v>45620</v>
      </c>
      <c r="M13778" t="s">
        <v>598</v>
      </c>
      <c r="N13778" t="s">
        <v>608</v>
      </c>
      <c r="O13778" s="37" t="str">
        <f t="shared" si="1078"/>
        <v>Cash Payment</v>
      </c>
      <c r="P13778">
        <v>1218.3900000000001</v>
      </c>
      <c r="Q13778" s="37" t="str">
        <f>IF(P13778&gt;500,"High","low")</f>
        <v>High</v>
      </c>
      <c r="R13778" s="37" t="str">
        <f t="shared" si="1079"/>
        <v>Excellent</v>
      </c>
      <c r="S13778" t="s">
        <v>620</v>
      </c>
    </row>
    <row r="13779" spans="1:19" x14ac:dyDescent="0.2">
      <c r="A13779" t="s">
        <v>14390</v>
      </c>
      <c r="B13779" t="s">
        <v>90</v>
      </c>
      <c r="C13779" t="s">
        <v>614</v>
      </c>
      <c r="D13779">
        <v>705.7</v>
      </c>
      <c r="E13779" s="37" t="str">
        <f t="shared" si="1075"/>
        <v xml:space="preserve"> </v>
      </c>
      <c r="F13779">
        <v>0.43</v>
      </c>
      <c r="G13779" s="37" t="str">
        <f t="shared" si="1076"/>
        <v>Heavy Discount</v>
      </c>
      <c r="H13779" s="37" t="str">
        <f t="shared" si="1077"/>
        <v>High</v>
      </c>
      <c r="I13779">
        <v>6</v>
      </c>
      <c r="J13779" t="str" cm="1">
        <f t="array" ref="J13779">_xlfn.IFS(I13779&lt;=3,"small",I13779&lt;=6,"Medium",I13779&lt;=9,"Large")</f>
        <v>Medium</v>
      </c>
      <c r="K13779" s="36">
        <v>45621</v>
      </c>
      <c r="L13779" s="36">
        <v>45628</v>
      </c>
      <c r="M13779" t="s">
        <v>603</v>
      </c>
      <c r="N13779" t="s">
        <v>599</v>
      </c>
      <c r="O13779" s="37" t="str">
        <f t="shared" si="1078"/>
        <v>Digital Payment</v>
      </c>
      <c r="P13779">
        <v>83.7</v>
      </c>
      <c r="Q13779" s="37" t="str">
        <f>IF(P13779&gt;500,"High","low")</f>
        <v>low</v>
      </c>
      <c r="R13779" s="37" t="str">
        <f t="shared" si="1079"/>
        <v>AVERAGE</v>
      </c>
      <c r="S13779" t="s">
        <v>600</v>
      </c>
    </row>
    <row r="13780" spans="1:19" x14ac:dyDescent="0.2">
      <c r="A13780" t="s">
        <v>14391</v>
      </c>
      <c r="B13780" t="s">
        <v>83</v>
      </c>
      <c r="C13780" t="s">
        <v>602</v>
      </c>
      <c r="D13780">
        <v>2141.54</v>
      </c>
      <c r="E13780" s="37" t="str">
        <f t="shared" si="1075"/>
        <v xml:space="preserve"> </v>
      </c>
      <c r="F13780">
        <v>0.21</v>
      </c>
      <c r="G13780" s="37" t="str">
        <f t="shared" si="1076"/>
        <v>Normal Discount</v>
      </c>
      <c r="H13780" s="37" t="str">
        <f t="shared" si="1077"/>
        <v>Medium</v>
      </c>
      <c r="I13780">
        <v>8</v>
      </c>
      <c r="J13780" t="str" cm="1">
        <f t="array" ref="J13780">_xlfn.IFS(I13780&lt;=3,"small",I13780&lt;=6,"Medium",I13780&lt;=9,"Large")</f>
        <v>Large</v>
      </c>
      <c r="K13780" s="36">
        <v>45045</v>
      </c>
      <c r="L13780" s="36">
        <v>45051</v>
      </c>
      <c r="M13780" t="s">
        <v>612</v>
      </c>
      <c r="N13780" t="s">
        <v>599</v>
      </c>
      <c r="O13780" s="37" t="str">
        <f t="shared" si="1078"/>
        <v>Digital Payment</v>
      </c>
      <c r="P13780">
        <v>477.35</v>
      </c>
      <c r="Q13780" s="37" t="str">
        <f>IF(P13780&gt;500,"High","low")</f>
        <v>low</v>
      </c>
      <c r="R13780" s="37" t="str">
        <f t="shared" si="1079"/>
        <v>AVERAGE</v>
      </c>
      <c r="S13780" t="s">
        <v>605</v>
      </c>
    </row>
    <row r="13781" spans="1:19" x14ac:dyDescent="0.2">
      <c r="A13781" t="s">
        <v>14392</v>
      </c>
      <c r="B13781" t="s">
        <v>90</v>
      </c>
      <c r="C13781" t="s">
        <v>597</v>
      </c>
      <c r="D13781">
        <v>2607.58</v>
      </c>
      <c r="E13781" s="37" t="str">
        <f t="shared" si="1075"/>
        <v xml:space="preserve"> </v>
      </c>
      <c r="F13781">
        <v>0.39</v>
      </c>
      <c r="G13781" s="37" t="str">
        <f t="shared" si="1076"/>
        <v>Heavy Discount</v>
      </c>
      <c r="H13781" s="37" t="str">
        <f t="shared" si="1077"/>
        <v>Medium</v>
      </c>
      <c r="I13781">
        <v>7</v>
      </c>
      <c r="J13781" t="str" cm="1">
        <f t="array" ref="J13781">_xlfn.IFS(I13781&lt;=3,"small",I13781&lt;=6,"Medium",I13781&lt;=9,"Large")</f>
        <v>Large</v>
      </c>
      <c r="K13781" s="36">
        <v>45501</v>
      </c>
      <c r="L13781" s="36">
        <v>45507</v>
      </c>
      <c r="M13781" t="s">
        <v>603</v>
      </c>
      <c r="N13781" t="s">
        <v>599</v>
      </c>
      <c r="O13781" s="37" t="str">
        <f t="shared" si="1078"/>
        <v>Digital Payment</v>
      </c>
      <c r="P13781">
        <v>663.84</v>
      </c>
      <c r="Q13781" s="37" t="str">
        <f>IF(P13781&gt;500,"High","low")</f>
        <v>High</v>
      </c>
      <c r="R13781" s="37" t="str">
        <f t="shared" si="1079"/>
        <v>Good</v>
      </c>
      <c r="S13781" t="s">
        <v>600</v>
      </c>
    </row>
    <row r="13782" spans="1:19" x14ac:dyDescent="0.2">
      <c r="A13782" t="s">
        <v>14393</v>
      </c>
      <c r="B13782" t="s">
        <v>75</v>
      </c>
      <c r="C13782" t="s">
        <v>614</v>
      </c>
      <c r="D13782">
        <v>760.63</v>
      </c>
      <c r="E13782" s="37" t="str">
        <f t="shared" si="1075"/>
        <v xml:space="preserve"> </v>
      </c>
      <c r="F13782">
        <v>0.21</v>
      </c>
      <c r="G13782" s="37" t="str">
        <f t="shared" si="1076"/>
        <v>Normal Discount</v>
      </c>
      <c r="H13782" s="37" t="str">
        <f t="shared" si="1077"/>
        <v>Medium</v>
      </c>
      <c r="I13782">
        <v>6</v>
      </c>
      <c r="J13782" t="str" cm="1">
        <f t="array" ref="J13782">_xlfn.IFS(I13782&lt;=3,"small",I13782&lt;=6,"Medium",I13782&lt;=9,"Large")</f>
        <v>Medium</v>
      </c>
      <c r="K13782" s="36">
        <v>45546</v>
      </c>
      <c r="L13782" s="36">
        <v>45551</v>
      </c>
      <c r="M13782" t="s">
        <v>612</v>
      </c>
      <c r="N13782" t="s">
        <v>608</v>
      </c>
      <c r="O13782" s="37" t="str">
        <f t="shared" si="1078"/>
        <v>Cash Payment</v>
      </c>
      <c r="P13782">
        <v>40.39</v>
      </c>
      <c r="Q13782" s="37" t="str">
        <f>IF(P13782&gt;500,"High","low")</f>
        <v>low</v>
      </c>
      <c r="R13782" s="37" t="str">
        <f t="shared" si="1079"/>
        <v>AVERAGE</v>
      </c>
      <c r="S13782" t="s">
        <v>605</v>
      </c>
    </row>
    <row r="13783" spans="1:19" x14ac:dyDescent="0.2">
      <c r="A13783" t="s">
        <v>14394</v>
      </c>
      <c r="B13783" t="s">
        <v>75</v>
      </c>
      <c r="C13783" t="s">
        <v>617</v>
      </c>
      <c r="D13783">
        <v>2566.58</v>
      </c>
      <c r="E13783" s="37" t="str">
        <f t="shared" si="1075"/>
        <v xml:space="preserve"> </v>
      </c>
      <c r="F13783">
        <v>0.03</v>
      </c>
      <c r="G13783" s="37" t="str">
        <f t="shared" si="1076"/>
        <v>Normal Discount</v>
      </c>
      <c r="H13783" s="37" t="str">
        <f t="shared" si="1077"/>
        <v>Low</v>
      </c>
      <c r="I13783">
        <v>8</v>
      </c>
      <c r="J13783" t="str" cm="1">
        <f t="array" ref="J13783">_xlfn.IFS(I13783&lt;=3,"small",I13783&lt;=6,"Medium",I13783&lt;=9,"Large")</f>
        <v>Large</v>
      </c>
      <c r="K13783" s="36">
        <v>45464</v>
      </c>
      <c r="L13783" s="36">
        <v>45465</v>
      </c>
      <c r="M13783" t="s">
        <v>598</v>
      </c>
      <c r="N13783" t="s">
        <v>599</v>
      </c>
      <c r="O13783" s="37" t="str">
        <f t="shared" si="1078"/>
        <v>Digital Payment</v>
      </c>
      <c r="P13783">
        <v>650.16</v>
      </c>
      <c r="Q13783" s="37" t="str">
        <f>IF(P13783&gt;500,"High","low")</f>
        <v>High</v>
      </c>
      <c r="R13783" s="37" t="str">
        <f t="shared" si="1079"/>
        <v>Good</v>
      </c>
      <c r="S13783" t="s">
        <v>615</v>
      </c>
    </row>
    <row r="13784" spans="1:19" x14ac:dyDescent="0.2">
      <c r="A13784" t="s">
        <v>14395</v>
      </c>
      <c r="B13784" t="s">
        <v>90</v>
      </c>
      <c r="C13784" t="s">
        <v>617</v>
      </c>
      <c r="D13784">
        <v>1113.6099999999999</v>
      </c>
      <c r="E13784" s="37" t="str">
        <f t="shared" si="1075"/>
        <v xml:space="preserve"> </v>
      </c>
      <c r="F13784">
        <v>0.2</v>
      </c>
      <c r="G13784" s="37" t="str">
        <f t="shared" si="1076"/>
        <v>Normal Discount</v>
      </c>
      <c r="H13784" s="37" t="str">
        <f t="shared" si="1077"/>
        <v>Medium</v>
      </c>
      <c r="I13784">
        <v>2</v>
      </c>
      <c r="J13784" t="str" cm="1">
        <f t="array" ref="J13784">_xlfn.IFS(I13784&lt;=3,"small",I13784&lt;=6,"Medium",I13784&lt;=9,"Large")</f>
        <v>small</v>
      </c>
      <c r="K13784" s="36">
        <v>45614</v>
      </c>
      <c r="L13784" s="36">
        <v>45618</v>
      </c>
      <c r="M13784" t="s">
        <v>612</v>
      </c>
      <c r="N13784" t="s">
        <v>604</v>
      </c>
      <c r="O13784" s="37" t="str">
        <f t="shared" si="1078"/>
        <v>Digital Payment</v>
      </c>
      <c r="P13784">
        <v>252.24</v>
      </c>
      <c r="Q13784" s="37" t="str">
        <f>IF(P13784&gt;500,"High","low")</f>
        <v>low</v>
      </c>
      <c r="R13784" s="37" t="str">
        <f t="shared" si="1079"/>
        <v>AVERAGE</v>
      </c>
      <c r="S13784" t="s">
        <v>600</v>
      </c>
    </row>
    <row r="13785" spans="1:19" x14ac:dyDescent="0.2">
      <c r="A13785" t="s">
        <v>14396</v>
      </c>
      <c r="B13785" t="s">
        <v>75</v>
      </c>
      <c r="C13785" t="s">
        <v>614</v>
      </c>
      <c r="D13785">
        <v>4683.2700000000004</v>
      </c>
      <c r="E13785" s="37" t="str">
        <f t="shared" si="1075"/>
        <v>Excellent Order</v>
      </c>
      <c r="F13785">
        <v>0.44</v>
      </c>
      <c r="G13785" s="37" t="str">
        <f t="shared" si="1076"/>
        <v>Heavy Discount</v>
      </c>
      <c r="H13785" s="37" t="str">
        <f t="shared" si="1077"/>
        <v>High</v>
      </c>
      <c r="I13785">
        <v>4</v>
      </c>
      <c r="J13785" t="str" cm="1">
        <f t="array" ref="J13785">_xlfn.IFS(I13785&lt;=3,"small",I13785&lt;=6,"Medium",I13785&lt;=9,"Large")</f>
        <v>Medium</v>
      </c>
      <c r="K13785" s="36">
        <v>45413</v>
      </c>
      <c r="L13785" s="36">
        <v>45419</v>
      </c>
      <c r="M13785" t="s">
        <v>612</v>
      </c>
      <c r="N13785" t="s">
        <v>608</v>
      </c>
      <c r="O13785" s="37" t="str">
        <f t="shared" si="1078"/>
        <v>Cash Payment</v>
      </c>
      <c r="P13785">
        <v>882.62</v>
      </c>
      <c r="Q13785" s="37" t="str">
        <f>IF(P13785&gt;500,"High","low")</f>
        <v>High</v>
      </c>
      <c r="R13785" s="37" t="str">
        <f t="shared" si="1079"/>
        <v>Good</v>
      </c>
      <c r="S13785" t="s">
        <v>620</v>
      </c>
    </row>
    <row r="13786" spans="1:19" x14ac:dyDescent="0.2">
      <c r="A13786" t="s">
        <v>14397</v>
      </c>
      <c r="B13786" t="s">
        <v>83</v>
      </c>
      <c r="C13786" t="s">
        <v>617</v>
      </c>
      <c r="D13786">
        <v>2297.5</v>
      </c>
      <c r="E13786" s="37" t="str">
        <f t="shared" si="1075"/>
        <v xml:space="preserve"> </v>
      </c>
      <c r="F13786">
        <v>0</v>
      </c>
      <c r="G13786" s="37" t="str">
        <f t="shared" si="1076"/>
        <v>Normal Discount</v>
      </c>
      <c r="H13786" s="37" t="str">
        <f t="shared" si="1077"/>
        <v>Low</v>
      </c>
      <c r="I13786">
        <v>4</v>
      </c>
      <c r="J13786" t="str" cm="1">
        <f t="array" ref="J13786">_xlfn.IFS(I13786&lt;=3,"small",I13786&lt;=6,"Medium",I13786&lt;=9,"Large")</f>
        <v>Medium</v>
      </c>
      <c r="K13786" s="36">
        <v>45416</v>
      </c>
      <c r="L13786" s="36">
        <v>45422</v>
      </c>
      <c r="M13786" t="s">
        <v>603</v>
      </c>
      <c r="N13786" t="s">
        <v>608</v>
      </c>
      <c r="O13786" s="37" t="str">
        <f t="shared" si="1078"/>
        <v>Cash Payment</v>
      </c>
      <c r="P13786">
        <v>117.08</v>
      </c>
      <c r="Q13786" s="37" t="str">
        <f>IF(P13786&gt;500,"High","low")</f>
        <v>low</v>
      </c>
      <c r="R13786" s="37" t="str">
        <f t="shared" si="1079"/>
        <v>AVERAGE</v>
      </c>
      <c r="S13786" t="s">
        <v>615</v>
      </c>
    </row>
    <row r="13787" spans="1:19" x14ac:dyDescent="0.2">
      <c r="A13787" t="s">
        <v>14398</v>
      </c>
      <c r="B13787" t="s">
        <v>67</v>
      </c>
      <c r="C13787" t="s">
        <v>614</v>
      </c>
      <c r="D13787">
        <v>4975.0200000000004</v>
      </c>
      <c r="E13787" s="37" t="str">
        <f t="shared" si="1075"/>
        <v xml:space="preserve"> </v>
      </c>
      <c r="F13787">
        <v>0.45</v>
      </c>
      <c r="G13787" s="37" t="str">
        <f t="shared" si="1076"/>
        <v>Heavy Discount</v>
      </c>
      <c r="H13787" s="37" t="str">
        <f t="shared" si="1077"/>
        <v>High</v>
      </c>
      <c r="I13787">
        <v>7</v>
      </c>
      <c r="J13787" t="str" cm="1">
        <f t="array" ref="J13787">_xlfn.IFS(I13787&lt;=3,"small",I13787&lt;=6,"Medium",I13787&lt;=9,"Large")</f>
        <v>Large</v>
      </c>
      <c r="K13787" s="36">
        <v>45340</v>
      </c>
      <c r="L13787" s="36">
        <v>45341</v>
      </c>
      <c r="M13787" t="s">
        <v>612</v>
      </c>
      <c r="N13787" t="s">
        <v>604</v>
      </c>
      <c r="O13787" s="37" t="str">
        <f t="shared" si="1078"/>
        <v>Digital Payment</v>
      </c>
      <c r="P13787">
        <v>362.57</v>
      </c>
      <c r="Q13787" s="37" t="str">
        <f>IF(P13787&gt;500,"High","low")</f>
        <v>low</v>
      </c>
      <c r="R13787" s="37" t="str">
        <f t="shared" si="1079"/>
        <v>AVERAGE</v>
      </c>
      <c r="S13787" t="s">
        <v>605</v>
      </c>
    </row>
    <row r="13788" spans="1:19" x14ac:dyDescent="0.2">
      <c r="A13788" t="s">
        <v>14399</v>
      </c>
      <c r="B13788" t="s">
        <v>90</v>
      </c>
      <c r="C13788" t="s">
        <v>614</v>
      </c>
      <c r="D13788">
        <v>327.9</v>
      </c>
      <c r="E13788" s="37" t="str">
        <f t="shared" si="1075"/>
        <v xml:space="preserve"> </v>
      </c>
      <c r="F13788">
        <v>0.33</v>
      </c>
      <c r="G13788" s="37" t="str">
        <f t="shared" si="1076"/>
        <v>Heavy Discount</v>
      </c>
      <c r="H13788" s="37" t="str">
        <f t="shared" si="1077"/>
        <v>Medium</v>
      </c>
      <c r="I13788">
        <v>7</v>
      </c>
      <c r="J13788" t="str" cm="1">
        <f t="array" ref="J13788">_xlfn.IFS(I13788&lt;=3,"small",I13788&lt;=6,"Medium",I13788&lt;=9,"Large")</f>
        <v>Large</v>
      </c>
      <c r="K13788" s="36">
        <v>45056</v>
      </c>
      <c r="L13788" s="36">
        <v>45059</v>
      </c>
      <c r="M13788" t="s">
        <v>612</v>
      </c>
      <c r="N13788" t="s">
        <v>599</v>
      </c>
      <c r="O13788" s="37" t="str">
        <f t="shared" si="1078"/>
        <v>Digital Payment</v>
      </c>
      <c r="P13788">
        <v>45.44</v>
      </c>
      <c r="Q13788" s="37" t="str">
        <f>IF(P13788&gt;500,"High","low")</f>
        <v>low</v>
      </c>
      <c r="R13788" s="37" t="str">
        <f t="shared" si="1079"/>
        <v>AVERAGE</v>
      </c>
      <c r="S13788" t="s">
        <v>628</v>
      </c>
    </row>
    <row r="13789" spans="1:19" x14ac:dyDescent="0.2">
      <c r="A13789" t="s">
        <v>14400</v>
      </c>
      <c r="B13789" t="s">
        <v>83</v>
      </c>
      <c r="C13789" t="s">
        <v>597</v>
      </c>
      <c r="D13789">
        <v>725.15</v>
      </c>
      <c r="E13789" s="37" t="str">
        <f t="shared" si="1075"/>
        <v xml:space="preserve"> </v>
      </c>
      <c r="F13789">
        <v>0.5</v>
      </c>
      <c r="G13789" s="37" t="str">
        <f t="shared" si="1076"/>
        <v>Heavy Discount</v>
      </c>
      <c r="H13789" s="37" t="str">
        <f t="shared" si="1077"/>
        <v>High</v>
      </c>
      <c r="I13789">
        <v>3</v>
      </c>
      <c r="J13789" t="str" cm="1">
        <f t="array" ref="J13789">_xlfn.IFS(I13789&lt;=3,"small",I13789&lt;=6,"Medium",I13789&lt;=9,"Large")</f>
        <v>small</v>
      </c>
      <c r="K13789" s="36">
        <v>45467</v>
      </c>
      <c r="L13789" s="36">
        <v>45474</v>
      </c>
      <c r="M13789" t="s">
        <v>612</v>
      </c>
      <c r="N13789" t="s">
        <v>599</v>
      </c>
      <c r="O13789" s="37" t="str">
        <f t="shared" si="1078"/>
        <v>Digital Payment</v>
      </c>
      <c r="P13789">
        <v>69.23</v>
      </c>
      <c r="Q13789" s="37" t="str">
        <f>IF(P13789&gt;500,"High","low")</f>
        <v>low</v>
      </c>
      <c r="R13789" s="37" t="str">
        <f t="shared" si="1079"/>
        <v>AVERAGE</v>
      </c>
      <c r="S13789" t="s">
        <v>615</v>
      </c>
    </row>
    <row r="13790" spans="1:19" x14ac:dyDescent="0.2">
      <c r="A13790" t="s">
        <v>14401</v>
      </c>
      <c r="B13790" t="s">
        <v>83</v>
      </c>
      <c r="C13790" t="s">
        <v>614</v>
      </c>
      <c r="D13790">
        <v>2271.73</v>
      </c>
      <c r="E13790" s="37" t="str">
        <f t="shared" si="1075"/>
        <v xml:space="preserve"> </v>
      </c>
      <c r="F13790">
        <v>0.46</v>
      </c>
      <c r="G13790" s="37" t="str">
        <f t="shared" si="1076"/>
        <v>Heavy Discount</v>
      </c>
      <c r="H13790" s="37" t="str">
        <f t="shared" si="1077"/>
        <v>High</v>
      </c>
      <c r="I13790">
        <v>4</v>
      </c>
      <c r="J13790" t="str" cm="1">
        <f t="array" ref="J13790">_xlfn.IFS(I13790&lt;=3,"small",I13790&lt;=6,"Medium",I13790&lt;=9,"Large")</f>
        <v>Medium</v>
      </c>
      <c r="K13790" s="36">
        <v>45364</v>
      </c>
      <c r="L13790" s="36">
        <v>45366</v>
      </c>
      <c r="M13790" t="s">
        <v>603</v>
      </c>
      <c r="N13790" t="s">
        <v>604</v>
      </c>
      <c r="O13790" s="37" t="str">
        <f t="shared" si="1078"/>
        <v>Digital Payment</v>
      </c>
      <c r="P13790">
        <v>214.78</v>
      </c>
      <c r="Q13790" s="37" t="str">
        <f>IF(P13790&gt;500,"High","low")</f>
        <v>low</v>
      </c>
      <c r="R13790" s="37" t="str">
        <f t="shared" si="1079"/>
        <v>AVERAGE</v>
      </c>
      <c r="S13790" t="s">
        <v>620</v>
      </c>
    </row>
    <row r="13791" spans="1:19" x14ac:dyDescent="0.2">
      <c r="A13791" t="s">
        <v>14402</v>
      </c>
      <c r="B13791" t="s">
        <v>75</v>
      </c>
      <c r="C13791" t="s">
        <v>617</v>
      </c>
      <c r="D13791">
        <v>4384.3599999999997</v>
      </c>
      <c r="E13791" s="37" t="str">
        <f t="shared" si="1075"/>
        <v xml:space="preserve"> </v>
      </c>
      <c r="F13791">
        <v>0.43</v>
      </c>
      <c r="G13791" s="37" t="str">
        <f t="shared" si="1076"/>
        <v>Heavy Discount</v>
      </c>
      <c r="H13791" s="37" t="str">
        <f t="shared" si="1077"/>
        <v>High</v>
      </c>
      <c r="I13791">
        <v>1</v>
      </c>
      <c r="J13791" t="str" cm="1">
        <f t="array" ref="J13791">_xlfn.IFS(I13791&lt;=3,"small",I13791&lt;=6,"Medium",I13791&lt;=9,"Large")</f>
        <v>small</v>
      </c>
      <c r="K13791" s="36">
        <v>45086</v>
      </c>
      <c r="L13791" s="36">
        <v>45088</v>
      </c>
      <c r="M13791" t="s">
        <v>612</v>
      </c>
      <c r="N13791" t="s">
        <v>604</v>
      </c>
      <c r="O13791" s="37" t="str">
        <f t="shared" si="1078"/>
        <v>Digital Payment</v>
      </c>
      <c r="P13791">
        <v>550.73</v>
      </c>
      <c r="Q13791" s="37" t="str">
        <f>IF(P13791&gt;500,"High","low")</f>
        <v>High</v>
      </c>
      <c r="R13791" s="37" t="str">
        <f t="shared" si="1079"/>
        <v>Good</v>
      </c>
      <c r="S13791" t="s">
        <v>620</v>
      </c>
    </row>
    <row r="13792" spans="1:19" x14ac:dyDescent="0.2">
      <c r="A13792" t="s">
        <v>14403</v>
      </c>
      <c r="B13792" t="s">
        <v>83</v>
      </c>
      <c r="C13792" t="s">
        <v>607</v>
      </c>
      <c r="D13792">
        <v>2820.61</v>
      </c>
      <c r="E13792" s="37" t="str">
        <f t="shared" si="1075"/>
        <v xml:space="preserve"> </v>
      </c>
      <c r="F13792">
        <v>0.02</v>
      </c>
      <c r="G13792" s="37" t="str">
        <f t="shared" si="1076"/>
        <v>Normal Discount</v>
      </c>
      <c r="H13792" s="37" t="str">
        <f t="shared" si="1077"/>
        <v>Low</v>
      </c>
      <c r="I13792">
        <v>8</v>
      </c>
      <c r="J13792" t="str" cm="1">
        <f t="array" ref="J13792">_xlfn.IFS(I13792&lt;=3,"small",I13792&lt;=6,"Medium",I13792&lt;=9,"Large")</f>
        <v>Large</v>
      </c>
      <c r="K13792" s="36">
        <v>45034</v>
      </c>
      <c r="L13792" s="36">
        <v>45039</v>
      </c>
      <c r="M13792" t="s">
        <v>612</v>
      </c>
      <c r="N13792" t="s">
        <v>599</v>
      </c>
      <c r="O13792" s="37" t="str">
        <f t="shared" si="1078"/>
        <v>Digital Payment</v>
      </c>
      <c r="P13792">
        <v>146.59</v>
      </c>
      <c r="Q13792" s="37" t="str">
        <f>IF(P13792&gt;500,"High","low")</f>
        <v>low</v>
      </c>
      <c r="R13792" s="37" t="str">
        <f t="shared" si="1079"/>
        <v>AVERAGE</v>
      </c>
      <c r="S13792" t="s">
        <v>600</v>
      </c>
    </row>
    <row r="13793" spans="1:19" x14ac:dyDescent="0.2">
      <c r="A13793" t="s">
        <v>14404</v>
      </c>
      <c r="B13793" t="s">
        <v>90</v>
      </c>
      <c r="C13793" t="s">
        <v>597</v>
      </c>
      <c r="D13793">
        <v>3688.48</v>
      </c>
      <c r="E13793" s="37" t="str">
        <f t="shared" si="1075"/>
        <v xml:space="preserve"> </v>
      </c>
      <c r="F13793">
        <v>0.14000000000000001</v>
      </c>
      <c r="G13793" s="37" t="str">
        <f t="shared" si="1076"/>
        <v>Normal Discount</v>
      </c>
      <c r="H13793" s="37" t="str">
        <f t="shared" si="1077"/>
        <v>Low</v>
      </c>
      <c r="I13793">
        <v>4</v>
      </c>
      <c r="J13793" t="str" cm="1">
        <f t="array" ref="J13793">_xlfn.IFS(I13793&lt;=3,"small",I13793&lt;=6,"Medium",I13793&lt;=9,"Large")</f>
        <v>Medium</v>
      </c>
      <c r="K13793" s="36">
        <v>45169</v>
      </c>
      <c r="L13793" s="36">
        <v>45176</v>
      </c>
      <c r="M13793" t="s">
        <v>603</v>
      </c>
      <c r="N13793" t="s">
        <v>604</v>
      </c>
      <c r="O13793" s="37" t="str">
        <f t="shared" si="1078"/>
        <v>Digital Payment</v>
      </c>
      <c r="P13793">
        <v>290.41000000000003</v>
      </c>
      <c r="Q13793" s="37" t="str">
        <f>IF(P13793&gt;500,"High","low")</f>
        <v>low</v>
      </c>
      <c r="R13793" s="37" t="str">
        <f t="shared" si="1079"/>
        <v>AVERAGE</v>
      </c>
      <c r="S13793" t="s">
        <v>605</v>
      </c>
    </row>
    <row r="13794" spans="1:19" x14ac:dyDescent="0.2">
      <c r="A13794" t="s">
        <v>14405</v>
      </c>
      <c r="B13794" t="s">
        <v>83</v>
      </c>
      <c r="C13794" t="s">
        <v>617</v>
      </c>
      <c r="D13794">
        <v>2175.46</v>
      </c>
      <c r="E13794" s="37" t="str">
        <f t="shared" si="1075"/>
        <v xml:space="preserve"> </v>
      </c>
      <c r="F13794">
        <v>0.19</v>
      </c>
      <c r="G13794" s="37" t="str">
        <f t="shared" si="1076"/>
        <v>Normal Discount</v>
      </c>
      <c r="H13794" s="37" t="str">
        <f t="shared" si="1077"/>
        <v>Low</v>
      </c>
      <c r="I13794">
        <v>5</v>
      </c>
      <c r="J13794" t="str" cm="1">
        <f t="array" ref="J13794">_xlfn.IFS(I13794&lt;=3,"small",I13794&lt;=6,"Medium",I13794&lt;=9,"Large")</f>
        <v>Medium</v>
      </c>
      <c r="K13794" s="36">
        <v>45177</v>
      </c>
      <c r="L13794" s="36">
        <v>45181</v>
      </c>
      <c r="M13794" t="s">
        <v>598</v>
      </c>
      <c r="N13794" t="s">
        <v>604</v>
      </c>
      <c r="O13794" s="37" t="str">
        <f t="shared" si="1078"/>
        <v>Digital Payment</v>
      </c>
      <c r="P13794">
        <v>339.9</v>
      </c>
      <c r="Q13794" s="37" t="str">
        <f>IF(P13794&gt;500,"High","low")</f>
        <v>low</v>
      </c>
      <c r="R13794" s="37" t="str">
        <f t="shared" si="1079"/>
        <v>AVERAGE</v>
      </c>
      <c r="S13794" t="s">
        <v>609</v>
      </c>
    </row>
    <row r="13795" spans="1:19" x14ac:dyDescent="0.2">
      <c r="A13795" t="s">
        <v>14406</v>
      </c>
      <c r="B13795" t="s">
        <v>67</v>
      </c>
      <c r="C13795" t="s">
        <v>617</v>
      </c>
      <c r="D13795">
        <v>298.51</v>
      </c>
      <c r="E13795" s="37" t="str">
        <f t="shared" si="1075"/>
        <v xml:space="preserve"> </v>
      </c>
      <c r="F13795">
        <v>0.35</v>
      </c>
      <c r="G13795" s="37" t="str">
        <f t="shared" si="1076"/>
        <v>Heavy Discount</v>
      </c>
      <c r="H13795" s="37" t="str">
        <f t="shared" si="1077"/>
        <v>Medium</v>
      </c>
      <c r="I13795">
        <v>5</v>
      </c>
      <c r="J13795" t="str" cm="1">
        <f t="array" ref="J13795">_xlfn.IFS(I13795&lt;=3,"small",I13795&lt;=6,"Medium",I13795&lt;=9,"Large")</f>
        <v>Medium</v>
      </c>
      <c r="K13795" s="36">
        <v>45092</v>
      </c>
      <c r="L13795" s="36">
        <v>45095</v>
      </c>
      <c r="M13795" t="s">
        <v>603</v>
      </c>
      <c r="N13795" t="s">
        <v>599</v>
      </c>
      <c r="O13795" s="37" t="str">
        <f t="shared" si="1078"/>
        <v>Digital Payment</v>
      </c>
      <c r="P13795">
        <v>64.87</v>
      </c>
      <c r="Q13795" s="37" t="str">
        <f>IF(P13795&gt;500,"High","low")</f>
        <v>low</v>
      </c>
      <c r="R13795" s="37" t="str">
        <f t="shared" si="1079"/>
        <v>AVERAGE</v>
      </c>
      <c r="S13795" t="s">
        <v>615</v>
      </c>
    </row>
    <row r="13796" spans="1:19" x14ac:dyDescent="0.2">
      <c r="A13796" t="s">
        <v>14407</v>
      </c>
      <c r="B13796" t="s">
        <v>83</v>
      </c>
      <c r="C13796" t="s">
        <v>597</v>
      </c>
      <c r="D13796">
        <v>3274.28</v>
      </c>
      <c r="E13796" s="37" t="str">
        <f t="shared" si="1075"/>
        <v xml:space="preserve"> </v>
      </c>
      <c r="F13796">
        <v>0.32</v>
      </c>
      <c r="G13796" s="37" t="str">
        <f t="shared" si="1076"/>
        <v>Heavy Discount</v>
      </c>
      <c r="H13796" s="37" t="str">
        <f t="shared" si="1077"/>
        <v>Medium</v>
      </c>
      <c r="I13796">
        <v>1</v>
      </c>
      <c r="J13796" t="str" cm="1">
        <f t="array" ref="J13796">_xlfn.IFS(I13796&lt;=3,"small",I13796&lt;=6,"Medium",I13796&lt;=9,"Large")</f>
        <v>small</v>
      </c>
      <c r="K13796" s="36">
        <v>45203</v>
      </c>
      <c r="L13796" s="36">
        <v>45204</v>
      </c>
      <c r="M13796" t="s">
        <v>598</v>
      </c>
      <c r="N13796" t="s">
        <v>608</v>
      </c>
      <c r="O13796" s="37" t="str">
        <f t="shared" si="1078"/>
        <v>Cash Payment</v>
      </c>
      <c r="P13796">
        <v>545.22</v>
      </c>
      <c r="Q13796" s="37" t="str">
        <f>IF(P13796&gt;500,"High","low")</f>
        <v>High</v>
      </c>
      <c r="R13796" s="37" t="str">
        <f t="shared" si="1079"/>
        <v>Good</v>
      </c>
      <c r="S13796" t="s">
        <v>615</v>
      </c>
    </row>
    <row r="13797" spans="1:19" x14ac:dyDescent="0.2">
      <c r="A13797" t="s">
        <v>14408</v>
      </c>
      <c r="B13797" t="s">
        <v>83</v>
      </c>
      <c r="C13797" t="s">
        <v>597</v>
      </c>
      <c r="D13797">
        <v>3206.61</v>
      </c>
      <c r="E13797" s="37" t="str">
        <f t="shared" si="1075"/>
        <v xml:space="preserve"> </v>
      </c>
      <c r="F13797">
        <v>0.09</v>
      </c>
      <c r="G13797" s="37" t="str">
        <f t="shared" si="1076"/>
        <v>Normal Discount</v>
      </c>
      <c r="H13797" s="37" t="str">
        <f t="shared" si="1077"/>
        <v>Low</v>
      </c>
      <c r="I13797">
        <v>1</v>
      </c>
      <c r="J13797" t="str" cm="1">
        <f t="array" ref="J13797">_xlfn.IFS(I13797&lt;=3,"small",I13797&lt;=6,"Medium",I13797&lt;=9,"Large")</f>
        <v>small</v>
      </c>
      <c r="K13797" s="36">
        <v>45209</v>
      </c>
      <c r="L13797" s="36">
        <v>45212</v>
      </c>
      <c r="M13797" t="s">
        <v>598</v>
      </c>
      <c r="N13797" t="s">
        <v>604</v>
      </c>
      <c r="O13797" s="37" t="str">
        <f t="shared" si="1078"/>
        <v>Digital Payment</v>
      </c>
      <c r="P13797">
        <v>946.42</v>
      </c>
      <c r="Q13797" s="37" t="str">
        <f>IF(P13797&gt;500,"High","low")</f>
        <v>High</v>
      </c>
      <c r="R13797" s="37" t="str">
        <f t="shared" si="1079"/>
        <v>Good</v>
      </c>
      <c r="S13797" t="s">
        <v>609</v>
      </c>
    </row>
    <row r="13798" spans="1:19" x14ac:dyDescent="0.2">
      <c r="A13798" t="s">
        <v>14409</v>
      </c>
      <c r="B13798" t="s">
        <v>67</v>
      </c>
      <c r="C13798" t="s">
        <v>617</v>
      </c>
      <c r="D13798">
        <v>450</v>
      </c>
      <c r="E13798" s="37" t="str">
        <f t="shared" si="1075"/>
        <v xml:space="preserve"> </v>
      </c>
      <c r="F13798">
        <v>0.37</v>
      </c>
      <c r="G13798" s="37" t="str">
        <f t="shared" si="1076"/>
        <v>Heavy Discount</v>
      </c>
      <c r="H13798" s="37" t="str">
        <f t="shared" si="1077"/>
        <v>Medium</v>
      </c>
      <c r="I13798">
        <v>7</v>
      </c>
      <c r="J13798" t="str" cm="1">
        <f t="array" ref="J13798">_xlfn.IFS(I13798&lt;=3,"small",I13798&lt;=6,"Medium",I13798&lt;=9,"Large")</f>
        <v>Large</v>
      </c>
      <c r="K13798" s="36">
        <v>45426</v>
      </c>
      <c r="L13798" s="36">
        <v>45429</v>
      </c>
      <c r="M13798" t="s">
        <v>598</v>
      </c>
      <c r="N13798" t="s">
        <v>599</v>
      </c>
      <c r="O13798" s="37" t="str">
        <f t="shared" si="1078"/>
        <v>Digital Payment</v>
      </c>
      <c r="P13798">
        <v>26.12</v>
      </c>
      <c r="Q13798" s="37" t="str">
        <f>IF(P13798&gt;500,"High","low")</f>
        <v>low</v>
      </c>
      <c r="R13798" s="37" t="str">
        <f t="shared" si="1079"/>
        <v>AVERAGE</v>
      </c>
      <c r="S13798" t="s">
        <v>605</v>
      </c>
    </row>
    <row r="13799" spans="1:19" x14ac:dyDescent="0.2">
      <c r="A13799" t="s">
        <v>14410</v>
      </c>
      <c r="B13799" t="s">
        <v>83</v>
      </c>
      <c r="C13799" t="s">
        <v>607</v>
      </c>
      <c r="D13799">
        <v>937.32</v>
      </c>
      <c r="E13799" s="37" t="str">
        <f t="shared" si="1075"/>
        <v xml:space="preserve"> </v>
      </c>
      <c r="F13799">
        <v>0.08</v>
      </c>
      <c r="G13799" s="37" t="str">
        <f t="shared" si="1076"/>
        <v>Normal Discount</v>
      </c>
      <c r="H13799" s="37" t="str">
        <f t="shared" si="1077"/>
        <v>Low</v>
      </c>
      <c r="I13799">
        <v>1</v>
      </c>
      <c r="J13799" t="str" cm="1">
        <f t="array" ref="J13799">_xlfn.IFS(I13799&lt;=3,"small",I13799&lt;=6,"Medium",I13799&lt;=9,"Large")</f>
        <v>small</v>
      </c>
      <c r="K13799" s="36">
        <v>45654</v>
      </c>
      <c r="L13799" s="36">
        <v>45657</v>
      </c>
      <c r="M13799" t="s">
        <v>598</v>
      </c>
      <c r="N13799" t="s">
        <v>599</v>
      </c>
      <c r="O13799" s="37" t="str">
        <f t="shared" si="1078"/>
        <v>Digital Payment</v>
      </c>
      <c r="P13799">
        <v>208.43</v>
      </c>
      <c r="Q13799" s="37" t="str">
        <f>IF(P13799&gt;500,"High","low")</f>
        <v>low</v>
      </c>
      <c r="R13799" s="37" t="str">
        <f t="shared" si="1079"/>
        <v>AVERAGE</v>
      </c>
      <c r="S13799" t="s">
        <v>609</v>
      </c>
    </row>
    <row r="13800" spans="1:19" x14ac:dyDescent="0.2">
      <c r="A13800" t="s">
        <v>14411</v>
      </c>
      <c r="B13800" t="s">
        <v>83</v>
      </c>
      <c r="C13800" t="s">
        <v>602</v>
      </c>
      <c r="D13800">
        <v>2433.16</v>
      </c>
      <c r="E13800" s="37" t="str">
        <f t="shared" si="1075"/>
        <v xml:space="preserve"> </v>
      </c>
      <c r="F13800">
        <v>0.23</v>
      </c>
      <c r="G13800" s="37" t="str">
        <f t="shared" si="1076"/>
        <v>Normal Discount</v>
      </c>
      <c r="H13800" s="37" t="str">
        <f t="shared" si="1077"/>
        <v>Medium</v>
      </c>
      <c r="I13800">
        <v>9</v>
      </c>
      <c r="J13800" t="str" cm="1">
        <f t="array" ref="J13800">_xlfn.IFS(I13800&lt;=3,"small",I13800&lt;=6,"Medium",I13800&lt;=9,"Large")</f>
        <v>Large</v>
      </c>
      <c r="K13800" s="36">
        <v>44960</v>
      </c>
      <c r="L13800" s="36">
        <v>44967</v>
      </c>
      <c r="M13800" t="s">
        <v>598</v>
      </c>
      <c r="N13800" t="s">
        <v>599</v>
      </c>
      <c r="O13800" s="37" t="str">
        <f t="shared" si="1078"/>
        <v>Digital Payment</v>
      </c>
      <c r="P13800">
        <v>514.79</v>
      </c>
      <c r="Q13800" s="37" t="str">
        <f>IF(P13800&gt;500,"High","low")</f>
        <v>High</v>
      </c>
      <c r="R13800" s="37" t="str">
        <f t="shared" si="1079"/>
        <v>Good</v>
      </c>
      <c r="S13800" t="s">
        <v>600</v>
      </c>
    </row>
    <row r="13801" spans="1:19" x14ac:dyDescent="0.2">
      <c r="A13801" t="s">
        <v>14412</v>
      </c>
      <c r="B13801" t="s">
        <v>75</v>
      </c>
      <c r="C13801" t="s">
        <v>617</v>
      </c>
      <c r="D13801">
        <v>2288.52</v>
      </c>
      <c r="E13801" s="37" t="str">
        <f t="shared" si="1075"/>
        <v xml:space="preserve"> </v>
      </c>
      <c r="F13801">
        <v>0.28999999999999998</v>
      </c>
      <c r="G13801" s="37" t="str">
        <f t="shared" si="1076"/>
        <v>Normal Discount</v>
      </c>
      <c r="H13801" s="37" t="str">
        <f t="shared" si="1077"/>
        <v>Medium</v>
      </c>
      <c r="I13801">
        <v>6</v>
      </c>
      <c r="J13801" t="str" cm="1">
        <f t="array" ref="J13801">_xlfn.IFS(I13801&lt;=3,"small",I13801&lt;=6,"Medium",I13801&lt;=9,"Large")</f>
        <v>Medium</v>
      </c>
      <c r="K13801" s="36">
        <v>45093</v>
      </c>
      <c r="L13801" s="36">
        <v>45097</v>
      </c>
      <c r="M13801" t="s">
        <v>612</v>
      </c>
      <c r="N13801" t="s">
        <v>608</v>
      </c>
      <c r="O13801" s="37" t="str">
        <f t="shared" si="1078"/>
        <v>Cash Payment</v>
      </c>
      <c r="P13801">
        <v>505.48</v>
      </c>
      <c r="Q13801" s="37" t="str">
        <f>IF(P13801&gt;500,"High","low")</f>
        <v>High</v>
      </c>
      <c r="R13801" s="37" t="str">
        <f t="shared" si="1079"/>
        <v>Good</v>
      </c>
      <c r="S13801" t="s">
        <v>620</v>
      </c>
    </row>
    <row r="13802" spans="1:19" x14ac:dyDescent="0.2">
      <c r="A13802" t="s">
        <v>14413</v>
      </c>
      <c r="B13802" t="s">
        <v>90</v>
      </c>
      <c r="C13802" t="s">
        <v>597</v>
      </c>
      <c r="D13802">
        <v>3786.85</v>
      </c>
      <c r="E13802" s="37" t="str">
        <f t="shared" si="1075"/>
        <v xml:space="preserve"> </v>
      </c>
      <c r="F13802">
        <v>0.44</v>
      </c>
      <c r="G13802" s="37" t="str">
        <f t="shared" si="1076"/>
        <v>Heavy Discount</v>
      </c>
      <c r="H13802" s="37" t="str">
        <f t="shared" si="1077"/>
        <v>High</v>
      </c>
      <c r="I13802">
        <v>1</v>
      </c>
      <c r="J13802" t="str" cm="1">
        <f t="array" ref="J13802">_xlfn.IFS(I13802&lt;=3,"small",I13802&lt;=6,"Medium",I13802&lt;=9,"Large")</f>
        <v>small</v>
      </c>
      <c r="K13802" s="36">
        <v>44995</v>
      </c>
      <c r="L13802" s="36">
        <v>44998</v>
      </c>
      <c r="M13802" t="s">
        <v>603</v>
      </c>
      <c r="N13802" t="s">
        <v>604</v>
      </c>
      <c r="O13802" s="37" t="str">
        <f t="shared" si="1078"/>
        <v>Digital Payment</v>
      </c>
      <c r="P13802">
        <v>583.77</v>
      </c>
      <c r="Q13802" s="37" t="str">
        <f>IF(P13802&gt;500,"High","low")</f>
        <v>High</v>
      </c>
      <c r="R13802" s="37" t="str">
        <f t="shared" si="1079"/>
        <v>Good</v>
      </c>
      <c r="S13802" t="s">
        <v>628</v>
      </c>
    </row>
    <row r="13803" spans="1:19" x14ac:dyDescent="0.2">
      <c r="A13803" t="s">
        <v>14414</v>
      </c>
      <c r="B13803" t="s">
        <v>75</v>
      </c>
      <c r="C13803" t="s">
        <v>614</v>
      </c>
      <c r="D13803">
        <v>1998.32</v>
      </c>
      <c r="E13803" s="37" t="str">
        <f t="shared" si="1075"/>
        <v xml:space="preserve"> </v>
      </c>
      <c r="F13803">
        <v>0.32</v>
      </c>
      <c r="G13803" s="37" t="str">
        <f t="shared" si="1076"/>
        <v>Heavy Discount</v>
      </c>
      <c r="H13803" s="37" t="str">
        <f t="shared" si="1077"/>
        <v>Medium</v>
      </c>
      <c r="I13803">
        <v>1</v>
      </c>
      <c r="J13803" t="str" cm="1">
        <f t="array" ref="J13803">_xlfn.IFS(I13803&lt;=3,"small",I13803&lt;=6,"Medium",I13803&lt;=9,"Large")</f>
        <v>small</v>
      </c>
      <c r="K13803" s="36">
        <v>45555</v>
      </c>
      <c r="L13803" s="36">
        <v>45557</v>
      </c>
      <c r="M13803" t="s">
        <v>603</v>
      </c>
      <c r="N13803" t="s">
        <v>604</v>
      </c>
      <c r="O13803" s="37" t="str">
        <f t="shared" si="1078"/>
        <v>Digital Payment</v>
      </c>
      <c r="P13803">
        <v>289.89</v>
      </c>
      <c r="Q13803" s="37" t="str">
        <f>IF(P13803&gt;500,"High","low")</f>
        <v>low</v>
      </c>
      <c r="R13803" s="37" t="str">
        <f t="shared" si="1079"/>
        <v>AVERAGE</v>
      </c>
      <c r="S13803" t="s">
        <v>628</v>
      </c>
    </row>
    <row r="13804" spans="1:19" x14ac:dyDescent="0.2">
      <c r="A13804" t="s">
        <v>14415</v>
      </c>
      <c r="B13804" t="s">
        <v>90</v>
      </c>
      <c r="C13804" t="s">
        <v>614</v>
      </c>
      <c r="D13804">
        <v>3350.17</v>
      </c>
      <c r="E13804" s="37" t="str">
        <f t="shared" si="1075"/>
        <v xml:space="preserve"> </v>
      </c>
      <c r="F13804">
        <v>0.48</v>
      </c>
      <c r="G13804" s="37" t="str">
        <f t="shared" si="1076"/>
        <v>Heavy Discount</v>
      </c>
      <c r="H13804" s="37" t="str">
        <f t="shared" si="1077"/>
        <v>High</v>
      </c>
      <c r="I13804">
        <v>5</v>
      </c>
      <c r="J13804" t="str" cm="1">
        <f t="array" ref="J13804">_xlfn.IFS(I13804&lt;=3,"small",I13804&lt;=6,"Medium",I13804&lt;=9,"Large")</f>
        <v>Medium</v>
      </c>
      <c r="K13804" s="36">
        <v>44999</v>
      </c>
      <c r="L13804" s="36">
        <v>45004</v>
      </c>
      <c r="M13804" t="s">
        <v>612</v>
      </c>
      <c r="N13804" t="s">
        <v>608</v>
      </c>
      <c r="O13804" s="37" t="str">
        <f t="shared" si="1078"/>
        <v>Cash Payment</v>
      </c>
      <c r="P13804">
        <v>894.82</v>
      </c>
      <c r="Q13804" s="37" t="str">
        <f>IF(P13804&gt;500,"High","low")</f>
        <v>High</v>
      </c>
      <c r="R13804" s="37" t="str">
        <f t="shared" si="1079"/>
        <v>Good</v>
      </c>
      <c r="S13804" t="s">
        <v>628</v>
      </c>
    </row>
    <row r="13805" spans="1:19" x14ac:dyDescent="0.2">
      <c r="A13805" t="s">
        <v>14416</v>
      </c>
      <c r="B13805" t="s">
        <v>67</v>
      </c>
      <c r="C13805" t="s">
        <v>597</v>
      </c>
      <c r="D13805">
        <v>3551.68</v>
      </c>
      <c r="E13805" s="37" t="str">
        <f t="shared" si="1075"/>
        <v xml:space="preserve"> </v>
      </c>
      <c r="F13805">
        <v>0.5</v>
      </c>
      <c r="G13805" s="37" t="str">
        <f t="shared" si="1076"/>
        <v>Heavy Discount</v>
      </c>
      <c r="H13805" s="37" t="str">
        <f t="shared" si="1077"/>
        <v>High</v>
      </c>
      <c r="I13805">
        <v>3</v>
      </c>
      <c r="J13805" t="str" cm="1">
        <f t="array" ref="J13805">_xlfn.IFS(I13805&lt;=3,"small",I13805&lt;=6,"Medium",I13805&lt;=9,"Large")</f>
        <v>small</v>
      </c>
      <c r="K13805" s="36">
        <v>45227</v>
      </c>
      <c r="L13805" s="36">
        <v>45233</v>
      </c>
      <c r="M13805" t="s">
        <v>603</v>
      </c>
      <c r="N13805" t="s">
        <v>599</v>
      </c>
      <c r="O13805" s="37" t="str">
        <f t="shared" si="1078"/>
        <v>Digital Payment</v>
      </c>
      <c r="P13805">
        <v>317.5</v>
      </c>
      <c r="Q13805" s="37" t="str">
        <f>IF(P13805&gt;500,"High","low")</f>
        <v>low</v>
      </c>
      <c r="R13805" s="37" t="str">
        <f t="shared" si="1079"/>
        <v>AVERAGE</v>
      </c>
      <c r="S13805" t="s">
        <v>605</v>
      </c>
    </row>
    <row r="13806" spans="1:19" x14ac:dyDescent="0.2">
      <c r="A13806" t="s">
        <v>14417</v>
      </c>
      <c r="B13806" t="s">
        <v>67</v>
      </c>
      <c r="C13806" t="s">
        <v>597</v>
      </c>
      <c r="D13806">
        <v>3260.52</v>
      </c>
      <c r="E13806" s="37" t="str">
        <f t="shared" si="1075"/>
        <v xml:space="preserve"> </v>
      </c>
      <c r="F13806">
        <v>0.25</v>
      </c>
      <c r="G13806" s="37" t="str">
        <f t="shared" si="1076"/>
        <v>Normal Discount</v>
      </c>
      <c r="H13806" s="37" t="str">
        <f t="shared" si="1077"/>
        <v>Medium</v>
      </c>
      <c r="I13806">
        <v>8</v>
      </c>
      <c r="J13806" t="str" cm="1">
        <f t="array" ref="J13806">_xlfn.IFS(I13806&lt;=3,"small",I13806&lt;=6,"Medium",I13806&lt;=9,"Large")</f>
        <v>Large</v>
      </c>
      <c r="K13806" s="36">
        <v>44934</v>
      </c>
      <c r="L13806" s="36">
        <v>44940</v>
      </c>
      <c r="M13806" t="s">
        <v>603</v>
      </c>
      <c r="N13806" t="s">
        <v>608</v>
      </c>
      <c r="O13806" s="37" t="str">
        <f t="shared" si="1078"/>
        <v>Cash Payment</v>
      </c>
      <c r="P13806">
        <v>411.25</v>
      </c>
      <c r="Q13806" s="37" t="str">
        <f>IF(P13806&gt;500,"High","low")</f>
        <v>low</v>
      </c>
      <c r="R13806" s="37" t="str">
        <f t="shared" si="1079"/>
        <v>AVERAGE</v>
      </c>
      <c r="S13806" t="s">
        <v>605</v>
      </c>
    </row>
    <row r="13807" spans="1:19" x14ac:dyDescent="0.2">
      <c r="A13807" t="s">
        <v>14418</v>
      </c>
      <c r="B13807" t="s">
        <v>67</v>
      </c>
      <c r="C13807" t="s">
        <v>602</v>
      </c>
      <c r="D13807">
        <v>3021.02</v>
      </c>
      <c r="E13807" s="37" t="str">
        <f t="shared" si="1075"/>
        <v xml:space="preserve"> </v>
      </c>
      <c r="F13807">
        <v>0.03</v>
      </c>
      <c r="G13807" s="37" t="str">
        <f t="shared" si="1076"/>
        <v>Normal Discount</v>
      </c>
      <c r="H13807" s="37" t="str">
        <f t="shared" si="1077"/>
        <v>Low</v>
      </c>
      <c r="I13807">
        <v>8</v>
      </c>
      <c r="J13807" t="str" cm="1">
        <f t="array" ref="J13807">_xlfn.IFS(I13807&lt;=3,"small",I13807&lt;=6,"Medium",I13807&lt;=9,"Large")</f>
        <v>Large</v>
      </c>
      <c r="K13807" s="36">
        <v>45450</v>
      </c>
      <c r="L13807" s="36">
        <v>45453</v>
      </c>
      <c r="M13807" t="s">
        <v>603</v>
      </c>
      <c r="N13807" t="s">
        <v>608</v>
      </c>
      <c r="O13807" s="37" t="str">
        <f t="shared" si="1078"/>
        <v>Cash Payment</v>
      </c>
      <c r="P13807">
        <v>264.7</v>
      </c>
      <c r="Q13807" s="37" t="str">
        <f>IF(P13807&gt;500,"High","low")</f>
        <v>low</v>
      </c>
      <c r="R13807" s="37" t="str">
        <f t="shared" si="1079"/>
        <v>AVERAGE</v>
      </c>
      <c r="S13807" t="s">
        <v>605</v>
      </c>
    </row>
    <row r="13808" spans="1:19" x14ac:dyDescent="0.2">
      <c r="A13808" t="s">
        <v>14419</v>
      </c>
      <c r="B13808" t="s">
        <v>90</v>
      </c>
      <c r="C13808" t="s">
        <v>597</v>
      </c>
      <c r="D13808">
        <v>4047.85</v>
      </c>
      <c r="E13808" s="37" t="str">
        <f t="shared" si="1075"/>
        <v xml:space="preserve"> </v>
      </c>
      <c r="F13808">
        <v>0.01</v>
      </c>
      <c r="G13808" s="37" t="str">
        <f t="shared" si="1076"/>
        <v>Normal Discount</v>
      </c>
      <c r="H13808" s="37" t="str">
        <f t="shared" si="1077"/>
        <v>Low</v>
      </c>
      <c r="I13808">
        <v>8</v>
      </c>
      <c r="J13808" t="str" cm="1">
        <f t="array" ref="J13808">_xlfn.IFS(I13808&lt;=3,"small",I13808&lt;=6,"Medium",I13808&lt;=9,"Large")</f>
        <v>Large</v>
      </c>
      <c r="K13808" s="36">
        <v>45630</v>
      </c>
      <c r="L13808" s="36">
        <v>45631</v>
      </c>
      <c r="M13808" t="s">
        <v>603</v>
      </c>
      <c r="N13808" t="s">
        <v>604</v>
      </c>
      <c r="O13808" s="37" t="str">
        <f t="shared" si="1078"/>
        <v>Digital Payment</v>
      </c>
      <c r="P13808">
        <v>331.77</v>
      </c>
      <c r="Q13808" s="37" t="str">
        <f>IF(P13808&gt;500,"High","low")</f>
        <v>low</v>
      </c>
      <c r="R13808" s="37" t="str">
        <f t="shared" si="1079"/>
        <v>AVERAGE</v>
      </c>
      <c r="S13808" t="s">
        <v>620</v>
      </c>
    </row>
    <row r="13809" spans="1:19" x14ac:dyDescent="0.2">
      <c r="A13809" t="s">
        <v>14420</v>
      </c>
      <c r="B13809" t="s">
        <v>90</v>
      </c>
      <c r="C13809" t="s">
        <v>614</v>
      </c>
      <c r="D13809">
        <v>3319.82</v>
      </c>
      <c r="E13809" s="37" t="str">
        <f t="shared" si="1075"/>
        <v xml:space="preserve"> </v>
      </c>
      <c r="F13809">
        <v>0.43</v>
      </c>
      <c r="G13809" s="37" t="str">
        <f t="shared" si="1076"/>
        <v>Heavy Discount</v>
      </c>
      <c r="H13809" s="37" t="str">
        <f t="shared" si="1077"/>
        <v>High</v>
      </c>
      <c r="I13809">
        <v>6</v>
      </c>
      <c r="J13809" t="str" cm="1">
        <f t="array" ref="J13809">_xlfn.IFS(I13809&lt;=3,"small",I13809&lt;=6,"Medium",I13809&lt;=9,"Large")</f>
        <v>Medium</v>
      </c>
      <c r="K13809" s="36">
        <v>45302</v>
      </c>
      <c r="L13809" s="36">
        <v>45304</v>
      </c>
      <c r="M13809" t="s">
        <v>603</v>
      </c>
      <c r="N13809" t="s">
        <v>604</v>
      </c>
      <c r="O13809" s="37" t="str">
        <f t="shared" si="1078"/>
        <v>Digital Payment</v>
      </c>
      <c r="P13809">
        <v>497.81</v>
      </c>
      <c r="Q13809" s="37" t="str">
        <f>IF(P13809&gt;500,"High","low")</f>
        <v>low</v>
      </c>
      <c r="R13809" s="37" t="str">
        <f t="shared" si="1079"/>
        <v>AVERAGE</v>
      </c>
      <c r="S13809" t="s">
        <v>609</v>
      </c>
    </row>
    <row r="13810" spans="1:19" x14ac:dyDescent="0.2">
      <c r="A13810" t="s">
        <v>14421</v>
      </c>
      <c r="B13810" t="s">
        <v>90</v>
      </c>
      <c r="C13810" t="s">
        <v>607</v>
      </c>
      <c r="D13810">
        <v>4187.5</v>
      </c>
      <c r="E13810" s="37" t="str">
        <f t="shared" si="1075"/>
        <v>Excellent Order</v>
      </c>
      <c r="F13810">
        <v>0.25</v>
      </c>
      <c r="G13810" s="37" t="str">
        <f t="shared" si="1076"/>
        <v>Normal Discount</v>
      </c>
      <c r="H13810" s="37" t="str">
        <f t="shared" si="1077"/>
        <v>Medium</v>
      </c>
      <c r="I13810">
        <v>5</v>
      </c>
      <c r="J13810" t="str" cm="1">
        <f t="array" ref="J13810">_xlfn.IFS(I13810&lt;=3,"small",I13810&lt;=6,"Medium",I13810&lt;=9,"Large")</f>
        <v>Medium</v>
      </c>
      <c r="K13810" s="36">
        <v>45109</v>
      </c>
      <c r="L13810" s="36">
        <v>45116</v>
      </c>
      <c r="M13810" t="s">
        <v>603</v>
      </c>
      <c r="N13810" t="s">
        <v>599</v>
      </c>
      <c r="O13810" s="37" t="str">
        <f t="shared" si="1078"/>
        <v>Digital Payment</v>
      </c>
      <c r="P13810">
        <v>1171.6099999999999</v>
      </c>
      <c r="Q13810" s="37" t="str">
        <f>IF(P13810&gt;500,"High","low")</f>
        <v>High</v>
      </c>
      <c r="R13810" s="37" t="str">
        <f t="shared" si="1079"/>
        <v>Excellent</v>
      </c>
      <c r="S13810" t="s">
        <v>620</v>
      </c>
    </row>
    <row r="13811" spans="1:19" x14ac:dyDescent="0.2">
      <c r="A13811" t="s">
        <v>14422</v>
      </c>
      <c r="B13811" t="s">
        <v>67</v>
      </c>
      <c r="C13811" t="s">
        <v>597</v>
      </c>
      <c r="D13811">
        <v>3219.76</v>
      </c>
      <c r="E13811" s="37" t="str">
        <f t="shared" si="1075"/>
        <v xml:space="preserve"> </v>
      </c>
      <c r="F13811">
        <v>0.18</v>
      </c>
      <c r="G13811" s="37" t="str">
        <f t="shared" si="1076"/>
        <v>Normal Discount</v>
      </c>
      <c r="H13811" s="37" t="str">
        <f t="shared" si="1077"/>
        <v>Low</v>
      </c>
      <c r="I13811">
        <v>5</v>
      </c>
      <c r="J13811" t="str" cm="1">
        <f t="array" ref="J13811">_xlfn.IFS(I13811&lt;=3,"small",I13811&lt;=6,"Medium",I13811&lt;=9,"Large")</f>
        <v>Medium</v>
      </c>
      <c r="K13811" s="36">
        <v>45194</v>
      </c>
      <c r="L13811" s="36">
        <v>45197</v>
      </c>
      <c r="M13811" t="s">
        <v>603</v>
      </c>
      <c r="N13811" t="s">
        <v>604</v>
      </c>
      <c r="O13811" s="37" t="str">
        <f t="shared" si="1078"/>
        <v>Digital Payment</v>
      </c>
      <c r="P13811">
        <v>892.63</v>
      </c>
      <c r="Q13811" s="37" t="str">
        <f>IF(P13811&gt;500,"High","low")</f>
        <v>High</v>
      </c>
      <c r="R13811" s="37" t="str">
        <f t="shared" si="1079"/>
        <v>Good</v>
      </c>
      <c r="S13811" t="s">
        <v>609</v>
      </c>
    </row>
    <row r="13812" spans="1:19" x14ac:dyDescent="0.2">
      <c r="A13812" t="s">
        <v>14423</v>
      </c>
      <c r="B13812" t="s">
        <v>90</v>
      </c>
      <c r="C13812" t="s">
        <v>602</v>
      </c>
      <c r="D13812">
        <v>878.97</v>
      </c>
      <c r="E13812" s="37" t="str">
        <f t="shared" si="1075"/>
        <v xml:space="preserve"> </v>
      </c>
      <c r="F13812">
        <v>0.14000000000000001</v>
      </c>
      <c r="G13812" s="37" t="str">
        <f t="shared" si="1076"/>
        <v>Normal Discount</v>
      </c>
      <c r="H13812" s="37" t="str">
        <f t="shared" si="1077"/>
        <v>Low</v>
      </c>
      <c r="I13812">
        <v>6</v>
      </c>
      <c r="J13812" t="str" cm="1">
        <f t="array" ref="J13812">_xlfn.IFS(I13812&lt;=3,"small",I13812&lt;=6,"Medium",I13812&lt;=9,"Large")</f>
        <v>Medium</v>
      </c>
      <c r="K13812" s="36">
        <v>45010</v>
      </c>
      <c r="L13812" s="36">
        <v>45014</v>
      </c>
      <c r="M13812" t="s">
        <v>598</v>
      </c>
      <c r="N13812" t="s">
        <v>608</v>
      </c>
      <c r="O13812" s="37" t="str">
        <f t="shared" si="1078"/>
        <v>Cash Payment</v>
      </c>
      <c r="P13812">
        <v>189.59</v>
      </c>
      <c r="Q13812" s="37" t="str">
        <f>IF(P13812&gt;500,"High","low")</f>
        <v>low</v>
      </c>
      <c r="R13812" s="37" t="str">
        <f t="shared" si="1079"/>
        <v>AVERAGE</v>
      </c>
      <c r="S13812" t="s">
        <v>605</v>
      </c>
    </row>
    <row r="13813" spans="1:19" x14ac:dyDescent="0.2">
      <c r="A13813" t="s">
        <v>14424</v>
      </c>
      <c r="B13813" t="s">
        <v>83</v>
      </c>
      <c r="C13813" t="s">
        <v>607</v>
      </c>
      <c r="D13813">
        <v>1616.28</v>
      </c>
      <c r="E13813" s="37" t="str">
        <f t="shared" si="1075"/>
        <v xml:space="preserve"> </v>
      </c>
      <c r="F13813">
        <v>0.14000000000000001</v>
      </c>
      <c r="G13813" s="37" t="str">
        <f t="shared" si="1076"/>
        <v>Normal Discount</v>
      </c>
      <c r="H13813" s="37" t="str">
        <f t="shared" si="1077"/>
        <v>Low</v>
      </c>
      <c r="I13813">
        <v>6</v>
      </c>
      <c r="J13813" t="str" cm="1">
        <f t="array" ref="J13813">_xlfn.IFS(I13813&lt;=3,"small",I13813&lt;=6,"Medium",I13813&lt;=9,"Large")</f>
        <v>Medium</v>
      </c>
      <c r="K13813" s="36">
        <v>45460</v>
      </c>
      <c r="L13813" s="36">
        <v>45463</v>
      </c>
      <c r="M13813" t="s">
        <v>603</v>
      </c>
      <c r="N13813" t="s">
        <v>608</v>
      </c>
      <c r="O13813" s="37" t="str">
        <f t="shared" si="1078"/>
        <v>Cash Payment</v>
      </c>
      <c r="P13813">
        <v>282.27</v>
      </c>
      <c r="Q13813" s="37" t="str">
        <f>IF(P13813&gt;500,"High","low")</f>
        <v>low</v>
      </c>
      <c r="R13813" s="37" t="str">
        <f t="shared" si="1079"/>
        <v>AVERAGE</v>
      </c>
      <c r="S13813" t="s">
        <v>605</v>
      </c>
    </row>
    <row r="13814" spans="1:19" x14ac:dyDescent="0.2">
      <c r="A13814" t="s">
        <v>14425</v>
      </c>
      <c r="B13814" t="s">
        <v>75</v>
      </c>
      <c r="C13814" t="s">
        <v>602</v>
      </c>
      <c r="D13814">
        <v>1718.74</v>
      </c>
      <c r="E13814" s="37" t="str">
        <f t="shared" si="1075"/>
        <v xml:space="preserve"> </v>
      </c>
      <c r="F13814">
        <v>0.04</v>
      </c>
      <c r="G13814" s="37" t="str">
        <f t="shared" si="1076"/>
        <v>Normal Discount</v>
      </c>
      <c r="H13814" s="37" t="str">
        <f t="shared" si="1077"/>
        <v>Low</v>
      </c>
      <c r="I13814">
        <v>9</v>
      </c>
      <c r="J13814" t="str" cm="1">
        <f t="array" ref="J13814">_xlfn.IFS(I13814&lt;=3,"small",I13814&lt;=6,"Medium",I13814&lt;=9,"Large")</f>
        <v>Large</v>
      </c>
      <c r="K13814" s="36">
        <v>45102</v>
      </c>
      <c r="L13814" s="36">
        <v>45107</v>
      </c>
      <c r="M13814" t="s">
        <v>603</v>
      </c>
      <c r="N13814" t="s">
        <v>599</v>
      </c>
      <c r="O13814" s="37" t="str">
        <f t="shared" si="1078"/>
        <v>Digital Payment</v>
      </c>
      <c r="P13814">
        <v>334.65</v>
      </c>
      <c r="Q13814" s="37" t="str">
        <f>IF(P13814&gt;500,"High","low")</f>
        <v>low</v>
      </c>
      <c r="R13814" s="37" t="str">
        <f t="shared" si="1079"/>
        <v>AVERAGE</v>
      </c>
      <c r="S13814" t="s">
        <v>628</v>
      </c>
    </row>
    <row r="13815" spans="1:19" x14ac:dyDescent="0.2">
      <c r="A13815" t="s">
        <v>14426</v>
      </c>
      <c r="B13815" t="s">
        <v>67</v>
      </c>
      <c r="C13815" t="s">
        <v>607</v>
      </c>
      <c r="D13815">
        <v>560.19000000000005</v>
      </c>
      <c r="E13815" s="37" t="str">
        <f t="shared" si="1075"/>
        <v xml:space="preserve"> </v>
      </c>
      <c r="F13815">
        <v>0.15</v>
      </c>
      <c r="G13815" s="37" t="str">
        <f t="shared" si="1076"/>
        <v>Normal Discount</v>
      </c>
      <c r="H13815" s="37" t="str">
        <f t="shared" si="1077"/>
        <v>Low</v>
      </c>
      <c r="I13815">
        <v>7</v>
      </c>
      <c r="J13815" t="str" cm="1">
        <f t="array" ref="J13815">_xlfn.IFS(I13815&lt;=3,"small",I13815&lt;=6,"Medium",I13815&lt;=9,"Large")</f>
        <v>Large</v>
      </c>
      <c r="K13815" s="36">
        <v>45227</v>
      </c>
      <c r="L13815" s="36">
        <v>45233</v>
      </c>
      <c r="M13815" t="s">
        <v>612</v>
      </c>
      <c r="N13815" t="s">
        <v>608</v>
      </c>
      <c r="O13815" s="37" t="str">
        <f t="shared" si="1078"/>
        <v>Cash Payment</v>
      </c>
      <c r="P13815">
        <v>118.49</v>
      </c>
      <c r="Q13815" s="37" t="str">
        <f>IF(P13815&gt;500,"High","low")</f>
        <v>low</v>
      </c>
      <c r="R13815" s="37" t="str">
        <f t="shared" si="1079"/>
        <v>AVERAGE</v>
      </c>
      <c r="S13815" t="s">
        <v>615</v>
      </c>
    </row>
    <row r="13816" spans="1:19" x14ac:dyDescent="0.2">
      <c r="A13816" t="s">
        <v>14427</v>
      </c>
      <c r="B13816" t="s">
        <v>75</v>
      </c>
      <c r="C13816" t="s">
        <v>597</v>
      </c>
      <c r="D13816">
        <v>3492.3</v>
      </c>
      <c r="E13816" s="37" t="str">
        <f t="shared" si="1075"/>
        <v xml:space="preserve"> </v>
      </c>
      <c r="F13816">
        <v>0.32</v>
      </c>
      <c r="G13816" s="37" t="str">
        <f t="shared" si="1076"/>
        <v>Heavy Discount</v>
      </c>
      <c r="H13816" s="37" t="str">
        <f t="shared" si="1077"/>
        <v>Medium</v>
      </c>
      <c r="I13816">
        <v>6</v>
      </c>
      <c r="J13816" t="str" cm="1">
        <f t="array" ref="J13816">_xlfn.IFS(I13816&lt;=3,"small",I13816&lt;=6,"Medium",I13816&lt;=9,"Large")</f>
        <v>Medium</v>
      </c>
      <c r="K13816" s="36">
        <v>44952</v>
      </c>
      <c r="L13816" s="36">
        <v>44954</v>
      </c>
      <c r="M13816" t="s">
        <v>598</v>
      </c>
      <c r="N13816" t="s">
        <v>608</v>
      </c>
      <c r="O13816" s="37" t="str">
        <f t="shared" si="1078"/>
        <v>Cash Payment</v>
      </c>
      <c r="P13816">
        <v>610.63</v>
      </c>
      <c r="Q13816" s="37" t="str">
        <f>IF(P13816&gt;500,"High","low")</f>
        <v>High</v>
      </c>
      <c r="R13816" s="37" t="str">
        <f t="shared" si="1079"/>
        <v>Good</v>
      </c>
      <c r="S13816" t="s">
        <v>605</v>
      </c>
    </row>
    <row r="13817" spans="1:19" x14ac:dyDescent="0.2">
      <c r="A13817" t="s">
        <v>14428</v>
      </c>
      <c r="B13817" t="s">
        <v>83</v>
      </c>
      <c r="C13817" t="s">
        <v>614</v>
      </c>
      <c r="D13817">
        <v>3016.04</v>
      </c>
      <c r="E13817" s="37" t="str">
        <f t="shared" si="1075"/>
        <v xml:space="preserve"> </v>
      </c>
      <c r="F13817">
        <v>0.19</v>
      </c>
      <c r="G13817" s="37" t="str">
        <f t="shared" si="1076"/>
        <v>Normal Discount</v>
      </c>
      <c r="H13817" s="37" t="str">
        <f t="shared" si="1077"/>
        <v>Low</v>
      </c>
      <c r="I13817">
        <v>7</v>
      </c>
      <c r="J13817" t="str" cm="1">
        <f t="array" ref="J13817">_xlfn.IFS(I13817&lt;=3,"small",I13817&lt;=6,"Medium",I13817&lt;=9,"Large")</f>
        <v>Large</v>
      </c>
      <c r="K13817" s="36">
        <v>45035</v>
      </c>
      <c r="L13817" s="36">
        <v>45040</v>
      </c>
      <c r="M13817" t="s">
        <v>603</v>
      </c>
      <c r="N13817" t="s">
        <v>608</v>
      </c>
      <c r="O13817" s="37" t="str">
        <f t="shared" si="1078"/>
        <v>Cash Payment</v>
      </c>
      <c r="P13817">
        <v>549.62</v>
      </c>
      <c r="Q13817" s="37" t="str">
        <f>IF(P13817&gt;500,"High","low")</f>
        <v>High</v>
      </c>
      <c r="R13817" s="37" t="str">
        <f t="shared" si="1079"/>
        <v>Good</v>
      </c>
      <c r="S13817" t="s">
        <v>615</v>
      </c>
    </row>
    <row r="13818" spans="1:19" x14ac:dyDescent="0.2">
      <c r="A13818" t="s">
        <v>14429</v>
      </c>
      <c r="B13818" t="s">
        <v>90</v>
      </c>
      <c r="C13818" t="s">
        <v>607</v>
      </c>
      <c r="D13818">
        <v>2989.8</v>
      </c>
      <c r="E13818" s="37" t="str">
        <f t="shared" si="1075"/>
        <v xml:space="preserve"> </v>
      </c>
      <c r="F13818">
        <v>0.47</v>
      </c>
      <c r="G13818" s="37" t="str">
        <f t="shared" si="1076"/>
        <v>Heavy Discount</v>
      </c>
      <c r="H13818" s="37" t="str">
        <f t="shared" si="1077"/>
        <v>High</v>
      </c>
      <c r="I13818">
        <v>3</v>
      </c>
      <c r="J13818" t="str" cm="1">
        <f t="array" ref="J13818">_xlfn.IFS(I13818&lt;=3,"small",I13818&lt;=6,"Medium",I13818&lt;=9,"Large")</f>
        <v>small</v>
      </c>
      <c r="K13818" s="36">
        <v>45293</v>
      </c>
      <c r="L13818" s="36">
        <v>45298</v>
      </c>
      <c r="M13818" t="s">
        <v>612</v>
      </c>
      <c r="N13818" t="s">
        <v>599</v>
      </c>
      <c r="O13818" s="37" t="str">
        <f t="shared" si="1078"/>
        <v>Digital Payment</v>
      </c>
      <c r="P13818">
        <v>751.54</v>
      </c>
      <c r="Q13818" s="37" t="str">
        <f>IF(P13818&gt;500,"High","low")</f>
        <v>High</v>
      </c>
      <c r="R13818" s="37" t="str">
        <f t="shared" si="1079"/>
        <v>Good</v>
      </c>
      <c r="S13818" t="s">
        <v>615</v>
      </c>
    </row>
    <row r="13819" spans="1:19" x14ac:dyDescent="0.2">
      <c r="A13819" t="s">
        <v>14430</v>
      </c>
      <c r="B13819" t="s">
        <v>75</v>
      </c>
      <c r="C13819" t="s">
        <v>617</v>
      </c>
      <c r="D13819">
        <v>2444.73</v>
      </c>
      <c r="E13819" s="37" t="str">
        <f t="shared" si="1075"/>
        <v xml:space="preserve"> </v>
      </c>
      <c r="F13819">
        <v>0.33</v>
      </c>
      <c r="G13819" s="37" t="str">
        <f t="shared" si="1076"/>
        <v>Heavy Discount</v>
      </c>
      <c r="H13819" s="37" t="str">
        <f t="shared" si="1077"/>
        <v>Medium</v>
      </c>
      <c r="I13819">
        <v>2</v>
      </c>
      <c r="J13819" t="str" cm="1">
        <f t="array" ref="J13819">_xlfn.IFS(I13819&lt;=3,"small",I13819&lt;=6,"Medium",I13819&lt;=9,"Large")</f>
        <v>small</v>
      </c>
      <c r="K13819" s="36">
        <v>45033</v>
      </c>
      <c r="L13819" s="36">
        <v>45040</v>
      </c>
      <c r="M13819" t="s">
        <v>612</v>
      </c>
      <c r="N13819" t="s">
        <v>599</v>
      </c>
      <c r="O13819" s="37" t="str">
        <f t="shared" si="1078"/>
        <v>Digital Payment</v>
      </c>
      <c r="P13819">
        <v>635.70000000000005</v>
      </c>
      <c r="Q13819" s="37" t="str">
        <f>IF(P13819&gt;500,"High","low")</f>
        <v>High</v>
      </c>
      <c r="R13819" s="37" t="str">
        <f t="shared" si="1079"/>
        <v>Good</v>
      </c>
      <c r="S13819" t="s">
        <v>615</v>
      </c>
    </row>
    <row r="13820" spans="1:19" x14ac:dyDescent="0.2">
      <c r="A13820" t="s">
        <v>14431</v>
      </c>
      <c r="B13820" t="s">
        <v>83</v>
      </c>
      <c r="C13820" t="s">
        <v>602</v>
      </c>
      <c r="D13820">
        <v>2761.31</v>
      </c>
      <c r="E13820" s="37" t="str">
        <f t="shared" si="1075"/>
        <v xml:space="preserve"> </v>
      </c>
      <c r="F13820">
        <v>0.43</v>
      </c>
      <c r="G13820" s="37" t="str">
        <f t="shared" si="1076"/>
        <v>Heavy Discount</v>
      </c>
      <c r="H13820" s="37" t="str">
        <f t="shared" si="1077"/>
        <v>High</v>
      </c>
      <c r="I13820">
        <v>7</v>
      </c>
      <c r="J13820" t="str" cm="1">
        <f t="array" ref="J13820">_xlfn.IFS(I13820&lt;=3,"small",I13820&lt;=6,"Medium",I13820&lt;=9,"Large")</f>
        <v>Large</v>
      </c>
      <c r="K13820" s="36">
        <v>45365</v>
      </c>
      <c r="L13820" s="36">
        <v>45372</v>
      </c>
      <c r="M13820" t="s">
        <v>612</v>
      </c>
      <c r="N13820" t="s">
        <v>604</v>
      </c>
      <c r="O13820" s="37" t="str">
        <f t="shared" si="1078"/>
        <v>Digital Payment</v>
      </c>
      <c r="P13820">
        <v>498.33</v>
      </c>
      <c r="Q13820" s="37" t="str">
        <f>IF(P13820&gt;500,"High","low")</f>
        <v>low</v>
      </c>
      <c r="R13820" s="37" t="str">
        <f t="shared" si="1079"/>
        <v>AVERAGE</v>
      </c>
      <c r="S13820" t="s">
        <v>615</v>
      </c>
    </row>
    <row r="13821" spans="1:19" x14ac:dyDescent="0.2">
      <c r="A13821" t="s">
        <v>14432</v>
      </c>
      <c r="B13821" t="s">
        <v>83</v>
      </c>
      <c r="C13821" t="s">
        <v>607</v>
      </c>
      <c r="D13821">
        <v>139.63</v>
      </c>
      <c r="E13821" s="37" t="str">
        <f t="shared" si="1075"/>
        <v xml:space="preserve"> </v>
      </c>
      <c r="F13821">
        <v>0.06</v>
      </c>
      <c r="G13821" s="37" t="str">
        <f t="shared" si="1076"/>
        <v>Normal Discount</v>
      </c>
      <c r="H13821" s="37" t="str">
        <f t="shared" si="1077"/>
        <v>Low</v>
      </c>
      <c r="I13821">
        <v>3</v>
      </c>
      <c r="J13821" t="str" cm="1">
        <f t="array" ref="J13821">_xlfn.IFS(I13821&lt;=3,"small",I13821&lt;=6,"Medium",I13821&lt;=9,"Large")</f>
        <v>small</v>
      </c>
      <c r="K13821" s="36">
        <v>45511</v>
      </c>
      <c r="L13821" s="36">
        <v>45515</v>
      </c>
      <c r="M13821" t="s">
        <v>612</v>
      </c>
      <c r="N13821" t="s">
        <v>604</v>
      </c>
      <c r="O13821" s="37" t="str">
        <f t="shared" si="1078"/>
        <v>Digital Payment</v>
      </c>
      <c r="P13821">
        <v>27.17</v>
      </c>
      <c r="Q13821" s="37" t="str">
        <f>IF(P13821&gt;500,"High","low")</f>
        <v>low</v>
      </c>
      <c r="R13821" s="37" t="str">
        <f t="shared" si="1079"/>
        <v>AVERAGE</v>
      </c>
      <c r="S13821" t="s">
        <v>620</v>
      </c>
    </row>
    <row r="13822" spans="1:19" x14ac:dyDescent="0.2">
      <c r="A13822" t="s">
        <v>14433</v>
      </c>
      <c r="B13822" t="s">
        <v>75</v>
      </c>
      <c r="C13822" t="s">
        <v>602</v>
      </c>
      <c r="D13822">
        <v>571.62</v>
      </c>
      <c r="E13822" s="37" t="str">
        <f t="shared" si="1075"/>
        <v xml:space="preserve"> </v>
      </c>
      <c r="F13822">
        <v>0.23</v>
      </c>
      <c r="G13822" s="37" t="str">
        <f t="shared" si="1076"/>
        <v>Normal Discount</v>
      </c>
      <c r="H13822" s="37" t="str">
        <f t="shared" si="1077"/>
        <v>Medium</v>
      </c>
      <c r="I13822">
        <v>4</v>
      </c>
      <c r="J13822" t="str" cm="1">
        <f t="array" ref="J13822">_xlfn.IFS(I13822&lt;=3,"small",I13822&lt;=6,"Medium",I13822&lt;=9,"Large")</f>
        <v>Medium</v>
      </c>
      <c r="K13822" s="36">
        <v>45123</v>
      </c>
      <c r="L13822" s="36">
        <v>45129</v>
      </c>
      <c r="M13822" t="s">
        <v>603</v>
      </c>
      <c r="N13822" t="s">
        <v>608</v>
      </c>
      <c r="O13822" s="37" t="str">
        <f t="shared" si="1078"/>
        <v>Cash Payment</v>
      </c>
      <c r="P13822">
        <v>53.43</v>
      </c>
      <c r="Q13822" s="37" t="str">
        <f>IF(P13822&gt;500,"High","low")</f>
        <v>low</v>
      </c>
      <c r="R13822" s="37" t="str">
        <f t="shared" si="1079"/>
        <v>AVERAGE</v>
      </c>
      <c r="S13822" t="s">
        <v>600</v>
      </c>
    </row>
    <row r="13823" spans="1:19" x14ac:dyDescent="0.2">
      <c r="A13823" t="s">
        <v>14434</v>
      </c>
      <c r="B13823" t="s">
        <v>67</v>
      </c>
      <c r="C13823" t="s">
        <v>614</v>
      </c>
      <c r="D13823">
        <v>3448.43</v>
      </c>
      <c r="E13823" s="37" t="str">
        <f t="shared" si="1075"/>
        <v xml:space="preserve"> </v>
      </c>
      <c r="F13823">
        <v>0.02</v>
      </c>
      <c r="G13823" s="37" t="str">
        <f t="shared" si="1076"/>
        <v>Normal Discount</v>
      </c>
      <c r="H13823" s="37" t="str">
        <f t="shared" si="1077"/>
        <v>Low</v>
      </c>
      <c r="I13823">
        <v>2</v>
      </c>
      <c r="J13823" t="str" cm="1">
        <f t="array" ref="J13823">_xlfn.IFS(I13823&lt;=3,"small",I13823&lt;=6,"Medium",I13823&lt;=9,"Large")</f>
        <v>small</v>
      </c>
      <c r="K13823" s="36">
        <v>44928</v>
      </c>
      <c r="L13823" s="36">
        <v>44931</v>
      </c>
      <c r="M13823" t="s">
        <v>612</v>
      </c>
      <c r="N13823" t="s">
        <v>608</v>
      </c>
      <c r="O13823" s="37" t="str">
        <f t="shared" si="1078"/>
        <v>Cash Payment</v>
      </c>
      <c r="P13823">
        <v>495.1</v>
      </c>
      <c r="Q13823" s="37" t="str">
        <f>IF(P13823&gt;500,"High","low")</f>
        <v>low</v>
      </c>
      <c r="R13823" s="37" t="str">
        <f t="shared" si="1079"/>
        <v>AVERAGE</v>
      </c>
      <c r="S13823" t="s">
        <v>609</v>
      </c>
    </row>
    <row r="13824" spans="1:19" x14ac:dyDescent="0.2">
      <c r="A13824" t="s">
        <v>14435</v>
      </c>
      <c r="B13824" t="s">
        <v>75</v>
      </c>
      <c r="C13824" t="s">
        <v>602</v>
      </c>
      <c r="D13824">
        <v>1381.19</v>
      </c>
      <c r="E13824" s="37" t="str">
        <f t="shared" si="1075"/>
        <v xml:space="preserve"> </v>
      </c>
      <c r="F13824">
        <v>0.45</v>
      </c>
      <c r="G13824" s="37" t="str">
        <f t="shared" si="1076"/>
        <v>Heavy Discount</v>
      </c>
      <c r="H13824" s="37" t="str">
        <f t="shared" si="1077"/>
        <v>High</v>
      </c>
      <c r="I13824">
        <v>5</v>
      </c>
      <c r="J13824" t="str" cm="1">
        <f t="array" ref="J13824">_xlfn.IFS(I13824&lt;=3,"small",I13824&lt;=6,"Medium",I13824&lt;=9,"Large")</f>
        <v>Medium</v>
      </c>
      <c r="K13824" s="36">
        <v>45544</v>
      </c>
      <c r="L13824" s="36">
        <v>45551</v>
      </c>
      <c r="M13824" t="s">
        <v>612</v>
      </c>
      <c r="N13824" t="s">
        <v>604</v>
      </c>
      <c r="O13824" s="37" t="str">
        <f t="shared" si="1078"/>
        <v>Digital Payment</v>
      </c>
      <c r="P13824">
        <v>256.61</v>
      </c>
      <c r="Q13824" s="37" t="str">
        <f>IF(P13824&gt;500,"High","low")</f>
        <v>low</v>
      </c>
      <c r="R13824" s="37" t="str">
        <f t="shared" si="1079"/>
        <v>AVERAGE</v>
      </c>
      <c r="S13824" t="s">
        <v>628</v>
      </c>
    </row>
    <row r="13825" spans="1:19" x14ac:dyDescent="0.2">
      <c r="A13825" t="s">
        <v>14436</v>
      </c>
      <c r="B13825" t="s">
        <v>67</v>
      </c>
      <c r="C13825" t="s">
        <v>602</v>
      </c>
      <c r="D13825">
        <v>628.77</v>
      </c>
      <c r="E13825" s="37" t="str">
        <f t="shared" si="1075"/>
        <v xml:space="preserve"> </v>
      </c>
      <c r="F13825">
        <v>7.0000000000000007E-2</v>
      </c>
      <c r="G13825" s="37" t="str">
        <f t="shared" si="1076"/>
        <v>Normal Discount</v>
      </c>
      <c r="H13825" s="37" t="str">
        <f t="shared" si="1077"/>
        <v>Low</v>
      </c>
      <c r="I13825">
        <v>5</v>
      </c>
      <c r="J13825" t="str" cm="1">
        <f t="array" ref="J13825">_xlfn.IFS(I13825&lt;=3,"small",I13825&lt;=6,"Medium",I13825&lt;=9,"Large")</f>
        <v>Medium</v>
      </c>
      <c r="K13825" s="36">
        <v>45466</v>
      </c>
      <c r="L13825" s="36">
        <v>45471</v>
      </c>
      <c r="M13825" t="s">
        <v>603</v>
      </c>
      <c r="N13825" t="s">
        <v>608</v>
      </c>
      <c r="O13825" s="37" t="str">
        <f t="shared" si="1078"/>
        <v>Cash Payment</v>
      </c>
      <c r="P13825">
        <v>100.45</v>
      </c>
      <c r="Q13825" s="37" t="str">
        <f>IF(P13825&gt;500,"High","low")</f>
        <v>low</v>
      </c>
      <c r="R13825" s="37" t="str">
        <f t="shared" si="1079"/>
        <v>AVERAGE</v>
      </c>
      <c r="S13825" t="s">
        <v>615</v>
      </c>
    </row>
    <row r="13826" spans="1:19" x14ac:dyDescent="0.2">
      <c r="A13826" t="s">
        <v>14437</v>
      </c>
      <c r="B13826" t="s">
        <v>90</v>
      </c>
      <c r="C13826" t="s">
        <v>617</v>
      </c>
      <c r="D13826">
        <v>1710.41</v>
      </c>
      <c r="E13826" s="37" t="str">
        <f t="shared" si="1075"/>
        <v xml:space="preserve"> </v>
      </c>
      <c r="F13826">
        <v>0.4</v>
      </c>
      <c r="G13826" s="37" t="str">
        <f t="shared" si="1076"/>
        <v>Heavy Discount</v>
      </c>
      <c r="H13826" s="37" t="str">
        <f t="shared" si="1077"/>
        <v>Medium</v>
      </c>
      <c r="I13826">
        <v>1</v>
      </c>
      <c r="J13826" t="str" cm="1">
        <f t="array" ref="J13826">_xlfn.IFS(I13826&lt;=3,"small",I13826&lt;=6,"Medium",I13826&lt;=9,"Large")</f>
        <v>small</v>
      </c>
      <c r="K13826" s="36">
        <v>45259</v>
      </c>
      <c r="L13826" s="36">
        <v>45261</v>
      </c>
      <c r="M13826" t="s">
        <v>612</v>
      </c>
      <c r="N13826" t="s">
        <v>604</v>
      </c>
      <c r="O13826" s="37" t="str">
        <f t="shared" si="1078"/>
        <v>Digital Payment</v>
      </c>
      <c r="P13826">
        <v>414.01</v>
      </c>
      <c r="Q13826" s="37" t="str">
        <f>IF(P13826&gt;500,"High","low")</f>
        <v>low</v>
      </c>
      <c r="R13826" s="37" t="str">
        <f t="shared" si="1079"/>
        <v>AVERAGE</v>
      </c>
      <c r="S13826" t="s">
        <v>605</v>
      </c>
    </row>
    <row r="13827" spans="1:19" x14ac:dyDescent="0.2">
      <c r="A13827" t="s">
        <v>14438</v>
      </c>
      <c r="B13827" t="s">
        <v>67</v>
      </c>
      <c r="C13827" t="s">
        <v>602</v>
      </c>
      <c r="D13827">
        <v>1346.96</v>
      </c>
      <c r="E13827" s="37" t="str">
        <f t="shared" ref="E13827:E13890" si="1080">IF(AND(D13827&gt;4000,P13827&gt;800),"Excellent Order"," ")</f>
        <v xml:space="preserve"> </v>
      </c>
      <c r="F13827">
        <v>0.46</v>
      </c>
      <c r="G13827" s="37" t="str">
        <f t="shared" ref="G13827:G13890" si="1081">IF(F13827&gt;30%,"Heavy Discount","Normal Discount")</f>
        <v>Heavy Discount</v>
      </c>
      <c r="H13827" s="37" t="str">
        <f t="shared" ref="H13827:H13890" si="1082">IF(F13827&gt;0.4,"High",IF(F13827&gt;=0.2,"Medium","Low"))</f>
        <v>High</v>
      </c>
      <c r="I13827">
        <v>4</v>
      </c>
      <c r="J13827" t="str" cm="1">
        <f t="array" ref="J13827">_xlfn.IFS(I13827&lt;=3,"small",I13827&lt;=6,"Medium",I13827&lt;=9,"Large")</f>
        <v>Medium</v>
      </c>
      <c r="K13827" s="36">
        <v>45389</v>
      </c>
      <c r="L13827" s="36">
        <v>45396</v>
      </c>
      <c r="M13827" t="s">
        <v>612</v>
      </c>
      <c r="N13827" t="s">
        <v>604</v>
      </c>
      <c r="O13827" s="37" t="str">
        <f t="shared" ref="O13827:O13890" si="1083">IF(OR(N13827="Card",N13827="UPI"),"Digital Payment","Cash Payment")</f>
        <v>Digital Payment</v>
      </c>
      <c r="P13827">
        <v>140.30000000000001</v>
      </c>
      <c r="Q13827" s="37" t="str">
        <f>IF(P13827&gt;500,"High","low")</f>
        <v>low</v>
      </c>
      <c r="R13827" s="37" t="str">
        <f t="shared" ref="R13827:R13890" si="1084">IF(P13827&gt;1000,"Excellent",IF(P13827&gt;=500,"Good","AVERAGE"))</f>
        <v>AVERAGE</v>
      </c>
      <c r="S13827" t="s">
        <v>605</v>
      </c>
    </row>
    <row r="13828" spans="1:19" x14ac:dyDescent="0.2">
      <c r="A13828" t="s">
        <v>14439</v>
      </c>
      <c r="B13828" t="s">
        <v>90</v>
      </c>
      <c r="C13828" t="s">
        <v>607</v>
      </c>
      <c r="D13828">
        <v>243.93</v>
      </c>
      <c r="E13828" s="37" t="str">
        <f t="shared" si="1080"/>
        <v xml:space="preserve"> </v>
      </c>
      <c r="F13828">
        <v>0.22</v>
      </c>
      <c r="G13828" s="37" t="str">
        <f t="shared" si="1081"/>
        <v>Normal Discount</v>
      </c>
      <c r="H13828" s="37" t="str">
        <f t="shared" si="1082"/>
        <v>Medium</v>
      </c>
      <c r="I13828">
        <v>3</v>
      </c>
      <c r="J13828" t="str" cm="1">
        <f t="array" ref="J13828">_xlfn.IFS(I13828&lt;=3,"small",I13828&lt;=6,"Medium",I13828&lt;=9,"Large")</f>
        <v>small</v>
      </c>
      <c r="K13828" s="36">
        <v>45107</v>
      </c>
      <c r="L13828" s="36">
        <v>45114</v>
      </c>
      <c r="M13828" t="s">
        <v>598</v>
      </c>
      <c r="N13828" t="s">
        <v>599</v>
      </c>
      <c r="O13828" s="37" t="str">
        <f t="shared" si="1083"/>
        <v>Digital Payment</v>
      </c>
      <c r="P13828">
        <v>26.13</v>
      </c>
      <c r="Q13828" s="37" t="str">
        <f>IF(P13828&gt;500,"High","low")</f>
        <v>low</v>
      </c>
      <c r="R13828" s="37" t="str">
        <f t="shared" si="1084"/>
        <v>AVERAGE</v>
      </c>
      <c r="S13828" t="s">
        <v>628</v>
      </c>
    </row>
    <row r="13829" spans="1:19" x14ac:dyDescent="0.2">
      <c r="A13829" t="s">
        <v>14440</v>
      </c>
      <c r="B13829" t="s">
        <v>75</v>
      </c>
      <c r="C13829" t="s">
        <v>602</v>
      </c>
      <c r="D13829">
        <v>2111.73</v>
      </c>
      <c r="E13829" s="37" t="str">
        <f t="shared" si="1080"/>
        <v xml:space="preserve"> </v>
      </c>
      <c r="F13829">
        <v>0.19</v>
      </c>
      <c r="G13829" s="37" t="str">
        <f t="shared" si="1081"/>
        <v>Normal Discount</v>
      </c>
      <c r="H13829" s="37" t="str">
        <f t="shared" si="1082"/>
        <v>Low</v>
      </c>
      <c r="I13829">
        <v>7</v>
      </c>
      <c r="J13829" t="str" cm="1">
        <f t="array" ref="J13829">_xlfn.IFS(I13829&lt;=3,"small",I13829&lt;=6,"Medium",I13829&lt;=9,"Large")</f>
        <v>Large</v>
      </c>
      <c r="K13829" s="36">
        <v>45580</v>
      </c>
      <c r="L13829" s="36">
        <v>45583</v>
      </c>
      <c r="M13829" t="s">
        <v>603</v>
      </c>
      <c r="N13829" t="s">
        <v>604</v>
      </c>
      <c r="O13829" s="37" t="str">
        <f t="shared" si="1083"/>
        <v>Digital Payment</v>
      </c>
      <c r="P13829">
        <v>594.44000000000005</v>
      </c>
      <c r="Q13829" s="37" t="str">
        <f>IF(P13829&gt;500,"High","low")</f>
        <v>High</v>
      </c>
      <c r="R13829" s="37" t="str">
        <f t="shared" si="1084"/>
        <v>Good</v>
      </c>
      <c r="S13829" t="s">
        <v>605</v>
      </c>
    </row>
    <row r="13830" spans="1:19" x14ac:dyDescent="0.2">
      <c r="A13830" t="s">
        <v>14441</v>
      </c>
      <c r="B13830" t="s">
        <v>90</v>
      </c>
      <c r="C13830" t="s">
        <v>597</v>
      </c>
      <c r="D13830">
        <v>232.44</v>
      </c>
      <c r="E13830" s="37" t="str">
        <f t="shared" si="1080"/>
        <v xml:space="preserve"> </v>
      </c>
      <c r="F13830">
        <v>0.3</v>
      </c>
      <c r="G13830" s="37" t="str">
        <f t="shared" si="1081"/>
        <v>Normal Discount</v>
      </c>
      <c r="H13830" s="37" t="str">
        <f t="shared" si="1082"/>
        <v>Medium</v>
      </c>
      <c r="I13830">
        <v>5</v>
      </c>
      <c r="J13830" t="str" cm="1">
        <f t="array" ref="J13830">_xlfn.IFS(I13830&lt;=3,"small",I13830&lt;=6,"Medium",I13830&lt;=9,"Large")</f>
        <v>Medium</v>
      </c>
      <c r="K13830" s="36">
        <v>45545</v>
      </c>
      <c r="L13830" s="36">
        <v>45550</v>
      </c>
      <c r="M13830" t="s">
        <v>612</v>
      </c>
      <c r="N13830" t="s">
        <v>599</v>
      </c>
      <c r="O13830" s="37" t="str">
        <f t="shared" si="1083"/>
        <v>Digital Payment</v>
      </c>
      <c r="P13830">
        <v>18.23</v>
      </c>
      <c r="Q13830" s="37" t="str">
        <f>IF(P13830&gt;500,"High","low")</f>
        <v>low</v>
      </c>
      <c r="R13830" s="37" t="str">
        <f t="shared" si="1084"/>
        <v>AVERAGE</v>
      </c>
      <c r="S13830" t="s">
        <v>605</v>
      </c>
    </row>
    <row r="13831" spans="1:19" x14ac:dyDescent="0.2">
      <c r="A13831" t="s">
        <v>14442</v>
      </c>
      <c r="B13831" t="s">
        <v>83</v>
      </c>
      <c r="C13831" t="s">
        <v>602</v>
      </c>
      <c r="D13831">
        <v>101.92</v>
      </c>
      <c r="E13831" s="37" t="str">
        <f t="shared" si="1080"/>
        <v xml:space="preserve"> </v>
      </c>
      <c r="F13831">
        <v>0.37</v>
      </c>
      <c r="G13831" s="37" t="str">
        <f t="shared" si="1081"/>
        <v>Heavy Discount</v>
      </c>
      <c r="H13831" s="37" t="str">
        <f t="shared" si="1082"/>
        <v>Medium</v>
      </c>
      <c r="I13831">
        <v>6</v>
      </c>
      <c r="J13831" t="str" cm="1">
        <f t="array" ref="J13831">_xlfn.IFS(I13831&lt;=3,"small",I13831&lt;=6,"Medium",I13831&lt;=9,"Large")</f>
        <v>Medium</v>
      </c>
      <c r="K13831" s="36">
        <v>45100</v>
      </c>
      <c r="L13831" s="36">
        <v>45106</v>
      </c>
      <c r="M13831" t="s">
        <v>603</v>
      </c>
      <c r="N13831" t="s">
        <v>599</v>
      </c>
      <c r="O13831" s="37" t="str">
        <f t="shared" si="1083"/>
        <v>Digital Payment</v>
      </c>
      <c r="P13831">
        <v>11.17</v>
      </c>
      <c r="Q13831" s="37" t="str">
        <f>IF(P13831&gt;500,"High","low")</f>
        <v>low</v>
      </c>
      <c r="R13831" s="37" t="str">
        <f t="shared" si="1084"/>
        <v>AVERAGE</v>
      </c>
      <c r="S13831" t="s">
        <v>615</v>
      </c>
    </row>
    <row r="13832" spans="1:19" x14ac:dyDescent="0.2">
      <c r="A13832" t="s">
        <v>14443</v>
      </c>
      <c r="B13832" t="s">
        <v>90</v>
      </c>
      <c r="C13832" t="s">
        <v>597</v>
      </c>
      <c r="D13832">
        <v>3983.12</v>
      </c>
      <c r="E13832" s="37" t="str">
        <f t="shared" si="1080"/>
        <v xml:space="preserve"> </v>
      </c>
      <c r="F13832">
        <v>0.32</v>
      </c>
      <c r="G13832" s="37" t="str">
        <f t="shared" si="1081"/>
        <v>Heavy Discount</v>
      </c>
      <c r="H13832" s="37" t="str">
        <f t="shared" si="1082"/>
        <v>Medium</v>
      </c>
      <c r="I13832">
        <v>2</v>
      </c>
      <c r="J13832" t="str" cm="1">
        <f t="array" ref="J13832">_xlfn.IFS(I13832&lt;=3,"small",I13832&lt;=6,"Medium",I13832&lt;=9,"Large")</f>
        <v>small</v>
      </c>
      <c r="K13832" s="36">
        <v>45307</v>
      </c>
      <c r="L13832" s="36">
        <v>45308</v>
      </c>
      <c r="M13832" t="s">
        <v>598</v>
      </c>
      <c r="N13832" t="s">
        <v>599</v>
      </c>
      <c r="O13832" s="37" t="str">
        <f t="shared" si="1083"/>
        <v>Digital Payment</v>
      </c>
      <c r="P13832">
        <v>936.26</v>
      </c>
      <c r="Q13832" s="37" t="str">
        <f>IF(P13832&gt;500,"High","low")</f>
        <v>High</v>
      </c>
      <c r="R13832" s="37" t="str">
        <f t="shared" si="1084"/>
        <v>Good</v>
      </c>
      <c r="S13832" t="s">
        <v>605</v>
      </c>
    </row>
    <row r="13833" spans="1:19" x14ac:dyDescent="0.2">
      <c r="A13833" t="s">
        <v>14444</v>
      </c>
      <c r="B13833" t="s">
        <v>67</v>
      </c>
      <c r="C13833" t="s">
        <v>602</v>
      </c>
      <c r="D13833">
        <v>1643.36</v>
      </c>
      <c r="E13833" s="37" t="str">
        <f t="shared" si="1080"/>
        <v xml:space="preserve"> </v>
      </c>
      <c r="F13833">
        <v>0</v>
      </c>
      <c r="G13833" s="37" t="str">
        <f t="shared" si="1081"/>
        <v>Normal Discount</v>
      </c>
      <c r="H13833" s="37" t="str">
        <f t="shared" si="1082"/>
        <v>Low</v>
      </c>
      <c r="I13833">
        <v>1</v>
      </c>
      <c r="J13833" t="str" cm="1">
        <f t="array" ref="J13833">_xlfn.IFS(I13833&lt;=3,"small",I13833&lt;=6,"Medium",I13833&lt;=9,"Large")</f>
        <v>small</v>
      </c>
      <c r="K13833" s="36">
        <v>45260</v>
      </c>
      <c r="L13833" s="36">
        <v>45267</v>
      </c>
      <c r="M13833" t="s">
        <v>598</v>
      </c>
      <c r="N13833" t="s">
        <v>599</v>
      </c>
      <c r="O13833" s="37" t="str">
        <f t="shared" si="1083"/>
        <v>Digital Payment</v>
      </c>
      <c r="P13833">
        <v>298</v>
      </c>
      <c r="Q13833" s="37" t="str">
        <f>IF(P13833&gt;500,"High","low")</f>
        <v>low</v>
      </c>
      <c r="R13833" s="37" t="str">
        <f t="shared" si="1084"/>
        <v>AVERAGE</v>
      </c>
      <c r="S13833" t="s">
        <v>609</v>
      </c>
    </row>
    <row r="13834" spans="1:19" x14ac:dyDescent="0.2">
      <c r="A13834" t="s">
        <v>14445</v>
      </c>
      <c r="B13834" t="s">
        <v>67</v>
      </c>
      <c r="C13834" t="s">
        <v>602</v>
      </c>
      <c r="D13834">
        <v>2881.17</v>
      </c>
      <c r="E13834" s="37" t="str">
        <f t="shared" si="1080"/>
        <v xml:space="preserve"> </v>
      </c>
      <c r="F13834">
        <v>0.39</v>
      </c>
      <c r="G13834" s="37" t="str">
        <f t="shared" si="1081"/>
        <v>Heavy Discount</v>
      </c>
      <c r="H13834" s="37" t="str">
        <f t="shared" si="1082"/>
        <v>Medium</v>
      </c>
      <c r="I13834">
        <v>3</v>
      </c>
      <c r="J13834" t="str" cm="1">
        <f t="array" ref="J13834">_xlfn.IFS(I13834&lt;=3,"small",I13834&lt;=6,"Medium",I13834&lt;=9,"Large")</f>
        <v>small</v>
      </c>
      <c r="K13834" s="36">
        <v>45249</v>
      </c>
      <c r="L13834" s="36">
        <v>45255</v>
      </c>
      <c r="M13834" t="s">
        <v>598</v>
      </c>
      <c r="N13834" t="s">
        <v>599</v>
      </c>
      <c r="O13834" s="37" t="str">
        <f t="shared" si="1083"/>
        <v>Digital Payment</v>
      </c>
      <c r="P13834">
        <v>231.53</v>
      </c>
      <c r="Q13834" s="37" t="str">
        <f>IF(P13834&gt;500,"High","low")</f>
        <v>low</v>
      </c>
      <c r="R13834" s="37" t="str">
        <f t="shared" si="1084"/>
        <v>AVERAGE</v>
      </c>
      <c r="S13834" t="s">
        <v>605</v>
      </c>
    </row>
    <row r="13835" spans="1:19" x14ac:dyDescent="0.2">
      <c r="A13835" t="s">
        <v>14446</v>
      </c>
      <c r="B13835" t="s">
        <v>67</v>
      </c>
      <c r="C13835" t="s">
        <v>607</v>
      </c>
      <c r="D13835">
        <v>1558.98</v>
      </c>
      <c r="E13835" s="37" t="str">
        <f t="shared" si="1080"/>
        <v xml:space="preserve"> </v>
      </c>
      <c r="F13835">
        <v>7.0000000000000007E-2</v>
      </c>
      <c r="G13835" s="37" t="str">
        <f t="shared" si="1081"/>
        <v>Normal Discount</v>
      </c>
      <c r="H13835" s="37" t="str">
        <f t="shared" si="1082"/>
        <v>Low</v>
      </c>
      <c r="I13835">
        <v>3</v>
      </c>
      <c r="J13835" t="str" cm="1">
        <f t="array" ref="J13835">_xlfn.IFS(I13835&lt;=3,"small",I13835&lt;=6,"Medium",I13835&lt;=9,"Large")</f>
        <v>small</v>
      </c>
      <c r="K13835" s="36">
        <v>45427</v>
      </c>
      <c r="L13835" s="36">
        <v>45434</v>
      </c>
      <c r="M13835" t="s">
        <v>603</v>
      </c>
      <c r="N13835" t="s">
        <v>604</v>
      </c>
      <c r="O13835" s="37" t="str">
        <f t="shared" si="1083"/>
        <v>Digital Payment</v>
      </c>
      <c r="P13835">
        <v>329.52</v>
      </c>
      <c r="Q13835" s="37" t="str">
        <f>IF(P13835&gt;500,"High","low")</f>
        <v>low</v>
      </c>
      <c r="R13835" s="37" t="str">
        <f t="shared" si="1084"/>
        <v>AVERAGE</v>
      </c>
      <c r="S13835" t="s">
        <v>600</v>
      </c>
    </row>
    <row r="13836" spans="1:19" x14ac:dyDescent="0.2">
      <c r="A13836" t="s">
        <v>14447</v>
      </c>
      <c r="B13836" t="s">
        <v>90</v>
      </c>
      <c r="C13836" t="s">
        <v>597</v>
      </c>
      <c r="D13836">
        <v>4657.12</v>
      </c>
      <c r="E13836" s="37" t="str">
        <f t="shared" si="1080"/>
        <v xml:space="preserve"> </v>
      </c>
      <c r="F13836">
        <v>0.22</v>
      </c>
      <c r="G13836" s="37" t="str">
        <f t="shared" si="1081"/>
        <v>Normal Discount</v>
      </c>
      <c r="H13836" s="37" t="str">
        <f t="shared" si="1082"/>
        <v>Medium</v>
      </c>
      <c r="I13836">
        <v>7</v>
      </c>
      <c r="J13836" t="str" cm="1">
        <f t="array" ref="J13836">_xlfn.IFS(I13836&lt;=3,"small",I13836&lt;=6,"Medium",I13836&lt;=9,"Large")</f>
        <v>Large</v>
      </c>
      <c r="K13836" s="36">
        <v>45412</v>
      </c>
      <c r="L13836" s="36">
        <v>45418</v>
      </c>
      <c r="M13836" t="s">
        <v>612</v>
      </c>
      <c r="N13836" t="s">
        <v>608</v>
      </c>
      <c r="O13836" s="37" t="str">
        <f t="shared" si="1083"/>
        <v>Cash Payment</v>
      </c>
      <c r="P13836">
        <v>489.99</v>
      </c>
      <c r="Q13836" s="37" t="str">
        <f>IF(P13836&gt;500,"High","low")</f>
        <v>low</v>
      </c>
      <c r="R13836" s="37" t="str">
        <f t="shared" si="1084"/>
        <v>AVERAGE</v>
      </c>
      <c r="S13836" t="s">
        <v>615</v>
      </c>
    </row>
    <row r="13837" spans="1:19" x14ac:dyDescent="0.2">
      <c r="A13837" t="s">
        <v>14448</v>
      </c>
      <c r="B13837" t="s">
        <v>67</v>
      </c>
      <c r="C13837" t="s">
        <v>597</v>
      </c>
      <c r="D13837">
        <v>3672.99</v>
      </c>
      <c r="E13837" s="37" t="str">
        <f t="shared" si="1080"/>
        <v xml:space="preserve"> </v>
      </c>
      <c r="F13837">
        <v>0.14000000000000001</v>
      </c>
      <c r="G13837" s="37" t="str">
        <f t="shared" si="1081"/>
        <v>Normal Discount</v>
      </c>
      <c r="H13837" s="37" t="str">
        <f t="shared" si="1082"/>
        <v>Low</v>
      </c>
      <c r="I13837">
        <v>7</v>
      </c>
      <c r="J13837" t="str" cm="1">
        <f t="array" ref="J13837">_xlfn.IFS(I13837&lt;=3,"small",I13837&lt;=6,"Medium",I13837&lt;=9,"Large")</f>
        <v>Large</v>
      </c>
      <c r="K13837" s="36">
        <v>45124</v>
      </c>
      <c r="L13837" s="36">
        <v>45125</v>
      </c>
      <c r="M13837" t="s">
        <v>603</v>
      </c>
      <c r="N13837" t="s">
        <v>604</v>
      </c>
      <c r="O13837" s="37" t="str">
        <f t="shared" si="1083"/>
        <v>Digital Payment</v>
      </c>
      <c r="P13837">
        <v>359.11</v>
      </c>
      <c r="Q13837" s="37" t="str">
        <f>IF(P13837&gt;500,"High","low")</f>
        <v>low</v>
      </c>
      <c r="R13837" s="37" t="str">
        <f t="shared" si="1084"/>
        <v>AVERAGE</v>
      </c>
      <c r="S13837" t="s">
        <v>609</v>
      </c>
    </row>
    <row r="13838" spans="1:19" x14ac:dyDescent="0.2">
      <c r="A13838" t="s">
        <v>14449</v>
      </c>
      <c r="B13838" t="s">
        <v>67</v>
      </c>
      <c r="C13838" t="s">
        <v>617</v>
      </c>
      <c r="D13838">
        <v>1908.93</v>
      </c>
      <c r="E13838" s="37" t="str">
        <f t="shared" si="1080"/>
        <v xml:space="preserve"> </v>
      </c>
      <c r="F13838">
        <v>0.46</v>
      </c>
      <c r="G13838" s="37" t="str">
        <f t="shared" si="1081"/>
        <v>Heavy Discount</v>
      </c>
      <c r="H13838" s="37" t="str">
        <f t="shared" si="1082"/>
        <v>High</v>
      </c>
      <c r="I13838">
        <v>6</v>
      </c>
      <c r="J13838" t="str" cm="1">
        <f t="array" ref="J13838">_xlfn.IFS(I13838&lt;=3,"small",I13838&lt;=6,"Medium",I13838&lt;=9,"Large")</f>
        <v>Medium</v>
      </c>
      <c r="K13838" s="36">
        <v>45473</v>
      </c>
      <c r="L13838" s="36">
        <v>45474</v>
      </c>
      <c r="M13838" t="s">
        <v>603</v>
      </c>
      <c r="N13838" t="s">
        <v>599</v>
      </c>
      <c r="O13838" s="37" t="str">
        <f t="shared" si="1083"/>
        <v>Digital Payment</v>
      </c>
      <c r="P13838">
        <v>230.77</v>
      </c>
      <c r="Q13838" s="37" t="str">
        <f>IF(P13838&gt;500,"High","low")</f>
        <v>low</v>
      </c>
      <c r="R13838" s="37" t="str">
        <f t="shared" si="1084"/>
        <v>AVERAGE</v>
      </c>
      <c r="S13838" t="s">
        <v>600</v>
      </c>
    </row>
    <row r="13839" spans="1:19" x14ac:dyDescent="0.2">
      <c r="A13839" t="s">
        <v>14450</v>
      </c>
      <c r="B13839" t="s">
        <v>83</v>
      </c>
      <c r="C13839" t="s">
        <v>602</v>
      </c>
      <c r="D13839">
        <v>1132.07</v>
      </c>
      <c r="E13839" s="37" t="str">
        <f t="shared" si="1080"/>
        <v xml:space="preserve"> </v>
      </c>
      <c r="F13839">
        <v>0.25</v>
      </c>
      <c r="G13839" s="37" t="str">
        <f t="shared" si="1081"/>
        <v>Normal Discount</v>
      </c>
      <c r="H13839" s="37" t="str">
        <f t="shared" si="1082"/>
        <v>Medium</v>
      </c>
      <c r="I13839">
        <v>4</v>
      </c>
      <c r="J13839" t="str" cm="1">
        <f t="array" ref="J13839">_xlfn.IFS(I13839&lt;=3,"small",I13839&lt;=6,"Medium",I13839&lt;=9,"Large")</f>
        <v>Medium</v>
      </c>
      <c r="K13839" s="36">
        <v>45202</v>
      </c>
      <c r="L13839" s="36">
        <v>45209</v>
      </c>
      <c r="M13839" t="s">
        <v>603</v>
      </c>
      <c r="N13839" t="s">
        <v>608</v>
      </c>
      <c r="O13839" s="37" t="str">
        <f t="shared" si="1083"/>
        <v>Cash Payment</v>
      </c>
      <c r="P13839">
        <v>163.13</v>
      </c>
      <c r="Q13839" s="37" t="str">
        <f>IF(P13839&gt;500,"High","low")</f>
        <v>low</v>
      </c>
      <c r="R13839" s="37" t="str">
        <f t="shared" si="1084"/>
        <v>AVERAGE</v>
      </c>
      <c r="S13839" t="s">
        <v>609</v>
      </c>
    </row>
    <row r="13840" spans="1:19" x14ac:dyDescent="0.2">
      <c r="A13840" t="s">
        <v>14451</v>
      </c>
      <c r="B13840" t="s">
        <v>90</v>
      </c>
      <c r="C13840" t="s">
        <v>602</v>
      </c>
      <c r="D13840">
        <v>775.25</v>
      </c>
      <c r="E13840" s="37" t="str">
        <f t="shared" si="1080"/>
        <v xml:space="preserve"> </v>
      </c>
      <c r="F13840">
        <v>0.26</v>
      </c>
      <c r="G13840" s="37" t="str">
        <f t="shared" si="1081"/>
        <v>Normal Discount</v>
      </c>
      <c r="H13840" s="37" t="str">
        <f t="shared" si="1082"/>
        <v>Medium</v>
      </c>
      <c r="I13840">
        <v>8</v>
      </c>
      <c r="J13840" t="str" cm="1">
        <f t="array" ref="J13840">_xlfn.IFS(I13840&lt;=3,"small",I13840&lt;=6,"Medium",I13840&lt;=9,"Large")</f>
        <v>Large</v>
      </c>
      <c r="K13840" s="36">
        <v>45551</v>
      </c>
      <c r="L13840" s="36">
        <v>45558</v>
      </c>
      <c r="M13840" t="s">
        <v>598</v>
      </c>
      <c r="N13840" t="s">
        <v>599</v>
      </c>
      <c r="O13840" s="37" t="str">
        <f t="shared" si="1083"/>
        <v>Digital Payment</v>
      </c>
      <c r="P13840">
        <v>213.79</v>
      </c>
      <c r="Q13840" s="37" t="str">
        <f>IF(P13840&gt;500,"High","low")</f>
        <v>low</v>
      </c>
      <c r="R13840" s="37" t="str">
        <f t="shared" si="1084"/>
        <v>AVERAGE</v>
      </c>
      <c r="S13840" t="s">
        <v>609</v>
      </c>
    </row>
    <row r="13841" spans="1:19" x14ac:dyDescent="0.2">
      <c r="A13841" t="s">
        <v>14452</v>
      </c>
      <c r="B13841" t="s">
        <v>83</v>
      </c>
      <c r="C13841" t="s">
        <v>607</v>
      </c>
      <c r="D13841">
        <v>3835.85</v>
      </c>
      <c r="E13841" s="37" t="str">
        <f t="shared" si="1080"/>
        <v xml:space="preserve"> </v>
      </c>
      <c r="F13841">
        <v>0.04</v>
      </c>
      <c r="G13841" s="37" t="str">
        <f t="shared" si="1081"/>
        <v>Normal Discount</v>
      </c>
      <c r="H13841" s="37" t="str">
        <f t="shared" si="1082"/>
        <v>Low</v>
      </c>
      <c r="I13841">
        <v>2</v>
      </c>
      <c r="J13841" t="str" cm="1">
        <f t="array" ref="J13841">_xlfn.IFS(I13841&lt;=3,"small",I13841&lt;=6,"Medium",I13841&lt;=9,"Large")</f>
        <v>small</v>
      </c>
      <c r="K13841" s="36">
        <v>44982</v>
      </c>
      <c r="L13841" s="36">
        <v>44989</v>
      </c>
      <c r="M13841" t="s">
        <v>603</v>
      </c>
      <c r="N13841" t="s">
        <v>604</v>
      </c>
      <c r="O13841" s="37" t="str">
        <f t="shared" si="1083"/>
        <v>Digital Payment</v>
      </c>
      <c r="P13841">
        <v>679.2</v>
      </c>
      <c r="Q13841" s="37" t="str">
        <f>IF(P13841&gt;500,"High","low")</f>
        <v>High</v>
      </c>
      <c r="R13841" s="37" t="str">
        <f t="shared" si="1084"/>
        <v>Good</v>
      </c>
      <c r="S13841" t="s">
        <v>628</v>
      </c>
    </row>
    <row r="13842" spans="1:19" x14ac:dyDescent="0.2">
      <c r="A13842" t="s">
        <v>14453</v>
      </c>
      <c r="B13842" t="s">
        <v>67</v>
      </c>
      <c r="C13842" t="s">
        <v>617</v>
      </c>
      <c r="D13842">
        <v>2319.88</v>
      </c>
      <c r="E13842" s="37" t="str">
        <f t="shared" si="1080"/>
        <v xml:space="preserve"> </v>
      </c>
      <c r="F13842">
        <v>0.45</v>
      </c>
      <c r="G13842" s="37" t="str">
        <f t="shared" si="1081"/>
        <v>Heavy Discount</v>
      </c>
      <c r="H13842" s="37" t="str">
        <f t="shared" si="1082"/>
        <v>High</v>
      </c>
      <c r="I13842">
        <v>7</v>
      </c>
      <c r="J13842" t="str" cm="1">
        <f t="array" ref="J13842">_xlfn.IFS(I13842&lt;=3,"small",I13842&lt;=6,"Medium",I13842&lt;=9,"Large")</f>
        <v>Large</v>
      </c>
      <c r="K13842" s="36">
        <v>45034</v>
      </c>
      <c r="L13842" s="36">
        <v>45039</v>
      </c>
      <c r="M13842" t="s">
        <v>612</v>
      </c>
      <c r="N13842" t="s">
        <v>604</v>
      </c>
      <c r="O13842" s="37" t="str">
        <f t="shared" si="1083"/>
        <v>Digital Payment</v>
      </c>
      <c r="P13842">
        <v>215.03</v>
      </c>
      <c r="Q13842" s="37" t="str">
        <f>IF(P13842&gt;500,"High","low")</f>
        <v>low</v>
      </c>
      <c r="R13842" s="37" t="str">
        <f t="shared" si="1084"/>
        <v>AVERAGE</v>
      </c>
      <c r="S13842" t="s">
        <v>615</v>
      </c>
    </row>
    <row r="13843" spans="1:19" x14ac:dyDescent="0.2">
      <c r="A13843" t="s">
        <v>14454</v>
      </c>
      <c r="B13843" t="s">
        <v>67</v>
      </c>
      <c r="C13843" t="s">
        <v>617</v>
      </c>
      <c r="D13843">
        <v>1236.6199999999999</v>
      </c>
      <c r="E13843" s="37" t="str">
        <f t="shared" si="1080"/>
        <v xml:space="preserve"> </v>
      </c>
      <c r="F13843">
        <v>0.12</v>
      </c>
      <c r="G13843" s="37" t="str">
        <f t="shared" si="1081"/>
        <v>Normal Discount</v>
      </c>
      <c r="H13843" s="37" t="str">
        <f t="shared" si="1082"/>
        <v>Low</v>
      </c>
      <c r="I13843">
        <v>1</v>
      </c>
      <c r="J13843" t="str" cm="1">
        <f t="array" ref="J13843">_xlfn.IFS(I13843&lt;=3,"small",I13843&lt;=6,"Medium",I13843&lt;=9,"Large")</f>
        <v>small</v>
      </c>
      <c r="K13843" s="36">
        <v>44929</v>
      </c>
      <c r="L13843" s="36">
        <v>44933</v>
      </c>
      <c r="M13843" t="s">
        <v>612</v>
      </c>
      <c r="N13843" t="s">
        <v>599</v>
      </c>
      <c r="O13843" s="37" t="str">
        <f t="shared" si="1083"/>
        <v>Digital Payment</v>
      </c>
      <c r="P13843">
        <v>361.37</v>
      </c>
      <c r="Q13843" s="37" t="str">
        <f>IF(P13843&gt;500,"High","low")</f>
        <v>low</v>
      </c>
      <c r="R13843" s="37" t="str">
        <f t="shared" si="1084"/>
        <v>AVERAGE</v>
      </c>
      <c r="S13843" t="s">
        <v>620</v>
      </c>
    </row>
    <row r="13844" spans="1:19" x14ac:dyDescent="0.2">
      <c r="A13844" t="s">
        <v>14455</v>
      </c>
      <c r="B13844" t="s">
        <v>67</v>
      </c>
      <c r="C13844" t="s">
        <v>607</v>
      </c>
      <c r="D13844">
        <v>4606.17</v>
      </c>
      <c r="E13844" s="37" t="str">
        <f t="shared" si="1080"/>
        <v xml:space="preserve"> </v>
      </c>
      <c r="F13844">
        <v>0.21</v>
      </c>
      <c r="G13844" s="37" t="str">
        <f t="shared" si="1081"/>
        <v>Normal Discount</v>
      </c>
      <c r="H13844" s="37" t="str">
        <f t="shared" si="1082"/>
        <v>Medium</v>
      </c>
      <c r="I13844">
        <v>8</v>
      </c>
      <c r="J13844" t="str" cm="1">
        <f t="array" ref="J13844">_xlfn.IFS(I13844&lt;=3,"small",I13844&lt;=6,"Medium",I13844&lt;=9,"Large")</f>
        <v>Large</v>
      </c>
      <c r="K13844" s="36">
        <v>44988</v>
      </c>
      <c r="L13844" s="36">
        <v>44993</v>
      </c>
      <c r="M13844" t="s">
        <v>598</v>
      </c>
      <c r="N13844" t="s">
        <v>599</v>
      </c>
      <c r="O13844" s="37" t="str">
        <f t="shared" si="1083"/>
        <v>Digital Payment</v>
      </c>
      <c r="P13844">
        <v>671.42</v>
      </c>
      <c r="Q13844" s="37" t="str">
        <f>IF(P13844&gt;500,"High","low")</f>
        <v>High</v>
      </c>
      <c r="R13844" s="37" t="str">
        <f t="shared" si="1084"/>
        <v>Good</v>
      </c>
      <c r="S13844" t="s">
        <v>620</v>
      </c>
    </row>
    <row r="13845" spans="1:19" x14ac:dyDescent="0.2">
      <c r="A13845" t="s">
        <v>14456</v>
      </c>
      <c r="B13845" t="s">
        <v>90</v>
      </c>
      <c r="C13845" t="s">
        <v>597</v>
      </c>
      <c r="D13845">
        <v>2011.47</v>
      </c>
      <c r="E13845" s="37" t="str">
        <f t="shared" si="1080"/>
        <v xml:space="preserve"> </v>
      </c>
      <c r="F13845">
        <v>0.49</v>
      </c>
      <c r="G13845" s="37" t="str">
        <f t="shared" si="1081"/>
        <v>Heavy Discount</v>
      </c>
      <c r="H13845" s="37" t="str">
        <f t="shared" si="1082"/>
        <v>High</v>
      </c>
      <c r="I13845">
        <v>5</v>
      </c>
      <c r="J13845" t="str" cm="1">
        <f t="array" ref="J13845">_xlfn.IFS(I13845&lt;=3,"small",I13845&lt;=6,"Medium",I13845&lt;=9,"Large")</f>
        <v>Medium</v>
      </c>
      <c r="K13845" s="36">
        <v>45499</v>
      </c>
      <c r="L13845" s="36">
        <v>45501</v>
      </c>
      <c r="M13845" t="s">
        <v>603</v>
      </c>
      <c r="N13845" t="s">
        <v>604</v>
      </c>
      <c r="O13845" s="37" t="str">
        <f t="shared" si="1083"/>
        <v>Digital Payment</v>
      </c>
      <c r="P13845">
        <v>573.21</v>
      </c>
      <c r="Q13845" s="37" t="str">
        <f>IF(P13845&gt;500,"High","low")</f>
        <v>High</v>
      </c>
      <c r="R13845" s="37" t="str">
        <f t="shared" si="1084"/>
        <v>Good</v>
      </c>
      <c r="S13845" t="s">
        <v>605</v>
      </c>
    </row>
    <row r="13846" spans="1:19" x14ac:dyDescent="0.2">
      <c r="A13846" t="s">
        <v>14457</v>
      </c>
      <c r="B13846" t="s">
        <v>75</v>
      </c>
      <c r="C13846" t="s">
        <v>614</v>
      </c>
      <c r="D13846">
        <v>2763.11</v>
      </c>
      <c r="E13846" s="37" t="str">
        <f t="shared" si="1080"/>
        <v xml:space="preserve"> </v>
      </c>
      <c r="F13846">
        <v>0.06</v>
      </c>
      <c r="G13846" s="37" t="str">
        <f t="shared" si="1081"/>
        <v>Normal Discount</v>
      </c>
      <c r="H13846" s="37" t="str">
        <f t="shared" si="1082"/>
        <v>Low</v>
      </c>
      <c r="I13846">
        <v>6</v>
      </c>
      <c r="J13846" t="str" cm="1">
        <f t="array" ref="J13846">_xlfn.IFS(I13846&lt;=3,"small",I13846&lt;=6,"Medium",I13846&lt;=9,"Large")</f>
        <v>Medium</v>
      </c>
      <c r="K13846" s="36">
        <v>45405</v>
      </c>
      <c r="L13846" s="36">
        <v>45411</v>
      </c>
      <c r="M13846" t="s">
        <v>612</v>
      </c>
      <c r="N13846" t="s">
        <v>608</v>
      </c>
      <c r="O13846" s="37" t="str">
        <f t="shared" si="1083"/>
        <v>Cash Payment</v>
      </c>
      <c r="P13846">
        <v>392.91</v>
      </c>
      <c r="Q13846" s="37" t="str">
        <f>IF(P13846&gt;500,"High","low")</f>
        <v>low</v>
      </c>
      <c r="R13846" s="37" t="str">
        <f t="shared" si="1084"/>
        <v>AVERAGE</v>
      </c>
      <c r="S13846" t="s">
        <v>615</v>
      </c>
    </row>
    <row r="13847" spans="1:19" x14ac:dyDescent="0.2">
      <c r="A13847" t="s">
        <v>14458</v>
      </c>
      <c r="B13847" t="s">
        <v>67</v>
      </c>
      <c r="C13847" t="s">
        <v>607</v>
      </c>
      <c r="D13847">
        <v>4303.22</v>
      </c>
      <c r="E13847" s="37" t="str">
        <f t="shared" si="1080"/>
        <v xml:space="preserve"> </v>
      </c>
      <c r="F13847">
        <v>0.36</v>
      </c>
      <c r="G13847" s="37" t="str">
        <f t="shared" si="1081"/>
        <v>Heavy Discount</v>
      </c>
      <c r="H13847" s="37" t="str">
        <f t="shared" si="1082"/>
        <v>Medium</v>
      </c>
      <c r="I13847">
        <v>6</v>
      </c>
      <c r="J13847" t="str" cm="1">
        <f t="array" ref="J13847">_xlfn.IFS(I13847&lt;=3,"small",I13847&lt;=6,"Medium",I13847&lt;=9,"Large")</f>
        <v>Medium</v>
      </c>
      <c r="K13847" s="36">
        <v>45624</v>
      </c>
      <c r="L13847" s="36">
        <v>45630</v>
      </c>
      <c r="M13847" t="s">
        <v>598</v>
      </c>
      <c r="N13847" t="s">
        <v>599</v>
      </c>
      <c r="O13847" s="37" t="str">
        <f t="shared" si="1083"/>
        <v>Digital Payment</v>
      </c>
      <c r="P13847">
        <v>308.11</v>
      </c>
      <c r="Q13847" s="37" t="str">
        <f>IF(P13847&gt;500,"High","low")</f>
        <v>low</v>
      </c>
      <c r="R13847" s="37" t="str">
        <f t="shared" si="1084"/>
        <v>AVERAGE</v>
      </c>
      <c r="S13847" t="s">
        <v>609</v>
      </c>
    </row>
    <row r="13848" spans="1:19" x14ac:dyDescent="0.2">
      <c r="A13848" t="s">
        <v>14459</v>
      </c>
      <c r="B13848" t="s">
        <v>67</v>
      </c>
      <c r="C13848" t="s">
        <v>597</v>
      </c>
      <c r="D13848">
        <v>4183.54</v>
      </c>
      <c r="E13848" s="37" t="str">
        <f t="shared" si="1080"/>
        <v>Excellent Order</v>
      </c>
      <c r="F13848">
        <v>0.13</v>
      </c>
      <c r="G13848" s="37" t="str">
        <f t="shared" si="1081"/>
        <v>Normal Discount</v>
      </c>
      <c r="H13848" s="37" t="str">
        <f t="shared" si="1082"/>
        <v>Low</v>
      </c>
      <c r="I13848">
        <v>1</v>
      </c>
      <c r="J13848" t="str" cm="1">
        <f t="array" ref="J13848">_xlfn.IFS(I13848&lt;=3,"small",I13848&lt;=6,"Medium",I13848&lt;=9,"Large")</f>
        <v>small</v>
      </c>
      <c r="K13848" s="36">
        <v>44955</v>
      </c>
      <c r="L13848" s="36">
        <v>44956</v>
      </c>
      <c r="M13848" t="s">
        <v>603</v>
      </c>
      <c r="N13848" t="s">
        <v>604</v>
      </c>
      <c r="O13848" s="37" t="str">
        <f t="shared" si="1083"/>
        <v>Digital Payment</v>
      </c>
      <c r="P13848">
        <v>874.66</v>
      </c>
      <c r="Q13848" s="37" t="str">
        <f>IF(P13848&gt;500,"High","low")</f>
        <v>High</v>
      </c>
      <c r="R13848" s="37" t="str">
        <f t="shared" si="1084"/>
        <v>Good</v>
      </c>
      <c r="S13848" t="s">
        <v>615</v>
      </c>
    </row>
    <row r="13849" spans="1:19" x14ac:dyDescent="0.2">
      <c r="A13849" t="s">
        <v>14460</v>
      </c>
      <c r="B13849" t="s">
        <v>67</v>
      </c>
      <c r="C13849" t="s">
        <v>617</v>
      </c>
      <c r="D13849">
        <v>3225.97</v>
      </c>
      <c r="E13849" s="37" t="str">
        <f t="shared" si="1080"/>
        <v xml:space="preserve"> </v>
      </c>
      <c r="F13849">
        <v>0.21</v>
      </c>
      <c r="G13849" s="37" t="str">
        <f t="shared" si="1081"/>
        <v>Normal Discount</v>
      </c>
      <c r="H13849" s="37" t="str">
        <f t="shared" si="1082"/>
        <v>Medium</v>
      </c>
      <c r="I13849">
        <v>7</v>
      </c>
      <c r="J13849" t="str" cm="1">
        <f t="array" ref="J13849">_xlfn.IFS(I13849&lt;=3,"small",I13849&lt;=6,"Medium",I13849&lt;=9,"Large")</f>
        <v>Large</v>
      </c>
      <c r="K13849" s="36">
        <v>45348</v>
      </c>
      <c r="L13849" s="36">
        <v>45354</v>
      </c>
      <c r="M13849" t="s">
        <v>598</v>
      </c>
      <c r="N13849" t="s">
        <v>599</v>
      </c>
      <c r="O13849" s="37" t="str">
        <f t="shared" si="1083"/>
        <v>Digital Payment</v>
      </c>
      <c r="P13849">
        <v>917.6</v>
      </c>
      <c r="Q13849" s="37" t="str">
        <f>IF(P13849&gt;500,"High","low")</f>
        <v>High</v>
      </c>
      <c r="R13849" s="37" t="str">
        <f t="shared" si="1084"/>
        <v>Good</v>
      </c>
      <c r="S13849" t="s">
        <v>615</v>
      </c>
    </row>
    <row r="13850" spans="1:19" x14ac:dyDescent="0.2">
      <c r="A13850" t="s">
        <v>14461</v>
      </c>
      <c r="B13850" t="s">
        <v>67</v>
      </c>
      <c r="C13850" t="s">
        <v>607</v>
      </c>
      <c r="D13850">
        <v>4454.26</v>
      </c>
      <c r="E13850" s="37" t="str">
        <f t="shared" si="1080"/>
        <v>Excellent Order</v>
      </c>
      <c r="F13850">
        <v>0.21</v>
      </c>
      <c r="G13850" s="37" t="str">
        <f t="shared" si="1081"/>
        <v>Normal Discount</v>
      </c>
      <c r="H13850" s="37" t="str">
        <f t="shared" si="1082"/>
        <v>Medium</v>
      </c>
      <c r="I13850">
        <v>3</v>
      </c>
      <c r="J13850" t="str" cm="1">
        <f t="array" ref="J13850">_xlfn.IFS(I13850&lt;=3,"small",I13850&lt;=6,"Medium",I13850&lt;=9,"Large")</f>
        <v>small</v>
      </c>
      <c r="K13850" s="36">
        <v>45266</v>
      </c>
      <c r="L13850" s="36">
        <v>45273</v>
      </c>
      <c r="M13850" t="s">
        <v>612</v>
      </c>
      <c r="N13850" t="s">
        <v>608</v>
      </c>
      <c r="O13850" s="37" t="str">
        <f t="shared" si="1083"/>
        <v>Cash Payment</v>
      </c>
      <c r="P13850">
        <v>1003.68</v>
      </c>
      <c r="Q13850" s="37" t="str">
        <f>IF(P13850&gt;500,"High","low")</f>
        <v>High</v>
      </c>
      <c r="R13850" s="37" t="str">
        <f t="shared" si="1084"/>
        <v>Excellent</v>
      </c>
      <c r="S13850" t="s">
        <v>600</v>
      </c>
    </row>
    <row r="13851" spans="1:19" x14ac:dyDescent="0.2">
      <c r="A13851" t="s">
        <v>14462</v>
      </c>
      <c r="B13851" t="s">
        <v>90</v>
      </c>
      <c r="C13851" t="s">
        <v>614</v>
      </c>
      <c r="D13851">
        <v>4765.28</v>
      </c>
      <c r="E13851" s="37" t="str">
        <f t="shared" si="1080"/>
        <v xml:space="preserve"> </v>
      </c>
      <c r="F13851">
        <v>0.47</v>
      </c>
      <c r="G13851" s="37" t="str">
        <f t="shared" si="1081"/>
        <v>Heavy Discount</v>
      </c>
      <c r="H13851" s="37" t="str">
        <f t="shared" si="1082"/>
        <v>High</v>
      </c>
      <c r="I13851">
        <v>2</v>
      </c>
      <c r="J13851" t="str" cm="1">
        <f t="array" ref="J13851">_xlfn.IFS(I13851&lt;=3,"small",I13851&lt;=6,"Medium",I13851&lt;=9,"Large")</f>
        <v>small</v>
      </c>
      <c r="K13851" s="36">
        <v>45437</v>
      </c>
      <c r="L13851" s="36">
        <v>45444</v>
      </c>
      <c r="M13851" t="s">
        <v>598</v>
      </c>
      <c r="N13851" t="s">
        <v>608</v>
      </c>
      <c r="O13851" s="37" t="str">
        <f t="shared" si="1083"/>
        <v>Cash Payment</v>
      </c>
      <c r="P13851">
        <v>286.94</v>
      </c>
      <c r="Q13851" s="37" t="str">
        <f>IF(P13851&gt;500,"High","low")</f>
        <v>low</v>
      </c>
      <c r="R13851" s="37" t="str">
        <f t="shared" si="1084"/>
        <v>AVERAGE</v>
      </c>
      <c r="S13851" t="s">
        <v>605</v>
      </c>
    </row>
    <row r="13852" spans="1:19" x14ac:dyDescent="0.2">
      <c r="A13852" t="s">
        <v>14463</v>
      </c>
      <c r="B13852" t="s">
        <v>75</v>
      </c>
      <c r="C13852" t="s">
        <v>602</v>
      </c>
      <c r="D13852">
        <v>4682.0600000000004</v>
      </c>
      <c r="E13852" s="37" t="str">
        <f t="shared" si="1080"/>
        <v xml:space="preserve"> </v>
      </c>
      <c r="F13852">
        <v>0.01</v>
      </c>
      <c r="G13852" s="37" t="str">
        <f t="shared" si="1081"/>
        <v>Normal Discount</v>
      </c>
      <c r="H13852" s="37" t="str">
        <f t="shared" si="1082"/>
        <v>Low</v>
      </c>
      <c r="I13852">
        <v>7</v>
      </c>
      <c r="J13852" t="str" cm="1">
        <f t="array" ref="J13852">_xlfn.IFS(I13852&lt;=3,"small",I13852&lt;=6,"Medium",I13852&lt;=9,"Large")</f>
        <v>Large</v>
      </c>
      <c r="K13852" s="36">
        <v>45525</v>
      </c>
      <c r="L13852" s="36">
        <v>45530</v>
      </c>
      <c r="M13852" t="s">
        <v>598</v>
      </c>
      <c r="N13852" t="s">
        <v>608</v>
      </c>
      <c r="O13852" s="37" t="str">
        <f t="shared" si="1083"/>
        <v>Cash Payment</v>
      </c>
      <c r="P13852">
        <v>533.77</v>
      </c>
      <c r="Q13852" s="37" t="str">
        <f>IF(P13852&gt;500,"High","low")</f>
        <v>High</v>
      </c>
      <c r="R13852" s="37" t="str">
        <f t="shared" si="1084"/>
        <v>Good</v>
      </c>
      <c r="S13852" t="s">
        <v>605</v>
      </c>
    </row>
    <row r="13853" spans="1:19" x14ac:dyDescent="0.2">
      <c r="A13853" t="s">
        <v>14464</v>
      </c>
      <c r="B13853" t="s">
        <v>75</v>
      </c>
      <c r="C13853" t="s">
        <v>607</v>
      </c>
      <c r="D13853">
        <v>1810.14</v>
      </c>
      <c r="E13853" s="37" t="str">
        <f t="shared" si="1080"/>
        <v xml:space="preserve"> </v>
      </c>
      <c r="F13853">
        <v>0.18</v>
      </c>
      <c r="G13853" s="37" t="str">
        <f t="shared" si="1081"/>
        <v>Normal Discount</v>
      </c>
      <c r="H13853" s="37" t="str">
        <f t="shared" si="1082"/>
        <v>Low</v>
      </c>
      <c r="I13853">
        <v>9</v>
      </c>
      <c r="J13853" t="str" cm="1">
        <f t="array" ref="J13853">_xlfn.IFS(I13853&lt;=3,"small",I13853&lt;=6,"Medium",I13853&lt;=9,"Large")</f>
        <v>Large</v>
      </c>
      <c r="K13853" s="36">
        <v>45396</v>
      </c>
      <c r="L13853" s="36">
        <v>45397</v>
      </c>
      <c r="M13853" t="s">
        <v>598</v>
      </c>
      <c r="N13853" t="s">
        <v>599</v>
      </c>
      <c r="O13853" s="37" t="str">
        <f t="shared" si="1083"/>
        <v>Digital Payment</v>
      </c>
      <c r="P13853">
        <v>349.27</v>
      </c>
      <c r="Q13853" s="37" t="str">
        <f>IF(P13853&gt;500,"High","low")</f>
        <v>low</v>
      </c>
      <c r="R13853" s="37" t="str">
        <f t="shared" si="1084"/>
        <v>AVERAGE</v>
      </c>
      <c r="S13853" t="s">
        <v>600</v>
      </c>
    </row>
    <row r="13854" spans="1:19" x14ac:dyDescent="0.2">
      <c r="A13854" t="s">
        <v>14465</v>
      </c>
      <c r="B13854" t="s">
        <v>75</v>
      </c>
      <c r="C13854" t="s">
        <v>614</v>
      </c>
      <c r="D13854">
        <v>2046.14</v>
      </c>
      <c r="E13854" s="37" t="str">
        <f t="shared" si="1080"/>
        <v xml:space="preserve"> </v>
      </c>
      <c r="F13854">
        <v>0.43</v>
      </c>
      <c r="G13854" s="37" t="str">
        <f t="shared" si="1081"/>
        <v>Heavy Discount</v>
      </c>
      <c r="H13854" s="37" t="str">
        <f t="shared" si="1082"/>
        <v>High</v>
      </c>
      <c r="I13854">
        <v>4</v>
      </c>
      <c r="J13854" t="str" cm="1">
        <f t="array" ref="J13854">_xlfn.IFS(I13854&lt;=3,"small",I13854&lt;=6,"Medium",I13854&lt;=9,"Large")</f>
        <v>Medium</v>
      </c>
      <c r="K13854" s="36">
        <v>45138</v>
      </c>
      <c r="L13854" s="36">
        <v>45140</v>
      </c>
      <c r="M13854" t="s">
        <v>612</v>
      </c>
      <c r="N13854" t="s">
        <v>604</v>
      </c>
      <c r="O13854" s="37" t="str">
        <f t="shared" si="1083"/>
        <v>Digital Payment</v>
      </c>
      <c r="P13854">
        <v>105.22</v>
      </c>
      <c r="Q13854" s="37" t="str">
        <f>IF(P13854&gt;500,"High","low")</f>
        <v>low</v>
      </c>
      <c r="R13854" s="37" t="str">
        <f t="shared" si="1084"/>
        <v>AVERAGE</v>
      </c>
      <c r="S13854" t="s">
        <v>615</v>
      </c>
    </row>
    <row r="13855" spans="1:19" x14ac:dyDescent="0.2">
      <c r="A13855" t="s">
        <v>14466</v>
      </c>
      <c r="B13855" t="s">
        <v>67</v>
      </c>
      <c r="C13855" t="s">
        <v>614</v>
      </c>
      <c r="D13855">
        <v>1278.47</v>
      </c>
      <c r="E13855" s="37" t="str">
        <f t="shared" si="1080"/>
        <v xml:space="preserve"> </v>
      </c>
      <c r="F13855">
        <v>0.46</v>
      </c>
      <c r="G13855" s="37" t="str">
        <f t="shared" si="1081"/>
        <v>Heavy Discount</v>
      </c>
      <c r="H13855" s="37" t="str">
        <f t="shared" si="1082"/>
        <v>High</v>
      </c>
      <c r="I13855">
        <v>7</v>
      </c>
      <c r="J13855" t="str" cm="1">
        <f t="array" ref="J13855">_xlfn.IFS(I13855&lt;=3,"small",I13855&lt;=6,"Medium",I13855&lt;=9,"Large")</f>
        <v>Large</v>
      </c>
      <c r="K13855" s="36">
        <v>45036</v>
      </c>
      <c r="L13855" s="36">
        <v>45040</v>
      </c>
      <c r="M13855" t="s">
        <v>603</v>
      </c>
      <c r="N13855" t="s">
        <v>599</v>
      </c>
      <c r="O13855" s="37" t="str">
        <f t="shared" si="1083"/>
        <v>Digital Payment</v>
      </c>
      <c r="P13855">
        <v>235.26</v>
      </c>
      <c r="Q13855" s="37" t="str">
        <f>IF(P13855&gt;500,"High","low")</f>
        <v>low</v>
      </c>
      <c r="R13855" s="37" t="str">
        <f t="shared" si="1084"/>
        <v>AVERAGE</v>
      </c>
      <c r="S13855" t="s">
        <v>628</v>
      </c>
    </row>
    <row r="13856" spans="1:19" x14ac:dyDescent="0.2">
      <c r="A13856" t="s">
        <v>14467</v>
      </c>
      <c r="B13856" t="s">
        <v>67</v>
      </c>
      <c r="C13856" t="s">
        <v>607</v>
      </c>
      <c r="D13856">
        <v>4200.47</v>
      </c>
      <c r="E13856" s="37" t="str">
        <f t="shared" si="1080"/>
        <v>Excellent Order</v>
      </c>
      <c r="F13856">
        <v>0.16</v>
      </c>
      <c r="G13856" s="37" t="str">
        <f t="shared" si="1081"/>
        <v>Normal Discount</v>
      </c>
      <c r="H13856" s="37" t="str">
        <f t="shared" si="1082"/>
        <v>Low</v>
      </c>
      <c r="I13856">
        <v>5</v>
      </c>
      <c r="J13856" t="str" cm="1">
        <f t="array" ref="J13856">_xlfn.IFS(I13856&lt;=3,"small",I13856&lt;=6,"Medium",I13856&lt;=9,"Large")</f>
        <v>Medium</v>
      </c>
      <c r="K13856" s="36">
        <v>45563</v>
      </c>
      <c r="L13856" s="36">
        <v>45567</v>
      </c>
      <c r="M13856" t="s">
        <v>598</v>
      </c>
      <c r="N13856" t="s">
        <v>599</v>
      </c>
      <c r="O13856" s="37" t="str">
        <f t="shared" si="1083"/>
        <v>Digital Payment</v>
      </c>
      <c r="P13856">
        <v>1051.4000000000001</v>
      </c>
      <c r="Q13856" s="37" t="str">
        <f>IF(P13856&gt;500,"High","low")</f>
        <v>High</v>
      </c>
      <c r="R13856" s="37" t="str">
        <f t="shared" si="1084"/>
        <v>Excellent</v>
      </c>
      <c r="S13856" t="s">
        <v>628</v>
      </c>
    </row>
    <row r="13857" spans="1:19" x14ac:dyDescent="0.2">
      <c r="A13857" t="s">
        <v>14468</v>
      </c>
      <c r="B13857" t="s">
        <v>75</v>
      </c>
      <c r="C13857" t="s">
        <v>597</v>
      </c>
      <c r="D13857">
        <v>696.94</v>
      </c>
      <c r="E13857" s="37" t="str">
        <f t="shared" si="1080"/>
        <v xml:space="preserve"> </v>
      </c>
      <c r="F13857">
        <v>0.12</v>
      </c>
      <c r="G13857" s="37" t="str">
        <f t="shared" si="1081"/>
        <v>Normal Discount</v>
      </c>
      <c r="H13857" s="37" t="str">
        <f t="shared" si="1082"/>
        <v>Low</v>
      </c>
      <c r="I13857">
        <v>7</v>
      </c>
      <c r="J13857" t="str" cm="1">
        <f t="array" ref="J13857">_xlfn.IFS(I13857&lt;=3,"small",I13857&lt;=6,"Medium",I13857&lt;=9,"Large")</f>
        <v>Large</v>
      </c>
      <c r="K13857" s="36">
        <v>45348</v>
      </c>
      <c r="L13857" s="36">
        <v>45352</v>
      </c>
      <c r="M13857" t="s">
        <v>612</v>
      </c>
      <c r="N13857" t="s">
        <v>599</v>
      </c>
      <c r="O13857" s="37" t="str">
        <f t="shared" si="1083"/>
        <v>Digital Payment</v>
      </c>
      <c r="P13857">
        <v>206.97</v>
      </c>
      <c r="Q13857" s="37" t="str">
        <f>IF(P13857&gt;500,"High","low")</f>
        <v>low</v>
      </c>
      <c r="R13857" s="37" t="str">
        <f t="shared" si="1084"/>
        <v>AVERAGE</v>
      </c>
      <c r="S13857" t="s">
        <v>600</v>
      </c>
    </row>
    <row r="13858" spans="1:19" x14ac:dyDescent="0.2">
      <c r="A13858" t="s">
        <v>14469</v>
      </c>
      <c r="B13858" t="s">
        <v>75</v>
      </c>
      <c r="C13858" t="s">
        <v>607</v>
      </c>
      <c r="D13858">
        <v>1839.91</v>
      </c>
      <c r="E13858" s="37" t="str">
        <f t="shared" si="1080"/>
        <v xml:space="preserve"> </v>
      </c>
      <c r="F13858">
        <v>0.23</v>
      </c>
      <c r="G13858" s="37" t="str">
        <f t="shared" si="1081"/>
        <v>Normal Discount</v>
      </c>
      <c r="H13858" s="37" t="str">
        <f t="shared" si="1082"/>
        <v>Medium</v>
      </c>
      <c r="I13858">
        <v>1</v>
      </c>
      <c r="J13858" t="str" cm="1">
        <f t="array" ref="J13858">_xlfn.IFS(I13858&lt;=3,"small",I13858&lt;=6,"Medium",I13858&lt;=9,"Large")</f>
        <v>small</v>
      </c>
      <c r="K13858" s="36">
        <v>45294</v>
      </c>
      <c r="L13858" s="36">
        <v>45295</v>
      </c>
      <c r="M13858" t="s">
        <v>598</v>
      </c>
      <c r="N13858" t="s">
        <v>608</v>
      </c>
      <c r="O13858" s="37" t="str">
        <f t="shared" si="1083"/>
        <v>Cash Payment</v>
      </c>
      <c r="P13858">
        <v>337.89</v>
      </c>
      <c r="Q13858" s="37" t="str">
        <f>IF(P13858&gt;500,"High","low")</f>
        <v>low</v>
      </c>
      <c r="R13858" s="37" t="str">
        <f t="shared" si="1084"/>
        <v>AVERAGE</v>
      </c>
      <c r="S13858" t="s">
        <v>605</v>
      </c>
    </row>
    <row r="13859" spans="1:19" x14ac:dyDescent="0.2">
      <c r="A13859" t="s">
        <v>14470</v>
      </c>
      <c r="B13859" t="s">
        <v>67</v>
      </c>
      <c r="C13859" t="s">
        <v>617</v>
      </c>
      <c r="D13859">
        <v>147.69</v>
      </c>
      <c r="E13859" s="37" t="str">
        <f t="shared" si="1080"/>
        <v xml:space="preserve"> </v>
      </c>
      <c r="F13859">
        <v>0.37</v>
      </c>
      <c r="G13859" s="37" t="str">
        <f t="shared" si="1081"/>
        <v>Heavy Discount</v>
      </c>
      <c r="H13859" s="37" t="str">
        <f t="shared" si="1082"/>
        <v>Medium</v>
      </c>
      <c r="I13859">
        <v>9</v>
      </c>
      <c r="J13859" t="str" cm="1">
        <f t="array" ref="J13859">_xlfn.IFS(I13859&lt;=3,"small",I13859&lt;=6,"Medium",I13859&lt;=9,"Large")</f>
        <v>Large</v>
      </c>
      <c r="K13859" s="36">
        <v>45616</v>
      </c>
      <c r="L13859" s="36">
        <v>45621</v>
      </c>
      <c r="M13859" t="s">
        <v>598</v>
      </c>
      <c r="N13859" t="s">
        <v>608</v>
      </c>
      <c r="O13859" s="37" t="str">
        <f t="shared" si="1083"/>
        <v>Cash Payment</v>
      </c>
      <c r="P13859">
        <v>32.479999999999997</v>
      </c>
      <c r="Q13859" s="37" t="str">
        <f>IF(P13859&gt;500,"High","low")</f>
        <v>low</v>
      </c>
      <c r="R13859" s="37" t="str">
        <f t="shared" si="1084"/>
        <v>AVERAGE</v>
      </c>
      <c r="S13859" t="s">
        <v>605</v>
      </c>
    </row>
    <row r="13860" spans="1:19" x14ac:dyDescent="0.2">
      <c r="A13860" t="s">
        <v>14471</v>
      </c>
      <c r="B13860" t="s">
        <v>67</v>
      </c>
      <c r="C13860" t="s">
        <v>614</v>
      </c>
      <c r="D13860">
        <v>3013.77</v>
      </c>
      <c r="E13860" s="37" t="str">
        <f t="shared" si="1080"/>
        <v xml:space="preserve"> </v>
      </c>
      <c r="F13860">
        <v>0.08</v>
      </c>
      <c r="G13860" s="37" t="str">
        <f t="shared" si="1081"/>
        <v>Normal Discount</v>
      </c>
      <c r="H13860" s="37" t="str">
        <f t="shared" si="1082"/>
        <v>Low</v>
      </c>
      <c r="I13860">
        <v>6</v>
      </c>
      <c r="J13860" t="str" cm="1">
        <f t="array" ref="J13860">_xlfn.IFS(I13860&lt;=3,"small",I13860&lt;=6,"Medium",I13860&lt;=9,"Large")</f>
        <v>Medium</v>
      </c>
      <c r="K13860" s="36">
        <v>45287</v>
      </c>
      <c r="L13860" s="36">
        <v>45290</v>
      </c>
      <c r="M13860" t="s">
        <v>612</v>
      </c>
      <c r="N13860" t="s">
        <v>599</v>
      </c>
      <c r="O13860" s="37" t="str">
        <f t="shared" si="1083"/>
        <v>Digital Payment</v>
      </c>
      <c r="P13860">
        <v>266.58999999999997</v>
      </c>
      <c r="Q13860" s="37" t="str">
        <f>IF(P13860&gt;500,"High","low")</f>
        <v>low</v>
      </c>
      <c r="R13860" s="37" t="str">
        <f t="shared" si="1084"/>
        <v>AVERAGE</v>
      </c>
      <c r="S13860" t="s">
        <v>609</v>
      </c>
    </row>
    <row r="13861" spans="1:19" x14ac:dyDescent="0.2">
      <c r="A13861" t="s">
        <v>14472</v>
      </c>
      <c r="B13861" t="s">
        <v>83</v>
      </c>
      <c r="C13861" t="s">
        <v>614</v>
      </c>
      <c r="D13861">
        <v>3326.08</v>
      </c>
      <c r="E13861" s="37" t="str">
        <f t="shared" si="1080"/>
        <v xml:space="preserve"> </v>
      </c>
      <c r="F13861">
        <v>0.39</v>
      </c>
      <c r="G13861" s="37" t="str">
        <f t="shared" si="1081"/>
        <v>Heavy Discount</v>
      </c>
      <c r="H13861" s="37" t="str">
        <f t="shared" si="1082"/>
        <v>Medium</v>
      </c>
      <c r="I13861">
        <v>8</v>
      </c>
      <c r="J13861" t="str" cm="1">
        <f t="array" ref="J13861">_xlfn.IFS(I13861&lt;=3,"small",I13861&lt;=6,"Medium",I13861&lt;=9,"Large")</f>
        <v>Large</v>
      </c>
      <c r="K13861" s="36">
        <v>45317</v>
      </c>
      <c r="L13861" s="36">
        <v>45319</v>
      </c>
      <c r="M13861" t="s">
        <v>598</v>
      </c>
      <c r="N13861" t="s">
        <v>599</v>
      </c>
      <c r="O13861" s="37" t="str">
        <f t="shared" si="1083"/>
        <v>Digital Payment</v>
      </c>
      <c r="P13861">
        <v>264.02999999999997</v>
      </c>
      <c r="Q13861" s="37" t="str">
        <f>IF(P13861&gt;500,"High","low")</f>
        <v>low</v>
      </c>
      <c r="R13861" s="37" t="str">
        <f t="shared" si="1084"/>
        <v>AVERAGE</v>
      </c>
      <c r="S13861" t="s">
        <v>600</v>
      </c>
    </row>
    <row r="13862" spans="1:19" x14ac:dyDescent="0.2">
      <c r="A13862" t="s">
        <v>14473</v>
      </c>
      <c r="B13862" t="s">
        <v>83</v>
      </c>
      <c r="C13862" t="s">
        <v>602</v>
      </c>
      <c r="D13862">
        <v>1320.04</v>
      </c>
      <c r="E13862" s="37" t="str">
        <f t="shared" si="1080"/>
        <v xml:space="preserve"> </v>
      </c>
      <c r="F13862">
        <v>0.26</v>
      </c>
      <c r="G13862" s="37" t="str">
        <f t="shared" si="1081"/>
        <v>Normal Discount</v>
      </c>
      <c r="H13862" s="37" t="str">
        <f t="shared" si="1082"/>
        <v>Medium</v>
      </c>
      <c r="I13862">
        <v>9</v>
      </c>
      <c r="J13862" t="str" cm="1">
        <f t="array" ref="J13862">_xlfn.IFS(I13862&lt;=3,"small",I13862&lt;=6,"Medium",I13862&lt;=9,"Large")</f>
        <v>Large</v>
      </c>
      <c r="K13862" s="36">
        <v>45168</v>
      </c>
      <c r="L13862" s="36">
        <v>45169</v>
      </c>
      <c r="M13862" t="s">
        <v>603</v>
      </c>
      <c r="N13862" t="s">
        <v>599</v>
      </c>
      <c r="O13862" s="37" t="str">
        <f t="shared" si="1083"/>
        <v>Digital Payment</v>
      </c>
      <c r="P13862">
        <v>278.2</v>
      </c>
      <c r="Q13862" s="37" t="str">
        <f>IF(P13862&gt;500,"High","low")</f>
        <v>low</v>
      </c>
      <c r="R13862" s="37" t="str">
        <f t="shared" si="1084"/>
        <v>AVERAGE</v>
      </c>
      <c r="S13862" t="s">
        <v>605</v>
      </c>
    </row>
    <row r="13863" spans="1:19" x14ac:dyDescent="0.2">
      <c r="A13863" t="s">
        <v>14474</v>
      </c>
      <c r="B13863" t="s">
        <v>83</v>
      </c>
      <c r="C13863" t="s">
        <v>614</v>
      </c>
      <c r="D13863">
        <v>3709.98</v>
      </c>
      <c r="E13863" s="37" t="str">
        <f t="shared" si="1080"/>
        <v xml:space="preserve"> </v>
      </c>
      <c r="F13863">
        <v>7.0000000000000007E-2</v>
      </c>
      <c r="G13863" s="37" t="str">
        <f t="shared" si="1081"/>
        <v>Normal Discount</v>
      </c>
      <c r="H13863" s="37" t="str">
        <f t="shared" si="1082"/>
        <v>Low</v>
      </c>
      <c r="I13863">
        <v>1</v>
      </c>
      <c r="J13863" t="str" cm="1">
        <f t="array" ref="J13863">_xlfn.IFS(I13863&lt;=3,"small",I13863&lt;=6,"Medium",I13863&lt;=9,"Large")</f>
        <v>small</v>
      </c>
      <c r="K13863" s="36">
        <v>45290</v>
      </c>
      <c r="L13863" s="36">
        <v>45292</v>
      </c>
      <c r="M13863" t="s">
        <v>612</v>
      </c>
      <c r="N13863" t="s">
        <v>604</v>
      </c>
      <c r="O13863" s="37" t="str">
        <f t="shared" si="1083"/>
        <v>Digital Payment</v>
      </c>
      <c r="P13863">
        <v>334.03</v>
      </c>
      <c r="Q13863" s="37" t="str">
        <f>IF(P13863&gt;500,"High","low")</f>
        <v>low</v>
      </c>
      <c r="R13863" s="37" t="str">
        <f t="shared" si="1084"/>
        <v>AVERAGE</v>
      </c>
      <c r="S13863" t="s">
        <v>628</v>
      </c>
    </row>
    <row r="13864" spans="1:19" x14ac:dyDescent="0.2">
      <c r="A13864" t="s">
        <v>14475</v>
      </c>
      <c r="B13864" t="s">
        <v>75</v>
      </c>
      <c r="C13864" t="s">
        <v>602</v>
      </c>
      <c r="D13864">
        <v>1969.53</v>
      </c>
      <c r="E13864" s="37" t="str">
        <f t="shared" si="1080"/>
        <v xml:space="preserve"> </v>
      </c>
      <c r="F13864">
        <v>0.34</v>
      </c>
      <c r="G13864" s="37" t="str">
        <f t="shared" si="1081"/>
        <v>Heavy Discount</v>
      </c>
      <c r="H13864" s="37" t="str">
        <f t="shared" si="1082"/>
        <v>Medium</v>
      </c>
      <c r="I13864">
        <v>5</v>
      </c>
      <c r="J13864" t="str" cm="1">
        <f t="array" ref="J13864">_xlfn.IFS(I13864&lt;=3,"small",I13864&lt;=6,"Medium",I13864&lt;=9,"Large")</f>
        <v>Medium</v>
      </c>
      <c r="K13864" s="36">
        <v>45027</v>
      </c>
      <c r="L13864" s="36">
        <v>45028</v>
      </c>
      <c r="M13864" t="s">
        <v>603</v>
      </c>
      <c r="N13864" t="s">
        <v>599</v>
      </c>
      <c r="O13864" s="37" t="str">
        <f t="shared" si="1083"/>
        <v>Digital Payment</v>
      </c>
      <c r="P13864">
        <v>474.38</v>
      </c>
      <c r="Q13864" s="37" t="str">
        <f>IF(P13864&gt;500,"High","low")</f>
        <v>low</v>
      </c>
      <c r="R13864" s="37" t="str">
        <f t="shared" si="1084"/>
        <v>AVERAGE</v>
      </c>
      <c r="S13864" t="s">
        <v>620</v>
      </c>
    </row>
    <row r="13865" spans="1:19" x14ac:dyDescent="0.2">
      <c r="A13865" t="s">
        <v>14476</v>
      </c>
      <c r="B13865" t="s">
        <v>90</v>
      </c>
      <c r="C13865" t="s">
        <v>614</v>
      </c>
      <c r="D13865">
        <v>1627.38</v>
      </c>
      <c r="E13865" s="37" t="str">
        <f t="shared" si="1080"/>
        <v xml:space="preserve"> </v>
      </c>
      <c r="F13865">
        <v>0.31</v>
      </c>
      <c r="G13865" s="37" t="str">
        <f t="shared" si="1081"/>
        <v>Heavy Discount</v>
      </c>
      <c r="H13865" s="37" t="str">
        <f t="shared" si="1082"/>
        <v>Medium</v>
      </c>
      <c r="I13865">
        <v>7</v>
      </c>
      <c r="J13865" t="str" cm="1">
        <f t="array" ref="J13865">_xlfn.IFS(I13865&lt;=3,"small",I13865&lt;=6,"Medium",I13865&lt;=9,"Large")</f>
        <v>Large</v>
      </c>
      <c r="K13865" s="36">
        <v>45356</v>
      </c>
      <c r="L13865" s="36">
        <v>45360</v>
      </c>
      <c r="M13865" t="s">
        <v>598</v>
      </c>
      <c r="N13865" t="s">
        <v>608</v>
      </c>
      <c r="O13865" s="37" t="str">
        <f t="shared" si="1083"/>
        <v>Cash Payment</v>
      </c>
      <c r="P13865">
        <v>363.32</v>
      </c>
      <c r="Q13865" s="37" t="str">
        <f>IF(P13865&gt;500,"High","low")</f>
        <v>low</v>
      </c>
      <c r="R13865" s="37" t="str">
        <f t="shared" si="1084"/>
        <v>AVERAGE</v>
      </c>
      <c r="S13865" t="s">
        <v>628</v>
      </c>
    </row>
    <row r="13866" spans="1:19" x14ac:dyDescent="0.2">
      <c r="A13866" t="s">
        <v>14477</v>
      </c>
      <c r="B13866" t="s">
        <v>67</v>
      </c>
      <c r="C13866" t="s">
        <v>614</v>
      </c>
      <c r="D13866">
        <v>4785.21</v>
      </c>
      <c r="E13866" s="37" t="str">
        <f t="shared" si="1080"/>
        <v xml:space="preserve"> </v>
      </c>
      <c r="F13866">
        <v>0.31</v>
      </c>
      <c r="G13866" s="37" t="str">
        <f t="shared" si="1081"/>
        <v>Heavy Discount</v>
      </c>
      <c r="H13866" s="37" t="str">
        <f t="shared" si="1082"/>
        <v>Medium</v>
      </c>
      <c r="I13866">
        <v>8</v>
      </c>
      <c r="J13866" t="str" cm="1">
        <f t="array" ref="J13866">_xlfn.IFS(I13866&lt;=3,"small",I13866&lt;=6,"Medium",I13866&lt;=9,"Large")</f>
        <v>Large</v>
      </c>
      <c r="K13866" s="36">
        <v>45335</v>
      </c>
      <c r="L13866" s="36">
        <v>45337</v>
      </c>
      <c r="M13866" t="s">
        <v>612</v>
      </c>
      <c r="N13866" t="s">
        <v>608</v>
      </c>
      <c r="O13866" s="37" t="str">
        <f t="shared" si="1083"/>
        <v>Cash Payment</v>
      </c>
      <c r="P13866">
        <v>684.16</v>
      </c>
      <c r="Q13866" s="37" t="str">
        <f>IF(P13866&gt;500,"High","low")</f>
        <v>High</v>
      </c>
      <c r="R13866" s="37" t="str">
        <f t="shared" si="1084"/>
        <v>Good</v>
      </c>
      <c r="S13866" t="s">
        <v>605</v>
      </c>
    </row>
    <row r="13867" spans="1:19" x14ac:dyDescent="0.2">
      <c r="A13867" t="s">
        <v>14478</v>
      </c>
      <c r="B13867" t="s">
        <v>83</v>
      </c>
      <c r="C13867" t="s">
        <v>607</v>
      </c>
      <c r="D13867">
        <v>2984.59</v>
      </c>
      <c r="E13867" s="37" t="str">
        <f t="shared" si="1080"/>
        <v xml:space="preserve"> </v>
      </c>
      <c r="F13867">
        <v>0.38</v>
      </c>
      <c r="G13867" s="37" t="str">
        <f t="shared" si="1081"/>
        <v>Heavy Discount</v>
      </c>
      <c r="H13867" s="37" t="str">
        <f t="shared" si="1082"/>
        <v>Medium</v>
      </c>
      <c r="I13867">
        <v>3</v>
      </c>
      <c r="J13867" t="str" cm="1">
        <f t="array" ref="J13867">_xlfn.IFS(I13867&lt;=3,"small",I13867&lt;=6,"Medium",I13867&lt;=9,"Large")</f>
        <v>small</v>
      </c>
      <c r="K13867" s="36">
        <v>45388</v>
      </c>
      <c r="L13867" s="36">
        <v>45391</v>
      </c>
      <c r="M13867" t="s">
        <v>603</v>
      </c>
      <c r="N13867" t="s">
        <v>604</v>
      </c>
      <c r="O13867" s="37" t="str">
        <f t="shared" si="1083"/>
        <v>Digital Payment</v>
      </c>
      <c r="P13867">
        <v>647.88</v>
      </c>
      <c r="Q13867" s="37" t="str">
        <f>IF(P13867&gt;500,"High","low")</f>
        <v>High</v>
      </c>
      <c r="R13867" s="37" t="str">
        <f t="shared" si="1084"/>
        <v>Good</v>
      </c>
      <c r="S13867" t="s">
        <v>615</v>
      </c>
    </row>
    <row r="13868" spans="1:19" x14ac:dyDescent="0.2">
      <c r="A13868" t="s">
        <v>14479</v>
      </c>
      <c r="B13868" t="s">
        <v>90</v>
      </c>
      <c r="C13868" t="s">
        <v>607</v>
      </c>
      <c r="D13868">
        <v>1336.37</v>
      </c>
      <c r="E13868" s="37" t="str">
        <f t="shared" si="1080"/>
        <v xml:space="preserve"> </v>
      </c>
      <c r="F13868">
        <v>0.09</v>
      </c>
      <c r="G13868" s="37" t="str">
        <f t="shared" si="1081"/>
        <v>Normal Discount</v>
      </c>
      <c r="H13868" s="37" t="str">
        <f t="shared" si="1082"/>
        <v>Low</v>
      </c>
      <c r="I13868">
        <v>8</v>
      </c>
      <c r="J13868" t="str" cm="1">
        <f t="array" ref="J13868">_xlfn.IFS(I13868&lt;=3,"small",I13868&lt;=6,"Medium",I13868&lt;=9,"Large")</f>
        <v>Large</v>
      </c>
      <c r="K13868" s="36">
        <v>45181</v>
      </c>
      <c r="L13868" s="36">
        <v>45185</v>
      </c>
      <c r="M13868" t="s">
        <v>603</v>
      </c>
      <c r="N13868" t="s">
        <v>604</v>
      </c>
      <c r="O13868" s="37" t="str">
        <f t="shared" si="1083"/>
        <v>Digital Payment</v>
      </c>
      <c r="P13868">
        <v>190.9</v>
      </c>
      <c r="Q13868" s="37" t="str">
        <f>IF(P13868&gt;500,"High","low")</f>
        <v>low</v>
      </c>
      <c r="R13868" s="37" t="str">
        <f t="shared" si="1084"/>
        <v>AVERAGE</v>
      </c>
      <c r="S13868" t="s">
        <v>605</v>
      </c>
    </row>
    <row r="13869" spans="1:19" x14ac:dyDescent="0.2">
      <c r="A13869" t="s">
        <v>14480</v>
      </c>
      <c r="B13869" t="s">
        <v>67</v>
      </c>
      <c r="C13869" t="s">
        <v>617</v>
      </c>
      <c r="D13869">
        <v>4917.8900000000003</v>
      </c>
      <c r="E13869" s="37" t="str">
        <f t="shared" si="1080"/>
        <v>Excellent Order</v>
      </c>
      <c r="F13869">
        <v>0.35</v>
      </c>
      <c r="G13869" s="37" t="str">
        <f t="shared" si="1081"/>
        <v>Heavy Discount</v>
      </c>
      <c r="H13869" s="37" t="str">
        <f t="shared" si="1082"/>
        <v>Medium</v>
      </c>
      <c r="I13869">
        <v>5</v>
      </c>
      <c r="J13869" t="str" cm="1">
        <f t="array" ref="J13869">_xlfn.IFS(I13869&lt;=3,"small",I13869&lt;=6,"Medium",I13869&lt;=9,"Large")</f>
        <v>Medium</v>
      </c>
      <c r="K13869" s="36">
        <v>45285</v>
      </c>
      <c r="L13869" s="36">
        <v>45289</v>
      </c>
      <c r="M13869" t="s">
        <v>598</v>
      </c>
      <c r="N13869" t="s">
        <v>604</v>
      </c>
      <c r="O13869" s="37" t="str">
        <f t="shared" si="1083"/>
        <v>Digital Payment</v>
      </c>
      <c r="P13869">
        <v>1007.04</v>
      </c>
      <c r="Q13869" s="37" t="str">
        <f>IF(P13869&gt;500,"High","low")</f>
        <v>High</v>
      </c>
      <c r="R13869" s="37" t="str">
        <f t="shared" si="1084"/>
        <v>Excellent</v>
      </c>
      <c r="S13869" t="s">
        <v>615</v>
      </c>
    </row>
    <row r="13870" spans="1:19" x14ac:dyDescent="0.2">
      <c r="A13870" t="s">
        <v>14481</v>
      </c>
      <c r="B13870" t="s">
        <v>90</v>
      </c>
      <c r="C13870" t="s">
        <v>597</v>
      </c>
      <c r="D13870">
        <v>1998.99</v>
      </c>
      <c r="E13870" s="37" t="str">
        <f t="shared" si="1080"/>
        <v xml:space="preserve"> </v>
      </c>
      <c r="F13870">
        <v>0.44</v>
      </c>
      <c r="G13870" s="37" t="str">
        <f t="shared" si="1081"/>
        <v>Heavy Discount</v>
      </c>
      <c r="H13870" s="37" t="str">
        <f t="shared" si="1082"/>
        <v>High</v>
      </c>
      <c r="I13870">
        <v>1</v>
      </c>
      <c r="J13870" t="str" cm="1">
        <f t="array" ref="J13870">_xlfn.IFS(I13870&lt;=3,"small",I13870&lt;=6,"Medium",I13870&lt;=9,"Large")</f>
        <v>small</v>
      </c>
      <c r="K13870" s="36">
        <v>45147</v>
      </c>
      <c r="L13870" s="36">
        <v>45154</v>
      </c>
      <c r="M13870" t="s">
        <v>598</v>
      </c>
      <c r="N13870" t="s">
        <v>608</v>
      </c>
      <c r="O13870" s="37" t="str">
        <f t="shared" si="1083"/>
        <v>Cash Payment</v>
      </c>
      <c r="P13870">
        <v>429.68</v>
      </c>
      <c r="Q13870" s="37" t="str">
        <f>IF(P13870&gt;500,"High","low")</f>
        <v>low</v>
      </c>
      <c r="R13870" s="37" t="str">
        <f t="shared" si="1084"/>
        <v>AVERAGE</v>
      </c>
      <c r="S13870" t="s">
        <v>609</v>
      </c>
    </row>
    <row r="13871" spans="1:19" x14ac:dyDescent="0.2">
      <c r="A13871" t="s">
        <v>14482</v>
      </c>
      <c r="B13871" t="s">
        <v>75</v>
      </c>
      <c r="C13871" t="s">
        <v>617</v>
      </c>
      <c r="D13871">
        <v>3274.37</v>
      </c>
      <c r="E13871" s="37" t="str">
        <f t="shared" si="1080"/>
        <v xml:space="preserve"> </v>
      </c>
      <c r="F13871">
        <v>0.27</v>
      </c>
      <c r="G13871" s="37" t="str">
        <f t="shared" si="1081"/>
        <v>Normal Discount</v>
      </c>
      <c r="H13871" s="37" t="str">
        <f t="shared" si="1082"/>
        <v>Medium</v>
      </c>
      <c r="I13871">
        <v>4</v>
      </c>
      <c r="J13871" t="str" cm="1">
        <f t="array" ref="J13871">_xlfn.IFS(I13871&lt;=3,"small",I13871&lt;=6,"Medium",I13871&lt;=9,"Large")</f>
        <v>Medium</v>
      </c>
      <c r="K13871" s="36">
        <v>45262</v>
      </c>
      <c r="L13871" s="36">
        <v>45265</v>
      </c>
      <c r="M13871" t="s">
        <v>598</v>
      </c>
      <c r="N13871" t="s">
        <v>608</v>
      </c>
      <c r="O13871" s="37" t="str">
        <f t="shared" si="1083"/>
        <v>Cash Payment</v>
      </c>
      <c r="P13871">
        <v>745.49</v>
      </c>
      <c r="Q13871" s="37" t="str">
        <f>IF(P13871&gt;500,"High","low")</f>
        <v>High</v>
      </c>
      <c r="R13871" s="37" t="str">
        <f t="shared" si="1084"/>
        <v>Good</v>
      </c>
      <c r="S13871" t="s">
        <v>620</v>
      </c>
    </row>
    <row r="13872" spans="1:19" x14ac:dyDescent="0.2">
      <c r="A13872" t="s">
        <v>14483</v>
      </c>
      <c r="B13872" t="s">
        <v>75</v>
      </c>
      <c r="C13872" t="s">
        <v>614</v>
      </c>
      <c r="D13872">
        <v>3646.88</v>
      </c>
      <c r="E13872" s="37" t="str">
        <f t="shared" si="1080"/>
        <v xml:space="preserve"> </v>
      </c>
      <c r="F13872">
        <v>0.24</v>
      </c>
      <c r="G13872" s="37" t="str">
        <f t="shared" si="1081"/>
        <v>Normal Discount</v>
      </c>
      <c r="H13872" s="37" t="str">
        <f t="shared" si="1082"/>
        <v>Medium</v>
      </c>
      <c r="I13872">
        <v>2</v>
      </c>
      <c r="J13872" t="str" cm="1">
        <f t="array" ref="J13872">_xlfn.IFS(I13872&lt;=3,"small",I13872&lt;=6,"Medium",I13872&lt;=9,"Large")</f>
        <v>small</v>
      </c>
      <c r="K13872" s="36">
        <v>45395</v>
      </c>
      <c r="L13872" s="36">
        <v>45398</v>
      </c>
      <c r="M13872" t="s">
        <v>612</v>
      </c>
      <c r="N13872" t="s">
        <v>599</v>
      </c>
      <c r="O13872" s="37" t="str">
        <f t="shared" si="1083"/>
        <v>Digital Payment</v>
      </c>
      <c r="P13872">
        <v>662.21</v>
      </c>
      <c r="Q13872" s="37" t="str">
        <f>IF(P13872&gt;500,"High","low")</f>
        <v>High</v>
      </c>
      <c r="R13872" s="37" t="str">
        <f t="shared" si="1084"/>
        <v>Good</v>
      </c>
      <c r="S13872" t="s">
        <v>615</v>
      </c>
    </row>
    <row r="13873" spans="1:19" x14ac:dyDescent="0.2">
      <c r="A13873" t="s">
        <v>14484</v>
      </c>
      <c r="B13873" t="s">
        <v>75</v>
      </c>
      <c r="C13873" t="s">
        <v>617</v>
      </c>
      <c r="D13873">
        <v>2169.25</v>
      </c>
      <c r="E13873" s="37" t="str">
        <f t="shared" si="1080"/>
        <v xml:space="preserve"> </v>
      </c>
      <c r="F13873">
        <v>0.4</v>
      </c>
      <c r="G13873" s="37" t="str">
        <f t="shared" si="1081"/>
        <v>Heavy Discount</v>
      </c>
      <c r="H13873" s="37" t="str">
        <f t="shared" si="1082"/>
        <v>Medium</v>
      </c>
      <c r="I13873">
        <v>5</v>
      </c>
      <c r="J13873" t="str" cm="1">
        <f t="array" ref="J13873">_xlfn.IFS(I13873&lt;=3,"small",I13873&lt;=6,"Medium",I13873&lt;=9,"Large")</f>
        <v>Medium</v>
      </c>
      <c r="K13873" s="36">
        <v>45076</v>
      </c>
      <c r="L13873" s="36">
        <v>45080</v>
      </c>
      <c r="M13873" t="s">
        <v>598</v>
      </c>
      <c r="N13873" t="s">
        <v>599</v>
      </c>
      <c r="O13873" s="37" t="str">
        <f t="shared" si="1083"/>
        <v>Digital Payment</v>
      </c>
      <c r="P13873">
        <v>309.20999999999998</v>
      </c>
      <c r="Q13873" s="37" t="str">
        <f>IF(P13873&gt;500,"High","low")</f>
        <v>low</v>
      </c>
      <c r="R13873" s="37" t="str">
        <f t="shared" si="1084"/>
        <v>AVERAGE</v>
      </c>
      <c r="S13873" t="s">
        <v>628</v>
      </c>
    </row>
    <row r="13874" spans="1:19" x14ac:dyDescent="0.2">
      <c r="A13874" t="s">
        <v>14485</v>
      </c>
      <c r="B13874" t="s">
        <v>83</v>
      </c>
      <c r="C13874" t="s">
        <v>607</v>
      </c>
      <c r="D13874">
        <v>2725.99</v>
      </c>
      <c r="E13874" s="37" t="str">
        <f t="shared" si="1080"/>
        <v xml:space="preserve"> </v>
      </c>
      <c r="F13874">
        <v>7.0000000000000007E-2</v>
      </c>
      <c r="G13874" s="37" t="str">
        <f t="shared" si="1081"/>
        <v>Normal Discount</v>
      </c>
      <c r="H13874" s="37" t="str">
        <f t="shared" si="1082"/>
        <v>Low</v>
      </c>
      <c r="I13874">
        <v>4</v>
      </c>
      <c r="J13874" t="str" cm="1">
        <f t="array" ref="J13874">_xlfn.IFS(I13874&lt;=3,"small",I13874&lt;=6,"Medium",I13874&lt;=9,"Large")</f>
        <v>Medium</v>
      </c>
      <c r="K13874" s="36">
        <v>45012</v>
      </c>
      <c r="L13874" s="36">
        <v>45015</v>
      </c>
      <c r="M13874" t="s">
        <v>598</v>
      </c>
      <c r="N13874" t="s">
        <v>608</v>
      </c>
      <c r="O13874" s="37" t="str">
        <f t="shared" si="1083"/>
        <v>Cash Payment</v>
      </c>
      <c r="P13874">
        <v>557</v>
      </c>
      <c r="Q13874" s="37" t="str">
        <f>IF(P13874&gt;500,"High","low")</f>
        <v>High</v>
      </c>
      <c r="R13874" s="37" t="str">
        <f t="shared" si="1084"/>
        <v>Good</v>
      </c>
      <c r="S13874" t="s">
        <v>620</v>
      </c>
    </row>
    <row r="13875" spans="1:19" x14ac:dyDescent="0.2">
      <c r="A13875" t="s">
        <v>14486</v>
      </c>
      <c r="B13875" t="s">
        <v>67</v>
      </c>
      <c r="C13875" t="s">
        <v>614</v>
      </c>
      <c r="D13875">
        <v>1274.93</v>
      </c>
      <c r="E13875" s="37" t="str">
        <f t="shared" si="1080"/>
        <v xml:space="preserve"> </v>
      </c>
      <c r="F13875">
        <v>0.17</v>
      </c>
      <c r="G13875" s="37" t="str">
        <f t="shared" si="1081"/>
        <v>Normal Discount</v>
      </c>
      <c r="H13875" s="37" t="str">
        <f t="shared" si="1082"/>
        <v>Low</v>
      </c>
      <c r="I13875">
        <v>2</v>
      </c>
      <c r="J13875" t="str" cm="1">
        <f t="array" ref="J13875">_xlfn.IFS(I13875&lt;=3,"small",I13875&lt;=6,"Medium",I13875&lt;=9,"Large")</f>
        <v>small</v>
      </c>
      <c r="K13875" s="36">
        <v>45063</v>
      </c>
      <c r="L13875" s="36">
        <v>45069</v>
      </c>
      <c r="M13875" t="s">
        <v>612</v>
      </c>
      <c r="N13875" t="s">
        <v>604</v>
      </c>
      <c r="O13875" s="37" t="str">
        <f t="shared" si="1083"/>
        <v>Digital Payment</v>
      </c>
      <c r="P13875">
        <v>217.15</v>
      </c>
      <c r="Q13875" s="37" t="str">
        <f>IF(P13875&gt;500,"High","low")</f>
        <v>low</v>
      </c>
      <c r="R13875" s="37" t="str">
        <f t="shared" si="1084"/>
        <v>AVERAGE</v>
      </c>
      <c r="S13875" t="s">
        <v>605</v>
      </c>
    </row>
    <row r="13876" spans="1:19" x14ac:dyDescent="0.2">
      <c r="A13876" t="s">
        <v>14487</v>
      </c>
      <c r="B13876" t="s">
        <v>75</v>
      </c>
      <c r="C13876" t="s">
        <v>614</v>
      </c>
      <c r="D13876">
        <v>2382.5300000000002</v>
      </c>
      <c r="E13876" s="37" t="str">
        <f t="shared" si="1080"/>
        <v xml:space="preserve"> </v>
      </c>
      <c r="F13876">
        <v>0.43</v>
      </c>
      <c r="G13876" s="37" t="str">
        <f t="shared" si="1081"/>
        <v>Heavy Discount</v>
      </c>
      <c r="H13876" s="37" t="str">
        <f t="shared" si="1082"/>
        <v>High</v>
      </c>
      <c r="I13876">
        <v>7</v>
      </c>
      <c r="J13876" t="str" cm="1">
        <f t="array" ref="J13876">_xlfn.IFS(I13876&lt;=3,"small",I13876&lt;=6,"Medium",I13876&lt;=9,"Large")</f>
        <v>Large</v>
      </c>
      <c r="K13876" s="36">
        <v>45269</v>
      </c>
      <c r="L13876" s="36">
        <v>45273</v>
      </c>
      <c r="M13876" t="s">
        <v>612</v>
      </c>
      <c r="N13876" t="s">
        <v>608</v>
      </c>
      <c r="O13876" s="37" t="str">
        <f t="shared" si="1083"/>
        <v>Cash Payment</v>
      </c>
      <c r="P13876">
        <v>154.6</v>
      </c>
      <c r="Q13876" s="37" t="str">
        <f>IF(P13876&gt;500,"High","low")</f>
        <v>low</v>
      </c>
      <c r="R13876" s="37" t="str">
        <f t="shared" si="1084"/>
        <v>AVERAGE</v>
      </c>
      <c r="S13876" t="s">
        <v>615</v>
      </c>
    </row>
    <row r="13877" spans="1:19" x14ac:dyDescent="0.2">
      <c r="A13877" t="s">
        <v>14488</v>
      </c>
      <c r="B13877" t="s">
        <v>83</v>
      </c>
      <c r="C13877" t="s">
        <v>617</v>
      </c>
      <c r="D13877">
        <v>1622.92</v>
      </c>
      <c r="E13877" s="37" t="str">
        <f t="shared" si="1080"/>
        <v xml:space="preserve"> </v>
      </c>
      <c r="F13877">
        <v>0.25</v>
      </c>
      <c r="G13877" s="37" t="str">
        <f t="shared" si="1081"/>
        <v>Normal Discount</v>
      </c>
      <c r="H13877" s="37" t="str">
        <f t="shared" si="1082"/>
        <v>Medium</v>
      </c>
      <c r="I13877">
        <v>2</v>
      </c>
      <c r="J13877" t="str" cm="1">
        <f t="array" ref="J13877">_xlfn.IFS(I13877&lt;=3,"small",I13877&lt;=6,"Medium",I13877&lt;=9,"Large")</f>
        <v>small</v>
      </c>
      <c r="K13877" s="36">
        <v>45639</v>
      </c>
      <c r="L13877" s="36">
        <v>45644</v>
      </c>
      <c r="M13877" t="s">
        <v>603</v>
      </c>
      <c r="N13877" t="s">
        <v>608</v>
      </c>
      <c r="O13877" s="37" t="str">
        <f t="shared" si="1083"/>
        <v>Cash Payment</v>
      </c>
      <c r="P13877">
        <v>279.81</v>
      </c>
      <c r="Q13877" s="37" t="str">
        <f>IF(P13877&gt;500,"High","low")</f>
        <v>low</v>
      </c>
      <c r="R13877" s="37" t="str">
        <f t="shared" si="1084"/>
        <v>AVERAGE</v>
      </c>
      <c r="S13877" t="s">
        <v>620</v>
      </c>
    </row>
    <row r="13878" spans="1:19" x14ac:dyDescent="0.2">
      <c r="A13878" t="s">
        <v>14489</v>
      </c>
      <c r="B13878" t="s">
        <v>83</v>
      </c>
      <c r="C13878" t="s">
        <v>602</v>
      </c>
      <c r="D13878">
        <v>2782.54</v>
      </c>
      <c r="E13878" s="37" t="str">
        <f t="shared" si="1080"/>
        <v xml:space="preserve"> </v>
      </c>
      <c r="F13878">
        <v>0.42</v>
      </c>
      <c r="G13878" s="37" t="str">
        <f t="shared" si="1081"/>
        <v>Heavy Discount</v>
      </c>
      <c r="H13878" s="37" t="str">
        <f t="shared" si="1082"/>
        <v>High</v>
      </c>
      <c r="I13878">
        <v>2</v>
      </c>
      <c r="J13878" t="str" cm="1">
        <f t="array" ref="J13878">_xlfn.IFS(I13878&lt;=3,"small",I13878&lt;=6,"Medium",I13878&lt;=9,"Large")</f>
        <v>small</v>
      </c>
      <c r="K13878" s="36">
        <v>45406</v>
      </c>
      <c r="L13878" s="36">
        <v>45413</v>
      </c>
      <c r="M13878" t="s">
        <v>612</v>
      </c>
      <c r="N13878" t="s">
        <v>604</v>
      </c>
      <c r="O13878" s="37" t="str">
        <f t="shared" si="1083"/>
        <v>Digital Payment</v>
      </c>
      <c r="P13878">
        <v>394.34</v>
      </c>
      <c r="Q13878" s="37" t="str">
        <f>IF(P13878&gt;500,"High","low")</f>
        <v>low</v>
      </c>
      <c r="R13878" s="37" t="str">
        <f t="shared" si="1084"/>
        <v>AVERAGE</v>
      </c>
      <c r="S13878" t="s">
        <v>600</v>
      </c>
    </row>
    <row r="13879" spans="1:19" x14ac:dyDescent="0.2">
      <c r="A13879" t="s">
        <v>14490</v>
      </c>
      <c r="B13879" t="s">
        <v>83</v>
      </c>
      <c r="C13879" t="s">
        <v>597</v>
      </c>
      <c r="D13879">
        <v>3382.46</v>
      </c>
      <c r="E13879" s="37" t="str">
        <f t="shared" si="1080"/>
        <v xml:space="preserve"> </v>
      </c>
      <c r="F13879">
        <v>0.13</v>
      </c>
      <c r="G13879" s="37" t="str">
        <f t="shared" si="1081"/>
        <v>Normal Discount</v>
      </c>
      <c r="H13879" s="37" t="str">
        <f t="shared" si="1082"/>
        <v>Low</v>
      </c>
      <c r="I13879">
        <v>4</v>
      </c>
      <c r="J13879" t="str" cm="1">
        <f t="array" ref="J13879">_xlfn.IFS(I13879&lt;=3,"small",I13879&lt;=6,"Medium",I13879&lt;=9,"Large")</f>
        <v>Medium</v>
      </c>
      <c r="K13879" s="36">
        <v>45218</v>
      </c>
      <c r="L13879" s="36">
        <v>45219</v>
      </c>
      <c r="M13879" t="s">
        <v>598</v>
      </c>
      <c r="N13879" t="s">
        <v>608</v>
      </c>
      <c r="O13879" s="37" t="str">
        <f t="shared" si="1083"/>
        <v>Cash Payment</v>
      </c>
      <c r="P13879">
        <v>217.54</v>
      </c>
      <c r="Q13879" s="37" t="str">
        <f>IF(P13879&gt;500,"High","low")</f>
        <v>low</v>
      </c>
      <c r="R13879" s="37" t="str">
        <f t="shared" si="1084"/>
        <v>AVERAGE</v>
      </c>
      <c r="S13879" t="s">
        <v>605</v>
      </c>
    </row>
    <row r="13880" spans="1:19" x14ac:dyDescent="0.2">
      <c r="A13880" t="s">
        <v>14491</v>
      </c>
      <c r="B13880" t="s">
        <v>83</v>
      </c>
      <c r="C13880" t="s">
        <v>617</v>
      </c>
      <c r="D13880">
        <v>3108.63</v>
      </c>
      <c r="E13880" s="37" t="str">
        <f t="shared" si="1080"/>
        <v xml:space="preserve"> </v>
      </c>
      <c r="F13880">
        <v>0.19</v>
      </c>
      <c r="G13880" s="37" t="str">
        <f t="shared" si="1081"/>
        <v>Normal Discount</v>
      </c>
      <c r="H13880" s="37" t="str">
        <f t="shared" si="1082"/>
        <v>Low</v>
      </c>
      <c r="I13880">
        <v>5</v>
      </c>
      <c r="J13880" t="str" cm="1">
        <f t="array" ref="J13880">_xlfn.IFS(I13880&lt;=3,"small",I13880&lt;=6,"Medium",I13880&lt;=9,"Large")</f>
        <v>Medium</v>
      </c>
      <c r="K13880" s="36">
        <v>45165</v>
      </c>
      <c r="L13880" s="36">
        <v>45171</v>
      </c>
      <c r="M13880" t="s">
        <v>603</v>
      </c>
      <c r="N13880" t="s">
        <v>608</v>
      </c>
      <c r="O13880" s="37" t="str">
        <f t="shared" si="1083"/>
        <v>Cash Payment</v>
      </c>
      <c r="P13880">
        <v>239.46</v>
      </c>
      <c r="Q13880" s="37" t="str">
        <f>IF(P13880&gt;500,"High","low")</f>
        <v>low</v>
      </c>
      <c r="R13880" s="37" t="str">
        <f t="shared" si="1084"/>
        <v>AVERAGE</v>
      </c>
      <c r="S13880" t="s">
        <v>620</v>
      </c>
    </row>
    <row r="13881" spans="1:19" x14ac:dyDescent="0.2">
      <c r="A13881" t="s">
        <v>14492</v>
      </c>
      <c r="B13881" t="s">
        <v>75</v>
      </c>
      <c r="C13881" t="s">
        <v>617</v>
      </c>
      <c r="D13881">
        <v>3905.91</v>
      </c>
      <c r="E13881" s="37" t="str">
        <f t="shared" si="1080"/>
        <v xml:space="preserve"> </v>
      </c>
      <c r="F13881">
        <v>0.41</v>
      </c>
      <c r="G13881" s="37" t="str">
        <f t="shared" si="1081"/>
        <v>Heavy Discount</v>
      </c>
      <c r="H13881" s="37" t="str">
        <f t="shared" si="1082"/>
        <v>High</v>
      </c>
      <c r="I13881">
        <v>3</v>
      </c>
      <c r="J13881" t="str" cm="1">
        <f t="array" ref="J13881">_xlfn.IFS(I13881&lt;=3,"small",I13881&lt;=6,"Medium",I13881&lt;=9,"Large")</f>
        <v>small</v>
      </c>
      <c r="K13881" s="36">
        <v>45187</v>
      </c>
      <c r="L13881" s="36">
        <v>45192</v>
      </c>
      <c r="M13881" t="s">
        <v>598</v>
      </c>
      <c r="N13881" t="s">
        <v>604</v>
      </c>
      <c r="O13881" s="37" t="str">
        <f t="shared" si="1083"/>
        <v>Digital Payment</v>
      </c>
      <c r="P13881">
        <v>753.13</v>
      </c>
      <c r="Q13881" s="37" t="str">
        <f>IF(P13881&gt;500,"High","low")</f>
        <v>High</v>
      </c>
      <c r="R13881" s="37" t="str">
        <f t="shared" si="1084"/>
        <v>Good</v>
      </c>
      <c r="S13881" t="s">
        <v>620</v>
      </c>
    </row>
    <row r="13882" spans="1:19" x14ac:dyDescent="0.2">
      <c r="A13882" t="s">
        <v>14493</v>
      </c>
      <c r="B13882" t="s">
        <v>83</v>
      </c>
      <c r="C13882" t="s">
        <v>597</v>
      </c>
      <c r="D13882">
        <v>303.5</v>
      </c>
      <c r="E13882" s="37" t="str">
        <f t="shared" si="1080"/>
        <v xml:space="preserve"> </v>
      </c>
      <c r="F13882">
        <v>0.08</v>
      </c>
      <c r="G13882" s="37" t="str">
        <f t="shared" si="1081"/>
        <v>Normal Discount</v>
      </c>
      <c r="H13882" s="37" t="str">
        <f t="shared" si="1082"/>
        <v>Low</v>
      </c>
      <c r="I13882">
        <v>9</v>
      </c>
      <c r="J13882" t="str" cm="1">
        <f t="array" ref="J13882">_xlfn.IFS(I13882&lt;=3,"small",I13882&lt;=6,"Medium",I13882&lt;=9,"Large")</f>
        <v>Large</v>
      </c>
      <c r="K13882" s="36">
        <v>45144</v>
      </c>
      <c r="L13882" s="36">
        <v>45145</v>
      </c>
      <c r="M13882" t="s">
        <v>603</v>
      </c>
      <c r="N13882" t="s">
        <v>608</v>
      </c>
      <c r="O13882" s="37" t="str">
        <f t="shared" si="1083"/>
        <v>Cash Payment</v>
      </c>
      <c r="P13882">
        <v>77.19</v>
      </c>
      <c r="Q13882" s="37" t="str">
        <f>IF(P13882&gt;500,"High","low")</f>
        <v>low</v>
      </c>
      <c r="R13882" s="37" t="str">
        <f t="shared" si="1084"/>
        <v>AVERAGE</v>
      </c>
      <c r="S13882" t="s">
        <v>628</v>
      </c>
    </row>
    <row r="13883" spans="1:19" x14ac:dyDescent="0.2">
      <c r="A13883" t="s">
        <v>14494</v>
      </c>
      <c r="B13883" t="s">
        <v>75</v>
      </c>
      <c r="C13883" t="s">
        <v>614</v>
      </c>
      <c r="D13883">
        <v>485.12</v>
      </c>
      <c r="E13883" s="37" t="str">
        <f t="shared" si="1080"/>
        <v xml:space="preserve"> </v>
      </c>
      <c r="F13883">
        <v>0.45</v>
      </c>
      <c r="G13883" s="37" t="str">
        <f t="shared" si="1081"/>
        <v>Heavy Discount</v>
      </c>
      <c r="H13883" s="37" t="str">
        <f t="shared" si="1082"/>
        <v>High</v>
      </c>
      <c r="I13883">
        <v>6</v>
      </c>
      <c r="J13883" t="str" cm="1">
        <f t="array" ref="J13883">_xlfn.IFS(I13883&lt;=3,"small",I13883&lt;=6,"Medium",I13883&lt;=9,"Large")</f>
        <v>Medium</v>
      </c>
      <c r="K13883" s="36">
        <v>44930</v>
      </c>
      <c r="L13883" s="36">
        <v>44931</v>
      </c>
      <c r="M13883" t="s">
        <v>612</v>
      </c>
      <c r="N13883" t="s">
        <v>599</v>
      </c>
      <c r="O13883" s="37" t="str">
        <f t="shared" si="1083"/>
        <v>Digital Payment</v>
      </c>
      <c r="P13883">
        <v>82.01</v>
      </c>
      <c r="Q13883" s="37" t="str">
        <f>IF(P13883&gt;500,"High","low")</f>
        <v>low</v>
      </c>
      <c r="R13883" s="37" t="str">
        <f t="shared" si="1084"/>
        <v>AVERAGE</v>
      </c>
      <c r="S13883" t="s">
        <v>628</v>
      </c>
    </row>
    <row r="13884" spans="1:19" x14ac:dyDescent="0.2">
      <c r="A13884" t="s">
        <v>14495</v>
      </c>
      <c r="B13884" t="s">
        <v>75</v>
      </c>
      <c r="C13884" t="s">
        <v>614</v>
      </c>
      <c r="D13884">
        <v>1106.04</v>
      </c>
      <c r="E13884" s="37" t="str">
        <f t="shared" si="1080"/>
        <v xml:space="preserve"> </v>
      </c>
      <c r="F13884">
        <v>0.15</v>
      </c>
      <c r="G13884" s="37" t="str">
        <f t="shared" si="1081"/>
        <v>Normal Discount</v>
      </c>
      <c r="H13884" s="37" t="str">
        <f t="shared" si="1082"/>
        <v>Low</v>
      </c>
      <c r="I13884">
        <v>8</v>
      </c>
      <c r="J13884" t="str" cm="1">
        <f t="array" ref="J13884">_xlfn.IFS(I13884&lt;=3,"small",I13884&lt;=6,"Medium",I13884&lt;=9,"Large")</f>
        <v>Large</v>
      </c>
      <c r="K13884" s="36">
        <v>45462</v>
      </c>
      <c r="L13884" s="36">
        <v>45467</v>
      </c>
      <c r="M13884" t="s">
        <v>603</v>
      </c>
      <c r="N13884" t="s">
        <v>608</v>
      </c>
      <c r="O13884" s="37" t="str">
        <f t="shared" si="1083"/>
        <v>Cash Payment</v>
      </c>
      <c r="P13884">
        <v>68.7</v>
      </c>
      <c r="Q13884" s="37" t="str">
        <f>IF(P13884&gt;500,"High","low")</f>
        <v>low</v>
      </c>
      <c r="R13884" s="37" t="str">
        <f t="shared" si="1084"/>
        <v>AVERAGE</v>
      </c>
      <c r="S13884" t="s">
        <v>605</v>
      </c>
    </row>
    <row r="13885" spans="1:19" x14ac:dyDescent="0.2">
      <c r="A13885" t="s">
        <v>14496</v>
      </c>
      <c r="B13885" t="s">
        <v>83</v>
      </c>
      <c r="C13885" t="s">
        <v>602</v>
      </c>
      <c r="D13885">
        <v>4930.43</v>
      </c>
      <c r="E13885" s="37" t="str">
        <f t="shared" si="1080"/>
        <v>Excellent Order</v>
      </c>
      <c r="F13885">
        <v>0.49</v>
      </c>
      <c r="G13885" s="37" t="str">
        <f t="shared" si="1081"/>
        <v>Heavy Discount</v>
      </c>
      <c r="H13885" s="37" t="str">
        <f t="shared" si="1082"/>
        <v>High</v>
      </c>
      <c r="I13885">
        <v>5</v>
      </c>
      <c r="J13885" t="str" cm="1">
        <f t="array" ref="J13885">_xlfn.IFS(I13885&lt;=3,"small",I13885&lt;=6,"Medium",I13885&lt;=9,"Large")</f>
        <v>Medium</v>
      </c>
      <c r="K13885" s="36">
        <v>45289</v>
      </c>
      <c r="L13885" s="36">
        <v>45296</v>
      </c>
      <c r="M13885" t="s">
        <v>598</v>
      </c>
      <c r="N13885" t="s">
        <v>604</v>
      </c>
      <c r="O13885" s="37" t="str">
        <f t="shared" si="1083"/>
        <v>Digital Payment</v>
      </c>
      <c r="P13885">
        <v>1284.3800000000001</v>
      </c>
      <c r="Q13885" s="37" t="str">
        <f>IF(P13885&gt;500,"High","low")</f>
        <v>High</v>
      </c>
      <c r="R13885" s="37" t="str">
        <f t="shared" si="1084"/>
        <v>Excellent</v>
      </c>
      <c r="S13885" t="s">
        <v>615</v>
      </c>
    </row>
    <row r="13886" spans="1:19" x14ac:dyDescent="0.2">
      <c r="A13886" t="s">
        <v>14497</v>
      </c>
      <c r="B13886" t="s">
        <v>75</v>
      </c>
      <c r="C13886" t="s">
        <v>617</v>
      </c>
      <c r="D13886">
        <v>4021.31</v>
      </c>
      <c r="E13886" s="37" t="str">
        <f t="shared" si="1080"/>
        <v>Excellent Order</v>
      </c>
      <c r="F13886">
        <v>0.41</v>
      </c>
      <c r="G13886" s="37" t="str">
        <f t="shared" si="1081"/>
        <v>Heavy Discount</v>
      </c>
      <c r="H13886" s="37" t="str">
        <f t="shared" si="1082"/>
        <v>High</v>
      </c>
      <c r="I13886">
        <v>8</v>
      </c>
      <c r="J13886" t="str" cm="1">
        <f t="array" ref="J13886">_xlfn.IFS(I13886&lt;=3,"small",I13886&lt;=6,"Medium",I13886&lt;=9,"Large")</f>
        <v>Large</v>
      </c>
      <c r="K13886" s="36">
        <v>45657</v>
      </c>
      <c r="L13886" s="36">
        <v>45664</v>
      </c>
      <c r="M13886" t="s">
        <v>612</v>
      </c>
      <c r="N13886" t="s">
        <v>604</v>
      </c>
      <c r="O13886" s="37" t="str">
        <f t="shared" si="1083"/>
        <v>Digital Payment</v>
      </c>
      <c r="P13886">
        <v>869.12</v>
      </c>
      <c r="Q13886" s="37" t="str">
        <f>IF(P13886&gt;500,"High","low")</f>
        <v>High</v>
      </c>
      <c r="R13886" s="37" t="str">
        <f t="shared" si="1084"/>
        <v>Good</v>
      </c>
      <c r="S13886" t="s">
        <v>600</v>
      </c>
    </row>
    <row r="13887" spans="1:19" x14ac:dyDescent="0.2">
      <c r="A13887" t="s">
        <v>14498</v>
      </c>
      <c r="B13887" t="s">
        <v>67</v>
      </c>
      <c r="C13887" t="s">
        <v>597</v>
      </c>
      <c r="D13887">
        <v>4628.1899999999996</v>
      </c>
      <c r="E13887" s="37" t="str">
        <f t="shared" si="1080"/>
        <v>Excellent Order</v>
      </c>
      <c r="F13887">
        <v>0.23</v>
      </c>
      <c r="G13887" s="37" t="str">
        <f t="shared" si="1081"/>
        <v>Normal Discount</v>
      </c>
      <c r="H13887" s="37" t="str">
        <f t="shared" si="1082"/>
        <v>Medium</v>
      </c>
      <c r="I13887">
        <v>6</v>
      </c>
      <c r="J13887" t="str" cm="1">
        <f t="array" ref="J13887">_xlfn.IFS(I13887&lt;=3,"small",I13887&lt;=6,"Medium",I13887&lt;=9,"Large")</f>
        <v>Medium</v>
      </c>
      <c r="K13887" s="36">
        <v>45450</v>
      </c>
      <c r="L13887" s="36">
        <v>45451</v>
      </c>
      <c r="M13887" t="s">
        <v>612</v>
      </c>
      <c r="N13887" t="s">
        <v>599</v>
      </c>
      <c r="O13887" s="37" t="str">
        <f t="shared" si="1083"/>
        <v>Digital Payment</v>
      </c>
      <c r="P13887">
        <v>1290.8399999999999</v>
      </c>
      <c r="Q13887" s="37" t="str">
        <f>IF(P13887&gt;500,"High","low")</f>
        <v>High</v>
      </c>
      <c r="R13887" s="37" t="str">
        <f t="shared" si="1084"/>
        <v>Excellent</v>
      </c>
      <c r="S13887" t="s">
        <v>605</v>
      </c>
    </row>
    <row r="13888" spans="1:19" x14ac:dyDescent="0.2">
      <c r="A13888" t="s">
        <v>14499</v>
      </c>
      <c r="B13888" t="s">
        <v>67</v>
      </c>
      <c r="C13888" t="s">
        <v>617</v>
      </c>
      <c r="D13888">
        <v>1433.24</v>
      </c>
      <c r="E13888" s="37" t="str">
        <f t="shared" si="1080"/>
        <v xml:space="preserve"> </v>
      </c>
      <c r="F13888">
        <v>0.37</v>
      </c>
      <c r="G13888" s="37" t="str">
        <f t="shared" si="1081"/>
        <v>Heavy Discount</v>
      </c>
      <c r="H13888" s="37" t="str">
        <f t="shared" si="1082"/>
        <v>Medium</v>
      </c>
      <c r="I13888">
        <v>7</v>
      </c>
      <c r="J13888" t="str" cm="1">
        <f t="array" ref="J13888">_xlfn.IFS(I13888&lt;=3,"small",I13888&lt;=6,"Medium",I13888&lt;=9,"Large")</f>
        <v>Large</v>
      </c>
      <c r="K13888" s="36">
        <v>45520</v>
      </c>
      <c r="L13888" s="36">
        <v>45521</v>
      </c>
      <c r="M13888" t="s">
        <v>598</v>
      </c>
      <c r="N13888" t="s">
        <v>604</v>
      </c>
      <c r="O13888" s="37" t="str">
        <f t="shared" si="1083"/>
        <v>Digital Payment</v>
      </c>
      <c r="P13888">
        <v>426.43</v>
      </c>
      <c r="Q13888" s="37" t="str">
        <f>IF(P13888&gt;500,"High","low")</f>
        <v>low</v>
      </c>
      <c r="R13888" s="37" t="str">
        <f t="shared" si="1084"/>
        <v>AVERAGE</v>
      </c>
      <c r="S13888" t="s">
        <v>600</v>
      </c>
    </row>
    <row r="13889" spans="1:19" x14ac:dyDescent="0.2">
      <c r="A13889" t="s">
        <v>14500</v>
      </c>
      <c r="B13889" t="s">
        <v>90</v>
      </c>
      <c r="C13889" t="s">
        <v>607</v>
      </c>
      <c r="D13889">
        <v>2911.9</v>
      </c>
      <c r="E13889" s="37" t="str">
        <f t="shared" si="1080"/>
        <v xml:space="preserve"> </v>
      </c>
      <c r="F13889">
        <v>0.28000000000000003</v>
      </c>
      <c r="G13889" s="37" t="str">
        <f t="shared" si="1081"/>
        <v>Normal Discount</v>
      </c>
      <c r="H13889" s="37" t="str">
        <f t="shared" si="1082"/>
        <v>Medium</v>
      </c>
      <c r="I13889">
        <v>2</v>
      </c>
      <c r="J13889" t="str" cm="1">
        <f t="array" ref="J13889">_xlfn.IFS(I13889&lt;=3,"small",I13889&lt;=6,"Medium",I13889&lt;=9,"Large")</f>
        <v>small</v>
      </c>
      <c r="K13889" s="36">
        <v>45063</v>
      </c>
      <c r="L13889" s="36">
        <v>45069</v>
      </c>
      <c r="M13889" t="s">
        <v>598</v>
      </c>
      <c r="N13889" t="s">
        <v>604</v>
      </c>
      <c r="O13889" s="37" t="str">
        <f t="shared" si="1083"/>
        <v>Digital Payment</v>
      </c>
      <c r="P13889">
        <v>761.73</v>
      </c>
      <c r="Q13889" s="37" t="str">
        <f>IF(P13889&gt;500,"High","low")</f>
        <v>High</v>
      </c>
      <c r="R13889" s="37" t="str">
        <f t="shared" si="1084"/>
        <v>Good</v>
      </c>
      <c r="S13889" t="s">
        <v>620</v>
      </c>
    </row>
    <row r="13890" spans="1:19" x14ac:dyDescent="0.2">
      <c r="A13890" t="s">
        <v>14501</v>
      </c>
      <c r="B13890" t="s">
        <v>67</v>
      </c>
      <c r="C13890" t="s">
        <v>617</v>
      </c>
      <c r="D13890">
        <v>2818.94</v>
      </c>
      <c r="E13890" s="37" t="str">
        <f t="shared" si="1080"/>
        <v xml:space="preserve"> </v>
      </c>
      <c r="F13890">
        <v>0.43</v>
      </c>
      <c r="G13890" s="37" t="str">
        <f t="shared" si="1081"/>
        <v>Heavy Discount</v>
      </c>
      <c r="H13890" s="37" t="str">
        <f t="shared" si="1082"/>
        <v>High</v>
      </c>
      <c r="I13890">
        <v>6</v>
      </c>
      <c r="J13890" t="str" cm="1">
        <f t="array" ref="J13890">_xlfn.IFS(I13890&lt;=3,"small",I13890&lt;=6,"Medium",I13890&lt;=9,"Large")</f>
        <v>Medium</v>
      </c>
      <c r="K13890" s="36">
        <v>45504</v>
      </c>
      <c r="L13890" s="36">
        <v>45510</v>
      </c>
      <c r="M13890" t="s">
        <v>598</v>
      </c>
      <c r="N13890" t="s">
        <v>608</v>
      </c>
      <c r="O13890" s="37" t="str">
        <f t="shared" si="1083"/>
        <v>Cash Payment</v>
      </c>
      <c r="P13890">
        <v>782.53</v>
      </c>
      <c r="Q13890" s="37" t="str">
        <f>IF(P13890&gt;500,"High","low")</f>
        <v>High</v>
      </c>
      <c r="R13890" s="37" t="str">
        <f t="shared" si="1084"/>
        <v>Good</v>
      </c>
      <c r="S13890" t="s">
        <v>620</v>
      </c>
    </row>
    <row r="13891" spans="1:19" x14ac:dyDescent="0.2">
      <c r="A13891" t="s">
        <v>14502</v>
      </c>
      <c r="B13891" t="s">
        <v>75</v>
      </c>
      <c r="C13891" t="s">
        <v>617</v>
      </c>
      <c r="D13891">
        <v>2890.64</v>
      </c>
      <c r="E13891" s="37" t="str">
        <f t="shared" ref="E13891:E13954" si="1085">IF(AND(D13891&gt;4000,P13891&gt;800),"Excellent Order"," ")</f>
        <v xml:space="preserve"> </v>
      </c>
      <c r="F13891">
        <v>0.26</v>
      </c>
      <c r="G13891" s="37" t="str">
        <f t="shared" ref="G13891:G13954" si="1086">IF(F13891&gt;30%,"Heavy Discount","Normal Discount")</f>
        <v>Normal Discount</v>
      </c>
      <c r="H13891" s="37" t="str">
        <f t="shared" ref="H13891:H13954" si="1087">IF(F13891&gt;0.4,"High",IF(F13891&gt;=0.2,"Medium","Low"))</f>
        <v>Medium</v>
      </c>
      <c r="I13891">
        <v>5</v>
      </c>
      <c r="J13891" t="str" cm="1">
        <f t="array" ref="J13891">_xlfn.IFS(I13891&lt;=3,"small",I13891&lt;=6,"Medium",I13891&lt;=9,"Large")</f>
        <v>Medium</v>
      </c>
      <c r="K13891" s="36">
        <v>45425</v>
      </c>
      <c r="L13891" s="36">
        <v>45429</v>
      </c>
      <c r="M13891" t="s">
        <v>598</v>
      </c>
      <c r="N13891" t="s">
        <v>599</v>
      </c>
      <c r="O13891" s="37" t="str">
        <f t="shared" ref="O13891:O13954" si="1088">IF(OR(N13891="Card",N13891="UPI"),"Digital Payment","Cash Payment")</f>
        <v>Digital Payment</v>
      </c>
      <c r="P13891">
        <v>699.88</v>
      </c>
      <c r="Q13891" s="37" t="str">
        <f>IF(P13891&gt;500,"High","low")</f>
        <v>High</v>
      </c>
      <c r="R13891" s="37" t="str">
        <f t="shared" ref="R13891:R13954" si="1089">IF(P13891&gt;1000,"Excellent",IF(P13891&gt;=500,"Good","AVERAGE"))</f>
        <v>Good</v>
      </c>
      <c r="S13891" t="s">
        <v>600</v>
      </c>
    </row>
    <row r="13892" spans="1:19" x14ac:dyDescent="0.2">
      <c r="A13892" t="s">
        <v>14503</v>
      </c>
      <c r="B13892" t="s">
        <v>75</v>
      </c>
      <c r="C13892" t="s">
        <v>607</v>
      </c>
      <c r="D13892">
        <v>3616.08</v>
      </c>
      <c r="E13892" s="37" t="str">
        <f t="shared" si="1085"/>
        <v xml:space="preserve"> </v>
      </c>
      <c r="F13892">
        <v>0.49</v>
      </c>
      <c r="G13892" s="37" t="str">
        <f t="shared" si="1086"/>
        <v>Heavy Discount</v>
      </c>
      <c r="H13892" s="37" t="str">
        <f t="shared" si="1087"/>
        <v>High</v>
      </c>
      <c r="I13892">
        <v>8</v>
      </c>
      <c r="J13892" t="str" cm="1">
        <f t="array" ref="J13892">_xlfn.IFS(I13892&lt;=3,"small",I13892&lt;=6,"Medium",I13892&lt;=9,"Large")</f>
        <v>Large</v>
      </c>
      <c r="K13892" s="36">
        <v>45092</v>
      </c>
      <c r="L13892" s="36">
        <v>45093</v>
      </c>
      <c r="M13892" t="s">
        <v>598</v>
      </c>
      <c r="N13892" t="s">
        <v>608</v>
      </c>
      <c r="O13892" s="37" t="str">
        <f t="shared" si="1088"/>
        <v>Cash Payment</v>
      </c>
      <c r="P13892">
        <v>1009.91</v>
      </c>
      <c r="Q13892" s="37" t="str">
        <f>IF(P13892&gt;500,"High","low")</f>
        <v>High</v>
      </c>
      <c r="R13892" s="37" t="str">
        <f t="shared" si="1089"/>
        <v>Excellent</v>
      </c>
      <c r="S13892" t="s">
        <v>615</v>
      </c>
    </row>
    <row r="13893" spans="1:19" x14ac:dyDescent="0.2">
      <c r="A13893" t="s">
        <v>14504</v>
      </c>
      <c r="B13893" t="s">
        <v>67</v>
      </c>
      <c r="C13893" t="s">
        <v>607</v>
      </c>
      <c r="D13893">
        <v>2030.5</v>
      </c>
      <c r="E13893" s="37" t="str">
        <f t="shared" si="1085"/>
        <v xml:space="preserve"> </v>
      </c>
      <c r="F13893">
        <v>7.0000000000000007E-2</v>
      </c>
      <c r="G13893" s="37" t="str">
        <f t="shared" si="1086"/>
        <v>Normal Discount</v>
      </c>
      <c r="H13893" s="37" t="str">
        <f t="shared" si="1087"/>
        <v>Low</v>
      </c>
      <c r="I13893">
        <v>5</v>
      </c>
      <c r="J13893" t="str" cm="1">
        <f t="array" ref="J13893">_xlfn.IFS(I13893&lt;=3,"small",I13893&lt;=6,"Medium",I13893&lt;=9,"Large")</f>
        <v>Medium</v>
      </c>
      <c r="K13893" s="36">
        <v>45022</v>
      </c>
      <c r="L13893" s="36">
        <v>45029</v>
      </c>
      <c r="M13893" t="s">
        <v>612</v>
      </c>
      <c r="N13893" t="s">
        <v>608</v>
      </c>
      <c r="O13893" s="37" t="str">
        <f t="shared" si="1088"/>
        <v>Cash Payment</v>
      </c>
      <c r="P13893">
        <v>340.58</v>
      </c>
      <c r="Q13893" s="37" t="str">
        <f>IF(P13893&gt;500,"High","low")</f>
        <v>low</v>
      </c>
      <c r="R13893" s="37" t="str">
        <f t="shared" si="1089"/>
        <v>AVERAGE</v>
      </c>
      <c r="S13893" t="s">
        <v>620</v>
      </c>
    </row>
    <row r="13894" spans="1:19" x14ac:dyDescent="0.2">
      <c r="A13894" t="s">
        <v>14505</v>
      </c>
      <c r="B13894" t="s">
        <v>83</v>
      </c>
      <c r="C13894" t="s">
        <v>597</v>
      </c>
      <c r="D13894">
        <v>3418.33</v>
      </c>
      <c r="E13894" s="37" t="str">
        <f t="shared" si="1085"/>
        <v xml:space="preserve"> </v>
      </c>
      <c r="F13894">
        <v>0.34</v>
      </c>
      <c r="G13894" s="37" t="str">
        <f t="shared" si="1086"/>
        <v>Heavy Discount</v>
      </c>
      <c r="H13894" s="37" t="str">
        <f t="shared" si="1087"/>
        <v>Medium</v>
      </c>
      <c r="I13894">
        <v>7</v>
      </c>
      <c r="J13894" t="str" cm="1">
        <f t="array" ref="J13894">_xlfn.IFS(I13894&lt;=3,"small",I13894&lt;=6,"Medium",I13894&lt;=9,"Large")</f>
        <v>Large</v>
      </c>
      <c r="K13894" s="36">
        <v>45515</v>
      </c>
      <c r="L13894" s="36">
        <v>45522</v>
      </c>
      <c r="M13894" t="s">
        <v>612</v>
      </c>
      <c r="N13894" t="s">
        <v>599</v>
      </c>
      <c r="O13894" s="37" t="str">
        <f t="shared" si="1088"/>
        <v>Digital Payment</v>
      </c>
      <c r="P13894">
        <v>961.87</v>
      </c>
      <c r="Q13894" s="37" t="str">
        <f>IF(P13894&gt;500,"High","low")</f>
        <v>High</v>
      </c>
      <c r="R13894" s="37" t="str">
        <f t="shared" si="1089"/>
        <v>Good</v>
      </c>
      <c r="S13894" t="s">
        <v>609</v>
      </c>
    </row>
    <row r="13895" spans="1:19" x14ac:dyDescent="0.2">
      <c r="A13895" t="s">
        <v>14506</v>
      </c>
      <c r="B13895" t="s">
        <v>83</v>
      </c>
      <c r="C13895" t="s">
        <v>614</v>
      </c>
      <c r="D13895">
        <v>3963.34</v>
      </c>
      <c r="E13895" s="37" t="str">
        <f t="shared" si="1085"/>
        <v xml:space="preserve"> </v>
      </c>
      <c r="F13895">
        <v>0.12</v>
      </c>
      <c r="G13895" s="37" t="str">
        <f t="shared" si="1086"/>
        <v>Normal Discount</v>
      </c>
      <c r="H13895" s="37" t="str">
        <f t="shared" si="1087"/>
        <v>Low</v>
      </c>
      <c r="I13895">
        <v>4</v>
      </c>
      <c r="J13895" t="str" cm="1">
        <f t="array" ref="J13895">_xlfn.IFS(I13895&lt;=3,"small",I13895&lt;=6,"Medium",I13895&lt;=9,"Large")</f>
        <v>Medium</v>
      </c>
      <c r="K13895" s="36">
        <v>45101</v>
      </c>
      <c r="L13895" s="36">
        <v>45104</v>
      </c>
      <c r="M13895" t="s">
        <v>603</v>
      </c>
      <c r="N13895" t="s">
        <v>604</v>
      </c>
      <c r="O13895" s="37" t="str">
        <f t="shared" si="1088"/>
        <v>Digital Payment</v>
      </c>
      <c r="P13895">
        <v>408.59</v>
      </c>
      <c r="Q13895" s="37" t="str">
        <f>IF(P13895&gt;500,"High","low")</f>
        <v>low</v>
      </c>
      <c r="R13895" s="37" t="str">
        <f t="shared" si="1089"/>
        <v>AVERAGE</v>
      </c>
      <c r="S13895" t="s">
        <v>628</v>
      </c>
    </row>
    <row r="13896" spans="1:19" x14ac:dyDescent="0.2">
      <c r="A13896" t="s">
        <v>14507</v>
      </c>
      <c r="B13896" t="s">
        <v>75</v>
      </c>
      <c r="C13896" t="s">
        <v>602</v>
      </c>
      <c r="D13896">
        <v>1516.46</v>
      </c>
      <c r="E13896" s="37" t="str">
        <f t="shared" si="1085"/>
        <v xml:space="preserve"> </v>
      </c>
      <c r="F13896">
        <v>0.1</v>
      </c>
      <c r="G13896" s="37" t="str">
        <f t="shared" si="1086"/>
        <v>Normal Discount</v>
      </c>
      <c r="H13896" s="37" t="str">
        <f t="shared" si="1087"/>
        <v>Low</v>
      </c>
      <c r="I13896">
        <v>2</v>
      </c>
      <c r="J13896" t="str" cm="1">
        <f t="array" ref="J13896">_xlfn.IFS(I13896&lt;=3,"small",I13896&lt;=6,"Medium",I13896&lt;=9,"Large")</f>
        <v>small</v>
      </c>
      <c r="K13896" s="36">
        <v>45142</v>
      </c>
      <c r="L13896" s="36">
        <v>45149</v>
      </c>
      <c r="M13896" t="s">
        <v>603</v>
      </c>
      <c r="N13896" t="s">
        <v>599</v>
      </c>
      <c r="O13896" s="37" t="str">
        <f t="shared" si="1088"/>
        <v>Digital Payment</v>
      </c>
      <c r="P13896">
        <v>120.63</v>
      </c>
      <c r="Q13896" s="37" t="str">
        <f>IF(P13896&gt;500,"High","low")</f>
        <v>low</v>
      </c>
      <c r="R13896" s="37" t="str">
        <f t="shared" si="1089"/>
        <v>AVERAGE</v>
      </c>
      <c r="S13896" t="s">
        <v>628</v>
      </c>
    </row>
    <row r="13897" spans="1:19" x14ac:dyDescent="0.2">
      <c r="A13897" t="s">
        <v>14508</v>
      </c>
      <c r="B13897" t="s">
        <v>83</v>
      </c>
      <c r="C13897" t="s">
        <v>607</v>
      </c>
      <c r="D13897">
        <v>4734.1400000000003</v>
      </c>
      <c r="E13897" s="37" t="str">
        <f t="shared" si="1085"/>
        <v xml:space="preserve"> </v>
      </c>
      <c r="F13897">
        <v>0.2</v>
      </c>
      <c r="G13897" s="37" t="str">
        <f t="shared" si="1086"/>
        <v>Normal Discount</v>
      </c>
      <c r="H13897" s="37" t="str">
        <f t="shared" si="1087"/>
        <v>Medium</v>
      </c>
      <c r="I13897">
        <v>3</v>
      </c>
      <c r="J13897" t="str" cm="1">
        <f t="array" ref="J13897">_xlfn.IFS(I13897&lt;=3,"small",I13897&lt;=6,"Medium",I13897&lt;=9,"Large")</f>
        <v>small</v>
      </c>
      <c r="K13897" s="36">
        <v>45307</v>
      </c>
      <c r="L13897" s="36">
        <v>45308</v>
      </c>
      <c r="M13897" t="s">
        <v>598</v>
      </c>
      <c r="N13897" t="s">
        <v>604</v>
      </c>
      <c r="O13897" s="37" t="str">
        <f t="shared" si="1088"/>
        <v>Digital Payment</v>
      </c>
      <c r="P13897">
        <v>795.26</v>
      </c>
      <c r="Q13897" s="37" t="str">
        <f>IF(P13897&gt;500,"High","low")</f>
        <v>High</v>
      </c>
      <c r="R13897" s="37" t="str">
        <f t="shared" si="1089"/>
        <v>Good</v>
      </c>
      <c r="S13897" t="s">
        <v>600</v>
      </c>
    </row>
    <row r="13898" spans="1:19" x14ac:dyDescent="0.2">
      <c r="A13898" t="s">
        <v>14509</v>
      </c>
      <c r="B13898" t="s">
        <v>90</v>
      </c>
      <c r="C13898" t="s">
        <v>614</v>
      </c>
      <c r="D13898">
        <v>2638.44</v>
      </c>
      <c r="E13898" s="37" t="str">
        <f t="shared" si="1085"/>
        <v xml:space="preserve"> </v>
      </c>
      <c r="F13898">
        <v>0.18</v>
      </c>
      <c r="G13898" s="37" t="str">
        <f t="shared" si="1086"/>
        <v>Normal Discount</v>
      </c>
      <c r="H13898" s="37" t="str">
        <f t="shared" si="1087"/>
        <v>Low</v>
      </c>
      <c r="I13898">
        <v>4</v>
      </c>
      <c r="J13898" t="str" cm="1">
        <f t="array" ref="J13898">_xlfn.IFS(I13898&lt;=3,"small",I13898&lt;=6,"Medium",I13898&lt;=9,"Large")</f>
        <v>Medium</v>
      </c>
      <c r="K13898" s="36">
        <v>45431</v>
      </c>
      <c r="L13898" s="36">
        <v>45438</v>
      </c>
      <c r="M13898" t="s">
        <v>603</v>
      </c>
      <c r="N13898" t="s">
        <v>604</v>
      </c>
      <c r="O13898" s="37" t="str">
        <f t="shared" si="1088"/>
        <v>Digital Payment</v>
      </c>
      <c r="P13898">
        <v>301.89</v>
      </c>
      <c r="Q13898" s="37" t="str">
        <f>IF(P13898&gt;500,"High","low")</f>
        <v>low</v>
      </c>
      <c r="R13898" s="37" t="str">
        <f t="shared" si="1089"/>
        <v>AVERAGE</v>
      </c>
      <c r="S13898" t="s">
        <v>628</v>
      </c>
    </row>
    <row r="13899" spans="1:19" x14ac:dyDescent="0.2">
      <c r="A13899" t="s">
        <v>14510</v>
      </c>
      <c r="B13899" t="s">
        <v>90</v>
      </c>
      <c r="C13899" t="s">
        <v>597</v>
      </c>
      <c r="D13899">
        <v>3690.54</v>
      </c>
      <c r="E13899" s="37" t="str">
        <f t="shared" si="1085"/>
        <v xml:space="preserve"> </v>
      </c>
      <c r="F13899">
        <v>0.02</v>
      </c>
      <c r="G13899" s="37" t="str">
        <f t="shared" si="1086"/>
        <v>Normal Discount</v>
      </c>
      <c r="H13899" s="37" t="str">
        <f t="shared" si="1087"/>
        <v>Low</v>
      </c>
      <c r="I13899">
        <v>3</v>
      </c>
      <c r="J13899" t="str" cm="1">
        <f t="array" ref="J13899">_xlfn.IFS(I13899&lt;=3,"small",I13899&lt;=6,"Medium",I13899&lt;=9,"Large")</f>
        <v>small</v>
      </c>
      <c r="K13899" s="36">
        <v>45294</v>
      </c>
      <c r="L13899" s="36">
        <v>45296</v>
      </c>
      <c r="M13899" t="s">
        <v>603</v>
      </c>
      <c r="N13899" t="s">
        <v>608</v>
      </c>
      <c r="O13899" s="37" t="str">
        <f t="shared" si="1088"/>
        <v>Cash Payment</v>
      </c>
      <c r="P13899">
        <v>788.63</v>
      </c>
      <c r="Q13899" s="37" t="str">
        <f>IF(P13899&gt;500,"High","low")</f>
        <v>High</v>
      </c>
      <c r="R13899" s="37" t="str">
        <f t="shared" si="1089"/>
        <v>Good</v>
      </c>
      <c r="S13899" t="s">
        <v>615</v>
      </c>
    </row>
    <row r="13900" spans="1:19" x14ac:dyDescent="0.2">
      <c r="A13900" t="s">
        <v>14511</v>
      </c>
      <c r="B13900" t="s">
        <v>67</v>
      </c>
      <c r="C13900" t="s">
        <v>617</v>
      </c>
      <c r="D13900">
        <v>3671.73</v>
      </c>
      <c r="E13900" s="37" t="str">
        <f t="shared" si="1085"/>
        <v xml:space="preserve"> </v>
      </c>
      <c r="F13900">
        <v>0.21</v>
      </c>
      <c r="G13900" s="37" t="str">
        <f t="shared" si="1086"/>
        <v>Normal Discount</v>
      </c>
      <c r="H13900" s="37" t="str">
        <f t="shared" si="1087"/>
        <v>Medium</v>
      </c>
      <c r="I13900">
        <v>7</v>
      </c>
      <c r="J13900" t="str" cm="1">
        <f t="array" ref="J13900">_xlfn.IFS(I13900&lt;=3,"small",I13900&lt;=6,"Medium",I13900&lt;=9,"Large")</f>
        <v>Large</v>
      </c>
      <c r="K13900" s="36">
        <v>45164</v>
      </c>
      <c r="L13900" s="36">
        <v>45168</v>
      </c>
      <c r="M13900" t="s">
        <v>598</v>
      </c>
      <c r="N13900" t="s">
        <v>608</v>
      </c>
      <c r="O13900" s="37" t="str">
        <f t="shared" si="1088"/>
        <v>Cash Payment</v>
      </c>
      <c r="P13900">
        <v>932.71</v>
      </c>
      <c r="Q13900" s="37" t="str">
        <f>IF(P13900&gt;500,"High","low")</f>
        <v>High</v>
      </c>
      <c r="R13900" s="37" t="str">
        <f t="shared" si="1089"/>
        <v>Good</v>
      </c>
      <c r="S13900" t="s">
        <v>628</v>
      </c>
    </row>
    <row r="13901" spans="1:19" x14ac:dyDescent="0.2">
      <c r="A13901" t="s">
        <v>14512</v>
      </c>
      <c r="B13901" t="s">
        <v>67</v>
      </c>
      <c r="C13901" t="s">
        <v>597</v>
      </c>
      <c r="D13901">
        <v>2869.69</v>
      </c>
      <c r="E13901" s="37" t="str">
        <f t="shared" si="1085"/>
        <v xml:space="preserve"> </v>
      </c>
      <c r="F13901">
        <v>0.48</v>
      </c>
      <c r="G13901" s="37" t="str">
        <f t="shared" si="1086"/>
        <v>Heavy Discount</v>
      </c>
      <c r="H13901" s="37" t="str">
        <f t="shared" si="1087"/>
        <v>High</v>
      </c>
      <c r="I13901">
        <v>5</v>
      </c>
      <c r="J13901" t="str" cm="1">
        <f t="array" ref="J13901">_xlfn.IFS(I13901&lt;=3,"small",I13901&lt;=6,"Medium",I13901&lt;=9,"Large")</f>
        <v>Medium</v>
      </c>
      <c r="K13901" s="36">
        <v>45265</v>
      </c>
      <c r="L13901" s="36">
        <v>45269</v>
      </c>
      <c r="M13901" t="s">
        <v>603</v>
      </c>
      <c r="N13901" t="s">
        <v>608</v>
      </c>
      <c r="O13901" s="37" t="str">
        <f t="shared" si="1088"/>
        <v>Cash Payment</v>
      </c>
      <c r="P13901">
        <v>298.93</v>
      </c>
      <c r="Q13901" s="37" t="str">
        <f>IF(P13901&gt;500,"High","low")</f>
        <v>low</v>
      </c>
      <c r="R13901" s="37" t="str">
        <f t="shared" si="1089"/>
        <v>AVERAGE</v>
      </c>
      <c r="S13901" t="s">
        <v>615</v>
      </c>
    </row>
    <row r="13902" spans="1:19" x14ac:dyDescent="0.2">
      <c r="A13902" t="s">
        <v>14513</v>
      </c>
      <c r="B13902" t="s">
        <v>83</v>
      </c>
      <c r="C13902" t="s">
        <v>597</v>
      </c>
      <c r="D13902">
        <v>1681.15</v>
      </c>
      <c r="E13902" s="37" t="str">
        <f t="shared" si="1085"/>
        <v xml:space="preserve"> </v>
      </c>
      <c r="F13902">
        <v>0.23</v>
      </c>
      <c r="G13902" s="37" t="str">
        <f t="shared" si="1086"/>
        <v>Normal Discount</v>
      </c>
      <c r="H13902" s="37" t="str">
        <f t="shared" si="1087"/>
        <v>Medium</v>
      </c>
      <c r="I13902">
        <v>3</v>
      </c>
      <c r="J13902" t="str" cm="1">
        <f t="array" ref="J13902">_xlfn.IFS(I13902&lt;=3,"small",I13902&lt;=6,"Medium",I13902&lt;=9,"Large")</f>
        <v>small</v>
      </c>
      <c r="K13902" s="36">
        <v>45165</v>
      </c>
      <c r="L13902" s="36">
        <v>45172</v>
      </c>
      <c r="M13902" t="s">
        <v>612</v>
      </c>
      <c r="N13902" t="s">
        <v>604</v>
      </c>
      <c r="O13902" s="37" t="str">
        <f t="shared" si="1088"/>
        <v>Digital Payment</v>
      </c>
      <c r="P13902">
        <v>113.37</v>
      </c>
      <c r="Q13902" s="37" t="str">
        <f>IF(P13902&gt;500,"High","low")</f>
        <v>low</v>
      </c>
      <c r="R13902" s="37" t="str">
        <f t="shared" si="1089"/>
        <v>AVERAGE</v>
      </c>
      <c r="S13902" t="s">
        <v>600</v>
      </c>
    </row>
    <row r="13903" spans="1:19" x14ac:dyDescent="0.2">
      <c r="A13903" t="s">
        <v>14514</v>
      </c>
      <c r="B13903" t="s">
        <v>75</v>
      </c>
      <c r="C13903" t="s">
        <v>607</v>
      </c>
      <c r="D13903">
        <v>3368</v>
      </c>
      <c r="E13903" s="37" t="str">
        <f t="shared" si="1085"/>
        <v xml:space="preserve"> </v>
      </c>
      <c r="F13903">
        <v>0.15</v>
      </c>
      <c r="G13903" s="37" t="str">
        <f t="shared" si="1086"/>
        <v>Normal Discount</v>
      </c>
      <c r="H13903" s="37" t="str">
        <f t="shared" si="1087"/>
        <v>Low</v>
      </c>
      <c r="I13903">
        <v>3</v>
      </c>
      <c r="J13903" t="str" cm="1">
        <f t="array" ref="J13903">_xlfn.IFS(I13903&lt;=3,"small",I13903&lt;=6,"Medium",I13903&lt;=9,"Large")</f>
        <v>small</v>
      </c>
      <c r="K13903" s="36">
        <v>45072</v>
      </c>
      <c r="L13903" s="36">
        <v>45073</v>
      </c>
      <c r="M13903" t="s">
        <v>612</v>
      </c>
      <c r="N13903" t="s">
        <v>599</v>
      </c>
      <c r="O13903" s="37" t="str">
        <f t="shared" si="1088"/>
        <v>Digital Payment</v>
      </c>
      <c r="P13903">
        <v>680.31</v>
      </c>
      <c r="Q13903" s="37" t="str">
        <f>IF(P13903&gt;500,"High","low")</f>
        <v>High</v>
      </c>
      <c r="R13903" s="37" t="str">
        <f t="shared" si="1089"/>
        <v>Good</v>
      </c>
      <c r="S13903" t="s">
        <v>615</v>
      </c>
    </row>
    <row r="13904" spans="1:19" x14ac:dyDescent="0.2">
      <c r="A13904" t="s">
        <v>14515</v>
      </c>
      <c r="B13904" t="s">
        <v>67</v>
      </c>
      <c r="C13904" t="s">
        <v>602</v>
      </c>
      <c r="D13904">
        <v>527.70000000000005</v>
      </c>
      <c r="E13904" s="37" t="str">
        <f t="shared" si="1085"/>
        <v xml:space="preserve"> </v>
      </c>
      <c r="F13904">
        <v>0.47</v>
      </c>
      <c r="G13904" s="37" t="str">
        <f t="shared" si="1086"/>
        <v>Heavy Discount</v>
      </c>
      <c r="H13904" s="37" t="str">
        <f t="shared" si="1087"/>
        <v>High</v>
      </c>
      <c r="I13904">
        <v>9</v>
      </c>
      <c r="J13904" t="str" cm="1">
        <f t="array" ref="J13904">_xlfn.IFS(I13904&lt;=3,"small",I13904&lt;=6,"Medium",I13904&lt;=9,"Large")</f>
        <v>Large</v>
      </c>
      <c r="K13904" s="36">
        <v>45290</v>
      </c>
      <c r="L13904" s="36">
        <v>45292</v>
      </c>
      <c r="M13904" t="s">
        <v>612</v>
      </c>
      <c r="N13904" t="s">
        <v>599</v>
      </c>
      <c r="O13904" s="37" t="str">
        <f t="shared" si="1088"/>
        <v>Digital Payment</v>
      </c>
      <c r="P13904">
        <v>113.36</v>
      </c>
      <c r="Q13904" s="37" t="str">
        <f>IF(P13904&gt;500,"High","low")</f>
        <v>low</v>
      </c>
      <c r="R13904" s="37" t="str">
        <f t="shared" si="1089"/>
        <v>AVERAGE</v>
      </c>
      <c r="S13904" t="s">
        <v>600</v>
      </c>
    </row>
    <row r="13905" spans="1:19" x14ac:dyDescent="0.2">
      <c r="A13905" t="s">
        <v>14516</v>
      </c>
      <c r="B13905" t="s">
        <v>90</v>
      </c>
      <c r="C13905" t="s">
        <v>607</v>
      </c>
      <c r="D13905">
        <v>4909.03</v>
      </c>
      <c r="E13905" s="37" t="str">
        <f t="shared" si="1085"/>
        <v>Excellent Order</v>
      </c>
      <c r="F13905">
        <v>0.25</v>
      </c>
      <c r="G13905" s="37" t="str">
        <f t="shared" si="1086"/>
        <v>Normal Discount</v>
      </c>
      <c r="H13905" s="37" t="str">
        <f t="shared" si="1087"/>
        <v>Medium</v>
      </c>
      <c r="I13905">
        <v>9</v>
      </c>
      <c r="J13905" t="str" cm="1">
        <f t="array" ref="J13905">_xlfn.IFS(I13905&lt;=3,"small",I13905&lt;=6,"Medium",I13905&lt;=9,"Large")</f>
        <v>Large</v>
      </c>
      <c r="K13905" s="36">
        <v>44992</v>
      </c>
      <c r="L13905" s="36">
        <v>44998</v>
      </c>
      <c r="M13905" t="s">
        <v>598</v>
      </c>
      <c r="N13905" t="s">
        <v>604</v>
      </c>
      <c r="O13905" s="37" t="str">
        <f t="shared" si="1088"/>
        <v>Digital Payment</v>
      </c>
      <c r="P13905">
        <v>957.47</v>
      </c>
      <c r="Q13905" s="37" t="str">
        <f>IF(P13905&gt;500,"High","low")</f>
        <v>High</v>
      </c>
      <c r="R13905" s="37" t="str">
        <f t="shared" si="1089"/>
        <v>Good</v>
      </c>
      <c r="S13905" t="s">
        <v>615</v>
      </c>
    </row>
    <row r="13906" spans="1:19" x14ac:dyDescent="0.2">
      <c r="A13906" t="s">
        <v>14517</v>
      </c>
      <c r="B13906" t="s">
        <v>67</v>
      </c>
      <c r="C13906" t="s">
        <v>617</v>
      </c>
      <c r="D13906">
        <v>1001.59</v>
      </c>
      <c r="E13906" s="37" t="str">
        <f t="shared" si="1085"/>
        <v xml:space="preserve"> </v>
      </c>
      <c r="F13906">
        <v>0.14000000000000001</v>
      </c>
      <c r="G13906" s="37" t="str">
        <f t="shared" si="1086"/>
        <v>Normal Discount</v>
      </c>
      <c r="H13906" s="37" t="str">
        <f t="shared" si="1087"/>
        <v>Low</v>
      </c>
      <c r="I13906">
        <v>5</v>
      </c>
      <c r="J13906" t="str" cm="1">
        <f t="array" ref="J13906">_xlfn.IFS(I13906&lt;=3,"small",I13906&lt;=6,"Medium",I13906&lt;=9,"Large")</f>
        <v>Medium</v>
      </c>
      <c r="K13906" s="36">
        <v>45400</v>
      </c>
      <c r="L13906" s="36">
        <v>45402</v>
      </c>
      <c r="M13906" t="s">
        <v>612</v>
      </c>
      <c r="N13906" t="s">
        <v>608</v>
      </c>
      <c r="O13906" s="37" t="str">
        <f t="shared" si="1088"/>
        <v>Cash Payment</v>
      </c>
      <c r="P13906">
        <v>223.14</v>
      </c>
      <c r="Q13906" s="37" t="str">
        <f>IF(P13906&gt;500,"High","low")</f>
        <v>low</v>
      </c>
      <c r="R13906" s="37" t="str">
        <f t="shared" si="1089"/>
        <v>AVERAGE</v>
      </c>
      <c r="S13906" t="s">
        <v>609</v>
      </c>
    </row>
    <row r="13907" spans="1:19" x14ac:dyDescent="0.2">
      <c r="A13907" t="s">
        <v>14518</v>
      </c>
      <c r="B13907" t="s">
        <v>67</v>
      </c>
      <c r="C13907" t="s">
        <v>607</v>
      </c>
      <c r="D13907">
        <v>1449.59</v>
      </c>
      <c r="E13907" s="37" t="str">
        <f t="shared" si="1085"/>
        <v xml:space="preserve"> </v>
      </c>
      <c r="F13907">
        <v>0.39</v>
      </c>
      <c r="G13907" s="37" t="str">
        <f t="shared" si="1086"/>
        <v>Heavy Discount</v>
      </c>
      <c r="H13907" s="37" t="str">
        <f t="shared" si="1087"/>
        <v>Medium</v>
      </c>
      <c r="I13907">
        <v>2</v>
      </c>
      <c r="J13907" t="str" cm="1">
        <f t="array" ref="J13907">_xlfn.IFS(I13907&lt;=3,"small",I13907&lt;=6,"Medium",I13907&lt;=9,"Large")</f>
        <v>small</v>
      </c>
      <c r="K13907" s="36">
        <v>45111</v>
      </c>
      <c r="L13907" s="36">
        <v>45115</v>
      </c>
      <c r="M13907" t="s">
        <v>612</v>
      </c>
      <c r="N13907" t="s">
        <v>604</v>
      </c>
      <c r="O13907" s="37" t="str">
        <f t="shared" si="1088"/>
        <v>Digital Payment</v>
      </c>
      <c r="P13907">
        <v>93.36</v>
      </c>
      <c r="Q13907" s="37" t="str">
        <f>IF(P13907&gt;500,"High","low")</f>
        <v>low</v>
      </c>
      <c r="R13907" s="37" t="str">
        <f t="shared" si="1089"/>
        <v>AVERAGE</v>
      </c>
      <c r="S13907" t="s">
        <v>600</v>
      </c>
    </row>
    <row r="13908" spans="1:19" x14ac:dyDescent="0.2">
      <c r="A13908" t="s">
        <v>14519</v>
      </c>
      <c r="B13908" t="s">
        <v>90</v>
      </c>
      <c r="C13908" t="s">
        <v>617</v>
      </c>
      <c r="D13908">
        <v>4776.75</v>
      </c>
      <c r="E13908" s="37" t="str">
        <f t="shared" si="1085"/>
        <v>Excellent Order</v>
      </c>
      <c r="F13908">
        <v>0.11</v>
      </c>
      <c r="G13908" s="37" t="str">
        <f t="shared" si="1086"/>
        <v>Normal Discount</v>
      </c>
      <c r="H13908" s="37" t="str">
        <f t="shared" si="1087"/>
        <v>Low</v>
      </c>
      <c r="I13908">
        <v>5</v>
      </c>
      <c r="J13908" t="str" cm="1">
        <f t="array" ref="J13908">_xlfn.IFS(I13908&lt;=3,"small",I13908&lt;=6,"Medium",I13908&lt;=9,"Large")</f>
        <v>Medium</v>
      </c>
      <c r="K13908" s="36">
        <v>45170</v>
      </c>
      <c r="L13908" s="36">
        <v>45175</v>
      </c>
      <c r="M13908" t="s">
        <v>603</v>
      </c>
      <c r="N13908" t="s">
        <v>599</v>
      </c>
      <c r="O13908" s="37" t="str">
        <f t="shared" si="1088"/>
        <v>Digital Payment</v>
      </c>
      <c r="P13908">
        <v>1056.32</v>
      </c>
      <c r="Q13908" s="37" t="str">
        <f>IF(P13908&gt;500,"High","low")</f>
        <v>High</v>
      </c>
      <c r="R13908" s="37" t="str">
        <f t="shared" si="1089"/>
        <v>Excellent</v>
      </c>
      <c r="S13908" t="s">
        <v>600</v>
      </c>
    </row>
    <row r="13909" spans="1:19" x14ac:dyDescent="0.2">
      <c r="A13909" t="s">
        <v>14520</v>
      </c>
      <c r="B13909" t="s">
        <v>75</v>
      </c>
      <c r="C13909" t="s">
        <v>607</v>
      </c>
      <c r="D13909">
        <v>1014.05</v>
      </c>
      <c r="E13909" s="37" t="str">
        <f t="shared" si="1085"/>
        <v xml:space="preserve"> </v>
      </c>
      <c r="F13909">
        <v>0.12</v>
      </c>
      <c r="G13909" s="37" t="str">
        <f t="shared" si="1086"/>
        <v>Normal Discount</v>
      </c>
      <c r="H13909" s="37" t="str">
        <f t="shared" si="1087"/>
        <v>Low</v>
      </c>
      <c r="I13909">
        <v>4</v>
      </c>
      <c r="J13909" t="str" cm="1">
        <f t="array" ref="J13909">_xlfn.IFS(I13909&lt;=3,"small",I13909&lt;=6,"Medium",I13909&lt;=9,"Large")</f>
        <v>Medium</v>
      </c>
      <c r="K13909" s="36">
        <v>44990</v>
      </c>
      <c r="L13909" s="36">
        <v>44997</v>
      </c>
      <c r="M13909" t="s">
        <v>603</v>
      </c>
      <c r="N13909" t="s">
        <v>608</v>
      </c>
      <c r="O13909" s="37" t="str">
        <f t="shared" si="1088"/>
        <v>Cash Payment</v>
      </c>
      <c r="P13909">
        <v>179.76</v>
      </c>
      <c r="Q13909" s="37" t="str">
        <f>IF(P13909&gt;500,"High","low")</f>
        <v>low</v>
      </c>
      <c r="R13909" s="37" t="str">
        <f t="shared" si="1089"/>
        <v>AVERAGE</v>
      </c>
      <c r="S13909" t="s">
        <v>605</v>
      </c>
    </row>
    <row r="13910" spans="1:19" x14ac:dyDescent="0.2">
      <c r="A13910" t="s">
        <v>14521</v>
      </c>
      <c r="B13910" t="s">
        <v>67</v>
      </c>
      <c r="C13910" t="s">
        <v>602</v>
      </c>
      <c r="D13910">
        <v>933.45</v>
      </c>
      <c r="E13910" s="37" t="str">
        <f t="shared" si="1085"/>
        <v xml:space="preserve"> </v>
      </c>
      <c r="F13910">
        <v>0.16</v>
      </c>
      <c r="G13910" s="37" t="str">
        <f t="shared" si="1086"/>
        <v>Normal Discount</v>
      </c>
      <c r="H13910" s="37" t="str">
        <f t="shared" si="1087"/>
        <v>Low</v>
      </c>
      <c r="I13910">
        <v>6</v>
      </c>
      <c r="J13910" t="str" cm="1">
        <f t="array" ref="J13910">_xlfn.IFS(I13910&lt;=3,"small",I13910&lt;=6,"Medium",I13910&lt;=9,"Large")</f>
        <v>Medium</v>
      </c>
      <c r="K13910" s="36">
        <v>45654</v>
      </c>
      <c r="L13910" s="36">
        <v>45656</v>
      </c>
      <c r="M13910" t="s">
        <v>612</v>
      </c>
      <c r="N13910" t="s">
        <v>599</v>
      </c>
      <c r="O13910" s="37" t="str">
        <f t="shared" si="1088"/>
        <v>Digital Payment</v>
      </c>
      <c r="P13910">
        <v>113.71</v>
      </c>
      <c r="Q13910" s="37" t="str">
        <f>IF(P13910&gt;500,"High","low")</f>
        <v>low</v>
      </c>
      <c r="R13910" s="37" t="str">
        <f t="shared" si="1089"/>
        <v>AVERAGE</v>
      </c>
      <c r="S13910" t="s">
        <v>620</v>
      </c>
    </row>
    <row r="13911" spans="1:19" x14ac:dyDescent="0.2">
      <c r="A13911" t="s">
        <v>14522</v>
      </c>
      <c r="B13911" t="s">
        <v>67</v>
      </c>
      <c r="C13911" t="s">
        <v>614</v>
      </c>
      <c r="D13911">
        <v>4042.23</v>
      </c>
      <c r="E13911" s="37" t="str">
        <f t="shared" si="1085"/>
        <v xml:space="preserve"> </v>
      </c>
      <c r="F13911">
        <v>0.2</v>
      </c>
      <c r="G13911" s="37" t="str">
        <f t="shared" si="1086"/>
        <v>Normal Discount</v>
      </c>
      <c r="H13911" s="37" t="str">
        <f t="shared" si="1087"/>
        <v>Medium</v>
      </c>
      <c r="I13911">
        <v>6</v>
      </c>
      <c r="J13911" t="str" cm="1">
        <f t="array" ref="J13911">_xlfn.IFS(I13911&lt;=3,"small",I13911&lt;=6,"Medium",I13911&lt;=9,"Large")</f>
        <v>Medium</v>
      </c>
      <c r="K13911" s="36">
        <v>45422</v>
      </c>
      <c r="L13911" s="36">
        <v>45423</v>
      </c>
      <c r="M13911" t="s">
        <v>598</v>
      </c>
      <c r="N13911" t="s">
        <v>599</v>
      </c>
      <c r="O13911" s="37" t="str">
        <f t="shared" si="1088"/>
        <v>Digital Payment</v>
      </c>
      <c r="P13911">
        <v>647.34</v>
      </c>
      <c r="Q13911" s="37" t="str">
        <f>IF(P13911&gt;500,"High","low")</f>
        <v>High</v>
      </c>
      <c r="R13911" s="37" t="str">
        <f t="shared" si="1089"/>
        <v>Good</v>
      </c>
      <c r="S13911" t="s">
        <v>615</v>
      </c>
    </row>
    <row r="13912" spans="1:19" x14ac:dyDescent="0.2">
      <c r="A13912" t="s">
        <v>14523</v>
      </c>
      <c r="B13912" t="s">
        <v>67</v>
      </c>
      <c r="C13912" t="s">
        <v>602</v>
      </c>
      <c r="D13912">
        <v>1331.31</v>
      </c>
      <c r="E13912" s="37" t="str">
        <f t="shared" si="1085"/>
        <v xml:space="preserve"> </v>
      </c>
      <c r="F13912">
        <v>0.28999999999999998</v>
      </c>
      <c r="G13912" s="37" t="str">
        <f t="shared" si="1086"/>
        <v>Normal Discount</v>
      </c>
      <c r="H13912" s="37" t="str">
        <f t="shared" si="1087"/>
        <v>Medium</v>
      </c>
      <c r="I13912">
        <v>6</v>
      </c>
      <c r="J13912" t="str" cm="1">
        <f t="array" ref="J13912">_xlfn.IFS(I13912&lt;=3,"small",I13912&lt;=6,"Medium",I13912&lt;=9,"Large")</f>
        <v>Medium</v>
      </c>
      <c r="K13912" s="36">
        <v>45593</v>
      </c>
      <c r="L13912" s="36">
        <v>45600</v>
      </c>
      <c r="M13912" t="s">
        <v>603</v>
      </c>
      <c r="N13912" t="s">
        <v>608</v>
      </c>
      <c r="O13912" s="37" t="str">
        <f t="shared" si="1088"/>
        <v>Cash Payment</v>
      </c>
      <c r="P13912">
        <v>128.69</v>
      </c>
      <c r="Q13912" s="37" t="str">
        <f>IF(P13912&gt;500,"High","low")</f>
        <v>low</v>
      </c>
      <c r="R13912" s="37" t="str">
        <f t="shared" si="1089"/>
        <v>AVERAGE</v>
      </c>
      <c r="S13912" t="s">
        <v>600</v>
      </c>
    </row>
    <row r="13913" spans="1:19" x14ac:dyDescent="0.2">
      <c r="A13913" t="s">
        <v>14524</v>
      </c>
      <c r="B13913" t="s">
        <v>83</v>
      </c>
      <c r="C13913" t="s">
        <v>607</v>
      </c>
      <c r="D13913">
        <v>564.16</v>
      </c>
      <c r="E13913" s="37" t="str">
        <f t="shared" si="1085"/>
        <v xml:space="preserve"> </v>
      </c>
      <c r="F13913">
        <v>0.26</v>
      </c>
      <c r="G13913" s="37" t="str">
        <f t="shared" si="1086"/>
        <v>Normal Discount</v>
      </c>
      <c r="H13913" s="37" t="str">
        <f t="shared" si="1087"/>
        <v>Medium</v>
      </c>
      <c r="I13913">
        <v>7</v>
      </c>
      <c r="J13913" t="str" cm="1">
        <f t="array" ref="J13913">_xlfn.IFS(I13913&lt;=3,"small",I13913&lt;=6,"Medium",I13913&lt;=9,"Large")</f>
        <v>Large</v>
      </c>
      <c r="K13913" s="36">
        <v>45429</v>
      </c>
      <c r="L13913" s="36">
        <v>45435</v>
      </c>
      <c r="M13913" t="s">
        <v>598</v>
      </c>
      <c r="N13913" t="s">
        <v>608</v>
      </c>
      <c r="O13913" s="37" t="str">
        <f t="shared" si="1088"/>
        <v>Cash Payment</v>
      </c>
      <c r="P13913">
        <v>31.62</v>
      </c>
      <c r="Q13913" s="37" t="str">
        <f>IF(P13913&gt;500,"High","low")</f>
        <v>low</v>
      </c>
      <c r="R13913" s="37" t="str">
        <f t="shared" si="1089"/>
        <v>AVERAGE</v>
      </c>
      <c r="S13913" t="s">
        <v>615</v>
      </c>
    </row>
    <row r="13914" spans="1:19" x14ac:dyDescent="0.2">
      <c r="A13914" t="s">
        <v>14525</v>
      </c>
      <c r="B13914" t="s">
        <v>67</v>
      </c>
      <c r="C13914" t="s">
        <v>597</v>
      </c>
      <c r="D13914">
        <v>1210.55</v>
      </c>
      <c r="E13914" s="37" t="str">
        <f t="shared" si="1085"/>
        <v xml:space="preserve"> </v>
      </c>
      <c r="F13914">
        <v>0.37</v>
      </c>
      <c r="G13914" s="37" t="str">
        <f t="shared" si="1086"/>
        <v>Heavy Discount</v>
      </c>
      <c r="H13914" s="37" t="str">
        <f t="shared" si="1087"/>
        <v>Medium</v>
      </c>
      <c r="I13914">
        <v>2</v>
      </c>
      <c r="J13914" t="str" cm="1">
        <f t="array" ref="J13914">_xlfn.IFS(I13914&lt;=3,"small",I13914&lt;=6,"Medium",I13914&lt;=9,"Large")</f>
        <v>small</v>
      </c>
      <c r="K13914" s="36">
        <v>45235</v>
      </c>
      <c r="L13914" s="36">
        <v>45238</v>
      </c>
      <c r="M13914" t="s">
        <v>603</v>
      </c>
      <c r="N13914" t="s">
        <v>599</v>
      </c>
      <c r="O13914" s="37" t="str">
        <f t="shared" si="1088"/>
        <v>Digital Payment</v>
      </c>
      <c r="P13914">
        <v>120.02</v>
      </c>
      <c r="Q13914" s="37" t="str">
        <f>IF(P13914&gt;500,"High","low")</f>
        <v>low</v>
      </c>
      <c r="R13914" s="37" t="str">
        <f t="shared" si="1089"/>
        <v>AVERAGE</v>
      </c>
      <c r="S13914" t="s">
        <v>600</v>
      </c>
    </row>
    <row r="13915" spans="1:19" x14ac:dyDescent="0.2">
      <c r="A13915" t="s">
        <v>14526</v>
      </c>
      <c r="B13915" t="s">
        <v>90</v>
      </c>
      <c r="C13915" t="s">
        <v>614</v>
      </c>
      <c r="D13915">
        <v>4453.03</v>
      </c>
      <c r="E13915" s="37" t="str">
        <f t="shared" si="1085"/>
        <v xml:space="preserve"> </v>
      </c>
      <c r="F13915">
        <v>0.36</v>
      </c>
      <c r="G13915" s="37" t="str">
        <f t="shared" si="1086"/>
        <v>Heavy Discount</v>
      </c>
      <c r="H13915" s="37" t="str">
        <f t="shared" si="1087"/>
        <v>Medium</v>
      </c>
      <c r="I13915">
        <v>4</v>
      </c>
      <c r="J13915" t="str" cm="1">
        <f t="array" ref="J13915">_xlfn.IFS(I13915&lt;=3,"small",I13915&lt;=6,"Medium",I13915&lt;=9,"Large")</f>
        <v>Medium</v>
      </c>
      <c r="K13915" s="36">
        <v>45369</v>
      </c>
      <c r="L13915" s="36">
        <v>45374</v>
      </c>
      <c r="M13915" t="s">
        <v>603</v>
      </c>
      <c r="N13915" t="s">
        <v>608</v>
      </c>
      <c r="O13915" s="37" t="str">
        <f t="shared" si="1088"/>
        <v>Cash Payment</v>
      </c>
      <c r="P13915">
        <v>787.9</v>
      </c>
      <c r="Q13915" s="37" t="str">
        <f>IF(P13915&gt;500,"High","low")</f>
        <v>High</v>
      </c>
      <c r="R13915" s="37" t="str">
        <f t="shared" si="1089"/>
        <v>Good</v>
      </c>
      <c r="S13915" t="s">
        <v>605</v>
      </c>
    </row>
    <row r="13916" spans="1:19" x14ac:dyDescent="0.2">
      <c r="A13916" t="s">
        <v>14527</v>
      </c>
      <c r="B13916" t="s">
        <v>75</v>
      </c>
      <c r="C13916" t="s">
        <v>597</v>
      </c>
      <c r="D13916">
        <v>1473.56</v>
      </c>
      <c r="E13916" s="37" t="str">
        <f t="shared" si="1085"/>
        <v xml:space="preserve"> </v>
      </c>
      <c r="F13916">
        <v>0.02</v>
      </c>
      <c r="G13916" s="37" t="str">
        <f t="shared" si="1086"/>
        <v>Normal Discount</v>
      </c>
      <c r="H13916" s="37" t="str">
        <f t="shared" si="1087"/>
        <v>Low</v>
      </c>
      <c r="I13916">
        <v>9</v>
      </c>
      <c r="J13916" t="str" cm="1">
        <f t="array" ref="J13916">_xlfn.IFS(I13916&lt;=3,"small",I13916&lt;=6,"Medium",I13916&lt;=9,"Large")</f>
        <v>Large</v>
      </c>
      <c r="K13916" s="36">
        <v>45556</v>
      </c>
      <c r="L13916" s="36">
        <v>45557</v>
      </c>
      <c r="M13916" t="s">
        <v>598</v>
      </c>
      <c r="N13916" t="s">
        <v>608</v>
      </c>
      <c r="O13916" s="37" t="str">
        <f t="shared" si="1088"/>
        <v>Cash Payment</v>
      </c>
      <c r="P13916">
        <v>236.05</v>
      </c>
      <c r="Q13916" s="37" t="str">
        <f>IF(P13916&gt;500,"High","low")</f>
        <v>low</v>
      </c>
      <c r="R13916" s="37" t="str">
        <f t="shared" si="1089"/>
        <v>AVERAGE</v>
      </c>
      <c r="S13916" t="s">
        <v>615</v>
      </c>
    </row>
    <row r="13917" spans="1:19" x14ac:dyDescent="0.2">
      <c r="A13917" t="s">
        <v>14528</v>
      </c>
      <c r="B13917" t="s">
        <v>75</v>
      </c>
      <c r="C13917" t="s">
        <v>602</v>
      </c>
      <c r="D13917">
        <v>3505.8</v>
      </c>
      <c r="E13917" s="37" t="str">
        <f t="shared" si="1085"/>
        <v xml:space="preserve"> </v>
      </c>
      <c r="F13917">
        <v>7.0000000000000007E-2</v>
      </c>
      <c r="G13917" s="37" t="str">
        <f t="shared" si="1086"/>
        <v>Normal Discount</v>
      </c>
      <c r="H13917" s="37" t="str">
        <f t="shared" si="1087"/>
        <v>Low</v>
      </c>
      <c r="I13917">
        <v>5</v>
      </c>
      <c r="J13917" t="str" cm="1">
        <f t="array" ref="J13917">_xlfn.IFS(I13917&lt;=3,"small",I13917&lt;=6,"Medium",I13917&lt;=9,"Large")</f>
        <v>Medium</v>
      </c>
      <c r="K13917" s="36">
        <v>45467</v>
      </c>
      <c r="L13917" s="36">
        <v>45468</v>
      </c>
      <c r="M13917" t="s">
        <v>603</v>
      </c>
      <c r="N13917" t="s">
        <v>604</v>
      </c>
      <c r="O13917" s="37" t="str">
        <f t="shared" si="1088"/>
        <v>Digital Payment</v>
      </c>
      <c r="P13917">
        <v>1014.73</v>
      </c>
      <c r="Q13917" s="37" t="str">
        <f>IF(P13917&gt;500,"High","low")</f>
        <v>High</v>
      </c>
      <c r="R13917" s="37" t="str">
        <f t="shared" si="1089"/>
        <v>Excellent</v>
      </c>
      <c r="S13917" t="s">
        <v>600</v>
      </c>
    </row>
    <row r="13918" spans="1:19" x14ac:dyDescent="0.2">
      <c r="A13918" t="s">
        <v>14529</v>
      </c>
      <c r="B13918" t="s">
        <v>90</v>
      </c>
      <c r="C13918" t="s">
        <v>614</v>
      </c>
      <c r="D13918">
        <v>2036.18</v>
      </c>
      <c r="E13918" s="37" t="str">
        <f t="shared" si="1085"/>
        <v xml:space="preserve"> </v>
      </c>
      <c r="F13918">
        <v>0.11</v>
      </c>
      <c r="G13918" s="37" t="str">
        <f t="shared" si="1086"/>
        <v>Normal Discount</v>
      </c>
      <c r="H13918" s="37" t="str">
        <f t="shared" si="1087"/>
        <v>Low</v>
      </c>
      <c r="I13918">
        <v>1</v>
      </c>
      <c r="J13918" t="str" cm="1">
        <f t="array" ref="J13918">_xlfn.IFS(I13918&lt;=3,"small",I13918&lt;=6,"Medium",I13918&lt;=9,"Large")</f>
        <v>small</v>
      </c>
      <c r="K13918" s="36">
        <v>44998</v>
      </c>
      <c r="L13918" s="36">
        <v>45004</v>
      </c>
      <c r="M13918" t="s">
        <v>612</v>
      </c>
      <c r="N13918" t="s">
        <v>604</v>
      </c>
      <c r="O13918" s="37" t="str">
        <f t="shared" si="1088"/>
        <v>Digital Payment</v>
      </c>
      <c r="P13918">
        <v>560.39</v>
      </c>
      <c r="Q13918" s="37" t="str">
        <f>IF(P13918&gt;500,"High","low")</f>
        <v>High</v>
      </c>
      <c r="R13918" s="37" t="str">
        <f t="shared" si="1089"/>
        <v>Good</v>
      </c>
      <c r="S13918" t="s">
        <v>609</v>
      </c>
    </row>
    <row r="13919" spans="1:19" x14ac:dyDescent="0.2">
      <c r="A13919" t="s">
        <v>14530</v>
      </c>
      <c r="B13919" t="s">
        <v>83</v>
      </c>
      <c r="C13919" t="s">
        <v>607</v>
      </c>
      <c r="D13919">
        <v>1384.38</v>
      </c>
      <c r="E13919" s="37" t="str">
        <f t="shared" si="1085"/>
        <v xml:space="preserve"> </v>
      </c>
      <c r="F13919">
        <v>0.3</v>
      </c>
      <c r="G13919" s="37" t="str">
        <f t="shared" si="1086"/>
        <v>Normal Discount</v>
      </c>
      <c r="H13919" s="37" t="str">
        <f t="shared" si="1087"/>
        <v>Medium</v>
      </c>
      <c r="I13919">
        <v>6</v>
      </c>
      <c r="J13919" t="str" cm="1">
        <f t="array" ref="J13919">_xlfn.IFS(I13919&lt;=3,"small",I13919&lt;=6,"Medium",I13919&lt;=9,"Large")</f>
        <v>Medium</v>
      </c>
      <c r="K13919" s="36">
        <v>45149</v>
      </c>
      <c r="L13919" s="36">
        <v>45154</v>
      </c>
      <c r="M13919" t="s">
        <v>612</v>
      </c>
      <c r="N13919" t="s">
        <v>604</v>
      </c>
      <c r="O13919" s="37" t="str">
        <f t="shared" si="1088"/>
        <v>Digital Payment</v>
      </c>
      <c r="P13919">
        <v>154.25</v>
      </c>
      <c r="Q13919" s="37" t="str">
        <f>IF(P13919&gt;500,"High","low")</f>
        <v>low</v>
      </c>
      <c r="R13919" s="37" t="str">
        <f t="shared" si="1089"/>
        <v>AVERAGE</v>
      </c>
      <c r="S13919" t="s">
        <v>605</v>
      </c>
    </row>
    <row r="13920" spans="1:19" x14ac:dyDescent="0.2">
      <c r="A13920" t="s">
        <v>14531</v>
      </c>
      <c r="B13920" t="s">
        <v>90</v>
      </c>
      <c r="C13920" t="s">
        <v>597</v>
      </c>
      <c r="D13920">
        <v>805.83</v>
      </c>
      <c r="E13920" s="37" t="str">
        <f t="shared" si="1085"/>
        <v xml:space="preserve"> </v>
      </c>
      <c r="F13920">
        <v>0.45</v>
      </c>
      <c r="G13920" s="37" t="str">
        <f t="shared" si="1086"/>
        <v>Heavy Discount</v>
      </c>
      <c r="H13920" s="37" t="str">
        <f t="shared" si="1087"/>
        <v>High</v>
      </c>
      <c r="I13920">
        <v>5</v>
      </c>
      <c r="J13920" t="str" cm="1">
        <f t="array" ref="J13920">_xlfn.IFS(I13920&lt;=3,"small",I13920&lt;=6,"Medium",I13920&lt;=9,"Large")</f>
        <v>Medium</v>
      </c>
      <c r="K13920" s="36">
        <v>45152</v>
      </c>
      <c r="L13920" s="36">
        <v>45159</v>
      </c>
      <c r="M13920" t="s">
        <v>612</v>
      </c>
      <c r="N13920" t="s">
        <v>608</v>
      </c>
      <c r="O13920" s="37" t="str">
        <f t="shared" si="1088"/>
        <v>Cash Payment</v>
      </c>
      <c r="P13920">
        <v>124.85</v>
      </c>
      <c r="Q13920" s="37" t="str">
        <f>IF(P13920&gt;500,"High","low")</f>
        <v>low</v>
      </c>
      <c r="R13920" s="37" t="str">
        <f t="shared" si="1089"/>
        <v>AVERAGE</v>
      </c>
      <c r="S13920" t="s">
        <v>620</v>
      </c>
    </row>
    <row r="13921" spans="1:19" x14ac:dyDescent="0.2">
      <c r="A13921" t="s">
        <v>14532</v>
      </c>
      <c r="B13921" t="s">
        <v>75</v>
      </c>
      <c r="C13921" t="s">
        <v>607</v>
      </c>
      <c r="D13921">
        <v>4863.74</v>
      </c>
      <c r="E13921" s="37" t="str">
        <f t="shared" si="1085"/>
        <v>Excellent Order</v>
      </c>
      <c r="F13921">
        <v>0.16</v>
      </c>
      <c r="G13921" s="37" t="str">
        <f t="shared" si="1086"/>
        <v>Normal Discount</v>
      </c>
      <c r="H13921" s="37" t="str">
        <f t="shared" si="1087"/>
        <v>Low</v>
      </c>
      <c r="I13921">
        <v>2</v>
      </c>
      <c r="J13921" t="str" cm="1">
        <f t="array" ref="J13921">_xlfn.IFS(I13921&lt;=3,"small",I13921&lt;=6,"Medium",I13921&lt;=9,"Large")</f>
        <v>small</v>
      </c>
      <c r="K13921" s="36">
        <v>45506</v>
      </c>
      <c r="L13921" s="36">
        <v>45512</v>
      </c>
      <c r="M13921" t="s">
        <v>612</v>
      </c>
      <c r="N13921" t="s">
        <v>604</v>
      </c>
      <c r="O13921" s="37" t="str">
        <f t="shared" si="1088"/>
        <v>Digital Payment</v>
      </c>
      <c r="P13921">
        <v>1419.63</v>
      </c>
      <c r="Q13921" s="37" t="str">
        <f>IF(P13921&gt;500,"High","low")</f>
        <v>High</v>
      </c>
      <c r="R13921" s="37" t="str">
        <f t="shared" si="1089"/>
        <v>Excellent</v>
      </c>
      <c r="S13921" t="s">
        <v>620</v>
      </c>
    </row>
    <row r="13922" spans="1:19" x14ac:dyDescent="0.2">
      <c r="A13922" t="s">
        <v>14533</v>
      </c>
      <c r="B13922" t="s">
        <v>90</v>
      </c>
      <c r="C13922" t="s">
        <v>617</v>
      </c>
      <c r="D13922">
        <v>2653.47</v>
      </c>
      <c r="E13922" s="37" t="str">
        <f t="shared" si="1085"/>
        <v xml:space="preserve"> </v>
      </c>
      <c r="F13922">
        <v>0.48</v>
      </c>
      <c r="G13922" s="37" t="str">
        <f t="shared" si="1086"/>
        <v>Heavy Discount</v>
      </c>
      <c r="H13922" s="37" t="str">
        <f t="shared" si="1087"/>
        <v>High</v>
      </c>
      <c r="I13922">
        <v>3</v>
      </c>
      <c r="J13922" t="str" cm="1">
        <f t="array" ref="J13922">_xlfn.IFS(I13922&lt;=3,"small",I13922&lt;=6,"Medium",I13922&lt;=9,"Large")</f>
        <v>small</v>
      </c>
      <c r="K13922" s="36">
        <v>45481</v>
      </c>
      <c r="L13922" s="36">
        <v>45484</v>
      </c>
      <c r="M13922" t="s">
        <v>612</v>
      </c>
      <c r="N13922" t="s">
        <v>599</v>
      </c>
      <c r="O13922" s="37" t="str">
        <f t="shared" si="1088"/>
        <v>Digital Payment</v>
      </c>
      <c r="P13922">
        <v>397.55</v>
      </c>
      <c r="Q13922" s="37" t="str">
        <f>IF(P13922&gt;500,"High","low")</f>
        <v>low</v>
      </c>
      <c r="R13922" s="37" t="str">
        <f t="shared" si="1089"/>
        <v>AVERAGE</v>
      </c>
      <c r="S13922" t="s">
        <v>628</v>
      </c>
    </row>
    <row r="13923" spans="1:19" x14ac:dyDescent="0.2">
      <c r="A13923" t="s">
        <v>14534</v>
      </c>
      <c r="B13923" t="s">
        <v>83</v>
      </c>
      <c r="C13923" t="s">
        <v>614</v>
      </c>
      <c r="D13923">
        <v>662.3</v>
      </c>
      <c r="E13923" s="37" t="str">
        <f t="shared" si="1085"/>
        <v xml:space="preserve"> </v>
      </c>
      <c r="F13923">
        <v>0.09</v>
      </c>
      <c r="G13923" s="37" t="str">
        <f t="shared" si="1086"/>
        <v>Normal Discount</v>
      </c>
      <c r="H13923" s="37" t="str">
        <f t="shared" si="1087"/>
        <v>Low</v>
      </c>
      <c r="I13923">
        <v>3</v>
      </c>
      <c r="J13923" t="str" cm="1">
        <f t="array" ref="J13923">_xlfn.IFS(I13923&lt;=3,"small",I13923&lt;=6,"Medium",I13923&lt;=9,"Large")</f>
        <v>small</v>
      </c>
      <c r="K13923" s="36">
        <v>45295</v>
      </c>
      <c r="L13923" s="36">
        <v>45300</v>
      </c>
      <c r="M13923" t="s">
        <v>598</v>
      </c>
      <c r="N13923" t="s">
        <v>604</v>
      </c>
      <c r="O13923" s="37" t="str">
        <f t="shared" si="1088"/>
        <v>Digital Payment</v>
      </c>
      <c r="P13923">
        <v>195.58</v>
      </c>
      <c r="Q13923" s="37" t="str">
        <f>IF(P13923&gt;500,"High","low")</f>
        <v>low</v>
      </c>
      <c r="R13923" s="37" t="str">
        <f t="shared" si="1089"/>
        <v>AVERAGE</v>
      </c>
      <c r="S13923" t="s">
        <v>609</v>
      </c>
    </row>
    <row r="13924" spans="1:19" x14ac:dyDescent="0.2">
      <c r="A13924" t="s">
        <v>14535</v>
      </c>
      <c r="B13924" t="s">
        <v>75</v>
      </c>
      <c r="C13924" t="s">
        <v>597</v>
      </c>
      <c r="D13924">
        <v>1074.19</v>
      </c>
      <c r="E13924" s="37" t="str">
        <f t="shared" si="1085"/>
        <v xml:space="preserve"> </v>
      </c>
      <c r="F13924">
        <v>0.46</v>
      </c>
      <c r="G13924" s="37" t="str">
        <f t="shared" si="1086"/>
        <v>Heavy Discount</v>
      </c>
      <c r="H13924" s="37" t="str">
        <f t="shared" si="1087"/>
        <v>High</v>
      </c>
      <c r="I13924">
        <v>7</v>
      </c>
      <c r="J13924" t="str" cm="1">
        <f t="array" ref="J13924">_xlfn.IFS(I13924&lt;=3,"small",I13924&lt;=6,"Medium",I13924&lt;=9,"Large")</f>
        <v>Large</v>
      </c>
      <c r="K13924" s="36">
        <v>45467</v>
      </c>
      <c r="L13924" s="36">
        <v>45471</v>
      </c>
      <c r="M13924" t="s">
        <v>612</v>
      </c>
      <c r="N13924" t="s">
        <v>599</v>
      </c>
      <c r="O13924" s="37" t="str">
        <f t="shared" si="1088"/>
        <v>Digital Payment</v>
      </c>
      <c r="P13924">
        <v>115.23</v>
      </c>
      <c r="Q13924" s="37" t="str">
        <f>IF(P13924&gt;500,"High","low")</f>
        <v>low</v>
      </c>
      <c r="R13924" s="37" t="str">
        <f t="shared" si="1089"/>
        <v>AVERAGE</v>
      </c>
      <c r="S13924" t="s">
        <v>615</v>
      </c>
    </row>
    <row r="13925" spans="1:19" x14ac:dyDescent="0.2">
      <c r="A13925" t="s">
        <v>14536</v>
      </c>
      <c r="B13925" t="s">
        <v>83</v>
      </c>
      <c r="C13925" t="s">
        <v>602</v>
      </c>
      <c r="D13925">
        <v>2095.7600000000002</v>
      </c>
      <c r="E13925" s="37" t="str">
        <f t="shared" si="1085"/>
        <v xml:space="preserve"> </v>
      </c>
      <c r="F13925">
        <v>0.4</v>
      </c>
      <c r="G13925" s="37" t="str">
        <f t="shared" si="1086"/>
        <v>Heavy Discount</v>
      </c>
      <c r="H13925" s="37" t="str">
        <f t="shared" si="1087"/>
        <v>Medium</v>
      </c>
      <c r="I13925">
        <v>5</v>
      </c>
      <c r="J13925" t="str" cm="1">
        <f t="array" ref="J13925">_xlfn.IFS(I13925&lt;=3,"small",I13925&lt;=6,"Medium",I13925&lt;=9,"Large")</f>
        <v>Medium</v>
      </c>
      <c r="K13925" s="36">
        <v>45495</v>
      </c>
      <c r="L13925" s="36">
        <v>45496</v>
      </c>
      <c r="M13925" t="s">
        <v>603</v>
      </c>
      <c r="N13925" t="s">
        <v>599</v>
      </c>
      <c r="O13925" s="37" t="str">
        <f t="shared" si="1088"/>
        <v>Digital Payment</v>
      </c>
      <c r="P13925">
        <v>419.8</v>
      </c>
      <c r="Q13925" s="37" t="str">
        <f>IF(P13925&gt;500,"High","low")</f>
        <v>low</v>
      </c>
      <c r="R13925" s="37" t="str">
        <f t="shared" si="1089"/>
        <v>AVERAGE</v>
      </c>
      <c r="S13925" t="s">
        <v>609</v>
      </c>
    </row>
    <row r="13926" spans="1:19" x14ac:dyDescent="0.2">
      <c r="A13926" t="s">
        <v>14537</v>
      </c>
      <c r="B13926" t="s">
        <v>90</v>
      </c>
      <c r="C13926" t="s">
        <v>602</v>
      </c>
      <c r="D13926">
        <v>2766.44</v>
      </c>
      <c r="E13926" s="37" t="str">
        <f t="shared" si="1085"/>
        <v xml:space="preserve"> </v>
      </c>
      <c r="F13926">
        <v>0.19</v>
      </c>
      <c r="G13926" s="37" t="str">
        <f t="shared" si="1086"/>
        <v>Normal Discount</v>
      </c>
      <c r="H13926" s="37" t="str">
        <f t="shared" si="1087"/>
        <v>Low</v>
      </c>
      <c r="I13926">
        <v>9</v>
      </c>
      <c r="J13926" t="str" cm="1">
        <f t="array" ref="J13926">_xlfn.IFS(I13926&lt;=3,"small",I13926&lt;=6,"Medium",I13926&lt;=9,"Large")</f>
        <v>Large</v>
      </c>
      <c r="K13926" s="36">
        <v>45556</v>
      </c>
      <c r="L13926" s="36">
        <v>45560</v>
      </c>
      <c r="M13926" t="s">
        <v>612</v>
      </c>
      <c r="N13926" t="s">
        <v>604</v>
      </c>
      <c r="O13926" s="37" t="str">
        <f t="shared" si="1088"/>
        <v>Digital Payment</v>
      </c>
      <c r="P13926">
        <v>663.57</v>
      </c>
      <c r="Q13926" s="37" t="str">
        <f>IF(P13926&gt;500,"High","low")</f>
        <v>High</v>
      </c>
      <c r="R13926" s="37" t="str">
        <f t="shared" si="1089"/>
        <v>Good</v>
      </c>
      <c r="S13926" t="s">
        <v>615</v>
      </c>
    </row>
    <row r="13927" spans="1:19" x14ac:dyDescent="0.2">
      <c r="A13927" t="s">
        <v>14538</v>
      </c>
      <c r="B13927" t="s">
        <v>67</v>
      </c>
      <c r="C13927" t="s">
        <v>602</v>
      </c>
      <c r="D13927">
        <v>990.8</v>
      </c>
      <c r="E13927" s="37" t="str">
        <f t="shared" si="1085"/>
        <v xml:space="preserve"> </v>
      </c>
      <c r="F13927">
        <v>0.1</v>
      </c>
      <c r="G13927" s="37" t="str">
        <f t="shared" si="1086"/>
        <v>Normal Discount</v>
      </c>
      <c r="H13927" s="37" t="str">
        <f t="shared" si="1087"/>
        <v>Low</v>
      </c>
      <c r="I13927">
        <v>1</v>
      </c>
      <c r="J13927" t="str" cm="1">
        <f t="array" ref="J13927">_xlfn.IFS(I13927&lt;=3,"small",I13927&lt;=6,"Medium",I13927&lt;=9,"Large")</f>
        <v>small</v>
      </c>
      <c r="K13927" s="36">
        <v>45471</v>
      </c>
      <c r="L13927" s="36">
        <v>45475</v>
      </c>
      <c r="M13927" t="s">
        <v>598</v>
      </c>
      <c r="N13927" t="s">
        <v>604</v>
      </c>
      <c r="O13927" s="37" t="str">
        <f t="shared" si="1088"/>
        <v>Digital Payment</v>
      </c>
      <c r="P13927">
        <v>81.25</v>
      </c>
      <c r="Q13927" s="37" t="str">
        <f>IF(P13927&gt;500,"High","low")</f>
        <v>low</v>
      </c>
      <c r="R13927" s="37" t="str">
        <f t="shared" si="1089"/>
        <v>AVERAGE</v>
      </c>
      <c r="S13927" t="s">
        <v>600</v>
      </c>
    </row>
    <row r="13928" spans="1:19" x14ac:dyDescent="0.2">
      <c r="A13928" t="s">
        <v>14539</v>
      </c>
      <c r="B13928" t="s">
        <v>90</v>
      </c>
      <c r="C13928" t="s">
        <v>602</v>
      </c>
      <c r="D13928">
        <v>1460.87</v>
      </c>
      <c r="E13928" s="37" t="str">
        <f t="shared" si="1085"/>
        <v xml:space="preserve"> </v>
      </c>
      <c r="F13928">
        <v>0.2</v>
      </c>
      <c r="G13928" s="37" t="str">
        <f t="shared" si="1086"/>
        <v>Normal Discount</v>
      </c>
      <c r="H13928" s="37" t="str">
        <f t="shared" si="1087"/>
        <v>Medium</v>
      </c>
      <c r="I13928">
        <v>3</v>
      </c>
      <c r="J13928" t="str" cm="1">
        <f t="array" ref="J13928">_xlfn.IFS(I13928&lt;=3,"small",I13928&lt;=6,"Medium",I13928&lt;=9,"Large")</f>
        <v>small</v>
      </c>
      <c r="K13928" s="36">
        <v>45203</v>
      </c>
      <c r="L13928" s="36">
        <v>45207</v>
      </c>
      <c r="M13928" t="s">
        <v>603</v>
      </c>
      <c r="N13928" t="s">
        <v>608</v>
      </c>
      <c r="O13928" s="37" t="str">
        <f t="shared" si="1088"/>
        <v>Cash Payment</v>
      </c>
      <c r="P13928">
        <v>430.49</v>
      </c>
      <c r="Q13928" s="37" t="str">
        <f>IF(P13928&gt;500,"High","low")</f>
        <v>low</v>
      </c>
      <c r="R13928" s="37" t="str">
        <f t="shared" si="1089"/>
        <v>AVERAGE</v>
      </c>
      <c r="S13928" t="s">
        <v>620</v>
      </c>
    </row>
    <row r="13929" spans="1:19" x14ac:dyDescent="0.2">
      <c r="A13929" t="s">
        <v>14540</v>
      </c>
      <c r="B13929" t="s">
        <v>83</v>
      </c>
      <c r="C13929" t="s">
        <v>597</v>
      </c>
      <c r="D13929">
        <v>3940.16</v>
      </c>
      <c r="E13929" s="37" t="str">
        <f t="shared" si="1085"/>
        <v xml:space="preserve"> </v>
      </c>
      <c r="F13929">
        <v>0.11</v>
      </c>
      <c r="G13929" s="37" t="str">
        <f t="shared" si="1086"/>
        <v>Normal Discount</v>
      </c>
      <c r="H13929" s="37" t="str">
        <f t="shared" si="1087"/>
        <v>Low</v>
      </c>
      <c r="I13929">
        <v>8</v>
      </c>
      <c r="J13929" t="str" cm="1">
        <f t="array" ref="J13929">_xlfn.IFS(I13929&lt;=3,"small",I13929&lt;=6,"Medium",I13929&lt;=9,"Large")</f>
        <v>Large</v>
      </c>
      <c r="K13929" s="36">
        <v>45351</v>
      </c>
      <c r="L13929" s="36">
        <v>45354</v>
      </c>
      <c r="M13929" t="s">
        <v>603</v>
      </c>
      <c r="N13929" t="s">
        <v>608</v>
      </c>
      <c r="O13929" s="37" t="str">
        <f t="shared" si="1088"/>
        <v>Cash Payment</v>
      </c>
      <c r="P13929">
        <v>873.39</v>
      </c>
      <c r="Q13929" s="37" t="str">
        <f>IF(P13929&gt;500,"High","low")</f>
        <v>High</v>
      </c>
      <c r="R13929" s="37" t="str">
        <f t="shared" si="1089"/>
        <v>Good</v>
      </c>
      <c r="S13929" t="s">
        <v>628</v>
      </c>
    </row>
    <row r="13930" spans="1:19" x14ac:dyDescent="0.2">
      <c r="A13930" t="s">
        <v>14541</v>
      </c>
      <c r="B13930" t="s">
        <v>90</v>
      </c>
      <c r="C13930" t="s">
        <v>617</v>
      </c>
      <c r="D13930">
        <v>2145.66</v>
      </c>
      <c r="E13930" s="37" t="str">
        <f t="shared" si="1085"/>
        <v xml:space="preserve"> </v>
      </c>
      <c r="F13930">
        <v>0.28000000000000003</v>
      </c>
      <c r="G13930" s="37" t="str">
        <f t="shared" si="1086"/>
        <v>Normal Discount</v>
      </c>
      <c r="H13930" s="37" t="str">
        <f t="shared" si="1087"/>
        <v>Medium</v>
      </c>
      <c r="I13930">
        <v>3</v>
      </c>
      <c r="J13930" t="str" cm="1">
        <f t="array" ref="J13930">_xlfn.IFS(I13930&lt;=3,"small",I13930&lt;=6,"Medium",I13930&lt;=9,"Large")</f>
        <v>small</v>
      </c>
      <c r="K13930" s="36">
        <v>45295</v>
      </c>
      <c r="L13930" s="36">
        <v>45301</v>
      </c>
      <c r="M13930" t="s">
        <v>598</v>
      </c>
      <c r="N13930" t="s">
        <v>604</v>
      </c>
      <c r="O13930" s="37" t="str">
        <f t="shared" si="1088"/>
        <v>Digital Payment</v>
      </c>
      <c r="P13930">
        <v>143.46</v>
      </c>
      <c r="Q13930" s="37" t="str">
        <f>IF(P13930&gt;500,"High","low")</f>
        <v>low</v>
      </c>
      <c r="R13930" s="37" t="str">
        <f t="shared" si="1089"/>
        <v>AVERAGE</v>
      </c>
      <c r="S13930" t="s">
        <v>609</v>
      </c>
    </row>
    <row r="13931" spans="1:19" x14ac:dyDescent="0.2">
      <c r="A13931" t="s">
        <v>14542</v>
      </c>
      <c r="B13931" t="s">
        <v>67</v>
      </c>
      <c r="C13931" t="s">
        <v>602</v>
      </c>
      <c r="D13931">
        <v>106.87</v>
      </c>
      <c r="E13931" s="37" t="str">
        <f t="shared" si="1085"/>
        <v xml:space="preserve"> </v>
      </c>
      <c r="F13931">
        <v>0.28999999999999998</v>
      </c>
      <c r="G13931" s="37" t="str">
        <f t="shared" si="1086"/>
        <v>Normal Discount</v>
      </c>
      <c r="H13931" s="37" t="str">
        <f t="shared" si="1087"/>
        <v>Medium</v>
      </c>
      <c r="I13931">
        <v>3</v>
      </c>
      <c r="J13931" t="str" cm="1">
        <f t="array" ref="J13931">_xlfn.IFS(I13931&lt;=3,"small",I13931&lt;=6,"Medium",I13931&lt;=9,"Large")</f>
        <v>small</v>
      </c>
      <c r="K13931" s="36">
        <v>45055</v>
      </c>
      <c r="L13931" s="36">
        <v>45056</v>
      </c>
      <c r="M13931" t="s">
        <v>603</v>
      </c>
      <c r="N13931" t="s">
        <v>599</v>
      </c>
      <c r="O13931" s="37" t="str">
        <f t="shared" si="1088"/>
        <v>Digital Payment</v>
      </c>
      <c r="P13931">
        <v>7.25</v>
      </c>
      <c r="Q13931" s="37" t="str">
        <f>IF(P13931&gt;500,"High","low")</f>
        <v>low</v>
      </c>
      <c r="R13931" s="37" t="str">
        <f t="shared" si="1089"/>
        <v>AVERAGE</v>
      </c>
      <c r="S13931" t="s">
        <v>620</v>
      </c>
    </row>
    <row r="13932" spans="1:19" x14ac:dyDescent="0.2">
      <c r="A13932" t="s">
        <v>14543</v>
      </c>
      <c r="B13932" t="s">
        <v>83</v>
      </c>
      <c r="C13932" t="s">
        <v>602</v>
      </c>
      <c r="D13932">
        <v>364.31</v>
      </c>
      <c r="E13932" s="37" t="str">
        <f t="shared" si="1085"/>
        <v xml:space="preserve"> </v>
      </c>
      <c r="F13932">
        <v>0.38</v>
      </c>
      <c r="G13932" s="37" t="str">
        <f t="shared" si="1086"/>
        <v>Heavy Discount</v>
      </c>
      <c r="H13932" s="37" t="str">
        <f t="shared" si="1087"/>
        <v>Medium</v>
      </c>
      <c r="I13932">
        <v>8</v>
      </c>
      <c r="J13932" t="str" cm="1">
        <f t="array" ref="J13932">_xlfn.IFS(I13932&lt;=3,"small",I13932&lt;=6,"Medium",I13932&lt;=9,"Large")</f>
        <v>Large</v>
      </c>
      <c r="K13932" s="36">
        <v>45337</v>
      </c>
      <c r="L13932" s="36">
        <v>45341</v>
      </c>
      <c r="M13932" t="s">
        <v>598</v>
      </c>
      <c r="N13932" t="s">
        <v>604</v>
      </c>
      <c r="O13932" s="37" t="str">
        <f t="shared" si="1088"/>
        <v>Digital Payment</v>
      </c>
      <c r="P13932">
        <v>45.93</v>
      </c>
      <c r="Q13932" s="37" t="str">
        <f>IF(P13932&gt;500,"High","low")</f>
        <v>low</v>
      </c>
      <c r="R13932" s="37" t="str">
        <f t="shared" si="1089"/>
        <v>AVERAGE</v>
      </c>
      <c r="S13932" t="s">
        <v>605</v>
      </c>
    </row>
    <row r="13933" spans="1:19" x14ac:dyDescent="0.2">
      <c r="A13933" t="s">
        <v>14544</v>
      </c>
      <c r="B13933" t="s">
        <v>90</v>
      </c>
      <c r="C13933" t="s">
        <v>602</v>
      </c>
      <c r="D13933">
        <v>2252.71</v>
      </c>
      <c r="E13933" s="37" t="str">
        <f t="shared" si="1085"/>
        <v xml:space="preserve"> </v>
      </c>
      <c r="F13933">
        <v>0.26</v>
      </c>
      <c r="G13933" s="37" t="str">
        <f t="shared" si="1086"/>
        <v>Normal Discount</v>
      </c>
      <c r="H13933" s="37" t="str">
        <f t="shared" si="1087"/>
        <v>Medium</v>
      </c>
      <c r="I13933">
        <v>3</v>
      </c>
      <c r="J13933" t="str" cm="1">
        <f t="array" ref="J13933">_xlfn.IFS(I13933&lt;=3,"small",I13933&lt;=6,"Medium",I13933&lt;=9,"Large")</f>
        <v>small</v>
      </c>
      <c r="K13933" s="36">
        <v>45440</v>
      </c>
      <c r="L13933" s="36">
        <v>45444</v>
      </c>
      <c r="M13933" t="s">
        <v>598</v>
      </c>
      <c r="N13933" t="s">
        <v>608</v>
      </c>
      <c r="O13933" s="37" t="str">
        <f t="shared" si="1088"/>
        <v>Cash Payment</v>
      </c>
      <c r="P13933">
        <v>656.92</v>
      </c>
      <c r="Q13933" s="37" t="str">
        <f>IF(P13933&gt;500,"High","low")</f>
        <v>High</v>
      </c>
      <c r="R13933" s="37" t="str">
        <f t="shared" si="1089"/>
        <v>Good</v>
      </c>
      <c r="S13933" t="s">
        <v>609</v>
      </c>
    </row>
    <row r="13934" spans="1:19" x14ac:dyDescent="0.2">
      <c r="A13934" t="s">
        <v>14545</v>
      </c>
      <c r="B13934" t="s">
        <v>83</v>
      </c>
      <c r="C13934" t="s">
        <v>617</v>
      </c>
      <c r="D13934">
        <v>394.58</v>
      </c>
      <c r="E13934" s="37" t="str">
        <f t="shared" si="1085"/>
        <v xml:space="preserve"> </v>
      </c>
      <c r="F13934">
        <v>0.17</v>
      </c>
      <c r="G13934" s="37" t="str">
        <f t="shared" si="1086"/>
        <v>Normal Discount</v>
      </c>
      <c r="H13934" s="37" t="str">
        <f t="shared" si="1087"/>
        <v>Low</v>
      </c>
      <c r="I13934">
        <v>2</v>
      </c>
      <c r="J13934" t="str" cm="1">
        <f t="array" ref="J13934">_xlfn.IFS(I13934&lt;=3,"small",I13934&lt;=6,"Medium",I13934&lt;=9,"Large")</f>
        <v>small</v>
      </c>
      <c r="K13934" s="36">
        <v>45617</v>
      </c>
      <c r="L13934" s="36">
        <v>45621</v>
      </c>
      <c r="M13934" t="s">
        <v>603</v>
      </c>
      <c r="N13934" t="s">
        <v>608</v>
      </c>
      <c r="O13934" s="37" t="str">
        <f t="shared" si="1088"/>
        <v>Cash Payment</v>
      </c>
      <c r="P13934">
        <v>102.21</v>
      </c>
      <c r="Q13934" s="37" t="str">
        <f>IF(P13934&gt;500,"High","low")</f>
        <v>low</v>
      </c>
      <c r="R13934" s="37" t="str">
        <f t="shared" si="1089"/>
        <v>AVERAGE</v>
      </c>
      <c r="S13934" t="s">
        <v>620</v>
      </c>
    </row>
    <row r="13935" spans="1:19" x14ac:dyDescent="0.2">
      <c r="A13935" t="s">
        <v>14546</v>
      </c>
      <c r="B13935" t="s">
        <v>83</v>
      </c>
      <c r="C13935" t="s">
        <v>614</v>
      </c>
      <c r="D13935">
        <v>952.13</v>
      </c>
      <c r="E13935" s="37" t="str">
        <f t="shared" si="1085"/>
        <v xml:space="preserve"> </v>
      </c>
      <c r="F13935">
        <v>0.46</v>
      </c>
      <c r="G13935" s="37" t="str">
        <f t="shared" si="1086"/>
        <v>Heavy Discount</v>
      </c>
      <c r="H13935" s="37" t="str">
        <f t="shared" si="1087"/>
        <v>High</v>
      </c>
      <c r="I13935">
        <v>3</v>
      </c>
      <c r="J13935" t="str" cm="1">
        <f t="array" ref="J13935">_xlfn.IFS(I13935&lt;=3,"small",I13935&lt;=6,"Medium",I13935&lt;=9,"Large")</f>
        <v>small</v>
      </c>
      <c r="K13935" s="36">
        <v>45564</v>
      </c>
      <c r="L13935" s="36">
        <v>45566</v>
      </c>
      <c r="M13935" t="s">
        <v>598</v>
      </c>
      <c r="N13935" t="s">
        <v>599</v>
      </c>
      <c r="O13935" s="37" t="str">
        <f t="shared" si="1088"/>
        <v>Digital Payment</v>
      </c>
      <c r="P13935">
        <v>225.23</v>
      </c>
      <c r="Q13935" s="37" t="str">
        <f>IF(P13935&gt;500,"High","low")</f>
        <v>low</v>
      </c>
      <c r="R13935" s="37" t="str">
        <f t="shared" si="1089"/>
        <v>AVERAGE</v>
      </c>
      <c r="S13935" t="s">
        <v>620</v>
      </c>
    </row>
    <row r="13936" spans="1:19" x14ac:dyDescent="0.2">
      <c r="A13936" t="s">
        <v>14547</v>
      </c>
      <c r="B13936" t="s">
        <v>75</v>
      </c>
      <c r="C13936" t="s">
        <v>602</v>
      </c>
      <c r="D13936">
        <v>3666.59</v>
      </c>
      <c r="E13936" s="37" t="str">
        <f t="shared" si="1085"/>
        <v xml:space="preserve"> </v>
      </c>
      <c r="F13936">
        <v>0.04</v>
      </c>
      <c r="G13936" s="37" t="str">
        <f t="shared" si="1086"/>
        <v>Normal Discount</v>
      </c>
      <c r="H13936" s="37" t="str">
        <f t="shared" si="1087"/>
        <v>Low</v>
      </c>
      <c r="I13936">
        <v>2</v>
      </c>
      <c r="J13936" t="str" cm="1">
        <f t="array" ref="J13936">_xlfn.IFS(I13936&lt;=3,"small",I13936&lt;=6,"Medium",I13936&lt;=9,"Large")</f>
        <v>small</v>
      </c>
      <c r="K13936" s="36">
        <v>45300</v>
      </c>
      <c r="L13936" s="36">
        <v>45301</v>
      </c>
      <c r="M13936" t="s">
        <v>598</v>
      </c>
      <c r="N13936" t="s">
        <v>608</v>
      </c>
      <c r="O13936" s="37" t="str">
        <f t="shared" si="1088"/>
        <v>Cash Payment</v>
      </c>
      <c r="P13936">
        <v>414.76</v>
      </c>
      <c r="Q13936" s="37" t="str">
        <f>IF(P13936&gt;500,"High","low")</f>
        <v>low</v>
      </c>
      <c r="R13936" s="37" t="str">
        <f t="shared" si="1089"/>
        <v>AVERAGE</v>
      </c>
      <c r="S13936" t="s">
        <v>620</v>
      </c>
    </row>
    <row r="13937" spans="1:19" x14ac:dyDescent="0.2">
      <c r="A13937" t="s">
        <v>14548</v>
      </c>
      <c r="B13937" t="s">
        <v>75</v>
      </c>
      <c r="C13937" t="s">
        <v>602</v>
      </c>
      <c r="D13937">
        <v>2453.88</v>
      </c>
      <c r="E13937" s="37" t="str">
        <f t="shared" si="1085"/>
        <v xml:space="preserve"> </v>
      </c>
      <c r="F13937">
        <v>0.4</v>
      </c>
      <c r="G13937" s="37" t="str">
        <f t="shared" si="1086"/>
        <v>Heavy Discount</v>
      </c>
      <c r="H13937" s="37" t="str">
        <f t="shared" si="1087"/>
        <v>Medium</v>
      </c>
      <c r="I13937">
        <v>8</v>
      </c>
      <c r="J13937" t="str" cm="1">
        <f t="array" ref="J13937">_xlfn.IFS(I13937&lt;=3,"small",I13937&lt;=6,"Medium",I13937&lt;=9,"Large")</f>
        <v>Large</v>
      </c>
      <c r="K13937" s="36">
        <v>45000</v>
      </c>
      <c r="L13937" s="36">
        <v>45004</v>
      </c>
      <c r="M13937" t="s">
        <v>612</v>
      </c>
      <c r="N13937" t="s">
        <v>604</v>
      </c>
      <c r="O13937" s="37" t="str">
        <f t="shared" si="1088"/>
        <v>Digital Payment</v>
      </c>
      <c r="P13937">
        <v>643.58000000000004</v>
      </c>
      <c r="Q13937" s="37" t="str">
        <f>IF(P13937&gt;500,"High","low")</f>
        <v>High</v>
      </c>
      <c r="R13937" s="37" t="str">
        <f t="shared" si="1089"/>
        <v>Good</v>
      </c>
      <c r="S13937" t="s">
        <v>609</v>
      </c>
    </row>
    <row r="13938" spans="1:19" x14ac:dyDescent="0.2">
      <c r="A13938" t="s">
        <v>14549</v>
      </c>
      <c r="B13938" t="s">
        <v>83</v>
      </c>
      <c r="C13938" t="s">
        <v>602</v>
      </c>
      <c r="D13938">
        <v>2464.06</v>
      </c>
      <c r="E13938" s="37" t="str">
        <f t="shared" si="1085"/>
        <v xml:space="preserve"> </v>
      </c>
      <c r="F13938">
        <v>0.2</v>
      </c>
      <c r="G13938" s="37" t="str">
        <f t="shared" si="1086"/>
        <v>Normal Discount</v>
      </c>
      <c r="H13938" s="37" t="str">
        <f t="shared" si="1087"/>
        <v>Medium</v>
      </c>
      <c r="I13938">
        <v>5</v>
      </c>
      <c r="J13938" t="str" cm="1">
        <f t="array" ref="J13938">_xlfn.IFS(I13938&lt;=3,"small",I13938&lt;=6,"Medium",I13938&lt;=9,"Large")</f>
        <v>Medium</v>
      </c>
      <c r="K13938" s="36">
        <v>45512</v>
      </c>
      <c r="L13938" s="36">
        <v>45515</v>
      </c>
      <c r="M13938" t="s">
        <v>603</v>
      </c>
      <c r="N13938" t="s">
        <v>599</v>
      </c>
      <c r="O13938" s="37" t="str">
        <f t="shared" si="1088"/>
        <v>Digital Payment</v>
      </c>
      <c r="P13938">
        <v>457.49</v>
      </c>
      <c r="Q13938" s="37" t="str">
        <f>IF(P13938&gt;500,"High","low")</f>
        <v>low</v>
      </c>
      <c r="R13938" s="37" t="str">
        <f t="shared" si="1089"/>
        <v>AVERAGE</v>
      </c>
      <c r="S13938" t="s">
        <v>615</v>
      </c>
    </row>
    <row r="13939" spans="1:19" x14ac:dyDescent="0.2">
      <c r="A13939" t="s">
        <v>14550</v>
      </c>
      <c r="B13939" t="s">
        <v>90</v>
      </c>
      <c r="C13939" t="s">
        <v>614</v>
      </c>
      <c r="D13939">
        <v>3031.27</v>
      </c>
      <c r="E13939" s="37" t="str">
        <f t="shared" si="1085"/>
        <v xml:space="preserve"> </v>
      </c>
      <c r="F13939">
        <v>0.09</v>
      </c>
      <c r="G13939" s="37" t="str">
        <f t="shared" si="1086"/>
        <v>Normal Discount</v>
      </c>
      <c r="H13939" s="37" t="str">
        <f t="shared" si="1087"/>
        <v>Low</v>
      </c>
      <c r="I13939">
        <v>3</v>
      </c>
      <c r="J13939" t="str" cm="1">
        <f t="array" ref="J13939">_xlfn.IFS(I13939&lt;=3,"small",I13939&lt;=6,"Medium",I13939&lt;=9,"Large")</f>
        <v>small</v>
      </c>
      <c r="K13939" s="36">
        <v>45340</v>
      </c>
      <c r="L13939" s="36">
        <v>45347</v>
      </c>
      <c r="M13939" t="s">
        <v>612</v>
      </c>
      <c r="N13939" t="s">
        <v>604</v>
      </c>
      <c r="O13939" s="37" t="str">
        <f t="shared" si="1088"/>
        <v>Digital Payment</v>
      </c>
      <c r="P13939">
        <v>901.53</v>
      </c>
      <c r="Q13939" s="37" t="str">
        <f>IF(P13939&gt;500,"High","low")</f>
        <v>High</v>
      </c>
      <c r="R13939" s="37" t="str">
        <f t="shared" si="1089"/>
        <v>Good</v>
      </c>
      <c r="S13939" t="s">
        <v>628</v>
      </c>
    </row>
    <row r="13940" spans="1:19" x14ac:dyDescent="0.2">
      <c r="A13940" t="s">
        <v>14551</v>
      </c>
      <c r="B13940" t="s">
        <v>90</v>
      </c>
      <c r="C13940" t="s">
        <v>602</v>
      </c>
      <c r="D13940">
        <v>3963.74</v>
      </c>
      <c r="E13940" s="37" t="str">
        <f t="shared" si="1085"/>
        <v xml:space="preserve"> </v>
      </c>
      <c r="F13940">
        <v>0.06</v>
      </c>
      <c r="G13940" s="37" t="str">
        <f t="shared" si="1086"/>
        <v>Normal Discount</v>
      </c>
      <c r="H13940" s="37" t="str">
        <f t="shared" si="1087"/>
        <v>Low</v>
      </c>
      <c r="I13940">
        <v>8</v>
      </c>
      <c r="J13940" t="str" cm="1">
        <f t="array" ref="J13940">_xlfn.IFS(I13940&lt;=3,"small",I13940&lt;=6,"Medium",I13940&lt;=9,"Large")</f>
        <v>Large</v>
      </c>
      <c r="K13940" s="36">
        <v>45055</v>
      </c>
      <c r="L13940" s="36">
        <v>45057</v>
      </c>
      <c r="M13940" t="s">
        <v>598</v>
      </c>
      <c r="N13940" t="s">
        <v>599</v>
      </c>
      <c r="O13940" s="37" t="str">
        <f t="shared" si="1088"/>
        <v>Digital Payment</v>
      </c>
      <c r="P13940">
        <v>468.19</v>
      </c>
      <c r="Q13940" s="37" t="str">
        <f>IF(P13940&gt;500,"High","low")</f>
        <v>low</v>
      </c>
      <c r="R13940" s="37" t="str">
        <f t="shared" si="1089"/>
        <v>AVERAGE</v>
      </c>
      <c r="S13940" t="s">
        <v>605</v>
      </c>
    </row>
    <row r="13941" spans="1:19" x14ac:dyDescent="0.2">
      <c r="A13941" t="s">
        <v>14552</v>
      </c>
      <c r="B13941" t="s">
        <v>90</v>
      </c>
      <c r="C13941" t="s">
        <v>614</v>
      </c>
      <c r="D13941">
        <v>877.07</v>
      </c>
      <c r="E13941" s="37" t="str">
        <f t="shared" si="1085"/>
        <v xml:space="preserve"> </v>
      </c>
      <c r="F13941">
        <v>0.11</v>
      </c>
      <c r="G13941" s="37" t="str">
        <f t="shared" si="1086"/>
        <v>Normal Discount</v>
      </c>
      <c r="H13941" s="37" t="str">
        <f t="shared" si="1087"/>
        <v>Low</v>
      </c>
      <c r="I13941">
        <v>8</v>
      </c>
      <c r="J13941" t="str" cm="1">
        <f t="array" ref="J13941">_xlfn.IFS(I13941&lt;=3,"small",I13941&lt;=6,"Medium",I13941&lt;=9,"Large")</f>
        <v>Large</v>
      </c>
      <c r="K13941" s="36">
        <v>45405</v>
      </c>
      <c r="L13941" s="36">
        <v>45407</v>
      </c>
      <c r="M13941" t="s">
        <v>603</v>
      </c>
      <c r="N13941" t="s">
        <v>599</v>
      </c>
      <c r="O13941" s="37" t="str">
        <f t="shared" si="1088"/>
        <v>Digital Payment</v>
      </c>
      <c r="P13941">
        <v>237.17</v>
      </c>
      <c r="Q13941" s="37" t="str">
        <f>IF(P13941&gt;500,"High","low")</f>
        <v>low</v>
      </c>
      <c r="R13941" s="37" t="str">
        <f t="shared" si="1089"/>
        <v>AVERAGE</v>
      </c>
      <c r="S13941" t="s">
        <v>620</v>
      </c>
    </row>
    <row r="13942" spans="1:19" x14ac:dyDescent="0.2">
      <c r="A13942" t="s">
        <v>14553</v>
      </c>
      <c r="B13942" t="s">
        <v>67</v>
      </c>
      <c r="C13942" t="s">
        <v>614</v>
      </c>
      <c r="D13942">
        <v>947.93</v>
      </c>
      <c r="E13942" s="37" t="str">
        <f t="shared" si="1085"/>
        <v xml:space="preserve"> </v>
      </c>
      <c r="F13942">
        <v>0.06</v>
      </c>
      <c r="G13942" s="37" t="str">
        <f t="shared" si="1086"/>
        <v>Normal Discount</v>
      </c>
      <c r="H13942" s="37" t="str">
        <f t="shared" si="1087"/>
        <v>Low</v>
      </c>
      <c r="I13942">
        <v>4</v>
      </c>
      <c r="J13942" t="str" cm="1">
        <f t="array" ref="J13942">_xlfn.IFS(I13942&lt;=3,"small",I13942&lt;=6,"Medium",I13942&lt;=9,"Large")</f>
        <v>Medium</v>
      </c>
      <c r="K13942" s="36">
        <v>45409</v>
      </c>
      <c r="L13942" s="36">
        <v>45415</v>
      </c>
      <c r="M13942" t="s">
        <v>603</v>
      </c>
      <c r="N13942" t="s">
        <v>604</v>
      </c>
      <c r="O13942" s="37" t="str">
        <f t="shared" si="1088"/>
        <v>Digital Payment</v>
      </c>
      <c r="P13942">
        <v>61.77</v>
      </c>
      <c r="Q13942" s="37" t="str">
        <f>IF(P13942&gt;500,"High","low")</f>
        <v>low</v>
      </c>
      <c r="R13942" s="37" t="str">
        <f t="shared" si="1089"/>
        <v>AVERAGE</v>
      </c>
      <c r="S13942" t="s">
        <v>609</v>
      </c>
    </row>
    <row r="13943" spans="1:19" x14ac:dyDescent="0.2">
      <c r="A13943" t="s">
        <v>14554</v>
      </c>
      <c r="B13943" t="s">
        <v>83</v>
      </c>
      <c r="C13943" t="s">
        <v>607</v>
      </c>
      <c r="D13943">
        <v>694.88</v>
      </c>
      <c r="E13943" s="37" t="str">
        <f t="shared" si="1085"/>
        <v xml:space="preserve"> </v>
      </c>
      <c r="F13943">
        <v>0.23</v>
      </c>
      <c r="G13943" s="37" t="str">
        <f t="shared" si="1086"/>
        <v>Normal Discount</v>
      </c>
      <c r="H13943" s="37" t="str">
        <f t="shared" si="1087"/>
        <v>Medium</v>
      </c>
      <c r="I13943">
        <v>9</v>
      </c>
      <c r="J13943" t="str" cm="1">
        <f t="array" ref="J13943">_xlfn.IFS(I13943&lt;=3,"small",I13943&lt;=6,"Medium",I13943&lt;=9,"Large")</f>
        <v>Large</v>
      </c>
      <c r="K13943" s="36">
        <v>45166</v>
      </c>
      <c r="L13943" s="36">
        <v>45171</v>
      </c>
      <c r="M13943" t="s">
        <v>603</v>
      </c>
      <c r="N13943" t="s">
        <v>608</v>
      </c>
      <c r="O13943" s="37" t="str">
        <f t="shared" si="1088"/>
        <v>Cash Payment</v>
      </c>
      <c r="P13943">
        <v>177.35</v>
      </c>
      <c r="Q13943" s="37" t="str">
        <f>IF(P13943&gt;500,"High","low")</f>
        <v>low</v>
      </c>
      <c r="R13943" s="37" t="str">
        <f t="shared" si="1089"/>
        <v>AVERAGE</v>
      </c>
      <c r="S13943" t="s">
        <v>615</v>
      </c>
    </row>
    <row r="13944" spans="1:19" x14ac:dyDescent="0.2">
      <c r="A13944" t="s">
        <v>14555</v>
      </c>
      <c r="B13944" t="s">
        <v>83</v>
      </c>
      <c r="C13944" t="s">
        <v>607</v>
      </c>
      <c r="D13944">
        <v>4690.46</v>
      </c>
      <c r="E13944" s="37" t="str">
        <f t="shared" si="1085"/>
        <v>Excellent Order</v>
      </c>
      <c r="F13944">
        <v>0.17</v>
      </c>
      <c r="G13944" s="37" t="str">
        <f t="shared" si="1086"/>
        <v>Normal Discount</v>
      </c>
      <c r="H13944" s="37" t="str">
        <f t="shared" si="1087"/>
        <v>Low</v>
      </c>
      <c r="I13944">
        <v>1</v>
      </c>
      <c r="J13944" t="str" cm="1">
        <f t="array" ref="J13944">_xlfn.IFS(I13944&lt;=3,"small",I13944&lt;=6,"Medium",I13944&lt;=9,"Large")</f>
        <v>small</v>
      </c>
      <c r="K13944" s="36">
        <v>45083</v>
      </c>
      <c r="L13944" s="36">
        <v>45086</v>
      </c>
      <c r="M13944" t="s">
        <v>603</v>
      </c>
      <c r="N13944" t="s">
        <v>608</v>
      </c>
      <c r="O13944" s="37" t="str">
        <f t="shared" si="1088"/>
        <v>Cash Payment</v>
      </c>
      <c r="P13944">
        <v>905.95</v>
      </c>
      <c r="Q13944" s="37" t="str">
        <f>IF(P13944&gt;500,"High","low")</f>
        <v>High</v>
      </c>
      <c r="R13944" s="37" t="str">
        <f t="shared" si="1089"/>
        <v>Good</v>
      </c>
      <c r="S13944" t="s">
        <v>620</v>
      </c>
    </row>
    <row r="13945" spans="1:19" x14ac:dyDescent="0.2">
      <c r="A13945" t="s">
        <v>14556</v>
      </c>
      <c r="B13945" t="s">
        <v>67</v>
      </c>
      <c r="C13945" t="s">
        <v>602</v>
      </c>
      <c r="D13945">
        <v>2928.72</v>
      </c>
      <c r="E13945" s="37" t="str">
        <f t="shared" si="1085"/>
        <v xml:space="preserve"> </v>
      </c>
      <c r="F13945">
        <v>0.18</v>
      </c>
      <c r="G13945" s="37" t="str">
        <f t="shared" si="1086"/>
        <v>Normal Discount</v>
      </c>
      <c r="H13945" s="37" t="str">
        <f t="shared" si="1087"/>
        <v>Low</v>
      </c>
      <c r="I13945">
        <v>7</v>
      </c>
      <c r="J13945" t="str" cm="1">
        <f t="array" ref="J13945">_xlfn.IFS(I13945&lt;=3,"small",I13945&lt;=6,"Medium",I13945&lt;=9,"Large")</f>
        <v>Large</v>
      </c>
      <c r="K13945" s="36">
        <v>45067</v>
      </c>
      <c r="L13945" s="36">
        <v>45072</v>
      </c>
      <c r="M13945" t="s">
        <v>603</v>
      </c>
      <c r="N13945" t="s">
        <v>599</v>
      </c>
      <c r="O13945" s="37" t="str">
        <f t="shared" si="1088"/>
        <v>Digital Payment</v>
      </c>
      <c r="P13945">
        <v>489.82</v>
      </c>
      <c r="Q13945" s="37" t="str">
        <f>IF(P13945&gt;500,"High","low")</f>
        <v>low</v>
      </c>
      <c r="R13945" s="37" t="str">
        <f t="shared" si="1089"/>
        <v>AVERAGE</v>
      </c>
      <c r="S13945" t="s">
        <v>615</v>
      </c>
    </row>
    <row r="13946" spans="1:19" x14ac:dyDescent="0.2">
      <c r="A13946" t="s">
        <v>14557</v>
      </c>
      <c r="B13946" t="s">
        <v>83</v>
      </c>
      <c r="C13946" t="s">
        <v>597</v>
      </c>
      <c r="D13946">
        <v>553.94000000000005</v>
      </c>
      <c r="E13946" s="37" t="str">
        <f t="shared" si="1085"/>
        <v xml:space="preserve"> </v>
      </c>
      <c r="F13946">
        <v>0.08</v>
      </c>
      <c r="G13946" s="37" t="str">
        <f t="shared" si="1086"/>
        <v>Normal Discount</v>
      </c>
      <c r="H13946" s="37" t="str">
        <f t="shared" si="1087"/>
        <v>Low</v>
      </c>
      <c r="I13946">
        <v>5</v>
      </c>
      <c r="J13946" t="str" cm="1">
        <f t="array" ref="J13946">_xlfn.IFS(I13946&lt;=3,"small",I13946&lt;=6,"Medium",I13946&lt;=9,"Large")</f>
        <v>Medium</v>
      </c>
      <c r="K13946" s="36">
        <v>45225</v>
      </c>
      <c r="L13946" s="36">
        <v>45227</v>
      </c>
      <c r="M13946" t="s">
        <v>612</v>
      </c>
      <c r="N13946" t="s">
        <v>599</v>
      </c>
      <c r="O13946" s="37" t="str">
        <f t="shared" si="1088"/>
        <v>Digital Payment</v>
      </c>
      <c r="P13946">
        <v>58.44</v>
      </c>
      <c r="Q13946" s="37" t="str">
        <f>IF(P13946&gt;500,"High","low")</f>
        <v>low</v>
      </c>
      <c r="R13946" s="37" t="str">
        <f t="shared" si="1089"/>
        <v>AVERAGE</v>
      </c>
      <c r="S13946" t="s">
        <v>615</v>
      </c>
    </row>
    <row r="13947" spans="1:19" x14ac:dyDescent="0.2">
      <c r="A13947" t="s">
        <v>14558</v>
      </c>
      <c r="B13947" t="s">
        <v>83</v>
      </c>
      <c r="C13947" t="s">
        <v>607</v>
      </c>
      <c r="D13947">
        <v>1181.1600000000001</v>
      </c>
      <c r="E13947" s="37" t="str">
        <f t="shared" si="1085"/>
        <v xml:space="preserve"> </v>
      </c>
      <c r="F13947">
        <v>0.33</v>
      </c>
      <c r="G13947" s="37" t="str">
        <f t="shared" si="1086"/>
        <v>Heavy Discount</v>
      </c>
      <c r="H13947" s="37" t="str">
        <f t="shared" si="1087"/>
        <v>Medium</v>
      </c>
      <c r="I13947">
        <v>7</v>
      </c>
      <c r="J13947" t="str" cm="1">
        <f t="array" ref="J13947">_xlfn.IFS(I13947&lt;=3,"small",I13947&lt;=6,"Medium",I13947&lt;=9,"Large")</f>
        <v>Large</v>
      </c>
      <c r="K13947" s="36">
        <v>44967</v>
      </c>
      <c r="L13947" s="36">
        <v>44972</v>
      </c>
      <c r="M13947" t="s">
        <v>612</v>
      </c>
      <c r="N13947" t="s">
        <v>608</v>
      </c>
      <c r="O13947" s="37" t="str">
        <f t="shared" si="1088"/>
        <v>Cash Payment</v>
      </c>
      <c r="P13947">
        <v>108.96</v>
      </c>
      <c r="Q13947" s="37" t="str">
        <f>IF(P13947&gt;500,"High","low")</f>
        <v>low</v>
      </c>
      <c r="R13947" s="37" t="str">
        <f t="shared" si="1089"/>
        <v>AVERAGE</v>
      </c>
      <c r="S13947" t="s">
        <v>600</v>
      </c>
    </row>
    <row r="13948" spans="1:19" x14ac:dyDescent="0.2">
      <c r="A13948" t="s">
        <v>14559</v>
      </c>
      <c r="B13948" t="s">
        <v>67</v>
      </c>
      <c r="C13948" t="s">
        <v>607</v>
      </c>
      <c r="D13948">
        <v>3655.39</v>
      </c>
      <c r="E13948" s="37" t="str">
        <f t="shared" si="1085"/>
        <v xml:space="preserve"> </v>
      </c>
      <c r="F13948">
        <v>0.3</v>
      </c>
      <c r="G13948" s="37" t="str">
        <f t="shared" si="1086"/>
        <v>Normal Discount</v>
      </c>
      <c r="H13948" s="37" t="str">
        <f t="shared" si="1087"/>
        <v>Medium</v>
      </c>
      <c r="I13948">
        <v>8</v>
      </c>
      <c r="J13948" t="str" cm="1">
        <f t="array" ref="J13948">_xlfn.IFS(I13948&lt;=3,"small",I13948&lt;=6,"Medium",I13948&lt;=9,"Large")</f>
        <v>Large</v>
      </c>
      <c r="K13948" s="36">
        <v>45654</v>
      </c>
      <c r="L13948" s="36">
        <v>45660</v>
      </c>
      <c r="M13948" t="s">
        <v>612</v>
      </c>
      <c r="N13948" t="s">
        <v>599</v>
      </c>
      <c r="O13948" s="37" t="str">
        <f t="shared" si="1088"/>
        <v>Digital Payment</v>
      </c>
      <c r="P13948">
        <v>510.87</v>
      </c>
      <c r="Q13948" s="37" t="str">
        <f>IF(P13948&gt;500,"High","low")</f>
        <v>High</v>
      </c>
      <c r="R13948" s="37" t="str">
        <f t="shared" si="1089"/>
        <v>Good</v>
      </c>
      <c r="S13948" t="s">
        <v>600</v>
      </c>
    </row>
    <row r="13949" spans="1:19" x14ac:dyDescent="0.2">
      <c r="A13949" t="s">
        <v>14560</v>
      </c>
      <c r="B13949" t="s">
        <v>75</v>
      </c>
      <c r="C13949" t="s">
        <v>597</v>
      </c>
      <c r="D13949">
        <v>242.06</v>
      </c>
      <c r="E13949" s="37" t="str">
        <f t="shared" si="1085"/>
        <v xml:space="preserve"> </v>
      </c>
      <c r="F13949">
        <v>0.49</v>
      </c>
      <c r="G13949" s="37" t="str">
        <f t="shared" si="1086"/>
        <v>Heavy Discount</v>
      </c>
      <c r="H13949" s="37" t="str">
        <f t="shared" si="1087"/>
        <v>High</v>
      </c>
      <c r="I13949">
        <v>3</v>
      </c>
      <c r="J13949" t="str" cm="1">
        <f t="array" ref="J13949">_xlfn.IFS(I13949&lt;=3,"small",I13949&lt;=6,"Medium",I13949&lt;=9,"Large")</f>
        <v>small</v>
      </c>
      <c r="K13949" s="36">
        <v>45271</v>
      </c>
      <c r="L13949" s="36">
        <v>45276</v>
      </c>
      <c r="M13949" t="s">
        <v>598</v>
      </c>
      <c r="N13949" t="s">
        <v>608</v>
      </c>
      <c r="O13949" s="37" t="str">
        <f t="shared" si="1088"/>
        <v>Cash Payment</v>
      </c>
      <c r="P13949">
        <v>22.05</v>
      </c>
      <c r="Q13949" s="37" t="str">
        <f>IF(P13949&gt;500,"High","low")</f>
        <v>low</v>
      </c>
      <c r="R13949" s="37" t="str">
        <f t="shared" si="1089"/>
        <v>AVERAGE</v>
      </c>
      <c r="S13949" t="s">
        <v>605</v>
      </c>
    </row>
    <row r="13950" spans="1:19" x14ac:dyDescent="0.2">
      <c r="A13950" t="s">
        <v>14561</v>
      </c>
      <c r="B13950" t="s">
        <v>83</v>
      </c>
      <c r="C13950" t="s">
        <v>617</v>
      </c>
      <c r="D13950">
        <v>3655.71</v>
      </c>
      <c r="E13950" s="37" t="str">
        <f t="shared" si="1085"/>
        <v xml:space="preserve"> </v>
      </c>
      <c r="F13950">
        <v>0.08</v>
      </c>
      <c r="G13950" s="37" t="str">
        <f t="shared" si="1086"/>
        <v>Normal Discount</v>
      </c>
      <c r="H13950" s="37" t="str">
        <f t="shared" si="1087"/>
        <v>Low</v>
      </c>
      <c r="I13950">
        <v>3</v>
      </c>
      <c r="J13950" t="str" cm="1">
        <f t="array" ref="J13950">_xlfn.IFS(I13950&lt;=3,"small",I13950&lt;=6,"Medium",I13950&lt;=9,"Large")</f>
        <v>small</v>
      </c>
      <c r="K13950" s="36">
        <v>45624</v>
      </c>
      <c r="L13950" s="36">
        <v>45629</v>
      </c>
      <c r="M13950" t="s">
        <v>603</v>
      </c>
      <c r="N13950" t="s">
        <v>608</v>
      </c>
      <c r="O13950" s="37" t="str">
        <f t="shared" si="1088"/>
        <v>Cash Payment</v>
      </c>
      <c r="P13950">
        <v>401.78</v>
      </c>
      <c r="Q13950" s="37" t="str">
        <f>IF(P13950&gt;500,"High","low")</f>
        <v>low</v>
      </c>
      <c r="R13950" s="37" t="str">
        <f t="shared" si="1089"/>
        <v>AVERAGE</v>
      </c>
      <c r="S13950" t="s">
        <v>605</v>
      </c>
    </row>
    <row r="13951" spans="1:19" x14ac:dyDescent="0.2">
      <c r="A13951" t="s">
        <v>14562</v>
      </c>
      <c r="B13951" t="s">
        <v>67</v>
      </c>
      <c r="C13951" t="s">
        <v>602</v>
      </c>
      <c r="D13951">
        <v>4566.18</v>
      </c>
      <c r="E13951" s="37" t="str">
        <f t="shared" si="1085"/>
        <v>Excellent Order</v>
      </c>
      <c r="F13951">
        <v>0.42</v>
      </c>
      <c r="G13951" s="37" t="str">
        <f t="shared" si="1086"/>
        <v>Heavy Discount</v>
      </c>
      <c r="H13951" s="37" t="str">
        <f t="shared" si="1087"/>
        <v>High</v>
      </c>
      <c r="I13951">
        <v>1</v>
      </c>
      <c r="J13951" t="str" cm="1">
        <f t="array" ref="J13951">_xlfn.IFS(I13951&lt;=3,"small",I13951&lt;=6,"Medium",I13951&lt;=9,"Large")</f>
        <v>small</v>
      </c>
      <c r="K13951" s="36">
        <v>45324</v>
      </c>
      <c r="L13951" s="36">
        <v>45328</v>
      </c>
      <c r="M13951" t="s">
        <v>603</v>
      </c>
      <c r="N13951" t="s">
        <v>604</v>
      </c>
      <c r="O13951" s="37" t="str">
        <f t="shared" si="1088"/>
        <v>Digital Payment</v>
      </c>
      <c r="P13951">
        <v>1355.34</v>
      </c>
      <c r="Q13951" s="37" t="str">
        <f>IF(P13951&gt;500,"High","low")</f>
        <v>High</v>
      </c>
      <c r="R13951" s="37" t="str">
        <f t="shared" si="1089"/>
        <v>Excellent</v>
      </c>
      <c r="S13951" t="s">
        <v>628</v>
      </c>
    </row>
    <row r="13952" spans="1:19" x14ac:dyDescent="0.2">
      <c r="A13952" t="s">
        <v>14563</v>
      </c>
      <c r="B13952" t="s">
        <v>90</v>
      </c>
      <c r="C13952" t="s">
        <v>617</v>
      </c>
      <c r="D13952">
        <v>376.27</v>
      </c>
      <c r="E13952" s="37" t="str">
        <f t="shared" si="1085"/>
        <v xml:space="preserve"> </v>
      </c>
      <c r="F13952">
        <v>0.02</v>
      </c>
      <c r="G13952" s="37" t="str">
        <f t="shared" si="1086"/>
        <v>Normal Discount</v>
      </c>
      <c r="H13952" s="37" t="str">
        <f t="shared" si="1087"/>
        <v>Low</v>
      </c>
      <c r="I13952">
        <v>5</v>
      </c>
      <c r="J13952" t="str" cm="1">
        <f t="array" ref="J13952">_xlfn.IFS(I13952&lt;=3,"small",I13952&lt;=6,"Medium",I13952&lt;=9,"Large")</f>
        <v>Medium</v>
      </c>
      <c r="K13952" s="36">
        <v>44967</v>
      </c>
      <c r="L13952" s="36">
        <v>44969</v>
      </c>
      <c r="M13952" t="s">
        <v>612</v>
      </c>
      <c r="N13952" t="s">
        <v>604</v>
      </c>
      <c r="O13952" s="37" t="str">
        <f t="shared" si="1088"/>
        <v>Digital Payment</v>
      </c>
      <c r="P13952">
        <v>98.27</v>
      </c>
      <c r="Q13952" s="37" t="str">
        <f>IF(P13952&gt;500,"High","low")</f>
        <v>low</v>
      </c>
      <c r="R13952" s="37" t="str">
        <f t="shared" si="1089"/>
        <v>AVERAGE</v>
      </c>
      <c r="S13952" t="s">
        <v>609</v>
      </c>
    </row>
    <row r="13953" spans="1:19" x14ac:dyDescent="0.2">
      <c r="A13953" t="s">
        <v>14564</v>
      </c>
      <c r="B13953" t="s">
        <v>75</v>
      </c>
      <c r="C13953" t="s">
        <v>617</v>
      </c>
      <c r="D13953">
        <v>1013.46</v>
      </c>
      <c r="E13953" s="37" t="str">
        <f t="shared" si="1085"/>
        <v xml:space="preserve"> </v>
      </c>
      <c r="F13953">
        <v>0.04</v>
      </c>
      <c r="G13953" s="37" t="str">
        <f t="shared" si="1086"/>
        <v>Normal Discount</v>
      </c>
      <c r="H13953" s="37" t="str">
        <f t="shared" si="1087"/>
        <v>Low</v>
      </c>
      <c r="I13953">
        <v>8</v>
      </c>
      <c r="J13953" t="str" cm="1">
        <f t="array" ref="J13953">_xlfn.IFS(I13953&lt;=3,"small",I13953&lt;=6,"Medium",I13953&lt;=9,"Large")</f>
        <v>Large</v>
      </c>
      <c r="K13953" s="36">
        <v>45377</v>
      </c>
      <c r="L13953" s="36">
        <v>45382</v>
      </c>
      <c r="M13953" t="s">
        <v>598</v>
      </c>
      <c r="N13953" t="s">
        <v>608</v>
      </c>
      <c r="O13953" s="37" t="str">
        <f t="shared" si="1088"/>
        <v>Cash Payment</v>
      </c>
      <c r="P13953">
        <v>61.13</v>
      </c>
      <c r="Q13953" s="37" t="str">
        <f>IF(P13953&gt;500,"High","low")</f>
        <v>low</v>
      </c>
      <c r="R13953" s="37" t="str">
        <f t="shared" si="1089"/>
        <v>AVERAGE</v>
      </c>
      <c r="S13953" t="s">
        <v>615</v>
      </c>
    </row>
    <row r="13954" spans="1:19" x14ac:dyDescent="0.2">
      <c r="A13954" t="s">
        <v>14565</v>
      </c>
      <c r="B13954" t="s">
        <v>90</v>
      </c>
      <c r="C13954" t="s">
        <v>614</v>
      </c>
      <c r="D13954">
        <v>111.66</v>
      </c>
      <c r="E13954" s="37" t="str">
        <f t="shared" si="1085"/>
        <v xml:space="preserve"> </v>
      </c>
      <c r="F13954">
        <v>0.32</v>
      </c>
      <c r="G13954" s="37" t="str">
        <f t="shared" si="1086"/>
        <v>Heavy Discount</v>
      </c>
      <c r="H13954" s="37" t="str">
        <f t="shared" si="1087"/>
        <v>Medium</v>
      </c>
      <c r="I13954">
        <v>1</v>
      </c>
      <c r="J13954" t="str" cm="1">
        <f t="array" ref="J13954">_xlfn.IFS(I13954&lt;=3,"small",I13954&lt;=6,"Medium",I13954&lt;=9,"Large")</f>
        <v>small</v>
      </c>
      <c r="K13954" s="36">
        <v>45364</v>
      </c>
      <c r="L13954" s="36">
        <v>45370</v>
      </c>
      <c r="M13954" t="s">
        <v>612</v>
      </c>
      <c r="N13954" t="s">
        <v>608</v>
      </c>
      <c r="O13954" s="37" t="str">
        <f t="shared" si="1088"/>
        <v>Cash Payment</v>
      </c>
      <c r="P13954">
        <v>14.48</v>
      </c>
      <c r="Q13954" s="37" t="str">
        <f>IF(P13954&gt;500,"High","low")</f>
        <v>low</v>
      </c>
      <c r="R13954" s="37" t="str">
        <f t="shared" si="1089"/>
        <v>AVERAGE</v>
      </c>
      <c r="S13954" t="s">
        <v>615</v>
      </c>
    </row>
    <row r="13955" spans="1:19" x14ac:dyDescent="0.2">
      <c r="A13955" t="s">
        <v>14566</v>
      </c>
      <c r="B13955" t="s">
        <v>83</v>
      </c>
      <c r="C13955" t="s">
        <v>614</v>
      </c>
      <c r="D13955">
        <v>634.25</v>
      </c>
      <c r="E13955" s="37" t="str">
        <f t="shared" ref="E13955:E14018" si="1090">IF(AND(D13955&gt;4000,P13955&gt;800),"Excellent Order"," ")</f>
        <v xml:space="preserve"> </v>
      </c>
      <c r="F13955">
        <v>0.2</v>
      </c>
      <c r="G13955" s="37" t="str">
        <f t="shared" ref="G13955:G14018" si="1091">IF(F13955&gt;30%,"Heavy Discount","Normal Discount")</f>
        <v>Normal Discount</v>
      </c>
      <c r="H13955" s="37" t="str">
        <f t="shared" ref="H13955:H14018" si="1092">IF(F13955&gt;0.4,"High",IF(F13955&gt;=0.2,"Medium","Low"))</f>
        <v>Medium</v>
      </c>
      <c r="I13955">
        <v>2</v>
      </c>
      <c r="J13955" t="str" cm="1">
        <f t="array" ref="J13955">_xlfn.IFS(I13955&lt;=3,"small",I13955&lt;=6,"Medium",I13955&lt;=9,"Large")</f>
        <v>small</v>
      </c>
      <c r="K13955" s="36">
        <v>45484</v>
      </c>
      <c r="L13955" s="36">
        <v>45487</v>
      </c>
      <c r="M13955" t="s">
        <v>603</v>
      </c>
      <c r="N13955" t="s">
        <v>604</v>
      </c>
      <c r="O13955" s="37" t="str">
        <f t="shared" ref="O13955:O14018" si="1093">IF(OR(N13955="Card",N13955="UPI"),"Digital Payment","Cash Payment")</f>
        <v>Digital Payment</v>
      </c>
      <c r="P13955">
        <v>57.91</v>
      </c>
      <c r="Q13955" s="37" t="str">
        <f>IF(P13955&gt;500,"High","low")</f>
        <v>low</v>
      </c>
      <c r="R13955" s="37" t="str">
        <f t="shared" ref="R13955:R14018" si="1094">IF(P13955&gt;1000,"Excellent",IF(P13955&gt;=500,"Good","AVERAGE"))</f>
        <v>AVERAGE</v>
      </c>
      <c r="S13955" t="s">
        <v>609</v>
      </c>
    </row>
    <row r="13956" spans="1:19" x14ac:dyDescent="0.2">
      <c r="A13956" t="s">
        <v>14567</v>
      </c>
      <c r="B13956" t="s">
        <v>75</v>
      </c>
      <c r="C13956" t="s">
        <v>602</v>
      </c>
      <c r="D13956">
        <v>3123.26</v>
      </c>
      <c r="E13956" s="37" t="str">
        <f t="shared" si="1090"/>
        <v xml:space="preserve"> </v>
      </c>
      <c r="F13956">
        <v>0.12</v>
      </c>
      <c r="G13956" s="37" t="str">
        <f t="shared" si="1091"/>
        <v>Normal Discount</v>
      </c>
      <c r="H13956" s="37" t="str">
        <f t="shared" si="1092"/>
        <v>Low</v>
      </c>
      <c r="I13956">
        <v>2</v>
      </c>
      <c r="J13956" t="str" cm="1">
        <f t="array" ref="J13956">_xlfn.IFS(I13956&lt;=3,"small",I13956&lt;=6,"Medium",I13956&lt;=9,"Large")</f>
        <v>small</v>
      </c>
      <c r="K13956" s="36">
        <v>45131</v>
      </c>
      <c r="L13956" s="36">
        <v>45135</v>
      </c>
      <c r="M13956" t="s">
        <v>598</v>
      </c>
      <c r="N13956" t="s">
        <v>608</v>
      </c>
      <c r="O13956" s="37" t="str">
        <f t="shared" si="1093"/>
        <v>Cash Payment</v>
      </c>
      <c r="P13956">
        <v>297.8</v>
      </c>
      <c r="Q13956" s="37" t="str">
        <f>IF(P13956&gt;500,"High","low")</f>
        <v>low</v>
      </c>
      <c r="R13956" s="37" t="str">
        <f t="shared" si="1094"/>
        <v>AVERAGE</v>
      </c>
      <c r="S13956" t="s">
        <v>605</v>
      </c>
    </row>
    <row r="13957" spans="1:19" x14ac:dyDescent="0.2">
      <c r="A13957" t="s">
        <v>14568</v>
      </c>
      <c r="B13957" t="s">
        <v>67</v>
      </c>
      <c r="C13957" t="s">
        <v>597</v>
      </c>
      <c r="D13957">
        <v>319.61</v>
      </c>
      <c r="E13957" s="37" t="str">
        <f t="shared" si="1090"/>
        <v xml:space="preserve"> </v>
      </c>
      <c r="F13957">
        <v>0</v>
      </c>
      <c r="G13957" s="37" t="str">
        <f t="shared" si="1091"/>
        <v>Normal Discount</v>
      </c>
      <c r="H13957" s="37" t="str">
        <f t="shared" si="1092"/>
        <v>Low</v>
      </c>
      <c r="I13957">
        <v>2</v>
      </c>
      <c r="J13957" t="str" cm="1">
        <f t="array" ref="J13957">_xlfn.IFS(I13957&lt;=3,"small",I13957&lt;=6,"Medium",I13957&lt;=9,"Large")</f>
        <v>small</v>
      </c>
      <c r="K13957" s="36">
        <v>45434</v>
      </c>
      <c r="L13957" s="36">
        <v>45436</v>
      </c>
      <c r="M13957" t="s">
        <v>612</v>
      </c>
      <c r="N13957" t="s">
        <v>608</v>
      </c>
      <c r="O13957" s="37" t="str">
        <f t="shared" si="1093"/>
        <v>Cash Payment</v>
      </c>
      <c r="P13957">
        <v>29</v>
      </c>
      <c r="Q13957" s="37" t="str">
        <f>IF(P13957&gt;500,"High","low")</f>
        <v>low</v>
      </c>
      <c r="R13957" s="37" t="str">
        <f t="shared" si="1094"/>
        <v>AVERAGE</v>
      </c>
      <c r="S13957" t="s">
        <v>620</v>
      </c>
    </row>
    <row r="13958" spans="1:19" x14ac:dyDescent="0.2">
      <c r="A13958" t="s">
        <v>14569</v>
      </c>
      <c r="B13958" t="s">
        <v>83</v>
      </c>
      <c r="C13958" t="s">
        <v>614</v>
      </c>
      <c r="D13958">
        <v>2186.59</v>
      </c>
      <c r="E13958" s="37" t="str">
        <f t="shared" si="1090"/>
        <v xml:space="preserve"> </v>
      </c>
      <c r="F13958">
        <v>0.33</v>
      </c>
      <c r="G13958" s="37" t="str">
        <f t="shared" si="1091"/>
        <v>Heavy Discount</v>
      </c>
      <c r="H13958" s="37" t="str">
        <f t="shared" si="1092"/>
        <v>Medium</v>
      </c>
      <c r="I13958">
        <v>5</v>
      </c>
      <c r="J13958" t="str" cm="1">
        <f t="array" ref="J13958">_xlfn.IFS(I13958&lt;=3,"small",I13958&lt;=6,"Medium",I13958&lt;=9,"Large")</f>
        <v>Medium</v>
      </c>
      <c r="K13958" s="36">
        <v>45644</v>
      </c>
      <c r="L13958" s="36">
        <v>45646</v>
      </c>
      <c r="M13958" t="s">
        <v>612</v>
      </c>
      <c r="N13958" t="s">
        <v>599</v>
      </c>
      <c r="O13958" s="37" t="str">
        <f t="shared" si="1093"/>
        <v>Digital Payment</v>
      </c>
      <c r="P13958">
        <v>418.67</v>
      </c>
      <c r="Q13958" s="37" t="str">
        <f>IF(P13958&gt;500,"High","low")</f>
        <v>low</v>
      </c>
      <c r="R13958" s="37" t="str">
        <f t="shared" si="1094"/>
        <v>AVERAGE</v>
      </c>
      <c r="S13958" t="s">
        <v>609</v>
      </c>
    </row>
    <row r="13959" spans="1:19" x14ac:dyDescent="0.2">
      <c r="A13959" t="s">
        <v>14570</v>
      </c>
      <c r="B13959" t="s">
        <v>67</v>
      </c>
      <c r="C13959" t="s">
        <v>607</v>
      </c>
      <c r="D13959">
        <v>2566.67</v>
      </c>
      <c r="E13959" s="37" t="str">
        <f t="shared" si="1090"/>
        <v xml:space="preserve"> </v>
      </c>
      <c r="F13959">
        <v>0.22</v>
      </c>
      <c r="G13959" s="37" t="str">
        <f t="shared" si="1091"/>
        <v>Normal Discount</v>
      </c>
      <c r="H13959" s="37" t="str">
        <f t="shared" si="1092"/>
        <v>Medium</v>
      </c>
      <c r="I13959">
        <v>7</v>
      </c>
      <c r="J13959" t="str" cm="1">
        <f t="array" ref="J13959">_xlfn.IFS(I13959&lt;=3,"small",I13959&lt;=6,"Medium",I13959&lt;=9,"Large")</f>
        <v>Large</v>
      </c>
      <c r="K13959" s="36">
        <v>45336</v>
      </c>
      <c r="L13959" s="36">
        <v>45343</v>
      </c>
      <c r="M13959" t="s">
        <v>598</v>
      </c>
      <c r="N13959" t="s">
        <v>604</v>
      </c>
      <c r="O13959" s="37" t="str">
        <f t="shared" si="1093"/>
        <v>Digital Payment</v>
      </c>
      <c r="P13959">
        <v>240.76</v>
      </c>
      <c r="Q13959" s="37" t="str">
        <f>IF(P13959&gt;500,"High","low")</f>
        <v>low</v>
      </c>
      <c r="R13959" s="37" t="str">
        <f t="shared" si="1094"/>
        <v>AVERAGE</v>
      </c>
      <c r="S13959" t="s">
        <v>605</v>
      </c>
    </row>
    <row r="13960" spans="1:19" x14ac:dyDescent="0.2">
      <c r="A13960" t="s">
        <v>14571</v>
      </c>
      <c r="B13960" t="s">
        <v>75</v>
      </c>
      <c r="C13960" t="s">
        <v>602</v>
      </c>
      <c r="D13960">
        <v>4542.4799999999996</v>
      </c>
      <c r="E13960" s="37" t="str">
        <f t="shared" si="1090"/>
        <v>Excellent Order</v>
      </c>
      <c r="F13960">
        <v>0.09</v>
      </c>
      <c r="G13960" s="37" t="str">
        <f t="shared" si="1091"/>
        <v>Normal Discount</v>
      </c>
      <c r="H13960" s="37" t="str">
        <f t="shared" si="1092"/>
        <v>Low</v>
      </c>
      <c r="I13960">
        <v>3</v>
      </c>
      <c r="J13960" t="str" cm="1">
        <f t="array" ref="J13960">_xlfn.IFS(I13960&lt;=3,"small",I13960&lt;=6,"Medium",I13960&lt;=9,"Large")</f>
        <v>small</v>
      </c>
      <c r="K13960" s="36">
        <v>45112</v>
      </c>
      <c r="L13960" s="36">
        <v>45113</v>
      </c>
      <c r="M13960" t="s">
        <v>598</v>
      </c>
      <c r="N13960" t="s">
        <v>604</v>
      </c>
      <c r="O13960" s="37" t="str">
        <f t="shared" si="1093"/>
        <v>Digital Payment</v>
      </c>
      <c r="P13960">
        <v>1358.4</v>
      </c>
      <c r="Q13960" s="37" t="str">
        <f>IF(P13960&gt;500,"High","low")</f>
        <v>High</v>
      </c>
      <c r="R13960" s="37" t="str">
        <f t="shared" si="1094"/>
        <v>Excellent</v>
      </c>
      <c r="S13960" t="s">
        <v>605</v>
      </c>
    </row>
    <row r="13961" spans="1:19" x14ac:dyDescent="0.2">
      <c r="A13961" t="s">
        <v>14572</v>
      </c>
      <c r="B13961" t="s">
        <v>90</v>
      </c>
      <c r="C13961" t="s">
        <v>617</v>
      </c>
      <c r="D13961">
        <v>2424.02</v>
      </c>
      <c r="E13961" s="37" t="str">
        <f t="shared" si="1090"/>
        <v xml:space="preserve"> </v>
      </c>
      <c r="F13961">
        <v>0.49</v>
      </c>
      <c r="G13961" s="37" t="str">
        <f t="shared" si="1091"/>
        <v>Heavy Discount</v>
      </c>
      <c r="H13961" s="37" t="str">
        <f t="shared" si="1092"/>
        <v>High</v>
      </c>
      <c r="I13961">
        <v>1</v>
      </c>
      <c r="J13961" t="str" cm="1">
        <f t="array" ref="J13961">_xlfn.IFS(I13961&lt;=3,"small",I13961&lt;=6,"Medium",I13961&lt;=9,"Large")</f>
        <v>small</v>
      </c>
      <c r="K13961" s="36">
        <v>45057</v>
      </c>
      <c r="L13961" s="36">
        <v>45059</v>
      </c>
      <c r="M13961" t="s">
        <v>598</v>
      </c>
      <c r="N13961" t="s">
        <v>604</v>
      </c>
      <c r="O13961" s="37" t="str">
        <f t="shared" si="1093"/>
        <v>Digital Payment</v>
      </c>
      <c r="P13961">
        <v>236.63</v>
      </c>
      <c r="Q13961" s="37" t="str">
        <f>IF(P13961&gt;500,"High","low")</f>
        <v>low</v>
      </c>
      <c r="R13961" s="37" t="str">
        <f t="shared" si="1094"/>
        <v>AVERAGE</v>
      </c>
      <c r="S13961" t="s">
        <v>628</v>
      </c>
    </row>
    <row r="13962" spans="1:19" x14ac:dyDescent="0.2">
      <c r="A13962" t="s">
        <v>14573</v>
      </c>
      <c r="B13962" t="s">
        <v>83</v>
      </c>
      <c r="C13962" t="s">
        <v>602</v>
      </c>
      <c r="D13962">
        <v>798.47</v>
      </c>
      <c r="E13962" s="37" t="str">
        <f t="shared" si="1090"/>
        <v xml:space="preserve"> </v>
      </c>
      <c r="F13962">
        <v>0.18</v>
      </c>
      <c r="G13962" s="37" t="str">
        <f t="shared" si="1091"/>
        <v>Normal Discount</v>
      </c>
      <c r="H13962" s="37" t="str">
        <f t="shared" si="1092"/>
        <v>Low</v>
      </c>
      <c r="I13962">
        <v>9</v>
      </c>
      <c r="J13962" t="str" cm="1">
        <f t="array" ref="J13962">_xlfn.IFS(I13962&lt;=3,"small",I13962&lt;=6,"Medium",I13962&lt;=9,"Large")</f>
        <v>Large</v>
      </c>
      <c r="K13962" s="36">
        <v>45536</v>
      </c>
      <c r="L13962" s="36">
        <v>45541</v>
      </c>
      <c r="M13962" t="s">
        <v>603</v>
      </c>
      <c r="N13962" t="s">
        <v>599</v>
      </c>
      <c r="O13962" s="37" t="str">
        <f t="shared" si="1093"/>
        <v>Digital Payment</v>
      </c>
      <c r="P13962">
        <v>213.52</v>
      </c>
      <c r="Q13962" s="37" t="str">
        <f>IF(P13962&gt;500,"High","low")</f>
        <v>low</v>
      </c>
      <c r="R13962" s="37" t="str">
        <f t="shared" si="1094"/>
        <v>AVERAGE</v>
      </c>
      <c r="S13962" t="s">
        <v>628</v>
      </c>
    </row>
    <row r="13963" spans="1:19" x14ac:dyDescent="0.2">
      <c r="A13963" t="s">
        <v>14574</v>
      </c>
      <c r="B13963" t="s">
        <v>83</v>
      </c>
      <c r="C13963" t="s">
        <v>614</v>
      </c>
      <c r="D13963">
        <v>1517.53</v>
      </c>
      <c r="E13963" s="37" t="str">
        <f t="shared" si="1090"/>
        <v xml:space="preserve"> </v>
      </c>
      <c r="F13963">
        <v>0.15</v>
      </c>
      <c r="G13963" s="37" t="str">
        <f t="shared" si="1091"/>
        <v>Normal Discount</v>
      </c>
      <c r="H13963" s="37" t="str">
        <f t="shared" si="1092"/>
        <v>Low</v>
      </c>
      <c r="I13963">
        <v>9</v>
      </c>
      <c r="J13963" t="str" cm="1">
        <f t="array" ref="J13963">_xlfn.IFS(I13963&lt;=3,"small",I13963&lt;=6,"Medium",I13963&lt;=9,"Large")</f>
        <v>Large</v>
      </c>
      <c r="K13963" s="36">
        <v>45205</v>
      </c>
      <c r="L13963" s="36">
        <v>45206</v>
      </c>
      <c r="M13963" t="s">
        <v>612</v>
      </c>
      <c r="N13963" t="s">
        <v>604</v>
      </c>
      <c r="O13963" s="37" t="str">
        <f t="shared" si="1093"/>
        <v>Digital Payment</v>
      </c>
      <c r="P13963">
        <v>375.94</v>
      </c>
      <c r="Q13963" s="37" t="str">
        <f>IF(P13963&gt;500,"High","low")</f>
        <v>low</v>
      </c>
      <c r="R13963" s="37" t="str">
        <f t="shared" si="1094"/>
        <v>AVERAGE</v>
      </c>
      <c r="S13963" t="s">
        <v>628</v>
      </c>
    </row>
    <row r="13964" spans="1:19" x14ac:dyDescent="0.2">
      <c r="A13964" t="s">
        <v>14575</v>
      </c>
      <c r="B13964" t="s">
        <v>67</v>
      </c>
      <c r="C13964" t="s">
        <v>597</v>
      </c>
      <c r="D13964">
        <v>3393.76</v>
      </c>
      <c r="E13964" s="37" t="str">
        <f t="shared" si="1090"/>
        <v xml:space="preserve"> </v>
      </c>
      <c r="F13964">
        <v>0.26</v>
      </c>
      <c r="G13964" s="37" t="str">
        <f t="shared" si="1091"/>
        <v>Normal Discount</v>
      </c>
      <c r="H13964" s="37" t="str">
        <f t="shared" si="1092"/>
        <v>Medium</v>
      </c>
      <c r="I13964">
        <v>4</v>
      </c>
      <c r="J13964" t="str" cm="1">
        <f t="array" ref="J13964">_xlfn.IFS(I13964&lt;=3,"small",I13964&lt;=6,"Medium",I13964&lt;=9,"Large")</f>
        <v>Medium</v>
      </c>
      <c r="K13964" s="36">
        <v>45628</v>
      </c>
      <c r="L13964" s="36">
        <v>45630</v>
      </c>
      <c r="M13964" t="s">
        <v>598</v>
      </c>
      <c r="N13964" t="s">
        <v>604</v>
      </c>
      <c r="O13964" s="37" t="str">
        <f t="shared" si="1093"/>
        <v>Digital Payment</v>
      </c>
      <c r="P13964">
        <v>983.14</v>
      </c>
      <c r="Q13964" s="37" t="str">
        <f>IF(P13964&gt;500,"High","low")</f>
        <v>High</v>
      </c>
      <c r="R13964" s="37" t="str">
        <f t="shared" si="1094"/>
        <v>Good</v>
      </c>
      <c r="S13964" t="s">
        <v>609</v>
      </c>
    </row>
    <row r="13965" spans="1:19" x14ac:dyDescent="0.2">
      <c r="A13965" t="s">
        <v>14576</v>
      </c>
      <c r="B13965" t="s">
        <v>75</v>
      </c>
      <c r="C13965" t="s">
        <v>617</v>
      </c>
      <c r="D13965">
        <v>649.37</v>
      </c>
      <c r="E13965" s="37" t="str">
        <f t="shared" si="1090"/>
        <v xml:space="preserve"> </v>
      </c>
      <c r="F13965">
        <v>0.14000000000000001</v>
      </c>
      <c r="G13965" s="37" t="str">
        <f t="shared" si="1091"/>
        <v>Normal Discount</v>
      </c>
      <c r="H13965" s="37" t="str">
        <f t="shared" si="1092"/>
        <v>Low</v>
      </c>
      <c r="I13965">
        <v>5</v>
      </c>
      <c r="J13965" t="str" cm="1">
        <f t="array" ref="J13965">_xlfn.IFS(I13965&lt;=3,"small",I13965&lt;=6,"Medium",I13965&lt;=9,"Large")</f>
        <v>Medium</v>
      </c>
      <c r="K13965" s="36">
        <v>44930</v>
      </c>
      <c r="L13965" s="36">
        <v>44934</v>
      </c>
      <c r="M13965" t="s">
        <v>603</v>
      </c>
      <c r="N13965" t="s">
        <v>604</v>
      </c>
      <c r="O13965" s="37" t="str">
        <f t="shared" si="1093"/>
        <v>Digital Payment</v>
      </c>
      <c r="P13965">
        <v>185.03</v>
      </c>
      <c r="Q13965" s="37" t="str">
        <f>IF(P13965&gt;500,"High","low")</f>
        <v>low</v>
      </c>
      <c r="R13965" s="37" t="str">
        <f t="shared" si="1094"/>
        <v>AVERAGE</v>
      </c>
      <c r="S13965" t="s">
        <v>609</v>
      </c>
    </row>
    <row r="13966" spans="1:19" x14ac:dyDescent="0.2">
      <c r="A13966" t="s">
        <v>14577</v>
      </c>
      <c r="B13966" t="s">
        <v>67</v>
      </c>
      <c r="C13966" t="s">
        <v>597</v>
      </c>
      <c r="D13966">
        <v>1235.54</v>
      </c>
      <c r="E13966" s="37" t="str">
        <f t="shared" si="1090"/>
        <v xml:space="preserve"> </v>
      </c>
      <c r="F13966">
        <v>0.14000000000000001</v>
      </c>
      <c r="G13966" s="37" t="str">
        <f t="shared" si="1091"/>
        <v>Normal Discount</v>
      </c>
      <c r="H13966" s="37" t="str">
        <f t="shared" si="1092"/>
        <v>Low</v>
      </c>
      <c r="I13966">
        <v>4</v>
      </c>
      <c r="J13966" t="str" cm="1">
        <f t="array" ref="J13966">_xlfn.IFS(I13966&lt;=3,"small",I13966&lt;=6,"Medium",I13966&lt;=9,"Large")</f>
        <v>Medium</v>
      </c>
      <c r="K13966" s="36">
        <v>44965</v>
      </c>
      <c r="L13966" s="36">
        <v>44967</v>
      </c>
      <c r="M13966" t="s">
        <v>598</v>
      </c>
      <c r="N13966" t="s">
        <v>608</v>
      </c>
      <c r="O13966" s="37" t="str">
        <f t="shared" si="1093"/>
        <v>Cash Payment</v>
      </c>
      <c r="P13966">
        <v>222.09</v>
      </c>
      <c r="Q13966" s="37" t="str">
        <f>IF(P13966&gt;500,"High","low")</f>
        <v>low</v>
      </c>
      <c r="R13966" s="37" t="str">
        <f t="shared" si="1094"/>
        <v>AVERAGE</v>
      </c>
      <c r="S13966" t="s">
        <v>600</v>
      </c>
    </row>
    <row r="13967" spans="1:19" x14ac:dyDescent="0.2">
      <c r="A13967" t="s">
        <v>14578</v>
      </c>
      <c r="B13967" t="s">
        <v>75</v>
      </c>
      <c r="C13967" t="s">
        <v>602</v>
      </c>
      <c r="D13967">
        <v>4979.3100000000004</v>
      </c>
      <c r="E13967" s="37" t="str">
        <f t="shared" si="1090"/>
        <v>Excellent Order</v>
      </c>
      <c r="F13967">
        <v>0.48</v>
      </c>
      <c r="G13967" s="37" t="str">
        <f t="shared" si="1091"/>
        <v>Heavy Discount</v>
      </c>
      <c r="H13967" s="37" t="str">
        <f t="shared" si="1092"/>
        <v>High</v>
      </c>
      <c r="I13967">
        <v>8</v>
      </c>
      <c r="J13967" t="str" cm="1">
        <f t="array" ref="J13967">_xlfn.IFS(I13967&lt;=3,"small",I13967&lt;=6,"Medium",I13967&lt;=9,"Large")</f>
        <v>Large</v>
      </c>
      <c r="K13967" s="36">
        <v>45551</v>
      </c>
      <c r="L13967" s="36">
        <v>45557</v>
      </c>
      <c r="M13967" t="s">
        <v>603</v>
      </c>
      <c r="N13967" t="s">
        <v>599</v>
      </c>
      <c r="O13967" s="37" t="str">
        <f t="shared" si="1093"/>
        <v>Digital Payment</v>
      </c>
      <c r="P13967">
        <v>1486.66</v>
      </c>
      <c r="Q13967" s="37" t="str">
        <f>IF(P13967&gt;500,"High","low")</f>
        <v>High</v>
      </c>
      <c r="R13967" s="37" t="str">
        <f t="shared" si="1094"/>
        <v>Excellent</v>
      </c>
      <c r="S13967" t="s">
        <v>620</v>
      </c>
    </row>
    <row r="13968" spans="1:19" x14ac:dyDescent="0.2">
      <c r="A13968" t="s">
        <v>14579</v>
      </c>
      <c r="B13968" t="s">
        <v>83</v>
      </c>
      <c r="C13968" t="s">
        <v>597</v>
      </c>
      <c r="D13968">
        <v>127.12</v>
      </c>
      <c r="E13968" s="37" t="str">
        <f t="shared" si="1090"/>
        <v xml:space="preserve"> </v>
      </c>
      <c r="F13968">
        <v>0.13</v>
      </c>
      <c r="G13968" s="37" t="str">
        <f t="shared" si="1091"/>
        <v>Normal Discount</v>
      </c>
      <c r="H13968" s="37" t="str">
        <f t="shared" si="1092"/>
        <v>Low</v>
      </c>
      <c r="I13968">
        <v>1</v>
      </c>
      <c r="J13968" t="str" cm="1">
        <f t="array" ref="J13968">_xlfn.IFS(I13968&lt;=3,"small",I13968&lt;=6,"Medium",I13968&lt;=9,"Large")</f>
        <v>small</v>
      </c>
      <c r="K13968" s="36">
        <v>45384</v>
      </c>
      <c r="L13968" s="36">
        <v>45390</v>
      </c>
      <c r="M13968" t="s">
        <v>603</v>
      </c>
      <c r="N13968" t="s">
        <v>608</v>
      </c>
      <c r="O13968" s="37" t="str">
        <f t="shared" si="1093"/>
        <v>Cash Payment</v>
      </c>
      <c r="P13968">
        <v>35.200000000000003</v>
      </c>
      <c r="Q13968" s="37" t="str">
        <f>IF(P13968&gt;500,"High","low")</f>
        <v>low</v>
      </c>
      <c r="R13968" s="37" t="str">
        <f t="shared" si="1094"/>
        <v>AVERAGE</v>
      </c>
      <c r="S13968" t="s">
        <v>600</v>
      </c>
    </row>
    <row r="13969" spans="1:19" x14ac:dyDescent="0.2">
      <c r="A13969" t="s">
        <v>14580</v>
      </c>
      <c r="B13969" t="s">
        <v>75</v>
      </c>
      <c r="C13969" t="s">
        <v>597</v>
      </c>
      <c r="D13969">
        <v>845.7</v>
      </c>
      <c r="E13969" s="37" t="str">
        <f t="shared" si="1090"/>
        <v xml:space="preserve"> </v>
      </c>
      <c r="F13969">
        <v>0.3</v>
      </c>
      <c r="G13969" s="37" t="str">
        <f t="shared" si="1091"/>
        <v>Normal Discount</v>
      </c>
      <c r="H13969" s="37" t="str">
        <f t="shared" si="1092"/>
        <v>Medium</v>
      </c>
      <c r="I13969">
        <v>4</v>
      </c>
      <c r="J13969" t="str" cm="1">
        <f t="array" ref="J13969">_xlfn.IFS(I13969&lt;=3,"small",I13969&lt;=6,"Medium",I13969&lt;=9,"Large")</f>
        <v>Medium</v>
      </c>
      <c r="K13969" s="36">
        <v>45472</v>
      </c>
      <c r="L13969" s="36">
        <v>45479</v>
      </c>
      <c r="M13969" t="s">
        <v>598</v>
      </c>
      <c r="N13969" t="s">
        <v>604</v>
      </c>
      <c r="O13969" s="37" t="str">
        <f t="shared" si="1093"/>
        <v>Digital Payment</v>
      </c>
      <c r="P13969">
        <v>143.91</v>
      </c>
      <c r="Q13969" s="37" t="str">
        <f>IF(P13969&gt;500,"High","low")</f>
        <v>low</v>
      </c>
      <c r="R13969" s="37" t="str">
        <f t="shared" si="1094"/>
        <v>AVERAGE</v>
      </c>
      <c r="S13969" t="s">
        <v>628</v>
      </c>
    </row>
    <row r="13970" spans="1:19" x14ac:dyDescent="0.2">
      <c r="A13970" t="s">
        <v>14581</v>
      </c>
      <c r="B13970" t="s">
        <v>83</v>
      </c>
      <c r="C13970" t="s">
        <v>602</v>
      </c>
      <c r="D13970">
        <v>4234.0600000000004</v>
      </c>
      <c r="E13970" s="37" t="str">
        <f t="shared" si="1090"/>
        <v xml:space="preserve"> </v>
      </c>
      <c r="F13970">
        <v>0.02</v>
      </c>
      <c r="G13970" s="37" t="str">
        <f t="shared" si="1091"/>
        <v>Normal Discount</v>
      </c>
      <c r="H13970" s="37" t="str">
        <f t="shared" si="1092"/>
        <v>Low</v>
      </c>
      <c r="I13970">
        <v>4</v>
      </c>
      <c r="J13970" t="str" cm="1">
        <f t="array" ref="J13970">_xlfn.IFS(I13970&lt;=3,"small",I13970&lt;=6,"Medium",I13970&lt;=9,"Large")</f>
        <v>Medium</v>
      </c>
      <c r="K13970" s="36">
        <v>45142</v>
      </c>
      <c r="L13970" s="36">
        <v>45146</v>
      </c>
      <c r="M13970" t="s">
        <v>598</v>
      </c>
      <c r="N13970" t="s">
        <v>599</v>
      </c>
      <c r="O13970" s="37" t="str">
        <f t="shared" si="1093"/>
        <v>Digital Payment</v>
      </c>
      <c r="P13970">
        <v>712.49</v>
      </c>
      <c r="Q13970" s="37" t="str">
        <f>IF(P13970&gt;500,"High","low")</f>
        <v>High</v>
      </c>
      <c r="R13970" s="37" t="str">
        <f t="shared" si="1094"/>
        <v>Good</v>
      </c>
      <c r="S13970" t="s">
        <v>609</v>
      </c>
    </row>
    <row r="13971" spans="1:19" x14ac:dyDescent="0.2">
      <c r="A13971" t="s">
        <v>14582</v>
      </c>
      <c r="B13971" t="s">
        <v>75</v>
      </c>
      <c r="C13971" t="s">
        <v>617</v>
      </c>
      <c r="D13971">
        <v>596.77</v>
      </c>
      <c r="E13971" s="37" t="str">
        <f t="shared" si="1090"/>
        <v xml:space="preserve"> </v>
      </c>
      <c r="F13971">
        <v>0.08</v>
      </c>
      <c r="G13971" s="37" t="str">
        <f t="shared" si="1091"/>
        <v>Normal Discount</v>
      </c>
      <c r="H13971" s="37" t="str">
        <f t="shared" si="1092"/>
        <v>Low</v>
      </c>
      <c r="I13971">
        <v>3</v>
      </c>
      <c r="J13971" t="str" cm="1">
        <f t="array" ref="J13971">_xlfn.IFS(I13971&lt;=3,"small",I13971&lt;=6,"Medium",I13971&lt;=9,"Large")</f>
        <v>small</v>
      </c>
      <c r="K13971" s="36">
        <v>45046</v>
      </c>
      <c r="L13971" s="36">
        <v>45048</v>
      </c>
      <c r="M13971" t="s">
        <v>603</v>
      </c>
      <c r="N13971" t="s">
        <v>608</v>
      </c>
      <c r="O13971" s="37" t="str">
        <f t="shared" si="1093"/>
        <v>Cash Payment</v>
      </c>
      <c r="P13971">
        <v>138.49</v>
      </c>
      <c r="Q13971" s="37" t="str">
        <f>IF(P13971&gt;500,"High","low")</f>
        <v>low</v>
      </c>
      <c r="R13971" s="37" t="str">
        <f t="shared" si="1094"/>
        <v>AVERAGE</v>
      </c>
      <c r="S13971" t="s">
        <v>628</v>
      </c>
    </row>
    <row r="13972" spans="1:19" x14ac:dyDescent="0.2">
      <c r="A13972" t="s">
        <v>14583</v>
      </c>
      <c r="B13972" t="s">
        <v>90</v>
      </c>
      <c r="C13972" t="s">
        <v>597</v>
      </c>
      <c r="D13972">
        <v>264.83999999999997</v>
      </c>
      <c r="E13972" s="37" t="str">
        <f t="shared" si="1090"/>
        <v xml:space="preserve"> </v>
      </c>
      <c r="F13972">
        <v>0.01</v>
      </c>
      <c r="G13972" s="37" t="str">
        <f t="shared" si="1091"/>
        <v>Normal Discount</v>
      </c>
      <c r="H13972" s="37" t="str">
        <f t="shared" si="1092"/>
        <v>Low</v>
      </c>
      <c r="I13972">
        <v>4</v>
      </c>
      <c r="J13972" t="str" cm="1">
        <f t="array" ref="J13972">_xlfn.IFS(I13972&lt;=3,"small",I13972&lt;=6,"Medium",I13972&lt;=9,"Large")</f>
        <v>Medium</v>
      </c>
      <c r="K13972" s="36">
        <v>45207</v>
      </c>
      <c r="L13972" s="36">
        <v>45214</v>
      </c>
      <c r="M13972" t="s">
        <v>603</v>
      </c>
      <c r="N13972" t="s">
        <v>599</v>
      </c>
      <c r="O13972" s="37" t="str">
        <f t="shared" si="1093"/>
        <v>Digital Payment</v>
      </c>
      <c r="P13972">
        <v>46.63</v>
      </c>
      <c r="Q13972" s="37" t="str">
        <f>IF(P13972&gt;500,"High","low")</f>
        <v>low</v>
      </c>
      <c r="R13972" s="37" t="str">
        <f t="shared" si="1094"/>
        <v>AVERAGE</v>
      </c>
      <c r="S13972" t="s">
        <v>609</v>
      </c>
    </row>
    <row r="13973" spans="1:19" x14ac:dyDescent="0.2">
      <c r="A13973" t="s">
        <v>14584</v>
      </c>
      <c r="B13973" t="s">
        <v>75</v>
      </c>
      <c r="C13973" t="s">
        <v>597</v>
      </c>
      <c r="D13973">
        <v>694.43</v>
      </c>
      <c r="E13973" s="37" t="str">
        <f t="shared" si="1090"/>
        <v xml:space="preserve"> </v>
      </c>
      <c r="F13973">
        <v>0.27</v>
      </c>
      <c r="G13973" s="37" t="str">
        <f t="shared" si="1091"/>
        <v>Normal Discount</v>
      </c>
      <c r="H13973" s="37" t="str">
        <f t="shared" si="1092"/>
        <v>Medium</v>
      </c>
      <c r="I13973">
        <v>7</v>
      </c>
      <c r="J13973" t="str" cm="1">
        <f t="array" ref="J13973">_xlfn.IFS(I13973&lt;=3,"small",I13973&lt;=6,"Medium",I13973&lt;=9,"Large")</f>
        <v>Large</v>
      </c>
      <c r="K13973" s="36">
        <v>45197</v>
      </c>
      <c r="L13973" s="36">
        <v>45199</v>
      </c>
      <c r="M13973" t="s">
        <v>598</v>
      </c>
      <c r="N13973" t="s">
        <v>604</v>
      </c>
      <c r="O13973" s="37" t="str">
        <f t="shared" si="1093"/>
        <v>Digital Payment</v>
      </c>
      <c r="P13973">
        <v>191.04</v>
      </c>
      <c r="Q13973" s="37" t="str">
        <f>IF(P13973&gt;500,"High","low")</f>
        <v>low</v>
      </c>
      <c r="R13973" s="37" t="str">
        <f t="shared" si="1094"/>
        <v>AVERAGE</v>
      </c>
      <c r="S13973" t="s">
        <v>600</v>
      </c>
    </row>
    <row r="13974" spans="1:19" x14ac:dyDescent="0.2">
      <c r="A13974" t="s">
        <v>14585</v>
      </c>
      <c r="B13974" t="s">
        <v>90</v>
      </c>
      <c r="C13974" t="s">
        <v>602</v>
      </c>
      <c r="D13974">
        <v>3498.63</v>
      </c>
      <c r="E13974" s="37" t="str">
        <f t="shared" si="1090"/>
        <v xml:space="preserve"> </v>
      </c>
      <c r="F13974">
        <v>0.25</v>
      </c>
      <c r="G13974" s="37" t="str">
        <f t="shared" si="1091"/>
        <v>Normal Discount</v>
      </c>
      <c r="H13974" s="37" t="str">
        <f t="shared" si="1092"/>
        <v>Medium</v>
      </c>
      <c r="I13974">
        <v>5</v>
      </c>
      <c r="J13974" t="str" cm="1">
        <f t="array" ref="J13974">_xlfn.IFS(I13974&lt;=3,"small",I13974&lt;=6,"Medium",I13974&lt;=9,"Large")</f>
        <v>Medium</v>
      </c>
      <c r="K13974" s="36">
        <v>45055</v>
      </c>
      <c r="L13974" s="36">
        <v>45060</v>
      </c>
      <c r="M13974" t="s">
        <v>603</v>
      </c>
      <c r="N13974" t="s">
        <v>599</v>
      </c>
      <c r="O13974" s="37" t="str">
        <f t="shared" si="1093"/>
        <v>Digital Payment</v>
      </c>
      <c r="P13974">
        <v>268.91000000000003</v>
      </c>
      <c r="Q13974" s="37" t="str">
        <f>IF(P13974&gt;500,"High","low")</f>
        <v>low</v>
      </c>
      <c r="R13974" s="37" t="str">
        <f t="shared" si="1094"/>
        <v>AVERAGE</v>
      </c>
      <c r="S13974" t="s">
        <v>620</v>
      </c>
    </row>
    <row r="13975" spans="1:19" x14ac:dyDescent="0.2">
      <c r="A13975" t="s">
        <v>14586</v>
      </c>
      <c r="B13975" t="s">
        <v>75</v>
      </c>
      <c r="C13975" t="s">
        <v>607</v>
      </c>
      <c r="D13975">
        <v>4966.24</v>
      </c>
      <c r="E13975" s="37" t="str">
        <f t="shared" si="1090"/>
        <v>Excellent Order</v>
      </c>
      <c r="F13975">
        <v>0.17</v>
      </c>
      <c r="G13975" s="37" t="str">
        <f t="shared" si="1091"/>
        <v>Normal Discount</v>
      </c>
      <c r="H13975" s="37" t="str">
        <f t="shared" si="1092"/>
        <v>Low</v>
      </c>
      <c r="I13975">
        <v>3</v>
      </c>
      <c r="J13975" t="str" cm="1">
        <f t="array" ref="J13975">_xlfn.IFS(I13975&lt;=3,"small",I13975&lt;=6,"Medium",I13975&lt;=9,"Large")</f>
        <v>small</v>
      </c>
      <c r="K13975" s="36">
        <v>45302</v>
      </c>
      <c r="L13975" s="36">
        <v>45304</v>
      </c>
      <c r="M13975" t="s">
        <v>612</v>
      </c>
      <c r="N13975" t="s">
        <v>604</v>
      </c>
      <c r="O13975" s="37" t="str">
        <f t="shared" si="1093"/>
        <v>Digital Payment</v>
      </c>
      <c r="P13975">
        <v>1428.56</v>
      </c>
      <c r="Q13975" s="37" t="str">
        <f>IF(P13975&gt;500,"High","low")</f>
        <v>High</v>
      </c>
      <c r="R13975" s="37" t="str">
        <f t="shared" si="1094"/>
        <v>Excellent</v>
      </c>
      <c r="S13975" t="s">
        <v>620</v>
      </c>
    </row>
    <row r="13976" spans="1:19" x14ac:dyDescent="0.2">
      <c r="A13976" t="s">
        <v>14587</v>
      </c>
      <c r="B13976" t="s">
        <v>75</v>
      </c>
      <c r="C13976" t="s">
        <v>597</v>
      </c>
      <c r="D13976">
        <v>2994.11</v>
      </c>
      <c r="E13976" s="37" t="str">
        <f t="shared" si="1090"/>
        <v xml:space="preserve"> </v>
      </c>
      <c r="F13976">
        <v>0.35</v>
      </c>
      <c r="G13976" s="37" t="str">
        <f t="shared" si="1091"/>
        <v>Heavy Discount</v>
      </c>
      <c r="H13976" s="37" t="str">
        <f t="shared" si="1092"/>
        <v>Medium</v>
      </c>
      <c r="I13976">
        <v>6</v>
      </c>
      <c r="J13976" t="str" cm="1">
        <f t="array" ref="J13976">_xlfn.IFS(I13976&lt;=3,"small",I13976&lt;=6,"Medium",I13976&lt;=9,"Large")</f>
        <v>Medium</v>
      </c>
      <c r="K13976" s="36">
        <v>45241</v>
      </c>
      <c r="L13976" s="36">
        <v>45246</v>
      </c>
      <c r="M13976" t="s">
        <v>603</v>
      </c>
      <c r="N13976" t="s">
        <v>599</v>
      </c>
      <c r="O13976" s="37" t="str">
        <f t="shared" si="1093"/>
        <v>Digital Payment</v>
      </c>
      <c r="P13976">
        <v>886.4</v>
      </c>
      <c r="Q13976" s="37" t="str">
        <f>IF(P13976&gt;500,"High","low")</f>
        <v>High</v>
      </c>
      <c r="R13976" s="37" t="str">
        <f t="shared" si="1094"/>
        <v>Good</v>
      </c>
      <c r="S13976" t="s">
        <v>620</v>
      </c>
    </row>
    <row r="13977" spans="1:19" x14ac:dyDescent="0.2">
      <c r="A13977" t="s">
        <v>14588</v>
      </c>
      <c r="B13977" t="s">
        <v>67</v>
      </c>
      <c r="C13977" t="s">
        <v>614</v>
      </c>
      <c r="D13977">
        <v>709.15</v>
      </c>
      <c r="E13977" s="37" t="str">
        <f t="shared" si="1090"/>
        <v xml:space="preserve"> </v>
      </c>
      <c r="F13977">
        <v>0.31</v>
      </c>
      <c r="G13977" s="37" t="str">
        <f t="shared" si="1091"/>
        <v>Heavy Discount</v>
      </c>
      <c r="H13977" s="37" t="str">
        <f t="shared" si="1092"/>
        <v>Medium</v>
      </c>
      <c r="I13977">
        <v>9</v>
      </c>
      <c r="J13977" t="str" cm="1">
        <f t="array" ref="J13977">_xlfn.IFS(I13977&lt;=3,"small",I13977&lt;=6,"Medium",I13977&lt;=9,"Large")</f>
        <v>Large</v>
      </c>
      <c r="K13977" s="36">
        <v>45068</v>
      </c>
      <c r="L13977" s="36">
        <v>45075</v>
      </c>
      <c r="M13977" t="s">
        <v>612</v>
      </c>
      <c r="N13977" t="s">
        <v>604</v>
      </c>
      <c r="O13977" s="37" t="str">
        <f t="shared" si="1093"/>
        <v>Digital Payment</v>
      </c>
      <c r="P13977">
        <v>211.31</v>
      </c>
      <c r="Q13977" s="37" t="str">
        <f>IF(P13977&gt;500,"High","low")</f>
        <v>low</v>
      </c>
      <c r="R13977" s="37" t="str">
        <f t="shared" si="1094"/>
        <v>AVERAGE</v>
      </c>
      <c r="S13977" t="s">
        <v>600</v>
      </c>
    </row>
    <row r="13978" spans="1:19" x14ac:dyDescent="0.2">
      <c r="A13978" t="s">
        <v>14589</v>
      </c>
      <c r="B13978" t="s">
        <v>67</v>
      </c>
      <c r="C13978" t="s">
        <v>617</v>
      </c>
      <c r="D13978">
        <v>1000.52</v>
      </c>
      <c r="E13978" s="37" t="str">
        <f t="shared" si="1090"/>
        <v xml:space="preserve"> </v>
      </c>
      <c r="F13978">
        <v>0.3</v>
      </c>
      <c r="G13978" s="37" t="str">
        <f t="shared" si="1091"/>
        <v>Normal Discount</v>
      </c>
      <c r="H13978" s="37" t="str">
        <f t="shared" si="1092"/>
        <v>Medium</v>
      </c>
      <c r="I13978">
        <v>3</v>
      </c>
      <c r="J13978" t="str" cm="1">
        <f t="array" ref="J13978">_xlfn.IFS(I13978&lt;=3,"small",I13978&lt;=6,"Medium",I13978&lt;=9,"Large")</f>
        <v>small</v>
      </c>
      <c r="K13978" s="36">
        <v>45031</v>
      </c>
      <c r="L13978" s="36">
        <v>45032</v>
      </c>
      <c r="M13978" t="s">
        <v>603</v>
      </c>
      <c r="N13978" t="s">
        <v>604</v>
      </c>
      <c r="O13978" s="37" t="str">
        <f t="shared" si="1093"/>
        <v>Digital Payment</v>
      </c>
      <c r="P13978">
        <v>219.68</v>
      </c>
      <c r="Q13978" s="37" t="str">
        <f>IF(P13978&gt;500,"High","low")</f>
        <v>low</v>
      </c>
      <c r="R13978" s="37" t="str">
        <f t="shared" si="1094"/>
        <v>AVERAGE</v>
      </c>
      <c r="S13978" t="s">
        <v>600</v>
      </c>
    </row>
    <row r="13979" spans="1:19" x14ac:dyDescent="0.2">
      <c r="A13979" t="s">
        <v>14590</v>
      </c>
      <c r="B13979" t="s">
        <v>83</v>
      </c>
      <c r="C13979" t="s">
        <v>597</v>
      </c>
      <c r="D13979">
        <v>2734.64</v>
      </c>
      <c r="E13979" s="37" t="str">
        <f t="shared" si="1090"/>
        <v xml:space="preserve"> </v>
      </c>
      <c r="F13979">
        <v>0.17</v>
      </c>
      <c r="G13979" s="37" t="str">
        <f t="shared" si="1091"/>
        <v>Normal Discount</v>
      </c>
      <c r="H13979" s="37" t="str">
        <f t="shared" si="1092"/>
        <v>Low</v>
      </c>
      <c r="I13979">
        <v>2</v>
      </c>
      <c r="J13979" t="str" cm="1">
        <f t="array" ref="J13979">_xlfn.IFS(I13979&lt;=3,"small",I13979&lt;=6,"Medium",I13979&lt;=9,"Large")</f>
        <v>small</v>
      </c>
      <c r="K13979" s="36">
        <v>45654</v>
      </c>
      <c r="L13979" s="36">
        <v>45661</v>
      </c>
      <c r="M13979" t="s">
        <v>612</v>
      </c>
      <c r="N13979" t="s">
        <v>599</v>
      </c>
      <c r="O13979" s="37" t="str">
        <f t="shared" si="1093"/>
        <v>Digital Payment</v>
      </c>
      <c r="P13979">
        <v>152.24</v>
      </c>
      <c r="Q13979" s="37" t="str">
        <f>IF(P13979&gt;500,"High","low")</f>
        <v>low</v>
      </c>
      <c r="R13979" s="37" t="str">
        <f t="shared" si="1094"/>
        <v>AVERAGE</v>
      </c>
      <c r="S13979" t="s">
        <v>609</v>
      </c>
    </row>
    <row r="13980" spans="1:19" x14ac:dyDescent="0.2">
      <c r="A13980" t="s">
        <v>14591</v>
      </c>
      <c r="B13980" t="s">
        <v>67</v>
      </c>
      <c r="C13980" t="s">
        <v>602</v>
      </c>
      <c r="D13980">
        <v>3606.73</v>
      </c>
      <c r="E13980" s="37" t="str">
        <f t="shared" si="1090"/>
        <v xml:space="preserve"> </v>
      </c>
      <c r="F13980">
        <v>0.16</v>
      </c>
      <c r="G13980" s="37" t="str">
        <f t="shared" si="1091"/>
        <v>Normal Discount</v>
      </c>
      <c r="H13980" s="37" t="str">
        <f t="shared" si="1092"/>
        <v>Low</v>
      </c>
      <c r="I13980">
        <v>9</v>
      </c>
      <c r="J13980" t="str" cm="1">
        <f t="array" ref="J13980">_xlfn.IFS(I13980&lt;=3,"small",I13980&lt;=6,"Medium",I13980&lt;=9,"Large")</f>
        <v>Large</v>
      </c>
      <c r="K13980" s="36">
        <v>45430</v>
      </c>
      <c r="L13980" s="36">
        <v>45432</v>
      </c>
      <c r="M13980" t="s">
        <v>612</v>
      </c>
      <c r="N13980" t="s">
        <v>608</v>
      </c>
      <c r="O13980" s="37" t="str">
        <f t="shared" si="1093"/>
        <v>Cash Payment</v>
      </c>
      <c r="P13980">
        <v>896.77</v>
      </c>
      <c r="Q13980" s="37" t="str">
        <f>IF(P13980&gt;500,"High","low")</f>
        <v>High</v>
      </c>
      <c r="R13980" s="37" t="str">
        <f t="shared" si="1094"/>
        <v>Good</v>
      </c>
      <c r="S13980" t="s">
        <v>628</v>
      </c>
    </row>
    <row r="13981" spans="1:19" x14ac:dyDescent="0.2">
      <c r="A13981" t="s">
        <v>14592</v>
      </c>
      <c r="B13981" t="s">
        <v>75</v>
      </c>
      <c r="C13981" t="s">
        <v>614</v>
      </c>
      <c r="D13981">
        <v>3348.27</v>
      </c>
      <c r="E13981" s="37" t="str">
        <f t="shared" si="1090"/>
        <v xml:space="preserve"> </v>
      </c>
      <c r="F13981">
        <v>0.44</v>
      </c>
      <c r="G13981" s="37" t="str">
        <f t="shared" si="1091"/>
        <v>Heavy Discount</v>
      </c>
      <c r="H13981" s="37" t="str">
        <f t="shared" si="1092"/>
        <v>High</v>
      </c>
      <c r="I13981">
        <v>5</v>
      </c>
      <c r="J13981" t="str" cm="1">
        <f t="array" ref="J13981">_xlfn.IFS(I13981&lt;=3,"small",I13981&lt;=6,"Medium",I13981&lt;=9,"Large")</f>
        <v>Medium</v>
      </c>
      <c r="K13981" s="36">
        <v>44979</v>
      </c>
      <c r="L13981" s="36">
        <v>44985</v>
      </c>
      <c r="M13981" t="s">
        <v>603</v>
      </c>
      <c r="N13981" t="s">
        <v>604</v>
      </c>
      <c r="O13981" s="37" t="str">
        <f t="shared" si="1093"/>
        <v>Digital Payment</v>
      </c>
      <c r="P13981">
        <v>802.31</v>
      </c>
      <c r="Q13981" s="37" t="str">
        <f>IF(P13981&gt;500,"High","low")</f>
        <v>High</v>
      </c>
      <c r="R13981" s="37" t="str">
        <f t="shared" si="1094"/>
        <v>Good</v>
      </c>
      <c r="S13981" t="s">
        <v>600</v>
      </c>
    </row>
    <row r="13982" spans="1:19" x14ac:dyDescent="0.2">
      <c r="A13982" t="s">
        <v>14593</v>
      </c>
      <c r="B13982" t="s">
        <v>67</v>
      </c>
      <c r="C13982" t="s">
        <v>602</v>
      </c>
      <c r="D13982">
        <v>2916.16</v>
      </c>
      <c r="E13982" s="37" t="str">
        <f t="shared" si="1090"/>
        <v xml:space="preserve"> </v>
      </c>
      <c r="F13982">
        <v>0.27</v>
      </c>
      <c r="G13982" s="37" t="str">
        <f t="shared" si="1091"/>
        <v>Normal Discount</v>
      </c>
      <c r="H13982" s="37" t="str">
        <f t="shared" si="1092"/>
        <v>Medium</v>
      </c>
      <c r="I13982">
        <v>5</v>
      </c>
      <c r="J13982" t="str" cm="1">
        <f t="array" ref="J13982">_xlfn.IFS(I13982&lt;=3,"small",I13982&lt;=6,"Medium",I13982&lt;=9,"Large")</f>
        <v>Medium</v>
      </c>
      <c r="K13982" s="36">
        <v>45170</v>
      </c>
      <c r="L13982" s="36">
        <v>45175</v>
      </c>
      <c r="M13982" t="s">
        <v>612</v>
      </c>
      <c r="N13982" t="s">
        <v>604</v>
      </c>
      <c r="O13982" s="37" t="str">
        <f t="shared" si="1093"/>
        <v>Digital Payment</v>
      </c>
      <c r="P13982">
        <v>260.25</v>
      </c>
      <c r="Q13982" s="37" t="str">
        <f>IF(P13982&gt;500,"High","low")</f>
        <v>low</v>
      </c>
      <c r="R13982" s="37" t="str">
        <f t="shared" si="1094"/>
        <v>AVERAGE</v>
      </c>
      <c r="S13982" t="s">
        <v>628</v>
      </c>
    </row>
    <row r="13983" spans="1:19" x14ac:dyDescent="0.2">
      <c r="A13983" t="s">
        <v>14594</v>
      </c>
      <c r="B13983" t="s">
        <v>75</v>
      </c>
      <c r="C13983" t="s">
        <v>597</v>
      </c>
      <c r="D13983">
        <v>4932.72</v>
      </c>
      <c r="E13983" s="37" t="str">
        <f t="shared" si="1090"/>
        <v xml:space="preserve"> </v>
      </c>
      <c r="F13983">
        <v>0.14000000000000001</v>
      </c>
      <c r="G13983" s="37" t="str">
        <f t="shared" si="1091"/>
        <v>Normal Discount</v>
      </c>
      <c r="H13983" s="37" t="str">
        <f t="shared" si="1092"/>
        <v>Low</v>
      </c>
      <c r="I13983">
        <v>7</v>
      </c>
      <c r="J13983" t="str" cm="1">
        <f t="array" ref="J13983">_xlfn.IFS(I13983&lt;=3,"small",I13983&lt;=6,"Medium",I13983&lt;=9,"Large")</f>
        <v>Large</v>
      </c>
      <c r="K13983" s="36">
        <v>45320</v>
      </c>
      <c r="L13983" s="36">
        <v>45324</v>
      </c>
      <c r="M13983" t="s">
        <v>603</v>
      </c>
      <c r="N13983" t="s">
        <v>604</v>
      </c>
      <c r="O13983" s="37" t="str">
        <f t="shared" si="1093"/>
        <v>Digital Payment</v>
      </c>
      <c r="P13983">
        <v>597.16</v>
      </c>
      <c r="Q13983" s="37" t="str">
        <f>IF(P13983&gt;500,"High","low")</f>
        <v>High</v>
      </c>
      <c r="R13983" s="37" t="str">
        <f t="shared" si="1094"/>
        <v>Good</v>
      </c>
      <c r="S13983" t="s">
        <v>628</v>
      </c>
    </row>
    <row r="13984" spans="1:19" x14ac:dyDescent="0.2">
      <c r="A13984" t="s">
        <v>14595</v>
      </c>
      <c r="B13984" t="s">
        <v>90</v>
      </c>
      <c r="C13984" t="s">
        <v>614</v>
      </c>
      <c r="D13984">
        <v>1070.3699999999999</v>
      </c>
      <c r="E13984" s="37" t="str">
        <f t="shared" si="1090"/>
        <v xml:space="preserve"> </v>
      </c>
      <c r="F13984">
        <v>0.27</v>
      </c>
      <c r="G13984" s="37" t="str">
        <f t="shared" si="1091"/>
        <v>Normal Discount</v>
      </c>
      <c r="H13984" s="37" t="str">
        <f t="shared" si="1092"/>
        <v>Medium</v>
      </c>
      <c r="I13984">
        <v>2</v>
      </c>
      <c r="J13984" t="str" cm="1">
        <f t="array" ref="J13984">_xlfn.IFS(I13984&lt;=3,"small",I13984&lt;=6,"Medium",I13984&lt;=9,"Large")</f>
        <v>small</v>
      </c>
      <c r="K13984" s="36">
        <v>45544</v>
      </c>
      <c r="L13984" s="36">
        <v>45545</v>
      </c>
      <c r="M13984" t="s">
        <v>598</v>
      </c>
      <c r="N13984" t="s">
        <v>608</v>
      </c>
      <c r="O13984" s="37" t="str">
        <f t="shared" si="1093"/>
        <v>Cash Payment</v>
      </c>
      <c r="P13984">
        <v>107.86</v>
      </c>
      <c r="Q13984" s="37" t="str">
        <f>IF(P13984&gt;500,"High","low")</f>
        <v>low</v>
      </c>
      <c r="R13984" s="37" t="str">
        <f t="shared" si="1094"/>
        <v>AVERAGE</v>
      </c>
      <c r="S13984" t="s">
        <v>628</v>
      </c>
    </row>
    <row r="13985" spans="1:19" x14ac:dyDescent="0.2">
      <c r="A13985" t="s">
        <v>14596</v>
      </c>
      <c r="B13985" t="s">
        <v>75</v>
      </c>
      <c r="C13985" t="s">
        <v>617</v>
      </c>
      <c r="D13985">
        <v>947.23</v>
      </c>
      <c r="E13985" s="37" t="str">
        <f t="shared" si="1090"/>
        <v xml:space="preserve"> </v>
      </c>
      <c r="F13985">
        <v>0.13</v>
      </c>
      <c r="G13985" s="37" t="str">
        <f t="shared" si="1091"/>
        <v>Normal Discount</v>
      </c>
      <c r="H13985" s="37" t="str">
        <f t="shared" si="1092"/>
        <v>Low</v>
      </c>
      <c r="I13985">
        <v>5</v>
      </c>
      <c r="J13985" t="str" cm="1">
        <f t="array" ref="J13985">_xlfn.IFS(I13985&lt;=3,"small",I13985&lt;=6,"Medium",I13985&lt;=9,"Large")</f>
        <v>Medium</v>
      </c>
      <c r="K13985" s="36">
        <v>45097</v>
      </c>
      <c r="L13985" s="36">
        <v>45098</v>
      </c>
      <c r="M13985" t="s">
        <v>603</v>
      </c>
      <c r="N13985" t="s">
        <v>604</v>
      </c>
      <c r="O13985" s="37" t="str">
        <f t="shared" si="1093"/>
        <v>Digital Payment</v>
      </c>
      <c r="P13985">
        <v>265.08</v>
      </c>
      <c r="Q13985" s="37" t="str">
        <f>IF(P13985&gt;500,"High","low")</f>
        <v>low</v>
      </c>
      <c r="R13985" s="37" t="str">
        <f t="shared" si="1094"/>
        <v>AVERAGE</v>
      </c>
      <c r="S13985" t="s">
        <v>605</v>
      </c>
    </row>
    <row r="13986" spans="1:19" x14ac:dyDescent="0.2">
      <c r="A13986" t="s">
        <v>14597</v>
      </c>
      <c r="B13986" t="s">
        <v>83</v>
      </c>
      <c r="C13986" t="s">
        <v>617</v>
      </c>
      <c r="D13986">
        <v>4309.3999999999996</v>
      </c>
      <c r="E13986" s="37" t="str">
        <f t="shared" si="1090"/>
        <v xml:space="preserve"> </v>
      </c>
      <c r="F13986">
        <v>0.09</v>
      </c>
      <c r="G13986" s="37" t="str">
        <f t="shared" si="1091"/>
        <v>Normal Discount</v>
      </c>
      <c r="H13986" s="37" t="str">
        <f t="shared" si="1092"/>
        <v>Low</v>
      </c>
      <c r="I13986">
        <v>8</v>
      </c>
      <c r="J13986" t="str" cm="1">
        <f t="array" ref="J13986">_xlfn.IFS(I13986&lt;=3,"small",I13986&lt;=6,"Medium",I13986&lt;=9,"Large")</f>
        <v>Large</v>
      </c>
      <c r="K13986" s="36">
        <v>45072</v>
      </c>
      <c r="L13986" s="36">
        <v>45076</v>
      </c>
      <c r="M13986" t="s">
        <v>603</v>
      </c>
      <c r="N13986" t="s">
        <v>608</v>
      </c>
      <c r="O13986" s="37" t="str">
        <f t="shared" si="1093"/>
        <v>Cash Payment</v>
      </c>
      <c r="P13986">
        <v>589.12</v>
      </c>
      <c r="Q13986" s="37" t="str">
        <f>IF(P13986&gt;500,"High","low")</f>
        <v>High</v>
      </c>
      <c r="R13986" s="37" t="str">
        <f t="shared" si="1094"/>
        <v>Good</v>
      </c>
      <c r="S13986" t="s">
        <v>628</v>
      </c>
    </row>
    <row r="13987" spans="1:19" x14ac:dyDescent="0.2">
      <c r="A13987" t="s">
        <v>14598</v>
      </c>
      <c r="B13987" t="s">
        <v>90</v>
      </c>
      <c r="C13987" t="s">
        <v>617</v>
      </c>
      <c r="D13987">
        <v>1525.03</v>
      </c>
      <c r="E13987" s="37" t="str">
        <f t="shared" si="1090"/>
        <v xml:space="preserve"> </v>
      </c>
      <c r="F13987">
        <v>0.14000000000000001</v>
      </c>
      <c r="G13987" s="37" t="str">
        <f t="shared" si="1091"/>
        <v>Normal Discount</v>
      </c>
      <c r="H13987" s="37" t="str">
        <f t="shared" si="1092"/>
        <v>Low</v>
      </c>
      <c r="I13987">
        <v>8</v>
      </c>
      <c r="J13987" t="str" cm="1">
        <f t="array" ref="J13987">_xlfn.IFS(I13987&lt;=3,"small",I13987&lt;=6,"Medium",I13987&lt;=9,"Large")</f>
        <v>Large</v>
      </c>
      <c r="K13987" s="36">
        <v>45505</v>
      </c>
      <c r="L13987" s="36">
        <v>45506</v>
      </c>
      <c r="M13987" t="s">
        <v>598</v>
      </c>
      <c r="N13987" t="s">
        <v>604</v>
      </c>
      <c r="O13987" s="37" t="str">
        <f t="shared" si="1093"/>
        <v>Digital Payment</v>
      </c>
      <c r="P13987">
        <v>437.09</v>
      </c>
      <c r="Q13987" s="37" t="str">
        <f>IF(P13987&gt;500,"High","low")</f>
        <v>low</v>
      </c>
      <c r="R13987" s="37" t="str">
        <f t="shared" si="1094"/>
        <v>AVERAGE</v>
      </c>
      <c r="S13987" t="s">
        <v>615</v>
      </c>
    </row>
    <row r="13988" spans="1:19" x14ac:dyDescent="0.2">
      <c r="A13988" t="s">
        <v>14599</v>
      </c>
      <c r="B13988" t="s">
        <v>83</v>
      </c>
      <c r="C13988" t="s">
        <v>607</v>
      </c>
      <c r="D13988">
        <v>1729.38</v>
      </c>
      <c r="E13988" s="37" t="str">
        <f t="shared" si="1090"/>
        <v xml:space="preserve"> </v>
      </c>
      <c r="F13988">
        <v>0.31</v>
      </c>
      <c r="G13988" s="37" t="str">
        <f t="shared" si="1091"/>
        <v>Heavy Discount</v>
      </c>
      <c r="H13988" s="37" t="str">
        <f t="shared" si="1092"/>
        <v>Medium</v>
      </c>
      <c r="I13988">
        <v>7</v>
      </c>
      <c r="J13988" t="str" cm="1">
        <f t="array" ref="J13988">_xlfn.IFS(I13988&lt;=3,"small",I13988&lt;=6,"Medium",I13988&lt;=9,"Large")</f>
        <v>Large</v>
      </c>
      <c r="K13988" s="36">
        <v>45241</v>
      </c>
      <c r="L13988" s="36">
        <v>45245</v>
      </c>
      <c r="M13988" t="s">
        <v>612</v>
      </c>
      <c r="N13988" t="s">
        <v>599</v>
      </c>
      <c r="O13988" s="37" t="str">
        <f t="shared" si="1093"/>
        <v>Digital Payment</v>
      </c>
      <c r="P13988">
        <v>245.33</v>
      </c>
      <c r="Q13988" s="37" t="str">
        <f>IF(P13988&gt;500,"High","low")</f>
        <v>low</v>
      </c>
      <c r="R13988" s="37" t="str">
        <f t="shared" si="1094"/>
        <v>AVERAGE</v>
      </c>
      <c r="S13988" t="s">
        <v>615</v>
      </c>
    </row>
    <row r="13989" spans="1:19" x14ac:dyDescent="0.2">
      <c r="A13989" t="s">
        <v>14600</v>
      </c>
      <c r="B13989" t="s">
        <v>83</v>
      </c>
      <c r="C13989" t="s">
        <v>602</v>
      </c>
      <c r="D13989">
        <v>2788.47</v>
      </c>
      <c r="E13989" s="37" t="str">
        <f t="shared" si="1090"/>
        <v xml:space="preserve"> </v>
      </c>
      <c r="F13989">
        <v>0.26</v>
      </c>
      <c r="G13989" s="37" t="str">
        <f t="shared" si="1091"/>
        <v>Normal Discount</v>
      </c>
      <c r="H13989" s="37" t="str">
        <f t="shared" si="1092"/>
        <v>Medium</v>
      </c>
      <c r="I13989">
        <v>5</v>
      </c>
      <c r="J13989" t="str" cm="1">
        <f t="array" ref="J13989">_xlfn.IFS(I13989&lt;=3,"small",I13989&lt;=6,"Medium",I13989&lt;=9,"Large")</f>
        <v>Medium</v>
      </c>
      <c r="K13989" s="36">
        <v>45258</v>
      </c>
      <c r="L13989" s="36">
        <v>45261</v>
      </c>
      <c r="M13989" t="s">
        <v>603</v>
      </c>
      <c r="N13989" t="s">
        <v>599</v>
      </c>
      <c r="O13989" s="37" t="str">
        <f t="shared" si="1093"/>
        <v>Digital Payment</v>
      </c>
      <c r="P13989">
        <v>396.97</v>
      </c>
      <c r="Q13989" s="37" t="str">
        <f>IF(P13989&gt;500,"High","low")</f>
        <v>low</v>
      </c>
      <c r="R13989" s="37" t="str">
        <f t="shared" si="1094"/>
        <v>AVERAGE</v>
      </c>
      <c r="S13989" t="s">
        <v>615</v>
      </c>
    </row>
    <row r="13990" spans="1:19" x14ac:dyDescent="0.2">
      <c r="A13990" t="s">
        <v>14601</v>
      </c>
      <c r="B13990" t="s">
        <v>83</v>
      </c>
      <c r="C13990" t="s">
        <v>597</v>
      </c>
      <c r="D13990">
        <v>1968.25</v>
      </c>
      <c r="E13990" s="37" t="str">
        <f t="shared" si="1090"/>
        <v xml:space="preserve"> </v>
      </c>
      <c r="F13990">
        <v>0.08</v>
      </c>
      <c r="G13990" s="37" t="str">
        <f t="shared" si="1091"/>
        <v>Normal Discount</v>
      </c>
      <c r="H13990" s="37" t="str">
        <f t="shared" si="1092"/>
        <v>Low</v>
      </c>
      <c r="I13990">
        <v>4</v>
      </c>
      <c r="J13990" t="str" cm="1">
        <f t="array" ref="J13990">_xlfn.IFS(I13990&lt;=3,"small",I13990&lt;=6,"Medium",I13990&lt;=9,"Large")</f>
        <v>Medium</v>
      </c>
      <c r="K13990" s="36">
        <v>45290</v>
      </c>
      <c r="L13990" s="36">
        <v>45297</v>
      </c>
      <c r="M13990" t="s">
        <v>603</v>
      </c>
      <c r="N13990" t="s">
        <v>604</v>
      </c>
      <c r="O13990" s="37" t="str">
        <f t="shared" si="1093"/>
        <v>Digital Payment</v>
      </c>
      <c r="P13990">
        <v>261.02999999999997</v>
      </c>
      <c r="Q13990" s="37" t="str">
        <f>IF(P13990&gt;500,"High","low")</f>
        <v>low</v>
      </c>
      <c r="R13990" s="37" t="str">
        <f t="shared" si="1094"/>
        <v>AVERAGE</v>
      </c>
      <c r="S13990" t="s">
        <v>628</v>
      </c>
    </row>
    <row r="13991" spans="1:19" x14ac:dyDescent="0.2">
      <c r="A13991" t="s">
        <v>14602</v>
      </c>
      <c r="B13991" t="s">
        <v>67</v>
      </c>
      <c r="C13991" t="s">
        <v>614</v>
      </c>
      <c r="D13991">
        <v>1509.44</v>
      </c>
      <c r="E13991" s="37" t="str">
        <f t="shared" si="1090"/>
        <v xml:space="preserve"> </v>
      </c>
      <c r="F13991">
        <v>0.45</v>
      </c>
      <c r="G13991" s="37" t="str">
        <f t="shared" si="1091"/>
        <v>Heavy Discount</v>
      </c>
      <c r="H13991" s="37" t="str">
        <f t="shared" si="1092"/>
        <v>High</v>
      </c>
      <c r="I13991">
        <v>2</v>
      </c>
      <c r="J13991" t="str" cm="1">
        <f t="array" ref="J13991">_xlfn.IFS(I13991&lt;=3,"small",I13991&lt;=6,"Medium",I13991&lt;=9,"Large")</f>
        <v>small</v>
      </c>
      <c r="K13991" s="36">
        <v>45205</v>
      </c>
      <c r="L13991" s="36">
        <v>45210</v>
      </c>
      <c r="M13991" t="s">
        <v>612</v>
      </c>
      <c r="N13991" t="s">
        <v>604</v>
      </c>
      <c r="O13991" s="37" t="str">
        <f t="shared" si="1093"/>
        <v>Digital Payment</v>
      </c>
      <c r="P13991">
        <v>391.37</v>
      </c>
      <c r="Q13991" s="37" t="str">
        <f>IF(P13991&gt;500,"High","low")</f>
        <v>low</v>
      </c>
      <c r="R13991" s="37" t="str">
        <f t="shared" si="1094"/>
        <v>AVERAGE</v>
      </c>
      <c r="S13991" t="s">
        <v>620</v>
      </c>
    </row>
    <row r="13992" spans="1:19" x14ac:dyDescent="0.2">
      <c r="A13992" t="s">
        <v>14603</v>
      </c>
      <c r="B13992" t="s">
        <v>83</v>
      </c>
      <c r="C13992" t="s">
        <v>602</v>
      </c>
      <c r="D13992">
        <v>4594.16</v>
      </c>
      <c r="E13992" s="37" t="str">
        <f t="shared" si="1090"/>
        <v xml:space="preserve"> </v>
      </c>
      <c r="F13992">
        <v>0.25</v>
      </c>
      <c r="G13992" s="37" t="str">
        <f t="shared" si="1091"/>
        <v>Normal Discount</v>
      </c>
      <c r="H13992" s="37" t="str">
        <f t="shared" si="1092"/>
        <v>Medium</v>
      </c>
      <c r="I13992">
        <v>2</v>
      </c>
      <c r="J13992" t="str" cm="1">
        <f t="array" ref="J13992">_xlfn.IFS(I13992&lt;=3,"small",I13992&lt;=6,"Medium",I13992&lt;=9,"Large")</f>
        <v>small</v>
      </c>
      <c r="K13992" s="36">
        <v>45012</v>
      </c>
      <c r="L13992" s="36">
        <v>45014</v>
      </c>
      <c r="M13992" t="s">
        <v>598</v>
      </c>
      <c r="N13992" t="s">
        <v>599</v>
      </c>
      <c r="O13992" s="37" t="str">
        <f t="shared" si="1093"/>
        <v>Digital Payment</v>
      </c>
      <c r="P13992">
        <v>469.59</v>
      </c>
      <c r="Q13992" s="37" t="str">
        <f>IF(P13992&gt;500,"High","low")</f>
        <v>low</v>
      </c>
      <c r="R13992" s="37" t="str">
        <f t="shared" si="1094"/>
        <v>AVERAGE</v>
      </c>
      <c r="S13992" t="s">
        <v>605</v>
      </c>
    </row>
    <row r="13993" spans="1:19" x14ac:dyDescent="0.2">
      <c r="A13993" t="s">
        <v>14604</v>
      </c>
      <c r="B13993" t="s">
        <v>90</v>
      </c>
      <c r="C13993" t="s">
        <v>597</v>
      </c>
      <c r="D13993">
        <v>733.44</v>
      </c>
      <c r="E13993" s="37" t="str">
        <f t="shared" si="1090"/>
        <v xml:space="preserve"> </v>
      </c>
      <c r="F13993">
        <v>0.4</v>
      </c>
      <c r="G13993" s="37" t="str">
        <f t="shared" si="1091"/>
        <v>Heavy Discount</v>
      </c>
      <c r="H13993" s="37" t="str">
        <f t="shared" si="1092"/>
        <v>Medium</v>
      </c>
      <c r="I13993">
        <v>3</v>
      </c>
      <c r="J13993" t="str" cm="1">
        <f t="array" ref="J13993">_xlfn.IFS(I13993&lt;=3,"small",I13993&lt;=6,"Medium",I13993&lt;=9,"Large")</f>
        <v>small</v>
      </c>
      <c r="K13993" s="36">
        <v>45385</v>
      </c>
      <c r="L13993" s="36">
        <v>45386</v>
      </c>
      <c r="M13993" t="s">
        <v>612</v>
      </c>
      <c r="N13993" t="s">
        <v>608</v>
      </c>
      <c r="O13993" s="37" t="str">
        <f t="shared" si="1093"/>
        <v>Cash Payment</v>
      </c>
      <c r="P13993">
        <v>163.16999999999999</v>
      </c>
      <c r="Q13993" s="37" t="str">
        <f>IF(P13993&gt;500,"High","low")</f>
        <v>low</v>
      </c>
      <c r="R13993" s="37" t="str">
        <f t="shared" si="1094"/>
        <v>AVERAGE</v>
      </c>
      <c r="S13993" t="s">
        <v>615</v>
      </c>
    </row>
    <row r="13994" spans="1:19" x14ac:dyDescent="0.2">
      <c r="A13994" t="s">
        <v>14605</v>
      </c>
      <c r="B13994" t="s">
        <v>75</v>
      </c>
      <c r="C13994" t="s">
        <v>607</v>
      </c>
      <c r="D13994">
        <v>2081.02</v>
      </c>
      <c r="E13994" s="37" t="str">
        <f t="shared" si="1090"/>
        <v xml:space="preserve"> </v>
      </c>
      <c r="F13994">
        <v>0.17</v>
      </c>
      <c r="G13994" s="37" t="str">
        <f t="shared" si="1091"/>
        <v>Normal Discount</v>
      </c>
      <c r="H13994" s="37" t="str">
        <f t="shared" si="1092"/>
        <v>Low</v>
      </c>
      <c r="I13994">
        <v>3</v>
      </c>
      <c r="J13994" t="str" cm="1">
        <f t="array" ref="J13994">_xlfn.IFS(I13994&lt;=3,"small",I13994&lt;=6,"Medium",I13994&lt;=9,"Large")</f>
        <v>small</v>
      </c>
      <c r="K13994" s="36">
        <v>45103</v>
      </c>
      <c r="L13994" s="36">
        <v>45110</v>
      </c>
      <c r="M13994" t="s">
        <v>598</v>
      </c>
      <c r="N13994" t="s">
        <v>608</v>
      </c>
      <c r="O13994" s="37" t="str">
        <f t="shared" si="1093"/>
        <v>Cash Payment</v>
      </c>
      <c r="P13994">
        <v>145.01</v>
      </c>
      <c r="Q13994" s="37" t="str">
        <f>IF(P13994&gt;500,"High","low")</f>
        <v>low</v>
      </c>
      <c r="R13994" s="37" t="str">
        <f t="shared" si="1094"/>
        <v>AVERAGE</v>
      </c>
      <c r="S13994" t="s">
        <v>605</v>
      </c>
    </row>
    <row r="13995" spans="1:19" x14ac:dyDescent="0.2">
      <c r="A13995" t="s">
        <v>14606</v>
      </c>
      <c r="B13995" t="s">
        <v>83</v>
      </c>
      <c r="C13995" t="s">
        <v>597</v>
      </c>
      <c r="D13995">
        <v>114.54</v>
      </c>
      <c r="E13995" s="37" t="str">
        <f t="shared" si="1090"/>
        <v xml:space="preserve"> </v>
      </c>
      <c r="F13995">
        <v>0.48</v>
      </c>
      <c r="G13995" s="37" t="str">
        <f t="shared" si="1091"/>
        <v>Heavy Discount</v>
      </c>
      <c r="H13995" s="37" t="str">
        <f t="shared" si="1092"/>
        <v>High</v>
      </c>
      <c r="I13995">
        <v>7</v>
      </c>
      <c r="J13995" t="str" cm="1">
        <f t="array" ref="J13995">_xlfn.IFS(I13995&lt;=3,"small",I13995&lt;=6,"Medium",I13995&lt;=9,"Large")</f>
        <v>Large</v>
      </c>
      <c r="K13995" s="36">
        <v>45589</v>
      </c>
      <c r="L13995" s="36">
        <v>45592</v>
      </c>
      <c r="M13995" t="s">
        <v>612</v>
      </c>
      <c r="N13995" t="s">
        <v>604</v>
      </c>
      <c r="O13995" s="37" t="str">
        <f t="shared" si="1093"/>
        <v>Digital Payment</v>
      </c>
      <c r="P13995">
        <v>34.270000000000003</v>
      </c>
      <c r="Q13995" s="37" t="str">
        <f>IF(P13995&gt;500,"High","low")</f>
        <v>low</v>
      </c>
      <c r="R13995" s="37" t="str">
        <f t="shared" si="1094"/>
        <v>AVERAGE</v>
      </c>
      <c r="S13995" t="s">
        <v>620</v>
      </c>
    </row>
    <row r="13996" spans="1:19" x14ac:dyDescent="0.2">
      <c r="A13996" t="s">
        <v>14607</v>
      </c>
      <c r="B13996" t="s">
        <v>90</v>
      </c>
      <c r="C13996" t="s">
        <v>602</v>
      </c>
      <c r="D13996">
        <v>4056.52</v>
      </c>
      <c r="E13996" s="37" t="str">
        <f t="shared" si="1090"/>
        <v xml:space="preserve"> </v>
      </c>
      <c r="F13996">
        <v>0.38</v>
      </c>
      <c r="G13996" s="37" t="str">
        <f t="shared" si="1091"/>
        <v>Heavy Discount</v>
      </c>
      <c r="H13996" s="37" t="str">
        <f t="shared" si="1092"/>
        <v>Medium</v>
      </c>
      <c r="I13996">
        <v>6</v>
      </c>
      <c r="J13996" t="str" cm="1">
        <f t="array" ref="J13996">_xlfn.IFS(I13996&lt;=3,"small",I13996&lt;=6,"Medium",I13996&lt;=9,"Large")</f>
        <v>Medium</v>
      </c>
      <c r="K13996" s="36">
        <v>45322</v>
      </c>
      <c r="L13996" s="36">
        <v>45326</v>
      </c>
      <c r="M13996" t="s">
        <v>612</v>
      </c>
      <c r="N13996" t="s">
        <v>608</v>
      </c>
      <c r="O13996" s="37" t="str">
        <f t="shared" si="1093"/>
        <v>Cash Payment</v>
      </c>
      <c r="P13996">
        <v>693.46</v>
      </c>
      <c r="Q13996" s="37" t="str">
        <f>IF(P13996&gt;500,"High","low")</f>
        <v>High</v>
      </c>
      <c r="R13996" s="37" t="str">
        <f t="shared" si="1094"/>
        <v>Good</v>
      </c>
      <c r="S13996" t="s">
        <v>615</v>
      </c>
    </row>
    <row r="13997" spans="1:19" x14ac:dyDescent="0.2">
      <c r="A13997" t="s">
        <v>14608</v>
      </c>
      <c r="B13997" t="s">
        <v>83</v>
      </c>
      <c r="C13997" t="s">
        <v>597</v>
      </c>
      <c r="D13997">
        <v>925.25</v>
      </c>
      <c r="E13997" s="37" t="str">
        <f t="shared" si="1090"/>
        <v xml:space="preserve"> </v>
      </c>
      <c r="F13997">
        <v>0.23</v>
      </c>
      <c r="G13997" s="37" t="str">
        <f t="shared" si="1091"/>
        <v>Normal Discount</v>
      </c>
      <c r="H13997" s="37" t="str">
        <f t="shared" si="1092"/>
        <v>Medium</v>
      </c>
      <c r="I13997">
        <v>1</v>
      </c>
      <c r="J13997" t="str" cm="1">
        <f t="array" ref="J13997">_xlfn.IFS(I13997&lt;=3,"small",I13997&lt;=6,"Medium",I13997&lt;=9,"Large")</f>
        <v>small</v>
      </c>
      <c r="K13997" s="36">
        <v>45143</v>
      </c>
      <c r="L13997" s="36">
        <v>45145</v>
      </c>
      <c r="M13997" t="s">
        <v>598</v>
      </c>
      <c r="N13997" t="s">
        <v>608</v>
      </c>
      <c r="O13997" s="37" t="str">
        <f t="shared" si="1093"/>
        <v>Cash Payment</v>
      </c>
      <c r="P13997">
        <v>75.14</v>
      </c>
      <c r="Q13997" s="37" t="str">
        <f>IF(P13997&gt;500,"High","low")</f>
        <v>low</v>
      </c>
      <c r="R13997" s="37" t="str">
        <f t="shared" si="1094"/>
        <v>AVERAGE</v>
      </c>
      <c r="S13997" t="s">
        <v>615</v>
      </c>
    </row>
    <row r="13998" spans="1:19" x14ac:dyDescent="0.2">
      <c r="A13998" t="s">
        <v>14609</v>
      </c>
      <c r="B13998" t="s">
        <v>75</v>
      </c>
      <c r="C13998" t="s">
        <v>614</v>
      </c>
      <c r="D13998">
        <v>3887.65</v>
      </c>
      <c r="E13998" s="37" t="str">
        <f t="shared" si="1090"/>
        <v xml:space="preserve"> </v>
      </c>
      <c r="F13998">
        <v>0.45</v>
      </c>
      <c r="G13998" s="37" t="str">
        <f t="shared" si="1091"/>
        <v>Heavy Discount</v>
      </c>
      <c r="H13998" s="37" t="str">
        <f t="shared" si="1092"/>
        <v>High</v>
      </c>
      <c r="I13998">
        <v>6</v>
      </c>
      <c r="J13998" t="str" cm="1">
        <f t="array" ref="J13998">_xlfn.IFS(I13998&lt;=3,"small",I13998&lt;=6,"Medium",I13998&lt;=9,"Large")</f>
        <v>Medium</v>
      </c>
      <c r="K13998" s="36">
        <v>45526</v>
      </c>
      <c r="L13998" s="36">
        <v>45530</v>
      </c>
      <c r="M13998" t="s">
        <v>598</v>
      </c>
      <c r="N13998" t="s">
        <v>604</v>
      </c>
      <c r="O13998" s="37" t="str">
        <f t="shared" si="1093"/>
        <v>Digital Payment</v>
      </c>
      <c r="P13998">
        <v>638.88</v>
      </c>
      <c r="Q13998" s="37" t="str">
        <f>IF(P13998&gt;500,"High","low")</f>
        <v>High</v>
      </c>
      <c r="R13998" s="37" t="str">
        <f t="shared" si="1094"/>
        <v>Good</v>
      </c>
      <c r="S13998" t="s">
        <v>628</v>
      </c>
    </row>
    <row r="13999" spans="1:19" x14ac:dyDescent="0.2">
      <c r="A13999" t="s">
        <v>14610</v>
      </c>
      <c r="B13999" t="s">
        <v>90</v>
      </c>
      <c r="C13999" t="s">
        <v>607</v>
      </c>
      <c r="D13999">
        <v>828.16</v>
      </c>
      <c r="E13999" s="37" t="str">
        <f t="shared" si="1090"/>
        <v xml:space="preserve"> </v>
      </c>
      <c r="F13999">
        <v>0.36</v>
      </c>
      <c r="G13999" s="37" t="str">
        <f t="shared" si="1091"/>
        <v>Heavy Discount</v>
      </c>
      <c r="H13999" s="37" t="str">
        <f t="shared" si="1092"/>
        <v>Medium</v>
      </c>
      <c r="I13999">
        <v>5</v>
      </c>
      <c r="J13999" t="str" cm="1">
        <f t="array" ref="J13999">_xlfn.IFS(I13999&lt;=3,"small",I13999&lt;=6,"Medium",I13999&lt;=9,"Large")</f>
        <v>Medium</v>
      </c>
      <c r="K13999" s="36">
        <v>45497</v>
      </c>
      <c r="L13999" s="36">
        <v>45501</v>
      </c>
      <c r="M13999" t="s">
        <v>612</v>
      </c>
      <c r="N13999" t="s">
        <v>604</v>
      </c>
      <c r="O13999" s="37" t="str">
        <f t="shared" si="1093"/>
        <v>Digital Payment</v>
      </c>
      <c r="P13999">
        <v>57.82</v>
      </c>
      <c r="Q13999" s="37" t="str">
        <f>IF(P13999&gt;500,"High","low")</f>
        <v>low</v>
      </c>
      <c r="R13999" s="37" t="str">
        <f t="shared" si="1094"/>
        <v>AVERAGE</v>
      </c>
      <c r="S13999" t="s">
        <v>605</v>
      </c>
    </row>
    <row r="14000" spans="1:19" x14ac:dyDescent="0.2">
      <c r="A14000" t="s">
        <v>14611</v>
      </c>
      <c r="B14000" t="s">
        <v>90</v>
      </c>
      <c r="C14000" t="s">
        <v>614</v>
      </c>
      <c r="D14000">
        <v>2142.02</v>
      </c>
      <c r="E14000" s="37" t="str">
        <f t="shared" si="1090"/>
        <v xml:space="preserve"> </v>
      </c>
      <c r="F14000">
        <v>0.22</v>
      </c>
      <c r="G14000" s="37" t="str">
        <f t="shared" si="1091"/>
        <v>Normal Discount</v>
      </c>
      <c r="H14000" s="37" t="str">
        <f t="shared" si="1092"/>
        <v>Medium</v>
      </c>
      <c r="I14000">
        <v>6</v>
      </c>
      <c r="J14000" t="str" cm="1">
        <f t="array" ref="J14000">_xlfn.IFS(I14000&lt;=3,"small",I14000&lt;=6,"Medium",I14000&lt;=9,"Large")</f>
        <v>Medium</v>
      </c>
      <c r="K14000" s="36">
        <v>45235</v>
      </c>
      <c r="L14000" s="36">
        <v>45242</v>
      </c>
      <c r="M14000" t="s">
        <v>612</v>
      </c>
      <c r="N14000" t="s">
        <v>608</v>
      </c>
      <c r="O14000" s="37" t="str">
        <f t="shared" si="1093"/>
        <v>Cash Payment</v>
      </c>
      <c r="P14000">
        <v>472.73</v>
      </c>
      <c r="Q14000" s="37" t="str">
        <f>IF(P14000&gt;500,"High","low")</f>
        <v>low</v>
      </c>
      <c r="R14000" s="37" t="str">
        <f t="shared" si="1094"/>
        <v>AVERAGE</v>
      </c>
      <c r="S14000" t="s">
        <v>615</v>
      </c>
    </row>
    <row r="14001" spans="1:19" x14ac:dyDescent="0.2">
      <c r="A14001" t="s">
        <v>14612</v>
      </c>
      <c r="B14001" t="s">
        <v>75</v>
      </c>
      <c r="C14001" t="s">
        <v>607</v>
      </c>
      <c r="D14001">
        <v>3668.11</v>
      </c>
      <c r="E14001" s="37" t="str">
        <f t="shared" si="1090"/>
        <v xml:space="preserve"> </v>
      </c>
      <c r="F14001">
        <v>0.49</v>
      </c>
      <c r="G14001" s="37" t="str">
        <f t="shared" si="1091"/>
        <v>Heavy Discount</v>
      </c>
      <c r="H14001" s="37" t="str">
        <f t="shared" si="1092"/>
        <v>High</v>
      </c>
      <c r="I14001">
        <v>8</v>
      </c>
      <c r="J14001" t="str" cm="1">
        <f t="array" ref="J14001">_xlfn.IFS(I14001&lt;=3,"small",I14001&lt;=6,"Medium",I14001&lt;=9,"Large")</f>
        <v>Large</v>
      </c>
      <c r="K14001" s="36">
        <v>45250</v>
      </c>
      <c r="L14001" s="36">
        <v>45254</v>
      </c>
      <c r="M14001" t="s">
        <v>598</v>
      </c>
      <c r="N14001" t="s">
        <v>599</v>
      </c>
      <c r="O14001" s="37" t="str">
        <f t="shared" si="1093"/>
        <v>Digital Payment</v>
      </c>
      <c r="P14001">
        <v>634.19000000000005</v>
      </c>
      <c r="Q14001" s="37" t="str">
        <f>IF(P14001&gt;500,"High","low")</f>
        <v>High</v>
      </c>
      <c r="R14001" s="37" t="str">
        <f t="shared" si="1094"/>
        <v>Good</v>
      </c>
      <c r="S14001" t="s">
        <v>609</v>
      </c>
    </row>
    <row r="14002" spans="1:19" x14ac:dyDescent="0.2">
      <c r="A14002" t="s">
        <v>14613</v>
      </c>
      <c r="B14002" t="s">
        <v>90</v>
      </c>
      <c r="C14002" t="s">
        <v>607</v>
      </c>
      <c r="D14002">
        <v>1426.96</v>
      </c>
      <c r="E14002" s="37" t="str">
        <f t="shared" si="1090"/>
        <v xml:space="preserve"> </v>
      </c>
      <c r="F14002">
        <v>0.15</v>
      </c>
      <c r="G14002" s="37" t="str">
        <f t="shared" si="1091"/>
        <v>Normal Discount</v>
      </c>
      <c r="H14002" s="37" t="str">
        <f t="shared" si="1092"/>
        <v>Low</v>
      </c>
      <c r="I14002">
        <v>1</v>
      </c>
      <c r="J14002" t="str" cm="1">
        <f t="array" ref="J14002">_xlfn.IFS(I14002&lt;=3,"small",I14002&lt;=6,"Medium",I14002&lt;=9,"Large")</f>
        <v>small</v>
      </c>
      <c r="K14002" s="36">
        <v>45283</v>
      </c>
      <c r="L14002" s="36">
        <v>45284</v>
      </c>
      <c r="M14002" t="s">
        <v>603</v>
      </c>
      <c r="N14002" t="s">
        <v>608</v>
      </c>
      <c r="O14002" s="37" t="str">
        <f t="shared" si="1093"/>
        <v>Cash Payment</v>
      </c>
      <c r="P14002">
        <v>115.75</v>
      </c>
      <c r="Q14002" s="37" t="str">
        <f>IF(P14002&gt;500,"High","low")</f>
        <v>low</v>
      </c>
      <c r="R14002" s="37" t="str">
        <f t="shared" si="1094"/>
        <v>AVERAGE</v>
      </c>
      <c r="S14002" t="s">
        <v>620</v>
      </c>
    </row>
    <row r="14003" spans="1:19" x14ac:dyDescent="0.2">
      <c r="A14003" t="s">
        <v>14614</v>
      </c>
      <c r="B14003" t="s">
        <v>75</v>
      </c>
      <c r="C14003" t="s">
        <v>597</v>
      </c>
      <c r="D14003">
        <v>1638.19</v>
      </c>
      <c r="E14003" s="37" t="str">
        <f t="shared" si="1090"/>
        <v xml:space="preserve"> </v>
      </c>
      <c r="F14003">
        <v>0.13</v>
      </c>
      <c r="G14003" s="37" t="str">
        <f t="shared" si="1091"/>
        <v>Normal Discount</v>
      </c>
      <c r="H14003" s="37" t="str">
        <f t="shared" si="1092"/>
        <v>Low</v>
      </c>
      <c r="I14003">
        <v>6</v>
      </c>
      <c r="J14003" t="str" cm="1">
        <f t="array" ref="J14003">_xlfn.IFS(I14003&lt;=3,"small",I14003&lt;=6,"Medium",I14003&lt;=9,"Large")</f>
        <v>Medium</v>
      </c>
      <c r="K14003" s="36">
        <v>45629</v>
      </c>
      <c r="L14003" s="36">
        <v>45632</v>
      </c>
      <c r="M14003" t="s">
        <v>612</v>
      </c>
      <c r="N14003" t="s">
        <v>599</v>
      </c>
      <c r="O14003" s="37" t="str">
        <f t="shared" si="1093"/>
        <v>Digital Payment</v>
      </c>
      <c r="P14003">
        <v>331.76</v>
      </c>
      <c r="Q14003" s="37" t="str">
        <f>IF(P14003&gt;500,"High","low")</f>
        <v>low</v>
      </c>
      <c r="R14003" s="37" t="str">
        <f t="shared" si="1094"/>
        <v>AVERAGE</v>
      </c>
      <c r="S14003" t="s">
        <v>620</v>
      </c>
    </row>
    <row r="14004" spans="1:19" x14ac:dyDescent="0.2">
      <c r="A14004" t="s">
        <v>14615</v>
      </c>
      <c r="B14004" t="s">
        <v>90</v>
      </c>
      <c r="C14004" t="s">
        <v>614</v>
      </c>
      <c r="D14004">
        <v>3369.88</v>
      </c>
      <c r="E14004" s="37" t="str">
        <f t="shared" si="1090"/>
        <v xml:space="preserve"> </v>
      </c>
      <c r="F14004">
        <v>0.45</v>
      </c>
      <c r="G14004" s="37" t="str">
        <f t="shared" si="1091"/>
        <v>Heavy Discount</v>
      </c>
      <c r="H14004" s="37" t="str">
        <f t="shared" si="1092"/>
        <v>High</v>
      </c>
      <c r="I14004">
        <v>4</v>
      </c>
      <c r="J14004" t="str" cm="1">
        <f t="array" ref="J14004">_xlfn.IFS(I14004&lt;=3,"small",I14004&lt;=6,"Medium",I14004&lt;=9,"Large")</f>
        <v>Medium</v>
      </c>
      <c r="K14004" s="36">
        <v>45467</v>
      </c>
      <c r="L14004" s="36">
        <v>45468</v>
      </c>
      <c r="M14004" t="s">
        <v>612</v>
      </c>
      <c r="N14004" t="s">
        <v>608</v>
      </c>
      <c r="O14004" s="37" t="str">
        <f t="shared" si="1093"/>
        <v>Cash Payment</v>
      </c>
      <c r="P14004">
        <v>412.94</v>
      </c>
      <c r="Q14004" s="37" t="str">
        <f>IF(P14004&gt;500,"High","low")</f>
        <v>low</v>
      </c>
      <c r="R14004" s="37" t="str">
        <f t="shared" si="1094"/>
        <v>AVERAGE</v>
      </c>
      <c r="S14004" t="s">
        <v>605</v>
      </c>
    </row>
    <row r="14005" spans="1:19" x14ac:dyDescent="0.2">
      <c r="A14005" t="s">
        <v>14616</v>
      </c>
      <c r="B14005" t="s">
        <v>90</v>
      </c>
      <c r="C14005" t="s">
        <v>607</v>
      </c>
      <c r="D14005">
        <v>1019.73</v>
      </c>
      <c r="E14005" s="37" t="str">
        <f t="shared" si="1090"/>
        <v xml:space="preserve"> </v>
      </c>
      <c r="F14005">
        <v>0.35</v>
      </c>
      <c r="G14005" s="37" t="str">
        <f t="shared" si="1091"/>
        <v>Heavy Discount</v>
      </c>
      <c r="H14005" s="37" t="str">
        <f t="shared" si="1092"/>
        <v>Medium</v>
      </c>
      <c r="I14005">
        <v>9</v>
      </c>
      <c r="J14005" t="str" cm="1">
        <f t="array" ref="J14005">_xlfn.IFS(I14005&lt;=3,"small",I14005&lt;=6,"Medium",I14005&lt;=9,"Large")</f>
        <v>Large</v>
      </c>
      <c r="K14005" s="36">
        <v>44929</v>
      </c>
      <c r="L14005" s="36">
        <v>44931</v>
      </c>
      <c r="M14005" t="s">
        <v>603</v>
      </c>
      <c r="N14005" t="s">
        <v>599</v>
      </c>
      <c r="O14005" s="37" t="str">
        <f t="shared" si="1093"/>
        <v>Digital Payment</v>
      </c>
      <c r="P14005">
        <v>291.17</v>
      </c>
      <c r="Q14005" s="37" t="str">
        <f>IF(P14005&gt;500,"High","low")</f>
        <v>low</v>
      </c>
      <c r="R14005" s="37" t="str">
        <f t="shared" si="1094"/>
        <v>AVERAGE</v>
      </c>
      <c r="S14005" t="s">
        <v>609</v>
      </c>
    </row>
    <row r="14006" spans="1:19" x14ac:dyDescent="0.2">
      <c r="A14006" t="s">
        <v>14617</v>
      </c>
      <c r="B14006" t="s">
        <v>75</v>
      </c>
      <c r="C14006" t="s">
        <v>607</v>
      </c>
      <c r="D14006">
        <v>4763.74</v>
      </c>
      <c r="E14006" s="37" t="str">
        <f t="shared" si="1090"/>
        <v>Excellent Order</v>
      </c>
      <c r="F14006">
        <v>0.17</v>
      </c>
      <c r="G14006" s="37" t="str">
        <f t="shared" si="1091"/>
        <v>Normal Discount</v>
      </c>
      <c r="H14006" s="37" t="str">
        <f t="shared" si="1092"/>
        <v>Low</v>
      </c>
      <c r="I14006">
        <v>8</v>
      </c>
      <c r="J14006" t="str" cm="1">
        <f t="array" ref="J14006">_xlfn.IFS(I14006&lt;=3,"small",I14006&lt;=6,"Medium",I14006&lt;=9,"Large")</f>
        <v>Large</v>
      </c>
      <c r="K14006" s="36">
        <v>45015</v>
      </c>
      <c r="L14006" s="36">
        <v>45018</v>
      </c>
      <c r="M14006" t="s">
        <v>598</v>
      </c>
      <c r="N14006" t="s">
        <v>604</v>
      </c>
      <c r="O14006" s="37" t="str">
        <f t="shared" si="1093"/>
        <v>Digital Payment</v>
      </c>
      <c r="P14006">
        <v>1018.74</v>
      </c>
      <c r="Q14006" s="37" t="str">
        <f>IF(P14006&gt;500,"High","low")</f>
        <v>High</v>
      </c>
      <c r="R14006" s="37" t="str">
        <f t="shared" si="1094"/>
        <v>Excellent</v>
      </c>
      <c r="S14006" t="s">
        <v>605</v>
      </c>
    </row>
    <row r="14007" spans="1:19" x14ac:dyDescent="0.2">
      <c r="A14007" t="s">
        <v>14618</v>
      </c>
      <c r="B14007" t="s">
        <v>75</v>
      </c>
      <c r="C14007" t="s">
        <v>597</v>
      </c>
      <c r="D14007">
        <v>1025.06</v>
      </c>
      <c r="E14007" s="37" t="str">
        <f t="shared" si="1090"/>
        <v xml:space="preserve"> </v>
      </c>
      <c r="F14007">
        <v>0.12</v>
      </c>
      <c r="G14007" s="37" t="str">
        <f t="shared" si="1091"/>
        <v>Normal Discount</v>
      </c>
      <c r="H14007" s="37" t="str">
        <f t="shared" si="1092"/>
        <v>Low</v>
      </c>
      <c r="I14007">
        <v>7</v>
      </c>
      <c r="J14007" t="str" cm="1">
        <f t="array" ref="J14007">_xlfn.IFS(I14007&lt;=3,"small",I14007&lt;=6,"Medium",I14007&lt;=9,"Large")</f>
        <v>Large</v>
      </c>
      <c r="K14007" s="36">
        <v>45293</v>
      </c>
      <c r="L14007" s="36">
        <v>45295</v>
      </c>
      <c r="M14007" t="s">
        <v>612</v>
      </c>
      <c r="N14007" t="s">
        <v>608</v>
      </c>
      <c r="O14007" s="37" t="str">
        <f t="shared" si="1093"/>
        <v>Cash Payment</v>
      </c>
      <c r="P14007">
        <v>155.16</v>
      </c>
      <c r="Q14007" s="37" t="str">
        <f>IF(P14007&gt;500,"High","low")</f>
        <v>low</v>
      </c>
      <c r="R14007" s="37" t="str">
        <f t="shared" si="1094"/>
        <v>AVERAGE</v>
      </c>
      <c r="S14007" t="s">
        <v>628</v>
      </c>
    </row>
    <row r="14008" spans="1:19" x14ac:dyDescent="0.2">
      <c r="A14008" t="s">
        <v>14619</v>
      </c>
      <c r="B14008" t="s">
        <v>90</v>
      </c>
      <c r="C14008" t="s">
        <v>602</v>
      </c>
      <c r="D14008">
        <v>3774.98</v>
      </c>
      <c r="E14008" s="37" t="str">
        <f t="shared" si="1090"/>
        <v xml:space="preserve"> </v>
      </c>
      <c r="F14008">
        <v>0.09</v>
      </c>
      <c r="G14008" s="37" t="str">
        <f t="shared" si="1091"/>
        <v>Normal Discount</v>
      </c>
      <c r="H14008" s="37" t="str">
        <f t="shared" si="1092"/>
        <v>Low</v>
      </c>
      <c r="I14008">
        <v>3</v>
      </c>
      <c r="J14008" t="str" cm="1">
        <f t="array" ref="J14008">_xlfn.IFS(I14008&lt;=3,"small",I14008&lt;=6,"Medium",I14008&lt;=9,"Large")</f>
        <v>small</v>
      </c>
      <c r="K14008" s="36">
        <v>45347</v>
      </c>
      <c r="L14008" s="36">
        <v>45348</v>
      </c>
      <c r="M14008" t="s">
        <v>598</v>
      </c>
      <c r="N14008" t="s">
        <v>604</v>
      </c>
      <c r="O14008" s="37" t="str">
        <f t="shared" si="1093"/>
        <v>Digital Payment</v>
      </c>
      <c r="P14008">
        <v>320.11</v>
      </c>
      <c r="Q14008" s="37" t="str">
        <f>IF(P14008&gt;500,"High","low")</f>
        <v>low</v>
      </c>
      <c r="R14008" s="37" t="str">
        <f t="shared" si="1094"/>
        <v>AVERAGE</v>
      </c>
      <c r="S14008" t="s">
        <v>609</v>
      </c>
    </row>
    <row r="14009" spans="1:19" x14ac:dyDescent="0.2">
      <c r="A14009" t="s">
        <v>14620</v>
      </c>
      <c r="B14009" t="s">
        <v>90</v>
      </c>
      <c r="C14009" t="s">
        <v>602</v>
      </c>
      <c r="D14009">
        <v>4032.73</v>
      </c>
      <c r="E14009" s="37" t="str">
        <f t="shared" si="1090"/>
        <v>Excellent Order</v>
      </c>
      <c r="F14009">
        <v>0.16</v>
      </c>
      <c r="G14009" s="37" t="str">
        <f t="shared" si="1091"/>
        <v>Normal Discount</v>
      </c>
      <c r="H14009" s="37" t="str">
        <f t="shared" si="1092"/>
        <v>Low</v>
      </c>
      <c r="I14009">
        <v>9</v>
      </c>
      <c r="J14009" t="str" cm="1">
        <f t="array" ref="J14009">_xlfn.IFS(I14009&lt;=3,"small",I14009&lt;=6,"Medium",I14009&lt;=9,"Large")</f>
        <v>Large</v>
      </c>
      <c r="K14009" s="36">
        <v>44989</v>
      </c>
      <c r="L14009" s="36">
        <v>44995</v>
      </c>
      <c r="M14009" t="s">
        <v>603</v>
      </c>
      <c r="N14009" t="s">
        <v>599</v>
      </c>
      <c r="O14009" s="37" t="str">
        <f t="shared" si="1093"/>
        <v>Digital Payment</v>
      </c>
      <c r="P14009">
        <v>906.63</v>
      </c>
      <c r="Q14009" s="37" t="str">
        <f>IF(P14009&gt;500,"High","low")</f>
        <v>High</v>
      </c>
      <c r="R14009" s="37" t="str">
        <f t="shared" si="1094"/>
        <v>Good</v>
      </c>
      <c r="S14009" t="s">
        <v>620</v>
      </c>
    </row>
    <row r="14010" spans="1:19" x14ac:dyDescent="0.2">
      <c r="A14010" t="s">
        <v>14621</v>
      </c>
      <c r="B14010" t="s">
        <v>75</v>
      </c>
      <c r="C14010" t="s">
        <v>617</v>
      </c>
      <c r="D14010">
        <v>1934.42</v>
      </c>
      <c r="E14010" s="37" t="str">
        <f t="shared" si="1090"/>
        <v xml:space="preserve"> </v>
      </c>
      <c r="F14010">
        <v>0.06</v>
      </c>
      <c r="G14010" s="37" t="str">
        <f t="shared" si="1091"/>
        <v>Normal Discount</v>
      </c>
      <c r="H14010" s="37" t="str">
        <f t="shared" si="1092"/>
        <v>Low</v>
      </c>
      <c r="I14010">
        <v>3</v>
      </c>
      <c r="J14010" t="str" cm="1">
        <f t="array" ref="J14010">_xlfn.IFS(I14010&lt;=3,"small",I14010&lt;=6,"Medium",I14010&lt;=9,"Large")</f>
        <v>small</v>
      </c>
      <c r="K14010" s="36">
        <v>45205</v>
      </c>
      <c r="L14010" s="36">
        <v>45210</v>
      </c>
      <c r="M14010" t="s">
        <v>598</v>
      </c>
      <c r="N14010" t="s">
        <v>604</v>
      </c>
      <c r="O14010" s="37" t="str">
        <f t="shared" si="1093"/>
        <v>Digital Payment</v>
      </c>
      <c r="P14010">
        <v>325.33999999999997</v>
      </c>
      <c r="Q14010" s="37" t="str">
        <f>IF(P14010&gt;500,"High","low")</f>
        <v>low</v>
      </c>
      <c r="R14010" s="37" t="str">
        <f t="shared" si="1094"/>
        <v>AVERAGE</v>
      </c>
      <c r="S14010" t="s">
        <v>609</v>
      </c>
    </row>
    <row r="14011" spans="1:19" x14ac:dyDescent="0.2">
      <c r="A14011" t="s">
        <v>14622</v>
      </c>
      <c r="B14011" t="s">
        <v>67</v>
      </c>
      <c r="C14011" t="s">
        <v>617</v>
      </c>
      <c r="D14011">
        <v>865.57</v>
      </c>
      <c r="E14011" s="37" t="str">
        <f t="shared" si="1090"/>
        <v xml:space="preserve"> </v>
      </c>
      <c r="F14011">
        <v>7.0000000000000007E-2</v>
      </c>
      <c r="G14011" s="37" t="str">
        <f t="shared" si="1091"/>
        <v>Normal Discount</v>
      </c>
      <c r="H14011" s="37" t="str">
        <f t="shared" si="1092"/>
        <v>Low</v>
      </c>
      <c r="I14011">
        <v>6</v>
      </c>
      <c r="J14011" t="str" cm="1">
        <f t="array" ref="J14011">_xlfn.IFS(I14011&lt;=3,"small",I14011&lt;=6,"Medium",I14011&lt;=9,"Large")</f>
        <v>Medium</v>
      </c>
      <c r="K14011" s="36">
        <v>45359</v>
      </c>
      <c r="L14011" s="36">
        <v>45364</v>
      </c>
      <c r="M14011" t="s">
        <v>598</v>
      </c>
      <c r="N14011" t="s">
        <v>604</v>
      </c>
      <c r="O14011" s="37" t="str">
        <f t="shared" si="1093"/>
        <v>Digital Payment</v>
      </c>
      <c r="P14011">
        <v>205.37</v>
      </c>
      <c r="Q14011" s="37" t="str">
        <f>IF(P14011&gt;500,"High","low")</f>
        <v>low</v>
      </c>
      <c r="R14011" s="37" t="str">
        <f t="shared" si="1094"/>
        <v>AVERAGE</v>
      </c>
      <c r="S14011" t="s">
        <v>615</v>
      </c>
    </row>
    <row r="14012" spans="1:19" x14ac:dyDescent="0.2">
      <c r="A14012" t="s">
        <v>14623</v>
      </c>
      <c r="B14012" t="s">
        <v>75</v>
      </c>
      <c r="C14012" t="s">
        <v>607</v>
      </c>
      <c r="D14012">
        <v>912.93</v>
      </c>
      <c r="E14012" s="37" t="str">
        <f t="shared" si="1090"/>
        <v xml:space="preserve"> </v>
      </c>
      <c r="F14012">
        <v>0.39</v>
      </c>
      <c r="G14012" s="37" t="str">
        <f t="shared" si="1091"/>
        <v>Heavy Discount</v>
      </c>
      <c r="H14012" s="37" t="str">
        <f t="shared" si="1092"/>
        <v>Medium</v>
      </c>
      <c r="I14012">
        <v>2</v>
      </c>
      <c r="J14012" t="str" cm="1">
        <f t="array" ref="J14012">_xlfn.IFS(I14012&lt;=3,"small",I14012&lt;=6,"Medium",I14012&lt;=9,"Large")</f>
        <v>small</v>
      </c>
      <c r="K14012" s="36">
        <v>45012</v>
      </c>
      <c r="L14012" s="36">
        <v>45019</v>
      </c>
      <c r="M14012" t="s">
        <v>603</v>
      </c>
      <c r="N14012" t="s">
        <v>599</v>
      </c>
      <c r="O14012" s="37" t="str">
        <f t="shared" si="1093"/>
        <v>Digital Payment</v>
      </c>
      <c r="P14012">
        <v>193.72</v>
      </c>
      <c r="Q14012" s="37" t="str">
        <f>IF(P14012&gt;500,"High","low")</f>
        <v>low</v>
      </c>
      <c r="R14012" s="37" t="str">
        <f t="shared" si="1094"/>
        <v>AVERAGE</v>
      </c>
      <c r="S14012" t="s">
        <v>600</v>
      </c>
    </row>
    <row r="14013" spans="1:19" x14ac:dyDescent="0.2">
      <c r="A14013" t="s">
        <v>14624</v>
      </c>
      <c r="B14013" t="s">
        <v>90</v>
      </c>
      <c r="C14013" t="s">
        <v>602</v>
      </c>
      <c r="D14013">
        <v>4928.71</v>
      </c>
      <c r="E14013" s="37" t="str">
        <f t="shared" si="1090"/>
        <v>Excellent Order</v>
      </c>
      <c r="F14013">
        <v>0.03</v>
      </c>
      <c r="G14013" s="37" t="str">
        <f t="shared" si="1091"/>
        <v>Normal Discount</v>
      </c>
      <c r="H14013" s="37" t="str">
        <f t="shared" si="1092"/>
        <v>Low</v>
      </c>
      <c r="I14013">
        <v>8</v>
      </c>
      <c r="J14013" t="str" cm="1">
        <f t="array" ref="J14013">_xlfn.IFS(I14013&lt;=3,"small",I14013&lt;=6,"Medium",I14013&lt;=9,"Large")</f>
        <v>Large</v>
      </c>
      <c r="K14013" s="36">
        <v>45003</v>
      </c>
      <c r="L14013" s="36">
        <v>45010</v>
      </c>
      <c r="M14013" t="s">
        <v>612</v>
      </c>
      <c r="N14013" t="s">
        <v>599</v>
      </c>
      <c r="O14013" s="37" t="str">
        <f t="shared" si="1093"/>
        <v>Digital Payment</v>
      </c>
      <c r="P14013">
        <v>1013.25</v>
      </c>
      <c r="Q14013" s="37" t="str">
        <f>IF(P14013&gt;500,"High","low")</f>
        <v>High</v>
      </c>
      <c r="R14013" s="37" t="str">
        <f t="shared" si="1094"/>
        <v>Excellent</v>
      </c>
      <c r="S14013" t="s">
        <v>615</v>
      </c>
    </row>
    <row r="14014" spans="1:19" x14ac:dyDescent="0.2">
      <c r="A14014" t="s">
        <v>14625</v>
      </c>
      <c r="B14014" t="s">
        <v>90</v>
      </c>
      <c r="C14014" t="s">
        <v>607</v>
      </c>
      <c r="D14014">
        <v>3654.51</v>
      </c>
      <c r="E14014" s="37" t="str">
        <f t="shared" si="1090"/>
        <v xml:space="preserve"> </v>
      </c>
      <c r="F14014">
        <v>0.22</v>
      </c>
      <c r="G14014" s="37" t="str">
        <f t="shared" si="1091"/>
        <v>Normal Discount</v>
      </c>
      <c r="H14014" s="37" t="str">
        <f t="shared" si="1092"/>
        <v>Medium</v>
      </c>
      <c r="I14014">
        <v>1</v>
      </c>
      <c r="J14014" t="str" cm="1">
        <f t="array" ref="J14014">_xlfn.IFS(I14014&lt;=3,"small",I14014&lt;=6,"Medium",I14014&lt;=9,"Large")</f>
        <v>small</v>
      </c>
      <c r="K14014" s="36">
        <v>45569</v>
      </c>
      <c r="L14014" s="36">
        <v>45572</v>
      </c>
      <c r="M14014" t="s">
        <v>598</v>
      </c>
      <c r="N14014" t="s">
        <v>608</v>
      </c>
      <c r="O14014" s="37" t="str">
        <f t="shared" si="1093"/>
        <v>Cash Payment</v>
      </c>
      <c r="P14014">
        <v>853.73</v>
      </c>
      <c r="Q14014" s="37" t="str">
        <f>IF(P14014&gt;500,"High","low")</f>
        <v>High</v>
      </c>
      <c r="R14014" s="37" t="str">
        <f t="shared" si="1094"/>
        <v>Good</v>
      </c>
      <c r="S14014" t="s">
        <v>605</v>
      </c>
    </row>
    <row r="14015" spans="1:19" x14ac:dyDescent="0.2">
      <c r="A14015" t="s">
        <v>14626</v>
      </c>
      <c r="B14015" t="s">
        <v>90</v>
      </c>
      <c r="C14015" t="s">
        <v>614</v>
      </c>
      <c r="D14015">
        <v>2305.23</v>
      </c>
      <c r="E14015" s="37" t="str">
        <f t="shared" si="1090"/>
        <v xml:space="preserve"> </v>
      </c>
      <c r="F14015">
        <v>0.2</v>
      </c>
      <c r="G14015" s="37" t="str">
        <f t="shared" si="1091"/>
        <v>Normal Discount</v>
      </c>
      <c r="H14015" s="37" t="str">
        <f t="shared" si="1092"/>
        <v>Medium</v>
      </c>
      <c r="I14015">
        <v>1</v>
      </c>
      <c r="J14015" t="str" cm="1">
        <f t="array" ref="J14015">_xlfn.IFS(I14015&lt;=3,"small",I14015&lt;=6,"Medium",I14015&lt;=9,"Large")</f>
        <v>small</v>
      </c>
      <c r="K14015" s="36">
        <v>45548</v>
      </c>
      <c r="L14015" s="36">
        <v>45553</v>
      </c>
      <c r="M14015" t="s">
        <v>612</v>
      </c>
      <c r="N14015" t="s">
        <v>599</v>
      </c>
      <c r="O14015" s="37" t="str">
        <f t="shared" si="1093"/>
        <v>Digital Payment</v>
      </c>
      <c r="P14015">
        <v>320.16000000000003</v>
      </c>
      <c r="Q14015" s="37" t="str">
        <f>IF(P14015&gt;500,"High","low")</f>
        <v>low</v>
      </c>
      <c r="R14015" s="37" t="str">
        <f t="shared" si="1094"/>
        <v>AVERAGE</v>
      </c>
      <c r="S14015" t="s">
        <v>628</v>
      </c>
    </row>
    <row r="14016" spans="1:19" x14ac:dyDescent="0.2">
      <c r="A14016" t="s">
        <v>14627</v>
      </c>
      <c r="B14016" t="s">
        <v>75</v>
      </c>
      <c r="C14016" t="s">
        <v>602</v>
      </c>
      <c r="D14016">
        <v>1361.01</v>
      </c>
      <c r="E14016" s="37" t="str">
        <f t="shared" si="1090"/>
        <v xml:space="preserve"> </v>
      </c>
      <c r="F14016">
        <v>0.48</v>
      </c>
      <c r="G14016" s="37" t="str">
        <f t="shared" si="1091"/>
        <v>Heavy Discount</v>
      </c>
      <c r="H14016" s="37" t="str">
        <f t="shared" si="1092"/>
        <v>High</v>
      </c>
      <c r="I14016">
        <v>8</v>
      </c>
      <c r="J14016" t="str" cm="1">
        <f t="array" ref="J14016">_xlfn.IFS(I14016&lt;=3,"small",I14016&lt;=6,"Medium",I14016&lt;=9,"Large")</f>
        <v>Large</v>
      </c>
      <c r="K14016" s="36">
        <v>45332</v>
      </c>
      <c r="L14016" s="36">
        <v>45336</v>
      </c>
      <c r="M14016" t="s">
        <v>603</v>
      </c>
      <c r="N14016" t="s">
        <v>599</v>
      </c>
      <c r="O14016" s="37" t="str">
        <f t="shared" si="1093"/>
        <v>Digital Payment</v>
      </c>
      <c r="P14016">
        <v>397.2</v>
      </c>
      <c r="Q14016" s="37" t="str">
        <f>IF(P14016&gt;500,"High","low")</f>
        <v>low</v>
      </c>
      <c r="R14016" s="37" t="str">
        <f t="shared" si="1094"/>
        <v>AVERAGE</v>
      </c>
      <c r="S14016" t="s">
        <v>628</v>
      </c>
    </row>
    <row r="14017" spans="1:19" x14ac:dyDescent="0.2">
      <c r="A14017" t="s">
        <v>14628</v>
      </c>
      <c r="B14017" t="s">
        <v>90</v>
      </c>
      <c r="C14017" t="s">
        <v>602</v>
      </c>
      <c r="D14017">
        <v>192.66</v>
      </c>
      <c r="E14017" s="37" t="str">
        <f t="shared" si="1090"/>
        <v xml:space="preserve"> </v>
      </c>
      <c r="F14017">
        <v>0.23</v>
      </c>
      <c r="G14017" s="37" t="str">
        <f t="shared" si="1091"/>
        <v>Normal Discount</v>
      </c>
      <c r="H14017" s="37" t="str">
        <f t="shared" si="1092"/>
        <v>Medium</v>
      </c>
      <c r="I14017">
        <v>9</v>
      </c>
      <c r="J14017" t="str" cm="1">
        <f t="array" ref="J14017">_xlfn.IFS(I14017&lt;=3,"small",I14017&lt;=6,"Medium",I14017&lt;=9,"Large")</f>
        <v>Large</v>
      </c>
      <c r="K14017" s="36">
        <v>45295</v>
      </c>
      <c r="L14017" s="36">
        <v>45300</v>
      </c>
      <c r="M14017" t="s">
        <v>603</v>
      </c>
      <c r="N14017" t="s">
        <v>599</v>
      </c>
      <c r="O14017" s="37" t="str">
        <f t="shared" si="1093"/>
        <v>Digital Payment</v>
      </c>
      <c r="P14017">
        <v>54.73</v>
      </c>
      <c r="Q14017" s="37" t="str">
        <f>IF(P14017&gt;500,"High","low")</f>
        <v>low</v>
      </c>
      <c r="R14017" s="37" t="str">
        <f t="shared" si="1094"/>
        <v>AVERAGE</v>
      </c>
      <c r="S14017" t="s">
        <v>609</v>
      </c>
    </row>
    <row r="14018" spans="1:19" x14ac:dyDescent="0.2">
      <c r="A14018" t="s">
        <v>14629</v>
      </c>
      <c r="B14018" t="s">
        <v>67</v>
      </c>
      <c r="C14018" t="s">
        <v>602</v>
      </c>
      <c r="D14018">
        <v>3385.27</v>
      </c>
      <c r="E14018" s="37" t="str">
        <f t="shared" si="1090"/>
        <v xml:space="preserve"> </v>
      </c>
      <c r="F14018">
        <v>0.08</v>
      </c>
      <c r="G14018" s="37" t="str">
        <f t="shared" si="1091"/>
        <v>Normal Discount</v>
      </c>
      <c r="H14018" s="37" t="str">
        <f t="shared" si="1092"/>
        <v>Low</v>
      </c>
      <c r="I14018">
        <v>9</v>
      </c>
      <c r="J14018" t="str" cm="1">
        <f t="array" ref="J14018">_xlfn.IFS(I14018&lt;=3,"small",I14018&lt;=6,"Medium",I14018&lt;=9,"Large")</f>
        <v>Large</v>
      </c>
      <c r="K14018" s="36">
        <v>45171</v>
      </c>
      <c r="L14018" s="36">
        <v>45176</v>
      </c>
      <c r="M14018" t="s">
        <v>612</v>
      </c>
      <c r="N14018" t="s">
        <v>599</v>
      </c>
      <c r="O14018" s="37" t="str">
        <f t="shared" si="1093"/>
        <v>Digital Payment</v>
      </c>
      <c r="P14018">
        <v>776.36</v>
      </c>
      <c r="Q14018" s="37" t="str">
        <f>IF(P14018&gt;500,"High","low")</f>
        <v>High</v>
      </c>
      <c r="R14018" s="37" t="str">
        <f t="shared" si="1094"/>
        <v>Good</v>
      </c>
      <c r="S14018" t="s">
        <v>615</v>
      </c>
    </row>
    <row r="14019" spans="1:19" x14ac:dyDescent="0.2">
      <c r="A14019" t="s">
        <v>14630</v>
      </c>
      <c r="B14019" t="s">
        <v>83</v>
      </c>
      <c r="C14019" t="s">
        <v>617</v>
      </c>
      <c r="D14019">
        <v>4788.8900000000003</v>
      </c>
      <c r="E14019" s="37" t="str">
        <f t="shared" ref="E14019:E14082" si="1095">IF(AND(D14019&gt;4000,P14019&gt;800),"Excellent Order"," ")</f>
        <v xml:space="preserve"> </v>
      </c>
      <c r="F14019">
        <v>0.04</v>
      </c>
      <c r="G14019" s="37" t="str">
        <f t="shared" ref="G14019:G14082" si="1096">IF(F14019&gt;30%,"Heavy Discount","Normal Discount")</f>
        <v>Normal Discount</v>
      </c>
      <c r="H14019" s="37" t="str">
        <f t="shared" ref="H14019:H14082" si="1097">IF(F14019&gt;0.4,"High",IF(F14019&gt;=0.2,"Medium","Low"))</f>
        <v>Low</v>
      </c>
      <c r="I14019">
        <v>8</v>
      </c>
      <c r="J14019" t="str" cm="1">
        <f t="array" ref="J14019">_xlfn.IFS(I14019&lt;=3,"small",I14019&lt;=6,"Medium",I14019&lt;=9,"Large")</f>
        <v>Large</v>
      </c>
      <c r="K14019" s="36">
        <v>45474</v>
      </c>
      <c r="L14019" s="36">
        <v>45478</v>
      </c>
      <c r="M14019" t="s">
        <v>603</v>
      </c>
      <c r="N14019" t="s">
        <v>604</v>
      </c>
      <c r="O14019" s="37" t="str">
        <f t="shared" ref="O14019:O14082" si="1098">IF(OR(N14019="Card",N14019="UPI"),"Digital Payment","Cash Payment")</f>
        <v>Digital Payment</v>
      </c>
      <c r="P14019">
        <v>382.74</v>
      </c>
      <c r="Q14019" s="37" t="str">
        <f>IF(P14019&gt;500,"High","low")</f>
        <v>low</v>
      </c>
      <c r="R14019" s="37" t="str">
        <f t="shared" ref="R14019:R14082" si="1099">IF(P14019&gt;1000,"Excellent",IF(P14019&gt;=500,"Good","AVERAGE"))</f>
        <v>AVERAGE</v>
      </c>
      <c r="S14019" t="s">
        <v>609</v>
      </c>
    </row>
    <row r="14020" spans="1:19" x14ac:dyDescent="0.2">
      <c r="A14020" t="s">
        <v>14631</v>
      </c>
      <c r="B14020" t="s">
        <v>67</v>
      </c>
      <c r="C14020" t="s">
        <v>597</v>
      </c>
      <c r="D14020">
        <v>623.53</v>
      </c>
      <c r="E14020" s="37" t="str">
        <f t="shared" si="1095"/>
        <v xml:space="preserve"> </v>
      </c>
      <c r="F14020">
        <v>0.37</v>
      </c>
      <c r="G14020" s="37" t="str">
        <f t="shared" si="1096"/>
        <v>Heavy Discount</v>
      </c>
      <c r="H14020" s="37" t="str">
        <f t="shared" si="1097"/>
        <v>Medium</v>
      </c>
      <c r="I14020">
        <v>8</v>
      </c>
      <c r="J14020" t="str" cm="1">
        <f t="array" ref="J14020">_xlfn.IFS(I14020&lt;=3,"small",I14020&lt;=6,"Medium",I14020&lt;=9,"Large")</f>
        <v>Large</v>
      </c>
      <c r="K14020" s="36">
        <v>45320</v>
      </c>
      <c r="L14020" s="36">
        <v>45324</v>
      </c>
      <c r="M14020" t="s">
        <v>612</v>
      </c>
      <c r="N14020" t="s">
        <v>604</v>
      </c>
      <c r="O14020" s="37" t="str">
        <f t="shared" si="1098"/>
        <v>Digital Payment</v>
      </c>
      <c r="P14020">
        <v>158.02000000000001</v>
      </c>
      <c r="Q14020" s="37" t="str">
        <f>IF(P14020&gt;500,"High","low")</f>
        <v>low</v>
      </c>
      <c r="R14020" s="37" t="str">
        <f t="shared" si="1099"/>
        <v>AVERAGE</v>
      </c>
      <c r="S14020" t="s">
        <v>600</v>
      </c>
    </row>
    <row r="14021" spans="1:19" x14ac:dyDescent="0.2">
      <c r="A14021" t="s">
        <v>14632</v>
      </c>
      <c r="B14021" t="s">
        <v>75</v>
      </c>
      <c r="C14021" t="s">
        <v>597</v>
      </c>
      <c r="D14021">
        <v>3797.01</v>
      </c>
      <c r="E14021" s="37" t="str">
        <f t="shared" si="1095"/>
        <v xml:space="preserve"> </v>
      </c>
      <c r="F14021">
        <v>7.0000000000000007E-2</v>
      </c>
      <c r="G14021" s="37" t="str">
        <f t="shared" si="1096"/>
        <v>Normal Discount</v>
      </c>
      <c r="H14021" s="37" t="str">
        <f t="shared" si="1097"/>
        <v>Low</v>
      </c>
      <c r="I14021">
        <v>4</v>
      </c>
      <c r="J14021" t="str" cm="1">
        <f t="array" ref="J14021">_xlfn.IFS(I14021&lt;=3,"small",I14021&lt;=6,"Medium",I14021&lt;=9,"Large")</f>
        <v>Medium</v>
      </c>
      <c r="K14021" s="36">
        <v>45046</v>
      </c>
      <c r="L14021" s="36">
        <v>45048</v>
      </c>
      <c r="M14021" t="s">
        <v>598</v>
      </c>
      <c r="N14021" t="s">
        <v>599</v>
      </c>
      <c r="O14021" s="37" t="str">
        <f t="shared" si="1098"/>
        <v>Digital Payment</v>
      </c>
      <c r="P14021">
        <v>497.08</v>
      </c>
      <c r="Q14021" s="37" t="str">
        <f>IF(P14021&gt;500,"High","low")</f>
        <v>low</v>
      </c>
      <c r="R14021" s="37" t="str">
        <f t="shared" si="1099"/>
        <v>AVERAGE</v>
      </c>
      <c r="S14021" t="s">
        <v>615</v>
      </c>
    </row>
    <row r="14022" spans="1:19" x14ac:dyDescent="0.2">
      <c r="A14022" t="s">
        <v>14633</v>
      </c>
      <c r="B14022" t="s">
        <v>90</v>
      </c>
      <c r="C14022" t="s">
        <v>617</v>
      </c>
      <c r="D14022">
        <v>850.86</v>
      </c>
      <c r="E14022" s="37" t="str">
        <f t="shared" si="1095"/>
        <v xml:space="preserve"> </v>
      </c>
      <c r="F14022">
        <v>0.47</v>
      </c>
      <c r="G14022" s="37" t="str">
        <f t="shared" si="1096"/>
        <v>Heavy Discount</v>
      </c>
      <c r="H14022" s="37" t="str">
        <f t="shared" si="1097"/>
        <v>High</v>
      </c>
      <c r="I14022">
        <v>8</v>
      </c>
      <c r="J14022" t="str" cm="1">
        <f t="array" ref="J14022">_xlfn.IFS(I14022&lt;=3,"small",I14022&lt;=6,"Medium",I14022&lt;=9,"Large")</f>
        <v>Large</v>
      </c>
      <c r="K14022" s="36">
        <v>44959</v>
      </c>
      <c r="L14022" s="36">
        <v>44960</v>
      </c>
      <c r="M14022" t="s">
        <v>603</v>
      </c>
      <c r="N14022" t="s">
        <v>604</v>
      </c>
      <c r="O14022" s="37" t="str">
        <f t="shared" si="1098"/>
        <v>Digital Payment</v>
      </c>
      <c r="P14022">
        <v>71.180000000000007</v>
      </c>
      <c r="Q14022" s="37" t="str">
        <f>IF(P14022&gt;500,"High","low")</f>
        <v>low</v>
      </c>
      <c r="R14022" s="37" t="str">
        <f t="shared" si="1099"/>
        <v>AVERAGE</v>
      </c>
      <c r="S14022" t="s">
        <v>615</v>
      </c>
    </row>
    <row r="14023" spans="1:19" x14ac:dyDescent="0.2">
      <c r="A14023" t="s">
        <v>14634</v>
      </c>
      <c r="B14023" t="s">
        <v>75</v>
      </c>
      <c r="C14023" t="s">
        <v>617</v>
      </c>
      <c r="D14023">
        <v>3981.32</v>
      </c>
      <c r="E14023" s="37" t="str">
        <f t="shared" si="1095"/>
        <v xml:space="preserve"> </v>
      </c>
      <c r="F14023">
        <v>0.28000000000000003</v>
      </c>
      <c r="G14023" s="37" t="str">
        <f t="shared" si="1096"/>
        <v>Normal Discount</v>
      </c>
      <c r="H14023" s="37" t="str">
        <f t="shared" si="1097"/>
        <v>Medium</v>
      </c>
      <c r="I14023">
        <v>7</v>
      </c>
      <c r="J14023" t="str" cm="1">
        <f t="array" ref="J14023">_xlfn.IFS(I14023&lt;=3,"small",I14023&lt;=6,"Medium",I14023&lt;=9,"Large")</f>
        <v>Large</v>
      </c>
      <c r="K14023" s="36">
        <v>45305</v>
      </c>
      <c r="L14023" s="36">
        <v>45308</v>
      </c>
      <c r="M14023" t="s">
        <v>612</v>
      </c>
      <c r="N14023" t="s">
        <v>608</v>
      </c>
      <c r="O14023" s="37" t="str">
        <f t="shared" si="1098"/>
        <v>Cash Payment</v>
      </c>
      <c r="P14023">
        <v>867.6</v>
      </c>
      <c r="Q14023" s="37" t="str">
        <f>IF(P14023&gt;500,"High","low")</f>
        <v>High</v>
      </c>
      <c r="R14023" s="37" t="str">
        <f t="shared" si="1099"/>
        <v>Good</v>
      </c>
      <c r="S14023" t="s">
        <v>628</v>
      </c>
    </row>
    <row r="14024" spans="1:19" x14ac:dyDescent="0.2">
      <c r="A14024" t="s">
        <v>14635</v>
      </c>
      <c r="B14024" t="s">
        <v>83</v>
      </c>
      <c r="C14024" t="s">
        <v>617</v>
      </c>
      <c r="D14024">
        <v>1915.81</v>
      </c>
      <c r="E14024" s="37" t="str">
        <f t="shared" si="1095"/>
        <v xml:space="preserve"> </v>
      </c>
      <c r="F14024">
        <v>0.2</v>
      </c>
      <c r="G14024" s="37" t="str">
        <f t="shared" si="1096"/>
        <v>Normal Discount</v>
      </c>
      <c r="H14024" s="37" t="str">
        <f t="shared" si="1097"/>
        <v>Medium</v>
      </c>
      <c r="I14024">
        <v>9</v>
      </c>
      <c r="J14024" t="str" cm="1">
        <f t="array" ref="J14024">_xlfn.IFS(I14024&lt;=3,"small",I14024&lt;=6,"Medium",I14024&lt;=9,"Large")</f>
        <v>Large</v>
      </c>
      <c r="K14024" s="36">
        <v>44957</v>
      </c>
      <c r="L14024" s="36">
        <v>44961</v>
      </c>
      <c r="M14024" t="s">
        <v>603</v>
      </c>
      <c r="N14024" t="s">
        <v>604</v>
      </c>
      <c r="O14024" s="37" t="str">
        <f t="shared" si="1098"/>
        <v>Digital Payment</v>
      </c>
      <c r="P14024">
        <v>466.32</v>
      </c>
      <c r="Q14024" s="37" t="str">
        <f>IF(P14024&gt;500,"High","low")</f>
        <v>low</v>
      </c>
      <c r="R14024" s="37" t="str">
        <f t="shared" si="1099"/>
        <v>AVERAGE</v>
      </c>
      <c r="S14024" t="s">
        <v>600</v>
      </c>
    </row>
    <row r="14025" spans="1:19" x14ac:dyDescent="0.2">
      <c r="A14025" t="s">
        <v>14636</v>
      </c>
      <c r="B14025" t="s">
        <v>75</v>
      </c>
      <c r="C14025" t="s">
        <v>597</v>
      </c>
      <c r="D14025">
        <v>3589.1</v>
      </c>
      <c r="E14025" s="37" t="str">
        <f t="shared" si="1095"/>
        <v xml:space="preserve"> </v>
      </c>
      <c r="F14025">
        <v>0.34</v>
      </c>
      <c r="G14025" s="37" t="str">
        <f t="shared" si="1096"/>
        <v>Heavy Discount</v>
      </c>
      <c r="H14025" s="37" t="str">
        <f t="shared" si="1097"/>
        <v>Medium</v>
      </c>
      <c r="I14025">
        <v>8</v>
      </c>
      <c r="J14025" t="str" cm="1">
        <f t="array" ref="J14025">_xlfn.IFS(I14025&lt;=3,"small",I14025&lt;=6,"Medium",I14025&lt;=9,"Large")</f>
        <v>Large</v>
      </c>
      <c r="K14025" s="36">
        <v>45393</v>
      </c>
      <c r="L14025" s="36">
        <v>45396</v>
      </c>
      <c r="M14025" t="s">
        <v>603</v>
      </c>
      <c r="N14025" t="s">
        <v>599</v>
      </c>
      <c r="O14025" s="37" t="str">
        <f t="shared" si="1098"/>
        <v>Digital Payment</v>
      </c>
      <c r="P14025">
        <v>950.57</v>
      </c>
      <c r="Q14025" s="37" t="str">
        <f>IF(P14025&gt;500,"High","low")</f>
        <v>High</v>
      </c>
      <c r="R14025" s="37" t="str">
        <f t="shared" si="1099"/>
        <v>Good</v>
      </c>
      <c r="S14025" t="s">
        <v>600</v>
      </c>
    </row>
    <row r="14026" spans="1:19" x14ac:dyDescent="0.2">
      <c r="A14026" t="s">
        <v>14637</v>
      </c>
      <c r="B14026" t="s">
        <v>90</v>
      </c>
      <c r="C14026" t="s">
        <v>607</v>
      </c>
      <c r="D14026">
        <v>4638.78</v>
      </c>
      <c r="E14026" s="37" t="str">
        <f t="shared" si="1095"/>
        <v xml:space="preserve"> </v>
      </c>
      <c r="F14026">
        <v>0.1</v>
      </c>
      <c r="G14026" s="37" t="str">
        <f t="shared" si="1096"/>
        <v>Normal Discount</v>
      </c>
      <c r="H14026" s="37" t="str">
        <f t="shared" si="1097"/>
        <v>Low</v>
      </c>
      <c r="I14026">
        <v>2</v>
      </c>
      <c r="J14026" t="str" cm="1">
        <f t="array" ref="J14026">_xlfn.IFS(I14026&lt;=3,"small",I14026&lt;=6,"Medium",I14026&lt;=9,"Large")</f>
        <v>small</v>
      </c>
      <c r="K14026" s="36">
        <v>45360</v>
      </c>
      <c r="L14026" s="36">
        <v>45362</v>
      </c>
      <c r="M14026" t="s">
        <v>612</v>
      </c>
      <c r="N14026" t="s">
        <v>599</v>
      </c>
      <c r="O14026" s="37" t="str">
        <f t="shared" si="1098"/>
        <v>Digital Payment</v>
      </c>
      <c r="P14026">
        <v>370.83</v>
      </c>
      <c r="Q14026" s="37" t="str">
        <f>IF(P14026&gt;500,"High","low")</f>
        <v>low</v>
      </c>
      <c r="R14026" s="37" t="str">
        <f t="shared" si="1099"/>
        <v>AVERAGE</v>
      </c>
      <c r="S14026" t="s">
        <v>628</v>
      </c>
    </row>
    <row r="14027" spans="1:19" x14ac:dyDescent="0.2">
      <c r="A14027" t="s">
        <v>14638</v>
      </c>
      <c r="B14027" t="s">
        <v>83</v>
      </c>
      <c r="C14027" t="s">
        <v>617</v>
      </c>
      <c r="D14027">
        <v>3138.68</v>
      </c>
      <c r="E14027" s="37" t="str">
        <f t="shared" si="1095"/>
        <v xml:space="preserve"> </v>
      </c>
      <c r="F14027">
        <v>0.19</v>
      </c>
      <c r="G14027" s="37" t="str">
        <f t="shared" si="1096"/>
        <v>Normal Discount</v>
      </c>
      <c r="H14027" s="37" t="str">
        <f t="shared" si="1097"/>
        <v>Low</v>
      </c>
      <c r="I14027">
        <v>8</v>
      </c>
      <c r="J14027" t="str" cm="1">
        <f t="array" ref="J14027">_xlfn.IFS(I14027&lt;=3,"small",I14027&lt;=6,"Medium",I14027&lt;=9,"Large")</f>
        <v>Large</v>
      </c>
      <c r="K14027" s="36">
        <v>45045</v>
      </c>
      <c r="L14027" s="36">
        <v>45052</v>
      </c>
      <c r="M14027" t="s">
        <v>612</v>
      </c>
      <c r="N14027" t="s">
        <v>604</v>
      </c>
      <c r="O14027" s="37" t="str">
        <f t="shared" si="1098"/>
        <v>Digital Payment</v>
      </c>
      <c r="P14027">
        <v>318.47000000000003</v>
      </c>
      <c r="Q14027" s="37" t="str">
        <f>IF(P14027&gt;500,"High","low")</f>
        <v>low</v>
      </c>
      <c r="R14027" s="37" t="str">
        <f t="shared" si="1099"/>
        <v>AVERAGE</v>
      </c>
      <c r="S14027" t="s">
        <v>605</v>
      </c>
    </row>
    <row r="14028" spans="1:19" x14ac:dyDescent="0.2">
      <c r="A14028" t="s">
        <v>14639</v>
      </c>
      <c r="B14028" t="s">
        <v>83</v>
      </c>
      <c r="C14028" t="s">
        <v>607</v>
      </c>
      <c r="D14028">
        <v>4611.43</v>
      </c>
      <c r="E14028" s="37" t="str">
        <f t="shared" si="1095"/>
        <v>Excellent Order</v>
      </c>
      <c r="F14028">
        <v>0.02</v>
      </c>
      <c r="G14028" s="37" t="str">
        <f t="shared" si="1096"/>
        <v>Normal Discount</v>
      </c>
      <c r="H14028" s="37" t="str">
        <f t="shared" si="1097"/>
        <v>Low</v>
      </c>
      <c r="I14028">
        <v>8</v>
      </c>
      <c r="J14028" t="str" cm="1">
        <f t="array" ref="J14028">_xlfn.IFS(I14028&lt;=3,"small",I14028&lt;=6,"Medium",I14028&lt;=9,"Large")</f>
        <v>Large</v>
      </c>
      <c r="K14028" s="36">
        <v>45004</v>
      </c>
      <c r="L14028" s="36">
        <v>45009</v>
      </c>
      <c r="M14028" t="s">
        <v>612</v>
      </c>
      <c r="N14028" t="s">
        <v>608</v>
      </c>
      <c r="O14028" s="37" t="str">
        <f t="shared" si="1098"/>
        <v>Cash Payment</v>
      </c>
      <c r="P14028">
        <v>1270.1600000000001</v>
      </c>
      <c r="Q14028" s="37" t="str">
        <f>IF(P14028&gt;500,"High","low")</f>
        <v>High</v>
      </c>
      <c r="R14028" s="37" t="str">
        <f t="shared" si="1099"/>
        <v>Excellent</v>
      </c>
      <c r="S14028" t="s">
        <v>615</v>
      </c>
    </row>
    <row r="14029" spans="1:19" x14ac:dyDescent="0.2">
      <c r="A14029" t="s">
        <v>14640</v>
      </c>
      <c r="B14029" t="s">
        <v>90</v>
      </c>
      <c r="C14029" t="s">
        <v>607</v>
      </c>
      <c r="D14029">
        <v>1251.6199999999999</v>
      </c>
      <c r="E14029" s="37" t="str">
        <f t="shared" si="1095"/>
        <v xml:space="preserve"> </v>
      </c>
      <c r="F14029">
        <v>0.44</v>
      </c>
      <c r="G14029" s="37" t="str">
        <f t="shared" si="1096"/>
        <v>Heavy Discount</v>
      </c>
      <c r="H14029" s="37" t="str">
        <f t="shared" si="1097"/>
        <v>High</v>
      </c>
      <c r="I14029">
        <v>9</v>
      </c>
      <c r="J14029" t="str" cm="1">
        <f t="array" ref="J14029">_xlfn.IFS(I14029&lt;=3,"small",I14029&lt;=6,"Medium",I14029&lt;=9,"Large")</f>
        <v>Large</v>
      </c>
      <c r="K14029" s="36">
        <v>45249</v>
      </c>
      <c r="L14029" s="36">
        <v>45250</v>
      </c>
      <c r="M14029" t="s">
        <v>612</v>
      </c>
      <c r="N14029" t="s">
        <v>608</v>
      </c>
      <c r="O14029" s="37" t="str">
        <f t="shared" si="1098"/>
        <v>Cash Payment</v>
      </c>
      <c r="P14029">
        <v>131.94999999999999</v>
      </c>
      <c r="Q14029" s="37" t="str">
        <f>IF(P14029&gt;500,"High","low")</f>
        <v>low</v>
      </c>
      <c r="R14029" s="37" t="str">
        <f t="shared" si="1099"/>
        <v>AVERAGE</v>
      </c>
      <c r="S14029" t="s">
        <v>600</v>
      </c>
    </row>
    <row r="14030" spans="1:19" x14ac:dyDescent="0.2">
      <c r="A14030" t="s">
        <v>14641</v>
      </c>
      <c r="B14030" t="s">
        <v>90</v>
      </c>
      <c r="C14030" t="s">
        <v>614</v>
      </c>
      <c r="D14030">
        <v>4892.8599999999997</v>
      </c>
      <c r="E14030" s="37" t="str">
        <f t="shared" si="1095"/>
        <v>Excellent Order</v>
      </c>
      <c r="F14030">
        <v>0.21</v>
      </c>
      <c r="G14030" s="37" t="str">
        <f t="shared" si="1096"/>
        <v>Normal Discount</v>
      </c>
      <c r="H14030" s="37" t="str">
        <f t="shared" si="1097"/>
        <v>Medium</v>
      </c>
      <c r="I14030">
        <v>3</v>
      </c>
      <c r="J14030" t="str" cm="1">
        <f t="array" ref="J14030">_xlfn.IFS(I14030&lt;=3,"small",I14030&lt;=6,"Medium",I14030&lt;=9,"Large")</f>
        <v>small</v>
      </c>
      <c r="K14030" s="36">
        <v>45088</v>
      </c>
      <c r="L14030" s="36">
        <v>45095</v>
      </c>
      <c r="M14030" t="s">
        <v>603</v>
      </c>
      <c r="N14030" t="s">
        <v>599</v>
      </c>
      <c r="O14030" s="37" t="str">
        <f t="shared" si="1098"/>
        <v>Digital Payment</v>
      </c>
      <c r="P14030">
        <v>968.63</v>
      </c>
      <c r="Q14030" s="37" t="str">
        <f>IF(P14030&gt;500,"High","low")</f>
        <v>High</v>
      </c>
      <c r="R14030" s="37" t="str">
        <f t="shared" si="1099"/>
        <v>Good</v>
      </c>
      <c r="S14030" t="s">
        <v>620</v>
      </c>
    </row>
    <row r="14031" spans="1:19" x14ac:dyDescent="0.2">
      <c r="A14031" t="s">
        <v>14642</v>
      </c>
      <c r="B14031" t="s">
        <v>90</v>
      </c>
      <c r="C14031" t="s">
        <v>597</v>
      </c>
      <c r="D14031">
        <v>4376.96</v>
      </c>
      <c r="E14031" s="37" t="str">
        <f t="shared" si="1095"/>
        <v xml:space="preserve"> </v>
      </c>
      <c r="F14031">
        <v>0.38</v>
      </c>
      <c r="G14031" s="37" t="str">
        <f t="shared" si="1096"/>
        <v>Heavy Discount</v>
      </c>
      <c r="H14031" s="37" t="str">
        <f t="shared" si="1097"/>
        <v>Medium</v>
      </c>
      <c r="I14031">
        <v>8</v>
      </c>
      <c r="J14031" t="str" cm="1">
        <f t="array" ref="J14031">_xlfn.IFS(I14031&lt;=3,"small",I14031&lt;=6,"Medium",I14031&lt;=9,"Large")</f>
        <v>Large</v>
      </c>
      <c r="K14031" s="36">
        <v>44977</v>
      </c>
      <c r="L14031" s="36">
        <v>44984</v>
      </c>
      <c r="M14031" t="s">
        <v>612</v>
      </c>
      <c r="N14031" t="s">
        <v>608</v>
      </c>
      <c r="O14031" s="37" t="str">
        <f t="shared" si="1098"/>
        <v>Cash Payment</v>
      </c>
      <c r="P14031">
        <v>422.58</v>
      </c>
      <c r="Q14031" s="37" t="str">
        <f>IF(P14031&gt;500,"High","low")</f>
        <v>low</v>
      </c>
      <c r="R14031" s="37" t="str">
        <f t="shared" si="1099"/>
        <v>AVERAGE</v>
      </c>
      <c r="S14031" t="s">
        <v>600</v>
      </c>
    </row>
    <row r="14032" spans="1:19" x14ac:dyDescent="0.2">
      <c r="A14032" t="s">
        <v>14643</v>
      </c>
      <c r="B14032" t="s">
        <v>75</v>
      </c>
      <c r="C14032" t="s">
        <v>607</v>
      </c>
      <c r="D14032">
        <v>627.11</v>
      </c>
      <c r="E14032" s="37" t="str">
        <f t="shared" si="1095"/>
        <v xml:space="preserve"> </v>
      </c>
      <c r="F14032">
        <v>0.46</v>
      </c>
      <c r="G14032" s="37" t="str">
        <f t="shared" si="1096"/>
        <v>Heavy Discount</v>
      </c>
      <c r="H14032" s="37" t="str">
        <f t="shared" si="1097"/>
        <v>High</v>
      </c>
      <c r="I14032">
        <v>8</v>
      </c>
      <c r="J14032" t="str" cm="1">
        <f t="array" ref="J14032">_xlfn.IFS(I14032&lt;=3,"small",I14032&lt;=6,"Medium",I14032&lt;=9,"Large")</f>
        <v>Large</v>
      </c>
      <c r="K14032" s="36">
        <v>45393</v>
      </c>
      <c r="L14032" s="36">
        <v>45394</v>
      </c>
      <c r="M14032" t="s">
        <v>612</v>
      </c>
      <c r="N14032" t="s">
        <v>599</v>
      </c>
      <c r="O14032" s="37" t="str">
        <f t="shared" si="1098"/>
        <v>Digital Payment</v>
      </c>
      <c r="P14032">
        <v>52.58</v>
      </c>
      <c r="Q14032" s="37" t="str">
        <f>IF(P14032&gt;500,"High","low")</f>
        <v>low</v>
      </c>
      <c r="R14032" s="37" t="str">
        <f t="shared" si="1099"/>
        <v>AVERAGE</v>
      </c>
      <c r="S14032" t="s">
        <v>628</v>
      </c>
    </row>
    <row r="14033" spans="1:19" x14ac:dyDescent="0.2">
      <c r="A14033" t="s">
        <v>14644</v>
      </c>
      <c r="B14033" t="s">
        <v>67</v>
      </c>
      <c r="C14033" t="s">
        <v>597</v>
      </c>
      <c r="D14033">
        <v>2126.34</v>
      </c>
      <c r="E14033" s="37" t="str">
        <f t="shared" si="1095"/>
        <v xml:space="preserve"> </v>
      </c>
      <c r="F14033">
        <v>0.33</v>
      </c>
      <c r="G14033" s="37" t="str">
        <f t="shared" si="1096"/>
        <v>Heavy Discount</v>
      </c>
      <c r="H14033" s="37" t="str">
        <f t="shared" si="1097"/>
        <v>Medium</v>
      </c>
      <c r="I14033">
        <v>4</v>
      </c>
      <c r="J14033" t="str" cm="1">
        <f t="array" ref="J14033">_xlfn.IFS(I14033&lt;=3,"small",I14033&lt;=6,"Medium",I14033&lt;=9,"Large")</f>
        <v>Medium</v>
      </c>
      <c r="K14033" s="36">
        <v>45144</v>
      </c>
      <c r="L14033" s="36">
        <v>45148</v>
      </c>
      <c r="M14033" t="s">
        <v>612</v>
      </c>
      <c r="N14033" t="s">
        <v>599</v>
      </c>
      <c r="O14033" s="37" t="str">
        <f t="shared" si="1098"/>
        <v>Digital Payment</v>
      </c>
      <c r="P14033">
        <v>234.06</v>
      </c>
      <c r="Q14033" s="37" t="str">
        <f>IF(P14033&gt;500,"High","low")</f>
        <v>low</v>
      </c>
      <c r="R14033" s="37" t="str">
        <f t="shared" si="1099"/>
        <v>AVERAGE</v>
      </c>
      <c r="S14033" t="s">
        <v>600</v>
      </c>
    </row>
    <row r="14034" spans="1:19" x14ac:dyDescent="0.2">
      <c r="A14034" t="s">
        <v>14645</v>
      </c>
      <c r="B14034" t="s">
        <v>75</v>
      </c>
      <c r="C14034" t="s">
        <v>597</v>
      </c>
      <c r="D14034">
        <v>4642.4399999999996</v>
      </c>
      <c r="E14034" s="37" t="str">
        <f t="shared" si="1095"/>
        <v xml:space="preserve"> </v>
      </c>
      <c r="F14034">
        <v>0.19</v>
      </c>
      <c r="G14034" s="37" t="str">
        <f t="shared" si="1096"/>
        <v>Normal Discount</v>
      </c>
      <c r="H14034" s="37" t="str">
        <f t="shared" si="1097"/>
        <v>Low</v>
      </c>
      <c r="I14034">
        <v>5</v>
      </c>
      <c r="J14034" t="str" cm="1">
        <f t="array" ref="J14034">_xlfn.IFS(I14034&lt;=3,"small",I14034&lt;=6,"Medium",I14034&lt;=9,"Large")</f>
        <v>Medium</v>
      </c>
      <c r="K14034" s="36">
        <v>45634</v>
      </c>
      <c r="L14034" s="36">
        <v>45639</v>
      </c>
      <c r="M14034" t="s">
        <v>598</v>
      </c>
      <c r="N14034" t="s">
        <v>608</v>
      </c>
      <c r="O14034" s="37" t="str">
        <f t="shared" si="1098"/>
        <v>Cash Payment</v>
      </c>
      <c r="P14034">
        <v>497.02</v>
      </c>
      <c r="Q14034" s="37" t="str">
        <f>IF(P14034&gt;500,"High","low")</f>
        <v>low</v>
      </c>
      <c r="R14034" s="37" t="str">
        <f t="shared" si="1099"/>
        <v>AVERAGE</v>
      </c>
      <c r="S14034" t="s">
        <v>600</v>
      </c>
    </row>
    <row r="14035" spans="1:19" x14ac:dyDescent="0.2">
      <c r="A14035" t="s">
        <v>14646</v>
      </c>
      <c r="B14035" t="s">
        <v>75</v>
      </c>
      <c r="C14035" t="s">
        <v>614</v>
      </c>
      <c r="D14035">
        <v>482.77</v>
      </c>
      <c r="E14035" s="37" t="str">
        <f t="shared" si="1095"/>
        <v xml:space="preserve"> </v>
      </c>
      <c r="F14035">
        <v>0.31</v>
      </c>
      <c r="G14035" s="37" t="str">
        <f t="shared" si="1096"/>
        <v>Heavy Discount</v>
      </c>
      <c r="H14035" s="37" t="str">
        <f t="shared" si="1097"/>
        <v>Medium</v>
      </c>
      <c r="I14035">
        <v>2</v>
      </c>
      <c r="J14035" t="str" cm="1">
        <f t="array" ref="J14035">_xlfn.IFS(I14035&lt;=3,"small",I14035&lt;=6,"Medium",I14035&lt;=9,"Large")</f>
        <v>small</v>
      </c>
      <c r="K14035" s="36">
        <v>45322</v>
      </c>
      <c r="L14035" s="36">
        <v>45323</v>
      </c>
      <c r="M14035" t="s">
        <v>603</v>
      </c>
      <c r="N14035" t="s">
        <v>599</v>
      </c>
      <c r="O14035" s="37" t="str">
        <f t="shared" si="1098"/>
        <v>Digital Payment</v>
      </c>
      <c r="P14035">
        <v>47.75</v>
      </c>
      <c r="Q14035" s="37" t="str">
        <f>IF(P14035&gt;500,"High","low")</f>
        <v>low</v>
      </c>
      <c r="R14035" s="37" t="str">
        <f t="shared" si="1099"/>
        <v>AVERAGE</v>
      </c>
      <c r="S14035" t="s">
        <v>628</v>
      </c>
    </row>
    <row r="14036" spans="1:19" x14ac:dyDescent="0.2">
      <c r="A14036" t="s">
        <v>14647</v>
      </c>
      <c r="B14036" t="s">
        <v>67</v>
      </c>
      <c r="C14036" t="s">
        <v>597</v>
      </c>
      <c r="D14036">
        <v>2323.44</v>
      </c>
      <c r="E14036" s="37" t="str">
        <f t="shared" si="1095"/>
        <v xml:space="preserve"> </v>
      </c>
      <c r="F14036">
        <v>0.18</v>
      </c>
      <c r="G14036" s="37" t="str">
        <f t="shared" si="1096"/>
        <v>Normal Discount</v>
      </c>
      <c r="H14036" s="37" t="str">
        <f t="shared" si="1097"/>
        <v>Low</v>
      </c>
      <c r="I14036">
        <v>6</v>
      </c>
      <c r="J14036" t="str" cm="1">
        <f t="array" ref="J14036">_xlfn.IFS(I14036&lt;=3,"small",I14036&lt;=6,"Medium",I14036&lt;=9,"Large")</f>
        <v>Medium</v>
      </c>
      <c r="K14036" s="36">
        <v>45016</v>
      </c>
      <c r="L14036" s="36">
        <v>45023</v>
      </c>
      <c r="M14036" t="s">
        <v>598</v>
      </c>
      <c r="N14036" t="s">
        <v>604</v>
      </c>
      <c r="O14036" s="37" t="str">
        <f t="shared" si="1098"/>
        <v>Digital Payment</v>
      </c>
      <c r="P14036">
        <v>172.59</v>
      </c>
      <c r="Q14036" s="37" t="str">
        <f>IF(P14036&gt;500,"High","low")</f>
        <v>low</v>
      </c>
      <c r="R14036" s="37" t="str">
        <f t="shared" si="1099"/>
        <v>AVERAGE</v>
      </c>
      <c r="S14036" t="s">
        <v>628</v>
      </c>
    </row>
    <row r="14037" spans="1:19" x14ac:dyDescent="0.2">
      <c r="A14037" t="s">
        <v>14648</v>
      </c>
      <c r="B14037" t="s">
        <v>90</v>
      </c>
      <c r="C14037" t="s">
        <v>607</v>
      </c>
      <c r="D14037">
        <v>3645.61</v>
      </c>
      <c r="E14037" s="37" t="str">
        <f t="shared" si="1095"/>
        <v xml:space="preserve"> </v>
      </c>
      <c r="F14037">
        <v>0.28000000000000003</v>
      </c>
      <c r="G14037" s="37" t="str">
        <f t="shared" si="1096"/>
        <v>Normal Discount</v>
      </c>
      <c r="H14037" s="37" t="str">
        <f t="shared" si="1097"/>
        <v>Medium</v>
      </c>
      <c r="I14037">
        <v>9</v>
      </c>
      <c r="J14037" t="str" cm="1">
        <f t="array" ref="J14037">_xlfn.IFS(I14037&lt;=3,"small",I14037&lt;=6,"Medium",I14037&lt;=9,"Large")</f>
        <v>Large</v>
      </c>
      <c r="K14037" s="36">
        <v>45056</v>
      </c>
      <c r="L14037" s="36">
        <v>45059</v>
      </c>
      <c r="M14037" t="s">
        <v>612</v>
      </c>
      <c r="N14037" t="s">
        <v>604</v>
      </c>
      <c r="O14037" s="37" t="str">
        <f t="shared" si="1098"/>
        <v>Digital Payment</v>
      </c>
      <c r="P14037">
        <v>247.34</v>
      </c>
      <c r="Q14037" s="37" t="str">
        <f>IF(P14037&gt;500,"High","low")</f>
        <v>low</v>
      </c>
      <c r="R14037" s="37" t="str">
        <f t="shared" si="1099"/>
        <v>AVERAGE</v>
      </c>
      <c r="S14037" t="s">
        <v>605</v>
      </c>
    </row>
    <row r="14038" spans="1:19" x14ac:dyDescent="0.2">
      <c r="A14038" t="s">
        <v>14649</v>
      </c>
      <c r="B14038" t="s">
        <v>90</v>
      </c>
      <c r="C14038" t="s">
        <v>602</v>
      </c>
      <c r="D14038">
        <v>263.89</v>
      </c>
      <c r="E14038" s="37" t="str">
        <f t="shared" si="1095"/>
        <v xml:space="preserve"> </v>
      </c>
      <c r="F14038">
        <v>0.22</v>
      </c>
      <c r="G14038" s="37" t="str">
        <f t="shared" si="1096"/>
        <v>Normal Discount</v>
      </c>
      <c r="H14038" s="37" t="str">
        <f t="shared" si="1097"/>
        <v>Medium</v>
      </c>
      <c r="I14038">
        <v>3</v>
      </c>
      <c r="J14038" t="str" cm="1">
        <f t="array" ref="J14038">_xlfn.IFS(I14038&lt;=3,"small",I14038&lt;=6,"Medium",I14038&lt;=9,"Large")</f>
        <v>small</v>
      </c>
      <c r="K14038" s="36">
        <v>44938</v>
      </c>
      <c r="L14038" s="36">
        <v>44943</v>
      </c>
      <c r="M14038" t="s">
        <v>603</v>
      </c>
      <c r="N14038" t="s">
        <v>604</v>
      </c>
      <c r="O14038" s="37" t="str">
        <f t="shared" si="1098"/>
        <v>Digital Payment</v>
      </c>
      <c r="P14038">
        <v>34.07</v>
      </c>
      <c r="Q14038" s="37" t="str">
        <f>IF(P14038&gt;500,"High","low")</f>
        <v>low</v>
      </c>
      <c r="R14038" s="37" t="str">
        <f t="shared" si="1099"/>
        <v>AVERAGE</v>
      </c>
      <c r="S14038" t="s">
        <v>620</v>
      </c>
    </row>
    <row r="14039" spans="1:19" x14ac:dyDescent="0.2">
      <c r="A14039" t="s">
        <v>14650</v>
      </c>
      <c r="B14039" t="s">
        <v>67</v>
      </c>
      <c r="C14039" t="s">
        <v>607</v>
      </c>
      <c r="D14039">
        <v>3788.87</v>
      </c>
      <c r="E14039" s="37" t="str">
        <f t="shared" si="1095"/>
        <v xml:space="preserve"> </v>
      </c>
      <c r="F14039">
        <v>7.0000000000000007E-2</v>
      </c>
      <c r="G14039" s="37" t="str">
        <f t="shared" si="1096"/>
        <v>Normal Discount</v>
      </c>
      <c r="H14039" s="37" t="str">
        <f t="shared" si="1097"/>
        <v>Low</v>
      </c>
      <c r="I14039">
        <v>6</v>
      </c>
      <c r="J14039" t="str" cm="1">
        <f t="array" ref="J14039">_xlfn.IFS(I14039&lt;=3,"small",I14039&lt;=6,"Medium",I14039&lt;=9,"Large")</f>
        <v>Medium</v>
      </c>
      <c r="K14039" s="36">
        <v>45307</v>
      </c>
      <c r="L14039" s="36">
        <v>45314</v>
      </c>
      <c r="M14039" t="s">
        <v>612</v>
      </c>
      <c r="N14039" t="s">
        <v>604</v>
      </c>
      <c r="O14039" s="37" t="str">
        <f t="shared" si="1098"/>
        <v>Digital Payment</v>
      </c>
      <c r="P14039">
        <v>498.49</v>
      </c>
      <c r="Q14039" s="37" t="str">
        <f>IF(P14039&gt;500,"High","low")</f>
        <v>low</v>
      </c>
      <c r="R14039" s="37" t="str">
        <f t="shared" si="1099"/>
        <v>AVERAGE</v>
      </c>
      <c r="S14039" t="s">
        <v>615</v>
      </c>
    </row>
    <row r="14040" spans="1:19" x14ac:dyDescent="0.2">
      <c r="A14040" t="s">
        <v>14651</v>
      </c>
      <c r="B14040" t="s">
        <v>67</v>
      </c>
      <c r="C14040" t="s">
        <v>607</v>
      </c>
      <c r="D14040">
        <v>1869.89</v>
      </c>
      <c r="E14040" s="37" t="str">
        <f t="shared" si="1095"/>
        <v xml:space="preserve"> </v>
      </c>
      <c r="F14040">
        <v>0.39</v>
      </c>
      <c r="G14040" s="37" t="str">
        <f t="shared" si="1096"/>
        <v>Heavy Discount</v>
      </c>
      <c r="H14040" s="37" t="str">
        <f t="shared" si="1097"/>
        <v>Medium</v>
      </c>
      <c r="I14040">
        <v>8</v>
      </c>
      <c r="J14040" t="str" cm="1">
        <f t="array" ref="J14040">_xlfn.IFS(I14040&lt;=3,"small",I14040&lt;=6,"Medium",I14040&lt;=9,"Large")</f>
        <v>Large</v>
      </c>
      <c r="K14040" s="36">
        <v>44958</v>
      </c>
      <c r="L14040" s="36">
        <v>44964</v>
      </c>
      <c r="M14040" t="s">
        <v>598</v>
      </c>
      <c r="N14040" t="s">
        <v>604</v>
      </c>
      <c r="O14040" s="37" t="str">
        <f t="shared" si="1098"/>
        <v>Digital Payment</v>
      </c>
      <c r="P14040">
        <v>458.1</v>
      </c>
      <c r="Q14040" s="37" t="str">
        <f>IF(P14040&gt;500,"High","low")</f>
        <v>low</v>
      </c>
      <c r="R14040" s="37" t="str">
        <f t="shared" si="1099"/>
        <v>AVERAGE</v>
      </c>
      <c r="S14040" t="s">
        <v>620</v>
      </c>
    </row>
    <row r="14041" spans="1:19" x14ac:dyDescent="0.2">
      <c r="A14041" t="s">
        <v>14652</v>
      </c>
      <c r="B14041" t="s">
        <v>75</v>
      </c>
      <c r="C14041" t="s">
        <v>597</v>
      </c>
      <c r="D14041">
        <v>1321.92</v>
      </c>
      <c r="E14041" s="37" t="str">
        <f t="shared" si="1095"/>
        <v xml:space="preserve"> </v>
      </c>
      <c r="F14041">
        <v>0.25</v>
      </c>
      <c r="G14041" s="37" t="str">
        <f t="shared" si="1096"/>
        <v>Normal Discount</v>
      </c>
      <c r="H14041" s="37" t="str">
        <f t="shared" si="1097"/>
        <v>Medium</v>
      </c>
      <c r="I14041">
        <v>2</v>
      </c>
      <c r="J14041" t="str" cm="1">
        <f t="array" ref="J14041">_xlfn.IFS(I14041&lt;=3,"small",I14041&lt;=6,"Medium",I14041&lt;=9,"Large")</f>
        <v>small</v>
      </c>
      <c r="K14041" s="36">
        <v>44977</v>
      </c>
      <c r="L14041" s="36">
        <v>44984</v>
      </c>
      <c r="M14041" t="s">
        <v>603</v>
      </c>
      <c r="N14041" t="s">
        <v>604</v>
      </c>
      <c r="O14041" s="37" t="str">
        <f t="shared" si="1098"/>
        <v>Digital Payment</v>
      </c>
      <c r="P14041">
        <v>340.68</v>
      </c>
      <c r="Q14041" s="37" t="str">
        <f>IF(P14041&gt;500,"High","low")</f>
        <v>low</v>
      </c>
      <c r="R14041" s="37" t="str">
        <f t="shared" si="1099"/>
        <v>AVERAGE</v>
      </c>
      <c r="S14041" t="s">
        <v>620</v>
      </c>
    </row>
    <row r="14042" spans="1:19" x14ac:dyDescent="0.2">
      <c r="A14042" t="s">
        <v>14653</v>
      </c>
      <c r="B14042" t="s">
        <v>83</v>
      </c>
      <c r="C14042" t="s">
        <v>607</v>
      </c>
      <c r="D14042">
        <v>2922.26</v>
      </c>
      <c r="E14042" s="37" t="str">
        <f t="shared" si="1095"/>
        <v xml:space="preserve"> </v>
      </c>
      <c r="F14042">
        <v>0.1</v>
      </c>
      <c r="G14042" s="37" t="str">
        <f t="shared" si="1096"/>
        <v>Normal Discount</v>
      </c>
      <c r="H14042" s="37" t="str">
        <f t="shared" si="1097"/>
        <v>Low</v>
      </c>
      <c r="I14042">
        <v>1</v>
      </c>
      <c r="J14042" t="str" cm="1">
        <f t="array" ref="J14042">_xlfn.IFS(I14042&lt;=3,"small",I14042&lt;=6,"Medium",I14042&lt;=9,"Large")</f>
        <v>small</v>
      </c>
      <c r="K14042" s="36">
        <v>45306</v>
      </c>
      <c r="L14042" s="36">
        <v>45310</v>
      </c>
      <c r="M14042" t="s">
        <v>612</v>
      </c>
      <c r="N14042" t="s">
        <v>604</v>
      </c>
      <c r="O14042" s="37" t="str">
        <f t="shared" si="1098"/>
        <v>Digital Payment</v>
      </c>
      <c r="P14042">
        <v>255.94</v>
      </c>
      <c r="Q14042" s="37" t="str">
        <f>IF(P14042&gt;500,"High","low")</f>
        <v>low</v>
      </c>
      <c r="R14042" s="37" t="str">
        <f t="shared" si="1099"/>
        <v>AVERAGE</v>
      </c>
      <c r="S14042" t="s">
        <v>615</v>
      </c>
    </row>
    <row r="14043" spans="1:19" x14ac:dyDescent="0.2">
      <c r="A14043" t="s">
        <v>14654</v>
      </c>
      <c r="B14043" t="s">
        <v>67</v>
      </c>
      <c r="C14043" t="s">
        <v>602</v>
      </c>
      <c r="D14043">
        <v>2767.22</v>
      </c>
      <c r="E14043" s="37" t="str">
        <f t="shared" si="1095"/>
        <v xml:space="preserve"> </v>
      </c>
      <c r="F14043">
        <v>0.45</v>
      </c>
      <c r="G14043" s="37" t="str">
        <f t="shared" si="1096"/>
        <v>Heavy Discount</v>
      </c>
      <c r="H14043" s="37" t="str">
        <f t="shared" si="1097"/>
        <v>High</v>
      </c>
      <c r="I14043">
        <v>6</v>
      </c>
      <c r="J14043" t="str" cm="1">
        <f t="array" ref="J14043">_xlfn.IFS(I14043&lt;=3,"small",I14043&lt;=6,"Medium",I14043&lt;=9,"Large")</f>
        <v>Medium</v>
      </c>
      <c r="K14043" s="36">
        <v>45284</v>
      </c>
      <c r="L14043" s="36">
        <v>45287</v>
      </c>
      <c r="M14043" t="s">
        <v>603</v>
      </c>
      <c r="N14043" t="s">
        <v>599</v>
      </c>
      <c r="O14043" s="37" t="str">
        <f t="shared" si="1098"/>
        <v>Digital Payment</v>
      </c>
      <c r="P14043">
        <v>686.71</v>
      </c>
      <c r="Q14043" s="37" t="str">
        <f>IF(P14043&gt;500,"High","low")</f>
        <v>High</v>
      </c>
      <c r="R14043" s="37" t="str">
        <f t="shared" si="1099"/>
        <v>Good</v>
      </c>
      <c r="S14043" t="s">
        <v>615</v>
      </c>
    </row>
    <row r="14044" spans="1:19" x14ac:dyDescent="0.2">
      <c r="A14044" t="s">
        <v>14655</v>
      </c>
      <c r="B14044" t="s">
        <v>75</v>
      </c>
      <c r="C14044" t="s">
        <v>597</v>
      </c>
      <c r="D14044">
        <v>4382.3</v>
      </c>
      <c r="E14044" s="37" t="str">
        <f t="shared" si="1095"/>
        <v xml:space="preserve"> </v>
      </c>
      <c r="F14044">
        <v>0.43</v>
      </c>
      <c r="G14044" s="37" t="str">
        <f t="shared" si="1096"/>
        <v>Heavy Discount</v>
      </c>
      <c r="H14044" s="37" t="str">
        <f t="shared" si="1097"/>
        <v>High</v>
      </c>
      <c r="I14044">
        <v>3</v>
      </c>
      <c r="J14044" t="str" cm="1">
        <f t="array" ref="J14044">_xlfn.IFS(I14044&lt;=3,"small",I14044&lt;=6,"Medium",I14044&lt;=9,"Large")</f>
        <v>small</v>
      </c>
      <c r="K14044" s="36">
        <v>45193</v>
      </c>
      <c r="L14044" s="36">
        <v>45194</v>
      </c>
      <c r="M14044" t="s">
        <v>598</v>
      </c>
      <c r="N14044" t="s">
        <v>599</v>
      </c>
      <c r="O14044" s="37" t="str">
        <f t="shared" si="1098"/>
        <v>Digital Payment</v>
      </c>
      <c r="P14044">
        <v>512.4</v>
      </c>
      <c r="Q14044" s="37" t="str">
        <f>IF(P14044&gt;500,"High","low")</f>
        <v>High</v>
      </c>
      <c r="R14044" s="37" t="str">
        <f t="shared" si="1099"/>
        <v>Good</v>
      </c>
      <c r="S14044" t="s">
        <v>628</v>
      </c>
    </row>
    <row r="14045" spans="1:19" x14ac:dyDescent="0.2">
      <c r="A14045" t="s">
        <v>14656</v>
      </c>
      <c r="B14045" t="s">
        <v>83</v>
      </c>
      <c r="C14045" t="s">
        <v>617</v>
      </c>
      <c r="D14045">
        <v>3412.41</v>
      </c>
      <c r="E14045" s="37" t="str">
        <f t="shared" si="1095"/>
        <v xml:space="preserve"> </v>
      </c>
      <c r="F14045">
        <v>0.28000000000000003</v>
      </c>
      <c r="G14045" s="37" t="str">
        <f t="shared" si="1096"/>
        <v>Normal Discount</v>
      </c>
      <c r="H14045" s="37" t="str">
        <f t="shared" si="1097"/>
        <v>Medium</v>
      </c>
      <c r="I14045">
        <v>2</v>
      </c>
      <c r="J14045" t="str" cm="1">
        <f t="array" ref="J14045">_xlfn.IFS(I14045&lt;=3,"small",I14045&lt;=6,"Medium",I14045&lt;=9,"Large")</f>
        <v>small</v>
      </c>
      <c r="K14045" s="36">
        <v>45434</v>
      </c>
      <c r="L14045" s="36">
        <v>45437</v>
      </c>
      <c r="M14045" t="s">
        <v>603</v>
      </c>
      <c r="N14045" t="s">
        <v>604</v>
      </c>
      <c r="O14045" s="37" t="str">
        <f t="shared" si="1098"/>
        <v>Digital Payment</v>
      </c>
      <c r="P14045">
        <v>595.48</v>
      </c>
      <c r="Q14045" s="37" t="str">
        <f>IF(P14045&gt;500,"High","low")</f>
        <v>High</v>
      </c>
      <c r="R14045" s="37" t="str">
        <f t="shared" si="1099"/>
        <v>Good</v>
      </c>
      <c r="S14045" t="s">
        <v>609</v>
      </c>
    </row>
    <row r="14046" spans="1:19" x14ac:dyDescent="0.2">
      <c r="A14046" t="s">
        <v>14657</v>
      </c>
      <c r="B14046" t="s">
        <v>90</v>
      </c>
      <c r="C14046" t="s">
        <v>607</v>
      </c>
      <c r="D14046">
        <v>2167.14</v>
      </c>
      <c r="E14046" s="37" t="str">
        <f t="shared" si="1095"/>
        <v xml:space="preserve"> </v>
      </c>
      <c r="F14046">
        <v>0.49</v>
      </c>
      <c r="G14046" s="37" t="str">
        <f t="shared" si="1096"/>
        <v>Heavy Discount</v>
      </c>
      <c r="H14046" s="37" t="str">
        <f t="shared" si="1097"/>
        <v>High</v>
      </c>
      <c r="I14046">
        <v>8</v>
      </c>
      <c r="J14046" t="str" cm="1">
        <f t="array" ref="J14046">_xlfn.IFS(I14046&lt;=3,"small",I14046&lt;=6,"Medium",I14046&lt;=9,"Large")</f>
        <v>Large</v>
      </c>
      <c r="K14046" s="36">
        <v>45374</v>
      </c>
      <c r="L14046" s="36">
        <v>45379</v>
      </c>
      <c r="M14046" t="s">
        <v>598</v>
      </c>
      <c r="N14046" t="s">
        <v>608</v>
      </c>
      <c r="O14046" s="37" t="str">
        <f t="shared" si="1098"/>
        <v>Cash Payment</v>
      </c>
      <c r="P14046">
        <v>154.91999999999999</v>
      </c>
      <c r="Q14046" s="37" t="str">
        <f>IF(P14046&gt;500,"High","low")</f>
        <v>low</v>
      </c>
      <c r="R14046" s="37" t="str">
        <f t="shared" si="1099"/>
        <v>AVERAGE</v>
      </c>
      <c r="S14046" t="s">
        <v>600</v>
      </c>
    </row>
    <row r="14047" spans="1:19" x14ac:dyDescent="0.2">
      <c r="A14047" t="s">
        <v>14658</v>
      </c>
      <c r="B14047" t="s">
        <v>90</v>
      </c>
      <c r="C14047" t="s">
        <v>607</v>
      </c>
      <c r="D14047">
        <v>3285.68</v>
      </c>
      <c r="E14047" s="37" t="str">
        <f t="shared" si="1095"/>
        <v xml:space="preserve"> </v>
      </c>
      <c r="F14047">
        <v>0.46</v>
      </c>
      <c r="G14047" s="37" t="str">
        <f t="shared" si="1096"/>
        <v>Heavy Discount</v>
      </c>
      <c r="H14047" s="37" t="str">
        <f t="shared" si="1097"/>
        <v>High</v>
      </c>
      <c r="I14047">
        <v>9</v>
      </c>
      <c r="J14047" t="str" cm="1">
        <f t="array" ref="J14047">_xlfn.IFS(I14047&lt;=3,"small",I14047&lt;=6,"Medium",I14047&lt;=9,"Large")</f>
        <v>Large</v>
      </c>
      <c r="K14047" s="36">
        <v>45389</v>
      </c>
      <c r="L14047" s="36">
        <v>45396</v>
      </c>
      <c r="M14047" t="s">
        <v>598</v>
      </c>
      <c r="N14047" t="s">
        <v>608</v>
      </c>
      <c r="O14047" s="37" t="str">
        <f t="shared" si="1098"/>
        <v>Cash Payment</v>
      </c>
      <c r="P14047">
        <v>491.44</v>
      </c>
      <c r="Q14047" s="37" t="str">
        <f>IF(P14047&gt;500,"High","low")</f>
        <v>low</v>
      </c>
      <c r="R14047" s="37" t="str">
        <f t="shared" si="1099"/>
        <v>AVERAGE</v>
      </c>
      <c r="S14047" t="s">
        <v>620</v>
      </c>
    </row>
    <row r="14048" spans="1:19" x14ac:dyDescent="0.2">
      <c r="A14048" t="s">
        <v>14659</v>
      </c>
      <c r="B14048" t="s">
        <v>75</v>
      </c>
      <c r="C14048" t="s">
        <v>614</v>
      </c>
      <c r="D14048">
        <v>3775.73</v>
      </c>
      <c r="E14048" s="37" t="str">
        <f t="shared" si="1095"/>
        <v xml:space="preserve"> </v>
      </c>
      <c r="F14048">
        <v>0.45</v>
      </c>
      <c r="G14048" s="37" t="str">
        <f t="shared" si="1096"/>
        <v>Heavy Discount</v>
      </c>
      <c r="H14048" s="37" t="str">
        <f t="shared" si="1097"/>
        <v>High</v>
      </c>
      <c r="I14048">
        <v>7</v>
      </c>
      <c r="J14048" t="str" cm="1">
        <f t="array" ref="J14048">_xlfn.IFS(I14048&lt;=3,"small",I14048&lt;=6,"Medium",I14048&lt;=9,"Large")</f>
        <v>Large</v>
      </c>
      <c r="K14048" s="36">
        <v>44980</v>
      </c>
      <c r="L14048" s="36">
        <v>44983</v>
      </c>
      <c r="M14048" t="s">
        <v>598</v>
      </c>
      <c r="N14048" t="s">
        <v>608</v>
      </c>
      <c r="O14048" s="37" t="str">
        <f t="shared" si="1098"/>
        <v>Cash Payment</v>
      </c>
      <c r="P14048">
        <v>238.78</v>
      </c>
      <c r="Q14048" s="37" t="str">
        <f>IF(P14048&gt;500,"High","low")</f>
        <v>low</v>
      </c>
      <c r="R14048" s="37" t="str">
        <f t="shared" si="1099"/>
        <v>AVERAGE</v>
      </c>
      <c r="S14048" t="s">
        <v>628</v>
      </c>
    </row>
    <row r="14049" spans="1:19" x14ac:dyDescent="0.2">
      <c r="A14049" t="s">
        <v>14660</v>
      </c>
      <c r="B14049" t="s">
        <v>75</v>
      </c>
      <c r="C14049" t="s">
        <v>617</v>
      </c>
      <c r="D14049">
        <v>4692.91</v>
      </c>
      <c r="E14049" s="37" t="str">
        <f t="shared" si="1095"/>
        <v xml:space="preserve"> </v>
      </c>
      <c r="F14049">
        <v>7.0000000000000007E-2</v>
      </c>
      <c r="G14049" s="37" t="str">
        <f t="shared" si="1096"/>
        <v>Normal Discount</v>
      </c>
      <c r="H14049" s="37" t="str">
        <f t="shared" si="1097"/>
        <v>Low</v>
      </c>
      <c r="I14049">
        <v>9</v>
      </c>
      <c r="J14049" t="str" cm="1">
        <f t="array" ref="J14049">_xlfn.IFS(I14049&lt;=3,"small",I14049&lt;=6,"Medium",I14049&lt;=9,"Large")</f>
        <v>Large</v>
      </c>
      <c r="K14049" s="36">
        <v>45444</v>
      </c>
      <c r="L14049" s="36">
        <v>45451</v>
      </c>
      <c r="M14049" t="s">
        <v>603</v>
      </c>
      <c r="N14049" t="s">
        <v>599</v>
      </c>
      <c r="O14049" s="37" t="str">
        <f t="shared" si="1098"/>
        <v>Digital Payment</v>
      </c>
      <c r="P14049">
        <v>242.63</v>
      </c>
      <c r="Q14049" s="37" t="str">
        <f>IF(P14049&gt;500,"High","low")</f>
        <v>low</v>
      </c>
      <c r="R14049" s="37" t="str">
        <f t="shared" si="1099"/>
        <v>AVERAGE</v>
      </c>
      <c r="S14049" t="s">
        <v>600</v>
      </c>
    </row>
    <row r="14050" spans="1:19" x14ac:dyDescent="0.2">
      <c r="A14050" t="s">
        <v>14661</v>
      </c>
      <c r="B14050" t="s">
        <v>67</v>
      </c>
      <c r="C14050" t="s">
        <v>617</v>
      </c>
      <c r="D14050">
        <v>3550.88</v>
      </c>
      <c r="E14050" s="37" t="str">
        <f t="shared" si="1095"/>
        <v xml:space="preserve"> </v>
      </c>
      <c r="F14050">
        <v>0.15</v>
      </c>
      <c r="G14050" s="37" t="str">
        <f t="shared" si="1096"/>
        <v>Normal Discount</v>
      </c>
      <c r="H14050" s="37" t="str">
        <f t="shared" si="1097"/>
        <v>Low</v>
      </c>
      <c r="I14050">
        <v>7</v>
      </c>
      <c r="J14050" t="str" cm="1">
        <f t="array" ref="J14050">_xlfn.IFS(I14050&lt;=3,"small",I14050&lt;=6,"Medium",I14050&lt;=9,"Large")</f>
        <v>Large</v>
      </c>
      <c r="K14050" s="36">
        <v>44934</v>
      </c>
      <c r="L14050" s="36">
        <v>44938</v>
      </c>
      <c r="M14050" t="s">
        <v>603</v>
      </c>
      <c r="N14050" t="s">
        <v>608</v>
      </c>
      <c r="O14050" s="37" t="str">
        <f t="shared" si="1098"/>
        <v>Cash Payment</v>
      </c>
      <c r="P14050">
        <v>1005.18</v>
      </c>
      <c r="Q14050" s="37" t="str">
        <f>IF(P14050&gt;500,"High","low")</f>
        <v>High</v>
      </c>
      <c r="R14050" s="37" t="str">
        <f t="shared" si="1099"/>
        <v>Excellent</v>
      </c>
      <c r="S14050" t="s">
        <v>609</v>
      </c>
    </row>
    <row r="14051" spans="1:19" x14ac:dyDescent="0.2">
      <c r="A14051" t="s">
        <v>14662</v>
      </c>
      <c r="B14051" t="s">
        <v>90</v>
      </c>
      <c r="C14051" t="s">
        <v>602</v>
      </c>
      <c r="D14051">
        <v>2764.97</v>
      </c>
      <c r="E14051" s="37" t="str">
        <f t="shared" si="1095"/>
        <v xml:space="preserve"> </v>
      </c>
      <c r="F14051">
        <v>0.21</v>
      </c>
      <c r="G14051" s="37" t="str">
        <f t="shared" si="1096"/>
        <v>Normal Discount</v>
      </c>
      <c r="H14051" s="37" t="str">
        <f t="shared" si="1097"/>
        <v>Medium</v>
      </c>
      <c r="I14051">
        <v>3</v>
      </c>
      <c r="J14051" t="str" cm="1">
        <f t="array" ref="J14051">_xlfn.IFS(I14051&lt;=3,"small",I14051&lt;=6,"Medium",I14051&lt;=9,"Large")</f>
        <v>small</v>
      </c>
      <c r="K14051" s="36">
        <v>45220</v>
      </c>
      <c r="L14051" s="36">
        <v>45221</v>
      </c>
      <c r="M14051" t="s">
        <v>603</v>
      </c>
      <c r="N14051" t="s">
        <v>604</v>
      </c>
      <c r="O14051" s="37" t="str">
        <f t="shared" si="1098"/>
        <v>Digital Payment</v>
      </c>
      <c r="P14051">
        <v>690.26</v>
      </c>
      <c r="Q14051" s="37" t="str">
        <f>IF(P14051&gt;500,"High","low")</f>
        <v>High</v>
      </c>
      <c r="R14051" s="37" t="str">
        <f t="shared" si="1099"/>
        <v>Good</v>
      </c>
      <c r="S14051" t="s">
        <v>609</v>
      </c>
    </row>
    <row r="14052" spans="1:19" x14ac:dyDescent="0.2">
      <c r="A14052" t="s">
        <v>14663</v>
      </c>
      <c r="B14052" t="s">
        <v>75</v>
      </c>
      <c r="C14052" t="s">
        <v>617</v>
      </c>
      <c r="D14052">
        <v>1927.6</v>
      </c>
      <c r="E14052" s="37" t="str">
        <f t="shared" si="1095"/>
        <v xml:space="preserve"> </v>
      </c>
      <c r="F14052">
        <v>0.42</v>
      </c>
      <c r="G14052" s="37" t="str">
        <f t="shared" si="1096"/>
        <v>Heavy Discount</v>
      </c>
      <c r="H14052" s="37" t="str">
        <f t="shared" si="1097"/>
        <v>High</v>
      </c>
      <c r="I14052">
        <v>1</v>
      </c>
      <c r="J14052" t="str" cm="1">
        <f t="array" ref="J14052">_xlfn.IFS(I14052&lt;=3,"small",I14052&lt;=6,"Medium",I14052&lt;=9,"Large")</f>
        <v>small</v>
      </c>
      <c r="K14052" s="36">
        <v>45574</v>
      </c>
      <c r="L14052" s="36">
        <v>45577</v>
      </c>
      <c r="M14052" t="s">
        <v>603</v>
      </c>
      <c r="N14052" t="s">
        <v>608</v>
      </c>
      <c r="O14052" s="37" t="str">
        <f t="shared" si="1098"/>
        <v>Cash Payment</v>
      </c>
      <c r="P14052">
        <v>198.93</v>
      </c>
      <c r="Q14052" s="37" t="str">
        <f>IF(P14052&gt;500,"High","low")</f>
        <v>low</v>
      </c>
      <c r="R14052" s="37" t="str">
        <f t="shared" si="1099"/>
        <v>AVERAGE</v>
      </c>
      <c r="S14052" t="s">
        <v>609</v>
      </c>
    </row>
    <row r="14053" spans="1:19" x14ac:dyDescent="0.2">
      <c r="A14053" t="s">
        <v>14664</v>
      </c>
      <c r="B14053" t="s">
        <v>90</v>
      </c>
      <c r="C14053" t="s">
        <v>614</v>
      </c>
      <c r="D14053">
        <v>4468.2700000000004</v>
      </c>
      <c r="E14053" s="37" t="str">
        <f t="shared" si="1095"/>
        <v xml:space="preserve"> </v>
      </c>
      <c r="F14053">
        <v>0.44</v>
      </c>
      <c r="G14053" s="37" t="str">
        <f t="shared" si="1096"/>
        <v>Heavy Discount</v>
      </c>
      <c r="H14053" s="37" t="str">
        <f t="shared" si="1097"/>
        <v>High</v>
      </c>
      <c r="I14053">
        <v>1</v>
      </c>
      <c r="J14053" t="str" cm="1">
        <f t="array" ref="J14053">_xlfn.IFS(I14053&lt;=3,"small",I14053&lt;=6,"Medium",I14053&lt;=9,"Large")</f>
        <v>small</v>
      </c>
      <c r="K14053" s="36">
        <v>45455</v>
      </c>
      <c r="L14053" s="36">
        <v>45458</v>
      </c>
      <c r="M14053" t="s">
        <v>612</v>
      </c>
      <c r="N14053" t="s">
        <v>599</v>
      </c>
      <c r="O14053" s="37" t="str">
        <f t="shared" si="1098"/>
        <v>Digital Payment</v>
      </c>
      <c r="P14053">
        <v>540.54</v>
      </c>
      <c r="Q14053" s="37" t="str">
        <f>IF(P14053&gt;500,"High","low")</f>
        <v>High</v>
      </c>
      <c r="R14053" s="37" t="str">
        <f t="shared" si="1099"/>
        <v>Good</v>
      </c>
      <c r="S14053" t="s">
        <v>615</v>
      </c>
    </row>
    <row r="14054" spans="1:19" x14ac:dyDescent="0.2">
      <c r="A14054" t="s">
        <v>14665</v>
      </c>
      <c r="B14054" t="s">
        <v>90</v>
      </c>
      <c r="C14054" t="s">
        <v>602</v>
      </c>
      <c r="D14054">
        <v>3983.35</v>
      </c>
      <c r="E14054" s="37" t="str">
        <f t="shared" si="1095"/>
        <v xml:space="preserve"> </v>
      </c>
      <c r="F14054">
        <v>0.38</v>
      </c>
      <c r="G14054" s="37" t="str">
        <f t="shared" si="1096"/>
        <v>Heavy Discount</v>
      </c>
      <c r="H14054" s="37" t="str">
        <f t="shared" si="1097"/>
        <v>Medium</v>
      </c>
      <c r="I14054">
        <v>5</v>
      </c>
      <c r="J14054" t="str" cm="1">
        <f t="array" ref="J14054">_xlfn.IFS(I14054&lt;=3,"small",I14054&lt;=6,"Medium",I14054&lt;=9,"Large")</f>
        <v>Medium</v>
      </c>
      <c r="K14054" s="36">
        <v>45265</v>
      </c>
      <c r="L14054" s="36">
        <v>45267</v>
      </c>
      <c r="M14054" t="s">
        <v>612</v>
      </c>
      <c r="N14054" t="s">
        <v>608</v>
      </c>
      <c r="O14054" s="37" t="str">
        <f t="shared" si="1098"/>
        <v>Cash Payment</v>
      </c>
      <c r="P14054">
        <v>326.93</v>
      </c>
      <c r="Q14054" s="37" t="str">
        <f>IF(P14054&gt;500,"High","low")</f>
        <v>low</v>
      </c>
      <c r="R14054" s="37" t="str">
        <f t="shared" si="1099"/>
        <v>AVERAGE</v>
      </c>
      <c r="S14054" t="s">
        <v>628</v>
      </c>
    </row>
    <row r="14055" spans="1:19" x14ac:dyDescent="0.2">
      <c r="A14055" t="s">
        <v>14666</v>
      </c>
      <c r="B14055" t="s">
        <v>67</v>
      </c>
      <c r="C14055" t="s">
        <v>617</v>
      </c>
      <c r="D14055">
        <v>478.19</v>
      </c>
      <c r="E14055" s="37" t="str">
        <f t="shared" si="1095"/>
        <v xml:space="preserve"> </v>
      </c>
      <c r="F14055">
        <v>0.24</v>
      </c>
      <c r="G14055" s="37" t="str">
        <f t="shared" si="1096"/>
        <v>Normal Discount</v>
      </c>
      <c r="H14055" s="37" t="str">
        <f t="shared" si="1097"/>
        <v>Medium</v>
      </c>
      <c r="I14055">
        <v>9</v>
      </c>
      <c r="J14055" t="str" cm="1">
        <f t="array" ref="J14055">_xlfn.IFS(I14055&lt;=3,"small",I14055&lt;=6,"Medium",I14055&lt;=9,"Large")</f>
        <v>Large</v>
      </c>
      <c r="K14055" s="36">
        <v>45307</v>
      </c>
      <c r="L14055" s="36">
        <v>45312</v>
      </c>
      <c r="M14055" t="s">
        <v>612</v>
      </c>
      <c r="N14055" t="s">
        <v>608</v>
      </c>
      <c r="O14055" s="37" t="str">
        <f t="shared" si="1098"/>
        <v>Cash Payment</v>
      </c>
      <c r="P14055">
        <v>41.92</v>
      </c>
      <c r="Q14055" s="37" t="str">
        <f>IF(P14055&gt;500,"High","low")</f>
        <v>low</v>
      </c>
      <c r="R14055" s="37" t="str">
        <f t="shared" si="1099"/>
        <v>AVERAGE</v>
      </c>
      <c r="S14055" t="s">
        <v>600</v>
      </c>
    </row>
    <row r="14056" spans="1:19" x14ac:dyDescent="0.2">
      <c r="A14056" t="s">
        <v>14667</v>
      </c>
      <c r="B14056" t="s">
        <v>83</v>
      </c>
      <c r="C14056" t="s">
        <v>602</v>
      </c>
      <c r="D14056">
        <v>3527.75</v>
      </c>
      <c r="E14056" s="37" t="str">
        <f t="shared" si="1095"/>
        <v xml:space="preserve"> </v>
      </c>
      <c r="F14056">
        <v>0.08</v>
      </c>
      <c r="G14056" s="37" t="str">
        <f t="shared" si="1096"/>
        <v>Normal Discount</v>
      </c>
      <c r="H14056" s="37" t="str">
        <f t="shared" si="1097"/>
        <v>Low</v>
      </c>
      <c r="I14056">
        <v>6</v>
      </c>
      <c r="J14056" t="str" cm="1">
        <f t="array" ref="J14056">_xlfn.IFS(I14056&lt;=3,"small",I14056&lt;=6,"Medium",I14056&lt;=9,"Large")</f>
        <v>Medium</v>
      </c>
      <c r="K14056" s="36">
        <v>45313</v>
      </c>
      <c r="L14056" s="36">
        <v>45317</v>
      </c>
      <c r="M14056" t="s">
        <v>603</v>
      </c>
      <c r="N14056" t="s">
        <v>604</v>
      </c>
      <c r="O14056" s="37" t="str">
        <f t="shared" si="1098"/>
        <v>Digital Payment</v>
      </c>
      <c r="P14056">
        <v>689.89</v>
      </c>
      <c r="Q14056" s="37" t="str">
        <f>IF(P14056&gt;500,"High","low")</f>
        <v>High</v>
      </c>
      <c r="R14056" s="37" t="str">
        <f t="shared" si="1099"/>
        <v>Good</v>
      </c>
      <c r="S14056" t="s">
        <v>615</v>
      </c>
    </row>
    <row r="14057" spans="1:19" x14ac:dyDescent="0.2">
      <c r="A14057" t="s">
        <v>14668</v>
      </c>
      <c r="B14057" t="s">
        <v>67</v>
      </c>
      <c r="C14057" t="s">
        <v>617</v>
      </c>
      <c r="D14057">
        <v>2739.87</v>
      </c>
      <c r="E14057" s="37" t="str">
        <f t="shared" si="1095"/>
        <v xml:space="preserve"> </v>
      </c>
      <c r="F14057">
        <v>0.02</v>
      </c>
      <c r="G14057" s="37" t="str">
        <f t="shared" si="1096"/>
        <v>Normal Discount</v>
      </c>
      <c r="H14057" s="37" t="str">
        <f t="shared" si="1097"/>
        <v>Low</v>
      </c>
      <c r="I14057">
        <v>2</v>
      </c>
      <c r="J14057" t="str" cm="1">
        <f t="array" ref="J14057">_xlfn.IFS(I14057&lt;=3,"small",I14057&lt;=6,"Medium",I14057&lt;=9,"Large")</f>
        <v>small</v>
      </c>
      <c r="K14057" s="36">
        <v>45351</v>
      </c>
      <c r="L14057" s="36">
        <v>45352</v>
      </c>
      <c r="M14057" t="s">
        <v>598</v>
      </c>
      <c r="N14057" t="s">
        <v>608</v>
      </c>
      <c r="O14057" s="37" t="str">
        <f t="shared" si="1098"/>
        <v>Cash Payment</v>
      </c>
      <c r="P14057">
        <v>531.75</v>
      </c>
      <c r="Q14057" s="37" t="str">
        <f>IF(P14057&gt;500,"High","low")</f>
        <v>High</v>
      </c>
      <c r="R14057" s="37" t="str">
        <f t="shared" si="1099"/>
        <v>Good</v>
      </c>
      <c r="S14057" t="s">
        <v>605</v>
      </c>
    </row>
    <row r="14058" spans="1:19" x14ac:dyDescent="0.2">
      <c r="A14058" t="s">
        <v>14669</v>
      </c>
      <c r="B14058" t="s">
        <v>75</v>
      </c>
      <c r="C14058" t="s">
        <v>617</v>
      </c>
      <c r="D14058">
        <v>607.86</v>
      </c>
      <c r="E14058" s="37" t="str">
        <f t="shared" si="1095"/>
        <v xml:space="preserve"> </v>
      </c>
      <c r="F14058">
        <v>0.35</v>
      </c>
      <c r="G14058" s="37" t="str">
        <f t="shared" si="1096"/>
        <v>Heavy Discount</v>
      </c>
      <c r="H14058" s="37" t="str">
        <f t="shared" si="1097"/>
        <v>Medium</v>
      </c>
      <c r="I14058">
        <v>6</v>
      </c>
      <c r="J14058" t="str" cm="1">
        <f t="array" ref="J14058">_xlfn.IFS(I14058&lt;=3,"small",I14058&lt;=6,"Medium",I14058&lt;=9,"Large")</f>
        <v>Medium</v>
      </c>
      <c r="K14058" s="36">
        <v>45639</v>
      </c>
      <c r="L14058" s="36">
        <v>45646</v>
      </c>
      <c r="M14058" t="s">
        <v>598</v>
      </c>
      <c r="N14058" t="s">
        <v>604</v>
      </c>
      <c r="O14058" s="37" t="str">
        <f t="shared" si="1098"/>
        <v>Digital Payment</v>
      </c>
      <c r="P14058">
        <v>116.06</v>
      </c>
      <c r="Q14058" s="37" t="str">
        <f>IF(P14058&gt;500,"High","low")</f>
        <v>low</v>
      </c>
      <c r="R14058" s="37" t="str">
        <f t="shared" si="1099"/>
        <v>AVERAGE</v>
      </c>
      <c r="S14058" t="s">
        <v>605</v>
      </c>
    </row>
    <row r="14059" spans="1:19" x14ac:dyDescent="0.2">
      <c r="A14059" t="s">
        <v>14670</v>
      </c>
      <c r="B14059" t="s">
        <v>67</v>
      </c>
      <c r="C14059" t="s">
        <v>617</v>
      </c>
      <c r="D14059">
        <v>2868.31</v>
      </c>
      <c r="E14059" s="37" t="str">
        <f t="shared" si="1095"/>
        <v xml:space="preserve"> </v>
      </c>
      <c r="F14059">
        <v>0.5</v>
      </c>
      <c r="G14059" s="37" t="str">
        <f t="shared" si="1096"/>
        <v>Heavy Discount</v>
      </c>
      <c r="H14059" s="37" t="str">
        <f t="shared" si="1097"/>
        <v>High</v>
      </c>
      <c r="I14059">
        <v>4</v>
      </c>
      <c r="J14059" t="str" cm="1">
        <f t="array" ref="J14059">_xlfn.IFS(I14059&lt;=3,"small",I14059&lt;=6,"Medium",I14059&lt;=9,"Large")</f>
        <v>Medium</v>
      </c>
      <c r="K14059" s="36">
        <v>45548</v>
      </c>
      <c r="L14059" s="36">
        <v>45551</v>
      </c>
      <c r="M14059" t="s">
        <v>612</v>
      </c>
      <c r="N14059" t="s">
        <v>599</v>
      </c>
      <c r="O14059" s="37" t="str">
        <f t="shared" si="1098"/>
        <v>Digital Payment</v>
      </c>
      <c r="P14059">
        <v>169.87</v>
      </c>
      <c r="Q14059" s="37" t="str">
        <f>IF(P14059&gt;500,"High","low")</f>
        <v>low</v>
      </c>
      <c r="R14059" s="37" t="str">
        <f t="shared" si="1099"/>
        <v>AVERAGE</v>
      </c>
      <c r="S14059" t="s">
        <v>605</v>
      </c>
    </row>
    <row r="14060" spans="1:19" x14ac:dyDescent="0.2">
      <c r="A14060" t="s">
        <v>14671</v>
      </c>
      <c r="B14060" t="s">
        <v>67</v>
      </c>
      <c r="C14060" t="s">
        <v>607</v>
      </c>
      <c r="D14060">
        <v>1043.28</v>
      </c>
      <c r="E14060" s="37" t="str">
        <f t="shared" si="1095"/>
        <v xml:space="preserve"> </v>
      </c>
      <c r="F14060">
        <v>0.17</v>
      </c>
      <c r="G14060" s="37" t="str">
        <f t="shared" si="1096"/>
        <v>Normal Discount</v>
      </c>
      <c r="H14060" s="37" t="str">
        <f t="shared" si="1097"/>
        <v>Low</v>
      </c>
      <c r="I14060">
        <v>9</v>
      </c>
      <c r="J14060" t="str" cm="1">
        <f t="array" ref="J14060">_xlfn.IFS(I14060&lt;=3,"small",I14060&lt;=6,"Medium",I14060&lt;=9,"Large")</f>
        <v>Large</v>
      </c>
      <c r="K14060" s="36">
        <v>45279</v>
      </c>
      <c r="L14060" s="36">
        <v>45281</v>
      </c>
      <c r="M14060" t="s">
        <v>612</v>
      </c>
      <c r="N14060" t="s">
        <v>608</v>
      </c>
      <c r="O14060" s="37" t="str">
        <f t="shared" si="1098"/>
        <v>Cash Payment</v>
      </c>
      <c r="P14060">
        <v>230.98</v>
      </c>
      <c r="Q14060" s="37" t="str">
        <f>IF(P14060&gt;500,"High","low")</f>
        <v>low</v>
      </c>
      <c r="R14060" s="37" t="str">
        <f t="shared" si="1099"/>
        <v>AVERAGE</v>
      </c>
      <c r="S14060" t="s">
        <v>620</v>
      </c>
    </row>
    <row r="14061" spans="1:19" x14ac:dyDescent="0.2">
      <c r="A14061" t="s">
        <v>14672</v>
      </c>
      <c r="B14061" t="s">
        <v>90</v>
      </c>
      <c r="C14061" t="s">
        <v>617</v>
      </c>
      <c r="D14061">
        <v>3569.91</v>
      </c>
      <c r="E14061" s="37" t="str">
        <f t="shared" si="1095"/>
        <v xml:space="preserve"> </v>
      </c>
      <c r="F14061">
        <v>0.28000000000000003</v>
      </c>
      <c r="G14061" s="37" t="str">
        <f t="shared" si="1096"/>
        <v>Normal Discount</v>
      </c>
      <c r="H14061" s="37" t="str">
        <f t="shared" si="1097"/>
        <v>Medium</v>
      </c>
      <c r="I14061">
        <v>3</v>
      </c>
      <c r="J14061" t="str" cm="1">
        <f t="array" ref="J14061">_xlfn.IFS(I14061&lt;=3,"small",I14061&lt;=6,"Medium",I14061&lt;=9,"Large")</f>
        <v>small</v>
      </c>
      <c r="K14061" s="36">
        <v>45534</v>
      </c>
      <c r="L14061" s="36">
        <v>45539</v>
      </c>
      <c r="M14061" t="s">
        <v>603</v>
      </c>
      <c r="N14061" t="s">
        <v>599</v>
      </c>
      <c r="O14061" s="37" t="str">
        <f t="shared" si="1098"/>
        <v>Digital Payment</v>
      </c>
      <c r="P14061">
        <v>201.45</v>
      </c>
      <c r="Q14061" s="37" t="str">
        <f>IF(P14061&gt;500,"High","low")</f>
        <v>low</v>
      </c>
      <c r="R14061" s="37" t="str">
        <f t="shared" si="1099"/>
        <v>AVERAGE</v>
      </c>
      <c r="S14061" t="s">
        <v>605</v>
      </c>
    </row>
    <row r="14062" spans="1:19" x14ac:dyDescent="0.2">
      <c r="A14062" t="s">
        <v>14673</v>
      </c>
      <c r="B14062" t="s">
        <v>67</v>
      </c>
      <c r="C14062" t="s">
        <v>607</v>
      </c>
      <c r="D14062">
        <v>1464.46</v>
      </c>
      <c r="E14062" s="37" t="str">
        <f t="shared" si="1095"/>
        <v xml:space="preserve"> </v>
      </c>
      <c r="F14062">
        <v>0.41</v>
      </c>
      <c r="G14062" s="37" t="str">
        <f t="shared" si="1096"/>
        <v>Heavy Discount</v>
      </c>
      <c r="H14062" s="37" t="str">
        <f t="shared" si="1097"/>
        <v>High</v>
      </c>
      <c r="I14062">
        <v>7</v>
      </c>
      <c r="J14062" t="str" cm="1">
        <f t="array" ref="J14062">_xlfn.IFS(I14062&lt;=3,"small",I14062&lt;=6,"Medium",I14062&lt;=9,"Large")</f>
        <v>Large</v>
      </c>
      <c r="K14062" s="36">
        <v>45150</v>
      </c>
      <c r="L14062" s="36">
        <v>45154</v>
      </c>
      <c r="M14062" t="s">
        <v>603</v>
      </c>
      <c r="N14062" t="s">
        <v>599</v>
      </c>
      <c r="O14062" s="37" t="str">
        <f t="shared" si="1098"/>
        <v>Digital Payment</v>
      </c>
      <c r="P14062">
        <v>435.87</v>
      </c>
      <c r="Q14062" s="37" t="str">
        <f>IF(P14062&gt;500,"High","low")</f>
        <v>low</v>
      </c>
      <c r="R14062" s="37" t="str">
        <f t="shared" si="1099"/>
        <v>AVERAGE</v>
      </c>
      <c r="S14062" t="s">
        <v>605</v>
      </c>
    </row>
    <row r="14063" spans="1:19" x14ac:dyDescent="0.2">
      <c r="A14063" t="s">
        <v>14674</v>
      </c>
      <c r="B14063" t="s">
        <v>75</v>
      </c>
      <c r="C14063" t="s">
        <v>597</v>
      </c>
      <c r="D14063">
        <v>836.69</v>
      </c>
      <c r="E14063" s="37" t="str">
        <f t="shared" si="1095"/>
        <v xml:space="preserve"> </v>
      </c>
      <c r="F14063">
        <v>0.09</v>
      </c>
      <c r="G14063" s="37" t="str">
        <f t="shared" si="1096"/>
        <v>Normal Discount</v>
      </c>
      <c r="H14063" s="37" t="str">
        <f t="shared" si="1097"/>
        <v>Low</v>
      </c>
      <c r="I14063">
        <v>8</v>
      </c>
      <c r="J14063" t="str" cm="1">
        <f t="array" ref="J14063">_xlfn.IFS(I14063&lt;=3,"small",I14063&lt;=6,"Medium",I14063&lt;=9,"Large")</f>
        <v>Large</v>
      </c>
      <c r="K14063" s="36">
        <v>45380</v>
      </c>
      <c r="L14063" s="36">
        <v>45382</v>
      </c>
      <c r="M14063" t="s">
        <v>612</v>
      </c>
      <c r="N14063" t="s">
        <v>599</v>
      </c>
      <c r="O14063" s="37" t="str">
        <f t="shared" si="1098"/>
        <v>Digital Payment</v>
      </c>
      <c r="P14063">
        <v>215.61</v>
      </c>
      <c r="Q14063" s="37" t="str">
        <f>IF(P14063&gt;500,"High","low")</f>
        <v>low</v>
      </c>
      <c r="R14063" s="37" t="str">
        <f t="shared" si="1099"/>
        <v>AVERAGE</v>
      </c>
      <c r="S14063" t="s">
        <v>620</v>
      </c>
    </row>
    <row r="14064" spans="1:19" x14ac:dyDescent="0.2">
      <c r="A14064" t="s">
        <v>14675</v>
      </c>
      <c r="B14064" t="s">
        <v>83</v>
      </c>
      <c r="C14064" t="s">
        <v>614</v>
      </c>
      <c r="D14064">
        <v>501.67</v>
      </c>
      <c r="E14064" s="37" t="str">
        <f t="shared" si="1095"/>
        <v xml:space="preserve"> </v>
      </c>
      <c r="F14064">
        <v>0.41</v>
      </c>
      <c r="G14064" s="37" t="str">
        <f t="shared" si="1096"/>
        <v>Heavy Discount</v>
      </c>
      <c r="H14064" s="37" t="str">
        <f t="shared" si="1097"/>
        <v>High</v>
      </c>
      <c r="I14064">
        <v>2</v>
      </c>
      <c r="J14064" t="str" cm="1">
        <f t="array" ref="J14064">_xlfn.IFS(I14064&lt;=3,"small",I14064&lt;=6,"Medium",I14064&lt;=9,"Large")</f>
        <v>small</v>
      </c>
      <c r="K14064" s="36">
        <v>45244</v>
      </c>
      <c r="L14064" s="36">
        <v>45249</v>
      </c>
      <c r="M14064" t="s">
        <v>603</v>
      </c>
      <c r="N14064" t="s">
        <v>604</v>
      </c>
      <c r="O14064" s="37" t="str">
        <f t="shared" si="1098"/>
        <v>Digital Payment</v>
      </c>
      <c r="P14064">
        <v>141.04</v>
      </c>
      <c r="Q14064" s="37" t="str">
        <f>IF(P14064&gt;500,"High","low")</f>
        <v>low</v>
      </c>
      <c r="R14064" s="37" t="str">
        <f t="shared" si="1099"/>
        <v>AVERAGE</v>
      </c>
      <c r="S14064" t="s">
        <v>609</v>
      </c>
    </row>
    <row r="14065" spans="1:19" x14ac:dyDescent="0.2">
      <c r="A14065" t="s">
        <v>14676</v>
      </c>
      <c r="B14065" t="s">
        <v>67</v>
      </c>
      <c r="C14065" t="s">
        <v>602</v>
      </c>
      <c r="D14065">
        <v>2504.92</v>
      </c>
      <c r="E14065" s="37" t="str">
        <f t="shared" si="1095"/>
        <v xml:space="preserve"> </v>
      </c>
      <c r="F14065">
        <v>0.31</v>
      </c>
      <c r="G14065" s="37" t="str">
        <f t="shared" si="1096"/>
        <v>Heavy Discount</v>
      </c>
      <c r="H14065" s="37" t="str">
        <f t="shared" si="1097"/>
        <v>Medium</v>
      </c>
      <c r="I14065">
        <v>7</v>
      </c>
      <c r="J14065" t="str" cm="1">
        <f t="array" ref="J14065">_xlfn.IFS(I14065&lt;=3,"small",I14065&lt;=6,"Medium",I14065&lt;=9,"Large")</f>
        <v>Large</v>
      </c>
      <c r="K14065" s="36">
        <v>45235</v>
      </c>
      <c r="L14065" s="36">
        <v>45241</v>
      </c>
      <c r="M14065" t="s">
        <v>612</v>
      </c>
      <c r="N14065" t="s">
        <v>608</v>
      </c>
      <c r="O14065" s="37" t="str">
        <f t="shared" si="1098"/>
        <v>Cash Payment</v>
      </c>
      <c r="P14065">
        <v>623.71</v>
      </c>
      <c r="Q14065" s="37" t="str">
        <f>IF(P14065&gt;500,"High","low")</f>
        <v>High</v>
      </c>
      <c r="R14065" s="37" t="str">
        <f t="shared" si="1099"/>
        <v>Good</v>
      </c>
      <c r="S14065" t="s">
        <v>615</v>
      </c>
    </row>
    <row r="14066" spans="1:19" x14ac:dyDescent="0.2">
      <c r="A14066" t="s">
        <v>14677</v>
      </c>
      <c r="B14066" t="s">
        <v>67</v>
      </c>
      <c r="C14066" t="s">
        <v>602</v>
      </c>
      <c r="D14066">
        <v>1078.21</v>
      </c>
      <c r="E14066" s="37" t="str">
        <f t="shared" si="1095"/>
        <v xml:space="preserve"> </v>
      </c>
      <c r="F14066">
        <v>0.28000000000000003</v>
      </c>
      <c r="G14066" s="37" t="str">
        <f t="shared" si="1096"/>
        <v>Normal Discount</v>
      </c>
      <c r="H14066" s="37" t="str">
        <f t="shared" si="1097"/>
        <v>Medium</v>
      </c>
      <c r="I14066">
        <v>5</v>
      </c>
      <c r="J14066" t="str" cm="1">
        <f t="array" ref="J14066">_xlfn.IFS(I14066&lt;=3,"small",I14066&lt;=6,"Medium",I14066&lt;=9,"Large")</f>
        <v>Medium</v>
      </c>
      <c r="K14066" s="36">
        <v>45275</v>
      </c>
      <c r="L14066" s="36">
        <v>45282</v>
      </c>
      <c r="M14066" t="s">
        <v>612</v>
      </c>
      <c r="N14066" t="s">
        <v>599</v>
      </c>
      <c r="O14066" s="37" t="str">
        <f t="shared" si="1098"/>
        <v>Digital Payment</v>
      </c>
      <c r="P14066">
        <v>139.72</v>
      </c>
      <c r="Q14066" s="37" t="str">
        <f>IF(P14066&gt;500,"High","low")</f>
        <v>low</v>
      </c>
      <c r="R14066" s="37" t="str">
        <f t="shared" si="1099"/>
        <v>AVERAGE</v>
      </c>
      <c r="S14066" t="s">
        <v>615</v>
      </c>
    </row>
    <row r="14067" spans="1:19" x14ac:dyDescent="0.2">
      <c r="A14067" t="s">
        <v>14678</v>
      </c>
      <c r="B14067" t="s">
        <v>83</v>
      </c>
      <c r="C14067" t="s">
        <v>597</v>
      </c>
      <c r="D14067">
        <v>4290.13</v>
      </c>
      <c r="E14067" s="37" t="str">
        <f t="shared" si="1095"/>
        <v xml:space="preserve"> </v>
      </c>
      <c r="F14067">
        <v>0.38</v>
      </c>
      <c r="G14067" s="37" t="str">
        <f t="shared" si="1096"/>
        <v>Heavy Discount</v>
      </c>
      <c r="H14067" s="37" t="str">
        <f t="shared" si="1097"/>
        <v>Medium</v>
      </c>
      <c r="I14067">
        <v>1</v>
      </c>
      <c r="J14067" t="str" cm="1">
        <f t="array" ref="J14067">_xlfn.IFS(I14067&lt;=3,"small",I14067&lt;=6,"Medium",I14067&lt;=9,"Large")</f>
        <v>small</v>
      </c>
      <c r="K14067" s="36">
        <v>45539</v>
      </c>
      <c r="L14067" s="36">
        <v>45540</v>
      </c>
      <c r="M14067" t="s">
        <v>603</v>
      </c>
      <c r="N14067" t="s">
        <v>599</v>
      </c>
      <c r="O14067" s="37" t="str">
        <f t="shared" si="1098"/>
        <v>Digital Payment</v>
      </c>
      <c r="P14067">
        <v>424.58</v>
      </c>
      <c r="Q14067" s="37" t="str">
        <f>IF(P14067&gt;500,"High","low")</f>
        <v>low</v>
      </c>
      <c r="R14067" s="37" t="str">
        <f t="shared" si="1099"/>
        <v>AVERAGE</v>
      </c>
      <c r="S14067" t="s">
        <v>620</v>
      </c>
    </row>
    <row r="14068" spans="1:19" x14ac:dyDescent="0.2">
      <c r="A14068" t="s">
        <v>14679</v>
      </c>
      <c r="B14068" t="s">
        <v>75</v>
      </c>
      <c r="C14068" t="s">
        <v>617</v>
      </c>
      <c r="D14068">
        <v>114.71</v>
      </c>
      <c r="E14068" s="37" t="str">
        <f t="shared" si="1095"/>
        <v xml:space="preserve"> </v>
      </c>
      <c r="F14068">
        <v>0.12</v>
      </c>
      <c r="G14068" s="37" t="str">
        <f t="shared" si="1096"/>
        <v>Normal Discount</v>
      </c>
      <c r="H14068" s="37" t="str">
        <f t="shared" si="1097"/>
        <v>Low</v>
      </c>
      <c r="I14068">
        <v>7</v>
      </c>
      <c r="J14068" t="str" cm="1">
        <f t="array" ref="J14068">_xlfn.IFS(I14068&lt;=3,"small",I14068&lt;=6,"Medium",I14068&lt;=9,"Large")</f>
        <v>Large</v>
      </c>
      <c r="K14068" s="36">
        <v>45647</v>
      </c>
      <c r="L14068" s="36">
        <v>45651</v>
      </c>
      <c r="M14068" t="s">
        <v>603</v>
      </c>
      <c r="N14068" t="s">
        <v>608</v>
      </c>
      <c r="O14068" s="37" t="str">
        <f t="shared" si="1098"/>
        <v>Cash Payment</v>
      </c>
      <c r="P14068">
        <v>19.84</v>
      </c>
      <c r="Q14068" s="37" t="str">
        <f>IF(P14068&gt;500,"High","low")</f>
        <v>low</v>
      </c>
      <c r="R14068" s="37" t="str">
        <f t="shared" si="1099"/>
        <v>AVERAGE</v>
      </c>
      <c r="S14068" t="s">
        <v>609</v>
      </c>
    </row>
    <row r="14069" spans="1:19" x14ac:dyDescent="0.2">
      <c r="A14069" t="s">
        <v>14680</v>
      </c>
      <c r="B14069" t="s">
        <v>75</v>
      </c>
      <c r="C14069" t="s">
        <v>614</v>
      </c>
      <c r="D14069">
        <v>4233.83</v>
      </c>
      <c r="E14069" s="37" t="str">
        <f t="shared" si="1095"/>
        <v>Excellent Order</v>
      </c>
      <c r="F14069">
        <v>0.31</v>
      </c>
      <c r="G14069" s="37" t="str">
        <f t="shared" si="1096"/>
        <v>Heavy Discount</v>
      </c>
      <c r="H14069" s="37" t="str">
        <f t="shared" si="1097"/>
        <v>Medium</v>
      </c>
      <c r="I14069">
        <v>8</v>
      </c>
      <c r="J14069" t="str" cm="1">
        <f t="array" ref="J14069">_xlfn.IFS(I14069&lt;=3,"small",I14069&lt;=6,"Medium",I14069&lt;=9,"Large")</f>
        <v>Large</v>
      </c>
      <c r="K14069" s="36">
        <v>45265</v>
      </c>
      <c r="L14069" s="36">
        <v>45266</v>
      </c>
      <c r="M14069" t="s">
        <v>612</v>
      </c>
      <c r="N14069" t="s">
        <v>599</v>
      </c>
      <c r="O14069" s="37" t="str">
        <f t="shared" si="1098"/>
        <v>Digital Payment</v>
      </c>
      <c r="P14069">
        <v>1053.67</v>
      </c>
      <c r="Q14069" s="37" t="str">
        <f>IF(P14069&gt;500,"High","low")</f>
        <v>High</v>
      </c>
      <c r="R14069" s="37" t="str">
        <f t="shared" si="1099"/>
        <v>Excellent</v>
      </c>
      <c r="S14069" t="s">
        <v>605</v>
      </c>
    </row>
    <row r="14070" spans="1:19" x14ac:dyDescent="0.2">
      <c r="A14070" t="s">
        <v>14681</v>
      </c>
      <c r="B14070" t="s">
        <v>67</v>
      </c>
      <c r="C14070" t="s">
        <v>597</v>
      </c>
      <c r="D14070">
        <v>2653.35</v>
      </c>
      <c r="E14070" s="37" t="str">
        <f t="shared" si="1095"/>
        <v xml:space="preserve"> </v>
      </c>
      <c r="F14070">
        <v>0.12</v>
      </c>
      <c r="G14070" s="37" t="str">
        <f t="shared" si="1096"/>
        <v>Normal Discount</v>
      </c>
      <c r="H14070" s="37" t="str">
        <f t="shared" si="1097"/>
        <v>Low</v>
      </c>
      <c r="I14070">
        <v>1</v>
      </c>
      <c r="J14070" t="str" cm="1">
        <f t="array" ref="J14070">_xlfn.IFS(I14070&lt;=3,"small",I14070&lt;=6,"Medium",I14070&lt;=9,"Large")</f>
        <v>small</v>
      </c>
      <c r="K14070" s="36">
        <v>45277</v>
      </c>
      <c r="L14070" s="36">
        <v>45284</v>
      </c>
      <c r="M14070" t="s">
        <v>612</v>
      </c>
      <c r="N14070" t="s">
        <v>604</v>
      </c>
      <c r="O14070" s="37" t="str">
        <f t="shared" si="1098"/>
        <v>Digital Payment</v>
      </c>
      <c r="P14070">
        <v>481.51</v>
      </c>
      <c r="Q14070" s="37" t="str">
        <f>IF(P14070&gt;500,"High","low")</f>
        <v>low</v>
      </c>
      <c r="R14070" s="37" t="str">
        <f t="shared" si="1099"/>
        <v>AVERAGE</v>
      </c>
      <c r="S14070" t="s">
        <v>609</v>
      </c>
    </row>
    <row r="14071" spans="1:19" x14ac:dyDescent="0.2">
      <c r="A14071" t="s">
        <v>14682</v>
      </c>
      <c r="B14071" t="s">
        <v>90</v>
      </c>
      <c r="C14071" t="s">
        <v>597</v>
      </c>
      <c r="D14071">
        <v>4618.51</v>
      </c>
      <c r="E14071" s="37" t="str">
        <f t="shared" si="1095"/>
        <v xml:space="preserve"> </v>
      </c>
      <c r="F14071">
        <v>0.09</v>
      </c>
      <c r="G14071" s="37" t="str">
        <f t="shared" si="1096"/>
        <v>Normal Discount</v>
      </c>
      <c r="H14071" s="37" t="str">
        <f t="shared" si="1097"/>
        <v>Low</v>
      </c>
      <c r="I14071">
        <v>4</v>
      </c>
      <c r="J14071" t="str" cm="1">
        <f t="array" ref="J14071">_xlfn.IFS(I14071&lt;=3,"small",I14071&lt;=6,"Medium",I14071&lt;=9,"Large")</f>
        <v>Medium</v>
      </c>
      <c r="K14071" s="36">
        <v>45589</v>
      </c>
      <c r="L14071" s="36">
        <v>45594</v>
      </c>
      <c r="M14071" t="s">
        <v>598</v>
      </c>
      <c r="N14071" t="s">
        <v>599</v>
      </c>
      <c r="O14071" s="37" t="str">
        <f t="shared" si="1098"/>
        <v>Digital Payment</v>
      </c>
      <c r="P14071">
        <v>577.54999999999995</v>
      </c>
      <c r="Q14071" s="37" t="str">
        <f>IF(P14071&gt;500,"High","low")</f>
        <v>High</v>
      </c>
      <c r="R14071" s="37" t="str">
        <f t="shared" si="1099"/>
        <v>Good</v>
      </c>
      <c r="S14071" t="s">
        <v>600</v>
      </c>
    </row>
    <row r="14072" spans="1:19" x14ac:dyDescent="0.2">
      <c r="A14072" t="s">
        <v>14683</v>
      </c>
      <c r="B14072" t="s">
        <v>67</v>
      </c>
      <c r="C14072" t="s">
        <v>602</v>
      </c>
      <c r="D14072">
        <v>1102.5999999999999</v>
      </c>
      <c r="E14072" s="37" t="str">
        <f t="shared" si="1095"/>
        <v xml:space="preserve"> </v>
      </c>
      <c r="F14072">
        <v>0.31</v>
      </c>
      <c r="G14072" s="37" t="str">
        <f t="shared" si="1096"/>
        <v>Heavy Discount</v>
      </c>
      <c r="H14072" s="37" t="str">
        <f t="shared" si="1097"/>
        <v>Medium</v>
      </c>
      <c r="I14072">
        <v>4</v>
      </c>
      <c r="J14072" t="str" cm="1">
        <f t="array" ref="J14072">_xlfn.IFS(I14072&lt;=3,"small",I14072&lt;=6,"Medium",I14072&lt;=9,"Large")</f>
        <v>Medium</v>
      </c>
      <c r="K14072" s="36">
        <v>45601</v>
      </c>
      <c r="L14072" s="36">
        <v>45604</v>
      </c>
      <c r="M14072" t="s">
        <v>612</v>
      </c>
      <c r="N14072" t="s">
        <v>608</v>
      </c>
      <c r="O14072" s="37" t="str">
        <f t="shared" si="1098"/>
        <v>Cash Payment</v>
      </c>
      <c r="P14072">
        <v>127.15</v>
      </c>
      <c r="Q14072" s="37" t="str">
        <f>IF(P14072&gt;500,"High","low")</f>
        <v>low</v>
      </c>
      <c r="R14072" s="37" t="str">
        <f t="shared" si="1099"/>
        <v>AVERAGE</v>
      </c>
      <c r="S14072" t="s">
        <v>628</v>
      </c>
    </row>
    <row r="14073" spans="1:19" x14ac:dyDescent="0.2">
      <c r="A14073" t="s">
        <v>14684</v>
      </c>
      <c r="B14073" t="s">
        <v>83</v>
      </c>
      <c r="C14073" t="s">
        <v>607</v>
      </c>
      <c r="D14073">
        <v>601.14</v>
      </c>
      <c r="E14073" s="37" t="str">
        <f t="shared" si="1095"/>
        <v xml:space="preserve"> </v>
      </c>
      <c r="F14073">
        <v>0.13</v>
      </c>
      <c r="G14073" s="37" t="str">
        <f t="shared" si="1096"/>
        <v>Normal Discount</v>
      </c>
      <c r="H14073" s="37" t="str">
        <f t="shared" si="1097"/>
        <v>Low</v>
      </c>
      <c r="I14073">
        <v>5</v>
      </c>
      <c r="J14073" t="str" cm="1">
        <f t="array" ref="J14073">_xlfn.IFS(I14073&lt;=3,"small",I14073&lt;=6,"Medium",I14073&lt;=9,"Large")</f>
        <v>Medium</v>
      </c>
      <c r="K14073" s="36">
        <v>45196</v>
      </c>
      <c r="L14073" s="36">
        <v>45199</v>
      </c>
      <c r="M14073" t="s">
        <v>603</v>
      </c>
      <c r="N14073" t="s">
        <v>608</v>
      </c>
      <c r="O14073" s="37" t="str">
        <f t="shared" si="1098"/>
        <v>Cash Payment</v>
      </c>
      <c r="P14073">
        <v>102.93</v>
      </c>
      <c r="Q14073" s="37" t="str">
        <f>IF(P14073&gt;500,"High","low")</f>
        <v>low</v>
      </c>
      <c r="R14073" s="37" t="str">
        <f t="shared" si="1099"/>
        <v>AVERAGE</v>
      </c>
      <c r="S14073" t="s">
        <v>628</v>
      </c>
    </row>
    <row r="14074" spans="1:19" x14ac:dyDescent="0.2">
      <c r="A14074" t="s">
        <v>14685</v>
      </c>
      <c r="B14074" t="s">
        <v>83</v>
      </c>
      <c r="C14074" t="s">
        <v>607</v>
      </c>
      <c r="D14074">
        <v>3162.3</v>
      </c>
      <c r="E14074" s="37" t="str">
        <f t="shared" si="1095"/>
        <v xml:space="preserve"> </v>
      </c>
      <c r="F14074">
        <v>0.36</v>
      </c>
      <c r="G14074" s="37" t="str">
        <f t="shared" si="1096"/>
        <v>Heavy Discount</v>
      </c>
      <c r="H14074" s="37" t="str">
        <f t="shared" si="1097"/>
        <v>Medium</v>
      </c>
      <c r="I14074">
        <v>5</v>
      </c>
      <c r="J14074" t="str" cm="1">
        <f t="array" ref="J14074">_xlfn.IFS(I14074&lt;=3,"small",I14074&lt;=6,"Medium",I14074&lt;=9,"Large")</f>
        <v>Medium</v>
      </c>
      <c r="K14074" s="36">
        <v>45503</v>
      </c>
      <c r="L14074" s="36">
        <v>45509</v>
      </c>
      <c r="M14074" t="s">
        <v>603</v>
      </c>
      <c r="N14074" t="s">
        <v>608</v>
      </c>
      <c r="O14074" s="37" t="str">
        <f t="shared" si="1098"/>
        <v>Cash Payment</v>
      </c>
      <c r="P14074">
        <v>473.5</v>
      </c>
      <c r="Q14074" s="37" t="str">
        <f>IF(P14074&gt;500,"High","low")</f>
        <v>low</v>
      </c>
      <c r="R14074" s="37" t="str">
        <f t="shared" si="1099"/>
        <v>AVERAGE</v>
      </c>
      <c r="S14074" t="s">
        <v>600</v>
      </c>
    </row>
    <row r="14075" spans="1:19" x14ac:dyDescent="0.2">
      <c r="A14075" t="s">
        <v>14686</v>
      </c>
      <c r="B14075" t="s">
        <v>83</v>
      </c>
      <c r="C14075" t="s">
        <v>617</v>
      </c>
      <c r="D14075">
        <v>3562.96</v>
      </c>
      <c r="E14075" s="37" t="str">
        <f t="shared" si="1095"/>
        <v xml:space="preserve"> </v>
      </c>
      <c r="F14075">
        <v>0.26</v>
      </c>
      <c r="G14075" s="37" t="str">
        <f t="shared" si="1096"/>
        <v>Normal Discount</v>
      </c>
      <c r="H14075" s="37" t="str">
        <f t="shared" si="1097"/>
        <v>Medium</v>
      </c>
      <c r="I14075">
        <v>4</v>
      </c>
      <c r="J14075" t="str" cm="1">
        <f t="array" ref="J14075">_xlfn.IFS(I14075&lt;=3,"small",I14075&lt;=6,"Medium",I14075&lt;=9,"Large")</f>
        <v>Medium</v>
      </c>
      <c r="K14075" s="36">
        <v>45295</v>
      </c>
      <c r="L14075" s="36">
        <v>45298</v>
      </c>
      <c r="M14075" t="s">
        <v>603</v>
      </c>
      <c r="N14075" t="s">
        <v>599</v>
      </c>
      <c r="O14075" s="37" t="str">
        <f t="shared" si="1098"/>
        <v>Digital Payment</v>
      </c>
      <c r="P14075">
        <v>735.62</v>
      </c>
      <c r="Q14075" s="37" t="str">
        <f>IF(P14075&gt;500,"High","low")</f>
        <v>High</v>
      </c>
      <c r="R14075" s="37" t="str">
        <f t="shared" si="1099"/>
        <v>Good</v>
      </c>
      <c r="S14075" t="s">
        <v>620</v>
      </c>
    </row>
    <row r="14076" spans="1:19" x14ac:dyDescent="0.2">
      <c r="A14076" t="s">
        <v>14687</v>
      </c>
      <c r="B14076" t="s">
        <v>67</v>
      </c>
      <c r="C14076" t="s">
        <v>617</v>
      </c>
      <c r="D14076">
        <v>1925.67</v>
      </c>
      <c r="E14076" s="37" t="str">
        <f t="shared" si="1095"/>
        <v xml:space="preserve"> </v>
      </c>
      <c r="F14076">
        <v>0.35</v>
      </c>
      <c r="G14076" s="37" t="str">
        <f t="shared" si="1096"/>
        <v>Heavy Discount</v>
      </c>
      <c r="H14076" s="37" t="str">
        <f t="shared" si="1097"/>
        <v>Medium</v>
      </c>
      <c r="I14076">
        <v>1</v>
      </c>
      <c r="J14076" t="str" cm="1">
        <f t="array" ref="J14076">_xlfn.IFS(I14076&lt;=3,"small",I14076&lt;=6,"Medium",I14076&lt;=9,"Large")</f>
        <v>small</v>
      </c>
      <c r="K14076" s="36">
        <v>44975</v>
      </c>
      <c r="L14076" s="36">
        <v>44976</v>
      </c>
      <c r="M14076" t="s">
        <v>598</v>
      </c>
      <c r="N14076" t="s">
        <v>608</v>
      </c>
      <c r="O14076" s="37" t="str">
        <f t="shared" si="1098"/>
        <v>Cash Payment</v>
      </c>
      <c r="P14076">
        <v>102.42</v>
      </c>
      <c r="Q14076" s="37" t="str">
        <f>IF(P14076&gt;500,"High","low")</f>
        <v>low</v>
      </c>
      <c r="R14076" s="37" t="str">
        <f t="shared" si="1099"/>
        <v>AVERAGE</v>
      </c>
      <c r="S14076" t="s">
        <v>605</v>
      </c>
    </row>
    <row r="14077" spans="1:19" x14ac:dyDescent="0.2">
      <c r="A14077" t="s">
        <v>14688</v>
      </c>
      <c r="B14077" t="s">
        <v>67</v>
      </c>
      <c r="C14077" t="s">
        <v>597</v>
      </c>
      <c r="D14077">
        <v>167.03</v>
      </c>
      <c r="E14077" s="37" t="str">
        <f t="shared" si="1095"/>
        <v xml:space="preserve"> </v>
      </c>
      <c r="F14077">
        <v>0.45</v>
      </c>
      <c r="G14077" s="37" t="str">
        <f t="shared" si="1096"/>
        <v>Heavy Discount</v>
      </c>
      <c r="H14077" s="37" t="str">
        <f t="shared" si="1097"/>
        <v>High</v>
      </c>
      <c r="I14077">
        <v>9</v>
      </c>
      <c r="J14077" t="str" cm="1">
        <f t="array" ref="J14077">_xlfn.IFS(I14077&lt;=3,"small",I14077&lt;=6,"Medium",I14077&lt;=9,"Large")</f>
        <v>Large</v>
      </c>
      <c r="K14077" s="36">
        <v>45602</v>
      </c>
      <c r="L14077" s="36">
        <v>45603</v>
      </c>
      <c r="M14077" t="s">
        <v>598</v>
      </c>
      <c r="N14077" t="s">
        <v>599</v>
      </c>
      <c r="O14077" s="37" t="str">
        <f t="shared" si="1098"/>
        <v>Digital Payment</v>
      </c>
      <c r="P14077">
        <v>34.76</v>
      </c>
      <c r="Q14077" s="37" t="str">
        <f>IF(P14077&gt;500,"High","low")</f>
        <v>low</v>
      </c>
      <c r="R14077" s="37" t="str">
        <f t="shared" si="1099"/>
        <v>AVERAGE</v>
      </c>
      <c r="S14077" t="s">
        <v>609</v>
      </c>
    </row>
    <row r="14078" spans="1:19" x14ac:dyDescent="0.2">
      <c r="A14078" t="s">
        <v>14689</v>
      </c>
      <c r="B14078" t="s">
        <v>75</v>
      </c>
      <c r="C14078" t="s">
        <v>617</v>
      </c>
      <c r="D14078">
        <v>2094.12</v>
      </c>
      <c r="E14078" s="37" t="str">
        <f t="shared" si="1095"/>
        <v xml:space="preserve"> </v>
      </c>
      <c r="F14078">
        <v>7.0000000000000007E-2</v>
      </c>
      <c r="G14078" s="37" t="str">
        <f t="shared" si="1096"/>
        <v>Normal Discount</v>
      </c>
      <c r="H14078" s="37" t="str">
        <f t="shared" si="1097"/>
        <v>Low</v>
      </c>
      <c r="I14078">
        <v>5</v>
      </c>
      <c r="J14078" t="str" cm="1">
        <f t="array" ref="J14078">_xlfn.IFS(I14078&lt;=3,"small",I14078&lt;=6,"Medium",I14078&lt;=9,"Large")</f>
        <v>Medium</v>
      </c>
      <c r="K14078" s="36">
        <v>45567</v>
      </c>
      <c r="L14078" s="36">
        <v>45568</v>
      </c>
      <c r="M14078" t="s">
        <v>603</v>
      </c>
      <c r="N14078" t="s">
        <v>604</v>
      </c>
      <c r="O14078" s="37" t="str">
        <f t="shared" si="1098"/>
        <v>Digital Payment</v>
      </c>
      <c r="P14078">
        <v>353.45</v>
      </c>
      <c r="Q14078" s="37" t="str">
        <f>IF(P14078&gt;500,"High","low")</f>
        <v>low</v>
      </c>
      <c r="R14078" s="37" t="str">
        <f t="shared" si="1099"/>
        <v>AVERAGE</v>
      </c>
      <c r="S14078" t="s">
        <v>620</v>
      </c>
    </row>
    <row r="14079" spans="1:19" x14ac:dyDescent="0.2">
      <c r="A14079" t="s">
        <v>14690</v>
      </c>
      <c r="B14079" t="s">
        <v>90</v>
      </c>
      <c r="C14079" t="s">
        <v>607</v>
      </c>
      <c r="D14079">
        <v>1245.56</v>
      </c>
      <c r="E14079" s="37" t="str">
        <f t="shared" si="1095"/>
        <v xml:space="preserve"> </v>
      </c>
      <c r="F14079">
        <v>0.03</v>
      </c>
      <c r="G14079" s="37" t="str">
        <f t="shared" si="1096"/>
        <v>Normal Discount</v>
      </c>
      <c r="H14079" s="37" t="str">
        <f t="shared" si="1097"/>
        <v>Low</v>
      </c>
      <c r="I14079">
        <v>1</v>
      </c>
      <c r="J14079" t="str" cm="1">
        <f t="array" ref="J14079">_xlfn.IFS(I14079&lt;=3,"small",I14079&lt;=6,"Medium",I14079&lt;=9,"Large")</f>
        <v>small</v>
      </c>
      <c r="K14079" s="36">
        <v>45460</v>
      </c>
      <c r="L14079" s="36">
        <v>45463</v>
      </c>
      <c r="M14079" t="s">
        <v>612</v>
      </c>
      <c r="N14079" t="s">
        <v>599</v>
      </c>
      <c r="O14079" s="37" t="str">
        <f t="shared" si="1098"/>
        <v>Digital Payment</v>
      </c>
      <c r="P14079">
        <v>311.5</v>
      </c>
      <c r="Q14079" s="37" t="str">
        <f>IF(P14079&gt;500,"High","low")</f>
        <v>low</v>
      </c>
      <c r="R14079" s="37" t="str">
        <f t="shared" si="1099"/>
        <v>AVERAGE</v>
      </c>
      <c r="S14079" t="s">
        <v>620</v>
      </c>
    </row>
    <row r="14080" spans="1:19" x14ac:dyDescent="0.2">
      <c r="A14080" t="s">
        <v>14691</v>
      </c>
      <c r="B14080" t="s">
        <v>67</v>
      </c>
      <c r="C14080" t="s">
        <v>614</v>
      </c>
      <c r="D14080">
        <v>1802.6</v>
      </c>
      <c r="E14080" s="37" t="str">
        <f t="shared" si="1095"/>
        <v xml:space="preserve"> </v>
      </c>
      <c r="F14080">
        <v>0.2</v>
      </c>
      <c r="G14080" s="37" t="str">
        <f t="shared" si="1096"/>
        <v>Normal Discount</v>
      </c>
      <c r="H14080" s="37" t="str">
        <f t="shared" si="1097"/>
        <v>Medium</v>
      </c>
      <c r="I14080">
        <v>3</v>
      </c>
      <c r="J14080" t="str" cm="1">
        <f t="array" ref="J14080">_xlfn.IFS(I14080&lt;=3,"small",I14080&lt;=6,"Medium",I14080&lt;=9,"Large")</f>
        <v>small</v>
      </c>
      <c r="K14080" s="36">
        <v>44929</v>
      </c>
      <c r="L14080" s="36">
        <v>44936</v>
      </c>
      <c r="M14080" t="s">
        <v>612</v>
      </c>
      <c r="N14080" t="s">
        <v>604</v>
      </c>
      <c r="O14080" s="37" t="str">
        <f t="shared" si="1098"/>
        <v>Digital Payment</v>
      </c>
      <c r="P14080">
        <v>219.5</v>
      </c>
      <c r="Q14080" s="37" t="str">
        <f>IF(P14080&gt;500,"High","low")</f>
        <v>low</v>
      </c>
      <c r="R14080" s="37" t="str">
        <f t="shared" si="1099"/>
        <v>AVERAGE</v>
      </c>
      <c r="S14080" t="s">
        <v>605</v>
      </c>
    </row>
    <row r="14081" spans="1:19" x14ac:dyDescent="0.2">
      <c r="A14081" t="s">
        <v>14692</v>
      </c>
      <c r="B14081" t="s">
        <v>75</v>
      </c>
      <c r="C14081" t="s">
        <v>602</v>
      </c>
      <c r="D14081">
        <v>2583.1</v>
      </c>
      <c r="E14081" s="37" t="str">
        <f t="shared" si="1095"/>
        <v xml:space="preserve"> </v>
      </c>
      <c r="F14081">
        <v>0.36</v>
      </c>
      <c r="G14081" s="37" t="str">
        <f t="shared" si="1096"/>
        <v>Heavy Discount</v>
      </c>
      <c r="H14081" s="37" t="str">
        <f t="shared" si="1097"/>
        <v>Medium</v>
      </c>
      <c r="I14081">
        <v>1</v>
      </c>
      <c r="J14081" t="str" cm="1">
        <f t="array" ref="J14081">_xlfn.IFS(I14081&lt;=3,"small",I14081&lt;=6,"Medium",I14081&lt;=9,"Large")</f>
        <v>small</v>
      </c>
      <c r="K14081" s="36">
        <v>45322</v>
      </c>
      <c r="L14081" s="36">
        <v>45327</v>
      </c>
      <c r="M14081" t="s">
        <v>612</v>
      </c>
      <c r="N14081" t="s">
        <v>608</v>
      </c>
      <c r="O14081" s="37" t="str">
        <f t="shared" si="1098"/>
        <v>Cash Payment</v>
      </c>
      <c r="P14081">
        <v>635.9</v>
      </c>
      <c r="Q14081" s="37" t="str">
        <f>IF(P14081&gt;500,"High","low")</f>
        <v>High</v>
      </c>
      <c r="R14081" s="37" t="str">
        <f t="shared" si="1099"/>
        <v>Good</v>
      </c>
      <c r="S14081" t="s">
        <v>615</v>
      </c>
    </row>
    <row r="14082" spans="1:19" x14ac:dyDescent="0.2">
      <c r="A14082" t="s">
        <v>14693</v>
      </c>
      <c r="B14082" t="s">
        <v>67</v>
      </c>
      <c r="C14082" t="s">
        <v>607</v>
      </c>
      <c r="D14082">
        <v>3541.47</v>
      </c>
      <c r="E14082" s="37" t="str">
        <f t="shared" si="1095"/>
        <v xml:space="preserve"> </v>
      </c>
      <c r="F14082">
        <v>0.44</v>
      </c>
      <c r="G14082" s="37" t="str">
        <f t="shared" si="1096"/>
        <v>Heavy Discount</v>
      </c>
      <c r="H14082" s="37" t="str">
        <f t="shared" si="1097"/>
        <v>High</v>
      </c>
      <c r="I14082">
        <v>7</v>
      </c>
      <c r="J14082" t="str" cm="1">
        <f t="array" ref="J14082">_xlfn.IFS(I14082&lt;=3,"small",I14082&lt;=6,"Medium",I14082&lt;=9,"Large")</f>
        <v>Large</v>
      </c>
      <c r="K14082" s="36">
        <v>45347</v>
      </c>
      <c r="L14082" s="36">
        <v>45353</v>
      </c>
      <c r="M14082" t="s">
        <v>612</v>
      </c>
      <c r="N14082" t="s">
        <v>604</v>
      </c>
      <c r="O14082" s="37" t="str">
        <f t="shared" si="1098"/>
        <v>Digital Payment</v>
      </c>
      <c r="P14082">
        <v>1023.72</v>
      </c>
      <c r="Q14082" s="37" t="str">
        <f>IF(P14082&gt;500,"High","low")</f>
        <v>High</v>
      </c>
      <c r="R14082" s="37" t="str">
        <f t="shared" si="1099"/>
        <v>Excellent</v>
      </c>
      <c r="S14082" t="s">
        <v>609</v>
      </c>
    </row>
    <row r="14083" spans="1:19" x14ac:dyDescent="0.2">
      <c r="A14083" t="s">
        <v>14694</v>
      </c>
      <c r="B14083" t="s">
        <v>75</v>
      </c>
      <c r="C14083" t="s">
        <v>617</v>
      </c>
      <c r="D14083">
        <v>4819.8</v>
      </c>
      <c r="E14083" s="37" t="str">
        <f t="shared" ref="E14083:E14146" si="1100">IF(AND(D14083&gt;4000,P14083&gt;800),"Excellent Order"," ")</f>
        <v xml:space="preserve"> </v>
      </c>
      <c r="F14083">
        <v>0.02</v>
      </c>
      <c r="G14083" s="37" t="str">
        <f t="shared" ref="G14083:G14146" si="1101">IF(F14083&gt;30%,"Heavy Discount","Normal Discount")</f>
        <v>Normal Discount</v>
      </c>
      <c r="H14083" s="37" t="str">
        <f t="shared" ref="H14083:H14146" si="1102">IF(F14083&gt;0.4,"High",IF(F14083&gt;=0.2,"Medium","Low"))</f>
        <v>Low</v>
      </c>
      <c r="I14083">
        <v>7</v>
      </c>
      <c r="J14083" t="str" cm="1">
        <f t="array" ref="J14083">_xlfn.IFS(I14083&lt;=3,"small",I14083&lt;=6,"Medium",I14083&lt;=9,"Large")</f>
        <v>Large</v>
      </c>
      <c r="K14083" s="36">
        <v>45266</v>
      </c>
      <c r="L14083" s="36">
        <v>45269</v>
      </c>
      <c r="M14083" t="s">
        <v>603</v>
      </c>
      <c r="N14083" t="s">
        <v>599</v>
      </c>
      <c r="O14083" s="37" t="str">
        <f t="shared" ref="O14083:O14146" si="1103">IF(OR(N14083="Card",N14083="UPI"),"Digital Payment","Cash Payment")</f>
        <v>Digital Payment</v>
      </c>
      <c r="P14083">
        <v>787.81</v>
      </c>
      <c r="Q14083" s="37" t="str">
        <f>IF(P14083&gt;500,"High","low")</f>
        <v>High</v>
      </c>
      <c r="R14083" s="37" t="str">
        <f t="shared" ref="R14083:R14146" si="1104">IF(P14083&gt;1000,"Excellent",IF(P14083&gt;=500,"Good","AVERAGE"))</f>
        <v>Good</v>
      </c>
      <c r="S14083" t="s">
        <v>609</v>
      </c>
    </row>
    <row r="14084" spans="1:19" x14ac:dyDescent="0.2">
      <c r="A14084" t="s">
        <v>14695</v>
      </c>
      <c r="B14084" t="s">
        <v>75</v>
      </c>
      <c r="C14084" t="s">
        <v>602</v>
      </c>
      <c r="D14084">
        <v>805.6</v>
      </c>
      <c r="E14084" s="37" t="str">
        <f t="shared" si="1100"/>
        <v xml:space="preserve"> </v>
      </c>
      <c r="F14084">
        <v>0.4</v>
      </c>
      <c r="G14084" s="37" t="str">
        <f t="shared" si="1101"/>
        <v>Heavy Discount</v>
      </c>
      <c r="H14084" s="37" t="str">
        <f t="shared" si="1102"/>
        <v>Medium</v>
      </c>
      <c r="I14084">
        <v>6</v>
      </c>
      <c r="J14084" t="str" cm="1">
        <f t="array" ref="J14084">_xlfn.IFS(I14084&lt;=3,"small",I14084&lt;=6,"Medium",I14084&lt;=9,"Large")</f>
        <v>Medium</v>
      </c>
      <c r="K14084" s="36">
        <v>45631</v>
      </c>
      <c r="L14084" s="36">
        <v>45636</v>
      </c>
      <c r="M14084" t="s">
        <v>598</v>
      </c>
      <c r="N14084" t="s">
        <v>604</v>
      </c>
      <c r="O14084" s="37" t="str">
        <f t="shared" si="1103"/>
        <v>Digital Payment</v>
      </c>
      <c r="P14084">
        <v>113.85</v>
      </c>
      <c r="Q14084" s="37" t="str">
        <f>IF(P14084&gt;500,"High","low")</f>
        <v>low</v>
      </c>
      <c r="R14084" s="37" t="str">
        <f t="shared" si="1104"/>
        <v>AVERAGE</v>
      </c>
      <c r="S14084" t="s">
        <v>605</v>
      </c>
    </row>
    <row r="14085" spans="1:19" x14ac:dyDescent="0.2">
      <c r="A14085" t="s">
        <v>14696</v>
      </c>
      <c r="B14085" t="s">
        <v>90</v>
      </c>
      <c r="C14085" t="s">
        <v>602</v>
      </c>
      <c r="D14085">
        <v>3431.51</v>
      </c>
      <c r="E14085" s="37" t="str">
        <f t="shared" si="1100"/>
        <v xml:space="preserve"> </v>
      </c>
      <c r="F14085">
        <v>0.04</v>
      </c>
      <c r="G14085" s="37" t="str">
        <f t="shared" si="1101"/>
        <v>Normal Discount</v>
      </c>
      <c r="H14085" s="37" t="str">
        <f t="shared" si="1102"/>
        <v>Low</v>
      </c>
      <c r="I14085">
        <v>9</v>
      </c>
      <c r="J14085" t="str" cm="1">
        <f t="array" ref="J14085">_xlfn.IFS(I14085&lt;=3,"small",I14085&lt;=6,"Medium",I14085&lt;=9,"Large")</f>
        <v>Large</v>
      </c>
      <c r="K14085" s="36">
        <v>45368</v>
      </c>
      <c r="L14085" s="36">
        <v>45373</v>
      </c>
      <c r="M14085" t="s">
        <v>612</v>
      </c>
      <c r="N14085" t="s">
        <v>604</v>
      </c>
      <c r="O14085" s="37" t="str">
        <f t="shared" si="1103"/>
        <v>Digital Payment</v>
      </c>
      <c r="P14085">
        <v>905.56</v>
      </c>
      <c r="Q14085" s="37" t="str">
        <f>IF(P14085&gt;500,"High","low")</f>
        <v>High</v>
      </c>
      <c r="R14085" s="37" t="str">
        <f t="shared" si="1104"/>
        <v>Good</v>
      </c>
      <c r="S14085" t="s">
        <v>609</v>
      </c>
    </row>
    <row r="14086" spans="1:19" x14ac:dyDescent="0.2">
      <c r="A14086" t="s">
        <v>14697</v>
      </c>
      <c r="B14086" t="s">
        <v>67</v>
      </c>
      <c r="C14086" t="s">
        <v>597</v>
      </c>
      <c r="D14086">
        <v>1242.74</v>
      </c>
      <c r="E14086" s="37" t="str">
        <f t="shared" si="1100"/>
        <v xml:space="preserve"> </v>
      </c>
      <c r="F14086">
        <v>0.28999999999999998</v>
      </c>
      <c r="G14086" s="37" t="str">
        <f t="shared" si="1101"/>
        <v>Normal Discount</v>
      </c>
      <c r="H14086" s="37" t="str">
        <f t="shared" si="1102"/>
        <v>Medium</v>
      </c>
      <c r="I14086">
        <v>7</v>
      </c>
      <c r="J14086" t="str" cm="1">
        <f t="array" ref="J14086">_xlfn.IFS(I14086&lt;=3,"small",I14086&lt;=6,"Medium",I14086&lt;=9,"Large")</f>
        <v>Large</v>
      </c>
      <c r="K14086" s="36">
        <v>45242</v>
      </c>
      <c r="L14086" s="36">
        <v>45247</v>
      </c>
      <c r="M14086" t="s">
        <v>603</v>
      </c>
      <c r="N14086" t="s">
        <v>608</v>
      </c>
      <c r="O14086" s="37" t="str">
        <f t="shared" si="1103"/>
        <v>Cash Payment</v>
      </c>
      <c r="P14086">
        <v>135.33000000000001</v>
      </c>
      <c r="Q14086" s="37" t="str">
        <f>IF(P14086&gt;500,"High","low")</f>
        <v>low</v>
      </c>
      <c r="R14086" s="37" t="str">
        <f t="shared" si="1104"/>
        <v>AVERAGE</v>
      </c>
      <c r="S14086" t="s">
        <v>615</v>
      </c>
    </row>
    <row r="14087" spans="1:19" x14ac:dyDescent="0.2">
      <c r="A14087" t="s">
        <v>14698</v>
      </c>
      <c r="B14087" t="s">
        <v>75</v>
      </c>
      <c r="C14087" t="s">
        <v>617</v>
      </c>
      <c r="D14087">
        <v>1181.45</v>
      </c>
      <c r="E14087" s="37" t="str">
        <f t="shared" si="1100"/>
        <v xml:space="preserve"> </v>
      </c>
      <c r="F14087">
        <v>0.17</v>
      </c>
      <c r="G14087" s="37" t="str">
        <f t="shared" si="1101"/>
        <v>Normal Discount</v>
      </c>
      <c r="H14087" s="37" t="str">
        <f t="shared" si="1102"/>
        <v>Low</v>
      </c>
      <c r="I14087">
        <v>5</v>
      </c>
      <c r="J14087" t="str" cm="1">
        <f t="array" ref="J14087">_xlfn.IFS(I14087&lt;=3,"small",I14087&lt;=6,"Medium",I14087&lt;=9,"Large")</f>
        <v>Medium</v>
      </c>
      <c r="K14087" s="36">
        <v>44967</v>
      </c>
      <c r="L14087" s="36">
        <v>44971</v>
      </c>
      <c r="M14087" t="s">
        <v>603</v>
      </c>
      <c r="N14087" t="s">
        <v>604</v>
      </c>
      <c r="O14087" s="37" t="str">
        <f t="shared" si="1103"/>
        <v>Digital Payment</v>
      </c>
      <c r="P14087">
        <v>275.5</v>
      </c>
      <c r="Q14087" s="37" t="str">
        <f>IF(P14087&gt;500,"High","low")</f>
        <v>low</v>
      </c>
      <c r="R14087" s="37" t="str">
        <f t="shared" si="1104"/>
        <v>AVERAGE</v>
      </c>
      <c r="S14087" t="s">
        <v>620</v>
      </c>
    </row>
    <row r="14088" spans="1:19" x14ac:dyDescent="0.2">
      <c r="A14088" t="s">
        <v>14699</v>
      </c>
      <c r="B14088" t="s">
        <v>83</v>
      </c>
      <c r="C14088" t="s">
        <v>597</v>
      </c>
      <c r="D14088">
        <v>3204.41</v>
      </c>
      <c r="E14088" s="37" t="str">
        <f t="shared" si="1100"/>
        <v xml:space="preserve"> </v>
      </c>
      <c r="F14088">
        <v>0.01</v>
      </c>
      <c r="G14088" s="37" t="str">
        <f t="shared" si="1101"/>
        <v>Normal Discount</v>
      </c>
      <c r="H14088" s="37" t="str">
        <f t="shared" si="1102"/>
        <v>Low</v>
      </c>
      <c r="I14088">
        <v>7</v>
      </c>
      <c r="J14088" t="str" cm="1">
        <f t="array" ref="J14088">_xlfn.IFS(I14088&lt;=3,"small",I14088&lt;=6,"Medium",I14088&lt;=9,"Large")</f>
        <v>Large</v>
      </c>
      <c r="K14088" s="36">
        <v>45142</v>
      </c>
      <c r="L14088" s="36">
        <v>45143</v>
      </c>
      <c r="M14088" t="s">
        <v>612</v>
      </c>
      <c r="N14088" t="s">
        <v>599</v>
      </c>
      <c r="O14088" s="37" t="str">
        <f t="shared" si="1103"/>
        <v>Digital Payment</v>
      </c>
      <c r="P14088">
        <v>618.99</v>
      </c>
      <c r="Q14088" s="37" t="str">
        <f>IF(P14088&gt;500,"High","low")</f>
        <v>High</v>
      </c>
      <c r="R14088" s="37" t="str">
        <f t="shared" si="1104"/>
        <v>Good</v>
      </c>
      <c r="S14088" t="s">
        <v>600</v>
      </c>
    </row>
    <row r="14089" spans="1:19" x14ac:dyDescent="0.2">
      <c r="A14089" t="s">
        <v>14700</v>
      </c>
      <c r="B14089" t="s">
        <v>83</v>
      </c>
      <c r="C14089" t="s">
        <v>602</v>
      </c>
      <c r="D14089">
        <v>3902.4</v>
      </c>
      <c r="E14089" s="37" t="str">
        <f t="shared" si="1100"/>
        <v xml:space="preserve"> </v>
      </c>
      <c r="F14089">
        <v>0.05</v>
      </c>
      <c r="G14089" s="37" t="str">
        <f t="shared" si="1101"/>
        <v>Normal Discount</v>
      </c>
      <c r="H14089" s="37" t="str">
        <f t="shared" si="1102"/>
        <v>Low</v>
      </c>
      <c r="I14089">
        <v>4</v>
      </c>
      <c r="J14089" t="str" cm="1">
        <f t="array" ref="J14089">_xlfn.IFS(I14089&lt;=3,"small",I14089&lt;=6,"Medium",I14089&lt;=9,"Large")</f>
        <v>Medium</v>
      </c>
      <c r="K14089" s="36">
        <v>45170</v>
      </c>
      <c r="L14089" s="36">
        <v>45175</v>
      </c>
      <c r="M14089" t="s">
        <v>612</v>
      </c>
      <c r="N14089" t="s">
        <v>604</v>
      </c>
      <c r="O14089" s="37" t="str">
        <f t="shared" si="1103"/>
        <v>Digital Payment</v>
      </c>
      <c r="P14089">
        <v>615.95000000000005</v>
      </c>
      <c r="Q14089" s="37" t="str">
        <f>IF(P14089&gt;500,"High","low")</f>
        <v>High</v>
      </c>
      <c r="R14089" s="37" t="str">
        <f t="shared" si="1104"/>
        <v>Good</v>
      </c>
      <c r="S14089" t="s">
        <v>615</v>
      </c>
    </row>
    <row r="14090" spans="1:19" x14ac:dyDescent="0.2">
      <c r="A14090" t="s">
        <v>14701</v>
      </c>
      <c r="B14090" t="s">
        <v>83</v>
      </c>
      <c r="C14090" t="s">
        <v>597</v>
      </c>
      <c r="D14090">
        <v>4891.16</v>
      </c>
      <c r="E14090" s="37" t="str">
        <f t="shared" si="1100"/>
        <v xml:space="preserve"> </v>
      </c>
      <c r="F14090">
        <v>0.18</v>
      </c>
      <c r="G14090" s="37" t="str">
        <f t="shared" si="1101"/>
        <v>Normal Discount</v>
      </c>
      <c r="H14090" s="37" t="str">
        <f t="shared" si="1102"/>
        <v>Low</v>
      </c>
      <c r="I14090">
        <v>9</v>
      </c>
      <c r="J14090" t="str" cm="1">
        <f t="array" ref="J14090">_xlfn.IFS(I14090&lt;=3,"small",I14090&lt;=6,"Medium",I14090&lt;=9,"Large")</f>
        <v>Large</v>
      </c>
      <c r="K14090" s="36">
        <v>45028</v>
      </c>
      <c r="L14090" s="36">
        <v>45033</v>
      </c>
      <c r="M14090" t="s">
        <v>612</v>
      </c>
      <c r="N14090" t="s">
        <v>599</v>
      </c>
      <c r="O14090" s="37" t="str">
        <f t="shared" si="1103"/>
        <v>Digital Payment</v>
      </c>
      <c r="P14090">
        <v>479.51</v>
      </c>
      <c r="Q14090" s="37" t="str">
        <f>IF(P14090&gt;500,"High","low")</f>
        <v>low</v>
      </c>
      <c r="R14090" s="37" t="str">
        <f t="shared" si="1104"/>
        <v>AVERAGE</v>
      </c>
      <c r="S14090" t="s">
        <v>620</v>
      </c>
    </row>
    <row r="14091" spans="1:19" x14ac:dyDescent="0.2">
      <c r="A14091" t="s">
        <v>14702</v>
      </c>
      <c r="B14091" t="s">
        <v>90</v>
      </c>
      <c r="C14091" t="s">
        <v>617</v>
      </c>
      <c r="D14091">
        <v>3867.27</v>
      </c>
      <c r="E14091" s="37" t="str">
        <f t="shared" si="1100"/>
        <v xml:space="preserve"> </v>
      </c>
      <c r="F14091">
        <v>0.48</v>
      </c>
      <c r="G14091" s="37" t="str">
        <f t="shared" si="1101"/>
        <v>Heavy Discount</v>
      </c>
      <c r="H14091" s="37" t="str">
        <f t="shared" si="1102"/>
        <v>High</v>
      </c>
      <c r="I14091">
        <v>6</v>
      </c>
      <c r="J14091" t="str" cm="1">
        <f t="array" ref="J14091">_xlfn.IFS(I14091&lt;=3,"small",I14091&lt;=6,"Medium",I14091&lt;=9,"Large")</f>
        <v>Medium</v>
      </c>
      <c r="K14091" s="36">
        <v>45400</v>
      </c>
      <c r="L14091" s="36">
        <v>45405</v>
      </c>
      <c r="M14091" t="s">
        <v>598</v>
      </c>
      <c r="N14091" t="s">
        <v>599</v>
      </c>
      <c r="O14091" s="37" t="str">
        <f t="shared" si="1103"/>
        <v>Digital Payment</v>
      </c>
      <c r="P14091">
        <v>206.25</v>
      </c>
      <c r="Q14091" s="37" t="str">
        <f>IF(P14091&gt;500,"High","low")</f>
        <v>low</v>
      </c>
      <c r="R14091" s="37" t="str">
        <f t="shared" si="1104"/>
        <v>AVERAGE</v>
      </c>
      <c r="S14091" t="s">
        <v>628</v>
      </c>
    </row>
    <row r="14092" spans="1:19" x14ac:dyDescent="0.2">
      <c r="A14092" t="s">
        <v>14703</v>
      </c>
      <c r="B14092" t="s">
        <v>75</v>
      </c>
      <c r="C14092" t="s">
        <v>607</v>
      </c>
      <c r="D14092">
        <v>870.84</v>
      </c>
      <c r="E14092" s="37" t="str">
        <f t="shared" si="1100"/>
        <v xml:space="preserve"> </v>
      </c>
      <c r="F14092">
        <v>0.08</v>
      </c>
      <c r="G14092" s="37" t="str">
        <f t="shared" si="1101"/>
        <v>Normal Discount</v>
      </c>
      <c r="H14092" s="37" t="str">
        <f t="shared" si="1102"/>
        <v>Low</v>
      </c>
      <c r="I14092">
        <v>4</v>
      </c>
      <c r="J14092" t="str" cm="1">
        <f t="array" ref="J14092">_xlfn.IFS(I14092&lt;=3,"small",I14092&lt;=6,"Medium",I14092&lt;=9,"Large")</f>
        <v>Medium</v>
      </c>
      <c r="K14092" s="36">
        <v>45106</v>
      </c>
      <c r="L14092" s="36">
        <v>45112</v>
      </c>
      <c r="M14092" t="s">
        <v>612</v>
      </c>
      <c r="N14092" t="s">
        <v>604</v>
      </c>
      <c r="O14092" s="37" t="str">
        <f t="shared" si="1103"/>
        <v>Digital Payment</v>
      </c>
      <c r="P14092">
        <v>160.75</v>
      </c>
      <c r="Q14092" s="37" t="str">
        <f>IF(P14092&gt;500,"High","low")</f>
        <v>low</v>
      </c>
      <c r="R14092" s="37" t="str">
        <f t="shared" si="1104"/>
        <v>AVERAGE</v>
      </c>
      <c r="S14092" t="s">
        <v>605</v>
      </c>
    </row>
    <row r="14093" spans="1:19" x14ac:dyDescent="0.2">
      <c r="A14093" t="s">
        <v>14704</v>
      </c>
      <c r="B14093" t="s">
        <v>90</v>
      </c>
      <c r="C14093" t="s">
        <v>614</v>
      </c>
      <c r="D14093">
        <v>1204.47</v>
      </c>
      <c r="E14093" s="37" t="str">
        <f t="shared" si="1100"/>
        <v xml:space="preserve"> </v>
      </c>
      <c r="F14093">
        <v>0.14000000000000001</v>
      </c>
      <c r="G14093" s="37" t="str">
        <f t="shared" si="1101"/>
        <v>Normal Discount</v>
      </c>
      <c r="H14093" s="37" t="str">
        <f t="shared" si="1102"/>
        <v>Low</v>
      </c>
      <c r="I14093">
        <v>5</v>
      </c>
      <c r="J14093" t="str" cm="1">
        <f t="array" ref="J14093">_xlfn.IFS(I14093&lt;=3,"small",I14093&lt;=6,"Medium",I14093&lt;=9,"Large")</f>
        <v>Medium</v>
      </c>
      <c r="K14093" s="36">
        <v>45106</v>
      </c>
      <c r="L14093" s="36">
        <v>45107</v>
      </c>
      <c r="M14093" t="s">
        <v>612</v>
      </c>
      <c r="N14093" t="s">
        <v>599</v>
      </c>
      <c r="O14093" s="37" t="str">
        <f t="shared" si="1103"/>
        <v>Digital Payment</v>
      </c>
      <c r="P14093">
        <v>77.66</v>
      </c>
      <c r="Q14093" s="37" t="str">
        <f>IF(P14093&gt;500,"High","low")</f>
        <v>low</v>
      </c>
      <c r="R14093" s="37" t="str">
        <f t="shared" si="1104"/>
        <v>AVERAGE</v>
      </c>
      <c r="S14093" t="s">
        <v>615</v>
      </c>
    </row>
    <row r="14094" spans="1:19" x14ac:dyDescent="0.2">
      <c r="A14094" t="s">
        <v>14705</v>
      </c>
      <c r="B14094" t="s">
        <v>67</v>
      </c>
      <c r="C14094" t="s">
        <v>607</v>
      </c>
      <c r="D14094">
        <v>3830.81</v>
      </c>
      <c r="E14094" s="37" t="str">
        <f t="shared" si="1100"/>
        <v xml:space="preserve"> </v>
      </c>
      <c r="F14094">
        <v>0.5</v>
      </c>
      <c r="G14094" s="37" t="str">
        <f t="shared" si="1101"/>
        <v>Heavy Discount</v>
      </c>
      <c r="H14094" s="37" t="str">
        <f t="shared" si="1102"/>
        <v>High</v>
      </c>
      <c r="I14094">
        <v>8</v>
      </c>
      <c r="J14094" t="str" cm="1">
        <f t="array" ref="J14094">_xlfn.IFS(I14094&lt;=3,"small",I14094&lt;=6,"Medium",I14094&lt;=9,"Large")</f>
        <v>Large</v>
      </c>
      <c r="K14094" s="36">
        <v>45244</v>
      </c>
      <c r="L14094" s="36">
        <v>45248</v>
      </c>
      <c r="M14094" t="s">
        <v>603</v>
      </c>
      <c r="N14094" t="s">
        <v>599</v>
      </c>
      <c r="O14094" s="37" t="str">
        <f t="shared" si="1103"/>
        <v>Digital Payment</v>
      </c>
      <c r="P14094">
        <v>293.56</v>
      </c>
      <c r="Q14094" s="37" t="str">
        <f>IF(P14094&gt;500,"High","low")</f>
        <v>low</v>
      </c>
      <c r="R14094" s="37" t="str">
        <f t="shared" si="1104"/>
        <v>AVERAGE</v>
      </c>
      <c r="S14094" t="s">
        <v>600</v>
      </c>
    </row>
    <row r="14095" spans="1:19" x14ac:dyDescent="0.2">
      <c r="A14095" t="s">
        <v>14706</v>
      </c>
      <c r="B14095" t="s">
        <v>67</v>
      </c>
      <c r="C14095" t="s">
        <v>602</v>
      </c>
      <c r="D14095">
        <v>2682.24</v>
      </c>
      <c r="E14095" s="37" t="str">
        <f t="shared" si="1100"/>
        <v xml:space="preserve"> </v>
      </c>
      <c r="F14095">
        <v>0.24</v>
      </c>
      <c r="G14095" s="37" t="str">
        <f t="shared" si="1101"/>
        <v>Normal Discount</v>
      </c>
      <c r="H14095" s="37" t="str">
        <f t="shared" si="1102"/>
        <v>Medium</v>
      </c>
      <c r="I14095">
        <v>7</v>
      </c>
      <c r="J14095" t="str" cm="1">
        <f t="array" ref="J14095">_xlfn.IFS(I14095&lt;=3,"small",I14095&lt;=6,"Medium",I14095&lt;=9,"Large")</f>
        <v>Large</v>
      </c>
      <c r="K14095" s="36">
        <v>45629</v>
      </c>
      <c r="L14095" s="36">
        <v>45630</v>
      </c>
      <c r="M14095" t="s">
        <v>598</v>
      </c>
      <c r="N14095" t="s">
        <v>604</v>
      </c>
      <c r="O14095" s="37" t="str">
        <f t="shared" si="1103"/>
        <v>Digital Payment</v>
      </c>
      <c r="P14095">
        <v>539.41</v>
      </c>
      <c r="Q14095" s="37" t="str">
        <f>IF(P14095&gt;500,"High","low")</f>
        <v>High</v>
      </c>
      <c r="R14095" s="37" t="str">
        <f t="shared" si="1104"/>
        <v>Good</v>
      </c>
      <c r="S14095" t="s">
        <v>628</v>
      </c>
    </row>
    <row r="14096" spans="1:19" x14ac:dyDescent="0.2">
      <c r="A14096" t="s">
        <v>14707</v>
      </c>
      <c r="B14096" t="s">
        <v>75</v>
      </c>
      <c r="C14096" t="s">
        <v>607</v>
      </c>
      <c r="D14096">
        <v>1547.5</v>
      </c>
      <c r="E14096" s="37" t="str">
        <f t="shared" si="1100"/>
        <v xml:space="preserve"> </v>
      </c>
      <c r="F14096">
        <v>0.13</v>
      </c>
      <c r="G14096" s="37" t="str">
        <f t="shared" si="1101"/>
        <v>Normal Discount</v>
      </c>
      <c r="H14096" s="37" t="str">
        <f t="shared" si="1102"/>
        <v>Low</v>
      </c>
      <c r="I14096">
        <v>6</v>
      </c>
      <c r="J14096" t="str" cm="1">
        <f t="array" ref="J14096">_xlfn.IFS(I14096&lt;=3,"small",I14096&lt;=6,"Medium",I14096&lt;=9,"Large")</f>
        <v>Medium</v>
      </c>
      <c r="K14096" s="36">
        <v>44996</v>
      </c>
      <c r="L14096" s="36">
        <v>44999</v>
      </c>
      <c r="M14096" t="s">
        <v>603</v>
      </c>
      <c r="N14096" t="s">
        <v>608</v>
      </c>
      <c r="O14096" s="37" t="str">
        <f t="shared" si="1103"/>
        <v>Cash Payment</v>
      </c>
      <c r="P14096">
        <v>170.49</v>
      </c>
      <c r="Q14096" s="37" t="str">
        <f>IF(P14096&gt;500,"High","low")</f>
        <v>low</v>
      </c>
      <c r="R14096" s="37" t="str">
        <f t="shared" si="1104"/>
        <v>AVERAGE</v>
      </c>
      <c r="S14096" t="s">
        <v>615</v>
      </c>
    </row>
    <row r="14097" spans="1:19" x14ac:dyDescent="0.2">
      <c r="A14097" t="s">
        <v>14708</v>
      </c>
      <c r="B14097" t="s">
        <v>83</v>
      </c>
      <c r="C14097" t="s">
        <v>597</v>
      </c>
      <c r="D14097">
        <v>2411.7399999999998</v>
      </c>
      <c r="E14097" s="37" t="str">
        <f t="shared" si="1100"/>
        <v xml:space="preserve"> </v>
      </c>
      <c r="F14097">
        <v>0.31</v>
      </c>
      <c r="G14097" s="37" t="str">
        <f t="shared" si="1101"/>
        <v>Heavy Discount</v>
      </c>
      <c r="H14097" s="37" t="str">
        <f t="shared" si="1102"/>
        <v>Medium</v>
      </c>
      <c r="I14097">
        <v>2</v>
      </c>
      <c r="J14097" t="str" cm="1">
        <f t="array" ref="J14097">_xlfn.IFS(I14097&lt;=3,"small",I14097&lt;=6,"Medium",I14097&lt;=9,"Large")</f>
        <v>small</v>
      </c>
      <c r="K14097" s="36">
        <v>45478</v>
      </c>
      <c r="L14097" s="36">
        <v>45479</v>
      </c>
      <c r="M14097" t="s">
        <v>603</v>
      </c>
      <c r="N14097" t="s">
        <v>599</v>
      </c>
      <c r="O14097" s="37" t="str">
        <f t="shared" si="1103"/>
        <v>Digital Payment</v>
      </c>
      <c r="P14097">
        <v>536.14</v>
      </c>
      <c r="Q14097" s="37" t="str">
        <f>IF(P14097&gt;500,"High","low")</f>
        <v>High</v>
      </c>
      <c r="R14097" s="37" t="str">
        <f t="shared" si="1104"/>
        <v>Good</v>
      </c>
      <c r="S14097" t="s">
        <v>628</v>
      </c>
    </row>
    <row r="14098" spans="1:19" x14ac:dyDescent="0.2">
      <c r="A14098" t="s">
        <v>14709</v>
      </c>
      <c r="B14098" t="s">
        <v>75</v>
      </c>
      <c r="C14098" t="s">
        <v>617</v>
      </c>
      <c r="D14098">
        <v>4582.95</v>
      </c>
      <c r="E14098" s="37" t="str">
        <f t="shared" si="1100"/>
        <v xml:space="preserve"> </v>
      </c>
      <c r="F14098">
        <v>0.22</v>
      </c>
      <c r="G14098" s="37" t="str">
        <f t="shared" si="1101"/>
        <v>Normal Discount</v>
      </c>
      <c r="H14098" s="37" t="str">
        <f t="shared" si="1102"/>
        <v>Medium</v>
      </c>
      <c r="I14098">
        <v>3</v>
      </c>
      <c r="J14098" t="str" cm="1">
        <f t="array" ref="J14098">_xlfn.IFS(I14098&lt;=3,"small",I14098&lt;=6,"Medium",I14098&lt;=9,"Large")</f>
        <v>small</v>
      </c>
      <c r="K14098" s="36">
        <v>44935</v>
      </c>
      <c r="L14098" s="36">
        <v>44936</v>
      </c>
      <c r="M14098" t="s">
        <v>603</v>
      </c>
      <c r="N14098" t="s">
        <v>608</v>
      </c>
      <c r="O14098" s="37" t="str">
        <f t="shared" si="1103"/>
        <v>Cash Payment</v>
      </c>
      <c r="P14098">
        <v>398.79</v>
      </c>
      <c r="Q14098" s="37" t="str">
        <f>IF(P14098&gt;500,"High","low")</f>
        <v>low</v>
      </c>
      <c r="R14098" s="37" t="str">
        <f t="shared" si="1104"/>
        <v>AVERAGE</v>
      </c>
      <c r="S14098" t="s">
        <v>620</v>
      </c>
    </row>
    <row r="14099" spans="1:19" x14ac:dyDescent="0.2">
      <c r="A14099" t="s">
        <v>14710</v>
      </c>
      <c r="B14099" t="s">
        <v>75</v>
      </c>
      <c r="C14099" t="s">
        <v>607</v>
      </c>
      <c r="D14099">
        <v>3802.44</v>
      </c>
      <c r="E14099" s="37" t="str">
        <f t="shared" si="1100"/>
        <v xml:space="preserve"> </v>
      </c>
      <c r="F14099">
        <v>0.43</v>
      </c>
      <c r="G14099" s="37" t="str">
        <f t="shared" si="1101"/>
        <v>Heavy Discount</v>
      </c>
      <c r="H14099" s="37" t="str">
        <f t="shared" si="1102"/>
        <v>High</v>
      </c>
      <c r="I14099">
        <v>1</v>
      </c>
      <c r="J14099" t="str" cm="1">
        <f t="array" ref="J14099">_xlfn.IFS(I14099&lt;=3,"small",I14099&lt;=6,"Medium",I14099&lt;=9,"Large")</f>
        <v>small</v>
      </c>
      <c r="K14099" s="36">
        <v>45552</v>
      </c>
      <c r="L14099" s="36">
        <v>45558</v>
      </c>
      <c r="M14099" t="s">
        <v>612</v>
      </c>
      <c r="N14099" t="s">
        <v>604</v>
      </c>
      <c r="O14099" s="37" t="str">
        <f t="shared" si="1103"/>
        <v>Digital Payment</v>
      </c>
      <c r="P14099">
        <v>257.08</v>
      </c>
      <c r="Q14099" s="37" t="str">
        <f>IF(P14099&gt;500,"High","low")</f>
        <v>low</v>
      </c>
      <c r="R14099" s="37" t="str">
        <f t="shared" si="1104"/>
        <v>AVERAGE</v>
      </c>
      <c r="S14099" t="s">
        <v>605</v>
      </c>
    </row>
    <row r="14100" spans="1:19" x14ac:dyDescent="0.2">
      <c r="A14100" t="s">
        <v>14711</v>
      </c>
      <c r="B14100" t="s">
        <v>75</v>
      </c>
      <c r="C14100" t="s">
        <v>607</v>
      </c>
      <c r="D14100">
        <v>2308.42</v>
      </c>
      <c r="E14100" s="37" t="str">
        <f t="shared" si="1100"/>
        <v xml:space="preserve"> </v>
      </c>
      <c r="F14100">
        <v>0</v>
      </c>
      <c r="G14100" s="37" t="str">
        <f t="shared" si="1101"/>
        <v>Normal Discount</v>
      </c>
      <c r="H14100" s="37" t="str">
        <f t="shared" si="1102"/>
        <v>Low</v>
      </c>
      <c r="I14100">
        <v>3</v>
      </c>
      <c r="J14100" t="str" cm="1">
        <f t="array" ref="J14100">_xlfn.IFS(I14100&lt;=3,"small",I14100&lt;=6,"Medium",I14100&lt;=9,"Large")</f>
        <v>small</v>
      </c>
      <c r="K14100" s="36">
        <v>45380</v>
      </c>
      <c r="L14100" s="36">
        <v>45382</v>
      </c>
      <c r="M14100" t="s">
        <v>612</v>
      </c>
      <c r="N14100" t="s">
        <v>608</v>
      </c>
      <c r="O14100" s="37" t="str">
        <f t="shared" si="1103"/>
        <v>Cash Payment</v>
      </c>
      <c r="P14100">
        <v>417.81</v>
      </c>
      <c r="Q14100" s="37" t="str">
        <f>IF(P14100&gt;500,"High","low")</f>
        <v>low</v>
      </c>
      <c r="R14100" s="37" t="str">
        <f t="shared" si="1104"/>
        <v>AVERAGE</v>
      </c>
      <c r="S14100" t="s">
        <v>620</v>
      </c>
    </row>
    <row r="14101" spans="1:19" x14ac:dyDescent="0.2">
      <c r="A14101" t="s">
        <v>14712</v>
      </c>
      <c r="B14101" t="s">
        <v>90</v>
      </c>
      <c r="C14101" t="s">
        <v>617</v>
      </c>
      <c r="D14101">
        <v>4904.71</v>
      </c>
      <c r="E14101" s="37" t="str">
        <f t="shared" si="1100"/>
        <v xml:space="preserve"> </v>
      </c>
      <c r="F14101">
        <v>0.5</v>
      </c>
      <c r="G14101" s="37" t="str">
        <f t="shared" si="1101"/>
        <v>Heavy Discount</v>
      </c>
      <c r="H14101" s="37" t="str">
        <f t="shared" si="1102"/>
        <v>High</v>
      </c>
      <c r="I14101">
        <v>2</v>
      </c>
      <c r="J14101" t="str" cm="1">
        <f t="array" ref="J14101">_xlfn.IFS(I14101&lt;=3,"small",I14101&lt;=6,"Medium",I14101&lt;=9,"Large")</f>
        <v>small</v>
      </c>
      <c r="K14101" s="36">
        <v>45071</v>
      </c>
      <c r="L14101" s="36">
        <v>45077</v>
      </c>
      <c r="M14101" t="s">
        <v>612</v>
      </c>
      <c r="N14101" t="s">
        <v>608</v>
      </c>
      <c r="O14101" s="37" t="str">
        <f t="shared" si="1103"/>
        <v>Cash Payment</v>
      </c>
      <c r="P14101">
        <v>537.71</v>
      </c>
      <c r="Q14101" s="37" t="str">
        <f>IF(P14101&gt;500,"High","low")</f>
        <v>High</v>
      </c>
      <c r="R14101" s="37" t="str">
        <f t="shared" si="1104"/>
        <v>Good</v>
      </c>
      <c r="S14101" t="s">
        <v>620</v>
      </c>
    </row>
    <row r="14102" spans="1:19" x14ac:dyDescent="0.2">
      <c r="A14102" t="s">
        <v>14713</v>
      </c>
      <c r="B14102" t="s">
        <v>67</v>
      </c>
      <c r="C14102" t="s">
        <v>597</v>
      </c>
      <c r="D14102">
        <v>3994.89</v>
      </c>
      <c r="E14102" s="37" t="str">
        <f t="shared" si="1100"/>
        <v xml:space="preserve"> </v>
      </c>
      <c r="F14102">
        <v>0.03</v>
      </c>
      <c r="G14102" s="37" t="str">
        <f t="shared" si="1101"/>
        <v>Normal Discount</v>
      </c>
      <c r="H14102" s="37" t="str">
        <f t="shared" si="1102"/>
        <v>Low</v>
      </c>
      <c r="I14102">
        <v>6</v>
      </c>
      <c r="J14102" t="str" cm="1">
        <f t="array" ref="J14102">_xlfn.IFS(I14102&lt;=3,"small",I14102&lt;=6,"Medium",I14102&lt;=9,"Large")</f>
        <v>Medium</v>
      </c>
      <c r="K14102" s="36">
        <v>45589</v>
      </c>
      <c r="L14102" s="36">
        <v>45591</v>
      </c>
      <c r="M14102" t="s">
        <v>612</v>
      </c>
      <c r="N14102" t="s">
        <v>608</v>
      </c>
      <c r="O14102" s="37" t="str">
        <f t="shared" si="1103"/>
        <v>Cash Payment</v>
      </c>
      <c r="P14102">
        <v>626.27</v>
      </c>
      <c r="Q14102" s="37" t="str">
        <f>IF(P14102&gt;500,"High","low")</f>
        <v>High</v>
      </c>
      <c r="R14102" s="37" t="str">
        <f t="shared" si="1104"/>
        <v>Good</v>
      </c>
      <c r="S14102" t="s">
        <v>620</v>
      </c>
    </row>
    <row r="14103" spans="1:19" x14ac:dyDescent="0.2">
      <c r="A14103" t="s">
        <v>14714</v>
      </c>
      <c r="B14103" t="s">
        <v>75</v>
      </c>
      <c r="C14103" t="s">
        <v>614</v>
      </c>
      <c r="D14103">
        <v>128.77000000000001</v>
      </c>
      <c r="E14103" s="37" t="str">
        <f t="shared" si="1100"/>
        <v xml:space="preserve"> </v>
      </c>
      <c r="F14103">
        <v>0.27</v>
      </c>
      <c r="G14103" s="37" t="str">
        <f t="shared" si="1101"/>
        <v>Normal Discount</v>
      </c>
      <c r="H14103" s="37" t="str">
        <f t="shared" si="1102"/>
        <v>Medium</v>
      </c>
      <c r="I14103">
        <v>4</v>
      </c>
      <c r="J14103" t="str" cm="1">
        <f t="array" ref="J14103">_xlfn.IFS(I14103&lt;=3,"small",I14103&lt;=6,"Medium",I14103&lt;=9,"Large")</f>
        <v>Medium</v>
      </c>
      <c r="K14103" s="36">
        <v>45006</v>
      </c>
      <c r="L14103" s="36">
        <v>45010</v>
      </c>
      <c r="M14103" t="s">
        <v>612</v>
      </c>
      <c r="N14103" t="s">
        <v>599</v>
      </c>
      <c r="O14103" s="37" t="str">
        <f t="shared" si="1103"/>
        <v>Digital Payment</v>
      </c>
      <c r="P14103">
        <v>9.9499999999999993</v>
      </c>
      <c r="Q14103" s="37" t="str">
        <f>IF(P14103&gt;500,"High","low")</f>
        <v>low</v>
      </c>
      <c r="R14103" s="37" t="str">
        <f t="shared" si="1104"/>
        <v>AVERAGE</v>
      </c>
      <c r="S14103" t="s">
        <v>620</v>
      </c>
    </row>
    <row r="14104" spans="1:19" x14ac:dyDescent="0.2">
      <c r="A14104" t="s">
        <v>14715</v>
      </c>
      <c r="B14104" t="s">
        <v>75</v>
      </c>
      <c r="C14104" t="s">
        <v>607</v>
      </c>
      <c r="D14104">
        <v>650.6</v>
      </c>
      <c r="E14104" s="37" t="str">
        <f t="shared" si="1100"/>
        <v xml:space="preserve"> </v>
      </c>
      <c r="F14104">
        <v>0.35</v>
      </c>
      <c r="G14104" s="37" t="str">
        <f t="shared" si="1101"/>
        <v>Heavy Discount</v>
      </c>
      <c r="H14104" s="37" t="str">
        <f t="shared" si="1102"/>
        <v>Medium</v>
      </c>
      <c r="I14104">
        <v>3</v>
      </c>
      <c r="J14104" t="str" cm="1">
        <f t="array" ref="J14104">_xlfn.IFS(I14104&lt;=3,"small",I14104&lt;=6,"Medium",I14104&lt;=9,"Large")</f>
        <v>small</v>
      </c>
      <c r="K14104" s="36">
        <v>45489</v>
      </c>
      <c r="L14104" s="36">
        <v>45490</v>
      </c>
      <c r="M14104" t="s">
        <v>603</v>
      </c>
      <c r="N14104" t="s">
        <v>608</v>
      </c>
      <c r="O14104" s="37" t="str">
        <f t="shared" si="1103"/>
        <v>Cash Payment</v>
      </c>
      <c r="P14104">
        <v>80.14</v>
      </c>
      <c r="Q14104" s="37" t="str">
        <f>IF(P14104&gt;500,"High","low")</f>
        <v>low</v>
      </c>
      <c r="R14104" s="37" t="str">
        <f t="shared" si="1104"/>
        <v>AVERAGE</v>
      </c>
      <c r="S14104" t="s">
        <v>600</v>
      </c>
    </row>
    <row r="14105" spans="1:19" x14ac:dyDescent="0.2">
      <c r="A14105" t="s">
        <v>14716</v>
      </c>
      <c r="B14105" t="s">
        <v>75</v>
      </c>
      <c r="C14105" t="s">
        <v>602</v>
      </c>
      <c r="D14105">
        <v>2814.45</v>
      </c>
      <c r="E14105" s="37" t="str">
        <f t="shared" si="1100"/>
        <v xml:space="preserve"> </v>
      </c>
      <c r="F14105">
        <v>0.27</v>
      </c>
      <c r="G14105" s="37" t="str">
        <f t="shared" si="1101"/>
        <v>Normal Discount</v>
      </c>
      <c r="H14105" s="37" t="str">
        <f t="shared" si="1102"/>
        <v>Medium</v>
      </c>
      <c r="I14105">
        <v>8</v>
      </c>
      <c r="J14105" t="str" cm="1">
        <f t="array" ref="J14105">_xlfn.IFS(I14105&lt;=3,"small",I14105&lt;=6,"Medium",I14105&lt;=9,"Large")</f>
        <v>Large</v>
      </c>
      <c r="K14105" s="36">
        <v>45524</v>
      </c>
      <c r="L14105" s="36">
        <v>45526</v>
      </c>
      <c r="M14105" t="s">
        <v>598</v>
      </c>
      <c r="N14105" t="s">
        <v>599</v>
      </c>
      <c r="O14105" s="37" t="str">
        <f t="shared" si="1103"/>
        <v>Digital Payment</v>
      </c>
      <c r="P14105">
        <v>182.4</v>
      </c>
      <c r="Q14105" s="37" t="str">
        <f>IF(P14105&gt;500,"High","low")</f>
        <v>low</v>
      </c>
      <c r="R14105" s="37" t="str">
        <f t="shared" si="1104"/>
        <v>AVERAGE</v>
      </c>
      <c r="S14105" t="s">
        <v>600</v>
      </c>
    </row>
    <row r="14106" spans="1:19" x14ac:dyDescent="0.2">
      <c r="A14106" t="s">
        <v>14717</v>
      </c>
      <c r="B14106" t="s">
        <v>90</v>
      </c>
      <c r="C14106" t="s">
        <v>597</v>
      </c>
      <c r="D14106">
        <v>1814.78</v>
      </c>
      <c r="E14106" s="37" t="str">
        <f t="shared" si="1100"/>
        <v xml:space="preserve"> </v>
      </c>
      <c r="F14106">
        <v>0.15</v>
      </c>
      <c r="G14106" s="37" t="str">
        <f t="shared" si="1101"/>
        <v>Normal Discount</v>
      </c>
      <c r="H14106" s="37" t="str">
        <f t="shared" si="1102"/>
        <v>Low</v>
      </c>
      <c r="I14106">
        <v>5</v>
      </c>
      <c r="J14106" t="str" cm="1">
        <f t="array" ref="J14106">_xlfn.IFS(I14106&lt;=3,"small",I14106&lt;=6,"Medium",I14106&lt;=9,"Large")</f>
        <v>Medium</v>
      </c>
      <c r="K14106" s="36">
        <v>45582</v>
      </c>
      <c r="L14106" s="36">
        <v>45583</v>
      </c>
      <c r="M14106" t="s">
        <v>598</v>
      </c>
      <c r="N14106" t="s">
        <v>599</v>
      </c>
      <c r="O14106" s="37" t="str">
        <f t="shared" si="1103"/>
        <v>Digital Payment</v>
      </c>
      <c r="P14106">
        <v>458.57</v>
      </c>
      <c r="Q14106" s="37" t="str">
        <f>IF(P14106&gt;500,"High","low")</f>
        <v>low</v>
      </c>
      <c r="R14106" s="37" t="str">
        <f t="shared" si="1104"/>
        <v>AVERAGE</v>
      </c>
      <c r="S14106" t="s">
        <v>609</v>
      </c>
    </row>
    <row r="14107" spans="1:19" x14ac:dyDescent="0.2">
      <c r="A14107" t="s">
        <v>14718</v>
      </c>
      <c r="B14107" t="s">
        <v>90</v>
      </c>
      <c r="C14107" t="s">
        <v>597</v>
      </c>
      <c r="D14107">
        <v>4081.54</v>
      </c>
      <c r="E14107" s="37" t="str">
        <f t="shared" si="1100"/>
        <v xml:space="preserve"> </v>
      </c>
      <c r="F14107">
        <v>0.43</v>
      </c>
      <c r="G14107" s="37" t="str">
        <f t="shared" si="1101"/>
        <v>Heavy Discount</v>
      </c>
      <c r="H14107" s="37" t="str">
        <f t="shared" si="1102"/>
        <v>High</v>
      </c>
      <c r="I14107">
        <v>4</v>
      </c>
      <c r="J14107" t="str" cm="1">
        <f t="array" ref="J14107">_xlfn.IFS(I14107&lt;=3,"small",I14107&lt;=6,"Medium",I14107&lt;=9,"Large")</f>
        <v>Medium</v>
      </c>
      <c r="K14107" s="36">
        <v>45099</v>
      </c>
      <c r="L14107" s="36">
        <v>45104</v>
      </c>
      <c r="M14107" t="s">
        <v>598</v>
      </c>
      <c r="N14107" t="s">
        <v>599</v>
      </c>
      <c r="O14107" s="37" t="str">
        <f t="shared" si="1103"/>
        <v>Digital Payment</v>
      </c>
      <c r="P14107">
        <v>208.51</v>
      </c>
      <c r="Q14107" s="37" t="str">
        <f>IF(P14107&gt;500,"High","low")</f>
        <v>low</v>
      </c>
      <c r="R14107" s="37" t="str">
        <f t="shared" si="1104"/>
        <v>AVERAGE</v>
      </c>
      <c r="S14107" t="s">
        <v>615</v>
      </c>
    </row>
    <row r="14108" spans="1:19" x14ac:dyDescent="0.2">
      <c r="A14108" t="s">
        <v>14719</v>
      </c>
      <c r="B14108" t="s">
        <v>90</v>
      </c>
      <c r="C14108" t="s">
        <v>607</v>
      </c>
      <c r="D14108">
        <v>4488.87</v>
      </c>
      <c r="E14108" s="37" t="str">
        <f t="shared" si="1100"/>
        <v>Excellent Order</v>
      </c>
      <c r="F14108">
        <v>0.22</v>
      </c>
      <c r="G14108" s="37" t="str">
        <f t="shared" si="1101"/>
        <v>Normal Discount</v>
      </c>
      <c r="H14108" s="37" t="str">
        <f t="shared" si="1102"/>
        <v>Medium</v>
      </c>
      <c r="I14108">
        <v>6</v>
      </c>
      <c r="J14108" t="str" cm="1">
        <f t="array" ref="J14108">_xlfn.IFS(I14108&lt;=3,"small",I14108&lt;=6,"Medium",I14108&lt;=9,"Large")</f>
        <v>Medium</v>
      </c>
      <c r="K14108" s="36">
        <v>45115</v>
      </c>
      <c r="L14108" s="36">
        <v>45117</v>
      </c>
      <c r="M14108" t="s">
        <v>612</v>
      </c>
      <c r="N14108" t="s">
        <v>599</v>
      </c>
      <c r="O14108" s="37" t="str">
        <f t="shared" si="1103"/>
        <v>Digital Payment</v>
      </c>
      <c r="P14108">
        <v>1301.3</v>
      </c>
      <c r="Q14108" s="37" t="str">
        <f>IF(P14108&gt;500,"High","low")</f>
        <v>High</v>
      </c>
      <c r="R14108" s="37" t="str">
        <f t="shared" si="1104"/>
        <v>Excellent</v>
      </c>
      <c r="S14108" t="s">
        <v>600</v>
      </c>
    </row>
    <row r="14109" spans="1:19" x14ac:dyDescent="0.2">
      <c r="A14109" t="s">
        <v>14720</v>
      </c>
      <c r="B14109" t="s">
        <v>75</v>
      </c>
      <c r="C14109" t="s">
        <v>617</v>
      </c>
      <c r="D14109">
        <v>1279.19</v>
      </c>
      <c r="E14109" s="37" t="str">
        <f t="shared" si="1100"/>
        <v xml:space="preserve"> </v>
      </c>
      <c r="F14109">
        <v>0.15</v>
      </c>
      <c r="G14109" s="37" t="str">
        <f t="shared" si="1101"/>
        <v>Normal Discount</v>
      </c>
      <c r="H14109" s="37" t="str">
        <f t="shared" si="1102"/>
        <v>Low</v>
      </c>
      <c r="I14109">
        <v>4</v>
      </c>
      <c r="J14109" t="str" cm="1">
        <f t="array" ref="J14109">_xlfn.IFS(I14109&lt;=3,"small",I14109&lt;=6,"Medium",I14109&lt;=9,"Large")</f>
        <v>Medium</v>
      </c>
      <c r="K14109" s="36">
        <v>45127</v>
      </c>
      <c r="L14109" s="36">
        <v>45129</v>
      </c>
      <c r="M14109" t="s">
        <v>603</v>
      </c>
      <c r="N14109" t="s">
        <v>604</v>
      </c>
      <c r="O14109" s="37" t="str">
        <f t="shared" si="1103"/>
        <v>Digital Payment</v>
      </c>
      <c r="P14109">
        <v>151.03</v>
      </c>
      <c r="Q14109" s="37" t="str">
        <f>IF(P14109&gt;500,"High","low")</f>
        <v>low</v>
      </c>
      <c r="R14109" s="37" t="str">
        <f t="shared" si="1104"/>
        <v>AVERAGE</v>
      </c>
      <c r="S14109" t="s">
        <v>628</v>
      </c>
    </row>
    <row r="14110" spans="1:19" x14ac:dyDescent="0.2">
      <c r="A14110" t="s">
        <v>14721</v>
      </c>
      <c r="B14110" t="s">
        <v>83</v>
      </c>
      <c r="C14110" t="s">
        <v>607</v>
      </c>
      <c r="D14110">
        <v>3840.1</v>
      </c>
      <c r="E14110" s="37" t="str">
        <f t="shared" si="1100"/>
        <v xml:space="preserve"> </v>
      </c>
      <c r="F14110">
        <v>0.38</v>
      </c>
      <c r="G14110" s="37" t="str">
        <f t="shared" si="1101"/>
        <v>Heavy Discount</v>
      </c>
      <c r="H14110" s="37" t="str">
        <f t="shared" si="1102"/>
        <v>Medium</v>
      </c>
      <c r="I14110">
        <v>5</v>
      </c>
      <c r="J14110" t="str" cm="1">
        <f t="array" ref="J14110">_xlfn.IFS(I14110&lt;=3,"small",I14110&lt;=6,"Medium",I14110&lt;=9,"Large")</f>
        <v>Medium</v>
      </c>
      <c r="K14110" s="36">
        <v>44932</v>
      </c>
      <c r="L14110" s="36">
        <v>44934</v>
      </c>
      <c r="M14110" t="s">
        <v>598</v>
      </c>
      <c r="N14110" t="s">
        <v>608</v>
      </c>
      <c r="O14110" s="37" t="str">
        <f t="shared" si="1103"/>
        <v>Cash Payment</v>
      </c>
      <c r="P14110">
        <v>266.83</v>
      </c>
      <c r="Q14110" s="37" t="str">
        <f>IF(P14110&gt;500,"High","low")</f>
        <v>low</v>
      </c>
      <c r="R14110" s="37" t="str">
        <f t="shared" si="1104"/>
        <v>AVERAGE</v>
      </c>
      <c r="S14110" t="s">
        <v>600</v>
      </c>
    </row>
    <row r="14111" spans="1:19" x14ac:dyDescent="0.2">
      <c r="A14111" t="s">
        <v>14722</v>
      </c>
      <c r="B14111" t="s">
        <v>83</v>
      </c>
      <c r="C14111" t="s">
        <v>607</v>
      </c>
      <c r="D14111">
        <v>2723.45</v>
      </c>
      <c r="E14111" s="37" t="str">
        <f t="shared" si="1100"/>
        <v xml:space="preserve"> </v>
      </c>
      <c r="F14111">
        <v>7.0000000000000007E-2</v>
      </c>
      <c r="G14111" s="37" t="str">
        <f t="shared" si="1101"/>
        <v>Normal Discount</v>
      </c>
      <c r="H14111" s="37" t="str">
        <f t="shared" si="1102"/>
        <v>Low</v>
      </c>
      <c r="I14111">
        <v>4</v>
      </c>
      <c r="J14111" t="str" cm="1">
        <f t="array" ref="J14111">_xlfn.IFS(I14111&lt;=3,"small",I14111&lt;=6,"Medium",I14111&lt;=9,"Large")</f>
        <v>Medium</v>
      </c>
      <c r="K14111" s="36">
        <v>45540</v>
      </c>
      <c r="L14111" s="36">
        <v>45541</v>
      </c>
      <c r="M14111" t="s">
        <v>598</v>
      </c>
      <c r="N14111" t="s">
        <v>599</v>
      </c>
      <c r="O14111" s="37" t="str">
        <f t="shared" si="1103"/>
        <v>Digital Payment</v>
      </c>
      <c r="P14111">
        <v>718.44</v>
      </c>
      <c r="Q14111" s="37" t="str">
        <f>IF(P14111&gt;500,"High","low")</f>
        <v>High</v>
      </c>
      <c r="R14111" s="37" t="str">
        <f t="shared" si="1104"/>
        <v>Good</v>
      </c>
      <c r="S14111" t="s">
        <v>628</v>
      </c>
    </row>
    <row r="14112" spans="1:19" x14ac:dyDescent="0.2">
      <c r="A14112" t="s">
        <v>14723</v>
      </c>
      <c r="B14112" t="s">
        <v>83</v>
      </c>
      <c r="C14112" t="s">
        <v>617</v>
      </c>
      <c r="D14112">
        <v>2020.64</v>
      </c>
      <c r="E14112" s="37" t="str">
        <f t="shared" si="1100"/>
        <v xml:space="preserve"> </v>
      </c>
      <c r="F14112">
        <v>0.1</v>
      </c>
      <c r="G14112" s="37" t="str">
        <f t="shared" si="1101"/>
        <v>Normal Discount</v>
      </c>
      <c r="H14112" s="37" t="str">
        <f t="shared" si="1102"/>
        <v>Low</v>
      </c>
      <c r="I14112">
        <v>9</v>
      </c>
      <c r="J14112" t="str" cm="1">
        <f t="array" ref="J14112">_xlfn.IFS(I14112&lt;=3,"small",I14112&lt;=6,"Medium",I14112&lt;=9,"Large")</f>
        <v>Large</v>
      </c>
      <c r="K14112" s="36">
        <v>45391</v>
      </c>
      <c r="L14112" s="36">
        <v>45396</v>
      </c>
      <c r="M14112" t="s">
        <v>598</v>
      </c>
      <c r="N14112" t="s">
        <v>599</v>
      </c>
      <c r="O14112" s="37" t="str">
        <f t="shared" si="1103"/>
        <v>Digital Payment</v>
      </c>
      <c r="P14112">
        <v>438.68</v>
      </c>
      <c r="Q14112" s="37" t="str">
        <f>IF(P14112&gt;500,"High","low")</f>
        <v>low</v>
      </c>
      <c r="R14112" s="37" t="str">
        <f t="shared" si="1104"/>
        <v>AVERAGE</v>
      </c>
      <c r="S14112" t="s">
        <v>620</v>
      </c>
    </row>
    <row r="14113" spans="1:19" x14ac:dyDescent="0.2">
      <c r="A14113" t="s">
        <v>14724</v>
      </c>
      <c r="B14113" t="s">
        <v>67</v>
      </c>
      <c r="C14113" t="s">
        <v>602</v>
      </c>
      <c r="D14113">
        <v>3955.22</v>
      </c>
      <c r="E14113" s="37" t="str">
        <f t="shared" si="1100"/>
        <v xml:space="preserve"> </v>
      </c>
      <c r="F14113">
        <v>0.13</v>
      </c>
      <c r="G14113" s="37" t="str">
        <f t="shared" si="1101"/>
        <v>Normal Discount</v>
      </c>
      <c r="H14113" s="37" t="str">
        <f t="shared" si="1102"/>
        <v>Low</v>
      </c>
      <c r="I14113">
        <v>2</v>
      </c>
      <c r="J14113" t="str" cm="1">
        <f t="array" ref="J14113">_xlfn.IFS(I14113&lt;=3,"small",I14113&lt;=6,"Medium",I14113&lt;=9,"Large")</f>
        <v>small</v>
      </c>
      <c r="K14113" s="36">
        <v>45128</v>
      </c>
      <c r="L14113" s="36">
        <v>45135</v>
      </c>
      <c r="M14113" t="s">
        <v>612</v>
      </c>
      <c r="N14113" t="s">
        <v>599</v>
      </c>
      <c r="O14113" s="37" t="str">
        <f t="shared" si="1103"/>
        <v>Digital Payment</v>
      </c>
      <c r="P14113">
        <v>1041.01</v>
      </c>
      <c r="Q14113" s="37" t="str">
        <f>IF(P14113&gt;500,"High","low")</f>
        <v>High</v>
      </c>
      <c r="R14113" s="37" t="str">
        <f t="shared" si="1104"/>
        <v>Excellent</v>
      </c>
      <c r="S14113" t="s">
        <v>615</v>
      </c>
    </row>
    <row r="14114" spans="1:19" x14ac:dyDescent="0.2">
      <c r="A14114" t="s">
        <v>14725</v>
      </c>
      <c r="B14114" t="s">
        <v>75</v>
      </c>
      <c r="C14114" t="s">
        <v>617</v>
      </c>
      <c r="D14114">
        <v>2868.13</v>
      </c>
      <c r="E14114" s="37" t="str">
        <f t="shared" si="1100"/>
        <v xml:space="preserve"> </v>
      </c>
      <c r="F14114">
        <v>0.22</v>
      </c>
      <c r="G14114" s="37" t="str">
        <f t="shared" si="1101"/>
        <v>Normal Discount</v>
      </c>
      <c r="H14114" s="37" t="str">
        <f t="shared" si="1102"/>
        <v>Medium</v>
      </c>
      <c r="I14114">
        <v>1</v>
      </c>
      <c r="J14114" t="str" cm="1">
        <f t="array" ref="J14114">_xlfn.IFS(I14114&lt;=3,"small",I14114&lt;=6,"Medium",I14114&lt;=9,"Large")</f>
        <v>small</v>
      </c>
      <c r="K14114" s="36">
        <v>45089</v>
      </c>
      <c r="L14114" s="36">
        <v>45090</v>
      </c>
      <c r="M14114" t="s">
        <v>612</v>
      </c>
      <c r="N14114" t="s">
        <v>608</v>
      </c>
      <c r="O14114" s="37" t="str">
        <f t="shared" si="1103"/>
        <v>Cash Payment</v>
      </c>
      <c r="P14114">
        <v>535.04999999999995</v>
      </c>
      <c r="Q14114" s="37" t="str">
        <f>IF(P14114&gt;500,"High","low")</f>
        <v>High</v>
      </c>
      <c r="R14114" s="37" t="str">
        <f t="shared" si="1104"/>
        <v>Good</v>
      </c>
      <c r="S14114" t="s">
        <v>615</v>
      </c>
    </row>
    <row r="14115" spans="1:19" x14ac:dyDescent="0.2">
      <c r="A14115" t="s">
        <v>14726</v>
      </c>
      <c r="B14115" t="s">
        <v>83</v>
      </c>
      <c r="C14115" t="s">
        <v>607</v>
      </c>
      <c r="D14115">
        <v>3212.89</v>
      </c>
      <c r="E14115" s="37" t="str">
        <f t="shared" si="1100"/>
        <v xml:space="preserve"> </v>
      </c>
      <c r="F14115">
        <v>0.01</v>
      </c>
      <c r="G14115" s="37" t="str">
        <f t="shared" si="1101"/>
        <v>Normal Discount</v>
      </c>
      <c r="H14115" s="37" t="str">
        <f t="shared" si="1102"/>
        <v>Low</v>
      </c>
      <c r="I14115">
        <v>7</v>
      </c>
      <c r="J14115" t="str" cm="1">
        <f t="array" ref="J14115">_xlfn.IFS(I14115&lt;=3,"small",I14115&lt;=6,"Medium",I14115&lt;=9,"Large")</f>
        <v>Large</v>
      </c>
      <c r="K14115" s="36">
        <v>44973</v>
      </c>
      <c r="L14115" s="36">
        <v>44975</v>
      </c>
      <c r="M14115" t="s">
        <v>598</v>
      </c>
      <c r="N14115" t="s">
        <v>604</v>
      </c>
      <c r="O14115" s="37" t="str">
        <f t="shared" si="1103"/>
        <v>Digital Payment</v>
      </c>
      <c r="P14115">
        <v>367.64</v>
      </c>
      <c r="Q14115" s="37" t="str">
        <f>IF(P14115&gt;500,"High","low")</f>
        <v>low</v>
      </c>
      <c r="R14115" s="37" t="str">
        <f t="shared" si="1104"/>
        <v>AVERAGE</v>
      </c>
      <c r="S14115" t="s">
        <v>620</v>
      </c>
    </row>
    <row r="14116" spans="1:19" x14ac:dyDescent="0.2">
      <c r="A14116" t="s">
        <v>14727</v>
      </c>
      <c r="B14116" t="s">
        <v>83</v>
      </c>
      <c r="C14116" t="s">
        <v>614</v>
      </c>
      <c r="D14116">
        <v>405.04</v>
      </c>
      <c r="E14116" s="37" t="str">
        <f t="shared" si="1100"/>
        <v xml:space="preserve"> </v>
      </c>
      <c r="F14116">
        <v>0.5</v>
      </c>
      <c r="G14116" s="37" t="str">
        <f t="shared" si="1101"/>
        <v>Heavy Discount</v>
      </c>
      <c r="H14116" s="37" t="str">
        <f t="shared" si="1102"/>
        <v>High</v>
      </c>
      <c r="I14116">
        <v>9</v>
      </c>
      <c r="J14116" t="str" cm="1">
        <f t="array" ref="J14116">_xlfn.IFS(I14116&lt;=3,"small",I14116&lt;=6,"Medium",I14116&lt;=9,"Large")</f>
        <v>Large</v>
      </c>
      <c r="K14116" s="36">
        <v>45523</v>
      </c>
      <c r="L14116" s="36">
        <v>45528</v>
      </c>
      <c r="M14116" t="s">
        <v>612</v>
      </c>
      <c r="N14116" t="s">
        <v>608</v>
      </c>
      <c r="O14116" s="37" t="str">
        <f t="shared" si="1103"/>
        <v>Cash Payment</v>
      </c>
      <c r="P14116">
        <v>30.23</v>
      </c>
      <c r="Q14116" s="37" t="str">
        <f>IF(P14116&gt;500,"High","low")</f>
        <v>low</v>
      </c>
      <c r="R14116" s="37" t="str">
        <f t="shared" si="1104"/>
        <v>AVERAGE</v>
      </c>
      <c r="S14116" t="s">
        <v>609</v>
      </c>
    </row>
    <row r="14117" spans="1:19" x14ac:dyDescent="0.2">
      <c r="A14117" t="s">
        <v>14728</v>
      </c>
      <c r="B14117" t="s">
        <v>83</v>
      </c>
      <c r="C14117" t="s">
        <v>617</v>
      </c>
      <c r="D14117">
        <v>2970.81</v>
      </c>
      <c r="E14117" s="37" t="str">
        <f t="shared" si="1100"/>
        <v xml:space="preserve"> </v>
      </c>
      <c r="F14117">
        <v>0.3</v>
      </c>
      <c r="G14117" s="37" t="str">
        <f t="shared" si="1101"/>
        <v>Normal Discount</v>
      </c>
      <c r="H14117" s="37" t="str">
        <f t="shared" si="1102"/>
        <v>Medium</v>
      </c>
      <c r="I14117">
        <v>9</v>
      </c>
      <c r="J14117" t="str" cm="1">
        <f t="array" ref="J14117">_xlfn.IFS(I14117&lt;=3,"small",I14117&lt;=6,"Medium",I14117&lt;=9,"Large")</f>
        <v>Large</v>
      </c>
      <c r="K14117" s="36">
        <v>45043</v>
      </c>
      <c r="L14117" s="36">
        <v>45049</v>
      </c>
      <c r="M14117" t="s">
        <v>612</v>
      </c>
      <c r="N14117" t="s">
        <v>599</v>
      </c>
      <c r="O14117" s="37" t="str">
        <f t="shared" si="1103"/>
        <v>Digital Payment</v>
      </c>
      <c r="P14117">
        <v>554.85</v>
      </c>
      <c r="Q14117" s="37" t="str">
        <f>IF(P14117&gt;500,"High","low")</f>
        <v>High</v>
      </c>
      <c r="R14117" s="37" t="str">
        <f t="shared" si="1104"/>
        <v>Good</v>
      </c>
      <c r="S14117" t="s">
        <v>609</v>
      </c>
    </row>
    <row r="14118" spans="1:19" x14ac:dyDescent="0.2">
      <c r="A14118" t="s">
        <v>14729</v>
      </c>
      <c r="B14118" t="s">
        <v>75</v>
      </c>
      <c r="C14118" t="s">
        <v>602</v>
      </c>
      <c r="D14118">
        <v>1573.49</v>
      </c>
      <c r="E14118" s="37" t="str">
        <f t="shared" si="1100"/>
        <v xml:space="preserve"> </v>
      </c>
      <c r="F14118">
        <v>0.49</v>
      </c>
      <c r="G14118" s="37" t="str">
        <f t="shared" si="1101"/>
        <v>Heavy Discount</v>
      </c>
      <c r="H14118" s="37" t="str">
        <f t="shared" si="1102"/>
        <v>High</v>
      </c>
      <c r="I14118">
        <v>4</v>
      </c>
      <c r="J14118" t="str" cm="1">
        <f t="array" ref="J14118">_xlfn.IFS(I14118&lt;=3,"small",I14118&lt;=6,"Medium",I14118&lt;=9,"Large")</f>
        <v>Medium</v>
      </c>
      <c r="K14118" s="36">
        <v>45201</v>
      </c>
      <c r="L14118" s="36">
        <v>45203</v>
      </c>
      <c r="M14118" t="s">
        <v>598</v>
      </c>
      <c r="N14118" t="s">
        <v>608</v>
      </c>
      <c r="O14118" s="37" t="str">
        <f t="shared" si="1103"/>
        <v>Cash Payment</v>
      </c>
      <c r="P14118">
        <v>333.33</v>
      </c>
      <c r="Q14118" s="37" t="str">
        <f>IF(P14118&gt;500,"High","low")</f>
        <v>low</v>
      </c>
      <c r="R14118" s="37" t="str">
        <f t="shared" si="1104"/>
        <v>AVERAGE</v>
      </c>
      <c r="S14118" t="s">
        <v>628</v>
      </c>
    </row>
    <row r="14119" spans="1:19" x14ac:dyDescent="0.2">
      <c r="A14119" t="s">
        <v>14730</v>
      </c>
      <c r="B14119" t="s">
        <v>83</v>
      </c>
      <c r="C14119" t="s">
        <v>617</v>
      </c>
      <c r="D14119">
        <v>2517.14</v>
      </c>
      <c r="E14119" s="37" t="str">
        <f t="shared" si="1100"/>
        <v xml:space="preserve"> </v>
      </c>
      <c r="F14119">
        <v>0.4</v>
      </c>
      <c r="G14119" s="37" t="str">
        <f t="shared" si="1101"/>
        <v>Heavy Discount</v>
      </c>
      <c r="H14119" s="37" t="str">
        <f t="shared" si="1102"/>
        <v>Medium</v>
      </c>
      <c r="I14119">
        <v>4</v>
      </c>
      <c r="J14119" t="str" cm="1">
        <f t="array" ref="J14119">_xlfn.IFS(I14119&lt;=3,"small",I14119&lt;=6,"Medium",I14119&lt;=9,"Large")</f>
        <v>Medium</v>
      </c>
      <c r="K14119" s="36">
        <v>45209</v>
      </c>
      <c r="L14119" s="36">
        <v>45215</v>
      </c>
      <c r="M14119" t="s">
        <v>612</v>
      </c>
      <c r="N14119" t="s">
        <v>608</v>
      </c>
      <c r="O14119" s="37" t="str">
        <f t="shared" si="1103"/>
        <v>Cash Payment</v>
      </c>
      <c r="P14119">
        <v>407.04</v>
      </c>
      <c r="Q14119" s="37" t="str">
        <f>IF(P14119&gt;500,"High","low")</f>
        <v>low</v>
      </c>
      <c r="R14119" s="37" t="str">
        <f t="shared" si="1104"/>
        <v>AVERAGE</v>
      </c>
      <c r="S14119" t="s">
        <v>615</v>
      </c>
    </row>
    <row r="14120" spans="1:19" x14ac:dyDescent="0.2">
      <c r="A14120" t="s">
        <v>14731</v>
      </c>
      <c r="B14120" t="s">
        <v>83</v>
      </c>
      <c r="C14120" t="s">
        <v>617</v>
      </c>
      <c r="D14120">
        <v>1187.8499999999999</v>
      </c>
      <c r="E14120" s="37" t="str">
        <f t="shared" si="1100"/>
        <v xml:space="preserve"> </v>
      </c>
      <c r="F14120">
        <v>7.0000000000000007E-2</v>
      </c>
      <c r="G14120" s="37" t="str">
        <f t="shared" si="1101"/>
        <v>Normal Discount</v>
      </c>
      <c r="H14120" s="37" t="str">
        <f t="shared" si="1102"/>
        <v>Low</v>
      </c>
      <c r="I14120">
        <v>1</v>
      </c>
      <c r="J14120" t="str" cm="1">
        <f t="array" ref="J14120">_xlfn.IFS(I14120&lt;=3,"small",I14120&lt;=6,"Medium",I14120&lt;=9,"Large")</f>
        <v>small</v>
      </c>
      <c r="K14120" s="36">
        <v>45065</v>
      </c>
      <c r="L14120" s="36">
        <v>45069</v>
      </c>
      <c r="M14120" t="s">
        <v>603</v>
      </c>
      <c r="N14120" t="s">
        <v>608</v>
      </c>
      <c r="O14120" s="37" t="str">
        <f t="shared" si="1103"/>
        <v>Cash Payment</v>
      </c>
      <c r="P14120">
        <v>158.1</v>
      </c>
      <c r="Q14120" s="37" t="str">
        <f>IF(P14120&gt;500,"High","low")</f>
        <v>low</v>
      </c>
      <c r="R14120" s="37" t="str">
        <f t="shared" si="1104"/>
        <v>AVERAGE</v>
      </c>
      <c r="S14120" t="s">
        <v>600</v>
      </c>
    </row>
    <row r="14121" spans="1:19" x14ac:dyDescent="0.2">
      <c r="A14121" t="s">
        <v>14732</v>
      </c>
      <c r="B14121" t="s">
        <v>75</v>
      </c>
      <c r="C14121" t="s">
        <v>597</v>
      </c>
      <c r="D14121">
        <v>3110.93</v>
      </c>
      <c r="E14121" s="37" t="str">
        <f t="shared" si="1100"/>
        <v xml:space="preserve"> </v>
      </c>
      <c r="F14121">
        <v>0.1</v>
      </c>
      <c r="G14121" s="37" t="str">
        <f t="shared" si="1101"/>
        <v>Normal Discount</v>
      </c>
      <c r="H14121" s="37" t="str">
        <f t="shared" si="1102"/>
        <v>Low</v>
      </c>
      <c r="I14121">
        <v>1</v>
      </c>
      <c r="J14121" t="str" cm="1">
        <f t="array" ref="J14121">_xlfn.IFS(I14121&lt;=3,"small",I14121&lt;=6,"Medium",I14121&lt;=9,"Large")</f>
        <v>small</v>
      </c>
      <c r="K14121" s="36">
        <v>45252</v>
      </c>
      <c r="L14121" s="36">
        <v>45259</v>
      </c>
      <c r="M14121" t="s">
        <v>603</v>
      </c>
      <c r="N14121" t="s">
        <v>604</v>
      </c>
      <c r="O14121" s="37" t="str">
        <f t="shared" si="1103"/>
        <v>Digital Payment</v>
      </c>
      <c r="P14121">
        <v>815.65</v>
      </c>
      <c r="Q14121" s="37" t="str">
        <f>IF(P14121&gt;500,"High","low")</f>
        <v>High</v>
      </c>
      <c r="R14121" s="37" t="str">
        <f t="shared" si="1104"/>
        <v>Good</v>
      </c>
      <c r="S14121" t="s">
        <v>609</v>
      </c>
    </row>
    <row r="14122" spans="1:19" x14ac:dyDescent="0.2">
      <c r="A14122" t="s">
        <v>14733</v>
      </c>
      <c r="B14122" t="s">
        <v>67</v>
      </c>
      <c r="C14122" t="s">
        <v>597</v>
      </c>
      <c r="D14122">
        <v>822.6</v>
      </c>
      <c r="E14122" s="37" t="str">
        <f t="shared" si="1100"/>
        <v xml:space="preserve"> </v>
      </c>
      <c r="F14122">
        <v>0.02</v>
      </c>
      <c r="G14122" s="37" t="str">
        <f t="shared" si="1101"/>
        <v>Normal Discount</v>
      </c>
      <c r="H14122" s="37" t="str">
        <f t="shared" si="1102"/>
        <v>Low</v>
      </c>
      <c r="I14122">
        <v>1</v>
      </c>
      <c r="J14122" t="str" cm="1">
        <f t="array" ref="J14122">_xlfn.IFS(I14122&lt;=3,"small",I14122&lt;=6,"Medium",I14122&lt;=9,"Large")</f>
        <v>small</v>
      </c>
      <c r="K14122" s="36">
        <v>45113</v>
      </c>
      <c r="L14122" s="36">
        <v>45118</v>
      </c>
      <c r="M14122" t="s">
        <v>598</v>
      </c>
      <c r="N14122" t="s">
        <v>599</v>
      </c>
      <c r="O14122" s="37" t="str">
        <f t="shared" si="1103"/>
        <v>Digital Payment</v>
      </c>
      <c r="P14122">
        <v>172.75</v>
      </c>
      <c r="Q14122" s="37" t="str">
        <f>IF(P14122&gt;500,"High","low")</f>
        <v>low</v>
      </c>
      <c r="R14122" s="37" t="str">
        <f t="shared" si="1104"/>
        <v>AVERAGE</v>
      </c>
      <c r="S14122" t="s">
        <v>600</v>
      </c>
    </row>
    <row r="14123" spans="1:19" x14ac:dyDescent="0.2">
      <c r="A14123" t="s">
        <v>14734</v>
      </c>
      <c r="B14123" t="s">
        <v>90</v>
      </c>
      <c r="C14123" t="s">
        <v>607</v>
      </c>
      <c r="D14123">
        <v>702.23</v>
      </c>
      <c r="E14123" s="37" t="str">
        <f t="shared" si="1100"/>
        <v xml:space="preserve"> </v>
      </c>
      <c r="F14123">
        <v>0.42</v>
      </c>
      <c r="G14123" s="37" t="str">
        <f t="shared" si="1101"/>
        <v>Heavy Discount</v>
      </c>
      <c r="H14123" s="37" t="str">
        <f t="shared" si="1102"/>
        <v>High</v>
      </c>
      <c r="I14123">
        <v>6</v>
      </c>
      <c r="J14123" t="str" cm="1">
        <f t="array" ref="J14123">_xlfn.IFS(I14123&lt;=3,"small",I14123&lt;=6,"Medium",I14123&lt;=9,"Large")</f>
        <v>Medium</v>
      </c>
      <c r="K14123" s="36">
        <v>45479</v>
      </c>
      <c r="L14123" s="36">
        <v>45483</v>
      </c>
      <c r="M14123" t="s">
        <v>612</v>
      </c>
      <c r="N14123" t="s">
        <v>604</v>
      </c>
      <c r="O14123" s="37" t="str">
        <f t="shared" si="1103"/>
        <v>Digital Payment</v>
      </c>
      <c r="P14123">
        <v>61.71</v>
      </c>
      <c r="Q14123" s="37" t="str">
        <f>IF(P14123&gt;500,"High","low")</f>
        <v>low</v>
      </c>
      <c r="R14123" s="37" t="str">
        <f t="shared" si="1104"/>
        <v>AVERAGE</v>
      </c>
      <c r="S14123" t="s">
        <v>609</v>
      </c>
    </row>
    <row r="14124" spans="1:19" x14ac:dyDescent="0.2">
      <c r="A14124" t="s">
        <v>14735</v>
      </c>
      <c r="B14124" t="s">
        <v>83</v>
      </c>
      <c r="C14124" t="s">
        <v>607</v>
      </c>
      <c r="D14124">
        <v>1023.22</v>
      </c>
      <c r="E14124" s="37" t="str">
        <f t="shared" si="1100"/>
        <v xml:space="preserve"> </v>
      </c>
      <c r="F14124">
        <v>0.3</v>
      </c>
      <c r="G14124" s="37" t="str">
        <f t="shared" si="1101"/>
        <v>Normal Discount</v>
      </c>
      <c r="H14124" s="37" t="str">
        <f t="shared" si="1102"/>
        <v>Medium</v>
      </c>
      <c r="I14124">
        <v>6</v>
      </c>
      <c r="J14124" t="str" cm="1">
        <f t="array" ref="J14124">_xlfn.IFS(I14124&lt;=3,"small",I14124&lt;=6,"Medium",I14124&lt;=9,"Large")</f>
        <v>Medium</v>
      </c>
      <c r="K14124" s="36">
        <v>45609</v>
      </c>
      <c r="L14124" s="36">
        <v>45612</v>
      </c>
      <c r="M14124" t="s">
        <v>598</v>
      </c>
      <c r="N14124" t="s">
        <v>604</v>
      </c>
      <c r="O14124" s="37" t="str">
        <f t="shared" si="1103"/>
        <v>Digital Payment</v>
      </c>
      <c r="P14124">
        <v>285.88</v>
      </c>
      <c r="Q14124" s="37" t="str">
        <f>IF(P14124&gt;500,"High","low")</f>
        <v>low</v>
      </c>
      <c r="R14124" s="37" t="str">
        <f t="shared" si="1104"/>
        <v>AVERAGE</v>
      </c>
      <c r="S14124" t="s">
        <v>628</v>
      </c>
    </row>
    <row r="14125" spans="1:19" x14ac:dyDescent="0.2">
      <c r="A14125" t="s">
        <v>14736</v>
      </c>
      <c r="B14125" t="s">
        <v>90</v>
      </c>
      <c r="C14125" t="s">
        <v>617</v>
      </c>
      <c r="D14125">
        <v>4105.58</v>
      </c>
      <c r="E14125" s="37" t="str">
        <f t="shared" si="1100"/>
        <v xml:space="preserve"> </v>
      </c>
      <c r="F14125">
        <v>0.11</v>
      </c>
      <c r="G14125" s="37" t="str">
        <f t="shared" si="1101"/>
        <v>Normal Discount</v>
      </c>
      <c r="H14125" s="37" t="str">
        <f t="shared" si="1102"/>
        <v>Low</v>
      </c>
      <c r="I14125">
        <v>5</v>
      </c>
      <c r="J14125" t="str" cm="1">
        <f t="array" ref="J14125">_xlfn.IFS(I14125&lt;=3,"small",I14125&lt;=6,"Medium",I14125&lt;=9,"Large")</f>
        <v>Medium</v>
      </c>
      <c r="K14125" s="36">
        <v>44954</v>
      </c>
      <c r="L14125" s="36">
        <v>44956</v>
      </c>
      <c r="M14125" t="s">
        <v>612</v>
      </c>
      <c r="N14125" t="s">
        <v>608</v>
      </c>
      <c r="O14125" s="37" t="str">
        <f t="shared" si="1103"/>
        <v>Cash Payment</v>
      </c>
      <c r="P14125">
        <v>380.67</v>
      </c>
      <c r="Q14125" s="37" t="str">
        <f>IF(P14125&gt;500,"High","low")</f>
        <v>low</v>
      </c>
      <c r="R14125" s="37" t="str">
        <f t="shared" si="1104"/>
        <v>AVERAGE</v>
      </c>
      <c r="S14125" t="s">
        <v>615</v>
      </c>
    </row>
    <row r="14126" spans="1:19" x14ac:dyDescent="0.2">
      <c r="A14126" t="s">
        <v>14737</v>
      </c>
      <c r="B14126" t="s">
        <v>67</v>
      </c>
      <c r="C14126" t="s">
        <v>614</v>
      </c>
      <c r="D14126">
        <v>264.32</v>
      </c>
      <c r="E14126" s="37" t="str">
        <f t="shared" si="1100"/>
        <v xml:space="preserve"> </v>
      </c>
      <c r="F14126">
        <v>0.49</v>
      </c>
      <c r="G14126" s="37" t="str">
        <f t="shared" si="1101"/>
        <v>Heavy Discount</v>
      </c>
      <c r="H14126" s="37" t="str">
        <f t="shared" si="1102"/>
        <v>High</v>
      </c>
      <c r="I14126">
        <v>2</v>
      </c>
      <c r="J14126" t="str" cm="1">
        <f t="array" ref="J14126">_xlfn.IFS(I14126&lt;=3,"small",I14126&lt;=6,"Medium",I14126&lt;=9,"Large")</f>
        <v>small</v>
      </c>
      <c r="K14126" s="36">
        <v>45501</v>
      </c>
      <c r="L14126" s="36">
        <v>45508</v>
      </c>
      <c r="M14126" t="s">
        <v>603</v>
      </c>
      <c r="N14126" t="s">
        <v>599</v>
      </c>
      <c r="O14126" s="37" t="str">
        <f t="shared" si="1103"/>
        <v>Digital Payment</v>
      </c>
      <c r="P14126">
        <v>72.17</v>
      </c>
      <c r="Q14126" s="37" t="str">
        <f>IF(P14126&gt;500,"High","low")</f>
        <v>low</v>
      </c>
      <c r="R14126" s="37" t="str">
        <f t="shared" si="1104"/>
        <v>AVERAGE</v>
      </c>
      <c r="S14126" t="s">
        <v>605</v>
      </c>
    </row>
    <row r="14127" spans="1:19" x14ac:dyDescent="0.2">
      <c r="A14127" t="s">
        <v>14738</v>
      </c>
      <c r="B14127" t="s">
        <v>67</v>
      </c>
      <c r="C14127" t="s">
        <v>607</v>
      </c>
      <c r="D14127">
        <v>3674.93</v>
      </c>
      <c r="E14127" s="37" t="str">
        <f t="shared" si="1100"/>
        <v xml:space="preserve"> </v>
      </c>
      <c r="F14127">
        <v>0.37</v>
      </c>
      <c r="G14127" s="37" t="str">
        <f t="shared" si="1101"/>
        <v>Heavy Discount</v>
      </c>
      <c r="H14127" s="37" t="str">
        <f t="shared" si="1102"/>
        <v>Medium</v>
      </c>
      <c r="I14127">
        <v>6</v>
      </c>
      <c r="J14127" t="str" cm="1">
        <f t="array" ref="J14127">_xlfn.IFS(I14127&lt;=3,"small",I14127&lt;=6,"Medium",I14127&lt;=9,"Large")</f>
        <v>Medium</v>
      </c>
      <c r="K14127" s="36">
        <v>45415</v>
      </c>
      <c r="L14127" s="36">
        <v>45422</v>
      </c>
      <c r="M14127" t="s">
        <v>612</v>
      </c>
      <c r="N14127" t="s">
        <v>599</v>
      </c>
      <c r="O14127" s="37" t="str">
        <f t="shared" si="1103"/>
        <v>Digital Payment</v>
      </c>
      <c r="P14127">
        <v>222.26</v>
      </c>
      <c r="Q14127" s="37" t="str">
        <f>IF(P14127&gt;500,"High","low")</f>
        <v>low</v>
      </c>
      <c r="R14127" s="37" t="str">
        <f t="shared" si="1104"/>
        <v>AVERAGE</v>
      </c>
      <c r="S14127" t="s">
        <v>605</v>
      </c>
    </row>
    <row r="14128" spans="1:19" x14ac:dyDescent="0.2">
      <c r="A14128" t="s">
        <v>14739</v>
      </c>
      <c r="B14128" t="s">
        <v>83</v>
      </c>
      <c r="C14128" t="s">
        <v>617</v>
      </c>
      <c r="D14128">
        <v>376.89</v>
      </c>
      <c r="E14128" s="37" t="str">
        <f t="shared" si="1100"/>
        <v xml:space="preserve"> </v>
      </c>
      <c r="F14128">
        <v>0.35</v>
      </c>
      <c r="G14128" s="37" t="str">
        <f t="shared" si="1101"/>
        <v>Heavy Discount</v>
      </c>
      <c r="H14128" s="37" t="str">
        <f t="shared" si="1102"/>
        <v>Medium</v>
      </c>
      <c r="I14128">
        <v>1</v>
      </c>
      <c r="J14128" t="str" cm="1">
        <f t="array" ref="J14128">_xlfn.IFS(I14128&lt;=3,"small",I14128&lt;=6,"Medium",I14128&lt;=9,"Large")</f>
        <v>small</v>
      </c>
      <c r="K14128" s="36">
        <v>45355</v>
      </c>
      <c r="L14128" s="36">
        <v>45358</v>
      </c>
      <c r="M14128" t="s">
        <v>603</v>
      </c>
      <c r="N14128" t="s">
        <v>599</v>
      </c>
      <c r="O14128" s="37" t="str">
        <f t="shared" si="1103"/>
        <v>Digital Payment</v>
      </c>
      <c r="P14128">
        <v>110.32</v>
      </c>
      <c r="Q14128" s="37" t="str">
        <f>IF(P14128&gt;500,"High","low")</f>
        <v>low</v>
      </c>
      <c r="R14128" s="37" t="str">
        <f t="shared" si="1104"/>
        <v>AVERAGE</v>
      </c>
      <c r="S14128" t="s">
        <v>600</v>
      </c>
    </row>
    <row r="14129" spans="1:19" x14ac:dyDescent="0.2">
      <c r="A14129" t="s">
        <v>14740</v>
      </c>
      <c r="B14129" t="s">
        <v>75</v>
      </c>
      <c r="C14129" t="s">
        <v>617</v>
      </c>
      <c r="D14129">
        <v>3000.1</v>
      </c>
      <c r="E14129" s="37" t="str">
        <f t="shared" si="1100"/>
        <v xml:space="preserve"> </v>
      </c>
      <c r="F14129">
        <v>0.13</v>
      </c>
      <c r="G14129" s="37" t="str">
        <f t="shared" si="1101"/>
        <v>Normal Discount</v>
      </c>
      <c r="H14129" s="37" t="str">
        <f t="shared" si="1102"/>
        <v>Low</v>
      </c>
      <c r="I14129">
        <v>3</v>
      </c>
      <c r="J14129" t="str" cm="1">
        <f t="array" ref="J14129">_xlfn.IFS(I14129&lt;=3,"small",I14129&lt;=6,"Medium",I14129&lt;=9,"Large")</f>
        <v>small</v>
      </c>
      <c r="K14129" s="36">
        <v>45206</v>
      </c>
      <c r="L14129" s="36">
        <v>45207</v>
      </c>
      <c r="M14129" t="s">
        <v>612</v>
      </c>
      <c r="N14129" t="s">
        <v>599</v>
      </c>
      <c r="O14129" s="37" t="str">
        <f t="shared" si="1103"/>
        <v>Digital Payment</v>
      </c>
      <c r="P14129">
        <v>525.62</v>
      </c>
      <c r="Q14129" s="37" t="str">
        <f>IF(P14129&gt;500,"High","low")</f>
        <v>High</v>
      </c>
      <c r="R14129" s="37" t="str">
        <f t="shared" si="1104"/>
        <v>Good</v>
      </c>
      <c r="S14129" t="s">
        <v>628</v>
      </c>
    </row>
    <row r="14130" spans="1:19" x14ac:dyDescent="0.2">
      <c r="A14130" t="s">
        <v>14741</v>
      </c>
      <c r="B14130" t="s">
        <v>67</v>
      </c>
      <c r="C14130" t="s">
        <v>617</v>
      </c>
      <c r="D14130">
        <v>3890.44</v>
      </c>
      <c r="E14130" s="37" t="str">
        <f t="shared" si="1100"/>
        <v xml:space="preserve"> </v>
      </c>
      <c r="F14130">
        <v>0.16</v>
      </c>
      <c r="G14130" s="37" t="str">
        <f t="shared" si="1101"/>
        <v>Normal Discount</v>
      </c>
      <c r="H14130" s="37" t="str">
        <f t="shared" si="1102"/>
        <v>Low</v>
      </c>
      <c r="I14130">
        <v>5</v>
      </c>
      <c r="J14130" t="str" cm="1">
        <f t="array" ref="J14130">_xlfn.IFS(I14130&lt;=3,"small",I14130&lt;=6,"Medium",I14130&lt;=9,"Large")</f>
        <v>Medium</v>
      </c>
      <c r="K14130" s="36">
        <v>45283</v>
      </c>
      <c r="L14130" s="36">
        <v>45287</v>
      </c>
      <c r="M14130" t="s">
        <v>603</v>
      </c>
      <c r="N14130" t="s">
        <v>604</v>
      </c>
      <c r="O14130" s="37" t="str">
        <f t="shared" si="1103"/>
        <v>Digital Payment</v>
      </c>
      <c r="P14130">
        <v>314.27</v>
      </c>
      <c r="Q14130" s="37" t="str">
        <f>IF(P14130&gt;500,"High","low")</f>
        <v>low</v>
      </c>
      <c r="R14130" s="37" t="str">
        <f t="shared" si="1104"/>
        <v>AVERAGE</v>
      </c>
      <c r="S14130" t="s">
        <v>600</v>
      </c>
    </row>
    <row r="14131" spans="1:19" x14ac:dyDescent="0.2">
      <c r="A14131" t="s">
        <v>14742</v>
      </c>
      <c r="B14131" t="s">
        <v>90</v>
      </c>
      <c r="C14131" t="s">
        <v>617</v>
      </c>
      <c r="D14131">
        <v>1232.26</v>
      </c>
      <c r="E14131" s="37" t="str">
        <f t="shared" si="1100"/>
        <v xml:space="preserve"> </v>
      </c>
      <c r="F14131">
        <v>0.33</v>
      </c>
      <c r="G14131" s="37" t="str">
        <f t="shared" si="1101"/>
        <v>Heavy Discount</v>
      </c>
      <c r="H14131" s="37" t="str">
        <f t="shared" si="1102"/>
        <v>Medium</v>
      </c>
      <c r="I14131">
        <v>5</v>
      </c>
      <c r="J14131" t="str" cm="1">
        <f t="array" ref="J14131">_xlfn.IFS(I14131&lt;=3,"small",I14131&lt;=6,"Medium",I14131&lt;=9,"Large")</f>
        <v>Medium</v>
      </c>
      <c r="K14131" s="36">
        <v>45643</v>
      </c>
      <c r="L14131" s="36">
        <v>45649</v>
      </c>
      <c r="M14131" t="s">
        <v>598</v>
      </c>
      <c r="N14131" t="s">
        <v>599</v>
      </c>
      <c r="O14131" s="37" t="str">
        <f t="shared" si="1103"/>
        <v>Digital Payment</v>
      </c>
      <c r="P14131">
        <v>94.95</v>
      </c>
      <c r="Q14131" s="37" t="str">
        <f>IF(P14131&gt;500,"High","low")</f>
        <v>low</v>
      </c>
      <c r="R14131" s="37" t="str">
        <f t="shared" si="1104"/>
        <v>AVERAGE</v>
      </c>
      <c r="S14131" t="s">
        <v>615</v>
      </c>
    </row>
    <row r="14132" spans="1:19" x14ac:dyDescent="0.2">
      <c r="A14132" t="s">
        <v>14743</v>
      </c>
      <c r="B14132" t="s">
        <v>90</v>
      </c>
      <c r="C14132" t="s">
        <v>617</v>
      </c>
      <c r="D14132">
        <v>1060.1400000000001</v>
      </c>
      <c r="E14132" s="37" t="str">
        <f t="shared" si="1100"/>
        <v xml:space="preserve"> </v>
      </c>
      <c r="F14132">
        <v>0.3</v>
      </c>
      <c r="G14132" s="37" t="str">
        <f t="shared" si="1101"/>
        <v>Normal Discount</v>
      </c>
      <c r="H14132" s="37" t="str">
        <f t="shared" si="1102"/>
        <v>Medium</v>
      </c>
      <c r="I14132">
        <v>7</v>
      </c>
      <c r="J14132" t="str" cm="1">
        <f t="array" ref="J14132">_xlfn.IFS(I14132&lt;=3,"small",I14132&lt;=6,"Medium",I14132&lt;=9,"Large")</f>
        <v>Large</v>
      </c>
      <c r="K14132" s="36">
        <v>45374</v>
      </c>
      <c r="L14132" s="36">
        <v>45377</v>
      </c>
      <c r="M14132" t="s">
        <v>612</v>
      </c>
      <c r="N14132" t="s">
        <v>599</v>
      </c>
      <c r="O14132" s="37" t="str">
        <f t="shared" si="1103"/>
        <v>Digital Payment</v>
      </c>
      <c r="P14132">
        <v>163.77000000000001</v>
      </c>
      <c r="Q14132" s="37" t="str">
        <f>IF(P14132&gt;500,"High","low")</f>
        <v>low</v>
      </c>
      <c r="R14132" s="37" t="str">
        <f t="shared" si="1104"/>
        <v>AVERAGE</v>
      </c>
      <c r="S14132" t="s">
        <v>605</v>
      </c>
    </row>
    <row r="14133" spans="1:19" x14ac:dyDescent="0.2">
      <c r="A14133" t="s">
        <v>14744</v>
      </c>
      <c r="B14133" t="s">
        <v>90</v>
      </c>
      <c r="C14133" t="s">
        <v>597</v>
      </c>
      <c r="D14133">
        <v>1516.97</v>
      </c>
      <c r="E14133" s="37" t="str">
        <f t="shared" si="1100"/>
        <v xml:space="preserve"> </v>
      </c>
      <c r="F14133">
        <v>0.32</v>
      </c>
      <c r="G14133" s="37" t="str">
        <f t="shared" si="1101"/>
        <v>Heavy Discount</v>
      </c>
      <c r="H14133" s="37" t="str">
        <f t="shared" si="1102"/>
        <v>Medium</v>
      </c>
      <c r="I14133">
        <v>5</v>
      </c>
      <c r="J14133" t="str" cm="1">
        <f t="array" ref="J14133">_xlfn.IFS(I14133&lt;=3,"small",I14133&lt;=6,"Medium",I14133&lt;=9,"Large")</f>
        <v>Medium</v>
      </c>
      <c r="K14133" s="36">
        <v>45261</v>
      </c>
      <c r="L14133" s="36">
        <v>45264</v>
      </c>
      <c r="M14133" t="s">
        <v>598</v>
      </c>
      <c r="N14133" t="s">
        <v>604</v>
      </c>
      <c r="O14133" s="37" t="str">
        <f t="shared" si="1103"/>
        <v>Digital Payment</v>
      </c>
      <c r="P14133">
        <v>236.45</v>
      </c>
      <c r="Q14133" s="37" t="str">
        <f>IF(P14133&gt;500,"High","low")</f>
        <v>low</v>
      </c>
      <c r="R14133" s="37" t="str">
        <f t="shared" si="1104"/>
        <v>AVERAGE</v>
      </c>
      <c r="S14133" t="s">
        <v>628</v>
      </c>
    </row>
    <row r="14134" spans="1:19" x14ac:dyDescent="0.2">
      <c r="A14134" t="s">
        <v>14745</v>
      </c>
      <c r="B14134" t="s">
        <v>90</v>
      </c>
      <c r="C14134" t="s">
        <v>602</v>
      </c>
      <c r="D14134">
        <v>3528.11</v>
      </c>
      <c r="E14134" s="37" t="str">
        <f t="shared" si="1100"/>
        <v xml:space="preserve"> </v>
      </c>
      <c r="F14134">
        <v>0.44</v>
      </c>
      <c r="G14134" s="37" t="str">
        <f t="shared" si="1101"/>
        <v>Heavy Discount</v>
      </c>
      <c r="H14134" s="37" t="str">
        <f t="shared" si="1102"/>
        <v>High</v>
      </c>
      <c r="I14134">
        <v>6</v>
      </c>
      <c r="J14134" t="str" cm="1">
        <f t="array" ref="J14134">_xlfn.IFS(I14134&lt;=3,"small",I14134&lt;=6,"Medium",I14134&lt;=9,"Large")</f>
        <v>Medium</v>
      </c>
      <c r="K14134" s="36">
        <v>45383</v>
      </c>
      <c r="L14134" s="36">
        <v>45385</v>
      </c>
      <c r="M14134" t="s">
        <v>612</v>
      </c>
      <c r="N14134" t="s">
        <v>599</v>
      </c>
      <c r="O14134" s="37" t="str">
        <f t="shared" si="1103"/>
        <v>Digital Payment</v>
      </c>
      <c r="P14134">
        <v>688.82</v>
      </c>
      <c r="Q14134" s="37" t="str">
        <f>IF(P14134&gt;500,"High","low")</f>
        <v>High</v>
      </c>
      <c r="R14134" s="37" t="str">
        <f t="shared" si="1104"/>
        <v>Good</v>
      </c>
      <c r="S14134" t="s">
        <v>615</v>
      </c>
    </row>
    <row r="14135" spans="1:19" x14ac:dyDescent="0.2">
      <c r="A14135" t="s">
        <v>14746</v>
      </c>
      <c r="B14135" t="s">
        <v>67</v>
      </c>
      <c r="C14135" t="s">
        <v>602</v>
      </c>
      <c r="D14135">
        <v>1348.65</v>
      </c>
      <c r="E14135" s="37" t="str">
        <f t="shared" si="1100"/>
        <v xml:space="preserve"> </v>
      </c>
      <c r="F14135">
        <v>0.08</v>
      </c>
      <c r="G14135" s="37" t="str">
        <f t="shared" si="1101"/>
        <v>Normal Discount</v>
      </c>
      <c r="H14135" s="37" t="str">
        <f t="shared" si="1102"/>
        <v>Low</v>
      </c>
      <c r="I14135">
        <v>7</v>
      </c>
      <c r="J14135" t="str" cm="1">
        <f t="array" ref="J14135">_xlfn.IFS(I14135&lt;=3,"small",I14135&lt;=6,"Medium",I14135&lt;=9,"Large")</f>
        <v>Large</v>
      </c>
      <c r="K14135" s="36">
        <v>45221</v>
      </c>
      <c r="L14135" s="36">
        <v>45226</v>
      </c>
      <c r="M14135" t="s">
        <v>598</v>
      </c>
      <c r="N14135" t="s">
        <v>599</v>
      </c>
      <c r="O14135" s="37" t="str">
        <f t="shared" si="1103"/>
        <v>Digital Payment</v>
      </c>
      <c r="P14135">
        <v>187.88</v>
      </c>
      <c r="Q14135" s="37" t="str">
        <f>IF(P14135&gt;500,"High","low")</f>
        <v>low</v>
      </c>
      <c r="R14135" s="37" t="str">
        <f t="shared" si="1104"/>
        <v>AVERAGE</v>
      </c>
      <c r="S14135" t="s">
        <v>615</v>
      </c>
    </row>
    <row r="14136" spans="1:19" x14ac:dyDescent="0.2">
      <c r="A14136" t="s">
        <v>14747</v>
      </c>
      <c r="B14136" t="s">
        <v>83</v>
      </c>
      <c r="C14136" t="s">
        <v>617</v>
      </c>
      <c r="D14136">
        <v>2558.67</v>
      </c>
      <c r="E14136" s="37" t="str">
        <f t="shared" si="1100"/>
        <v xml:space="preserve"> </v>
      </c>
      <c r="F14136">
        <v>0.06</v>
      </c>
      <c r="G14136" s="37" t="str">
        <f t="shared" si="1101"/>
        <v>Normal Discount</v>
      </c>
      <c r="H14136" s="37" t="str">
        <f t="shared" si="1102"/>
        <v>Low</v>
      </c>
      <c r="I14136">
        <v>2</v>
      </c>
      <c r="J14136" t="str" cm="1">
        <f t="array" ref="J14136">_xlfn.IFS(I14136&lt;=3,"small",I14136&lt;=6,"Medium",I14136&lt;=9,"Large")</f>
        <v>small</v>
      </c>
      <c r="K14136" s="36">
        <v>45048</v>
      </c>
      <c r="L14136" s="36">
        <v>45050</v>
      </c>
      <c r="M14136" t="s">
        <v>603</v>
      </c>
      <c r="N14136" t="s">
        <v>608</v>
      </c>
      <c r="O14136" s="37" t="str">
        <f t="shared" si="1103"/>
        <v>Cash Payment</v>
      </c>
      <c r="P14136">
        <v>453.66</v>
      </c>
      <c r="Q14136" s="37" t="str">
        <f>IF(P14136&gt;500,"High","low")</f>
        <v>low</v>
      </c>
      <c r="R14136" s="37" t="str">
        <f t="shared" si="1104"/>
        <v>AVERAGE</v>
      </c>
      <c r="S14136" t="s">
        <v>620</v>
      </c>
    </row>
    <row r="14137" spans="1:19" x14ac:dyDescent="0.2">
      <c r="A14137" t="s">
        <v>14748</v>
      </c>
      <c r="B14137" t="s">
        <v>83</v>
      </c>
      <c r="C14137" t="s">
        <v>607</v>
      </c>
      <c r="D14137">
        <v>758.88</v>
      </c>
      <c r="E14137" s="37" t="str">
        <f t="shared" si="1100"/>
        <v xml:space="preserve"> </v>
      </c>
      <c r="F14137">
        <v>0.28000000000000003</v>
      </c>
      <c r="G14137" s="37" t="str">
        <f t="shared" si="1101"/>
        <v>Normal Discount</v>
      </c>
      <c r="H14137" s="37" t="str">
        <f t="shared" si="1102"/>
        <v>Medium</v>
      </c>
      <c r="I14137">
        <v>3</v>
      </c>
      <c r="J14137" t="str" cm="1">
        <f t="array" ref="J14137">_xlfn.IFS(I14137&lt;=3,"small",I14137&lt;=6,"Medium",I14137&lt;=9,"Large")</f>
        <v>small</v>
      </c>
      <c r="K14137" s="36">
        <v>45483</v>
      </c>
      <c r="L14137" s="36">
        <v>45485</v>
      </c>
      <c r="M14137" t="s">
        <v>598</v>
      </c>
      <c r="N14137" t="s">
        <v>599</v>
      </c>
      <c r="O14137" s="37" t="str">
        <f t="shared" si="1103"/>
        <v>Digital Payment</v>
      </c>
      <c r="P14137">
        <v>152.57</v>
      </c>
      <c r="Q14137" s="37" t="str">
        <f>IF(P14137&gt;500,"High","low")</f>
        <v>low</v>
      </c>
      <c r="R14137" s="37" t="str">
        <f t="shared" si="1104"/>
        <v>AVERAGE</v>
      </c>
      <c r="S14137" t="s">
        <v>615</v>
      </c>
    </row>
    <row r="14138" spans="1:19" x14ac:dyDescent="0.2">
      <c r="A14138" t="s">
        <v>14749</v>
      </c>
      <c r="B14138" t="s">
        <v>90</v>
      </c>
      <c r="C14138" t="s">
        <v>614</v>
      </c>
      <c r="D14138">
        <v>2359.86</v>
      </c>
      <c r="E14138" s="37" t="str">
        <f t="shared" si="1100"/>
        <v xml:space="preserve"> </v>
      </c>
      <c r="F14138">
        <v>0.25</v>
      </c>
      <c r="G14138" s="37" t="str">
        <f t="shared" si="1101"/>
        <v>Normal Discount</v>
      </c>
      <c r="H14138" s="37" t="str">
        <f t="shared" si="1102"/>
        <v>Medium</v>
      </c>
      <c r="I14138">
        <v>3</v>
      </c>
      <c r="J14138" t="str" cm="1">
        <f t="array" ref="J14138">_xlfn.IFS(I14138&lt;=3,"small",I14138&lt;=6,"Medium",I14138&lt;=9,"Large")</f>
        <v>small</v>
      </c>
      <c r="K14138" s="36">
        <v>45392</v>
      </c>
      <c r="L14138" s="36">
        <v>45393</v>
      </c>
      <c r="M14138" t="s">
        <v>603</v>
      </c>
      <c r="N14138" t="s">
        <v>608</v>
      </c>
      <c r="O14138" s="37" t="str">
        <f t="shared" si="1103"/>
        <v>Cash Payment</v>
      </c>
      <c r="P14138">
        <v>626.55999999999995</v>
      </c>
      <c r="Q14138" s="37" t="str">
        <f>IF(P14138&gt;500,"High","low")</f>
        <v>High</v>
      </c>
      <c r="R14138" s="37" t="str">
        <f t="shared" si="1104"/>
        <v>Good</v>
      </c>
      <c r="S14138" t="s">
        <v>609</v>
      </c>
    </row>
    <row r="14139" spans="1:19" x14ac:dyDescent="0.2">
      <c r="A14139" t="s">
        <v>14750</v>
      </c>
      <c r="B14139" t="s">
        <v>83</v>
      </c>
      <c r="C14139" t="s">
        <v>617</v>
      </c>
      <c r="D14139">
        <v>3161.17</v>
      </c>
      <c r="E14139" s="37" t="str">
        <f t="shared" si="1100"/>
        <v xml:space="preserve"> </v>
      </c>
      <c r="F14139">
        <v>0.2</v>
      </c>
      <c r="G14139" s="37" t="str">
        <f t="shared" si="1101"/>
        <v>Normal Discount</v>
      </c>
      <c r="H14139" s="37" t="str">
        <f t="shared" si="1102"/>
        <v>Medium</v>
      </c>
      <c r="I14139">
        <v>1</v>
      </c>
      <c r="J14139" t="str" cm="1">
        <f t="array" ref="J14139">_xlfn.IFS(I14139&lt;=3,"small",I14139&lt;=6,"Medium",I14139&lt;=9,"Large")</f>
        <v>small</v>
      </c>
      <c r="K14139" s="36">
        <v>45097</v>
      </c>
      <c r="L14139" s="36">
        <v>45101</v>
      </c>
      <c r="M14139" t="s">
        <v>598</v>
      </c>
      <c r="N14139" t="s">
        <v>604</v>
      </c>
      <c r="O14139" s="37" t="str">
        <f t="shared" si="1103"/>
        <v>Digital Payment</v>
      </c>
      <c r="P14139">
        <v>915.85</v>
      </c>
      <c r="Q14139" s="37" t="str">
        <f>IF(P14139&gt;500,"High","low")</f>
        <v>High</v>
      </c>
      <c r="R14139" s="37" t="str">
        <f t="shared" si="1104"/>
        <v>Good</v>
      </c>
      <c r="S14139" t="s">
        <v>609</v>
      </c>
    </row>
    <row r="14140" spans="1:19" x14ac:dyDescent="0.2">
      <c r="A14140" t="s">
        <v>14751</v>
      </c>
      <c r="B14140" t="s">
        <v>90</v>
      </c>
      <c r="C14140" t="s">
        <v>614</v>
      </c>
      <c r="D14140">
        <v>451.91</v>
      </c>
      <c r="E14140" s="37" t="str">
        <f t="shared" si="1100"/>
        <v xml:space="preserve"> </v>
      </c>
      <c r="F14140">
        <v>0.45</v>
      </c>
      <c r="G14140" s="37" t="str">
        <f t="shared" si="1101"/>
        <v>Heavy Discount</v>
      </c>
      <c r="H14140" s="37" t="str">
        <f t="shared" si="1102"/>
        <v>High</v>
      </c>
      <c r="I14140">
        <v>9</v>
      </c>
      <c r="J14140" t="str" cm="1">
        <f t="array" ref="J14140">_xlfn.IFS(I14140&lt;=3,"small",I14140&lt;=6,"Medium",I14140&lt;=9,"Large")</f>
        <v>Large</v>
      </c>
      <c r="K14140" s="36">
        <v>45427</v>
      </c>
      <c r="L14140" s="36">
        <v>45433</v>
      </c>
      <c r="M14140" t="s">
        <v>598</v>
      </c>
      <c r="N14140" t="s">
        <v>608</v>
      </c>
      <c r="O14140" s="37" t="str">
        <f t="shared" si="1103"/>
        <v>Cash Payment</v>
      </c>
      <c r="P14140">
        <v>122.37</v>
      </c>
      <c r="Q14140" s="37" t="str">
        <f>IF(P14140&gt;500,"High","low")</f>
        <v>low</v>
      </c>
      <c r="R14140" s="37" t="str">
        <f t="shared" si="1104"/>
        <v>AVERAGE</v>
      </c>
      <c r="S14140" t="s">
        <v>600</v>
      </c>
    </row>
    <row r="14141" spans="1:19" x14ac:dyDescent="0.2">
      <c r="A14141" t="s">
        <v>14752</v>
      </c>
      <c r="B14141" t="s">
        <v>90</v>
      </c>
      <c r="C14141" t="s">
        <v>597</v>
      </c>
      <c r="D14141">
        <v>4095.57</v>
      </c>
      <c r="E14141" s="37" t="str">
        <f t="shared" si="1100"/>
        <v xml:space="preserve"> </v>
      </c>
      <c r="F14141">
        <v>0.28000000000000003</v>
      </c>
      <c r="G14141" s="37" t="str">
        <f t="shared" si="1101"/>
        <v>Normal Discount</v>
      </c>
      <c r="H14141" s="37" t="str">
        <f t="shared" si="1102"/>
        <v>Medium</v>
      </c>
      <c r="I14141">
        <v>9</v>
      </c>
      <c r="J14141" t="str" cm="1">
        <f t="array" ref="J14141">_xlfn.IFS(I14141&lt;=3,"small",I14141&lt;=6,"Medium",I14141&lt;=9,"Large")</f>
        <v>Large</v>
      </c>
      <c r="K14141" s="36">
        <v>45633</v>
      </c>
      <c r="L14141" s="36">
        <v>45640</v>
      </c>
      <c r="M14141" t="s">
        <v>603</v>
      </c>
      <c r="N14141" t="s">
        <v>604</v>
      </c>
      <c r="O14141" s="37" t="str">
        <f t="shared" si="1103"/>
        <v>Digital Payment</v>
      </c>
      <c r="P14141">
        <v>288.52999999999997</v>
      </c>
      <c r="Q14141" s="37" t="str">
        <f>IF(P14141&gt;500,"High","low")</f>
        <v>low</v>
      </c>
      <c r="R14141" s="37" t="str">
        <f t="shared" si="1104"/>
        <v>AVERAGE</v>
      </c>
      <c r="S14141" t="s">
        <v>615</v>
      </c>
    </row>
    <row r="14142" spans="1:19" x14ac:dyDescent="0.2">
      <c r="A14142" t="s">
        <v>14753</v>
      </c>
      <c r="B14142" t="s">
        <v>75</v>
      </c>
      <c r="C14142" t="s">
        <v>602</v>
      </c>
      <c r="D14142">
        <v>4693.4399999999996</v>
      </c>
      <c r="E14142" s="37" t="str">
        <f t="shared" si="1100"/>
        <v xml:space="preserve"> </v>
      </c>
      <c r="F14142">
        <v>0.28000000000000003</v>
      </c>
      <c r="G14142" s="37" t="str">
        <f t="shared" si="1101"/>
        <v>Normal Discount</v>
      </c>
      <c r="H14142" s="37" t="str">
        <f t="shared" si="1102"/>
        <v>Medium</v>
      </c>
      <c r="I14142">
        <v>9</v>
      </c>
      <c r="J14142" t="str" cm="1">
        <f t="array" ref="J14142">_xlfn.IFS(I14142&lt;=3,"small",I14142&lt;=6,"Medium",I14142&lt;=9,"Large")</f>
        <v>Large</v>
      </c>
      <c r="K14142" s="36">
        <v>45352</v>
      </c>
      <c r="L14142" s="36">
        <v>45353</v>
      </c>
      <c r="M14142" t="s">
        <v>603</v>
      </c>
      <c r="N14142" t="s">
        <v>599</v>
      </c>
      <c r="O14142" s="37" t="str">
        <f t="shared" si="1103"/>
        <v>Digital Payment</v>
      </c>
      <c r="P14142">
        <v>588.29999999999995</v>
      </c>
      <c r="Q14142" s="37" t="str">
        <f>IF(P14142&gt;500,"High","low")</f>
        <v>High</v>
      </c>
      <c r="R14142" s="37" t="str">
        <f t="shared" si="1104"/>
        <v>Good</v>
      </c>
      <c r="S14142" t="s">
        <v>628</v>
      </c>
    </row>
    <row r="14143" spans="1:19" x14ac:dyDescent="0.2">
      <c r="A14143" t="s">
        <v>14754</v>
      </c>
      <c r="B14143" t="s">
        <v>67</v>
      </c>
      <c r="C14143" t="s">
        <v>597</v>
      </c>
      <c r="D14143">
        <v>1048.3800000000001</v>
      </c>
      <c r="E14143" s="37" t="str">
        <f t="shared" si="1100"/>
        <v xml:space="preserve"> </v>
      </c>
      <c r="F14143">
        <v>0.18</v>
      </c>
      <c r="G14143" s="37" t="str">
        <f t="shared" si="1101"/>
        <v>Normal Discount</v>
      </c>
      <c r="H14143" s="37" t="str">
        <f t="shared" si="1102"/>
        <v>Low</v>
      </c>
      <c r="I14143">
        <v>9</v>
      </c>
      <c r="J14143" t="str" cm="1">
        <f t="array" ref="J14143">_xlfn.IFS(I14143&lt;=3,"small",I14143&lt;=6,"Medium",I14143&lt;=9,"Large")</f>
        <v>Large</v>
      </c>
      <c r="K14143" s="36">
        <v>45485</v>
      </c>
      <c r="L14143" s="36">
        <v>45491</v>
      </c>
      <c r="M14143" t="s">
        <v>612</v>
      </c>
      <c r="N14143" t="s">
        <v>608</v>
      </c>
      <c r="O14143" s="37" t="str">
        <f t="shared" si="1103"/>
        <v>Cash Payment</v>
      </c>
      <c r="P14143">
        <v>86.43</v>
      </c>
      <c r="Q14143" s="37" t="str">
        <f>IF(P14143&gt;500,"High","low")</f>
        <v>low</v>
      </c>
      <c r="R14143" s="37" t="str">
        <f t="shared" si="1104"/>
        <v>AVERAGE</v>
      </c>
      <c r="S14143" t="s">
        <v>605</v>
      </c>
    </row>
    <row r="14144" spans="1:19" x14ac:dyDescent="0.2">
      <c r="A14144" t="s">
        <v>14755</v>
      </c>
      <c r="B14144" t="s">
        <v>67</v>
      </c>
      <c r="C14144" t="s">
        <v>607</v>
      </c>
      <c r="D14144">
        <v>3821.22</v>
      </c>
      <c r="E14144" s="37" t="str">
        <f t="shared" si="1100"/>
        <v xml:space="preserve"> </v>
      </c>
      <c r="F14144">
        <v>0.17</v>
      </c>
      <c r="G14144" s="37" t="str">
        <f t="shared" si="1101"/>
        <v>Normal Discount</v>
      </c>
      <c r="H14144" s="37" t="str">
        <f t="shared" si="1102"/>
        <v>Low</v>
      </c>
      <c r="I14144">
        <v>8</v>
      </c>
      <c r="J14144" t="str" cm="1">
        <f t="array" ref="J14144">_xlfn.IFS(I14144&lt;=3,"small",I14144&lt;=6,"Medium",I14144&lt;=9,"Large")</f>
        <v>Large</v>
      </c>
      <c r="K14144" s="36">
        <v>45048</v>
      </c>
      <c r="L14144" s="36">
        <v>45053</v>
      </c>
      <c r="M14144" t="s">
        <v>612</v>
      </c>
      <c r="N14144" t="s">
        <v>608</v>
      </c>
      <c r="O14144" s="37" t="str">
        <f t="shared" si="1103"/>
        <v>Cash Payment</v>
      </c>
      <c r="P14144">
        <v>754.79</v>
      </c>
      <c r="Q14144" s="37" t="str">
        <f>IF(P14144&gt;500,"High","low")</f>
        <v>High</v>
      </c>
      <c r="R14144" s="37" t="str">
        <f t="shared" si="1104"/>
        <v>Good</v>
      </c>
      <c r="S14144" t="s">
        <v>600</v>
      </c>
    </row>
    <row r="14145" spans="1:19" x14ac:dyDescent="0.2">
      <c r="A14145" t="s">
        <v>14756</v>
      </c>
      <c r="B14145" t="s">
        <v>90</v>
      </c>
      <c r="C14145" t="s">
        <v>607</v>
      </c>
      <c r="D14145">
        <v>1635.99</v>
      </c>
      <c r="E14145" s="37" t="str">
        <f t="shared" si="1100"/>
        <v xml:space="preserve"> </v>
      </c>
      <c r="F14145">
        <v>0.49</v>
      </c>
      <c r="G14145" s="37" t="str">
        <f t="shared" si="1101"/>
        <v>Heavy Discount</v>
      </c>
      <c r="H14145" s="37" t="str">
        <f t="shared" si="1102"/>
        <v>High</v>
      </c>
      <c r="I14145">
        <v>5</v>
      </c>
      <c r="J14145" t="str" cm="1">
        <f t="array" ref="J14145">_xlfn.IFS(I14145&lt;=3,"small",I14145&lt;=6,"Medium",I14145&lt;=9,"Large")</f>
        <v>Medium</v>
      </c>
      <c r="K14145" s="36">
        <v>45589</v>
      </c>
      <c r="L14145" s="36">
        <v>45592</v>
      </c>
      <c r="M14145" t="s">
        <v>612</v>
      </c>
      <c r="N14145" t="s">
        <v>608</v>
      </c>
      <c r="O14145" s="37" t="str">
        <f t="shared" si="1103"/>
        <v>Cash Payment</v>
      </c>
      <c r="P14145">
        <v>374.88</v>
      </c>
      <c r="Q14145" s="37" t="str">
        <f>IF(P14145&gt;500,"High","low")</f>
        <v>low</v>
      </c>
      <c r="R14145" s="37" t="str">
        <f t="shared" si="1104"/>
        <v>AVERAGE</v>
      </c>
      <c r="S14145" t="s">
        <v>620</v>
      </c>
    </row>
    <row r="14146" spans="1:19" x14ac:dyDescent="0.2">
      <c r="A14146" t="s">
        <v>14757</v>
      </c>
      <c r="B14146" t="s">
        <v>67</v>
      </c>
      <c r="C14146" t="s">
        <v>617</v>
      </c>
      <c r="D14146">
        <v>3415.95</v>
      </c>
      <c r="E14146" s="37" t="str">
        <f t="shared" si="1100"/>
        <v xml:space="preserve"> </v>
      </c>
      <c r="F14146">
        <v>0.31</v>
      </c>
      <c r="G14146" s="37" t="str">
        <f t="shared" si="1101"/>
        <v>Heavy Discount</v>
      </c>
      <c r="H14146" s="37" t="str">
        <f t="shared" si="1102"/>
        <v>Medium</v>
      </c>
      <c r="I14146">
        <v>9</v>
      </c>
      <c r="J14146" t="str" cm="1">
        <f t="array" ref="J14146">_xlfn.IFS(I14146&lt;=3,"small",I14146&lt;=6,"Medium",I14146&lt;=9,"Large")</f>
        <v>Large</v>
      </c>
      <c r="K14146" s="36">
        <v>45214</v>
      </c>
      <c r="L14146" s="36">
        <v>45221</v>
      </c>
      <c r="M14146" t="s">
        <v>598</v>
      </c>
      <c r="N14146" t="s">
        <v>604</v>
      </c>
      <c r="O14146" s="37" t="str">
        <f t="shared" si="1103"/>
        <v>Digital Payment</v>
      </c>
      <c r="P14146">
        <v>777.78</v>
      </c>
      <c r="Q14146" s="37" t="str">
        <f>IF(P14146&gt;500,"High","low")</f>
        <v>High</v>
      </c>
      <c r="R14146" s="37" t="str">
        <f t="shared" si="1104"/>
        <v>Good</v>
      </c>
      <c r="S14146" t="s">
        <v>615</v>
      </c>
    </row>
    <row r="14147" spans="1:19" x14ac:dyDescent="0.2">
      <c r="A14147" t="s">
        <v>14758</v>
      </c>
      <c r="B14147" t="s">
        <v>83</v>
      </c>
      <c r="C14147" t="s">
        <v>607</v>
      </c>
      <c r="D14147">
        <v>1602.72</v>
      </c>
      <c r="E14147" s="37" t="str">
        <f t="shared" ref="E14147:E14210" si="1105">IF(AND(D14147&gt;4000,P14147&gt;800),"Excellent Order"," ")</f>
        <v xml:space="preserve"> </v>
      </c>
      <c r="F14147">
        <v>0.41</v>
      </c>
      <c r="G14147" s="37" t="str">
        <f t="shared" ref="G14147:G14210" si="1106">IF(F14147&gt;30%,"Heavy Discount","Normal Discount")</f>
        <v>Heavy Discount</v>
      </c>
      <c r="H14147" s="37" t="str">
        <f t="shared" ref="H14147:H14210" si="1107">IF(F14147&gt;0.4,"High",IF(F14147&gt;=0.2,"Medium","Low"))</f>
        <v>High</v>
      </c>
      <c r="I14147">
        <v>7</v>
      </c>
      <c r="J14147" t="str" cm="1">
        <f t="array" ref="J14147">_xlfn.IFS(I14147&lt;=3,"small",I14147&lt;=6,"Medium",I14147&lt;=9,"Large")</f>
        <v>Large</v>
      </c>
      <c r="K14147" s="36">
        <v>45000</v>
      </c>
      <c r="L14147" s="36">
        <v>45004</v>
      </c>
      <c r="M14147" t="s">
        <v>612</v>
      </c>
      <c r="N14147" t="s">
        <v>608</v>
      </c>
      <c r="O14147" s="37" t="str">
        <f t="shared" ref="O14147:O14210" si="1108">IF(OR(N14147="Card",N14147="UPI"),"Digital Payment","Cash Payment")</f>
        <v>Cash Payment</v>
      </c>
      <c r="P14147">
        <v>262.54000000000002</v>
      </c>
      <c r="Q14147" s="37" t="str">
        <f>IF(P14147&gt;500,"High","low")</f>
        <v>low</v>
      </c>
      <c r="R14147" s="37" t="str">
        <f t="shared" ref="R14147:R14210" si="1109">IF(P14147&gt;1000,"Excellent",IF(P14147&gt;=500,"Good","AVERAGE"))</f>
        <v>AVERAGE</v>
      </c>
      <c r="S14147" t="s">
        <v>600</v>
      </c>
    </row>
    <row r="14148" spans="1:19" x14ac:dyDescent="0.2">
      <c r="A14148" t="s">
        <v>14759</v>
      </c>
      <c r="B14148" t="s">
        <v>90</v>
      </c>
      <c r="C14148" t="s">
        <v>607</v>
      </c>
      <c r="D14148">
        <v>4325.4799999999996</v>
      </c>
      <c r="E14148" s="37" t="str">
        <f t="shared" si="1105"/>
        <v>Excellent Order</v>
      </c>
      <c r="F14148">
        <v>0.22</v>
      </c>
      <c r="G14148" s="37" t="str">
        <f t="shared" si="1106"/>
        <v>Normal Discount</v>
      </c>
      <c r="H14148" s="37" t="str">
        <f t="shared" si="1107"/>
        <v>Medium</v>
      </c>
      <c r="I14148">
        <v>2</v>
      </c>
      <c r="J14148" t="str" cm="1">
        <f t="array" ref="J14148">_xlfn.IFS(I14148&lt;=3,"small",I14148&lt;=6,"Medium",I14148&lt;=9,"Large")</f>
        <v>small</v>
      </c>
      <c r="K14148" s="36">
        <v>45304</v>
      </c>
      <c r="L14148" s="36">
        <v>45305</v>
      </c>
      <c r="M14148" t="s">
        <v>603</v>
      </c>
      <c r="N14148" t="s">
        <v>599</v>
      </c>
      <c r="O14148" s="37" t="str">
        <f t="shared" si="1108"/>
        <v>Digital Payment</v>
      </c>
      <c r="P14148">
        <v>873.49</v>
      </c>
      <c r="Q14148" s="37" t="str">
        <f>IF(P14148&gt;500,"High","low")</f>
        <v>High</v>
      </c>
      <c r="R14148" s="37" t="str">
        <f t="shared" si="1109"/>
        <v>Good</v>
      </c>
      <c r="S14148" t="s">
        <v>605</v>
      </c>
    </row>
    <row r="14149" spans="1:19" x14ac:dyDescent="0.2">
      <c r="A14149" t="s">
        <v>14760</v>
      </c>
      <c r="B14149" t="s">
        <v>75</v>
      </c>
      <c r="C14149" t="s">
        <v>597</v>
      </c>
      <c r="D14149">
        <v>1800.83</v>
      </c>
      <c r="E14149" s="37" t="str">
        <f t="shared" si="1105"/>
        <v xml:space="preserve"> </v>
      </c>
      <c r="F14149">
        <v>0.1</v>
      </c>
      <c r="G14149" s="37" t="str">
        <f t="shared" si="1106"/>
        <v>Normal Discount</v>
      </c>
      <c r="H14149" s="37" t="str">
        <f t="shared" si="1107"/>
        <v>Low</v>
      </c>
      <c r="I14149">
        <v>7</v>
      </c>
      <c r="J14149" t="str" cm="1">
        <f t="array" ref="J14149">_xlfn.IFS(I14149&lt;=3,"small",I14149&lt;=6,"Medium",I14149&lt;=9,"Large")</f>
        <v>Large</v>
      </c>
      <c r="K14149" s="36">
        <v>45284</v>
      </c>
      <c r="L14149" s="36">
        <v>45285</v>
      </c>
      <c r="M14149" t="s">
        <v>612</v>
      </c>
      <c r="N14149" t="s">
        <v>599</v>
      </c>
      <c r="O14149" s="37" t="str">
        <f t="shared" si="1108"/>
        <v>Digital Payment</v>
      </c>
      <c r="P14149">
        <v>216.14</v>
      </c>
      <c r="Q14149" s="37" t="str">
        <f>IF(P14149&gt;500,"High","low")</f>
        <v>low</v>
      </c>
      <c r="R14149" s="37" t="str">
        <f t="shared" si="1109"/>
        <v>AVERAGE</v>
      </c>
      <c r="S14149" t="s">
        <v>600</v>
      </c>
    </row>
    <row r="14150" spans="1:19" x14ac:dyDescent="0.2">
      <c r="A14150" t="s">
        <v>14761</v>
      </c>
      <c r="B14150" t="s">
        <v>83</v>
      </c>
      <c r="C14150" t="s">
        <v>614</v>
      </c>
      <c r="D14150">
        <v>4259.2700000000004</v>
      </c>
      <c r="E14150" s="37" t="str">
        <f t="shared" si="1105"/>
        <v>Excellent Order</v>
      </c>
      <c r="F14150">
        <v>0.16</v>
      </c>
      <c r="G14150" s="37" t="str">
        <f t="shared" si="1106"/>
        <v>Normal Discount</v>
      </c>
      <c r="H14150" s="37" t="str">
        <f t="shared" si="1107"/>
        <v>Low</v>
      </c>
      <c r="I14150">
        <v>4</v>
      </c>
      <c r="J14150" t="str" cm="1">
        <f t="array" ref="J14150">_xlfn.IFS(I14150&lt;=3,"small",I14150&lt;=6,"Medium",I14150&lt;=9,"Large")</f>
        <v>Medium</v>
      </c>
      <c r="K14150" s="36">
        <v>45623</v>
      </c>
      <c r="L14150" s="36">
        <v>45628</v>
      </c>
      <c r="M14150" t="s">
        <v>612</v>
      </c>
      <c r="N14150" t="s">
        <v>608</v>
      </c>
      <c r="O14150" s="37" t="str">
        <f t="shared" si="1108"/>
        <v>Cash Payment</v>
      </c>
      <c r="P14150">
        <v>930.2</v>
      </c>
      <c r="Q14150" s="37" t="str">
        <f>IF(P14150&gt;500,"High","low")</f>
        <v>High</v>
      </c>
      <c r="R14150" s="37" t="str">
        <f t="shared" si="1109"/>
        <v>Good</v>
      </c>
      <c r="S14150" t="s">
        <v>615</v>
      </c>
    </row>
    <row r="14151" spans="1:19" x14ac:dyDescent="0.2">
      <c r="A14151" t="s">
        <v>14762</v>
      </c>
      <c r="B14151" t="s">
        <v>75</v>
      </c>
      <c r="C14151" t="s">
        <v>602</v>
      </c>
      <c r="D14151">
        <v>3854.1</v>
      </c>
      <c r="E14151" s="37" t="str">
        <f t="shared" si="1105"/>
        <v xml:space="preserve"> </v>
      </c>
      <c r="F14151">
        <v>0.17</v>
      </c>
      <c r="G14151" s="37" t="str">
        <f t="shared" si="1106"/>
        <v>Normal Discount</v>
      </c>
      <c r="H14151" s="37" t="str">
        <f t="shared" si="1107"/>
        <v>Low</v>
      </c>
      <c r="I14151">
        <v>7</v>
      </c>
      <c r="J14151" t="str" cm="1">
        <f t="array" ref="J14151">_xlfn.IFS(I14151&lt;=3,"small",I14151&lt;=6,"Medium",I14151&lt;=9,"Large")</f>
        <v>Large</v>
      </c>
      <c r="K14151" s="36">
        <v>45604</v>
      </c>
      <c r="L14151" s="36">
        <v>45611</v>
      </c>
      <c r="M14151" t="s">
        <v>603</v>
      </c>
      <c r="N14151" t="s">
        <v>599</v>
      </c>
      <c r="O14151" s="37" t="str">
        <f t="shared" si="1108"/>
        <v>Digital Payment</v>
      </c>
      <c r="P14151">
        <v>341.97</v>
      </c>
      <c r="Q14151" s="37" t="str">
        <f>IF(P14151&gt;500,"High","low")</f>
        <v>low</v>
      </c>
      <c r="R14151" s="37" t="str">
        <f t="shared" si="1109"/>
        <v>AVERAGE</v>
      </c>
      <c r="S14151" t="s">
        <v>615</v>
      </c>
    </row>
    <row r="14152" spans="1:19" x14ac:dyDescent="0.2">
      <c r="A14152" t="s">
        <v>14763</v>
      </c>
      <c r="B14152" t="s">
        <v>75</v>
      </c>
      <c r="C14152" t="s">
        <v>607</v>
      </c>
      <c r="D14152">
        <v>1061.99</v>
      </c>
      <c r="E14152" s="37" t="str">
        <f t="shared" si="1105"/>
        <v xml:space="preserve"> </v>
      </c>
      <c r="F14152">
        <v>0.28000000000000003</v>
      </c>
      <c r="G14152" s="37" t="str">
        <f t="shared" si="1106"/>
        <v>Normal Discount</v>
      </c>
      <c r="H14152" s="37" t="str">
        <f t="shared" si="1107"/>
        <v>Medium</v>
      </c>
      <c r="I14152">
        <v>7</v>
      </c>
      <c r="J14152" t="str" cm="1">
        <f t="array" ref="J14152">_xlfn.IFS(I14152&lt;=3,"small",I14152&lt;=6,"Medium",I14152&lt;=9,"Large")</f>
        <v>Large</v>
      </c>
      <c r="K14152" s="36">
        <v>45003</v>
      </c>
      <c r="L14152" s="36">
        <v>45006</v>
      </c>
      <c r="M14152" t="s">
        <v>603</v>
      </c>
      <c r="N14152" t="s">
        <v>604</v>
      </c>
      <c r="O14152" s="37" t="str">
        <f t="shared" si="1108"/>
        <v>Digital Payment</v>
      </c>
      <c r="P14152">
        <v>80.16</v>
      </c>
      <c r="Q14152" s="37" t="str">
        <f>IF(P14152&gt;500,"High","low")</f>
        <v>low</v>
      </c>
      <c r="R14152" s="37" t="str">
        <f t="shared" si="1109"/>
        <v>AVERAGE</v>
      </c>
      <c r="S14152" t="s">
        <v>628</v>
      </c>
    </row>
    <row r="14153" spans="1:19" x14ac:dyDescent="0.2">
      <c r="A14153" t="s">
        <v>14764</v>
      </c>
      <c r="B14153" t="s">
        <v>67</v>
      </c>
      <c r="C14153" t="s">
        <v>607</v>
      </c>
      <c r="D14153">
        <v>869.07</v>
      </c>
      <c r="E14153" s="37" t="str">
        <f t="shared" si="1105"/>
        <v xml:space="preserve"> </v>
      </c>
      <c r="F14153">
        <v>0.08</v>
      </c>
      <c r="G14153" s="37" t="str">
        <f t="shared" si="1106"/>
        <v>Normal Discount</v>
      </c>
      <c r="H14153" s="37" t="str">
        <f t="shared" si="1107"/>
        <v>Low</v>
      </c>
      <c r="I14153">
        <v>3</v>
      </c>
      <c r="J14153" t="str" cm="1">
        <f t="array" ref="J14153">_xlfn.IFS(I14153&lt;=3,"small",I14153&lt;=6,"Medium",I14153&lt;=9,"Large")</f>
        <v>small</v>
      </c>
      <c r="K14153" s="36">
        <v>45451</v>
      </c>
      <c r="L14153" s="36">
        <v>45458</v>
      </c>
      <c r="M14153" t="s">
        <v>612</v>
      </c>
      <c r="N14153" t="s">
        <v>608</v>
      </c>
      <c r="O14153" s="37" t="str">
        <f t="shared" si="1108"/>
        <v>Cash Payment</v>
      </c>
      <c r="P14153">
        <v>124.6</v>
      </c>
      <c r="Q14153" s="37" t="str">
        <f>IF(P14153&gt;500,"High","low")</f>
        <v>low</v>
      </c>
      <c r="R14153" s="37" t="str">
        <f t="shared" si="1109"/>
        <v>AVERAGE</v>
      </c>
      <c r="S14153" t="s">
        <v>609</v>
      </c>
    </row>
    <row r="14154" spans="1:19" x14ac:dyDescent="0.2">
      <c r="A14154" t="s">
        <v>14765</v>
      </c>
      <c r="B14154" t="s">
        <v>67</v>
      </c>
      <c r="C14154" t="s">
        <v>597</v>
      </c>
      <c r="D14154">
        <v>3920.31</v>
      </c>
      <c r="E14154" s="37" t="str">
        <f t="shared" si="1105"/>
        <v xml:space="preserve"> </v>
      </c>
      <c r="F14154">
        <v>0.19</v>
      </c>
      <c r="G14154" s="37" t="str">
        <f t="shared" si="1106"/>
        <v>Normal Discount</v>
      </c>
      <c r="H14154" s="37" t="str">
        <f t="shared" si="1107"/>
        <v>Low</v>
      </c>
      <c r="I14154">
        <v>3</v>
      </c>
      <c r="J14154" t="str" cm="1">
        <f t="array" ref="J14154">_xlfn.IFS(I14154&lt;=3,"small",I14154&lt;=6,"Medium",I14154&lt;=9,"Large")</f>
        <v>small</v>
      </c>
      <c r="K14154" s="36">
        <v>45217</v>
      </c>
      <c r="L14154" s="36">
        <v>45220</v>
      </c>
      <c r="M14154" t="s">
        <v>603</v>
      </c>
      <c r="N14154" t="s">
        <v>608</v>
      </c>
      <c r="O14154" s="37" t="str">
        <f t="shared" si="1108"/>
        <v>Cash Payment</v>
      </c>
      <c r="P14154">
        <v>963.85</v>
      </c>
      <c r="Q14154" s="37" t="str">
        <f>IF(P14154&gt;500,"High","low")</f>
        <v>High</v>
      </c>
      <c r="R14154" s="37" t="str">
        <f t="shared" si="1109"/>
        <v>Good</v>
      </c>
      <c r="S14154" t="s">
        <v>620</v>
      </c>
    </row>
    <row r="14155" spans="1:19" x14ac:dyDescent="0.2">
      <c r="A14155" t="s">
        <v>14766</v>
      </c>
      <c r="B14155" t="s">
        <v>90</v>
      </c>
      <c r="C14155" t="s">
        <v>602</v>
      </c>
      <c r="D14155">
        <v>2012.49</v>
      </c>
      <c r="E14155" s="37" t="str">
        <f t="shared" si="1105"/>
        <v xml:space="preserve"> </v>
      </c>
      <c r="F14155">
        <v>0.05</v>
      </c>
      <c r="G14155" s="37" t="str">
        <f t="shared" si="1106"/>
        <v>Normal Discount</v>
      </c>
      <c r="H14155" s="37" t="str">
        <f t="shared" si="1107"/>
        <v>Low</v>
      </c>
      <c r="I14155">
        <v>6</v>
      </c>
      <c r="J14155" t="str" cm="1">
        <f t="array" ref="J14155">_xlfn.IFS(I14155&lt;=3,"small",I14155&lt;=6,"Medium",I14155&lt;=9,"Large")</f>
        <v>Medium</v>
      </c>
      <c r="K14155" s="36">
        <v>45056</v>
      </c>
      <c r="L14155" s="36">
        <v>45060</v>
      </c>
      <c r="M14155" t="s">
        <v>603</v>
      </c>
      <c r="N14155" t="s">
        <v>599</v>
      </c>
      <c r="O14155" s="37" t="str">
        <f t="shared" si="1108"/>
        <v>Digital Payment</v>
      </c>
      <c r="P14155">
        <v>232.9</v>
      </c>
      <c r="Q14155" s="37" t="str">
        <f>IF(P14155&gt;500,"High","low")</f>
        <v>low</v>
      </c>
      <c r="R14155" s="37" t="str">
        <f t="shared" si="1109"/>
        <v>AVERAGE</v>
      </c>
      <c r="S14155" t="s">
        <v>615</v>
      </c>
    </row>
    <row r="14156" spans="1:19" x14ac:dyDescent="0.2">
      <c r="A14156" t="s">
        <v>14767</v>
      </c>
      <c r="B14156" t="s">
        <v>67</v>
      </c>
      <c r="C14156" t="s">
        <v>597</v>
      </c>
      <c r="D14156">
        <v>4752.03</v>
      </c>
      <c r="E14156" s="37" t="str">
        <f t="shared" si="1105"/>
        <v xml:space="preserve"> </v>
      </c>
      <c r="F14156">
        <v>0.25</v>
      </c>
      <c r="G14156" s="37" t="str">
        <f t="shared" si="1106"/>
        <v>Normal Discount</v>
      </c>
      <c r="H14156" s="37" t="str">
        <f t="shared" si="1107"/>
        <v>Medium</v>
      </c>
      <c r="I14156">
        <v>2</v>
      </c>
      <c r="J14156" t="str" cm="1">
        <f t="array" ref="J14156">_xlfn.IFS(I14156&lt;=3,"small",I14156&lt;=6,"Medium",I14156&lt;=9,"Large")</f>
        <v>small</v>
      </c>
      <c r="K14156" s="36">
        <v>44987</v>
      </c>
      <c r="L14156" s="36">
        <v>44991</v>
      </c>
      <c r="M14156" t="s">
        <v>612</v>
      </c>
      <c r="N14156" t="s">
        <v>604</v>
      </c>
      <c r="O14156" s="37" t="str">
        <f t="shared" si="1108"/>
        <v>Digital Payment</v>
      </c>
      <c r="P14156">
        <v>473.67</v>
      </c>
      <c r="Q14156" s="37" t="str">
        <f>IF(P14156&gt;500,"High","low")</f>
        <v>low</v>
      </c>
      <c r="R14156" s="37" t="str">
        <f t="shared" si="1109"/>
        <v>AVERAGE</v>
      </c>
      <c r="S14156" t="s">
        <v>615</v>
      </c>
    </row>
    <row r="14157" spans="1:19" x14ac:dyDescent="0.2">
      <c r="A14157" t="s">
        <v>14768</v>
      </c>
      <c r="B14157" t="s">
        <v>75</v>
      </c>
      <c r="C14157" t="s">
        <v>614</v>
      </c>
      <c r="D14157">
        <v>4720.45</v>
      </c>
      <c r="E14157" s="37" t="str">
        <f t="shared" si="1105"/>
        <v>Excellent Order</v>
      </c>
      <c r="F14157">
        <v>0.47</v>
      </c>
      <c r="G14157" s="37" t="str">
        <f t="shared" si="1106"/>
        <v>Heavy Discount</v>
      </c>
      <c r="H14157" s="37" t="str">
        <f t="shared" si="1107"/>
        <v>High</v>
      </c>
      <c r="I14157">
        <v>8</v>
      </c>
      <c r="J14157" t="str" cm="1">
        <f t="array" ref="J14157">_xlfn.IFS(I14157&lt;=3,"small",I14157&lt;=6,"Medium",I14157&lt;=9,"Large")</f>
        <v>Large</v>
      </c>
      <c r="K14157" s="36">
        <v>45351</v>
      </c>
      <c r="L14157" s="36">
        <v>45353</v>
      </c>
      <c r="M14157" t="s">
        <v>612</v>
      </c>
      <c r="N14157" t="s">
        <v>608</v>
      </c>
      <c r="O14157" s="37" t="str">
        <f t="shared" si="1108"/>
        <v>Cash Payment</v>
      </c>
      <c r="P14157">
        <v>1304.83</v>
      </c>
      <c r="Q14157" s="37" t="str">
        <f>IF(P14157&gt;500,"High","low")</f>
        <v>High</v>
      </c>
      <c r="R14157" s="37" t="str">
        <f t="shared" si="1109"/>
        <v>Excellent</v>
      </c>
      <c r="S14157" t="s">
        <v>609</v>
      </c>
    </row>
    <row r="14158" spans="1:19" x14ac:dyDescent="0.2">
      <c r="A14158" t="s">
        <v>14769</v>
      </c>
      <c r="B14158" t="s">
        <v>75</v>
      </c>
      <c r="C14158" t="s">
        <v>597</v>
      </c>
      <c r="D14158">
        <v>3498.06</v>
      </c>
      <c r="E14158" s="37" t="str">
        <f t="shared" si="1105"/>
        <v xml:space="preserve"> </v>
      </c>
      <c r="F14158">
        <v>0.17</v>
      </c>
      <c r="G14158" s="37" t="str">
        <f t="shared" si="1106"/>
        <v>Normal Discount</v>
      </c>
      <c r="H14158" s="37" t="str">
        <f t="shared" si="1107"/>
        <v>Low</v>
      </c>
      <c r="I14158">
        <v>8</v>
      </c>
      <c r="J14158" t="str" cm="1">
        <f t="array" ref="J14158">_xlfn.IFS(I14158&lt;=3,"small",I14158&lt;=6,"Medium",I14158&lt;=9,"Large")</f>
        <v>Large</v>
      </c>
      <c r="K14158" s="36">
        <v>45534</v>
      </c>
      <c r="L14158" s="36">
        <v>45541</v>
      </c>
      <c r="M14158" t="s">
        <v>598</v>
      </c>
      <c r="N14158" t="s">
        <v>608</v>
      </c>
      <c r="O14158" s="37" t="str">
        <f t="shared" si="1108"/>
        <v>Cash Payment</v>
      </c>
      <c r="P14158">
        <v>672.65</v>
      </c>
      <c r="Q14158" s="37" t="str">
        <f>IF(P14158&gt;500,"High","low")</f>
        <v>High</v>
      </c>
      <c r="R14158" s="37" t="str">
        <f t="shared" si="1109"/>
        <v>Good</v>
      </c>
      <c r="S14158" t="s">
        <v>615</v>
      </c>
    </row>
    <row r="14159" spans="1:19" x14ac:dyDescent="0.2">
      <c r="A14159" t="s">
        <v>14770</v>
      </c>
      <c r="B14159" t="s">
        <v>83</v>
      </c>
      <c r="C14159" t="s">
        <v>602</v>
      </c>
      <c r="D14159">
        <v>2552.84</v>
      </c>
      <c r="E14159" s="37" t="str">
        <f t="shared" si="1105"/>
        <v xml:space="preserve"> </v>
      </c>
      <c r="F14159">
        <v>0.02</v>
      </c>
      <c r="G14159" s="37" t="str">
        <f t="shared" si="1106"/>
        <v>Normal Discount</v>
      </c>
      <c r="H14159" s="37" t="str">
        <f t="shared" si="1107"/>
        <v>Low</v>
      </c>
      <c r="I14159">
        <v>4</v>
      </c>
      <c r="J14159" t="str" cm="1">
        <f t="array" ref="J14159">_xlfn.IFS(I14159&lt;=3,"small",I14159&lt;=6,"Medium",I14159&lt;=9,"Large")</f>
        <v>Medium</v>
      </c>
      <c r="K14159" s="36">
        <v>45404</v>
      </c>
      <c r="L14159" s="36">
        <v>45409</v>
      </c>
      <c r="M14159" t="s">
        <v>598</v>
      </c>
      <c r="N14159" t="s">
        <v>599</v>
      </c>
      <c r="O14159" s="37" t="str">
        <f t="shared" si="1108"/>
        <v>Digital Payment</v>
      </c>
      <c r="P14159">
        <v>252.38</v>
      </c>
      <c r="Q14159" s="37" t="str">
        <f>IF(P14159&gt;500,"High","low")</f>
        <v>low</v>
      </c>
      <c r="R14159" s="37" t="str">
        <f t="shared" si="1109"/>
        <v>AVERAGE</v>
      </c>
      <c r="S14159" t="s">
        <v>609</v>
      </c>
    </row>
    <row r="14160" spans="1:19" x14ac:dyDescent="0.2">
      <c r="A14160" t="s">
        <v>14771</v>
      </c>
      <c r="B14160" t="s">
        <v>75</v>
      </c>
      <c r="C14160" t="s">
        <v>602</v>
      </c>
      <c r="D14160">
        <v>1055.3399999999999</v>
      </c>
      <c r="E14160" s="37" t="str">
        <f t="shared" si="1105"/>
        <v xml:space="preserve"> </v>
      </c>
      <c r="F14160">
        <v>0.3</v>
      </c>
      <c r="G14160" s="37" t="str">
        <f t="shared" si="1106"/>
        <v>Normal Discount</v>
      </c>
      <c r="H14160" s="37" t="str">
        <f t="shared" si="1107"/>
        <v>Medium</v>
      </c>
      <c r="I14160">
        <v>2</v>
      </c>
      <c r="J14160" t="str" cm="1">
        <f t="array" ref="J14160">_xlfn.IFS(I14160&lt;=3,"small",I14160&lt;=6,"Medium",I14160&lt;=9,"Large")</f>
        <v>small</v>
      </c>
      <c r="K14160" s="36">
        <v>45524</v>
      </c>
      <c r="L14160" s="36">
        <v>45528</v>
      </c>
      <c r="M14160" t="s">
        <v>603</v>
      </c>
      <c r="N14160" t="s">
        <v>604</v>
      </c>
      <c r="O14160" s="37" t="str">
        <f t="shared" si="1108"/>
        <v>Digital Payment</v>
      </c>
      <c r="P14160">
        <v>102.09</v>
      </c>
      <c r="Q14160" s="37" t="str">
        <f>IF(P14160&gt;500,"High","low")</f>
        <v>low</v>
      </c>
      <c r="R14160" s="37" t="str">
        <f t="shared" si="1109"/>
        <v>AVERAGE</v>
      </c>
      <c r="S14160" t="s">
        <v>609</v>
      </c>
    </row>
    <row r="14161" spans="1:19" x14ac:dyDescent="0.2">
      <c r="A14161" t="s">
        <v>14772</v>
      </c>
      <c r="B14161" t="s">
        <v>90</v>
      </c>
      <c r="C14161" t="s">
        <v>607</v>
      </c>
      <c r="D14161">
        <v>4423.72</v>
      </c>
      <c r="E14161" s="37" t="str">
        <f t="shared" si="1105"/>
        <v xml:space="preserve"> </v>
      </c>
      <c r="F14161">
        <v>0.32</v>
      </c>
      <c r="G14161" s="37" t="str">
        <f t="shared" si="1106"/>
        <v>Heavy Discount</v>
      </c>
      <c r="H14161" s="37" t="str">
        <f t="shared" si="1107"/>
        <v>Medium</v>
      </c>
      <c r="I14161">
        <v>9</v>
      </c>
      <c r="J14161" t="str" cm="1">
        <f t="array" ref="J14161">_xlfn.IFS(I14161&lt;=3,"small",I14161&lt;=6,"Medium",I14161&lt;=9,"Large")</f>
        <v>Large</v>
      </c>
      <c r="K14161" s="36">
        <v>45442</v>
      </c>
      <c r="L14161" s="36">
        <v>45447</v>
      </c>
      <c r="M14161" t="s">
        <v>598</v>
      </c>
      <c r="N14161" t="s">
        <v>604</v>
      </c>
      <c r="O14161" s="37" t="str">
        <f t="shared" si="1108"/>
        <v>Digital Payment</v>
      </c>
      <c r="P14161">
        <v>351.52</v>
      </c>
      <c r="Q14161" s="37" t="str">
        <f>IF(P14161&gt;500,"High","low")</f>
        <v>low</v>
      </c>
      <c r="R14161" s="37" t="str">
        <f t="shared" si="1109"/>
        <v>AVERAGE</v>
      </c>
      <c r="S14161" t="s">
        <v>609</v>
      </c>
    </row>
    <row r="14162" spans="1:19" x14ac:dyDescent="0.2">
      <c r="A14162" t="s">
        <v>14773</v>
      </c>
      <c r="B14162" t="s">
        <v>90</v>
      </c>
      <c r="C14162" t="s">
        <v>614</v>
      </c>
      <c r="D14162">
        <v>501.79</v>
      </c>
      <c r="E14162" s="37" t="str">
        <f t="shared" si="1105"/>
        <v xml:space="preserve"> </v>
      </c>
      <c r="F14162">
        <v>0.24</v>
      </c>
      <c r="G14162" s="37" t="str">
        <f t="shared" si="1106"/>
        <v>Normal Discount</v>
      </c>
      <c r="H14162" s="37" t="str">
        <f t="shared" si="1107"/>
        <v>Medium</v>
      </c>
      <c r="I14162">
        <v>9</v>
      </c>
      <c r="J14162" t="str" cm="1">
        <f t="array" ref="J14162">_xlfn.IFS(I14162&lt;=3,"small",I14162&lt;=6,"Medium",I14162&lt;=9,"Large")</f>
        <v>Large</v>
      </c>
      <c r="K14162" s="36">
        <v>45548</v>
      </c>
      <c r="L14162" s="36">
        <v>45554</v>
      </c>
      <c r="M14162" t="s">
        <v>603</v>
      </c>
      <c r="N14162" t="s">
        <v>599</v>
      </c>
      <c r="O14162" s="37" t="str">
        <f t="shared" si="1108"/>
        <v>Digital Payment</v>
      </c>
      <c r="P14162">
        <v>40.630000000000003</v>
      </c>
      <c r="Q14162" s="37" t="str">
        <f>IF(P14162&gt;500,"High","low")</f>
        <v>low</v>
      </c>
      <c r="R14162" s="37" t="str">
        <f t="shared" si="1109"/>
        <v>AVERAGE</v>
      </c>
      <c r="S14162" t="s">
        <v>615</v>
      </c>
    </row>
    <row r="14163" spans="1:19" x14ac:dyDescent="0.2">
      <c r="A14163" t="s">
        <v>14774</v>
      </c>
      <c r="B14163" t="s">
        <v>67</v>
      </c>
      <c r="C14163" t="s">
        <v>617</v>
      </c>
      <c r="D14163">
        <v>1914.72</v>
      </c>
      <c r="E14163" s="37" t="str">
        <f t="shared" si="1105"/>
        <v xml:space="preserve"> </v>
      </c>
      <c r="F14163">
        <v>0.2</v>
      </c>
      <c r="G14163" s="37" t="str">
        <f t="shared" si="1106"/>
        <v>Normal Discount</v>
      </c>
      <c r="H14163" s="37" t="str">
        <f t="shared" si="1107"/>
        <v>Medium</v>
      </c>
      <c r="I14163">
        <v>2</v>
      </c>
      <c r="J14163" t="str" cm="1">
        <f t="array" ref="J14163">_xlfn.IFS(I14163&lt;=3,"small",I14163&lt;=6,"Medium",I14163&lt;=9,"Large")</f>
        <v>small</v>
      </c>
      <c r="K14163" s="36">
        <v>45398</v>
      </c>
      <c r="L14163" s="36">
        <v>45404</v>
      </c>
      <c r="M14163" t="s">
        <v>603</v>
      </c>
      <c r="N14163" t="s">
        <v>599</v>
      </c>
      <c r="O14163" s="37" t="str">
        <f t="shared" si="1108"/>
        <v>Digital Payment</v>
      </c>
      <c r="P14163">
        <v>480.02</v>
      </c>
      <c r="Q14163" s="37" t="str">
        <f>IF(P14163&gt;500,"High","low")</f>
        <v>low</v>
      </c>
      <c r="R14163" s="37" t="str">
        <f t="shared" si="1109"/>
        <v>AVERAGE</v>
      </c>
      <c r="S14163" t="s">
        <v>628</v>
      </c>
    </row>
    <row r="14164" spans="1:19" x14ac:dyDescent="0.2">
      <c r="A14164" t="s">
        <v>14775</v>
      </c>
      <c r="B14164" t="s">
        <v>67</v>
      </c>
      <c r="C14164" t="s">
        <v>607</v>
      </c>
      <c r="D14164">
        <v>1664.18</v>
      </c>
      <c r="E14164" s="37" t="str">
        <f t="shared" si="1105"/>
        <v xml:space="preserve"> </v>
      </c>
      <c r="F14164">
        <v>0.45</v>
      </c>
      <c r="G14164" s="37" t="str">
        <f t="shared" si="1106"/>
        <v>Heavy Discount</v>
      </c>
      <c r="H14164" s="37" t="str">
        <f t="shared" si="1107"/>
        <v>High</v>
      </c>
      <c r="I14164">
        <v>4</v>
      </c>
      <c r="J14164" t="str" cm="1">
        <f t="array" ref="J14164">_xlfn.IFS(I14164&lt;=3,"small",I14164&lt;=6,"Medium",I14164&lt;=9,"Large")</f>
        <v>Medium</v>
      </c>
      <c r="K14164" s="36">
        <v>44940</v>
      </c>
      <c r="L14164" s="36">
        <v>44944</v>
      </c>
      <c r="M14164" t="s">
        <v>612</v>
      </c>
      <c r="N14164" t="s">
        <v>604</v>
      </c>
      <c r="O14164" s="37" t="str">
        <f t="shared" si="1108"/>
        <v>Digital Payment</v>
      </c>
      <c r="P14164">
        <v>417.32</v>
      </c>
      <c r="Q14164" s="37" t="str">
        <f>IF(P14164&gt;500,"High","low")</f>
        <v>low</v>
      </c>
      <c r="R14164" s="37" t="str">
        <f t="shared" si="1109"/>
        <v>AVERAGE</v>
      </c>
      <c r="S14164" t="s">
        <v>605</v>
      </c>
    </row>
    <row r="14165" spans="1:19" x14ac:dyDescent="0.2">
      <c r="A14165" t="s">
        <v>14776</v>
      </c>
      <c r="B14165" t="s">
        <v>67</v>
      </c>
      <c r="C14165" t="s">
        <v>597</v>
      </c>
      <c r="D14165">
        <v>4796.3</v>
      </c>
      <c r="E14165" s="37" t="str">
        <f t="shared" si="1105"/>
        <v>Excellent Order</v>
      </c>
      <c r="F14165">
        <v>0.47</v>
      </c>
      <c r="G14165" s="37" t="str">
        <f t="shared" si="1106"/>
        <v>Heavy Discount</v>
      </c>
      <c r="H14165" s="37" t="str">
        <f t="shared" si="1107"/>
        <v>High</v>
      </c>
      <c r="I14165">
        <v>1</v>
      </c>
      <c r="J14165" t="str" cm="1">
        <f t="array" ref="J14165">_xlfn.IFS(I14165&lt;=3,"small",I14165&lt;=6,"Medium",I14165&lt;=9,"Large")</f>
        <v>small</v>
      </c>
      <c r="K14165" s="36">
        <v>45583</v>
      </c>
      <c r="L14165" s="36">
        <v>45589</v>
      </c>
      <c r="M14165" t="s">
        <v>598</v>
      </c>
      <c r="N14165" t="s">
        <v>604</v>
      </c>
      <c r="O14165" s="37" t="str">
        <f t="shared" si="1108"/>
        <v>Digital Payment</v>
      </c>
      <c r="P14165">
        <v>1383.28</v>
      </c>
      <c r="Q14165" s="37" t="str">
        <f>IF(P14165&gt;500,"High","low")</f>
        <v>High</v>
      </c>
      <c r="R14165" s="37" t="str">
        <f t="shared" si="1109"/>
        <v>Excellent</v>
      </c>
      <c r="S14165" t="s">
        <v>605</v>
      </c>
    </row>
    <row r="14166" spans="1:19" x14ac:dyDescent="0.2">
      <c r="A14166" t="s">
        <v>14777</v>
      </c>
      <c r="B14166" t="s">
        <v>90</v>
      </c>
      <c r="C14166" t="s">
        <v>597</v>
      </c>
      <c r="D14166">
        <v>678.77</v>
      </c>
      <c r="E14166" s="37" t="str">
        <f t="shared" si="1105"/>
        <v xml:space="preserve"> </v>
      </c>
      <c r="F14166">
        <v>0.34</v>
      </c>
      <c r="G14166" s="37" t="str">
        <f t="shared" si="1106"/>
        <v>Heavy Discount</v>
      </c>
      <c r="H14166" s="37" t="str">
        <f t="shared" si="1107"/>
        <v>Medium</v>
      </c>
      <c r="I14166">
        <v>6</v>
      </c>
      <c r="J14166" t="str" cm="1">
        <f t="array" ref="J14166">_xlfn.IFS(I14166&lt;=3,"small",I14166&lt;=6,"Medium",I14166&lt;=9,"Large")</f>
        <v>Medium</v>
      </c>
      <c r="K14166" s="36">
        <v>45068</v>
      </c>
      <c r="L14166" s="36">
        <v>45073</v>
      </c>
      <c r="M14166" t="s">
        <v>603</v>
      </c>
      <c r="N14166" t="s">
        <v>604</v>
      </c>
      <c r="O14166" s="37" t="str">
        <f t="shared" si="1108"/>
        <v>Digital Payment</v>
      </c>
      <c r="P14166">
        <v>84.41</v>
      </c>
      <c r="Q14166" s="37" t="str">
        <f>IF(P14166&gt;500,"High","low")</f>
        <v>low</v>
      </c>
      <c r="R14166" s="37" t="str">
        <f t="shared" si="1109"/>
        <v>AVERAGE</v>
      </c>
      <c r="S14166" t="s">
        <v>605</v>
      </c>
    </row>
    <row r="14167" spans="1:19" x14ac:dyDescent="0.2">
      <c r="A14167" t="s">
        <v>14778</v>
      </c>
      <c r="B14167" t="s">
        <v>75</v>
      </c>
      <c r="C14167" t="s">
        <v>602</v>
      </c>
      <c r="D14167">
        <v>4461.7299999999996</v>
      </c>
      <c r="E14167" s="37" t="str">
        <f t="shared" si="1105"/>
        <v>Excellent Order</v>
      </c>
      <c r="F14167">
        <v>0.25</v>
      </c>
      <c r="G14167" s="37" t="str">
        <f t="shared" si="1106"/>
        <v>Normal Discount</v>
      </c>
      <c r="H14167" s="37" t="str">
        <f t="shared" si="1107"/>
        <v>Medium</v>
      </c>
      <c r="I14167">
        <v>1</v>
      </c>
      <c r="J14167" t="str" cm="1">
        <f t="array" ref="J14167">_xlfn.IFS(I14167&lt;=3,"small",I14167&lt;=6,"Medium",I14167&lt;=9,"Large")</f>
        <v>small</v>
      </c>
      <c r="K14167" s="36">
        <v>45413</v>
      </c>
      <c r="L14167" s="36">
        <v>45419</v>
      </c>
      <c r="M14167" t="s">
        <v>598</v>
      </c>
      <c r="N14167" t="s">
        <v>608</v>
      </c>
      <c r="O14167" s="37" t="str">
        <f t="shared" si="1108"/>
        <v>Cash Payment</v>
      </c>
      <c r="P14167">
        <v>862.53</v>
      </c>
      <c r="Q14167" s="37" t="str">
        <f>IF(P14167&gt;500,"High","low")</f>
        <v>High</v>
      </c>
      <c r="R14167" s="37" t="str">
        <f t="shared" si="1109"/>
        <v>Good</v>
      </c>
      <c r="S14167" t="s">
        <v>628</v>
      </c>
    </row>
    <row r="14168" spans="1:19" x14ac:dyDescent="0.2">
      <c r="A14168" t="s">
        <v>14779</v>
      </c>
      <c r="B14168" t="s">
        <v>67</v>
      </c>
      <c r="C14168" t="s">
        <v>602</v>
      </c>
      <c r="D14168">
        <v>2336.5300000000002</v>
      </c>
      <c r="E14168" s="37" t="str">
        <f t="shared" si="1105"/>
        <v xml:space="preserve"> </v>
      </c>
      <c r="F14168">
        <v>0.03</v>
      </c>
      <c r="G14168" s="37" t="str">
        <f t="shared" si="1106"/>
        <v>Normal Discount</v>
      </c>
      <c r="H14168" s="37" t="str">
        <f t="shared" si="1107"/>
        <v>Low</v>
      </c>
      <c r="I14168">
        <v>7</v>
      </c>
      <c r="J14168" t="str" cm="1">
        <f t="array" ref="J14168">_xlfn.IFS(I14168&lt;=3,"small",I14168&lt;=6,"Medium",I14168&lt;=9,"Large")</f>
        <v>Large</v>
      </c>
      <c r="K14168" s="36">
        <v>44967</v>
      </c>
      <c r="L14168" s="36">
        <v>44969</v>
      </c>
      <c r="M14168" t="s">
        <v>598</v>
      </c>
      <c r="N14168" t="s">
        <v>599</v>
      </c>
      <c r="O14168" s="37" t="str">
        <f t="shared" si="1108"/>
        <v>Digital Payment</v>
      </c>
      <c r="P14168">
        <v>430.59</v>
      </c>
      <c r="Q14168" s="37" t="str">
        <f>IF(P14168&gt;500,"High","low")</f>
        <v>low</v>
      </c>
      <c r="R14168" s="37" t="str">
        <f t="shared" si="1109"/>
        <v>AVERAGE</v>
      </c>
      <c r="S14168" t="s">
        <v>615</v>
      </c>
    </row>
    <row r="14169" spans="1:19" x14ac:dyDescent="0.2">
      <c r="A14169" t="s">
        <v>14780</v>
      </c>
      <c r="B14169" t="s">
        <v>83</v>
      </c>
      <c r="C14169" t="s">
        <v>602</v>
      </c>
      <c r="D14169">
        <v>332.74</v>
      </c>
      <c r="E14169" s="37" t="str">
        <f t="shared" si="1105"/>
        <v xml:space="preserve"> </v>
      </c>
      <c r="F14169">
        <v>0.15</v>
      </c>
      <c r="G14169" s="37" t="str">
        <f t="shared" si="1106"/>
        <v>Normal Discount</v>
      </c>
      <c r="H14169" s="37" t="str">
        <f t="shared" si="1107"/>
        <v>Low</v>
      </c>
      <c r="I14169">
        <v>9</v>
      </c>
      <c r="J14169" t="str" cm="1">
        <f t="array" ref="J14169">_xlfn.IFS(I14169&lt;=3,"small",I14169&lt;=6,"Medium",I14169&lt;=9,"Large")</f>
        <v>Large</v>
      </c>
      <c r="K14169" s="36">
        <v>45209</v>
      </c>
      <c r="L14169" s="36">
        <v>45210</v>
      </c>
      <c r="M14169" t="s">
        <v>603</v>
      </c>
      <c r="N14169" t="s">
        <v>604</v>
      </c>
      <c r="O14169" s="37" t="str">
        <f t="shared" si="1108"/>
        <v>Digital Payment</v>
      </c>
      <c r="P14169">
        <v>25.13</v>
      </c>
      <c r="Q14169" s="37" t="str">
        <f>IF(P14169&gt;500,"High","low")</f>
        <v>low</v>
      </c>
      <c r="R14169" s="37" t="str">
        <f t="shared" si="1109"/>
        <v>AVERAGE</v>
      </c>
      <c r="S14169" t="s">
        <v>609</v>
      </c>
    </row>
    <row r="14170" spans="1:19" x14ac:dyDescent="0.2">
      <c r="A14170" t="s">
        <v>14781</v>
      </c>
      <c r="B14170" t="s">
        <v>67</v>
      </c>
      <c r="C14170" t="s">
        <v>617</v>
      </c>
      <c r="D14170">
        <v>3671.45</v>
      </c>
      <c r="E14170" s="37" t="str">
        <f t="shared" si="1105"/>
        <v xml:space="preserve"> </v>
      </c>
      <c r="F14170">
        <v>0.14000000000000001</v>
      </c>
      <c r="G14170" s="37" t="str">
        <f t="shared" si="1106"/>
        <v>Normal Discount</v>
      </c>
      <c r="H14170" s="37" t="str">
        <f t="shared" si="1107"/>
        <v>Low</v>
      </c>
      <c r="I14170">
        <v>9</v>
      </c>
      <c r="J14170" t="str" cm="1">
        <f t="array" ref="J14170">_xlfn.IFS(I14170&lt;=3,"small",I14170&lt;=6,"Medium",I14170&lt;=9,"Large")</f>
        <v>Large</v>
      </c>
      <c r="K14170" s="36">
        <v>45267</v>
      </c>
      <c r="L14170" s="36">
        <v>45268</v>
      </c>
      <c r="M14170" t="s">
        <v>598</v>
      </c>
      <c r="N14170" t="s">
        <v>604</v>
      </c>
      <c r="O14170" s="37" t="str">
        <f t="shared" si="1108"/>
        <v>Digital Payment</v>
      </c>
      <c r="P14170">
        <v>664.85</v>
      </c>
      <c r="Q14170" s="37" t="str">
        <f>IF(P14170&gt;500,"High","low")</f>
        <v>High</v>
      </c>
      <c r="R14170" s="37" t="str">
        <f t="shared" si="1109"/>
        <v>Good</v>
      </c>
      <c r="S14170" t="s">
        <v>609</v>
      </c>
    </row>
    <row r="14171" spans="1:19" x14ac:dyDescent="0.2">
      <c r="A14171" t="s">
        <v>14782</v>
      </c>
      <c r="B14171" t="s">
        <v>90</v>
      </c>
      <c r="C14171" t="s">
        <v>617</v>
      </c>
      <c r="D14171">
        <v>594.30999999999995</v>
      </c>
      <c r="E14171" s="37" t="str">
        <f t="shared" si="1105"/>
        <v xml:space="preserve"> </v>
      </c>
      <c r="F14171">
        <v>0.03</v>
      </c>
      <c r="G14171" s="37" t="str">
        <f t="shared" si="1106"/>
        <v>Normal Discount</v>
      </c>
      <c r="H14171" s="37" t="str">
        <f t="shared" si="1107"/>
        <v>Low</v>
      </c>
      <c r="I14171">
        <v>2</v>
      </c>
      <c r="J14171" t="str" cm="1">
        <f t="array" ref="J14171">_xlfn.IFS(I14171&lt;=3,"small",I14171&lt;=6,"Medium",I14171&lt;=9,"Large")</f>
        <v>small</v>
      </c>
      <c r="K14171" s="36">
        <v>44966</v>
      </c>
      <c r="L14171" s="36">
        <v>44969</v>
      </c>
      <c r="M14171" t="s">
        <v>612</v>
      </c>
      <c r="N14171" t="s">
        <v>604</v>
      </c>
      <c r="O14171" s="37" t="str">
        <f t="shared" si="1108"/>
        <v>Digital Payment</v>
      </c>
      <c r="P14171">
        <v>61.21</v>
      </c>
      <c r="Q14171" s="37" t="str">
        <f>IF(P14171&gt;500,"High","low")</f>
        <v>low</v>
      </c>
      <c r="R14171" s="37" t="str">
        <f t="shared" si="1109"/>
        <v>AVERAGE</v>
      </c>
      <c r="S14171" t="s">
        <v>605</v>
      </c>
    </row>
    <row r="14172" spans="1:19" x14ac:dyDescent="0.2">
      <c r="A14172" t="s">
        <v>14783</v>
      </c>
      <c r="B14172" t="s">
        <v>67</v>
      </c>
      <c r="C14172" t="s">
        <v>607</v>
      </c>
      <c r="D14172">
        <v>1261.32</v>
      </c>
      <c r="E14172" s="37" t="str">
        <f t="shared" si="1105"/>
        <v xml:space="preserve"> </v>
      </c>
      <c r="F14172">
        <v>0.42</v>
      </c>
      <c r="G14172" s="37" t="str">
        <f t="shared" si="1106"/>
        <v>Heavy Discount</v>
      </c>
      <c r="H14172" s="37" t="str">
        <f t="shared" si="1107"/>
        <v>High</v>
      </c>
      <c r="I14172">
        <v>8</v>
      </c>
      <c r="J14172" t="str" cm="1">
        <f t="array" ref="J14172">_xlfn.IFS(I14172&lt;=3,"small",I14172&lt;=6,"Medium",I14172&lt;=9,"Large")</f>
        <v>Large</v>
      </c>
      <c r="K14172" s="36">
        <v>44961</v>
      </c>
      <c r="L14172" s="36">
        <v>44963</v>
      </c>
      <c r="M14172" t="s">
        <v>598</v>
      </c>
      <c r="N14172" t="s">
        <v>599</v>
      </c>
      <c r="O14172" s="37" t="str">
        <f t="shared" si="1108"/>
        <v>Digital Payment</v>
      </c>
      <c r="P14172">
        <v>139.84</v>
      </c>
      <c r="Q14172" s="37" t="str">
        <f>IF(P14172&gt;500,"High","low")</f>
        <v>low</v>
      </c>
      <c r="R14172" s="37" t="str">
        <f t="shared" si="1109"/>
        <v>AVERAGE</v>
      </c>
      <c r="S14172" t="s">
        <v>628</v>
      </c>
    </row>
    <row r="14173" spans="1:19" x14ac:dyDescent="0.2">
      <c r="A14173" t="s">
        <v>14784</v>
      </c>
      <c r="B14173" t="s">
        <v>75</v>
      </c>
      <c r="C14173" t="s">
        <v>617</v>
      </c>
      <c r="D14173">
        <v>4018.67</v>
      </c>
      <c r="E14173" s="37" t="str">
        <f t="shared" si="1105"/>
        <v>Excellent Order</v>
      </c>
      <c r="F14173">
        <v>0.43</v>
      </c>
      <c r="G14173" s="37" t="str">
        <f t="shared" si="1106"/>
        <v>Heavy Discount</v>
      </c>
      <c r="H14173" s="37" t="str">
        <f t="shared" si="1107"/>
        <v>High</v>
      </c>
      <c r="I14173">
        <v>3</v>
      </c>
      <c r="J14173" t="str" cm="1">
        <f t="array" ref="J14173">_xlfn.IFS(I14173&lt;=3,"small",I14173&lt;=6,"Medium",I14173&lt;=9,"Large")</f>
        <v>small</v>
      </c>
      <c r="K14173" s="36">
        <v>45400</v>
      </c>
      <c r="L14173" s="36">
        <v>45401</v>
      </c>
      <c r="M14173" t="s">
        <v>612</v>
      </c>
      <c r="N14173" t="s">
        <v>608</v>
      </c>
      <c r="O14173" s="37" t="str">
        <f t="shared" si="1108"/>
        <v>Cash Payment</v>
      </c>
      <c r="P14173">
        <v>1025.8599999999999</v>
      </c>
      <c r="Q14173" s="37" t="str">
        <f>IF(P14173&gt;500,"High","low")</f>
        <v>High</v>
      </c>
      <c r="R14173" s="37" t="str">
        <f t="shared" si="1109"/>
        <v>Excellent</v>
      </c>
      <c r="S14173" t="s">
        <v>600</v>
      </c>
    </row>
    <row r="14174" spans="1:19" x14ac:dyDescent="0.2">
      <c r="A14174" t="s">
        <v>14785</v>
      </c>
      <c r="B14174" t="s">
        <v>67</v>
      </c>
      <c r="C14174" t="s">
        <v>602</v>
      </c>
      <c r="D14174">
        <v>858.19</v>
      </c>
      <c r="E14174" s="37" t="str">
        <f t="shared" si="1105"/>
        <v xml:space="preserve"> </v>
      </c>
      <c r="F14174">
        <v>0.46</v>
      </c>
      <c r="G14174" s="37" t="str">
        <f t="shared" si="1106"/>
        <v>Heavy Discount</v>
      </c>
      <c r="H14174" s="37" t="str">
        <f t="shared" si="1107"/>
        <v>High</v>
      </c>
      <c r="I14174">
        <v>5</v>
      </c>
      <c r="J14174" t="str" cm="1">
        <f t="array" ref="J14174">_xlfn.IFS(I14174&lt;=3,"small",I14174&lt;=6,"Medium",I14174&lt;=9,"Large")</f>
        <v>Medium</v>
      </c>
      <c r="K14174" s="36">
        <v>45021</v>
      </c>
      <c r="L14174" s="36">
        <v>45023</v>
      </c>
      <c r="M14174" t="s">
        <v>603</v>
      </c>
      <c r="N14174" t="s">
        <v>608</v>
      </c>
      <c r="O14174" s="37" t="str">
        <f t="shared" si="1108"/>
        <v>Cash Payment</v>
      </c>
      <c r="P14174">
        <v>106.93</v>
      </c>
      <c r="Q14174" s="37" t="str">
        <f>IF(P14174&gt;500,"High","low")</f>
        <v>low</v>
      </c>
      <c r="R14174" s="37" t="str">
        <f t="shared" si="1109"/>
        <v>AVERAGE</v>
      </c>
      <c r="S14174" t="s">
        <v>605</v>
      </c>
    </row>
    <row r="14175" spans="1:19" x14ac:dyDescent="0.2">
      <c r="A14175" t="s">
        <v>14786</v>
      </c>
      <c r="B14175" t="s">
        <v>90</v>
      </c>
      <c r="C14175" t="s">
        <v>607</v>
      </c>
      <c r="D14175">
        <v>1694.8</v>
      </c>
      <c r="E14175" s="37" t="str">
        <f t="shared" si="1105"/>
        <v xml:space="preserve"> </v>
      </c>
      <c r="F14175">
        <v>0.37</v>
      </c>
      <c r="G14175" s="37" t="str">
        <f t="shared" si="1106"/>
        <v>Heavy Discount</v>
      </c>
      <c r="H14175" s="37" t="str">
        <f t="shared" si="1107"/>
        <v>Medium</v>
      </c>
      <c r="I14175">
        <v>4</v>
      </c>
      <c r="J14175" t="str" cm="1">
        <f t="array" ref="J14175">_xlfn.IFS(I14175&lt;=3,"small",I14175&lt;=6,"Medium",I14175&lt;=9,"Large")</f>
        <v>Medium</v>
      </c>
      <c r="K14175" s="36">
        <v>45625</v>
      </c>
      <c r="L14175" s="36">
        <v>45629</v>
      </c>
      <c r="M14175" t="s">
        <v>598</v>
      </c>
      <c r="N14175" t="s">
        <v>599</v>
      </c>
      <c r="O14175" s="37" t="str">
        <f t="shared" si="1108"/>
        <v>Digital Payment</v>
      </c>
      <c r="P14175">
        <v>414.98</v>
      </c>
      <c r="Q14175" s="37" t="str">
        <f>IF(P14175&gt;500,"High","low")</f>
        <v>low</v>
      </c>
      <c r="R14175" s="37" t="str">
        <f t="shared" si="1109"/>
        <v>AVERAGE</v>
      </c>
      <c r="S14175" t="s">
        <v>620</v>
      </c>
    </row>
    <row r="14176" spans="1:19" x14ac:dyDescent="0.2">
      <c r="A14176" t="s">
        <v>14787</v>
      </c>
      <c r="B14176" t="s">
        <v>90</v>
      </c>
      <c r="C14176" t="s">
        <v>607</v>
      </c>
      <c r="D14176">
        <v>1868.89</v>
      </c>
      <c r="E14176" s="37" t="str">
        <f t="shared" si="1105"/>
        <v xml:space="preserve"> </v>
      </c>
      <c r="F14176">
        <v>0.36</v>
      </c>
      <c r="G14176" s="37" t="str">
        <f t="shared" si="1106"/>
        <v>Heavy Discount</v>
      </c>
      <c r="H14176" s="37" t="str">
        <f t="shared" si="1107"/>
        <v>Medium</v>
      </c>
      <c r="I14176">
        <v>6</v>
      </c>
      <c r="J14176" t="str" cm="1">
        <f t="array" ref="J14176">_xlfn.IFS(I14176&lt;=3,"small",I14176&lt;=6,"Medium",I14176&lt;=9,"Large")</f>
        <v>Medium</v>
      </c>
      <c r="K14176" s="36">
        <v>45615</v>
      </c>
      <c r="L14176" s="36">
        <v>45618</v>
      </c>
      <c r="M14176" t="s">
        <v>603</v>
      </c>
      <c r="N14176" t="s">
        <v>608</v>
      </c>
      <c r="O14176" s="37" t="str">
        <f t="shared" si="1108"/>
        <v>Cash Payment</v>
      </c>
      <c r="P14176">
        <v>122.98</v>
      </c>
      <c r="Q14176" s="37" t="str">
        <f>IF(P14176&gt;500,"High","low")</f>
        <v>low</v>
      </c>
      <c r="R14176" s="37" t="str">
        <f t="shared" si="1109"/>
        <v>AVERAGE</v>
      </c>
      <c r="S14176" t="s">
        <v>609</v>
      </c>
    </row>
    <row r="14177" spans="1:19" x14ac:dyDescent="0.2">
      <c r="A14177" t="s">
        <v>14788</v>
      </c>
      <c r="B14177" t="s">
        <v>83</v>
      </c>
      <c r="C14177" t="s">
        <v>614</v>
      </c>
      <c r="D14177">
        <v>2985.13</v>
      </c>
      <c r="E14177" s="37" t="str">
        <f t="shared" si="1105"/>
        <v xml:space="preserve"> </v>
      </c>
      <c r="F14177">
        <v>0.24</v>
      </c>
      <c r="G14177" s="37" t="str">
        <f t="shared" si="1106"/>
        <v>Normal Discount</v>
      </c>
      <c r="H14177" s="37" t="str">
        <f t="shared" si="1107"/>
        <v>Medium</v>
      </c>
      <c r="I14177">
        <v>7</v>
      </c>
      <c r="J14177" t="str" cm="1">
        <f t="array" ref="J14177">_xlfn.IFS(I14177&lt;=3,"small",I14177&lt;=6,"Medium",I14177&lt;=9,"Large")</f>
        <v>Large</v>
      </c>
      <c r="K14177" s="36">
        <v>45629</v>
      </c>
      <c r="L14177" s="36">
        <v>45635</v>
      </c>
      <c r="M14177" t="s">
        <v>603</v>
      </c>
      <c r="N14177" t="s">
        <v>604</v>
      </c>
      <c r="O14177" s="37" t="str">
        <f t="shared" si="1108"/>
        <v>Digital Payment</v>
      </c>
      <c r="P14177">
        <v>553.32000000000005</v>
      </c>
      <c r="Q14177" s="37" t="str">
        <f>IF(P14177&gt;500,"High","low")</f>
        <v>High</v>
      </c>
      <c r="R14177" s="37" t="str">
        <f t="shared" si="1109"/>
        <v>Good</v>
      </c>
      <c r="S14177" t="s">
        <v>615</v>
      </c>
    </row>
    <row r="14178" spans="1:19" x14ac:dyDescent="0.2">
      <c r="A14178" t="s">
        <v>14789</v>
      </c>
      <c r="B14178" t="s">
        <v>90</v>
      </c>
      <c r="C14178" t="s">
        <v>617</v>
      </c>
      <c r="D14178">
        <v>3970.67</v>
      </c>
      <c r="E14178" s="37" t="str">
        <f t="shared" si="1105"/>
        <v xml:space="preserve"> </v>
      </c>
      <c r="F14178">
        <v>0.43</v>
      </c>
      <c r="G14178" s="37" t="str">
        <f t="shared" si="1106"/>
        <v>Heavy Discount</v>
      </c>
      <c r="H14178" s="37" t="str">
        <f t="shared" si="1107"/>
        <v>High</v>
      </c>
      <c r="I14178">
        <v>9</v>
      </c>
      <c r="J14178" t="str" cm="1">
        <f t="array" ref="J14178">_xlfn.IFS(I14178&lt;=3,"small",I14178&lt;=6,"Medium",I14178&lt;=9,"Large")</f>
        <v>Large</v>
      </c>
      <c r="K14178" s="36">
        <v>44937</v>
      </c>
      <c r="L14178" s="36">
        <v>44943</v>
      </c>
      <c r="M14178" t="s">
        <v>603</v>
      </c>
      <c r="N14178" t="s">
        <v>604</v>
      </c>
      <c r="O14178" s="37" t="str">
        <f t="shared" si="1108"/>
        <v>Digital Payment</v>
      </c>
      <c r="P14178">
        <v>840.15</v>
      </c>
      <c r="Q14178" s="37" t="str">
        <f>IF(P14178&gt;500,"High","low")</f>
        <v>High</v>
      </c>
      <c r="R14178" s="37" t="str">
        <f t="shared" si="1109"/>
        <v>Good</v>
      </c>
      <c r="S14178" t="s">
        <v>628</v>
      </c>
    </row>
    <row r="14179" spans="1:19" x14ac:dyDescent="0.2">
      <c r="A14179" t="s">
        <v>14790</v>
      </c>
      <c r="B14179" t="s">
        <v>83</v>
      </c>
      <c r="C14179" t="s">
        <v>597</v>
      </c>
      <c r="D14179">
        <v>1230.98</v>
      </c>
      <c r="E14179" s="37" t="str">
        <f t="shared" si="1105"/>
        <v xml:space="preserve"> </v>
      </c>
      <c r="F14179">
        <v>0.26</v>
      </c>
      <c r="G14179" s="37" t="str">
        <f t="shared" si="1106"/>
        <v>Normal Discount</v>
      </c>
      <c r="H14179" s="37" t="str">
        <f t="shared" si="1107"/>
        <v>Medium</v>
      </c>
      <c r="I14179">
        <v>5</v>
      </c>
      <c r="J14179" t="str" cm="1">
        <f t="array" ref="J14179">_xlfn.IFS(I14179&lt;=3,"small",I14179&lt;=6,"Medium",I14179&lt;=9,"Large")</f>
        <v>Medium</v>
      </c>
      <c r="K14179" s="36">
        <v>45176</v>
      </c>
      <c r="L14179" s="36">
        <v>45183</v>
      </c>
      <c r="M14179" t="s">
        <v>603</v>
      </c>
      <c r="N14179" t="s">
        <v>604</v>
      </c>
      <c r="O14179" s="37" t="str">
        <f t="shared" si="1108"/>
        <v>Digital Payment</v>
      </c>
      <c r="P14179">
        <v>303.95999999999998</v>
      </c>
      <c r="Q14179" s="37" t="str">
        <f>IF(P14179&gt;500,"High","low")</f>
        <v>low</v>
      </c>
      <c r="R14179" s="37" t="str">
        <f t="shared" si="1109"/>
        <v>AVERAGE</v>
      </c>
      <c r="S14179" t="s">
        <v>600</v>
      </c>
    </row>
    <row r="14180" spans="1:19" x14ac:dyDescent="0.2">
      <c r="A14180" t="s">
        <v>14791</v>
      </c>
      <c r="B14180" t="s">
        <v>75</v>
      </c>
      <c r="C14180" t="s">
        <v>597</v>
      </c>
      <c r="D14180">
        <v>1108.3399999999999</v>
      </c>
      <c r="E14180" s="37" t="str">
        <f t="shared" si="1105"/>
        <v xml:space="preserve"> </v>
      </c>
      <c r="F14180">
        <v>0.01</v>
      </c>
      <c r="G14180" s="37" t="str">
        <f t="shared" si="1106"/>
        <v>Normal Discount</v>
      </c>
      <c r="H14180" s="37" t="str">
        <f t="shared" si="1107"/>
        <v>Low</v>
      </c>
      <c r="I14180">
        <v>2</v>
      </c>
      <c r="J14180" t="str" cm="1">
        <f t="array" ref="J14180">_xlfn.IFS(I14180&lt;=3,"small",I14180&lt;=6,"Medium",I14180&lt;=9,"Large")</f>
        <v>small</v>
      </c>
      <c r="K14180" s="36">
        <v>45518</v>
      </c>
      <c r="L14180" s="36">
        <v>45520</v>
      </c>
      <c r="M14180" t="s">
        <v>612</v>
      </c>
      <c r="N14180" t="s">
        <v>608</v>
      </c>
      <c r="O14180" s="37" t="str">
        <f t="shared" si="1108"/>
        <v>Cash Payment</v>
      </c>
      <c r="P14180">
        <v>267.25</v>
      </c>
      <c r="Q14180" s="37" t="str">
        <f>IF(P14180&gt;500,"High","low")</f>
        <v>low</v>
      </c>
      <c r="R14180" s="37" t="str">
        <f t="shared" si="1109"/>
        <v>AVERAGE</v>
      </c>
      <c r="S14180" t="s">
        <v>620</v>
      </c>
    </row>
    <row r="14181" spans="1:19" x14ac:dyDescent="0.2">
      <c r="A14181" t="s">
        <v>14792</v>
      </c>
      <c r="B14181" t="s">
        <v>90</v>
      </c>
      <c r="C14181" t="s">
        <v>614</v>
      </c>
      <c r="D14181">
        <v>1187.32</v>
      </c>
      <c r="E14181" s="37" t="str">
        <f t="shared" si="1105"/>
        <v xml:space="preserve"> </v>
      </c>
      <c r="F14181">
        <v>0.28999999999999998</v>
      </c>
      <c r="G14181" s="37" t="str">
        <f t="shared" si="1106"/>
        <v>Normal Discount</v>
      </c>
      <c r="H14181" s="37" t="str">
        <f t="shared" si="1107"/>
        <v>Medium</v>
      </c>
      <c r="I14181">
        <v>4</v>
      </c>
      <c r="J14181" t="str" cm="1">
        <f t="array" ref="J14181">_xlfn.IFS(I14181&lt;=3,"small",I14181&lt;=6,"Medium",I14181&lt;=9,"Large")</f>
        <v>Medium</v>
      </c>
      <c r="K14181" s="36">
        <v>45316</v>
      </c>
      <c r="L14181" s="36">
        <v>45323</v>
      </c>
      <c r="M14181" t="s">
        <v>598</v>
      </c>
      <c r="N14181" t="s">
        <v>608</v>
      </c>
      <c r="O14181" s="37" t="str">
        <f t="shared" si="1108"/>
        <v>Cash Payment</v>
      </c>
      <c r="P14181">
        <v>136.53</v>
      </c>
      <c r="Q14181" s="37" t="str">
        <f>IF(P14181&gt;500,"High","low")</f>
        <v>low</v>
      </c>
      <c r="R14181" s="37" t="str">
        <f t="shared" si="1109"/>
        <v>AVERAGE</v>
      </c>
      <c r="S14181" t="s">
        <v>615</v>
      </c>
    </row>
    <row r="14182" spans="1:19" x14ac:dyDescent="0.2">
      <c r="A14182" t="s">
        <v>14793</v>
      </c>
      <c r="B14182" t="s">
        <v>67</v>
      </c>
      <c r="C14182" t="s">
        <v>602</v>
      </c>
      <c r="D14182">
        <v>1969.9</v>
      </c>
      <c r="E14182" s="37" t="str">
        <f t="shared" si="1105"/>
        <v xml:space="preserve"> </v>
      </c>
      <c r="F14182">
        <v>0.2</v>
      </c>
      <c r="G14182" s="37" t="str">
        <f t="shared" si="1106"/>
        <v>Normal Discount</v>
      </c>
      <c r="H14182" s="37" t="str">
        <f t="shared" si="1107"/>
        <v>Medium</v>
      </c>
      <c r="I14182">
        <v>2</v>
      </c>
      <c r="J14182" t="str" cm="1">
        <f t="array" ref="J14182">_xlfn.IFS(I14182&lt;=3,"small",I14182&lt;=6,"Medium",I14182&lt;=9,"Large")</f>
        <v>small</v>
      </c>
      <c r="K14182" s="36">
        <v>45307</v>
      </c>
      <c r="L14182" s="36">
        <v>45311</v>
      </c>
      <c r="M14182" t="s">
        <v>603</v>
      </c>
      <c r="N14182" t="s">
        <v>599</v>
      </c>
      <c r="O14182" s="37" t="str">
        <f t="shared" si="1108"/>
        <v>Digital Payment</v>
      </c>
      <c r="P14182">
        <v>416.39</v>
      </c>
      <c r="Q14182" s="37" t="str">
        <f>IF(P14182&gt;500,"High","low")</f>
        <v>low</v>
      </c>
      <c r="R14182" s="37" t="str">
        <f t="shared" si="1109"/>
        <v>AVERAGE</v>
      </c>
      <c r="S14182" t="s">
        <v>600</v>
      </c>
    </row>
    <row r="14183" spans="1:19" x14ac:dyDescent="0.2">
      <c r="A14183" t="s">
        <v>14794</v>
      </c>
      <c r="B14183" t="s">
        <v>75</v>
      </c>
      <c r="C14183" t="s">
        <v>614</v>
      </c>
      <c r="D14183">
        <v>2722.01</v>
      </c>
      <c r="E14183" s="37" t="str">
        <f t="shared" si="1105"/>
        <v xml:space="preserve"> </v>
      </c>
      <c r="F14183">
        <v>0.26</v>
      </c>
      <c r="G14183" s="37" t="str">
        <f t="shared" si="1106"/>
        <v>Normal Discount</v>
      </c>
      <c r="H14183" s="37" t="str">
        <f t="shared" si="1107"/>
        <v>Medium</v>
      </c>
      <c r="I14183">
        <v>1</v>
      </c>
      <c r="J14183" t="str" cm="1">
        <f t="array" ref="J14183">_xlfn.IFS(I14183&lt;=3,"small",I14183&lt;=6,"Medium",I14183&lt;=9,"Large")</f>
        <v>small</v>
      </c>
      <c r="K14183" s="36">
        <v>45598</v>
      </c>
      <c r="L14183" s="36">
        <v>45605</v>
      </c>
      <c r="M14183" t="s">
        <v>612</v>
      </c>
      <c r="N14183" t="s">
        <v>599</v>
      </c>
      <c r="O14183" s="37" t="str">
        <f t="shared" si="1108"/>
        <v>Digital Payment</v>
      </c>
      <c r="P14183">
        <v>258.95999999999998</v>
      </c>
      <c r="Q14183" s="37" t="str">
        <f>IF(P14183&gt;500,"High","low")</f>
        <v>low</v>
      </c>
      <c r="R14183" s="37" t="str">
        <f t="shared" si="1109"/>
        <v>AVERAGE</v>
      </c>
      <c r="S14183" t="s">
        <v>609</v>
      </c>
    </row>
    <row r="14184" spans="1:19" x14ac:dyDescent="0.2">
      <c r="A14184" t="s">
        <v>14795</v>
      </c>
      <c r="B14184" t="s">
        <v>67</v>
      </c>
      <c r="C14184" t="s">
        <v>602</v>
      </c>
      <c r="D14184">
        <v>165.88</v>
      </c>
      <c r="E14184" s="37" t="str">
        <f t="shared" si="1105"/>
        <v xml:space="preserve"> </v>
      </c>
      <c r="F14184">
        <v>0.22</v>
      </c>
      <c r="G14184" s="37" t="str">
        <f t="shared" si="1106"/>
        <v>Normal Discount</v>
      </c>
      <c r="H14184" s="37" t="str">
        <f t="shared" si="1107"/>
        <v>Medium</v>
      </c>
      <c r="I14184">
        <v>2</v>
      </c>
      <c r="J14184" t="str" cm="1">
        <f t="array" ref="J14184">_xlfn.IFS(I14184&lt;=3,"small",I14184&lt;=6,"Medium",I14184&lt;=9,"Large")</f>
        <v>small</v>
      </c>
      <c r="K14184" s="36">
        <v>44947</v>
      </c>
      <c r="L14184" s="36">
        <v>44951</v>
      </c>
      <c r="M14184" t="s">
        <v>598</v>
      </c>
      <c r="N14184" t="s">
        <v>604</v>
      </c>
      <c r="O14184" s="37" t="str">
        <f t="shared" si="1108"/>
        <v>Digital Payment</v>
      </c>
      <c r="P14184">
        <v>14.91</v>
      </c>
      <c r="Q14184" s="37" t="str">
        <f>IF(P14184&gt;500,"High","low")</f>
        <v>low</v>
      </c>
      <c r="R14184" s="37" t="str">
        <f t="shared" si="1109"/>
        <v>AVERAGE</v>
      </c>
      <c r="S14184" t="s">
        <v>605</v>
      </c>
    </row>
    <row r="14185" spans="1:19" x14ac:dyDescent="0.2">
      <c r="A14185" t="s">
        <v>14796</v>
      </c>
      <c r="B14185" t="s">
        <v>67</v>
      </c>
      <c r="C14185" t="s">
        <v>617</v>
      </c>
      <c r="D14185">
        <v>3923.46</v>
      </c>
      <c r="E14185" s="37" t="str">
        <f t="shared" si="1105"/>
        <v xml:space="preserve"> </v>
      </c>
      <c r="F14185">
        <v>0.25</v>
      </c>
      <c r="G14185" s="37" t="str">
        <f t="shared" si="1106"/>
        <v>Normal Discount</v>
      </c>
      <c r="H14185" s="37" t="str">
        <f t="shared" si="1107"/>
        <v>Medium</v>
      </c>
      <c r="I14185">
        <v>7</v>
      </c>
      <c r="J14185" t="str" cm="1">
        <f t="array" ref="J14185">_xlfn.IFS(I14185&lt;=3,"small",I14185&lt;=6,"Medium",I14185&lt;=9,"Large")</f>
        <v>Large</v>
      </c>
      <c r="K14185" s="36">
        <v>45174</v>
      </c>
      <c r="L14185" s="36">
        <v>45177</v>
      </c>
      <c r="M14185" t="s">
        <v>598</v>
      </c>
      <c r="N14185" t="s">
        <v>599</v>
      </c>
      <c r="O14185" s="37" t="str">
        <f t="shared" si="1108"/>
        <v>Digital Payment</v>
      </c>
      <c r="P14185">
        <v>387.16</v>
      </c>
      <c r="Q14185" s="37" t="str">
        <f>IF(P14185&gt;500,"High","low")</f>
        <v>low</v>
      </c>
      <c r="R14185" s="37" t="str">
        <f t="shared" si="1109"/>
        <v>AVERAGE</v>
      </c>
      <c r="S14185" t="s">
        <v>615</v>
      </c>
    </row>
    <row r="14186" spans="1:19" x14ac:dyDescent="0.2">
      <c r="A14186" t="s">
        <v>14797</v>
      </c>
      <c r="B14186" t="s">
        <v>67</v>
      </c>
      <c r="C14186" t="s">
        <v>617</v>
      </c>
      <c r="D14186">
        <v>4640.91</v>
      </c>
      <c r="E14186" s="37" t="str">
        <f t="shared" si="1105"/>
        <v xml:space="preserve"> </v>
      </c>
      <c r="F14186">
        <v>0.05</v>
      </c>
      <c r="G14186" s="37" t="str">
        <f t="shared" si="1106"/>
        <v>Normal Discount</v>
      </c>
      <c r="H14186" s="37" t="str">
        <f t="shared" si="1107"/>
        <v>Low</v>
      </c>
      <c r="I14186">
        <v>2</v>
      </c>
      <c r="J14186" t="str" cm="1">
        <f t="array" ref="J14186">_xlfn.IFS(I14186&lt;=3,"small",I14186&lt;=6,"Medium",I14186&lt;=9,"Large")</f>
        <v>small</v>
      </c>
      <c r="K14186" s="36">
        <v>45338</v>
      </c>
      <c r="L14186" s="36">
        <v>45344</v>
      </c>
      <c r="M14186" t="s">
        <v>603</v>
      </c>
      <c r="N14186" t="s">
        <v>599</v>
      </c>
      <c r="O14186" s="37" t="str">
        <f t="shared" si="1108"/>
        <v>Digital Payment</v>
      </c>
      <c r="P14186">
        <v>472.63</v>
      </c>
      <c r="Q14186" s="37" t="str">
        <f>IF(P14186&gt;500,"High","low")</f>
        <v>low</v>
      </c>
      <c r="R14186" s="37" t="str">
        <f t="shared" si="1109"/>
        <v>AVERAGE</v>
      </c>
      <c r="S14186" t="s">
        <v>628</v>
      </c>
    </row>
    <row r="14187" spans="1:19" x14ac:dyDescent="0.2">
      <c r="A14187" t="s">
        <v>14798</v>
      </c>
      <c r="B14187" t="s">
        <v>75</v>
      </c>
      <c r="C14187" t="s">
        <v>607</v>
      </c>
      <c r="D14187">
        <v>4233.25</v>
      </c>
      <c r="E14187" s="37" t="str">
        <f t="shared" si="1105"/>
        <v xml:space="preserve"> </v>
      </c>
      <c r="F14187">
        <v>0.01</v>
      </c>
      <c r="G14187" s="37" t="str">
        <f t="shared" si="1106"/>
        <v>Normal Discount</v>
      </c>
      <c r="H14187" s="37" t="str">
        <f t="shared" si="1107"/>
        <v>Low</v>
      </c>
      <c r="I14187">
        <v>4</v>
      </c>
      <c r="J14187" t="str" cm="1">
        <f t="array" ref="J14187">_xlfn.IFS(I14187&lt;=3,"small",I14187&lt;=6,"Medium",I14187&lt;=9,"Large")</f>
        <v>Medium</v>
      </c>
      <c r="K14187" s="36">
        <v>45405</v>
      </c>
      <c r="L14187" s="36">
        <v>45411</v>
      </c>
      <c r="M14187" t="s">
        <v>598</v>
      </c>
      <c r="N14187" t="s">
        <v>608</v>
      </c>
      <c r="O14187" s="37" t="str">
        <f t="shared" si="1108"/>
        <v>Cash Payment</v>
      </c>
      <c r="P14187">
        <v>374.1</v>
      </c>
      <c r="Q14187" s="37" t="str">
        <f>IF(P14187&gt;500,"High","low")</f>
        <v>low</v>
      </c>
      <c r="R14187" s="37" t="str">
        <f t="shared" si="1109"/>
        <v>AVERAGE</v>
      </c>
      <c r="S14187" t="s">
        <v>615</v>
      </c>
    </row>
    <row r="14188" spans="1:19" x14ac:dyDescent="0.2">
      <c r="A14188" t="s">
        <v>14799</v>
      </c>
      <c r="B14188" t="s">
        <v>75</v>
      </c>
      <c r="C14188" t="s">
        <v>607</v>
      </c>
      <c r="D14188">
        <v>282.2</v>
      </c>
      <c r="E14188" s="37" t="str">
        <f t="shared" si="1105"/>
        <v xml:space="preserve"> </v>
      </c>
      <c r="F14188">
        <v>0.17</v>
      </c>
      <c r="G14188" s="37" t="str">
        <f t="shared" si="1106"/>
        <v>Normal Discount</v>
      </c>
      <c r="H14188" s="37" t="str">
        <f t="shared" si="1107"/>
        <v>Low</v>
      </c>
      <c r="I14188">
        <v>5</v>
      </c>
      <c r="J14188" t="str" cm="1">
        <f t="array" ref="J14188">_xlfn.IFS(I14188&lt;=3,"small",I14188&lt;=6,"Medium",I14188&lt;=9,"Large")</f>
        <v>Medium</v>
      </c>
      <c r="K14188" s="36">
        <v>45552</v>
      </c>
      <c r="L14188" s="36">
        <v>45557</v>
      </c>
      <c r="M14188" t="s">
        <v>603</v>
      </c>
      <c r="N14188" t="s">
        <v>604</v>
      </c>
      <c r="O14188" s="37" t="str">
        <f t="shared" si="1108"/>
        <v>Digital Payment</v>
      </c>
      <c r="P14188">
        <v>37.5</v>
      </c>
      <c r="Q14188" s="37" t="str">
        <f>IF(P14188&gt;500,"High","low")</f>
        <v>low</v>
      </c>
      <c r="R14188" s="37" t="str">
        <f t="shared" si="1109"/>
        <v>AVERAGE</v>
      </c>
      <c r="S14188" t="s">
        <v>615</v>
      </c>
    </row>
    <row r="14189" spans="1:19" x14ac:dyDescent="0.2">
      <c r="A14189" t="s">
        <v>14800</v>
      </c>
      <c r="B14189" t="s">
        <v>90</v>
      </c>
      <c r="C14189" t="s">
        <v>607</v>
      </c>
      <c r="D14189">
        <v>2670.07</v>
      </c>
      <c r="E14189" s="37" t="str">
        <f t="shared" si="1105"/>
        <v xml:space="preserve"> </v>
      </c>
      <c r="F14189">
        <v>0.13</v>
      </c>
      <c r="G14189" s="37" t="str">
        <f t="shared" si="1106"/>
        <v>Normal Discount</v>
      </c>
      <c r="H14189" s="37" t="str">
        <f t="shared" si="1107"/>
        <v>Low</v>
      </c>
      <c r="I14189">
        <v>3</v>
      </c>
      <c r="J14189" t="str" cm="1">
        <f t="array" ref="J14189">_xlfn.IFS(I14189&lt;=3,"small",I14189&lt;=6,"Medium",I14189&lt;=9,"Large")</f>
        <v>small</v>
      </c>
      <c r="K14189" s="36">
        <v>45385</v>
      </c>
      <c r="L14189" s="36">
        <v>45391</v>
      </c>
      <c r="M14189" t="s">
        <v>612</v>
      </c>
      <c r="N14189" t="s">
        <v>599</v>
      </c>
      <c r="O14189" s="37" t="str">
        <f t="shared" si="1108"/>
        <v>Digital Payment</v>
      </c>
      <c r="P14189">
        <v>609.05999999999995</v>
      </c>
      <c r="Q14189" s="37" t="str">
        <f>IF(P14189&gt;500,"High","low")</f>
        <v>High</v>
      </c>
      <c r="R14189" s="37" t="str">
        <f t="shared" si="1109"/>
        <v>Good</v>
      </c>
      <c r="S14189" t="s">
        <v>600</v>
      </c>
    </row>
    <row r="14190" spans="1:19" x14ac:dyDescent="0.2">
      <c r="A14190" t="s">
        <v>14801</v>
      </c>
      <c r="B14190" t="s">
        <v>67</v>
      </c>
      <c r="C14190" t="s">
        <v>607</v>
      </c>
      <c r="D14190">
        <v>4088.73</v>
      </c>
      <c r="E14190" s="37" t="str">
        <f t="shared" si="1105"/>
        <v>Excellent Order</v>
      </c>
      <c r="F14190">
        <v>0.13</v>
      </c>
      <c r="G14190" s="37" t="str">
        <f t="shared" si="1106"/>
        <v>Normal Discount</v>
      </c>
      <c r="H14190" s="37" t="str">
        <f t="shared" si="1107"/>
        <v>Low</v>
      </c>
      <c r="I14190">
        <v>4</v>
      </c>
      <c r="J14190" t="str" cm="1">
        <f t="array" ref="J14190">_xlfn.IFS(I14190&lt;=3,"small",I14190&lt;=6,"Medium",I14190&lt;=9,"Large")</f>
        <v>Medium</v>
      </c>
      <c r="K14190" s="36">
        <v>45177</v>
      </c>
      <c r="L14190" s="36">
        <v>45183</v>
      </c>
      <c r="M14190" t="s">
        <v>598</v>
      </c>
      <c r="N14190" t="s">
        <v>599</v>
      </c>
      <c r="O14190" s="37" t="str">
        <f t="shared" si="1108"/>
        <v>Digital Payment</v>
      </c>
      <c r="P14190">
        <v>1007.04</v>
      </c>
      <c r="Q14190" s="37" t="str">
        <f>IF(P14190&gt;500,"High","low")</f>
        <v>High</v>
      </c>
      <c r="R14190" s="37" t="str">
        <f t="shared" si="1109"/>
        <v>Excellent</v>
      </c>
      <c r="S14190" t="s">
        <v>605</v>
      </c>
    </row>
    <row r="14191" spans="1:19" x14ac:dyDescent="0.2">
      <c r="A14191" t="s">
        <v>14802</v>
      </c>
      <c r="B14191" t="s">
        <v>83</v>
      </c>
      <c r="C14191" t="s">
        <v>597</v>
      </c>
      <c r="D14191">
        <v>1786.16</v>
      </c>
      <c r="E14191" s="37" t="str">
        <f t="shared" si="1105"/>
        <v xml:space="preserve"> </v>
      </c>
      <c r="F14191">
        <v>0.47</v>
      </c>
      <c r="G14191" s="37" t="str">
        <f t="shared" si="1106"/>
        <v>Heavy Discount</v>
      </c>
      <c r="H14191" s="37" t="str">
        <f t="shared" si="1107"/>
        <v>High</v>
      </c>
      <c r="I14191">
        <v>3</v>
      </c>
      <c r="J14191" t="str" cm="1">
        <f t="array" ref="J14191">_xlfn.IFS(I14191&lt;=3,"small",I14191&lt;=6,"Medium",I14191&lt;=9,"Large")</f>
        <v>small</v>
      </c>
      <c r="K14191" s="36">
        <v>45259</v>
      </c>
      <c r="L14191" s="36">
        <v>45262</v>
      </c>
      <c r="M14191" t="s">
        <v>603</v>
      </c>
      <c r="N14191" t="s">
        <v>608</v>
      </c>
      <c r="O14191" s="37" t="str">
        <f t="shared" si="1108"/>
        <v>Cash Payment</v>
      </c>
      <c r="P14191">
        <v>243.92</v>
      </c>
      <c r="Q14191" s="37" t="str">
        <f>IF(P14191&gt;500,"High","low")</f>
        <v>low</v>
      </c>
      <c r="R14191" s="37" t="str">
        <f t="shared" si="1109"/>
        <v>AVERAGE</v>
      </c>
      <c r="S14191" t="s">
        <v>600</v>
      </c>
    </row>
    <row r="14192" spans="1:19" x14ac:dyDescent="0.2">
      <c r="A14192" t="s">
        <v>14803</v>
      </c>
      <c r="B14192" t="s">
        <v>90</v>
      </c>
      <c r="C14192" t="s">
        <v>607</v>
      </c>
      <c r="D14192">
        <v>4495.4799999999996</v>
      </c>
      <c r="E14192" s="37" t="str">
        <f t="shared" si="1105"/>
        <v>Excellent Order</v>
      </c>
      <c r="F14192">
        <v>0.41</v>
      </c>
      <c r="G14192" s="37" t="str">
        <f t="shared" si="1106"/>
        <v>Heavy Discount</v>
      </c>
      <c r="H14192" s="37" t="str">
        <f t="shared" si="1107"/>
        <v>High</v>
      </c>
      <c r="I14192">
        <v>8</v>
      </c>
      <c r="J14192" t="str" cm="1">
        <f t="array" ref="J14192">_xlfn.IFS(I14192&lt;=3,"small",I14192&lt;=6,"Medium",I14192&lt;=9,"Large")</f>
        <v>Large</v>
      </c>
      <c r="K14192" s="36">
        <v>45289</v>
      </c>
      <c r="L14192" s="36">
        <v>45296</v>
      </c>
      <c r="M14192" t="s">
        <v>612</v>
      </c>
      <c r="N14192" t="s">
        <v>604</v>
      </c>
      <c r="O14192" s="37" t="str">
        <f t="shared" si="1108"/>
        <v>Digital Payment</v>
      </c>
      <c r="P14192">
        <v>1042.0899999999999</v>
      </c>
      <c r="Q14192" s="37" t="str">
        <f>IF(P14192&gt;500,"High","low")</f>
        <v>High</v>
      </c>
      <c r="R14192" s="37" t="str">
        <f t="shared" si="1109"/>
        <v>Excellent</v>
      </c>
      <c r="S14192" t="s">
        <v>609</v>
      </c>
    </row>
    <row r="14193" spans="1:19" x14ac:dyDescent="0.2">
      <c r="A14193" t="s">
        <v>14804</v>
      </c>
      <c r="B14193" t="s">
        <v>75</v>
      </c>
      <c r="C14193" t="s">
        <v>607</v>
      </c>
      <c r="D14193">
        <v>4445.71</v>
      </c>
      <c r="E14193" s="37" t="str">
        <f t="shared" si="1105"/>
        <v>Excellent Order</v>
      </c>
      <c r="F14193">
        <v>0.01</v>
      </c>
      <c r="G14193" s="37" t="str">
        <f t="shared" si="1106"/>
        <v>Normal Discount</v>
      </c>
      <c r="H14193" s="37" t="str">
        <f t="shared" si="1107"/>
        <v>Low</v>
      </c>
      <c r="I14193">
        <v>8</v>
      </c>
      <c r="J14193" t="str" cm="1">
        <f t="array" ref="J14193">_xlfn.IFS(I14193&lt;=3,"small",I14193&lt;=6,"Medium",I14193&lt;=9,"Large")</f>
        <v>Large</v>
      </c>
      <c r="K14193" s="36">
        <v>45619</v>
      </c>
      <c r="L14193" s="36">
        <v>45625</v>
      </c>
      <c r="M14193" t="s">
        <v>603</v>
      </c>
      <c r="N14193" t="s">
        <v>608</v>
      </c>
      <c r="O14193" s="37" t="str">
        <f t="shared" si="1108"/>
        <v>Cash Payment</v>
      </c>
      <c r="P14193">
        <v>1079.01</v>
      </c>
      <c r="Q14193" s="37" t="str">
        <f>IF(P14193&gt;500,"High","low")</f>
        <v>High</v>
      </c>
      <c r="R14193" s="37" t="str">
        <f t="shared" si="1109"/>
        <v>Excellent</v>
      </c>
      <c r="S14193" t="s">
        <v>605</v>
      </c>
    </row>
    <row r="14194" spans="1:19" x14ac:dyDescent="0.2">
      <c r="A14194" t="s">
        <v>14805</v>
      </c>
      <c r="B14194" t="s">
        <v>83</v>
      </c>
      <c r="C14194" t="s">
        <v>607</v>
      </c>
      <c r="D14194">
        <v>794.35</v>
      </c>
      <c r="E14194" s="37" t="str">
        <f t="shared" si="1105"/>
        <v xml:space="preserve"> </v>
      </c>
      <c r="F14194">
        <v>0</v>
      </c>
      <c r="G14194" s="37" t="str">
        <f t="shared" si="1106"/>
        <v>Normal Discount</v>
      </c>
      <c r="H14194" s="37" t="str">
        <f t="shared" si="1107"/>
        <v>Low</v>
      </c>
      <c r="I14194">
        <v>3</v>
      </c>
      <c r="J14194" t="str" cm="1">
        <f t="array" ref="J14194">_xlfn.IFS(I14194&lt;=3,"small",I14194&lt;=6,"Medium",I14194&lt;=9,"Large")</f>
        <v>small</v>
      </c>
      <c r="K14194" s="36">
        <v>45486</v>
      </c>
      <c r="L14194" s="36">
        <v>45492</v>
      </c>
      <c r="M14194" t="s">
        <v>598</v>
      </c>
      <c r="N14194" t="s">
        <v>608</v>
      </c>
      <c r="O14194" s="37" t="str">
        <f t="shared" si="1108"/>
        <v>Cash Payment</v>
      </c>
      <c r="P14194">
        <v>116.59</v>
      </c>
      <c r="Q14194" s="37" t="str">
        <f>IF(P14194&gt;500,"High","low")</f>
        <v>low</v>
      </c>
      <c r="R14194" s="37" t="str">
        <f t="shared" si="1109"/>
        <v>AVERAGE</v>
      </c>
      <c r="S14194" t="s">
        <v>628</v>
      </c>
    </row>
    <row r="14195" spans="1:19" x14ac:dyDescent="0.2">
      <c r="A14195" t="s">
        <v>14806</v>
      </c>
      <c r="B14195" t="s">
        <v>75</v>
      </c>
      <c r="C14195" t="s">
        <v>602</v>
      </c>
      <c r="D14195">
        <v>2518.79</v>
      </c>
      <c r="E14195" s="37" t="str">
        <f t="shared" si="1105"/>
        <v xml:space="preserve"> </v>
      </c>
      <c r="F14195">
        <v>0.39</v>
      </c>
      <c r="G14195" s="37" t="str">
        <f t="shared" si="1106"/>
        <v>Heavy Discount</v>
      </c>
      <c r="H14195" s="37" t="str">
        <f t="shared" si="1107"/>
        <v>Medium</v>
      </c>
      <c r="I14195">
        <v>9</v>
      </c>
      <c r="J14195" t="str" cm="1">
        <f t="array" ref="J14195">_xlfn.IFS(I14195&lt;=3,"small",I14195&lt;=6,"Medium",I14195&lt;=9,"Large")</f>
        <v>Large</v>
      </c>
      <c r="K14195" s="36">
        <v>45393</v>
      </c>
      <c r="L14195" s="36">
        <v>45397</v>
      </c>
      <c r="M14195" t="s">
        <v>612</v>
      </c>
      <c r="N14195" t="s">
        <v>604</v>
      </c>
      <c r="O14195" s="37" t="str">
        <f t="shared" si="1108"/>
        <v>Digital Payment</v>
      </c>
      <c r="P14195">
        <v>752.38</v>
      </c>
      <c r="Q14195" s="37" t="str">
        <f>IF(P14195&gt;500,"High","low")</f>
        <v>High</v>
      </c>
      <c r="R14195" s="37" t="str">
        <f t="shared" si="1109"/>
        <v>Good</v>
      </c>
      <c r="S14195" t="s">
        <v>628</v>
      </c>
    </row>
    <row r="14196" spans="1:19" x14ac:dyDescent="0.2">
      <c r="A14196" t="s">
        <v>14807</v>
      </c>
      <c r="B14196" t="s">
        <v>83</v>
      </c>
      <c r="C14196" t="s">
        <v>607</v>
      </c>
      <c r="D14196">
        <v>225.77</v>
      </c>
      <c r="E14196" s="37" t="str">
        <f t="shared" si="1105"/>
        <v xml:space="preserve"> </v>
      </c>
      <c r="F14196">
        <v>0.49</v>
      </c>
      <c r="G14196" s="37" t="str">
        <f t="shared" si="1106"/>
        <v>Heavy Discount</v>
      </c>
      <c r="H14196" s="37" t="str">
        <f t="shared" si="1107"/>
        <v>High</v>
      </c>
      <c r="I14196">
        <v>9</v>
      </c>
      <c r="J14196" t="str" cm="1">
        <f t="array" ref="J14196">_xlfn.IFS(I14196&lt;=3,"small",I14196&lt;=6,"Medium",I14196&lt;=9,"Large")</f>
        <v>Large</v>
      </c>
      <c r="K14196" s="36">
        <v>45388</v>
      </c>
      <c r="L14196" s="36">
        <v>45390</v>
      </c>
      <c r="M14196" t="s">
        <v>603</v>
      </c>
      <c r="N14196" t="s">
        <v>599</v>
      </c>
      <c r="O14196" s="37" t="str">
        <f t="shared" si="1108"/>
        <v>Digital Payment</v>
      </c>
      <c r="P14196">
        <v>42.48</v>
      </c>
      <c r="Q14196" s="37" t="str">
        <f>IF(P14196&gt;500,"High","low")</f>
        <v>low</v>
      </c>
      <c r="R14196" s="37" t="str">
        <f t="shared" si="1109"/>
        <v>AVERAGE</v>
      </c>
      <c r="S14196" t="s">
        <v>628</v>
      </c>
    </row>
    <row r="14197" spans="1:19" x14ac:dyDescent="0.2">
      <c r="A14197" t="s">
        <v>14808</v>
      </c>
      <c r="B14197" t="s">
        <v>90</v>
      </c>
      <c r="C14197" t="s">
        <v>614</v>
      </c>
      <c r="D14197">
        <v>1481.11</v>
      </c>
      <c r="E14197" s="37" t="str">
        <f t="shared" si="1105"/>
        <v xml:space="preserve"> </v>
      </c>
      <c r="F14197">
        <v>0.23</v>
      </c>
      <c r="G14197" s="37" t="str">
        <f t="shared" si="1106"/>
        <v>Normal Discount</v>
      </c>
      <c r="H14197" s="37" t="str">
        <f t="shared" si="1107"/>
        <v>Medium</v>
      </c>
      <c r="I14197">
        <v>7</v>
      </c>
      <c r="J14197" t="str" cm="1">
        <f t="array" ref="J14197">_xlfn.IFS(I14197&lt;=3,"small",I14197&lt;=6,"Medium",I14197&lt;=9,"Large")</f>
        <v>Large</v>
      </c>
      <c r="K14197" s="36">
        <v>44984</v>
      </c>
      <c r="L14197" s="36">
        <v>44985</v>
      </c>
      <c r="M14197" t="s">
        <v>612</v>
      </c>
      <c r="N14197" t="s">
        <v>608</v>
      </c>
      <c r="O14197" s="37" t="str">
        <f t="shared" si="1108"/>
        <v>Cash Payment</v>
      </c>
      <c r="P14197">
        <v>333.65</v>
      </c>
      <c r="Q14197" s="37" t="str">
        <f>IF(P14197&gt;500,"High","low")</f>
        <v>low</v>
      </c>
      <c r="R14197" s="37" t="str">
        <f t="shared" si="1109"/>
        <v>AVERAGE</v>
      </c>
      <c r="S14197" t="s">
        <v>620</v>
      </c>
    </row>
    <row r="14198" spans="1:19" x14ac:dyDescent="0.2">
      <c r="A14198" t="s">
        <v>14809</v>
      </c>
      <c r="B14198" t="s">
        <v>83</v>
      </c>
      <c r="C14198" t="s">
        <v>607</v>
      </c>
      <c r="D14198">
        <v>4078.18</v>
      </c>
      <c r="E14198" s="37" t="str">
        <f t="shared" si="1105"/>
        <v xml:space="preserve"> </v>
      </c>
      <c r="F14198">
        <v>0.22</v>
      </c>
      <c r="G14198" s="37" t="str">
        <f t="shared" si="1106"/>
        <v>Normal Discount</v>
      </c>
      <c r="H14198" s="37" t="str">
        <f t="shared" si="1107"/>
        <v>Medium</v>
      </c>
      <c r="I14198">
        <v>1</v>
      </c>
      <c r="J14198" t="str" cm="1">
        <f t="array" ref="J14198">_xlfn.IFS(I14198&lt;=3,"small",I14198&lt;=6,"Medium",I14198&lt;=9,"Large")</f>
        <v>small</v>
      </c>
      <c r="K14198" s="36">
        <v>45063</v>
      </c>
      <c r="L14198" s="36">
        <v>45064</v>
      </c>
      <c r="M14198" t="s">
        <v>612</v>
      </c>
      <c r="N14198" t="s">
        <v>604</v>
      </c>
      <c r="O14198" s="37" t="str">
        <f t="shared" si="1108"/>
        <v>Digital Payment</v>
      </c>
      <c r="P14198">
        <v>306.44</v>
      </c>
      <c r="Q14198" s="37" t="str">
        <f>IF(P14198&gt;500,"High","low")</f>
        <v>low</v>
      </c>
      <c r="R14198" s="37" t="str">
        <f t="shared" si="1109"/>
        <v>AVERAGE</v>
      </c>
      <c r="S14198" t="s">
        <v>605</v>
      </c>
    </row>
    <row r="14199" spans="1:19" x14ac:dyDescent="0.2">
      <c r="A14199" t="s">
        <v>14810</v>
      </c>
      <c r="B14199" t="s">
        <v>90</v>
      </c>
      <c r="C14199" t="s">
        <v>607</v>
      </c>
      <c r="D14199">
        <v>4878.1899999999996</v>
      </c>
      <c r="E14199" s="37" t="str">
        <f t="shared" si="1105"/>
        <v>Excellent Order</v>
      </c>
      <c r="F14199">
        <v>0.14000000000000001</v>
      </c>
      <c r="G14199" s="37" t="str">
        <f t="shared" si="1106"/>
        <v>Normal Discount</v>
      </c>
      <c r="H14199" s="37" t="str">
        <f t="shared" si="1107"/>
        <v>Low</v>
      </c>
      <c r="I14199">
        <v>3</v>
      </c>
      <c r="J14199" t="str" cm="1">
        <f t="array" ref="J14199">_xlfn.IFS(I14199&lt;=3,"small",I14199&lt;=6,"Medium",I14199&lt;=9,"Large")</f>
        <v>small</v>
      </c>
      <c r="K14199" s="36">
        <v>45237</v>
      </c>
      <c r="L14199" s="36">
        <v>45244</v>
      </c>
      <c r="M14199" t="s">
        <v>612</v>
      </c>
      <c r="N14199" t="s">
        <v>608</v>
      </c>
      <c r="O14199" s="37" t="str">
        <f t="shared" si="1108"/>
        <v>Cash Payment</v>
      </c>
      <c r="P14199">
        <v>932.1</v>
      </c>
      <c r="Q14199" s="37" t="str">
        <f>IF(P14199&gt;500,"High","low")</f>
        <v>High</v>
      </c>
      <c r="R14199" s="37" t="str">
        <f t="shared" si="1109"/>
        <v>Good</v>
      </c>
      <c r="S14199" t="s">
        <v>628</v>
      </c>
    </row>
    <row r="14200" spans="1:19" x14ac:dyDescent="0.2">
      <c r="A14200" t="s">
        <v>14811</v>
      </c>
      <c r="B14200" t="s">
        <v>75</v>
      </c>
      <c r="C14200" t="s">
        <v>597</v>
      </c>
      <c r="D14200">
        <v>4575.28</v>
      </c>
      <c r="E14200" s="37" t="str">
        <f t="shared" si="1105"/>
        <v>Excellent Order</v>
      </c>
      <c r="F14200">
        <v>0.33</v>
      </c>
      <c r="G14200" s="37" t="str">
        <f t="shared" si="1106"/>
        <v>Heavy Discount</v>
      </c>
      <c r="H14200" s="37" t="str">
        <f t="shared" si="1107"/>
        <v>Medium</v>
      </c>
      <c r="I14200">
        <v>8</v>
      </c>
      <c r="J14200" t="str" cm="1">
        <f t="array" ref="J14200">_xlfn.IFS(I14200&lt;=3,"small",I14200&lt;=6,"Medium",I14200&lt;=9,"Large")</f>
        <v>Large</v>
      </c>
      <c r="K14200" s="36">
        <v>45227</v>
      </c>
      <c r="L14200" s="36">
        <v>45231</v>
      </c>
      <c r="M14200" t="s">
        <v>598</v>
      </c>
      <c r="N14200" t="s">
        <v>599</v>
      </c>
      <c r="O14200" s="37" t="str">
        <f t="shared" si="1108"/>
        <v>Digital Payment</v>
      </c>
      <c r="P14200">
        <v>1066.95</v>
      </c>
      <c r="Q14200" s="37" t="str">
        <f>IF(P14200&gt;500,"High","low")</f>
        <v>High</v>
      </c>
      <c r="R14200" s="37" t="str">
        <f t="shared" si="1109"/>
        <v>Excellent</v>
      </c>
      <c r="S14200" t="s">
        <v>615</v>
      </c>
    </row>
    <row r="14201" spans="1:19" x14ac:dyDescent="0.2">
      <c r="A14201" t="s">
        <v>14812</v>
      </c>
      <c r="B14201" t="s">
        <v>83</v>
      </c>
      <c r="C14201" t="s">
        <v>607</v>
      </c>
      <c r="D14201">
        <v>308.64</v>
      </c>
      <c r="E14201" s="37" t="str">
        <f t="shared" si="1105"/>
        <v xml:space="preserve"> </v>
      </c>
      <c r="F14201">
        <v>0.24</v>
      </c>
      <c r="G14201" s="37" t="str">
        <f t="shared" si="1106"/>
        <v>Normal Discount</v>
      </c>
      <c r="H14201" s="37" t="str">
        <f t="shared" si="1107"/>
        <v>Medium</v>
      </c>
      <c r="I14201">
        <v>6</v>
      </c>
      <c r="J14201" t="str" cm="1">
        <f t="array" ref="J14201">_xlfn.IFS(I14201&lt;=3,"small",I14201&lt;=6,"Medium",I14201&lt;=9,"Large")</f>
        <v>Medium</v>
      </c>
      <c r="K14201" s="36">
        <v>45082</v>
      </c>
      <c r="L14201" s="36">
        <v>45084</v>
      </c>
      <c r="M14201" t="s">
        <v>598</v>
      </c>
      <c r="N14201" t="s">
        <v>599</v>
      </c>
      <c r="O14201" s="37" t="str">
        <f t="shared" si="1108"/>
        <v>Digital Payment</v>
      </c>
      <c r="P14201">
        <v>56.46</v>
      </c>
      <c r="Q14201" s="37" t="str">
        <f>IF(P14201&gt;500,"High","low")</f>
        <v>low</v>
      </c>
      <c r="R14201" s="37" t="str">
        <f t="shared" si="1109"/>
        <v>AVERAGE</v>
      </c>
      <c r="S14201" t="s">
        <v>615</v>
      </c>
    </row>
    <row r="14202" spans="1:19" x14ac:dyDescent="0.2">
      <c r="A14202" t="s">
        <v>14813</v>
      </c>
      <c r="B14202" t="s">
        <v>67</v>
      </c>
      <c r="C14202" t="s">
        <v>602</v>
      </c>
      <c r="D14202">
        <v>4640.9799999999996</v>
      </c>
      <c r="E14202" s="37" t="str">
        <f t="shared" si="1105"/>
        <v>Excellent Order</v>
      </c>
      <c r="F14202">
        <v>0.08</v>
      </c>
      <c r="G14202" s="37" t="str">
        <f t="shared" si="1106"/>
        <v>Normal Discount</v>
      </c>
      <c r="H14202" s="37" t="str">
        <f t="shared" si="1107"/>
        <v>Low</v>
      </c>
      <c r="I14202">
        <v>9</v>
      </c>
      <c r="J14202" t="str" cm="1">
        <f t="array" ref="J14202">_xlfn.IFS(I14202&lt;=3,"small",I14202&lt;=6,"Medium",I14202&lt;=9,"Large")</f>
        <v>Large</v>
      </c>
      <c r="K14202" s="36">
        <v>45082</v>
      </c>
      <c r="L14202" s="36">
        <v>45085</v>
      </c>
      <c r="M14202" t="s">
        <v>598</v>
      </c>
      <c r="N14202" t="s">
        <v>608</v>
      </c>
      <c r="O14202" s="37" t="str">
        <f t="shared" si="1108"/>
        <v>Cash Payment</v>
      </c>
      <c r="P14202">
        <v>1216.43</v>
      </c>
      <c r="Q14202" s="37" t="str">
        <f>IF(P14202&gt;500,"High","low")</f>
        <v>High</v>
      </c>
      <c r="R14202" s="37" t="str">
        <f t="shared" si="1109"/>
        <v>Excellent</v>
      </c>
      <c r="S14202" t="s">
        <v>615</v>
      </c>
    </row>
    <row r="14203" spans="1:19" x14ac:dyDescent="0.2">
      <c r="A14203" t="s">
        <v>14814</v>
      </c>
      <c r="B14203" t="s">
        <v>67</v>
      </c>
      <c r="C14203" t="s">
        <v>617</v>
      </c>
      <c r="D14203">
        <v>4130.9799999999996</v>
      </c>
      <c r="E14203" s="37" t="str">
        <f t="shared" si="1105"/>
        <v xml:space="preserve"> </v>
      </c>
      <c r="F14203">
        <v>0.24</v>
      </c>
      <c r="G14203" s="37" t="str">
        <f t="shared" si="1106"/>
        <v>Normal Discount</v>
      </c>
      <c r="H14203" s="37" t="str">
        <f t="shared" si="1107"/>
        <v>Medium</v>
      </c>
      <c r="I14203">
        <v>9</v>
      </c>
      <c r="J14203" t="str" cm="1">
        <f t="array" ref="J14203">_xlfn.IFS(I14203&lt;=3,"small",I14203&lt;=6,"Medium",I14203&lt;=9,"Large")</f>
        <v>Large</v>
      </c>
      <c r="K14203" s="36">
        <v>45100</v>
      </c>
      <c r="L14203" s="36">
        <v>45101</v>
      </c>
      <c r="M14203" t="s">
        <v>598</v>
      </c>
      <c r="N14203" t="s">
        <v>599</v>
      </c>
      <c r="O14203" s="37" t="str">
        <f t="shared" si="1108"/>
        <v>Digital Payment</v>
      </c>
      <c r="P14203">
        <v>282.86</v>
      </c>
      <c r="Q14203" s="37" t="str">
        <f>IF(P14203&gt;500,"High","low")</f>
        <v>low</v>
      </c>
      <c r="R14203" s="37" t="str">
        <f t="shared" si="1109"/>
        <v>AVERAGE</v>
      </c>
      <c r="S14203" t="s">
        <v>620</v>
      </c>
    </row>
    <row r="14204" spans="1:19" x14ac:dyDescent="0.2">
      <c r="A14204" t="s">
        <v>14815</v>
      </c>
      <c r="B14204" t="s">
        <v>75</v>
      </c>
      <c r="C14204" t="s">
        <v>607</v>
      </c>
      <c r="D14204">
        <v>4351.74</v>
      </c>
      <c r="E14204" s="37" t="str">
        <f t="shared" si="1105"/>
        <v>Excellent Order</v>
      </c>
      <c r="F14204">
        <v>0.19</v>
      </c>
      <c r="G14204" s="37" t="str">
        <f t="shared" si="1106"/>
        <v>Normal Discount</v>
      </c>
      <c r="H14204" s="37" t="str">
        <f t="shared" si="1107"/>
        <v>Low</v>
      </c>
      <c r="I14204">
        <v>1</v>
      </c>
      <c r="J14204" t="str" cm="1">
        <f t="array" ref="J14204">_xlfn.IFS(I14204&lt;=3,"small",I14204&lt;=6,"Medium",I14204&lt;=9,"Large")</f>
        <v>small</v>
      </c>
      <c r="K14204" s="36">
        <v>45208</v>
      </c>
      <c r="L14204" s="36">
        <v>45212</v>
      </c>
      <c r="M14204" t="s">
        <v>598</v>
      </c>
      <c r="N14204" t="s">
        <v>608</v>
      </c>
      <c r="O14204" s="37" t="str">
        <f t="shared" si="1108"/>
        <v>Cash Payment</v>
      </c>
      <c r="P14204">
        <v>1182.8699999999999</v>
      </c>
      <c r="Q14204" s="37" t="str">
        <f>IF(P14204&gt;500,"High","low")</f>
        <v>High</v>
      </c>
      <c r="R14204" s="37" t="str">
        <f t="shared" si="1109"/>
        <v>Excellent</v>
      </c>
      <c r="S14204" t="s">
        <v>605</v>
      </c>
    </row>
    <row r="14205" spans="1:19" x14ac:dyDescent="0.2">
      <c r="A14205" t="s">
        <v>14816</v>
      </c>
      <c r="B14205" t="s">
        <v>83</v>
      </c>
      <c r="C14205" t="s">
        <v>607</v>
      </c>
      <c r="D14205">
        <v>4582.6499999999996</v>
      </c>
      <c r="E14205" s="37" t="str">
        <f t="shared" si="1105"/>
        <v>Excellent Order</v>
      </c>
      <c r="F14205">
        <v>0.44</v>
      </c>
      <c r="G14205" s="37" t="str">
        <f t="shared" si="1106"/>
        <v>Heavy Discount</v>
      </c>
      <c r="H14205" s="37" t="str">
        <f t="shared" si="1107"/>
        <v>High</v>
      </c>
      <c r="I14205">
        <v>6</v>
      </c>
      <c r="J14205" t="str" cm="1">
        <f t="array" ref="J14205">_xlfn.IFS(I14205&lt;=3,"small",I14205&lt;=6,"Medium",I14205&lt;=9,"Large")</f>
        <v>Medium</v>
      </c>
      <c r="K14205" s="36">
        <v>45244</v>
      </c>
      <c r="L14205" s="36">
        <v>45249</v>
      </c>
      <c r="M14205" t="s">
        <v>612</v>
      </c>
      <c r="N14205" t="s">
        <v>608</v>
      </c>
      <c r="O14205" s="37" t="str">
        <f t="shared" si="1108"/>
        <v>Cash Payment</v>
      </c>
      <c r="P14205">
        <v>1111.98</v>
      </c>
      <c r="Q14205" s="37" t="str">
        <f>IF(P14205&gt;500,"High","low")</f>
        <v>High</v>
      </c>
      <c r="R14205" s="37" t="str">
        <f t="shared" si="1109"/>
        <v>Excellent</v>
      </c>
      <c r="S14205" t="s">
        <v>615</v>
      </c>
    </row>
    <row r="14206" spans="1:19" x14ac:dyDescent="0.2">
      <c r="A14206" t="s">
        <v>14817</v>
      </c>
      <c r="B14206" t="s">
        <v>67</v>
      </c>
      <c r="C14206" t="s">
        <v>607</v>
      </c>
      <c r="D14206">
        <v>2492.08</v>
      </c>
      <c r="E14206" s="37" t="str">
        <f t="shared" si="1105"/>
        <v xml:space="preserve"> </v>
      </c>
      <c r="F14206">
        <v>0.39</v>
      </c>
      <c r="G14206" s="37" t="str">
        <f t="shared" si="1106"/>
        <v>Heavy Discount</v>
      </c>
      <c r="H14206" s="37" t="str">
        <f t="shared" si="1107"/>
        <v>Medium</v>
      </c>
      <c r="I14206">
        <v>3</v>
      </c>
      <c r="J14206" t="str" cm="1">
        <f t="array" ref="J14206">_xlfn.IFS(I14206&lt;=3,"small",I14206&lt;=6,"Medium",I14206&lt;=9,"Large")</f>
        <v>small</v>
      </c>
      <c r="K14206" s="36">
        <v>45122</v>
      </c>
      <c r="L14206" s="36">
        <v>45123</v>
      </c>
      <c r="M14206" t="s">
        <v>612</v>
      </c>
      <c r="N14206" t="s">
        <v>604</v>
      </c>
      <c r="O14206" s="37" t="str">
        <f t="shared" si="1108"/>
        <v>Digital Payment</v>
      </c>
      <c r="P14206">
        <v>126.82</v>
      </c>
      <c r="Q14206" s="37" t="str">
        <f>IF(P14206&gt;500,"High","low")</f>
        <v>low</v>
      </c>
      <c r="R14206" s="37" t="str">
        <f t="shared" si="1109"/>
        <v>AVERAGE</v>
      </c>
      <c r="S14206" t="s">
        <v>600</v>
      </c>
    </row>
    <row r="14207" spans="1:19" x14ac:dyDescent="0.2">
      <c r="A14207" t="s">
        <v>14818</v>
      </c>
      <c r="B14207" t="s">
        <v>90</v>
      </c>
      <c r="C14207" t="s">
        <v>597</v>
      </c>
      <c r="D14207">
        <v>1134.97</v>
      </c>
      <c r="E14207" s="37" t="str">
        <f t="shared" si="1105"/>
        <v xml:space="preserve"> </v>
      </c>
      <c r="F14207">
        <v>0.35</v>
      </c>
      <c r="G14207" s="37" t="str">
        <f t="shared" si="1106"/>
        <v>Heavy Discount</v>
      </c>
      <c r="H14207" s="37" t="str">
        <f t="shared" si="1107"/>
        <v>Medium</v>
      </c>
      <c r="I14207">
        <v>5</v>
      </c>
      <c r="J14207" t="str" cm="1">
        <f t="array" ref="J14207">_xlfn.IFS(I14207&lt;=3,"small",I14207&lt;=6,"Medium",I14207&lt;=9,"Large")</f>
        <v>Medium</v>
      </c>
      <c r="K14207" s="36">
        <v>45121</v>
      </c>
      <c r="L14207" s="36">
        <v>45128</v>
      </c>
      <c r="M14207" t="s">
        <v>598</v>
      </c>
      <c r="N14207" t="s">
        <v>604</v>
      </c>
      <c r="O14207" s="37" t="str">
        <f t="shared" si="1108"/>
        <v>Digital Payment</v>
      </c>
      <c r="P14207">
        <v>80</v>
      </c>
      <c r="Q14207" s="37" t="str">
        <f>IF(P14207&gt;500,"High","low")</f>
        <v>low</v>
      </c>
      <c r="R14207" s="37" t="str">
        <f t="shared" si="1109"/>
        <v>AVERAGE</v>
      </c>
      <c r="S14207" t="s">
        <v>620</v>
      </c>
    </row>
    <row r="14208" spans="1:19" x14ac:dyDescent="0.2">
      <c r="A14208" t="s">
        <v>14819</v>
      </c>
      <c r="B14208" t="s">
        <v>83</v>
      </c>
      <c r="C14208" t="s">
        <v>617</v>
      </c>
      <c r="D14208">
        <v>203.02</v>
      </c>
      <c r="E14208" s="37" t="str">
        <f t="shared" si="1105"/>
        <v xml:space="preserve"> </v>
      </c>
      <c r="F14208">
        <v>0.16</v>
      </c>
      <c r="G14208" s="37" t="str">
        <f t="shared" si="1106"/>
        <v>Normal Discount</v>
      </c>
      <c r="H14208" s="37" t="str">
        <f t="shared" si="1107"/>
        <v>Low</v>
      </c>
      <c r="I14208">
        <v>1</v>
      </c>
      <c r="J14208" t="str" cm="1">
        <f t="array" ref="J14208">_xlfn.IFS(I14208&lt;=3,"small",I14208&lt;=6,"Medium",I14208&lt;=9,"Large")</f>
        <v>small</v>
      </c>
      <c r="K14208" s="36">
        <v>45344</v>
      </c>
      <c r="L14208" s="36">
        <v>45345</v>
      </c>
      <c r="M14208" t="s">
        <v>603</v>
      </c>
      <c r="N14208" t="s">
        <v>608</v>
      </c>
      <c r="O14208" s="37" t="str">
        <f t="shared" si="1108"/>
        <v>Cash Payment</v>
      </c>
      <c r="P14208">
        <v>15.51</v>
      </c>
      <c r="Q14208" s="37" t="str">
        <f>IF(P14208&gt;500,"High","low")</f>
        <v>low</v>
      </c>
      <c r="R14208" s="37" t="str">
        <f t="shared" si="1109"/>
        <v>AVERAGE</v>
      </c>
      <c r="S14208" t="s">
        <v>600</v>
      </c>
    </row>
    <row r="14209" spans="1:19" x14ac:dyDescent="0.2">
      <c r="A14209" t="s">
        <v>14820</v>
      </c>
      <c r="B14209" t="s">
        <v>83</v>
      </c>
      <c r="C14209" t="s">
        <v>597</v>
      </c>
      <c r="D14209">
        <v>215.39</v>
      </c>
      <c r="E14209" s="37" t="str">
        <f t="shared" si="1105"/>
        <v xml:space="preserve"> </v>
      </c>
      <c r="F14209">
        <v>7.0000000000000007E-2</v>
      </c>
      <c r="G14209" s="37" t="str">
        <f t="shared" si="1106"/>
        <v>Normal Discount</v>
      </c>
      <c r="H14209" s="37" t="str">
        <f t="shared" si="1107"/>
        <v>Low</v>
      </c>
      <c r="I14209">
        <v>7</v>
      </c>
      <c r="J14209" t="str" cm="1">
        <f t="array" ref="J14209">_xlfn.IFS(I14209&lt;=3,"small",I14209&lt;=6,"Medium",I14209&lt;=9,"Large")</f>
        <v>Large</v>
      </c>
      <c r="K14209" s="36">
        <v>45482</v>
      </c>
      <c r="L14209" s="36">
        <v>45488</v>
      </c>
      <c r="M14209" t="s">
        <v>603</v>
      </c>
      <c r="N14209" t="s">
        <v>608</v>
      </c>
      <c r="O14209" s="37" t="str">
        <f t="shared" si="1108"/>
        <v>Cash Payment</v>
      </c>
      <c r="P14209">
        <v>32.840000000000003</v>
      </c>
      <c r="Q14209" s="37" t="str">
        <f>IF(P14209&gt;500,"High","low")</f>
        <v>low</v>
      </c>
      <c r="R14209" s="37" t="str">
        <f t="shared" si="1109"/>
        <v>AVERAGE</v>
      </c>
      <c r="S14209" t="s">
        <v>620</v>
      </c>
    </row>
    <row r="14210" spans="1:19" x14ac:dyDescent="0.2">
      <c r="A14210" t="s">
        <v>14821</v>
      </c>
      <c r="B14210" t="s">
        <v>67</v>
      </c>
      <c r="C14210" t="s">
        <v>597</v>
      </c>
      <c r="D14210">
        <v>3248.31</v>
      </c>
      <c r="E14210" s="37" t="str">
        <f t="shared" si="1105"/>
        <v xml:space="preserve"> </v>
      </c>
      <c r="F14210">
        <v>0.43</v>
      </c>
      <c r="G14210" s="37" t="str">
        <f t="shared" si="1106"/>
        <v>Heavy Discount</v>
      </c>
      <c r="H14210" s="37" t="str">
        <f t="shared" si="1107"/>
        <v>High</v>
      </c>
      <c r="I14210">
        <v>6</v>
      </c>
      <c r="J14210" t="str" cm="1">
        <f t="array" ref="J14210">_xlfn.IFS(I14210&lt;=3,"small",I14210&lt;=6,"Medium",I14210&lt;=9,"Large")</f>
        <v>Medium</v>
      </c>
      <c r="K14210" s="36">
        <v>45258</v>
      </c>
      <c r="L14210" s="36">
        <v>45265</v>
      </c>
      <c r="M14210" t="s">
        <v>598</v>
      </c>
      <c r="N14210" t="s">
        <v>608</v>
      </c>
      <c r="O14210" s="37" t="str">
        <f t="shared" si="1108"/>
        <v>Cash Payment</v>
      </c>
      <c r="P14210">
        <v>273.61</v>
      </c>
      <c r="Q14210" s="37" t="str">
        <f>IF(P14210&gt;500,"High","low")</f>
        <v>low</v>
      </c>
      <c r="R14210" s="37" t="str">
        <f t="shared" si="1109"/>
        <v>AVERAGE</v>
      </c>
      <c r="S14210" t="s">
        <v>615</v>
      </c>
    </row>
    <row r="14211" spans="1:19" x14ac:dyDescent="0.2">
      <c r="A14211" t="s">
        <v>14822</v>
      </c>
      <c r="B14211" t="s">
        <v>90</v>
      </c>
      <c r="C14211" t="s">
        <v>597</v>
      </c>
      <c r="D14211">
        <v>1752.67</v>
      </c>
      <c r="E14211" s="37" t="str">
        <f t="shared" ref="E14211:E14274" si="1110">IF(AND(D14211&gt;4000,P14211&gt;800),"Excellent Order"," ")</f>
        <v xml:space="preserve"> </v>
      </c>
      <c r="F14211">
        <v>0.17</v>
      </c>
      <c r="G14211" s="37" t="str">
        <f t="shared" ref="G14211:G14274" si="1111">IF(F14211&gt;30%,"Heavy Discount","Normal Discount")</f>
        <v>Normal Discount</v>
      </c>
      <c r="H14211" s="37" t="str">
        <f t="shared" ref="H14211:H14274" si="1112">IF(F14211&gt;0.4,"High",IF(F14211&gt;=0.2,"Medium","Low"))</f>
        <v>Low</v>
      </c>
      <c r="I14211">
        <v>5</v>
      </c>
      <c r="J14211" t="str" cm="1">
        <f t="array" ref="J14211">_xlfn.IFS(I14211&lt;=3,"small",I14211&lt;=6,"Medium",I14211&lt;=9,"Large")</f>
        <v>Medium</v>
      </c>
      <c r="K14211" s="36">
        <v>45655</v>
      </c>
      <c r="L14211" s="36">
        <v>45659</v>
      </c>
      <c r="M14211" t="s">
        <v>598</v>
      </c>
      <c r="N14211" t="s">
        <v>608</v>
      </c>
      <c r="O14211" s="37" t="str">
        <f t="shared" ref="O14211:O14274" si="1113">IF(OR(N14211="Card",N14211="UPI"),"Digital Payment","Cash Payment")</f>
        <v>Cash Payment</v>
      </c>
      <c r="P14211">
        <v>105.49</v>
      </c>
      <c r="Q14211" s="37" t="str">
        <f>IF(P14211&gt;500,"High","low")</f>
        <v>low</v>
      </c>
      <c r="R14211" s="37" t="str">
        <f t="shared" ref="R14211:R14274" si="1114">IF(P14211&gt;1000,"Excellent",IF(P14211&gt;=500,"Good","AVERAGE"))</f>
        <v>AVERAGE</v>
      </c>
      <c r="S14211" t="s">
        <v>609</v>
      </c>
    </row>
    <row r="14212" spans="1:19" x14ac:dyDescent="0.2">
      <c r="A14212" t="s">
        <v>14823</v>
      </c>
      <c r="B14212" t="s">
        <v>90</v>
      </c>
      <c r="C14212" t="s">
        <v>602</v>
      </c>
      <c r="D14212">
        <v>2529.89</v>
      </c>
      <c r="E14212" s="37" t="str">
        <f t="shared" si="1110"/>
        <v xml:space="preserve"> </v>
      </c>
      <c r="F14212">
        <v>0.3</v>
      </c>
      <c r="G14212" s="37" t="str">
        <f t="shared" si="1111"/>
        <v>Normal Discount</v>
      </c>
      <c r="H14212" s="37" t="str">
        <f t="shared" si="1112"/>
        <v>Medium</v>
      </c>
      <c r="I14212">
        <v>2</v>
      </c>
      <c r="J14212" t="str" cm="1">
        <f t="array" ref="J14212">_xlfn.IFS(I14212&lt;=3,"small",I14212&lt;=6,"Medium",I14212&lt;=9,"Large")</f>
        <v>small</v>
      </c>
      <c r="K14212" s="36">
        <v>45203</v>
      </c>
      <c r="L14212" s="36">
        <v>45208</v>
      </c>
      <c r="M14212" t="s">
        <v>612</v>
      </c>
      <c r="N14212" t="s">
        <v>608</v>
      </c>
      <c r="O14212" s="37" t="str">
        <f t="shared" si="1113"/>
        <v>Cash Payment</v>
      </c>
      <c r="P14212">
        <v>647.57000000000005</v>
      </c>
      <c r="Q14212" s="37" t="str">
        <f>IF(P14212&gt;500,"High","low")</f>
        <v>High</v>
      </c>
      <c r="R14212" s="37" t="str">
        <f t="shared" si="1114"/>
        <v>Good</v>
      </c>
      <c r="S14212" t="s">
        <v>628</v>
      </c>
    </row>
    <row r="14213" spans="1:19" x14ac:dyDescent="0.2">
      <c r="A14213" t="s">
        <v>14824</v>
      </c>
      <c r="B14213" t="s">
        <v>90</v>
      </c>
      <c r="C14213" t="s">
        <v>617</v>
      </c>
      <c r="D14213">
        <v>743.54</v>
      </c>
      <c r="E14213" s="37" t="str">
        <f t="shared" si="1110"/>
        <v xml:space="preserve"> </v>
      </c>
      <c r="F14213">
        <v>0.3</v>
      </c>
      <c r="G14213" s="37" t="str">
        <f t="shared" si="1111"/>
        <v>Normal Discount</v>
      </c>
      <c r="H14213" s="37" t="str">
        <f t="shared" si="1112"/>
        <v>Medium</v>
      </c>
      <c r="I14213">
        <v>8</v>
      </c>
      <c r="J14213" t="str" cm="1">
        <f t="array" ref="J14213">_xlfn.IFS(I14213&lt;=3,"small",I14213&lt;=6,"Medium",I14213&lt;=9,"Large")</f>
        <v>Large</v>
      </c>
      <c r="K14213" s="36">
        <v>45328</v>
      </c>
      <c r="L14213" s="36">
        <v>45335</v>
      </c>
      <c r="M14213" t="s">
        <v>612</v>
      </c>
      <c r="N14213" t="s">
        <v>604</v>
      </c>
      <c r="O14213" s="37" t="str">
        <f t="shared" si="1113"/>
        <v>Digital Payment</v>
      </c>
      <c r="P14213">
        <v>77.12</v>
      </c>
      <c r="Q14213" s="37" t="str">
        <f>IF(P14213&gt;500,"High","low")</f>
        <v>low</v>
      </c>
      <c r="R14213" s="37" t="str">
        <f t="shared" si="1114"/>
        <v>AVERAGE</v>
      </c>
      <c r="S14213" t="s">
        <v>628</v>
      </c>
    </row>
    <row r="14214" spans="1:19" x14ac:dyDescent="0.2">
      <c r="A14214" t="s">
        <v>14825</v>
      </c>
      <c r="B14214" t="s">
        <v>83</v>
      </c>
      <c r="C14214" t="s">
        <v>602</v>
      </c>
      <c r="D14214">
        <v>4880.0200000000004</v>
      </c>
      <c r="E14214" s="37" t="str">
        <f t="shared" si="1110"/>
        <v>Excellent Order</v>
      </c>
      <c r="F14214">
        <v>0.46</v>
      </c>
      <c r="G14214" s="37" t="str">
        <f t="shared" si="1111"/>
        <v>Heavy Discount</v>
      </c>
      <c r="H14214" s="37" t="str">
        <f t="shared" si="1112"/>
        <v>High</v>
      </c>
      <c r="I14214">
        <v>5</v>
      </c>
      <c r="J14214" t="str" cm="1">
        <f t="array" ref="J14214">_xlfn.IFS(I14214&lt;=3,"small",I14214&lt;=6,"Medium",I14214&lt;=9,"Large")</f>
        <v>Medium</v>
      </c>
      <c r="K14214" s="36">
        <v>44962</v>
      </c>
      <c r="L14214" s="36">
        <v>44969</v>
      </c>
      <c r="M14214" t="s">
        <v>598</v>
      </c>
      <c r="N14214" t="s">
        <v>608</v>
      </c>
      <c r="O14214" s="37" t="str">
        <f t="shared" si="1113"/>
        <v>Cash Payment</v>
      </c>
      <c r="P14214">
        <v>980.43</v>
      </c>
      <c r="Q14214" s="37" t="str">
        <f>IF(P14214&gt;500,"High","low")</f>
        <v>High</v>
      </c>
      <c r="R14214" s="37" t="str">
        <f t="shared" si="1114"/>
        <v>Good</v>
      </c>
      <c r="S14214" t="s">
        <v>605</v>
      </c>
    </row>
    <row r="14215" spans="1:19" x14ac:dyDescent="0.2">
      <c r="A14215" t="s">
        <v>14826</v>
      </c>
      <c r="B14215" t="s">
        <v>75</v>
      </c>
      <c r="C14215" t="s">
        <v>602</v>
      </c>
      <c r="D14215">
        <v>736.72</v>
      </c>
      <c r="E14215" s="37" t="str">
        <f t="shared" si="1110"/>
        <v xml:space="preserve"> </v>
      </c>
      <c r="F14215">
        <v>0.09</v>
      </c>
      <c r="G14215" s="37" t="str">
        <f t="shared" si="1111"/>
        <v>Normal Discount</v>
      </c>
      <c r="H14215" s="37" t="str">
        <f t="shared" si="1112"/>
        <v>Low</v>
      </c>
      <c r="I14215">
        <v>2</v>
      </c>
      <c r="J14215" t="str" cm="1">
        <f t="array" ref="J14215">_xlfn.IFS(I14215&lt;=3,"small",I14215&lt;=6,"Medium",I14215&lt;=9,"Large")</f>
        <v>small</v>
      </c>
      <c r="K14215" s="36">
        <v>45508</v>
      </c>
      <c r="L14215" s="36">
        <v>45515</v>
      </c>
      <c r="M14215" t="s">
        <v>598</v>
      </c>
      <c r="N14215" t="s">
        <v>604</v>
      </c>
      <c r="O14215" s="37" t="str">
        <f t="shared" si="1113"/>
        <v>Digital Payment</v>
      </c>
      <c r="P14215">
        <v>145.32</v>
      </c>
      <c r="Q14215" s="37" t="str">
        <f>IF(P14215&gt;500,"High","low")</f>
        <v>low</v>
      </c>
      <c r="R14215" s="37" t="str">
        <f t="shared" si="1114"/>
        <v>AVERAGE</v>
      </c>
      <c r="S14215" t="s">
        <v>628</v>
      </c>
    </row>
    <row r="14216" spans="1:19" x14ac:dyDescent="0.2">
      <c r="A14216" t="s">
        <v>14827</v>
      </c>
      <c r="B14216" t="s">
        <v>83</v>
      </c>
      <c r="C14216" t="s">
        <v>617</v>
      </c>
      <c r="D14216">
        <v>2279.5500000000002</v>
      </c>
      <c r="E14216" s="37" t="str">
        <f t="shared" si="1110"/>
        <v xml:space="preserve"> </v>
      </c>
      <c r="F14216">
        <v>0.39</v>
      </c>
      <c r="G14216" s="37" t="str">
        <f t="shared" si="1111"/>
        <v>Heavy Discount</v>
      </c>
      <c r="H14216" s="37" t="str">
        <f t="shared" si="1112"/>
        <v>Medium</v>
      </c>
      <c r="I14216">
        <v>4</v>
      </c>
      <c r="J14216" t="str" cm="1">
        <f t="array" ref="J14216">_xlfn.IFS(I14216&lt;=3,"small",I14216&lt;=6,"Medium",I14216&lt;=9,"Large")</f>
        <v>Medium</v>
      </c>
      <c r="K14216" s="36">
        <v>45394</v>
      </c>
      <c r="L14216" s="36">
        <v>45398</v>
      </c>
      <c r="M14216" t="s">
        <v>603</v>
      </c>
      <c r="N14216" t="s">
        <v>599</v>
      </c>
      <c r="O14216" s="37" t="str">
        <f t="shared" si="1113"/>
        <v>Digital Payment</v>
      </c>
      <c r="P14216">
        <v>571.74</v>
      </c>
      <c r="Q14216" s="37" t="str">
        <f>IF(P14216&gt;500,"High","low")</f>
        <v>High</v>
      </c>
      <c r="R14216" s="37" t="str">
        <f t="shared" si="1114"/>
        <v>Good</v>
      </c>
      <c r="S14216" t="s">
        <v>605</v>
      </c>
    </row>
    <row r="14217" spans="1:19" x14ac:dyDescent="0.2">
      <c r="A14217" t="s">
        <v>14828</v>
      </c>
      <c r="B14217" t="s">
        <v>83</v>
      </c>
      <c r="C14217" t="s">
        <v>602</v>
      </c>
      <c r="D14217">
        <v>2272.4299999999998</v>
      </c>
      <c r="E14217" s="37" t="str">
        <f t="shared" si="1110"/>
        <v xml:space="preserve"> </v>
      </c>
      <c r="F14217">
        <v>0.23</v>
      </c>
      <c r="G14217" s="37" t="str">
        <f t="shared" si="1111"/>
        <v>Normal Discount</v>
      </c>
      <c r="H14217" s="37" t="str">
        <f t="shared" si="1112"/>
        <v>Medium</v>
      </c>
      <c r="I14217">
        <v>8</v>
      </c>
      <c r="J14217" t="str" cm="1">
        <f t="array" ref="J14217">_xlfn.IFS(I14217&lt;=3,"small",I14217&lt;=6,"Medium",I14217&lt;=9,"Large")</f>
        <v>Large</v>
      </c>
      <c r="K14217" s="36">
        <v>45619</v>
      </c>
      <c r="L14217" s="36">
        <v>45620</v>
      </c>
      <c r="M14217" t="s">
        <v>603</v>
      </c>
      <c r="N14217" t="s">
        <v>608</v>
      </c>
      <c r="O14217" s="37" t="str">
        <f t="shared" si="1113"/>
        <v>Cash Payment</v>
      </c>
      <c r="P14217">
        <v>421.04</v>
      </c>
      <c r="Q14217" s="37" t="str">
        <f>IF(P14217&gt;500,"High","low")</f>
        <v>low</v>
      </c>
      <c r="R14217" s="37" t="str">
        <f t="shared" si="1114"/>
        <v>AVERAGE</v>
      </c>
      <c r="S14217" t="s">
        <v>628</v>
      </c>
    </row>
    <row r="14218" spans="1:19" x14ac:dyDescent="0.2">
      <c r="A14218" t="s">
        <v>14829</v>
      </c>
      <c r="B14218" t="s">
        <v>67</v>
      </c>
      <c r="C14218" t="s">
        <v>617</v>
      </c>
      <c r="D14218">
        <v>142.33000000000001</v>
      </c>
      <c r="E14218" s="37" t="str">
        <f t="shared" si="1110"/>
        <v xml:space="preserve"> </v>
      </c>
      <c r="F14218">
        <v>0.09</v>
      </c>
      <c r="G14218" s="37" t="str">
        <f t="shared" si="1111"/>
        <v>Normal Discount</v>
      </c>
      <c r="H14218" s="37" t="str">
        <f t="shared" si="1112"/>
        <v>Low</v>
      </c>
      <c r="I14218">
        <v>8</v>
      </c>
      <c r="J14218" t="str" cm="1">
        <f t="array" ref="J14218">_xlfn.IFS(I14218&lt;=3,"small",I14218&lt;=6,"Medium",I14218&lt;=9,"Large")</f>
        <v>Large</v>
      </c>
      <c r="K14218" s="36">
        <v>45074</v>
      </c>
      <c r="L14218" s="36">
        <v>45078</v>
      </c>
      <c r="M14218" t="s">
        <v>612</v>
      </c>
      <c r="N14218" t="s">
        <v>604</v>
      </c>
      <c r="O14218" s="37" t="str">
        <f t="shared" si="1113"/>
        <v>Digital Payment</v>
      </c>
      <c r="P14218">
        <v>41.71</v>
      </c>
      <c r="Q14218" s="37" t="str">
        <f>IF(P14218&gt;500,"High","low")</f>
        <v>low</v>
      </c>
      <c r="R14218" s="37" t="str">
        <f t="shared" si="1114"/>
        <v>AVERAGE</v>
      </c>
      <c r="S14218" t="s">
        <v>600</v>
      </c>
    </row>
    <row r="14219" spans="1:19" x14ac:dyDescent="0.2">
      <c r="A14219" t="s">
        <v>14830</v>
      </c>
      <c r="B14219" t="s">
        <v>75</v>
      </c>
      <c r="C14219" t="s">
        <v>607</v>
      </c>
      <c r="D14219">
        <v>3372.21</v>
      </c>
      <c r="E14219" s="37" t="str">
        <f t="shared" si="1110"/>
        <v xml:space="preserve"> </v>
      </c>
      <c r="F14219">
        <v>0.42</v>
      </c>
      <c r="G14219" s="37" t="str">
        <f t="shared" si="1111"/>
        <v>Heavy Discount</v>
      </c>
      <c r="H14219" s="37" t="str">
        <f t="shared" si="1112"/>
        <v>High</v>
      </c>
      <c r="I14219">
        <v>3</v>
      </c>
      <c r="J14219" t="str" cm="1">
        <f t="array" ref="J14219">_xlfn.IFS(I14219&lt;=3,"small",I14219&lt;=6,"Medium",I14219&lt;=9,"Large")</f>
        <v>small</v>
      </c>
      <c r="K14219" s="36">
        <v>45406</v>
      </c>
      <c r="L14219" s="36">
        <v>45407</v>
      </c>
      <c r="M14219" t="s">
        <v>603</v>
      </c>
      <c r="N14219" t="s">
        <v>604</v>
      </c>
      <c r="O14219" s="37" t="str">
        <f t="shared" si="1113"/>
        <v>Digital Payment</v>
      </c>
      <c r="P14219">
        <v>615.97</v>
      </c>
      <c r="Q14219" s="37" t="str">
        <f>IF(P14219&gt;500,"High","low")</f>
        <v>High</v>
      </c>
      <c r="R14219" s="37" t="str">
        <f t="shared" si="1114"/>
        <v>Good</v>
      </c>
      <c r="S14219" t="s">
        <v>628</v>
      </c>
    </row>
    <row r="14220" spans="1:19" x14ac:dyDescent="0.2">
      <c r="A14220" t="s">
        <v>14831</v>
      </c>
      <c r="B14220" t="s">
        <v>90</v>
      </c>
      <c r="C14220" t="s">
        <v>597</v>
      </c>
      <c r="D14220">
        <v>2737.23</v>
      </c>
      <c r="E14220" s="37" t="str">
        <f t="shared" si="1110"/>
        <v xml:space="preserve"> </v>
      </c>
      <c r="F14220">
        <v>0.41</v>
      </c>
      <c r="G14220" s="37" t="str">
        <f t="shared" si="1111"/>
        <v>Heavy Discount</v>
      </c>
      <c r="H14220" s="37" t="str">
        <f t="shared" si="1112"/>
        <v>High</v>
      </c>
      <c r="I14220">
        <v>8</v>
      </c>
      <c r="J14220" t="str" cm="1">
        <f t="array" ref="J14220">_xlfn.IFS(I14220&lt;=3,"small",I14220&lt;=6,"Medium",I14220&lt;=9,"Large")</f>
        <v>Large</v>
      </c>
      <c r="K14220" s="36">
        <v>45149</v>
      </c>
      <c r="L14220" s="36">
        <v>45151</v>
      </c>
      <c r="M14220" t="s">
        <v>612</v>
      </c>
      <c r="N14220" t="s">
        <v>599</v>
      </c>
      <c r="O14220" s="37" t="str">
        <f t="shared" si="1113"/>
        <v>Digital Payment</v>
      </c>
      <c r="P14220">
        <v>597.82000000000005</v>
      </c>
      <c r="Q14220" s="37" t="str">
        <f>IF(P14220&gt;500,"High","low")</f>
        <v>High</v>
      </c>
      <c r="R14220" s="37" t="str">
        <f t="shared" si="1114"/>
        <v>Good</v>
      </c>
      <c r="S14220" t="s">
        <v>628</v>
      </c>
    </row>
    <row r="14221" spans="1:19" x14ac:dyDescent="0.2">
      <c r="A14221" t="s">
        <v>14832</v>
      </c>
      <c r="B14221" t="s">
        <v>67</v>
      </c>
      <c r="C14221" t="s">
        <v>602</v>
      </c>
      <c r="D14221">
        <v>2537.73</v>
      </c>
      <c r="E14221" s="37" t="str">
        <f t="shared" si="1110"/>
        <v xml:space="preserve"> </v>
      </c>
      <c r="F14221">
        <v>0.02</v>
      </c>
      <c r="G14221" s="37" t="str">
        <f t="shared" si="1111"/>
        <v>Normal Discount</v>
      </c>
      <c r="H14221" s="37" t="str">
        <f t="shared" si="1112"/>
        <v>Low</v>
      </c>
      <c r="I14221">
        <v>9</v>
      </c>
      <c r="J14221" t="str" cm="1">
        <f t="array" ref="J14221">_xlfn.IFS(I14221&lt;=3,"small",I14221&lt;=6,"Medium",I14221&lt;=9,"Large")</f>
        <v>Large</v>
      </c>
      <c r="K14221" s="36">
        <v>45394</v>
      </c>
      <c r="L14221" s="36">
        <v>45400</v>
      </c>
      <c r="M14221" t="s">
        <v>603</v>
      </c>
      <c r="N14221" t="s">
        <v>599</v>
      </c>
      <c r="O14221" s="37" t="str">
        <f t="shared" si="1113"/>
        <v>Digital Payment</v>
      </c>
      <c r="P14221">
        <v>701.9</v>
      </c>
      <c r="Q14221" s="37" t="str">
        <f>IF(P14221&gt;500,"High","low")</f>
        <v>High</v>
      </c>
      <c r="R14221" s="37" t="str">
        <f t="shared" si="1114"/>
        <v>Good</v>
      </c>
      <c r="S14221" t="s">
        <v>609</v>
      </c>
    </row>
    <row r="14222" spans="1:19" x14ac:dyDescent="0.2">
      <c r="A14222" t="s">
        <v>14833</v>
      </c>
      <c r="B14222" t="s">
        <v>83</v>
      </c>
      <c r="C14222" t="s">
        <v>617</v>
      </c>
      <c r="D14222">
        <v>4108.62</v>
      </c>
      <c r="E14222" s="37" t="str">
        <f t="shared" si="1110"/>
        <v>Excellent Order</v>
      </c>
      <c r="F14222">
        <v>0.35</v>
      </c>
      <c r="G14222" s="37" t="str">
        <f t="shared" si="1111"/>
        <v>Heavy Discount</v>
      </c>
      <c r="H14222" s="37" t="str">
        <f t="shared" si="1112"/>
        <v>Medium</v>
      </c>
      <c r="I14222">
        <v>2</v>
      </c>
      <c r="J14222" t="str" cm="1">
        <f t="array" ref="J14222">_xlfn.IFS(I14222&lt;=3,"small",I14222&lt;=6,"Medium",I14222&lt;=9,"Large")</f>
        <v>small</v>
      </c>
      <c r="K14222" s="36">
        <v>45553</v>
      </c>
      <c r="L14222" s="36">
        <v>45559</v>
      </c>
      <c r="M14222" t="s">
        <v>598</v>
      </c>
      <c r="N14222" t="s">
        <v>599</v>
      </c>
      <c r="O14222" s="37" t="str">
        <f t="shared" si="1113"/>
        <v>Digital Payment</v>
      </c>
      <c r="P14222">
        <v>945.14</v>
      </c>
      <c r="Q14222" s="37" t="str">
        <f>IF(P14222&gt;500,"High","low")</f>
        <v>High</v>
      </c>
      <c r="R14222" s="37" t="str">
        <f t="shared" si="1114"/>
        <v>Good</v>
      </c>
      <c r="S14222" t="s">
        <v>600</v>
      </c>
    </row>
    <row r="14223" spans="1:19" x14ac:dyDescent="0.2">
      <c r="A14223" t="s">
        <v>14834</v>
      </c>
      <c r="B14223" t="s">
        <v>75</v>
      </c>
      <c r="C14223" t="s">
        <v>614</v>
      </c>
      <c r="D14223">
        <v>1281.57</v>
      </c>
      <c r="E14223" s="37" t="str">
        <f t="shared" si="1110"/>
        <v xml:space="preserve"> </v>
      </c>
      <c r="F14223">
        <v>0.08</v>
      </c>
      <c r="G14223" s="37" t="str">
        <f t="shared" si="1111"/>
        <v>Normal Discount</v>
      </c>
      <c r="H14223" s="37" t="str">
        <f t="shared" si="1112"/>
        <v>Low</v>
      </c>
      <c r="I14223">
        <v>6</v>
      </c>
      <c r="J14223" t="str" cm="1">
        <f t="array" ref="J14223">_xlfn.IFS(I14223&lt;=3,"small",I14223&lt;=6,"Medium",I14223&lt;=9,"Large")</f>
        <v>Medium</v>
      </c>
      <c r="K14223" s="36">
        <v>45053</v>
      </c>
      <c r="L14223" s="36">
        <v>45059</v>
      </c>
      <c r="M14223" t="s">
        <v>603</v>
      </c>
      <c r="N14223" t="s">
        <v>608</v>
      </c>
      <c r="O14223" s="37" t="str">
        <f t="shared" si="1113"/>
        <v>Cash Payment</v>
      </c>
      <c r="P14223">
        <v>297.76</v>
      </c>
      <c r="Q14223" s="37" t="str">
        <f>IF(P14223&gt;500,"High","low")</f>
        <v>low</v>
      </c>
      <c r="R14223" s="37" t="str">
        <f t="shared" si="1114"/>
        <v>AVERAGE</v>
      </c>
      <c r="S14223" t="s">
        <v>628</v>
      </c>
    </row>
    <row r="14224" spans="1:19" x14ac:dyDescent="0.2">
      <c r="A14224" t="s">
        <v>14835</v>
      </c>
      <c r="B14224" t="s">
        <v>90</v>
      </c>
      <c r="C14224" t="s">
        <v>602</v>
      </c>
      <c r="D14224">
        <v>4319.37</v>
      </c>
      <c r="E14224" s="37" t="str">
        <f t="shared" si="1110"/>
        <v xml:space="preserve"> </v>
      </c>
      <c r="F14224">
        <v>0.31</v>
      </c>
      <c r="G14224" s="37" t="str">
        <f t="shared" si="1111"/>
        <v>Heavy Discount</v>
      </c>
      <c r="H14224" s="37" t="str">
        <f t="shared" si="1112"/>
        <v>Medium</v>
      </c>
      <c r="I14224">
        <v>3</v>
      </c>
      <c r="J14224" t="str" cm="1">
        <f t="array" ref="J14224">_xlfn.IFS(I14224&lt;=3,"small",I14224&lt;=6,"Medium",I14224&lt;=9,"Large")</f>
        <v>small</v>
      </c>
      <c r="K14224" s="36">
        <v>45532</v>
      </c>
      <c r="L14224" s="36">
        <v>45536</v>
      </c>
      <c r="M14224" t="s">
        <v>612</v>
      </c>
      <c r="N14224" t="s">
        <v>608</v>
      </c>
      <c r="O14224" s="37" t="str">
        <f t="shared" si="1113"/>
        <v>Cash Payment</v>
      </c>
      <c r="P14224">
        <v>278.58</v>
      </c>
      <c r="Q14224" s="37" t="str">
        <f>IF(P14224&gt;500,"High","low")</f>
        <v>low</v>
      </c>
      <c r="R14224" s="37" t="str">
        <f t="shared" si="1114"/>
        <v>AVERAGE</v>
      </c>
      <c r="S14224" t="s">
        <v>620</v>
      </c>
    </row>
    <row r="14225" spans="1:19" x14ac:dyDescent="0.2">
      <c r="A14225" t="s">
        <v>14836</v>
      </c>
      <c r="B14225" t="s">
        <v>90</v>
      </c>
      <c r="C14225" t="s">
        <v>602</v>
      </c>
      <c r="D14225">
        <v>4337.42</v>
      </c>
      <c r="E14225" s="37" t="str">
        <f t="shared" si="1110"/>
        <v xml:space="preserve"> </v>
      </c>
      <c r="F14225">
        <v>0.32</v>
      </c>
      <c r="G14225" s="37" t="str">
        <f t="shared" si="1111"/>
        <v>Heavy Discount</v>
      </c>
      <c r="H14225" s="37" t="str">
        <f t="shared" si="1112"/>
        <v>Medium</v>
      </c>
      <c r="I14225">
        <v>5</v>
      </c>
      <c r="J14225" t="str" cm="1">
        <f t="array" ref="J14225">_xlfn.IFS(I14225&lt;=3,"small",I14225&lt;=6,"Medium",I14225&lt;=9,"Large")</f>
        <v>Medium</v>
      </c>
      <c r="K14225" s="36">
        <v>45185</v>
      </c>
      <c r="L14225" s="36">
        <v>45191</v>
      </c>
      <c r="M14225" t="s">
        <v>603</v>
      </c>
      <c r="N14225" t="s">
        <v>608</v>
      </c>
      <c r="O14225" s="37" t="str">
        <f t="shared" si="1113"/>
        <v>Cash Payment</v>
      </c>
      <c r="P14225">
        <v>308.32</v>
      </c>
      <c r="Q14225" s="37" t="str">
        <f>IF(P14225&gt;500,"High","low")</f>
        <v>low</v>
      </c>
      <c r="R14225" s="37" t="str">
        <f t="shared" si="1114"/>
        <v>AVERAGE</v>
      </c>
      <c r="S14225" t="s">
        <v>605</v>
      </c>
    </row>
    <row r="14226" spans="1:19" x14ac:dyDescent="0.2">
      <c r="A14226" t="s">
        <v>14837</v>
      </c>
      <c r="B14226" t="s">
        <v>83</v>
      </c>
      <c r="C14226" t="s">
        <v>617</v>
      </c>
      <c r="D14226">
        <v>4151.63</v>
      </c>
      <c r="E14226" s="37" t="str">
        <f t="shared" si="1110"/>
        <v xml:space="preserve"> </v>
      </c>
      <c r="F14226">
        <v>0.33</v>
      </c>
      <c r="G14226" s="37" t="str">
        <f t="shared" si="1111"/>
        <v>Heavy Discount</v>
      </c>
      <c r="H14226" s="37" t="str">
        <f t="shared" si="1112"/>
        <v>Medium</v>
      </c>
      <c r="I14226">
        <v>4</v>
      </c>
      <c r="J14226" t="str" cm="1">
        <f t="array" ref="J14226">_xlfn.IFS(I14226&lt;=3,"small",I14226&lt;=6,"Medium",I14226&lt;=9,"Large")</f>
        <v>Medium</v>
      </c>
      <c r="K14226" s="36">
        <v>45650</v>
      </c>
      <c r="L14226" s="36">
        <v>45653</v>
      </c>
      <c r="M14226" t="s">
        <v>612</v>
      </c>
      <c r="N14226" t="s">
        <v>599</v>
      </c>
      <c r="O14226" s="37" t="str">
        <f t="shared" si="1113"/>
        <v>Digital Payment</v>
      </c>
      <c r="P14226">
        <v>492.63</v>
      </c>
      <c r="Q14226" s="37" t="str">
        <f>IF(P14226&gt;500,"High","low")</f>
        <v>low</v>
      </c>
      <c r="R14226" s="37" t="str">
        <f t="shared" si="1114"/>
        <v>AVERAGE</v>
      </c>
      <c r="S14226" t="s">
        <v>600</v>
      </c>
    </row>
    <row r="14227" spans="1:19" x14ac:dyDescent="0.2">
      <c r="A14227" t="s">
        <v>14838</v>
      </c>
      <c r="B14227" t="s">
        <v>90</v>
      </c>
      <c r="C14227" t="s">
        <v>614</v>
      </c>
      <c r="D14227">
        <v>1772.85</v>
      </c>
      <c r="E14227" s="37" t="str">
        <f t="shared" si="1110"/>
        <v xml:space="preserve"> </v>
      </c>
      <c r="F14227">
        <v>0.06</v>
      </c>
      <c r="G14227" s="37" t="str">
        <f t="shared" si="1111"/>
        <v>Normal Discount</v>
      </c>
      <c r="H14227" s="37" t="str">
        <f t="shared" si="1112"/>
        <v>Low</v>
      </c>
      <c r="I14227">
        <v>8</v>
      </c>
      <c r="J14227" t="str" cm="1">
        <f t="array" ref="J14227">_xlfn.IFS(I14227&lt;=3,"small",I14227&lt;=6,"Medium",I14227&lt;=9,"Large")</f>
        <v>Large</v>
      </c>
      <c r="K14227" s="36">
        <v>45446</v>
      </c>
      <c r="L14227" s="36">
        <v>45450</v>
      </c>
      <c r="M14227" t="s">
        <v>612</v>
      </c>
      <c r="N14227" t="s">
        <v>604</v>
      </c>
      <c r="O14227" s="37" t="str">
        <f t="shared" si="1113"/>
        <v>Digital Payment</v>
      </c>
      <c r="P14227">
        <v>338.08</v>
      </c>
      <c r="Q14227" s="37" t="str">
        <f>IF(P14227&gt;500,"High","low")</f>
        <v>low</v>
      </c>
      <c r="R14227" s="37" t="str">
        <f t="shared" si="1114"/>
        <v>AVERAGE</v>
      </c>
      <c r="S14227" t="s">
        <v>605</v>
      </c>
    </row>
    <row r="14228" spans="1:19" x14ac:dyDescent="0.2">
      <c r="A14228" t="s">
        <v>14839</v>
      </c>
      <c r="B14228" t="s">
        <v>90</v>
      </c>
      <c r="C14228" t="s">
        <v>614</v>
      </c>
      <c r="D14228">
        <v>896.53</v>
      </c>
      <c r="E14228" s="37" t="str">
        <f t="shared" si="1110"/>
        <v xml:space="preserve"> </v>
      </c>
      <c r="F14228">
        <v>0.3</v>
      </c>
      <c r="G14228" s="37" t="str">
        <f t="shared" si="1111"/>
        <v>Normal Discount</v>
      </c>
      <c r="H14228" s="37" t="str">
        <f t="shared" si="1112"/>
        <v>Medium</v>
      </c>
      <c r="I14228">
        <v>7</v>
      </c>
      <c r="J14228" t="str" cm="1">
        <f t="array" ref="J14228">_xlfn.IFS(I14228&lt;=3,"small",I14228&lt;=6,"Medium",I14228&lt;=9,"Large")</f>
        <v>Large</v>
      </c>
      <c r="K14228" s="36">
        <v>45182</v>
      </c>
      <c r="L14228" s="36">
        <v>45184</v>
      </c>
      <c r="M14228" t="s">
        <v>612</v>
      </c>
      <c r="N14228" t="s">
        <v>604</v>
      </c>
      <c r="O14228" s="37" t="str">
        <f t="shared" si="1113"/>
        <v>Digital Payment</v>
      </c>
      <c r="P14228">
        <v>243.06</v>
      </c>
      <c r="Q14228" s="37" t="str">
        <f>IF(P14228&gt;500,"High","low")</f>
        <v>low</v>
      </c>
      <c r="R14228" s="37" t="str">
        <f t="shared" si="1114"/>
        <v>AVERAGE</v>
      </c>
      <c r="S14228" t="s">
        <v>620</v>
      </c>
    </row>
    <row r="14229" spans="1:19" x14ac:dyDescent="0.2">
      <c r="A14229" t="s">
        <v>14840</v>
      </c>
      <c r="B14229" t="s">
        <v>75</v>
      </c>
      <c r="C14229" t="s">
        <v>607</v>
      </c>
      <c r="D14229">
        <v>2428.37</v>
      </c>
      <c r="E14229" s="37" t="str">
        <f t="shared" si="1110"/>
        <v xml:space="preserve"> </v>
      </c>
      <c r="F14229">
        <v>0.05</v>
      </c>
      <c r="G14229" s="37" t="str">
        <f t="shared" si="1111"/>
        <v>Normal Discount</v>
      </c>
      <c r="H14229" s="37" t="str">
        <f t="shared" si="1112"/>
        <v>Low</v>
      </c>
      <c r="I14229">
        <v>7</v>
      </c>
      <c r="J14229" t="str" cm="1">
        <f t="array" ref="J14229">_xlfn.IFS(I14229&lt;=3,"small",I14229&lt;=6,"Medium",I14229&lt;=9,"Large")</f>
        <v>Large</v>
      </c>
      <c r="K14229" s="36">
        <v>45333</v>
      </c>
      <c r="L14229" s="36">
        <v>45334</v>
      </c>
      <c r="M14229" t="s">
        <v>612</v>
      </c>
      <c r="N14229" t="s">
        <v>599</v>
      </c>
      <c r="O14229" s="37" t="str">
        <f t="shared" si="1113"/>
        <v>Digital Payment</v>
      </c>
      <c r="P14229">
        <v>174.6</v>
      </c>
      <c r="Q14229" s="37" t="str">
        <f>IF(P14229&gt;500,"High","low")</f>
        <v>low</v>
      </c>
      <c r="R14229" s="37" t="str">
        <f t="shared" si="1114"/>
        <v>AVERAGE</v>
      </c>
      <c r="S14229" t="s">
        <v>600</v>
      </c>
    </row>
    <row r="14230" spans="1:19" x14ac:dyDescent="0.2">
      <c r="A14230" t="s">
        <v>14841</v>
      </c>
      <c r="B14230" t="s">
        <v>67</v>
      </c>
      <c r="C14230" t="s">
        <v>602</v>
      </c>
      <c r="D14230">
        <v>1373.22</v>
      </c>
      <c r="E14230" s="37" t="str">
        <f t="shared" si="1110"/>
        <v xml:space="preserve"> </v>
      </c>
      <c r="F14230">
        <v>0.37</v>
      </c>
      <c r="G14230" s="37" t="str">
        <f t="shared" si="1111"/>
        <v>Heavy Discount</v>
      </c>
      <c r="H14230" s="37" t="str">
        <f t="shared" si="1112"/>
        <v>Medium</v>
      </c>
      <c r="I14230">
        <v>1</v>
      </c>
      <c r="J14230" t="str" cm="1">
        <f t="array" ref="J14230">_xlfn.IFS(I14230&lt;=3,"small",I14230&lt;=6,"Medium",I14230&lt;=9,"Large")</f>
        <v>small</v>
      </c>
      <c r="K14230" s="36">
        <v>45556</v>
      </c>
      <c r="L14230" s="36">
        <v>45563</v>
      </c>
      <c r="M14230" t="s">
        <v>598</v>
      </c>
      <c r="N14230" t="s">
        <v>608</v>
      </c>
      <c r="O14230" s="37" t="str">
        <f t="shared" si="1113"/>
        <v>Cash Payment</v>
      </c>
      <c r="P14230">
        <v>117.43</v>
      </c>
      <c r="Q14230" s="37" t="str">
        <f>IF(P14230&gt;500,"High","low")</f>
        <v>low</v>
      </c>
      <c r="R14230" s="37" t="str">
        <f t="shared" si="1114"/>
        <v>AVERAGE</v>
      </c>
      <c r="S14230" t="s">
        <v>628</v>
      </c>
    </row>
    <row r="14231" spans="1:19" x14ac:dyDescent="0.2">
      <c r="A14231" t="s">
        <v>14842</v>
      </c>
      <c r="B14231" t="s">
        <v>75</v>
      </c>
      <c r="C14231" t="s">
        <v>597</v>
      </c>
      <c r="D14231">
        <v>355.69</v>
      </c>
      <c r="E14231" s="37" t="str">
        <f t="shared" si="1110"/>
        <v xml:space="preserve"> </v>
      </c>
      <c r="F14231">
        <v>0.03</v>
      </c>
      <c r="G14231" s="37" t="str">
        <f t="shared" si="1111"/>
        <v>Normal Discount</v>
      </c>
      <c r="H14231" s="37" t="str">
        <f t="shared" si="1112"/>
        <v>Low</v>
      </c>
      <c r="I14231">
        <v>6</v>
      </c>
      <c r="J14231" t="str" cm="1">
        <f t="array" ref="J14231">_xlfn.IFS(I14231&lt;=3,"small",I14231&lt;=6,"Medium",I14231&lt;=9,"Large")</f>
        <v>Medium</v>
      </c>
      <c r="K14231" s="36">
        <v>45439</v>
      </c>
      <c r="L14231" s="36">
        <v>45441</v>
      </c>
      <c r="M14231" t="s">
        <v>603</v>
      </c>
      <c r="N14231" t="s">
        <v>604</v>
      </c>
      <c r="O14231" s="37" t="str">
        <f t="shared" si="1113"/>
        <v>Digital Payment</v>
      </c>
      <c r="P14231">
        <v>64.81</v>
      </c>
      <c r="Q14231" s="37" t="str">
        <f>IF(P14231&gt;500,"High","low")</f>
        <v>low</v>
      </c>
      <c r="R14231" s="37" t="str">
        <f t="shared" si="1114"/>
        <v>AVERAGE</v>
      </c>
      <c r="S14231" t="s">
        <v>605</v>
      </c>
    </row>
    <row r="14232" spans="1:19" x14ac:dyDescent="0.2">
      <c r="A14232" t="s">
        <v>14843</v>
      </c>
      <c r="B14232" t="s">
        <v>67</v>
      </c>
      <c r="C14232" t="s">
        <v>602</v>
      </c>
      <c r="D14232">
        <v>1469.4</v>
      </c>
      <c r="E14232" s="37" t="str">
        <f t="shared" si="1110"/>
        <v xml:space="preserve"> </v>
      </c>
      <c r="F14232">
        <v>0.38</v>
      </c>
      <c r="G14232" s="37" t="str">
        <f t="shared" si="1111"/>
        <v>Heavy Discount</v>
      </c>
      <c r="H14232" s="37" t="str">
        <f t="shared" si="1112"/>
        <v>Medium</v>
      </c>
      <c r="I14232">
        <v>2</v>
      </c>
      <c r="J14232" t="str" cm="1">
        <f t="array" ref="J14232">_xlfn.IFS(I14232&lt;=3,"small",I14232&lt;=6,"Medium",I14232&lt;=9,"Large")</f>
        <v>small</v>
      </c>
      <c r="K14232" s="36">
        <v>44928</v>
      </c>
      <c r="L14232" s="36">
        <v>44930</v>
      </c>
      <c r="M14232" t="s">
        <v>603</v>
      </c>
      <c r="N14232" t="s">
        <v>604</v>
      </c>
      <c r="O14232" s="37" t="str">
        <f t="shared" si="1113"/>
        <v>Digital Payment</v>
      </c>
      <c r="P14232">
        <v>124.19</v>
      </c>
      <c r="Q14232" s="37" t="str">
        <f>IF(P14232&gt;500,"High","low")</f>
        <v>low</v>
      </c>
      <c r="R14232" s="37" t="str">
        <f t="shared" si="1114"/>
        <v>AVERAGE</v>
      </c>
      <c r="S14232" t="s">
        <v>615</v>
      </c>
    </row>
    <row r="14233" spans="1:19" x14ac:dyDescent="0.2">
      <c r="A14233" t="s">
        <v>14844</v>
      </c>
      <c r="B14233" t="s">
        <v>67</v>
      </c>
      <c r="C14233" t="s">
        <v>597</v>
      </c>
      <c r="D14233">
        <v>2398.73</v>
      </c>
      <c r="E14233" s="37" t="str">
        <f t="shared" si="1110"/>
        <v xml:space="preserve"> </v>
      </c>
      <c r="F14233">
        <v>0.44</v>
      </c>
      <c r="G14233" s="37" t="str">
        <f t="shared" si="1111"/>
        <v>Heavy Discount</v>
      </c>
      <c r="H14233" s="37" t="str">
        <f t="shared" si="1112"/>
        <v>High</v>
      </c>
      <c r="I14233">
        <v>8</v>
      </c>
      <c r="J14233" t="str" cm="1">
        <f t="array" ref="J14233">_xlfn.IFS(I14233&lt;=3,"small",I14233&lt;=6,"Medium",I14233&lt;=9,"Large")</f>
        <v>Large</v>
      </c>
      <c r="K14233" s="36">
        <v>45512</v>
      </c>
      <c r="L14233" s="36">
        <v>45519</v>
      </c>
      <c r="M14233" t="s">
        <v>603</v>
      </c>
      <c r="N14233" t="s">
        <v>604</v>
      </c>
      <c r="O14233" s="37" t="str">
        <f t="shared" si="1113"/>
        <v>Digital Payment</v>
      </c>
      <c r="P14233">
        <v>401.06</v>
      </c>
      <c r="Q14233" s="37" t="str">
        <f>IF(P14233&gt;500,"High","low")</f>
        <v>low</v>
      </c>
      <c r="R14233" s="37" t="str">
        <f t="shared" si="1114"/>
        <v>AVERAGE</v>
      </c>
      <c r="S14233" t="s">
        <v>600</v>
      </c>
    </row>
    <row r="14234" spans="1:19" x14ac:dyDescent="0.2">
      <c r="A14234" t="s">
        <v>14845</v>
      </c>
      <c r="B14234" t="s">
        <v>67</v>
      </c>
      <c r="C14234" t="s">
        <v>597</v>
      </c>
      <c r="D14234">
        <v>652.4</v>
      </c>
      <c r="E14234" s="37" t="str">
        <f t="shared" si="1110"/>
        <v xml:space="preserve"> </v>
      </c>
      <c r="F14234">
        <v>0.15</v>
      </c>
      <c r="G14234" s="37" t="str">
        <f t="shared" si="1111"/>
        <v>Normal Discount</v>
      </c>
      <c r="H14234" s="37" t="str">
        <f t="shared" si="1112"/>
        <v>Low</v>
      </c>
      <c r="I14234">
        <v>6</v>
      </c>
      <c r="J14234" t="str" cm="1">
        <f t="array" ref="J14234">_xlfn.IFS(I14234&lt;=3,"small",I14234&lt;=6,"Medium",I14234&lt;=9,"Large")</f>
        <v>Medium</v>
      </c>
      <c r="K14234" s="36">
        <v>45219</v>
      </c>
      <c r="L14234" s="36">
        <v>45223</v>
      </c>
      <c r="M14234" t="s">
        <v>598</v>
      </c>
      <c r="N14234" t="s">
        <v>604</v>
      </c>
      <c r="O14234" s="37" t="str">
        <f t="shared" si="1113"/>
        <v>Digital Payment</v>
      </c>
      <c r="P14234">
        <v>179.96</v>
      </c>
      <c r="Q14234" s="37" t="str">
        <f>IF(P14234&gt;500,"High","low")</f>
        <v>low</v>
      </c>
      <c r="R14234" s="37" t="str">
        <f t="shared" si="1114"/>
        <v>AVERAGE</v>
      </c>
      <c r="S14234" t="s">
        <v>605</v>
      </c>
    </row>
    <row r="14235" spans="1:19" x14ac:dyDescent="0.2">
      <c r="A14235" t="s">
        <v>14846</v>
      </c>
      <c r="B14235" t="s">
        <v>90</v>
      </c>
      <c r="C14235" t="s">
        <v>617</v>
      </c>
      <c r="D14235">
        <v>4727.24</v>
      </c>
      <c r="E14235" s="37" t="str">
        <f t="shared" si="1110"/>
        <v>Excellent Order</v>
      </c>
      <c r="F14235">
        <v>0.39</v>
      </c>
      <c r="G14235" s="37" t="str">
        <f t="shared" si="1111"/>
        <v>Heavy Discount</v>
      </c>
      <c r="H14235" s="37" t="str">
        <f t="shared" si="1112"/>
        <v>Medium</v>
      </c>
      <c r="I14235">
        <v>9</v>
      </c>
      <c r="J14235" t="str" cm="1">
        <f t="array" ref="J14235">_xlfn.IFS(I14235&lt;=3,"small",I14235&lt;=6,"Medium",I14235&lt;=9,"Large")</f>
        <v>Large</v>
      </c>
      <c r="K14235" s="36">
        <v>45020</v>
      </c>
      <c r="L14235" s="36">
        <v>45023</v>
      </c>
      <c r="M14235" t="s">
        <v>603</v>
      </c>
      <c r="N14235" t="s">
        <v>608</v>
      </c>
      <c r="O14235" s="37" t="str">
        <f t="shared" si="1113"/>
        <v>Cash Payment</v>
      </c>
      <c r="P14235">
        <v>1118.97</v>
      </c>
      <c r="Q14235" s="37" t="str">
        <f>IF(P14235&gt;500,"High","low")</f>
        <v>High</v>
      </c>
      <c r="R14235" s="37" t="str">
        <f t="shared" si="1114"/>
        <v>Excellent</v>
      </c>
      <c r="S14235" t="s">
        <v>605</v>
      </c>
    </row>
    <row r="14236" spans="1:19" x14ac:dyDescent="0.2">
      <c r="A14236" t="s">
        <v>14847</v>
      </c>
      <c r="B14236" t="s">
        <v>75</v>
      </c>
      <c r="C14236" t="s">
        <v>602</v>
      </c>
      <c r="D14236">
        <v>3314.9</v>
      </c>
      <c r="E14236" s="37" t="str">
        <f t="shared" si="1110"/>
        <v xml:space="preserve"> </v>
      </c>
      <c r="F14236">
        <v>0.21</v>
      </c>
      <c r="G14236" s="37" t="str">
        <f t="shared" si="1111"/>
        <v>Normal Discount</v>
      </c>
      <c r="H14236" s="37" t="str">
        <f t="shared" si="1112"/>
        <v>Medium</v>
      </c>
      <c r="I14236">
        <v>1</v>
      </c>
      <c r="J14236" t="str" cm="1">
        <f t="array" ref="J14236">_xlfn.IFS(I14236&lt;=3,"small",I14236&lt;=6,"Medium",I14236&lt;=9,"Large")</f>
        <v>small</v>
      </c>
      <c r="K14236" s="36">
        <v>44977</v>
      </c>
      <c r="L14236" s="36">
        <v>44980</v>
      </c>
      <c r="M14236" t="s">
        <v>598</v>
      </c>
      <c r="N14236" t="s">
        <v>608</v>
      </c>
      <c r="O14236" s="37" t="str">
        <f t="shared" si="1113"/>
        <v>Cash Payment</v>
      </c>
      <c r="P14236">
        <v>784.49</v>
      </c>
      <c r="Q14236" s="37" t="str">
        <f>IF(P14236&gt;500,"High","low")</f>
        <v>High</v>
      </c>
      <c r="R14236" s="37" t="str">
        <f t="shared" si="1114"/>
        <v>Good</v>
      </c>
      <c r="S14236" t="s">
        <v>628</v>
      </c>
    </row>
    <row r="14237" spans="1:19" x14ac:dyDescent="0.2">
      <c r="A14237" t="s">
        <v>14848</v>
      </c>
      <c r="B14237" t="s">
        <v>90</v>
      </c>
      <c r="C14237" t="s">
        <v>617</v>
      </c>
      <c r="D14237">
        <v>768.07</v>
      </c>
      <c r="E14237" s="37" t="str">
        <f t="shared" si="1110"/>
        <v xml:space="preserve"> </v>
      </c>
      <c r="F14237">
        <v>0.4</v>
      </c>
      <c r="G14237" s="37" t="str">
        <f t="shared" si="1111"/>
        <v>Heavy Discount</v>
      </c>
      <c r="H14237" s="37" t="str">
        <f t="shared" si="1112"/>
        <v>Medium</v>
      </c>
      <c r="I14237">
        <v>8</v>
      </c>
      <c r="J14237" t="str" cm="1">
        <f t="array" ref="J14237">_xlfn.IFS(I14237&lt;=3,"small",I14237&lt;=6,"Medium",I14237&lt;=9,"Large")</f>
        <v>Large</v>
      </c>
      <c r="K14237" s="36">
        <v>45098</v>
      </c>
      <c r="L14237" s="36">
        <v>45102</v>
      </c>
      <c r="M14237" t="s">
        <v>612</v>
      </c>
      <c r="N14237" t="s">
        <v>608</v>
      </c>
      <c r="O14237" s="37" t="str">
        <f t="shared" si="1113"/>
        <v>Cash Payment</v>
      </c>
      <c r="P14237">
        <v>118.5</v>
      </c>
      <c r="Q14237" s="37" t="str">
        <f>IF(P14237&gt;500,"High","low")</f>
        <v>low</v>
      </c>
      <c r="R14237" s="37" t="str">
        <f t="shared" si="1114"/>
        <v>AVERAGE</v>
      </c>
      <c r="S14237" t="s">
        <v>600</v>
      </c>
    </row>
    <row r="14238" spans="1:19" x14ac:dyDescent="0.2">
      <c r="A14238" t="s">
        <v>14849</v>
      </c>
      <c r="B14238" t="s">
        <v>83</v>
      </c>
      <c r="C14238" t="s">
        <v>607</v>
      </c>
      <c r="D14238">
        <v>4079.11</v>
      </c>
      <c r="E14238" s="37" t="str">
        <f t="shared" si="1110"/>
        <v>Excellent Order</v>
      </c>
      <c r="F14238">
        <v>0.34</v>
      </c>
      <c r="G14238" s="37" t="str">
        <f t="shared" si="1111"/>
        <v>Heavy Discount</v>
      </c>
      <c r="H14238" s="37" t="str">
        <f t="shared" si="1112"/>
        <v>Medium</v>
      </c>
      <c r="I14238">
        <v>2</v>
      </c>
      <c r="J14238" t="str" cm="1">
        <f t="array" ref="J14238">_xlfn.IFS(I14238&lt;=3,"small",I14238&lt;=6,"Medium",I14238&lt;=9,"Large")</f>
        <v>small</v>
      </c>
      <c r="K14238" s="36">
        <v>45078</v>
      </c>
      <c r="L14238" s="36">
        <v>45081</v>
      </c>
      <c r="M14238" t="s">
        <v>612</v>
      </c>
      <c r="N14238" t="s">
        <v>604</v>
      </c>
      <c r="O14238" s="37" t="str">
        <f t="shared" si="1113"/>
        <v>Digital Payment</v>
      </c>
      <c r="P14238">
        <v>892.05</v>
      </c>
      <c r="Q14238" s="37" t="str">
        <f>IF(P14238&gt;500,"High","low")</f>
        <v>High</v>
      </c>
      <c r="R14238" s="37" t="str">
        <f t="shared" si="1114"/>
        <v>Good</v>
      </c>
      <c r="S14238" t="s">
        <v>600</v>
      </c>
    </row>
    <row r="14239" spans="1:19" x14ac:dyDescent="0.2">
      <c r="A14239" t="s">
        <v>14850</v>
      </c>
      <c r="B14239" t="s">
        <v>75</v>
      </c>
      <c r="C14239" t="s">
        <v>597</v>
      </c>
      <c r="D14239">
        <v>4647.63</v>
      </c>
      <c r="E14239" s="37" t="str">
        <f t="shared" si="1110"/>
        <v>Excellent Order</v>
      </c>
      <c r="F14239">
        <v>0.14000000000000001</v>
      </c>
      <c r="G14239" s="37" t="str">
        <f t="shared" si="1111"/>
        <v>Normal Discount</v>
      </c>
      <c r="H14239" s="37" t="str">
        <f t="shared" si="1112"/>
        <v>Low</v>
      </c>
      <c r="I14239">
        <v>7</v>
      </c>
      <c r="J14239" t="str" cm="1">
        <f t="array" ref="J14239">_xlfn.IFS(I14239&lt;=3,"small",I14239&lt;=6,"Medium",I14239&lt;=9,"Large")</f>
        <v>Large</v>
      </c>
      <c r="K14239" s="36">
        <v>45086</v>
      </c>
      <c r="L14239" s="36">
        <v>45092</v>
      </c>
      <c r="M14239" t="s">
        <v>598</v>
      </c>
      <c r="N14239" t="s">
        <v>608</v>
      </c>
      <c r="O14239" s="37" t="str">
        <f t="shared" si="1113"/>
        <v>Cash Payment</v>
      </c>
      <c r="P14239">
        <v>1088.54</v>
      </c>
      <c r="Q14239" s="37" t="str">
        <f>IF(P14239&gt;500,"High","low")</f>
        <v>High</v>
      </c>
      <c r="R14239" s="37" t="str">
        <f t="shared" si="1114"/>
        <v>Excellent</v>
      </c>
      <c r="S14239" t="s">
        <v>620</v>
      </c>
    </row>
    <row r="14240" spans="1:19" x14ac:dyDescent="0.2">
      <c r="A14240" t="s">
        <v>14851</v>
      </c>
      <c r="B14240" t="s">
        <v>67</v>
      </c>
      <c r="C14240" t="s">
        <v>614</v>
      </c>
      <c r="D14240">
        <v>1387.64</v>
      </c>
      <c r="E14240" s="37" t="str">
        <f t="shared" si="1110"/>
        <v xml:space="preserve"> </v>
      </c>
      <c r="F14240">
        <v>0.1</v>
      </c>
      <c r="G14240" s="37" t="str">
        <f t="shared" si="1111"/>
        <v>Normal Discount</v>
      </c>
      <c r="H14240" s="37" t="str">
        <f t="shared" si="1112"/>
        <v>Low</v>
      </c>
      <c r="I14240">
        <v>3</v>
      </c>
      <c r="J14240" t="str" cm="1">
        <f t="array" ref="J14240">_xlfn.IFS(I14240&lt;=3,"small",I14240&lt;=6,"Medium",I14240&lt;=9,"Large")</f>
        <v>small</v>
      </c>
      <c r="K14240" s="36">
        <v>45110</v>
      </c>
      <c r="L14240" s="36">
        <v>45117</v>
      </c>
      <c r="M14240" t="s">
        <v>598</v>
      </c>
      <c r="N14240" t="s">
        <v>604</v>
      </c>
      <c r="O14240" s="37" t="str">
        <f t="shared" si="1113"/>
        <v>Digital Payment</v>
      </c>
      <c r="P14240">
        <v>76.39</v>
      </c>
      <c r="Q14240" s="37" t="str">
        <f>IF(P14240&gt;500,"High","low")</f>
        <v>low</v>
      </c>
      <c r="R14240" s="37" t="str">
        <f t="shared" si="1114"/>
        <v>AVERAGE</v>
      </c>
      <c r="S14240" t="s">
        <v>620</v>
      </c>
    </row>
    <row r="14241" spans="1:19" x14ac:dyDescent="0.2">
      <c r="A14241" t="s">
        <v>14852</v>
      </c>
      <c r="B14241" t="s">
        <v>90</v>
      </c>
      <c r="C14241" t="s">
        <v>597</v>
      </c>
      <c r="D14241">
        <v>801.94</v>
      </c>
      <c r="E14241" s="37" t="str">
        <f t="shared" si="1110"/>
        <v xml:space="preserve"> </v>
      </c>
      <c r="F14241">
        <v>0.46</v>
      </c>
      <c r="G14241" s="37" t="str">
        <f t="shared" si="1111"/>
        <v>Heavy Discount</v>
      </c>
      <c r="H14241" s="37" t="str">
        <f t="shared" si="1112"/>
        <v>High</v>
      </c>
      <c r="I14241">
        <v>7</v>
      </c>
      <c r="J14241" t="str" cm="1">
        <f t="array" ref="J14241">_xlfn.IFS(I14241&lt;=3,"small",I14241&lt;=6,"Medium",I14241&lt;=9,"Large")</f>
        <v>Large</v>
      </c>
      <c r="K14241" s="36">
        <v>45118</v>
      </c>
      <c r="L14241" s="36">
        <v>45121</v>
      </c>
      <c r="M14241" t="s">
        <v>598</v>
      </c>
      <c r="N14241" t="s">
        <v>608</v>
      </c>
      <c r="O14241" s="37" t="str">
        <f t="shared" si="1113"/>
        <v>Cash Payment</v>
      </c>
      <c r="P14241">
        <v>203.36</v>
      </c>
      <c r="Q14241" s="37" t="str">
        <f>IF(P14241&gt;500,"High","low")</f>
        <v>low</v>
      </c>
      <c r="R14241" s="37" t="str">
        <f t="shared" si="1114"/>
        <v>AVERAGE</v>
      </c>
      <c r="S14241" t="s">
        <v>605</v>
      </c>
    </row>
    <row r="14242" spans="1:19" x14ac:dyDescent="0.2">
      <c r="A14242" t="s">
        <v>14853</v>
      </c>
      <c r="B14242" t="s">
        <v>90</v>
      </c>
      <c r="C14242" t="s">
        <v>607</v>
      </c>
      <c r="D14242">
        <v>1680.13</v>
      </c>
      <c r="E14242" s="37" t="str">
        <f t="shared" si="1110"/>
        <v xml:space="preserve"> </v>
      </c>
      <c r="F14242">
        <v>0.42</v>
      </c>
      <c r="G14242" s="37" t="str">
        <f t="shared" si="1111"/>
        <v>Heavy Discount</v>
      </c>
      <c r="H14242" s="37" t="str">
        <f t="shared" si="1112"/>
        <v>High</v>
      </c>
      <c r="I14242">
        <v>1</v>
      </c>
      <c r="J14242" t="str" cm="1">
        <f t="array" ref="J14242">_xlfn.IFS(I14242&lt;=3,"small",I14242&lt;=6,"Medium",I14242&lt;=9,"Large")</f>
        <v>small</v>
      </c>
      <c r="K14242" s="36">
        <v>45084</v>
      </c>
      <c r="L14242" s="36">
        <v>45090</v>
      </c>
      <c r="M14242" t="s">
        <v>598</v>
      </c>
      <c r="N14242" t="s">
        <v>604</v>
      </c>
      <c r="O14242" s="37" t="str">
        <f t="shared" si="1113"/>
        <v>Digital Payment</v>
      </c>
      <c r="P14242">
        <v>458.67</v>
      </c>
      <c r="Q14242" s="37" t="str">
        <f>IF(P14242&gt;500,"High","low")</f>
        <v>low</v>
      </c>
      <c r="R14242" s="37" t="str">
        <f t="shared" si="1114"/>
        <v>AVERAGE</v>
      </c>
      <c r="S14242" t="s">
        <v>605</v>
      </c>
    </row>
    <row r="14243" spans="1:19" x14ac:dyDescent="0.2">
      <c r="A14243" t="s">
        <v>14854</v>
      </c>
      <c r="B14243" t="s">
        <v>75</v>
      </c>
      <c r="C14243" t="s">
        <v>597</v>
      </c>
      <c r="D14243">
        <v>4178.0200000000004</v>
      </c>
      <c r="E14243" s="37" t="str">
        <f t="shared" si="1110"/>
        <v xml:space="preserve"> </v>
      </c>
      <c r="F14243">
        <v>0.33</v>
      </c>
      <c r="G14243" s="37" t="str">
        <f t="shared" si="1111"/>
        <v>Heavy Discount</v>
      </c>
      <c r="H14243" s="37" t="str">
        <f t="shared" si="1112"/>
        <v>Medium</v>
      </c>
      <c r="I14243">
        <v>9</v>
      </c>
      <c r="J14243" t="str" cm="1">
        <f t="array" ref="J14243">_xlfn.IFS(I14243&lt;=3,"small",I14243&lt;=6,"Medium",I14243&lt;=9,"Large")</f>
        <v>Large</v>
      </c>
      <c r="K14243" s="36">
        <v>45092</v>
      </c>
      <c r="L14243" s="36">
        <v>45095</v>
      </c>
      <c r="M14243" t="s">
        <v>603</v>
      </c>
      <c r="N14243" t="s">
        <v>599</v>
      </c>
      <c r="O14243" s="37" t="str">
        <f t="shared" si="1113"/>
        <v>Digital Payment</v>
      </c>
      <c r="P14243">
        <v>335.55</v>
      </c>
      <c r="Q14243" s="37" t="str">
        <f>IF(P14243&gt;500,"High","low")</f>
        <v>low</v>
      </c>
      <c r="R14243" s="37" t="str">
        <f t="shared" si="1114"/>
        <v>AVERAGE</v>
      </c>
      <c r="S14243" t="s">
        <v>609</v>
      </c>
    </row>
    <row r="14244" spans="1:19" x14ac:dyDescent="0.2">
      <c r="A14244" t="s">
        <v>14855</v>
      </c>
      <c r="B14244" t="s">
        <v>75</v>
      </c>
      <c r="C14244" t="s">
        <v>617</v>
      </c>
      <c r="D14244">
        <v>957.96</v>
      </c>
      <c r="E14244" s="37" t="str">
        <f t="shared" si="1110"/>
        <v xml:space="preserve"> </v>
      </c>
      <c r="F14244">
        <v>0.17</v>
      </c>
      <c r="G14244" s="37" t="str">
        <f t="shared" si="1111"/>
        <v>Normal Discount</v>
      </c>
      <c r="H14244" s="37" t="str">
        <f t="shared" si="1112"/>
        <v>Low</v>
      </c>
      <c r="I14244">
        <v>6</v>
      </c>
      <c r="J14244" t="str" cm="1">
        <f t="array" ref="J14244">_xlfn.IFS(I14244&lt;=3,"small",I14244&lt;=6,"Medium",I14244&lt;=9,"Large")</f>
        <v>Medium</v>
      </c>
      <c r="K14244" s="36">
        <v>45045</v>
      </c>
      <c r="L14244" s="36">
        <v>45050</v>
      </c>
      <c r="M14244" t="s">
        <v>603</v>
      </c>
      <c r="N14244" t="s">
        <v>608</v>
      </c>
      <c r="O14244" s="37" t="str">
        <f t="shared" si="1113"/>
        <v>Cash Payment</v>
      </c>
      <c r="P14244">
        <v>249.29</v>
      </c>
      <c r="Q14244" s="37" t="str">
        <f>IF(P14244&gt;500,"High","low")</f>
        <v>low</v>
      </c>
      <c r="R14244" s="37" t="str">
        <f t="shared" si="1114"/>
        <v>AVERAGE</v>
      </c>
      <c r="S14244" t="s">
        <v>620</v>
      </c>
    </row>
    <row r="14245" spans="1:19" x14ac:dyDescent="0.2">
      <c r="A14245" t="s">
        <v>14856</v>
      </c>
      <c r="B14245" t="s">
        <v>67</v>
      </c>
      <c r="C14245" t="s">
        <v>602</v>
      </c>
      <c r="D14245">
        <v>3918.8</v>
      </c>
      <c r="E14245" s="37" t="str">
        <f t="shared" si="1110"/>
        <v xml:space="preserve"> </v>
      </c>
      <c r="F14245">
        <v>0.26</v>
      </c>
      <c r="G14245" s="37" t="str">
        <f t="shared" si="1111"/>
        <v>Normal Discount</v>
      </c>
      <c r="H14245" s="37" t="str">
        <f t="shared" si="1112"/>
        <v>Medium</v>
      </c>
      <c r="I14245">
        <v>7</v>
      </c>
      <c r="J14245" t="str" cm="1">
        <f t="array" ref="J14245">_xlfn.IFS(I14245&lt;=3,"small",I14245&lt;=6,"Medium",I14245&lt;=9,"Large")</f>
        <v>Large</v>
      </c>
      <c r="K14245" s="36">
        <v>45564</v>
      </c>
      <c r="L14245" s="36">
        <v>45570</v>
      </c>
      <c r="M14245" t="s">
        <v>612</v>
      </c>
      <c r="N14245" t="s">
        <v>599</v>
      </c>
      <c r="O14245" s="37" t="str">
        <f t="shared" si="1113"/>
        <v>Digital Payment</v>
      </c>
      <c r="P14245">
        <v>546.91</v>
      </c>
      <c r="Q14245" s="37" t="str">
        <f>IF(P14245&gt;500,"High","low")</f>
        <v>High</v>
      </c>
      <c r="R14245" s="37" t="str">
        <f t="shared" si="1114"/>
        <v>Good</v>
      </c>
      <c r="S14245" t="s">
        <v>605</v>
      </c>
    </row>
    <row r="14246" spans="1:19" x14ac:dyDescent="0.2">
      <c r="A14246" t="s">
        <v>14857</v>
      </c>
      <c r="B14246" t="s">
        <v>67</v>
      </c>
      <c r="C14246" t="s">
        <v>614</v>
      </c>
      <c r="D14246">
        <v>3609.69</v>
      </c>
      <c r="E14246" s="37" t="str">
        <f t="shared" si="1110"/>
        <v xml:space="preserve"> </v>
      </c>
      <c r="F14246">
        <v>0.28000000000000003</v>
      </c>
      <c r="G14246" s="37" t="str">
        <f t="shared" si="1111"/>
        <v>Normal Discount</v>
      </c>
      <c r="H14246" s="37" t="str">
        <f t="shared" si="1112"/>
        <v>Medium</v>
      </c>
      <c r="I14246">
        <v>9</v>
      </c>
      <c r="J14246" t="str" cm="1">
        <f t="array" ref="J14246">_xlfn.IFS(I14246&lt;=3,"small",I14246&lt;=6,"Medium",I14246&lt;=9,"Large")</f>
        <v>Large</v>
      </c>
      <c r="K14246" s="36">
        <v>45621</v>
      </c>
      <c r="L14246" s="36">
        <v>45623</v>
      </c>
      <c r="M14246" t="s">
        <v>612</v>
      </c>
      <c r="N14246" t="s">
        <v>608</v>
      </c>
      <c r="O14246" s="37" t="str">
        <f t="shared" si="1113"/>
        <v>Cash Payment</v>
      </c>
      <c r="P14246">
        <v>467.49</v>
      </c>
      <c r="Q14246" s="37" t="str">
        <f>IF(P14246&gt;500,"High","low")</f>
        <v>low</v>
      </c>
      <c r="R14246" s="37" t="str">
        <f t="shared" si="1114"/>
        <v>AVERAGE</v>
      </c>
      <c r="S14246" t="s">
        <v>600</v>
      </c>
    </row>
    <row r="14247" spans="1:19" x14ac:dyDescent="0.2">
      <c r="A14247" t="s">
        <v>14858</v>
      </c>
      <c r="B14247" t="s">
        <v>83</v>
      </c>
      <c r="C14247" t="s">
        <v>617</v>
      </c>
      <c r="D14247">
        <v>3291.7</v>
      </c>
      <c r="E14247" s="37" t="str">
        <f t="shared" si="1110"/>
        <v xml:space="preserve"> </v>
      </c>
      <c r="F14247">
        <v>0.04</v>
      </c>
      <c r="G14247" s="37" t="str">
        <f t="shared" si="1111"/>
        <v>Normal Discount</v>
      </c>
      <c r="H14247" s="37" t="str">
        <f t="shared" si="1112"/>
        <v>Low</v>
      </c>
      <c r="I14247">
        <v>1</v>
      </c>
      <c r="J14247" t="str" cm="1">
        <f t="array" ref="J14247">_xlfn.IFS(I14247&lt;=3,"small",I14247&lt;=6,"Medium",I14247&lt;=9,"Large")</f>
        <v>small</v>
      </c>
      <c r="K14247" s="36">
        <v>45335</v>
      </c>
      <c r="L14247" s="36">
        <v>45342</v>
      </c>
      <c r="M14247" t="s">
        <v>598</v>
      </c>
      <c r="N14247" t="s">
        <v>599</v>
      </c>
      <c r="O14247" s="37" t="str">
        <f t="shared" si="1113"/>
        <v>Digital Payment</v>
      </c>
      <c r="P14247">
        <v>662.46</v>
      </c>
      <c r="Q14247" s="37" t="str">
        <f>IF(P14247&gt;500,"High","low")</f>
        <v>High</v>
      </c>
      <c r="R14247" s="37" t="str">
        <f t="shared" si="1114"/>
        <v>Good</v>
      </c>
      <c r="S14247" t="s">
        <v>615</v>
      </c>
    </row>
    <row r="14248" spans="1:19" x14ac:dyDescent="0.2">
      <c r="A14248" t="s">
        <v>14859</v>
      </c>
      <c r="B14248" t="s">
        <v>67</v>
      </c>
      <c r="C14248" t="s">
        <v>602</v>
      </c>
      <c r="D14248">
        <v>2223.2600000000002</v>
      </c>
      <c r="E14248" s="37" t="str">
        <f t="shared" si="1110"/>
        <v xml:space="preserve"> </v>
      </c>
      <c r="F14248">
        <v>0.49</v>
      </c>
      <c r="G14248" s="37" t="str">
        <f t="shared" si="1111"/>
        <v>Heavy Discount</v>
      </c>
      <c r="H14248" s="37" t="str">
        <f t="shared" si="1112"/>
        <v>High</v>
      </c>
      <c r="I14248">
        <v>8</v>
      </c>
      <c r="J14248" t="str" cm="1">
        <f t="array" ref="J14248">_xlfn.IFS(I14248&lt;=3,"small",I14248&lt;=6,"Medium",I14248&lt;=9,"Large")</f>
        <v>Large</v>
      </c>
      <c r="K14248" s="36">
        <v>44971</v>
      </c>
      <c r="L14248" s="36">
        <v>44977</v>
      </c>
      <c r="M14248" t="s">
        <v>603</v>
      </c>
      <c r="N14248" t="s">
        <v>599</v>
      </c>
      <c r="O14248" s="37" t="str">
        <f t="shared" si="1113"/>
        <v>Digital Payment</v>
      </c>
      <c r="P14248">
        <v>562.59</v>
      </c>
      <c r="Q14248" s="37" t="str">
        <f>IF(P14248&gt;500,"High","low")</f>
        <v>High</v>
      </c>
      <c r="R14248" s="37" t="str">
        <f t="shared" si="1114"/>
        <v>Good</v>
      </c>
      <c r="S14248" t="s">
        <v>620</v>
      </c>
    </row>
    <row r="14249" spans="1:19" x14ac:dyDescent="0.2">
      <c r="A14249" t="s">
        <v>14860</v>
      </c>
      <c r="B14249" t="s">
        <v>90</v>
      </c>
      <c r="C14249" t="s">
        <v>614</v>
      </c>
      <c r="D14249">
        <v>1897.17</v>
      </c>
      <c r="E14249" s="37" t="str">
        <f t="shared" si="1110"/>
        <v xml:space="preserve"> </v>
      </c>
      <c r="F14249">
        <v>0.05</v>
      </c>
      <c r="G14249" s="37" t="str">
        <f t="shared" si="1111"/>
        <v>Normal Discount</v>
      </c>
      <c r="H14249" s="37" t="str">
        <f t="shared" si="1112"/>
        <v>Low</v>
      </c>
      <c r="I14249">
        <v>7</v>
      </c>
      <c r="J14249" t="str" cm="1">
        <f t="array" ref="J14249">_xlfn.IFS(I14249&lt;=3,"small",I14249&lt;=6,"Medium",I14249&lt;=9,"Large")</f>
        <v>Large</v>
      </c>
      <c r="K14249" s="36">
        <v>45116</v>
      </c>
      <c r="L14249" s="36">
        <v>45122</v>
      </c>
      <c r="M14249" t="s">
        <v>598</v>
      </c>
      <c r="N14249" t="s">
        <v>599</v>
      </c>
      <c r="O14249" s="37" t="str">
        <f t="shared" si="1113"/>
        <v>Digital Payment</v>
      </c>
      <c r="P14249">
        <v>283.06</v>
      </c>
      <c r="Q14249" s="37" t="str">
        <f>IF(P14249&gt;500,"High","low")</f>
        <v>low</v>
      </c>
      <c r="R14249" s="37" t="str">
        <f t="shared" si="1114"/>
        <v>AVERAGE</v>
      </c>
      <c r="S14249" t="s">
        <v>620</v>
      </c>
    </row>
    <row r="14250" spans="1:19" x14ac:dyDescent="0.2">
      <c r="A14250" t="s">
        <v>14861</v>
      </c>
      <c r="B14250" t="s">
        <v>83</v>
      </c>
      <c r="C14250" t="s">
        <v>607</v>
      </c>
      <c r="D14250">
        <v>517.76</v>
      </c>
      <c r="E14250" s="37" t="str">
        <f t="shared" si="1110"/>
        <v xml:space="preserve"> </v>
      </c>
      <c r="F14250">
        <v>0.36</v>
      </c>
      <c r="G14250" s="37" t="str">
        <f t="shared" si="1111"/>
        <v>Heavy Discount</v>
      </c>
      <c r="H14250" s="37" t="str">
        <f t="shared" si="1112"/>
        <v>Medium</v>
      </c>
      <c r="I14250">
        <v>2</v>
      </c>
      <c r="J14250" t="str" cm="1">
        <f t="array" ref="J14250">_xlfn.IFS(I14250&lt;=3,"small",I14250&lt;=6,"Medium",I14250&lt;=9,"Large")</f>
        <v>small</v>
      </c>
      <c r="K14250" s="36">
        <v>45061</v>
      </c>
      <c r="L14250" s="36">
        <v>45067</v>
      </c>
      <c r="M14250" t="s">
        <v>598</v>
      </c>
      <c r="N14250" t="s">
        <v>608</v>
      </c>
      <c r="O14250" s="37" t="str">
        <f t="shared" si="1113"/>
        <v>Cash Payment</v>
      </c>
      <c r="P14250">
        <v>107.82</v>
      </c>
      <c r="Q14250" s="37" t="str">
        <f>IF(P14250&gt;500,"High","low")</f>
        <v>low</v>
      </c>
      <c r="R14250" s="37" t="str">
        <f t="shared" si="1114"/>
        <v>AVERAGE</v>
      </c>
      <c r="S14250" t="s">
        <v>615</v>
      </c>
    </row>
    <row r="14251" spans="1:19" x14ac:dyDescent="0.2">
      <c r="A14251" t="s">
        <v>14862</v>
      </c>
      <c r="B14251" t="s">
        <v>83</v>
      </c>
      <c r="C14251" t="s">
        <v>597</v>
      </c>
      <c r="D14251">
        <v>1851.04</v>
      </c>
      <c r="E14251" s="37" t="str">
        <f t="shared" si="1110"/>
        <v xml:space="preserve"> </v>
      </c>
      <c r="F14251">
        <v>0.25</v>
      </c>
      <c r="G14251" s="37" t="str">
        <f t="shared" si="1111"/>
        <v>Normal Discount</v>
      </c>
      <c r="H14251" s="37" t="str">
        <f t="shared" si="1112"/>
        <v>Medium</v>
      </c>
      <c r="I14251">
        <v>1</v>
      </c>
      <c r="J14251" t="str" cm="1">
        <f t="array" ref="J14251">_xlfn.IFS(I14251&lt;=3,"small",I14251&lt;=6,"Medium",I14251&lt;=9,"Large")</f>
        <v>small</v>
      </c>
      <c r="K14251" s="36">
        <v>45081</v>
      </c>
      <c r="L14251" s="36">
        <v>45082</v>
      </c>
      <c r="M14251" t="s">
        <v>612</v>
      </c>
      <c r="N14251" t="s">
        <v>604</v>
      </c>
      <c r="O14251" s="37" t="str">
        <f t="shared" si="1113"/>
        <v>Digital Payment</v>
      </c>
      <c r="P14251">
        <v>476.03</v>
      </c>
      <c r="Q14251" s="37" t="str">
        <f>IF(P14251&gt;500,"High","low")</f>
        <v>low</v>
      </c>
      <c r="R14251" s="37" t="str">
        <f t="shared" si="1114"/>
        <v>AVERAGE</v>
      </c>
      <c r="S14251" t="s">
        <v>609</v>
      </c>
    </row>
    <row r="14252" spans="1:19" x14ac:dyDescent="0.2">
      <c r="A14252" t="s">
        <v>14863</v>
      </c>
      <c r="B14252" t="s">
        <v>83</v>
      </c>
      <c r="C14252" t="s">
        <v>614</v>
      </c>
      <c r="D14252">
        <v>3049.02</v>
      </c>
      <c r="E14252" s="37" t="str">
        <f t="shared" si="1110"/>
        <v xml:space="preserve"> </v>
      </c>
      <c r="F14252">
        <v>0.38</v>
      </c>
      <c r="G14252" s="37" t="str">
        <f t="shared" si="1111"/>
        <v>Heavy Discount</v>
      </c>
      <c r="H14252" s="37" t="str">
        <f t="shared" si="1112"/>
        <v>Medium</v>
      </c>
      <c r="I14252">
        <v>1</v>
      </c>
      <c r="J14252" t="str" cm="1">
        <f t="array" ref="J14252">_xlfn.IFS(I14252&lt;=3,"small",I14252&lt;=6,"Medium",I14252&lt;=9,"Large")</f>
        <v>small</v>
      </c>
      <c r="K14252" s="36">
        <v>45156</v>
      </c>
      <c r="L14252" s="36">
        <v>45162</v>
      </c>
      <c r="M14252" t="s">
        <v>603</v>
      </c>
      <c r="N14252" t="s">
        <v>604</v>
      </c>
      <c r="O14252" s="37" t="str">
        <f t="shared" si="1113"/>
        <v>Digital Payment</v>
      </c>
      <c r="P14252">
        <v>750.06</v>
      </c>
      <c r="Q14252" s="37" t="str">
        <f>IF(P14252&gt;500,"High","low")</f>
        <v>High</v>
      </c>
      <c r="R14252" s="37" t="str">
        <f t="shared" si="1114"/>
        <v>Good</v>
      </c>
      <c r="S14252" t="s">
        <v>609</v>
      </c>
    </row>
    <row r="14253" spans="1:19" x14ac:dyDescent="0.2">
      <c r="A14253" t="s">
        <v>14864</v>
      </c>
      <c r="B14253" t="s">
        <v>75</v>
      </c>
      <c r="C14253" t="s">
        <v>607</v>
      </c>
      <c r="D14253">
        <v>4501.2299999999996</v>
      </c>
      <c r="E14253" s="37" t="str">
        <f t="shared" si="1110"/>
        <v xml:space="preserve"> </v>
      </c>
      <c r="F14253">
        <v>0.13</v>
      </c>
      <c r="G14253" s="37" t="str">
        <f t="shared" si="1111"/>
        <v>Normal Discount</v>
      </c>
      <c r="H14253" s="37" t="str">
        <f t="shared" si="1112"/>
        <v>Low</v>
      </c>
      <c r="I14253">
        <v>4</v>
      </c>
      <c r="J14253" t="str" cm="1">
        <f t="array" ref="J14253">_xlfn.IFS(I14253&lt;=3,"small",I14253&lt;=6,"Medium",I14253&lt;=9,"Large")</f>
        <v>Medium</v>
      </c>
      <c r="K14253" s="36">
        <v>44949</v>
      </c>
      <c r="L14253" s="36">
        <v>44954</v>
      </c>
      <c r="M14253" t="s">
        <v>612</v>
      </c>
      <c r="N14253" t="s">
        <v>604</v>
      </c>
      <c r="O14253" s="37" t="str">
        <f t="shared" si="1113"/>
        <v>Digital Payment</v>
      </c>
      <c r="P14253">
        <v>535.91999999999996</v>
      </c>
      <c r="Q14253" s="37" t="str">
        <f>IF(P14253&gt;500,"High","low")</f>
        <v>High</v>
      </c>
      <c r="R14253" s="37" t="str">
        <f t="shared" si="1114"/>
        <v>Good</v>
      </c>
      <c r="S14253" t="s">
        <v>605</v>
      </c>
    </row>
    <row r="14254" spans="1:19" x14ac:dyDescent="0.2">
      <c r="A14254" t="s">
        <v>14865</v>
      </c>
      <c r="B14254" t="s">
        <v>67</v>
      </c>
      <c r="C14254" t="s">
        <v>602</v>
      </c>
      <c r="D14254">
        <v>4182.3100000000004</v>
      </c>
      <c r="E14254" s="37" t="str">
        <f t="shared" si="1110"/>
        <v>Excellent Order</v>
      </c>
      <c r="F14254">
        <v>0.2</v>
      </c>
      <c r="G14254" s="37" t="str">
        <f t="shared" si="1111"/>
        <v>Normal Discount</v>
      </c>
      <c r="H14254" s="37" t="str">
        <f t="shared" si="1112"/>
        <v>Medium</v>
      </c>
      <c r="I14254">
        <v>5</v>
      </c>
      <c r="J14254" t="str" cm="1">
        <f t="array" ref="J14254">_xlfn.IFS(I14254&lt;=3,"small",I14254&lt;=6,"Medium",I14254&lt;=9,"Large")</f>
        <v>Medium</v>
      </c>
      <c r="K14254" s="36">
        <v>45086</v>
      </c>
      <c r="L14254" s="36">
        <v>45087</v>
      </c>
      <c r="M14254" t="s">
        <v>598</v>
      </c>
      <c r="N14254" t="s">
        <v>608</v>
      </c>
      <c r="O14254" s="37" t="str">
        <f t="shared" si="1113"/>
        <v>Cash Payment</v>
      </c>
      <c r="P14254">
        <v>947.31</v>
      </c>
      <c r="Q14254" s="37" t="str">
        <f>IF(P14254&gt;500,"High","low")</f>
        <v>High</v>
      </c>
      <c r="R14254" s="37" t="str">
        <f t="shared" si="1114"/>
        <v>Good</v>
      </c>
      <c r="S14254" t="s">
        <v>605</v>
      </c>
    </row>
    <row r="14255" spans="1:19" x14ac:dyDescent="0.2">
      <c r="A14255" t="s">
        <v>14866</v>
      </c>
      <c r="B14255" t="s">
        <v>83</v>
      </c>
      <c r="C14255" t="s">
        <v>614</v>
      </c>
      <c r="D14255">
        <v>257.86</v>
      </c>
      <c r="E14255" s="37" t="str">
        <f t="shared" si="1110"/>
        <v xml:space="preserve"> </v>
      </c>
      <c r="F14255">
        <v>0.26</v>
      </c>
      <c r="G14255" s="37" t="str">
        <f t="shared" si="1111"/>
        <v>Normal Discount</v>
      </c>
      <c r="H14255" s="37" t="str">
        <f t="shared" si="1112"/>
        <v>Medium</v>
      </c>
      <c r="I14255">
        <v>7</v>
      </c>
      <c r="J14255" t="str" cm="1">
        <f t="array" ref="J14255">_xlfn.IFS(I14255&lt;=3,"small",I14255&lt;=6,"Medium",I14255&lt;=9,"Large")</f>
        <v>Large</v>
      </c>
      <c r="K14255" s="36">
        <v>45440</v>
      </c>
      <c r="L14255" s="36">
        <v>45444</v>
      </c>
      <c r="M14255" t="s">
        <v>612</v>
      </c>
      <c r="N14255" t="s">
        <v>604</v>
      </c>
      <c r="O14255" s="37" t="str">
        <f t="shared" si="1113"/>
        <v>Digital Payment</v>
      </c>
      <c r="P14255">
        <v>53.99</v>
      </c>
      <c r="Q14255" s="37" t="str">
        <f>IF(P14255&gt;500,"High","low")</f>
        <v>low</v>
      </c>
      <c r="R14255" s="37" t="str">
        <f t="shared" si="1114"/>
        <v>AVERAGE</v>
      </c>
      <c r="S14255" t="s">
        <v>628</v>
      </c>
    </row>
    <row r="14256" spans="1:19" x14ac:dyDescent="0.2">
      <c r="A14256" t="s">
        <v>14867</v>
      </c>
      <c r="B14256" t="s">
        <v>75</v>
      </c>
      <c r="C14256" t="s">
        <v>607</v>
      </c>
      <c r="D14256">
        <v>780.43</v>
      </c>
      <c r="E14256" s="37" t="str">
        <f t="shared" si="1110"/>
        <v xml:space="preserve"> </v>
      </c>
      <c r="F14256">
        <v>0.06</v>
      </c>
      <c r="G14256" s="37" t="str">
        <f t="shared" si="1111"/>
        <v>Normal Discount</v>
      </c>
      <c r="H14256" s="37" t="str">
        <f t="shared" si="1112"/>
        <v>Low</v>
      </c>
      <c r="I14256">
        <v>8</v>
      </c>
      <c r="J14256" t="str" cm="1">
        <f t="array" ref="J14256">_xlfn.IFS(I14256&lt;=3,"small",I14256&lt;=6,"Medium",I14256&lt;=9,"Large")</f>
        <v>Large</v>
      </c>
      <c r="K14256" s="36">
        <v>45129</v>
      </c>
      <c r="L14256" s="36">
        <v>45135</v>
      </c>
      <c r="M14256" t="s">
        <v>612</v>
      </c>
      <c r="N14256" t="s">
        <v>608</v>
      </c>
      <c r="O14256" s="37" t="str">
        <f t="shared" si="1113"/>
        <v>Cash Payment</v>
      </c>
      <c r="P14256">
        <v>173.81</v>
      </c>
      <c r="Q14256" s="37" t="str">
        <f>IF(P14256&gt;500,"High","low")</f>
        <v>low</v>
      </c>
      <c r="R14256" s="37" t="str">
        <f t="shared" si="1114"/>
        <v>AVERAGE</v>
      </c>
      <c r="S14256" t="s">
        <v>620</v>
      </c>
    </row>
    <row r="14257" spans="1:19" x14ac:dyDescent="0.2">
      <c r="A14257" t="s">
        <v>14868</v>
      </c>
      <c r="B14257" t="s">
        <v>75</v>
      </c>
      <c r="C14257" t="s">
        <v>602</v>
      </c>
      <c r="D14257">
        <v>4257.59</v>
      </c>
      <c r="E14257" s="37" t="str">
        <f t="shared" si="1110"/>
        <v xml:space="preserve"> </v>
      </c>
      <c r="F14257">
        <v>0.43</v>
      </c>
      <c r="G14257" s="37" t="str">
        <f t="shared" si="1111"/>
        <v>Heavy Discount</v>
      </c>
      <c r="H14257" s="37" t="str">
        <f t="shared" si="1112"/>
        <v>High</v>
      </c>
      <c r="I14257">
        <v>2</v>
      </c>
      <c r="J14257" t="str" cm="1">
        <f t="array" ref="J14257">_xlfn.IFS(I14257&lt;=3,"small",I14257&lt;=6,"Medium",I14257&lt;=9,"Large")</f>
        <v>small</v>
      </c>
      <c r="K14257" s="36">
        <v>45600</v>
      </c>
      <c r="L14257" s="36">
        <v>45606</v>
      </c>
      <c r="M14257" t="s">
        <v>612</v>
      </c>
      <c r="N14257" t="s">
        <v>604</v>
      </c>
      <c r="O14257" s="37" t="str">
        <f t="shared" si="1113"/>
        <v>Digital Payment</v>
      </c>
      <c r="P14257">
        <v>664.6</v>
      </c>
      <c r="Q14257" s="37" t="str">
        <f>IF(P14257&gt;500,"High","low")</f>
        <v>High</v>
      </c>
      <c r="R14257" s="37" t="str">
        <f t="shared" si="1114"/>
        <v>Good</v>
      </c>
      <c r="S14257" t="s">
        <v>609</v>
      </c>
    </row>
    <row r="14258" spans="1:19" x14ac:dyDescent="0.2">
      <c r="A14258" t="s">
        <v>14869</v>
      </c>
      <c r="B14258" t="s">
        <v>83</v>
      </c>
      <c r="C14258" t="s">
        <v>617</v>
      </c>
      <c r="D14258">
        <v>4702.66</v>
      </c>
      <c r="E14258" s="37" t="str">
        <f t="shared" si="1110"/>
        <v xml:space="preserve"> </v>
      </c>
      <c r="F14258">
        <v>0.5</v>
      </c>
      <c r="G14258" s="37" t="str">
        <f t="shared" si="1111"/>
        <v>Heavy Discount</v>
      </c>
      <c r="H14258" s="37" t="str">
        <f t="shared" si="1112"/>
        <v>High</v>
      </c>
      <c r="I14258">
        <v>9</v>
      </c>
      <c r="J14258" t="str" cm="1">
        <f t="array" ref="J14258">_xlfn.IFS(I14258&lt;=3,"small",I14258&lt;=6,"Medium",I14258&lt;=9,"Large")</f>
        <v>Large</v>
      </c>
      <c r="K14258" s="36">
        <v>45115</v>
      </c>
      <c r="L14258" s="36">
        <v>45122</v>
      </c>
      <c r="M14258" t="s">
        <v>603</v>
      </c>
      <c r="N14258" t="s">
        <v>599</v>
      </c>
      <c r="O14258" s="37" t="str">
        <f t="shared" si="1113"/>
        <v>Digital Payment</v>
      </c>
      <c r="P14258">
        <v>259.06</v>
      </c>
      <c r="Q14258" s="37" t="str">
        <f>IF(P14258&gt;500,"High","low")</f>
        <v>low</v>
      </c>
      <c r="R14258" s="37" t="str">
        <f t="shared" si="1114"/>
        <v>AVERAGE</v>
      </c>
      <c r="S14258" t="s">
        <v>628</v>
      </c>
    </row>
    <row r="14259" spans="1:19" x14ac:dyDescent="0.2">
      <c r="A14259" t="s">
        <v>14870</v>
      </c>
      <c r="B14259" t="s">
        <v>83</v>
      </c>
      <c r="C14259" t="s">
        <v>597</v>
      </c>
      <c r="D14259">
        <v>373.46</v>
      </c>
      <c r="E14259" s="37" t="str">
        <f t="shared" si="1110"/>
        <v xml:space="preserve"> </v>
      </c>
      <c r="F14259">
        <v>0.21</v>
      </c>
      <c r="G14259" s="37" t="str">
        <f t="shared" si="1111"/>
        <v>Normal Discount</v>
      </c>
      <c r="H14259" s="37" t="str">
        <f t="shared" si="1112"/>
        <v>Medium</v>
      </c>
      <c r="I14259">
        <v>7</v>
      </c>
      <c r="J14259" t="str" cm="1">
        <f t="array" ref="J14259">_xlfn.IFS(I14259&lt;=3,"small",I14259&lt;=6,"Medium",I14259&lt;=9,"Large")</f>
        <v>Large</v>
      </c>
      <c r="K14259" s="36">
        <v>45037</v>
      </c>
      <c r="L14259" s="36">
        <v>45042</v>
      </c>
      <c r="M14259" t="s">
        <v>612</v>
      </c>
      <c r="N14259" t="s">
        <v>599</v>
      </c>
      <c r="O14259" s="37" t="str">
        <f t="shared" si="1113"/>
        <v>Digital Payment</v>
      </c>
      <c r="P14259">
        <v>50.5</v>
      </c>
      <c r="Q14259" s="37" t="str">
        <f>IF(P14259&gt;500,"High","low")</f>
        <v>low</v>
      </c>
      <c r="R14259" s="37" t="str">
        <f t="shared" si="1114"/>
        <v>AVERAGE</v>
      </c>
      <c r="S14259" t="s">
        <v>609</v>
      </c>
    </row>
    <row r="14260" spans="1:19" x14ac:dyDescent="0.2">
      <c r="A14260" t="s">
        <v>14871</v>
      </c>
      <c r="B14260" t="s">
        <v>90</v>
      </c>
      <c r="C14260" t="s">
        <v>607</v>
      </c>
      <c r="D14260">
        <v>3536.14</v>
      </c>
      <c r="E14260" s="37" t="str">
        <f t="shared" si="1110"/>
        <v xml:space="preserve"> </v>
      </c>
      <c r="F14260">
        <v>0.19</v>
      </c>
      <c r="G14260" s="37" t="str">
        <f t="shared" si="1111"/>
        <v>Normal Discount</v>
      </c>
      <c r="H14260" s="37" t="str">
        <f t="shared" si="1112"/>
        <v>Low</v>
      </c>
      <c r="I14260">
        <v>6</v>
      </c>
      <c r="J14260" t="str" cm="1">
        <f t="array" ref="J14260">_xlfn.IFS(I14260&lt;=3,"small",I14260&lt;=6,"Medium",I14260&lt;=9,"Large")</f>
        <v>Medium</v>
      </c>
      <c r="K14260" s="36">
        <v>45308</v>
      </c>
      <c r="L14260" s="36">
        <v>45310</v>
      </c>
      <c r="M14260" t="s">
        <v>598</v>
      </c>
      <c r="N14260" t="s">
        <v>599</v>
      </c>
      <c r="O14260" s="37" t="str">
        <f t="shared" si="1113"/>
        <v>Digital Payment</v>
      </c>
      <c r="P14260">
        <v>828.97</v>
      </c>
      <c r="Q14260" s="37" t="str">
        <f>IF(P14260&gt;500,"High","low")</f>
        <v>High</v>
      </c>
      <c r="R14260" s="37" t="str">
        <f t="shared" si="1114"/>
        <v>Good</v>
      </c>
      <c r="S14260" t="s">
        <v>615</v>
      </c>
    </row>
    <row r="14261" spans="1:19" x14ac:dyDescent="0.2">
      <c r="A14261" t="s">
        <v>14872</v>
      </c>
      <c r="B14261" t="s">
        <v>83</v>
      </c>
      <c r="C14261" t="s">
        <v>617</v>
      </c>
      <c r="D14261">
        <v>1892.09</v>
      </c>
      <c r="E14261" s="37" t="str">
        <f t="shared" si="1110"/>
        <v xml:space="preserve"> </v>
      </c>
      <c r="F14261">
        <v>0.3</v>
      </c>
      <c r="G14261" s="37" t="str">
        <f t="shared" si="1111"/>
        <v>Normal Discount</v>
      </c>
      <c r="H14261" s="37" t="str">
        <f t="shared" si="1112"/>
        <v>Medium</v>
      </c>
      <c r="I14261">
        <v>8</v>
      </c>
      <c r="J14261" t="str" cm="1">
        <f t="array" ref="J14261">_xlfn.IFS(I14261&lt;=3,"small",I14261&lt;=6,"Medium",I14261&lt;=9,"Large")</f>
        <v>Large</v>
      </c>
      <c r="K14261" s="36">
        <v>45192</v>
      </c>
      <c r="L14261" s="36">
        <v>45198</v>
      </c>
      <c r="M14261" t="s">
        <v>603</v>
      </c>
      <c r="N14261" t="s">
        <v>608</v>
      </c>
      <c r="O14261" s="37" t="str">
        <f t="shared" si="1113"/>
        <v>Cash Payment</v>
      </c>
      <c r="P14261">
        <v>461.02</v>
      </c>
      <c r="Q14261" s="37" t="str">
        <f>IF(P14261&gt;500,"High","low")</f>
        <v>low</v>
      </c>
      <c r="R14261" s="37" t="str">
        <f t="shared" si="1114"/>
        <v>AVERAGE</v>
      </c>
      <c r="S14261" t="s">
        <v>600</v>
      </c>
    </row>
    <row r="14262" spans="1:19" x14ac:dyDescent="0.2">
      <c r="A14262" t="s">
        <v>14873</v>
      </c>
      <c r="B14262" t="s">
        <v>90</v>
      </c>
      <c r="C14262" t="s">
        <v>602</v>
      </c>
      <c r="D14262">
        <v>1885.02</v>
      </c>
      <c r="E14262" s="37" t="str">
        <f t="shared" si="1110"/>
        <v xml:space="preserve"> </v>
      </c>
      <c r="F14262">
        <v>0.34</v>
      </c>
      <c r="G14262" s="37" t="str">
        <f t="shared" si="1111"/>
        <v>Heavy Discount</v>
      </c>
      <c r="H14262" s="37" t="str">
        <f t="shared" si="1112"/>
        <v>Medium</v>
      </c>
      <c r="I14262">
        <v>2</v>
      </c>
      <c r="J14262" t="str" cm="1">
        <f t="array" ref="J14262">_xlfn.IFS(I14262&lt;=3,"small",I14262&lt;=6,"Medium",I14262&lt;=9,"Large")</f>
        <v>small</v>
      </c>
      <c r="K14262" s="36">
        <v>45399</v>
      </c>
      <c r="L14262" s="36">
        <v>45400</v>
      </c>
      <c r="M14262" t="s">
        <v>598</v>
      </c>
      <c r="N14262" t="s">
        <v>599</v>
      </c>
      <c r="O14262" s="37" t="str">
        <f t="shared" si="1113"/>
        <v>Digital Payment</v>
      </c>
      <c r="P14262">
        <v>504.24</v>
      </c>
      <c r="Q14262" s="37" t="str">
        <f>IF(P14262&gt;500,"High","low")</f>
        <v>High</v>
      </c>
      <c r="R14262" s="37" t="str">
        <f t="shared" si="1114"/>
        <v>Good</v>
      </c>
      <c r="S14262" t="s">
        <v>615</v>
      </c>
    </row>
    <row r="14263" spans="1:19" x14ac:dyDescent="0.2">
      <c r="A14263" t="s">
        <v>14874</v>
      </c>
      <c r="B14263" t="s">
        <v>83</v>
      </c>
      <c r="C14263" t="s">
        <v>614</v>
      </c>
      <c r="D14263">
        <v>3249.08</v>
      </c>
      <c r="E14263" s="37" t="str">
        <f t="shared" si="1110"/>
        <v xml:space="preserve"> </v>
      </c>
      <c r="F14263">
        <v>0.43</v>
      </c>
      <c r="G14263" s="37" t="str">
        <f t="shared" si="1111"/>
        <v>Heavy Discount</v>
      </c>
      <c r="H14263" s="37" t="str">
        <f t="shared" si="1112"/>
        <v>High</v>
      </c>
      <c r="I14263">
        <v>1</v>
      </c>
      <c r="J14263" t="str" cm="1">
        <f t="array" ref="J14263">_xlfn.IFS(I14263&lt;=3,"small",I14263&lt;=6,"Medium",I14263&lt;=9,"Large")</f>
        <v>small</v>
      </c>
      <c r="K14263" s="36">
        <v>45568</v>
      </c>
      <c r="L14263" s="36">
        <v>45573</v>
      </c>
      <c r="M14263" t="s">
        <v>603</v>
      </c>
      <c r="N14263" t="s">
        <v>599</v>
      </c>
      <c r="O14263" s="37" t="str">
        <f t="shared" si="1113"/>
        <v>Digital Payment</v>
      </c>
      <c r="P14263">
        <v>349.97</v>
      </c>
      <c r="Q14263" s="37" t="str">
        <f>IF(P14263&gt;500,"High","low")</f>
        <v>low</v>
      </c>
      <c r="R14263" s="37" t="str">
        <f t="shared" si="1114"/>
        <v>AVERAGE</v>
      </c>
      <c r="S14263" t="s">
        <v>615</v>
      </c>
    </row>
    <row r="14264" spans="1:19" x14ac:dyDescent="0.2">
      <c r="A14264" t="s">
        <v>14875</v>
      </c>
      <c r="B14264" t="s">
        <v>83</v>
      </c>
      <c r="C14264" t="s">
        <v>597</v>
      </c>
      <c r="D14264">
        <v>4070.06</v>
      </c>
      <c r="E14264" s="37" t="str">
        <f t="shared" si="1110"/>
        <v>Excellent Order</v>
      </c>
      <c r="F14264">
        <v>0.19</v>
      </c>
      <c r="G14264" s="37" t="str">
        <f t="shared" si="1111"/>
        <v>Normal Discount</v>
      </c>
      <c r="H14264" s="37" t="str">
        <f t="shared" si="1112"/>
        <v>Low</v>
      </c>
      <c r="I14264">
        <v>5</v>
      </c>
      <c r="J14264" t="str" cm="1">
        <f t="array" ref="J14264">_xlfn.IFS(I14264&lt;=3,"small",I14264&lt;=6,"Medium",I14264&lt;=9,"Large")</f>
        <v>Medium</v>
      </c>
      <c r="K14264" s="36">
        <v>45007</v>
      </c>
      <c r="L14264" s="36">
        <v>45011</v>
      </c>
      <c r="M14264" t="s">
        <v>603</v>
      </c>
      <c r="N14264" t="s">
        <v>604</v>
      </c>
      <c r="O14264" s="37" t="str">
        <f t="shared" si="1113"/>
        <v>Digital Payment</v>
      </c>
      <c r="P14264">
        <v>866.29</v>
      </c>
      <c r="Q14264" s="37" t="str">
        <f>IF(P14264&gt;500,"High","low")</f>
        <v>High</v>
      </c>
      <c r="R14264" s="37" t="str">
        <f t="shared" si="1114"/>
        <v>Good</v>
      </c>
      <c r="S14264" t="s">
        <v>615</v>
      </c>
    </row>
    <row r="14265" spans="1:19" x14ac:dyDescent="0.2">
      <c r="A14265" t="s">
        <v>14876</v>
      </c>
      <c r="B14265" t="s">
        <v>67</v>
      </c>
      <c r="C14265" t="s">
        <v>602</v>
      </c>
      <c r="D14265">
        <v>1446.7</v>
      </c>
      <c r="E14265" s="37" t="str">
        <f t="shared" si="1110"/>
        <v xml:space="preserve"> </v>
      </c>
      <c r="F14265">
        <v>0.38</v>
      </c>
      <c r="G14265" s="37" t="str">
        <f t="shared" si="1111"/>
        <v>Heavy Discount</v>
      </c>
      <c r="H14265" s="37" t="str">
        <f t="shared" si="1112"/>
        <v>Medium</v>
      </c>
      <c r="I14265">
        <v>9</v>
      </c>
      <c r="J14265" t="str" cm="1">
        <f t="array" ref="J14265">_xlfn.IFS(I14265&lt;=3,"small",I14265&lt;=6,"Medium",I14265&lt;=9,"Large")</f>
        <v>Large</v>
      </c>
      <c r="K14265" s="36">
        <v>45083</v>
      </c>
      <c r="L14265" s="36">
        <v>45089</v>
      </c>
      <c r="M14265" t="s">
        <v>603</v>
      </c>
      <c r="N14265" t="s">
        <v>608</v>
      </c>
      <c r="O14265" s="37" t="str">
        <f t="shared" si="1113"/>
        <v>Cash Payment</v>
      </c>
      <c r="P14265">
        <v>145.11000000000001</v>
      </c>
      <c r="Q14265" s="37" t="str">
        <f>IF(P14265&gt;500,"High","low")</f>
        <v>low</v>
      </c>
      <c r="R14265" s="37" t="str">
        <f t="shared" si="1114"/>
        <v>AVERAGE</v>
      </c>
      <c r="S14265" t="s">
        <v>615</v>
      </c>
    </row>
    <row r="14266" spans="1:19" x14ac:dyDescent="0.2">
      <c r="A14266" t="s">
        <v>14877</v>
      </c>
      <c r="B14266" t="s">
        <v>83</v>
      </c>
      <c r="C14266" t="s">
        <v>607</v>
      </c>
      <c r="D14266">
        <v>3556.24</v>
      </c>
      <c r="E14266" s="37" t="str">
        <f t="shared" si="1110"/>
        <v xml:space="preserve"> </v>
      </c>
      <c r="F14266">
        <v>0.12</v>
      </c>
      <c r="G14266" s="37" t="str">
        <f t="shared" si="1111"/>
        <v>Normal Discount</v>
      </c>
      <c r="H14266" s="37" t="str">
        <f t="shared" si="1112"/>
        <v>Low</v>
      </c>
      <c r="I14266">
        <v>7</v>
      </c>
      <c r="J14266" t="str" cm="1">
        <f t="array" ref="J14266">_xlfn.IFS(I14266&lt;=3,"small",I14266&lt;=6,"Medium",I14266&lt;=9,"Large")</f>
        <v>Large</v>
      </c>
      <c r="K14266" s="36">
        <v>45136</v>
      </c>
      <c r="L14266" s="36">
        <v>45137</v>
      </c>
      <c r="M14266" t="s">
        <v>612</v>
      </c>
      <c r="N14266" t="s">
        <v>604</v>
      </c>
      <c r="O14266" s="37" t="str">
        <f t="shared" si="1113"/>
        <v>Digital Payment</v>
      </c>
      <c r="P14266">
        <v>329.41</v>
      </c>
      <c r="Q14266" s="37" t="str">
        <f>IF(P14266&gt;500,"High","low")</f>
        <v>low</v>
      </c>
      <c r="R14266" s="37" t="str">
        <f t="shared" si="1114"/>
        <v>AVERAGE</v>
      </c>
      <c r="S14266" t="s">
        <v>600</v>
      </c>
    </row>
    <row r="14267" spans="1:19" x14ac:dyDescent="0.2">
      <c r="A14267" t="s">
        <v>14878</v>
      </c>
      <c r="B14267" t="s">
        <v>83</v>
      </c>
      <c r="C14267" t="s">
        <v>597</v>
      </c>
      <c r="D14267">
        <v>3215.79</v>
      </c>
      <c r="E14267" s="37" t="str">
        <f t="shared" si="1110"/>
        <v xml:space="preserve"> </v>
      </c>
      <c r="F14267">
        <v>0.34</v>
      </c>
      <c r="G14267" s="37" t="str">
        <f t="shared" si="1111"/>
        <v>Heavy Discount</v>
      </c>
      <c r="H14267" s="37" t="str">
        <f t="shared" si="1112"/>
        <v>Medium</v>
      </c>
      <c r="I14267">
        <v>7</v>
      </c>
      <c r="J14267" t="str" cm="1">
        <f t="array" ref="J14267">_xlfn.IFS(I14267&lt;=3,"small",I14267&lt;=6,"Medium",I14267&lt;=9,"Large")</f>
        <v>Large</v>
      </c>
      <c r="K14267" s="36">
        <v>45164</v>
      </c>
      <c r="L14267" s="36">
        <v>45166</v>
      </c>
      <c r="M14267" t="s">
        <v>603</v>
      </c>
      <c r="N14267" t="s">
        <v>599</v>
      </c>
      <c r="O14267" s="37" t="str">
        <f t="shared" si="1113"/>
        <v>Digital Payment</v>
      </c>
      <c r="P14267">
        <v>724.01</v>
      </c>
      <c r="Q14267" s="37" t="str">
        <f>IF(P14267&gt;500,"High","low")</f>
        <v>High</v>
      </c>
      <c r="R14267" s="37" t="str">
        <f t="shared" si="1114"/>
        <v>Good</v>
      </c>
      <c r="S14267" t="s">
        <v>600</v>
      </c>
    </row>
    <row r="14268" spans="1:19" x14ac:dyDescent="0.2">
      <c r="A14268" t="s">
        <v>14879</v>
      </c>
      <c r="B14268" t="s">
        <v>90</v>
      </c>
      <c r="C14268" t="s">
        <v>617</v>
      </c>
      <c r="D14268">
        <v>2634.87</v>
      </c>
      <c r="E14268" s="37" t="str">
        <f t="shared" si="1110"/>
        <v xml:space="preserve"> </v>
      </c>
      <c r="F14268">
        <v>0.23</v>
      </c>
      <c r="G14268" s="37" t="str">
        <f t="shared" si="1111"/>
        <v>Normal Discount</v>
      </c>
      <c r="H14268" s="37" t="str">
        <f t="shared" si="1112"/>
        <v>Medium</v>
      </c>
      <c r="I14268">
        <v>9</v>
      </c>
      <c r="J14268" t="str" cm="1">
        <f t="array" ref="J14268">_xlfn.IFS(I14268&lt;=3,"small",I14268&lt;=6,"Medium",I14268&lt;=9,"Large")</f>
        <v>Large</v>
      </c>
      <c r="K14268" s="36">
        <v>45242</v>
      </c>
      <c r="L14268" s="36">
        <v>45244</v>
      </c>
      <c r="M14268" t="s">
        <v>612</v>
      </c>
      <c r="N14268" t="s">
        <v>599</v>
      </c>
      <c r="O14268" s="37" t="str">
        <f t="shared" si="1113"/>
        <v>Digital Payment</v>
      </c>
      <c r="P14268">
        <v>246.24</v>
      </c>
      <c r="Q14268" s="37" t="str">
        <f>IF(P14268&gt;500,"High","low")</f>
        <v>low</v>
      </c>
      <c r="R14268" s="37" t="str">
        <f t="shared" si="1114"/>
        <v>AVERAGE</v>
      </c>
      <c r="S14268" t="s">
        <v>605</v>
      </c>
    </row>
    <row r="14269" spans="1:19" x14ac:dyDescent="0.2">
      <c r="A14269" t="s">
        <v>14880</v>
      </c>
      <c r="B14269" t="s">
        <v>90</v>
      </c>
      <c r="C14269" t="s">
        <v>597</v>
      </c>
      <c r="D14269">
        <v>3051.89</v>
      </c>
      <c r="E14269" s="37" t="str">
        <f t="shared" si="1110"/>
        <v xml:space="preserve"> </v>
      </c>
      <c r="F14269">
        <v>0.33</v>
      </c>
      <c r="G14269" s="37" t="str">
        <f t="shared" si="1111"/>
        <v>Heavy Discount</v>
      </c>
      <c r="H14269" s="37" t="str">
        <f t="shared" si="1112"/>
        <v>Medium</v>
      </c>
      <c r="I14269">
        <v>5</v>
      </c>
      <c r="J14269" t="str" cm="1">
        <f t="array" ref="J14269">_xlfn.IFS(I14269&lt;=3,"small",I14269&lt;=6,"Medium",I14269&lt;=9,"Large")</f>
        <v>Medium</v>
      </c>
      <c r="K14269" s="36">
        <v>44943</v>
      </c>
      <c r="L14269" s="36">
        <v>44944</v>
      </c>
      <c r="M14269" t="s">
        <v>598</v>
      </c>
      <c r="N14269" t="s">
        <v>604</v>
      </c>
      <c r="O14269" s="37" t="str">
        <f t="shared" si="1113"/>
        <v>Digital Payment</v>
      </c>
      <c r="P14269">
        <v>177.22</v>
      </c>
      <c r="Q14269" s="37" t="str">
        <f>IF(P14269&gt;500,"High","low")</f>
        <v>low</v>
      </c>
      <c r="R14269" s="37" t="str">
        <f t="shared" si="1114"/>
        <v>AVERAGE</v>
      </c>
      <c r="S14269" t="s">
        <v>628</v>
      </c>
    </row>
    <row r="14270" spans="1:19" x14ac:dyDescent="0.2">
      <c r="A14270" t="s">
        <v>14881</v>
      </c>
      <c r="B14270" t="s">
        <v>67</v>
      </c>
      <c r="C14270" t="s">
        <v>617</v>
      </c>
      <c r="D14270">
        <v>188.46</v>
      </c>
      <c r="E14270" s="37" t="str">
        <f t="shared" si="1110"/>
        <v xml:space="preserve"> </v>
      </c>
      <c r="F14270">
        <v>0.19</v>
      </c>
      <c r="G14270" s="37" t="str">
        <f t="shared" si="1111"/>
        <v>Normal Discount</v>
      </c>
      <c r="H14270" s="37" t="str">
        <f t="shared" si="1112"/>
        <v>Low</v>
      </c>
      <c r="I14270">
        <v>5</v>
      </c>
      <c r="J14270" t="str" cm="1">
        <f t="array" ref="J14270">_xlfn.IFS(I14270&lt;=3,"small",I14270&lt;=6,"Medium",I14270&lt;=9,"Large")</f>
        <v>Medium</v>
      </c>
      <c r="K14270" s="36">
        <v>45110</v>
      </c>
      <c r="L14270" s="36">
        <v>45116</v>
      </c>
      <c r="M14270" t="s">
        <v>603</v>
      </c>
      <c r="N14270" t="s">
        <v>608</v>
      </c>
      <c r="O14270" s="37" t="str">
        <f t="shared" si="1113"/>
        <v>Cash Payment</v>
      </c>
      <c r="P14270">
        <v>37.99</v>
      </c>
      <c r="Q14270" s="37" t="str">
        <f>IF(P14270&gt;500,"High","low")</f>
        <v>low</v>
      </c>
      <c r="R14270" s="37" t="str">
        <f t="shared" si="1114"/>
        <v>AVERAGE</v>
      </c>
      <c r="S14270" t="s">
        <v>605</v>
      </c>
    </row>
    <row r="14271" spans="1:19" x14ac:dyDescent="0.2">
      <c r="A14271" t="s">
        <v>14882</v>
      </c>
      <c r="B14271" t="s">
        <v>83</v>
      </c>
      <c r="C14271" t="s">
        <v>602</v>
      </c>
      <c r="D14271">
        <v>119.92</v>
      </c>
      <c r="E14271" s="37" t="str">
        <f t="shared" si="1110"/>
        <v xml:space="preserve"> </v>
      </c>
      <c r="F14271">
        <v>0.15</v>
      </c>
      <c r="G14271" s="37" t="str">
        <f t="shared" si="1111"/>
        <v>Normal Discount</v>
      </c>
      <c r="H14271" s="37" t="str">
        <f t="shared" si="1112"/>
        <v>Low</v>
      </c>
      <c r="I14271">
        <v>7</v>
      </c>
      <c r="J14271" t="str" cm="1">
        <f t="array" ref="J14271">_xlfn.IFS(I14271&lt;=3,"small",I14271&lt;=6,"Medium",I14271&lt;=9,"Large")</f>
        <v>Large</v>
      </c>
      <c r="K14271" s="36">
        <v>45421</v>
      </c>
      <c r="L14271" s="36">
        <v>45423</v>
      </c>
      <c r="M14271" t="s">
        <v>603</v>
      </c>
      <c r="N14271" t="s">
        <v>608</v>
      </c>
      <c r="O14271" s="37" t="str">
        <f t="shared" si="1113"/>
        <v>Cash Payment</v>
      </c>
      <c r="P14271">
        <v>7.02</v>
      </c>
      <c r="Q14271" s="37" t="str">
        <f>IF(P14271&gt;500,"High","low")</f>
        <v>low</v>
      </c>
      <c r="R14271" s="37" t="str">
        <f t="shared" si="1114"/>
        <v>AVERAGE</v>
      </c>
      <c r="S14271" t="s">
        <v>605</v>
      </c>
    </row>
    <row r="14272" spans="1:19" x14ac:dyDescent="0.2">
      <c r="A14272" t="s">
        <v>14883</v>
      </c>
      <c r="B14272" t="s">
        <v>83</v>
      </c>
      <c r="C14272" t="s">
        <v>614</v>
      </c>
      <c r="D14272">
        <v>2797.15</v>
      </c>
      <c r="E14272" s="37" t="str">
        <f t="shared" si="1110"/>
        <v xml:space="preserve"> </v>
      </c>
      <c r="F14272">
        <v>0.24</v>
      </c>
      <c r="G14272" s="37" t="str">
        <f t="shared" si="1111"/>
        <v>Normal Discount</v>
      </c>
      <c r="H14272" s="37" t="str">
        <f t="shared" si="1112"/>
        <v>Medium</v>
      </c>
      <c r="I14272">
        <v>6</v>
      </c>
      <c r="J14272" t="str" cm="1">
        <f t="array" ref="J14272">_xlfn.IFS(I14272&lt;=3,"small",I14272&lt;=6,"Medium",I14272&lt;=9,"Large")</f>
        <v>Medium</v>
      </c>
      <c r="K14272" s="36">
        <v>45524</v>
      </c>
      <c r="L14272" s="36">
        <v>45525</v>
      </c>
      <c r="M14272" t="s">
        <v>603</v>
      </c>
      <c r="N14272" t="s">
        <v>604</v>
      </c>
      <c r="O14272" s="37" t="str">
        <f t="shared" si="1113"/>
        <v>Digital Payment</v>
      </c>
      <c r="P14272">
        <v>515.16999999999996</v>
      </c>
      <c r="Q14272" s="37" t="str">
        <f>IF(P14272&gt;500,"High","low")</f>
        <v>High</v>
      </c>
      <c r="R14272" s="37" t="str">
        <f t="shared" si="1114"/>
        <v>Good</v>
      </c>
      <c r="S14272" t="s">
        <v>609</v>
      </c>
    </row>
    <row r="14273" spans="1:19" x14ac:dyDescent="0.2">
      <c r="A14273" t="s">
        <v>14884</v>
      </c>
      <c r="B14273" t="s">
        <v>90</v>
      </c>
      <c r="C14273" t="s">
        <v>597</v>
      </c>
      <c r="D14273">
        <v>2668.13</v>
      </c>
      <c r="E14273" s="37" t="str">
        <f t="shared" si="1110"/>
        <v xml:space="preserve"> </v>
      </c>
      <c r="F14273">
        <v>0.45</v>
      </c>
      <c r="G14273" s="37" t="str">
        <f t="shared" si="1111"/>
        <v>Heavy Discount</v>
      </c>
      <c r="H14273" s="37" t="str">
        <f t="shared" si="1112"/>
        <v>High</v>
      </c>
      <c r="I14273">
        <v>6</v>
      </c>
      <c r="J14273" t="str" cm="1">
        <f t="array" ref="J14273">_xlfn.IFS(I14273&lt;=3,"small",I14273&lt;=6,"Medium",I14273&lt;=9,"Large")</f>
        <v>Medium</v>
      </c>
      <c r="K14273" s="36">
        <v>45394</v>
      </c>
      <c r="L14273" s="36">
        <v>45401</v>
      </c>
      <c r="M14273" t="s">
        <v>603</v>
      </c>
      <c r="N14273" t="s">
        <v>604</v>
      </c>
      <c r="O14273" s="37" t="str">
        <f t="shared" si="1113"/>
        <v>Digital Payment</v>
      </c>
      <c r="P14273">
        <v>670.28</v>
      </c>
      <c r="Q14273" s="37" t="str">
        <f>IF(P14273&gt;500,"High","low")</f>
        <v>High</v>
      </c>
      <c r="R14273" s="37" t="str">
        <f t="shared" si="1114"/>
        <v>Good</v>
      </c>
      <c r="S14273" t="s">
        <v>620</v>
      </c>
    </row>
    <row r="14274" spans="1:19" x14ac:dyDescent="0.2">
      <c r="A14274" t="s">
        <v>14885</v>
      </c>
      <c r="B14274" t="s">
        <v>75</v>
      </c>
      <c r="C14274" t="s">
        <v>614</v>
      </c>
      <c r="D14274">
        <v>449.54</v>
      </c>
      <c r="E14274" s="37" t="str">
        <f t="shared" si="1110"/>
        <v xml:space="preserve"> </v>
      </c>
      <c r="F14274">
        <v>0.34</v>
      </c>
      <c r="G14274" s="37" t="str">
        <f t="shared" si="1111"/>
        <v>Heavy Discount</v>
      </c>
      <c r="H14274" s="37" t="str">
        <f t="shared" si="1112"/>
        <v>Medium</v>
      </c>
      <c r="I14274">
        <v>8</v>
      </c>
      <c r="J14274" t="str" cm="1">
        <f t="array" ref="J14274">_xlfn.IFS(I14274&lt;=3,"small",I14274&lt;=6,"Medium",I14274&lt;=9,"Large")</f>
        <v>Large</v>
      </c>
      <c r="K14274" s="36">
        <v>45079</v>
      </c>
      <c r="L14274" s="36">
        <v>45083</v>
      </c>
      <c r="M14274" t="s">
        <v>598</v>
      </c>
      <c r="N14274" t="s">
        <v>608</v>
      </c>
      <c r="O14274" s="37" t="str">
        <f t="shared" si="1113"/>
        <v>Cash Payment</v>
      </c>
      <c r="P14274">
        <v>27.44</v>
      </c>
      <c r="Q14274" s="37" t="str">
        <f>IF(P14274&gt;500,"High","low")</f>
        <v>low</v>
      </c>
      <c r="R14274" s="37" t="str">
        <f t="shared" si="1114"/>
        <v>AVERAGE</v>
      </c>
      <c r="S14274" t="s">
        <v>600</v>
      </c>
    </row>
    <row r="14275" spans="1:19" x14ac:dyDescent="0.2">
      <c r="A14275" t="s">
        <v>14886</v>
      </c>
      <c r="B14275" t="s">
        <v>75</v>
      </c>
      <c r="C14275" t="s">
        <v>614</v>
      </c>
      <c r="D14275">
        <v>2510.9299999999998</v>
      </c>
      <c r="E14275" s="37" t="str">
        <f t="shared" ref="E14275:E14338" si="1115">IF(AND(D14275&gt;4000,P14275&gt;800),"Excellent Order"," ")</f>
        <v xml:space="preserve"> </v>
      </c>
      <c r="F14275">
        <v>0.31</v>
      </c>
      <c r="G14275" s="37" t="str">
        <f t="shared" ref="G14275:G14338" si="1116">IF(F14275&gt;30%,"Heavy Discount","Normal Discount")</f>
        <v>Heavy Discount</v>
      </c>
      <c r="H14275" s="37" t="str">
        <f t="shared" ref="H14275:H14338" si="1117">IF(F14275&gt;0.4,"High",IF(F14275&gt;=0.2,"Medium","Low"))</f>
        <v>Medium</v>
      </c>
      <c r="I14275">
        <v>4</v>
      </c>
      <c r="J14275" t="str" cm="1">
        <f t="array" ref="J14275">_xlfn.IFS(I14275&lt;=3,"small",I14275&lt;=6,"Medium",I14275&lt;=9,"Large")</f>
        <v>Medium</v>
      </c>
      <c r="K14275" s="36">
        <v>45197</v>
      </c>
      <c r="L14275" s="36">
        <v>45203</v>
      </c>
      <c r="M14275" t="s">
        <v>612</v>
      </c>
      <c r="N14275" t="s">
        <v>599</v>
      </c>
      <c r="O14275" s="37" t="str">
        <f t="shared" ref="O14275:O14338" si="1118">IF(OR(N14275="Card",N14275="UPI"),"Digital Payment","Cash Payment")</f>
        <v>Digital Payment</v>
      </c>
      <c r="P14275">
        <v>546.14</v>
      </c>
      <c r="Q14275" s="37" t="str">
        <f>IF(P14275&gt;500,"High","low")</f>
        <v>High</v>
      </c>
      <c r="R14275" s="37" t="str">
        <f t="shared" ref="R14275:R14338" si="1119">IF(P14275&gt;1000,"Excellent",IF(P14275&gt;=500,"Good","AVERAGE"))</f>
        <v>Good</v>
      </c>
      <c r="S14275" t="s">
        <v>609</v>
      </c>
    </row>
    <row r="14276" spans="1:19" x14ac:dyDescent="0.2">
      <c r="A14276" t="s">
        <v>14887</v>
      </c>
      <c r="B14276" t="s">
        <v>75</v>
      </c>
      <c r="C14276" t="s">
        <v>597</v>
      </c>
      <c r="D14276">
        <v>3811.89</v>
      </c>
      <c r="E14276" s="37" t="str">
        <f t="shared" si="1115"/>
        <v xml:space="preserve"> </v>
      </c>
      <c r="F14276">
        <v>0.36</v>
      </c>
      <c r="G14276" s="37" t="str">
        <f t="shared" si="1116"/>
        <v>Heavy Discount</v>
      </c>
      <c r="H14276" s="37" t="str">
        <f t="shared" si="1117"/>
        <v>Medium</v>
      </c>
      <c r="I14276">
        <v>2</v>
      </c>
      <c r="J14276" t="str" cm="1">
        <f t="array" ref="J14276">_xlfn.IFS(I14276&lt;=3,"small",I14276&lt;=6,"Medium",I14276&lt;=9,"Large")</f>
        <v>small</v>
      </c>
      <c r="K14276" s="36">
        <v>45539</v>
      </c>
      <c r="L14276" s="36">
        <v>45545</v>
      </c>
      <c r="M14276" t="s">
        <v>598</v>
      </c>
      <c r="N14276" t="s">
        <v>599</v>
      </c>
      <c r="O14276" s="37" t="str">
        <f t="shared" si="1118"/>
        <v>Digital Payment</v>
      </c>
      <c r="P14276">
        <v>259.98</v>
      </c>
      <c r="Q14276" s="37" t="str">
        <f>IF(P14276&gt;500,"High","low")</f>
        <v>low</v>
      </c>
      <c r="R14276" s="37" t="str">
        <f t="shared" si="1119"/>
        <v>AVERAGE</v>
      </c>
      <c r="S14276" t="s">
        <v>628</v>
      </c>
    </row>
    <row r="14277" spans="1:19" x14ac:dyDescent="0.2">
      <c r="A14277" t="s">
        <v>14888</v>
      </c>
      <c r="B14277" t="s">
        <v>90</v>
      </c>
      <c r="C14277" t="s">
        <v>597</v>
      </c>
      <c r="D14277">
        <v>2751.89</v>
      </c>
      <c r="E14277" s="37" t="str">
        <f t="shared" si="1115"/>
        <v xml:space="preserve"> </v>
      </c>
      <c r="F14277">
        <v>0.36</v>
      </c>
      <c r="G14277" s="37" t="str">
        <f t="shared" si="1116"/>
        <v>Heavy Discount</v>
      </c>
      <c r="H14277" s="37" t="str">
        <f t="shared" si="1117"/>
        <v>Medium</v>
      </c>
      <c r="I14277">
        <v>3</v>
      </c>
      <c r="J14277" t="str" cm="1">
        <f t="array" ref="J14277">_xlfn.IFS(I14277&lt;=3,"small",I14277&lt;=6,"Medium",I14277&lt;=9,"Large")</f>
        <v>small</v>
      </c>
      <c r="K14277" s="36">
        <v>45005</v>
      </c>
      <c r="L14277" s="36">
        <v>45006</v>
      </c>
      <c r="M14277" t="s">
        <v>612</v>
      </c>
      <c r="N14277" t="s">
        <v>608</v>
      </c>
      <c r="O14277" s="37" t="str">
        <f t="shared" si="1118"/>
        <v>Cash Payment</v>
      </c>
      <c r="P14277">
        <v>566.01</v>
      </c>
      <c r="Q14277" s="37" t="str">
        <f>IF(P14277&gt;500,"High","low")</f>
        <v>High</v>
      </c>
      <c r="R14277" s="37" t="str">
        <f t="shared" si="1119"/>
        <v>Good</v>
      </c>
      <c r="S14277" t="s">
        <v>605</v>
      </c>
    </row>
    <row r="14278" spans="1:19" x14ac:dyDescent="0.2">
      <c r="A14278" t="s">
        <v>14889</v>
      </c>
      <c r="B14278" t="s">
        <v>90</v>
      </c>
      <c r="C14278" t="s">
        <v>614</v>
      </c>
      <c r="D14278">
        <v>2636.31</v>
      </c>
      <c r="E14278" s="37" t="str">
        <f t="shared" si="1115"/>
        <v xml:space="preserve"> </v>
      </c>
      <c r="F14278">
        <v>0.15</v>
      </c>
      <c r="G14278" s="37" t="str">
        <f t="shared" si="1116"/>
        <v>Normal Discount</v>
      </c>
      <c r="H14278" s="37" t="str">
        <f t="shared" si="1117"/>
        <v>Low</v>
      </c>
      <c r="I14278">
        <v>4</v>
      </c>
      <c r="J14278" t="str" cm="1">
        <f t="array" ref="J14278">_xlfn.IFS(I14278&lt;=3,"small",I14278&lt;=6,"Medium",I14278&lt;=9,"Large")</f>
        <v>Medium</v>
      </c>
      <c r="K14278" s="36">
        <v>45367</v>
      </c>
      <c r="L14278" s="36">
        <v>45368</v>
      </c>
      <c r="M14278" t="s">
        <v>612</v>
      </c>
      <c r="N14278" t="s">
        <v>604</v>
      </c>
      <c r="O14278" s="37" t="str">
        <f t="shared" si="1118"/>
        <v>Digital Payment</v>
      </c>
      <c r="P14278">
        <v>705.88</v>
      </c>
      <c r="Q14278" s="37" t="str">
        <f>IF(P14278&gt;500,"High","low")</f>
        <v>High</v>
      </c>
      <c r="R14278" s="37" t="str">
        <f t="shared" si="1119"/>
        <v>Good</v>
      </c>
      <c r="S14278" t="s">
        <v>609</v>
      </c>
    </row>
    <row r="14279" spans="1:19" x14ac:dyDescent="0.2">
      <c r="A14279" t="s">
        <v>14890</v>
      </c>
      <c r="B14279" t="s">
        <v>75</v>
      </c>
      <c r="C14279" t="s">
        <v>607</v>
      </c>
      <c r="D14279">
        <v>3617.75</v>
      </c>
      <c r="E14279" s="37" t="str">
        <f t="shared" si="1115"/>
        <v xml:space="preserve"> </v>
      </c>
      <c r="F14279">
        <v>0.12</v>
      </c>
      <c r="G14279" s="37" t="str">
        <f t="shared" si="1116"/>
        <v>Normal Discount</v>
      </c>
      <c r="H14279" s="37" t="str">
        <f t="shared" si="1117"/>
        <v>Low</v>
      </c>
      <c r="I14279">
        <v>5</v>
      </c>
      <c r="J14279" t="str" cm="1">
        <f t="array" ref="J14279">_xlfn.IFS(I14279&lt;=3,"small",I14279&lt;=6,"Medium",I14279&lt;=9,"Large")</f>
        <v>Medium</v>
      </c>
      <c r="K14279" s="36">
        <v>45110</v>
      </c>
      <c r="L14279" s="36">
        <v>45111</v>
      </c>
      <c r="M14279" t="s">
        <v>603</v>
      </c>
      <c r="N14279" t="s">
        <v>599</v>
      </c>
      <c r="O14279" s="37" t="str">
        <f t="shared" si="1118"/>
        <v>Digital Payment</v>
      </c>
      <c r="P14279">
        <v>569.32000000000005</v>
      </c>
      <c r="Q14279" s="37" t="str">
        <f>IF(P14279&gt;500,"High","low")</f>
        <v>High</v>
      </c>
      <c r="R14279" s="37" t="str">
        <f t="shared" si="1119"/>
        <v>Good</v>
      </c>
      <c r="S14279" t="s">
        <v>620</v>
      </c>
    </row>
    <row r="14280" spans="1:19" x14ac:dyDescent="0.2">
      <c r="A14280" t="s">
        <v>14891</v>
      </c>
      <c r="B14280" t="s">
        <v>75</v>
      </c>
      <c r="C14280" t="s">
        <v>607</v>
      </c>
      <c r="D14280">
        <v>942.04</v>
      </c>
      <c r="E14280" s="37" t="str">
        <f t="shared" si="1115"/>
        <v xml:space="preserve"> </v>
      </c>
      <c r="F14280">
        <v>0.25</v>
      </c>
      <c r="G14280" s="37" t="str">
        <f t="shared" si="1116"/>
        <v>Normal Discount</v>
      </c>
      <c r="H14280" s="37" t="str">
        <f t="shared" si="1117"/>
        <v>Medium</v>
      </c>
      <c r="I14280">
        <v>2</v>
      </c>
      <c r="J14280" t="str" cm="1">
        <f t="array" ref="J14280">_xlfn.IFS(I14280&lt;=3,"small",I14280&lt;=6,"Medium",I14280&lt;=9,"Large")</f>
        <v>small</v>
      </c>
      <c r="K14280" s="36">
        <v>45520</v>
      </c>
      <c r="L14280" s="36">
        <v>45521</v>
      </c>
      <c r="M14280" t="s">
        <v>598</v>
      </c>
      <c r="N14280" t="s">
        <v>608</v>
      </c>
      <c r="O14280" s="37" t="str">
        <f t="shared" si="1118"/>
        <v>Cash Payment</v>
      </c>
      <c r="P14280">
        <v>136.11000000000001</v>
      </c>
      <c r="Q14280" s="37" t="str">
        <f>IF(P14280&gt;500,"High","low")</f>
        <v>low</v>
      </c>
      <c r="R14280" s="37" t="str">
        <f t="shared" si="1119"/>
        <v>AVERAGE</v>
      </c>
      <c r="S14280" t="s">
        <v>615</v>
      </c>
    </row>
    <row r="14281" spans="1:19" x14ac:dyDescent="0.2">
      <c r="A14281" t="s">
        <v>14892</v>
      </c>
      <c r="B14281" t="s">
        <v>83</v>
      </c>
      <c r="C14281" t="s">
        <v>597</v>
      </c>
      <c r="D14281">
        <v>2341.65</v>
      </c>
      <c r="E14281" s="37" t="str">
        <f t="shared" si="1115"/>
        <v xml:space="preserve"> </v>
      </c>
      <c r="F14281">
        <v>7.0000000000000007E-2</v>
      </c>
      <c r="G14281" s="37" t="str">
        <f t="shared" si="1116"/>
        <v>Normal Discount</v>
      </c>
      <c r="H14281" s="37" t="str">
        <f t="shared" si="1117"/>
        <v>Low</v>
      </c>
      <c r="I14281">
        <v>8</v>
      </c>
      <c r="J14281" t="str" cm="1">
        <f t="array" ref="J14281">_xlfn.IFS(I14281&lt;=3,"small",I14281&lt;=6,"Medium",I14281&lt;=9,"Large")</f>
        <v>Large</v>
      </c>
      <c r="K14281" s="36">
        <v>45475</v>
      </c>
      <c r="L14281" s="36">
        <v>45480</v>
      </c>
      <c r="M14281" t="s">
        <v>612</v>
      </c>
      <c r="N14281" t="s">
        <v>599</v>
      </c>
      <c r="O14281" s="37" t="str">
        <f t="shared" si="1118"/>
        <v>Digital Payment</v>
      </c>
      <c r="P14281">
        <v>598.59</v>
      </c>
      <c r="Q14281" s="37" t="str">
        <f>IF(P14281&gt;500,"High","low")</f>
        <v>High</v>
      </c>
      <c r="R14281" s="37" t="str">
        <f t="shared" si="1119"/>
        <v>Good</v>
      </c>
      <c r="S14281" t="s">
        <v>620</v>
      </c>
    </row>
    <row r="14282" spans="1:19" x14ac:dyDescent="0.2">
      <c r="A14282" t="s">
        <v>14893</v>
      </c>
      <c r="B14282" t="s">
        <v>90</v>
      </c>
      <c r="C14282" t="s">
        <v>614</v>
      </c>
      <c r="D14282">
        <v>825.43</v>
      </c>
      <c r="E14282" s="37" t="str">
        <f t="shared" si="1115"/>
        <v xml:space="preserve"> </v>
      </c>
      <c r="F14282">
        <v>0.24</v>
      </c>
      <c r="G14282" s="37" t="str">
        <f t="shared" si="1116"/>
        <v>Normal Discount</v>
      </c>
      <c r="H14282" s="37" t="str">
        <f t="shared" si="1117"/>
        <v>Medium</v>
      </c>
      <c r="I14282">
        <v>5</v>
      </c>
      <c r="J14282" t="str" cm="1">
        <f t="array" ref="J14282">_xlfn.IFS(I14282&lt;=3,"small",I14282&lt;=6,"Medium",I14282&lt;=9,"Large")</f>
        <v>Medium</v>
      </c>
      <c r="K14282" s="36">
        <v>45566</v>
      </c>
      <c r="L14282" s="36">
        <v>45573</v>
      </c>
      <c r="M14282" t="s">
        <v>612</v>
      </c>
      <c r="N14282" t="s">
        <v>604</v>
      </c>
      <c r="O14282" s="37" t="str">
        <f t="shared" si="1118"/>
        <v>Digital Payment</v>
      </c>
      <c r="P14282">
        <v>170.77</v>
      </c>
      <c r="Q14282" s="37" t="str">
        <f>IF(P14282&gt;500,"High","low")</f>
        <v>low</v>
      </c>
      <c r="R14282" s="37" t="str">
        <f t="shared" si="1119"/>
        <v>AVERAGE</v>
      </c>
      <c r="S14282" t="s">
        <v>620</v>
      </c>
    </row>
    <row r="14283" spans="1:19" x14ac:dyDescent="0.2">
      <c r="A14283" t="s">
        <v>14894</v>
      </c>
      <c r="B14283" t="s">
        <v>90</v>
      </c>
      <c r="C14283" t="s">
        <v>614</v>
      </c>
      <c r="D14283">
        <v>2666.82</v>
      </c>
      <c r="E14283" s="37" t="str">
        <f t="shared" si="1115"/>
        <v xml:space="preserve"> </v>
      </c>
      <c r="F14283">
        <v>0.35</v>
      </c>
      <c r="G14283" s="37" t="str">
        <f t="shared" si="1116"/>
        <v>Heavy Discount</v>
      </c>
      <c r="H14283" s="37" t="str">
        <f t="shared" si="1117"/>
        <v>Medium</v>
      </c>
      <c r="I14283">
        <v>7</v>
      </c>
      <c r="J14283" t="str" cm="1">
        <f t="array" ref="J14283">_xlfn.IFS(I14283&lt;=3,"small",I14283&lt;=6,"Medium",I14283&lt;=9,"Large")</f>
        <v>Large</v>
      </c>
      <c r="K14283" s="36">
        <v>44991</v>
      </c>
      <c r="L14283" s="36">
        <v>44998</v>
      </c>
      <c r="M14283" t="s">
        <v>603</v>
      </c>
      <c r="N14283" t="s">
        <v>599</v>
      </c>
      <c r="O14283" s="37" t="str">
        <f t="shared" si="1118"/>
        <v>Digital Payment</v>
      </c>
      <c r="P14283">
        <v>433.39</v>
      </c>
      <c r="Q14283" s="37" t="str">
        <f>IF(P14283&gt;500,"High","low")</f>
        <v>low</v>
      </c>
      <c r="R14283" s="37" t="str">
        <f t="shared" si="1119"/>
        <v>AVERAGE</v>
      </c>
      <c r="S14283" t="s">
        <v>600</v>
      </c>
    </row>
    <row r="14284" spans="1:19" x14ac:dyDescent="0.2">
      <c r="A14284" t="s">
        <v>14895</v>
      </c>
      <c r="B14284" t="s">
        <v>75</v>
      </c>
      <c r="C14284" t="s">
        <v>602</v>
      </c>
      <c r="D14284">
        <v>3000.51</v>
      </c>
      <c r="E14284" s="37" t="str">
        <f t="shared" si="1115"/>
        <v xml:space="preserve"> </v>
      </c>
      <c r="F14284">
        <v>0</v>
      </c>
      <c r="G14284" s="37" t="str">
        <f t="shared" si="1116"/>
        <v>Normal Discount</v>
      </c>
      <c r="H14284" s="37" t="str">
        <f t="shared" si="1117"/>
        <v>Low</v>
      </c>
      <c r="I14284">
        <v>9</v>
      </c>
      <c r="J14284" t="str" cm="1">
        <f t="array" ref="J14284">_xlfn.IFS(I14284&lt;=3,"small",I14284&lt;=6,"Medium",I14284&lt;=9,"Large")</f>
        <v>Large</v>
      </c>
      <c r="K14284" s="36">
        <v>45215</v>
      </c>
      <c r="L14284" s="36">
        <v>45217</v>
      </c>
      <c r="M14284" t="s">
        <v>598</v>
      </c>
      <c r="N14284" t="s">
        <v>608</v>
      </c>
      <c r="O14284" s="37" t="str">
        <f t="shared" si="1118"/>
        <v>Cash Payment</v>
      </c>
      <c r="P14284">
        <v>621.87</v>
      </c>
      <c r="Q14284" s="37" t="str">
        <f>IF(P14284&gt;500,"High","low")</f>
        <v>High</v>
      </c>
      <c r="R14284" s="37" t="str">
        <f t="shared" si="1119"/>
        <v>Good</v>
      </c>
      <c r="S14284" t="s">
        <v>600</v>
      </c>
    </row>
    <row r="14285" spans="1:19" x14ac:dyDescent="0.2">
      <c r="A14285" t="s">
        <v>14896</v>
      </c>
      <c r="B14285" t="s">
        <v>75</v>
      </c>
      <c r="C14285" t="s">
        <v>614</v>
      </c>
      <c r="D14285">
        <v>696.2</v>
      </c>
      <c r="E14285" s="37" t="str">
        <f t="shared" si="1115"/>
        <v xml:space="preserve"> </v>
      </c>
      <c r="F14285">
        <v>0.06</v>
      </c>
      <c r="G14285" s="37" t="str">
        <f t="shared" si="1116"/>
        <v>Normal Discount</v>
      </c>
      <c r="H14285" s="37" t="str">
        <f t="shared" si="1117"/>
        <v>Low</v>
      </c>
      <c r="I14285">
        <v>7</v>
      </c>
      <c r="J14285" t="str" cm="1">
        <f t="array" ref="J14285">_xlfn.IFS(I14285&lt;=3,"small",I14285&lt;=6,"Medium",I14285&lt;=9,"Large")</f>
        <v>Large</v>
      </c>
      <c r="K14285" s="36">
        <v>45057</v>
      </c>
      <c r="L14285" s="36">
        <v>45059</v>
      </c>
      <c r="M14285" t="s">
        <v>603</v>
      </c>
      <c r="N14285" t="s">
        <v>604</v>
      </c>
      <c r="O14285" s="37" t="str">
        <f t="shared" si="1118"/>
        <v>Digital Payment</v>
      </c>
      <c r="P14285">
        <v>87.24</v>
      </c>
      <c r="Q14285" s="37" t="str">
        <f>IF(P14285&gt;500,"High","low")</f>
        <v>low</v>
      </c>
      <c r="R14285" s="37" t="str">
        <f t="shared" si="1119"/>
        <v>AVERAGE</v>
      </c>
      <c r="S14285" t="s">
        <v>620</v>
      </c>
    </row>
    <row r="14286" spans="1:19" x14ac:dyDescent="0.2">
      <c r="A14286" t="s">
        <v>14897</v>
      </c>
      <c r="B14286" t="s">
        <v>67</v>
      </c>
      <c r="C14286" t="s">
        <v>607</v>
      </c>
      <c r="D14286">
        <v>470.02</v>
      </c>
      <c r="E14286" s="37" t="str">
        <f t="shared" si="1115"/>
        <v xml:space="preserve"> </v>
      </c>
      <c r="F14286">
        <v>0.48</v>
      </c>
      <c r="G14286" s="37" t="str">
        <f t="shared" si="1116"/>
        <v>Heavy Discount</v>
      </c>
      <c r="H14286" s="37" t="str">
        <f t="shared" si="1117"/>
        <v>High</v>
      </c>
      <c r="I14286">
        <v>4</v>
      </c>
      <c r="J14286" t="str" cm="1">
        <f t="array" ref="J14286">_xlfn.IFS(I14286&lt;=3,"small",I14286&lt;=6,"Medium",I14286&lt;=9,"Large")</f>
        <v>Medium</v>
      </c>
      <c r="K14286" s="36">
        <v>45231</v>
      </c>
      <c r="L14286" s="36">
        <v>45234</v>
      </c>
      <c r="M14286" t="s">
        <v>612</v>
      </c>
      <c r="N14286" t="s">
        <v>608</v>
      </c>
      <c r="O14286" s="37" t="str">
        <f t="shared" si="1118"/>
        <v>Cash Payment</v>
      </c>
      <c r="P14286">
        <v>130.66999999999999</v>
      </c>
      <c r="Q14286" s="37" t="str">
        <f>IF(P14286&gt;500,"High","low")</f>
        <v>low</v>
      </c>
      <c r="R14286" s="37" t="str">
        <f t="shared" si="1119"/>
        <v>AVERAGE</v>
      </c>
      <c r="S14286" t="s">
        <v>615</v>
      </c>
    </row>
    <row r="14287" spans="1:19" x14ac:dyDescent="0.2">
      <c r="A14287" t="s">
        <v>14898</v>
      </c>
      <c r="B14287" t="s">
        <v>90</v>
      </c>
      <c r="C14287" t="s">
        <v>602</v>
      </c>
      <c r="D14287">
        <v>916.99</v>
      </c>
      <c r="E14287" s="37" t="str">
        <f t="shared" si="1115"/>
        <v xml:space="preserve"> </v>
      </c>
      <c r="F14287">
        <v>0.46</v>
      </c>
      <c r="G14287" s="37" t="str">
        <f t="shared" si="1116"/>
        <v>Heavy Discount</v>
      </c>
      <c r="H14287" s="37" t="str">
        <f t="shared" si="1117"/>
        <v>High</v>
      </c>
      <c r="I14287">
        <v>3</v>
      </c>
      <c r="J14287" t="str" cm="1">
        <f t="array" ref="J14287">_xlfn.IFS(I14287&lt;=3,"small",I14287&lt;=6,"Medium",I14287&lt;=9,"Large")</f>
        <v>small</v>
      </c>
      <c r="K14287" s="36">
        <v>45620</v>
      </c>
      <c r="L14287" s="36">
        <v>45627</v>
      </c>
      <c r="M14287" t="s">
        <v>603</v>
      </c>
      <c r="N14287" t="s">
        <v>608</v>
      </c>
      <c r="O14287" s="37" t="str">
        <f t="shared" si="1118"/>
        <v>Cash Payment</v>
      </c>
      <c r="P14287">
        <v>47.32</v>
      </c>
      <c r="Q14287" s="37" t="str">
        <f>IF(P14287&gt;500,"High","low")</f>
        <v>low</v>
      </c>
      <c r="R14287" s="37" t="str">
        <f t="shared" si="1119"/>
        <v>AVERAGE</v>
      </c>
      <c r="S14287" t="s">
        <v>615</v>
      </c>
    </row>
    <row r="14288" spans="1:19" x14ac:dyDescent="0.2">
      <c r="A14288" t="s">
        <v>14899</v>
      </c>
      <c r="B14288" t="s">
        <v>67</v>
      </c>
      <c r="C14288" t="s">
        <v>607</v>
      </c>
      <c r="D14288">
        <v>2973.05</v>
      </c>
      <c r="E14288" s="37" t="str">
        <f t="shared" si="1115"/>
        <v xml:space="preserve"> </v>
      </c>
      <c r="F14288">
        <v>0.21</v>
      </c>
      <c r="G14288" s="37" t="str">
        <f t="shared" si="1116"/>
        <v>Normal Discount</v>
      </c>
      <c r="H14288" s="37" t="str">
        <f t="shared" si="1117"/>
        <v>Medium</v>
      </c>
      <c r="I14288">
        <v>8</v>
      </c>
      <c r="J14288" t="str" cm="1">
        <f t="array" ref="J14288">_xlfn.IFS(I14288&lt;=3,"small",I14288&lt;=6,"Medium",I14288&lt;=9,"Large")</f>
        <v>Large</v>
      </c>
      <c r="K14288" s="36">
        <v>45075</v>
      </c>
      <c r="L14288" s="36">
        <v>45080</v>
      </c>
      <c r="M14288" t="s">
        <v>598</v>
      </c>
      <c r="N14288" t="s">
        <v>599</v>
      </c>
      <c r="O14288" s="37" t="str">
        <f t="shared" si="1118"/>
        <v>Digital Payment</v>
      </c>
      <c r="P14288">
        <v>348.17</v>
      </c>
      <c r="Q14288" s="37" t="str">
        <f>IF(P14288&gt;500,"High","low")</f>
        <v>low</v>
      </c>
      <c r="R14288" s="37" t="str">
        <f t="shared" si="1119"/>
        <v>AVERAGE</v>
      </c>
      <c r="S14288" t="s">
        <v>600</v>
      </c>
    </row>
    <row r="14289" spans="1:19" x14ac:dyDescent="0.2">
      <c r="A14289" t="s">
        <v>14900</v>
      </c>
      <c r="B14289" t="s">
        <v>83</v>
      </c>
      <c r="C14289" t="s">
        <v>617</v>
      </c>
      <c r="D14289">
        <v>1029.1300000000001</v>
      </c>
      <c r="E14289" s="37" t="str">
        <f t="shared" si="1115"/>
        <v xml:space="preserve"> </v>
      </c>
      <c r="F14289">
        <v>0.3</v>
      </c>
      <c r="G14289" s="37" t="str">
        <f t="shared" si="1116"/>
        <v>Normal Discount</v>
      </c>
      <c r="H14289" s="37" t="str">
        <f t="shared" si="1117"/>
        <v>Medium</v>
      </c>
      <c r="I14289">
        <v>9</v>
      </c>
      <c r="J14289" t="str" cm="1">
        <f t="array" ref="J14289">_xlfn.IFS(I14289&lt;=3,"small",I14289&lt;=6,"Medium",I14289&lt;=9,"Large")</f>
        <v>Large</v>
      </c>
      <c r="K14289" s="36">
        <v>45036</v>
      </c>
      <c r="L14289" s="36">
        <v>45038</v>
      </c>
      <c r="M14289" t="s">
        <v>603</v>
      </c>
      <c r="N14289" t="s">
        <v>608</v>
      </c>
      <c r="O14289" s="37" t="str">
        <f t="shared" si="1118"/>
        <v>Cash Payment</v>
      </c>
      <c r="P14289">
        <v>267.14</v>
      </c>
      <c r="Q14289" s="37" t="str">
        <f>IF(P14289&gt;500,"High","low")</f>
        <v>low</v>
      </c>
      <c r="R14289" s="37" t="str">
        <f t="shared" si="1119"/>
        <v>AVERAGE</v>
      </c>
      <c r="S14289" t="s">
        <v>605</v>
      </c>
    </row>
    <row r="14290" spans="1:19" x14ac:dyDescent="0.2">
      <c r="A14290" t="s">
        <v>14901</v>
      </c>
      <c r="B14290" t="s">
        <v>67</v>
      </c>
      <c r="C14290" t="s">
        <v>597</v>
      </c>
      <c r="D14290">
        <v>1448.69</v>
      </c>
      <c r="E14290" s="37" t="str">
        <f t="shared" si="1115"/>
        <v xml:space="preserve"> </v>
      </c>
      <c r="F14290">
        <v>0.08</v>
      </c>
      <c r="G14290" s="37" t="str">
        <f t="shared" si="1116"/>
        <v>Normal Discount</v>
      </c>
      <c r="H14290" s="37" t="str">
        <f t="shared" si="1117"/>
        <v>Low</v>
      </c>
      <c r="I14290">
        <v>5</v>
      </c>
      <c r="J14290" t="str" cm="1">
        <f t="array" ref="J14290">_xlfn.IFS(I14290&lt;=3,"small",I14290&lt;=6,"Medium",I14290&lt;=9,"Large")</f>
        <v>Medium</v>
      </c>
      <c r="K14290" s="36">
        <v>45031</v>
      </c>
      <c r="L14290" s="36">
        <v>45036</v>
      </c>
      <c r="M14290" t="s">
        <v>598</v>
      </c>
      <c r="N14290" t="s">
        <v>608</v>
      </c>
      <c r="O14290" s="37" t="str">
        <f t="shared" si="1118"/>
        <v>Cash Payment</v>
      </c>
      <c r="P14290">
        <v>144.47999999999999</v>
      </c>
      <c r="Q14290" s="37" t="str">
        <f>IF(P14290&gt;500,"High","low")</f>
        <v>low</v>
      </c>
      <c r="R14290" s="37" t="str">
        <f t="shared" si="1119"/>
        <v>AVERAGE</v>
      </c>
      <c r="S14290" t="s">
        <v>615</v>
      </c>
    </row>
    <row r="14291" spans="1:19" x14ac:dyDescent="0.2">
      <c r="A14291" t="s">
        <v>14902</v>
      </c>
      <c r="B14291" t="s">
        <v>75</v>
      </c>
      <c r="C14291" t="s">
        <v>617</v>
      </c>
      <c r="D14291">
        <v>3542.48</v>
      </c>
      <c r="E14291" s="37" t="str">
        <f t="shared" si="1115"/>
        <v xml:space="preserve"> </v>
      </c>
      <c r="F14291">
        <v>0.17</v>
      </c>
      <c r="G14291" s="37" t="str">
        <f t="shared" si="1116"/>
        <v>Normal Discount</v>
      </c>
      <c r="H14291" s="37" t="str">
        <f t="shared" si="1117"/>
        <v>Low</v>
      </c>
      <c r="I14291">
        <v>6</v>
      </c>
      <c r="J14291" t="str" cm="1">
        <f t="array" ref="J14291">_xlfn.IFS(I14291&lt;=3,"small",I14291&lt;=6,"Medium",I14291&lt;=9,"Large")</f>
        <v>Medium</v>
      </c>
      <c r="K14291" s="36">
        <v>44953</v>
      </c>
      <c r="L14291" s="36">
        <v>44954</v>
      </c>
      <c r="M14291" t="s">
        <v>612</v>
      </c>
      <c r="N14291" t="s">
        <v>599</v>
      </c>
      <c r="O14291" s="37" t="str">
        <f t="shared" si="1118"/>
        <v>Digital Payment</v>
      </c>
      <c r="P14291">
        <v>385.09</v>
      </c>
      <c r="Q14291" s="37" t="str">
        <f>IF(P14291&gt;500,"High","low")</f>
        <v>low</v>
      </c>
      <c r="R14291" s="37" t="str">
        <f t="shared" si="1119"/>
        <v>AVERAGE</v>
      </c>
      <c r="S14291" t="s">
        <v>620</v>
      </c>
    </row>
    <row r="14292" spans="1:19" x14ac:dyDescent="0.2">
      <c r="A14292" t="s">
        <v>14903</v>
      </c>
      <c r="B14292" t="s">
        <v>90</v>
      </c>
      <c r="C14292" t="s">
        <v>597</v>
      </c>
      <c r="D14292">
        <v>1316.89</v>
      </c>
      <c r="E14292" s="37" t="str">
        <f t="shared" si="1115"/>
        <v xml:space="preserve"> </v>
      </c>
      <c r="F14292">
        <v>0.4</v>
      </c>
      <c r="G14292" s="37" t="str">
        <f t="shared" si="1116"/>
        <v>Heavy Discount</v>
      </c>
      <c r="H14292" s="37" t="str">
        <f t="shared" si="1117"/>
        <v>Medium</v>
      </c>
      <c r="I14292">
        <v>6</v>
      </c>
      <c r="J14292" t="str" cm="1">
        <f t="array" ref="J14292">_xlfn.IFS(I14292&lt;=3,"small",I14292&lt;=6,"Medium",I14292&lt;=9,"Large")</f>
        <v>Medium</v>
      </c>
      <c r="K14292" s="36">
        <v>45314</v>
      </c>
      <c r="L14292" s="36">
        <v>45315</v>
      </c>
      <c r="M14292" t="s">
        <v>612</v>
      </c>
      <c r="N14292" t="s">
        <v>599</v>
      </c>
      <c r="O14292" s="37" t="str">
        <f t="shared" si="1118"/>
        <v>Digital Payment</v>
      </c>
      <c r="P14292">
        <v>250.77</v>
      </c>
      <c r="Q14292" s="37" t="str">
        <f>IF(P14292&gt;500,"High","low")</f>
        <v>low</v>
      </c>
      <c r="R14292" s="37" t="str">
        <f t="shared" si="1119"/>
        <v>AVERAGE</v>
      </c>
      <c r="S14292" t="s">
        <v>620</v>
      </c>
    </row>
    <row r="14293" spans="1:19" x14ac:dyDescent="0.2">
      <c r="A14293" t="s">
        <v>14904</v>
      </c>
      <c r="B14293" t="s">
        <v>90</v>
      </c>
      <c r="C14293" t="s">
        <v>607</v>
      </c>
      <c r="D14293">
        <v>2047.88</v>
      </c>
      <c r="E14293" s="37" t="str">
        <f t="shared" si="1115"/>
        <v xml:space="preserve"> </v>
      </c>
      <c r="F14293">
        <v>0.43</v>
      </c>
      <c r="G14293" s="37" t="str">
        <f t="shared" si="1116"/>
        <v>Heavy Discount</v>
      </c>
      <c r="H14293" s="37" t="str">
        <f t="shared" si="1117"/>
        <v>High</v>
      </c>
      <c r="I14293">
        <v>3</v>
      </c>
      <c r="J14293" t="str" cm="1">
        <f t="array" ref="J14293">_xlfn.IFS(I14293&lt;=3,"small",I14293&lt;=6,"Medium",I14293&lt;=9,"Large")</f>
        <v>small</v>
      </c>
      <c r="K14293" s="36">
        <v>45041</v>
      </c>
      <c r="L14293" s="36">
        <v>45043</v>
      </c>
      <c r="M14293" t="s">
        <v>598</v>
      </c>
      <c r="N14293" t="s">
        <v>599</v>
      </c>
      <c r="O14293" s="37" t="str">
        <f t="shared" si="1118"/>
        <v>Digital Payment</v>
      </c>
      <c r="P14293">
        <v>448.53</v>
      </c>
      <c r="Q14293" s="37" t="str">
        <f>IF(P14293&gt;500,"High","low")</f>
        <v>low</v>
      </c>
      <c r="R14293" s="37" t="str">
        <f t="shared" si="1119"/>
        <v>AVERAGE</v>
      </c>
      <c r="S14293" t="s">
        <v>628</v>
      </c>
    </row>
    <row r="14294" spans="1:19" x14ac:dyDescent="0.2">
      <c r="A14294" t="s">
        <v>14905</v>
      </c>
      <c r="B14294" t="s">
        <v>67</v>
      </c>
      <c r="C14294" t="s">
        <v>607</v>
      </c>
      <c r="D14294">
        <v>4651.34</v>
      </c>
      <c r="E14294" s="37" t="str">
        <f t="shared" si="1115"/>
        <v xml:space="preserve"> </v>
      </c>
      <c r="F14294">
        <v>0.2</v>
      </c>
      <c r="G14294" s="37" t="str">
        <f t="shared" si="1116"/>
        <v>Normal Discount</v>
      </c>
      <c r="H14294" s="37" t="str">
        <f t="shared" si="1117"/>
        <v>Medium</v>
      </c>
      <c r="I14294">
        <v>4</v>
      </c>
      <c r="J14294" t="str" cm="1">
        <f t="array" ref="J14294">_xlfn.IFS(I14294&lt;=3,"small",I14294&lt;=6,"Medium",I14294&lt;=9,"Large")</f>
        <v>Medium</v>
      </c>
      <c r="K14294" s="36">
        <v>45153</v>
      </c>
      <c r="L14294" s="36">
        <v>45157</v>
      </c>
      <c r="M14294" t="s">
        <v>603</v>
      </c>
      <c r="N14294" t="s">
        <v>604</v>
      </c>
      <c r="O14294" s="37" t="str">
        <f t="shared" si="1118"/>
        <v>Digital Payment</v>
      </c>
      <c r="P14294">
        <v>281.20999999999998</v>
      </c>
      <c r="Q14294" s="37" t="str">
        <f>IF(P14294&gt;500,"High","low")</f>
        <v>low</v>
      </c>
      <c r="R14294" s="37" t="str">
        <f t="shared" si="1119"/>
        <v>AVERAGE</v>
      </c>
      <c r="S14294" t="s">
        <v>628</v>
      </c>
    </row>
    <row r="14295" spans="1:19" x14ac:dyDescent="0.2">
      <c r="A14295" t="s">
        <v>14906</v>
      </c>
      <c r="B14295" t="s">
        <v>67</v>
      </c>
      <c r="C14295" t="s">
        <v>617</v>
      </c>
      <c r="D14295">
        <v>4142.4799999999996</v>
      </c>
      <c r="E14295" s="37" t="str">
        <f t="shared" si="1115"/>
        <v>Excellent Order</v>
      </c>
      <c r="F14295">
        <v>0.16</v>
      </c>
      <c r="G14295" s="37" t="str">
        <f t="shared" si="1116"/>
        <v>Normal Discount</v>
      </c>
      <c r="H14295" s="37" t="str">
        <f t="shared" si="1117"/>
        <v>Low</v>
      </c>
      <c r="I14295">
        <v>9</v>
      </c>
      <c r="J14295" t="str" cm="1">
        <f t="array" ref="J14295">_xlfn.IFS(I14295&lt;=3,"small",I14295&lt;=6,"Medium",I14295&lt;=9,"Large")</f>
        <v>Large</v>
      </c>
      <c r="K14295" s="36">
        <v>45055</v>
      </c>
      <c r="L14295" s="36">
        <v>45057</v>
      </c>
      <c r="M14295" t="s">
        <v>598</v>
      </c>
      <c r="N14295" t="s">
        <v>599</v>
      </c>
      <c r="O14295" s="37" t="str">
        <f t="shared" si="1118"/>
        <v>Digital Payment</v>
      </c>
      <c r="P14295">
        <v>1064.9100000000001</v>
      </c>
      <c r="Q14295" s="37" t="str">
        <f>IF(P14295&gt;500,"High","low")</f>
        <v>High</v>
      </c>
      <c r="R14295" s="37" t="str">
        <f t="shared" si="1119"/>
        <v>Excellent</v>
      </c>
      <c r="S14295" t="s">
        <v>620</v>
      </c>
    </row>
    <row r="14296" spans="1:19" x14ac:dyDescent="0.2">
      <c r="A14296" t="s">
        <v>14907</v>
      </c>
      <c r="B14296" t="s">
        <v>83</v>
      </c>
      <c r="C14296" t="s">
        <v>597</v>
      </c>
      <c r="D14296">
        <v>1351.81</v>
      </c>
      <c r="E14296" s="37" t="str">
        <f t="shared" si="1115"/>
        <v xml:space="preserve"> </v>
      </c>
      <c r="F14296">
        <v>0.34</v>
      </c>
      <c r="G14296" s="37" t="str">
        <f t="shared" si="1116"/>
        <v>Heavy Discount</v>
      </c>
      <c r="H14296" s="37" t="str">
        <f t="shared" si="1117"/>
        <v>Medium</v>
      </c>
      <c r="I14296">
        <v>6</v>
      </c>
      <c r="J14296" t="str" cm="1">
        <f t="array" ref="J14296">_xlfn.IFS(I14296&lt;=3,"small",I14296&lt;=6,"Medium",I14296&lt;=9,"Large")</f>
        <v>Medium</v>
      </c>
      <c r="K14296" s="36">
        <v>45365</v>
      </c>
      <c r="L14296" s="36">
        <v>45369</v>
      </c>
      <c r="M14296" t="s">
        <v>598</v>
      </c>
      <c r="N14296" t="s">
        <v>599</v>
      </c>
      <c r="O14296" s="37" t="str">
        <f t="shared" si="1118"/>
        <v>Digital Payment</v>
      </c>
      <c r="P14296">
        <v>259.66000000000003</v>
      </c>
      <c r="Q14296" s="37" t="str">
        <f>IF(P14296&gt;500,"High","low")</f>
        <v>low</v>
      </c>
      <c r="R14296" s="37" t="str">
        <f t="shared" si="1119"/>
        <v>AVERAGE</v>
      </c>
      <c r="S14296" t="s">
        <v>620</v>
      </c>
    </row>
    <row r="14297" spans="1:19" x14ac:dyDescent="0.2">
      <c r="A14297" t="s">
        <v>14908</v>
      </c>
      <c r="B14297" t="s">
        <v>83</v>
      </c>
      <c r="C14297" t="s">
        <v>597</v>
      </c>
      <c r="D14297">
        <v>3028.12</v>
      </c>
      <c r="E14297" s="37" t="str">
        <f t="shared" si="1115"/>
        <v xml:space="preserve"> </v>
      </c>
      <c r="F14297">
        <v>0.36</v>
      </c>
      <c r="G14297" s="37" t="str">
        <f t="shared" si="1116"/>
        <v>Heavy Discount</v>
      </c>
      <c r="H14297" s="37" t="str">
        <f t="shared" si="1117"/>
        <v>Medium</v>
      </c>
      <c r="I14297">
        <v>5</v>
      </c>
      <c r="J14297" t="str" cm="1">
        <f t="array" ref="J14297">_xlfn.IFS(I14297&lt;=3,"small",I14297&lt;=6,"Medium",I14297&lt;=9,"Large")</f>
        <v>Medium</v>
      </c>
      <c r="K14297" s="36">
        <v>45462</v>
      </c>
      <c r="L14297" s="36">
        <v>45463</v>
      </c>
      <c r="M14297" t="s">
        <v>612</v>
      </c>
      <c r="N14297" t="s">
        <v>604</v>
      </c>
      <c r="O14297" s="37" t="str">
        <f t="shared" si="1118"/>
        <v>Digital Payment</v>
      </c>
      <c r="P14297">
        <v>187.52</v>
      </c>
      <c r="Q14297" s="37" t="str">
        <f>IF(P14297&gt;500,"High","low")</f>
        <v>low</v>
      </c>
      <c r="R14297" s="37" t="str">
        <f t="shared" si="1119"/>
        <v>AVERAGE</v>
      </c>
      <c r="S14297" t="s">
        <v>600</v>
      </c>
    </row>
    <row r="14298" spans="1:19" x14ac:dyDescent="0.2">
      <c r="A14298" t="s">
        <v>14909</v>
      </c>
      <c r="B14298" t="s">
        <v>75</v>
      </c>
      <c r="C14298" t="s">
        <v>602</v>
      </c>
      <c r="D14298">
        <v>3362.44</v>
      </c>
      <c r="E14298" s="37" t="str">
        <f t="shared" si="1115"/>
        <v xml:space="preserve"> </v>
      </c>
      <c r="F14298">
        <v>0.49</v>
      </c>
      <c r="G14298" s="37" t="str">
        <f t="shared" si="1116"/>
        <v>Heavy Discount</v>
      </c>
      <c r="H14298" s="37" t="str">
        <f t="shared" si="1117"/>
        <v>High</v>
      </c>
      <c r="I14298">
        <v>9</v>
      </c>
      <c r="J14298" t="str" cm="1">
        <f t="array" ref="J14298">_xlfn.IFS(I14298&lt;=3,"small",I14298&lt;=6,"Medium",I14298&lt;=9,"Large")</f>
        <v>Large</v>
      </c>
      <c r="K14298" s="36">
        <v>45036</v>
      </c>
      <c r="L14298" s="36">
        <v>45042</v>
      </c>
      <c r="M14298" t="s">
        <v>603</v>
      </c>
      <c r="N14298" t="s">
        <v>604</v>
      </c>
      <c r="O14298" s="37" t="str">
        <f t="shared" si="1118"/>
        <v>Digital Payment</v>
      </c>
      <c r="P14298">
        <v>621.21</v>
      </c>
      <c r="Q14298" s="37" t="str">
        <f>IF(P14298&gt;500,"High","low")</f>
        <v>High</v>
      </c>
      <c r="R14298" s="37" t="str">
        <f t="shared" si="1119"/>
        <v>Good</v>
      </c>
      <c r="S14298" t="s">
        <v>609</v>
      </c>
    </row>
    <row r="14299" spans="1:19" x14ac:dyDescent="0.2">
      <c r="A14299" t="s">
        <v>14910</v>
      </c>
      <c r="B14299" t="s">
        <v>75</v>
      </c>
      <c r="C14299" t="s">
        <v>614</v>
      </c>
      <c r="D14299">
        <v>4511.18</v>
      </c>
      <c r="E14299" s="37" t="str">
        <f t="shared" si="1115"/>
        <v xml:space="preserve"> </v>
      </c>
      <c r="F14299">
        <v>0.35</v>
      </c>
      <c r="G14299" s="37" t="str">
        <f t="shared" si="1116"/>
        <v>Heavy Discount</v>
      </c>
      <c r="H14299" s="37" t="str">
        <f t="shared" si="1117"/>
        <v>Medium</v>
      </c>
      <c r="I14299">
        <v>8</v>
      </c>
      <c r="J14299" t="str" cm="1">
        <f t="array" ref="J14299">_xlfn.IFS(I14299&lt;=3,"small",I14299&lt;=6,"Medium",I14299&lt;=9,"Large")</f>
        <v>Large</v>
      </c>
      <c r="K14299" s="36">
        <v>45595</v>
      </c>
      <c r="L14299" s="36">
        <v>45598</v>
      </c>
      <c r="M14299" t="s">
        <v>598</v>
      </c>
      <c r="N14299" t="s">
        <v>599</v>
      </c>
      <c r="O14299" s="37" t="str">
        <f t="shared" si="1118"/>
        <v>Digital Payment</v>
      </c>
      <c r="P14299">
        <v>410.31</v>
      </c>
      <c r="Q14299" s="37" t="str">
        <f>IF(P14299&gt;500,"High","low")</f>
        <v>low</v>
      </c>
      <c r="R14299" s="37" t="str">
        <f t="shared" si="1119"/>
        <v>AVERAGE</v>
      </c>
      <c r="S14299" t="s">
        <v>628</v>
      </c>
    </row>
    <row r="14300" spans="1:19" x14ac:dyDescent="0.2">
      <c r="A14300" t="s">
        <v>14911</v>
      </c>
      <c r="B14300" t="s">
        <v>75</v>
      </c>
      <c r="C14300" t="s">
        <v>602</v>
      </c>
      <c r="D14300">
        <v>2782.59</v>
      </c>
      <c r="E14300" s="37" t="str">
        <f t="shared" si="1115"/>
        <v xml:space="preserve"> </v>
      </c>
      <c r="F14300">
        <v>0.12</v>
      </c>
      <c r="G14300" s="37" t="str">
        <f t="shared" si="1116"/>
        <v>Normal Discount</v>
      </c>
      <c r="H14300" s="37" t="str">
        <f t="shared" si="1117"/>
        <v>Low</v>
      </c>
      <c r="I14300">
        <v>9</v>
      </c>
      <c r="J14300" t="str" cm="1">
        <f t="array" ref="J14300">_xlfn.IFS(I14300&lt;=3,"small",I14300&lt;=6,"Medium",I14300&lt;=9,"Large")</f>
        <v>Large</v>
      </c>
      <c r="K14300" s="36">
        <v>45460</v>
      </c>
      <c r="L14300" s="36">
        <v>45461</v>
      </c>
      <c r="M14300" t="s">
        <v>598</v>
      </c>
      <c r="N14300" t="s">
        <v>599</v>
      </c>
      <c r="O14300" s="37" t="str">
        <f t="shared" si="1118"/>
        <v>Digital Payment</v>
      </c>
      <c r="P14300">
        <v>237.21</v>
      </c>
      <c r="Q14300" s="37" t="str">
        <f>IF(P14300&gt;500,"High","low")</f>
        <v>low</v>
      </c>
      <c r="R14300" s="37" t="str">
        <f t="shared" si="1119"/>
        <v>AVERAGE</v>
      </c>
      <c r="S14300" t="s">
        <v>615</v>
      </c>
    </row>
    <row r="14301" spans="1:19" x14ac:dyDescent="0.2">
      <c r="A14301" t="s">
        <v>14912</v>
      </c>
      <c r="B14301" t="s">
        <v>67</v>
      </c>
      <c r="C14301" t="s">
        <v>607</v>
      </c>
      <c r="D14301">
        <v>2850.31</v>
      </c>
      <c r="E14301" s="37" t="str">
        <f t="shared" si="1115"/>
        <v xml:space="preserve"> </v>
      </c>
      <c r="F14301">
        <v>0.03</v>
      </c>
      <c r="G14301" s="37" t="str">
        <f t="shared" si="1116"/>
        <v>Normal Discount</v>
      </c>
      <c r="H14301" s="37" t="str">
        <f t="shared" si="1117"/>
        <v>Low</v>
      </c>
      <c r="I14301">
        <v>9</v>
      </c>
      <c r="J14301" t="str" cm="1">
        <f t="array" ref="J14301">_xlfn.IFS(I14301&lt;=3,"small",I14301&lt;=6,"Medium",I14301&lt;=9,"Large")</f>
        <v>Large</v>
      </c>
      <c r="K14301" s="36">
        <v>45077</v>
      </c>
      <c r="L14301" s="36">
        <v>45082</v>
      </c>
      <c r="M14301" t="s">
        <v>603</v>
      </c>
      <c r="N14301" t="s">
        <v>599</v>
      </c>
      <c r="O14301" s="37" t="str">
        <f t="shared" si="1118"/>
        <v>Digital Payment</v>
      </c>
      <c r="P14301">
        <v>542.37</v>
      </c>
      <c r="Q14301" s="37" t="str">
        <f>IF(P14301&gt;500,"High","low")</f>
        <v>High</v>
      </c>
      <c r="R14301" s="37" t="str">
        <f t="shared" si="1119"/>
        <v>Good</v>
      </c>
      <c r="S14301" t="s">
        <v>605</v>
      </c>
    </row>
    <row r="14302" spans="1:19" x14ac:dyDescent="0.2">
      <c r="A14302" t="s">
        <v>14913</v>
      </c>
      <c r="B14302" t="s">
        <v>67</v>
      </c>
      <c r="C14302" t="s">
        <v>617</v>
      </c>
      <c r="D14302">
        <v>4453.3900000000003</v>
      </c>
      <c r="E14302" s="37" t="str">
        <f t="shared" si="1115"/>
        <v>Excellent Order</v>
      </c>
      <c r="F14302">
        <v>0.13</v>
      </c>
      <c r="G14302" s="37" t="str">
        <f t="shared" si="1116"/>
        <v>Normal Discount</v>
      </c>
      <c r="H14302" s="37" t="str">
        <f t="shared" si="1117"/>
        <v>Low</v>
      </c>
      <c r="I14302">
        <v>4</v>
      </c>
      <c r="J14302" t="str" cm="1">
        <f t="array" ref="J14302">_xlfn.IFS(I14302&lt;=3,"small",I14302&lt;=6,"Medium",I14302&lt;=9,"Large")</f>
        <v>Medium</v>
      </c>
      <c r="K14302" s="36">
        <v>45139</v>
      </c>
      <c r="L14302" s="36">
        <v>45140</v>
      </c>
      <c r="M14302" t="s">
        <v>612</v>
      </c>
      <c r="N14302" t="s">
        <v>608</v>
      </c>
      <c r="O14302" s="37" t="str">
        <f t="shared" si="1118"/>
        <v>Cash Payment</v>
      </c>
      <c r="P14302">
        <v>1009.1</v>
      </c>
      <c r="Q14302" s="37" t="str">
        <f>IF(P14302&gt;500,"High","low")</f>
        <v>High</v>
      </c>
      <c r="R14302" s="37" t="str">
        <f t="shared" si="1119"/>
        <v>Excellent</v>
      </c>
      <c r="S14302" t="s">
        <v>620</v>
      </c>
    </row>
    <row r="14303" spans="1:19" x14ac:dyDescent="0.2">
      <c r="A14303" t="s">
        <v>14914</v>
      </c>
      <c r="B14303" t="s">
        <v>90</v>
      </c>
      <c r="C14303" t="s">
        <v>597</v>
      </c>
      <c r="D14303">
        <v>366.47</v>
      </c>
      <c r="E14303" s="37" t="str">
        <f t="shared" si="1115"/>
        <v xml:space="preserve"> </v>
      </c>
      <c r="F14303">
        <v>0.11</v>
      </c>
      <c r="G14303" s="37" t="str">
        <f t="shared" si="1116"/>
        <v>Normal Discount</v>
      </c>
      <c r="H14303" s="37" t="str">
        <f t="shared" si="1117"/>
        <v>Low</v>
      </c>
      <c r="I14303">
        <v>8</v>
      </c>
      <c r="J14303" t="str" cm="1">
        <f t="array" ref="J14303">_xlfn.IFS(I14303&lt;=3,"small",I14303&lt;=6,"Medium",I14303&lt;=9,"Large")</f>
        <v>Large</v>
      </c>
      <c r="K14303" s="36">
        <v>45446</v>
      </c>
      <c r="L14303" s="36">
        <v>45447</v>
      </c>
      <c r="M14303" t="s">
        <v>612</v>
      </c>
      <c r="N14303" t="s">
        <v>599</v>
      </c>
      <c r="O14303" s="37" t="str">
        <f t="shared" si="1118"/>
        <v>Digital Payment</v>
      </c>
      <c r="P14303">
        <v>44.53</v>
      </c>
      <c r="Q14303" s="37" t="str">
        <f>IF(P14303&gt;500,"High","low")</f>
        <v>low</v>
      </c>
      <c r="R14303" s="37" t="str">
        <f t="shared" si="1119"/>
        <v>AVERAGE</v>
      </c>
      <c r="S14303" t="s">
        <v>609</v>
      </c>
    </row>
    <row r="14304" spans="1:19" x14ac:dyDescent="0.2">
      <c r="A14304" t="s">
        <v>14915</v>
      </c>
      <c r="B14304" t="s">
        <v>75</v>
      </c>
      <c r="C14304" t="s">
        <v>602</v>
      </c>
      <c r="D14304">
        <v>3177.89</v>
      </c>
      <c r="E14304" s="37" t="str">
        <f t="shared" si="1115"/>
        <v xml:space="preserve"> </v>
      </c>
      <c r="F14304">
        <v>0.05</v>
      </c>
      <c r="G14304" s="37" t="str">
        <f t="shared" si="1116"/>
        <v>Normal Discount</v>
      </c>
      <c r="H14304" s="37" t="str">
        <f t="shared" si="1117"/>
        <v>Low</v>
      </c>
      <c r="I14304">
        <v>9</v>
      </c>
      <c r="J14304" t="str" cm="1">
        <f t="array" ref="J14304">_xlfn.IFS(I14304&lt;=3,"small",I14304&lt;=6,"Medium",I14304&lt;=9,"Large")</f>
        <v>Large</v>
      </c>
      <c r="K14304" s="36">
        <v>45006</v>
      </c>
      <c r="L14304" s="36">
        <v>45011</v>
      </c>
      <c r="M14304" t="s">
        <v>603</v>
      </c>
      <c r="N14304" t="s">
        <v>599</v>
      </c>
      <c r="O14304" s="37" t="str">
        <f t="shared" si="1118"/>
        <v>Digital Payment</v>
      </c>
      <c r="P14304">
        <v>881.07</v>
      </c>
      <c r="Q14304" s="37" t="str">
        <f>IF(P14304&gt;500,"High","low")</f>
        <v>High</v>
      </c>
      <c r="R14304" s="37" t="str">
        <f t="shared" si="1119"/>
        <v>Good</v>
      </c>
      <c r="S14304" t="s">
        <v>609</v>
      </c>
    </row>
    <row r="14305" spans="1:19" x14ac:dyDescent="0.2">
      <c r="A14305" t="s">
        <v>14916</v>
      </c>
      <c r="B14305" t="s">
        <v>67</v>
      </c>
      <c r="C14305" t="s">
        <v>617</v>
      </c>
      <c r="D14305">
        <v>2141.58</v>
      </c>
      <c r="E14305" s="37" t="str">
        <f t="shared" si="1115"/>
        <v xml:space="preserve"> </v>
      </c>
      <c r="F14305">
        <v>0.22</v>
      </c>
      <c r="G14305" s="37" t="str">
        <f t="shared" si="1116"/>
        <v>Normal Discount</v>
      </c>
      <c r="H14305" s="37" t="str">
        <f t="shared" si="1117"/>
        <v>Medium</v>
      </c>
      <c r="I14305">
        <v>5</v>
      </c>
      <c r="J14305" t="str" cm="1">
        <f t="array" ref="J14305">_xlfn.IFS(I14305&lt;=3,"small",I14305&lt;=6,"Medium",I14305&lt;=9,"Large")</f>
        <v>Medium</v>
      </c>
      <c r="K14305" s="36">
        <v>45409</v>
      </c>
      <c r="L14305" s="36">
        <v>45416</v>
      </c>
      <c r="M14305" t="s">
        <v>612</v>
      </c>
      <c r="N14305" t="s">
        <v>599</v>
      </c>
      <c r="O14305" s="37" t="str">
        <f t="shared" si="1118"/>
        <v>Digital Payment</v>
      </c>
      <c r="P14305">
        <v>332.56</v>
      </c>
      <c r="Q14305" s="37" t="str">
        <f>IF(P14305&gt;500,"High","low")</f>
        <v>low</v>
      </c>
      <c r="R14305" s="37" t="str">
        <f t="shared" si="1119"/>
        <v>AVERAGE</v>
      </c>
      <c r="S14305" t="s">
        <v>628</v>
      </c>
    </row>
    <row r="14306" spans="1:19" x14ac:dyDescent="0.2">
      <c r="A14306" t="s">
        <v>14917</v>
      </c>
      <c r="B14306" t="s">
        <v>90</v>
      </c>
      <c r="C14306" t="s">
        <v>617</v>
      </c>
      <c r="D14306">
        <v>4557.84</v>
      </c>
      <c r="E14306" s="37" t="str">
        <f t="shared" si="1115"/>
        <v xml:space="preserve"> </v>
      </c>
      <c r="F14306">
        <v>0.14000000000000001</v>
      </c>
      <c r="G14306" s="37" t="str">
        <f t="shared" si="1116"/>
        <v>Normal Discount</v>
      </c>
      <c r="H14306" s="37" t="str">
        <f t="shared" si="1117"/>
        <v>Low</v>
      </c>
      <c r="I14306">
        <v>4</v>
      </c>
      <c r="J14306" t="str" cm="1">
        <f t="array" ref="J14306">_xlfn.IFS(I14306&lt;=3,"small",I14306&lt;=6,"Medium",I14306&lt;=9,"Large")</f>
        <v>Medium</v>
      </c>
      <c r="K14306" s="36">
        <v>45014</v>
      </c>
      <c r="L14306" s="36">
        <v>45015</v>
      </c>
      <c r="M14306" t="s">
        <v>612</v>
      </c>
      <c r="N14306" t="s">
        <v>604</v>
      </c>
      <c r="O14306" s="37" t="str">
        <f t="shared" si="1118"/>
        <v>Digital Payment</v>
      </c>
      <c r="P14306">
        <v>644.65</v>
      </c>
      <c r="Q14306" s="37" t="str">
        <f>IF(P14306&gt;500,"High","low")</f>
        <v>High</v>
      </c>
      <c r="R14306" s="37" t="str">
        <f t="shared" si="1119"/>
        <v>Good</v>
      </c>
      <c r="S14306" t="s">
        <v>600</v>
      </c>
    </row>
    <row r="14307" spans="1:19" x14ac:dyDescent="0.2">
      <c r="A14307" t="s">
        <v>14918</v>
      </c>
      <c r="B14307" t="s">
        <v>75</v>
      </c>
      <c r="C14307" t="s">
        <v>614</v>
      </c>
      <c r="D14307">
        <v>4806.6499999999996</v>
      </c>
      <c r="E14307" s="37" t="str">
        <f t="shared" si="1115"/>
        <v>Excellent Order</v>
      </c>
      <c r="F14307">
        <v>0.46</v>
      </c>
      <c r="G14307" s="37" t="str">
        <f t="shared" si="1116"/>
        <v>Heavy Discount</v>
      </c>
      <c r="H14307" s="37" t="str">
        <f t="shared" si="1117"/>
        <v>High</v>
      </c>
      <c r="I14307">
        <v>1</v>
      </c>
      <c r="J14307" t="str" cm="1">
        <f t="array" ref="J14307">_xlfn.IFS(I14307&lt;=3,"small",I14307&lt;=6,"Medium",I14307&lt;=9,"Large")</f>
        <v>small</v>
      </c>
      <c r="K14307" s="36">
        <v>45497</v>
      </c>
      <c r="L14307" s="36">
        <v>45503</v>
      </c>
      <c r="M14307" t="s">
        <v>603</v>
      </c>
      <c r="N14307" t="s">
        <v>608</v>
      </c>
      <c r="O14307" s="37" t="str">
        <f t="shared" si="1118"/>
        <v>Cash Payment</v>
      </c>
      <c r="P14307">
        <v>932.7</v>
      </c>
      <c r="Q14307" s="37" t="str">
        <f>IF(P14307&gt;500,"High","low")</f>
        <v>High</v>
      </c>
      <c r="R14307" s="37" t="str">
        <f t="shared" si="1119"/>
        <v>Good</v>
      </c>
      <c r="S14307" t="s">
        <v>620</v>
      </c>
    </row>
    <row r="14308" spans="1:19" x14ac:dyDescent="0.2">
      <c r="A14308" t="s">
        <v>14919</v>
      </c>
      <c r="B14308" t="s">
        <v>83</v>
      </c>
      <c r="C14308" t="s">
        <v>597</v>
      </c>
      <c r="D14308">
        <v>934.21</v>
      </c>
      <c r="E14308" s="37" t="str">
        <f t="shared" si="1115"/>
        <v xml:space="preserve"> </v>
      </c>
      <c r="F14308">
        <v>0.2</v>
      </c>
      <c r="G14308" s="37" t="str">
        <f t="shared" si="1116"/>
        <v>Normal Discount</v>
      </c>
      <c r="H14308" s="37" t="str">
        <f t="shared" si="1117"/>
        <v>Medium</v>
      </c>
      <c r="I14308">
        <v>3</v>
      </c>
      <c r="J14308" t="str" cm="1">
        <f t="array" ref="J14308">_xlfn.IFS(I14308&lt;=3,"small",I14308&lt;=6,"Medium",I14308&lt;=9,"Large")</f>
        <v>small</v>
      </c>
      <c r="K14308" s="36">
        <v>45016</v>
      </c>
      <c r="L14308" s="36">
        <v>45018</v>
      </c>
      <c r="M14308" t="s">
        <v>603</v>
      </c>
      <c r="N14308" t="s">
        <v>599</v>
      </c>
      <c r="O14308" s="37" t="str">
        <f t="shared" si="1118"/>
        <v>Digital Payment</v>
      </c>
      <c r="P14308">
        <v>229.92</v>
      </c>
      <c r="Q14308" s="37" t="str">
        <f>IF(P14308&gt;500,"High","low")</f>
        <v>low</v>
      </c>
      <c r="R14308" s="37" t="str">
        <f t="shared" si="1119"/>
        <v>AVERAGE</v>
      </c>
      <c r="S14308" t="s">
        <v>620</v>
      </c>
    </row>
    <row r="14309" spans="1:19" x14ac:dyDescent="0.2">
      <c r="A14309" t="s">
        <v>14920</v>
      </c>
      <c r="B14309" t="s">
        <v>83</v>
      </c>
      <c r="C14309" t="s">
        <v>617</v>
      </c>
      <c r="D14309">
        <v>1479.2</v>
      </c>
      <c r="E14309" s="37" t="str">
        <f t="shared" si="1115"/>
        <v xml:space="preserve"> </v>
      </c>
      <c r="F14309">
        <v>0.44</v>
      </c>
      <c r="G14309" s="37" t="str">
        <f t="shared" si="1116"/>
        <v>Heavy Discount</v>
      </c>
      <c r="H14309" s="37" t="str">
        <f t="shared" si="1117"/>
        <v>High</v>
      </c>
      <c r="I14309">
        <v>2</v>
      </c>
      <c r="J14309" t="str" cm="1">
        <f t="array" ref="J14309">_xlfn.IFS(I14309&lt;=3,"small",I14309&lt;=6,"Medium",I14309&lt;=9,"Large")</f>
        <v>small</v>
      </c>
      <c r="K14309" s="36">
        <v>45207</v>
      </c>
      <c r="L14309" s="36">
        <v>45214</v>
      </c>
      <c r="M14309" t="s">
        <v>612</v>
      </c>
      <c r="N14309" t="s">
        <v>599</v>
      </c>
      <c r="O14309" s="37" t="str">
        <f t="shared" si="1118"/>
        <v>Digital Payment</v>
      </c>
      <c r="P14309">
        <v>103.5</v>
      </c>
      <c r="Q14309" s="37" t="str">
        <f>IF(P14309&gt;500,"High","low")</f>
        <v>low</v>
      </c>
      <c r="R14309" s="37" t="str">
        <f t="shared" si="1119"/>
        <v>AVERAGE</v>
      </c>
      <c r="S14309" t="s">
        <v>609</v>
      </c>
    </row>
    <row r="14310" spans="1:19" x14ac:dyDescent="0.2">
      <c r="A14310" t="s">
        <v>14921</v>
      </c>
      <c r="B14310" t="s">
        <v>67</v>
      </c>
      <c r="C14310" t="s">
        <v>597</v>
      </c>
      <c r="D14310">
        <v>1439.94</v>
      </c>
      <c r="E14310" s="37" t="str">
        <f t="shared" si="1115"/>
        <v xml:space="preserve"> </v>
      </c>
      <c r="F14310">
        <v>0.15</v>
      </c>
      <c r="G14310" s="37" t="str">
        <f t="shared" si="1116"/>
        <v>Normal Discount</v>
      </c>
      <c r="H14310" s="37" t="str">
        <f t="shared" si="1117"/>
        <v>Low</v>
      </c>
      <c r="I14310">
        <v>7</v>
      </c>
      <c r="J14310" t="str" cm="1">
        <f t="array" ref="J14310">_xlfn.IFS(I14310&lt;=3,"small",I14310&lt;=6,"Medium",I14310&lt;=9,"Large")</f>
        <v>Large</v>
      </c>
      <c r="K14310" s="36">
        <v>45435</v>
      </c>
      <c r="L14310" s="36">
        <v>45436</v>
      </c>
      <c r="M14310" t="s">
        <v>612</v>
      </c>
      <c r="N14310" t="s">
        <v>599</v>
      </c>
      <c r="O14310" s="37" t="str">
        <f t="shared" si="1118"/>
        <v>Digital Payment</v>
      </c>
      <c r="P14310">
        <v>377.34</v>
      </c>
      <c r="Q14310" s="37" t="str">
        <f>IF(P14310&gt;500,"High","low")</f>
        <v>low</v>
      </c>
      <c r="R14310" s="37" t="str">
        <f t="shared" si="1119"/>
        <v>AVERAGE</v>
      </c>
      <c r="S14310" t="s">
        <v>600</v>
      </c>
    </row>
    <row r="14311" spans="1:19" x14ac:dyDescent="0.2">
      <c r="A14311" t="s">
        <v>14922</v>
      </c>
      <c r="B14311" t="s">
        <v>90</v>
      </c>
      <c r="C14311" t="s">
        <v>602</v>
      </c>
      <c r="D14311">
        <v>593.08000000000004</v>
      </c>
      <c r="E14311" s="37" t="str">
        <f t="shared" si="1115"/>
        <v xml:space="preserve"> </v>
      </c>
      <c r="F14311">
        <v>0.42</v>
      </c>
      <c r="G14311" s="37" t="str">
        <f t="shared" si="1116"/>
        <v>Heavy Discount</v>
      </c>
      <c r="H14311" s="37" t="str">
        <f t="shared" si="1117"/>
        <v>High</v>
      </c>
      <c r="I14311">
        <v>4</v>
      </c>
      <c r="J14311" t="str" cm="1">
        <f t="array" ref="J14311">_xlfn.IFS(I14311&lt;=3,"small",I14311&lt;=6,"Medium",I14311&lt;=9,"Large")</f>
        <v>Medium</v>
      </c>
      <c r="K14311" s="36">
        <v>45028</v>
      </c>
      <c r="L14311" s="36">
        <v>45035</v>
      </c>
      <c r="M14311" t="s">
        <v>598</v>
      </c>
      <c r="N14311" t="s">
        <v>604</v>
      </c>
      <c r="O14311" s="37" t="str">
        <f t="shared" si="1118"/>
        <v>Digital Payment</v>
      </c>
      <c r="P14311">
        <v>103.71</v>
      </c>
      <c r="Q14311" s="37" t="str">
        <f>IF(P14311&gt;500,"High","low")</f>
        <v>low</v>
      </c>
      <c r="R14311" s="37" t="str">
        <f t="shared" si="1119"/>
        <v>AVERAGE</v>
      </c>
      <c r="S14311" t="s">
        <v>609</v>
      </c>
    </row>
    <row r="14312" spans="1:19" x14ac:dyDescent="0.2">
      <c r="A14312" t="s">
        <v>14923</v>
      </c>
      <c r="B14312" t="s">
        <v>83</v>
      </c>
      <c r="C14312" t="s">
        <v>617</v>
      </c>
      <c r="D14312">
        <v>2466.4299999999998</v>
      </c>
      <c r="E14312" s="37" t="str">
        <f t="shared" si="1115"/>
        <v xml:space="preserve"> </v>
      </c>
      <c r="F14312">
        <v>0.23</v>
      </c>
      <c r="G14312" s="37" t="str">
        <f t="shared" si="1116"/>
        <v>Normal Discount</v>
      </c>
      <c r="H14312" s="37" t="str">
        <f t="shared" si="1117"/>
        <v>Medium</v>
      </c>
      <c r="I14312">
        <v>9</v>
      </c>
      <c r="J14312" t="str" cm="1">
        <f t="array" ref="J14312">_xlfn.IFS(I14312&lt;=3,"small",I14312&lt;=6,"Medium",I14312&lt;=9,"Large")</f>
        <v>Large</v>
      </c>
      <c r="K14312" s="36">
        <v>45611</v>
      </c>
      <c r="L14312" s="36">
        <v>45618</v>
      </c>
      <c r="M14312" t="s">
        <v>612</v>
      </c>
      <c r="N14312" t="s">
        <v>599</v>
      </c>
      <c r="O14312" s="37" t="str">
        <f t="shared" si="1118"/>
        <v>Digital Payment</v>
      </c>
      <c r="P14312">
        <v>444.78</v>
      </c>
      <c r="Q14312" s="37" t="str">
        <f>IF(P14312&gt;500,"High","low")</f>
        <v>low</v>
      </c>
      <c r="R14312" s="37" t="str">
        <f t="shared" si="1119"/>
        <v>AVERAGE</v>
      </c>
      <c r="S14312" t="s">
        <v>605</v>
      </c>
    </row>
    <row r="14313" spans="1:19" x14ac:dyDescent="0.2">
      <c r="A14313" t="s">
        <v>14924</v>
      </c>
      <c r="B14313" t="s">
        <v>90</v>
      </c>
      <c r="C14313" t="s">
        <v>617</v>
      </c>
      <c r="D14313">
        <v>2614.1</v>
      </c>
      <c r="E14313" s="37" t="str">
        <f t="shared" si="1115"/>
        <v xml:space="preserve"> </v>
      </c>
      <c r="F14313">
        <v>0.02</v>
      </c>
      <c r="G14313" s="37" t="str">
        <f t="shared" si="1116"/>
        <v>Normal Discount</v>
      </c>
      <c r="H14313" s="37" t="str">
        <f t="shared" si="1117"/>
        <v>Low</v>
      </c>
      <c r="I14313">
        <v>9</v>
      </c>
      <c r="J14313" t="str" cm="1">
        <f t="array" ref="J14313">_xlfn.IFS(I14313&lt;=3,"small",I14313&lt;=6,"Medium",I14313&lt;=9,"Large")</f>
        <v>Large</v>
      </c>
      <c r="K14313" s="36">
        <v>45144</v>
      </c>
      <c r="L14313" s="36">
        <v>45150</v>
      </c>
      <c r="M14313" t="s">
        <v>598</v>
      </c>
      <c r="N14313" t="s">
        <v>599</v>
      </c>
      <c r="O14313" s="37" t="str">
        <f t="shared" si="1118"/>
        <v>Digital Payment</v>
      </c>
      <c r="P14313">
        <v>673.98</v>
      </c>
      <c r="Q14313" s="37" t="str">
        <f>IF(P14313&gt;500,"High","low")</f>
        <v>High</v>
      </c>
      <c r="R14313" s="37" t="str">
        <f t="shared" si="1119"/>
        <v>Good</v>
      </c>
      <c r="S14313" t="s">
        <v>615</v>
      </c>
    </row>
    <row r="14314" spans="1:19" x14ac:dyDescent="0.2">
      <c r="A14314" t="s">
        <v>14925</v>
      </c>
      <c r="B14314" t="s">
        <v>90</v>
      </c>
      <c r="C14314" t="s">
        <v>602</v>
      </c>
      <c r="D14314">
        <v>2907.59</v>
      </c>
      <c r="E14314" s="37" t="str">
        <f t="shared" si="1115"/>
        <v xml:space="preserve"> </v>
      </c>
      <c r="F14314">
        <v>0.24</v>
      </c>
      <c r="G14314" s="37" t="str">
        <f t="shared" si="1116"/>
        <v>Normal Discount</v>
      </c>
      <c r="H14314" s="37" t="str">
        <f t="shared" si="1117"/>
        <v>Medium</v>
      </c>
      <c r="I14314">
        <v>2</v>
      </c>
      <c r="J14314" t="str" cm="1">
        <f t="array" ref="J14314">_xlfn.IFS(I14314&lt;=3,"small",I14314&lt;=6,"Medium",I14314&lt;=9,"Large")</f>
        <v>small</v>
      </c>
      <c r="K14314" s="36">
        <v>45182</v>
      </c>
      <c r="L14314" s="36">
        <v>45187</v>
      </c>
      <c r="M14314" t="s">
        <v>603</v>
      </c>
      <c r="N14314" t="s">
        <v>604</v>
      </c>
      <c r="O14314" s="37" t="str">
        <f t="shared" si="1118"/>
        <v>Digital Payment</v>
      </c>
      <c r="P14314">
        <v>551.01</v>
      </c>
      <c r="Q14314" s="37" t="str">
        <f>IF(P14314&gt;500,"High","low")</f>
        <v>High</v>
      </c>
      <c r="R14314" s="37" t="str">
        <f t="shared" si="1119"/>
        <v>Good</v>
      </c>
      <c r="S14314" t="s">
        <v>615</v>
      </c>
    </row>
    <row r="14315" spans="1:19" x14ac:dyDescent="0.2">
      <c r="A14315" t="s">
        <v>14926</v>
      </c>
      <c r="B14315" t="s">
        <v>83</v>
      </c>
      <c r="C14315" t="s">
        <v>597</v>
      </c>
      <c r="D14315">
        <v>3348.5</v>
      </c>
      <c r="E14315" s="37" t="str">
        <f t="shared" si="1115"/>
        <v xml:space="preserve"> </v>
      </c>
      <c r="F14315">
        <v>0.11</v>
      </c>
      <c r="G14315" s="37" t="str">
        <f t="shared" si="1116"/>
        <v>Normal Discount</v>
      </c>
      <c r="H14315" s="37" t="str">
        <f t="shared" si="1117"/>
        <v>Low</v>
      </c>
      <c r="I14315">
        <v>3</v>
      </c>
      <c r="J14315" t="str" cm="1">
        <f t="array" ref="J14315">_xlfn.IFS(I14315&lt;=3,"small",I14315&lt;=6,"Medium",I14315&lt;=9,"Large")</f>
        <v>small</v>
      </c>
      <c r="K14315" s="36">
        <v>45592</v>
      </c>
      <c r="L14315" s="36">
        <v>45593</v>
      </c>
      <c r="M14315" t="s">
        <v>598</v>
      </c>
      <c r="N14315" t="s">
        <v>604</v>
      </c>
      <c r="O14315" s="37" t="str">
        <f t="shared" si="1118"/>
        <v>Digital Payment</v>
      </c>
      <c r="P14315">
        <v>541.24</v>
      </c>
      <c r="Q14315" s="37" t="str">
        <f>IF(P14315&gt;500,"High","low")</f>
        <v>High</v>
      </c>
      <c r="R14315" s="37" t="str">
        <f t="shared" si="1119"/>
        <v>Good</v>
      </c>
      <c r="S14315" t="s">
        <v>620</v>
      </c>
    </row>
    <row r="14316" spans="1:19" x14ac:dyDescent="0.2">
      <c r="A14316" t="s">
        <v>14927</v>
      </c>
      <c r="B14316" t="s">
        <v>90</v>
      </c>
      <c r="C14316" t="s">
        <v>597</v>
      </c>
      <c r="D14316">
        <v>408.3</v>
      </c>
      <c r="E14316" s="37" t="str">
        <f t="shared" si="1115"/>
        <v xml:space="preserve"> </v>
      </c>
      <c r="F14316">
        <v>0.15</v>
      </c>
      <c r="G14316" s="37" t="str">
        <f t="shared" si="1116"/>
        <v>Normal Discount</v>
      </c>
      <c r="H14316" s="37" t="str">
        <f t="shared" si="1117"/>
        <v>Low</v>
      </c>
      <c r="I14316">
        <v>8</v>
      </c>
      <c r="J14316" t="str" cm="1">
        <f t="array" ref="J14316">_xlfn.IFS(I14316&lt;=3,"small",I14316&lt;=6,"Medium",I14316&lt;=9,"Large")</f>
        <v>Large</v>
      </c>
      <c r="K14316" s="36">
        <v>45084</v>
      </c>
      <c r="L14316" s="36">
        <v>45089</v>
      </c>
      <c r="M14316" t="s">
        <v>612</v>
      </c>
      <c r="N14316" t="s">
        <v>604</v>
      </c>
      <c r="O14316" s="37" t="str">
        <f t="shared" si="1118"/>
        <v>Digital Payment</v>
      </c>
      <c r="P14316">
        <v>104.91</v>
      </c>
      <c r="Q14316" s="37" t="str">
        <f>IF(P14316&gt;500,"High","low")</f>
        <v>low</v>
      </c>
      <c r="R14316" s="37" t="str">
        <f t="shared" si="1119"/>
        <v>AVERAGE</v>
      </c>
      <c r="S14316" t="s">
        <v>628</v>
      </c>
    </row>
    <row r="14317" spans="1:19" x14ac:dyDescent="0.2">
      <c r="A14317" t="s">
        <v>14928</v>
      </c>
      <c r="B14317" t="s">
        <v>83</v>
      </c>
      <c r="C14317" t="s">
        <v>617</v>
      </c>
      <c r="D14317">
        <v>3150.17</v>
      </c>
      <c r="E14317" s="37" t="str">
        <f t="shared" si="1115"/>
        <v xml:space="preserve"> </v>
      </c>
      <c r="F14317">
        <v>0.34</v>
      </c>
      <c r="G14317" s="37" t="str">
        <f t="shared" si="1116"/>
        <v>Heavy Discount</v>
      </c>
      <c r="H14317" s="37" t="str">
        <f t="shared" si="1117"/>
        <v>Medium</v>
      </c>
      <c r="I14317">
        <v>3</v>
      </c>
      <c r="J14317" t="str" cm="1">
        <f t="array" ref="J14317">_xlfn.IFS(I14317&lt;=3,"small",I14317&lt;=6,"Medium",I14317&lt;=9,"Large")</f>
        <v>small</v>
      </c>
      <c r="K14317" s="36">
        <v>45120</v>
      </c>
      <c r="L14317" s="36">
        <v>45127</v>
      </c>
      <c r="M14317" t="s">
        <v>598</v>
      </c>
      <c r="N14317" t="s">
        <v>604</v>
      </c>
      <c r="O14317" s="37" t="str">
        <f t="shared" si="1118"/>
        <v>Digital Payment</v>
      </c>
      <c r="P14317">
        <v>917.46</v>
      </c>
      <c r="Q14317" s="37" t="str">
        <f>IF(P14317&gt;500,"High","low")</f>
        <v>High</v>
      </c>
      <c r="R14317" s="37" t="str">
        <f t="shared" si="1119"/>
        <v>Good</v>
      </c>
      <c r="S14317" t="s">
        <v>609</v>
      </c>
    </row>
    <row r="14318" spans="1:19" x14ac:dyDescent="0.2">
      <c r="A14318" t="s">
        <v>14929</v>
      </c>
      <c r="B14318" t="s">
        <v>67</v>
      </c>
      <c r="C14318" t="s">
        <v>602</v>
      </c>
      <c r="D14318">
        <v>4577.67</v>
      </c>
      <c r="E14318" s="37" t="str">
        <f t="shared" si="1115"/>
        <v>Excellent Order</v>
      </c>
      <c r="F14318">
        <v>0.26</v>
      </c>
      <c r="G14318" s="37" t="str">
        <f t="shared" si="1116"/>
        <v>Normal Discount</v>
      </c>
      <c r="H14318" s="37" t="str">
        <f t="shared" si="1117"/>
        <v>Medium</v>
      </c>
      <c r="I14318">
        <v>4</v>
      </c>
      <c r="J14318" t="str" cm="1">
        <f t="array" ref="J14318">_xlfn.IFS(I14318&lt;=3,"small",I14318&lt;=6,"Medium",I14318&lt;=9,"Large")</f>
        <v>Medium</v>
      </c>
      <c r="K14318" s="36">
        <v>45306</v>
      </c>
      <c r="L14318" s="36">
        <v>45310</v>
      </c>
      <c r="M14318" t="s">
        <v>612</v>
      </c>
      <c r="N14318" t="s">
        <v>604</v>
      </c>
      <c r="O14318" s="37" t="str">
        <f t="shared" si="1118"/>
        <v>Digital Payment</v>
      </c>
      <c r="P14318">
        <v>1087.6600000000001</v>
      </c>
      <c r="Q14318" s="37" t="str">
        <f>IF(P14318&gt;500,"High","low")</f>
        <v>High</v>
      </c>
      <c r="R14318" s="37" t="str">
        <f t="shared" si="1119"/>
        <v>Excellent</v>
      </c>
      <c r="S14318" t="s">
        <v>620</v>
      </c>
    </row>
    <row r="14319" spans="1:19" x14ac:dyDescent="0.2">
      <c r="A14319" t="s">
        <v>14930</v>
      </c>
      <c r="B14319" t="s">
        <v>75</v>
      </c>
      <c r="C14319" t="s">
        <v>607</v>
      </c>
      <c r="D14319">
        <v>2329.46</v>
      </c>
      <c r="E14319" s="37" t="str">
        <f t="shared" si="1115"/>
        <v xml:space="preserve"> </v>
      </c>
      <c r="F14319">
        <v>0.44</v>
      </c>
      <c r="G14319" s="37" t="str">
        <f t="shared" si="1116"/>
        <v>Heavy Discount</v>
      </c>
      <c r="H14319" s="37" t="str">
        <f t="shared" si="1117"/>
        <v>High</v>
      </c>
      <c r="I14319">
        <v>3</v>
      </c>
      <c r="J14319" t="str" cm="1">
        <f t="array" ref="J14319">_xlfn.IFS(I14319&lt;=3,"small",I14319&lt;=6,"Medium",I14319&lt;=9,"Large")</f>
        <v>small</v>
      </c>
      <c r="K14319" s="36">
        <v>45161</v>
      </c>
      <c r="L14319" s="36">
        <v>45166</v>
      </c>
      <c r="M14319" t="s">
        <v>612</v>
      </c>
      <c r="N14319" t="s">
        <v>604</v>
      </c>
      <c r="O14319" s="37" t="str">
        <f t="shared" si="1118"/>
        <v>Digital Payment</v>
      </c>
      <c r="P14319">
        <v>649.32000000000005</v>
      </c>
      <c r="Q14319" s="37" t="str">
        <f>IF(P14319&gt;500,"High","low")</f>
        <v>High</v>
      </c>
      <c r="R14319" s="37" t="str">
        <f t="shared" si="1119"/>
        <v>Good</v>
      </c>
      <c r="S14319" t="s">
        <v>615</v>
      </c>
    </row>
    <row r="14320" spans="1:19" x14ac:dyDescent="0.2">
      <c r="A14320" t="s">
        <v>14931</v>
      </c>
      <c r="B14320" t="s">
        <v>75</v>
      </c>
      <c r="C14320" t="s">
        <v>597</v>
      </c>
      <c r="D14320">
        <v>622.89</v>
      </c>
      <c r="E14320" s="37" t="str">
        <f t="shared" si="1115"/>
        <v xml:space="preserve"> </v>
      </c>
      <c r="F14320">
        <v>0.47</v>
      </c>
      <c r="G14320" s="37" t="str">
        <f t="shared" si="1116"/>
        <v>Heavy Discount</v>
      </c>
      <c r="H14320" s="37" t="str">
        <f t="shared" si="1117"/>
        <v>High</v>
      </c>
      <c r="I14320">
        <v>2</v>
      </c>
      <c r="J14320" t="str" cm="1">
        <f t="array" ref="J14320">_xlfn.IFS(I14320&lt;=3,"small",I14320&lt;=6,"Medium",I14320&lt;=9,"Large")</f>
        <v>small</v>
      </c>
      <c r="K14320" s="36">
        <v>44979</v>
      </c>
      <c r="L14320" s="36">
        <v>44986</v>
      </c>
      <c r="M14320" t="s">
        <v>612</v>
      </c>
      <c r="N14320" t="s">
        <v>604</v>
      </c>
      <c r="O14320" s="37" t="str">
        <f t="shared" si="1118"/>
        <v>Digital Payment</v>
      </c>
      <c r="P14320">
        <v>152.21</v>
      </c>
      <c r="Q14320" s="37" t="str">
        <f>IF(P14320&gt;500,"High","low")</f>
        <v>low</v>
      </c>
      <c r="R14320" s="37" t="str">
        <f t="shared" si="1119"/>
        <v>AVERAGE</v>
      </c>
      <c r="S14320" t="s">
        <v>609</v>
      </c>
    </row>
    <row r="14321" spans="1:19" x14ac:dyDescent="0.2">
      <c r="A14321" t="s">
        <v>14932</v>
      </c>
      <c r="B14321" t="s">
        <v>67</v>
      </c>
      <c r="C14321" t="s">
        <v>607</v>
      </c>
      <c r="D14321">
        <v>521.13</v>
      </c>
      <c r="E14321" s="37" t="str">
        <f t="shared" si="1115"/>
        <v xml:space="preserve"> </v>
      </c>
      <c r="F14321">
        <v>0.35</v>
      </c>
      <c r="G14321" s="37" t="str">
        <f t="shared" si="1116"/>
        <v>Heavy Discount</v>
      </c>
      <c r="H14321" s="37" t="str">
        <f t="shared" si="1117"/>
        <v>Medium</v>
      </c>
      <c r="I14321">
        <v>1</v>
      </c>
      <c r="J14321" t="str" cm="1">
        <f t="array" ref="J14321">_xlfn.IFS(I14321&lt;=3,"small",I14321&lt;=6,"Medium",I14321&lt;=9,"Large")</f>
        <v>small</v>
      </c>
      <c r="K14321" s="36">
        <v>45639</v>
      </c>
      <c r="L14321" s="36">
        <v>45642</v>
      </c>
      <c r="M14321" t="s">
        <v>603</v>
      </c>
      <c r="N14321" t="s">
        <v>604</v>
      </c>
      <c r="O14321" s="37" t="str">
        <f t="shared" si="1118"/>
        <v>Digital Payment</v>
      </c>
      <c r="P14321">
        <v>129</v>
      </c>
      <c r="Q14321" s="37" t="str">
        <f>IF(P14321&gt;500,"High","low")</f>
        <v>low</v>
      </c>
      <c r="R14321" s="37" t="str">
        <f t="shared" si="1119"/>
        <v>AVERAGE</v>
      </c>
      <c r="S14321" t="s">
        <v>620</v>
      </c>
    </row>
    <row r="14322" spans="1:19" x14ac:dyDescent="0.2">
      <c r="A14322" t="s">
        <v>14933</v>
      </c>
      <c r="B14322" t="s">
        <v>83</v>
      </c>
      <c r="C14322" t="s">
        <v>617</v>
      </c>
      <c r="D14322">
        <v>1480.59</v>
      </c>
      <c r="E14322" s="37" t="str">
        <f t="shared" si="1115"/>
        <v xml:space="preserve"> </v>
      </c>
      <c r="F14322">
        <v>0.43</v>
      </c>
      <c r="G14322" s="37" t="str">
        <f t="shared" si="1116"/>
        <v>Heavy Discount</v>
      </c>
      <c r="H14322" s="37" t="str">
        <f t="shared" si="1117"/>
        <v>High</v>
      </c>
      <c r="I14322">
        <v>3</v>
      </c>
      <c r="J14322" t="str" cm="1">
        <f t="array" ref="J14322">_xlfn.IFS(I14322&lt;=3,"small",I14322&lt;=6,"Medium",I14322&lt;=9,"Large")</f>
        <v>small</v>
      </c>
      <c r="K14322" s="36">
        <v>45605</v>
      </c>
      <c r="L14322" s="36">
        <v>45607</v>
      </c>
      <c r="M14322" t="s">
        <v>598</v>
      </c>
      <c r="N14322" t="s">
        <v>604</v>
      </c>
      <c r="O14322" s="37" t="str">
        <f t="shared" si="1118"/>
        <v>Digital Payment</v>
      </c>
      <c r="P14322">
        <v>155.97</v>
      </c>
      <c r="Q14322" s="37" t="str">
        <f>IF(P14322&gt;500,"High","low")</f>
        <v>low</v>
      </c>
      <c r="R14322" s="37" t="str">
        <f t="shared" si="1119"/>
        <v>AVERAGE</v>
      </c>
      <c r="S14322" t="s">
        <v>628</v>
      </c>
    </row>
    <row r="14323" spans="1:19" x14ac:dyDescent="0.2">
      <c r="A14323" t="s">
        <v>14934</v>
      </c>
      <c r="B14323" t="s">
        <v>83</v>
      </c>
      <c r="C14323" t="s">
        <v>607</v>
      </c>
      <c r="D14323">
        <v>3787.37</v>
      </c>
      <c r="E14323" s="37" t="str">
        <f t="shared" si="1115"/>
        <v xml:space="preserve"> </v>
      </c>
      <c r="F14323">
        <v>0.1</v>
      </c>
      <c r="G14323" s="37" t="str">
        <f t="shared" si="1116"/>
        <v>Normal Discount</v>
      </c>
      <c r="H14323" s="37" t="str">
        <f t="shared" si="1117"/>
        <v>Low</v>
      </c>
      <c r="I14323">
        <v>9</v>
      </c>
      <c r="J14323" t="str" cm="1">
        <f t="array" ref="J14323">_xlfn.IFS(I14323&lt;=3,"small",I14323&lt;=6,"Medium",I14323&lt;=9,"Large")</f>
        <v>Large</v>
      </c>
      <c r="K14323" s="36">
        <v>45546</v>
      </c>
      <c r="L14323" s="36">
        <v>45547</v>
      </c>
      <c r="M14323" t="s">
        <v>598</v>
      </c>
      <c r="N14323" t="s">
        <v>599</v>
      </c>
      <c r="O14323" s="37" t="str">
        <f t="shared" si="1118"/>
        <v>Digital Payment</v>
      </c>
      <c r="P14323">
        <v>1068.1400000000001</v>
      </c>
      <c r="Q14323" s="37" t="str">
        <f>IF(P14323&gt;500,"High","low")</f>
        <v>High</v>
      </c>
      <c r="R14323" s="37" t="str">
        <f t="shared" si="1119"/>
        <v>Excellent</v>
      </c>
      <c r="S14323" t="s">
        <v>620</v>
      </c>
    </row>
    <row r="14324" spans="1:19" x14ac:dyDescent="0.2">
      <c r="A14324" t="s">
        <v>14935</v>
      </c>
      <c r="B14324" t="s">
        <v>83</v>
      </c>
      <c r="C14324" t="s">
        <v>607</v>
      </c>
      <c r="D14324">
        <v>1378.9</v>
      </c>
      <c r="E14324" s="37" t="str">
        <f t="shared" si="1115"/>
        <v xml:space="preserve"> </v>
      </c>
      <c r="F14324">
        <v>0.04</v>
      </c>
      <c r="G14324" s="37" t="str">
        <f t="shared" si="1116"/>
        <v>Normal Discount</v>
      </c>
      <c r="H14324" s="37" t="str">
        <f t="shared" si="1117"/>
        <v>Low</v>
      </c>
      <c r="I14324">
        <v>8</v>
      </c>
      <c r="J14324" t="str" cm="1">
        <f t="array" ref="J14324">_xlfn.IFS(I14324&lt;=3,"small",I14324&lt;=6,"Medium",I14324&lt;=9,"Large")</f>
        <v>Large</v>
      </c>
      <c r="K14324" s="36">
        <v>45578</v>
      </c>
      <c r="L14324" s="36">
        <v>45585</v>
      </c>
      <c r="M14324" t="s">
        <v>598</v>
      </c>
      <c r="N14324" t="s">
        <v>608</v>
      </c>
      <c r="O14324" s="37" t="str">
        <f t="shared" si="1118"/>
        <v>Cash Payment</v>
      </c>
      <c r="P14324">
        <v>108.3</v>
      </c>
      <c r="Q14324" s="37" t="str">
        <f>IF(P14324&gt;500,"High","low")</f>
        <v>low</v>
      </c>
      <c r="R14324" s="37" t="str">
        <f t="shared" si="1119"/>
        <v>AVERAGE</v>
      </c>
      <c r="S14324" t="s">
        <v>615</v>
      </c>
    </row>
    <row r="14325" spans="1:19" x14ac:dyDescent="0.2">
      <c r="A14325" t="s">
        <v>14936</v>
      </c>
      <c r="B14325" t="s">
        <v>83</v>
      </c>
      <c r="C14325" t="s">
        <v>597</v>
      </c>
      <c r="D14325">
        <v>4090.22</v>
      </c>
      <c r="E14325" s="37" t="str">
        <f t="shared" si="1115"/>
        <v xml:space="preserve"> </v>
      </c>
      <c r="F14325">
        <v>0.17</v>
      </c>
      <c r="G14325" s="37" t="str">
        <f t="shared" si="1116"/>
        <v>Normal Discount</v>
      </c>
      <c r="H14325" s="37" t="str">
        <f t="shared" si="1117"/>
        <v>Low</v>
      </c>
      <c r="I14325">
        <v>9</v>
      </c>
      <c r="J14325" t="str" cm="1">
        <f t="array" ref="J14325">_xlfn.IFS(I14325&lt;=3,"small",I14325&lt;=6,"Medium",I14325&lt;=9,"Large")</f>
        <v>Large</v>
      </c>
      <c r="K14325" s="36">
        <v>45566</v>
      </c>
      <c r="L14325" s="36">
        <v>45568</v>
      </c>
      <c r="M14325" t="s">
        <v>598</v>
      </c>
      <c r="N14325" t="s">
        <v>599</v>
      </c>
      <c r="O14325" s="37" t="str">
        <f t="shared" si="1118"/>
        <v>Digital Payment</v>
      </c>
      <c r="P14325">
        <v>747.88</v>
      </c>
      <c r="Q14325" s="37" t="str">
        <f>IF(P14325&gt;500,"High","low")</f>
        <v>High</v>
      </c>
      <c r="R14325" s="37" t="str">
        <f t="shared" si="1119"/>
        <v>Good</v>
      </c>
      <c r="S14325" t="s">
        <v>600</v>
      </c>
    </row>
    <row r="14326" spans="1:19" x14ac:dyDescent="0.2">
      <c r="A14326" t="s">
        <v>14937</v>
      </c>
      <c r="B14326" t="s">
        <v>67</v>
      </c>
      <c r="C14326" t="s">
        <v>617</v>
      </c>
      <c r="D14326">
        <v>4116.33</v>
      </c>
      <c r="E14326" s="37" t="str">
        <f t="shared" si="1115"/>
        <v xml:space="preserve"> </v>
      </c>
      <c r="F14326">
        <v>0.16</v>
      </c>
      <c r="G14326" s="37" t="str">
        <f t="shared" si="1116"/>
        <v>Normal Discount</v>
      </c>
      <c r="H14326" s="37" t="str">
        <f t="shared" si="1117"/>
        <v>Low</v>
      </c>
      <c r="I14326">
        <v>5</v>
      </c>
      <c r="J14326" t="str" cm="1">
        <f t="array" ref="J14326">_xlfn.IFS(I14326&lt;=3,"small",I14326&lt;=6,"Medium",I14326&lt;=9,"Large")</f>
        <v>Medium</v>
      </c>
      <c r="K14326" s="36">
        <v>45409</v>
      </c>
      <c r="L14326" s="36">
        <v>45415</v>
      </c>
      <c r="M14326" t="s">
        <v>612</v>
      </c>
      <c r="N14326" t="s">
        <v>604</v>
      </c>
      <c r="O14326" s="37" t="str">
        <f t="shared" si="1118"/>
        <v>Digital Payment</v>
      </c>
      <c r="P14326">
        <v>219.05</v>
      </c>
      <c r="Q14326" s="37" t="str">
        <f>IF(P14326&gt;500,"High","low")</f>
        <v>low</v>
      </c>
      <c r="R14326" s="37" t="str">
        <f t="shared" si="1119"/>
        <v>AVERAGE</v>
      </c>
      <c r="S14326" t="s">
        <v>605</v>
      </c>
    </row>
    <row r="14327" spans="1:19" x14ac:dyDescent="0.2">
      <c r="A14327" t="s">
        <v>14938</v>
      </c>
      <c r="B14327" t="s">
        <v>75</v>
      </c>
      <c r="C14327" t="s">
        <v>607</v>
      </c>
      <c r="D14327">
        <v>2339.85</v>
      </c>
      <c r="E14327" s="37" t="str">
        <f t="shared" si="1115"/>
        <v xml:space="preserve"> </v>
      </c>
      <c r="F14327">
        <v>0.33</v>
      </c>
      <c r="G14327" s="37" t="str">
        <f t="shared" si="1116"/>
        <v>Heavy Discount</v>
      </c>
      <c r="H14327" s="37" t="str">
        <f t="shared" si="1117"/>
        <v>Medium</v>
      </c>
      <c r="I14327">
        <v>5</v>
      </c>
      <c r="J14327" t="str" cm="1">
        <f t="array" ref="J14327">_xlfn.IFS(I14327&lt;=3,"small",I14327&lt;=6,"Medium",I14327&lt;=9,"Large")</f>
        <v>Medium</v>
      </c>
      <c r="K14327" s="36">
        <v>45104</v>
      </c>
      <c r="L14327" s="36">
        <v>45105</v>
      </c>
      <c r="M14327" t="s">
        <v>598</v>
      </c>
      <c r="N14327" t="s">
        <v>599</v>
      </c>
      <c r="O14327" s="37" t="str">
        <f t="shared" si="1118"/>
        <v>Digital Payment</v>
      </c>
      <c r="P14327">
        <v>330.38</v>
      </c>
      <c r="Q14327" s="37" t="str">
        <f>IF(P14327&gt;500,"High","low")</f>
        <v>low</v>
      </c>
      <c r="R14327" s="37" t="str">
        <f t="shared" si="1119"/>
        <v>AVERAGE</v>
      </c>
      <c r="S14327" t="s">
        <v>605</v>
      </c>
    </row>
    <row r="14328" spans="1:19" x14ac:dyDescent="0.2">
      <c r="A14328" t="s">
        <v>14939</v>
      </c>
      <c r="B14328" t="s">
        <v>90</v>
      </c>
      <c r="C14328" t="s">
        <v>597</v>
      </c>
      <c r="D14328">
        <v>1573.87</v>
      </c>
      <c r="E14328" s="37" t="str">
        <f t="shared" si="1115"/>
        <v xml:space="preserve"> </v>
      </c>
      <c r="F14328">
        <v>0.42</v>
      </c>
      <c r="G14328" s="37" t="str">
        <f t="shared" si="1116"/>
        <v>Heavy Discount</v>
      </c>
      <c r="H14328" s="37" t="str">
        <f t="shared" si="1117"/>
        <v>High</v>
      </c>
      <c r="I14328">
        <v>8</v>
      </c>
      <c r="J14328" t="str" cm="1">
        <f t="array" ref="J14328">_xlfn.IFS(I14328&lt;=3,"small",I14328&lt;=6,"Medium",I14328&lt;=9,"Large")</f>
        <v>Large</v>
      </c>
      <c r="K14328" s="36">
        <v>44982</v>
      </c>
      <c r="L14328" s="36">
        <v>44988</v>
      </c>
      <c r="M14328" t="s">
        <v>598</v>
      </c>
      <c r="N14328" t="s">
        <v>604</v>
      </c>
      <c r="O14328" s="37" t="str">
        <f t="shared" si="1118"/>
        <v>Digital Payment</v>
      </c>
      <c r="P14328">
        <v>348.75</v>
      </c>
      <c r="Q14328" s="37" t="str">
        <f>IF(P14328&gt;500,"High","low")</f>
        <v>low</v>
      </c>
      <c r="R14328" s="37" t="str">
        <f t="shared" si="1119"/>
        <v>AVERAGE</v>
      </c>
      <c r="S14328" t="s">
        <v>620</v>
      </c>
    </row>
    <row r="14329" spans="1:19" x14ac:dyDescent="0.2">
      <c r="A14329" t="s">
        <v>14940</v>
      </c>
      <c r="B14329" t="s">
        <v>90</v>
      </c>
      <c r="C14329" t="s">
        <v>607</v>
      </c>
      <c r="D14329">
        <v>3028.57</v>
      </c>
      <c r="E14329" s="37" t="str">
        <f t="shared" si="1115"/>
        <v xml:space="preserve"> </v>
      </c>
      <c r="F14329">
        <v>0.15</v>
      </c>
      <c r="G14329" s="37" t="str">
        <f t="shared" si="1116"/>
        <v>Normal Discount</v>
      </c>
      <c r="H14329" s="37" t="str">
        <f t="shared" si="1117"/>
        <v>Low</v>
      </c>
      <c r="I14329">
        <v>5</v>
      </c>
      <c r="J14329" t="str" cm="1">
        <f t="array" ref="J14329">_xlfn.IFS(I14329&lt;=3,"small",I14329&lt;=6,"Medium",I14329&lt;=9,"Large")</f>
        <v>Medium</v>
      </c>
      <c r="K14329" s="36">
        <v>45350</v>
      </c>
      <c r="L14329" s="36">
        <v>45356</v>
      </c>
      <c r="M14329" t="s">
        <v>603</v>
      </c>
      <c r="N14329" t="s">
        <v>608</v>
      </c>
      <c r="O14329" s="37" t="str">
        <f t="shared" si="1118"/>
        <v>Cash Payment</v>
      </c>
      <c r="P14329">
        <v>178.05</v>
      </c>
      <c r="Q14329" s="37" t="str">
        <f>IF(P14329&gt;500,"High","low")</f>
        <v>low</v>
      </c>
      <c r="R14329" s="37" t="str">
        <f t="shared" si="1119"/>
        <v>AVERAGE</v>
      </c>
      <c r="S14329" t="s">
        <v>600</v>
      </c>
    </row>
    <row r="14330" spans="1:19" x14ac:dyDescent="0.2">
      <c r="A14330" t="s">
        <v>14941</v>
      </c>
      <c r="B14330" t="s">
        <v>75</v>
      </c>
      <c r="C14330" t="s">
        <v>597</v>
      </c>
      <c r="D14330">
        <v>4071.6</v>
      </c>
      <c r="E14330" s="37" t="str">
        <f t="shared" si="1115"/>
        <v xml:space="preserve"> </v>
      </c>
      <c r="F14330">
        <v>0.21</v>
      </c>
      <c r="G14330" s="37" t="str">
        <f t="shared" si="1116"/>
        <v>Normal Discount</v>
      </c>
      <c r="H14330" s="37" t="str">
        <f t="shared" si="1117"/>
        <v>Medium</v>
      </c>
      <c r="I14330">
        <v>4</v>
      </c>
      <c r="J14330" t="str" cm="1">
        <f t="array" ref="J14330">_xlfn.IFS(I14330&lt;=3,"small",I14330&lt;=6,"Medium",I14330&lt;=9,"Large")</f>
        <v>Medium</v>
      </c>
      <c r="K14330" s="36">
        <v>45103</v>
      </c>
      <c r="L14330" s="36">
        <v>45107</v>
      </c>
      <c r="M14330" t="s">
        <v>603</v>
      </c>
      <c r="N14330" t="s">
        <v>608</v>
      </c>
      <c r="O14330" s="37" t="str">
        <f t="shared" si="1118"/>
        <v>Cash Payment</v>
      </c>
      <c r="P14330">
        <v>276.85000000000002</v>
      </c>
      <c r="Q14330" s="37" t="str">
        <f>IF(P14330&gt;500,"High","low")</f>
        <v>low</v>
      </c>
      <c r="R14330" s="37" t="str">
        <f t="shared" si="1119"/>
        <v>AVERAGE</v>
      </c>
      <c r="S14330" t="s">
        <v>605</v>
      </c>
    </row>
    <row r="14331" spans="1:19" x14ac:dyDescent="0.2">
      <c r="A14331" t="s">
        <v>14942</v>
      </c>
      <c r="B14331" t="s">
        <v>67</v>
      </c>
      <c r="C14331" t="s">
        <v>617</v>
      </c>
      <c r="D14331">
        <v>416.4</v>
      </c>
      <c r="E14331" s="37" t="str">
        <f t="shared" si="1115"/>
        <v xml:space="preserve"> </v>
      </c>
      <c r="F14331">
        <v>0.05</v>
      </c>
      <c r="G14331" s="37" t="str">
        <f t="shared" si="1116"/>
        <v>Normal Discount</v>
      </c>
      <c r="H14331" s="37" t="str">
        <f t="shared" si="1117"/>
        <v>Low</v>
      </c>
      <c r="I14331">
        <v>9</v>
      </c>
      <c r="J14331" t="str" cm="1">
        <f t="array" ref="J14331">_xlfn.IFS(I14331&lt;=3,"small",I14331&lt;=6,"Medium",I14331&lt;=9,"Large")</f>
        <v>Large</v>
      </c>
      <c r="K14331" s="36">
        <v>45214</v>
      </c>
      <c r="L14331" s="36">
        <v>45221</v>
      </c>
      <c r="M14331" t="s">
        <v>598</v>
      </c>
      <c r="N14331" t="s">
        <v>604</v>
      </c>
      <c r="O14331" s="37" t="str">
        <f t="shared" si="1118"/>
        <v>Digital Payment</v>
      </c>
      <c r="P14331">
        <v>76.38</v>
      </c>
      <c r="Q14331" s="37" t="str">
        <f>IF(P14331&gt;500,"High","low")</f>
        <v>low</v>
      </c>
      <c r="R14331" s="37" t="str">
        <f t="shared" si="1119"/>
        <v>AVERAGE</v>
      </c>
      <c r="S14331" t="s">
        <v>600</v>
      </c>
    </row>
    <row r="14332" spans="1:19" x14ac:dyDescent="0.2">
      <c r="A14332" t="s">
        <v>14943</v>
      </c>
      <c r="B14332" t="s">
        <v>90</v>
      </c>
      <c r="C14332" t="s">
        <v>602</v>
      </c>
      <c r="D14332">
        <v>4771.78</v>
      </c>
      <c r="E14332" s="37" t="str">
        <f t="shared" si="1115"/>
        <v xml:space="preserve"> </v>
      </c>
      <c r="F14332">
        <v>0.21</v>
      </c>
      <c r="G14332" s="37" t="str">
        <f t="shared" si="1116"/>
        <v>Normal Discount</v>
      </c>
      <c r="H14332" s="37" t="str">
        <f t="shared" si="1117"/>
        <v>Medium</v>
      </c>
      <c r="I14332">
        <v>1</v>
      </c>
      <c r="J14332" t="str" cm="1">
        <f t="array" ref="J14332">_xlfn.IFS(I14332&lt;=3,"small",I14332&lt;=6,"Medium",I14332&lt;=9,"Large")</f>
        <v>small</v>
      </c>
      <c r="K14332" s="36">
        <v>45520</v>
      </c>
      <c r="L14332" s="36">
        <v>45522</v>
      </c>
      <c r="M14332" t="s">
        <v>603</v>
      </c>
      <c r="N14332" t="s">
        <v>604</v>
      </c>
      <c r="O14332" s="37" t="str">
        <f t="shared" si="1118"/>
        <v>Digital Payment</v>
      </c>
      <c r="P14332">
        <v>308.77999999999997</v>
      </c>
      <c r="Q14332" s="37" t="str">
        <f>IF(P14332&gt;500,"High","low")</f>
        <v>low</v>
      </c>
      <c r="R14332" s="37" t="str">
        <f t="shared" si="1119"/>
        <v>AVERAGE</v>
      </c>
      <c r="S14332" t="s">
        <v>605</v>
      </c>
    </row>
    <row r="14333" spans="1:19" x14ac:dyDescent="0.2">
      <c r="A14333" t="s">
        <v>14944</v>
      </c>
      <c r="B14333" t="s">
        <v>75</v>
      </c>
      <c r="C14333" t="s">
        <v>597</v>
      </c>
      <c r="D14333">
        <v>3264.91</v>
      </c>
      <c r="E14333" s="37" t="str">
        <f t="shared" si="1115"/>
        <v xml:space="preserve"> </v>
      </c>
      <c r="F14333">
        <v>0.11</v>
      </c>
      <c r="G14333" s="37" t="str">
        <f t="shared" si="1116"/>
        <v>Normal Discount</v>
      </c>
      <c r="H14333" s="37" t="str">
        <f t="shared" si="1117"/>
        <v>Low</v>
      </c>
      <c r="I14333">
        <v>6</v>
      </c>
      <c r="J14333" t="str" cm="1">
        <f t="array" ref="J14333">_xlfn.IFS(I14333&lt;=3,"small",I14333&lt;=6,"Medium",I14333&lt;=9,"Large")</f>
        <v>Medium</v>
      </c>
      <c r="K14333" s="36">
        <v>45299</v>
      </c>
      <c r="L14333" s="36">
        <v>45306</v>
      </c>
      <c r="M14333" t="s">
        <v>603</v>
      </c>
      <c r="N14333" t="s">
        <v>599</v>
      </c>
      <c r="O14333" s="37" t="str">
        <f t="shared" si="1118"/>
        <v>Digital Payment</v>
      </c>
      <c r="P14333">
        <v>412.95</v>
      </c>
      <c r="Q14333" s="37" t="str">
        <f>IF(P14333&gt;500,"High","low")</f>
        <v>low</v>
      </c>
      <c r="R14333" s="37" t="str">
        <f t="shared" si="1119"/>
        <v>AVERAGE</v>
      </c>
      <c r="S14333" t="s">
        <v>605</v>
      </c>
    </row>
    <row r="14334" spans="1:19" x14ac:dyDescent="0.2">
      <c r="A14334" t="s">
        <v>14945</v>
      </c>
      <c r="B14334" t="s">
        <v>67</v>
      </c>
      <c r="C14334" t="s">
        <v>597</v>
      </c>
      <c r="D14334">
        <v>2050.92</v>
      </c>
      <c r="E14334" s="37" t="str">
        <f t="shared" si="1115"/>
        <v xml:space="preserve"> </v>
      </c>
      <c r="F14334">
        <v>0.19</v>
      </c>
      <c r="G14334" s="37" t="str">
        <f t="shared" si="1116"/>
        <v>Normal Discount</v>
      </c>
      <c r="H14334" s="37" t="str">
        <f t="shared" si="1117"/>
        <v>Low</v>
      </c>
      <c r="I14334">
        <v>7</v>
      </c>
      <c r="J14334" t="str" cm="1">
        <f t="array" ref="J14334">_xlfn.IFS(I14334&lt;=3,"small",I14334&lt;=6,"Medium",I14334&lt;=9,"Large")</f>
        <v>Large</v>
      </c>
      <c r="K14334" s="36">
        <v>45355</v>
      </c>
      <c r="L14334" s="36">
        <v>45356</v>
      </c>
      <c r="M14334" t="s">
        <v>603</v>
      </c>
      <c r="N14334" t="s">
        <v>599</v>
      </c>
      <c r="O14334" s="37" t="str">
        <f t="shared" si="1118"/>
        <v>Digital Payment</v>
      </c>
      <c r="P14334">
        <v>492.82</v>
      </c>
      <c r="Q14334" s="37" t="str">
        <f>IF(P14334&gt;500,"High","low")</f>
        <v>low</v>
      </c>
      <c r="R14334" s="37" t="str">
        <f t="shared" si="1119"/>
        <v>AVERAGE</v>
      </c>
      <c r="S14334" t="s">
        <v>620</v>
      </c>
    </row>
    <row r="14335" spans="1:19" x14ac:dyDescent="0.2">
      <c r="A14335" t="s">
        <v>14946</v>
      </c>
      <c r="B14335" t="s">
        <v>90</v>
      </c>
      <c r="C14335" t="s">
        <v>607</v>
      </c>
      <c r="D14335">
        <v>2579.4899999999998</v>
      </c>
      <c r="E14335" s="37" t="str">
        <f t="shared" si="1115"/>
        <v xml:space="preserve"> </v>
      </c>
      <c r="F14335">
        <v>0.13</v>
      </c>
      <c r="G14335" s="37" t="str">
        <f t="shared" si="1116"/>
        <v>Normal Discount</v>
      </c>
      <c r="H14335" s="37" t="str">
        <f t="shared" si="1117"/>
        <v>Low</v>
      </c>
      <c r="I14335">
        <v>6</v>
      </c>
      <c r="J14335" t="str" cm="1">
        <f t="array" ref="J14335">_xlfn.IFS(I14335&lt;=3,"small",I14335&lt;=6,"Medium",I14335&lt;=9,"Large")</f>
        <v>Medium</v>
      </c>
      <c r="K14335" s="36">
        <v>45139</v>
      </c>
      <c r="L14335" s="36">
        <v>45143</v>
      </c>
      <c r="M14335" t="s">
        <v>612</v>
      </c>
      <c r="N14335" t="s">
        <v>604</v>
      </c>
      <c r="O14335" s="37" t="str">
        <f t="shared" si="1118"/>
        <v>Digital Payment</v>
      </c>
      <c r="P14335">
        <v>335.15</v>
      </c>
      <c r="Q14335" s="37" t="str">
        <f>IF(P14335&gt;500,"High","low")</f>
        <v>low</v>
      </c>
      <c r="R14335" s="37" t="str">
        <f t="shared" si="1119"/>
        <v>AVERAGE</v>
      </c>
      <c r="S14335" t="s">
        <v>615</v>
      </c>
    </row>
    <row r="14336" spans="1:19" x14ac:dyDescent="0.2">
      <c r="A14336" t="s">
        <v>14947</v>
      </c>
      <c r="B14336" t="s">
        <v>83</v>
      </c>
      <c r="C14336" t="s">
        <v>617</v>
      </c>
      <c r="D14336">
        <v>1989.4</v>
      </c>
      <c r="E14336" s="37" t="str">
        <f t="shared" si="1115"/>
        <v xml:space="preserve"> </v>
      </c>
      <c r="F14336">
        <v>0.4</v>
      </c>
      <c r="G14336" s="37" t="str">
        <f t="shared" si="1116"/>
        <v>Heavy Discount</v>
      </c>
      <c r="H14336" s="37" t="str">
        <f t="shared" si="1117"/>
        <v>Medium</v>
      </c>
      <c r="I14336">
        <v>8</v>
      </c>
      <c r="J14336" t="str" cm="1">
        <f t="array" ref="J14336">_xlfn.IFS(I14336&lt;=3,"small",I14336&lt;=6,"Medium",I14336&lt;=9,"Large")</f>
        <v>Large</v>
      </c>
      <c r="K14336" s="36">
        <v>45390</v>
      </c>
      <c r="L14336" s="36">
        <v>45393</v>
      </c>
      <c r="M14336" t="s">
        <v>603</v>
      </c>
      <c r="N14336" t="s">
        <v>608</v>
      </c>
      <c r="O14336" s="37" t="str">
        <f t="shared" si="1118"/>
        <v>Cash Payment</v>
      </c>
      <c r="P14336">
        <v>296.43</v>
      </c>
      <c r="Q14336" s="37" t="str">
        <f>IF(P14336&gt;500,"High","low")</f>
        <v>low</v>
      </c>
      <c r="R14336" s="37" t="str">
        <f t="shared" si="1119"/>
        <v>AVERAGE</v>
      </c>
      <c r="S14336" t="s">
        <v>600</v>
      </c>
    </row>
    <row r="14337" spans="1:19" x14ac:dyDescent="0.2">
      <c r="A14337" t="s">
        <v>14948</v>
      </c>
      <c r="B14337" t="s">
        <v>83</v>
      </c>
      <c r="C14337" t="s">
        <v>614</v>
      </c>
      <c r="D14337">
        <v>2121.79</v>
      </c>
      <c r="E14337" s="37" t="str">
        <f t="shared" si="1115"/>
        <v xml:space="preserve"> </v>
      </c>
      <c r="F14337">
        <v>0</v>
      </c>
      <c r="G14337" s="37" t="str">
        <f t="shared" si="1116"/>
        <v>Normal Discount</v>
      </c>
      <c r="H14337" s="37" t="str">
        <f t="shared" si="1117"/>
        <v>Low</v>
      </c>
      <c r="I14337">
        <v>8</v>
      </c>
      <c r="J14337" t="str" cm="1">
        <f t="array" ref="J14337">_xlfn.IFS(I14337&lt;=3,"small",I14337&lt;=6,"Medium",I14337&lt;=9,"Large")</f>
        <v>Large</v>
      </c>
      <c r="K14337" s="36">
        <v>45253</v>
      </c>
      <c r="L14337" s="36">
        <v>45260</v>
      </c>
      <c r="M14337" t="s">
        <v>603</v>
      </c>
      <c r="N14337" t="s">
        <v>599</v>
      </c>
      <c r="O14337" s="37" t="str">
        <f t="shared" si="1118"/>
        <v>Digital Payment</v>
      </c>
      <c r="P14337">
        <v>514.20000000000005</v>
      </c>
      <c r="Q14337" s="37" t="str">
        <f>IF(P14337&gt;500,"High","low")</f>
        <v>High</v>
      </c>
      <c r="R14337" s="37" t="str">
        <f t="shared" si="1119"/>
        <v>Good</v>
      </c>
      <c r="S14337" t="s">
        <v>600</v>
      </c>
    </row>
    <row r="14338" spans="1:19" x14ac:dyDescent="0.2">
      <c r="A14338" t="s">
        <v>14949</v>
      </c>
      <c r="B14338" t="s">
        <v>67</v>
      </c>
      <c r="C14338" t="s">
        <v>614</v>
      </c>
      <c r="D14338">
        <v>3018.52</v>
      </c>
      <c r="E14338" s="37" t="str">
        <f t="shared" si="1115"/>
        <v xml:space="preserve"> </v>
      </c>
      <c r="F14338">
        <v>0.17</v>
      </c>
      <c r="G14338" s="37" t="str">
        <f t="shared" si="1116"/>
        <v>Normal Discount</v>
      </c>
      <c r="H14338" s="37" t="str">
        <f t="shared" si="1117"/>
        <v>Low</v>
      </c>
      <c r="I14338">
        <v>5</v>
      </c>
      <c r="J14338" t="str" cm="1">
        <f t="array" ref="J14338">_xlfn.IFS(I14338&lt;=3,"small",I14338&lt;=6,"Medium",I14338&lt;=9,"Large")</f>
        <v>Medium</v>
      </c>
      <c r="K14338" s="36">
        <v>45310</v>
      </c>
      <c r="L14338" s="36">
        <v>45316</v>
      </c>
      <c r="M14338" t="s">
        <v>598</v>
      </c>
      <c r="N14338" t="s">
        <v>599</v>
      </c>
      <c r="O14338" s="37" t="str">
        <f t="shared" si="1118"/>
        <v>Digital Payment</v>
      </c>
      <c r="P14338">
        <v>262.98</v>
      </c>
      <c r="Q14338" s="37" t="str">
        <f>IF(P14338&gt;500,"High","low")</f>
        <v>low</v>
      </c>
      <c r="R14338" s="37" t="str">
        <f t="shared" si="1119"/>
        <v>AVERAGE</v>
      </c>
      <c r="S14338" t="s">
        <v>620</v>
      </c>
    </row>
    <row r="14339" spans="1:19" x14ac:dyDescent="0.2">
      <c r="A14339" t="s">
        <v>14950</v>
      </c>
      <c r="B14339" t="s">
        <v>83</v>
      </c>
      <c r="C14339" t="s">
        <v>602</v>
      </c>
      <c r="D14339">
        <v>395.18</v>
      </c>
      <c r="E14339" s="37" t="str">
        <f t="shared" ref="E14339:E14402" si="1120">IF(AND(D14339&gt;4000,P14339&gt;800),"Excellent Order"," ")</f>
        <v xml:space="preserve"> </v>
      </c>
      <c r="F14339">
        <v>0.48</v>
      </c>
      <c r="G14339" s="37" t="str">
        <f t="shared" ref="G14339:G14402" si="1121">IF(F14339&gt;30%,"Heavy Discount","Normal Discount")</f>
        <v>Heavy Discount</v>
      </c>
      <c r="H14339" s="37" t="str">
        <f t="shared" ref="H14339:H14402" si="1122">IF(F14339&gt;0.4,"High",IF(F14339&gt;=0.2,"Medium","Low"))</f>
        <v>High</v>
      </c>
      <c r="I14339">
        <v>4</v>
      </c>
      <c r="J14339" t="str" cm="1">
        <f t="array" ref="J14339">_xlfn.IFS(I14339&lt;=3,"small",I14339&lt;=6,"Medium",I14339&lt;=9,"Large")</f>
        <v>Medium</v>
      </c>
      <c r="K14339" s="36">
        <v>45098</v>
      </c>
      <c r="L14339" s="36">
        <v>45099</v>
      </c>
      <c r="M14339" t="s">
        <v>598</v>
      </c>
      <c r="N14339" t="s">
        <v>608</v>
      </c>
      <c r="O14339" s="37" t="str">
        <f t="shared" ref="O14339:O14402" si="1123">IF(OR(N14339="Card",N14339="UPI"),"Digital Payment","Cash Payment")</f>
        <v>Cash Payment</v>
      </c>
      <c r="P14339">
        <v>102.43</v>
      </c>
      <c r="Q14339" s="37" t="str">
        <f>IF(P14339&gt;500,"High","low")</f>
        <v>low</v>
      </c>
      <c r="R14339" s="37" t="str">
        <f t="shared" ref="R14339:R14402" si="1124">IF(P14339&gt;1000,"Excellent",IF(P14339&gt;=500,"Good","AVERAGE"))</f>
        <v>AVERAGE</v>
      </c>
      <c r="S14339" t="s">
        <v>615</v>
      </c>
    </row>
    <row r="14340" spans="1:19" x14ac:dyDescent="0.2">
      <c r="A14340" t="s">
        <v>14951</v>
      </c>
      <c r="B14340" t="s">
        <v>67</v>
      </c>
      <c r="C14340" t="s">
        <v>617</v>
      </c>
      <c r="D14340">
        <v>959.35</v>
      </c>
      <c r="E14340" s="37" t="str">
        <f t="shared" si="1120"/>
        <v xml:space="preserve"> </v>
      </c>
      <c r="F14340">
        <v>0.34</v>
      </c>
      <c r="G14340" s="37" t="str">
        <f t="shared" si="1121"/>
        <v>Heavy Discount</v>
      </c>
      <c r="H14340" s="37" t="str">
        <f t="shared" si="1122"/>
        <v>Medium</v>
      </c>
      <c r="I14340">
        <v>7</v>
      </c>
      <c r="J14340" t="str" cm="1">
        <f t="array" ref="J14340">_xlfn.IFS(I14340&lt;=3,"small",I14340&lt;=6,"Medium",I14340&lt;=9,"Large")</f>
        <v>Large</v>
      </c>
      <c r="K14340" s="36">
        <v>45095</v>
      </c>
      <c r="L14340" s="36">
        <v>45099</v>
      </c>
      <c r="M14340" t="s">
        <v>612</v>
      </c>
      <c r="N14340" t="s">
        <v>608</v>
      </c>
      <c r="O14340" s="37" t="str">
        <f t="shared" si="1123"/>
        <v>Cash Payment</v>
      </c>
      <c r="P14340">
        <v>50.34</v>
      </c>
      <c r="Q14340" s="37" t="str">
        <f>IF(P14340&gt;500,"High","low")</f>
        <v>low</v>
      </c>
      <c r="R14340" s="37" t="str">
        <f t="shared" si="1124"/>
        <v>AVERAGE</v>
      </c>
      <c r="S14340" t="s">
        <v>605</v>
      </c>
    </row>
    <row r="14341" spans="1:19" x14ac:dyDescent="0.2">
      <c r="A14341" t="s">
        <v>14952</v>
      </c>
      <c r="B14341" t="s">
        <v>75</v>
      </c>
      <c r="C14341" t="s">
        <v>597</v>
      </c>
      <c r="D14341">
        <v>1212.49</v>
      </c>
      <c r="E14341" s="37" t="str">
        <f t="shared" si="1120"/>
        <v xml:space="preserve"> </v>
      </c>
      <c r="F14341">
        <v>0.39</v>
      </c>
      <c r="G14341" s="37" t="str">
        <f t="shared" si="1121"/>
        <v>Heavy Discount</v>
      </c>
      <c r="H14341" s="37" t="str">
        <f t="shared" si="1122"/>
        <v>Medium</v>
      </c>
      <c r="I14341">
        <v>9</v>
      </c>
      <c r="J14341" t="str" cm="1">
        <f t="array" ref="J14341">_xlfn.IFS(I14341&lt;=3,"small",I14341&lt;=6,"Medium",I14341&lt;=9,"Large")</f>
        <v>Large</v>
      </c>
      <c r="K14341" s="36">
        <v>45535</v>
      </c>
      <c r="L14341" s="36">
        <v>45541</v>
      </c>
      <c r="M14341" t="s">
        <v>603</v>
      </c>
      <c r="N14341" t="s">
        <v>599</v>
      </c>
      <c r="O14341" s="37" t="str">
        <f t="shared" si="1123"/>
        <v>Digital Payment</v>
      </c>
      <c r="P14341">
        <v>132.4</v>
      </c>
      <c r="Q14341" s="37" t="str">
        <f>IF(P14341&gt;500,"High","low")</f>
        <v>low</v>
      </c>
      <c r="R14341" s="37" t="str">
        <f t="shared" si="1124"/>
        <v>AVERAGE</v>
      </c>
      <c r="S14341" t="s">
        <v>609</v>
      </c>
    </row>
    <row r="14342" spans="1:19" x14ac:dyDescent="0.2">
      <c r="A14342" t="s">
        <v>14953</v>
      </c>
      <c r="B14342" t="s">
        <v>75</v>
      </c>
      <c r="C14342" t="s">
        <v>614</v>
      </c>
      <c r="D14342">
        <v>2096.8200000000002</v>
      </c>
      <c r="E14342" s="37" t="str">
        <f t="shared" si="1120"/>
        <v xml:space="preserve"> </v>
      </c>
      <c r="F14342">
        <v>0.43</v>
      </c>
      <c r="G14342" s="37" t="str">
        <f t="shared" si="1121"/>
        <v>Heavy Discount</v>
      </c>
      <c r="H14342" s="37" t="str">
        <f t="shared" si="1122"/>
        <v>High</v>
      </c>
      <c r="I14342">
        <v>2</v>
      </c>
      <c r="J14342" t="str" cm="1">
        <f t="array" ref="J14342">_xlfn.IFS(I14342&lt;=3,"small",I14342&lt;=6,"Medium",I14342&lt;=9,"Large")</f>
        <v>small</v>
      </c>
      <c r="K14342" s="36">
        <v>45267</v>
      </c>
      <c r="L14342" s="36">
        <v>45270</v>
      </c>
      <c r="M14342" t="s">
        <v>598</v>
      </c>
      <c r="N14342" t="s">
        <v>604</v>
      </c>
      <c r="O14342" s="37" t="str">
        <f t="shared" si="1123"/>
        <v>Digital Payment</v>
      </c>
      <c r="P14342">
        <v>317.41000000000003</v>
      </c>
      <c r="Q14342" s="37" t="str">
        <f>IF(P14342&gt;500,"High","low")</f>
        <v>low</v>
      </c>
      <c r="R14342" s="37" t="str">
        <f t="shared" si="1124"/>
        <v>AVERAGE</v>
      </c>
      <c r="S14342" t="s">
        <v>605</v>
      </c>
    </row>
    <row r="14343" spans="1:19" x14ac:dyDescent="0.2">
      <c r="A14343" t="s">
        <v>14954</v>
      </c>
      <c r="B14343" t="s">
        <v>90</v>
      </c>
      <c r="C14343" t="s">
        <v>602</v>
      </c>
      <c r="D14343">
        <v>1918.18</v>
      </c>
      <c r="E14343" s="37" t="str">
        <f t="shared" si="1120"/>
        <v xml:space="preserve"> </v>
      </c>
      <c r="F14343">
        <v>0.18</v>
      </c>
      <c r="G14343" s="37" t="str">
        <f t="shared" si="1121"/>
        <v>Normal Discount</v>
      </c>
      <c r="H14343" s="37" t="str">
        <f t="shared" si="1122"/>
        <v>Low</v>
      </c>
      <c r="I14343">
        <v>7</v>
      </c>
      <c r="J14343" t="str" cm="1">
        <f t="array" ref="J14343">_xlfn.IFS(I14343&lt;=3,"small",I14343&lt;=6,"Medium",I14343&lt;=9,"Large")</f>
        <v>Large</v>
      </c>
      <c r="K14343" s="36">
        <v>45121</v>
      </c>
      <c r="L14343" s="36">
        <v>45124</v>
      </c>
      <c r="M14343" t="s">
        <v>612</v>
      </c>
      <c r="N14343" t="s">
        <v>608</v>
      </c>
      <c r="O14343" s="37" t="str">
        <f t="shared" si="1123"/>
        <v>Cash Payment</v>
      </c>
      <c r="P14343">
        <v>198.82</v>
      </c>
      <c r="Q14343" s="37" t="str">
        <f>IF(P14343&gt;500,"High","low")</f>
        <v>low</v>
      </c>
      <c r="R14343" s="37" t="str">
        <f t="shared" si="1124"/>
        <v>AVERAGE</v>
      </c>
      <c r="S14343" t="s">
        <v>609</v>
      </c>
    </row>
    <row r="14344" spans="1:19" x14ac:dyDescent="0.2">
      <c r="A14344" t="s">
        <v>14955</v>
      </c>
      <c r="B14344" t="s">
        <v>67</v>
      </c>
      <c r="C14344" t="s">
        <v>617</v>
      </c>
      <c r="D14344">
        <v>3638.8</v>
      </c>
      <c r="E14344" s="37" t="str">
        <f t="shared" si="1120"/>
        <v xml:space="preserve"> </v>
      </c>
      <c r="F14344">
        <v>0.03</v>
      </c>
      <c r="G14344" s="37" t="str">
        <f t="shared" si="1121"/>
        <v>Normal Discount</v>
      </c>
      <c r="H14344" s="37" t="str">
        <f t="shared" si="1122"/>
        <v>Low</v>
      </c>
      <c r="I14344">
        <v>6</v>
      </c>
      <c r="J14344" t="str" cm="1">
        <f t="array" ref="J14344">_xlfn.IFS(I14344&lt;=3,"small",I14344&lt;=6,"Medium",I14344&lt;=9,"Large")</f>
        <v>Medium</v>
      </c>
      <c r="K14344" s="36">
        <v>45076</v>
      </c>
      <c r="L14344" s="36">
        <v>45079</v>
      </c>
      <c r="M14344" t="s">
        <v>598</v>
      </c>
      <c r="N14344" t="s">
        <v>599</v>
      </c>
      <c r="O14344" s="37" t="str">
        <f t="shared" si="1123"/>
        <v>Digital Payment</v>
      </c>
      <c r="P14344">
        <v>940.14</v>
      </c>
      <c r="Q14344" s="37" t="str">
        <f>IF(P14344&gt;500,"High","low")</f>
        <v>High</v>
      </c>
      <c r="R14344" s="37" t="str">
        <f t="shared" si="1124"/>
        <v>Good</v>
      </c>
      <c r="S14344" t="s">
        <v>628</v>
      </c>
    </row>
    <row r="14345" spans="1:19" x14ac:dyDescent="0.2">
      <c r="A14345" t="s">
        <v>14956</v>
      </c>
      <c r="B14345" t="s">
        <v>90</v>
      </c>
      <c r="C14345" t="s">
        <v>602</v>
      </c>
      <c r="D14345">
        <v>1369.98</v>
      </c>
      <c r="E14345" s="37" t="str">
        <f t="shared" si="1120"/>
        <v xml:space="preserve"> </v>
      </c>
      <c r="F14345">
        <v>0.21</v>
      </c>
      <c r="G14345" s="37" t="str">
        <f t="shared" si="1121"/>
        <v>Normal Discount</v>
      </c>
      <c r="H14345" s="37" t="str">
        <f t="shared" si="1122"/>
        <v>Medium</v>
      </c>
      <c r="I14345">
        <v>3</v>
      </c>
      <c r="J14345" t="str" cm="1">
        <f t="array" ref="J14345">_xlfn.IFS(I14345&lt;=3,"small",I14345&lt;=6,"Medium",I14345&lt;=9,"Large")</f>
        <v>small</v>
      </c>
      <c r="K14345" s="36">
        <v>45327</v>
      </c>
      <c r="L14345" s="36">
        <v>45328</v>
      </c>
      <c r="M14345" t="s">
        <v>598</v>
      </c>
      <c r="N14345" t="s">
        <v>604</v>
      </c>
      <c r="O14345" s="37" t="str">
        <f t="shared" si="1123"/>
        <v>Digital Payment</v>
      </c>
      <c r="P14345">
        <v>386.62</v>
      </c>
      <c r="Q14345" s="37" t="str">
        <f>IF(P14345&gt;500,"High","low")</f>
        <v>low</v>
      </c>
      <c r="R14345" s="37" t="str">
        <f t="shared" si="1124"/>
        <v>AVERAGE</v>
      </c>
      <c r="S14345" t="s">
        <v>620</v>
      </c>
    </row>
    <row r="14346" spans="1:19" x14ac:dyDescent="0.2">
      <c r="A14346" t="s">
        <v>14957</v>
      </c>
      <c r="B14346" t="s">
        <v>90</v>
      </c>
      <c r="C14346" t="s">
        <v>614</v>
      </c>
      <c r="D14346">
        <v>379.65</v>
      </c>
      <c r="E14346" s="37" t="str">
        <f t="shared" si="1120"/>
        <v xml:space="preserve"> </v>
      </c>
      <c r="F14346">
        <v>0.33</v>
      </c>
      <c r="G14346" s="37" t="str">
        <f t="shared" si="1121"/>
        <v>Heavy Discount</v>
      </c>
      <c r="H14346" s="37" t="str">
        <f t="shared" si="1122"/>
        <v>Medium</v>
      </c>
      <c r="I14346">
        <v>2</v>
      </c>
      <c r="J14346" t="str" cm="1">
        <f t="array" ref="J14346">_xlfn.IFS(I14346&lt;=3,"small",I14346&lt;=6,"Medium",I14346&lt;=9,"Large")</f>
        <v>small</v>
      </c>
      <c r="K14346" s="36">
        <v>45168</v>
      </c>
      <c r="L14346" s="36">
        <v>45172</v>
      </c>
      <c r="M14346" t="s">
        <v>603</v>
      </c>
      <c r="N14346" t="s">
        <v>604</v>
      </c>
      <c r="O14346" s="37" t="str">
        <f t="shared" si="1123"/>
        <v>Digital Payment</v>
      </c>
      <c r="P14346">
        <v>46.54</v>
      </c>
      <c r="Q14346" s="37" t="str">
        <f>IF(P14346&gt;500,"High","low")</f>
        <v>low</v>
      </c>
      <c r="R14346" s="37" t="str">
        <f t="shared" si="1124"/>
        <v>AVERAGE</v>
      </c>
      <c r="S14346" t="s">
        <v>600</v>
      </c>
    </row>
    <row r="14347" spans="1:19" x14ac:dyDescent="0.2">
      <c r="A14347" t="s">
        <v>14958</v>
      </c>
      <c r="B14347" t="s">
        <v>75</v>
      </c>
      <c r="C14347" t="s">
        <v>607</v>
      </c>
      <c r="D14347">
        <v>371.67</v>
      </c>
      <c r="E14347" s="37" t="str">
        <f t="shared" si="1120"/>
        <v xml:space="preserve"> </v>
      </c>
      <c r="F14347">
        <v>0.19</v>
      </c>
      <c r="G14347" s="37" t="str">
        <f t="shared" si="1121"/>
        <v>Normal Discount</v>
      </c>
      <c r="H14347" s="37" t="str">
        <f t="shared" si="1122"/>
        <v>Low</v>
      </c>
      <c r="I14347">
        <v>1</v>
      </c>
      <c r="J14347" t="str" cm="1">
        <f t="array" ref="J14347">_xlfn.IFS(I14347&lt;=3,"small",I14347&lt;=6,"Medium",I14347&lt;=9,"Large")</f>
        <v>small</v>
      </c>
      <c r="K14347" s="36">
        <v>45527</v>
      </c>
      <c r="L14347" s="36">
        <v>45528</v>
      </c>
      <c r="M14347" t="s">
        <v>598</v>
      </c>
      <c r="N14347" t="s">
        <v>604</v>
      </c>
      <c r="O14347" s="37" t="str">
        <f t="shared" si="1123"/>
        <v>Digital Payment</v>
      </c>
      <c r="P14347">
        <v>30.41</v>
      </c>
      <c r="Q14347" s="37" t="str">
        <f>IF(P14347&gt;500,"High","low")</f>
        <v>low</v>
      </c>
      <c r="R14347" s="37" t="str">
        <f t="shared" si="1124"/>
        <v>AVERAGE</v>
      </c>
      <c r="S14347" t="s">
        <v>615</v>
      </c>
    </row>
    <row r="14348" spans="1:19" x14ac:dyDescent="0.2">
      <c r="A14348" t="s">
        <v>14959</v>
      </c>
      <c r="B14348" t="s">
        <v>90</v>
      </c>
      <c r="C14348" t="s">
        <v>607</v>
      </c>
      <c r="D14348">
        <v>155.43</v>
      </c>
      <c r="E14348" s="37" t="str">
        <f t="shared" si="1120"/>
        <v xml:space="preserve"> </v>
      </c>
      <c r="F14348">
        <v>0.22</v>
      </c>
      <c r="G14348" s="37" t="str">
        <f t="shared" si="1121"/>
        <v>Normal Discount</v>
      </c>
      <c r="H14348" s="37" t="str">
        <f t="shared" si="1122"/>
        <v>Medium</v>
      </c>
      <c r="I14348">
        <v>2</v>
      </c>
      <c r="J14348" t="str" cm="1">
        <f t="array" ref="J14348">_xlfn.IFS(I14348&lt;=3,"small",I14348&lt;=6,"Medium",I14348&lt;=9,"Large")</f>
        <v>small</v>
      </c>
      <c r="K14348" s="36">
        <v>45616</v>
      </c>
      <c r="L14348" s="36">
        <v>45621</v>
      </c>
      <c r="M14348" t="s">
        <v>603</v>
      </c>
      <c r="N14348" t="s">
        <v>599</v>
      </c>
      <c r="O14348" s="37" t="str">
        <f t="shared" si="1123"/>
        <v>Digital Payment</v>
      </c>
      <c r="P14348">
        <v>39.22</v>
      </c>
      <c r="Q14348" s="37" t="str">
        <f>IF(P14348&gt;500,"High","low")</f>
        <v>low</v>
      </c>
      <c r="R14348" s="37" t="str">
        <f t="shared" si="1124"/>
        <v>AVERAGE</v>
      </c>
      <c r="S14348" t="s">
        <v>600</v>
      </c>
    </row>
    <row r="14349" spans="1:19" x14ac:dyDescent="0.2">
      <c r="A14349" t="s">
        <v>14960</v>
      </c>
      <c r="B14349" t="s">
        <v>83</v>
      </c>
      <c r="C14349" t="s">
        <v>617</v>
      </c>
      <c r="D14349">
        <v>286.33</v>
      </c>
      <c r="E14349" s="37" t="str">
        <f t="shared" si="1120"/>
        <v xml:space="preserve"> </v>
      </c>
      <c r="F14349">
        <v>0.41</v>
      </c>
      <c r="G14349" s="37" t="str">
        <f t="shared" si="1121"/>
        <v>Heavy Discount</v>
      </c>
      <c r="H14349" s="37" t="str">
        <f t="shared" si="1122"/>
        <v>High</v>
      </c>
      <c r="I14349">
        <v>5</v>
      </c>
      <c r="J14349" t="str" cm="1">
        <f t="array" ref="J14349">_xlfn.IFS(I14349&lt;=3,"small",I14349&lt;=6,"Medium",I14349&lt;=9,"Large")</f>
        <v>Medium</v>
      </c>
      <c r="K14349" s="36">
        <v>45650</v>
      </c>
      <c r="L14349" s="36">
        <v>45656</v>
      </c>
      <c r="M14349" t="s">
        <v>603</v>
      </c>
      <c r="N14349" t="s">
        <v>599</v>
      </c>
      <c r="O14349" s="37" t="str">
        <f t="shared" si="1123"/>
        <v>Digital Payment</v>
      </c>
      <c r="P14349">
        <v>85.49</v>
      </c>
      <c r="Q14349" s="37" t="str">
        <f>IF(P14349&gt;500,"High","low")</f>
        <v>low</v>
      </c>
      <c r="R14349" s="37" t="str">
        <f t="shared" si="1124"/>
        <v>AVERAGE</v>
      </c>
      <c r="S14349" t="s">
        <v>609</v>
      </c>
    </row>
    <row r="14350" spans="1:19" x14ac:dyDescent="0.2">
      <c r="A14350" t="s">
        <v>14961</v>
      </c>
      <c r="B14350" t="s">
        <v>90</v>
      </c>
      <c r="C14350" t="s">
        <v>602</v>
      </c>
      <c r="D14350">
        <v>4307.4399999999996</v>
      </c>
      <c r="E14350" s="37" t="str">
        <f t="shared" si="1120"/>
        <v>Excellent Order</v>
      </c>
      <c r="F14350">
        <v>0.02</v>
      </c>
      <c r="G14350" s="37" t="str">
        <f t="shared" si="1121"/>
        <v>Normal Discount</v>
      </c>
      <c r="H14350" s="37" t="str">
        <f t="shared" si="1122"/>
        <v>Low</v>
      </c>
      <c r="I14350">
        <v>1</v>
      </c>
      <c r="J14350" t="str" cm="1">
        <f t="array" ref="J14350">_xlfn.IFS(I14350&lt;=3,"small",I14350&lt;=6,"Medium",I14350&lt;=9,"Large")</f>
        <v>small</v>
      </c>
      <c r="K14350" s="36">
        <v>45085</v>
      </c>
      <c r="L14350" s="36">
        <v>45087</v>
      </c>
      <c r="M14350" t="s">
        <v>598</v>
      </c>
      <c r="N14350" t="s">
        <v>608</v>
      </c>
      <c r="O14350" s="37" t="str">
        <f t="shared" si="1123"/>
        <v>Cash Payment</v>
      </c>
      <c r="P14350">
        <v>863.63</v>
      </c>
      <c r="Q14350" s="37" t="str">
        <f>IF(P14350&gt;500,"High","low")</f>
        <v>High</v>
      </c>
      <c r="R14350" s="37" t="str">
        <f t="shared" si="1124"/>
        <v>Good</v>
      </c>
      <c r="S14350" t="s">
        <v>615</v>
      </c>
    </row>
    <row r="14351" spans="1:19" x14ac:dyDescent="0.2">
      <c r="A14351" t="s">
        <v>14962</v>
      </c>
      <c r="B14351" t="s">
        <v>67</v>
      </c>
      <c r="C14351" t="s">
        <v>597</v>
      </c>
      <c r="D14351">
        <v>3516.49</v>
      </c>
      <c r="E14351" s="37" t="str">
        <f t="shared" si="1120"/>
        <v xml:space="preserve"> </v>
      </c>
      <c r="F14351">
        <v>0.17</v>
      </c>
      <c r="G14351" s="37" t="str">
        <f t="shared" si="1121"/>
        <v>Normal Discount</v>
      </c>
      <c r="H14351" s="37" t="str">
        <f t="shared" si="1122"/>
        <v>Low</v>
      </c>
      <c r="I14351">
        <v>8</v>
      </c>
      <c r="J14351" t="str" cm="1">
        <f t="array" ref="J14351">_xlfn.IFS(I14351&lt;=3,"small",I14351&lt;=6,"Medium",I14351&lt;=9,"Large")</f>
        <v>Large</v>
      </c>
      <c r="K14351" s="36">
        <v>44977</v>
      </c>
      <c r="L14351" s="36">
        <v>44981</v>
      </c>
      <c r="M14351" t="s">
        <v>612</v>
      </c>
      <c r="N14351" t="s">
        <v>608</v>
      </c>
      <c r="O14351" s="37" t="str">
        <f t="shared" si="1123"/>
        <v>Cash Payment</v>
      </c>
      <c r="P14351">
        <v>1042.06</v>
      </c>
      <c r="Q14351" s="37" t="str">
        <f>IF(P14351&gt;500,"High","low")</f>
        <v>High</v>
      </c>
      <c r="R14351" s="37" t="str">
        <f t="shared" si="1124"/>
        <v>Excellent</v>
      </c>
      <c r="S14351" t="s">
        <v>615</v>
      </c>
    </row>
    <row r="14352" spans="1:19" x14ac:dyDescent="0.2">
      <c r="A14352" t="s">
        <v>14963</v>
      </c>
      <c r="B14352" t="s">
        <v>83</v>
      </c>
      <c r="C14352" t="s">
        <v>614</v>
      </c>
      <c r="D14352">
        <v>4980.0600000000004</v>
      </c>
      <c r="E14352" s="37" t="str">
        <f t="shared" si="1120"/>
        <v xml:space="preserve"> </v>
      </c>
      <c r="F14352">
        <v>0.24</v>
      </c>
      <c r="G14352" s="37" t="str">
        <f t="shared" si="1121"/>
        <v>Normal Discount</v>
      </c>
      <c r="H14352" s="37" t="str">
        <f t="shared" si="1122"/>
        <v>Medium</v>
      </c>
      <c r="I14352">
        <v>4</v>
      </c>
      <c r="J14352" t="str" cm="1">
        <f t="array" ref="J14352">_xlfn.IFS(I14352&lt;=3,"small",I14352&lt;=6,"Medium",I14352&lt;=9,"Large")</f>
        <v>Medium</v>
      </c>
      <c r="K14352" s="36">
        <v>44946</v>
      </c>
      <c r="L14352" s="36">
        <v>44952</v>
      </c>
      <c r="M14352" t="s">
        <v>598</v>
      </c>
      <c r="N14352" t="s">
        <v>604</v>
      </c>
      <c r="O14352" s="37" t="str">
        <f t="shared" si="1123"/>
        <v>Digital Payment</v>
      </c>
      <c r="P14352">
        <v>277.10000000000002</v>
      </c>
      <c r="Q14352" s="37" t="str">
        <f>IF(P14352&gt;500,"High","low")</f>
        <v>low</v>
      </c>
      <c r="R14352" s="37" t="str">
        <f t="shared" si="1124"/>
        <v>AVERAGE</v>
      </c>
      <c r="S14352" t="s">
        <v>605</v>
      </c>
    </row>
    <row r="14353" spans="1:19" x14ac:dyDescent="0.2">
      <c r="A14353" t="s">
        <v>14964</v>
      </c>
      <c r="B14353" t="s">
        <v>75</v>
      </c>
      <c r="C14353" t="s">
        <v>607</v>
      </c>
      <c r="D14353">
        <v>199.53</v>
      </c>
      <c r="E14353" s="37" t="str">
        <f t="shared" si="1120"/>
        <v xml:space="preserve"> </v>
      </c>
      <c r="F14353">
        <v>0.15</v>
      </c>
      <c r="G14353" s="37" t="str">
        <f t="shared" si="1121"/>
        <v>Normal Discount</v>
      </c>
      <c r="H14353" s="37" t="str">
        <f t="shared" si="1122"/>
        <v>Low</v>
      </c>
      <c r="I14353">
        <v>3</v>
      </c>
      <c r="J14353" t="str" cm="1">
        <f t="array" ref="J14353">_xlfn.IFS(I14353&lt;=3,"small",I14353&lt;=6,"Medium",I14353&lt;=9,"Large")</f>
        <v>small</v>
      </c>
      <c r="K14353" s="36">
        <v>45102</v>
      </c>
      <c r="L14353" s="36">
        <v>45108</v>
      </c>
      <c r="M14353" t="s">
        <v>612</v>
      </c>
      <c r="N14353" t="s">
        <v>604</v>
      </c>
      <c r="O14353" s="37" t="str">
        <f t="shared" si="1123"/>
        <v>Digital Payment</v>
      </c>
      <c r="P14353">
        <v>48.59</v>
      </c>
      <c r="Q14353" s="37" t="str">
        <f>IF(P14353&gt;500,"High","low")</f>
        <v>low</v>
      </c>
      <c r="R14353" s="37" t="str">
        <f t="shared" si="1124"/>
        <v>AVERAGE</v>
      </c>
      <c r="S14353" t="s">
        <v>620</v>
      </c>
    </row>
    <row r="14354" spans="1:19" x14ac:dyDescent="0.2">
      <c r="A14354" t="s">
        <v>14965</v>
      </c>
      <c r="B14354" t="s">
        <v>67</v>
      </c>
      <c r="C14354" t="s">
        <v>607</v>
      </c>
      <c r="D14354">
        <v>4260.1099999999997</v>
      </c>
      <c r="E14354" s="37" t="str">
        <f t="shared" si="1120"/>
        <v xml:space="preserve"> </v>
      </c>
      <c r="F14354">
        <v>0.22</v>
      </c>
      <c r="G14354" s="37" t="str">
        <f t="shared" si="1121"/>
        <v>Normal Discount</v>
      </c>
      <c r="H14354" s="37" t="str">
        <f t="shared" si="1122"/>
        <v>Medium</v>
      </c>
      <c r="I14354">
        <v>2</v>
      </c>
      <c r="J14354" t="str" cm="1">
        <f t="array" ref="J14354">_xlfn.IFS(I14354&lt;=3,"small",I14354&lt;=6,"Medium",I14354&lt;=9,"Large")</f>
        <v>small</v>
      </c>
      <c r="K14354" s="36">
        <v>44998</v>
      </c>
      <c r="L14354" s="36">
        <v>45002</v>
      </c>
      <c r="M14354" t="s">
        <v>598</v>
      </c>
      <c r="N14354" t="s">
        <v>599</v>
      </c>
      <c r="O14354" s="37" t="str">
        <f t="shared" si="1123"/>
        <v>Digital Payment</v>
      </c>
      <c r="P14354">
        <v>749.05</v>
      </c>
      <c r="Q14354" s="37" t="str">
        <f>IF(P14354&gt;500,"High","low")</f>
        <v>High</v>
      </c>
      <c r="R14354" s="37" t="str">
        <f t="shared" si="1124"/>
        <v>Good</v>
      </c>
      <c r="S14354" t="s">
        <v>620</v>
      </c>
    </row>
    <row r="14355" spans="1:19" x14ac:dyDescent="0.2">
      <c r="A14355" t="s">
        <v>14966</v>
      </c>
      <c r="B14355" t="s">
        <v>83</v>
      </c>
      <c r="C14355" t="s">
        <v>602</v>
      </c>
      <c r="D14355">
        <v>3510.68</v>
      </c>
      <c r="E14355" s="37" t="str">
        <f t="shared" si="1120"/>
        <v xml:space="preserve"> </v>
      </c>
      <c r="F14355">
        <v>0.2</v>
      </c>
      <c r="G14355" s="37" t="str">
        <f t="shared" si="1121"/>
        <v>Normal Discount</v>
      </c>
      <c r="H14355" s="37" t="str">
        <f t="shared" si="1122"/>
        <v>Medium</v>
      </c>
      <c r="I14355">
        <v>1</v>
      </c>
      <c r="J14355" t="str" cm="1">
        <f t="array" ref="J14355">_xlfn.IFS(I14355&lt;=3,"small",I14355&lt;=6,"Medium",I14355&lt;=9,"Large")</f>
        <v>small</v>
      </c>
      <c r="K14355" s="36">
        <v>45256</v>
      </c>
      <c r="L14355" s="36">
        <v>45257</v>
      </c>
      <c r="M14355" t="s">
        <v>603</v>
      </c>
      <c r="N14355" t="s">
        <v>599</v>
      </c>
      <c r="O14355" s="37" t="str">
        <f t="shared" si="1123"/>
        <v>Digital Payment</v>
      </c>
      <c r="P14355">
        <v>523.23</v>
      </c>
      <c r="Q14355" s="37" t="str">
        <f>IF(P14355&gt;500,"High","low")</f>
        <v>High</v>
      </c>
      <c r="R14355" s="37" t="str">
        <f t="shared" si="1124"/>
        <v>Good</v>
      </c>
      <c r="S14355" t="s">
        <v>628</v>
      </c>
    </row>
    <row r="14356" spans="1:19" x14ac:dyDescent="0.2">
      <c r="A14356" t="s">
        <v>14967</v>
      </c>
      <c r="B14356" t="s">
        <v>67</v>
      </c>
      <c r="C14356" t="s">
        <v>607</v>
      </c>
      <c r="D14356">
        <v>3237.68</v>
      </c>
      <c r="E14356" s="37" t="str">
        <f t="shared" si="1120"/>
        <v xml:space="preserve"> </v>
      </c>
      <c r="F14356">
        <v>0.46</v>
      </c>
      <c r="G14356" s="37" t="str">
        <f t="shared" si="1121"/>
        <v>Heavy Discount</v>
      </c>
      <c r="H14356" s="37" t="str">
        <f t="shared" si="1122"/>
        <v>High</v>
      </c>
      <c r="I14356">
        <v>8</v>
      </c>
      <c r="J14356" t="str" cm="1">
        <f t="array" ref="J14356">_xlfn.IFS(I14356&lt;=3,"small",I14356&lt;=6,"Medium",I14356&lt;=9,"Large")</f>
        <v>Large</v>
      </c>
      <c r="K14356" s="36">
        <v>45559</v>
      </c>
      <c r="L14356" s="36">
        <v>45564</v>
      </c>
      <c r="M14356" t="s">
        <v>612</v>
      </c>
      <c r="N14356" t="s">
        <v>608</v>
      </c>
      <c r="O14356" s="37" t="str">
        <f t="shared" si="1123"/>
        <v>Cash Payment</v>
      </c>
      <c r="P14356">
        <v>634.28</v>
      </c>
      <c r="Q14356" s="37" t="str">
        <f>IF(P14356&gt;500,"High","low")</f>
        <v>High</v>
      </c>
      <c r="R14356" s="37" t="str">
        <f t="shared" si="1124"/>
        <v>Good</v>
      </c>
      <c r="S14356" t="s">
        <v>605</v>
      </c>
    </row>
    <row r="14357" spans="1:19" x14ac:dyDescent="0.2">
      <c r="A14357" t="s">
        <v>14968</v>
      </c>
      <c r="B14357" t="s">
        <v>83</v>
      </c>
      <c r="C14357" t="s">
        <v>602</v>
      </c>
      <c r="D14357">
        <v>1847.01</v>
      </c>
      <c r="E14357" s="37" t="str">
        <f t="shared" si="1120"/>
        <v xml:space="preserve"> </v>
      </c>
      <c r="F14357">
        <v>0.25</v>
      </c>
      <c r="G14357" s="37" t="str">
        <f t="shared" si="1121"/>
        <v>Normal Discount</v>
      </c>
      <c r="H14357" s="37" t="str">
        <f t="shared" si="1122"/>
        <v>Medium</v>
      </c>
      <c r="I14357">
        <v>9</v>
      </c>
      <c r="J14357" t="str" cm="1">
        <f t="array" ref="J14357">_xlfn.IFS(I14357&lt;=3,"small",I14357&lt;=6,"Medium",I14357&lt;=9,"Large")</f>
        <v>Large</v>
      </c>
      <c r="K14357" s="36">
        <v>45580</v>
      </c>
      <c r="L14357" s="36">
        <v>45584</v>
      </c>
      <c r="M14357" t="s">
        <v>598</v>
      </c>
      <c r="N14357" t="s">
        <v>608</v>
      </c>
      <c r="O14357" s="37" t="str">
        <f t="shared" si="1123"/>
        <v>Cash Payment</v>
      </c>
      <c r="P14357">
        <v>203.5</v>
      </c>
      <c r="Q14357" s="37" t="str">
        <f>IF(P14357&gt;500,"High","low")</f>
        <v>low</v>
      </c>
      <c r="R14357" s="37" t="str">
        <f t="shared" si="1124"/>
        <v>AVERAGE</v>
      </c>
      <c r="S14357" t="s">
        <v>620</v>
      </c>
    </row>
    <row r="14358" spans="1:19" x14ac:dyDescent="0.2">
      <c r="A14358" t="s">
        <v>14969</v>
      </c>
      <c r="B14358" t="s">
        <v>67</v>
      </c>
      <c r="C14358" t="s">
        <v>614</v>
      </c>
      <c r="D14358">
        <v>1945.96</v>
      </c>
      <c r="E14358" s="37" t="str">
        <f t="shared" si="1120"/>
        <v xml:space="preserve"> </v>
      </c>
      <c r="F14358">
        <v>0.24</v>
      </c>
      <c r="G14358" s="37" t="str">
        <f t="shared" si="1121"/>
        <v>Normal Discount</v>
      </c>
      <c r="H14358" s="37" t="str">
        <f t="shared" si="1122"/>
        <v>Medium</v>
      </c>
      <c r="I14358">
        <v>3</v>
      </c>
      <c r="J14358" t="str" cm="1">
        <f t="array" ref="J14358">_xlfn.IFS(I14358&lt;=3,"small",I14358&lt;=6,"Medium",I14358&lt;=9,"Large")</f>
        <v>small</v>
      </c>
      <c r="K14358" s="36">
        <v>44988</v>
      </c>
      <c r="L14358" s="36">
        <v>44995</v>
      </c>
      <c r="M14358" t="s">
        <v>598</v>
      </c>
      <c r="N14358" t="s">
        <v>599</v>
      </c>
      <c r="O14358" s="37" t="str">
        <f t="shared" si="1123"/>
        <v>Digital Payment</v>
      </c>
      <c r="P14358">
        <v>328.07</v>
      </c>
      <c r="Q14358" s="37" t="str">
        <f>IF(P14358&gt;500,"High","low")</f>
        <v>low</v>
      </c>
      <c r="R14358" s="37" t="str">
        <f t="shared" si="1124"/>
        <v>AVERAGE</v>
      </c>
      <c r="S14358" t="s">
        <v>600</v>
      </c>
    </row>
    <row r="14359" spans="1:19" x14ac:dyDescent="0.2">
      <c r="A14359" t="s">
        <v>14970</v>
      </c>
      <c r="B14359" t="s">
        <v>67</v>
      </c>
      <c r="C14359" t="s">
        <v>602</v>
      </c>
      <c r="D14359">
        <v>4243.25</v>
      </c>
      <c r="E14359" s="37" t="str">
        <f t="shared" si="1120"/>
        <v xml:space="preserve"> </v>
      </c>
      <c r="F14359">
        <v>0.13</v>
      </c>
      <c r="G14359" s="37" t="str">
        <f t="shared" si="1121"/>
        <v>Normal Discount</v>
      </c>
      <c r="H14359" s="37" t="str">
        <f t="shared" si="1122"/>
        <v>Low</v>
      </c>
      <c r="I14359">
        <v>3</v>
      </c>
      <c r="J14359" t="str" cm="1">
        <f t="array" ref="J14359">_xlfn.IFS(I14359&lt;=3,"small",I14359&lt;=6,"Medium",I14359&lt;=9,"Large")</f>
        <v>small</v>
      </c>
      <c r="K14359" s="36">
        <v>45105</v>
      </c>
      <c r="L14359" s="36">
        <v>45110</v>
      </c>
      <c r="M14359" t="s">
        <v>603</v>
      </c>
      <c r="N14359" t="s">
        <v>604</v>
      </c>
      <c r="O14359" s="37" t="str">
        <f t="shared" si="1123"/>
        <v>Digital Payment</v>
      </c>
      <c r="P14359">
        <v>746.83</v>
      </c>
      <c r="Q14359" s="37" t="str">
        <f>IF(P14359&gt;500,"High","low")</f>
        <v>High</v>
      </c>
      <c r="R14359" s="37" t="str">
        <f t="shared" si="1124"/>
        <v>Good</v>
      </c>
      <c r="S14359" t="s">
        <v>605</v>
      </c>
    </row>
    <row r="14360" spans="1:19" x14ac:dyDescent="0.2">
      <c r="A14360" t="s">
        <v>14971</v>
      </c>
      <c r="B14360" t="s">
        <v>83</v>
      </c>
      <c r="C14360" t="s">
        <v>607</v>
      </c>
      <c r="D14360">
        <v>3596.07</v>
      </c>
      <c r="E14360" s="37" t="str">
        <f t="shared" si="1120"/>
        <v xml:space="preserve"> </v>
      </c>
      <c r="F14360">
        <v>0.02</v>
      </c>
      <c r="G14360" s="37" t="str">
        <f t="shared" si="1121"/>
        <v>Normal Discount</v>
      </c>
      <c r="H14360" s="37" t="str">
        <f t="shared" si="1122"/>
        <v>Low</v>
      </c>
      <c r="I14360">
        <v>9</v>
      </c>
      <c r="J14360" t="str" cm="1">
        <f t="array" ref="J14360">_xlfn.IFS(I14360&lt;=3,"small",I14360&lt;=6,"Medium",I14360&lt;=9,"Large")</f>
        <v>Large</v>
      </c>
      <c r="K14360" s="36">
        <v>45644</v>
      </c>
      <c r="L14360" s="36">
        <v>45646</v>
      </c>
      <c r="M14360" t="s">
        <v>598</v>
      </c>
      <c r="N14360" t="s">
        <v>604</v>
      </c>
      <c r="O14360" s="37" t="str">
        <f t="shared" si="1123"/>
        <v>Digital Payment</v>
      </c>
      <c r="P14360">
        <v>863.86</v>
      </c>
      <c r="Q14360" s="37" t="str">
        <f>IF(P14360&gt;500,"High","low")</f>
        <v>High</v>
      </c>
      <c r="R14360" s="37" t="str">
        <f t="shared" si="1124"/>
        <v>Good</v>
      </c>
      <c r="S14360" t="s">
        <v>615</v>
      </c>
    </row>
    <row r="14361" spans="1:19" x14ac:dyDescent="0.2">
      <c r="A14361" t="s">
        <v>14972</v>
      </c>
      <c r="B14361" t="s">
        <v>75</v>
      </c>
      <c r="C14361" t="s">
        <v>602</v>
      </c>
      <c r="D14361">
        <v>3384.55</v>
      </c>
      <c r="E14361" s="37" t="str">
        <f t="shared" si="1120"/>
        <v xml:space="preserve"> </v>
      </c>
      <c r="F14361">
        <v>0.15</v>
      </c>
      <c r="G14361" s="37" t="str">
        <f t="shared" si="1121"/>
        <v>Normal Discount</v>
      </c>
      <c r="H14361" s="37" t="str">
        <f t="shared" si="1122"/>
        <v>Low</v>
      </c>
      <c r="I14361">
        <v>7</v>
      </c>
      <c r="J14361" t="str" cm="1">
        <f t="array" ref="J14361">_xlfn.IFS(I14361&lt;=3,"small",I14361&lt;=6,"Medium",I14361&lt;=9,"Large")</f>
        <v>Large</v>
      </c>
      <c r="K14361" s="36">
        <v>45053</v>
      </c>
      <c r="L14361" s="36">
        <v>45057</v>
      </c>
      <c r="M14361" t="s">
        <v>603</v>
      </c>
      <c r="N14361" t="s">
        <v>608</v>
      </c>
      <c r="O14361" s="37" t="str">
        <f t="shared" si="1123"/>
        <v>Cash Payment</v>
      </c>
      <c r="P14361">
        <v>643.71</v>
      </c>
      <c r="Q14361" s="37" t="str">
        <f>IF(P14361&gt;500,"High","low")</f>
        <v>High</v>
      </c>
      <c r="R14361" s="37" t="str">
        <f t="shared" si="1124"/>
        <v>Good</v>
      </c>
      <c r="S14361" t="s">
        <v>600</v>
      </c>
    </row>
    <row r="14362" spans="1:19" x14ac:dyDescent="0.2">
      <c r="A14362" t="s">
        <v>14973</v>
      </c>
      <c r="B14362" t="s">
        <v>75</v>
      </c>
      <c r="C14362" t="s">
        <v>607</v>
      </c>
      <c r="D14362">
        <v>250.18</v>
      </c>
      <c r="E14362" s="37" t="str">
        <f t="shared" si="1120"/>
        <v xml:space="preserve"> </v>
      </c>
      <c r="F14362">
        <v>0.01</v>
      </c>
      <c r="G14362" s="37" t="str">
        <f t="shared" si="1121"/>
        <v>Normal Discount</v>
      </c>
      <c r="H14362" s="37" t="str">
        <f t="shared" si="1122"/>
        <v>Low</v>
      </c>
      <c r="I14362">
        <v>9</v>
      </c>
      <c r="J14362" t="str" cm="1">
        <f t="array" ref="J14362">_xlfn.IFS(I14362&lt;=3,"small",I14362&lt;=6,"Medium",I14362&lt;=9,"Large")</f>
        <v>Large</v>
      </c>
      <c r="K14362" s="36">
        <v>45636</v>
      </c>
      <c r="L14362" s="36">
        <v>45642</v>
      </c>
      <c r="M14362" t="s">
        <v>612</v>
      </c>
      <c r="N14362" t="s">
        <v>608</v>
      </c>
      <c r="O14362" s="37" t="str">
        <f t="shared" si="1123"/>
        <v>Cash Payment</v>
      </c>
      <c r="P14362">
        <v>47.23</v>
      </c>
      <c r="Q14362" s="37" t="str">
        <f>IF(P14362&gt;500,"High","low")</f>
        <v>low</v>
      </c>
      <c r="R14362" s="37" t="str">
        <f t="shared" si="1124"/>
        <v>AVERAGE</v>
      </c>
      <c r="S14362" t="s">
        <v>628</v>
      </c>
    </row>
    <row r="14363" spans="1:19" x14ac:dyDescent="0.2">
      <c r="A14363" t="s">
        <v>14974</v>
      </c>
      <c r="B14363" t="s">
        <v>67</v>
      </c>
      <c r="C14363" t="s">
        <v>617</v>
      </c>
      <c r="D14363">
        <v>1003.17</v>
      </c>
      <c r="E14363" s="37" t="str">
        <f t="shared" si="1120"/>
        <v xml:space="preserve"> </v>
      </c>
      <c r="F14363">
        <v>0.41</v>
      </c>
      <c r="G14363" s="37" t="str">
        <f t="shared" si="1121"/>
        <v>Heavy Discount</v>
      </c>
      <c r="H14363" s="37" t="str">
        <f t="shared" si="1122"/>
        <v>High</v>
      </c>
      <c r="I14363">
        <v>2</v>
      </c>
      <c r="J14363" t="str" cm="1">
        <f t="array" ref="J14363">_xlfn.IFS(I14363&lt;=3,"small",I14363&lt;=6,"Medium",I14363&lt;=9,"Large")</f>
        <v>small</v>
      </c>
      <c r="K14363" s="36">
        <v>45024</v>
      </c>
      <c r="L14363" s="36">
        <v>45030</v>
      </c>
      <c r="M14363" t="s">
        <v>598</v>
      </c>
      <c r="N14363" t="s">
        <v>604</v>
      </c>
      <c r="O14363" s="37" t="str">
        <f t="shared" si="1123"/>
        <v>Digital Payment</v>
      </c>
      <c r="P14363">
        <v>58.98</v>
      </c>
      <c r="Q14363" s="37" t="str">
        <f>IF(P14363&gt;500,"High","low")</f>
        <v>low</v>
      </c>
      <c r="R14363" s="37" t="str">
        <f t="shared" si="1124"/>
        <v>AVERAGE</v>
      </c>
      <c r="S14363" t="s">
        <v>615</v>
      </c>
    </row>
    <row r="14364" spans="1:19" x14ac:dyDescent="0.2">
      <c r="A14364" t="s">
        <v>14975</v>
      </c>
      <c r="B14364" t="s">
        <v>67</v>
      </c>
      <c r="C14364" t="s">
        <v>607</v>
      </c>
      <c r="D14364">
        <v>4816.8599999999997</v>
      </c>
      <c r="E14364" s="37" t="str">
        <f t="shared" si="1120"/>
        <v>Excellent Order</v>
      </c>
      <c r="F14364">
        <v>0.1</v>
      </c>
      <c r="G14364" s="37" t="str">
        <f t="shared" si="1121"/>
        <v>Normal Discount</v>
      </c>
      <c r="H14364" s="37" t="str">
        <f t="shared" si="1122"/>
        <v>Low</v>
      </c>
      <c r="I14364">
        <v>7</v>
      </c>
      <c r="J14364" t="str" cm="1">
        <f t="array" ref="J14364">_xlfn.IFS(I14364&lt;=3,"small",I14364&lt;=6,"Medium",I14364&lt;=9,"Large")</f>
        <v>Large</v>
      </c>
      <c r="K14364" s="36">
        <v>45053</v>
      </c>
      <c r="L14364" s="36">
        <v>45058</v>
      </c>
      <c r="M14364" t="s">
        <v>598</v>
      </c>
      <c r="N14364" t="s">
        <v>599</v>
      </c>
      <c r="O14364" s="37" t="str">
        <f t="shared" si="1123"/>
        <v>Digital Payment</v>
      </c>
      <c r="P14364">
        <v>1256.5</v>
      </c>
      <c r="Q14364" s="37" t="str">
        <f>IF(P14364&gt;500,"High","low")</f>
        <v>High</v>
      </c>
      <c r="R14364" s="37" t="str">
        <f t="shared" si="1124"/>
        <v>Excellent</v>
      </c>
      <c r="S14364" t="s">
        <v>628</v>
      </c>
    </row>
    <row r="14365" spans="1:19" x14ac:dyDescent="0.2">
      <c r="A14365" t="s">
        <v>14976</v>
      </c>
      <c r="B14365" t="s">
        <v>75</v>
      </c>
      <c r="C14365" t="s">
        <v>607</v>
      </c>
      <c r="D14365">
        <v>2326.42</v>
      </c>
      <c r="E14365" s="37" t="str">
        <f t="shared" si="1120"/>
        <v xml:space="preserve"> </v>
      </c>
      <c r="F14365">
        <v>0.46</v>
      </c>
      <c r="G14365" s="37" t="str">
        <f t="shared" si="1121"/>
        <v>Heavy Discount</v>
      </c>
      <c r="H14365" s="37" t="str">
        <f t="shared" si="1122"/>
        <v>High</v>
      </c>
      <c r="I14365">
        <v>8</v>
      </c>
      <c r="J14365" t="str" cm="1">
        <f t="array" ref="J14365">_xlfn.IFS(I14365&lt;=3,"small",I14365&lt;=6,"Medium",I14365&lt;=9,"Large")</f>
        <v>Large</v>
      </c>
      <c r="K14365" s="36">
        <v>45519</v>
      </c>
      <c r="L14365" s="36">
        <v>45524</v>
      </c>
      <c r="M14365" t="s">
        <v>603</v>
      </c>
      <c r="N14365" t="s">
        <v>604</v>
      </c>
      <c r="O14365" s="37" t="str">
        <f t="shared" si="1123"/>
        <v>Digital Payment</v>
      </c>
      <c r="P14365">
        <v>373.79</v>
      </c>
      <c r="Q14365" s="37" t="str">
        <f>IF(P14365&gt;500,"High","low")</f>
        <v>low</v>
      </c>
      <c r="R14365" s="37" t="str">
        <f t="shared" si="1124"/>
        <v>AVERAGE</v>
      </c>
      <c r="S14365" t="s">
        <v>615</v>
      </c>
    </row>
    <row r="14366" spans="1:19" x14ac:dyDescent="0.2">
      <c r="A14366" t="s">
        <v>14977</v>
      </c>
      <c r="B14366" t="s">
        <v>75</v>
      </c>
      <c r="C14366" t="s">
        <v>607</v>
      </c>
      <c r="D14366">
        <v>3928.83</v>
      </c>
      <c r="E14366" s="37" t="str">
        <f t="shared" si="1120"/>
        <v xml:space="preserve"> </v>
      </c>
      <c r="F14366">
        <v>0.44</v>
      </c>
      <c r="G14366" s="37" t="str">
        <f t="shared" si="1121"/>
        <v>Heavy Discount</v>
      </c>
      <c r="H14366" s="37" t="str">
        <f t="shared" si="1122"/>
        <v>High</v>
      </c>
      <c r="I14366">
        <v>4</v>
      </c>
      <c r="J14366" t="str" cm="1">
        <f t="array" ref="J14366">_xlfn.IFS(I14366&lt;=3,"small",I14366&lt;=6,"Medium",I14366&lt;=9,"Large")</f>
        <v>Medium</v>
      </c>
      <c r="K14366" s="36">
        <v>45331</v>
      </c>
      <c r="L14366" s="36">
        <v>45336</v>
      </c>
      <c r="M14366" t="s">
        <v>603</v>
      </c>
      <c r="N14366" t="s">
        <v>604</v>
      </c>
      <c r="O14366" s="37" t="str">
        <f t="shared" si="1123"/>
        <v>Digital Payment</v>
      </c>
      <c r="P14366">
        <v>1057.94</v>
      </c>
      <c r="Q14366" s="37" t="str">
        <f>IF(P14366&gt;500,"High","low")</f>
        <v>High</v>
      </c>
      <c r="R14366" s="37" t="str">
        <f t="shared" si="1124"/>
        <v>Excellent</v>
      </c>
      <c r="S14366" t="s">
        <v>620</v>
      </c>
    </row>
    <row r="14367" spans="1:19" x14ac:dyDescent="0.2">
      <c r="A14367" t="s">
        <v>14978</v>
      </c>
      <c r="B14367" t="s">
        <v>90</v>
      </c>
      <c r="C14367" t="s">
        <v>617</v>
      </c>
      <c r="D14367">
        <v>2007.69</v>
      </c>
      <c r="E14367" s="37" t="str">
        <f t="shared" si="1120"/>
        <v xml:space="preserve"> </v>
      </c>
      <c r="F14367">
        <v>0.33</v>
      </c>
      <c r="G14367" s="37" t="str">
        <f t="shared" si="1121"/>
        <v>Heavy Discount</v>
      </c>
      <c r="H14367" s="37" t="str">
        <f t="shared" si="1122"/>
        <v>Medium</v>
      </c>
      <c r="I14367">
        <v>4</v>
      </c>
      <c r="J14367" t="str" cm="1">
        <f t="array" ref="J14367">_xlfn.IFS(I14367&lt;=3,"small",I14367&lt;=6,"Medium",I14367&lt;=9,"Large")</f>
        <v>Medium</v>
      </c>
      <c r="K14367" s="36">
        <v>45435</v>
      </c>
      <c r="L14367" s="36">
        <v>45440</v>
      </c>
      <c r="M14367" t="s">
        <v>598</v>
      </c>
      <c r="N14367" t="s">
        <v>604</v>
      </c>
      <c r="O14367" s="37" t="str">
        <f t="shared" si="1123"/>
        <v>Digital Payment</v>
      </c>
      <c r="P14367">
        <v>526.04999999999995</v>
      </c>
      <c r="Q14367" s="37" t="str">
        <f>IF(P14367&gt;500,"High","low")</f>
        <v>High</v>
      </c>
      <c r="R14367" s="37" t="str">
        <f t="shared" si="1124"/>
        <v>Good</v>
      </c>
      <c r="S14367" t="s">
        <v>620</v>
      </c>
    </row>
    <row r="14368" spans="1:19" x14ac:dyDescent="0.2">
      <c r="A14368" t="s">
        <v>14979</v>
      </c>
      <c r="B14368" t="s">
        <v>75</v>
      </c>
      <c r="C14368" t="s">
        <v>597</v>
      </c>
      <c r="D14368">
        <v>3845.18</v>
      </c>
      <c r="E14368" s="37" t="str">
        <f t="shared" si="1120"/>
        <v xml:space="preserve"> </v>
      </c>
      <c r="F14368">
        <v>0.43</v>
      </c>
      <c r="G14368" s="37" t="str">
        <f t="shared" si="1121"/>
        <v>Heavy Discount</v>
      </c>
      <c r="H14368" s="37" t="str">
        <f t="shared" si="1122"/>
        <v>High</v>
      </c>
      <c r="I14368">
        <v>2</v>
      </c>
      <c r="J14368" t="str" cm="1">
        <f t="array" ref="J14368">_xlfn.IFS(I14368&lt;=3,"small",I14368&lt;=6,"Medium",I14368&lt;=9,"Large")</f>
        <v>small</v>
      </c>
      <c r="K14368" s="36">
        <v>45069</v>
      </c>
      <c r="L14368" s="36">
        <v>45075</v>
      </c>
      <c r="M14368" t="s">
        <v>612</v>
      </c>
      <c r="N14368" t="s">
        <v>608</v>
      </c>
      <c r="O14368" s="37" t="str">
        <f t="shared" si="1123"/>
        <v>Cash Payment</v>
      </c>
      <c r="P14368">
        <v>761.41</v>
      </c>
      <c r="Q14368" s="37" t="str">
        <f>IF(P14368&gt;500,"High","low")</f>
        <v>High</v>
      </c>
      <c r="R14368" s="37" t="str">
        <f t="shared" si="1124"/>
        <v>Good</v>
      </c>
      <c r="S14368" t="s">
        <v>605</v>
      </c>
    </row>
    <row r="14369" spans="1:19" x14ac:dyDescent="0.2">
      <c r="A14369" t="s">
        <v>14980</v>
      </c>
      <c r="B14369" t="s">
        <v>67</v>
      </c>
      <c r="C14369" t="s">
        <v>607</v>
      </c>
      <c r="D14369">
        <v>684.14</v>
      </c>
      <c r="E14369" s="37" t="str">
        <f t="shared" si="1120"/>
        <v xml:space="preserve"> </v>
      </c>
      <c r="F14369">
        <v>0.44</v>
      </c>
      <c r="G14369" s="37" t="str">
        <f t="shared" si="1121"/>
        <v>Heavy Discount</v>
      </c>
      <c r="H14369" s="37" t="str">
        <f t="shared" si="1122"/>
        <v>High</v>
      </c>
      <c r="I14369">
        <v>2</v>
      </c>
      <c r="J14369" t="str" cm="1">
        <f t="array" ref="J14369">_xlfn.IFS(I14369&lt;=3,"small",I14369&lt;=6,"Medium",I14369&lt;=9,"Large")</f>
        <v>small</v>
      </c>
      <c r="K14369" s="36">
        <v>45474</v>
      </c>
      <c r="L14369" s="36">
        <v>45475</v>
      </c>
      <c r="M14369" t="s">
        <v>603</v>
      </c>
      <c r="N14369" t="s">
        <v>604</v>
      </c>
      <c r="O14369" s="37" t="str">
        <f t="shared" si="1123"/>
        <v>Digital Payment</v>
      </c>
      <c r="P14369">
        <v>36.29</v>
      </c>
      <c r="Q14369" s="37" t="str">
        <f>IF(P14369&gt;500,"High","low")</f>
        <v>low</v>
      </c>
      <c r="R14369" s="37" t="str">
        <f t="shared" si="1124"/>
        <v>AVERAGE</v>
      </c>
      <c r="S14369" t="s">
        <v>609</v>
      </c>
    </row>
    <row r="14370" spans="1:19" x14ac:dyDescent="0.2">
      <c r="A14370" t="s">
        <v>14981</v>
      </c>
      <c r="B14370" t="s">
        <v>83</v>
      </c>
      <c r="C14370" t="s">
        <v>597</v>
      </c>
      <c r="D14370">
        <v>306.43</v>
      </c>
      <c r="E14370" s="37" t="str">
        <f t="shared" si="1120"/>
        <v xml:space="preserve"> </v>
      </c>
      <c r="F14370">
        <v>0.39</v>
      </c>
      <c r="G14370" s="37" t="str">
        <f t="shared" si="1121"/>
        <v>Heavy Discount</v>
      </c>
      <c r="H14370" s="37" t="str">
        <f t="shared" si="1122"/>
        <v>Medium</v>
      </c>
      <c r="I14370">
        <v>4</v>
      </c>
      <c r="J14370" t="str" cm="1">
        <f t="array" ref="J14370">_xlfn.IFS(I14370&lt;=3,"small",I14370&lt;=6,"Medium",I14370&lt;=9,"Large")</f>
        <v>Medium</v>
      </c>
      <c r="K14370" s="36">
        <v>44935</v>
      </c>
      <c r="L14370" s="36">
        <v>44942</v>
      </c>
      <c r="M14370" t="s">
        <v>612</v>
      </c>
      <c r="N14370" t="s">
        <v>604</v>
      </c>
      <c r="O14370" s="37" t="str">
        <f t="shared" si="1123"/>
        <v>Digital Payment</v>
      </c>
      <c r="P14370">
        <v>48.3</v>
      </c>
      <c r="Q14370" s="37" t="str">
        <f>IF(P14370&gt;500,"High","low")</f>
        <v>low</v>
      </c>
      <c r="R14370" s="37" t="str">
        <f t="shared" si="1124"/>
        <v>AVERAGE</v>
      </c>
      <c r="S14370" t="s">
        <v>605</v>
      </c>
    </row>
    <row r="14371" spans="1:19" x14ac:dyDescent="0.2">
      <c r="A14371" t="s">
        <v>14982</v>
      </c>
      <c r="B14371" t="s">
        <v>75</v>
      </c>
      <c r="C14371" t="s">
        <v>614</v>
      </c>
      <c r="D14371">
        <v>2384.27</v>
      </c>
      <c r="E14371" s="37" t="str">
        <f t="shared" si="1120"/>
        <v xml:space="preserve"> </v>
      </c>
      <c r="F14371">
        <v>0.25</v>
      </c>
      <c r="G14371" s="37" t="str">
        <f t="shared" si="1121"/>
        <v>Normal Discount</v>
      </c>
      <c r="H14371" s="37" t="str">
        <f t="shared" si="1122"/>
        <v>Medium</v>
      </c>
      <c r="I14371">
        <v>4</v>
      </c>
      <c r="J14371" t="str" cm="1">
        <f t="array" ref="J14371">_xlfn.IFS(I14371&lt;=3,"small",I14371&lt;=6,"Medium",I14371&lt;=9,"Large")</f>
        <v>Medium</v>
      </c>
      <c r="K14371" s="36">
        <v>45241</v>
      </c>
      <c r="L14371" s="36">
        <v>45245</v>
      </c>
      <c r="M14371" t="s">
        <v>612</v>
      </c>
      <c r="N14371" t="s">
        <v>604</v>
      </c>
      <c r="O14371" s="37" t="str">
        <f t="shared" si="1123"/>
        <v>Digital Payment</v>
      </c>
      <c r="P14371">
        <v>276.02</v>
      </c>
      <c r="Q14371" s="37" t="str">
        <f>IF(P14371&gt;500,"High","low")</f>
        <v>low</v>
      </c>
      <c r="R14371" s="37" t="str">
        <f t="shared" si="1124"/>
        <v>AVERAGE</v>
      </c>
      <c r="S14371" t="s">
        <v>609</v>
      </c>
    </row>
    <row r="14372" spans="1:19" x14ac:dyDescent="0.2">
      <c r="A14372" t="s">
        <v>14983</v>
      </c>
      <c r="B14372" t="s">
        <v>90</v>
      </c>
      <c r="C14372" t="s">
        <v>602</v>
      </c>
      <c r="D14372">
        <v>2999.07</v>
      </c>
      <c r="E14372" s="37" t="str">
        <f t="shared" si="1120"/>
        <v xml:space="preserve"> </v>
      </c>
      <c r="F14372">
        <v>0.48</v>
      </c>
      <c r="G14372" s="37" t="str">
        <f t="shared" si="1121"/>
        <v>Heavy Discount</v>
      </c>
      <c r="H14372" s="37" t="str">
        <f t="shared" si="1122"/>
        <v>High</v>
      </c>
      <c r="I14372">
        <v>5</v>
      </c>
      <c r="J14372" t="str" cm="1">
        <f t="array" ref="J14372">_xlfn.IFS(I14372&lt;=3,"small",I14372&lt;=6,"Medium",I14372&lt;=9,"Large")</f>
        <v>Medium</v>
      </c>
      <c r="K14372" s="36">
        <v>45163</v>
      </c>
      <c r="L14372" s="36">
        <v>45170</v>
      </c>
      <c r="M14372" t="s">
        <v>612</v>
      </c>
      <c r="N14372" t="s">
        <v>604</v>
      </c>
      <c r="O14372" s="37" t="str">
        <f t="shared" si="1123"/>
        <v>Digital Payment</v>
      </c>
      <c r="P14372">
        <v>277.97000000000003</v>
      </c>
      <c r="Q14372" s="37" t="str">
        <f>IF(P14372&gt;500,"High","low")</f>
        <v>low</v>
      </c>
      <c r="R14372" s="37" t="str">
        <f t="shared" si="1124"/>
        <v>AVERAGE</v>
      </c>
      <c r="S14372" t="s">
        <v>609</v>
      </c>
    </row>
    <row r="14373" spans="1:19" x14ac:dyDescent="0.2">
      <c r="A14373" t="s">
        <v>14984</v>
      </c>
      <c r="B14373" t="s">
        <v>90</v>
      </c>
      <c r="C14373" t="s">
        <v>597</v>
      </c>
      <c r="D14373">
        <v>1686.14</v>
      </c>
      <c r="E14373" s="37" t="str">
        <f t="shared" si="1120"/>
        <v xml:space="preserve"> </v>
      </c>
      <c r="F14373">
        <v>0.41</v>
      </c>
      <c r="G14373" s="37" t="str">
        <f t="shared" si="1121"/>
        <v>Heavy Discount</v>
      </c>
      <c r="H14373" s="37" t="str">
        <f t="shared" si="1122"/>
        <v>High</v>
      </c>
      <c r="I14373">
        <v>9</v>
      </c>
      <c r="J14373" t="str" cm="1">
        <f t="array" ref="J14373">_xlfn.IFS(I14373&lt;=3,"small",I14373&lt;=6,"Medium",I14373&lt;=9,"Large")</f>
        <v>Large</v>
      </c>
      <c r="K14373" s="36">
        <v>45264</v>
      </c>
      <c r="L14373" s="36">
        <v>45265</v>
      </c>
      <c r="M14373" t="s">
        <v>603</v>
      </c>
      <c r="N14373" t="s">
        <v>599</v>
      </c>
      <c r="O14373" s="37" t="str">
        <f t="shared" si="1123"/>
        <v>Digital Payment</v>
      </c>
      <c r="P14373">
        <v>309.69</v>
      </c>
      <c r="Q14373" s="37" t="str">
        <f>IF(P14373&gt;500,"High","low")</f>
        <v>low</v>
      </c>
      <c r="R14373" s="37" t="str">
        <f t="shared" si="1124"/>
        <v>AVERAGE</v>
      </c>
      <c r="S14373" t="s">
        <v>609</v>
      </c>
    </row>
    <row r="14374" spans="1:19" x14ac:dyDescent="0.2">
      <c r="A14374" t="s">
        <v>14985</v>
      </c>
      <c r="B14374" t="s">
        <v>90</v>
      </c>
      <c r="C14374" t="s">
        <v>614</v>
      </c>
      <c r="D14374">
        <v>3608.42</v>
      </c>
      <c r="E14374" s="37" t="str">
        <f t="shared" si="1120"/>
        <v xml:space="preserve"> </v>
      </c>
      <c r="F14374">
        <v>0.06</v>
      </c>
      <c r="G14374" s="37" t="str">
        <f t="shared" si="1121"/>
        <v>Normal Discount</v>
      </c>
      <c r="H14374" s="37" t="str">
        <f t="shared" si="1122"/>
        <v>Low</v>
      </c>
      <c r="I14374">
        <v>9</v>
      </c>
      <c r="J14374" t="str" cm="1">
        <f t="array" ref="J14374">_xlfn.IFS(I14374&lt;=3,"small",I14374&lt;=6,"Medium",I14374&lt;=9,"Large")</f>
        <v>Large</v>
      </c>
      <c r="K14374" s="36">
        <v>45071</v>
      </c>
      <c r="L14374" s="36">
        <v>45078</v>
      </c>
      <c r="M14374" t="s">
        <v>603</v>
      </c>
      <c r="N14374" t="s">
        <v>599</v>
      </c>
      <c r="O14374" s="37" t="str">
        <f t="shared" si="1123"/>
        <v>Digital Payment</v>
      </c>
      <c r="P14374">
        <v>512.13</v>
      </c>
      <c r="Q14374" s="37" t="str">
        <f>IF(P14374&gt;500,"High","low")</f>
        <v>High</v>
      </c>
      <c r="R14374" s="37" t="str">
        <f t="shared" si="1124"/>
        <v>Good</v>
      </c>
      <c r="S14374" t="s">
        <v>620</v>
      </c>
    </row>
    <row r="14375" spans="1:19" x14ac:dyDescent="0.2">
      <c r="A14375" t="s">
        <v>14986</v>
      </c>
      <c r="B14375" t="s">
        <v>83</v>
      </c>
      <c r="C14375" t="s">
        <v>602</v>
      </c>
      <c r="D14375">
        <v>2529.52</v>
      </c>
      <c r="E14375" s="37" t="str">
        <f t="shared" si="1120"/>
        <v xml:space="preserve"> </v>
      </c>
      <c r="F14375">
        <v>0.21</v>
      </c>
      <c r="G14375" s="37" t="str">
        <f t="shared" si="1121"/>
        <v>Normal Discount</v>
      </c>
      <c r="H14375" s="37" t="str">
        <f t="shared" si="1122"/>
        <v>Medium</v>
      </c>
      <c r="I14375">
        <v>7</v>
      </c>
      <c r="J14375" t="str" cm="1">
        <f t="array" ref="J14375">_xlfn.IFS(I14375&lt;=3,"small",I14375&lt;=6,"Medium",I14375&lt;=9,"Large")</f>
        <v>Large</v>
      </c>
      <c r="K14375" s="36">
        <v>45520</v>
      </c>
      <c r="L14375" s="36">
        <v>45525</v>
      </c>
      <c r="M14375" t="s">
        <v>612</v>
      </c>
      <c r="N14375" t="s">
        <v>608</v>
      </c>
      <c r="O14375" s="37" t="str">
        <f t="shared" si="1123"/>
        <v>Cash Payment</v>
      </c>
      <c r="P14375">
        <v>594.52</v>
      </c>
      <c r="Q14375" s="37" t="str">
        <f>IF(P14375&gt;500,"High","low")</f>
        <v>High</v>
      </c>
      <c r="R14375" s="37" t="str">
        <f t="shared" si="1124"/>
        <v>Good</v>
      </c>
      <c r="S14375" t="s">
        <v>628</v>
      </c>
    </row>
    <row r="14376" spans="1:19" x14ac:dyDescent="0.2">
      <c r="A14376" t="s">
        <v>14987</v>
      </c>
      <c r="B14376" t="s">
        <v>75</v>
      </c>
      <c r="C14376" t="s">
        <v>607</v>
      </c>
      <c r="D14376">
        <v>4648.75</v>
      </c>
      <c r="E14376" s="37" t="str">
        <f t="shared" si="1120"/>
        <v xml:space="preserve"> </v>
      </c>
      <c r="F14376">
        <v>0.27</v>
      </c>
      <c r="G14376" s="37" t="str">
        <f t="shared" si="1121"/>
        <v>Normal Discount</v>
      </c>
      <c r="H14376" s="37" t="str">
        <f t="shared" si="1122"/>
        <v>Medium</v>
      </c>
      <c r="I14376">
        <v>6</v>
      </c>
      <c r="J14376" t="str" cm="1">
        <f t="array" ref="J14376">_xlfn.IFS(I14376&lt;=3,"small",I14376&lt;=6,"Medium",I14376&lt;=9,"Large")</f>
        <v>Medium</v>
      </c>
      <c r="K14376" s="36">
        <v>45442</v>
      </c>
      <c r="L14376" s="36">
        <v>45445</v>
      </c>
      <c r="M14376" t="s">
        <v>603</v>
      </c>
      <c r="N14376" t="s">
        <v>604</v>
      </c>
      <c r="O14376" s="37" t="str">
        <f t="shared" si="1123"/>
        <v>Digital Payment</v>
      </c>
      <c r="P14376">
        <v>518.66</v>
      </c>
      <c r="Q14376" s="37" t="str">
        <f>IF(P14376&gt;500,"High","low")</f>
        <v>High</v>
      </c>
      <c r="R14376" s="37" t="str">
        <f t="shared" si="1124"/>
        <v>Good</v>
      </c>
      <c r="S14376" t="s">
        <v>600</v>
      </c>
    </row>
    <row r="14377" spans="1:19" x14ac:dyDescent="0.2">
      <c r="A14377" t="s">
        <v>14988</v>
      </c>
      <c r="B14377" t="s">
        <v>75</v>
      </c>
      <c r="C14377" t="s">
        <v>607</v>
      </c>
      <c r="D14377">
        <v>516.45000000000005</v>
      </c>
      <c r="E14377" s="37" t="str">
        <f t="shared" si="1120"/>
        <v xml:space="preserve"> </v>
      </c>
      <c r="F14377">
        <v>0.26</v>
      </c>
      <c r="G14377" s="37" t="str">
        <f t="shared" si="1121"/>
        <v>Normal Discount</v>
      </c>
      <c r="H14377" s="37" t="str">
        <f t="shared" si="1122"/>
        <v>Medium</v>
      </c>
      <c r="I14377">
        <v>5</v>
      </c>
      <c r="J14377" t="str" cm="1">
        <f t="array" ref="J14377">_xlfn.IFS(I14377&lt;=3,"small",I14377&lt;=6,"Medium",I14377&lt;=9,"Large")</f>
        <v>Medium</v>
      </c>
      <c r="K14377" s="36">
        <v>45522</v>
      </c>
      <c r="L14377" s="36">
        <v>45526</v>
      </c>
      <c r="M14377" t="s">
        <v>598</v>
      </c>
      <c r="N14377" t="s">
        <v>599</v>
      </c>
      <c r="O14377" s="37" t="str">
        <f t="shared" si="1123"/>
        <v>Digital Payment</v>
      </c>
      <c r="P14377">
        <v>97.57</v>
      </c>
      <c r="Q14377" s="37" t="str">
        <f>IF(P14377&gt;500,"High","low")</f>
        <v>low</v>
      </c>
      <c r="R14377" s="37" t="str">
        <f t="shared" si="1124"/>
        <v>AVERAGE</v>
      </c>
      <c r="S14377" t="s">
        <v>609</v>
      </c>
    </row>
    <row r="14378" spans="1:19" x14ac:dyDescent="0.2">
      <c r="A14378" t="s">
        <v>14989</v>
      </c>
      <c r="B14378" t="s">
        <v>75</v>
      </c>
      <c r="C14378" t="s">
        <v>607</v>
      </c>
      <c r="D14378">
        <v>426.18</v>
      </c>
      <c r="E14378" s="37" t="str">
        <f t="shared" si="1120"/>
        <v xml:space="preserve"> </v>
      </c>
      <c r="F14378">
        <v>0.19</v>
      </c>
      <c r="G14378" s="37" t="str">
        <f t="shared" si="1121"/>
        <v>Normal Discount</v>
      </c>
      <c r="H14378" s="37" t="str">
        <f t="shared" si="1122"/>
        <v>Low</v>
      </c>
      <c r="I14378">
        <v>4</v>
      </c>
      <c r="J14378" t="str" cm="1">
        <f t="array" ref="J14378">_xlfn.IFS(I14378&lt;=3,"small",I14378&lt;=6,"Medium",I14378&lt;=9,"Large")</f>
        <v>Medium</v>
      </c>
      <c r="K14378" s="36">
        <v>45451</v>
      </c>
      <c r="L14378" s="36">
        <v>45452</v>
      </c>
      <c r="M14378" t="s">
        <v>612</v>
      </c>
      <c r="N14378" t="s">
        <v>608</v>
      </c>
      <c r="O14378" s="37" t="str">
        <f t="shared" si="1123"/>
        <v>Cash Payment</v>
      </c>
      <c r="P14378">
        <v>75.099999999999994</v>
      </c>
      <c r="Q14378" s="37" t="str">
        <f>IF(P14378&gt;500,"High","low")</f>
        <v>low</v>
      </c>
      <c r="R14378" s="37" t="str">
        <f t="shared" si="1124"/>
        <v>AVERAGE</v>
      </c>
      <c r="S14378" t="s">
        <v>628</v>
      </c>
    </row>
    <row r="14379" spans="1:19" x14ac:dyDescent="0.2">
      <c r="A14379" t="s">
        <v>14990</v>
      </c>
      <c r="B14379" t="s">
        <v>83</v>
      </c>
      <c r="C14379" t="s">
        <v>617</v>
      </c>
      <c r="D14379">
        <v>4535.1000000000004</v>
      </c>
      <c r="E14379" s="37" t="str">
        <f t="shared" si="1120"/>
        <v xml:space="preserve"> </v>
      </c>
      <c r="F14379">
        <v>0.27</v>
      </c>
      <c r="G14379" s="37" t="str">
        <f t="shared" si="1121"/>
        <v>Normal Discount</v>
      </c>
      <c r="H14379" s="37" t="str">
        <f t="shared" si="1122"/>
        <v>Medium</v>
      </c>
      <c r="I14379">
        <v>2</v>
      </c>
      <c r="J14379" t="str" cm="1">
        <f t="array" ref="J14379">_xlfn.IFS(I14379&lt;=3,"small",I14379&lt;=6,"Medium",I14379&lt;=9,"Large")</f>
        <v>small</v>
      </c>
      <c r="K14379" s="36">
        <v>45553</v>
      </c>
      <c r="L14379" s="36">
        <v>45558</v>
      </c>
      <c r="M14379" t="s">
        <v>598</v>
      </c>
      <c r="N14379" t="s">
        <v>604</v>
      </c>
      <c r="O14379" s="37" t="str">
        <f t="shared" si="1123"/>
        <v>Digital Payment</v>
      </c>
      <c r="P14379">
        <v>689.65</v>
      </c>
      <c r="Q14379" s="37" t="str">
        <f>IF(P14379&gt;500,"High","low")</f>
        <v>High</v>
      </c>
      <c r="R14379" s="37" t="str">
        <f t="shared" si="1124"/>
        <v>Good</v>
      </c>
      <c r="S14379" t="s">
        <v>609</v>
      </c>
    </row>
    <row r="14380" spans="1:19" x14ac:dyDescent="0.2">
      <c r="A14380" t="s">
        <v>14991</v>
      </c>
      <c r="B14380" t="s">
        <v>83</v>
      </c>
      <c r="C14380" t="s">
        <v>617</v>
      </c>
      <c r="D14380">
        <v>3378.62</v>
      </c>
      <c r="E14380" s="37" t="str">
        <f t="shared" si="1120"/>
        <v xml:space="preserve"> </v>
      </c>
      <c r="F14380">
        <v>0.05</v>
      </c>
      <c r="G14380" s="37" t="str">
        <f t="shared" si="1121"/>
        <v>Normal Discount</v>
      </c>
      <c r="H14380" s="37" t="str">
        <f t="shared" si="1122"/>
        <v>Low</v>
      </c>
      <c r="I14380">
        <v>4</v>
      </c>
      <c r="J14380" t="str" cm="1">
        <f t="array" ref="J14380">_xlfn.IFS(I14380&lt;=3,"small",I14380&lt;=6,"Medium",I14380&lt;=9,"Large")</f>
        <v>Medium</v>
      </c>
      <c r="K14380" s="36">
        <v>45225</v>
      </c>
      <c r="L14380" s="36">
        <v>45230</v>
      </c>
      <c r="M14380" t="s">
        <v>603</v>
      </c>
      <c r="N14380" t="s">
        <v>604</v>
      </c>
      <c r="O14380" s="37" t="str">
        <f t="shared" si="1123"/>
        <v>Digital Payment</v>
      </c>
      <c r="P14380">
        <v>896.78</v>
      </c>
      <c r="Q14380" s="37" t="str">
        <f>IF(P14380&gt;500,"High","low")</f>
        <v>High</v>
      </c>
      <c r="R14380" s="37" t="str">
        <f t="shared" si="1124"/>
        <v>Good</v>
      </c>
      <c r="S14380" t="s">
        <v>609</v>
      </c>
    </row>
    <row r="14381" spans="1:19" x14ac:dyDescent="0.2">
      <c r="A14381" t="s">
        <v>14992</v>
      </c>
      <c r="B14381" t="s">
        <v>67</v>
      </c>
      <c r="C14381" t="s">
        <v>617</v>
      </c>
      <c r="D14381">
        <v>3388.48</v>
      </c>
      <c r="E14381" s="37" t="str">
        <f t="shared" si="1120"/>
        <v xml:space="preserve"> </v>
      </c>
      <c r="F14381">
        <v>0.33</v>
      </c>
      <c r="G14381" s="37" t="str">
        <f t="shared" si="1121"/>
        <v>Heavy Discount</v>
      </c>
      <c r="H14381" s="37" t="str">
        <f t="shared" si="1122"/>
        <v>Medium</v>
      </c>
      <c r="I14381">
        <v>7</v>
      </c>
      <c r="J14381" t="str" cm="1">
        <f t="array" ref="J14381">_xlfn.IFS(I14381&lt;=3,"small",I14381&lt;=6,"Medium",I14381&lt;=9,"Large")</f>
        <v>Large</v>
      </c>
      <c r="K14381" s="36">
        <v>45402</v>
      </c>
      <c r="L14381" s="36">
        <v>45406</v>
      </c>
      <c r="M14381" t="s">
        <v>598</v>
      </c>
      <c r="N14381" t="s">
        <v>604</v>
      </c>
      <c r="O14381" s="37" t="str">
        <f t="shared" si="1123"/>
        <v>Digital Payment</v>
      </c>
      <c r="P14381">
        <v>682.05</v>
      </c>
      <c r="Q14381" s="37" t="str">
        <f>IF(P14381&gt;500,"High","low")</f>
        <v>High</v>
      </c>
      <c r="R14381" s="37" t="str">
        <f t="shared" si="1124"/>
        <v>Good</v>
      </c>
      <c r="S14381" t="s">
        <v>620</v>
      </c>
    </row>
    <row r="14382" spans="1:19" x14ac:dyDescent="0.2">
      <c r="A14382" t="s">
        <v>14993</v>
      </c>
      <c r="B14382" t="s">
        <v>90</v>
      </c>
      <c r="C14382" t="s">
        <v>617</v>
      </c>
      <c r="D14382">
        <v>235.02</v>
      </c>
      <c r="E14382" s="37" t="str">
        <f t="shared" si="1120"/>
        <v xml:space="preserve"> </v>
      </c>
      <c r="F14382">
        <v>0.25</v>
      </c>
      <c r="G14382" s="37" t="str">
        <f t="shared" si="1121"/>
        <v>Normal Discount</v>
      </c>
      <c r="H14382" s="37" t="str">
        <f t="shared" si="1122"/>
        <v>Medium</v>
      </c>
      <c r="I14382">
        <v>1</v>
      </c>
      <c r="J14382" t="str" cm="1">
        <f t="array" ref="J14382">_xlfn.IFS(I14382&lt;=3,"small",I14382&lt;=6,"Medium",I14382&lt;=9,"Large")</f>
        <v>small</v>
      </c>
      <c r="K14382" s="36">
        <v>45190</v>
      </c>
      <c r="L14382" s="36">
        <v>45192</v>
      </c>
      <c r="M14382" t="s">
        <v>612</v>
      </c>
      <c r="N14382" t="s">
        <v>604</v>
      </c>
      <c r="O14382" s="37" t="str">
        <f t="shared" si="1123"/>
        <v>Digital Payment</v>
      </c>
      <c r="P14382">
        <v>57.08</v>
      </c>
      <c r="Q14382" s="37" t="str">
        <f>IF(P14382&gt;500,"High","low")</f>
        <v>low</v>
      </c>
      <c r="R14382" s="37" t="str">
        <f t="shared" si="1124"/>
        <v>AVERAGE</v>
      </c>
      <c r="S14382" t="s">
        <v>605</v>
      </c>
    </row>
    <row r="14383" spans="1:19" x14ac:dyDescent="0.2">
      <c r="A14383" t="s">
        <v>14994</v>
      </c>
      <c r="B14383" t="s">
        <v>90</v>
      </c>
      <c r="C14383" t="s">
        <v>614</v>
      </c>
      <c r="D14383">
        <v>4694.6099999999997</v>
      </c>
      <c r="E14383" s="37" t="str">
        <f t="shared" si="1120"/>
        <v>Excellent Order</v>
      </c>
      <c r="F14383">
        <v>0.39</v>
      </c>
      <c r="G14383" s="37" t="str">
        <f t="shared" si="1121"/>
        <v>Heavy Discount</v>
      </c>
      <c r="H14383" s="37" t="str">
        <f t="shared" si="1122"/>
        <v>Medium</v>
      </c>
      <c r="I14383">
        <v>3</v>
      </c>
      <c r="J14383" t="str" cm="1">
        <f t="array" ref="J14383">_xlfn.IFS(I14383&lt;=3,"small",I14383&lt;=6,"Medium",I14383&lt;=9,"Large")</f>
        <v>small</v>
      </c>
      <c r="K14383" s="36">
        <v>45330</v>
      </c>
      <c r="L14383" s="36">
        <v>45337</v>
      </c>
      <c r="M14383" t="s">
        <v>598</v>
      </c>
      <c r="N14383" t="s">
        <v>599</v>
      </c>
      <c r="O14383" s="37" t="str">
        <f t="shared" si="1123"/>
        <v>Digital Payment</v>
      </c>
      <c r="P14383">
        <v>1185.18</v>
      </c>
      <c r="Q14383" s="37" t="str">
        <f>IF(P14383&gt;500,"High","low")</f>
        <v>High</v>
      </c>
      <c r="R14383" s="37" t="str">
        <f t="shared" si="1124"/>
        <v>Excellent</v>
      </c>
      <c r="S14383" t="s">
        <v>628</v>
      </c>
    </row>
    <row r="14384" spans="1:19" x14ac:dyDescent="0.2">
      <c r="A14384" t="s">
        <v>14995</v>
      </c>
      <c r="B14384" t="s">
        <v>75</v>
      </c>
      <c r="C14384" t="s">
        <v>614</v>
      </c>
      <c r="D14384">
        <v>3881.94</v>
      </c>
      <c r="E14384" s="37" t="str">
        <f t="shared" si="1120"/>
        <v xml:space="preserve"> </v>
      </c>
      <c r="F14384">
        <v>0.35</v>
      </c>
      <c r="G14384" s="37" t="str">
        <f t="shared" si="1121"/>
        <v>Heavy Discount</v>
      </c>
      <c r="H14384" s="37" t="str">
        <f t="shared" si="1122"/>
        <v>Medium</v>
      </c>
      <c r="I14384">
        <v>4</v>
      </c>
      <c r="J14384" t="str" cm="1">
        <f t="array" ref="J14384">_xlfn.IFS(I14384&lt;=3,"small",I14384&lt;=6,"Medium",I14384&lt;=9,"Large")</f>
        <v>Medium</v>
      </c>
      <c r="K14384" s="36">
        <v>45049</v>
      </c>
      <c r="L14384" s="36">
        <v>45056</v>
      </c>
      <c r="M14384" t="s">
        <v>603</v>
      </c>
      <c r="N14384" t="s">
        <v>599</v>
      </c>
      <c r="O14384" s="37" t="str">
        <f t="shared" si="1123"/>
        <v>Digital Payment</v>
      </c>
      <c r="P14384">
        <v>337.9</v>
      </c>
      <c r="Q14384" s="37" t="str">
        <f>IF(P14384&gt;500,"High","low")</f>
        <v>low</v>
      </c>
      <c r="R14384" s="37" t="str">
        <f t="shared" si="1124"/>
        <v>AVERAGE</v>
      </c>
      <c r="S14384" t="s">
        <v>609</v>
      </c>
    </row>
    <row r="14385" spans="1:19" x14ac:dyDescent="0.2">
      <c r="A14385" t="s">
        <v>14996</v>
      </c>
      <c r="B14385" t="s">
        <v>83</v>
      </c>
      <c r="C14385" t="s">
        <v>607</v>
      </c>
      <c r="D14385">
        <v>3845.14</v>
      </c>
      <c r="E14385" s="37" t="str">
        <f t="shared" si="1120"/>
        <v xml:space="preserve"> </v>
      </c>
      <c r="F14385">
        <v>0.06</v>
      </c>
      <c r="G14385" s="37" t="str">
        <f t="shared" si="1121"/>
        <v>Normal Discount</v>
      </c>
      <c r="H14385" s="37" t="str">
        <f t="shared" si="1122"/>
        <v>Low</v>
      </c>
      <c r="I14385">
        <v>7</v>
      </c>
      <c r="J14385" t="str" cm="1">
        <f t="array" ref="J14385">_xlfn.IFS(I14385&lt;=3,"small",I14385&lt;=6,"Medium",I14385&lt;=9,"Large")</f>
        <v>Large</v>
      </c>
      <c r="K14385" s="36">
        <v>45136</v>
      </c>
      <c r="L14385" s="36">
        <v>45140</v>
      </c>
      <c r="M14385" t="s">
        <v>598</v>
      </c>
      <c r="N14385" t="s">
        <v>604</v>
      </c>
      <c r="O14385" s="37" t="str">
        <f t="shared" si="1123"/>
        <v>Digital Payment</v>
      </c>
      <c r="P14385">
        <v>262.98</v>
      </c>
      <c r="Q14385" s="37" t="str">
        <f>IF(P14385&gt;500,"High","low")</f>
        <v>low</v>
      </c>
      <c r="R14385" s="37" t="str">
        <f t="shared" si="1124"/>
        <v>AVERAGE</v>
      </c>
      <c r="S14385" t="s">
        <v>620</v>
      </c>
    </row>
    <row r="14386" spans="1:19" x14ac:dyDescent="0.2">
      <c r="A14386" t="s">
        <v>14997</v>
      </c>
      <c r="B14386" t="s">
        <v>83</v>
      </c>
      <c r="C14386" t="s">
        <v>602</v>
      </c>
      <c r="D14386">
        <v>4568.46</v>
      </c>
      <c r="E14386" s="37" t="str">
        <f t="shared" si="1120"/>
        <v xml:space="preserve"> </v>
      </c>
      <c r="F14386">
        <v>0.18</v>
      </c>
      <c r="G14386" s="37" t="str">
        <f t="shared" si="1121"/>
        <v>Normal Discount</v>
      </c>
      <c r="H14386" s="37" t="str">
        <f t="shared" si="1122"/>
        <v>Low</v>
      </c>
      <c r="I14386">
        <v>3</v>
      </c>
      <c r="J14386" t="str" cm="1">
        <f t="array" ref="J14386">_xlfn.IFS(I14386&lt;=3,"small",I14386&lt;=6,"Medium",I14386&lt;=9,"Large")</f>
        <v>small</v>
      </c>
      <c r="K14386" s="36">
        <v>45125</v>
      </c>
      <c r="L14386" s="36">
        <v>45126</v>
      </c>
      <c r="M14386" t="s">
        <v>612</v>
      </c>
      <c r="N14386" t="s">
        <v>604</v>
      </c>
      <c r="O14386" s="37" t="str">
        <f t="shared" si="1123"/>
        <v>Digital Payment</v>
      </c>
      <c r="P14386">
        <v>325.55</v>
      </c>
      <c r="Q14386" s="37" t="str">
        <f>IF(P14386&gt;500,"High","low")</f>
        <v>low</v>
      </c>
      <c r="R14386" s="37" t="str">
        <f t="shared" si="1124"/>
        <v>AVERAGE</v>
      </c>
      <c r="S14386" t="s">
        <v>615</v>
      </c>
    </row>
    <row r="14387" spans="1:19" x14ac:dyDescent="0.2">
      <c r="A14387" t="s">
        <v>14998</v>
      </c>
      <c r="B14387" t="s">
        <v>75</v>
      </c>
      <c r="C14387" t="s">
        <v>617</v>
      </c>
      <c r="D14387">
        <v>2932.95</v>
      </c>
      <c r="E14387" s="37" t="str">
        <f t="shared" si="1120"/>
        <v xml:space="preserve"> </v>
      </c>
      <c r="F14387">
        <v>0.37</v>
      </c>
      <c r="G14387" s="37" t="str">
        <f t="shared" si="1121"/>
        <v>Heavy Discount</v>
      </c>
      <c r="H14387" s="37" t="str">
        <f t="shared" si="1122"/>
        <v>Medium</v>
      </c>
      <c r="I14387">
        <v>4</v>
      </c>
      <c r="J14387" t="str" cm="1">
        <f t="array" ref="J14387">_xlfn.IFS(I14387&lt;=3,"small",I14387&lt;=6,"Medium",I14387&lt;=9,"Large")</f>
        <v>Medium</v>
      </c>
      <c r="K14387" s="36">
        <v>45243</v>
      </c>
      <c r="L14387" s="36">
        <v>45245</v>
      </c>
      <c r="M14387" t="s">
        <v>598</v>
      </c>
      <c r="N14387" t="s">
        <v>608</v>
      </c>
      <c r="O14387" s="37" t="str">
        <f t="shared" si="1123"/>
        <v>Cash Payment</v>
      </c>
      <c r="P14387">
        <v>480.15</v>
      </c>
      <c r="Q14387" s="37" t="str">
        <f>IF(P14387&gt;500,"High","low")</f>
        <v>low</v>
      </c>
      <c r="R14387" s="37" t="str">
        <f t="shared" si="1124"/>
        <v>AVERAGE</v>
      </c>
      <c r="S14387" t="s">
        <v>609</v>
      </c>
    </row>
    <row r="14388" spans="1:19" x14ac:dyDescent="0.2">
      <c r="A14388" t="s">
        <v>14999</v>
      </c>
      <c r="B14388" t="s">
        <v>75</v>
      </c>
      <c r="C14388" t="s">
        <v>602</v>
      </c>
      <c r="D14388">
        <v>2033.87</v>
      </c>
      <c r="E14388" s="37" t="str">
        <f t="shared" si="1120"/>
        <v xml:space="preserve"> </v>
      </c>
      <c r="F14388">
        <v>0.17</v>
      </c>
      <c r="G14388" s="37" t="str">
        <f t="shared" si="1121"/>
        <v>Normal Discount</v>
      </c>
      <c r="H14388" s="37" t="str">
        <f t="shared" si="1122"/>
        <v>Low</v>
      </c>
      <c r="I14388">
        <v>1</v>
      </c>
      <c r="J14388" t="str" cm="1">
        <f t="array" ref="J14388">_xlfn.IFS(I14388&lt;=3,"small",I14388&lt;=6,"Medium",I14388&lt;=9,"Large")</f>
        <v>small</v>
      </c>
      <c r="K14388" s="36">
        <v>45482</v>
      </c>
      <c r="L14388" s="36">
        <v>45486</v>
      </c>
      <c r="M14388" t="s">
        <v>603</v>
      </c>
      <c r="N14388" t="s">
        <v>599</v>
      </c>
      <c r="O14388" s="37" t="str">
        <f t="shared" si="1123"/>
        <v>Digital Payment</v>
      </c>
      <c r="P14388">
        <v>298.02999999999997</v>
      </c>
      <c r="Q14388" s="37" t="str">
        <f>IF(P14388&gt;500,"High","low")</f>
        <v>low</v>
      </c>
      <c r="R14388" s="37" t="str">
        <f t="shared" si="1124"/>
        <v>AVERAGE</v>
      </c>
      <c r="S14388" t="s">
        <v>615</v>
      </c>
    </row>
    <row r="14389" spans="1:19" x14ac:dyDescent="0.2">
      <c r="A14389" t="s">
        <v>15000</v>
      </c>
      <c r="B14389" t="s">
        <v>67</v>
      </c>
      <c r="C14389" t="s">
        <v>614</v>
      </c>
      <c r="D14389">
        <v>2455.33</v>
      </c>
      <c r="E14389" s="37" t="str">
        <f t="shared" si="1120"/>
        <v xml:space="preserve"> </v>
      </c>
      <c r="F14389">
        <v>0.28000000000000003</v>
      </c>
      <c r="G14389" s="37" t="str">
        <f t="shared" si="1121"/>
        <v>Normal Discount</v>
      </c>
      <c r="H14389" s="37" t="str">
        <f t="shared" si="1122"/>
        <v>Medium</v>
      </c>
      <c r="I14389">
        <v>1</v>
      </c>
      <c r="J14389" t="str" cm="1">
        <f t="array" ref="J14389">_xlfn.IFS(I14389&lt;=3,"small",I14389&lt;=6,"Medium",I14389&lt;=9,"Large")</f>
        <v>small</v>
      </c>
      <c r="K14389" s="36">
        <v>45407</v>
      </c>
      <c r="L14389" s="36">
        <v>45413</v>
      </c>
      <c r="M14389" t="s">
        <v>603</v>
      </c>
      <c r="N14389" t="s">
        <v>604</v>
      </c>
      <c r="O14389" s="37" t="str">
        <f t="shared" si="1123"/>
        <v>Digital Payment</v>
      </c>
      <c r="P14389">
        <v>705.78</v>
      </c>
      <c r="Q14389" s="37" t="str">
        <f>IF(P14389&gt;500,"High","low")</f>
        <v>High</v>
      </c>
      <c r="R14389" s="37" t="str">
        <f t="shared" si="1124"/>
        <v>Good</v>
      </c>
      <c r="S14389" t="s">
        <v>600</v>
      </c>
    </row>
    <row r="14390" spans="1:19" x14ac:dyDescent="0.2">
      <c r="A14390" t="s">
        <v>15001</v>
      </c>
      <c r="B14390" t="s">
        <v>90</v>
      </c>
      <c r="C14390" t="s">
        <v>617</v>
      </c>
      <c r="D14390">
        <v>3908.48</v>
      </c>
      <c r="E14390" s="37" t="str">
        <f t="shared" si="1120"/>
        <v xml:space="preserve"> </v>
      </c>
      <c r="F14390">
        <v>0.48</v>
      </c>
      <c r="G14390" s="37" t="str">
        <f t="shared" si="1121"/>
        <v>Heavy Discount</v>
      </c>
      <c r="H14390" s="37" t="str">
        <f t="shared" si="1122"/>
        <v>High</v>
      </c>
      <c r="I14390">
        <v>3</v>
      </c>
      <c r="J14390" t="str" cm="1">
        <f t="array" ref="J14390">_xlfn.IFS(I14390&lt;=3,"small",I14390&lt;=6,"Medium",I14390&lt;=9,"Large")</f>
        <v>small</v>
      </c>
      <c r="K14390" s="36">
        <v>45105</v>
      </c>
      <c r="L14390" s="36">
        <v>45109</v>
      </c>
      <c r="M14390" t="s">
        <v>598</v>
      </c>
      <c r="N14390" t="s">
        <v>608</v>
      </c>
      <c r="O14390" s="37" t="str">
        <f t="shared" si="1123"/>
        <v>Cash Payment</v>
      </c>
      <c r="P14390">
        <v>613.71</v>
      </c>
      <c r="Q14390" s="37" t="str">
        <f>IF(P14390&gt;500,"High","low")</f>
        <v>High</v>
      </c>
      <c r="R14390" s="37" t="str">
        <f t="shared" si="1124"/>
        <v>Good</v>
      </c>
      <c r="S14390" t="s">
        <v>620</v>
      </c>
    </row>
    <row r="14391" spans="1:19" x14ac:dyDescent="0.2">
      <c r="A14391" t="s">
        <v>15002</v>
      </c>
      <c r="B14391" t="s">
        <v>90</v>
      </c>
      <c r="C14391" t="s">
        <v>614</v>
      </c>
      <c r="D14391">
        <v>3866.78</v>
      </c>
      <c r="E14391" s="37" t="str">
        <f t="shared" si="1120"/>
        <v xml:space="preserve"> </v>
      </c>
      <c r="F14391">
        <v>0.04</v>
      </c>
      <c r="G14391" s="37" t="str">
        <f t="shared" si="1121"/>
        <v>Normal Discount</v>
      </c>
      <c r="H14391" s="37" t="str">
        <f t="shared" si="1122"/>
        <v>Low</v>
      </c>
      <c r="I14391">
        <v>7</v>
      </c>
      <c r="J14391" t="str" cm="1">
        <f t="array" ref="J14391">_xlfn.IFS(I14391&lt;=3,"small",I14391&lt;=6,"Medium",I14391&lt;=9,"Large")</f>
        <v>Large</v>
      </c>
      <c r="K14391" s="36">
        <v>45368</v>
      </c>
      <c r="L14391" s="36">
        <v>45372</v>
      </c>
      <c r="M14391" t="s">
        <v>612</v>
      </c>
      <c r="N14391" t="s">
        <v>608</v>
      </c>
      <c r="O14391" s="37" t="str">
        <f t="shared" si="1123"/>
        <v>Cash Payment</v>
      </c>
      <c r="P14391">
        <v>334.95</v>
      </c>
      <c r="Q14391" s="37" t="str">
        <f>IF(P14391&gt;500,"High","low")</f>
        <v>low</v>
      </c>
      <c r="R14391" s="37" t="str">
        <f t="shared" si="1124"/>
        <v>AVERAGE</v>
      </c>
      <c r="S14391" t="s">
        <v>615</v>
      </c>
    </row>
    <row r="14392" spans="1:19" x14ac:dyDescent="0.2">
      <c r="A14392" t="s">
        <v>15003</v>
      </c>
      <c r="B14392" t="s">
        <v>90</v>
      </c>
      <c r="C14392" t="s">
        <v>614</v>
      </c>
      <c r="D14392">
        <v>3086.97</v>
      </c>
      <c r="E14392" s="37" t="str">
        <f t="shared" si="1120"/>
        <v xml:space="preserve"> </v>
      </c>
      <c r="F14392">
        <v>0.1</v>
      </c>
      <c r="G14392" s="37" t="str">
        <f t="shared" si="1121"/>
        <v>Normal Discount</v>
      </c>
      <c r="H14392" s="37" t="str">
        <f t="shared" si="1122"/>
        <v>Low</v>
      </c>
      <c r="I14392">
        <v>6</v>
      </c>
      <c r="J14392" t="str" cm="1">
        <f t="array" ref="J14392">_xlfn.IFS(I14392&lt;=3,"small",I14392&lt;=6,"Medium",I14392&lt;=9,"Large")</f>
        <v>Medium</v>
      </c>
      <c r="K14392" s="36">
        <v>45385</v>
      </c>
      <c r="L14392" s="36">
        <v>45391</v>
      </c>
      <c r="M14392" t="s">
        <v>598</v>
      </c>
      <c r="N14392" t="s">
        <v>604</v>
      </c>
      <c r="O14392" s="37" t="str">
        <f t="shared" si="1123"/>
        <v>Digital Payment</v>
      </c>
      <c r="P14392">
        <v>281.27999999999997</v>
      </c>
      <c r="Q14392" s="37" t="str">
        <f>IF(P14392&gt;500,"High","low")</f>
        <v>low</v>
      </c>
      <c r="R14392" s="37" t="str">
        <f t="shared" si="1124"/>
        <v>AVERAGE</v>
      </c>
      <c r="S14392" t="s">
        <v>628</v>
      </c>
    </row>
    <row r="14393" spans="1:19" x14ac:dyDescent="0.2">
      <c r="A14393" t="s">
        <v>15004</v>
      </c>
      <c r="B14393" t="s">
        <v>67</v>
      </c>
      <c r="C14393" t="s">
        <v>597</v>
      </c>
      <c r="D14393">
        <v>1168.5899999999999</v>
      </c>
      <c r="E14393" s="37" t="str">
        <f t="shared" si="1120"/>
        <v xml:space="preserve"> </v>
      </c>
      <c r="F14393">
        <v>0.24</v>
      </c>
      <c r="G14393" s="37" t="str">
        <f t="shared" si="1121"/>
        <v>Normal Discount</v>
      </c>
      <c r="H14393" s="37" t="str">
        <f t="shared" si="1122"/>
        <v>Medium</v>
      </c>
      <c r="I14393">
        <v>5</v>
      </c>
      <c r="J14393" t="str" cm="1">
        <f t="array" ref="J14393">_xlfn.IFS(I14393&lt;=3,"small",I14393&lt;=6,"Medium",I14393&lt;=9,"Large")</f>
        <v>Medium</v>
      </c>
      <c r="K14393" s="36">
        <v>45043</v>
      </c>
      <c r="L14393" s="36">
        <v>45049</v>
      </c>
      <c r="M14393" t="s">
        <v>612</v>
      </c>
      <c r="N14393" t="s">
        <v>599</v>
      </c>
      <c r="O14393" s="37" t="str">
        <f t="shared" si="1123"/>
        <v>Digital Payment</v>
      </c>
      <c r="P14393">
        <v>157.4</v>
      </c>
      <c r="Q14393" s="37" t="str">
        <f>IF(P14393&gt;500,"High","low")</f>
        <v>low</v>
      </c>
      <c r="R14393" s="37" t="str">
        <f t="shared" si="1124"/>
        <v>AVERAGE</v>
      </c>
      <c r="S14393" t="s">
        <v>628</v>
      </c>
    </row>
    <row r="14394" spans="1:19" x14ac:dyDescent="0.2">
      <c r="A14394" t="s">
        <v>15005</v>
      </c>
      <c r="B14394" t="s">
        <v>75</v>
      </c>
      <c r="C14394" t="s">
        <v>614</v>
      </c>
      <c r="D14394">
        <v>4112.53</v>
      </c>
      <c r="E14394" s="37" t="str">
        <f t="shared" si="1120"/>
        <v>Excellent Order</v>
      </c>
      <c r="F14394">
        <v>0.37</v>
      </c>
      <c r="G14394" s="37" t="str">
        <f t="shared" si="1121"/>
        <v>Heavy Discount</v>
      </c>
      <c r="H14394" s="37" t="str">
        <f t="shared" si="1122"/>
        <v>Medium</v>
      </c>
      <c r="I14394">
        <v>8</v>
      </c>
      <c r="J14394" t="str" cm="1">
        <f t="array" ref="J14394">_xlfn.IFS(I14394&lt;=3,"small",I14394&lt;=6,"Medium",I14394&lt;=9,"Large")</f>
        <v>Large</v>
      </c>
      <c r="K14394" s="36">
        <v>45340</v>
      </c>
      <c r="L14394" s="36">
        <v>45343</v>
      </c>
      <c r="M14394" t="s">
        <v>598</v>
      </c>
      <c r="N14394" t="s">
        <v>608</v>
      </c>
      <c r="O14394" s="37" t="str">
        <f t="shared" si="1123"/>
        <v>Cash Payment</v>
      </c>
      <c r="P14394">
        <v>1079.6300000000001</v>
      </c>
      <c r="Q14394" s="37" t="str">
        <f>IF(P14394&gt;500,"High","low")</f>
        <v>High</v>
      </c>
      <c r="R14394" s="37" t="str">
        <f t="shared" si="1124"/>
        <v>Excellent</v>
      </c>
      <c r="S14394" t="s">
        <v>605</v>
      </c>
    </row>
    <row r="14395" spans="1:19" x14ac:dyDescent="0.2">
      <c r="A14395" t="s">
        <v>15006</v>
      </c>
      <c r="B14395" t="s">
        <v>75</v>
      </c>
      <c r="C14395" t="s">
        <v>607</v>
      </c>
      <c r="D14395">
        <v>3271.48</v>
      </c>
      <c r="E14395" s="37" t="str">
        <f t="shared" si="1120"/>
        <v xml:space="preserve"> </v>
      </c>
      <c r="F14395">
        <v>0.17</v>
      </c>
      <c r="G14395" s="37" t="str">
        <f t="shared" si="1121"/>
        <v>Normal Discount</v>
      </c>
      <c r="H14395" s="37" t="str">
        <f t="shared" si="1122"/>
        <v>Low</v>
      </c>
      <c r="I14395">
        <v>8</v>
      </c>
      <c r="J14395" t="str" cm="1">
        <f t="array" ref="J14395">_xlfn.IFS(I14395&lt;=3,"small",I14395&lt;=6,"Medium",I14395&lt;=9,"Large")</f>
        <v>Large</v>
      </c>
      <c r="K14395" s="36">
        <v>45419</v>
      </c>
      <c r="L14395" s="36">
        <v>45425</v>
      </c>
      <c r="M14395" t="s">
        <v>603</v>
      </c>
      <c r="N14395" t="s">
        <v>608</v>
      </c>
      <c r="O14395" s="37" t="str">
        <f t="shared" si="1123"/>
        <v>Cash Payment</v>
      </c>
      <c r="P14395">
        <v>727.95</v>
      </c>
      <c r="Q14395" s="37" t="str">
        <f>IF(P14395&gt;500,"High","low")</f>
        <v>High</v>
      </c>
      <c r="R14395" s="37" t="str">
        <f t="shared" si="1124"/>
        <v>Good</v>
      </c>
      <c r="S14395" t="s">
        <v>620</v>
      </c>
    </row>
    <row r="14396" spans="1:19" x14ac:dyDescent="0.2">
      <c r="A14396" t="s">
        <v>15007</v>
      </c>
      <c r="B14396" t="s">
        <v>90</v>
      </c>
      <c r="C14396" t="s">
        <v>614</v>
      </c>
      <c r="D14396">
        <v>1184.18</v>
      </c>
      <c r="E14396" s="37" t="str">
        <f t="shared" si="1120"/>
        <v xml:space="preserve"> </v>
      </c>
      <c r="F14396">
        <v>0.06</v>
      </c>
      <c r="G14396" s="37" t="str">
        <f t="shared" si="1121"/>
        <v>Normal Discount</v>
      </c>
      <c r="H14396" s="37" t="str">
        <f t="shared" si="1122"/>
        <v>Low</v>
      </c>
      <c r="I14396">
        <v>4</v>
      </c>
      <c r="J14396" t="str" cm="1">
        <f t="array" ref="J14396">_xlfn.IFS(I14396&lt;=3,"small",I14396&lt;=6,"Medium",I14396&lt;=9,"Large")</f>
        <v>Medium</v>
      </c>
      <c r="K14396" s="36">
        <v>45266</v>
      </c>
      <c r="L14396" s="36">
        <v>45273</v>
      </c>
      <c r="M14396" t="s">
        <v>612</v>
      </c>
      <c r="N14396" t="s">
        <v>608</v>
      </c>
      <c r="O14396" s="37" t="str">
        <f t="shared" si="1123"/>
        <v>Cash Payment</v>
      </c>
      <c r="P14396">
        <v>287.08</v>
      </c>
      <c r="Q14396" s="37" t="str">
        <f>IF(P14396&gt;500,"High","low")</f>
        <v>low</v>
      </c>
      <c r="R14396" s="37" t="str">
        <f t="shared" si="1124"/>
        <v>AVERAGE</v>
      </c>
      <c r="S14396" t="s">
        <v>600</v>
      </c>
    </row>
    <row r="14397" spans="1:19" x14ac:dyDescent="0.2">
      <c r="A14397" t="s">
        <v>15008</v>
      </c>
      <c r="B14397" t="s">
        <v>90</v>
      </c>
      <c r="C14397" t="s">
        <v>617</v>
      </c>
      <c r="D14397">
        <v>2455.16</v>
      </c>
      <c r="E14397" s="37" t="str">
        <f t="shared" si="1120"/>
        <v xml:space="preserve"> </v>
      </c>
      <c r="F14397">
        <v>0.16</v>
      </c>
      <c r="G14397" s="37" t="str">
        <f t="shared" si="1121"/>
        <v>Normal Discount</v>
      </c>
      <c r="H14397" s="37" t="str">
        <f t="shared" si="1122"/>
        <v>Low</v>
      </c>
      <c r="I14397">
        <v>6</v>
      </c>
      <c r="J14397" t="str" cm="1">
        <f t="array" ref="J14397">_xlfn.IFS(I14397&lt;=3,"small",I14397&lt;=6,"Medium",I14397&lt;=9,"Large")</f>
        <v>Medium</v>
      </c>
      <c r="K14397" s="36">
        <v>45539</v>
      </c>
      <c r="L14397" s="36">
        <v>45543</v>
      </c>
      <c r="M14397" t="s">
        <v>612</v>
      </c>
      <c r="N14397" t="s">
        <v>608</v>
      </c>
      <c r="O14397" s="37" t="str">
        <f t="shared" si="1123"/>
        <v>Cash Payment</v>
      </c>
      <c r="P14397">
        <v>315.82</v>
      </c>
      <c r="Q14397" s="37" t="str">
        <f>IF(P14397&gt;500,"High","low")</f>
        <v>low</v>
      </c>
      <c r="R14397" s="37" t="str">
        <f t="shared" si="1124"/>
        <v>AVERAGE</v>
      </c>
      <c r="S14397" t="s">
        <v>609</v>
      </c>
    </row>
    <row r="14398" spans="1:19" x14ac:dyDescent="0.2">
      <c r="A14398" t="s">
        <v>15009</v>
      </c>
      <c r="B14398" t="s">
        <v>67</v>
      </c>
      <c r="C14398" t="s">
        <v>607</v>
      </c>
      <c r="D14398">
        <v>4986.3100000000004</v>
      </c>
      <c r="E14398" s="37" t="str">
        <f t="shared" si="1120"/>
        <v>Excellent Order</v>
      </c>
      <c r="F14398">
        <v>0.32</v>
      </c>
      <c r="G14398" s="37" t="str">
        <f t="shared" si="1121"/>
        <v>Heavy Discount</v>
      </c>
      <c r="H14398" s="37" t="str">
        <f t="shared" si="1122"/>
        <v>Medium</v>
      </c>
      <c r="I14398">
        <v>1</v>
      </c>
      <c r="J14398" t="str" cm="1">
        <f t="array" ref="J14398">_xlfn.IFS(I14398&lt;=3,"small",I14398&lt;=6,"Medium",I14398&lt;=9,"Large")</f>
        <v>small</v>
      </c>
      <c r="K14398" s="36">
        <v>45448</v>
      </c>
      <c r="L14398" s="36">
        <v>45449</v>
      </c>
      <c r="M14398" t="s">
        <v>612</v>
      </c>
      <c r="N14398" t="s">
        <v>608</v>
      </c>
      <c r="O14398" s="37" t="str">
        <f t="shared" si="1123"/>
        <v>Cash Payment</v>
      </c>
      <c r="P14398">
        <v>875.75</v>
      </c>
      <c r="Q14398" s="37" t="str">
        <f>IF(P14398&gt;500,"High","low")</f>
        <v>High</v>
      </c>
      <c r="R14398" s="37" t="str">
        <f t="shared" si="1124"/>
        <v>Good</v>
      </c>
      <c r="S14398" t="s">
        <v>615</v>
      </c>
    </row>
    <row r="14399" spans="1:19" x14ac:dyDescent="0.2">
      <c r="A14399" t="s">
        <v>15010</v>
      </c>
      <c r="B14399" t="s">
        <v>83</v>
      </c>
      <c r="C14399" t="s">
        <v>614</v>
      </c>
      <c r="D14399">
        <v>1709.06</v>
      </c>
      <c r="E14399" s="37" t="str">
        <f t="shared" si="1120"/>
        <v xml:space="preserve"> </v>
      </c>
      <c r="F14399">
        <v>0.4</v>
      </c>
      <c r="G14399" s="37" t="str">
        <f t="shared" si="1121"/>
        <v>Heavy Discount</v>
      </c>
      <c r="H14399" s="37" t="str">
        <f t="shared" si="1122"/>
        <v>Medium</v>
      </c>
      <c r="I14399">
        <v>9</v>
      </c>
      <c r="J14399" t="str" cm="1">
        <f t="array" ref="J14399">_xlfn.IFS(I14399&lt;=3,"small",I14399&lt;=6,"Medium",I14399&lt;=9,"Large")</f>
        <v>Large</v>
      </c>
      <c r="K14399" s="36">
        <v>45328</v>
      </c>
      <c r="L14399" s="36">
        <v>45333</v>
      </c>
      <c r="M14399" t="s">
        <v>603</v>
      </c>
      <c r="N14399" t="s">
        <v>604</v>
      </c>
      <c r="O14399" s="37" t="str">
        <f t="shared" si="1123"/>
        <v>Digital Payment</v>
      </c>
      <c r="P14399">
        <v>469.32</v>
      </c>
      <c r="Q14399" s="37" t="str">
        <f>IF(P14399&gt;500,"High","low")</f>
        <v>low</v>
      </c>
      <c r="R14399" s="37" t="str">
        <f t="shared" si="1124"/>
        <v>AVERAGE</v>
      </c>
      <c r="S14399" t="s">
        <v>628</v>
      </c>
    </row>
    <row r="14400" spans="1:19" x14ac:dyDescent="0.2">
      <c r="A14400" t="s">
        <v>15011</v>
      </c>
      <c r="B14400" t="s">
        <v>83</v>
      </c>
      <c r="C14400" t="s">
        <v>607</v>
      </c>
      <c r="D14400">
        <v>671.15</v>
      </c>
      <c r="E14400" s="37" t="str">
        <f t="shared" si="1120"/>
        <v xml:space="preserve"> </v>
      </c>
      <c r="F14400">
        <v>0.49</v>
      </c>
      <c r="G14400" s="37" t="str">
        <f t="shared" si="1121"/>
        <v>Heavy Discount</v>
      </c>
      <c r="H14400" s="37" t="str">
        <f t="shared" si="1122"/>
        <v>High</v>
      </c>
      <c r="I14400">
        <v>5</v>
      </c>
      <c r="J14400" t="str" cm="1">
        <f t="array" ref="J14400">_xlfn.IFS(I14400&lt;=3,"small",I14400&lt;=6,"Medium",I14400&lt;=9,"Large")</f>
        <v>Medium</v>
      </c>
      <c r="K14400" s="36">
        <v>45306</v>
      </c>
      <c r="L14400" s="36">
        <v>45307</v>
      </c>
      <c r="M14400" t="s">
        <v>603</v>
      </c>
      <c r="N14400" t="s">
        <v>608</v>
      </c>
      <c r="O14400" s="37" t="str">
        <f t="shared" si="1123"/>
        <v>Cash Payment</v>
      </c>
      <c r="P14400">
        <v>146.96</v>
      </c>
      <c r="Q14400" s="37" t="str">
        <f>IF(P14400&gt;500,"High","low")</f>
        <v>low</v>
      </c>
      <c r="R14400" s="37" t="str">
        <f t="shared" si="1124"/>
        <v>AVERAGE</v>
      </c>
      <c r="S14400" t="s">
        <v>615</v>
      </c>
    </row>
    <row r="14401" spans="1:19" x14ac:dyDescent="0.2">
      <c r="A14401" t="s">
        <v>15012</v>
      </c>
      <c r="B14401" t="s">
        <v>90</v>
      </c>
      <c r="C14401" t="s">
        <v>614</v>
      </c>
      <c r="D14401">
        <v>206.17</v>
      </c>
      <c r="E14401" s="37" t="str">
        <f t="shared" si="1120"/>
        <v xml:space="preserve"> </v>
      </c>
      <c r="F14401">
        <v>0.38</v>
      </c>
      <c r="G14401" s="37" t="str">
        <f t="shared" si="1121"/>
        <v>Heavy Discount</v>
      </c>
      <c r="H14401" s="37" t="str">
        <f t="shared" si="1122"/>
        <v>Medium</v>
      </c>
      <c r="I14401">
        <v>8</v>
      </c>
      <c r="J14401" t="str" cm="1">
        <f t="array" ref="J14401">_xlfn.IFS(I14401&lt;=3,"small",I14401&lt;=6,"Medium",I14401&lt;=9,"Large")</f>
        <v>Large</v>
      </c>
      <c r="K14401" s="36">
        <v>45207</v>
      </c>
      <c r="L14401" s="36">
        <v>45211</v>
      </c>
      <c r="M14401" t="s">
        <v>603</v>
      </c>
      <c r="N14401" t="s">
        <v>599</v>
      </c>
      <c r="O14401" s="37" t="str">
        <f t="shared" si="1123"/>
        <v>Digital Payment</v>
      </c>
      <c r="P14401">
        <v>46.52</v>
      </c>
      <c r="Q14401" s="37" t="str">
        <f>IF(P14401&gt;500,"High","low")</f>
        <v>low</v>
      </c>
      <c r="R14401" s="37" t="str">
        <f t="shared" si="1124"/>
        <v>AVERAGE</v>
      </c>
      <c r="S14401" t="s">
        <v>628</v>
      </c>
    </row>
    <row r="14402" spans="1:19" x14ac:dyDescent="0.2">
      <c r="A14402" t="s">
        <v>15013</v>
      </c>
      <c r="B14402" t="s">
        <v>67</v>
      </c>
      <c r="C14402" t="s">
        <v>607</v>
      </c>
      <c r="D14402">
        <v>1004.7</v>
      </c>
      <c r="E14402" s="37" t="str">
        <f t="shared" si="1120"/>
        <v xml:space="preserve"> </v>
      </c>
      <c r="F14402">
        <v>0.25</v>
      </c>
      <c r="G14402" s="37" t="str">
        <f t="shared" si="1121"/>
        <v>Normal Discount</v>
      </c>
      <c r="H14402" s="37" t="str">
        <f t="shared" si="1122"/>
        <v>Medium</v>
      </c>
      <c r="I14402">
        <v>1</v>
      </c>
      <c r="J14402" t="str" cm="1">
        <f t="array" ref="J14402">_xlfn.IFS(I14402&lt;=3,"small",I14402&lt;=6,"Medium",I14402&lt;=9,"Large")</f>
        <v>small</v>
      </c>
      <c r="K14402" s="36">
        <v>45406</v>
      </c>
      <c r="L14402" s="36">
        <v>45408</v>
      </c>
      <c r="M14402" t="s">
        <v>598</v>
      </c>
      <c r="N14402" t="s">
        <v>599</v>
      </c>
      <c r="O14402" s="37" t="str">
        <f t="shared" si="1123"/>
        <v>Digital Payment</v>
      </c>
      <c r="P14402">
        <v>86.42</v>
      </c>
      <c r="Q14402" s="37" t="str">
        <f>IF(P14402&gt;500,"High","low")</f>
        <v>low</v>
      </c>
      <c r="R14402" s="37" t="str">
        <f t="shared" si="1124"/>
        <v>AVERAGE</v>
      </c>
      <c r="S14402" t="s">
        <v>628</v>
      </c>
    </row>
    <row r="14403" spans="1:19" x14ac:dyDescent="0.2">
      <c r="A14403" t="s">
        <v>15014</v>
      </c>
      <c r="B14403" t="s">
        <v>90</v>
      </c>
      <c r="C14403" t="s">
        <v>602</v>
      </c>
      <c r="D14403">
        <v>1016.13</v>
      </c>
      <c r="E14403" s="37" t="str">
        <f t="shared" ref="E14403:E14466" si="1125">IF(AND(D14403&gt;4000,P14403&gt;800),"Excellent Order"," ")</f>
        <v xml:space="preserve"> </v>
      </c>
      <c r="F14403">
        <v>0.15</v>
      </c>
      <c r="G14403" s="37" t="str">
        <f t="shared" ref="G14403:G14466" si="1126">IF(F14403&gt;30%,"Heavy Discount","Normal Discount")</f>
        <v>Normal Discount</v>
      </c>
      <c r="H14403" s="37" t="str">
        <f t="shared" ref="H14403:H14466" si="1127">IF(F14403&gt;0.4,"High",IF(F14403&gt;=0.2,"Medium","Low"))</f>
        <v>Low</v>
      </c>
      <c r="I14403">
        <v>4</v>
      </c>
      <c r="J14403" t="str" cm="1">
        <f t="array" ref="J14403">_xlfn.IFS(I14403&lt;=3,"small",I14403&lt;=6,"Medium",I14403&lt;=9,"Large")</f>
        <v>Medium</v>
      </c>
      <c r="K14403" s="36">
        <v>45541</v>
      </c>
      <c r="L14403" s="36">
        <v>45544</v>
      </c>
      <c r="M14403" t="s">
        <v>598</v>
      </c>
      <c r="N14403" t="s">
        <v>608</v>
      </c>
      <c r="O14403" s="37" t="str">
        <f t="shared" ref="O14403:O14466" si="1128">IF(OR(N14403="Card",N14403="UPI"),"Digital Payment","Cash Payment")</f>
        <v>Cash Payment</v>
      </c>
      <c r="P14403">
        <v>213.9</v>
      </c>
      <c r="Q14403" s="37" t="str">
        <f>IF(P14403&gt;500,"High","low")</f>
        <v>low</v>
      </c>
      <c r="R14403" s="37" t="str">
        <f t="shared" ref="R14403:R14466" si="1129">IF(P14403&gt;1000,"Excellent",IF(P14403&gt;=500,"Good","AVERAGE"))</f>
        <v>AVERAGE</v>
      </c>
      <c r="S14403" t="s">
        <v>615</v>
      </c>
    </row>
    <row r="14404" spans="1:19" x14ac:dyDescent="0.2">
      <c r="A14404" t="s">
        <v>15015</v>
      </c>
      <c r="B14404" t="s">
        <v>83</v>
      </c>
      <c r="C14404" t="s">
        <v>597</v>
      </c>
      <c r="D14404">
        <v>4304.54</v>
      </c>
      <c r="E14404" s="37" t="str">
        <f t="shared" si="1125"/>
        <v>Excellent Order</v>
      </c>
      <c r="F14404">
        <v>0.46</v>
      </c>
      <c r="G14404" s="37" t="str">
        <f t="shared" si="1126"/>
        <v>Heavy Discount</v>
      </c>
      <c r="H14404" s="37" t="str">
        <f t="shared" si="1127"/>
        <v>High</v>
      </c>
      <c r="I14404">
        <v>2</v>
      </c>
      <c r="J14404" t="str" cm="1">
        <f t="array" ref="J14404">_xlfn.IFS(I14404&lt;=3,"small",I14404&lt;=6,"Medium",I14404&lt;=9,"Large")</f>
        <v>small</v>
      </c>
      <c r="K14404" s="36">
        <v>45088</v>
      </c>
      <c r="L14404" s="36">
        <v>45091</v>
      </c>
      <c r="M14404" t="s">
        <v>598</v>
      </c>
      <c r="N14404" t="s">
        <v>608</v>
      </c>
      <c r="O14404" s="37" t="str">
        <f t="shared" si="1128"/>
        <v>Cash Payment</v>
      </c>
      <c r="P14404">
        <v>895.23</v>
      </c>
      <c r="Q14404" s="37" t="str">
        <f>IF(P14404&gt;500,"High","low")</f>
        <v>High</v>
      </c>
      <c r="R14404" s="37" t="str">
        <f t="shared" si="1129"/>
        <v>Good</v>
      </c>
      <c r="S14404" t="s">
        <v>605</v>
      </c>
    </row>
    <row r="14405" spans="1:19" x14ac:dyDescent="0.2">
      <c r="A14405" t="s">
        <v>15016</v>
      </c>
      <c r="B14405" t="s">
        <v>90</v>
      </c>
      <c r="C14405" t="s">
        <v>607</v>
      </c>
      <c r="D14405">
        <v>865.16</v>
      </c>
      <c r="E14405" s="37" t="str">
        <f t="shared" si="1125"/>
        <v xml:space="preserve"> </v>
      </c>
      <c r="F14405">
        <v>0.27</v>
      </c>
      <c r="G14405" s="37" t="str">
        <f t="shared" si="1126"/>
        <v>Normal Discount</v>
      </c>
      <c r="H14405" s="37" t="str">
        <f t="shared" si="1127"/>
        <v>Medium</v>
      </c>
      <c r="I14405">
        <v>2</v>
      </c>
      <c r="J14405" t="str" cm="1">
        <f t="array" ref="J14405">_xlfn.IFS(I14405&lt;=3,"small",I14405&lt;=6,"Medium",I14405&lt;=9,"Large")</f>
        <v>small</v>
      </c>
      <c r="K14405" s="36">
        <v>44970</v>
      </c>
      <c r="L14405" s="36">
        <v>44976</v>
      </c>
      <c r="M14405" t="s">
        <v>612</v>
      </c>
      <c r="N14405" t="s">
        <v>608</v>
      </c>
      <c r="O14405" s="37" t="str">
        <f t="shared" si="1128"/>
        <v>Cash Payment</v>
      </c>
      <c r="P14405">
        <v>208.93</v>
      </c>
      <c r="Q14405" s="37" t="str">
        <f>IF(P14405&gt;500,"High","low")</f>
        <v>low</v>
      </c>
      <c r="R14405" s="37" t="str">
        <f t="shared" si="1129"/>
        <v>AVERAGE</v>
      </c>
      <c r="S14405" t="s">
        <v>620</v>
      </c>
    </row>
    <row r="14406" spans="1:19" x14ac:dyDescent="0.2">
      <c r="A14406" t="s">
        <v>15017</v>
      </c>
      <c r="B14406" t="s">
        <v>83</v>
      </c>
      <c r="C14406" t="s">
        <v>617</v>
      </c>
      <c r="D14406">
        <v>4326.99</v>
      </c>
      <c r="E14406" s="37" t="str">
        <f t="shared" si="1125"/>
        <v>Excellent Order</v>
      </c>
      <c r="F14406">
        <v>0.34</v>
      </c>
      <c r="G14406" s="37" t="str">
        <f t="shared" si="1126"/>
        <v>Heavy Discount</v>
      </c>
      <c r="H14406" s="37" t="str">
        <f t="shared" si="1127"/>
        <v>Medium</v>
      </c>
      <c r="I14406">
        <v>2</v>
      </c>
      <c r="J14406" t="str" cm="1">
        <f t="array" ref="J14406">_xlfn.IFS(I14406&lt;=3,"small",I14406&lt;=6,"Medium",I14406&lt;=9,"Large")</f>
        <v>small</v>
      </c>
      <c r="K14406" s="36">
        <v>45172</v>
      </c>
      <c r="L14406" s="36">
        <v>45175</v>
      </c>
      <c r="M14406" t="s">
        <v>612</v>
      </c>
      <c r="N14406" t="s">
        <v>604</v>
      </c>
      <c r="O14406" s="37" t="str">
        <f t="shared" si="1128"/>
        <v>Digital Payment</v>
      </c>
      <c r="P14406">
        <v>938.09</v>
      </c>
      <c r="Q14406" s="37" t="str">
        <f>IF(P14406&gt;500,"High","low")</f>
        <v>High</v>
      </c>
      <c r="R14406" s="37" t="str">
        <f t="shared" si="1129"/>
        <v>Good</v>
      </c>
      <c r="S14406" t="s">
        <v>620</v>
      </c>
    </row>
    <row r="14407" spans="1:19" x14ac:dyDescent="0.2">
      <c r="A14407" t="s">
        <v>15018</v>
      </c>
      <c r="B14407" t="s">
        <v>83</v>
      </c>
      <c r="C14407" t="s">
        <v>597</v>
      </c>
      <c r="D14407">
        <v>524.91</v>
      </c>
      <c r="E14407" s="37" t="str">
        <f t="shared" si="1125"/>
        <v xml:space="preserve"> </v>
      </c>
      <c r="F14407">
        <v>0.24</v>
      </c>
      <c r="G14407" s="37" t="str">
        <f t="shared" si="1126"/>
        <v>Normal Discount</v>
      </c>
      <c r="H14407" s="37" t="str">
        <f t="shared" si="1127"/>
        <v>Medium</v>
      </c>
      <c r="I14407">
        <v>2</v>
      </c>
      <c r="J14407" t="str" cm="1">
        <f t="array" ref="J14407">_xlfn.IFS(I14407&lt;=3,"small",I14407&lt;=6,"Medium",I14407&lt;=9,"Large")</f>
        <v>small</v>
      </c>
      <c r="K14407" s="36">
        <v>45405</v>
      </c>
      <c r="L14407" s="36">
        <v>45411</v>
      </c>
      <c r="M14407" t="s">
        <v>612</v>
      </c>
      <c r="N14407" t="s">
        <v>608</v>
      </c>
      <c r="O14407" s="37" t="str">
        <f t="shared" si="1128"/>
        <v>Cash Payment</v>
      </c>
      <c r="P14407">
        <v>118.78</v>
      </c>
      <c r="Q14407" s="37" t="str">
        <f>IF(P14407&gt;500,"High","low")</f>
        <v>low</v>
      </c>
      <c r="R14407" s="37" t="str">
        <f t="shared" si="1129"/>
        <v>AVERAGE</v>
      </c>
      <c r="S14407" t="s">
        <v>615</v>
      </c>
    </row>
    <row r="14408" spans="1:19" x14ac:dyDescent="0.2">
      <c r="A14408" t="s">
        <v>15019</v>
      </c>
      <c r="B14408" t="s">
        <v>83</v>
      </c>
      <c r="C14408" t="s">
        <v>597</v>
      </c>
      <c r="D14408">
        <v>4542.5600000000004</v>
      </c>
      <c r="E14408" s="37" t="str">
        <f t="shared" si="1125"/>
        <v>Excellent Order</v>
      </c>
      <c r="F14408">
        <v>0.12</v>
      </c>
      <c r="G14408" s="37" t="str">
        <f t="shared" si="1126"/>
        <v>Normal Discount</v>
      </c>
      <c r="H14408" s="37" t="str">
        <f t="shared" si="1127"/>
        <v>Low</v>
      </c>
      <c r="I14408">
        <v>8</v>
      </c>
      <c r="J14408" t="str" cm="1">
        <f t="array" ref="J14408">_xlfn.IFS(I14408&lt;=3,"small",I14408&lt;=6,"Medium",I14408&lt;=9,"Large")</f>
        <v>Large</v>
      </c>
      <c r="K14408" s="36">
        <v>45402</v>
      </c>
      <c r="L14408" s="36">
        <v>45404</v>
      </c>
      <c r="M14408" t="s">
        <v>612</v>
      </c>
      <c r="N14408" t="s">
        <v>604</v>
      </c>
      <c r="O14408" s="37" t="str">
        <f t="shared" si="1128"/>
        <v>Digital Payment</v>
      </c>
      <c r="P14408">
        <v>1142.98</v>
      </c>
      <c r="Q14408" s="37" t="str">
        <f>IF(P14408&gt;500,"High","low")</f>
        <v>High</v>
      </c>
      <c r="R14408" s="37" t="str">
        <f t="shared" si="1129"/>
        <v>Excellent</v>
      </c>
      <c r="S14408" t="s">
        <v>609</v>
      </c>
    </row>
    <row r="14409" spans="1:19" x14ac:dyDescent="0.2">
      <c r="A14409" t="s">
        <v>15020</v>
      </c>
      <c r="B14409" t="s">
        <v>75</v>
      </c>
      <c r="C14409" t="s">
        <v>614</v>
      </c>
      <c r="D14409">
        <v>1356.13</v>
      </c>
      <c r="E14409" s="37" t="str">
        <f t="shared" si="1125"/>
        <v xml:space="preserve"> </v>
      </c>
      <c r="F14409">
        <v>0.27</v>
      </c>
      <c r="G14409" s="37" t="str">
        <f t="shared" si="1126"/>
        <v>Normal Discount</v>
      </c>
      <c r="H14409" s="37" t="str">
        <f t="shared" si="1127"/>
        <v>Medium</v>
      </c>
      <c r="I14409">
        <v>6</v>
      </c>
      <c r="J14409" t="str" cm="1">
        <f t="array" ref="J14409">_xlfn.IFS(I14409&lt;=3,"small",I14409&lt;=6,"Medium",I14409&lt;=9,"Large")</f>
        <v>Medium</v>
      </c>
      <c r="K14409" s="36">
        <v>45528</v>
      </c>
      <c r="L14409" s="36">
        <v>45530</v>
      </c>
      <c r="M14409" t="s">
        <v>603</v>
      </c>
      <c r="N14409" t="s">
        <v>608</v>
      </c>
      <c r="O14409" s="37" t="str">
        <f t="shared" si="1128"/>
        <v>Cash Payment</v>
      </c>
      <c r="P14409">
        <v>323.88</v>
      </c>
      <c r="Q14409" s="37" t="str">
        <f>IF(P14409&gt;500,"High","low")</f>
        <v>low</v>
      </c>
      <c r="R14409" s="37" t="str">
        <f t="shared" si="1129"/>
        <v>AVERAGE</v>
      </c>
      <c r="S14409" t="s">
        <v>600</v>
      </c>
    </row>
    <row r="14410" spans="1:19" x14ac:dyDescent="0.2">
      <c r="A14410" t="s">
        <v>15021</v>
      </c>
      <c r="B14410" t="s">
        <v>75</v>
      </c>
      <c r="C14410" t="s">
        <v>607</v>
      </c>
      <c r="D14410">
        <v>3096.34</v>
      </c>
      <c r="E14410" s="37" t="str">
        <f t="shared" si="1125"/>
        <v xml:space="preserve"> </v>
      </c>
      <c r="F14410">
        <v>0.42</v>
      </c>
      <c r="G14410" s="37" t="str">
        <f t="shared" si="1126"/>
        <v>Heavy Discount</v>
      </c>
      <c r="H14410" s="37" t="str">
        <f t="shared" si="1127"/>
        <v>High</v>
      </c>
      <c r="I14410">
        <v>9</v>
      </c>
      <c r="J14410" t="str" cm="1">
        <f t="array" ref="J14410">_xlfn.IFS(I14410&lt;=3,"small",I14410&lt;=6,"Medium",I14410&lt;=9,"Large")</f>
        <v>Large</v>
      </c>
      <c r="K14410" s="36">
        <v>45122</v>
      </c>
      <c r="L14410" s="36">
        <v>45129</v>
      </c>
      <c r="M14410" t="s">
        <v>612</v>
      </c>
      <c r="N14410" t="s">
        <v>604</v>
      </c>
      <c r="O14410" s="37" t="str">
        <f t="shared" si="1128"/>
        <v>Digital Payment</v>
      </c>
      <c r="P14410">
        <v>685.1</v>
      </c>
      <c r="Q14410" s="37" t="str">
        <f>IF(P14410&gt;500,"High","low")</f>
        <v>High</v>
      </c>
      <c r="R14410" s="37" t="str">
        <f t="shared" si="1129"/>
        <v>Good</v>
      </c>
      <c r="S14410" t="s">
        <v>605</v>
      </c>
    </row>
    <row r="14411" spans="1:19" x14ac:dyDescent="0.2">
      <c r="A14411" t="s">
        <v>15022</v>
      </c>
      <c r="B14411" t="s">
        <v>90</v>
      </c>
      <c r="C14411" t="s">
        <v>597</v>
      </c>
      <c r="D14411">
        <v>882.66</v>
      </c>
      <c r="E14411" s="37" t="str">
        <f t="shared" si="1125"/>
        <v xml:space="preserve"> </v>
      </c>
      <c r="F14411">
        <v>0.19</v>
      </c>
      <c r="G14411" s="37" t="str">
        <f t="shared" si="1126"/>
        <v>Normal Discount</v>
      </c>
      <c r="H14411" s="37" t="str">
        <f t="shared" si="1127"/>
        <v>Low</v>
      </c>
      <c r="I14411">
        <v>2</v>
      </c>
      <c r="J14411" t="str" cm="1">
        <f t="array" ref="J14411">_xlfn.IFS(I14411&lt;=3,"small",I14411&lt;=6,"Medium",I14411&lt;=9,"Large")</f>
        <v>small</v>
      </c>
      <c r="K14411" s="36">
        <v>45097</v>
      </c>
      <c r="L14411" s="36">
        <v>45099</v>
      </c>
      <c r="M14411" t="s">
        <v>598</v>
      </c>
      <c r="N14411" t="s">
        <v>604</v>
      </c>
      <c r="O14411" s="37" t="str">
        <f t="shared" si="1128"/>
        <v>Digital Payment</v>
      </c>
      <c r="P14411">
        <v>136.34</v>
      </c>
      <c r="Q14411" s="37" t="str">
        <f>IF(P14411&gt;500,"High","low")</f>
        <v>low</v>
      </c>
      <c r="R14411" s="37" t="str">
        <f t="shared" si="1129"/>
        <v>AVERAGE</v>
      </c>
      <c r="S14411" t="s">
        <v>620</v>
      </c>
    </row>
    <row r="14412" spans="1:19" x14ac:dyDescent="0.2">
      <c r="A14412" t="s">
        <v>15023</v>
      </c>
      <c r="B14412" t="s">
        <v>83</v>
      </c>
      <c r="C14412" t="s">
        <v>617</v>
      </c>
      <c r="D14412">
        <v>2011.27</v>
      </c>
      <c r="E14412" s="37" t="str">
        <f t="shared" si="1125"/>
        <v xml:space="preserve"> </v>
      </c>
      <c r="F14412">
        <v>0.33</v>
      </c>
      <c r="G14412" s="37" t="str">
        <f t="shared" si="1126"/>
        <v>Heavy Discount</v>
      </c>
      <c r="H14412" s="37" t="str">
        <f t="shared" si="1127"/>
        <v>Medium</v>
      </c>
      <c r="I14412">
        <v>1</v>
      </c>
      <c r="J14412" t="str" cm="1">
        <f t="array" ref="J14412">_xlfn.IFS(I14412&lt;=3,"small",I14412&lt;=6,"Medium",I14412&lt;=9,"Large")</f>
        <v>small</v>
      </c>
      <c r="K14412" s="36">
        <v>45254</v>
      </c>
      <c r="L14412" s="36">
        <v>45256</v>
      </c>
      <c r="M14412" t="s">
        <v>598</v>
      </c>
      <c r="N14412" t="s">
        <v>608</v>
      </c>
      <c r="O14412" s="37" t="str">
        <f t="shared" si="1128"/>
        <v>Cash Payment</v>
      </c>
      <c r="P14412">
        <v>162.36000000000001</v>
      </c>
      <c r="Q14412" s="37" t="str">
        <f>IF(P14412&gt;500,"High","low")</f>
        <v>low</v>
      </c>
      <c r="R14412" s="37" t="str">
        <f t="shared" si="1129"/>
        <v>AVERAGE</v>
      </c>
      <c r="S14412" t="s">
        <v>628</v>
      </c>
    </row>
    <row r="14413" spans="1:19" x14ac:dyDescent="0.2">
      <c r="A14413" t="s">
        <v>15024</v>
      </c>
      <c r="B14413" t="s">
        <v>75</v>
      </c>
      <c r="C14413" t="s">
        <v>617</v>
      </c>
      <c r="D14413">
        <v>520.26</v>
      </c>
      <c r="E14413" s="37" t="str">
        <f t="shared" si="1125"/>
        <v xml:space="preserve"> </v>
      </c>
      <c r="F14413">
        <v>0.02</v>
      </c>
      <c r="G14413" s="37" t="str">
        <f t="shared" si="1126"/>
        <v>Normal Discount</v>
      </c>
      <c r="H14413" s="37" t="str">
        <f t="shared" si="1127"/>
        <v>Low</v>
      </c>
      <c r="I14413">
        <v>8</v>
      </c>
      <c r="J14413" t="str" cm="1">
        <f t="array" ref="J14413">_xlfn.IFS(I14413&lt;=3,"small",I14413&lt;=6,"Medium",I14413&lt;=9,"Large")</f>
        <v>Large</v>
      </c>
      <c r="K14413" s="36">
        <v>45040</v>
      </c>
      <c r="L14413" s="36">
        <v>45041</v>
      </c>
      <c r="M14413" t="s">
        <v>603</v>
      </c>
      <c r="N14413" t="s">
        <v>608</v>
      </c>
      <c r="O14413" s="37" t="str">
        <f t="shared" si="1128"/>
        <v>Cash Payment</v>
      </c>
      <c r="P14413">
        <v>67.38</v>
      </c>
      <c r="Q14413" s="37" t="str">
        <f>IF(P14413&gt;500,"High","low")</f>
        <v>low</v>
      </c>
      <c r="R14413" s="37" t="str">
        <f t="shared" si="1129"/>
        <v>AVERAGE</v>
      </c>
      <c r="S14413" t="s">
        <v>628</v>
      </c>
    </row>
    <row r="14414" spans="1:19" x14ac:dyDescent="0.2">
      <c r="A14414" t="s">
        <v>15025</v>
      </c>
      <c r="B14414" t="s">
        <v>90</v>
      </c>
      <c r="C14414" t="s">
        <v>617</v>
      </c>
      <c r="D14414">
        <v>2939.69</v>
      </c>
      <c r="E14414" s="37" t="str">
        <f t="shared" si="1125"/>
        <v xml:space="preserve"> </v>
      </c>
      <c r="F14414">
        <v>0.47</v>
      </c>
      <c r="G14414" s="37" t="str">
        <f t="shared" si="1126"/>
        <v>Heavy Discount</v>
      </c>
      <c r="H14414" s="37" t="str">
        <f t="shared" si="1127"/>
        <v>High</v>
      </c>
      <c r="I14414">
        <v>3</v>
      </c>
      <c r="J14414" t="str" cm="1">
        <f t="array" ref="J14414">_xlfn.IFS(I14414&lt;=3,"small",I14414&lt;=6,"Medium",I14414&lt;=9,"Large")</f>
        <v>small</v>
      </c>
      <c r="K14414" s="36">
        <v>45424</v>
      </c>
      <c r="L14414" s="36">
        <v>45429</v>
      </c>
      <c r="M14414" t="s">
        <v>612</v>
      </c>
      <c r="N14414" t="s">
        <v>608</v>
      </c>
      <c r="O14414" s="37" t="str">
        <f t="shared" si="1128"/>
        <v>Cash Payment</v>
      </c>
      <c r="P14414">
        <v>661.36</v>
      </c>
      <c r="Q14414" s="37" t="str">
        <f>IF(P14414&gt;500,"High","low")</f>
        <v>High</v>
      </c>
      <c r="R14414" s="37" t="str">
        <f t="shared" si="1129"/>
        <v>Good</v>
      </c>
      <c r="S14414" t="s">
        <v>609</v>
      </c>
    </row>
    <row r="14415" spans="1:19" x14ac:dyDescent="0.2">
      <c r="A14415" t="s">
        <v>15026</v>
      </c>
      <c r="B14415" t="s">
        <v>90</v>
      </c>
      <c r="C14415" t="s">
        <v>614</v>
      </c>
      <c r="D14415">
        <v>1794.8</v>
      </c>
      <c r="E14415" s="37" t="str">
        <f t="shared" si="1125"/>
        <v xml:space="preserve"> </v>
      </c>
      <c r="F14415">
        <v>0.48</v>
      </c>
      <c r="G14415" s="37" t="str">
        <f t="shared" si="1126"/>
        <v>Heavy Discount</v>
      </c>
      <c r="H14415" s="37" t="str">
        <f t="shared" si="1127"/>
        <v>High</v>
      </c>
      <c r="I14415">
        <v>3</v>
      </c>
      <c r="J14415" t="str" cm="1">
        <f t="array" ref="J14415">_xlfn.IFS(I14415&lt;=3,"small",I14415&lt;=6,"Medium",I14415&lt;=9,"Large")</f>
        <v>small</v>
      </c>
      <c r="K14415" s="36">
        <v>45081</v>
      </c>
      <c r="L14415" s="36">
        <v>45083</v>
      </c>
      <c r="M14415" t="s">
        <v>603</v>
      </c>
      <c r="N14415" t="s">
        <v>608</v>
      </c>
      <c r="O14415" s="37" t="str">
        <f t="shared" si="1128"/>
        <v>Cash Payment</v>
      </c>
      <c r="P14415">
        <v>531.66</v>
      </c>
      <c r="Q14415" s="37" t="str">
        <f>IF(P14415&gt;500,"High","low")</f>
        <v>High</v>
      </c>
      <c r="R14415" s="37" t="str">
        <f t="shared" si="1129"/>
        <v>Good</v>
      </c>
      <c r="S14415" t="s">
        <v>615</v>
      </c>
    </row>
    <row r="14416" spans="1:19" x14ac:dyDescent="0.2">
      <c r="A14416" t="s">
        <v>15027</v>
      </c>
      <c r="B14416" t="s">
        <v>90</v>
      </c>
      <c r="C14416" t="s">
        <v>602</v>
      </c>
      <c r="D14416">
        <v>4275.54</v>
      </c>
      <c r="E14416" s="37" t="str">
        <f t="shared" si="1125"/>
        <v xml:space="preserve"> </v>
      </c>
      <c r="F14416">
        <v>0.19</v>
      </c>
      <c r="G14416" s="37" t="str">
        <f t="shared" si="1126"/>
        <v>Normal Discount</v>
      </c>
      <c r="H14416" s="37" t="str">
        <f t="shared" si="1127"/>
        <v>Low</v>
      </c>
      <c r="I14416">
        <v>8</v>
      </c>
      <c r="J14416" t="str" cm="1">
        <f t="array" ref="J14416">_xlfn.IFS(I14416&lt;=3,"small",I14416&lt;=6,"Medium",I14416&lt;=9,"Large")</f>
        <v>Large</v>
      </c>
      <c r="K14416" s="36">
        <v>45090</v>
      </c>
      <c r="L14416" s="36">
        <v>45096</v>
      </c>
      <c r="M14416" t="s">
        <v>603</v>
      </c>
      <c r="N14416" t="s">
        <v>604</v>
      </c>
      <c r="O14416" s="37" t="str">
        <f t="shared" si="1128"/>
        <v>Digital Payment</v>
      </c>
      <c r="P14416">
        <v>434.07</v>
      </c>
      <c r="Q14416" s="37" t="str">
        <f>IF(P14416&gt;500,"High","low")</f>
        <v>low</v>
      </c>
      <c r="R14416" s="37" t="str">
        <f t="shared" si="1129"/>
        <v>AVERAGE</v>
      </c>
      <c r="S14416" t="s">
        <v>609</v>
      </c>
    </row>
    <row r="14417" spans="1:19" x14ac:dyDescent="0.2">
      <c r="A14417" t="s">
        <v>15028</v>
      </c>
      <c r="B14417" t="s">
        <v>90</v>
      </c>
      <c r="C14417" t="s">
        <v>607</v>
      </c>
      <c r="D14417">
        <v>990.9</v>
      </c>
      <c r="E14417" s="37" t="str">
        <f t="shared" si="1125"/>
        <v xml:space="preserve"> </v>
      </c>
      <c r="F14417">
        <v>0.25</v>
      </c>
      <c r="G14417" s="37" t="str">
        <f t="shared" si="1126"/>
        <v>Normal Discount</v>
      </c>
      <c r="H14417" s="37" t="str">
        <f t="shared" si="1127"/>
        <v>Medium</v>
      </c>
      <c r="I14417">
        <v>5</v>
      </c>
      <c r="J14417" t="str" cm="1">
        <f t="array" ref="J14417">_xlfn.IFS(I14417&lt;=3,"small",I14417&lt;=6,"Medium",I14417&lt;=9,"Large")</f>
        <v>Medium</v>
      </c>
      <c r="K14417" s="36">
        <v>45395</v>
      </c>
      <c r="L14417" s="36">
        <v>45400</v>
      </c>
      <c r="M14417" t="s">
        <v>598</v>
      </c>
      <c r="N14417" t="s">
        <v>608</v>
      </c>
      <c r="O14417" s="37" t="str">
        <f t="shared" si="1128"/>
        <v>Cash Payment</v>
      </c>
      <c r="P14417">
        <v>87.33</v>
      </c>
      <c r="Q14417" s="37" t="str">
        <f>IF(P14417&gt;500,"High","low")</f>
        <v>low</v>
      </c>
      <c r="R14417" s="37" t="str">
        <f t="shared" si="1129"/>
        <v>AVERAGE</v>
      </c>
      <c r="S14417" t="s">
        <v>615</v>
      </c>
    </row>
    <row r="14418" spans="1:19" x14ac:dyDescent="0.2">
      <c r="A14418" t="s">
        <v>15029</v>
      </c>
      <c r="B14418" t="s">
        <v>90</v>
      </c>
      <c r="C14418" t="s">
        <v>597</v>
      </c>
      <c r="D14418">
        <v>1471.94</v>
      </c>
      <c r="E14418" s="37" t="str">
        <f t="shared" si="1125"/>
        <v xml:space="preserve"> </v>
      </c>
      <c r="F14418">
        <v>0.08</v>
      </c>
      <c r="G14418" s="37" t="str">
        <f t="shared" si="1126"/>
        <v>Normal Discount</v>
      </c>
      <c r="H14418" s="37" t="str">
        <f t="shared" si="1127"/>
        <v>Low</v>
      </c>
      <c r="I14418">
        <v>8</v>
      </c>
      <c r="J14418" t="str" cm="1">
        <f t="array" ref="J14418">_xlfn.IFS(I14418&lt;=3,"small",I14418&lt;=6,"Medium",I14418&lt;=9,"Large")</f>
        <v>Large</v>
      </c>
      <c r="K14418" s="36">
        <v>45141</v>
      </c>
      <c r="L14418" s="36">
        <v>45145</v>
      </c>
      <c r="M14418" t="s">
        <v>603</v>
      </c>
      <c r="N14418" t="s">
        <v>599</v>
      </c>
      <c r="O14418" s="37" t="str">
        <f t="shared" si="1128"/>
        <v>Digital Payment</v>
      </c>
      <c r="P14418">
        <v>252.73</v>
      </c>
      <c r="Q14418" s="37" t="str">
        <f>IF(P14418&gt;500,"High","low")</f>
        <v>low</v>
      </c>
      <c r="R14418" s="37" t="str">
        <f t="shared" si="1129"/>
        <v>AVERAGE</v>
      </c>
      <c r="S14418" t="s">
        <v>628</v>
      </c>
    </row>
    <row r="14419" spans="1:19" x14ac:dyDescent="0.2">
      <c r="A14419" t="s">
        <v>15030</v>
      </c>
      <c r="B14419" t="s">
        <v>67</v>
      </c>
      <c r="C14419" t="s">
        <v>607</v>
      </c>
      <c r="D14419">
        <v>968.55</v>
      </c>
      <c r="E14419" s="37" t="str">
        <f t="shared" si="1125"/>
        <v xml:space="preserve"> </v>
      </c>
      <c r="F14419">
        <v>0.1</v>
      </c>
      <c r="G14419" s="37" t="str">
        <f t="shared" si="1126"/>
        <v>Normal Discount</v>
      </c>
      <c r="H14419" s="37" t="str">
        <f t="shared" si="1127"/>
        <v>Low</v>
      </c>
      <c r="I14419">
        <v>2</v>
      </c>
      <c r="J14419" t="str" cm="1">
        <f t="array" ref="J14419">_xlfn.IFS(I14419&lt;=3,"small",I14419&lt;=6,"Medium",I14419&lt;=9,"Large")</f>
        <v>small</v>
      </c>
      <c r="K14419" s="36">
        <v>45545</v>
      </c>
      <c r="L14419" s="36">
        <v>45550</v>
      </c>
      <c r="M14419" t="s">
        <v>603</v>
      </c>
      <c r="N14419" t="s">
        <v>599</v>
      </c>
      <c r="O14419" s="37" t="str">
        <f t="shared" si="1128"/>
        <v>Digital Payment</v>
      </c>
      <c r="P14419">
        <v>242.99</v>
      </c>
      <c r="Q14419" s="37" t="str">
        <f>IF(P14419&gt;500,"High","low")</f>
        <v>low</v>
      </c>
      <c r="R14419" s="37" t="str">
        <f t="shared" si="1129"/>
        <v>AVERAGE</v>
      </c>
      <c r="S14419" t="s">
        <v>605</v>
      </c>
    </row>
    <row r="14420" spans="1:19" x14ac:dyDescent="0.2">
      <c r="A14420" t="s">
        <v>15031</v>
      </c>
      <c r="B14420" t="s">
        <v>83</v>
      </c>
      <c r="C14420" t="s">
        <v>597</v>
      </c>
      <c r="D14420">
        <v>2862.73</v>
      </c>
      <c r="E14420" s="37" t="str">
        <f t="shared" si="1125"/>
        <v xml:space="preserve"> </v>
      </c>
      <c r="F14420">
        <v>0.3</v>
      </c>
      <c r="G14420" s="37" t="str">
        <f t="shared" si="1126"/>
        <v>Normal Discount</v>
      </c>
      <c r="H14420" s="37" t="str">
        <f t="shared" si="1127"/>
        <v>Medium</v>
      </c>
      <c r="I14420">
        <v>9</v>
      </c>
      <c r="J14420" t="str" cm="1">
        <f t="array" ref="J14420">_xlfn.IFS(I14420&lt;=3,"small",I14420&lt;=6,"Medium",I14420&lt;=9,"Large")</f>
        <v>Large</v>
      </c>
      <c r="K14420" s="36">
        <v>44995</v>
      </c>
      <c r="L14420" s="36">
        <v>44999</v>
      </c>
      <c r="M14420" t="s">
        <v>598</v>
      </c>
      <c r="N14420" t="s">
        <v>608</v>
      </c>
      <c r="O14420" s="37" t="str">
        <f t="shared" si="1128"/>
        <v>Cash Payment</v>
      </c>
      <c r="P14420">
        <v>188.25</v>
      </c>
      <c r="Q14420" s="37" t="str">
        <f>IF(P14420&gt;500,"High","low")</f>
        <v>low</v>
      </c>
      <c r="R14420" s="37" t="str">
        <f t="shared" si="1129"/>
        <v>AVERAGE</v>
      </c>
      <c r="S14420" t="s">
        <v>609</v>
      </c>
    </row>
    <row r="14421" spans="1:19" x14ac:dyDescent="0.2">
      <c r="A14421" t="s">
        <v>15032</v>
      </c>
      <c r="B14421" t="s">
        <v>90</v>
      </c>
      <c r="C14421" t="s">
        <v>614</v>
      </c>
      <c r="D14421">
        <v>647.55999999999995</v>
      </c>
      <c r="E14421" s="37" t="str">
        <f t="shared" si="1125"/>
        <v xml:space="preserve"> </v>
      </c>
      <c r="F14421">
        <v>0.31</v>
      </c>
      <c r="G14421" s="37" t="str">
        <f t="shared" si="1126"/>
        <v>Heavy Discount</v>
      </c>
      <c r="H14421" s="37" t="str">
        <f t="shared" si="1127"/>
        <v>Medium</v>
      </c>
      <c r="I14421">
        <v>2</v>
      </c>
      <c r="J14421" t="str" cm="1">
        <f t="array" ref="J14421">_xlfn.IFS(I14421&lt;=3,"small",I14421&lt;=6,"Medium",I14421&lt;=9,"Large")</f>
        <v>small</v>
      </c>
      <c r="K14421" s="36">
        <v>45030</v>
      </c>
      <c r="L14421" s="36">
        <v>45033</v>
      </c>
      <c r="M14421" t="s">
        <v>598</v>
      </c>
      <c r="N14421" t="s">
        <v>604</v>
      </c>
      <c r="O14421" s="37" t="str">
        <f t="shared" si="1128"/>
        <v>Digital Payment</v>
      </c>
      <c r="P14421">
        <v>171.28</v>
      </c>
      <c r="Q14421" s="37" t="str">
        <f>IF(P14421&gt;500,"High","low")</f>
        <v>low</v>
      </c>
      <c r="R14421" s="37" t="str">
        <f t="shared" si="1129"/>
        <v>AVERAGE</v>
      </c>
      <c r="S14421" t="s">
        <v>605</v>
      </c>
    </row>
    <row r="14422" spans="1:19" x14ac:dyDescent="0.2">
      <c r="A14422" t="s">
        <v>15033</v>
      </c>
      <c r="B14422" t="s">
        <v>67</v>
      </c>
      <c r="C14422" t="s">
        <v>607</v>
      </c>
      <c r="D14422">
        <v>1027.8499999999999</v>
      </c>
      <c r="E14422" s="37" t="str">
        <f t="shared" si="1125"/>
        <v xml:space="preserve"> </v>
      </c>
      <c r="F14422">
        <v>0.17</v>
      </c>
      <c r="G14422" s="37" t="str">
        <f t="shared" si="1126"/>
        <v>Normal Discount</v>
      </c>
      <c r="H14422" s="37" t="str">
        <f t="shared" si="1127"/>
        <v>Low</v>
      </c>
      <c r="I14422">
        <v>9</v>
      </c>
      <c r="J14422" t="str" cm="1">
        <f t="array" ref="J14422">_xlfn.IFS(I14422&lt;=3,"small",I14422&lt;=6,"Medium",I14422&lt;=9,"Large")</f>
        <v>Large</v>
      </c>
      <c r="K14422" s="36">
        <v>45247</v>
      </c>
      <c r="L14422" s="36">
        <v>45251</v>
      </c>
      <c r="M14422" t="s">
        <v>612</v>
      </c>
      <c r="N14422" t="s">
        <v>599</v>
      </c>
      <c r="O14422" s="37" t="str">
        <f t="shared" si="1128"/>
        <v>Digital Payment</v>
      </c>
      <c r="P14422">
        <v>96.8</v>
      </c>
      <c r="Q14422" s="37" t="str">
        <f>IF(P14422&gt;500,"High","low")</f>
        <v>low</v>
      </c>
      <c r="R14422" s="37" t="str">
        <f t="shared" si="1129"/>
        <v>AVERAGE</v>
      </c>
      <c r="S14422" t="s">
        <v>620</v>
      </c>
    </row>
    <row r="14423" spans="1:19" x14ac:dyDescent="0.2">
      <c r="A14423" t="s">
        <v>15034</v>
      </c>
      <c r="B14423" t="s">
        <v>83</v>
      </c>
      <c r="C14423" t="s">
        <v>614</v>
      </c>
      <c r="D14423">
        <v>3424.6</v>
      </c>
      <c r="E14423" s="37" t="str">
        <f t="shared" si="1125"/>
        <v xml:space="preserve"> </v>
      </c>
      <c r="F14423">
        <v>0.19</v>
      </c>
      <c r="G14423" s="37" t="str">
        <f t="shared" si="1126"/>
        <v>Normal Discount</v>
      </c>
      <c r="H14423" s="37" t="str">
        <f t="shared" si="1127"/>
        <v>Low</v>
      </c>
      <c r="I14423">
        <v>6</v>
      </c>
      <c r="J14423" t="str" cm="1">
        <f t="array" ref="J14423">_xlfn.IFS(I14423&lt;=3,"small",I14423&lt;=6,"Medium",I14423&lt;=9,"Large")</f>
        <v>Medium</v>
      </c>
      <c r="K14423" s="36">
        <v>45523</v>
      </c>
      <c r="L14423" s="36">
        <v>45530</v>
      </c>
      <c r="M14423" t="s">
        <v>598</v>
      </c>
      <c r="N14423" t="s">
        <v>604</v>
      </c>
      <c r="O14423" s="37" t="str">
        <f t="shared" si="1128"/>
        <v>Digital Payment</v>
      </c>
      <c r="P14423">
        <v>637.36</v>
      </c>
      <c r="Q14423" s="37" t="str">
        <f>IF(P14423&gt;500,"High","low")</f>
        <v>High</v>
      </c>
      <c r="R14423" s="37" t="str">
        <f t="shared" si="1129"/>
        <v>Good</v>
      </c>
      <c r="S14423" t="s">
        <v>615</v>
      </c>
    </row>
    <row r="14424" spans="1:19" x14ac:dyDescent="0.2">
      <c r="A14424" t="s">
        <v>15035</v>
      </c>
      <c r="B14424" t="s">
        <v>75</v>
      </c>
      <c r="C14424" t="s">
        <v>614</v>
      </c>
      <c r="D14424">
        <v>464.63</v>
      </c>
      <c r="E14424" s="37" t="str">
        <f t="shared" si="1125"/>
        <v xml:space="preserve"> </v>
      </c>
      <c r="F14424">
        <v>0.25</v>
      </c>
      <c r="G14424" s="37" t="str">
        <f t="shared" si="1126"/>
        <v>Normal Discount</v>
      </c>
      <c r="H14424" s="37" t="str">
        <f t="shared" si="1127"/>
        <v>Medium</v>
      </c>
      <c r="I14424">
        <v>5</v>
      </c>
      <c r="J14424" t="str" cm="1">
        <f t="array" ref="J14424">_xlfn.IFS(I14424&lt;=3,"small",I14424&lt;=6,"Medium",I14424&lt;=9,"Large")</f>
        <v>Medium</v>
      </c>
      <c r="K14424" s="36">
        <v>45225</v>
      </c>
      <c r="L14424" s="36">
        <v>45226</v>
      </c>
      <c r="M14424" t="s">
        <v>603</v>
      </c>
      <c r="N14424" t="s">
        <v>608</v>
      </c>
      <c r="O14424" s="37" t="str">
        <f t="shared" si="1128"/>
        <v>Cash Payment</v>
      </c>
      <c r="P14424">
        <v>91.82</v>
      </c>
      <c r="Q14424" s="37" t="str">
        <f>IF(P14424&gt;500,"High","low")</f>
        <v>low</v>
      </c>
      <c r="R14424" s="37" t="str">
        <f t="shared" si="1129"/>
        <v>AVERAGE</v>
      </c>
      <c r="S14424" t="s">
        <v>615</v>
      </c>
    </row>
    <row r="14425" spans="1:19" x14ac:dyDescent="0.2">
      <c r="A14425" t="s">
        <v>15036</v>
      </c>
      <c r="B14425" t="s">
        <v>90</v>
      </c>
      <c r="C14425" t="s">
        <v>607</v>
      </c>
      <c r="D14425">
        <v>3741.5</v>
      </c>
      <c r="E14425" s="37" t="str">
        <f t="shared" si="1125"/>
        <v xml:space="preserve"> </v>
      </c>
      <c r="F14425">
        <v>0.47</v>
      </c>
      <c r="G14425" s="37" t="str">
        <f t="shared" si="1126"/>
        <v>Heavy Discount</v>
      </c>
      <c r="H14425" s="37" t="str">
        <f t="shared" si="1127"/>
        <v>High</v>
      </c>
      <c r="I14425">
        <v>7</v>
      </c>
      <c r="J14425" t="str" cm="1">
        <f t="array" ref="J14425">_xlfn.IFS(I14425&lt;=3,"small",I14425&lt;=6,"Medium",I14425&lt;=9,"Large")</f>
        <v>Large</v>
      </c>
      <c r="K14425" s="36">
        <v>45000</v>
      </c>
      <c r="L14425" s="36">
        <v>45004</v>
      </c>
      <c r="M14425" t="s">
        <v>598</v>
      </c>
      <c r="N14425" t="s">
        <v>608</v>
      </c>
      <c r="O14425" s="37" t="str">
        <f t="shared" si="1128"/>
        <v>Cash Payment</v>
      </c>
      <c r="P14425">
        <v>506.18</v>
      </c>
      <c r="Q14425" s="37" t="str">
        <f>IF(P14425&gt;500,"High","low")</f>
        <v>High</v>
      </c>
      <c r="R14425" s="37" t="str">
        <f t="shared" si="1129"/>
        <v>Good</v>
      </c>
      <c r="S14425" t="s">
        <v>620</v>
      </c>
    </row>
    <row r="14426" spans="1:19" x14ac:dyDescent="0.2">
      <c r="A14426" t="s">
        <v>15037</v>
      </c>
      <c r="B14426" t="s">
        <v>67</v>
      </c>
      <c r="C14426" t="s">
        <v>607</v>
      </c>
      <c r="D14426">
        <v>611.23</v>
      </c>
      <c r="E14426" s="37" t="str">
        <f t="shared" si="1125"/>
        <v xml:space="preserve"> </v>
      </c>
      <c r="F14426">
        <v>7.0000000000000007E-2</v>
      </c>
      <c r="G14426" s="37" t="str">
        <f t="shared" si="1126"/>
        <v>Normal Discount</v>
      </c>
      <c r="H14426" s="37" t="str">
        <f t="shared" si="1127"/>
        <v>Low</v>
      </c>
      <c r="I14426">
        <v>7</v>
      </c>
      <c r="J14426" t="str" cm="1">
        <f t="array" ref="J14426">_xlfn.IFS(I14426&lt;=3,"small",I14426&lt;=6,"Medium",I14426&lt;=9,"Large")</f>
        <v>Large</v>
      </c>
      <c r="K14426" s="36">
        <v>45376</v>
      </c>
      <c r="L14426" s="36">
        <v>45379</v>
      </c>
      <c r="M14426" t="s">
        <v>603</v>
      </c>
      <c r="N14426" t="s">
        <v>608</v>
      </c>
      <c r="O14426" s="37" t="str">
        <f t="shared" si="1128"/>
        <v>Cash Payment</v>
      </c>
      <c r="P14426">
        <v>110.18</v>
      </c>
      <c r="Q14426" s="37" t="str">
        <f>IF(P14426&gt;500,"High","low")</f>
        <v>low</v>
      </c>
      <c r="R14426" s="37" t="str">
        <f t="shared" si="1129"/>
        <v>AVERAGE</v>
      </c>
      <c r="S14426" t="s">
        <v>628</v>
      </c>
    </row>
    <row r="14427" spans="1:19" x14ac:dyDescent="0.2">
      <c r="A14427" t="s">
        <v>15038</v>
      </c>
      <c r="B14427" t="s">
        <v>75</v>
      </c>
      <c r="C14427" t="s">
        <v>597</v>
      </c>
      <c r="D14427">
        <v>2968.89</v>
      </c>
      <c r="E14427" s="37" t="str">
        <f t="shared" si="1125"/>
        <v xml:space="preserve"> </v>
      </c>
      <c r="F14427">
        <v>0.28000000000000003</v>
      </c>
      <c r="G14427" s="37" t="str">
        <f t="shared" si="1126"/>
        <v>Normal Discount</v>
      </c>
      <c r="H14427" s="37" t="str">
        <f t="shared" si="1127"/>
        <v>Medium</v>
      </c>
      <c r="I14427">
        <v>4</v>
      </c>
      <c r="J14427" t="str" cm="1">
        <f t="array" ref="J14427">_xlfn.IFS(I14427&lt;=3,"small",I14427&lt;=6,"Medium",I14427&lt;=9,"Large")</f>
        <v>Medium</v>
      </c>
      <c r="K14427" s="36">
        <v>45203</v>
      </c>
      <c r="L14427" s="36">
        <v>45210</v>
      </c>
      <c r="M14427" t="s">
        <v>598</v>
      </c>
      <c r="N14427" t="s">
        <v>599</v>
      </c>
      <c r="O14427" s="37" t="str">
        <f t="shared" si="1128"/>
        <v>Digital Payment</v>
      </c>
      <c r="P14427">
        <v>439.87</v>
      </c>
      <c r="Q14427" s="37" t="str">
        <f>IF(P14427&gt;500,"High","low")</f>
        <v>low</v>
      </c>
      <c r="R14427" s="37" t="str">
        <f t="shared" si="1129"/>
        <v>AVERAGE</v>
      </c>
      <c r="S14427" t="s">
        <v>600</v>
      </c>
    </row>
    <row r="14428" spans="1:19" x14ac:dyDescent="0.2">
      <c r="A14428" t="s">
        <v>15039</v>
      </c>
      <c r="B14428" t="s">
        <v>67</v>
      </c>
      <c r="C14428" t="s">
        <v>617</v>
      </c>
      <c r="D14428">
        <v>4989.2700000000004</v>
      </c>
      <c r="E14428" s="37" t="str">
        <f t="shared" si="1125"/>
        <v>Excellent Order</v>
      </c>
      <c r="F14428">
        <v>0.03</v>
      </c>
      <c r="G14428" s="37" t="str">
        <f t="shared" si="1126"/>
        <v>Normal Discount</v>
      </c>
      <c r="H14428" s="37" t="str">
        <f t="shared" si="1127"/>
        <v>Low</v>
      </c>
      <c r="I14428">
        <v>7</v>
      </c>
      <c r="J14428" t="str" cm="1">
        <f t="array" ref="J14428">_xlfn.IFS(I14428&lt;=3,"small",I14428&lt;=6,"Medium",I14428&lt;=9,"Large")</f>
        <v>Large</v>
      </c>
      <c r="K14428" s="36">
        <v>45371</v>
      </c>
      <c r="L14428" s="36">
        <v>45374</v>
      </c>
      <c r="M14428" t="s">
        <v>612</v>
      </c>
      <c r="N14428" t="s">
        <v>608</v>
      </c>
      <c r="O14428" s="37" t="str">
        <f t="shared" si="1128"/>
        <v>Cash Payment</v>
      </c>
      <c r="P14428">
        <v>1399.92</v>
      </c>
      <c r="Q14428" s="37" t="str">
        <f>IF(P14428&gt;500,"High","low")</f>
        <v>High</v>
      </c>
      <c r="R14428" s="37" t="str">
        <f t="shared" si="1129"/>
        <v>Excellent</v>
      </c>
      <c r="S14428" t="s">
        <v>628</v>
      </c>
    </row>
    <row r="14429" spans="1:19" x14ac:dyDescent="0.2">
      <c r="A14429" t="s">
        <v>15040</v>
      </c>
      <c r="B14429" t="s">
        <v>83</v>
      </c>
      <c r="C14429" t="s">
        <v>614</v>
      </c>
      <c r="D14429">
        <v>952.08</v>
      </c>
      <c r="E14429" s="37" t="str">
        <f t="shared" si="1125"/>
        <v xml:space="preserve"> </v>
      </c>
      <c r="F14429">
        <v>0.23</v>
      </c>
      <c r="G14429" s="37" t="str">
        <f t="shared" si="1126"/>
        <v>Normal Discount</v>
      </c>
      <c r="H14429" s="37" t="str">
        <f t="shared" si="1127"/>
        <v>Medium</v>
      </c>
      <c r="I14429">
        <v>3</v>
      </c>
      <c r="J14429" t="str" cm="1">
        <f t="array" ref="J14429">_xlfn.IFS(I14429&lt;=3,"small",I14429&lt;=6,"Medium",I14429&lt;=9,"Large")</f>
        <v>small</v>
      </c>
      <c r="K14429" s="36">
        <v>45067</v>
      </c>
      <c r="L14429" s="36">
        <v>45073</v>
      </c>
      <c r="M14429" t="s">
        <v>612</v>
      </c>
      <c r="N14429" t="s">
        <v>604</v>
      </c>
      <c r="O14429" s="37" t="str">
        <f t="shared" si="1128"/>
        <v>Digital Payment</v>
      </c>
      <c r="P14429">
        <v>53.32</v>
      </c>
      <c r="Q14429" s="37" t="str">
        <f>IF(P14429&gt;500,"High","low")</f>
        <v>low</v>
      </c>
      <c r="R14429" s="37" t="str">
        <f t="shared" si="1129"/>
        <v>AVERAGE</v>
      </c>
      <c r="S14429" t="s">
        <v>620</v>
      </c>
    </row>
    <row r="14430" spans="1:19" x14ac:dyDescent="0.2">
      <c r="A14430" t="s">
        <v>15041</v>
      </c>
      <c r="B14430" t="s">
        <v>83</v>
      </c>
      <c r="C14430" t="s">
        <v>602</v>
      </c>
      <c r="D14430">
        <v>1379.32</v>
      </c>
      <c r="E14430" s="37" t="str">
        <f t="shared" si="1125"/>
        <v xml:space="preserve"> </v>
      </c>
      <c r="F14430">
        <v>0.2</v>
      </c>
      <c r="G14430" s="37" t="str">
        <f t="shared" si="1126"/>
        <v>Normal Discount</v>
      </c>
      <c r="H14430" s="37" t="str">
        <f t="shared" si="1127"/>
        <v>Medium</v>
      </c>
      <c r="I14430">
        <v>3</v>
      </c>
      <c r="J14430" t="str" cm="1">
        <f t="array" ref="J14430">_xlfn.IFS(I14430&lt;=3,"small",I14430&lt;=6,"Medium",I14430&lt;=9,"Large")</f>
        <v>small</v>
      </c>
      <c r="K14430" s="36">
        <v>45034</v>
      </c>
      <c r="L14430" s="36">
        <v>45039</v>
      </c>
      <c r="M14430" t="s">
        <v>603</v>
      </c>
      <c r="N14430" t="s">
        <v>604</v>
      </c>
      <c r="O14430" s="37" t="str">
        <f t="shared" si="1128"/>
        <v>Digital Payment</v>
      </c>
      <c r="P14430">
        <v>368.37</v>
      </c>
      <c r="Q14430" s="37" t="str">
        <f>IF(P14430&gt;500,"High","low")</f>
        <v>low</v>
      </c>
      <c r="R14430" s="37" t="str">
        <f t="shared" si="1129"/>
        <v>AVERAGE</v>
      </c>
      <c r="S14430" t="s">
        <v>620</v>
      </c>
    </row>
    <row r="14431" spans="1:19" x14ac:dyDescent="0.2">
      <c r="A14431" t="s">
        <v>15042</v>
      </c>
      <c r="B14431" t="s">
        <v>75</v>
      </c>
      <c r="C14431" t="s">
        <v>597</v>
      </c>
      <c r="D14431">
        <v>4502.29</v>
      </c>
      <c r="E14431" s="37" t="str">
        <f t="shared" si="1125"/>
        <v xml:space="preserve"> </v>
      </c>
      <c r="F14431">
        <v>0.08</v>
      </c>
      <c r="G14431" s="37" t="str">
        <f t="shared" si="1126"/>
        <v>Normal Discount</v>
      </c>
      <c r="H14431" s="37" t="str">
        <f t="shared" si="1127"/>
        <v>Low</v>
      </c>
      <c r="I14431">
        <v>7</v>
      </c>
      <c r="J14431" t="str" cm="1">
        <f t="array" ref="J14431">_xlfn.IFS(I14431&lt;=3,"small",I14431&lt;=6,"Medium",I14431&lt;=9,"Large")</f>
        <v>Large</v>
      </c>
      <c r="K14431" s="36">
        <v>45428</v>
      </c>
      <c r="L14431" s="36">
        <v>45435</v>
      </c>
      <c r="M14431" t="s">
        <v>612</v>
      </c>
      <c r="N14431" t="s">
        <v>604</v>
      </c>
      <c r="O14431" s="37" t="str">
        <f t="shared" si="1128"/>
        <v>Digital Payment</v>
      </c>
      <c r="P14431">
        <v>311.83999999999997</v>
      </c>
      <c r="Q14431" s="37" t="str">
        <f>IF(P14431&gt;500,"High","low")</f>
        <v>low</v>
      </c>
      <c r="R14431" s="37" t="str">
        <f t="shared" si="1129"/>
        <v>AVERAGE</v>
      </c>
      <c r="S14431" t="s">
        <v>615</v>
      </c>
    </row>
    <row r="14432" spans="1:19" x14ac:dyDescent="0.2">
      <c r="A14432" t="s">
        <v>15043</v>
      </c>
      <c r="B14432" t="s">
        <v>67</v>
      </c>
      <c r="C14432" t="s">
        <v>597</v>
      </c>
      <c r="D14432">
        <v>3168.8</v>
      </c>
      <c r="E14432" s="37" t="str">
        <f t="shared" si="1125"/>
        <v xml:space="preserve"> </v>
      </c>
      <c r="F14432">
        <v>0.08</v>
      </c>
      <c r="G14432" s="37" t="str">
        <f t="shared" si="1126"/>
        <v>Normal Discount</v>
      </c>
      <c r="H14432" s="37" t="str">
        <f t="shared" si="1127"/>
        <v>Low</v>
      </c>
      <c r="I14432">
        <v>1</v>
      </c>
      <c r="J14432" t="str" cm="1">
        <f t="array" ref="J14432">_xlfn.IFS(I14432&lt;=3,"small",I14432&lt;=6,"Medium",I14432&lt;=9,"Large")</f>
        <v>small</v>
      </c>
      <c r="K14432" s="36">
        <v>44954</v>
      </c>
      <c r="L14432" s="36">
        <v>44959</v>
      </c>
      <c r="M14432" t="s">
        <v>603</v>
      </c>
      <c r="N14432" t="s">
        <v>608</v>
      </c>
      <c r="O14432" s="37" t="str">
        <f t="shared" si="1128"/>
        <v>Cash Payment</v>
      </c>
      <c r="P14432">
        <v>589.53</v>
      </c>
      <c r="Q14432" s="37" t="str">
        <f>IF(P14432&gt;500,"High","low")</f>
        <v>High</v>
      </c>
      <c r="R14432" s="37" t="str">
        <f t="shared" si="1129"/>
        <v>Good</v>
      </c>
      <c r="S14432" t="s">
        <v>609</v>
      </c>
    </row>
    <row r="14433" spans="1:19" x14ac:dyDescent="0.2">
      <c r="A14433" t="s">
        <v>15044</v>
      </c>
      <c r="B14433" t="s">
        <v>90</v>
      </c>
      <c r="C14433" t="s">
        <v>617</v>
      </c>
      <c r="D14433">
        <v>2513.4</v>
      </c>
      <c r="E14433" s="37" t="str">
        <f t="shared" si="1125"/>
        <v xml:space="preserve"> </v>
      </c>
      <c r="F14433">
        <v>0.23</v>
      </c>
      <c r="G14433" s="37" t="str">
        <f t="shared" si="1126"/>
        <v>Normal Discount</v>
      </c>
      <c r="H14433" s="37" t="str">
        <f t="shared" si="1127"/>
        <v>Medium</v>
      </c>
      <c r="I14433">
        <v>8</v>
      </c>
      <c r="J14433" t="str" cm="1">
        <f t="array" ref="J14433">_xlfn.IFS(I14433&lt;=3,"small",I14433&lt;=6,"Medium",I14433&lt;=9,"Large")</f>
        <v>Large</v>
      </c>
      <c r="K14433" s="36">
        <v>45084</v>
      </c>
      <c r="L14433" s="36">
        <v>45090</v>
      </c>
      <c r="M14433" t="s">
        <v>598</v>
      </c>
      <c r="N14433" t="s">
        <v>604</v>
      </c>
      <c r="O14433" s="37" t="str">
        <f t="shared" si="1128"/>
        <v>Digital Payment</v>
      </c>
      <c r="P14433">
        <v>752.84</v>
      </c>
      <c r="Q14433" s="37" t="str">
        <f>IF(P14433&gt;500,"High","low")</f>
        <v>High</v>
      </c>
      <c r="R14433" s="37" t="str">
        <f t="shared" si="1129"/>
        <v>Good</v>
      </c>
      <c r="S14433" t="s">
        <v>628</v>
      </c>
    </row>
    <row r="14434" spans="1:19" x14ac:dyDescent="0.2">
      <c r="A14434" t="s">
        <v>15045</v>
      </c>
      <c r="B14434" t="s">
        <v>90</v>
      </c>
      <c r="C14434" t="s">
        <v>617</v>
      </c>
      <c r="D14434">
        <v>2857.25</v>
      </c>
      <c r="E14434" s="37" t="str">
        <f t="shared" si="1125"/>
        <v xml:space="preserve"> </v>
      </c>
      <c r="F14434">
        <v>0.06</v>
      </c>
      <c r="G14434" s="37" t="str">
        <f t="shared" si="1126"/>
        <v>Normal Discount</v>
      </c>
      <c r="H14434" s="37" t="str">
        <f t="shared" si="1127"/>
        <v>Low</v>
      </c>
      <c r="I14434">
        <v>2</v>
      </c>
      <c r="J14434" t="str" cm="1">
        <f t="array" ref="J14434">_xlfn.IFS(I14434&lt;=3,"small",I14434&lt;=6,"Medium",I14434&lt;=9,"Large")</f>
        <v>small</v>
      </c>
      <c r="K14434" s="36">
        <v>45008</v>
      </c>
      <c r="L14434" s="36">
        <v>45011</v>
      </c>
      <c r="M14434" t="s">
        <v>612</v>
      </c>
      <c r="N14434" t="s">
        <v>599</v>
      </c>
      <c r="O14434" s="37" t="str">
        <f t="shared" si="1128"/>
        <v>Digital Payment</v>
      </c>
      <c r="P14434">
        <v>290.92</v>
      </c>
      <c r="Q14434" s="37" t="str">
        <f>IF(P14434&gt;500,"High","low")</f>
        <v>low</v>
      </c>
      <c r="R14434" s="37" t="str">
        <f t="shared" si="1129"/>
        <v>AVERAGE</v>
      </c>
      <c r="S14434" t="s">
        <v>615</v>
      </c>
    </row>
    <row r="14435" spans="1:19" x14ac:dyDescent="0.2">
      <c r="A14435" t="s">
        <v>15046</v>
      </c>
      <c r="B14435" t="s">
        <v>75</v>
      </c>
      <c r="C14435" t="s">
        <v>614</v>
      </c>
      <c r="D14435">
        <v>1547.93</v>
      </c>
      <c r="E14435" s="37" t="str">
        <f t="shared" si="1125"/>
        <v xml:space="preserve"> </v>
      </c>
      <c r="F14435">
        <v>0.15</v>
      </c>
      <c r="G14435" s="37" t="str">
        <f t="shared" si="1126"/>
        <v>Normal Discount</v>
      </c>
      <c r="H14435" s="37" t="str">
        <f t="shared" si="1127"/>
        <v>Low</v>
      </c>
      <c r="I14435">
        <v>1</v>
      </c>
      <c r="J14435" t="str" cm="1">
        <f t="array" ref="J14435">_xlfn.IFS(I14435&lt;=3,"small",I14435&lt;=6,"Medium",I14435&lt;=9,"Large")</f>
        <v>small</v>
      </c>
      <c r="K14435" s="36">
        <v>45032</v>
      </c>
      <c r="L14435" s="36">
        <v>45036</v>
      </c>
      <c r="M14435" t="s">
        <v>598</v>
      </c>
      <c r="N14435" t="s">
        <v>599</v>
      </c>
      <c r="O14435" s="37" t="str">
        <f t="shared" si="1128"/>
        <v>Digital Payment</v>
      </c>
      <c r="P14435">
        <v>242.54</v>
      </c>
      <c r="Q14435" s="37" t="str">
        <f>IF(P14435&gt;500,"High","low")</f>
        <v>low</v>
      </c>
      <c r="R14435" s="37" t="str">
        <f t="shared" si="1129"/>
        <v>AVERAGE</v>
      </c>
      <c r="S14435" t="s">
        <v>600</v>
      </c>
    </row>
    <row r="14436" spans="1:19" x14ac:dyDescent="0.2">
      <c r="A14436" t="s">
        <v>15047</v>
      </c>
      <c r="B14436" t="s">
        <v>75</v>
      </c>
      <c r="C14436" t="s">
        <v>597</v>
      </c>
      <c r="D14436">
        <v>4291.08</v>
      </c>
      <c r="E14436" s="37" t="str">
        <f t="shared" si="1125"/>
        <v xml:space="preserve"> </v>
      </c>
      <c r="F14436">
        <v>0.04</v>
      </c>
      <c r="G14436" s="37" t="str">
        <f t="shared" si="1126"/>
        <v>Normal Discount</v>
      </c>
      <c r="H14436" s="37" t="str">
        <f t="shared" si="1127"/>
        <v>Low</v>
      </c>
      <c r="I14436">
        <v>6</v>
      </c>
      <c r="J14436" t="str" cm="1">
        <f t="array" ref="J14436">_xlfn.IFS(I14436&lt;=3,"small",I14436&lt;=6,"Medium",I14436&lt;=9,"Large")</f>
        <v>Medium</v>
      </c>
      <c r="K14436" s="36">
        <v>45568</v>
      </c>
      <c r="L14436" s="36">
        <v>45574</v>
      </c>
      <c r="M14436" t="s">
        <v>598</v>
      </c>
      <c r="N14436" t="s">
        <v>604</v>
      </c>
      <c r="O14436" s="37" t="str">
        <f t="shared" si="1128"/>
        <v>Digital Payment</v>
      </c>
      <c r="P14436">
        <v>697.79</v>
      </c>
      <c r="Q14436" s="37" t="str">
        <f>IF(P14436&gt;500,"High","low")</f>
        <v>High</v>
      </c>
      <c r="R14436" s="37" t="str">
        <f t="shared" si="1129"/>
        <v>Good</v>
      </c>
      <c r="S14436" t="s">
        <v>620</v>
      </c>
    </row>
    <row r="14437" spans="1:19" x14ac:dyDescent="0.2">
      <c r="A14437" t="s">
        <v>15048</v>
      </c>
      <c r="B14437" t="s">
        <v>75</v>
      </c>
      <c r="C14437" t="s">
        <v>597</v>
      </c>
      <c r="D14437">
        <v>3751.82</v>
      </c>
      <c r="E14437" s="37" t="str">
        <f t="shared" si="1125"/>
        <v xml:space="preserve"> </v>
      </c>
      <c r="F14437">
        <v>0.15</v>
      </c>
      <c r="G14437" s="37" t="str">
        <f t="shared" si="1126"/>
        <v>Normal Discount</v>
      </c>
      <c r="H14437" s="37" t="str">
        <f t="shared" si="1127"/>
        <v>Low</v>
      </c>
      <c r="I14437">
        <v>4</v>
      </c>
      <c r="J14437" t="str" cm="1">
        <f t="array" ref="J14437">_xlfn.IFS(I14437&lt;=3,"small",I14437&lt;=6,"Medium",I14437&lt;=9,"Large")</f>
        <v>Medium</v>
      </c>
      <c r="K14437" s="36">
        <v>45137</v>
      </c>
      <c r="L14437" s="36">
        <v>45141</v>
      </c>
      <c r="M14437" t="s">
        <v>603</v>
      </c>
      <c r="N14437" t="s">
        <v>599</v>
      </c>
      <c r="O14437" s="37" t="str">
        <f t="shared" si="1128"/>
        <v>Digital Payment</v>
      </c>
      <c r="P14437">
        <v>819.4</v>
      </c>
      <c r="Q14437" s="37" t="str">
        <f>IF(P14437&gt;500,"High","low")</f>
        <v>High</v>
      </c>
      <c r="R14437" s="37" t="str">
        <f t="shared" si="1129"/>
        <v>Good</v>
      </c>
      <c r="S14437" t="s">
        <v>615</v>
      </c>
    </row>
    <row r="14438" spans="1:19" x14ac:dyDescent="0.2">
      <c r="A14438" t="s">
        <v>15049</v>
      </c>
      <c r="B14438" t="s">
        <v>67</v>
      </c>
      <c r="C14438" t="s">
        <v>602</v>
      </c>
      <c r="D14438">
        <v>3248.09</v>
      </c>
      <c r="E14438" s="37" t="str">
        <f t="shared" si="1125"/>
        <v xml:space="preserve"> </v>
      </c>
      <c r="F14438">
        <v>0.27</v>
      </c>
      <c r="G14438" s="37" t="str">
        <f t="shared" si="1126"/>
        <v>Normal Discount</v>
      </c>
      <c r="H14438" s="37" t="str">
        <f t="shared" si="1127"/>
        <v>Medium</v>
      </c>
      <c r="I14438">
        <v>7</v>
      </c>
      <c r="J14438" t="str" cm="1">
        <f t="array" ref="J14438">_xlfn.IFS(I14438&lt;=3,"small",I14438&lt;=6,"Medium",I14438&lt;=9,"Large")</f>
        <v>Large</v>
      </c>
      <c r="K14438" s="36">
        <v>44947</v>
      </c>
      <c r="L14438" s="36">
        <v>44949</v>
      </c>
      <c r="M14438" t="s">
        <v>603</v>
      </c>
      <c r="N14438" t="s">
        <v>604</v>
      </c>
      <c r="O14438" s="37" t="str">
        <f t="shared" si="1128"/>
        <v>Digital Payment</v>
      </c>
      <c r="P14438">
        <v>416.26</v>
      </c>
      <c r="Q14438" s="37" t="str">
        <f>IF(P14438&gt;500,"High","low")</f>
        <v>low</v>
      </c>
      <c r="R14438" s="37" t="str">
        <f t="shared" si="1129"/>
        <v>AVERAGE</v>
      </c>
      <c r="S14438" t="s">
        <v>605</v>
      </c>
    </row>
    <row r="14439" spans="1:19" x14ac:dyDescent="0.2">
      <c r="A14439" t="s">
        <v>15050</v>
      </c>
      <c r="B14439" t="s">
        <v>90</v>
      </c>
      <c r="C14439" t="s">
        <v>614</v>
      </c>
      <c r="D14439">
        <v>4665.54</v>
      </c>
      <c r="E14439" s="37" t="str">
        <f t="shared" si="1125"/>
        <v>Excellent Order</v>
      </c>
      <c r="F14439">
        <v>0.37</v>
      </c>
      <c r="G14439" s="37" t="str">
        <f t="shared" si="1126"/>
        <v>Heavy Discount</v>
      </c>
      <c r="H14439" s="37" t="str">
        <f t="shared" si="1127"/>
        <v>Medium</v>
      </c>
      <c r="I14439">
        <v>3</v>
      </c>
      <c r="J14439" t="str" cm="1">
        <f t="array" ref="J14439">_xlfn.IFS(I14439&lt;=3,"small",I14439&lt;=6,"Medium",I14439&lt;=9,"Large")</f>
        <v>small</v>
      </c>
      <c r="K14439" s="36">
        <v>45272</v>
      </c>
      <c r="L14439" s="36">
        <v>45279</v>
      </c>
      <c r="M14439" t="s">
        <v>612</v>
      </c>
      <c r="N14439" t="s">
        <v>599</v>
      </c>
      <c r="O14439" s="37" t="str">
        <f t="shared" si="1128"/>
        <v>Digital Payment</v>
      </c>
      <c r="P14439">
        <v>1195.2</v>
      </c>
      <c r="Q14439" s="37" t="str">
        <f>IF(P14439&gt;500,"High","low")</f>
        <v>High</v>
      </c>
      <c r="R14439" s="37" t="str">
        <f t="shared" si="1129"/>
        <v>Excellent</v>
      </c>
      <c r="S14439" t="s">
        <v>605</v>
      </c>
    </row>
    <row r="14440" spans="1:19" x14ac:dyDescent="0.2">
      <c r="A14440" t="s">
        <v>15051</v>
      </c>
      <c r="B14440" t="s">
        <v>90</v>
      </c>
      <c r="C14440" t="s">
        <v>614</v>
      </c>
      <c r="D14440">
        <v>2932.74</v>
      </c>
      <c r="E14440" s="37" t="str">
        <f t="shared" si="1125"/>
        <v xml:space="preserve"> </v>
      </c>
      <c r="F14440">
        <v>0.42</v>
      </c>
      <c r="G14440" s="37" t="str">
        <f t="shared" si="1126"/>
        <v>Heavy Discount</v>
      </c>
      <c r="H14440" s="37" t="str">
        <f t="shared" si="1127"/>
        <v>High</v>
      </c>
      <c r="I14440">
        <v>2</v>
      </c>
      <c r="J14440" t="str" cm="1">
        <f t="array" ref="J14440">_xlfn.IFS(I14440&lt;=3,"small",I14440&lt;=6,"Medium",I14440&lt;=9,"Large")</f>
        <v>small</v>
      </c>
      <c r="K14440" s="36">
        <v>45100</v>
      </c>
      <c r="L14440" s="36">
        <v>45106</v>
      </c>
      <c r="M14440" t="s">
        <v>598</v>
      </c>
      <c r="N14440" t="s">
        <v>599</v>
      </c>
      <c r="O14440" s="37" t="str">
        <f t="shared" si="1128"/>
        <v>Digital Payment</v>
      </c>
      <c r="P14440">
        <v>300.98</v>
      </c>
      <c r="Q14440" s="37" t="str">
        <f>IF(P14440&gt;500,"High","low")</f>
        <v>low</v>
      </c>
      <c r="R14440" s="37" t="str">
        <f t="shared" si="1129"/>
        <v>AVERAGE</v>
      </c>
      <c r="S14440" t="s">
        <v>628</v>
      </c>
    </row>
    <row r="14441" spans="1:19" x14ac:dyDescent="0.2">
      <c r="A14441" t="s">
        <v>15052</v>
      </c>
      <c r="B14441" t="s">
        <v>90</v>
      </c>
      <c r="C14441" t="s">
        <v>617</v>
      </c>
      <c r="D14441">
        <v>2608.1999999999998</v>
      </c>
      <c r="E14441" s="37" t="str">
        <f t="shared" si="1125"/>
        <v xml:space="preserve"> </v>
      </c>
      <c r="F14441">
        <v>0.17</v>
      </c>
      <c r="G14441" s="37" t="str">
        <f t="shared" si="1126"/>
        <v>Normal Discount</v>
      </c>
      <c r="H14441" s="37" t="str">
        <f t="shared" si="1127"/>
        <v>Low</v>
      </c>
      <c r="I14441">
        <v>4</v>
      </c>
      <c r="J14441" t="str" cm="1">
        <f t="array" ref="J14441">_xlfn.IFS(I14441&lt;=3,"small",I14441&lt;=6,"Medium",I14441&lt;=9,"Large")</f>
        <v>Medium</v>
      </c>
      <c r="K14441" s="36">
        <v>45143</v>
      </c>
      <c r="L14441" s="36">
        <v>45144</v>
      </c>
      <c r="M14441" t="s">
        <v>598</v>
      </c>
      <c r="N14441" t="s">
        <v>608</v>
      </c>
      <c r="O14441" s="37" t="str">
        <f t="shared" si="1128"/>
        <v>Cash Payment</v>
      </c>
      <c r="P14441">
        <v>779.73</v>
      </c>
      <c r="Q14441" s="37" t="str">
        <f>IF(P14441&gt;500,"High","low")</f>
        <v>High</v>
      </c>
      <c r="R14441" s="37" t="str">
        <f t="shared" si="1129"/>
        <v>Good</v>
      </c>
      <c r="S14441" t="s">
        <v>609</v>
      </c>
    </row>
    <row r="14442" spans="1:19" x14ac:dyDescent="0.2">
      <c r="A14442" t="s">
        <v>15053</v>
      </c>
      <c r="B14442" t="s">
        <v>75</v>
      </c>
      <c r="C14442" t="s">
        <v>614</v>
      </c>
      <c r="D14442">
        <v>4880.8999999999996</v>
      </c>
      <c r="E14442" s="37" t="str">
        <f t="shared" si="1125"/>
        <v>Excellent Order</v>
      </c>
      <c r="F14442">
        <v>0.47</v>
      </c>
      <c r="G14442" s="37" t="str">
        <f t="shared" si="1126"/>
        <v>Heavy Discount</v>
      </c>
      <c r="H14442" s="37" t="str">
        <f t="shared" si="1127"/>
        <v>High</v>
      </c>
      <c r="I14442">
        <v>4</v>
      </c>
      <c r="J14442" t="str" cm="1">
        <f t="array" ref="J14442">_xlfn.IFS(I14442&lt;=3,"small",I14442&lt;=6,"Medium",I14442&lt;=9,"Large")</f>
        <v>Medium</v>
      </c>
      <c r="K14442" s="36">
        <v>45463</v>
      </c>
      <c r="L14442" s="36">
        <v>45467</v>
      </c>
      <c r="M14442" t="s">
        <v>598</v>
      </c>
      <c r="N14442" t="s">
        <v>604</v>
      </c>
      <c r="O14442" s="37" t="str">
        <f t="shared" si="1128"/>
        <v>Digital Payment</v>
      </c>
      <c r="P14442">
        <v>1270.04</v>
      </c>
      <c r="Q14442" s="37" t="str">
        <f>IF(P14442&gt;500,"High","low")</f>
        <v>High</v>
      </c>
      <c r="R14442" s="37" t="str">
        <f t="shared" si="1129"/>
        <v>Excellent</v>
      </c>
      <c r="S14442" t="s">
        <v>620</v>
      </c>
    </row>
    <row r="14443" spans="1:19" x14ac:dyDescent="0.2">
      <c r="A14443" t="s">
        <v>15054</v>
      </c>
      <c r="B14443" t="s">
        <v>90</v>
      </c>
      <c r="C14443" t="s">
        <v>602</v>
      </c>
      <c r="D14443">
        <v>1109.47</v>
      </c>
      <c r="E14443" s="37" t="str">
        <f t="shared" si="1125"/>
        <v xml:space="preserve"> </v>
      </c>
      <c r="F14443">
        <v>0.12</v>
      </c>
      <c r="G14443" s="37" t="str">
        <f t="shared" si="1126"/>
        <v>Normal Discount</v>
      </c>
      <c r="H14443" s="37" t="str">
        <f t="shared" si="1127"/>
        <v>Low</v>
      </c>
      <c r="I14443">
        <v>4</v>
      </c>
      <c r="J14443" t="str" cm="1">
        <f t="array" ref="J14443">_xlfn.IFS(I14443&lt;=3,"small",I14443&lt;=6,"Medium",I14443&lt;=9,"Large")</f>
        <v>Medium</v>
      </c>
      <c r="K14443" s="36">
        <v>45415</v>
      </c>
      <c r="L14443" s="36">
        <v>45421</v>
      </c>
      <c r="M14443" t="s">
        <v>612</v>
      </c>
      <c r="N14443" t="s">
        <v>604</v>
      </c>
      <c r="O14443" s="37" t="str">
        <f t="shared" si="1128"/>
        <v>Digital Payment</v>
      </c>
      <c r="P14443">
        <v>64.86</v>
      </c>
      <c r="Q14443" s="37" t="str">
        <f>IF(P14443&gt;500,"High","low")</f>
        <v>low</v>
      </c>
      <c r="R14443" s="37" t="str">
        <f t="shared" si="1129"/>
        <v>AVERAGE</v>
      </c>
      <c r="S14443" t="s">
        <v>609</v>
      </c>
    </row>
    <row r="14444" spans="1:19" x14ac:dyDescent="0.2">
      <c r="A14444" t="s">
        <v>15055</v>
      </c>
      <c r="B14444" t="s">
        <v>83</v>
      </c>
      <c r="C14444" t="s">
        <v>614</v>
      </c>
      <c r="D14444">
        <v>795.64</v>
      </c>
      <c r="E14444" s="37" t="str">
        <f t="shared" si="1125"/>
        <v xml:space="preserve"> </v>
      </c>
      <c r="F14444">
        <v>0.04</v>
      </c>
      <c r="G14444" s="37" t="str">
        <f t="shared" si="1126"/>
        <v>Normal Discount</v>
      </c>
      <c r="H14444" s="37" t="str">
        <f t="shared" si="1127"/>
        <v>Low</v>
      </c>
      <c r="I14444">
        <v>3</v>
      </c>
      <c r="J14444" t="str" cm="1">
        <f t="array" ref="J14444">_xlfn.IFS(I14444&lt;=3,"small",I14444&lt;=6,"Medium",I14444&lt;=9,"Large")</f>
        <v>small</v>
      </c>
      <c r="K14444" s="36">
        <v>45239</v>
      </c>
      <c r="L14444" s="36">
        <v>45245</v>
      </c>
      <c r="M14444" t="s">
        <v>598</v>
      </c>
      <c r="N14444" t="s">
        <v>599</v>
      </c>
      <c r="O14444" s="37" t="str">
        <f t="shared" si="1128"/>
        <v>Digital Payment</v>
      </c>
      <c r="P14444">
        <v>179.13</v>
      </c>
      <c r="Q14444" s="37" t="str">
        <f>IF(P14444&gt;500,"High","low")</f>
        <v>low</v>
      </c>
      <c r="R14444" s="37" t="str">
        <f t="shared" si="1129"/>
        <v>AVERAGE</v>
      </c>
      <c r="S14444" t="s">
        <v>605</v>
      </c>
    </row>
    <row r="14445" spans="1:19" x14ac:dyDescent="0.2">
      <c r="A14445" t="s">
        <v>15056</v>
      </c>
      <c r="B14445" t="s">
        <v>75</v>
      </c>
      <c r="C14445" t="s">
        <v>607</v>
      </c>
      <c r="D14445">
        <v>895.19</v>
      </c>
      <c r="E14445" s="37" t="str">
        <f t="shared" si="1125"/>
        <v xml:space="preserve"> </v>
      </c>
      <c r="F14445">
        <v>0.46</v>
      </c>
      <c r="G14445" s="37" t="str">
        <f t="shared" si="1126"/>
        <v>Heavy Discount</v>
      </c>
      <c r="H14445" s="37" t="str">
        <f t="shared" si="1127"/>
        <v>High</v>
      </c>
      <c r="I14445">
        <v>7</v>
      </c>
      <c r="J14445" t="str" cm="1">
        <f t="array" ref="J14445">_xlfn.IFS(I14445&lt;=3,"small",I14445&lt;=6,"Medium",I14445&lt;=9,"Large")</f>
        <v>Large</v>
      </c>
      <c r="K14445" s="36">
        <v>45586</v>
      </c>
      <c r="L14445" s="36">
        <v>45589</v>
      </c>
      <c r="M14445" t="s">
        <v>598</v>
      </c>
      <c r="N14445" t="s">
        <v>599</v>
      </c>
      <c r="O14445" s="37" t="str">
        <f t="shared" si="1128"/>
        <v>Digital Payment</v>
      </c>
      <c r="P14445">
        <v>78.53</v>
      </c>
      <c r="Q14445" s="37" t="str">
        <f>IF(P14445&gt;500,"High","low")</f>
        <v>low</v>
      </c>
      <c r="R14445" s="37" t="str">
        <f t="shared" si="1129"/>
        <v>AVERAGE</v>
      </c>
      <c r="S14445" t="s">
        <v>628</v>
      </c>
    </row>
    <row r="14446" spans="1:19" x14ac:dyDescent="0.2">
      <c r="A14446" t="s">
        <v>15057</v>
      </c>
      <c r="B14446" t="s">
        <v>90</v>
      </c>
      <c r="C14446" t="s">
        <v>607</v>
      </c>
      <c r="D14446">
        <v>4948.2700000000004</v>
      </c>
      <c r="E14446" s="37" t="str">
        <f t="shared" si="1125"/>
        <v>Excellent Order</v>
      </c>
      <c r="F14446">
        <v>0.27</v>
      </c>
      <c r="G14446" s="37" t="str">
        <f t="shared" si="1126"/>
        <v>Normal Discount</v>
      </c>
      <c r="H14446" s="37" t="str">
        <f t="shared" si="1127"/>
        <v>Medium</v>
      </c>
      <c r="I14446">
        <v>5</v>
      </c>
      <c r="J14446" t="str" cm="1">
        <f t="array" ref="J14446">_xlfn.IFS(I14446&lt;=3,"small",I14446&lt;=6,"Medium",I14446&lt;=9,"Large")</f>
        <v>Medium</v>
      </c>
      <c r="K14446" s="36">
        <v>45615</v>
      </c>
      <c r="L14446" s="36">
        <v>45616</v>
      </c>
      <c r="M14446" t="s">
        <v>598</v>
      </c>
      <c r="N14446" t="s">
        <v>608</v>
      </c>
      <c r="O14446" s="37" t="str">
        <f t="shared" si="1128"/>
        <v>Cash Payment</v>
      </c>
      <c r="P14446">
        <v>1253.6199999999999</v>
      </c>
      <c r="Q14446" s="37" t="str">
        <f>IF(P14446&gt;500,"High","low")</f>
        <v>High</v>
      </c>
      <c r="R14446" s="37" t="str">
        <f t="shared" si="1129"/>
        <v>Excellent</v>
      </c>
      <c r="S14446" t="s">
        <v>605</v>
      </c>
    </row>
    <row r="14447" spans="1:19" x14ac:dyDescent="0.2">
      <c r="A14447" t="s">
        <v>15058</v>
      </c>
      <c r="B14447" t="s">
        <v>67</v>
      </c>
      <c r="C14447" t="s">
        <v>602</v>
      </c>
      <c r="D14447">
        <v>3296.03</v>
      </c>
      <c r="E14447" s="37" t="str">
        <f t="shared" si="1125"/>
        <v xml:space="preserve"> </v>
      </c>
      <c r="F14447">
        <v>0.18</v>
      </c>
      <c r="G14447" s="37" t="str">
        <f t="shared" si="1126"/>
        <v>Normal Discount</v>
      </c>
      <c r="H14447" s="37" t="str">
        <f t="shared" si="1127"/>
        <v>Low</v>
      </c>
      <c r="I14447">
        <v>4</v>
      </c>
      <c r="J14447" t="str" cm="1">
        <f t="array" ref="J14447">_xlfn.IFS(I14447&lt;=3,"small",I14447&lt;=6,"Medium",I14447&lt;=9,"Large")</f>
        <v>Medium</v>
      </c>
      <c r="K14447" s="36">
        <v>45088</v>
      </c>
      <c r="L14447" s="36">
        <v>45093</v>
      </c>
      <c r="M14447" t="s">
        <v>598</v>
      </c>
      <c r="N14447" t="s">
        <v>604</v>
      </c>
      <c r="O14447" s="37" t="str">
        <f t="shared" si="1128"/>
        <v>Digital Payment</v>
      </c>
      <c r="P14447">
        <v>476.79</v>
      </c>
      <c r="Q14447" s="37" t="str">
        <f>IF(P14447&gt;500,"High","low")</f>
        <v>low</v>
      </c>
      <c r="R14447" s="37" t="str">
        <f t="shared" si="1129"/>
        <v>AVERAGE</v>
      </c>
      <c r="S14447" t="s">
        <v>620</v>
      </c>
    </row>
    <row r="14448" spans="1:19" x14ac:dyDescent="0.2">
      <c r="A14448" t="s">
        <v>15059</v>
      </c>
      <c r="B14448" t="s">
        <v>75</v>
      </c>
      <c r="C14448" t="s">
        <v>617</v>
      </c>
      <c r="D14448">
        <v>1599.02</v>
      </c>
      <c r="E14448" s="37" t="str">
        <f t="shared" si="1125"/>
        <v xml:space="preserve"> </v>
      </c>
      <c r="F14448">
        <v>0.45</v>
      </c>
      <c r="G14448" s="37" t="str">
        <f t="shared" si="1126"/>
        <v>Heavy Discount</v>
      </c>
      <c r="H14448" s="37" t="str">
        <f t="shared" si="1127"/>
        <v>High</v>
      </c>
      <c r="I14448">
        <v>5</v>
      </c>
      <c r="J14448" t="str" cm="1">
        <f t="array" ref="J14448">_xlfn.IFS(I14448&lt;=3,"small",I14448&lt;=6,"Medium",I14448&lt;=9,"Large")</f>
        <v>Medium</v>
      </c>
      <c r="K14448" s="36">
        <v>45320</v>
      </c>
      <c r="L14448" s="36">
        <v>45323</v>
      </c>
      <c r="M14448" t="s">
        <v>612</v>
      </c>
      <c r="N14448" t="s">
        <v>608</v>
      </c>
      <c r="O14448" s="37" t="str">
        <f t="shared" si="1128"/>
        <v>Cash Payment</v>
      </c>
      <c r="P14448">
        <v>182.06</v>
      </c>
      <c r="Q14448" s="37" t="str">
        <f>IF(P14448&gt;500,"High","low")</f>
        <v>low</v>
      </c>
      <c r="R14448" s="37" t="str">
        <f t="shared" si="1129"/>
        <v>AVERAGE</v>
      </c>
      <c r="S14448" t="s">
        <v>609</v>
      </c>
    </row>
    <row r="14449" spans="1:19" x14ac:dyDescent="0.2">
      <c r="A14449" t="s">
        <v>15060</v>
      </c>
      <c r="B14449" t="s">
        <v>83</v>
      </c>
      <c r="C14449" t="s">
        <v>597</v>
      </c>
      <c r="D14449">
        <v>1319.99</v>
      </c>
      <c r="E14449" s="37" t="str">
        <f t="shared" si="1125"/>
        <v xml:space="preserve"> </v>
      </c>
      <c r="F14449">
        <v>0.39</v>
      </c>
      <c r="G14449" s="37" t="str">
        <f t="shared" si="1126"/>
        <v>Heavy Discount</v>
      </c>
      <c r="H14449" s="37" t="str">
        <f t="shared" si="1127"/>
        <v>Medium</v>
      </c>
      <c r="I14449">
        <v>7</v>
      </c>
      <c r="J14449" t="str" cm="1">
        <f t="array" ref="J14449">_xlfn.IFS(I14449&lt;=3,"small",I14449&lt;=6,"Medium",I14449&lt;=9,"Large")</f>
        <v>Large</v>
      </c>
      <c r="K14449" s="36">
        <v>45215</v>
      </c>
      <c r="L14449" s="36">
        <v>45218</v>
      </c>
      <c r="M14449" t="s">
        <v>612</v>
      </c>
      <c r="N14449" t="s">
        <v>599</v>
      </c>
      <c r="O14449" s="37" t="str">
        <f t="shared" si="1128"/>
        <v>Digital Payment</v>
      </c>
      <c r="P14449">
        <v>96.82</v>
      </c>
      <c r="Q14449" s="37" t="str">
        <f>IF(P14449&gt;500,"High","low")</f>
        <v>low</v>
      </c>
      <c r="R14449" s="37" t="str">
        <f t="shared" si="1129"/>
        <v>AVERAGE</v>
      </c>
      <c r="S14449" t="s">
        <v>605</v>
      </c>
    </row>
    <row r="14450" spans="1:19" x14ac:dyDescent="0.2">
      <c r="A14450" t="s">
        <v>15061</v>
      </c>
      <c r="B14450" t="s">
        <v>83</v>
      </c>
      <c r="C14450" t="s">
        <v>614</v>
      </c>
      <c r="D14450">
        <v>377.53</v>
      </c>
      <c r="E14450" s="37" t="str">
        <f t="shared" si="1125"/>
        <v xml:space="preserve"> </v>
      </c>
      <c r="F14450">
        <v>0.42</v>
      </c>
      <c r="G14450" s="37" t="str">
        <f t="shared" si="1126"/>
        <v>Heavy Discount</v>
      </c>
      <c r="H14450" s="37" t="str">
        <f t="shared" si="1127"/>
        <v>High</v>
      </c>
      <c r="I14450">
        <v>4</v>
      </c>
      <c r="J14450" t="str" cm="1">
        <f t="array" ref="J14450">_xlfn.IFS(I14450&lt;=3,"small",I14450&lt;=6,"Medium",I14450&lt;=9,"Large")</f>
        <v>Medium</v>
      </c>
      <c r="K14450" s="36">
        <v>45553</v>
      </c>
      <c r="L14450" s="36">
        <v>45560</v>
      </c>
      <c r="M14450" t="s">
        <v>598</v>
      </c>
      <c r="N14450" t="s">
        <v>599</v>
      </c>
      <c r="O14450" s="37" t="str">
        <f t="shared" si="1128"/>
        <v>Digital Payment</v>
      </c>
      <c r="P14450">
        <v>44.54</v>
      </c>
      <c r="Q14450" s="37" t="str">
        <f>IF(P14450&gt;500,"High","low")</f>
        <v>low</v>
      </c>
      <c r="R14450" s="37" t="str">
        <f t="shared" si="1129"/>
        <v>AVERAGE</v>
      </c>
      <c r="S14450" t="s">
        <v>605</v>
      </c>
    </row>
    <row r="14451" spans="1:19" x14ac:dyDescent="0.2">
      <c r="A14451" t="s">
        <v>15062</v>
      </c>
      <c r="B14451" t="s">
        <v>67</v>
      </c>
      <c r="C14451" t="s">
        <v>617</v>
      </c>
      <c r="D14451">
        <v>746.54</v>
      </c>
      <c r="E14451" s="37" t="str">
        <f t="shared" si="1125"/>
        <v xml:space="preserve"> </v>
      </c>
      <c r="F14451">
        <v>0.15</v>
      </c>
      <c r="G14451" s="37" t="str">
        <f t="shared" si="1126"/>
        <v>Normal Discount</v>
      </c>
      <c r="H14451" s="37" t="str">
        <f t="shared" si="1127"/>
        <v>Low</v>
      </c>
      <c r="I14451">
        <v>5</v>
      </c>
      <c r="J14451" t="str" cm="1">
        <f t="array" ref="J14451">_xlfn.IFS(I14451&lt;=3,"small",I14451&lt;=6,"Medium",I14451&lt;=9,"Large")</f>
        <v>Medium</v>
      </c>
      <c r="K14451" s="36">
        <v>45120</v>
      </c>
      <c r="L14451" s="36">
        <v>45125</v>
      </c>
      <c r="M14451" t="s">
        <v>598</v>
      </c>
      <c r="N14451" t="s">
        <v>608</v>
      </c>
      <c r="O14451" s="37" t="str">
        <f t="shared" si="1128"/>
        <v>Cash Payment</v>
      </c>
      <c r="P14451">
        <v>48.01</v>
      </c>
      <c r="Q14451" s="37" t="str">
        <f>IF(P14451&gt;500,"High","low")</f>
        <v>low</v>
      </c>
      <c r="R14451" s="37" t="str">
        <f t="shared" si="1129"/>
        <v>AVERAGE</v>
      </c>
      <c r="S14451" t="s">
        <v>620</v>
      </c>
    </row>
    <row r="14452" spans="1:19" x14ac:dyDescent="0.2">
      <c r="A14452" t="s">
        <v>15063</v>
      </c>
      <c r="B14452" t="s">
        <v>67</v>
      </c>
      <c r="C14452" t="s">
        <v>617</v>
      </c>
      <c r="D14452">
        <v>4550.05</v>
      </c>
      <c r="E14452" s="37" t="str">
        <f t="shared" si="1125"/>
        <v>Excellent Order</v>
      </c>
      <c r="F14452">
        <v>0.44</v>
      </c>
      <c r="G14452" s="37" t="str">
        <f t="shared" si="1126"/>
        <v>Heavy Discount</v>
      </c>
      <c r="H14452" s="37" t="str">
        <f t="shared" si="1127"/>
        <v>High</v>
      </c>
      <c r="I14452">
        <v>6</v>
      </c>
      <c r="J14452" t="str" cm="1">
        <f t="array" ref="J14452">_xlfn.IFS(I14452&lt;=3,"small",I14452&lt;=6,"Medium",I14452&lt;=9,"Large")</f>
        <v>Medium</v>
      </c>
      <c r="K14452" s="36">
        <v>44973</v>
      </c>
      <c r="L14452" s="36">
        <v>44980</v>
      </c>
      <c r="M14452" t="s">
        <v>612</v>
      </c>
      <c r="N14452" t="s">
        <v>599</v>
      </c>
      <c r="O14452" s="37" t="str">
        <f t="shared" si="1128"/>
        <v>Digital Payment</v>
      </c>
      <c r="P14452">
        <v>1353.74</v>
      </c>
      <c r="Q14452" s="37" t="str">
        <f>IF(P14452&gt;500,"High","low")</f>
        <v>High</v>
      </c>
      <c r="R14452" s="37" t="str">
        <f t="shared" si="1129"/>
        <v>Excellent</v>
      </c>
      <c r="S14452" t="s">
        <v>605</v>
      </c>
    </row>
    <row r="14453" spans="1:19" x14ac:dyDescent="0.2">
      <c r="A14453" t="s">
        <v>15064</v>
      </c>
      <c r="B14453" t="s">
        <v>75</v>
      </c>
      <c r="C14453" t="s">
        <v>614</v>
      </c>
      <c r="D14453">
        <v>3761.97</v>
      </c>
      <c r="E14453" s="37" t="str">
        <f t="shared" si="1125"/>
        <v xml:space="preserve"> </v>
      </c>
      <c r="F14453">
        <v>0.32</v>
      </c>
      <c r="G14453" s="37" t="str">
        <f t="shared" si="1126"/>
        <v>Heavy Discount</v>
      </c>
      <c r="H14453" s="37" t="str">
        <f t="shared" si="1127"/>
        <v>Medium</v>
      </c>
      <c r="I14453">
        <v>6</v>
      </c>
      <c r="J14453" t="str" cm="1">
        <f t="array" ref="J14453">_xlfn.IFS(I14453&lt;=3,"small",I14453&lt;=6,"Medium",I14453&lt;=9,"Large")</f>
        <v>Medium</v>
      </c>
      <c r="K14453" s="36">
        <v>45615</v>
      </c>
      <c r="L14453" s="36">
        <v>45619</v>
      </c>
      <c r="M14453" t="s">
        <v>612</v>
      </c>
      <c r="N14453" t="s">
        <v>599</v>
      </c>
      <c r="O14453" s="37" t="str">
        <f t="shared" si="1128"/>
        <v>Digital Payment</v>
      </c>
      <c r="P14453">
        <v>435.69</v>
      </c>
      <c r="Q14453" s="37" t="str">
        <f>IF(P14453&gt;500,"High","low")</f>
        <v>low</v>
      </c>
      <c r="R14453" s="37" t="str">
        <f t="shared" si="1129"/>
        <v>AVERAGE</v>
      </c>
      <c r="S14453" t="s">
        <v>600</v>
      </c>
    </row>
    <row r="14454" spans="1:19" x14ac:dyDescent="0.2">
      <c r="A14454" t="s">
        <v>15065</v>
      </c>
      <c r="B14454" t="s">
        <v>75</v>
      </c>
      <c r="C14454" t="s">
        <v>597</v>
      </c>
      <c r="D14454">
        <v>4713.6400000000003</v>
      </c>
      <c r="E14454" s="37" t="str">
        <f t="shared" si="1125"/>
        <v xml:space="preserve"> </v>
      </c>
      <c r="F14454">
        <v>0.37</v>
      </c>
      <c r="G14454" s="37" t="str">
        <f t="shared" si="1126"/>
        <v>Heavy Discount</v>
      </c>
      <c r="H14454" s="37" t="str">
        <f t="shared" si="1127"/>
        <v>Medium</v>
      </c>
      <c r="I14454">
        <v>7</v>
      </c>
      <c r="J14454" t="str" cm="1">
        <f t="array" ref="J14454">_xlfn.IFS(I14454&lt;=3,"small",I14454&lt;=6,"Medium",I14454&lt;=9,"Large")</f>
        <v>Large</v>
      </c>
      <c r="K14454" s="36">
        <v>44956</v>
      </c>
      <c r="L14454" s="36">
        <v>44963</v>
      </c>
      <c r="M14454" t="s">
        <v>612</v>
      </c>
      <c r="N14454" t="s">
        <v>604</v>
      </c>
      <c r="O14454" s="37" t="str">
        <f t="shared" si="1128"/>
        <v>Digital Payment</v>
      </c>
      <c r="P14454">
        <v>590.63</v>
      </c>
      <c r="Q14454" s="37" t="str">
        <f>IF(P14454&gt;500,"High","low")</f>
        <v>High</v>
      </c>
      <c r="R14454" s="37" t="str">
        <f t="shared" si="1129"/>
        <v>Good</v>
      </c>
      <c r="S14454" t="s">
        <v>620</v>
      </c>
    </row>
    <row r="14455" spans="1:19" x14ac:dyDescent="0.2">
      <c r="A14455" t="s">
        <v>15066</v>
      </c>
      <c r="B14455" t="s">
        <v>83</v>
      </c>
      <c r="C14455" t="s">
        <v>614</v>
      </c>
      <c r="D14455">
        <v>2176.2800000000002</v>
      </c>
      <c r="E14455" s="37" t="str">
        <f t="shared" si="1125"/>
        <v xml:space="preserve"> </v>
      </c>
      <c r="F14455">
        <v>0.16</v>
      </c>
      <c r="G14455" s="37" t="str">
        <f t="shared" si="1126"/>
        <v>Normal Discount</v>
      </c>
      <c r="H14455" s="37" t="str">
        <f t="shared" si="1127"/>
        <v>Low</v>
      </c>
      <c r="I14455">
        <v>3</v>
      </c>
      <c r="J14455" t="str" cm="1">
        <f t="array" ref="J14455">_xlfn.IFS(I14455&lt;=3,"small",I14455&lt;=6,"Medium",I14455&lt;=9,"Large")</f>
        <v>small</v>
      </c>
      <c r="K14455" s="36">
        <v>45413</v>
      </c>
      <c r="L14455" s="36">
        <v>45418</v>
      </c>
      <c r="M14455" t="s">
        <v>603</v>
      </c>
      <c r="N14455" t="s">
        <v>599</v>
      </c>
      <c r="O14455" s="37" t="str">
        <f t="shared" si="1128"/>
        <v>Digital Payment</v>
      </c>
      <c r="P14455">
        <v>301.02</v>
      </c>
      <c r="Q14455" s="37" t="str">
        <f>IF(P14455&gt;500,"High","low")</f>
        <v>low</v>
      </c>
      <c r="R14455" s="37" t="str">
        <f t="shared" si="1129"/>
        <v>AVERAGE</v>
      </c>
      <c r="S14455" t="s">
        <v>605</v>
      </c>
    </row>
    <row r="14456" spans="1:19" x14ac:dyDescent="0.2">
      <c r="A14456" t="s">
        <v>15067</v>
      </c>
      <c r="B14456" t="s">
        <v>67</v>
      </c>
      <c r="C14456" t="s">
        <v>597</v>
      </c>
      <c r="D14456">
        <v>3046.06</v>
      </c>
      <c r="E14456" s="37" t="str">
        <f t="shared" si="1125"/>
        <v xml:space="preserve"> </v>
      </c>
      <c r="F14456">
        <v>0.12</v>
      </c>
      <c r="G14456" s="37" t="str">
        <f t="shared" si="1126"/>
        <v>Normal Discount</v>
      </c>
      <c r="H14456" s="37" t="str">
        <f t="shared" si="1127"/>
        <v>Low</v>
      </c>
      <c r="I14456">
        <v>8</v>
      </c>
      <c r="J14456" t="str" cm="1">
        <f t="array" ref="J14456">_xlfn.IFS(I14456&lt;=3,"small",I14456&lt;=6,"Medium",I14456&lt;=9,"Large")</f>
        <v>Large</v>
      </c>
      <c r="K14456" s="36">
        <v>45137</v>
      </c>
      <c r="L14456" s="36">
        <v>45140</v>
      </c>
      <c r="M14456" t="s">
        <v>612</v>
      </c>
      <c r="N14456" t="s">
        <v>604</v>
      </c>
      <c r="O14456" s="37" t="str">
        <f t="shared" si="1128"/>
        <v>Digital Payment</v>
      </c>
      <c r="P14456">
        <v>475.69</v>
      </c>
      <c r="Q14456" s="37" t="str">
        <f>IF(P14456&gt;500,"High","low")</f>
        <v>low</v>
      </c>
      <c r="R14456" s="37" t="str">
        <f t="shared" si="1129"/>
        <v>AVERAGE</v>
      </c>
      <c r="S14456" t="s">
        <v>605</v>
      </c>
    </row>
    <row r="14457" spans="1:19" x14ac:dyDescent="0.2">
      <c r="A14457" t="s">
        <v>15068</v>
      </c>
      <c r="B14457" t="s">
        <v>75</v>
      </c>
      <c r="C14457" t="s">
        <v>602</v>
      </c>
      <c r="D14457">
        <v>2469.9899999999998</v>
      </c>
      <c r="E14457" s="37" t="str">
        <f t="shared" si="1125"/>
        <v xml:space="preserve"> </v>
      </c>
      <c r="F14457">
        <v>0.2</v>
      </c>
      <c r="G14457" s="37" t="str">
        <f t="shared" si="1126"/>
        <v>Normal Discount</v>
      </c>
      <c r="H14457" s="37" t="str">
        <f t="shared" si="1127"/>
        <v>Medium</v>
      </c>
      <c r="I14457">
        <v>5</v>
      </c>
      <c r="J14457" t="str" cm="1">
        <f t="array" ref="J14457">_xlfn.IFS(I14457&lt;=3,"small",I14457&lt;=6,"Medium",I14457&lt;=9,"Large")</f>
        <v>Medium</v>
      </c>
      <c r="K14457" s="36">
        <v>45395</v>
      </c>
      <c r="L14457" s="36">
        <v>45402</v>
      </c>
      <c r="M14457" t="s">
        <v>612</v>
      </c>
      <c r="N14457" t="s">
        <v>599</v>
      </c>
      <c r="O14457" s="37" t="str">
        <f t="shared" si="1128"/>
        <v>Digital Payment</v>
      </c>
      <c r="P14457">
        <v>328.99</v>
      </c>
      <c r="Q14457" s="37" t="str">
        <f>IF(P14457&gt;500,"High","low")</f>
        <v>low</v>
      </c>
      <c r="R14457" s="37" t="str">
        <f t="shared" si="1129"/>
        <v>AVERAGE</v>
      </c>
      <c r="S14457" t="s">
        <v>620</v>
      </c>
    </row>
    <row r="14458" spans="1:19" x14ac:dyDescent="0.2">
      <c r="A14458" t="s">
        <v>15069</v>
      </c>
      <c r="B14458" t="s">
        <v>83</v>
      </c>
      <c r="C14458" t="s">
        <v>597</v>
      </c>
      <c r="D14458">
        <v>4418.79</v>
      </c>
      <c r="E14458" s="37" t="str">
        <f t="shared" si="1125"/>
        <v>Excellent Order</v>
      </c>
      <c r="F14458">
        <v>0.28999999999999998</v>
      </c>
      <c r="G14458" s="37" t="str">
        <f t="shared" si="1126"/>
        <v>Normal Discount</v>
      </c>
      <c r="H14458" s="37" t="str">
        <f t="shared" si="1127"/>
        <v>Medium</v>
      </c>
      <c r="I14458">
        <v>1</v>
      </c>
      <c r="J14458" t="str" cm="1">
        <f t="array" ref="J14458">_xlfn.IFS(I14458&lt;=3,"small",I14458&lt;=6,"Medium",I14458&lt;=9,"Large")</f>
        <v>small</v>
      </c>
      <c r="K14458" s="36">
        <v>45241</v>
      </c>
      <c r="L14458" s="36">
        <v>45245</v>
      </c>
      <c r="M14458" t="s">
        <v>612</v>
      </c>
      <c r="N14458" t="s">
        <v>604</v>
      </c>
      <c r="O14458" s="37" t="str">
        <f t="shared" si="1128"/>
        <v>Digital Payment</v>
      </c>
      <c r="P14458">
        <v>864.91</v>
      </c>
      <c r="Q14458" s="37" t="str">
        <f>IF(P14458&gt;500,"High","low")</f>
        <v>High</v>
      </c>
      <c r="R14458" s="37" t="str">
        <f t="shared" si="1129"/>
        <v>Good</v>
      </c>
      <c r="S14458" t="s">
        <v>620</v>
      </c>
    </row>
    <row r="14459" spans="1:19" x14ac:dyDescent="0.2">
      <c r="A14459" t="s">
        <v>15070</v>
      </c>
      <c r="B14459" t="s">
        <v>67</v>
      </c>
      <c r="C14459" t="s">
        <v>617</v>
      </c>
      <c r="D14459">
        <v>4957.7700000000004</v>
      </c>
      <c r="E14459" s="37" t="str">
        <f t="shared" si="1125"/>
        <v>Excellent Order</v>
      </c>
      <c r="F14459">
        <v>0.33</v>
      </c>
      <c r="G14459" s="37" t="str">
        <f t="shared" si="1126"/>
        <v>Heavy Discount</v>
      </c>
      <c r="H14459" s="37" t="str">
        <f t="shared" si="1127"/>
        <v>Medium</v>
      </c>
      <c r="I14459">
        <v>4</v>
      </c>
      <c r="J14459" t="str" cm="1">
        <f t="array" ref="J14459">_xlfn.IFS(I14459&lt;=3,"small",I14459&lt;=6,"Medium",I14459&lt;=9,"Large")</f>
        <v>Medium</v>
      </c>
      <c r="K14459" s="36">
        <v>45418</v>
      </c>
      <c r="L14459" s="36">
        <v>45424</v>
      </c>
      <c r="M14459" t="s">
        <v>598</v>
      </c>
      <c r="N14459" t="s">
        <v>599</v>
      </c>
      <c r="O14459" s="37" t="str">
        <f t="shared" si="1128"/>
        <v>Digital Payment</v>
      </c>
      <c r="P14459">
        <v>1004.1</v>
      </c>
      <c r="Q14459" s="37" t="str">
        <f>IF(P14459&gt;500,"High","low")</f>
        <v>High</v>
      </c>
      <c r="R14459" s="37" t="str">
        <f t="shared" si="1129"/>
        <v>Excellent</v>
      </c>
      <c r="S14459" t="s">
        <v>620</v>
      </c>
    </row>
    <row r="14460" spans="1:19" x14ac:dyDescent="0.2">
      <c r="A14460" t="s">
        <v>15071</v>
      </c>
      <c r="B14460" t="s">
        <v>83</v>
      </c>
      <c r="C14460" t="s">
        <v>602</v>
      </c>
      <c r="D14460">
        <v>4670.6000000000004</v>
      </c>
      <c r="E14460" s="37" t="str">
        <f t="shared" si="1125"/>
        <v xml:space="preserve"> </v>
      </c>
      <c r="F14460">
        <v>0.25</v>
      </c>
      <c r="G14460" s="37" t="str">
        <f t="shared" si="1126"/>
        <v>Normal Discount</v>
      </c>
      <c r="H14460" s="37" t="str">
        <f t="shared" si="1127"/>
        <v>Medium</v>
      </c>
      <c r="I14460">
        <v>4</v>
      </c>
      <c r="J14460" t="str" cm="1">
        <f t="array" ref="J14460">_xlfn.IFS(I14460&lt;=3,"small",I14460&lt;=6,"Medium",I14460&lt;=9,"Large")</f>
        <v>Medium</v>
      </c>
      <c r="K14460" s="36">
        <v>45213</v>
      </c>
      <c r="L14460" s="36">
        <v>45219</v>
      </c>
      <c r="M14460" t="s">
        <v>612</v>
      </c>
      <c r="N14460" t="s">
        <v>604</v>
      </c>
      <c r="O14460" s="37" t="str">
        <f t="shared" si="1128"/>
        <v>Digital Payment</v>
      </c>
      <c r="P14460">
        <v>286.49</v>
      </c>
      <c r="Q14460" s="37" t="str">
        <f>IF(P14460&gt;500,"High","low")</f>
        <v>low</v>
      </c>
      <c r="R14460" s="37" t="str">
        <f t="shared" si="1129"/>
        <v>AVERAGE</v>
      </c>
      <c r="S14460" t="s">
        <v>605</v>
      </c>
    </row>
    <row r="14461" spans="1:19" x14ac:dyDescent="0.2">
      <c r="A14461" t="s">
        <v>15072</v>
      </c>
      <c r="B14461" t="s">
        <v>90</v>
      </c>
      <c r="C14461" t="s">
        <v>607</v>
      </c>
      <c r="D14461">
        <v>3030.47</v>
      </c>
      <c r="E14461" s="37" t="str">
        <f t="shared" si="1125"/>
        <v xml:space="preserve"> </v>
      </c>
      <c r="F14461">
        <v>0.35</v>
      </c>
      <c r="G14461" s="37" t="str">
        <f t="shared" si="1126"/>
        <v>Heavy Discount</v>
      </c>
      <c r="H14461" s="37" t="str">
        <f t="shared" si="1127"/>
        <v>Medium</v>
      </c>
      <c r="I14461">
        <v>8</v>
      </c>
      <c r="J14461" t="str" cm="1">
        <f t="array" ref="J14461">_xlfn.IFS(I14461&lt;=3,"small",I14461&lt;=6,"Medium",I14461&lt;=9,"Large")</f>
        <v>Large</v>
      </c>
      <c r="K14461" s="36">
        <v>45203</v>
      </c>
      <c r="L14461" s="36">
        <v>45208</v>
      </c>
      <c r="M14461" t="s">
        <v>598</v>
      </c>
      <c r="N14461" t="s">
        <v>604</v>
      </c>
      <c r="O14461" s="37" t="str">
        <f t="shared" si="1128"/>
        <v>Digital Payment</v>
      </c>
      <c r="P14461">
        <v>577.84</v>
      </c>
      <c r="Q14461" s="37" t="str">
        <f>IF(P14461&gt;500,"High","low")</f>
        <v>High</v>
      </c>
      <c r="R14461" s="37" t="str">
        <f t="shared" si="1129"/>
        <v>Good</v>
      </c>
      <c r="S14461" t="s">
        <v>600</v>
      </c>
    </row>
    <row r="14462" spans="1:19" x14ac:dyDescent="0.2">
      <c r="A14462" t="s">
        <v>15073</v>
      </c>
      <c r="B14462" t="s">
        <v>67</v>
      </c>
      <c r="C14462" t="s">
        <v>602</v>
      </c>
      <c r="D14462">
        <v>402.83</v>
      </c>
      <c r="E14462" s="37" t="str">
        <f t="shared" si="1125"/>
        <v xml:space="preserve"> </v>
      </c>
      <c r="F14462">
        <v>0.35</v>
      </c>
      <c r="G14462" s="37" t="str">
        <f t="shared" si="1126"/>
        <v>Heavy Discount</v>
      </c>
      <c r="H14462" s="37" t="str">
        <f t="shared" si="1127"/>
        <v>Medium</v>
      </c>
      <c r="I14462">
        <v>9</v>
      </c>
      <c r="J14462" t="str" cm="1">
        <f t="array" ref="J14462">_xlfn.IFS(I14462&lt;=3,"small",I14462&lt;=6,"Medium",I14462&lt;=9,"Large")</f>
        <v>Large</v>
      </c>
      <c r="K14462" s="36">
        <v>45199</v>
      </c>
      <c r="L14462" s="36">
        <v>45203</v>
      </c>
      <c r="M14462" t="s">
        <v>598</v>
      </c>
      <c r="N14462" t="s">
        <v>604</v>
      </c>
      <c r="O14462" s="37" t="str">
        <f t="shared" si="1128"/>
        <v>Digital Payment</v>
      </c>
      <c r="P14462">
        <v>107.92</v>
      </c>
      <c r="Q14462" s="37" t="str">
        <f>IF(P14462&gt;500,"High","low")</f>
        <v>low</v>
      </c>
      <c r="R14462" s="37" t="str">
        <f t="shared" si="1129"/>
        <v>AVERAGE</v>
      </c>
      <c r="S14462" t="s">
        <v>600</v>
      </c>
    </row>
    <row r="14463" spans="1:19" x14ac:dyDescent="0.2">
      <c r="A14463" t="s">
        <v>15074</v>
      </c>
      <c r="B14463" t="s">
        <v>75</v>
      </c>
      <c r="C14463" t="s">
        <v>597</v>
      </c>
      <c r="D14463">
        <v>3125.88</v>
      </c>
      <c r="E14463" s="37" t="str">
        <f t="shared" si="1125"/>
        <v xml:space="preserve"> </v>
      </c>
      <c r="F14463">
        <v>0.33</v>
      </c>
      <c r="G14463" s="37" t="str">
        <f t="shared" si="1126"/>
        <v>Heavy Discount</v>
      </c>
      <c r="H14463" s="37" t="str">
        <f t="shared" si="1127"/>
        <v>Medium</v>
      </c>
      <c r="I14463">
        <v>3</v>
      </c>
      <c r="J14463" t="str" cm="1">
        <f t="array" ref="J14463">_xlfn.IFS(I14463&lt;=3,"small",I14463&lt;=6,"Medium",I14463&lt;=9,"Large")</f>
        <v>small</v>
      </c>
      <c r="K14463" s="36">
        <v>45361</v>
      </c>
      <c r="L14463" s="36">
        <v>45367</v>
      </c>
      <c r="M14463" t="s">
        <v>598</v>
      </c>
      <c r="N14463" t="s">
        <v>604</v>
      </c>
      <c r="O14463" s="37" t="str">
        <f t="shared" si="1128"/>
        <v>Digital Payment</v>
      </c>
      <c r="P14463">
        <v>278.70999999999998</v>
      </c>
      <c r="Q14463" s="37" t="str">
        <f>IF(P14463&gt;500,"High","low")</f>
        <v>low</v>
      </c>
      <c r="R14463" s="37" t="str">
        <f t="shared" si="1129"/>
        <v>AVERAGE</v>
      </c>
      <c r="S14463" t="s">
        <v>620</v>
      </c>
    </row>
    <row r="14464" spans="1:19" x14ac:dyDescent="0.2">
      <c r="A14464" t="s">
        <v>15075</v>
      </c>
      <c r="B14464" t="s">
        <v>75</v>
      </c>
      <c r="C14464" t="s">
        <v>602</v>
      </c>
      <c r="D14464">
        <v>575.53</v>
      </c>
      <c r="E14464" s="37" t="str">
        <f t="shared" si="1125"/>
        <v xml:space="preserve"> </v>
      </c>
      <c r="F14464">
        <v>0.13</v>
      </c>
      <c r="G14464" s="37" t="str">
        <f t="shared" si="1126"/>
        <v>Normal Discount</v>
      </c>
      <c r="H14464" s="37" t="str">
        <f t="shared" si="1127"/>
        <v>Low</v>
      </c>
      <c r="I14464">
        <v>1</v>
      </c>
      <c r="J14464" t="str" cm="1">
        <f t="array" ref="J14464">_xlfn.IFS(I14464&lt;=3,"small",I14464&lt;=6,"Medium",I14464&lt;=9,"Large")</f>
        <v>small</v>
      </c>
      <c r="K14464" s="36">
        <v>45334</v>
      </c>
      <c r="L14464" s="36">
        <v>45341</v>
      </c>
      <c r="M14464" t="s">
        <v>598</v>
      </c>
      <c r="N14464" t="s">
        <v>608</v>
      </c>
      <c r="O14464" s="37" t="str">
        <f t="shared" si="1128"/>
        <v>Cash Payment</v>
      </c>
      <c r="P14464">
        <v>76.31</v>
      </c>
      <c r="Q14464" s="37" t="str">
        <f>IF(P14464&gt;500,"High","low")</f>
        <v>low</v>
      </c>
      <c r="R14464" s="37" t="str">
        <f t="shared" si="1129"/>
        <v>AVERAGE</v>
      </c>
      <c r="S14464" t="s">
        <v>620</v>
      </c>
    </row>
    <row r="14465" spans="1:19" x14ac:dyDescent="0.2">
      <c r="A14465" t="s">
        <v>15076</v>
      </c>
      <c r="B14465" t="s">
        <v>90</v>
      </c>
      <c r="C14465" t="s">
        <v>602</v>
      </c>
      <c r="D14465">
        <v>780.23</v>
      </c>
      <c r="E14465" s="37" t="str">
        <f t="shared" si="1125"/>
        <v xml:space="preserve"> </v>
      </c>
      <c r="F14465">
        <v>0.22</v>
      </c>
      <c r="G14465" s="37" t="str">
        <f t="shared" si="1126"/>
        <v>Normal Discount</v>
      </c>
      <c r="H14465" s="37" t="str">
        <f t="shared" si="1127"/>
        <v>Medium</v>
      </c>
      <c r="I14465">
        <v>8</v>
      </c>
      <c r="J14465" t="str" cm="1">
        <f t="array" ref="J14465">_xlfn.IFS(I14465&lt;=3,"small",I14465&lt;=6,"Medium",I14465&lt;=9,"Large")</f>
        <v>Large</v>
      </c>
      <c r="K14465" s="36">
        <v>45155</v>
      </c>
      <c r="L14465" s="36">
        <v>45156</v>
      </c>
      <c r="M14465" t="s">
        <v>612</v>
      </c>
      <c r="N14465" t="s">
        <v>604</v>
      </c>
      <c r="O14465" s="37" t="str">
        <f t="shared" si="1128"/>
        <v>Digital Payment</v>
      </c>
      <c r="P14465">
        <v>157.44</v>
      </c>
      <c r="Q14465" s="37" t="str">
        <f>IF(P14465&gt;500,"High","low")</f>
        <v>low</v>
      </c>
      <c r="R14465" s="37" t="str">
        <f t="shared" si="1129"/>
        <v>AVERAGE</v>
      </c>
      <c r="S14465" t="s">
        <v>628</v>
      </c>
    </row>
    <row r="14466" spans="1:19" x14ac:dyDescent="0.2">
      <c r="A14466" t="s">
        <v>15077</v>
      </c>
      <c r="B14466" t="s">
        <v>67</v>
      </c>
      <c r="C14466" t="s">
        <v>607</v>
      </c>
      <c r="D14466">
        <v>1037.5899999999999</v>
      </c>
      <c r="E14466" s="37" t="str">
        <f t="shared" si="1125"/>
        <v xml:space="preserve"> </v>
      </c>
      <c r="F14466">
        <v>0.38</v>
      </c>
      <c r="G14466" s="37" t="str">
        <f t="shared" si="1126"/>
        <v>Heavy Discount</v>
      </c>
      <c r="H14466" s="37" t="str">
        <f t="shared" si="1127"/>
        <v>Medium</v>
      </c>
      <c r="I14466">
        <v>9</v>
      </c>
      <c r="J14466" t="str" cm="1">
        <f t="array" ref="J14466">_xlfn.IFS(I14466&lt;=3,"small",I14466&lt;=6,"Medium",I14466&lt;=9,"Large")</f>
        <v>Large</v>
      </c>
      <c r="K14466" s="36">
        <v>45159</v>
      </c>
      <c r="L14466" s="36">
        <v>45166</v>
      </c>
      <c r="M14466" t="s">
        <v>603</v>
      </c>
      <c r="N14466" t="s">
        <v>599</v>
      </c>
      <c r="O14466" s="37" t="str">
        <f t="shared" si="1128"/>
        <v>Digital Payment</v>
      </c>
      <c r="P14466">
        <v>213.98</v>
      </c>
      <c r="Q14466" s="37" t="str">
        <f>IF(P14466&gt;500,"High","low")</f>
        <v>low</v>
      </c>
      <c r="R14466" s="37" t="str">
        <f t="shared" si="1129"/>
        <v>AVERAGE</v>
      </c>
      <c r="S14466" t="s">
        <v>628</v>
      </c>
    </row>
    <row r="14467" spans="1:19" x14ac:dyDescent="0.2">
      <c r="A14467" t="s">
        <v>15078</v>
      </c>
      <c r="B14467" t="s">
        <v>83</v>
      </c>
      <c r="C14467" t="s">
        <v>597</v>
      </c>
      <c r="D14467">
        <v>1881.12</v>
      </c>
      <c r="E14467" s="37" t="str">
        <f t="shared" ref="E14467:E14530" si="1130">IF(AND(D14467&gt;4000,P14467&gt;800),"Excellent Order"," ")</f>
        <v xml:space="preserve"> </v>
      </c>
      <c r="F14467">
        <v>0.44</v>
      </c>
      <c r="G14467" s="37" t="str">
        <f t="shared" ref="G14467:G14530" si="1131">IF(F14467&gt;30%,"Heavy Discount","Normal Discount")</f>
        <v>Heavy Discount</v>
      </c>
      <c r="H14467" s="37" t="str">
        <f t="shared" ref="H14467:H14530" si="1132">IF(F14467&gt;0.4,"High",IF(F14467&gt;=0.2,"Medium","Low"))</f>
        <v>High</v>
      </c>
      <c r="I14467">
        <v>4</v>
      </c>
      <c r="J14467" t="str" cm="1">
        <f t="array" ref="J14467">_xlfn.IFS(I14467&lt;=3,"small",I14467&lt;=6,"Medium",I14467&lt;=9,"Large")</f>
        <v>Medium</v>
      </c>
      <c r="K14467" s="36">
        <v>45536</v>
      </c>
      <c r="L14467" s="36">
        <v>45540</v>
      </c>
      <c r="M14467" t="s">
        <v>598</v>
      </c>
      <c r="N14467" t="s">
        <v>608</v>
      </c>
      <c r="O14467" s="37" t="str">
        <f t="shared" ref="O14467:O14530" si="1133">IF(OR(N14467="Card",N14467="UPI"),"Digital Payment","Cash Payment")</f>
        <v>Cash Payment</v>
      </c>
      <c r="P14467">
        <v>128.85</v>
      </c>
      <c r="Q14467" s="37" t="str">
        <f>IF(P14467&gt;500,"High","low")</f>
        <v>low</v>
      </c>
      <c r="R14467" s="37" t="str">
        <f t="shared" ref="R14467:R14530" si="1134">IF(P14467&gt;1000,"Excellent",IF(P14467&gt;=500,"Good","AVERAGE"))</f>
        <v>AVERAGE</v>
      </c>
      <c r="S14467" t="s">
        <v>628</v>
      </c>
    </row>
    <row r="14468" spans="1:19" x14ac:dyDescent="0.2">
      <c r="A14468" t="s">
        <v>15079</v>
      </c>
      <c r="B14468" t="s">
        <v>75</v>
      </c>
      <c r="C14468" t="s">
        <v>617</v>
      </c>
      <c r="D14468">
        <v>2999.75</v>
      </c>
      <c r="E14468" s="37" t="str">
        <f t="shared" si="1130"/>
        <v xml:space="preserve"> </v>
      </c>
      <c r="F14468">
        <v>0.25</v>
      </c>
      <c r="G14468" s="37" t="str">
        <f t="shared" si="1131"/>
        <v>Normal Discount</v>
      </c>
      <c r="H14468" s="37" t="str">
        <f t="shared" si="1132"/>
        <v>Medium</v>
      </c>
      <c r="I14468">
        <v>5</v>
      </c>
      <c r="J14468" t="str" cm="1">
        <f t="array" ref="J14468">_xlfn.IFS(I14468&lt;=3,"small",I14468&lt;=6,"Medium",I14468&lt;=9,"Large")</f>
        <v>Medium</v>
      </c>
      <c r="K14468" s="36">
        <v>45613</v>
      </c>
      <c r="L14468" s="36">
        <v>45619</v>
      </c>
      <c r="M14468" t="s">
        <v>612</v>
      </c>
      <c r="N14468" t="s">
        <v>599</v>
      </c>
      <c r="O14468" s="37" t="str">
        <f t="shared" si="1133"/>
        <v>Digital Payment</v>
      </c>
      <c r="P14468">
        <v>469.59</v>
      </c>
      <c r="Q14468" s="37" t="str">
        <f>IF(P14468&gt;500,"High","low")</f>
        <v>low</v>
      </c>
      <c r="R14468" s="37" t="str">
        <f t="shared" si="1134"/>
        <v>AVERAGE</v>
      </c>
      <c r="S14468" t="s">
        <v>620</v>
      </c>
    </row>
    <row r="14469" spans="1:19" x14ac:dyDescent="0.2">
      <c r="A14469" t="s">
        <v>15080</v>
      </c>
      <c r="B14469" t="s">
        <v>90</v>
      </c>
      <c r="C14469" t="s">
        <v>602</v>
      </c>
      <c r="D14469">
        <v>1734.41</v>
      </c>
      <c r="E14469" s="37" t="str">
        <f t="shared" si="1130"/>
        <v xml:space="preserve"> </v>
      </c>
      <c r="F14469">
        <v>0.49</v>
      </c>
      <c r="G14469" s="37" t="str">
        <f t="shared" si="1131"/>
        <v>Heavy Discount</v>
      </c>
      <c r="H14469" s="37" t="str">
        <f t="shared" si="1132"/>
        <v>High</v>
      </c>
      <c r="I14469">
        <v>4</v>
      </c>
      <c r="J14469" t="str" cm="1">
        <f t="array" ref="J14469">_xlfn.IFS(I14469&lt;=3,"small",I14469&lt;=6,"Medium",I14469&lt;=9,"Large")</f>
        <v>Medium</v>
      </c>
      <c r="K14469" s="36">
        <v>45198</v>
      </c>
      <c r="L14469" s="36">
        <v>45204</v>
      </c>
      <c r="M14469" t="s">
        <v>612</v>
      </c>
      <c r="N14469" t="s">
        <v>599</v>
      </c>
      <c r="O14469" s="37" t="str">
        <f t="shared" si="1133"/>
        <v>Digital Payment</v>
      </c>
      <c r="P14469">
        <v>103.1</v>
      </c>
      <c r="Q14469" s="37" t="str">
        <f>IF(P14469&gt;500,"High","low")</f>
        <v>low</v>
      </c>
      <c r="R14469" s="37" t="str">
        <f t="shared" si="1134"/>
        <v>AVERAGE</v>
      </c>
      <c r="S14469" t="s">
        <v>628</v>
      </c>
    </row>
    <row r="14470" spans="1:19" x14ac:dyDescent="0.2">
      <c r="A14470" t="s">
        <v>15081</v>
      </c>
      <c r="B14470" t="s">
        <v>90</v>
      </c>
      <c r="C14470" t="s">
        <v>614</v>
      </c>
      <c r="D14470">
        <v>2316.11</v>
      </c>
      <c r="E14470" s="37" t="str">
        <f t="shared" si="1130"/>
        <v xml:space="preserve"> </v>
      </c>
      <c r="F14470">
        <v>0.09</v>
      </c>
      <c r="G14470" s="37" t="str">
        <f t="shared" si="1131"/>
        <v>Normal Discount</v>
      </c>
      <c r="H14470" s="37" t="str">
        <f t="shared" si="1132"/>
        <v>Low</v>
      </c>
      <c r="I14470">
        <v>4</v>
      </c>
      <c r="J14470" t="str" cm="1">
        <f t="array" ref="J14470">_xlfn.IFS(I14470&lt;=3,"small",I14470&lt;=6,"Medium",I14470&lt;=9,"Large")</f>
        <v>Medium</v>
      </c>
      <c r="K14470" s="36">
        <v>44975</v>
      </c>
      <c r="L14470" s="36">
        <v>44981</v>
      </c>
      <c r="M14470" t="s">
        <v>603</v>
      </c>
      <c r="N14470" t="s">
        <v>608</v>
      </c>
      <c r="O14470" s="37" t="str">
        <f t="shared" si="1133"/>
        <v>Cash Payment</v>
      </c>
      <c r="P14470">
        <v>653.33000000000004</v>
      </c>
      <c r="Q14470" s="37" t="str">
        <f>IF(P14470&gt;500,"High","low")</f>
        <v>High</v>
      </c>
      <c r="R14470" s="37" t="str">
        <f t="shared" si="1134"/>
        <v>Good</v>
      </c>
      <c r="S14470" t="s">
        <v>615</v>
      </c>
    </row>
    <row r="14471" spans="1:19" x14ac:dyDescent="0.2">
      <c r="A14471" t="s">
        <v>15082</v>
      </c>
      <c r="B14471" t="s">
        <v>67</v>
      </c>
      <c r="C14471" t="s">
        <v>617</v>
      </c>
      <c r="D14471">
        <v>331.72</v>
      </c>
      <c r="E14471" s="37" t="str">
        <f t="shared" si="1130"/>
        <v xml:space="preserve"> </v>
      </c>
      <c r="F14471">
        <v>0.11</v>
      </c>
      <c r="G14471" s="37" t="str">
        <f t="shared" si="1131"/>
        <v>Normal Discount</v>
      </c>
      <c r="H14471" s="37" t="str">
        <f t="shared" si="1132"/>
        <v>Low</v>
      </c>
      <c r="I14471">
        <v>3</v>
      </c>
      <c r="J14471" t="str" cm="1">
        <f t="array" ref="J14471">_xlfn.IFS(I14471&lt;=3,"small",I14471&lt;=6,"Medium",I14471&lt;=9,"Large")</f>
        <v>small</v>
      </c>
      <c r="K14471" s="36">
        <v>45352</v>
      </c>
      <c r="L14471" s="36">
        <v>45355</v>
      </c>
      <c r="M14471" t="s">
        <v>603</v>
      </c>
      <c r="N14471" t="s">
        <v>604</v>
      </c>
      <c r="O14471" s="37" t="str">
        <f t="shared" si="1133"/>
        <v>Digital Payment</v>
      </c>
      <c r="P14471">
        <v>72.73</v>
      </c>
      <c r="Q14471" s="37" t="str">
        <f>IF(P14471&gt;500,"High","low")</f>
        <v>low</v>
      </c>
      <c r="R14471" s="37" t="str">
        <f t="shared" si="1134"/>
        <v>AVERAGE</v>
      </c>
      <c r="S14471" t="s">
        <v>605</v>
      </c>
    </row>
    <row r="14472" spans="1:19" x14ac:dyDescent="0.2">
      <c r="A14472" t="s">
        <v>15083</v>
      </c>
      <c r="B14472" t="s">
        <v>67</v>
      </c>
      <c r="C14472" t="s">
        <v>602</v>
      </c>
      <c r="D14472">
        <v>3136.81</v>
      </c>
      <c r="E14472" s="37" t="str">
        <f t="shared" si="1130"/>
        <v xml:space="preserve"> </v>
      </c>
      <c r="F14472">
        <v>0.23</v>
      </c>
      <c r="G14472" s="37" t="str">
        <f t="shared" si="1131"/>
        <v>Normal Discount</v>
      </c>
      <c r="H14472" s="37" t="str">
        <f t="shared" si="1132"/>
        <v>Medium</v>
      </c>
      <c r="I14472">
        <v>4</v>
      </c>
      <c r="J14472" t="str" cm="1">
        <f t="array" ref="J14472">_xlfn.IFS(I14472&lt;=3,"small",I14472&lt;=6,"Medium",I14472&lt;=9,"Large")</f>
        <v>Medium</v>
      </c>
      <c r="K14472" s="36">
        <v>45322</v>
      </c>
      <c r="L14472" s="36">
        <v>45327</v>
      </c>
      <c r="M14472" t="s">
        <v>598</v>
      </c>
      <c r="N14472" t="s">
        <v>608</v>
      </c>
      <c r="O14472" s="37" t="str">
        <f t="shared" si="1133"/>
        <v>Cash Payment</v>
      </c>
      <c r="P14472">
        <v>235.12</v>
      </c>
      <c r="Q14472" s="37" t="str">
        <f>IF(P14472&gt;500,"High","low")</f>
        <v>low</v>
      </c>
      <c r="R14472" s="37" t="str">
        <f t="shared" si="1134"/>
        <v>AVERAGE</v>
      </c>
      <c r="S14472" t="s">
        <v>600</v>
      </c>
    </row>
    <row r="14473" spans="1:19" x14ac:dyDescent="0.2">
      <c r="A14473" t="s">
        <v>15084</v>
      </c>
      <c r="B14473" t="s">
        <v>75</v>
      </c>
      <c r="C14473" t="s">
        <v>617</v>
      </c>
      <c r="D14473">
        <v>3319.46</v>
      </c>
      <c r="E14473" s="37" t="str">
        <f t="shared" si="1130"/>
        <v xml:space="preserve"> </v>
      </c>
      <c r="F14473">
        <v>0.25</v>
      </c>
      <c r="G14473" s="37" t="str">
        <f t="shared" si="1131"/>
        <v>Normal Discount</v>
      </c>
      <c r="H14473" s="37" t="str">
        <f t="shared" si="1132"/>
        <v>Medium</v>
      </c>
      <c r="I14473">
        <v>9</v>
      </c>
      <c r="J14473" t="str" cm="1">
        <f t="array" ref="J14473">_xlfn.IFS(I14473&lt;=3,"small",I14473&lt;=6,"Medium",I14473&lt;=9,"Large")</f>
        <v>Large</v>
      </c>
      <c r="K14473" s="36">
        <v>45607</v>
      </c>
      <c r="L14473" s="36">
        <v>45611</v>
      </c>
      <c r="M14473" t="s">
        <v>603</v>
      </c>
      <c r="N14473" t="s">
        <v>599</v>
      </c>
      <c r="O14473" s="37" t="str">
        <f t="shared" si="1133"/>
        <v>Digital Payment</v>
      </c>
      <c r="P14473">
        <v>707.7</v>
      </c>
      <c r="Q14473" s="37" t="str">
        <f>IF(P14473&gt;500,"High","low")</f>
        <v>High</v>
      </c>
      <c r="R14473" s="37" t="str">
        <f t="shared" si="1134"/>
        <v>Good</v>
      </c>
      <c r="S14473" t="s">
        <v>609</v>
      </c>
    </row>
    <row r="14474" spans="1:19" x14ac:dyDescent="0.2">
      <c r="A14474" t="s">
        <v>15085</v>
      </c>
      <c r="B14474" t="s">
        <v>90</v>
      </c>
      <c r="C14474" t="s">
        <v>614</v>
      </c>
      <c r="D14474">
        <v>587.01</v>
      </c>
      <c r="E14474" s="37" t="str">
        <f t="shared" si="1130"/>
        <v xml:space="preserve"> </v>
      </c>
      <c r="F14474">
        <v>0.21</v>
      </c>
      <c r="G14474" s="37" t="str">
        <f t="shared" si="1131"/>
        <v>Normal Discount</v>
      </c>
      <c r="H14474" s="37" t="str">
        <f t="shared" si="1132"/>
        <v>Medium</v>
      </c>
      <c r="I14474">
        <v>7</v>
      </c>
      <c r="J14474" t="str" cm="1">
        <f t="array" ref="J14474">_xlfn.IFS(I14474&lt;=3,"small",I14474&lt;=6,"Medium",I14474&lt;=9,"Large")</f>
        <v>Large</v>
      </c>
      <c r="K14474" s="36">
        <v>45498</v>
      </c>
      <c r="L14474" s="36">
        <v>45505</v>
      </c>
      <c r="M14474" t="s">
        <v>603</v>
      </c>
      <c r="N14474" t="s">
        <v>608</v>
      </c>
      <c r="O14474" s="37" t="str">
        <f t="shared" si="1133"/>
        <v>Cash Payment</v>
      </c>
      <c r="P14474">
        <v>43.84</v>
      </c>
      <c r="Q14474" s="37" t="str">
        <f>IF(P14474&gt;500,"High","low")</f>
        <v>low</v>
      </c>
      <c r="R14474" s="37" t="str">
        <f t="shared" si="1134"/>
        <v>AVERAGE</v>
      </c>
      <c r="S14474" t="s">
        <v>620</v>
      </c>
    </row>
    <row r="14475" spans="1:19" x14ac:dyDescent="0.2">
      <c r="A14475" t="s">
        <v>15086</v>
      </c>
      <c r="B14475" t="s">
        <v>83</v>
      </c>
      <c r="C14475" t="s">
        <v>617</v>
      </c>
      <c r="D14475">
        <v>3947.07</v>
      </c>
      <c r="E14475" s="37" t="str">
        <f t="shared" si="1130"/>
        <v xml:space="preserve"> </v>
      </c>
      <c r="F14475">
        <v>0.22</v>
      </c>
      <c r="G14475" s="37" t="str">
        <f t="shared" si="1131"/>
        <v>Normal Discount</v>
      </c>
      <c r="H14475" s="37" t="str">
        <f t="shared" si="1132"/>
        <v>Medium</v>
      </c>
      <c r="I14475">
        <v>6</v>
      </c>
      <c r="J14475" t="str" cm="1">
        <f t="array" ref="J14475">_xlfn.IFS(I14475&lt;=3,"small",I14475&lt;=6,"Medium",I14475&lt;=9,"Large")</f>
        <v>Medium</v>
      </c>
      <c r="K14475" s="36">
        <v>45216</v>
      </c>
      <c r="L14475" s="36">
        <v>45218</v>
      </c>
      <c r="M14475" t="s">
        <v>598</v>
      </c>
      <c r="N14475" t="s">
        <v>604</v>
      </c>
      <c r="O14475" s="37" t="str">
        <f t="shared" si="1133"/>
        <v>Digital Payment</v>
      </c>
      <c r="P14475">
        <v>252.91</v>
      </c>
      <c r="Q14475" s="37" t="str">
        <f>IF(P14475&gt;500,"High","low")</f>
        <v>low</v>
      </c>
      <c r="R14475" s="37" t="str">
        <f t="shared" si="1134"/>
        <v>AVERAGE</v>
      </c>
      <c r="S14475" t="s">
        <v>600</v>
      </c>
    </row>
    <row r="14476" spans="1:19" x14ac:dyDescent="0.2">
      <c r="A14476" t="s">
        <v>15087</v>
      </c>
      <c r="B14476" t="s">
        <v>90</v>
      </c>
      <c r="C14476" t="s">
        <v>617</v>
      </c>
      <c r="D14476">
        <v>3272.55</v>
      </c>
      <c r="E14476" s="37" t="str">
        <f t="shared" si="1130"/>
        <v xml:space="preserve"> </v>
      </c>
      <c r="F14476">
        <v>0.24</v>
      </c>
      <c r="G14476" s="37" t="str">
        <f t="shared" si="1131"/>
        <v>Normal Discount</v>
      </c>
      <c r="H14476" s="37" t="str">
        <f t="shared" si="1132"/>
        <v>Medium</v>
      </c>
      <c r="I14476">
        <v>9</v>
      </c>
      <c r="J14476" t="str" cm="1">
        <f t="array" ref="J14476">_xlfn.IFS(I14476&lt;=3,"small",I14476&lt;=6,"Medium",I14476&lt;=9,"Large")</f>
        <v>Large</v>
      </c>
      <c r="K14476" s="36">
        <v>45371</v>
      </c>
      <c r="L14476" s="36">
        <v>45376</v>
      </c>
      <c r="M14476" t="s">
        <v>612</v>
      </c>
      <c r="N14476" t="s">
        <v>604</v>
      </c>
      <c r="O14476" s="37" t="str">
        <f t="shared" si="1133"/>
        <v>Digital Payment</v>
      </c>
      <c r="P14476">
        <v>339.75</v>
      </c>
      <c r="Q14476" s="37" t="str">
        <f>IF(P14476&gt;500,"High","low")</f>
        <v>low</v>
      </c>
      <c r="R14476" s="37" t="str">
        <f t="shared" si="1134"/>
        <v>AVERAGE</v>
      </c>
      <c r="S14476" t="s">
        <v>600</v>
      </c>
    </row>
    <row r="14477" spans="1:19" x14ac:dyDescent="0.2">
      <c r="A14477" t="s">
        <v>15088</v>
      </c>
      <c r="B14477" t="s">
        <v>83</v>
      </c>
      <c r="C14477" t="s">
        <v>614</v>
      </c>
      <c r="D14477">
        <v>2499.67</v>
      </c>
      <c r="E14477" s="37" t="str">
        <f t="shared" si="1130"/>
        <v xml:space="preserve"> </v>
      </c>
      <c r="F14477">
        <v>0.16</v>
      </c>
      <c r="G14477" s="37" t="str">
        <f t="shared" si="1131"/>
        <v>Normal Discount</v>
      </c>
      <c r="H14477" s="37" t="str">
        <f t="shared" si="1132"/>
        <v>Low</v>
      </c>
      <c r="I14477">
        <v>2</v>
      </c>
      <c r="J14477" t="str" cm="1">
        <f t="array" ref="J14477">_xlfn.IFS(I14477&lt;=3,"small",I14477&lt;=6,"Medium",I14477&lt;=9,"Large")</f>
        <v>small</v>
      </c>
      <c r="K14477" s="36">
        <v>45156</v>
      </c>
      <c r="L14477" s="36">
        <v>45163</v>
      </c>
      <c r="M14477" t="s">
        <v>603</v>
      </c>
      <c r="N14477" t="s">
        <v>608</v>
      </c>
      <c r="O14477" s="37" t="str">
        <f t="shared" si="1133"/>
        <v>Cash Payment</v>
      </c>
      <c r="P14477">
        <v>732.97</v>
      </c>
      <c r="Q14477" s="37" t="str">
        <f>IF(P14477&gt;500,"High","low")</f>
        <v>High</v>
      </c>
      <c r="R14477" s="37" t="str">
        <f t="shared" si="1134"/>
        <v>Good</v>
      </c>
      <c r="S14477" t="s">
        <v>609</v>
      </c>
    </row>
    <row r="14478" spans="1:19" x14ac:dyDescent="0.2">
      <c r="A14478" t="s">
        <v>15089</v>
      </c>
      <c r="B14478" t="s">
        <v>83</v>
      </c>
      <c r="C14478" t="s">
        <v>614</v>
      </c>
      <c r="D14478">
        <v>2809.01</v>
      </c>
      <c r="E14478" s="37" t="str">
        <f t="shared" si="1130"/>
        <v xml:space="preserve"> </v>
      </c>
      <c r="F14478">
        <v>7.0000000000000007E-2</v>
      </c>
      <c r="G14478" s="37" t="str">
        <f t="shared" si="1131"/>
        <v>Normal Discount</v>
      </c>
      <c r="H14478" s="37" t="str">
        <f t="shared" si="1132"/>
        <v>Low</v>
      </c>
      <c r="I14478">
        <v>4</v>
      </c>
      <c r="J14478" t="str" cm="1">
        <f t="array" ref="J14478">_xlfn.IFS(I14478&lt;=3,"small",I14478&lt;=6,"Medium",I14478&lt;=9,"Large")</f>
        <v>Medium</v>
      </c>
      <c r="K14478" s="36">
        <v>45011</v>
      </c>
      <c r="L14478" s="36">
        <v>45016</v>
      </c>
      <c r="M14478" t="s">
        <v>603</v>
      </c>
      <c r="N14478" t="s">
        <v>599</v>
      </c>
      <c r="O14478" s="37" t="str">
        <f t="shared" si="1133"/>
        <v>Digital Payment</v>
      </c>
      <c r="P14478">
        <v>547.15</v>
      </c>
      <c r="Q14478" s="37" t="str">
        <f>IF(P14478&gt;500,"High","low")</f>
        <v>High</v>
      </c>
      <c r="R14478" s="37" t="str">
        <f t="shared" si="1134"/>
        <v>Good</v>
      </c>
      <c r="S14478" t="s">
        <v>609</v>
      </c>
    </row>
    <row r="14479" spans="1:19" x14ac:dyDescent="0.2">
      <c r="A14479" t="s">
        <v>15090</v>
      </c>
      <c r="B14479" t="s">
        <v>75</v>
      </c>
      <c r="C14479" t="s">
        <v>614</v>
      </c>
      <c r="D14479">
        <v>2564.92</v>
      </c>
      <c r="E14479" s="37" t="str">
        <f t="shared" si="1130"/>
        <v xml:space="preserve"> </v>
      </c>
      <c r="F14479">
        <v>0.48</v>
      </c>
      <c r="G14479" s="37" t="str">
        <f t="shared" si="1131"/>
        <v>Heavy Discount</v>
      </c>
      <c r="H14479" s="37" t="str">
        <f t="shared" si="1132"/>
        <v>High</v>
      </c>
      <c r="I14479">
        <v>9</v>
      </c>
      <c r="J14479" t="str" cm="1">
        <f t="array" ref="J14479">_xlfn.IFS(I14479&lt;=3,"small",I14479&lt;=6,"Medium",I14479&lt;=9,"Large")</f>
        <v>Large</v>
      </c>
      <c r="K14479" s="36">
        <v>45427</v>
      </c>
      <c r="L14479" s="36">
        <v>45434</v>
      </c>
      <c r="M14479" t="s">
        <v>612</v>
      </c>
      <c r="N14479" t="s">
        <v>604</v>
      </c>
      <c r="O14479" s="37" t="str">
        <f t="shared" si="1133"/>
        <v>Digital Payment</v>
      </c>
      <c r="P14479">
        <v>336.92</v>
      </c>
      <c r="Q14479" s="37" t="str">
        <f>IF(P14479&gt;500,"High","low")</f>
        <v>low</v>
      </c>
      <c r="R14479" s="37" t="str">
        <f t="shared" si="1134"/>
        <v>AVERAGE</v>
      </c>
      <c r="S14479" t="s">
        <v>605</v>
      </c>
    </row>
    <row r="14480" spans="1:19" x14ac:dyDescent="0.2">
      <c r="A14480" t="s">
        <v>15091</v>
      </c>
      <c r="B14480" t="s">
        <v>90</v>
      </c>
      <c r="C14480" t="s">
        <v>607</v>
      </c>
      <c r="D14480">
        <v>363.59</v>
      </c>
      <c r="E14480" s="37" t="str">
        <f t="shared" si="1130"/>
        <v xml:space="preserve"> </v>
      </c>
      <c r="F14480">
        <v>0.4</v>
      </c>
      <c r="G14480" s="37" t="str">
        <f t="shared" si="1131"/>
        <v>Heavy Discount</v>
      </c>
      <c r="H14480" s="37" t="str">
        <f t="shared" si="1132"/>
        <v>Medium</v>
      </c>
      <c r="I14480">
        <v>8</v>
      </c>
      <c r="J14480" t="str" cm="1">
        <f t="array" ref="J14480">_xlfn.IFS(I14480&lt;=3,"small",I14480&lt;=6,"Medium",I14480&lt;=9,"Large")</f>
        <v>Large</v>
      </c>
      <c r="K14480" s="36">
        <v>45167</v>
      </c>
      <c r="L14480" s="36">
        <v>45169</v>
      </c>
      <c r="M14480" t="s">
        <v>603</v>
      </c>
      <c r="N14480" t="s">
        <v>604</v>
      </c>
      <c r="O14480" s="37" t="str">
        <f t="shared" si="1133"/>
        <v>Digital Payment</v>
      </c>
      <c r="P14480">
        <v>24.15</v>
      </c>
      <c r="Q14480" s="37" t="str">
        <f>IF(P14480&gt;500,"High","low")</f>
        <v>low</v>
      </c>
      <c r="R14480" s="37" t="str">
        <f t="shared" si="1134"/>
        <v>AVERAGE</v>
      </c>
      <c r="S14480" t="s">
        <v>615</v>
      </c>
    </row>
    <row r="14481" spans="1:19" x14ac:dyDescent="0.2">
      <c r="A14481" t="s">
        <v>15092</v>
      </c>
      <c r="B14481" t="s">
        <v>83</v>
      </c>
      <c r="C14481" t="s">
        <v>614</v>
      </c>
      <c r="D14481">
        <v>3702.23</v>
      </c>
      <c r="E14481" s="37" t="str">
        <f t="shared" si="1130"/>
        <v xml:space="preserve"> </v>
      </c>
      <c r="F14481">
        <v>0.41</v>
      </c>
      <c r="G14481" s="37" t="str">
        <f t="shared" si="1131"/>
        <v>Heavy Discount</v>
      </c>
      <c r="H14481" s="37" t="str">
        <f t="shared" si="1132"/>
        <v>High</v>
      </c>
      <c r="I14481">
        <v>1</v>
      </c>
      <c r="J14481" t="str" cm="1">
        <f t="array" ref="J14481">_xlfn.IFS(I14481&lt;=3,"small",I14481&lt;=6,"Medium",I14481&lt;=9,"Large")</f>
        <v>small</v>
      </c>
      <c r="K14481" s="36">
        <v>45545</v>
      </c>
      <c r="L14481" s="36">
        <v>45549</v>
      </c>
      <c r="M14481" t="s">
        <v>598</v>
      </c>
      <c r="N14481" t="s">
        <v>599</v>
      </c>
      <c r="O14481" s="37" t="str">
        <f t="shared" si="1133"/>
        <v>Digital Payment</v>
      </c>
      <c r="P14481">
        <v>199.55</v>
      </c>
      <c r="Q14481" s="37" t="str">
        <f>IF(P14481&gt;500,"High","low")</f>
        <v>low</v>
      </c>
      <c r="R14481" s="37" t="str">
        <f t="shared" si="1134"/>
        <v>AVERAGE</v>
      </c>
      <c r="S14481" t="s">
        <v>615</v>
      </c>
    </row>
    <row r="14482" spans="1:19" x14ac:dyDescent="0.2">
      <c r="A14482" t="s">
        <v>15093</v>
      </c>
      <c r="B14482" t="s">
        <v>67</v>
      </c>
      <c r="C14482" t="s">
        <v>617</v>
      </c>
      <c r="D14482">
        <v>2607.87</v>
      </c>
      <c r="E14482" s="37" t="str">
        <f t="shared" si="1130"/>
        <v xml:space="preserve"> </v>
      </c>
      <c r="F14482">
        <v>0.18</v>
      </c>
      <c r="G14482" s="37" t="str">
        <f t="shared" si="1131"/>
        <v>Normal Discount</v>
      </c>
      <c r="H14482" s="37" t="str">
        <f t="shared" si="1132"/>
        <v>Low</v>
      </c>
      <c r="I14482">
        <v>9</v>
      </c>
      <c r="J14482" t="str" cm="1">
        <f t="array" ref="J14482">_xlfn.IFS(I14482&lt;=3,"small",I14482&lt;=6,"Medium",I14482&lt;=9,"Large")</f>
        <v>Large</v>
      </c>
      <c r="K14482" s="36">
        <v>45156</v>
      </c>
      <c r="L14482" s="36">
        <v>45157</v>
      </c>
      <c r="M14482" t="s">
        <v>612</v>
      </c>
      <c r="N14482" t="s">
        <v>608</v>
      </c>
      <c r="O14482" s="37" t="str">
        <f t="shared" si="1133"/>
        <v>Cash Payment</v>
      </c>
      <c r="P14482">
        <v>713.38</v>
      </c>
      <c r="Q14482" s="37" t="str">
        <f>IF(P14482&gt;500,"High","low")</f>
        <v>High</v>
      </c>
      <c r="R14482" s="37" t="str">
        <f t="shared" si="1134"/>
        <v>Good</v>
      </c>
      <c r="S14482" t="s">
        <v>615</v>
      </c>
    </row>
    <row r="14483" spans="1:19" x14ac:dyDescent="0.2">
      <c r="A14483" t="s">
        <v>15094</v>
      </c>
      <c r="B14483" t="s">
        <v>83</v>
      </c>
      <c r="C14483" t="s">
        <v>614</v>
      </c>
      <c r="D14483">
        <v>946.84</v>
      </c>
      <c r="E14483" s="37" t="str">
        <f t="shared" si="1130"/>
        <v xml:space="preserve"> </v>
      </c>
      <c r="F14483">
        <v>0.2</v>
      </c>
      <c r="G14483" s="37" t="str">
        <f t="shared" si="1131"/>
        <v>Normal Discount</v>
      </c>
      <c r="H14483" s="37" t="str">
        <f t="shared" si="1132"/>
        <v>Medium</v>
      </c>
      <c r="I14483">
        <v>2</v>
      </c>
      <c r="J14483" t="str" cm="1">
        <f t="array" ref="J14483">_xlfn.IFS(I14483&lt;=3,"small",I14483&lt;=6,"Medium",I14483&lt;=9,"Large")</f>
        <v>small</v>
      </c>
      <c r="K14483" s="36">
        <v>45172</v>
      </c>
      <c r="L14483" s="36">
        <v>45175</v>
      </c>
      <c r="M14483" t="s">
        <v>603</v>
      </c>
      <c r="N14483" t="s">
        <v>604</v>
      </c>
      <c r="O14483" s="37" t="str">
        <f t="shared" si="1133"/>
        <v>Digital Payment</v>
      </c>
      <c r="P14483">
        <v>161.06</v>
      </c>
      <c r="Q14483" s="37" t="str">
        <f>IF(P14483&gt;500,"High","low")</f>
        <v>low</v>
      </c>
      <c r="R14483" s="37" t="str">
        <f t="shared" si="1134"/>
        <v>AVERAGE</v>
      </c>
      <c r="S14483" t="s">
        <v>605</v>
      </c>
    </row>
    <row r="14484" spans="1:19" x14ac:dyDescent="0.2">
      <c r="A14484" t="s">
        <v>15095</v>
      </c>
      <c r="B14484" t="s">
        <v>67</v>
      </c>
      <c r="C14484" t="s">
        <v>602</v>
      </c>
      <c r="D14484">
        <v>3435.58</v>
      </c>
      <c r="E14484" s="37" t="str">
        <f t="shared" si="1130"/>
        <v xml:space="preserve"> </v>
      </c>
      <c r="F14484">
        <v>0.47</v>
      </c>
      <c r="G14484" s="37" t="str">
        <f t="shared" si="1131"/>
        <v>Heavy Discount</v>
      </c>
      <c r="H14484" s="37" t="str">
        <f t="shared" si="1132"/>
        <v>High</v>
      </c>
      <c r="I14484">
        <v>1</v>
      </c>
      <c r="J14484" t="str" cm="1">
        <f t="array" ref="J14484">_xlfn.IFS(I14484&lt;=3,"small",I14484&lt;=6,"Medium",I14484&lt;=9,"Large")</f>
        <v>small</v>
      </c>
      <c r="K14484" s="36">
        <v>45027</v>
      </c>
      <c r="L14484" s="36">
        <v>45028</v>
      </c>
      <c r="M14484" t="s">
        <v>603</v>
      </c>
      <c r="N14484" t="s">
        <v>599</v>
      </c>
      <c r="O14484" s="37" t="str">
        <f t="shared" si="1133"/>
        <v>Digital Payment</v>
      </c>
      <c r="P14484">
        <v>250.13</v>
      </c>
      <c r="Q14484" s="37" t="str">
        <f>IF(P14484&gt;500,"High","low")</f>
        <v>low</v>
      </c>
      <c r="R14484" s="37" t="str">
        <f t="shared" si="1134"/>
        <v>AVERAGE</v>
      </c>
      <c r="S14484" t="s">
        <v>609</v>
      </c>
    </row>
    <row r="14485" spans="1:19" x14ac:dyDescent="0.2">
      <c r="A14485" t="s">
        <v>15096</v>
      </c>
      <c r="B14485" t="s">
        <v>67</v>
      </c>
      <c r="C14485" t="s">
        <v>614</v>
      </c>
      <c r="D14485">
        <v>3505.82</v>
      </c>
      <c r="E14485" s="37" t="str">
        <f t="shared" si="1130"/>
        <v xml:space="preserve"> </v>
      </c>
      <c r="F14485">
        <v>0.49</v>
      </c>
      <c r="G14485" s="37" t="str">
        <f t="shared" si="1131"/>
        <v>Heavy Discount</v>
      </c>
      <c r="H14485" s="37" t="str">
        <f t="shared" si="1132"/>
        <v>High</v>
      </c>
      <c r="I14485">
        <v>2</v>
      </c>
      <c r="J14485" t="str" cm="1">
        <f t="array" ref="J14485">_xlfn.IFS(I14485&lt;=3,"small",I14485&lt;=6,"Medium",I14485&lt;=9,"Large")</f>
        <v>small</v>
      </c>
      <c r="K14485" s="36">
        <v>45546</v>
      </c>
      <c r="L14485" s="36">
        <v>45549</v>
      </c>
      <c r="M14485" t="s">
        <v>598</v>
      </c>
      <c r="N14485" t="s">
        <v>608</v>
      </c>
      <c r="O14485" s="37" t="str">
        <f t="shared" si="1133"/>
        <v>Cash Payment</v>
      </c>
      <c r="P14485">
        <v>653.13</v>
      </c>
      <c r="Q14485" s="37" t="str">
        <f>IF(P14485&gt;500,"High","low")</f>
        <v>High</v>
      </c>
      <c r="R14485" s="37" t="str">
        <f t="shared" si="1134"/>
        <v>Good</v>
      </c>
      <c r="S14485" t="s">
        <v>628</v>
      </c>
    </row>
    <row r="14486" spans="1:19" x14ac:dyDescent="0.2">
      <c r="A14486" t="s">
        <v>15097</v>
      </c>
      <c r="B14486" t="s">
        <v>90</v>
      </c>
      <c r="C14486" t="s">
        <v>614</v>
      </c>
      <c r="D14486">
        <v>1146.1300000000001</v>
      </c>
      <c r="E14486" s="37" t="str">
        <f t="shared" si="1130"/>
        <v xml:space="preserve"> </v>
      </c>
      <c r="F14486">
        <v>0.47</v>
      </c>
      <c r="G14486" s="37" t="str">
        <f t="shared" si="1131"/>
        <v>Heavy Discount</v>
      </c>
      <c r="H14486" s="37" t="str">
        <f t="shared" si="1132"/>
        <v>High</v>
      </c>
      <c r="I14486">
        <v>6</v>
      </c>
      <c r="J14486" t="str" cm="1">
        <f t="array" ref="J14486">_xlfn.IFS(I14486&lt;=3,"small",I14486&lt;=6,"Medium",I14486&lt;=9,"Large")</f>
        <v>Medium</v>
      </c>
      <c r="K14486" s="36">
        <v>45596</v>
      </c>
      <c r="L14486" s="36">
        <v>45599</v>
      </c>
      <c r="M14486" t="s">
        <v>598</v>
      </c>
      <c r="N14486" t="s">
        <v>599</v>
      </c>
      <c r="O14486" s="37" t="str">
        <f t="shared" si="1133"/>
        <v>Digital Payment</v>
      </c>
      <c r="P14486">
        <v>76</v>
      </c>
      <c r="Q14486" s="37" t="str">
        <f>IF(P14486&gt;500,"High","low")</f>
        <v>low</v>
      </c>
      <c r="R14486" s="37" t="str">
        <f t="shared" si="1134"/>
        <v>AVERAGE</v>
      </c>
      <c r="S14486" t="s">
        <v>605</v>
      </c>
    </row>
    <row r="14487" spans="1:19" x14ac:dyDescent="0.2">
      <c r="A14487" t="s">
        <v>15098</v>
      </c>
      <c r="B14487" t="s">
        <v>67</v>
      </c>
      <c r="C14487" t="s">
        <v>597</v>
      </c>
      <c r="D14487">
        <v>4002.83</v>
      </c>
      <c r="E14487" s="37" t="str">
        <f t="shared" si="1130"/>
        <v xml:space="preserve"> </v>
      </c>
      <c r="F14487">
        <v>0.32</v>
      </c>
      <c r="G14487" s="37" t="str">
        <f t="shared" si="1131"/>
        <v>Heavy Discount</v>
      </c>
      <c r="H14487" s="37" t="str">
        <f t="shared" si="1132"/>
        <v>Medium</v>
      </c>
      <c r="I14487">
        <v>2</v>
      </c>
      <c r="J14487" t="str" cm="1">
        <f t="array" ref="J14487">_xlfn.IFS(I14487&lt;=3,"small",I14487&lt;=6,"Medium",I14487&lt;=9,"Large")</f>
        <v>small</v>
      </c>
      <c r="K14487" s="36">
        <v>44971</v>
      </c>
      <c r="L14487" s="36">
        <v>44976</v>
      </c>
      <c r="M14487" t="s">
        <v>612</v>
      </c>
      <c r="N14487" t="s">
        <v>599</v>
      </c>
      <c r="O14487" s="37" t="str">
        <f t="shared" si="1133"/>
        <v>Digital Payment</v>
      </c>
      <c r="P14487">
        <v>605.73</v>
      </c>
      <c r="Q14487" s="37" t="str">
        <f>IF(P14487&gt;500,"High","low")</f>
        <v>High</v>
      </c>
      <c r="R14487" s="37" t="str">
        <f t="shared" si="1134"/>
        <v>Good</v>
      </c>
      <c r="S14487" t="s">
        <v>620</v>
      </c>
    </row>
    <row r="14488" spans="1:19" x14ac:dyDescent="0.2">
      <c r="A14488" t="s">
        <v>15099</v>
      </c>
      <c r="B14488" t="s">
        <v>83</v>
      </c>
      <c r="C14488" t="s">
        <v>617</v>
      </c>
      <c r="D14488">
        <v>2336.87</v>
      </c>
      <c r="E14488" s="37" t="str">
        <f t="shared" si="1130"/>
        <v xml:space="preserve"> </v>
      </c>
      <c r="F14488">
        <v>0.12</v>
      </c>
      <c r="G14488" s="37" t="str">
        <f t="shared" si="1131"/>
        <v>Normal Discount</v>
      </c>
      <c r="H14488" s="37" t="str">
        <f t="shared" si="1132"/>
        <v>Low</v>
      </c>
      <c r="I14488">
        <v>1</v>
      </c>
      <c r="J14488" t="str" cm="1">
        <f t="array" ref="J14488">_xlfn.IFS(I14488&lt;=3,"small",I14488&lt;=6,"Medium",I14488&lt;=9,"Large")</f>
        <v>small</v>
      </c>
      <c r="K14488" s="36">
        <v>45000</v>
      </c>
      <c r="L14488" s="36">
        <v>45003</v>
      </c>
      <c r="M14488" t="s">
        <v>598</v>
      </c>
      <c r="N14488" t="s">
        <v>599</v>
      </c>
      <c r="O14488" s="37" t="str">
        <f t="shared" si="1133"/>
        <v>Digital Payment</v>
      </c>
      <c r="P14488">
        <v>648.94000000000005</v>
      </c>
      <c r="Q14488" s="37" t="str">
        <f>IF(P14488&gt;500,"High","low")</f>
        <v>High</v>
      </c>
      <c r="R14488" s="37" t="str">
        <f t="shared" si="1134"/>
        <v>Good</v>
      </c>
      <c r="S14488" t="s">
        <v>600</v>
      </c>
    </row>
    <row r="14489" spans="1:19" x14ac:dyDescent="0.2">
      <c r="A14489" t="s">
        <v>15100</v>
      </c>
      <c r="B14489" t="s">
        <v>67</v>
      </c>
      <c r="C14489" t="s">
        <v>617</v>
      </c>
      <c r="D14489">
        <v>984.99</v>
      </c>
      <c r="E14489" s="37" t="str">
        <f t="shared" si="1130"/>
        <v xml:space="preserve"> </v>
      </c>
      <c r="F14489">
        <v>0.3</v>
      </c>
      <c r="G14489" s="37" t="str">
        <f t="shared" si="1131"/>
        <v>Normal Discount</v>
      </c>
      <c r="H14489" s="37" t="str">
        <f t="shared" si="1132"/>
        <v>Medium</v>
      </c>
      <c r="I14489">
        <v>5</v>
      </c>
      <c r="J14489" t="str" cm="1">
        <f t="array" ref="J14489">_xlfn.IFS(I14489&lt;=3,"small",I14489&lt;=6,"Medium",I14489&lt;=9,"Large")</f>
        <v>Medium</v>
      </c>
      <c r="K14489" s="36">
        <v>45183</v>
      </c>
      <c r="L14489" s="36">
        <v>45188</v>
      </c>
      <c r="M14489" t="s">
        <v>603</v>
      </c>
      <c r="N14489" t="s">
        <v>608</v>
      </c>
      <c r="O14489" s="37" t="str">
        <f t="shared" si="1133"/>
        <v>Cash Payment</v>
      </c>
      <c r="P14489">
        <v>277.33</v>
      </c>
      <c r="Q14489" s="37" t="str">
        <f>IF(P14489&gt;500,"High","low")</f>
        <v>low</v>
      </c>
      <c r="R14489" s="37" t="str">
        <f t="shared" si="1134"/>
        <v>AVERAGE</v>
      </c>
      <c r="S14489" t="s">
        <v>615</v>
      </c>
    </row>
    <row r="14490" spans="1:19" x14ac:dyDescent="0.2">
      <c r="A14490" t="s">
        <v>15101</v>
      </c>
      <c r="B14490" t="s">
        <v>90</v>
      </c>
      <c r="C14490" t="s">
        <v>602</v>
      </c>
      <c r="D14490">
        <v>3322.34</v>
      </c>
      <c r="E14490" s="37" t="str">
        <f t="shared" si="1130"/>
        <v xml:space="preserve"> </v>
      </c>
      <c r="F14490">
        <v>0.28999999999999998</v>
      </c>
      <c r="G14490" s="37" t="str">
        <f t="shared" si="1131"/>
        <v>Normal Discount</v>
      </c>
      <c r="H14490" s="37" t="str">
        <f t="shared" si="1132"/>
        <v>Medium</v>
      </c>
      <c r="I14490">
        <v>2</v>
      </c>
      <c r="J14490" t="str" cm="1">
        <f t="array" ref="J14490">_xlfn.IFS(I14490&lt;=3,"small",I14490&lt;=6,"Medium",I14490&lt;=9,"Large")</f>
        <v>small</v>
      </c>
      <c r="K14490" s="36">
        <v>45029</v>
      </c>
      <c r="L14490" s="36">
        <v>45031</v>
      </c>
      <c r="M14490" t="s">
        <v>598</v>
      </c>
      <c r="N14490" t="s">
        <v>608</v>
      </c>
      <c r="O14490" s="37" t="str">
        <f t="shared" si="1133"/>
        <v>Cash Payment</v>
      </c>
      <c r="P14490">
        <v>957.18</v>
      </c>
      <c r="Q14490" s="37" t="str">
        <f>IF(P14490&gt;500,"High","low")</f>
        <v>High</v>
      </c>
      <c r="R14490" s="37" t="str">
        <f t="shared" si="1134"/>
        <v>Good</v>
      </c>
      <c r="S14490" t="s">
        <v>628</v>
      </c>
    </row>
    <row r="14491" spans="1:19" x14ac:dyDescent="0.2">
      <c r="A14491" t="s">
        <v>15102</v>
      </c>
      <c r="B14491" t="s">
        <v>75</v>
      </c>
      <c r="C14491" t="s">
        <v>607</v>
      </c>
      <c r="D14491">
        <v>3023.96</v>
      </c>
      <c r="E14491" s="37" t="str">
        <f t="shared" si="1130"/>
        <v xml:space="preserve"> </v>
      </c>
      <c r="F14491">
        <v>0.45</v>
      </c>
      <c r="G14491" s="37" t="str">
        <f t="shared" si="1131"/>
        <v>Heavy Discount</v>
      </c>
      <c r="H14491" s="37" t="str">
        <f t="shared" si="1132"/>
        <v>High</v>
      </c>
      <c r="I14491">
        <v>4</v>
      </c>
      <c r="J14491" t="str" cm="1">
        <f t="array" ref="J14491">_xlfn.IFS(I14491&lt;=3,"small",I14491&lt;=6,"Medium",I14491&lt;=9,"Large")</f>
        <v>Medium</v>
      </c>
      <c r="K14491" s="36">
        <v>45018</v>
      </c>
      <c r="L14491" s="36">
        <v>45025</v>
      </c>
      <c r="M14491" t="s">
        <v>603</v>
      </c>
      <c r="N14491" t="s">
        <v>599</v>
      </c>
      <c r="O14491" s="37" t="str">
        <f t="shared" si="1133"/>
        <v>Digital Payment</v>
      </c>
      <c r="P14491">
        <v>259.10000000000002</v>
      </c>
      <c r="Q14491" s="37" t="str">
        <f>IF(P14491&gt;500,"High","low")</f>
        <v>low</v>
      </c>
      <c r="R14491" s="37" t="str">
        <f t="shared" si="1134"/>
        <v>AVERAGE</v>
      </c>
      <c r="S14491" t="s">
        <v>628</v>
      </c>
    </row>
    <row r="14492" spans="1:19" x14ac:dyDescent="0.2">
      <c r="A14492" t="s">
        <v>15103</v>
      </c>
      <c r="B14492" t="s">
        <v>83</v>
      </c>
      <c r="C14492" t="s">
        <v>597</v>
      </c>
      <c r="D14492">
        <v>934.99</v>
      </c>
      <c r="E14492" s="37" t="str">
        <f t="shared" si="1130"/>
        <v xml:space="preserve"> </v>
      </c>
      <c r="F14492">
        <v>0.16</v>
      </c>
      <c r="G14492" s="37" t="str">
        <f t="shared" si="1131"/>
        <v>Normal Discount</v>
      </c>
      <c r="H14492" s="37" t="str">
        <f t="shared" si="1132"/>
        <v>Low</v>
      </c>
      <c r="I14492">
        <v>8</v>
      </c>
      <c r="J14492" t="str" cm="1">
        <f t="array" ref="J14492">_xlfn.IFS(I14492&lt;=3,"small",I14492&lt;=6,"Medium",I14492&lt;=9,"Large")</f>
        <v>Large</v>
      </c>
      <c r="K14492" s="36">
        <v>45163</v>
      </c>
      <c r="L14492" s="36">
        <v>45166</v>
      </c>
      <c r="M14492" t="s">
        <v>612</v>
      </c>
      <c r="N14492" t="s">
        <v>608</v>
      </c>
      <c r="O14492" s="37" t="str">
        <f t="shared" si="1133"/>
        <v>Cash Payment</v>
      </c>
      <c r="P14492">
        <v>89.61</v>
      </c>
      <c r="Q14492" s="37" t="str">
        <f>IF(P14492&gt;500,"High","low")</f>
        <v>low</v>
      </c>
      <c r="R14492" s="37" t="str">
        <f t="shared" si="1134"/>
        <v>AVERAGE</v>
      </c>
      <c r="S14492" t="s">
        <v>605</v>
      </c>
    </row>
    <row r="14493" spans="1:19" x14ac:dyDescent="0.2">
      <c r="A14493" t="s">
        <v>15104</v>
      </c>
      <c r="B14493" t="s">
        <v>83</v>
      </c>
      <c r="C14493" t="s">
        <v>602</v>
      </c>
      <c r="D14493">
        <v>4374.51</v>
      </c>
      <c r="E14493" s="37" t="str">
        <f t="shared" si="1130"/>
        <v>Excellent Order</v>
      </c>
      <c r="F14493">
        <v>0.1</v>
      </c>
      <c r="G14493" s="37" t="str">
        <f t="shared" si="1131"/>
        <v>Normal Discount</v>
      </c>
      <c r="H14493" s="37" t="str">
        <f t="shared" si="1132"/>
        <v>Low</v>
      </c>
      <c r="I14493">
        <v>6</v>
      </c>
      <c r="J14493" t="str" cm="1">
        <f t="array" ref="J14493">_xlfn.IFS(I14493&lt;=3,"small",I14493&lt;=6,"Medium",I14493&lt;=9,"Large")</f>
        <v>Medium</v>
      </c>
      <c r="K14493" s="36">
        <v>45649</v>
      </c>
      <c r="L14493" s="36">
        <v>45651</v>
      </c>
      <c r="M14493" t="s">
        <v>598</v>
      </c>
      <c r="N14493" t="s">
        <v>599</v>
      </c>
      <c r="O14493" s="37" t="str">
        <f t="shared" si="1133"/>
        <v>Digital Payment</v>
      </c>
      <c r="P14493">
        <v>1149.3699999999999</v>
      </c>
      <c r="Q14493" s="37" t="str">
        <f>IF(P14493&gt;500,"High","low")</f>
        <v>High</v>
      </c>
      <c r="R14493" s="37" t="str">
        <f t="shared" si="1134"/>
        <v>Excellent</v>
      </c>
      <c r="S14493" t="s">
        <v>609</v>
      </c>
    </row>
    <row r="14494" spans="1:19" x14ac:dyDescent="0.2">
      <c r="A14494" t="s">
        <v>15105</v>
      </c>
      <c r="B14494" t="s">
        <v>90</v>
      </c>
      <c r="C14494" t="s">
        <v>602</v>
      </c>
      <c r="D14494">
        <v>4287.22</v>
      </c>
      <c r="E14494" s="37" t="str">
        <f t="shared" si="1130"/>
        <v xml:space="preserve"> </v>
      </c>
      <c r="F14494">
        <v>0.13</v>
      </c>
      <c r="G14494" s="37" t="str">
        <f t="shared" si="1131"/>
        <v>Normal Discount</v>
      </c>
      <c r="H14494" s="37" t="str">
        <f t="shared" si="1132"/>
        <v>Low</v>
      </c>
      <c r="I14494">
        <v>8</v>
      </c>
      <c r="J14494" t="str" cm="1">
        <f t="array" ref="J14494">_xlfn.IFS(I14494&lt;=3,"small",I14494&lt;=6,"Medium",I14494&lt;=9,"Large")</f>
        <v>Large</v>
      </c>
      <c r="K14494" s="36">
        <v>45532</v>
      </c>
      <c r="L14494" s="36">
        <v>45533</v>
      </c>
      <c r="M14494" t="s">
        <v>598</v>
      </c>
      <c r="N14494" t="s">
        <v>608</v>
      </c>
      <c r="O14494" s="37" t="str">
        <f t="shared" si="1133"/>
        <v>Cash Payment</v>
      </c>
      <c r="P14494">
        <v>324.24</v>
      </c>
      <c r="Q14494" s="37" t="str">
        <f>IF(P14494&gt;500,"High","low")</f>
        <v>low</v>
      </c>
      <c r="R14494" s="37" t="str">
        <f t="shared" si="1134"/>
        <v>AVERAGE</v>
      </c>
      <c r="S14494" t="s">
        <v>605</v>
      </c>
    </row>
    <row r="14495" spans="1:19" x14ac:dyDescent="0.2">
      <c r="A14495" t="s">
        <v>15106</v>
      </c>
      <c r="B14495" t="s">
        <v>90</v>
      </c>
      <c r="C14495" t="s">
        <v>617</v>
      </c>
      <c r="D14495">
        <v>4197.6000000000004</v>
      </c>
      <c r="E14495" s="37" t="str">
        <f t="shared" si="1130"/>
        <v xml:space="preserve"> </v>
      </c>
      <c r="F14495">
        <v>0.12</v>
      </c>
      <c r="G14495" s="37" t="str">
        <f t="shared" si="1131"/>
        <v>Normal Discount</v>
      </c>
      <c r="H14495" s="37" t="str">
        <f t="shared" si="1132"/>
        <v>Low</v>
      </c>
      <c r="I14495">
        <v>5</v>
      </c>
      <c r="J14495" t="str" cm="1">
        <f t="array" ref="J14495">_xlfn.IFS(I14495&lt;=3,"small",I14495&lt;=6,"Medium",I14495&lt;=9,"Large")</f>
        <v>Medium</v>
      </c>
      <c r="K14495" s="36">
        <v>45010</v>
      </c>
      <c r="L14495" s="36">
        <v>45017</v>
      </c>
      <c r="M14495" t="s">
        <v>603</v>
      </c>
      <c r="N14495" t="s">
        <v>599</v>
      </c>
      <c r="O14495" s="37" t="str">
        <f t="shared" si="1133"/>
        <v>Digital Payment</v>
      </c>
      <c r="P14495">
        <v>222.88</v>
      </c>
      <c r="Q14495" s="37" t="str">
        <f>IF(P14495&gt;500,"High","low")</f>
        <v>low</v>
      </c>
      <c r="R14495" s="37" t="str">
        <f t="shared" si="1134"/>
        <v>AVERAGE</v>
      </c>
      <c r="S14495" t="s">
        <v>600</v>
      </c>
    </row>
    <row r="14496" spans="1:19" x14ac:dyDescent="0.2">
      <c r="A14496" t="s">
        <v>15107</v>
      </c>
      <c r="B14496" t="s">
        <v>90</v>
      </c>
      <c r="C14496" t="s">
        <v>597</v>
      </c>
      <c r="D14496">
        <v>2056.2199999999998</v>
      </c>
      <c r="E14496" s="37" t="str">
        <f t="shared" si="1130"/>
        <v xml:space="preserve"> </v>
      </c>
      <c r="F14496">
        <v>0.32</v>
      </c>
      <c r="G14496" s="37" t="str">
        <f t="shared" si="1131"/>
        <v>Heavy Discount</v>
      </c>
      <c r="H14496" s="37" t="str">
        <f t="shared" si="1132"/>
        <v>Medium</v>
      </c>
      <c r="I14496">
        <v>2</v>
      </c>
      <c r="J14496" t="str" cm="1">
        <f t="array" ref="J14496">_xlfn.IFS(I14496&lt;=3,"small",I14496&lt;=6,"Medium",I14496&lt;=9,"Large")</f>
        <v>small</v>
      </c>
      <c r="K14496" s="36">
        <v>45458</v>
      </c>
      <c r="L14496" s="36">
        <v>45463</v>
      </c>
      <c r="M14496" t="s">
        <v>603</v>
      </c>
      <c r="N14496" t="s">
        <v>604</v>
      </c>
      <c r="O14496" s="37" t="str">
        <f t="shared" si="1133"/>
        <v>Digital Payment</v>
      </c>
      <c r="P14496">
        <v>462.17</v>
      </c>
      <c r="Q14496" s="37" t="str">
        <f>IF(P14496&gt;500,"High","low")</f>
        <v>low</v>
      </c>
      <c r="R14496" s="37" t="str">
        <f t="shared" si="1134"/>
        <v>AVERAGE</v>
      </c>
      <c r="S14496" t="s">
        <v>628</v>
      </c>
    </row>
    <row r="14497" spans="1:19" x14ac:dyDescent="0.2">
      <c r="A14497" t="s">
        <v>15108</v>
      </c>
      <c r="B14497" t="s">
        <v>90</v>
      </c>
      <c r="C14497" t="s">
        <v>617</v>
      </c>
      <c r="D14497">
        <v>4140.6499999999996</v>
      </c>
      <c r="E14497" s="37" t="str">
        <f t="shared" si="1130"/>
        <v xml:space="preserve"> </v>
      </c>
      <c r="F14497">
        <v>0.41</v>
      </c>
      <c r="G14497" s="37" t="str">
        <f t="shared" si="1131"/>
        <v>Heavy Discount</v>
      </c>
      <c r="H14497" s="37" t="str">
        <f t="shared" si="1132"/>
        <v>High</v>
      </c>
      <c r="I14497">
        <v>1</v>
      </c>
      <c r="J14497" t="str" cm="1">
        <f t="array" ref="J14497">_xlfn.IFS(I14497&lt;=3,"small",I14497&lt;=6,"Medium",I14497&lt;=9,"Large")</f>
        <v>small</v>
      </c>
      <c r="K14497" s="36">
        <v>44949</v>
      </c>
      <c r="L14497" s="36">
        <v>44954</v>
      </c>
      <c r="M14497" t="s">
        <v>612</v>
      </c>
      <c r="N14497" t="s">
        <v>599</v>
      </c>
      <c r="O14497" s="37" t="str">
        <f t="shared" si="1133"/>
        <v>Digital Payment</v>
      </c>
      <c r="P14497">
        <v>666.23</v>
      </c>
      <c r="Q14497" s="37" t="str">
        <f>IF(P14497&gt;500,"High","low")</f>
        <v>High</v>
      </c>
      <c r="R14497" s="37" t="str">
        <f t="shared" si="1134"/>
        <v>Good</v>
      </c>
      <c r="S14497" t="s">
        <v>620</v>
      </c>
    </row>
    <row r="14498" spans="1:19" x14ac:dyDescent="0.2">
      <c r="A14498" t="s">
        <v>15109</v>
      </c>
      <c r="B14498" t="s">
        <v>83</v>
      </c>
      <c r="C14498" t="s">
        <v>607</v>
      </c>
      <c r="D14498">
        <v>4239.5</v>
      </c>
      <c r="E14498" s="37" t="str">
        <f t="shared" si="1130"/>
        <v>Excellent Order</v>
      </c>
      <c r="F14498">
        <v>0.18</v>
      </c>
      <c r="G14498" s="37" t="str">
        <f t="shared" si="1131"/>
        <v>Normal Discount</v>
      </c>
      <c r="H14498" s="37" t="str">
        <f t="shared" si="1132"/>
        <v>Low</v>
      </c>
      <c r="I14498">
        <v>8</v>
      </c>
      <c r="J14498" t="str" cm="1">
        <f t="array" ref="J14498">_xlfn.IFS(I14498&lt;=3,"small",I14498&lt;=6,"Medium",I14498&lt;=9,"Large")</f>
        <v>Large</v>
      </c>
      <c r="K14498" s="36">
        <v>45534</v>
      </c>
      <c r="L14498" s="36">
        <v>45538</v>
      </c>
      <c r="M14498" t="s">
        <v>603</v>
      </c>
      <c r="N14498" t="s">
        <v>608</v>
      </c>
      <c r="O14498" s="37" t="str">
        <f t="shared" si="1133"/>
        <v>Cash Payment</v>
      </c>
      <c r="P14498">
        <v>1063.6600000000001</v>
      </c>
      <c r="Q14498" s="37" t="str">
        <f>IF(P14498&gt;500,"High","low")</f>
        <v>High</v>
      </c>
      <c r="R14498" s="37" t="str">
        <f t="shared" si="1134"/>
        <v>Excellent</v>
      </c>
      <c r="S14498" t="s">
        <v>605</v>
      </c>
    </row>
    <row r="14499" spans="1:19" x14ac:dyDescent="0.2">
      <c r="A14499" t="s">
        <v>15110</v>
      </c>
      <c r="B14499" t="s">
        <v>75</v>
      </c>
      <c r="C14499" t="s">
        <v>617</v>
      </c>
      <c r="D14499">
        <v>4983.05</v>
      </c>
      <c r="E14499" s="37" t="str">
        <f t="shared" si="1130"/>
        <v xml:space="preserve"> </v>
      </c>
      <c r="F14499">
        <v>0.09</v>
      </c>
      <c r="G14499" s="37" t="str">
        <f t="shared" si="1131"/>
        <v>Normal Discount</v>
      </c>
      <c r="H14499" s="37" t="str">
        <f t="shared" si="1132"/>
        <v>Low</v>
      </c>
      <c r="I14499">
        <v>1</v>
      </c>
      <c r="J14499" t="str" cm="1">
        <f t="array" ref="J14499">_xlfn.IFS(I14499&lt;=3,"small",I14499&lt;=6,"Medium",I14499&lt;=9,"Large")</f>
        <v>small</v>
      </c>
      <c r="K14499" s="36">
        <v>45087</v>
      </c>
      <c r="L14499" s="36">
        <v>45090</v>
      </c>
      <c r="M14499" t="s">
        <v>612</v>
      </c>
      <c r="N14499" t="s">
        <v>604</v>
      </c>
      <c r="O14499" s="37" t="str">
        <f t="shared" si="1133"/>
        <v>Digital Payment</v>
      </c>
      <c r="P14499">
        <v>442.34</v>
      </c>
      <c r="Q14499" s="37" t="str">
        <f>IF(P14499&gt;500,"High","low")</f>
        <v>low</v>
      </c>
      <c r="R14499" s="37" t="str">
        <f t="shared" si="1134"/>
        <v>AVERAGE</v>
      </c>
      <c r="S14499" t="s">
        <v>615</v>
      </c>
    </row>
    <row r="14500" spans="1:19" x14ac:dyDescent="0.2">
      <c r="A14500" t="s">
        <v>15111</v>
      </c>
      <c r="B14500" t="s">
        <v>67</v>
      </c>
      <c r="C14500" t="s">
        <v>614</v>
      </c>
      <c r="D14500">
        <v>4792.26</v>
      </c>
      <c r="E14500" s="37" t="str">
        <f t="shared" si="1130"/>
        <v xml:space="preserve"> </v>
      </c>
      <c r="F14500">
        <v>0.17</v>
      </c>
      <c r="G14500" s="37" t="str">
        <f t="shared" si="1131"/>
        <v>Normal Discount</v>
      </c>
      <c r="H14500" s="37" t="str">
        <f t="shared" si="1132"/>
        <v>Low</v>
      </c>
      <c r="I14500">
        <v>9</v>
      </c>
      <c r="J14500" t="str" cm="1">
        <f t="array" ref="J14500">_xlfn.IFS(I14500&lt;=3,"small",I14500&lt;=6,"Medium",I14500&lt;=9,"Large")</f>
        <v>Large</v>
      </c>
      <c r="K14500" s="36">
        <v>44934</v>
      </c>
      <c r="L14500" s="36">
        <v>44938</v>
      </c>
      <c r="M14500" t="s">
        <v>612</v>
      </c>
      <c r="N14500" t="s">
        <v>604</v>
      </c>
      <c r="O14500" s="37" t="str">
        <f t="shared" si="1133"/>
        <v>Digital Payment</v>
      </c>
      <c r="P14500">
        <v>763.14</v>
      </c>
      <c r="Q14500" s="37" t="str">
        <f>IF(P14500&gt;500,"High","low")</f>
        <v>High</v>
      </c>
      <c r="R14500" s="37" t="str">
        <f t="shared" si="1134"/>
        <v>Good</v>
      </c>
      <c r="S14500" t="s">
        <v>615</v>
      </c>
    </row>
    <row r="14501" spans="1:19" x14ac:dyDescent="0.2">
      <c r="A14501" t="s">
        <v>15112</v>
      </c>
      <c r="B14501" t="s">
        <v>67</v>
      </c>
      <c r="C14501" t="s">
        <v>617</v>
      </c>
      <c r="D14501">
        <v>1975.95</v>
      </c>
      <c r="E14501" s="37" t="str">
        <f t="shared" si="1130"/>
        <v xml:space="preserve"> </v>
      </c>
      <c r="F14501">
        <v>0.27</v>
      </c>
      <c r="G14501" s="37" t="str">
        <f t="shared" si="1131"/>
        <v>Normal Discount</v>
      </c>
      <c r="H14501" s="37" t="str">
        <f t="shared" si="1132"/>
        <v>Medium</v>
      </c>
      <c r="I14501">
        <v>4</v>
      </c>
      <c r="J14501" t="str" cm="1">
        <f t="array" ref="J14501">_xlfn.IFS(I14501&lt;=3,"small",I14501&lt;=6,"Medium",I14501&lt;=9,"Large")</f>
        <v>Medium</v>
      </c>
      <c r="K14501" s="36">
        <v>45245</v>
      </c>
      <c r="L14501" s="36">
        <v>45252</v>
      </c>
      <c r="M14501" t="s">
        <v>612</v>
      </c>
      <c r="N14501" t="s">
        <v>599</v>
      </c>
      <c r="O14501" s="37" t="str">
        <f t="shared" si="1133"/>
        <v>Digital Payment</v>
      </c>
      <c r="P14501">
        <v>502.28</v>
      </c>
      <c r="Q14501" s="37" t="str">
        <f>IF(P14501&gt;500,"High","low")</f>
        <v>High</v>
      </c>
      <c r="R14501" s="37" t="str">
        <f t="shared" si="1134"/>
        <v>Good</v>
      </c>
      <c r="S14501" t="s">
        <v>609</v>
      </c>
    </row>
    <row r="14502" spans="1:19" x14ac:dyDescent="0.2">
      <c r="A14502" t="s">
        <v>15113</v>
      </c>
      <c r="B14502" t="s">
        <v>75</v>
      </c>
      <c r="C14502" t="s">
        <v>614</v>
      </c>
      <c r="D14502">
        <v>1071.2</v>
      </c>
      <c r="E14502" s="37" t="str">
        <f t="shared" si="1130"/>
        <v xml:space="preserve"> </v>
      </c>
      <c r="F14502">
        <v>0.33</v>
      </c>
      <c r="G14502" s="37" t="str">
        <f t="shared" si="1131"/>
        <v>Heavy Discount</v>
      </c>
      <c r="H14502" s="37" t="str">
        <f t="shared" si="1132"/>
        <v>Medium</v>
      </c>
      <c r="I14502">
        <v>6</v>
      </c>
      <c r="J14502" t="str" cm="1">
        <f t="array" ref="J14502">_xlfn.IFS(I14502&lt;=3,"small",I14502&lt;=6,"Medium",I14502&lt;=9,"Large")</f>
        <v>Medium</v>
      </c>
      <c r="K14502" s="36">
        <v>45562</v>
      </c>
      <c r="L14502" s="36">
        <v>45566</v>
      </c>
      <c r="M14502" t="s">
        <v>603</v>
      </c>
      <c r="N14502" t="s">
        <v>604</v>
      </c>
      <c r="O14502" s="37" t="str">
        <f t="shared" si="1133"/>
        <v>Digital Payment</v>
      </c>
      <c r="P14502">
        <v>122.83</v>
      </c>
      <c r="Q14502" s="37" t="str">
        <f>IF(P14502&gt;500,"High","low")</f>
        <v>low</v>
      </c>
      <c r="R14502" s="37" t="str">
        <f t="shared" si="1134"/>
        <v>AVERAGE</v>
      </c>
      <c r="S14502" t="s">
        <v>605</v>
      </c>
    </row>
    <row r="14503" spans="1:19" x14ac:dyDescent="0.2">
      <c r="A14503" t="s">
        <v>15114</v>
      </c>
      <c r="B14503" t="s">
        <v>75</v>
      </c>
      <c r="C14503" t="s">
        <v>602</v>
      </c>
      <c r="D14503">
        <v>1533.07</v>
      </c>
      <c r="E14503" s="37" t="str">
        <f t="shared" si="1130"/>
        <v xml:space="preserve"> </v>
      </c>
      <c r="F14503">
        <v>0.27</v>
      </c>
      <c r="G14503" s="37" t="str">
        <f t="shared" si="1131"/>
        <v>Normal Discount</v>
      </c>
      <c r="H14503" s="37" t="str">
        <f t="shared" si="1132"/>
        <v>Medium</v>
      </c>
      <c r="I14503">
        <v>6</v>
      </c>
      <c r="J14503" t="str" cm="1">
        <f t="array" ref="J14503">_xlfn.IFS(I14503&lt;=3,"small",I14503&lt;=6,"Medium",I14503&lt;=9,"Large")</f>
        <v>Medium</v>
      </c>
      <c r="K14503" s="36">
        <v>45058</v>
      </c>
      <c r="L14503" s="36">
        <v>45060</v>
      </c>
      <c r="M14503" t="s">
        <v>603</v>
      </c>
      <c r="N14503" t="s">
        <v>604</v>
      </c>
      <c r="O14503" s="37" t="str">
        <f t="shared" si="1133"/>
        <v>Digital Payment</v>
      </c>
      <c r="P14503">
        <v>257.24</v>
      </c>
      <c r="Q14503" s="37" t="str">
        <f>IF(P14503&gt;500,"High","low")</f>
        <v>low</v>
      </c>
      <c r="R14503" s="37" t="str">
        <f t="shared" si="1134"/>
        <v>AVERAGE</v>
      </c>
      <c r="S14503" t="s">
        <v>628</v>
      </c>
    </row>
    <row r="14504" spans="1:19" x14ac:dyDescent="0.2">
      <c r="A14504" t="s">
        <v>15115</v>
      </c>
      <c r="B14504" t="s">
        <v>75</v>
      </c>
      <c r="C14504" t="s">
        <v>607</v>
      </c>
      <c r="D14504">
        <v>2524.4299999999998</v>
      </c>
      <c r="E14504" s="37" t="str">
        <f t="shared" si="1130"/>
        <v xml:space="preserve"> </v>
      </c>
      <c r="F14504">
        <v>0.13</v>
      </c>
      <c r="G14504" s="37" t="str">
        <f t="shared" si="1131"/>
        <v>Normal Discount</v>
      </c>
      <c r="H14504" s="37" t="str">
        <f t="shared" si="1132"/>
        <v>Low</v>
      </c>
      <c r="I14504">
        <v>3</v>
      </c>
      <c r="J14504" t="str" cm="1">
        <f t="array" ref="J14504">_xlfn.IFS(I14504&lt;=3,"small",I14504&lt;=6,"Medium",I14504&lt;=9,"Large")</f>
        <v>small</v>
      </c>
      <c r="K14504" s="36">
        <v>45473</v>
      </c>
      <c r="L14504" s="36">
        <v>45478</v>
      </c>
      <c r="M14504" t="s">
        <v>603</v>
      </c>
      <c r="N14504" t="s">
        <v>599</v>
      </c>
      <c r="O14504" s="37" t="str">
        <f t="shared" si="1133"/>
        <v>Digital Payment</v>
      </c>
      <c r="P14504">
        <v>518.9</v>
      </c>
      <c r="Q14504" s="37" t="str">
        <f>IF(P14504&gt;500,"High","low")</f>
        <v>High</v>
      </c>
      <c r="R14504" s="37" t="str">
        <f t="shared" si="1134"/>
        <v>Good</v>
      </c>
      <c r="S14504" t="s">
        <v>620</v>
      </c>
    </row>
    <row r="14505" spans="1:19" x14ac:dyDescent="0.2">
      <c r="A14505" t="s">
        <v>15116</v>
      </c>
      <c r="B14505" t="s">
        <v>90</v>
      </c>
      <c r="C14505" t="s">
        <v>614</v>
      </c>
      <c r="D14505">
        <v>4046.74</v>
      </c>
      <c r="E14505" s="37" t="str">
        <f t="shared" si="1130"/>
        <v>Excellent Order</v>
      </c>
      <c r="F14505">
        <v>0.46</v>
      </c>
      <c r="G14505" s="37" t="str">
        <f t="shared" si="1131"/>
        <v>Heavy Discount</v>
      </c>
      <c r="H14505" s="37" t="str">
        <f t="shared" si="1132"/>
        <v>High</v>
      </c>
      <c r="I14505">
        <v>1</v>
      </c>
      <c r="J14505" t="str" cm="1">
        <f t="array" ref="J14505">_xlfn.IFS(I14505&lt;=3,"small",I14505&lt;=6,"Medium",I14505&lt;=9,"Large")</f>
        <v>small</v>
      </c>
      <c r="K14505" s="36">
        <v>45019</v>
      </c>
      <c r="L14505" s="36">
        <v>45025</v>
      </c>
      <c r="M14505" t="s">
        <v>598</v>
      </c>
      <c r="N14505" t="s">
        <v>604</v>
      </c>
      <c r="O14505" s="37" t="str">
        <f t="shared" si="1133"/>
        <v>Digital Payment</v>
      </c>
      <c r="P14505">
        <v>930.79</v>
      </c>
      <c r="Q14505" s="37" t="str">
        <f>IF(P14505&gt;500,"High","low")</f>
        <v>High</v>
      </c>
      <c r="R14505" s="37" t="str">
        <f t="shared" si="1134"/>
        <v>Good</v>
      </c>
      <c r="S14505" t="s">
        <v>628</v>
      </c>
    </row>
    <row r="14506" spans="1:19" x14ac:dyDescent="0.2">
      <c r="A14506" t="s">
        <v>15117</v>
      </c>
      <c r="B14506" t="s">
        <v>83</v>
      </c>
      <c r="C14506" t="s">
        <v>607</v>
      </c>
      <c r="D14506">
        <v>3642.62</v>
      </c>
      <c r="E14506" s="37" t="str">
        <f t="shared" si="1130"/>
        <v xml:space="preserve"> </v>
      </c>
      <c r="F14506">
        <v>0.22</v>
      </c>
      <c r="G14506" s="37" t="str">
        <f t="shared" si="1131"/>
        <v>Normal Discount</v>
      </c>
      <c r="H14506" s="37" t="str">
        <f t="shared" si="1132"/>
        <v>Medium</v>
      </c>
      <c r="I14506">
        <v>6</v>
      </c>
      <c r="J14506" t="str" cm="1">
        <f t="array" ref="J14506">_xlfn.IFS(I14506&lt;=3,"small",I14506&lt;=6,"Medium",I14506&lt;=9,"Large")</f>
        <v>Medium</v>
      </c>
      <c r="K14506" s="36">
        <v>45238</v>
      </c>
      <c r="L14506" s="36">
        <v>45240</v>
      </c>
      <c r="M14506" t="s">
        <v>598</v>
      </c>
      <c r="N14506" t="s">
        <v>599</v>
      </c>
      <c r="O14506" s="37" t="str">
        <f t="shared" si="1133"/>
        <v>Digital Payment</v>
      </c>
      <c r="P14506">
        <v>657.83</v>
      </c>
      <c r="Q14506" s="37" t="str">
        <f>IF(P14506&gt;500,"High","low")</f>
        <v>High</v>
      </c>
      <c r="R14506" s="37" t="str">
        <f t="shared" si="1134"/>
        <v>Good</v>
      </c>
      <c r="S14506" t="s">
        <v>609</v>
      </c>
    </row>
    <row r="14507" spans="1:19" x14ac:dyDescent="0.2">
      <c r="A14507" t="s">
        <v>15118</v>
      </c>
      <c r="B14507" t="s">
        <v>83</v>
      </c>
      <c r="C14507" t="s">
        <v>617</v>
      </c>
      <c r="D14507">
        <v>3959.79</v>
      </c>
      <c r="E14507" s="37" t="str">
        <f t="shared" si="1130"/>
        <v xml:space="preserve"> </v>
      </c>
      <c r="F14507">
        <v>0.23</v>
      </c>
      <c r="G14507" s="37" t="str">
        <f t="shared" si="1131"/>
        <v>Normal Discount</v>
      </c>
      <c r="H14507" s="37" t="str">
        <f t="shared" si="1132"/>
        <v>Medium</v>
      </c>
      <c r="I14507">
        <v>5</v>
      </c>
      <c r="J14507" t="str" cm="1">
        <f t="array" ref="J14507">_xlfn.IFS(I14507&lt;=3,"small",I14507&lt;=6,"Medium",I14507&lt;=9,"Large")</f>
        <v>Medium</v>
      </c>
      <c r="K14507" s="36">
        <v>45577</v>
      </c>
      <c r="L14507" s="36">
        <v>45583</v>
      </c>
      <c r="M14507" t="s">
        <v>598</v>
      </c>
      <c r="N14507" t="s">
        <v>604</v>
      </c>
      <c r="O14507" s="37" t="str">
        <f t="shared" si="1133"/>
        <v>Digital Payment</v>
      </c>
      <c r="P14507">
        <v>913.63</v>
      </c>
      <c r="Q14507" s="37" t="str">
        <f>IF(P14507&gt;500,"High","low")</f>
        <v>High</v>
      </c>
      <c r="R14507" s="37" t="str">
        <f t="shared" si="1134"/>
        <v>Good</v>
      </c>
      <c r="S14507" t="s">
        <v>609</v>
      </c>
    </row>
    <row r="14508" spans="1:19" x14ac:dyDescent="0.2">
      <c r="A14508" t="s">
        <v>15119</v>
      </c>
      <c r="B14508" t="s">
        <v>83</v>
      </c>
      <c r="C14508" t="s">
        <v>617</v>
      </c>
      <c r="D14508">
        <v>1961.64</v>
      </c>
      <c r="E14508" s="37" t="str">
        <f t="shared" si="1130"/>
        <v xml:space="preserve"> </v>
      </c>
      <c r="F14508">
        <v>0.48</v>
      </c>
      <c r="G14508" s="37" t="str">
        <f t="shared" si="1131"/>
        <v>Heavy Discount</v>
      </c>
      <c r="H14508" s="37" t="str">
        <f t="shared" si="1132"/>
        <v>High</v>
      </c>
      <c r="I14508">
        <v>4</v>
      </c>
      <c r="J14508" t="str" cm="1">
        <f t="array" ref="J14508">_xlfn.IFS(I14508&lt;=3,"small",I14508&lt;=6,"Medium",I14508&lt;=9,"Large")</f>
        <v>Medium</v>
      </c>
      <c r="K14508" s="36">
        <v>45220</v>
      </c>
      <c r="L14508" s="36">
        <v>45225</v>
      </c>
      <c r="M14508" t="s">
        <v>612</v>
      </c>
      <c r="N14508" t="s">
        <v>608</v>
      </c>
      <c r="O14508" s="37" t="str">
        <f t="shared" si="1133"/>
        <v>Cash Payment</v>
      </c>
      <c r="P14508">
        <v>467.33</v>
      </c>
      <c r="Q14508" s="37" t="str">
        <f>IF(P14508&gt;500,"High","low")</f>
        <v>low</v>
      </c>
      <c r="R14508" s="37" t="str">
        <f t="shared" si="1134"/>
        <v>AVERAGE</v>
      </c>
      <c r="S14508" t="s">
        <v>615</v>
      </c>
    </row>
    <row r="14509" spans="1:19" x14ac:dyDescent="0.2">
      <c r="A14509" t="s">
        <v>15120</v>
      </c>
      <c r="B14509" t="s">
        <v>90</v>
      </c>
      <c r="C14509" t="s">
        <v>602</v>
      </c>
      <c r="D14509">
        <v>1309.83</v>
      </c>
      <c r="E14509" s="37" t="str">
        <f t="shared" si="1130"/>
        <v xml:space="preserve"> </v>
      </c>
      <c r="F14509">
        <v>0.43</v>
      </c>
      <c r="G14509" s="37" t="str">
        <f t="shared" si="1131"/>
        <v>Heavy Discount</v>
      </c>
      <c r="H14509" s="37" t="str">
        <f t="shared" si="1132"/>
        <v>High</v>
      </c>
      <c r="I14509">
        <v>9</v>
      </c>
      <c r="J14509" t="str" cm="1">
        <f t="array" ref="J14509">_xlfn.IFS(I14509&lt;=3,"small",I14509&lt;=6,"Medium",I14509&lt;=9,"Large")</f>
        <v>Large</v>
      </c>
      <c r="K14509" s="36">
        <v>45355</v>
      </c>
      <c r="L14509" s="36">
        <v>45360</v>
      </c>
      <c r="M14509" t="s">
        <v>598</v>
      </c>
      <c r="N14509" t="s">
        <v>599</v>
      </c>
      <c r="O14509" s="37" t="str">
        <f t="shared" si="1133"/>
        <v>Digital Payment</v>
      </c>
      <c r="P14509">
        <v>338.38</v>
      </c>
      <c r="Q14509" s="37" t="str">
        <f>IF(P14509&gt;500,"High","low")</f>
        <v>low</v>
      </c>
      <c r="R14509" s="37" t="str">
        <f t="shared" si="1134"/>
        <v>AVERAGE</v>
      </c>
      <c r="S14509" t="s">
        <v>609</v>
      </c>
    </row>
    <row r="14510" spans="1:19" x14ac:dyDescent="0.2">
      <c r="A14510" t="s">
        <v>15121</v>
      </c>
      <c r="B14510" t="s">
        <v>83</v>
      </c>
      <c r="C14510" t="s">
        <v>617</v>
      </c>
      <c r="D14510">
        <v>218.24</v>
      </c>
      <c r="E14510" s="37" t="str">
        <f t="shared" si="1130"/>
        <v xml:space="preserve"> </v>
      </c>
      <c r="F14510">
        <v>0.4</v>
      </c>
      <c r="G14510" s="37" t="str">
        <f t="shared" si="1131"/>
        <v>Heavy Discount</v>
      </c>
      <c r="H14510" s="37" t="str">
        <f t="shared" si="1132"/>
        <v>Medium</v>
      </c>
      <c r="I14510">
        <v>4</v>
      </c>
      <c r="J14510" t="str" cm="1">
        <f t="array" ref="J14510">_xlfn.IFS(I14510&lt;=3,"small",I14510&lt;=6,"Medium",I14510&lt;=9,"Large")</f>
        <v>Medium</v>
      </c>
      <c r="K14510" s="36">
        <v>45524</v>
      </c>
      <c r="L14510" s="36">
        <v>45528</v>
      </c>
      <c r="M14510" t="s">
        <v>598</v>
      </c>
      <c r="N14510" t="s">
        <v>608</v>
      </c>
      <c r="O14510" s="37" t="str">
        <f t="shared" si="1133"/>
        <v>Cash Payment</v>
      </c>
      <c r="P14510">
        <v>60.46</v>
      </c>
      <c r="Q14510" s="37" t="str">
        <f>IF(P14510&gt;500,"High","low")</f>
        <v>low</v>
      </c>
      <c r="R14510" s="37" t="str">
        <f t="shared" si="1134"/>
        <v>AVERAGE</v>
      </c>
      <c r="S14510" t="s">
        <v>615</v>
      </c>
    </row>
    <row r="14511" spans="1:19" x14ac:dyDescent="0.2">
      <c r="A14511" t="s">
        <v>15122</v>
      </c>
      <c r="B14511" t="s">
        <v>90</v>
      </c>
      <c r="C14511" t="s">
        <v>614</v>
      </c>
      <c r="D14511">
        <v>3168.3</v>
      </c>
      <c r="E14511" s="37" t="str">
        <f t="shared" si="1130"/>
        <v xml:space="preserve"> </v>
      </c>
      <c r="F14511">
        <v>0.09</v>
      </c>
      <c r="G14511" s="37" t="str">
        <f t="shared" si="1131"/>
        <v>Normal Discount</v>
      </c>
      <c r="H14511" s="37" t="str">
        <f t="shared" si="1132"/>
        <v>Low</v>
      </c>
      <c r="I14511">
        <v>1</v>
      </c>
      <c r="J14511" t="str" cm="1">
        <f t="array" ref="J14511">_xlfn.IFS(I14511&lt;=3,"small",I14511&lt;=6,"Medium",I14511&lt;=9,"Large")</f>
        <v>small</v>
      </c>
      <c r="K14511" s="36">
        <v>45368</v>
      </c>
      <c r="L14511" s="36">
        <v>45370</v>
      </c>
      <c r="M14511" t="s">
        <v>598</v>
      </c>
      <c r="N14511" t="s">
        <v>608</v>
      </c>
      <c r="O14511" s="37" t="str">
        <f t="shared" si="1133"/>
        <v>Cash Payment</v>
      </c>
      <c r="P14511">
        <v>715.17</v>
      </c>
      <c r="Q14511" s="37" t="str">
        <f>IF(P14511&gt;500,"High","low")</f>
        <v>High</v>
      </c>
      <c r="R14511" s="37" t="str">
        <f t="shared" si="1134"/>
        <v>Good</v>
      </c>
      <c r="S14511" t="s">
        <v>600</v>
      </c>
    </row>
    <row r="14512" spans="1:19" x14ac:dyDescent="0.2">
      <c r="A14512" t="s">
        <v>15123</v>
      </c>
      <c r="B14512" t="s">
        <v>83</v>
      </c>
      <c r="C14512" t="s">
        <v>602</v>
      </c>
      <c r="D14512">
        <v>3995.68</v>
      </c>
      <c r="E14512" s="37" t="str">
        <f t="shared" si="1130"/>
        <v xml:space="preserve"> </v>
      </c>
      <c r="F14512">
        <v>0.42</v>
      </c>
      <c r="G14512" s="37" t="str">
        <f t="shared" si="1131"/>
        <v>Heavy Discount</v>
      </c>
      <c r="H14512" s="37" t="str">
        <f t="shared" si="1132"/>
        <v>High</v>
      </c>
      <c r="I14512">
        <v>6</v>
      </c>
      <c r="J14512" t="str" cm="1">
        <f t="array" ref="J14512">_xlfn.IFS(I14512&lt;=3,"small",I14512&lt;=6,"Medium",I14512&lt;=9,"Large")</f>
        <v>Medium</v>
      </c>
      <c r="K14512" s="36">
        <v>45556</v>
      </c>
      <c r="L14512" s="36">
        <v>45558</v>
      </c>
      <c r="M14512" t="s">
        <v>598</v>
      </c>
      <c r="N14512" t="s">
        <v>599</v>
      </c>
      <c r="O14512" s="37" t="str">
        <f t="shared" si="1133"/>
        <v>Digital Payment</v>
      </c>
      <c r="P14512">
        <v>1096.01</v>
      </c>
      <c r="Q14512" s="37" t="str">
        <f>IF(P14512&gt;500,"High","low")</f>
        <v>High</v>
      </c>
      <c r="R14512" s="37" t="str">
        <f t="shared" si="1134"/>
        <v>Excellent</v>
      </c>
      <c r="S14512" t="s">
        <v>615</v>
      </c>
    </row>
    <row r="14513" spans="1:19" x14ac:dyDescent="0.2">
      <c r="A14513" t="s">
        <v>15124</v>
      </c>
      <c r="B14513" t="s">
        <v>75</v>
      </c>
      <c r="C14513" t="s">
        <v>607</v>
      </c>
      <c r="D14513">
        <v>4456.79</v>
      </c>
      <c r="E14513" s="37" t="str">
        <f t="shared" si="1130"/>
        <v xml:space="preserve"> </v>
      </c>
      <c r="F14513">
        <v>0.23</v>
      </c>
      <c r="G14513" s="37" t="str">
        <f t="shared" si="1131"/>
        <v>Normal Discount</v>
      </c>
      <c r="H14513" s="37" t="str">
        <f t="shared" si="1132"/>
        <v>Medium</v>
      </c>
      <c r="I14513">
        <v>7</v>
      </c>
      <c r="J14513" t="str" cm="1">
        <f t="array" ref="J14513">_xlfn.IFS(I14513&lt;=3,"small",I14513&lt;=6,"Medium",I14513&lt;=9,"Large")</f>
        <v>Large</v>
      </c>
      <c r="K14513" s="36">
        <v>45600</v>
      </c>
      <c r="L14513" s="36">
        <v>45606</v>
      </c>
      <c r="M14513" t="s">
        <v>612</v>
      </c>
      <c r="N14513" t="s">
        <v>604</v>
      </c>
      <c r="O14513" s="37" t="str">
        <f t="shared" si="1133"/>
        <v>Digital Payment</v>
      </c>
      <c r="P14513">
        <v>290.39</v>
      </c>
      <c r="Q14513" s="37" t="str">
        <f>IF(P14513&gt;500,"High","low")</f>
        <v>low</v>
      </c>
      <c r="R14513" s="37" t="str">
        <f t="shared" si="1134"/>
        <v>AVERAGE</v>
      </c>
      <c r="S14513" t="s">
        <v>609</v>
      </c>
    </row>
    <row r="14514" spans="1:19" x14ac:dyDescent="0.2">
      <c r="A14514" t="s">
        <v>15125</v>
      </c>
      <c r="B14514" t="s">
        <v>67</v>
      </c>
      <c r="C14514" t="s">
        <v>602</v>
      </c>
      <c r="D14514">
        <v>2433.5700000000002</v>
      </c>
      <c r="E14514" s="37" t="str">
        <f t="shared" si="1130"/>
        <v xml:space="preserve"> </v>
      </c>
      <c r="F14514">
        <v>0.1</v>
      </c>
      <c r="G14514" s="37" t="str">
        <f t="shared" si="1131"/>
        <v>Normal Discount</v>
      </c>
      <c r="H14514" s="37" t="str">
        <f t="shared" si="1132"/>
        <v>Low</v>
      </c>
      <c r="I14514">
        <v>1</v>
      </c>
      <c r="J14514" t="str" cm="1">
        <f t="array" ref="J14514">_xlfn.IFS(I14514&lt;=3,"small",I14514&lt;=6,"Medium",I14514&lt;=9,"Large")</f>
        <v>small</v>
      </c>
      <c r="K14514" s="36">
        <v>45548</v>
      </c>
      <c r="L14514" s="36">
        <v>45553</v>
      </c>
      <c r="M14514" t="s">
        <v>612</v>
      </c>
      <c r="N14514" t="s">
        <v>599</v>
      </c>
      <c r="O14514" s="37" t="str">
        <f t="shared" si="1133"/>
        <v>Digital Payment</v>
      </c>
      <c r="P14514">
        <v>200.77</v>
      </c>
      <c r="Q14514" s="37" t="str">
        <f>IF(P14514&gt;500,"High","low")</f>
        <v>low</v>
      </c>
      <c r="R14514" s="37" t="str">
        <f t="shared" si="1134"/>
        <v>AVERAGE</v>
      </c>
      <c r="S14514" t="s">
        <v>605</v>
      </c>
    </row>
    <row r="14515" spans="1:19" x14ac:dyDescent="0.2">
      <c r="A14515" t="s">
        <v>15126</v>
      </c>
      <c r="B14515" t="s">
        <v>67</v>
      </c>
      <c r="C14515" t="s">
        <v>607</v>
      </c>
      <c r="D14515">
        <v>4645.46</v>
      </c>
      <c r="E14515" s="37" t="str">
        <f t="shared" si="1130"/>
        <v xml:space="preserve"> </v>
      </c>
      <c r="F14515">
        <v>0.5</v>
      </c>
      <c r="G14515" s="37" t="str">
        <f t="shared" si="1131"/>
        <v>Heavy Discount</v>
      </c>
      <c r="H14515" s="37" t="str">
        <f t="shared" si="1132"/>
        <v>High</v>
      </c>
      <c r="I14515">
        <v>9</v>
      </c>
      <c r="J14515" t="str" cm="1">
        <f t="array" ref="J14515">_xlfn.IFS(I14515&lt;=3,"small",I14515&lt;=6,"Medium",I14515&lt;=9,"Large")</f>
        <v>Large</v>
      </c>
      <c r="K14515" s="36">
        <v>45018</v>
      </c>
      <c r="L14515" s="36">
        <v>45020</v>
      </c>
      <c r="M14515" t="s">
        <v>603</v>
      </c>
      <c r="N14515" t="s">
        <v>604</v>
      </c>
      <c r="O14515" s="37" t="str">
        <f t="shared" si="1133"/>
        <v>Digital Payment</v>
      </c>
      <c r="P14515">
        <v>701.86</v>
      </c>
      <c r="Q14515" s="37" t="str">
        <f>IF(P14515&gt;500,"High","low")</f>
        <v>High</v>
      </c>
      <c r="R14515" s="37" t="str">
        <f t="shared" si="1134"/>
        <v>Good</v>
      </c>
      <c r="S14515" t="s">
        <v>609</v>
      </c>
    </row>
    <row r="14516" spans="1:19" x14ac:dyDescent="0.2">
      <c r="A14516" t="s">
        <v>15127</v>
      </c>
      <c r="B14516" t="s">
        <v>90</v>
      </c>
      <c r="C14516" t="s">
        <v>597</v>
      </c>
      <c r="D14516">
        <v>1091.82</v>
      </c>
      <c r="E14516" s="37" t="str">
        <f t="shared" si="1130"/>
        <v xml:space="preserve"> </v>
      </c>
      <c r="F14516">
        <v>0.09</v>
      </c>
      <c r="G14516" s="37" t="str">
        <f t="shared" si="1131"/>
        <v>Normal Discount</v>
      </c>
      <c r="H14516" s="37" t="str">
        <f t="shared" si="1132"/>
        <v>Low</v>
      </c>
      <c r="I14516">
        <v>2</v>
      </c>
      <c r="J14516" t="str" cm="1">
        <f t="array" ref="J14516">_xlfn.IFS(I14516&lt;=3,"small",I14516&lt;=6,"Medium",I14516&lt;=9,"Large")</f>
        <v>small</v>
      </c>
      <c r="K14516" s="36">
        <v>45301</v>
      </c>
      <c r="L14516" s="36">
        <v>45304</v>
      </c>
      <c r="M14516" t="s">
        <v>603</v>
      </c>
      <c r="N14516" t="s">
        <v>599</v>
      </c>
      <c r="O14516" s="37" t="str">
        <f t="shared" si="1133"/>
        <v>Digital Payment</v>
      </c>
      <c r="P14516">
        <v>100.02</v>
      </c>
      <c r="Q14516" s="37" t="str">
        <f>IF(P14516&gt;500,"High","low")</f>
        <v>low</v>
      </c>
      <c r="R14516" s="37" t="str">
        <f t="shared" si="1134"/>
        <v>AVERAGE</v>
      </c>
      <c r="S14516" t="s">
        <v>609</v>
      </c>
    </row>
    <row r="14517" spans="1:19" x14ac:dyDescent="0.2">
      <c r="A14517" t="s">
        <v>15128</v>
      </c>
      <c r="B14517" t="s">
        <v>83</v>
      </c>
      <c r="C14517" t="s">
        <v>614</v>
      </c>
      <c r="D14517">
        <v>2620.4499999999998</v>
      </c>
      <c r="E14517" s="37" t="str">
        <f t="shared" si="1130"/>
        <v xml:space="preserve"> </v>
      </c>
      <c r="F14517">
        <v>0.46</v>
      </c>
      <c r="G14517" s="37" t="str">
        <f t="shared" si="1131"/>
        <v>Heavy Discount</v>
      </c>
      <c r="H14517" s="37" t="str">
        <f t="shared" si="1132"/>
        <v>High</v>
      </c>
      <c r="I14517">
        <v>7</v>
      </c>
      <c r="J14517" t="str" cm="1">
        <f t="array" ref="J14517">_xlfn.IFS(I14517&lt;=3,"small",I14517&lt;=6,"Medium",I14517&lt;=9,"Large")</f>
        <v>Large</v>
      </c>
      <c r="K14517" s="36">
        <v>45638</v>
      </c>
      <c r="L14517" s="36">
        <v>45645</v>
      </c>
      <c r="M14517" t="s">
        <v>612</v>
      </c>
      <c r="N14517" t="s">
        <v>599</v>
      </c>
      <c r="O14517" s="37" t="str">
        <f t="shared" si="1133"/>
        <v>Digital Payment</v>
      </c>
      <c r="P14517">
        <v>352.04</v>
      </c>
      <c r="Q14517" s="37" t="str">
        <f>IF(P14517&gt;500,"High","low")</f>
        <v>low</v>
      </c>
      <c r="R14517" s="37" t="str">
        <f t="shared" si="1134"/>
        <v>AVERAGE</v>
      </c>
      <c r="S14517" t="s">
        <v>628</v>
      </c>
    </row>
    <row r="14518" spans="1:19" x14ac:dyDescent="0.2">
      <c r="A14518" t="s">
        <v>15129</v>
      </c>
      <c r="B14518" t="s">
        <v>67</v>
      </c>
      <c r="C14518" t="s">
        <v>614</v>
      </c>
      <c r="D14518">
        <v>1147.46</v>
      </c>
      <c r="E14518" s="37" t="str">
        <f t="shared" si="1130"/>
        <v xml:space="preserve"> </v>
      </c>
      <c r="F14518">
        <v>0</v>
      </c>
      <c r="G14518" s="37" t="str">
        <f t="shared" si="1131"/>
        <v>Normal Discount</v>
      </c>
      <c r="H14518" s="37" t="str">
        <f t="shared" si="1132"/>
        <v>Low</v>
      </c>
      <c r="I14518">
        <v>8</v>
      </c>
      <c r="J14518" t="str" cm="1">
        <f t="array" ref="J14518">_xlfn.IFS(I14518&lt;=3,"small",I14518&lt;=6,"Medium",I14518&lt;=9,"Large")</f>
        <v>Large</v>
      </c>
      <c r="K14518" s="36">
        <v>45590</v>
      </c>
      <c r="L14518" s="36">
        <v>45592</v>
      </c>
      <c r="M14518" t="s">
        <v>612</v>
      </c>
      <c r="N14518" t="s">
        <v>608</v>
      </c>
      <c r="O14518" s="37" t="str">
        <f t="shared" si="1133"/>
        <v>Cash Payment</v>
      </c>
      <c r="P14518">
        <v>310.83999999999997</v>
      </c>
      <c r="Q14518" s="37" t="str">
        <f>IF(P14518&gt;500,"High","low")</f>
        <v>low</v>
      </c>
      <c r="R14518" s="37" t="str">
        <f t="shared" si="1134"/>
        <v>AVERAGE</v>
      </c>
      <c r="S14518" t="s">
        <v>605</v>
      </c>
    </row>
    <row r="14519" spans="1:19" x14ac:dyDescent="0.2">
      <c r="A14519" t="s">
        <v>15130</v>
      </c>
      <c r="B14519" t="s">
        <v>75</v>
      </c>
      <c r="C14519" t="s">
        <v>607</v>
      </c>
      <c r="D14519">
        <v>1021.57</v>
      </c>
      <c r="E14519" s="37" t="str">
        <f t="shared" si="1130"/>
        <v xml:space="preserve"> </v>
      </c>
      <c r="F14519">
        <v>0.22</v>
      </c>
      <c r="G14519" s="37" t="str">
        <f t="shared" si="1131"/>
        <v>Normal Discount</v>
      </c>
      <c r="H14519" s="37" t="str">
        <f t="shared" si="1132"/>
        <v>Medium</v>
      </c>
      <c r="I14519">
        <v>8</v>
      </c>
      <c r="J14519" t="str" cm="1">
        <f t="array" ref="J14519">_xlfn.IFS(I14519&lt;=3,"small",I14519&lt;=6,"Medium",I14519&lt;=9,"Large")</f>
        <v>Large</v>
      </c>
      <c r="K14519" s="36">
        <v>45512</v>
      </c>
      <c r="L14519" s="36">
        <v>45513</v>
      </c>
      <c r="M14519" t="s">
        <v>612</v>
      </c>
      <c r="N14519" t="s">
        <v>599</v>
      </c>
      <c r="O14519" s="37" t="str">
        <f t="shared" si="1133"/>
        <v>Digital Payment</v>
      </c>
      <c r="P14519">
        <v>82.41</v>
      </c>
      <c r="Q14519" s="37" t="str">
        <f>IF(P14519&gt;500,"High","low")</f>
        <v>low</v>
      </c>
      <c r="R14519" s="37" t="str">
        <f t="shared" si="1134"/>
        <v>AVERAGE</v>
      </c>
      <c r="S14519" t="s">
        <v>615</v>
      </c>
    </row>
    <row r="14520" spans="1:19" x14ac:dyDescent="0.2">
      <c r="A14520" t="s">
        <v>15131</v>
      </c>
      <c r="B14520" t="s">
        <v>75</v>
      </c>
      <c r="C14520" t="s">
        <v>617</v>
      </c>
      <c r="D14520">
        <v>4771.6000000000004</v>
      </c>
      <c r="E14520" s="37" t="str">
        <f t="shared" si="1130"/>
        <v>Excellent Order</v>
      </c>
      <c r="F14520">
        <v>0.01</v>
      </c>
      <c r="G14520" s="37" t="str">
        <f t="shared" si="1131"/>
        <v>Normal Discount</v>
      </c>
      <c r="H14520" s="37" t="str">
        <f t="shared" si="1132"/>
        <v>Low</v>
      </c>
      <c r="I14520">
        <v>1</v>
      </c>
      <c r="J14520" t="str" cm="1">
        <f t="array" ref="J14520">_xlfn.IFS(I14520&lt;=3,"small",I14520&lt;=6,"Medium",I14520&lt;=9,"Large")</f>
        <v>small</v>
      </c>
      <c r="K14520" s="36">
        <v>45389</v>
      </c>
      <c r="L14520" s="36">
        <v>45391</v>
      </c>
      <c r="M14520" t="s">
        <v>603</v>
      </c>
      <c r="N14520" t="s">
        <v>608</v>
      </c>
      <c r="O14520" s="37" t="str">
        <f t="shared" si="1133"/>
        <v>Cash Payment</v>
      </c>
      <c r="P14520">
        <v>996.83</v>
      </c>
      <c r="Q14520" s="37" t="str">
        <f>IF(P14520&gt;500,"High","low")</f>
        <v>High</v>
      </c>
      <c r="R14520" s="37" t="str">
        <f t="shared" si="1134"/>
        <v>Good</v>
      </c>
      <c r="S14520" t="s">
        <v>620</v>
      </c>
    </row>
    <row r="14521" spans="1:19" x14ac:dyDescent="0.2">
      <c r="A14521" t="s">
        <v>15132</v>
      </c>
      <c r="B14521" t="s">
        <v>75</v>
      </c>
      <c r="C14521" t="s">
        <v>617</v>
      </c>
      <c r="D14521">
        <v>4106.93</v>
      </c>
      <c r="E14521" s="37" t="str">
        <f t="shared" si="1130"/>
        <v xml:space="preserve"> </v>
      </c>
      <c r="F14521">
        <v>0.46</v>
      </c>
      <c r="G14521" s="37" t="str">
        <f t="shared" si="1131"/>
        <v>Heavy Discount</v>
      </c>
      <c r="H14521" s="37" t="str">
        <f t="shared" si="1132"/>
        <v>High</v>
      </c>
      <c r="I14521">
        <v>1</v>
      </c>
      <c r="J14521" t="str" cm="1">
        <f t="array" ref="J14521">_xlfn.IFS(I14521&lt;=3,"small",I14521&lt;=6,"Medium",I14521&lt;=9,"Large")</f>
        <v>small</v>
      </c>
      <c r="K14521" s="36">
        <v>45245</v>
      </c>
      <c r="L14521" s="36">
        <v>45248</v>
      </c>
      <c r="M14521" t="s">
        <v>598</v>
      </c>
      <c r="N14521" t="s">
        <v>608</v>
      </c>
      <c r="O14521" s="37" t="str">
        <f t="shared" si="1133"/>
        <v>Cash Payment</v>
      </c>
      <c r="P14521">
        <v>440.37</v>
      </c>
      <c r="Q14521" s="37" t="str">
        <f>IF(P14521&gt;500,"High","low")</f>
        <v>low</v>
      </c>
      <c r="R14521" s="37" t="str">
        <f t="shared" si="1134"/>
        <v>AVERAGE</v>
      </c>
      <c r="S14521" t="s">
        <v>600</v>
      </c>
    </row>
    <row r="14522" spans="1:19" x14ac:dyDescent="0.2">
      <c r="A14522" t="s">
        <v>15133</v>
      </c>
      <c r="B14522" t="s">
        <v>90</v>
      </c>
      <c r="C14522" t="s">
        <v>597</v>
      </c>
      <c r="D14522">
        <v>157.82</v>
      </c>
      <c r="E14522" s="37" t="str">
        <f t="shared" si="1130"/>
        <v xml:space="preserve"> </v>
      </c>
      <c r="F14522">
        <v>0.06</v>
      </c>
      <c r="G14522" s="37" t="str">
        <f t="shared" si="1131"/>
        <v>Normal Discount</v>
      </c>
      <c r="H14522" s="37" t="str">
        <f t="shared" si="1132"/>
        <v>Low</v>
      </c>
      <c r="I14522">
        <v>4</v>
      </c>
      <c r="J14522" t="str" cm="1">
        <f t="array" ref="J14522">_xlfn.IFS(I14522&lt;=3,"small",I14522&lt;=6,"Medium",I14522&lt;=9,"Large")</f>
        <v>Medium</v>
      </c>
      <c r="K14522" s="36">
        <v>45547</v>
      </c>
      <c r="L14522" s="36">
        <v>45553</v>
      </c>
      <c r="M14522" t="s">
        <v>598</v>
      </c>
      <c r="N14522" t="s">
        <v>608</v>
      </c>
      <c r="O14522" s="37" t="str">
        <f t="shared" si="1133"/>
        <v>Cash Payment</v>
      </c>
      <c r="P14522">
        <v>27.3</v>
      </c>
      <c r="Q14522" s="37" t="str">
        <f>IF(P14522&gt;500,"High","low")</f>
        <v>low</v>
      </c>
      <c r="R14522" s="37" t="str">
        <f t="shared" si="1134"/>
        <v>AVERAGE</v>
      </c>
      <c r="S14522" t="s">
        <v>620</v>
      </c>
    </row>
    <row r="14523" spans="1:19" x14ac:dyDescent="0.2">
      <c r="A14523" t="s">
        <v>15134</v>
      </c>
      <c r="B14523" t="s">
        <v>90</v>
      </c>
      <c r="C14523" t="s">
        <v>607</v>
      </c>
      <c r="D14523">
        <v>1415.71</v>
      </c>
      <c r="E14523" s="37" t="str">
        <f t="shared" si="1130"/>
        <v xml:space="preserve"> </v>
      </c>
      <c r="F14523">
        <v>0.34</v>
      </c>
      <c r="G14523" s="37" t="str">
        <f t="shared" si="1131"/>
        <v>Heavy Discount</v>
      </c>
      <c r="H14523" s="37" t="str">
        <f t="shared" si="1132"/>
        <v>Medium</v>
      </c>
      <c r="I14523">
        <v>2</v>
      </c>
      <c r="J14523" t="str" cm="1">
        <f t="array" ref="J14523">_xlfn.IFS(I14523&lt;=3,"small",I14523&lt;=6,"Medium",I14523&lt;=9,"Large")</f>
        <v>small</v>
      </c>
      <c r="K14523" s="36">
        <v>45413</v>
      </c>
      <c r="L14523" s="36">
        <v>45415</v>
      </c>
      <c r="M14523" t="s">
        <v>612</v>
      </c>
      <c r="N14523" t="s">
        <v>608</v>
      </c>
      <c r="O14523" s="37" t="str">
        <f t="shared" si="1133"/>
        <v>Cash Payment</v>
      </c>
      <c r="P14523">
        <v>210.93</v>
      </c>
      <c r="Q14523" s="37" t="str">
        <f>IF(P14523&gt;500,"High","low")</f>
        <v>low</v>
      </c>
      <c r="R14523" s="37" t="str">
        <f t="shared" si="1134"/>
        <v>AVERAGE</v>
      </c>
      <c r="S14523" t="s">
        <v>620</v>
      </c>
    </row>
    <row r="14524" spans="1:19" x14ac:dyDescent="0.2">
      <c r="A14524" t="s">
        <v>15135</v>
      </c>
      <c r="B14524" t="s">
        <v>83</v>
      </c>
      <c r="C14524" t="s">
        <v>597</v>
      </c>
      <c r="D14524">
        <v>1105.1600000000001</v>
      </c>
      <c r="E14524" s="37" t="str">
        <f t="shared" si="1130"/>
        <v xml:space="preserve"> </v>
      </c>
      <c r="F14524">
        <v>0.32</v>
      </c>
      <c r="G14524" s="37" t="str">
        <f t="shared" si="1131"/>
        <v>Heavy Discount</v>
      </c>
      <c r="H14524" s="37" t="str">
        <f t="shared" si="1132"/>
        <v>Medium</v>
      </c>
      <c r="I14524">
        <v>4</v>
      </c>
      <c r="J14524" t="str" cm="1">
        <f t="array" ref="J14524">_xlfn.IFS(I14524&lt;=3,"small",I14524&lt;=6,"Medium",I14524&lt;=9,"Large")</f>
        <v>Medium</v>
      </c>
      <c r="K14524" s="36">
        <v>45154</v>
      </c>
      <c r="L14524" s="36">
        <v>45157</v>
      </c>
      <c r="M14524" t="s">
        <v>603</v>
      </c>
      <c r="N14524" t="s">
        <v>599</v>
      </c>
      <c r="O14524" s="37" t="str">
        <f t="shared" si="1133"/>
        <v>Digital Payment</v>
      </c>
      <c r="P14524">
        <v>294.10000000000002</v>
      </c>
      <c r="Q14524" s="37" t="str">
        <f>IF(P14524&gt;500,"High","low")</f>
        <v>low</v>
      </c>
      <c r="R14524" s="37" t="str">
        <f t="shared" si="1134"/>
        <v>AVERAGE</v>
      </c>
      <c r="S14524" t="s">
        <v>628</v>
      </c>
    </row>
    <row r="14525" spans="1:19" x14ac:dyDescent="0.2">
      <c r="A14525" t="s">
        <v>15136</v>
      </c>
      <c r="B14525" t="s">
        <v>75</v>
      </c>
      <c r="C14525" t="s">
        <v>607</v>
      </c>
      <c r="D14525">
        <v>820.96</v>
      </c>
      <c r="E14525" s="37" t="str">
        <f t="shared" si="1130"/>
        <v xml:space="preserve"> </v>
      </c>
      <c r="F14525">
        <v>0.39</v>
      </c>
      <c r="G14525" s="37" t="str">
        <f t="shared" si="1131"/>
        <v>Heavy Discount</v>
      </c>
      <c r="H14525" s="37" t="str">
        <f t="shared" si="1132"/>
        <v>Medium</v>
      </c>
      <c r="I14525">
        <v>6</v>
      </c>
      <c r="J14525" t="str" cm="1">
        <f t="array" ref="J14525">_xlfn.IFS(I14525&lt;=3,"small",I14525&lt;=6,"Medium",I14525&lt;=9,"Large")</f>
        <v>Medium</v>
      </c>
      <c r="K14525" s="36">
        <v>45323</v>
      </c>
      <c r="L14525" s="36">
        <v>45324</v>
      </c>
      <c r="M14525" t="s">
        <v>612</v>
      </c>
      <c r="N14525" t="s">
        <v>608</v>
      </c>
      <c r="O14525" s="37" t="str">
        <f t="shared" si="1133"/>
        <v>Cash Payment</v>
      </c>
      <c r="P14525">
        <v>151.66</v>
      </c>
      <c r="Q14525" s="37" t="str">
        <f>IF(P14525&gt;500,"High","low")</f>
        <v>low</v>
      </c>
      <c r="R14525" s="37" t="str">
        <f t="shared" si="1134"/>
        <v>AVERAGE</v>
      </c>
      <c r="S14525" t="s">
        <v>620</v>
      </c>
    </row>
    <row r="14526" spans="1:19" x14ac:dyDescent="0.2">
      <c r="A14526" t="s">
        <v>15137</v>
      </c>
      <c r="B14526" t="s">
        <v>83</v>
      </c>
      <c r="C14526" t="s">
        <v>597</v>
      </c>
      <c r="D14526">
        <v>3517.32</v>
      </c>
      <c r="E14526" s="37" t="str">
        <f t="shared" si="1130"/>
        <v xml:space="preserve"> </v>
      </c>
      <c r="F14526">
        <v>0.37</v>
      </c>
      <c r="G14526" s="37" t="str">
        <f t="shared" si="1131"/>
        <v>Heavy Discount</v>
      </c>
      <c r="H14526" s="37" t="str">
        <f t="shared" si="1132"/>
        <v>Medium</v>
      </c>
      <c r="I14526">
        <v>3</v>
      </c>
      <c r="J14526" t="str" cm="1">
        <f t="array" ref="J14526">_xlfn.IFS(I14526&lt;=3,"small",I14526&lt;=6,"Medium",I14526&lt;=9,"Large")</f>
        <v>small</v>
      </c>
      <c r="K14526" s="36">
        <v>44928</v>
      </c>
      <c r="L14526" s="36">
        <v>44935</v>
      </c>
      <c r="M14526" t="s">
        <v>603</v>
      </c>
      <c r="N14526" t="s">
        <v>604</v>
      </c>
      <c r="O14526" s="37" t="str">
        <f t="shared" si="1133"/>
        <v>Digital Payment</v>
      </c>
      <c r="P14526">
        <v>898.27</v>
      </c>
      <c r="Q14526" s="37" t="str">
        <f>IF(P14526&gt;500,"High","low")</f>
        <v>High</v>
      </c>
      <c r="R14526" s="37" t="str">
        <f t="shared" si="1134"/>
        <v>Good</v>
      </c>
      <c r="S14526" t="s">
        <v>600</v>
      </c>
    </row>
    <row r="14527" spans="1:19" x14ac:dyDescent="0.2">
      <c r="A14527" t="s">
        <v>15138</v>
      </c>
      <c r="B14527" t="s">
        <v>83</v>
      </c>
      <c r="C14527" t="s">
        <v>607</v>
      </c>
      <c r="D14527">
        <v>2877.51</v>
      </c>
      <c r="E14527" s="37" t="str">
        <f t="shared" si="1130"/>
        <v xml:space="preserve"> </v>
      </c>
      <c r="F14527">
        <v>0.02</v>
      </c>
      <c r="G14527" s="37" t="str">
        <f t="shared" si="1131"/>
        <v>Normal Discount</v>
      </c>
      <c r="H14527" s="37" t="str">
        <f t="shared" si="1132"/>
        <v>Low</v>
      </c>
      <c r="I14527">
        <v>3</v>
      </c>
      <c r="J14527" t="str" cm="1">
        <f t="array" ref="J14527">_xlfn.IFS(I14527&lt;=3,"small",I14527&lt;=6,"Medium",I14527&lt;=9,"Large")</f>
        <v>small</v>
      </c>
      <c r="K14527" s="36">
        <v>45549</v>
      </c>
      <c r="L14527" s="36">
        <v>45555</v>
      </c>
      <c r="M14527" t="s">
        <v>598</v>
      </c>
      <c r="N14527" t="s">
        <v>604</v>
      </c>
      <c r="O14527" s="37" t="str">
        <f t="shared" si="1133"/>
        <v>Digital Payment</v>
      </c>
      <c r="P14527">
        <v>441.73</v>
      </c>
      <c r="Q14527" s="37" t="str">
        <f>IF(P14527&gt;500,"High","low")</f>
        <v>low</v>
      </c>
      <c r="R14527" s="37" t="str">
        <f t="shared" si="1134"/>
        <v>AVERAGE</v>
      </c>
      <c r="S14527" t="s">
        <v>600</v>
      </c>
    </row>
    <row r="14528" spans="1:19" x14ac:dyDescent="0.2">
      <c r="A14528" t="s">
        <v>15139</v>
      </c>
      <c r="B14528" t="s">
        <v>75</v>
      </c>
      <c r="C14528" t="s">
        <v>614</v>
      </c>
      <c r="D14528">
        <v>2324.2800000000002</v>
      </c>
      <c r="E14528" s="37" t="str">
        <f t="shared" si="1130"/>
        <v xml:space="preserve"> </v>
      </c>
      <c r="F14528">
        <v>0.19</v>
      </c>
      <c r="G14528" s="37" t="str">
        <f t="shared" si="1131"/>
        <v>Normal Discount</v>
      </c>
      <c r="H14528" s="37" t="str">
        <f t="shared" si="1132"/>
        <v>Low</v>
      </c>
      <c r="I14528">
        <v>1</v>
      </c>
      <c r="J14528" t="str" cm="1">
        <f t="array" ref="J14528">_xlfn.IFS(I14528&lt;=3,"small",I14528&lt;=6,"Medium",I14528&lt;=9,"Large")</f>
        <v>small</v>
      </c>
      <c r="K14528" s="36">
        <v>45337</v>
      </c>
      <c r="L14528" s="36">
        <v>45341</v>
      </c>
      <c r="M14528" t="s">
        <v>598</v>
      </c>
      <c r="N14528" t="s">
        <v>608</v>
      </c>
      <c r="O14528" s="37" t="str">
        <f t="shared" si="1133"/>
        <v>Cash Payment</v>
      </c>
      <c r="P14528">
        <v>500.71</v>
      </c>
      <c r="Q14528" s="37" t="str">
        <f>IF(P14528&gt;500,"High","low")</f>
        <v>High</v>
      </c>
      <c r="R14528" s="37" t="str">
        <f t="shared" si="1134"/>
        <v>Good</v>
      </c>
      <c r="S14528" t="s">
        <v>628</v>
      </c>
    </row>
    <row r="14529" spans="1:19" x14ac:dyDescent="0.2">
      <c r="A14529" t="s">
        <v>15140</v>
      </c>
      <c r="B14529" t="s">
        <v>83</v>
      </c>
      <c r="C14529" t="s">
        <v>597</v>
      </c>
      <c r="D14529">
        <v>1028.54</v>
      </c>
      <c r="E14529" s="37" t="str">
        <f t="shared" si="1130"/>
        <v xml:space="preserve"> </v>
      </c>
      <c r="F14529">
        <v>0.16</v>
      </c>
      <c r="G14529" s="37" t="str">
        <f t="shared" si="1131"/>
        <v>Normal Discount</v>
      </c>
      <c r="H14529" s="37" t="str">
        <f t="shared" si="1132"/>
        <v>Low</v>
      </c>
      <c r="I14529">
        <v>5</v>
      </c>
      <c r="J14529" t="str" cm="1">
        <f t="array" ref="J14529">_xlfn.IFS(I14529&lt;=3,"small",I14529&lt;=6,"Medium",I14529&lt;=9,"Large")</f>
        <v>Medium</v>
      </c>
      <c r="K14529" s="36">
        <v>45031</v>
      </c>
      <c r="L14529" s="36">
        <v>45036</v>
      </c>
      <c r="M14529" t="s">
        <v>612</v>
      </c>
      <c r="N14529" t="s">
        <v>604</v>
      </c>
      <c r="O14529" s="37" t="str">
        <f t="shared" si="1133"/>
        <v>Digital Payment</v>
      </c>
      <c r="P14529">
        <v>285.2</v>
      </c>
      <c r="Q14529" s="37" t="str">
        <f>IF(P14529&gt;500,"High","low")</f>
        <v>low</v>
      </c>
      <c r="R14529" s="37" t="str">
        <f t="shared" si="1134"/>
        <v>AVERAGE</v>
      </c>
      <c r="S14529" t="s">
        <v>620</v>
      </c>
    </row>
    <row r="14530" spans="1:19" x14ac:dyDescent="0.2">
      <c r="A14530" t="s">
        <v>15141</v>
      </c>
      <c r="B14530" t="s">
        <v>67</v>
      </c>
      <c r="C14530" t="s">
        <v>597</v>
      </c>
      <c r="D14530">
        <v>1460.33</v>
      </c>
      <c r="E14530" s="37" t="str">
        <f t="shared" si="1130"/>
        <v xml:space="preserve"> </v>
      </c>
      <c r="F14530">
        <v>0.49</v>
      </c>
      <c r="G14530" s="37" t="str">
        <f t="shared" si="1131"/>
        <v>Heavy Discount</v>
      </c>
      <c r="H14530" s="37" t="str">
        <f t="shared" si="1132"/>
        <v>High</v>
      </c>
      <c r="I14530">
        <v>7</v>
      </c>
      <c r="J14530" t="str" cm="1">
        <f t="array" ref="J14530">_xlfn.IFS(I14530&lt;=3,"small",I14530&lt;=6,"Medium",I14530&lt;=9,"Large")</f>
        <v>Large</v>
      </c>
      <c r="K14530" s="36">
        <v>45144</v>
      </c>
      <c r="L14530" s="36">
        <v>45149</v>
      </c>
      <c r="M14530" t="s">
        <v>598</v>
      </c>
      <c r="N14530" t="s">
        <v>604</v>
      </c>
      <c r="O14530" s="37" t="str">
        <f t="shared" si="1133"/>
        <v>Digital Payment</v>
      </c>
      <c r="P14530">
        <v>127.29</v>
      </c>
      <c r="Q14530" s="37" t="str">
        <f>IF(P14530&gt;500,"High","low")</f>
        <v>low</v>
      </c>
      <c r="R14530" s="37" t="str">
        <f t="shared" si="1134"/>
        <v>AVERAGE</v>
      </c>
      <c r="S14530" t="s">
        <v>615</v>
      </c>
    </row>
    <row r="14531" spans="1:19" x14ac:dyDescent="0.2">
      <c r="A14531" t="s">
        <v>15142</v>
      </c>
      <c r="B14531" t="s">
        <v>90</v>
      </c>
      <c r="C14531" t="s">
        <v>607</v>
      </c>
      <c r="D14531">
        <v>1844.9</v>
      </c>
      <c r="E14531" s="37" t="str">
        <f t="shared" ref="E14531:E14594" si="1135">IF(AND(D14531&gt;4000,P14531&gt;800),"Excellent Order"," ")</f>
        <v xml:space="preserve"> </v>
      </c>
      <c r="F14531">
        <v>0.39</v>
      </c>
      <c r="G14531" s="37" t="str">
        <f t="shared" ref="G14531:G14594" si="1136">IF(F14531&gt;30%,"Heavy Discount","Normal Discount")</f>
        <v>Heavy Discount</v>
      </c>
      <c r="H14531" s="37" t="str">
        <f t="shared" ref="H14531:H14594" si="1137">IF(F14531&gt;0.4,"High",IF(F14531&gt;=0.2,"Medium","Low"))</f>
        <v>Medium</v>
      </c>
      <c r="I14531">
        <v>6</v>
      </c>
      <c r="J14531" t="str" cm="1">
        <f t="array" ref="J14531">_xlfn.IFS(I14531&lt;=3,"small",I14531&lt;=6,"Medium",I14531&lt;=9,"Large")</f>
        <v>Medium</v>
      </c>
      <c r="K14531" s="36">
        <v>45201</v>
      </c>
      <c r="L14531" s="36">
        <v>45206</v>
      </c>
      <c r="M14531" t="s">
        <v>612</v>
      </c>
      <c r="N14531" t="s">
        <v>604</v>
      </c>
      <c r="O14531" s="37" t="str">
        <f t="shared" ref="O14531:O14594" si="1138">IF(OR(N14531="Card",N14531="UPI"),"Digital Payment","Cash Payment")</f>
        <v>Digital Payment</v>
      </c>
      <c r="P14531">
        <v>350.64</v>
      </c>
      <c r="Q14531" s="37" t="str">
        <f>IF(P14531&gt;500,"High","low")</f>
        <v>low</v>
      </c>
      <c r="R14531" s="37" t="str">
        <f t="shared" ref="R14531:R14594" si="1139">IF(P14531&gt;1000,"Excellent",IF(P14531&gt;=500,"Good","AVERAGE"))</f>
        <v>AVERAGE</v>
      </c>
      <c r="S14531" t="s">
        <v>615</v>
      </c>
    </row>
    <row r="14532" spans="1:19" x14ac:dyDescent="0.2">
      <c r="A14532" t="s">
        <v>15143</v>
      </c>
      <c r="B14532" t="s">
        <v>83</v>
      </c>
      <c r="C14532" t="s">
        <v>602</v>
      </c>
      <c r="D14532">
        <v>3948.87</v>
      </c>
      <c r="E14532" s="37" t="str">
        <f t="shared" si="1135"/>
        <v xml:space="preserve"> </v>
      </c>
      <c r="F14532">
        <v>0.35</v>
      </c>
      <c r="G14532" s="37" t="str">
        <f t="shared" si="1136"/>
        <v>Heavy Discount</v>
      </c>
      <c r="H14532" s="37" t="str">
        <f t="shared" si="1137"/>
        <v>Medium</v>
      </c>
      <c r="I14532">
        <v>4</v>
      </c>
      <c r="J14532" t="str" cm="1">
        <f t="array" ref="J14532">_xlfn.IFS(I14532&lt;=3,"small",I14532&lt;=6,"Medium",I14532&lt;=9,"Large")</f>
        <v>Medium</v>
      </c>
      <c r="K14532" s="36">
        <v>44947</v>
      </c>
      <c r="L14532" s="36">
        <v>44954</v>
      </c>
      <c r="M14532" t="s">
        <v>603</v>
      </c>
      <c r="N14532" t="s">
        <v>608</v>
      </c>
      <c r="O14532" s="37" t="str">
        <f t="shared" si="1138"/>
        <v>Cash Payment</v>
      </c>
      <c r="P14532">
        <v>821.41</v>
      </c>
      <c r="Q14532" s="37" t="str">
        <f>IF(P14532&gt;500,"High","low")</f>
        <v>High</v>
      </c>
      <c r="R14532" s="37" t="str">
        <f t="shared" si="1139"/>
        <v>Good</v>
      </c>
      <c r="S14532" t="s">
        <v>609</v>
      </c>
    </row>
    <row r="14533" spans="1:19" x14ac:dyDescent="0.2">
      <c r="A14533" t="s">
        <v>15144</v>
      </c>
      <c r="B14533" t="s">
        <v>75</v>
      </c>
      <c r="C14533" t="s">
        <v>602</v>
      </c>
      <c r="D14533">
        <v>4947.03</v>
      </c>
      <c r="E14533" s="37" t="str">
        <f t="shared" si="1135"/>
        <v>Excellent Order</v>
      </c>
      <c r="F14533">
        <v>0.22</v>
      </c>
      <c r="G14533" s="37" t="str">
        <f t="shared" si="1136"/>
        <v>Normal Discount</v>
      </c>
      <c r="H14533" s="37" t="str">
        <f t="shared" si="1137"/>
        <v>Medium</v>
      </c>
      <c r="I14533">
        <v>6</v>
      </c>
      <c r="J14533" t="str" cm="1">
        <f t="array" ref="J14533">_xlfn.IFS(I14533&lt;=3,"small",I14533&lt;=6,"Medium",I14533&lt;=9,"Large")</f>
        <v>Medium</v>
      </c>
      <c r="K14533" s="36">
        <v>45240</v>
      </c>
      <c r="L14533" s="36">
        <v>45241</v>
      </c>
      <c r="M14533" t="s">
        <v>612</v>
      </c>
      <c r="N14533" t="s">
        <v>604</v>
      </c>
      <c r="O14533" s="37" t="str">
        <f t="shared" si="1138"/>
        <v>Digital Payment</v>
      </c>
      <c r="P14533">
        <v>1010.69</v>
      </c>
      <c r="Q14533" s="37" t="str">
        <f>IF(P14533&gt;500,"High","low")</f>
        <v>High</v>
      </c>
      <c r="R14533" s="37" t="str">
        <f t="shared" si="1139"/>
        <v>Excellent</v>
      </c>
      <c r="S14533" t="s">
        <v>609</v>
      </c>
    </row>
    <row r="14534" spans="1:19" x14ac:dyDescent="0.2">
      <c r="A14534" t="s">
        <v>15145</v>
      </c>
      <c r="B14534" t="s">
        <v>90</v>
      </c>
      <c r="C14534" t="s">
        <v>614</v>
      </c>
      <c r="D14534">
        <v>1001.49</v>
      </c>
      <c r="E14534" s="37" t="str">
        <f t="shared" si="1135"/>
        <v xml:space="preserve"> </v>
      </c>
      <c r="F14534">
        <v>0.45</v>
      </c>
      <c r="G14534" s="37" t="str">
        <f t="shared" si="1136"/>
        <v>Heavy Discount</v>
      </c>
      <c r="H14534" s="37" t="str">
        <f t="shared" si="1137"/>
        <v>High</v>
      </c>
      <c r="I14534">
        <v>3</v>
      </c>
      <c r="J14534" t="str" cm="1">
        <f t="array" ref="J14534">_xlfn.IFS(I14534&lt;=3,"small",I14534&lt;=6,"Medium",I14534&lt;=9,"Large")</f>
        <v>small</v>
      </c>
      <c r="K14534" s="36">
        <v>45336</v>
      </c>
      <c r="L14534" s="36">
        <v>45337</v>
      </c>
      <c r="M14534" t="s">
        <v>603</v>
      </c>
      <c r="N14534" t="s">
        <v>599</v>
      </c>
      <c r="O14534" s="37" t="str">
        <f t="shared" si="1138"/>
        <v>Digital Payment</v>
      </c>
      <c r="P14534">
        <v>188.13</v>
      </c>
      <c r="Q14534" s="37" t="str">
        <f>IF(P14534&gt;500,"High","low")</f>
        <v>low</v>
      </c>
      <c r="R14534" s="37" t="str">
        <f t="shared" si="1139"/>
        <v>AVERAGE</v>
      </c>
      <c r="S14534" t="s">
        <v>605</v>
      </c>
    </row>
    <row r="14535" spans="1:19" x14ac:dyDescent="0.2">
      <c r="A14535" t="s">
        <v>15146</v>
      </c>
      <c r="B14535" t="s">
        <v>90</v>
      </c>
      <c r="C14535" t="s">
        <v>617</v>
      </c>
      <c r="D14535">
        <v>1773.46</v>
      </c>
      <c r="E14535" s="37" t="str">
        <f t="shared" si="1135"/>
        <v xml:space="preserve"> </v>
      </c>
      <c r="F14535">
        <v>0.01</v>
      </c>
      <c r="G14535" s="37" t="str">
        <f t="shared" si="1136"/>
        <v>Normal Discount</v>
      </c>
      <c r="H14535" s="37" t="str">
        <f t="shared" si="1137"/>
        <v>Low</v>
      </c>
      <c r="I14535">
        <v>3</v>
      </c>
      <c r="J14535" t="str" cm="1">
        <f t="array" ref="J14535">_xlfn.IFS(I14535&lt;=3,"small",I14535&lt;=6,"Medium",I14535&lt;=9,"Large")</f>
        <v>small</v>
      </c>
      <c r="K14535" s="36">
        <v>45384</v>
      </c>
      <c r="L14535" s="36">
        <v>45387</v>
      </c>
      <c r="M14535" t="s">
        <v>612</v>
      </c>
      <c r="N14535" t="s">
        <v>599</v>
      </c>
      <c r="O14535" s="37" t="str">
        <f t="shared" si="1138"/>
        <v>Digital Payment</v>
      </c>
      <c r="P14535">
        <v>440.97</v>
      </c>
      <c r="Q14535" s="37" t="str">
        <f>IF(P14535&gt;500,"High","low")</f>
        <v>low</v>
      </c>
      <c r="R14535" s="37" t="str">
        <f t="shared" si="1139"/>
        <v>AVERAGE</v>
      </c>
      <c r="S14535" t="s">
        <v>620</v>
      </c>
    </row>
    <row r="14536" spans="1:19" x14ac:dyDescent="0.2">
      <c r="A14536" t="s">
        <v>15147</v>
      </c>
      <c r="B14536" t="s">
        <v>83</v>
      </c>
      <c r="C14536" t="s">
        <v>617</v>
      </c>
      <c r="D14536">
        <v>1472.99</v>
      </c>
      <c r="E14536" s="37" t="str">
        <f t="shared" si="1135"/>
        <v xml:space="preserve"> </v>
      </c>
      <c r="F14536">
        <v>0.11</v>
      </c>
      <c r="G14536" s="37" t="str">
        <f t="shared" si="1136"/>
        <v>Normal Discount</v>
      </c>
      <c r="H14536" s="37" t="str">
        <f t="shared" si="1137"/>
        <v>Low</v>
      </c>
      <c r="I14536">
        <v>7</v>
      </c>
      <c r="J14536" t="str" cm="1">
        <f t="array" ref="J14536">_xlfn.IFS(I14536&lt;=3,"small",I14536&lt;=6,"Medium",I14536&lt;=9,"Large")</f>
        <v>Large</v>
      </c>
      <c r="K14536" s="36">
        <v>45226</v>
      </c>
      <c r="L14536" s="36">
        <v>45227</v>
      </c>
      <c r="M14536" t="s">
        <v>612</v>
      </c>
      <c r="N14536" t="s">
        <v>604</v>
      </c>
      <c r="O14536" s="37" t="str">
        <f t="shared" si="1138"/>
        <v>Digital Payment</v>
      </c>
      <c r="P14536">
        <v>95.27</v>
      </c>
      <c r="Q14536" s="37" t="str">
        <f>IF(P14536&gt;500,"High","low")</f>
        <v>low</v>
      </c>
      <c r="R14536" s="37" t="str">
        <f t="shared" si="1139"/>
        <v>AVERAGE</v>
      </c>
      <c r="S14536" t="s">
        <v>600</v>
      </c>
    </row>
    <row r="14537" spans="1:19" x14ac:dyDescent="0.2">
      <c r="A14537" t="s">
        <v>15148</v>
      </c>
      <c r="B14537" t="s">
        <v>67</v>
      </c>
      <c r="C14537" t="s">
        <v>614</v>
      </c>
      <c r="D14537">
        <v>315.93</v>
      </c>
      <c r="E14537" s="37" t="str">
        <f t="shared" si="1135"/>
        <v xml:space="preserve"> </v>
      </c>
      <c r="F14537">
        <v>0.35</v>
      </c>
      <c r="G14537" s="37" t="str">
        <f t="shared" si="1136"/>
        <v>Heavy Discount</v>
      </c>
      <c r="H14537" s="37" t="str">
        <f t="shared" si="1137"/>
        <v>Medium</v>
      </c>
      <c r="I14537">
        <v>9</v>
      </c>
      <c r="J14537" t="str" cm="1">
        <f t="array" ref="J14537">_xlfn.IFS(I14537&lt;=3,"small",I14537&lt;=6,"Medium",I14537&lt;=9,"Large")</f>
        <v>Large</v>
      </c>
      <c r="K14537" s="36">
        <v>44953</v>
      </c>
      <c r="L14537" s="36">
        <v>44957</v>
      </c>
      <c r="M14537" t="s">
        <v>603</v>
      </c>
      <c r="N14537" t="s">
        <v>599</v>
      </c>
      <c r="O14537" s="37" t="str">
        <f t="shared" si="1138"/>
        <v>Digital Payment</v>
      </c>
      <c r="P14537">
        <v>68.16</v>
      </c>
      <c r="Q14537" s="37" t="str">
        <f>IF(P14537&gt;500,"High","low")</f>
        <v>low</v>
      </c>
      <c r="R14537" s="37" t="str">
        <f t="shared" si="1139"/>
        <v>AVERAGE</v>
      </c>
      <c r="S14537" t="s">
        <v>609</v>
      </c>
    </row>
    <row r="14538" spans="1:19" x14ac:dyDescent="0.2">
      <c r="A14538" t="s">
        <v>15149</v>
      </c>
      <c r="B14538" t="s">
        <v>83</v>
      </c>
      <c r="C14538" t="s">
        <v>617</v>
      </c>
      <c r="D14538">
        <v>1174.17</v>
      </c>
      <c r="E14538" s="37" t="str">
        <f t="shared" si="1135"/>
        <v xml:space="preserve"> </v>
      </c>
      <c r="F14538">
        <v>0.25</v>
      </c>
      <c r="G14538" s="37" t="str">
        <f t="shared" si="1136"/>
        <v>Normal Discount</v>
      </c>
      <c r="H14538" s="37" t="str">
        <f t="shared" si="1137"/>
        <v>Medium</v>
      </c>
      <c r="I14538">
        <v>1</v>
      </c>
      <c r="J14538" t="str" cm="1">
        <f t="array" ref="J14538">_xlfn.IFS(I14538&lt;=3,"small",I14538&lt;=6,"Medium",I14538&lt;=9,"Large")</f>
        <v>small</v>
      </c>
      <c r="K14538" s="36">
        <v>45574</v>
      </c>
      <c r="L14538" s="36">
        <v>45577</v>
      </c>
      <c r="M14538" t="s">
        <v>598</v>
      </c>
      <c r="N14538" t="s">
        <v>599</v>
      </c>
      <c r="O14538" s="37" t="str">
        <f t="shared" si="1138"/>
        <v>Digital Payment</v>
      </c>
      <c r="P14538">
        <v>318.86</v>
      </c>
      <c r="Q14538" s="37" t="str">
        <f>IF(P14538&gt;500,"High","low")</f>
        <v>low</v>
      </c>
      <c r="R14538" s="37" t="str">
        <f t="shared" si="1139"/>
        <v>AVERAGE</v>
      </c>
      <c r="S14538" t="s">
        <v>609</v>
      </c>
    </row>
    <row r="14539" spans="1:19" x14ac:dyDescent="0.2">
      <c r="A14539" t="s">
        <v>15150</v>
      </c>
      <c r="B14539" t="s">
        <v>67</v>
      </c>
      <c r="C14539" t="s">
        <v>607</v>
      </c>
      <c r="D14539">
        <v>4517.91</v>
      </c>
      <c r="E14539" s="37" t="str">
        <f t="shared" si="1135"/>
        <v>Excellent Order</v>
      </c>
      <c r="F14539">
        <v>0.27</v>
      </c>
      <c r="G14539" s="37" t="str">
        <f t="shared" si="1136"/>
        <v>Normal Discount</v>
      </c>
      <c r="H14539" s="37" t="str">
        <f t="shared" si="1137"/>
        <v>Medium</v>
      </c>
      <c r="I14539">
        <v>4</v>
      </c>
      <c r="J14539" t="str" cm="1">
        <f t="array" ref="J14539">_xlfn.IFS(I14539&lt;=3,"small",I14539&lt;=6,"Medium",I14539&lt;=9,"Large")</f>
        <v>Medium</v>
      </c>
      <c r="K14539" s="36">
        <v>45311</v>
      </c>
      <c r="L14539" s="36">
        <v>45318</v>
      </c>
      <c r="M14539" t="s">
        <v>603</v>
      </c>
      <c r="N14539" t="s">
        <v>599</v>
      </c>
      <c r="O14539" s="37" t="str">
        <f t="shared" si="1138"/>
        <v>Digital Payment</v>
      </c>
      <c r="P14539">
        <v>1259.25</v>
      </c>
      <c r="Q14539" s="37" t="str">
        <f>IF(P14539&gt;500,"High","low")</f>
        <v>High</v>
      </c>
      <c r="R14539" s="37" t="str">
        <f t="shared" si="1139"/>
        <v>Excellent</v>
      </c>
      <c r="S14539" t="s">
        <v>605</v>
      </c>
    </row>
    <row r="14540" spans="1:19" x14ac:dyDescent="0.2">
      <c r="A14540" t="s">
        <v>15151</v>
      </c>
      <c r="B14540" t="s">
        <v>90</v>
      </c>
      <c r="C14540" t="s">
        <v>602</v>
      </c>
      <c r="D14540">
        <v>4230.01</v>
      </c>
      <c r="E14540" s="37" t="str">
        <f t="shared" si="1135"/>
        <v xml:space="preserve"> </v>
      </c>
      <c r="F14540">
        <v>0.21</v>
      </c>
      <c r="G14540" s="37" t="str">
        <f t="shared" si="1136"/>
        <v>Normal Discount</v>
      </c>
      <c r="H14540" s="37" t="str">
        <f t="shared" si="1137"/>
        <v>Medium</v>
      </c>
      <c r="I14540">
        <v>5</v>
      </c>
      <c r="J14540" t="str" cm="1">
        <f t="array" ref="J14540">_xlfn.IFS(I14540&lt;=3,"small",I14540&lt;=6,"Medium",I14540&lt;=9,"Large")</f>
        <v>Medium</v>
      </c>
      <c r="K14540" s="36">
        <v>45565</v>
      </c>
      <c r="L14540" s="36">
        <v>45569</v>
      </c>
      <c r="M14540" t="s">
        <v>612</v>
      </c>
      <c r="N14540" t="s">
        <v>608</v>
      </c>
      <c r="O14540" s="37" t="str">
        <f t="shared" si="1138"/>
        <v>Cash Payment</v>
      </c>
      <c r="P14540">
        <v>399.28</v>
      </c>
      <c r="Q14540" s="37" t="str">
        <f>IF(P14540&gt;500,"High","low")</f>
        <v>low</v>
      </c>
      <c r="R14540" s="37" t="str">
        <f t="shared" si="1139"/>
        <v>AVERAGE</v>
      </c>
      <c r="S14540" t="s">
        <v>615</v>
      </c>
    </row>
    <row r="14541" spans="1:19" x14ac:dyDescent="0.2">
      <c r="A14541" t="s">
        <v>15152</v>
      </c>
      <c r="B14541" t="s">
        <v>83</v>
      </c>
      <c r="C14541" t="s">
        <v>614</v>
      </c>
      <c r="D14541">
        <v>921.23</v>
      </c>
      <c r="E14541" s="37" t="str">
        <f t="shared" si="1135"/>
        <v xml:space="preserve"> </v>
      </c>
      <c r="F14541">
        <v>0.08</v>
      </c>
      <c r="G14541" s="37" t="str">
        <f t="shared" si="1136"/>
        <v>Normal Discount</v>
      </c>
      <c r="H14541" s="37" t="str">
        <f t="shared" si="1137"/>
        <v>Low</v>
      </c>
      <c r="I14541">
        <v>2</v>
      </c>
      <c r="J14541" t="str" cm="1">
        <f t="array" ref="J14541">_xlfn.IFS(I14541&lt;=3,"small",I14541&lt;=6,"Medium",I14541&lt;=9,"Large")</f>
        <v>small</v>
      </c>
      <c r="K14541" s="36">
        <v>44999</v>
      </c>
      <c r="L14541" s="36">
        <v>45003</v>
      </c>
      <c r="M14541" t="s">
        <v>598</v>
      </c>
      <c r="N14541" t="s">
        <v>608</v>
      </c>
      <c r="O14541" s="37" t="str">
        <f t="shared" si="1138"/>
        <v>Cash Payment</v>
      </c>
      <c r="P14541">
        <v>184.65</v>
      </c>
      <c r="Q14541" s="37" t="str">
        <f>IF(P14541&gt;500,"High","low")</f>
        <v>low</v>
      </c>
      <c r="R14541" s="37" t="str">
        <f t="shared" si="1139"/>
        <v>AVERAGE</v>
      </c>
      <c r="S14541" t="s">
        <v>609</v>
      </c>
    </row>
    <row r="14542" spans="1:19" x14ac:dyDescent="0.2">
      <c r="A14542" t="s">
        <v>15153</v>
      </c>
      <c r="B14542" t="s">
        <v>75</v>
      </c>
      <c r="C14542" t="s">
        <v>607</v>
      </c>
      <c r="D14542">
        <v>1894.2</v>
      </c>
      <c r="E14542" s="37" t="str">
        <f t="shared" si="1135"/>
        <v xml:space="preserve"> </v>
      </c>
      <c r="F14542">
        <v>0.08</v>
      </c>
      <c r="G14542" s="37" t="str">
        <f t="shared" si="1136"/>
        <v>Normal Discount</v>
      </c>
      <c r="H14542" s="37" t="str">
        <f t="shared" si="1137"/>
        <v>Low</v>
      </c>
      <c r="I14542">
        <v>3</v>
      </c>
      <c r="J14542" t="str" cm="1">
        <f t="array" ref="J14542">_xlfn.IFS(I14542&lt;=3,"small",I14542&lt;=6,"Medium",I14542&lt;=9,"Large")</f>
        <v>small</v>
      </c>
      <c r="K14542" s="36">
        <v>44957</v>
      </c>
      <c r="L14542" s="36">
        <v>44964</v>
      </c>
      <c r="M14542" t="s">
        <v>603</v>
      </c>
      <c r="N14542" t="s">
        <v>604</v>
      </c>
      <c r="O14542" s="37" t="str">
        <f t="shared" si="1138"/>
        <v>Digital Payment</v>
      </c>
      <c r="P14542">
        <v>227.45</v>
      </c>
      <c r="Q14542" s="37" t="str">
        <f>IF(P14542&gt;500,"High","low")</f>
        <v>low</v>
      </c>
      <c r="R14542" s="37" t="str">
        <f t="shared" si="1139"/>
        <v>AVERAGE</v>
      </c>
      <c r="S14542" t="s">
        <v>615</v>
      </c>
    </row>
    <row r="14543" spans="1:19" x14ac:dyDescent="0.2">
      <c r="A14543" t="s">
        <v>15154</v>
      </c>
      <c r="B14543" t="s">
        <v>83</v>
      </c>
      <c r="C14543" t="s">
        <v>614</v>
      </c>
      <c r="D14543">
        <v>1622.93</v>
      </c>
      <c r="E14543" s="37" t="str">
        <f t="shared" si="1135"/>
        <v xml:space="preserve"> </v>
      </c>
      <c r="F14543">
        <v>0.15</v>
      </c>
      <c r="G14543" s="37" t="str">
        <f t="shared" si="1136"/>
        <v>Normal Discount</v>
      </c>
      <c r="H14543" s="37" t="str">
        <f t="shared" si="1137"/>
        <v>Low</v>
      </c>
      <c r="I14543">
        <v>5</v>
      </c>
      <c r="J14543" t="str" cm="1">
        <f t="array" ref="J14543">_xlfn.IFS(I14543&lt;=3,"small",I14543&lt;=6,"Medium",I14543&lt;=9,"Large")</f>
        <v>Medium</v>
      </c>
      <c r="K14543" s="36">
        <v>45317</v>
      </c>
      <c r="L14543" s="36">
        <v>45323</v>
      </c>
      <c r="M14543" t="s">
        <v>603</v>
      </c>
      <c r="N14543" t="s">
        <v>599</v>
      </c>
      <c r="O14543" s="37" t="str">
        <f t="shared" si="1138"/>
        <v>Digital Payment</v>
      </c>
      <c r="P14543">
        <v>374.45</v>
      </c>
      <c r="Q14543" s="37" t="str">
        <f>IF(P14543&gt;500,"High","low")</f>
        <v>low</v>
      </c>
      <c r="R14543" s="37" t="str">
        <f t="shared" si="1139"/>
        <v>AVERAGE</v>
      </c>
      <c r="S14543" t="s">
        <v>615</v>
      </c>
    </row>
    <row r="14544" spans="1:19" x14ac:dyDescent="0.2">
      <c r="A14544" t="s">
        <v>15155</v>
      </c>
      <c r="B14544" t="s">
        <v>67</v>
      </c>
      <c r="C14544" t="s">
        <v>602</v>
      </c>
      <c r="D14544">
        <v>823.93</v>
      </c>
      <c r="E14544" s="37" t="str">
        <f t="shared" si="1135"/>
        <v xml:space="preserve"> </v>
      </c>
      <c r="F14544">
        <v>0.23</v>
      </c>
      <c r="G14544" s="37" t="str">
        <f t="shared" si="1136"/>
        <v>Normal Discount</v>
      </c>
      <c r="H14544" s="37" t="str">
        <f t="shared" si="1137"/>
        <v>Medium</v>
      </c>
      <c r="I14544">
        <v>8</v>
      </c>
      <c r="J14544" t="str" cm="1">
        <f t="array" ref="J14544">_xlfn.IFS(I14544&lt;=3,"small",I14544&lt;=6,"Medium",I14544&lt;=9,"Large")</f>
        <v>Large</v>
      </c>
      <c r="K14544" s="36">
        <v>44935</v>
      </c>
      <c r="L14544" s="36">
        <v>44937</v>
      </c>
      <c r="M14544" t="s">
        <v>598</v>
      </c>
      <c r="N14544" t="s">
        <v>599</v>
      </c>
      <c r="O14544" s="37" t="str">
        <f t="shared" si="1138"/>
        <v>Digital Payment</v>
      </c>
      <c r="P14544">
        <v>57.57</v>
      </c>
      <c r="Q14544" s="37" t="str">
        <f>IF(P14544&gt;500,"High","low")</f>
        <v>low</v>
      </c>
      <c r="R14544" s="37" t="str">
        <f t="shared" si="1139"/>
        <v>AVERAGE</v>
      </c>
      <c r="S14544" t="s">
        <v>615</v>
      </c>
    </row>
    <row r="14545" spans="1:19" x14ac:dyDescent="0.2">
      <c r="A14545" t="s">
        <v>15156</v>
      </c>
      <c r="B14545" t="s">
        <v>67</v>
      </c>
      <c r="C14545" t="s">
        <v>617</v>
      </c>
      <c r="D14545">
        <v>3148.82</v>
      </c>
      <c r="E14545" s="37" t="str">
        <f t="shared" si="1135"/>
        <v xml:space="preserve"> </v>
      </c>
      <c r="F14545">
        <v>0.41</v>
      </c>
      <c r="G14545" s="37" t="str">
        <f t="shared" si="1136"/>
        <v>Heavy Discount</v>
      </c>
      <c r="H14545" s="37" t="str">
        <f t="shared" si="1137"/>
        <v>High</v>
      </c>
      <c r="I14545">
        <v>3</v>
      </c>
      <c r="J14545" t="str" cm="1">
        <f t="array" ref="J14545">_xlfn.IFS(I14545&lt;=3,"small",I14545&lt;=6,"Medium",I14545&lt;=9,"Large")</f>
        <v>small</v>
      </c>
      <c r="K14545" s="36">
        <v>45125</v>
      </c>
      <c r="L14545" s="36">
        <v>45130</v>
      </c>
      <c r="M14545" t="s">
        <v>598</v>
      </c>
      <c r="N14545" t="s">
        <v>608</v>
      </c>
      <c r="O14545" s="37" t="str">
        <f t="shared" si="1138"/>
        <v>Cash Payment</v>
      </c>
      <c r="P14545">
        <v>254.99</v>
      </c>
      <c r="Q14545" s="37" t="str">
        <f>IF(P14545&gt;500,"High","low")</f>
        <v>low</v>
      </c>
      <c r="R14545" s="37" t="str">
        <f t="shared" si="1139"/>
        <v>AVERAGE</v>
      </c>
      <c r="S14545" t="s">
        <v>620</v>
      </c>
    </row>
    <row r="14546" spans="1:19" x14ac:dyDescent="0.2">
      <c r="A14546" t="s">
        <v>15157</v>
      </c>
      <c r="B14546" t="s">
        <v>83</v>
      </c>
      <c r="C14546" t="s">
        <v>607</v>
      </c>
      <c r="D14546">
        <v>2830.76</v>
      </c>
      <c r="E14546" s="37" t="str">
        <f t="shared" si="1135"/>
        <v xml:space="preserve"> </v>
      </c>
      <c r="F14546">
        <v>0.22</v>
      </c>
      <c r="G14546" s="37" t="str">
        <f t="shared" si="1136"/>
        <v>Normal Discount</v>
      </c>
      <c r="H14546" s="37" t="str">
        <f t="shared" si="1137"/>
        <v>Medium</v>
      </c>
      <c r="I14546">
        <v>3</v>
      </c>
      <c r="J14546" t="str" cm="1">
        <f t="array" ref="J14546">_xlfn.IFS(I14546&lt;=3,"small",I14546&lt;=6,"Medium",I14546&lt;=9,"Large")</f>
        <v>small</v>
      </c>
      <c r="K14546" s="36">
        <v>45402</v>
      </c>
      <c r="L14546" s="36">
        <v>45406</v>
      </c>
      <c r="M14546" t="s">
        <v>603</v>
      </c>
      <c r="N14546" t="s">
        <v>608</v>
      </c>
      <c r="O14546" s="37" t="str">
        <f t="shared" si="1138"/>
        <v>Cash Payment</v>
      </c>
      <c r="P14546">
        <v>617.48</v>
      </c>
      <c r="Q14546" s="37" t="str">
        <f>IF(P14546&gt;500,"High","low")</f>
        <v>High</v>
      </c>
      <c r="R14546" s="37" t="str">
        <f t="shared" si="1139"/>
        <v>Good</v>
      </c>
      <c r="S14546" t="s">
        <v>605</v>
      </c>
    </row>
    <row r="14547" spans="1:19" x14ac:dyDescent="0.2">
      <c r="A14547" t="s">
        <v>15158</v>
      </c>
      <c r="B14547" t="s">
        <v>67</v>
      </c>
      <c r="C14547" t="s">
        <v>602</v>
      </c>
      <c r="D14547">
        <v>2192.2600000000002</v>
      </c>
      <c r="E14547" s="37" t="str">
        <f t="shared" si="1135"/>
        <v xml:space="preserve"> </v>
      </c>
      <c r="F14547">
        <v>0.45</v>
      </c>
      <c r="G14547" s="37" t="str">
        <f t="shared" si="1136"/>
        <v>Heavy Discount</v>
      </c>
      <c r="H14547" s="37" t="str">
        <f t="shared" si="1137"/>
        <v>High</v>
      </c>
      <c r="I14547">
        <v>6</v>
      </c>
      <c r="J14547" t="str" cm="1">
        <f t="array" ref="J14547">_xlfn.IFS(I14547&lt;=3,"small",I14547&lt;=6,"Medium",I14547&lt;=9,"Large")</f>
        <v>Medium</v>
      </c>
      <c r="K14547" s="36">
        <v>45307</v>
      </c>
      <c r="L14547" s="36">
        <v>45312</v>
      </c>
      <c r="M14547" t="s">
        <v>603</v>
      </c>
      <c r="N14547" t="s">
        <v>604</v>
      </c>
      <c r="O14547" s="37" t="str">
        <f t="shared" si="1138"/>
        <v>Digital Payment</v>
      </c>
      <c r="P14547">
        <v>409.97</v>
      </c>
      <c r="Q14547" s="37" t="str">
        <f>IF(P14547&gt;500,"High","low")</f>
        <v>low</v>
      </c>
      <c r="R14547" s="37" t="str">
        <f t="shared" si="1139"/>
        <v>AVERAGE</v>
      </c>
      <c r="S14547" t="s">
        <v>615</v>
      </c>
    </row>
    <row r="14548" spans="1:19" x14ac:dyDescent="0.2">
      <c r="A14548" t="s">
        <v>15159</v>
      </c>
      <c r="B14548" t="s">
        <v>90</v>
      </c>
      <c r="C14548" t="s">
        <v>614</v>
      </c>
      <c r="D14548">
        <v>4291.9399999999996</v>
      </c>
      <c r="E14548" s="37" t="str">
        <f t="shared" si="1135"/>
        <v>Excellent Order</v>
      </c>
      <c r="F14548">
        <v>0.06</v>
      </c>
      <c r="G14548" s="37" t="str">
        <f t="shared" si="1136"/>
        <v>Normal Discount</v>
      </c>
      <c r="H14548" s="37" t="str">
        <f t="shared" si="1137"/>
        <v>Low</v>
      </c>
      <c r="I14548">
        <v>8</v>
      </c>
      <c r="J14548" t="str" cm="1">
        <f t="array" ref="J14548">_xlfn.IFS(I14548&lt;=3,"small",I14548&lt;=6,"Medium",I14548&lt;=9,"Large")</f>
        <v>Large</v>
      </c>
      <c r="K14548" s="36">
        <v>45408</v>
      </c>
      <c r="L14548" s="36">
        <v>45411</v>
      </c>
      <c r="M14548" t="s">
        <v>612</v>
      </c>
      <c r="N14548" t="s">
        <v>604</v>
      </c>
      <c r="O14548" s="37" t="str">
        <f t="shared" si="1138"/>
        <v>Digital Payment</v>
      </c>
      <c r="P14548">
        <v>1175.97</v>
      </c>
      <c r="Q14548" s="37" t="str">
        <f>IF(P14548&gt;500,"High","low")</f>
        <v>High</v>
      </c>
      <c r="R14548" s="37" t="str">
        <f t="shared" si="1139"/>
        <v>Excellent</v>
      </c>
      <c r="S14548" t="s">
        <v>605</v>
      </c>
    </row>
    <row r="14549" spans="1:19" x14ac:dyDescent="0.2">
      <c r="A14549" t="s">
        <v>15160</v>
      </c>
      <c r="B14549" t="s">
        <v>83</v>
      </c>
      <c r="C14549" t="s">
        <v>597</v>
      </c>
      <c r="D14549">
        <v>3136.59</v>
      </c>
      <c r="E14549" s="37" t="str">
        <f t="shared" si="1135"/>
        <v xml:space="preserve"> </v>
      </c>
      <c r="F14549">
        <v>0.14000000000000001</v>
      </c>
      <c r="G14549" s="37" t="str">
        <f t="shared" si="1136"/>
        <v>Normal Discount</v>
      </c>
      <c r="H14549" s="37" t="str">
        <f t="shared" si="1137"/>
        <v>Low</v>
      </c>
      <c r="I14549">
        <v>1</v>
      </c>
      <c r="J14549" t="str" cm="1">
        <f t="array" ref="J14549">_xlfn.IFS(I14549&lt;=3,"small",I14549&lt;=6,"Medium",I14549&lt;=9,"Large")</f>
        <v>small</v>
      </c>
      <c r="K14549" s="36">
        <v>45363</v>
      </c>
      <c r="L14549" s="36">
        <v>45368</v>
      </c>
      <c r="M14549" t="s">
        <v>603</v>
      </c>
      <c r="N14549" t="s">
        <v>604</v>
      </c>
      <c r="O14549" s="37" t="str">
        <f t="shared" si="1138"/>
        <v>Digital Payment</v>
      </c>
      <c r="P14549">
        <v>178.98</v>
      </c>
      <c r="Q14549" s="37" t="str">
        <f>IF(P14549&gt;500,"High","low")</f>
        <v>low</v>
      </c>
      <c r="R14549" s="37" t="str">
        <f t="shared" si="1139"/>
        <v>AVERAGE</v>
      </c>
      <c r="S14549" t="s">
        <v>615</v>
      </c>
    </row>
    <row r="14550" spans="1:19" x14ac:dyDescent="0.2">
      <c r="A14550" t="s">
        <v>15161</v>
      </c>
      <c r="B14550" t="s">
        <v>67</v>
      </c>
      <c r="C14550" t="s">
        <v>607</v>
      </c>
      <c r="D14550">
        <v>1370.44</v>
      </c>
      <c r="E14550" s="37" t="str">
        <f t="shared" si="1135"/>
        <v xml:space="preserve"> </v>
      </c>
      <c r="F14550">
        <v>0.04</v>
      </c>
      <c r="G14550" s="37" t="str">
        <f t="shared" si="1136"/>
        <v>Normal Discount</v>
      </c>
      <c r="H14550" s="37" t="str">
        <f t="shared" si="1137"/>
        <v>Low</v>
      </c>
      <c r="I14550">
        <v>7</v>
      </c>
      <c r="J14550" t="str" cm="1">
        <f t="array" ref="J14550">_xlfn.IFS(I14550&lt;=3,"small",I14550&lt;=6,"Medium",I14550&lt;=9,"Large")</f>
        <v>Large</v>
      </c>
      <c r="K14550" s="36">
        <v>45070</v>
      </c>
      <c r="L14550" s="36">
        <v>45071</v>
      </c>
      <c r="M14550" t="s">
        <v>598</v>
      </c>
      <c r="N14550" t="s">
        <v>604</v>
      </c>
      <c r="O14550" s="37" t="str">
        <f t="shared" si="1138"/>
        <v>Digital Payment</v>
      </c>
      <c r="P14550">
        <v>308.88</v>
      </c>
      <c r="Q14550" s="37" t="str">
        <f>IF(P14550&gt;500,"High","low")</f>
        <v>low</v>
      </c>
      <c r="R14550" s="37" t="str">
        <f t="shared" si="1139"/>
        <v>AVERAGE</v>
      </c>
      <c r="S14550" t="s">
        <v>620</v>
      </c>
    </row>
    <row r="14551" spans="1:19" x14ac:dyDescent="0.2">
      <c r="A14551" t="s">
        <v>15162</v>
      </c>
      <c r="B14551" t="s">
        <v>83</v>
      </c>
      <c r="C14551" t="s">
        <v>614</v>
      </c>
      <c r="D14551">
        <v>1931.15</v>
      </c>
      <c r="E14551" s="37" t="str">
        <f t="shared" si="1135"/>
        <v xml:space="preserve"> </v>
      </c>
      <c r="F14551">
        <v>0.26</v>
      </c>
      <c r="G14551" s="37" t="str">
        <f t="shared" si="1136"/>
        <v>Normal Discount</v>
      </c>
      <c r="H14551" s="37" t="str">
        <f t="shared" si="1137"/>
        <v>Medium</v>
      </c>
      <c r="I14551">
        <v>7</v>
      </c>
      <c r="J14551" t="str" cm="1">
        <f t="array" ref="J14551">_xlfn.IFS(I14551&lt;=3,"small",I14551&lt;=6,"Medium",I14551&lt;=9,"Large")</f>
        <v>Large</v>
      </c>
      <c r="K14551" s="36">
        <v>45640</v>
      </c>
      <c r="L14551" s="36">
        <v>45645</v>
      </c>
      <c r="M14551" t="s">
        <v>603</v>
      </c>
      <c r="N14551" t="s">
        <v>608</v>
      </c>
      <c r="O14551" s="37" t="str">
        <f t="shared" si="1138"/>
        <v>Cash Payment</v>
      </c>
      <c r="P14551">
        <v>441.36</v>
      </c>
      <c r="Q14551" s="37" t="str">
        <f>IF(P14551&gt;500,"High","low")</f>
        <v>low</v>
      </c>
      <c r="R14551" s="37" t="str">
        <f t="shared" si="1139"/>
        <v>AVERAGE</v>
      </c>
      <c r="S14551" t="s">
        <v>609</v>
      </c>
    </row>
    <row r="14552" spans="1:19" x14ac:dyDescent="0.2">
      <c r="A14552" t="s">
        <v>15163</v>
      </c>
      <c r="B14552" t="s">
        <v>83</v>
      </c>
      <c r="C14552" t="s">
        <v>614</v>
      </c>
      <c r="D14552">
        <v>835.77</v>
      </c>
      <c r="E14552" s="37" t="str">
        <f t="shared" si="1135"/>
        <v xml:space="preserve"> </v>
      </c>
      <c r="F14552">
        <v>0.05</v>
      </c>
      <c r="G14552" s="37" t="str">
        <f t="shared" si="1136"/>
        <v>Normal Discount</v>
      </c>
      <c r="H14552" s="37" t="str">
        <f t="shared" si="1137"/>
        <v>Low</v>
      </c>
      <c r="I14552">
        <v>3</v>
      </c>
      <c r="J14552" t="str" cm="1">
        <f t="array" ref="J14552">_xlfn.IFS(I14552&lt;=3,"small",I14552&lt;=6,"Medium",I14552&lt;=9,"Large")</f>
        <v>small</v>
      </c>
      <c r="K14552" s="36">
        <v>45334</v>
      </c>
      <c r="L14552" s="36">
        <v>45335</v>
      </c>
      <c r="M14552" t="s">
        <v>598</v>
      </c>
      <c r="N14552" t="s">
        <v>608</v>
      </c>
      <c r="O14552" s="37" t="str">
        <f t="shared" si="1138"/>
        <v>Cash Payment</v>
      </c>
      <c r="P14552">
        <v>215.05</v>
      </c>
      <c r="Q14552" s="37" t="str">
        <f>IF(P14552&gt;500,"High","low")</f>
        <v>low</v>
      </c>
      <c r="R14552" s="37" t="str">
        <f t="shared" si="1139"/>
        <v>AVERAGE</v>
      </c>
      <c r="S14552" t="s">
        <v>615</v>
      </c>
    </row>
    <row r="14553" spans="1:19" x14ac:dyDescent="0.2">
      <c r="A14553" t="s">
        <v>15164</v>
      </c>
      <c r="B14553" t="s">
        <v>75</v>
      </c>
      <c r="C14553" t="s">
        <v>602</v>
      </c>
      <c r="D14553">
        <v>2997.73</v>
      </c>
      <c r="E14553" s="37" t="str">
        <f t="shared" si="1135"/>
        <v xml:space="preserve"> </v>
      </c>
      <c r="F14553">
        <v>0.4</v>
      </c>
      <c r="G14553" s="37" t="str">
        <f t="shared" si="1136"/>
        <v>Heavy Discount</v>
      </c>
      <c r="H14553" s="37" t="str">
        <f t="shared" si="1137"/>
        <v>Medium</v>
      </c>
      <c r="I14553">
        <v>3</v>
      </c>
      <c r="J14553" t="str" cm="1">
        <f t="array" ref="J14553">_xlfn.IFS(I14553&lt;=3,"small",I14553&lt;=6,"Medium",I14553&lt;=9,"Large")</f>
        <v>small</v>
      </c>
      <c r="K14553" s="36">
        <v>45256</v>
      </c>
      <c r="L14553" s="36">
        <v>45258</v>
      </c>
      <c r="M14553" t="s">
        <v>612</v>
      </c>
      <c r="N14553" t="s">
        <v>599</v>
      </c>
      <c r="O14553" s="37" t="str">
        <f t="shared" si="1138"/>
        <v>Digital Payment</v>
      </c>
      <c r="P14553">
        <v>727.37</v>
      </c>
      <c r="Q14553" s="37" t="str">
        <f>IF(P14553&gt;500,"High","low")</f>
        <v>High</v>
      </c>
      <c r="R14553" s="37" t="str">
        <f t="shared" si="1139"/>
        <v>Good</v>
      </c>
      <c r="S14553" t="s">
        <v>605</v>
      </c>
    </row>
    <row r="14554" spans="1:19" x14ac:dyDescent="0.2">
      <c r="A14554" t="s">
        <v>15165</v>
      </c>
      <c r="B14554" t="s">
        <v>83</v>
      </c>
      <c r="C14554" t="s">
        <v>614</v>
      </c>
      <c r="D14554">
        <v>2974.48</v>
      </c>
      <c r="E14554" s="37" t="str">
        <f t="shared" si="1135"/>
        <v xml:space="preserve"> </v>
      </c>
      <c r="F14554">
        <v>0.02</v>
      </c>
      <c r="G14554" s="37" t="str">
        <f t="shared" si="1136"/>
        <v>Normal Discount</v>
      </c>
      <c r="H14554" s="37" t="str">
        <f t="shared" si="1137"/>
        <v>Low</v>
      </c>
      <c r="I14554">
        <v>9</v>
      </c>
      <c r="J14554" t="str" cm="1">
        <f t="array" ref="J14554">_xlfn.IFS(I14554&lt;=3,"small",I14554&lt;=6,"Medium",I14554&lt;=9,"Large")</f>
        <v>Large</v>
      </c>
      <c r="K14554" s="36">
        <v>45100</v>
      </c>
      <c r="L14554" s="36">
        <v>45102</v>
      </c>
      <c r="M14554" t="s">
        <v>598</v>
      </c>
      <c r="N14554" t="s">
        <v>608</v>
      </c>
      <c r="O14554" s="37" t="str">
        <f t="shared" si="1138"/>
        <v>Cash Payment</v>
      </c>
      <c r="P14554">
        <v>534.63</v>
      </c>
      <c r="Q14554" s="37" t="str">
        <f>IF(P14554&gt;500,"High","low")</f>
        <v>High</v>
      </c>
      <c r="R14554" s="37" t="str">
        <f t="shared" si="1139"/>
        <v>Good</v>
      </c>
      <c r="S14554" t="s">
        <v>615</v>
      </c>
    </row>
    <row r="14555" spans="1:19" x14ac:dyDescent="0.2">
      <c r="A14555" t="s">
        <v>15166</v>
      </c>
      <c r="B14555" t="s">
        <v>75</v>
      </c>
      <c r="C14555" t="s">
        <v>607</v>
      </c>
      <c r="D14555">
        <v>4363.8999999999996</v>
      </c>
      <c r="E14555" s="37" t="str">
        <f t="shared" si="1135"/>
        <v xml:space="preserve"> </v>
      </c>
      <c r="F14555">
        <v>0.24</v>
      </c>
      <c r="G14555" s="37" t="str">
        <f t="shared" si="1136"/>
        <v>Normal Discount</v>
      </c>
      <c r="H14555" s="37" t="str">
        <f t="shared" si="1137"/>
        <v>Medium</v>
      </c>
      <c r="I14555">
        <v>1</v>
      </c>
      <c r="J14555" t="str" cm="1">
        <f t="array" ref="J14555">_xlfn.IFS(I14555&lt;=3,"small",I14555&lt;=6,"Medium",I14555&lt;=9,"Large")</f>
        <v>small</v>
      </c>
      <c r="K14555" s="36">
        <v>45655</v>
      </c>
      <c r="L14555" s="36">
        <v>45659</v>
      </c>
      <c r="M14555" t="s">
        <v>598</v>
      </c>
      <c r="N14555" t="s">
        <v>608</v>
      </c>
      <c r="O14555" s="37" t="str">
        <f t="shared" si="1138"/>
        <v>Cash Payment</v>
      </c>
      <c r="P14555">
        <v>531.25</v>
      </c>
      <c r="Q14555" s="37" t="str">
        <f>IF(P14555&gt;500,"High","low")</f>
        <v>High</v>
      </c>
      <c r="R14555" s="37" t="str">
        <f t="shared" si="1139"/>
        <v>Good</v>
      </c>
      <c r="S14555" t="s">
        <v>605</v>
      </c>
    </row>
    <row r="14556" spans="1:19" x14ac:dyDescent="0.2">
      <c r="A14556" t="s">
        <v>15167</v>
      </c>
      <c r="B14556" t="s">
        <v>67</v>
      </c>
      <c r="C14556" t="s">
        <v>607</v>
      </c>
      <c r="D14556">
        <v>4293.5</v>
      </c>
      <c r="E14556" s="37" t="str">
        <f t="shared" si="1135"/>
        <v xml:space="preserve"> </v>
      </c>
      <c r="F14556">
        <v>0.21</v>
      </c>
      <c r="G14556" s="37" t="str">
        <f t="shared" si="1136"/>
        <v>Normal Discount</v>
      </c>
      <c r="H14556" s="37" t="str">
        <f t="shared" si="1137"/>
        <v>Medium</v>
      </c>
      <c r="I14556">
        <v>1</v>
      </c>
      <c r="J14556" t="str" cm="1">
        <f t="array" ref="J14556">_xlfn.IFS(I14556&lt;=3,"small",I14556&lt;=6,"Medium",I14556&lt;=9,"Large")</f>
        <v>small</v>
      </c>
      <c r="K14556" s="36">
        <v>45159</v>
      </c>
      <c r="L14556" s="36">
        <v>45160</v>
      </c>
      <c r="M14556" t="s">
        <v>598</v>
      </c>
      <c r="N14556" t="s">
        <v>599</v>
      </c>
      <c r="O14556" s="37" t="str">
        <f t="shared" si="1138"/>
        <v>Digital Payment</v>
      </c>
      <c r="P14556">
        <v>637.74</v>
      </c>
      <c r="Q14556" s="37" t="str">
        <f>IF(P14556&gt;500,"High","low")</f>
        <v>High</v>
      </c>
      <c r="R14556" s="37" t="str">
        <f t="shared" si="1139"/>
        <v>Good</v>
      </c>
      <c r="S14556" t="s">
        <v>615</v>
      </c>
    </row>
    <row r="14557" spans="1:19" x14ac:dyDescent="0.2">
      <c r="A14557" t="s">
        <v>15168</v>
      </c>
      <c r="B14557" t="s">
        <v>75</v>
      </c>
      <c r="C14557" t="s">
        <v>614</v>
      </c>
      <c r="D14557">
        <v>4201.0200000000004</v>
      </c>
      <c r="E14557" s="37" t="str">
        <f t="shared" si="1135"/>
        <v xml:space="preserve"> </v>
      </c>
      <c r="F14557">
        <v>0.1</v>
      </c>
      <c r="G14557" s="37" t="str">
        <f t="shared" si="1136"/>
        <v>Normal Discount</v>
      </c>
      <c r="H14557" s="37" t="str">
        <f t="shared" si="1137"/>
        <v>Low</v>
      </c>
      <c r="I14557">
        <v>2</v>
      </c>
      <c r="J14557" t="str" cm="1">
        <f t="array" ref="J14557">_xlfn.IFS(I14557&lt;=3,"small",I14557&lt;=6,"Medium",I14557&lt;=9,"Large")</f>
        <v>small</v>
      </c>
      <c r="K14557" s="36">
        <v>45361</v>
      </c>
      <c r="L14557" s="36">
        <v>45362</v>
      </c>
      <c r="M14557" t="s">
        <v>603</v>
      </c>
      <c r="N14557" t="s">
        <v>599</v>
      </c>
      <c r="O14557" s="37" t="str">
        <f t="shared" si="1138"/>
        <v>Digital Payment</v>
      </c>
      <c r="P14557">
        <v>758.87</v>
      </c>
      <c r="Q14557" s="37" t="str">
        <f>IF(P14557&gt;500,"High","low")</f>
        <v>High</v>
      </c>
      <c r="R14557" s="37" t="str">
        <f t="shared" si="1139"/>
        <v>Good</v>
      </c>
      <c r="S14557" t="s">
        <v>620</v>
      </c>
    </row>
    <row r="14558" spans="1:19" x14ac:dyDescent="0.2">
      <c r="A14558" t="s">
        <v>15169</v>
      </c>
      <c r="B14558" t="s">
        <v>75</v>
      </c>
      <c r="C14558" t="s">
        <v>602</v>
      </c>
      <c r="D14558">
        <v>2789.87</v>
      </c>
      <c r="E14558" s="37" t="str">
        <f t="shared" si="1135"/>
        <v xml:space="preserve"> </v>
      </c>
      <c r="F14558">
        <v>0.28999999999999998</v>
      </c>
      <c r="G14558" s="37" t="str">
        <f t="shared" si="1136"/>
        <v>Normal Discount</v>
      </c>
      <c r="H14558" s="37" t="str">
        <f t="shared" si="1137"/>
        <v>Medium</v>
      </c>
      <c r="I14558">
        <v>6</v>
      </c>
      <c r="J14558" t="str" cm="1">
        <f t="array" ref="J14558">_xlfn.IFS(I14558&lt;=3,"small",I14558&lt;=6,"Medium",I14558&lt;=9,"Large")</f>
        <v>Medium</v>
      </c>
      <c r="K14558" s="36">
        <v>45649</v>
      </c>
      <c r="L14558" s="36">
        <v>45654</v>
      </c>
      <c r="M14558" t="s">
        <v>603</v>
      </c>
      <c r="N14558" t="s">
        <v>599</v>
      </c>
      <c r="O14558" s="37" t="str">
        <f t="shared" si="1138"/>
        <v>Digital Payment</v>
      </c>
      <c r="P14558">
        <v>142.63</v>
      </c>
      <c r="Q14558" s="37" t="str">
        <f>IF(P14558&gt;500,"High","low")</f>
        <v>low</v>
      </c>
      <c r="R14558" s="37" t="str">
        <f t="shared" si="1139"/>
        <v>AVERAGE</v>
      </c>
      <c r="S14558" t="s">
        <v>605</v>
      </c>
    </row>
    <row r="14559" spans="1:19" x14ac:dyDescent="0.2">
      <c r="A14559" t="s">
        <v>15170</v>
      </c>
      <c r="B14559" t="s">
        <v>75</v>
      </c>
      <c r="C14559" t="s">
        <v>607</v>
      </c>
      <c r="D14559">
        <v>3294.9</v>
      </c>
      <c r="E14559" s="37" t="str">
        <f t="shared" si="1135"/>
        <v xml:space="preserve"> </v>
      </c>
      <c r="F14559">
        <v>0.19</v>
      </c>
      <c r="G14559" s="37" t="str">
        <f t="shared" si="1136"/>
        <v>Normal Discount</v>
      </c>
      <c r="H14559" s="37" t="str">
        <f t="shared" si="1137"/>
        <v>Low</v>
      </c>
      <c r="I14559">
        <v>8</v>
      </c>
      <c r="J14559" t="str" cm="1">
        <f t="array" ref="J14559">_xlfn.IFS(I14559&lt;=3,"small",I14559&lt;=6,"Medium",I14559&lt;=9,"Large")</f>
        <v>Large</v>
      </c>
      <c r="K14559" s="36">
        <v>45427</v>
      </c>
      <c r="L14559" s="36">
        <v>45434</v>
      </c>
      <c r="M14559" t="s">
        <v>603</v>
      </c>
      <c r="N14559" t="s">
        <v>599</v>
      </c>
      <c r="O14559" s="37" t="str">
        <f t="shared" si="1138"/>
        <v>Digital Payment</v>
      </c>
      <c r="P14559">
        <v>239.27</v>
      </c>
      <c r="Q14559" s="37" t="str">
        <f>IF(P14559&gt;500,"High","low")</f>
        <v>low</v>
      </c>
      <c r="R14559" s="37" t="str">
        <f t="shared" si="1139"/>
        <v>AVERAGE</v>
      </c>
      <c r="S14559" t="s">
        <v>615</v>
      </c>
    </row>
    <row r="14560" spans="1:19" x14ac:dyDescent="0.2">
      <c r="A14560" t="s">
        <v>15171</v>
      </c>
      <c r="B14560" t="s">
        <v>90</v>
      </c>
      <c r="C14560" t="s">
        <v>597</v>
      </c>
      <c r="D14560">
        <v>3900.16</v>
      </c>
      <c r="E14560" s="37" t="str">
        <f t="shared" si="1135"/>
        <v xml:space="preserve"> </v>
      </c>
      <c r="F14560">
        <v>0.1</v>
      </c>
      <c r="G14560" s="37" t="str">
        <f t="shared" si="1136"/>
        <v>Normal Discount</v>
      </c>
      <c r="H14560" s="37" t="str">
        <f t="shared" si="1137"/>
        <v>Low</v>
      </c>
      <c r="I14560">
        <v>1</v>
      </c>
      <c r="J14560" t="str" cm="1">
        <f t="array" ref="J14560">_xlfn.IFS(I14560&lt;=3,"small",I14560&lt;=6,"Medium",I14560&lt;=9,"Large")</f>
        <v>small</v>
      </c>
      <c r="K14560" s="36">
        <v>45597</v>
      </c>
      <c r="L14560" s="36">
        <v>45599</v>
      </c>
      <c r="M14560" t="s">
        <v>598</v>
      </c>
      <c r="N14560" t="s">
        <v>608</v>
      </c>
      <c r="O14560" s="37" t="str">
        <f t="shared" si="1138"/>
        <v>Cash Payment</v>
      </c>
      <c r="P14560">
        <v>723.75</v>
      </c>
      <c r="Q14560" s="37" t="str">
        <f>IF(P14560&gt;500,"High","low")</f>
        <v>High</v>
      </c>
      <c r="R14560" s="37" t="str">
        <f t="shared" si="1139"/>
        <v>Good</v>
      </c>
      <c r="S14560" t="s">
        <v>628</v>
      </c>
    </row>
    <row r="14561" spans="1:19" x14ac:dyDescent="0.2">
      <c r="A14561" t="s">
        <v>15172</v>
      </c>
      <c r="B14561" t="s">
        <v>75</v>
      </c>
      <c r="C14561" t="s">
        <v>617</v>
      </c>
      <c r="D14561">
        <v>549.26</v>
      </c>
      <c r="E14561" s="37" t="str">
        <f t="shared" si="1135"/>
        <v xml:space="preserve"> </v>
      </c>
      <c r="F14561">
        <v>0.41</v>
      </c>
      <c r="G14561" s="37" t="str">
        <f t="shared" si="1136"/>
        <v>Heavy Discount</v>
      </c>
      <c r="H14561" s="37" t="str">
        <f t="shared" si="1137"/>
        <v>High</v>
      </c>
      <c r="I14561">
        <v>1</v>
      </c>
      <c r="J14561" t="str" cm="1">
        <f t="array" ref="J14561">_xlfn.IFS(I14561&lt;=3,"small",I14561&lt;=6,"Medium",I14561&lt;=9,"Large")</f>
        <v>small</v>
      </c>
      <c r="K14561" s="36">
        <v>45468</v>
      </c>
      <c r="L14561" s="36">
        <v>45469</v>
      </c>
      <c r="M14561" t="s">
        <v>603</v>
      </c>
      <c r="N14561" t="s">
        <v>599</v>
      </c>
      <c r="O14561" s="37" t="str">
        <f t="shared" si="1138"/>
        <v>Digital Payment</v>
      </c>
      <c r="P14561">
        <v>164.21</v>
      </c>
      <c r="Q14561" s="37" t="str">
        <f>IF(P14561&gt;500,"High","low")</f>
        <v>low</v>
      </c>
      <c r="R14561" s="37" t="str">
        <f t="shared" si="1139"/>
        <v>AVERAGE</v>
      </c>
      <c r="S14561" t="s">
        <v>615</v>
      </c>
    </row>
    <row r="14562" spans="1:19" x14ac:dyDescent="0.2">
      <c r="A14562" t="s">
        <v>15173</v>
      </c>
      <c r="B14562" t="s">
        <v>83</v>
      </c>
      <c r="C14562" t="s">
        <v>602</v>
      </c>
      <c r="D14562">
        <v>1572.93</v>
      </c>
      <c r="E14562" s="37" t="str">
        <f t="shared" si="1135"/>
        <v xml:space="preserve"> </v>
      </c>
      <c r="F14562">
        <v>0.33</v>
      </c>
      <c r="G14562" s="37" t="str">
        <f t="shared" si="1136"/>
        <v>Heavy Discount</v>
      </c>
      <c r="H14562" s="37" t="str">
        <f t="shared" si="1137"/>
        <v>Medium</v>
      </c>
      <c r="I14562">
        <v>2</v>
      </c>
      <c r="J14562" t="str" cm="1">
        <f t="array" ref="J14562">_xlfn.IFS(I14562&lt;=3,"small",I14562&lt;=6,"Medium",I14562&lt;=9,"Large")</f>
        <v>small</v>
      </c>
      <c r="K14562" s="36">
        <v>45216</v>
      </c>
      <c r="L14562" s="36">
        <v>45219</v>
      </c>
      <c r="M14562" t="s">
        <v>603</v>
      </c>
      <c r="N14562" t="s">
        <v>599</v>
      </c>
      <c r="O14562" s="37" t="str">
        <f t="shared" si="1138"/>
        <v>Digital Payment</v>
      </c>
      <c r="P14562">
        <v>226.7</v>
      </c>
      <c r="Q14562" s="37" t="str">
        <f>IF(P14562&gt;500,"High","low")</f>
        <v>low</v>
      </c>
      <c r="R14562" s="37" t="str">
        <f t="shared" si="1139"/>
        <v>AVERAGE</v>
      </c>
      <c r="S14562" t="s">
        <v>615</v>
      </c>
    </row>
    <row r="14563" spans="1:19" x14ac:dyDescent="0.2">
      <c r="A14563" t="s">
        <v>15174</v>
      </c>
      <c r="B14563" t="s">
        <v>75</v>
      </c>
      <c r="C14563" t="s">
        <v>602</v>
      </c>
      <c r="D14563">
        <v>928.54</v>
      </c>
      <c r="E14563" s="37" t="str">
        <f t="shared" si="1135"/>
        <v xml:space="preserve"> </v>
      </c>
      <c r="F14563">
        <v>0.01</v>
      </c>
      <c r="G14563" s="37" t="str">
        <f t="shared" si="1136"/>
        <v>Normal Discount</v>
      </c>
      <c r="H14563" s="37" t="str">
        <f t="shared" si="1137"/>
        <v>Low</v>
      </c>
      <c r="I14563">
        <v>7</v>
      </c>
      <c r="J14563" t="str" cm="1">
        <f t="array" ref="J14563">_xlfn.IFS(I14563&lt;=3,"small",I14563&lt;=6,"Medium",I14563&lt;=9,"Large")</f>
        <v>Large</v>
      </c>
      <c r="K14563" s="36">
        <v>45201</v>
      </c>
      <c r="L14563" s="36">
        <v>45203</v>
      </c>
      <c r="M14563" t="s">
        <v>598</v>
      </c>
      <c r="N14563" t="s">
        <v>599</v>
      </c>
      <c r="O14563" s="37" t="str">
        <f t="shared" si="1138"/>
        <v>Digital Payment</v>
      </c>
      <c r="P14563">
        <v>231.85</v>
      </c>
      <c r="Q14563" s="37" t="str">
        <f>IF(P14563&gt;500,"High","low")</f>
        <v>low</v>
      </c>
      <c r="R14563" s="37" t="str">
        <f t="shared" si="1139"/>
        <v>AVERAGE</v>
      </c>
      <c r="S14563" t="s">
        <v>609</v>
      </c>
    </row>
    <row r="14564" spans="1:19" x14ac:dyDescent="0.2">
      <c r="A14564" t="s">
        <v>15175</v>
      </c>
      <c r="B14564" t="s">
        <v>83</v>
      </c>
      <c r="C14564" t="s">
        <v>617</v>
      </c>
      <c r="D14564">
        <v>2606.19</v>
      </c>
      <c r="E14564" s="37" t="str">
        <f t="shared" si="1135"/>
        <v xml:space="preserve"> </v>
      </c>
      <c r="F14564">
        <v>0.25</v>
      </c>
      <c r="G14564" s="37" t="str">
        <f t="shared" si="1136"/>
        <v>Normal Discount</v>
      </c>
      <c r="H14564" s="37" t="str">
        <f t="shared" si="1137"/>
        <v>Medium</v>
      </c>
      <c r="I14564">
        <v>4</v>
      </c>
      <c r="J14564" t="str" cm="1">
        <f t="array" ref="J14564">_xlfn.IFS(I14564&lt;=3,"small",I14564&lt;=6,"Medium",I14564&lt;=9,"Large")</f>
        <v>Medium</v>
      </c>
      <c r="K14564" s="36">
        <v>45338</v>
      </c>
      <c r="L14564" s="36">
        <v>45342</v>
      </c>
      <c r="M14564" t="s">
        <v>598</v>
      </c>
      <c r="N14564" t="s">
        <v>608</v>
      </c>
      <c r="O14564" s="37" t="str">
        <f t="shared" si="1138"/>
        <v>Cash Payment</v>
      </c>
      <c r="P14564">
        <v>379.24</v>
      </c>
      <c r="Q14564" s="37" t="str">
        <f>IF(P14564&gt;500,"High","low")</f>
        <v>low</v>
      </c>
      <c r="R14564" s="37" t="str">
        <f t="shared" si="1139"/>
        <v>AVERAGE</v>
      </c>
      <c r="S14564" t="s">
        <v>609</v>
      </c>
    </row>
    <row r="14565" spans="1:19" x14ac:dyDescent="0.2">
      <c r="A14565" t="s">
        <v>15176</v>
      </c>
      <c r="B14565" t="s">
        <v>75</v>
      </c>
      <c r="C14565" t="s">
        <v>617</v>
      </c>
      <c r="D14565">
        <v>4204.57</v>
      </c>
      <c r="E14565" s="37" t="str">
        <f t="shared" si="1135"/>
        <v xml:space="preserve"> </v>
      </c>
      <c r="F14565">
        <v>0.14000000000000001</v>
      </c>
      <c r="G14565" s="37" t="str">
        <f t="shared" si="1136"/>
        <v>Normal Discount</v>
      </c>
      <c r="H14565" s="37" t="str">
        <f t="shared" si="1137"/>
        <v>Low</v>
      </c>
      <c r="I14565">
        <v>1</v>
      </c>
      <c r="J14565" t="str" cm="1">
        <f t="array" ref="J14565">_xlfn.IFS(I14565&lt;=3,"small",I14565&lt;=6,"Medium",I14565&lt;=9,"Large")</f>
        <v>small</v>
      </c>
      <c r="K14565" s="36">
        <v>44932</v>
      </c>
      <c r="L14565" s="36">
        <v>44936</v>
      </c>
      <c r="M14565" t="s">
        <v>603</v>
      </c>
      <c r="N14565" t="s">
        <v>599</v>
      </c>
      <c r="O14565" s="37" t="str">
        <f t="shared" si="1138"/>
        <v>Digital Payment</v>
      </c>
      <c r="P14565">
        <v>341.04</v>
      </c>
      <c r="Q14565" s="37" t="str">
        <f>IF(P14565&gt;500,"High","low")</f>
        <v>low</v>
      </c>
      <c r="R14565" s="37" t="str">
        <f t="shared" si="1139"/>
        <v>AVERAGE</v>
      </c>
      <c r="S14565" t="s">
        <v>609</v>
      </c>
    </row>
    <row r="14566" spans="1:19" x14ac:dyDescent="0.2">
      <c r="A14566" t="s">
        <v>15177</v>
      </c>
      <c r="B14566" t="s">
        <v>90</v>
      </c>
      <c r="C14566" t="s">
        <v>607</v>
      </c>
      <c r="D14566">
        <v>1230.49</v>
      </c>
      <c r="E14566" s="37" t="str">
        <f t="shared" si="1135"/>
        <v xml:space="preserve"> </v>
      </c>
      <c r="F14566">
        <v>0.46</v>
      </c>
      <c r="G14566" s="37" t="str">
        <f t="shared" si="1136"/>
        <v>Heavy Discount</v>
      </c>
      <c r="H14566" s="37" t="str">
        <f t="shared" si="1137"/>
        <v>High</v>
      </c>
      <c r="I14566">
        <v>8</v>
      </c>
      <c r="J14566" t="str" cm="1">
        <f t="array" ref="J14566">_xlfn.IFS(I14566&lt;=3,"small",I14566&lt;=6,"Medium",I14566&lt;=9,"Large")</f>
        <v>Large</v>
      </c>
      <c r="K14566" s="36">
        <v>45071</v>
      </c>
      <c r="L14566" s="36">
        <v>45077</v>
      </c>
      <c r="M14566" t="s">
        <v>603</v>
      </c>
      <c r="N14566" t="s">
        <v>604</v>
      </c>
      <c r="O14566" s="37" t="str">
        <f t="shared" si="1138"/>
        <v>Digital Payment</v>
      </c>
      <c r="P14566">
        <v>320.56</v>
      </c>
      <c r="Q14566" s="37" t="str">
        <f>IF(P14566&gt;500,"High","low")</f>
        <v>low</v>
      </c>
      <c r="R14566" s="37" t="str">
        <f t="shared" si="1139"/>
        <v>AVERAGE</v>
      </c>
      <c r="S14566" t="s">
        <v>600</v>
      </c>
    </row>
    <row r="14567" spans="1:19" x14ac:dyDescent="0.2">
      <c r="A14567" t="s">
        <v>15178</v>
      </c>
      <c r="B14567" t="s">
        <v>67</v>
      </c>
      <c r="C14567" t="s">
        <v>614</v>
      </c>
      <c r="D14567">
        <v>3681.43</v>
      </c>
      <c r="E14567" s="37" t="str">
        <f t="shared" si="1135"/>
        <v xml:space="preserve"> </v>
      </c>
      <c r="F14567">
        <v>0.36</v>
      </c>
      <c r="G14567" s="37" t="str">
        <f t="shared" si="1136"/>
        <v>Heavy Discount</v>
      </c>
      <c r="H14567" s="37" t="str">
        <f t="shared" si="1137"/>
        <v>Medium</v>
      </c>
      <c r="I14567">
        <v>4</v>
      </c>
      <c r="J14567" t="str" cm="1">
        <f t="array" ref="J14567">_xlfn.IFS(I14567&lt;=3,"small",I14567&lt;=6,"Medium",I14567&lt;=9,"Large")</f>
        <v>Medium</v>
      </c>
      <c r="K14567" s="36">
        <v>45027</v>
      </c>
      <c r="L14567" s="36">
        <v>45029</v>
      </c>
      <c r="M14567" t="s">
        <v>603</v>
      </c>
      <c r="N14567" t="s">
        <v>599</v>
      </c>
      <c r="O14567" s="37" t="str">
        <f t="shared" si="1138"/>
        <v>Digital Payment</v>
      </c>
      <c r="P14567">
        <v>789.24</v>
      </c>
      <c r="Q14567" s="37" t="str">
        <f>IF(P14567&gt;500,"High","low")</f>
        <v>High</v>
      </c>
      <c r="R14567" s="37" t="str">
        <f t="shared" si="1139"/>
        <v>Good</v>
      </c>
      <c r="S14567" t="s">
        <v>605</v>
      </c>
    </row>
    <row r="14568" spans="1:19" x14ac:dyDescent="0.2">
      <c r="A14568" t="s">
        <v>15179</v>
      </c>
      <c r="B14568" t="s">
        <v>75</v>
      </c>
      <c r="C14568" t="s">
        <v>614</v>
      </c>
      <c r="D14568">
        <v>2088.54</v>
      </c>
      <c r="E14568" s="37" t="str">
        <f t="shared" si="1135"/>
        <v xml:space="preserve"> </v>
      </c>
      <c r="F14568">
        <v>0.31</v>
      </c>
      <c r="G14568" s="37" t="str">
        <f t="shared" si="1136"/>
        <v>Heavy Discount</v>
      </c>
      <c r="H14568" s="37" t="str">
        <f t="shared" si="1137"/>
        <v>Medium</v>
      </c>
      <c r="I14568">
        <v>7</v>
      </c>
      <c r="J14568" t="str" cm="1">
        <f t="array" ref="J14568">_xlfn.IFS(I14568&lt;=3,"small",I14568&lt;=6,"Medium",I14568&lt;=9,"Large")</f>
        <v>Large</v>
      </c>
      <c r="K14568" s="36">
        <v>45529</v>
      </c>
      <c r="L14568" s="36">
        <v>45530</v>
      </c>
      <c r="M14568" t="s">
        <v>612</v>
      </c>
      <c r="N14568" t="s">
        <v>608</v>
      </c>
      <c r="O14568" s="37" t="str">
        <f t="shared" si="1138"/>
        <v>Cash Payment</v>
      </c>
      <c r="P14568">
        <v>173.73</v>
      </c>
      <c r="Q14568" s="37" t="str">
        <f>IF(P14568&gt;500,"High","low")</f>
        <v>low</v>
      </c>
      <c r="R14568" s="37" t="str">
        <f t="shared" si="1139"/>
        <v>AVERAGE</v>
      </c>
      <c r="S14568" t="s">
        <v>609</v>
      </c>
    </row>
    <row r="14569" spans="1:19" x14ac:dyDescent="0.2">
      <c r="A14569" t="s">
        <v>15180</v>
      </c>
      <c r="B14569" t="s">
        <v>75</v>
      </c>
      <c r="C14569" t="s">
        <v>597</v>
      </c>
      <c r="D14569">
        <v>4525.07</v>
      </c>
      <c r="E14569" s="37" t="str">
        <f t="shared" si="1135"/>
        <v xml:space="preserve"> </v>
      </c>
      <c r="F14569">
        <v>0.04</v>
      </c>
      <c r="G14569" s="37" t="str">
        <f t="shared" si="1136"/>
        <v>Normal Discount</v>
      </c>
      <c r="H14569" s="37" t="str">
        <f t="shared" si="1137"/>
        <v>Low</v>
      </c>
      <c r="I14569">
        <v>8</v>
      </c>
      <c r="J14569" t="str" cm="1">
        <f t="array" ref="J14569">_xlfn.IFS(I14569&lt;=3,"small",I14569&lt;=6,"Medium",I14569&lt;=9,"Large")</f>
        <v>Large</v>
      </c>
      <c r="K14569" s="36">
        <v>45090</v>
      </c>
      <c r="L14569" s="36">
        <v>45094</v>
      </c>
      <c r="M14569" t="s">
        <v>603</v>
      </c>
      <c r="N14569" t="s">
        <v>599</v>
      </c>
      <c r="O14569" s="37" t="str">
        <f t="shared" si="1138"/>
        <v>Digital Payment</v>
      </c>
      <c r="P14569">
        <v>719.54</v>
      </c>
      <c r="Q14569" s="37" t="str">
        <f>IF(P14569&gt;500,"High","low")</f>
        <v>High</v>
      </c>
      <c r="R14569" s="37" t="str">
        <f t="shared" si="1139"/>
        <v>Good</v>
      </c>
      <c r="S14569" t="s">
        <v>609</v>
      </c>
    </row>
    <row r="14570" spans="1:19" x14ac:dyDescent="0.2">
      <c r="A14570" t="s">
        <v>15181</v>
      </c>
      <c r="B14570" t="s">
        <v>90</v>
      </c>
      <c r="C14570" t="s">
        <v>614</v>
      </c>
      <c r="D14570">
        <v>3171.27</v>
      </c>
      <c r="E14570" s="37" t="str">
        <f t="shared" si="1135"/>
        <v xml:space="preserve"> </v>
      </c>
      <c r="F14570">
        <v>0.47</v>
      </c>
      <c r="G14570" s="37" t="str">
        <f t="shared" si="1136"/>
        <v>Heavy Discount</v>
      </c>
      <c r="H14570" s="37" t="str">
        <f t="shared" si="1137"/>
        <v>High</v>
      </c>
      <c r="I14570">
        <v>1</v>
      </c>
      <c r="J14570" t="str" cm="1">
        <f t="array" ref="J14570">_xlfn.IFS(I14570&lt;=3,"small",I14570&lt;=6,"Medium",I14570&lt;=9,"Large")</f>
        <v>small</v>
      </c>
      <c r="K14570" s="36">
        <v>45439</v>
      </c>
      <c r="L14570" s="36">
        <v>45441</v>
      </c>
      <c r="M14570" t="s">
        <v>598</v>
      </c>
      <c r="N14570" t="s">
        <v>599</v>
      </c>
      <c r="O14570" s="37" t="str">
        <f t="shared" si="1138"/>
        <v>Digital Payment</v>
      </c>
      <c r="P14570">
        <v>337.28</v>
      </c>
      <c r="Q14570" s="37" t="str">
        <f>IF(P14570&gt;500,"High","low")</f>
        <v>low</v>
      </c>
      <c r="R14570" s="37" t="str">
        <f t="shared" si="1139"/>
        <v>AVERAGE</v>
      </c>
      <c r="S14570" t="s">
        <v>609</v>
      </c>
    </row>
    <row r="14571" spans="1:19" x14ac:dyDescent="0.2">
      <c r="A14571" t="s">
        <v>15182</v>
      </c>
      <c r="B14571" t="s">
        <v>75</v>
      </c>
      <c r="C14571" t="s">
        <v>597</v>
      </c>
      <c r="D14571">
        <v>4885.1099999999997</v>
      </c>
      <c r="E14571" s="37" t="str">
        <f t="shared" si="1135"/>
        <v>Excellent Order</v>
      </c>
      <c r="F14571">
        <v>7.0000000000000007E-2</v>
      </c>
      <c r="G14571" s="37" t="str">
        <f t="shared" si="1136"/>
        <v>Normal Discount</v>
      </c>
      <c r="H14571" s="37" t="str">
        <f t="shared" si="1137"/>
        <v>Low</v>
      </c>
      <c r="I14571">
        <v>2</v>
      </c>
      <c r="J14571" t="str" cm="1">
        <f t="array" ref="J14571">_xlfn.IFS(I14571&lt;=3,"small",I14571&lt;=6,"Medium",I14571&lt;=9,"Large")</f>
        <v>small</v>
      </c>
      <c r="K14571" s="36">
        <v>45070</v>
      </c>
      <c r="L14571" s="36">
        <v>45075</v>
      </c>
      <c r="M14571" t="s">
        <v>603</v>
      </c>
      <c r="N14571" t="s">
        <v>599</v>
      </c>
      <c r="O14571" s="37" t="str">
        <f t="shared" si="1138"/>
        <v>Digital Payment</v>
      </c>
      <c r="P14571">
        <v>1058.53</v>
      </c>
      <c r="Q14571" s="37" t="str">
        <f>IF(P14571&gt;500,"High","low")</f>
        <v>High</v>
      </c>
      <c r="R14571" s="37" t="str">
        <f t="shared" si="1139"/>
        <v>Excellent</v>
      </c>
      <c r="S14571" t="s">
        <v>609</v>
      </c>
    </row>
    <row r="14572" spans="1:19" x14ac:dyDescent="0.2">
      <c r="A14572" t="s">
        <v>15183</v>
      </c>
      <c r="B14572" t="s">
        <v>83</v>
      </c>
      <c r="C14572" t="s">
        <v>597</v>
      </c>
      <c r="D14572">
        <v>1303.78</v>
      </c>
      <c r="E14572" s="37" t="str">
        <f t="shared" si="1135"/>
        <v xml:space="preserve"> </v>
      </c>
      <c r="F14572">
        <v>0.23</v>
      </c>
      <c r="G14572" s="37" t="str">
        <f t="shared" si="1136"/>
        <v>Normal Discount</v>
      </c>
      <c r="H14572" s="37" t="str">
        <f t="shared" si="1137"/>
        <v>Medium</v>
      </c>
      <c r="I14572">
        <v>2</v>
      </c>
      <c r="J14572" t="str" cm="1">
        <f t="array" ref="J14572">_xlfn.IFS(I14572&lt;=3,"small",I14572&lt;=6,"Medium",I14572&lt;=9,"Large")</f>
        <v>small</v>
      </c>
      <c r="K14572" s="36">
        <v>45378</v>
      </c>
      <c r="L14572" s="36">
        <v>45379</v>
      </c>
      <c r="M14572" t="s">
        <v>612</v>
      </c>
      <c r="N14572" t="s">
        <v>599</v>
      </c>
      <c r="O14572" s="37" t="str">
        <f t="shared" si="1138"/>
        <v>Digital Payment</v>
      </c>
      <c r="P14572">
        <v>216.6</v>
      </c>
      <c r="Q14572" s="37" t="str">
        <f>IF(P14572&gt;500,"High","low")</f>
        <v>low</v>
      </c>
      <c r="R14572" s="37" t="str">
        <f t="shared" si="1139"/>
        <v>AVERAGE</v>
      </c>
      <c r="S14572" t="s">
        <v>609</v>
      </c>
    </row>
    <row r="14573" spans="1:19" x14ac:dyDescent="0.2">
      <c r="A14573" t="s">
        <v>15184</v>
      </c>
      <c r="B14573" t="s">
        <v>75</v>
      </c>
      <c r="C14573" t="s">
        <v>602</v>
      </c>
      <c r="D14573">
        <v>4627.3999999999996</v>
      </c>
      <c r="E14573" s="37" t="str">
        <f t="shared" si="1135"/>
        <v xml:space="preserve"> </v>
      </c>
      <c r="F14573">
        <v>0.34</v>
      </c>
      <c r="G14573" s="37" t="str">
        <f t="shared" si="1136"/>
        <v>Heavy Discount</v>
      </c>
      <c r="H14573" s="37" t="str">
        <f t="shared" si="1137"/>
        <v>Medium</v>
      </c>
      <c r="I14573">
        <v>5</v>
      </c>
      <c r="J14573" t="str" cm="1">
        <f t="array" ref="J14573">_xlfn.IFS(I14573&lt;=3,"small",I14573&lt;=6,"Medium",I14573&lt;=9,"Large")</f>
        <v>Medium</v>
      </c>
      <c r="K14573" s="36">
        <v>44973</v>
      </c>
      <c r="L14573" s="36">
        <v>44975</v>
      </c>
      <c r="M14573" t="s">
        <v>612</v>
      </c>
      <c r="N14573" t="s">
        <v>608</v>
      </c>
      <c r="O14573" s="37" t="str">
        <f t="shared" si="1138"/>
        <v>Cash Payment</v>
      </c>
      <c r="P14573">
        <v>576.63</v>
      </c>
      <c r="Q14573" s="37" t="str">
        <f>IF(P14573&gt;500,"High","low")</f>
        <v>High</v>
      </c>
      <c r="R14573" s="37" t="str">
        <f t="shared" si="1139"/>
        <v>Good</v>
      </c>
      <c r="S14573" t="s">
        <v>609</v>
      </c>
    </row>
    <row r="14574" spans="1:19" x14ac:dyDescent="0.2">
      <c r="A14574" t="s">
        <v>15185</v>
      </c>
      <c r="B14574" t="s">
        <v>75</v>
      </c>
      <c r="C14574" t="s">
        <v>602</v>
      </c>
      <c r="D14574">
        <v>1849.57</v>
      </c>
      <c r="E14574" s="37" t="str">
        <f t="shared" si="1135"/>
        <v xml:space="preserve"> </v>
      </c>
      <c r="F14574">
        <v>0.25</v>
      </c>
      <c r="G14574" s="37" t="str">
        <f t="shared" si="1136"/>
        <v>Normal Discount</v>
      </c>
      <c r="H14574" s="37" t="str">
        <f t="shared" si="1137"/>
        <v>Medium</v>
      </c>
      <c r="I14574">
        <v>5</v>
      </c>
      <c r="J14574" t="str" cm="1">
        <f t="array" ref="J14574">_xlfn.IFS(I14574&lt;=3,"small",I14574&lt;=6,"Medium",I14574&lt;=9,"Large")</f>
        <v>Medium</v>
      </c>
      <c r="K14574" s="36">
        <v>44949</v>
      </c>
      <c r="L14574" s="36">
        <v>44954</v>
      </c>
      <c r="M14574" t="s">
        <v>612</v>
      </c>
      <c r="N14574" t="s">
        <v>608</v>
      </c>
      <c r="O14574" s="37" t="str">
        <f t="shared" si="1138"/>
        <v>Cash Payment</v>
      </c>
      <c r="P14574">
        <v>349.81</v>
      </c>
      <c r="Q14574" s="37" t="str">
        <f>IF(P14574&gt;500,"High","low")</f>
        <v>low</v>
      </c>
      <c r="R14574" s="37" t="str">
        <f t="shared" si="1139"/>
        <v>AVERAGE</v>
      </c>
      <c r="S14574" t="s">
        <v>600</v>
      </c>
    </row>
    <row r="14575" spans="1:19" x14ac:dyDescent="0.2">
      <c r="A14575" t="s">
        <v>15186</v>
      </c>
      <c r="B14575" t="s">
        <v>67</v>
      </c>
      <c r="C14575" t="s">
        <v>607</v>
      </c>
      <c r="D14575">
        <v>3147.64</v>
      </c>
      <c r="E14575" s="37" t="str">
        <f t="shared" si="1135"/>
        <v xml:space="preserve"> </v>
      </c>
      <c r="F14575">
        <v>0.44</v>
      </c>
      <c r="G14575" s="37" t="str">
        <f t="shared" si="1136"/>
        <v>Heavy Discount</v>
      </c>
      <c r="H14575" s="37" t="str">
        <f t="shared" si="1137"/>
        <v>High</v>
      </c>
      <c r="I14575">
        <v>6</v>
      </c>
      <c r="J14575" t="str" cm="1">
        <f t="array" ref="J14575">_xlfn.IFS(I14575&lt;=3,"small",I14575&lt;=6,"Medium",I14575&lt;=9,"Large")</f>
        <v>Medium</v>
      </c>
      <c r="K14575" s="36">
        <v>45121</v>
      </c>
      <c r="L14575" s="36">
        <v>45128</v>
      </c>
      <c r="M14575" t="s">
        <v>603</v>
      </c>
      <c r="N14575" t="s">
        <v>599</v>
      </c>
      <c r="O14575" s="37" t="str">
        <f t="shared" si="1138"/>
        <v>Digital Payment</v>
      </c>
      <c r="P14575">
        <v>869.78</v>
      </c>
      <c r="Q14575" s="37" t="str">
        <f>IF(P14575&gt;500,"High","low")</f>
        <v>High</v>
      </c>
      <c r="R14575" s="37" t="str">
        <f t="shared" si="1139"/>
        <v>Good</v>
      </c>
      <c r="S14575" t="s">
        <v>615</v>
      </c>
    </row>
    <row r="14576" spans="1:19" x14ac:dyDescent="0.2">
      <c r="A14576" t="s">
        <v>15187</v>
      </c>
      <c r="B14576" t="s">
        <v>67</v>
      </c>
      <c r="C14576" t="s">
        <v>617</v>
      </c>
      <c r="D14576">
        <v>955.09</v>
      </c>
      <c r="E14576" s="37" t="str">
        <f t="shared" si="1135"/>
        <v xml:space="preserve"> </v>
      </c>
      <c r="F14576">
        <v>0.42</v>
      </c>
      <c r="G14576" s="37" t="str">
        <f t="shared" si="1136"/>
        <v>Heavy Discount</v>
      </c>
      <c r="H14576" s="37" t="str">
        <f t="shared" si="1137"/>
        <v>High</v>
      </c>
      <c r="I14576">
        <v>2</v>
      </c>
      <c r="J14576" t="str" cm="1">
        <f t="array" ref="J14576">_xlfn.IFS(I14576&lt;=3,"small",I14576&lt;=6,"Medium",I14576&lt;=9,"Large")</f>
        <v>small</v>
      </c>
      <c r="K14576" s="36">
        <v>45372</v>
      </c>
      <c r="L14576" s="36">
        <v>45375</v>
      </c>
      <c r="M14576" t="s">
        <v>598</v>
      </c>
      <c r="N14576" t="s">
        <v>599</v>
      </c>
      <c r="O14576" s="37" t="str">
        <f t="shared" si="1138"/>
        <v>Digital Payment</v>
      </c>
      <c r="P14576">
        <v>146.88999999999999</v>
      </c>
      <c r="Q14576" s="37" t="str">
        <f>IF(P14576&gt;500,"High","low")</f>
        <v>low</v>
      </c>
      <c r="R14576" s="37" t="str">
        <f t="shared" si="1139"/>
        <v>AVERAGE</v>
      </c>
      <c r="S14576" t="s">
        <v>600</v>
      </c>
    </row>
    <row r="14577" spans="1:19" x14ac:dyDescent="0.2">
      <c r="A14577" t="s">
        <v>15188</v>
      </c>
      <c r="B14577" t="s">
        <v>75</v>
      </c>
      <c r="C14577" t="s">
        <v>617</v>
      </c>
      <c r="D14577">
        <v>3822.95</v>
      </c>
      <c r="E14577" s="37" t="str">
        <f t="shared" si="1135"/>
        <v xml:space="preserve"> </v>
      </c>
      <c r="F14577">
        <v>7.0000000000000007E-2</v>
      </c>
      <c r="G14577" s="37" t="str">
        <f t="shared" si="1136"/>
        <v>Normal Discount</v>
      </c>
      <c r="H14577" s="37" t="str">
        <f t="shared" si="1137"/>
        <v>Low</v>
      </c>
      <c r="I14577">
        <v>8</v>
      </c>
      <c r="J14577" t="str" cm="1">
        <f t="array" ref="J14577">_xlfn.IFS(I14577&lt;=3,"small",I14577&lt;=6,"Medium",I14577&lt;=9,"Large")</f>
        <v>Large</v>
      </c>
      <c r="K14577" s="36">
        <v>45011</v>
      </c>
      <c r="L14577" s="36">
        <v>45018</v>
      </c>
      <c r="M14577" t="s">
        <v>598</v>
      </c>
      <c r="N14577" t="s">
        <v>608</v>
      </c>
      <c r="O14577" s="37" t="str">
        <f t="shared" si="1138"/>
        <v>Cash Payment</v>
      </c>
      <c r="P14577">
        <v>1114.3699999999999</v>
      </c>
      <c r="Q14577" s="37" t="str">
        <f>IF(P14577&gt;500,"High","low")</f>
        <v>High</v>
      </c>
      <c r="R14577" s="37" t="str">
        <f t="shared" si="1139"/>
        <v>Excellent</v>
      </c>
      <c r="S14577" t="s">
        <v>600</v>
      </c>
    </row>
    <row r="14578" spans="1:19" x14ac:dyDescent="0.2">
      <c r="A14578" t="s">
        <v>15189</v>
      </c>
      <c r="B14578" t="s">
        <v>90</v>
      </c>
      <c r="C14578" t="s">
        <v>597</v>
      </c>
      <c r="D14578">
        <v>4893.43</v>
      </c>
      <c r="E14578" s="37" t="str">
        <f t="shared" si="1135"/>
        <v>Excellent Order</v>
      </c>
      <c r="F14578">
        <v>0.31</v>
      </c>
      <c r="G14578" s="37" t="str">
        <f t="shared" si="1136"/>
        <v>Heavy Discount</v>
      </c>
      <c r="H14578" s="37" t="str">
        <f t="shared" si="1137"/>
        <v>Medium</v>
      </c>
      <c r="I14578">
        <v>1</v>
      </c>
      <c r="J14578" t="str" cm="1">
        <f t="array" ref="J14578">_xlfn.IFS(I14578&lt;=3,"small",I14578&lt;=6,"Medium",I14578&lt;=9,"Large")</f>
        <v>small</v>
      </c>
      <c r="K14578" s="36">
        <v>45270</v>
      </c>
      <c r="L14578" s="36">
        <v>45274</v>
      </c>
      <c r="M14578" t="s">
        <v>603</v>
      </c>
      <c r="N14578" t="s">
        <v>604</v>
      </c>
      <c r="O14578" s="37" t="str">
        <f t="shared" si="1138"/>
        <v>Digital Payment</v>
      </c>
      <c r="P14578">
        <v>1115.3399999999999</v>
      </c>
      <c r="Q14578" s="37" t="str">
        <f>IF(P14578&gt;500,"High","low")</f>
        <v>High</v>
      </c>
      <c r="R14578" s="37" t="str">
        <f t="shared" si="1139"/>
        <v>Excellent</v>
      </c>
      <c r="S14578" t="s">
        <v>605</v>
      </c>
    </row>
    <row r="14579" spans="1:19" x14ac:dyDescent="0.2">
      <c r="A14579" t="s">
        <v>15190</v>
      </c>
      <c r="B14579" t="s">
        <v>67</v>
      </c>
      <c r="C14579" t="s">
        <v>617</v>
      </c>
      <c r="D14579">
        <v>3958.39</v>
      </c>
      <c r="E14579" s="37" t="str">
        <f t="shared" si="1135"/>
        <v xml:space="preserve"> </v>
      </c>
      <c r="F14579">
        <v>0.03</v>
      </c>
      <c r="G14579" s="37" t="str">
        <f t="shared" si="1136"/>
        <v>Normal Discount</v>
      </c>
      <c r="H14579" s="37" t="str">
        <f t="shared" si="1137"/>
        <v>Low</v>
      </c>
      <c r="I14579">
        <v>9</v>
      </c>
      <c r="J14579" t="str" cm="1">
        <f t="array" ref="J14579">_xlfn.IFS(I14579&lt;=3,"small",I14579&lt;=6,"Medium",I14579&lt;=9,"Large")</f>
        <v>Large</v>
      </c>
      <c r="K14579" s="36">
        <v>45505</v>
      </c>
      <c r="L14579" s="36">
        <v>45507</v>
      </c>
      <c r="M14579" t="s">
        <v>603</v>
      </c>
      <c r="N14579" t="s">
        <v>599</v>
      </c>
      <c r="O14579" s="37" t="str">
        <f t="shared" si="1138"/>
        <v>Digital Payment</v>
      </c>
      <c r="P14579">
        <v>794.26</v>
      </c>
      <c r="Q14579" s="37" t="str">
        <f>IF(P14579&gt;500,"High","low")</f>
        <v>High</v>
      </c>
      <c r="R14579" s="37" t="str">
        <f t="shared" si="1139"/>
        <v>Good</v>
      </c>
      <c r="S14579" t="s">
        <v>628</v>
      </c>
    </row>
    <row r="14580" spans="1:19" x14ac:dyDescent="0.2">
      <c r="A14580" t="s">
        <v>15191</v>
      </c>
      <c r="B14580" t="s">
        <v>75</v>
      </c>
      <c r="C14580" t="s">
        <v>597</v>
      </c>
      <c r="D14580">
        <v>3117.4</v>
      </c>
      <c r="E14580" s="37" t="str">
        <f t="shared" si="1135"/>
        <v xml:space="preserve"> </v>
      </c>
      <c r="F14580">
        <v>0.36</v>
      </c>
      <c r="G14580" s="37" t="str">
        <f t="shared" si="1136"/>
        <v>Heavy Discount</v>
      </c>
      <c r="H14580" s="37" t="str">
        <f t="shared" si="1137"/>
        <v>Medium</v>
      </c>
      <c r="I14580">
        <v>5</v>
      </c>
      <c r="J14580" t="str" cm="1">
        <f t="array" ref="J14580">_xlfn.IFS(I14580&lt;=3,"small",I14580&lt;=6,"Medium",I14580&lt;=9,"Large")</f>
        <v>Medium</v>
      </c>
      <c r="K14580" s="36">
        <v>45393</v>
      </c>
      <c r="L14580" s="36">
        <v>45400</v>
      </c>
      <c r="M14580" t="s">
        <v>603</v>
      </c>
      <c r="N14580" t="s">
        <v>599</v>
      </c>
      <c r="O14580" s="37" t="str">
        <f t="shared" si="1138"/>
        <v>Digital Payment</v>
      </c>
      <c r="P14580">
        <v>202.43</v>
      </c>
      <c r="Q14580" s="37" t="str">
        <f>IF(P14580&gt;500,"High","low")</f>
        <v>low</v>
      </c>
      <c r="R14580" s="37" t="str">
        <f t="shared" si="1139"/>
        <v>AVERAGE</v>
      </c>
      <c r="S14580" t="s">
        <v>628</v>
      </c>
    </row>
    <row r="14581" spans="1:19" x14ac:dyDescent="0.2">
      <c r="A14581" t="s">
        <v>15192</v>
      </c>
      <c r="B14581" t="s">
        <v>67</v>
      </c>
      <c r="C14581" t="s">
        <v>617</v>
      </c>
      <c r="D14581">
        <v>2296.25</v>
      </c>
      <c r="E14581" s="37" t="str">
        <f t="shared" si="1135"/>
        <v xml:space="preserve"> </v>
      </c>
      <c r="F14581">
        <v>0.37</v>
      </c>
      <c r="G14581" s="37" t="str">
        <f t="shared" si="1136"/>
        <v>Heavy Discount</v>
      </c>
      <c r="H14581" s="37" t="str">
        <f t="shared" si="1137"/>
        <v>Medium</v>
      </c>
      <c r="I14581">
        <v>8</v>
      </c>
      <c r="J14581" t="str" cm="1">
        <f t="array" ref="J14581">_xlfn.IFS(I14581&lt;=3,"small",I14581&lt;=6,"Medium",I14581&lt;=9,"Large")</f>
        <v>Large</v>
      </c>
      <c r="K14581" s="36">
        <v>45225</v>
      </c>
      <c r="L14581" s="36">
        <v>45231</v>
      </c>
      <c r="M14581" t="s">
        <v>603</v>
      </c>
      <c r="N14581" t="s">
        <v>608</v>
      </c>
      <c r="O14581" s="37" t="str">
        <f t="shared" si="1138"/>
        <v>Cash Payment</v>
      </c>
      <c r="P14581">
        <v>579.86</v>
      </c>
      <c r="Q14581" s="37" t="str">
        <f>IF(P14581&gt;500,"High","low")</f>
        <v>High</v>
      </c>
      <c r="R14581" s="37" t="str">
        <f t="shared" si="1139"/>
        <v>Good</v>
      </c>
      <c r="S14581" t="s">
        <v>620</v>
      </c>
    </row>
    <row r="14582" spans="1:19" x14ac:dyDescent="0.2">
      <c r="A14582" t="s">
        <v>15193</v>
      </c>
      <c r="B14582" t="s">
        <v>75</v>
      </c>
      <c r="C14582" t="s">
        <v>607</v>
      </c>
      <c r="D14582">
        <v>1791.66</v>
      </c>
      <c r="E14582" s="37" t="str">
        <f t="shared" si="1135"/>
        <v xml:space="preserve"> </v>
      </c>
      <c r="F14582">
        <v>0.17</v>
      </c>
      <c r="G14582" s="37" t="str">
        <f t="shared" si="1136"/>
        <v>Normal Discount</v>
      </c>
      <c r="H14582" s="37" t="str">
        <f t="shared" si="1137"/>
        <v>Low</v>
      </c>
      <c r="I14582">
        <v>8</v>
      </c>
      <c r="J14582" t="str" cm="1">
        <f t="array" ref="J14582">_xlfn.IFS(I14582&lt;=3,"small",I14582&lt;=6,"Medium",I14582&lt;=9,"Large")</f>
        <v>Large</v>
      </c>
      <c r="K14582" s="36">
        <v>45297</v>
      </c>
      <c r="L14582" s="36">
        <v>45298</v>
      </c>
      <c r="M14582" t="s">
        <v>598</v>
      </c>
      <c r="N14582" t="s">
        <v>599</v>
      </c>
      <c r="O14582" s="37" t="str">
        <f t="shared" si="1138"/>
        <v>Digital Payment</v>
      </c>
      <c r="P14582">
        <v>390.83</v>
      </c>
      <c r="Q14582" s="37" t="str">
        <f>IF(P14582&gt;500,"High","low")</f>
        <v>low</v>
      </c>
      <c r="R14582" s="37" t="str">
        <f t="shared" si="1139"/>
        <v>AVERAGE</v>
      </c>
      <c r="S14582" t="s">
        <v>615</v>
      </c>
    </row>
    <row r="14583" spans="1:19" x14ac:dyDescent="0.2">
      <c r="A14583" t="s">
        <v>15194</v>
      </c>
      <c r="B14583" t="s">
        <v>67</v>
      </c>
      <c r="C14583" t="s">
        <v>602</v>
      </c>
      <c r="D14583">
        <v>2153.16</v>
      </c>
      <c r="E14583" s="37" t="str">
        <f t="shared" si="1135"/>
        <v xml:space="preserve"> </v>
      </c>
      <c r="F14583">
        <v>0.39</v>
      </c>
      <c r="G14583" s="37" t="str">
        <f t="shared" si="1136"/>
        <v>Heavy Discount</v>
      </c>
      <c r="H14583" s="37" t="str">
        <f t="shared" si="1137"/>
        <v>Medium</v>
      </c>
      <c r="I14583">
        <v>2</v>
      </c>
      <c r="J14583" t="str" cm="1">
        <f t="array" ref="J14583">_xlfn.IFS(I14583&lt;=3,"small",I14583&lt;=6,"Medium",I14583&lt;=9,"Large")</f>
        <v>small</v>
      </c>
      <c r="K14583" s="36">
        <v>45536</v>
      </c>
      <c r="L14583" s="36">
        <v>45541</v>
      </c>
      <c r="M14583" t="s">
        <v>612</v>
      </c>
      <c r="N14583" t="s">
        <v>604</v>
      </c>
      <c r="O14583" s="37" t="str">
        <f t="shared" si="1138"/>
        <v>Digital Payment</v>
      </c>
      <c r="P14583">
        <v>175.98</v>
      </c>
      <c r="Q14583" s="37" t="str">
        <f>IF(P14583&gt;500,"High","low")</f>
        <v>low</v>
      </c>
      <c r="R14583" s="37" t="str">
        <f t="shared" si="1139"/>
        <v>AVERAGE</v>
      </c>
      <c r="S14583" t="s">
        <v>609</v>
      </c>
    </row>
    <row r="14584" spans="1:19" x14ac:dyDescent="0.2">
      <c r="A14584" t="s">
        <v>15195</v>
      </c>
      <c r="B14584" t="s">
        <v>67</v>
      </c>
      <c r="C14584" t="s">
        <v>602</v>
      </c>
      <c r="D14584">
        <v>1708.61</v>
      </c>
      <c r="E14584" s="37" t="str">
        <f t="shared" si="1135"/>
        <v xml:space="preserve"> </v>
      </c>
      <c r="F14584">
        <v>0.33</v>
      </c>
      <c r="G14584" s="37" t="str">
        <f t="shared" si="1136"/>
        <v>Heavy Discount</v>
      </c>
      <c r="H14584" s="37" t="str">
        <f t="shared" si="1137"/>
        <v>Medium</v>
      </c>
      <c r="I14584">
        <v>9</v>
      </c>
      <c r="J14584" t="str" cm="1">
        <f t="array" ref="J14584">_xlfn.IFS(I14584&lt;=3,"small",I14584&lt;=6,"Medium",I14584&lt;=9,"Large")</f>
        <v>Large</v>
      </c>
      <c r="K14584" s="36">
        <v>45098</v>
      </c>
      <c r="L14584" s="36">
        <v>45100</v>
      </c>
      <c r="M14584" t="s">
        <v>612</v>
      </c>
      <c r="N14584" t="s">
        <v>604</v>
      </c>
      <c r="O14584" s="37" t="str">
        <f t="shared" si="1138"/>
        <v>Digital Payment</v>
      </c>
      <c r="P14584">
        <v>89.96</v>
      </c>
      <c r="Q14584" s="37" t="str">
        <f>IF(P14584&gt;500,"High","low")</f>
        <v>low</v>
      </c>
      <c r="R14584" s="37" t="str">
        <f t="shared" si="1139"/>
        <v>AVERAGE</v>
      </c>
      <c r="S14584" t="s">
        <v>605</v>
      </c>
    </row>
    <row r="14585" spans="1:19" x14ac:dyDescent="0.2">
      <c r="A14585" t="s">
        <v>15196</v>
      </c>
      <c r="B14585" t="s">
        <v>83</v>
      </c>
      <c r="C14585" t="s">
        <v>597</v>
      </c>
      <c r="D14585">
        <v>4180.28</v>
      </c>
      <c r="E14585" s="37" t="str">
        <f t="shared" si="1135"/>
        <v>Excellent Order</v>
      </c>
      <c r="F14585">
        <v>0.25</v>
      </c>
      <c r="G14585" s="37" t="str">
        <f t="shared" si="1136"/>
        <v>Normal Discount</v>
      </c>
      <c r="H14585" s="37" t="str">
        <f t="shared" si="1137"/>
        <v>Medium</v>
      </c>
      <c r="I14585">
        <v>6</v>
      </c>
      <c r="J14585" t="str" cm="1">
        <f t="array" ref="J14585">_xlfn.IFS(I14585&lt;=3,"small",I14585&lt;=6,"Medium",I14585&lt;=9,"Large")</f>
        <v>Medium</v>
      </c>
      <c r="K14585" s="36">
        <v>45158</v>
      </c>
      <c r="L14585" s="36">
        <v>45160</v>
      </c>
      <c r="M14585" t="s">
        <v>598</v>
      </c>
      <c r="N14585" t="s">
        <v>608</v>
      </c>
      <c r="O14585" s="37" t="str">
        <f t="shared" si="1138"/>
        <v>Cash Payment</v>
      </c>
      <c r="P14585">
        <v>1186.8900000000001</v>
      </c>
      <c r="Q14585" s="37" t="str">
        <f>IF(P14585&gt;500,"High","low")</f>
        <v>High</v>
      </c>
      <c r="R14585" s="37" t="str">
        <f t="shared" si="1139"/>
        <v>Excellent</v>
      </c>
      <c r="S14585" t="s">
        <v>609</v>
      </c>
    </row>
    <row r="14586" spans="1:19" x14ac:dyDescent="0.2">
      <c r="A14586" t="s">
        <v>15197</v>
      </c>
      <c r="B14586" t="s">
        <v>75</v>
      </c>
      <c r="C14586" t="s">
        <v>617</v>
      </c>
      <c r="D14586">
        <v>4476.24</v>
      </c>
      <c r="E14586" s="37" t="str">
        <f t="shared" si="1135"/>
        <v xml:space="preserve"> </v>
      </c>
      <c r="F14586">
        <v>0.23</v>
      </c>
      <c r="G14586" s="37" t="str">
        <f t="shared" si="1136"/>
        <v>Normal Discount</v>
      </c>
      <c r="H14586" s="37" t="str">
        <f t="shared" si="1137"/>
        <v>Medium</v>
      </c>
      <c r="I14586">
        <v>3</v>
      </c>
      <c r="J14586" t="str" cm="1">
        <f t="array" ref="J14586">_xlfn.IFS(I14586&lt;=3,"small",I14586&lt;=6,"Medium",I14586&lt;=9,"Large")</f>
        <v>small</v>
      </c>
      <c r="K14586" s="36">
        <v>45412</v>
      </c>
      <c r="L14586" s="36">
        <v>45417</v>
      </c>
      <c r="M14586" t="s">
        <v>603</v>
      </c>
      <c r="N14586" t="s">
        <v>604</v>
      </c>
      <c r="O14586" s="37" t="str">
        <f t="shared" si="1138"/>
        <v>Digital Payment</v>
      </c>
      <c r="P14586">
        <v>445.89</v>
      </c>
      <c r="Q14586" s="37" t="str">
        <f>IF(P14586&gt;500,"High","low")</f>
        <v>low</v>
      </c>
      <c r="R14586" s="37" t="str">
        <f t="shared" si="1139"/>
        <v>AVERAGE</v>
      </c>
      <c r="S14586" t="s">
        <v>620</v>
      </c>
    </row>
    <row r="14587" spans="1:19" x14ac:dyDescent="0.2">
      <c r="A14587" t="s">
        <v>15198</v>
      </c>
      <c r="B14587" t="s">
        <v>75</v>
      </c>
      <c r="C14587" t="s">
        <v>614</v>
      </c>
      <c r="D14587">
        <v>4753.32</v>
      </c>
      <c r="E14587" s="37" t="str">
        <f t="shared" si="1135"/>
        <v xml:space="preserve"> </v>
      </c>
      <c r="F14587">
        <v>0.05</v>
      </c>
      <c r="G14587" s="37" t="str">
        <f t="shared" si="1136"/>
        <v>Normal Discount</v>
      </c>
      <c r="H14587" s="37" t="str">
        <f t="shared" si="1137"/>
        <v>Low</v>
      </c>
      <c r="I14587">
        <v>1</v>
      </c>
      <c r="J14587" t="str" cm="1">
        <f t="array" ref="J14587">_xlfn.IFS(I14587&lt;=3,"small",I14587&lt;=6,"Medium",I14587&lt;=9,"Large")</f>
        <v>small</v>
      </c>
      <c r="K14587" s="36">
        <v>45464</v>
      </c>
      <c r="L14587" s="36">
        <v>45470</v>
      </c>
      <c r="M14587" t="s">
        <v>603</v>
      </c>
      <c r="N14587" t="s">
        <v>604</v>
      </c>
      <c r="O14587" s="37" t="str">
        <f t="shared" si="1138"/>
        <v>Digital Payment</v>
      </c>
      <c r="P14587">
        <v>739.1</v>
      </c>
      <c r="Q14587" s="37" t="str">
        <f>IF(P14587&gt;500,"High","low")</f>
        <v>High</v>
      </c>
      <c r="R14587" s="37" t="str">
        <f t="shared" si="1139"/>
        <v>Good</v>
      </c>
      <c r="S14587" t="s">
        <v>609</v>
      </c>
    </row>
    <row r="14588" spans="1:19" x14ac:dyDescent="0.2">
      <c r="A14588" t="s">
        <v>15199</v>
      </c>
      <c r="B14588" t="s">
        <v>75</v>
      </c>
      <c r="C14588" t="s">
        <v>607</v>
      </c>
      <c r="D14588">
        <v>2149.98</v>
      </c>
      <c r="E14588" s="37" t="str">
        <f t="shared" si="1135"/>
        <v xml:space="preserve"> </v>
      </c>
      <c r="F14588">
        <v>0.27</v>
      </c>
      <c r="G14588" s="37" t="str">
        <f t="shared" si="1136"/>
        <v>Normal Discount</v>
      </c>
      <c r="H14588" s="37" t="str">
        <f t="shared" si="1137"/>
        <v>Medium</v>
      </c>
      <c r="I14588">
        <v>9</v>
      </c>
      <c r="J14588" t="str" cm="1">
        <f t="array" ref="J14588">_xlfn.IFS(I14588&lt;=3,"small",I14588&lt;=6,"Medium",I14588&lt;=9,"Large")</f>
        <v>Large</v>
      </c>
      <c r="K14588" s="36">
        <v>45633</v>
      </c>
      <c r="L14588" s="36">
        <v>45635</v>
      </c>
      <c r="M14588" t="s">
        <v>598</v>
      </c>
      <c r="N14588" t="s">
        <v>608</v>
      </c>
      <c r="O14588" s="37" t="str">
        <f t="shared" si="1138"/>
        <v>Cash Payment</v>
      </c>
      <c r="P14588">
        <v>332.62</v>
      </c>
      <c r="Q14588" s="37" t="str">
        <f>IF(P14588&gt;500,"High","low")</f>
        <v>low</v>
      </c>
      <c r="R14588" s="37" t="str">
        <f t="shared" si="1139"/>
        <v>AVERAGE</v>
      </c>
      <c r="S14588" t="s">
        <v>620</v>
      </c>
    </row>
    <row r="14589" spans="1:19" x14ac:dyDescent="0.2">
      <c r="A14589" t="s">
        <v>15200</v>
      </c>
      <c r="B14589" t="s">
        <v>75</v>
      </c>
      <c r="C14589" t="s">
        <v>617</v>
      </c>
      <c r="D14589">
        <v>2776.47</v>
      </c>
      <c r="E14589" s="37" t="str">
        <f t="shared" si="1135"/>
        <v xml:space="preserve"> </v>
      </c>
      <c r="F14589">
        <v>0.08</v>
      </c>
      <c r="G14589" s="37" t="str">
        <f t="shared" si="1136"/>
        <v>Normal Discount</v>
      </c>
      <c r="H14589" s="37" t="str">
        <f t="shared" si="1137"/>
        <v>Low</v>
      </c>
      <c r="I14589">
        <v>3</v>
      </c>
      <c r="J14589" t="str" cm="1">
        <f t="array" ref="J14589">_xlfn.IFS(I14589&lt;=3,"small",I14589&lt;=6,"Medium",I14589&lt;=9,"Large")</f>
        <v>small</v>
      </c>
      <c r="K14589" s="36">
        <v>45086</v>
      </c>
      <c r="L14589" s="36">
        <v>45087</v>
      </c>
      <c r="M14589" t="s">
        <v>598</v>
      </c>
      <c r="N14589" t="s">
        <v>599</v>
      </c>
      <c r="O14589" s="37" t="str">
        <f t="shared" si="1138"/>
        <v>Digital Payment</v>
      </c>
      <c r="P14589">
        <v>198.49</v>
      </c>
      <c r="Q14589" s="37" t="str">
        <f>IF(P14589&gt;500,"High","low")</f>
        <v>low</v>
      </c>
      <c r="R14589" s="37" t="str">
        <f t="shared" si="1139"/>
        <v>AVERAGE</v>
      </c>
      <c r="S14589" t="s">
        <v>615</v>
      </c>
    </row>
    <row r="14590" spans="1:19" x14ac:dyDescent="0.2">
      <c r="A14590" t="s">
        <v>15201</v>
      </c>
      <c r="B14590" t="s">
        <v>67</v>
      </c>
      <c r="C14590" t="s">
        <v>614</v>
      </c>
      <c r="D14590">
        <v>2926.79</v>
      </c>
      <c r="E14590" s="37" t="str">
        <f t="shared" si="1135"/>
        <v xml:space="preserve"> </v>
      </c>
      <c r="F14590">
        <v>0.33</v>
      </c>
      <c r="G14590" s="37" t="str">
        <f t="shared" si="1136"/>
        <v>Heavy Discount</v>
      </c>
      <c r="H14590" s="37" t="str">
        <f t="shared" si="1137"/>
        <v>Medium</v>
      </c>
      <c r="I14590">
        <v>1</v>
      </c>
      <c r="J14590" t="str" cm="1">
        <f t="array" ref="J14590">_xlfn.IFS(I14590&lt;=3,"small",I14590&lt;=6,"Medium",I14590&lt;=9,"Large")</f>
        <v>small</v>
      </c>
      <c r="K14590" s="36">
        <v>44969</v>
      </c>
      <c r="L14590" s="36">
        <v>44973</v>
      </c>
      <c r="M14590" t="s">
        <v>612</v>
      </c>
      <c r="N14590" t="s">
        <v>608</v>
      </c>
      <c r="O14590" s="37" t="str">
        <f t="shared" si="1138"/>
        <v>Cash Payment</v>
      </c>
      <c r="P14590">
        <v>734.74</v>
      </c>
      <c r="Q14590" s="37" t="str">
        <f>IF(P14590&gt;500,"High","low")</f>
        <v>High</v>
      </c>
      <c r="R14590" s="37" t="str">
        <f t="shared" si="1139"/>
        <v>Good</v>
      </c>
      <c r="S14590" t="s">
        <v>609</v>
      </c>
    </row>
    <row r="14591" spans="1:19" x14ac:dyDescent="0.2">
      <c r="A14591" t="s">
        <v>15202</v>
      </c>
      <c r="B14591" t="s">
        <v>83</v>
      </c>
      <c r="C14591" t="s">
        <v>607</v>
      </c>
      <c r="D14591">
        <v>3290.33</v>
      </c>
      <c r="E14591" s="37" t="str">
        <f t="shared" si="1135"/>
        <v xml:space="preserve"> </v>
      </c>
      <c r="F14591">
        <v>0.3</v>
      </c>
      <c r="G14591" s="37" t="str">
        <f t="shared" si="1136"/>
        <v>Normal Discount</v>
      </c>
      <c r="H14591" s="37" t="str">
        <f t="shared" si="1137"/>
        <v>Medium</v>
      </c>
      <c r="I14591">
        <v>5</v>
      </c>
      <c r="J14591" t="str" cm="1">
        <f t="array" ref="J14591">_xlfn.IFS(I14591&lt;=3,"small",I14591&lt;=6,"Medium",I14591&lt;=9,"Large")</f>
        <v>Medium</v>
      </c>
      <c r="K14591" s="36">
        <v>45038</v>
      </c>
      <c r="L14591" s="36">
        <v>45045</v>
      </c>
      <c r="M14591" t="s">
        <v>598</v>
      </c>
      <c r="N14591" t="s">
        <v>599</v>
      </c>
      <c r="O14591" s="37" t="str">
        <f t="shared" si="1138"/>
        <v>Digital Payment</v>
      </c>
      <c r="P14591">
        <v>661.08</v>
      </c>
      <c r="Q14591" s="37" t="str">
        <f>IF(P14591&gt;500,"High","low")</f>
        <v>High</v>
      </c>
      <c r="R14591" s="37" t="str">
        <f t="shared" si="1139"/>
        <v>Good</v>
      </c>
      <c r="S14591" t="s">
        <v>600</v>
      </c>
    </row>
    <row r="14592" spans="1:19" x14ac:dyDescent="0.2">
      <c r="A14592" t="s">
        <v>15203</v>
      </c>
      <c r="B14592" t="s">
        <v>83</v>
      </c>
      <c r="C14592" t="s">
        <v>607</v>
      </c>
      <c r="D14592">
        <v>112.04</v>
      </c>
      <c r="E14592" s="37" t="str">
        <f t="shared" si="1135"/>
        <v xml:space="preserve"> </v>
      </c>
      <c r="F14592">
        <v>0.15</v>
      </c>
      <c r="G14592" s="37" t="str">
        <f t="shared" si="1136"/>
        <v>Normal Discount</v>
      </c>
      <c r="H14592" s="37" t="str">
        <f t="shared" si="1137"/>
        <v>Low</v>
      </c>
      <c r="I14592">
        <v>8</v>
      </c>
      <c r="J14592" t="str" cm="1">
        <f t="array" ref="J14592">_xlfn.IFS(I14592&lt;=3,"small",I14592&lt;=6,"Medium",I14592&lt;=9,"Large")</f>
        <v>Large</v>
      </c>
      <c r="K14592" s="36">
        <v>45384</v>
      </c>
      <c r="L14592" s="36">
        <v>45385</v>
      </c>
      <c r="M14592" t="s">
        <v>603</v>
      </c>
      <c r="N14592" t="s">
        <v>608</v>
      </c>
      <c r="O14592" s="37" t="str">
        <f t="shared" si="1138"/>
        <v>Cash Payment</v>
      </c>
      <c r="P14592">
        <v>20.59</v>
      </c>
      <c r="Q14592" s="37" t="str">
        <f>IF(P14592&gt;500,"High","low")</f>
        <v>low</v>
      </c>
      <c r="R14592" s="37" t="str">
        <f t="shared" si="1139"/>
        <v>AVERAGE</v>
      </c>
      <c r="S14592" t="s">
        <v>620</v>
      </c>
    </row>
    <row r="14593" spans="1:19" x14ac:dyDescent="0.2">
      <c r="A14593" t="s">
        <v>15204</v>
      </c>
      <c r="B14593" t="s">
        <v>90</v>
      </c>
      <c r="C14593" t="s">
        <v>602</v>
      </c>
      <c r="D14593">
        <v>4229.18</v>
      </c>
      <c r="E14593" s="37" t="str">
        <f t="shared" si="1135"/>
        <v>Excellent Order</v>
      </c>
      <c r="F14593">
        <v>0.12</v>
      </c>
      <c r="G14593" s="37" t="str">
        <f t="shared" si="1136"/>
        <v>Normal Discount</v>
      </c>
      <c r="H14593" s="37" t="str">
        <f t="shared" si="1137"/>
        <v>Low</v>
      </c>
      <c r="I14593">
        <v>7</v>
      </c>
      <c r="J14593" t="str" cm="1">
        <f t="array" ref="J14593">_xlfn.IFS(I14593&lt;=3,"small",I14593&lt;=6,"Medium",I14593&lt;=9,"Large")</f>
        <v>Large</v>
      </c>
      <c r="K14593" s="36">
        <v>45384</v>
      </c>
      <c r="L14593" s="36">
        <v>45385</v>
      </c>
      <c r="M14593" t="s">
        <v>598</v>
      </c>
      <c r="N14593" t="s">
        <v>608</v>
      </c>
      <c r="O14593" s="37" t="str">
        <f t="shared" si="1138"/>
        <v>Cash Payment</v>
      </c>
      <c r="P14593">
        <v>1123.83</v>
      </c>
      <c r="Q14593" s="37" t="str">
        <f>IF(P14593&gt;500,"High","low")</f>
        <v>High</v>
      </c>
      <c r="R14593" s="37" t="str">
        <f t="shared" si="1139"/>
        <v>Excellent</v>
      </c>
      <c r="S14593" t="s">
        <v>609</v>
      </c>
    </row>
    <row r="14594" spans="1:19" x14ac:dyDescent="0.2">
      <c r="A14594" t="s">
        <v>15205</v>
      </c>
      <c r="B14594" t="s">
        <v>75</v>
      </c>
      <c r="C14594" t="s">
        <v>597</v>
      </c>
      <c r="D14594">
        <v>1413.89</v>
      </c>
      <c r="E14594" s="37" t="str">
        <f t="shared" si="1135"/>
        <v xml:space="preserve"> </v>
      </c>
      <c r="F14594">
        <v>0.24</v>
      </c>
      <c r="G14594" s="37" t="str">
        <f t="shared" si="1136"/>
        <v>Normal Discount</v>
      </c>
      <c r="H14594" s="37" t="str">
        <f t="shared" si="1137"/>
        <v>Medium</v>
      </c>
      <c r="I14594">
        <v>5</v>
      </c>
      <c r="J14594" t="str" cm="1">
        <f t="array" ref="J14594">_xlfn.IFS(I14594&lt;=3,"small",I14594&lt;=6,"Medium",I14594&lt;=9,"Large")</f>
        <v>Medium</v>
      </c>
      <c r="K14594" s="36">
        <v>45167</v>
      </c>
      <c r="L14594" s="36">
        <v>45171</v>
      </c>
      <c r="M14594" t="s">
        <v>598</v>
      </c>
      <c r="N14594" t="s">
        <v>608</v>
      </c>
      <c r="O14594" s="37" t="str">
        <f t="shared" si="1138"/>
        <v>Cash Payment</v>
      </c>
      <c r="P14594">
        <v>392.46</v>
      </c>
      <c r="Q14594" s="37" t="str">
        <f>IF(P14594&gt;500,"High","low")</f>
        <v>low</v>
      </c>
      <c r="R14594" s="37" t="str">
        <f t="shared" si="1139"/>
        <v>AVERAGE</v>
      </c>
      <c r="S14594" t="s">
        <v>615</v>
      </c>
    </row>
    <row r="14595" spans="1:19" x14ac:dyDescent="0.2">
      <c r="A14595" t="s">
        <v>15206</v>
      </c>
      <c r="B14595" t="s">
        <v>90</v>
      </c>
      <c r="C14595" t="s">
        <v>617</v>
      </c>
      <c r="D14595">
        <v>2413.6</v>
      </c>
      <c r="E14595" s="37" t="str">
        <f t="shared" ref="E14595:E14658" si="1140">IF(AND(D14595&gt;4000,P14595&gt;800),"Excellent Order"," ")</f>
        <v xml:space="preserve"> </v>
      </c>
      <c r="F14595">
        <v>0.26</v>
      </c>
      <c r="G14595" s="37" t="str">
        <f t="shared" ref="G14595:G14658" si="1141">IF(F14595&gt;30%,"Heavy Discount","Normal Discount")</f>
        <v>Normal Discount</v>
      </c>
      <c r="H14595" s="37" t="str">
        <f t="shared" ref="H14595:H14658" si="1142">IF(F14595&gt;0.4,"High",IF(F14595&gt;=0.2,"Medium","Low"))</f>
        <v>Medium</v>
      </c>
      <c r="I14595">
        <v>2</v>
      </c>
      <c r="J14595" t="str" cm="1">
        <f t="array" ref="J14595">_xlfn.IFS(I14595&lt;=3,"small",I14595&lt;=6,"Medium",I14595&lt;=9,"Large")</f>
        <v>small</v>
      </c>
      <c r="K14595" s="36">
        <v>45321</v>
      </c>
      <c r="L14595" s="36">
        <v>45327</v>
      </c>
      <c r="M14595" t="s">
        <v>598</v>
      </c>
      <c r="N14595" t="s">
        <v>599</v>
      </c>
      <c r="O14595" s="37" t="str">
        <f t="shared" ref="O14595:O14658" si="1143">IF(OR(N14595="Card",N14595="UPI"),"Digital Payment","Cash Payment")</f>
        <v>Digital Payment</v>
      </c>
      <c r="P14595">
        <v>198.32</v>
      </c>
      <c r="Q14595" s="37" t="str">
        <f>IF(P14595&gt;500,"High","low")</f>
        <v>low</v>
      </c>
      <c r="R14595" s="37" t="str">
        <f t="shared" ref="R14595:R14658" si="1144">IF(P14595&gt;1000,"Excellent",IF(P14595&gt;=500,"Good","AVERAGE"))</f>
        <v>AVERAGE</v>
      </c>
      <c r="S14595" t="s">
        <v>600</v>
      </c>
    </row>
    <row r="14596" spans="1:19" x14ac:dyDescent="0.2">
      <c r="A14596" t="s">
        <v>15207</v>
      </c>
      <c r="B14596" t="s">
        <v>67</v>
      </c>
      <c r="C14596" t="s">
        <v>607</v>
      </c>
      <c r="D14596">
        <v>4223.68</v>
      </c>
      <c r="E14596" s="37" t="str">
        <f t="shared" si="1140"/>
        <v>Excellent Order</v>
      </c>
      <c r="F14596">
        <v>0.4</v>
      </c>
      <c r="G14596" s="37" t="str">
        <f t="shared" si="1141"/>
        <v>Heavy Discount</v>
      </c>
      <c r="H14596" s="37" t="str">
        <f t="shared" si="1142"/>
        <v>Medium</v>
      </c>
      <c r="I14596">
        <v>2</v>
      </c>
      <c r="J14596" t="str" cm="1">
        <f t="array" ref="J14596">_xlfn.IFS(I14596&lt;=3,"small",I14596&lt;=6,"Medium",I14596&lt;=9,"Large")</f>
        <v>small</v>
      </c>
      <c r="K14596" s="36">
        <v>45044</v>
      </c>
      <c r="L14596" s="36">
        <v>45046</v>
      </c>
      <c r="M14596" t="s">
        <v>603</v>
      </c>
      <c r="N14596" t="s">
        <v>599</v>
      </c>
      <c r="O14596" s="37" t="str">
        <f t="shared" si="1143"/>
        <v>Digital Payment</v>
      </c>
      <c r="P14596">
        <v>937.23</v>
      </c>
      <c r="Q14596" s="37" t="str">
        <f>IF(P14596&gt;500,"High","low")</f>
        <v>High</v>
      </c>
      <c r="R14596" s="37" t="str">
        <f t="shared" si="1144"/>
        <v>Good</v>
      </c>
      <c r="S14596" t="s">
        <v>620</v>
      </c>
    </row>
    <row r="14597" spans="1:19" x14ac:dyDescent="0.2">
      <c r="A14597" t="s">
        <v>15208</v>
      </c>
      <c r="B14597" t="s">
        <v>90</v>
      </c>
      <c r="C14597" t="s">
        <v>617</v>
      </c>
      <c r="D14597">
        <v>4984.6000000000004</v>
      </c>
      <c r="E14597" s="37" t="str">
        <f t="shared" si="1140"/>
        <v xml:space="preserve"> </v>
      </c>
      <c r="F14597">
        <v>0.15</v>
      </c>
      <c r="G14597" s="37" t="str">
        <f t="shared" si="1141"/>
        <v>Normal Discount</v>
      </c>
      <c r="H14597" s="37" t="str">
        <f t="shared" si="1142"/>
        <v>Low</v>
      </c>
      <c r="I14597">
        <v>3</v>
      </c>
      <c r="J14597" t="str" cm="1">
        <f t="array" ref="J14597">_xlfn.IFS(I14597&lt;=3,"small",I14597&lt;=6,"Medium",I14597&lt;=9,"Large")</f>
        <v>small</v>
      </c>
      <c r="K14597" s="36">
        <v>45388</v>
      </c>
      <c r="L14597" s="36">
        <v>45393</v>
      </c>
      <c r="M14597" t="s">
        <v>603</v>
      </c>
      <c r="N14597" t="s">
        <v>608</v>
      </c>
      <c r="O14597" s="37" t="str">
        <f t="shared" si="1143"/>
        <v>Cash Payment</v>
      </c>
      <c r="P14597">
        <v>583.55999999999995</v>
      </c>
      <c r="Q14597" s="37" t="str">
        <f>IF(P14597&gt;500,"High","low")</f>
        <v>High</v>
      </c>
      <c r="R14597" s="37" t="str">
        <f t="shared" si="1144"/>
        <v>Good</v>
      </c>
      <c r="S14597" t="s">
        <v>628</v>
      </c>
    </row>
    <row r="14598" spans="1:19" x14ac:dyDescent="0.2">
      <c r="A14598" t="s">
        <v>15209</v>
      </c>
      <c r="B14598" t="s">
        <v>75</v>
      </c>
      <c r="C14598" t="s">
        <v>607</v>
      </c>
      <c r="D14598">
        <v>3994.93</v>
      </c>
      <c r="E14598" s="37" t="str">
        <f t="shared" si="1140"/>
        <v xml:space="preserve"> </v>
      </c>
      <c r="F14598">
        <v>0.2</v>
      </c>
      <c r="G14598" s="37" t="str">
        <f t="shared" si="1141"/>
        <v>Normal Discount</v>
      </c>
      <c r="H14598" s="37" t="str">
        <f t="shared" si="1142"/>
        <v>Medium</v>
      </c>
      <c r="I14598">
        <v>6</v>
      </c>
      <c r="J14598" t="str" cm="1">
        <f t="array" ref="J14598">_xlfn.IFS(I14598&lt;=3,"small",I14598&lt;=6,"Medium",I14598&lt;=9,"Large")</f>
        <v>Medium</v>
      </c>
      <c r="K14598" s="36">
        <v>45405</v>
      </c>
      <c r="L14598" s="36">
        <v>45410</v>
      </c>
      <c r="M14598" t="s">
        <v>612</v>
      </c>
      <c r="N14598" t="s">
        <v>604</v>
      </c>
      <c r="O14598" s="37" t="str">
        <f t="shared" si="1143"/>
        <v>Digital Payment</v>
      </c>
      <c r="P14598">
        <v>979.18</v>
      </c>
      <c r="Q14598" s="37" t="str">
        <f>IF(P14598&gt;500,"High","low")</f>
        <v>High</v>
      </c>
      <c r="R14598" s="37" t="str">
        <f t="shared" si="1144"/>
        <v>Good</v>
      </c>
      <c r="S14598" t="s">
        <v>628</v>
      </c>
    </row>
    <row r="14599" spans="1:19" x14ac:dyDescent="0.2">
      <c r="A14599" t="s">
        <v>15210</v>
      </c>
      <c r="B14599" t="s">
        <v>83</v>
      </c>
      <c r="C14599" t="s">
        <v>602</v>
      </c>
      <c r="D14599">
        <v>221.68</v>
      </c>
      <c r="E14599" s="37" t="str">
        <f t="shared" si="1140"/>
        <v xml:space="preserve"> </v>
      </c>
      <c r="F14599">
        <v>0.17</v>
      </c>
      <c r="G14599" s="37" t="str">
        <f t="shared" si="1141"/>
        <v>Normal Discount</v>
      </c>
      <c r="H14599" s="37" t="str">
        <f t="shared" si="1142"/>
        <v>Low</v>
      </c>
      <c r="I14599">
        <v>4</v>
      </c>
      <c r="J14599" t="str" cm="1">
        <f t="array" ref="J14599">_xlfn.IFS(I14599&lt;=3,"small",I14599&lt;=6,"Medium",I14599&lt;=9,"Large")</f>
        <v>Medium</v>
      </c>
      <c r="K14599" s="36">
        <v>45063</v>
      </c>
      <c r="L14599" s="36">
        <v>45066</v>
      </c>
      <c r="M14599" t="s">
        <v>598</v>
      </c>
      <c r="N14599" t="s">
        <v>599</v>
      </c>
      <c r="O14599" s="37" t="str">
        <f t="shared" si="1143"/>
        <v>Digital Payment</v>
      </c>
      <c r="P14599">
        <v>17.559999999999999</v>
      </c>
      <c r="Q14599" s="37" t="str">
        <f>IF(P14599&gt;500,"High","low")</f>
        <v>low</v>
      </c>
      <c r="R14599" s="37" t="str">
        <f t="shared" si="1144"/>
        <v>AVERAGE</v>
      </c>
      <c r="S14599" t="s">
        <v>628</v>
      </c>
    </row>
    <row r="14600" spans="1:19" x14ac:dyDescent="0.2">
      <c r="A14600" t="s">
        <v>15211</v>
      </c>
      <c r="B14600" t="s">
        <v>83</v>
      </c>
      <c r="C14600" t="s">
        <v>597</v>
      </c>
      <c r="D14600">
        <v>1906.9</v>
      </c>
      <c r="E14600" s="37" t="str">
        <f t="shared" si="1140"/>
        <v xml:space="preserve"> </v>
      </c>
      <c r="F14600">
        <v>0.2</v>
      </c>
      <c r="G14600" s="37" t="str">
        <f t="shared" si="1141"/>
        <v>Normal Discount</v>
      </c>
      <c r="H14600" s="37" t="str">
        <f t="shared" si="1142"/>
        <v>Medium</v>
      </c>
      <c r="I14600">
        <v>9</v>
      </c>
      <c r="J14600" t="str" cm="1">
        <f t="array" ref="J14600">_xlfn.IFS(I14600&lt;=3,"small",I14600&lt;=6,"Medium",I14600&lt;=9,"Large")</f>
        <v>Large</v>
      </c>
      <c r="K14600" s="36">
        <v>45486</v>
      </c>
      <c r="L14600" s="36">
        <v>45487</v>
      </c>
      <c r="M14600" t="s">
        <v>603</v>
      </c>
      <c r="N14600" t="s">
        <v>608</v>
      </c>
      <c r="O14600" s="37" t="str">
        <f t="shared" si="1143"/>
        <v>Cash Payment</v>
      </c>
      <c r="P14600">
        <v>184.97</v>
      </c>
      <c r="Q14600" s="37" t="str">
        <f>IF(P14600&gt;500,"High","low")</f>
        <v>low</v>
      </c>
      <c r="R14600" s="37" t="str">
        <f t="shared" si="1144"/>
        <v>AVERAGE</v>
      </c>
      <c r="S14600" t="s">
        <v>600</v>
      </c>
    </row>
    <row r="14601" spans="1:19" x14ac:dyDescent="0.2">
      <c r="A14601" t="s">
        <v>15212</v>
      </c>
      <c r="B14601" t="s">
        <v>75</v>
      </c>
      <c r="C14601" t="s">
        <v>614</v>
      </c>
      <c r="D14601">
        <v>1311.33</v>
      </c>
      <c r="E14601" s="37" t="str">
        <f t="shared" si="1140"/>
        <v xml:space="preserve"> </v>
      </c>
      <c r="F14601">
        <v>0.28000000000000003</v>
      </c>
      <c r="G14601" s="37" t="str">
        <f t="shared" si="1141"/>
        <v>Normal Discount</v>
      </c>
      <c r="H14601" s="37" t="str">
        <f t="shared" si="1142"/>
        <v>Medium</v>
      </c>
      <c r="I14601">
        <v>3</v>
      </c>
      <c r="J14601" t="str" cm="1">
        <f t="array" ref="J14601">_xlfn.IFS(I14601&lt;=3,"small",I14601&lt;=6,"Medium",I14601&lt;=9,"Large")</f>
        <v>small</v>
      </c>
      <c r="K14601" s="36">
        <v>45167</v>
      </c>
      <c r="L14601" s="36">
        <v>45171</v>
      </c>
      <c r="M14601" t="s">
        <v>612</v>
      </c>
      <c r="N14601" t="s">
        <v>599</v>
      </c>
      <c r="O14601" s="37" t="str">
        <f t="shared" si="1143"/>
        <v>Digital Payment</v>
      </c>
      <c r="P14601">
        <v>135.38999999999999</v>
      </c>
      <c r="Q14601" s="37" t="str">
        <f>IF(P14601&gt;500,"High","low")</f>
        <v>low</v>
      </c>
      <c r="R14601" s="37" t="str">
        <f t="shared" si="1144"/>
        <v>AVERAGE</v>
      </c>
      <c r="S14601" t="s">
        <v>605</v>
      </c>
    </row>
    <row r="14602" spans="1:19" x14ac:dyDescent="0.2">
      <c r="A14602" t="s">
        <v>15213</v>
      </c>
      <c r="B14602" t="s">
        <v>67</v>
      </c>
      <c r="C14602" t="s">
        <v>614</v>
      </c>
      <c r="D14602">
        <v>4824.25</v>
      </c>
      <c r="E14602" s="37" t="str">
        <f t="shared" si="1140"/>
        <v>Excellent Order</v>
      </c>
      <c r="F14602">
        <v>0.28000000000000003</v>
      </c>
      <c r="G14602" s="37" t="str">
        <f t="shared" si="1141"/>
        <v>Normal Discount</v>
      </c>
      <c r="H14602" s="37" t="str">
        <f t="shared" si="1142"/>
        <v>Medium</v>
      </c>
      <c r="I14602">
        <v>6</v>
      </c>
      <c r="J14602" t="str" cm="1">
        <f t="array" ref="J14602">_xlfn.IFS(I14602&lt;=3,"small",I14602&lt;=6,"Medium",I14602&lt;=9,"Large")</f>
        <v>Medium</v>
      </c>
      <c r="K14602" s="36">
        <v>45492</v>
      </c>
      <c r="L14602" s="36">
        <v>45497</v>
      </c>
      <c r="M14602" t="s">
        <v>603</v>
      </c>
      <c r="N14602" t="s">
        <v>604</v>
      </c>
      <c r="O14602" s="37" t="str">
        <f t="shared" si="1143"/>
        <v>Digital Payment</v>
      </c>
      <c r="P14602">
        <v>992.61</v>
      </c>
      <c r="Q14602" s="37" t="str">
        <f>IF(P14602&gt;500,"High","low")</f>
        <v>High</v>
      </c>
      <c r="R14602" s="37" t="str">
        <f t="shared" si="1144"/>
        <v>Good</v>
      </c>
      <c r="S14602" t="s">
        <v>609</v>
      </c>
    </row>
    <row r="14603" spans="1:19" x14ac:dyDescent="0.2">
      <c r="A14603" t="s">
        <v>15214</v>
      </c>
      <c r="B14603" t="s">
        <v>75</v>
      </c>
      <c r="C14603" t="s">
        <v>602</v>
      </c>
      <c r="D14603">
        <v>1394.72</v>
      </c>
      <c r="E14603" s="37" t="str">
        <f t="shared" si="1140"/>
        <v xml:space="preserve"> </v>
      </c>
      <c r="F14603">
        <v>0.18</v>
      </c>
      <c r="G14603" s="37" t="str">
        <f t="shared" si="1141"/>
        <v>Normal Discount</v>
      </c>
      <c r="H14603" s="37" t="str">
        <f t="shared" si="1142"/>
        <v>Low</v>
      </c>
      <c r="I14603">
        <v>4</v>
      </c>
      <c r="J14603" t="str" cm="1">
        <f t="array" ref="J14603">_xlfn.IFS(I14603&lt;=3,"small",I14603&lt;=6,"Medium",I14603&lt;=9,"Large")</f>
        <v>Medium</v>
      </c>
      <c r="K14603" s="36">
        <v>45053</v>
      </c>
      <c r="L14603" s="36">
        <v>45057</v>
      </c>
      <c r="M14603" t="s">
        <v>612</v>
      </c>
      <c r="N14603" t="s">
        <v>599</v>
      </c>
      <c r="O14603" s="37" t="str">
        <f t="shared" si="1143"/>
        <v>Digital Payment</v>
      </c>
      <c r="P14603">
        <v>302.64</v>
      </c>
      <c r="Q14603" s="37" t="str">
        <f>IF(P14603&gt;500,"High","low")</f>
        <v>low</v>
      </c>
      <c r="R14603" s="37" t="str">
        <f t="shared" si="1144"/>
        <v>AVERAGE</v>
      </c>
      <c r="S14603" t="s">
        <v>609</v>
      </c>
    </row>
    <row r="14604" spans="1:19" x14ac:dyDescent="0.2">
      <c r="A14604" t="s">
        <v>15215</v>
      </c>
      <c r="B14604" t="s">
        <v>67</v>
      </c>
      <c r="C14604" t="s">
        <v>607</v>
      </c>
      <c r="D14604">
        <v>4722.42</v>
      </c>
      <c r="E14604" s="37" t="str">
        <f t="shared" si="1140"/>
        <v>Excellent Order</v>
      </c>
      <c r="F14604">
        <v>0.3</v>
      </c>
      <c r="G14604" s="37" t="str">
        <f t="shared" si="1141"/>
        <v>Normal Discount</v>
      </c>
      <c r="H14604" s="37" t="str">
        <f t="shared" si="1142"/>
        <v>Medium</v>
      </c>
      <c r="I14604">
        <v>1</v>
      </c>
      <c r="J14604" t="str" cm="1">
        <f t="array" ref="J14604">_xlfn.IFS(I14604&lt;=3,"small",I14604&lt;=6,"Medium",I14604&lt;=9,"Large")</f>
        <v>small</v>
      </c>
      <c r="K14604" s="36">
        <v>45559</v>
      </c>
      <c r="L14604" s="36">
        <v>45564</v>
      </c>
      <c r="M14604" t="s">
        <v>598</v>
      </c>
      <c r="N14604" t="s">
        <v>608</v>
      </c>
      <c r="O14604" s="37" t="str">
        <f t="shared" si="1143"/>
        <v>Cash Payment</v>
      </c>
      <c r="P14604">
        <v>1320.6</v>
      </c>
      <c r="Q14604" s="37" t="str">
        <f>IF(P14604&gt;500,"High","low")</f>
        <v>High</v>
      </c>
      <c r="R14604" s="37" t="str">
        <f t="shared" si="1144"/>
        <v>Excellent</v>
      </c>
      <c r="S14604" t="s">
        <v>609</v>
      </c>
    </row>
    <row r="14605" spans="1:19" x14ac:dyDescent="0.2">
      <c r="A14605" t="s">
        <v>15216</v>
      </c>
      <c r="B14605" t="s">
        <v>83</v>
      </c>
      <c r="C14605" t="s">
        <v>602</v>
      </c>
      <c r="D14605">
        <v>4693.84</v>
      </c>
      <c r="E14605" s="37" t="str">
        <f t="shared" si="1140"/>
        <v xml:space="preserve"> </v>
      </c>
      <c r="F14605">
        <v>0.31</v>
      </c>
      <c r="G14605" s="37" t="str">
        <f t="shared" si="1141"/>
        <v>Heavy Discount</v>
      </c>
      <c r="H14605" s="37" t="str">
        <f t="shared" si="1142"/>
        <v>Medium</v>
      </c>
      <c r="I14605">
        <v>1</v>
      </c>
      <c r="J14605" t="str" cm="1">
        <f t="array" ref="J14605">_xlfn.IFS(I14605&lt;=3,"small",I14605&lt;=6,"Medium",I14605&lt;=9,"Large")</f>
        <v>small</v>
      </c>
      <c r="K14605" s="36">
        <v>45409</v>
      </c>
      <c r="L14605" s="36">
        <v>45416</v>
      </c>
      <c r="M14605" t="s">
        <v>612</v>
      </c>
      <c r="N14605" t="s">
        <v>604</v>
      </c>
      <c r="O14605" s="37" t="str">
        <f t="shared" si="1143"/>
        <v>Digital Payment</v>
      </c>
      <c r="P14605">
        <v>321.68</v>
      </c>
      <c r="Q14605" s="37" t="str">
        <f>IF(P14605&gt;500,"High","low")</f>
        <v>low</v>
      </c>
      <c r="R14605" s="37" t="str">
        <f t="shared" si="1144"/>
        <v>AVERAGE</v>
      </c>
      <c r="S14605" t="s">
        <v>615</v>
      </c>
    </row>
    <row r="14606" spans="1:19" x14ac:dyDescent="0.2">
      <c r="A14606" t="s">
        <v>15217</v>
      </c>
      <c r="B14606" t="s">
        <v>67</v>
      </c>
      <c r="C14606" t="s">
        <v>597</v>
      </c>
      <c r="D14606">
        <v>4213.1099999999997</v>
      </c>
      <c r="E14606" s="37" t="str">
        <f t="shared" si="1140"/>
        <v>Excellent Order</v>
      </c>
      <c r="F14606">
        <v>0.26</v>
      </c>
      <c r="G14606" s="37" t="str">
        <f t="shared" si="1141"/>
        <v>Normal Discount</v>
      </c>
      <c r="H14606" s="37" t="str">
        <f t="shared" si="1142"/>
        <v>Medium</v>
      </c>
      <c r="I14606">
        <v>8</v>
      </c>
      <c r="J14606" t="str" cm="1">
        <f t="array" ref="J14606">_xlfn.IFS(I14606&lt;=3,"small",I14606&lt;=6,"Medium",I14606&lt;=9,"Large")</f>
        <v>Large</v>
      </c>
      <c r="K14606" s="36">
        <v>45280</v>
      </c>
      <c r="L14606" s="36">
        <v>45284</v>
      </c>
      <c r="M14606" t="s">
        <v>598</v>
      </c>
      <c r="N14606" t="s">
        <v>604</v>
      </c>
      <c r="O14606" s="37" t="str">
        <f t="shared" si="1143"/>
        <v>Digital Payment</v>
      </c>
      <c r="P14606">
        <v>931.34</v>
      </c>
      <c r="Q14606" s="37" t="str">
        <f>IF(P14606&gt;500,"High","low")</f>
        <v>High</v>
      </c>
      <c r="R14606" s="37" t="str">
        <f t="shared" si="1144"/>
        <v>Good</v>
      </c>
      <c r="S14606" t="s">
        <v>620</v>
      </c>
    </row>
    <row r="14607" spans="1:19" x14ac:dyDescent="0.2">
      <c r="A14607" t="s">
        <v>15218</v>
      </c>
      <c r="B14607" t="s">
        <v>75</v>
      </c>
      <c r="C14607" t="s">
        <v>614</v>
      </c>
      <c r="D14607">
        <v>580.54999999999995</v>
      </c>
      <c r="E14607" s="37" t="str">
        <f t="shared" si="1140"/>
        <v xml:space="preserve"> </v>
      </c>
      <c r="F14607">
        <v>0.23</v>
      </c>
      <c r="G14607" s="37" t="str">
        <f t="shared" si="1141"/>
        <v>Normal Discount</v>
      </c>
      <c r="H14607" s="37" t="str">
        <f t="shared" si="1142"/>
        <v>Medium</v>
      </c>
      <c r="I14607">
        <v>3</v>
      </c>
      <c r="J14607" t="str" cm="1">
        <f t="array" ref="J14607">_xlfn.IFS(I14607&lt;=3,"small",I14607&lt;=6,"Medium",I14607&lt;=9,"Large")</f>
        <v>small</v>
      </c>
      <c r="K14607" s="36">
        <v>45161</v>
      </c>
      <c r="L14607" s="36">
        <v>45162</v>
      </c>
      <c r="M14607" t="s">
        <v>598</v>
      </c>
      <c r="N14607" t="s">
        <v>599</v>
      </c>
      <c r="O14607" s="37" t="str">
        <f t="shared" si="1143"/>
        <v>Digital Payment</v>
      </c>
      <c r="P14607">
        <v>30.84</v>
      </c>
      <c r="Q14607" s="37" t="str">
        <f>IF(P14607&gt;500,"High","low")</f>
        <v>low</v>
      </c>
      <c r="R14607" s="37" t="str">
        <f t="shared" si="1144"/>
        <v>AVERAGE</v>
      </c>
      <c r="S14607" t="s">
        <v>615</v>
      </c>
    </row>
    <row r="14608" spans="1:19" x14ac:dyDescent="0.2">
      <c r="A14608" t="s">
        <v>15219</v>
      </c>
      <c r="B14608" t="s">
        <v>75</v>
      </c>
      <c r="C14608" t="s">
        <v>617</v>
      </c>
      <c r="D14608">
        <v>109.78</v>
      </c>
      <c r="E14608" s="37" t="str">
        <f t="shared" si="1140"/>
        <v xml:space="preserve"> </v>
      </c>
      <c r="F14608">
        <v>0.04</v>
      </c>
      <c r="G14608" s="37" t="str">
        <f t="shared" si="1141"/>
        <v>Normal Discount</v>
      </c>
      <c r="H14608" s="37" t="str">
        <f t="shared" si="1142"/>
        <v>Low</v>
      </c>
      <c r="I14608">
        <v>2</v>
      </c>
      <c r="J14608" t="str" cm="1">
        <f t="array" ref="J14608">_xlfn.IFS(I14608&lt;=3,"small",I14608&lt;=6,"Medium",I14608&lt;=9,"Large")</f>
        <v>small</v>
      </c>
      <c r="K14608" s="36">
        <v>45494</v>
      </c>
      <c r="L14608" s="36">
        <v>45497</v>
      </c>
      <c r="M14608" t="s">
        <v>598</v>
      </c>
      <c r="N14608" t="s">
        <v>608</v>
      </c>
      <c r="O14608" s="37" t="str">
        <f t="shared" si="1143"/>
        <v>Cash Payment</v>
      </c>
      <c r="P14608">
        <v>19.47</v>
      </c>
      <c r="Q14608" s="37" t="str">
        <f>IF(P14608&gt;500,"High","low")</f>
        <v>low</v>
      </c>
      <c r="R14608" s="37" t="str">
        <f t="shared" si="1144"/>
        <v>AVERAGE</v>
      </c>
      <c r="S14608" t="s">
        <v>600</v>
      </c>
    </row>
    <row r="14609" spans="1:19" x14ac:dyDescent="0.2">
      <c r="A14609" t="s">
        <v>15220</v>
      </c>
      <c r="B14609" t="s">
        <v>75</v>
      </c>
      <c r="C14609" t="s">
        <v>614</v>
      </c>
      <c r="D14609">
        <v>3990.03</v>
      </c>
      <c r="E14609" s="37" t="str">
        <f t="shared" si="1140"/>
        <v xml:space="preserve"> </v>
      </c>
      <c r="F14609">
        <v>0.27</v>
      </c>
      <c r="G14609" s="37" t="str">
        <f t="shared" si="1141"/>
        <v>Normal Discount</v>
      </c>
      <c r="H14609" s="37" t="str">
        <f t="shared" si="1142"/>
        <v>Medium</v>
      </c>
      <c r="I14609">
        <v>1</v>
      </c>
      <c r="J14609" t="str" cm="1">
        <f t="array" ref="J14609">_xlfn.IFS(I14609&lt;=3,"small",I14609&lt;=6,"Medium",I14609&lt;=9,"Large")</f>
        <v>small</v>
      </c>
      <c r="K14609" s="36">
        <v>45264</v>
      </c>
      <c r="L14609" s="36">
        <v>45267</v>
      </c>
      <c r="M14609" t="s">
        <v>598</v>
      </c>
      <c r="N14609" t="s">
        <v>604</v>
      </c>
      <c r="O14609" s="37" t="str">
        <f t="shared" si="1143"/>
        <v>Digital Payment</v>
      </c>
      <c r="P14609">
        <v>658.84</v>
      </c>
      <c r="Q14609" s="37" t="str">
        <f>IF(P14609&gt;500,"High","low")</f>
        <v>High</v>
      </c>
      <c r="R14609" s="37" t="str">
        <f t="shared" si="1144"/>
        <v>Good</v>
      </c>
      <c r="S14609" t="s">
        <v>615</v>
      </c>
    </row>
    <row r="14610" spans="1:19" x14ac:dyDescent="0.2">
      <c r="A14610" t="s">
        <v>15221</v>
      </c>
      <c r="B14610" t="s">
        <v>67</v>
      </c>
      <c r="C14610" t="s">
        <v>597</v>
      </c>
      <c r="D14610">
        <v>4232.17</v>
      </c>
      <c r="E14610" s="37" t="str">
        <f t="shared" si="1140"/>
        <v xml:space="preserve"> </v>
      </c>
      <c r="F14610">
        <v>0.36</v>
      </c>
      <c r="G14610" s="37" t="str">
        <f t="shared" si="1141"/>
        <v>Heavy Discount</v>
      </c>
      <c r="H14610" s="37" t="str">
        <f t="shared" si="1142"/>
        <v>Medium</v>
      </c>
      <c r="I14610">
        <v>8</v>
      </c>
      <c r="J14610" t="str" cm="1">
        <f t="array" ref="J14610">_xlfn.IFS(I14610&lt;=3,"small",I14610&lt;=6,"Medium",I14610&lt;=9,"Large")</f>
        <v>Large</v>
      </c>
      <c r="K14610" s="36">
        <v>45525</v>
      </c>
      <c r="L14610" s="36">
        <v>45526</v>
      </c>
      <c r="M14610" t="s">
        <v>612</v>
      </c>
      <c r="N14610" t="s">
        <v>604</v>
      </c>
      <c r="O14610" s="37" t="str">
        <f t="shared" si="1143"/>
        <v>Digital Payment</v>
      </c>
      <c r="P14610">
        <v>259.26</v>
      </c>
      <c r="Q14610" s="37" t="str">
        <f>IF(P14610&gt;500,"High","low")</f>
        <v>low</v>
      </c>
      <c r="R14610" s="37" t="str">
        <f t="shared" si="1144"/>
        <v>AVERAGE</v>
      </c>
      <c r="S14610" t="s">
        <v>620</v>
      </c>
    </row>
    <row r="14611" spans="1:19" x14ac:dyDescent="0.2">
      <c r="A14611" t="s">
        <v>15222</v>
      </c>
      <c r="B14611" t="s">
        <v>67</v>
      </c>
      <c r="C14611" t="s">
        <v>607</v>
      </c>
      <c r="D14611">
        <v>4814.6899999999996</v>
      </c>
      <c r="E14611" s="37" t="str">
        <f t="shared" si="1140"/>
        <v xml:space="preserve"> </v>
      </c>
      <c r="F14611">
        <v>0.11</v>
      </c>
      <c r="G14611" s="37" t="str">
        <f t="shared" si="1141"/>
        <v>Normal Discount</v>
      </c>
      <c r="H14611" s="37" t="str">
        <f t="shared" si="1142"/>
        <v>Low</v>
      </c>
      <c r="I14611">
        <v>9</v>
      </c>
      <c r="J14611" t="str" cm="1">
        <f t="array" ref="J14611">_xlfn.IFS(I14611&lt;=3,"small",I14611&lt;=6,"Medium",I14611&lt;=9,"Large")</f>
        <v>Large</v>
      </c>
      <c r="K14611" s="36">
        <v>45340</v>
      </c>
      <c r="L14611" s="36">
        <v>45347</v>
      </c>
      <c r="M14611" t="s">
        <v>612</v>
      </c>
      <c r="N14611" t="s">
        <v>608</v>
      </c>
      <c r="O14611" s="37" t="str">
        <f t="shared" si="1143"/>
        <v>Cash Payment</v>
      </c>
      <c r="P14611">
        <v>465.59</v>
      </c>
      <c r="Q14611" s="37" t="str">
        <f>IF(P14611&gt;500,"High","low")</f>
        <v>low</v>
      </c>
      <c r="R14611" s="37" t="str">
        <f t="shared" si="1144"/>
        <v>AVERAGE</v>
      </c>
      <c r="S14611" t="s">
        <v>609</v>
      </c>
    </row>
    <row r="14612" spans="1:19" x14ac:dyDescent="0.2">
      <c r="A14612" t="s">
        <v>15223</v>
      </c>
      <c r="B14612" t="s">
        <v>67</v>
      </c>
      <c r="C14612" t="s">
        <v>602</v>
      </c>
      <c r="D14612">
        <v>1170.07</v>
      </c>
      <c r="E14612" s="37" t="str">
        <f t="shared" si="1140"/>
        <v xml:space="preserve"> </v>
      </c>
      <c r="F14612">
        <v>0.39</v>
      </c>
      <c r="G14612" s="37" t="str">
        <f t="shared" si="1141"/>
        <v>Heavy Discount</v>
      </c>
      <c r="H14612" s="37" t="str">
        <f t="shared" si="1142"/>
        <v>Medium</v>
      </c>
      <c r="I14612">
        <v>1</v>
      </c>
      <c r="J14612" t="str" cm="1">
        <f t="array" ref="J14612">_xlfn.IFS(I14612&lt;=3,"small",I14612&lt;=6,"Medium",I14612&lt;=9,"Large")</f>
        <v>small</v>
      </c>
      <c r="K14612" s="36">
        <v>45057</v>
      </c>
      <c r="L14612" s="36">
        <v>45063</v>
      </c>
      <c r="M14612" t="s">
        <v>603</v>
      </c>
      <c r="N14612" t="s">
        <v>608</v>
      </c>
      <c r="O14612" s="37" t="str">
        <f t="shared" si="1143"/>
        <v>Cash Payment</v>
      </c>
      <c r="P14612">
        <v>293.04000000000002</v>
      </c>
      <c r="Q14612" s="37" t="str">
        <f>IF(P14612&gt;500,"High","low")</f>
        <v>low</v>
      </c>
      <c r="R14612" s="37" t="str">
        <f t="shared" si="1144"/>
        <v>AVERAGE</v>
      </c>
      <c r="S14612" t="s">
        <v>600</v>
      </c>
    </row>
    <row r="14613" spans="1:19" x14ac:dyDescent="0.2">
      <c r="A14613" t="s">
        <v>15224</v>
      </c>
      <c r="B14613" t="s">
        <v>83</v>
      </c>
      <c r="C14613" t="s">
        <v>614</v>
      </c>
      <c r="D14613">
        <v>3692.42</v>
      </c>
      <c r="E14613" s="37" t="str">
        <f t="shared" si="1140"/>
        <v xml:space="preserve"> </v>
      </c>
      <c r="F14613">
        <v>0.28999999999999998</v>
      </c>
      <c r="G14613" s="37" t="str">
        <f t="shared" si="1141"/>
        <v>Normal Discount</v>
      </c>
      <c r="H14613" s="37" t="str">
        <f t="shared" si="1142"/>
        <v>Medium</v>
      </c>
      <c r="I14613">
        <v>8</v>
      </c>
      <c r="J14613" t="str" cm="1">
        <f t="array" ref="J14613">_xlfn.IFS(I14613&lt;=3,"small",I14613&lt;=6,"Medium",I14613&lt;=9,"Large")</f>
        <v>Large</v>
      </c>
      <c r="K14613" s="36">
        <v>44987</v>
      </c>
      <c r="L14613" s="36">
        <v>44994</v>
      </c>
      <c r="M14613" t="s">
        <v>612</v>
      </c>
      <c r="N14613" t="s">
        <v>604</v>
      </c>
      <c r="O14613" s="37" t="str">
        <f t="shared" si="1143"/>
        <v>Digital Payment</v>
      </c>
      <c r="P14613">
        <v>465.32</v>
      </c>
      <c r="Q14613" s="37" t="str">
        <f>IF(P14613&gt;500,"High","low")</f>
        <v>low</v>
      </c>
      <c r="R14613" s="37" t="str">
        <f t="shared" si="1144"/>
        <v>AVERAGE</v>
      </c>
      <c r="S14613" t="s">
        <v>600</v>
      </c>
    </row>
    <row r="14614" spans="1:19" x14ac:dyDescent="0.2">
      <c r="A14614" t="s">
        <v>15225</v>
      </c>
      <c r="B14614" t="s">
        <v>90</v>
      </c>
      <c r="C14614" t="s">
        <v>614</v>
      </c>
      <c r="D14614">
        <v>2643.42</v>
      </c>
      <c r="E14614" s="37" t="str">
        <f t="shared" si="1140"/>
        <v xml:space="preserve"> </v>
      </c>
      <c r="F14614">
        <v>0.12</v>
      </c>
      <c r="G14614" s="37" t="str">
        <f t="shared" si="1141"/>
        <v>Normal Discount</v>
      </c>
      <c r="H14614" s="37" t="str">
        <f t="shared" si="1142"/>
        <v>Low</v>
      </c>
      <c r="I14614">
        <v>1</v>
      </c>
      <c r="J14614" t="str" cm="1">
        <f t="array" ref="J14614">_xlfn.IFS(I14614&lt;=3,"small",I14614&lt;=6,"Medium",I14614&lt;=9,"Large")</f>
        <v>small</v>
      </c>
      <c r="K14614" s="36">
        <v>45417</v>
      </c>
      <c r="L14614" s="36">
        <v>45423</v>
      </c>
      <c r="M14614" t="s">
        <v>598</v>
      </c>
      <c r="N14614" t="s">
        <v>608</v>
      </c>
      <c r="O14614" s="37" t="str">
        <f t="shared" si="1143"/>
        <v>Cash Payment</v>
      </c>
      <c r="P14614">
        <v>450.76</v>
      </c>
      <c r="Q14614" s="37" t="str">
        <f>IF(P14614&gt;500,"High","low")</f>
        <v>low</v>
      </c>
      <c r="R14614" s="37" t="str">
        <f t="shared" si="1144"/>
        <v>AVERAGE</v>
      </c>
      <c r="S14614" t="s">
        <v>628</v>
      </c>
    </row>
    <row r="14615" spans="1:19" x14ac:dyDescent="0.2">
      <c r="A14615" t="s">
        <v>15226</v>
      </c>
      <c r="B14615" t="s">
        <v>90</v>
      </c>
      <c r="C14615" t="s">
        <v>617</v>
      </c>
      <c r="D14615">
        <v>1709.56</v>
      </c>
      <c r="E14615" s="37" t="str">
        <f t="shared" si="1140"/>
        <v xml:space="preserve"> </v>
      </c>
      <c r="F14615">
        <v>0.08</v>
      </c>
      <c r="G14615" s="37" t="str">
        <f t="shared" si="1141"/>
        <v>Normal Discount</v>
      </c>
      <c r="H14615" s="37" t="str">
        <f t="shared" si="1142"/>
        <v>Low</v>
      </c>
      <c r="I14615">
        <v>2</v>
      </c>
      <c r="J14615" t="str" cm="1">
        <f t="array" ref="J14615">_xlfn.IFS(I14615&lt;=3,"small",I14615&lt;=6,"Medium",I14615&lt;=9,"Large")</f>
        <v>small</v>
      </c>
      <c r="K14615" s="36">
        <v>45185</v>
      </c>
      <c r="L14615" s="36">
        <v>45187</v>
      </c>
      <c r="M14615" t="s">
        <v>603</v>
      </c>
      <c r="N14615" t="s">
        <v>604</v>
      </c>
      <c r="O14615" s="37" t="str">
        <f t="shared" si="1143"/>
        <v>Digital Payment</v>
      </c>
      <c r="P14615">
        <v>253.98</v>
      </c>
      <c r="Q14615" s="37" t="str">
        <f>IF(P14615&gt;500,"High","low")</f>
        <v>low</v>
      </c>
      <c r="R14615" s="37" t="str">
        <f t="shared" si="1144"/>
        <v>AVERAGE</v>
      </c>
      <c r="S14615" t="s">
        <v>600</v>
      </c>
    </row>
    <row r="14616" spans="1:19" x14ac:dyDescent="0.2">
      <c r="A14616" t="s">
        <v>15227</v>
      </c>
      <c r="B14616" t="s">
        <v>75</v>
      </c>
      <c r="C14616" t="s">
        <v>602</v>
      </c>
      <c r="D14616">
        <v>3070.83</v>
      </c>
      <c r="E14616" s="37" t="str">
        <f t="shared" si="1140"/>
        <v xml:space="preserve"> </v>
      </c>
      <c r="F14616">
        <v>0.12</v>
      </c>
      <c r="G14616" s="37" t="str">
        <f t="shared" si="1141"/>
        <v>Normal Discount</v>
      </c>
      <c r="H14616" s="37" t="str">
        <f t="shared" si="1142"/>
        <v>Low</v>
      </c>
      <c r="I14616">
        <v>1</v>
      </c>
      <c r="J14616" t="str" cm="1">
        <f t="array" ref="J14616">_xlfn.IFS(I14616&lt;=3,"small",I14616&lt;=6,"Medium",I14616&lt;=9,"Large")</f>
        <v>small</v>
      </c>
      <c r="K14616" s="36">
        <v>45325</v>
      </c>
      <c r="L14616" s="36">
        <v>45327</v>
      </c>
      <c r="M14616" t="s">
        <v>612</v>
      </c>
      <c r="N14616" t="s">
        <v>608</v>
      </c>
      <c r="O14616" s="37" t="str">
        <f t="shared" si="1143"/>
        <v>Cash Payment</v>
      </c>
      <c r="P14616">
        <v>296.04000000000002</v>
      </c>
      <c r="Q14616" s="37" t="str">
        <f>IF(P14616&gt;500,"High","low")</f>
        <v>low</v>
      </c>
      <c r="R14616" s="37" t="str">
        <f t="shared" si="1144"/>
        <v>AVERAGE</v>
      </c>
      <c r="S14616" t="s">
        <v>615</v>
      </c>
    </row>
    <row r="14617" spans="1:19" x14ac:dyDescent="0.2">
      <c r="A14617" t="s">
        <v>15228</v>
      </c>
      <c r="B14617" t="s">
        <v>83</v>
      </c>
      <c r="C14617" t="s">
        <v>617</v>
      </c>
      <c r="D14617">
        <v>2786.18</v>
      </c>
      <c r="E14617" s="37" t="str">
        <f t="shared" si="1140"/>
        <v xml:space="preserve"> </v>
      </c>
      <c r="F14617">
        <v>0.38</v>
      </c>
      <c r="G14617" s="37" t="str">
        <f t="shared" si="1141"/>
        <v>Heavy Discount</v>
      </c>
      <c r="H14617" s="37" t="str">
        <f t="shared" si="1142"/>
        <v>Medium</v>
      </c>
      <c r="I14617">
        <v>2</v>
      </c>
      <c r="J14617" t="str" cm="1">
        <f t="array" ref="J14617">_xlfn.IFS(I14617&lt;=3,"small",I14617&lt;=6,"Medium",I14617&lt;=9,"Large")</f>
        <v>small</v>
      </c>
      <c r="K14617" s="36">
        <v>45595</v>
      </c>
      <c r="L14617" s="36">
        <v>45599</v>
      </c>
      <c r="M14617" t="s">
        <v>598</v>
      </c>
      <c r="N14617" t="s">
        <v>608</v>
      </c>
      <c r="O14617" s="37" t="str">
        <f t="shared" si="1143"/>
        <v>Cash Payment</v>
      </c>
      <c r="P14617">
        <v>794.74</v>
      </c>
      <c r="Q14617" s="37" t="str">
        <f>IF(P14617&gt;500,"High","low")</f>
        <v>High</v>
      </c>
      <c r="R14617" s="37" t="str">
        <f t="shared" si="1144"/>
        <v>Good</v>
      </c>
      <c r="S14617" t="s">
        <v>600</v>
      </c>
    </row>
    <row r="14618" spans="1:19" x14ac:dyDescent="0.2">
      <c r="A14618" t="s">
        <v>15229</v>
      </c>
      <c r="B14618" t="s">
        <v>67</v>
      </c>
      <c r="C14618" t="s">
        <v>617</v>
      </c>
      <c r="D14618">
        <v>1532.24</v>
      </c>
      <c r="E14618" s="37" t="str">
        <f t="shared" si="1140"/>
        <v xml:space="preserve"> </v>
      </c>
      <c r="F14618">
        <v>0.13</v>
      </c>
      <c r="G14618" s="37" t="str">
        <f t="shared" si="1141"/>
        <v>Normal Discount</v>
      </c>
      <c r="H14618" s="37" t="str">
        <f t="shared" si="1142"/>
        <v>Low</v>
      </c>
      <c r="I14618">
        <v>2</v>
      </c>
      <c r="J14618" t="str" cm="1">
        <f t="array" ref="J14618">_xlfn.IFS(I14618&lt;=3,"small",I14618&lt;=6,"Medium",I14618&lt;=9,"Large")</f>
        <v>small</v>
      </c>
      <c r="K14618" s="36">
        <v>45213</v>
      </c>
      <c r="L14618" s="36">
        <v>45214</v>
      </c>
      <c r="M14618" t="s">
        <v>603</v>
      </c>
      <c r="N14618" t="s">
        <v>604</v>
      </c>
      <c r="O14618" s="37" t="str">
        <f t="shared" si="1143"/>
        <v>Digital Payment</v>
      </c>
      <c r="P14618">
        <v>96.9</v>
      </c>
      <c r="Q14618" s="37" t="str">
        <f>IF(P14618&gt;500,"High","low")</f>
        <v>low</v>
      </c>
      <c r="R14618" s="37" t="str">
        <f t="shared" si="1144"/>
        <v>AVERAGE</v>
      </c>
      <c r="S14618" t="s">
        <v>600</v>
      </c>
    </row>
    <row r="14619" spans="1:19" x14ac:dyDescent="0.2">
      <c r="A14619" t="s">
        <v>15230</v>
      </c>
      <c r="B14619" t="s">
        <v>75</v>
      </c>
      <c r="C14619" t="s">
        <v>607</v>
      </c>
      <c r="D14619">
        <v>1415.47</v>
      </c>
      <c r="E14619" s="37" t="str">
        <f t="shared" si="1140"/>
        <v xml:space="preserve"> </v>
      </c>
      <c r="F14619">
        <v>0.34</v>
      </c>
      <c r="G14619" s="37" t="str">
        <f t="shared" si="1141"/>
        <v>Heavy Discount</v>
      </c>
      <c r="H14619" s="37" t="str">
        <f t="shared" si="1142"/>
        <v>Medium</v>
      </c>
      <c r="I14619">
        <v>5</v>
      </c>
      <c r="J14619" t="str" cm="1">
        <f t="array" ref="J14619">_xlfn.IFS(I14619&lt;=3,"small",I14619&lt;=6,"Medium",I14619&lt;=9,"Large")</f>
        <v>Medium</v>
      </c>
      <c r="K14619" s="36">
        <v>45125</v>
      </c>
      <c r="L14619" s="36">
        <v>45126</v>
      </c>
      <c r="M14619" t="s">
        <v>612</v>
      </c>
      <c r="N14619" t="s">
        <v>604</v>
      </c>
      <c r="O14619" s="37" t="str">
        <f t="shared" si="1143"/>
        <v>Digital Payment</v>
      </c>
      <c r="P14619">
        <v>234.34</v>
      </c>
      <c r="Q14619" s="37" t="str">
        <f>IF(P14619&gt;500,"High","low")</f>
        <v>low</v>
      </c>
      <c r="R14619" s="37" t="str">
        <f t="shared" si="1144"/>
        <v>AVERAGE</v>
      </c>
      <c r="S14619" t="s">
        <v>620</v>
      </c>
    </row>
    <row r="14620" spans="1:19" x14ac:dyDescent="0.2">
      <c r="A14620" t="s">
        <v>15231</v>
      </c>
      <c r="B14620" t="s">
        <v>83</v>
      </c>
      <c r="C14620" t="s">
        <v>614</v>
      </c>
      <c r="D14620">
        <v>2484.2399999999998</v>
      </c>
      <c r="E14620" s="37" t="str">
        <f t="shared" si="1140"/>
        <v xml:space="preserve"> </v>
      </c>
      <c r="F14620">
        <v>0.27</v>
      </c>
      <c r="G14620" s="37" t="str">
        <f t="shared" si="1141"/>
        <v>Normal Discount</v>
      </c>
      <c r="H14620" s="37" t="str">
        <f t="shared" si="1142"/>
        <v>Medium</v>
      </c>
      <c r="I14620">
        <v>3</v>
      </c>
      <c r="J14620" t="str" cm="1">
        <f t="array" ref="J14620">_xlfn.IFS(I14620&lt;=3,"small",I14620&lt;=6,"Medium",I14620&lt;=9,"Large")</f>
        <v>small</v>
      </c>
      <c r="K14620" s="36">
        <v>45253</v>
      </c>
      <c r="L14620" s="36">
        <v>45257</v>
      </c>
      <c r="M14620" t="s">
        <v>603</v>
      </c>
      <c r="N14620" t="s">
        <v>604</v>
      </c>
      <c r="O14620" s="37" t="str">
        <f t="shared" si="1143"/>
        <v>Digital Payment</v>
      </c>
      <c r="P14620">
        <v>333.11</v>
      </c>
      <c r="Q14620" s="37" t="str">
        <f>IF(P14620&gt;500,"High","low")</f>
        <v>low</v>
      </c>
      <c r="R14620" s="37" t="str">
        <f t="shared" si="1144"/>
        <v>AVERAGE</v>
      </c>
      <c r="S14620" t="s">
        <v>609</v>
      </c>
    </row>
    <row r="14621" spans="1:19" x14ac:dyDescent="0.2">
      <c r="A14621" t="s">
        <v>15232</v>
      </c>
      <c r="B14621" t="s">
        <v>75</v>
      </c>
      <c r="C14621" t="s">
        <v>602</v>
      </c>
      <c r="D14621">
        <v>2422.7800000000002</v>
      </c>
      <c r="E14621" s="37" t="str">
        <f t="shared" si="1140"/>
        <v xml:space="preserve"> </v>
      </c>
      <c r="F14621">
        <v>0.27</v>
      </c>
      <c r="G14621" s="37" t="str">
        <f t="shared" si="1141"/>
        <v>Normal Discount</v>
      </c>
      <c r="H14621" s="37" t="str">
        <f t="shared" si="1142"/>
        <v>Medium</v>
      </c>
      <c r="I14621">
        <v>1</v>
      </c>
      <c r="J14621" t="str" cm="1">
        <f t="array" ref="J14621">_xlfn.IFS(I14621&lt;=3,"small",I14621&lt;=6,"Medium",I14621&lt;=9,"Large")</f>
        <v>small</v>
      </c>
      <c r="K14621" s="36">
        <v>45493</v>
      </c>
      <c r="L14621" s="36">
        <v>45500</v>
      </c>
      <c r="M14621" t="s">
        <v>612</v>
      </c>
      <c r="N14621" t="s">
        <v>608</v>
      </c>
      <c r="O14621" s="37" t="str">
        <f t="shared" si="1143"/>
        <v>Cash Payment</v>
      </c>
      <c r="P14621">
        <v>524.98</v>
      </c>
      <c r="Q14621" s="37" t="str">
        <f>IF(P14621&gt;500,"High","low")</f>
        <v>High</v>
      </c>
      <c r="R14621" s="37" t="str">
        <f t="shared" si="1144"/>
        <v>Good</v>
      </c>
      <c r="S14621" t="s">
        <v>600</v>
      </c>
    </row>
    <row r="14622" spans="1:19" x14ac:dyDescent="0.2">
      <c r="A14622" t="s">
        <v>15233</v>
      </c>
      <c r="B14622" t="s">
        <v>83</v>
      </c>
      <c r="C14622" t="s">
        <v>607</v>
      </c>
      <c r="D14622">
        <v>1580.06</v>
      </c>
      <c r="E14622" s="37" t="str">
        <f t="shared" si="1140"/>
        <v xml:space="preserve"> </v>
      </c>
      <c r="F14622">
        <v>0.43</v>
      </c>
      <c r="G14622" s="37" t="str">
        <f t="shared" si="1141"/>
        <v>Heavy Discount</v>
      </c>
      <c r="H14622" s="37" t="str">
        <f t="shared" si="1142"/>
        <v>High</v>
      </c>
      <c r="I14622">
        <v>2</v>
      </c>
      <c r="J14622" t="str" cm="1">
        <f t="array" ref="J14622">_xlfn.IFS(I14622&lt;=3,"small",I14622&lt;=6,"Medium",I14622&lt;=9,"Large")</f>
        <v>small</v>
      </c>
      <c r="K14622" s="36">
        <v>45018</v>
      </c>
      <c r="L14622" s="36">
        <v>45022</v>
      </c>
      <c r="M14622" t="s">
        <v>612</v>
      </c>
      <c r="N14622" t="s">
        <v>599</v>
      </c>
      <c r="O14622" s="37" t="str">
        <f t="shared" si="1143"/>
        <v>Digital Payment</v>
      </c>
      <c r="P14622">
        <v>334.57</v>
      </c>
      <c r="Q14622" s="37" t="str">
        <f>IF(P14622&gt;500,"High","low")</f>
        <v>low</v>
      </c>
      <c r="R14622" s="37" t="str">
        <f t="shared" si="1144"/>
        <v>AVERAGE</v>
      </c>
      <c r="S14622" t="s">
        <v>600</v>
      </c>
    </row>
    <row r="14623" spans="1:19" x14ac:dyDescent="0.2">
      <c r="A14623" t="s">
        <v>15234</v>
      </c>
      <c r="B14623" t="s">
        <v>83</v>
      </c>
      <c r="C14623" t="s">
        <v>607</v>
      </c>
      <c r="D14623">
        <v>1392.28</v>
      </c>
      <c r="E14623" s="37" t="str">
        <f t="shared" si="1140"/>
        <v xml:space="preserve"> </v>
      </c>
      <c r="F14623">
        <v>0.44</v>
      </c>
      <c r="G14623" s="37" t="str">
        <f t="shared" si="1141"/>
        <v>Heavy Discount</v>
      </c>
      <c r="H14623" s="37" t="str">
        <f t="shared" si="1142"/>
        <v>High</v>
      </c>
      <c r="I14623">
        <v>4</v>
      </c>
      <c r="J14623" t="str" cm="1">
        <f t="array" ref="J14623">_xlfn.IFS(I14623&lt;=3,"small",I14623&lt;=6,"Medium",I14623&lt;=9,"Large")</f>
        <v>Medium</v>
      </c>
      <c r="K14623" s="36">
        <v>45154</v>
      </c>
      <c r="L14623" s="36">
        <v>45159</v>
      </c>
      <c r="M14623" t="s">
        <v>603</v>
      </c>
      <c r="N14623" t="s">
        <v>608</v>
      </c>
      <c r="O14623" s="37" t="str">
        <f t="shared" si="1143"/>
        <v>Cash Payment</v>
      </c>
      <c r="P14623">
        <v>312.11</v>
      </c>
      <c r="Q14623" s="37" t="str">
        <f>IF(P14623&gt;500,"High","low")</f>
        <v>low</v>
      </c>
      <c r="R14623" s="37" t="str">
        <f t="shared" si="1144"/>
        <v>AVERAGE</v>
      </c>
      <c r="S14623" t="s">
        <v>615</v>
      </c>
    </row>
    <row r="14624" spans="1:19" x14ac:dyDescent="0.2">
      <c r="A14624" t="s">
        <v>15235</v>
      </c>
      <c r="B14624" t="s">
        <v>90</v>
      </c>
      <c r="C14624" t="s">
        <v>607</v>
      </c>
      <c r="D14624">
        <v>4776.1099999999997</v>
      </c>
      <c r="E14624" s="37" t="str">
        <f t="shared" si="1140"/>
        <v>Excellent Order</v>
      </c>
      <c r="F14624">
        <v>0.27</v>
      </c>
      <c r="G14624" s="37" t="str">
        <f t="shared" si="1141"/>
        <v>Normal Discount</v>
      </c>
      <c r="H14624" s="37" t="str">
        <f t="shared" si="1142"/>
        <v>Medium</v>
      </c>
      <c r="I14624">
        <v>7</v>
      </c>
      <c r="J14624" t="str" cm="1">
        <f t="array" ref="J14624">_xlfn.IFS(I14624&lt;=3,"small",I14624&lt;=6,"Medium",I14624&lt;=9,"Large")</f>
        <v>Large</v>
      </c>
      <c r="K14624" s="36">
        <v>45036</v>
      </c>
      <c r="L14624" s="36">
        <v>45039</v>
      </c>
      <c r="M14624" t="s">
        <v>603</v>
      </c>
      <c r="N14624" t="s">
        <v>604</v>
      </c>
      <c r="O14624" s="37" t="str">
        <f t="shared" si="1143"/>
        <v>Digital Payment</v>
      </c>
      <c r="P14624">
        <v>834.84</v>
      </c>
      <c r="Q14624" s="37" t="str">
        <f>IF(P14624&gt;500,"High","low")</f>
        <v>High</v>
      </c>
      <c r="R14624" s="37" t="str">
        <f t="shared" si="1144"/>
        <v>Good</v>
      </c>
      <c r="S14624" t="s">
        <v>615</v>
      </c>
    </row>
    <row r="14625" spans="1:19" x14ac:dyDescent="0.2">
      <c r="A14625" t="s">
        <v>15236</v>
      </c>
      <c r="B14625" t="s">
        <v>75</v>
      </c>
      <c r="C14625" t="s">
        <v>597</v>
      </c>
      <c r="D14625">
        <v>4325.62</v>
      </c>
      <c r="E14625" s="37" t="str">
        <f t="shared" si="1140"/>
        <v xml:space="preserve"> </v>
      </c>
      <c r="F14625">
        <v>0.03</v>
      </c>
      <c r="G14625" s="37" t="str">
        <f t="shared" si="1141"/>
        <v>Normal Discount</v>
      </c>
      <c r="H14625" s="37" t="str">
        <f t="shared" si="1142"/>
        <v>Low</v>
      </c>
      <c r="I14625">
        <v>1</v>
      </c>
      <c r="J14625" t="str" cm="1">
        <f t="array" ref="J14625">_xlfn.IFS(I14625&lt;=3,"small",I14625&lt;=6,"Medium",I14625&lt;=9,"Large")</f>
        <v>small</v>
      </c>
      <c r="K14625" s="36">
        <v>45207</v>
      </c>
      <c r="L14625" s="36">
        <v>45212</v>
      </c>
      <c r="M14625" t="s">
        <v>603</v>
      </c>
      <c r="N14625" t="s">
        <v>604</v>
      </c>
      <c r="O14625" s="37" t="str">
        <f t="shared" si="1143"/>
        <v>Digital Payment</v>
      </c>
      <c r="P14625">
        <v>335.96</v>
      </c>
      <c r="Q14625" s="37" t="str">
        <f>IF(P14625&gt;500,"High","low")</f>
        <v>low</v>
      </c>
      <c r="R14625" s="37" t="str">
        <f t="shared" si="1144"/>
        <v>AVERAGE</v>
      </c>
      <c r="S14625" t="s">
        <v>605</v>
      </c>
    </row>
    <row r="14626" spans="1:19" x14ac:dyDescent="0.2">
      <c r="A14626" t="s">
        <v>15237</v>
      </c>
      <c r="B14626" t="s">
        <v>67</v>
      </c>
      <c r="C14626" t="s">
        <v>597</v>
      </c>
      <c r="D14626">
        <v>4102.22</v>
      </c>
      <c r="E14626" s="37" t="str">
        <f t="shared" si="1140"/>
        <v xml:space="preserve"> </v>
      </c>
      <c r="F14626">
        <v>0.08</v>
      </c>
      <c r="G14626" s="37" t="str">
        <f t="shared" si="1141"/>
        <v>Normal Discount</v>
      </c>
      <c r="H14626" s="37" t="str">
        <f t="shared" si="1142"/>
        <v>Low</v>
      </c>
      <c r="I14626">
        <v>5</v>
      </c>
      <c r="J14626" t="str" cm="1">
        <f t="array" ref="J14626">_xlfn.IFS(I14626&lt;=3,"small",I14626&lt;=6,"Medium",I14626&lt;=9,"Large")</f>
        <v>Medium</v>
      </c>
      <c r="K14626" s="36">
        <v>45488</v>
      </c>
      <c r="L14626" s="36">
        <v>45492</v>
      </c>
      <c r="M14626" t="s">
        <v>598</v>
      </c>
      <c r="N14626" t="s">
        <v>604</v>
      </c>
      <c r="O14626" s="37" t="str">
        <f t="shared" si="1143"/>
        <v>Digital Payment</v>
      </c>
      <c r="P14626">
        <v>721.23</v>
      </c>
      <c r="Q14626" s="37" t="str">
        <f>IF(P14626&gt;500,"High","low")</f>
        <v>High</v>
      </c>
      <c r="R14626" s="37" t="str">
        <f t="shared" si="1144"/>
        <v>Good</v>
      </c>
      <c r="S14626" t="s">
        <v>628</v>
      </c>
    </row>
    <row r="14627" spans="1:19" x14ac:dyDescent="0.2">
      <c r="A14627" t="s">
        <v>15238</v>
      </c>
      <c r="B14627" t="s">
        <v>90</v>
      </c>
      <c r="C14627" t="s">
        <v>607</v>
      </c>
      <c r="D14627">
        <v>1149.99</v>
      </c>
      <c r="E14627" s="37" t="str">
        <f t="shared" si="1140"/>
        <v xml:space="preserve"> </v>
      </c>
      <c r="F14627">
        <v>0.47</v>
      </c>
      <c r="G14627" s="37" t="str">
        <f t="shared" si="1141"/>
        <v>Heavy Discount</v>
      </c>
      <c r="H14627" s="37" t="str">
        <f t="shared" si="1142"/>
        <v>High</v>
      </c>
      <c r="I14627">
        <v>2</v>
      </c>
      <c r="J14627" t="str" cm="1">
        <f t="array" ref="J14627">_xlfn.IFS(I14627&lt;=3,"small",I14627&lt;=6,"Medium",I14627&lt;=9,"Large")</f>
        <v>small</v>
      </c>
      <c r="K14627" s="36">
        <v>45476</v>
      </c>
      <c r="L14627" s="36">
        <v>45480</v>
      </c>
      <c r="M14627" t="s">
        <v>598</v>
      </c>
      <c r="N14627" t="s">
        <v>599</v>
      </c>
      <c r="O14627" s="37" t="str">
        <f t="shared" si="1143"/>
        <v>Digital Payment</v>
      </c>
      <c r="P14627">
        <v>310.27999999999997</v>
      </c>
      <c r="Q14627" s="37" t="str">
        <f>IF(P14627&gt;500,"High","low")</f>
        <v>low</v>
      </c>
      <c r="R14627" s="37" t="str">
        <f t="shared" si="1144"/>
        <v>AVERAGE</v>
      </c>
      <c r="S14627" t="s">
        <v>615</v>
      </c>
    </row>
    <row r="14628" spans="1:19" x14ac:dyDescent="0.2">
      <c r="A14628" t="s">
        <v>15239</v>
      </c>
      <c r="B14628" t="s">
        <v>90</v>
      </c>
      <c r="C14628" t="s">
        <v>597</v>
      </c>
      <c r="D14628">
        <v>1027.53</v>
      </c>
      <c r="E14628" s="37" t="str">
        <f t="shared" si="1140"/>
        <v xml:space="preserve"> </v>
      </c>
      <c r="F14628">
        <v>7.0000000000000007E-2</v>
      </c>
      <c r="G14628" s="37" t="str">
        <f t="shared" si="1141"/>
        <v>Normal Discount</v>
      </c>
      <c r="H14628" s="37" t="str">
        <f t="shared" si="1142"/>
        <v>Low</v>
      </c>
      <c r="I14628">
        <v>8</v>
      </c>
      <c r="J14628" t="str" cm="1">
        <f t="array" ref="J14628">_xlfn.IFS(I14628&lt;=3,"small",I14628&lt;=6,"Medium",I14628&lt;=9,"Large")</f>
        <v>Large</v>
      </c>
      <c r="K14628" s="36">
        <v>45011</v>
      </c>
      <c r="L14628" s="36">
        <v>45015</v>
      </c>
      <c r="M14628" t="s">
        <v>603</v>
      </c>
      <c r="N14628" t="s">
        <v>599</v>
      </c>
      <c r="O14628" s="37" t="str">
        <f t="shared" si="1143"/>
        <v>Digital Payment</v>
      </c>
      <c r="P14628">
        <v>135.83000000000001</v>
      </c>
      <c r="Q14628" s="37" t="str">
        <f>IF(P14628&gt;500,"High","low")</f>
        <v>low</v>
      </c>
      <c r="R14628" s="37" t="str">
        <f t="shared" si="1144"/>
        <v>AVERAGE</v>
      </c>
      <c r="S14628" t="s">
        <v>600</v>
      </c>
    </row>
    <row r="14629" spans="1:19" x14ac:dyDescent="0.2">
      <c r="A14629" t="s">
        <v>15240</v>
      </c>
      <c r="B14629" t="s">
        <v>67</v>
      </c>
      <c r="C14629" t="s">
        <v>602</v>
      </c>
      <c r="D14629">
        <v>4065.71</v>
      </c>
      <c r="E14629" s="37" t="str">
        <f t="shared" si="1140"/>
        <v>Excellent Order</v>
      </c>
      <c r="F14629">
        <v>0.42</v>
      </c>
      <c r="G14629" s="37" t="str">
        <f t="shared" si="1141"/>
        <v>Heavy Discount</v>
      </c>
      <c r="H14629" s="37" t="str">
        <f t="shared" si="1142"/>
        <v>High</v>
      </c>
      <c r="I14629">
        <v>2</v>
      </c>
      <c r="J14629" t="str" cm="1">
        <f t="array" ref="J14629">_xlfn.IFS(I14629&lt;=3,"small",I14629&lt;=6,"Medium",I14629&lt;=9,"Large")</f>
        <v>small</v>
      </c>
      <c r="K14629" s="36">
        <v>45618</v>
      </c>
      <c r="L14629" s="36">
        <v>45625</v>
      </c>
      <c r="M14629" t="s">
        <v>612</v>
      </c>
      <c r="N14629" t="s">
        <v>599</v>
      </c>
      <c r="O14629" s="37" t="str">
        <f t="shared" si="1143"/>
        <v>Digital Payment</v>
      </c>
      <c r="P14629">
        <v>1104</v>
      </c>
      <c r="Q14629" s="37" t="str">
        <f>IF(P14629&gt;500,"High","low")</f>
        <v>High</v>
      </c>
      <c r="R14629" s="37" t="str">
        <f t="shared" si="1144"/>
        <v>Excellent</v>
      </c>
      <c r="S14629" t="s">
        <v>615</v>
      </c>
    </row>
    <row r="14630" spans="1:19" x14ac:dyDescent="0.2">
      <c r="A14630" t="s">
        <v>15241</v>
      </c>
      <c r="B14630" t="s">
        <v>83</v>
      </c>
      <c r="C14630" t="s">
        <v>614</v>
      </c>
      <c r="D14630">
        <v>1004.9</v>
      </c>
      <c r="E14630" s="37" t="str">
        <f t="shared" si="1140"/>
        <v xml:space="preserve"> </v>
      </c>
      <c r="F14630">
        <v>0.27</v>
      </c>
      <c r="G14630" s="37" t="str">
        <f t="shared" si="1141"/>
        <v>Normal Discount</v>
      </c>
      <c r="H14630" s="37" t="str">
        <f t="shared" si="1142"/>
        <v>Medium</v>
      </c>
      <c r="I14630">
        <v>4</v>
      </c>
      <c r="J14630" t="str" cm="1">
        <f t="array" ref="J14630">_xlfn.IFS(I14630&lt;=3,"small",I14630&lt;=6,"Medium",I14630&lt;=9,"Large")</f>
        <v>Medium</v>
      </c>
      <c r="K14630" s="36">
        <v>45266</v>
      </c>
      <c r="L14630" s="36">
        <v>45271</v>
      </c>
      <c r="M14630" t="s">
        <v>603</v>
      </c>
      <c r="N14630" t="s">
        <v>599</v>
      </c>
      <c r="O14630" s="37" t="str">
        <f t="shared" si="1143"/>
        <v>Digital Payment</v>
      </c>
      <c r="P14630">
        <v>226.82</v>
      </c>
      <c r="Q14630" s="37" t="str">
        <f>IF(P14630&gt;500,"High","low")</f>
        <v>low</v>
      </c>
      <c r="R14630" s="37" t="str">
        <f t="shared" si="1144"/>
        <v>AVERAGE</v>
      </c>
      <c r="S14630" t="s">
        <v>605</v>
      </c>
    </row>
    <row r="14631" spans="1:19" x14ac:dyDescent="0.2">
      <c r="A14631" t="s">
        <v>15242</v>
      </c>
      <c r="B14631" t="s">
        <v>67</v>
      </c>
      <c r="C14631" t="s">
        <v>602</v>
      </c>
      <c r="D14631">
        <v>2567.33</v>
      </c>
      <c r="E14631" s="37" t="str">
        <f t="shared" si="1140"/>
        <v xml:space="preserve"> </v>
      </c>
      <c r="F14631">
        <v>0.06</v>
      </c>
      <c r="G14631" s="37" t="str">
        <f t="shared" si="1141"/>
        <v>Normal Discount</v>
      </c>
      <c r="H14631" s="37" t="str">
        <f t="shared" si="1142"/>
        <v>Low</v>
      </c>
      <c r="I14631">
        <v>6</v>
      </c>
      <c r="J14631" t="str" cm="1">
        <f t="array" ref="J14631">_xlfn.IFS(I14631&lt;=3,"small",I14631&lt;=6,"Medium",I14631&lt;=9,"Large")</f>
        <v>Medium</v>
      </c>
      <c r="K14631" s="36">
        <v>45124</v>
      </c>
      <c r="L14631" s="36">
        <v>45127</v>
      </c>
      <c r="M14631" t="s">
        <v>598</v>
      </c>
      <c r="N14631" t="s">
        <v>608</v>
      </c>
      <c r="O14631" s="37" t="str">
        <f t="shared" si="1143"/>
        <v>Cash Payment</v>
      </c>
      <c r="P14631">
        <v>737.15</v>
      </c>
      <c r="Q14631" s="37" t="str">
        <f>IF(P14631&gt;500,"High","low")</f>
        <v>High</v>
      </c>
      <c r="R14631" s="37" t="str">
        <f t="shared" si="1144"/>
        <v>Good</v>
      </c>
      <c r="S14631" t="s">
        <v>605</v>
      </c>
    </row>
    <row r="14632" spans="1:19" x14ac:dyDescent="0.2">
      <c r="A14632" t="s">
        <v>15243</v>
      </c>
      <c r="B14632" t="s">
        <v>75</v>
      </c>
      <c r="C14632" t="s">
        <v>614</v>
      </c>
      <c r="D14632">
        <v>1184.97</v>
      </c>
      <c r="E14632" s="37" t="str">
        <f t="shared" si="1140"/>
        <v xml:space="preserve"> </v>
      </c>
      <c r="F14632">
        <v>0.46</v>
      </c>
      <c r="G14632" s="37" t="str">
        <f t="shared" si="1141"/>
        <v>Heavy Discount</v>
      </c>
      <c r="H14632" s="37" t="str">
        <f t="shared" si="1142"/>
        <v>High</v>
      </c>
      <c r="I14632">
        <v>9</v>
      </c>
      <c r="J14632" t="str" cm="1">
        <f t="array" ref="J14632">_xlfn.IFS(I14632&lt;=3,"small",I14632&lt;=6,"Medium",I14632&lt;=9,"Large")</f>
        <v>Large</v>
      </c>
      <c r="K14632" s="36">
        <v>45002</v>
      </c>
      <c r="L14632" s="36">
        <v>45006</v>
      </c>
      <c r="M14632" t="s">
        <v>603</v>
      </c>
      <c r="N14632" t="s">
        <v>604</v>
      </c>
      <c r="O14632" s="37" t="str">
        <f t="shared" si="1143"/>
        <v>Digital Payment</v>
      </c>
      <c r="P14632">
        <v>203.85</v>
      </c>
      <c r="Q14632" s="37" t="str">
        <f>IF(P14632&gt;500,"High","low")</f>
        <v>low</v>
      </c>
      <c r="R14632" s="37" t="str">
        <f t="shared" si="1144"/>
        <v>AVERAGE</v>
      </c>
      <c r="S14632" t="s">
        <v>609</v>
      </c>
    </row>
    <row r="14633" spans="1:19" x14ac:dyDescent="0.2">
      <c r="A14633" t="s">
        <v>15244</v>
      </c>
      <c r="B14633" t="s">
        <v>67</v>
      </c>
      <c r="C14633" t="s">
        <v>597</v>
      </c>
      <c r="D14633">
        <v>1952.54</v>
      </c>
      <c r="E14633" s="37" t="str">
        <f t="shared" si="1140"/>
        <v xml:space="preserve"> </v>
      </c>
      <c r="F14633">
        <v>0.46</v>
      </c>
      <c r="G14633" s="37" t="str">
        <f t="shared" si="1141"/>
        <v>Heavy Discount</v>
      </c>
      <c r="H14633" s="37" t="str">
        <f t="shared" si="1142"/>
        <v>High</v>
      </c>
      <c r="I14633">
        <v>4</v>
      </c>
      <c r="J14633" t="str" cm="1">
        <f t="array" ref="J14633">_xlfn.IFS(I14633&lt;=3,"small",I14633&lt;=6,"Medium",I14633&lt;=9,"Large")</f>
        <v>Medium</v>
      </c>
      <c r="K14633" s="36">
        <v>45099</v>
      </c>
      <c r="L14633" s="36">
        <v>45101</v>
      </c>
      <c r="M14633" t="s">
        <v>603</v>
      </c>
      <c r="N14633" t="s">
        <v>608</v>
      </c>
      <c r="O14633" s="37" t="str">
        <f t="shared" si="1143"/>
        <v>Cash Payment</v>
      </c>
      <c r="P14633">
        <v>233.75</v>
      </c>
      <c r="Q14633" s="37" t="str">
        <f>IF(P14633&gt;500,"High","low")</f>
        <v>low</v>
      </c>
      <c r="R14633" s="37" t="str">
        <f t="shared" si="1144"/>
        <v>AVERAGE</v>
      </c>
      <c r="S14633" t="s">
        <v>620</v>
      </c>
    </row>
    <row r="14634" spans="1:19" x14ac:dyDescent="0.2">
      <c r="A14634" t="s">
        <v>15245</v>
      </c>
      <c r="B14634" t="s">
        <v>83</v>
      </c>
      <c r="C14634" t="s">
        <v>602</v>
      </c>
      <c r="D14634">
        <v>4281.93</v>
      </c>
      <c r="E14634" s="37" t="str">
        <f t="shared" si="1140"/>
        <v xml:space="preserve"> </v>
      </c>
      <c r="F14634">
        <v>0.31</v>
      </c>
      <c r="G14634" s="37" t="str">
        <f t="shared" si="1141"/>
        <v>Heavy Discount</v>
      </c>
      <c r="H14634" s="37" t="str">
        <f t="shared" si="1142"/>
        <v>Medium</v>
      </c>
      <c r="I14634">
        <v>4</v>
      </c>
      <c r="J14634" t="str" cm="1">
        <f t="array" ref="J14634">_xlfn.IFS(I14634&lt;=3,"small",I14634&lt;=6,"Medium",I14634&lt;=9,"Large")</f>
        <v>Medium</v>
      </c>
      <c r="K14634" s="36">
        <v>45151</v>
      </c>
      <c r="L14634" s="36">
        <v>45154</v>
      </c>
      <c r="M14634" t="s">
        <v>598</v>
      </c>
      <c r="N14634" t="s">
        <v>608</v>
      </c>
      <c r="O14634" s="37" t="str">
        <f t="shared" si="1143"/>
        <v>Cash Payment</v>
      </c>
      <c r="P14634">
        <v>292.49</v>
      </c>
      <c r="Q14634" s="37" t="str">
        <f>IF(P14634&gt;500,"High","low")</f>
        <v>low</v>
      </c>
      <c r="R14634" s="37" t="str">
        <f t="shared" si="1144"/>
        <v>AVERAGE</v>
      </c>
      <c r="S14634" t="s">
        <v>620</v>
      </c>
    </row>
    <row r="14635" spans="1:19" x14ac:dyDescent="0.2">
      <c r="A14635" t="s">
        <v>15246</v>
      </c>
      <c r="B14635" t="s">
        <v>67</v>
      </c>
      <c r="C14635" t="s">
        <v>617</v>
      </c>
      <c r="D14635">
        <v>4467.95</v>
      </c>
      <c r="E14635" s="37" t="str">
        <f t="shared" si="1140"/>
        <v xml:space="preserve"> </v>
      </c>
      <c r="F14635">
        <v>0.19</v>
      </c>
      <c r="G14635" s="37" t="str">
        <f t="shared" si="1141"/>
        <v>Normal Discount</v>
      </c>
      <c r="H14635" s="37" t="str">
        <f t="shared" si="1142"/>
        <v>Low</v>
      </c>
      <c r="I14635">
        <v>7</v>
      </c>
      <c r="J14635" t="str" cm="1">
        <f t="array" ref="J14635">_xlfn.IFS(I14635&lt;=3,"small",I14635&lt;=6,"Medium",I14635&lt;=9,"Large")</f>
        <v>Large</v>
      </c>
      <c r="K14635" s="36">
        <v>45538</v>
      </c>
      <c r="L14635" s="36">
        <v>45540</v>
      </c>
      <c r="M14635" t="s">
        <v>612</v>
      </c>
      <c r="N14635" t="s">
        <v>599</v>
      </c>
      <c r="O14635" s="37" t="str">
        <f t="shared" si="1143"/>
        <v>Digital Payment</v>
      </c>
      <c r="P14635">
        <v>232.54</v>
      </c>
      <c r="Q14635" s="37" t="str">
        <f>IF(P14635&gt;500,"High","low")</f>
        <v>low</v>
      </c>
      <c r="R14635" s="37" t="str">
        <f t="shared" si="1144"/>
        <v>AVERAGE</v>
      </c>
      <c r="S14635" t="s">
        <v>628</v>
      </c>
    </row>
    <row r="14636" spans="1:19" x14ac:dyDescent="0.2">
      <c r="A14636" t="s">
        <v>15247</v>
      </c>
      <c r="B14636" t="s">
        <v>83</v>
      </c>
      <c r="C14636" t="s">
        <v>607</v>
      </c>
      <c r="D14636">
        <v>4983.7299999999996</v>
      </c>
      <c r="E14636" s="37" t="str">
        <f t="shared" si="1140"/>
        <v>Excellent Order</v>
      </c>
      <c r="F14636">
        <v>0.3</v>
      </c>
      <c r="G14636" s="37" t="str">
        <f t="shared" si="1141"/>
        <v>Normal Discount</v>
      </c>
      <c r="H14636" s="37" t="str">
        <f t="shared" si="1142"/>
        <v>Medium</v>
      </c>
      <c r="I14636">
        <v>1</v>
      </c>
      <c r="J14636" t="str" cm="1">
        <f t="array" ref="J14636">_xlfn.IFS(I14636&lt;=3,"small",I14636&lt;=6,"Medium",I14636&lt;=9,"Large")</f>
        <v>small</v>
      </c>
      <c r="K14636" s="36">
        <v>45550</v>
      </c>
      <c r="L14636" s="36">
        <v>45552</v>
      </c>
      <c r="M14636" t="s">
        <v>612</v>
      </c>
      <c r="N14636" t="s">
        <v>608</v>
      </c>
      <c r="O14636" s="37" t="str">
        <f t="shared" si="1143"/>
        <v>Cash Payment</v>
      </c>
      <c r="P14636">
        <v>1375.74</v>
      </c>
      <c r="Q14636" s="37" t="str">
        <f>IF(P14636&gt;500,"High","low")</f>
        <v>High</v>
      </c>
      <c r="R14636" s="37" t="str">
        <f t="shared" si="1144"/>
        <v>Excellent</v>
      </c>
      <c r="S14636" t="s">
        <v>628</v>
      </c>
    </row>
    <row r="14637" spans="1:19" x14ac:dyDescent="0.2">
      <c r="A14637" t="s">
        <v>15248</v>
      </c>
      <c r="B14637" t="s">
        <v>83</v>
      </c>
      <c r="C14637" t="s">
        <v>614</v>
      </c>
      <c r="D14637">
        <v>4725.13</v>
      </c>
      <c r="E14637" s="37" t="str">
        <f t="shared" si="1140"/>
        <v>Excellent Order</v>
      </c>
      <c r="F14637">
        <v>0.31</v>
      </c>
      <c r="G14637" s="37" t="str">
        <f t="shared" si="1141"/>
        <v>Heavy Discount</v>
      </c>
      <c r="H14637" s="37" t="str">
        <f t="shared" si="1142"/>
        <v>Medium</v>
      </c>
      <c r="I14637">
        <v>5</v>
      </c>
      <c r="J14637" t="str" cm="1">
        <f t="array" ref="J14637">_xlfn.IFS(I14637&lt;=3,"small",I14637&lt;=6,"Medium",I14637&lt;=9,"Large")</f>
        <v>Medium</v>
      </c>
      <c r="K14637" s="36">
        <v>44945</v>
      </c>
      <c r="L14637" s="36">
        <v>44948</v>
      </c>
      <c r="M14637" t="s">
        <v>598</v>
      </c>
      <c r="N14637" t="s">
        <v>608</v>
      </c>
      <c r="O14637" s="37" t="str">
        <f t="shared" si="1143"/>
        <v>Cash Payment</v>
      </c>
      <c r="P14637">
        <v>902.99</v>
      </c>
      <c r="Q14637" s="37" t="str">
        <f>IF(P14637&gt;500,"High","low")</f>
        <v>High</v>
      </c>
      <c r="R14637" s="37" t="str">
        <f t="shared" si="1144"/>
        <v>Good</v>
      </c>
      <c r="S14637" t="s">
        <v>628</v>
      </c>
    </row>
    <row r="14638" spans="1:19" x14ac:dyDescent="0.2">
      <c r="A14638" t="s">
        <v>15249</v>
      </c>
      <c r="B14638" t="s">
        <v>75</v>
      </c>
      <c r="C14638" t="s">
        <v>614</v>
      </c>
      <c r="D14638">
        <v>3389.13</v>
      </c>
      <c r="E14638" s="37" t="str">
        <f t="shared" si="1140"/>
        <v xml:space="preserve"> </v>
      </c>
      <c r="F14638">
        <v>0.31</v>
      </c>
      <c r="G14638" s="37" t="str">
        <f t="shared" si="1141"/>
        <v>Heavy Discount</v>
      </c>
      <c r="H14638" s="37" t="str">
        <f t="shared" si="1142"/>
        <v>Medium</v>
      </c>
      <c r="I14638">
        <v>5</v>
      </c>
      <c r="J14638" t="str" cm="1">
        <f t="array" ref="J14638">_xlfn.IFS(I14638&lt;=3,"small",I14638&lt;=6,"Medium",I14638&lt;=9,"Large")</f>
        <v>Medium</v>
      </c>
      <c r="K14638" s="36">
        <v>45571</v>
      </c>
      <c r="L14638" s="36">
        <v>45573</v>
      </c>
      <c r="M14638" t="s">
        <v>598</v>
      </c>
      <c r="N14638" t="s">
        <v>608</v>
      </c>
      <c r="O14638" s="37" t="str">
        <f t="shared" si="1143"/>
        <v>Cash Payment</v>
      </c>
      <c r="P14638">
        <v>260.44</v>
      </c>
      <c r="Q14638" s="37" t="str">
        <f>IF(P14638&gt;500,"High","low")</f>
        <v>low</v>
      </c>
      <c r="R14638" s="37" t="str">
        <f t="shared" si="1144"/>
        <v>AVERAGE</v>
      </c>
      <c r="S14638" t="s">
        <v>620</v>
      </c>
    </row>
    <row r="14639" spans="1:19" x14ac:dyDescent="0.2">
      <c r="A14639" t="s">
        <v>15250</v>
      </c>
      <c r="B14639" t="s">
        <v>67</v>
      </c>
      <c r="C14639" t="s">
        <v>617</v>
      </c>
      <c r="D14639">
        <v>2215.46</v>
      </c>
      <c r="E14639" s="37" t="str">
        <f t="shared" si="1140"/>
        <v xml:space="preserve"> </v>
      </c>
      <c r="F14639">
        <v>0.37</v>
      </c>
      <c r="G14639" s="37" t="str">
        <f t="shared" si="1141"/>
        <v>Heavy Discount</v>
      </c>
      <c r="H14639" s="37" t="str">
        <f t="shared" si="1142"/>
        <v>Medium</v>
      </c>
      <c r="I14639">
        <v>1</v>
      </c>
      <c r="J14639" t="str" cm="1">
        <f t="array" ref="J14639">_xlfn.IFS(I14639&lt;=3,"small",I14639&lt;=6,"Medium",I14639&lt;=9,"Large")</f>
        <v>small</v>
      </c>
      <c r="K14639" s="36">
        <v>45163</v>
      </c>
      <c r="L14639" s="36">
        <v>45164</v>
      </c>
      <c r="M14639" t="s">
        <v>603</v>
      </c>
      <c r="N14639" t="s">
        <v>599</v>
      </c>
      <c r="O14639" s="37" t="str">
        <f t="shared" si="1143"/>
        <v>Digital Payment</v>
      </c>
      <c r="P14639">
        <v>305.25</v>
      </c>
      <c r="Q14639" s="37" t="str">
        <f>IF(P14639&gt;500,"High","low")</f>
        <v>low</v>
      </c>
      <c r="R14639" s="37" t="str">
        <f t="shared" si="1144"/>
        <v>AVERAGE</v>
      </c>
      <c r="S14639" t="s">
        <v>609</v>
      </c>
    </row>
    <row r="14640" spans="1:19" x14ac:dyDescent="0.2">
      <c r="A14640" t="s">
        <v>15251</v>
      </c>
      <c r="B14640" t="s">
        <v>67</v>
      </c>
      <c r="C14640" t="s">
        <v>617</v>
      </c>
      <c r="D14640">
        <v>382.69</v>
      </c>
      <c r="E14640" s="37" t="str">
        <f t="shared" si="1140"/>
        <v xml:space="preserve"> </v>
      </c>
      <c r="F14640">
        <v>0.03</v>
      </c>
      <c r="G14640" s="37" t="str">
        <f t="shared" si="1141"/>
        <v>Normal Discount</v>
      </c>
      <c r="H14640" s="37" t="str">
        <f t="shared" si="1142"/>
        <v>Low</v>
      </c>
      <c r="I14640">
        <v>6</v>
      </c>
      <c r="J14640" t="str" cm="1">
        <f t="array" ref="J14640">_xlfn.IFS(I14640&lt;=3,"small",I14640&lt;=6,"Medium",I14640&lt;=9,"Large")</f>
        <v>Medium</v>
      </c>
      <c r="K14640" s="36">
        <v>45352</v>
      </c>
      <c r="L14640" s="36">
        <v>45359</v>
      </c>
      <c r="M14640" t="s">
        <v>612</v>
      </c>
      <c r="N14640" t="s">
        <v>608</v>
      </c>
      <c r="O14640" s="37" t="str">
        <f t="shared" si="1143"/>
        <v>Cash Payment</v>
      </c>
      <c r="P14640">
        <v>75.13</v>
      </c>
      <c r="Q14640" s="37" t="str">
        <f>IF(P14640&gt;500,"High","low")</f>
        <v>low</v>
      </c>
      <c r="R14640" s="37" t="str">
        <f t="shared" si="1144"/>
        <v>AVERAGE</v>
      </c>
      <c r="S14640" t="s">
        <v>600</v>
      </c>
    </row>
    <row r="14641" spans="1:19" x14ac:dyDescent="0.2">
      <c r="A14641" t="s">
        <v>15252</v>
      </c>
      <c r="B14641" t="s">
        <v>75</v>
      </c>
      <c r="C14641" t="s">
        <v>607</v>
      </c>
      <c r="D14641">
        <v>3080.01</v>
      </c>
      <c r="E14641" s="37" t="str">
        <f t="shared" si="1140"/>
        <v xml:space="preserve"> </v>
      </c>
      <c r="F14641">
        <v>0.05</v>
      </c>
      <c r="G14641" s="37" t="str">
        <f t="shared" si="1141"/>
        <v>Normal Discount</v>
      </c>
      <c r="H14641" s="37" t="str">
        <f t="shared" si="1142"/>
        <v>Low</v>
      </c>
      <c r="I14641">
        <v>9</v>
      </c>
      <c r="J14641" t="str" cm="1">
        <f t="array" ref="J14641">_xlfn.IFS(I14641&lt;=3,"small",I14641&lt;=6,"Medium",I14641&lt;=9,"Large")</f>
        <v>Large</v>
      </c>
      <c r="K14641" s="36">
        <v>45560</v>
      </c>
      <c r="L14641" s="36">
        <v>45565</v>
      </c>
      <c r="M14641" t="s">
        <v>612</v>
      </c>
      <c r="N14641" t="s">
        <v>604</v>
      </c>
      <c r="O14641" s="37" t="str">
        <f t="shared" si="1143"/>
        <v>Digital Payment</v>
      </c>
      <c r="P14641">
        <v>863.98</v>
      </c>
      <c r="Q14641" s="37" t="str">
        <f>IF(P14641&gt;500,"High","low")</f>
        <v>High</v>
      </c>
      <c r="R14641" s="37" t="str">
        <f t="shared" si="1144"/>
        <v>Good</v>
      </c>
      <c r="S14641" t="s">
        <v>609</v>
      </c>
    </row>
    <row r="14642" spans="1:19" x14ac:dyDescent="0.2">
      <c r="A14642" t="s">
        <v>15253</v>
      </c>
      <c r="B14642" t="s">
        <v>83</v>
      </c>
      <c r="C14642" t="s">
        <v>597</v>
      </c>
      <c r="D14642">
        <v>1132.3399999999999</v>
      </c>
      <c r="E14642" s="37" t="str">
        <f t="shared" si="1140"/>
        <v xml:space="preserve"> </v>
      </c>
      <c r="F14642">
        <v>0.14000000000000001</v>
      </c>
      <c r="G14642" s="37" t="str">
        <f t="shared" si="1141"/>
        <v>Normal Discount</v>
      </c>
      <c r="H14642" s="37" t="str">
        <f t="shared" si="1142"/>
        <v>Low</v>
      </c>
      <c r="I14642">
        <v>7</v>
      </c>
      <c r="J14642" t="str" cm="1">
        <f t="array" ref="J14642">_xlfn.IFS(I14642&lt;=3,"small",I14642&lt;=6,"Medium",I14642&lt;=9,"Large")</f>
        <v>Large</v>
      </c>
      <c r="K14642" s="36">
        <v>45019</v>
      </c>
      <c r="L14642" s="36">
        <v>45023</v>
      </c>
      <c r="M14642" t="s">
        <v>598</v>
      </c>
      <c r="N14642" t="s">
        <v>608</v>
      </c>
      <c r="O14642" s="37" t="str">
        <f t="shared" si="1143"/>
        <v>Cash Payment</v>
      </c>
      <c r="P14642">
        <v>266.45</v>
      </c>
      <c r="Q14642" s="37" t="str">
        <f>IF(P14642&gt;500,"High","low")</f>
        <v>low</v>
      </c>
      <c r="R14642" s="37" t="str">
        <f t="shared" si="1144"/>
        <v>AVERAGE</v>
      </c>
      <c r="S14642" t="s">
        <v>600</v>
      </c>
    </row>
    <row r="14643" spans="1:19" x14ac:dyDescent="0.2">
      <c r="A14643" t="s">
        <v>15254</v>
      </c>
      <c r="B14643" t="s">
        <v>67</v>
      </c>
      <c r="C14643" t="s">
        <v>602</v>
      </c>
      <c r="D14643">
        <v>4265.67</v>
      </c>
      <c r="E14643" s="37" t="str">
        <f t="shared" si="1140"/>
        <v xml:space="preserve"> </v>
      </c>
      <c r="F14643">
        <v>0.17</v>
      </c>
      <c r="G14643" s="37" t="str">
        <f t="shared" si="1141"/>
        <v>Normal Discount</v>
      </c>
      <c r="H14643" s="37" t="str">
        <f t="shared" si="1142"/>
        <v>Low</v>
      </c>
      <c r="I14643">
        <v>2</v>
      </c>
      <c r="J14643" t="str" cm="1">
        <f t="array" ref="J14643">_xlfn.IFS(I14643&lt;=3,"small",I14643&lt;=6,"Medium",I14643&lt;=9,"Large")</f>
        <v>small</v>
      </c>
      <c r="K14643" s="36">
        <v>45468</v>
      </c>
      <c r="L14643" s="36">
        <v>45469</v>
      </c>
      <c r="M14643" t="s">
        <v>612</v>
      </c>
      <c r="N14643" t="s">
        <v>608</v>
      </c>
      <c r="O14643" s="37" t="str">
        <f t="shared" si="1143"/>
        <v>Cash Payment</v>
      </c>
      <c r="P14643">
        <v>659.89</v>
      </c>
      <c r="Q14643" s="37" t="str">
        <f>IF(P14643&gt;500,"High","low")</f>
        <v>High</v>
      </c>
      <c r="R14643" s="37" t="str">
        <f t="shared" si="1144"/>
        <v>Good</v>
      </c>
      <c r="S14643" t="s">
        <v>615</v>
      </c>
    </row>
    <row r="14644" spans="1:19" x14ac:dyDescent="0.2">
      <c r="A14644" t="s">
        <v>15255</v>
      </c>
      <c r="B14644" t="s">
        <v>75</v>
      </c>
      <c r="C14644" t="s">
        <v>602</v>
      </c>
      <c r="D14644">
        <v>2789.6</v>
      </c>
      <c r="E14644" s="37" t="str">
        <f t="shared" si="1140"/>
        <v xml:space="preserve"> </v>
      </c>
      <c r="F14644">
        <v>0.32</v>
      </c>
      <c r="G14644" s="37" t="str">
        <f t="shared" si="1141"/>
        <v>Heavy Discount</v>
      </c>
      <c r="H14644" s="37" t="str">
        <f t="shared" si="1142"/>
        <v>Medium</v>
      </c>
      <c r="I14644">
        <v>4</v>
      </c>
      <c r="J14644" t="str" cm="1">
        <f t="array" ref="J14644">_xlfn.IFS(I14644&lt;=3,"small",I14644&lt;=6,"Medium",I14644&lt;=9,"Large")</f>
        <v>Medium</v>
      </c>
      <c r="K14644" s="36">
        <v>45514</v>
      </c>
      <c r="L14644" s="36">
        <v>45518</v>
      </c>
      <c r="M14644" t="s">
        <v>598</v>
      </c>
      <c r="N14644" t="s">
        <v>608</v>
      </c>
      <c r="O14644" s="37" t="str">
        <f t="shared" si="1143"/>
        <v>Cash Payment</v>
      </c>
      <c r="P14644">
        <v>167.24</v>
      </c>
      <c r="Q14644" s="37" t="str">
        <f>IF(P14644&gt;500,"High","low")</f>
        <v>low</v>
      </c>
      <c r="R14644" s="37" t="str">
        <f t="shared" si="1144"/>
        <v>AVERAGE</v>
      </c>
      <c r="S14644" t="s">
        <v>620</v>
      </c>
    </row>
    <row r="14645" spans="1:19" x14ac:dyDescent="0.2">
      <c r="A14645" t="s">
        <v>15256</v>
      </c>
      <c r="B14645" t="s">
        <v>83</v>
      </c>
      <c r="C14645" t="s">
        <v>602</v>
      </c>
      <c r="D14645">
        <v>3694.16</v>
      </c>
      <c r="E14645" s="37" t="str">
        <f t="shared" si="1140"/>
        <v xml:space="preserve"> </v>
      </c>
      <c r="F14645">
        <v>0.09</v>
      </c>
      <c r="G14645" s="37" t="str">
        <f t="shared" si="1141"/>
        <v>Normal Discount</v>
      </c>
      <c r="H14645" s="37" t="str">
        <f t="shared" si="1142"/>
        <v>Low</v>
      </c>
      <c r="I14645">
        <v>8</v>
      </c>
      <c r="J14645" t="str" cm="1">
        <f t="array" ref="J14645">_xlfn.IFS(I14645&lt;=3,"small",I14645&lt;=6,"Medium",I14645&lt;=9,"Large")</f>
        <v>Large</v>
      </c>
      <c r="K14645" s="36">
        <v>45065</v>
      </c>
      <c r="L14645" s="36">
        <v>45072</v>
      </c>
      <c r="M14645" t="s">
        <v>612</v>
      </c>
      <c r="N14645" t="s">
        <v>604</v>
      </c>
      <c r="O14645" s="37" t="str">
        <f t="shared" si="1143"/>
        <v>Digital Payment</v>
      </c>
      <c r="P14645">
        <v>777.13</v>
      </c>
      <c r="Q14645" s="37" t="str">
        <f>IF(P14645&gt;500,"High","low")</f>
        <v>High</v>
      </c>
      <c r="R14645" s="37" t="str">
        <f t="shared" si="1144"/>
        <v>Good</v>
      </c>
      <c r="S14645" t="s">
        <v>605</v>
      </c>
    </row>
    <row r="14646" spans="1:19" x14ac:dyDescent="0.2">
      <c r="A14646" t="s">
        <v>15257</v>
      </c>
      <c r="B14646" t="s">
        <v>75</v>
      </c>
      <c r="C14646" t="s">
        <v>597</v>
      </c>
      <c r="D14646">
        <v>3400.13</v>
      </c>
      <c r="E14646" s="37" t="str">
        <f t="shared" si="1140"/>
        <v xml:space="preserve"> </v>
      </c>
      <c r="F14646">
        <v>0.27</v>
      </c>
      <c r="G14646" s="37" t="str">
        <f t="shared" si="1141"/>
        <v>Normal Discount</v>
      </c>
      <c r="H14646" s="37" t="str">
        <f t="shared" si="1142"/>
        <v>Medium</v>
      </c>
      <c r="I14646">
        <v>1</v>
      </c>
      <c r="J14646" t="str" cm="1">
        <f t="array" ref="J14646">_xlfn.IFS(I14646&lt;=3,"small",I14646&lt;=6,"Medium",I14646&lt;=9,"Large")</f>
        <v>small</v>
      </c>
      <c r="K14646" s="36">
        <v>45266</v>
      </c>
      <c r="L14646" s="36">
        <v>45270</v>
      </c>
      <c r="M14646" t="s">
        <v>612</v>
      </c>
      <c r="N14646" t="s">
        <v>599</v>
      </c>
      <c r="O14646" s="37" t="str">
        <f t="shared" si="1143"/>
        <v>Digital Payment</v>
      </c>
      <c r="P14646">
        <v>479.79</v>
      </c>
      <c r="Q14646" s="37" t="str">
        <f>IF(P14646&gt;500,"High","low")</f>
        <v>low</v>
      </c>
      <c r="R14646" s="37" t="str">
        <f t="shared" si="1144"/>
        <v>AVERAGE</v>
      </c>
      <c r="S14646" t="s">
        <v>620</v>
      </c>
    </row>
    <row r="14647" spans="1:19" x14ac:dyDescent="0.2">
      <c r="A14647" t="s">
        <v>15258</v>
      </c>
      <c r="B14647" t="s">
        <v>67</v>
      </c>
      <c r="C14647" t="s">
        <v>607</v>
      </c>
      <c r="D14647">
        <v>1801.92</v>
      </c>
      <c r="E14647" s="37" t="str">
        <f t="shared" si="1140"/>
        <v xml:space="preserve"> </v>
      </c>
      <c r="F14647">
        <v>0.09</v>
      </c>
      <c r="G14647" s="37" t="str">
        <f t="shared" si="1141"/>
        <v>Normal Discount</v>
      </c>
      <c r="H14647" s="37" t="str">
        <f t="shared" si="1142"/>
        <v>Low</v>
      </c>
      <c r="I14647">
        <v>6</v>
      </c>
      <c r="J14647" t="str" cm="1">
        <f t="array" ref="J14647">_xlfn.IFS(I14647&lt;=3,"small",I14647&lt;=6,"Medium",I14647&lt;=9,"Large")</f>
        <v>Medium</v>
      </c>
      <c r="K14647" s="36">
        <v>45211</v>
      </c>
      <c r="L14647" s="36">
        <v>45212</v>
      </c>
      <c r="M14647" t="s">
        <v>598</v>
      </c>
      <c r="N14647" t="s">
        <v>604</v>
      </c>
      <c r="O14647" s="37" t="str">
        <f t="shared" si="1143"/>
        <v>Digital Payment</v>
      </c>
      <c r="P14647">
        <v>121.63</v>
      </c>
      <c r="Q14647" s="37" t="str">
        <f>IF(P14647&gt;500,"High","low")</f>
        <v>low</v>
      </c>
      <c r="R14647" s="37" t="str">
        <f t="shared" si="1144"/>
        <v>AVERAGE</v>
      </c>
      <c r="S14647" t="s">
        <v>628</v>
      </c>
    </row>
    <row r="14648" spans="1:19" x14ac:dyDescent="0.2">
      <c r="A14648" t="s">
        <v>15259</v>
      </c>
      <c r="B14648" t="s">
        <v>75</v>
      </c>
      <c r="C14648" t="s">
        <v>602</v>
      </c>
      <c r="D14648">
        <v>3819.52</v>
      </c>
      <c r="E14648" s="37" t="str">
        <f t="shared" si="1140"/>
        <v xml:space="preserve"> </v>
      </c>
      <c r="F14648">
        <v>0.18</v>
      </c>
      <c r="G14648" s="37" t="str">
        <f t="shared" si="1141"/>
        <v>Normal Discount</v>
      </c>
      <c r="H14648" s="37" t="str">
        <f t="shared" si="1142"/>
        <v>Low</v>
      </c>
      <c r="I14648">
        <v>3</v>
      </c>
      <c r="J14648" t="str" cm="1">
        <f t="array" ref="J14648">_xlfn.IFS(I14648&lt;=3,"small",I14648&lt;=6,"Medium",I14648&lt;=9,"Large")</f>
        <v>small</v>
      </c>
      <c r="K14648" s="36">
        <v>45656</v>
      </c>
      <c r="L14648" s="36">
        <v>45660</v>
      </c>
      <c r="M14648" t="s">
        <v>603</v>
      </c>
      <c r="N14648" t="s">
        <v>604</v>
      </c>
      <c r="O14648" s="37" t="str">
        <f t="shared" si="1143"/>
        <v>Digital Payment</v>
      </c>
      <c r="P14648">
        <v>983.88</v>
      </c>
      <c r="Q14648" s="37" t="str">
        <f>IF(P14648&gt;500,"High","low")</f>
        <v>High</v>
      </c>
      <c r="R14648" s="37" t="str">
        <f t="shared" si="1144"/>
        <v>Good</v>
      </c>
      <c r="S14648" t="s">
        <v>620</v>
      </c>
    </row>
    <row r="14649" spans="1:19" x14ac:dyDescent="0.2">
      <c r="A14649" t="s">
        <v>15260</v>
      </c>
      <c r="B14649" t="s">
        <v>90</v>
      </c>
      <c r="C14649" t="s">
        <v>614</v>
      </c>
      <c r="D14649">
        <v>4232.54</v>
      </c>
      <c r="E14649" s="37" t="str">
        <f t="shared" si="1140"/>
        <v>Excellent Order</v>
      </c>
      <c r="F14649">
        <v>0.47</v>
      </c>
      <c r="G14649" s="37" t="str">
        <f t="shared" si="1141"/>
        <v>Heavy Discount</v>
      </c>
      <c r="H14649" s="37" t="str">
        <f t="shared" si="1142"/>
        <v>High</v>
      </c>
      <c r="I14649">
        <v>3</v>
      </c>
      <c r="J14649" t="str" cm="1">
        <f t="array" ref="J14649">_xlfn.IFS(I14649&lt;=3,"small",I14649&lt;=6,"Medium",I14649&lt;=9,"Large")</f>
        <v>small</v>
      </c>
      <c r="K14649" s="36">
        <v>45408</v>
      </c>
      <c r="L14649" s="36">
        <v>45415</v>
      </c>
      <c r="M14649" t="s">
        <v>603</v>
      </c>
      <c r="N14649" t="s">
        <v>604</v>
      </c>
      <c r="O14649" s="37" t="str">
        <f t="shared" si="1143"/>
        <v>Digital Payment</v>
      </c>
      <c r="P14649">
        <v>1202.58</v>
      </c>
      <c r="Q14649" s="37" t="str">
        <f>IF(P14649&gt;500,"High","low")</f>
        <v>High</v>
      </c>
      <c r="R14649" s="37" t="str">
        <f t="shared" si="1144"/>
        <v>Excellent</v>
      </c>
      <c r="S14649" t="s">
        <v>615</v>
      </c>
    </row>
    <row r="14650" spans="1:19" x14ac:dyDescent="0.2">
      <c r="A14650" t="s">
        <v>15261</v>
      </c>
      <c r="B14650" t="s">
        <v>83</v>
      </c>
      <c r="C14650" t="s">
        <v>614</v>
      </c>
      <c r="D14650">
        <v>3746.24</v>
      </c>
      <c r="E14650" s="37" t="str">
        <f t="shared" si="1140"/>
        <v xml:space="preserve"> </v>
      </c>
      <c r="F14650">
        <v>0.45</v>
      </c>
      <c r="G14650" s="37" t="str">
        <f t="shared" si="1141"/>
        <v>Heavy Discount</v>
      </c>
      <c r="H14650" s="37" t="str">
        <f t="shared" si="1142"/>
        <v>High</v>
      </c>
      <c r="I14650">
        <v>1</v>
      </c>
      <c r="J14650" t="str" cm="1">
        <f t="array" ref="J14650">_xlfn.IFS(I14650&lt;=3,"small",I14650&lt;=6,"Medium",I14650&lt;=9,"Large")</f>
        <v>small</v>
      </c>
      <c r="K14650" s="36">
        <v>45512</v>
      </c>
      <c r="L14650" s="36">
        <v>45515</v>
      </c>
      <c r="M14650" t="s">
        <v>612</v>
      </c>
      <c r="N14650" t="s">
        <v>608</v>
      </c>
      <c r="O14650" s="37" t="str">
        <f t="shared" si="1143"/>
        <v>Cash Payment</v>
      </c>
      <c r="P14650">
        <v>679.98</v>
      </c>
      <c r="Q14650" s="37" t="str">
        <f>IF(P14650&gt;500,"High","low")</f>
        <v>High</v>
      </c>
      <c r="R14650" s="37" t="str">
        <f t="shared" si="1144"/>
        <v>Good</v>
      </c>
      <c r="S14650" t="s">
        <v>609</v>
      </c>
    </row>
    <row r="14651" spans="1:19" x14ac:dyDescent="0.2">
      <c r="A14651" t="s">
        <v>15262</v>
      </c>
      <c r="B14651" t="s">
        <v>90</v>
      </c>
      <c r="C14651" t="s">
        <v>614</v>
      </c>
      <c r="D14651">
        <v>3906.35</v>
      </c>
      <c r="E14651" s="37" t="str">
        <f t="shared" si="1140"/>
        <v xml:space="preserve"> </v>
      </c>
      <c r="F14651">
        <v>0.48</v>
      </c>
      <c r="G14651" s="37" t="str">
        <f t="shared" si="1141"/>
        <v>Heavy Discount</v>
      </c>
      <c r="H14651" s="37" t="str">
        <f t="shared" si="1142"/>
        <v>High</v>
      </c>
      <c r="I14651">
        <v>8</v>
      </c>
      <c r="J14651" t="str" cm="1">
        <f t="array" ref="J14651">_xlfn.IFS(I14651&lt;=3,"small",I14651&lt;=6,"Medium",I14651&lt;=9,"Large")</f>
        <v>Large</v>
      </c>
      <c r="K14651" s="36">
        <v>45546</v>
      </c>
      <c r="L14651" s="36">
        <v>45551</v>
      </c>
      <c r="M14651" t="s">
        <v>603</v>
      </c>
      <c r="N14651" t="s">
        <v>604</v>
      </c>
      <c r="O14651" s="37" t="str">
        <f t="shared" si="1143"/>
        <v>Digital Payment</v>
      </c>
      <c r="P14651">
        <v>308.56</v>
      </c>
      <c r="Q14651" s="37" t="str">
        <f>IF(P14651&gt;500,"High","low")</f>
        <v>low</v>
      </c>
      <c r="R14651" s="37" t="str">
        <f t="shared" si="1144"/>
        <v>AVERAGE</v>
      </c>
      <c r="S14651" t="s">
        <v>615</v>
      </c>
    </row>
    <row r="14652" spans="1:19" x14ac:dyDescent="0.2">
      <c r="A14652" t="s">
        <v>15263</v>
      </c>
      <c r="B14652" t="s">
        <v>90</v>
      </c>
      <c r="C14652" t="s">
        <v>617</v>
      </c>
      <c r="D14652">
        <v>1864.08</v>
      </c>
      <c r="E14652" s="37" t="str">
        <f t="shared" si="1140"/>
        <v xml:space="preserve"> </v>
      </c>
      <c r="F14652">
        <v>0.3</v>
      </c>
      <c r="G14652" s="37" t="str">
        <f t="shared" si="1141"/>
        <v>Normal Discount</v>
      </c>
      <c r="H14652" s="37" t="str">
        <f t="shared" si="1142"/>
        <v>Medium</v>
      </c>
      <c r="I14652">
        <v>5</v>
      </c>
      <c r="J14652" t="str" cm="1">
        <f t="array" ref="J14652">_xlfn.IFS(I14652&lt;=3,"small",I14652&lt;=6,"Medium",I14652&lt;=9,"Large")</f>
        <v>Medium</v>
      </c>
      <c r="K14652" s="36">
        <v>45159</v>
      </c>
      <c r="L14652" s="36">
        <v>45166</v>
      </c>
      <c r="M14652" t="s">
        <v>612</v>
      </c>
      <c r="N14652" t="s">
        <v>599</v>
      </c>
      <c r="O14652" s="37" t="str">
        <f t="shared" si="1143"/>
        <v>Digital Payment</v>
      </c>
      <c r="P14652">
        <v>280.74</v>
      </c>
      <c r="Q14652" s="37" t="str">
        <f>IF(P14652&gt;500,"High","low")</f>
        <v>low</v>
      </c>
      <c r="R14652" s="37" t="str">
        <f t="shared" si="1144"/>
        <v>AVERAGE</v>
      </c>
      <c r="S14652" t="s">
        <v>609</v>
      </c>
    </row>
    <row r="14653" spans="1:19" x14ac:dyDescent="0.2">
      <c r="A14653" t="s">
        <v>15264</v>
      </c>
      <c r="B14653" t="s">
        <v>83</v>
      </c>
      <c r="C14653" t="s">
        <v>617</v>
      </c>
      <c r="D14653">
        <v>4724.07</v>
      </c>
      <c r="E14653" s="37" t="str">
        <f t="shared" si="1140"/>
        <v xml:space="preserve"> </v>
      </c>
      <c r="F14653">
        <v>0.25</v>
      </c>
      <c r="G14653" s="37" t="str">
        <f t="shared" si="1141"/>
        <v>Normal Discount</v>
      </c>
      <c r="H14653" s="37" t="str">
        <f t="shared" si="1142"/>
        <v>Medium</v>
      </c>
      <c r="I14653">
        <v>1</v>
      </c>
      <c r="J14653" t="str" cm="1">
        <f t="array" ref="J14653">_xlfn.IFS(I14653&lt;=3,"small",I14653&lt;=6,"Medium",I14653&lt;=9,"Large")</f>
        <v>small</v>
      </c>
      <c r="K14653" s="36">
        <v>45159</v>
      </c>
      <c r="L14653" s="36">
        <v>45166</v>
      </c>
      <c r="M14653" t="s">
        <v>603</v>
      </c>
      <c r="N14653" t="s">
        <v>608</v>
      </c>
      <c r="O14653" s="37" t="str">
        <f t="shared" si="1143"/>
        <v>Cash Payment</v>
      </c>
      <c r="P14653">
        <v>327.42</v>
      </c>
      <c r="Q14653" s="37" t="str">
        <f>IF(P14653&gt;500,"High","low")</f>
        <v>low</v>
      </c>
      <c r="R14653" s="37" t="str">
        <f t="shared" si="1144"/>
        <v>AVERAGE</v>
      </c>
      <c r="S14653" t="s">
        <v>628</v>
      </c>
    </row>
    <row r="14654" spans="1:19" x14ac:dyDescent="0.2">
      <c r="A14654" t="s">
        <v>15265</v>
      </c>
      <c r="B14654" t="s">
        <v>83</v>
      </c>
      <c r="C14654" t="s">
        <v>597</v>
      </c>
      <c r="D14654">
        <v>2180.4</v>
      </c>
      <c r="E14654" s="37" t="str">
        <f t="shared" si="1140"/>
        <v xml:space="preserve"> </v>
      </c>
      <c r="F14654">
        <v>0.42</v>
      </c>
      <c r="G14654" s="37" t="str">
        <f t="shared" si="1141"/>
        <v>Heavy Discount</v>
      </c>
      <c r="H14654" s="37" t="str">
        <f t="shared" si="1142"/>
        <v>High</v>
      </c>
      <c r="I14654">
        <v>5</v>
      </c>
      <c r="J14654" t="str" cm="1">
        <f t="array" ref="J14654">_xlfn.IFS(I14654&lt;=3,"small",I14654&lt;=6,"Medium",I14654&lt;=9,"Large")</f>
        <v>Medium</v>
      </c>
      <c r="K14654" s="36">
        <v>44965</v>
      </c>
      <c r="L14654" s="36">
        <v>44972</v>
      </c>
      <c r="M14654" t="s">
        <v>603</v>
      </c>
      <c r="N14654" t="s">
        <v>608</v>
      </c>
      <c r="O14654" s="37" t="str">
        <f t="shared" si="1143"/>
        <v>Cash Payment</v>
      </c>
      <c r="P14654">
        <v>546.11</v>
      </c>
      <c r="Q14654" s="37" t="str">
        <f>IF(P14654&gt;500,"High","low")</f>
        <v>High</v>
      </c>
      <c r="R14654" s="37" t="str">
        <f t="shared" si="1144"/>
        <v>Good</v>
      </c>
      <c r="S14654" t="s">
        <v>609</v>
      </c>
    </row>
    <row r="14655" spans="1:19" x14ac:dyDescent="0.2">
      <c r="A14655" t="s">
        <v>15266</v>
      </c>
      <c r="B14655" t="s">
        <v>75</v>
      </c>
      <c r="C14655" t="s">
        <v>602</v>
      </c>
      <c r="D14655">
        <v>4495.55</v>
      </c>
      <c r="E14655" s="37" t="str">
        <f t="shared" si="1140"/>
        <v>Excellent Order</v>
      </c>
      <c r="F14655">
        <v>0.04</v>
      </c>
      <c r="G14655" s="37" t="str">
        <f t="shared" si="1141"/>
        <v>Normal Discount</v>
      </c>
      <c r="H14655" s="37" t="str">
        <f t="shared" si="1142"/>
        <v>Low</v>
      </c>
      <c r="I14655">
        <v>5</v>
      </c>
      <c r="J14655" t="str" cm="1">
        <f t="array" ref="J14655">_xlfn.IFS(I14655&lt;=3,"small",I14655&lt;=6,"Medium",I14655&lt;=9,"Large")</f>
        <v>Medium</v>
      </c>
      <c r="K14655" s="36">
        <v>44986</v>
      </c>
      <c r="L14655" s="36">
        <v>44990</v>
      </c>
      <c r="M14655" t="s">
        <v>612</v>
      </c>
      <c r="N14655" t="s">
        <v>608</v>
      </c>
      <c r="O14655" s="37" t="str">
        <f t="shared" si="1143"/>
        <v>Cash Payment</v>
      </c>
      <c r="P14655">
        <v>832.93</v>
      </c>
      <c r="Q14655" s="37" t="str">
        <f>IF(P14655&gt;500,"High","low")</f>
        <v>High</v>
      </c>
      <c r="R14655" s="37" t="str">
        <f t="shared" si="1144"/>
        <v>Good</v>
      </c>
      <c r="S14655" t="s">
        <v>609</v>
      </c>
    </row>
    <row r="14656" spans="1:19" x14ac:dyDescent="0.2">
      <c r="A14656" t="s">
        <v>15267</v>
      </c>
      <c r="B14656" t="s">
        <v>83</v>
      </c>
      <c r="C14656" t="s">
        <v>617</v>
      </c>
      <c r="D14656">
        <v>4303.2700000000004</v>
      </c>
      <c r="E14656" s="37" t="str">
        <f t="shared" si="1140"/>
        <v xml:space="preserve"> </v>
      </c>
      <c r="F14656">
        <v>0.49</v>
      </c>
      <c r="G14656" s="37" t="str">
        <f t="shared" si="1141"/>
        <v>Heavy Discount</v>
      </c>
      <c r="H14656" s="37" t="str">
        <f t="shared" si="1142"/>
        <v>High</v>
      </c>
      <c r="I14656">
        <v>9</v>
      </c>
      <c r="J14656" t="str" cm="1">
        <f t="array" ref="J14656">_xlfn.IFS(I14656&lt;=3,"small",I14656&lt;=6,"Medium",I14656&lt;=9,"Large")</f>
        <v>Large</v>
      </c>
      <c r="K14656" s="36">
        <v>45534</v>
      </c>
      <c r="L14656" s="36">
        <v>45539</v>
      </c>
      <c r="M14656" t="s">
        <v>603</v>
      </c>
      <c r="N14656" t="s">
        <v>604</v>
      </c>
      <c r="O14656" s="37" t="str">
        <f t="shared" si="1143"/>
        <v>Digital Payment</v>
      </c>
      <c r="P14656">
        <v>638.36</v>
      </c>
      <c r="Q14656" s="37" t="str">
        <f>IF(P14656&gt;500,"High","low")</f>
        <v>High</v>
      </c>
      <c r="R14656" s="37" t="str">
        <f t="shared" si="1144"/>
        <v>Good</v>
      </c>
      <c r="S14656" t="s">
        <v>609</v>
      </c>
    </row>
    <row r="14657" spans="1:19" x14ac:dyDescent="0.2">
      <c r="A14657" t="s">
        <v>15268</v>
      </c>
      <c r="B14657" t="s">
        <v>90</v>
      </c>
      <c r="C14657" t="s">
        <v>614</v>
      </c>
      <c r="D14657">
        <v>709.22</v>
      </c>
      <c r="E14657" s="37" t="str">
        <f t="shared" si="1140"/>
        <v xml:space="preserve"> </v>
      </c>
      <c r="F14657">
        <v>0.23</v>
      </c>
      <c r="G14657" s="37" t="str">
        <f t="shared" si="1141"/>
        <v>Normal Discount</v>
      </c>
      <c r="H14657" s="37" t="str">
        <f t="shared" si="1142"/>
        <v>Medium</v>
      </c>
      <c r="I14657">
        <v>3</v>
      </c>
      <c r="J14657" t="str" cm="1">
        <f t="array" ref="J14657">_xlfn.IFS(I14657&lt;=3,"small",I14657&lt;=6,"Medium",I14657&lt;=9,"Large")</f>
        <v>small</v>
      </c>
      <c r="K14657" s="36">
        <v>45152</v>
      </c>
      <c r="L14657" s="36">
        <v>45159</v>
      </c>
      <c r="M14657" t="s">
        <v>598</v>
      </c>
      <c r="N14657" t="s">
        <v>599</v>
      </c>
      <c r="O14657" s="37" t="str">
        <f t="shared" si="1143"/>
        <v>Digital Payment</v>
      </c>
      <c r="P14657">
        <v>164.87</v>
      </c>
      <c r="Q14657" s="37" t="str">
        <f>IF(P14657&gt;500,"High","low")</f>
        <v>low</v>
      </c>
      <c r="R14657" s="37" t="str">
        <f t="shared" si="1144"/>
        <v>AVERAGE</v>
      </c>
      <c r="S14657" t="s">
        <v>628</v>
      </c>
    </row>
    <row r="14658" spans="1:19" x14ac:dyDescent="0.2">
      <c r="A14658" t="s">
        <v>15269</v>
      </c>
      <c r="B14658" t="s">
        <v>90</v>
      </c>
      <c r="C14658" t="s">
        <v>617</v>
      </c>
      <c r="D14658">
        <v>4834.7299999999996</v>
      </c>
      <c r="E14658" s="37" t="str">
        <f t="shared" si="1140"/>
        <v>Excellent Order</v>
      </c>
      <c r="F14658">
        <v>0.34</v>
      </c>
      <c r="G14658" s="37" t="str">
        <f t="shared" si="1141"/>
        <v>Heavy Discount</v>
      </c>
      <c r="H14658" s="37" t="str">
        <f t="shared" si="1142"/>
        <v>Medium</v>
      </c>
      <c r="I14658">
        <v>9</v>
      </c>
      <c r="J14658" t="str" cm="1">
        <f t="array" ref="J14658">_xlfn.IFS(I14658&lt;=3,"small",I14658&lt;=6,"Medium",I14658&lt;=9,"Large")</f>
        <v>Large</v>
      </c>
      <c r="K14658" s="36">
        <v>45535</v>
      </c>
      <c r="L14658" s="36">
        <v>45541</v>
      </c>
      <c r="M14658" t="s">
        <v>603</v>
      </c>
      <c r="N14658" t="s">
        <v>608</v>
      </c>
      <c r="O14658" s="37" t="str">
        <f t="shared" si="1143"/>
        <v>Cash Payment</v>
      </c>
      <c r="P14658">
        <v>1253.32</v>
      </c>
      <c r="Q14658" s="37" t="str">
        <f>IF(P14658&gt;500,"High","low")</f>
        <v>High</v>
      </c>
      <c r="R14658" s="37" t="str">
        <f t="shared" si="1144"/>
        <v>Excellent</v>
      </c>
      <c r="S14658" t="s">
        <v>605</v>
      </c>
    </row>
    <row r="14659" spans="1:19" x14ac:dyDescent="0.2">
      <c r="A14659" t="s">
        <v>15270</v>
      </c>
      <c r="B14659" t="s">
        <v>67</v>
      </c>
      <c r="C14659" t="s">
        <v>614</v>
      </c>
      <c r="D14659">
        <v>4982.07</v>
      </c>
      <c r="E14659" s="37" t="str">
        <f t="shared" ref="E14659:E14722" si="1145">IF(AND(D14659&gt;4000,P14659&gt;800),"Excellent Order"," ")</f>
        <v>Excellent Order</v>
      </c>
      <c r="F14659">
        <v>0.36</v>
      </c>
      <c r="G14659" s="37" t="str">
        <f t="shared" ref="G14659:G14722" si="1146">IF(F14659&gt;30%,"Heavy Discount","Normal Discount")</f>
        <v>Heavy Discount</v>
      </c>
      <c r="H14659" s="37" t="str">
        <f t="shared" ref="H14659:H14722" si="1147">IF(F14659&gt;0.4,"High",IF(F14659&gt;=0.2,"Medium","Low"))</f>
        <v>Medium</v>
      </c>
      <c r="I14659">
        <v>8</v>
      </c>
      <c r="J14659" t="str" cm="1">
        <f t="array" ref="J14659">_xlfn.IFS(I14659&lt;=3,"small",I14659&lt;=6,"Medium",I14659&lt;=9,"Large")</f>
        <v>Large</v>
      </c>
      <c r="K14659" s="36">
        <v>45406</v>
      </c>
      <c r="L14659" s="36">
        <v>45408</v>
      </c>
      <c r="M14659" t="s">
        <v>612</v>
      </c>
      <c r="N14659" t="s">
        <v>608</v>
      </c>
      <c r="O14659" s="37" t="str">
        <f t="shared" ref="O14659:O14722" si="1148">IF(OR(N14659="Card",N14659="UPI"),"Digital Payment","Cash Payment")</f>
        <v>Cash Payment</v>
      </c>
      <c r="P14659">
        <v>1224.24</v>
      </c>
      <c r="Q14659" s="37" t="str">
        <f>IF(P14659&gt;500,"High","low")</f>
        <v>High</v>
      </c>
      <c r="R14659" s="37" t="str">
        <f t="shared" ref="R14659:R14722" si="1149">IF(P14659&gt;1000,"Excellent",IF(P14659&gt;=500,"Good","AVERAGE"))</f>
        <v>Excellent</v>
      </c>
      <c r="S14659" t="s">
        <v>620</v>
      </c>
    </row>
    <row r="14660" spans="1:19" x14ac:dyDescent="0.2">
      <c r="A14660" t="s">
        <v>15271</v>
      </c>
      <c r="B14660" t="s">
        <v>83</v>
      </c>
      <c r="C14660" t="s">
        <v>602</v>
      </c>
      <c r="D14660">
        <v>3070.12</v>
      </c>
      <c r="E14660" s="37" t="str">
        <f t="shared" si="1145"/>
        <v xml:space="preserve"> </v>
      </c>
      <c r="F14660">
        <v>0.31</v>
      </c>
      <c r="G14660" s="37" t="str">
        <f t="shared" si="1146"/>
        <v>Heavy Discount</v>
      </c>
      <c r="H14660" s="37" t="str">
        <f t="shared" si="1147"/>
        <v>Medium</v>
      </c>
      <c r="I14660">
        <v>2</v>
      </c>
      <c r="J14660" t="str" cm="1">
        <f t="array" ref="J14660">_xlfn.IFS(I14660&lt;=3,"small",I14660&lt;=6,"Medium",I14660&lt;=9,"Large")</f>
        <v>small</v>
      </c>
      <c r="K14660" s="36">
        <v>45332</v>
      </c>
      <c r="L14660" s="36">
        <v>45336</v>
      </c>
      <c r="M14660" t="s">
        <v>603</v>
      </c>
      <c r="N14660" t="s">
        <v>599</v>
      </c>
      <c r="O14660" s="37" t="str">
        <f t="shared" si="1148"/>
        <v>Digital Payment</v>
      </c>
      <c r="P14660">
        <v>783.74</v>
      </c>
      <c r="Q14660" s="37" t="str">
        <f>IF(P14660&gt;500,"High","low")</f>
        <v>High</v>
      </c>
      <c r="R14660" s="37" t="str">
        <f t="shared" si="1149"/>
        <v>Good</v>
      </c>
      <c r="S14660" t="s">
        <v>620</v>
      </c>
    </row>
    <row r="14661" spans="1:19" x14ac:dyDescent="0.2">
      <c r="A14661" t="s">
        <v>15272</v>
      </c>
      <c r="B14661" t="s">
        <v>90</v>
      </c>
      <c r="C14661" t="s">
        <v>597</v>
      </c>
      <c r="D14661">
        <v>3937.24</v>
      </c>
      <c r="E14661" s="37" t="str">
        <f t="shared" si="1145"/>
        <v xml:space="preserve"> </v>
      </c>
      <c r="F14661">
        <v>0.45</v>
      </c>
      <c r="G14661" s="37" t="str">
        <f t="shared" si="1146"/>
        <v>Heavy Discount</v>
      </c>
      <c r="H14661" s="37" t="str">
        <f t="shared" si="1147"/>
        <v>High</v>
      </c>
      <c r="I14661">
        <v>9</v>
      </c>
      <c r="J14661" t="str" cm="1">
        <f t="array" ref="J14661">_xlfn.IFS(I14661&lt;=3,"small",I14661&lt;=6,"Medium",I14661&lt;=9,"Large")</f>
        <v>Large</v>
      </c>
      <c r="K14661" s="36">
        <v>45299</v>
      </c>
      <c r="L14661" s="36">
        <v>45301</v>
      </c>
      <c r="M14661" t="s">
        <v>598</v>
      </c>
      <c r="N14661" t="s">
        <v>599</v>
      </c>
      <c r="O14661" s="37" t="str">
        <f t="shared" si="1148"/>
        <v>Digital Payment</v>
      </c>
      <c r="P14661">
        <v>1051.17</v>
      </c>
      <c r="Q14661" s="37" t="str">
        <f>IF(P14661&gt;500,"High","low")</f>
        <v>High</v>
      </c>
      <c r="R14661" s="37" t="str">
        <f t="shared" si="1149"/>
        <v>Excellent</v>
      </c>
      <c r="S14661" t="s">
        <v>605</v>
      </c>
    </row>
    <row r="14662" spans="1:19" x14ac:dyDescent="0.2">
      <c r="A14662" t="s">
        <v>15273</v>
      </c>
      <c r="B14662" t="s">
        <v>67</v>
      </c>
      <c r="C14662" t="s">
        <v>607</v>
      </c>
      <c r="D14662">
        <v>4675.07</v>
      </c>
      <c r="E14662" s="37" t="str">
        <f t="shared" si="1145"/>
        <v xml:space="preserve"> </v>
      </c>
      <c r="F14662">
        <v>0.14000000000000001</v>
      </c>
      <c r="G14662" s="37" t="str">
        <f t="shared" si="1146"/>
        <v>Normal Discount</v>
      </c>
      <c r="H14662" s="37" t="str">
        <f t="shared" si="1147"/>
        <v>Low</v>
      </c>
      <c r="I14662">
        <v>5</v>
      </c>
      <c r="J14662" t="str" cm="1">
        <f t="array" ref="J14662">_xlfn.IFS(I14662&lt;=3,"small",I14662&lt;=6,"Medium",I14662&lt;=9,"Large")</f>
        <v>Medium</v>
      </c>
      <c r="K14662" s="36">
        <v>45269</v>
      </c>
      <c r="L14662" s="36">
        <v>45274</v>
      </c>
      <c r="M14662" t="s">
        <v>598</v>
      </c>
      <c r="N14662" t="s">
        <v>604</v>
      </c>
      <c r="O14662" s="37" t="str">
        <f t="shared" si="1148"/>
        <v>Digital Payment</v>
      </c>
      <c r="P14662">
        <v>781.11</v>
      </c>
      <c r="Q14662" s="37" t="str">
        <f>IF(P14662&gt;500,"High","low")</f>
        <v>High</v>
      </c>
      <c r="R14662" s="37" t="str">
        <f t="shared" si="1149"/>
        <v>Good</v>
      </c>
      <c r="S14662" t="s">
        <v>620</v>
      </c>
    </row>
    <row r="14663" spans="1:19" x14ac:dyDescent="0.2">
      <c r="A14663" t="s">
        <v>15274</v>
      </c>
      <c r="B14663" t="s">
        <v>67</v>
      </c>
      <c r="C14663" t="s">
        <v>607</v>
      </c>
      <c r="D14663">
        <v>198.12</v>
      </c>
      <c r="E14663" s="37" t="str">
        <f t="shared" si="1145"/>
        <v xml:space="preserve"> </v>
      </c>
      <c r="F14663">
        <v>0.27</v>
      </c>
      <c r="G14663" s="37" t="str">
        <f t="shared" si="1146"/>
        <v>Normal Discount</v>
      </c>
      <c r="H14663" s="37" t="str">
        <f t="shared" si="1147"/>
        <v>Medium</v>
      </c>
      <c r="I14663">
        <v>8</v>
      </c>
      <c r="J14663" t="str" cm="1">
        <f t="array" ref="J14663">_xlfn.IFS(I14663&lt;=3,"small",I14663&lt;=6,"Medium",I14663&lt;=9,"Large")</f>
        <v>Large</v>
      </c>
      <c r="K14663" s="36">
        <v>45649</v>
      </c>
      <c r="L14663" s="36">
        <v>45650</v>
      </c>
      <c r="M14663" t="s">
        <v>603</v>
      </c>
      <c r="N14663" t="s">
        <v>599</v>
      </c>
      <c r="O14663" s="37" t="str">
        <f t="shared" si="1148"/>
        <v>Digital Payment</v>
      </c>
      <c r="P14663">
        <v>42.56</v>
      </c>
      <c r="Q14663" s="37" t="str">
        <f>IF(P14663&gt;500,"High","low")</f>
        <v>low</v>
      </c>
      <c r="R14663" s="37" t="str">
        <f t="shared" si="1149"/>
        <v>AVERAGE</v>
      </c>
      <c r="S14663" t="s">
        <v>605</v>
      </c>
    </row>
    <row r="14664" spans="1:19" x14ac:dyDescent="0.2">
      <c r="A14664" t="s">
        <v>15275</v>
      </c>
      <c r="B14664" t="s">
        <v>75</v>
      </c>
      <c r="C14664" t="s">
        <v>614</v>
      </c>
      <c r="D14664">
        <v>4656.95</v>
      </c>
      <c r="E14664" s="37" t="str">
        <f t="shared" si="1145"/>
        <v>Excellent Order</v>
      </c>
      <c r="F14664">
        <v>0.22</v>
      </c>
      <c r="G14664" s="37" t="str">
        <f t="shared" si="1146"/>
        <v>Normal Discount</v>
      </c>
      <c r="H14664" s="37" t="str">
        <f t="shared" si="1147"/>
        <v>Medium</v>
      </c>
      <c r="I14664">
        <v>8</v>
      </c>
      <c r="J14664" t="str" cm="1">
        <f t="array" ref="J14664">_xlfn.IFS(I14664&lt;=3,"small",I14664&lt;=6,"Medium",I14664&lt;=9,"Large")</f>
        <v>Large</v>
      </c>
      <c r="K14664" s="36">
        <v>45333</v>
      </c>
      <c r="L14664" s="36">
        <v>45338</v>
      </c>
      <c r="M14664" t="s">
        <v>612</v>
      </c>
      <c r="N14664" t="s">
        <v>608</v>
      </c>
      <c r="O14664" s="37" t="str">
        <f t="shared" si="1148"/>
        <v>Cash Payment</v>
      </c>
      <c r="P14664">
        <v>920.26</v>
      </c>
      <c r="Q14664" s="37" t="str">
        <f>IF(P14664&gt;500,"High","low")</f>
        <v>High</v>
      </c>
      <c r="R14664" s="37" t="str">
        <f t="shared" si="1149"/>
        <v>Good</v>
      </c>
      <c r="S14664" t="s">
        <v>600</v>
      </c>
    </row>
    <row r="14665" spans="1:19" x14ac:dyDescent="0.2">
      <c r="A14665" t="s">
        <v>15276</v>
      </c>
      <c r="B14665" t="s">
        <v>90</v>
      </c>
      <c r="C14665" t="s">
        <v>617</v>
      </c>
      <c r="D14665">
        <v>3174.09</v>
      </c>
      <c r="E14665" s="37" t="str">
        <f t="shared" si="1145"/>
        <v xml:space="preserve"> </v>
      </c>
      <c r="F14665">
        <v>0.35</v>
      </c>
      <c r="G14665" s="37" t="str">
        <f t="shared" si="1146"/>
        <v>Heavy Discount</v>
      </c>
      <c r="H14665" s="37" t="str">
        <f t="shared" si="1147"/>
        <v>Medium</v>
      </c>
      <c r="I14665">
        <v>4</v>
      </c>
      <c r="J14665" t="str" cm="1">
        <f t="array" ref="J14665">_xlfn.IFS(I14665&lt;=3,"small",I14665&lt;=6,"Medium",I14665&lt;=9,"Large")</f>
        <v>Medium</v>
      </c>
      <c r="K14665" s="36">
        <v>45201</v>
      </c>
      <c r="L14665" s="36">
        <v>45204</v>
      </c>
      <c r="M14665" t="s">
        <v>598</v>
      </c>
      <c r="N14665" t="s">
        <v>604</v>
      </c>
      <c r="O14665" s="37" t="str">
        <f t="shared" si="1148"/>
        <v>Digital Payment</v>
      </c>
      <c r="P14665">
        <v>260.16000000000003</v>
      </c>
      <c r="Q14665" s="37" t="str">
        <f>IF(P14665&gt;500,"High","low")</f>
        <v>low</v>
      </c>
      <c r="R14665" s="37" t="str">
        <f t="shared" si="1149"/>
        <v>AVERAGE</v>
      </c>
      <c r="S14665" t="s">
        <v>600</v>
      </c>
    </row>
    <row r="14666" spans="1:19" x14ac:dyDescent="0.2">
      <c r="A14666" t="s">
        <v>15277</v>
      </c>
      <c r="B14666" t="s">
        <v>75</v>
      </c>
      <c r="C14666" t="s">
        <v>617</v>
      </c>
      <c r="D14666">
        <v>4159.4399999999996</v>
      </c>
      <c r="E14666" s="37" t="str">
        <f t="shared" si="1145"/>
        <v xml:space="preserve"> </v>
      </c>
      <c r="F14666">
        <v>0.2</v>
      </c>
      <c r="G14666" s="37" t="str">
        <f t="shared" si="1146"/>
        <v>Normal Discount</v>
      </c>
      <c r="H14666" s="37" t="str">
        <f t="shared" si="1147"/>
        <v>Medium</v>
      </c>
      <c r="I14666">
        <v>1</v>
      </c>
      <c r="J14666" t="str" cm="1">
        <f t="array" ref="J14666">_xlfn.IFS(I14666&lt;=3,"small",I14666&lt;=6,"Medium",I14666&lt;=9,"Large")</f>
        <v>small</v>
      </c>
      <c r="K14666" s="36">
        <v>44948</v>
      </c>
      <c r="L14666" s="36">
        <v>44951</v>
      </c>
      <c r="M14666" t="s">
        <v>598</v>
      </c>
      <c r="N14666" t="s">
        <v>599</v>
      </c>
      <c r="O14666" s="37" t="str">
        <f t="shared" si="1148"/>
        <v>Digital Payment</v>
      </c>
      <c r="P14666">
        <v>456.49</v>
      </c>
      <c r="Q14666" s="37" t="str">
        <f>IF(P14666&gt;500,"High","low")</f>
        <v>low</v>
      </c>
      <c r="R14666" s="37" t="str">
        <f t="shared" si="1149"/>
        <v>AVERAGE</v>
      </c>
      <c r="S14666" t="s">
        <v>600</v>
      </c>
    </row>
    <row r="14667" spans="1:19" x14ac:dyDescent="0.2">
      <c r="A14667" t="s">
        <v>15278</v>
      </c>
      <c r="B14667" t="s">
        <v>90</v>
      </c>
      <c r="C14667" t="s">
        <v>614</v>
      </c>
      <c r="D14667">
        <v>2749.54</v>
      </c>
      <c r="E14667" s="37" t="str">
        <f t="shared" si="1145"/>
        <v xml:space="preserve"> </v>
      </c>
      <c r="F14667">
        <v>0.45</v>
      </c>
      <c r="G14667" s="37" t="str">
        <f t="shared" si="1146"/>
        <v>Heavy Discount</v>
      </c>
      <c r="H14667" s="37" t="str">
        <f t="shared" si="1147"/>
        <v>High</v>
      </c>
      <c r="I14667">
        <v>9</v>
      </c>
      <c r="J14667" t="str" cm="1">
        <f t="array" ref="J14667">_xlfn.IFS(I14667&lt;=3,"small",I14667&lt;=6,"Medium",I14667&lt;=9,"Large")</f>
        <v>Large</v>
      </c>
      <c r="K14667" s="36">
        <v>45565</v>
      </c>
      <c r="L14667" s="36">
        <v>45570</v>
      </c>
      <c r="M14667" t="s">
        <v>612</v>
      </c>
      <c r="N14667" t="s">
        <v>604</v>
      </c>
      <c r="O14667" s="37" t="str">
        <f t="shared" si="1148"/>
        <v>Digital Payment</v>
      </c>
      <c r="P14667">
        <v>255.56</v>
      </c>
      <c r="Q14667" s="37" t="str">
        <f>IF(P14667&gt;500,"High","low")</f>
        <v>low</v>
      </c>
      <c r="R14667" s="37" t="str">
        <f t="shared" si="1149"/>
        <v>AVERAGE</v>
      </c>
      <c r="S14667" t="s">
        <v>615</v>
      </c>
    </row>
    <row r="14668" spans="1:19" x14ac:dyDescent="0.2">
      <c r="A14668" t="s">
        <v>15279</v>
      </c>
      <c r="B14668" t="s">
        <v>75</v>
      </c>
      <c r="C14668" t="s">
        <v>602</v>
      </c>
      <c r="D14668">
        <v>2699.68</v>
      </c>
      <c r="E14668" s="37" t="str">
        <f t="shared" si="1145"/>
        <v xml:space="preserve"> </v>
      </c>
      <c r="F14668">
        <v>0.25</v>
      </c>
      <c r="G14668" s="37" t="str">
        <f t="shared" si="1146"/>
        <v>Normal Discount</v>
      </c>
      <c r="H14668" s="37" t="str">
        <f t="shared" si="1147"/>
        <v>Medium</v>
      </c>
      <c r="I14668">
        <v>6</v>
      </c>
      <c r="J14668" t="str" cm="1">
        <f t="array" ref="J14668">_xlfn.IFS(I14668&lt;=3,"small",I14668&lt;=6,"Medium",I14668&lt;=9,"Large")</f>
        <v>Medium</v>
      </c>
      <c r="K14668" s="36">
        <v>45311</v>
      </c>
      <c r="L14668" s="36">
        <v>45316</v>
      </c>
      <c r="M14668" t="s">
        <v>598</v>
      </c>
      <c r="N14668" t="s">
        <v>604</v>
      </c>
      <c r="O14668" s="37" t="str">
        <f t="shared" si="1148"/>
        <v>Digital Payment</v>
      </c>
      <c r="P14668">
        <v>573.11</v>
      </c>
      <c r="Q14668" s="37" t="str">
        <f>IF(P14668&gt;500,"High","low")</f>
        <v>High</v>
      </c>
      <c r="R14668" s="37" t="str">
        <f t="shared" si="1149"/>
        <v>Good</v>
      </c>
      <c r="S14668" t="s">
        <v>620</v>
      </c>
    </row>
    <row r="14669" spans="1:19" x14ac:dyDescent="0.2">
      <c r="A14669" t="s">
        <v>15280</v>
      </c>
      <c r="B14669" t="s">
        <v>75</v>
      </c>
      <c r="C14669" t="s">
        <v>614</v>
      </c>
      <c r="D14669">
        <v>4497.84</v>
      </c>
      <c r="E14669" s="37" t="str">
        <f t="shared" si="1145"/>
        <v>Excellent Order</v>
      </c>
      <c r="F14669">
        <v>0.27</v>
      </c>
      <c r="G14669" s="37" t="str">
        <f t="shared" si="1146"/>
        <v>Normal Discount</v>
      </c>
      <c r="H14669" s="37" t="str">
        <f t="shared" si="1147"/>
        <v>Medium</v>
      </c>
      <c r="I14669">
        <v>2</v>
      </c>
      <c r="J14669" t="str" cm="1">
        <f t="array" ref="J14669">_xlfn.IFS(I14669&lt;=3,"small",I14669&lt;=6,"Medium",I14669&lt;=9,"Large")</f>
        <v>small</v>
      </c>
      <c r="K14669" s="36">
        <v>45600</v>
      </c>
      <c r="L14669" s="36">
        <v>45602</v>
      </c>
      <c r="M14669" t="s">
        <v>598</v>
      </c>
      <c r="N14669" t="s">
        <v>599</v>
      </c>
      <c r="O14669" s="37" t="str">
        <f t="shared" si="1148"/>
        <v>Digital Payment</v>
      </c>
      <c r="P14669">
        <v>1195.56</v>
      </c>
      <c r="Q14669" s="37" t="str">
        <f>IF(P14669&gt;500,"High","low")</f>
        <v>High</v>
      </c>
      <c r="R14669" s="37" t="str">
        <f t="shared" si="1149"/>
        <v>Excellent</v>
      </c>
      <c r="S14669" t="s">
        <v>609</v>
      </c>
    </row>
    <row r="14670" spans="1:19" x14ac:dyDescent="0.2">
      <c r="A14670" t="s">
        <v>15281</v>
      </c>
      <c r="B14670" t="s">
        <v>83</v>
      </c>
      <c r="C14670" t="s">
        <v>602</v>
      </c>
      <c r="D14670">
        <v>2586.61</v>
      </c>
      <c r="E14670" s="37" t="str">
        <f t="shared" si="1145"/>
        <v xml:space="preserve"> </v>
      </c>
      <c r="F14670">
        <v>0.25</v>
      </c>
      <c r="G14670" s="37" t="str">
        <f t="shared" si="1146"/>
        <v>Normal Discount</v>
      </c>
      <c r="H14670" s="37" t="str">
        <f t="shared" si="1147"/>
        <v>Medium</v>
      </c>
      <c r="I14670">
        <v>4</v>
      </c>
      <c r="J14670" t="str" cm="1">
        <f t="array" ref="J14670">_xlfn.IFS(I14670&lt;=3,"small",I14670&lt;=6,"Medium",I14670&lt;=9,"Large")</f>
        <v>Medium</v>
      </c>
      <c r="K14670" s="36">
        <v>44952</v>
      </c>
      <c r="L14670" s="36">
        <v>44954</v>
      </c>
      <c r="M14670" t="s">
        <v>598</v>
      </c>
      <c r="N14670" t="s">
        <v>608</v>
      </c>
      <c r="O14670" s="37" t="str">
        <f t="shared" si="1148"/>
        <v>Cash Payment</v>
      </c>
      <c r="P14670">
        <v>619.72</v>
      </c>
      <c r="Q14670" s="37" t="str">
        <f>IF(P14670&gt;500,"High","low")</f>
        <v>High</v>
      </c>
      <c r="R14670" s="37" t="str">
        <f t="shared" si="1149"/>
        <v>Good</v>
      </c>
      <c r="S14670" t="s">
        <v>628</v>
      </c>
    </row>
    <row r="14671" spans="1:19" x14ac:dyDescent="0.2">
      <c r="A14671" t="s">
        <v>15282</v>
      </c>
      <c r="B14671" t="s">
        <v>75</v>
      </c>
      <c r="C14671" t="s">
        <v>597</v>
      </c>
      <c r="D14671">
        <v>2411.77</v>
      </c>
      <c r="E14671" s="37" t="str">
        <f t="shared" si="1145"/>
        <v xml:space="preserve"> </v>
      </c>
      <c r="F14671">
        <v>0.31</v>
      </c>
      <c r="G14671" s="37" t="str">
        <f t="shared" si="1146"/>
        <v>Heavy Discount</v>
      </c>
      <c r="H14671" s="37" t="str">
        <f t="shared" si="1147"/>
        <v>Medium</v>
      </c>
      <c r="I14671">
        <v>5</v>
      </c>
      <c r="J14671" t="str" cm="1">
        <f t="array" ref="J14671">_xlfn.IFS(I14671&lt;=3,"small",I14671&lt;=6,"Medium",I14671&lt;=9,"Large")</f>
        <v>Medium</v>
      </c>
      <c r="K14671" s="36">
        <v>45442</v>
      </c>
      <c r="L14671" s="36">
        <v>45446</v>
      </c>
      <c r="M14671" t="s">
        <v>612</v>
      </c>
      <c r="N14671" t="s">
        <v>599</v>
      </c>
      <c r="O14671" s="37" t="str">
        <f t="shared" si="1148"/>
        <v>Digital Payment</v>
      </c>
      <c r="P14671">
        <v>348.03</v>
      </c>
      <c r="Q14671" s="37" t="str">
        <f>IF(P14671&gt;500,"High","low")</f>
        <v>low</v>
      </c>
      <c r="R14671" s="37" t="str">
        <f t="shared" si="1149"/>
        <v>AVERAGE</v>
      </c>
      <c r="S14671" t="s">
        <v>628</v>
      </c>
    </row>
    <row r="14672" spans="1:19" x14ac:dyDescent="0.2">
      <c r="A14672" t="s">
        <v>15283</v>
      </c>
      <c r="B14672" t="s">
        <v>83</v>
      </c>
      <c r="C14672" t="s">
        <v>597</v>
      </c>
      <c r="D14672">
        <v>3080.13</v>
      </c>
      <c r="E14672" s="37" t="str">
        <f t="shared" si="1145"/>
        <v xml:space="preserve"> </v>
      </c>
      <c r="F14672">
        <v>0.26</v>
      </c>
      <c r="G14672" s="37" t="str">
        <f t="shared" si="1146"/>
        <v>Normal Discount</v>
      </c>
      <c r="H14672" s="37" t="str">
        <f t="shared" si="1147"/>
        <v>Medium</v>
      </c>
      <c r="I14672">
        <v>6</v>
      </c>
      <c r="J14672" t="str" cm="1">
        <f t="array" ref="J14672">_xlfn.IFS(I14672&lt;=3,"small",I14672&lt;=6,"Medium",I14672&lt;=9,"Large")</f>
        <v>Medium</v>
      </c>
      <c r="K14672" s="36">
        <v>45614</v>
      </c>
      <c r="L14672" s="36">
        <v>45616</v>
      </c>
      <c r="M14672" t="s">
        <v>598</v>
      </c>
      <c r="N14672" t="s">
        <v>604</v>
      </c>
      <c r="O14672" s="37" t="str">
        <f t="shared" si="1148"/>
        <v>Digital Payment</v>
      </c>
      <c r="P14672">
        <v>660.78</v>
      </c>
      <c r="Q14672" s="37" t="str">
        <f>IF(P14672&gt;500,"High","low")</f>
        <v>High</v>
      </c>
      <c r="R14672" s="37" t="str">
        <f t="shared" si="1149"/>
        <v>Good</v>
      </c>
      <c r="S14672" t="s">
        <v>600</v>
      </c>
    </row>
    <row r="14673" spans="1:19" x14ac:dyDescent="0.2">
      <c r="A14673" t="s">
        <v>15284</v>
      </c>
      <c r="B14673" t="s">
        <v>67</v>
      </c>
      <c r="C14673" t="s">
        <v>614</v>
      </c>
      <c r="D14673">
        <v>2640.99</v>
      </c>
      <c r="E14673" s="37" t="str">
        <f t="shared" si="1145"/>
        <v xml:space="preserve"> </v>
      </c>
      <c r="F14673">
        <v>0.47</v>
      </c>
      <c r="G14673" s="37" t="str">
        <f t="shared" si="1146"/>
        <v>Heavy Discount</v>
      </c>
      <c r="H14673" s="37" t="str">
        <f t="shared" si="1147"/>
        <v>High</v>
      </c>
      <c r="I14673">
        <v>5</v>
      </c>
      <c r="J14673" t="str" cm="1">
        <f t="array" ref="J14673">_xlfn.IFS(I14673&lt;=3,"small",I14673&lt;=6,"Medium",I14673&lt;=9,"Large")</f>
        <v>Medium</v>
      </c>
      <c r="K14673" s="36">
        <v>45483</v>
      </c>
      <c r="L14673" s="36">
        <v>45489</v>
      </c>
      <c r="M14673" t="s">
        <v>612</v>
      </c>
      <c r="N14673" t="s">
        <v>608</v>
      </c>
      <c r="O14673" s="37" t="str">
        <f t="shared" si="1148"/>
        <v>Cash Payment</v>
      </c>
      <c r="P14673">
        <v>402.72</v>
      </c>
      <c r="Q14673" s="37" t="str">
        <f>IF(P14673&gt;500,"High","low")</f>
        <v>low</v>
      </c>
      <c r="R14673" s="37" t="str">
        <f t="shared" si="1149"/>
        <v>AVERAGE</v>
      </c>
      <c r="S14673" t="s">
        <v>615</v>
      </c>
    </row>
    <row r="14674" spans="1:19" x14ac:dyDescent="0.2">
      <c r="A14674" t="s">
        <v>15285</v>
      </c>
      <c r="B14674" t="s">
        <v>90</v>
      </c>
      <c r="C14674" t="s">
        <v>597</v>
      </c>
      <c r="D14674">
        <v>2286.81</v>
      </c>
      <c r="E14674" s="37" t="str">
        <f t="shared" si="1145"/>
        <v xml:space="preserve"> </v>
      </c>
      <c r="F14674">
        <v>7.0000000000000007E-2</v>
      </c>
      <c r="G14674" s="37" t="str">
        <f t="shared" si="1146"/>
        <v>Normal Discount</v>
      </c>
      <c r="H14674" s="37" t="str">
        <f t="shared" si="1147"/>
        <v>Low</v>
      </c>
      <c r="I14674">
        <v>9</v>
      </c>
      <c r="J14674" t="str" cm="1">
        <f t="array" ref="J14674">_xlfn.IFS(I14674&lt;=3,"small",I14674&lt;=6,"Medium",I14674&lt;=9,"Large")</f>
        <v>Large</v>
      </c>
      <c r="K14674" s="36">
        <v>45194</v>
      </c>
      <c r="L14674" s="36">
        <v>45195</v>
      </c>
      <c r="M14674" t="s">
        <v>598</v>
      </c>
      <c r="N14674" t="s">
        <v>608</v>
      </c>
      <c r="O14674" s="37" t="str">
        <f t="shared" si="1148"/>
        <v>Cash Payment</v>
      </c>
      <c r="P14674">
        <v>271.27</v>
      </c>
      <c r="Q14674" s="37" t="str">
        <f>IF(P14674&gt;500,"High","low")</f>
        <v>low</v>
      </c>
      <c r="R14674" s="37" t="str">
        <f t="shared" si="1149"/>
        <v>AVERAGE</v>
      </c>
      <c r="S14674" t="s">
        <v>600</v>
      </c>
    </row>
    <row r="14675" spans="1:19" x14ac:dyDescent="0.2">
      <c r="A14675" t="s">
        <v>15286</v>
      </c>
      <c r="B14675" t="s">
        <v>67</v>
      </c>
      <c r="C14675" t="s">
        <v>617</v>
      </c>
      <c r="D14675">
        <v>984.57</v>
      </c>
      <c r="E14675" s="37" t="str">
        <f t="shared" si="1145"/>
        <v xml:space="preserve"> </v>
      </c>
      <c r="F14675">
        <v>0.01</v>
      </c>
      <c r="G14675" s="37" t="str">
        <f t="shared" si="1146"/>
        <v>Normal Discount</v>
      </c>
      <c r="H14675" s="37" t="str">
        <f t="shared" si="1147"/>
        <v>Low</v>
      </c>
      <c r="I14675">
        <v>2</v>
      </c>
      <c r="J14675" t="str" cm="1">
        <f t="array" ref="J14675">_xlfn.IFS(I14675&lt;=3,"small",I14675&lt;=6,"Medium",I14675&lt;=9,"Large")</f>
        <v>small</v>
      </c>
      <c r="K14675" s="36">
        <v>45018</v>
      </c>
      <c r="L14675" s="36">
        <v>45019</v>
      </c>
      <c r="M14675" t="s">
        <v>598</v>
      </c>
      <c r="N14675" t="s">
        <v>599</v>
      </c>
      <c r="O14675" s="37" t="str">
        <f t="shared" si="1148"/>
        <v>Digital Payment</v>
      </c>
      <c r="P14675">
        <v>269.17</v>
      </c>
      <c r="Q14675" s="37" t="str">
        <f>IF(P14675&gt;500,"High","low")</f>
        <v>low</v>
      </c>
      <c r="R14675" s="37" t="str">
        <f t="shared" si="1149"/>
        <v>AVERAGE</v>
      </c>
      <c r="S14675" t="s">
        <v>600</v>
      </c>
    </row>
    <row r="14676" spans="1:19" x14ac:dyDescent="0.2">
      <c r="A14676" t="s">
        <v>15287</v>
      </c>
      <c r="B14676" t="s">
        <v>90</v>
      </c>
      <c r="C14676" t="s">
        <v>602</v>
      </c>
      <c r="D14676">
        <v>2047.26</v>
      </c>
      <c r="E14676" s="37" t="str">
        <f t="shared" si="1145"/>
        <v xml:space="preserve"> </v>
      </c>
      <c r="F14676">
        <v>0.26</v>
      </c>
      <c r="G14676" s="37" t="str">
        <f t="shared" si="1146"/>
        <v>Normal Discount</v>
      </c>
      <c r="H14676" s="37" t="str">
        <f t="shared" si="1147"/>
        <v>Medium</v>
      </c>
      <c r="I14676">
        <v>3</v>
      </c>
      <c r="J14676" t="str" cm="1">
        <f t="array" ref="J14676">_xlfn.IFS(I14676&lt;=3,"small",I14676&lt;=6,"Medium",I14676&lt;=9,"Large")</f>
        <v>small</v>
      </c>
      <c r="K14676" s="36">
        <v>45219</v>
      </c>
      <c r="L14676" s="36">
        <v>45225</v>
      </c>
      <c r="M14676" t="s">
        <v>598</v>
      </c>
      <c r="N14676" t="s">
        <v>604</v>
      </c>
      <c r="O14676" s="37" t="str">
        <f t="shared" si="1148"/>
        <v>Digital Payment</v>
      </c>
      <c r="P14676">
        <v>207.14</v>
      </c>
      <c r="Q14676" s="37" t="str">
        <f>IF(P14676&gt;500,"High","low")</f>
        <v>low</v>
      </c>
      <c r="R14676" s="37" t="str">
        <f t="shared" si="1149"/>
        <v>AVERAGE</v>
      </c>
      <c r="S14676" t="s">
        <v>609</v>
      </c>
    </row>
    <row r="14677" spans="1:19" x14ac:dyDescent="0.2">
      <c r="A14677" t="s">
        <v>15288</v>
      </c>
      <c r="B14677" t="s">
        <v>67</v>
      </c>
      <c r="C14677" t="s">
        <v>607</v>
      </c>
      <c r="D14677">
        <v>1482.02</v>
      </c>
      <c r="E14677" s="37" t="str">
        <f t="shared" si="1145"/>
        <v xml:space="preserve"> </v>
      </c>
      <c r="F14677">
        <v>0.38</v>
      </c>
      <c r="G14677" s="37" t="str">
        <f t="shared" si="1146"/>
        <v>Heavy Discount</v>
      </c>
      <c r="H14677" s="37" t="str">
        <f t="shared" si="1147"/>
        <v>Medium</v>
      </c>
      <c r="I14677">
        <v>3</v>
      </c>
      <c r="J14677" t="str" cm="1">
        <f t="array" ref="J14677">_xlfn.IFS(I14677&lt;=3,"small",I14677&lt;=6,"Medium",I14677&lt;=9,"Large")</f>
        <v>small</v>
      </c>
      <c r="K14677" s="36">
        <v>45313</v>
      </c>
      <c r="L14677" s="36">
        <v>45315</v>
      </c>
      <c r="M14677" t="s">
        <v>612</v>
      </c>
      <c r="N14677" t="s">
        <v>608</v>
      </c>
      <c r="O14677" s="37" t="str">
        <f t="shared" si="1148"/>
        <v>Cash Payment</v>
      </c>
      <c r="P14677">
        <v>309.16000000000003</v>
      </c>
      <c r="Q14677" s="37" t="str">
        <f>IF(P14677&gt;500,"High","low")</f>
        <v>low</v>
      </c>
      <c r="R14677" s="37" t="str">
        <f t="shared" si="1149"/>
        <v>AVERAGE</v>
      </c>
      <c r="S14677" t="s">
        <v>605</v>
      </c>
    </row>
    <row r="14678" spans="1:19" x14ac:dyDescent="0.2">
      <c r="A14678" t="s">
        <v>15289</v>
      </c>
      <c r="B14678" t="s">
        <v>90</v>
      </c>
      <c r="C14678" t="s">
        <v>607</v>
      </c>
      <c r="D14678">
        <v>2062.2800000000002</v>
      </c>
      <c r="E14678" s="37" t="str">
        <f t="shared" si="1145"/>
        <v xml:space="preserve"> </v>
      </c>
      <c r="F14678">
        <v>0.32</v>
      </c>
      <c r="G14678" s="37" t="str">
        <f t="shared" si="1146"/>
        <v>Heavy Discount</v>
      </c>
      <c r="H14678" s="37" t="str">
        <f t="shared" si="1147"/>
        <v>Medium</v>
      </c>
      <c r="I14678">
        <v>3</v>
      </c>
      <c r="J14678" t="str" cm="1">
        <f t="array" ref="J14678">_xlfn.IFS(I14678&lt;=3,"small",I14678&lt;=6,"Medium",I14678&lt;=9,"Large")</f>
        <v>small</v>
      </c>
      <c r="K14678" s="36">
        <v>45594</v>
      </c>
      <c r="L14678" s="36">
        <v>45600</v>
      </c>
      <c r="M14678" t="s">
        <v>598</v>
      </c>
      <c r="N14678" t="s">
        <v>604</v>
      </c>
      <c r="O14678" s="37" t="str">
        <f t="shared" si="1148"/>
        <v>Digital Payment</v>
      </c>
      <c r="P14678">
        <v>490.12</v>
      </c>
      <c r="Q14678" s="37" t="str">
        <f>IF(P14678&gt;500,"High","low")</f>
        <v>low</v>
      </c>
      <c r="R14678" s="37" t="str">
        <f t="shared" si="1149"/>
        <v>AVERAGE</v>
      </c>
      <c r="S14678" t="s">
        <v>605</v>
      </c>
    </row>
    <row r="14679" spans="1:19" x14ac:dyDescent="0.2">
      <c r="A14679" t="s">
        <v>15290</v>
      </c>
      <c r="B14679" t="s">
        <v>75</v>
      </c>
      <c r="C14679" t="s">
        <v>597</v>
      </c>
      <c r="D14679">
        <v>3006.48</v>
      </c>
      <c r="E14679" s="37" t="str">
        <f t="shared" si="1145"/>
        <v xml:space="preserve"> </v>
      </c>
      <c r="F14679">
        <v>0.48</v>
      </c>
      <c r="G14679" s="37" t="str">
        <f t="shared" si="1146"/>
        <v>Heavy Discount</v>
      </c>
      <c r="H14679" s="37" t="str">
        <f t="shared" si="1147"/>
        <v>High</v>
      </c>
      <c r="I14679">
        <v>6</v>
      </c>
      <c r="J14679" t="str" cm="1">
        <f t="array" ref="J14679">_xlfn.IFS(I14679&lt;=3,"small",I14679&lt;=6,"Medium",I14679&lt;=9,"Large")</f>
        <v>Medium</v>
      </c>
      <c r="K14679" s="36">
        <v>45056</v>
      </c>
      <c r="L14679" s="36">
        <v>45061</v>
      </c>
      <c r="M14679" t="s">
        <v>603</v>
      </c>
      <c r="N14679" t="s">
        <v>604</v>
      </c>
      <c r="O14679" s="37" t="str">
        <f t="shared" si="1148"/>
        <v>Digital Payment</v>
      </c>
      <c r="P14679">
        <v>615.24</v>
      </c>
      <c r="Q14679" s="37" t="str">
        <f>IF(P14679&gt;500,"High","low")</f>
        <v>High</v>
      </c>
      <c r="R14679" s="37" t="str">
        <f t="shared" si="1149"/>
        <v>Good</v>
      </c>
      <c r="S14679" t="s">
        <v>620</v>
      </c>
    </row>
    <row r="14680" spans="1:19" x14ac:dyDescent="0.2">
      <c r="A14680" t="s">
        <v>15291</v>
      </c>
      <c r="B14680" t="s">
        <v>90</v>
      </c>
      <c r="C14680" t="s">
        <v>602</v>
      </c>
      <c r="D14680">
        <v>3083.37</v>
      </c>
      <c r="E14680" s="37" t="str">
        <f t="shared" si="1145"/>
        <v xml:space="preserve"> </v>
      </c>
      <c r="F14680">
        <v>0.09</v>
      </c>
      <c r="G14680" s="37" t="str">
        <f t="shared" si="1146"/>
        <v>Normal Discount</v>
      </c>
      <c r="H14680" s="37" t="str">
        <f t="shared" si="1147"/>
        <v>Low</v>
      </c>
      <c r="I14680">
        <v>8</v>
      </c>
      <c r="J14680" t="str" cm="1">
        <f t="array" ref="J14680">_xlfn.IFS(I14680&lt;=3,"small",I14680&lt;=6,"Medium",I14680&lt;=9,"Large")</f>
        <v>Large</v>
      </c>
      <c r="K14680" s="36">
        <v>45411</v>
      </c>
      <c r="L14680" s="36">
        <v>45416</v>
      </c>
      <c r="M14680" t="s">
        <v>612</v>
      </c>
      <c r="N14680" t="s">
        <v>608</v>
      </c>
      <c r="O14680" s="37" t="str">
        <f t="shared" si="1148"/>
        <v>Cash Payment</v>
      </c>
      <c r="P14680">
        <v>246.75</v>
      </c>
      <c r="Q14680" s="37" t="str">
        <f>IF(P14680&gt;500,"High","low")</f>
        <v>low</v>
      </c>
      <c r="R14680" s="37" t="str">
        <f t="shared" si="1149"/>
        <v>AVERAGE</v>
      </c>
      <c r="S14680" t="s">
        <v>600</v>
      </c>
    </row>
    <row r="14681" spans="1:19" x14ac:dyDescent="0.2">
      <c r="A14681" t="s">
        <v>15292</v>
      </c>
      <c r="B14681" t="s">
        <v>90</v>
      </c>
      <c r="C14681" t="s">
        <v>617</v>
      </c>
      <c r="D14681">
        <v>1269.44</v>
      </c>
      <c r="E14681" s="37" t="str">
        <f t="shared" si="1145"/>
        <v xml:space="preserve"> </v>
      </c>
      <c r="F14681">
        <v>0.35</v>
      </c>
      <c r="G14681" s="37" t="str">
        <f t="shared" si="1146"/>
        <v>Heavy Discount</v>
      </c>
      <c r="H14681" s="37" t="str">
        <f t="shared" si="1147"/>
        <v>Medium</v>
      </c>
      <c r="I14681">
        <v>5</v>
      </c>
      <c r="J14681" t="str" cm="1">
        <f t="array" ref="J14681">_xlfn.IFS(I14681&lt;=3,"small",I14681&lt;=6,"Medium",I14681&lt;=9,"Large")</f>
        <v>Medium</v>
      </c>
      <c r="K14681" s="36">
        <v>45037</v>
      </c>
      <c r="L14681" s="36">
        <v>45038</v>
      </c>
      <c r="M14681" t="s">
        <v>612</v>
      </c>
      <c r="N14681" t="s">
        <v>599</v>
      </c>
      <c r="O14681" s="37" t="str">
        <f t="shared" si="1148"/>
        <v>Digital Payment</v>
      </c>
      <c r="P14681">
        <v>149.03</v>
      </c>
      <c r="Q14681" s="37" t="str">
        <f>IF(P14681&gt;500,"High","low")</f>
        <v>low</v>
      </c>
      <c r="R14681" s="37" t="str">
        <f t="shared" si="1149"/>
        <v>AVERAGE</v>
      </c>
      <c r="S14681" t="s">
        <v>605</v>
      </c>
    </row>
    <row r="14682" spans="1:19" x14ac:dyDescent="0.2">
      <c r="A14682" t="s">
        <v>15293</v>
      </c>
      <c r="B14682" t="s">
        <v>67</v>
      </c>
      <c r="C14682" t="s">
        <v>607</v>
      </c>
      <c r="D14682">
        <v>513.95000000000005</v>
      </c>
      <c r="E14682" s="37" t="str">
        <f t="shared" si="1145"/>
        <v xml:space="preserve"> </v>
      </c>
      <c r="F14682">
        <v>0.41</v>
      </c>
      <c r="G14682" s="37" t="str">
        <f t="shared" si="1146"/>
        <v>Heavy Discount</v>
      </c>
      <c r="H14682" s="37" t="str">
        <f t="shared" si="1147"/>
        <v>High</v>
      </c>
      <c r="I14682">
        <v>6</v>
      </c>
      <c r="J14682" t="str" cm="1">
        <f t="array" ref="J14682">_xlfn.IFS(I14682&lt;=3,"small",I14682&lt;=6,"Medium",I14682&lt;=9,"Large")</f>
        <v>Medium</v>
      </c>
      <c r="K14682" s="36">
        <v>45354</v>
      </c>
      <c r="L14682" s="36">
        <v>45361</v>
      </c>
      <c r="M14682" t="s">
        <v>603</v>
      </c>
      <c r="N14682" t="s">
        <v>608</v>
      </c>
      <c r="O14682" s="37" t="str">
        <f t="shared" si="1148"/>
        <v>Cash Payment</v>
      </c>
      <c r="P14682">
        <v>27.57</v>
      </c>
      <c r="Q14682" s="37" t="str">
        <f>IF(P14682&gt;500,"High","low")</f>
        <v>low</v>
      </c>
      <c r="R14682" s="37" t="str">
        <f t="shared" si="1149"/>
        <v>AVERAGE</v>
      </c>
      <c r="S14682" t="s">
        <v>628</v>
      </c>
    </row>
    <row r="14683" spans="1:19" x14ac:dyDescent="0.2">
      <c r="A14683" t="s">
        <v>15294</v>
      </c>
      <c r="B14683" t="s">
        <v>67</v>
      </c>
      <c r="C14683" t="s">
        <v>617</v>
      </c>
      <c r="D14683">
        <v>3747.74</v>
      </c>
      <c r="E14683" s="37" t="str">
        <f t="shared" si="1145"/>
        <v xml:space="preserve"> </v>
      </c>
      <c r="F14683">
        <v>0.46</v>
      </c>
      <c r="G14683" s="37" t="str">
        <f t="shared" si="1146"/>
        <v>Heavy Discount</v>
      </c>
      <c r="H14683" s="37" t="str">
        <f t="shared" si="1147"/>
        <v>High</v>
      </c>
      <c r="I14683">
        <v>1</v>
      </c>
      <c r="J14683" t="str" cm="1">
        <f t="array" ref="J14683">_xlfn.IFS(I14683&lt;=3,"small",I14683&lt;=6,"Medium",I14683&lt;=9,"Large")</f>
        <v>small</v>
      </c>
      <c r="K14683" s="36">
        <v>45160</v>
      </c>
      <c r="L14683" s="36">
        <v>45165</v>
      </c>
      <c r="M14683" t="s">
        <v>603</v>
      </c>
      <c r="N14683" t="s">
        <v>608</v>
      </c>
      <c r="O14683" s="37" t="str">
        <f t="shared" si="1148"/>
        <v>Cash Payment</v>
      </c>
      <c r="P14683">
        <v>898.22</v>
      </c>
      <c r="Q14683" s="37" t="str">
        <f>IF(P14683&gt;500,"High","low")</f>
        <v>High</v>
      </c>
      <c r="R14683" s="37" t="str">
        <f t="shared" si="1149"/>
        <v>Good</v>
      </c>
      <c r="S14683" t="s">
        <v>620</v>
      </c>
    </row>
    <row r="14684" spans="1:19" x14ac:dyDescent="0.2">
      <c r="A14684" t="s">
        <v>15295</v>
      </c>
      <c r="B14684" t="s">
        <v>67</v>
      </c>
      <c r="C14684" t="s">
        <v>617</v>
      </c>
      <c r="D14684">
        <v>2690</v>
      </c>
      <c r="E14684" s="37" t="str">
        <f t="shared" si="1145"/>
        <v xml:space="preserve"> </v>
      </c>
      <c r="F14684">
        <v>0.26</v>
      </c>
      <c r="G14684" s="37" t="str">
        <f t="shared" si="1146"/>
        <v>Normal Discount</v>
      </c>
      <c r="H14684" s="37" t="str">
        <f t="shared" si="1147"/>
        <v>Medium</v>
      </c>
      <c r="I14684">
        <v>3</v>
      </c>
      <c r="J14684" t="str" cm="1">
        <f t="array" ref="J14684">_xlfn.IFS(I14684&lt;=3,"small",I14684&lt;=6,"Medium",I14684&lt;=9,"Large")</f>
        <v>small</v>
      </c>
      <c r="K14684" s="36">
        <v>45639</v>
      </c>
      <c r="L14684" s="36">
        <v>45642</v>
      </c>
      <c r="M14684" t="s">
        <v>598</v>
      </c>
      <c r="N14684" t="s">
        <v>599</v>
      </c>
      <c r="O14684" s="37" t="str">
        <f t="shared" si="1148"/>
        <v>Digital Payment</v>
      </c>
      <c r="P14684">
        <v>258.95999999999998</v>
      </c>
      <c r="Q14684" s="37" t="str">
        <f>IF(P14684&gt;500,"High","low")</f>
        <v>low</v>
      </c>
      <c r="R14684" s="37" t="str">
        <f t="shared" si="1149"/>
        <v>AVERAGE</v>
      </c>
      <c r="S14684" t="s">
        <v>615</v>
      </c>
    </row>
    <row r="14685" spans="1:19" x14ac:dyDescent="0.2">
      <c r="A14685" t="s">
        <v>15296</v>
      </c>
      <c r="B14685" t="s">
        <v>83</v>
      </c>
      <c r="C14685" t="s">
        <v>607</v>
      </c>
      <c r="D14685">
        <v>2266.3000000000002</v>
      </c>
      <c r="E14685" s="37" t="str">
        <f t="shared" si="1145"/>
        <v xml:space="preserve"> </v>
      </c>
      <c r="F14685">
        <v>0.18</v>
      </c>
      <c r="G14685" s="37" t="str">
        <f t="shared" si="1146"/>
        <v>Normal Discount</v>
      </c>
      <c r="H14685" s="37" t="str">
        <f t="shared" si="1147"/>
        <v>Low</v>
      </c>
      <c r="I14685">
        <v>4</v>
      </c>
      <c r="J14685" t="str" cm="1">
        <f t="array" ref="J14685">_xlfn.IFS(I14685&lt;=3,"small",I14685&lt;=6,"Medium",I14685&lt;=9,"Large")</f>
        <v>Medium</v>
      </c>
      <c r="K14685" s="36">
        <v>44963</v>
      </c>
      <c r="L14685" s="36">
        <v>44968</v>
      </c>
      <c r="M14685" t="s">
        <v>612</v>
      </c>
      <c r="N14685" t="s">
        <v>599</v>
      </c>
      <c r="O14685" s="37" t="str">
        <f t="shared" si="1148"/>
        <v>Digital Payment</v>
      </c>
      <c r="P14685">
        <v>598.41999999999996</v>
      </c>
      <c r="Q14685" s="37" t="str">
        <f>IF(P14685&gt;500,"High","low")</f>
        <v>High</v>
      </c>
      <c r="R14685" s="37" t="str">
        <f t="shared" si="1149"/>
        <v>Good</v>
      </c>
      <c r="S14685" t="s">
        <v>620</v>
      </c>
    </row>
    <row r="14686" spans="1:19" x14ac:dyDescent="0.2">
      <c r="A14686" t="s">
        <v>15297</v>
      </c>
      <c r="B14686" t="s">
        <v>83</v>
      </c>
      <c r="C14686" t="s">
        <v>607</v>
      </c>
      <c r="D14686">
        <v>735.02</v>
      </c>
      <c r="E14686" s="37" t="str">
        <f t="shared" si="1145"/>
        <v xml:space="preserve"> </v>
      </c>
      <c r="F14686">
        <v>0.48</v>
      </c>
      <c r="G14686" s="37" t="str">
        <f t="shared" si="1146"/>
        <v>Heavy Discount</v>
      </c>
      <c r="H14686" s="37" t="str">
        <f t="shared" si="1147"/>
        <v>High</v>
      </c>
      <c r="I14686">
        <v>7</v>
      </c>
      <c r="J14686" t="str" cm="1">
        <f t="array" ref="J14686">_xlfn.IFS(I14686&lt;=3,"small",I14686&lt;=6,"Medium",I14686&lt;=9,"Large")</f>
        <v>Large</v>
      </c>
      <c r="K14686" s="36">
        <v>45492</v>
      </c>
      <c r="L14686" s="36">
        <v>45493</v>
      </c>
      <c r="M14686" t="s">
        <v>612</v>
      </c>
      <c r="N14686" t="s">
        <v>604</v>
      </c>
      <c r="O14686" s="37" t="str">
        <f t="shared" si="1148"/>
        <v>Digital Payment</v>
      </c>
      <c r="P14686">
        <v>67.16</v>
      </c>
      <c r="Q14686" s="37" t="str">
        <f>IF(P14686&gt;500,"High","low")</f>
        <v>low</v>
      </c>
      <c r="R14686" s="37" t="str">
        <f t="shared" si="1149"/>
        <v>AVERAGE</v>
      </c>
      <c r="S14686" t="s">
        <v>615</v>
      </c>
    </row>
    <row r="14687" spans="1:19" x14ac:dyDescent="0.2">
      <c r="A14687" t="s">
        <v>15298</v>
      </c>
      <c r="B14687" t="s">
        <v>90</v>
      </c>
      <c r="C14687" t="s">
        <v>597</v>
      </c>
      <c r="D14687">
        <v>2131.85</v>
      </c>
      <c r="E14687" s="37" t="str">
        <f t="shared" si="1145"/>
        <v xml:space="preserve"> </v>
      </c>
      <c r="F14687">
        <v>0.4</v>
      </c>
      <c r="G14687" s="37" t="str">
        <f t="shared" si="1146"/>
        <v>Heavy Discount</v>
      </c>
      <c r="H14687" s="37" t="str">
        <f t="shared" si="1147"/>
        <v>Medium</v>
      </c>
      <c r="I14687">
        <v>5</v>
      </c>
      <c r="J14687" t="str" cm="1">
        <f t="array" ref="J14687">_xlfn.IFS(I14687&lt;=3,"small",I14687&lt;=6,"Medium",I14687&lt;=9,"Large")</f>
        <v>Medium</v>
      </c>
      <c r="K14687" s="36">
        <v>45031</v>
      </c>
      <c r="L14687" s="36">
        <v>45035</v>
      </c>
      <c r="M14687" t="s">
        <v>603</v>
      </c>
      <c r="N14687" t="s">
        <v>604</v>
      </c>
      <c r="O14687" s="37" t="str">
        <f t="shared" si="1148"/>
        <v>Digital Payment</v>
      </c>
      <c r="P14687">
        <v>304.75</v>
      </c>
      <c r="Q14687" s="37" t="str">
        <f>IF(P14687&gt;500,"High","low")</f>
        <v>low</v>
      </c>
      <c r="R14687" s="37" t="str">
        <f t="shared" si="1149"/>
        <v>AVERAGE</v>
      </c>
      <c r="S14687" t="s">
        <v>600</v>
      </c>
    </row>
    <row r="14688" spans="1:19" x14ac:dyDescent="0.2">
      <c r="A14688" t="s">
        <v>15299</v>
      </c>
      <c r="B14688" t="s">
        <v>90</v>
      </c>
      <c r="C14688" t="s">
        <v>602</v>
      </c>
      <c r="D14688">
        <v>4109.0600000000004</v>
      </c>
      <c r="E14688" s="37" t="str">
        <f t="shared" si="1145"/>
        <v xml:space="preserve"> </v>
      </c>
      <c r="F14688">
        <v>0.24</v>
      </c>
      <c r="G14688" s="37" t="str">
        <f t="shared" si="1146"/>
        <v>Normal Discount</v>
      </c>
      <c r="H14688" s="37" t="str">
        <f t="shared" si="1147"/>
        <v>Medium</v>
      </c>
      <c r="I14688">
        <v>1</v>
      </c>
      <c r="J14688" t="str" cm="1">
        <f t="array" ref="J14688">_xlfn.IFS(I14688&lt;=3,"small",I14688&lt;=6,"Medium",I14688&lt;=9,"Large")</f>
        <v>small</v>
      </c>
      <c r="K14688" s="36">
        <v>45265</v>
      </c>
      <c r="L14688" s="36">
        <v>45272</v>
      </c>
      <c r="M14688" t="s">
        <v>603</v>
      </c>
      <c r="N14688" t="s">
        <v>604</v>
      </c>
      <c r="O14688" s="37" t="str">
        <f t="shared" si="1148"/>
        <v>Digital Payment</v>
      </c>
      <c r="P14688">
        <v>351.5</v>
      </c>
      <c r="Q14688" s="37" t="str">
        <f>IF(P14688&gt;500,"High","low")</f>
        <v>low</v>
      </c>
      <c r="R14688" s="37" t="str">
        <f t="shared" si="1149"/>
        <v>AVERAGE</v>
      </c>
      <c r="S14688" t="s">
        <v>605</v>
      </c>
    </row>
    <row r="14689" spans="1:19" x14ac:dyDescent="0.2">
      <c r="A14689" t="s">
        <v>15300</v>
      </c>
      <c r="B14689" t="s">
        <v>75</v>
      </c>
      <c r="C14689" t="s">
        <v>614</v>
      </c>
      <c r="D14689">
        <v>2949.03</v>
      </c>
      <c r="E14689" s="37" t="str">
        <f t="shared" si="1145"/>
        <v xml:space="preserve"> </v>
      </c>
      <c r="F14689">
        <v>0.33</v>
      </c>
      <c r="G14689" s="37" t="str">
        <f t="shared" si="1146"/>
        <v>Heavy Discount</v>
      </c>
      <c r="H14689" s="37" t="str">
        <f t="shared" si="1147"/>
        <v>Medium</v>
      </c>
      <c r="I14689">
        <v>3</v>
      </c>
      <c r="J14689" t="str" cm="1">
        <f t="array" ref="J14689">_xlfn.IFS(I14689&lt;=3,"small",I14689&lt;=6,"Medium",I14689&lt;=9,"Large")</f>
        <v>small</v>
      </c>
      <c r="K14689" s="36">
        <v>45116</v>
      </c>
      <c r="L14689" s="36">
        <v>45118</v>
      </c>
      <c r="M14689" t="s">
        <v>603</v>
      </c>
      <c r="N14689" t="s">
        <v>604</v>
      </c>
      <c r="O14689" s="37" t="str">
        <f t="shared" si="1148"/>
        <v>Digital Payment</v>
      </c>
      <c r="P14689">
        <v>540.22</v>
      </c>
      <c r="Q14689" s="37" t="str">
        <f>IF(P14689&gt;500,"High","low")</f>
        <v>High</v>
      </c>
      <c r="R14689" s="37" t="str">
        <f t="shared" si="1149"/>
        <v>Good</v>
      </c>
      <c r="S14689" t="s">
        <v>600</v>
      </c>
    </row>
    <row r="14690" spans="1:19" x14ac:dyDescent="0.2">
      <c r="A14690" t="s">
        <v>15301</v>
      </c>
      <c r="B14690" t="s">
        <v>75</v>
      </c>
      <c r="C14690" t="s">
        <v>602</v>
      </c>
      <c r="D14690">
        <v>545.78</v>
      </c>
      <c r="E14690" s="37" t="str">
        <f t="shared" si="1145"/>
        <v xml:space="preserve"> </v>
      </c>
      <c r="F14690">
        <v>0.14000000000000001</v>
      </c>
      <c r="G14690" s="37" t="str">
        <f t="shared" si="1146"/>
        <v>Normal Discount</v>
      </c>
      <c r="H14690" s="37" t="str">
        <f t="shared" si="1147"/>
        <v>Low</v>
      </c>
      <c r="I14690">
        <v>2</v>
      </c>
      <c r="J14690" t="str" cm="1">
        <f t="array" ref="J14690">_xlfn.IFS(I14690&lt;=3,"small",I14690&lt;=6,"Medium",I14690&lt;=9,"Large")</f>
        <v>small</v>
      </c>
      <c r="K14690" s="36">
        <v>45591</v>
      </c>
      <c r="L14690" s="36">
        <v>45593</v>
      </c>
      <c r="M14690" t="s">
        <v>603</v>
      </c>
      <c r="N14690" t="s">
        <v>604</v>
      </c>
      <c r="O14690" s="37" t="str">
        <f t="shared" si="1148"/>
        <v>Digital Payment</v>
      </c>
      <c r="P14690">
        <v>108.31</v>
      </c>
      <c r="Q14690" s="37" t="str">
        <f>IF(P14690&gt;500,"High","low")</f>
        <v>low</v>
      </c>
      <c r="R14690" s="37" t="str">
        <f t="shared" si="1149"/>
        <v>AVERAGE</v>
      </c>
      <c r="S14690" t="s">
        <v>620</v>
      </c>
    </row>
    <row r="14691" spans="1:19" x14ac:dyDescent="0.2">
      <c r="A14691" t="s">
        <v>15302</v>
      </c>
      <c r="B14691" t="s">
        <v>90</v>
      </c>
      <c r="C14691" t="s">
        <v>614</v>
      </c>
      <c r="D14691">
        <v>1728.15</v>
      </c>
      <c r="E14691" s="37" t="str">
        <f t="shared" si="1145"/>
        <v xml:space="preserve"> </v>
      </c>
      <c r="F14691">
        <v>0.31</v>
      </c>
      <c r="G14691" s="37" t="str">
        <f t="shared" si="1146"/>
        <v>Heavy Discount</v>
      </c>
      <c r="H14691" s="37" t="str">
        <f t="shared" si="1147"/>
        <v>Medium</v>
      </c>
      <c r="I14691">
        <v>6</v>
      </c>
      <c r="J14691" t="str" cm="1">
        <f t="array" ref="J14691">_xlfn.IFS(I14691&lt;=3,"small",I14691&lt;=6,"Medium",I14691&lt;=9,"Large")</f>
        <v>Medium</v>
      </c>
      <c r="K14691" s="36">
        <v>45618</v>
      </c>
      <c r="L14691" s="36">
        <v>45622</v>
      </c>
      <c r="M14691" t="s">
        <v>598</v>
      </c>
      <c r="N14691" t="s">
        <v>604</v>
      </c>
      <c r="O14691" s="37" t="str">
        <f t="shared" si="1148"/>
        <v>Digital Payment</v>
      </c>
      <c r="P14691">
        <v>185.13</v>
      </c>
      <c r="Q14691" s="37" t="str">
        <f>IF(P14691&gt;500,"High","low")</f>
        <v>low</v>
      </c>
      <c r="R14691" s="37" t="str">
        <f t="shared" si="1149"/>
        <v>AVERAGE</v>
      </c>
      <c r="S14691" t="s">
        <v>615</v>
      </c>
    </row>
    <row r="14692" spans="1:19" x14ac:dyDescent="0.2">
      <c r="A14692" t="s">
        <v>15303</v>
      </c>
      <c r="B14692" t="s">
        <v>83</v>
      </c>
      <c r="C14692" t="s">
        <v>607</v>
      </c>
      <c r="D14692">
        <v>4901.03</v>
      </c>
      <c r="E14692" s="37" t="str">
        <f t="shared" si="1145"/>
        <v xml:space="preserve"> </v>
      </c>
      <c r="F14692">
        <v>0.27</v>
      </c>
      <c r="G14692" s="37" t="str">
        <f t="shared" si="1146"/>
        <v>Normal Discount</v>
      </c>
      <c r="H14692" s="37" t="str">
        <f t="shared" si="1147"/>
        <v>Medium</v>
      </c>
      <c r="I14692">
        <v>5</v>
      </c>
      <c r="J14692" t="str" cm="1">
        <f t="array" ref="J14692">_xlfn.IFS(I14692&lt;=3,"small",I14692&lt;=6,"Medium",I14692&lt;=9,"Large")</f>
        <v>Medium</v>
      </c>
      <c r="K14692" s="36">
        <v>45117</v>
      </c>
      <c r="L14692" s="36">
        <v>45120</v>
      </c>
      <c r="M14692" t="s">
        <v>603</v>
      </c>
      <c r="N14692" t="s">
        <v>599</v>
      </c>
      <c r="O14692" s="37" t="str">
        <f t="shared" si="1148"/>
        <v>Digital Payment</v>
      </c>
      <c r="P14692">
        <v>744.06</v>
      </c>
      <c r="Q14692" s="37" t="str">
        <f>IF(P14692&gt;500,"High","low")</f>
        <v>High</v>
      </c>
      <c r="R14692" s="37" t="str">
        <f t="shared" si="1149"/>
        <v>Good</v>
      </c>
      <c r="S14692" t="s">
        <v>605</v>
      </c>
    </row>
    <row r="14693" spans="1:19" x14ac:dyDescent="0.2">
      <c r="A14693" t="s">
        <v>15304</v>
      </c>
      <c r="B14693" t="s">
        <v>90</v>
      </c>
      <c r="C14693" t="s">
        <v>617</v>
      </c>
      <c r="D14693">
        <v>2768.09</v>
      </c>
      <c r="E14693" s="37" t="str">
        <f t="shared" si="1145"/>
        <v xml:space="preserve"> </v>
      </c>
      <c r="F14693">
        <v>0.02</v>
      </c>
      <c r="G14693" s="37" t="str">
        <f t="shared" si="1146"/>
        <v>Normal Discount</v>
      </c>
      <c r="H14693" s="37" t="str">
        <f t="shared" si="1147"/>
        <v>Low</v>
      </c>
      <c r="I14693">
        <v>3</v>
      </c>
      <c r="J14693" t="str" cm="1">
        <f t="array" ref="J14693">_xlfn.IFS(I14693&lt;=3,"small",I14693&lt;=6,"Medium",I14693&lt;=9,"Large")</f>
        <v>small</v>
      </c>
      <c r="K14693" s="36">
        <v>44982</v>
      </c>
      <c r="L14693" s="36">
        <v>44989</v>
      </c>
      <c r="M14693" t="s">
        <v>612</v>
      </c>
      <c r="N14693" t="s">
        <v>608</v>
      </c>
      <c r="O14693" s="37" t="str">
        <f t="shared" si="1148"/>
        <v>Cash Payment</v>
      </c>
      <c r="P14693">
        <v>219.45</v>
      </c>
      <c r="Q14693" s="37" t="str">
        <f>IF(P14693&gt;500,"High","low")</f>
        <v>low</v>
      </c>
      <c r="R14693" s="37" t="str">
        <f t="shared" si="1149"/>
        <v>AVERAGE</v>
      </c>
      <c r="S14693" t="s">
        <v>600</v>
      </c>
    </row>
    <row r="14694" spans="1:19" x14ac:dyDescent="0.2">
      <c r="A14694" t="s">
        <v>15305</v>
      </c>
      <c r="B14694" t="s">
        <v>75</v>
      </c>
      <c r="C14694" t="s">
        <v>602</v>
      </c>
      <c r="D14694">
        <v>1503.34</v>
      </c>
      <c r="E14694" s="37" t="str">
        <f t="shared" si="1145"/>
        <v xml:space="preserve"> </v>
      </c>
      <c r="F14694">
        <v>0.43</v>
      </c>
      <c r="G14694" s="37" t="str">
        <f t="shared" si="1146"/>
        <v>Heavy Discount</v>
      </c>
      <c r="H14694" s="37" t="str">
        <f t="shared" si="1147"/>
        <v>High</v>
      </c>
      <c r="I14694">
        <v>2</v>
      </c>
      <c r="J14694" t="str" cm="1">
        <f t="array" ref="J14694">_xlfn.IFS(I14694&lt;=3,"small",I14694&lt;=6,"Medium",I14694&lt;=9,"Large")</f>
        <v>small</v>
      </c>
      <c r="K14694" s="36">
        <v>45040</v>
      </c>
      <c r="L14694" s="36">
        <v>45043</v>
      </c>
      <c r="M14694" t="s">
        <v>603</v>
      </c>
      <c r="N14694" t="s">
        <v>604</v>
      </c>
      <c r="O14694" s="37" t="str">
        <f t="shared" si="1148"/>
        <v>Digital Payment</v>
      </c>
      <c r="P14694">
        <v>371.26</v>
      </c>
      <c r="Q14694" s="37" t="str">
        <f>IF(P14694&gt;500,"High","low")</f>
        <v>low</v>
      </c>
      <c r="R14694" s="37" t="str">
        <f t="shared" si="1149"/>
        <v>AVERAGE</v>
      </c>
      <c r="S14694" t="s">
        <v>620</v>
      </c>
    </row>
    <row r="14695" spans="1:19" x14ac:dyDescent="0.2">
      <c r="A14695" t="s">
        <v>15306</v>
      </c>
      <c r="B14695" t="s">
        <v>83</v>
      </c>
      <c r="C14695" t="s">
        <v>617</v>
      </c>
      <c r="D14695">
        <v>4575.88</v>
      </c>
      <c r="E14695" s="37" t="str">
        <f t="shared" si="1145"/>
        <v>Excellent Order</v>
      </c>
      <c r="F14695">
        <v>0.25</v>
      </c>
      <c r="G14695" s="37" t="str">
        <f t="shared" si="1146"/>
        <v>Normal Discount</v>
      </c>
      <c r="H14695" s="37" t="str">
        <f t="shared" si="1147"/>
        <v>Medium</v>
      </c>
      <c r="I14695">
        <v>1</v>
      </c>
      <c r="J14695" t="str" cm="1">
        <f t="array" ref="J14695">_xlfn.IFS(I14695&lt;=3,"small",I14695&lt;=6,"Medium",I14695&lt;=9,"Large")</f>
        <v>small</v>
      </c>
      <c r="K14695" s="36">
        <v>44952</v>
      </c>
      <c r="L14695" s="36">
        <v>44956</v>
      </c>
      <c r="M14695" t="s">
        <v>598</v>
      </c>
      <c r="N14695" t="s">
        <v>599</v>
      </c>
      <c r="O14695" s="37" t="str">
        <f t="shared" si="1148"/>
        <v>Digital Payment</v>
      </c>
      <c r="P14695">
        <v>1128.5999999999999</v>
      </c>
      <c r="Q14695" s="37" t="str">
        <f>IF(P14695&gt;500,"High","low")</f>
        <v>High</v>
      </c>
      <c r="R14695" s="37" t="str">
        <f t="shared" si="1149"/>
        <v>Excellent</v>
      </c>
      <c r="S14695" t="s">
        <v>615</v>
      </c>
    </row>
    <row r="14696" spans="1:19" x14ac:dyDescent="0.2">
      <c r="A14696" t="s">
        <v>15307</v>
      </c>
      <c r="B14696" t="s">
        <v>83</v>
      </c>
      <c r="C14696" t="s">
        <v>602</v>
      </c>
      <c r="D14696">
        <v>1746.4</v>
      </c>
      <c r="E14696" s="37" t="str">
        <f t="shared" si="1145"/>
        <v xml:space="preserve"> </v>
      </c>
      <c r="F14696">
        <v>0.24</v>
      </c>
      <c r="G14696" s="37" t="str">
        <f t="shared" si="1146"/>
        <v>Normal Discount</v>
      </c>
      <c r="H14696" s="37" t="str">
        <f t="shared" si="1147"/>
        <v>Medium</v>
      </c>
      <c r="I14696">
        <v>2</v>
      </c>
      <c r="J14696" t="str" cm="1">
        <f t="array" ref="J14696">_xlfn.IFS(I14696&lt;=3,"small",I14696&lt;=6,"Medium",I14696&lt;=9,"Large")</f>
        <v>small</v>
      </c>
      <c r="K14696" s="36">
        <v>45036</v>
      </c>
      <c r="L14696" s="36">
        <v>45041</v>
      </c>
      <c r="M14696" t="s">
        <v>612</v>
      </c>
      <c r="N14696" t="s">
        <v>608</v>
      </c>
      <c r="O14696" s="37" t="str">
        <f t="shared" si="1148"/>
        <v>Cash Payment</v>
      </c>
      <c r="P14696">
        <v>200.17</v>
      </c>
      <c r="Q14696" s="37" t="str">
        <f>IF(P14696&gt;500,"High","low")</f>
        <v>low</v>
      </c>
      <c r="R14696" s="37" t="str">
        <f t="shared" si="1149"/>
        <v>AVERAGE</v>
      </c>
      <c r="S14696" t="s">
        <v>609</v>
      </c>
    </row>
    <row r="14697" spans="1:19" x14ac:dyDescent="0.2">
      <c r="A14697" t="s">
        <v>15308</v>
      </c>
      <c r="B14697" t="s">
        <v>75</v>
      </c>
      <c r="C14697" t="s">
        <v>602</v>
      </c>
      <c r="D14697">
        <v>3676.55</v>
      </c>
      <c r="E14697" s="37" t="str">
        <f t="shared" si="1145"/>
        <v xml:space="preserve"> </v>
      </c>
      <c r="F14697">
        <v>0.14000000000000001</v>
      </c>
      <c r="G14697" s="37" t="str">
        <f t="shared" si="1146"/>
        <v>Normal Discount</v>
      </c>
      <c r="H14697" s="37" t="str">
        <f t="shared" si="1147"/>
        <v>Low</v>
      </c>
      <c r="I14697">
        <v>5</v>
      </c>
      <c r="J14697" t="str" cm="1">
        <f t="array" ref="J14697">_xlfn.IFS(I14697&lt;=3,"small",I14697&lt;=6,"Medium",I14697&lt;=9,"Large")</f>
        <v>Medium</v>
      </c>
      <c r="K14697" s="36">
        <v>45377</v>
      </c>
      <c r="L14697" s="36">
        <v>45384</v>
      </c>
      <c r="M14697" t="s">
        <v>603</v>
      </c>
      <c r="N14697" t="s">
        <v>604</v>
      </c>
      <c r="O14697" s="37" t="str">
        <f t="shared" si="1148"/>
        <v>Digital Payment</v>
      </c>
      <c r="P14697">
        <v>426.69</v>
      </c>
      <c r="Q14697" s="37" t="str">
        <f>IF(P14697&gt;500,"High","low")</f>
        <v>low</v>
      </c>
      <c r="R14697" s="37" t="str">
        <f t="shared" si="1149"/>
        <v>AVERAGE</v>
      </c>
      <c r="S14697" t="s">
        <v>605</v>
      </c>
    </row>
    <row r="14698" spans="1:19" x14ac:dyDescent="0.2">
      <c r="A14698" t="s">
        <v>15309</v>
      </c>
      <c r="B14698" t="s">
        <v>90</v>
      </c>
      <c r="C14698" t="s">
        <v>617</v>
      </c>
      <c r="D14698">
        <v>821.38</v>
      </c>
      <c r="E14698" s="37" t="str">
        <f t="shared" si="1145"/>
        <v xml:space="preserve"> </v>
      </c>
      <c r="F14698">
        <v>0.1</v>
      </c>
      <c r="G14698" s="37" t="str">
        <f t="shared" si="1146"/>
        <v>Normal Discount</v>
      </c>
      <c r="H14698" s="37" t="str">
        <f t="shared" si="1147"/>
        <v>Low</v>
      </c>
      <c r="I14698">
        <v>5</v>
      </c>
      <c r="J14698" t="str" cm="1">
        <f t="array" ref="J14698">_xlfn.IFS(I14698&lt;=3,"small",I14698&lt;=6,"Medium",I14698&lt;=9,"Large")</f>
        <v>Medium</v>
      </c>
      <c r="K14698" s="36">
        <v>45079</v>
      </c>
      <c r="L14698" s="36">
        <v>45080</v>
      </c>
      <c r="M14698" t="s">
        <v>598</v>
      </c>
      <c r="N14698" t="s">
        <v>599</v>
      </c>
      <c r="O14698" s="37" t="str">
        <f t="shared" si="1148"/>
        <v>Digital Payment</v>
      </c>
      <c r="P14698">
        <v>166.26</v>
      </c>
      <c r="Q14698" s="37" t="str">
        <f>IF(P14698&gt;500,"High","low")</f>
        <v>low</v>
      </c>
      <c r="R14698" s="37" t="str">
        <f t="shared" si="1149"/>
        <v>AVERAGE</v>
      </c>
      <c r="S14698" t="s">
        <v>605</v>
      </c>
    </row>
    <row r="14699" spans="1:19" x14ac:dyDescent="0.2">
      <c r="A14699" t="s">
        <v>15310</v>
      </c>
      <c r="B14699" t="s">
        <v>67</v>
      </c>
      <c r="C14699" t="s">
        <v>597</v>
      </c>
      <c r="D14699">
        <v>866.82</v>
      </c>
      <c r="E14699" s="37" t="str">
        <f t="shared" si="1145"/>
        <v xml:space="preserve"> </v>
      </c>
      <c r="F14699">
        <v>0.15</v>
      </c>
      <c r="G14699" s="37" t="str">
        <f t="shared" si="1146"/>
        <v>Normal Discount</v>
      </c>
      <c r="H14699" s="37" t="str">
        <f t="shared" si="1147"/>
        <v>Low</v>
      </c>
      <c r="I14699">
        <v>9</v>
      </c>
      <c r="J14699" t="str" cm="1">
        <f t="array" ref="J14699">_xlfn.IFS(I14699&lt;=3,"small",I14699&lt;=6,"Medium",I14699&lt;=9,"Large")</f>
        <v>Large</v>
      </c>
      <c r="K14699" s="36">
        <v>45600</v>
      </c>
      <c r="L14699" s="36">
        <v>45607</v>
      </c>
      <c r="M14699" t="s">
        <v>612</v>
      </c>
      <c r="N14699" t="s">
        <v>599</v>
      </c>
      <c r="O14699" s="37" t="str">
        <f t="shared" si="1148"/>
        <v>Digital Payment</v>
      </c>
      <c r="P14699">
        <v>175.31</v>
      </c>
      <c r="Q14699" s="37" t="str">
        <f>IF(P14699&gt;500,"High","low")</f>
        <v>low</v>
      </c>
      <c r="R14699" s="37" t="str">
        <f t="shared" si="1149"/>
        <v>AVERAGE</v>
      </c>
      <c r="S14699" t="s">
        <v>600</v>
      </c>
    </row>
    <row r="14700" spans="1:19" x14ac:dyDescent="0.2">
      <c r="A14700" t="s">
        <v>15311</v>
      </c>
      <c r="B14700" t="s">
        <v>90</v>
      </c>
      <c r="C14700" t="s">
        <v>607</v>
      </c>
      <c r="D14700">
        <v>2850.44</v>
      </c>
      <c r="E14700" s="37" t="str">
        <f t="shared" si="1145"/>
        <v xml:space="preserve"> </v>
      </c>
      <c r="F14700">
        <v>0.32</v>
      </c>
      <c r="G14700" s="37" t="str">
        <f t="shared" si="1146"/>
        <v>Heavy Discount</v>
      </c>
      <c r="H14700" s="37" t="str">
        <f t="shared" si="1147"/>
        <v>Medium</v>
      </c>
      <c r="I14700">
        <v>6</v>
      </c>
      <c r="J14700" t="str" cm="1">
        <f t="array" ref="J14700">_xlfn.IFS(I14700&lt;=3,"small",I14700&lt;=6,"Medium",I14700&lt;=9,"Large")</f>
        <v>Medium</v>
      </c>
      <c r="K14700" s="36">
        <v>45427</v>
      </c>
      <c r="L14700" s="36">
        <v>45430</v>
      </c>
      <c r="M14700" t="s">
        <v>598</v>
      </c>
      <c r="N14700" t="s">
        <v>608</v>
      </c>
      <c r="O14700" s="37" t="str">
        <f t="shared" si="1148"/>
        <v>Cash Payment</v>
      </c>
      <c r="P14700">
        <v>665.1</v>
      </c>
      <c r="Q14700" s="37" t="str">
        <f>IF(P14700&gt;500,"High","low")</f>
        <v>High</v>
      </c>
      <c r="R14700" s="37" t="str">
        <f t="shared" si="1149"/>
        <v>Good</v>
      </c>
      <c r="S14700" t="s">
        <v>628</v>
      </c>
    </row>
    <row r="14701" spans="1:19" x14ac:dyDescent="0.2">
      <c r="A14701" t="s">
        <v>15312</v>
      </c>
      <c r="B14701" t="s">
        <v>90</v>
      </c>
      <c r="C14701" t="s">
        <v>597</v>
      </c>
      <c r="D14701">
        <v>1275.1300000000001</v>
      </c>
      <c r="E14701" s="37" t="str">
        <f t="shared" si="1145"/>
        <v xml:space="preserve"> </v>
      </c>
      <c r="F14701">
        <v>0.05</v>
      </c>
      <c r="G14701" s="37" t="str">
        <f t="shared" si="1146"/>
        <v>Normal Discount</v>
      </c>
      <c r="H14701" s="37" t="str">
        <f t="shared" si="1147"/>
        <v>Low</v>
      </c>
      <c r="I14701">
        <v>3</v>
      </c>
      <c r="J14701" t="str" cm="1">
        <f t="array" ref="J14701">_xlfn.IFS(I14701&lt;=3,"small",I14701&lt;=6,"Medium",I14701&lt;=9,"Large")</f>
        <v>small</v>
      </c>
      <c r="K14701" s="36">
        <v>45540</v>
      </c>
      <c r="L14701" s="36">
        <v>45543</v>
      </c>
      <c r="M14701" t="s">
        <v>603</v>
      </c>
      <c r="N14701" t="s">
        <v>608</v>
      </c>
      <c r="O14701" s="37" t="str">
        <f t="shared" si="1148"/>
        <v>Cash Payment</v>
      </c>
      <c r="P14701">
        <v>94.53</v>
      </c>
      <c r="Q14701" s="37" t="str">
        <f>IF(P14701&gt;500,"High","low")</f>
        <v>low</v>
      </c>
      <c r="R14701" s="37" t="str">
        <f t="shared" si="1149"/>
        <v>AVERAGE</v>
      </c>
      <c r="S14701" t="s">
        <v>628</v>
      </c>
    </row>
    <row r="14702" spans="1:19" x14ac:dyDescent="0.2">
      <c r="A14702" t="s">
        <v>15313</v>
      </c>
      <c r="B14702" t="s">
        <v>75</v>
      </c>
      <c r="C14702" t="s">
        <v>597</v>
      </c>
      <c r="D14702">
        <v>341.73</v>
      </c>
      <c r="E14702" s="37" t="str">
        <f t="shared" si="1145"/>
        <v xml:space="preserve"> </v>
      </c>
      <c r="F14702">
        <v>0.17</v>
      </c>
      <c r="G14702" s="37" t="str">
        <f t="shared" si="1146"/>
        <v>Normal Discount</v>
      </c>
      <c r="H14702" s="37" t="str">
        <f t="shared" si="1147"/>
        <v>Low</v>
      </c>
      <c r="I14702">
        <v>3</v>
      </c>
      <c r="J14702" t="str" cm="1">
        <f t="array" ref="J14702">_xlfn.IFS(I14702&lt;=3,"small",I14702&lt;=6,"Medium",I14702&lt;=9,"Large")</f>
        <v>small</v>
      </c>
      <c r="K14702" s="36">
        <v>45398</v>
      </c>
      <c r="L14702" s="36">
        <v>45402</v>
      </c>
      <c r="M14702" t="s">
        <v>612</v>
      </c>
      <c r="N14702" t="s">
        <v>599</v>
      </c>
      <c r="O14702" s="37" t="str">
        <f t="shared" si="1148"/>
        <v>Digital Payment</v>
      </c>
      <c r="P14702">
        <v>74.5</v>
      </c>
      <c r="Q14702" s="37" t="str">
        <f>IF(P14702&gt;500,"High","low")</f>
        <v>low</v>
      </c>
      <c r="R14702" s="37" t="str">
        <f t="shared" si="1149"/>
        <v>AVERAGE</v>
      </c>
      <c r="S14702" t="s">
        <v>600</v>
      </c>
    </row>
    <row r="14703" spans="1:19" x14ac:dyDescent="0.2">
      <c r="A14703" t="s">
        <v>15314</v>
      </c>
      <c r="B14703" t="s">
        <v>83</v>
      </c>
      <c r="C14703" t="s">
        <v>602</v>
      </c>
      <c r="D14703">
        <v>4639.68</v>
      </c>
      <c r="E14703" s="37" t="str">
        <f t="shared" si="1145"/>
        <v>Excellent Order</v>
      </c>
      <c r="F14703">
        <v>0.49</v>
      </c>
      <c r="G14703" s="37" t="str">
        <f t="shared" si="1146"/>
        <v>Heavy Discount</v>
      </c>
      <c r="H14703" s="37" t="str">
        <f t="shared" si="1147"/>
        <v>High</v>
      </c>
      <c r="I14703">
        <v>3</v>
      </c>
      <c r="J14703" t="str" cm="1">
        <f t="array" ref="J14703">_xlfn.IFS(I14703&lt;=3,"small",I14703&lt;=6,"Medium",I14703&lt;=9,"Large")</f>
        <v>small</v>
      </c>
      <c r="K14703" s="36">
        <v>45287</v>
      </c>
      <c r="L14703" s="36">
        <v>45293</v>
      </c>
      <c r="M14703" t="s">
        <v>612</v>
      </c>
      <c r="N14703" t="s">
        <v>604</v>
      </c>
      <c r="O14703" s="37" t="str">
        <f t="shared" si="1148"/>
        <v>Digital Payment</v>
      </c>
      <c r="P14703">
        <v>1085.1199999999999</v>
      </c>
      <c r="Q14703" s="37" t="str">
        <f>IF(P14703&gt;500,"High","low")</f>
        <v>High</v>
      </c>
      <c r="R14703" s="37" t="str">
        <f t="shared" si="1149"/>
        <v>Excellent</v>
      </c>
      <c r="S14703" t="s">
        <v>620</v>
      </c>
    </row>
    <row r="14704" spans="1:19" x14ac:dyDescent="0.2">
      <c r="A14704" t="s">
        <v>15315</v>
      </c>
      <c r="B14704" t="s">
        <v>75</v>
      </c>
      <c r="C14704" t="s">
        <v>607</v>
      </c>
      <c r="D14704">
        <v>374.35</v>
      </c>
      <c r="E14704" s="37" t="str">
        <f t="shared" si="1145"/>
        <v xml:space="preserve"> </v>
      </c>
      <c r="F14704">
        <v>0.14000000000000001</v>
      </c>
      <c r="G14704" s="37" t="str">
        <f t="shared" si="1146"/>
        <v>Normal Discount</v>
      </c>
      <c r="H14704" s="37" t="str">
        <f t="shared" si="1147"/>
        <v>Low</v>
      </c>
      <c r="I14704">
        <v>8</v>
      </c>
      <c r="J14704" t="str" cm="1">
        <f t="array" ref="J14704">_xlfn.IFS(I14704&lt;=3,"small",I14704&lt;=6,"Medium",I14704&lt;=9,"Large")</f>
        <v>Large</v>
      </c>
      <c r="K14704" s="36">
        <v>45463</v>
      </c>
      <c r="L14704" s="36">
        <v>45467</v>
      </c>
      <c r="M14704" t="s">
        <v>612</v>
      </c>
      <c r="N14704" t="s">
        <v>604</v>
      </c>
      <c r="O14704" s="37" t="str">
        <f t="shared" si="1148"/>
        <v>Digital Payment</v>
      </c>
      <c r="P14704">
        <v>44.82</v>
      </c>
      <c r="Q14704" s="37" t="str">
        <f>IF(P14704&gt;500,"High","low")</f>
        <v>low</v>
      </c>
      <c r="R14704" s="37" t="str">
        <f t="shared" si="1149"/>
        <v>AVERAGE</v>
      </c>
      <c r="S14704" t="s">
        <v>620</v>
      </c>
    </row>
    <row r="14705" spans="1:19" x14ac:dyDescent="0.2">
      <c r="A14705" t="s">
        <v>15316</v>
      </c>
      <c r="B14705" t="s">
        <v>90</v>
      </c>
      <c r="C14705" t="s">
        <v>602</v>
      </c>
      <c r="D14705">
        <v>3615.45</v>
      </c>
      <c r="E14705" s="37" t="str">
        <f t="shared" si="1145"/>
        <v xml:space="preserve"> </v>
      </c>
      <c r="F14705">
        <v>0.48</v>
      </c>
      <c r="G14705" s="37" t="str">
        <f t="shared" si="1146"/>
        <v>Heavy Discount</v>
      </c>
      <c r="H14705" s="37" t="str">
        <f t="shared" si="1147"/>
        <v>High</v>
      </c>
      <c r="I14705">
        <v>9</v>
      </c>
      <c r="J14705" t="str" cm="1">
        <f t="array" ref="J14705">_xlfn.IFS(I14705&lt;=3,"small",I14705&lt;=6,"Medium",I14705&lt;=9,"Large")</f>
        <v>Large</v>
      </c>
      <c r="K14705" s="36">
        <v>45119</v>
      </c>
      <c r="L14705" s="36">
        <v>45122</v>
      </c>
      <c r="M14705" t="s">
        <v>598</v>
      </c>
      <c r="N14705" t="s">
        <v>599</v>
      </c>
      <c r="O14705" s="37" t="str">
        <f t="shared" si="1148"/>
        <v>Digital Payment</v>
      </c>
      <c r="P14705">
        <v>414.13</v>
      </c>
      <c r="Q14705" s="37" t="str">
        <f>IF(P14705&gt;500,"High","low")</f>
        <v>low</v>
      </c>
      <c r="R14705" s="37" t="str">
        <f t="shared" si="1149"/>
        <v>AVERAGE</v>
      </c>
      <c r="S14705" t="s">
        <v>605</v>
      </c>
    </row>
    <row r="14706" spans="1:19" x14ac:dyDescent="0.2">
      <c r="A14706" t="s">
        <v>15317</v>
      </c>
      <c r="B14706" t="s">
        <v>67</v>
      </c>
      <c r="C14706" t="s">
        <v>614</v>
      </c>
      <c r="D14706">
        <v>1731.63</v>
      </c>
      <c r="E14706" s="37" t="str">
        <f t="shared" si="1145"/>
        <v xml:space="preserve"> </v>
      </c>
      <c r="F14706">
        <v>0.05</v>
      </c>
      <c r="G14706" s="37" t="str">
        <f t="shared" si="1146"/>
        <v>Normal Discount</v>
      </c>
      <c r="H14706" s="37" t="str">
        <f t="shared" si="1147"/>
        <v>Low</v>
      </c>
      <c r="I14706">
        <v>3</v>
      </c>
      <c r="J14706" t="str" cm="1">
        <f t="array" ref="J14706">_xlfn.IFS(I14706&lt;=3,"small",I14706&lt;=6,"Medium",I14706&lt;=9,"Large")</f>
        <v>small</v>
      </c>
      <c r="K14706" s="36">
        <v>45293</v>
      </c>
      <c r="L14706" s="36">
        <v>45298</v>
      </c>
      <c r="M14706" t="s">
        <v>612</v>
      </c>
      <c r="N14706" t="s">
        <v>608</v>
      </c>
      <c r="O14706" s="37" t="str">
        <f t="shared" si="1148"/>
        <v>Cash Payment</v>
      </c>
      <c r="P14706">
        <v>374.3</v>
      </c>
      <c r="Q14706" s="37" t="str">
        <f>IF(P14706&gt;500,"High","low")</f>
        <v>low</v>
      </c>
      <c r="R14706" s="37" t="str">
        <f t="shared" si="1149"/>
        <v>AVERAGE</v>
      </c>
      <c r="S14706" t="s">
        <v>609</v>
      </c>
    </row>
    <row r="14707" spans="1:19" x14ac:dyDescent="0.2">
      <c r="A14707" t="s">
        <v>15318</v>
      </c>
      <c r="B14707" t="s">
        <v>67</v>
      </c>
      <c r="C14707" t="s">
        <v>602</v>
      </c>
      <c r="D14707">
        <v>4674.17</v>
      </c>
      <c r="E14707" s="37" t="str">
        <f t="shared" si="1145"/>
        <v xml:space="preserve"> </v>
      </c>
      <c r="F14707">
        <v>0.4</v>
      </c>
      <c r="G14707" s="37" t="str">
        <f t="shared" si="1146"/>
        <v>Heavy Discount</v>
      </c>
      <c r="H14707" s="37" t="str">
        <f t="shared" si="1147"/>
        <v>Medium</v>
      </c>
      <c r="I14707">
        <v>1</v>
      </c>
      <c r="J14707" t="str" cm="1">
        <f t="array" ref="J14707">_xlfn.IFS(I14707&lt;=3,"small",I14707&lt;=6,"Medium",I14707&lt;=9,"Large")</f>
        <v>small</v>
      </c>
      <c r="K14707" s="36">
        <v>45089</v>
      </c>
      <c r="L14707" s="36">
        <v>45095</v>
      </c>
      <c r="M14707" t="s">
        <v>603</v>
      </c>
      <c r="N14707" t="s">
        <v>599</v>
      </c>
      <c r="O14707" s="37" t="str">
        <f t="shared" si="1148"/>
        <v>Digital Payment</v>
      </c>
      <c r="P14707">
        <v>369.94</v>
      </c>
      <c r="Q14707" s="37" t="str">
        <f>IF(P14707&gt;500,"High","low")</f>
        <v>low</v>
      </c>
      <c r="R14707" s="37" t="str">
        <f t="shared" si="1149"/>
        <v>AVERAGE</v>
      </c>
      <c r="S14707" t="s">
        <v>609</v>
      </c>
    </row>
    <row r="14708" spans="1:19" x14ac:dyDescent="0.2">
      <c r="A14708" t="s">
        <v>15319</v>
      </c>
      <c r="B14708" t="s">
        <v>67</v>
      </c>
      <c r="C14708" t="s">
        <v>617</v>
      </c>
      <c r="D14708">
        <v>4931.66</v>
      </c>
      <c r="E14708" s="37" t="str">
        <f t="shared" si="1145"/>
        <v>Excellent Order</v>
      </c>
      <c r="F14708">
        <v>0.22</v>
      </c>
      <c r="G14708" s="37" t="str">
        <f t="shared" si="1146"/>
        <v>Normal Discount</v>
      </c>
      <c r="H14708" s="37" t="str">
        <f t="shared" si="1147"/>
        <v>Medium</v>
      </c>
      <c r="I14708">
        <v>8</v>
      </c>
      <c r="J14708" t="str" cm="1">
        <f t="array" ref="J14708">_xlfn.IFS(I14708&lt;=3,"small",I14708&lt;=6,"Medium",I14708&lt;=9,"Large")</f>
        <v>Large</v>
      </c>
      <c r="K14708" s="36">
        <v>45198</v>
      </c>
      <c r="L14708" s="36">
        <v>45200</v>
      </c>
      <c r="M14708" t="s">
        <v>603</v>
      </c>
      <c r="N14708" t="s">
        <v>604</v>
      </c>
      <c r="O14708" s="37" t="str">
        <f t="shared" si="1148"/>
        <v>Digital Payment</v>
      </c>
      <c r="P14708">
        <v>914.3</v>
      </c>
      <c r="Q14708" s="37" t="str">
        <f>IF(P14708&gt;500,"High","low")</f>
        <v>High</v>
      </c>
      <c r="R14708" s="37" t="str">
        <f t="shared" si="1149"/>
        <v>Good</v>
      </c>
      <c r="S14708" t="s">
        <v>628</v>
      </c>
    </row>
    <row r="14709" spans="1:19" x14ac:dyDescent="0.2">
      <c r="A14709" t="s">
        <v>15320</v>
      </c>
      <c r="B14709" t="s">
        <v>75</v>
      </c>
      <c r="C14709" t="s">
        <v>602</v>
      </c>
      <c r="D14709">
        <v>1743.61</v>
      </c>
      <c r="E14709" s="37" t="str">
        <f t="shared" si="1145"/>
        <v xml:space="preserve"> </v>
      </c>
      <c r="F14709">
        <v>0.1</v>
      </c>
      <c r="G14709" s="37" t="str">
        <f t="shared" si="1146"/>
        <v>Normal Discount</v>
      </c>
      <c r="H14709" s="37" t="str">
        <f t="shared" si="1147"/>
        <v>Low</v>
      </c>
      <c r="I14709">
        <v>2</v>
      </c>
      <c r="J14709" t="str" cm="1">
        <f t="array" ref="J14709">_xlfn.IFS(I14709&lt;=3,"small",I14709&lt;=6,"Medium",I14709&lt;=9,"Large")</f>
        <v>small</v>
      </c>
      <c r="K14709" s="36">
        <v>45470</v>
      </c>
      <c r="L14709" s="36">
        <v>45472</v>
      </c>
      <c r="M14709" t="s">
        <v>598</v>
      </c>
      <c r="N14709" t="s">
        <v>599</v>
      </c>
      <c r="O14709" s="37" t="str">
        <f t="shared" si="1148"/>
        <v>Digital Payment</v>
      </c>
      <c r="P14709">
        <v>305.95</v>
      </c>
      <c r="Q14709" s="37" t="str">
        <f>IF(P14709&gt;500,"High","low")</f>
        <v>low</v>
      </c>
      <c r="R14709" s="37" t="str">
        <f t="shared" si="1149"/>
        <v>AVERAGE</v>
      </c>
      <c r="S14709" t="s">
        <v>620</v>
      </c>
    </row>
    <row r="14710" spans="1:19" x14ac:dyDescent="0.2">
      <c r="A14710" t="s">
        <v>15321</v>
      </c>
      <c r="B14710" t="s">
        <v>83</v>
      </c>
      <c r="C14710" t="s">
        <v>614</v>
      </c>
      <c r="D14710">
        <v>2996.42</v>
      </c>
      <c r="E14710" s="37" t="str">
        <f t="shared" si="1145"/>
        <v xml:space="preserve"> </v>
      </c>
      <c r="F14710">
        <v>0.39</v>
      </c>
      <c r="G14710" s="37" t="str">
        <f t="shared" si="1146"/>
        <v>Heavy Discount</v>
      </c>
      <c r="H14710" s="37" t="str">
        <f t="shared" si="1147"/>
        <v>Medium</v>
      </c>
      <c r="I14710">
        <v>7</v>
      </c>
      <c r="J14710" t="str" cm="1">
        <f t="array" ref="J14710">_xlfn.IFS(I14710&lt;=3,"small",I14710&lt;=6,"Medium",I14710&lt;=9,"Large")</f>
        <v>Large</v>
      </c>
      <c r="K14710" s="36">
        <v>45165</v>
      </c>
      <c r="L14710" s="36">
        <v>45167</v>
      </c>
      <c r="M14710" t="s">
        <v>598</v>
      </c>
      <c r="N14710" t="s">
        <v>599</v>
      </c>
      <c r="O14710" s="37" t="str">
        <f t="shared" si="1148"/>
        <v>Digital Payment</v>
      </c>
      <c r="P14710">
        <v>653.63</v>
      </c>
      <c r="Q14710" s="37" t="str">
        <f>IF(P14710&gt;500,"High","low")</f>
        <v>High</v>
      </c>
      <c r="R14710" s="37" t="str">
        <f t="shared" si="1149"/>
        <v>Good</v>
      </c>
      <c r="S14710" t="s">
        <v>628</v>
      </c>
    </row>
    <row r="14711" spans="1:19" x14ac:dyDescent="0.2">
      <c r="A14711" t="s">
        <v>15322</v>
      </c>
      <c r="B14711" t="s">
        <v>75</v>
      </c>
      <c r="C14711" t="s">
        <v>602</v>
      </c>
      <c r="D14711">
        <v>3887.63</v>
      </c>
      <c r="E14711" s="37" t="str">
        <f t="shared" si="1145"/>
        <v xml:space="preserve"> </v>
      </c>
      <c r="F14711">
        <v>0</v>
      </c>
      <c r="G14711" s="37" t="str">
        <f t="shared" si="1146"/>
        <v>Normal Discount</v>
      </c>
      <c r="H14711" s="37" t="str">
        <f t="shared" si="1147"/>
        <v>Low</v>
      </c>
      <c r="I14711">
        <v>7</v>
      </c>
      <c r="J14711" t="str" cm="1">
        <f t="array" ref="J14711">_xlfn.IFS(I14711&lt;=3,"small",I14711&lt;=6,"Medium",I14711&lt;=9,"Large")</f>
        <v>Large</v>
      </c>
      <c r="K14711" s="36">
        <v>45315</v>
      </c>
      <c r="L14711" s="36">
        <v>45321</v>
      </c>
      <c r="M14711" t="s">
        <v>612</v>
      </c>
      <c r="N14711" t="s">
        <v>604</v>
      </c>
      <c r="O14711" s="37" t="str">
        <f t="shared" si="1148"/>
        <v>Digital Payment</v>
      </c>
      <c r="P14711">
        <v>783.52</v>
      </c>
      <c r="Q14711" s="37" t="str">
        <f>IF(P14711&gt;500,"High","low")</f>
        <v>High</v>
      </c>
      <c r="R14711" s="37" t="str">
        <f t="shared" si="1149"/>
        <v>Good</v>
      </c>
      <c r="S14711" t="s">
        <v>605</v>
      </c>
    </row>
    <row r="14712" spans="1:19" x14ac:dyDescent="0.2">
      <c r="A14712" t="s">
        <v>15323</v>
      </c>
      <c r="B14712" t="s">
        <v>67</v>
      </c>
      <c r="C14712" t="s">
        <v>614</v>
      </c>
      <c r="D14712">
        <v>704.71</v>
      </c>
      <c r="E14712" s="37" t="str">
        <f t="shared" si="1145"/>
        <v xml:space="preserve"> </v>
      </c>
      <c r="F14712">
        <v>0.17</v>
      </c>
      <c r="G14712" s="37" t="str">
        <f t="shared" si="1146"/>
        <v>Normal Discount</v>
      </c>
      <c r="H14712" s="37" t="str">
        <f t="shared" si="1147"/>
        <v>Low</v>
      </c>
      <c r="I14712">
        <v>9</v>
      </c>
      <c r="J14712" t="str" cm="1">
        <f t="array" ref="J14712">_xlfn.IFS(I14712&lt;=3,"small",I14712&lt;=6,"Medium",I14712&lt;=9,"Large")</f>
        <v>Large</v>
      </c>
      <c r="K14712" s="36">
        <v>44936</v>
      </c>
      <c r="L14712" s="36">
        <v>44938</v>
      </c>
      <c r="M14712" t="s">
        <v>603</v>
      </c>
      <c r="N14712" t="s">
        <v>599</v>
      </c>
      <c r="O14712" s="37" t="str">
        <f t="shared" si="1148"/>
        <v>Digital Payment</v>
      </c>
      <c r="P14712">
        <v>178.71</v>
      </c>
      <c r="Q14712" s="37" t="str">
        <f>IF(P14712&gt;500,"High","low")</f>
        <v>low</v>
      </c>
      <c r="R14712" s="37" t="str">
        <f t="shared" si="1149"/>
        <v>AVERAGE</v>
      </c>
      <c r="S14712" t="s">
        <v>605</v>
      </c>
    </row>
    <row r="14713" spans="1:19" x14ac:dyDescent="0.2">
      <c r="A14713" t="s">
        <v>15324</v>
      </c>
      <c r="B14713" t="s">
        <v>90</v>
      </c>
      <c r="C14713" t="s">
        <v>607</v>
      </c>
      <c r="D14713">
        <v>3576.37</v>
      </c>
      <c r="E14713" s="37" t="str">
        <f t="shared" si="1145"/>
        <v xml:space="preserve"> </v>
      </c>
      <c r="F14713">
        <v>0.3</v>
      </c>
      <c r="G14713" s="37" t="str">
        <f t="shared" si="1146"/>
        <v>Normal Discount</v>
      </c>
      <c r="H14713" s="37" t="str">
        <f t="shared" si="1147"/>
        <v>Medium</v>
      </c>
      <c r="I14713">
        <v>8</v>
      </c>
      <c r="J14713" t="str" cm="1">
        <f t="array" ref="J14713">_xlfn.IFS(I14713&lt;=3,"small",I14713&lt;=6,"Medium",I14713&lt;=9,"Large")</f>
        <v>Large</v>
      </c>
      <c r="K14713" s="36">
        <v>45254</v>
      </c>
      <c r="L14713" s="36">
        <v>45257</v>
      </c>
      <c r="M14713" t="s">
        <v>612</v>
      </c>
      <c r="N14713" t="s">
        <v>608</v>
      </c>
      <c r="O14713" s="37" t="str">
        <f t="shared" si="1148"/>
        <v>Cash Payment</v>
      </c>
      <c r="P14713">
        <v>233.24</v>
      </c>
      <c r="Q14713" s="37" t="str">
        <f>IF(P14713&gt;500,"High","low")</f>
        <v>low</v>
      </c>
      <c r="R14713" s="37" t="str">
        <f t="shared" si="1149"/>
        <v>AVERAGE</v>
      </c>
      <c r="S14713" t="s">
        <v>628</v>
      </c>
    </row>
    <row r="14714" spans="1:19" x14ac:dyDescent="0.2">
      <c r="A14714" t="s">
        <v>15325</v>
      </c>
      <c r="B14714" t="s">
        <v>83</v>
      </c>
      <c r="C14714" t="s">
        <v>602</v>
      </c>
      <c r="D14714">
        <v>4540.37</v>
      </c>
      <c r="E14714" s="37" t="str">
        <f t="shared" si="1145"/>
        <v>Excellent Order</v>
      </c>
      <c r="F14714">
        <v>0.12</v>
      </c>
      <c r="G14714" s="37" t="str">
        <f t="shared" si="1146"/>
        <v>Normal Discount</v>
      </c>
      <c r="H14714" s="37" t="str">
        <f t="shared" si="1147"/>
        <v>Low</v>
      </c>
      <c r="I14714">
        <v>9</v>
      </c>
      <c r="J14714" t="str" cm="1">
        <f t="array" ref="J14714">_xlfn.IFS(I14714&lt;=3,"small",I14714&lt;=6,"Medium",I14714&lt;=9,"Large")</f>
        <v>Large</v>
      </c>
      <c r="K14714" s="36">
        <v>45517</v>
      </c>
      <c r="L14714" s="36">
        <v>45520</v>
      </c>
      <c r="M14714" t="s">
        <v>598</v>
      </c>
      <c r="N14714" t="s">
        <v>604</v>
      </c>
      <c r="O14714" s="37" t="str">
        <f t="shared" si="1148"/>
        <v>Digital Payment</v>
      </c>
      <c r="P14714">
        <v>961.04</v>
      </c>
      <c r="Q14714" s="37" t="str">
        <f>IF(P14714&gt;500,"High","low")</f>
        <v>High</v>
      </c>
      <c r="R14714" s="37" t="str">
        <f t="shared" si="1149"/>
        <v>Good</v>
      </c>
      <c r="S14714" t="s">
        <v>620</v>
      </c>
    </row>
    <row r="14715" spans="1:19" x14ac:dyDescent="0.2">
      <c r="A14715" t="s">
        <v>15326</v>
      </c>
      <c r="B14715" t="s">
        <v>75</v>
      </c>
      <c r="C14715" t="s">
        <v>614</v>
      </c>
      <c r="D14715">
        <v>974.66</v>
      </c>
      <c r="E14715" s="37" t="str">
        <f t="shared" si="1145"/>
        <v xml:space="preserve"> </v>
      </c>
      <c r="F14715">
        <v>0.17</v>
      </c>
      <c r="G14715" s="37" t="str">
        <f t="shared" si="1146"/>
        <v>Normal Discount</v>
      </c>
      <c r="H14715" s="37" t="str">
        <f t="shared" si="1147"/>
        <v>Low</v>
      </c>
      <c r="I14715">
        <v>1</v>
      </c>
      <c r="J14715" t="str" cm="1">
        <f t="array" ref="J14715">_xlfn.IFS(I14715&lt;=3,"small",I14715&lt;=6,"Medium",I14715&lt;=9,"Large")</f>
        <v>small</v>
      </c>
      <c r="K14715" s="36">
        <v>45271</v>
      </c>
      <c r="L14715" s="36">
        <v>45273</v>
      </c>
      <c r="M14715" t="s">
        <v>603</v>
      </c>
      <c r="N14715" t="s">
        <v>604</v>
      </c>
      <c r="O14715" s="37" t="str">
        <f t="shared" si="1148"/>
        <v>Digital Payment</v>
      </c>
      <c r="P14715">
        <v>223.59</v>
      </c>
      <c r="Q14715" s="37" t="str">
        <f>IF(P14715&gt;500,"High","low")</f>
        <v>low</v>
      </c>
      <c r="R14715" s="37" t="str">
        <f t="shared" si="1149"/>
        <v>AVERAGE</v>
      </c>
      <c r="S14715" t="s">
        <v>628</v>
      </c>
    </row>
    <row r="14716" spans="1:19" x14ac:dyDescent="0.2">
      <c r="A14716" t="s">
        <v>15327</v>
      </c>
      <c r="B14716" t="s">
        <v>75</v>
      </c>
      <c r="C14716" t="s">
        <v>607</v>
      </c>
      <c r="D14716">
        <v>4209.68</v>
      </c>
      <c r="E14716" s="37" t="str">
        <f t="shared" si="1145"/>
        <v>Excellent Order</v>
      </c>
      <c r="F14716">
        <v>0.05</v>
      </c>
      <c r="G14716" s="37" t="str">
        <f t="shared" si="1146"/>
        <v>Normal Discount</v>
      </c>
      <c r="H14716" s="37" t="str">
        <f t="shared" si="1147"/>
        <v>Low</v>
      </c>
      <c r="I14716">
        <v>3</v>
      </c>
      <c r="J14716" t="str" cm="1">
        <f t="array" ref="J14716">_xlfn.IFS(I14716&lt;=3,"small",I14716&lt;=6,"Medium",I14716&lt;=9,"Large")</f>
        <v>small</v>
      </c>
      <c r="K14716" s="36">
        <v>45322</v>
      </c>
      <c r="L14716" s="36">
        <v>45324</v>
      </c>
      <c r="M14716" t="s">
        <v>612</v>
      </c>
      <c r="N14716" t="s">
        <v>604</v>
      </c>
      <c r="O14716" s="37" t="str">
        <f t="shared" si="1148"/>
        <v>Digital Payment</v>
      </c>
      <c r="P14716">
        <v>1044.49</v>
      </c>
      <c r="Q14716" s="37" t="str">
        <f>IF(P14716&gt;500,"High","low")</f>
        <v>High</v>
      </c>
      <c r="R14716" s="37" t="str">
        <f t="shared" si="1149"/>
        <v>Excellent</v>
      </c>
      <c r="S14716" t="s">
        <v>620</v>
      </c>
    </row>
    <row r="14717" spans="1:19" x14ac:dyDescent="0.2">
      <c r="A14717" t="s">
        <v>15328</v>
      </c>
      <c r="B14717" t="s">
        <v>83</v>
      </c>
      <c r="C14717" t="s">
        <v>617</v>
      </c>
      <c r="D14717">
        <v>666.46</v>
      </c>
      <c r="E14717" s="37" t="str">
        <f t="shared" si="1145"/>
        <v xml:space="preserve"> </v>
      </c>
      <c r="F14717">
        <v>0.43</v>
      </c>
      <c r="G14717" s="37" t="str">
        <f t="shared" si="1146"/>
        <v>Heavy Discount</v>
      </c>
      <c r="H14717" s="37" t="str">
        <f t="shared" si="1147"/>
        <v>High</v>
      </c>
      <c r="I14717">
        <v>4</v>
      </c>
      <c r="J14717" t="str" cm="1">
        <f t="array" ref="J14717">_xlfn.IFS(I14717&lt;=3,"small",I14717&lt;=6,"Medium",I14717&lt;=9,"Large")</f>
        <v>Medium</v>
      </c>
      <c r="K14717" s="36">
        <v>45016</v>
      </c>
      <c r="L14717" s="36">
        <v>45021</v>
      </c>
      <c r="M14717" t="s">
        <v>603</v>
      </c>
      <c r="N14717" t="s">
        <v>599</v>
      </c>
      <c r="O14717" s="37" t="str">
        <f t="shared" si="1148"/>
        <v>Digital Payment</v>
      </c>
      <c r="P14717">
        <v>95</v>
      </c>
      <c r="Q14717" s="37" t="str">
        <f>IF(P14717&gt;500,"High","low")</f>
        <v>low</v>
      </c>
      <c r="R14717" s="37" t="str">
        <f t="shared" si="1149"/>
        <v>AVERAGE</v>
      </c>
      <c r="S14717" t="s">
        <v>605</v>
      </c>
    </row>
    <row r="14718" spans="1:19" x14ac:dyDescent="0.2">
      <c r="A14718" t="s">
        <v>15329</v>
      </c>
      <c r="B14718" t="s">
        <v>83</v>
      </c>
      <c r="C14718" t="s">
        <v>597</v>
      </c>
      <c r="D14718">
        <v>2884.68</v>
      </c>
      <c r="E14718" s="37" t="str">
        <f t="shared" si="1145"/>
        <v xml:space="preserve"> </v>
      </c>
      <c r="F14718">
        <v>0.21</v>
      </c>
      <c r="G14718" s="37" t="str">
        <f t="shared" si="1146"/>
        <v>Normal Discount</v>
      </c>
      <c r="H14718" s="37" t="str">
        <f t="shared" si="1147"/>
        <v>Medium</v>
      </c>
      <c r="I14718">
        <v>3</v>
      </c>
      <c r="J14718" t="str" cm="1">
        <f t="array" ref="J14718">_xlfn.IFS(I14718&lt;=3,"small",I14718&lt;=6,"Medium",I14718&lt;=9,"Large")</f>
        <v>small</v>
      </c>
      <c r="K14718" s="36">
        <v>45378</v>
      </c>
      <c r="L14718" s="36">
        <v>45383</v>
      </c>
      <c r="M14718" t="s">
        <v>603</v>
      </c>
      <c r="N14718" t="s">
        <v>604</v>
      </c>
      <c r="O14718" s="37" t="str">
        <f t="shared" si="1148"/>
        <v>Digital Payment</v>
      </c>
      <c r="P14718">
        <v>355.14</v>
      </c>
      <c r="Q14718" s="37" t="str">
        <f>IF(P14718&gt;500,"High","low")</f>
        <v>low</v>
      </c>
      <c r="R14718" s="37" t="str">
        <f t="shared" si="1149"/>
        <v>AVERAGE</v>
      </c>
      <c r="S14718" t="s">
        <v>600</v>
      </c>
    </row>
    <row r="14719" spans="1:19" x14ac:dyDescent="0.2">
      <c r="A14719" t="s">
        <v>15330</v>
      </c>
      <c r="B14719" t="s">
        <v>90</v>
      </c>
      <c r="C14719" t="s">
        <v>614</v>
      </c>
      <c r="D14719">
        <v>1762.88</v>
      </c>
      <c r="E14719" s="37" t="str">
        <f t="shared" si="1145"/>
        <v xml:space="preserve"> </v>
      </c>
      <c r="F14719">
        <v>7.0000000000000007E-2</v>
      </c>
      <c r="G14719" s="37" t="str">
        <f t="shared" si="1146"/>
        <v>Normal Discount</v>
      </c>
      <c r="H14719" s="37" t="str">
        <f t="shared" si="1147"/>
        <v>Low</v>
      </c>
      <c r="I14719">
        <v>8</v>
      </c>
      <c r="J14719" t="str" cm="1">
        <f t="array" ref="J14719">_xlfn.IFS(I14719&lt;=3,"small",I14719&lt;=6,"Medium",I14719&lt;=9,"Large")</f>
        <v>Large</v>
      </c>
      <c r="K14719" s="36">
        <v>45373</v>
      </c>
      <c r="L14719" s="36">
        <v>45379</v>
      </c>
      <c r="M14719" t="s">
        <v>598</v>
      </c>
      <c r="N14719" t="s">
        <v>608</v>
      </c>
      <c r="O14719" s="37" t="str">
        <f t="shared" si="1148"/>
        <v>Cash Payment</v>
      </c>
      <c r="P14719">
        <v>381.05</v>
      </c>
      <c r="Q14719" s="37" t="str">
        <f>IF(P14719&gt;500,"High","low")</f>
        <v>low</v>
      </c>
      <c r="R14719" s="37" t="str">
        <f t="shared" si="1149"/>
        <v>AVERAGE</v>
      </c>
      <c r="S14719" t="s">
        <v>615</v>
      </c>
    </row>
    <row r="14720" spans="1:19" x14ac:dyDescent="0.2">
      <c r="A14720" t="s">
        <v>15331</v>
      </c>
      <c r="B14720" t="s">
        <v>83</v>
      </c>
      <c r="C14720" t="s">
        <v>617</v>
      </c>
      <c r="D14720">
        <v>2411.41</v>
      </c>
      <c r="E14720" s="37" t="str">
        <f t="shared" si="1145"/>
        <v xml:space="preserve"> </v>
      </c>
      <c r="F14720">
        <v>0.1</v>
      </c>
      <c r="G14720" s="37" t="str">
        <f t="shared" si="1146"/>
        <v>Normal Discount</v>
      </c>
      <c r="H14720" s="37" t="str">
        <f t="shared" si="1147"/>
        <v>Low</v>
      </c>
      <c r="I14720">
        <v>7</v>
      </c>
      <c r="J14720" t="str" cm="1">
        <f t="array" ref="J14720">_xlfn.IFS(I14720&lt;=3,"small",I14720&lt;=6,"Medium",I14720&lt;=9,"Large")</f>
        <v>Large</v>
      </c>
      <c r="K14720" s="36">
        <v>45336</v>
      </c>
      <c r="L14720" s="36">
        <v>45341</v>
      </c>
      <c r="M14720" t="s">
        <v>612</v>
      </c>
      <c r="N14720" t="s">
        <v>599</v>
      </c>
      <c r="O14720" s="37" t="str">
        <f t="shared" si="1148"/>
        <v>Digital Payment</v>
      </c>
      <c r="P14720">
        <v>431.06</v>
      </c>
      <c r="Q14720" s="37" t="str">
        <f>IF(P14720&gt;500,"High","low")</f>
        <v>low</v>
      </c>
      <c r="R14720" s="37" t="str">
        <f t="shared" si="1149"/>
        <v>AVERAGE</v>
      </c>
      <c r="S14720" t="s">
        <v>605</v>
      </c>
    </row>
    <row r="14721" spans="1:19" x14ac:dyDescent="0.2">
      <c r="A14721" t="s">
        <v>15332</v>
      </c>
      <c r="B14721" t="s">
        <v>90</v>
      </c>
      <c r="C14721" t="s">
        <v>607</v>
      </c>
      <c r="D14721">
        <v>1573.1</v>
      </c>
      <c r="E14721" s="37" t="str">
        <f t="shared" si="1145"/>
        <v xml:space="preserve"> </v>
      </c>
      <c r="F14721">
        <v>0.14000000000000001</v>
      </c>
      <c r="G14721" s="37" t="str">
        <f t="shared" si="1146"/>
        <v>Normal Discount</v>
      </c>
      <c r="H14721" s="37" t="str">
        <f t="shared" si="1147"/>
        <v>Low</v>
      </c>
      <c r="I14721">
        <v>5</v>
      </c>
      <c r="J14721" t="str" cm="1">
        <f t="array" ref="J14721">_xlfn.IFS(I14721&lt;=3,"small",I14721&lt;=6,"Medium",I14721&lt;=9,"Large")</f>
        <v>Medium</v>
      </c>
      <c r="K14721" s="36">
        <v>45370</v>
      </c>
      <c r="L14721" s="36">
        <v>45371</v>
      </c>
      <c r="M14721" t="s">
        <v>598</v>
      </c>
      <c r="N14721" t="s">
        <v>599</v>
      </c>
      <c r="O14721" s="37" t="str">
        <f t="shared" si="1148"/>
        <v>Digital Payment</v>
      </c>
      <c r="P14721">
        <v>226.66</v>
      </c>
      <c r="Q14721" s="37" t="str">
        <f>IF(P14721&gt;500,"High","low")</f>
        <v>low</v>
      </c>
      <c r="R14721" s="37" t="str">
        <f t="shared" si="1149"/>
        <v>AVERAGE</v>
      </c>
      <c r="S14721" t="s">
        <v>620</v>
      </c>
    </row>
    <row r="14722" spans="1:19" x14ac:dyDescent="0.2">
      <c r="A14722" t="s">
        <v>15333</v>
      </c>
      <c r="B14722" t="s">
        <v>67</v>
      </c>
      <c r="C14722" t="s">
        <v>617</v>
      </c>
      <c r="D14722">
        <v>1376.64</v>
      </c>
      <c r="E14722" s="37" t="str">
        <f t="shared" si="1145"/>
        <v xml:space="preserve"> </v>
      </c>
      <c r="F14722">
        <v>0.11</v>
      </c>
      <c r="G14722" s="37" t="str">
        <f t="shared" si="1146"/>
        <v>Normal Discount</v>
      </c>
      <c r="H14722" s="37" t="str">
        <f t="shared" si="1147"/>
        <v>Low</v>
      </c>
      <c r="I14722">
        <v>5</v>
      </c>
      <c r="J14722" t="str" cm="1">
        <f t="array" ref="J14722">_xlfn.IFS(I14722&lt;=3,"small",I14722&lt;=6,"Medium",I14722&lt;=9,"Large")</f>
        <v>Medium</v>
      </c>
      <c r="K14722" s="36">
        <v>45499</v>
      </c>
      <c r="L14722" s="36">
        <v>45506</v>
      </c>
      <c r="M14722" t="s">
        <v>603</v>
      </c>
      <c r="N14722" t="s">
        <v>608</v>
      </c>
      <c r="O14722" s="37" t="str">
        <f t="shared" si="1148"/>
        <v>Cash Payment</v>
      </c>
      <c r="P14722">
        <v>325.26</v>
      </c>
      <c r="Q14722" s="37" t="str">
        <f>IF(P14722&gt;500,"High","low")</f>
        <v>low</v>
      </c>
      <c r="R14722" s="37" t="str">
        <f t="shared" si="1149"/>
        <v>AVERAGE</v>
      </c>
      <c r="S14722" t="s">
        <v>600</v>
      </c>
    </row>
    <row r="14723" spans="1:19" x14ac:dyDescent="0.2">
      <c r="A14723" t="s">
        <v>15334</v>
      </c>
      <c r="B14723" t="s">
        <v>67</v>
      </c>
      <c r="C14723" t="s">
        <v>602</v>
      </c>
      <c r="D14723">
        <v>3741.38</v>
      </c>
      <c r="E14723" s="37" t="str">
        <f t="shared" ref="E14723:E14786" si="1150">IF(AND(D14723&gt;4000,P14723&gt;800),"Excellent Order"," ")</f>
        <v xml:space="preserve"> </v>
      </c>
      <c r="F14723">
        <v>0.25</v>
      </c>
      <c r="G14723" s="37" t="str">
        <f t="shared" ref="G14723:G14786" si="1151">IF(F14723&gt;30%,"Heavy Discount","Normal Discount")</f>
        <v>Normal Discount</v>
      </c>
      <c r="H14723" s="37" t="str">
        <f t="shared" ref="H14723:H14786" si="1152">IF(F14723&gt;0.4,"High",IF(F14723&gt;=0.2,"Medium","Low"))</f>
        <v>Medium</v>
      </c>
      <c r="I14723">
        <v>4</v>
      </c>
      <c r="J14723" t="str" cm="1">
        <f t="array" ref="J14723">_xlfn.IFS(I14723&lt;=3,"small",I14723&lt;=6,"Medium",I14723&lt;=9,"Large")</f>
        <v>Medium</v>
      </c>
      <c r="K14723" s="36">
        <v>45325</v>
      </c>
      <c r="L14723" s="36">
        <v>45332</v>
      </c>
      <c r="M14723" t="s">
        <v>598</v>
      </c>
      <c r="N14723" t="s">
        <v>608</v>
      </c>
      <c r="O14723" s="37" t="str">
        <f t="shared" ref="O14723:O14786" si="1153">IF(OR(N14723="Card",N14723="UPI"),"Digital Payment","Cash Payment")</f>
        <v>Cash Payment</v>
      </c>
      <c r="P14723">
        <v>637.04999999999995</v>
      </c>
      <c r="Q14723" s="37" t="str">
        <f>IF(P14723&gt;500,"High","low")</f>
        <v>High</v>
      </c>
      <c r="R14723" s="37" t="str">
        <f t="shared" ref="R14723:R14786" si="1154">IF(P14723&gt;1000,"Excellent",IF(P14723&gt;=500,"Good","AVERAGE"))</f>
        <v>Good</v>
      </c>
      <c r="S14723" t="s">
        <v>605</v>
      </c>
    </row>
    <row r="14724" spans="1:19" x14ac:dyDescent="0.2">
      <c r="A14724" t="s">
        <v>15335</v>
      </c>
      <c r="B14724" t="s">
        <v>75</v>
      </c>
      <c r="C14724" t="s">
        <v>597</v>
      </c>
      <c r="D14724">
        <v>1193.25</v>
      </c>
      <c r="E14724" s="37" t="str">
        <f t="shared" si="1150"/>
        <v xml:space="preserve"> </v>
      </c>
      <c r="F14724">
        <v>0.45</v>
      </c>
      <c r="G14724" s="37" t="str">
        <f t="shared" si="1151"/>
        <v>Heavy Discount</v>
      </c>
      <c r="H14724" s="37" t="str">
        <f t="shared" si="1152"/>
        <v>High</v>
      </c>
      <c r="I14724">
        <v>5</v>
      </c>
      <c r="J14724" t="str" cm="1">
        <f t="array" ref="J14724">_xlfn.IFS(I14724&lt;=3,"small",I14724&lt;=6,"Medium",I14724&lt;=9,"Large")</f>
        <v>Medium</v>
      </c>
      <c r="K14724" s="36">
        <v>44931</v>
      </c>
      <c r="L14724" s="36">
        <v>44936</v>
      </c>
      <c r="M14724" t="s">
        <v>598</v>
      </c>
      <c r="N14724" t="s">
        <v>604</v>
      </c>
      <c r="O14724" s="37" t="str">
        <f t="shared" si="1153"/>
        <v>Digital Payment</v>
      </c>
      <c r="P14724">
        <v>196.28</v>
      </c>
      <c r="Q14724" s="37" t="str">
        <f>IF(P14724&gt;500,"High","low")</f>
        <v>low</v>
      </c>
      <c r="R14724" s="37" t="str">
        <f t="shared" si="1154"/>
        <v>AVERAGE</v>
      </c>
      <c r="S14724" t="s">
        <v>600</v>
      </c>
    </row>
    <row r="14725" spans="1:19" x14ac:dyDescent="0.2">
      <c r="A14725" t="s">
        <v>15336</v>
      </c>
      <c r="B14725" t="s">
        <v>67</v>
      </c>
      <c r="C14725" t="s">
        <v>614</v>
      </c>
      <c r="D14725">
        <v>2101.2199999999998</v>
      </c>
      <c r="E14725" s="37" t="str">
        <f t="shared" si="1150"/>
        <v xml:space="preserve"> </v>
      </c>
      <c r="F14725">
        <v>0.09</v>
      </c>
      <c r="G14725" s="37" t="str">
        <f t="shared" si="1151"/>
        <v>Normal Discount</v>
      </c>
      <c r="H14725" s="37" t="str">
        <f t="shared" si="1152"/>
        <v>Low</v>
      </c>
      <c r="I14725">
        <v>5</v>
      </c>
      <c r="J14725" t="str" cm="1">
        <f t="array" ref="J14725">_xlfn.IFS(I14725&lt;=3,"small",I14725&lt;=6,"Medium",I14725&lt;=9,"Large")</f>
        <v>Medium</v>
      </c>
      <c r="K14725" s="36">
        <v>45598</v>
      </c>
      <c r="L14725" s="36">
        <v>45605</v>
      </c>
      <c r="M14725" t="s">
        <v>612</v>
      </c>
      <c r="N14725" t="s">
        <v>599</v>
      </c>
      <c r="O14725" s="37" t="str">
        <f t="shared" si="1153"/>
        <v>Digital Payment</v>
      </c>
      <c r="P14725">
        <v>293.39999999999998</v>
      </c>
      <c r="Q14725" s="37" t="str">
        <f>IF(P14725&gt;500,"High","low")</f>
        <v>low</v>
      </c>
      <c r="R14725" s="37" t="str">
        <f t="shared" si="1154"/>
        <v>AVERAGE</v>
      </c>
      <c r="S14725" t="s">
        <v>605</v>
      </c>
    </row>
    <row r="14726" spans="1:19" x14ac:dyDescent="0.2">
      <c r="A14726" t="s">
        <v>15337</v>
      </c>
      <c r="B14726" t="s">
        <v>67</v>
      </c>
      <c r="C14726" t="s">
        <v>607</v>
      </c>
      <c r="D14726">
        <v>1445.33</v>
      </c>
      <c r="E14726" s="37" t="str">
        <f t="shared" si="1150"/>
        <v xml:space="preserve"> </v>
      </c>
      <c r="F14726">
        <v>0.23</v>
      </c>
      <c r="G14726" s="37" t="str">
        <f t="shared" si="1151"/>
        <v>Normal Discount</v>
      </c>
      <c r="H14726" s="37" t="str">
        <f t="shared" si="1152"/>
        <v>Medium</v>
      </c>
      <c r="I14726">
        <v>4</v>
      </c>
      <c r="J14726" t="str" cm="1">
        <f t="array" ref="J14726">_xlfn.IFS(I14726&lt;=3,"small",I14726&lt;=6,"Medium",I14726&lt;=9,"Large")</f>
        <v>Medium</v>
      </c>
      <c r="K14726" s="36">
        <v>45022</v>
      </c>
      <c r="L14726" s="36">
        <v>45027</v>
      </c>
      <c r="M14726" t="s">
        <v>612</v>
      </c>
      <c r="N14726" t="s">
        <v>604</v>
      </c>
      <c r="O14726" s="37" t="str">
        <f t="shared" si="1153"/>
        <v>Digital Payment</v>
      </c>
      <c r="P14726">
        <v>90</v>
      </c>
      <c r="Q14726" s="37" t="str">
        <f>IF(P14726&gt;500,"High","low")</f>
        <v>low</v>
      </c>
      <c r="R14726" s="37" t="str">
        <f t="shared" si="1154"/>
        <v>AVERAGE</v>
      </c>
      <c r="S14726" t="s">
        <v>600</v>
      </c>
    </row>
    <row r="14727" spans="1:19" x14ac:dyDescent="0.2">
      <c r="A14727" t="s">
        <v>15338</v>
      </c>
      <c r="B14727" t="s">
        <v>90</v>
      </c>
      <c r="C14727" t="s">
        <v>597</v>
      </c>
      <c r="D14727">
        <v>1269.31</v>
      </c>
      <c r="E14727" s="37" t="str">
        <f t="shared" si="1150"/>
        <v xml:space="preserve"> </v>
      </c>
      <c r="F14727">
        <v>0.33</v>
      </c>
      <c r="G14727" s="37" t="str">
        <f t="shared" si="1151"/>
        <v>Heavy Discount</v>
      </c>
      <c r="H14727" s="37" t="str">
        <f t="shared" si="1152"/>
        <v>Medium</v>
      </c>
      <c r="I14727">
        <v>5</v>
      </c>
      <c r="J14727" t="str" cm="1">
        <f t="array" ref="J14727">_xlfn.IFS(I14727&lt;=3,"small",I14727&lt;=6,"Medium",I14727&lt;=9,"Large")</f>
        <v>Medium</v>
      </c>
      <c r="K14727" s="36">
        <v>45450</v>
      </c>
      <c r="L14727" s="36">
        <v>45453</v>
      </c>
      <c r="M14727" t="s">
        <v>612</v>
      </c>
      <c r="N14727" t="s">
        <v>599</v>
      </c>
      <c r="O14727" s="37" t="str">
        <f t="shared" si="1153"/>
        <v>Digital Payment</v>
      </c>
      <c r="P14727">
        <v>327.98</v>
      </c>
      <c r="Q14727" s="37" t="str">
        <f>IF(P14727&gt;500,"High","low")</f>
        <v>low</v>
      </c>
      <c r="R14727" s="37" t="str">
        <f t="shared" si="1154"/>
        <v>AVERAGE</v>
      </c>
      <c r="S14727" t="s">
        <v>605</v>
      </c>
    </row>
    <row r="14728" spans="1:19" x14ac:dyDescent="0.2">
      <c r="A14728" t="s">
        <v>15339</v>
      </c>
      <c r="B14728" t="s">
        <v>75</v>
      </c>
      <c r="C14728" t="s">
        <v>607</v>
      </c>
      <c r="D14728">
        <v>3172.77</v>
      </c>
      <c r="E14728" s="37" t="str">
        <f t="shared" si="1150"/>
        <v xml:space="preserve"> </v>
      </c>
      <c r="F14728">
        <v>0.09</v>
      </c>
      <c r="G14728" s="37" t="str">
        <f t="shared" si="1151"/>
        <v>Normal Discount</v>
      </c>
      <c r="H14728" s="37" t="str">
        <f t="shared" si="1152"/>
        <v>Low</v>
      </c>
      <c r="I14728">
        <v>7</v>
      </c>
      <c r="J14728" t="str" cm="1">
        <f t="array" ref="J14728">_xlfn.IFS(I14728&lt;=3,"small",I14728&lt;=6,"Medium",I14728&lt;=9,"Large")</f>
        <v>Large</v>
      </c>
      <c r="K14728" s="36">
        <v>45270</v>
      </c>
      <c r="L14728" s="36">
        <v>45272</v>
      </c>
      <c r="M14728" t="s">
        <v>603</v>
      </c>
      <c r="N14728" t="s">
        <v>599</v>
      </c>
      <c r="O14728" s="37" t="str">
        <f t="shared" si="1153"/>
        <v>Digital Payment</v>
      </c>
      <c r="P14728">
        <v>430.5</v>
      </c>
      <c r="Q14728" s="37" t="str">
        <f>IF(P14728&gt;500,"High","low")</f>
        <v>low</v>
      </c>
      <c r="R14728" s="37" t="str">
        <f t="shared" si="1154"/>
        <v>AVERAGE</v>
      </c>
      <c r="S14728" t="s">
        <v>605</v>
      </c>
    </row>
    <row r="14729" spans="1:19" x14ac:dyDescent="0.2">
      <c r="A14729" t="s">
        <v>15340</v>
      </c>
      <c r="B14729" t="s">
        <v>83</v>
      </c>
      <c r="C14729" t="s">
        <v>617</v>
      </c>
      <c r="D14729">
        <v>322.60000000000002</v>
      </c>
      <c r="E14729" s="37" t="str">
        <f t="shared" si="1150"/>
        <v xml:space="preserve"> </v>
      </c>
      <c r="F14729">
        <v>0.08</v>
      </c>
      <c r="G14729" s="37" t="str">
        <f t="shared" si="1151"/>
        <v>Normal Discount</v>
      </c>
      <c r="H14729" s="37" t="str">
        <f t="shared" si="1152"/>
        <v>Low</v>
      </c>
      <c r="I14729">
        <v>9</v>
      </c>
      <c r="J14729" t="str" cm="1">
        <f t="array" ref="J14729">_xlfn.IFS(I14729&lt;=3,"small",I14729&lt;=6,"Medium",I14729&lt;=9,"Large")</f>
        <v>Large</v>
      </c>
      <c r="K14729" s="36">
        <v>45547</v>
      </c>
      <c r="L14729" s="36">
        <v>45553</v>
      </c>
      <c r="M14729" t="s">
        <v>603</v>
      </c>
      <c r="N14729" t="s">
        <v>608</v>
      </c>
      <c r="O14729" s="37" t="str">
        <f t="shared" si="1153"/>
        <v>Cash Payment</v>
      </c>
      <c r="P14729">
        <v>51.34</v>
      </c>
      <c r="Q14729" s="37" t="str">
        <f>IF(P14729&gt;500,"High","low")</f>
        <v>low</v>
      </c>
      <c r="R14729" s="37" t="str">
        <f t="shared" si="1154"/>
        <v>AVERAGE</v>
      </c>
      <c r="S14729" t="s">
        <v>609</v>
      </c>
    </row>
    <row r="14730" spans="1:19" x14ac:dyDescent="0.2">
      <c r="A14730" t="s">
        <v>15341</v>
      </c>
      <c r="B14730" t="s">
        <v>75</v>
      </c>
      <c r="C14730" t="s">
        <v>607</v>
      </c>
      <c r="D14730">
        <v>3965.6</v>
      </c>
      <c r="E14730" s="37" t="str">
        <f t="shared" si="1150"/>
        <v xml:space="preserve"> </v>
      </c>
      <c r="F14730">
        <v>0.08</v>
      </c>
      <c r="G14730" s="37" t="str">
        <f t="shared" si="1151"/>
        <v>Normal Discount</v>
      </c>
      <c r="H14730" s="37" t="str">
        <f t="shared" si="1152"/>
        <v>Low</v>
      </c>
      <c r="I14730">
        <v>7</v>
      </c>
      <c r="J14730" t="str" cm="1">
        <f t="array" ref="J14730">_xlfn.IFS(I14730&lt;=3,"small",I14730&lt;=6,"Medium",I14730&lt;=9,"Large")</f>
        <v>Large</v>
      </c>
      <c r="K14730" s="36">
        <v>45415</v>
      </c>
      <c r="L14730" s="36">
        <v>45420</v>
      </c>
      <c r="M14730" t="s">
        <v>612</v>
      </c>
      <c r="N14730" t="s">
        <v>604</v>
      </c>
      <c r="O14730" s="37" t="str">
        <f t="shared" si="1153"/>
        <v>Digital Payment</v>
      </c>
      <c r="P14730">
        <v>315.35000000000002</v>
      </c>
      <c r="Q14730" s="37" t="str">
        <f>IF(P14730&gt;500,"High","low")</f>
        <v>low</v>
      </c>
      <c r="R14730" s="37" t="str">
        <f t="shared" si="1154"/>
        <v>AVERAGE</v>
      </c>
      <c r="S14730" t="s">
        <v>628</v>
      </c>
    </row>
    <row r="14731" spans="1:19" x14ac:dyDescent="0.2">
      <c r="A14731" t="s">
        <v>15342</v>
      </c>
      <c r="B14731" t="s">
        <v>67</v>
      </c>
      <c r="C14731" t="s">
        <v>607</v>
      </c>
      <c r="D14731">
        <v>2776.55</v>
      </c>
      <c r="E14731" s="37" t="str">
        <f t="shared" si="1150"/>
        <v xml:space="preserve"> </v>
      </c>
      <c r="F14731">
        <v>0.44</v>
      </c>
      <c r="G14731" s="37" t="str">
        <f t="shared" si="1151"/>
        <v>Heavy Discount</v>
      </c>
      <c r="H14731" s="37" t="str">
        <f t="shared" si="1152"/>
        <v>High</v>
      </c>
      <c r="I14731">
        <v>1</v>
      </c>
      <c r="J14731" t="str" cm="1">
        <f t="array" ref="J14731">_xlfn.IFS(I14731&lt;=3,"small",I14731&lt;=6,"Medium",I14731&lt;=9,"Large")</f>
        <v>small</v>
      </c>
      <c r="K14731" s="36">
        <v>45134</v>
      </c>
      <c r="L14731" s="36">
        <v>45139</v>
      </c>
      <c r="M14731" t="s">
        <v>603</v>
      </c>
      <c r="N14731" t="s">
        <v>599</v>
      </c>
      <c r="O14731" s="37" t="str">
        <f t="shared" si="1153"/>
        <v>Digital Payment</v>
      </c>
      <c r="P14731">
        <v>564.84</v>
      </c>
      <c r="Q14731" s="37" t="str">
        <f>IF(P14731&gt;500,"High","low")</f>
        <v>High</v>
      </c>
      <c r="R14731" s="37" t="str">
        <f t="shared" si="1154"/>
        <v>Good</v>
      </c>
      <c r="S14731" t="s">
        <v>605</v>
      </c>
    </row>
    <row r="14732" spans="1:19" x14ac:dyDescent="0.2">
      <c r="A14732" t="s">
        <v>15343</v>
      </c>
      <c r="B14732" t="s">
        <v>83</v>
      </c>
      <c r="C14732" t="s">
        <v>617</v>
      </c>
      <c r="D14732">
        <v>4159.34</v>
      </c>
      <c r="E14732" s="37" t="str">
        <f t="shared" si="1150"/>
        <v>Excellent Order</v>
      </c>
      <c r="F14732">
        <v>0.36</v>
      </c>
      <c r="G14732" s="37" t="str">
        <f t="shared" si="1151"/>
        <v>Heavy Discount</v>
      </c>
      <c r="H14732" s="37" t="str">
        <f t="shared" si="1152"/>
        <v>Medium</v>
      </c>
      <c r="I14732">
        <v>9</v>
      </c>
      <c r="J14732" t="str" cm="1">
        <f t="array" ref="J14732">_xlfn.IFS(I14732&lt;=3,"small",I14732&lt;=6,"Medium",I14732&lt;=9,"Large")</f>
        <v>Large</v>
      </c>
      <c r="K14732" s="36">
        <v>45454</v>
      </c>
      <c r="L14732" s="36">
        <v>45459</v>
      </c>
      <c r="M14732" t="s">
        <v>603</v>
      </c>
      <c r="N14732" t="s">
        <v>604</v>
      </c>
      <c r="O14732" s="37" t="str">
        <f t="shared" si="1153"/>
        <v>Digital Payment</v>
      </c>
      <c r="P14732">
        <v>826.19</v>
      </c>
      <c r="Q14732" s="37" t="str">
        <f>IF(P14732&gt;500,"High","low")</f>
        <v>High</v>
      </c>
      <c r="R14732" s="37" t="str">
        <f t="shared" si="1154"/>
        <v>Good</v>
      </c>
      <c r="S14732" t="s">
        <v>600</v>
      </c>
    </row>
    <row r="14733" spans="1:19" x14ac:dyDescent="0.2">
      <c r="A14733" t="s">
        <v>15344</v>
      </c>
      <c r="B14733" t="s">
        <v>75</v>
      </c>
      <c r="C14733" t="s">
        <v>617</v>
      </c>
      <c r="D14733">
        <v>1143.78</v>
      </c>
      <c r="E14733" s="37" t="str">
        <f t="shared" si="1150"/>
        <v xml:space="preserve"> </v>
      </c>
      <c r="F14733">
        <v>0.17</v>
      </c>
      <c r="G14733" s="37" t="str">
        <f t="shared" si="1151"/>
        <v>Normal Discount</v>
      </c>
      <c r="H14733" s="37" t="str">
        <f t="shared" si="1152"/>
        <v>Low</v>
      </c>
      <c r="I14733">
        <v>3</v>
      </c>
      <c r="J14733" t="str" cm="1">
        <f t="array" ref="J14733">_xlfn.IFS(I14733&lt;=3,"small",I14733&lt;=6,"Medium",I14733&lt;=9,"Large")</f>
        <v>small</v>
      </c>
      <c r="K14733" s="36">
        <v>45233</v>
      </c>
      <c r="L14733" s="36">
        <v>45236</v>
      </c>
      <c r="M14733" t="s">
        <v>612</v>
      </c>
      <c r="N14733" t="s">
        <v>599</v>
      </c>
      <c r="O14733" s="37" t="str">
        <f t="shared" si="1153"/>
        <v>Digital Payment</v>
      </c>
      <c r="P14733">
        <v>144.19999999999999</v>
      </c>
      <c r="Q14733" s="37" t="str">
        <f>IF(P14733&gt;500,"High","low")</f>
        <v>low</v>
      </c>
      <c r="R14733" s="37" t="str">
        <f t="shared" si="1154"/>
        <v>AVERAGE</v>
      </c>
      <c r="S14733" t="s">
        <v>605</v>
      </c>
    </row>
    <row r="14734" spans="1:19" x14ac:dyDescent="0.2">
      <c r="A14734" t="s">
        <v>15345</v>
      </c>
      <c r="B14734" t="s">
        <v>75</v>
      </c>
      <c r="C14734" t="s">
        <v>597</v>
      </c>
      <c r="D14734">
        <v>3576.09</v>
      </c>
      <c r="E14734" s="37" t="str">
        <f t="shared" si="1150"/>
        <v xml:space="preserve"> </v>
      </c>
      <c r="F14734">
        <v>0.45</v>
      </c>
      <c r="G14734" s="37" t="str">
        <f t="shared" si="1151"/>
        <v>Heavy Discount</v>
      </c>
      <c r="H14734" s="37" t="str">
        <f t="shared" si="1152"/>
        <v>High</v>
      </c>
      <c r="I14734">
        <v>2</v>
      </c>
      <c r="J14734" t="str" cm="1">
        <f t="array" ref="J14734">_xlfn.IFS(I14734&lt;=3,"small",I14734&lt;=6,"Medium",I14734&lt;=9,"Large")</f>
        <v>small</v>
      </c>
      <c r="K14734" s="36">
        <v>45653</v>
      </c>
      <c r="L14734" s="36">
        <v>45654</v>
      </c>
      <c r="M14734" t="s">
        <v>603</v>
      </c>
      <c r="N14734" t="s">
        <v>604</v>
      </c>
      <c r="O14734" s="37" t="str">
        <f t="shared" si="1153"/>
        <v>Digital Payment</v>
      </c>
      <c r="P14734">
        <v>499.01</v>
      </c>
      <c r="Q14734" s="37" t="str">
        <f>IF(P14734&gt;500,"High","low")</f>
        <v>low</v>
      </c>
      <c r="R14734" s="37" t="str">
        <f t="shared" si="1154"/>
        <v>AVERAGE</v>
      </c>
      <c r="S14734" t="s">
        <v>605</v>
      </c>
    </row>
    <row r="14735" spans="1:19" x14ac:dyDescent="0.2">
      <c r="A14735" t="s">
        <v>15346</v>
      </c>
      <c r="B14735" t="s">
        <v>75</v>
      </c>
      <c r="C14735" t="s">
        <v>614</v>
      </c>
      <c r="D14735">
        <v>2160.86</v>
      </c>
      <c r="E14735" s="37" t="str">
        <f t="shared" si="1150"/>
        <v xml:space="preserve"> </v>
      </c>
      <c r="F14735">
        <v>0.48</v>
      </c>
      <c r="G14735" s="37" t="str">
        <f t="shared" si="1151"/>
        <v>Heavy Discount</v>
      </c>
      <c r="H14735" s="37" t="str">
        <f t="shared" si="1152"/>
        <v>High</v>
      </c>
      <c r="I14735">
        <v>9</v>
      </c>
      <c r="J14735" t="str" cm="1">
        <f t="array" ref="J14735">_xlfn.IFS(I14735&lt;=3,"small",I14735&lt;=6,"Medium",I14735&lt;=9,"Large")</f>
        <v>Large</v>
      </c>
      <c r="K14735" s="36">
        <v>45470</v>
      </c>
      <c r="L14735" s="36">
        <v>45474</v>
      </c>
      <c r="M14735" t="s">
        <v>598</v>
      </c>
      <c r="N14735" t="s">
        <v>599</v>
      </c>
      <c r="O14735" s="37" t="str">
        <f t="shared" si="1153"/>
        <v>Digital Payment</v>
      </c>
      <c r="P14735">
        <v>512.75</v>
      </c>
      <c r="Q14735" s="37" t="str">
        <f>IF(P14735&gt;500,"High","low")</f>
        <v>High</v>
      </c>
      <c r="R14735" s="37" t="str">
        <f t="shared" si="1154"/>
        <v>Good</v>
      </c>
      <c r="S14735" t="s">
        <v>609</v>
      </c>
    </row>
    <row r="14736" spans="1:19" x14ac:dyDescent="0.2">
      <c r="A14736" t="s">
        <v>15347</v>
      </c>
      <c r="B14736" t="s">
        <v>75</v>
      </c>
      <c r="C14736" t="s">
        <v>617</v>
      </c>
      <c r="D14736">
        <v>476.34</v>
      </c>
      <c r="E14736" s="37" t="str">
        <f t="shared" si="1150"/>
        <v xml:space="preserve"> </v>
      </c>
      <c r="F14736">
        <v>0.2</v>
      </c>
      <c r="G14736" s="37" t="str">
        <f t="shared" si="1151"/>
        <v>Normal Discount</v>
      </c>
      <c r="H14736" s="37" t="str">
        <f t="shared" si="1152"/>
        <v>Medium</v>
      </c>
      <c r="I14736">
        <v>2</v>
      </c>
      <c r="J14736" t="str" cm="1">
        <f t="array" ref="J14736">_xlfn.IFS(I14736&lt;=3,"small",I14736&lt;=6,"Medium",I14736&lt;=9,"Large")</f>
        <v>small</v>
      </c>
      <c r="K14736" s="36">
        <v>45553</v>
      </c>
      <c r="L14736" s="36">
        <v>45560</v>
      </c>
      <c r="M14736" t="s">
        <v>612</v>
      </c>
      <c r="N14736" t="s">
        <v>604</v>
      </c>
      <c r="O14736" s="37" t="str">
        <f t="shared" si="1153"/>
        <v>Digital Payment</v>
      </c>
      <c r="P14736">
        <v>87.45</v>
      </c>
      <c r="Q14736" s="37" t="str">
        <f>IF(P14736&gt;500,"High","low")</f>
        <v>low</v>
      </c>
      <c r="R14736" s="37" t="str">
        <f t="shared" si="1154"/>
        <v>AVERAGE</v>
      </c>
      <c r="S14736" t="s">
        <v>609</v>
      </c>
    </row>
    <row r="14737" spans="1:19" x14ac:dyDescent="0.2">
      <c r="A14737" t="s">
        <v>15348</v>
      </c>
      <c r="B14737" t="s">
        <v>90</v>
      </c>
      <c r="C14737" t="s">
        <v>597</v>
      </c>
      <c r="D14737">
        <v>3787.13</v>
      </c>
      <c r="E14737" s="37" t="str">
        <f t="shared" si="1150"/>
        <v xml:space="preserve"> </v>
      </c>
      <c r="F14737">
        <v>0.26</v>
      </c>
      <c r="G14737" s="37" t="str">
        <f t="shared" si="1151"/>
        <v>Normal Discount</v>
      </c>
      <c r="H14737" s="37" t="str">
        <f t="shared" si="1152"/>
        <v>Medium</v>
      </c>
      <c r="I14737">
        <v>9</v>
      </c>
      <c r="J14737" t="str" cm="1">
        <f t="array" ref="J14737">_xlfn.IFS(I14737&lt;=3,"small",I14737&lt;=6,"Medium",I14737&lt;=9,"Large")</f>
        <v>Large</v>
      </c>
      <c r="K14737" s="36">
        <v>45564</v>
      </c>
      <c r="L14737" s="36">
        <v>45570</v>
      </c>
      <c r="M14737" t="s">
        <v>598</v>
      </c>
      <c r="N14737" t="s">
        <v>604</v>
      </c>
      <c r="O14737" s="37" t="str">
        <f t="shared" si="1153"/>
        <v>Digital Payment</v>
      </c>
      <c r="P14737">
        <v>426.15</v>
      </c>
      <c r="Q14737" s="37" t="str">
        <f>IF(P14737&gt;500,"High","low")</f>
        <v>low</v>
      </c>
      <c r="R14737" s="37" t="str">
        <f t="shared" si="1154"/>
        <v>AVERAGE</v>
      </c>
      <c r="S14737" t="s">
        <v>605</v>
      </c>
    </row>
    <row r="14738" spans="1:19" x14ac:dyDescent="0.2">
      <c r="A14738" t="s">
        <v>15349</v>
      </c>
      <c r="B14738" t="s">
        <v>75</v>
      </c>
      <c r="C14738" t="s">
        <v>607</v>
      </c>
      <c r="D14738">
        <v>3834.72</v>
      </c>
      <c r="E14738" s="37" t="str">
        <f t="shared" si="1150"/>
        <v xml:space="preserve"> </v>
      </c>
      <c r="F14738">
        <v>0.18</v>
      </c>
      <c r="G14738" s="37" t="str">
        <f t="shared" si="1151"/>
        <v>Normal Discount</v>
      </c>
      <c r="H14738" s="37" t="str">
        <f t="shared" si="1152"/>
        <v>Low</v>
      </c>
      <c r="I14738">
        <v>5</v>
      </c>
      <c r="J14738" t="str" cm="1">
        <f t="array" ref="J14738">_xlfn.IFS(I14738&lt;=3,"small",I14738&lt;=6,"Medium",I14738&lt;=9,"Large")</f>
        <v>Medium</v>
      </c>
      <c r="K14738" s="36">
        <v>45154</v>
      </c>
      <c r="L14738" s="36">
        <v>45160</v>
      </c>
      <c r="M14738" t="s">
        <v>598</v>
      </c>
      <c r="N14738" t="s">
        <v>608</v>
      </c>
      <c r="O14738" s="37" t="str">
        <f t="shared" si="1153"/>
        <v>Cash Payment</v>
      </c>
      <c r="P14738">
        <v>732.17</v>
      </c>
      <c r="Q14738" s="37" t="str">
        <f>IF(P14738&gt;500,"High","low")</f>
        <v>High</v>
      </c>
      <c r="R14738" s="37" t="str">
        <f t="shared" si="1154"/>
        <v>Good</v>
      </c>
      <c r="S14738" t="s">
        <v>628</v>
      </c>
    </row>
    <row r="14739" spans="1:19" x14ac:dyDescent="0.2">
      <c r="A14739" t="s">
        <v>15350</v>
      </c>
      <c r="B14739" t="s">
        <v>67</v>
      </c>
      <c r="C14739" t="s">
        <v>607</v>
      </c>
      <c r="D14739">
        <v>1427.49</v>
      </c>
      <c r="E14739" s="37" t="str">
        <f t="shared" si="1150"/>
        <v xml:space="preserve"> </v>
      </c>
      <c r="F14739">
        <v>0.11</v>
      </c>
      <c r="G14739" s="37" t="str">
        <f t="shared" si="1151"/>
        <v>Normal Discount</v>
      </c>
      <c r="H14739" s="37" t="str">
        <f t="shared" si="1152"/>
        <v>Low</v>
      </c>
      <c r="I14739">
        <v>6</v>
      </c>
      <c r="J14739" t="str" cm="1">
        <f t="array" ref="J14739">_xlfn.IFS(I14739&lt;=3,"small",I14739&lt;=6,"Medium",I14739&lt;=9,"Large")</f>
        <v>Medium</v>
      </c>
      <c r="K14739" s="36">
        <v>45155</v>
      </c>
      <c r="L14739" s="36">
        <v>45157</v>
      </c>
      <c r="M14739" t="s">
        <v>598</v>
      </c>
      <c r="N14739" t="s">
        <v>604</v>
      </c>
      <c r="O14739" s="37" t="str">
        <f t="shared" si="1153"/>
        <v>Digital Payment</v>
      </c>
      <c r="P14739">
        <v>383.62</v>
      </c>
      <c r="Q14739" s="37" t="str">
        <f>IF(P14739&gt;500,"High","low")</f>
        <v>low</v>
      </c>
      <c r="R14739" s="37" t="str">
        <f t="shared" si="1154"/>
        <v>AVERAGE</v>
      </c>
      <c r="S14739" t="s">
        <v>600</v>
      </c>
    </row>
    <row r="14740" spans="1:19" x14ac:dyDescent="0.2">
      <c r="A14740" t="s">
        <v>15351</v>
      </c>
      <c r="B14740" t="s">
        <v>67</v>
      </c>
      <c r="C14740" t="s">
        <v>602</v>
      </c>
      <c r="D14740">
        <v>4588.63</v>
      </c>
      <c r="E14740" s="37" t="str">
        <f t="shared" si="1150"/>
        <v>Excellent Order</v>
      </c>
      <c r="F14740">
        <v>0.39</v>
      </c>
      <c r="G14740" s="37" t="str">
        <f t="shared" si="1151"/>
        <v>Heavy Discount</v>
      </c>
      <c r="H14740" s="37" t="str">
        <f t="shared" si="1152"/>
        <v>Medium</v>
      </c>
      <c r="I14740">
        <v>7</v>
      </c>
      <c r="J14740" t="str" cm="1">
        <f t="array" ref="J14740">_xlfn.IFS(I14740&lt;=3,"small",I14740&lt;=6,"Medium",I14740&lt;=9,"Large")</f>
        <v>Large</v>
      </c>
      <c r="K14740" s="36">
        <v>45313</v>
      </c>
      <c r="L14740" s="36">
        <v>45316</v>
      </c>
      <c r="M14740" t="s">
        <v>598</v>
      </c>
      <c r="N14740" t="s">
        <v>608</v>
      </c>
      <c r="O14740" s="37" t="str">
        <f t="shared" si="1153"/>
        <v>Cash Payment</v>
      </c>
      <c r="P14740">
        <v>1372.75</v>
      </c>
      <c r="Q14740" s="37" t="str">
        <f>IF(P14740&gt;500,"High","low")</f>
        <v>High</v>
      </c>
      <c r="R14740" s="37" t="str">
        <f t="shared" si="1154"/>
        <v>Excellent</v>
      </c>
      <c r="S14740" t="s">
        <v>615</v>
      </c>
    </row>
    <row r="14741" spans="1:19" x14ac:dyDescent="0.2">
      <c r="A14741" t="s">
        <v>15352</v>
      </c>
      <c r="B14741" t="s">
        <v>90</v>
      </c>
      <c r="C14741" t="s">
        <v>617</v>
      </c>
      <c r="D14741">
        <v>3843.45</v>
      </c>
      <c r="E14741" s="37" t="str">
        <f t="shared" si="1150"/>
        <v xml:space="preserve"> </v>
      </c>
      <c r="F14741">
        <v>0.32</v>
      </c>
      <c r="G14741" s="37" t="str">
        <f t="shared" si="1151"/>
        <v>Heavy Discount</v>
      </c>
      <c r="H14741" s="37" t="str">
        <f t="shared" si="1152"/>
        <v>Medium</v>
      </c>
      <c r="I14741">
        <v>7</v>
      </c>
      <c r="J14741" t="str" cm="1">
        <f t="array" ref="J14741">_xlfn.IFS(I14741&lt;=3,"small",I14741&lt;=6,"Medium",I14741&lt;=9,"Large")</f>
        <v>Large</v>
      </c>
      <c r="K14741" s="36">
        <v>45297</v>
      </c>
      <c r="L14741" s="36">
        <v>45300</v>
      </c>
      <c r="M14741" t="s">
        <v>598</v>
      </c>
      <c r="N14741" t="s">
        <v>608</v>
      </c>
      <c r="O14741" s="37" t="str">
        <f t="shared" si="1153"/>
        <v>Cash Payment</v>
      </c>
      <c r="P14741">
        <v>279.20999999999998</v>
      </c>
      <c r="Q14741" s="37" t="str">
        <f>IF(P14741&gt;500,"High","low")</f>
        <v>low</v>
      </c>
      <c r="R14741" s="37" t="str">
        <f t="shared" si="1154"/>
        <v>AVERAGE</v>
      </c>
      <c r="S14741" t="s">
        <v>605</v>
      </c>
    </row>
    <row r="14742" spans="1:19" x14ac:dyDescent="0.2">
      <c r="A14742" t="s">
        <v>15353</v>
      </c>
      <c r="B14742" t="s">
        <v>83</v>
      </c>
      <c r="C14742" t="s">
        <v>597</v>
      </c>
      <c r="D14742">
        <v>1603.11</v>
      </c>
      <c r="E14742" s="37" t="str">
        <f t="shared" si="1150"/>
        <v xml:space="preserve"> </v>
      </c>
      <c r="F14742">
        <v>0.18</v>
      </c>
      <c r="G14742" s="37" t="str">
        <f t="shared" si="1151"/>
        <v>Normal Discount</v>
      </c>
      <c r="H14742" s="37" t="str">
        <f t="shared" si="1152"/>
        <v>Low</v>
      </c>
      <c r="I14742">
        <v>4</v>
      </c>
      <c r="J14742" t="str" cm="1">
        <f t="array" ref="J14742">_xlfn.IFS(I14742&lt;=3,"small",I14742&lt;=6,"Medium",I14742&lt;=9,"Large")</f>
        <v>Medium</v>
      </c>
      <c r="K14742" s="36">
        <v>45274</v>
      </c>
      <c r="L14742" s="36">
        <v>45280</v>
      </c>
      <c r="M14742" t="s">
        <v>612</v>
      </c>
      <c r="N14742" t="s">
        <v>604</v>
      </c>
      <c r="O14742" s="37" t="str">
        <f t="shared" si="1153"/>
        <v>Digital Payment</v>
      </c>
      <c r="P14742">
        <v>259.60000000000002</v>
      </c>
      <c r="Q14742" s="37" t="str">
        <f>IF(P14742&gt;500,"High","low")</f>
        <v>low</v>
      </c>
      <c r="R14742" s="37" t="str">
        <f t="shared" si="1154"/>
        <v>AVERAGE</v>
      </c>
      <c r="S14742" t="s">
        <v>620</v>
      </c>
    </row>
    <row r="14743" spans="1:19" x14ac:dyDescent="0.2">
      <c r="A14743" t="s">
        <v>15354</v>
      </c>
      <c r="B14743" t="s">
        <v>83</v>
      </c>
      <c r="C14743" t="s">
        <v>597</v>
      </c>
      <c r="D14743">
        <v>1271.6300000000001</v>
      </c>
      <c r="E14743" s="37" t="str">
        <f t="shared" si="1150"/>
        <v xml:space="preserve"> </v>
      </c>
      <c r="F14743">
        <v>0.01</v>
      </c>
      <c r="G14743" s="37" t="str">
        <f t="shared" si="1151"/>
        <v>Normal Discount</v>
      </c>
      <c r="H14743" s="37" t="str">
        <f t="shared" si="1152"/>
        <v>Low</v>
      </c>
      <c r="I14743">
        <v>4</v>
      </c>
      <c r="J14743" t="str" cm="1">
        <f t="array" ref="J14743">_xlfn.IFS(I14743&lt;=3,"small",I14743&lt;=6,"Medium",I14743&lt;=9,"Large")</f>
        <v>Medium</v>
      </c>
      <c r="K14743" s="36">
        <v>45483</v>
      </c>
      <c r="L14743" s="36">
        <v>45486</v>
      </c>
      <c r="M14743" t="s">
        <v>603</v>
      </c>
      <c r="N14743" t="s">
        <v>599</v>
      </c>
      <c r="O14743" s="37" t="str">
        <f t="shared" si="1153"/>
        <v>Digital Payment</v>
      </c>
      <c r="P14743">
        <v>205.66</v>
      </c>
      <c r="Q14743" s="37" t="str">
        <f>IF(P14743&gt;500,"High","low")</f>
        <v>low</v>
      </c>
      <c r="R14743" s="37" t="str">
        <f t="shared" si="1154"/>
        <v>AVERAGE</v>
      </c>
      <c r="S14743" t="s">
        <v>615</v>
      </c>
    </row>
    <row r="14744" spans="1:19" x14ac:dyDescent="0.2">
      <c r="A14744" t="s">
        <v>15355</v>
      </c>
      <c r="B14744" t="s">
        <v>67</v>
      </c>
      <c r="C14744" t="s">
        <v>614</v>
      </c>
      <c r="D14744">
        <v>2256.44</v>
      </c>
      <c r="E14744" s="37" t="str">
        <f t="shared" si="1150"/>
        <v xml:space="preserve"> </v>
      </c>
      <c r="F14744">
        <v>0.38</v>
      </c>
      <c r="G14744" s="37" t="str">
        <f t="shared" si="1151"/>
        <v>Heavy Discount</v>
      </c>
      <c r="H14744" s="37" t="str">
        <f t="shared" si="1152"/>
        <v>Medium</v>
      </c>
      <c r="I14744">
        <v>5</v>
      </c>
      <c r="J14744" t="str" cm="1">
        <f t="array" ref="J14744">_xlfn.IFS(I14744&lt;=3,"small",I14744&lt;=6,"Medium",I14744&lt;=9,"Large")</f>
        <v>Medium</v>
      </c>
      <c r="K14744" s="36">
        <v>44950</v>
      </c>
      <c r="L14744" s="36">
        <v>44957</v>
      </c>
      <c r="M14744" t="s">
        <v>603</v>
      </c>
      <c r="N14744" t="s">
        <v>608</v>
      </c>
      <c r="O14744" s="37" t="str">
        <f t="shared" si="1153"/>
        <v>Cash Payment</v>
      </c>
      <c r="P14744">
        <v>645.24</v>
      </c>
      <c r="Q14744" s="37" t="str">
        <f>IF(P14744&gt;500,"High","low")</f>
        <v>High</v>
      </c>
      <c r="R14744" s="37" t="str">
        <f t="shared" si="1154"/>
        <v>Good</v>
      </c>
      <c r="S14744" t="s">
        <v>600</v>
      </c>
    </row>
    <row r="14745" spans="1:19" x14ac:dyDescent="0.2">
      <c r="A14745" t="s">
        <v>15356</v>
      </c>
      <c r="B14745" t="s">
        <v>67</v>
      </c>
      <c r="C14745" t="s">
        <v>597</v>
      </c>
      <c r="D14745">
        <v>1534.67</v>
      </c>
      <c r="E14745" s="37" t="str">
        <f t="shared" si="1150"/>
        <v xml:space="preserve"> </v>
      </c>
      <c r="F14745">
        <v>0.24</v>
      </c>
      <c r="G14745" s="37" t="str">
        <f t="shared" si="1151"/>
        <v>Normal Discount</v>
      </c>
      <c r="H14745" s="37" t="str">
        <f t="shared" si="1152"/>
        <v>Medium</v>
      </c>
      <c r="I14745">
        <v>9</v>
      </c>
      <c r="J14745" t="str" cm="1">
        <f t="array" ref="J14745">_xlfn.IFS(I14745&lt;=3,"small",I14745&lt;=6,"Medium",I14745&lt;=9,"Large")</f>
        <v>Large</v>
      </c>
      <c r="K14745" s="36">
        <v>44939</v>
      </c>
      <c r="L14745" s="36">
        <v>44944</v>
      </c>
      <c r="M14745" t="s">
        <v>612</v>
      </c>
      <c r="N14745" t="s">
        <v>604</v>
      </c>
      <c r="O14745" s="37" t="str">
        <f t="shared" si="1153"/>
        <v>Digital Payment</v>
      </c>
      <c r="P14745">
        <v>429.82</v>
      </c>
      <c r="Q14745" s="37" t="str">
        <f>IF(P14745&gt;500,"High","low")</f>
        <v>low</v>
      </c>
      <c r="R14745" s="37" t="str">
        <f t="shared" si="1154"/>
        <v>AVERAGE</v>
      </c>
      <c r="S14745" t="s">
        <v>605</v>
      </c>
    </row>
    <row r="14746" spans="1:19" x14ac:dyDescent="0.2">
      <c r="A14746" t="s">
        <v>15357</v>
      </c>
      <c r="B14746" t="s">
        <v>90</v>
      </c>
      <c r="C14746" t="s">
        <v>617</v>
      </c>
      <c r="D14746">
        <v>1163.4100000000001</v>
      </c>
      <c r="E14746" s="37" t="str">
        <f t="shared" si="1150"/>
        <v xml:space="preserve"> </v>
      </c>
      <c r="F14746">
        <v>0.04</v>
      </c>
      <c r="G14746" s="37" t="str">
        <f t="shared" si="1151"/>
        <v>Normal Discount</v>
      </c>
      <c r="H14746" s="37" t="str">
        <f t="shared" si="1152"/>
        <v>Low</v>
      </c>
      <c r="I14746">
        <v>1</v>
      </c>
      <c r="J14746" t="str" cm="1">
        <f t="array" ref="J14746">_xlfn.IFS(I14746&lt;=3,"small",I14746&lt;=6,"Medium",I14746&lt;=9,"Large")</f>
        <v>small</v>
      </c>
      <c r="K14746" s="36">
        <v>45443</v>
      </c>
      <c r="L14746" s="36">
        <v>45446</v>
      </c>
      <c r="M14746" t="s">
        <v>603</v>
      </c>
      <c r="N14746" t="s">
        <v>604</v>
      </c>
      <c r="O14746" s="37" t="str">
        <f t="shared" si="1153"/>
        <v>Digital Payment</v>
      </c>
      <c r="P14746">
        <v>188.84</v>
      </c>
      <c r="Q14746" s="37" t="str">
        <f>IF(P14746&gt;500,"High","low")</f>
        <v>low</v>
      </c>
      <c r="R14746" s="37" t="str">
        <f t="shared" si="1154"/>
        <v>AVERAGE</v>
      </c>
      <c r="S14746" t="s">
        <v>620</v>
      </c>
    </row>
    <row r="14747" spans="1:19" x14ac:dyDescent="0.2">
      <c r="A14747" t="s">
        <v>15358</v>
      </c>
      <c r="B14747" t="s">
        <v>83</v>
      </c>
      <c r="C14747" t="s">
        <v>597</v>
      </c>
      <c r="D14747">
        <v>2055.59</v>
      </c>
      <c r="E14747" s="37" t="str">
        <f t="shared" si="1150"/>
        <v xml:space="preserve"> </v>
      </c>
      <c r="F14747">
        <v>0.06</v>
      </c>
      <c r="G14747" s="37" t="str">
        <f t="shared" si="1151"/>
        <v>Normal Discount</v>
      </c>
      <c r="H14747" s="37" t="str">
        <f t="shared" si="1152"/>
        <v>Low</v>
      </c>
      <c r="I14747">
        <v>8</v>
      </c>
      <c r="J14747" t="str" cm="1">
        <f t="array" ref="J14747">_xlfn.IFS(I14747&lt;=3,"small",I14747&lt;=6,"Medium",I14747&lt;=9,"Large")</f>
        <v>Large</v>
      </c>
      <c r="K14747" s="36">
        <v>45519</v>
      </c>
      <c r="L14747" s="36">
        <v>45523</v>
      </c>
      <c r="M14747" t="s">
        <v>603</v>
      </c>
      <c r="N14747" t="s">
        <v>604</v>
      </c>
      <c r="O14747" s="37" t="str">
        <f t="shared" si="1153"/>
        <v>Digital Payment</v>
      </c>
      <c r="P14747">
        <v>240.62</v>
      </c>
      <c r="Q14747" s="37" t="str">
        <f>IF(P14747&gt;500,"High","low")</f>
        <v>low</v>
      </c>
      <c r="R14747" s="37" t="str">
        <f t="shared" si="1154"/>
        <v>AVERAGE</v>
      </c>
      <c r="S14747" t="s">
        <v>620</v>
      </c>
    </row>
    <row r="14748" spans="1:19" x14ac:dyDescent="0.2">
      <c r="A14748" t="s">
        <v>15359</v>
      </c>
      <c r="B14748" t="s">
        <v>83</v>
      </c>
      <c r="C14748" t="s">
        <v>602</v>
      </c>
      <c r="D14748">
        <v>225.95</v>
      </c>
      <c r="E14748" s="37" t="str">
        <f t="shared" si="1150"/>
        <v xml:space="preserve"> </v>
      </c>
      <c r="F14748">
        <v>0.31</v>
      </c>
      <c r="G14748" s="37" t="str">
        <f t="shared" si="1151"/>
        <v>Heavy Discount</v>
      </c>
      <c r="H14748" s="37" t="str">
        <f t="shared" si="1152"/>
        <v>Medium</v>
      </c>
      <c r="I14748">
        <v>8</v>
      </c>
      <c r="J14748" t="str" cm="1">
        <f t="array" ref="J14748">_xlfn.IFS(I14748&lt;=3,"small",I14748&lt;=6,"Medium",I14748&lt;=9,"Large")</f>
        <v>Large</v>
      </c>
      <c r="K14748" s="36">
        <v>45104</v>
      </c>
      <c r="L14748" s="36">
        <v>45107</v>
      </c>
      <c r="M14748" t="s">
        <v>603</v>
      </c>
      <c r="N14748" t="s">
        <v>599</v>
      </c>
      <c r="O14748" s="37" t="str">
        <f t="shared" si="1153"/>
        <v>Digital Payment</v>
      </c>
      <c r="P14748">
        <v>47.72</v>
      </c>
      <c r="Q14748" s="37" t="str">
        <f>IF(P14748&gt;500,"High","low")</f>
        <v>low</v>
      </c>
      <c r="R14748" s="37" t="str">
        <f t="shared" si="1154"/>
        <v>AVERAGE</v>
      </c>
      <c r="S14748" t="s">
        <v>605</v>
      </c>
    </row>
    <row r="14749" spans="1:19" x14ac:dyDescent="0.2">
      <c r="A14749" t="s">
        <v>15360</v>
      </c>
      <c r="B14749" t="s">
        <v>75</v>
      </c>
      <c r="C14749" t="s">
        <v>607</v>
      </c>
      <c r="D14749">
        <v>2066.91</v>
      </c>
      <c r="E14749" s="37" t="str">
        <f t="shared" si="1150"/>
        <v xml:space="preserve"> </v>
      </c>
      <c r="F14749">
        <v>0.27</v>
      </c>
      <c r="G14749" s="37" t="str">
        <f t="shared" si="1151"/>
        <v>Normal Discount</v>
      </c>
      <c r="H14749" s="37" t="str">
        <f t="shared" si="1152"/>
        <v>Medium</v>
      </c>
      <c r="I14749">
        <v>7</v>
      </c>
      <c r="J14749" t="str" cm="1">
        <f t="array" ref="J14749">_xlfn.IFS(I14749&lt;=3,"small",I14749&lt;=6,"Medium",I14749&lt;=9,"Large")</f>
        <v>Large</v>
      </c>
      <c r="K14749" s="36">
        <v>45386</v>
      </c>
      <c r="L14749" s="36">
        <v>45387</v>
      </c>
      <c r="M14749" t="s">
        <v>603</v>
      </c>
      <c r="N14749" t="s">
        <v>608</v>
      </c>
      <c r="O14749" s="37" t="str">
        <f t="shared" si="1153"/>
        <v>Cash Payment</v>
      </c>
      <c r="P14749">
        <v>165.63</v>
      </c>
      <c r="Q14749" s="37" t="str">
        <f>IF(P14749&gt;500,"High","low")</f>
        <v>low</v>
      </c>
      <c r="R14749" s="37" t="str">
        <f t="shared" si="1154"/>
        <v>AVERAGE</v>
      </c>
      <c r="S14749" t="s">
        <v>620</v>
      </c>
    </row>
    <row r="14750" spans="1:19" x14ac:dyDescent="0.2">
      <c r="A14750" t="s">
        <v>15361</v>
      </c>
      <c r="B14750" t="s">
        <v>75</v>
      </c>
      <c r="C14750" t="s">
        <v>607</v>
      </c>
      <c r="D14750">
        <v>1186.1500000000001</v>
      </c>
      <c r="E14750" s="37" t="str">
        <f t="shared" si="1150"/>
        <v xml:space="preserve"> </v>
      </c>
      <c r="F14750">
        <v>0.12</v>
      </c>
      <c r="G14750" s="37" t="str">
        <f t="shared" si="1151"/>
        <v>Normal Discount</v>
      </c>
      <c r="H14750" s="37" t="str">
        <f t="shared" si="1152"/>
        <v>Low</v>
      </c>
      <c r="I14750">
        <v>6</v>
      </c>
      <c r="J14750" t="str" cm="1">
        <f t="array" ref="J14750">_xlfn.IFS(I14750&lt;=3,"small",I14750&lt;=6,"Medium",I14750&lt;=9,"Large")</f>
        <v>Medium</v>
      </c>
      <c r="K14750" s="36">
        <v>45301</v>
      </c>
      <c r="L14750" s="36">
        <v>45303</v>
      </c>
      <c r="M14750" t="s">
        <v>598</v>
      </c>
      <c r="N14750" t="s">
        <v>608</v>
      </c>
      <c r="O14750" s="37" t="str">
        <f t="shared" si="1153"/>
        <v>Cash Payment</v>
      </c>
      <c r="P14750">
        <v>119.64</v>
      </c>
      <c r="Q14750" s="37" t="str">
        <f>IF(P14750&gt;500,"High","low")</f>
        <v>low</v>
      </c>
      <c r="R14750" s="37" t="str">
        <f t="shared" si="1154"/>
        <v>AVERAGE</v>
      </c>
      <c r="S14750" t="s">
        <v>609</v>
      </c>
    </row>
    <row r="14751" spans="1:19" x14ac:dyDescent="0.2">
      <c r="A14751" t="s">
        <v>15362</v>
      </c>
      <c r="B14751" t="s">
        <v>75</v>
      </c>
      <c r="C14751" t="s">
        <v>597</v>
      </c>
      <c r="D14751">
        <v>1395.24</v>
      </c>
      <c r="E14751" s="37" t="str">
        <f t="shared" si="1150"/>
        <v xml:space="preserve"> </v>
      </c>
      <c r="F14751">
        <v>7.0000000000000007E-2</v>
      </c>
      <c r="G14751" s="37" t="str">
        <f t="shared" si="1151"/>
        <v>Normal Discount</v>
      </c>
      <c r="H14751" s="37" t="str">
        <f t="shared" si="1152"/>
        <v>Low</v>
      </c>
      <c r="I14751">
        <v>3</v>
      </c>
      <c r="J14751" t="str" cm="1">
        <f t="array" ref="J14751">_xlfn.IFS(I14751&lt;=3,"small",I14751&lt;=6,"Medium",I14751&lt;=9,"Large")</f>
        <v>small</v>
      </c>
      <c r="K14751" s="36">
        <v>45615</v>
      </c>
      <c r="L14751" s="36">
        <v>45621</v>
      </c>
      <c r="M14751" t="s">
        <v>603</v>
      </c>
      <c r="N14751" t="s">
        <v>599</v>
      </c>
      <c r="O14751" s="37" t="str">
        <f t="shared" si="1153"/>
        <v>Digital Payment</v>
      </c>
      <c r="P14751">
        <v>356.49</v>
      </c>
      <c r="Q14751" s="37" t="str">
        <f>IF(P14751&gt;500,"High","low")</f>
        <v>low</v>
      </c>
      <c r="R14751" s="37" t="str">
        <f t="shared" si="1154"/>
        <v>AVERAGE</v>
      </c>
      <c r="S14751" t="s">
        <v>609</v>
      </c>
    </row>
    <row r="14752" spans="1:19" x14ac:dyDescent="0.2">
      <c r="A14752" t="s">
        <v>15363</v>
      </c>
      <c r="B14752" t="s">
        <v>90</v>
      </c>
      <c r="C14752" t="s">
        <v>597</v>
      </c>
      <c r="D14752">
        <v>504.51</v>
      </c>
      <c r="E14752" s="37" t="str">
        <f t="shared" si="1150"/>
        <v xml:space="preserve"> </v>
      </c>
      <c r="F14752">
        <v>0.44</v>
      </c>
      <c r="G14752" s="37" t="str">
        <f t="shared" si="1151"/>
        <v>Heavy Discount</v>
      </c>
      <c r="H14752" s="37" t="str">
        <f t="shared" si="1152"/>
        <v>High</v>
      </c>
      <c r="I14752">
        <v>8</v>
      </c>
      <c r="J14752" t="str" cm="1">
        <f t="array" ref="J14752">_xlfn.IFS(I14752&lt;=3,"small",I14752&lt;=6,"Medium",I14752&lt;=9,"Large")</f>
        <v>Large</v>
      </c>
      <c r="K14752" s="36">
        <v>45328</v>
      </c>
      <c r="L14752" s="36">
        <v>45333</v>
      </c>
      <c r="M14752" t="s">
        <v>603</v>
      </c>
      <c r="N14752" t="s">
        <v>608</v>
      </c>
      <c r="O14752" s="37" t="str">
        <f t="shared" si="1153"/>
        <v>Cash Payment</v>
      </c>
      <c r="P14752">
        <v>130.87</v>
      </c>
      <c r="Q14752" s="37" t="str">
        <f>IF(P14752&gt;500,"High","low")</f>
        <v>low</v>
      </c>
      <c r="R14752" s="37" t="str">
        <f t="shared" si="1154"/>
        <v>AVERAGE</v>
      </c>
      <c r="S14752" t="s">
        <v>605</v>
      </c>
    </row>
    <row r="14753" spans="1:19" x14ac:dyDescent="0.2">
      <c r="A14753" t="s">
        <v>15364</v>
      </c>
      <c r="B14753" t="s">
        <v>67</v>
      </c>
      <c r="C14753" t="s">
        <v>597</v>
      </c>
      <c r="D14753">
        <v>2985.77</v>
      </c>
      <c r="E14753" s="37" t="str">
        <f t="shared" si="1150"/>
        <v xml:space="preserve"> </v>
      </c>
      <c r="F14753">
        <v>7.0000000000000007E-2</v>
      </c>
      <c r="G14753" s="37" t="str">
        <f t="shared" si="1151"/>
        <v>Normal Discount</v>
      </c>
      <c r="H14753" s="37" t="str">
        <f t="shared" si="1152"/>
        <v>Low</v>
      </c>
      <c r="I14753">
        <v>7</v>
      </c>
      <c r="J14753" t="str" cm="1">
        <f t="array" ref="J14753">_xlfn.IFS(I14753&lt;=3,"small",I14753&lt;=6,"Medium",I14753&lt;=9,"Large")</f>
        <v>Large</v>
      </c>
      <c r="K14753" s="36">
        <v>45215</v>
      </c>
      <c r="L14753" s="36">
        <v>45217</v>
      </c>
      <c r="M14753" t="s">
        <v>603</v>
      </c>
      <c r="N14753" t="s">
        <v>599</v>
      </c>
      <c r="O14753" s="37" t="str">
        <f t="shared" si="1153"/>
        <v>Digital Payment</v>
      </c>
      <c r="P14753">
        <v>824.61</v>
      </c>
      <c r="Q14753" s="37" t="str">
        <f>IF(P14753&gt;500,"High","low")</f>
        <v>High</v>
      </c>
      <c r="R14753" s="37" t="str">
        <f t="shared" si="1154"/>
        <v>Good</v>
      </c>
      <c r="S14753" t="s">
        <v>615</v>
      </c>
    </row>
    <row r="14754" spans="1:19" x14ac:dyDescent="0.2">
      <c r="A14754" t="s">
        <v>15365</v>
      </c>
      <c r="B14754" t="s">
        <v>90</v>
      </c>
      <c r="C14754" t="s">
        <v>597</v>
      </c>
      <c r="D14754">
        <v>2412.85</v>
      </c>
      <c r="E14754" s="37" t="str">
        <f t="shared" si="1150"/>
        <v xml:space="preserve"> </v>
      </c>
      <c r="F14754">
        <v>0.04</v>
      </c>
      <c r="G14754" s="37" t="str">
        <f t="shared" si="1151"/>
        <v>Normal Discount</v>
      </c>
      <c r="H14754" s="37" t="str">
        <f t="shared" si="1152"/>
        <v>Low</v>
      </c>
      <c r="I14754">
        <v>8</v>
      </c>
      <c r="J14754" t="str" cm="1">
        <f t="array" ref="J14754">_xlfn.IFS(I14754&lt;=3,"small",I14754&lt;=6,"Medium",I14754&lt;=9,"Large")</f>
        <v>Large</v>
      </c>
      <c r="K14754" s="36">
        <v>45112</v>
      </c>
      <c r="L14754" s="36">
        <v>45118</v>
      </c>
      <c r="M14754" t="s">
        <v>598</v>
      </c>
      <c r="N14754" t="s">
        <v>604</v>
      </c>
      <c r="O14754" s="37" t="str">
        <f t="shared" si="1153"/>
        <v>Digital Payment</v>
      </c>
      <c r="P14754">
        <v>570.39</v>
      </c>
      <c r="Q14754" s="37" t="str">
        <f>IF(P14754&gt;500,"High","low")</f>
        <v>High</v>
      </c>
      <c r="R14754" s="37" t="str">
        <f t="shared" si="1154"/>
        <v>Good</v>
      </c>
      <c r="S14754" t="s">
        <v>628</v>
      </c>
    </row>
    <row r="14755" spans="1:19" x14ac:dyDescent="0.2">
      <c r="A14755" t="s">
        <v>15366</v>
      </c>
      <c r="B14755" t="s">
        <v>83</v>
      </c>
      <c r="C14755" t="s">
        <v>602</v>
      </c>
      <c r="D14755">
        <v>3778.07</v>
      </c>
      <c r="E14755" s="37" t="str">
        <f t="shared" si="1150"/>
        <v xml:space="preserve"> </v>
      </c>
      <c r="F14755">
        <v>0.31</v>
      </c>
      <c r="G14755" s="37" t="str">
        <f t="shared" si="1151"/>
        <v>Heavy Discount</v>
      </c>
      <c r="H14755" s="37" t="str">
        <f t="shared" si="1152"/>
        <v>Medium</v>
      </c>
      <c r="I14755">
        <v>2</v>
      </c>
      <c r="J14755" t="str" cm="1">
        <f t="array" ref="J14755">_xlfn.IFS(I14755&lt;=3,"small",I14755&lt;=6,"Medium",I14755&lt;=9,"Large")</f>
        <v>small</v>
      </c>
      <c r="K14755" s="36">
        <v>45429</v>
      </c>
      <c r="L14755" s="36">
        <v>45431</v>
      </c>
      <c r="M14755" t="s">
        <v>603</v>
      </c>
      <c r="N14755" t="s">
        <v>608</v>
      </c>
      <c r="O14755" s="37" t="str">
        <f t="shared" si="1153"/>
        <v>Cash Payment</v>
      </c>
      <c r="P14755">
        <v>346.52</v>
      </c>
      <c r="Q14755" s="37" t="str">
        <f>IF(P14755&gt;500,"High","low")</f>
        <v>low</v>
      </c>
      <c r="R14755" s="37" t="str">
        <f t="shared" si="1154"/>
        <v>AVERAGE</v>
      </c>
      <c r="S14755" t="s">
        <v>628</v>
      </c>
    </row>
    <row r="14756" spans="1:19" x14ac:dyDescent="0.2">
      <c r="A14756" t="s">
        <v>15367</v>
      </c>
      <c r="B14756" t="s">
        <v>67</v>
      </c>
      <c r="C14756" t="s">
        <v>617</v>
      </c>
      <c r="D14756">
        <v>4936.78</v>
      </c>
      <c r="E14756" s="37" t="str">
        <f t="shared" si="1150"/>
        <v xml:space="preserve"> </v>
      </c>
      <c r="F14756">
        <v>0.13</v>
      </c>
      <c r="G14756" s="37" t="str">
        <f t="shared" si="1151"/>
        <v>Normal Discount</v>
      </c>
      <c r="H14756" s="37" t="str">
        <f t="shared" si="1152"/>
        <v>Low</v>
      </c>
      <c r="I14756">
        <v>8</v>
      </c>
      <c r="J14756" t="str" cm="1">
        <f t="array" ref="J14756">_xlfn.IFS(I14756&lt;=3,"small",I14756&lt;=6,"Medium",I14756&lt;=9,"Large")</f>
        <v>Large</v>
      </c>
      <c r="K14756" s="36">
        <v>45088</v>
      </c>
      <c r="L14756" s="36">
        <v>45094</v>
      </c>
      <c r="M14756" t="s">
        <v>612</v>
      </c>
      <c r="N14756" t="s">
        <v>599</v>
      </c>
      <c r="O14756" s="37" t="str">
        <f t="shared" si="1153"/>
        <v>Digital Payment</v>
      </c>
      <c r="P14756">
        <v>606.72</v>
      </c>
      <c r="Q14756" s="37" t="str">
        <f>IF(P14756&gt;500,"High","low")</f>
        <v>High</v>
      </c>
      <c r="R14756" s="37" t="str">
        <f t="shared" si="1154"/>
        <v>Good</v>
      </c>
      <c r="S14756" t="s">
        <v>609</v>
      </c>
    </row>
    <row r="14757" spans="1:19" x14ac:dyDescent="0.2">
      <c r="A14757" t="s">
        <v>15368</v>
      </c>
      <c r="B14757" t="s">
        <v>75</v>
      </c>
      <c r="C14757" t="s">
        <v>602</v>
      </c>
      <c r="D14757">
        <v>685.72</v>
      </c>
      <c r="E14757" s="37" t="str">
        <f t="shared" si="1150"/>
        <v xml:space="preserve"> </v>
      </c>
      <c r="F14757">
        <v>0.33</v>
      </c>
      <c r="G14757" s="37" t="str">
        <f t="shared" si="1151"/>
        <v>Heavy Discount</v>
      </c>
      <c r="H14757" s="37" t="str">
        <f t="shared" si="1152"/>
        <v>Medium</v>
      </c>
      <c r="I14757">
        <v>7</v>
      </c>
      <c r="J14757" t="str" cm="1">
        <f t="array" ref="J14757">_xlfn.IFS(I14757&lt;=3,"small",I14757&lt;=6,"Medium",I14757&lt;=9,"Large")</f>
        <v>Large</v>
      </c>
      <c r="K14757" s="36">
        <v>45384</v>
      </c>
      <c r="L14757" s="36">
        <v>45391</v>
      </c>
      <c r="M14757" t="s">
        <v>603</v>
      </c>
      <c r="N14757" t="s">
        <v>608</v>
      </c>
      <c r="O14757" s="37" t="str">
        <f t="shared" si="1153"/>
        <v>Cash Payment</v>
      </c>
      <c r="P14757">
        <v>113.64</v>
      </c>
      <c r="Q14757" s="37" t="str">
        <f>IF(P14757&gt;500,"High","low")</f>
        <v>low</v>
      </c>
      <c r="R14757" s="37" t="str">
        <f t="shared" si="1154"/>
        <v>AVERAGE</v>
      </c>
      <c r="S14757" t="s">
        <v>615</v>
      </c>
    </row>
    <row r="14758" spans="1:19" x14ac:dyDescent="0.2">
      <c r="A14758" t="s">
        <v>15369</v>
      </c>
      <c r="B14758" t="s">
        <v>90</v>
      </c>
      <c r="C14758" t="s">
        <v>602</v>
      </c>
      <c r="D14758">
        <v>1434.88</v>
      </c>
      <c r="E14758" s="37" t="str">
        <f t="shared" si="1150"/>
        <v xml:space="preserve"> </v>
      </c>
      <c r="F14758">
        <v>0.24</v>
      </c>
      <c r="G14758" s="37" t="str">
        <f t="shared" si="1151"/>
        <v>Normal Discount</v>
      </c>
      <c r="H14758" s="37" t="str">
        <f t="shared" si="1152"/>
        <v>Medium</v>
      </c>
      <c r="I14758">
        <v>6</v>
      </c>
      <c r="J14758" t="str" cm="1">
        <f t="array" ref="J14758">_xlfn.IFS(I14758&lt;=3,"small",I14758&lt;=6,"Medium",I14758&lt;=9,"Large")</f>
        <v>Medium</v>
      </c>
      <c r="K14758" s="36">
        <v>44957</v>
      </c>
      <c r="L14758" s="36">
        <v>44963</v>
      </c>
      <c r="M14758" t="s">
        <v>612</v>
      </c>
      <c r="N14758" t="s">
        <v>599</v>
      </c>
      <c r="O14758" s="37" t="str">
        <f t="shared" si="1153"/>
        <v>Digital Payment</v>
      </c>
      <c r="P14758">
        <v>186.44</v>
      </c>
      <c r="Q14758" s="37" t="str">
        <f>IF(P14758&gt;500,"High","low")</f>
        <v>low</v>
      </c>
      <c r="R14758" s="37" t="str">
        <f t="shared" si="1154"/>
        <v>AVERAGE</v>
      </c>
      <c r="S14758" t="s">
        <v>620</v>
      </c>
    </row>
    <row r="14759" spans="1:19" x14ac:dyDescent="0.2">
      <c r="A14759" t="s">
        <v>15370</v>
      </c>
      <c r="B14759" t="s">
        <v>90</v>
      </c>
      <c r="C14759" t="s">
        <v>602</v>
      </c>
      <c r="D14759">
        <v>3444.03</v>
      </c>
      <c r="E14759" s="37" t="str">
        <f t="shared" si="1150"/>
        <v xml:space="preserve"> </v>
      </c>
      <c r="F14759">
        <v>0.11</v>
      </c>
      <c r="G14759" s="37" t="str">
        <f t="shared" si="1151"/>
        <v>Normal Discount</v>
      </c>
      <c r="H14759" s="37" t="str">
        <f t="shared" si="1152"/>
        <v>Low</v>
      </c>
      <c r="I14759">
        <v>9</v>
      </c>
      <c r="J14759" t="str" cm="1">
        <f t="array" ref="J14759">_xlfn.IFS(I14759&lt;=3,"small",I14759&lt;=6,"Medium",I14759&lt;=9,"Large")</f>
        <v>Large</v>
      </c>
      <c r="K14759" s="36">
        <v>45005</v>
      </c>
      <c r="L14759" s="36">
        <v>45008</v>
      </c>
      <c r="M14759" t="s">
        <v>598</v>
      </c>
      <c r="N14759" t="s">
        <v>608</v>
      </c>
      <c r="O14759" s="37" t="str">
        <f t="shared" si="1153"/>
        <v>Cash Payment</v>
      </c>
      <c r="P14759">
        <v>632.08000000000004</v>
      </c>
      <c r="Q14759" s="37" t="str">
        <f>IF(P14759&gt;500,"High","low")</f>
        <v>High</v>
      </c>
      <c r="R14759" s="37" t="str">
        <f t="shared" si="1154"/>
        <v>Good</v>
      </c>
      <c r="S14759" t="s">
        <v>600</v>
      </c>
    </row>
    <row r="14760" spans="1:19" x14ac:dyDescent="0.2">
      <c r="A14760" t="s">
        <v>15371</v>
      </c>
      <c r="B14760" t="s">
        <v>75</v>
      </c>
      <c r="C14760" t="s">
        <v>607</v>
      </c>
      <c r="D14760">
        <v>1262.83</v>
      </c>
      <c r="E14760" s="37" t="str">
        <f t="shared" si="1150"/>
        <v xml:space="preserve"> </v>
      </c>
      <c r="F14760">
        <v>0.03</v>
      </c>
      <c r="G14760" s="37" t="str">
        <f t="shared" si="1151"/>
        <v>Normal Discount</v>
      </c>
      <c r="H14760" s="37" t="str">
        <f t="shared" si="1152"/>
        <v>Low</v>
      </c>
      <c r="I14760">
        <v>8</v>
      </c>
      <c r="J14760" t="str" cm="1">
        <f t="array" ref="J14760">_xlfn.IFS(I14760&lt;=3,"small",I14760&lt;=6,"Medium",I14760&lt;=9,"Large")</f>
        <v>Large</v>
      </c>
      <c r="K14760" s="36">
        <v>45209</v>
      </c>
      <c r="L14760" s="36">
        <v>45212</v>
      </c>
      <c r="M14760" t="s">
        <v>598</v>
      </c>
      <c r="N14760" t="s">
        <v>604</v>
      </c>
      <c r="O14760" s="37" t="str">
        <f t="shared" si="1153"/>
        <v>Digital Payment</v>
      </c>
      <c r="P14760">
        <v>93.08</v>
      </c>
      <c r="Q14760" s="37" t="str">
        <f>IF(P14760&gt;500,"High","low")</f>
        <v>low</v>
      </c>
      <c r="R14760" s="37" t="str">
        <f t="shared" si="1154"/>
        <v>AVERAGE</v>
      </c>
      <c r="S14760" t="s">
        <v>600</v>
      </c>
    </row>
    <row r="14761" spans="1:19" x14ac:dyDescent="0.2">
      <c r="A14761" t="s">
        <v>15372</v>
      </c>
      <c r="B14761" t="s">
        <v>90</v>
      </c>
      <c r="C14761" t="s">
        <v>602</v>
      </c>
      <c r="D14761">
        <v>247.72</v>
      </c>
      <c r="E14761" s="37" t="str">
        <f t="shared" si="1150"/>
        <v xml:space="preserve"> </v>
      </c>
      <c r="F14761">
        <v>0.04</v>
      </c>
      <c r="G14761" s="37" t="str">
        <f t="shared" si="1151"/>
        <v>Normal Discount</v>
      </c>
      <c r="H14761" s="37" t="str">
        <f t="shared" si="1152"/>
        <v>Low</v>
      </c>
      <c r="I14761">
        <v>5</v>
      </c>
      <c r="J14761" t="str" cm="1">
        <f t="array" ref="J14761">_xlfn.IFS(I14761&lt;=3,"small",I14761&lt;=6,"Medium",I14761&lt;=9,"Large")</f>
        <v>Medium</v>
      </c>
      <c r="K14761" s="36">
        <v>45113</v>
      </c>
      <c r="L14761" s="36">
        <v>45119</v>
      </c>
      <c r="M14761" t="s">
        <v>603</v>
      </c>
      <c r="N14761" t="s">
        <v>608</v>
      </c>
      <c r="O14761" s="37" t="str">
        <f t="shared" si="1153"/>
        <v>Cash Payment</v>
      </c>
      <c r="P14761">
        <v>71.349999999999994</v>
      </c>
      <c r="Q14761" s="37" t="str">
        <f>IF(P14761&gt;500,"High","low")</f>
        <v>low</v>
      </c>
      <c r="R14761" s="37" t="str">
        <f t="shared" si="1154"/>
        <v>AVERAGE</v>
      </c>
      <c r="S14761" t="s">
        <v>628</v>
      </c>
    </row>
    <row r="14762" spans="1:19" x14ac:dyDescent="0.2">
      <c r="A14762" t="s">
        <v>15373</v>
      </c>
      <c r="B14762" t="s">
        <v>75</v>
      </c>
      <c r="C14762" t="s">
        <v>597</v>
      </c>
      <c r="D14762">
        <v>638.04999999999995</v>
      </c>
      <c r="E14762" s="37" t="str">
        <f t="shared" si="1150"/>
        <v xml:space="preserve"> </v>
      </c>
      <c r="F14762">
        <v>0.28999999999999998</v>
      </c>
      <c r="G14762" s="37" t="str">
        <f t="shared" si="1151"/>
        <v>Normal Discount</v>
      </c>
      <c r="H14762" s="37" t="str">
        <f t="shared" si="1152"/>
        <v>Medium</v>
      </c>
      <c r="I14762">
        <v>5</v>
      </c>
      <c r="J14762" t="str" cm="1">
        <f t="array" ref="J14762">_xlfn.IFS(I14762&lt;=3,"small",I14762&lt;=6,"Medium",I14762&lt;=9,"Large")</f>
        <v>Medium</v>
      </c>
      <c r="K14762" s="36">
        <v>45465</v>
      </c>
      <c r="L14762" s="36">
        <v>45470</v>
      </c>
      <c r="M14762" t="s">
        <v>603</v>
      </c>
      <c r="N14762" t="s">
        <v>608</v>
      </c>
      <c r="O14762" s="37" t="str">
        <f t="shared" si="1153"/>
        <v>Cash Payment</v>
      </c>
      <c r="P14762">
        <v>188.14</v>
      </c>
      <c r="Q14762" s="37" t="str">
        <f>IF(P14762&gt;500,"High","low")</f>
        <v>low</v>
      </c>
      <c r="R14762" s="37" t="str">
        <f t="shared" si="1154"/>
        <v>AVERAGE</v>
      </c>
      <c r="S14762" t="s">
        <v>605</v>
      </c>
    </row>
    <row r="14763" spans="1:19" x14ac:dyDescent="0.2">
      <c r="A14763" t="s">
        <v>15374</v>
      </c>
      <c r="B14763" t="s">
        <v>83</v>
      </c>
      <c r="C14763" t="s">
        <v>602</v>
      </c>
      <c r="D14763">
        <v>2224.77</v>
      </c>
      <c r="E14763" s="37" t="str">
        <f t="shared" si="1150"/>
        <v xml:space="preserve"> </v>
      </c>
      <c r="F14763">
        <v>0.38</v>
      </c>
      <c r="G14763" s="37" t="str">
        <f t="shared" si="1151"/>
        <v>Heavy Discount</v>
      </c>
      <c r="H14763" s="37" t="str">
        <f t="shared" si="1152"/>
        <v>Medium</v>
      </c>
      <c r="I14763">
        <v>9</v>
      </c>
      <c r="J14763" t="str" cm="1">
        <f t="array" ref="J14763">_xlfn.IFS(I14763&lt;=3,"small",I14763&lt;=6,"Medium",I14763&lt;=9,"Large")</f>
        <v>Large</v>
      </c>
      <c r="K14763" s="36">
        <v>45301</v>
      </c>
      <c r="L14763" s="36">
        <v>45308</v>
      </c>
      <c r="M14763" t="s">
        <v>603</v>
      </c>
      <c r="N14763" t="s">
        <v>599</v>
      </c>
      <c r="O14763" s="37" t="str">
        <f t="shared" si="1153"/>
        <v>Digital Payment</v>
      </c>
      <c r="P14763">
        <v>152.02000000000001</v>
      </c>
      <c r="Q14763" s="37" t="str">
        <f>IF(P14763&gt;500,"High","low")</f>
        <v>low</v>
      </c>
      <c r="R14763" s="37" t="str">
        <f t="shared" si="1154"/>
        <v>AVERAGE</v>
      </c>
      <c r="S14763" t="s">
        <v>605</v>
      </c>
    </row>
    <row r="14764" spans="1:19" x14ac:dyDescent="0.2">
      <c r="A14764" t="s">
        <v>15375</v>
      </c>
      <c r="B14764" t="s">
        <v>67</v>
      </c>
      <c r="C14764" t="s">
        <v>597</v>
      </c>
      <c r="D14764">
        <v>2210.84</v>
      </c>
      <c r="E14764" s="37" t="str">
        <f t="shared" si="1150"/>
        <v xml:space="preserve"> </v>
      </c>
      <c r="F14764">
        <v>0.34</v>
      </c>
      <c r="G14764" s="37" t="str">
        <f t="shared" si="1151"/>
        <v>Heavy Discount</v>
      </c>
      <c r="H14764" s="37" t="str">
        <f t="shared" si="1152"/>
        <v>Medium</v>
      </c>
      <c r="I14764">
        <v>8</v>
      </c>
      <c r="J14764" t="str" cm="1">
        <f t="array" ref="J14764">_xlfn.IFS(I14764&lt;=3,"small",I14764&lt;=6,"Medium",I14764&lt;=9,"Large")</f>
        <v>Large</v>
      </c>
      <c r="K14764" s="36">
        <v>45311</v>
      </c>
      <c r="L14764" s="36">
        <v>45316</v>
      </c>
      <c r="M14764" t="s">
        <v>603</v>
      </c>
      <c r="N14764" t="s">
        <v>608</v>
      </c>
      <c r="O14764" s="37" t="str">
        <f t="shared" si="1153"/>
        <v>Cash Payment</v>
      </c>
      <c r="P14764">
        <v>132.86000000000001</v>
      </c>
      <c r="Q14764" s="37" t="str">
        <f>IF(P14764&gt;500,"High","low")</f>
        <v>low</v>
      </c>
      <c r="R14764" s="37" t="str">
        <f t="shared" si="1154"/>
        <v>AVERAGE</v>
      </c>
      <c r="S14764" t="s">
        <v>620</v>
      </c>
    </row>
    <row r="14765" spans="1:19" x14ac:dyDescent="0.2">
      <c r="A14765" t="s">
        <v>15376</v>
      </c>
      <c r="B14765" t="s">
        <v>83</v>
      </c>
      <c r="C14765" t="s">
        <v>617</v>
      </c>
      <c r="D14765">
        <v>4864.29</v>
      </c>
      <c r="E14765" s="37" t="str">
        <f t="shared" si="1150"/>
        <v>Excellent Order</v>
      </c>
      <c r="F14765">
        <v>0.3</v>
      </c>
      <c r="G14765" s="37" t="str">
        <f t="shared" si="1151"/>
        <v>Normal Discount</v>
      </c>
      <c r="H14765" s="37" t="str">
        <f t="shared" si="1152"/>
        <v>Medium</v>
      </c>
      <c r="I14765">
        <v>4</v>
      </c>
      <c r="J14765" t="str" cm="1">
        <f t="array" ref="J14765">_xlfn.IFS(I14765&lt;=3,"small",I14765&lt;=6,"Medium",I14765&lt;=9,"Large")</f>
        <v>Medium</v>
      </c>
      <c r="K14765" s="36">
        <v>45002</v>
      </c>
      <c r="L14765" s="36">
        <v>45004</v>
      </c>
      <c r="M14765" t="s">
        <v>598</v>
      </c>
      <c r="N14765" t="s">
        <v>608</v>
      </c>
      <c r="O14765" s="37" t="str">
        <f t="shared" si="1153"/>
        <v>Cash Payment</v>
      </c>
      <c r="P14765">
        <v>835.67</v>
      </c>
      <c r="Q14765" s="37" t="str">
        <f>IF(P14765&gt;500,"High","low")</f>
        <v>High</v>
      </c>
      <c r="R14765" s="37" t="str">
        <f t="shared" si="1154"/>
        <v>Good</v>
      </c>
      <c r="S14765" t="s">
        <v>605</v>
      </c>
    </row>
    <row r="14766" spans="1:19" x14ac:dyDescent="0.2">
      <c r="A14766" t="s">
        <v>15377</v>
      </c>
      <c r="B14766" t="s">
        <v>83</v>
      </c>
      <c r="C14766" t="s">
        <v>607</v>
      </c>
      <c r="D14766">
        <v>2383.16</v>
      </c>
      <c r="E14766" s="37" t="str">
        <f t="shared" si="1150"/>
        <v xml:space="preserve"> </v>
      </c>
      <c r="F14766">
        <v>0.11</v>
      </c>
      <c r="G14766" s="37" t="str">
        <f t="shared" si="1151"/>
        <v>Normal Discount</v>
      </c>
      <c r="H14766" s="37" t="str">
        <f t="shared" si="1152"/>
        <v>Low</v>
      </c>
      <c r="I14766">
        <v>9</v>
      </c>
      <c r="J14766" t="str" cm="1">
        <f t="array" ref="J14766">_xlfn.IFS(I14766&lt;=3,"small",I14766&lt;=6,"Medium",I14766&lt;=9,"Large")</f>
        <v>Large</v>
      </c>
      <c r="K14766" s="36">
        <v>45634</v>
      </c>
      <c r="L14766" s="36">
        <v>45640</v>
      </c>
      <c r="M14766" t="s">
        <v>603</v>
      </c>
      <c r="N14766" t="s">
        <v>599</v>
      </c>
      <c r="O14766" s="37" t="str">
        <f t="shared" si="1153"/>
        <v>Digital Payment</v>
      </c>
      <c r="P14766">
        <v>204.62</v>
      </c>
      <c r="Q14766" s="37" t="str">
        <f>IF(P14766&gt;500,"High","low")</f>
        <v>low</v>
      </c>
      <c r="R14766" s="37" t="str">
        <f t="shared" si="1154"/>
        <v>AVERAGE</v>
      </c>
      <c r="S14766" t="s">
        <v>628</v>
      </c>
    </row>
    <row r="14767" spans="1:19" x14ac:dyDescent="0.2">
      <c r="A14767" t="s">
        <v>15378</v>
      </c>
      <c r="B14767" t="s">
        <v>75</v>
      </c>
      <c r="C14767" t="s">
        <v>617</v>
      </c>
      <c r="D14767">
        <v>3422.53</v>
      </c>
      <c r="E14767" s="37" t="str">
        <f t="shared" si="1150"/>
        <v xml:space="preserve"> </v>
      </c>
      <c r="F14767">
        <v>0.43</v>
      </c>
      <c r="G14767" s="37" t="str">
        <f t="shared" si="1151"/>
        <v>Heavy Discount</v>
      </c>
      <c r="H14767" s="37" t="str">
        <f t="shared" si="1152"/>
        <v>High</v>
      </c>
      <c r="I14767">
        <v>6</v>
      </c>
      <c r="J14767" t="str" cm="1">
        <f t="array" ref="J14767">_xlfn.IFS(I14767&lt;=3,"small",I14767&lt;=6,"Medium",I14767&lt;=9,"Large")</f>
        <v>Medium</v>
      </c>
      <c r="K14767" s="36">
        <v>45333</v>
      </c>
      <c r="L14767" s="36">
        <v>45338</v>
      </c>
      <c r="M14767" t="s">
        <v>603</v>
      </c>
      <c r="N14767" t="s">
        <v>599</v>
      </c>
      <c r="O14767" s="37" t="str">
        <f t="shared" si="1153"/>
        <v>Digital Payment</v>
      </c>
      <c r="P14767">
        <v>289.79000000000002</v>
      </c>
      <c r="Q14767" s="37" t="str">
        <f>IF(P14767&gt;500,"High","low")</f>
        <v>low</v>
      </c>
      <c r="R14767" s="37" t="str">
        <f t="shared" si="1154"/>
        <v>AVERAGE</v>
      </c>
      <c r="S14767" t="s">
        <v>615</v>
      </c>
    </row>
    <row r="14768" spans="1:19" x14ac:dyDescent="0.2">
      <c r="A14768" t="s">
        <v>15379</v>
      </c>
      <c r="B14768" t="s">
        <v>90</v>
      </c>
      <c r="C14768" t="s">
        <v>617</v>
      </c>
      <c r="D14768">
        <v>2511.7800000000002</v>
      </c>
      <c r="E14768" s="37" t="str">
        <f t="shared" si="1150"/>
        <v xml:space="preserve"> </v>
      </c>
      <c r="F14768">
        <v>0.31</v>
      </c>
      <c r="G14768" s="37" t="str">
        <f t="shared" si="1151"/>
        <v>Heavy Discount</v>
      </c>
      <c r="H14768" s="37" t="str">
        <f t="shared" si="1152"/>
        <v>Medium</v>
      </c>
      <c r="I14768">
        <v>5</v>
      </c>
      <c r="J14768" t="str" cm="1">
        <f t="array" ref="J14768">_xlfn.IFS(I14768&lt;=3,"small",I14768&lt;=6,"Medium",I14768&lt;=9,"Large")</f>
        <v>Medium</v>
      </c>
      <c r="K14768" s="36">
        <v>45525</v>
      </c>
      <c r="L14768" s="36">
        <v>45532</v>
      </c>
      <c r="M14768" t="s">
        <v>603</v>
      </c>
      <c r="N14768" t="s">
        <v>608</v>
      </c>
      <c r="O14768" s="37" t="str">
        <f t="shared" si="1153"/>
        <v>Cash Payment</v>
      </c>
      <c r="P14768">
        <v>356.44</v>
      </c>
      <c r="Q14768" s="37" t="str">
        <f>IF(P14768&gt;500,"High","low")</f>
        <v>low</v>
      </c>
      <c r="R14768" s="37" t="str">
        <f t="shared" si="1154"/>
        <v>AVERAGE</v>
      </c>
      <c r="S14768" t="s">
        <v>628</v>
      </c>
    </row>
    <row r="14769" spans="1:19" x14ac:dyDescent="0.2">
      <c r="A14769" t="s">
        <v>15380</v>
      </c>
      <c r="B14769" t="s">
        <v>83</v>
      </c>
      <c r="C14769" t="s">
        <v>607</v>
      </c>
      <c r="D14769">
        <v>1422.6</v>
      </c>
      <c r="E14769" s="37" t="str">
        <f t="shared" si="1150"/>
        <v xml:space="preserve"> </v>
      </c>
      <c r="F14769">
        <v>0.35</v>
      </c>
      <c r="G14769" s="37" t="str">
        <f t="shared" si="1151"/>
        <v>Heavy Discount</v>
      </c>
      <c r="H14769" s="37" t="str">
        <f t="shared" si="1152"/>
        <v>Medium</v>
      </c>
      <c r="I14769">
        <v>7</v>
      </c>
      <c r="J14769" t="str" cm="1">
        <f t="array" ref="J14769">_xlfn.IFS(I14769&lt;=3,"small",I14769&lt;=6,"Medium",I14769&lt;=9,"Large")</f>
        <v>Large</v>
      </c>
      <c r="K14769" s="36">
        <v>45049</v>
      </c>
      <c r="L14769" s="36">
        <v>45052</v>
      </c>
      <c r="M14769" t="s">
        <v>603</v>
      </c>
      <c r="N14769" t="s">
        <v>599</v>
      </c>
      <c r="O14769" s="37" t="str">
        <f t="shared" si="1153"/>
        <v>Digital Payment</v>
      </c>
      <c r="P14769">
        <v>411.96</v>
      </c>
      <c r="Q14769" s="37" t="str">
        <f>IF(P14769&gt;500,"High","low")</f>
        <v>low</v>
      </c>
      <c r="R14769" s="37" t="str">
        <f t="shared" si="1154"/>
        <v>AVERAGE</v>
      </c>
      <c r="S14769" t="s">
        <v>600</v>
      </c>
    </row>
    <row r="14770" spans="1:19" x14ac:dyDescent="0.2">
      <c r="A14770" t="s">
        <v>15381</v>
      </c>
      <c r="B14770" t="s">
        <v>83</v>
      </c>
      <c r="C14770" t="s">
        <v>597</v>
      </c>
      <c r="D14770">
        <v>616.71</v>
      </c>
      <c r="E14770" s="37" t="str">
        <f t="shared" si="1150"/>
        <v xml:space="preserve"> </v>
      </c>
      <c r="F14770">
        <v>0.11</v>
      </c>
      <c r="G14770" s="37" t="str">
        <f t="shared" si="1151"/>
        <v>Normal Discount</v>
      </c>
      <c r="H14770" s="37" t="str">
        <f t="shared" si="1152"/>
        <v>Low</v>
      </c>
      <c r="I14770">
        <v>9</v>
      </c>
      <c r="J14770" t="str" cm="1">
        <f t="array" ref="J14770">_xlfn.IFS(I14770&lt;=3,"small",I14770&lt;=6,"Medium",I14770&lt;=9,"Large")</f>
        <v>Large</v>
      </c>
      <c r="K14770" s="36">
        <v>45394</v>
      </c>
      <c r="L14770" s="36">
        <v>45398</v>
      </c>
      <c r="M14770" t="s">
        <v>603</v>
      </c>
      <c r="N14770" t="s">
        <v>599</v>
      </c>
      <c r="O14770" s="37" t="str">
        <f t="shared" si="1153"/>
        <v>Digital Payment</v>
      </c>
      <c r="P14770">
        <v>175.27</v>
      </c>
      <c r="Q14770" s="37" t="str">
        <f>IF(P14770&gt;500,"High","low")</f>
        <v>low</v>
      </c>
      <c r="R14770" s="37" t="str">
        <f t="shared" si="1154"/>
        <v>AVERAGE</v>
      </c>
      <c r="S14770" t="s">
        <v>615</v>
      </c>
    </row>
    <row r="14771" spans="1:19" x14ac:dyDescent="0.2">
      <c r="A14771" t="s">
        <v>15382</v>
      </c>
      <c r="B14771" t="s">
        <v>83</v>
      </c>
      <c r="C14771" t="s">
        <v>597</v>
      </c>
      <c r="D14771">
        <v>4309.46</v>
      </c>
      <c r="E14771" s="37" t="str">
        <f t="shared" si="1150"/>
        <v>Excellent Order</v>
      </c>
      <c r="F14771">
        <v>0.13</v>
      </c>
      <c r="G14771" s="37" t="str">
        <f t="shared" si="1151"/>
        <v>Normal Discount</v>
      </c>
      <c r="H14771" s="37" t="str">
        <f t="shared" si="1152"/>
        <v>Low</v>
      </c>
      <c r="I14771">
        <v>1</v>
      </c>
      <c r="J14771" t="str" cm="1">
        <f t="array" ref="J14771">_xlfn.IFS(I14771&lt;=3,"small",I14771&lt;=6,"Medium",I14771&lt;=9,"Large")</f>
        <v>small</v>
      </c>
      <c r="K14771" s="36">
        <v>45117</v>
      </c>
      <c r="L14771" s="36">
        <v>45120</v>
      </c>
      <c r="M14771" t="s">
        <v>598</v>
      </c>
      <c r="N14771" t="s">
        <v>599</v>
      </c>
      <c r="O14771" s="37" t="str">
        <f t="shared" si="1153"/>
        <v>Digital Payment</v>
      </c>
      <c r="P14771">
        <v>1215.1400000000001</v>
      </c>
      <c r="Q14771" s="37" t="str">
        <f>IF(P14771&gt;500,"High","low")</f>
        <v>High</v>
      </c>
      <c r="R14771" s="37" t="str">
        <f t="shared" si="1154"/>
        <v>Excellent</v>
      </c>
      <c r="S14771" t="s">
        <v>615</v>
      </c>
    </row>
    <row r="14772" spans="1:19" x14ac:dyDescent="0.2">
      <c r="A14772" t="s">
        <v>15383</v>
      </c>
      <c r="B14772" t="s">
        <v>90</v>
      </c>
      <c r="C14772" t="s">
        <v>597</v>
      </c>
      <c r="D14772">
        <v>848.05</v>
      </c>
      <c r="E14772" s="37" t="str">
        <f t="shared" si="1150"/>
        <v xml:space="preserve"> </v>
      </c>
      <c r="F14772">
        <v>0.45</v>
      </c>
      <c r="G14772" s="37" t="str">
        <f t="shared" si="1151"/>
        <v>Heavy Discount</v>
      </c>
      <c r="H14772" s="37" t="str">
        <f t="shared" si="1152"/>
        <v>High</v>
      </c>
      <c r="I14772">
        <v>9</v>
      </c>
      <c r="J14772" t="str" cm="1">
        <f t="array" ref="J14772">_xlfn.IFS(I14772&lt;=3,"small",I14772&lt;=6,"Medium",I14772&lt;=9,"Large")</f>
        <v>Large</v>
      </c>
      <c r="K14772" s="36">
        <v>45181</v>
      </c>
      <c r="L14772" s="36">
        <v>45188</v>
      </c>
      <c r="M14772" t="s">
        <v>598</v>
      </c>
      <c r="N14772" t="s">
        <v>604</v>
      </c>
      <c r="O14772" s="37" t="str">
        <f t="shared" si="1153"/>
        <v>Digital Payment</v>
      </c>
      <c r="P14772">
        <v>78.08</v>
      </c>
      <c r="Q14772" s="37" t="str">
        <f>IF(P14772&gt;500,"High","low")</f>
        <v>low</v>
      </c>
      <c r="R14772" s="37" t="str">
        <f t="shared" si="1154"/>
        <v>AVERAGE</v>
      </c>
      <c r="S14772" t="s">
        <v>600</v>
      </c>
    </row>
    <row r="14773" spans="1:19" x14ac:dyDescent="0.2">
      <c r="A14773" t="s">
        <v>15384</v>
      </c>
      <c r="B14773" t="s">
        <v>90</v>
      </c>
      <c r="C14773" t="s">
        <v>607</v>
      </c>
      <c r="D14773">
        <v>574.78</v>
      </c>
      <c r="E14773" s="37" t="str">
        <f t="shared" si="1150"/>
        <v xml:space="preserve"> </v>
      </c>
      <c r="F14773">
        <v>0.24</v>
      </c>
      <c r="G14773" s="37" t="str">
        <f t="shared" si="1151"/>
        <v>Normal Discount</v>
      </c>
      <c r="H14773" s="37" t="str">
        <f t="shared" si="1152"/>
        <v>Medium</v>
      </c>
      <c r="I14773">
        <v>5</v>
      </c>
      <c r="J14773" t="str" cm="1">
        <f t="array" ref="J14773">_xlfn.IFS(I14773&lt;=3,"small",I14773&lt;=6,"Medium",I14773&lt;=9,"Large")</f>
        <v>Medium</v>
      </c>
      <c r="K14773" s="36">
        <v>45138</v>
      </c>
      <c r="L14773" s="36">
        <v>45140</v>
      </c>
      <c r="M14773" t="s">
        <v>603</v>
      </c>
      <c r="N14773" t="s">
        <v>599</v>
      </c>
      <c r="O14773" s="37" t="str">
        <f t="shared" si="1153"/>
        <v>Digital Payment</v>
      </c>
      <c r="P14773">
        <v>40.96</v>
      </c>
      <c r="Q14773" s="37" t="str">
        <f>IF(P14773&gt;500,"High","low")</f>
        <v>low</v>
      </c>
      <c r="R14773" s="37" t="str">
        <f t="shared" si="1154"/>
        <v>AVERAGE</v>
      </c>
      <c r="S14773" t="s">
        <v>605</v>
      </c>
    </row>
    <row r="14774" spans="1:19" x14ac:dyDescent="0.2">
      <c r="A14774" t="s">
        <v>15385</v>
      </c>
      <c r="B14774" t="s">
        <v>75</v>
      </c>
      <c r="C14774" t="s">
        <v>602</v>
      </c>
      <c r="D14774">
        <v>1147.76</v>
      </c>
      <c r="E14774" s="37" t="str">
        <f t="shared" si="1150"/>
        <v xml:space="preserve"> </v>
      </c>
      <c r="F14774">
        <v>0.28000000000000003</v>
      </c>
      <c r="G14774" s="37" t="str">
        <f t="shared" si="1151"/>
        <v>Normal Discount</v>
      </c>
      <c r="H14774" s="37" t="str">
        <f t="shared" si="1152"/>
        <v>Medium</v>
      </c>
      <c r="I14774">
        <v>9</v>
      </c>
      <c r="J14774" t="str" cm="1">
        <f t="array" ref="J14774">_xlfn.IFS(I14774&lt;=3,"small",I14774&lt;=6,"Medium",I14774&lt;=9,"Large")</f>
        <v>Large</v>
      </c>
      <c r="K14774" s="36">
        <v>45210</v>
      </c>
      <c r="L14774" s="36">
        <v>45217</v>
      </c>
      <c r="M14774" t="s">
        <v>603</v>
      </c>
      <c r="N14774" t="s">
        <v>599</v>
      </c>
      <c r="O14774" s="37" t="str">
        <f t="shared" si="1153"/>
        <v>Digital Payment</v>
      </c>
      <c r="P14774">
        <v>89</v>
      </c>
      <c r="Q14774" s="37" t="str">
        <f>IF(P14774&gt;500,"High","low")</f>
        <v>low</v>
      </c>
      <c r="R14774" s="37" t="str">
        <f t="shared" si="1154"/>
        <v>AVERAGE</v>
      </c>
      <c r="S14774" t="s">
        <v>628</v>
      </c>
    </row>
    <row r="14775" spans="1:19" x14ac:dyDescent="0.2">
      <c r="A14775" t="s">
        <v>15386</v>
      </c>
      <c r="B14775" t="s">
        <v>83</v>
      </c>
      <c r="C14775" t="s">
        <v>614</v>
      </c>
      <c r="D14775">
        <v>112.19</v>
      </c>
      <c r="E14775" s="37" t="str">
        <f t="shared" si="1150"/>
        <v xml:space="preserve"> </v>
      </c>
      <c r="F14775">
        <v>0.06</v>
      </c>
      <c r="G14775" s="37" t="str">
        <f t="shared" si="1151"/>
        <v>Normal Discount</v>
      </c>
      <c r="H14775" s="37" t="str">
        <f t="shared" si="1152"/>
        <v>Low</v>
      </c>
      <c r="I14775">
        <v>5</v>
      </c>
      <c r="J14775" t="str" cm="1">
        <f t="array" ref="J14775">_xlfn.IFS(I14775&lt;=3,"small",I14775&lt;=6,"Medium",I14775&lt;=9,"Large")</f>
        <v>Medium</v>
      </c>
      <c r="K14775" s="36">
        <v>45206</v>
      </c>
      <c r="L14775" s="36">
        <v>45212</v>
      </c>
      <c r="M14775" t="s">
        <v>612</v>
      </c>
      <c r="N14775" t="s">
        <v>608</v>
      </c>
      <c r="O14775" s="37" t="str">
        <f t="shared" si="1153"/>
        <v>Cash Payment</v>
      </c>
      <c r="P14775">
        <v>22.16</v>
      </c>
      <c r="Q14775" s="37" t="str">
        <f>IF(P14775&gt;500,"High","low")</f>
        <v>low</v>
      </c>
      <c r="R14775" s="37" t="str">
        <f t="shared" si="1154"/>
        <v>AVERAGE</v>
      </c>
      <c r="S14775" t="s">
        <v>615</v>
      </c>
    </row>
    <row r="14776" spans="1:19" x14ac:dyDescent="0.2">
      <c r="A14776" t="s">
        <v>15387</v>
      </c>
      <c r="B14776" t="s">
        <v>67</v>
      </c>
      <c r="C14776" t="s">
        <v>602</v>
      </c>
      <c r="D14776">
        <v>452.63</v>
      </c>
      <c r="E14776" s="37" t="str">
        <f t="shared" si="1150"/>
        <v xml:space="preserve"> </v>
      </c>
      <c r="F14776">
        <v>0.2</v>
      </c>
      <c r="G14776" s="37" t="str">
        <f t="shared" si="1151"/>
        <v>Normal Discount</v>
      </c>
      <c r="H14776" s="37" t="str">
        <f t="shared" si="1152"/>
        <v>Medium</v>
      </c>
      <c r="I14776">
        <v>7</v>
      </c>
      <c r="J14776" t="str" cm="1">
        <f t="array" ref="J14776">_xlfn.IFS(I14776&lt;=3,"small",I14776&lt;=6,"Medium",I14776&lt;=9,"Large")</f>
        <v>Large</v>
      </c>
      <c r="K14776" s="36">
        <v>45204</v>
      </c>
      <c r="L14776" s="36">
        <v>45207</v>
      </c>
      <c r="M14776" t="s">
        <v>612</v>
      </c>
      <c r="N14776" t="s">
        <v>599</v>
      </c>
      <c r="O14776" s="37" t="str">
        <f t="shared" si="1153"/>
        <v>Digital Payment</v>
      </c>
      <c r="P14776">
        <v>61.01</v>
      </c>
      <c r="Q14776" s="37" t="str">
        <f>IF(P14776&gt;500,"High","low")</f>
        <v>low</v>
      </c>
      <c r="R14776" s="37" t="str">
        <f t="shared" si="1154"/>
        <v>AVERAGE</v>
      </c>
      <c r="S14776" t="s">
        <v>605</v>
      </c>
    </row>
    <row r="14777" spans="1:19" x14ac:dyDescent="0.2">
      <c r="A14777" t="s">
        <v>15388</v>
      </c>
      <c r="B14777" t="s">
        <v>90</v>
      </c>
      <c r="C14777" t="s">
        <v>602</v>
      </c>
      <c r="D14777">
        <v>3212.46</v>
      </c>
      <c r="E14777" s="37" t="str">
        <f t="shared" si="1150"/>
        <v xml:space="preserve"> </v>
      </c>
      <c r="F14777">
        <v>0.44</v>
      </c>
      <c r="G14777" s="37" t="str">
        <f t="shared" si="1151"/>
        <v>Heavy Discount</v>
      </c>
      <c r="H14777" s="37" t="str">
        <f t="shared" si="1152"/>
        <v>High</v>
      </c>
      <c r="I14777">
        <v>7</v>
      </c>
      <c r="J14777" t="str" cm="1">
        <f t="array" ref="J14777">_xlfn.IFS(I14777&lt;=3,"small",I14777&lt;=6,"Medium",I14777&lt;=9,"Large")</f>
        <v>Large</v>
      </c>
      <c r="K14777" s="36">
        <v>45396</v>
      </c>
      <c r="L14777" s="36">
        <v>45402</v>
      </c>
      <c r="M14777" t="s">
        <v>603</v>
      </c>
      <c r="N14777" t="s">
        <v>599</v>
      </c>
      <c r="O14777" s="37" t="str">
        <f t="shared" si="1153"/>
        <v>Digital Payment</v>
      </c>
      <c r="P14777">
        <v>863.58</v>
      </c>
      <c r="Q14777" s="37" t="str">
        <f>IF(P14777&gt;500,"High","low")</f>
        <v>High</v>
      </c>
      <c r="R14777" s="37" t="str">
        <f t="shared" si="1154"/>
        <v>Good</v>
      </c>
      <c r="S14777" t="s">
        <v>628</v>
      </c>
    </row>
    <row r="14778" spans="1:19" x14ac:dyDescent="0.2">
      <c r="A14778" t="s">
        <v>15389</v>
      </c>
      <c r="B14778" t="s">
        <v>75</v>
      </c>
      <c r="C14778" t="s">
        <v>617</v>
      </c>
      <c r="D14778">
        <v>1293.3800000000001</v>
      </c>
      <c r="E14778" s="37" t="str">
        <f t="shared" si="1150"/>
        <v xml:space="preserve"> </v>
      </c>
      <c r="F14778">
        <v>0.45</v>
      </c>
      <c r="G14778" s="37" t="str">
        <f t="shared" si="1151"/>
        <v>Heavy Discount</v>
      </c>
      <c r="H14778" s="37" t="str">
        <f t="shared" si="1152"/>
        <v>High</v>
      </c>
      <c r="I14778">
        <v>9</v>
      </c>
      <c r="J14778" t="str" cm="1">
        <f t="array" ref="J14778">_xlfn.IFS(I14778&lt;=3,"small",I14778&lt;=6,"Medium",I14778&lt;=9,"Large")</f>
        <v>Large</v>
      </c>
      <c r="K14778" s="36">
        <v>45094</v>
      </c>
      <c r="L14778" s="36">
        <v>45101</v>
      </c>
      <c r="M14778" t="s">
        <v>603</v>
      </c>
      <c r="N14778" t="s">
        <v>599</v>
      </c>
      <c r="O14778" s="37" t="str">
        <f t="shared" si="1153"/>
        <v>Digital Payment</v>
      </c>
      <c r="P14778">
        <v>277.70999999999998</v>
      </c>
      <c r="Q14778" s="37" t="str">
        <f>IF(P14778&gt;500,"High","low")</f>
        <v>low</v>
      </c>
      <c r="R14778" s="37" t="str">
        <f t="shared" si="1154"/>
        <v>AVERAGE</v>
      </c>
      <c r="S14778" t="s">
        <v>620</v>
      </c>
    </row>
    <row r="14779" spans="1:19" x14ac:dyDescent="0.2">
      <c r="A14779" t="s">
        <v>15390</v>
      </c>
      <c r="B14779" t="s">
        <v>83</v>
      </c>
      <c r="C14779" t="s">
        <v>614</v>
      </c>
      <c r="D14779">
        <v>1758.71</v>
      </c>
      <c r="E14779" s="37" t="str">
        <f t="shared" si="1150"/>
        <v xml:space="preserve"> </v>
      </c>
      <c r="F14779">
        <v>0.37</v>
      </c>
      <c r="G14779" s="37" t="str">
        <f t="shared" si="1151"/>
        <v>Heavy Discount</v>
      </c>
      <c r="H14779" s="37" t="str">
        <f t="shared" si="1152"/>
        <v>Medium</v>
      </c>
      <c r="I14779">
        <v>5</v>
      </c>
      <c r="J14779" t="str" cm="1">
        <f t="array" ref="J14779">_xlfn.IFS(I14779&lt;=3,"small",I14779&lt;=6,"Medium",I14779&lt;=9,"Large")</f>
        <v>Medium</v>
      </c>
      <c r="K14779" s="36">
        <v>45129</v>
      </c>
      <c r="L14779" s="36">
        <v>45130</v>
      </c>
      <c r="M14779" t="s">
        <v>612</v>
      </c>
      <c r="N14779" t="s">
        <v>599</v>
      </c>
      <c r="O14779" s="37" t="str">
        <f t="shared" si="1153"/>
        <v>Digital Payment</v>
      </c>
      <c r="P14779">
        <v>526.79</v>
      </c>
      <c r="Q14779" s="37" t="str">
        <f>IF(P14779&gt;500,"High","low")</f>
        <v>High</v>
      </c>
      <c r="R14779" s="37" t="str">
        <f t="shared" si="1154"/>
        <v>Good</v>
      </c>
      <c r="S14779" t="s">
        <v>615</v>
      </c>
    </row>
    <row r="14780" spans="1:19" x14ac:dyDescent="0.2">
      <c r="A14780" t="s">
        <v>15391</v>
      </c>
      <c r="B14780" t="s">
        <v>67</v>
      </c>
      <c r="C14780" t="s">
        <v>597</v>
      </c>
      <c r="D14780">
        <v>4192.97</v>
      </c>
      <c r="E14780" s="37" t="str">
        <f t="shared" si="1150"/>
        <v>Excellent Order</v>
      </c>
      <c r="F14780">
        <v>0.27</v>
      </c>
      <c r="G14780" s="37" t="str">
        <f t="shared" si="1151"/>
        <v>Normal Discount</v>
      </c>
      <c r="H14780" s="37" t="str">
        <f t="shared" si="1152"/>
        <v>Medium</v>
      </c>
      <c r="I14780">
        <v>7</v>
      </c>
      <c r="J14780" t="str" cm="1">
        <f t="array" ref="J14780">_xlfn.IFS(I14780&lt;=3,"small",I14780&lt;=6,"Medium",I14780&lt;=9,"Large")</f>
        <v>Large</v>
      </c>
      <c r="K14780" s="36">
        <v>45022</v>
      </c>
      <c r="L14780" s="36">
        <v>45026</v>
      </c>
      <c r="M14780" t="s">
        <v>612</v>
      </c>
      <c r="N14780" t="s">
        <v>604</v>
      </c>
      <c r="O14780" s="37" t="str">
        <f t="shared" si="1153"/>
        <v>Digital Payment</v>
      </c>
      <c r="P14780">
        <v>1161.83</v>
      </c>
      <c r="Q14780" s="37" t="str">
        <f>IF(P14780&gt;500,"High","low")</f>
        <v>High</v>
      </c>
      <c r="R14780" s="37" t="str">
        <f t="shared" si="1154"/>
        <v>Excellent</v>
      </c>
      <c r="S14780" t="s">
        <v>600</v>
      </c>
    </row>
    <row r="14781" spans="1:19" x14ac:dyDescent="0.2">
      <c r="A14781" t="s">
        <v>15392</v>
      </c>
      <c r="B14781" t="s">
        <v>90</v>
      </c>
      <c r="C14781" t="s">
        <v>602</v>
      </c>
      <c r="D14781">
        <v>3887.21</v>
      </c>
      <c r="E14781" s="37" t="str">
        <f t="shared" si="1150"/>
        <v xml:space="preserve"> </v>
      </c>
      <c r="F14781">
        <v>0.47</v>
      </c>
      <c r="G14781" s="37" t="str">
        <f t="shared" si="1151"/>
        <v>Heavy Discount</v>
      </c>
      <c r="H14781" s="37" t="str">
        <f t="shared" si="1152"/>
        <v>High</v>
      </c>
      <c r="I14781">
        <v>5</v>
      </c>
      <c r="J14781" t="str" cm="1">
        <f t="array" ref="J14781">_xlfn.IFS(I14781&lt;=3,"small",I14781&lt;=6,"Medium",I14781&lt;=9,"Large")</f>
        <v>Medium</v>
      </c>
      <c r="K14781" s="36">
        <v>45654</v>
      </c>
      <c r="L14781" s="36">
        <v>45661</v>
      </c>
      <c r="M14781" t="s">
        <v>603</v>
      </c>
      <c r="N14781" t="s">
        <v>599</v>
      </c>
      <c r="O14781" s="37" t="str">
        <f t="shared" si="1153"/>
        <v>Digital Payment</v>
      </c>
      <c r="P14781">
        <v>748.93</v>
      </c>
      <c r="Q14781" s="37" t="str">
        <f>IF(P14781&gt;500,"High","low")</f>
        <v>High</v>
      </c>
      <c r="R14781" s="37" t="str">
        <f t="shared" si="1154"/>
        <v>Good</v>
      </c>
      <c r="S14781" t="s">
        <v>600</v>
      </c>
    </row>
    <row r="14782" spans="1:19" x14ac:dyDescent="0.2">
      <c r="A14782" t="s">
        <v>15393</v>
      </c>
      <c r="B14782" t="s">
        <v>67</v>
      </c>
      <c r="C14782" t="s">
        <v>607</v>
      </c>
      <c r="D14782">
        <v>2512.02</v>
      </c>
      <c r="E14782" s="37" t="str">
        <f t="shared" si="1150"/>
        <v xml:space="preserve"> </v>
      </c>
      <c r="F14782">
        <v>0.44</v>
      </c>
      <c r="G14782" s="37" t="str">
        <f t="shared" si="1151"/>
        <v>Heavy Discount</v>
      </c>
      <c r="H14782" s="37" t="str">
        <f t="shared" si="1152"/>
        <v>High</v>
      </c>
      <c r="I14782">
        <v>4</v>
      </c>
      <c r="J14782" t="str" cm="1">
        <f t="array" ref="J14782">_xlfn.IFS(I14782&lt;=3,"small",I14782&lt;=6,"Medium",I14782&lt;=9,"Large")</f>
        <v>Medium</v>
      </c>
      <c r="K14782" s="36">
        <v>45542</v>
      </c>
      <c r="L14782" s="36">
        <v>45546</v>
      </c>
      <c r="M14782" t="s">
        <v>598</v>
      </c>
      <c r="N14782" t="s">
        <v>608</v>
      </c>
      <c r="O14782" s="37" t="str">
        <f t="shared" si="1153"/>
        <v>Cash Payment</v>
      </c>
      <c r="P14782">
        <v>647.70000000000005</v>
      </c>
      <c r="Q14782" s="37" t="str">
        <f>IF(P14782&gt;500,"High","low")</f>
        <v>High</v>
      </c>
      <c r="R14782" s="37" t="str">
        <f t="shared" si="1154"/>
        <v>Good</v>
      </c>
      <c r="S14782" t="s">
        <v>628</v>
      </c>
    </row>
    <row r="14783" spans="1:19" x14ac:dyDescent="0.2">
      <c r="A14783" t="s">
        <v>15394</v>
      </c>
      <c r="B14783" t="s">
        <v>90</v>
      </c>
      <c r="C14783" t="s">
        <v>602</v>
      </c>
      <c r="D14783">
        <v>3103.59</v>
      </c>
      <c r="E14783" s="37" t="str">
        <f t="shared" si="1150"/>
        <v xml:space="preserve"> </v>
      </c>
      <c r="F14783">
        <v>0.42</v>
      </c>
      <c r="G14783" s="37" t="str">
        <f t="shared" si="1151"/>
        <v>Heavy Discount</v>
      </c>
      <c r="H14783" s="37" t="str">
        <f t="shared" si="1152"/>
        <v>High</v>
      </c>
      <c r="I14783">
        <v>1</v>
      </c>
      <c r="J14783" t="str" cm="1">
        <f t="array" ref="J14783">_xlfn.IFS(I14783&lt;=3,"small",I14783&lt;=6,"Medium",I14783&lt;=9,"Large")</f>
        <v>small</v>
      </c>
      <c r="K14783" s="36">
        <v>45587</v>
      </c>
      <c r="L14783" s="36">
        <v>45590</v>
      </c>
      <c r="M14783" t="s">
        <v>598</v>
      </c>
      <c r="N14783" t="s">
        <v>604</v>
      </c>
      <c r="O14783" s="37" t="str">
        <f t="shared" si="1153"/>
        <v>Digital Payment</v>
      </c>
      <c r="P14783">
        <v>279.56</v>
      </c>
      <c r="Q14783" s="37" t="str">
        <f>IF(P14783&gt;500,"High","low")</f>
        <v>low</v>
      </c>
      <c r="R14783" s="37" t="str">
        <f t="shared" si="1154"/>
        <v>AVERAGE</v>
      </c>
      <c r="S14783" t="s">
        <v>609</v>
      </c>
    </row>
    <row r="14784" spans="1:19" x14ac:dyDescent="0.2">
      <c r="A14784" t="s">
        <v>15395</v>
      </c>
      <c r="B14784" t="s">
        <v>75</v>
      </c>
      <c r="C14784" t="s">
        <v>597</v>
      </c>
      <c r="D14784">
        <v>520.48</v>
      </c>
      <c r="E14784" s="37" t="str">
        <f t="shared" si="1150"/>
        <v xml:space="preserve"> </v>
      </c>
      <c r="F14784">
        <v>0.44</v>
      </c>
      <c r="G14784" s="37" t="str">
        <f t="shared" si="1151"/>
        <v>Heavy Discount</v>
      </c>
      <c r="H14784" s="37" t="str">
        <f t="shared" si="1152"/>
        <v>High</v>
      </c>
      <c r="I14784">
        <v>5</v>
      </c>
      <c r="J14784" t="str" cm="1">
        <f t="array" ref="J14784">_xlfn.IFS(I14784&lt;=3,"small",I14784&lt;=6,"Medium",I14784&lt;=9,"Large")</f>
        <v>Medium</v>
      </c>
      <c r="K14784" s="36">
        <v>45310</v>
      </c>
      <c r="L14784" s="36">
        <v>45315</v>
      </c>
      <c r="M14784" t="s">
        <v>598</v>
      </c>
      <c r="N14784" t="s">
        <v>604</v>
      </c>
      <c r="O14784" s="37" t="str">
        <f t="shared" si="1153"/>
        <v>Digital Payment</v>
      </c>
      <c r="P14784">
        <v>137.94999999999999</v>
      </c>
      <c r="Q14784" s="37" t="str">
        <f>IF(P14784&gt;500,"High","low")</f>
        <v>low</v>
      </c>
      <c r="R14784" s="37" t="str">
        <f t="shared" si="1154"/>
        <v>AVERAGE</v>
      </c>
      <c r="S14784" t="s">
        <v>620</v>
      </c>
    </row>
    <row r="14785" spans="1:19" x14ac:dyDescent="0.2">
      <c r="A14785" t="s">
        <v>15396</v>
      </c>
      <c r="B14785" t="s">
        <v>67</v>
      </c>
      <c r="C14785" t="s">
        <v>602</v>
      </c>
      <c r="D14785">
        <v>3831.81</v>
      </c>
      <c r="E14785" s="37" t="str">
        <f t="shared" si="1150"/>
        <v xml:space="preserve"> </v>
      </c>
      <c r="F14785">
        <v>0.23</v>
      </c>
      <c r="G14785" s="37" t="str">
        <f t="shared" si="1151"/>
        <v>Normal Discount</v>
      </c>
      <c r="H14785" s="37" t="str">
        <f t="shared" si="1152"/>
        <v>Medium</v>
      </c>
      <c r="I14785">
        <v>4</v>
      </c>
      <c r="J14785" t="str" cm="1">
        <f t="array" ref="J14785">_xlfn.IFS(I14785&lt;=3,"small",I14785&lt;=6,"Medium",I14785&lt;=9,"Large")</f>
        <v>Medium</v>
      </c>
      <c r="K14785" s="36">
        <v>45605</v>
      </c>
      <c r="L14785" s="36">
        <v>45607</v>
      </c>
      <c r="M14785" t="s">
        <v>612</v>
      </c>
      <c r="N14785" t="s">
        <v>599</v>
      </c>
      <c r="O14785" s="37" t="str">
        <f t="shared" si="1153"/>
        <v>Digital Payment</v>
      </c>
      <c r="P14785">
        <v>877.36</v>
      </c>
      <c r="Q14785" s="37" t="str">
        <f>IF(P14785&gt;500,"High","low")</f>
        <v>High</v>
      </c>
      <c r="R14785" s="37" t="str">
        <f t="shared" si="1154"/>
        <v>Good</v>
      </c>
      <c r="S14785" t="s">
        <v>609</v>
      </c>
    </row>
    <row r="14786" spans="1:19" x14ac:dyDescent="0.2">
      <c r="A14786" t="s">
        <v>15397</v>
      </c>
      <c r="B14786" t="s">
        <v>83</v>
      </c>
      <c r="C14786" t="s">
        <v>617</v>
      </c>
      <c r="D14786">
        <v>2629.34</v>
      </c>
      <c r="E14786" s="37" t="str">
        <f t="shared" si="1150"/>
        <v xml:space="preserve"> </v>
      </c>
      <c r="F14786">
        <v>0.26</v>
      </c>
      <c r="G14786" s="37" t="str">
        <f t="shared" si="1151"/>
        <v>Normal Discount</v>
      </c>
      <c r="H14786" s="37" t="str">
        <f t="shared" si="1152"/>
        <v>Medium</v>
      </c>
      <c r="I14786">
        <v>1</v>
      </c>
      <c r="J14786" t="str" cm="1">
        <f t="array" ref="J14786">_xlfn.IFS(I14786&lt;=3,"small",I14786&lt;=6,"Medium",I14786&lt;=9,"Large")</f>
        <v>small</v>
      </c>
      <c r="K14786" s="36">
        <v>45035</v>
      </c>
      <c r="L14786" s="36">
        <v>45042</v>
      </c>
      <c r="M14786" t="s">
        <v>612</v>
      </c>
      <c r="N14786" t="s">
        <v>608</v>
      </c>
      <c r="O14786" s="37" t="str">
        <f t="shared" si="1153"/>
        <v>Cash Payment</v>
      </c>
      <c r="P14786">
        <v>386.03</v>
      </c>
      <c r="Q14786" s="37" t="str">
        <f>IF(P14786&gt;500,"High","low")</f>
        <v>low</v>
      </c>
      <c r="R14786" s="37" t="str">
        <f t="shared" si="1154"/>
        <v>AVERAGE</v>
      </c>
      <c r="S14786" t="s">
        <v>628</v>
      </c>
    </row>
    <row r="14787" spans="1:19" x14ac:dyDescent="0.2">
      <c r="A14787" t="s">
        <v>15398</v>
      </c>
      <c r="B14787" t="s">
        <v>83</v>
      </c>
      <c r="C14787" t="s">
        <v>617</v>
      </c>
      <c r="D14787">
        <v>2897.65</v>
      </c>
      <c r="E14787" s="37" t="str">
        <f t="shared" ref="E14787:E14850" si="1155">IF(AND(D14787&gt;4000,P14787&gt;800),"Excellent Order"," ")</f>
        <v xml:space="preserve"> </v>
      </c>
      <c r="F14787">
        <v>0.21</v>
      </c>
      <c r="G14787" s="37" t="str">
        <f t="shared" ref="G14787:G14850" si="1156">IF(F14787&gt;30%,"Heavy Discount","Normal Discount")</f>
        <v>Normal Discount</v>
      </c>
      <c r="H14787" s="37" t="str">
        <f t="shared" ref="H14787:H14850" si="1157">IF(F14787&gt;0.4,"High",IF(F14787&gt;=0.2,"Medium","Low"))</f>
        <v>Medium</v>
      </c>
      <c r="I14787">
        <v>1</v>
      </c>
      <c r="J14787" t="str" cm="1">
        <f t="array" ref="J14787">_xlfn.IFS(I14787&lt;=3,"small",I14787&lt;=6,"Medium",I14787&lt;=9,"Large")</f>
        <v>small</v>
      </c>
      <c r="K14787" s="36">
        <v>45264</v>
      </c>
      <c r="L14787" s="36">
        <v>45269</v>
      </c>
      <c r="M14787" t="s">
        <v>603</v>
      </c>
      <c r="N14787" t="s">
        <v>604</v>
      </c>
      <c r="O14787" s="37" t="str">
        <f t="shared" ref="O14787:O14850" si="1158">IF(OR(N14787="Card",N14787="UPI"),"Digital Payment","Cash Payment")</f>
        <v>Digital Payment</v>
      </c>
      <c r="P14787">
        <v>729.51</v>
      </c>
      <c r="Q14787" s="37" t="str">
        <f>IF(P14787&gt;500,"High","low")</f>
        <v>High</v>
      </c>
      <c r="R14787" s="37" t="str">
        <f t="shared" ref="R14787:R14850" si="1159">IF(P14787&gt;1000,"Excellent",IF(P14787&gt;=500,"Good","AVERAGE"))</f>
        <v>Good</v>
      </c>
      <c r="S14787" t="s">
        <v>609</v>
      </c>
    </row>
    <row r="14788" spans="1:19" x14ac:dyDescent="0.2">
      <c r="A14788" t="s">
        <v>15399</v>
      </c>
      <c r="B14788" t="s">
        <v>90</v>
      </c>
      <c r="C14788" t="s">
        <v>602</v>
      </c>
      <c r="D14788">
        <v>3361.08</v>
      </c>
      <c r="E14788" s="37" t="str">
        <f t="shared" si="1155"/>
        <v xml:space="preserve"> </v>
      </c>
      <c r="F14788">
        <v>0.37</v>
      </c>
      <c r="G14788" s="37" t="str">
        <f t="shared" si="1156"/>
        <v>Heavy Discount</v>
      </c>
      <c r="H14788" s="37" t="str">
        <f t="shared" si="1157"/>
        <v>Medium</v>
      </c>
      <c r="I14788">
        <v>5</v>
      </c>
      <c r="J14788" t="str" cm="1">
        <f t="array" ref="J14788">_xlfn.IFS(I14788&lt;=3,"small",I14788&lt;=6,"Medium",I14788&lt;=9,"Large")</f>
        <v>Medium</v>
      </c>
      <c r="K14788" s="36">
        <v>44984</v>
      </c>
      <c r="L14788" s="36">
        <v>44987</v>
      </c>
      <c r="M14788" t="s">
        <v>603</v>
      </c>
      <c r="N14788" t="s">
        <v>599</v>
      </c>
      <c r="O14788" s="37" t="str">
        <f t="shared" si="1158"/>
        <v>Digital Payment</v>
      </c>
      <c r="P14788">
        <v>720.24</v>
      </c>
      <c r="Q14788" s="37" t="str">
        <f>IF(P14788&gt;500,"High","low")</f>
        <v>High</v>
      </c>
      <c r="R14788" s="37" t="str">
        <f t="shared" si="1159"/>
        <v>Good</v>
      </c>
      <c r="S14788" t="s">
        <v>628</v>
      </c>
    </row>
    <row r="14789" spans="1:19" x14ac:dyDescent="0.2">
      <c r="A14789" t="s">
        <v>15400</v>
      </c>
      <c r="B14789" t="s">
        <v>83</v>
      </c>
      <c r="C14789" t="s">
        <v>617</v>
      </c>
      <c r="D14789">
        <v>2550.86</v>
      </c>
      <c r="E14789" s="37" t="str">
        <f t="shared" si="1155"/>
        <v xml:space="preserve"> </v>
      </c>
      <c r="F14789">
        <v>0.3</v>
      </c>
      <c r="G14789" s="37" t="str">
        <f t="shared" si="1156"/>
        <v>Normal Discount</v>
      </c>
      <c r="H14789" s="37" t="str">
        <f t="shared" si="1157"/>
        <v>Medium</v>
      </c>
      <c r="I14789">
        <v>9</v>
      </c>
      <c r="J14789" t="str" cm="1">
        <f t="array" ref="J14789">_xlfn.IFS(I14789&lt;=3,"small",I14789&lt;=6,"Medium",I14789&lt;=9,"Large")</f>
        <v>Large</v>
      </c>
      <c r="K14789" s="36">
        <v>45124</v>
      </c>
      <c r="L14789" s="36">
        <v>45126</v>
      </c>
      <c r="M14789" t="s">
        <v>603</v>
      </c>
      <c r="N14789" t="s">
        <v>599</v>
      </c>
      <c r="O14789" s="37" t="str">
        <f t="shared" si="1158"/>
        <v>Digital Payment</v>
      </c>
      <c r="P14789">
        <v>182.97</v>
      </c>
      <c r="Q14789" s="37" t="str">
        <f>IF(P14789&gt;500,"High","low")</f>
        <v>low</v>
      </c>
      <c r="R14789" s="37" t="str">
        <f t="shared" si="1159"/>
        <v>AVERAGE</v>
      </c>
      <c r="S14789" t="s">
        <v>605</v>
      </c>
    </row>
    <row r="14790" spans="1:19" x14ac:dyDescent="0.2">
      <c r="A14790" t="s">
        <v>15401</v>
      </c>
      <c r="B14790" t="s">
        <v>67</v>
      </c>
      <c r="C14790" t="s">
        <v>607</v>
      </c>
      <c r="D14790">
        <v>2656.29</v>
      </c>
      <c r="E14790" s="37" t="str">
        <f t="shared" si="1155"/>
        <v xml:space="preserve"> </v>
      </c>
      <c r="F14790">
        <v>0.03</v>
      </c>
      <c r="G14790" s="37" t="str">
        <f t="shared" si="1156"/>
        <v>Normal Discount</v>
      </c>
      <c r="H14790" s="37" t="str">
        <f t="shared" si="1157"/>
        <v>Low</v>
      </c>
      <c r="I14790">
        <v>1</v>
      </c>
      <c r="J14790" t="str" cm="1">
        <f t="array" ref="J14790">_xlfn.IFS(I14790&lt;=3,"small",I14790&lt;=6,"Medium",I14790&lt;=9,"Large")</f>
        <v>small</v>
      </c>
      <c r="K14790" s="36">
        <v>45611</v>
      </c>
      <c r="L14790" s="36">
        <v>45618</v>
      </c>
      <c r="M14790" t="s">
        <v>603</v>
      </c>
      <c r="N14790" t="s">
        <v>599</v>
      </c>
      <c r="O14790" s="37" t="str">
        <f t="shared" si="1158"/>
        <v>Digital Payment</v>
      </c>
      <c r="P14790">
        <v>782.89</v>
      </c>
      <c r="Q14790" s="37" t="str">
        <f>IF(P14790&gt;500,"High","low")</f>
        <v>High</v>
      </c>
      <c r="R14790" s="37" t="str">
        <f t="shared" si="1159"/>
        <v>Good</v>
      </c>
      <c r="S14790" t="s">
        <v>620</v>
      </c>
    </row>
    <row r="14791" spans="1:19" x14ac:dyDescent="0.2">
      <c r="A14791" t="s">
        <v>15402</v>
      </c>
      <c r="B14791" t="s">
        <v>75</v>
      </c>
      <c r="C14791" t="s">
        <v>614</v>
      </c>
      <c r="D14791">
        <v>2548.21</v>
      </c>
      <c r="E14791" s="37" t="str">
        <f t="shared" si="1155"/>
        <v xml:space="preserve"> </v>
      </c>
      <c r="F14791">
        <v>7.0000000000000007E-2</v>
      </c>
      <c r="G14791" s="37" t="str">
        <f t="shared" si="1156"/>
        <v>Normal Discount</v>
      </c>
      <c r="H14791" s="37" t="str">
        <f t="shared" si="1157"/>
        <v>Low</v>
      </c>
      <c r="I14791">
        <v>8</v>
      </c>
      <c r="J14791" t="str" cm="1">
        <f t="array" ref="J14791">_xlfn.IFS(I14791&lt;=3,"small",I14791&lt;=6,"Medium",I14791&lt;=9,"Large")</f>
        <v>Large</v>
      </c>
      <c r="K14791" s="36">
        <v>45566</v>
      </c>
      <c r="L14791" s="36">
        <v>45572</v>
      </c>
      <c r="M14791" t="s">
        <v>598</v>
      </c>
      <c r="N14791" t="s">
        <v>608</v>
      </c>
      <c r="O14791" s="37" t="str">
        <f t="shared" si="1158"/>
        <v>Cash Payment</v>
      </c>
      <c r="P14791">
        <v>300.16000000000003</v>
      </c>
      <c r="Q14791" s="37" t="str">
        <f>IF(P14791&gt;500,"High","low")</f>
        <v>low</v>
      </c>
      <c r="R14791" s="37" t="str">
        <f t="shared" si="1159"/>
        <v>AVERAGE</v>
      </c>
      <c r="S14791" t="s">
        <v>628</v>
      </c>
    </row>
    <row r="14792" spans="1:19" x14ac:dyDescent="0.2">
      <c r="A14792" t="s">
        <v>15403</v>
      </c>
      <c r="B14792" t="s">
        <v>90</v>
      </c>
      <c r="C14792" t="s">
        <v>602</v>
      </c>
      <c r="D14792">
        <v>2534.41</v>
      </c>
      <c r="E14792" s="37" t="str">
        <f t="shared" si="1155"/>
        <v xml:space="preserve"> </v>
      </c>
      <c r="F14792">
        <v>0.1</v>
      </c>
      <c r="G14792" s="37" t="str">
        <f t="shared" si="1156"/>
        <v>Normal Discount</v>
      </c>
      <c r="H14792" s="37" t="str">
        <f t="shared" si="1157"/>
        <v>Low</v>
      </c>
      <c r="I14792">
        <v>9</v>
      </c>
      <c r="J14792" t="str" cm="1">
        <f t="array" ref="J14792">_xlfn.IFS(I14792&lt;=3,"small",I14792&lt;=6,"Medium",I14792&lt;=9,"Large")</f>
        <v>Large</v>
      </c>
      <c r="K14792" s="36">
        <v>45261</v>
      </c>
      <c r="L14792" s="36">
        <v>45265</v>
      </c>
      <c r="M14792" t="s">
        <v>612</v>
      </c>
      <c r="N14792" t="s">
        <v>604</v>
      </c>
      <c r="O14792" s="37" t="str">
        <f t="shared" si="1158"/>
        <v>Digital Payment</v>
      </c>
      <c r="P14792">
        <v>473.47</v>
      </c>
      <c r="Q14792" s="37" t="str">
        <f>IF(P14792&gt;500,"High","low")</f>
        <v>low</v>
      </c>
      <c r="R14792" s="37" t="str">
        <f t="shared" si="1159"/>
        <v>AVERAGE</v>
      </c>
      <c r="S14792" t="s">
        <v>628</v>
      </c>
    </row>
    <row r="14793" spans="1:19" x14ac:dyDescent="0.2">
      <c r="A14793" t="s">
        <v>15404</v>
      </c>
      <c r="B14793" t="s">
        <v>67</v>
      </c>
      <c r="C14793" t="s">
        <v>607</v>
      </c>
      <c r="D14793">
        <v>3776.01</v>
      </c>
      <c r="E14793" s="37" t="str">
        <f t="shared" si="1155"/>
        <v xml:space="preserve"> </v>
      </c>
      <c r="F14793">
        <v>0.34</v>
      </c>
      <c r="G14793" s="37" t="str">
        <f t="shared" si="1156"/>
        <v>Heavy Discount</v>
      </c>
      <c r="H14793" s="37" t="str">
        <f t="shared" si="1157"/>
        <v>Medium</v>
      </c>
      <c r="I14793">
        <v>4</v>
      </c>
      <c r="J14793" t="str" cm="1">
        <f t="array" ref="J14793">_xlfn.IFS(I14793&lt;=3,"small",I14793&lt;=6,"Medium",I14793&lt;=9,"Large")</f>
        <v>Medium</v>
      </c>
      <c r="K14793" s="36">
        <v>45423</v>
      </c>
      <c r="L14793" s="36">
        <v>45425</v>
      </c>
      <c r="M14793" t="s">
        <v>612</v>
      </c>
      <c r="N14793" t="s">
        <v>604</v>
      </c>
      <c r="O14793" s="37" t="str">
        <f t="shared" si="1158"/>
        <v>Digital Payment</v>
      </c>
      <c r="P14793">
        <v>1009.37</v>
      </c>
      <c r="Q14793" s="37" t="str">
        <f>IF(P14793&gt;500,"High","low")</f>
        <v>High</v>
      </c>
      <c r="R14793" s="37" t="str">
        <f t="shared" si="1159"/>
        <v>Excellent</v>
      </c>
      <c r="S14793" t="s">
        <v>628</v>
      </c>
    </row>
    <row r="14794" spans="1:19" x14ac:dyDescent="0.2">
      <c r="A14794" t="s">
        <v>15405</v>
      </c>
      <c r="B14794" t="s">
        <v>90</v>
      </c>
      <c r="C14794" t="s">
        <v>607</v>
      </c>
      <c r="D14794">
        <v>2193.3200000000002</v>
      </c>
      <c r="E14794" s="37" t="str">
        <f t="shared" si="1155"/>
        <v xml:space="preserve"> </v>
      </c>
      <c r="F14794">
        <v>0.05</v>
      </c>
      <c r="G14794" s="37" t="str">
        <f t="shared" si="1156"/>
        <v>Normal Discount</v>
      </c>
      <c r="H14794" s="37" t="str">
        <f t="shared" si="1157"/>
        <v>Low</v>
      </c>
      <c r="I14794">
        <v>8</v>
      </c>
      <c r="J14794" t="str" cm="1">
        <f t="array" ref="J14794">_xlfn.IFS(I14794&lt;=3,"small",I14794&lt;=6,"Medium",I14794&lt;=9,"Large")</f>
        <v>Large</v>
      </c>
      <c r="K14794" s="36">
        <v>45244</v>
      </c>
      <c r="L14794" s="36">
        <v>45245</v>
      </c>
      <c r="M14794" t="s">
        <v>612</v>
      </c>
      <c r="N14794" t="s">
        <v>599</v>
      </c>
      <c r="O14794" s="37" t="str">
        <f t="shared" si="1158"/>
        <v>Digital Payment</v>
      </c>
      <c r="P14794">
        <v>267.97000000000003</v>
      </c>
      <c r="Q14794" s="37" t="str">
        <f>IF(P14794&gt;500,"High","low")</f>
        <v>low</v>
      </c>
      <c r="R14794" s="37" t="str">
        <f t="shared" si="1159"/>
        <v>AVERAGE</v>
      </c>
      <c r="S14794" t="s">
        <v>620</v>
      </c>
    </row>
    <row r="14795" spans="1:19" x14ac:dyDescent="0.2">
      <c r="A14795" t="s">
        <v>15406</v>
      </c>
      <c r="B14795" t="s">
        <v>75</v>
      </c>
      <c r="C14795" t="s">
        <v>607</v>
      </c>
      <c r="D14795">
        <v>114.18</v>
      </c>
      <c r="E14795" s="37" t="str">
        <f t="shared" si="1155"/>
        <v xml:space="preserve"> </v>
      </c>
      <c r="F14795">
        <v>0.27</v>
      </c>
      <c r="G14795" s="37" t="str">
        <f t="shared" si="1156"/>
        <v>Normal Discount</v>
      </c>
      <c r="H14795" s="37" t="str">
        <f t="shared" si="1157"/>
        <v>Medium</v>
      </c>
      <c r="I14795">
        <v>1</v>
      </c>
      <c r="J14795" t="str" cm="1">
        <f t="array" ref="J14795">_xlfn.IFS(I14795&lt;=3,"small",I14795&lt;=6,"Medium",I14795&lt;=9,"Large")</f>
        <v>small</v>
      </c>
      <c r="K14795" s="36">
        <v>45092</v>
      </c>
      <c r="L14795" s="36">
        <v>45095</v>
      </c>
      <c r="M14795" t="s">
        <v>612</v>
      </c>
      <c r="N14795" t="s">
        <v>599</v>
      </c>
      <c r="O14795" s="37" t="str">
        <f t="shared" si="1158"/>
        <v>Digital Payment</v>
      </c>
      <c r="P14795">
        <v>12.3</v>
      </c>
      <c r="Q14795" s="37" t="str">
        <f>IF(P14795&gt;500,"High","low")</f>
        <v>low</v>
      </c>
      <c r="R14795" s="37" t="str">
        <f t="shared" si="1159"/>
        <v>AVERAGE</v>
      </c>
      <c r="S14795" t="s">
        <v>609</v>
      </c>
    </row>
    <row r="14796" spans="1:19" x14ac:dyDescent="0.2">
      <c r="A14796" t="s">
        <v>15407</v>
      </c>
      <c r="B14796" t="s">
        <v>90</v>
      </c>
      <c r="C14796" t="s">
        <v>597</v>
      </c>
      <c r="D14796">
        <v>3099.11</v>
      </c>
      <c r="E14796" s="37" t="str">
        <f t="shared" si="1155"/>
        <v xml:space="preserve"> </v>
      </c>
      <c r="F14796">
        <v>0.42</v>
      </c>
      <c r="G14796" s="37" t="str">
        <f t="shared" si="1156"/>
        <v>Heavy Discount</v>
      </c>
      <c r="H14796" s="37" t="str">
        <f t="shared" si="1157"/>
        <v>High</v>
      </c>
      <c r="I14796">
        <v>4</v>
      </c>
      <c r="J14796" t="str" cm="1">
        <f t="array" ref="J14796">_xlfn.IFS(I14796&lt;=3,"small",I14796&lt;=6,"Medium",I14796&lt;=9,"Large")</f>
        <v>Medium</v>
      </c>
      <c r="K14796" s="36">
        <v>45502</v>
      </c>
      <c r="L14796" s="36">
        <v>45505</v>
      </c>
      <c r="M14796" t="s">
        <v>598</v>
      </c>
      <c r="N14796" t="s">
        <v>604</v>
      </c>
      <c r="O14796" s="37" t="str">
        <f t="shared" si="1158"/>
        <v>Digital Payment</v>
      </c>
      <c r="P14796">
        <v>585.22</v>
      </c>
      <c r="Q14796" s="37" t="str">
        <f>IF(P14796&gt;500,"High","low")</f>
        <v>High</v>
      </c>
      <c r="R14796" s="37" t="str">
        <f t="shared" si="1159"/>
        <v>Good</v>
      </c>
      <c r="S14796" t="s">
        <v>628</v>
      </c>
    </row>
    <row r="14797" spans="1:19" x14ac:dyDescent="0.2">
      <c r="A14797" t="s">
        <v>15408</v>
      </c>
      <c r="B14797" t="s">
        <v>83</v>
      </c>
      <c r="C14797" t="s">
        <v>602</v>
      </c>
      <c r="D14797">
        <v>4768.05</v>
      </c>
      <c r="E14797" s="37" t="str">
        <f t="shared" si="1155"/>
        <v xml:space="preserve"> </v>
      </c>
      <c r="F14797">
        <v>0.47</v>
      </c>
      <c r="G14797" s="37" t="str">
        <f t="shared" si="1156"/>
        <v>Heavy Discount</v>
      </c>
      <c r="H14797" s="37" t="str">
        <f t="shared" si="1157"/>
        <v>High</v>
      </c>
      <c r="I14797">
        <v>2</v>
      </c>
      <c r="J14797" t="str" cm="1">
        <f t="array" ref="J14797">_xlfn.IFS(I14797&lt;=3,"small",I14797&lt;=6,"Medium",I14797&lt;=9,"Large")</f>
        <v>small</v>
      </c>
      <c r="K14797" s="36">
        <v>45546</v>
      </c>
      <c r="L14797" s="36">
        <v>45551</v>
      </c>
      <c r="M14797" t="s">
        <v>603</v>
      </c>
      <c r="N14797" t="s">
        <v>599</v>
      </c>
      <c r="O14797" s="37" t="str">
        <f t="shared" si="1158"/>
        <v>Digital Payment</v>
      </c>
      <c r="P14797">
        <v>657.8</v>
      </c>
      <c r="Q14797" s="37" t="str">
        <f>IF(P14797&gt;500,"High","low")</f>
        <v>High</v>
      </c>
      <c r="R14797" s="37" t="str">
        <f t="shared" si="1159"/>
        <v>Good</v>
      </c>
      <c r="S14797" t="s">
        <v>609</v>
      </c>
    </row>
    <row r="14798" spans="1:19" x14ac:dyDescent="0.2">
      <c r="A14798" t="s">
        <v>15409</v>
      </c>
      <c r="B14798" t="s">
        <v>83</v>
      </c>
      <c r="C14798" t="s">
        <v>602</v>
      </c>
      <c r="D14798">
        <v>1359.1</v>
      </c>
      <c r="E14798" s="37" t="str">
        <f t="shared" si="1155"/>
        <v xml:space="preserve"> </v>
      </c>
      <c r="F14798">
        <v>0.21</v>
      </c>
      <c r="G14798" s="37" t="str">
        <f t="shared" si="1156"/>
        <v>Normal Discount</v>
      </c>
      <c r="H14798" s="37" t="str">
        <f t="shared" si="1157"/>
        <v>Medium</v>
      </c>
      <c r="I14798">
        <v>4</v>
      </c>
      <c r="J14798" t="str" cm="1">
        <f t="array" ref="J14798">_xlfn.IFS(I14798&lt;=3,"small",I14798&lt;=6,"Medium",I14798&lt;=9,"Large")</f>
        <v>Medium</v>
      </c>
      <c r="K14798" s="36">
        <v>45307</v>
      </c>
      <c r="L14798" s="36">
        <v>45313</v>
      </c>
      <c r="M14798" t="s">
        <v>612</v>
      </c>
      <c r="N14798" t="s">
        <v>599</v>
      </c>
      <c r="O14798" s="37" t="str">
        <f t="shared" si="1158"/>
        <v>Digital Payment</v>
      </c>
      <c r="P14798">
        <v>303.04000000000002</v>
      </c>
      <c r="Q14798" s="37" t="str">
        <f>IF(P14798&gt;500,"High","low")</f>
        <v>low</v>
      </c>
      <c r="R14798" s="37" t="str">
        <f t="shared" si="1159"/>
        <v>AVERAGE</v>
      </c>
      <c r="S14798" t="s">
        <v>600</v>
      </c>
    </row>
    <row r="14799" spans="1:19" x14ac:dyDescent="0.2">
      <c r="A14799" t="s">
        <v>15410</v>
      </c>
      <c r="B14799" t="s">
        <v>90</v>
      </c>
      <c r="C14799" t="s">
        <v>602</v>
      </c>
      <c r="D14799">
        <v>4099.3500000000004</v>
      </c>
      <c r="E14799" s="37" t="str">
        <f t="shared" si="1155"/>
        <v xml:space="preserve"> </v>
      </c>
      <c r="F14799">
        <v>0.27</v>
      </c>
      <c r="G14799" s="37" t="str">
        <f t="shared" si="1156"/>
        <v>Normal Discount</v>
      </c>
      <c r="H14799" s="37" t="str">
        <f t="shared" si="1157"/>
        <v>Medium</v>
      </c>
      <c r="I14799">
        <v>2</v>
      </c>
      <c r="J14799" t="str" cm="1">
        <f t="array" ref="J14799">_xlfn.IFS(I14799&lt;=3,"small",I14799&lt;=6,"Medium",I14799&lt;=9,"Large")</f>
        <v>small</v>
      </c>
      <c r="K14799" s="36">
        <v>45554</v>
      </c>
      <c r="L14799" s="36">
        <v>45555</v>
      </c>
      <c r="M14799" t="s">
        <v>612</v>
      </c>
      <c r="N14799" t="s">
        <v>608</v>
      </c>
      <c r="O14799" s="37" t="str">
        <f t="shared" si="1158"/>
        <v>Cash Payment</v>
      </c>
      <c r="P14799">
        <v>534.76</v>
      </c>
      <c r="Q14799" s="37" t="str">
        <f>IF(P14799&gt;500,"High","low")</f>
        <v>High</v>
      </c>
      <c r="R14799" s="37" t="str">
        <f t="shared" si="1159"/>
        <v>Good</v>
      </c>
      <c r="S14799" t="s">
        <v>605</v>
      </c>
    </row>
    <row r="14800" spans="1:19" x14ac:dyDescent="0.2">
      <c r="A14800" t="s">
        <v>15411</v>
      </c>
      <c r="B14800" t="s">
        <v>75</v>
      </c>
      <c r="C14800" t="s">
        <v>614</v>
      </c>
      <c r="D14800">
        <v>2331.9</v>
      </c>
      <c r="E14800" s="37" t="str">
        <f t="shared" si="1155"/>
        <v xml:space="preserve"> </v>
      </c>
      <c r="F14800">
        <v>0.42</v>
      </c>
      <c r="G14800" s="37" t="str">
        <f t="shared" si="1156"/>
        <v>Heavy Discount</v>
      </c>
      <c r="H14800" s="37" t="str">
        <f t="shared" si="1157"/>
        <v>High</v>
      </c>
      <c r="I14800">
        <v>3</v>
      </c>
      <c r="J14800" t="str" cm="1">
        <f t="array" ref="J14800">_xlfn.IFS(I14800&lt;=3,"small",I14800&lt;=6,"Medium",I14800&lt;=9,"Large")</f>
        <v>small</v>
      </c>
      <c r="K14800" s="36">
        <v>45270</v>
      </c>
      <c r="L14800" s="36">
        <v>45275</v>
      </c>
      <c r="M14800" t="s">
        <v>612</v>
      </c>
      <c r="N14800" t="s">
        <v>604</v>
      </c>
      <c r="O14800" s="37" t="str">
        <f t="shared" si="1158"/>
        <v>Digital Payment</v>
      </c>
      <c r="P14800">
        <v>693.31</v>
      </c>
      <c r="Q14800" s="37" t="str">
        <f>IF(P14800&gt;500,"High","low")</f>
        <v>High</v>
      </c>
      <c r="R14800" s="37" t="str">
        <f t="shared" si="1159"/>
        <v>Good</v>
      </c>
      <c r="S14800" t="s">
        <v>600</v>
      </c>
    </row>
    <row r="14801" spans="1:19" x14ac:dyDescent="0.2">
      <c r="A14801" t="s">
        <v>15412</v>
      </c>
      <c r="B14801" t="s">
        <v>75</v>
      </c>
      <c r="C14801" t="s">
        <v>607</v>
      </c>
      <c r="D14801">
        <v>3250.61</v>
      </c>
      <c r="E14801" s="37" t="str">
        <f t="shared" si="1155"/>
        <v xml:space="preserve"> </v>
      </c>
      <c r="F14801">
        <v>0.47</v>
      </c>
      <c r="G14801" s="37" t="str">
        <f t="shared" si="1156"/>
        <v>Heavy Discount</v>
      </c>
      <c r="H14801" s="37" t="str">
        <f t="shared" si="1157"/>
        <v>High</v>
      </c>
      <c r="I14801">
        <v>1</v>
      </c>
      <c r="J14801" t="str" cm="1">
        <f t="array" ref="J14801">_xlfn.IFS(I14801&lt;=3,"small",I14801&lt;=6,"Medium",I14801&lt;=9,"Large")</f>
        <v>small</v>
      </c>
      <c r="K14801" s="36">
        <v>45637</v>
      </c>
      <c r="L14801" s="36">
        <v>45638</v>
      </c>
      <c r="M14801" t="s">
        <v>603</v>
      </c>
      <c r="N14801" t="s">
        <v>608</v>
      </c>
      <c r="O14801" s="37" t="str">
        <f t="shared" si="1158"/>
        <v>Cash Payment</v>
      </c>
      <c r="P14801">
        <v>392.35</v>
      </c>
      <c r="Q14801" s="37" t="str">
        <f>IF(P14801&gt;500,"High","low")</f>
        <v>low</v>
      </c>
      <c r="R14801" s="37" t="str">
        <f t="shared" si="1159"/>
        <v>AVERAGE</v>
      </c>
      <c r="S14801" t="s">
        <v>600</v>
      </c>
    </row>
    <row r="14802" spans="1:19" x14ac:dyDescent="0.2">
      <c r="A14802" t="s">
        <v>15413</v>
      </c>
      <c r="B14802" t="s">
        <v>83</v>
      </c>
      <c r="C14802" t="s">
        <v>602</v>
      </c>
      <c r="D14802">
        <v>4465.28</v>
      </c>
      <c r="E14802" s="37" t="str">
        <f t="shared" si="1155"/>
        <v>Excellent Order</v>
      </c>
      <c r="F14802">
        <v>0.19</v>
      </c>
      <c r="G14802" s="37" t="str">
        <f t="shared" si="1156"/>
        <v>Normal Discount</v>
      </c>
      <c r="H14802" s="37" t="str">
        <f t="shared" si="1157"/>
        <v>Low</v>
      </c>
      <c r="I14802">
        <v>3</v>
      </c>
      <c r="J14802" t="str" cm="1">
        <f t="array" ref="J14802">_xlfn.IFS(I14802&lt;=3,"small",I14802&lt;=6,"Medium",I14802&lt;=9,"Large")</f>
        <v>small</v>
      </c>
      <c r="K14802" s="36">
        <v>45641</v>
      </c>
      <c r="L14802" s="36">
        <v>45645</v>
      </c>
      <c r="M14802" t="s">
        <v>612</v>
      </c>
      <c r="N14802" t="s">
        <v>599</v>
      </c>
      <c r="O14802" s="37" t="str">
        <f t="shared" si="1158"/>
        <v>Digital Payment</v>
      </c>
      <c r="P14802">
        <v>934.81</v>
      </c>
      <c r="Q14802" s="37" t="str">
        <f>IF(P14802&gt;500,"High","low")</f>
        <v>High</v>
      </c>
      <c r="R14802" s="37" t="str">
        <f t="shared" si="1159"/>
        <v>Good</v>
      </c>
      <c r="S14802" t="s">
        <v>620</v>
      </c>
    </row>
    <row r="14803" spans="1:19" x14ac:dyDescent="0.2">
      <c r="A14803" t="s">
        <v>15414</v>
      </c>
      <c r="B14803" t="s">
        <v>75</v>
      </c>
      <c r="C14803" t="s">
        <v>617</v>
      </c>
      <c r="D14803">
        <v>3877.97</v>
      </c>
      <c r="E14803" s="37" t="str">
        <f t="shared" si="1155"/>
        <v xml:space="preserve"> </v>
      </c>
      <c r="F14803">
        <v>0.18</v>
      </c>
      <c r="G14803" s="37" t="str">
        <f t="shared" si="1156"/>
        <v>Normal Discount</v>
      </c>
      <c r="H14803" s="37" t="str">
        <f t="shared" si="1157"/>
        <v>Low</v>
      </c>
      <c r="I14803">
        <v>7</v>
      </c>
      <c r="J14803" t="str" cm="1">
        <f t="array" ref="J14803">_xlfn.IFS(I14803&lt;=3,"small",I14803&lt;=6,"Medium",I14803&lt;=9,"Large")</f>
        <v>Large</v>
      </c>
      <c r="K14803" s="36">
        <v>45516</v>
      </c>
      <c r="L14803" s="36">
        <v>45518</v>
      </c>
      <c r="M14803" t="s">
        <v>603</v>
      </c>
      <c r="N14803" t="s">
        <v>599</v>
      </c>
      <c r="O14803" s="37" t="str">
        <f t="shared" si="1158"/>
        <v>Digital Payment</v>
      </c>
      <c r="P14803">
        <v>457.08</v>
      </c>
      <c r="Q14803" s="37" t="str">
        <f>IF(P14803&gt;500,"High","low")</f>
        <v>low</v>
      </c>
      <c r="R14803" s="37" t="str">
        <f t="shared" si="1159"/>
        <v>AVERAGE</v>
      </c>
      <c r="S14803" t="s">
        <v>605</v>
      </c>
    </row>
    <row r="14804" spans="1:19" x14ac:dyDescent="0.2">
      <c r="A14804" t="s">
        <v>15415</v>
      </c>
      <c r="B14804" t="s">
        <v>90</v>
      </c>
      <c r="C14804" t="s">
        <v>597</v>
      </c>
      <c r="D14804">
        <v>4434.41</v>
      </c>
      <c r="E14804" s="37" t="str">
        <f t="shared" si="1155"/>
        <v xml:space="preserve"> </v>
      </c>
      <c r="F14804">
        <v>0.23</v>
      </c>
      <c r="G14804" s="37" t="str">
        <f t="shared" si="1156"/>
        <v>Normal Discount</v>
      </c>
      <c r="H14804" s="37" t="str">
        <f t="shared" si="1157"/>
        <v>Medium</v>
      </c>
      <c r="I14804">
        <v>8</v>
      </c>
      <c r="J14804" t="str" cm="1">
        <f t="array" ref="J14804">_xlfn.IFS(I14804&lt;=3,"small",I14804&lt;=6,"Medium",I14804&lt;=9,"Large")</f>
        <v>Large</v>
      </c>
      <c r="K14804" s="36">
        <v>45330</v>
      </c>
      <c r="L14804" s="36">
        <v>45334</v>
      </c>
      <c r="M14804" t="s">
        <v>598</v>
      </c>
      <c r="N14804" t="s">
        <v>604</v>
      </c>
      <c r="O14804" s="37" t="str">
        <f t="shared" si="1158"/>
        <v>Digital Payment</v>
      </c>
      <c r="P14804">
        <v>733.27</v>
      </c>
      <c r="Q14804" s="37" t="str">
        <f>IF(P14804&gt;500,"High","low")</f>
        <v>High</v>
      </c>
      <c r="R14804" s="37" t="str">
        <f t="shared" si="1159"/>
        <v>Good</v>
      </c>
      <c r="S14804" t="s">
        <v>628</v>
      </c>
    </row>
    <row r="14805" spans="1:19" x14ac:dyDescent="0.2">
      <c r="A14805" t="s">
        <v>15416</v>
      </c>
      <c r="B14805" t="s">
        <v>67</v>
      </c>
      <c r="C14805" t="s">
        <v>614</v>
      </c>
      <c r="D14805">
        <v>146.65</v>
      </c>
      <c r="E14805" s="37" t="str">
        <f t="shared" si="1155"/>
        <v xml:space="preserve"> </v>
      </c>
      <c r="F14805">
        <v>0.13</v>
      </c>
      <c r="G14805" s="37" t="str">
        <f t="shared" si="1156"/>
        <v>Normal Discount</v>
      </c>
      <c r="H14805" s="37" t="str">
        <f t="shared" si="1157"/>
        <v>Low</v>
      </c>
      <c r="I14805">
        <v>6</v>
      </c>
      <c r="J14805" t="str" cm="1">
        <f t="array" ref="J14805">_xlfn.IFS(I14805&lt;=3,"small",I14805&lt;=6,"Medium",I14805&lt;=9,"Large")</f>
        <v>Medium</v>
      </c>
      <c r="K14805" s="36">
        <v>45466</v>
      </c>
      <c r="L14805" s="36">
        <v>45468</v>
      </c>
      <c r="M14805" t="s">
        <v>612</v>
      </c>
      <c r="N14805" t="s">
        <v>608</v>
      </c>
      <c r="O14805" s="37" t="str">
        <f t="shared" si="1158"/>
        <v>Cash Payment</v>
      </c>
      <c r="P14805">
        <v>18.010000000000002</v>
      </c>
      <c r="Q14805" s="37" t="str">
        <f>IF(P14805&gt;500,"High","low")</f>
        <v>low</v>
      </c>
      <c r="R14805" s="37" t="str">
        <f t="shared" si="1159"/>
        <v>AVERAGE</v>
      </c>
      <c r="S14805" t="s">
        <v>628</v>
      </c>
    </row>
    <row r="14806" spans="1:19" x14ac:dyDescent="0.2">
      <c r="A14806" t="s">
        <v>15417</v>
      </c>
      <c r="B14806" t="s">
        <v>90</v>
      </c>
      <c r="C14806" t="s">
        <v>597</v>
      </c>
      <c r="D14806">
        <v>1017.84</v>
      </c>
      <c r="E14806" s="37" t="str">
        <f t="shared" si="1155"/>
        <v xml:space="preserve"> </v>
      </c>
      <c r="F14806">
        <v>0.43</v>
      </c>
      <c r="G14806" s="37" t="str">
        <f t="shared" si="1156"/>
        <v>Heavy Discount</v>
      </c>
      <c r="H14806" s="37" t="str">
        <f t="shared" si="1157"/>
        <v>High</v>
      </c>
      <c r="I14806">
        <v>1</v>
      </c>
      <c r="J14806" t="str" cm="1">
        <f t="array" ref="J14806">_xlfn.IFS(I14806&lt;=3,"small",I14806&lt;=6,"Medium",I14806&lt;=9,"Large")</f>
        <v>small</v>
      </c>
      <c r="K14806" s="36">
        <v>45156</v>
      </c>
      <c r="L14806" s="36">
        <v>45163</v>
      </c>
      <c r="M14806" t="s">
        <v>603</v>
      </c>
      <c r="N14806" t="s">
        <v>599</v>
      </c>
      <c r="O14806" s="37" t="str">
        <f t="shared" si="1158"/>
        <v>Digital Payment</v>
      </c>
      <c r="P14806">
        <v>156.72</v>
      </c>
      <c r="Q14806" s="37" t="str">
        <f>IF(P14806&gt;500,"High","low")</f>
        <v>low</v>
      </c>
      <c r="R14806" s="37" t="str">
        <f t="shared" si="1159"/>
        <v>AVERAGE</v>
      </c>
      <c r="S14806" t="s">
        <v>628</v>
      </c>
    </row>
    <row r="14807" spans="1:19" x14ac:dyDescent="0.2">
      <c r="A14807" t="s">
        <v>15418</v>
      </c>
      <c r="B14807" t="s">
        <v>83</v>
      </c>
      <c r="C14807" t="s">
        <v>607</v>
      </c>
      <c r="D14807">
        <v>2175.12</v>
      </c>
      <c r="E14807" s="37" t="str">
        <f t="shared" si="1155"/>
        <v xml:space="preserve"> </v>
      </c>
      <c r="F14807">
        <v>0.16</v>
      </c>
      <c r="G14807" s="37" t="str">
        <f t="shared" si="1156"/>
        <v>Normal Discount</v>
      </c>
      <c r="H14807" s="37" t="str">
        <f t="shared" si="1157"/>
        <v>Low</v>
      </c>
      <c r="I14807">
        <v>7</v>
      </c>
      <c r="J14807" t="str" cm="1">
        <f t="array" ref="J14807">_xlfn.IFS(I14807&lt;=3,"small",I14807&lt;=6,"Medium",I14807&lt;=9,"Large")</f>
        <v>Large</v>
      </c>
      <c r="K14807" s="36">
        <v>45432</v>
      </c>
      <c r="L14807" s="36">
        <v>45437</v>
      </c>
      <c r="M14807" t="s">
        <v>603</v>
      </c>
      <c r="N14807" t="s">
        <v>604</v>
      </c>
      <c r="O14807" s="37" t="str">
        <f t="shared" si="1158"/>
        <v>Digital Payment</v>
      </c>
      <c r="P14807">
        <v>452.39</v>
      </c>
      <c r="Q14807" s="37" t="str">
        <f>IF(P14807&gt;500,"High","low")</f>
        <v>low</v>
      </c>
      <c r="R14807" s="37" t="str">
        <f t="shared" si="1159"/>
        <v>AVERAGE</v>
      </c>
      <c r="S14807" t="s">
        <v>615</v>
      </c>
    </row>
    <row r="14808" spans="1:19" x14ac:dyDescent="0.2">
      <c r="A14808" t="s">
        <v>15419</v>
      </c>
      <c r="B14808" t="s">
        <v>83</v>
      </c>
      <c r="C14808" t="s">
        <v>617</v>
      </c>
      <c r="D14808">
        <v>4254.42</v>
      </c>
      <c r="E14808" s="37" t="str">
        <f t="shared" si="1155"/>
        <v>Excellent Order</v>
      </c>
      <c r="F14808">
        <v>0.22</v>
      </c>
      <c r="G14808" s="37" t="str">
        <f t="shared" si="1156"/>
        <v>Normal Discount</v>
      </c>
      <c r="H14808" s="37" t="str">
        <f t="shared" si="1157"/>
        <v>Medium</v>
      </c>
      <c r="I14808">
        <v>3</v>
      </c>
      <c r="J14808" t="str" cm="1">
        <f t="array" ref="J14808">_xlfn.IFS(I14808&lt;=3,"small",I14808&lt;=6,"Medium",I14808&lt;=9,"Large")</f>
        <v>small</v>
      </c>
      <c r="K14808" s="36">
        <v>45127</v>
      </c>
      <c r="L14808" s="36">
        <v>45128</v>
      </c>
      <c r="M14808" t="s">
        <v>612</v>
      </c>
      <c r="N14808" t="s">
        <v>599</v>
      </c>
      <c r="O14808" s="37" t="str">
        <f t="shared" si="1158"/>
        <v>Digital Payment</v>
      </c>
      <c r="P14808">
        <v>963.4</v>
      </c>
      <c r="Q14808" s="37" t="str">
        <f>IF(P14808&gt;500,"High","low")</f>
        <v>High</v>
      </c>
      <c r="R14808" s="37" t="str">
        <f t="shared" si="1159"/>
        <v>Good</v>
      </c>
      <c r="S14808" t="s">
        <v>600</v>
      </c>
    </row>
    <row r="14809" spans="1:19" x14ac:dyDescent="0.2">
      <c r="A14809" t="s">
        <v>15420</v>
      </c>
      <c r="B14809" t="s">
        <v>83</v>
      </c>
      <c r="C14809" t="s">
        <v>607</v>
      </c>
      <c r="D14809">
        <v>4208.12</v>
      </c>
      <c r="E14809" s="37" t="str">
        <f t="shared" si="1155"/>
        <v xml:space="preserve"> </v>
      </c>
      <c r="F14809">
        <v>0.16</v>
      </c>
      <c r="G14809" s="37" t="str">
        <f t="shared" si="1156"/>
        <v>Normal Discount</v>
      </c>
      <c r="H14809" s="37" t="str">
        <f t="shared" si="1157"/>
        <v>Low</v>
      </c>
      <c r="I14809">
        <v>9</v>
      </c>
      <c r="J14809" t="str" cm="1">
        <f t="array" ref="J14809">_xlfn.IFS(I14809&lt;=3,"small",I14809&lt;=6,"Medium",I14809&lt;=9,"Large")</f>
        <v>Large</v>
      </c>
      <c r="K14809" s="36">
        <v>44946</v>
      </c>
      <c r="L14809" s="36">
        <v>44953</v>
      </c>
      <c r="M14809" t="s">
        <v>612</v>
      </c>
      <c r="N14809" t="s">
        <v>608</v>
      </c>
      <c r="O14809" s="37" t="str">
        <f t="shared" si="1158"/>
        <v>Cash Payment</v>
      </c>
      <c r="P14809">
        <v>458.35</v>
      </c>
      <c r="Q14809" s="37" t="str">
        <f>IF(P14809&gt;500,"High","low")</f>
        <v>low</v>
      </c>
      <c r="R14809" s="37" t="str">
        <f t="shared" si="1159"/>
        <v>AVERAGE</v>
      </c>
      <c r="S14809" t="s">
        <v>620</v>
      </c>
    </row>
    <row r="14810" spans="1:19" x14ac:dyDescent="0.2">
      <c r="A14810" t="s">
        <v>15421</v>
      </c>
      <c r="B14810" t="s">
        <v>75</v>
      </c>
      <c r="C14810" t="s">
        <v>602</v>
      </c>
      <c r="D14810">
        <v>1007.19</v>
      </c>
      <c r="E14810" s="37" t="str">
        <f t="shared" si="1155"/>
        <v xml:space="preserve"> </v>
      </c>
      <c r="F14810">
        <v>0.06</v>
      </c>
      <c r="G14810" s="37" t="str">
        <f t="shared" si="1156"/>
        <v>Normal Discount</v>
      </c>
      <c r="H14810" s="37" t="str">
        <f t="shared" si="1157"/>
        <v>Low</v>
      </c>
      <c r="I14810">
        <v>2</v>
      </c>
      <c r="J14810" t="str" cm="1">
        <f t="array" ref="J14810">_xlfn.IFS(I14810&lt;=3,"small",I14810&lt;=6,"Medium",I14810&lt;=9,"Large")</f>
        <v>small</v>
      </c>
      <c r="K14810" s="36">
        <v>45033</v>
      </c>
      <c r="L14810" s="36">
        <v>45035</v>
      </c>
      <c r="M14810" t="s">
        <v>603</v>
      </c>
      <c r="N14810" t="s">
        <v>608</v>
      </c>
      <c r="O14810" s="37" t="str">
        <f t="shared" si="1158"/>
        <v>Cash Payment</v>
      </c>
      <c r="P14810">
        <v>276.76</v>
      </c>
      <c r="Q14810" s="37" t="str">
        <f>IF(P14810&gt;500,"High","low")</f>
        <v>low</v>
      </c>
      <c r="R14810" s="37" t="str">
        <f t="shared" si="1159"/>
        <v>AVERAGE</v>
      </c>
      <c r="S14810" t="s">
        <v>609</v>
      </c>
    </row>
    <row r="14811" spans="1:19" x14ac:dyDescent="0.2">
      <c r="A14811" t="s">
        <v>15422</v>
      </c>
      <c r="B14811" t="s">
        <v>90</v>
      </c>
      <c r="C14811" t="s">
        <v>597</v>
      </c>
      <c r="D14811">
        <v>796.99</v>
      </c>
      <c r="E14811" s="37" t="str">
        <f t="shared" si="1155"/>
        <v xml:space="preserve"> </v>
      </c>
      <c r="F14811">
        <v>0.3</v>
      </c>
      <c r="G14811" s="37" t="str">
        <f t="shared" si="1156"/>
        <v>Normal Discount</v>
      </c>
      <c r="H14811" s="37" t="str">
        <f t="shared" si="1157"/>
        <v>Medium</v>
      </c>
      <c r="I14811">
        <v>9</v>
      </c>
      <c r="J14811" t="str" cm="1">
        <f t="array" ref="J14811">_xlfn.IFS(I14811&lt;=3,"small",I14811&lt;=6,"Medium",I14811&lt;=9,"Large")</f>
        <v>Large</v>
      </c>
      <c r="K14811" s="36">
        <v>45395</v>
      </c>
      <c r="L14811" s="36">
        <v>45401</v>
      </c>
      <c r="M14811" t="s">
        <v>612</v>
      </c>
      <c r="N14811" t="s">
        <v>604</v>
      </c>
      <c r="O14811" s="37" t="str">
        <f t="shared" si="1158"/>
        <v>Digital Payment</v>
      </c>
      <c r="P14811">
        <v>104.05</v>
      </c>
      <c r="Q14811" s="37" t="str">
        <f>IF(P14811&gt;500,"High","low")</f>
        <v>low</v>
      </c>
      <c r="R14811" s="37" t="str">
        <f t="shared" si="1159"/>
        <v>AVERAGE</v>
      </c>
      <c r="S14811" t="s">
        <v>605</v>
      </c>
    </row>
    <row r="14812" spans="1:19" x14ac:dyDescent="0.2">
      <c r="A14812" t="s">
        <v>15423</v>
      </c>
      <c r="B14812" t="s">
        <v>67</v>
      </c>
      <c r="C14812" t="s">
        <v>617</v>
      </c>
      <c r="D14812">
        <v>4190.04</v>
      </c>
      <c r="E14812" s="37" t="str">
        <f t="shared" si="1155"/>
        <v xml:space="preserve"> </v>
      </c>
      <c r="F14812">
        <v>0.28999999999999998</v>
      </c>
      <c r="G14812" s="37" t="str">
        <f t="shared" si="1156"/>
        <v>Normal Discount</v>
      </c>
      <c r="H14812" s="37" t="str">
        <f t="shared" si="1157"/>
        <v>Medium</v>
      </c>
      <c r="I14812">
        <v>2</v>
      </c>
      <c r="J14812" t="str" cm="1">
        <f t="array" ref="J14812">_xlfn.IFS(I14812&lt;=3,"small",I14812&lt;=6,"Medium",I14812&lt;=9,"Large")</f>
        <v>small</v>
      </c>
      <c r="K14812" s="36">
        <v>44948</v>
      </c>
      <c r="L14812" s="36">
        <v>44955</v>
      </c>
      <c r="M14812" t="s">
        <v>598</v>
      </c>
      <c r="N14812" t="s">
        <v>604</v>
      </c>
      <c r="O14812" s="37" t="str">
        <f t="shared" si="1158"/>
        <v>Digital Payment</v>
      </c>
      <c r="P14812">
        <v>274.29000000000002</v>
      </c>
      <c r="Q14812" s="37" t="str">
        <f>IF(P14812&gt;500,"High","low")</f>
        <v>low</v>
      </c>
      <c r="R14812" s="37" t="str">
        <f t="shared" si="1159"/>
        <v>AVERAGE</v>
      </c>
      <c r="S14812" t="s">
        <v>605</v>
      </c>
    </row>
    <row r="14813" spans="1:19" x14ac:dyDescent="0.2">
      <c r="A14813" t="s">
        <v>15424</v>
      </c>
      <c r="B14813" t="s">
        <v>90</v>
      </c>
      <c r="C14813" t="s">
        <v>597</v>
      </c>
      <c r="D14813">
        <v>2753.03</v>
      </c>
      <c r="E14813" s="37" t="str">
        <f t="shared" si="1155"/>
        <v xml:space="preserve"> </v>
      </c>
      <c r="F14813">
        <v>0.15</v>
      </c>
      <c r="G14813" s="37" t="str">
        <f t="shared" si="1156"/>
        <v>Normal Discount</v>
      </c>
      <c r="H14813" s="37" t="str">
        <f t="shared" si="1157"/>
        <v>Low</v>
      </c>
      <c r="I14813">
        <v>2</v>
      </c>
      <c r="J14813" t="str" cm="1">
        <f t="array" ref="J14813">_xlfn.IFS(I14813&lt;=3,"small",I14813&lt;=6,"Medium",I14813&lt;=9,"Large")</f>
        <v>small</v>
      </c>
      <c r="K14813" s="36">
        <v>45131</v>
      </c>
      <c r="L14813" s="36">
        <v>45135</v>
      </c>
      <c r="M14813" t="s">
        <v>603</v>
      </c>
      <c r="N14813" t="s">
        <v>599</v>
      </c>
      <c r="O14813" s="37" t="str">
        <f t="shared" si="1158"/>
        <v>Digital Payment</v>
      </c>
      <c r="P14813">
        <v>789.35</v>
      </c>
      <c r="Q14813" s="37" t="str">
        <f>IF(P14813&gt;500,"High","low")</f>
        <v>High</v>
      </c>
      <c r="R14813" s="37" t="str">
        <f t="shared" si="1159"/>
        <v>Good</v>
      </c>
      <c r="S14813" t="s">
        <v>628</v>
      </c>
    </row>
    <row r="14814" spans="1:19" x14ac:dyDescent="0.2">
      <c r="A14814" t="s">
        <v>15425</v>
      </c>
      <c r="B14814" t="s">
        <v>67</v>
      </c>
      <c r="C14814" t="s">
        <v>614</v>
      </c>
      <c r="D14814">
        <v>3171.17</v>
      </c>
      <c r="E14814" s="37" t="str">
        <f t="shared" si="1155"/>
        <v xml:space="preserve"> </v>
      </c>
      <c r="F14814">
        <v>0.02</v>
      </c>
      <c r="G14814" s="37" t="str">
        <f t="shared" si="1156"/>
        <v>Normal Discount</v>
      </c>
      <c r="H14814" s="37" t="str">
        <f t="shared" si="1157"/>
        <v>Low</v>
      </c>
      <c r="I14814">
        <v>4</v>
      </c>
      <c r="J14814" t="str" cm="1">
        <f t="array" ref="J14814">_xlfn.IFS(I14814&lt;=3,"small",I14814&lt;=6,"Medium",I14814&lt;=9,"Large")</f>
        <v>Medium</v>
      </c>
      <c r="K14814" s="36">
        <v>44973</v>
      </c>
      <c r="L14814" s="36">
        <v>44976</v>
      </c>
      <c r="M14814" t="s">
        <v>603</v>
      </c>
      <c r="N14814" t="s">
        <v>608</v>
      </c>
      <c r="O14814" s="37" t="str">
        <f t="shared" si="1158"/>
        <v>Cash Payment</v>
      </c>
      <c r="P14814">
        <v>374.46</v>
      </c>
      <c r="Q14814" s="37" t="str">
        <f>IF(P14814&gt;500,"High","low")</f>
        <v>low</v>
      </c>
      <c r="R14814" s="37" t="str">
        <f t="shared" si="1159"/>
        <v>AVERAGE</v>
      </c>
      <c r="S14814" t="s">
        <v>609</v>
      </c>
    </row>
    <row r="14815" spans="1:19" x14ac:dyDescent="0.2">
      <c r="A14815" t="s">
        <v>15426</v>
      </c>
      <c r="B14815" t="s">
        <v>90</v>
      </c>
      <c r="C14815" t="s">
        <v>617</v>
      </c>
      <c r="D14815">
        <v>4065.11</v>
      </c>
      <c r="E14815" s="37" t="str">
        <f t="shared" si="1155"/>
        <v>Excellent Order</v>
      </c>
      <c r="F14815">
        <v>0.47</v>
      </c>
      <c r="G14815" s="37" t="str">
        <f t="shared" si="1156"/>
        <v>Heavy Discount</v>
      </c>
      <c r="H14815" s="37" t="str">
        <f t="shared" si="1157"/>
        <v>High</v>
      </c>
      <c r="I14815">
        <v>2</v>
      </c>
      <c r="J14815" t="str" cm="1">
        <f t="array" ref="J14815">_xlfn.IFS(I14815&lt;=3,"small",I14815&lt;=6,"Medium",I14815&lt;=9,"Large")</f>
        <v>small</v>
      </c>
      <c r="K14815" s="36">
        <v>44951</v>
      </c>
      <c r="L14815" s="36">
        <v>44954</v>
      </c>
      <c r="M14815" t="s">
        <v>612</v>
      </c>
      <c r="N14815" t="s">
        <v>599</v>
      </c>
      <c r="O14815" s="37" t="str">
        <f t="shared" si="1158"/>
        <v>Digital Payment</v>
      </c>
      <c r="P14815">
        <v>1216.24</v>
      </c>
      <c r="Q14815" s="37" t="str">
        <f>IF(P14815&gt;500,"High","low")</f>
        <v>High</v>
      </c>
      <c r="R14815" s="37" t="str">
        <f t="shared" si="1159"/>
        <v>Excellent</v>
      </c>
      <c r="S14815" t="s">
        <v>628</v>
      </c>
    </row>
    <row r="14816" spans="1:19" x14ac:dyDescent="0.2">
      <c r="A14816" t="s">
        <v>15427</v>
      </c>
      <c r="B14816" t="s">
        <v>83</v>
      </c>
      <c r="C14816" t="s">
        <v>614</v>
      </c>
      <c r="D14816">
        <v>1137.56</v>
      </c>
      <c r="E14816" s="37" t="str">
        <f t="shared" si="1155"/>
        <v xml:space="preserve"> </v>
      </c>
      <c r="F14816">
        <v>0.18</v>
      </c>
      <c r="G14816" s="37" t="str">
        <f t="shared" si="1156"/>
        <v>Normal Discount</v>
      </c>
      <c r="H14816" s="37" t="str">
        <f t="shared" si="1157"/>
        <v>Low</v>
      </c>
      <c r="I14816">
        <v>7</v>
      </c>
      <c r="J14816" t="str" cm="1">
        <f t="array" ref="J14816">_xlfn.IFS(I14816&lt;=3,"small",I14816&lt;=6,"Medium",I14816&lt;=9,"Large")</f>
        <v>Large</v>
      </c>
      <c r="K14816" s="36">
        <v>45076</v>
      </c>
      <c r="L14816" s="36">
        <v>45079</v>
      </c>
      <c r="M14816" t="s">
        <v>603</v>
      </c>
      <c r="N14816" t="s">
        <v>608</v>
      </c>
      <c r="O14816" s="37" t="str">
        <f t="shared" si="1158"/>
        <v>Cash Payment</v>
      </c>
      <c r="P14816">
        <v>212.51</v>
      </c>
      <c r="Q14816" s="37" t="str">
        <f>IF(P14816&gt;500,"High","low")</f>
        <v>low</v>
      </c>
      <c r="R14816" s="37" t="str">
        <f t="shared" si="1159"/>
        <v>AVERAGE</v>
      </c>
      <c r="S14816" t="s">
        <v>600</v>
      </c>
    </row>
    <row r="14817" spans="1:19" x14ac:dyDescent="0.2">
      <c r="A14817" t="s">
        <v>15428</v>
      </c>
      <c r="B14817" t="s">
        <v>67</v>
      </c>
      <c r="C14817" t="s">
        <v>617</v>
      </c>
      <c r="D14817">
        <v>768.78</v>
      </c>
      <c r="E14817" s="37" t="str">
        <f t="shared" si="1155"/>
        <v xml:space="preserve"> </v>
      </c>
      <c r="F14817">
        <v>0.27</v>
      </c>
      <c r="G14817" s="37" t="str">
        <f t="shared" si="1156"/>
        <v>Normal Discount</v>
      </c>
      <c r="H14817" s="37" t="str">
        <f t="shared" si="1157"/>
        <v>Medium</v>
      </c>
      <c r="I14817">
        <v>3</v>
      </c>
      <c r="J14817" t="str" cm="1">
        <f t="array" ref="J14817">_xlfn.IFS(I14817&lt;=3,"small",I14817&lt;=6,"Medium",I14817&lt;=9,"Large")</f>
        <v>small</v>
      </c>
      <c r="K14817" s="36">
        <v>45540</v>
      </c>
      <c r="L14817" s="36">
        <v>45545</v>
      </c>
      <c r="M14817" t="s">
        <v>612</v>
      </c>
      <c r="N14817" t="s">
        <v>608</v>
      </c>
      <c r="O14817" s="37" t="str">
        <f t="shared" si="1158"/>
        <v>Cash Payment</v>
      </c>
      <c r="P14817">
        <v>201.57</v>
      </c>
      <c r="Q14817" s="37" t="str">
        <f>IF(P14817&gt;500,"High","low")</f>
        <v>low</v>
      </c>
      <c r="R14817" s="37" t="str">
        <f t="shared" si="1159"/>
        <v>AVERAGE</v>
      </c>
      <c r="S14817" t="s">
        <v>600</v>
      </c>
    </row>
    <row r="14818" spans="1:19" x14ac:dyDescent="0.2">
      <c r="A14818" t="s">
        <v>15429</v>
      </c>
      <c r="B14818" t="s">
        <v>90</v>
      </c>
      <c r="C14818" t="s">
        <v>602</v>
      </c>
      <c r="D14818">
        <v>4309.32</v>
      </c>
      <c r="E14818" s="37" t="str">
        <f t="shared" si="1155"/>
        <v xml:space="preserve"> </v>
      </c>
      <c r="F14818">
        <v>7.0000000000000007E-2</v>
      </c>
      <c r="G14818" s="37" t="str">
        <f t="shared" si="1156"/>
        <v>Normal Discount</v>
      </c>
      <c r="H14818" s="37" t="str">
        <f t="shared" si="1157"/>
        <v>Low</v>
      </c>
      <c r="I14818">
        <v>4</v>
      </c>
      <c r="J14818" t="str" cm="1">
        <f t="array" ref="J14818">_xlfn.IFS(I14818&lt;=3,"small",I14818&lt;=6,"Medium",I14818&lt;=9,"Large")</f>
        <v>Medium</v>
      </c>
      <c r="K14818" s="36">
        <v>45243</v>
      </c>
      <c r="L14818" s="36">
        <v>45247</v>
      </c>
      <c r="M14818" t="s">
        <v>612</v>
      </c>
      <c r="N14818" t="s">
        <v>599</v>
      </c>
      <c r="O14818" s="37" t="str">
        <f t="shared" si="1158"/>
        <v>Digital Payment</v>
      </c>
      <c r="P14818">
        <v>332.22</v>
      </c>
      <c r="Q14818" s="37" t="str">
        <f>IF(P14818&gt;500,"High","low")</f>
        <v>low</v>
      </c>
      <c r="R14818" s="37" t="str">
        <f t="shared" si="1159"/>
        <v>AVERAGE</v>
      </c>
      <c r="S14818" t="s">
        <v>615</v>
      </c>
    </row>
    <row r="14819" spans="1:19" x14ac:dyDescent="0.2">
      <c r="A14819" t="s">
        <v>15430</v>
      </c>
      <c r="B14819" t="s">
        <v>75</v>
      </c>
      <c r="C14819" t="s">
        <v>597</v>
      </c>
      <c r="D14819">
        <v>647.69000000000005</v>
      </c>
      <c r="E14819" s="37" t="str">
        <f t="shared" si="1155"/>
        <v xml:space="preserve"> </v>
      </c>
      <c r="F14819">
        <v>0.13</v>
      </c>
      <c r="G14819" s="37" t="str">
        <f t="shared" si="1156"/>
        <v>Normal Discount</v>
      </c>
      <c r="H14819" s="37" t="str">
        <f t="shared" si="1157"/>
        <v>Low</v>
      </c>
      <c r="I14819">
        <v>1</v>
      </c>
      <c r="J14819" t="str" cm="1">
        <f t="array" ref="J14819">_xlfn.IFS(I14819&lt;=3,"small",I14819&lt;=6,"Medium",I14819&lt;=9,"Large")</f>
        <v>small</v>
      </c>
      <c r="K14819" s="36">
        <v>45618</v>
      </c>
      <c r="L14819" s="36">
        <v>45620</v>
      </c>
      <c r="M14819" t="s">
        <v>612</v>
      </c>
      <c r="N14819" t="s">
        <v>599</v>
      </c>
      <c r="O14819" s="37" t="str">
        <f t="shared" si="1158"/>
        <v>Digital Payment</v>
      </c>
      <c r="P14819">
        <v>121.7</v>
      </c>
      <c r="Q14819" s="37" t="str">
        <f>IF(P14819&gt;500,"High","low")</f>
        <v>low</v>
      </c>
      <c r="R14819" s="37" t="str">
        <f t="shared" si="1159"/>
        <v>AVERAGE</v>
      </c>
      <c r="S14819" t="s">
        <v>615</v>
      </c>
    </row>
    <row r="14820" spans="1:19" x14ac:dyDescent="0.2">
      <c r="A14820" t="s">
        <v>15431</v>
      </c>
      <c r="B14820" t="s">
        <v>75</v>
      </c>
      <c r="C14820" t="s">
        <v>597</v>
      </c>
      <c r="D14820">
        <v>532.09</v>
      </c>
      <c r="E14820" s="37" t="str">
        <f t="shared" si="1155"/>
        <v xml:space="preserve"> </v>
      </c>
      <c r="F14820">
        <v>0.22</v>
      </c>
      <c r="G14820" s="37" t="str">
        <f t="shared" si="1156"/>
        <v>Normal Discount</v>
      </c>
      <c r="H14820" s="37" t="str">
        <f t="shared" si="1157"/>
        <v>Medium</v>
      </c>
      <c r="I14820">
        <v>4</v>
      </c>
      <c r="J14820" t="str" cm="1">
        <f t="array" ref="J14820">_xlfn.IFS(I14820&lt;=3,"small",I14820&lt;=6,"Medium",I14820&lt;=9,"Large")</f>
        <v>Medium</v>
      </c>
      <c r="K14820" s="36">
        <v>45045</v>
      </c>
      <c r="L14820" s="36">
        <v>45049</v>
      </c>
      <c r="M14820" t="s">
        <v>603</v>
      </c>
      <c r="N14820" t="s">
        <v>599</v>
      </c>
      <c r="O14820" s="37" t="str">
        <f t="shared" si="1158"/>
        <v>Digital Payment</v>
      </c>
      <c r="P14820">
        <v>29.1</v>
      </c>
      <c r="Q14820" s="37" t="str">
        <f>IF(P14820&gt;500,"High","low")</f>
        <v>low</v>
      </c>
      <c r="R14820" s="37" t="str">
        <f t="shared" si="1159"/>
        <v>AVERAGE</v>
      </c>
      <c r="S14820" t="s">
        <v>628</v>
      </c>
    </row>
    <row r="14821" spans="1:19" x14ac:dyDescent="0.2">
      <c r="A14821" t="s">
        <v>15432</v>
      </c>
      <c r="B14821" t="s">
        <v>90</v>
      </c>
      <c r="C14821" t="s">
        <v>607</v>
      </c>
      <c r="D14821">
        <v>1457.67</v>
      </c>
      <c r="E14821" s="37" t="str">
        <f t="shared" si="1155"/>
        <v xml:space="preserve"> </v>
      </c>
      <c r="F14821">
        <v>0.28000000000000003</v>
      </c>
      <c r="G14821" s="37" t="str">
        <f t="shared" si="1156"/>
        <v>Normal Discount</v>
      </c>
      <c r="H14821" s="37" t="str">
        <f t="shared" si="1157"/>
        <v>Medium</v>
      </c>
      <c r="I14821">
        <v>4</v>
      </c>
      <c r="J14821" t="str" cm="1">
        <f t="array" ref="J14821">_xlfn.IFS(I14821&lt;=3,"small",I14821&lt;=6,"Medium",I14821&lt;=9,"Large")</f>
        <v>Medium</v>
      </c>
      <c r="K14821" s="36">
        <v>45074</v>
      </c>
      <c r="L14821" s="36">
        <v>45078</v>
      </c>
      <c r="M14821" t="s">
        <v>612</v>
      </c>
      <c r="N14821" t="s">
        <v>608</v>
      </c>
      <c r="O14821" s="37" t="str">
        <f t="shared" si="1158"/>
        <v>Cash Payment</v>
      </c>
      <c r="P14821">
        <v>211.28</v>
      </c>
      <c r="Q14821" s="37" t="str">
        <f>IF(P14821&gt;500,"High","low")</f>
        <v>low</v>
      </c>
      <c r="R14821" s="37" t="str">
        <f t="shared" si="1159"/>
        <v>AVERAGE</v>
      </c>
      <c r="S14821" t="s">
        <v>609</v>
      </c>
    </row>
    <row r="14822" spans="1:19" x14ac:dyDescent="0.2">
      <c r="A14822" t="s">
        <v>15433</v>
      </c>
      <c r="B14822" t="s">
        <v>83</v>
      </c>
      <c r="C14822" t="s">
        <v>617</v>
      </c>
      <c r="D14822">
        <v>1652.56</v>
      </c>
      <c r="E14822" s="37" t="str">
        <f t="shared" si="1155"/>
        <v xml:space="preserve"> </v>
      </c>
      <c r="F14822">
        <v>0.43</v>
      </c>
      <c r="G14822" s="37" t="str">
        <f t="shared" si="1156"/>
        <v>Heavy Discount</v>
      </c>
      <c r="H14822" s="37" t="str">
        <f t="shared" si="1157"/>
        <v>High</v>
      </c>
      <c r="I14822">
        <v>4</v>
      </c>
      <c r="J14822" t="str" cm="1">
        <f t="array" ref="J14822">_xlfn.IFS(I14822&lt;=3,"small",I14822&lt;=6,"Medium",I14822&lt;=9,"Large")</f>
        <v>Medium</v>
      </c>
      <c r="K14822" s="36">
        <v>45134</v>
      </c>
      <c r="L14822" s="36">
        <v>45139</v>
      </c>
      <c r="M14822" t="s">
        <v>612</v>
      </c>
      <c r="N14822" t="s">
        <v>608</v>
      </c>
      <c r="O14822" s="37" t="str">
        <f t="shared" si="1158"/>
        <v>Cash Payment</v>
      </c>
      <c r="P14822">
        <v>99.62</v>
      </c>
      <c r="Q14822" s="37" t="str">
        <f>IF(P14822&gt;500,"High","low")</f>
        <v>low</v>
      </c>
      <c r="R14822" s="37" t="str">
        <f t="shared" si="1159"/>
        <v>AVERAGE</v>
      </c>
      <c r="S14822" t="s">
        <v>615</v>
      </c>
    </row>
    <row r="14823" spans="1:19" x14ac:dyDescent="0.2">
      <c r="A14823" t="s">
        <v>15434</v>
      </c>
      <c r="B14823" t="s">
        <v>67</v>
      </c>
      <c r="C14823" t="s">
        <v>617</v>
      </c>
      <c r="D14823">
        <v>1281.56</v>
      </c>
      <c r="E14823" s="37" t="str">
        <f t="shared" si="1155"/>
        <v xml:space="preserve"> </v>
      </c>
      <c r="F14823">
        <v>0.15</v>
      </c>
      <c r="G14823" s="37" t="str">
        <f t="shared" si="1156"/>
        <v>Normal Discount</v>
      </c>
      <c r="H14823" s="37" t="str">
        <f t="shared" si="1157"/>
        <v>Low</v>
      </c>
      <c r="I14823">
        <v>9</v>
      </c>
      <c r="J14823" t="str" cm="1">
        <f t="array" ref="J14823">_xlfn.IFS(I14823&lt;=3,"small",I14823&lt;=6,"Medium",I14823&lt;=9,"Large")</f>
        <v>Large</v>
      </c>
      <c r="K14823" s="36">
        <v>44946</v>
      </c>
      <c r="L14823" s="36">
        <v>44948</v>
      </c>
      <c r="M14823" t="s">
        <v>612</v>
      </c>
      <c r="N14823" t="s">
        <v>604</v>
      </c>
      <c r="O14823" s="37" t="str">
        <f t="shared" si="1158"/>
        <v>Digital Payment</v>
      </c>
      <c r="P14823">
        <v>212.18</v>
      </c>
      <c r="Q14823" s="37" t="str">
        <f>IF(P14823&gt;500,"High","low")</f>
        <v>low</v>
      </c>
      <c r="R14823" s="37" t="str">
        <f t="shared" si="1159"/>
        <v>AVERAGE</v>
      </c>
      <c r="S14823" t="s">
        <v>620</v>
      </c>
    </row>
    <row r="14824" spans="1:19" x14ac:dyDescent="0.2">
      <c r="A14824" t="s">
        <v>15435</v>
      </c>
      <c r="B14824" t="s">
        <v>90</v>
      </c>
      <c r="C14824" t="s">
        <v>614</v>
      </c>
      <c r="D14824">
        <v>3733.95</v>
      </c>
      <c r="E14824" s="37" t="str">
        <f t="shared" si="1155"/>
        <v xml:space="preserve"> </v>
      </c>
      <c r="F14824">
        <v>0.44</v>
      </c>
      <c r="G14824" s="37" t="str">
        <f t="shared" si="1156"/>
        <v>Heavy Discount</v>
      </c>
      <c r="H14824" s="37" t="str">
        <f t="shared" si="1157"/>
        <v>High</v>
      </c>
      <c r="I14824">
        <v>3</v>
      </c>
      <c r="J14824" t="str" cm="1">
        <f t="array" ref="J14824">_xlfn.IFS(I14824&lt;=3,"small",I14824&lt;=6,"Medium",I14824&lt;=9,"Large")</f>
        <v>small</v>
      </c>
      <c r="K14824" s="36">
        <v>45543</v>
      </c>
      <c r="L14824" s="36">
        <v>45545</v>
      </c>
      <c r="M14824" t="s">
        <v>612</v>
      </c>
      <c r="N14824" t="s">
        <v>608</v>
      </c>
      <c r="O14824" s="37" t="str">
        <f t="shared" si="1158"/>
        <v>Cash Payment</v>
      </c>
      <c r="P14824">
        <v>852.35</v>
      </c>
      <c r="Q14824" s="37" t="str">
        <f>IF(P14824&gt;500,"High","low")</f>
        <v>High</v>
      </c>
      <c r="R14824" s="37" t="str">
        <f t="shared" si="1159"/>
        <v>Good</v>
      </c>
      <c r="S14824" t="s">
        <v>600</v>
      </c>
    </row>
    <row r="14825" spans="1:19" x14ac:dyDescent="0.2">
      <c r="A14825" t="s">
        <v>15436</v>
      </c>
      <c r="B14825" t="s">
        <v>75</v>
      </c>
      <c r="C14825" t="s">
        <v>617</v>
      </c>
      <c r="D14825">
        <v>4869.4399999999996</v>
      </c>
      <c r="E14825" s="37" t="str">
        <f t="shared" si="1155"/>
        <v>Excellent Order</v>
      </c>
      <c r="F14825">
        <v>0.23</v>
      </c>
      <c r="G14825" s="37" t="str">
        <f t="shared" si="1156"/>
        <v>Normal Discount</v>
      </c>
      <c r="H14825" s="37" t="str">
        <f t="shared" si="1157"/>
        <v>Medium</v>
      </c>
      <c r="I14825">
        <v>7</v>
      </c>
      <c r="J14825" t="str" cm="1">
        <f t="array" ref="J14825">_xlfn.IFS(I14825&lt;=3,"small",I14825&lt;=6,"Medium",I14825&lt;=9,"Large")</f>
        <v>Large</v>
      </c>
      <c r="K14825" s="36">
        <v>45544</v>
      </c>
      <c r="L14825" s="36">
        <v>45548</v>
      </c>
      <c r="M14825" t="s">
        <v>612</v>
      </c>
      <c r="N14825" t="s">
        <v>604</v>
      </c>
      <c r="O14825" s="37" t="str">
        <f t="shared" si="1158"/>
        <v>Digital Payment</v>
      </c>
      <c r="P14825">
        <v>1311.79</v>
      </c>
      <c r="Q14825" s="37" t="str">
        <f>IF(P14825&gt;500,"High","low")</f>
        <v>High</v>
      </c>
      <c r="R14825" s="37" t="str">
        <f t="shared" si="1159"/>
        <v>Excellent</v>
      </c>
      <c r="S14825" t="s">
        <v>609</v>
      </c>
    </row>
    <row r="14826" spans="1:19" x14ac:dyDescent="0.2">
      <c r="A14826" t="s">
        <v>15437</v>
      </c>
      <c r="B14826" t="s">
        <v>67</v>
      </c>
      <c r="C14826" t="s">
        <v>597</v>
      </c>
      <c r="D14826">
        <v>1078</v>
      </c>
      <c r="E14826" s="37" t="str">
        <f t="shared" si="1155"/>
        <v xml:space="preserve"> </v>
      </c>
      <c r="F14826">
        <v>0.22</v>
      </c>
      <c r="G14826" s="37" t="str">
        <f t="shared" si="1156"/>
        <v>Normal Discount</v>
      </c>
      <c r="H14826" s="37" t="str">
        <f t="shared" si="1157"/>
        <v>Medium</v>
      </c>
      <c r="I14826">
        <v>4</v>
      </c>
      <c r="J14826" t="str" cm="1">
        <f t="array" ref="J14826">_xlfn.IFS(I14826&lt;=3,"small",I14826&lt;=6,"Medium",I14826&lt;=9,"Large")</f>
        <v>Medium</v>
      </c>
      <c r="K14826" s="36">
        <v>45284</v>
      </c>
      <c r="L14826" s="36">
        <v>45288</v>
      </c>
      <c r="M14826" t="s">
        <v>603</v>
      </c>
      <c r="N14826" t="s">
        <v>608</v>
      </c>
      <c r="O14826" s="37" t="str">
        <f t="shared" si="1158"/>
        <v>Cash Payment</v>
      </c>
      <c r="P14826">
        <v>233.14</v>
      </c>
      <c r="Q14826" s="37" t="str">
        <f>IF(P14826&gt;500,"High","low")</f>
        <v>low</v>
      </c>
      <c r="R14826" s="37" t="str">
        <f t="shared" si="1159"/>
        <v>AVERAGE</v>
      </c>
      <c r="S14826" t="s">
        <v>628</v>
      </c>
    </row>
    <row r="14827" spans="1:19" x14ac:dyDescent="0.2">
      <c r="A14827" t="s">
        <v>15438</v>
      </c>
      <c r="B14827" t="s">
        <v>75</v>
      </c>
      <c r="C14827" t="s">
        <v>617</v>
      </c>
      <c r="D14827">
        <v>3931.08</v>
      </c>
      <c r="E14827" s="37" t="str">
        <f t="shared" si="1155"/>
        <v xml:space="preserve"> </v>
      </c>
      <c r="F14827">
        <v>0.2</v>
      </c>
      <c r="G14827" s="37" t="str">
        <f t="shared" si="1156"/>
        <v>Normal Discount</v>
      </c>
      <c r="H14827" s="37" t="str">
        <f t="shared" si="1157"/>
        <v>Medium</v>
      </c>
      <c r="I14827">
        <v>1</v>
      </c>
      <c r="J14827" t="str" cm="1">
        <f t="array" ref="J14827">_xlfn.IFS(I14827&lt;=3,"small",I14827&lt;=6,"Medium",I14827&lt;=9,"Large")</f>
        <v>small</v>
      </c>
      <c r="K14827" s="36">
        <v>45611</v>
      </c>
      <c r="L14827" s="36">
        <v>45617</v>
      </c>
      <c r="M14827" t="s">
        <v>612</v>
      </c>
      <c r="N14827" t="s">
        <v>604</v>
      </c>
      <c r="O14827" s="37" t="str">
        <f t="shared" si="1158"/>
        <v>Digital Payment</v>
      </c>
      <c r="P14827">
        <v>909.23</v>
      </c>
      <c r="Q14827" s="37" t="str">
        <f>IF(P14827&gt;500,"High","low")</f>
        <v>High</v>
      </c>
      <c r="R14827" s="37" t="str">
        <f t="shared" si="1159"/>
        <v>Good</v>
      </c>
      <c r="S14827" t="s">
        <v>628</v>
      </c>
    </row>
    <row r="14828" spans="1:19" x14ac:dyDescent="0.2">
      <c r="A14828" t="s">
        <v>15439</v>
      </c>
      <c r="B14828" t="s">
        <v>75</v>
      </c>
      <c r="C14828" t="s">
        <v>607</v>
      </c>
      <c r="D14828">
        <v>316.79000000000002</v>
      </c>
      <c r="E14828" s="37" t="str">
        <f t="shared" si="1155"/>
        <v xml:space="preserve"> </v>
      </c>
      <c r="F14828">
        <v>0.44</v>
      </c>
      <c r="G14828" s="37" t="str">
        <f t="shared" si="1156"/>
        <v>Heavy Discount</v>
      </c>
      <c r="H14828" s="37" t="str">
        <f t="shared" si="1157"/>
        <v>High</v>
      </c>
      <c r="I14828">
        <v>3</v>
      </c>
      <c r="J14828" t="str" cm="1">
        <f t="array" ref="J14828">_xlfn.IFS(I14828&lt;=3,"small",I14828&lt;=6,"Medium",I14828&lt;=9,"Large")</f>
        <v>small</v>
      </c>
      <c r="K14828" s="36">
        <v>44963</v>
      </c>
      <c r="L14828" s="36">
        <v>44970</v>
      </c>
      <c r="M14828" t="s">
        <v>598</v>
      </c>
      <c r="N14828" t="s">
        <v>608</v>
      </c>
      <c r="O14828" s="37" t="str">
        <f t="shared" si="1158"/>
        <v>Cash Payment</v>
      </c>
      <c r="P14828">
        <v>33.090000000000003</v>
      </c>
      <c r="Q14828" s="37" t="str">
        <f>IF(P14828&gt;500,"High","low")</f>
        <v>low</v>
      </c>
      <c r="R14828" s="37" t="str">
        <f t="shared" si="1159"/>
        <v>AVERAGE</v>
      </c>
      <c r="S14828" t="s">
        <v>600</v>
      </c>
    </row>
    <row r="14829" spans="1:19" x14ac:dyDescent="0.2">
      <c r="A14829" t="s">
        <v>15440</v>
      </c>
      <c r="B14829" t="s">
        <v>90</v>
      </c>
      <c r="C14829" t="s">
        <v>607</v>
      </c>
      <c r="D14829">
        <v>682.62</v>
      </c>
      <c r="E14829" s="37" t="str">
        <f t="shared" si="1155"/>
        <v xml:space="preserve"> </v>
      </c>
      <c r="F14829">
        <v>0.13</v>
      </c>
      <c r="G14829" s="37" t="str">
        <f t="shared" si="1156"/>
        <v>Normal Discount</v>
      </c>
      <c r="H14829" s="37" t="str">
        <f t="shared" si="1157"/>
        <v>Low</v>
      </c>
      <c r="I14829">
        <v>9</v>
      </c>
      <c r="J14829" t="str" cm="1">
        <f t="array" ref="J14829">_xlfn.IFS(I14829&lt;=3,"small",I14829&lt;=6,"Medium",I14829&lt;=9,"Large")</f>
        <v>Large</v>
      </c>
      <c r="K14829" s="36">
        <v>45069</v>
      </c>
      <c r="L14829" s="36">
        <v>45075</v>
      </c>
      <c r="M14829" t="s">
        <v>598</v>
      </c>
      <c r="N14829" t="s">
        <v>599</v>
      </c>
      <c r="O14829" s="37" t="str">
        <f t="shared" si="1158"/>
        <v>Digital Payment</v>
      </c>
      <c r="P14829">
        <v>84.11</v>
      </c>
      <c r="Q14829" s="37" t="str">
        <f>IF(P14829&gt;500,"High","low")</f>
        <v>low</v>
      </c>
      <c r="R14829" s="37" t="str">
        <f t="shared" si="1159"/>
        <v>AVERAGE</v>
      </c>
      <c r="S14829" t="s">
        <v>609</v>
      </c>
    </row>
    <row r="14830" spans="1:19" x14ac:dyDescent="0.2">
      <c r="A14830" t="s">
        <v>15441</v>
      </c>
      <c r="B14830" t="s">
        <v>75</v>
      </c>
      <c r="C14830" t="s">
        <v>597</v>
      </c>
      <c r="D14830">
        <v>2624.08</v>
      </c>
      <c r="E14830" s="37" t="str">
        <f t="shared" si="1155"/>
        <v xml:space="preserve"> </v>
      </c>
      <c r="F14830">
        <v>0.43</v>
      </c>
      <c r="G14830" s="37" t="str">
        <f t="shared" si="1156"/>
        <v>Heavy Discount</v>
      </c>
      <c r="H14830" s="37" t="str">
        <f t="shared" si="1157"/>
        <v>High</v>
      </c>
      <c r="I14830">
        <v>6</v>
      </c>
      <c r="J14830" t="str" cm="1">
        <f t="array" ref="J14830">_xlfn.IFS(I14830&lt;=3,"small",I14830&lt;=6,"Medium",I14830&lt;=9,"Large")</f>
        <v>Medium</v>
      </c>
      <c r="K14830" s="36">
        <v>45063</v>
      </c>
      <c r="L14830" s="36">
        <v>45069</v>
      </c>
      <c r="M14830" t="s">
        <v>598</v>
      </c>
      <c r="N14830" t="s">
        <v>599</v>
      </c>
      <c r="O14830" s="37" t="str">
        <f t="shared" si="1158"/>
        <v>Digital Payment</v>
      </c>
      <c r="P14830">
        <v>746.41</v>
      </c>
      <c r="Q14830" s="37" t="str">
        <f>IF(P14830&gt;500,"High","low")</f>
        <v>High</v>
      </c>
      <c r="R14830" s="37" t="str">
        <f t="shared" si="1159"/>
        <v>Good</v>
      </c>
      <c r="S14830" t="s">
        <v>620</v>
      </c>
    </row>
    <row r="14831" spans="1:19" x14ac:dyDescent="0.2">
      <c r="A14831" t="s">
        <v>15442</v>
      </c>
      <c r="B14831" t="s">
        <v>67</v>
      </c>
      <c r="C14831" t="s">
        <v>597</v>
      </c>
      <c r="D14831">
        <v>4998.08</v>
      </c>
      <c r="E14831" s="37" t="str">
        <f t="shared" si="1155"/>
        <v xml:space="preserve"> </v>
      </c>
      <c r="F14831">
        <v>0.04</v>
      </c>
      <c r="G14831" s="37" t="str">
        <f t="shared" si="1156"/>
        <v>Normal Discount</v>
      </c>
      <c r="H14831" s="37" t="str">
        <f t="shared" si="1157"/>
        <v>Low</v>
      </c>
      <c r="I14831">
        <v>8</v>
      </c>
      <c r="J14831" t="str" cm="1">
        <f t="array" ref="J14831">_xlfn.IFS(I14831&lt;=3,"small",I14831&lt;=6,"Medium",I14831&lt;=9,"Large")</f>
        <v>Large</v>
      </c>
      <c r="K14831" s="36">
        <v>45539</v>
      </c>
      <c r="L14831" s="36">
        <v>45542</v>
      </c>
      <c r="M14831" t="s">
        <v>603</v>
      </c>
      <c r="N14831" t="s">
        <v>599</v>
      </c>
      <c r="O14831" s="37" t="str">
        <f t="shared" si="1158"/>
        <v>Digital Payment</v>
      </c>
      <c r="P14831">
        <v>453.69</v>
      </c>
      <c r="Q14831" s="37" t="str">
        <f>IF(P14831&gt;500,"High","low")</f>
        <v>low</v>
      </c>
      <c r="R14831" s="37" t="str">
        <f t="shared" si="1159"/>
        <v>AVERAGE</v>
      </c>
      <c r="S14831" t="s">
        <v>628</v>
      </c>
    </row>
    <row r="14832" spans="1:19" x14ac:dyDescent="0.2">
      <c r="A14832" t="s">
        <v>15443</v>
      </c>
      <c r="B14832" t="s">
        <v>83</v>
      </c>
      <c r="C14832" t="s">
        <v>597</v>
      </c>
      <c r="D14832">
        <v>4751.8900000000003</v>
      </c>
      <c r="E14832" s="37" t="str">
        <f t="shared" si="1155"/>
        <v>Excellent Order</v>
      </c>
      <c r="F14832">
        <v>0.48</v>
      </c>
      <c r="G14832" s="37" t="str">
        <f t="shared" si="1156"/>
        <v>Heavy Discount</v>
      </c>
      <c r="H14832" s="37" t="str">
        <f t="shared" si="1157"/>
        <v>High</v>
      </c>
      <c r="I14832">
        <v>9</v>
      </c>
      <c r="J14832" t="str" cm="1">
        <f t="array" ref="J14832">_xlfn.IFS(I14832&lt;=3,"small",I14832&lt;=6,"Medium",I14832&lt;=9,"Large")</f>
        <v>Large</v>
      </c>
      <c r="K14832" s="36">
        <v>45098</v>
      </c>
      <c r="L14832" s="36">
        <v>45105</v>
      </c>
      <c r="M14832" t="s">
        <v>603</v>
      </c>
      <c r="N14832" t="s">
        <v>604</v>
      </c>
      <c r="O14832" s="37" t="str">
        <f t="shared" si="1158"/>
        <v>Digital Payment</v>
      </c>
      <c r="P14832">
        <v>1414.52</v>
      </c>
      <c r="Q14832" s="37" t="str">
        <f>IF(P14832&gt;500,"High","low")</f>
        <v>High</v>
      </c>
      <c r="R14832" s="37" t="str">
        <f t="shared" si="1159"/>
        <v>Excellent</v>
      </c>
      <c r="S14832" t="s">
        <v>600</v>
      </c>
    </row>
    <row r="14833" spans="1:19" x14ac:dyDescent="0.2">
      <c r="A14833" t="s">
        <v>15444</v>
      </c>
      <c r="B14833" t="s">
        <v>90</v>
      </c>
      <c r="C14833" t="s">
        <v>617</v>
      </c>
      <c r="D14833">
        <v>648.52</v>
      </c>
      <c r="E14833" s="37" t="str">
        <f t="shared" si="1155"/>
        <v xml:space="preserve"> </v>
      </c>
      <c r="F14833">
        <v>0.25</v>
      </c>
      <c r="G14833" s="37" t="str">
        <f t="shared" si="1156"/>
        <v>Normal Discount</v>
      </c>
      <c r="H14833" s="37" t="str">
        <f t="shared" si="1157"/>
        <v>Medium</v>
      </c>
      <c r="I14833">
        <v>8</v>
      </c>
      <c r="J14833" t="str" cm="1">
        <f t="array" ref="J14833">_xlfn.IFS(I14833&lt;=3,"small",I14833&lt;=6,"Medium",I14833&lt;=9,"Large")</f>
        <v>Large</v>
      </c>
      <c r="K14833" s="36">
        <v>45581</v>
      </c>
      <c r="L14833" s="36">
        <v>45585</v>
      </c>
      <c r="M14833" t="s">
        <v>603</v>
      </c>
      <c r="N14833" t="s">
        <v>604</v>
      </c>
      <c r="O14833" s="37" t="str">
        <f t="shared" si="1158"/>
        <v>Digital Payment</v>
      </c>
      <c r="P14833">
        <v>168.7</v>
      </c>
      <c r="Q14833" s="37" t="str">
        <f>IF(P14833&gt;500,"High","low")</f>
        <v>low</v>
      </c>
      <c r="R14833" s="37" t="str">
        <f t="shared" si="1159"/>
        <v>AVERAGE</v>
      </c>
      <c r="S14833" t="s">
        <v>615</v>
      </c>
    </row>
    <row r="14834" spans="1:19" x14ac:dyDescent="0.2">
      <c r="A14834" t="s">
        <v>15445</v>
      </c>
      <c r="B14834" t="s">
        <v>67</v>
      </c>
      <c r="C14834" t="s">
        <v>617</v>
      </c>
      <c r="D14834">
        <v>1274.47</v>
      </c>
      <c r="E14834" s="37" t="str">
        <f t="shared" si="1155"/>
        <v xml:space="preserve"> </v>
      </c>
      <c r="F14834">
        <v>0.5</v>
      </c>
      <c r="G14834" s="37" t="str">
        <f t="shared" si="1156"/>
        <v>Heavy Discount</v>
      </c>
      <c r="H14834" s="37" t="str">
        <f t="shared" si="1157"/>
        <v>High</v>
      </c>
      <c r="I14834">
        <v>5</v>
      </c>
      <c r="J14834" t="str" cm="1">
        <f t="array" ref="J14834">_xlfn.IFS(I14834&lt;=3,"small",I14834&lt;=6,"Medium",I14834&lt;=9,"Large")</f>
        <v>Medium</v>
      </c>
      <c r="K14834" s="36">
        <v>45482</v>
      </c>
      <c r="L14834" s="36">
        <v>45483</v>
      </c>
      <c r="M14834" t="s">
        <v>603</v>
      </c>
      <c r="N14834" t="s">
        <v>599</v>
      </c>
      <c r="O14834" s="37" t="str">
        <f t="shared" si="1158"/>
        <v>Digital Payment</v>
      </c>
      <c r="P14834">
        <v>319.37</v>
      </c>
      <c r="Q14834" s="37" t="str">
        <f>IF(P14834&gt;500,"High","low")</f>
        <v>low</v>
      </c>
      <c r="R14834" s="37" t="str">
        <f t="shared" si="1159"/>
        <v>AVERAGE</v>
      </c>
      <c r="S14834" t="s">
        <v>605</v>
      </c>
    </row>
    <row r="14835" spans="1:19" x14ac:dyDescent="0.2">
      <c r="A14835" t="s">
        <v>15446</v>
      </c>
      <c r="B14835" t="s">
        <v>90</v>
      </c>
      <c r="C14835" t="s">
        <v>602</v>
      </c>
      <c r="D14835">
        <v>4734.38</v>
      </c>
      <c r="E14835" s="37" t="str">
        <f t="shared" si="1155"/>
        <v>Excellent Order</v>
      </c>
      <c r="F14835">
        <v>0.3</v>
      </c>
      <c r="G14835" s="37" t="str">
        <f t="shared" si="1156"/>
        <v>Normal Discount</v>
      </c>
      <c r="H14835" s="37" t="str">
        <f t="shared" si="1157"/>
        <v>Medium</v>
      </c>
      <c r="I14835">
        <v>6</v>
      </c>
      <c r="J14835" t="str" cm="1">
        <f t="array" ref="J14835">_xlfn.IFS(I14835&lt;=3,"small",I14835&lt;=6,"Medium",I14835&lt;=9,"Large")</f>
        <v>Medium</v>
      </c>
      <c r="K14835" s="36">
        <v>45558</v>
      </c>
      <c r="L14835" s="36">
        <v>45561</v>
      </c>
      <c r="M14835" t="s">
        <v>612</v>
      </c>
      <c r="N14835" t="s">
        <v>599</v>
      </c>
      <c r="O14835" s="37" t="str">
        <f t="shared" si="1158"/>
        <v>Digital Payment</v>
      </c>
      <c r="P14835">
        <v>1193.51</v>
      </c>
      <c r="Q14835" s="37" t="str">
        <f>IF(P14835&gt;500,"High","low")</f>
        <v>High</v>
      </c>
      <c r="R14835" s="37" t="str">
        <f t="shared" si="1159"/>
        <v>Excellent</v>
      </c>
      <c r="S14835" t="s">
        <v>600</v>
      </c>
    </row>
    <row r="14836" spans="1:19" x14ac:dyDescent="0.2">
      <c r="A14836" t="s">
        <v>15447</v>
      </c>
      <c r="B14836" t="s">
        <v>75</v>
      </c>
      <c r="C14836" t="s">
        <v>614</v>
      </c>
      <c r="D14836">
        <v>838.55</v>
      </c>
      <c r="E14836" s="37" t="str">
        <f t="shared" si="1155"/>
        <v xml:space="preserve"> </v>
      </c>
      <c r="F14836">
        <v>0.06</v>
      </c>
      <c r="G14836" s="37" t="str">
        <f t="shared" si="1156"/>
        <v>Normal Discount</v>
      </c>
      <c r="H14836" s="37" t="str">
        <f t="shared" si="1157"/>
        <v>Low</v>
      </c>
      <c r="I14836">
        <v>2</v>
      </c>
      <c r="J14836" t="str" cm="1">
        <f t="array" ref="J14836">_xlfn.IFS(I14836&lt;=3,"small",I14836&lt;=6,"Medium",I14836&lt;=9,"Large")</f>
        <v>small</v>
      </c>
      <c r="K14836" s="36">
        <v>45556</v>
      </c>
      <c r="L14836" s="36">
        <v>45557</v>
      </c>
      <c r="M14836" t="s">
        <v>598</v>
      </c>
      <c r="N14836" t="s">
        <v>608</v>
      </c>
      <c r="O14836" s="37" t="str">
        <f t="shared" si="1158"/>
        <v>Cash Payment</v>
      </c>
      <c r="P14836">
        <v>120.05</v>
      </c>
      <c r="Q14836" s="37" t="str">
        <f>IF(P14836&gt;500,"High","low")</f>
        <v>low</v>
      </c>
      <c r="R14836" s="37" t="str">
        <f t="shared" si="1159"/>
        <v>AVERAGE</v>
      </c>
      <c r="S14836" t="s">
        <v>600</v>
      </c>
    </row>
    <row r="14837" spans="1:19" x14ac:dyDescent="0.2">
      <c r="A14837" t="s">
        <v>15448</v>
      </c>
      <c r="B14837" t="s">
        <v>75</v>
      </c>
      <c r="C14837" t="s">
        <v>617</v>
      </c>
      <c r="D14837">
        <v>3739.67</v>
      </c>
      <c r="E14837" s="37" t="str">
        <f t="shared" si="1155"/>
        <v xml:space="preserve"> </v>
      </c>
      <c r="F14837">
        <v>0.03</v>
      </c>
      <c r="G14837" s="37" t="str">
        <f t="shared" si="1156"/>
        <v>Normal Discount</v>
      </c>
      <c r="H14837" s="37" t="str">
        <f t="shared" si="1157"/>
        <v>Low</v>
      </c>
      <c r="I14837">
        <v>9</v>
      </c>
      <c r="J14837" t="str" cm="1">
        <f t="array" ref="J14837">_xlfn.IFS(I14837&lt;=3,"small",I14837&lt;=6,"Medium",I14837&lt;=9,"Large")</f>
        <v>Large</v>
      </c>
      <c r="K14837" s="36">
        <v>45322</v>
      </c>
      <c r="L14837" s="36">
        <v>45326</v>
      </c>
      <c r="M14837" t="s">
        <v>598</v>
      </c>
      <c r="N14837" t="s">
        <v>604</v>
      </c>
      <c r="O14837" s="37" t="str">
        <f t="shared" si="1158"/>
        <v>Digital Payment</v>
      </c>
      <c r="P14837">
        <v>928.09</v>
      </c>
      <c r="Q14837" s="37" t="str">
        <f>IF(P14837&gt;500,"High","low")</f>
        <v>High</v>
      </c>
      <c r="R14837" s="37" t="str">
        <f t="shared" si="1159"/>
        <v>Good</v>
      </c>
      <c r="S14837" t="s">
        <v>615</v>
      </c>
    </row>
    <row r="14838" spans="1:19" x14ac:dyDescent="0.2">
      <c r="A14838" t="s">
        <v>15449</v>
      </c>
      <c r="B14838" t="s">
        <v>67</v>
      </c>
      <c r="C14838" t="s">
        <v>602</v>
      </c>
      <c r="D14838">
        <v>105.43</v>
      </c>
      <c r="E14838" s="37" t="str">
        <f t="shared" si="1155"/>
        <v xml:space="preserve"> </v>
      </c>
      <c r="F14838">
        <v>0.1</v>
      </c>
      <c r="G14838" s="37" t="str">
        <f t="shared" si="1156"/>
        <v>Normal Discount</v>
      </c>
      <c r="H14838" s="37" t="str">
        <f t="shared" si="1157"/>
        <v>Low</v>
      </c>
      <c r="I14838">
        <v>6</v>
      </c>
      <c r="J14838" t="str" cm="1">
        <f t="array" ref="J14838">_xlfn.IFS(I14838&lt;=3,"small",I14838&lt;=6,"Medium",I14838&lt;=9,"Large")</f>
        <v>Medium</v>
      </c>
      <c r="K14838" s="36">
        <v>45165</v>
      </c>
      <c r="L14838" s="36">
        <v>45172</v>
      </c>
      <c r="M14838" t="s">
        <v>612</v>
      </c>
      <c r="N14838" t="s">
        <v>604</v>
      </c>
      <c r="O14838" s="37" t="str">
        <f t="shared" si="1158"/>
        <v>Digital Payment</v>
      </c>
      <c r="P14838">
        <v>14.61</v>
      </c>
      <c r="Q14838" s="37" t="str">
        <f>IF(P14838&gt;500,"High","low")</f>
        <v>low</v>
      </c>
      <c r="R14838" s="37" t="str">
        <f t="shared" si="1159"/>
        <v>AVERAGE</v>
      </c>
      <c r="S14838" t="s">
        <v>605</v>
      </c>
    </row>
    <row r="14839" spans="1:19" x14ac:dyDescent="0.2">
      <c r="A14839" t="s">
        <v>15450</v>
      </c>
      <c r="B14839" t="s">
        <v>67</v>
      </c>
      <c r="C14839" t="s">
        <v>602</v>
      </c>
      <c r="D14839">
        <v>3195.39</v>
      </c>
      <c r="E14839" s="37" t="str">
        <f t="shared" si="1155"/>
        <v xml:space="preserve"> </v>
      </c>
      <c r="F14839">
        <v>0.21</v>
      </c>
      <c r="G14839" s="37" t="str">
        <f t="shared" si="1156"/>
        <v>Normal Discount</v>
      </c>
      <c r="H14839" s="37" t="str">
        <f t="shared" si="1157"/>
        <v>Medium</v>
      </c>
      <c r="I14839">
        <v>8</v>
      </c>
      <c r="J14839" t="str" cm="1">
        <f t="array" ref="J14839">_xlfn.IFS(I14839&lt;=3,"small",I14839&lt;=6,"Medium",I14839&lt;=9,"Large")</f>
        <v>Large</v>
      </c>
      <c r="K14839" s="36">
        <v>45079</v>
      </c>
      <c r="L14839" s="36">
        <v>45083</v>
      </c>
      <c r="M14839" t="s">
        <v>603</v>
      </c>
      <c r="N14839" t="s">
        <v>604</v>
      </c>
      <c r="O14839" s="37" t="str">
        <f t="shared" si="1158"/>
        <v>Digital Payment</v>
      </c>
      <c r="P14839">
        <v>452.42</v>
      </c>
      <c r="Q14839" s="37" t="str">
        <f>IF(P14839&gt;500,"High","low")</f>
        <v>low</v>
      </c>
      <c r="R14839" s="37" t="str">
        <f t="shared" si="1159"/>
        <v>AVERAGE</v>
      </c>
      <c r="S14839" t="s">
        <v>620</v>
      </c>
    </row>
    <row r="14840" spans="1:19" x14ac:dyDescent="0.2">
      <c r="A14840" t="s">
        <v>15451</v>
      </c>
      <c r="B14840" t="s">
        <v>83</v>
      </c>
      <c r="C14840" t="s">
        <v>607</v>
      </c>
      <c r="D14840">
        <v>2523.54</v>
      </c>
      <c r="E14840" s="37" t="str">
        <f t="shared" si="1155"/>
        <v xml:space="preserve"> </v>
      </c>
      <c r="F14840">
        <v>0.37</v>
      </c>
      <c r="G14840" s="37" t="str">
        <f t="shared" si="1156"/>
        <v>Heavy Discount</v>
      </c>
      <c r="H14840" s="37" t="str">
        <f t="shared" si="1157"/>
        <v>Medium</v>
      </c>
      <c r="I14840">
        <v>7</v>
      </c>
      <c r="J14840" t="str" cm="1">
        <f t="array" ref="J14840">_xlfn.IFS(I14840&lt;=3,"small",I14840&lt;=6,"Medium",I14840&lt;=9,"Large")</f>
        <v>Large</v>
      </c>
      <c r="K14840" s="36">
        <v>45128</v>
      </c>
      <c r="L14840" s="36">
        <v>45133</v>
      </c>
      <c r="M14840" t="s">
        <v>612</v>
      </c>
      <c r="N14840" t="s">
        <v>608</v>
      </c>
      <c r="O14840" s="37" t="str">
        <f t="shared" si="1158"/>
        <v>Cash Payment</v>
      </c>
      <c r="P14840">
        <v>627.04999999999995</v>
      </c>
      <c r="Q14840" s="37" t="str">
        <f>IF(P14840&gt;500,"High","low")</f>
        <v>High</v>
      </c>
      <c r="R14840" s="37" t="str">
        <f t="shared" si="1159"/>
        <v>Good</v>
      </c>
      <c r="S14840" t="s">
        <v>600</v>
      </c>
    </row>
    <row r="14841" spans="1:19" x14ac:dyDescent="0.2">
      <c r="A14841" t="s">
        <v>15452</v>
      </c>
      <c r="B14841" t="s">
        <v>67</v>
      </c>
      <c r="C14841" t="s">
        <v>617</v>
      </c>
      <c r="D14841">
        <v>2408.02</v>
      </c>
      <c r="E14841" s="37" t="str">
        <f t="shared" si="1155"/>
        <v xml:space="preserve"> </v>
      </c>
      <c r="F14841">
        <v>0</v>
      </c>
      <c r="G14841" s="37" t="str">
        <f t="shared" si="1156"/>
        <v>Normal Discount</v>
      </c>
      <c r="H14841" s="37" t="str">
        <f t="shared" si="1157"/>
        <v>Low</v>
      </c>
      <c r="I14841">
        <v>2</v>
      </c>
      <c r="J14841" t="str" cm="1">
        <f t="array" ref="J14841">_xlfn.IFS(I14841&lt;=3,"small",I14841&lt;=6,"Medium",I14841&lt;=9,"Large")</f>
        <v>small</v>
      </c>
      <c r="K14841" s="36">
        <v>44976</v>
      </c>
      <c r="L14841" s="36">
        <v>44982</v>
      </c>
      <c r="M14841" t="s">
        <v>598</v>
      </c>
      <c r="N14841" t="s">
        <v>604</v>
      </c>
      <c r="O14841" s="37" t="str">
        <f t="shared" si="1158"/>
        <v>Digital Payment</v>
      </c>
      <c r="P14841">
        <v>355.4</v>
      </c>
      <c r="Q14841" s="37" t="str">
        <f>IF(P14841&gt;500,"High","low")</f>
        <v>low</v>
      </c>
      <c r="R14841" s="37" t="str">
        <f t="shared" si="1159"/>
        <v>AVERAGE</v>
      </c>
      <c r="S14841" t="s">
        <v>600</v>
      </c>
    </row>
    <row r="14842" spans="1:19" x14ac:dyDescent="0.2">
      <c r="A14842" t="s">
        <v>15453</v>
      </c>
      <c r="B14842" t="s">
        <v>67</v>
      </c>
      <c r="C14842" t="s">
        <v>602</v>
      </c>
      <c r="D14842">
        <v>4163.04</v>
      </c>
      <c r="E14842" s="37" t="str">
        <f t="shared" si="1155"/>
        <v>Excellent Order</v>
      </c>
      <c r="F14842">
        <v>0.13</v>
      </c>
      <c r="G14842" s="37" t="str">
        <f t="shared" si="1156"/>
        <v>Normal Discount</v>
      </c>
      <c r="H14842" s="37" t="str">
        <f t="shared" si="1157"/>
        <v>Low</v>
      </c>
      <c r="I14842">
        <v>2</v>
      </c>
      <c r="J14842" t="str" cm="1">
        <f t="array" ref="J14842">_xlfn.IFS(I14842&lt;=3,"small",I14842&lt;=6,"Medium",I14842&lt;=9,"Large")</f>
        <v>small</v>
      </c>
      <c r="K14842" s="36">
        <v>45065</v>
      </c>
      <c r="L14842" s="36">
        <v>45069</v>
      </c>
      <c r="M14842" t="s">
        <v>603</v>
      </c>
      <c r="N14842" t="s">
        <v>604</v>
      </c>
      <c r="O14842" s="37" t="str">
        <f t="shared" si="1158"/>
        <v>Digital Payment</v>
      </c>
      <c r="P14842">
        <v>1049.04</v>
      </c>
      <c r="Q14842" s="37" t="str">
        <f>IF(P14842&gt;500,"High","low")</f>
        <v>High</v>
      </c>
      <c r="R14842" s="37" t="str">
        <f t="shared" si="1159"/>
        <v>Excellent</v>
      </c>
      <c r="S14842" t="s">
        <v>605</v>
      </c>
    </row>
    <row r="14843" spans="1:19" x14ac:dyDescent="0.2">
      <c r="A14843" t="s">
        <v>15454</v>
      </c>
      <c r="B14843" t="s">
        <v>90</v>
      </c>
      <c r="C14843" t="s">
        <v>607</v>
      </c>
      <c r="D14843">
        <v>495.6</v>
      </c>
      <c r="E14843" s="37" t="str">
        <f t="shared" si="1155"/>
        <v xml:space="preserve"> </v>
      </c>
      <c r="F14843">
        <v>0.28999999999999998</v>
      </c>
      <c r="G14843" s="37" t="str">
        <f t="shared" si="1156"/>
        <v>Normal Discount</v>
      </c>
      <c r="H14843" s="37" t="str">
        <f t="shared" si="1157"/>
        <v>Medium</v>
      </c>
      <c r="I14843">
        <v>5</v>
      </c>
      <c r="J14843" t="str" cm="1">
        <f t="array" ref="J14843">_xlfn.IFS(I14843&lt;=3,"small",I14843&lt;=6,"Medium",I14843&lt;=9,"Large")</f>
        <v>Medium</v>
      </c>
      <c r="K14843" s="36">
        <v>45265</v>
      </c>
      <c r="L14843" s="36">
        <v>45272</v>
      </c>
      <c r="M14843" t="s">
        <v>612</v>
      </c>
      <c r="N14843" t="s">
        <v>599</v>
      </c>
      <c r="O14843" s="37" t="str">
        <f t="shared" si="1158"/>
        <v>Digital Payment</v>
      </c>
      <c r="P14843">
        <v>26.19</v>
      </c>
      <c r="Q14843" s="37" t="str">
        <f>IF(P14843&gt;500,"High","low")</f>
        <v>low</v>
      </c>
      <c r="R14843" s="37" t="str">
        <f t="shared" si="1159"/>
        <v>AVERAGE</v>
      </c>
      <c r="S14843" t="s">
        <v>600</v>
      </c>
    </row>
    <row r="14844" spans="1:19" x14ac:dyDescent="0.2">
      <c r="A14844" t="s">
        <v>15455</v>
      </c>
      <c r="B14844" t="s">
        <v>75</v>
      </c>
      <c r="C14844" t="s">
        <v>614</v>
      </c>
      <c r="D14844">
        <v>1948.93</v>
      </c>
      <c r="E14844" s="37" t="str">
        <f t="shared" si="1155"/>
        <v xml:space="preserve"> </v>
      </c>
      <c r="F14844">
        <v>0.15</v>
      </c>
      <c r="G14844" s="37" t="str">
        <f t="shared" si="1156"/>
        <v>Normal Discount</v>
      </c>
      <c r="H14844" s="37" t="str">
        <f t="shared" si="1157"/>
        <v>Low</v>
      </c>
      <c r="I14844">
        <v>3</v>
      </c>
      <c r="J14844" t="str" cm="1">
        <f t="array" ref="J14844">_xlfn.IFS(I14844&lt;=3,"small",I14844&lt;=6,"Medium",I14844&lt;=9,"Large")</f>
        <v>small</v>
      </c>
      <c r="K14844" s="36">
        <v>45205</v>
      </c>
      <c r="L14844" s="36">
        <v>45210</v>
      </c>
      <c r="M14844" t="s">
        <v>598</v>
      </c>
      <c r="N14844" t="s">
        <v>599</v>
      </c>
      <c r="O14844" s="37" t="str">
        <f t="shared" si="1158"/>
        <v>Digital Payment</v>
      </c>
      <c r="P14844">
        <v>181.06</v>
      </c>
      <c r="Q14844" s="37" t="str">
        <f>IF(P14844&gt;500,"High","low")</f>
        <v>low</v>
      </c>
      <c r="R14844" s="37" t="str">
        <f t="shared" si="1159"/>
        <v>AVERAGE</v>
      </c>
      <c r="S14844" t="s">
        <v>609</v>
      </c>
    </row>
    <row r="14845" spans="1:19" x14ac:dyDescent="0.2">
      <c r="A14845" t="s">
        <v>15456</v>
      </c>
      <c r="B14845" t="s">
        <v>67</v>
      </c>
      <c r="C14845" t="s">
        <v>607</v>
      </c>
      <c r="D14845">
        <v>2285.59</v>
      </c>
      <c r="E14845" s="37" t="str">
        <f t="shared" si="1155"/>
        <v xml:space="preserve"> </v>
      </c>
      <c r="F14845">
        <v>0.18</v>
      </c>
      <c r="G14845" s="37" t="str">
        <f t="shared" si="1156"/>
        <v>Normal Discount</v>
      </c>
      <c r="H14845" s="37" t="str">
        <f t="shared" si="1157"/>
        <v>Low</v>
      </c>
      <c r="I14845">
        <v>1</v>
      </c>
      <c r="J14845" t="str" cm="1">
        <f t="array" ref="J14845">_xlfn.IFS(I14845&lt;=3,"small",I14845&lt;=6,"Medium",I14845&lt;=9,"Large")</f>
        <v>small</v>
      </c>
      <c r="K14845" s="36">
        <v>45014</v>
      </c>
      <c r="L14845" s="36">
        <v>45020</v>
      </c>
      <c r="M14845" t="s">
        <v>598</v>
      </c>
      <c r="N14845" t="s">
        <v>604</v>
      </c>
      <c r="O14845" s="37" t="str">
        <f t="shared" si="1158"/>
        <v>Digital Payment</v>
      </c>
      <c r="P14845">
        <v>647.62</v>
      </c>
      <c r="Q14845" s="37" t="str">
        <f>IF(P14845&gt;500,"High","low")</f>
        <v>High</v>
      </c>
      <c r="R14845" s="37" t="str">
        <f t="shared" si="1159"/>
        <v>Good</v>
      </c>
      <c r="S14845" t="s">
        <v>628</v>
      </c>
    </row>
    <row r="14846" spans="1:19" x14ac:dyDescent="0.2">
      <c r="A14846" t="s">
        <v>15457</v>
      </c>
      <c r="B14846" t="s">
        <v>83</v>
      </c>
      <c r="C14846" t="s">
        <v>614</v>
      </c>
      <c r="D14846">
        <v>707.24</v>
      </c>
      <c r="E14846" s="37" t="str">
        <f t="shared" si="1155"/>
        <v xml:space="preserve"> </v>
      </c>
      <c r="F14846">
        <v>0.15</v>
      </c>
      <c r="G14846" s="37" t="str">
        <f t="shared" si="1156"/>
        <v>Normal Discount</v>
      </c>
      <c r="H14846" s="37" t="str">
        <f t="shared" si="1157"/>
        <v>Low</v>
      </c>
      <c r="I14846">
        <v>3</v>
      </c>
      <c r="J14846" t="str" cm="1">
        <f t="array" ref="J14846">_xlfn.IFS(I14846&lt;=3,"small",I14846&lt;=6,"Medium",I14846&lt;=9,"Large")</f>
        <v>small</v>
      </c>
      <c r="K14846" s="36">
        <v>45581</v>
      </c>
      <c r="L14846" s="36">
        <v>45587</v>
      </c>
      <c r="M14846" t="s">
        <v>603</v>
      </c>
      <c r="N14846" t="s">
        <v>599</v>
      </c>
      <c r="O14846" s="37" t="str">
        <f t="shared" si="1158"/>
        <v>Digital Payment</v>
      </c>
      <c r="P14846">
        <v>146.66</v>
      </c>
      <c r="Q14846" s="37" t="str">
        <f>IF(P14846&gt;500,"High","low")</f>
        <v>low</v>
      </c>
      <c r="R14846" s="37" t="str">
        <f t="shared" si="1159"/>
        <v>AVERAGE</v>
      </c>
      <c r="S14846" t="s">
        <v>609</v>
      </c>
    </row>
    <row r="14847" spans="1:19" x14ac:dyDescent="0.2">
      <c r="A14847" t="s">
        <v>15458</v>
      </c>
      <c r="B14847" t="s">
        <v>67</v>
      </c>
      <c r="C14847" t="s">
        <v>597</v>
      </c>
      <c r="D14847">
        <v>519.77</v>
      </c>
      <c r="E14847" s="37" t="str">
        <f t="shared" si="1155"/>
        <v xml:space="preserve"> </v>
      </c>
      <c r="F14847">
        <v>0.48</v>
      </c>
      <c r="G14847" s="37" t="str">
        <f t="shared" si="1156"/>
        <v>Heavy Discount</v>
      </c>
      <c r="H14847" s="37" t="str">
        <f t="shared" si="1157"/>
        <v>High</v>
      </c>
      <c r="I14847">
        <v>7</v>
      </c>
      <c r="J14847" t="str" cm="1">
        <f t="array" ref="J14847">_xlfn.IFS(I14847&lt;=3,"small",I14847&lt;=6,"Medium",I14847&lt;=9,"Large")</f>
        <v>Large</v>
      </c>
      <c r="K14847" s="36">
        <v>45501</v>
      </c>
      <c r="L14847" s="36">
        <v>45506</v>
      </c>
      <c r="M14847" t="s">
        <v>598</v>
      </c>
      <c r="N14847" t="s">
        <v>608</v>
      </c>
      <c r="O14847" s="37" t="str">
        <f t="shared" si="1158"/>
        <v>Cash Payment</v>
      </c>
      <c r="P14847">
        <v>86.81</v>
      </c>
      <c r="Q14847" s="37" t="str">
        <f>IF(P14847&gt;500,"High","low")</f>
        <v>low</v>
      </c>
      <c r="R14847" s="37" t="str">
        <f t="shared" si="1159"/>
        <v>AVERAGE</v>
      </c>
      <c r="S14847" t="s">
        <v>605</v>
      </c>
    </row>
    <row r="14848" spans="1:19" x14ac:dyDescent="0.2">
      <c r="A14848" t="s">
        <v>15459</v>
      </c>
      <c r="B14848" t="s">
        <v>75</v>
      </c>
      <c r="C14848" t="s">
        <v>597</v>
      </c>
      <c r="D14848">
        <v>980.11</v>
      </c>
      <c r="E14848" s="37" t="str">
        <f t="shared" si="1155"/>
        <v xml:space="preserve"> </v>
      </c>
      <c r="F14848">
        <v>0.03</v>
      </c>
      <c r="G14848" s="37" t="str">
        <f t="shared" si="1156"/>
        <v>Normal Discount</v>
      </c>
      <c r="H14848" s="37" t="str">
        <f t="shared" si="1157"/>
        <v>Low</v>
      </c>
      <c r="I14848">
        <v>9</v>
      </c>
      <c r="J14848" t="str" cm="1">
        <f t="array" ref="J14848">_xlfn.IFS(I14848&lt;=3,"small",I14848&lt;=6,"Medium",I14848&lt;=9,"Large")</f>
        <v>Large</v>
      </c>
      <c r="K14848" s="36">
        <v>45586</v>
      </c>
      <c r="L14848" s="36">
        <v>45588</v>
      </c>
      <c r="M14848" t="s">
        <v>598</v>
      </c>
      <c r="N14848" t="s">
        <v>599</v>
      </c>
      <c r="O14848" s="37" t="str">
        <f t="shared" si="1158"/>
        <v>Digital Payment</v>
      </c>
      <c r="P14848">
        <v>191.14</v>
      </c>
      <c r="Q14848" s="37" t="str">
        <f>IF(P14848&gt;500,"High","low")</f>
        <v>low</v>
      </c>
      <c r="R14848" s="37" t="str">
        <f t="shared" si="1159"/>
        <v>AVERAGE</v>
      </c>
      <c r="S14848" t="s">
        <v>605</v>
      </c>
    </row>
    <row r="14849" spans="1:19" x14ac:dyDescent="0.2">
      <c r="A14849" t="s">
        <v>15460</v>
      </c>
      <c r="B14849" t="s">
        <v>67</v>
      </c>
      <c r="C14849" t="s">
        <v>607</v>
      </c>
      <c r="D14849">
        <v>1281.1300000000001</v>
      </c>
      <c r="E14849" s="37" t="str">
        <f t="shared" si="1155"/>
        <v xml:space="preserve"> </v>
      </c>
      <c r="F14849">
        <v>0.45</v>
      </c>
      <c r="G14849" s="37" t="str">
        <f t="shared" si="1156"/>
        <v>Heavy Discount</v>
      </c>
      <c r="H14849" s="37" t="str">
        <f t="shared" si="1157"/>
        <v>High</v>
      </c>
      <c r="I14849">
        <v>4</v>
      </c>
      <c r="J14849" t="str" cm="1">
        <f t="array" ref="J14849">_xlfn.IFS(I14849&lt;=3,"small",I14849&lt;=6,"Medium",I14849&lt;=9,"Large")</f>
        <v>Medium</v>
      </c>
      <c r="K14849" s="36">
        <v>45271</v>
      </c>
      <c r="L14849" s="36">
        <v>45276</v>
      </c>
      <c r="M14849" t="s">
        <v>612</v>
      </c>
      <c r="N14849" t="s">
        <v>604</v>
      </c>
      <c r="O14849" s="37" t="str">
        <f t="shared" si="1158"/>
        <v>Digital Payment</v>
      </c>
      <c r="P14849">
        <v>192.83</v>
      </c>
      <c r="Q14849" s="37" t="str">
        <f>IF(P14849&gt;500,"High","low")</f>
        <v>low</v>
      </c>
      <c r="R14849" s="37" t="str">
        <f t="shared" si="1159"/>
        <v>AVERAGE</v>
      </c>
      <c r="S14849" t="s">
        <v>600</v>
      </c>
    </row>
    <row r="14850" spans="1:19" x14ac:dyDescent="0.2">
      <c r="A14850" t="s">
        <v>15461</v>
      </c>
      <c r="B14850" t="s">
        <v>90</v>
      </c>
      <c r="C14850" t="s">
        <v>597</v>
      </c>
      <c r="D14850">
        <v>4833.7</v>
      </c>
      <c r="E14850" s="37" t="str">
        <f t="shared" si="1155"/>
        <v xml:space="preserve"> </v>
      </c>
      <c r="F14850">
        <v>0.16</v>
      </c>
      <c r="G14850" s="37" t="str">
        <f t="shared" si="1156"/>
        <v>Normal Discount</v>
      </c>
      <c r="H14850" s="37" t="str">
        <f t="shared" si="1157"/>
        <v>Low</v>
      </c>
      <c r="I14850">
        <v>8</v>
      </c>
      <c r="J14850" t="str" cm="1">
        <f t="array" ref="J14850">_xlfn.IFS(I14850&lt;=3,"small",I14850&lt;=6,"Medium",I14850&lt;=9,"Large")</f>
        <v>Large</v>
      </c>
      <c r="K14850" s="36">
        <v>45174</v>
      </c>
      <c r="L14850" s="36">
        <v>45176</v>
      </c>
      <c r="M14850" t="s">
        <v>598</v>
      </c>
      <c r="N14850" t="s">
        <v>604</v>
      </c>
      <c r="O14850" s="37" t="str">
        <f t="shared" si="1158"/>
        <v>Digital Payment</v>
      </c>
      <c r="P14850">
        <v>402.11</v>
      </c>
      <c r="Q14850" s="37" t="str">
        <f>IF(P14850&gt;500,"High","low")</f>
        <v>low</v>
      </c>
      <c r="R14850" s="37" t="str">
        <f t="shared" si="1159"/>
        <v>AVERAGE</v>
      </c>
      <c r="S14850" t="s">
        <v>600</v>
      </c>
    </row>
    <row r="14851" spans="1:19" x14ac:dyDescent="0.2">
      <c r="A14851" t="s">
        <v>15462</v>
      </c>
      <c r="B14851" t="s">
        <v>75</v>
      </c>
      <c r="C14851" t="s">
        <v>617</v>
      </c>
      <c r="D14851">
        <v>2430.5100000000002</v>
      </c>
      <c r="E14851" s="37" t="str">
        <f t="shared" ref="E14851:E14914" si="1160">IF(AND(D14851&gt;4000,P14851&gt;800),"Excellent Order"," ")</f>
        <v xml:space="preserve"> </v>
      </c>
      <c r="F14851">
        <v>0.12</v>
      </c>
      <c r="G14851" s="37" t="str">
        <f t="shared" ref="G14851:G14914" si="1161">IF(F14851&gt;30%,"Heavy Discount","Normal Discount")</f>
        <v>Normal Discount</v>
      </c>
      <c r="H14851" s="37" t="str">
        <f t="shared" ref="H14851:H14914" si="1162">IF(F14851&gt;0.4,"High",IF(F14851&gt;=0.2,"Medium","Low"))</f>
        <v>Low</v>
      </c>
      <c r="I14851">
        <v>6</v>
      </c>
      <c r="J14851" t="str" cm="1">
        <f t="array" ref="J14851">_xlfn.IFS(I14851&lt;=3,"small",I14851&lt;=6,"Medium",I14851&lt;=9,"Large")</f>
        <v>Medium</v>
      </c>
      <c r="K14851" s="36">
        <v>45448</v>
      </c>
      <c r="L14851" s="36">
        <v>45450</v>
      </c>
      <c r="M14851" t="s">
        <v>612</v>
      </c>
      <c r="N14851" t="s">
        <v>599</v>
      </c>
      <c r="O14851" s="37" t="str">
        <f t="shared" ref="O14851:O14914" si="1163">IF(OR(N14851="Card",N14851="UPI"),"Digital Payment","Cash Payment")</f>
        <v>Digital Payment</v>
      </c>
      <c r="P14851">
        <v>663.03</v>
      </c>
      <c r="Q14851" s="37" t="str">
        <f>IF(P14851&gt;500,"High","low")</f>
        <v>High</v>
      </c>
      <c r="R14851" s="37" t="str">
        <f t="shared" ref="R14851:R14914" si="1164">IF(P14851&gt;1000,"Excellent",IF(P14851&gt;=500,"Good","AVERAGE"))</f>
        <v>Good</v>
      </c>
      <c r="S14851" t="s">
        <v>605</v>
      </c>
    </row>
    <row r="14852" spans="1:19" x14ac:dyDescent="0.2">
      <c r="A14852" t="s">
        <v>15463</v>
      </c>
      <c r="B14852" t="s">
        <v>67</v>
      </c>
      <c r="C14852" t="s">
        <v>607</v>
      </c>
      <c r="D14852">
        <v>2600.42</v>
      </c>
      <c r="E14852" s="37" t="str">
        <f t="shared" si="1160"/>
        <v xml:space="preserve"> </v>
      </c>
      <c r="F14852">
        <v>0.44</v>
      </c>
      <c r="G14852" s="37" t="str">
        <f t="shared" si="1161"/>
        <v>Heavy Discount</v>
      </c>
      <c r="H14852" s="37" t="str">
        <f t="shared" si="1162"/>
        <v>High</v>
      </c>
      <c r="I14852">
        <v>4</v>
      </c>
      <c r="J14852" t="str" cm="1">
        <f t="array" ref="J14852">_xlfn.IFS(I14852&lt;=3,"small",I14852&lt;=6,"Medium",I14852&lt;=9,"Large")</f>
        <v>Medium</v>
      </c>
      <c r="K14852" s="36">
        <v>45550</v>
      </c>
      <c r="L14852" s="36">
        <v>45553</v>
      </c>
      <c r="M14852" t="s">
        <v>598</v>
      </c>
      <c r="N14852" t="s">
        <v>599</v>
      </c>
      <c r="O14852" s="37" t="str">
        <f t="shared" si="1163"/>
        <v>Digital Payment</v>
      </c>
      <c r="P14852">
        <v>620.27</v>
      </c>
      <c r="Q14852" s="37" t="str">
        <f>IF(P14852&gt;500,"High","low")</f>
        <v>High</v>
      </c>
      <c r="R14852" s="37" t="str">
        <f t="shared" si="1164"/>
        <v>Good</v>
      </c>
      <c r="S14852" t="s">
        <v>615</v>
      </c>
    </row>
    <row r="14853" spans="1:19" x14ac:dyDescent="0.2">
      <c r="A14853" t="s">
        <v>15464</v>
      </c>
      <c r="B14853" t="s">
        <v>90</v>
      </c>
      <c r="C14853" t="s">
        <v>602</v>
      </c>
      <c r="D14853">
        <v>3564.29</v>
      </c>
      <c r="E14853" s="37" t="str">
        <f t="shared" si="1160"/>
        <v xml:space="preserve"> </v>
      </c>
      <c r="F14853">
        <v>0.14000000000000001</v>
      </c>
      <c r="G14853" s="37" t="str">
        <f t="shared" si="1161"/>
        <v>Normal Discount</v>
      </c>
      <c r="H14853" s="37" t="str">
        <f t="shared" si="1162"/>
        <v>Low</v>
      </c>
      <c r="I14853">
        <v>3</v>
      </c>
      <c r="J14853" t="str" cm="1">
        <f t="array" ref="J14853">_xlfn.IFS(I14853&lt;=3,"small",I14853&lt;=6,"Medium",I14853&lt;=9,"Large")</f>
        <v>small</v>
      </c>
      <c r="K14853" s="36">
        <v>45168</v>
      </c>
      <c r="L14853" s="36">
        <v>45170</v>
      </c>
      <c r="M14853" t="s">
        <v>603</v>
      </c>
      <c r="N14853" t="s">
        <v>599</v>
      </c>
      <c r="O14853" s="37" t="str">
        <f t="shared" si="1163"/>
        <v>Digital Payment</v>
      </c>
      <c r="P14853">
        <v>800.1</v>
      </c>
      <c r="Q14853" s="37" t="str">
        <f>IF(P14853&gt;500,"High","low")</f>
        <v>High</v>
      </c>
      <c r="R14853" s="37" t="str">
        <f t="shared" si="1164"/>
        <v>Good</v>
      </c>
      <c r="S14853" t="s">
        <v>615</v>
      </c>
    </row>
    <row r="14854" spans="1:19" x14ac:dyDescent="0.2">
      <c r="A14854" t="s">
        <v>15465</v>
      </c>
      <c r="B14854" t="s">
        <v>75</v>
      </c>
      <c r="C14854" t="s">
        <v>617</v>
      </c>
      <c r="D14854">
        <v>3452.91</v>
      </c>
      <c r="E14854" s="37" t="str">
        <f t="shared" si="1160"/>
        <v xml:space="preserve"> </v>
      </c>
      <c r="F14854">
        <v>0.49</v>
      </c>
      <c r="G14854" s="37" t="str">
        <f t="shared" si="1161"/>
        <v>Heavy Discount</v>
      </c>
      <c r="H14854" s="37" t="str">
        <f t="shared" si="1162"/>
        <v>High</v>
      </c>
      <c r="I14854">
        <v>5</v>
      </c>
      <c r="J14854" t="str" cm="1">
        <f t="array" ref="J14854">_xlfn.IFS(I14854&lt;=3,"small",I14854&lt;=6,"Medium",I14854&lt;=9,"Large")</f>
        <v>Medium</v>
      </c>
      <c r="K14854" s="36">
        <v>45371</v>
      </c>
      <c r="L14854" s="36">
        <v>45377</v>
      </c>
      <c r="M14854" t="s">
        <v>612</v>
      </c>
      <c r="N14854" t="s">
        <v>599</v>
      </c>
      <c r="O14854" s="37" t="str">
        <f t="shared" si="1163"/>
        <v>Digital Payment</v>
      </c>
      <c r="P14854">
        <v>901.06</v>
      </c>
      <c r="Q14854" s="37" t="str">
        <f>IF(P14854&gt;500,"High","low")</f>
        <v>High</v>
      </c>
      <c r="R14854" s="37" t="str">
        <f t="shared" si="1164"/>
        <v>Good</v>
      </c>
      <c r="S14854" t="s">
        <v>609</v>
      </c>
    </row>
    <row r="14855" spans="1:19" x14ac:dyDescent="0.2">
      <c r="A14855" t="s">
        <v>15466</v>
      </c>
      <c r="B14855" t="s">
        <v>67</v>
      </c>
      <c r="C14855" t="s">
        <v>607</v>
      </c>
      <c r="D14855">
        <v>2563.61</v>
      </c>
      <c r="E14855" s="37" t="str">
        <f t="shared" si="1160"/>
        <v xml:space="preserve"> </v>
      </c>
      <c r="F14855">
        <v>0.27</v>
      </c>
      <c r="G14855" s="37" t="str">
        <f t="shared" si="1161"/>
        <v>Normal Discount</v>
      </c>
      <c r="H14855" s="37" t="str">
        <f t="shared" si="1162"/>
        <v>Medium</v>
      </c>
      <c r="I14855">
        <v>3</v>
      </c>
      <c r="J14855" t="str" cm="1">
        <f t="array" ref="J14855">_xlfn.IFS(I14855&lt;=3,"small",I14855&lt;=6,"Medium",I14855&lt;=9,"Large")</f>
        <v>small</v>
      </c>
      <c r="K14855" s="36">
        <v>45403</v>
      </c>
      <c r="L14855" s="36">
        <v>45406</v>
      </c>
      <c r="M14855" t="s">
        <v>598</v>
      </c>
      <c r="N14855" t="s">
        <v>604</v>
      </c>
      <c r="O14855" s="37" t="str">
        <f t="shared" si="1163"/>
        <v>Digital Payment</v>
      </c>
      <c r="P14855">
        <v>606.08000000000004</v>
      </c>
      <c r="Q14855" s="37" t="str">
        <f>IF(P14855&gt;500,"High","low")</f>
        <v>High</v>
      </c>
      <c r="R14855" s="37" t="str">
        <f t="shared" si="1164"/>
        <v>Good</v>
      </c>
      <c r="S14855" t="s">
        <v>600</v>
      </c>
    </row>
    <row r="14856" spans="1:19" x14ac:dyDescent="0.2">
      <c r="A14856" t="s">
        <v>15467</v>
      </c>
      <c r="B14856" t="s">
        <v>90</v>
      </c>
      <c r="C14856" t="s">
        <v>614</v>
      </c>
      <c r="D14856">
        <v>1765.21</v>
      </c>
      <c r="E14856" s="37" t="str">
        <f t="shared" si="1160"/>
        <v xml:space="preserve"> </v>
      </c>
      <c r="F14856">
        <v>0.24</v>
      </c>
      <c r="G14856" s="37" t="str">
        <f t="shared" si="1161"/>
        <v>Normal Discount</v>
      </c>
      <c r="H14856" s="37" t="str">
        <f t="shared" si="1162"/>
        <v>Medium</v>
      </c>
      <c r="I14856">
        <v>8</v>
      </c>
      <c r="J14856" t="str" cm="1">
        <f t="array" ref="J14856">_xlfn.IFS(I14856&lt;=3,"small",I14856&lt;=6,"Medium",I14856&lt;=9,"Large")</f>
        <v>Large</v>
      </c>
      <c r="K14856" s="36">
        <v>45300</v>
      </c>
      <c r="L14856" s="36">
        <v>45303</v>
      </c>
      <c r="M14856" t="s">
        <v>603</v>
      </c>
      <c r="N14856" t="s">
        <v>599</v>
      </c>
      <c r="O14856" s="37" t="str">
        <f t="shared" si="1163"/>
        <v>Digital Payment</v>
      </c>
      <c r="P14856">
        <v>315.89</v>
      </c>
      <c r="Q14856" s="37" t="str">
        <f>IF(P14856&gt;500,"High","low")</f>
        <v>low</v>
      </c>
      <c r="R14856" s="37" t="str">
        <f t="shared" si="1164"/>
        <v>AVERAGE</v>
      </c>
      <c r="S14856" t="s">
        <v>615</v>
      </c>
    </row>
    <row r="14857" spans="1:19" x14ac:dyDescent="0.2">
      <c r="A14857" t="s">
        <v>15468</v>
      </c>
      <c r="B14857" t="s">
        <v>83</v>
      </c>
      <c r="C14857" t="s">
        <v>597</v>
      </c>
      <c r="D14857">
        <v>1722.15</v>
      </c>
      <c r="E14857" s="37" t="str">
        <f t="shared" si="1160"/>
        <v xml:space="preserve"> </v>
      </c>
      <c r="F14857">
        <v>0.49</v>
      </c>
      <c r="G14857" s="37" t="str">
        <f t="shared" si="1161"/>
        <v>Heavy Discount</v>
      </c>
      <c r="H14857" s="37" t="str">
        <f t="shared" si="1162"/>
        <v>High</v>
      </c>
      <c r="I14857">
        <v>6</v>
      </c>
      <c r="J14857" t="str" cm="1">
        <f t="array" ref="J14857">_xlfn.IFS(I14857&lt;=3,"small",I14857&lt;=6,"Medium",I14857&lt;=9,"Large")</f>
        <v>Medium</v>
      </c>
      <c r="K14857" s="36">
        <v>45487</v>
      </c>
      <c r="L14857" s="36">
        <v>45490</v>
      </c>
      <c r="M14857" t="s">
        <v>598</v>
      </c>
      <c r="N14857" t="s">
        <v>604</v>
      </c>
      <c r="O14857" s="37" t="str">
        <f t="shared" si="1163"/>
        <v>Digital Payment</v>
      </c>
      <c r="P14857">
        <v>145.15</v>
      </c>
      <c r="Q14857" s="37" t="str">
        <f>IF(P14857&gt;500,"High","low")</f>
        <v>low</v>
      </c>
      <c r="R14857" s="37" t="str">
        <f t="shared" si="1164"/>
        <v>AVERAGE</v>
      </c>
      <c r="S14857" t="s">
        <v>615</v>
      </c>
    </row>
    <row r="14858" spans="1:19" x14ac:dyDescent="0.2">
      <c r="A14858" t="s">
        <v>15469</v>
      </c>
      <c r="B14858" t="s">
        <v>90</v>
      </c>
      <c r="C14858" t="s">
        <v>597</v>
      </c>
      <c r="D14858">
        <v>382.78</v>
      </c>
      <c r="E14858" s="37" t="str">
        <f t="shared" si="1160"/>
        <v xml:space="preserve"> </v>
      </c>
      <c r="F14858">
        <v>0.11</v>
      </c>
      <c r="G14858" s="37" t="str">
        <f t="shared" si="1161"/>
        <v>Normal Discount</v>
      </c>
      <c r="H14858" s="37" t="str">
        <f t="shared" si="1162"/>
        <v>Low</v>
      </c>
      <c r="I14858">
        <v>6</v>
      </c>
      <c r="J14858" t="str" cm="1">
        <f t="array" ref="J14858">_xlfn.IFS(I14858&lt;=3,"small",I14858&lt;=6,"Medium",I14858&lt;=9,"Large")</f>
        <v>Medium</v>
      </c>
      <c r="K14858" s="36">
        <v>44975</v>
      </c>
      <c r="L14858" s="36">
        <v>44981</v>
      </c>
      <c r="M14858" t="s">
        <v>612</v>
      </c>
      <c r="N14858" t="s">
        <v>604</v>
      </c>
      <c r="O14858" s="37" t="str">
        <f t="shared" si="1163"/>
        <v>Digital Payment</v>
      </c>
      <c r="P14858">
        <v>29.41</v>
      </c>
      <c r="Q14858" s="37" t="str">
        <f>IF(P14858&gt;500,"High","low")</f>
        <v>low</v>
      </c>
      <c r="R14858" s="37" t="str">
        <f t="shared" si="1164"/>
        <v>AVERAGE</v>
      </c>
      <c r="S14858" t="s">
        <v>620</v>
      </c>
    </row>
    <row r="14859" spans="1:19" x14ac:dyDescent="0.2">
      <c r="A14859" t="s">
        <v>15470</v>
      </c>
      <c r="B14859" t="s">
        <v>83</v>
      </c>
      <c r="C14859" t="s">
        <v>597</v>
      </c>
      <c r="D14859">
        <v>4508.1899999999996</v>
      </c>
      <c r="E14859" s="37" t="str">
        <f t="shared" si="1160"/>
        <v xml:space="preserve"> </v>
      </c>
      <c r="F14859">
        <v>0.45</v>
      </c>
      <c r="G14859" s="37" t="str">
        <f t="shared" si="1161"/>
        <v>Heavy Discount</v>
      </c>
      <c r="H14859" s="37" t="str">
        <f t="shared" si="1162"/>
        <v>High</v>
      </c>
      <c r="I14859">
        <v>7</v>
      </c>
      <c r="J14859" t="str" cm="1">
        <f t="array" ref="J14859">_xlfn.IFS(I14859&lt;=3,"small",I14859&lt;=6,"Medium",I14859&lt;=9,"Large")</f>
        <v>Large</v>
      </c>
      <c r="K14859" s="36">
        <v>45258</v>
      </c>
      <c r="L14859" s="36">
        <v>45262</v>
      </c>
      <c r="M14859" t="s">
        <v>603</v>
      </c>
      <c r="N14859" t="s">
        <v>604</v>
      </c>
      <c r="O14859" s="37" t="str">
        <f t="shared" si="1163"/>
        <v>Digital Payment</v>
      </c>
      <c r="P14859">
        <v>260.85000000000002</v>
      </c>
      <c r="Q14859" s="37" t="str">
        <f>IF(P14859&gt;500,"High","low")</f>
        <v>low</v>
      </c>
      <c r="R14859" s="37" t="str">
        <f t="shared" si="1164"/>
        <v>AVERAGE</v>
      </c>
      <c r="S14859" t="s">
        <v>605</v>
      </c>
    </row>
    <row r="14860" spans="1:19" x14ac:dyDescent="0.2">
      <c r="A14860" t="s">
        <v>15471</v>
      </c>
      <c r="B14860" t="s">
        <v>67</v>
      </c>
      <c r="C14860" t="s">
        <v>607</v>
      </c>
      <c r="D14860">
        <v>3870.03</v>
      </c>
      <c r="E14860" s="37" t="str">
        <f t="shared" si="1160"/>
        <v xml:space="preserve"> </v>
      </c>
      <c r="F14860">
        <v>0.3</v>
      </c>
      <c r="G14860" s="37" t="str">
        <f t="shared" si="1161"/>
        <v>Normal Discount</v>
      </c>
      <c r="H14860" s="37" t="str">
        <f t="shared" si="1162"/>
        <v>Medium</v>
      </c>
      <c r="I14860">
        <v>7</v>
      </c>
      <c r="J14860" t="str" cm="1">
        <f t="array" ref="J14860">_xlfn.IFS(I14860&lt;=3,"small",I14860&lt;=6,"Medium",I14860&lt;=9,"Large")</f>
        <v>Large</v>
      </c>
      <c r="K14860" s="36">
        <v>45471</v>
      </c>
      <c r="L14860" s="36">
        <v>45478</v>
      </c>
      <c r="M14860" t="s">
        <v>603</v>
      </c>
      <c r="N14860" t="s">
        <v>599</v>
      </c>
      <c r="O14860" s="37" t="str">
        <f t="shared" si="1163"/>
        <v>Digital Payment</v>
      </c>
      <c r="P14860">
        <v>669.26</v>
      </c>
      <c r="Q14860" s="37" t="str">
        <f>IF(P14860&gt;500,"High","low")</f>
        <v>High</v>
      </c>
      <c r="R14860" s="37" t="str">
        <f t="shared" si="1164"/>
        <v>Good</v>
      </c>
      <c r="S14860" t="s">
        <v>620</v>
      </c>
    </row>
    <row r="14861" spans="1:19" x14ac:dyDescent="0.2">
      <c r="A14861" t="s">
        <v>15472</v>
      </c>
      <c r="B14861" t="s">
        <v>90</v>
      </c>
      <c r="C14861" t="s">
        <v>617</v>
      </c>
      <c r="D14861">
        <v>3154.38</v>
      </c>
      <c r="E14861" s="37" t="str">
        <f t="shared" si="1160"/>
        <v xml:space="preserve"> </v>
      </c>
      <c r="F14861">
        <v>0.38</v>
      </c>
      <c r="G14861" s="37" t="str">
        <f t="shared" si="1161"/>
        <v>Heavy Discount</v>
      </c>
      <c r="H14861" s="37" t="str">
        <f t="shared" si="1162"/>
        <v>Medium</v>
      </c>
      <c r="I14861">
        <v>8</v>
      </c>
      <c r="J14861" t="str" cm="1">
        <f t="array" ref="J14861">_xlfn.IFS(I14861&lt;=3,"small",I14861&lt;=6,"Medium",I14861&lt;=9,"Large")</f>
        <v>Large</v>
      </c>
      <c r="K14861" s="36">
        <v>45525</v>
      </c>
      <c r="L14861" s="36">
        <v>45530</v>
      </c>
      <c r="M14861" t="s">
        <v>598</v>
      </c>
      <c r="N14861" t="s">
        <v>599</v>
      </c>
      <c r="O14861" s="37" t="str">
        <f t="shared" si="1163"/>
        <v>Digital Payment</v>
      </c>
      <c r="P14861">
        <v>283.52999999999997</v>
      </c>
      <c r="Q14861" s="37" t="str">
        <f>IF(P14861&gt;500,"High","low")</f>
        <v>low</v>
      </c>
      <c r="R14861" s="37" t="str">
        <f t="shared" si="1164"/>
        <v>AVERAGE</v>
      </c>
      <c r="S14861" t="s">
        <v>605</v>
      </c>
    </row>
    <row r="14862" spans="1:19" x14ac:dyDescent="0.2">
      <c r="A14862" t="s">
        <v>15473</v>
      </c>
      <c r="B14862" t="s">
        <v>83</v>
      </c>
      <c r="C14862" t="s">
        <v>614</v>
      </c>
      <c r="D14862">
        <v>2040.8</v>
      </c>
      <c r="E14862" s="37" t="str">
        <f t="shared" si="1160"/>
        <v xml:space="preserve"> </v>
      </c>
      <c r="F14862">
        <v>0.28999999999999998</v>
      </c>
      <c r="G14862" s="37" t="str">
        <f t="shared" si="1161"/>
        <v>Normal Discount</v>
      </c>
      <c r="H14862" s="37" t="str">
        <f t="shared" si="1162"/>
        <v>Medium</v>
      </c>
      <c r="I14862">
        <v>5</v>
      </c>
      <c r="J14862" t="str" cm="1">
        <f t="array" ref="J14862">_xlfn.IFS(I14862&lt;=3,"small",I14862&lt;=6,"Medium",I14862&lt;=9,"Large")</f>
        <v>Medium</v>
      </c>
      <c r="K14862" s="36">
        <v>45205</v>
      </c>
      <c r="L14862" s="36">
        <v>45211</v>
      </c>
      <c r="M14862" t="s">
        <v>612</v>
      </c>
      <c r="N14862" t="s">
        <v>604</v>
      </c>
      <c r="O14862" s="37" t="str">
        <f t="shared" si="1163"/>
        <v>Digital Payment</v>
      </c>
      <c r="P14862">
        <v>241.3</v>
      </c>
      <c r="Q14862" s="37" t="str">
        <f>IF(P14862&gt;500,"High","low")</f>
        <v>low</v>
      </c>
      <c r="R14862" s="37" t="str">
        <f t="shared" si="1164"/>
        <v>AVERAGE</v>
      </c>
      <c r="S14862" t="s">
        <v>600</v>
      </c>
    </row>
    <row r="14863" spans="1:19" x14ac:dyDescent="0.2">
      <c r="A14863" t="s">
        <v>15474</v>
      </c>
      <c r="B14863" t="s">
        <v>75</v>
      </c>
      <c r="C14863" t="s">
        <v>597</v>
      </c>
      <c r="D14863">
        <v>2954.08</v>
      </c>
      <c r="E14863" s="37" t="str">
        <f t="shared" si="1160"/>
        <v xml:space="preserve"> </v>
      </c>
      <c r="F14863">
        <v>0.31</v>
      </c>
      <c r="G14863" s="37" t="str">
        <f t="shared" si="1161"/>
        <v>Heavy Discount</v>
      </c>
      <c r="H14863" s="37" t="str">
        <f t="shared" si="1162"/>
        <v>Medium</v>
      </c>
      <c r="I14863">
        <v>5</v>
      </c>
      <c r="J14863" t="str" cm="1">
        <f t="array" ref="J14863">_xlfn.IFS(I14863&lt;=3,"small",I14863&lt;=6,"Medium",I14863&lt;=9,"Large")</f>
        <v>Medium</v>
      </c>
      <c r="K14863" s="36">
        <v>45107</v>
      </c>
      <c r="L14863" s="36">
        <v>45112</v>
      </c>
      <c r="M14863" t="s">
        <v>612</v>
      </c>
      <c r="N14863" t="s">
        <v>599</v>
      </c>
      <c r="O14863" s="37" t="str">
        <f t="shared" si="1163"/>
        <v>Digital Payment</v>
      </c>
      <c r="P14863">
        <v>796.02</v>
      </c>
      <c r="Q14863" s="37" t="str">
        <f>IF(P14863&gt;500,"High","low")</f>
        <v>High</v>
      </c>
      <c r="R14863" s="37" t="str">
        <f t="shared" si="1164"/>
        <v>Good</v>
      </c>
      <c r="S14863" t="s">
        <v>615</v>
      </c>
    </row>
    <row r="14864" spans="1:19" x14ac:dyDescent="0.2">
      <c r="A14864" t="s">
        <v>15475</v>
      </c>
      <c r="B14864" t="s">
        <v>90</v>
      </c>
      <c r="C14864" t="s">
        <v>617</v>
      </c>
      <c r="D14864">
        <v>2476.94</v>
      </c>
      <c r="E14864" s="37" t="str">
        <f t="shared" si="1160"/>
        <v xml:space="preserve"> </v>
      </c>
      <c r="F14864">
        <v>0.08</v>
      </c>
      <c r="G14864" s="37" t="str">
        <f t="shared" si="1161"/>
        <v>Normal Discount</v>
      </c>
      <c r="H14864" s="37" t="str">
        <f t="shared" si="1162"/>
        <v>Low</v>
      </c>
      <c r="I14864">
        <v>6</v>
      </c>
      <c r="J14864" t="str" cm="1">
        <f t="array" ref="J14864">_xlfn.IFS(I14864&lt;=3,"small",I14864&lt;=6,"Medium",I14864&lt;=9,"Large")</f>
        <v>Medium</v>
      </c>
      <c r="K14864" s="36">
        <v>45219</v>
      </c>
      <c r="L14864" s="36">
        <v>45220</v>
      </c>
      <c r="M14864" t="s">
        <v>612</v>
      </c>
      <c r="N14864" t="s">
        <v>599</v>
      </c>
      <c r="O14864" s="37" t="str">
        <f t="shared" si="1163"/>
        <v>Digital Payment</v>
      </c>
      <c r="P14864">
        <v>500.11</v>
      </c>
      <c r="Q14864" s="37" t="str">
        <f>IF(P14864&gt;500,"High","low")</f>
        <v>High</v>
      </c>
      <c r="R14864" s="37" t="str">
        <f t="shared" si="1164"/>
        <v>Good</v>
      </c>
      <c r="S14864" t="s">
        <v>609</v>
      </c>
    </row>
    <row r="14865" spans="1:19" x14ac:dyDescent="0.2">
      <c r="A14865" t="s">
        <v>15476</v>
      </c>
      <c r="B14865" t="s">
        <v>67</v>
      </c>
      <c r="C14865" t="s">
        <v>602</v>
      </c>
      <c r="D14865">
        <v>1442.28</v>
      </c>
      <c r="E14865" s="37" t="str">
        <f t="shared" si="1160"/>
        <v xml:space="preserve"> </v>
      </c>
      <c r="F14865">
        <v>0.08</v>
      </c>
      <c r="G14865" s="37" t="str">
        <f t="shared" si="1161"/>
        <v>Normal Discount</v>
      </c>
      <c r="H14865" s="37" t="str">
        <f t="shared" si="1162"/>
        <v>Low</v>
      </c>
      <c r="I14865">
        <v>4</v>
      </c>
      <c r="J14865" t="str" cm="1">
        <f t="array" ref="J14865">_xlfn.IFS(I14865&lt;=3,"small",I14865&lt;=6,"Medium",I14865&lt;=9,"Large")</f>
        <v>Medium</v>
      </c>
      <c r="K14865" s="36">
        <v>45147</v>
      </c>
      <c r="L14865" s="36">
        <v>45148</v>
      </c>
      <c r="M14865" t="s">
        <v>612</v>
      </c>
      <c r="N14865" t="s">
        <v>599</v>
      </c>
      <c r="O14865" s="37" t="str">
        <f t="shared" si="1163"/>
        <v>Digital Payment</v>
      </c>
      <c r="P14865">
        <v>427.43</v>
      </c>
      <c r="Q14865" s="37" t="str">
        <f>IF(P14865&gt;500,"High","low")</f>
        <v>low</v>
      </c>
      <c r="R14865" s="37" t="str">
        <f t="shared" si="1164"/>
        <v>AVERAGE</v>
      </c>
      <c r="S14865" t="s">
        <v>628</v>
      </c>
    </row>
    <row r="14866" spans="1:19" x14ac:dyDescent="0.2">
      <c r="A14866" t="s">
        <v>15477</v>
      </c>
      <c r="B14866" t="s">
        <v>75</v>
      </c>
      <c r="C14866" t="s">
        <v>602</v>
      </c>
      <c r="D14866">
        <v>1563.01</v>
      </c>
      <c r="E14866" s="37" t="str">
        <f t="shared" si="1160"/>
        <v xml:space="preserve"> </v>
      </c>
      <c r="F14866">
        <v>0.2</v>
      </c>
      <c r="G14866" s="37" t="str">
        <f t="shared" si="1161"/>
        <v>Normal Discount</v>
      </c>
      <c r="H14866" s="37" t="str">
        <f t="shared" si="1162"/>
        <v>Medium</v>
      </c>
      <c r="I14866">
        <v>2</v>
      </c>
      <c r="J14866" t="str" cm="1">
        <f t="array" ref="J14866">_xlfn.IFS(I14866&lt;=3,"small",I14866&lt;=6,"Medium",I14866&lt;=9,"Large")</f>
        <v>small</v>
      </c>
      <c r="K14866" s="36">
        <v>45410</v>
      </c>
      <c r="L14866" s="36">
        <v>45414</v>
      </c>
      <c r="M14866" t="s">
        <v>603</v>
      </c>
      <c r="N14866" t="s">
        <v>599</v>
      </c>
      <c r="O14866" s="37" t="str">
        <f t="shared" si="1163"/>
        <v>Digital Payment</v>
      </c>
      <c r="P14866">
        <v>449.35</v>
      </c>
      <c r="Q14866" s="37" t="str">
        <f>IF(P14866&gt;500,"High","low")</f>
        <v>low</v>
      </c>
      <c r="R14866" s="37" t="str">
        <f t="shared" si="1164"/>
        <v>AVERAGE</v>
      </c>
      <c r="S14866" t="s">
        <v>609</v>
      </c>
    </row>
    <row r="14867" spans="1:19" x14ac:dyDescent="0.2">
      <c r="A14867" t="s">
        <v>15478</v>
      </c>
      <c r="B14867" t="s">
        <v>83</v>
      </c>
      <c r="C14867" t="s">
        <v>614</v>
      </c>
      <c r="D14867">
        <v>4384.95</v>
      </c>
      <c r="E14867" s="37" t="str">
        <f t="shared" si="1160"/>
        <v xml:space="preserve"> </v>
      </c>
      <c r="F14867">
        <v>0.17</v>
      </c>
      <c r="G14867" s="37" t="str">
        <f t="shared" si="1161"/>
        <v>Normal Discount</v>
      </c>
      <c r="H14867" s="37" t="str">
        <f t="shared" si="1162"/>
        <v>Low</v>
      </c>
      <c r="I14867">
        <v>2</v>
      </c>
      <c r="J14867" t="str" cm="1">
        <f t="array" ref="J14867">_xlfn.IFS(I14867&lt;=3,"small",I14867&lt;=6,"Medium",I14867&lt;=9,"Large")</f>
        <v>small</v>
      </c>
      <c r="K14867" s="36">
        <v>45568</v>
      </c>
      <c r="L14867" s="36">
        <v>45570</v>
      </c>
      <c r="M14867" t="s">
        <v>612</v>
      </c>
      <c r="N14867" t="s">
        <v>599</v>
      </c>
      <c r="O14867" s="37" t="str">
        <f t="shared" si="1163"/>
        <v>Digital Payment</v>
      </c>
      <c r="P14867">
        <v>703.94</v>
      </c>
      <c r="Q14867" s="37" t="str">
        <f>IF(P14867&gt;500,"High","low")</f>
        <v>High</v>
      </c>
      <c r="R14867" s="37" t="str">
        <f t="shared" si="1164"/>
        <v>Good</v>
      </c>
      <c r="S14867" t="s">
        <v>600</v>
      </c>
    </row>
    <row r="14868" spans="1:19" x14ac:dyDescent="0.2">
      <c r="A14868" t="s">
        <v>15479</v>
      </c>
      <c r="B14868" t="s">
        <v>90</v>
      </c>
      <c r="C14868" t="s">
        <v>597</v>
      </c>
      <c r="D14868">
        <v>3211.05</v>
      </c>
      <c r="E14868" s="37" t="str">
        <f t="shared" si="1160"/>
        <v xml:space="preserve"> </v>
      </c>
      <c r="F14868">
        <v>0.36</v>
      </c>
      <c r="G14868" s="37" t="str">
        <f t="shared" si="1161"/>
        <v>Heavy Discount</v>
      </c>
      <c r="H14868" s="37" t="str">
        <f t="shared" si="1162"/>
        <v>Medium</v>
      </c>
      <c r="I14868">
        <v>2</v>
      </c>
      <c r="J14868" t="str" cm="1">
        <f t="array" ref="J14868">_xlfn.IFS(I14868&lt;=3,"small",I14868&lt;=6,"Medium",I14868&lt;=9,"Large")</f>
        <v>small</v>
      </c>
      <c r="K14868" s="36">
        <v>44931</v>
      </c>
      <c r="L14868" s="36">
        <v>44937</v>
      </c>
      <c r="M14868" t="s">
        <v>598</v>
      </c>
      <c r="N14868" t="s">
        <v>608</v>
      </c>
      <c r="O14868" s="37" t="str">
        <f t="shared" si="1163"/>
        <v>Cash Payment</v>
      </c>
      <c r="P14868">
        <v>688.34</v>
      </c>
      <c r="Q14868" s="37" t="str">
        <f>IF(P14868&gt;500,"High","low")</f>
        <v>High</v>
      </c>
      <c r="R14868" s="37" t="str">
        <f t="shared" si="1164"/>
        <v>Good</v>
      </c>
      <c r="S14868" t="s">
        <v>628</v>
      </c>
    </row>
    <row r="14869" spans="1:19" x14ac:dyDescent="0.2">
      <c r="A14869" t="s">
        <v>15480</v>
      </c>
      <c r="B14869" t="s">
        <v>90</v>
      </c>
      <c r="C14869" t="s">
        <v>602</v>
      </c>
      <c r="D14869">
        <v>106.97</v>
      </c>
      <c r="E14869" s="37" t="str">
        <f t="shared" si="1160"/>
        <v xml:space="preserve"> </v>
      </c>
      <c r="F14869">
        <v>0.36</v>
      </c>
      <c r="G14869" s="37" t="str">
        <f t="shared" si="1161"/>
        <v>Heavy Discount</v>
      </c>
      <c r="H14869" s="37" t="str">
        <f t="shared" si="1162"/>
        <v>Medium</v>
      </c>
      <c r="I14869">
        <v>2</v>
      </c>
      <c r="J14869" t="str" cm="1">
        <f t="array" ref="J14869">_xlfn.IFS(I14869&lt;=3,"small",I14869&lt;=6,"Medium",I14869&lt;=9,"Large")</f>
        <v>small</v>
      </c>
      <c r="K14869" s="36">
        <v>45401</v>
      </c>
      <c r="L14869" s="36">
        <v>45402</v>
      </c>
      <c r="M14869" t="s">
        <v>612</v>
      </c>
      <c r="N14869" t="s">
        <v>608</v>
      </c>
      <c r="O14869" s="37" t="str">
        <f t="shared" si="1163"/>
        <v>Cash Payment</v>
      </c>
      <c r="P14869">
        <v>30.71</v>
      </c>
      <c r="Q14869" s="37" t="str">
        <f>IF(P14869&gt;500,"High","low")</f>
        <v>low</v>
      </c>
      <c r="R14869" s="37" t="str">
        <f t="shared" si="1164"/>
        <v>AVERAGE</v>
      </c>
      <c r="S14869" t="s">
        <v>609</v>
      </c>
    </row>
    <row r="14870" spans="1:19" x14ac:dyDescent="0.2">
      <c r="A14870" t="s">
        <v>15481</v>
      </c>
      <c r="B14870" t="s">
        <v>67</v>
      </c>
      <c r="C14870" t="s">
        <v>617</v>
      </c>
      <c r="D14870">
        <v>1701.67</v>
      </c>
      <c r="E14870" s="37" t="str">
        <f t="shared" si="1160"/>
        <v xml:space="preserve"> </v>
      </c>
      <c r="F14870">
        <v>0.28000000000000003</v>
      </c>
      <c r="G14870" s="37" t="str">
        <f t="shared" si="1161"/>
        <v>Normal Discount</v>
      </c>
      <c r="H14870" s="37" t="str">
        <f t="shared" si="1162"/>
        <v>Medium</v>
      </c>
      <c r="I14870">
        <v>5</v>
      </c>
      <c r="J14870" t="str" cm="1">
        <f t="array" ref="J14870">_xlfn.IFS(I14870&lt;=3,"small",I14870&lt;=6,"Medium",I14870&lt;=9,"Large")</f>
        <v>Medium</v>
      </c>
      <c r="K14870" s="36">
        <v>45643</v>
      </c>
      <c r="L14870" s="36">
        <v>45649</v>
      </c>
      <c r="M14870" t="s">
        <v>603</v>
      </c>
      <c r="N14870" t="s">
        <v>608</v>
      </c>
      <c r="O14870" s="37" t="str">
        <f t="shared" si="1163"/>
        <v>Cash Payment</v>
      </c>
      <c r="P14870">
        <v>418.81</v>
      </c>
      <c r="Q14870" s="37" t="str">
        <f>IF(P14870&gt;500,"High","low")</f>
        <v>low</v>
      </c>
      <c r="R14870" s="37" t="str">
        <f t="shared" si="1164"/>
        <v>AVERAGE</v>
      </c>
      <c r="S14870" t="s">
        <v>609</v>
      </c>
    </row>
    <row r="14871" spans="1:19" x14ac:dyDescent="0.2">
      <c r="A14871" t="s">
        <v>15482</v>
      </c>
      <c r="B14871" t="s">
        <v>75</v>
      </c>
      <c r="C14871" t="s">
        <v>617</v>
      </c>
      <c r="D14871">
        <v>1765.73</v>
      </c>
      <c r="E14871" s="37" t="str">
        <f t="shared" si="1160"/>
        <v xml:space="preserve"> </v>
      </c>
      <c r="F14871">
        <v>0.2</v>
      </c>
      <c r="G14871" s="37" t="str">
        <f t="shared" si="1161"/>
        <v>Normal Discount</v>
      </c>
      <c r="H14871" s="37" t="str">
        <f t="shared" si="1162"/>
        <v>Medium</v>
      </c>
      <c r="I14871">
        <v>2</v>
      </c>
      <c r="J14871" t="str" cm="1">
        <f t="array" ref="J14871">_xlfn.IFS(I14871&lt;=3,"small",I14871&lt;=6,"Medium",I14871&lt;=9,"Large")</f>
        <v>small</v>
      </c>
      <c r="K14871" s="36">
        <v>45396</v>
      </c>
      <c r="L14871" s="36">
        <v>45402</v>
      </c>
      <c r="M14871" t="s">
        <v>598</v>
      </c>
      <c r="N14871" t="s">
        <v>599</v>
      </c>
      <c r="O14871" s="37" t="str">
        <f t="shared" si="1163"/>
        <v>Digital Payment</v>
      </c>
      <c r="P14871">
        <v>377.81</v>
      </c>
      <c r="Q14871" s="37" t="str">
        <f>IF(P14871&gt;500,"High","low")</f>
        <v>low</v>
      </c>
      <c r="R14871" s="37" t="str">
        <f t="shared" si="1164"/>
        <v>AVERAGE</v>
      </c>
      <c r="S14871" t="s">
        <v>628</v>
      </c>
    </row>
    <row r="14872" spans="1:19" x14ac:dyDescent="0.2">
      <c r="A14872" t="s">
        <v>15483</v>
      </c>
      <c r="B14872" t="s">
        <v>90</v>
      </c>
      <c r="C14872" t="s">
        <v>602</v>
      </c>
      <c r="D14872">
        <v>3561.04</v>
      </c>
      <c r="E14872" s="37" t="str">
        <f t="shared" si="1160"/>
        <v xml:space="preserve"> </v>
      </c>
      <c r="F14872">
        <v>0.34</v>
      </c>
      <c r="G14872" s="37" t="str">
        <f t="shared" si="1161"/>
        <v>Heavy Discount</v>
      </c>
      <c r="H14872" s="37" t="str">
        <f t="shared" si="1162"/>
        <v>Medium</v>
      </c>
      <c r="I14872">
        <v>7</v>
      </c>
      <c r="J14872" t="str" cm="1">
        <f t="array" ref="J14872">_xlfn.IFS(I14872&lt;=3,"small",I14872&lt;=6,"Medium",I14872&lt;=9,"Large")</f>
        <v>Large</v>
      </c>
      <c r="K14872" s="36">
        <v>45131</v>
      </c>
      <c r="L14872" s="36">
        <v>45132</v>
      </c>
      <c r="M14872" t="s">
        <v>603</v>
      </c>
      <c r="N14872" t="s">
        <v>599</v>
      </c>
      <c r="O14872" s="37" t="str">
        <f t="shared" si="1163"/>
        <v>Digital Payment</v>
      </c>
      <c r="P14872">
        <v>705.53</v>
      </c>
      <c r="Q14872" s="37" t="str">
        <f>IF(P14872&gt;500,"High","low")</f>
        <v>High</v>
      </c>
      <c r="R14872" s="37" t="str">
        <f t="shared" si="1164"/>
        <v>Good</v>
      </c>
      <c r="S14872" t="s">
        <v>605</v>
      </c>
    </row>
    <row r="14873" spans="1:19" x14ac:dyDescent="0.2">
      <c r="A14873" t="s">
        <v>15484</v>
      </c>
      <c r="B14873" t="s">
        <v>90</v>
      </c>
      <c r="C14873" t="s">
        <v>597</v>
      </c>
      <c r="D14873">
        <v>3532.22</v>
      </c>
      <c r="E14873" s="37" t="str">
        <f t="shared" si="1160"/>
        <v xml:space="preserve"> </v>
      </c>
      <c r="F14873">
        <v>0.34</v>
      </c>
      <c r="G14873" s="37" t="str">
        <f t="shared" si="1161"/>
        <v>Heavy Discount</v>
      </c>
      <c r="H14873" s="37" t="str">
        <f t="shared" si="1162"/>
        <v>Medium</v>
      </c>
      <c r="I14873">
        <v>4</v>
      </c>
      <c r="J14873" t="str" cm="1">
        <f t="array" ref="J14873">_xlfn.IFS(I14873&lt;=3,"small",I14873&lt;=6,"Medium",I14873&lt;=9,"Large")</f>
        <v>Medium</v>
      </c>
      <c r="K14873" s="36">
        <v>45342</v>
      </c>
      <c r="L14873" s="36">
        <v>45348</v>
      </c>
      <c r="M14873" t="s">
        <v>612</v>
      </c>
      <c r="N14873" t="s">
        <v>608</v>
      </c>
      <c r="O14873" s="37" t="str">
        <f t="shared" si="1163"/>
        <v>Cash Payment</v>
      </c>
      <c r="P14873">
        <v>655.62</v>
      </c>
      <c r="Q14873" s="37" t="str">
        <f>IF(P14873&gt;500,"High","low")</f>
        <v>High</v>
      </c>
      <c r="R14873" s="37" t="str">
        <f t="shared" si="1164"/>
        <v>Good</v>
      </c>
      <c r="S14873" t="s">
        <v>620</v>
      </c>
    </row>
    <row r="14874" spans="1:19" x14ac:dyDescent="0.2">
      <c r="A14874" t="s">
        <v>15485</v>
      </c>
      <c r="B14874" t="s">
        <v>75</v>
      </c>
      <c r="C14874" t="s">
        <v>614</v>
      </c>
      <c r="D14874">
        <v>2374.36</v>
      </c>
      <c r="E14874" s="37" t="str">
        <f t="shared" si="1160"/>
        <v xml:space="preserve"> </v>
      </c>
      <c r="F14874">
        <v>0.4</v>
      </c>
      <c r="G14874" s="37" t="str">
        <f t="shared" si="1161"/>
        <v>Heavy Discount</v>
      </c>
      <c r="H14874" s="37" t="str">
        <f t="shared" si="1162"/>
        <v>Medium</v>
      </c>
      <c r="I14874">
        <v>5</v>
      </c>
      <c r="J14874" t="str" cm="1">
        <f t="array" ref="J14874">_xlfn.IFS(I14874&lt;=3,"small",I14874&lt;=6,"Medium",I14874&lt;=9,"Large")</f>
        <v>Medium</v>
      </c>
      <c r="K14874" s="36">
        <v>45368</v>
      </c>
      <c r="L14874" s="36">
        <v>45371</v>
      </c>
      <c r="M14874" t="s">
        <v>603</v>
      </c>
      <c r="N14874" t="s">
        <v>608</v>
      </c>
      <c r="O14874" s="37" t="str">
        <f t="shared" si="1163"/>
        <v>Cash Payment</v>
      </c>
      <c r="P14874">
        <v>201.05</v>
      </c>
      <c r="Q14874" s="37" t="str">
        <f>IF(P14874&gt;500,"High","low")</f>
        <v>low</v>
      </c>
      <c r="R14874" s="37" t="str">
        <f t="shared" si="1164"/>
        <v>AVERAGE</v>
      </c>
      <c r="S14874" t="s">
        <v>609</v>
      </c>
    </row>
    <row r="14875" spans="1:19" x14ac:dyDescent="0.2">
      <c r="A14875" t="s">
        <v>15486</v>
      </c>
      <c r="B14875" t="s">
        <v>90</v>
      </c>
      <c r="C14875" t="s">
        <v>597</v>
      </c>
      <c r="D14875">
        <v>4759.8</v>
      </c>
      <c r="E14875" s="37" t="str">
        <f t="shared" si="1160"/>
        <v xml:space="preserve"> </v>
      </c>
      <c r="F14875">
        <v>0.41</v>
      </c>
      <c r="G14875" s="37" t="str">
        <f t="shared" si="1161"/>
        <v>Heavy Discount</v>
      </c>
      <c r="H14875" s="37" t="str">
        <f t="shared" si="1162"/>
        <v>High</v>
      </c>
      <c r="I14875">
        <v>2</v>
      </c>
      <c r="J14875" t="str" cm="1">
        <f t="array" ref="J14875">_xlfn.IFS(I14875&lt;=3,"small",I14875&lt;=6,"Medium",I14875&lt;=9,"Large")</f>
        <v>small</v>
      </c>
      <c r="K14875" s="36">
        <v>45508</v>
      </c>
      <c r="L14875" s="36">
        <v>45514</v>
      </c>
      <c r="M14875" t="s">
        <v>612</v>
      </c>
      <c r="N14875" t="s">
        <v>608</v>
      </c>
      <c r="O14875" s="37" t="str">
        <f t="shared" si="1163"/>
        <v>Cash Payment</v>
      </c>
      <c r="P14875">
        <v>364.31</v>
      </c>
      <c r="Q14875" s="37" t="str">
        <f>IF(P14875&gt;500,"High","low")</f>
        <v>low</v>
      </c>
      <c r="R14875" s="37" t="str">
        <f t="shared" si="1164"/>
        <v>AVERAGE</v>
      </c>
      <c r="S14875" t="s">
        <v>600</v>
      </c>
    </row>
    <row r="14876" spans="1:19" x14ac:dyDescent="0.2">
      <c r="A14876" t="s">
        <v>15487</v>
      </c>
      <c r="B14876" t="s">
        <v>75</v>
      </c>
      <c r="C14876" t="s">
        <v>607</v>
      </c>
      <c r="D14876">
        <v>4373.92</v>
      </c>
      <c r="E14876" s="37" t="str">
        <f t="shared" si="1160"/>
        <v xml:space="preserve"> </v>
      </c>
      <c r="F14876">
        <v>0.03</v>
      </c>
      <c r="G14876" s="37" t="str">
        <f t="shared" si="1161"/>
        <v>Normal Discount</v>
      </c>
      <c r="H14876" s="37" t="str">
        <f t="shared" si="1162"/>
        <v>Low</v>
      </c>
      <c r="I14876">
        <v>1</v>
      </c>
      <c r="J14876" t="str" cm="1">
        <f t="array" ref="J14876">_xlfn.IFS(I14876&lt;=3,"small",I14876&lt;=6,"Medium",I14876&lt;=9,"Large")</f>
        <v>small</v>
      </c>
      <c r="K14876" s="36">
        <v>44966</v>
      </c>
      <c r="L14876" s="36">
        <v>44972</v>
      </c>
      <c r="M14876" t="s">
        <v>598</v>
      </c>
      <c r="N14876" t="s">
        <v>604</v>
      </c>
      <c r="O14876" s="37" t="str">
        <f t="shared" si="1163"/>
        <v>Digital Payment</v>
      </c>
      <c r="P14876">
        <v>481.8</v>
      </c>
      <c r="Q14876" s="37" t="str">
        <f>IF(P14876&gt;500,"High","low")</f>
        <v>low</v>
      </c>
      <c r="R14876" s="37" t="str">
        <f t="shared" si="1164"/>
        <v>AVERAGE</v>
      </c>
      <c r="S14876" t="s">
        <v>605</v>
      </c>
    </row>
    <row r="14877" spans="1:19" x14ac:dyDescent="0.2">
      <c r="A14877" t="s">
        <v>15488</v>
      </c>
      <c r="B14877" t="s">
        <v>75</v>
      </c>
      <c r="C14877" t="s">
        <v>602</v>
      </c>
      <c r="D14877">
        <v>4344.43</v>
      </c>
      <c r="E14877" s="37" t="str">
        <f t="shared" si="1160"/>
        <v>Excellent Order</v>
      </c>
      <c r="F14877">
        <v>0.19</v>
      </c>
      <c r="G14877" s="37" t="str">
        <f t="shared" si="1161"/>
        <v>Normal Discount</v>
      </c>
      <c r="H14877" s="37" t="str">
        <f t="shared" si="1162"/>
        <v>Low</v>
      </c>
      <c r="I14877">
        <v>9</v>
      </c>
      <c r="J14877" t="str" cm="1">
        <f t="array" ref="J14877">_xlfn.IFS(I14877&lt;=3,"small",I14877&lt;=6,"Medium",I14877&lt;=9,"Large")</f>
        <v>Large</v>
      </c>
      <c r="K14877" s="36">
        <v>45283</v>
      </c>
      <c r="L14877" s="36">
        <v>45284</v>
      </c>
      <c r="M14877" t="s">
        <v>598</v>
      </c>
      <c r="N14877" t="s">
        <v>599</v>
      </c>
      <c r="O14877" s="37" t="str">
        <f t="shared" si="1163"/>
        <v>Digital Payment</v>
      </c>
      <c r="P14877">
        <v>840.14</v>
      </c>
      <c r="Q14877" s="37" t="str">
        <f>IF(P14877&gt;500,"High","low")</f>
        <v>High</v>
      </c>
      <c r="R14877" s="37" t="str">
        <f t="shared" si="1164"/>
        <v>Good</v>
      </c>
      <c r="S14877" t="s">
        <v>609</v>
      </c>
    </row>
    <row r="14878" spans="1:19" x14ac:dyDescent="0.2">
      <c r="A14878" t="s">
        <v>15489</v>
      </c>
      <c r="B14878" t="s">
        <v>75</v>
      </c>
      <c r="C14878" t="s">
        <v>607</v>
      </c>
      <c r="D14878">
        <v>1806.5</v>
      </c>
      <c r="E14878" s="37" t="str">
        <f t="shared" si="1160"/>
        <v xml:space="preserve"> </v>
      </c>
      <c r="F14878">
        <v>0.21</v>
      </c>
      <c r="G14878" s="37" t="str">
        <f t="shared" si="1161"/>
        <v>Normal Discount</v>
      </c>
      <c r="H14878" s="37" t="str">
        <f t="shared" si="1162"/>
        <v>Medium</v>
      </c>
      <c r="I14878">
        <v>6</v>
      </c>
      <c r="J14878" t="str" cm="1">
        <f t="array" ref="J14878">_xlfn.IFS(I14878&lt;=3,"small",I14878&lt;=6,"Medium",I14878&lt;=9,"Large")</f>
        <v>Medium</v>
      </c>
      <c r="K14878" s="36">
        <v>45060</v>
      </c>
      <c r="L14878" s="36">
        <v>45066</v>
      </c>
      <c r="M14878" t="s">
        <v>612</v>
      </c>
      <c r="N14878" t="s">
        <v>604</v>
      </c>
      <c r="O14878" s="37" t="str">
        <f t="shared" si="1163"/>
        <v>Digital Payment</v>
      </c>
      <c r="P14878">
        <v>510.56</v>
      </c>
      <c r="Q14878" s="37" t="str">
        <f>IF(P14878&gt;500,"High","low")</f>
        <v>High</v>
      </c>
      <c r="R14878" s="37" t="str">
        <f t="shared" si="1164"/>
        <v>Good</v>
      </c>
      <c r="S14878" t="s">
        <v>615</v>
      </c>
    </row>
    <row r="14879" spans="1:19" x14ac:dyDescent="0.2">
      <c r="A14879" t="s">
        <v>15490</v>
      </c>
      <c r="B14879" t="s">
        <v>67</v>
      </c>
      <c r="C14879" t="s">
        <v>602</v>
      </c>
      <c r="D14879">
        <v>2211.9</v>
      </c>
      <c r="E14879" s="37" t="str">
        <f t="shared" si="1160"/>
        <v xml:space="preserve"> </v>
      </c>
      <c r="F14879">
        <v>0.42</v>
      </c>
      <c r="G14879" s="37" t="str">
        <f t="shared" si="1161"/>
        <v>Heavy Discount</v>
      </c>
      <c r="H14879" s="37" t="str">
        <f t="shared" si="1162"/>
        <v>High</v>
      </c>
      <c r="I14879">
        <v>5</v>
      </c>
      <c r="J14879" t="str" cm="1">
        <f t="array" ref="J14879">_xlfn.IFS(I14879&lt;=3,"small",I14879&lt;=6,"Medium",I14879&lt;=9,"Large")</f>
        <v>Medium</v>
      </c>
      <c r="K14879" s="36">
        <v>45501</v>
      </c>
      <c r="L14879" s="36">
        <v>45506</v>
      </c>
      <c r="M14879" t="s">
        <v>612</v>
      </c>
      <c r="N14879" t="s">
        <v>608</v>
      </c>
      <c r="O14879" s="37" t="str">
        <f t="shared" si="1163"/>
        <v>Cash Payment</v>
      </c>
      <c r="P14879">
        <v>328.43</v>
      </c>
      <c r="Q14879" s="37" t="str">
        <f>IF(P14879&gt;500,"High","low")</f>
        <v>low</v>
      </c>
      <c r="R14879" s="37" t="str">
        <f t="shared" si="1164"/>
        <v>AVERAGE</v>
      </c>
      <c r="S14879" t="s">
        <v>605</v>
      </c>
    </row>
    <row r="14880" spans="1:19" x14ac:dyDescent="0.2">
      <c r="A14880" t="s">
        <v>15491</v>
      </c>
      <c r="B14880" t="s">
        <v>75</v>
      </c>
      <c r="C14880" t="s">
        <v>614</v>
      </c>
      <c r="D14880">
        <v>2152.91</v>
      </c>
      <c r="E14880" s="37" t="str">
        <f t="shared" si="1160"/>
        <v xml:space="preserve"> </v>
      </c>
      <c r="F14880">
        <v>0.25</v>
      </c>
      <c r="G14880" s="37" t="str">
        <f t="shared" si="1161"/>
        <v>Normal Discount</v>
      </c>
      <c r="H14880" s="37" t="str">
        <f t="shared" si="1162"/>
        <v>Medium</v>
      </c>
      <c r="I14880">
        <v>5</v>
      </c>
      <c r="J14880" t="str" cm="1">
        <f t="array" ref="J14880">_xlfn.IFS(I14880&lt;=3,"small",I14880&lt;=6,"Medium",I14880&lt;=9,"Large")</f>
        <v>Medium</v>
      </c>
      <c r="K14880" s="36">
        <v>45017</v>
      </c>
      <c r="L14880" s="36">
        <v>45020</v>
      </c>
      <c r="M14880" t="s">
        <v>612</v>
      </c>
      <c r="N14880" t="s">
        <v>604</v>
      </c>
      <c r="O14880" s="37" t="str">
        <f t="shared" si="1163"/>
        <v>Digital Payment</v>
      </c>
      <c r="P14880">
        <v>569.75</v>
      </c>
      <c r="Q14880" s="37" t="str">
        <f>IF(P14880&gt;500,"High","low")</f>
        <v>High</v>
      </c>
      <c r="R14880" s="37" t="str">
        <f t="shared" si="1164"/>
        <v>Good</v>
      </c>
      <c r="S14880" t="s">
        <v>609</v>
      </c>
    </row>
    <row r="14881" spans="1:19" x14ac:dyDescent="0.2">
      <c r="A14881" t="s">
        <v>15492</v>
      </c>
      <c r="B14881" t="s">
        <v>75</v>
      </c>
      <c r="C14881" t="s">
        <v>597</v>
      </c>
      <c r="D14881">
        <v>2257.31</v>
      </c>
      <c r="E14881" s="37" t="str">
        <f t="shared" si="1160"/>
        <v xml:space="preserve"> </v>
      </c>
      <c r="F14881">
        <v>0.24</v>
      </c>
      <c r="G14881" s="37" t="str">
        <f t="shared" si="1161"/>
        <v>Normal Discount</v>
      </c>
      <c r="H14881" s="37" t="str">
        <f t="shared" si="1162"/>
        <v>Medium</v>
      </c>
      <c r="I14881">
        <v>2</v>
      </c>
      <c r="J14881" t="str" cm="1">
        <f t="array" ref="J14881">_xlfn.IFS(I14881&lt;=3,"small",I14881&lt;=6,"Medium",I14881&lt;=9,"Large")</f>
        <v>small</v>
      </c>
      <c r="K14881" s="36">
        <v>45123</v>
      </c>
      <c r="L14881" s="36">
        <v>45127</v>
      </c>
      <c r="M14881" t="s">
        <v>603</v>
      </c>
      <c r="N14881" t="s">
        <v>608</v>
      </c>
      <c r="O14881" s="37" t="str">
        <f t="shared" si="1163"/>
        <v>Cash Payment</v>
      </c>
      <c r="P14881">
        <v>125.22</v>
      </c>
      <c r="Q14881" s="37" t="str">
        <f>IF(P14881&gt;500,"High","low")</f>
        <v>low</v>
      </c>
      <c r="R14881" s="37" t="str">
        <f t="shared" si="1164"/>
        <v>AVERAGE</v>
      </c>
      <c r="S14881" t="s">
        <v>609</v>
      </c>
    </row>
    <row r="14882" spans="1:19" x14ac:dyDescent="0.2">
      <c r="A14882" t="s">
        <v>15493</v>
      </c>
      <c r="B14882" t="s">
        <v>83</v>
      </c>
      <c r="C14882" t="s">
        <v>597</v>
      </c>
      <c r="D14882">
        <v>4457.13</v>
      </c>
      <c r="E14882" s="37" t="str">
        <f t="shared" si="1160"/>
        <v>Excellent Order</v>
      </c>
      <c r="F14882">
        <v>0.28000000000000003</v>
      </c>
      <c r="G14882" s="37" t="str">
        <f t="shared" si="1161"/>
        <v>Normal Discount</v>
      </c>
      <c r="H14882" s="37" t="str">
        <f t="shared" si="1162"/>
        <v>Medium</v>
      </c>
      <c r="I14882">
        <v>8</v>
      </c>
      <c r="J14882" t="str" cm="1">
        <f t="array" ref="J14882">_xlfn.IFS(I14882&lt;=3,"small",I14882&lt;=6,"Medium",I14882&lt;=9,"Large")</f>
        <v>Large</v>
      </c>
      <c r="K14882" s="36">
        <v>45175</v>
      </c>
      <c r="L14882" s="36">
        <v>45179</v>
      </c>
      <c r="M14882" t="s">
        <v>603</v>
      </c>
      <c r="N14882" t="s">
        <v>604</v>
      </c>
      <c r="O14882" s="37" t="str">
        <f t="shared" si="1163"/>
        <v>Digital Payment</v>
      </c>
      <c r="P14882">
        <v>1047.72</v>
      </c>
      <c r="Q14882" s="37" t="str">
        <f>IF(P14882&gt;500,"High","low")</f>
        <v>High</v>
      </c>
      <c r="R14882" s="37" t="str">
        <f t="shared" si="1164"/>
        <v>Excellent</v>
      </c>
      <c r="S14882" t="s">
        <v>605</v>
      </c>
    </row>
    <row r="14883" spans="1:19" x14ac:dyDescent="0.2">
      <c r="A14883" t="s">
        <v>15494</v>
      </c>
      <c r="B14883" t="s">
        <v>83</v>
      </c>
      <c r="C14883" t="s">
        <v>602</v>
      </c>
      <c r="D14883">
        <v>1320.69</v>
      </c>
      <c r="E14883" s="37" t="str">
        <f t="shared" si="1160"/>
        <v xml:space="preserve"> </v>
      </c>
      <c r="F14883">
        <v>0.06</v>
      </c>
      <c r="G14883" s="37" t="str">
        <f t="shared" si="1161"/>
        <v>Normal Discount</v>
      </c>
      <c r="H14883" s="37" t="str">
        <f t="shared" si="1162"/>
        <v>Low</v>
      </c>
      <c r="I14883">
        <v>4</v>
      </c>
      <c r="J14883" t="str" cm="1">
        <f t="array" ref="J14883">_xlfn.IFS(I14883&lt;=3,"small",I14883&lt;=6,"Medium",I14883&lt;=9,"Large")</f>
        <v>Medium</v>
      </c>
      <c r="K14883" s="36">
        <v>45265</v>
      </c>
      <c r="L14883" s="36">
        <v>45269</v>
      </c>
      <c r="M14883" t="s">
        <v>598</v>
      </c>
      <c r="N14883" t="s">
        <v>599</v>
      </c>
      <c r="O14883" s="37" t="str">
        <f t="shared" si="1163"/>
        <v>Digital Payment</v>
      </c>
      <c r="P14883">
        <v>95.59</v>
      </c>
      <c r="Q14883" s="37" t="str">
        <f>IF(P14883&gt;500,"High","low")</f>
        <v>low</v>
      </c>
      <c r="R14883" s="37" t="str">
        <f t="shared" si="1164"/>
        <v>AVERAGE</v>
      </c>
      <c r="S14883" t="s">
        <v>609</v>
      </c>
    </row>
    <row r="14884" spans="1:19" x14ac:dyDescent="0.2">
      <c r="A14884" t="s">
        <v>15495</v>
      </c>
      <c r="B14884" t="s">
        <v>67</v>
      </c>
      <c r="C14884" t="s">
        <v>617</v>
      </c>
      <c r="D14884">
        <v>4030.76</v>
      </c>
      <c r="E14884" s="37" t="str">
        <f t="shared" si="1160"/>
        <v>Excellent Order</v>
      </c>
      <c r="F14884">
        <v>0.28000000000000003</v>
      </c>
      <c r="G14884" s="37" t="str">
        <f t="shared" si="1161"/>
        <v>Normal Discount</v>
      </c>
      <c r="H14884" s="37" t="str">
        <f t="shared" si="1162"/>
        <v>Medium</v>
      </c>
      <c r="I14884">
        <v>4</v>
      </c>
      <c r="J14884" t="str" cm="1">
        <f t="array" ref="J14884">_xlfn.IFS(I14884&lt;=3,"small",I14884&lt;=6,"Medium",I14884&lt;=9,"Large")</f>
        <v>Medium</v>
      </c>
      <c r="K14884" s="36">
        <v>45232</v>
      </c>
      <c r="L14884" s="36">
        <v>45235</v>
      </c>
      <c r="M14884" t="s">
        <v>598</v>
      </c>
      <c r="N14884" t="s">
        <v>604</v>
      </c>
      <c r="O14884" s="37" t="str">
        <f t="shared" si="1163"/>
        <v>Digital Payment</v>
      </c>
      <c r="P14884">
        <v>1109.02</v>
      </c>
      <c r="Q14884" s="37" t="str">
        <f>IF(P14884&gt;500,"High","low")</f>
        <v>High</v>
      </c>
      <c r="R14884" s="37" t="str">
        <f t="shared" si="1164"/>
        <v>Excellent</v>
      </c>
      <c r="S14884" t="s">
        <v>600</v>
      </c>
    </row>
    <row r="14885" spans="1:19" x14ac:dyDescent="0.2">
      <c r="A14885" t="s">
        <v>15496</v>
      </c>
      <c r="B14885" t="s">
        <v>75</v>
      </c>
      <c r="C14885" t="s">
        <v>607</v>
      </c>
      <c r="D14885">
        <v>2618.8000000000002</v>
      </c>
      <c r="E14885" s="37" t="str">
        <f t="shared" si="1160"/>
        <v xml:space="preserve"> </v>
      </c>
      <c r="F14885">
        <v>0.28000000000000003</v>
      </c>
      <c r="G14885" s="37" t="str">
        <f t="shared" si="1161"/>
        <v>Normal Discount</v>
      </c>
      <c r="H14885" s="37" t="str">
        <f t="shared" si="1162"/>
        <v>Medium</v>
      </c>
      <c r="I14885">
        <v>8</v>
      </c>
      <c r="J14885" t="str" cm="1">
        <f t="array" ref="J14885">_xlfn.IFS(I14885&lt;=3,"small",I14885&lt;=6,"Medium",I14885&lt;=9,"Large")</f>
        <v>Large</v>
      </c>
      <c r="K14885" s="36">
        <v>45350</v>
      </c>
      <c r="L14885" s="36">
        <v>45351</v>
      </c>
      <c r="M14885" t="s">
        <v>612</v>
      </c>
      <c r="N14885" t="s">
        <v>599</v>
      </c>
      <c r="O14885" s="37" t="str">
        <f t="shared" si="1163"/>
        <v>Digital Payment</v>
      </c>
      <c r="P14885">
        <v>447.69</v>
      </c>
      <c r="Q14885" s="37" t="str">
        <f>IF(P14885&gt;500,"High","low")</f>
        <v>low</v>
      </c>
      <c r="R14885" s="37" t="str">
        <f t="shared" si="1164"/>
        <v>AVERAGE</v>
      </c>
      <c r="S14885" t="s">
        <v>609</v>
      </c>
    </row>
    <row r="14886" spans="1:19" x14ac:dyDescent="0.2">
      <c r="A14886" t="s">
        <v>15497</v>
      </c>
      <c r="B14886" t="s">
        <v>83</v>
      </c>
      <c r="C14886" t="s">
        <v>597</v>
      </c>
      <c r="D14886">
        <v>1320.51</v>
      </c>
      <c r="E14886" s="37" t="str">
        <f t="shared" si="1160"/>
        <v xml:space="preserve"> </v>
      </c>
      <c r="F14886">
        <v>0.38</v>
      </c>
      <c r="G14886" s="37" t="str">
        <f t="shared" si="1161"/>
        <v>Heavy Discount</v>
      </c>
      <c r="H14886" s="37" t="str">
        <f t="shared" si="1162"/>
        <v>Medium</v>
      </c>
      <c r="I14886">
        <v>4</v>
      </c>
      <c r="J14886" t="str" cm="1">
        <f t="array" ref="J14886">_xlfn.IFS(I14886&lt;=3,"small",I14886&lt;=6,"Medium",I14886&lt;=9,"Large")</f>
        <v>Medium</v>
      </c>
      <c r="K14886" s="36">
        <v>45439</v>
      </c>
      <c r="L14886" s="36">
        <v>45440</v>
      </c>
      <c r="M14886" t="s">
        <v>598</v>
      </c>
      <c r="N14886" t="s">
        <v>608</v>
      </c>
      <c r="O14886" s="37" t="str">
        <f t="shared" si="1163"/>
        <v>Cash Payment</v>
      </c>
      <c r="P14886">
        <v>233.58</v>
      </c>
      <c r="Q14886" s="37" t="str">
        <f>IF(P14886&gt;500,"High","low")</f>
        <v>low</v>
      </c>
      <c r="R14886" s="37" t="str">
        <f t="shared" si="1164"/>
        <v>AVERAGE</v>
      </c>
      <c r="S14886" t="s">
        <v>600</v>
      </c>
    </row>
    <row r="14887" spans="1:19" x14ac:dyDescent="0.2">
      <c r="A14887" t="s">
        <v>15498</v>
      </c>
      <c r="B14887" t="s">
        <v>83</v>
      </c>
      <c r="C14887" t="s">
        <v>597</v>
      </c>
      <c r="D14887">
        <v>2683.74</v>
      </c>
      <c r="E14887" s="37" t="str">
        <f t="shared" si="1160"/>
        <v xml:space="preserve"> </v>
      </c>
      <c r="F14887">
        <v>0.32</v>
      </c>
      <c r="G14887" s="37" t="str">
        <f t="shared" si="1161"/>
        <v>Heavy Discount</v>
      </c>
      <c r="H14887" s="37" t="str">
        <f t="shared" si="1162"/>
        <v>Medium</v>
      </c>
      <c r="I14887">
        <v>1</v>
      </c>
      <c r="J14887" t="str" cm="1">
        <f t="array" ref="J14887">_xlfn.IFS(I14887&lt;=3,"small",I14887&lt;=6,"Medium",I14887&lt;=9,"Large")</f>
        <v>small</v>
      </c>
      <c r="K14887" s="36">
        <v>45612</v>
      </c>
      <c r="L14887" s="36">
        <v>45617</v>
      </c>
      <c r="M14887" t="s">
        <v>598</v>
      </c>
      <c r="N14887" t="s">
        <v>604</v>
      </c>
      <c r="O14887" s="37" t="str">
        <f t="shared" si="1163"/>
        <v>Digital Payment</v>
      </c>
      <c r="P14887">
        <v>750.62</v>
      </c>
      <c r="Q14887" s="37" t="str">
        <f>IF(P14887&gt;500,"High","low")</f>
        <v>High</v>
      </c>
      <c r="R14887" s="37" t="str">
        <f t="shared" si="1164"/>
        <v>Good</v>
      </c>
      <c r="S14887" t="s">
        <v>600</v>
      </c>
    </row>
    <row r="14888" spans="1:19" x14ac:dyDescent="0.2">
      <c r="A14888" t="s">
        <v>15499</v>
      </c>
      <c r="B14888" t="s">
        <v>90</v>
      </c>
      <c r="C14888" t="s">
        <v>602</v>
      </c>
      <c r="D14888">
        <v>1057.6600000000001</v>
      </c>
      <c r="E14888" s="37" t="str">
        <f t="shared" si="1160"/>
        <v xml:space="preserve"> </v>
      </c>
      <c r="F14888">
        <v>0.48</v>
      </c>
      <c r="G14888" s="37" t="str">
        <f t="shared" si="1161"/>
        <v>Heavy Discount</v>
      </c>
      <c r="H14888" s="37" t="str">
        <f t="shared" si="1162"/>
        <v>High</v>
      </c>
      <c r="I14888">
        <v>4</v>
      </c>
      <c r="J14888" t="str" cm="1">
        <f t="array" ref="J14888">_xlfn.IFS(I14888&lt;=3,"small",I14888&lt;=6,"Medium",I14888&lt;=9,"Large")</f>
        <v>Medium</v>
      </c>
      <c r="K14888" s="36">
        <v>45064</v>
      </c>
      <c r="L14888" s="36">
        <v>45067</v>
      </c>
      <c r="M14888" t="s">
        <v>612</v>
      </c>
      <c r="N14888" t="s">
        <v>599</v>
      </c>
      <c r="O14888" s="37" t="str">
        <f t="shared" si="1163"/>
        <v>Digital Payment</v>
      </c>
      <c r="P14888">
        <v>168.94</v>
      </c>
      <c r="Q14888" s="37" t="str">
        <f>IF(P14888&gt;500,"High","low")</f>
        <v>low</v>
      </c>
      <c r="R14888" s="37" t="str">
        <f t="shared" si="1164"/>
        <v>AVERAGE</v>
      </c>
      <c r="S14888" t="s">
        <v>605</v>
      </c>
    </row>
    <row r="14889" spans="1:19" x14ac:dyDescent="0.2">
      <c r="A14889" t="s">
        <v>15500</v>
      </c>
      <c r="B14889" t="s">
        <v>75</v>
      </c>
      <c r="C14889" t="s">
        <v>617</v>
      </c>
      <c r="D14889">
        <v>630.08000000000004</v>
      </c>
      <c r="E14889" s="37" t="str">
        <f t="shared" si="1160"/>
        <v xml:space="preserve"> </v>
      </c>
      <c r="F14889">
        <v>0.04</v>
      </c>
      <c r="G14889" s="37" t="str">
        <f t="shared" si="1161"/>
        <v>Normal Discount</v>
      </c>
      <c r="H14889" s="37" t="str">
        <f t="shared" si="1162"/>
        <v>Low</v>
      </c>
      <c r="I14889">
        <v>1</v>
      </c>
      <c r="J14889" t="str" cm="1">
        <f t="array" ref="J14889">_xlfn.IFS(I14889&lt;=3,"small",I14889&lt;=6,"Medium",I14889&lt;=9,"Large")</f>
        <v>small</v>
      </c>
      <c r="K14889" s="36">
        <v>45551</v>
      </c>
      <c r="L14889" s="36">
        <v>45554</v>
      </c>
      <c r="M14889" t="s">
        <v>603</v>
      </c>
      <c r="N14889" t="s">
        <v>599</v>
      </c>
      <c r="O14889" s="37" t="str">
        <f t="shared" si="1163"/>
        <v>Digital Payment</v>
      </c>
      <c r="P14889">
        <v>173.68</v>
      </c>
      <c r="Q14889" s="37" t="str">
        <f>IF(P14889&gt;500,"High","low")</f>
        <v>low</v>
      </c>
      <c r="R14889" s="37" t="str">
        <f t="shared" si="1164"/>
        <v>AVERAGE</v>
      </c>
      <c r="S14889" t="s">
        <v>609</v>
      </c>
    </row>
    <row r="14890" spans="1:19" x14ac:dyDescent="0.2">
      <c r="A14890" t="s">
        <v>15501</v>
      </c>
      <c r="B14890" t="s">
        <v>83</v>
      </c>
      <c r="C14890" t="s">
        <v>607</v>
      </c>
      <c r="D14890">
        <v>4207.07</v>
      </c>
      <c r="E14890" s="37" t="str">
        <f t="shared" si="1160"/>
        <v>Excellent Order</v>
      </c>
      <c r="F14890">
        <v>0.39</v>
      </c>
      <c r="G14890" s="37" t="str">
        <f t="shared" si="1161"/>
        <v>Heavy Discount</v>
      </c>
      <c r="H14890" s="37" t="str">
        <f t="shared" si="1162"/>
        <v>Medium</v>
      </c>
      <c r="I14890">
        <v>6</v>
      </c>
      <c r="J14890" t="str" cm="1">
        <f t="array" ref="J14890">_xlfn.IFS(I14890&lt;=3,"small",I14890&lt;=6,"Medium",I14890&lt;=9,"Large")</f>
        <v>Medium</v>
      </c>
      <c r="K14890" s="36">
        <v>45231</v>
      </c>
      <c r="L14890" s="36">
        <v>45236</v>
      </c>
      <c r="M14890" t="s">
        <v>603</v>
      </c>
      <c r="N14890" t="s">
        <v>599</v>
      </c>
      <c r="O14890" s="37" t="str">
        <f t="shared" si="1163"/>
        <v>Digital Payment</v>
      </c>
      <c r="P14890">
        <v>926.76</v>
      </c>
      <c r="Q14890" s="37" t="str">
        <f>IF(P14890&gt;500,"High","low")</f>
        <v>High</v>
      </c>
      <c r="R14890" s="37" t="str">
        <f t="shared" si="1164"/>
        <v>Good</v>
      </c>
      <c r="S14890" t="s">
        <v>609</v>
      </c>
    </row>
    <row r="14891" spans="1:19" x14ac:dyDescent="0.2">
      <c r="A14891" t="s">
        <v>15502</v>
      </c>
      <c r="B14891" t="s">
        <v>67</v>
      </c>
      <c r="C14891" t="s">
        <v>617</v>
      </c>
      <c r="D14891">
        <v>3526.68</v>
      </c>
      <c r="E14891" s="37" t="str">
        <f t="shared" si="1160"/>
        <v xml:space="preserve"> </v>
      </c>
      <c r="F14891">
        <v>0.38</v>
      </c>
      <c r="G14891" s="37" t="str">
        <f t="shared" si="1161"/>
        <v>Heavy Discount</v>
      </c>
      <c r="H14891" s="37" t="str">
        <f t="shared" si="1162"/>
        <v>Medium</v>
      </c>
      <c r="I14891">
        <v>2</v>
      </c>
      <c r="J14891" t="str" cm="1">
        <f t="array" ref="J14891">_xlfn.IFS(I14891&lt;=3,"small",I14891&lt;=6,"Medium",I14891&lt;=9,"Large")</f>
        <v>small</v>
      </c>
      <c r="K14891" s="36">
        <v>44940</v>
      </c>
      <c r="L14891" s="36">
        <v>44941</v>
      </c>
      <c r="M14891" t="s">
        <v>612</v>
      </c>
      <c r="N14891" t="s">
        <v>604</v>
      </c>
      <c r="O14891" s="37" t="str">
        <f t="shared" si="1163"/>
        <v>Digital Payment</v>
      </c>
      <c r="P14891">
        <v>425.64</v>
      </c>
      <c r="Q14891" s="37" t="str">
        <f>IF(P14891&gt;500,"High","low")</f>
        <v>low</v>
      </c>
      <c r="R14891" s="37" t="str">
        <f t="shared" si="1164"/>
        <v>AVERAGE</v>
      </c>
      <c r="S14891" t="s">
        <v>609</v>
      </c>
    </row>
    <row r="14892" spans="1:19" x14ac:dyDescent="0.2">
      <c r="A14892" t="s">
        <v>15503</v>
      </c>
      <c r="B14892" t="s">
        <v>90</v>
      </c>
      <c r="C14892" t="s">
        <v>617</v>
      </c>
      <c r="D14892">
        <v>1104.4000000000001</v>
      </c>
      <c r="E14892" s="37" t="str">
        <f t="shared" si="1160"/>
        <v xml:space="preserve"> </v>
      </c>
      <c r="F14892">
        <v>0.13</v>
      </c>
      <c r="G14892" s="37" t="str">
        <f t="shared" si="1161"/>
        <v>Normal Discount</v>
      </c>
      <c r="H14892" s="37" t="str">
        <f t="shared" si="1162"/>
        <v>Low</v>
      </c>
      <c r="I14892">
        <v>9</v>
      </c>
      <c r="J14892" t="str" cm="1">
        <f t="array" ref="J14892">_xlfn.IFS(I14892&lt;=3,"small",I14892&lt;=6,"Medium",I14892&lt;=9,"Large")</f>
        <v>Large</v>
      </c>
      <c r="K14892" s="36">
        <v>44972</v>
      </c>
      <c r="L14892" s="36">
        <v>44973</v>
      </c>
      <c r="M14892" t="s">
        <v>612</v>
      </c>
      <c r="N14892" t="s">
        <v>608</v>
      </c>
      <c r="O14892" s="37" t="str">
        <f t="shared" si="1163"/>
        <v>Cash Payment</v>
      </c>
      <c r="P14892">
        <v>71.989999999999995</v>
      </c>
      <c r="Q14892" s="37" t="str">
        <f>IF(P14892&gt;500,"High","low")</f>
        <v>low</v>
      </c>
      <c r="R14892" s="37" t="str">
        <f t="shared" si="1164"/>
        <v>AVERAGE</v>
      </c>
      <c r="S14892" t="s">
        <v>609</v>
      </c>
    </row>
    <row r="14893" spans="1:19" x14ac:dyDescent="0.2">
      <c r="A14893" t="s">
        <v>15504</v>
      </c>
      <c r="B14893" t="s">
        <v>90</v>
      </c>
      <c r="C14893" t="s">
        <v>602</v>
      </c>
      <c r="D14893">
        <v>4717.24</v>
      </c>
      <c r="E14893" s="37" t="str">
        <f t="shared" si="1160"/>
        <v>Excellent Order</v>
      </c>
      <c r="F14893">
        <v>0.35</v>
      </c>
      <c r="G14893" s="37" t="str">
        <f t="shared" si="1161"/>
        <v>Heavy Discount</v>
      </c>
      <c r="H14893" s="37" t="str">
        <f t="shared" si="1162"/>
        <v>Medium</v>
      </c>
      <c r="I14893">
        <v>4</v>
      </c>
      <c r="J14893" t="str" cm="1">
        <f t="array" ref="J14893">_xlfn.IFS(I14893&lt;=3,"small",I14893&lt;=6,"Medium",I14893&lt;=9,"Large")</f>
        <v>Medium</v>
      </c>
      <c r="K14893" s="36">
        <v>45478</v>
      </c>
      <c r="L14893" s="36">
        <v>45480</v>
      </c>
      <c r="M14893" t="s">
        <v>598</v>
      </c>
      <c r="N14893" t="s">
        <v>599</v>
      </c>
      <c r="O14893" s="37" t="str">
        <f t="shared" si="1163"/>
        <v>Digital Payment</v>
      </c>
      <c r="P14893">
        <v>1302.83</v>
      </c>
      <c r="Q14893" s="37" t="str">
        <f>IF(P14893&gt;500,"High","low")</f>
        <v>High</v>
      </c>
      <c r="R14893" s="37" t="str">
        <f t="shared" si="1164"/>
        <v>Excellent</v>
      </c>
      <c r="S14893" t="s">
        <v>600</v>
      </c>
    </row>
    <row r="14894" spans="1:19" x14ac:dyDescent="0.2">
      <c r="A14894" t="s">
        <v>15505</v>
      </c>
      <c r="B14894" t="s">
        <v>75</v>
      </c>
      <c r="C14894" t="s">
        <v>617</v>
      </c>
      <c r="D14894">
        <v>219.55</v>
      </c>
      <c r="E14894" s="37" t="str">
        <f t="shared" si="1160"/>
        <v xml:space="preserve"> </v>
      </c>
      <c r="F14894">
        <v>0.33</v>
      </c>
      <c r="G14894" s="37" t="str">
        <f t="shared" si="1161"/>
        <v>Heavy Discount</v>
      </c>
      <c r="H14894" s="37" t="str">
        <f t="shared" si="1162"/>
        <v>Medium</v>
      </c>
      <c r="I14894">
        <v>8</v>
      </c>
      <c r="J14894" t="str" cm="1">
        <f t="array" ref="J14894">_xlfn.IFS(I14894&lt;=3,"small",I14894&lt;=6,"Medium",I14894&lt;=9,"Large")</f>
        <v>Large</v>
      </c>
      <c r="K14894" s="36">
        <v>45040</v>
      </c>
      <c r="L14894" s="36">
        <v>45042</v>
      </c>
      <c r="M14894" t="s">
        <v>598</v>
      </c>
      <c r="N14894" t="s">
        <v>599</v>
      </c>
      <c r="O14894" s="37" t="str">
        <f t="shared" si="1163"/>
        <v>Digital Payment</v>
      </c>
      <c r="P14894">
        <v>28.8</v>
      </c>
      <c r="Q14894" s="37" t="str">
        <f>IF(P14894&gt;500,"High","low")</f>
        <v>low</v>
      </c>
      <c r="R14894" s="37" t="str">
        <f t="shared" si="1164"/>
        <v>AVERAGE</v>
      </c>
      <c r="S14894" t="s">
        <v>600</v>
      </c>
    </row>
    <row r="14895" spans="1:19" x14ac:dyDescent="0.2">
      <c r="A14895" t="s">
        <v>15506</v>
      </c>
      <c r="B14895" t="s">
        <v>75</v>
      </c>
      <c r="C14895" t="s">
        <v>607</v>
      </c>
      <c r="D14895">
        <v>1733.07</v>
      </c>
      <c r="E14895" s="37" t="str">
        <f t="shared" si="1160"/>
        <v xml:space="preserve"> </v>
      </c>
      <c r="F14895">
        <v>0.15</v>
      </c>
      <c r="G14895" s="37" t="str">
        <f t="shared" si="1161"/>
        <v>Normal Discount</v>
      </c>
      <c r="H14895" s="37" t="str">
        <f t="shared" si="1162"/>
        <v>Low</v>
      </c>
      <c r="I14895">
        <v>2</v>
      </c>
      <c r="J14895" t="str" cm="1">
        <f t="array" ref="J14895">_xlfn.IFS(I14895&lt;=3,"small",I14895&lt;=6,"Medium",I14895&lt;=9,"Large")</f>
        <v>small</v>
      </c>
      <c r="K14895" s="36">
        <v>45073</v>
      </c>
      <c r="L14895" s="36">
        <v>45079</v>
      </c>
      <c r="M14895" t="s">
        <v>598</v>
      </c>
      <c r="N14895" t="s">
        <v>604</v>
      </c>
      <c r="O14895" s="37" t="str">
        <f t="shared" si="1163"/>
        <v>Digital Payment</v>
      </c>
      <c r="P14895">
        <v>97.28</v>
      </c>
      <c r="Q14895" s="37" t="str">
        <f>IF(P14895&gt;500,"High","low")</f>
        <v>low</v>
      </c>
      <c r="R14895" s="37" t="str">
        <f t="shared" si="1164"/>
        <v>AVERAGE</v>
      </c>
      <c r="S14895" t="s">
        <v>605</v>
      </c>
    </row>
    <row r="14896" spans="1:19" x14ac:dyDescent="0.2">
      <c r="A14896" t="s">
        <v>15507</v>
      </c>
      <c r="B14896" t="s">
        <v>90</v>
      </c>
      <c r="C14896" t="s">
        <v>614</v>
      </c>
      <c r="D14896">
        <v>206.1</v>
      </c>
      <c r="E14896" s="37" t="str">
        <f t="shared" si="1160"/>
        <v xml:space="preserve"> </v>
      </c>
      <c r="F14896">
        <v>0.36</v>
      </c>
      <c r="G14896" s="37" t="str">
        <f t="shared" si="1161"/>
        <v>Heavy Discount</v>
      </c>
      <c r="H14896" s="37" t="str">
        <f t="shared" si="1162"/>
        <v>Medium</v>
      </c>
      <c r="I14896">
        <v>5</v>
      </c>
      <c r="J14896" t="str" cm="1">
        <f t="array" ref="J14896">_xlfn.IFS(I14896&lt;=3,"small",I14896&lt;=6,"Medium",I14896&lt;=9,"Large")</f>
        <v>Medium</v>
      </c>
      <c r="K14896" s="36">
        <v>45168</v>
      </c>
      <c r="L14896" s="36">
        <v>45170</v>
      </c>
      <c r="M14896" t="s">
        <v>603</v>
      </c>
      <c r="N14896" t="s">
        <v>599</v>
      </c>
      <c r="O14896" s="37" t="str">
        <f t="shared" si="1163"/>
        <v>Digital Payment</v>
      </c>
      <c r="P14896">
        <v>57.02</v>
      </c>
      <c r="Q14896" s="37" t="str">
        <f>IF(P14896&gt;500,"High","low")</f>
        <v>low</v>
      </c>
      <c r="R14896" s="37" t="str">
        <f t="shared" si="1164"/>
        <v>AVERAGE</v>
      </c>
      <c r="S14896" t="s">
        <v>609</v>
      </c>
    </row>
    <row r="14897" spans="1:19" x14ac:dyDescent="0.2">
      <c r="A14897" t="s">
        <v>15508</v>
      </c>
      <c r="B14897" t="s">
        <v>67</v>
      </c>
      <c r="C14897" t="s">
        <v>614</v>
      </c>
      <c r="D14897">
        <v>797.26</v>
      </c>
      <c r="E14897" s="37" t="str">
        <f t="shared" si="1160"/>
        <v xml:space="preserve"> </v>
      </c>
      <c r="F14897">
        <v>0.47</v>
      </c>
      <c r="G14897" s="37" t="str">
        <f t="shared" si="1161"/>
        <v>Heavy Discount</v>
      </c>
      <c r="H14897" s="37" t="str">
        <f t="shared" si="1162"/>
        <v>High</v>
      </c>
      <c r="I14897">
        <v>8</v>
      </c>
      <c r="J14897" t="str" cm="1">
        <f t="array" ref="J14897">_xlfn.IFS(I14897&lt;=3,"small",I14897&lt;=6,"Medium",I14897&lt;=9,"Large")</f>
        <v>Large</v>
      </c>
      <c r="K14897" s="36">
        <v>45455</v>
      </c>
      <c r="L14897" s="36">
        <v>45457</v>
      </c>
      <c r="M14897" t="s">
        <v>603</v>
      </c>
      <c r="N14897" t="s">
        <v>599</v>
      </c>
      <c r="O14897" s="37" t="str">
        <f t="shared" si="1163"/>
        <v>Digital Payment</v>
      </c>
      <c r="P14897">
        <v>146.02000000000001</v>
      </c>
      <c r="Q14897" s="37" t="str">
        <f>IF(P14897&gt;500,"High","low")</f>
        <v>low</v>
      </c>
      <c r="R14897" s="37" t="str">
        <f t="shared" si="1164"/>
        <v>AVERAGE</v>
      </c>
      <c r="S14897" t="s">
        <v>600</v>
      </c>
    </row>
    <row r="14898" spans="1:19" x14ac:dyDescent="0.2">
      <c r="A14898" t="s">
        <v>15509</v>
      </c>
      <c r="B14898" t="s">
        <v>75</v>
      </c>
      <c r="C14898" t="s">
        <v>607</v>
      </c>
      <c r="D14898">
        <v>982.39</v>
      </c>
      <c r="E14898" s="37" t="str">
        <f t="shared" si="1160"/>
        <v xml:space="preserve"> </v>
      </c>
      <c r="F14898">
        <v>0.15</v>
      </c>
      <c r="G14898" s="37" t="str">
        <f t="shared" si="1161"/>
        <v>Normal Discount</v>
      </c>
      <c r="H14898" s="37" t="str">
        <f t="shared" si="1162"/>
        <v>Low</v>
      </c>
      <c r="I14898">
        <v>1</v>
      </c>
      <c r="J14898" t="str" cm="1">
        <f t="array" ref="J14898">_xlfn.IFS(I14898&lt;=3,"small",I14898&lt;=6,"Medium",I14898&lt;=9,"Large")</f>
        <v>small</v>
      </c>
      <c r="K14898" s="36">
        <v>45136</v>
      </c>
      <c r="L14898" s="36">
        <v>45142</v>
      </c>
      <c r="M14898" t="s">
        <v>598</v>
      </c>
      <c r="N14898" t="s">
        <v>604</v>
      </c>
      <c r="O14898" s="37" t="str">
        <f t="shared" si="1163"/>
        <v>Digital Payment</v>
      </c>
      <c r="P14898">
        <v>220.39</v>
      </c>
      <c r="Q14898" s="37" t="str">
        <f>IF(P14898&gt;500,"High","low")</f>
        <v>low</v>
      </c>
      <c r="R14898" s="37" t="str">
        <f t="shared" si="1164"/>
        <v>AVERAGE</v>
      </c>
      <c r="S14898" t="s">
        <v>615</v>
      </c>
    </row>
    <row r="14899" spans="1:19" x14ac:dyDescent="0.2">
      <c r="A14899" t="s">
        <v>15510</v>
      </c>
      <c r="B14899" t="s">
        <v>75</v>
      </c>
      <c r="C14899" t="s">
        <v>602</v>
      </c>
      <c r="D14899">
        <v>4070.64</v>
      </c>
      <c r="E14899" s="37" t="str">
        <f t="shared" si="1160"/>
        <v>Excellent Order</v>
      </c>
      <c r="F14899">
        <v>0.49</v>
      </c>
      <c r="G14899" s="37" t="str">
        <f t="shared" si="1161"/>
        <v>Heavy Discount</v>
      </c>
      <c r="H14899" s="37" t="str">
        <f t="shared" si="1162"/>
        <v>High</v>
      </c>
      <c r="I14899">
        <v>6</v>
      </c>
      <c r="J14899" t="str" cm="1">
        <f t="array" ref="J14899">_xlfn.IFS(I14899&lt;=3,"small",I14899&lt;=6,"Medium",I14899&lt;=9,"Large")</f>
        <v>Medium</v>
      </c>
      <c r="K14899" s="36">
        <v>45158</v>
      </c>
      <c r="L14899" s="36">
        <v>45159</v>
      </c>
      <c r="M14899" t="s">
        <v>612</v>
      </c>
      <c r="N14899" t="s">
        <v>608</v>
      </c>
      <c r="O14899" s="37" t="str">
        <f t="shared" si="1163"/>
        <v>Cash Payment</v>
      </c>
      <c r="P14899">
        <v>1173.5</v>
      </c>
      <c r="Q14899" s="37" t="str">
        <f>IF(P14899&gt;500,"High","low")</f>
        <v>High</v>
      </c>
      <c r="R14899" s="37" t="str">
        <f t="shared" si="1164"/>
        <v>Excellent</v>
      </c>
      <c r="S14899" t="s">
        <v>620</v>
      </c>
    </row>
    <row r="14900" spans="1:19" x14ac:dyDescent="0.2">
      <c r="A14900" t="s">
        <v>15511</v>
      </c>
      <c r="B14900" t="s">
        <v>90</v>
      </c>
      <c r="C14900" t="s">
        <v>597</v>
      </c>
      <c r="D14900">
        <v>4965.8900000000003</v>
      </c>
      <c r="E14900" s="37" t="str">
        <f t="shared" si="1160"/>
        <v xml:space="preserve"> </v>
      </c>
      <c r="F14900">
        <v>0.11</v>
      </c>
      <c r="G14900" s="37" t="str">
        <f t="shared" si="1161"/>
        <v>Normal Discount</v>
      </c>
      <c r="H14900" s="37" t="str">
        <f t="shared" si="1162"/>
        <v>Low</v>
      </c>
      <c r="I14900">
        <v>2</v>
      </c>
      <c r="J14900" t="str" cm="1">
        <f t="array" ref="J14900">_xlfn.IFS(I14900&lt;=3,"small",I14900&lt;=6,"Medium",I14900&lt;=9,"Large")</f>
        <v>small</v>
      </c>
      <c r="K14900" s="36">
        <v>45296</v>
      </c>
      <c r="L14900" s="36">
        <v>45300</v>
      </c>
      <c r="M14900" t="s">
        <v>612</v>
      </c>
      <c r="N14900" t="s">
        <v>604</v>
      </c>
      <c r="O14900" s="37" t="str">
        <f t="shared" si="1163"/>
        <v>Digital Payment</v>
      </c>
      <c r="P14900">
        <v>493.29</v>
      </c>
      <c r="Q14900" s="37" t="str">
        <f>IF(P14900&gt;500,"High","low")</f>
        <v>low</v>
      </c>
      <c r="R14900" s="37" t="str">
        <f t="shared" si="1164"/>
        <v>AVERAGE</v>
      </c>
      <c r="S14900" t="s">
        <v>628</v>
      </c>
    </row>
    <row r="14901" spans="1:19" x14ac:dyDescent="0.2">
      <c r="A14901" t="s">
        <v>15512</v>
      </c>
      <c r="B14901" t="s">
        <v>90</v>
      </c>
      <c r="C14901" t="s">
        <v>602</v>
      </c>
      <c r="D14901">
        <v>4349.87</v>
      </c>
      <c r="E14901" s="37" t="str">
        <f t="shared" si="1160"/>
        <v>Excellent Order</v>
      </c>
      <c r="F14901">
        <v>7.0000000000000007E-2</v>
      </c>
      <c r="G14901" s="37" t="str">
        <f t="shared" si="1161"/>
        <v>Normal Discount</v>
      </c>
      <c r="H14901" s="37" t="str">
        <f t="shared" si="1162"/>
        <v>Low</v>
      </c>
      <c r="I14901">
        <v>5</v>
      </c>
      <c r="J14901" t="str" cm="1">
        <f t="array" ref="J14901">_xlfn.IFS(I14901&lt;=3,"small",I14901&lt;=6,"Medium",I14901&lt;=9,"Large")</f>
        <v>Medium</v>
      </c>
      <c r="K14901" s="36">
        <v>45383</v>
      </c>
      <c r="L14901" s="36">
        <v>45386</v>
      </c>
      <c r="M14901" t="s">
        <v>612</v>
      </c>
      <c r="N14901" t="s">
        <v>604</v>
      </c>
      <c r="O14901" s="37" t="str">
        <f t="shared" si="1163"/>
        <v>Digital Payment</v>
      </c>
      <c r="P14901">
        <v>904.1</v>
      </c>
      <c r="Q14901" s="37" t="str">
        <f>IF(P14901&gt;500,"High","low")</f>
        <v>High</v>
      </c>
      <c r="R14901" s="37" t="str">
        <f t="shared" si="1164"/>
        <v>Good</v>
      </c>
      <c r="S14901" t="s">
        <v>605</v>
      </c>
    </row>
    <row r="14902" spans="1:19" x14ac:dyDescent="0.2">
      <c r="A14902" t="s">
        <v>15513</v>
      </c>
      <c r="B14902" t="s">
        <v>75</v>
      </c>
      <c r="C14902" t="s">
        <v>607</v>
      </c>
      <c r="D14902">
        <v>3212.15</v>
      </c>
      <c r="E14902" s="37" t="str">
        <f t="shared" si="1160"/>
        <v xml:space="preserve"> </v>
      </c>
      <c r="F14902">
        <v>0.04</v>
      </c>
      <c r="G14902" s="37" t="str">
        <f t="shared" si="1161"/>
        <v>Normal Discount</v>
      </c>
      <c r="H14902" s="37" t="str">
        <f t="shared" si="1162"/>
        <v>Low</v>
      </c>
      <c r="I14902">
        <v>1</v>
      </c>
      <c r="J14902" t="str" cm="1">
        <f t="array" ref="J14902">_xlfn.IFS(I14902&lt;=3,"small",I14902&lt;=6,"Medium",I14902&lt;=9,"Large")</f>
        <v>small</v>
      </c>
      <c r="K14902" s="36">
        <v>45119</v>
      </c>
      <c r="L14902" s="36">
        <v>45121</v>
      </c>
      <c r="M14902" t="s">
        <v>603</v>
      </c>
      <c r="N14902" t="s">
        <v>604</v>
      </c>
      <c r="O14902" s="37" t="str">
        <f t="shared" si="1163"/>
        <v>Digital Payment</v>
      </c>
      <c r="P14902">
        <v>299.8</v>
      </c>
      <c r="Q14902" s="37" t="str">
        <f>IF(P14902&gt;500,"High","low")</f>
        <v>low</v>
      </c>
      <c r="R14902" s="37" t="str">
        <f t="shared" si="1164"/>
        <v>AVERAGE</v>
      </c>
      <c r="S14902" t="s">
        <v>620</v>
      </c>
    </row>
    <row r="14903" spans="1:19" x14ac:dyDescent="0.2">
      <c r="A14903" t="s">
        <v>15514</v>
      </c>
      <c r="B14903" t="s">
        <v>83</v>
      </c>
      <c r="C14903" t="s">
        <v>617</v>
      </c>
      <c r="D14903">
        <v>3642.32</v>
      </c>
      <c r="E14903" s="37" t="str">
        <f t="shared" si="1160"/>
        <v xml:space="preserve"> </v>
      </c>
      <c r="F14903">
        <v>0.11</v>
      </c>
      <c r="G14903" s="37" t="str">
        <f t="shared" si="1161"/>
        <v>Normal Discount</v>
      </c>
      <c r="H14903" s="37" t="str">
        <f t="shared" si="1162"/>
        <v>Low</v>
      </c>
      <c r="I14903">
        <v>4</v>
      </c>
      <c r="J14903" t="str" cm="1">
        <f t="array" ref="J14903">_xlfn.IFS(I14903&lt;=3,"small",I14903&lt;=6,"Medium",I14903&lt;=9,"Large")</f>
        <v>Medium</v>
      </c>
      <c r="K14903" s="36">
        <v>44996</v>
      </c>
      <c r="L14903" s="36">
        <v>45000</v>
      </c>
      <c r="M14903" t="s">
        <v>598</v>
      </c>
      <c r="N14903" t="s">
        <v>604</v>
      </c>
      <c r="O14903" s="37" t="str">
        <f t="shared" si="1163"/>
        <v>Digital Payment</v>
      </c>
      <c r="P14903">
        <v>418.04</v>
      </c>
      <c r="Q14903" s="37" t="str">
        <f>IF(P14903&gt;500,"High","low")</f>
        <v>low</v>
      </c>
      <c r="R14903" s="37" t="str">
        <f t="shared" si="1164"/>
        <v>AVERAGE</v>
      </c>
      <c r="S14903" t="s">
        <v>620</v>
      </c>
    </row>
    <row r="14904" spans="1:19" x14ac:dyDescent="0.2">
      <c r="A14904" t="s">
        <v>15515</v>
      </c>
      <c r="B14904" t="s">
        <v>75</v>
      </c>
      <c r="C14904" t="s">
        <v>614</v>
      </c>
      <c r="D14904">
        <v>2661.82</v>
      </c>
      <c r="E14904" s="37" t="str">
        <f t="shared" si="1160"/>
        <v xml:space="preserve"> </v>
      </c>
      <c r="F14904">
        <v>0.17</v>
      </c>
      <c r="G14904" s="37" t="str">
        <f t="shared" si="1161"/>
        <v>Normal Discount</v>
      </c>
      <c r="H14904" s="37" t="str">
        <f t="shared" si="1162"/>
        <v>Low</v>
      </c>
      <c r="I14904">
        <v>3</v>
      </c>
      <c r="J14904" t="str" cm="1">
        <f t="array" ref="J14904">_xlfn.IFS(I14904&lt;=3,"small",I14904&lt;=6,"Medium",I14904&lt;=9,"Large")</f>
        <v>small</v>
      </c>
      <c r="K14904" s="36">
        <v>45220</v>
      </c>
      <c r="L14904" s="36">
        <v>45222</v>
      </c>
      <c r="M14904" t="s">
        <v>612</v>
      </c>
      <c r="N14904" t="s">
        <v>599</v>
      </c>
      <c r="O14904" s="37" t="str">
        <f t="shared" si="1163"/>
        <v>Digital Payment</v>
      </c>
      <c r="P14904">
        <v>493.08</v>
      </c>
      <c r="Q14904" s="37" t="str">
        <f>IF(P14904&gt;500,"High","low")</f>
        <v>low</v>
      </c>
      <c r="R14904" s="37" t="str">
        <f t="shared" si="1164"/>
        <v>AVERAGE</v>
      </c>
      <c r="S14904" t="s">
        <v>628</v>
      </c>
    </row>
    <row r="14905" spans="1:19" x14ac:dyDescent="0.2">
      <c r="A14905" t="s">
        <v>15516</v>
      </c>
      <c r="B14905" t="s">
        <v>83</v>
      </c>
      <c r="C14905" t="s">
        <v>617</v>
      </c>
      <c r="D14905">
        <v>2170.46</v>
      </c>
      <c r="E14905" s="37" t="str">
        <f t="shared" si="1160"/>
        <v xml:space="preserve"> </v>
      </c>
      <c r="F14905">
        <v>0.37</v>
      </c>
      <c r="G14905" s="37" t="str">
        <f t="shared" si="1161"/>
        <v>Heavy Discount</v>
      </c>
      <c r="H14905" s="37" t="str">
        <f t="shared" si="1162"/>
        <v>Medium</v>
      </c>
      <c r="I14905">
        <v>5</v>
      </c>
      <c r="J14905" t="str" cm="1">
        <f t="array" ref="J14905">_xlfn.IFS(I14905&lt;=3,"small",I14905&lt;=6,"Medium",I14905&lt;=9,"Large")</f>
        <v>Medium</v>
      </c>
      <c r="K14905" s="36">
        <v>45071</v>
      </c>
      <c r="L14905" s="36">
        <v>45076</v>
      </c>
      <c r="M14905" t="s">
        <v>603</v>
      </c>
      <c r="N14905" t="s">
        <v>608</v>
      </c>
      <c r="O14905" s="37" t="str">
        <f t="shared" si="1163"/>
        <v>Cash Payment</v>
      </c>
      <c r="P14905">
        <v>229.46</v>
      </c>
      <c r="Q14905" s="37" t="str">
        <f>IF(P14905&gt;500,"High","low")</f>
        <v>low</v>
      </c>
      <c r="R14905" s="37" t="str">
        <f t="shared" si="1164"/>
        <v>AVERAGE</v>
      </c>
      <c r="S14905" t="s">
        <v>609</v>
      </c>
    </row>
    <row r="14906" spans="1:19" x14ac:dyDescent="0.2">
      <c r="A14906" t="s">
        <v>15517</v>
      </c>
      <c r="B14906" t="s">
        <v>90</v>
      </c>
      <c r="C14906" t="s">
        <v>602</v>
      </c>
      <c r="D14906">
        <v>3491.63</v>
      </c>
      <c r="E14906" s="37" t="str">
        <f t="shared" si="1160"/>
        <v xml:space="preserve"> </v>
      </c>
      <c r="F14906">
        <v>0.04</v>
      </c>
      <c r="G14906" s="37" t="str">
        <f t="shared" si="1161"/>
        <v>Normal Discount</v>
      </c>
      <c r="H14906" s="37" t="str">
        <f t="shared" si="1162"/>
        <v>Low</v>
      </c>
      <c r="I14906">
        <v>8</v>
      </c>
      <c r="J14906" t="str" cm="1">
        <f t="array" ref="J14906">_xlfn.IFS(I14906&lt;=3,"small",I14906&lt;=6,"Medium",I14906&lt;=9,"Large")</f>
        <v>Large</v>
      </c>
      <c r="K14906" s="36">
        <v>45511</v>
      </c>
      <c r="L14906" s="36">
        <v>45518</v>
      </c>
      <c r="M14906" t="s">
        <v>612</v>
      </c>
      <c r="N14906" t="s">
        <v>599</v>
      </c>
      <c r="O14906" s="37" t="str">
        <f t="shared" si="1163"/>
        <v>Digital Payment</v>
      </c>
      <c r="P14906">
        <v>585.57000000000005</v>
      </c>
      <c r="Q14906" s="37" t="str">
        <f>IF(P14906&gt;500,"High","low")</f>
        <v>High</v>
      </c>
      <c r="R14906" s="37" t="str">
        <f t="shared" si="1164"/>
        <v>Good</v>
      </c>
      <c r="S14906" t="s">
        <v>620</v>
      </c>
    </row>
    <row r="14907" spans="1:19" x14ac:dyDescent="0.2">
      <c r="A14907" t="s">
        <v>15518</v>
      </c>
      <c r="B14907" t="s">
        <v>83</v>
      </c>
      <c r="C14907" t="s">
        <v>607</v>
      </c>
      <c r="D14907">
        <v>4868.2700000000004</v>
      </c>
      <c r="E14907" s="37" t="str">
        <f t="shared" si="1160"/>
        <v xml:space="preserve"> </v>
      </c>
      <c r="F14907">
        <v>0.25</v>
      </c>
      <c r="G14907" s="37" t="str">
        <f t="shared" si="1161"/>
        <v>Normal Discount</v>
      </c>
      <c r="H14907" s="37" t="str">
        <f t="shared" si="1162"/>
        <v>Medium</v>
      </c>
      <c r="I14907">
        <v>9</v>
      </c>
      <c r="J14907" t="str" cm="1">
        <f t="array" ref="J14907">_xlfn.IFS(I14907&lt;=3,"small",I14907&lt;=6,"Medium",I14907&lt;=9,"Large")</f>
        <v>Large</v>
      </c>
      <c r="K14907" s="36">
        <v>45051</v>
      </c>
      <c r="L14907" s="36">
        <v>45053</v>
      </c>
      <c r="M14907" t="s">
        <v>603</v>
      </c>
      <c r="N14907" t="s">
        <v>608</v>
      </c>
      <c r="O14907" s="37" t="str">
        <f t="shared" si="1163"/>
        <v>Cash Payment</v>
      </c>
      <c r="P14907">
        <v>262.89999999999998</v>
      </c>
      <c r="Q14907" s="37" t="str">
        <f>IF(P14907&gt;500,"High","low")</f>
        <v>low</v>
      </c>
      <c r="R14907" s="37" t="str">
        <f t="shared" si="1164"/>
        <v>AVERAGE</v>
      </c>
      <c r="S14907" t="s">
        <v>609</v>
      </c>
    </row>
    <row r="14908" spans="1:19" x14ac:dyDescent="0.2">
      <c r="A14908" t="s">
        <v>15519</v>
      </c>
      <c r="B14908" t="s">
        <v>67</v>
      </c>
      <c r="C14908" t="s">
        <v>614</v>
      </c>
      <c r="D14908">
        <v>241.58</v>
      </c>
      <c r="E14908" s="37" t="str">
        <f t="shared" si="1160"/>
        <v xml:space="preserve"> </v>
      </c>
      <c r="F14908">
        <v>0.26</v>
      </c>
      <c r="G14908" s="37" t="str">
        <f t="shared" si="1161"/>
        <v>Normal Discount</v>
      </c>
      <c r="H14908" s="37" t="str">
        <f t="shared" si="1162"/>
        <v>Medium</v>
      </c>
      <c r="I14908">
        <v>5</v>
      </c>
      <c r="J14908" t="str" cm="1">
        <f t="array" ref="J14908">_xlfn.IFS(I14908&lt;=3,"small",I14908&lt;=6,"Medium",I14908&lt;=9,"Large")</f>
        <v>Medium</v>
      </c>
      <c r="K14908" s="36">
        <v>45302</v>
      </c>
      <c r="L14908" s="36">
        <v>45309</v>
      </c>
      <c r="M14908" t="s">
        <v>598</v>
      </c>
      <c r="N14908" t="s">
        <v>599</v>
      </c>
      <c r="O14908" s="37" t="str">
        <f t="shared" si="1163"/>
        <v>Digital Payment</v>
      </c>
      <c r="P14908">
        <v>51.34</v>
      </c>
      <c r="Q14908" s="37" t="str">
        <f>IF(P14908&gt;500,"High","low")</f>
        <v>low</v>
      </c>
      <c r="R14908" s="37" t="str">
        <f t="shared" si="1164"/>
        <v>AVERAGE</v>
      </c>
      <c r="S14908" t="s">
        <v>609</v>
      </c>
    </row>
    <row r="14909" spans="1:19" x14ac:dyDescent="0.2">
      <c r="A14909" t="s">
        <v>15520</v>
      </c>
      <c r="B14909" t="s">
        <v>90</v>
      </c>
      <c r="C14909" t="s">
        <v>607</v>
      </c>
      <c r="D14909">
        <v>1639.02</v>
      </c>
      <c r="E14909" s="37" t="str">
        <f t="shared" si="1160"/>
        <v xml:space="preserve"> </v>
      </c>
      <c r="F14909">
        <v>0.11</v>
      </c>
      <c r="G14909" s="37" t="str">
        <f t="shared" si="1161"/>
        <v>Normal Discount</v>
      </c>
      <c r="H14909" s="37" t="str">
        <f t="shared" si="1162"/>
        <v>Low</v>
      </c>
      <c r="I14909">
        <v>9</v>
      </c>
      <c r="J14909" t="str" cm="1">
        <f t="array" ref="J14909">_xlfn.IFS(I14909&lt;=3,"small",I14909&lt;=6,"Medium",I14909&lt;=9,"Large")</f>
        <v>Large</v>
      </c>
      <c r="K14909" s="36">
        <v>45072</v>
      </c>
      <c r="L14909" s="36">
        <v>45077</v>
      </c>
      <c r="M14909" t="s">
        <v>612</v>
      </c>
      <c r="N14909" t="s">
        <v>599</v>
      </c>
      <c r="O14909" s="37" t="str">
        <f t="shared" si="1163"/>
        <v>Digital Payment</v>
      </c>
      <c r="P14909">
        <v>395.75</v>
      </c>
      <c r="Q14909" s="37" t="str">
        <f>IF(P14909&gt;500,"High","low")</f>
        <v>low</v>
      </c>
      <c r="R14909" s="37" t="str">
        <f t="shared" si="1164"/>
        <v>AVERAGE</v>
      </c>
      <c r="S14909" t="s">
        <v>615</v>
      </c>
    </row>
    <row r="14910" spans="1:19" x14ac:dyDescent="0.2">
      <c r="A14910" t="s">
        <v>15521</v>
      </c>
      <c r="B14910" t="s">
        <v>75</v>
      </c>
      <c r="C14910" t="s">
        <v>614</v>
      </c>
      <c r="D14910">
        <v>1717.29</v>
      </c>
      <c r="E14910" s="37" t="str">
        <f t="shared" si="1160"/>
        <v xml:space="preserve"> </v>
      </c>
      <c r="F14910">
        <v>0.02</v>
      </c>
      <c r="G14910" s="37" t="str">
        <f t="shared" si="1161"/>
        <v>Normal Discount</v>
      </c>
      <c r="H14910" s="37" t="str">
        <f t="shared" si="1162"/>
        <v>Low</v>
      </c>
      <c r="I14910">
        <v>4</v>
      </c>
      <c r="J14910" t="str" cm="1">
        <f t="array" ref="J14910">_xlfn.IFS(I14910&lt;=3,"small",I14910&lt;=6,"Medium",I14910&lt;=9,"Large")</f>
        <v>Medium</v>
      </c>
      <c r="K14910" s="36">
        <v>45164</v>
      </c>
      <c r="L14910" s="36">
        <v>45170</v>
      </c>
      <c r="M14910" t="s">
        <v>603</v>
      </c>
      <c r="N14910" t="s">
        <v>604</v>
      </c>
      <c r="O14910" s="37" t="str">
        <f t="shared" si="1163"/>
        <v>Digital Payment</v>
      </c>
      <c r="P14910">
        <v>185.9</v>
      </c>
      <c r="Q14910" s="37" t="str">
        <f>IF(P14910&gt;500,"High","low")</f>
        <v>low</v>
      </c>
      <c r="R14910" s="37" t="str">
        <f t="shared" si="1164"/>
        <v>AVERAGE</v>
      </c>
      <c r="S14910" t="s">
        <v>600</v>
      </c>
    </row>
    <row r="14911" spans="1:19" x14ac:dyDescent="0.2">
      <c r="A14911" t="s">
        <v>15522</v>
      </c>
      <c r="B14911" t="s">
        <v>75</v>
      </c>
      <c r="C14911" t="s">
        <v>614</v>
      </c>
      <c r="D14911">
        <v>2129.83</v>
      </c>
      <c r="E14911" s="37" t="str">
        <f t="shared" si="1160"/>
        <v xml:space="preserve"> </v>
      </c>
      <c r="F14911">
        <v>0.11</v>
      </c>
      <c r="G14911" s="37" t="str">
        <f t="shared" si="1161"/>
        <v>Normal Discount</v>
      </c>
      <c r="H14911" s="37" t="str">
        <f t="shared" si="1162"/>
        <v>Low</v>
      </c>
      <c r="I14911">
        <v>5</v>
      </c>
      <c r="J14911" t="str" cm="1">
        <f t="array" ref="J14911">_xlfn.IFS(I14911&lt;=3,"small",I14911&lt;=6,"Medium",I14911&lt;=9,"Large")</f>
        <v>Medium</v>
      </c>
      <c r="K14911" s="36">
        <v>45061</v>
      </c>
      <c r="L14911" s="36">
        <v>45068</v>
      </c>
      <c r="M14911" t="s">
        <v>598</v>
      </c>
      <c r="N14911" t="s">
        <v>604</v>
      </c>
      <c r="O14911" s="37" t="str">
        <f t="shared" si="1163"/>
        <v>Digital Payment</v>
      </c>
      <c r="P14911">
        <v>121.51</v>
      </c>
      <c r="Q14911" s="37" t="str">
        <f>IF(P14911&gt;500,"High","low")</f>
        <v>low</v>
      </c>
      <c r="R14911" s="37" t="str">
        <f t="shared" si="1164"/>
        <v>AVERAGE</v>
      </c>
      <c r="S14911" t="s">
        <v>628</v>
      </c>
    </row>
    <row r="14912" spans="1:19" x14ac:dyDescent="0.2">
      <c r="A14912" t="s">
        <v>15523</v>
      </c>
      <c r="B14912" t="s">
        <v>90</v>
      </c>
      <c r="C14912" t="s">
        <v>614</v>
      </c>
      <c r="D14912">
        <v>3171.77</v>
      </c>
      <c r="E14912" s="37" t="str">
        <f t="shared" si="1160"/>
        <v xml:space="preserve"> </v>
      </c>
      <c r="F14912">
        <v>0.12</v>
      </c>
      <c r="G14912" s="37" t="str">
        <f t="shared" si="1161"/>
        <v>Normal Discount</v>
      </c>
      <c r="H14912" s="37" t="str">
        <f t="shared" si="1162"/>
        <v>Low</v>
      </c>
      <c r="I14912">
        <v>9</v>
      </c>
      <c r="J14912" t="str" cm="1">
        <f t="array" ref="J14912">_xlfn.IFS(I14912&lt;=3,"small",I14912&lt;=6,"Medium",I14912&lt;=9,"Large")</f>
        <v>Large</v>
      </c>
      <c r="K14912" s="36">
        <v>45345</v>
      </c>
      <c r="L14912" s="36">
        <v>45348</v>
      </c>
      <c r="M14912" t="s">
        <v>603</v>
      </c>
      <c r="N14912" t="s">
        <v>599</v>
      </c>
      <c r="O14912" s="37" t="str">
        <f t="shared" si="1163"/>
        <v>Digital Payment</v>
      </c>
      <c r="P14912">
        <v>212.07</v>
      </c>
      <c r="Q14912" s="37" t="str">
        <f>IF(P14912&gt;500,"High","low")</f>
        <v>low</v>
      </c>
      <c r="R14912" s="37" t="str">
        <f t="shared" si="1164"/>
        <v>AVERAGE</v>
      </c>
      <c r="S14912" t="s">
        <v>628</v>
      </c>
    </row>
    <row r="14913" spans="1:19" x14ac:dyDescent="0.2">
      <c r="A14913" t="s">
        <v>15524</v>
      </c>
      <c r="B14913" t="s">
        <v>90</v>
      </c>
      <c r="C14913" t="s">
        <v>602</v>
      </c>
      <c r="D14913">
        <v>2617.39</v>
      </c>
      <c r="E14913" s="37" t="str">
        <f t="shared" si="1160"/>
        <v xml:space="preserve"> </v>
      </c>
      <c r="F14913">
        <v>0.34</v>
      </c>
      <c r="G14913" s="37" t="str">
        <f t="shared" si="1161"/>
        <v>Heavy Discount</v>
      </c>
      <c r="H14913" s="37" t="str">
        <f t="shared" si="1162"/>
        <v>Medium</v>
      </c>
      <c r="I14913">
        <v>9</v>
      </c>
      <c r="J14913" t="str" cm="1">
        <f t="array" ref="J14913">_xlfn.IFS(I14913&lt;=3,"small",I14913&lt;=6,"Medium",I14913&lt;=9,"Large")</f>
        <v>Large</v>
      </c>
      <c r="K14913" s="36">
        <v>45098</v>
      </c>
      <c r="L14913" s="36">
        <v>45100</v>
      </c>
      <c r="M14913" t="s">
        <v>612</v>
      </c>
      <c r="N14913" t="s">
        <v>604</v>
      </c>
      <c r="O14913" s="37" t="str">
        <f t="shared" si="1163"/>
        <v>Digital Payment</v>
      </c>
      <c r="P14913">
        <v>544.17999999999995</v>
      </c>
      <c r="Q14913" s="37" t="str">
        <f>IF(P14913&gt;500,"High","low")</f>
        <v>High</v>
      </c>
      <c r="R14913" s="37" t="str">
        <f t="shared" si="1164"/>
        <v>Good</v>
      </c>
      <c r="S14913" t="s">
        <v>628</v>
      </c>
    </row>
    <row r="14914" spans="1:19" x14ac:dyDescent="0.2">
      <c r="A14914" t="s">
        <v>15525</v>
      </c>
      <c r="B14914" t="s">
        <v>67</v>
      </c>
      <c r="C14914" t="s">
        <v>607</v>
      </c>
      <c r="D14914">
        <v>191.77</v>
      </c>
      <c r="E14914" s="37" t="str">
        <f t="shared" si="1160"/>
        <v xml:space="preserve"> </v>
      </c>
      <c r="F14914">
        <v>0.12</v>
      </c>
      <c r="G14914" s="37" t="str">
        <f t="shared" si="1161"/>
        <v>Normal Discount</v>
      </c>
      <c r="H14914" s="37" t="str">
        <f t="shared" si="1162"/>
        <v>Low</v>
      </c>
      <c r="I14914">
        <v>2</v>
      </c>
      <c r="J14914" t="str" cm="1">
        <f t="array" ref="J14914">_xlfn.IFS(I14914&lt;=3,"small",I14914&lt;=6,"Medium",I14914&lt;=9,"Large")</f>
        <v>small</v>
      </c>
      <c r="K14914" s="36">
        <v>45221</v>
      </c>
      <c r="L14914" s="36">
        <v>45226</v>
      </c>
      <c r="M14914" t="s">
        <v>612</v>
      </c>
      <c r="N14914" t="s">
        <v>608</v>
      </c>
      <c r="O14914" s="37" t="str">
        <f t="shared" si="1163"/>
        <v>Cash Payment</v>
      </c>
      <c r="P14914">
        <v>57.52</v>
      </c>
      <c r="Q14914" s="37" t="str">
        <f>IF(P14914&gt;500,"High","low")</f>
        <v>low</v>
      </c>
      <c r="R14914" s="37" t="str">
        <f t="shared" si="1164"/>
        <v>AVERAGE</v>
      </c>
      <c r="S14914" t="s">
        <v>600</v>
      </c>
    </row>
    <row r="14915" spans="1:19" x14ac:dyDescent="0.2">
      <c r="A14915" t="s">
        <v>15526</v>
      </c>
      <c r="B14915" t="s">
        <v>90</v>
      </c>
      <c r="C14915" t="s">
        <v>597</v>
      </c>
      <c r="D14915">
        <v>2116.89</v>
      </c>
      <c r="E14915" s="37" t="str">
        <f t="shared" ref="E14915:E14978" si="1165">IF(AND(D14915&gt;4000,P14915&gt;800),"Excellent Order"," ")</f>
        <v xml:space="preserve"> </v>
      </c>
      <c r="F14915">
        <v>0.17</v>
      </c>
      <c r="G14915" s="37" t="str">
        <f t="shared" ref="G14915:G14978" si="1166">IF(F14915&gt;30%,"Heavy Discount","Normal Discount")</f>
        <v>Normal Discount</v>
      </c>
      <c r="H14915" s="37" t="str">
        <f t="shared" ref="H14915:H14978" si="1167">IF(F14915&gt;0.4,"High",IF(F14915&gt;=0.2,"Medium","Low"))</f>
        <v>Low</v>
      </c>
      <c r="I14915">
        <v>5</v>
      </c>
      <c r="J14915" t="str" cm="1">
        <f t="array" ref="J14915">_xlfn.IFS(I14915&lt;=3,"small",I14915&lt;=6,"Medium",I14915&lt;=9,"Large")</f>
        <v>Medium</v>
      </c>
      <c r="K14915" s="36">
        <v>45449</v>
      </c>
      <c r="L14915" s="36">
        <v>45452</v>
      </c>
      <c r="M14915" t="s">
        <v>612</v>
      </c>
      <c r="N14915" t="s">
        <v>604</v>
      </c>
      <c r="O14915" s="37" t="str">
        <f t="shared" ref="O14915:O14978" si="1168">IF(OR(N14915="Card",N14915="UPI"),"Digital Payment","Cash Payment")</f>
        <v>Digital Payment</v>
      </c>
      <c r="P14915">
        <v>468.82</v>
      </c>
      <c r="Q14915" s="37" t="str">
        <f>IF(P14915&gt;500,"High","low")</f>
        <v>low</v>
      </c>
      <c r="R14915" s="37" t="str">
        <f t="shared" ref="R14915:R14978" si="1169">IF(P14915&gt;1000,"Excellent",IF(P14915&gt;=500,"Good","AVERAGE"))</f>
        <v>AVERAGE</v>
      </c>
      <c r="S14915" t="s">
        <v>628</v>
      </c>
    </row>
    <row r="14916" spans="1:19" x14ac:dyDescent="0.2">
      <c r="A14916" t="s">
        <v>15527</v>
      </c>
      <c r="B14916" t="s">
        <v>75</v>
      </c>
      <c r="C14916" t="s">
        <v>597</v>
      </c>
      <c r="D14916">
        <v>3135.3</v>
      </c>
      <c r="E14916" s="37" t="str">
        <f t="shared" si="1165"/>
        <v xml:space="preserve"> </v>
      </c>
      <c r="F14916">
        <v>0.02</v>
      </c>
      <c r="G14916" s="37" t="str">
        <f t="shared" si="1166"/>
        <v>Normal Discount</v>
      </c>
      <c r="H14916" s="37" t="str">
        <f t="shared" si="1167"/>
        <v>Low</v>
      </c>
      <c r="I14916">
        <v>8</v>
      </c>
      <c r="J14916" t="str" cm="1">
        <f t="array" ref="J14916">_xlfn.IFS(I14916&lt;=3,"small",I14916&lt;=6,"Medium",I14916&lt;=9,"Large")</f>
        <v>Large</v>
      </c>
      <c r="K14916" s="36">
        <v>45051</v>
      </c>
      <c r="L14916" s="36">
        <v>45053</v>
      </c>
      <c r="M14916" t="s">
        <v>603</v>
      </c>
      <c r="N14916" t="s">
        <v>599</v>
      </c>
      <c r="O14916" s="37" t="str">
        <f t="shared" si="1168"/>
        <v>Digital Payment</v>
      </c>
      <c r="P14916">
        <v>164.04</v>
      </c>
      <c r="Q14916" s="37" t="str">
        <f>IF(P14916&gt;500,"High","low")</f>
        <v>low</v>
      </c>
      <c r="R14916" s="37" t="str">
        <f t="shared" si="1169"/>
        <v>AVERAGE</v>
      </c>
      <c r="S14916" t="s">
        <v>620</v>
      </c>
    </row>
    <row r="14917" spans="1:19" x14ac:dyDescent="0.2">
      <c r="A14917" t="s">
        <v>15528</v>
      </c>
      <c r="B14917" t="s">
        <v>67</v>
      </c>
      <c r="C14917" t="s">
        <v>597</v>
      </c>
      <c r="D14917">
        <v>2573.64</v>
      </c>
      <c r="E14917" s="37" t="str">
        <f t="shared" si="1165"/>
        <v xml:space="preserve"> </v>
      </c>
      <c r="F14917">
        <v>0.31</v>
      </c>
      <c r="G14917" s="37" t="str">
        <f t="shared" si="1166"/>
        <v>Heavy Discount</v>
      </c>
      <c r="H14917" s="37" t="str">
        <f t="shared" si="1167"/>
        <v>Medium</v>
      </c>
      <c r="I14917">
        <v>1</v>
      </c>
      <c r="J14917" t="str" cm="1">
        <f t="array" ref="J14917">_xlfn.IFS(I14917&lt;=3,"small",I14917&lt;=6,"Medium",I14917&lt;=9,"Large")</f>
        <v>small</v>
      </c>
      <c r="K14917" s="36">
        <v>45192</v>
      </c>
      <c r="L14917" s="36">
        <v>45198</v>
      </c>
      <c r="M14917" t="s">
        <v>612</v>
      </c>
      <c r="N14917" t="s">
        <v>599</v>
      </c>
      <c r="O14917" s="37" t="str">
        <f t="shared" si="1168"/>
        <v>Digital Payment</v>
      </c>
      <c r="P14917">
        <v>732.07</v>
      </c>
      <c r="Q14917" s="37" t="str">
        <f>IF(P14917&gt;500,"High","low")</f>
        <v>High</v>
      </c>
      <c r="R14917" s="37" t="str">
        <f t="shared" si="1169"/>
        <v>Good</v>
      </c>
      <c r="S14917" t="s">
        <v>628</v>
      </c>
    </row>
    <row r="14918" spans="1:19" x14ac:dyDescent="0.2">
      <c r="A14918" t="s">
        <v>15529</v>
      </c>
      <c r="B14918" t="s">
        <v>75</v>
      </c>
      <c r="C14918" t="s">
        <v>607</v>
      </c>
      <c r="D14918">
        <v>4373.1000000000004</v>
      </c>
      <c r="E14918" s="37" t="str">
        <f t="shared" si="1165"/>
        <v>Excellent Order</v>
      </c>
      <c r="F14918">
        <v>0.24</v>
      </c>
      <c r="G14918" s="37" t="str">
        <f t="shared" si="1166"/>
        <v>Normal Discount</v>
      </c>
      <c r="H14918" s="37" t="str">
        <f t="shared" si="1167"/>
        <v>Medium</v>
      </c>
      <c r="I14918">
        <v>4</v>
      </c>
      <c r="J14918" t="str" cm="1">
        <f t="array" ref="J14918">_xlfn.IFS(I14918&lt;=3,"small",I14918&lt;=6,"Medium",I14918&lt;=9,"Large")</f>
        <v>Medium</v>
      </c>
      <c r="K14918" s="36">
        <v>45054</v>
      </c>
      <c r="L14918" s="36">
        <v>45061</v>
      </c>
      <c r="M14918" t="s">
        <v>612</v>
      </c>
      <c r="N14918" t="s">
        <v>599</v>
      </c>
      <c r="O14918" s="37" t="str">
        <f t="shared" si="1168"/>
        <v>Digital Payment</v>
      </c>
      <c r="P14918">
        <v>1156.46</v>
      </c>
      <c r="Q14918" s="37" t="str">
        <f>IF(P14918&gt;500,"High","low")</f>
        <v>High</v>
      </c>
      <c r="R14918" s="37" t="str">
        <f t="shared" si="1169"/>
        <v>Excellent</v>
      </c>
      <c r="S14918" t="s">
        <v>605</v>
      </c>
    </row>
    <row r="14919" spans="1:19" x14ac:dyDescent="0.2">
      <c r="A14919" t="s">
        <v>15530</v>
      </c>
      <c r="B14919" t="s">
        <v>83</v>
      </c>
      <c r="C14919" t="s">
        <v>617</v>
      </c>
      <c r="D14919">
        <v>2053.12</v>
      </c>
      <c r="E14919" s="37" t="str">
        <f t="shared" si="1165"/>
        <v xml:space="preserve"> </v>
      </c>
      <c r="F14919">
        <v>0.17</v>
      </c>
      <c r="G14919" s="37" t="str">
        <f t="shared" si="1166"/>
        <v>Normal Discount</v>
      </c>
      <c r="H14919" s="37" t="str">
        <f t="shared" si="1167"/>
        <v>Low</v>
      </c>
      <c r="I14919">
        <v>8</v>
      </c>
      <c r="J14919" t="str" cm="1">
        <f t="array" ref="J14919">_xlfn.IFS(I14919&lt;=3,"small",I14919&lt;=6,"Medium",I14919&lt;=9,"Large")</f>
        <v>Large</v>
      </c>
      <c r="K14919" s="36">
        <v>45280</v>
      </c>
      <c r="L14919" s="36">
        <v>45287</v>
      </c>
      <c r="M14919" t="s">
        <v>612</v>
      </c>
      <c r="N14919" t="s">
        <v>599</v>
      </c>
      <c r="O14919" s="37" t="str">
        <f t="shared" si="1168"/>
        <v>Digital Payment</v>
      </c>
      <c r="P14919">
        <v>370.96</v>
      </c>
      <c r="Q14919" s="37" t="str">
        <f>IF(P14919&gt;500,"High","low")</f>
        <v>low</v>
      </c>
      <c r="R14919" s="37" t="str">
        <f t="shared" si="1169"/>
        <v>AVERAGE</v>
      </c>
      <c r="S14919" t="s">
        <v>615</v>
      </c>
    </row>
    <row r="14920" spans="1:19" x14ac:dyDescent="0.2">
      <c r="A14920" t="s">
        <v>15531</v>
      </c>
      <c r="B14920" t="s">
        <v>90</v>
      </c>
      <c r="C14920" t="s">
        <v>607</v>
      </c>
      <c r="D14920">
        <v>161.54</v>
      </c>
      <c r="E14920" s="37" t="str">
        <f t="shared" si="1165"/>
        <v xml:space="preserve"> </v>
      </c>
      <c r="F14920">
        <v>0.35</v>
      </c>
      <c r="G14920" s="37" t="str">
        <f t="shared" si="1166"/>
        <v>Heavy Discount</v>
      </c>
      <c r="H14920" s="37" t="str">
        <f t="shared" si="1167"/>
        <v>Medium</v>
      </c>
      <c r="I14920">
        <v>2</v>
      </c>
      <c r="J14920" t="str" cm="1">
        <f t="array" ref="J14920">_xlfn.IFS(I14920&lt;=3,"small",I14920&lt;=6,"Medium",I14920&lt;=9,"Large")</f>
        <v>small</v>
      </c>
      <c r="K14920" s="36">
        <v>45002</v>
      </c>
      <c r="L14920" s="36">
        <v>45009</v>
      </c>
      <c r="M14920" t="s">
        <v>612</v>
      </c>
      <c r="N14920" t="s">
        <v>608</v>
      </c>
      <c r="O14920" s="37" t="str">
        <f t="shared" si="1168"/>
        <v>Cash Payment</v>
      </c>
      <c r="P14920">
        <v>40.81</v>
      </c>
      <c r="Q14920" s="37" t="str">
        <f>IF(P14920&gt;500,"High","low")</f>
        <v>low</v>
      </c>
      <c r="R14920" s="37" t="str">
        <f t="shared" si="1169"/>
        <v>AVERAGE</v>
      </c>
      <c r="S14920" t="s">
        <v>609</v>
      </c>
    </row>
    <row r="14921" spans="1:19" x14ac:dyDescent="0.2">
      <c r="A14921" t="s">
        <v>15532</v>
      </c>
      <c r="B14921" t="s">
        <v>83</v>
      </c>
      <c r="C14921" t="s">
        <v>614</v>
      </c>
      <c r="D14921">
        <v>1496</v>
      </c>
      <c r="E14921" s="37" t="str">
        <f t="shared" si="1165"/>
        <v xml:space="preserve"> </v>
      </c>
      <c r="F14921">
        <v>0.34</v>
      </c>
      <c r="G14921" s="37" t="str">
        <f t="shared" si="1166"/>
        <v>Heavy Discount</v>
      </c>
      <c r="H14921" s="37" t="str">
        <f t="shared" si="1167"/>
        <v>Medium</v>
      </c>
      <c r="I14921">
        <v>1</v>
      </c>
      <c r="J14921" t="str" cm="1">
        <f t="array" ref="J14921">_xlfn.IFS(I14921&lt;=3,"small",I14921&lt;=6,"Medium",I14921&lt;=9,"Large")</f>
        <v>small</v>
      </c>
      <c r="K14921" s="36">
        <v>45319</v>
      </c>
      <c r="L14921" s="36">
        <v>45321</v>
      </c>
      <c r="M14921" t="s">
        <v>612</v>
      </c>
      <c r="N14921" t="s">
        <v>599</v>
      </c>
      <c r="O14921" s="37" t="str">
        <f t="shared" si="1168"/>
        <v>Digital Payment</v>
      </c>
      <c r="P14921">
        <v>184.81</v>
      </c>
      <c r="Q14921" s="37" t="str">
        <f>IF(P14921&gt;500,"High","low")</f>
        <v>low</v>
      </c>
      <c r="R14921" s="37" t="str">
        <f t="shared" si="1169"/>
        <v>AVERAGE</v>
      </c>
      <c r="S14921" t="s">
        <v>609</v>
      </c>
    </row>
    <row r="14922" spans="1:19" x14ac:dyDescent="0.2">
      <c r="A14922" t="s">
        <v>15533</v>
      </c>
      <c r="B14922" t="s">
        <v>75</v>
      </c>
      <c r="C14922" t="s">
        <v>617</v>
      </c>
      <c r="D14922">
        <v>764.8</v>
      </c>
      <c r="E14922" s="37" t="str">
        <f t="shared" si="1165"/>
        <v xml:space="preserve"> </v>
      </c>
      <c r="F14922">
        <v>0.16</v>
      </c>
      <c r="G14922" s="37" t="str">
        <f t="shared" si="1166"/>
        <v>Normal Discount</v>
      </c>
      <c r="H14922" s="37" t="str">
        <f t="shared" si="1167"/>
        <v>Low</v>
      </c>
      <c r="I14922">
        <v>6</v>
      </c>
      <c r="J14922" t="str" cm="1">
        <f t="array" ref="J14922">_xlfn.IFS(I14922&lt;=3,"small",I14922&lt;=6,"Medium",I14922&lt;=9,"Large")</f>
        <v>Medium</v>
      </c>
      <c r="K14922" s="36">
        <v>45284</v>
      </c>
      <c r="L14922" s="36">
        <v>45290</v>
      </c>
      <c r="M14922" t="s">
        <v>603</v>
      </c>
      <c r="N14922" t="s">
        <v>604</v>
      </c>
      <c r="O14922" s="37" t="str">
        <f t="shared" si="1168"/>
        <v>Digital Payment</v>
      </c>
      <c r="P14922">
        <v>61.59</v>
      </c>
      <c r="Q14922" s="37" t="str">
        <f>IF(P14922&gt;500,"High","low")</f>
        <v>low</v>
      </c>
      <c r="R14922" s="37" t="str">
        <f t="shared" si="1169"/>
        <v>AVERAGE</v>
      </c>
      <c r="S14922" t="s">
        <v>615</v>
      </c>
    </row>
    <row r="14923" spans="1:19" x14ac:dyDescent="0.2">
      <c r="A14923" t="s">
        <v>15534</v>
      </c>
      <c r="B14923" t="s">
        <v>83</v>
      </c>
      <c r="C14923" t="s">
        <v>614</v>
      </c>
      <c r="D14923">
        <v>1326.13</v>
      </c>
      <c r="E14923" s="37" t="str">
        <f t="shared" si="1165"/>
        <v xml:space="preserve"> </v>
      </c>
      <c r="F14923">
        <v>0.35</v>
      </c>
      <c r="G14923" s="37" t="str">
        <f t="shared" si="1166"/>
        <v>Heavy Discount</v>
      </c>
      <c r="H14923" s="37" t="str">
        <f t="shared" si="1167"/>
        <v>Medium</v>
      </c>
      <c r="I14923">
        <v>6</v>
      </c>
      <c r="J14923" t="str" cm="1">
        <f t="array" ref="J14923">_xlfn.IFS(I14923&lt;=3,"small",I14923&lt;=6,"Medium",I14923&lt;=9,"Large")</f>
        <v>Medium</v>
      </c>
      <c r="K14923" s="36">
        <v>45548</v>
      </c>
      <c r="L14923" s="36">
        <v>45549</v>
      </c>
      <c r="M14923" t="s">
        <v>612</v>
      </c>
      <c r="N14923" t="s">
        <v>599</v>
      </c>
      <c r="O14923" s="37" t="str">
        <f t="shared" si="1168"/>
        <v>Digital Payment</v>
      </c>
      <c r="P14923">
        <v>118.27</v>
      </c>
      <c r="Q14923" s="37" t="str">
        <f>IF(P14923&gt;500,"High","low")</f>
        <v>low</v>
      </c>
      <c r="R14923" s="37" t="str">
        <f t="shared" si="1169"/>
        <v>AVERAGE</v>
      </c>
      <c r="S14923" t="s">
        <v>600</v>
      </c>
    </row>
    <row r="14924" spans="1:19" x14ac:dyDescent="0.2">
      <c r="A14924" t="s">
        <v>15535</v>
      </c>
      <c r="B14924" t="s">
        <v>83</v>
      </c>
      <c r="C14924" t="s">
        <v>614</v>
      </c>
      <c r="D14924">
        <v>1874.23</v>
      </c>
      <c r="E14924" s="37" t="str">
        <f t="shared" si="1165"/>
        <v xml:space="preserve"> </v>
      </c>
      <c r="F14924">
        <v>0.17</v>
      </c>
      <c r="G14924" s="37" t="str">
        <f t="shared" si="1166"/>
        <v>Normal Discount</v>
      </c>
      <c r="H14924" s="37" t="str">
        <f t="shared" si="1167"/>
        <v>Low</v>
      </c>
      <c r="I14924">
        <v>1</v>
      </c>
      <c r="J14924" t="str" cm="1">
        <f t="array" ref="J14924">_xlfn.IFS(I14924&lt;=3,"small",I14924&lt;=6,"Medium",I14924&lt;=9,"Large")</f>
        <v>small</v>
      </c>
      <c r="K14924" s="36">
        <v>44934</v>
      </c>
      <c r="L14924" s="36">
        <v>44938</v>
      </c>
      <c r="M14924" t="s">
        <v>598</v>
      </c>
      <c r="N14924" t="s">
        <v>599</v>
      </c>
      <c r="O14924" s="37" t="str">
        <f t="shared" si="1168"/>
        <v>Digital Payment</v>
      </c>
      <c r="P14924">
        <v>204.34</v>
      </c>
      <c r="Q14924" s="37" t="str">
        <f>IF(P14924&gt;500,"High","low")</f>
        <v>low</v>
      </c>
      <c r="R14924" s="37" t="str">
        <f t="shared" si="1169"/>
        <v>AVERAGE</v>
      </c>
      <c r="S14924" t="s">
        <v>600</v>
      </c>
    </row>
    <row r="14925" spans="1:19" x14ac:dyDescent="0.2">
      <c r="A14925" t="s">
        <v>15536</v>
      </c>
      <c r="B14925" t="s">
        <v>75</v>
      </c>
      <c r="C14925" t="s">
        <v>607</v>
      </c>
      <c r="D14925">
        <v>3415.61</v>
      </c>
      <c r="E14925" s="37" t="str">
        <f t="shared" si="1165"/>
        <v xml:space="preserve"> </v>
      </c>
      <c r="F14925">
        <v>0.11</v>
      </c>
      <c r="G14925" s="37" t="str">
        <f t="shared" si="1166"/>
        <v>Normal Discount</v>
      </c>
      <c r="H14925" s="37" t="str">
        <f t="shared" si="1167"/>
        <v>Low</v>
      </c>
      <c r="I14925">
        <v>3</v>
      </c>
      <c r="J14925" t="str" cm="1">
        <f t="array" ref="J14925">_xlfn.IFS(I14925&lt;=3,"small",I14925&lt;=6,"Medium",I14925&lt;=9,"Large")</f>
        <v>small</v>
      </c>
      <c r="K14925" s="36">
        <v>45614</v>
      </c>
      <c r="L14925" s="36">
        <v>45618</v>
      </c>
      <c r="M14925" t="s">
        <v>612</v>
      </c>
      <c r="N14925" t="s">
        <v>604</v>
      </c>
      <c r="O14925" s="37" t="str">
        <f t="shared" si="1168"/>
        <v>Digital Payment</v>
      </c>
      <c r="P14925">
        <v>402.83</v>
      </c>
      <c r="Q14925" s="37" t="str">
        <f>IF(P14925&gt;500,"High","low")</f>
        <v>low</v>
      </c>
      <c r="R14925" s="37" t="str">
        <f t="shared" si="1169"/>
        <v>AVERAGE</v>
      </c>
      <c r="S14925" t="s">
        <v>628</v>
      </c>
    </row>
    <row r="14926" spans="1:19" x14ac:dyDescent="0.2">
      <c r="A14926" t="s">
        <v>15537</v>
      </c>
      <c r="B14926" t="s">
        <v>75</v>
      </c>
      <c r="C14926" t="s">
        <v>597</v>
      </c>
      <c r="D14926">
        <v>1688.43</v>
      </c>
      <c r="E14926" s="37" t="str">
        <f t="shared" si="1165"/>
        <v xml:space="preserve"> </v>
      </c>
      <c r="F14926">
        <v>0.36</v>
      </c>
      <c r="G14926" s="37" t="str">
        <f t="shared" si="1166"/>
        <v>Heavy Discount</v>
      </c>
      <c r="H14926" s="37" t="str">
        <f t="shared" si="1167"/>
        <v>Medium</v>
      </c>
      <c r="I14926">
        <v>8</v>
      </c>
      <c r="J14926" t="str" cm="1">
        <f t="array" ref="J14926">_xlfn.IFS(I14926&lt;=3,"small",I14926&lt;=6,"Medium",I14926&lt;=9,"Large")</f>
        <v>Large</v>
      </c>
      <c r="K14926" s="36">
        <v>44947</v>
      </c>
      <c r="L14926" s="36">
        <v>44950</v>
      </c>
      <c r="M14926" t="s">
        <v>603</v>
      </c>
      <c r="N14926" t="s">
        <v>608</v>
      </c>
      <c r="O14926" s="37" t="str">
        <f t="shared" si="1168"/>
        <v>Cash Payment</v>
      </c>
      <c r="P14926">
        <v>262.39</v>
      </c>
      <c r="Q14926" s="37" t="str">
        <f>IF(P14926&gt;500,"High","low")</f>
        <v>low</v>
      </c>
      <c r="R14926" s="37" t="str">
        <f t="shared" si="1169"/>
        <v>AVERAGE</v>
      </c>
      <c r="S14926" t="s">
        <v>628</v>
      </c>
    </row>
    <row r="14927" spans="1:19" x14ac:dyDescent="0.2">
      <c r="A14927" t="s">
        <v>15538</v>
      </c>
      <c r="B14927" t="s">
        <v>90</v>
      </c>
      <c r="C14927" t="s">
        <v>617</v>
      </c>
      <c r="D14927">
        <v>4432.13</v>
      </c>
      <c r="E14927" s="37" t="str">
        <f t="shared" si="1165"/>
        <v>Excellent Order</v>
      </c>
      <c r="F14927">
        <v>0.36</v>
      </c>
      <c r="G14927" s="37" t="str">
        <f t="shared" si="1166"/>
        <v>Heavy Discount</v>
      </c>
      <c r="H14927" s="37" t="str">
        <f t="shared" si="1167"/>
        <v>Medium</v>
      </c>
      <c r="I14927">
        <v>9</v>
      </c>
      <c r="J14927" t="str" cm="1">
        <f t="array" ref="J14927">_xlfn.IFS(I14927&lt;=3,"small",I14927&lt;=6,"Medium",I14927&lt;=9,"Large")</f>
        <v>Large</v>
      </c>
      <c r="K14927" s="36">
        <v>45134</v>
      </c>
      <c r="L14927" s="36">
        <v>45139</v>
      </c>
      <c r="M14927" t="s">
        <v>612</v>
      </c>
      <c r="N14927" t="s">
        <v>604</v>
      </c>
      <c r="O14927" s="37" t="str">
        <f t="shared" si="1168"/>
        <v>Digital Payment</v>
      </c>
      <c r="P14927">
        <v>985.96</v>
      </c>
      <c r="Q14927" s="37" t="str">
        <f>IF(P14927&gt;500,"High","low")</f>
        <v>High</v>
      </c>
      <c r="R14927" s="37" t="str">
        <f t="shared" si="1169"/>
        <v>Good</v>
      </c>
      <c r="S14927" t="s">
        <v>620</v>
      </c>
    </row>
    <row r="14928" spans="1:19" x14ac:dyDescent="0.2">
      <c r="A14928" t="s">
        <v>15539</v>
      </c>
      <c r="B14928" t="s">
        <v>83</v>
      </c>
      <c r="C14928" t="s">
        <v>602</v>
      </c>
      <c r="D14928">
        <v>1567.88</v>
      </c>
      <c r="E14928" s="37" t="str">
        <f t="shared" si="1165"/>
        <v xml:space="preserve"> </v>
      </c>
      <c r="F14928">
        <v>0.43</v>
      </c>
      <c r="G14928" s="37" t="str">
        <f t="shared" si="1166"/>
        <v>Heavy Discount</v>
      </c>
      <c r="H14928" s="37" t="str">
        <f t="shared" si="1167"/>
        <v>High</v>
      </c>
      <c r="I14928">
        <v>8</v>
      </c>
      <c r="J14928" t="str" cm="1">
        <f t="array" ref="J14928">_xlfn.IFS(I14928&lt;=3,"small",I14928&lt;=6,"Medium",I14928&lt;=9,"Large")</f>
        <v>Large</v>
      </c>
      <c r="K14928" s="36">
        <v>45023</v>
      </c>
      <c r="L14928" s="36">
        <v>45027</v>
      </c>
      <c r="M14928" t="s">
        <v>612</v>
      </c>
      <c r="N14928" t="s">
        <v>608</v>
      </c>
      <c r="O14928" s="37" t="str">
        <f t="shared" si="1168"/>
        <v>Cash Payment</v>
      </c>
      <c r="P14928">
        <v>130.06</v>
      </c>
      <c r="Q14928" s="37" t="str">
        <f>IF(P14928&gt;500,"High","low")</f>
        <v>low</v>
      </c>
      <c r="R14928" s="37" t="str">
        <f t="shared" si="1169"/>
        <v>AVERAGE</v>
      </c>
      <c r="S14928" t="s">
        <v>609</v>
      </c>
    </row>
    <row r="14929" spans="1:19" x14ac:dyDescent="0.2">
      <c r="A14929" t="s">
        <v>15540</v>
      </c>
      <c r="B14929" t="s">
        <v>67</v>
      </c>
      <c r="C14929" t="s">
        <v>597</v>
      </c>
      <c r="D14929">
        <v>770.97</v>
      </c>
      <c r="E14929" s="37" t="str">
        <f t="shared" si="1165"/>
        <v xml:space="preserve"> </v>
      </c>
      <c r="F14929">
        <v>0.25</v>
      </c>
      <c r="G14929" s="37" t="str">
        <f t="shared" si="1166"/>
        <v>Normal Discount</v>
      </c>
      <c r="H14929" s="37" t="str">
        <f t="shared" si="1167"/>
        <v>Medium</v>
      </c>
      <c r="I14929">
        <v>1</v>
      </c>
      <c r="J14929" t="str" cm="1">
        <f t="array" ref="J14929">_xlfn.IFS(I14929&lt;=3,"small",I14929&lt;=6,"Medium",I14929&lt;=9,"Large")</f>
        <v>small</v>
      </c>
      <c r="K14929" s="36">
        <v>45541</v>
      </c>
      <c r="L14929" s="36">
        <v>45546</v>
      </c>
      <c r="M14929" t="s">
        <v>603</v>
      </c>
      <c r="N14929" t="s">
        <v>599</v>
      </c>
      <c r="O14929" s="37" t="str">
        <f t="shared" si="1168"/>
        <v>Digital Payment</v>
      </c>
      <c r="P14929">
        <v>76.900000000000006</v>
      </c>
      <c r="Q14929" s="37" t="str">
        <f>IF(P14929&gt;500,"High","low")</f>
        <v>low</v>
      </c>
      <c r="R14929" s="37" t="str">
        <f t="shared" si="1169"/>
        <v>AVERAGE</v>
      </c>
      <c r="S14929" t="s">
        <v>628</v>
      </c>
    </row>
    <row r="14930" spans="1:19" x14ac:dyDescent="0.2">
      <c r="A14930" t="s">
        <v>15541</v>
      </c>
      <c r="B14930" t="s">
        <v>67</v>
      </c>
      <c r="C14930" t="s">
        <v>602</v>
      </c>
      <c r="D14930">
        <v>927.44</v>
      </c>
      <c r="E14930" s="37" t="str">
        <f t="shared" si="1165"/>
        <v xml:space="preserve"> </v>
      </c>
      <c r="F14930">
        <v>0.12</v>
      </c>
      <c r="G14930" s="37" t="str">
        <f t="shared" si="1166"/>
        <v>Normal Discount</v>
      </c>
      <c r="H14930" s="37" t="str">
        <f t="shared" si="1167"/>
        <v>Low</v>
      </c>
      <c r="I14930">
        <v>4</v>
      </c>
      <c r="J14930" t="str" cm="1">
        <f t="array" ref="J14930">_xlfn.IFS(I14930&lt;=3,"small",I14930&lt;=6,"Medium",I14930&lt;=9,"Large")</f>
        <v>Medium</v>
      </c>
      <c r="K14930" s="36">
        <v>45188</v>
      </c>
      <c r="L14930" s="36">
        <v>45193</v>
      </c>
      <c r="M14930" t="s">
        <v>603</v>
      </c>
      <c r="N14930" t="s">
        <v>608</v>
      </c>
      <c r="O14930" s="37" t="str">
        <f t="shared" si="1168"/>
        <v>Cash Payment</v>
      </c>
      <c r="P14930">
        <v>72.78</v>
      </c>
      <c r="Q14930" s="37" t="str">
        <f>IF(P14930&gt;500,"High","low")</f>
        <v>low</v>
      </c>
      <c r="R14930" s="37" t="str">
        <f t="shared" si="1169"/>
        <v>AVERAGE</v>
      </c>
      <c r="S14930" t="s">
        <v>615</v>
      </c>
    </row>
    <row r="14931" spans="1:19" x14ac:dyDescent="0.2">
      <c r="A14931" t="s">
        <v>15542</v>
      </c>
      <c r="B14931" t="s">
        <v>75</v>
      </c>
      <c r="C14931" t="s">
        <v>607</v>
      </c>
      <c r="D14931">
        <v>4679.4399999999996</v>
      </c>
      <c r="E14931" s="37" t="str">
        <f t="shared" si="1165"/>
        <v xml:space="preserve"> </v>
      </c>
      <c r="F14931">
        <v>0.42</v>
      </c>
      <c r="G14931" s="37" t="str">
        <f t="shared" si="1166"/>
        <v>Heavy Discount</v>
      </c>
      <c r="H14931" s="37" t="str">
        <f t="shared" si="1167"/>
        <v>High</v>
      </c>
      <c r="I14931">
        <v>9</v>
      </c>
      <c r="J14931" t="str" cm="1">
        <f t="array" ref="J14931">_xlfn.IFS(I14931&lt;=3,"small",I14931&lt;=6,"Medium",I14931&lt;=9,"Large")</f>
        <v>Large</v>
      </c>
      <c r="K14931" s="36">
        <v>44985</v>
      </c>
      <c r="L14931" s="36">
        <v>44989</v>
      </c>
      <c r="M14931" t="s">
        <v>612</v>
      </c>
      <c r="N14931" t="s">
        <v>599</v>
      </c>
      <c r="O14931" s="37" t="str">
        <f t="shared" si="1168"/>
        <v>Digital Payment</v>
      </c>
      <c r="P14931">
        <v>799.86</v>
      </c>
      <c r="Q14931" s="37" t="str">
        <f>IF(P14931&gt;500,"High","low")</f>
        <v>High</v>
      </c>
      <c r="R14931" s="37" t="str">
        <f t="shared" si="1169"/>
        <v>Good</v>
      </c>
      <c r="S14931" t="s">
        <v>600</v>
      </c>
    </row>
    <row r="14932" spans="1:19" x14ac:dyDescent="0.2">
      <c r="A14932" t="s">
        <v>15543</v>
      </c>
      <c r="B14932" t="s">
        <v>75</v>
      </c>
      <c r="C14932" t="s">
        <v>617</v>
      </c>
      <c r="D14932">
        <v>2328.59</v>
      </c>
      <c r="E14932" s="37" t="str">
        <f t="shared" si="1165"/>
        <v xml:space="preserve"> </v>
      </c>
      <c r="F14932">
        <v>0.09</v>
      </c>
      <c r="G14932" s="37" t="str">
        <f t="shared" si="1166"/>
        <v>Normal Discount</v>
      </c>
      <c r="H14932" s="37" t="str">
        <f t="shared" si="1167"/>
        <v>Low</v>
      </c>
      <c r="I14932">
        <v>1</v>
      </c>
      <c r="J14932" t="str" cm="1">
        <f t="array" ref="J14932">_xlfn.IFS(I14932&lt;=3,"small",I14932&lt;=6,"Medium",I14932&lt;=9,"Large")</f>
        <v>small</v>
      </c>
      <c r="K14932" s="36">
        <v>45461</v>
      </c>
      <c r="L14932" s="36">
        <v>45465</v>
      </c>
      <c r="M14932" t="s">
        <v>612</v>
      </c>
      <c r="N14932" t="s">
        <v>608</v>
      </c>
      <c r="O14932" s="37" t="str">
        <f t="shared" si="1168"/>
        <v>Cash Payment</v>
      </c>
      <c r="P14932">
        <v>531.89</v>
      </c>
      <c r="Q14932" s="37" t="str">
        <f>IF(P14932&gt;500,"High","low")</f>
        <v>High</v>
      </c>
      <c r="R14932" s="37" t="str">
        <f t="shared" si="1169"/>
        <v>Good</v>
      </c>
      <c r="S14932" t="s">
        <v>628</v>
      </c>
    </row>
    <row r="14933" spans="1:19" x14ac:dyDescent="0.2">
      <c r="A14933" t="s">
        <v>15544</v>
      </c>
      <c r="B14933" t="s">
        <v>83</v>
      </c>
      <c r="C14933" t="s">
        <v>607</v>
      </c>
      <c r="D14933">
        <v>2075.3200000000002</v>
      </c>
      <c r="E14933" s="37" t="str">
        <f t="shared" si="1165"/>
        <v xml:space="preserve"> </v>
      </c>
      <c r="F14933">
        <v>0.47</v>
      </c>
      <c r="G14933" s="37" t="str">
        <f t="shared" si="1166"/>
        <v>Heavy Discount</v>
      </c>
      <c r="H14933" s="37" t="str">
        <f t="shared" si="1167"/>
        <v>High</v>
      </c>
      <c r="I14933">
        <v>4</v>
      </c>
      <c r="J14933" t="str" cm="1">
        <f t="array" ref="J14933">_xlfn.IFS(I14933&lt;=3,"small",I14933&lt;=6,"Medium",I14933&lt;=9,"Large")</f>
        <v>Medium</v>
      </c>
      <c r="K14933" s="36">
        <v>45255</v>
      </c>
      <c r="L14933" s="36">
        <v>45262</v>
      </c>
      <c r="M14933" t="s">
        <v>603</v>
      </c>
      <c r="N14933" t="s">
        <v>599</v>
      </c>
      <c r="O14933" s="37" t="str">
        <f t="shared" si="1168"/>
        <v>Digital Payment</v>
      </c>
      <c r="P14933">
        <v>333.45</v>
      </c>
      <c r="Q14933" s="37" t="str">
        <f>IF(P14933&gt;500,"High","low")</f>
        <v>low</v>
      </c>
      <c r="R14933" s="37" t="str">
        <f t="shared" si="1169"/>
        <v>AVERAGE</v>
      </c>
      <c r="S14933" t="s">
        <v>600</v>
      </c>
    </row>
    <row r="14934" spans="1:19" x14ac:dyDescent="0.2">
      <c r="A14934" t="s">
        <v>15545</v>
      </c>
      <c r="B14934" t="s">
        <v>75</v>
      </c>
      <c r="C14934" t="s">
        <v>602</v>
      </c>
      <c r="D14934">
        <v>437.61</v>
      </c>
      <c r="E14934" s="37" t="str">
        <f t="shared" si="1165"/>
        <v xml:space="preserve"> </v>
      </c>
      <c r="F14934">
        <v>0.15</v>
      </c>
      <c r="G14934" s="37" t="str">
        <f t="shared" si="1166"/>
        <v>Normal Discount</v>
      </c>
      <c r="H14934" s="37" t="str">
        <f t="shared" si="1167"/>
        <v>Low</v>
      </c>
      <c r="I14934">
        <v>7</v>
      </c>
      <c r="J14934" t="str" cm="1">
        <f t="array" ref="J14934">_xlfn.IFS(I14934&lt;=3,"small",I14934&lt;=6,"Medium",I14934&lt;=9,"Large")</f>
        <v>Large</v>
      </c>
      <c r="K14934" s="36">
        <v>45538</v>
      </c>
      <c r="L14934" s="36">
        <v>45543</v>
      </c>
      <c r="M14934" t="s">
        <v>603</v>
      </c>
      <c r="N14934" t="s">
        <v>604</v>
      </c>
      <c r="O14934" s="37" t="str">
        <f t="shared" si="1168"/>
        <v>Digital Payment</v>
      </c>
      <c r="P14934">
        <v>103.29</v>
      </c>
      <c r="Q14934" s="37" t="str">
        <f>IF(P14934&gt;500,"High","low")</f>
        <v>low</v>
      </c>
      <c r="R14934" s="37" t="str">
        <f t="shared" si="1169"/>
        <v>AVERAGE</v>
      </c>
      <c r="S14934" t="s">
        <v>609</v>
      </c>
    </row>
    <row r="14935" spans="1:19" x14ac:dyDescent="0.2">
      <c r="A14935" t="s">
        <v>15546</v>
      </c>
      <c r="B14935" t="s">
        <v>67</v>
      </c>
      <c r="C14935" t="s">
        <v>614</v>
      </c>
      <c r="D14935">
        <v>3693.27</v>
      </c>
      <c r="E14935" s="37" t="str">
        <f t="shared" si="1165"/>
        <v xml:space="preserve"> </v>
      </c>
      <c r="F14935">
        <v>0.01</v>
      </c>
      <c r="G14935" s="37" t="str">
        <f t="shared" si="1166"/>
        <v>Normal Discount</v>
      </c>
      <c r="H14935" s="37" t="str">
        <f t="shared" si="1167"/>
        <v>Low</v>
      </c>
      <c r="I14935">
        <v>7</v>
      </c>
      <c r="J14935" t="str" cm="1">
        <f t="array" ref="J14935">_xlfn.IFS(I14935&lt;=3,"small",I14935&lt;=6,"Medium",I14935&lt;=9,"Large")</f>
        <v>Large</v>
      </c>
      <c r="K14935" s="36">
        <v>45385</v>
      </c>
      <c r="L14935" s="36">
        <v>45390</v>
      </c>
      <c r="M14935" t="s">
        <v>612</v>
      </c>
      <c r="N14935" t="s">
        <v>599</v>
      </c>
      <c r="O14935" s="37" t="str">
        <f t="shared" si="1168"/>
        <v>Digital Payment</v>
      </c>
      <c r="P14935">
        <v>708.98</v>
      </c>
      <c r="Q14935" s="37" t="str">
        <f>IF(P14935&gt;500,"High","low")</f>
        <v>High</v>
      </c>
      <c r="R14935" s="37" t="str">
        <f t="shared" si="1169"/>
        <v>Good</v>
      </c>
      <c r="S14935" t="s">
        <v>620</v>
      </c>
    </row>
    <row r="14936" spans="1:19" x14ac:dyDescent="0.2">
      <c r="A14936" t="s">
        <v>15547</v>
      </c>
      <c r="B14936" t="s">
        <v>90</v>
      </c>
      <c r="C14936" t="s">
        <v>607</v>
      </c>
      <c r="D14936">
        <v>3503.8</v>
      </c>
      <c r="E14936" s="37" t="str">
        <f t="shared" si="1165"/>
        <v xml:space="preserve"> </v>
      </c>
      <c r="F14936">
        <v>0.09</v>
      </c>
      <c r="G14936" s="37" t="str">
        <f t="shared" si="1166"/>
        <v>Normal Discount</v>
      </c>
      <c r="H14936" s="37" t="str">
        <f t="shared" si="1167"/>
        <v>Low</v>
      </c>
      <c r="I14936">
        <v>7</v>
      </c>
      <c r="J14936" t="str" cm="1">
        <f t="array" ref="J14936">_xlfn.IFS(I14936&lt;=3,"small",I14936&lt;=6,"Medium",I14936&lt;=9,"Large")</f>
        <v>Large</v>
      </c>
      <c r="K14936" s="36">
        <v>45556</v>
      </c>
      <c r="L14936" s="36">
        <v>45558</v>
      </c>
      <c r="M14936" t="s">
        <v>603</v>
      </c>
      <c r="N14936" t="s">
        <v>599</v>
      </c>
      <c r="O14936" s="37" t="str">
        <f t="shared" si="1168"/>
        <v>Digital Payment</v>
      </c>
      <c r="P14936">
        <v>452.3</v>
      </c>
      <c r="Q14936" s="37" t="str">
        <f>IF(P14936&gt;500,"High","low")</f>
        <v>low</v>
      </c>
      <c r="R14936" s="37" t="str">
        <f t="shared" si="1169"/>
        <v>AVERAGE</v>
      </c>
      <c r="S14936" t="s">
        <v>605</v>
      </c>
    </row>
    <row r="14937" spans="1:19" x14ac:dyDescent="0.2">
      <c r="A14937" t="s">
        <v>15548</v>
      </c>
      <c r="B14937" t="s">
        <v>90</v>
      </c>
      <c r="C14937" t="s">
        <v>617</v>
      </c>
      <c r="D14937">
        <v>1941.13</v>
      </c>
      <c r="E14937" s="37" t="str">
        <f t="shared" si="1165"/>
        <v xml:space="preserve"> </v>
      </c>
      <c r="F14937">
        <v>0.21</v>
      </c>
      <c r="G14937" s="37" t="str">
        <f t="shared" si="1166"/>
        <v>Normal Discount</v>
      </c>
      <c r="H14937" s="37" t="str">
        <f t="shared" si="1167"/>
        <v>Medium</v>
      </c>
      <c r="I14937">
        <v>4</v>
      </c>
      <c r="J14937" t="str" cm="1">
        <f t="array" ref="J14937">_xlfn.IFS(I14937&lt;=3,"small",I14937&lt;=6,"Medium",I14937&lt;=9,"Large")</f>
        <v>Medium</v>
      </c>
      <c r="K14937" s="36">
        <v>45322</v>
      </c>
      <c r="L14937" s="36">
        <v>45329</v>
      </c>
      <c r="M14937" t="s">
        <v>612</v>
      </c>
      <c r="N14937" t="s">
        <v>599</v>
      </c>
      <c r="O14937" s="37" t="str">
        <f t="shared" si="1168"/>
        <v>Digital Payment</v>
      </c>
      <c r="P14937">
        <v>361.51</v>
      </c>
      <c r="Q14937" s="37" t="str">
        <f>IF(P14937&gt;500,"High","low")</f>
        <v>low</v>
      </c>
      <c r="R14937" s="37" t="str">
        <f t="shared" si="1169"/>
        <v>AVERAGE</v>
      </c>
      <c r="S14937" t="s">
        <v>600</v>
      </c>
    </row>
    <row r="14938" spans="1:19" x14ac:dyDescent="0.2">
      <c r="A14938" t="s">
        <v>15549</v>
      </c>
      <c r="B14938" t="s">
        <v>83</v>
      </c>
      <c r="C14938" t="s">
        <v>607</v>
      </c>
      <c r="D14938">
        <v>3489.64</v>
      </c>
      <c r="E14938" s="37" t="str">
        <f t="shared" si="1165"/>
        <v xml:space="preserve"> </v>
      </c>
      <c r="F14938">
        <v>0.03</v>
      </c>
      <c r="G14938" s="37" t="str">
        <f t="shared" si="1166"/>
        <v>Normal Discount</v>
      </c>
      <c r="H14938" s="37" t="str">
        <f t="shared" si="1167"/>
        <v>Low</v>
      </c>
      <c r="I14938">
        <v>8</v>
      </c>
      <c r="J14938" t="str" cm="1">
        <f t="array" ref="J14938">_xlfn.IFS(I14938&lt;=3,"small",I14938&lt;=6,"Medium",I14938&lt;=9,"Large")</f>
        <v>Large</v>
      </c>
      <c r="K14938" s="36">
        <v>45111</v>
      </c>
      <c r="L14938" s="36">
        <v>45113</v>
      </c>
      <c r="M14938" t="s">
        <v>612</v>
      </c>
      <c r="N14938" t="s">
        <v>599</v>
      </c>
      <c r="O14938" s="37" t="str">
        <f t="shared" si="1168"/>
        <v>Digital Payment</v>
      </c>
      <c r="P14938">
        <v>899.71</v>
      </c>
      <c r="Q14938" s="37" t="str">
        <f>IF(P14938&gt;500,"High","low")</f>
        <v>High</v>
      </c>
      <c r="R14938" s="37" t="str">
        <f t="shared" si="1169"/>
        <v>Good</v>
      </c>
      <c r="S14938" t="s">
        <v>600</v>
      </c>
    </row>
    <row r="14939" spans="1:19" x14ac:dyDescent="0.2">
      <c r="A14939" t="s">
        <v>15550</v>
      </c>
      <c r="B14939" t="s">
        <v>90</v>
      </c>
      <c r="C14939" t="s">
        <v>597</v>
      </c>
      <c r="D14939">
        <v>1900.51</v>
      </c>
      <c r="E14939" s="37" t="str">
        <f t="shared" si="1165"/>
        <v xml:space="preserve"> </v>
      </c>
      <c r="F14939">
        <v>0.2</v>
      </c>
      <c r="G14939" s="37" t="str">
        <f t="shared" si="1166"/>
        <v>Normal Discount</v>
      </c>
      <c r="H14939" s="37" t="str">
        <f t="shared" si="1167"/>
        <v>Medium</v>
      </c>
      <c r="I14939">
        <v>3</v>
      </c>
      <c r="J14939" t="str" cm="1">
        <f t="array" ref="J14939">_xlfn.IFS(I14939&lt;=3,"small",I14939&lt;=6,"Medium",I14939&lt;=9,"Large")</f>
        <v>small</v>
      </c>
      <c r="K14939" s="36">
        <v>45595</v>
      </c>
      <c r="L14939" s="36">
        <v>45600</v>
      </c>
      <c r="M14939" t="s">
        <v>598</v>
      </c>
      <c r="N14939" t="s">
        <v>608</v>
      </c>
      <c r="O14939" s="37" t="str">
        <f t="shared" si="1168"/>
        <v>Cash Payment</v>
      </c>
      <c r="P14939">
        <v>177.2</v>
      </c>
      <c r="Q14939" s="37" t="str">
        <f>IF(P14939&gt;500,"High","low")</f>
        <v>low</v>
      </c>
      <c r="R14939" s="37" t="str">
        <f t="shared" si="1169"/>
        <v>AVERAGE</v>
      </c>
      <c r="S14939" t="s">
        <v>628</v>
      </c>
    </row>
    <row r="14940" spans="1:19" x14ac:dyDescent="0.2">
      <c r="A14940" t="s">
        <v>15551</v>
      </c>
      <c r="B14940" t="s">
        <v>75</v>
      </c>
      <c r="C14940" t="s">
        <v>607</v>
      </c>
      <c r="D14940">
        <v>458.47</v>
      </c>
      <c r="E14940" s="37" t="str">
        <f t="shared" si="1165"/>
        <v xml:space="preserve"> </v>
      </c>
      <c r="F14940">
        <v>0.1</v>
      </c>
      <c r="G14940" s="37" t="str">
        <f t="shared" si="1166"/>
        <v>Normal Discount</v>
      </c>
      <c r="H14940" s="37" t="str">
        <f t="shared" si="1167"/>
        <v>Low</v>
      </c>
      <c r="I14940">
        <v>9</v>
      </c>
      <c r="J14940" t="str" cm="1">
        <f t="array" ref="J14940">_xlfn.IFS(I14940&lt;=3,"small",I14940&lt;=6,"Medium",I14940&lt;=9,"Large")</f>
        <v>Large</v>
      </c>
      <c r="K14940" s="36">
        <v>45651</v>
      </c>
      <c r="L14940" s="36">
        <v>45655</v>
      </c>
      <c r="M14940" t="s">
        <v>598</v>
      </c>
      <c r="N14940" t="s">
        <v>608</v>
      </c>
      <c r="O14940" s="37" t="str">
        <f t="shared" si="1168"/>
        <v>Cash Payment</v>
      </c>
      <c r="P14940">
        <v>87.49</v>
      </c>
      <c r="Q14940" s="37" t="str">
        <f>IF(P14940&gt;500,"High","low")</f>
        <v>low</v>
      </c>
      <c r="R14940" s="37" t="str">
        <f t="shared" si="1169"/>
        <v>AVERAGE</v>
      </c>
      <c r="S14940" t="s">
        <v>628</v>
      </c>
    </row>
    <row r="14941" spans="1:19" x14ac:dyDescent="0.2">
      <c r="A14941" t="s">
        <v>15552</v>
      </c>
      <c r="B14941" t="s">
        <v>75</v>
      </c>
      <c r="C14941" t="s">
        <v>602</v>
      </c>
      <c r="D14941">
        <v>3716.69</v>
      </c>
      <c r="E14941" s="37" t="str">
        <f t="shared" si="1165"/>
        <v xml:space="preserve"> </v>
      </c>
      <c r="F14941">
        <v>0.01</v>
      </c>
      <c r="G14941" s="37" t="str">
        <f t="shared" si="1166"/>
        <v>Normal Discount</v>
      </c>
      <c r="H14941" s="37" t="str">
        <f t="shared" si="1167"/>
        <v>Low</v>
      </c>
      <c r="I14941">
        <v>6</v>
      </c>
      <c r="J14941" t="str" cm="1">
        <f t="array" ref="J14941">_xlfn.IFS(I14941&lt;=3,"small",I14941&lt;=6,"Medium",I14941&lt;=9,"Large")</f>
        <v>Medium</v>
      </c>
      <c r="K14941" s="36">
        <v>45249</v>
      </c>
      <c r="L14941" s="36">
        <v>45251</v>
      </c>
      <c r="M14941" t="s">
        <v>612</v>
      </c>
      <c r="N14941" t="s">
        <v>604</v>
      </c>
      <c r="O14941" s="37" t="str">
        <f t="shared" si="1168"/>
        <v>Digital Payment</v>
      </c>
      <c r="P14941">
        <v>812.66</v>
      </c>
      <c r="Q14941" s="37" t="str">
        <f>IF(P14941&gt;500,"High","low")</f>
        <v>High</v>
      </c>
      <c r="R14941" s="37" t="str">
        <f t="shared" si="1169"/>
        <v>Good</v>
      </c>
      <c r="S14941" t="s">
        <v>609</v>
      </c>
    </row>
    <row r="14942" spans="1:19" x14ac:dyDescent="0.2">
      <c r="A14942" t="s">
        <v>15553</v>
      </c>
      <c r="B14942" t="s">
        <v>75</v>
      </c>
      <c r="C14942" t="s">
        <v>607</v>
      </c>
      <c r="D14942">
        <v>4829.49</v>
      </c>
      <c r="E14942" s="37" t="str">
        <f t="shared" si="1165"/>
        <v>Excellent Order</v>
      </c>
      <c r="F14942">
        <v>0.15</v>
      </c>
      <c r="G14942" s="37" t="str">
        <f t="shared" si="1166"/>
        <v>Normal Discount</v>
      </c>
      <c r="H14942" s="37" t="str">
        <f t="shared" si="1167"/>
        <v>Low</v>
      </c>
      <c r="I14942">
        <v>7</v>
      </c>
      <c r="J14942" t="str" cm="1">
        <f t="array" ref="J14942">_xlfn.IFS(I14942&lt;=3,"small",I14942&lt;=6,"Medium",I14942&lt;=9,"Large")</f>
        <v>Large</v>
      </c>
      <c r="K14942" s="36">
        <v>45499</v>
      </c>
      <c r="L14942" s="36">
        <v>45504</v>
      </c>
      <c r="M14942" t="s">
        <v>603</v>
      </c>
      <c r="N14942" t="s">
        <v>608</v>
      </c>
      <c r="O14942" s="37" t="str">
        <f t="shared" si="1168"/>
        <v>Cash Payment</v>
      </c>
      <c r="P14942">
        <v>1332.95</v>
      </c>
      <c r="Q14942" s="37" t="str">
        <f>IF(P14942&gt;500,"High","low")</f>
        <v>High</v>
      </c>
      <c r="R14942" s="37" t="str">
        <f t="shared" si="1169"/>
        <v>Excellent</v>
      </c>
      <c r="S14942" t="s">
        <v>620</v>
      </c>
    </row>
    <row r="14943" spans="1:19" x14ac:dyDescent="0.2">
      <c r="A14943" t="s">
        <v>15554</v>
      </c>
      <c r="B14943" t="s">
        <v>75</v>
      </c>
      <c r="C14943" t="s">
        <v>617</v>
      </c>
      <c r="D14943">
        <v>3276.62</v>
      </c>
      <c r="E14943" s="37" t="str">
        <f t="shared" si="1165"/>
        <v xml:space="preserve"> </v>
      </c>
      <c r="F14943">
        <v>0.11</v>
      </c>
      <c r="G14943" s="37" t="str">
        <f t="shared" si="1166"/>
        <v>Normal Discount</v>
      </c>
      <c r="H14943" s="37" t="str">
        <f t="shared" si="1167"/>
        <v>Low</v>
      </c>
      <c r="I14943">
        <v>9</v>
      </c>
      <c r="J14943" t="str" cm="1">
        <f t="array" ref="J14943">_xlfn.IFS(I14943&lt;=3,"small",I14943&lt;=6,"Medium",I14943&lt;=9,"Large")</f>
        <v>Large</v>
      </c>
      <c r="K14943" s="36">
        <v>45499</v>
      </c>
      <c r="L14943" s="36">
        <v>45505</v>
      </c>
      <c r="M14943" t="s">
        <v>603</v>
      </c>
      <c r="N14943" t="s">
        <v>604</v>
      </c>
      <c r="O14943" s="37" t="str">
        <f t="shared" si="1168"/>
        <v>Digital Payment</v>
      </c>
      <c r="P14943">
        <v>658.49</v>
      </c>
      <c r="Q14943" s="37" t="str">
        <f>IF(P14943&gt;500,"High","low")</f>
        <v>High</v>
      </c>
      <c r="R14943" s="37" t="str">
        <f t="shared" si="1169"/>
        <v>Good</v>
      </c>
      <c r="S14943" t="s">
        <v>605</v>
      </c>
    </row>
    <row r="14944" spans="1:19" x14ac:dyDescent="0.2">
      <c r="A14944" t="s">
        <v>15555</v>
      </c>
      <c r="B14944" t="s">
        <v>83</v>
      </c>
      <c r="C14944" t="s">
        <v>607</v>
      </c>
      <c r="D14944">
        <v>1454.66</v>
      </c>
      <c r="E14944" s="37" t="str">
        <f t="shared" si="1165"/>
        <v xml:space="preserve"> </v>
      </c>
      <c r="F14944">
        <v>0.21</v>
      </c>
      <c r="G14944" s="37" t="str">
        <f t="shared" si="1166"/>
        <v>Normal Discount</v>
      </c>
      <c r="H14944" s="37" t="str">
        <f t="shared" si="1167"/>
        <v>Medium</v>
      </c>
      <c r="I14944">
        <v>4</v>
      </c>
      <c r="J14944" t="str" cm="1">
        <f t="array" ref="J14944">_xlfn.IFS(I14944&lt;=3,"small",I14944&lt;=6,"Medium",I14944&lt;=9,"Large")</f>
        <v>Medium</v>
      </c>
      <c r="K14944" s="36">
        <v>45300</v>
      </c>
      <c r="L14944" s="36">
        <v>45307</v>
      </c>
      <c r="M14944" t="s">
        <v>598</v>
      </c>
      <c r="N14944" t="s">
        <v>599</v>
      </c>
      <c r="O14944" s="37" t="str">
        <f t="shared" si="1168"/>
        <v>Digital Payment</v>
      </c>
      <c r="P14944">
        <v>88.22</v>
      </c>
      <c r="Q14944" s="37" t="str">
        <f>IF(P14944&gt;500,"High","low")</f>
        <v>low</v>
      </c>
      <c r="R14944" s="37" t="str">
        <f t="shared" si="1169"/>
        <v>AVERAGE</v>
      </c>
      <c r="S14944" t="s">
        <v>605</v>
      </c>
    </row>
    <row r="14945" spans="1:19" x14ac:dyDescent="0.2">
      <c r="A14945" t="s">
        <v>15556</v>
      </c>
      <c r="B14945" t="s">
        <v>90</v>
      </c>
      <c r="C14945" t="s">
        <v>607</v>
      </c>
      <c r="D14945">
        <v>1422.61</v>
      </c>
      <c r="E14945" s="37" t="str">
        <f t="shared" si="1165"/>
        <v xml:space="preserve"> </v>
      </c>
      <c r="F14945">
        <v>0.38</v>
      </c>
      <c r="G14945" s="37" t="str">
        <f t="shared" si="1166"/>
        <v>Heavy Discount</v>
      </c>
      <c r="H14945" s="37" t="str">
        <f t="shared" si="1167"/>
        <v>Medium</v>
      </c>
      <c r="I14945">
        <v>5</v>
      </c>
      <c r="J14945" t="str" cm="1">
        <f t="array" ref="J14945">_xlfn.IFS(I14945&lt;=3,"small",I14945&lt;=6,"Medium",I14945&lt;=9,"Large")</f>
        <v>Medium</v>
      </c>
      <c r="K14945" s="36">
        <v>45142</v>
      </c>
      <c r="L14945" s="36">
        <v>45147</v>
      </c>
      <c r="M14945" t="s">
        <v>598</v>
      </c>
      <c r="N14945" t="s">
        <v>608</v>
      </c>
      <c r="O14945" s="37" t="str">
        <f t="shared" si="1168"/>
        <v>Cash Payment</v>
      </c>
      <c r="P14945">
        <v>273.39999999999998</v>
      </c>
      <c r="Q14945" s="37" t="str">
        <f>IF(P14945&gt;500,"High","low")</f>
        <v>low</v>
      </c>
      <c r="R14945" s="37" t="str">
        <f t="shared" si="1169"/>
        <v>AVERAGE</v>
      </c>
      <c r="S14945" t="s">
        <v>628</v>
      </c>
    </row>
    <row r="14946" spans="1:19" x14ac:dyDescent="0.2">
      <c r="A14946" t="s">
        <v>15557</v>
      </c>
      <c r="B14946" t="s">
        <v>67</v>
      </c>
      <c r="C14946" t="s">
        <v>617</v>
      </c>
      <c r="D14946">
        <v>4651.99</v>
      </c>
      <c r="E14946" s="37" t="str">
        <f t="shared" si="1165"/>
        <v xml:space="preserve"> </v>
      </c>
      <c r="F14946">
        <v>0.25</v>
      </c>
      <c r="G14946" s="37" t="str">
        <f t="shared" si="1166"/>
        <v>Normal Discount</v>
      </c>
      <c r="H14946" s="37" t="str">
        <f t="shared" si="1167"/>
        <v>Medium</v>
      </c>
      <c r="I14946">
        <v>1</v>
      </c>
      <c r="J14946" t="str" cm="1">
        <f t="array" ref="J14946">_xlfn.IFS(I14946&lt;=3,"small",I14946&lt;=6,"Medium",I14946&lt;=9,"Large")</f>
        <v>small</v>
      </c>
      <c r="K14946" s="36">
        <v>44956</v>
      </c>
      <c r="L14946" s="36">
        <v>44959</v>
      </c>
      <c r="M14946" t="s">
        <v>612</v>
      </c>
      <c r="N14946" t="s">
        <v>604</v>
      </c>
      <c r="O14946" s="37" t="str">
        <f t="shared" si="1168"/>
        <v>Digital Payment</v>
      </c>
      <c r="P14946">
        <v>468.97</v>
      </c>
      <c r="Q14946" s="37" t="str">
        <f>IF(P14946&gt;500,"High","low")</f>
        <v>low</v>
      </c>
      <c r="R14946" s="37" t="str">
        <f t="shared" si="1169"/>
        <v>AVERAGE</v>
      </c>
      <c r="S14946" t="s">
        <v>620</v>
      </c>
    </row>
    <row r="14947" spans="1:19" x14ac:dyDescent="0.2">
      <c r="A14947" t="s">
        <v>15558</v>
      </c>
      <c r="B14947" t="s">
        <v>90</v>
      </c>
      <c r="C14947" t="s">
        <v>607</v>
      </c>
      <c r="D14947">
        <v>1586.12</v>
      </c>
      <c r="E14947" s="37" t="str">
        <f t="shared" si="1165"/>
        <v xml:space="preserve"> </v>
      </c>
      <c r="F14947">
        <v>0.38</v>
      </c>
      <c r="G14947" s="37" t="str">
        <f t="shared" si="1166"/>
        <v>Heavy Discount</v>
      </c>
      <c r="H14947" s="37" t="str">
        <f t="shared" si="1167"/>
        <v>Medium</v>
      </c>
      <c r="I14947">
        <v>8</v>
      </c>
      <c r="J14947" t="str" cm="1">
        <f t="array" ref="J14947">_xlfn.IFS(I14947&lt;=3,"small",I14947&lt;=6,"Medium",I14947&lt;=9,"Large")</f>
        <v>Large</v>
      </c>
      <c r="K14947" s="36">
        <v>45181</v>
      </c>
      <c r="L14947" s="36">
        <v>45184</v>
      </c>
      <c r="M14947" t="s">
        <v>612</v>
      </c>
      <c r="N14947" t="s">
        <v>599</v>
      </c>
      <c r="O14947" s="37" t="str">
        <f t="shared" si="1168"/>
        <v>Digital Payment</v>
      </c>
      <c r="P14947">
        <v>263.37</v>
      </c>
      <c r="Q14947" s="37" t="str">
        <f>IF(P14947&gt;500,"High","low")</f>
        <v>low</v>
      </c>
      <c r="R14947" s="37" t="str">
        <f t="shared" si="1169"/>
        <v>AVERAGE</v>
      </c>
      <c r="S14947" t="s">
        <v>620</v>
      </c>
    </row>
    <row r="14948" spans="1:19" x14ac:dyDescent="0.2">
      <c r="A14948" t="s">
        <v>15559</v>
      </c>
      <c r="B14948" t="s">
        <v>75</v>
      </c>
      <c r="C14948" t="s">
        <v>617</v>
      </c>
      <c r="D14948">
        <v>3864.14</v>
      </c>
      <c r="E14948" s="37" t="str">
        <f t="shared" si="1165"/>
        <v xml:space="preserve"> </v>
      </c>
      <c r="F14948">
        <v>0.17</v>
      </c>
      <c r="G14948" s="37" t="str">
        <f t="shared" si="1166"/>
        <v>Normal Discount</v>
      </c>
      <c r="H14948" s="37" t="str">
        <f t="shared" si="1167"/>
        <v>Low</v>
      </c>
      <c r="I14948">
        <v>2</v>
      </c>
      <c r="J14948" t="str" cm="1">
        <f t="array" ref="J14948">_xlfn.IFS(I14948&lt;=3,"small",I14948&lt;=6,"Medium",I14948&lt;=9,"Large")</f>
        <v>small</v>
      </c>
      <c r="K14948" s="36">
        <v>45209</v>
      </c>
      <c r="L14948" s="36">
        <v>45214</v>
      </c>
      <c r="M14948" t="s">
        <v>603</v>
      </c>
      <c r="N14948" t="s">
        <v>604</v>
      </c>
      <c r="O14948" s="37" t="str">
        <f t="shared" si="1168"/>
        <v>Digital Payment</v>
      </c>
      <c r="P14948">
        <v>740.79</v>
      </c>
      <c r="Q14948" s="37" t="str">
        <f>IF(P14948&gt;500,"High","low")</f>
        <v>High</v>
      </c>
      <c r="R14948" s="37" t="str">
        <f t="shared" si="1169"/>
        <v>Good</v>
      </c>
      <c r="S14948" t="s">
        <v>628</v>
      </c>
    </row>
    <row r="14949" spans="1:19" x14ac:dyDescent="0.2">
      <c r="A14949" t="s">
        <v>15560</v>
      </c>
      <c r="B14949" t="s">
        <v>67</v>
      </c>
      <c r="C14949" t="s">
        <v>602</v>
      </c>
      <c r="D14949">
        <v>3250.28</v>
      </c>
      <c r="E14949" s="37" t="str">
        <f t="shared" si="1165"/>
        <v xml:space="preserve"> </v>
      </c>
      <c r="F14949">
        <v>0.01</v>
      </c>
      <c r="G14949" s="37" t="str">
        <f t="shared" si="1166"/>
        <v>Normal Discount</v>
      </c>
      <c r="H14949" s="37" t="str">
        <f t="shared" si="1167"/>
        <v>Low</v>
      </c>
      <c r="I14949">
        <v>5</v>
      </c>
      <c r="J14949" t="str" cm="1">
        <f t="array" ref="J14949">_xlfn.IFS(I14949&lt;=3,"small",I14949&lt;=6,"Medium",I14949&lt;=9,"Large")</f>
        <v>Medium</v>
      </c>
      <c r="K14949" s="36">
        <v>45403</v>
      </c>
      <c r="L14949" s="36">
        <v>45410</v>
      </c>
      <c r="M14949" t="s">
        <v>598</v>
      </c>
      <c r="N14949" t="s">
        <v>604</v>
      </c>
      <c r="O14949" s="37" t="str">
        <f t="shared" si="1168"/>
        <v>Digital Payment</v>
      </c>
      <c r="P14949">
        <v>697.71</v>
      </c>
      <c r="Q14949" s="37" t="str">
        <f>IF(P14949&gt;500,"High","low")</f>
        <v>High</v>
      </c>
      <c r="R14949" s="37" t="str">
        <f t="shared" si="1169"/>
        <v>Good</v>
      </c>
      <c r="S14949" t="s">
        <v>600</v>
      </c>
    </row>
    <row r="14950" spans="1:19" x14ac:dyDescent="0.2">
      <c r="A14950" t="s">
        <v>15561</v>
      </c>
      <c r="B14950" t="s">
        <v>83</v>
      </c>
      <c r="C14950" t="s">
        <v>617</v>
      </c>
      <c r="D14950">
        <v>3003.75</v>
      </c>
      <c r="E14950" s="37" t="str">
        <f t="shared" si="1165"/>
        <v xml:space="preserve"> </v>
      </c>
      <c r="F14950">
        <v>0.46</v>
      </c>
      <c r="G14950" s="37" t="str">
        <f t="shared" si="1166"/>
        <v>Heavy Discount</v>
      </c>
      <c r="H14950" s="37" t="str">
        <f t="shared" si="1167"/>
        <v>High</v>
      </c>
      <c r="I14950">
        <v>5</v>
      </c>
      <c r="J14950" t="str" cm="1">
        <f t="array" ref="J14950">_xlfn.IFS(I14950&lt;=3,"small",I14950&lt;=6,"Medium",I14950&lt;=9,"Large")</f>
        <v>Medium</v>
      </c>
      <c r="K14950" s="36">
        <v>45306</v>
      </c>
      <c r="L14950" s="36">
        <v>45311</v>
      </c>
      <c r="M14950" t="s">
        <v>598</v>
      </c>
      <c r="N14950" t="s">
        <v>604</v>
      </c>
      <c r="O14950" s="37" t="str">
        <f t="shared" si="1168"/>
        <v>Digital Payment</v>
      </c>
      <c r="P14950">
        <v>205.18</v>
      </c>
      <c r="Q14950" s="37" t="str">
        <f>IF(P14950&gt;500,"High","low")</f>
        <v>low</v>
      </c>
      <c r="R14950" s="37" t="str">
        <f t="shared" si="1169"/>
        <v>AVERAGE</v>
      </c>
      <c r="S14950" t="s">
        <v>615</v>
      </c>
    </row>
    <row r="14951" spans="1:19" x14ac:dyDescent="0.2">
      <c r="A14951" t="s">
        <v>15562</v>
      </c>
      <c r="B14951" t="s">
        <v>75</v>
      </c>
      <c r="C14951" t="s">
        <v>602</v>
      </c>
      <c r="D14951">
        <v>987.27</v>
      </c>
      <c r="E14951" s="37" t="str">
        <f t="shared" si="1165"/>
        <v xml:space="preserve"> </v>
      </c>
      <c r="F14951">
        <v>0.16</v>
      </c>
      <c r="G14951" s="37" t="str">
        <f t="shared" si="1166"/>
        <v>Normal Discount</v>
      </c>
      <c r="H14951" s="37" t="str">
        <f t="shared" si="1167"/>
        <v>Low</v>
      </c>
      <c r="I14951">
        <v>4</v>
      </c>
      <c r="J14951" t="str" cm="1">
        <f t="array" ref="J14951">_xlfn.IFS(I14951&lt;=3,"small",I14951&lt;=6,"Medium",I14951&lt;=9,"Large")</f>
        <v>Medium</v>
      </c>
      <c r="K14951" s="36">
        <v>45468</v>
      </c>
      <c r="L14951" s="36">
        <v>45473</v>
      </c>
      <c r="M14951" t="s">
        <v>603</v>
      </c>
      <c r="N14951" t="s">
        <v>608</v>
      </c>
      <c r="O14951" s="37" t="str">
        <f t="shared" si="1168"/>
        <v>Cash Payment</v>
      </c>
      <c r="P14951">
        <v>258.42</v>
      </c>
      <c r="Q14951" s="37" t="str">
        <f>IF(P14951&gt;500,"High","low")</f>
        <v>low</v>
      </c>
      <c r="R14951" s="37" t="str">
        <f t="shared" si="1169"/>
        <v>AVERAGE</v>
      </c>
      <c r="S14951" t="s">
        <v>605</v>
      </c>
    </row>
    <row r="14952" spans="1:19" x14ac:dyDescent="0.2">
      <c r="A14952" t="s">
        <v>15563</v>
      </c>
      <c r="B14952" t="s">
        <v>75</v>
      </c>
      <c r="C14952" t="s">
        <v>602</v>
      </c>
      <c r="D14952">
        <v>268.61</v>
      </c>
      <c r="E14952" s="37" t="str">
        <f t="shared" si="1165"/>
        <v xml:space="preserve"> </v>
      </c>
      <c r="F14952">
        <v>0.26</v>
      </c>
      <c r="G14952" s="37" t="str">
        <f t="shared" si="1166"/>
        <v>Normal Discount</v>
      </c>
      <c r="H14952" s="37" t="str">
        <f t="shared" si="1167"/>
        <v>Medium</v>
      </c>
      <c r="I14952">
        <v>4</v>
      </c>
      <c r="J14952" t="str" cm="1">
        <f t="array" ref="J14952">_xlfn.IFS(I14952&lt;=3,"small",I14952&lt;=6,"Medium",I14952&lt;=9,"Large")</f>
        <v>Medium</v>
      </c>
      <c r="K14952" s="36">
        <v>45109</v>
      </c>
      <c r="L14952" s="36">
        <v>45111</v>
      </c>
      <c r="M14952" t="s">
        <v>603</v>
      </c>
      <c r="N14952" t="s">
        <v>608</v>
      </c>
      <c r="O14952" s="37" t="str">
        <f t="shared" si="1168"/>
        <v>Cash Payment</v>
      </c>
      <c r="P14952">
        <v>76.81</v>
      </c>
      <c r="Q14952" s="37" t="str">
        <f>IF(P14952&gt;500,"High","low")</f>
        <v>low</v>
      </c>
      <c r="R14952" s="37" t="str">
        <f t="shared" si="1169"/>
        <v>AVERAGE</v>
      </c>
      <c r="S14952" t="s">
        <v>605</v>
      </c>
    </row>
    <row r="14953" spans="1:19" x14ac:dyDescent="0.2">
      <c r="A14953" t="s">
        <v>15564</v>
      </c>
      <c r="B14953" t="s">
        <v>67</v>
      </c>
      <c r="C14953" t="s">
        <v>617</v>
      </c>
      <c r="D14953">
        <v>2494.52</v>
      </c>
      <c r="E14953" s="37" t="str">
        <f t="shared" si="1165"/>
        <v xml:space="preserve"> </v>
      </c>
      <c r="F14953">
        <v>0.23</v>
      </c>
      <c r="G14953" s="37" t="str">
        <f t="shared" si="1166"/>
        <v>Normal Discount</v>
      </c>
      <c r="H14953" s="37" t="str">
        <f t="shared" si="1167"/>
        <v>Medium</v>
      </c>
      <c r="I14953">
        <v>2</v>
      </c>
      <c r="J14953" t="str" cm="1">
        <f t="array" ref="J14953">_xlfn.IFS(I14953&lt;=3,"small",I14953&lt;=6,"Medium",I14953&lt;=9,"Large")</f>
        <v>small</v>
      </c>
      <c r="K14953" s="36">
        <v>45077</v>
      </c>
      <c r="L14953" s="36">
        <v>45078</v>
      </c>
      <c r="M14953" t="s">
        <v>598</v>
      </c>
      <c r="N14953" t="s">
        <v>604</v>
      </c>
      <c r="O14953" s="37" t="str">
        <f t="shared" si="1168"/>
        <v>Digital Payment</v>
      </c>
      <c r="P14953">
        <v>560.35</v>
      </c>
      <c r="Q14953" s="37" t="str">
        <f>IF(P14953&gt;500,"High","low")</f>
        <v>High</v>
      </c>
      <c r="R14953" s="37" t="str">
        <f t="shared" si="1169"/>
        <v>Good</v>
      </c>
      <c r="S14953" t="s">
        <v>609</v>
      </c>
    </row>
    <row r="14954" spans="1:19" x14ac:dyDescent="0.2">
      <c r="A14954" t="s">
        <v>15565</v>
      </c>
      <c r="B14954" t="s">
        <v>83</v>
      </c>
      <c r="C14954" t="s">
        <v>607</v>
      </c>
      <c r="D14954">
        <v>4941.9799999999996</v>
      </c>
      <c r="E14954" s="37" t="str">
        <f t="shared" si="1165"/>
        <v>Excellent Order</v>
      </c>
      <c r="F14954">
        <v>0.28999999999999998</v>
      </c>
      <c r="G14954" s="37" t="str">
        <f t="shared" si="1166"/>
        <v>Normal Discount</v>
      </c>
      <c r="H14954" s="37" t="str">
        <f t="shared" si="1167"/>
        <v>Medium</v>
      </c>
      <c r="I14954">
        <v>3</v>
      </c>
      <c r="J14954" t="str" cm="1">
        <f t="array" ref="J14954">_xlfn.IFS(I14954&lt;=3,"small",I14954&lt;=6,"Medium",I14954&lt;=9,"Large")</f>
        <v>small</v>
      </c>
      <c r="K14954" s="36">
        <v>45219</v>
      </c>
      <c r="L14954" s="36">
        <v>45221</v>
      </c>
      <c r="M14954" t="s">
        <v>612</v>
      </c>
      <c r="N14954" t="s">
        <v>604</v>
      </c>
      <c r="O14954" s="37" t="str">
        <f t="shared" si="1168"/>
        <v>Digital Payment</v>
      </c>
      <c r="P14954">
        <v>992.58</v>
      </c>
      <c r="Q14954" s="37" t="str">
        <f>IF(P14954&gt;500,"High","low")</f>
        <v>High</v>
      </c>
      <c r="R14954" s="37" t="str">
        <f t="shared" si="1169"/>
        <v>Good</v>
      </c>
      <c r="S14954" t="s">
        <v>620</v>
      </c>
    </row>
    <row r="14955" spans="1:19" x14ac:dyDescent="0.2">
      <c r="A14955" t="s">
        <v>15566</v>
      </c>
      <c r="B14955" t="s">
        <v>67</v>
      </c>
      <c r="C14955" t="s">
        <v>597</v>
      </c>
      <c r="D14955">
        <v>1059.22</v>
      </c>
      <c r="E14955" s="37" t="str">
        <f t="shared" si="1165"/>
        <v xml:space="preserve"> </v>
      </c>
      <c r="F14955">
        <v>0.44</v>
      </c>
      <c r="G14955" s="37" t="str">
        <f t="shared" si="1166"/>
        <v>Heavy Discount</v>
      </c>
      <c r="H14955" s="37" t="str">
        <f t="shared" si="1167"/>
        <v>High</v>
      </c>
      <c r="I14955">
        <v>2</v>
      </c>
      <c r="J14955" t="str" cm="1">
        <f t="array" ref="J14955">_xlfn.IFS(I14955&lt;=3,"small",I14955&lt;=6,"Medium",I14955&lt;=9,"Large")</f>
        <v>small</v>
      </c>
      <c r="K14955" s="36">
        <v>45146</v>
      </c>
      <c r="L14955" s="36">
        <v>45151</v>
      </c>
      <c r="M14955" t="s">
        <v>612</v>
      </c>
      <c r="N14955" t="s">
        <v>604</v>
      </c>
      <c r="O14955" s="37" t="str">
        <f t="shared" si="1168"/>
        <v>Digital Payment</v>
      </c>
      <c r="P14955">
        <v>216.81</v>
      </c>
      <c r="Q14955" s="37" t="str">
        <f>IF(P14955&gt;500,"High","low")</f>
        <v>low</v>
      </c>
      <c r="R14955" s="37" t="str">
        <f t="shared" si="1169"/>
        <v>AVERAGE</v>
      </c>
      <c r="S14955" t="s">
        <v>600</v>
      </c>
    </row>
    <row r="14956" spans="1:19" x14ac:dyDescent="0.2">
      <c r="A14956" t="s">
        <v>15567</v>
      </c>
      <c r="B14956" t="s">
        <v>83</v>
      </c>
      <c r="C14956" t="s">
        <v>617</v>
      </c>
      <c r="D14956">
        <v>2730.67</v>
      </c>
      <c r="E14956" s="37" t="str">
        <f t="shared" si="1165"/>
        <v xml:space="preserve"> </v>
      </c>
      <c r="F14956">
        <v>0.43</v>
      </c>
      <c r="G14956" s="37" t="str">
        <f t="shared" si="1166"/>
        <v>Heavy Discount</v>
      </c>
      <c r="H14956" s="37" t="str">
        <f t="shared" si="1167"/>
        <v>High</v>
      </c>
      <c r="I14956">
        <v>1</v>
      </c>
      <c r="J14956" t="str" cm="1">
        <f t="array" ref="J14956">_xlfn.IFS(I14956&lt;=3,"small",I14956&lt;=6,"Medium",I14956&lt;=9,"Large")</f>
        <v>small</v>
      </c>
      <c r="K14956" s="36">
        <v>45501</v>
      </c>
      <c r="L14956" s="36">
        <v>45508</v>
      </c>
      <c r="M14956" t="s">
        <v>612</v>
      </c>
      <c r="N14956" t="s">
        <v>604</v>
      </c>
      <c r="O14956" s="37" t="str">
        <f t="shared" si="1168"/>
        <v>Digital Payment</v>
      </c>
      <c r="P14956">
        <v>613.03</v>
      </c>
      <c r="Q14956" s="37" t="str">
        <f>IF(P14956&gt;500,"High","low")</f>
        <v>High</v>
      </c>
      <c r="R14956" s="37" t="str">
        <f t="shared" si="1169"/>
        <v>Good</v>
      </c>
      <c r="S14956" t="s">
        <v>620</v>
      </c>
    </row>
    <row r="14957" spans="1:19" x14ac:dyDescent="0.2">
      <c r="A14957" t="s">
        <v>15568</v>
      </c>
      <c r="B14957" t="s">
        <v>75</v>
      </c>
      <c r="C14957" t="s">
        <v>607</v>
      </c>
      <c r="D14957">
        <v>3387.8</v>
      </c>
      <c r="E14957" s="37" t="str">
        <f t="shared" si="1165"/>
        <v xml:space="preserve"> </v>
      </c>
      <c r="F14957">
        <v>0.49</v>
      </c>
      <c r="G14957" s="37" t="str">
        <f t="shared" si="1166"/>
        <v>Heavy Discount</v>
      </c>
      <c r="H14957" s="37" t="str">
        <f t="shared" si="1167"/>
        <v>High</v>
      </c>
      <c r="I14957">
        <v>4</v>
      </c>
      <c r="J14957" t="str" cm="1">
        <f t="array" ref="J14957">_xlfn.IFS(I14957&lt;=3,"small",I14957&lt;=6,"Medium",I14957&lt;=9,"Large")</f>
        <v>Medium</v>
      </c>
      <c r="K14957" s="36">
        <v>45361</v>
      </c>
      <c r="L14957" s="36">
        <v>45363</v>
      </c>
      <c r="M14957" t="s">
        <v>603</v>
      </c>
      <c r="N14957" t="s">
        <v>604</v>
      </c>
      <c r="O14957" s="37" t="str">
        <f t="shared" si="1168"/>
        <v>Digital Payment</v>
      </c>
      <c r="P14957">
        <v>915.18</v>
      </c>
      <c r="Q14957" s="37" t="str">
        <f>IF(P14957&gt;500,"High","low")</f>
        <v>High</v>
      </c>
      <c r="R14957" s="37" t="str">
        <f t="shared" si="1169"/>
        <v>Good</v>
      </c>
      <c r="S14957" t="s">
        <v>628</v>
      </c>
    </row>
    <row r="14958" spans="1:19" x14ac:dyDescent="0.2">
      <c r="A14958" t="s">
        <v>15569</v>
      </c>
      <c r="B14958" t="s">
        <v>90</v>
      </c>
      <c r="C14958" t="s">
        <v>602</v>
      </c>
      <c r="D14958">
        <v>2470.02</v>
      </c>
      <c r="E14958" s="37" t="str">
        <f t="shared" si="1165"/>
        <v xml:space="preserve"> </v>
      </c>
      <c r="F14958">
        <v>0.26</v>
      </c>
      <c r="G14958" s="37" t="str">
        <f t="shared" si="1166"/>
        <v>Normal Discount</v>
      </c>
      <c r="H14958" s="37" t="str">
        <f t="shared" si="1167"/>
        <v>Medium</v>
      </c>
      <c r="I14958">
        <v>9</v>
      </c>
      <c r="J14958" t="str" cm="1">
        <f t="array" ref="J14958">_xlfn.IFS(I14958&lt;=3,"small",I14958&lt;=6,"Medium",I14958&lt;=9,"Large")</f>
        <v>Large</v>
      </c>
      <c r="K14958" s="36">
        <v>45275</v>
      </c>
      <c r="L14958" s="36">
        <v>45276</v>
      </c>
      <c r="M14958" t="s">
        <v>603</v>
      </c>
      <c r="N14958" t="s">
        <v>608</v>
      </c>
      <c r="O14958" s="37" t="str">
        <f t="shared" si="1168"/>
        <v>Cash Payment</v>
      </c>
      <c r="P14958">
        <v>216.43</v>
      </c>
      <c r="Q14958" s="37" t="str">
        <f>IF(P14958&gt;500,"High","low")</f>
        <v>low</v>
      </c>
      <c r="R14958" s="37" t="str">
        <f t="shared" si="1169"/>
        <v>AVERAGE</v>
      </c>
      <c r="S14958" t="s">
        <v>609</v>
      </c>
    </row>
    <row r="14959" spans="1:19" x14ac:dyDescent="0.2">
      <c r="A14959" t="s">
        <v>15570</v>
      </c>
      <c r="B14959" t="s">
        <v>75</v>
      </c>
      <c r="C14959" t="s">
        <v>614</v>
      </c>
      <c r="D14959">
        <v>2583.98</v>
      </c>
      <c r="E14959" s="37" t="str">
        <f t="shared" si="1165"/>
        <v xml:space="preserve"> </v>
      </c>
      <c r="F14959">
        <v>0.46</v>
      </c>
      <c r="G14959" s="37" t="str">
        <f t="shared" si="1166"/>
        <v>Heavy Discount</v>
      </c>
      <c r="H14959" s="37" t="str">
        <f t="shared" si="1167"/>
        <v>High</v>
      </c>
      <c r="I14959">
        <v>6</v>
      </c>
      <c r="J14959" t="str" cm="1">
        <f t="array" ref="J14959">_xlfn.IFS(I14959&lt;=3,"small",I14959&lt;=6,"Medium",I14959&lt;=9,"Large")</f>
        <v>Medium</v>
      </c>
      <c r="K14959" s="36">
        <v>45418</v>
      </c>
      <c r="L14959" s="36">
        <v>45419</v>
      </c>
      <c r="M14959" t="s">
        <v>598</v>
      </c>
      <c r="N14959" t="s">
        <v>604</v>
      </c>
      <c r="O14959" s="37" t="str">
        <f t="shared" si="1168"/>
        <v>Digital Payment</v>
      </c>
      <c r="P14959">
        <v>151.38</v>
      </c>
      <c r="Q14959" s="37" t="str">
        <f>IF(P14959&gt;500,"High","low")</f>
        <v>low</v>
      </c>
      <c r="R14959" s="37" t="str">
        <f t="shared" si="1169"/>
        <v>AVERAGE</v>
      </c>
      <c r="S14959" t="s">
        <v>609</v>
      </c>
    </row>
    <row r="14960" spans="1:19" x14ac:dyDescent="0.2">
      <c r="A14960" t="s">
        <v>15571</v>
      </c>
      <c r="B14960" t="s">
        <v>90</v>
      </c>
      <c r="C14960" t="s">
        <v>597</v>
      </c>
      <c r="D14960">
        <v>3340.01</v>
      </c>
      <c r="E14960" s="37" t="str">
        <f t="shared" si="1165"/>
        <v xml:space="preserve"> </v>
      </c>
      <c r="F14960">
        <v>0.24</v>
      </c>
      <c r="G14960" s="37" t="str">
        <f t="shared" si="1166"/>
        <v>Normal Discount</v>
      </c>
      <c r="H14960" s="37" t="str">
        <f t="shared" si="1167"/>
        <v>Medium</v>
      </c>
      <c r="I14960">
        <v>8</v>
      </c>
      <c r="J14960" t="str" cm="1">
        <f t="array" ref="J14960">_xlfn.IFS(I14960&lt;=3,"small",I14960&lt;=6,"Medium",I14960&lt;=9,"Large")</f>
        <v>Large</v>
      </c>
      <c r="K14960" s="36">
        <v>45644</v>
      </c>
      <c r="L14960" s="36">
        <v>45651</v>
      </c>
      <c r="M14960" t="s">
        <v>603</v>
      </c>
      <c r="N14960" t="s">
        <v>604</v>
      </c>
      <c r="O14960" s="37" t="str">
        <f t="shared" si="1168"/>
        <v>Digital Payment</v>
      </c>
      <c r="P14960">
        <v>226.45</v>
      </c>
      <c r="Q14960" s="37" t="str">
        <f>IF(P14960&gt;500,"High","low")</f>
        <v>low</v>
      </c>
      <c r="R14960" s="37" t="str">
        <f t="shared" si="1169"/>
        <v>AVERAGE</v>
      </c>
      <c r="S14960" t="s">
        <v>600</v>
      </c>
    </row>
    <row r="14961" spans="1:19" x14ac:dyDescent="0.2">
      <c r="A14961" t="s">
        <v>15572</v>
      </c>
      <c r="B14961" t="s">
        <v>90</v>
      </c>
      <c r="C14961" t="s">
        <v>607</v>
      </c>
      <c r="D14961">
        <v>4093.04</v>
      </c>
      <c r="E14961" s="37" t="str">
        <f t="shared" si="1165"/>
        <v xml:space="preserve"> </v>
      </c>
      <c r="F14961">
        <v>0.02</v>
      </c>
      <c r="G14961" s="37" t="str">
        <f t="shared" si="1166"/>
        <v>Normal Discount</v>
      </c>
      <c r="H14961" s="37" t="str">
        <f t="shared" si="1167"/>
        <v>Low</v>
      </c>
      <c r="I14961">
        <v>2</v>
      </c>
      <c r="J14961" t="str" cm="1">
        <f t="array" ref="J14961">_xlfn.IFS(I14961&lt;=3,"small",I14961&lt;=6,"Medium",I14961&lt;=9,"Large")</f>
        <v>small</v>
      </c>
      <c r="K14961" s="36">
        <v>45290</v>
      </c>
      <c r="L14961" s="36">
        <v>45291</v>
      </c>
      <c r="M14961" t="s">
        <v>598</v>
      </c>
      <c r="N14961" t="s">
        <v>604</v>
      </c>
      <c r="O14961" s="37" t="str">
        <f t="shared" si="1168"/>
        <v>Digital Payment</v>
      </c>
      <c r="P14961">
        <v>489.26</v>
      </c>
      <c r="Q14961" s="37" t="str">
        <f>IF(P14961&gt;500,"High","low")</f>
        <v>low</v>
      </c>
      <c r="R14961" s="37" t="str">
        <f t="shared" si="1169"/>
        <v>AVERAGE</v>
      </c>
      <c r="S14961" t="s">
        <v>620</v>
      </c>
    </row>
    <row r="14962" spans="1:19" x14ac:dyDescent="0.2">
      <c r="A14962" t="s">
        <v>15573</v>
      </c>
      <c r="B14962" t="s">
        <v>83</v>
      </c>
      <c r="C14962" t="s">
        <v>597</v>
      </c>
      <c r="D14962">
        <v>1733.11</v>
      </c>
      <c r="E14962" s="37" t="str">
        <f t="shared" si="1165"/>
        <v xml:space="preserve"> </v>
      </c>
      <c r="F14962">
        <v>7.0000000000000007E-2</v>
      </c>
      <c r="G14962" s="37" t="str">
        <f t="shared" si="1166"/>
        <v>Normal Discount</v>
      </c>
      <c r="H14962" s="37" t="str">
        <f t="shared" si="1167"/>
        <v>Low</v>
      </c>
      <c r="I14962">
        <v>2</v>
      </c>
      <c r="J14962" t="str" cm="1">
        <f t="array" ref="J14962">_xlfn.IFS(I14962&lt;=3,"small",I14962&lt;=6,"Medium",I14962&lt;=9,"Large")</f>
        <v>small</v>
      </c>
      <c r="K14962" s="36">
        <v>45629</v>
      </c>
      <c r="L14962" s="36">
        <v>45636</v>
      </c>
      <c r="M14962" t="s">
        <v>603</v>
      </c>
      <c r="N14962" t="s">
        <v>604</v>
      </c>
      <c r="O14962" s="37" t="str">
        <f t="shared" si="1168"/>
        <v>Digital Payment</v>
      </c>
      <c r="P14962">
        <v>261.18</v>
      </c>
      <c r="Q14962" s="37" t="str">
        <f>IF(P14962&gt;500,"High","low")</f>
        <v>low</v>
      </c>
      <c r="R14962" s="37" t="str">
        <f t="shared" si="1169"/>
        <v>AVERAGE</v>
      </c>
      <c r="S14962" t="s">
        <v>600</v>
      </c>
    </row>
    <row r="14963" spans="1:19" x14ac:dyDescent="0.2">
      <c r="A14963" t="s">
        <v>15574</v>
      </c>
      <c r="B14963" t="s">
        <v>67</v>
      </c>
      <c r="C14963" t="s">
        <v>614</v>
      </c>
      <c r="D14963">
        <v>4506.45</v>
      </c>
      <c r="E14963" s="37" t="str">
        <f t="shared" si="1165"/>
        <v xml:space="preserve"> </v>
      </c>
      <c r="F14963">
        <v>0.17</v>
      </c>
      <c r="G14963" s="37" t="str">
        <f t="shared" si="1166"/>
        <v>Normal Discount</v>
      </c>
      <c r="H14963" s="37" t="str">
        <f t="shared" si="1167"/>
        <v>Low</v>
      </c>
      <c r="I14963">
        <v>2</v>
      </c>
      <c r="J14963" t="str" cm="1">
        <f t="array" ref="J14963">_xlfn.IFS(I14963&lt;=3,"small",I14963&lt;=6,"Medium",I14963&lt;=9,"Large")</f>
        <v>small</v>
      </c>
      <c r="K14963" s="36">
        <v>45419</v>
      </c>
      <c r="L14963" s="36">
        <v>45425</v>
      </c>
      <c r="M14963" t="s">
        <v>598</v>
      </c>
      <c r="N14963" t="s">
        <v>599</v>
      </c>
      <c r="O14963" s="37" t="str">
        <f t="shared" si="1168"/>
        <v>Digital Payment</v>
      </c>
      <c r="P14963">
        <v>749.9</v>
      </c>
      <c r="Q14963" s="37" t="str">
        <f>IF(P14963&gt;500,"High","low")</f>
        <v>High</v>
      </c>
      <c r="R14963" s="37" t="str">
        <f t="shared" si="1169"/>
        <v>Good</v>
      </c>
      <c r="S14963" t="s">
        <v>628</v>
      </c>
    </row>
    <row r="14964" spans="1:19" x14ac:dyDescent="0.2">
      <c r="A14964" t="s">
        <v>15575</v>
      </c>
      <c r="B14964" t="s">
        <v>83</v>
      </c>
      <c r="C14964" t="s">
        <v>614</v>
      </c>
      <c r="D14964">
        <v>2476.0100000000002</v>
      </c>
      <c r="E14964" s="37" t="str">
        <f t="shared" si="1165"/>
        <v xml:space="preserve"> </v>
      </c>
      <c r="F14964">
        <v>0.36</v>
      </c>
      <c r="G14964" s="37" t="str">
        <f t="shared" si="1166"/>
        <v>Heavy Discount</v>
      </c>
      <c r="H14964" s="37" t="str">
        <f t="shared" si="1167"/>
        <v>Medium</v>
      </c>
      <c r="I14964">
        <v>8</v>
      </c>
      <c r="J14964" t="str" cm="1">
        <f t="array" ref="J14964">_xlfn.IFS(I14964&lt;=3,"small",I14964&lt;=6,"Medium",I14964&lt;=9,"Large")</f>
        <v>Large</v>
      </c>
      <c r="K14964" s="36">
        <v>45219</v>
      </c>
      <c r="L14964" s="36">
        <v>45226</v>
      </c>
      <c r="M14964" t="s">
        <v>612</v>
      </c>
      <c r="N14964" t="s">
        <v>604</v>
      </c>
      <c r="O14964" s="37" t="str">
        <f t="shared" si="1168"/>
        <v>Digital Payment</v>
      </c>
      <c r="P14964">
        <v>262.95999999999998</v>
      </c>
      <c r="Q14964" s="37" t="str">
        <f>IF(P14964&gt;500,"High","low")</f>
        <v>low</v>
      </c>
      <c r="R14964" s="37" t="str">
        <f t="shared" si="1169"/>
        <v>AVERAGE</v>
      </c>
      <c r="S14964" t="s">
        <v>615</v>
      </c>
    </row>
    <row r="14965" spans="1:19" x14ac:dyDescent="0.2">
      <c r="A14965" t="s">
        <v>15576</v>
      </c>
      <c r="B14965" t="s">
        <v>75</v>
      </c>
      <c r="C14965" t="s">
        <v>614</v>
      </c>
      <c r="D14965">
        <v>3343.2</v>
      </c>
      <c r="E14965" s="37" t="str">
        <f t="shared" si="1165"/>
        <v xml:space="preserve"> </v>
      </c>
      <c r="F14965">
        <v>0.04</v>
      </c>
      <c r="G14965" s="37" t="str">
        <f t="shared" si="1166"/>
        <v>Normal Discount</v>
      </c>
      <c r="H14965" s="37" t="str">
        <f t="shared" si="1167"/>
        <v>Low</v>
      </c>
      <c r="I14965">
        <v>1</v>
      </c>
      <c r="J14965" t="str" cm="1">
        <f t="array" ref="J14965">_xlfn.IFS(I14965&lt;=3,"small",I14965&lt;=6,"Medium",I14965&lt;=9,"Large")</f>
        <v>small</v>
      </c>
      <c r="K14965" s="36">
        <v>45535</v>
      </c>
      <c r="L14965" s="36">
        <v>45540</v>
      </c>
      <c r="M14965" t="s">
        <v>612</v>
      </c>
      <c r="N14965" t="s">
        <v>599</v>
      </c>
      <c r="O14965" s="37" t="str">
        <f t="shared" si="1168"/>
        <v>Digital Payment</v>
      </c>
      <c r="P14965">
        <v>230.11</v>
      </c>
      <c r="Q14965" s="37" t="str">
        <f>IF(P14965&gt;500,"High","low")</f>
        <v>low</v>
      </c>
      <c r="R14965" s="37" t="str">
        <f t="shared" si="1169"/>
        <v>AVERAGE</v>
      </c>
      <c r="S14965" t="s">
        <v>628</v>
      </c>
    </row>
    <row r="14966" spans="1:19" x14ac:dyDescent="0.2">
      <c r="A14966" t="s">
        <v>15577</v>
      </c>
      <c r="B14966" t="s">
        <v>67</v>
      </c>
      <c r="C14966" t="s">
        <v>617</v>
      </c>
      <c r="D14966">
        <v>621.91999999999996</v>
      </c>
      <c r="E14966" s="37" t="str">
        <f t="shared" si="1165"/>
        <v xml:space="preserve"> </v>
      </c>
      <c r="F14966">
        <v>0.18</v>
      </c>
      <c r="G14966" s="37" t="str">
        <f t="shared" si="1166"/>
        <v>Normal Discount</v>
      </c>
      <c r="H14966" s="37" t="str">
        <f t="shared" si="1167"/>
        <v>Low</v>
      </c>
      <c r="I14966">
        <v>5</v>
      </c>
      <c r="J14966" t="str" cm="1">
        <f t="array" ref="J14966">_xlfn.IFS(I14966&lt;=3,"small",I14966&lt;=6,"Medium",I14966&lt;=9,"Large")</f>
        <v>Medium</v>
      </c>
      <c r="K14966" s="36">
        <v>45553</v>
      </c>
      <c r="L14966" s="36">
        <v>45560</v>
      </c>
      <c r="M14966" t="s">
        <v>612</v>
      </c>
      <c r="N14966" t="s">
        <v>599</v>
      </c>
      <c r="O14966" s="37" t="str">
        <f t="shared" si="1168"/>
        <v>Digital Payment</v>
      </c>
      <c r="P14966">
        <v>69.77</v>
      </c>
      <c r="Q14966" s="37" t="str">
        <f>IF(P14966&gt;500,"High","low")</f>
        <v>low</v>
      </c>
      <c r="R14966" s="37" t="str">
        <f t="shared" si="1169"/>
        <v>AVERAGE</v>
      </c>
      <c r="S14966" t="s">
        <v>620</v>
      </c>
    </row>
    <row r="14967" spans="1:19" x14ac:dyDescent="0.2">
      <c r="A14967" t="s">
        <v>15578</v>
      </c>
      <c r="B14967" t="s">
        <v>90</v>
      </c>
      <c r="C14967" t="s">
        <v>597</v>
      </c>
      <c r="D14967">
        <v>2513.15</v>
      </c>
      <c r="E14967" s="37" t="str">
        <f t="shared" si="1165"/>
        <v xml:space="preserve"> </v>
      </c>
      <c r="F14967">
        <v>0.49</v>
      </c>
      <c r="G14967" s="37" t="str">
        <f t="shared" si="1166"/>
        <v>Heavy Discount</v>
      </c>
      <c r="H14967" s="37" t="str">
        <f t="shared" si="1167"/>
        <v>High</v>
      </c>
      <c r="I14967">
        <v>4</v>
      </c>
      <c r="J14967" t="str" cm="1">
        <f t="array" ref="J14967">_xlfn.IFS(I14967&lt;=3,"small",I14967&lt;=6,"Medium",I14967&lt;=9,"Large")</f>
        <v>Medium</v>
      </c>
      <c r="K14967" s="36">
        <v>45437</v>
      </c>
      <c r="L14967" s="36">
        <v>45441</v>
      </c>
      <c r="M14967" t="s">
        <v>598</v>
      </c>
      <c r="N14967" t="s">
        <v>604</v>
      </c>
      <c r="O14967" s="37" t="str">
        <f t="shared" si="1168"/>
        <v>Digital Payment</v>
      </c>
      <c r="P14967">
        <v>610.91999999999996</v>
      </c>
      <c r="Q14967" s="37" t="str">
        <f>IF(P14967&gt;500,"High","low")</f>
        <v>High</v>
      </c>
      <c r="R14967" s="37" t="str">
        <f t="shared" si="1169"/>
        <v>Good</v>
      </c>
      <c r="S14967" t="s">
        <v>615</v>
      </c>
    </row>
    <row r="14968" spans="1:19" x14ac:dyDescent="0.2">
      <c r="A14968" t="s">
        <v>15579</v>
      </c>
      <c r="B14968" t="s">
        <v>90</v>
      </c>
      <c r="C14968" t="s">
        <v>617</v>
      </c>
      <c r="D14968">
        <v>178.92</v>
      </c>
      <c r="E14968" s="37" t="str">
        <f t="shared" si="1165"/>
        <v xml:space="preserve"> </v>
      </c>
      <c r="F14968">
        <v>0.39</v>
      </c>
      <c r="G14968" s="37" t="str">
        <f t="shared" si="1166"/>
        <v>Heavy Discount</v>
      </c>
      <c r="H14968" s="37" t="str">
        <f t="shared" si="1167"/>
        <v>Medium</v>
      </c>
      <c r="I14968">
        <v>1</v>
      </c>
      <c r="J14968" t="str" cm="1">
        <f t="array" ref="J14968">_xlfn.IFS(I14968&lt;=3,"small",I14968&lt;=6,"Medium",I14968&lt;=9,"Large")</f>
        <v>small</v>
      </c>
      <c r="K14968" s="36">
        <v>45469</v>
      </c>
      <c r="L14968" s="36">
        <v>45473</v>
      </c>
      <c r="M14968" t="s">
        <v>598</v>
      </c>
      <c r="N14968" t="s">
        <v>604</v>
      </c>
      <c r="O14968" s="37" t="str">
        <f t="shared" si="1168"/>
        <v>Digital Payment</v>
      </c>
      <c r="P14968">
        <v>36.200000000000003</v>
      </c>
      <c r="Q14968" s="37" t="str">
        <f>IF(P14968&gt;500,"High","low")</f>
        <v>low</v>
      </c>
      <c r="R14968" s="37" t="str">
        <f t="shared" si="1169"/>
        <v>AVERAGE</v>
      </c>
      <c r="S14968" t="s">
        <v>615</v>
      </c>
    </row>
    <row r="14969" spans="1:19" x14ac:dyDescent="0.2">
      <c r="A14969" t="s">
        <v>15580</v>
      </c>
      <c r="B14969" t="s">
        <v>75</v>
      </c>
      <c r="C14969" t="s">
        <v>614</v>
      </c>
      <c r="D14969">
        <v>2016.02</v>
      </c>
      <c r="E14969" s="37" t="str">
        <f t="shared" si="1165"/>
        <v xml:space="preserve"> </v>
      </c>
      <c r="F14969">
        <v>0.28999999999999998</v>
      </c>
      <c r="G14969" s="37" t="str">
        <f t="shared" si="1166"/>
        <v>Normal Discount</v>
      </c>
      <c r="H14969" s="37" t="str">
        <f t="shared" si="1167"/>
        <v>Medium</v>
      </c>
      <c r="I14969">
        <v>7</v>
      </c>
      <c r="J14969" t="str" cm="1">
        <f t="array" ref="J14969">_xlfn.IFS(I14969&lt;=3,"small",I14969&lt;=6,"Medium",I14969&lt;=9,"Large")</f>
        <v>Large</v>
      </c>
      <c r="K14969" s="36">
        <v>45644</v>
      </c>
      <c r="L14969" s="36">
        <v>45651</v>
      </c>
      <c r="M14969" t="s">
        <v>612</v>
      </c>
      <c r="N14969" t="s">
        <v>599</v>
      </c>
      <c r="O14969" s="37" t="str">
        <f t="shared" si="1168"/>
        <v>Digital Payment</v>
      </c>
      <c r="P14969">
        <v>474</v>
      </c>
      <c r="Q14969" s="37" t="str">
        <f>IF(P14969&gt;500,"High","low")</f>
        <v>low</v>
      </c>
      <c r="R14969" s="37" t="str">
        <f t="shared" si="1169"/>
        <v>AVERAGE</v>
      </c>
      <c r="S14969" t="s">
        <v>605</v>
      </c>
    </row>
    <row r="14970" spans="1:19" x14ac:dyDescent="0.2">
      <c r="A14970" t="s">
        <v>15581</v>
      </c>
      <c r="B14970" t="s">
        <v>67</v>
      </c>
      <c r="C14970" t="s">
        <v>607</v>
      </c>
      <c r="D14970">
        <v>366.97</v>
      </c>
      <c r="E14970" s="37" t="str">
        <f t="shared" si="1165"/>
        <v xml:space="preserve"> </v>
      </c>
      <c r="F14970">
        <v>0.03</v>
      </c>
      <c r="G14970" s="37" t="str">
        <f t="shared" si="1166"/>
        <v>Normal Discount</v>
      </c>
      <c r="H14970" s="37" t="str">
        <f t="shared" si="1167"/>
        <v>Low</v>
      </c>
      <c r="I14970">
        <v>1</v>
      </c>
      <c r="J14970" t="str" cm="1">
        <f t="array" ref="J14970">_xlfn.IFS(I14970&lt;=3,"small",I14970&lt;=6,"Medium",I14970&lt;=9,"Large")</f>
        <v>small</v>
      </c>
      <c r="K14970" s="36">
        <v>45079</v>
      </c>
      <c r="L14970" s="36">
        <v>45083</v>
      </c>
      <c r="M14970" t="s">
        <v>603</v>
      </c>
      <c r="N14970" t="s">
        <v>604</v>
      </c>
      <c r="O14970" s="37" t="str">
        <f t="shared" si="1168"/>
        <v>Digital Payment</v>
      </c>
      <c r="P14970">
        <v>66.680000000000007</v>
      </c>
      <c r="Q14970" s="37" t="str">
        <f>IF(P14970&gt;500,"High","low")</f>
        <v>low</v>
      </c>
      <c r="R14970" s="37" t="str">
        <f t="shared" si="1169"/>
        <v>AVERAGE</v>
      </c>
      <c r="S14970" t="s">
        <v>615</v>
      </c>
    </row>
    <row r="14971" spans="1:19" x14ac:dyDescent="0.2">
      <c r="A14971" t="s">
        <v>15582</v>
      </c>
      <c r="B14971" t="s">
        <v>75</v>
      </c>
      <c r="C14971" t="s">
        <v>614</v>
      </c>
      <c r="D14971">
        <v>4495.21</v>
      </c>
      <c r="E14971" s="37" t="str">
        <f t="shared" si="1165"/>
        <v xml:space="preserve"> </v>
      </c>
      <c r="F14971">
        <v>0.01</v>
      </c>
      <c r="G14971" s="37" t="str">
        <f t="shared" si="1166"/>
        <v>Normal Discount</v>
      </c>
      <c r="H14971" s="37" t="str">
        <f t="shared" si="1167"/>
        <v>Low</v>
      </c>
      <c r="I14971">
        <v>6</v>
      </c>
      <c r="J14971" t="str" cm="1">
        <f t="array" ref="J14971">_xlfn.IFS(I14971&lt;=3,"small",I14971&lt;=6,"Medium",I14971&lt;=9,"Large")</f>
        <v>Medium</v>
      </c>
      <c r="K14971" s="36">
        <v>45383</v>
      </c>
      <c r="L14971" s="36">
        <v>45386</v>
      </c>
      <c r="M14971" t="s">
        <v>598</v>
      </c>
      <c r="N14971" t="s">
        <v>599</v>
      </c>
      <c r="O14971" s="37" t="str">
        <f t="shared" si="1168"/>
        <v>Digital Payment</v>
      </c>
      <c r="P14971">
        <v>511.17</v>
      </c>
      <c r="Q14971" s="37" t="str">
        <f>IF(P14971&gt;500,"High","low")</f>
        <v>High</v>
      </c>
      <c r="R14971" s="37" t="str">
        <f t="shared" si="1169"/>
        <v>Good</v>
      </c>
      <c r="S14971" t="s">
        <v>628</v>
      </c>
    </row>
    <row r="14972" spans="1:19" x14ac:dyDescent="0.2">
      <c r="A14972" t="s">
        <v>15583</v>
      </c>
      <c r="B14972" t="s">
        <v>75</v>
      </c>
      <c r="C14972" t="s">
        <v>617</v>
      </c>
      <c r="D14972">
        <v>3396.75</v>
      </c>
      <c r="E14972" s="37" t="str">
        <f t="shared" si="1165"/>
        <v xml:space="preserve"> </v>
      </c>
      <c r="F14972">
        <v>0.05</v>
      </c>
      <c r="G14972" s="37" t="str">
        <f t="shared" si="1166"/>
        <v>Normal Discount</v>
      </c>
      <c r="H14972" s="37" t="str">
        <f t="shared" si="1167"/>
        <v>Low</v>
      </c>
      <c r="I14972">
        <v>1</v>
      </c>
      <c r="J14972" t="str" cm="1">
        <f t="array" ref="J14972">_xlfn.IFS(I14972&lt;=3,"small",I14972&lt;=6,"Medium",I14972&lt;=9,"Large")</f>
        <v>small</v>
      </c>
      <c r="K14972" s="36">
        <v>45079</v>
      </c>
      <c r="L14972" s="36">
        <v>45083</v>
      </c>
      <c r="M14972" t="s">
        <v>603</v>
      </c>
      <c r="N14972" t="s">
        <v>599</v>
      </c>
      <c r="O14972" s="37" t="str">
        <f t="shared" si="1168"/>
        <v>Digital Payment</v>
      </c>
      <c r="P14972">
        <v>989.57</v>
      </c>
      <c r="Q14972" s="37" t="str">
        <f>IF(P14972&gt;500,"High","low")</f>
        <v>High</v>
      </c>
      <c r="R14972" s="37" t="str">
        <f t="shared" si="1169"/>
        <v>Good</v>
      </c>
      <c r="S14972" t="s">
        <v>620</v>
      </c>
    </row>
    <row r="14973" spans="1:19" x14ac:dyDescent="0.2">
      <c r="A14973" t="s">
        <v>15584</v>
      </c>
      <c r="B14973" t="s">
        <v>83</v>
      </c>
      <c r="C14973" t="s">
        <v>614</v>
      </c>
      <c r="D14973">
        <v>3980.19</v>
      </c>
      <c r="E14973" s="37" t="str">
        <f t="shared" si="1165"/>
        <v xml:space="preserve"> </v>
      </c>
      <c r="F14973">
        <v>0.16</v>
      </c>
      <c r="G14973" s="37" t="str">
        <f t="shared" si="1166"/>
        <v>Normal Discount</v>
      </c>
      <c r="H14973" s="37" t="str">
        <f t="shared" si="1167"/>
        <v>Low</v>
      </c>
      <c r="I14973">
        <v>9</v>
      </c>
      <c r="J14973" t="str" cm="1">
        <f t="array" ref="J14973">_xlfn.IFS(I14973&lt;=3,"small",I14973&lt;=6,"Medium",I14973&lt;=9,"Large")</f>
        <v>Large</v>
      </c>
      <c r="K14973" s="36">
        <v>45287</v>
      </c>
      <c r="L14973" s="36">
        <v>45292</v>
      </c>
      <c r="M14973" t="s">
        <v>612</v>
      </c>
      <c r="N14973" t="s">
        <v>608</v>
      </c>
      <c r="O14973" s="37" t="str">
        <f t="shared" si="1168"/>
        <v>Cash Payment</v>
      </c>
      <c r="P14973">
        <v>1042.93</v>
      </c>
      <c r="Q14973" s="37" t="str">
        <f>IF(P14973&gt;500,"High","low")</f>
        <v>High</v>
      </c>
      <c r="R14973" s="37" t="str">
        <f t="shared" si="1169"/>
        <v>Excellent</v>
      </c>
      <c r="S14973" t="s">
        <v>615</v>
      </c>
    </row>
    <row r="14974" spans="1:19" x14ac:dyDescent="0.2">
      <c r="A14974" t="s">
        <v>15585</v>
      </c>
      <c r="B14974" t="s">
        <v>75</v>
      </c>
      <c r="C14974" t="s">
        <v>614</v>
      </c>
      <c r="D14974">
        <v>2391.63</v>
      </c>
      <c r="E14974" s="37" t="str">
        <f t="shared" si="1165"/>
        <v xml:space="preserve"> </v>
      </c>
      <c r="F14974">
        <v>0.3</v>
      </c>
      <c r="G14974" s="37" t="str">
        <f t="shared" si="1166"/>
        <v>Normal Discount</v>
      </c>
      <c r="H14974" s="37" t="str">
        <f t="shared" si="1167"/>
        <v>Medium</v>
      </c>
      <c r="I14974">
        <v>3</v>
      </c>
      <c r="J14974" t="str" cm="1">
        <f t="array" ref="J14974">_xlfn.IFS(I14974&lt;=3,"small",I14974&lt;=6,"Medium",I14974&lt;=9,"Large")</f>
        <v>small</v>
      </c>
      <c r="K14974" s="36">
        <v>45612</v>
      </c>
      <c r="L14974" s="36">
        <v>45617</v>
      </c>
      <c r="M14974" t="s">
        <v>612</v>
      </c>
      <c r="N14974" t="s">
        <v>604</v>
      </c>
      <c r="O14974" s="37" t="str">
        <f t="shared" si="1168"/>
        <v>Digital Payment</v>
      </c>
      <c r="P14974">
        <v>664.13</v>
      </c>
      <c r="Q14974" s="37" t="str">
        <f>IF(P14974&gt;500,"High","low")</f>
        <v>High</v>
      </c>
      <c r="R14974" s="37" t="str">
        <f t="shared" si="1169"/>
        <v>Good</v>
      </c>
      <c r="S14974" t="s">
        <v>600</v>
      </c>
    </row>
    <row r="14975" spans="1:19" x14ac:dyDescent="0.2">
      <c r="A14975" t="s">
        <v>15586</v>
      </c>
      <c r="B14975" t="s">
        <v>67</v>
      </c>
      <c r="C14975" t="s">
        <v>617</v>
      </c>
      <c r="D14975">
        <v>4274.3</v>
      </c>
      <c r="E14975" s="37" t="str">
        <f t="shared" si="1165"/>
        <v xml:space="preserve"> </v>
      </c>
      <c r="F14975">
        <v>0.1</v>
      </c>
      <c r="G14975" s="37" t="str">
        <f t="shared" si="1166"/>
        <v>Normal Discount</v>
      </c>
      <c r="H14975" s="37" t="str">
        <f t="shared" si="1167"/>
        <v>Low</v>
      </c>
      <c r="I14975">
        <v>2</v>
      </c>
      <c r="J14975" t="str" cm="1">
        <f t="array" ref="J14975">_xlfn.IFS(I14975&lt;=3,"small",I14975&lt;=6,"Medium",I14975&lt;=9,"Large")</f>
        <v>small</v>
      </c>
      <c r="K14975" s="36">
        <v>45212</v>
      </c>
      <c r="L14975" s="36">
        <v>45215</v>
      </c>
      <c r="M14975" t="s">
        <v>603</v>
      </c>
      <c r="N14975" t="s">
        <v>599</v>
      </c>
      <c r="O14975" s="37" t="str">
        <f t="shared" si="1168"/>
        <v>Digital Payment</v>
      </c>
      <c r="P14975">
        <v>443.29</v>
      </c>
      <c r="Q14975" s="37" t="str">
        <f>IF(P14975&gt;500,"High","low")</f>
        <v>low</v>
      </c>
      <c r="R14975" s="37" t="str">
        <f t="shared" si="1169"/>
        <v>AVERAGE</v>
      </c>
      <c r="S14975" t="s">
        <v>605</v>
      </c>
    </row>
    <row r="14976" spans="1:19" x14ac:dyDescent="0.2">
      <c r="A14976" t="s">
        <v>15587</v>
      </c>
      <c r="B14976" t="s">
        <v>75</v>
      </c>
      <c r="C14976" t="s">
        <v>617</v>
      </c>
      <c r="D14976">
        <v>4377.8999999999996</v>
      </c>
      <c r="E14976" s="37" t="str">
        <f t="shared" si="1165"/>
        <v>Excellent Order</v>
      </c>
      <c r="F14976">
        <v>0.03</v>
      </c>
      <c r="G14976" s="37" t="str">
        <f t="shared" si="1166"/>
        <v>Normal Discount</v>
      </c>
      <c r="H14976" s="37" t="str">
        <f t="shared" si="1167"/>
        <v>Low</v>
      </c>
      <c r="I14976">
        <v>7</v>
      </c>
      <c r="J14976" t="str" cm="1">
        <f t="array" ref="J14976">_xlfn.IFS(I14976&lt;=3,"small",I14976&lt;=6,"Medium",I14976&lt;=9,"Large")</f>
        <v>Large</v>
      </c>
      <c r="K14976" s="36">
        <v>45330</v>
      </c>
      <c r="L14976" s="36">
        <v>45336</v>
      </c>
      <c r="M14976" t="s">
        <v>598</v>
      </c>
      <c r="N14976" t="s">
        <v>599</v>
      </c>
      <c r="O14976" s="37" t="str">
        <f t="shared" si="1168"/>
        <v>Digital Payment</v>
      </c>
      <c r="P14976">
        <v>982.3</v>
      </c>
      <c r="Q14976" s="37" t="str">
        <f>IF(P14976&gt;500,"High","low")</f>
        <v>High</v>
      </c>
      <c r="R14976" s="37" t="str">
        <f t="shared" si="1169"/>
        <v>Good</v>
      </c>
      <c r="S14976" t="s">
        <v>615</v>
      </c>
    </row>
    <row r="14977" spans="1:19" x14ac:dyDescent="0.2">
      <c r="A14977" t="s">
        <v>15588</v>
      </c>
      <c r="B14977" t="s">
        <v>67</v>
      </c>
      <c r="C14977" t="s">
        <v>607</v>
      </c>
      <c r="D14977">
        <v>1848.41</v>
      </c>
      <c r="E14977" s="37" t="str">
        <f t="shared" si="1165"/>
        <v xml:space="preserve"> </v>
      </c>
      <c r="F14977">
        <v>0.05</v>
      </c>
      <c r="G14977" s="37" t="str">
        <f t="shared" si="1166"/>
        <v>Normal Discount</v>
      </c>
      <c r="H14977" s="37" t="str">
        <f t="shared" si="1167"/>
        <v>Low</v>
      </c>
      <c r="I14977">
        <v>1</v>
      </c>
      <c r="J14977" t="str" cm="1">
        <f t="array" ref="J14977">_xlfn.IFS(I14977&lt;=3,"small",I14977&lt;=6,"Medium",I14977&lt;=9,"Large")</f>
        <v>small</v>
      </c>
      <c r="K14977" s="36">
        <v>45205</v>
      </c>
      <c r="L14977" s="36">
        <v>45210</v>
      </c>
      <c r="M14977" t="s">
        <v>603</v>
      </c>
      <c r="N14977" t="s">
        <v>604</v>
      </c>
      <c r="O14977" s="37" t="str">
        <f t="shared" si="1168"/>
        <v>Digital Payment</v>
      </c>
      <c r="P14977">
        <v>345.64</v>
      </c>
      <c r="Q14977" s="37" t="str">
        <f>IF(P14977&gt;500,"High","low")</f>
        <v>low</v>
      </c>
      <c r="R14977" s="37" t="str">
        <f t="shared" si="1169"/>
        <v>AVERAGE</v>
      </c>
      <c r="S14977" t="s">
        <v>628</v>
      </c>
    </row>
    <row r="14978" spans="1:19" x14ac:dyDescent="0.2">
      <c r="A14978" t="s">
        <v>15589</v>
      </c>
      <c r="B14978" t="s">
        <v>90</v>
      </c>
      <c r="C14978" t="s">
        <v>617</v>
      </c>
      <c r="D14978">
        <v>1946.59</v>
      </c>
      <c r="E14978" s="37" t="str">
        <f t="shared" si="1165"/>
        <v xml:space="preserve"> </v>
      </c>
      <c r="F14978">
        <v>0.21</v>
      </c>
      <c r="G14978" s="37" t="str">
        <f t="shared" si="1166"/>
        <v>Normal Discount</v>
      </c>
      <c r="H14978" s="37" t="str">
        <f t="shared" si="1167"/>
        <v>Medium</v>
      </c>
      <c r="I14978">
        <v>7</v>
      </c>
      <c r="J14978" t="str" cm="1">
        <f t="array" ref="J14978">_xlfn.IFS(I14978&lt;=3,"small",I14978&lt;=6,"Medium",I14978&lt;=9,"Large")</f>
        <v>Large</v>
      </c>
      <c r="K14978" s="36">
        <v>45053</v>
      </c>
      <c r="L14978" s="36">
        <v>45059</v>
      </c>
      <c r="M14978" t="s">
        <v>612</v>
      </c>
      <c r="N14978" t="s">
        <v>599</v>
      </c>
      <c r="O14978" s="37" t="str">
        <f t="shared" si="1168"/>
        <v>Digital Payment</v>
      </c>
      <c r="P14978">
        <v>201.81</v>
      </c>
      <c r="Q14978" s="37" t="str">
        <f>IF(P14978&gt;500,"High","low")</f>
        <v>low</v>
      </c>
      <c r="R14978" s="37" t="str">
        <f t="shared" si="1169"/>
        <v>AVERAGE</v>
      </c>
      <c r="S14978" t="s">
        <v>600</v>
      </c>
    </row>
    <row r="14979" spans="1:19" x14ac:dyDescent="0.2">
      <c r="A14979" t="s">
        <v>15590</v>
      </c>
      <c r="B14979" t="s">
        <v>75</v>
      </c>
      <c r="C14979" t="s">
        <v>607</v>
      </c>
      <c r="D14979">
        <v>2590.38</v>
      </c>
      <c r="E14979" s="37" t="str">
        <f t="shared" ref="E14979:E15042" si="1170">IF(AND(D14979&gt;4000,P14979&gt;800),"Excellent Order"," ")</f>
        <v xml:space="preserve"> </v>
      </c>
      <c r="F14979">
        <v>0.39</v>
      </c>
      <c r="G14979" s="37" t="str">
        <f t="shared" ref="G14979:G15042" si="1171">IF(F14979&gt;30%,"Heavy Discount","Normal Discount")</f>
        <v>Heavy Discount</v>
      </c>
      <c r="H14979" s="37" t="str">
        <f t="shared" ref="H14979:H15042" si="1172">IF(F14979&gt;0.4,"High",IF(F14979&gt;=0.2,"Medium","Low"))</f>
        <v>Medium</v>
      </c>
      <c r="I14979">
        <v>9</v>
      </c>
      <c r="J14979" t="str" cm="1">
        <f t="array" ref="J14979">_xlfn.IFS(I14979&lt;=3,"small",I14979&lt;=6,"Medium",I14979&lt;=9,"Large")</f>
        <v>Large</v>
      </c>
      <c r="K14979" s="36">
        <v>45311</v>
      </c>
      <c r="L14979" s="36">
        <v>45316</v>
      </c>
      <c r="M14979" t="s">
        <v>603</v>
      </c>
      <c r="N14979" t="s">
        <v>604</v>
      </c>
      <c r="O14979" s="37" t="str">
        <f t="shared" ref="O14979:O15042" si="1173">IF(OR(N14979="Card",N14979="UPI"),"Digital Payment","Cash Payment")</f>
        <v>Digital Payment</v>
      </c>
      <c r="P14979">
        <v>658.91</v>
      </c>
      <c r="Q14979" s="37" t="str">
        <f>IF(P14979&gt;500,"High","low")</f>
        <v>High</v>
      </c>
      <c r="R14979" s="37" t="str">
        <f t="shared" ref="R14979:R15042" si="1174">IF(P14979&gt;1000,"Excellent",IF(P14979&gt;=500,"Good","AVERAGE"))</f>
        <v>Good</v>
      </c>
      <c r="S14979" t="s">
        <v>620</v>
      </c>
    </row>
    <row r="14980" spans="1:19" x14ac:dyDescent="0.2">
      <c r="A14980" t="s">
        <v>15591</v>
      </c>
      <c r="B14980" t="s">
        <v>67</v>
      </c>
      <c r="C14980" t="s">
        <v>602</v>
      </c>
      <c r="D14980">
        <v>306.99</v>
      </c>
      <c r="E14980" s="37" t="str">
        <f t="shared" si="1170"/>
        <v xml:space="preserve"> </v>
      </c>
      <c r="F14980">
        <v>0.41</v>
      </c>
      <c r="G14980" s="37" t="str">
        <f t="shared" si="1171"/>
        <v>Heavy Discount</v>
      </c>
      <c r="H14980" s="37" t="str">
        <f t="shared" si="1172"/>
        <v>High</v>
      </c>
      <c r="I14980">
        <v>4</v>
      </c>
      <c r="J14980" t="str" cm="1">
        <f t="array" ref="J14980">_xlfn.IFS(I14980&lt;=3,"small",I14980&lt;=6,"Medium",I14980&lt;=9,"Large")</f>
        <v>Medium</v>
      </c>
      <c r="K14980" s="36">
        <v>45069</v>
      </c>
      <c r="L14980" s="36">
        <v>45076</v>
      </c>
      <c r="M14980" t="s">
        <v>598</v>
      </c>
      <c r="N14980" t="s">
        <v>608</v>
      </c>
      <c r="O14980" s="37" t="str">
        <f t="shared" si="1173"/>
        <v>Cash Payment</v>
      </c>
      <c r="P14980">
        <v>15.59</v>
      </c>
      <c r="Q14980" s="37" t="str">
        <f>IF(P14980&gt;500,"High","low")</f>
        <v>low</v>
      </c>
      <c r="R14980" s="37" t="str">
        <f t="shared" si="1174"/>
        <v>AVERAGE</v>
      </c>
      <c r="S14980" t="s">
        <v>620</v>
      </c>
    </row>
    <row r="14981" spans="1:19" x14ac:dyDescent="0.2">
      <c r="A14981" t="s">
        <v>15592</v>
      </c>
      <c r="B14981" t="s">
        <v>90</v>
      </c>
      <c r="C14981" t="s">
        <v>602</v>
      </c>
      <c r="D14981">
        <v>4979.26</v>
      </c>
      <c r="E14981" s="37" t="str">
        <f t="shared" si="1170"/>
        <v xml:space="preserve"> </v>
      </c>
      <c r="F14981">
        <v>0.15</v>
      </c>
      <c r="G14981" s="37" t="str">
        <f t="shared" si="1171"/>
        <v>Normal Discount</v>
      </c>
      <c r="H14981" s="37" t="str">
        <f t="shared" si="1172"/>
        <v>Low</v>
      </c>
      <c r="I14981">
        <v>2</v>
      </c>
      <c r="J14981" t="str" cm="1">
        <f t="array" ref="J14981">_xlfn.IFS(I14981&lt;=3,"small",I14981&lt;=6,"Medium",I14981&lt;=9,"Large")</f>
        <v>small</v>
      </c>
      <c r="K14981" s="36">
        <v>44947</v>
      </c>
      <c r="L14981" s="36">
        <v>44950</v>
      </c>
      <c r="M14981" t="s">
        <v>612</v>
      </c>
      <c r="N14981" t="s">
        <v>604</v>
      </c>
      <c r="O14981" s="37" t="str">
        <f t="shared" si="1173"/>
        <v>Digital Payment</v>
      </c>
      <c r="P14981">
        <v>462.37</v>
      </c>
      <c r="Q14981" s="37" t="str">
        <f>IF(P14981&gt;500,"High","low")</f>
        <v>low</v>
      </c>
      <c r="R14981" s="37" t="str">
        <f t="shared" si="1174"/>
        <v>AVERAGE</v>
      </c>
      <c r="S14981" t="s">
        <v>628</v>
      </c>
    </row>
    <row r="14982" spans="1:19" x14ac:dyDescent="0.2">
      <c r="A14982" t="s">
        <v>15593</v>
      </c>
      <c r="B14982" t="s">
        <v>67</v>
      </c>
      <c r="C14982" t="s">
        <v>617</v>
      </c>
      <c r="D14982">
        <v>1859.99</v>
      </c>
      <c r="E14982" s="37" t="str">
        <f t="shared" si="1170"/>
        <v xml:space="preserve"> </v>
      </c>
      <c r="F14982">
        <v>0.33</v>
      </c>
      <c r="G14982" s="37" t="str">
        <f t="shared" si="1171"/>
        <v>Heavy Discount</v>
      </c>
      <c r="H14982" s="37" t="str">
        <f t="shared" si="1172"/>
        <v>Medium</v>
      </c>
      <c r="I14982">
        <v>4</v>
      </c>
      <c r="J14982" t="str" cm="1">
        <f t="array" ref="J14982">_xlfn.IFS(I14982&lt;=3,"small",I14982&lt;=6,"Medium",I14982&lt;=9,"Large")</f>
        <v>Medium</v>
      </c>
      <c r="K14982" s="36">
        <v>45212</v>
      </c>
      <c r="L14982" s="36">
        <v>45219</v>
      </c>
      <c r="M14982" t="s">
        <v>603</v>
      </c>
      <c r="N14982" t="s">
        <v>608</v>
      </c>
      <c r="O14982" s="37" t="str">
        <f t="shared" si="1173"/>
        <v>Cash Payment</v>
      </c>
      <c r="P14982">
        <v>170.36</v>
      </c>
      <c r="Q14982" s="37" t="str">
        <f>IF(P14982&gt;500,"High","low")</f>
        <v>low</v>
      </c>
      <c r="R14982" s="37" t="str">
        <f t="shared" si="1174"/>
        <v>AVERAGE</v>
      </c>
      <c r="S14982" t="s">
        <v>615</v>
      </c>
    </row>
    <row r="14983" spans="1:19" x14ac:dyDescent="0.2">
      <c r="A14983" t="s">
        <v>15594</v>
      </c>
      <c r="B14983" t="s">
        <v>90</v>
      </c>
      <c r="C14983" t="s">
        <v>614</v>
      </c>
      <c r="D14983">
        <v>2407.13</v>
      </c>
      <c r="E14983" s="37" t="str">
        <f t="shared" si="1170"/>
        <v xml:space="preserve"> </v>
      </c>
      <c r="F14983">
        <v>0.2</v>
      </c>
      <c r="G14983" s="37" t="str">
        <f t="shared" si="1171"/>
        <v>Normal Discount</v>
      </c>
      <c r="H14983" s="37" t="str">
        <f t="shared" si="1172"/>
        <v>Medium</v>
      </c>
      <c r="I14983">
        <v>9</v>
      </c>
      <c r="J14983" t="str" cm="1">
        <f t="array" ref="J14983">_xlfn.IFS(I14983&lt;=3,"small",I14983&lt;=6,"Medium",I14983&lt;=9,"Large")</f>
        <v>Large</v>
      </c>
      <c r="K14983" s="36">
        <v>45181</v>
      </c>
      <c r="L14983" s="36">
        <v>45187</v>
      </c>
      <c r="M14983" t="s">
        <v>603</v>
      </c>
      <c r="N14983" t="s">
        <v>604</v>
      </c>
      <c r="O14983" s="37" t="str">
        <f t="shared" si="1173"/>
        <v>Digital Payment</v>
      </c>
      <c r="P14983">
        <v>469.62</v>
      </c>
      <c r="Q14983" s="37" t="str">
        <f>IF(P14983&gt;500,"High","low")</f>
        <v>low</v>
      </c>
      <c r="R14983" s="37" t="str">
        <f t="shared" si="1174"/>
        <v>AVERAGE</v>
      </c>
      <c r="S14983" t="s">
        <v>620</v>
      </c>
    </row>
    <row r="14984" spans="1:19" x14ac:dyDescent="0.2">
      <c r="A14984" t="s">
        <v>15595</v>
      </c>
      <c r="B14984" t="s">
        <v>83</v>
      </c>
      <c r="C14984" t="s">
        <v>597</v>
      </c>
      <c r="D14984">
        <v>3798.31</v>
      </c>
      <c r="E14984" s="37" t="str">
        <f t="shared" si="1170"/>
        <v xml:space="preserve"> </v>
      </c>
      <c r="F14984">
        <v>0.49</v>
      </c>
      <c r="G14984" s="37" t="str">
        <f t="shared" si="1171"/>
        <v>Heavy Discount</v>
      </c>
      <c r="H14984" s="37" t="str">
        <f t="shared" si="1172"/>
        <v>High</v>
      </c>
      <c r="I14984">
        <v>8</v>
      </c>
      <c r="J14984" t="str" cm="1">
        <f t="array" ref="J14984">_xlfn.IFS(I14984&lt;=3,"small",I14984&lt;=6,"Medium",I14984&lt;=9,"Large")</f>
        <v>Large</v>
      </c>
      <c r="K14984" s="36">
        <v>45449</v>
      </c>
      <c r="L14984" s="36">
        <v>45455</v>
      </c>
      <c r="M14984" t="s">
        <v>603</v>
      </c>
      <c r="N14984" t="s">
        <v>608</v>
      </c>
      <c r="O14984" s="37" t="str">
        <f t="shared" si="1173"/>
        <v>Cash Payment</v>
      </c>
      <c r="P14984">
        <v>675.41</v>
      </c>
      <c r="Q14984" s="37" t="str">
        <f>IF(P14984&gt;500,"High","low")</f>
        <v>High</v>
      </c>
      <c r="R14984" s="37" t="str">
        <f t="shared" si="1174"/>
        <v>Good</v>
      </c>
      <c r="S14984" t="s">
        <v>609</v>
      </c>
    </row>
    <row r="14985" spans="1:19" x14ac:dyDescent="0.2">
      <c r="A14985" t="s">
        <v>15596</v>
      </c>
      <c r="B14985" t="s">
        <v>75</v>
      </c>
      <c r="C14985" t="s">
        <v>614</v>
      </c>
      <c r="D14985">
        <v>1557.82</v>
      </c>
      <c r="E14985" s="37" t="str">
        <f t="shared" si="1170"/>
        <v xml:space="preserve"> </v>
      </c>
      <c r="F14985">
        <v>0.2</v>
      </c>
      <c r="G14985" s="37" t="str">
        <f t="shared" si="1171"/>
        <v>Normal Discount</v>
      </c>
      <c r="H14985" s="37" t="str">
        <f t="shared" si="1172"/>
        <v>Medium</v>
      </c>
      <c r="I14985">
        <v>5</v>
      </c>
      <c r="J14985" t="str" cm="1">
        <f t="array" ref="J14985">_xlfn.IFS(I14985&lt;=3,"small",I14985&lt;=6,"Medium",I14985&lt;=9,"Large")</f>
        <v>Medium</v>
      </c>
      <c r="K14985" s="36">
        <v>45040</v>
      </c>
      <c r="L14985" s="36">
        <v>45046</v>
      </c>
      <c r="M14985" t="s">
        <v>598</v>
      </c>
      <c r="N14985" t="s">
        <v>599</v>
      </c>
      <c r="O14985" s="37" t="str">
        <f t="shared" si="1173"/>
        <v>Digital Payment</v>
      </c>
      <c r="P14985">
        <v>439.84</v>
      </c>
      <c r="Q14985" s="37" t="str">
        <f>IF(P14985&gt;500,"High","low")</f>
        <v>low</v>
      </c>
      <c r="R14985" s="37" t="str">
        <f t="shared" si="1174"/>
        <v>AVERAGE</v>
      </c>
      <c r="S14985" t="s">
        <v>615</v>
      </c>
    </row>
    <row r="14986" spans="1:19" x14ac:dyDescent="0.2">
      <c r="A14986" t="s">
        <v>15597</v>
      </c>
      <c r="B14986" t="s">
        <v>75</v>
      </c>
      <c r="C14986" t="s">
        <v>617</v>
      </c>
      <c r="D14986">
        <v>1087.99</v>
      </c>
      <c r="E14986" s="37" t="str">
        <f t="shared" si="1170"/>
        <v xml:space="preserve"> </v>
      </c>
      <c r="F14986">
        <v>0.2</v>
      </c>
      <c r="G14986" s="37" t="str">
        <f t="shared" si="1171"/>
        <v>Normal Discount</v>
      </c>
      <c r="H14986" s="37" t="str">
        <f t="shared" si="1172"/>
        <v>Medium</v>
      </c>
      <c r="I14986">
        <v>8</v>
      </c>
      <c r="J14986" t="str" cm="1">
        <f t="array" ref="J14986">_xlfn.IFS(I14986&lt;=3,"small",I14986&lt;=6,"Medium",I14986&lt;=9,"Large")</f>
        <v>Large</v>
      </c>
      <c r="K14986" s="36">
        <v>45144</v>
      </c>
      <c r="L14986" s="36">
        <v>45147</v>
      </c>
      <c r="M14986" t="s">
        <v>603</v>
      </c>
      <c r="N14986" t="s">
        <v>608</v>
      </c>
      <c r="O14986" s="37" t="str">
        <f t="shared" si="1173"/>
        <v>Cash Payment</v>
      </c>
      <c r="P14986">
        <v>279.81</v>
      </c>
      <c r="Q14986" s="37" t="str">
        <f>IF(P14986&gt;500,"High","low")</f>
        <v>low</v>
      </c>
      <c r="R14986" s="37" t="str">
        <f t="shared" si="1174"/>
        <v>AVERAGE</v>
      </c>
      <c r="S14986" t="s">
        <v>605</v>
      </c>
    </row>
    <row r="14987" spans="1:19" x14ac:dyDescent="0.2">
      <c r="A14987" t="s">
        <v>15598</v>
      </c>
      <c r="B14987" t="s">
        <v>90</v>
      </c>
      <c r="C14987" t="s">
        <v>607</v>
      </c>
      <c r="D14987">
        <v>724.51</v>
      </c>
      <c r="E14987" s="37" t="str">
        <f t="shared" si="1170"/>
        <v xml:space="preserve"> </v>
      </c>
      <c r="F14987">
        <v>0.25</v>
      </c>
      <c r="G14987" s="37" t="str">
        <f t="shared" si="1171"/>
        <v>Normal Discount</v>
      </c>
      <c r="H14987" s="37" t="str">
        <f t="shared" si="1172"/>
        <v>Medium</v>
      </c>
      <c r="I14987">
        <v>7</v>
      </c>
      <c r="J14987" t="str" cm="1">
        <f t="array" ref="J14987">_xlfn.IFS(I14987&lt;=3,"small",I14987&lt;=6,"Medium",I14987&lt;=9,"Large")</f>
        <v>Large</v>
      </c>
      <c r="K14987" s="36">
        <v>45575</v>
      </c>
      <c r="L14987" s="36">
        <v>45578</v>
      </c>
      <c r="M14987" t="s">
        <v>603</v>
      </c>
      <c r="N14987" t="s">
        <v>604</v>
      </c>
      <c r="O14987" s="37" t="str">
        <f t="shared" si="1173"/>
        <v>Digital Payment</v>
      </c>
      <c r="P14987">
        <v>96.01</v>
      </c>
      <c r="Q14987" s="37" t="str">
        <f>IF(P14987&gt;500,"High","low")</f>
        <v>low</v>
      </c>
      <c r="R14987" s="37" t="str">
        <f t="shared" si="1174"/>
        <v>AVERAGE</v>
      </c>
      <c r="S14987" t="s">
        <v>600</v>
      </c>
    </row>
    <row r="14988" spans="1:19" x14ac:dyDescent="0.2">
      <c r="A14988" t="s">
        <v>15599</v>
      </c>
      <c r="B14988" t="s">
        <v>83</v>
      </c>
      <c r="C14988" t="s">
        <v>614</v>
      </c>
      <c r="D14988">
        <v>2687.28</v>
      </c>
      <c r="E14988" s="37" t="str">
        <f t="shared" si="1170"/>
        <v xml:space="preserve"> </v>
      </c>
      <c r="F14988">
        <v>0.01</v>
      </c>
      <c r="G14988" s="37" t="str">
        <f t="shared" si="1171"/>
        <v>Normal Discount</v>
      </c>
      <c r="H14988" s="37" t="str">
        <f t="shared" si="1172"/>
        <v>Low</v>
      </c>
      <c r="I14988">
        <v>4</v>
      </c>
      <c r="J14988" t="str" cm="1">
        <f t="array" ref="J14988">_xlfn.IFS(I14988&lt;=3,"small",I14988&lt;=6,"Medium",I14988&lt;=9,"Large")</f>
        <v>Medium</v>
      </c>
      <c r="K14988" s="36">
        <v>45507</v>
      </c>
      <c r="L14988" s="36">
        <v>45512</v>
      </c>
      <c r="M14988" t="s">
        <v>603</v>
      </c>
      <c r="N14988" t="s">
        <v>599</v>
      </c>
      <c r="O14988" s="37" t="str">
        <f t="shared" si="1173"/>
        <v>Digital Payment</v>
      </c>
      <c r="P14988">
        <v>489.44</v>
      </c>
      <c r="Q14988" s="37" t="str">
        <f>IF(P14988&gt;500,"High","low")</f>
        <v>low</v>
      </c>
      <c r="R14988" s="37" t="str">
        <f t="shared" si="1174"/>
        <v>AVERAGE</v>
      </c>
      <c r="S14988" t="s">
        <v>628</v>
      </c>
    </row>
    <row r="14989" spans="1:19" x14ac:dyDescent="0.2">
      <c r="A14989" t="s">
        <v>15600</v>
      </c>
      <c r="B14989" t="s">
        <v>67</v>
      </c>
      <c r="C14989" t="s">
        <v>602</v>
      </c>
      <c r="D14989">
        <v>126.94</v>
      </c>
      <c r="E14989" s="37" t="str">
        <f t="shared" si="1170"/>
        <v xml:space="preserve"> </v>
      </c>
      <c r="F14989">
        <v>0.21</v>
      </c>
      <c r="G14989" s="37" t="str">
        <f t="shared" si="1171"/>
        <v>Normal Discount</v>
      </c>
      <c r="H14989" s="37" t="str">
        <f t="shared" si="1172"/>
        <v>Medium</v>
      </c>
      <c r="I14989">
        <v>3</v>
      </c>
      <c r="J14989" t="str" cm="1">
        <f t="array" ref="J14989">_xlfn.IFS(I14989&lt;=3,"small",I14989&lt;=6,"Medium",I14989&lt;=9,"Large")</f>
        <v>small</v>
      </c>
      <c r="K14989" s="36">
        <v>45485</v>
      </c>
      <c r="L14989" s="36">
        <v>45488</v>
      </c>
      <c r="M14989" t="s">
        <v>598</v>
      </c>
      <c r="N14989" t="s">
        <v>599</v>
      </c>
      <c r="O14989" s="37" t="str">
        <f t="shared" si="1173"/>
        <v>Digital Payment</v>
      </c>
      <c r="P14989">
        <v>16.190000000000001</v>
      </c>
      <c r="Q14989" s="37" t="str">
        <f>IF(P14989&gt;500,"High","low")</f>
        <v>low</v>
      </c>
      <c r="R14989" s="37" t="str">
        <f t="shared" si="1174"/>
        <v>AVERAGE</v>
      </c>
      <c r="S14989" t="s">
        <v>628</v>
      </c>
    </row>
    <row r="14990" spans="1:19" x14ac:dyDescent="0.2">
      <c r="A14990" t="s">
        <v>15601</v>
      </c>
      <c r="B14990" t="s">
        <v>83</v>
      </c>
      <c r="C14990" t="s">
        <v>617</v>
      </c>
      <c r="D14990">
        <v>3576.65</v>
      </c>
      <c r="E14990" s="37" t="str">
        <f t="shared" si="1170"/>
        <v xml:space="preserve"> </v>
      </c>
      <c r="F14990">
        <v>0.41</v>
      </c>
      <c r="G14990" s="37" t="str">
        <f t="shared" si="1171"/>
        <v>Heavy Discount</v>
      </c>
      <c r="H14990" s="37" t="str">
        <f t="shared" si="1172"/>
        <v>High</v>
      </c>
      <c r="I14990">
        <v>1</v>
      </c>
      <c r="J14990" t="str" cm="1">
        <f t="array" ref="J14990">_xlfn.IFS(I14990&lt;=3,"small",I14990&lt;=6,"Medium",I14990&lt;=9,"Large")</f>
        <v>small</v>
      </c>
      <c r="K14990" s="36">
        <v>45165</v>
      </c>
      <c r="L14990" s="36">
        <v>45171</v>
      </c>
      <c r="M14990" t="s">
        <v>603</v>
      </c>
      <c r="N14990" t="s">
        <v>604</v>
      </c>
      <c r="O14990" s="37" t="str">
        <f t="shared" si="1173"/>
        <v>Digital Payment</v>
      </c>
      <c r="P14990">
        <v>358.46</v>
      </c>
      <c r="Q14990" s="37" t="str">
        <f>IF(P14990&gt;500,"High","low")</f>
        <v>low</v>
      </c>
      <c r="R14990" s="37" t="str">
        <f t="shared" si="1174"/>
        <v>AVERAGE</v>
      </c>
      <c r="S14990" t="s">
        <v>600</v>
      </c>
    </row>
    <row r="14991" spans="1:19" x14ac:dyDescent="0.2">
      <c r="A14991" t="s">
        <v>15602</v>
      </c>
      <c r="B14991" t="s">
        <v>67</v>
      </c>
      <c r="C14991" t="s">
        <v>614</v>
      </c>
      <c r="D14991">
        <v>2360.81</v>
      </c>
      <c r="E14991" s="37" t="str">
        <f t="shared" si="1170"/>
        <v xml:space="preserve"> </v>
      </c>
      <c r="F14991">
        <v>0.31</v>
      </c>
      <c r="G14991" s="37" t="str">
        <f t="shared" si="1171"/>
        <v>Heavy Discount</v>
      </c>
      <c r="H14991" s="37" t="str">
        <f t="shared" si="1172"/>
        <v>Medium</v>
      </c>
      <c r="I14991">
        <v>3</v>
      </c>
      <c r="J14991" t="str" cm="1">
        <f t="array" ref="J14991">_xlfn.IFS(I14991&lt;=3,"small",I14991&lt;=6,"Medium",I14991&lt;=9,"Large")</f>
        <v>small</v>
      </c>
      <c r="K14991" s="36">
        <v>45600</v>
      </c>
      <c r="L14991" s="36">
        <v>45601</v>
      </c>
      <c r="M14991" t="s">
        <v>598</v>
      </c>
      <c r="N14991" t="s">
        <v>604</v>
      </c>
      <c r="O14991" s="37" t="str">
        <f t="shared" si="1173"/>
        <v>Digital Payment</v>
      </c>
      <c r="P14991">
        <v>478.55</v>
      </c>
      <c r="Q14991" s="37" t="str">
        <f>IF(P14991&gt;500,"High","low")</f>
        <v>low</v>
      </c>
      <c r="R14991" s="37" t="str">
        <f t="shared" si="1174"/>
        <v>AVERAGE</v>
      </c>
      <c r="S14991" t="s">
        <v>615</v>
      </c>
    </row>
    <row r="14992" spans="1:19" x14ac:dyDescent="0.2">
      <c r="A14992" t="s">
        <v>15603</v>
      </c>
      <c r="B14992" t="s">
        <v>67</v>
      </c>
      <c r="C14992" t="s">
        <v>614</v>
      </c>
      <c r="D14992">
        <v>2705.93</v>
      </c>
      <c r="E14992" s="37" t="str">
        <f t="shared" si="1170"/>
        <v xml:space="preserve"> </v>
      </c>
      <c r="F14992">
        <v>0.48</v>
      </c>
      <c r="G14992" s="37" t="str">
        <f t="shared" si="1171"/>
        <v>Heavy Discount</v>
      </c>
      <c r="H14992" s="37" t="str">
        <f t="shared" si="1172"/>
        <v>High</v>
      </c>
      <c r="I14992">
        <v>8</v>
      </c>
      <c r="J14992" t="str" cm="1">
        <f t="array" ref="J14992">_xlfn.IFS(I14992&lt;=3,"small",I14992&lt;=6,"Medium",I14992&lt;=9,"Large")</f>
        <v>Large</v>
      </c>
      <c r="K14992" s="36">
        <v>45471</v>
      </c>
      <c r="L14992" s="36">
        <v>45473</v>
      </c>
      <c r="M14992" t="s">
        <v>598</v>
      </c>
      <c r="N14992" t="s">
        <v>599</v>
      </c>
      <c r="O14992" s="37" t="str">
        <f t="shared" si="1173"/>
        <v>Digital Payment</v>
      </c>
      <c r="P14992">
        <v>693.64</v>
      </c>
      <c r="Q14992" s="37" t="str">
        <f>IF(P14992&gt;500,"High","low")</f>
        <v>High</v>
      </c>
      <c r="R14992" s="37" t="str">
        <f t="shared" si="1174"/>
        <v>Good</v>
      </c>
      <c r="S14992" t="s">
        <v>605</v>
      </c>
    </row>
    <row r="14993" spans="1:19" x14ac:dyDescent="0.2">
      <c r="A14993" t="s">
        <v>15604</v>
      </c>
      <c r="B14993" t="s">
        <v>75</v>
      </c>
      <c r="C14993" t="s">
        <v>607</v>
      </c>
      <c r="D14993">
        <v>1389.7</v>
      </c>
      <c r="E14993" s="37" t="str">
        <f t="shared" si="1170"/>
        <v xml:space="preserve"> </v>
      </c>
      <c r="F14993">
        <v>0.16</v>
      </c>
      <c r="G14993" s="37" t="str">
        <f t="shared" si="1171"/>
        <v>Normal Discount</v>
      </c>
      <c r="H14993" s="37" t="str">
        <f t="shared" si="1172"/>
        <v>Low</v>
      </c>
      <c r="I14993">
        <v>9</v>
      </c>
      <c r="J14993" t="str" cm="1">
        <f t="array" ref="J14993">_xlfn.IFS(I14993&lt;=3,"small",I14993&lt;=6,"Medium",I14993&lt;=9,"Large")</f>
        <v>Large</v>
      </c>
      <c r="K14993" s="36">
        <v>45408</v>
      </c>
      <c r="L14993" s="36">
        <v>45411</v>
      </c>
      <c r="M14993" t="s">
        <v>612</v>
      </c>
      <c r="N14993" t="s">
        <v>599</v>
      </c>
      <c r="O14993" s="37" t="str">
        <f t="shared" si="1173"/>
        <v>Digital Payment</v>
      </c>
      <c r="P14993">
        <v>79.91</v>
      </c>
      <c r="Q14993" s="37" t="str">
        <f>IF(P14993&gt;500,"High","low")</f>
        <v>low</v>
      </c>
      <c r="R14993" s="37" t="str">
        <f t="shared" si="1174"/>
        <v>AVERAGE</v>
      </c>
      <c r="S14993" t="s">
        <v>600</v>
      </c>
    </row>
    <row r="14994" spans="1:19" x14ac:dyDescent="0.2">
      <c r="A14994" t="s">
        <v>15605</v>
      </c>
      <c r="B14994" t="s">
        <v>90</v>
      </c>
      <c r="C14994" t="s">
        <v>607</v>
      </c>
      <c r="D14994">
        <v>973.44</v>
      </c>
      <c r="E14994" s="37" t="str">
        <f t="shared" si="1170"/>
        <v xml:space="preserve"> </v>
      </c>
      <c r="F14994">
        <v>0.08</v>
      </c>
      <c r="G14994" s="37" t="str">
        <f t="shared" si="1171"/>
        <v>Normal Discount</v>
      </c>
      <c r="H14994" s="37" t="str">
        <f t="shared" si="1172"/>
        <v>Low</v>
      </c>
      <c r="I14994">
        <v>9</v>
      </c>
      <c r="J14994" t="str" cm="1">
        <f t="array" ref="J14994">_xlfn.IFS(I14994&lt;=3,"small",I14994&lt;=6,"Medium",I14994&lt;=9,"Large")</f>
        <v>Large</v>
      </c>
      <c r="K14994" s="36">
        <v>44991</v>
      </c>
      <c r="L14994" s="36">
        <v>44997</v>
      </c>
      <c r="M14994" t="s">
        <v>612</v>
      </c>
      <c r="N14994" t="s">
        <v>604</v>
      </c>
      <c r="O14994" s="37" t="str">
        <f t="shared" si="1173"/>
        <v>Digital Payment</v>
      </c>
      <c r="P14994">
        <v>60.65</v>
      </c>
      <c r="Q14994" s="37" t="str">
        <f>IF(P14994&gt;500,"High","low")</f>
        <v>low</v>
      </c>
      <c r="R14994" s="37" t="str">
        <f t="shared" si="1174"/>
        <v>AVERAGE</v>
      </c>
      <c r="S14994" t="s">
        <v>600</v>
      </c>
    </row>
    <row r="14995" spans="1:19" x14ac:dyDescent="0.2">
      <c r="A14995" t="s">
        <v>15606</v>
      </c>
      <c r="B14995" t="s">
        <v>75</v>
      </c>
      <c r="C14995" t="s">
        <v>607</v>
      </c>
      <c r="D14995">
        <v>3529.95</v>
      </c>
      <c r="E14995" s="37" t="str">
        <f t="shared" si="1170"/>
        <v xml:space="preserve"> </v>
      </c>
      <c r="F14995">
        <v>0.38</v>
      </c>
      <c r="G14995" s="37" t="str">
        <f t="shared" si="1171"/>
        <v>Heavy Discount</v>
      </c>
      <c r="H14995" s="37" t="str">
        <f t="shared" si="1172"/>
        <v>Medium</v>
      </c>
      <c r="I14995">
        <v>5</v>
      </c>
      <c r="J14995" t="str" cm="1">
        <f t="array" ref="J14995">_xlfn.IFS(I14995&lt;=3,"small",I14995&lt;=6,"Medium",I14995&lt;=9,"Large")</f>
        <v>Medium</v>
      </c>
      <c r="K14995" s="36">
        <v>45105</v>
      </c>
      <c r="L14995" s="36">
        <v>45108</v>
      </c>
      <c r="M14995" t="s">
        <v>598</v>
      </c>
      <c r="N14995" t="s">
        <v>599</v>
      </c>
      <c r="O14995" s="37" t="str">
        <f t="shared" si="1173"/>
        <v>Digital Payment</v>
      </c>
      <c r="P14995">
        <v>209.39</v>
      </c>
      <c r="Q14995" s="37" t="str">
        <f>IF(P14995&gt;500,"High","low")</f>
        <v>low</v>
      </c>
      <c r="R14995" s="37" t="str">
        <f t="shared" si="1174"/>
        <v>AVERAGE</v>
      </c>
      <c r="S14995" t="s">
        <v>609</v>
      </c>
    </row>
    <row r="14996" spans="1:19" x14ac:dyDescent="0.2">
      <c r="A14996" t="s">
        <v>15607</v>
      </c>
      <c r="B14996" t="s">
        <v>75</v>
      </c>
      <c r="C14996" t="s">
        <v>597</v>
      </c>
      <c r="D14996">
        <v>1130.3399999999999</v>
      </c>
      <c r="E14996" s="37" t="str">
        <f t="shared" si="1170"/>
        <v xml:space="preserve"> </v>
      </c>
      <c r="F14996">
        <v>0.02</v>
      </c>
      <c r="G14996" s="37" t="str">
        <f t="shared" si="1171"/>
        <v>Normal Discount</v>
      </c>
      <c r="H14996" s="37" t="str">
        <f t="shared" si="1172"/>
        <v>Low</v>
      </c>
      <c r="I14996">
        <v>4</v>
      </c>
      <c r="J14996" t="str" cm="1">
        <f t="array" ref="J14996">_xlfn.IFS(I14996&lt;=3,"small",I14996&lt;=6,"Medium",I14996&lt;=9,"Large")</f>
        <v>Medium</v>
      </c>
      <c r="K14996" s="36">
        <v>45389</v>
      </c>
      <c r="L14996" s="36">
        <v>45392</v>
      </c>
      <c r="M14996" t="s">
        <v>598</v>
      </c>
      <c r="N14996" t="s">
        <v>599</v>
      </c>
      <c r="O14996" s="37" t="str">
        <f t="shared" si="1173"/>
        <v>Digital Payment</v>
      </c>
      <c r="P14996">
        <v>254.79</v>
      </c>
      <c r="Q14996" s="37" t="str">
        <f>IF(P14996&gt;500,"High","low")</f>
        <v>low</v>
      </c>
      <c r="R14996" s="37" t="str">
        <f t="shared" si="1174"/>
        <v>AVERAGE</v>
      </c>
      <c r="S14996" t="s">
        <v>600</v>
      </c>
    </row>
    <row r="14997" spans="1:19" x14ac:dyDescent="0.2">
      <c r="A14997" t="s">
        <v>15608</v>
      </c>
      <c r="B14997" t="s">
        <v>75</v>
      </c>
      <c r="C14997" t="s">
        <v>617</v>
      </c>
      <c r="D14997">
        <v>3922.42</v>
      </c>
      <c r="E14997" s="37" t="str">
        <f t="shared" si="1170"/>
        <v xml:space="preserve"> </v>
      </c>
      <c r="F14997">
        <v>0.08</v>
      </c>
      <c r="G14997" s="37" t="str">
        <f t="shared" si="1171"/>
        <v>Normal Discount</v>
      </c>
      <c r="H14997" s="37" t="str">
        <f t="shared" si="1172"/>
        <v>Low</v>
      </c>
      <c r="I14997">
        <v>6</v>
      </c>
      <c r="J14997" t="str" cm="1">
        <f t="array" ref="J14997">_xlfn.IFS(I14997&lt;=3,"small",I14997&lt;=6,"Medium",I14997&lt;=9,"Large")</f>
        <v>Medium</v>
      </c>
      <c r="K14997" s="36">
        <v>45341</v>
      </c>
      <c r="L14997" s="36">
        <v>45347</v>
      </c>
      <c r="M14997" t="s">
        <v>612</v>
      </c>
      <c r="N14997" t="s">
        <v>604</v>
      </c>
      <c r="O14997" s="37" t="str">
        <f t="shared" si="1173"/>
        <v>Digital Payment</v>
      </c>
      <c r="P14997">
        <v>537.82000000000005</v>
      </c>
      <c r="Q14997" s="37" t="str">
        <f>IF(P14997&gt;500,"High","low")</f>
        <v>High</v>
      </c>
      <c r="R14997" s="37" t="str">
        <f t="shared" si="1174"/>
        <v>Good</v>
      </c>
      <c r="S14997" t="s">
        <v>628</v>
      </c>
    </row>
    <row r="14998" spans="1:19" x14ac:dyDescent="0.2">
      <c r="A14998" t="s">
        <v>15609</v>
      </c>
      <c r="B14998" t="s">
        <v>67</v>
      </c>
      <c r="C14998" t="s">
        <v>617</v>
      </c>
      <c r="D14998">
        <v>1098</v>
      </c>
      <c r="E14998" s="37" t="str">
        <f t="shared" si="1170"/>
        <v xml:space="preserve"> </v>
      </c>
      <c r="F14998">
        <v>0.25</v>
      </c>
      <c r="G14998" s="37" t="str">
        <f t="shared" si="1171"/>
        <v>Normal Discount</v>
      </c>
      <c r="H14998" s="37" t="str">
        <f t="shared" si="1172"/>
        <v>Medium</v>
      </c>
      <c r="I14998">
        <v>7</v>
      </c>
      <c r="J14998" t="str" cm="1">
        <f t="array" ref="J14998">_xlfn.IFS(I14998&lt;=3,"small",I14998&lt;=6,"Medium",I14998&lt;=9,"Large")</f>
        <v>Large</v>
      </c>
      <c r="K14998" s="36">
        <v>45305</v>
      </c>
      <c r="L14998" s="36">
        <v>45311</v>
      </c>
      <c r="M14998" t="s">
        <v>598</v>
      </c>
      <c r="N14998" t="s">
        <v>608</v>
      </c>
      <c r="O14998" s="37" t="str">
        <f t="shared" si="1173"/>
        <v>Cash Payment</v>
      </c>
      <c r="P14998">
        <v>249.52</v>
      </c>
      <c r="Q14998" s="37" t="str">
        <f>IF(P14998&gt;500,"High","low")</f>
        <v>low</v>
      </c>
      <c r="R14998" s="37" t="str">
        <f t="shared" si="1174"/>
        <v>AVERAGE</v>
      </c>
      <c r="S14998" t="s">
        <v>620</v>
      </c>
    </row>
    <row r="14999" spans="1:19" x14ac:dyDescent="0.2">
      <c r="A14999" t="s">
        <v>15610</v>
      </c>
      <c r="B14999" t="s">
        <v>75</v>
      </c>
      <c r="C14999" t="s">
        <v>602</v>
      </c>
      <c r="D14999">
        <v>3102.15</v>
      </c>
      <c r="E14999" s="37" t="str">
        <f t="shared" si="1170"/>
        <v xml:space="preserve"> </v>
      </c>
      <c r="F14999">
        <v>0.38</v>
      </c>
      <c r="G14999" s="37" t="str">
        <f t="shared" si="1171"/>
        <v>Heavy Discount</v>
      </c>
      <c r="H14999" s="37" t="str">
        <f t="shared" si="1172"/>
        <v>Medium</v>
      </c>
      <c r="I14999">
        <v>6</v>
      </c>
      <c r="J14999" t="str" cm="1">
        <f t="array" ref="J14999">_xlfn.IFS(I14999&lt;=3,"small",I14999&lt;=6,"Medium",I14999&lt;=9,"Large")</f>
        <v>Medium</v>
      </c>
      <c r="K14999" s="36">
        <v>45238</v>
      </c>
      <c r="L14999" s="36">
        <v>45241</v>
      </c>
      <c r="M14999" t="s">
        <v>612</v>
      </c>
      <c r="N14999" t="s">
        <v>604</v>
      </c>
      <c r="O14999" s="37" t="str">
        <f t="shared" si="1173"/>
        <v>Digital Payment</v>
      </c>
      <c r="P14999">
        <v>327.88</v>
      </c>
      <c r="Q14999" s="37" t="str">
        <f>IF(P14999&gt;500,"High","low")</f>
        <v>low</v>
      </c>
      <c r="R14999" s="37" t="str">
        <f t="shared" si="1174"/>
        <v>AVERAGE</v>
      </c>
      <c r="S14999" t="s">
        <v>615</v>
      </c>
    </row>
    <row r="15000" spans="1:19" x14ac:dyDescent="0.2">
      <c r="A15000" t="s">
        <v>15611</v>
      </c>
      <c r="B15000" t="s">
        <v>67</v>
      </c>
      <c r="C15000" t="s">
        <v>602</v>
      </c>
      <c r="D15000">
        <v>3254.97</v>
      </c>
      <c r="E15000" s="37" t="str">
        <f t="shared" si="1170"/>
        <v xml:space="preserve"> </v>
      </c>
      <c r="F15000">
        <v>0.3</v>
      </c>
      <c r="G15000" s="37" t="str">
        <f t="shared" si="1171"/>
        <v>Normal Discount</v>
      </c>
      <c r="H15000" s="37" t="str">
        <f t="shared" si="1172"/>
        <v>Medium</v>
      </c>
      <c r="I15000">
        <v>5</v>
      </c>
      <c r="J15000" t="str" cm="1">
        <f t="array" ref="J15000">_xlfn.IFS(I15000&lt;=3,"small",I15000&lt;=6,"Medium",I15000&lt;=9,"Large")</f>
        <v>Medium</v>
      </c>
      <c r="K15000" s="36">
        <v>45130</v>
      </c>
      <c r="L15000" s="36">
        <v>45132</v>
      </c>
      <c r="M15000" t="s">
        <v>603</v>
      </c>
      <c r="N15000" t="s">
        <v>599</v>
      </c>
      <c r="O15000" s="37" t="str">
        <f t="shared" si="1173"/>
        <v>Digital Payment</v>
      </c>
      <c r="P15000">
        <v>171.26</v>
      </c>
      <c r="Q15000" s="37" t="str">
        <f>IF(P15000&gt;500,"High","low")</f>
        <v>low</v>
      </c>
      <c r="R15000" s="37" t="str">
        <f t="shared" si="1174"/>
        <v>AVERAGE</v>
      </c>
      <c r="S15000" t="s">
        <v>620</v>
      </c>
    </row>
    <row r="15001" spans="1:19" x14ac:dyDescent="0.2">
      <c r="A15001" t="s">
        <v>15612</v>
      </c>
      <c r="B15001" t="s">
        <v>90</v>
      </c>
      <c r="C15001" t="s">
        <v>617</v>
      </c>
      <c r="D15001">
        <v>2577.66</v>
      </c>
      <c r="E15001" s="37" t="str">
        <f t="shared" si="1170"/>
        <v xml:space="preserve"> </v>
      </c>
      <c r="F15001">
        <v>0.5</v>
      </c>
      <c r="G15001" s="37" t="str">
        <f t="shared" si="1171"/>
        <v>Heavy Discount</v>
      </c>
      <c r="H15001" s="37" t="str">
        <f t="shared" si="1172"/>
        <v>High</v>
      </c>
      <c r="I15001">
        <v>2</v>
      </c>
      <c r="J15001" t="str" cm="1">
        <f t="array" ref="J15001">_xlfn.IFS(I15001&lt;=3,"small",I15001&lt;=6,"Medium",I15001&lt;=9,"Large")</f>
        <v>small</v>
      </c>
      <c r="K15001" s="36">
        <v>45381</v>
      </c>
      <c r="L15001" s="36">
        <v>45386</v>
      </c>
      <c r="M15001" t="s">
        <v>612</v>
      </c>
      <c r="N15001" t="s">
        <v>599</v>
      </c>
      <c r="O15001" s="37" t="str">
        <f t="shared" si="1173"/>
        <v>Digital Payment</v>
      </c>
      <c r="P15001">
        <v>557.34</v>
      </c>
      <c r="Q15001" s="37" t="str">
        <f>IF(P15001&gt;500,"High","low")</f>
        <v>High</v>
      </c>
      <c r="R15001" s="37" t="str">
        <f t="shared" si="1174"/>
        <v>Good</v>
      </c>
      <c r="S15001" t="s">
        <v>600</v>
      </c>
    </row>
    <row r="15002" spans="1:19" x14ac:dyDescent="0.2">
      <c r="A15002" t="s">
        <v>15613</v>
      </c>
      <c r="B15002" t="s">
        <v>67</v>
      </c>
      <c r="C15002" t="s">
        <v>614</v>
      </c>
      <c r="D15002">
        <v>4984.2700000000004</v>
      </c>
      <c r="E15002" s="37" t="str">
        <f t="shared" si="1170"/>
        <v xml:space="preserve"> </v>
      </c>
      <c r="F15002">
        <v>0.33</v>
      </c>
      <c r="G15002" s="37" t="str">
        <f t="shared" si="1171"/>
        <v>Heavy Discount</v>
      </c>
      <c r="H15002" s="37" t="str">
        <f t="shared" si="1172"/>
        <v>Medium</v>
      </c>
      <c r="I15002">
        <v>3</v>
      </c>
      <c r="J15002" t="str" cm="1">
        <f t="array" ref="J15002">_xlfn.IFS(I15002&lt;=3,"small",I15002&lt;=6,"Medium",I15002&lt;=9,"Large")</f>
        <v>small</v>
      </c>
      <c r="K15002" s="36">
        <v>44971</v>
      </c>
      <c r="L15002" s="36">
        <v>44975</v>
      </c>
      <c r="M15002" t="s">
        <v>603</v>
      </c>
      <c r="N15002" t="s">
        <v>599</v>
      </c>
      <c r="O15002" s="37" t="str">
        <f t="shared" si="1173"/>
        <v>Digital Payment</v>
      </c>
      <c r="P15002">
        <v>491.67</v>
      </c>
      <c r="Q15002" s="37" t="str">
        <f>IF(P15002&gt;500,"High","low")</f>
        <v>low</v>
      </c>
      <c r="R15002" s="37" t="str">
        <f t="shared" si="1174"/>
        <v>AVERAGE</v>
      </c>
      <c r="S15002" t="s">
        <v>600</v>
      </c>
    </row>
    <row r="15003" spans="1:19" x14ac:dyDescent="0.2">
      <c r="A15003" t="s">
        <v>15614</v>
      </c>
      <c r="B15003" t="s">
        <v>67</v>
      </c>
      <c r="C15003" t="s">
        <v>617</v>
      </c>
      <c r="D15003">
        <v>1941.63</v>
      </c>
      <c r="E15003" s="37" t="str">
        <f t="shared" si="1170"/>
        <v xml:space="preserve"> </v>
      </c>
      <c r="F15003">
        <v>0.36</v>
      </c>
      <c r="G15003" s="37" t="str">
        <f t="shared" si="1171"/>
        <v>Heavy Discount</v>
      </c>
      <c r="H15003" s="37" t="str">
        <f t="shared" si="1172"/>
        <v>Medium</v>
      </c>
      <c r="I15003">
        <v>9</v>
      </c>
      <c r="J15003" t="str" cm="1">
        <f t="array" ref="J15003">_xlfn.IFS(I15003&lt;=3,"small",I15003&lt;=6,"Medium",I15003&lt;=9,"Large")</f>
        <v>Large</v>
      </c>
      <c r="K15003" s="36">
        <v>45471</v>
      </c>
      <c r="L15003" s="36">
        <v>45472</v>
      </c>
      <c r="M15003" t="s">
        <v>598</v>
      </c>
      <c r="N15003" t="s">
        <v>599</v>
      </c>
      <c r="O15003" s="37" t="str">
        <f t="shared" si="1173"/>
        <v>Digital Payment</v>
      </c>
      <c r="P15003">
        <v>367.12</v>
      </c>
      <c r="Q15003" s="37" t="str">
        <f>IF(P15003&gt;500,"High","low")</f>
        <v>low</v>
      </c>
      <c r="R15003" s="37" t="str">
        <f t="shared" si="1174"/>
        <v>AVERAGE</v>
      </c>
      <c r="S15003" t="s">
        <v>605</v>
      </c>
    </row>
    <row r="15004" spans="1:19" x14ac:dyDescent="0.2">
      <c r="A15004" t="s">
        <v>15615</v>
      </c>
      <c r="B15004" t="s">
        <v>83</v>
      </c>
      <c r="C15004" t="s">
        <v>597</v>
      </c>
      <c r="D15004">
        <v>4428.2700000000004</v>
      </c>
      <c r="E15004" s="37" t="str">
        <f t="shared" si="1170"/>
        <v xml:space="preserve"> </v>
      </c>
      <c r="F15004">
        <v>0.5</v>
      </c>
      <c r="G15004" s="37" t="str">
        <f t="shared" si="1171"/>
        <v>Heavy Discount</v>
      </c>
      <c r="H15004" s="37" t="str">
        <f t="shared" si="1172"/>
        <v>High</v>
      </c>
      <c r="I15004">
        <v>7</v>
      </c>
      <c r="J15004" t="str" cm="1">
        <f t="array" ref="J15004">_xlfn.IFS(I15004&lt;=3,"small",I15004&lt;=6,"Medium",I15004&lt;=9,"Large")</f>
        <v>Large</v>
      </c>
      <c r="K15004" s="36">
        <v>45032</v>
      </c>
      <c r="L15004" s="36">
        <v>45039</v>
      </c>
      <c r="M15004" t="s">
        <v>603</v>
      </c>
      <c r="N15004" t="s">
        <v>599</v>
      </c>
      <c r="O15004" s="37" t="str">
        <f t="shared" si="1173"/>
        <v>Digital Payment</v>
      </c>
      <c r="P15004">
        <v>701.67</v>
      </c>
      <c r="Q15004" s="37" t="str">
        <f>IF(P15004&gt;500,"High","low")</f>
        <v>High</v>
      </c>
      <c r="R15004" s="37" t="str">
        <f t="shared" si="1174"/>
        <v>Good</v>
      </c>
      <c r="S15004" t="s">
        <v>609</v>
      </c>
    </row>
    <row r="15005" spans="1:19" x14ac:dyDescent="0.2">
      <c r="A15005" t="s">
        <v>15616</v>
      </c>
      <c r="B15005" t="s">
        <v>75</v>
      </c>
      <c r="C15005" t="s">
        <v>602</v>
      </c>
      <c r="D15005">
        <v>929.22</v>
      </c>
      <c r="E15005" s="37" t="str">
        <f t="shared" si="1170"/>
        <v xml:space="preserve"> </v>
      </c>
      <c r="F15005">
        <v>0.3</v>
      </c>
      <c r="G15005" s="37" t="str">
        <f t="shared" si="1171"/>
        <v>Normal Discount</v>
      </c>
      <c r="H15005" s="37" t="str">
        <f t="shared" si="1172"/>
        <v>Medium</v>
      </c>
      <c r="I15005">
        <v>2</v>
      </c>
      <c r="J15005" t="str" cm="1">
        <f t="array" ref="J15005">_xlfn.IFS(I15005&lt;=3,"small",I15005&lt;=6,"Medium",I15005&lt;=9,"Large")</f>
        <v>small</v>
      </c>
      <c r="K15005" s="36">
        <v>45489</v>
      </c>
      <c r="L15005" s="36">
        <v>45494</v>
      </c>
      <c r="M15005" t="s">
        <v>598</v>
      </c>
      <c r="N15005" t="s">
        <v>599</v>
      </c>
      <c r="O15005" s="37" t="str">
        <f t="shared" si="1173"/>
        <v>Digital Payment</v>
      </c>
      <c r="P15005">
        <v>253.34</v>
      </c>
      <c r="Q15005" s="37" t="str">
        <f>IF(P15005&gt;500,"High","low")</f>
        <v>low</v>
      </c>
      <c r="R15005" s="37" t="str">
        <f t="shared" si="1174"/>
        <v>AVERAGE</v>
      </c>
      <c r="S15005" t="s">
        <v>605</v>
      </c>
    </row>
    <row r="15006" spans="1:19" x14ac:dyDescent="0.2">
      <c r="A15006" t="s">
        <v>15617</v>
      </c>
      <c r="B15006" t="s">
        <v>75</v>
      </c>
      <c r="C15006" t="s">
        <v>602</v>
      </c>
      <c r="D15006">
        <v>1752.33</v>
      </c>
      <c r="E15006" s="37" t="str">
        <f t="shared" si="1170"/>
        <v xml:space="preserve"> </v>
      </c>
      <c r="F15006">
        <v>0.36</v>
      </c>
      <c r="G15006" s="37" t="str">
        <f t="shared" si="1171"/>
        <v>Heavy Discount</v>
      </c>
      <c r="H15006" s="37" t="str">
        <f t="shared" si="1172"/>
        <v>Medium</v>
      </c>
      <c r="I15006">
        <v>1</v>
      </c>
      <c r="J15006" t="str" cm="1">
        <f t="array" ref="J15006">_xlfn.IFS(I15006&lt;=3,"small",I15006&lt;=6,"Medium",I15006&lt;=9,"Large")</f>
        <v>small</v>
      </c>
      <c r="K15006" s="36">
        <v>45429</v>
      </c>
      <c r="L15006" s="36">
        <v>45432</v>
      </c>
      <c r="M15006" t="s">
        <v>603</v>
      </c>
      <c r="N15006" t="s">
        <v>608</v>
      </c>
      <c r="O15006" s="37" t="str">
        <f t="shared" si="1173"/>
        <v>Cash Payment</v>
      </c>
      <c r="P15006">
        <v>104.17</v>
      </c>
      <c r="Q15006" s="37" t="str">
        <f>IF(P15006&gt;500,"High","low")</f>
        <v>low</v>
      </c>
      <c r="R15006" s="37" t="str">
        <f t="shared" si="1174"/>
        <v>AVERAGE</v>
      </c>
      <c r="S15006" t="s">
        <v>628</v>
      </c>
    </row>
    <row r="15007" spans="1:19" x14ac:dyDescent="0.2">
      <c r="A15007" t="s">
        <v>15618</v>
      </c>
      <c r="B15007" t="s">
        <v>75</v>
      </c>
      <c r="C15007" t="s">
        <v>602</v>
      </c>
      <c r="D15007">
        <v>812.3</v>
      </c>
      <c r="E15007" s="37" t="str">
        <f t="shared" si="1170"/>
        <v xml:space="preserve"> </v>
      </c>
      <c r="F15007">
        <v>0.15</v>
      </c>
      <c r="G15007" s="37" t="str">
        <f t="shared" si="1171"/>
        <v>Normal Discount</v>
      </c>
      <c r="H15007" s="37" t="str">
        <f t="shared" si="1172"/>
        <v>Low</v>
      </c>
      <c r="I15007">
        <v>1</v>
      </c>
      <c r="J15007" t="str" cm="1">
        <f t="array" ref="J15007">_xlfn.IFS(I15007&lt;=3,"small",I15007&lt;=6,"Medium",I15007&lt;=9,"Large")</f>
        <v>small</v>
      </c>
      <c r="K15007" s="36">
        <v>45571</v>
      </c>
      <c r="L15007" s="36">
        <v>45578</v>
      </c>
      <c r="M15007" t="s">
        <v>612</v>
      </c>
      <c r="N15007" t="s">
        <v>599</v>
      </c>
      <c r="O15007" s="37" t="str">
        <f t="shared" si="1173"/>
        <v>Digital Payment</v>
      </c>
      <c r="P15007">
        <v>131.28</v>
      </c>
      <c r="Q15007" s="37" t="str">
        <f>IF(P15007&gt;500,"High","low")</f>
        <v>low</v>
      </c>
      <c r="R15007" s="37" t="str">
        <f t="shared" si="1174"/>
        <v>AVERAGE</v>
      </c>
      <c r="S15007" t="s">
        <v>615</v>
      </c>
    </row>
    <row r="15008" spans="1:19" x14ac:dyDescent="0.2">
      <c r="A15008" t="s">
        <v>15619</v>
      </c>
      <c r="B15008" t="s">
        <v>75</v>
      </c>
      <c r="C15008" t="s">
        <v>617</v>
      </c>
      <c r="D15008">
        <v>3057.76</v>
      </c>
      <c r="E15008" s="37" t="str">
        <f t="shared" si="1170"/>
        <v xml:space="preserve"> </v>
      </c>
      <c r="F15008">
        <v>0.27</v>
      </c>
      <c r="G15008" s="37" t="str">
        <f t="shared" si="1171"/>
        <v>Normal Discount</v>
      </c>
      <c r="H15008" s="37" t="str">
        <f t="shared" si="1172"/>
        <v>Medium</v>
      </c>
      <c r="I15008">
        <v>1</v>
      </c>
      <c r="J15008" t="str" cm="1">
        <f t="array" ref="J15008">_xlfn.IFS(I15008&lt;=3,"small",I15008&lt;=6,"Medium",I15008&lt;=9,"Large")</f>
        <v>small</v>
      </c>
      <c r="K15008" s="36">
        <v>45220</v>
      </c>
      <c r="L15008" s="36">
        <v>45226</v>
      </c>
      <c r="M15008" t="s">
        <v>603</v>
      </c>
      <c r="N15008" t="s">
        <v>604</v>
      </c>
      <c r="O15008" s="37" t="str">
        <f t="shared" si="1173"/>
        <v>Digital Payment</v>
      </c>
      <c r="P15008">
        <v>793.37</v>
      </c>
      <c r="Q15008" s="37" t="str">
        <f>IF(P15008&gt;500,"High","low")</f>
        <v>High</v>
      </c>
      <c r="R15008" s="37" t="str">
        <f t="shared" si="1174"/>
        <v>Good</v>
      </c>
      <c r="S15008" t="s">
        <v>600</v>
      </c>
    </row>
    <row r="15009" spans="1:19" x14ac:dyDescent="0.2">
      <c r="A15009" t="s">
        <v>15620</v>
      </c>
      <c r="B15009" t="s">
        <v>83</v>
      </c>
      <c r="C15009" t="s">
        <v>602</v>
      </c>
      <c r="D15009">
        <v>3227.46</v>
      </c>
      <c r="E15009" s="37" t="str">
        <f t="shared" si="1170"/>
        <v xml:space="preserve"> </v>
      </c>
      <c r="F15009">
        <v>0.46</v>
      </c>
      <c r="G15009" s="37" t="str">
        <f t="shared" si="1171"/>
        <v>Heavy Discount</v>
      </c>
      <c r="H15009" s="37" t="str">
        <f t="shared" si="1172"/>
        <v>High</v>
      </c>
      <c r="I15009">
        <v>6</v>
      </c>
      <c r="J15009" t="str" cm="1">
        <f t="array" ref="J15009">_xlfn.IFS(I15009&lt;=3,"small",I15009&lt;=6,"Medium",I15009&lt;=9,"Large")</f>
        <v>Medium</v>
      </c>
      <c r="K15009" s="36">
        <v>45571</v>
      </c>
      <c r="L15009" s="36">
        <v>45578</v>
      </c>
      <c r="M15009" t="s">
        <v>598</v>
      </c>
      <c r="N15009" t="s">
        <v>608</v>
      </c>
      <c r="O15009" s="37" t="str">
        <f t="shared" si="1173"/>
        <v>Cash Payment</v>
      </c>
      <c r="P15009">
        <v>710.28</v>
      </c>
      <c r="Q15009" s="37" t="str">
        <f>IF(P15009&gt;500,"High","low")</f>
        <v>High</v>
      </c>
      <c r="R15009" s="37" t="str">
        <f t="shared" si="1174"/>
        <v>Good</v>
      </c>
      <c r="S15009" t="s">
        <v>628</v>
      </c>
    </row>
    <row r="15010" spans="1:19" x14ac:dyDescent="0.2">
      <c r="A15010" t="s">
        <v>15621</v>
      </c>
      <c r="B15010" t="s">
        <v>83</v>
      </c>
      <c r="C15010" t="s">
        <v>602</v>
      </c>
      <c r="D15010">
        <v>2322.17</v>
      </c>
      <c r="E15010" s="37" t="str">
        <f t="shared" si="1170"/>
        <v xml:space="preserve"> </v>
      </c>
      <c r="F15010">
        <v>0.43</v>
      </c>
      <c r="G15010" s="37" t="str">
        <f t="shared" si="1171"/>
        <v>Heavy Discount</v>
      </c>
      <c r="H15010" s="37" t="str">
        <f t="shared" si="1172"/>
        <v>High</v>
      </c>
      <c r="I15010">
        <v>5</v>
      </c>
      <c r="J15010" t="str" cm="1">
        <f t="array" ref="J15010">_xlfn.IFS(I15010&lt;=3,"small",I15010&lt;=6,"Medium",I15010&lt;=9,"Large")</f>
        <v>Medium</v>
      </c>
      <c r="K15010" s="36">
        <v>44982</v>
      </c>
      <c r="L15010" s="36">
        <v>44987</v>
      </c>
      <c r="M15010" t="s">
        <v>612</v>
      </c>
      <c r="N15010" t="s">
        <v>599</v>
      </c>
      <c r="O15010" s="37" t="str">
        <f t="shared" si="1173"/>
        <v>Digital Payment</v>
      </c>
      <c r="P15010">
        <v>626.15</v>
      </c>
      <c r="Q15010" s="37" t="str">
        <f>IF(P15010&gt;500,"High","low")</f>
        <v>High</v>
      </c>
      <c r="R15010" s="37" t="str">
        <f t="shared" si="1174"/>
        <v>Good</v>
      </c>
      <c r="S15010" t="s">
        <v>620</v>
      </c>
    </row>
    <row r="15011" spans="1:19" x14ac:dyDescent="0.2">
      <c r="A15011" t="s">
        <v>15622</v>
      </c>
      <c r="B15011" t="s">
        <v>83</v>
      </c>
      <c r="C15011" t="s">
        <v>617</v>
      </c>
      <c r="D15011">
        <v>3628.79</v>
      </c>
      <c r="E15011" s="37" t="str">
        <f t="shared" si="1170"/>
        <v xml:space="preserve"> </v>
      </c>
      <c r="F15011">
        <v>0.15</v>
      </c>
      <c r="G15011" s="37" t="str">
        <f t="shared" si="1171"/>
        <v>Normal Discount</v>
      </c>
      <c r="H15011" s="37" t="str">
        <f t="shared" si="1172"/>
        <v>Low</v>
      </c>
      <c r="I15011">
        <v>7</v>
      </c>
      <c r="J15011" t="str" cm="1">
        <f t="array" ref="J15011">_xlfn.IFS(I15011&lt;=3,"small",I15011&lt;=6,"Medium",I15011&lt;=9,"Large")</f>
        <v>Large</v>
      </c>
      <c r="K15011" s="36">
        <v>45527</v>
      </c>
      <c r="L15011" s="36">
        <v>45533</v>
      </c>
      <c r="M15011" t="s">
        <v>603</v>
      </c>
      <c r="N15011" t="s">
        <v>604</v>
      </c>
      <c r="O15011" s="37" t="str">
        <f t="shared" si="1173"/>
        <v>Digital Payment</v>
      </c>
      <c r="P15011">
        <v>1080.71</v>
      </c>
      <c r="Q15011" s="37" t="str">
        <f>IF(P15011&gt;500,"High","low")</f>
        <v>High</v>
      </c>
      <c r="R15011" s="37" t="str">
        <f t="shared" si="1174"/>
        <v>Excellent</v>
      </c>
      <c r="S15011" t="s">
        <v>615</v>
      </c>
    </row>
    <row r="15012" spans="1:19" x14ac:dyDescent="0.2">
      <c r="A15012" t="s">
        <v>15623</v>
      </c>
      <c r="B15012" t="s">
        <v>83</v>
      </c>
      <c r="C15012" t="s">
        <v>614</v>
      </c>
      <c r="D15012">
        <v>4351.5</v>
      </c>
      <c r="E15012" s="37" t="str">
        <f t="shared" si="1170"/>
        <v>Excellent Order</v>
      </c>
      <c r="F15012">
        <v>0.18</v>
      </c>
      <c r="G15012" s="37" t="str">
        <f t="shared" si="1171"/>
        <v>Normal Discount</v>
      </c>
      <c r="H15012" s="37" t="str">
        <f t="shared" si="1172"/>
        <v>Low</v>
      </c>
      <c r="I15012">
        <v>5</v>
      </c>
      <c r="J15012" t="str" cm="1">
        <f t="array" ref="J15012">_xlfn.IFS(I15012&lt;=3,"small",I15012&lt;=6,"Medium",I15012&lt;=9,"Large")</f>
        <v>Medium</v>
      </c>
      <c r="K15012" s="36">
        <v>45377</v>
      </c>
      <c r="L15012" s="36">
        <v>45378</v>
      </c>
      <c r="M15012" t="s">
        <v>612</v>
      </c>
      <c r="N15012" t="s">
        <v>608</v>
      </c>
      <c r="O15012" s="37" t="str">
        <f t="shared" si="1173"/>
        <v>Cash Payment</v>
      </c>
      <c r="P15012">
        <v>823.36</v>
      </c>
      <c r="Q15012" s="37" t="str">
        <f>IF(P15012&gt;500,"High","low")</f>
        <v>High</v>
      </c>
      <c r="R15012" s="37" t="str">
        <f t="shared" si="1174"/>
        <v>Good</v>
      </c>
      <c r="S15012" t="s">
        <v>615</v>
      </c>
    </row>
    <row r="15013" spans="1:19" x14ac:dyDescent="0.2">
      <c r="A15013" t="s">
        <v>15624</v>
      </c>
      <c r="B15013" t="s">
        <v>75</v>
      </c>
      <c r="C15013" t="s">
        <v>602</v>
      </c>
      <c r="D15013">
        <v>3905.14</v>
      </c>
      <c r="E15013" s="37" t="str">
        <f t="shared" si="1170"/>
        <v xml:space="preserve"> </v>
      </c>
      <c r="F15013">
        <v>0.42</v>
      </c>
      <c r="G15013" s="37" t="str">
        <f t="shared" si="1171"/>
        <v>Heavy Discount</v>
      </c>
      <c r="H15013" s="37" t="str">
        <f t="shared" si="1172"/>
        <v>High</v>
      </c>
      <c r="I15013">
        <v>9</v>
      </c>
      <c r="J15013" t="str" cm="1">
        <f t="array" ref="J15013">_xlfn.IFS(I15013&lt;=3,"small",I15013&lt;=6,"Medium",I15013&lt;=9,"Large")</f>
        <v>Large</v>
      </c>
      <c r="K15013" s="36">
        <v>45234</v>
      </c>
      <c r="L15013" s="36">
        <v>45239</v>
      </c>
      <c r="M15013" t="s">
        <v>603</v>
      </c>
      <c r="N15013" t="s">
        <v>604</v>
      </c>
      <c r="O15013" s="37" t="str">
        <f t="shared" si="1173"/>
        <v>Digital Payment</v>
      </c>
      <c r="P15013">
        <v>532.46</v>
      </c>
      <c r="Q15013" s="37" t="str">
        <f>IF(P15013&gt;500,"High","low")</f>
        <v>High</v>
      </c>
      <c r="R15013" s="37" t="str">
        <f t="shared" si="1174"/>
        <v>Good</v>
      </c>
      <c r="S15013" t="s">
        <v>609</v>
      </c>
    </row>
    <row r="15014" spans="1:19" x14ac:dyDescent="0.2">
      <c r="A15014" t="s">
        <v>15625</v>
      </c>
      <c r="B15014" t="s">
        <v>67</v>
      </c>
      <c r="C15014" t="s">
        <v>602</v>
      </c>
      <c r="D15014">
        <v>1284.1500000000001</v>
      </c>
      <c r="E15014" s="37" t="str">
        <f t="shared" si="1170"/>
        <v xml:space="preserve"> </v>
      </c>
      <c r="F15014">
        <v>0.14000000000000001</v>
      </c>
      <c r="G15014" s="37" t="str">
        <f t="shared" si="1171"/>
        <v>Normal Discount</v>
      </c>
      <c r="H15014" s="37" t="str">
        <f t="shared" si="1172"/>
        <v>Low</v>
      </c>
      <c r="I15014">
        <v>1</v>
      </c>
      <c r="J15014" t="str" cm="1">
        <f t="array" ref="J15014">_xlfn.IFS(I15014&lt;=3,"small",I15014&lt;=6,"Medium",I15014&lt;=9,"Large")</f>
        <v>small</v>
      </c>
      <c r="K15014" s="36">
        <v>45218</v>
      </c>
      <c r="L15014" s="36">
        <v>45223</v>
      </c>
      <c r="M15014" t="s">
        <v>598</v>
      </c>
      <c r="N15014" t="s">
        <v>599</v>
      </c>
      <c r="O15014" s="37" t="str">
        <f t="shared" si="1173"/>
        <v>Digital Payment</v>
      </c>
      <c r="P15014">
        <v>90.17</v>
      </c>
      <c r="Q15014" s="37" t="str">
        <f>IF(P15014&gt;500,"High","low")</f>
        <v>low</v>
      </c>
      <c r="R15014" s="37" t="str">
        <f t="shared" si="1174"/>
        <v>AVERAGE</v>
      </c>
      <c r="S15014" t="s">
        <v>628</v>
      </c>
    </row>
    <row r="15015" spans="1:19" x14ac:dyDescent="0.2">
      <c r="A15015" t="s">
        <v>15626</v>
      </c>
      <c r="B15015" t="s">
        <v>90</v>
      </c>
      <c r="C15015" t="s">
        <v>602</v>
      </c>
      <c r="D15015">
        <v>1669.96</v>
      </c>
      <c r="E15015" s="37" t="str">
        <f t="shared" si="1170"/>
        <v xml:space="preserve"> </v>
      </c>
      <c r="F15015">
        <v>0.44</v>
      </c>
      <c r="G15015" s="37" t="str">
        <f t="shared" si="1171"/>
        <v>Heavy Discount</v>
      </c>
      <c r="H15015" s="37" t="str">
        <f t="shared" si="1172"/>
        <v>High</v>
      </c>
      <c r="I15015">
        <v>9</v>
      </c>
      <c r="J15015" t="str" cm="1">
        <f t="array" ref="J15015">_xlfn.IFS(I15015&lt;=3,"small",I15015&lt;=6,"Medium",I15015&lt;=9,"Large")</f>
        <v>Large</v>
      </c>
      <c r="K15015" s="36">
        <v>45302</v>
      </c>
      <c r="L15015" s="36">
        <v>45309</v>
      </c>
      <c r="M15015" t="s">
        <v>603</v>
      </c>
      <c r="N15015" t="s">
        <v>604</v>
      </c>
      <c r="O15015" s="37" t="str">
        <f t="shared" si="1173"/>
        <v>Digital Payment</v>
      </c>
      <c r="P15015">
        <v>345.77</v>
      </c>
      <c r="Q15015" s="37" t="str">
        <f>IF(P15015&gt;500,"High","low")</f>
        <v>low</v>
      </c>
      <c r="R15015" s="37" t="str">
        <f t="shared" si="1174"/>
        <v>AVERAGE</v>
      </c>
      <c r="S15015" t="s">
        <v>615</v>
      </c>
    </row>
    <row r="15016" spans="1:19" x14ac:dyDescent="0.2">
      <c r="A15016" t="s">
        <v>15627</v>
      </c>
      <c r="B15016" t="s">
        <v>83</v>
      </c>
      <c r="C15016" t="s">
        <v>597</v>
      </c>
      <c r="D15016">
        <v>1963.36</v>
      </c>
      <c r="E15016" s="37" t="str">
        <f t="shared" si="1170"/>
        <v xml:space="preserve"> </v>
      </c>
      <c r="F15016">
        <v>0.39</v>
      </c>
      <c r="G15016" s="37" t="str">
        <f t="shared" si="1171"/>
        <v>Heavy Discount</v>
      </c>
      <c r="H15016" s="37" t="str">
        <f t="shared" si="1172"/>
        <v>Medium</v>
      </c>
      <c r="I15016">
        <v>4</v>
      </c>
      <c r="J15016" t="str" cm="1">
        <f t="array" ref="J15016">_xlfn.IFS(I15016&lt;=3,"small",I15016&lt;=6,"Medium",I15016&lt;=9,"Large")</f>
        <v>Medium</v>
      </c>
      <c r="K15016" s="36">
        <v>45402</v>
      </c>
      <c r="L15016" s="36">
        <v>45408</v>
      </c>
      <c r="M15016" t="s">
        <v>598</v>
      </c>
      <c r="N15016" t="s">
        <v>608</v>
      </c>
      <c r="O15016" s="37" t="str">
        <f t="shared" si="1173"/>
        <v>Cash Payment</v>
      </c>
      <c r="P15016">
        <v>479.55</v>
      </c>
      <c r="Q15016" s="37" t="str">
        <f>IF(P15016&gt;500,"High","low")</f>
        <v>low</v>
      </c>
      <c r="R15016" s="37" t="str">
        <f t="shared" si="1174"/>
        <v>AVERAGE</v>
      </c>
      <c r="S15016" t="s">
        <v>620</v>
      </c>
    </row>
    <row r="15017" spans="1:19" x14ac:dyDescent="0.2">
      <c r="A15017" t="s">
        <v>15628</v>
      </c>
      <c r="B15017" t="s">
        <v>67</v>
      </c>
      <c r="C15017" t="s">
        <v>617</v>
      </c>
      <c r="D15017">
        <v>1098.45</v>
      </c>
      <c r="E15017" s="37" t="str">
        <f t="shared" si="1170"/>
        <v xml:space="preserve"> </v>
      </c>
      <c r="F15017">
        <v>0.08</v>
      </c>
      <c r="G15017" s="37" t="str">
        <f t="shared" si="1171"/>
        <v>Normal Discount</v>
      </c>
      <c r="H15017" s="37" t="str">
        <f t="shared" si="1172"/>
        <v>Low</v>
      </c>
      <c r="I15017">
        <v>7</v>
      </c>
      <c r="J15017" t="str" cm="1">
        <f t="array" ref="J15017">_xlfn.IFS(I15017&lt;=3,"small",I15017&lt;=6,"Medium",I15017&lt;=9,"Large")</f>
        <v>Large</v>
      </c>
      <c r="K15017" s="36">
        <v>45589</v>
      </c>
      <c r="L15017" s="36">
        <v>45592</v>
      </c>
      <c r="M15017" t="s">
        <v>612</v>
      </c>
      <c r="N15017" t="s">
        <v>604</v>
      </c>
      <c r="O15017" s="37" t="str">
        <f t="shared" si="1173"/>
        <v>Digital Payment</v>
      </c>
      <c r="P15017">
        <v>192.06</v>
      </c>
      <c r="Q15017" s="37" t="str">
        <f>IF(P15017&gt;500,"High","low")</f>
        <v>low</v>
      </c>
      <c r="R15017" s="37" t="str">
        <f t="shared" si="1174"/>
        <v>AVERAGE</v>
      </c>
      <c r="S15017" t="s">
        <v>620</v>
      </c>
    </row>
    <row r="15018" spans="1:19" x14ac:dyDescent="0.2">
      <c r="A15018" t="s">
        <v>15629</v>
      </c>
      <c r="B15018" t="s">
        <v>83</v>
      </c>
      <c r="C15018" t="s">
        <v>602</v>
      </c>
      <c r="D15018">
        <v>1870.06</v>
      </c>
      <c r="E15018" s="37" t="str">
        <f t="shared" si="1170"/>
        <v xml:space="preserve"> </v>
      </c>
      <c r="F15018">
        <v>0.36</v>
      </c>
      <c r="G15018" s="37" t="str">
        <f t="shared" si="1171"/>
        <v>Heavy Discount</v>
      </c>
      <c r="H15018" s="37" t="str">
        <f t="shared" si="1172"/>
        <v>Medium</v>
      </c>
      <c r="I15018">
        <v>2</v>
      </c>
      <c r="J15018" t="str" cm="1">
        <f t="array" ref="J15018">_xlfn.IFS(I15018&lt;=3,"small",I15018&lt;=6,"Medium",I15018&lt;=9,"Large")</f>
        <v>small</v>
      </c>
      <c r="K15018" s="36">
        <v>45459</v>
      </c>
      <c r="L15018" s="36">
        <v>45465</v>
      </c>
      <c r="M15018" t="s">
        <v>612</v>
      </c>
      <c r="N15018" t="s">
        <v>604</v>
      </c>
      <c r="O15018" s="37" t="str">
        <f t="shared" si="1173"/>
        <v>Digital Payment</v>
      </c>
      <c r="P15018">
        <v>189.37</v>
      </c>
      <c r="Q15018" s="37" t="str">
        <f>IF(P15018&gt;500,"High","low")</f>
        <v>low</v>
      </c>
      <c r="R15018" s="37" t="str">
        <f t="shared" si="1174"/>
        <v>AVERAGE</v>
      </c>
      <c r="S15018" t="s">
        <v>605</v>
      </c>
    </row>
    <row r="15019" spans="1:19" x14ac:dyDescent="0.2">
      <c r="A15019" t="s">
        <v>15630</v>
      </c>
      <c r="B15019" t="s">
        <v>75</v>
      </c>
      <c r="C15019" t="s">
        <v>597</v>
      </c>
      <c r="D15019">
        <v>1266.42</v>
      </c>
      <c r="E15019" s="37" t="str">
        <f t="shared" si="1170"/>
        <v xml:space="preserve"> </v>
      </c>
      <c r="F15019">
        <v>0.42</v>
      </c>
      <c r="G15019" s="37" t="str">
        <f t="shared" si="1171"/>
        <v>Heavy Discount</v>
      </c>
      <c r="H15019" s="37" t="str">
        <f t="shared" si="1172"/>
        <v>High</v>
      </c>
      <c r="I15019">
        <v>3</v>
      </c>
      <c r="J15019" t="str" cm="1">
        <f t="array" ref="J15019">_xlfn.IFS(I15019&lt;=3,"small",I15019&lt;=6,"Medium",I15019&lt;=9,"Large")</f>
        <v>small</v>
      </c>
      <c r="K15019" s="36">
        <v>45537</v>
      </c>
      <c r="L15019" s="36">
        <v>45539</v>
      </c>
      <c r="M15019" t="s">
        <v>598</v>
      </c>
      <c r="N15019" t="s">
        <v>599</v>
      </c>
      <c r="O15019" s="37" t="str">
        <f t="shared" si="1173"/>
        <v>Digital Payment</v>
      </c>
      <c r="P15019">
        <v>349.79</v>
      </c>
      <c r="Q15019" s="37" t="str">
        <f>IF(P15019&gt;500,"High","low")</f>
        <v>low</v>
      </c>
      <c r="R15019" s="37" t="str">
        <f t="shared" si="1174"/>
        <v>AVERAGE</v>
      </c>
      <c r="S15019" t="s">
        <v>605</v>
      </c>
    </row>
    <row r="15020" spans="1:19" x14ac:dyDescent="0.2">
      <c r="A15020" t="s">
        <v>15631</v>
      </c>
      <c r="B15020" t="s">
        <v>75</v>
      </c>
      <c r="C15020" t="s">
        <v>614</v>
      </c>
      <c r="D15020">
        <v>4979.07</v>
      </c>
      <c r="E15020" s="37" t="str">
        <f t="shared" si="1170"/>
        <v>Excellent Order</v>
      </c>
      <c r="F15020">
        <v>7.0000000000000007E-2</v>
      </c>
      <c r="G15020" s="37" t="str">
        <f t="shared" si="1171"/>
        <v>Normal Discount</v>
      </c>
      <c r="H15020" s="37" t="str">
        <f t="shared" si="1172"/>
        <v>Low</v>
      </c>
      <c r="I15020">
        <v>4</v>
      </c>
      <c r="J15020" t="str" cm="1">
        <f t="array" ref="J15020">_xlfn.IFS(I15020&lt;=3,"small",I15020&lt;=6,"Medium",I15020&lt;=9,"Large")</f>
        <v>Medium</v>
      </c>
      <c r="K15020" s="36">
        <v>45544</v>
      </c>
      <c r="L15020" s="36">
        <v>45550</v>
      </c>
      <c r="M15020" t="s">
        <v>598</v>
      </c>
      <c r="N15020" t="s">
        <v>604</v>
      </c>
      <c r="O15020" s="37" t="str">
        <f t="shared" si="1173"/>
        <v>Digital Payment</v>
      </c>
      <c r="P15020">
        <v>1364.1</v>
      </c>
      <c r="Q15020" s="37" t="str">
        <f>IF(P15020&gt;500,"High","low")</f>
        <v>High</v>
      </c>
      <c r="R15020" s="37" t="str">
        <f t="shared" si="1174"/>
        <v>Excellent</v>
      </c>
      <c r="S15020" t="s">
        <v>600</v>
      </c>
    </row>
    <row r="15021" spans="1:19" x14ac:dyDescent="0.2">
      <c r="A15021" t="s">
        <v>15632</v>
      </c>
      <c r="B15021" t="s">
        <v>67</v>
      </c>
      <c r="C15021" t="s">
        <v>614</v>
      </c>
      <c r="D15021">
        <v>3937.93</v>
      </c>
      <c r="E15021" s="37" t="str">
        <f t="shared" si="1170"/>
        <v xml:space="preserve"> </v>
      </c>
      <c r="F15021">
        <v>0.23</v>
      </c>
      <c r="G15021" s="37" t="str">
        <f t="shared" si="1171"/>
        <v>Normal Discount</v>
      </c>
      <c r="H15021" s="37" t="str">
        <f t="shared" si="1172"/>
        <v>Medium</v>
      </c>
      <c r="I15021">
        <v>5</v>
      </c>
      <c r="J15021" t="str" cm="1">
        <f t="array" ref="J15021">_xlfn.IFS(I15021&lt;=3,"small",I15021&lt;=6,"Medium",I15021&lt;=9,"Large")</f>
        <v>Medium</v>
      </c>
      <c r="K15021" s="36">
        <v>45304</v>
      </c>
      <c r="L15021" s="36">
        <v>45308</v>
      </c>
      <c r="M15021" t="s">
        <v>612</v>
      </c>
      <c r="N15021" t="s">
        <v>608</v>
      </c>
      <c r="O15021" s="37" t="str">
        <f t="shared" si="1173"/>
        <v>Cash Payment</v>
      </c>
      <c r="P15021">
        <v>574.09</v>
      </c>
      <c r="Q15021" s="37" t="str">
        <f>IF(P15021&gt;500,"High","low")</f>
        <v>High</v>
      </c>
      <c r="R15021" s="37" t="str">
        <f t="shared" si="1174"/>
        <v>Good</v>
      </c>
      <c r="S15021" t="s">
        <v>600</v>
      </c>
    </row>
    <row r="15022" spans="1:19" x14ac:dyDescent="0.2">
      <c r="A15022" t="s">
        <v>15633</v>
      </c>
      <c r="B15022" t="s">
        <v>67</v>
      </c>
      <c r="C15022" t="s">
        <v>597</v>
      </c>
      <c r="D15022">
        <v>4314.08</v>
      </c>
      <c r="E15022" s="37" t="str">
        <f t="shared" si="1170"/>
        <v>Excellent Order</v>
      </c>
      <c r="F15022">
        <v>0.43</v>
      </c>
      <c r="G15022" s="37" t="str">
        <f t="shared" si="1171"/>
        <v>Heavy Discount</v>
      </c>
      <c r="H15022" s="37" t="str">
        <f t="shared" si="1172"/>
        <v>High</v>
      </c>
      <c r="I15022">
        <v>2</v>
      </c>
      <c r="J15022" t="str" cm="1">
        <f t="array" ref="J15022">_xlfn.IFS(I15022&lt;=3,"small",I15022&lt;=6,"Medium",I15022&lt;=9,"Large")</f>
        <v>small</v>
      </c>
      <c r="K15022" s="36">
        <v>45430</v>
      </c>
      <c r="L15022" s="36">
        <v>45437</v>
      </c>
      <c r="M15022" t="s">
        <v>598</v>
      </c>
      <c r="N15022" t="s">
        <v>608</v>
      </c>
      <c r="O15022" s="37" t="str">
        <f t="shared" si="1173"/>
        <v>Cash Payment</v>
      </c>
      <c r="P15022">
        <v>924.65</v>
      </c>
      <c r="Q15022" s="37" t="str">
        <f>IF(P15022&gt;500,"High","low")</f>
        <v>High</v>
      </c>
      <c r="R15022" s="37" t="str">
        <f t="shared" si="1174"/>
        <v>Good</v>
      </c>
      <c r="S15022" t="s">
        <v>620</v>
      </c>
    </row>
    <row r="15023" spans="1:19" x14ac:dyDescent="0.2">
      <c r="A15023" t="s">
        <v>15634</v>
      </c>
      <c r="B15023" t="s">
        <v>67</v>
      </c>
      <c r="C15023" t="s">
        <v>614</v>
      </c>
      <c r="D15023">
        <v>4618.5200000000004</v>
      </c>
      <c r="E15023" s="37" t="str">
        <f t="shared" si="1170"/>
        <v>Excellent Order</v>
      </c>
      <c r="F15023">
        <v>0.1</v>
      </c>
      <c r="G15023" s="37" t="str">
        <f t="shared" si="1171"/>
        <v>Normal Discount</v>
      </c>
      <c r="H15023" s="37" t="str">
        <f t="shared" si="1172"/>
        <v>Low</v>
      </c>
      <c r="I15023">
        <v>7</v>
      </c>
      <c r="J15023" t="str" cm="1">
        <f t="array" ref="J15023">_xlfn.IFS(I15023&lt;=3,"small",I15023&lt;=6,"Medium",I15023&lt;=9,"Large")</f>
        <v>Large</v>
      </c>
      <c r="K15023" s="36">
        <v>45226</v>
      </c>
      <c r="L15023" s="36">
        <v>45231</v>
      </c>
      <c r="M15023" t="s">
        <v>603</v>
      </c>
      <c r="N15023" t="s">
        <v>599</v>
      </c>
      <c r="O15023" s="37" t="str">
        <f t="shared" si="1173"/>
        <v>Digital Payment</v>
      </c>
      <c r="P15023">
        <v>1119.6500000000001</v>
      </c>
      <c r="Q15023" s="37" t="str">
        <f>IF(P15023&gt;500,"High","low")</f>
        <v>High</v>
      </c>
      <c r="R15023" s="37" t="str">
        <f t="shared" si="1174"/>
        <v>Excellent</v>
      </c>
      <c r="S15023" t="s">
        <v>628</v>
      </c>
    </row>
    <row r="15024" spans="1:19" x14ac:dyDescent="0.2">
      <c r="A15024" t="s">
        <v>15635</v>
      </c>
      <c r="B15024" t="s">
        <v>75</v>
      </c>
      <c r="C15024" t="s">
        <v>607</v>
      </c>
      <c r="D15024">
        <v>3358.5</v>
      </c>
      <c r="E15024" s="37" t="str">
        <f t="shared" si="1170"/>
        <v xml:space="preserve"> </v>
      </c>
      <c r="F15024">
        <v>0.22</v>
      </c>
      <c r="G15024" s="37" t="str">
        <f t="shared" si="1171"/>
        <v>Normal Discount</v>
      </c>
      <c r="H15024" s="37" t="str">
        <f t="shared" si="1172"/>
        <v>Medium</v>
      </c>
      <c r="I15024">
        <v>6</v>
      </c>
      <c r="J15024" t="str" cm="1">
        <f t="array" ref="J15024">_xlfn.IFS(I15024&lt;=3,"small",I15024&lt;=6,"Medium",I15024&lt;=9,"Large")</f>
        <v>Medium</v>
      </c>
      <c r="K15024" s="36">
        <v>45143</v>
      </c>
      <c r="L15024" s="36">
        <v>45145</v>
      </c>
      <c r="M15024" t="s">
        <v>612</v>
      </c>
      <c r="N15024" t="s">
        <v>599</v>
      </c>
      <c r="O15024" s="37" t="str">
        <f t="shared" si="1173"/>
        <v>Digital Payment</v>
      </c>
      <c r="P15024">
        <v>253.4</v>
      </c>
      <c r="Q15024" s="37" t="str">
        <f>IF(P15024&gt;500,"High","low")</f>
        <v>low</v>
      </c>
      <c r="R15024" s="37" t="str">
        <f t="shared" si="1174"/>
        <v>AVERAGE</v>
      </c>
      <c r="S15024" t="s">
        <v>628</v>
      </c>
    </row>
    <row r="15025" spans="1:19" x14ac:dyDescent="0.2">
      <c r="A15025" t="s">
        <v>15636</v>
      </c>
      <c r="B15025" t="s">
        <v>75</v>
      </c>
      <c r="C15025" t="s">
        <v>614</v>
      </c>
      <c r="D15025">
        <v>962.29</v>
      </c>
      <c r="E15025" s="37" t="str">
        <f t="shared" si="1170"/>
        <v xml:space="preserve"> </v>
      </c>
      <c r="F15025">
        <v>0.31</v>
      </c>
      <c r="G15025" s="37" t="str">
        <f t="shared" si="1171"/>
        <v>Heavy Discount</v>
      </c>
      <c r="H15025" s="37" t="str">
        <f t="shared" si="1172"/>
        <v>Medium</v>
      </c>
      <c r="I15025">
        <v>9</v>
      </c>
      <c r="J15025" t="str" cm="1">
        <f t="array" ref="J15025">_xlfn.IFS(I15025&lt;=3,"small",I15025&lt;=6,"Medium",I15025&lt;=9,"Large")</f>
        <v>Large</v>
      </c>
      <c r="K15025" s="36">
        <v>45034</v>
      </c>
      <c r="L15025" s="36">
        <v>45040</v>
      </c>
      <c r="M15025" t="s">
        <v>598</v>
      </c>
      <c r="N15025" t="s">
        <v>604</v>
      </c>
      <c r="O15025" s="37" t="str">
        <f t="shared" si="1173"/>
        <v>Digital Payment</v>
      </c>
      <c r="P15025">
        <v>251.39</v>
      </c>
      <c r="Q15025" s="37" t="str">
        <f>IF(P15025&gt;500,"High","low")</f>
        <v>low</v>
      </c>
      <c r="R15025" s="37" t="str">
        <f t="shared" si="1174"/>
        <v>AVERAGE</v>
      </c>
      <c r="S15025" t="s">
        <v>620</v>
      </c>
    </row>
    <row r="15026" spans="1:19" x14ac:dyDescent="0.2">
      <c r="A15026" t="s">
        <v>15637</v>
      </c>
      <c r="B15026" t="s">
        <v>90</v>
      </c>
      <c r="C15026" t="s">
        <v>607</v>
      </c>
      <c r="D15026">
        <v>3816.78</v>
      </c>
      <c r="E15026" s="37" t="str">
        <f t="shared" si="1170"/>
        <v xml:space="preserve"> </v>
      </c>
      <c r="F15026">
        <v>0.05</v>
      </c>
      <c r="G15026" s="37" t="str">
        <f t="shared" si="1171"/>
        <v>Normal Discount</v>
      </c>
      <c r="H15026" s="37" t="str">
        <f t="shared" si="1172"/>
        <v>Low</v>
      </c>
      <c r="I15026">
        <v>7</v>
      </c>
      <c r="J15026" t="str" cm="1">
        <f t="array" ref="J15026">_xlfn.IFS(I15026&lt;=3,"small",I15026&lt;=6,"Medium",I15026&lt;=9,"Large")</f>
        <v>Large</v>
      </c>
      <c r="K15026" s="36">
        <v>45287</v>
      </c>
      <c r="L15026" s="36">
        <v>45291</v>
      </c>
      <c r="M15026" t="s">
        <v>598</v>
      </c>
      <c r="N15026" t="s">
        <v>608</v>
      </c>
      <c r="O15026" s="37" t="str">
        <f t="shared" si="1173"/>
        <v>Cash Payment</v>
      </c>
      <c r="P15026">
        <v>889.9</v>
      </c>
      <c r="Q15026" s="37" t="str">
        <f>IF(P15026&gt;500,"High","low")</f>
        <v>High</v>
      </c>
      <c r="R15026" s="37" t="str">
        <f t="shared" si="1174"/>
        <v>Good</v>
      </c>
      <c r="S15026" t="s">
        <v>620</v>
      </c>
    </row>
    <row r="15027" spans="1:19" x14ac:dyDescent="0.2">
      <c r="A15027" t="s">
        <v>15638</v>
      </c>
      <c r="B15027" t="s">
        <v>67</v>
      </c>
      <c r="C15027" t="s">
        <v>597</v>
      </c>
      <c r="D15027">
        <v>176.5</v>
      </c>
      <c r="E15027" s="37" t="str">
        <f t="shared" si="1170"/>
        <v xml:space="preserve"> </v>
      </c>
      <c r="F15027">
        <v>0.11</v>
      </c>
      <c r="G15027" s="37" t="str">
        <f t="shared" si="1171"/>
        <v>Normal Discount</v>
      </c>
      <c r="H15027" s="37" t="str">
        <f t="shared" si="1172"/>
        <v>Low</v>
      </c>
      <c r="I15027">
        <v>2</v>
      </c>
      <c r="J15027" t="str" cm="1">
        <f t="array" ref="J15027">_xlfn.IFS(I15027&lt;=3,"small",I15027&lt;=6,"Medium",I15027&lt;=9,"Large")</f>
        <v>small</v>
      </c>
      <c r="K15027" s="36">
        <v>45280</v>
      </c>
      <c r="L15027" s="36">
        <v>45281</v>
      </c>
      <c r="M15027" t="s">
        <v>603</v>
      </c>
      <c r="N15027" t="s">
        <v>599</v>
      </c>
      <c r="O15027" s="37" t="str">
        <f t="shared" si="1173"/>
        <v>Digital Payment</v>
      </c>
      <c r="P15027">
        <v>31.84</v>
      </c>
      <c r="Q15027" s="37" t="str">
        <f>IF(P15027&gt;500,"High","low")</f>
        <v>low</v>
      </c>
      <c r="R15027" s="37" t="str">
        <f t="shared" si="1174"/>
        <v>AVERAGE</v>
      </c>
      <c r="S15027" t="s">
        <v>600</v>
      </c>
    </row>
    <row r="15028" spans="1:19" x14ac:dyDescent="0.2">
      <c r="A15028" t="s">
        <v>15639</v>
      </c>
      <c r="B15028" t="s">
        <v>90</v>
      </c>
      <c r="C15028" t="s">
        <v>607</v>
      </c>
      <c r="D15028">
        <v>654.83000000000004</v>
      </c>
      <c r="E15028" s="37" t="str">
        <f t="shared" si="1170"/>
        <v xml:space="preserve"> </v>
      </c>
      <c r="F15028">
        <v>0.23</v>
      </c>
      <c r="G15028" s="37" t="str">
        <f t="shared" si="1171"/>
        <v>Normal Discount</v>
      </c>
      <c r="H15028" s="37" t="str">
        <f t="shared" si="1172"/>
        <v>Medium</v>
      </c>
      <c r="I15028">
        <v>3</v>
      </c>
      <c r="J15028" t="str" cm="1">
        <f t="array" ref="J15028">_xlfn.IFS(I15028&lt;=3,"small",I15028&lt;=6,"Medium",I15028&lt;=9,"Large")</f>
        <v>small</v>
      </c>
      <c r="K15028" s="36">
        <v>45069</v>
      </c>
      <c r="L15028" s="36">
        <v>45070</v>
      </c>
      <c r="M15028" t="s">
        <v>603</v>
      </c>
      <c r="N15028" t="s">
        <v>608</v>
      </c>
      <c r="O15028" s="37" t="str">
        <f t="shared" si="1173"/>
        <v>Cash Payment</v>
      </c>
      <c r="P15028">
        <v>183.37</v>
      </c>
      <c r="Q15028" s="37" t="str">
        <f>IF(P15028&gt;500,"High","low")</f>
        <v>low</v>
      </c>
      <c r="R15028" s="37" t="str">
        <f t="shared" si="1174"/>
        <v>AVERAGE</v>
      </c>
      <c r="S15028" t="s">
        <v>620</v>
      </c>
    </row>
    <row r="15029" spans="1:19" x14ac:dyDescent="0.2">
      <c r="A15029" t="s">
        <v>15640</v>
      </c>
      <c r="B15029" t="s">
        <v>83</v>
      </c>
      <c r="C15029" t="s">
        <v>614</v>
      </c>
      <c r="D15029">
        <v>244.96</v>
      </c>
      <c r="E15029" s="37" t="str">
        <f t="shared" si="1170"/>
        <v xml:space="preserve"> </v>
      </c>
      <c r="F15029">
        <v>0.19</v>
      </c>
      <c r="G15029" s="37" t="str">
        <f t="shared" si="1171"/>
        <v>Normal Discount</v>
      </c>
      <c r="H15029" s="37" t="str">
        <f t="shared" si="1172"/>
        <v>Low</v>
      </c>
      <c r="I15029">
        <v>3</v>
      </c>
      <c r="J15029" t="str" cm="1">
        <f t="array" ref="J15029">_xlfn.IFS(I15029&lt;=3,"small",I15029&lt;=6,"Medium",I15029&lt;=9,"Large")</f>
        <v>small</v>
      </c>
      <c r="K15029" s="36">
        <v>45350</v>
      </c>
      <c r="L15029" s="36">
        <v>45355</v>
      </c>
      <c r="M15029" t="s">
        <v>603</v>
      </c>
      <c r="N15029" t="s">
        <v>604</v>
      </c>
      <c r="O15029" s="37" t="str">
        <f t="shared" si="1173"/>
        <v>Digital Payment</v>
      </c>
      <c r="P15029">
        <v>60.34</v>
      </c>
      <c r="Q15029" s="37" t="str">
        <f>IF(P15029&gt;500,"High","low")</f>
        <v>low</v>
      </c>
      <c r="R15029" s="37" t="str">
        <f t="shared" si="1174"/>
        <v>AVERAGE</v>
      </c>
      <c r="S15029" t="s">
        <v>600</v>
      </c>
    </row>
    <row r="15030" spans="1:19" x14ac:dyDescent="0.2">
      <c r="A15030" t="s">
        <v>15641</v>
      </c>
      <c r="B15030" t="s">
        <v>90</v>
      </c>
      <c r="C15030" t="s">
        <v>602</v>
      </c>
      <c r="D15030">
        <v>763.68</v>
      </c>
      <c r="E15030" s="37" t="str">
        <f t="shared" si="1170"/>
        <v xml:space="preserve"> </v>
      </c>
      <c r="F15030">
        <v>0.16</v>
      </c>
      <c r="G15030" s="37" t="str">
        <f t="shared" si="1171"/>
        <v>Normal Discount</v>
      </c>
      <c r="H15030" s="37" t="str">
        <f t="shared" si="1172"/>
        <v>Low</v>
      </c>
      <c r="I15030">
        <v>8</v>
      </c>
      <c r="J15030" t="str" cm="1">
        <f t="array" ref="J15030">_xlfn.IFS(I15030&lt;=3,"small",I15030&lt;=6,"Medium",I15030&lt;=9,"Large")</f>
        <v>Large</v>
      </c>
      <c r="K15030" s="36">
        <v>45101</v>
      </c>
      <c r="L15030" s="36">
        <v>45105</v>
      </c>
      <c r="M15030" t="s">
        <v>603</v>
      </c>
      <c r="N15030" t="s">
        <v>599</v>
      </c>
      <c r="O15030" s="37" t="str">
        <f t="shared" si="1173"/>
        <v>Digital Payment</v>
      </c>
      <c r="P15030">
        <v>132.22999999999999</v>
      </c>
      <c r="Q15030" s="37" t="str">
        <f>IF(P15030&gt;500,"High","low")</f>
        <v>low</v>
      </c>
      <c r="R15030" s="37" t="str">
        <f t="shared" si="1174"/>
        <v>AVERAGE</v>
      </c>
      <c r="S15030" t="s">
        <v>605</v>
      </c>
    </row>
    <row r="15031" spans="1:19" x14ac:dyDescent="0.2">
      <c r="A15031" t="s">
        <v>15642</v>
      </c>
      <c r="B15031" t="s">
        <v>83</v>
      </c>
      <c r="C15031" t="s">
        <v>607</v>
      </c>
      <c r="D15031">
        <v>3784.82</v>
      </c>
      <c r="E15031" s="37" t="str">
        <f t="shared" si="1170"/>
        <v xml:space="preserve"> </v>
      </c>
      <c r="F15031">
        <v>0.01</v>
      </c>
      <c r="G15031" s="37" t="str">
        <f t="shared" si="1171"/>
        <v>Normal Discount</v>
      </c>
      <c r="H15031" s="37" t="str">
        <f t="shared" si="1172"/>
        <v>Low</v>
      </c>
      <c r="I15031">
        <v>8</v>
      </c>
      <c r="J15031" t="str" cm="1">
        <f t="array" ref="J15031">_xlfn.IFS(I15031&lt;=3,"small",I15031&lt;=6,"Medium",I15031&lt;=9,"Large")</f>
        <v>Large</v>
      </c>
      <c r="K15031" s="36">
        <v>45130</v>
      </c>
      <c r="L15031" s="36">
        <v>45137</v>
      </c>
      <c r="M15031" t="s">
        <v>603</v>
      </c>
      <c r="N15031" t="s">
        <v>608</v>
      </c>
      <c r="O15031" s="37" t="str">
        <f t="shared" si="1173"/>
        <v>Cash Payment</v>
      </c>
      <c r="P15031">
        <v>1019.52</v>
      </c>
      <c r="Q15031" s="37" t="str">
        <f>IF(P15031&gt;500,"High","low")</f>
        <v>High</v>
      </c>
      <c r="R15031" s="37" t="str">
        <f t="shared" si="1174"/>
        <v>Excellent</v>
      </c>
      <c r="S15031" t="s">
        <v>600</v>
      </c>
    </row>
    <row r="15032" spans="1:19" x14ac:dyDescent="0.2">
      <c r="A15032" t="s">
        <v>15643</v>
      </c>
      <c r="B15032" t="s">
        <v>83</v>
      </c>
      <c r="C15032" t="s">
        <v>614</v>
      </c>
      <c r="D15032">
        <v>4438.8500000000004</v>
      </c>
      <c r="E15032" s="37" t="str">
        <f t="shared" si="1170"/>
        <v>Excellent Order</v>
      </c>
      <c r="F15032">
        <v>0.46</v>
      </c>
      <c r="G15032" s="37" t="str">
        <f t="shared" si="1171"/>
        <v>Heavy Discount</v>
      </c>
      <c r="H15032" s="37" t="str">
        <f t="shared" si="1172"/>
        <v>High</v>
      </c>
      <c r="I15032">
        <v>3</v>
      </c>
      <c r="J15032" t="str" cm="1">
        <f t="array" ref="J15032">_xlfn.IFS(I15032&lt;=3,"small",I15032&lt;=6,"Medium",I15032&lt;=9,"Large")</f>
        <v>small</v>
      </c>
      <c r="K15032" s="36">
        <v>45426</v>
      </c>
      <c r="L15032" s="36">
        <v>45427</v>
      </c>
      <c r="M15032" t="s">
        <v>598</v>
      </c>
      <c r="N15032" t="s">
        <v>608</v>
      </c>
      <c r="O15032" s="37" t="str">
        <f t="shared" si="1173"/>
        <v>Cash Payment</v>
      </c>
      <c r="P15032">
        <v>1194.5899999999999</v>
      </c>
      <c r="Q15032" s="37" t="str">
        <f>IF(P15032&gt;500,"High","low")</f>
        <v>High</v>
      </c>
      <c r="R15032" s="37" t="str">
        <f t="shared" si="1174"/>
        <v>Excellent</v>
      </c>
      <c r="S15032" t="s">
        <v>600</v>
      </c>
    </row>
    <row r="15033" spans="1:19" x14ac:dyDescent="0.2">
      <c r="A15033" t="s">
        <v>15644</v>
      </c>
      <c r="B15033" t="s">
        <v>90</v>
      </c>
      <c r="C15033" t="s">
        <v>602</v>
      </c>
      <c r="D15033">
        <v>1466.32</v>
      </c>
      <c r="E15033" s="37" t="str">
        <f t="shared" si="1170"/>
        <v xml:space="preserve"> </v>
      </c>
      <c r="F15033">
        <v>0.44</v>
      </c>
      <c r="G15033" s="37" t="str">
        <f t="shared" si="1171"/>
        <v>Heavy Discount</v>
      </c>
      <c r="H15033" s="37" t="str">
        <f t="shared" si="1172"/>
        <v>High</v>
      </c>
      <c r="I15033">
        <v>8</v>
      </c>
      <c r="J15033" t="str" cm="1">
        <f t="array" ref="J15033">_xlfn.IFS(I15033&lt;=3,"small",I15033&lt;=6,"Medium",I15033&lt;=9,"Large")</f>
        <v>Large</v>
      </c>
      <c r="K15033" s="36">
        <v>45234</v>
      </c>
      <c r="L15033" s="36">
        <v>45237</v>
      </c>
      <c r="M15033" t="s">
        <v>612</v>
      </c>
      <c r="N15033" t="s">
        <v>608</v>
      </c>
      <c r="O15033" s="37" t="str">
        <f t="shared" si="1173"/>
        <v>Cash Payment</v>
      </c>
      <c r="P15033">
        <v>300.68</v>
      </c>
      <c r="Q15033" s="37" t="str">
        <f>IF(P15033&gt;500,"High","low")</f>
        <v>low</v>
      </c>
      <c r="R15033" s="37" t="str">
        <f t="shared" si="1174"/>
        <v>AVERAGE</v>
      </c>
      <c r="S15033" t="s">
        <v>609</v>
      </c>
    </row>
    <row r="15034" spans="1:19" x14ac:dyDescent="0.2">
      <c r="A15034" t="s">
        <v>15645</v>
      </c>
      <c r="B15034" t="s">
        <v>67</v>
      </c>
      <c r="C15034" t="s">
        <v>597</v>
      </c>
      <c r="D15034">
        <v>683.72</v>
      </c>
      <c r="E15034" s="37" t="str">
        <f t="shared" si="1170"/>
        <v xml:space="preserve"> </v>
      </c>
      <c r="F15034">
        <v>0.2</v>
      </c>
      <c r="G15034" s="37" t="str">
        <f t="shared" si="1171"/>
        <v>Normal Discount</v>
      </c>
      <c r="H15034" s="37" t="str">
        <f t="shared" si="1172"/>
        <v>Medium</v>
      </c>
      <c r="I15034">
        <v>5</v>
      </c>
      <c r="J15034" t="str" cm="1">
        <f t="array" ref="J15034">_xlfn.IFS(I15034&lt;=3,"small",I15034&lt;=6,"Medium",I15034&lt;=9,"Large")</f>
        <v>Medium</v>
      </c>
      <c r="K15034" s="36">
        <v>45572</v>
      </c>
      <c r="L15034" s="36">
        <v>45574</v>
      </c>
      <c r="M15034" t="s">
        <v>612</v>
      </c>
      <c r="N15034" t="s">
        <v>604</v>
      </c>
      <c r="O15034" s="37" t="str">
        <f t="shared" si="1173"/>
        <v>Digital Payment</v>
      </c>
      <c r="P15034">
        <v>185.67</v>
      </c>
      <c r="Q15034" s="37" t="str">
        <f>IF(P15034&gt;500,"High","low")</f>
        <v>low</v>
      </c>
      <c r="R15034" s="37" t="str">
        <f t="shared" si="1174"/>
        <v>AVERAGE</v>
      </c>
      <c r="S15034" t="s">
        <v>605</v>
      </c>
    </row>
    <row r="15035" spans="1:19" x14ac:dyDescent="0.2">
      <c r="A15035" t="s">
        <v>15646</v>
      </c>
      <c r="B15035" t="s">
        <v>83</v>
      </c>
      <c r="C15035" t="s">
        <v>597</v>
      </c>
      <c r="D15035">
        <v>1437.5</v>
      </c>
      <c r="E15035" s="37" t="str">
        <f t="shared" si="1170"/>
        <v xml:space="preserve"> </v>
      </c>
      <c r="F15035">
        <v>0.09</v>
      </c>
      <c r="G15035" s="37" t="str">
        <f t="shared" si="1171"/>
        <v>Normal Discount</v>
      </c>
      <c r="H15035" s="37" t="str">
        <f t="shared" si="1172"/>
        <v>Low</v>
      </c>
      <c r="I15035">
        <v>4</v>
      </c>
      <c r="J15035" t="str" cm="1">
        <f t="array" ref="J15035">_xlfn.IFS(I15035&lt;=3,"small",I15035&lt;=6,"Medium",I15035&lt;=9,"Large")</f>
        <v>Medium</v>
      </c>
      <c r="K15035" s="36">
        <v>45636</v>
      </c>
      <c r="L15035" s="36">
        <v>45641</v>
      </c>
      <c r="M15035" t="s">
        <v>598</v>
      </c>
      <c r="N15035" t="s">
        <v>608</v>
      </c>
      <c r="O15035" s="37" t="str">
        <f t="shared" si="1173"/>
        <v>Cash Payment</v>
      </c>
      <c r="P15035">
        <v>334.37</v>
      </c>
      <c r="Q15035" s="37" t="str">
        <f>IF(P15035&gt;500,"High","low")</f>
        <v>low</v>
      </c>
      <c r="R15035" s="37" t="str">
        <f t="shared" si="1174"/>
        <v>AVERAGE</v>
      </c>
      <c r="S15035" t="s">
        <v>628</v>
      </c>
    </row>
    <row r="15036" spans="1:19" x14ac:dyDescent="0.2">
      <c r="A15036" t="s">
        <v>15647</v>
      </c>
      <c r="B15036" t="s">
        <v>67</v>
      </c>
      <c r="C15036" t="s">
        <v>617</v>
      </c>
      <c r="D15036">
        <v>3270.86</v>
      </c>
      <c r="E15036" s="37" t="str">
        <f t="shared" si="1170"/>
        <v xml:space="preserve"> </v>
      </c>
      <c r="F15036">
        <v>0.03</v>
      </c>
      <c r="G15036" s="37" t="str">
        <f t="shared" si="1171"/>
        <v>Normal Discount</v>
      </c>
      <c r="H15036" s="37" t="str">
        <f t="shared" si="1172"/>
        <v>Low</v>
      </c>
      <c r="I15036">
        <v>4</v>
      </c>
      <c r="J15036" t="str" cm="1">
        <f t="array" ref="J15036">_xlfn.IFS(I15036&lt;=3,"small",I15036&lt;=6,"Medium",I15036&lt;=9,"Large")</f>
        <v>Medium</v>
      </c>
      <c r="K15036" s="36">
        <v>45102</v>
      </c>
      <c r="L15036" s="36">
        <v>45108</v>
      </c>
      <c r="M15036" t="s">
        <v>603</v>
      </c>
      <c r="N15036" t="s">
        <v>599</v>
      </c>
      <c r="O15036" s="37" t="str">
        <f t="shared" si="1173"/>
        <v>Digital Payment</v>
      </c>
      <c r="P15036">
        <v>242.53</v>
      </c>
      <c r="Q15036" s="37" t="str">
        <f>IF(P15036&gt;500,"High","low")</f>
        <v>low</v>
      </c>
      <c r="R15036" s="37" t="str">
        <f t="shared" si="1174"/>
        <v>AVERAGE</v>
      </c>
      <c r="S15036" t="s">
        <v>620</v>
      </c>
    </row>
    <row r="15037" spans="1:19" x14ac:dyDescent="0.2">
      <c r="A15037" t="s">
        <v>15648</v>
      </c>
      <c r="B15037" t="s">
        <v>75</v>
      </c>
      <c r="C15037" t="s">
        <v>597</v>
      </c>
      <c r="D15037">
        <v>1815.99</v>
      </c>
      <c r="E15037" s="37" t="str">
        <f t="shared" si="1170"/>
        <v xml:space="preserve"> </v>
      </c>
      <c r="F15037">
        <v>0.06</v>
      </c>
      <c r="G15037" s="37" t="str">
        <f t="shared" si="1171"/>
        <v>Normal Discount</v>
      </c>
      <c r="H15037" s="37" t="str">
        <f t="shared" si="1172"/>
        <v>Low</v>
      </c>
      <c r="I15037">
        <v>4</v>
      </c>
      <c r="J15037" t="str" cm="1">
        <f t="array" ref="J15037">_xlfn.IFS(I15037&lt;=3,"small",I15037&lt;=6,"Medium",I15037&lt;=9,"Large")</f>
        <v>Medium</v>
      </c>
      <c r="K15037" s="36">
        <v>45624</v>
      </c>
      <c r="L15037" s="36">
        <v>45630</v>
      </c>
      <c r="M15037" t="s">
        <v>603</v>
      </c>
      <c r="N15037" t="s">
        <v>604</v>
      </c>
      <c r="O15037" s="37" t="str">
        <f t="shared" si="1173"/>
        <v>Digital Payment</v>
      </c>
      <c r="P15037">
        <v>488.9</v>
      </c>
      <c r="Q15037" s="37" t="str">
        <f>IF(P15037&gt;500,"High","low")</f>
        <v>low</v>
      </c>
      <c r="R15037" s="37" t="str">
        <f t="shared" si="1174"/>
        <v>AVERAGE</v>
      </c>
      <c r="S15037" t="s">
        <v>609</v>
      </c>
    </row>
    <row r="15038" spans="1:19" x14ac:dyDescent="0.2">
      <c r="A15038" t="s">
        <v>15649</v>
      </c>
      <c r="B15038" t="s">
        <v>83</v>
      </c>
      <c r="C15038" t="s">
        <v>617</v>
      </c>
      <c r="D15038">
        <v>4809.62</v>
      </c>
      <c r="E15038" s="37" t="str">
        <f t="shared" si="1170"/>
        <v>Excellent Order</v>
      </c>
      <c r="F15038">
        <v>0.3</v>
      </c>
      <c r="G15038" s="37" t="str">
        <f t="shared" si="1171"/>
        <v>Normal Discount</v>
      </c>
      <c r="H15038" s="37" t="str">
        <f t="shared" si="1172"/>
        <v>Medium</v>
      </c>
      <c r="I15038">
        <v>1</v>
      </c>
      <c r="J15038" t="str" cm="1">
        <f t="array" ref="J15038">_xlfn.IFS(I15038&lt;=3,"small",I15038&lt;=6,"Medium",I15038&lt;=9,"Large")</f>
        <v>small</v>
      </c>
      <c r="K15038" s="36">
        <v>45027</v>
      </c>
      <c r="L15038" s="36">
        <v>45028</v>
      </c>
      <c r="M15038" t="s">
        <v>598</v>
      </c>
      <c r="N15038" t="s">
        <v>604</v>
      </c>
      <c r="O15038" s="37" t="str">
        <f t="shared" si="1173"/>
        <v>Digital Payment</v>
      </c>
      <c r="P15038">
        <v>1142.46</v>
      </c>
      <c r="Q15038" s="37" t="str">
        <f>IF(P15038&gt;500,"High","low")</f>
        <v>High</v>
      </c>
      <c r="R15038" s="37" t="str">
        <f t="shared" si="1174"/>
        <v>Excellent</v>
      </c>
      <c r="S15038" t="s">
        <v>605</v>
      </c>
    </row>
    <row r="15039" spans="1:19" x14ac:dyDescent="0.2">
      <c r="A15039" t="s">
        <v>15650</v>
      </c>
      <c r="B15039" t="s">
        <v>75</v>
      </c>
      <c r="C15039" t="s">
        <v>597</v>
      </c>
      <c r="D15039">
        <v>741.8</v>
      </c>
      <c r="E15039" s="37" t="str">
        <f t="shared" si="1170"/>
        <v xml:space="preserve"> </v>
      </c>
      <c r="F15039">
        <v>0.37</v>
      </c>
      <c r="G15039" s="37" t="str">
        <f t="shared" si="1171"/>
        <v>Heavy Discount</v>
      </c>
      <c r="H15039" s="37" t="str">
        <f t="shared" si="1172"/>
        <v>Medium</v>
      </c>
      <c r="I15039">
        <v>7</v>
      </c>
      <c r="J15039" t="str" cm="1">
        <f t="array" ref="J15039">_xlfn.IFS(I15039&lt;=3,"small",I15039&lt;=6,"Medium",I15039&lt;=9,"Large")</f>
        <v>Large</v>
      </c>
      <c r="K15039" s="36">
        <v>45144</v>
      </c>
      <c r="L15039" s="36">
        <v>45151</v>
      </c>
      <c r="M15039" t="s">
        <v>612</v>
      </c>
      <c r="N15039" t="s">
        <v>599</v>
      </c>
      <c r="O15039" s="37" t="str">
        <f t="shared" si="1173"/>
        <v>Digital Payment</v>
      </c>
      <c r="P15039">
        <v>98.62</v>
      </c>
      <c r="Q15039" s="37" t="str">
        <f>IF(P15039&gt;500,"High","low")</f>
        <v>low</v>
      </c>
      <c r="R15039" s="37" t="str">
        <f t="shared" si="1174"/>
        <v>AVERAGE</v>
      </c>
      <c r="S15039" t="s">
        <v>600</v>
      </c>
    </row>
    <row r="15040" spans="1:19" x14ac:dyDescent="0.2">
      <c r="A15040" t="s">
        <v>15651</v>
      </c>
      <c r="B15040" t="s">
        <v>90</v>
      </c>
      <c r="C15040" t="s">
        <v>597</v>
      </c>
      <c r="D15040">
        <v>4952.68</v>
      </c>
      <c r="E15040" s="37" t="str">
        <f t="shared" si="1170"/>
        <v xml:space="preserve"> </v>
      </c>
      <c r="F15040">
        <v>0.08</v>
      </c>
      <c r="G15040" s="37" t="str">
        <f t="shared" si="1171"/>
        <v>Normal Discount</v>
      </c>
      <c r="H15040" s="37" t="str">
        <f t="shared" si="1172"/>
        <v>Low</v>
      </c>
      <c r="I15040">
        <v>4</v>
      </c>
      <c r="J15040" t="str" cm="1">
        <f t="array" ref="J15040">_xlfn.IFS(I15040&lt;=3,"small",I15040&lt;=6,"Medium",I15040&lt;=9,"Large")</f>
        <v>Medium</v>
      </c>
      <c r="K15040" s="36">
        <v>45569</v>
      </c>
      <c r="L15040" s="36">
        <v>45575</v>
      </c>
      <c r="M15040" t="s">
        <v>612</v>
      </c>
      <c r="N15040" t="s">
        <v>599</v>
      </c>
      <c r="O15040" s="37" t="str">
        <f t="shared" si="1173"/>
        <v>Digital Payment</v>
      </c>
      <c r="P15040">
        <v>423.52</v>
      </c>
      <c r="Q15040" s="37" t="str">
        <f>IF(P15040&gt;500,"High","low")</f>
        <v>low</v>
      </c>
      <c r="R15040" s="37" t="str">
        <f t="shared" si="1174"/>
        <v>AVERAGE</v>
      </c>
      <c r="S15040" t="s">
        <v>609</v>
      </c>
    </row>
    <row r="15041" spans="1:19" x14ac:dyDescent="0.2">
      <c r="A15041" t="s">
        <v>15652</v>
      </c>
      <c r="B15041" t="s">
        <v>67</v>
      </c>
      <c r="C15041" t="s">
        <v>597</v>
      </c>
      <c r="D15041">
        <v>161.01</v>
      </c>
      <c r="E15041" s="37" t="str">
        <f t="shared" si="1170"/>
        <v xml:space="preserve"> </v>
      </c>
      <c r="F15041">
        <v>0.06</v>
      </c>
      <c r="G15041" s="37" t="str">
        <f t="shared" si="1171"/>
        <v>Normal Discount</v>
      </c>
      <c r="H15041" s="37" t="str">
        <f t="shared" si="1172"/>
        <v>Low</v>
      </c>
      <c r="I15041">
        <v>2</v>
      </c>
      <c r="J15041" t="str" cm="1">
        <f t="array" ref="J15041">_xlfn.IFS(I15041&lt;=3,"small",I15041&lt;=6,"Medium",I15041&lt;=9,"Large")</f>
        <v>small</v>
      </c>
      <c r="K15041" s="36">
        <v>45278</v>
      </c>
      <c r="L15041" s="36">
        <v>45280</v>
      </c>
      <c r="M15041" t="s">
        <v>598</v>
      </c>
      <c r="N15041" t="s">
        <v>604</v>
      </c>
      <c r="O15041" s="37" t="str">
        <f t="shared" si="1173"/>
        <v>Digital Payment</v>
      </c>
      <c r="P15041">
        <v>11.06</v>
      </c>
      <c r="Q15041" s="37" t="str">
        <f>IF(P15041&gt;500,"High","low")</f>
        <v>low</v>
      </c>
      <c r="R15041" s="37" t="str">
        <f t="shared" si="1174"/>
        <v>AVERAGE</v>
      </c>
      <c r="S15041" t="s">
        <v>609</v>
      </c>
    </row>
    <row r="15042" spans="1:19" x14ac:dyDescent="0.2">
      <c r="A15042" t="s">
        <v>15653</v>
      </c>
      <c r="B15042" t="s">
        <v>90</v>
      </c>
      <c r="C15042" t="s">
        <v>617</v>
      </c>
      <c r="D15042">
        <v>2313.3000000000002</v>
      </c>
      <c r="E15042" s="37" t="str">
        <f t="shared" si="1170"/>
        <v xml:space="preserve"> </v>
      </c>
      <c r="F15042">
        <v>0.35</v>
      </c>
      <c r="G15042" s="37" t="str">
        <f t="shared" si="1171"/>
        <v>Heavy Discount</v>
      </c>
      <c r="H15042" s="37" t="str">
        <f t="shared" si="1172"/>
        <v>Medium</v>
      </c>
      <c r="I15042">
        <v>1</v>
      </c>
      <c r="J15042" t="str" cm="1">
        <f t="array" ref="J15042">_xlfn.IFS(I15042&lt;=3,"small",I15042&lt;=6,"Medium",I15042&lt;=9,"Large")</f>
        <v>small</v>
      </c>
      <c r="K15042" s="36">
        <v>45100</v>
      </c>
      <c r="L15042" s="36">
        <v>45103</v>
      </c>
      <c r="M15042" t="s">
        <v>603</v>
      </c>
      <c r="N15042" t="s">
        <v>608</v>
      </c>
      <c r="O15042" s="37" t="str">
        <f t="shared" si="1173"/>
        <v>Cash Payment</v>
      </c>
      <c r="P15042">
        <v>673.06</v>
      </c>
      <c r="Q15042" s="37" t="str">
        <f>IF(P15042&gt;500,"High","low")</f>
        <v>High</v>
      </c>
      <c r="R15042" s="37" t="str">
        <f t="shared" si="1174"/>
        <v>Good</v>
      </c>
      <c r="S15042" t="s">
        <v>628</v>
      </c>
    </row>
    <row r="15043" spans="1:19" x14ac:dyDescent="0.2">
      <c r="A15043" t="s">
        <v>15654</v>
      </c>
      <c r="B15043" t="s">
        <v>83</v>
      </c>
      <c r="C15043" t="s">
        <v>617</v>
      </c>
      <c r="D15043">
        <v>1333.88</v>
      </c>
      <c r="E15043" s="37" t="str">
        <f t="shared" ref="E15043:E15106" si="1175">IF(AND(D15043&gt;4000,P15043&gt;800),"Excellent Order"," ")</f>
        <v xml:space="preserve"> </v>
      </c>
      <c r="F15043">
        <v>0.26</v>
      </c>
      <c r="G15043" s="37" t="str">
        <f t="shared" ref="G15043:G15106" si="1176">IF(F15043&gt;30%,"Heavy Discount","Normal Discount")</f>
        <v>Normal Discount</v>
      </c>
      <c r="H15043" s="37" t="str">
        <f t="shared" ref="H15043:H15106" si="1177">IF(F15043&gt;0.4,"High",IF(F15043&gt;=0.2,"Medium","Low"))</f>
        <v>Medium</v>
      </c>
      <c r="I15043">
        <v>3</v>
      </c>
      <c r="J15043" t="str" cm="1">
        <f t="array" ref="J15043">_xlfn.IFS(I15043&lt;=3,"small",I15043&lt;=6,"Medium",I15043&lt;=9,"Large")</f>
        <v>small</v>
      </c>
      <c r="K15043" s="36">
        <v>45072</v>
      </c>
      <c r="L15043" s="36">
        <v>45078</v>
      </c>
      <c r="M15043" t="s">
        <v>612</v>
      </c>
      <c r="N15043" t="s">
        <v>604</v>
      </c>
      <c r="O15043" s="37" t="str">
        <f t="shared" ref="O15043:O15106" si="1178">IF(OR(N15043="Card",N15043="UPI"),"Digital Payment","Cash Payment")</f>
        <v>Digital Payment</v>
      </c>
      <c r="P15043">
        <v>264.38</v>
      </c>
      <c r="Q15043" s="37" t="str">
        <f>IF(P15043&gt;500,"High","low")</f>
        <v>low</v>
      </c>
      <c r="R15043" s="37" t="str">
        <f t="shared" ref="R15043:R15106" si="1179">IF(P15043&gt;1000,"Excellent",IF(P15043&gt;=500,"Good","AVERAGE"))</f>
        <v>AVERAGE</v>
      </c>
      <c r="S15043" t="s">
        <v>615</v>
      </c>
    </row>
    <row r="15044" spans="1:19" x14ac:dyDescent="0.2">
      <c r="A15044" t="s">
        <v>15655</v>
      </c>
      <c r="B15044" t="s">
        <v>75</v>
      </c>
      <c r="C15044" t="s">
        <v>607</v>
      </c>
      <c r="D15044">
        <v>2874.8</v>
      </c>
      <c r="E15044" s="37" t="str">
        <f t="shared" si="1175"/>
        <v xml:space="preserve"> </v>
      </c>
      <c r="F15044">
        <v>0.19</v>
      </c>
      <c r="G15044" s="37" t="str">
        <f t="shared" si="1176"/>
        <v>Normal Discount</v>
      </c>
      <c r="H15044" s="37" t="str">
        <f t="shared" si="1177"/>
        <v>Low</v>
      </c>
      <c r="I15044">
        <v>1</v>
      </c>
      <c r="J15044" t="str" cm="1">
        <f t="array" ref="J15044">_xlfn.IFS(I15044&lt;=3,"small",I15044&lt;=6,"Medium",I15044&lt;=9,"Large")</f>
        <v>small</v>
      </c>
      <c r="K15044" s="36">
        <v>45110</v>
      </c>
      <c r="L15044" s="36">
        <v>45115</v>
      </c>
      <c r="M15044" t="s">
        <v>603</v>
      </c>
      <c r="N15044" t="s">
        <v>599</v>
      </c>
      <c r="O15044" s="37" t="str">
        <f t="shared" si="1178"/>
        <v>Digital Payment</v>
      </c>
      <c r="P15044">
        <v>189.24</v>
      </c>
      <c r="Q15044" s="37" t="str">
        <f>IF(P15044&gt;500,"High","low")</f>
        <v>low</v>
      </c>
      <c r="R15044" s="37" t="str">
        <f t="shared" si="1179"/>
        <v>AVERAGE</v>
      </c>
      <c r="S15044" t="s">
        <v>600</v>
      </c>
    </row>
    <row r="15045" spans="1:19" x14ac:dyDescent="0.2">
      <c r="A15045" t="s">
        <v>15656</v>
      </c>
      <c r="B15045" t="s">
        <v>83</v>
      </c>
      <c r="C15045" t="s">
        <v>614</v>
      </c>
      <c r="D15045">
        <v>573.1</v>
      </c>
      <c r="E15045" s="37" t="str">
        <f t="shared" si="1175"/>
        <v xml:space="preserve"> </v>
      </c>
      <c r="F15045">
        <v>0.36</v>
      </c>
      <c r="G15045" s="37" t="str">
        <f t="shared" si="1176"/>
        <v>Heavy Discount</v>
      </c>
      <c r="H15045" s="37" t="str">
        <f t="shared" si="1177"/>
        <v>Medium</v>
      </c>
      <c r="I15045">
        <v>5</v>
      </c>
      <c r="J15045" t="str" cm="1">
        <f t="array" ref="J15045">_xlfn.IFS(I15045&lt;=3,"small",I15045&lt;=6,"Medium",I15045&lt;=9,"Large")</f>
        <v>Medium</v>
      </c>
      <c r="K15045" s="36">
        <v>45343</v>
      </c>
      <c r="L15045" s="36">
        <v>45350</v>
      </c>
      <c r="M15045" t="s">
        <v>598</v>
      </c>
      <c r="N15045" t="s">
        <v>604</v>
      </c>
      <c r="O15045" s="37" t="str">
        <f t="shared" si="1178"/>
        <v>Digital Payment</v>
      </c>
      <c r="P15045">
        <v>32.200000000000003</v>
      </c>
      <c r="Q15045" s="37" t="str">
        <f>IF(P15045&gt;500,"High","low")</f>
        <v>low</v>
      </c>
      <c r="R15045" s="37" t="str">
        <f t="shared" si="1179"/>
        <v>AVERAGE</v>
      </c>
      <c r="S15045" t="s">
        <v>609</v>
      </c>
    </row>
    <row r="15046" spans="1:19" x14ac:dyDescent="0.2">
      <c r="A15046" t="s">
        <v>15657</v>
      </c>
      <c r="B15046" t="s">
        <v>90</v>
      </c>
      <c r="C15046" t="s">
        <v>614</v>
      </c>
      <c r="D15046">
        <v>4391.53</v>
      </c>
      <c r="E15046" s="37" t="str">
        <f t="shared" si="1175"/>
        <v xml:space="preserve"> </v>
      </c>
      <c r="F15046">
        <v>0.23</v>
      </c>
      <c r="G15046" s="37" t="str">
        <f t="shared" si="1176"/>
        <v>Normal Discount</v>
      </c>
      <c r="H15046" s="37" t="str">
        <f t="shared" si="1177"/>
        <v>Medium</v>
      </c>
      <c r="I15046">
        <v>6</v>
      </c>
      <c r="J15046" t="str" cm="1">
        <f t="array" ref="J15046">_xlfn.IFS(I15046&lt;=3,"small",I15046&lt;=6,"Medium",I15046&lt;=9,"Large")</f>
        <v>Medium</v>
      </c>
      <c r="K15046" s="36">
        <v>45071</v>
      </c>
      <c r="L15046" s="36">
        <v>45076</v>
      </c>
      <c r="M15046" t="s">
        <v>612</v>
      </c>
      <c r="N15046" t="s">
        <v>599</v>
      </c>
      <c r="O15046" s="37" t="str">
        <f t="shared" si="1178"/>
        <v>Digital Payment</v>
      </c>
      <c r="P15046">
        <v>337.84</v>
      </c>
      <c r="Q15046" s="37" t="str">
        <f>IF(P15046&gt;500,"High","low")</f>
        <v>low</v>
      </c>
      <c r="R15046" s="37" t="str">
        <f t="shared" si="1179"/>
        <v>AVERAGE</v>
      </c>
      <c r="S15046" t="s">
        <v>620</v>
      </c>
    </row>
    <row r="15047" spans="1:19" x14ac:dyDescent="0.2">
      <c r="A15047" t="s">
        <v>15658</v>
      </c>
      <c r="B15047" t="s">
        <v>67</v>
      </c>
      <c r="C15047" t="s">
        <v>614</v>
      </c>
      <c r="D15047">
        <v>768.98</v>
      </c>
      <c r="E15047" s="37" t="str">
        <f t="shared" si="1175"/>
        <v xml:space="preserve"> </v>
      </c>
      <c r="F15047">
        <v>0.23</v>
      </c>
      <c r="G15047" s="37" t="str">
        <f t="shared" si="1176"/>
        <v>Normal Discount</v>
      </c>
      <c r="H15047" s="37" t="str">
        <f t="shared" si="1177"/>
        <v>Medium</v>
      </c>
      <c r="I15047">
        <v>6</v>
      </c>
      <c r="J15047" t="str" cm="1">
        <f t="array" ref="J15047">_xlfn.IFS(I15047&lt;=3,"small",I15047&lt;=6,"Medium",I15047&lt;=9,"Large")</f>
        <v>Medium</v>
      </c>
      <c r="K15047" s="36">
        <v>45002</v>
      </c>
      <c r="L15047" s="36">
        <v>45003</v>
      </c>
      <c r="M15047" t="s">
        <v>598</v>
      </c>
      <c r="N15047" t="s">
        <v>604</v>
      </c>
      <c r="O15047" s="37" t="str">
        <f t="shared" si="1178"/>
        <v>Digital Payment</v>
      </c>
      <c r="P15047">
        <v>170.03</v>
      </c>
      <c r="Q15047" s="37" t="str">
        <f>IF(P15047&gt;500,"High","low")</f>
        <v>low</v>
      </c>
      <c r="R15047" s="37" t="str">
        <f t="shared" si="1179"/>
        <v>AVERAGE</v>
      </c>
      <c r="S15047" t="s">
        <v>605</v>
      </c>
    </row>
    <row r="15048" spans="1:19" x14ac:dyDescent="0.2">
      <c r="A15048" t="s">
        <v>15659</v>
      </c>
      <c r="B15048" t="s">
        <v>67</v>
      </c>
      <c r="C15048" t="s">
        <v>597</v>
      </c>
      <c r="D15048">
        <v>2978.21</v>
      </c>
      <c r="E15048" s="37" t="str">
        <f t="shared" si="1175"/>
        <v xml:space="preserve"> </v>
      </c>
      <c r="F15048">
        <v>0.01</v>
      </c>
      <c r="G15048" s="37" t="str">
        <f t="shared" si="1176"/>
        <v>Normal Discount</v>
      </c>
      <c r="H15048" s="37" t="str">
        <f t="shared" si="1177"/>
        <v>Low</v>
      </c>
      <c r="I15048">
        <v>6</v>
      </c>
      <c r="J15048" t="str" cm="1">
        <f t="array" ref="J15048">_xlfn.IFS(I15048&lt;=3,"small",I15048&lt;=6,"Medium",I15048&lt;=9,"Large")</f>
        <v>Medium</v>
      </c>
      <c r="K15048" s="36">
        <v>45651</v>
      </c>
      <c r="L15048" s="36">
        <v>45656</v>
      </c>
      <c r="M15048" t="s">
        <v>603</v>
      </c>
      <c r="N15048" t="s">
        <v>599</v>
      </c>
      <c r="O15048" s="37" t="str">
        <f t="shared" si="1178"/>
        <v>Digital Payment</v>
      </c>
      <c r="P15048">
        <v>304.7</v>
      </c>
      <c r="Q15048" s="37" t="str">
        <f>IF(P15048&gt;500,"High","low")</f>
        <v>low</v>
      </c>
      <c r="R15048" s="37" t="str">
        <f t="shared" si="1179"/>
        <v>AVERAGE</v>
      </c>
      <c r="S15048" t="s">
        <v>615</v>
      </c>
    </row>
    <row r="15049" spans="1:19" x14ac:dyDescent="0.2">
      <c r="A15049" t="s">
        <v>15660</v>
      </c>
      <c r="B15049" t="s">
        <v>83</v>
      </c>
      <c r="C15049" t="s">
        <v>614</v>
      </c>
      <c r="D15049">
        <v>263.39999999999998</v>
      </c>
      <c r="E15049" s="37" t="str">
        <f t="shared" si="1175"/>
        <v xml:space="preserve"> </v>
      </c>
      <c r="F15049">
        <v>0.16</v>
      </c>
      <c r="G15049" s="37" t="str">
        <f t="shared" si="1176"/>
        <v>Normal Discount</v>
      </c>
      <c r="H15049" s="37" t="str">
        <f t="shared" si="1177"/>
        <v>Low</v>
      </c>
      <c r="I15049">
        <v>7</v>
      </c>
      <c r="J15049" t="str" cm="1">
        <f t="array" ref="J15049">_xlfn.IFS(I15049&lt;=3,"small",I15049&lt;=6,"Medium",I15049&lt;=9,"Large")</f>
        <v>Large</v>
      </c>
      <c r="K15049" s="36">
        <v>45312</v>
      </c>
      <c r="L15049" s="36">
        <v>45314</v>
      </c>
      <c r="M15049" t="s">
        <v>603</v>
      </c>
      <c r="N15049" t="s">
        <v>604</v>
      </c>
      <c r="O15049" s="37" t="str">
        <f t="shared" si="1178"/>
        <v>Digital Payment</v>
      </c>
      <c r="P15049">
        <v>47.09</v>
      </c>
      <c r="Q15049" s="37" t="str">
        <f>IF(P15049&gt;500,"High","low")</f>
        <v>low</v>
      </c>
      <c r="R15049" s="37" t="str">
        <f t="shared" si="1179"/>
        <v>AVERAGE</v>
      </c>
      <c r="S15049" t="s">
        <v>615</v>
      </c>
    </row>
    <row r="15050" spans="1:19" x14ac:dyDescent="0.2">
      <c r="A15050" t="s">
        <v>15661</v>
      </c>
      <c r="B15050" t="s">
        <v>83</v>
      </c>
      <c r="C15050" t="s">
        <v>617</v>
      </c>
      <c r="D15050">
        <v>1623.86</v>
      </c>
      <c r="E15050" s="37" t="str">
        <f t="shared" si="1175"/>
        <v xml:space="preserve"> </v>
      </c>
      <c r="F15050">
        <v>0</v>
      </c>
      <c r="G15050" s="37" t="str">
        <f t="shared" si="1176"/>
        <v>Normal Discount</v>
      </c>
      <c r="H15050" s="37" t="str">
        <f t="shared" si="1177"/>
        <v>Low</v>
      </c>
      <c r="I15050">
        <v>1</v>
      </c>
      <c r="J15050" t="str" cm="1">
        <f t="array" ref="J15050">_xlfn.IFS(I15050&lt;=3,"small",I15050&lt;=6,"Medium",I15050&lt;=9,"Large")</f>
        <v>small</v>
      </c>
      <c r="K15050" s="36">
        <v>45080</v>
      </c>
      <c r="L15050" s="36">
        <v>45084</v>
      </c>
      <c r="M15050" t="s">
        <v>603</v>
      </c>
      <c r="N15050" t="s">
        <v>608</v>
      </c>
      <c r="O15050" s="37" t="str">
        <f t="shared" si="1178"/>
        <v>Cash Payment</v>
      </c>
      <c r="P15050">
        <v>418.85</v>
      </c>
      <c r="Q15050" s="37" t="str">
        <f>IF(P15050&gt;500,"High","low")</f>
        <v>low</v>
      </c>
      <c r="R15050" s="37" t="str">
        <f t="shared" si="1179"/>
        <v>AVERAGE</v>
      </c>
      <c r="S15050" t="s">
        <v>609</v>
      </c>
    </row>
    <row r="15051" spans="1:19" x14ac:dyDescent="0.2">
      <c r="A15051" t="s">
        <v>15662</v>
      </c>
      <c r="B15051" t="s">
        <v>75</v>
      </c>
      <c r="C15051" t="s">
        <v>607</v>
      </c>
      <c r="D15051">
        <v>833.64</v>
      </c>
      <c r="E15051" s="37" t="str">
        <f t="shared" si="1175"/>
        <v xml:space="preserve"> </v>
      </c>
      <c r="F15051">
        <v>0.46</v>
      </c>
      <c r="G15051" s="37" t="str">
        <f t="shared" si="1176"/>
        <v>Heavy Discount</v>
      </c>
      <c r="H15051" s="37" t="str">
        <f t="shared" si="1177"/>
        <v>High</v>
      </c>
      <c r="I15051">
        <v>4</v>
      </c>
      <c r="J15051" t="str" cm="1">
        <f t="array" ref="J15051">_xlfn.IFS(I15051&lt;=3,"small",I15051&lt;=6,"Medium",I15051&lt;=9,"Large")</f>
        <v>Medium</v>
      </c>
      <c r="K15051" s="36">
        <v>45093</v>
      </c>
      <c r="L15051" s="36">
        <v>45095</v>
      </c>
      <c r="M15051" t="s">
        <v>598</v>
      </c>
      <c r="N15051" t="s">
        <v>599</v>
      </c>
      <c r="O15051" s="37" t="str">
        <f t="shared" si="1178"/>
        <v>Digital Payment</v>
      </c>
      <c r="P15051">
        <v>201.75</v>
      </c>
      <c r="Q15051" s="37" t="str">
        <f>IF(P15051&gt;500,"High","low")</f>
        <v>low</v>
      </c>
      <c r="R15051" s="37" t="str">
        <f t="shared" si="1179"/>
        <v>AVERAGE</v>
      </c>
      <c r="S15051" t="s">
        <v>615</v>
      </c>
    </row>
    <row r="15052" spans="1:19" x14ac:dyDescent="0.2">
      <c r="A15052" t="s">
        <v>15663</v>
      </c>
      <c r="B15052" t="s">
        <v>90</v>
      </c>
      <c r="C15052" t="s">
        <v>602</v>
      </c>
      <c r="D15052">
        <v>4891.45</v>
      </c>
      <c r="E15052" s="37" t="str">
        <f t="shared" si="1175"/>
        <v xml:space="preserve"> </v>
      </c>
      <c r="F15052">
        <v>0.15</v>
      </c>
      <c r="G15052" s="37" t="str">
        <f t="shared" si="1176"/>
        <v>Normal Discount</v>
      </c>
      <c r="H15052" s="37" t="str">
        <f t="shared" si="1177"/>
        <v>Low</v>
      </c>
      <c r="I15052">
        <v>9</v>
      </c>
      <c r="J15052" t="str" cm="1">
        <f t="array" ref="J15052">_xlfn.IFS(I15052&lt;=3,"small",I15052&lt;=6,"Medium",I15052&lt;=9,"Large")</f>
        <v>Large</v>
      </c>
      <c r="K15052" s="36">
        <v>45373</v>
      </c>
      <c r="L15052" s="36">
        <v>45376</v>
      </c>
      <c r="M15052" t="s">
        <v>598</v>
      </c>
      <c r="N15052" t="s">
        <v>599</v>
      </c>
      <c r="O15052" s="37" t="str">
        <f t="shared" si="1178"/>
        <v>Digital Payment</v>
      </c>
      <c r="P15052">
        <v>733.06</v>
      </c>
      <c r="Q15052" s="37" t="str">
        <f>IF(P15052&gt;500,"High","low")</f>
        <v>High</v>
      </c>
      <c r="R15052" s="37" t="str">
        <f t="shared" si="1179"/>
        <v>Good</v>
      </c>
      <c r="S15052" t="s">
        <v>615</v>
      </c>
    </row>
    <row r="15053" spans="1:19" x14ac:dyDescent="0.2">
      <c r="A15053" t="s">
        <v>15664</v>
      </c>
      <c r="B15053" t="s">
        <v>83</v>
      </c>
      <c r="C15053" t="s">
        <v>607</v>
      </c>
      <c r="D15053">
        <v>158.9</v>
      </c>
      <c r="E15053" s="37" t="str">
        <f t="shared" si="1175"/>
        <v xml:space="preserve"> </v>
      </c>
      <c r="F15053">
        <v>0.09</v>
      </c>
      <c r="G15053" s="37" t="str">
        <f t="shared" si="1176"/>
        <v>Normal Discount</v>
      </c>
      <c r="H15053" s="37" t="str">
        <f t="shared" si="1177"/>
        <v>Low</v>
      </c>
      <c r="I15053">
        <v>2</v>
      </c>
      <c r="J15053" t="str" cm="1">
        <f t="array" ref="J15053">_xlfn.IFS(I15053&lt;=3,"small",I15053&lt;=6,"Medium",I15053&lt;=9,"Large")</f>
        <v>small</v>
      </c>
      <c r="K15053" s="36">
        <v>45327</v>
      </c>
      <c r="L15053" s="36">
        <v>45333</v>
      </c>
      <c r="M15053" t="s">
        <v>612</v>
      </c>
      <c r="N15053" t="s">
        <v>608</v>
      </c>
      <c r="O15053" s="37" t="str">
        <f t="shared" si="1178"/>
        <v>Cash Payment</v>
      </c>
      <c r="P15053">
        <v>41.4</v>
      </c>
      <c r="Q15053" s="37" t="str">
        <f>IF(P15053&gt;500,"High","low")</f>
        <v>low</v>
      </c>
      <c r="R15053" s="37" t="str">
        <f t="shared" si="1179"/>
        <v>AVERAGE</v>
      </c>
      <c r="S15053" t="s">
        <v>605</v>
      </c>
    </row>
    <row r="15054" spans="1:19" x14ac:dyDescent="0.2">
      <c r="A15054" t="s">
        <v>15665</v>
      </c>
      <c r="B15054" t="s">
        <v>75</v>
      </c>
      <c r="C15054" t="s">
        <v>614</v>
      </c>
      <c r="D15054">
        <v>1826.74</v>
      </c>
      <c r="E15054" s="37" t="str">
        <f t="shared" si="1175"/>
        <v xml:space="preserve"> </v>
      </c>
      <c r="F15054">
        <v>0.05</v>
      </c>
      <c r="G15054" s="37" t="str">
        <f t="shared" si="1176"/>
        <v>Normal Discount</v>
      </c>
      <c r="H15054" s="37" t="str">
        <f t="shared" si="1177"/>
        <v>Low</v>
      </c>
      <c r="I15054">
        <v>8</v>
      </c>
      <c r="J15054" t="str" cm="1">
        <f t="array" ref="J15054">_xlfn.IFS(I15054&lt;=3,"small",I15054&lt;=6,"Medium",I15054&lt;=9,"Large")</f>
        <v>Large</v>
      </c>
      <c r="K15054" s="36">
        <v>45042</v>
      </c>
      <c r="L15054" s="36">
        <v>45047</v>
      </c>
      <c r="M15054" t="s">
        <v>603</v>
      </c>
      <c r="N15054" t="s">
        <v>608</v>
      </c>
      <c r="O15054" s="37" t="str">
        <f t="shared" si="1178"/>
        <v>Cash Payment</v>
      </c>
      <c r="P15054">
        <v>232.56</v>
      </c>
      <c r="Q15054" s="37" t="str">
        <f>IF(P15054&gt;500,"High","low")</f>
        <v>low</v>
      </c>
      <c r="R15054" s="37" t="str">
        <f t="shared" si="1179"/>
        <v>AVERAGE</v>
      </c>
      <c r="S15054" t="s">
        <v>609</v>
      </c>
    </row>
    <row r="15055" spans="1:19" x14ac:dyDescent="0.2">
      <c r="A15055" t="s">
        <v>15666</v>
      </c>
      <c r="B15055" t="s">
        <v>83</v>
      </c>
      <c r="C15055" t="s">
        <v>614</v>
      </c>
      <c r="D15055">
        <v>1583.6</v>
      </c>
      <c r="E15055" s="37" t="str">
        <f t="shared" si="1175"/>
        <v xml:space="preserve"> </v>
      </c>
      <c r="F15055">
        <v>0.02</v>
      </c>
      <c r="G15055" s="37" t="str">
        <f t="shared" si="1176"/>
        <v>Normal Discount</v>
      </c>
      <c r="H15055" s="37" t="str">
        <f t="shared" si="1177"/>
        <v>Low</v>
      </c>
      <c r="I15055">
        <v>7</v>
      </c>
      <c r="J15055" t="str" cm="1">
        <f t="array" ref="J15055">_xlfn.IFS(I15055&lt;=3,"small",I15055&lt;=6,"Medium",I15055&lt;=9,"Large")</f>
        <v>Large</v>
      </c>
      <c r="K15055" s="36">
        <v>45026</v>
      </c>
      <c r="L15055" s="36">
        <v>45029</v>
      </c>
      <c r="M15055" t="s">
        <v>598</v>
      </c>
      <c r="N15055" t="s">
        <v>608</v>
      </c>
      <c r="O15055" s="37" t="str">
        <f t="shared" si="1178"/>
        <v>Cash Payment</v>
      </c>
      <c r="P15055">
        <v>176.98</v>
      </c>
      <c r="Q15055" s="37" t="str">
        <f>IF(P15055&gt;500,"High","low")</f>
        <v>low</v>
      </c>
      <c r="R15055" s="37" t="str">
        <f t="shared" si="1179"/>
        <v>AVERAGE</v>
      </c>
      <c r="S15055" t="s">
        <v>605</v>
      </c>
    </row>
    <row r="15056" spans="1:19" x14ac:dyDescent="0.2">
      <c r="A15056" t="s">
        <v>15667</v>
      </c>
      <c r="B15056" t="s">
        <v>67</v>
      </c>
      <c r="C15056" t="s">
        <v>617</v>
      </c>
      <c r="D15056">
        <v>3321.13</v>
      </c>
      <c r="E15056" s="37" t="str">
        <f t="shared" si="1175"/>
        <v xml:space="preserve"> </v>
      </c>
      <c r="F15056">
        <v>0.44</v>
      </c>
      <c r="G15056" s="37" t="str">
        <f t="shared" si="1176"/>
        <v>Heavy Discount</v>
      </c>
      <c r="H15056" s="37" t="str">
        <f t="shared" si="1177"/>
        <v>High</v>
      </c>
      <c r="I15056">
        <v>7</v>
      </c>
      <c r="J15056" t="str" cm="1">
        <f t="array" ref="J15056">_xlfn.IFS(I15056&lt;=3,"small",I15056&lt;=6,"Medium",I15056&lt;=9,"Large")</f>
        <v>Large</v>
      </c>
      <c r="K15056" s="36">
        <v>44960</v>
      </c>
      <c r="L15056" s="36">
        <v>44963</v>
      </c>
      <c r="M15056" t="s">
        <v>603</v>
      </c>
      <c r="N15056" t="s">
        <v>608</v>
      </c>
      <c r="O15056" s="37" t="str">
        <f t="shared" si="1178"/>
        <v>Cash Payment</v>
      </c>
      <c r="P15056">
        <v>791.81</v>
      </c>
      <c r="Q15056" s="37" t="str">
        <f>IF(P15056&gt;500,"High","low")</f>
        <v>High</v>
      </c>
      <c r="R15056" s="37" t="str">
        <f t="shared" si="1179"/>
        <v>Good</v>
      </c>
      <c r="S15056" t="s">
        <v>628</v>
      </c>
    </row>
    <row r="15057" spans="1:19" x14ac:dyDescent="0.2">
      <c r="A15057" t="s">
        <v>15668</v>
      </c>
      <c r="B15057" t="s">
        <v>75</v>
      </c>
      <c r="C15057" t="s">
        <v>607</v>
      </c>
      <c r="D15057">
        <v>376.25</v>
      </c>
      <c r="E15057" s="37" t="str">
        <f t="shared" si="1175"/>
        <v xml:space="preserve"> </v>
      </c>
      <c r="F15057">
        <v>0.08</v>
      </c>
      <c r="G15057" s="37" t="str">
        <f t="shared" si="1176"/>
        <v>Normal Discount</v>
      </c>
      <c r="H15057" s="37" t="str">
        <f t="shared" si="1177"/>
        <v>Low</v>
      </c>
      <c r="I15057">
        <v>3</v>
      </c>
      <c r="J15057" t="str" cm="1">
        <f t="array" ref="J15057">_xlfn.IFS(I15057&lt;=3,"small",I15057&lt;=6,"Medium",I15057&lt;=9,"Large")</f>
        <v>small</v>
      </c>
      <c r="K15057" s="36">
        <v>45457</v>
      </c>
      <c r="L15057" s="36">
        <v>45462</v>
      </c>
      <c r="M15057" t="s">
        <v>603</v>
      </c>
      <c r="N15057" t="s">
        <v>608</v>
      </c>
      <c r="O15057" s="37" t="str">
        <f t="shared" si="1178"/>
        <v>Cash Payment</v>
      </c>
      <c r="P15057">
        <v>65.55</v>
      </c>
      <c r="Q15057" s="37" t="str">
        <f>IF(P15057&gt;500,"High","low")</f>
        <v>low</v>
      </c>
      <c r="R15057" s="37" t="str">
        <f t="shared" si="1179"/>
        <v>AVERAGE</v>
      </c>
      <c r="S15057" t="s">
        <v>620</v>
      </c>
    </row>
    <row r="15058" spans="1:19" x14ac:dyDescent="0.2">
      <c r="A15058" t="s">
        <v>15669</v>
      </c>
      <c r="B15058" t="s">
        <v>75</v>
      </c>
      <c r="C15058" t="s">
        <v>617</v>
      </c>
      <c r="D15058">
        <v>4072.03</v>
      </c>
      <c r="E15058" s="37" t="str">
        <f t="shared" si="1175"/>
        <v>Excellent Order</v>
      </c>
      <c r="F15058">
        <v>0.31</v>
      </c>
      <c r="G15058" s="37" t="str">
        <f t="shared" si="1176"/>
        <v>Heavy Discount</v>
      </c>
      <c r="H15058" s="37" t="str">
        <f t="shared" si="1177"/>
        <v>Medium</v>
      </c>
      <c r="I15058">
        <v>2</v>
      </c>
      <c r="J15058" t="str" cm="1">
        <f t="array" ref="J15058">_xlfn.IFS(I15058&lt;=3,"small",I15058&lt;=6,"Medium",I15058&lt;=9,"Large")</f>
        <v>small</v>
      </c>
      <c r="K15058" s="36">
        <v>45342</v>
      </c>
      <c r="L15058" s="36">
        <v>45346</v>
      </c>
      <c r="M15058" t="s">
        <v>603</v>
      </c>
      <c r="N15058" t="s">
        <v>608</v>
      </c>
      <c r="O15058" s="37" t="str">
        <f t="shared" si="1178"/>
        <v>Cash Payment</v>
      </c>
      <c r="P15058">
        <v>1168.56</v>
      </c>
      <c r="Q15058" s="37" t="str">
        <f>IF(P15058&gt;500,"High","low")</f>
        <v>High</v>
      </c>
      <c r="R15058" s="37" t="str">
        <f t="shared" si="1179"/>
        <v>Excellent</v>
      </c>
      <c r="S15058" t="s">
        <v>600</v>
      </c>
    </row>
    <row r="15059" spans="1:19" x14ac:dyDescent="0.2">
      <c r="A15059" t="s">
        <v>15670</v>
      </c>
      <c r="B15059" t="s">
        <v>83</v>
      </c>
      <c r="C15059" t="s">
        <v>617</v>
      </c>
      <c r="D15059">
        <v>2385.9699999999998</v>
      </c>
      <c r="E15059" s="37" t="str">
        <f t="shared" si="1175"/>
        <v xml:space="preserve"> </v>
      </c>
      <c r="F15059">
        <v>0.33</v>
      </c>
      <c r="G15059" s="37" t="str">
        <f t="shared" si="1176"/>
        <v>Heavy Discount</v>
      </c>
      <c r="H15059" s="37" t="str">
        <f t="shared" si="1177"/>
        <v>Medium</v>
      </c>
      <c r="I15059">
        <v>2</v>
      </c>
      <c r="J15059" t="str" cm="1">
        <f t="array" ref="J15059">_xlfn.IFS(I15059&lt;=3,"small",I15059&lt;=6,"Medium",I15059&lt;=9,"Large")</f>
        <v>small</v>
      </c>
      <c r="K15059" s="36">
        <v>45524</v>
      </c>
      <c r="L15059" s="36">
        <v>45526</v>
      </c>
      <c r="M15059" t="s">
        <v>603</v>
      </c>
      <c r="N15059" t="s">
        <v>604</v>
      </c>
      <c r="O15059" s="37" t="str">
        <f t="shared" si="1178"/>
        <v>Digital Payment</v>
      </c>
      <c r="P15059">
        <v>280.61</v>
      </c>
      <c r="Q15059" s="37" t="str">
        <f>IF(P15059&gt;500,"High","low")</f>
        <v>low</v>
      </c>
      <c r="R15059" s="37" t="str">
        <f t="shared" si="1179"/>
        <v>AVERAGE</v>
      </c>
      <c r="S15059" t="s">
        <v>628</v>
      </c>
    </row>
    <row r="15060" spans="1:19" x14ac:dyDescent="0.2">
      <c r="A15060" t="s">
        <v>15671</v>
      </c>
      <c r="B15060" t="s">
        <v>90</v>
      </c>
      <c r="C15060" t="s">
        <v>602</v>
      </c>
      <c r="D15060">
        <v>2318.59</v>
      </c>
      <c r="E15060" s="37" t="str">
        <f t="shared" si="1175"/>
        <v xml:space="preserve"> </v>
      </c>
      <c r="F15060">
        <v>0.16</v>
      </c>
      <c r="G15060" s="37" t="str">
        <f t="shared" si="1176"/>
        <v>Normal Discount</v>
      </c>
      <c r="H15060" s="37" t="str">
        <f t="shared" si="1177"/>
        <v>Low</v>
      </c>
      <c r="I15060">
        <v>3</v>
      </c>
      <c r="J15060" t="str" cm="1">
        <f t="array" ref="J15060">_xlfn.IFS(I15060&lt;=3,"small",I15060&lt;=6,"Medium",I15060&lt;=9,"Large")</f>
        <v>small</v>
      </c>
      <c r="K15060" s="36">
        <v>45424</v>
      </c>
      <c r="L15060" s="36">
        <v>45427</v>
      </c>
      <c r="M15060" t="s">
        <v>603</v>
      </c>
      <c r="N15060" t="s">
        <v>604</v>
      </c>
      <c r="O15060" s="37" t="str">
        <f t="shared" si="1178"/>
        <v>Digital Payment</v>
      </c>
      <c r="P15060">
        <v>422.97</v>
      </c>
      <c r="Q15060" s="37" t="str">
        <f>IF(P15060&gt;500,"High","low")</f>
        <v>low</v>
      </c>
      <c r="R15060" s="37" t="str">
        <f t="shared" si="1179"/>
        <v>AVERAGE</v>
      </c>
      <c r="S15060" t="s">
        <v>600</v>
      </c>
    </row>
    <row r="15061" spans="1:19" x14ac:dyDescent="0.2">
      <c r="A15061" t="s">
        <v>15672</v>
      </c>
      <c r="B15061" t="s">
        <v>67</v>
      </c>
      <c r="C15061" t="s">
        <v>617</v>
      </c>
      <c r="D15061">
        <v>1211.27</v>
      </c>
      <c r="E15061" s="37" t="str">
        <f t="shared" si="1175"/>
        <v xml:space="preserve"> </v>
      </c>
      <c r="F15061">
        <v>0.42</v>
      </c>
      <c r="G15061" s="37" t="str">
        <f t="shared" si="1176"/>
        <v>Heavy Discount</v>
      </c>
      <c r="H15061" s="37" t="str">
        <f t="shared" si="1177"/>
        <v>High</v>
      </c>
      <c r="I15061">
        <v>3</v>
      </c>
      <c r="J15061" t="str" cm="1">
        <f t="array" ref="J15061">_xlfn.IFS(I15061&lt;=3,"small",I15061&lt;=6,"Medium",I15061&lt;=9,"Large")</f>
        <v>small</v>
      </c>
      <c r="K15061" s="36">
        <v>45304</v>
      </c>
      <c r="L15061" s="36">
        <v>45306</v>
      </c>
      <c r="M15061" t="s">
        <v>612</v>
      </c>
      <c r="N15061" t="s">
        <v>604</v>
      </c>
      <c r="O15061" s="37" t="str">
        <f t="shared" si="1178"/>
        <v>Digital Payment</v>
      </c>
      <c r="P15061">
        <v>121.89</v>
      </c>
      <c r="Q15061" s="37" t="str">
        <f>IF(P15061&gt;500,"High","low")</f>
        <v>low</v>
      </c>
      <c r="R15061" s="37" t="str">
        <f t="shared" si="1179"/>
        <v>AVERAGE</v>
      </c>
      <c r="S15061" t="s">
        <v>609</v>
      </c>
    </row>
    <row r="15062" spans="1:19" x14ac:dyDescent="0.2">
      <c r="A15062" t="s">
        <v>15673</v>
      </c>
      <c r="B15062" t="s">
        <v>90</v>
      </c>
      <c r="C15062" t="s">
        <v>617</v>
      </c>
      <c r="D15062">
        <v>2501.23</v>
      </c>
      <c r="E15062" s="37" t="str">
        <f t="shared" si="1175"/>
        <v xml:space="preserve"> </v>
      </c>
      <c r="F15062">
        <v>0.11</v>
      </c>
      <c r="G15062" s="37" t="str">
        <f t="shared" si="1176"/>
        <v>Normal Discount</v>
      </c>
      <c r="H15062" s="37" t="str">
        <f t="shared" si="1177"/>
        <v>Low</v>
      </c>
      <c r="I15062">
        <v>2</v>
      </c>
      <c r="J15062" t="str" cm="1">
        <f t="array" ref="J15062">_xlfn.IFS(I15062&lt;=3,"small",I15062&lt;=6,"Medium",I15062&lt;=9,"Large")</f>
        <v>small</v>
      </c>
      <c r="K15062" s="36">
        <v>45008</v>
      </c>
      <c r="L15062" s="36">
        <v>45011</v>
      </c>
      <c r="M15062" t="s">
        <v>603</v>
      </c>
      <c r="N15062" t="s">
        <v>599</v>
      </c>
      <c r="O15062" s="37" t="str">
        <f t="shared" si="1178"/>
        <v>Digital Payment</v>
      </c>
      <c r="P15062">
        <v>175.25</v>
      </c>
      <c r="Q15062" s="37" t="str">
        <f>IF(P15062&gt;500,"High","low")</f>
        <v>low</v>
      </c>
      <c r="R15062" s="37" t="str">
        <f t="shared" si="1179"/>
        <v>AVERAGE</v>
      </c>
      <c r="S15062" t="s">
        <v>605</v>
      </c>
    </row>
    <row r="15063" spans="1:19" x14ac:dyDescent="0.2">
      <c r="A15063" t="s">
        <v>15674</v>
      </c>
      <c r="B15063" t="s">
        <v>75</v>
      </c>
      <c r="C15063" t="s">
        <v>602</v>
      </c>
      <c r="D15063">
        <v>1883.08</v>
      </c>
      <c r="E15063" s="37" t="str">
        <f t="shared" si="1175"/>
        <v xml:space="preserve"> </v>
      </c>
      <c r="F15063">
        <v>0.04</v>
      </c>
      <c r="G15063" s="37" t="str">
        <f t="shared" si="1176"/>
        <v>Normal Discount</v>
      </c>
      <c r="H15063" s="37" t="str">
        <f t="shared" si="1177"/>
        <v>Low</v>
      </c>
      <c r="I15063">
        <v>7</v>
      </c>
      <c r="J15063" t="str" cm="1">
        <f t="array" ref="J15063">_xlfn.IFS(I15063&lt;=3,"small",I15063&lt;=6,"Medium",I15063&lt;=9,"Large")</f>
        <v>Large</v>
      </c>
      <c r="K15063" s="36">
        <v>45415</v>
      </c>
      <c r="L15063" s="36">
        <v>45420</v>
      </c>
      <c r="M15063" t="s">
        <v>598</v>
      </c>
      <c r="N15063" t="s">
        <v>599</v>
      </c>
      <c r="O15063" s="37" t="str">
        <f t="shared" si="1178"/>
        <v>Digital Payment</v>
      </c>
      <c r="P15063">
        <v>182.51</v>
      </c>
      <c r="Q15063" s="37" t="str">
        <f>IF(P15063&gt;500,"High","low")</f>
        <v>low</v>
      </c>
      <c r="R15063" s="37" t="str">
        <f t="shared" si="1179"/>
        <v>AVERAGE</v>
      </c>
      <c r="S15063" t="s">
        <v>605</v>
      </c>
    </row>
    <row r="15064" spans="1:19" x14ac:dyDescent="0.2">
      <c r="A15064" t="s">
        <v>15675</v>
      </c>
      <c r="B15064" t="s">
        <v>90</v>
      </c>
      <c r="C15064" t="s">
        <v>597</v>
      </c>
      <c r="D15064">
        <v>1301.17</v>
      </c>
      <c r="E15064" s="37" t="str">
        <f t="shared" si="1175"/>
        <v xml:space="preserve"> </v>
      </c>
      <c r="F15064">
        <v>0.03</v>
      </c>
      <c r="G15064" s="37" t="str">
        <f t="shared" si="1176"/>
        <v>Normal Discount</v>
      </c>
      <c r="H15064" s="37" t="str">
        <f t="shared" si="1177"/>
        <v>Low</v>
      </c>
      <c r="I15064">
        <v>2</v>
      </c>
      <c r="J15064" t="str" cm="1">
        <f t="array" ref="J15064">_xlfn.IFS(I15064&lt;=3,"small",I15064&lt;=6,"Medium",I15064&lt;=9,"Large")</f>
        <v>small</v>
      </c>
      <c r="K15064" s="36">
        <v>45248</v>
      </c>
      <c r="L15064" s="36">
        <v>45253</v>
      </c>
      <c r="M15064" t="s">
        <v>598</v>
      </c>
      <c r="N15064" t="s">
        <v>608</v>
      </c>
      <c r="O15064" s="37" t="str">
        <f t="shared" si="1178"/>
        <v>Cash Payment</v>
      </c>
      <c r="P15064">
        <v>84.25</v>
      </c>
      <c r="Q15064" s="37" t="str">
        <f>IF(P15064&gt;500,"High","low")</f>
        <v>low</v>
      </c>
      <c r="R15064" s="37" t="str">
        <f t="shared" si="1179"/>
        <v>AVERAGE</v>
      </c>
      <c r="S15064" t="s">
        <v>600</v>
      </c>
    </row>
    <row r="15065" spans="1:19" x14ac:dyDescent="0.2">
      <c r="A15065" t="s">
        <v>15676</v>
      </c>
      <c r="B15065" t="s">
        <v>75</v>
      </c>
      <c r="C15065" t="s">
        <v>597</v>
      </c>
      <c r="D15065">
        <v>926.47</v>
      </c>
      <c r="E15065" s="37" t="str">
        <f t="shared" si="1175"/>
        <v xml:space="preserve"> </v>
      </c>
      <c r="F15065">
        <v>0.15</v>
      </c>
      <c r="G15065" s="37" t="str">
        <f t="shared" si="1176"/>
        <v>Normal Discount</v>
      </c>
      <c r="H15065" s="37" t="str">
        <f t="shared" si="1177"/>
        <v>Low</v>
      </c>
      <c r="I15065">
        <v>6</v>
      </c>
      <c r="J15065" t="str" cm="1">
        <f t="array" ref="J15065">_xlfn.IFS(I15065&lt;=3,"small",I15065&lt;=6,"Medium",I15065&lt;=9,"Large")</f>
        <v>Medium</v>
      </c>
      <c r="K15065" s="36">
        <v>45094</v>
      </c>
      <c r="L15065" s="36">
        <v>45101</v>
      </c>
      <c r="M15065" t="s">
        <v>603</v>
      </c>
      <c r="N15065" t="s">
        <v>599</v>
      </c>
      <c r="O15065" s="37" t="str">
        <f t="shared" si="1178"/>
        <v>Digital Payment</v>
      </c>
      <c r="P15065">
        <v>92.72</v>
      </c>
      <c r="Q15065" s="37" t="str">
        <f>IF(P15065&gt;500,"High","low")</f>
        <v>low</v>
      </c>
      <c r="R15065" s="37" t="str">
        <f t="shared" si="1179"/>
        <v>AVERAGE</v>
      </c>
      <c r="S15065" t="s">
        <v>605</v>
      </c>
    </row>
    <row r="15066" spans="1:19" x14ac:dyDescent="0.2">
      <c r="A15066" t="s">
        <v>15677</v>
      </c>
      <c r="B15066" t="s">
        <v>90</v>
      </c>
      <c r="C15066" t="s">
        <v>602</v>
      </c>
      <c r="D15066">
        <v>3668.84</v>
      </c>
      <c r="E15066" s="37" t="str">
        <f t="shared" si="1175"/>
        <v xml:space="preserve"> </v>
      </c>
      <c r="F15066">
        <v>0.23</v>
      </c>
      <c r="G15066" s="37" t="str">
        <f t="shared" si="1176"/>
        <v>Normal Discount</v>
      </c>
      <c r="H15066" s="37" t="str">
        <f t="shared" si="1177"/>
        <v>Medium</v>
      </c>
      <c r="I15066">
        <v>5</v>
      </c>
      <c r="J15066" t="str" cm="1">
        <f t="array" ref="J15066">_xlfn.IFS(I15066&lt;=3,"small",I15066&lt;=6,"Medium",I15066&lt;=9,"Large")</f>
        <v>Medium</v>
      </c>
      <c r="K15066" s="36">
        <v>45078</v>
      </c>
      <c r="L15066" s="36">
        <v>45083</v>
      </c>
      <c r="M15066" t="s">
        <v>603</v>
      </c>
      <c r="N15066" t="s">
        <v>604</v>
      </c>
      <c r="O15066" s="37" t="str">
        <f t="shared" si="1178"/>
        <v>Digital Payment</v>
      </c>
      <c r="P15066">
        <v>204.3</v>
      </c>
      <c r="Q15066" s="37" t="str">
        <f>IF(P15066&gt;500,"High","low")</f>
        <v>low</v>
      </c>
      <c r="R15066" s="37" t="str">
        <f t="shared" si="1179"/>
        <v>AVERAGE</v>
      </c>
      <c r="S15066" t="s">
        <v>628</v>
      </c>
    </row>
    <row r="15067" spans="1:19" x14ac:dyDescent="0.2">
      <c r="A15067" t="s">
        <v>15678</v>
      </c>
      <c r="B15067" t="s">
        <v>83</v>
      </c>
      <c r="C15067" t="s">
        <v>617</v>
      </c>
      <c r="D15067">
        <v>796.01</v>
      </c>
      <c r="E15067" s="37" t="str">
        <f t="shared" si="1175"/>
        <v xml:space="preserve"> </v>
      </c>
      <c r="F15067">
        <v>0.31</v>
      </c>
      <c r="G15067" s="37" t="str">
        <f t="shared" si="1176"/>
        <v>Heavy Discount</v>
      </c>
      <c r="H15067" s="37" t="str">
        <f t="shared" si="1177"/>
        <v>Medium</v>
      </c>
      <c r="I15067">
        <v>7</v>
      </c>
      <c r="J15067" t="str" cm="1">
        <f t="array" ref="J15067">_xlfn.IFS(I15067&lt;=3,"small",I15067&lt;=6,"Medium",I15067&lt;=9,"Large")</f>
        <v>Large</v>
      </c>
      <c r="K15067" s="36">
        <v>45490</v>
      </c>
      <c r="L15067" s="36">
        <v>45495</v>
      </c>
      <c r="M15067" t="s">
        <v>612</v>
      </c>
      <c r="N15067" t="s">
        <v>604</v>
      </c>
      <c r="O15067" s="37" t="str">
        <f t="shared" si="1178"/>
        <v>Digital Payment</v>
      </c>
      <c r="P15067">
        <v>66.989999999999995</v>
      </c>
      <c r="Q15067" s="37" t="str">
        <f>IF(P15067&gt;500,"High","low")</f>
        <v>low</v>
      </c>
      <c r="R15067" s="37" t="str">
        <f t="shared" si="1179"/>
        <v>AVERAGE</v>
      </c>
      <c r="S15067" t="s">
        <v>620</v>
      </c>
    </row>
    <row r="15068" spans="1:19" x14ac:dyDescent="0.2">
      <c r="A15068" t="s">
        <v>15679</v>
      </c>
      <c r="B15068" t="s">
        <v>90</v>
      </c>
      <c r="C15068" t="s">
        <v>614</v>
      </c>
      <c r="D15068">
        <v>923.11</v>
      </c>
      <c r="E15068" s="37" t="str">
        <f t="shared" si="1175"/>
        <v xml:space="preserve"> </v>
      </c>
      <c r="F15068">
        <v>0.36</v>
      </c>
      <c r="G15068" s="37" t="str">
        <f t="shared" si="1176"/>
        <v>Heavy Discount</v>
      </c>
      <c r="H15068" s="37" t="str">
        <f t="shared" si="1177"/>
        <v>Medium</v>
      </c>
      <c r="I15068">
        <v>7</v>
      </c>
      <c r="J15068" t="str" cm="1">
        <f t="array" ref="J15068">_xlfn.IFS(I15068&lt;=3,"small",I15068&lt;=6,"Medium",I15068&lt;=9,"Large")</f>
        <v>Large</v>
      </c>
      <c r="K15068" s="36">
        <v>44928</v>
      </c>
      <c r="L15068" s="36">
        <v>44933</v>
      </c>
      <c r="M15068" t="s">
        <v>598</v>
      </c>
      <c r="N15068" t="s">
        <v>599</v>
      </c>
      <c r="O15068" s="37" t="str">
        <f t="shared" si="1178"/>
        <v>Digital Payment</v>
      </c>
      <c r="P15068">
        <v>146</v>
      </c>
      <c r="Q15068" s="37" t="str">
        <f>IF(P15068&gt;500,"High","low")</f>
        <v>low</v>
      </c>
      <c r="R15068" s="37" t="str">
        <f t="shared" si="1179"/>
        <v>AVERAGE</v>
      </c>
      <c r="S15068" t="s">
        <v>628</v>
      </c>
    </row>
    <row r="15069" spans="1:19" x14ac:dyDescent="0.2">
      <c r="A15069" t="s">
        <v>15680</v>
      </c>
      <c r="B15069" t="s">
        <v>75</v>
      </c>
      <c r="C15069" t="s">
        <v>607</v>
      </c>
      <c r="D15069">
        <v>2927.65</v>
      </c>
      <c r="E15069" s="37" t="str">
        <f t="shared" si="1175"/>
        <v xml:space="preserve"> </v>
      </c>
      <c r="F15069">
        <v>0.09</v>
      </c>
      <c r="G15069" s="37" t="str">
        <f t="shared" si="1176"/>
        <v>Normal Discount</v>
      </c>
      <c r="H15069" s="37" t="str">
        <f t="shared" si="1177"/>
        <v>Low</v>
      </c>
      <c r="I15069">
        <v>8</v>
      </c>
      <c r="J15069" t="str" cm="1">
        <f t="array" ref="J15069">_xlfn.IFS(I15069&lt;=3,"small",I15069&lt;=6,"Medium",I15069&lt;=9,"Large")</f>
        <v>Large</v>
      </c>
      <c r="K15069" s="36">
        <v>45627</v>
      </c>
      <c r="L15069" s="36">
        <v>45629</v>
      </c>
      <c r="M15069" t="s">
        <v>612</v>
      </c>
      <c r="N15069" t="s">
        <v>604</v>
      </c>
      <c r="O15069" s="37" t="str">
        <f t="shared" si="1178"/>
        <v>Digital Payment</v>
      </c>
      <c r="P15069">
        <v>350.16</v>
      </c>
      <c r="Q15069" s="37" t="str">
        <f>IF(P15069&gt;500,"High","low")</f>
        <v>low</v>
      </c>
      <c r="R15069" s="37" t="str">
        <f t="shared" si="1179"/>
        <v>AVERAGE</v>
      </c>
      <c r="S15069" t="s">
        <v>605</v>
      </c>
    </row>
    <row r="15070" spans="1:19" x14ac:dyDescent="0.2">
      <c r="A15070" t="s">
        <v>15681</v>
      </c>
      <c r="B15070" t="s">
        <v>67</v>
      </c>
      <c r="C15070" t="s">
        <v>614</v>
      </c>
      <c r="D15070">
        <v>1207.78</v>
      </c>
      <c r="E15070" s="37" t="str">
        <f t="shared" si="1175"/>
        <v xml:space="preserve"> </v>
      </c>
      <c r="F15070">
        <v>0.34</v>
      </c>
      <c r="G15070" s="37" t="str">
        <f t="shared" si="1176"/>
        <v>Heavy Discount</v>
      </c>
      <c r="H15070" s="37" t="str">
        <f t="shared" si="1177"/>
        <v>Medium</v>
      </c>
      <c r="I15070">
        <v>4</v>
      </c>
      <c r="J15070" t="str" cm="1">
        <f t="array" ref="J15070">_xlfn.IFS(I15070&lt;=3,"small",I15070&lt;=6,"Medium",I15070&lt;=9,"Large")</f>
        <v>Medium</v>
      </c>
      <c r="K15070" s="36">
        <v>45632</v>
      </c>
      <c r="L15070" s="36">
        <v>45635</v>
      </c>
      <c r="M15070" t="s">
        <v>598</v>
      </c>
      <c r="N15070" t="s">
        <v>604</v>
      </c>
      <c r="O15070" s="37" t="str">
        <f t="shared" si="1178"/>
        <v>Digital Payment</v>
      </c>
      <c r="P15070">
        <v>159.69</v>
      </c>
      <c r="Q15070" s="37" t="str">
        <f>IF(P15070&gt;500,"High","low")</f>
        <v>low</v>
      </c>
      <c r="R15070" s="37" t="str">
        <f t="shared" si="1179"/>
        <v>AVERAGE</v>
      </c>
      <c r="S15070" t="s">
        <v>615</v>
      </c>
    </row>
    <row r="15071" spans="1:19" x14ac:dyDescent="0.2">
      <c r="A15071" t="s">
        <v>15682</v>
      </c>
      <c r="B15071" t="s">
        <v>67</v>
      </c>
      <c r="C15071" t="s">
        <v>614</v>
      </c>
      <c r="D15071">
        <v>2350.94</v>
      </c>
      <c r="E15071" s="37" t="str">
        <f t="shared" si="1175"/>
        <v xml:space="preserve"> </v>
      </c>
      <c r="F15071">
        <v>0.09</v>
      </c>
      <c r="G15071" s="37" t="str">
        <f t="shared" si="1176"/>
        <v>Normal Discount</v>
      </c>
      <c r="H15071" s="37" t="str">
        <f t="shared" si="1177"/>
        <v>Low</v>
      </c>
      <c r="I15071">
        <v>5</v>
      </c>
      <c r="J15071" t="str" cm="1">
        <f t="array" ref="J15071">_xlfn.IFS(I15071&lt;=3,"small",I15071&lt;=6,"Medium",I15071&lt;=9,"Large")</f>
        <v>Medium</v>
      </c>
      <c r="K15071" s="36">
        <v>45269</v>
      </c>
      <c r="L15071" s="36">
        <v>45275</v>
      </c>
      <c r="M15071" t="s">
        <v>603</v>
      </c>
      <c r="N15071" t="s">
        <v>599</v>
      </c>
      <c r="O15071" s="37" t="str">
        <f t="shared" si="1178"/>
        <v>Digital Payment</v>
      </c>
      <c r="P15071">
        <v>218.07</v>
      </c>
      <c r="Q15071" s="37" t="str">
        <f>IF(P15071&gt;500,"High","low")</f>
        <v>low</v>
      </c>
      <c r="R15071" s="37" t="str">
        <f t="shared" si="1179"/>
        <v>AVERAGE</v>
      </c>
      <c r="S15071" t="s">
        <v>605</v>
      </c>
    </row>
    <row r="15072" spans="1:19" x14ac:dyDescent="0.2">
      <c r="A15072" t="s">
        <v>15683</v>
      </c>
      <c r="B15072" t="s">
        <v>67</v>
      </c>
      <c r="C15072" t="s">
        <v>617</v>
      </c>
      <c r="D15072">
        <v>2809.3</v>
      </c>
      <c r="E15072" s="37" t="str">
        <f t="shared" si="1175"/>
        <v xml:space="preserve"> </v>
      </c>
      <c r="F15072">
        <v>0.5</v>
      </c>
      <c r="G15072" s="37" t="str">
        <f t="shared" si="1176"/>
        <v>Heavy Discount</v>
      </c>
      <c r="H15072" s="37" t="str">
        <f t="shared" si="1177"/>
        <v>High</v>
      </c>
      <c r="I15072">
        <v>4</v>
      </c>
      <c r="J15072" t="str" cm="1">
        <f t="array" ref="J15072">_xlfn.IFS(I15072&lt;=3,"small",I15072&lt;=6,"Medium",I15072&lt;=9,"Large")</f>
        <v>Medium</v>
      </c>
      <c r="K15072" s="36">
        <v>45493</v>
      </c>
      <c r="L15072" s="36">
        <v>45494</v>
      </c>
      <c r="M15072" t="s">
        <v>603</v>
      </c>
      <c r="N15072" t="s">
        <v>604</v>
      </c>
      <c r="O15072" s="37" t="str">
        <f t="shared" si="1178"/>
        <v>Digital Payment</v>
      </c>
      <c r="P15072">
        <v>794.33</v>
      </c>
      <c r="Q15072" s="37" t="str">
        <f>IF(P15072&gt;500,"High","low")</f>
        <v>High</v>
      </c>
      <c r="R15072" s="37" t="str">
        <f t="shared" si="1179"/>
        <v>Good</v>
      </c>
      <c r="S15072" t="s">
        <v>605</v>
      </c>
    </row>
    <row r="15073" spans="1:19" x14ac:dyDescent="0.2">
      <c r="A15073" t="s">
        <v>15684</v>
      </c>
      <c r="B15073" t="s">
        <v>75</v>
      </c>
      <c r="C15073" t="s">
        <v>607</v>
      </c>
      <c r="D15073">
        <v>1444.71</v>
      </c>
      <c r="E15073" s="37" t="str">
        <f t="shared" si="1175"/>
        <v xml:space="preserve"> </v>
      </c>
      <c r="F15073">
        <v>0.48</v>
      </c>
      <c r="G15073" s="37" t="str">
        <f t="shared" si="1176"/>
        <v>Heavy Discount</v>
      </c>
      <c r="H15073" s="37" t="str">
        <f t="shared" si="1177"/>
        <v>High</v>
      </c>
      <c r="I15073">
        <v>7</v>
      </c>
      <c r="J15073" t="str" cm="1">
        <f t="array" ref="J15073">_xlfn.IFS(I15073&lt;=3,"small",I15073&lt;=6,"Medium",I15073&lt;=9,"Large")</f>
        <v>Large</v>
      </c>
      <c r="K15073" s="36">
        <v>45130</v>
      </c>
      <c r="L15073" s="36">
        <v>45134</v>
      </c>
      <c r="M15073" t="s">
        <v>603</v>
      </c>
      <c r="N15073" t="s">
        <v>604</v>
      </c>
      <c r="O15073" s="37" t="str">
        <f t="shared" si="1178"/>
        <v>Digital Payment</v>
      </c>
      <c r="P15073">
        <v>395.58</v>
      </c>
      <c r="Q15073" s="37" t="str">
        <f>IF(P15073&gt;500,"High","low")</f>
        <v>low</v>
      </c>
      <c r="R15073" s="37" t="str">
        <f t="shared" si="1179"/>
        <v>AVERAGE</v>
      </c>
      <c r="S15073" t="s">
        <v>615</v>
      </c>
    </row>
    <row r="15074" spans="1:19" x14ac:dyDescent="0.2">
      <c r="A15074" t="s">
        <v>15685</v>
      </c>
      <c r="B15074" t="s">
        <v>90</v>
      </c>
      <c r="C15074" t="s">
        <v>607</v>
      </c>
      <c r="D15074">
        <v>1783.42</v>
      </c>
      <c r="E15074" s="37" t="str">
        <f t="shared" si="1175"/>
        <v xml:space="preserve"> </v>
      </c>
      <c r="F15074">
        <v>0.05</v>
      </c>
      <c r="G15074" s="37" t="str">
        <f t="shared" si="1176"/>
        <v>Normal Discount</v>
      </c>
      <c r="H15074" s="37" t="str">
        <f t="shared" si="1177"/>
        <v>Low</v>
      </c>
      <c r="I15074">
        <v>3</v>
      </c>
      <c r="J15074" t="str" cm="1">
        <f t="array" ref="J15074">_xlfn.IFS(I15074&lt;=3,"small",I15074&lt;=6,"Medium",I15074&lt;=9,"Large")</f>
        <v>small</v>
      </c>
      <c r="K15074" s="36">
        <v>44934</v>
      </c>
      <c r="L15074" s="36">
        <v>44935</v>
      </c>
      <c r="M15074" t="s">
        <v>603</v>
      </c>
      <c r="N15074" t="s">
        <v>599</v>
      </c>
      <c r="O15074" s="37" t="str">
        <f t="shared" si="1178"/>
        <v>Digital Payment</v>
      </c>
      <c r="P15074">
        <v>236.7</v>
      </c>
      <c r="Q15074" s="37" t="str">
        <f>IF(P15074&gt;500,"High","low")</f>
        <v>low</v>
      </c>
      <c r="R15074" s="37" t="str">
        <f t="shared" si="1179"/>
        <v>AVERAGE</v>
      </c>
      <c r="S15074" t="s">
        <v>628</v>
      </c>
    </row>
    <row r="15075" spans="1:19" x14ac:dyDescent="0.2">
      <c r="A15075" t="s">
        <v>15686</v>
      </c>
      <c r="B15075" t="s">
        <v>67</v>
      </c>
      <c r="C15075" t="s">
        <v>597</v>
      </c>
      <c r="D15075">
        <v>1130.01</v>
      </c>
      <c r="E15075" s="37" t="str">
        <f t="shared" si="1175"/>
        <v xml:space="preserve"> </v>
      </c>
      <c r="F15075">
        <v>0.33</v>
      </c>
      <c r="G15075" s="37" t="str">
        <f t="shared" si="1176"/>
        <v>Heavy Discount</v>
      </c>
      <c r="H15075" s="37" t="str">
        <f t="shared" si="1177"/>
        <v>Medium</v>
      </c>
      <c r="I15075">
        <v>2</v>
      </c>
      <c r="J15075" t="str" cm="1">
        <f t="array" ref="J15075">_xlfn.IFS(I15075&lt;=3,"small",I15075&lt;=6,"Medium",I15075&lt;=9,"Large")</f>
        <v>small</v>
      </c>
      <c r="K15075" s="36">
        <v>45618</v>
      </c>
      <c r="L15075" s="36">
        <v>45625</v>
      </c>
      <c r="M15075" t="s">
        <v>603</v>
      </c>
      <c r="N15075" t="s">
        <v>599</v>
      </c>
      <c r="O15075" s="37" t="str">
        <f t="shared" si="1178"/>
        <v>Digital Payment</v>
      </c>
      <c r="P15075">
        <v>315.66000000000003</v>
      </c>
      <c r="Q15075" s="37" t="str">
        <f>IF(P15075&gt;500,"High","low")</f>
        <v>low</v>
      </c>
      <c r="R15075" s="37" t="str">
        <f t="shared" si="1179"/>
        <v>AVERAGE</v>
      </c>
      <c r="S15075" t="s">
        <v>615</v>
      </c>
    </row>
    <row r="15076" spans="1:19" x14ac:dyDescent="0.2">
      <c r="A15076" t="s">
        <v>15687</v>
      </c>
      <c r="B15076" t="s">
        <v>67</v>
      </c>
      <c r="C15076" t="s">
        <v>602</v>
      </c>
      <c r="D15076">
        <v>2356.08</v>
      </c>
      <c r="E15076" s="37" t="str">
        <f t="shared" si="1175"/>
        <v xml:space="preserve"> </v>
      </c>
      <c r="F15076">
        <v>0.45</v>
      </c>
      <c r="G15076" s="37" t="str">
        <f t="shared" si="1176"/>
        <v>Heavy Discount</v>
      </c>
      <c r="H15076" s="37" t="str">
        <f t="shared" si="1177"/>
        <v>High</v>
      </c>
      <c r="I15076">
        <v>4</v>
      </c>
      <c r="J15076" t="str" cm="1">
        <f t="array" ref="J15076">_xlfn.IFS(I15076&lt;=3,"small",I15076&lt;=6,"Medium",I15076&lt;=9,"Large")</f>
        <v>Medium</v>
      </c>
      <c r="K15076" s="36">
        <v>45432</v>
      </c>
      <c r="L15076" s="36">
        <v>45439</v>
      </c>
      <c r="M15076" t="s">
        <v>612</v>
      </c>
      <c r="N15076" t="s">
        <v>599</v>
      </c>
      <c r="O15076" s="37" t="str">
        <f t="shared" si="1178"/>
        <v>Digital Payment</v>
      </c>
      <c r="P15076">
        <v>376.42</v>
      </c>
      <c r="Q15076" s="37" t="str">
        <f>IF(P15076&gt;500,"High","low")</f>
        <v>low</v>
      </c>
      <c r="R15076" s="37" t="str">
        <f t="shared" si="1179"/>
        <v>AVERAGE</v>
      </c>
      <c r="S15076" t="s">
        <v>628</v>
      </c>
    </row>
    <row r="15077" spans="1:19" x14ac:dyDescent="0.2">
      <c r="A15077" t="s">
        <v>15688</v>
      </c>
      <c r="B15077" t="s">
        <v>67</v>
      </c>
      <c r="C15077" t="s">
        <v>617</v>
      </c>
      <c r="D15077">
        <v>4962.76</v>
      </c>
      <c r="E15077" s="37" t="str">
        <f t="shared" si="1175"/>
        <v xml:space="preserve"> </v>
      </c>
      <c r="F15077">
        <v>0.04</v>
      </c>
      <c r="G15077" s="37" t="str">
        <f t="shared" si="1176"/>
        <v>Normal Discount</v>
      </c>
      <c r="H15077" s="37" t="str">
        <f t="shared" si="1177"/>
        <v>Low</v>
      </c>
      <c r="I15077">
        <v>5</v>
      </c>
      <c r="J15077" t="str" cm="1">
        <f t="array" ref="J15077">_xlfn.IFS(I15077&lt;=3,"small",I15077&lt;=6,"Medium",I15077&lt;=9,"Large")</f>
        <v>Medium</v>
      </c>
      <c r="K15077" s="36">
        <v>45199</v>
      </c>
      <c r="L15077" s="36">
        <v>45205</v>
      </c>
      <c r="M15077" t="s">
        <v>598</v>
      </c>
      <c r="N15077" t="s">
        <v>608</v>
      </c>
      <c r="O15077" s="37" t="str">
        <f t="shared" si="1178"/>
        <v>Cash Payment</v>
      </c>
      <c r="P15077">
        <v>614.87</v>
      </c>
      <c r="Q15077" s="37" t="str">
        <f>IF(P15077&gt;500,"High","low")</f>
        <v>High</v>
      </c>
      <c r="R15077" s="37" t="str">
        <f t="shared" si="1179"/>
        <v>Good</v>
      </c>
      <c r="S15077" t="s">
        <v>628</v>
      </c>
    </row>
    <row r="15078" spans="1:19" x14ac:dyDescent="0.2">
      <c r="A15078" t="s">
        <v>15689</v>
      </c>
      <c r="B15078" t="s">
        <v>83</v>
      </c>
      <c r="C15078" t="s">
        <v>607</v>
      </c>
      <c r="D15078">
        <v>1877.29</v>
      </c>
      <c r="E15078" s="37" t="str">
        <f t="shared" si="1175"/>
        <v xml:space="preserve"> </v>
      </c>
      <c r="F15078">
        <v>0.06</v>
      </c>
      <c r="G15078" s="37" t="str">
        <f t="shared" si="1176"/>
        <v>Normal Discount</v>
      </c>
      <c r="H15078" s="37" t="str">
        <f t="shared" si="1177"/>
        <v>Low</v>
      </c>
      <c r="I15078">
        <v>1</v>
      </c>
      <c r="J15078" t="str" cm="1">
        <f t="array" ref="J15078">_xlfn.IFS(I15078&lt;=3,"small",I15078&lt;=6,"Medium",I15078&lt;=9,"Large")</f>
        <v>small</v>
      </c>
      <c r="K15078" s="36">
        <v>45547</v>
      </c>
      <c r="L15078" s="36">
        <v>45550</v>
      </c>
      <c r="M15078" t="s">
        <v>612</v>
      </c>
      <c r="N15078" t="s">
        <v>604</v>
      </c>
      <c r="O15078" s="37" t="str">
        <f t="shared" si="1178"/>
        <v>Digital Payment</v>
      </c>
      <c r="P15078">
        <v>558.33000000000004</v>
      </c>
      <c r="Q15078" s="37" t="str">
        <f>IF(P15078&gt;500,"High","low")</f>
        <v>High</v>
      </c>
      <c r="R15078" s="37" t="str">
        <f t="shared" si="1179"/>
        <v>Good</v>
      </c>
      <c r="S15078" t="s">
        <v>620</v>
      </c>
    </row>
    <row r="15079" spans="1:19" x14ac:dyDescent="0.2">
      <c r="A15079" t="s">
        <v>15690</v>
      </c>
      <c r="B15079" t="s">
        <v>75</v>
      </c>
      <c r="C15079" t="s">
        <v>617</v>
      </c>
      <c r="D15079">
        <v>3301.32</v>
      </c>
      <c r="E15079" s="37" t="str">
        <f t="shared" si="1175"/>
        <v xml:space="preserve"> </v>
      </c>
      <c r="F15079">
        <v>0.17</v>
      </c>
      <c r="G15079" s="37" t="str">
        <f t="shared" si="1176"/>
        <v>Normal Discount</v>
      </c>
      <c r="H15079" s="37" t="str">
        <f t="shared" si="1177"/>
        <v>Low</v>
      </c>
      <c r="I15079">
        <v>3</v>
      </c>
      <c r="J15079" t="str" cm="1">
        <f t="array" ref="J15079">_xlfn.IFS(I15079&lt;=3,"small",I15079&lt;=6,"Medium",I15079&lt;=9,"Large")</f>
        <v>small</v>
      </c>
      <c r="K15079" s="36">
        <v>45215</v>
      </c>
      <c r="L15079" s="36">
        <v>45217</v>
      </c>
      <c r="M15079" t="s">
        <v>598</v>
      </c>
      <c r="N15079" t="s">
        <v>604</v>
      </c>
      <c r="O15079" s="37" t="str">
        <f t="shared" si="1178"/>
        <v>Digital Payment</v>
      </c>
      <c r="P15079">
        <v>519.79999999999995</v>
      </c>
      <c r="Q15079" s="37" t="str">
        <f>IF(P15079&gt;500,"High","low")</f>
        <v>High</v>
      </c>
      <c r="R15079" s="37" t="str">
        <f t="shared" si="1179"/>
        <v>Good</v>
      </c>
      <c r="S15079" t="s">
        <v>620</v>
      </c>
    </row>
    <row r="15080" spans="1:19" x14ac:dyDescent="0.2">
      <c r="A15080" t="s">
        <v>15691</v>
      </c>
      <c r="B15080" t="s">
        <v>75</v>
      </c>
      <c r="C15080" t="s">
        <v>597</v>
      </c>
      <c r="D15080">
        <v>3215.88</v>
      </c>
      <c r="E15080" s="37" t="str">
        <f t="shared" si="1175"/>
        <v xml:space="preserve"> </v>
      </c>
      <c r="F15080">
        <v>0.05</v>
      </c>
      <c r="G15080" s="37" t="str">
        <f t="shared" si="1176"/>
        <v>Normal Discount</v>
      </c>
      <c r="H15080" s="37" t="str">
        <f t="shared" si="1177"/>
        <v>Low</v>
      </c>
      <c r="I15080">
        <v>8</v>
      </c>
      <c r="J15080" t="str" cm="1">
        <f t="array" ref="J15080">_xlfn.IFS(I15080&lt;=3,"small",I15080&lt;=6,"Medium",I15080&lt;=9,"Large")</f>
        <v>Large</v>
      </c>
      <c r="K15080" s="36">
        <v>45237</v>
      </c>
      <c r="L15080" s="36">
        <v>45243</v>
      </c>
      <c r="M15080" t="s">
        <v>612</v>
      </c>
      <c r="N15080" t="s">
        <v>604</v>
      </c>
      <c r="O15080" s="37" t="str">
        <f t="shared" si="1178"/>
        <v>Digital Payment</v>
      </c>
      <c r="P15080">
        <v>227.98</v>
      </c>
      <c r="Q15080" s="37" t="str">
        <f>IF(P15080&gt;500,"High","low")</f>
        <v>low</v>
      </c>
      <c r="R15080" s="37" t="str">
        <f t="shared" si="1179"/>
        <v>AVERAGE</v>
      </c>
      <c r="S15080" t="s">
        <v>620</v>
      </c>
    </row>
    <row r="15081" spans="1:19" x14ac:dyDescent="0.2">
      <c r="A15081" t="s">
        <v>15692</v>
      </c>
      <c r="B15081" t="s">
        <v>75</v>
      </c>
      <c r="C15081" t="s">
        <v>614</v>
      </c>
      <c r="D15081">
        <v>3953.76</v>
      </c>
      <c r="E15081" s="37" t="str">
        <f t="shared" si="1175"/>
        <v xml:space="preserve"> </v>
      </c>
      <c r="F15081">
        <v>0.44</v>
      </c>
      <c r="G15081" s="37" t="str">
        <f t="shared" si="1176"/>
        <v>Heavy Discount</v>
      </c>
      <c r="H15081" s="37" t="str">
        <f t="shared" si="1177"/>
        <v>High</v>
      </c>
      <c r="I15081">
        <v>5</v>
      </c>
      <c r="J15081" t="str" cm="1">
        <f t="array" ref="J15081">_xlfn.IFS(I15081&lt;=3,"small",I15081&lt;=6,"Medium",I15081&lt;=9,"Large")</f>
        <v>Medium</v>
      </c>
      <c r="K15081" s="36">
        <v>45129</v>
      </c>
      <c r="L15081" s="36">
        <v>45136</v>
      </c>
      <c r="M15081" t="s">
        <v>603</v>
      </c>
      <c r="N15081" t="s">
        <v>599</v>
      </c>
      <c r="O15081" s="37" t="str">
        <f t="shared" si="1178"/>
        <v>Digital Payment</v>
      </c>
      <c r="P15081">
        <v>774.33</v>
      </c>
      <c r="Q15081" s="37" t="str">
        <f>IF(P15081&gt;500,"High","low")</f>
        <v>High</v>
      </c>
      <c r="R15081" s="37" t="str">
        <f t="shared" si="1179"/>
        <v>Good</v>
      </c>
      <c r="S15081" t="s">
        <v>615</v>
      </c>
    </row>
    <row r="15082" spans="1:19" x14ac:dyDescent="0.2">
      <c r="A15082" t="s">
        <v>15693</v>
      </c>
      <c r="B15082" t="s">
        <v>75</v>
      </c>
      <c r="C15082" t="s">
        <v>607</v>
      </c>
      <c r="D15082">
        <v>3588.4</v>
      </c>
      <c r="E15082" s="37" t="str">
        <f t="shared" si="1175"/>
        <v xml:space="preserve"> </v>
      </c>
      <c r="F15082">
        <v>0.44</v>
      </c>
      <c r="G15082" s="37" t="str">
        <f t="shared" si="1176"/>
        <v>Heavy Discount</v>
      </c>
      <c r="H15082" s="37" t="str">
        <f t="shared" si="1177"/>
        <v>High</v>
      </c>
      <c r="I15082">
        <v>1</v>
      </c>
      <c r="J15082" t="str" cm="1">
        <f t="array" ref="J15082">_xlfn.IFS(I15082&lt;=3,"small",I15082&lt;=6,"Medium",I15082&lt;=9,"Large")</f>
        <v>small</v>
      </c>
      <c r="K15082" s="36">
        <v>45255</v>
      </c>
      <c r="L15082" s="36">
        <v>45258</v>
      </c>
      <c r="M15082" t="s">
        <v>598</v>
      </c>
      <c r="N15082" t="s">
        <v>604</v>
      </c>
      <c r="O15082" s="37" t="str">
        <f t="shared" si="1178"/>
        <v>Digital Payment</v>
      </c>
      <c r="P15082">
        <v>342.43</v>
      </c>
      <c r="Q15082" s="37" t="str">
        <f>IF(P15082&gt;500,"High","low")</f>
        <v>low</v>
      </c>
      <c r="R15082" s="37" t="str">
        <f t="shared" si="1179"/>
        <v>AVERAGE</v>
      </c>
      <c r="S15082" t="s">
        <v>615</v>
      </c>
    </row>
    <row r="15083" spans="1:19" x14ac:dyDescent="0.2">
      <c r="A15083" t="s">
        <v>15694</v>
      </c>
      <c r="B15083" t="s">
        <v>75</v>
      </c>
      <c r="C15083" t="s">
        <v>597</v>
      </c>
      <c r="D15083">
        <v>157.72</v>
      </c>
      <c r="E15083" s="37" t="str">
        <f t="shared" si="1175"/>
        <v xml:space="preserve"> </v>
      </c>
      <c r="F15083">
        <v>0.47</v>
      </c>
      <c r="G15083" s="37" t="str">
        <f t="shared" si="1176"/>
        <v>Heavy Discount</v>
      </c>
      <c r="H15083" s="37" t="str">
        <f t="shared" si="1177"/>
        <v>High</v>
      </c>
      <c r="I15083">
        <v>4</v>
      </c>
      <c r="J15083" t="str" cm="1">
        <f t="array" ref="J15083">_xlfn.IFS(I15083&lt;=3,"small",I15083&lt;=6,"Medium",I15083&lt;=9,"Large")</f>
        <v>Medium</v>
      </c>
      <c r="K15083" s="36">
        <v>45024</v>
      </c>
      <c r="L15083" s="36">
        <v>45028</v>
      </c>
      <c r="M15083" t="s">
        <v>598</v>
      </c>
      <c r="N15083" t="s">
        <v>608</v>
      </c>
      <c r="O15083" s="37" t="str">
        <f t="shared" si="1178"/>
        <v>Cash Payment</v>
      </c>
      <c r="P15083">
        <v>32.1</v>
      </c>
      <c r="Q15083" s="37" t="str">
        <f>IF(P15083&gt;500,"High","low")</f>
        <v>low</v>
      </c>
      <c r="R15083" s="37" t="str">
        <f t="shared" si="1179"/>
        <v>AVERAGE</v>
      </c>
      <c r="S15083" t="s">
        <v>600</v>
      </c>
    </row>
    <row r="15084" spans="1:19" x14ac:dyDescent="0.2">
      <c r="A15084" t="s">
        <v>15695</v>
      </c>
      <c r="B15084" t="s">
        <v>83</v>
      </c>
      <c r="C15084" t="s">
        <v>617</v>
      </c>
      <c r="D15084">
        <v>1615.16</v>
      </c>
      <c r="E15084" s="37" t="str">
        <f t="shared" si="1175"/>
        <v xml:space="preserve"> </v>
      </c>
      <c r="F15084">
        <v>0.1</v>
      </c>
      <c r="G15084" s="37" t="str">
        <f t="shared" si="1176"/>
        <v>Normal Discount</v>
      </c>
      <c r="H15084" s="37" t="str">
        <f t="shared" si="1177"/>
        <v>Low</v>
      </c>
      <c r="I15084">
        <v>8</v>
      </c>
      <c r="J15084" t="str" cm="1">
        <f t="array" ref="J15084">_xlfn.IFS(I15084&lt;=3,"small",I15084&lt;=6,"Medium",I15084&lt;=9,"Large")</f>
        <v>Large</v>
      </c>
      <c r="K15084" s="36">
        <v>45290</v>
      </c>
      <c r="L15084" s="36">
        <v>45297</v>
      </c>
      <c r="M15084" t="s">
        <v>612</v>
      </c>
      <c r="N15084" t="s">
        <v>604</v>
      </c>
      <c r="O15084" s="37" t="str">
        <f t="shared" si="1178"/>
        <v>Digital Payment</v>
      </c>
      <c r="P15084">
        <v>100.16</v>
      </c>
      <c r="Q15084" s="37" t="str">
        <f>IF(P15084&gt;500,"High","low")</f>
        <v>low</v>
      </c>
      <c r="R15084" s="37" t="str">
        <f t="shared" si="1179"/>
        <v>AVERAGE</v>
      </c>
      <c r="S15084" t="s">
        <v>628</v>
      </c>
    </row>
    <row r="15085" spans="1:19" x14ac:dyDescent="0.2">
      <c r="A15085" t="s">
        <v>15696</v>
      </c>
      <c r="B15085" t="s">
        <v>90</v>
      </c>
      <c r="C15085" t="s">
        <v>597</v>
      </c>
      <c r="D15085">
        <v>4364.1400000000003</v>
      </c>
      <c r="E15085" s="37" t="str">
        <f t="shared" si="1175"/>
        <v xml:space="preserve"> </v>
      </c>
      <c r="F15085">
        <v>0.02</v>
      </c>
      <c r="G15085" s="37" t="str">
        <f t="shared" si="1176"/>
        <v>Normal Discount</v>
      </c>
      <c r="H15085" s="37" t="str">
        <f t="shared" si="1177"/>
        <v>Low</v>
      </c>
      <c r="I15085">
        <v>8</v>
      </c>
      <c r="J15085" t="str" cm="1">
        <f t="array" ref="J15085">_xlfn.IFS(I15085&lt;=3,"small",I15085&lt;=6,"Medium",I15085&lt;=9,"Large")</f>
        <v>Large</v>
      </c>
      <c r="K15085" s="36">
        <v>45417</v>
      </c>
      <c r="L15085" s="36">
        <v>45424</v>
      </c>
      <c r="M15085" t="s">
        <v>612</v>
      </c>
      <c r="N15085" t="s">
        <v>604</v>
      </c>
      <c r="O15085" s="37" t="str">
        <f t="shared" si="1178"/>
        <v>Digital Payment</v>
      </c>
      <c r="P15085">
        <v>339.05</v>
      </c>
      <c r="Q15085" s="37" t="str">
        <f>IF(P15085&gt;500,"High","low")</f>
        <v>low</v>
      </c>
      <c r="R15085" s="37" t="str">
        <f t="shared" si="1179"/>
        <v>AVERAGE</v>
      </c>
      <c r="S15085" t="s">
        <v>628</v>
      </c>
    </row>
    <row r="15086" spans="1:19" x14ac:dyDescent="0.2">
      <c r="A15086" t="s">
        <v>15697</v>
      </c>
      <c r="B15086" t="s">
        <v>83</v>
      </c>
      <c r="C15086" t="s">
        <v>597</v>
      </c>
      <c r="D15086">
        <v>2743.8</v>
      </c>
      <c r="E15086" s="37" t="str">
        <f t="shared" si="1175"/>
        <v xml:space="preserve"> </v>
      </c>
      <c r="F15086">
        <v>0.22</v>
      </c>
      <c r="G15086" s="37" t="str">
        <f t="shared" si="1176"/>
        <v>Normal Discount</v>
      </c>
      <c r="H15086" s="37" t="str">
        <f t="shared" si="1177"/>
        <v>Medium</v>
      </c>
      <c r="I15086">
        <v>2</v>
      </c>
      <c r="J15086" t="str" cm="1">
        <f t="array" ref="J15086">_xlfn.IFS(I15086&lt;=3,"small",I15086&lt;=6,"Medium",I15086&lt;=9,"Large")</f>
        <v>small</v>
      </c>
      <c r="K15086" s="36">
        <v>45005</v>
      </c>
      <c r="L15086" s="36">
        <v>45011</v>
      </c>
      <c r="M15086" t="s">
        <v>603</v>
      </c>
      <c r="N15086" t="s">
        <v>604</v>
      </c>
      <c r="O15086" s="37" t="str">
        <f t="shared" si="1178"/>
        <v>Digital Payment</v>
      </c>
      <c r="P15086">
        <v>351.61</v>
      </c>
      <c r="Q15086" s="37" t="str">
        <f>IF(P15086&gt;500,"High","low")</f>
        <v>low</v>
      </c>
      <c r="R15086" s="37" t="str">
        <f t="shared" si="1179"/>
        <v>AVERAGE</v>
      </c>
      <c r="S15086" t="s">
        <v>620</v>
      </c>
    </row>
    <row r="15087" spans="1:19" x14ac:dyDescent="0.2">
      <c r="A15087" t="s">
        <v>15698</v>
      </c>
      <c r="B15087" t="s">
        <v>67</v>
      </c>
      <c r="C15087" t="s">
        <v>597</v>
      </c>
      <c r="D15087">
        <v>610.70000000000005</v>
      </c>
      <c r="E15087" s="37" t="str">
        <f t="shared" si="1175"/>
        <v xml:space="preserve"> </v>
      </c>
      <c r="F15087">
        <v>0.44</v>
      </c>
      <c r="G15087" s="37" t="str">
        <f t="shared" si="1176"/>
        <v>Heavy Discount</v>
      </c>
      <c r="H15087" s="37" t="str">
        <f t="shared" si="1177"/>
        <v>High</v>
      </c>
      <c r="I15087">
        <v>9</v>
      </c>
      <c r="J15087" t="str" cm="1">
        <f t="array" ref="J15087">_xlfn.IFS(I15087&lt;=3,"small",I15087&lt;=6,"Medium",I15087&lt;=9,"Large")</f>
        <v>Large</v>
      </c>
      <c r="K15087" s="36">
        <v>45246</v>
      </c>
      <c r="L15087" s="36">
        <v>45249</v>
      </c>
      <c r="M15087" t="s">
        <v>598</v>
      </c>
      <c r="N15087" t="s">
        <v>599</v>
      </c>
      <c r="O15087" s="37" t="str">
        <f t="shared" si="1178"/>
        <v>Digital Payment</v>
      </c>
      <c r="P15087">
        <v>124.63</v>
      </c>
      <c r="Q15087" s="37" t="str">
        <f>IF(P15087&gt;500,"High","low")</f>
        <v>low</v>
      </c>
      <c r="R15087" s="37" t="str">
        <f t="shared" si="1179"/>
        <v>AVERAGE</v>
      </c>
      <c r="S15087" t="s">
        <v>605</v>
      </c>
    </row>
    <row r="15088" spans="1:19" x14ac:dyDescent="0.2">
      <c r="A15088" t="s">
        <v>15699</v>
      </c>
      <c r="B15088" t="s">
        <v>83</v>
      </c>
      <c r="C15088" t="s">
        <v>597</v>
      </c>
      <c r="D15088">
        <v>1453.07</v>
      </c>
      <c r="E15088" s="37" t="str">
        <f t="shared" si="1175"/>
        <v xml:space="preserve"> </v>
      </c>
      <c r="F15088">
        <v>0.32</v>
      </c>
      <c r="G15088" s="37" t="str">
        <f t="shared" si="1176"/>
        <v>Heavy Discount</v>
      </c>
      <c r="H15088" s="37" t="str">
        <f t="shared" si="1177"/>
        <v>Medium</v>
      </c>
      <c r="I15088">
        <v>1</v>
      </c>
      <c r="J15088" t="str" cm="1">
        <f t="array" ref="J15088">_xlfn.IFS(I15088&lt;=3,"small",I15088&lt;=6,"Medium",I15088&lt;=9,"Large")</f>
        <v>small</v>
      </c>
      <c r="K15088" s="36">
        <v>45014</v>
      </c>
      <c r="L15088" s="36">
        <v>45019</v>
      </c>
      <c r="M15088" t="s">
        <v>603</v>
      </c>
      <c r="N15088" t="s">
        <v>599</v>
      </c>
      <c r="O15088" s="37" t="str">
        <f t="shared" si="1178"/>
        <v>Digital Payment</v>
      </c>
      <c r="P15088">
        <v>307.38</v>
      </c>
      <c r="Q15088" s="37" t="str">
        <f>IF(P15088&gt;500,"High","low")</f>
        <v>low</v>
      </c>
      <c r="R15088" s="37" t="str">
        <f t="shared" si="1179"/>
        <v>AVERAGE</v>
      </c>
      <c r="S15088" t="s">
        <v>615</v>
      </c>
    </row>
    <row r="15089" spans="1:19" x14ac:dyDescent="0.2">
      <c r="A15089" t="s">
        <v>15700</v>
      </c>
      <c r="B15089" t="s">
        <v>75</v>
      </c>
      <c r="C15089" t="s">
        <v>597</v>
      </c>
      <c r="D15089">
        <v>1488.59</v>
      </c>
      <c r="E15089" s="37" t="str">
        <f t="shared" si="1175"/>
        <v xml:space="preserve"> </v>
      </c>
      <c r="F15089">
        <v>0.5</v>
      </c>
      <c r="G15089" s="37" t="str">
        <f t="shared" si="1176"/>
        <v>Heavy Discount</v>
      </c>
      <c r="H15089" s="37" t="str">
        <f t="shared" si="1177"/>
        <v>High</v>
      </c>
      <c r="I15089">
        <v>8</v>
      </c>
      <c r="J15089" t="str" cm="1">
        <f t="array" ref="J15089">_xlfn.IFS(I15089&lt;=3,"small",I15089&lt;=6,"Medium",I15089&lt;=9,"Large")</f>
        <v>Large</v>
      </c>
      <c r="K15089" s="36">
        <v>45283</v>
      </c>
      <c r="L15089" s="36">
        <v>45284</v>
      </c>
      <c r="M15089" t="s">
        <v>612</v>
      </c>
      <c r="N15089" t="s">
        <v>599</v>
      </c>
      <c r="O15089" s="37" t="str">
        <f t="shared" si="1178"/>
        <v>Digital Payment</v>
      </c>
      <c r="P15089">
        <v>315.43</v>
      </c>
      <c r="Q15089" s="37" t="str">
        <f>IF(P15089&gt;500,"High","low")</f>
        <v>low</v>
      </c>
      <c r="R15089" s="37" t="str">
        <f t="shared" si="1179"/>
        <v>AVERAGE</v>
      </c>
      <c r="S15089" t="s">
        <v>620</v>
      </c>
    </row>
    <row r="15090" spans="1:19" x14ac:dyDescent="0.2">
      <c r="A15090" t="s">
        <v>15701</v>
      </c>
      <c r="B15090" t="s">
        <v>83</v>
      </c>
      <c r="C15090" t="s">
        <v>597</v>
      </c>
      <c r="D15090">
        <v>4378.57</v>
      </c>
      <c r="E15090" s="37" t="str">
        <f t="shared" si="1175"/>
        <v xml:space="preserve"> </v>
      </c>
      <c r="F15090">
        <v>0.45</v>
      </c>
      <c r="G15090" s="37" t="str">
        <f t="shared" si="1176"/>
        <v>Heavy Discount</v>
      </c>
      <c r="H15090" s="37" t="str">
        <f t="shared" si="1177"/>
        <v>High</v>
      </c>
      <c r="I15090">
        <v>8</v>
      </c>
      <c r="J15090" t="str" cm="1">
        <f t="array" ref="J15090">_xlfn.IFS(I15090&lt;=3,"small",I15090&lt;=6,"Medium",I15090&lt;=9,"Large")</f>
        <v>Large</v>
      </c>
      <c r="K15090" s="36">
        <v>45295</v>
      </c>
      <c r="L15090" s="36">
        <v>45302</v>
      </c>
      <c r="M15090" t="s">
        <v>598</v>
      </c>
      <c r="N15090" t="s">
        <v>599</v>
      </c>
      <c r="O15090" s="37" t="str">
        <f t="shared" si="1178"/>
        <v>Digital Payment</v>
      </c>
      <c r="P15090">
        <v>777.36</v>
      </c>
      <c r="Q15090" s="37" t="str">
        <f>IF(P15090&gt;500,"High","low")</f>
        <v>High</v>
      </c>
      <c r="R15090" s="37" t="str">
        <f t="shared" si="1179"/>
        <v>Good</v>
      </c>
      <c r="S15090" t="s">
        <v>615</v>
      </c>
    </row>
    <row r="15091" spans="1:19" x14ac:dyDescent="0.2">
      <c r="A15091" t="s">
        <v>15702</v>
      </c>
      <c r="B15091" t="s">
        <v>75</v>
      </c>
      <c r="C15091" t="s">
        <v>602</v>
      </c>
      <c r="D15091">
        <v>2811.67</v>
      </c>
      <c r="E15091" s="37" t="str">
        <f t="shared" si="1175"/>
        <v xml:space="preserve"> </v>
      </c>
      <c r="F15091">
        <v>0.2</v>
      </c>
      <c r="G15091" s="37" t="str">
        <f t="shared" si="1176"/>
        <v>Normal Discount</v>
      </c>
      <c r="H15091" s="37" t="str">
        <f t="shared" si="1177"/>
        <v>Medium</v>
      </c>
      <c r="I15091">
        <v>6</v>
      </c>
      <c r="J15091" t="str" cm="1">
        <f t="array" ref="J15091">_xlfn.IFS(I15091&lt;=3,"small",I15091&lt;=6,"Medium",I15091&lt;=9,"Large")</f>
        <v>Medium</v>
      </c>
      <c r="K15091" s="36">
        <v>45094</v>
      </c>
      <c r="L15091" s="36">
        <v>45098</v>
      </c>
      <c r="M15091" t="s">
        <v>603</v>
      </c>
      <c r="N15091" t="s">
        <v>599</v>
      </c>
      <c r="O15091" s="37" t="str">
        <f t="shared" si="1178"/>
        <v>Digital Payment</v>
      </c>
      <c r="P15091">
        <v>373.01</v>
      </c>
      <c r="Q15091" s="37" t="str">
        <f>IF(P15091&gt;500,"High","low")</f>
        <v>low</v>
      </c>
      <c r="R15091" s="37" t="str">
        <f t="shared" si="1179"/>
        <v>AVERAGE</v>
      </c>
      <c r="S15091" t="s">
        <v>605</v>
      </c>
    </row>
    <row r="15092" spans="1:19" x14ac:dyDescent="0.2">
      <c r="A15092" t="s">
        <v>15703</v>
      </c>
      <c r="B15092" t="s">
        <v>83</v>
      </c>
      <c r="C15092" t="s">
        <v>617</v>
      </c>
      <c r="D15092">
        <v>3080.79</v>
      </c>
      <c r="E15092" s="37" t="str">
        <f t="shared" si="1175"/>
        <v xml:space="preserve"> </v>
      </c>
      <c r="F15092">
        <v>0.02</v>
      </c>
      <c r="G15092" s="37" t="str">
        <f t="shared" si="1176"/>
        <v>Normal Discount</v>
      </c>
      <c r="H15092" s="37" t="str">
        <f t="shared" si="1177"/>
        <v>Low</v>
      </c>
      <c r="I15092">
        <v>1</v>
      </c>
      <c r="J15092" t="str" cm="1">
        <f t="array" ref="J15092">_xlfn.IFS(I15092&lt;=3,"small",I15092&lt;=6,"Medium",I15092&lt;=9,"Large")</f>
        <v>small</v>
      </c>
      <c r="K15092" s="36">
        <v>45112</v>
      </c>
      <c r="L15092" s="36">
        <v>45116</v>
      </c>
      <c r="M15092" t="s">
        <v>612</v>
      </c>
      <c r="N15092" t="s">
        <v>608</v>
      </c>
      <c r="O15092" s="37" t="str">
        <f t="shared" si="1178"/>
        <v>Cash Payment</v>
      </c>
      <c r="P15092">
        <v>826.6</v>
      </c>
      <c r="Q15092" s="37" t="str">
        <f>IF(P15092&gt;500,"High","low")</f>
        <v>High</v>
      </c>
      <c r="R15092" s="37" t="str">
        <f t="shared" si="1179"/>
        <v>Good</v>
      </c>
      <c r="S15092" t="s">
        <v>615</v>
      </c>
    </row>
    <row r="15093" spans="1:19" x14ac:dyDescent="0.2">
      <c r="A15093" t="s">
        <v>15704</v>
      </c>
      <c r="B15093" t="s">
        <v>75</v>
      </c>
      <c r="C15093" t="s">
        <v>614</v>
      </c>
      <c r="D15093">
        <v>1898.62</v>
      </c>
      <c r="E15093" s="37" t="str">
        <f t="shared" si="1175"/>
        <v xml:space="preserve"> </v>
      </c>
      <c r="F15093">
        <v>0</v>
      </c>
      <c r="G15093" s="37" t="str">
        <f t="shared" si="1176"/>
        <v>Normal Discount</v>
      </c>
      <c r="H15093" s="37" t="str">
        <f t="shared" si="1177"/>
        <v>Low</v>
      </c>
      <c r="I15093">
        <v>9</v>
      </c>
      <c r="J15093" t="str" cm="1">
        <f t="array" ref="J15093">_xlfn.IFS(I15093&lt;=3,"small",I15093&lt;=6,"Medium",I15093&lt;=9,"Large")</f>
        <v>Large</v>
      </c>
      <c r="K15093" s="36">
        <v>45521</v>
      </c>
      <c r="L15093" s="36">
        <v>45522</v>
      </c>
      <c r="M15093" t="s">
        <v>612</v>
      </c>
      <c r="N15093" t="s">
        <v>604</v>
      </c>
      <c r="O15093" s="37" t="str">
        <f t="shared" si="1178"/>
        <v>Digital Payment</v>
      </c>
      <c r="P15093">
        <v>309.41000000000003</v>
      </c>
      <c r="Q15093" s="37" t="str">
        <f>IF(P15093&gt;500,"High","low")</f>
        <v>low</v>
      </c>
      <c r="R15093" s="37" t="str">
        <f t="shared" si="1179"/>
        <v>AVERAGE</v>
      </c>
      <c r="S15093" t="s">
        <v>628</v>
      </c>
    </row>
    <row r="15094" spans="1:19" x14ac:dyDescent="0.2">
      <c r="A15094" t="s">
        <v>15705</v>
      </c>
      <c r="B15094" t="s">
        <v>67</v>
      </c>
      <c r="C15094" t="s">
        <v>617</v>
      </c>
      <c r="D15094">
        <v>395.52</v>
      </c>
      <c r="E15094" s="37" t="str">
        <f t="shared" si="1175"/>
        <v xml:space="preserve"> </v>
      </c>
      <c r="F15094">
        <v>0.32</v>
      </c>
      <c r="G15094" s="37" t="str">
        <f t="shared" si="1176"/>
        <v>Heavy Discount</v>
      </c>
      <c r="H15094" s="37" t="str">
        <f t="shared" si="1177"/>
        <v>Medium</v>
      </c>
      <c r="I15094">
        <v>3</v>
      </c>
      <c r="J15094" t="str" cm="1">
        <f t="array" ref="J15094">_xlfn.IFS(I15094&lt;=3,"small",I15094&lt;=6,"Medium",I15094&lt;=9,"Large")</f>
        <v>small</v>
      </c>
      <c r="K15094" s="36">
        <v>44949</v>
      </c>
      <c r="L15094" s="36">
        <v>44951</v>
      </c>
      <c r="M15094" t="s">
        <v>612</v>
      </c>
      <c r="N15094" t="s">
        <v>608</v>
      </c>
      <c r="O15094" s="37" t="str">
        <f t="shared" si="1178"/>
        <v>Cash Payment</v>
      </c>
      <c r="P15094">
        <v>97.17</v>
      </c>
      <c r="Q15094" s="37" t="str">
        <f>IF(P15094&gt;500,"High","low")</f>
        <v>low</v>
      </c>
      <c r="R15094" s="37" t="str">
        <f t="shared" si="1179"/>
        <v>AVERAGE</v>
      </c>
      <c r="S15094" t="s">
        <v>615</v>
      </c>
    </row>
    <row r="15095" spans="1:19" x14ac:dyDescent="0.2">
      <c r="A15095" t="s">
        <v>15706</v>
      </c>
      <c r="B15095" t="s">
        <v>75</v>
      </c>
      <c r="C15095" t="s">
        <v>607</v>
      </c>
      <c r="D15095">
        <v>468.72</v>
      </c>
      <c r="E15095" s="37" t="str">
        <f t="shared" si="1175"/>
        <v xml:space="preserve"> </v>
      </c>
      <c r="F15095">
        <v>0.46</v>
      </c>
      <c r="G15095" s="37" t="str">
        <f t="shared" si="1176"/>
        <v>Heavy Discount</v>
      </c>
      <c r="H15095" s="37" t="str">
        <f t="shared" si="1177"/>
        <v>High</v>
      </c>
      <c r="I15095">
        <v>1</v>
      </c>
      <c r="J15095" t="str" cm="1">
        <f t="array" ref="J15095">_xlfn.IFS(I15095&lt;=3,"small",I15095&lt;=6,"Medium",I15095&lt;=9,"Large")</f>
        <v>small</v>
      </c>
      <c r="K15095" s="36">
        <v>45541</v>
      </c>
      <c r="L15095" s="36">
        <v>45542</v>
      </c>
      <c r="M15095" t="s">
        <v>603</v>
      </c>
      <c r="N15095" t="s">
        <v>599</v>
      </c>
      <c r="O15095" s="37" t="str">
        <f t="shared" si="1178"/>
        <v>Digital Payment</v>
      </c>
      <c r="P15095">
        <v>78.72</v>
      </c>
      <c r="Q15095" s="37" t="str">
        <f>IF(P15095&gt;500,"High","low")</f>
        <v>low</v>
      </c>
      <c r="R15095" s="37" t="str">
        <f t="shared" si="1179"/>
        <v>AVERAGE</v>
      </c>
      <c r="S15095" t="s">
        <v>615</v>
      </c>
    </row>
    <row r="15096" spans="1:19" x14ac:dyDescent="0.2">
      <c r="A15096" t="s">
        <v>15707</v>
      </c>
      <c r="B15096" t="s">
        <v>83</v>
      </c>
      <c r="C15096" t="s">
        <v>607</v>
      </c>
      <c r="D15096">
        <v>2159.87</v>
      </c>
      <c r="E15096" s="37" t="str">
        <f t="shared" si="1175"/>
        <v xml:space="preserve"> </v>
      </c>
      <c r="F15096">
        <v>0.22</v>
      </c>
      <c r="G15096" s="37" t="str">
        <f t="shared" si="1176"/>
        <v>Normal Discount</v>
      </c>
      <c r="H15096" s="37" t="str">
        <f t="shared" si="1177"/>
        <v>Medium</v>
      </c>
      <c r="I15096">
        <v>7</v>
      </c>
      <c r="J15096" t="str" cm="1">
        <f t="array" ref="J15096">_xlfn.IFS(I15096&lt;=3,"small",I15096&lt;=6,"Medium",I15096&lt;=9,"Large")</f>
        <v>Large</v>
      </c>
      <c r="K15096" s="36">
        <v>45277</v>
      </c>
      <c r="L15096" s="36">
        <v>45284</v>
      </c>
      <c r="M15096" t="s">
        <v>598</v>
      </c>
      <c r="N15096" t="s">
        <v>608</v>
      </c>
      <c r="O15096" s="37" t="str">
        <f t="shared" si="1178"/>
        <v>Cash Payment</v>
      </c>
      <c r="P15096">
        <v>571.22</v>
      </c>
      <c r="Q15096" s="37" t="str">
        <f>IF(P15096&gt;500,"High","low")</f>
        <v>High</v>
      </c>
      <c r="R15096" s="37" t="str">
        <f t="shared" si="1179"/>
        <v>Good</v>
      </c>
      <c r="S15096" t="s">
        <v>628</v>
      </c>
    </row>
    <row r="15097" spans="1:19" x14ac:dyDescent="0.2">
      <c r="A15097" t="s">
        <v>15708</v>
      </c>
      <c r="B15097" t="s">
        <v>67</v>
      </c>
      <c r="C15097" t="s">
        <v>617</v>
      </c>
      <c r="D15097">
        <v>969.72</v>
      </c>
      <c r="E15097" s="37" t="str">
        <f t="shared" si="1175"/>
        <v xml:space="preserve"> </v>
      </c>
      <c r="F15097">
        <v>0.44</v>
      </c>
      <c r="G15097" s="37" t="str">
        <f t="shared" si="1176"/>
        <v>Heavy Discount</v>
      </c>
      <c r="H15097" s="37" t="str">
        <f t="shared" si="1177"/>
        <v>High</v>
      </c>
      <c r="I15097">
        <v>5</v>
      </c>
      <c r="J15097" t="str" cm="1">
        <f t="array" ref="J15097">_xlfn.IFS(I15097&lt;=3,"small",I15097&lt;=6,"Medium",I15097&lt;=9,"Large")</f>
        <v>Medium</v>
      </c>
      <c r="K15097" s="36">
        <v>45276</v>
      </c>
      <c r="L15097" s="36">
        <v>45277</v>
      </c>
      <c r="M15097" t="s">
        <v>603</v>
      </c>
      <c r="N15097" t="s">
        <v>604</v>
      </c>
      <c r="O15097" s="37" t="str">
        <f t="shared" si="1178"/>
        <v>Digital Payment</v>
      </c>
      <c r="P15097">
        <v>55.27</v>
      </c>
      <c r="Q15097" s="37" t="str">
        <f>IF(P15097&gt;500,"High","low")</f>
        <v>low</v>
      </c>
      <c r="R15097" s="37" t="str">
        <f t="shared" si="1179"/>
        <v>AVERAGE</v>
      </c>
      <c r="S15097" t="s">
        <v>605</v>
      </c>
    </row>
    <row r="15098" spans="1:19" x14ac:dyDescent="0.2">
      <c r="A15098" t="s">
        <v>15709</v>
      </c>
      <c r="B15098" t="s">
        <v>83</v>
      </c>
      <c r="C15098" t="s">
        <v>597</v>
      </c>
      <c r="D15098">
        <v>610.89</v>
      </c>
      <c r="E15098" s="37" t="str">
        <f t="shared" si="1175"/>
        <v xml:space="preserve"> </v>
      </c>
      <c r="F15098">
        <v>0.28000000000000003</v>
      </c>
      <c r="G15098" s="37" t="str">
        <f t="shared" si="1176"/>
        <v>Normal Discount</v>
      </c>
      <c r="H15098" s="37" t="str">
        <f t="shared" si="1177"/>
        <v>Medium</v>
      </c>
      <c r="I15098">
        <v>2</v>
      </c>
      <c r="J15098" t="str" cm="1">
        <f t="array" ref="J15098">_xlfn.IFS(I15098&lt;=3,"small",I15098&lt;=6,"Medium",I15098&lt;=9,"Large")</f>
        <v>small</v>
      </c>
      <c r="K15098" s="36">
        <v>45445</v>
      </c>
      <c r="L15098" s="36">
        <v>45446</v>
      </c>
      <c r="M15098" t="s">
        <v>612</v>
      </c>
      <c r="N15098" t="s">
        <v>599</v>
      </c>
      <c r="O15098" s="37" t="str">
        <f t="shared" si="1178"/>
        <v>Digital Payment</v>
      </c>
      <c r="P15098">
        <v>71.510000000000005</v>
      </c>
      <c r="Q15098" s="37" t="str">
        <f>IF(P15098&gt;500,"High","low")</f>
        <v>low</v>
      </c>
      <c r="R15098" s="37" t="str">
        <f t="shared" si="1179"/>
        <v>AVERAGE</v>
      </c>
      <c r="S15098" t="s">
        <v>605</v>
      </c>
    </row>
    <row r="15099" spans="1:19" x14ac:dyDescent="0.2">
      <c r="A15099" t="s">
        <v>15710</v>
      </c>
      <c r="B15099" t="s">
        <v>67</v>
      </c>
      <c r="C15099" t="s">
        <v>602</v>
      </c>
      <c r="D15099">
        <v>1384.99</v>
      </c>
      <c r="E15099" s="37" t="str">
        <f t="shared" si="1175"/>
        <v xml:space="preserve"> </v>
      </c>
      <c r="F15099">
        <v>0.05</v>
      </c>
      <c r="G15099" s="37" t="str">
        <f t="shared" si="1176"/>
        <v>Normal Discount</v>
      </c>
      <c r="H15099" s="37" t="str">
        <f t="shared" si="1177"/>
        <v>Low</v>
      </c>
      <c r="I15099">
        <v>1</v>
      </c>
      <c r="J15099" t="str" cm="1">
        <f t="array" ref="J15099">_xlfn.IFS(I15099&lt;=3,"small",I15099&lt;=6,"Medium",I15099&lt;=9,"Large")</f>
        <v>small</v>
      </c>
      <c r="K15099" s="36">
        <v>45369</v>
      </c>
      <c r="L15099" s="36">
        <v>45376</v>
      </c>
      <c r="M15099" t="s">
        <v>612</v>
      </c>
      <c r="N15099" t="s">
        <v>599</v>
      </c>
      <c r="O15099" s="37" t="str">
        <f t="shared" si="1178"/>
        <v>Digital Payment</v>
      </c>
      <c r="P15099">
        <v>339.34</v>
      </c>
      <c r="Q15099" s="37" t="str">
        <f>IF(P15099&gt;500,"High","low")</f>
        <v>low</v>
      </c>
      <c r="R15099" s="37" t="str">
        <f t="shared" si="1179"/>
        <v>AVERAGE</v>
      </c>
      <c r="S15099" t="s">
        <v>600</v>
      </c>
    </row>
    <row r="15100" spans="1:19" x14ac:dyDescent="0.2">
      <c r="A15100" t="s">
        <v>15711</v>
      </c>
      <c r="B15100" t="s">
        <v>90</v>
      </c>
      <c r="C15100" t="s">
        <v>614</v>
      </c>
      <c r="D15100">
        <v>3736.03</v>
      </c>
      <c r="E15100" s="37" t="str">
        <f t="shared" si="1175"/>
        <v xml:space="preserve"> </v>
      </c>
      <c r="F15100">
        <v>0.4</v>
      </c>
      <c r="G15100" s="37" t="str">
        <f t="shared" si="1176"/>
        <v>Heavy Discount</v>
      </c>
      <c r="H15100" s="37" t="str">
        <f t="shared" si="1177"/>
        <v>Medium</v>
      </c>
      <c r="I15100">
        <v>6</v>
      </c>
      <c r="J15100" t="str" cm="1">
        <f t="array" ref="J15100">_xlfn.IFS(I15100&lt;=3,"small",I15100&lt;=6,"Medium",I15100&lt;=9,"Large")</f>
        <v>Medium</v>
      </c>
      <c r="K15100" s="36">
        <v>45035</v>
      </c>
      <c r="L15100" s="36">
        <v>45037</v>
      </c>
      <c r="M15100" t="s">
        <v>612</v>
      </c>
      <c r="N15100" t="s">
        <v>604</v>
      </c>
      <c r="O15100" s="37" t="str">
        <f t="shared" si="1178"/>
        <v>Digital Payment</v>
      </c>
      <c r="P15100">
        <v>832.51</v>
      </c>
      <c r="Q15100" s="37" t="str">
        <f>IF(P15100&gt;500,"High","low")</f>
        <v>High</v>
      </c>
      <c r="R15100" s="37" t="str">
        <f t="shared" si="1179"/>
        <v>Good</v>
      </c>
      <c r="S15100" t="s">
        <v>628</v>
      </c>
    </row>
    <row r="15101" spans="1:19" x14ac:dyDescent="0.2">
      <c r="A15101" t="s">
        <v>15712</v>
      </c>
      <c r="B15101" t="s">
        <v>90</v>
      </c>
      <c r="C15101" t="s">
        <v>597</v>
      </c>
      <c r="D15101">
        <v>457.79</v>
      </c>
      <c r="E15101" s="37" t="str">
        <f t="shared" si="1175"/>
        <v xml:space="preserve"> </v>
      </c>
      <c r="F15101">
        <v>0.25</v>
      </c>
      <c r="G15101" s="37" t="str">
        <f t="shared" si="1176"/>
        <v>Normal Discount</v>
      </c>
      <c r="H15101" s="37" t="str">
        <f t="shared" si="1177"/>
        <v>Medium</v>
      </c>
      <c r="I15101">
        <v>1</v>
      </c>
      <c r="J15101" t="str" cm="1">
        <f t="array" ref="J15101">_xlfn.IFS(I15101&lt;=3,"small",I15101&lt;=6,"Medium",I15101&lt;=9,"Large")</f>
        <v>small</v>
      </c>
      <c r="K15101" s="36">
        <v>45296</v>
      </c>
      <c r="L15101" s="36">
        <v>45300</v>
      </c>
      <c r="M15101" t="s">
        <v>603</v>
      </c>
      <c r="N15101" t="s">
        <v>599</v>
      </c>
      <c r="O15101" s="37" t="str">
        <f t="shared" si="1178"/>
        <v>Digital Payment</v>
      </c>
      <c r="P15101">
        <v>126.7</v>
      </c>
      <c r="Q15101" s="37" t="str">
        <f>IF(P15101&gt;500,"High","low")</f>
        <v>low</v>
      </c>
      <c r="R15101" s="37" t="str">
        <f t="shared" si="1179"/>
        <v>AVERAGE</v>
      </c>
      <c r="S15101" t="s">
        <v>615</v>
      </c>
    </row>
    <row r="15102" spans="1:19" x14ac:dyDescent="0.2">
      <c r="A15102" t="s">
        <v>15713</v>
      </c>
      <c r="B15102" t="s">
        <v>90</v>
      </c>
      <c r="C15102" t="s">
        <v>617</v>
      </c>
      <c r="D15102">
        <v>2296.31</v>
      </c>
      <c r="E15102" s="37" t="str">
        <f t="shared" si="1175"/>
        <v xml:space="preserve"> </v>
      </c>
      <c r="F15102">
        <v>0.03</v>
      </c>
      <c r="G15102" s="37" t="str">
        <f t="shared" si="1176"/>
        <v>Normal Discount</v>
      </c>
      <c r="H15102" s="37" t="str">
        <f t="shared" si="1177"/>
        <v>Low</v>
      </c>
      <c r="I15102">
        <v>6</v>
      </c>
      <c r="J15102" t="str" cm="1">
        <f t="array" ref="J15102">_xlfn.IFS(I15102&lt;=3,"small",I15102&lt;=6,"Medium",I15102&lt;=9,"Large")</f>
        <v>Medium</v>
      </c>
      <c r="K15102" s="36">
        <v>45412</v>
      </c>
      <c r="L15102" s="36">
        <v>45418</v>
      </c>
      <c r="M15102" t="s">
        <v>612</v>
      </c>
      <c r="N15102" t="s">
        <v>608</v>
      </c>
      <c r="O15102" s="37" t="str">
        <f t="shared" si="1178"/>
        <v>Cash Payment</v>
      </c>
      <c r="P15102">
        <v>454.74</v>
      </c>
      <c r="Q15102" s="37" t="str">
        <f>IF(P15102&gt;500,"High","low")</f>
        <v>low</v>
      </c>
      <c r="R15102" s="37" t="str">
        <f t="shared" si="1179"/>
        <v>AVERAGE</v>
      </c>
      <c r="S15102" t="s">
        <v>615</v>
      </c>
    </row>
    <row r="15103" spans="1:19" x14ac:dyDescent="0.2">
      <c r="A15103" t="s">
        <v>15714</v>
      </c>
      <c r="B15103" t="s">
        <v>83</v>
      </c>
      <c r="C15103" t="s">
        <v>617</v>
      </c>
      <c r="D15103">
        <v>4147.83</v>
      </c>
      <c r="E15103" s="37" t="str">
        <f t="shared" si="1175"/>
        <v>Excellent Order</v>
      </c>
      <c r="F15103">
        <v>0.41</v>
      </c>
      <c r="G15103" s="37" t="str">
        <f t="shared" si="1176"/>
        <v>Heavy Discount</v>
      </c>
      <c r="H15103" s="37" t="str">
        <f t="shared" si="1177"/>
        <v>High</v>
      </c>
      <c r="I15103">
        <v>1</v>
      </c>
      <c r="J15103" t="str" cm="1">
        <f t="array" ref="J15103">_xlfn.IFS(I15103&lt;=3,"small",I15103&lt;=6,"Medium",I15103&lt;=9,"Large")</f>
        <v>small</v>
      </c>
      <c r="K15103" s="36">
        <v>45038</v>
      </c>
      <c r="L15103" s="36">
        <v>45041</v>
      </c>
      <c r="M15103" t="s">
        <v>598</v>
      </c>
      <c r="N15103" t="s">
        <v>604</v>
      </c>
      <c r="O15103" s="37" t="str">
        <f t="shared" si="1178"/>
        <v>Digital Payment</v>
      </c>
      <c r="P15103">
        <v>1198.32</v>
      </c>
      <c r="Q15103" s="37" t="str">
        <f>IF(P15103&gt;500,"High","low")</f>
        <v>High</v>
      </c>
      <c r="R15103" s="37" t="str">
        <f t="shared" si="1179"/>
        <v>Excellent</v>
      </c>
      <c r="S15103" t="s">
        <v>615</v>
      </c>
    </row>
    <row r="15104" spans="1:19" x14ac:dyDescent="0.2">
      <c r="A15104" t="s">
        <v>15715</v>
      </c>
      <c r="B15104" t="s">
        <v>83</v>
      </c>
      <c r="C15104" t="s">
        <v>602</v>
      </c>
      <c r="D15104">
        <v>1412.83</v>
      </c>
      <c r="E15104" s="37" t="str">
        <f t="shared" si="1175"/>
        <v xml:space="preserve"> </v>
      </c>
      <c r="F15104">
        <v>0.38</v>
      </c>
      <c r="G15104" s="37" t="str">
        <f t="shared" si="1176"/>
        <v>Heavy Discount</v>
      </c>
      <c r="H15104" s="37" t="str">
        <f t="shared" si="1177"/>
        <v>Medium</v>
      </c>
      <c r="I15104">
        <v>7</v>
      </c>
      <c r="J15104" t="str" cm="1">
        <f t="array" ref="J15104">_xlfn.IFS(I15104&lt;=3,"small",I15104&lt;=6,"Medium",I15104&lt;=9,"Large")</f>
        <v>Large</v>
      </c>
      <c r="K15104" s="36">
        <v>45212</v>
      </c>
      <c r="L15104" s="36">
        <v>45213</v>
      </c>
      <c r="M15104" t="s">
        <v>603</v>
      </c>
      <c r="N15104" t="s">
        <v>599</v>
      </c>
      <c r="O15104" s="37" t="str">
        <f t="shared" si="1178"/>
        <v>Digital Payment</v>
      </c>
      <c r="P15104">
        <v>393.87</v>
      </c>
      <c r="Q15104" s="37" t="str">
        <f>IF(P15104&gt;500,"High","low")</f>
        <v>low</v>
      </c>
      <c r="R15104" s="37" t="str">
        <f t="shared" si="1179"/>
        <v>AVERAGE</v>
      </c>
      <c r="S15104" t="s">
        <v>615</v>
      </c>
    </row>
    <row r="15105" spans="1:19" x14ac:dyDescent="0.2">
      <c r="A15105" t="s">
        <v>15716</v>
      </c>
      <c r="B15105" t="s">
        <v>67</v>
      </c>
      <c r="C15105" t="s">
        <v>602</v>
      </c>
      <c r="D15105">
        <v>1579.18</v>
      </c>
      <c r="E15105" s="37" t="str">
        <f t="shared" si="1175"/>
        <v xml:space="preserve"> </v>
      </c>
      <c r="F15105">
        <v>0.23</v>
      </c>
      <c r="G15105" s="37" t="str">
        <f t="shared" si="1176"/>
        <v>Normal Discount</v>
      </c>
      <c r="H15105" s="37" t="str">
        <f t="shared" si="1177"/>
        <v>Medium</v>
      </c>
      <c r="I15105">
        <v>7</v>
      </c>
      <c r="J15105" t="str" cm="1">
        <f t="array" ref="J15105">_xlfn.IFS(I15105&lt;=3,"small",I15105&lt;=6,"Medium",I15105&lt;=9,"Large")</f>
        <v>Large</v>
      </c>
      <c r="K15105" s="36">
        <v>45320</v>
      </c>
      <c r="L15105" s="36">
        <v>45322</v>
      </c>
      <c r="M15105" t="s">
        <v>598</v>
      </c>
      <c r="N15105" t="s">
        <v>599</v>
      </c>
      <c r="O15105" s="37" t="str">
        <f t="shared" si="1178"/>
        <v>Digital Payment</v>
      </c>
      <c r="P15105">
        <v>444.68</v>
      </c>
      <c r="Q15105" s="37" t="str">
        <f>IF(P15105&gt;500,"High","low")</f>
        <v>low</v>
      </c>
      <c r="R15105" s="37" t="str">
        <f t="shared" si="1179"/>
        <v>AVERAGE</v>
      </c>
      <c r="S15105" t="s">
        <v>615</v>
      </c>
    </row>
    <row r="15106" spans="1:19" x14ac:dyDescent="0.2">
      <c r="A15106" t="s">
        <v>15717</v>
      </c>
      <c r="B15106" t="s">
        <v>67</v>
      </c>
      <c r="C15106" t="s">
        <v>617</v>
      </c>
      <c r="D15106">
        <v>4432.62</v>
      </c>
      <c r="E15106" s="37" t="str">
        <f t="shared" si="1175"/>
        <v>Excellent Order</v>
      </c>
      <c r="F15106">
        <v>0.01</v>
      </c>
      <c r="G15106" s="37" t="str">
        <f t="shared" si="1176"/>
        <v>Normal Discount</v>
      </c>
      <c r="H15106" s="37" t="str">
        <f t="shared" si="1177"/>
        <v>Low</v>
      </c>
      <c r="I15106">
        <v>4</v>
      </c>
      <c r="J15106" t="str" cm="1">
        <f t="array" ref="J15106">_xlfn.IFS(I15106&lt;=3,"small",I15106&lt;=6,"Medium",I15106&lt;=9,"Large")</f>
        <v>Medium</v>
      </c>
      <c r="K15106" s="36">
        <v>45024</v>
      </c>
      <c r="L15106" s="36">
        <v>45027</v>
      </c>
      <c r="M15106" t="s">
        <v>612</v>
      </c>
      <c r="N15106" t="s">
        <v>604</v>
      </c>
      <c r="O15106" s="37" t="str">
        <f t="shared" si="1178"/>
        <v>Digital Payment</v>
      </c>
      <c r="P15106">
        <v>902.83</v>
      </c>
      <c r="Q15106" s="37" t="str">
        <f>IF(P15106&gt;500,"High","low")</f>
        <v>High</v>
      </c>
      <c r="R15106" s="37" t="str">
        <f t="shared" si="1179"/>
        <v>Good</v>
      </c>
      <c r="S15106" t="s">
        <v>628</v>
      </c>
    </row>
    <row r="15107" spans="1:19" x14ac:dyDescent="0.2">
      <c r="A15107" t="s">
        <v>15718</v>
      </c>
      <c r="B15107" t="s">
        <v>67</v>
      </c>
      <c r="C15107" t="s">
        <v>597</v>
      </c>
      <c r="D15107">
        <v>3285.02</v>
      </c>
      <c r="E15107" s="37" t="str">
        <f t="shared" ref="E15107:E15170" si="1180">IF(AND(D15107&gt;4000,P15107&gt;800),"Excellent Order"," ")</f>
        <v xml:space="preserve"> </v>
      </c>
      <c r="F15107">
        <v>0.17</v>
      </c>
      <c r="G15107" s="37" t="str">
        <f t="shared" ref="G15107:G15170" si="1181">IF(F15107&gt;30%,"Heavy Discount","Normal Discount")</f>
        <v>Normal Discount</v>
      </c>
      <c r="H15107" s="37" t="str">
        <f t="shared" ref="H15107:H15170" si="1182">IF(F15107&gt;0.4,"High",IF(F15107&gt;=0.2,"Medium","Low"))</f>
        <v>Low</v>
      </c>
      <c r="I15107">
        <v>7</v>
      </c>
      <c r="J15107" t="str" cm="1">
        <f t="array" ref="J15107">_xlfn.IFS(I15107&lt;=3,"small",I15107&lt;=6,"Medium",I15107&lt;=9,"Large")</f>
        <v>Large</v>
      </c>
      <c r="K15107" s="36">
        <v>45451</v>
      </c>
      <c r="L15107" s="36">
        <v>45457</v>
      </c>
      <c r="M15107" t="s">
        <v>603</v>
      </c>
      <c r="N15107" t="s">
        <v>599</v>
      </c>
      <c r="O15107" s="37" t="str">
        <f t="shared" ref="O15107:O15170" si="1183">IF(OR(N15107="Card",N15107="UPI"),"Digital Payment","Cash Payment")</f>
        <v>Digital Payment</v>
      </c>
      <c r="P15107">
        <v>895.28</v>
      </c>
      <c r="Q15107" s="37" t="str">
        <f>IF(P15107&gt;500,"High","low")</f>
        <v>High</v>
      </c>
      <c r="R15107" s="37" t="str">
        <f t="shared" ref="R15107:R15170" si="1184">IF(P15107&gt;1000,"Excellent",IF(P15107&gt;=500,"Good","AVERAGE"))</f>
        <v>Good</v>
      </c>
      <c r="S15107" t="s">
        <v>600</v>
      </c>
    </row>
    <row r="15108" spans="1:19" x14ac:dyDescent="0.2">
      <c r="A15108" t="s">
        <v>15719</v>
      </c>
      <c r="B15108" t="s">
        <v>67</v>
      </c>
      <c r="C15108" t="s">
        <v>597</v>
      </c>
      <c r="D15108">
        <v>4008.79</v>
      </c>
      <c r="E15108" s="37" t="str">
        <f t="shared" si="1180"/>
        <v xml:space="preserve"> </v>
      </c>
      <c r="F15108">
        <v>0.22</v>
      </c>
      <c r="G15108" s="37" t="str">
        <f t="shared" si="1181"/>
        <v>Normal Discount</v>
      </c>
      <c r="H15108" s="37" t="str">
        <f t="shared" si="1182"/>
        <v>Medium</v>
      </c>
      <c r="I15108">
        <v>8</v>
      </c>
      <c r="J15108" t="str" cm="1">
        <f t="array" ref="J15108">_xlfn.IFS(I15108&lt;=3,"small",I15108&lt;=6,"Medium",I15108&lt;=9,"Large")</f>
        <v>Large</v>
      </c>
      <c r="K15108" s="36">
        <v>45093</v>
      </c>
      <c r="L15108" s="36">
        <v>45100</v>
      </c>
      <c r="M15108" t="s">
        <v>612</v>
      </c>
      <c r="N15108" t="s">
        <v>608</v>
      </c>
      <c r="O15108" s="37" t="str">
        <f t="shared" si="1183"/>
        <v>Cash Payment</v>
      </c>
      <c r="P15108">
        <v>631.16999999999996</v>
      </c>
      <c r="Q15108" s="37" t="str">
        <f>IF(P15108&gt;500,"High","low")</f>
        <v>High</v>
      </c>
      <c r="R15108" s="37" t="str">
        <f t="shared" si="1184"/>
        <v>Good</v>
      </c>
      <c r="S15108" t="s">
        <v>628</v>
      </c>
    </row>
    <row r="15109" spans="1:19" x14ac:dyDescent="0.2">
      <c r="A15109" t="s">
        <v>15720</v>
      </c>
      <c r="B15109" t="s">
        <v>75</v>
      </c>
      <c r="C15109" t="s">
        <v>597</v>
      </c>
      <c r="D15109">
        <v>1517.1</v>
      </c>
      <c r="E15109" s="37" t="str">
        <f t="shared" si="1180"/>
        <v xml:space="preserve"> </v>
      </c>
      <c r="F15109">
        <v>0.08</v>
      </c>
      <c r="G15109" s="37" t="str">
        <f t="shared" si="1181"/>
        <v>Normal Discount</v>
      </c>
      <c r="H15109" s="37" t="str">
        <f t="shared" si="1182"/>
        <v>Low</v>
      </c>
      <c r="I15109">
        <v>8</v>
      </c>
      <c r="J15109" t="str" cm="1">
        <f t="array" ref="J15109">_xlfn.IFS(I15109&lt;=3,"small",I15109&lt;=6,"Medium",I15109&lt;=9,"Large")</f>
        <v>Large</v>
      </c>
      <c r="K15109" s="36">
        <v>45515</v>
      </c>
      <c r="L15109" s="36">
        <v>45521</v>
      </c>
      <c r="M15109" t="s">
        <v>603</v>
      </c>
      <c r="N15109" t="s">
        <v>599</v>
      </c>
      <c r="O15109" s="37" t="str">
        <f t="shared" si="1183"/>
        <v>Digital Payment</v>
      </c>
      <c r="P15109">
        <v>445.57</v>
      </c>
      <c r="Q15109" s="37" t="str">
        <f>IF(P15109&gt;500,"High","low")</f>
        <v>low</v>
      </c>
      <c r="R15109" s="37" t="str">
        <f t="shared" si="1184"/>
        <v>AVERAGE</v>
      </c>
      <c r="S15109" t="s">
        <v>628</v>
      </c>
    </row>
    <row r="15110" spans="1:19" x14ac:dyDescent="0.2">
      <c r="A15110" t="s">
        <v>15721</v>
      </c>
      <c r="B15110" t="s">
        <v>90</v>
      </c>
      <c r="C15110" t="s">
        <v>614</v>
      </c>
      <c r="D15110">
        <v>4984.22</v>
      </c>
      <c r="E15110" s="37" t="str">
        <f t="shared" si="1180"/>
        <v xml:space="preserve"> </v>
      </c>
      <c r="F15110">
        <v>0.08</v>
      </c>
      <c r="G15110" s="37" t="str">
        <f t="shared" si="1181"/>
        <v>Normal Discount</v>
      </c>
      <c r="H15110" s="37" t="str">
        <f t="shared" si="1182"/>
        <v>Low</v>
      </c>
      <c r="I15110">
        <v>3</v>
      </c>
      <c r="J15110" t="str" cm="1">
        <f t="array" ref="J15110">_xlfn.IFS(I15110&lt;=3,"small",I15110&lt;=6,"Medium",I15110&lt;=9,"Large")</f>
        <v>small</v>
      </c>
      <c r="K15110" s="36">
        <v>45374</v>
      </c>
      <c r="L15110" s="36">
        <v>45377</v>
      </c>
      <c r="M15110" t="s">
        <v>612</v>
      </c>
      <c r="N15110" t="s">
        <v>604</v>
      </c>
      <c r="O15110" s="37" t="str">
        <f t="shared" si="1183"/>
        <v>Digital Payment</v>
      </c>
      <c r="P15110">
        <v>456.36</v>
      </c>
      <c r="Q15110" s="37" t="str">
        <f>IF(P15110&gt;500,"High","low")</f>
        <v>low</v>
      </c>
      <c r="R15110" s="37" t="str">
        <f t="shared" si="1184"/>
        <v>AVERAGE</v>
      </c>
      <c r="S15110" t="s">
        <v>605</v>
      </c>
    </row>
    <row r="15111" spans="1:19" x14ac:dyDescent="0.2">
      <c r="A15111" t="s">
        <v>15722</v>
      </c>
      <c r="B15111" t="s">
        <v>75</v>
      </c>
      <c r="C15111" t="s">
        <v>614</v>
      </c>
      <c r="D15111">
        <v>790.39</v>
      </c>
      <c r="E15111" s="37" t="str">
        <f t="shared" si="1180"/>
        <v xml:space="preserve"> </v>
      </c>
      <c r="F15111">
        <v>0.08</v>
      </c>
      <c r="G15111" s="37" t="str">
        <f t="shared" si="1181"/>
        <v>Normal Discount</v>
      </c>
      <c r="H15111" s="37" t="str">
        <f t="shared" si="1182"/>
        <v>Low</v>
      </c>
      <c r="I15111">
        <v>8</v>
      </c>
      <c r="J15111" t="str" cm="1">
        <f t="array" ref="J15111">_xlfn.IFS(I15111&lt;=3,"small",I15111&lt;=6,"Medium",I15111&lt;=9,"Large")</f>
        <v>Large</v>
      </c>
      <c r="K15111" s="36">
        <v>45207</v>
      </c>
      <c r="L15111" s="36">
        <v>45211</v>
      </c>
      <c r="M15111" t="s">
        <v>603</v>
      </c>
      <c r="N15111" t="s">
        <v>599</v>
      </c>
      <c r="O15111" s="37" t="str">
        <f t="shared" si="1183"/>
        <v>Digital Payment</v>
      </c>
      <c r="P15111">
        <v>98.59</v>
      </c>
      <c r="Q15111" s="37" t="str">
        <f>IF(P15111&gt;500,"High","low")</f>
        <v>low</v>
      </c>
      <c r="R15111" s="37" t="str">
        <f t="shared" si="1184"/>
        <v>AVERAGE</v>
      </c>
      <c r="S15111" t="s">
        <v>620</v>
      </c>
    </row>
    <row r="15112" spans="1:19" x14ac:dyDescent="0.2">
      <c r="A15112" t="s">
        <v>15723</v>
      </c>
      <c r="B15112" t="s">
        <v>75</v>
      </c>
      <c r="C15112" t="s">
        <v>597</v>
      </c>
      <c r="D15112">
        <v>4813.49</v>
      </c>
      <c r="E15112" s="37" t="str">
        <f t="shared" si="1180"/>
        <v>Excellent Order</v>
      </c>
      <c r="F15112">
        <v>0.19</v>
      </c>
      <c r="G15112" s="37" t="str">
        <f t="shared" si="1181"/>
        <v>Normal Discount</v>
      </c>
      <c r="H15112" s="37" t="str">
        <f t="shared" si="1182"/>
        <v>Low</v>
      </c>
      <c r="I15112">
        <v>3</v>
      </c>
      <c r="J15112" t="str" cm="1">
        <f t="array" ref="J15112">_xlfn.IFS(I15112&lt;=3,"small",I15112&lt;=6,"Medium",I15112&lt;=9,"Large")</f>
        <v>small</v>
      </c>
      <c r="K15112" s="36">
        <v>45095</v>
      </c>
      <c r="L15112" s="36">
        <v>45101</v>
      </c>
      <c r="M15112" t="s">
        <v>603</v>
      </c>
      <c r="N15112" t="s">
        <v>599</v>
      </c>
      <c r="O15112" s="37" t="str">
        <f t="shared" si="1183"/>
        <v>Digital Payment</v>
      </c>
      <c r="P15112">
        <v>856.77</v>
      </c>
      <c r="Q15112" s="37" t="str">
        <f>IF(P15112&gt;500,"High","low")</f>
        <v>High</v>
      </c>
      <c r="R15112" s="37" t="str">
        <f t="shared" si="1184"/>
        <v>Good</v>
      </c>
      <c r="S15112" t="s">
        <v>615</v>
      </c>
    </row>
    <row r="15113" spans="1:19" x14ac:dyDescent="0.2">
      <c r="A15113" t="s">
        <v>15724</v>
      </c>
      <c r="B15113" t="s">
        <v>75</v>
      </c>
      <c r="C15113" t="s">
        <v>617</v>
      </c>
      <c r="D15113">
        <v>4520.29</v>
      </c>
      <c r="E15113" s="37" t="str">
        <f t="shared" si="1180"/>
        <v>Excellent Order</v>
      </c>
      <c r="F15113">
        <v>0.41</v>
      </c>
      <c r="G15113" s="37" t="str">
        <f t="shared" si="1181"/>
        <v>Heavy Discount</v>
      </c>
      <c r="H15113" s="37" t="str">
        <f t="shared" si="1182"/>
        <v>High</v>
      </c>
      <c r="I15113">
        <v>5</v>
      </c>
      <c r="J15113" t="str" cm="1">
        <f t="array" ref="J15113">_xlfn.IFS(I15113&lt;=3,"small",I15113&lt;=6,"Medium",I15113&lt;=9,"Large")</f>
        <v>Medium</v>
      </c>
      <c r="K15113" s="36">
        <v>45152</v>
      </c>
      <c r="L15113" s="36">
        <v>45159</v>
      </c>
      <c r="M15113" t="s">
        <v>603</v>
      </c>
      <c r="N15113" t="s">
        <v>599</v>
      </c>
      <c r="O15113" s="37" t="str">
        <f t="shared" si="1183"/>
        <v>Digital Payment</v>
      </c>
      <c r="P15113">
        <v>1312.23</v>
      </c>
      <c r="Q15113" s="37" t="str">
        <f>IF(P15113&gt;500,"High","low")</f>
        <v>High</v>
      </c>
      <c r="R15113" s="37" t="str">
        <f t="shared" si="1184"/>
        <v>Excellent</v>
      </c>
      <c r="S15113" t="s">
        <v>605</v>
      </c>
    </row>
    <row r="15114" spans="1:19" x14ac:dyDescent="0.2">
      <c r="A15114" t="s">
        <v>15725</v>
      </c>
      <c r="B15114" t="s">
        <v>75</v>
      </c>
      <c r="C15114" t="s">
        <v>602</v>
      </c>
      <c r="D15114">
        <v>2804.28</v>
      </c>
      <c r="E15114" s="37" t="str">
        <f t="shared" si="1180"/>
        <v xml:space="preserve"> </v>
      </c>
      <c r="F15114">
        <v>0.38</v>
      </c>
      <c r="G15114" s="37" t="str">
        <f t="shared" si="1181"/>
        <v>Heavy Discount</v>
      </c>
      <c r="H15114" s="37" t="str">
        <f t="shared" si="1182"/>
        <v>Medium</v>
      </c>
      <c r="I15114">
        <v>1</v>
      </c>
      <c r="J15114" t="str" cm="1">
        <f t="array" ref="J15114">_xlfn.IFS(I15114&lt;=3,"small",I15114&lt;=6,"Medium",I15114&lt;=9,"Large")</f>
        <v>small</v>
      </c>
      <c r="K15114" s="36">
        <v>45244</v>
      </c>
      <c r="L15114" s="36">
        <v>45249</v>
      </c>
      <c r="M15114" t="s">
        <v>612</v>
      </c>
      <c r="N15114" t="s">
        <v>604</v>
      </c>
      <c r="O15114" s="37" t="str">
        <f t="shared" si="1183"/>
        <v>Digital Payment</v>
      </c>
      <c r="P15114">
        <v>545.37</v>
      </c>
      <c r="Q15114" s="37" t="str">
        <f>IF(P15114&gt;500,"High","low")</f>
        <v>High</v>
      </c>
      <c r="R15114" s="37" t="str">
        <f t="shared" si="1184"/>
        <v>Good</v>
      </c>
      <c r="S15114" t="s">
        <v>615</v>
      </c>
    </row>
    <row r="15115" spans="1:19" x14ac:dyDescent="0.2">
      <c r="A15115" t="s">
        <v>15726</v>
      </c>
      <c r="B15115" t="s">
        <v>90</v>
      </c>
      <c r="C15115" t="s">
        <v>607</v>
      </c>
      <c r="D15115">
        <v>2967.95</v>
      </c>
      <c r="E15115" s="37" t="str">
        <f t="shared" si="1180"/>
        <v xml:space="preserve"> </v>
      </c>
      <c r="F15115">
        <v>0.01</v>
      </c>
      <c r="G15115" s="37" t="str">
        <f t="shared" si="1181"/>
        <v>Normal Discount</v>
      </c>
      <c r="H15115" s="37" t="str">
        <f t="shared" si="1182"/>
        <v>Low</v>
      </c>
      <c r="I15115">
        <v>7</v>
      </c>
      <c r="J15115" t="str" cm="1">
        <f t="array" ref="J15115">_xlfn.IFS(I15115&lt;=3,"small",I15115&lt;=6,"Medium",I15115&lt;=9,"Large")</f>
        <v>Large</v>
      </c>
      <c r="K15115" s="36">
        <v>44966</v>
      </c>
      <c r="L15115" s="36">
        <v>44969</v>
      </c>
      <c r="M15115" t="s">
        <v>612</v>
      </c>
      <c r="N15115" t="s">
        <v>599</v>
      </c>
      <c r="O15115" s="37" t="str">
        <f t="shared" si="1183"/>
        <v>Digital Payment</v>
      </c>
      <c r="P15115">
        <v>194.84</v>
      </c>
      <c r="Q15115" s="37" t="str">
        <f>IF(P15115&gt;500,"High","low")</f>
        <v>low</v>
      </c>
      <c r="R15115" s="37" t="str">
        <f t="shared" si="1184"/>
        <v>AVERAGE</v>
      </c>
      <c r="S15115" t="s">
        <v>609</v>
      </c>
    </row>
    <row r="15116" spans="1:19" x14ac:dyDescent="0.2">
      <c r="A15116" t="s">
        <v>15727</v>
      </c>
      <c r="B15116" t="s">
        <v>75</v>
      </c>
      <c r="C15116" t="s">
        <v>602</v>
      </c>
      <c r="D15116">
        <v>3897.73</v>
      </c>
      <c r="E15116" s="37" t="str">
        <f t="shared" si="1180"/>
        <v xml:space="preserve"> </v>
      </c>
      <c r="F15116">
        <v>0</v>
      </c>
      <c r="G15116" s="37" t="str">
        <f t="shared" si="1181"/>
        <v>Normal Discount</v>
      </c>
      <c r="H15116" s="37" t="str">
        <f t="shared" si="1182"/>
        <v>Low</v>
      </c>
      <c r="I15116">
        <v>8</v>
      </c>
      <c r="J15116" t="str" cm="1">
        <f t="array" ref="J15116">_xlfn.IFS(I15116&lt;=3,"small",I15116&lt;=6,"Medium",I15116&lt;=9,"Large")</f>
        <v>Large</v>
      </c>
      <c r="K15116" s="36">
        <v>45414</v>
      </c>
      <c r="L15116" s="36">
        <v>45415</v>
      </c>
      <c r="M15116" t="s">
        <v>612</v>
      </c>
      <c r="N15116" t="s">
        <v>599</v>
      </c>
      <c r="O15116" s="37" t="str">
        <f t="shared" si="1183"/>
        <v>Digital Payment</v>
      </c>
      <c r="P15116">
        <v>796.88</v>
      </c>
      <c r="Q15116" s="37" t="str">
        <f>IF(P15116&gt;500,"High","low")</f>
        <v>High</v>
      </c>
      <c r="R15116" s="37" t="str">
        <f t="shared" si="1184"/>
        <v>Good</v>
      </c>
      <c r="S15116" t="s">
        <v>615</v>
      </c>
    </row>
    <row r="15117" spans="1:19" x14ac:dyDescent="0.2">
      <c r="A15117" t="s">
        <v>15728</v>
      </c>
      <c r="B15117" t="s">
        <v>67</v>
      </c>
      <c r="C15117" t="s">
        <v>602</v>
      </c>
      <c r="D15117">
        <v>1603.23</v>
      </c>
      <c r="E15117" s="37" t="str">
        <f t="shared" si="1180"/>
        <v xml:space="preserve"> </v>
      </c>
      <c r="F15117">
        <v>0.04</v>
      </c>
      <c r="G15117" s="37" t="str">
        <f t="shared" si="1181"/>
        <v>Normal Discount</v>
      </c>
      <c r="H15117" s="37" t="str">
        <f t="shared" si="1182"/>
        <v>Low</v>
      </c>
      <c r="I15117">
        <v>4</v>
      </c>
      <c r="J15117" t="str" cm="1">
        <f t="array" ref="J15117">_xlfn.IFS(I15117&lt;=3,"small",I15117&lt;=6,"Medium",I15117&lt;=9,"Large")</f>
        <v>Medium</v>
      </c>
      <c r="K15117" s="36">
        <v>45344</v>
      </c>
      <c r="L15117" s="36">
        <v>45347</v>
      </c>
      <c r="M15117" t="s">
        <v>603</v>
      </c>
      <c r="N15117" t="s">
        <v>608</v>
      </c>
      <c r="O15117" s="37" t="str">
        <f t="shared" si="1183"/>
        <v>Cash Payment</v>
      </c>
      <c r="P15117">
        <v>462.26</v>
      </c>
      <c r="Q15117" s="37" t="str">
        <f>IF(P15117&gt;500,"High","low")</f>
        <v>low</v>
      </c>
      <c r="R15117" s="37" t="str">
        <f t="shared" si="1184"/>
        <v>AVERAGE</v>
      </c>
      <c r="S15117" t="s">
        <v>600</v>
      </c>
    </row>
    <row r="15118" spans="1:19" x14ac:dyDescent="0.2">
      <c r="A15118" t="s">
        <v>15729</v>
      </c>
      <c r="B15118" t="s">
        <v>83</v>
      </c>
      <c r="C15118" t="s">
        <v>607</v>
      </c>
      <c r="D15118">
        <v>2684.6</v>
      </c>
      <c r="E15118" s="37" t="str">
        <f t="shared" si="1180"/>
        <v xml:space="preserve"> </v>
      </c>
      <c r="F15118">
        <v>0.23</v>
      </c>
      <c r="G15118" s="37" t="str">
        <f t="shared" si="1181"/>
        <v>Normal Discount</v>
      </c>
      <c r="H15118" s="37" t="str">
        <f t="shared" si="1182"/>
        <v>Medium</v>
      </c>
      <c r="I15118">
        <v>7</v>
      </c>
      <c r="J15118" t="str" cm="1">
        <f t="array" ref="J15118">_xlfn.IFS(I15118&lt;=3,"small",I15118&lt;=6,"Medium",I15118&lt;=9,"Large")</f>
        <v>Large</v>
      </c>
      <c r="K15118" s="36">
        <v>45261</v>
      </c>
      <c r="L15118" s="36">
        <v>45266</v>
      </c>
      <c r="M15118" t="s">
        <v>612</v>
      </c>
      <c r="N15118" t="s">
        <v>608</v>
      </c>
      <c r="O15118" s="37" t="str">
        <f t="shared" si="1183"/>
        <v>Cash Payment</v>
      </c>
      <c r="P15118">
        <v>424.7</v>
      </c>
      <c r="Q15118" s="37" t="str">
        <f>IF(P15118&gt;500,"High","low")</f>
        <v>low</v>
      </c>
      <c r="R15118" s="37" t="str">
        <f t="shared" si="1184"/>
        <v>AVERAGE</v>
      </c>
      <c r="S15118" t="s">
        <v>628</v>
      </c>
    </row>
    <row r="15119" spans="1:19" x14ac:dyDescent="0.2">
      <c r="A15119" t="s">
        <v>15730</v>
      </c>
      <c r="B15119" t="s">
        <v>67</v>
      </c>
      <c r="C15119" t="s">
        <v>597</v>
      </c>
      <c r="D15119">
        <v>4521.6400000000003</v>
      </c>
      <c r="E15119" s="37" t="str">
        <f t="shared" si="1180"/>
        <v xml:space="preserve"> </v>
      </c>
      <c r="F15119">
        <v>0.44</v>
      </c>
      <c r="G15119" s="37" t="str">
        <f t="shared" si="1181"/>
        <v>Heavy Discount</v>
      </c>
      <c r="H15119" s="37" t="str">
        <f t="shared" si="1182"/>
        <v>High</v>
      </c>
      <c r="I15119">
        <v>7</v>
      </c>
      <c r="J15119" t="str" cm="1">
        <f t="array" ref="J15119">_xlfn.IFS(I15119&lt;=3,"small",I15119&lt;=6,"Medium",I15119&lt;=9,"Large")</f>
        <v>Large</v>
      </c>
      <c r="K15119" s="36">
        <v>45441</v>
      </c>
      <c r="L15119" s="36">
        <v>45448</v>
      </c>
      <c r="M15119" t="s">
        <v>598</v>
      </c>
      <c r="N15119" t="s">
        <v>604</v>
      </c>
      <c r="O15119" s="37" t="str">
        <f t="shared" si="1183"/>
        <v>Digital Payment</v>
      </c>
      <c r="P15119">
        <v>566.61</v>
      </c>
      <c r="Q15119" s="37" t="str">
        <f>IF(P15119&gt;500,"High","low")</f>
        <v>High</v>
      </c>
      <c r="R15119" s="37" t="str">
        <f t="shared" si="1184"/>
        <v>Good</v>
      </c>
      <c r="S15119" t="s">
        <v>600</v>
      </c>
    </row>
    <row r="15120" spans="1:19" x14ac:dyDescent="0.2">
      <c r="A15120" t="s">
        <v>15731</v>
      </c>
      <c r="B15120" t="s">
        <v>83</v>
      </c>
      <c r="C15120" t="s">
        <v>602</v>
      </c>
      <c r="D15120">
        <v>434.42</v>
      </c>
      <c r="E15120" s="37" t="str">
        <f t="shared" si="1180"/>
        <v xml:space="preserve"> </v>
      </c>
      <c r="F15120">
        <v>0.09</v>
      </c>
      <c r="G15120" s="37" t="str">
        <f t="shared" si="1181"/>
        <v>Normal Discount</v>
      </c>
      <c r="H15120" s="37" t="str">
        <f t="shared" si="1182"/>
        <v>Low</v>
      </c>
      <c r="I15120">
        <v>6</v>
      </c>
      <c r="J15120" t="str" cm="1">
        <f t="array" ref="J15120">_xlfn.IFS(I15120&lt;=3,"small",I15120&lt;=6,"Medium",I15120&lt;=9,"Large")</f>
        <v>Medium</v>
      </c>
      <c r="K15120" s="36">
        <v>45362</v>
      </c>
      <c r="L15120" s="36">
        <v>45367</v>
      </c>
      <c r="M15120" t="s">
        <v>603</v>
      </c>
      <c r="N15120" t="s">
        <v>608</v>
      </c>
      <c r="O15120" s="37" t="str">
        <f t="shared" si="1183"/>
        <v>Cash Payment</v>
      </c>
      <c r="P15120">
        <v>86.78</v>
      </c>
      <c r="Q15120" s="37" t="str">
        <f>IF(P15120&gt;500,"High","low")</f>
        <v>low</v>
      </c>
      <c r="R15120" s="37" t="str">
        <f t="shared" si="1184"/>
        <v>AVERAGE</v>
      </c>
      <c r="S15120" t="s">
        <v>609</v>
      </c>
    </row>
    <row r="15121" spans="1:19" x14ac:dyDescent="0.2">
      <c r="A15121" t="s">
        <v>15732</v>
      </c>
      <c r="B15121" t="s">
        <v>67</v>
      </c>
      <c r="C15121" t="s">
        <v>607</v>
      </c>
      <c r="D15121">
        <v>4537.09</v>
      </c>
      <c r="E15121" s="37" t="str">
        <f t="shared" si="1180"/>
        <v>Excellent Order</v>
      </c>
      <c r="F15121">
        <v>0.24</v>
      </c>
      <c r="G15121" s="37" t="str">
        <f t="shared" si="1181"/>
        <v>Normal Discount</v>
      </c>
      <c r="H15121" s="37" t="str">
        <f t="shared" si="1182"/>
        <v>Medium</v>
      </c>
      <c r="I15121">
        <v>5</v>
      </c>
      <c r="J15121" t="str" cm="1">
        <f t="array" ref="J15121">_xlfn.IFS(I15121&lt;=3,"small",I15121&lt;=6,"Medium",I15121&lt;=9,"Large")</f>
        <v>Medium</v>
      </c>
      <c r="K15121" s="36">
        <v>45177</v>
      </c>
      <c r="L15121" s="36">
        <v>45184</v>
      </c>
      <c r="M15121" t="s">
        <v>598</v>
      </c>
      <c r="N15121" t="s">
        <v>604</v>
      </c>
      <c r="O15121" s="37" t="str">
        <f t="shared" si="1183"/>
        <v>Digital Payment</v>
      </c>
      <c r="P15121">
        <v>1002.7</v>
      </c>
      <c r="Q15121" s="37" t="str">
        <f>IF(P15121&gt;500,"High","low")</f>
        <v>High</v>
      </c>
      <c r="R15121" s="37" t="str">
        <f t="shared" si="1184"/>
        <v>Excellent</v>
      </c>
      <c r="S15121" t="s">
        <v>615</v>
      </c>
    </row>
    <row r="15122" spans="1:19" x14ac:dyDescent="0.2">
      <c r="A15122" t="s">
        <v>15733</v>
      </c>
      <c r="B15122" t="s">
        <v>67</v>
      </c>
      <c r="C15122" t="s">
        <v>617</v>
      </c>
      <c r="D15122">
        <v>3671.01</v>
      </c>
      <c r="E15122" s="37" t="str">
        <f t="shared" si="1180"/>
        <v xml:space="preserve"> </v>
      </c>
      <c r="F15122">
        <v>0.02</v>
      </c>
      <c r="G15122" s="37" t="str">
        <f t="shared" si="1181"/>
        <v>Normal Discount</v>
      </c>
      <c r="H15122" s="37" t="str">
        <f t="shared" si="1182"/>
        <v>Low</v>
      </c>
      <c r="I15122">
        <v>4</v>
      </c>
      <c r="J15122" t="str" cm="1">
        <f t="array" ref="J15122">_xlfn.IFS(I15122&lt;=3,"small",I15122&lt;=6,"Medium",I15122&lt;=9,"Large")</f>
        <v>Medium</v>
      </c>
      <c r="K15122" s="36">
        <v>45024</v>
      </c>
      <c r="L15122" s="36">
        <v>45028</v>
      </c>
      <c r="M15122" t="s">
        <v>598</v>
      </c>
      <c r="N15122" t="s">
        <v>604</v>
      </c>
      <c r="O15122" s="37" t="str">
        <f t="shared" si="1183"/>
        <v>Digital Payment</v>
      </c>
      <c r="P15122">
        <v>553.58000000000004</v>
      </c>
      <c r="Q15122" s="37" t="str">
        <f>IF(P15122&gt;500,"High","low")</f>
        <v>High</v>
      </c>
      <c r="R15122" s="37" t="str">
        <f t="shared" si="1184"/>
        <v>Good</v>
      </c>
      <c r="S15122" t="s">
        <v>609</v>
      </c>
    </row>
    <row r="15123" spans="1:19" x14ac:dyDescent="0.2">
      <c r="A15123" t="s">
        <v>15734</v>
      </c>
      <c r="B15123" t="s">
        <v>83</v>
      </c>
      <c r="C15123" t="s">
        <v>617</v>
      </c>
      <c r="D15123">
        <v>3872.24</v>
      </c>
      <c r="E15123" s="37" t="str">
        <f t="shared" si="1180"/>
        <v xml:space="preserve"> </v>
      </c>
      <c r="F15123">
        <v>0.01</v>
      </c>
      <c r="G15123" s="37" t="str">
        <f t="shared" si="1181"/>
        <v>Normal Discount</v>
      </c>
      <c r="H15123" s="37" t="str">
        <f t="shared" si="1182"/>
        <v>Low</v>
      </c>
      <c r="I15123">
        <v>5</v>
      </c>
      <c r="J15123" t="str" cm="1">
        <f t="array" ref="J15123">_xlfn.IFS(I15123&lt;=3,"small",I15123&lt;=6,"Medium",I15123&lt;=9,"Large")</f>
        <v>Medium</v>
      </c>
      <c r="K15123" s="36">
        <v>45251</v>
      </c>
      <c r="L15123" s="36">
        <v>45253</v>
      </c>
      <c r="M15123" t="s">
        <v>598</v>
      </c>
      <c r="N15123" t="s">
        <v>599</v>
      </c>
      <c r="O15123" s="37" t="str">
        <f t="shared" si="1183"/>
        <v>Digital Payment</v>
      </c>
      <c r="P15123">
        <v>267.69</v>
      </c>
      <c r="Q15123" s="37" t="str">
        <f>IF(P15123&gt;500,"High","low")</f>
        <v>low</v>
      </c>
      <c r="R15123" s="37" t="str">
        <f t="shared" si="1184"/>
        <v>AVERAGE</v>
      </c>
      <c r="S15123" t="s">
        <v>620</v>
      </c>
    </row>
    <row r="15124" spans="1:19" x14ac:dyDescent="0.2">
      <c r="A15124" t="s">
        <v>15735</v>
      </c>
      <c r="B15124" t="s">
        <v>90</v>
      </c>
      <c r="C15124" t="s">
        <v>617</v>
      </c>
      <c r="D15124">
        <v>417.12</v>
      </c>
      <c r="E15124" s="37" t="str">
        <f t="shared" si="1180"/>
        <v xml:space="preserve"> </v>
      </c>
      <c r="F15124">
        <v>0</v>
      </c>
      <c r="G15124" s="37" t="str">
        <f t="shared" si="1181"/>
        <v>Normal Discount</v>
      </c>
      <c r="H15124" s="37" t="str">
        <f t="shared" si="1182"/>
        <v>Low</v>
      </c>
      <c r="I15124">
        <v>7</v>
      </c>
      <c r="J15124" t="str" cm="1">
        <f t="array" ref="J15124">_xlfn.IFS(I15124&lt;=3,"small",I15124&lt;=6,"Medium",I15124&lt;=9,"Large")</f>
        <v>Large</v>
      </c>
      <c r="K15124" s="36">
        <v>45396</v>
      </c>
      <c r="L15124" s="36">
        <v>45402</v>
      </c>
      <c r="M15124" t="s">
        <v>603</v>
      </c>
      <c r="N15124" t="s">
        <v>608</v>
      </c>
      <c r="O15124" s="37" t="str">
        <f t="shared" si="1183"/>
        <v>Cash Payment</v>
      </c>
      <c r="P15124">
        <v>59.84</v>
      </c>
      <c r="Q15124" s="37" t="str">
        <f>IF(P15124&gt;500,"High","low")</f>
        <v>low</v>
      </c>
      <c r="R15124" s="37" t="str">
        <f t="shared" si="1184"/>
        <v>AVERAGE</v>
      </c>
      <c r="S15124" t="s">
        <v>620</v>
      </c>
    </row>
    <row r="15125" spans="1:19" x14ac:dyDescent="0.2">
      <c r="A15125" t="s">
        <v>15736</v>
      </c>
      <c r="B15125" t="s">
        <v>75</v>
      </c>
      <c r="C15125" t="s">
        <v>597</v>
      </c>
      <c r="D15125">
        <v>1020.01</v>
      </c>
      <c r="E15125" s="37" t="str">
        <f t="shared" si="1180"/>
        <v xml:space="preserve"> </v>
      </c>
      <c r="F15125">
        <v>0.37</v>
      </c>
      <c r="G15125" s="37" t="str">
        <f t="shared" si="1181"/>
        <v>Heavy Discount</v>
      </c>
      <c r="H15125" s="37" t="str">
        <f t="shared" si="1182"/>
        <v>Medium</v>
      </c>
      <c r="I15125">
        <v>8</v>
      </c>
      <c r="J15125" t="str" cm="1">
        <f t="array" ref="J15125">_xlfn.IFS(I15125&lt;=3,"small",I15125&lt;=6,"Medium",I15125&lt;=9,"Large")</f>
        <v>Large</v>
      </c>
      <c r="K15125" s="36">
        <v>45595</v>
      </c>
      <c r="L15125" s="36">
        <v>45601</v>
      </c>
      <c r="M15125" t="s">
        <v>603</v>
      </c>
      <c r="N15125" t="s">
        <v>608</v>
      </c>
      <c r="O15125" s="37" t="str">
        <f t="shared" si="1183"/>
        <v>Cash Payment</v>
      </c>
      <c r="P15125">
        <v>175.22</v>
      </c>
      <c r="Q15125" s="37" t="str">
        <f>IF(P15125&gt;500,"High","low")</f>
        <v>low</v>
      </c>
      <c r="R15125" s="37" t="str">
        <f t="shared" si="1184"/>
        <v>AVERAGE</v>
      </c>
      <c r="S15125" t="s">
        <v>609</v>
      </c>
    </row>
    <row r="15126" spans="1:19" x14ac:dyDescent="0.2">
      <c r="A15126" t="s">
        <v>15737</v>
      </c>
      <c r="B15126" t="s">
        <v>67</v>
      </c>
      <c r="C15126" t="s">
        <v>602</v>
      </c>
      <c r="D15126">
        <v>4633.78</v>
      </c>
      <c r="E15126" s="37" t="str">
        <f t="shared" si="1180"/>
        <v>Excellent Order</v>
      </c>
      <c r="F15126">
        <v>0.01</v>
      </c>
      <c r="G15126" s="37" t="str">
        <f t="shared" si="1181"/>
        <v>Normal Discount</v>
      </c>
      <c r="H15126" s="37" t="str">
        <f t="shared" si="1182"/>
        <v>Low</v>
      </c>
      <c r="I15126">
        <v>4</v>
      </c>
      <c r="J15126" t="str" cm="1">
        <f t="array" ref="J15126">_xlfn.IFS(I15126&lt;=3,"small",I15126&lt;=6,"Medium",I15126&lt;=9,"Large")</f>
        <v>Medium</v>
      </c>
      <c r="K15126" s="36">
        <v>45442</v>
      </c>
      <c r="L15126" s="36">
        <v>45448</v>
      </c>
      <c r="M15126" t="s">
        <v>612</v>
      </c>
      <c r="N15126" t="s">
        <v>608</v>
      </c>
      <c r="O15126" s="37" t="str">
        <f t="shared" si="1183"/>
        <v>Cash Payment</v>
      </c>
      <c r="P15126">
        <v>833.34</v>
      </c>
      <c r="Q15126" s="37" t="str">
        <f>IF(P15126&gt;500,"High","low")</f>
        <v>High</v>
      </c>
      <c r="R15126" s="37" t="str">
        <f t="shared" si="1184"/>
        <v>Good</v>
      </c>
      <c r="S15126" t="s">
        <v>609</v>
      </c>
    </row>
    <row r="15127" spans="1:19" x14ac:dyDescent="0.2">
      <c r="A15127" t="s">
        <v>15738</v>
      </c>
      <c r="B15127" t="s">
        <v>90</v>
      </c>
      <c r="C15127" t="s">
        <v>602</v>
      </c>
      <c r="D15127">
        <v>707.85</v>
      </c>
      <c r="E15127" s="37" t="str">
        <f t="shared" si="1180"/>
        <v xml:space="preserve"> </v>
      </c>
      <c r="F15127">
        <v>0.14000000000000001</v>
      </c>
      <c r="G15127" s="37" t="str">
        <f t="shared" si="1181"/>
        <v>Normal Discount</v>
      </c>
      <c r="H15127" s="37" t="str">
        <f t="shared" si="1182"/>
        <v>Low</v>
      </c>
      <c r="I15127">
        <v>5</v>
      </c>
      <c r="J15127" t="str" cm="1">
        <f t="array" ref="J15127">_xlfn.IFS(I15127&lt;=3,"small",I15127&lt;=6,"Medium",I15127&lt;=9,"Large")</f>
        <v>Medium</v>
      </c>
      <c r="K15127" s="36">
        <v>45428</v>
      </c>
      <c r="L15127" s="36">
        <v>45432</v>
      </c>
      <c r="M15127" t="s">
        <v>598</v>
      </c>
      <c r="N15127" t="s">
        <v>608</v>
      </c>
      <c r="O15127" s="37" t="str">
        <f t="shared" si="1183"/>
        <v>Cash Payment</v>
      </c>
      <c r="P15127">
        <v>159.41999999999999</v>
      </c>
      <c r="Q15127" s="37" t="str">
        <f>IF(P15127&gt;500,"High","low")</f>
        <v>low</v>
      </c>
      <c r="R15127" s="37" t="str">
        <f t="shared" si="1184"/>
        <v>AVERAGE</v>
      </c>
      <c r="S15127" t="s">
        <v>615</v>
      </c>
    </row>
    <row r="15128" spans="1:19" x14ac:dyDescent="0.2">
      <c r="A15128" t="s">
        <v>15739</v>
      </c>
      <c r="B15128" t="s">
        <v>75</v>
      </c>
      <c r="C15128" t="s">
        <v>614</v>
      </c>
      <c r="D15128">
        <v>3192.8</v>
      </c>
      <c r="E15128" s="37" t="str">
        <f t="shared" si="1180"/>
        <v xml:space="preserve"> </v>
      </c>
      <c r="F15128">
        <v>0.32</v>
      </c>
      <c r="G15128" s="37" t="str">
        <f t="shared" si="1181"/>
        <v>Heavy Discount</v>
      </c>
      <c r="H15128" s="37" t="str">
        <f t="shared" si="1182"/>
        <v>Medium</v>
      </c>
      <c r="I15128">
        <v>6</v>
      </c>
      <c r="J15128" t="str" cm="1">
        <f t="array" ref="J15128">_xlfn.IFS(I15128&lt;=3,"small",I15128&lt;=6,"Medium",I15128&lt;=9,"Large")</f>
        <v>Medium</v>
      </c>
      <c r="K15128" s="36">
        <v>45207</v>
      </c>
      <c r="L15128" s="36">
        <v>45214</v>
      </c>
      <c r="M15128" t="s">
        <v>603</v>
      </c>
      <c r="N15128" t="s">
        <v>608</v>
      </c>
      <c r="O15128" s="37" t="str">
        <f t="shared" si="1183"/>
        <v>Cash Payment</v>
      </c>
      <c r="P15128">
        <v>172.77</v>
      </c>
      <c r="Q15128" s="37" t="str">
        <f>IF(P15128&gt;500,"High","low")</f>
        <v>low</v>
      </c>
      <c r="R15128" s="37" t="str">
        <f t="shared" si="1184"/>
        <v>AVERAGE</v>
      </c>
      <c r="S15128" t="s">
        <v>600</v>
      </c>
    </row>
    <row r="15129" spans="1:19" x14ac:dyDescent="0.2">
      <c r="A15129" t="s">
        <v>15740</v>
      </c>
      <c r="B15129" t="s">
        <v>90</v>
      </c>
      <c r="C15129" t="s">
        <v>617</v>
      </c>
      <c r="D15129">
        <v>3935.19</v>
      </c>
      <c r="E15129" s="37" t="str">
        <f t="shared" si="1180"/>
        <v xml:space="preserve"> </v>
      </c>
      <c r="F15129">
        <v>0.31</v>
      </c>
      <c r="G15129" s="37" t="str">
        <f t="shared" si="1181"/>
        <v>Heavy Discount</v>
      </c>
      <c r="H15129" s="37" t="str">
        <f t="shared" si="1182"/>
        <v>Medium</v>
      </c>
      <c r="I15129">
        <v>9</v>
      </c>
      <c r="J15129" t="str" cm="1">
        <f t="array" ref="J15129">_xlfn.IFS(I15129&lt;=3,"small",I15129&lt;=6,"Medium",I15129&lt;=9,"Large")</f>
        <v>Large</v>
      </c>
      <c r="K15129" s="36">
        <v>45178</v>
      </c>
      <c r="L15129" s="36">
        <v>45184</v>
      </c>
      <c r="M15129" t="s">
        <v>612</v>
      </c>
      <c r="N15129" t="s">
        <v>599</v>
      </c>
      <c r="O15129" s="37" t="str">
        <f t="shared" si="1183"/>
        <v>Digital Payment</v>
      </c>
      <c r="P15129">
        <v>1065.93</v>
      </c>
      <c r="Q15129" s="37" t="str">
        <f>IF(P15129&gt;500,"High","low")</f>
        <v>High</v>
      </c>
      <c r="R15129" s="37" t="str">
        <f t="shared" si="1184"/>
        <v>Excellent</v>
      </c>
      <c r="S15129" t="s">
        <v>615</v>
      </c>
    </row>
    <row r="15130" spans="1:19" x14ac:dyDescent="0.2">
      <c r="A15130" t="s">
        <v>15741</v>
      </c>
      <c r="B15130" t="s">
        <v>90</v>
      </c>
      <c r="C15130" t="s">
        <v>597</v>
      </c>
      <c r="D15130">
        <v>1233.28</v>
      </c>
      <c r="E15130" s="37" t="str">
        <f t="shared" si="1180"/>
        <v xml:space="preserve"> </v>
      </c>
      <c r="F15130">
        <v>0.03</v>
      </c>
      <c r="G15130" s="37" t="str">
        <f t="shared" si="1181"/>
        <v>Normal Discount</v>
      </c>
      <c r="H15130" s="37" t="str">
        <f t="shared" si="1182"/>
        <v>Low</v>
      </c>
      <c r="I15130">
        <v>6</v>
      </c>
      <c r="J15130" t="str" cm="1">
        <f t="array" ref="J15130">_xlfn.IFS(I15130&lt;=3,"small",I15130&lt;=6,"Medium",I15130&lt;=9,"Large")</f>
        <v>Medium</v>
      </c>
      <c r="K15130" s="36">
        <v>45360</v>
      </c>
      <c r="L15130" s="36">
        <v>45367</v>
      </c>
      <c r="M15130" t="s">
        <v>612</v>
      </c>
      <c r="N15130" t="s">
        <v>608</v>
      </c>
      <c r="O15130" s="37" t="str">
        <f t="shared" si="1183"/>
        <v>Cash Payment</v>
      </c>
      <c r="P15130">
        <v>248.46</v>
      </c>
      <c r="Q15130" s="37" t="str">
        <f>IF(P15130&gt;500,"High","low")</f>
        <v>low</v>
      </c>
      <c r="R15130" s="37" t="str">
        <f t="shared" si="1184"/>
        <v>AVERAGE</v>
      </c>
      <c r="S15130" t="s">
        <v>609</v>
      </c>
    </row>
    <row r="15131" spans="1:19" x14ac:dyDescent="0.2">
      <c r="A15131" t="s">
        <v>15742</v>
      </c>
      <c r="B15131" t="s">
        <v>75</v>
      </c>
      <c r="C15131" t="s">
        <v>607</v>
      </c>
      <c r="D15131">
        <v>3524.07</v>
      </c>
      <c r="E15131" s="37" t="str">
        <f t="shared" si="1180"/>
        <v xml:space="preserve"> </v>
      </c>
      <c r="F15131">
        <v>0.13</v>
      </c>
      <c r="G15131" s="37" t="str">
        <f t="shared" si="1181"/>
        <v>Normal Discount</v>
      </c>
      <c r="H15131" s="37" t="str">
        <f t="shared" si="1182"/>
        <v>Low</v>
      </c>
      <c r="I15131">
        <v>7</v>
      </c>
      <c r="J15131" t="str" cm="1">
        <f t="array" ref="J15131">_xlfn.IFS(I15131&lt;=3,"small",I15131&lt;=6,"Medium",I15131&lt;=9,"Large")</f>
        <v>Large</v>
      </c>
      <c r="K15131" s="36">
        <v>45181</v>
      </c>
      <c r="L15131" s="36">
        <v>45186</v>
      </c>
      <c r="M15131" t="s">
        <v>612</v>
      </c>
      <c r="N15131" t="s">
        <v>599</v>
      </c>
      <c r="O15131" s="37" t="str">
        <f t="shared" si="1183"/>
        <v>Digital Payment</v>
      </c>
      <c r="P15131">
        <v>642.29</v>
      </c>
      <c r="Q15131" s="37" t="str">
        <f>IF(P15131&gt;500,"High","low")</f>
        <v>High</v>
      </c>
      <c r="R15131" s="37" t="str">
        <f t="shared" si="1184"/>
        <v>Good</v>
      </c>
      <c r="S15131" t="s">
        <v>628</v>
      </c>
    </row>
    <row r="15132" spans="1:19" x14ac:dyDescent="0.2">
      <c r="A15132" t="s">
        <v>15743</v>
      </c>
      <c r="B15132" t="s">
        <v>67</v>
      </c>
      <c r="C15132" t="s">
        <v>597</v>
      </c>
      <c r="D15132">
        <v>421.32</v>
      </c>
      <c r="E15132" s="37" t="str">
        <f t="shared" si="1180"/>
        <v xml:space="preserve"> </v>
      </c>
      <c r="F15132">
        <v>0.32</v>
      </c>
      <c r="G15132" s="37" t="str">
        <f t="shared" si="1181"/>
        <v>Heavy Discount</v>
      </c>
      <c r="H15132" s="37" t="str">
        <f t="shared" si="1182"/>
        <v>Medium</v>
      </c>
      <c r="I15132">
        <v>8</v>
      </c>
      <c r="J15132" t="str" cm="1">
        <f t="array" ref="J15132">_xlfn.IFS(I15132&lt;=3,"small",I15132&lt;=6,"Medium",I15132&lt;=9,"Large")</f>
        <v>Large</v>
      </c>
      <c r="K15132" s="36">
        <v>45333</v>
      </c>
      <c r="L15132" s="36">
        <v>45335</v>
      </c>
      <c r="M15132" t="s">
        <v>603</v>
      </c>
      <c r="N15132" t="s">
        <v>599</v>
      </c>
      <c r="O15132" s="37" t="str">
        <f t="shared" si="1183"/>
        <v>Digital Payment</v>
      </c>
      <c r="P15132">
        <v>38.049999999999997</v>
      </c>
      <c r="Q15132" s="37" t="str">
        <f>IF(P15132&gt;500,"High","low")</f>
        <v>low</v>
      </c>
      <c r="R15132" s="37" t="str">
        <f t="shared" si="1184"/>
        <v>AVERAGE</v>
      </c>
      <c r="S15132" t="s">
        <v>609</v>
      </c>
    </row>
    <row r="15133" spans="1:19" x14ac:dyDescent="0.2">
      <c r="A15133" t="s">
        <v>15744</v>
      </c>
      <c r="B15133" t="s">
        <v>90</v>
      </c>
      <c r="C15133" t="s">
        <v>602</v>
      </c>
      <c r="D15133">
        <v>2543.9699999999998</v>
      </c>
      <c r="E15133" s="37" t="str">
        <f t="shared" si="1180"/>
        <v xml:space="preserve"> </v>
      </c>
      <c r="F15133">
        <v>0.2</v>
      </c>
      <c r="G15133" s="37" t="str">
        <f t="shared" si="1181"/>
        <v>Normal Discount</v>
      </c>
      <c r="H15133" s="37" t="str">
        <f t="shared" si="1182"/>
        <v>Medium</v>
      </c>
      <c r="I15133">
        <v>3</v>
      </c>
      <c r="J15133" t="str" cm="1">
        <f t="array" ref="J15133">_xlfn.IFS(I15133&lt;=3,"small",I15133&lt;=6,"Medium",I15133&lt;=9,"Large")</f>
        <v>small</v>
      </c>
      <c r="K15133" s="36">
        <v>45335</v>
      </c>
      <c r="L15133" s="36">
        <v>45341</v>
      </c>
      <c r="M15133" t="s">
        <v>598</v>
      </c>
      <c r="N15133" t="s">
        <v>608</v>
      </c>
      <c r="O15133" s="37" t="str">
        <f t="shared" si="1183"/>
        <v>Cash Payment</v>
      </c>
      <c r="P15133">
        <v>204.15</v>
      </c>
      <c r="Q15133" s="37" t="str">
        <f>IF(P15133&gt;500,"High","low")</f>
        <v>low</v>
      </c>
      <c r="R15133" s="37" t="str">
        <f t="shared" si="1184"/>
        <v>AVERAGE</v>
      </c>
      <c r="S15133" t="s">
        <v>620</v>
      </c>
    </row>
    <row r="15134" spans="1:19" x14ac:dyDescent="0.2">
      <c r="A15134" t="s">
        <v>15745</v>
      </c>
      <c r="B15134" t="s">
        <v>67</v>
      </c>
      <c r="C15134" t="s">
        <v>617</v>
      </c>
      <c r="D15134">
        <v>1738.72</v>
      </c>
      <c r="E15134" s="37" t="str">
        <f t="shared" si="1180"/>
        <v xml:space="preserve"> </v>
      </c>
      <c r="F15134">
        <v>0.23</v>
      </c>
      <c r="G15134" s="37" t="str">
        <f t="shared" si="1181"/>
        <v>Normal Discount</v>
      </c>
      <c r="H15134" s="37" t="str">
        <f t="shared" si="1182"/>
        <v>Medium</v>
      </c>
      <c r="I15134">
        <v>5</v>
      </c>
      <c r="J15134" t="str" cm="1">
        <f t="array" ref="J15134">_xlfn.IFS(I15134&lt;=3,"small",I15134&lt;=6,"Medium",I15134&lt;=9,"Large")</f>
        <v>Medium</v>
      </c>
      <c r="K15134" s="36">
        <v>45252</v>
      </c>
      <c r="L15134" s="36">
        <v>45258</v>
      </c>
      <c r="M15134" t="s">
        <v>603</v>
      </c>
      <c r="N15134" t="s">
        <v>604</v>
      </c>
      <c r="O15134" s="37" t="str">
        <f t="shared" si="1183"/>
        <v>Digital Payment</v>
      </c>
      <c r="P15134">
        <v>329.96</v>
      </c>
      <c r="Q15134" s="37" t="str">
        <f>IF(P15134&gt;500,"High","low")</f>
        <v>low</v>
      </c>
      <c r="R15134" s="37" t="str">
        <f t="shared" si="1184"/>
        <v>AVERAGE</v>
      </c>
      <c r="S15134" t="s">
        <v>620</v>
      </c>
    </row>
    <row r="15135" spans="1:19" x14ac:dyDescent="0.2">
      <c r="A15135" t="s">
        <v>15746</v>
      </c>
      <c r="B15135" t="s">
        <v>67</v>
      </c>
      <c r="C15135" t="s">
        <v>614</v>
      </c>
      <c r="D15135">
        <v>3264.14</v>
      </c>
      <c r="E15135" s="37" t="str">
        <f t="shared" si="1180"/>
        <v xml:space="preserve"> </v>
      </c>
      <c r="F15135">
        <v>0.1</v>
      </c>
      <c r="G15135" s="37" t="str">
        <f t="shared" si="1181"/>
        <v>Normal Discount</v>
      </c>
      <c r="H15135" s="37" t="str">
        <f t="shared" si="1182"/>
        <v>Low</v>
      </c>
      <c r="I15135">
        <v>4</v>
      </c>
      <c r="J15135" t="str" cm="1">
        <f t="array" ref="J15135">_xlfn.IFS(I15135&lt;=3,"small",I15135&lt;=6,"Medium",I15135&lt;=9,"Large")</f>
        <v>Medium</v>
      </c>
      <c r="K15135" s="36">
        <v>45024</v>
      </c>
      <c r="L15135" s="36">
        <v>45030</v>
      </c>
      <c r="M15135" t="s">
        <v>603</v>
      </c>
      <c r="N15135" t="s">
        <v>604</v>
      </c>
      <c r="O15135" s="37" t="str">
        <f t="shared" si="1183"/>
        <v>Digital Payment</v>
      </c>
      <c r="P15135">
        <v>748.52</v>
      </c>
      <c r="Q15135" s="37" t="str">
        <f>IF(P15135&gt;500,"High","low")</f>
        <v>High</v>
      </c>
      <c r="R15135" s="37" t="str">
        <f t="shared" si="1184"/>
        <v>Good</v>
      </c>
      <c r="S15135" t="s">
        <v>628</v>
      </c>
    </row>
    <row r="15136" spans="1:19" x14ac:dyDescent="0.2">
      <c r="A15136" t="s">
        <v>15747</v>
      </c>
      <c r="B15136" t="s">
        <v>67</v>
      </c>
      <c r="C15136" t="s">
        <v>597</v>
      </c>
      <c r="D15136">
        <v>4456.12</v>
      </c>
      <c r="E15136" s="37" t="str">
        <f t="shared" si="1180"/>
        <v>Excellent Order</v>
      </c>
      <c r="F15136">
        <v>0.02</v>
      </c>
      <c r="G15136" s="37" t="str">
        <f t="shared" si="1181"/>
        <v>Normal Discount</v>
      </c>
      <c r="H15136" s="37" t="str">
        <f t="shared" si="1182"/>
        <v>Low</v>
      </c>
      <c r="I15136">
        <v>1</v>
      </c>
      <c r="J15136" t="str" cm="1">
        <f t="array" ref="J15136">_xlfn.IFS(I15136&lt;=3,"small",I15136&lt;=6,"Medium",I15136&lt;=9,"Large")</f>
        <v>small</v>
      </c>
      <c r="K15136" s="36">
        <v>45075</v>
      </c>
      <c r="L15136" s="36">
        <v>45082</v>
      </c>
      <c r="M15136" t="s">
        <v>612</v>
      </c>
      <c r="N15136" t="s">
        <v>608</v>
      </c>
      <c r="O15136" s="37" t="str">
        <f t="shared" si="1183"/>
        <v>Cash Payment</v>
      </c>
      <c r="P15136">
        <v>1072.05</v>
      </c>
      <c r="Q15136" s="37" t="str">
        <f>IF(P15136&gt;500,"High","low")</f>
        <v>High</v>
      </c>
      <c r="R15136" s="37" t="str">
        <f t="shared" si="1184"/>
        <v>Excellent</v>
      </c>
      <c r="S15136" t="s">
        <v>605</v>
      </c>
    </row>
    <row r="15137" spans="1:19" x14ac:dyDescent="0.2">
      <c r="A15137" t="s">
        <v>15748</v>
      </c>
      <c r="B15137" t="s">
        <v>75</v>
      </c>
      <c r="C15137" t="s">
        <v>614</v>
      </c>
      <c r="D15137">
        <v>714.91</v>
      </c>
      <c r="E15137" s="37" t="str">
        <f t="shared" si="1180"/>
        <v xml:space="preserve"> </v>
      </c>
      <c r="F15137">
        <v>0.17</v>
      </c>
      <c r="G15137" s="37" t="str">
        <f t="shared" si="1181"/>
        <v>Normal Discount</v>
      </c>
      <c r="H15137" s="37" t="str">
        <f t="shared" si="1182"/>
        <v>Low</v>
      </c>
      <c r="I15137">
        <v>4</v>
      </c>
      <c r="J15137" t="str" cm="1">
        <f t="array" ref="J15137">_xlfn.IFS(I15137&lt;=3,"small",I15137&lt;=6,"Medium",I15137&lt;=9,"Large")</f>
        <v>Medium</v>
      </c>
      <c r="K15137" s="36">
        <v>45034</v>
      </c>
      <c r="L15137" s="36">
        <v>45040</v>
      </c>
      <c r="M15137" t="s">
        <v>598</v>
      </c>
      <c r="N15137" t="s">
        <v>604</v>
      </c>
      <c r="O15137" s="37" t="str">
        <f t="shared" si="1183"/>
        <v>Digital Payment</v>
      </c>
      <c r="P15137">
        <v>137.79</v>
      </c>
      <c r="Q15137" s="37" t="str">
        <f>IF(P15137&gt;500,"High","low")</f>
        <v>low</v>
      </c>
      <c r="R15137" s="37" t="str">
        <f t="shared" si="1184"/>
        <v>AVERAGE</v>
      </c>
      <c r="S15137" t="s">
        <v>615</v>
      </c>
    </row>
    <row r="15138" spans="1:19" x14ac:dyDescent="0.2">
      <c r="A15138" t="s">
        <v>15749</v>
      </c>
      <c r="B15138" t="s">
        <v>83</v>
      </c>
      <c r="C15138" t="s">
        <v>602</v>
      </c>
      <c r="D15138">
        <v>2306.5100000000002</v>
      </c>
      <c r="E15138" s="37" t="str">
        <f t="shared" si="1180"/>
        <v xml:space="preserve"> </v>
      </c>
      <c r="F15138">
        <v>0.34</v>
      </c>
      <c r="G15138" s="37" t="str">
        <f t="shared" si="1181"/>
        <v>Heavy Discount</v>
      </c>
      <c r="H15138" s="37" t="str">
        <f t="shared" si="1182"/>
        <v>Medium</v>
      </c>
      <c r="I15138">
        <v>2</v>
      </c>
      <c r="J15138" t="str" cm="1">
        <f t="array" ref="J15138">_xlfn.IFS(I15138&lt;=3,"small",I15138&lt;=6,"Medium",I15138&lt;=9,"Large")</f>
        <v>small</v>
      </c>
      <c r="K15138" s="36">
        <v>45276</v>
      </c>
      <c r="L15138" s="36">
        <v>45282</v>
      </c>
      <c r="M15138" t="s">
        <v>603</v>
      </c>
      <c r="N15138" t="s">
        <v>604</v>
      </c>
      <c r="O15138" s="37" t="str">
        <f t="shared" si="1183"/>
        <v>Digital Payment</v>
      </c>
      <c r="P15138">
        <v>319.94</v>
      </c>
      <c r="Q15138" s="37" t="str">
        <f>IF(P15138&gt;500,"High","low")</f>
        <v>low</v>
      </c>
      <c r="R15138" s="37" t="str">
        <f t="shared" si="1184"/>
        <v>AVERAGE</v>
      </c>
      <c r="S15138" t="s">
        <v>605</v>
      </c>
    </row>
    <row r="15139" spans="1:19" x14ac:dyDescent="0.2">
      <c r="A15139" t="s">
        <v>15750</v>
      </c>
      <c r="B15139" t="s">
        <v>67</v>
      </c>
      <c r="C15139" t="s">
        <v>607</v>
      </c>
      <c r="D15139">
        <v>2173.65</v>
      </c>
      <c r="E15139" s="37" t="str">
        <f t="shared" si="1180"/>
        <v xml:space="preserve"> </v>
      </c>
      <c r="F15139">
        <v>0.38</v>
      </c>
      <c r="G15139" s="37" t="str">
        <f t="shared" si="1181"/>
        <v>Heavy Discount</v>
      </c>
      <c r="H15139" s="37" t="str">
        <f t="shared" si="1182"/>
        <v>Medium</v>
      </c>
      <c r="I15139">
        <v>4</v>
      </c>
      <c r="J15139" t="str" cm="1">
        <f t="array" ref="J15139">_xlfn.IFS(I15139&lt;=3,"small",I15139&lt;=6,"Medium",I15139&lt;=9,"Large")</f>
        <v>Medium</v>
      </c>
      <c r="K15139" s="36">
        <v>45049</v>
      </c>
      <c r="L15139" s="36">
        <v>45056</v>
      </c>
      <c r="M15139" t="s">
        <v>598</v>
      </c>
      <c r="N15139" t="s">
        <v>599</v>
      </c>
      <c r="O15139" s="37" t="str">
        <f t="shared" si="1183"/>
        <v>Digital Payment</v>
      </c>
      <c r="P15139">
        <v>185.62</v>
      </c>
      <c r="Q15139" s="37" t="str">
        <f>IF(P15139&gt;500,"High","low")</f>
        <v>low</v>
      </c>
      <c r="R15139" s="37" t="str">
        <f t="shared" si="1184"/>
        <v>AVERAGE</v>
      </c>
      <c r="S15139" t="s">
        <v>620</v>
      </c>
    </row>
    <row r="15140" spans="1:19" x14ac:dyDescent="0.2">
      <c r="A15140" t="s">
        <v>15751</v>
      </c>
      <c r="B15140" t="s">
        <v>83</v>
      </c>
      <c r="C15140" t="s">
        <v>597</v>
      </c>
      <c r="D15140">
        <v>1686.6</v>
      </c>
      <c r="E15140" s="37" t="str">
        <f t="shared" si="1180"/>
        <v xml:space="preserve"> </v>
      </c>
      <c r="F15140">
        <v>0.3</v>
      </c>
      <c r="G15140" s="37" t="str">
        <f t="shared" si="1181"/>
        <v>Normal Discount</v>
      </c>
      <c r="H15140" s="37" t="str">
        <f t="shared" si="1182"/>
        <v>Medium</v>
      </c>
      <c r="I15140">
        <v>2</v>
      </c>
      <c r="J15140" t="str" cm="1">
        <f t="array" ref="J15140">_xlfn.IFS(I15140&lt;=3,"small",I15140&lt;=6,"Medium",I15140&lt;=9,"Large")</f>
        <v>small</v>
      </c>
      <c r="K15140" s="36">
        <v>45238</v>
      </c>
      <c r="L15140" s="36">
        <v>45242</v>
      </c>
      <c r="M15140" t="s">
        <v>603</v>
      </c>
      <c r="N15140" t="s">
        <v>608</v>
      </c>
      <c r="O15140" s="37" t="str">
        <f t="shared" si="1183"/>
        <v>Cash Payment</v>
      </c>
      <c r="P15140">
        <v>323.07</v>
      </c>
      <c r="Q15140" s="37" t="str">
        <f>IF(P15140&gt;500,"High","low")</f>
        <v>low</v>
      </c>
      <c r="R15140" s="37" t="str">
        <f t="shared" si="1184"/>
        <v>AVERAGE</v>
      </c>
      <c r="S15140" t="s">
        <v>620</v>
      </c>
    </row>
    <row r="15141" spans="1:19" x14ac:dyDescent="0.2">
      <c r="A15141" t="s">
        <v>15752</v>
      </c>
      <c r="B15141" t="s">
        <v>83</v>
      </c>
      <c r="C15141" t="s">
        <v>602</v>
      </c>
      <c r="D15141">
        <v>2452.8200000000002</v>
      </c>
      <c r="E15141" s="37" t="str">
        <f t="shared" si="1180"/>
        <v xml:space="preserve"> </v>
      </c>
      <c r="F15141">
        <v>0.2</v>
      </c>
      <c r="G15141" s="37" t="str">
        <f t="shared" si="1181"/>
        <v>Normal Discount</v>
      </c>
      <c r="H15141" s="37" t="str">
        <f t="shared" si="1182"/>
        <v>Medium</v>
      </c>
      <c r="I15141">
        <v>4</v>
      </c>
      <c r="J15141" t="str" cm="1">
        <f t="array" ref="J15141">_xlfn.IFS(I15141&lt;=3,"small",I15141&lt;=6,"Medium",I15141&lt;=9,"Large")</f>
        <v>Medium</v>
      </c>
      <c r="K15141" s="36">
        <v>45185</v>
      </c>
      <c r="L15141" s="36">
        <v>45186</v>
      </c>
      <c r="M15141" t="s">
        <v>598</v>
      </c>
      <c r="N15141" t="s">
        <v>608</v>
      </c>
      <c r="O15141" s="37" t="str">
        <f t="shared" si="1183"/>
        <v>Cash Payment</v>
      </c>
      <c r="P15141">
        <v>326.73</v>
      </c>
      <c r="Q15141" s="37" t="str">
        <f>IF(P15141&gt;500,"High","low")</f>
        <v>low</v>
      </c>
      <c r="R15141" s="37" t="str">
        <f t="shared" si="1184"/>
        <v>AVERAGE</v>
      </c>
      <c r="S15141" t="s">
        <v>600</v>
      </c>
    </row>
    <row r="15142" spans="1:19" x14ac:dyDescent="0.2">
      <c r="A15142" t="s">
        <v>15753</v>
      </c>
      <c r="B15142" t="s">
        <v>90</v>
      </c>
      <c r="C15142" t="s">
        <v>617</v>
      </c>
      <c r="D15142">
        <v>4415.57</v>
      </c>
      <c r="E15142" s="37" t="str">
        <f t="shared" si="1180"/>
        <v>Excellent Order</v>
      </c>
      <c r="F15142">
        <v>0.28999999999999998</v>
      </c>
      <c r="G15142" s="37" t="str">
        <f t="shared" si="1181"/>
        <v>Normal Discount</v>
      </c>
      <c r="H15142" s="37" t="str">
        <f t="shared" si="1182"/>
        <v>Medium</v>
      </c>
      <c r="I15142">
        <v>4</v>
      </c>
      <c r="J15142" t="str" cm="1">
        <f t="array" ref="J15142">_xlfn.IFS(I15142&lt;=3,"small",I15142&lt;=6,"Medium",I15142&lt;=9,"Large")</f>
        <v>Medium</v>
      </c>
      <c r="K15142" s="36">
        <v>45517</v>
      </c>
      <c r="L15142" s="36">
        <v>45520</v>
      </c>
      <c r="M15142" t="s">
        <v>612</v>
      </c>
      <c r="N15142" t="s">
        <v>599</v>
      </c>
      <c r="O15142" s="37" t="str">
        <f t="shared" si="1183"/>
        <v>Digital Payment</v>
      </c>
      <c r="P15142">
        <v>1113.6500000000001</v>
      </c>
      <c r="Q15142" s="37" t="str">
        <f>IF(P15142&gt;500,"High","low")</f>
        <v>High</v>
      </c>
      <c r="R15142" s="37" t="str">
        <f t="shared" si="1184"/>
        <v>Excellent</v>
      </c>
      <c r="S15142" t="s">
        <v>628</v>
      </c>
    </row>
    <row r="15143" spans="1:19" x14ac:dyDescent="0.2">
      <c r="A15143" t="s">
        <v>15754</v>
      </c>
      <c r="B15143" t="s">
        <v>67</v>
      </c>
      <c r="C15143" t="s">
        <v>597</v>
      </c>
      <c r="D15143">
        <v>4870.9399999999996</v>
      </c>
      <c r="E15143" s="37" t="str">
        <f t="shared" si="1180"/>
        <v>Excellent Order</v>
      </c>
      <c r="F15143">
        <v>0.35</v>
      </c>
      <c r="G15143" s="37" t="str">
        <f t="shared" si="1181"/>
        <v>Heavy Discount</v>
      </c>
      <c r="H15143" s="37" t="str">
        <f t="shared" si="1182"/>
        <v>Medium</v>
      </c>
      <c r="I15143">
        <v>3</v>
      </c>
      <c r="J15143" t="str" cm="1">
        <f t="array" ref="J15143">_xlfn.IFS(I15143&lt;=3,"small",I15143&lt;=6,"Medium",I15143&lt;=9,"Large")</f>
        <v>small</v>
      </c>
      <c r="K15143" s="36">
        <v>45331</v>
      </c>
      <c r="L15143" s="36">
        <v>45332</v>
      </c>
      <c r="M15143" t="s">
        <v>612</v>
      </c>
      <c r="N15143" t="s">
        <v>608</v>
      </c>
      <c r="O15143" s="37" t="str">
        <f t="shared" si="1183"/>
        <v>Cash Payment</v>
      </c>
      <c r="P15143">
        <v>861.29</v>
      </c>
      <c r="Q15143" s="37" t="str">
        <f>IF(P15143&gt;500,"High","low")</f>
        <v>High</v>
      </c>
      <c r="R15143" s="37" t="str">
        <f t="shared" si="1184"/>
        <v>Good</v>
      </c>
      <c r="S15143" t="s">
        <v>620</v>
      </c>
    </row>
    <row r="15144" spans="1:19" x14ac:dyDescent="0.2">
      <c r="A15144" t="s">
        <v>15755</v>
      </c>
      <c r="B15144" t="s">
        <v>67</v>
      </c>
      <c r="C15144" t="s">
        <v>614</v>
      </c>
      <c r="D15144">
        <v>113.93</v>
      </c>
      <c r="E15144" s="37" t="str">
        <f t="shared" si="1180"/>
        <v xml:space="preserve"> </v>
      </c>
      <c r="F15144">
        <v>0.38</v>
      </c>
      <c r="G15144" s="37" t="str">
        <f t="shared" si="1181"/>
        <v>Heavy Discount</v>
      </c>
      <c r="H15144" s="37" t="str">
        <f t="shared" si="1182"/>
        <v>Medium</v>
      </c>
      <c r="I15144">
        <v>5</v>
      </c>
      <c r="J15144" t="str" cm="1">
        <f t="array" ref="J15144">_xlfn.IFS(I15144&lt;=3,"small",I15144&lt;=6,"Medium",I15144&lt;=9,"Large")</f>
        <v>Medium</v>
      </c>
      <c r="K15144" s="36">
        <v>45137</v>
      </c>
      <c r="L15144" s="36">
        <v>45138</v>
      </c>
      <c r="M15144" t="s">
        <v>598</v>
      </c>
      <c r="N15144" t="s">
        <v>599</v>
      </c>
      <c r="O15144" s="37" t="str">
        <f t="shared" si="1183"/>
        <v>Digital Payment</v>
      </c>
      <c r="P15144">
        <v>12.09</v>
      </c>
      <c r="Q15144" s="37" t="str">
        <f>IF(P15144&gt;500,"High","low")</f>
        <v>low</v>
      </c>
      <c r="R15144" s="37" t="str">
        <f t="shared" si="1184"/>
        <v>AVERAGE</v>
      </c>
      <c r="S15144" t="s">
        <v>620</v>
      </c>
    </row>
    <row r="15145" spans="1:19" x14ac:dyDescent="0.2">
      <c r="A15145" t="s">
        <v>15756</v>
      </c>
      <c r="B15145" t="s">
        <v>67</v>
      </c>
      <c r="C15145" t="s">
        <v>597</v>
      </c>
      <c r="D15145">
        <v>3721.25</v>
      </c>
      <c r="E15145" s="37" t="str">
        <f t="shared" si="1180"/>
        <v xml:space="preserve"> </v>
      </c>
      <c r="F15145">
        <v>0.05</v>
      </c>
      <c r="G15145" s="37" t="str">
        <f t="shared" si="1181"/>
        <v>Normal Discount</v>
      </c>
      <c r="H15145" s="37" t="str">
        <f t="shared" si="1182"/>
        <v>Low</v>
      </c>
      <c r="I15145">
        <v>9</v>
      </c>
      <c r="J15145" t="str" cm="1">
        <f t="array" ref="J15145">_xlfn.IFS(I15145&lt;=3,"small",I15145&lt;=6,"Medium",I15145&lt;=9,"Large")</f>
        <v>Large</v>
      </c>
      <c r="K15145" s="36">
        <v>45103</v>
      </c>
      <c r="L15145" s="36">
        <v>45106</v>
      </c>
      <c r="M15145" t="s">
        <v>612</v>
      </c>
      <c r="N15145" t="s">
        <v>604</v>
      </c>
      <c r="O15145" s="37" t="str">
        <f t="shared" si="1183"/>
        <v>Digital Payment</v>
      </c>
      <c r="P15145">
        <v>958.71</v>
      </c>
      <c r="Q15145" s="37" t="str">
        <f>IF(P15145&gt;500,"High","low")</f>
        <v>High</v>
      </c>
      <c r="R15145" s="37" t="str">
        <f t="shared" si="1184"/>
        <v>Good</v>
      </c>
      <c r="S15145" t="s">
        <v>605</v>
      </c>
    </row>
    <row r="15146" spans="1:19" x14ac:dyDescent="0.2">
      <c r="A15146" t="s">
        <v>15757</v>
      </c>
      <c r="B15146" t="s">
        <v>83</v>
      </c>
      <c r="C15146" t="s">
        <v>602</v>
      </c>
      <c r="D15146">
        <v>3113.9</v>
      </c>
      <c r="E15146" s="37" t="str">
        <f t="shared" si="1180"/>
        <v xml:space="preserve"> </v>
      </c>
      <c r="F15146">
        <v>0.4</v>
      </c>
      <c r="G15146" s="37" t="str">
        <f t="shared" si="1181"/>
        <v>Heavy Discount</v>
      </c>
      <c r="H15146" s="37" t="str">
        <f t="shared" si="1182"/>
        <v>Medium</v>
      </c>
      <c r="I15146">
        <v>1</v>
      </c>
      <c r="J15146" t="str" cm="1">
        <f t="array" ref="J15146">_xlfn.IFS(I15146&lt;=3,"small",I15146&lt;=6,"Medium",I15146&lt;=9,"Large")</f>
        <v>small</v>
      </c>
      <c r="K15146" s="36">
        <v>45308</v>
      </c>
      <c r="L15146" s="36">
        <v>45314</v>
      </c>
      <c r="M15146" t="s">
        <v>603</v>
      </c>
      <c r="N15146" t="s">
        <v>604</v>
      </c>
      <c r="O15146" s="37" t="str">
        <f t="shared" si="1183"/>
        <v>Digital Payment</v>
      </c>
      <c r="P15146">
        <v>867.25</v>
      </c>
      <c r="Q15146" s="37" t="str">
        <f>IF(P15146&gt;500,"High","low")</f>
        <v>High</v>
      </c>
      <c r="R15146" s="37" t="str">
        <f t="shared" si="1184"/>
        <v>Good</v>
      </c>
      <c r="S15146" t="s">
        <v>620</v>
      </c>
    </row>
    <row r="15147" spans="1:19" x14ac:dyDescent="0.2">
      <c r="A15147" t="s">
        <v>15758</v>
      </c>
      <c r="B15147" t="s">
        <v>75</v>
      </c>
      <c r="C15147" t="s">
        <v>602</v>
      </c>
      <c r="D15147">
        <v>4973.1099999999997</v>
      </c>
      <c r="E15147" s="37" t="str">
        <f t="shared" si="1180"/>
        <v xml:space="preserve"> </v>
      </c>
      <c r="F15147">
        <v>0.03</v>
      </c>
      <c r="G15147" s="37" t="str">
        <f t="shared" si="1181"/>
        <v>Normal Discount</v>
      </c>
      <c r="H15147" s="37" t="str">
        <f t="shared" si="1182"/>
        <v>Low</v>
      </c>
      <c r="I15147">
        <v>7</v>
      </c>
      <c r="J15147" t="str" cm="1">
        <f t="array" ref="J15147">_xlfn.IFS(I15147&lt;=3,"small",I15147&lt;=6,"Medium",I15147&lt;=9,"Large")</f>
        <v>Large</v>
      </c>
      <c r="K15147" s="36">
        <v>45506</v>
      </c>
      <c r="L15147" s="36">
        <v>45509</v>
      </c>
      <c r="M15147" t="s">
        <v>603</v>
      </c>
      <c r="N15147" t="s">
        <v>599</v>
      </c>
      <c r="O15147" s="37" t="str">
        <f t="shared" si="1183"/>
        <v>Digital Payment</v>
      </c>
      <c r="P15147">
        <v>476.78</v>
      </c>
      <c r="Q15147" s="37" t="str">
        <f>IF(P15147&gt;500,"High","low")</f>
        <v>low</v>
      </c>
      <c r="R15147" s="37" t="str">
        <f t="shared" si="1184"/>
        <v>AVERAGE</v>
      </c>
      <c r="S15147" t="s">
        <v>615</v>
      </c>
    </row>
    <row r="15148" spans="1:19" x14ac:dyDescent="0.2">
      <c r="A15148" t="s">
        <v>15759</v>
      </c>
      <c r="B15148" t="s">
        <v>83</v>
      </c>
      <c r="C15148" t="s">
        <v>614</v>
      </c>
      <c r="D15148">
        <v>540.66</v>
      </c>
      <c r="E15148" s="37" t="str">
        <f t="shared" si="1180"/>
        <v xml:space="preserve"> </v>
      </c>
      <c r="F15148">
        <v>0.44</v>
      </c>
      <c r="G15148" s="37" t="str">
        <f t="shared" si="1181"/>
        <v>Heavy Discount</v>
      </c>
      <c r="H15148" s="37" t="str">
        <f t="shared" si="1182"/>
        <v>High</v>
      </c>
      <c r="I15148">
        <v>1</v>
      </c>
      <c r="J15148" t="str" cm="1">
        <f t="array" ref="J15148">_xlfn.IFS(I15148&lt;=3,"small",I15148&lt;=6,"Medium",I15148&lt;=9,"Large")</f>
        <v>small</v>
      </c>
      <c r="K15148" s="36">
        <v>45213</v>
      </c>
      <c r="L15148" s="36">
        <v>45219</v>
      </c>
      <c r="M15148" t="s">
        <v>598</v>
      </c>
      <c r="N15148" t="s">
        <v>608</v>
      </c>
      <c r="O15148" s="37" t="str">
        <f t="shared" si="1183"/>
        <v>Cash Payment</v>
      </c>
      <c r="P15148">
        <v>101.49</v>
      </c>
      <c r="Q15148" s="37" t="str">
        <f>IF(P15148&gt;500,"High","low")</f>
        <v>low</v>
      </c>
      <c r="R15148" s="37" t="str">
        <f t="shared" si="1184"/>
        <v>AVERAGE</v>
      </c>
      <c r="S15148" t="s">
        <v>628</v>
      </c>
    </row>
    <row r="15149" spans="1:19" x14ac:dyDescent="0.2">
      <c r="A15149" t="s">
        <v>15760</v>
      </c>
      <c r="B15149" t="s">
        <v>67</v>
      </c>
      <c r="C15149" t="s">
        <v>602</v>
      </c>
      <c r="D15149">
        <v>4075.6</v>
      </c>
      <c r="E15149" s="37" t="str">
        <f t="shared" si="1180"/>
        <v>Excellent Order</v>
      </c>
      <c r="F15149">
        <v>0.2</v>
      </c>
      <c r="G15149" s="37" t="str">
        <f t="shared" si="1181"/>
        <v>Normal Discount</v>
      </c>
      <c r="H15149" s="37" t="str">
        <f t="shared" si="1182"/>
        <v>Medium</v>
      </c>
      <c r="I15149">
        <v>1</v>
      </c>
      <c r="J15149" t="str" cm="1">
        <f t="array" ref="J15149">_xlfn.IFS(I15149&lt;=3,"small",I15149&lt;=6,"Medium",I15149&lt;=9,"Large")</f>
        <v>small</v>
      </c>
      <c r="K15149" s="36">
        <v>45228</v>
      </c>
      <c r="L15149" s="36">
        <v>45235</v>
      </c>
      <c r="M15149" t="s">
        <v>598</v>
      </c>
      <c r="N15149" t="s">
        <v>608</v>
      </c>
      <c r="O15149" s="37" t="str">
        <f t="shared" si="1183"/>
        <v>Cash Payment</v>
      </c>
      <c r="P15149">
        <v>1067.1600000000001</v>
      </c>
      <c r="Q15149" s="37" t="str">
        <f>IF(P15149&gt;500,"High","low")</f>
        <v>High</v>
      </c>
      <c r="R15149" s="37" t="str">
        <f t="shared" si="1184"/>
        <v>Excellent</v>
      </c>
      <c r="S15149" t="s">
        <v>600</v>
      </c>
    </row>
    <row r="15150" spans="1:19" x14ac:dyDescent="0.2">
      <c r="A15150" t="s">
        <v>15761</v>
      </c>
      <c r="B15150" t="s">
        <v>67</v>
      </c>
      <c r="C15150" t="s">
        <v>597</v>
      </c>
      <c r="D15150">
        <v>4676.25</v>
      </c>
      <c r="E15150" s="37" t="str">
        <f t="shared" si="1180"/>
        <v>Excellent Order</v>
      </c>
      <c r="F15150">
        <v>0.27</v>
      </c>
      <c r="G15150" s="37" t="str">
        <f t="shared" si="1181"/>
        <v>Normal Discount</v>
      </c>
      <c r="H15150" s="37" t="str">
        <f t="shared" si="1182"/>
        <v>Medium</v>
      </c>
      <c r="I15150">
        <v>2</v>
      </c>
      <c r="J15150" t="str" cm="1">
        <f t="array" ref="J15150">_xlfn.IFS(I15150&lt;=3,"small",I15150&lt;=6,"Medium",I15150&lt;=9,"Large")</f>
        <v>small</v>
      </c>
      <c r="K15150" s="36">
        <v>45227</v>
      </c>
      <c r="L15150" s="36">
        <v>45232</v>
      </c>
      <c r="M15150" t="s">
        <v>612</v>
      </c>
      <c r="N15150" t="s">
        <v>604</v>
      </c>
      <c r="O15150" s="37" t="str">
        <f t="shared" si="1183"/>
        <v>Digital Payment</v>
      </c>
      <c r="P15150">
        <v>1245.8399999999999</v>
      </c>
      <c r="Q15150" s="37" t="str">
        <f>IF(P15150&gt;500,"High","low")</f>
        <v>High</v>
      </c>
      <c r="R15150" s="37" t="str">
        <f t="shared" si="1184"/>
        <v>Excellent</v>
      </c>
      <c r="S15150" t="s">
        <v>605</v>
      </c>
    </row>
    <row r="15151" spans="1:19" x14ac:dyDescent="0.2">
      <c r="A15151" t="s">
        <v>15762</v>
      </c>
      <c r="B15151" t="s">
        <v>67</v>
      </c>
      <c r="C15151" t="s">
        <v>614</v>
      </c>
      <c r="D15151">
        <v>4569.37</v>
      </c>
      <c r="E15151" s="37" t="str">
        <f t="shared" si="1180"/>
        <v>Excellent Order</v>
      </c>
      <c r="F15151">
        <v>0.14000000000000001</v>
      </c>
      <c r="G15151" s="37" t="str">
        <f t="shared" si="1181"/>
        <v>Normal Discount</v>
      </c>
      <c r="H15151" s="37" t="str">
        <f t="shared" si="1182"/>
        <v>Low</v>
      </c>
      <c r="I15151">
        <v>6</v>
      </c>
      <c r="J15151" t="str" cm="1">
        <f t="array" ref="J15151">_xlfn.IFS(I15151&lt;=3,"small",I15151&lt;=6,"Medium",I15151&lt;=9,"Large")</f>
        <v>Medium</v>
      </c>
      <c r="K15151" s="36">
        <v>45385</v>
      </c>
      <c r="L15151" s="36">
        <v>45388</v>
      </c>
      <c r="M15151" t="s">
        <v>598</v>
      </c>
      <c r="N15151" t="s">
        <v>608</v>
      </c>
      <c r="O15151" s="37" t="str">
        <f t="shared" si="1183"/>
        <v>Cash Payment</v>
      </c>
      <c r="P15151">
        <v>894.19</v>
      </c>
      <c r="Q15151" s="37" t="str">
        <f>IF(P15151&gt;500,"High","low")</f>
        <v>High</v>
      </c>
      <c r="R15151" s="37" t="str">
        <f t="shared" si="1184"/>
        <v>Good</v>
      </c>
      <c r="S15151" t="s">
        <v>620</v>
      </c>
    </row>
    <row r="15152" spans="1:19" x14ac:dyDescent="0.2">
      <c r="A15152" t="s">
        <v>15763</v>
      </c>
      <c r="B15152" t="s">
        <v>83</v>
      </c>
      <c r="C15152" t="s">
        <v>602</v>
      </c>
      <c r="D15152">
        <v>2846.81</v>
      </c>
      <c r="E15152" s="37" t="str">
        <f t="shared" si="1180"/>
        <v xml:space="preserve"> </v>
      </c>
      <c r="F15152">
        <v>0.21</v>
      </c>
      <c r="G15152" s="37" t="str">
        <f t="shared" si="1181"/>
        <v>Normal Discount</v>
      </c>
      <c r="H15152" s="37" t="str">
        <f t="shared" si="1182"/>
        <v>Medium</v>
      </c>
      <c r="I15152">
        <v>9</v>
      </c>
      <c r="J15152" t="str" cm="1">
        <f t="array" ref="J15152">_xlfn.IFS(I15152&lt;=3,"small",I15152&lt;=6,"Medium",I15152&lt;=9,"Large")</f>
        <v>Large</v>
      </c>
      <c r="K15152" s="36">
        <v>45563</v>
      </c>
      <c r="L15152" s="36">
        <v>45564</v>
      </c>
      <c r="M15152" t="s">
        <v>612</v>
      </c>
      <c r="N15152" t="s">
        <v>599</v>
      </c>
      <c r="O15152" s="37" t="str">
        <f t="shared" si="1183"/>
        <v>Digital Payment</v>
      </c>
      <c r="P15152">
        <v>521</v>
      </c>
      <c r="Q15152" s="37" t="str">
        <f>IF(P15152&gt;500,"High","low")</f>
        <v>High</v>
      </c>
      <c r="R15152" s="37" t="str">
        <f t="shared" si="1184"/>
        <v>Good</v>
      </c>
      <c r="S15152" t="s">
        <v>605</v>
      </c>
    </row>
    <row r="15153" spans="1:19" x14ac:dyDescent="0.2">
      <c r="A15153" t="s">
        <v>15764</v>
      </c>
      <c r="B15153" t="s">
        <v>67</v>
      </c>
      <c r="C15153" t="s">
        <v>602</v>
      </c>
      <c r="D15153">
        <v>1705.03</v>
      </c>
      <c r="E15153" s="37" t="str">
        <f t="shared" si="1180"/>
        <v xml:space="preserve"> </v>
      </c>
      <c r="F15153">
        <v>0.42</v>
      </c>
      <c r="G15153" s="37" t="str">
        <f t="shared" si="1181"/>
        <v>Heavy Discount</v>
      </c>
      <c r="H15153" s="37" t="str">
        <f t="shared" si="1182"/>
        <v>High</v>
      </c>
      <c r="I15153">
        <v>3</v>
      </c>
      <c r="J15153" t="str" cm="1">
        <f t="array" ref="J15153">_xlfn.IFS(I15153&lt;=3,"small",I15153&lt;=6,"Medium",I15153&lt;=9,"Large")</f>
        <v>small</v>
      </c>
      <c r="K15153" s="36">
        <v>45646</v>
      </c>
      <c r="L15153" s="36">
        <v>45653</v>
      </c>
      <c r="M15153" t="s">
        <v>603</v>
      </c>
      <c r="N15153" t="s">
        <v>608</v>
      </c>
      <c r="O15153" s="37" t="str">
        <f t="shared" si="1183"/>
        <v>Cash Payment</v>
      </c>
      <c r="P15153">
        <v>105.35</v>
      </c>
      <c r="Q15153" s="37" t="str">
        <f>IF(P15153&gt;500,"High","low")</f>
        <v>low</v>
      </c>
      <c r="R15153" s="37" t="str">
        <f t="shared" si="1184"/>
        <v>AVERAGE</v>
      </c>
      <c r="S15153" t="s">
        <v>600</v>
      </c>
    </row>
    <row r="15154" spans="1:19" x14ac:dyDescent="0.2">
      <c r="A15154" t="s">
        <v>15765</v>
      </c>
      <c r="B15154" t="s">
        <v>90</v>
      </c>
      <c r="C15154" t="s">
        <v>597</v>
      </c>
      <c r="D15154">
        <v>3235.53</v>
      </c>
      <c r="E15154" s="37" t="str">
        <f t="shared" si="1180"/>
        <v xml:space="preserve"> </v>
      </c>
      <c r="F15154">
        <v>0.15</v>
      </c>
      <c r="G15154" s="37" t="str">
        <f t="shared" si="1181"/>
        <v>Normal Discount</v>
      </c>
      <c r="H15154" s="37" t="str">
        <f t="shared" si="1182"/>
        <v>Low</v>
      </c>
      <c r="I15154">
        <v>5</v>
      </c>
      <c r="J15154" t="str" cm="1">
        <f t="array" ref="J15154">_xlfn.IFS(I15154&lt;=3,"small",I15154&lt;=6,"Medium",I15154&lt;=9,"Large")</f>
        <v>Medium</v>
      </c>
      <c r="K15154" s="36">
        <v>45367</v>
      </c>
      <c r="L15154" s="36">
        <v>45374</v>
      </c>
      <c r="M15154" t="s">
        <v>603</v>
      </c>
      <c r="N15154" t="s">
        <v>599</v>
      </c>
      <c r="O15154" s="37" t="str">
        <f t="shared" si="1183"/>
        <v>Digital Payment</v>
      </c>
      <c r="P15154">
        <v>753.16</v>
      </c>
      <c r="Q15154" s="37" t="str">
        <f>IF(P15154&gt;500,"High","low")</f>
        <v>High</v>
      </c>
      <c r="R15154" s="37" t="str">
        <f t="shared" si="1184"/>
        <v>Good</v>
      </c>
      <c r="S15154" t="s">
        <v>600</v>
      </c>
    </row>
    <row r="15155" spans="1:19" x14ac:dyDescent="0.2">
      <c r="A15155" t="s">
        <v>15766</v>
      </c>
      <c r="B15155" t="s">
        <v>67</v>
      </c>
      <c r="C15155" t="s">
        <v>602</v>
      </c>
      <c r="D15155">
        <v>1599.75</v>
      </c>
      <c r="E15155" s="37" t="str">
        <f t="shared" si="1180"/>
        <v xml:space="preserve"> </v>
      </c>
      <c r="F15155">
        <v>0.28000000000000003</v>
      </c>
      <c r="G15155" s="37" t="str">
        <f t="shared" si="1181"/>
        <v>Normal Discount</v>
      </c>
      <c r="H15155" s="37" t="str">
        <f t="shared" si="1182"/>
        <v>Medium</v>
      </c>
      <c r="I15155">
        <v>8</v>
      </c>
      <c r="J15155" t="str" cm="1">
        <f t="array" ref="J15155">_xlfn.IFS(I15155&lt;=3,"small",I15155&lt;=6,"Medium",I15155&lt;=9,"Large")</f>
        <v>Large</v>
      </c>
      <c r="K15155" s="36">
        <v>45238</v>
      </c>
      <c r="L15155" s="36">
        <v>45244</v>
      </c>
      <c r="M15155" t="s">
        <v>598</v>
      </c>
      <c r="N15155" t="s">
        <v>604</v>
      </c>
      <c r="O15155" s="37" t="str">
        <f t="shared" si="1183"/>
        <v>Digital Payment</v>
      </c>
      <c r="P15155">
        <v>153.15</v>
      </c>
      <c r="Q15155" s="37" t="str">
        <f>IF(P15155&gt;500,"High","low")</f>
        <v>low</v>
      </c>
      <c r="R15155" s="37" t="str">
        <f t="shared" si="1184"/>
        <v>AVERAGE</v>
      </c>
      <c r="S15155" t="s">
        <v>600</v>
      </c>
    </row>
    <row r="15156" spans="1:19" x14ac:dyDescent="0.2">
      <c r="A15156" t="s">
        <v>15767</v>
      </c>
      <c r="B15156" t="s">
        <v>75</v>
      </c>
      <c r="C15156" t="s">
        <v>597</v>
      </c>
      <c r="D15156">
        <v>2120.12</v>
      </c>
      <c r="E15156" s="37" t="str">
        <f t="shared" si="1180"/>
        <v xml:space="preserve"> </v>
      </c>
      <c r="F15156">
        <v>0.32</v>
      </c>
      <c r="G15156" s="37" t="str">
        <f t="shared" si="1181"/>
        <v>Heavy Discount</v>
      </c>
      <c r="H15156" s="37" t="str">
        <f t="shared" si="1182"/>
        <v>Medium</v>
      </c>
      <c r="I15156">
        <v>6</v>
      </c>
      <c r="J15156" t="str" cm="1">
        <f t="array" ref="J15156">_xlfn.IFS(I15156&lt;=3,"small",I15156&lt;=6,"Medium",I15156&lt;=9,"Large")</f>
        <v>Medium</v>
      </c>
      <c r="K15156" s="36">
        <v>45092</v>
      </c>
      <c r="L15156" s="36">
        <v>45099</v>
      </c>
      <c r="M15156" t="s">
        <v>603</v>
      </c>
      <c r="N15156" t="s">
        <v>608</v>
      </c>
      <c r="O15156" s="37" t="str">
        <f t="shared" si="1183"/>
        <v>Cash Payment</v>
      </c>
      <c r="P15156">
        <v>574.61</v>
      </c>
      <c r="Q15156" s="37" t="str">
        <f>IF(P15156&gt;500,"High","low")</f>
        <v>High</v>
      </c>
      <c r="R15156" s="37" t="str">
        <f t="shared" si="1184"/>
        <v>Good</v>
      </c>
      <c r="S15156" t="s">
        <v>628</v>
      </c>
    </row>
    <row r="15157" spans="1:19" x14ac:dyDescent="0.2">
      <c r="A15157" t="s">
        <v>15768</v>
      </c>
      <c r="B15157" t="s">
        <v>90</v>
      </c>
      <c r="C15157" t="s">
        <v>617</v>
      </c>
      <c r="D15157">
        <v>2284.0500000000002</v>
      </c>
      <c r="E15157" s="37" t="str">
        <f t="shared" si="1180"/>
        <v xml:space="preserve"> </v>
      </c>
      <c r="F15157">
        <v>7.0000000000000007E-2</v>
      </c>
      <c r="G15157" s="37" t="str">
        <f t="shared" si="1181"/>
        <v>Normal Discount</v>
      </c>
      <c r="H15157" s="37" t="str">
        <f t="shared" si="1182"/>
        <v>Low</v>
      </c>
      <c r="I15157">
        <v>3</v>
      </c>
      <c r="J15157" t="str" cm="1">
        <f t="array" ref="J15157">_xlfn.IFS(I15157&lt;=3,"small",I15157&lt;=6,"Medium",I15157&lt;=9,"Large")</f>
        <v>small</v>
      </c>
      <c r="K15157" s="36">
        <v>45188</v>
      </c>
      <c r="L15157" s="36">
        <v>45194</v>
      </c>
      <c r="M15157" t="s">
        <v>612</v>
      </c>
      <c r="N15157" t="s">
        <v>604</v>
      </c>
      <c r="O15157" s="37" t="str">
        <f t="shared" si="1183"/>
        <v>Digital Payment</v>
      </c>
      <c r="P15157">
        <v>564.51</v>
      </c>
      <c r="Q15157" s="37" t="str">
        <f>IF(P15157&gt;500,"High","low")</f>
        <v>High</v>
      </c>
      <c r="R15157" s="37" t="str">
        <f t="shared" si="1184"/>
        <v>Good</v>
      </c>
      <c r="S15157" t="s">
        <v>628</v>
      </c>
    </row>
    <row r="15158" spans="1:19" x14ac:dyDescent="0.2">
      <c r="A15158" t="s">
        <v>15769</v>
      </c>
      <c r="B15158" t="s">
        <v>67</v>
      </c>
      <c r="C15158" t="s">
        <v>597</v>
      </c>
      <c r="D15158">
        <v>1579.56</v>
      </c>
      <c r="E15158" s="37" t="str">
        <f t="shared" si="1180"/>
        <v xml:space="preserve"> </v>
      </c>
      <c r="F15158">
        <v>0.39</v>
      </c>
      <c r="G15158" s="37" t="str">
        <f t="shared" si="1181"/>
        <v>Heavy Discount</v>
      </c>
      <c r="H15158" s="37" t="str">
        <f t="shared" si="1182"/>
        <v>Medium</v>
      </c>
      <c r="I15158">
        <v>2</v>
      </c>
      <c r="J15158" t="str" cm="1">
        <f t="array" ref="J15158">_xlfn.IFS(I15158&lt;=3,"small",I15158&lt;=6,"Medium",I15158&lt;=9,"Large")</f>
        <v>small</v>
      </c>
      <c r="K15158" s="36">
        <v>45427</v>
      </c>
      <c r="L15158" s="36">
        <v>45430</v>
      </c>
      <c r="M15158" t="s">
        <v>598</v>
      </c>
      <c r="N15158" t="s">
        <v>604</v>
      </c>
      <c r="O15158" s="37" t="str">
        <f t="shared" si="1183"/>
        <v>Digital Payment</v>
      </c>
      <c r="P15158">
        <v>471.53</v>
      </c>
      <c r="Q15158" s="37" t="str">
        <f>IF(P15158&gt;500,"High","low")</f>
        <v>low</v>
      </c>
      <c r="R15158" s="37" t="str">
        <f t="shared" si="1184"/>
        <v>AVERAGE</v>
      </c>
      <c r="S15158" t="s">
        <v>628</v>
      </c>
    </row>
    <row r="15159" spans="1:19" x14ac:dyDescent="0.2">
      <c r="A15159" t="s">
        <v>15770</v>
      </c>
      <c r="B15159" t="s">
        <v>90</v>
      </c>
      <c r="C15159" t="s">
        <v>607</v>
      </c>
      <c r="D15159">
        <v>1774.95</v>
      </c>
      <c r="E15159" s="37" t="str">
        <f t="shared" si="1180"/>
        <v xml:space="preserve"> </v>
      </c>
      <c r="F15159">
        <v>0.5</v>
      </c>
      <c r="G15159" s="37" t="str">
        <f t="shared" si="1181"/>
        <v>Heavy Discount</v>
      </c>
      <c r="H15159" s="37" t="str">
        <f t="shared" si="1182"/>
        <v>High</v>
      </c>
      <c r="I15159">
        <v>3</v>
      </c>
      <c r="J15159" t="str" cm="1">
        <f t="array" ref="J15159">_xlfn.IFS(I15159&lt;=3,"small",I15159&lt;=6,"Medium",I15159&lt;=9,"Large")</f>
        <v>small</v>
      </c>
      <c r="K15159" s="36">
        <v>45655</v>
      </c>
      <c r="L15159" s="36">
        <v>45660</v>
      </c>
      <c r="M15159" t="s">
        <v>603</v>
      </c>
      <c r="N15159" t="s">
        <v>608</v>
      </c>
      <c r="O15159" s="37" t="str">
        <f t="shared" si="1183"/>
        <v>Cash Payment</v>
      </c>
      <c r="P15159">
        <v>331.05</v>
      </c>
      <c r="Q15159" s="37" t="str">
        <f>IF(P15159&gt;500,"High","low")</f>
        <v>low</v>
      </c>
      <c r="R15159" s="37" t="str">
        <f t="shared" si="1184"/>
        <v>AVERAGE</v>
      </c>
      <c r="S15159" t="s">
        <v>605</v>
      </c>
    </row>
    <row r="15160" spans="1:19" x14ac:dyDescent="0.2">
      <c r="A15160" t="s">
        <v>15771</v>
      </c>
      <c r="B15160" t="s">
        <v>67</v>
      </c>
      <c r="C15160" t="s">
        <v>602</v>
      </c>
      <c r="D15160">
        <v>135.83000000000001</v>
      </c>
      <c r="E15160" s="37" t="str">
        <f t="shared" si="1180"/>
        <v xml:space="preserve"> </v>
      </c>
      <c r="F15160">
        <v>0.08</v>
      </c>
      <c r="G15160" s="37" t="str">
        <f t="shared" si="1181"/>
        <v>Normal Discount</v>
      </c>
      <c r="H15160" s="37" t="str">
        <f t="shared" si="1182"/>
        <v>Low</v>
      </c>
      <c r="I15160">
        <v>6</v>
      </c>
      <c r="J15160" t="str" cm="1">
        <f t="array" ref="J15160">_xlfn.IFS(I15160&lt;=3,"small",I15160&lt;=6,"Medium",I15160&lt;=9,"Large")</f>
        <v>Medium</v>
      </c>
      <c r="K15160" s="36">
        <v>45037</v>
      </c>
      <c r="L15160" s="36">
        <v>45044</v>
      </c>
      <c r="M15160" t="s">
        <v>603</v>
      </c>
      <c r="N15160" t="s">
        <v>604</v>
      </c>
      <c r="O15160" s="37" t="str">
        <f t="shared" si="1183"/>
        <v>Digital Payment</v>
      </c>
      <c r="P15160">
        <v>22.53</v>
      </c>
      <c r="Q15160" s="37" t="str">
        <f>IF(P15160&gt;500,"High","low")</f>
        <v>low</v>
      </c>
      <c r="R15160" s="37" t="str">
        <f t="shared" si="1184"/>
        <v>AVERAGE</v>
      </c>
      <c r="S15160" t="s">
        <v>609</v>
      </c>
    </row>
    <row r="15161" spans="1:19" x14ac:dyDescent="0.2">
      <c r="A15161" t="s">
        <v>15772</v>
      </c>
      <c r="B15161" t="s">
        <v>75</v>
      </c>
      <c r="C15161" t="s">
        <v>617</v>
      </c>
      <c r="D15161">
        <v>1555.69</v>
      </c>
      <c r="E15161" s="37" t="str">
        <f t="shared" si="1180"/>
        <v xml:space="preserve"> </v>
      </c>
      <c r="F15161">
        <v>0.38</v>
      </c>
      <c r="G15161" s="37" t="str">
        <f t="shared" si="1181"/>
        <v>Heavy Discount</v>
      </c>
      <c r="H15161" s="37" t="str">
        <f t="shared" si="1182"/>
        <v>Medium</v>
      </c>
      <c r="I15161">
        <v>5</v>
      </c>
      <c r="J15161" t="str" cm="1">
        <f t="array" ref="J15161">_xlfn.IFS(I15161&lt;=3,"small",I15161&lt;=6,"Medium",I15161&lt;=9,"Large")</f>
        <v>Medium</v>
      </c>
      <c r="K15161" s="36">
        <v>44999</v>
      </c>
      <c r="L15161" s="36">
        <v>45001</v>
      </c>
      <c r="M15161" t="s">
        <v>603</v>
      </c>
      <c r="N15161" t="s">
        <v>604</v>
      </c>
      <c r="O15161" s="37" t="str">
        <f t="shared" si="1183"/>
        <v>Digital Payment</v>
      </c>
      <c r="P15161">
        <v>196.22</v>
      </c>
      <c r="Q15161" s="37" t="str">
        <f>IF(P15161&gt;500,"High","low")</f>
        <v>low</v>
      </c>
      <c r="R15161" s="37" t="str">
        <f t="shared" si="1184"/>
        <v>AVERAGE</v>
      </c>
      <c r="S15161" t="s">
        <v>600</v>
      </c>
    </row>
    <row r="15162" spans="1:19" x14ac:dyDescent="0.2">
      <c r="A15162" t="s">
        <v>15773</v>
      </c>
      <c r="B15162" t="s">
        <v>67</v>
      </c>
      <c r="C15162" t="s">
        <v>614</v>
      </c>
      <c r="D15162">
        <v>2414.3000000000002</v>
      </c>
      <c r="E15162" s="37" t="str">
        <f t="shared" si="1180"/>
        <v xml:space="preserve"> </v>
      </c>
      <c r="F15162">
        <v>7.0000000000000007E-2</v>
      </c>
      <c r="G15162" s="37" t="str">
        <f t="shared" si="1181"/>
        <v>Normal Discount</v>
      </c>
      <c r="H15162" s="37" t="str">
        <f t="shared" si="1182"/>
        <v>Low</v>
      </c>
      <c r="I15162">
        <v>8</v>
      </c>
      <c r="J15162" t="str" cm="1">
        <f t="array" ref="J15162">_xlfn.IFS(I15162&lt;=3,"small",I15162&lt;=6,"Medium",I15162&lt;=9,"Large")</f>
        <v>Large</v>
      </c>
      <c r="K15162" s="36">
        <v>45091</v>
      </c>
      <c r="L15162" s="36">
        <v>45095</v>
      </c>
      <c r="M15162" t="s">
        <v>603</v>
      </c>
      <c r="N15162" t="s">
        <v>599</v>
      </c>
      <c r="O15162" s="37" t="str">
        <f t="shared" si="1183"/>
        <v>Digital Payment</v>
      </c>
      <c r="P15162">
        <v>144.47999999999999</v>
      </c>
      <c r="Q15162" s="37" t="str">
        <f>IF(P15162&gt;500,"High","low")</f>
        <v>low</v>
      </c>
      <c r="R15162" s="37" t="str">
        <f t="shared" si="1184"/>
        <v>AVERAGE</v>
      </c>
      <c r="S15162" t="s">
        <v>609</v>
      </c>
    </row>
    <row r="15163" spans="1:19" x14ac:dyDescent="0.2">
      <c r="A15163" t="s">
        <v>15774</v>
      </c>
      <c r="B15163" t="s">
        <v>90</v>
      </c>
      <c r="C15163" t="s">
        <v>607</v>
      </c>
      <c r="D15163">
        <v>947.74</v>
      </c>
      <c r="E15163" s="37" t="str">
        <f t="shared" si="1180"/>
        <v xml:space="preserve"> </v>
      </c>
      <c r="F15163">
        <v>0.48</v>
      </c>
      <c r="G15163" s="37" t="str">
        <f t="shared" si="1181"/>
        <v>Heavy Discount</v>
      </c>
      <c r="H15163" s="37" t="str">
        <f t="shared" si="1182"/>
        <v>High</v>
      </c>
      <c r="I15163">
        <v>2</v>
      </c>
      <c r="J15163" t="str" cm="1">
        <f t="array" ref="J15163">_xlfn.IFS(I15163&lt;=3,"small",I15163&lt;=6,"Medium",I15163&lt;=9,"Large")</f>
        <v>small</v>
      </c>
      <c r="K15163" s="36">
        <v>45536</v>
      </c>
      <c r="L15163" s="36">
        <v>45542</v>
      </c>
      <c r="M15163" t="s">
        <v>598</v>
      </c>
      <c r="N15163" t="s">
        <v>604</v>
      </c>
      <c r="O15163" s="37" t="str">
        <f t="shared" si="1183"/>
        <v>Digital Payment</v>
      </c>
      <c r="P15163">
        <v>197.91</v>
      </c>
      <c r="Q15163" s="37" t="str">
        <f>IF(P15163&gt;500,"High","low")</f>
        <v>low</v>
      </c>
      <c r="R15163" s="37" t="str">
        <f t="shared" si="1184"/>
        <v>AVERAGE</v>
      </c>
      <c r="S15163" t="s">
        <v>615</v>
      </c>
    </row>
    <row r="15164" spans="1:19" x14ac:dyDescent="0.2">
      <c r="A15164" t="s">
        <v>15775</v>
      </c>
      <c r="B15164" t="s">
        <v>75</v>
      </c>
      <c r="C15164" t="s">
        <v>614</v>
      </c>
      <c r="D15164">
        <v>4047.36</v>
      </c>
      <c r="E15164" s="37" t="str">
        <f t="shared" si="1180"/>
        <v>Excellent Order</v>
      </c>
      <c r="F15164">
        <v>0.21</v>
      </c>
      <c r="G15164" s="37" t="str">
        <f t="shared" si="1181"/>
        <v>Normal Discount</v>
      </c>
      <c r="H15164" s="37" t="str">
        <f t="shared" si="1182"/>
        <v>Medium</v>
      </c>
      <c r="I15164">
        <v>2</v>
      </c>
      <c r="J15164" t="str" cm="1">
        <f t="array" ref="J15164">_xlfn.IFS(I15164&lt;=3,"small",I15164&lt;=6,"Medium",I15164&lt;=9,"Large")</f>
        <v>small</v>
      </c>
      <c r="K15164" s="36">
        <v>45344</v>
      </c>
      <c r="L15164" s="36">
        <v>45351</v>
      </c>
      <c r="M15164" t="s">
        <v>612</v>
      </c>
      <c r="N15164" t="s">
        <v>608</v>
      </c>
      <c r="O15164" s="37" t="str">
        <f t="shared" si="1183"/>
        <v>Cash Payment</v>
      </c>
      <c r="P15164">
        <v>1160.75</v>
      </c>
      <c r="Q15164" s="37" t="str">
        <f>IF(P15164&gt;500,"High","low")</f>
        <v>High</v>
      </c>
      <c r="R15164" s="37" t="str">
        <f t="shared" si="1184"/>
        <v>Excellent</v>
      </c>
      <c r="S15164" t="s">
        <v>600</v>
      </c>
    </row>
    <row r="15165" spans="1:19" x14ac:dyDescent="0.2">
      <c r="A15165" t="s">
        <v>15776</v>
      </c>
      <c r="B15165" t="s">
        <v>83</v>
      </c>
      <c r="C15165" t="s">
        <v>607</v>
      </c>
      <c r="D15165">
        <v>2734.42</v>
      </c>
      <c r="E15165" s="37" t="str">
        <f t="shared" si="1180"/>
        <v xml:space="preserve"> </v>
      </c>
      <c r="F15165">
        <v>0.49</v>
      </c>
      <c r="G15165" s="37" t="str">
        <f t="shared" si="1181"/>
        <v>Heavy Discount</v>
      </c>
      <c r="H15165" s="37" t="str">
        <f t="shared" si="1182"/>
        <v>High</v>
      </c>
      <c r="I15165">
        <v>4</v>
      </c>
      <c r="J15165" t="str" cm="1">
        <f t="array" ref="J15165">_xlfn.IFS(I15165&lt;=3,"small",I15165&lt;=6,"Medium",I15165&lt;=9,"Large")</f>
        <v>Medium</v>
      </c>
      <c r="K15165" s="36">
        <v>45309</v>
      </c>
      <c r="L15165" s="36">
        <v>45310</v>
      </c>
      <c r="M15165" t="s">
        <v>598</v>
      </c>
      <c r="N15165" t="s">
        <v>608</v>
      </c>
      <c r="O15165" s="37" t="str">
        <f t="shared" si="1183"/>
        <v>Cash Payment</v>
      </c>
      <c r="P15165">
        <v>460.11</v>
      </c>
      <c r="Q15165" s="37" t="str">
        <f>IF(P15165&gt;500,"High","low")</f>
        <v>low</v>
      </c>
      <c r="R15165" s="37" t="str">
        <f t="shared" si="1184"/>
        <v>AVERAGE</v>
      </c>
      <c r="S15165" t="s">
        <v>620</v>
      </c>
    </row>
    <row r="15166" spans="1:19" x14ac:dyDescent="0.2">
      <c r="A15166" t="s">
        <v>15777</v>
      </c>
      <c r="B15166" t="s">
        <v>75</v>
      </c>
      <c r="C15166" t="s">
        <v>617</v>
      </c>
      <c r="D15166">
        <v>3990.02</v>
      </c>
      <c r="E15166" s="37" t="str">
        <f t="shared" si="1180"/>
        <v xml:space="preserve"> </v>
      </c>
      <c r="F15166">
        <v>0.03</v>
      </c>
      <c r="G15166" s="37" t="str">
        <f t="shared" si="1181"/>
        <v>Normal Discount</v>
      </c>
      <c r="H15166" s="37" t="str">
        <f t="shared" si="1182"/>
        <v>Low</v>
      </c>
      <c r="I15166">
        <v>9</v>
      </c>
      <c r="J15166" t="str" cm="1">
        <f t="array" ref="J15166">_xlfn.IFS(I15166&lt;=3,"small",I15166&lt;=6,"Medium",I15166&lt;=9,"Large")</f>
        <v>Large</v>
      </c>
      <c r="K15166" s="36">
        <v>44966</v>
      </c>
      <c r="L15166" s="36">
        <v>44969</v>
      </c>
      <c r="M15166" t="s">
        <v>598</v>
      </c>
      <c r="N15166" t="s">
        <v>604</v>
      </c>
      <c r="O15166" s="37" t="str">
        <f t="shared" si="1183"/>
        <v>Digital Payment</v>
      </c>
      <c r="P15166">
        <v>492.99</v>
      </c>
      <c r="Q15166" s="37" t="str">
        <f>IF(P15166&gt;500,"High","low")</f>
        <v>low</v>
      </c>
      <c r="R15166" s="37" t="str">
        <f t="shared" si="1184"/>
        <v>AVERAGE</v>
      </c>
      <c r="S15166" t="s">
        <v>600</v>
      </c>
    </row>
    <row r="15167" spans="1:19" x14ac:dyDescent="0.2">
      <c r="A15167" t="s">
        <v>15778</v>
      </c>
      <c r="B15167" t="s">
        <v>75</v>
      </c>
      <c r="C15167" t="s">
        <v>617</v>
      </c>
      <c r="D15167">
        <v>727.71</v>
      </c>
      <c r="E15167" s="37" t="str">
        <f t="shared" si="1180"/>
        <v xml:space="preserve"> </v>
      </c>
      <c r="F15167">
        <v>0.4</v>
      </c>
      <c r="G15167" s="37" t="str">
        <f t="shared" si="1181"/>
        <v>Heavy Discount</v>
      </c>
      <c r="H15167" s="37" t="str">
        <f t="shared" si="1182"/>
        <v>Medium</v>
      </c>
      <c r="I15167">
        <v>5</v>
      </c>
      <c r="J15167" t="str" cm="1">
        <f t="array" ref="J15167">_xlfn.IFS(I15167&lt;=3,"small",I15167&lt;=6,"Medium",I15167&lt;=9,"Large")</f>
        <v>Medium</v>
      </c>
      <c r="K15167" s="36">
        <v>45174</v>
      </c>
      <c r="L15167" s="36">
        <v>45176</v>
      </c>
      <c r="M15167" t="s">
        <v>603</v>
      </c>
      <c r="N15167" t="s">
        <v>599</v>
      </c>
      <c r="O15167" s="37" t="str">
        <f t="shared" si="1183"/>
        <v>Digital Payment</v>
      </c>
      <c r="P15167">
        <v>159.88</v>
      </c>
      <c r="Q15167" s="37" t="str">
        <f>IF(P15167&gt;500,"High","low")</f>
        <v>low</v>
      </c>
      <c r="R15167" s="37" t="str">
        <f t="shared" si="1184"/>
        <v>AVERAGE</v>
      </c>
      <c r="S15167" t="s">
        <v>628</v>
      </c>
    </row>
    <row r="15168" spans="1:19" x14ac:dyDescent="0.2">
      <c r="A15168" t="s">
        <v>15779</v>
      </c>
      <c r="B15168" t="s">
        <v>75</v>
      </c>
      <c r="C15168" t="s">
        <v>617</v>
      </c>
      <c r="D15168">
        <v>4120.51</v>
      </c>
      <c r="E15168" s="37" t="str">
        <f t="shared" si="1180"/>
        <v>Excellent Order</v>
      </c>
      <c r="F15168">
        <v>0.24</v>
      </c>
      <c r="G15168" s="37" t="str">
        <f t="shared" si="1181"/>
        <v>Normal Discount</v>
      </c>
      <c r="H15168" s="37" t="str">
        <f t="shared" si="1182"/>
        <v>Medium</v>
      </c>
      <c r="I15168">
        <v>7</v>
      </c>
      <c r="J15168" t="str" cm="1">
        <f t="array" ref="J15168">_xlfn.IFS(I15168&lt;=3,"small",I15168&lt;=6,"Medium",I15168&lt;=9,"Large")</f>
        <v>Large</v>
      </c>
      <c r="K15168" s="36">
        <v>45094</v>
      </c>
      <c r="L15168" s="36">
        <v>45098</v>
      </c>
      <c r="M15168" t="s">
        <v>598</v>
      </c>
      <c r="N15168" t="s">
        <v>604</v>
      </c>
      <c r="O15168" s="37" t="str">
        <f t="shared" si="1183"/>
        <v>Digital Payment</v>
      </c>
      <c r="P15168">
        <v>942.02</v>
      </c>
      <c r="Q15168" s="37" t="str">
        <f>IF(P15168&gt;500,"High","low")</f>
        <v>High</v>
      </c>
      <c r="R15168" s="37" t="str">
        <f t="shared" si="1184"/>
        <v>Good</v>
      </c>
      <c r="S15168" t="s">
        <v>600</v>
      </c>
    </row>
    <row r="15169" spans="1:19" x14ac:dyDescent="0.2">
      <c r="A15169" t="s">
        <v>15780</v>
      </c>
      <c r="B15169" t="s">
        <v>90</v>
      </c>
      <c r="C15169" t="s">
        <v>607</v>
      </c>
      <c r="D15169">
        <v>4795.49</v>
      </c>
      <c r="E15169" s="37" t="str">
        <f t="shared" si="1180"/>
        <v>Excellent Order</v>
      </c>
      <c r="F15169">
        <v>0.14000000000000001</v>
      </c>
      <c r="G15169" s="37" t="str">
        <f t="shared" si="1181"/>
        <v>Normal Discount</v>
      </c>
      <c r="H15169" s="37" t="str">
        <f t="shared" si="1182"/>
        <v>Low</v>
      </c>
      <c r="I15169">
        <v>7</v>
      </c>
      <c r="J15169" t="str" cm="1">
        <f t="array" ref="J15169">_xlfn.IFS(I15169&lt;=3,"small",I15169&lt;=6,"Medium",I15169&lt;=9,"Large")</f>
        <v>Large</v>
      </c>
      <c r="K15169" s="36">
        <v>45564</v>
      </c>
      <c r="L15169" s="36">
        <v>45571</v>
      </c>
      <c r="M15169" t="s">
        <v>612</v>
      </c>
      <c r="N15169" t="s">
        <v>604</v>
      </c>
      <c r="O15169" s="37" t="str">
        <f t="shared" si="1183"/>
        <v>Digital Payment</v>
      </c>
      <c r="P15169">
        <v>1097.94</v>
      </c>
      <c r="Q15169" s="37" t="str">
        <f>IF(P15169&gt;500,"High","low")</f>
        <v>High</v>
      </c>
      <c r="R15169" s="37" t="str">
        <f t="shared" si="1184"/>
        <v>Excellent</v>
      </c>
      <c r="S15169" t="s">
        <v>605</v>
      </c>
    </row>
    <row r="15170" spans="1:19" x14ac:dyDescent="0.2">
      <c r="A15170" t="s">
        <v>15781</v>
      </c>
      <c r="B15170" t="s">
        <v>75</v>
      </c>
      <c r="C15170" t="s">
        <v>597</v>
      </c>
      <c r="D15170">
        <v>1827.02</v>
      </c>
      <c r="E15170" s="37" t="str">
        <f t="shared" si="1180"/>
        <v xml:space="preserve"> </v>
      </c>
      <c r="F15170">
        <v>0.37</v>
      </c>
      <c r="G15170" s="37" t="str">
        <f t="shared" si="1181"/>
        <v>Heavy Discount</v>
      </c>
      <c r="H15170" s="37" t="str">
        <f t="shared" si="1182"/>
        <v>Medium</v>
      </c>
      <c r="I15170">
        <v>6</v>
      </c>
      <c r="J15170" t="str" cm="1">
        <f t="array" ref="J15170">_xlfn.IFS(I15170&lt;=3,"small",I15170&lt;=6,"Medium",I15170&lt;=9,"Large")</f>
        <v>Medium</v>
      </c>
      <c r="K15170" s="36">
        <v>44976</v>
      </c>
      <c r="L15170" s="36">
        <v>44980</v>
      </c>
      <c r="M15170" t="s">
        <v>598</v>
      </c>
      <c r="N15170" t="s">
        <v>604</v>
      </c>
      <c r="O15170" s="37" t="str">
        <f t="shared" si="1183"/>
        <v>Digital Payment</v>
      </c>
      <c r="P15170">
        <v>528.94000000000005</v>
      </c>
      <c r="Q15170" s="37" t="str">
        <f>IF(P15170&gt;500,"High","low")</f>
        <v>High</v>
      </c>
      <c r="R15170" s="37" t="str">
        <f t="shared" si="1184"/>
        <v>Good</v>
      </c>
      <c r="S15170" t="s">
        <v>615</v>
      </c>
    </row>
    <row r="15171" spans="1:19" x14ac:dyDescent="0.2">
      <c r="A15171" t="s">
        <v>15782</v>
      </c>
      <c r="B15171" t="s">
        <v>67</v>
      </c>
      <c r="C15171" t="s">
        <v>614</v>
      </c>
      <c r="D15171">
        <v>1491.37</v>
      </c>
      <c r="E15171" s="37" t="str">
        <f t="shared" ref="E15171:E15234" si="1185">IF(AND(D15171&gt;4000,P15171&gt;800),"Excellent Order"," ")</f>
        <v xml:space="preserve"> </v>
      </c>
      <c r="F15171">
        <v>0.32</v>
      </c>
      <c r="G15171" s="37" t="str">
        <f t="shared" ref="G15171:G15234" si="1186">IF(F15171&gt;30%,"Heavy Discount","Normal Discount")</f>
        <v>Heavy Discount</v>
      </c>
      <c r="H15171" s="37" t="str">
        <f t="shared" ref="H15171:H15234" si="1187">IF(F15171&gt;0.4,"High",IF(F15171&gt;=0.2,"Medium","Low"))</f>
        <v>Medium</v>
      </c>
      <c r="I15171">
        <v>6</v>
      </c>
      <c r="J15171" t="str" cm="1">
        <f t="array" ref="J15171">_xlfn.IFS(I15171&lt;=3,"small",I15171&lt;=6,"Medium",I15171&lt;=9,"Large")</f>
        <v>Medium</v>
      </c>
      <c r="K15171" s="36">
        <v>45422</v>
      </c>
      <c r="L15171" s="36">
        <v>45428</v>
      </c>
      <c r="M15171" t="s">
        <v>598</v>
      </c>
      <c r="N15171" t="s">
        <v>599</v>
      </c>
      <c r="O15171" s="37" t="str">
        <f t="shared" ref="O15171:O15234" si="1188">IF(OR(N15171="Card",N15171="UPI"),"Digital Payment","Cash Payment")</f>
        <v>Digital Payment</v>
      </c>
      <c r="P15171">
        <v>120.07</v>
      </c>
      <c r="Q15171" s="37" t="str">
        <f>IF(P15171&gt;500,"High","low")</f>
        <v>low</v>
      </c>
      <c r="R15171" s="37" t="str">
        <f t="shared" ref="R15171:R15234" si="1189">IF(P15171&gt;1000,"Excellent",IF(P15171&gt;=500,"Good","AVERAGE"))</f>
        <v>AVERAGE</v>
      </c>
      <c r="S15171" t="s">
        <v>628</v>
      </c>
    </row>
    <row r="15172" spans="1:19" x14ac:dyDescent="0.2">
      <c r="A15172" t="s">
        <v>15783</v>
      </c>
      <c r="B15172" t="s">
        <v>75</v>
      </c>
      <c r="C15172" t="s">
        <v>597</v>
      </c>
      <c r="D15172">
        <v>3269.47</v>
      </c>
      <c r="E15172" s="37" t="str">
        <f t="shared" si="1185"/>
        <v xml:space="preserve"> </v>
      </c>
      <c r="F15172">
        <v>0.45</v>
      </c>
      <c r="G15172" s="37" t="str">
        <f t="shared" si="1186"/>
        <v>Heavy Discount</v>
      </c>
      <c r="H15172" s="37" t="str">
        <f t="shared" si="1187"/>
        <v>High</v>
      </c>
      <c r="I15172">
        <v>9</v>
      </c>
      <c r="J15172" t="str" cm="1">
        <f t="array" ref="J15172">_xlfn.IFS(I15172&lt;=3,"small",I15172&lt;=6,"Medium",I15172&lt;=9,"Large")</f>
        <v>Large</v>
      </c>
      <c r="K15172" s="36">
        <v>45644</v>
      </c>
      <c r="L15172" s="36">
        <v>45648</v>
      </c>
      <c r="M15172" t="s">
        <v>612</v>
      </c>
      <c r="N15172" t="s">
        <v>599</v>
      </c>
      <c r="O15172" s="37" t="str">
        <f t="shared" si="1188"/>
        <v>Digital Payment</v>
      </c>
      <c r="P15172">
        <v>826.81</v>
      </c>
      <c r="Q15172" s="37" t="str">
        <f>IF(P15172&gt;500,"High","low")</f>
        <v>High</v>
      </c>
      <c r="R15172" s="37" t="str">
        <f t="shared" si="1189"/>
        <v>Good</v>
      </c>
      <c r="S15172" t="s">
        <v>628</v>
      </c>
    </row>
    <row r="15173" spans="1:19" x14ac:dyDescent="0.2">
      <c r="A15173" t="s">
        <v>15784</v>
      </c>
      <c r="B15173" t="s">
        <v>75</v>
      </c>
      <c r="C15173" t="s">
        <v>597</v>
      </c>
      <c r="D15173">
        <v>3215.98</v>
      </c>
      <c r="E15173" s="37" t="str">
        <f t="shared" si="1185"/>
        <v xml:space="preserve"> </v>
      </c>
      <c r="F15173">
        <v>0.12</v>
      </c>
      <c r="G15173" s="37" t="str">
        <f t="shared" si="1186"/>
        <v>Normal Discount</v>
      </c>
      <c r="H15173" s="37" t="str">
        <f t="shared" si="1187"/>
        <v>Low</v>
      </c>
      <c r="I15173">
        <v>4</v>
      </c>
      <c r="J15173" t="str" cm="1">
        <f t="array" ref="J15173">_xlfn.IFS(I15173&lt;=3,"small",I15173&lt;=6,"Medium",I15173&lt;=9,"Large")</f>
        <v>Medium</v>
      </c>
      <c r="K15173" s="36">
        <v>45446</v>
      </c>
      <c r="L15173" s="36">
        <v>45453</v>
      </c>
      <c r="M15173" t="s">
        <v>612</v>
      </c>
      <c r="N15173" t="s">
        <v>599</v>
      </c>
      <c r="O15173" s="37" t="str">
        <f t="shared" si="1188"/>
        <v>Digital Payment</v>
      </c>
      <c r="P15173">
        <v>227.02</v>
      </c>
      <c r="Q15173" s="37" t="str">
        <f>IF(P15173&gt;500,"High","low")</f>
        <v>low</v>
      </c>
      <c r="R15173" s="37" t="str">
        <f t="shared" si="1189"/>
        <v>AVERAGE</v>
      </c>
      <c r="S15173" t="s">
        <v>628</v>
      </c>
    </row>
    <row r="15174" spans="1:19" x14ac:dyDescent="0.2">
      <c r="A15174" t="s">
        <v>15785</v>
      </c>
      <c r="B15174" t="s">
        <v>67</v>
      </c>
      <c r="C15174" t="s">
        <v>602</v>
      </c>
      <c r="D15174">
        <v>651.09</v>
      </c>
      <c r="E15174" s="37" t="str">
        <f t="shared" si="1185"/>
        <v xml:space="preserve"> </v>
      </c>
      <c r="F15174">
        <v>0.47</v>
      </c>
      <c r="G15174" s="37" t="str">
        <f t="shared" si="1186"/>
        <v>Heavy Discount</v>
      </c>
      <c r="H15174" s="37" t="str">
        <f t="shared" si="1187"/>
        <v>High</v>
      </c>
      <c r="I15174">
        <v>2</v>
      </c>
      <c r="J15174" t="str" cm="1">
        <f t="array" ref="J15174">_xlfn.IFS(I15174&lt;=3,"small",I15174&lt;=6,"Medium",I15174&lt;=9,"Large")</f>
        <v>small</v>
      </c>
      <c r="K15174" s="36">
        <v>45650</v>
      </c>
      <c r="L15174" s="36">
        <v>45656</v>
      </c>
      <c r="M15174" t="s">
        <v>603</v>
      </c>
      <c r="N15174" t="s">
        <v>608</v>
      </c>
      <c r="O15174" s="37" t="str">
        <f t="shared" si="1188"/>
        <v>Cash Payment</v>
      </c>
      <c r="P15174">
        <v>146.85</v>
      </c>
      <c r="Q15174" s="37" t="str">
        <f>IF(P15174&gt;500,"High","low")</f>
        <v>low</v>
      </c>
      <c r="R15174" s="37" t="str">
        <f t="shared" si="1189"/>
        <v>AVERAGE</v>
      </c>
      <c r="S15174" t="s">
        <v>605</v>
      </c>
    </row>
    <row r="15175" spans="1:19" x14ac:dyDescent="0.2">
      <c r="A15175" t="s">
        <v>15786</v>
      </c>
      <c r="B15175" t="s">
        <v>67</v>
      </c>
      <c r="C15175" t="s">
        <v>614</v>
      </c>
      <c r="D15175">
        <v>4641.12</v>
      </c>
      <c r="E15175" s="37" t="str">
        <f t="shared" si="1185"/>
        <v>Excellent Order</v>
      </c>
      <c r="F15175">
        <v>0.32</v>
      </c>
      <c r="G15175" s="37" t="str">
        <f t="shared" si="1186"/>
        <v>Heavy Discount</v>
      </c>
      <c r="H15175" s="37" t="str">
        <f t="shared" si="1187"/>
        <v>Medium</v>
      </c>
      <c r="I15175">
        <v>7</v>
      </c>
      <c r="J15175" t="str" cm="1">
        <f t="array" ref="J15175">_xlfn.IFS(I15175&lt;=3,"small",I15175&lt;=6,"Medium",I15175&lt;=9,"Large")</f>
        <v>Large</v>
      </c>
      <c r="K15175" s="36">
        <v>45498</v>
      </c>
      <c r="L15175" s="36">
        <v>45505</v>
      </c>
      <c r="M15175" t="s">
        <v>612</v>
      </c>
      <c r="N15175" t="s">
        <v>604</v>
      </c>
      <c r="O15175" s="37" t="str">
        <f t="shared" si="1188"/>
        <v>Digital Payment</v>
      </c>
      <c r="P15175">
        <v>1107.67</v>
      </c>
      <c r="Q15175" s="37" t="str">
        <f>IF(P15175&gt;500,"High","low")</f>
        <v>High</v>
      </c>
      <c r="R15175" s="37" t="str">
        <f t="shared" si="1189"/>
        <v>Excellent</v>
      </c>
      <c r="S15175" t="s">
        <v>620</v>
      </c>
    </row>
    <row r="15176" spans="1:19" x14ac:dyDescent="0.2">
      <c r="A15176" t="s">
        <v>15787</v>
      </c>
      <c r="B15176" t="s">
        <v>83</v>
      </c>
      <c r="C15176" t="s">
        <v>607</v>
      </c>
      <c r="D15176">
        <v>2447.38</v>
      </c>
      <c r="E15176" s="37" t="str">
        <f t="shared" si="1185"/>
        <v xml:space="preserve"> </v>
      </c>
      <c r="F15176">
        <v>0.23</v>
      </c>
      <c r="G15176" s="37" t="str">
        <f t="shared" si="1186"/>
        <v>Normal Discount</v>
      </c>
      <c r="H15176" s="37" t="str">
        <f t="shared" si="1187"/>
        <v>Medium</v>
      </c>
      <c r="I15176">
        <v>6</v>
      </c>
      <c r="J15176" t="str" cm="1">
        <f t="array" ref="J15176">_xlfn.IFS(I15176&lt;=3,"small",I15176&lt;=6,"Medium",I15176&lt;=9,"Large")</f>
        <v>Medium</v>
      </c>
      <c r="K15176" s="36">
        <v>45271</v>
      </c>
      <c r="L15176" s="36">
        <v>45278</v>
      </c>
      <c r="M15176" t="s">
        <v>612</v>
      </c>
      <c r="N15176" t="s">
        <v>599</v>
      </c>
      <c r="O15176" s="37" t="str">
        <f t="shared" si="1188"/>
        <v>Digital Payment</v>
      </c>
      <c r="P15176">
        <v>369.8</v>
      </c>
      <c r="Q15176" s="37" t="str">
        <f>IF(P15176&gt;500,"High","low")</f>
        <v>low</v>
      </c>
      <c r="R15176" s="37" t="str">
        <f t="shared" si="1189"/>
        <v>AVERAGE</v>
      </c>
      <c r="S15176" t="s">
        <v>605</v>
      </c>
    </row>
    <row r="15177" spans="1:19" x14ac:dyDescent="0.2">
      <c r="A15177" t="s">
        <v>15788</v>
      </c>
      <c r="B15177" t="s">
        <v>75</v>
      </c>
      <c r="C15177" t="s">
        <v>602</v>
      </c>
      <c r="D15177">
        <v>3845.64</v>
      </c>
      <c r="E15177" s="37" t="str">
        <f t="shared" si="1185"/>
        <v xml:space="preserve"> </v>
      </c>
      <c r="F15177">
        <v>0.03</v>
      </c>
      <c r="G15177" s="37" t="str">
        <f t="shared" si="1186"/>
        <v>Normal Discount</v>
      </c>
      <c r="H15177" s="37" t="str">
        <f t="shared" si="1187"/>
        <v>Low</v>
      </c>
      <c r="I15177">
        <v>4</v>
      </c>
      <c r="J15177" t="str" cm="1">
        <f t="array" ref="J15177">_xlfn.IFS(I15177&lt;=3,"small",I15177&lt;=6,"Medium",I15177&lt;=9,"Large")</f>
        <v>Medium</v>
      </c>
      <c r="K15177" s="36">
        <v>45192</v>
      </c>
      <c r="L15177" s="36">
        <v>45199</v>
      </c>
      <c r="M15177" t="s">
        <v>603</v>
      </c>
      <c r="N15177" t="s">
        <v>608</v>
      </c>
      <c r="O15177" s="37" t="str">
        <f t="shared" si="1188"/>
        <v>Cash Payment</v>
      </c>
      <c r="P15177">
        <v>883.24</v>
      </c>
      <c r="Q15177" s="37" t="str">
        <f>IF(P15177&gt;500,"High","low")</f>
        <v>High</v>
      </c>
      <c r="R15177" s="37" t="str">
        <f t="shared" si="1189"/>
        <v>Good</v>
      </c>
      <c r="S15177" t="s">
        <v>615</v>
      </c>
    </row>
    <row r="15178" spans="1:19" x14ac:dyDescent="0.2">
      <c r="A15178" t="s">
        <v>15789</v>
      </c>
      <c r="B15178" t="s">
        <v>90</v>
      </c>
      <c r="C15178" t="s">
        <v>602</v>
      </c>
      <c r="D15178">
        <v>1860.66</v>
      </c>
      <c r="E15178" s="37" t="str">
        <f t="shared" si="1185"/>
        <v xml:space="preserve"> </v>
      </c>
      <c r="F15178">
        <v>0.38</v>
      </c>
      <c r="G15178" s="37" t="str">
        <f t="shared" si="1186"/>
        <v>Heavy Discount</v>
      </c>
      <c r="H15178" s="37" t="str">
        <f t="shared" si="1187"/>
        <v>Medium</v>
      </c>
      <c r="I15178">
        <v>1</v>
      </c>
      <c r="J15178" t="str" cm="1">
        <f t="array" ref="J15178">_xlfn.IFS(I15178&lt;=3,"small",I15178&lt;=6,"Medium",I15178&lt;=9,"Large")</f>
        <v>small</v>
      </c>
      <c r="K15178" s="36">
        <v>45501</v>
      </c>
      <c r="L15178" s="36">
        <v>45502</v>
      </c>
      <c r="M15178" t="s">
        <v>603</v>
      </c>
      <c r="N15178" t="s">
        <v>604</v>
      </c>
      <c r="O15178" s="37" t="str">
        <f t="shared" si="1188"/>
        <v>Digital Payment</v>
      </c>
      <c r="P15178">
        <v>187.78</v>
      </c>
      <c r="Q15178" s="37" t="str">
        <f>IF(P15178&gt;500,"High","low")</f>
        <v>low</v>
      </c>
      <c r="R15178" s="37" t="str">
        <f t="shared" si="1189"/>
        <v>AVERAGE</v>
      </c>
      <c r="S15178" t="s">
        <v>605</v>
      </c>
    </row>
    <row r="15179" spans="1:19" x14ac:dyDescent="0.2">
      <c r="A15179" t="s">
        <v>15790</v>
      </c>
      <c r="B15179" t="s">
        <v>75</v>
      </c>
      <c r="C15179" t="s">
        <v>617</v>
      </c>
      <c r="D15179">
        <v>1381.53</v>
      </c>
      <c r="E15179" s="37" t="str">
        <f t="shared" si="1185"/>
        <v xml:space="preserve"> </v>
      </c>
      <c r="F15179">
        <v>0.43</v>
      </c>
      <c r="G15179" s="37" t="str">
        <f t="shared" si="1186"/>
        <v>Heavy Discount</v>
      </c>
      <c r="H15179" s="37" t="str">
        <f t="shared" si="1187"/>
        <v>High</v>
      </c>
      <c r="I15179">
        <v>4</v>
      </c>
      <c r="J15179" t="str" cm="1">
        <f t="array" ref="J15179">_xlfn.IFS(I15179&lt;=3,"small",I15179&lt;=6,"Medium",I15179&lt;=9,"Large")</f>
        <v>Medium</v>
      </c>
      <c r="K15179" s="36">
        <v>45115</v>
      </c>
      <c r="L15179" s="36">
        <v>45119</v>
      </c>
      <c r="M15179" t="s">
        <v>603</v>
      </c>
      <c r="N15179" t="s">
        <v>604</v>
      </c>
      <c r="O15179" s="37" t="str">
        <f t="shared" si="1188"/>
        <v>Digital Payment</v>
      </c>
      <c r="P15179">
        <v>80.319999999999993</v>
      </c>
      <c r="Q15179" s="37" t="str">
        <f>IF(P15179&gt;500,"High","low")</f>
        <v>low</v>
      </c>
      <c r="R15179" s="37" t="str">
        <f t="shared" si="1189"/>
        <v>AVERAGE</v>
      </c>
      <c r="S15179" t="s">
        <v>609</v>
      </c>
    </row>
    <row r="15180" spans="1:19" x14ac:dyDescent="0.2">
      <c r="A15180" t="s">
        <v>15791</v>
      </c>
      <c r="B15180" t="s">
        <v>75</v>
      </c>
      <c r="C15180" t="s">
        <v>607</v>
      </c>
      <c r="D15180">
        <v>645.23</v>
      </c>
      <c r="E15180" s="37" t="str">
        <f t="shared" si="1185"/>
        <v xml:space="preserve"> </v>
      </c>
      <c r="F15180">
        <v>0.4</v>
      </c>
      <c r="G15180" s="37" t="str">
        <f t="shared" si="1186"/>
        <v>Heavy Discount</v>
      </c>
      <c r="H15180" s="37" t="str">
        <f t="shared" si="1187"/>
        <v>Medium</v>
      </c>
      <c r="I15180">
        <v>6</v>
      </c>
      <c r="J15180" t="str" cm="1">
        <f t="array" ref="J15180">_xlfn.IFS(I15180&lt;=3,"small",I15180&lt;=6,"Medium",I15180&lt;=9,"Large")</f>
        <v>Medium</v>
      </c>
      <c r="K15180" s="36">
        <v>45257</v>
      </c>
      <c r="L15180" s="36">
        <v>45263</v>
      </c>
      <c r="M15180" t="s">
        <v>612</v>
      </c>
      <c r="N15180" t="s">
        <v>599</v>
      </c>
      <c r="O15180" s="37" t="str">
        <f t="shared" si="1188"/>
        <v>Digital Payment</v>
      </c>
      <c r="P15180">
        <v>60.96</v>
      </c>
      <c r="Q15180" s="37" t="str">
        <f>IF(P15180&gt;500,"High","low")</f>
        <v>low</v>
      </c>
      <c r="R15180" s="37" t="str">
        <f t="shared" si="1189"/>
        <v>AVERAGE</v>
      </c>
      <c r="S15180" t="s">
        <v>620</v>
      </c>
    </row>
    <row r="15181" spans="1:19" x14ac:dyDescent="0.2">
      <c r="A15181" t="s">
        <v>15792</v>
      </c>
      <c r="B15181" t="s">
        <v>67</v>
      </c>
      <c r="C15181" t="s">
        <v>597</v>
      </c>
      <c r="D15181">
        <v>1445.14</v>
      </c>
      <c r="E15181" s="37" t="str">
        <f t="shared" si="1185"/>
        <v xml:space="preserve"> </v>
      </c>
      <c r="F15181">
        <v>0.37</v>
      </c>
      <c r="G15181" s="37" t="str">
        <f t="shared" si="1186"/>
        <v>Heavy Discount</v>
      </c>
      <c r="H15181" s="37" t="str">
        <f t="shared" si="1187"/>
        <v>Medium</v>
      </c>
      <c r="I15181">
        <v>3</v>
      </c>
      <c r="J15181" t="str" cm="1">
        <f t="array" ref="J15181">_xlfn.IFS(I15181&lt;=3,"small",I15181&lt;=6,"Medium",I15181&lt;=9,"Large")</f>
        <v>small</v>
      </c>
      <c r="K15181" s="36">
        <v>45080</v>
      </c>
      <c r="L15181" s="36">
        <v>45081</v>
      </c>
      <c r="M15181" t="s">
        <v>598</v>
      </c>
      <c r="N15181" t="s">
        <v>599</v>
      </c>
      <c r="O15181" s="37" t="str">
        <f t="shared" si="1188"/>
        <v>Digital Payment</v>
      </c>
      <c r="P15181">
        <v>122.03</v>
      </c>
      <c r="Q15181" s="37" t="str">
        <f>IF(P15181&gt;500,"High","low")</f>
        <v>low</v>
      </c>
      <c r="R15181" s="37" t="str">
        <f t="shared" si="1189"/>
        <v>AVERAGE</v>
      </c>
      <c r="S15181" t="s">
        <v>605</v>
      </c>
    </row>
    <row r="15182" spans="1:19" x14ac:dyDescent="0.2">
      <c r="A15182" t="s">
        <v>15793</v>
      </c>
      <c r="B15182" t="s">
        <v>83</v>
      </c>
      <c r="C15182" t="s">
        <v>597</v>
      </c>
      <c r="D15182">
        <v>4967.8100000000004</v>
      </c>
      <c r="E15182" s="37" t="str">
        <f t="shared" si="1185"/>
        <v>Excellent Order</v>
      </c>
      <c r="F15182">
        <v>0.48</v>
      </c>
      <c r="G15182" s="37" t="str">
        <f t="shared" si="1186"/>
        <v>Heavy Discount</v>
      </c>
      <c r="H15182" s="37" t="str">
        <f t="shared" si="1187"/>
        <v>High</v>
      </c>
      <c r="I15182">
        <v>1</v>
      </c>
      <c r="J15182" t="str" cm="1">
        <f t="array" ref="J15182">_xlfn.IFS(I15182&lt;=3,"small",I15182&lt;=6,"Medium",I15182&lt;=9,"Large")</f>
        <v>small</v>
      </c>
      <c r="K15182" s="36">
        <v>45589</v>
      </c>
      <c r="L15182" s="36">
        <v>45590</v>
      </c>
      <c r="M15182" t="s">
        <v>598</v>
      </c>
      <c r="N15182" t="s">
        <v>599</v>
      </c>
      <c r="O15182" s="37" t="str">
        <f t="shared" si="1188"/>
        <v>Digital Payment</v>
      </c>
      <c r="P15182">
        <v>1291.43</v>
      </c>
      <c r="Q15182" s="37" t="str">
        <f>IF(P15182&gt;500,"High","low")</f>
        <v>High</v>
      </c>
      <c r="R15182" s="37" t="str">
        <f t="shared" si="1189"/>
        <v>Excellent</v>
      </c>
      <c r="S15182" t="s">
        <v>609</v>
      </c>
    </row>
    <row r="15183" spans="1:19" x14ac:dyDescent="0.2">
      <c r="A15183" t="s">
        <v>15794</v>
      </c>
      <c r="B15183" t="s">
        <v>75</v>
      </c>
      <c r="C15183" t="s">
        <v>597</v>
      </c>
      <c r="D15183">
        <v>3324</v>
      </c>
      <c r="E15183" s="37" t="str">
        <f t="shared" si="1185"/>
        <v xml:space="preserve"> </v>
      </c>
      <c r="F15183">
        <v>0.42</v>
      </c>
      <c r="G15183" s="37" t="str">
        <f t="shared" si="1186"/>
        <v>Heavy Discount</v>
      </c>
      <c r="H15183" s="37" t="str">
        <f t="shared" si="1187"/>
        <v>High</v>
      </c>
      <c r="I15183">
        <v>2</v>
      </c>
      <c r="J15183" t="str" cm="1">
        <f t="array" ref="J15183">_xlfn.IFS(I15183&lt;=3,"small",I15183&lt;=6,"Medium",I15183&lt;=9,"Large")</f>
        <v>small</v>
      </c>
      <c r="K15183" s="36">
        <v>45585</v>
      </c>
      <c r="L15183" s="36">
        <v>45590</v>
      </c>
      <c r="M15183" t="s">
        <v>598</v>
      </c>
      <c r="N15183" t="s">
        <v>599</v>
      </c>
      <c r="O15183" s="37" t="str">
        <f t="shared" si="1188"/>
        <v>Digital Payment</v>
      </c>
      <c r="P15183">
        <v>391.8</v>
      </c>
      <c r="Q15183" s="37" t="str">
        <f>IF(P15183&gt;500,"High","low")</f>
        <v>low</v>
      </c>
      <c r="R15183" s="37" t="str">
        <f t="shared" si="1189"/>
        <v>AVERAGE</v>
      </c>
      <c r="S15183" t="s">
        <v>605</v>
      </c>
    </row>
    <row r="15184" spans="1:19" x14ac:dyDescent="0.2">
      <c r="A15184" t="s">
        <v>15795</v>
      </c>
      <c r="B15184" t="s">
        <v>90</v>
      </c>
      <c r="C15184" t="s">
        <v>617</v>
      </c>
      <c r="D15184">
        <v>4033.63</v>
      </c>
      <c r="E15184" s="37" t="str">
        <f t="shared" si="1185"/>
        <v>Excellent Order</v>
      </c>
      <c r="F15184">
        <v>0.46</v>
      </c>
      <c r="G15184" s="37" t="str">
        <f t="shared" si="1186"/>
        <v>Heavy Discount</v>
      </c>
      <c r="H15184" s="37" t="str">
        <f t="shared" si="1187"/>
        <v>High</v>
      </c>
      <c r="I15184">
        <v>6</v>
      </c>
      <c r="J15184" t="str" cm="1">
        <f t="array" ref="J15184">_xlfn.IFS(I15184&lt;=3,"small",I15184&lt;=6,"Medium",I15184&lt;=9,"Large")</f>
        <v>Medium</v>
      </c>
      <c r="K15184" s="36">
        <v>45072</v>
      </c>
      <c r="L15184" s="36">
        <v>45076</v>
      </c>
      <c r="M15184" t="s">
        <v>612</v>
      </c>
      <c r="N15184" t="s">
        <v>599</v>
      </c>
      <c r="O15184" s="37" t="str">
        <f t="shared" si="1188"/>
        <v>Digital Payment</v>
      </c>
      <c r="P15184">
        <v>931.52</v>
      </c>
      <c r="Q15184" s="37" t="str">
        <f>IF(P15184&gt;500,"High","low")</f>
        <v>High</v>
      </c>
      <c r="R15184" s="37" t="str">
        <f t="shared" si="1189"/>
        <v>Good</v>
      </c>
      <c r="S15184" t="s">
        <v>628</v>
      </c>
    </row>
    <row r="15185" spans="1:19" x14ac:dyDescent="0.2">
      <c r="A15185" t="s">
        <v>15796</v>
      </c>
      <c r="B15185" t="s">
        <v>75</v>
      </c>
      <c r="C15185" t="s">
        <v>597</v>
      </c>
      <c r="D15185">
        <v>4796.6899999999996</v>
      </c>
      <c r="E15185" s="37" t="str">
        <f t="shared" si="1185"/>
        <v>Excellent Order</v>
      </c>
      <c r="F15185">
        <v>0.37</v>
      </c>
      <c r="G15185" s="37" t="str">
        <f t="shared" si="1186"/>
        <v>Heavy Discount</v>
      </c>
      <c r="H15185" s="37" t="str">
        <f t="shared" si="1187"/>
        <v>Medium</v>
      </c>
      <c r="I15185">
        <v>1</v>
      </c>
      <c r="J15185" t="str" cm="1">
        <f t="array" ref="J15185">_xlfn.IFS(I15185&lt;=3,"small",I15185&lt;=6,"Medium",I15185&lt;=9,"Large")</f>
        <v>small</v>
      </c>
      <c r="K15185" s="36">
        <v>45104</v>
      </c>
      <c r="L15185" s="36">
        <v>45107</v>
      </c>
      <c r="M15185" t="s">
        <v>603</v>
      </c>
      <c r="N15185" t="s">
        <v>608</v>
      </c>
      <c r="O15185" s="37" t="str">
        <f t="shared" si="1188"/>
        <v>Cash Payment</v>
      </c>
      <c r="P15185">
        <v>1236.82</v>
      </c>
      <c r="Q15185" s="37" t="str">
        <f>IF(P15185&gt;500,"High","low")</f>
        <v>High</v>
      </c>
      <c r="R15185" s="37" t="str">
        <f t="shared" si="1189"/>
        <v>Excellent</v>
      </c>
      <c r="S15185" t="s">
        <v>628</v>
      </c>
    </row>
    <row r="15186" spans="1:19" x14ac:dyDescent="0.2">
      <c r="A15186" t="s">
        <v>15797</v>
      </c>
      <c r="B15186" t="s">
        <v>90</v>
      </c>
      <c r="C15186" t="s">
        <v>614</v>
      </c>
      <c r="D15186">
        <v>487.06</v>
      </c>
      <c r="E15186" s="37" t="str">
        <f t="shared" si="1185"/>
        <v xml:space="preserve"> </v>
      </c>
      <c r="F15186">
        <v>0.41</v>
      </c>
      <c r="G15186" s="37" t="str">
        <f t="shared" si="1186"/>
        <v>Heavy Discount</v>
      </c>
      <c r="H15186" s="37" t="str">
        <f t="shared" si="1187"/>
        <v>High</v>
      </c>
      <c r="I15186">
        <v>6</v>
      </c>
      <c r="J15186" t="str" cm="1">
        <f t="array" ref="J15186">_xlfn.IFS(I15186&lt;=3,"small",I15186&lt;=6,"Medium",I15186&lt;=9,"Large")</f>
        <v>Medium</v>
      </c>
      <c r="K15186" s="36">
        <v>45073</v>
      </c>
      <c r="L15186" s="36">
        <v>45079</v>
      </c>
      <c r="M15186" t="s">
        <v>598</v>
      </c>
      <c r="N15186" t="s">
        <v>608</v>
      </c>
      <c r="O15186" s="37" t="str">
        <f t="shared" si="1188"/>
        <v>Cash Payment</v>
      </c>
      <c r="P15186">
        <v>140.63</v>
      </c>
      <c r="Q15186" s="37" t="str">
        <f>IF(P15186&gt;500,"High","low")</f>
        <v>low</v>
      </c>
      <c r="R15186" s="37" t="str">
        <f t="shared" si="1189"/>
        <v>AVERAGE</v>
      </c>
      <c r="S15186" t="s">
        <v>609</v>
      </c>
    </row>
    <row r="15187" spans="1:19" x14ac:dyDescent="0.2">
      <c r="A15187" t="s">
        <v>15798</v>
      </c>
      <c r="B15187" t="s">
        <v>67</v>
      </c>
      <c r="C15187" t="s">
        <v>597</v>
      </c>
      <c r="D15187">
        <v>907</v>
      </c>
      <c r="E15187" s="37" t="str">
        <f t="shared" si="1185"/>
        <v xml:space="preserve"> </v>
      </c>
      <c r="F15187">
        <v>0.14000000000000001</v>
      </c>
      <c r="G15187" s="37" t="str">
        <f t="shared" si="1186"/>
        <v>Normal Discount</v>
      </c>
      <c r="H15187" s="37" t="str">
        <f t="shared" si="1187"/>
        <v>Low</v>
      </c>
      <c r="I15187">
        <v>1</v>
      </c>
      <c r="J15187" t="str" cm="1">
        <f t="array" ref="J15187">_xlfn.IFS(I15187&lt;=3,"small",I15187&lt;=6,"Medium",I15187&lt;=9,"Large")</f>
        <v>small</v>
      </c>
      <c r="K15187" s="36">
        <v>45197</v>
      </c>
      <c r="L15187" s="36">
        <v>45199</v>
      </c>
      <c r="M15187" t="s">
        <v>598</v>
      </c>
      <c r="N15187" t="s">
        <v>604</v>
      </c>
      <c r="O15187" s="37" t="str">
        <f t="shared" si="1188"/>
        <v>Digital Payment</v>
      </c>
      <c r="P15187">
        <v>232.47</v>
      </c>
      <c r="Q15187" s="37" t="str">
        <f>IF(P15187&gt;500,"High","low")</f>
        <v>low</v>
      </c>
      <c r="R15187" s="37" t="str">
        <f t="shared" si="1189"/>
        <v>AVERAGE</v>
      </c>
      <c r="S15187" t="s">
        <v>600</v>
      </c>
    </row>
    <row r="15188" spans="1:19" x14ac:dyDescent="0.2">
      <c r="A15188" t="s">
        <v>15799</v>
      </c>
      <c r="B15188" t="s">
        <v>83</v>
      </c>
      <c r="C15188" t="s">
        <v>597</v>
      </c>
      <c r="D15188">
        <v>4647.03</v>
      </c>
      <c r="E15188" s="37" t="str">
        <f t="shared" si="1185"/>
        <v>Excellent Order</v>
      </c>
      <c r="F15188">
        <v>0.33</v>
      </c>
      <c r="G15188" s="37" t="str">
        <f t="shared" si="1186"/>
        <v>Heavy Discount</v>
      </c>
      <c r="H15188" s="37" t="str">
        <f t="shared" si="1187"/>
        <v>Medium</v>
      </c>
      <c r="I15188">
        <v>1</v>
      </c>
      <c r="J15188" t="str" cm="1">
        <f t="array" ref="J15188">_xlfn.IFS(I15188&lt;=3,"small",I15188&lt;=6,"Medium",I15188&lt;=9,"Large")</f>
        <v>small</v>
      </c>
      <c r="K15188" s="36">
        <v>44942</v>
      </c>
      <c r="L15188" s="36">
        <v>44943</v>
      </c>
      <c r="M15188" t="s">
        <v>598</v>
      </c>
      <c r="N15188" t="s">
        <v>599</v>
      </c>
      <c r="O15188" s="37" t="str">
        <f t="shared" si="1188"/>
        <v>Digital Payment</v>
      </c>
      <c r="P15188">
        <v>1212.5999999999999</v>
      </c>
      <c r="Q15188" s="37" t="str">
        <f>IF(P15188&gt;500,"High","low")</f>
        <v>High</v>
      </c>
      <c r="R15188" s="37" t="str">
        <f t="shared" si="1189"/>
        <v>Excellent</v>
      </c>
      <c r="S15188" t="s">
        <v>615</v>
      </c>
    </row>
    <row r="15189" spans="1:19" x14ac:dyDescent="0.2">
      <c r="A15189" t="s">
        <v>15800</v>
      </c>
      <c r="B15189" t="s">
        <v>75</v>
      </c>
      <c r="C15189" t="s">
        <v>614</v>
      </c>
      <c r="D15189">
        <v>2866.31</v>
      </c>
      <c r="E15189" s="37" t="str">
        <f t="shared" si="1185"/>
        <v xml:space="preserve"> </v>
      </c>
      <c r="F15189">
        <v>0.1</v>
      </c>
      <c r="G15189" s="37" t="str">
        <f t="shared" si="1186"/>
        <v>Normal Discount</v>
      </c>
      <c r="H15189" s="37" t="str">
        <f t="shared" si="1187"/>
        <v>Low</v>
      </c>
      <c r="I15189">
        <v>6</v>
      </c>
      <c r="J15189" t="str" cm="1">
        <f t="array" ref="J15189">_xlfn.IFS(I15189&lt;=3,"small",I15189&lt;=6,"Medium",I15189&lt;=9,"Large")</f>
        <v>Medium</v>
      </c>
      <c r="K15189" s="36">
        <v>45438</v>
      </c>
      <c r="L15189" s="36">
        <v>45439</v>
      </c>
      <c r="M15189" t="s">
        <v>603</v>
      </c>
      <c r="N15189" t="s">
        <v>604</v>
      </c>
      <c r="O15189" s="37" t="str">
        <f t="shared" si="1188"/>
        <v>Digital Payment</v>
      </c>
      <c r="P15189">
        <v>389.7</v>
      </c>
      <c r="Q15189" s="37" t="str">
        <f>IF(P15189&gt;500,"High","low")</f>
        <v>low</v>
      </c>
      <c r="R15189" s="37" t="str">
        <f t="shared" si="1189"/>
        <v>AVERAGE</v>
      </c>
      <c r="S15189" t="s">
        <v>600</v>
      </c>
    </row>
    <row r="15190" spans="1:19" x14ac:dyDescent="0.2">
      <c r="A15190" t="s">
        <v>15801</v>
      </c>
      <c r="B15190" t="s">
        <v>83</v>
      </c>
      <c r="C15190" t="s">
        <v>617</v>
      </c>
      <c r="D15190">
        <v>3210.76</v>
      </c>
      <c r="E15190" s="37" t="str">
        <f t="shared" si="1185"/>
        <v xml:space="preserve"> </v>
      </c>
      <c r="F15190">
        <v>0.03</v>
      </c>
      <c r="G15190" s="37" t="str">
        <f t="shared" si="1186"/>
        <v>Normal Discount</v>
      </c>
      <c r="H15190" s="37" t="str">
        <f t="shared" si="1187"/>
        <v>Low</v>
      </c>
      <c r="I15190">
        <v>1</v>
      </c>
      <c r="J15190" t="str" cm="1">
        <f t="array" ref="J15190">_xlfn.IFS(I15190&lt;=3,"small",I15190&lt;=6,"Medium",I15190&lt;=9,"Large")</f>
        <v>small</v>
      </c>
      <c r="K15190" s="36">
        <v>45073</v>
      </c>
      <c r="L15190" s="36">
        <v>45078</v>
      </c>
      <c r="M15190" t="s">
        <v>612</v>
      </c>
      <c r="N15190" t="s">
        <v>599</v>
      </c>
      <c r="O15190" s="37" t="str">
        <f t="shared" si="1188"/>
        <v>Digital Payment</v>
      </c>
      <c r="P15190">
        <v>393.24</v>
      </c>
      <c r="Q15190" s="37" t="str">
        <f>IF(P15190&gt;500,"High","low")</f>
        <v>low</v>
      </c>
      <c r="R15190" s="37" t="str">
        <f t="shared" si="1189"/>
        <v>AVERAGE</v>
      </c>
      <c r="S15190" t="s">
        <v>628</v>
      </c>
    </row>
    <row r="15191" spans="1:19" x14ac:dyDescent="0.2">
      <c r="A15191" t="s">
        <v>15802</v>
      </c>
      <c r="B15191" t="s">
        <v>75</v>
      </c>
      <c r="C15191" t="s">
        <v>602</v>
      </c>
      <c r="D15191">
        <v>2195.41</v>
      </c>
      <c r="E15191" s="37" t="str">
        <f t="shared" si="1185"/>
        <v xml:space="preserve"> </v>
      </c>
      <c r="F15191">
        <v>0.28999999999999998</v>
      </c>
      <c r="G15191" s="37" t="str">
        <f t="shared" si="1186"/>
        <v>Normal Discount</v>
      </c>
      <c r="H15191" s="37" t="str">
        <f t="shared" si="1187"/>
        <v>Medium</v>
      </c>
      <c r="I15191">
        <v>9</v>
      </c>
      <c r="J15191" t="str" cm="1">
        <f t="array" ref="J15191">_xlfn.IFS(I15191&lt;=3,"small",I15191&lt;=6,"Medium",I15191&lt;=9,"Large")</f>
        <v>Large</v>
      </c>
      <c r="K15191" s="36">
        <v>45381</v>
      </c>
      <c r="L15191" s="36">
        <v>45382</v>
      </c>
      <c r="M15191" t="s">
        <v>603</v>
      </c>
      <c r="N15191" t="s">
        <v>608</v>
      </c>
      <c r="O15191" s="37" t="str">
        <f t="shared" si="1188"/>
        <v>Cash Payment</v>
      </c>
      <c r="P15191">
        <v>340.38</v>
      </c>
      <c r="Q15191" s="37" t="str">
        <f>IF(P15191&gt;500,"High","low")</f>
        <v>low</v>
      </c>
      <c r="R15191" s="37" t="str">
        <f t="shared" si="1189"/>
        <v>AVERAGE</v>
      </c>
      <c r="S15191" t="s">
        <v>609</v>
      </c>
    </row>
    <row r="15192" spans="1:19" x14ac:dyDescent="0.2">
      <c r="A15192" t="s">
        <v>15803</v>
      </c>
      <c r="B15192" t="s">
        <v>90</v>
      </c>
      <c r="C15192" t="s">
        <v>607</v>
      </c>
      <c r="D15192">
        <v>4090.7</v>
      </c>
      <c r="E15192" s="37" t="str">
        <f t="shared" si="1185"/>
        <v>Excellent Order</v>
      </c>
      <c r="F15192">
        <v>0.39</v>
      </c>
      <c r="G15192" s="37" t="str">
        <f t="shared" si="1186"/>
        <v>Heavy Discount</v>
      </c>
      <c r="H15192" s="37" t="str">
        <f t="shared" si="1187"/>
        <v>Medium</v>
      </c>
      <c r="I15192">
        <v>2</v>
      </c>
      <c r="J15192" t="str" cm="1">
        <f t="array" ref="J15192">_xlfn.IFS(I15192&lt;=3,"small",I15192&lt;=6,"Medium",I15192&lt;=9,"Large")</f>
        <v>small</v>
      </c>
      <c r="K15192" s="36">
        <v>45329</v>
      </c>
      <c r="L15192" s="36">
        <v>45335</v>
      </c>
      <c r="M15192" t="s">
        <v>612</v>
      </c>
      <c r="N15192" t="s">
        <v>604</v>
      </c>
      <c r="O15192" s="37" t="str">
        <f t="shared" si="1188"/>
        <v>Digital Payment</v>
      </c>
      <c r="P15192">
        <v>897.17</v>
      </c>
      <c r="Q15192" s="37" t="str">
        <f>IF(P15192&gt;500,"High","low")</f>
        <v>High</v>
      </c>
      <c r="R15192" s="37" t="str">
        <f t="shared" si="1189"/>
        <v>Good</v>
      </c>
      <c r="S15192" t="s">
        <v>620</v>
      </c>
    </row>
    <row r="15193" spans="1:19" x14ac:dyDescent="0.2">
      <c r="A15193" t="s">
        <v>15804</v>
      </c>
      <c r="B15193" t="s">
        <v>83</v>
      </c>
      <c r="C15193" t="s">
        <v>617</v>
      </c>
      <c r="D15193">
        <v>2634.5</v>
      </c>
      <c r="E15193" s="37" t="str">
        <f t="shared" si="1185"/>
        <v xml:space="preserve"> </v>
      </c>
      <c r="F15193">
        <v>0.04</v>
      </c>
      <c r="G15193" s="37" t="str">
        <f t="shared" si="1186"/>
        <v>Normal Discount</v>
      </c>
      <c r="H15193" s="37" t="str">
        <f t="shared" si="1187"/>
        <v>Low</v>
      </c>
      <c r="I15193">
        <v>9</v>
      </c>
      <c r="J15193" t="str" cm="1">
        <f t="array" ref="J15193">_xlfn.IFS(I15193&lt;=3,"small",I15193&lt;=6,"Medium",I15193&lt;=9,"Large")</f>
        <v>Large</v>
      </c>
      <c r="K15193" s="36">
        <v>45270</v>
      </c>
      <c r="L15193" s="36">
        <v>45271</v>
      </c>
      <c r="M15193" t="s">
        <v>603</v>
      </c>
      <c r="N15193" t="s">
        <v>608</v>
      </c>
      <c r="O15193" s="37" t="str">
        <f t="shared" si="1188"/>
        <v>Cash Payment</v>
      </c>
      <c r="P15193">
        <v>335.53</v>
      </c>
      <c r="Q15193" s="37" t="str">
        <f>IF(P15193&gt;500,"High","low")</f>
        <v>low</v>
      </c>
      <c r="R15193" s="37" t="str">
        <f t="shared" si="1189"/>
        <v>AVERAGE</v>
      </c>
      <c r="S15193" t="s">
        <v>628</v>
      </c>
    </row>
    <row r="15194" spans="1:19" x14ac:dyDescent="0.2">
      <c r="A15194" t="s">
        <v>15805</v>
      </c>
      <c r="B15194" t="s">
        <v>75</v>
      </c>
      <c r="C15194" t="s">
        <v>597</v>
      </c>
      <c r="D15194">
        <v>4148.03</v>
      </c>
      <c r="E15194" s="37" t="str">
        <f t="shared" si="1185"/>
        <v xml:space="preserve"> </v>
      </c>
      <c r="F15194">
        <v>0.09</v>
      </c>
      <c r="G15194" s="37" t="str">
        <f t="shared" si="1186"/>
        <v>Normal Discount</v>
      </c>
      <c r="H15194" s="37" t="str">
        <f t="shared" si="1187"/>
        <v>Low</v>
      </c>
      <c r="I15194">
        <v>5</v>
      </c>
      <c r="J15194" t="str" cm="1">
        <f t="array" ref="J15194">_xlfn.IFS(I15194&lt;=3,"small",I15194&lt;=6,"Medium",I15194&lt;=9,"Large")</f>
        <v>Medium</v>
      </c>
      <c r="K15194" s="36">
        <v>45614</v>
      </c>
      <c r="L15194" s="36">
        <v>45617</v>
      </c>
      <c r="M15194" t="s">
        <v>603</v>
      </c>
      <c r="N15194" t="s">
        <v>604</v>
      </c>
      <c r="O15194" s="37" t="str">
        <f t="shared" si="1188"/>
        <v>Digital Payment</v>
      </c>
      <c r="P15194">
        <v>238.01</v>
      </c>
      <c r="Q15194" s="37" t="str">
        <f>IF(P15194&gt;500,"High","low")</f>
        <v>low</v>
      </c>
      <c r="R15194" s="37" t="str">
        <f t="shared" si="1189"/>
        <v>AVERAGE</v>
      </c>
      <c r="S15194" t="s">
        <v>628</v>
      </c>
    </row>
    <row r="15195" spans="1:19" x14ac:dyDescent="0.2">
      <c r="A15195" t="s">
        <v>15806</v>
      </c>
      <c r="B15195" t="s">
        <v>67</v>
      </c>
      <c r="C15195" t="s">
        <v>602</v>
      </c>
      <c r="D15195">
        <v>4961.71</v>
      </c>
      <c r="E15195" s="37" t="str">
        <f t="shared" si="1185"/>
        <v>Excellent Order</v>
      </c>
      <c r="F15195">
        <v>0.05</v>
      </c>
      <c r="G15195" s="37" t="str">
        <f t="shared" si="1186"/>
        <v>Normal Discount</v>
      </c>
      <c r="H15195" s="37" t="str">
        <f t="shared" si="1187"/>
        <v>Low</v>
      </c>
      <c r="I15195">
        <v>5</v>
      </c>
      <c r="J15195" t="str" cm="1">
        <f t="array" ref="J15195">_xlfn.IFS(I15195&lt;=3,"small",I15195&lt;=6,"Medium",I15195&lt;=9,"Large")</f>
        <v>Medium</v>
      </c>
      <c r="K15195" s="36">
        <v>44934</v>
      </c>
      <c r="L15195" s="36">
        <v>44935</v>
      </c>
      <c r="M15195" t="s">
        <v>603</v>
      </c>
      <c r="N15195" t="s">
        <v>599</v>
      </c>
      <c r="O15195" s="37" t="str">
        <f t="shared" si="1188"/>
        <v>Digital Payment</v>
      </c>
      <c r="P15195">
        <v>924.28</v>
      </c>
      <c r="Q15195" s="37" t="str">
        <f>IF(P15195&gt;500,"High","low")</f>
        <v>High</v>
      </c>
      <c r="R15195" s="37" t="str">
        <f t="shared" si="1189"/>
        <v>Good</v>
      </c>
      <c r="S15195" t="s">
        <v>620</v>
      </c>
    </row>
    <row r="15196" spans="1:19" x14ac:dyDescent="0.2">
      <c r="A15196" t="s">
        <v>15807</v>
      </c>
      <c r="B15196" t="s">
        <v>90</v>
      </c>
      <c r="C15196" t="s">
        <v>607</v>
      </c>
      <c r="D15196">
        <v>3268.96</v>
      </c>
      <c r="E15196" s="37" t="str">
        <f t="shared" si="1185"/>
        <v xml:space="preserve"> </v>
      </c>
      <c r="F15196">
        <v>0.32</v>
      </c>
      <c r="G15196" s="37" t="str">
        <f t="shared" si="1186"/>
        <v>Heavy Discount</v>
      </c>
      <c r="H15196" s="37" t="str">
        <f t="shared" si="1187"/>
        <v>Medium</v>
      </c>
      <c r="I15196">
        <v>8</v>
      </c>
      <c r="J15196" t="str" cm="1">
        <f t="array" ref="J15196">_xlfn.IFS(I15196&lt;=3,"small",I15196&lt;=6,"Medium",I15196&lt;=9,"Large")</f>
        <v>Large</v>
      </c>
      <c r="K15196" s="36">
        <v>44976</v>
      </c>
      <c r="L15196" s="36">
        <v>44978</v>
      </c>
      <c r="M15196" t="s">
        <v>598</v>
      </c>
      <c r="N15196" t="s">
        <v>604</v>
      </c>
      <c r="O15196" s="37" t="str">
        <f t="shared" si="1188"/>
        <v>Digital Payment</v>
      </c>
      <c r="P15196">
        <v>190.73</v>
      </c>
      <c r="Q15196" s="37" t="str">
        <f>IF(P15196&gt;500,"High","low")</f>
        <v>low</v>
      </c>
      <c r="R15196" s="37" t="str">
        <f t="shared" si="1189"/>
        <v>AVERAGE</v>
      </c>
      <c r="S15196" t="s">
        <v>600</v>
      </c>
    </row>
    <row r="15197" spans="1:19" x14ac:dyDescent="0.2">
      <c r="A15197" t="s">
        <v>15808</v>
      </c>
      <c r="B15197" t="s">
        <v>83</v>
      </c>
      <c r="C15197" t="s">
        <v>607</v>
      </c>
      <c r="D15197">
        <v>2691.19</v>
      </c>
      <c r="E15197" s="37" t="str">
        <f t="shared" si="1185"/>
        <v xml:space="preserve"> </v>
      </c>
      <c r="F15197">
        <v>0.04</v>
      </c>
      <c r="G15197" s="37" t="str">
        <f t="shared" si="1186"/>
        <v>Normal Discount</v>
      </c>
      <c r="H15197" s="37" t="str">
        <f t="shared" si="1187"/>
        <v>Low</v>
      </c>
      <c r="I15197">
        <v>1</v>
      </c>
      <c r="J15197" t="str" cm="1">
        <f t="array" ref="J15197">_xlfn.IFS(I15197&lt;=3,"small",I15197&lt;=6,"Medium",I15197&lt;=9,"Large")</f>
        <v>small</v>
      </c>
      <c r="K15197" s="36">
        <v>45627</v>
      </c>
      <c r="L15197" s="36">
        <v>45634</v>
      </c>
      <c r="M15197" t="s">
        <v>612</v>
      </c>
      <c r="N15197" t="s">
        <v>604</v>
      </c>
      <c r="O15197" s="37" t="str">
        <f t="shared" si="1188"/>
        <v>Digital Payment</v>
      </c>
      <c r="P15197">
        <v>660.35</v>
      </c>
      <c r="Q15197" s="37" t="str">
        <f>IF(P15197&gt;500,"High","low")</f>
        <v>High</v>
      </c>
      <c r="R15197" s="37" t="str">
        <f t="shared" si="1189"/>
        <v>Good</v>
      </c>
      <c r="S15197" t="s">
        <v>600</v>
      </c>
    </row>
    <row r="15198" spans="1:19" x14ac:dyDescent="0.2">
      <c r="A15198" t="s">
        <v>15809</v>
      </c>
      <c r="B15198" t="s">
        <v>75</v>
      </c>
      <c r="C15198" t="s">
        <v>607</v>
      </c>
      <c r="D15198">
        <v>1889.27</v>
      </c>
      <c r="E15198" s="37" t="str">
        <f t="shared" si="1185"/>
        <v xml:space="preserve"> </v>
      </c>
      <c r="F15198">
        <v>0.05</v>
      </c>
      <c r="G15198" s="37" t="str">
        <f t="shared" si="1186"/>
        <v>Normal Discount</v>
      </c>
      <c r="H15198" s="37" t="str">
        <f t="shared" si="1187"/>
        <v>Low</v>
      </c>
      <c r="I15198">
        <v>9</v>
      </c>
      <c r="J15198" t="str" cm="1">
        <f t="array" ref="J15198">_xlfn.IFS(I15198&lt;=3,"small",I15198&lt;=6,"Medium",I15198&lt;=9,"Large")</f>
        <v>Large</v>
      </c>
      <c r="K15198" s="36">
        <v>45526</v>
      </c>
      <c r="L15198" s="36">
        <v>45528</v>
      </c>
      <c r="M15198" t="s">
        <v>612</v>
      </c>
      <c r="N15198" t="s">
        <v>604</v>
      </c>
      <c r="O15198" s="37" t="str">
        <f t="shared" si="1188"/>
        <v>Digital Payment</v>
      </c>
      <c r="P15198">
        <v>151.83000000000001</v>
      </c>
      <c r="Q15198" s="37" t="str">
        <f>IF(P15198&gt;500,"High","low")</f>
        <v>low</v>
      </c>
      <c r="R15198" s="37" t="str">
        <f t="shared" si="1189"/>
        <v>AVERAGE</v>
      </c>
      <c r="S15198" t="s">
        <v>605</v>
      </c>
    </row>
    <row r="15199" spans="1:19" x14ac:dyDescent="0.2">
      <c r="A15199" t="s">
        <v>15810</v>
      </c>
      <c r="B15199" t="s">
        <v>83</v>
      </c>
      <c r="C15199" t="s">
        <v>614</v>
      </c>
      <c r="D15199">
        <v>1054.01</v>
      </c>
      <c r="E15199" s="37" t="str">
        <f t="shared" si="1185"/>
        <v xml:space="preserve"> </v>
      </c>
      <c r="F15199">
        <v>0.13</v>
      </c>
      <c r="G15199" s="37" t="str">
        <f t="shared" si="1186"/>
        <v>Normal Discount</v>
      </c>
      <c r="H15199" s="37" t="str">
        <f t="shared" si="1187"/>
        <v>Low</v>
      </c>
      <c r="I15199">
        <v>1</v>
      </c>
      <c r="J15199" t="str" cm="1">
        <f t="array" ref="J15199">_xlfn.IFS(I15199&lt;=3,"small",I15199&lt;=6,"Medium",I15199&lt;=9,"Large")</f>
        <v>small</v>
      </c>
      <c r="K15199" s="36">
        <v>44939</v>
      </c>
      <c r="L15199" s="36">
        <v>44942</v>
      </c>
      <c r="M15199" t="s">
        <v>598</v>
      </c>
      <c r="N15199" t="s">
        <v>604</v>
      </c>
      <c r="O15199" s="37" t="str">
        <f t="shared" si="1188"/>
        <v>Digital Payment</v>
      </c>
      <c r="P15199">
        <v>293.63</v>
      </c>
      <c r="Q15199" s="37" t="str">
        <f>IF(P15199&gt;500,"High","low")</f>
        <v>low</v>
      </c>
      <c r="R15199" s="37" t="str">
        <f t="shared" si="1189"/>
        <v>AVERAGE</v>
      </c>
      <c r="S15199" t="s">
        <v>605</v>
      </c>
    </row>
    <row r="15200" spans="1:19" x14ac:dyDescent="0.2">
      <c r="A15200" t="s">
        <v>15811</v>
      </c>
      <c r="B15200" t="s">
        <v>75</v>
      </c>
      <c r="C15200" t="s">
        <v>614</v>
      </c>
      <c r="D15200">
        <v>3317.62</v>
      </c>
      <c r="E15200" s="37" t="str">
        <f t="shared" si="1185"/>
        <v xml:space="preserve"> </v>
      </c>
      <c r="F15200">
        <v>0.14000000000000001</v>
      </c>
      <c r="G15200" s="37" t="str">
        <f t="shared" si="1186"/>
        <v>Normal Discount</v>
      </c>
      <c r="H15200" s="37" t="str">
        <f t="shared" si="1187"/>
        <v>Low</v>
      </c>
      <c r="I15200">
        <v>5</v>
      </c>
      <c r="J15200" t="str" cm="1">
        <f t="array" ref="J15200">_xlfn.IFS(I15200&lt;=3,"small",I15200&lt;=6,"Medium",I15200&lt;=9,"Large")</f>
        <v>Medium</v>
      </c>
      <c r="K15200" s="36">
        <v>45128</v>
      </c>
      <c r="L15200" s="36">
        <v>45133</v>
      </c>
      <c r="M15200" t="s">
        <v>603</v>
      </c>
      <c r="N15200" t="s">
        <v>608</v>
      </c>
      <c r="O15200" s="37" t="str">
        <f t="shared" si="1188"/>
        <v>Cash Payment</v>
      </c>
      <c r="P15200">
        <v>617.57000000000005</v>
      </c>
      <c r="Q15200" s="37" t="str">
        <f>IF(P15200&gt;500,"High","low")</f>
        <v>High</v>
      </c>
      <c r="R15200" s="37" t="str">
        <f t="shared" si="1189"/>
        <v>Good</v>
      </c>
      <c r="S15200" t="s">
        <v>600</v>
      </c>
    </row>
    <row r="15201" spans="1:19" x14ac:dyDescent="0.2">
      <c r="A15201" t="s">
        <v>15812</v>
      </c>
      <c r="B15201" t="s">
        <v>90</v>
      </c>
      <c r="C15201" t="s">
        <v>602</v>
      </c>
      <c r="D15201">
        <v>406.92</v>
      </c>
      <c r="E15201" s="37" t="str">
        <f t="shared" si="1185"/>
        <v xml:space="preserve"> </v>
      </c>
      <c r="F15201">
        <v>0.28000000000000003</v>
      </c>
      <c r="G15201" s="37" t="str">
        <f t="shared" si="1186"/>
        <v>Normal Discount</v>
      </c>
      <c r="H15201" s="37" t="str">
        <f t="shared" si="1187"/>
        <v>Medium</v>
      </c>
      <c r="I15201">
        <v>8</v>
      </c>
      <c r="J15201" t="str" cm="1">
        <f t="array" ref="J15201">_xlfn.IFS(I15201&lt;=3,"small",I15201&lt;=6,"Medium",I15201&lt;=9,"Large")</f>
        <v>Large</v>
      </c>
      <c r="K15201" s="36">
        <v>45585</v>
      </c>
      <c r="L15201" s="36">
        <v>45588</v>
      </c>
      <c r="M15201" t="s">
        <v>612</v>
      </c>
      <c r="N15201" t="s">
        <v>608</v>
      </c>
      <c r="O15201" s="37" t="str">
        <f t="shared" si="1188"/>
        <v>Cash Payment</v>
      </c>
      <c r="P15201">
        <v>85.43</v>
      </c>
      <c r="Q15201" s="37" t="str">
        <f>IF(P15201&gt;500,"High","low")</f>
        <v>low</v>
      </c>
      <c r="R15201" s="37" t="str">
        <f t="shared" si="1189"/>
        <v>AVERAGE</v>
      </c>
      <c r="S15201" t="s">
        <v>628</v>
      </c>
    </row>
    <row r="15202" spans="1:19" x14ac:dyDescent="0.2">
      <c r="A15202" t="s">
        <v>15813</v>
      </c>
      <c r="B15202" t="s">
        <v>67</v>
      </c>
      <c r="C15202" t="s">
        <v>597</v>
      </c>
      <c r="D15202">
        <v>4785.8100000000004</v>
      </c>
      <c r="E15202" s="37" t="str">
        <f t="shared" si="1185"/>
        <v xml:space="preserve"> </v>
      </c>
      <c r="F15202">
        <v>0.02</v>
      </c>
      <c r="G15202" s="37" t="str">
        <f t="shared" si="1186"/>
        <v>Normal Discount</v>
      </c>
      <c r="H15202" s="37" t="str">
        <f t="shared" si="1187"/>
        <v>Low</v>
      </c>
      <c r="I15202">
        <v>1</v>
      </c>
      <c r="J15202" t="str" cm="1">
        <f t="array" ref="J15202">_xlfn.IFS(I15202&lt;=3,"small",I15202&lt;=6,"Medium",I15202&lt;=9,"Large")</f>
        <v>small</v>
      </c>
      <c r="K15202" s="36">
        <v>45360</v>
      </c>
      <c r="L15202" s="36">
        <v>45362</v>
      </c>
      <c r="M15202" t="s">
        <v>612</v>
      </c>
      <c r="N15202" t="s">
        <v>599</v>
      </c>
      <c r="O15202" s="37" t="str">
        <f t="shared" si="1188"/>
        <v>Digital Payment</v>
      </c>
      <c r="P15202">
        <v>682.85</v>
      </c>
      <c r="Q15202" s="37" t="str">
        <f>IF(P15202&gt;500,"High","low")</f>
        <v>High</v>
      </c>
      <c r="R15202" s="37" t="str">
        <f t="shared" si="1189"/>
        <v>Good</v>
      </c>
      <c r="S15202" t="s">
        <v>615</v>
      </c>
    </row>
    <row r="15203" spans="1:19" x14ac:dyDescent="0.2">
      <c r="A15203" t="s">
        <v>15814</v>
      </c>
      <c r="B15203" t="s">
        <v>90</v>
      </c>
      <c r="C15203" t="s">
        <v>602</v>
      </c>
      <c r="D15203">
        <v>3273.02</v>
      </c>
      <c r="E15203" s="37" t="str">
        <f t="shared" si="1185"/>
        <v xml:space="preserve"> </v>
      </c>
      <c r="F15203">
        <v>0.31</v>
      </c>
      <c r="G15203" s="37" t="str">
        <f t="shared" si="1186"/>
        <v>Heavy Discount</v>
      </c>
      <c r="H15203" s="37" t="str">
        <f t="shared" si="1187"/>
        <v>Medium</v>
      </c>
      <c r="I15203">
        <v>5</v>
      </c>
      <c r="J15203" t="str" cm="1">
        <f t="array" ref="J15203">_xlfn.IFS(I15203&lt;=3,"small",I15203&lt;=6,"Medium",I15203&lt;=9,"Large")</f>
        <v>Medium</v>
      </c>
      <c r="K15203" s="36">
        <v>45333</v>
      </c>
      <c r="L15203" s="36">
        <v>45336</v>
      </c>
      <c r="M15203" t="s">
        <v>598</v>
      </c>
      <c r="N15203" t="s">
        <v>604</v>
      </c>
      <c r="O15203" s="37" t="str">
        <f t="shared" si="1188"/>
        <v>Digital Payment</v>
      </c>
      <c r="P15203">
        <v>695.99</v>
      </c>
      <c r="Q15203" s="37" t="str">
        <f>IF(P15203&gt;500,"High","low")</f>
        <v>High</v>
      </c>
      <c r="R15203" s="37" t="str">
        <f t="shared" si="1189"/>
        <v>Good</v>
      </c>
      <c r="S15203" t="s">
        <v>609</v>
      </c>
    </row>
    <row r="15204" spans="1:19" x14ac:dyDescent="0.2">
      <c r="A15204" t="s">
        <v>15815</v>
      </c>
      <c r="B15204" t="s">
        <v>83</v>
      </c>
      <c r="C15204" t="s">
        <v>597</v>
      </c>
      <c r="D15204">
        <v>4800.88</v>
      </c>
      <c r="E15204" s="37" t="str">
        <f t="shared" si="1185"/>
        <v xml:space="preserve"> </v>
      </c>
      <c r="F15204">
        <v>0.21</v>
      </c>
      <c r="G15204" s="37" t="str">
        <f t="shared" si="1186"/>
        <v>Normal Discount</v>
      </c>
      <c r="H15204" s="37" t="str">
        <f t="shared" si="1187"/>
        <v>Medium</v>
      </c>
      <c r="I15204">
        <v>3</v>
      </c>
      <c r="J15204" t="str" cm="1">
        <f t="array" ref="J15204">_xlfn.IFS(I15204&lt;=3,"small",I15204&lt;=6,"Medium",I15204&lt;=9,"Large")</f>
        <v>small</v>
      </c>
      <c r="K15204" s="36">
        <v>45084</v>
      </c>
      <c r="L15204" s="36">
        <v>45087</v>
      </c>
      <c r="M15204" t="s">
        <v>603</v>
      </c>
      <c r="N15204" t="s">
        <v>608</v>
      </c>
      <c r="O15204" s="37" t="str">
        <f t="shared" si="1188"/>
        <v>Cash Payment</v>
      </c>
      <c r="P15204">
        <v>544.61</v>
      </c>
      <c r="Q15204" s="37" t="str">
        <f>IF(P15204&gt;500,"High","low")</f>
        <v>High</v>
      </c>
      <c r="R15204" s="37" t="str">
        <f t="shared" si="1189"/>
        <v>Good</v>
      </c>
      <c r="S15204" t="s">
        <v>605</v>
      </c>
    </row>
    <row r="15205" spans="1:19" x14ac:dyDescent="0.2">
      <c r="A15205" t="s">
        <v>15816</v>
      </c>
      <c r="B15205" t="s">
        <v>83</v>
      </c>
      <c r="C15205" t="s">
        <v>617</v>
      </c>
      <c r="D15205">
        <v>1434.15</v>
      </c>
      <c r="E15205" s="37" t="str">
        <f t="shared" si="1185"/>
        <v xml:space="preserve"> </v>
      </c>
      <c r="F15205">
        <v>0.09</v>
      </c>
      <c r="G15205" s="37" t="str">
        <f t="shared" si="1186"/>
        <v>Normal Discount</v>
      </c>
      <c r="H15205" s="37" t="str">
        <f t="shared" si="1187"/>
        <v>Low</v>
      </c>
      <c r="I15205">
        <v>8</v>
      </c>
      <c r="J15205" t="str" cm="1">
        <f t="array" ref="J15205">_xlfn.IFS(I15205&lt;=3,"small",I15205&lt;=6,"Medium",I15205&lt;=9,"Large")</f>
        <v>Large</v>
      </c>
      <c r="K15205" s="36">
        <v>45411</v>
      </c>
      <c r="L15205" s="36">
        <v>45418</v>
      </c>
      <c r="M15205" t="s">
        <v>598</v>
      </c>
      <c r="N15205" t="s">
        <v>599</v>
      </c>
      <c r="O15205" s="37" t="str">
        <f t="shared" si="1188"/>
        <v>Digital Payment</v>
      </c>
      <c r="P15205">
        <v>363.1</v>
      </c>
      <c r="Q15205" s="37" t="str">
        <f>IF(P15205&gt;500,"High","low")</f>
        <v>low</v>
      </c>
      <c r="R15205" s="37" t="str">
        <f t="shared" si="1189"/>
        <v>AVERAGE</v>
      </c>
      <c r="S15205" t="s">
        <v>609</v>
      </c>
    </row>
    <row r="15206" spans="1:19" x14ac:dyDescent="0.2">
      <c r="A15206" t="s">
        <v>15817</v>
      </c>
      <c r="B15206" t="s">
        <v>75</v>
      </c>
      <c r="C15206" t="s">
        <v>607</v>
      </c>
      <c r="D15206">
        <v>4737.93</v>
      </c>
      <c r="E15206" s="37" t="str">
        <f t="shared" si="1185"/>
        <v xml:space="preserve"> </v>
      </c>
      <c r="F15206">
        <v>0.33</v>
      </c>
      <c r="G15206" s="37" t="str">
        <f t="shared" si="1186"/>
        <v>Heavy Discount</v>
      </c>
      <c r="H15206" s="37" t="str">
        <f t="shared" si="1187"/>
        <v>Medium</v>
      </c>
      <c r="I15206">
        <v>3</v>
      </c>
      <c r="J15206" t="str" cm="1">
        <f t="array" ref="J15206">_xlfn.IFS(I15206&lt;=3,"small",I15206&lt;=6,"Medium",I15206&lt;=9,"Large")</f>
        <v>small</v>
      </c>
      <c r="K15206" s="36">
        <v>45499</v>
      </c>
      <c r="L15206" s="36">
        <v>45503</v>
      </c>
      <c r="M15206" t="s">
        <v>598</v>
      </c>
      <c r="N15206" t="s">
        <v>608</v>
      </c>
      <c r="O15206" s="37" t="str">
        <f t="shared" si="1188"/>
        <v>Cash Payment</v>
      </c>
      <c r="P15206">
        <v>617.26</v>
      </c>
      <c r="Q15206" s="37" t="str">
        <f>IF(P15206&gt;500,"High","low")</f>
        <v>High</v>
      </c>
      <c r="R15206" s="37" t="str">
        <f t="shared" si="1189"/>
        <v>Good</v>
      </c>
      <c r="S15206" t="s">
        <v>615</v>
      </c>
    </row>
    <row r="15207" spans="1:19" x14ac:dyDescent="0.2">
      <c r="A15207" t="s">
        <v>15818</v>
      </c>
      <c r="B15207" t="s">
        <v>90</v>
      </c>
      <c r="C15207" t="s">
        <v>607</v>
      </c>
      <c r="D15207">
        <v>3099.41</v>
      </c>
      <c r="E15207" s="37" t="str">
        <f t="shared" si="1185"/>
        <v xml:space="preserve"> </v>
      </c>
      <c r="F15207">
        <v>0.16</v>
      </c>
      <c r="G15207" s="37" t="str">
        <f t="shared" si="1186"/>
        <v>Normal Discount</v>
      </c>
      <c r="H15207" s="37" t="str">
        <f t="shared" si="1187"/>
        <v>Low</v>
      </c>
      <c r="I15207">
        <v>8</v>
      </c>
      <c r="J15207" t="str" cm="1">
        <f t="array" ref="J15207">_xlfn.IFS(I15207&lt;=3,"small",I15207&lt;=6,"Medium",I15207&lt;=9,"Large")</f>
        <v>Large</v>
      </c>
      <c r="K15207" s="36">
        <v>45473</v>
      </c>
      <c r="L15207" s="36">
        <v>45477</v>
      </c>
      <c r="M15207" t="s">
        <v>603</v>
      </c>
      <c r="N15207" t="s">
        <v>608</v>
      </c>
      <c r="O15207" s="37" t="str">
        <f t="shared" si="1188"/>
        <v>Cash Payment</v>
      </c>
      <c r="P15207">
        <v>648.45000000000005</v>
      </c>
      <c r="Q15207" s="37" t="str">
        <f>IF(P15207&gt;500,"High","low")</f>
        <v>High</v>
      </c>
      <c r="R15207" s="37" t="str">
        <f t="shared" si="1189"/>
        <v>Good</v>
      </c>
      <c r="S15207" t="s">
        <v>600</v>
      </c>
    </row>
    <row r="15208" spans="1:19" x14ac:dyDescent="0.2">
      <c r="A15208" t="s">
        <v>15819</v>
      </c>
      <c r="B15208" t="s">
        <v>75</v>
      </c>
      <c r="C15208" t="s">
        <v>614</v>
      </c>
      <c r="D15208">
        <v>4070.29</v>
      </c>
      <c r="E15208" s="37" t="str">
        <f t="shared" si="1185"/>
        <v>Excellent Order</v>
      </c>
      <c r="F15208">
        <v>0.41</v>
      </c>
      <c r="G15208" s="37" t="str">
        <f t="shared" si="1186"/>
        <v>Heavy Discount</v>
      </c>
      <c r="H15208" s="37" t="str">
        <f t="shared" si="1187"/>
        <v>High</v>
      </c>
      <c r="I15208">
        <v>2</v>
      </c>
      <c r="J15208" t="str" cm="1">
        <f t="array" ref="J15208">_xlfn.IFS(I15208&lt;=3,"small",I15208&lt;=6,"Medium",I15208&lt;=9,"Large")</f>
        <v>small</v>
      </c>
      <c r="K15208" s="36">
        <v>45319</v>
      </c>
      <c r="L15208" s="36">
        <v>45325</v>
      </c>
      <c r="M15208" t="s">
        <v>598</v>
      </c>
      <c r="N15208" t="s">
        <v>608</v>
      </c>
      <c r="O15208" s="37" t="str">
        <f t="shared" si="1188"/>
        <v>Cash Payment</v>
      </c>
      <c r="P15208">
        <v>937.64</v>
      </c>
      <c r="Q15208" s="37" t="str">
        <f>IF(P15208&gt;500,"High","low")</f>
        <v>High</v>
      </c>
      <c r="R15208" s="37" t="str">
        <f t="shared" si="1189"/>
        <v>Good</v>
      </c>
      <c r="S15208" t="s">
        <v>609</v>
      </c>
    </row>
    <row r="15209" spans="1:19" x14ac:dyDescent="0.2">
      <c r="A15209" t="s">
        <v>15820</v>
      </c>
      <c r="B15209" t="s">
        <v>90</v>
      </c>
      <c r="C15209" t="s">
        <v>617</v>
      </c>
      <c r="D15209">
        <v>976.72</v>
      </c>
      <c r="E15209" s="37" t="str">
        <f t="shared" si="1185"/>
        <v xml:space="preserve"> </v>
      </c>
      <c r="F15209">
        <v>0.49</v>
      </c>
      <c r="G15209" s="37" t="str">
        <f t="shared" si="1186"/>
        <v>Heavy Discount</v>
      </c>
      <c r="H15209" s="37" t="str">
        <f t="shared" si="1187"/>
        <v>High</v>
      </c>
      <c r="I15209">
        <v>3</v>
      </c>
      <c r="J15209" t="str" cm="1">
        <f t="array" ref="J15209">_xlfn.IFS(I15209&lt;=3,"small",I15209&lt;=6,"Medium",I15209&lt;=9,"Large")</f>
        <v>small</v>
      </c>
      <c r="K15209" s="36">
        <v>45294</v>
      </c>
      <c r="L15209" s="36">
        <v>45297</v>
      </c>
      <c r="M15209" t="s">
        <v>598</v>
      </c>
      <c r="N15209" t="s">
        <v>599</v>
      </c>
      <c r="O15209" s="37" t="str">
        <f t="shared" si="1188"/>
        <v>Digital Payment</v>
      </c>
      <c r="P15209">
        <v>126.16</v>
      </c>
      <c r="Q15209" s="37" t="str">
        <f>IF(P15209&gt;500,"High","low")</f>
        <v>low</v>
      </c>
      <c r="R15209" s="37" t="str">
        <f t="shared" si="1189"/>
        <v>AVERAGE</v>
      </c>
      <c r="S15209" t="s">
        <v>600</v>
      </c>
    </row>
    <row r="15210" spans="1:19" x14ac:dyDescent="0.2">
      <c r="A15210" t="s">
        <v>15821</v>
      </c>
      <c r="B15210" t="s">
        <v>83</v>
      </c>
      <c r="C15210" t="s">
        <v>617</v>
      </c>
      <c r="D15210">
        <v>2550.54</v>
      </c>
      <c r="E15210" s="37" t="str">
        <f t="shared" si="1185"/>
        <v xml:space="preserve"> </v>
      </c>
      <c r="F15210">
        <v>0.39</v>
      </c>
      <c r="G15210" s="37" t="str">
        <f t="shared" si="1186"/>
        <v>Heavy Discount</v>
      </c>
      <c r="H15210" s="37" t="str">
        <f t="shared" si="1187"/>
        <v>Medium</v>
      </c>
      <c r="I15210">
        <v>1</v>
      </c>
      <c r="J15210" t="str" cm="1">
        <f t="array" ref="J15210">_xlfn.IFS(I15210&lt;=3,"small",I15210&lt;=6,"Medium",I15210&lt;=9,"Large")</f>
        <v>small</v>
      </c>
      <c r="K15210" s="36">
        <v>45303</v>
      </c>
      <c r="L15210" s="36">
        <v>45310</v>
      </c>
      <c r="M15210" t="s">
        <v>598</v>
      </c>
      <c r="N15210" t="s">
        <v>604</v>
      </c>
      <c r="O15210" s="37" t="str">
        <f t="shared" si="1188"/>
        <v>Digital Payment</v>
      </c>
      <c r="P15210">
        <v>535.1</v>
      </c>
      <c r="Q15210" s="37" t="str">
        <f>IF(P15210&gt;500,"High","low")</f>
        <v>High</v>
      </c>
      <c r="R15210" s="37" t="str">
        <f t="shared" si="1189"/>
        <v>Good</v>
      </c>
      <c r="S15210" t="s">
        <v>628</v>
      </c>
    </row>
    <row r="15211" spans="1:19" x14ac:dyDescent="0.2">
      <c r="A15211" t="s">
        <v>15822</v>
      </c>
      <c r="B15211" t="s">
        <v>75</v>
      </c>
      <c r="C15211" t="s">
        <v>597</v>
      </c>
      <c r="D15211">
        <v>2887.91</v>
      </c>
      <c r="E15211" s="37" t="str">
        <f t="shared" si="1185"/>
        <v xml:space="preserve"> </v>
      </c>
      <c r="F15211">
        <v>0.37</v>
      </c>
      <c r="G15211" s="37" t="str">
        <f t="shared" si="1186"/>
        <v>Heavy Discount</v>
      </c>
      <c r="H15211" s="37" t="str">
        <f t="shared" si="1187"/>
        <v>Medium</v>
      </c>
      <c r="I15211">
        <v>1</v>
      </c>
      <c r="J15211" t="str" cm="1">
        <f t="array" ref="J15211">_xlfn.IFS(I15211&lt;=3,"small",I15211&lt;=6,"Medium",I15211&lt;=9,"Large")</f>
        <v>small</v>
      </c>
      <c r="K15211" s="36">
        <v>45032</v>
      </c>
      <c r="L15211" s="36">
        <v>45033</v>
      </c>
      <c r="M15211" t="s">
        <v>612</v>
      </c>
      <c r="N15211" t="s">
        <v>608</v>
      </c>
      <c r="O15211" s="37" t="str">
        <f t="shared" si="1188"/>
        <v>Cash Payment</v>
      </c>
      <c r="P15211">
        <v>414.87</v>
      </c>
      <c r="Q15211" s="37" t="str">
        <f>IF(P15211&gt;500,"High","low")</f>
        <v>low</v>
      </c>
      <c r="R15211" s="37" t="str">
        <f t="shared" si="1189"/>
        <v>AVERAGE</v>
      </c>
      <c r="S15211" t="s">
        <v>615</v>
      </c>
    </row>
    <row r="15212" spans="1:19" x14ac:dyDescent="0.2">
      <c r="A15212" t="s">
        <v>15823</v>
      </c>
      <c r="B15212" t="s">
        <v>75</v>
      </c>
      <c r="C15212" t="s">
        <v>617</v>
      </c>
      <c r="D15212">
        <v>2024.99</v>
      </c>
      <c r="E15212" s="37" t="str">
        <f t="shared" si="1185"/>
        <v xml:space="preserve"> </v>
      </c>
      <c r="F15212">
        <v>0.18</v>
      </c>
      <c r="G15212" s="37" t="str">
        <f t="shared" si="1186"/>
        <v>Normal Discount</v>
      </c>
      <c r="H15212" s="37" t="str">
        <f t="shared" si="1187"/>
        <v>Low</v>
      </c>
      <c r="I15212">
        <v>4</v>
      </c>
      <c r="J15212" t="str" cm="1">
        <f t="array" ref="J15212">_xlfn.IFS(I15212&lt;=3,"small",I15212&lt;=6,"Medium",I15212&lt;=9,"Large")</f>
        <v>Medium</v>
      </c>
      <c r="K15212" s="36">
        <v>45297</v>
      </c>
      <c r="L15212" s="36">
        <v>45300</v>
      </c>
      <c r="M15212" t="s">
        <v>612</v>
      </c>
      <c r="N15212" t="s">
        <v>604</v>
      </c>
      <c r="O15212" s="37" t="str">
        <f t="shared" si="1188"/>
        <v>Digital Payment</v>
      </c>
      <c r="P15212">
        <v>375.97</v>
      </c>
      <c r="Q15212" s="37" t="str">
        <f>IF(P15212&gt;500,"High","low")</f>
        <v>low</v>
      </c>
      <c r="R15212" s="37" t="str">
        <f t="shared" si="1189"/>
        <v>AVERAGE</v>
      </c>
      <c r="S15212" t="s">
        <v>609</v>
      </c>
    </row>
    <row r="15213" spans="1:19" x14ac:dyDescent="0.2">
      <c r="A15213" t="s">
        <v>15824</v>
      </c>
      <c r="B15213" t="s">
        <v>90</v>
      </c>
      <c r="C15213" t="s">
        <v>614</v>
      </c>
      <c r="D15213">
        <v>1340.84</v>
      </c>
      <c r="E15213" s="37" t="str">
        <f t="shared" si="1185"/>
        <v xml:space="preserve"> </v>
      </c>
      <c r="F15213">
        <v>0.27</v>
      </c>
      <c r="G15213" s="37" t="str">
        <f t="shared" si="1186"/>
        <v>Normal Discount</v>
      </c>
      <c r="H15213" s="37" t="str">
        <f t="shared" si="1187"/>
        <v>Medium</v>
      </c>
      <c r="I15213">
        <v>5</v>
      </c>
      <c r="J15213" t="str" cm="1">
        <f t="array" ref="J15213">_xlfn.IFS(I15213&lt;=3,"small",I15213&lt;=6,"Medium",I15213&lt;=9,"Large")</f>
        <v>Medium</v>
      </c>
      <c r="K15213" s="36">
        <v>45036</v>
      </c>
      <c r="L15213" s="36">
        <v>45041</v>
      </c>
      <c r="M15213" t="s">
        <v>612</v>
      </c>
      <c r="N15213" t="s">
        <v>604</v>
      </c>
      <c r="O15213" s="37" t="str">
        <f t="shared" si="1188"/>
        <v>Digital Payment</v>
      </c>
      <c r="P15213">
        <v>330.39</v>
      </c>
      <c r="Q15213" s="37" t="str">
        <f>IF(P15213&gt;500,"High","low")</f>
        <v>low</v>
      </c>
      <c r="R15213" s="37" t="str">
        <f t="shared" si="1189"/>
        <v>AVERAGE</v>
      </c>
      <c r="S15213" t="s">
        <v>628</v>
      </c>
    </row>
    <row r="15214" spans="1:19" x14ac:dyDescent="0.2">
      <c r="A15214" t="s">
        <v>15825</v>
      </c>
      <c r="B15214" t="s">
        <v>67</v>
      </c>
      <c r="C15214" t="s">
        <v>597</v>
      </c>
      <c r="D15214">
        <v>4533.3999999999996</v>
      </c>
      <c r="E15214" s="37" t="str">
        <f t="shared" si="1185"/>
        <v>Excellent Order</v>
      </c>
      <c r="F15214">
        <v>0.03</v>
      </c>
      <c r="G15214" s="37" t="str">
        <f t="shared" si="1186"/>
        <v>Normal Discount</v>
      </c>
      <c r="H15214" s="37" t="str">
        <f t="shared" si="1187"/>
        <v>Low</v>
      </c>
      <c r="I15214">
        <v>3</v>
      </c>
      <c r="J15214" t="str" cm="1">
        <f t="array" ref="J15214">_xlfn.IFS(I15214&lt;=3,"small",I15214&lt;=6,"Medium",I15214&lt;=9,"Large")</f>
        <v>small</v>
      </c>
      <c r="K15214" s="36">
        <v>45220</v>
      </c>
      <c r="L15214" s="36">
        <v>45223</v>
      </c>
      <c r="M15214" t="s">
        <v>603</v>
      </c>
      <c r="N15214" t="s">
        <v>608</v>
      </c>
      <c r="O15214" s="37" t="str">
        <f t="shared" si="1188"/>
        <v>Cash Payment</v>
      </c>
      <c r="P15214">
        <v>1053.58</v>
      </c>
      <c r="Q15214" s="37" t="str">
        <f>IF(P15214&gt;500,"High","low")</f>
        <v>High</v>
      </c>
      <c r="R15214" s="37" t="str">
        <f t="shared" si="1189"/>
        <v>Excellent</v>
      </c>
      <c r="S15214" t="s">
        <v>615</v>
      </c>
    </row>
    <row r="15215" spans="1:19" x14ac:dyDescent="0.2">
      <c r="A15215" t="s">
        <v>15826</v>
      </c>
      <c r="B15215" t="s">
        <v>90</v>
      </c>
      <c r="C15215" t="s">
        <v>602</v>
      </c>
      <c r="D15215">
        <v>516.79</v>
      </c>
      <c r="E15215" s="37" t="str">
        <f t="shared" si="1185"/>
        <v xml:space="preserve"> </v>
      </c>
      <c r="F15215">
        <v>0.36</v>
      </c>
      <c r="G15215" s="37" t="str">
        <f t="shared" si="1186"/>
        <v>Heavy Discount</v>
      </c>
      <c r="H15215" s="37" t="str">
        <f t="shared" si="1187"/>
        <v>Medium</v>
      </c>
      <c r="I15215">
        <v>2</v>
      </c>
      <c r="J15215" t="str" cm="1">
        <f t="array" ref="J15215">_xlfn.IFS(I15215&lt;=3,"small",I15215&lt;=6,"Medium",I15215&lt;=9,"Large")</f>
        <v>small</v>
      </c>
      <c r="K15215" s="36">
        <v>45190</v>
      </c>
      <c r="L15215" s="36">
        <v>45192</v>
      </c>
      <c r="M15215" t="s">
        <v>603</v>
      </c>
      <c r="N15215" t="s">
        <v>604</v>
      </c>
      <c r="O15215" s="37" t="str">
        <f t="shared" si="1188"/>
        <v>Digital Payment</v>
      </c>
      <c r="P15215">
        <v>56.37</v>
      </c>
      <c r="Q15215" s="37" t="str">
        <f>IF(P15215&gt;500,"High","low")</f>
        <v>low</v>
      </c>
      <c r="R15215" s="37" t="str">
        <f t="shared" si="1189"/>
        <v>AVERAGE</v>
      </c>
      <c r="S15215" t="s">
        <v>628</v>
      </c>
    </row>
    <row r="15216" spans="1:19" x14ac:dyDescent="0.2">
      <c r="A15216" t="s">
        <v>15827</v>
      </c>
      <c r="B15216" t="s">
        <v>67</v>
      </c>
      <c r="C15216" t="s">
        <v>597</v>
      </c>
      <c r="D15216">
        <v>854.54</v>
      </c>
      <c r="E15216" s="37" t="str">
        <f t="shared" si="1185"/>
        <v xml:space="preserve"> </v>
      </c>
      <c r="F15216">
        <v>0.34</v>
      </c>
      <c r="G15216" s="37" t="str">
        <f t="shared" si="1186"/>
        <v>Heavy Discount</v>
      </c>
      <c r="H15216" s="37" t="str">
        <f t="shared" si="1187"/>
        <v>Medium</v>
      </c>
      <c r="I15216">
        <v>1</v>
      </c>
      <c r="J15216" t="str" cm="1">
        <f t="array" ref="J15216">_xlfn.IFS(I15216&lt;=3,"small",I15216&lt;=6,"Medium",I15216&lt;=9,"Large")</f>
        <v>small</v>
      </c>
      <c r="K15216" s="36">
        <v>45257</v>
      </c>
      <c r="L15216" s="36">
        <v>45264</v>
      </c>
      <c r="M15216" t="s">
        <v>603</v>
      </c>
      <c r="N15216" t="s">
        <v>604</v>
      </c>
      <c r="O15216" s="37" t="str">
        <f t="shared" si="1188"/>
        <v>Digital Payment</v>
      </c>
      <c r="P15216">
        <v>193.21</v>
      </c>
      <c r="Q15216" s="37" t="str">
        <f>IF(P15216&gt;500,"High","low")</f>
        <v>low</v>
      </c>
      <c r="R15216" s="37" t="str">
        <f t="shared" si="1189"/>
        <v>AVERAGE</v>
      </c>
      <c r="S15216" t="s">
        <v>605</v>
      </c>
    </row>
    <row r="15217" spans="1:19" x14ac:dyDescent="0.2">
      <c r="A15217" t="s">
        <v>15828</v>
      </c>
      <c r="B15217" t="s">
        <v>90</v>
      </c>
      <c r="C15217" t="s">
        <v>602</v>
      </c>
      <c r="D15217">
        <v>1670.5</v>
      </c>
      <c r="E15217" s="37" t="str">
        <f t="shared" si="1185"/>
        <v xml:space="preserve"> </v>
      </c>
      <c r="F15217">
        <v>0.13</v>
      </c>
      <c r="G15217" s="37" t="str">
        <f t="shared" si="1186"/>
        <v>Normal Discount</v>
      </c>
      <c r="H15217" s="37" t="str">
        <f t="shared" si="1187"/>
        <v>Low</v>
      </c>
      <c r="I15217">
        <v>3</v>
      </c>
      <c r="J15217" t="str" cm="1">
        <f t="array" ref="J15217">_xlfn.IFS(I15217&lt;=3,"small",I15217&lt;=6,"Medium",I15217&lt;=9,"Large")</f>
        <v>small</v>
      </c>
      <c r="K15217" s="36">
        <v>45350</v>
      </c>
      <c r="L15217" s="36">
        <v>45357</v>
      </c>
      <c r="M15217" t="s">
        <v>603</v>
      </c>
      <c r="N15217" t="s">
        <v>604</v>
      </c>
      <c r="O15217" s="37" t="str">
        <f t="shared" si="1188"/>
        <v>Digital Payment</v>
      </c>
      <c r="P15217">
        <v>422.13</v>
      </c>
      <c r="Q15217" s="37" t="str">
        <f>IF(P15217&gt;500,"High","low")</f>
        <v>low</v>
      </c>
      <c r="R15217" s="37" t="str">
        <f t="shared" si="1189"/>
        <v>AVERAGE</v>
      </c>
      <c r="S15217" t="s">
        <v>628</v>
      </c>
    </row>
    <row r="15218" spans="1:19" x14ac:dyDescent="0.2">
      <c r="A15218" t="s">
        <v>15829</v>
      </c>
      <c r="B15218" t="s">
        <v>83</v>
      </c>
      <c r="C15218" t="s">
        <v>597</v>
      </c>
      <c r="D15218">
        <v>4606.87</v>
      </c>
      <c r="E15218" s="37" t="str">
        <f t="shared" si="1185"/>
        <v xml:space="preserve"> </v>
      </c>
      <c r="F15218">
        <v>0.27</v>
      </c>
      <c r="G15218" s="37" t="str">
        <f t="shared" si="1186"/>
        <v>Normal Discount</v>
      </c>
      <c r="H15218" s="37" t="str">
        <f t="shared" si="1187"/>
        <v>Medium</v>
      </c>
      <c r="I15218">
        <v>1</v>
      </c>
      <c r="J15218" t="str" cm="1">
        <f t="array" ref="J15218">_xlfn.IFS(I15218&lt;=3,"small",I15218&lt;=6,"Medium",I15218&lt;=9,"Large")</f>
        <v>small</v>
      </c>
      <c r="K15218" s="36">
        <v>45205</v>
      </c>
      <c r="L15218" s="36">
        <v>45210</v>
      </c>
      <c r="M15218" t="s">
        <v>603</v>
      </c>
      <c r="N15218" t="s">
        <v>599</v>
      </c>
      <c r="O15218" s="37" t="str">
        <f t="shared" si="1188"/>
        <v>Digital Payment</v>
      </c>
      <c r="P15218">
        <v>395.49</v>
      </c>
      <c r="Q15218" s="37" t="str">
        <f>IF(P15218&gt;500,"High","low")</f>
        <v>low</v>
      </c>
      <c r="R15218" s="37" t="str">
        <f t="shared" si="1189"/>
        <v>AVERAGE</v>
      </c>
      <c r="S15218" t="s">
        <v>620</v>
      </c>
    </row>
    <row r="15219" spans="1:19" x14ac:dyDescent="0.2">
      <c r="A15219" t="s">
        <v>15830</v>
      </c>
      <c r="B15219" t="s">
        <v>75</v>
      </c>
      <c r="C15219" t="s">
        <v>607</v>
      </c>
      <c r="D15219">
        <v>2864.63</v>
      </c>
      <c r="E15219" s="37" t="str">
        <f t="shared" si="1185"/>
        <v xml:space="preserve"> </v>
      </c>
      <c r="F15219">
        <v>0.34</v>
      </c>
      <c r="G15219" s="37" t="str">
        <f t="shared" si="1186"/>
        <v>Heavy Discount</v>
      </c>
      <c r="H15219" s="37" t="str">
        <f t="shared" si="1187"/>
        <v>Medium</v>
      </c>
      <c r="I15219">
        <v>6</v>
      </c>
      <c r="J15219" t="str" cm="1">
        <f t="array" ref="J15219">_xlfn.IFS(I15219&lt;=3,"small",I15219&lt;=6,"Medium",I15219&lt;=9,"Large")</f>
        <v>Medium</v>
      </c>
      <c r="K15219" s="36">
        <v>45150</v>
      </c>
      <c r="L15219" s="36">
        <v>45152</v>
      </c>
      <c r="M15219" t="s">
        <v>603</v>
      </c>
      <c r="N15219" t="s">
        <v>599</v>
      </c>
      <c r="O15219" s="37" t="str">
        <f t="shared" si="1188"/>
        <v>Digital Payment</v>
      </c>
      <c r="P15219">
        <v>173.39</v>
      </c>
      <c r="Q15219" s="37" t="str">
        <f>IF(P15219&gt;500,"High","low")</f>
        <v>low</v>
      </c>
      <c r="R15219" s="37" t="str">
        <f t="shared" si="1189"/>
        <v>AVERAGE</v>
      </c>
      <c r="S15219" t="s">
        <v>600</v>
      </c>
    </row>
    <row r="15220" spans="1:19" x14ac:dyDescent="0.2">
      <c r="A15220" t="s">
        <v>15831</v>
      </c>
      <c r="B15220" t="s">
        <v>90</v>
      </c>
      <c r="C15220" t="s">
        <v>602</v>
      </c>
      <c r="D15220">
        <v>1928.55</v>
      </c>
      <c r="E15220" s="37" t="str">
        <f t="shared" si="1185"/>
        <v xml:space="preserve"> </v>
      </c>
      <c r="F15220">
        <v>0.18</v>
      </c>
      <c r="G15220" s="37" t="str">
        <f t="shared" si="1186"/>
        <v>Normal Discount</v>
      </c>
      <c r="H15220" s="37" t="str">
        <f t="shared" si="1187"/>
        <v>Low</v>
      </c>
      <c r="I15220">
        <v>3</v>
      </c>
      <c r="J15220" t="str" cm="1">
        <f t="array" ref="J15220">_xlfn.IFS(I15220&lt;=3,"small",I15220&lt;=6,"Medium",I15220&lt;=9,"Large")</f>
        <v>small</v>
      </c>
      <c r="K15220" s="36">
        <v>45099</v>
      </c>
      <c r="L15220" s="36">
        <v>45104</v>
      </c>
      <c r="M15220" t="s">
        <v>603</v>
      </c>
      <c r="N15220" t="s">
        <v>608</v>
      </c>
      <c r="O15220" s="37" t="str">
        <f t="shared" si="1188"/>
        <v>Cash Payment</v>
      </c>
      <c r="P15220">
        <v>311.64999999999998</v>
      </c>
      <c r="Q15220" s="37" t="str">
        <f>IF(P15220&gt;500,"High","low")</f>
        <v>low</v>
      </c>
      <c r="R15220" s="37" t="str">
        <f t="shared" si="1189"/>
        <v>AVERAGE</v>
      </c>
      <c r="S15220" t="s">
        <v>609</v>
      </c>
    </row>
    <row r="15221" spans="1:19" x14ac:dyDescent="0.2">
      <c r="A15221" t="s">
        <v>15832</v>
      </c>
      <c r="B15221" t="s">
        <v>83</v>
      </c>
      <c r="C15221" t="s">
        <v>614</v>
      </c>
      <c r="D15221">
        <v>2073.12</v>
      </c>
      <c r="E15221" s="37" t="str">
        <f t="shared" si="1185"/>
        <v xml:space="preserve"> </v>
      </c>
      <c r="F15221">
        <v>0.36</v>
      </c>
      <c r="G15221" s="37" t="str">
        <f t="shared" si="1186"/>
        <v>Heavy Discount</v>
      </c>
      <c r="H15221" s="37" t="str">
        <f t="shared" si="1187"/>
        <v>Medium</v>
      </c>
      <c r="I15221">
        <v>4</v>
      </c>
      <c r="J15221" t="str" cm="1">
        <f t="array" ref="J15221">_xlfn.IFS(I15221&lt;=3,"small",I15221&lt;=6,"Medium",I15221&lt;=9,"Large")</f>
        <v>Medium</v>
      </c>
      <c r="K15221" s="36">
        <v>45055</v>
      </c>
      <c r="L15221" s="36">
        <v>45060</v>
      </c>
      <c r="M15221" t="s">
        <v>598</v>
      </c>
      <c r="N15221" t="s">
        <v>608</v>
      </c>
      <c r="O15221" s="37" t="str">
        <f t="shared" si="1188"/>
        <v>Cash Payment</v>
      </c>
      <c r="P15221">
        <v>231.69</v>
      </c>
      <c r="Q15221" s="37" t="str">
        <f>IF(P15221&gt;500,"High","low")</f>
        <v>low</v>
      </c>
      <c r="R15221" s="37" t="str">
        <f t="shared" si="1189"/>
        <v>AVERAGE</v>
      </c>
      <c r="S15221" t="s">
        <v>628</v>
      </c>
    </row>
    <row r="15222" spans="1:19" x14ac:dyDescent="0.2">
      <c r="A15222" t="s">
        <v>15833</v>
      </c>
      <c r="B15222" t="s">
        <v>90</v>
      </c>
      <c r="C15222" t="s">
        <v>602</v>
      </c>
      <c r="D15222">
        <v>4205.1099999999997</v>
      </c>
      <c r="E15222" s="37" t="str">
        <f t="shared" si="1185"/>
        <v xml:space="preserve"> </v>
      </c>
      <c r="F15222">
        <v>0.4</v>
      </c>
      <c r="G15222" s="37" t="str">
        <f t="shared" si="1186"/>
        <v>Heavy Discount</v>
      </c>
      <c r="H15222" s="37" t="str">
        <f t="shared" si="1187"/>
        <v>Medium</v>
      </c>
      <c r="I15222">
        <v>8</v>
      </c>
      <c r="J15222" t="str" cm="1">
        <f t="array" ref="J15222">_xlfn.IFS(I15222&lt;=3,"small",I15222&lt;=6,"Medium",I15222&lt;=9,"Large")</f>
        <v>Large</v>
      </c>
      <c r="K15222" s="36">
        <v>45172</v>
      </c>
      <c r="L15222" s="36">
        <v>45174</v>
      </c>
      <c r="M15222" t="s">
        <v>612</v>
      </c>
      <c r="N15222" t="s">
        <v>608</v>
      </c>
      <c r="O15222" s="37" t="str">
        <f t="shared" si="1188"/>
        <v>Cash Payment</v>
      </c>
      <c r="P15222">
        <v>314.14999999999998</v>
      </c>
      <c r="Q15222" s="37" t="str">
        <f>IF(P15222&gt;500,"High","low")</f>
        <v>low</v>
      </c>
      <c r="R15222" s="37" t="str">
        <f t="shared" si="1189"/>
        <v>AVERAGE</v>
      </c>
      <c r="S15222" t="s">
        <v>628</v>
      </c>
    </row>
    <row r="15223" spans="1:19" x14ac:dyDescent="0.2">
      <c r="A15223" t="s">
        <v>15834</v>
      </c>
      <c r="B15223" t="s">
        <v>75</v>
      </c>
      <c r="C15223" t="s">
        <v>602</v>
      </c>
      <c r="D15223">
        <v>231.22</v>
      </c>
      <c r="E15223" s="37" t="str">
        <f t="shared" si="1185"/>
        <v xml:space="preserve"> </v>
      </c>
      <c r="F15223">
        <v>0.11</v>
      </c>
      <c r="G15223" s="37" t="str">
        <f t="shared" si="1186"/>
        <v>Normal Discount</v>
      </c>
      <c r="H15223" s="37" t="str">
        <f t="shared" si="1187"/>
        <v>Low</v>
      </c>
      <c r="I15223">
        <v>5</v>
      </c>
      <c r="J15223" t="str" cm="1">
        <f t="array" ref="J15223">_xlfn.IFS(I15223&lt;=3,"small",I15223&lt;=6,"Medium",I15223&lt;=9,"Large")</f>
        <v>Medium</v>
      </c>
      <c r="K15223" s="36">
        <v>45447</v>
      </c>
      <c r="L15223" s="36">
        <v>45453</v>
      </c>
      <c r="M15223" t="s">
        <v>612</v>
      </c>
      <c r="N15223" t="s">
        <v>608</v>
      </c>
      <c r="O15223" s="37" t="str">
        <f t="shared" si="1188"/>
        <v>Cash Payment</v>
      </c>
      <c r="P15223">
        <v>62.6</v>
      </c>
      <c r="Q15223" s="37" t="str">
        <f>IF(P15223&gt;500,"High","low")</f>
        <v>low</v>
      </c>
      <c r="R15223" s="37" t="str">
        <f t="shared" si="1189"/>
        <v>AVERAGE</v>
      </c>
      <c r="S15223" t="s">
        <v>628</v>
      </c>
    </row>
    <row r="15224" spans="1:19" x14ac:dyDescent="0.2">
      <c r="A15224" t="s">
        <v>15835</v>
      </c>
      <c r="B15224" t="s">
        <v>90</v>
      </c>
      <c r="C15224" t="s">
        <v>597</v>
      </c>
      <c r="D15224">
        <v>155.56</v>
      </c>
      <c r="E15224" s="37" t="str">
        <f t="shared" si="1185"/>
        <v xml:space="preserve"> </v>
      </c>
      <c r="F15224">
        <v>0.15</v>
      </c>
      <c r="G15224" s="37" t="str">
        <f t="shared" si="1186"/>
        <v>Normal Discount</v>
      </c>
      <c r="H15224" s="37" t="str">
        <f t="shared" si="1187"/>
        <v>Low</v>
      </c>
      <c r="I15224">
        <v>5</v>
      </c>
      <c r="J15224" t="str" cm="1">
        <f t="array" ref="J15224">_xlfn.IFS(I15224&lt;=3,"small",I15224&lt;=6,"Medium",I15224&lt;=9,"Large")</f>
        <v>Medium</v>
      </c>
      <c r="K15224" s="36">
        <v>45222</v>
      </c>
      <c r="L15224" s="36">
        <v>45225</v>
      </c>
      <c r="M15224" t="s">
        <v>612</v>
      </c>
      <c r="N15224" t="s">
        <v>608</v>
      </c>
      <c r="O15224" s="37" t="str">
        <f t="shared" si="1188"/>
        <v>Cash Payment</v>
      </c>
      <c r="P15224">
        <v>9.1</v>
      </c>
      <c r="Q15224" s="37" t="str">
        <f>IF(P15224&gt;500,"High","low")</f>
        <v>low</v>
      </c>
      <c r="R15224" s="37" t="str">
        <f t="shared" si="1189"/>
        <v>AVERAGE</v>
      </c>
      <c r="S15224" t="s">
        <v>615</v>
      </c>
    </row>
    <row r="15225" spans="1:19" x14ac:dyDescent="0.2">
      <c r="A15225" t="s">
        <v>15836</v>
      </c>
      <c r="B15225" t="s">
        <v>67</v>
      </c>
      <c r="C15225" t="s">
        <v>607</v>
      </c>
      <c r="D15225">
        <v>325.82</v>
      </c>
      <c r="E15225" s="37" t="str">
        <f t="shared" si="1185"/>
        <v xml:space="preserve"> </v>
      </c>
      <c r="F15225">
        <v>0.2</v>
      </c>
      <c r="G15225" s="37" t="str">
        <f t="shared" si="1186"/>
        <v>Normal Discount</v>
      </c>
      <c r="H15225" s="37" t="str">
        <f t="shared" si="1187"/>
        <v>Medium</v>
      </c>
      <c r="I15225">
        <v>8</v>
      </c>
      <c r="J15225" t="str" cm="1">
        <f t="array" ref="J15225">_xlfn.IFS(I15225&lt;=3,"small",I15225&lt;=6,"Medium",I15225&lt;=9,"Large")</f>
        <v>Large</v>
      </c>
      <c r="K15225" s="36">
        <v>45082</v>
      </c>
      <c r="L15225" s="36">
        <v>45087</v>
      </c>
      <c r="M15225" t="s">
        <v>603</v>
      </c>
      <c r="N15225" t="s">
        <v>599</v>
      </c>
      <c r="O15225" s="37" t="str">
        <f t="shared" si="1188"/>
        <v>Digital Payment</v>
      </c>
      <c r="P15225">
        <v>43.46</v>
      </c>
      <c r="Q15225" s="37" t="str">
        <f>IF(P15225&gt;500,"High","low")</f>
        <v>low</v>
      </c>
      <c r="R15225" s="37" t="str">
        <f t="shared" si="1189"/>
        <v>AVERAGE</v>
      </c>
      <c r="S15225" t="s">
        <v>605</v>
      </c>
    </row>
    <row r="15226" spans="1:19" x14ac:dyDescent="0.2">
      <c r="A15226" t="s">
        <v>15837</v>
      </c>
      <c r="B15226" t="s">
        <v>75</v>
      </c>
      <c r="C15226" t="s">
        <v>597</v>
      </c>
      <c r="D15226">
        <v>2399.1</v>
      </c>
      <c r="E15226" s="37" t="str">
        <f t="shared" si="1185"/>
        <v xml:space="preserve"> </v>
      </c>
      <c r="F15226">
        <v>0.12</v>
      </c>
      <c r="G15226" s="37" t="str">
        <f t="shared" si="1186"/>
        <v>Normal Discount</v>
      </c>
      <c r="H15226" s="37" t="str">
        <f t="shared" si="1187"/>
        <v>Low</v>
      </c>
      <c r="I15226">
        <v>4</v>
      </c>
      <c r="J15226" t="str" cm="1">
        <f t="array" ref="J15226">_xlfn.IFS(I15226&lt;=3,"small",I15226&lt;=6,"Medium",I15226&lt;=9,"Large")</f>
        <v>Medium</v>
      </c>
      <c r="K15226" s="36">
        <v>45535</v>
      </c>
      <c r="L15226" s="36">
        <v>45536</v>
      </c>
      <c r="M15226" t="s">
        <v>612</v>
      </c>
      <c r="N15226" t="s">
        <v>608</v>
      </c>
      <c r="O15226" s="37" t="str">
        <f t="shared" si="1188"/>
        <v>Cash Payment</v>
      </c>
      <c r="P15226">
        <v>583.35</v>
      </c>
      <c r="Q15226" s="37" t="str">
        <f>IF(P15226&gt;500,"High","low")</f>
        <v>High</v>
      </c>
      <c r="R15226" s="37" t="str">
        <f t="shared" si="1189"/>
        <v>Good</v>
      </c>
      <c r="S15226" t="s">
        <v>620</v>
      </c>
    </row>
    <row r="15227" spans="1:19" x14ac:dyDescent="0.2">
      <c r="A15227" t="s">
        <v>15838</v>
      </c>
      <c r="B15227" t="s">
        <v>67</v>
      </c>
      <c r="C15227" t="s">
        <v>597</v>
      </c>
      <c r="D15227">
        <v>2948.12</v>
      </c>
      <c r="E15227" s="37" t="str">
        <f t="shared" si="1185"/>
        <v xml:space="preserve"> </v>
      </c>
      <c r="F15227">
        <v>0.39</v>
      </c>
      <c r="G15227" s="37" t="str">
        <f t="shared" si="1186"/>
        <v>Heavy Discount</v>
      </c>
      <c r="H15227" s="37" t="str">
        <f t="shared" si="1187"/>
        <v>Medium</v>
      </c>
      <c r="I15227">
        <v>8</v>
      </c>
      <c r="J15227" t="str" cm="1">
        <f t="array" ref="J15227">_xlfn.IFS(I15227&lt;=3,"small",I15227&lt;=6,"Medium",I15227&lt;=9,"Large")</f>
        <v>Large</v>
      </c>
      <c r="K15227" s="36">
        <v>45278</v>
      </c>
      <c r="L15227" s="36">
        <v>45280</v>
      </c>
      <c r="M15227" t="s">
        <v>612</v>
      </c>
      <c r="N15227" t="s">
        <v>608</v>
      </c>
      <c r="O15227" s="37" t="str">
        <f t="shared" si="1188"/>
        <v>Cash Payment</v>
      </c>
      <c r="P15227">
        <v>177.09</v>
      </c>
      <c r="Q15227" s="37" t="str">
        <f>IF(P15227&gt;500,"High","low")</f>
        <v>low</v>
      </c>
      <c r="R15227" s="37" t="str">
        <f t="shared" si="1189"/>
        <v>AVERAGE</v>
      </c>
      <c r="S15227" t="s">
        <v>605</v>
      </c>
    </row>
    <row r="15228" spans="1:19" x14ac:dyDescent="0.2">
      <c r="A15228" t="s">
        <v>15839</v>
      </c>
      <c r="B15228" t="s">
        <v>83</v>
      </c>
      <c r="C15228" t="s">
        <v>607</v>
      </c>
      <c r="D15228">
        <v>3159.9</v>
      </c>
      <c r="E15228" s="37" t="str">
        <f t="shared" si="1185"/>
        <v xml:space="preserve"> </v>
      </c>
      <c r="F15228">
        <v>0.28999999999999998</v>
      </c>
      <c r="G15228" s="37" t="str">
        <f t="shared" si="1186"/>
        <v>Normal Discount</v>
      </c>
      <c r="H15228" s="37" t="str">
        <f t="shared" si="1187"/>
        <v>Medium</v>
      </c>
      <c r="I15228">
        <v>5</v>
      </c>
      <c r="J15228" t="str" cm="1">
        <f t="array" ref="J15228">_xlfn.IFS(I15228&lt;=3,"small",I15228&lt;=6,"Medium",I15228&lt;=9,"Large")</f>
        <v>Medium</v>
      </c>
      <c r="K15228" s="36">
        <v>45574</v>
      </c>
      <c r="L15228" s="36">
        <v>45581</v>
      </c>
      <c r="M15228" t="s">
        <v>603</v>
      </c>
      <c r="N15228" t="s">
        <v>608</v>
      </c>
      <c r="O15228" s="37" t="str">
        <f t="shared" si="1188"/>
        <v>Cash Payment</v>
      </c>
      <c r="P15228">
        <v>332.66</v>
      </c>
      <c r="Q15228" s="37" t="str">
        <f>IF(P15228&gt;500,"High","low")</f>
        <v>low</v>
      </c>
      <c r="R15228" s="37" t="str">
        <f t="shared" si="1189"/>
        <v>AVERAGE</v>
      </c>
      <c r="S15228" t="s">
        <v>609</v>
      </c>
    </row>
    <row r="15229" spans="1:19" x14ac:dyDescent="0.2">
      <c r="A15229" t="s">
        <v>15840</v>
      </c>
      <c r="B15229" t="s">
        <v>83</v>
      </c>
      <c r="C15229" t="s">
        <v>597</v>
      </c>
      <c r="D15229">
        <v>3682.57</v>
      </c>
      <c r="E15229" s="37" t="str">
        <f t="shared" si="1185"/>
        <v xml:space="preserve"> </v>
      </c>
      <c r="F15229">
        <v>0.19</v>
      </c>
      <c r="G15229" s="37" t="str">
        <f t="shared" si="1186"/>
        <v>Normal Discount</v>
      </c>
      <c r="H15229" s="37" t="str">
        <f t="shared" si="1187"/>
        <v>Low</v>
      </c>
      <c r="I15229">
        <v>6</v>
      </c>
      <c r="J15229" t="str" cm="1">
        <f t="array" ref="J15229">_xlfn.IFS(I15229&lt;=3,"small",I15229&lt;=6,"Medium",I15229&lt;=9,"Large")</f>
        <v>Medium</v>
      </c>
      <c r="K15229" s="36">
        <v>45219</v>
      </c>
      <c r="L15229" s="36">
        <v>45221</v>
      </c>
      <c r="M15229" t="s">
        <v>612</v>
      </c>
      <c r="N15229" t="s">
        <v>599</v>
      </c>
      <c r="O15229" s="37" t="str">
        <f t="shared" si="1188"/>
        <v>Digital Payment</v>
      </c>
      <c r="P15229">
        <v>758.84</v>
      </c>
      <c r="Q15229" s="37" t="str">
        <f>IF(P15229&gt;500,"High","low")</f>
        <v>High</v>
      </c>
      <c r="R15229" s="37" t="str">
        <f t="shared" si="1189"/>
        <v>Good</v>
      </c>
      <c r="S15229" t="s">
        <v>605</v>
      </c>
    </row>
    <row r="15230" spans="1:19" x14ac:dyDescent="0.2">
      <c r="A15230" t="s">
        <v>15841</v>
      </c>
      <c r="B15230" t="s">
        <v>90</v>
      </c>
      <c r="C15230" t="s">
        <v>607</v>
      </c>
      <c r="D15230">
        <v>1029.6500000000001</v>
      </c>
      <c r="E15230" s="37" t="str">
        <f t="shared" si="1185"/>
        <v xml:space="preserve"> </v>
      </c>
      <c r="F15230">
        <v>0.01</v>
      </c>
      <c r="G15230" s="37" t="str">
        <f t="shared" si="1186"/>
        <v>Normal Discount</v>
      </c>
      <c r="H15230" s="37" t="str">
        <f t="shared" si="1187"/>
        <v>Low</v>
      </c>
      <c r="I15230">
        <v>1</v>
      </c>
      <c r="J15230" t="str" cm="1">
        <f t="array" ref="J15230">_xlfn.IFS(I15230&lt;=3,"small",I15230&lt;=6,"Medium",I15230&lt;=9,"Large")</f>
        <v>small</v>
      </c>
      <c r="K15230" s="36">
        <v>45648</v>
      </c>
      <c r="L15230" s="36">
        <v>45655</v>
      </c>
      <c r="M15230" t="s">
        <v>598</v>
      </c>
      <c r="N15230" t="s">
        <v>604</v>
      </c>
      <c r="O15230" s="37" t="str">
        <f t="shared" si="1188"/>
        <v>Digital Payment</v>
      </c>
      <c r="P15230">
        <v>171.71</v>
      </c>
      <c r="Q15230" s="37" t="str">
        <f>IF(P15230&gt;500,"High","low")</f>
        <v>low</v>
      </c>
      <c r="R15230" s="37" t="str">
        <f t="shared" si="1189"/>
        <v>AVERAGE</v>
      </c>
      <c r="S15230" t="s">
        <v>600</v>
      </c>
    </row>
    <row r="15231" spans="1:19" x14ac:dyDescent="0.2">
      <c r="A15231" t="s">
        <v>15842</v>
      </c>
      <c r="B15231" t="s">
        <v>67</v>
      </c>
      <c r="C15231" t="s">
        <v>614</v>
      </c>
      <c r="D15231">
        <v>1385.19</v>
      </c>
      <c r="E15231" s="37" t="str">
        <f t="shared" si="1185"/>
        <v xml:space="preserve"> </v>
      </c>
      <c r="F15231">
        <v>0.16</v>
      </c>
      <c r="G15231" s="37" t="str">
        <f t="shared" si="1186"/>
        <v>Normal Discount</v>
      </c>
      <c r="H15231" s="37" t="str">
        <f t="shared" si="1187"/>
        <v>Low</v>
      </c>
      <c r="I15231">
        <v>9</v>
      </c>
      <c r="J15231" t="str" cm="1">
        <f t="array" ref="J15231">_xlfn.IFS(I15231&lt;=3,"small",I15231&lt;=6,"Medium",I15231&lt;=9,"Large")</f>
        <v>Large</v>
      </c>
      <c r="K15231" s="36">
        <v>45381</v>
      </c>
      <c r="L15231" s="36">
        <v>45384</v>
      </c>
      <c r="M15231" t="s">
        <v>598</v>
      </c>
      <c r="N15231" t="s">
        <v>608</v>
      </c>
      <c r="O15231" s="37" t="str">
        <f t="shared" si="1188"/>
        <v>Cash Payment</v>
      </c>
      <c r="P15231">
        <v>99.64</v>
      </c>
      <c r="Q15231" s="37" t="str">
        <f>IF(P15231&gt;500,"High","low")</f>
        <v>low</v>
      </c>
      <c r="R15231" s="37" t="str">
        <f t="shared" si="1189"/>
        <v>AVERAGE</v>
      </c>
      <c r="S15231" t="s">
        <v>620</v>
      </c>
    </row>
    <row r="15232" spans="1:19" x14ac:dyDescent="0.2">
      <c r="A15232" t="s">
        <v>15843</v>
      </c>
      <c r="B15232" t="s">
        <v>67</v>
      </c>
      <c r="C15232" t="s">
        <v>607</v>
      </c>
      <c r="D15232">
        <v>1293.18</v>
      </c>
      <c r="E15232" s="37" t="str">
        <f t="shared" si="1185"/>
        <v xml:space="preserve"> </v>
      </c>
      <c r="F15232">
        <v>0.42</v>
      </c>
      <c r="G15232" s="37" t="str">
        <f t="shared" si="1186"/>
        <v>Heavy Discount</v>
      </c>
      <c r="H15232" s="37" t="str">
        <f t="shared" si="1187"/>
        <v>High</v>
      </c>
      <c r="I15232">
        <v>4</v>
      </c>
      <c r="J15232" t="str" cm="1">
        <f t="array" ref="J15232">_xlfn.IFS(I15232&lt;=3,"small",I15232&lt;=6,"Medium",I15232&lt;=9,"Large")</f>
        <v>Medium</v>
      </c>
      <c r="K15232" s="36">
        <v>45200</v>
      </c>
      <c r="L15232" s="36">
        <v>45203</v>
      </c>
      <c r="M15232" t="s">
        <v>598</v>
      </c>
      <c r="N15232" t="s">
        <v>599</v>
      </c>
      <c r="O15232" s="37" t="str">
        <f t="shared" si="1188"/>
        <v>Digital Payment</v>
      </c>
      <c r="P15232">
        <v>194.49</v>
      </c>
      <c r="Q15232" s="37" t="str">
        <f>IF(P15232&gt;500,"High","low")</f>
        <v>low</v>
      </c>
      <c r="R15232" s="37" t="str">
        <f t="shared" si="1189"/>
        <v>AVERAGE</v>
      </c>
      <c r="S15232" t="s">
        <v>605</v>
      </c>
    </row>
    <row r="15233" spans="1:19" x14ac:dyDescent="0.2">
      <c r="A15233" t="s">
        <v>15844</v>
      </c>
      <c r="B15233" t="s">
        <v>75</v>
      </c>
      <c r="C15233" t="s">
        <v>617</v>
      </c>
      <c r="D15233">
        <v>830.94</v>
      </c>
      <c r="E15233" s="37" t="str">
        <f t="shared" si="1185"/>
        <v xml:space="preserve"> </v>
      </c>
      <c r="F15233">
        <v>0.37</v>
      </c>
      <c r="G15233" s="37" t="str">
        <f t="shared" si="1186"/>
        <v>Heavy Discount</v>
      </c>
      <c r="H15233" s="37" t="str">
        <f t="shared" si="1187"/>
        <v>Medium</v>
      </c>
      <c r="I15233">
        <v>1</v>
      </c>
      <c r="J15233" t="str" cm="1">
        <f t="array" ref="J15233">_xlfn.IFS(I15233&lt;=3,"small",I15233&lt;=6,"Medium",I15233&lt;=9,"Large")</f>
        <v>small</v>
      </c>
      <c r="K15233" s="36">
        <v>45038</v>
      </c>
      <c r="L15233" s="36">
        <v>45043</v>
      </c>
      <c r="M15233" t="s">
        <v>603</v>
      </c>
      <c r="N15233" t="s">
        <v>604</v>
      </c>
      <c r="O15233" s="37" t="str">
        <f t="shared" si="1188"/>
        <v>Digital Payment</v>
      </c>
      <c r="P15233">
        <v>105.15</v>
      </c>
      <c r="Q15233" s="37" t="str">
        <f>IF(P15233&gt;500,"High","low")</f>
        <v>low</v>
      </c>
      <c r="R15233" s="37" t="str">
        <f t="shared" si="1189"/>
        <v>AVERAGE</v>
      </c>
      <c r="S15233" t="s">
        <v>615</v>
      </c>
    </row>
    <row r="15234" spans="1:19" x14ac:dyDescent="0.2">
      <c r="A15234" t="s">
        <v>15845</v>
      </c>
      <c r="B15234" t="s">
        <v>67</v>
      </c>
      <c r="C15234" t="s">
        <v>607</v>
      </c>
      <c r="D15234">
        <v>1297.54</v>
      </c>
      <c r="E15234" s="37" t="str">
        <f t="shared" si="1185"/>
        <v xml:space="preserve"> </v>
      </c>
      <c r="F15234">
        <v>0.03</v>
      </c>
      <c r="G15234" s="37" t="str">
        <f t="shared" si="1186"/>
        <v>Normal Discount</v>
      </c>
      <c r="H15234" s="37" t="str">
        <f t="shared" si="1187"/>
        <v>Low</v>
      </c>
      <c r="I15234">
        <v>7</v>
      </c>
      <c r="J15234" t="str" cm="1">
        <f t="array" ref="J15234">_xlfn.IFS(I15234&lt;=3,"small",I15234&lt;=6,"Medium",I15234&lt;=9,"Large")</f>
        <v>Large</v>
      </c>
      <c r="K15234" s="36">
        <v>45642</v>
      </c>
      <c r="L15234" s="36">
        <v>45644</v>
      </c>
      <c r="M15234" t="s">
        <v>603</v>
      </c>
      <c r="N15234" t="s">
        <v>599</v>
      </c>
      <c r="O15234" s="37" t="str">
        <f t="shared" si="1188"/>
        <v>Digital Payment</v>
      </c>
      <c r="P15234">
        <v>291.66000000000003</v>
      </c>
      <c r="Q15234" s="37" t="str">
        <f>IF(P15234&gt;500,"High","low")</f>
        <v>low</v>
      </c>
      <c r="R15234" s="37" t="str">
        <f t="shared" si="1189"/>
        <v>AVERAGE</v>
      </c>
      <c r="S15234" t="s">
        <v>620</v>
      </c>
    </row>
    <row r="15235" spans="1:19" x14ac:dyDescent="0.2">
      <c r="A15235" t="s">
        <v>15846</v>
      </c>
      <c r="B15235" t="s">
        <v>67</v>
      </c>
      <c r="C15235" t="s">
        <v>607</v>
      </c>
      <c r="D15235">
        <v>3106.9</v>
      </c>
      <c r="E15235" s="37" t="str">
        <f t="shared" ref="E15235:E15298" si="1190">IF(AND(D15235&gt;4000,P15235&gt;800),"Excellent Order"," ")</f>
        <v xml:space="preserve"> </v>
      </c>
      <c r="F15235">
        <v>0.4</v>
      </c>
      <c r="G15235" s="37" t="str">
        <f t="shared" ref="G15235:G15298" si="1191">IF(F15235&gt;30%,"Heavy Discount","Normal Discount")</f>
        <v>Heavy Discount</v>
      </c>
      <c r="H15235" s="37" t="str">
        <f t="shared" ref="H15235:H15298" si="1192">IF(F15235&gt;0.4,"High",IF(F15235&gt;=0.2,"Medium","Low"))</f>
        <v>Medium</v>
      </c>
      <c r="I15235">
        <v>4</v>
      </c>
      <c r="J15235" t="str" cm="1">
        <f t="array" ref="J15235">_xlfn.IFS(I15235&lt;=3,"small",I15235&lt;=6,"Medium",I15235&lt;=9,"Large")</f>
        <v>Medium</v>
      </c>
      <c r="K15235" s="36">
        <v>45378</v>
      </c>
      <c r="L15235" s="36">
        <v>45381</v>
      </c>
      <c r="M15235" t="s">
        <v>598</v>
      </c>
      <c r="N15235" t="s">
        <v>604</v>
      </c>
      <c r="O15235" s="37" t="str">
        <f t="shared" ref="O15235:O15298" si="1193">IF(OR(N15235="Card",N15235="UPI"),"Digital Payment","Cash Payment")</f>
        <v>Digital Payment</v>
      </c>
      <c r="P15235">
        <v>589.36</v>
      </c>
      <c r="Q15235" s="37" t="str">
        <f>IF(P15235&gt;500,"High","low")</f>
        <v>High</v>
      </c>
      <c r="R15235" s="37" t="str">
        <f t="shared" ref="R15235:R15298" si="1194">IF(P15235&gt;1000,"Excellent",IF(P15235&gt;=500,"Good","AVERAGE"))</f>
        <v>Good</v>
      </c>
      <c r="S15235" t="s">
        <v>615</v>
      </c>
    </row>
    <row r="15236" spans="1:19" x14ac:dyDescent="0.2">
      <c r="A15236" t="s">
        <v>15847</v>
      </c>
      <c r="B15236" t="s">
        <v>75</v>
      </c>
      <c r="C15236" t="s">
        <v>617</v>
      </c>
      <c r="D15236">
        <v>1895.42</v>
      </c>
      <c r="E15236" s="37" t="str">
        <f t="shared" si="1190"/>
        <v xml:space="preserve"> </v>
      </c>
      <c r="F15236">
        <v>0.09</v>
      </c>
      <c r="G15236" s="37" t="str">
        <f t="shared" si="1191"/>
        <v>Normal Discount</v>
      </c>
      <c r="H15236" s="37" t="str">
        <f t="shared" si="1192"/>
        <v>Low</v>
      </c>
      <c r="I15236">
        <v>5</v>
      </c>
      <c r="J15236" t="str" cm="1">
        <f t="array" ref="J15236">_xlfn.IFS(I15236&lt;=3,"small",I15236&lt;=6,"Medium",I15236&lt;=9,"Large")</f>
        <v>Medium</v>
      </c>
      <c r="K15236" s="36">
        <v>45003</v>
      </c>
      <c r="L15236" s="36">
        <v>45005</v>
      </c>
      <c r="M15236" t="s">
        <v>612</v>
      </c>
      <c r="N15236" t="s">
        <v>599</v>
      </c>
      <c r="O15236" s="37" t="str">
        <f t="shared" si="1193"/>
        <v>Digital Payment</v>
      </c>
      <c r="P15236">
        <v>345.08</v>
      </c>
      <c r="Q15236" s="37" t="str">
        <f>IF(P15236&gt;500,"High","low")</f>
        <v>low</v>
      </c>
      <c r="R15236" s="37" t="str">
        <f t="shared" si="1194"/>
        <v>AVERAGE</v>
      </c>
      <c r="S15236" t="s">
        <v>615</v>
      </c>
    </row>
    <row r="15237" spans="1:19" x14ac:dyDescent="0.2">
      <c r="A15237" t="s">
        <v>15848</v>
      </c>
      <c r="B15237" t="s">
        <v>75</v>
      </c>
      <c r="C15237" t="s">
        <v>607</v>
      </c>
      <c r="D15237">
        <v>3862.77</v>
      </c>
      <c r="E15237" s="37" t="str">
        <f t="shared" si="1190"/>
        <v xml:space="preserve"> </v>
      </c>
      <c r="F15237">
        <v>0.49</v>
      </c>
      <c r="G15237" s="37" t="str">
        <f t="shared" si="1191"/>
        <v>Heavy Discount</v>
      </c>
      <c r="H15237" s="37" t="str">
        <f t="shared" si="1192"/>
        <v>High</v>
      </c>
      <c r="I15237">
        <v>7</v>
      </c>
      <c r="J15237" t="str" cm="1">
        <f t="array" ref="J15237">_xlfn.IFS(I15237&lt;=3,"small",I15237&lt;=6,"Medium",I15237&lt;=9,"Large")</f>
        <v>Large</v>
      </c>
      <c r="K15237" s="36">
        <v>45513</v>
      </c>
      <c r="L15237" s="36">
        <v>45520</v>
      </c>
      <c r="M15237" t="s">
        <v>603</v>
      </c>
      <c r="N15237" t="s">
        <v>608</v>
      </c>
      <c r="O15237" s="37" t="str">
        <f t="shared" si="1193"/>
        <v>Cash Payment</v>
      </c>
      <c r="P15237">
        <v>927.17</v>
      </c>
      <c r="Q15237" s="37" t="str">
        <f>IF(P15237&gt;500,"High","low")</f>
        <v>High</v>
      </c>
      <c r="R15237" s="37" t="str">
        <f t="shared" si="1194"/>
        <v>Good</v>
      </c>
      <c r="S15237" t="s">
        <v>620</v>
      </c>
    </row>
    <row r="15238" spans="1:19" x14ac:dyDescent="0.2">
      <c r="A15238" t="s">
        <v>15849</v>
      </c>
      <c r="B15238" t="s">
        <v>67</v>
      </c>
      <c r="C15238" t="s">
        <v>602</v>
      </c>
      <c r="D15238">
        <v>2728.45</v>
      </c>
      <c r="E15238" s="37" t="str">
        <f t="shared" si="1190"/>
        <v xml:space="preserve"> </v>
      </c>
      <c r="F15238">
        <v>0.43</v>
      </c>
      <c r="G15238" s="37" t="str">
        <f t="shared" si="1191"/>
        <v>Heavy Discount</v>
      </c>
      <c r="H15238" s="37" t="str">
        <f t="shared" si="1192"/>
        <v>High</v>
      </c>
      <c r="I15238">
        <v>7</v>
      </c>
      <c r="J15238" t="str" cm="1">
        <f t="array" ref="J15238">_xlfn.IFS(I15238&lt;=3,"small",I15238&lt;=6,"Medium",I15238&lt;=9,"Large")</f>
        <v>Large</v>
      </c>
      <c r="K15238" s="36">
        <v>45006</v>
      </c>
      <c r="L15238" s="36">
        <v>45007</v>
      </c>
      <c r="M15238" t="s">
        <v>598</v>
      </c>
      <c r="N15238" t="s">
        <v>604</v>
      </c>
      <c r="O15238" s="37" t="str">
        <f t="shared" si="1193"/>
        <v>Digital Payment</v>
      </c>
      <c r="P15238">
        <v>280.64999999999998</v>
      </c>
      <c r="Q15238" s="37" t="str">
        <f>IF(P15238&gt;500,"High","low")</f>
        <v>low</v>
      </c>
      <c r="R15238" s="37" t="str">
        <f t="shared" si="1194"/>
        <v>AVERAGE</v>
      </c>
      <c r="S15238" t="s">
        <v>609</v>
      </c>
    </row>
    <row r="15239" spans="1:19" x14ac:dyDescent="0.2">
      <c r="A15239" t="s">
        <v>15850</v>
      </c>
      <c r="B15239" t="s">
        <v>90</v>
      </c>
      <c r="C15239" t="s">
        <v>597</v>
      </c>
      <c r="D15239">
        <v>1138.99</v>
      </c>
      <c r="E15239" s="37" t="str">
        <f t="shared" si="1190"/>
        <v xml:space="preserve"> </v>
      </c>
      <c r="F15239">
        <v>0.46</v>
      </c>
      <c r="G15239" s="37" t="str">
        <f t="shared" si="1191"/>
        <v>Heavy Discount</v>
      </c>
      <c r="H15239" s="37" t="str">
        <f t="shared" si="1192"/>
        <v>High</v>
      </c>
      <c r="I15239">
        <v>9</v>
      </c>
      <c r="J15239" t="str" cm="1">
        <f t="array" ref="J15239">_xlfn.IFS(I15239&lt;=3,"small",I15239&lt;=6,"Medium",I15239&lt;=9,"Large")</f>
        <v>Large</v>
      </c>
      <c r="K15239" s="36">
        <v>45482</v>
      </c>
      <c r="L15239" s="36">
        <v>45484</v>
      </c>
      <c r="M15239" t="s">
        <v>612</v>
      </c>
      <c r="N15239" t="s">
        <v>599</v>
      </c>
      <c r="O15239" s="37" t="str">
        <f t="shared" si="1193"/>
        <v>Digital Payment</v>
      </c>
      <c r="P15239">
        <v>233.6</v>
      </c>
      <c r="Q15239" s="37" t="str">
        <f>IF(P15239&gt;500,"High","low")</f>
        <v>low</v>
      </c>
      <c r="R15239" s="37" t="str">
        <f t="shared" si="1194"/>
        <v>AVERAGE</v>
      </c>
      <c r="S15239" t="s">
        <v>615</v>
      </c>
    </row>
    <row r="15240" spans="1:19" x14ac:dyDescent="0.2">
      <c r="A15240" t="s">
        <v>15851</v>
      </c>
      <c r="B15240" t="s">
        <v>75</v>
      </c>
      <c r="C15240" t="s">
        <v>597</v>
      </c>
      <c r="D15240">
        <v>2390.17</v>
      </c>
      <c r="E15240" s="37" t="str">
        <f t="shared" si="1190"/>
        <v xml:space="preserve"> </v>
      </c>
      <c r="F15240">
        <v>0.38</v>
      </c>
      <c r="G15240" s="37" t="str">
        <f t="shared" si="1191"/>
        <v>Heavy Discount</v>
      </c>
      <c r="H15240" s="37" t="str">
        <f t="shared" si="1192"/>
        <v>Medium</v>
      </c>
      <c r="I15240">
        <v>9</v>
      </c>
      <c r="J15240" t="str" cm="1">
        <f t="array" ref="J15240">_xlfn.IFS(I15240&lt;=3,"small",I15240&lt;=6,"Medium",I15240&lt;=9,"Large")</f>
        <v>Large</v>
      </c>
      <c r="K15240" s="36">
        <v>45004</v>
      </c>
      <c r="L15240" s="36">
        <v>45009</v>
      </c>
      <c r="M15240" t="s">
        <v>598</v>
      </c>
      <c r="N15240" t="s">
        <v>604</v>
      </c>
      <c r="O15240" s="37" t="str">
        <f t="shared" si="1193"/>
        <v>Digital Payment</v>
      </c>
      <c r="P15240">
        <v>232.77</v>
      </c>
      <c r="Q15240" s="37" t="str">
        <f>IF(P15240&gt;500,"High","low")</f>
        <v>low</v>
      </c>
      <c r="R15240" s="37" t="str">
        <f t="shared" si="1194"/>
        <v>AVERAGE</v>
      </c>
      <c r="S15240" t="s">
        <v>600</v>
      </c>
    </row>
    <row r="15241" spans="1:19" x14ac:dyDescent="0.2">
      <c r="A15241" t="s">
        <v>15852</v>
      </c>
      <c r="B15241" t="s">
        <v>75</v>
      </c>
      <c r="C15241" t="s">
        <v>614</v>
      </c>
      <c r="D15241">
        <v>3007.51</v>
      </c>
      <c r="E15241" s="37" t="str">
        <f t="shared" si="1190"/>
        <v xml:space="preserve"> </v>
      </c>
      <c r="F15241">
        <v>0.36</v>
      </c>
      <c r="G15241" s="37" t="str">
        <f t="shared" si="1191"/>
        <v>Heavy Discount</v>
      </c>
      <c r="H15241" s="37" t="str">
        <f t="shared" si="1192"/>
        <v>Medium</v>
      </c>
      <c r="I15241">
        <v>7</v>
      </c>
      <c r="J15241" t="str" cm="1">
        <f t="array" ref="J15241">_xlfn.IFS(I15241&lt;=3,"small",I15241&lt;=6,"Medium",I15241&lt;=9,"Large")</f>
        <v>Large</v>
      </c>
      <c r="K15241" s="36">
        <v>45362</v>
      </c>
      <c r="L15241" s="36">
        <v>45369</v>
      </c>
      <c r="M15241" t="s">
        <v>598</v>
      </c>
      <c r="N15241" t="s">
        <v>608</v>
      </c>
      <c r="O15241" s="37" t="str">
        <f t="shared" si="1193"/>
        <v>Cash Payment</v>
      </c>
      <c r="P15241">
        <v>524.85</v>
      </c>
      <c r="Q15241" s="37" t="str">
        <f>IF(P15241&gt;500,"High","low")</f>
        <v>High</v>
      </c>
      <c r="R15241" s="37" t="str">
        <f t="shared" si="1194"/>
        <v>Good</v>
      </c>
      <c r="S15241" t="s">
        <v>609</v>
      </c>
    </row>
    <row r="15242" spans="1:19" x14ac:dyDescent="0.2">
      <c r="A15242" t="s">
        <v>15853</v>
      </c>
      <c r="B15242" t="s">
        <v>67</v>
      </c>
      <c r="C15242" t="s">
        <v>614</v>
      </c>
      <c r="D15242">
        <v>4344.3599999999997</v>
      </c>
      <c r="E15242" s="37" t="str">
        <f t="shared" si="1190"/>
        <v>Excellent Order</v>
      </c>
      <c r="F15242">
        <v>0.12</v>
      </c>
      <c r="G15242" s="37" t="str">
        <f t="shared" si="1191"/>
        <v>Normal Discount</v>
      </c>
      <c r="H15242" s="37" t="str">
        <f t="shared" si="1192"/>
        <v>Low</v>
      </c>
      <c r="I15242">
        <v>9</v>
      </c>
      <c r="J15242" t="str" cm="1">
        <f t="array" ref="J15242">_xlfn.IFS(I15242&lt;=3,"small",I15242&lt;=6,"Medium",I15242&lt;=9,"Large")</f>
        <v>Large</v>
      </c>
      <c r="K15242" s="36">
        <v>45619</v>
      </c>
      <c r="L15242" s="36">
        <v>45620</v>
      </c>
      <c r="M15242" t="s">
        <v>612</v>
      </c>
      <c r="N15242" t="s">
        <v>608</v>
      </c>
      <c r="O15242" s="37" t="str">
        <f t="shared" si="1193"/>
        <v>Cash Payment</v>
      </c>
      <c r="P15242">
        <v>995.25</v>
      </c>
      <c r="Q15242" s="37" t="str">
        <f>IF(P15242&gt;500,"High","low")</f>
        <v>High</v>
      </c>
      <c r="R15242" s="37" t="str">
        <f t="shared" si="1194"/>
        <v>Good</v>
      </c>
      <c r="S15242" t="s">
        <v>628</v>
      </c>
    </row>
    <row r="15243" spans="1:19" x14ac:dyDescent="0.2">
      <c r="A15243" t="s">
        <v>15854</v>
      </c>
      <c r="B15243" t="s">
        <v>67</v>
      </c>
      <c r="C15243" t="s">
        <v>617</v>
      </c>
      <c r="D15243">
        <v>4185.22</v>
      </c>
      <c r="E15243" s="37" t="str">
        <f t="shared" si="1190"/>
        <v>Excellent Order</v>
      </c>
      <c r="F15243">
        <v>0.28999999999999998</v>
      </c>
      <c r="G15243" s="37" t="str">
        <f t="shared" si="1191"/>
        <v>Normal Discount</v>
      </c>
      <c r="H15243" s="37" t="str">
        <f t="shared" si="1192"/>
        <v>Medium</v>
      </c>
      <c r="I15243">
        <v>5</v>
      </c>
      <c r="J15243" t="str" cm="1">
        <f t="array" ref="J15243">_xlfn.IFS(I15243&lt;=3,"small",I15243&lt;=6,"Medium",I15243&lt;=9,"Large")</f>
        <v>Medium</v>
      </c>
      <c r="K15243" s="36">
        <v>45652</v>
      </c>
      <c r="L15243" s="36">
        <v>45653</v>
      </c>
      <c r="M15243" t="s">
        <v>603</v>
      </c>
      <c r="N15243" t="s">
        <v>599</v>
      </c>
      <c r="O15243" s="37" t="str">
        <f t="shared" si="1193"/>
        <v>Digital Payment</v>
      </c>
      <c r="P15243">
        <v>942.95</v>
      </c>
      <c r="Q15243" s="37" t="str">
        <f>IF(P15243&gt;500,"High","low")</f>
        <v>High</v>
      </c>
      <c r="R15243" s="37" t="str">
        <f t="shared" si="1194"/>
        <v>Good</v>
      </c>
      <c r="S15243" t="s">
        <v>609</v>
      </c>
    </row>
    <row r="15244" spans="1:19" x14ac:dyDescent="0.2">
      <c r="A15244" t="s">
        <v>15855</v>
      </c>
      <c r="B15244" t="s">
        <v>75</v>
      </c>
      <c r="C15244" t="s">
        <v>602</v>
      </c>
      <c r="D15244">
        <v>2189.75</v>
      </c>
      <c r="E15244" s="37" t="str">
        <f t="shared" si="1190"/>
        <v xml:space="preserve"> </v>
      </c>
      <c r="F15244">
        <v>0.35</v>
      </c>
      <c r="G15244" s="37" t="str">
        <f t="shared" si="1191"/>
        <v>Heavy Discount</v>
      </c>
      <c r="H15244" s="37" t="str">
        <f t="shared" si="1192"/>
        <v>Medium</v>
      </c>
      <c r="I15244">
        <v>2</v>
      </c>
      <c r="J15244" t="str" cm="1">
        <f t="array" ref="J15244">_xlfn.IFS(I15244&lt;=3,"small",I15244&lt;=6,"Medium",I15244&lt;=9,"Large")</f>
        <v>small</v>
      </c>
      <c r="K15244" s="36">
        <v>45115</v>
      </c>
      <c r="L15244" s="36">
        <v>45121</v>
      </c>
      <c r="M15244" t="s">
        <v>612</v>
      </c>
      <c r="N15244" t="s">
        <v>608</v>
      </c>
      <c r="O15244" s="37" t="str">
        <f t="shared" si="1193"/>
        <v>Cash Payment</v>
      </c>
      <c r="P15244">
        <v>358.26</v>
      </c>
      <c r="Q15244" s="37" t="str">
        <f>IF(P15244&gt;500,"High","low")</f>
        <v>low</v>
      </c>
      <c r="R15244" s="37" t="str">
        <f t="shared" si="1194"/>
        <v>AVERAGE</v>
      </c>
      <c r="S15244" t="s">
        <v>628</v>
      </c>
    </row>
    <row r="15245" spans="1:19" x14ac:dyDescent="0.2">
      <c r="A15245" t="s">
        <v>15856</v>
      </c>
      <c r="B15245" t="s">
        <v>67</v>
      </c>
      <c r="C15245" t="s">
        <v>614</v>
      </c>
      <c r="D15245">
        <v>3273.61</v>
      </c>
      <c r="E15245" s="37" t="str">
        <f t="shared" si="1190"/>
        <v xml:space="preserve"> </v>
      </c>
      <c r="F15245">
        <v>0.14000000000000001</v>
      </c>
      <c r="G15245" s="37" t="str">
        <f t="shared" si="1191"/>
        <v>Normal Discount</v>
      </c>
      <c r="H15245" s="37" t="str">
        <f t="shared" si="1192"/>
        <v>Low</v>
      </c>
      <c r="I15245">
        <v>9</v>
      </c>
      <c r="J15245" t="str" cm="1">
        <f t="array" ref="J15245">_xlfn.IFS(I15245&lt;=3,"small",I15245&lt;=6,"Medium",I15245&lt;=9,"Large")</f>
        <v>Large</v>
      </c>
      <c r="K15245" s="36">
        <v>44961</v>
      </c>
      <c r="L15245" s="36">
        <v>44965</v>
      </c>
      <c r="M15245" t="s">
        <v>612</v>
      </c>
      <c r="N15245" t="s">
        <v>599</v>
      </c>
      <c r="O15245" s="37" t="str">
        <f t="shared" si="1193"/>
        <v>Digital Payment</v>
      </c>
      <c r="P15245">
        <v>377.21</v>
      </c>
      <c r="Q15245" s="37" t="str">
        <f>IF(P15245&gt;500,"High","low")</f>
        <v>low</v>
      </c>
      <c r="R15245" s="37" t="str">
        <f t="shared" si="1194"/>
        <v>AVERAGE</v>
      </c>
      <c r="S15245" t="s">
        <v>609</v>
      </c>
    </row>
    <row r="15246" spans="1:19" x14ac:dyDescent="0.2">
      <c r="A15246" t="s">
        <v>15857</v>
      </c>
      <c r="B15246" t="s">
        <v>75</v>
      </c>
      <c r="C15246" t="s">
        <v>597</v>
      </c>
      <c r="D15246">
        <v>1559.24</v>
      </c>
      <c r="E15246" s="37" t="str">
        <f t="shared" si="1190"/>
        <v xml:space="preserve"> </v>
      </c>
      <c r="F15246">
        <v>0.2</v>
      </c>
      <c r="G15246" s="37" t="str">
        <f t="shared" si="1191"/>
        <v>Normal Discount</v>
      </c>
      <c r="H15246" s="37" t="str">
        <f t="shared" si="1192"/>
        <v>Medium</v>
      </c>
      <c r="I15246">
        <v>6</v>
      </c>
      <c r="J15246" t="str" cm="1">
        <f t="array" ref="J15246">_xlfn.IFS(I15246&lt;=3,"small",I15246&lt;=6,"Medium",I15246&lt;=9,"Large")</f>
        <v>Medium</v>
      </c>
      <c r="K15246" s="36">
        <v>45509</v>
      </c>
      <c r="L15246" s="36">
        <v>45512</v>
      </c>
      <c r="M15246" t="s">
        <v>612</v>
      </c>
      <c r="N15246" t="s">
        <v>608</v>
      </c>
      <c r="O15246" s="37" t="str">
        <f t="shared" si="1193"/>
        <v>Cash Payment</v>
      </c>
      <c r="P15246">
        <v>86.28</v>
      </c>
      <c r="Q15246" s="37" t="str">
        <f>IF(P15246&gt;500,"High","low")</f>
        <v>low</v>
      </c>
      <c r="R15246" s="37" t="str">
        <f t="shared" si="1194"/>
        <v>AVERAGE</v>
      </c>
      <c r="S15246" t="s">
        <v>609</v>
      </c>
    </row>
    <row r="15247" spans="1:19" x14ac:dyDescent="0.2">
      <c r="A15247" t="s">
        <v>15858</v>
      </c>
      <c r="B15247" t="s">
        <v>90</v>
      </c>
      <c r="C15247" t="s">
        <v>614</v>
      </c>
      <c r="D15247">
        <v>3201.72</v>
      </c>
      <c r="E15247" s="37" t="str">
        <f t="shared" si="1190"/>
        <v xml:space="preserve"> </v>
      </c>
      <c r="F15247">
        <v>0.47</v>
      </c>
      <c r="G15247" s="37" t="str">
        <f t="shared" si="1191"/>
        <v>Heavy Discount</v>
      </c>
      <c r="H15247" s="37" t="str">
        <f t="shared" si="1192"/>
        <v>High</v>
      </c>
      <c r="I15247">
        <v>6</v>
      </c>
      <c r="J15247" t="str" cm="1">
        <f t="array" ref="J15247">_xlfn.IFS(I15247&lt;=3,"small",I15247&lt;=6,"Medium",I15247&lt;=9,"Large")</f>
        <v>Medium</v>
      </c>
      <c r="K15247" s="36">
        <v>45138</v>
      </c>
      <c r="L15247" s="36">
        <v>45145</v>
      </c>
      <c r="M15247" t="s">
        <v>612</v>
      </c>
      <c r="N15247" t="s">
        <v>599</v>
      </c>
      <c r="O15247" s="37" t="str">
        <f t="shared" si="1193"/>
        <v>Digital Payment</v>
      </c>
      <c r="P15247">
        <v>470.93</v>
      </c>
      <c r="Q15247" s="37" t="str">
        <f>IF(P15247&gt;500,"High","low")</f>
        <v>low</v>
      </c>
      <c r="R15247" s="37" t="str">
        <f t="shared" si="1194"/>
        <v>AVERAGE</v>
      </c>
      <c r="S15247" t="s">
        <v>620</v>
      </c>
    </row>
    <row r="15248" spans="1:19" x14ac:dyDescent="0.2">
      <c r="A15248" t="s">
        <v>15859</v>
      </c>
      <c r="B15248" t="s">
        <v>90</v>
      </c>
      <c r="C15248" t="s">
        <v>614</v>
      </c>
      <c r="D15248">
        <v>4572.68</v>
      </c>
      <c r="E15248" s="37" t="str">
        <f t="shared" si="1190"/>
        <v>Excellent Order</v>
      </c>
      <c r="F15248">
        <v>0.2</v>
      </c>
      <c r="G15248" s="37" t="str">
        <f t="shared" si="1191"/>
        <v>Normal Discount</v>
      </c>
      <c r="H15248" s="37" t="str">
        <f t="shared" si="1192"/>
        <v>Medium</v>
      </c>
      <c r="I15248">
        <v>9</v>
      </c>
      <c r="J15248" t="str" cm="1">
        <f t="array" ref="J15248">_xlfn.IFS(I15248&lt;=3,"small",I15248&lt;=6,"Medium",I15248&lt;=9,"Large")</f>
        <v>Large</v>
      </c>
      <c r="K15248" s="36">
        <v>45209</v>
      </c>
      <c r="L15248" s="36">
        <v>45210</v>
      </c>
      <c r="M15248" t="s">
        <v>603</v>
      </c>
      <c r="N15248" t="s">
        <v>608</v>
      </c>
      <c r="O15248" s="37" t="str">
        <f t="shared" si="1193"/>
        <v>Cash Payment</v>
      </c>
      <c r="P15248">
        <v>909.72</v>
      </c>
      <c r="Q15248" s="37" t="str">
        <f>IF(P15248&gt;500,"High","low")</f>
        <v>High</v>
      </c>
      <c r="R15248" s="37" t="str">
        <f t="shared" si="1194"/>
        <v>Good</v>
      </c>
      <c r="S15248" t="s">
        <v>609</v>
      </c>
    </row>
    <row r="15249" spans="1:19" x14ac:dyDescent="0.2">
      <c r="A15249" t="s">
        <v>15860</v>
      </c>
      <c r="B15249" t="s">
        <v>75</v>
      </c>
      <c r="C15249" t="s">
        <v>607</v>
      </c>
      <c r="D15249">
        <v>3160.26</v>
      </c>
      <c r="E15249" s="37" t="str">
        <f t="shared" si="1190"/>
        <v xml:space="preserve"> </v>
      </c>
      <c r="F15249">
        <v>0.16</v>
      </c>
      <c r="G15249" s="37" t="str">
        <f t="shared" si="1191"/>
        <v>Normal Discount</v>
      </c>
      <c r="H15249" s="37" t="str">
        <f t="shared" si="1192"/>
        <v>Low</v>
      </c>
      <c r="I15249">
        <v>1</v>
      </c>
      <c r="J15249" t="str" cm="1">
        <f t="array" ref="J15249">_xlfn.IFS(I15249&lt;=3,"small",I15249&lt;=6,"Medium",I15249&lt;=9,"Large")</f>
        <v>small</v>
      </c>
      <c r="K15249" s="36">
        <v>45064</v>
      </c>
      <c r="L15249" s="36">
        <v>45070</v>
      </c>
      <c r="M15249" t="s">
        <v>598</v>
      </c>
      <c r="N15249" t="s">
        <v>604</v>
      </c>
      <c r="O15249" s="37" t="str">
        <f t="shared" si="1193"/>
        <v>Digital Payment</v>
      </c>
      <c r="P15249">
        <v>388.8</v>
      </c>
      <c r="Q15249" s="37" t="str">
        <f>IF(P15249&gt;500,"High","low")</f>
        <v>low</v>
      </c>
      <c r="R15249" s="37" t="str">
        <f t="shared" si="1194"/>
        <v>AVERAGE</v>
      </c>
      <c r="S15249" t="s">
        <v>609</v>
      </c>
    </row>
    <row r="15250" spans="1:19" x14ac:dyDescent="0.2">
      <c r="A15250" t="s">
        <v>15861</v>
      </c>
      <c r="B15250" t="s">
        <v>75</v>
      </c>
      <c r="C15250" t="s">
        <v>614</v>
      </c>
      <c r="D15250">
        <v>1588.48</v>
      </c>
      <c r="E15250" s="37" t="str">
        <f t="shared" si="1190"/>
        <v xml:space="preserve"> </v>
      </c>
      <c r="F15250">
        <v>0.05</v>
      </c>
      <c r="G15250" s="37" t="str">
        <f t="shared" si="1191"/>
        <v>Normal Discount</v>
      </c>
      <c r="H15250" s="37" t="str">
        <f t="shared" si="1192"/>
        <v>Low</v>
      </c>
      <c r="I15250">
        <v>2</v>
      </c>
      <c r="J15250" t="str" cm="1">
        <f t="array" ref="J15250">_xlfn.IFS(I15250&lt;=3,"small",I15250&lt;=6,"Medium",I15250&lt;=9,"Large")</f>
        <v>small</v>
      </c>
      <c r="K15250" s="36">
        <v>45513</v>
      </c>
      <c r="L15250" s="36">
        <v>45519</v>
      </c>
      <c r="M15250" t="s">
        <v>603</v>
      </c>
      <c r="N15250" t="s">
        <v>604</v>
      </c>
      <c r="O15250" s="37" t="str">
        <f t="shared" si="1193"/>
        <v>Digital Payment</v>
      </c>
      <c r="P15250">
        <v>400.98</v>
      </c>
      <c r="Q15250" s="37" t="str">
        <f>IF(P15250&gt;500,"High","low")</f>
        <v>low</v>
      </c>
      <c r="R15250" s="37" t="str">
        <f t="shared" si="1194"/>
        <v>AVERAGE</v>
      </c>
      <c r="S15250" t="s">
        <v>620</v>
      </c>
    </row>
    <row r="15251" spans="1:19" x14ac:dyDescent="0.2">
      <c r="A15251" t="s">
        <v>15862</v>
      </c>
      <c r="B15251" t="s">
        <v>83</v>
      </c>
      <c r="C15251" t="s">
        <v>617</v>
      </c>
      <c r="D15251">
        <v>3255.52</v>
      </c>
      <c r="E15251" s="37" t="str">
        <f t="shared" si="1190"/>
        <v xml:space="preserve"> </v>
      </c>
      <c r="F15251">
        <v>0.17</v>
      </c>
      <c r="G15251" s="37" t="str">
        <f t="shared" si="1191"/>
        <v>Normal Discount</v>
      </c>
      <c r="H15251" s="37" t="str">
        <f t="shared" si="1192"/>
        <v>Low</v>
      </c>
      <c r="I15251">
        <v>3</v>
      </c>
      <c r="J15251" t="str" cm="1">
        <f t="array" ref="J15251">_xlfn.IFS(I15251&lt;=3,"small",I15251&lt;=6,"Medium",I15251&lt;=9,"Large")</f>
        <v>small</v>
      </c>
      <c r="K15251" s="36">
        <v>45599</v>
      </c>
      <c r="L15251" s="36">
        <v>45605</v>
      </c>
      <c r="M15251" t="s">
        <v>603</v>
      </c>
      <c r="N15251" t="s">
        <v>608</v>
      </c>
      <c r="O15251" s="37" t="str">
        <f t="shared" si="1193"/>
        <v>Cash Payment</v>
      </c>
      <c r="P15251">
        <v>849.36</v>
      </c>
      <c r="Q15251" s="37" t="str">
        <f>IF(P15251&gt;500,"High","low")</f>
        <v>High</v>
      </c>
      <c r="R15251" s="37" t="str">
        <f t="shared" si="1194"/>
        <v>Good</v>
      </c>
      <c r="S15251" t="s">
        <v>628</v>
      </c>
    </row>
    <row r="15252" spans="1:19" x14ac:dyDescent="0.2">
      <c r="A15252" t="s">
        <v>15863</v>
      </c>
      <c r="B15252" t="s">
        <v>83</v>
      </c>
      <c r="C15252" t="s">
        <v>597</v>
      </c>
      <c r="D15252">
        <v>4523.5</v>
      </c>
      <c r="E15252" s="37" t="str">
        <f t="shared" si="1190"/>
        <v xml:space="preserve"> </v>
      </c>
      <c r="F15252">
        <v>0.31</v>
      </c>
      <c r="G15252" s="37" t="str">
        <f t="shared" si="1191"/>
        <v>Heavy Discount</v>
      </c>
      <c r="H15252" s="37" t="str">
        <f t="shared" si="1192"/>
        <v>Medium</v>
      </c>
      <c r="I15252">
        <v>1</v>
      </c>
      <c r="J15252" t="str" cm="1">
        <f t="array" ref="J15252">_xlfn.IFS(I15252&lt;=3,"small",I15252&lt;=6,"Medium",I15252&lt;=9,"Large")</f>
        <v>small</v>
      </c>
      <c r="K15252" s="36">
        <v>45411</v>
      </c>
      <c r="L15252" s="36">
        <v>45415</v>
      </c>
      <c r="M15252" t="s">
        <v>598</v>
      </c>
      <c r="N15252" t="s">
        <v>604</v>
      </c>
      <c r="O15252" s="37" t="str">
        <f t="shared" si="1193"/>
        <v>Digital Payment</v>
      </c>
      <c r="P15252">
        <v>701.27</v>
      </c>
      <c r="Q15252" s="37" t="str">
        <f>IF(P15252&gt;500,"High","low")</f>
        <v>High</v>
      </c>
      <c r="R15252" s="37" t="str">
        <f t="shared" si="1194"/>
        <v>Good</v>
      </c>
      <c r="S15252" t="s">
        <v>600</v>
      </c>
    </row>
    <row r="15253" spans="1:19" x14ac:dyDescent="0.2">
      <c r="A15253" t="s">
        <v>15864</v>
      </c>
      <c r="B15253" t="s">
        <v>67</v>
      </c>
      <c r="C15253" t="s">
        <v>617</v>
      </c>
      <c r="D15253">
        <v>771.53</v>
      </c>
      <c r="E15253" s="37" t="str">
        <f t="shared" si="1190"/>
        <v xml:space="preserve"> </v>
      </c>
      <c r="F15253">
        <v>7.0000000000000007E-2</v>
      </c>
      <c r="G15253" s="37" t="str">
        <f t="shared" si="1191"/>
        <v>Normal Discount</v>
      </c>
      <c r="H15253" s="37" t="str">
        <f t="shared" si="1192"/>
        <v>Low</v>
      </c>
      <c r="I15253">
        <v>4</v>
      </c>
      <c r="J15253" t="str" cm="1">
        <f t="array" ref="J15253">_xlfn.IFS(I15253&lt;=3,"small",I15253&lt;=6,"Medium",I15253&lt;=9,"Large")</f>
        <v>Medium</v>
      </c>
      <c r="K15253" s="36">
        <v>45131</v>
      </c>
      <c r="L15253" s="36">
        <v>45136</v>
      </c>
      <c r="M15253" t="s">
        <v>612</v>
      </c>
      <c r="N15253" t="s">
        <v>604</v>
      </c>
      <c r="O15253" s="37" t="str">
        <f t="shared" si="1193"/>
        <v>Digital Payment</v>
      </c>
      <c r="P15253">
        <v>126.28</v>
      </c>
      <c r="Q15253" s="37" t="str">
        <f>IF(P15253&gt;500,"High","low")</f>
        <v>low</v>
      </c>
      <c r="R15253" s="37" t="str">
        <f t="shared" si="1194"/>
        <v>AVERAGE</v>
      </c>
      <c r="S15253" t="s">
        <v>609</v>
      </c>
    </row>
    <row r="15254" spans="1:19" x14ac:dyDescent="0.2">
      <c r="A15254" t="s">
        <v>15865</v>
      </c>
      <c r="B15254" t="s">
        <v>67</v>
      </c>
      <c r="C15254" t="s">
        <v>617</v>
      </c>
      <c r="D15254">
        <v>2463.9899999999998</v>
      </c>
      <c r="E15254" s="37" t="str">
        <f t="shared" si="1190"/>
        <v xml:space="preserve"> </v>
      </c>
      <c r="F15254">
        <v>0.3</v>
      </c>
      <c r="G15254" s="37" t="str">
        <f t="shared" si="1191"/>
        <v>Normal Discount</v>
      </c>
      <c r="H15254" s="37" t="str">
        <f t="shared" si="1192"/>
        <v>Medium</v>
      </c>
      <c r="I15254">
        <v>2</v>
      </c>
      <c r="J15254" t="str" cm="1">
        <f t="array" ref="J15254">_xlfn.IFS(I15254&lt;=3,"small",I15254&lt;=6,"Medium",I15254&lt;=9,"Large")</f>
        <v>small</v>
      </c>
      <c r="K15254" s="36">
        <v>45262</v>
      </c>
      <c r="L15254" s="36">
        <v>45269</v>
      </c>
      <c r="M15254" t="s">
        <v>603</v>
      </c>
      <c r="N15254" t="s">
        <v>599</v>
      </c>
      <c r="O15254" s="37" t="str">
        <f t="shared" si="1193"/>
        <v>Digital Payment</v>
      </c>
      <c r="P15254">
        <v>233.4</v>
      </c>
      <c r="Q15254" s="37" t="str">
        <f>IF(P15254&gt;500,"High","low")</f>
        <v>low</v>
      </c>
      <c r="R15254" s="37" t="str">
        <f t="shared" si="1194"/>
        <v>AVERAGE</v>
      </c>
      <c r="S15254" t="s">
        <v>628</v>
      </c>
    </row>
    <row r="15255" spans="1:19" x14ac:dyDescent="0.2">
      <c r="A15255" t="s">
        <v>15866</v>
      </c>
      <c r="B15255" t="s">
        <v>75</v>
      </c>
      <c r="C15255" t="s">
        <v>602</v>
      </c>
      <c r="D15255">
        <v>1673.15</v>
      </c>
      <c r="E15255" s="37" t="str">
        <f t="shared" si="1190"/>
        <v xml:space="preserve"> </v>
      </c>
      <c r="F15255">
        <v>0.37</v>
      </c>
      <c r="G15255" s="37" t="str">
        <f t="shared" si="1191"/>
        <v>Heavy Discount</v>
      </c>
      <c r="H15255" s="37" t="str">
        <f t="shared" si="1192"/>
        <v>Medium</v>
      </c>
      <c r="I15255">
        <v>3</v>
      </c>
      <c r="J15255" t="str" cm="1">
        <f t="array" ref="J15255">_xlfn.IFS(I15255&lt;=3,"small",I15255&lt;=6,"Medium",I15255&lt;=9,"Large")</f>
        <v>small</v>
      </c>
      <c r="K15255" s="36">
        <v>45379</v>
      </c>
      <c r="L15255" s="36">
        <v>45382</v>
      </c>
      <c r="M15255" t="s">
        <v>603</v>
      </c>
      <c r="N15255" t="s">
        <v>608</v>
      </c>
      <c r="O15255" s="37" t="str">
        <f t="shared" si="1193"/>
        <v>Cash Payment</v>
      </c>
      <c r="P15255">
        <v>149.34</v>
      </c>
      <c r="Q15255" s="37" t="str">
        <f>IF(P15255&gt;500,"High","low")</f>
        <v>low</v>
      </c>
      <c r="R15255" s="37" t="str">
        <f t="shared" si="1194"/>
        <v>AVERAGE</v>
      </c>
      <c r="S15255" t="s">
        <v>628</v>
      </c>
    </row>
    <row r="15256" spans="1:19" x14ac:dyDescent="0.2">
      <c r="A15256" t="s">
        <v>15867</v>
      </c>
      <c r="B15256" t="s">
        <v>75</v>
      </c>
      <c r="C15256" t="s">
        <v>607</v>
      </c>
      <c r="D15256">
        <v>1283.19</v>
      </c>
      <c r="E15256" s="37" t="str">
        <f t="shared" si="1190"/>
        <v xml:space="preserve"> </v>
      </c>
      <c r="F15256">
        <v>0.38</v>
      </c>
      <c r="G15256" s="37" t="str">
        <f t="shared" si="1191"/>
        <v>Heavy Discount</v>
      </c>
      <c r="H15256" s="37" t="str">
        <f t="shared" si="1192"/>
        <v>Medium</v>
      </c>
      <c r="I15256">
        <v>8</v>
      </c>
      <c r="J15256" t="str" cm="1">
        <f t="array" ref="J15256">_xlfn.IFS(I15256&lt;=3,"small",I15256&lt;=6,"Medium",I15256&lt;=9,"Large")</f>
        <v>Large</v>
      </c>
      <c r="K15256" s="36">
        <v>45412</v>
      </c>
      <c r="L15256" s="36">
        <v>45414</v>
      </c>
      <c r="M15256" t="s">
        <v>598</v>
      </c>
      <c r="N15256" t="s">
        <v>608</v>
      </c>
      <c r="O15256" s="37" t="str">
        <f t="shared" si="1193"/>
        <v>Cash Payment</v>
      </c>
      <c r="P15256">
        <v>138.28</v>
      </c>
      <c r="Q15256" s="37" t="str">
        <f>IF(P15256&gt;500,"High","low")</f>
        <v>low</v>
      </c>
      <c r="R15256" s="37" t="str">
        <f t="shared" si="1194"/>
        <v>AVERAGE</v>
      </c>
      <c r="S15256" t="s">
        <v>628</v>
      </c>
    </row>
    <row r="15257" spans="1:19" x14ac:dyDescent="0.2">
      <c r="A15257" t="s">
        <v>15868</v>
      </c>
      <c r="B15257" t="s">
        <v>83</v>
      </c>
      <c r="C15257" t="s">
        <v>617</v>
      </c>
      <c r="D15257">
        <v>2041.42</v>
      </c>
      <c r="E15257" s="37" t="str">
        <f t="shared" si="1190"/>
        <v xml:space="preserve"> </v>
      </c>
      <c r="F15257">
        <v>0.49</v>
      </c>
      <c r="G15257" s="37" t="str">
        <f t="shared" si="1191"/>
        <v>Heavy Discount</v>
      </c>
      <c r="H15257" s="37" t="str">
        <f t="shared" si="1192"/>
        <v>High</v>
      </c>
      <c r="I15257">
        <v>4</v>
      </c>
      <c r="J15257" t="str" cm="1">
        <f t="array" ref="J15257">_xlfn.IFS(I15257&lt;=3,"small",I15257&lt;=6,"Medium",I15257&lt;=9,"Large")</f>
        <v>Medium</v>
      </c>
      <c r="K15257" s="36">
        <v>45625</v>
      </c>
      <c r="L15257" s="36">
        <v>45627</v>
      </c>
      <c r="M15257" t="s">
        <v>612</v>
      </c>
      <c r="N15257" t="s">
        <v>599</v>
      </c>
      <c r="O15257" s="37" t="str">
        <f t="shared" si="1193"/>
        <v>Digital Payment</v>
      </c>
      <c r="P15257">
        <v>311.77999999999997</v>
      </c>
      <c r="Q15257" s="37" t="str">
        <f>IF(P15257&gt;500,"High","low")</f>
        <v>low</v>
      </c>
      <c r="R15257" s="37" t="str">
        <f t="shared" si="1194"/>
        <v>AVERAGE</v>
      </c>
      <c r="S15257" t="s">
        <v>620</v>
      </c>
    </row>
    <row r="15258" spans="1:19" x14ac:dyDescent="0.2">
      <c r="A15258" t="s">
        <v>15869</v>
      </c>
      <c r="B15258" t="s">
        <v>83</v>
      </c>
      <c r="C15258" t="s">
        <v>602</v>
      </c>
      <c r="D15258">
        <v>2030.44</v>
      </c>
      <c r="E15258" s="37" t="str">
        <f t="shared" si="1190"/>
        <v xml:space="preserve"> </v>
      </c>
      <c r="F15258">
        <v>0.22</v>
      </c>
      <c r="G15258" s="37" t="str">
        <f t="shared" si="1191"/>
        <v>Normal Discount</v>
      </c>
      <c r="H15258" s="37" t="str">
        <f t="shared" si="1192"/>
        <v>Medium</v>
      </c>
      <c r="I15258">
        <v>9</v>
      </c>
      <c r="J15258" t="str" cm="1">
        <f t="array" ref="J15258">_xlfn.IFS(I15258&lt;=3,"small",I15258&lt;=6,"Medium",I15258&lt;=9,"Large")</f>
        <v>Large</v>
      </c>
      <c r="K15258" s="36">
        <v>45363</v>
      </c>
      <c r="L15258" s="36">
        <v>45365</v>
      </c>
      <c r="M15258" t="s">
        <v>598</v>
      </c>
      <c r="N15258" t="s">
        <v>604</v>
      </c>
      <c r="O15258" s="37" t="str">
        <f t="shared" si="1193"/>
        <v>Digital Payment</v>
      </c>
      <c r="P15258">
        <v>594.71</v>
      </c>
      <c r="Q15258" s="37" t="str">
        <f>IF(P15258&gt;500,"High","low")</f>
        <v>High</v>
      </c>
      <c r="R15258" s="37" t="str">
        <f t="shared" si="1194"/>
        <v>Good</v>
      </c>
      <c r="S15258" t="s">
        <v>600</v>
      </c>
    </row>
    <row r="15259" spans="1:19" x14ac:dyDescent="0.2">
      <c r="A15259" t="s">
        <v>15870</v>
      </c>
      <c r="B15259" t="s">
        <v>75</v>
      </c>
      <c r="C15259" t="s">
        <v>597</v>
      </c>
      <c r="D15259">
        <v>1131.1199999999999</v>
      </c>
      <c r="E15259" s="37" t="str">
        <f t="shared" si="1190"/>
        <v xml:space="preserve"> </v>
      </c>
      <c r="F15259">
        <v>0.02</v>
      </c>
      <c r="G15259" s="37" t="str">
        <f t="shared" si="1191"/>
        <v>Normal Discount</v>
      </c>
      <c r="H15259" s="37" t="str">
        <f t="shared" si="1192"/>
        <v>Low</v>
      </c>
      <c r="I15259">
        <v>6</v>
      </c>
      <c r="J15259" t="str" cm="1">
        <f t="array" ref="J15259">_xlfn.IFS(I15259&lt;=3,"small",I15259&lt;=6,"Medium",I15259&lt;=9,"Large")</f>
        <v>Medium</v>
      </c>
      <c r="K15259" s="36">
        <v>45348</v>
      </c>
      <c r="L15259" s="36">
        <v>45349</v>
      </c>
      <c r="M15259" t="s">
        <v>612</v>
      </c>
      <c r="N15259" t="s">
        <v>604</v>
      </c>
      <c r="O15259" s="37" t="str">
        <f t="shared" si="1193"/>
        <v>Digital Payment</v>
      </c>
      <c r="P15259">
        <v>233.22</v>
      </c>
      <c r="Q15259" s="37" t="str">
        <f>IF(P15259&gt;500,"High","low")</f>
        <v>low</v>
      </c>
      <c r="R15259" s="37" t="str">
        <f t="shared" si="1194"/>
        <v>AVERAGE</v>
      </c>
      <c r="S15259" t="s">
        <v>600</v>
      </c>
    </row>
    <row r="15260" spans="1:19" x14ac:dyDescent="0.2">
      <c r="A15260" t="s">
        <v>15871</v>
      </c>
      <c r="B15260" t="s">
        <v>90</v>
      </c>
      <c r="C15260" t="s">
        <v>597</v>
      </c>
      <c r="D15260">
        <v>2077.7600000000002</v>
      </c>
      <c r="E15260" s="37" t="str">
        <f t="shared" si="1190"/>
        <v xml:space="preserve"> </v>
      </c>
      <c r="F15260">
        <v>0.43</v>
      </c>
      <c r="G15260" s="37" t="str">
        <f t="shared" si="1191"/>
        <v>Heavy Discount</v>
      </c>
      <c r="H15260" s="37" t="str">
        <f t="shared" si="1192"/>
        <v>High</v>
      </c>
      <c r="I15260">
        <v>1</v>
      </c>
      <c r="J15260" t="str" cm="1">
        <f t="array" ref="J15260">_xlfn.IFS(I15260&lt;=3,"small",I15260&lt;=6,"Medium",I15260&lt;=9,"Large")</f>
        <v>small</v>
      </c>
      <c r="K15260" s="36">
        <v>45064</v>
      </c>
      <c r="L15260" s="36">
        <v>45070</v>
      </c>
      <c r="M15260" t="s">
        <v>603</v>
      </c>
      <c r="N15260" t="s">
        <v>599</v>
      </c>
      <c r="O15260" s="37" t="str">
        <f t="shared" si="1193"/>
        <v>Digital Payment</v>
      </c>
      <c r="P15260">
        <v>323.57</v>
      </c>
      <c r="Q15260" s="37" t="str">
        <f>IF(P15260&gt;500,"High","low")</f>
        <v>low</v>
      </c>
      <c r="R15260" s="37" t="str">
        <f t="shared" si="1194"/>
        <v>AVERAGE</v>
      </c>
      <c r="S15260" t="s">
        <v>628</v>
      </c>
    </row>
    <row r="15261" spans="1:19" x14ac:dyDescent="0.2">
      <c r="A15261" t="s">
        <v>15872</v>
      </c>
      <c r="B15261" t="s">
        <v>90</v>
      </c>
      <c r="C15261" t="s">
        <v>602</v>
      </c>
      <c r="D15261">
        <v>3205.29</v>
      </c>
      <c r="E15261" s="37" t="str">
        <f t="shared" si="1190"/>
        <v xml:space="preserve"> </v>
      </c>
      <c r="F15261">
        <v>0.04</v>
      </c>
      <c r="G15261" s="37" t="str">
        <f t="shared" si="1191"/>
        <v>Normal Discount</v>
      </c>
      <c r="H15261" s="37" t="str">
        <f t="shared" si="1192"/>
        <v>Low</v>
      </c>
      <c r="I15261">
        <v>6</v>
      </c>
      <c r="J15261" t="str" cm="1">
        <f t="array" ref="J15261">_xlfn.IFS(I15261&lt;=3,"small",I15261&lt;=6,"Medium",I15261&lt;=9,"Large")</f>
        <v>Medium</v>
      </c>
      <c r="K15261" s="36">
        <v>44932</v>
      </c>
      <c r="L15261" s="36">
        <v>44935</v>
      </c>
      <c r="M15261" t="s">
        <v>612</v>
      </c>
      <c r="N15261" t="s">
        <v>599</v>
      </c>
      <c r="O15261" s="37" t="str">
        <f t="shared" si="1193"/>
        <v>Digital Payment</v>
      </c>
      <c r="P15261">
        <v>335.06</v>
      </c>
      <c r="Q15261" s="37" t="str">
        <f>IF(P15261&gt;500,"High","low")</f>
        <v>low</v>
      </c>
      <c r="R15261" s="37" t="str">
        <f t="shared" si="1194"/>
        <v>AVERAGE</v>
      </c>
      <c r="S15261" t="s">
        <v>600</v>
      </c>
    </row>
    <row r="15262" spans="1:19" x14ac:dyDescent="0.2">
      <c r="A15262" t="s">
        <v>15873</v>
      </c>
      <c r="B15262" t="s">
        <v>67</v>
      </c>
      <c r="C15262" t="s">
        <v>617</v>
      </c>
      <c r="D15262">
        <v>226.09</v>
      </c>
      <c r="E15262" s="37" t="str">
        <f t="shared" si="1190"/>
        <v xml:space="preserve"> </v>
      </c>
      <c r="F15262">
        <v>0.43</v>
      </c>
      <c r="G15262" s="37" t="str">
        <f t="shared" si="1191"/>
        <v>Heavy Discount</v>
      </c>
      <c r="H15262" s="37" t="str">
        <f t="shared" si="1192"/>
        <v>High</v>
      </c>
      <c r="I15262">
        <v>7</v>
      </c>
      <c r="J15262" t="str" cm="1">
        <f t="array" ref="J15262">_xlfn.IFS(I15262&lt;=3,"small",I15262&lt;=6,"Medium",I15262&lt;=9,"Large")</f>
        <v>Large</v>
      </c>
      <c r="K15262" s="36">
        <v>45139</v>
      </c>
      <c r="L15262" s="36">
        <v>45145</v>
      </c>
      <c r="M15262" t="s">
        <v>612</v>
      </c>
      <c r="N15262" t="s">
        <v>604</v>
      </c>
      <c r="O15262" s="37" t="str">
        <f t="shared" si="1193"/>
        <v>Digital Payment</v>
      </c>
      <c r="P15262">
        <v>55.33</v>
      </c>
      <c r="Q15262" s="37" t="str">
        <f>IF(P15262&gt;500,"High","low")</f>
        <v>low</v>
      </c>
      <c r="R15262" s="37" t="str">
        <f t="shared" si="1194"/>
        <v>AVERAGE</v>
      </c>
      <c r="S15262" t="s">
        <v>600</v>
      </c>
    </row>
    <row r="15263" spans="1:19" x14ac:dyDescent="0.2">
      <c r="A15263" t="s">
        <v>15874</v>
      </c>
      <c r="B15263" t="s">
        <v>75</v>
      </c>
      <c r="C15263" t="s">
        <v>617</v>
      </c>
      <c r="D15263">
        <v>4947.2</v>
      </c>
      <c r="E15263" s="37" t="str">
        <f t="shared" si="1190"/>
        <v>Excellent Order</v>
      </c>
      <c r="F15263">
        <v>0.49</v>
      </c>
      <c r="G15263" s="37" t="str">
        <f t="shared" si="1191"/>
        <v>Heavy Discount</v>
      </c>
      <c r="H15263" s="37" t="str">
        <f t="shared" si="1192"/>
        <v>High</v>
      </c>
      <c r="I15263">
        <v>4</v>
      </c>
      <c r="J15263" t="str" cm="1">
        <f t="array" ref="J15263">_xlfn.IFS(I15263&lt;=3,"small",I15263&lt;=6,"Medium",I15263&lt;=9,"Large")</f>
        <v>Medium</v>
      </c>
      <c r="K15263" s="36">
        <v>45021</v>
      </c>
      <c r="L15263" s="36">
        <v>45026</v>
      </c>
      <c r="M15263" t="s">
        <v>603</v>
      </c>
      <c r="N15263" t="s">
        <v>608</v>
      </c>
      <c r="O15263" s="37" t="str">
        <f t="shared" si="1193"/>
        <v>Cash Payment</v>
      </c>
      <c r="P15263">
        <v>1039.8399999999999</v>
      </c>
      <c r="Q15263" s="37" t="str">
        <f>IF(P15263&gt;500,"High","low")</f>
        <v>High</v>
      </c>
      <c r="R15263" s="37" t="str">
        <f t="shared" si="1194"/>
        <v>Excellent</v>
      </c>
      <c r="S15263" t="s">
        <v>605</v>
      </c>
    </row>
    <row r="15264" spans="1:19" x14ac:dyDescent="0.2">
      <c r="A15264" t="s">
        <v>15875</v>
      </c>
      <c r="B15264" t="s">
        <v>75</v>
      </c>
      <c r="C15264" t="s">
        <v>607</v>
      </c>
      <c r="D15264">
        <v>1550.13</v>
      </c>
      <c r="E15264" s="37" t="str">
        <f t="shared" si="1190"/>
        <v xml:space="preserve"> </v>
      </c>
      <c r="F15264">
        <v>0.45</v>
      </c>
      <c r="G15264" s="37" t="str">
        <f t="shared" si="1191"/>
        <v>Heavy Discount</v>
      </c>
      <c r="H15264" s="37" t="str">
        <f t="shared" si="1192"/>
        <v>High</v>
      </c>
      <c r="I15264">
        <v>8</v>
      </c>
      <c r="J15264" t="str" cm="1">
        <f t="array" ref="J15264">_xlfn.IFS(I15264&lt;=3,"small",I15264&lt;=6,"Medium",I15264&lt;=9,"Large")</f>
        <v>Large</v>
      </c>
      <c r="K15264" s="36">
        <v>45487</v>
      </c>
      <c r="L15264" s="36">
        <v>45491</v>
      </c>
      <c r="M15264" t="s">
        <v>603</v>
      </c>
      <c r="N15264" t="s">
        <v>599</v>
      </c>
      <c r="O15264" s="37" t="str">
        <f t="shared" si="1193"/>
        <v>Digital Payment</v>
      </c>
      <c r="P15264">
        <v>235.12</v>
      </c>
      <c r="Q15264" s="37" t="str">
        <f>IF(P15264&gt;500,"High","low")</f>
        <v>low</v>
      </c>
      <c r="R15264" s="37" t="str">
        <f t="shared" si="1194"/>
        <v>AVERAGE</v>
      </c>
      <c r="S15264" t="s">
        <v>609</v>
      </c>
    </row>
    <row r="15265" spans="1:19" x14ac:dyDescent="0.2">
      <c r="A15265" t="s">
        <v>15876</v>
      </c>
      <c r="B15265" t="s">
        <v>67</v>
      </c>
      <c r="C15265" t="s">
        <v>607</v>
      </c>
      <c r="D15265">
        <v>3155.86</v>
      </c>
      <c r="E15265" s="37" t="str">
        <f t="shared" si="1190"/>
        <v xml:space="preserve"> </v>
      </c>
      <c r="F15265">
        <v>0.48</v>
      </c>
      <c r="G15265" s="37" t="str">
        <f t="shared" si="1191"/>
        <v>Heavy Discount</v>
      </c>
      <c r="H15265" s="37" t="str">
        <f t="shared" si="1192"/>
        <v>High</v>
      </c>
      <c r="I15265">
        <v>3</v>
      </c>
      <c r="J15265" t="str" cm="1">
        <f t="array" ref="J15265">_xlfn.IFS(I15265&lt;=3,"small",I15265&lt;=6,"Medium",I15265&lt;=9,"Large")</f>
        <v>small</v>
      </c>
      <c r="K15265" s="36">
        <v>45211</v>
      </c>
      <c r="L15265" s="36">
        <v>45214</v>
      </c>
      <c r="M15265" t="s">
        <v>603</v>
      </c>
      <c r="N15265" t="s">
        <v>608</v>
      </c>
      <c r="O15265" s="37" t="str">
        <f t="shared" si="1193"/>
        <v>Cash Payment</v>
      </c>
      <c r="P15265">
        <v>639.04999999999995</v>
      </c>
      <c r="Q15265" s="37" t="str">
        <f>IF(P15265&gt;500,"High","low")</f>
        <v>High</v>
      </c>
      <c r="R15265" s="37" t="str">
        <f t="shared" si="1194"/>
        <v>Good</v>
      </c>
      <c r="S15265" t="s">
        <v>620</v>
      </c>
    </row>
    <row r="15266" spans="1:19" x14ac:dyDescent="0.2">
      <c r="A15266" t="s">
        <v>15877</v>
      </c>
      <c r="B15266" t="s">
        <v>83</v>
      </c>
      <c r="C15266" t="s">
        <v>597</v>
      </c>
      <c r="D15266">
        <v>1489.39</v>
      </c>
      <c r="E15266" s="37" t="str">
        <f t="shared" si="1190"/>
        <v xml:space="preserve"> </v>
      </c>
      <c r="F15266">
        <v>0.01</v>
      </c>
      <c r="G15266" s="37" t="str">
        <f t="shared" si="1191"/>
        <v>Normal Discount</v>
      </c>
      <c r="H15266" s="37" t="str">
        <f t="shared" si="1192"/>
        <v>Low</v>
      </c>
      <c r="I15266">
        <v>7</v>
      </c>
      <c r="J15266" t="str" cm="1">
        <f t="array" ref="J15266">_xlfn.IFS(I15266&lt;=3,"small",I15266&lt;=6,"Medium",I15266&lt;=9,"Large")</f>
        <v>Large</v>
      </c>
      <c r="K15266" s="36">
        <v>45304</v>
      </c>
      <c r="L15266" s="36">
        <v>45308</v>
      </c>
      <c r="M15266" t="s">
        <v>603</v>
      </c>
      <c r="N15266" t="s">
        <v>604</v>
      </c>
      <c r="O15266" s="37" t="str">
        <f t="shared" si="1193"/>
        <v>Digital Payment</v>
      </c>
      <c r="P15266">
        <v>289.57</v>
      </c>
      <c r="Q15266" s="37" t="str">
        <f>IF(P15266&gt;500,"High","low")</f>
        <v>low</v>
      </c>
      <c r="R15266" s="37" t="str">
        <f t="shared" si="1194"/>
        <v>AVERAGE</v>
      </c>
      <c r="S15266" t="s">
        <v>609</v>
      </c>
    </row>
    <row r="15267" spans="1:19" x14ac:dyDescent="0.2">
      <c r="A15267" t="s">
        <v>15878</v>
      </c>
      <c r="B15267" t="s">
        <v>83</v>
      </c>
      <c r="C15267" t="s">
        <v>607</v>
      </c>
      <c r="D15267">
        <v>2028.33</v>
      </c>
      <c r="E15267" s="37" t="str">
        <f t="shared" si="1190"/>
        <v xml:space="preserve"> </v>
      </c>
      <c r="F15267">
        <v>0.01</v>
      </c>
      <c r="G15267" s="37" t="str">
        <f t="shared" si="1191"/>
        <v>Normal Discount</v>
      </c>
      <c r="H15267" s="37" t="str">
        <f t="shared" si="1192"/>
        <v>Low</v>
      </c>
      <c r="I15267">
        <v>7</v>
      </c>
      <c r="J15267" t="str" cm="1">
        <f t="array" ref="J15267">_xlfn.IFS(I15267&lt;=3,"small",I15267&lt;=6,"Medium",I15267&lt;=9,"Large")</f>
        <v>Large</v>
      </c>
      <c r="K15267" s="36">
        <v>45428</v>
      </c>
      <c r="L15267" s="36">
        <v>45432</v>
      </c>
      <c r="M15267" t="s">
        <v>603</v>
      </c>
      <c r="N15267" t="s">
        <v>604</v>
      </c>
      <c r="O15267" s="37" t="str">
        <f t="shared" si="1193"/>
        <v>Digital Payment</v>
      </c>
      <c r="P15267">
        <v>395.77</v>
      </c>
      <c r="Q15267" s="37" t="str">
        <f>IF(P15267&gt;500,"High","low")</f>
        <v>low</v>
      </c>
      <c r="R15267" s="37" t="str">
        <f t="shared" si="1194"/>
        <v>AVERAGE</v>
      </c>
      <c r="S15267" t="s">
        <v>620</v>
      </c>
    </row>
    <row r="15268" spans="1:19" x14ac:dyDescent="0.2">
      <c r="A15268" t="s">
        <v>15879</v>
      </c>
      <c r="B15268" t="s">
        <v>90</v>
      </c>
      <c r="C15268" t="s">
        <v>602</v>
      </c>
      <c r="D15268">
        <v>2791.26</v>
      </c>
      <c r="E15268" s="37" t="str">
        <f t="shared" si="1190"/>
        <v xml:space="preserve"> </v>
      </c>
      <c r="F15268">
        <v>0.11</v>
      </c>
      <c r="G15268" s="37" t="str">
        <f t="shared" si="1191"/>
        <v>Normal Discount</v>
      </c>
      <c r="H15268" s="37" t="str">
        <f t="shared" si="1192"/>
        <v>Low</v>
      </c>
      <c r="I15268">
        <v>4</v>
      </c>
      <c r="J15268" t="str" cm="1">
        <f t="array" ref="J15268">_xlfn.IFS(I15268&lt;=3,"small",I15268&lt;=6,"Medium",I15268&lt;=9,"Large")</f>
        <v>Medium</v>
      </c>
      <c r="K15268" s="36">
        <v>45375</v>
      </c>
      <c r="L15268" s="36">
        <v>45382</v>
      </c>
      <c r="M15268" t="s">
        <v>603</v>
      </c>
      <c r="N15268" t="s">
        <v>599</v>
      </c>
      <c r="O15268" s="37" t="str">
        <f t="shared" si="1193"/>
        <v>Digital Payment</v>
      </c>
      <c r="P15268">
        <v>189.16</v>
      </c>
      <c r="Q15268" s="37" t="str">
        <f>IF(P15268&gt;500,"High","low")</f>
        <v>low</v>
      </c>
      <c r="R15268" s="37" t="str">
        <f t="shared" si="1194"/>
        <v>AVERAGE</v>
      </c>
      <c r="S15268" t="s">
        <v>628</v>
      </c>
    </row>
    <row r="15269" spans="1:19" x14ac:dyDescent="0.2">
      <c r="A15269" t="s">
        <v>15880</v>
      </c>
      <c r="B15269" t="s">
        <v>75</v>
      </c>
      <c r="C15269" t="s">
        <v>597</v>
      </c>
      <c r="D15269">
        <v>3098.08</v>
      </c>
      <c r="E15269" s="37" t="str">
        <f t="shared" si="1190"/>
        <v xml:space="preserve"> </v>
      </c>
      <c r="F15269">
        <v>0.4</v>
      </c>
      <c r="G15269" s="37" t="str">
        <f t="shared" si="1191"/>
        <v>Heavy Discount</v>
      </c>
      <c r="H15269" s="37" t="str">
        <f t="shared" si="1192"/>
        <v>Medium</v>
      </c>
      <c r="I15269">
        <v>1</v>
      </c>
      <c r="J15269" t="str" cm="1">
        <f t="array" ref="J15269">_xlfn.IFS(I15269&lt;=3,"small",I15269&lt;=6,"Medium",I15269&lt;=9,"Large")</f>
        <v>small</v>
      </c>
      <c r="K15269" s="36">
        <v>45343</v>
      </c>
      <c r="L15269" s="36">
        <v>45345</v>
      </c>
      <c r="M15269" t="s">
        <v>603</v>
      </c>
      <c r="N15269" t="s">
        <v>604</v>
      </c>
      <c r="O15269" s="37" t="str">
        <f t="shared" si="1193"/>
        <v>Digital Payment</v>
      </c>
      <c r="P15269">
        <v>852.97</v>
      </c>
      <c r="Q15269" s="37" t="str">
        <f>IF(P15269&gt;500,"High","low")</f>
        <v>High</v>
      </c>
      <c r="R15269" s="37" t="str">
        <f t="shared" si="1194"/>
        <v>Good</v>
      </c>
      <c r="S15269" t="s">
        <v>615</v>
      </c>
    </row>
    <row r="15270" spans="1:19" x14ac:dyDescent="0.2">
      <c r="A15270" t="s">
        <v>15881</v>
      </c>
      <c r="B15270" t="s">
        <v>83</v>
      </c>
      <c r="C15270" t="s">
        <v>617</v>
      </c>
      <c r="D15270">
        <v>3875.24</v>
      </c>
      <c r="E15270" s="37" t="str">
        <f t="shared" si="1190"/>
        <v xml:space="preserve"> </v>
      </c>
      <c r="F15270">
        <v>0.04</v>
      </c>
      <c r="G15270" s="37" t="str">
        <f t="shared" si="1191"/>
        <v>Normal Discount</v>
      </c>
      <c r="H15270" s="37" t="str">
        <f t="shared" si="1192"/>
        <v>Low</v>
      </c>
      <c r="I15270">
        <v>6</v>
      </c>
      <c r="J15270" t="str" cm="1">
        <f t="array" ref="J15270">_xlfn.IFS(I15270&lt;=3,"small",I15270&lt;=6,"Medium",I15270&lt;=9,"Large")</f>
        <v>Medium</v>
      </c>
      <c r="K15270" s="36">
        <v>45024</v>
      </c>
      <c r="L15270" s="36">
        <v>45025</v>
      </c>
      <c r="M15270" t="s">
        <v>612</v>
      </c>
      <c r="N15270" t="s">
        <v>608</v>
      </c>
      <c r="O15270" s="37" t="str">
        <f t="shared" si="1193"/>
        <v>Cash Payment</v>
      </c>
      <c r="P15270">
        <v>1019.51</v>
      </c>
      <c r="Q15270" s="37" t="str">
        <f>IF(P15270&gt;500,"High","low")</f>
        <v>High</v>
      </c>
      <c r="R15270" s="37" t="str">
        <f t="shared" si="1194"/>
        <v>Excellent</v>
      </c>
      <c r="S15270" t="s">
        <v>605</v>
      </c>
    </row>
    <row r="15271" spans="1:19" x14ac:dyDescent="0.2">
      <c r="A15271" t="s">
        <v>15882</v>
      </c>
      <c r="B15271" t="s">
        <v>90</v>
      </c>
      <c r="C15271" t="s">
        <v>597</v>
      </c>
      <c r="D15271">
        <v>3979.25</v>
      </c>
      <c r="E15271" s="37" t="str">
        <f t="shared" si="1190"/>
        <v xml:space="preserve"> </v>
      </c>
      <c r="F15271">
        <v>0.37</v>
      </c>
      <c r="G15271" s="37" t="str">
        <f t="shared" si="1191"/>
        <v>Heavy Discount</v>
      </c>
      <c r="H15271" s="37" t="str">
        <f t="shared" si="1192"/>
        <v>Medium</v>
      </c>
      <c r="I15271">
        <v>7</v>
      </c>
      <c r="J15271" t="str" cm="1">
        <f t="array" ref="J15271">_xlfn.IFS(I15271&lt;=3,"small",I15271&lt;=6,"Medium",I15271&lt;=9,"Large")</f>
        <v>Large</v>
      </c>
      <c r="K15271" s="36">
        <v>45487</v>
      </c>
      <c r="L15271" s="36">
        <v>45494</v>
      </c>
      <c r="M15271" t="s">
        <v>603</v>
      </c>
      <c r="N15271" t="s">
        <v>599</v>
      </c>
      <c r="O15271" s="37" t="str">
        <f t="shared" si="1193"/>
        <v>Digital Payment</v>
      </c>
      <c r="P15271">
        <v>280.93</v>
      </c>
      <c r="Q15271" s="37" t="str">
        <f>IF(P15271&gt;500,"High","low")</f>
        <v>low</v>
      </c>
      <c r="R15271" s="37" t="str">
        <f t="shared" si="1194"/>
        <v>AVERAGE</v>
      </c>
      <c r="S15271" t="s">
        <v>609</v>
      </c>
    </row>
    <row r="15272" spans="1:19" x14ac:dyDescent="0.2">
      <c r="A15272" t="s">
        <v>15883</v>
      </c>
      <c r="B15272" t="s">
        <v>90</v>
      </c>
      <c r="C15272" t="s">
        <v>614</v>
      </c>
      <c r="D15272">
        <v>2641.65</v>
      </c>
      <c r="E15272" s="37" t="str">
        <f t="shared" si="1190"/>
        <v xml:space="preserve"> </v>
      </c>
      <c r="F15272">
        <v>0.01</v>
      </c>
      <c r="G15272" s="37" t="str">
        <f t="shared" si="1191"/>
        <v>Normal Discount</v>
      </c>
      <c r="H15272" s="37" t="str">
        <f t="shared" si="1192"/>
        <v>Low</v>
      </c>
      <c r="I15272">
        <v>3</v>
      </c>
      <c r="J15272" t="str" cm="1">
        <f t="array" ref="J15272">_xlfn.IFS(I15272&lt;=3,"small",I15272&lt;=6,"Medium",I15272&lt;=9,"Large")</f>
        <v>small</v>
      </c>
      <c r="K15272" s="36">
        <v>45582</v>
      </c>
      <c r="L15272" s="36">
        <v>45583</v>
      </c>
      <c r="M15272" t="s">
        <v>598</v>
      </c>
      <c r="N15272" t="s">
        <v>599</v>
      </c>
      <c r="O15272" s="37" t="str">
        <f t="shared" si="1193"/>
        <v>Digital Payment</v>
      </c>
      <c r="P15272">
        <v>551.98</v>
      </c>
      <c r="Q15272" s="37" t="str">
        <f>IF(P15272&gt;500,"High","low")</f>
        <v>High</v>
      </c>
      <c r="R15272" s="37" t="str">
        <f t="shared" si="1194"/>
        <v>Good</v>
      </c>
      <c r="S15272" t="s">
        <v>600</v>
      </c>
    </row>
    <row r="15273" spans="1:19" x14ac:dyDescent="0.2">
      <c r="A15273" t="s">
        <v>15884</v>
      </c>
      <c r="B15273" t="s">
        <v>90</v>
      </c>
      <c r="C15273" t="s">
        <v>597</v>
      </c>
      <c r="D15273">
        <v>471.06</v>
      </c>
      <c r="E15273" s="37" t="str">
        <f t="shared" si="1190"/>
        <v xml:space="preserve"> </v>
      </c>
      <c r="F15273">
        <v>0.37</v>
      </c>
      <c r="G15273" s="37" t="str">
        <f t="shared" si="1191"/>
        <v>Heavy Discount</v>
      </c>
      <c r="H15273" s="37" t="str">
        <f t="shared" si="1192"/>
        <v>Medium</v>
      </c>
      <c r="I15273">
        <v>5</v>
      </c>
      <c r="J15273" t="str" cm="1">
        <f t="array" ref="J15273">_xlfn.IFS(I15273&lt;=3,"small",I15273&lt;=6,"Medium",I15273&lt;=9,"Large")</f>
        <v>Medium</v>
      </c>
      <c r="K15273" s="36">
        <v>45061</v>
      </c>
      <c r="L15273" s="36">
        <v>45066</v>
      </c>
      <c r="M15273" t="s">
        <v>598</v>
      </c>
      <c r="N15273" t="s">
        <v>604</v>
      </c>
      <c r="O15273" s="37" t="str">
        <f t="shared" si="1193"/>
        <v>Digital Payment</v>
      </c>
      <c r="P15273">
        <v>82.07</v>
      </c>
      <c r="Q15273" s="37" t="str">
        <f>IF(P15273&gt;500,"High","low")</f>
        <v>low</v>
      </c>
      <c r="R15273" s="37" t="str">
        <f t="shared" si="1194"/>
        <v>AVERAGE</v>
      </c>
      <c r="S15273" t="s">
        <v>605</v>
      </c>
    </row>
    <row r="15274" spans="1:19" x14ac:dyDescent="0.2">
      <c r="A15274" t="s">
        <v>15885</v>
      </c>
      <c r="B15274" t="s">
        <v>83</v>
      </c>
      <c r="C15274" t="s">
        <v>607</v>
      </c>
      <c r="D15274">
        <v>2833.14</v>
      </c>
      <c r="E15274" s="37" t="str">
        <f t="shared" si="1190"/>
        <v xml:space="preserve"> </v>
      </c>
      <c r="F15274">
        <v>0.13</v>
      </c>
      <c r="G15274" s="37" t="str">
        <f t="shared" si="1191"/>
        <v>Normal Discount</v>
      </c>
      <c r="H15274" s="37" t="str">
        <f t="shared" si="1192"/>
        <v>Low</v>
      </c>
      <c r="I15274">
        <v>8</v>
      </c>
      <c r="J15274" t="str" cm="1">
        <f t="array" ref="J15274">_xlfn.IFS(I15274&lt;=3,"small",I15274&lt;=6,"Medium",I15274&lt;=9,"Large")</f>
        <v>Large</v>
      </c>
      <c r="K15274" s="36">
        <v>45650</v>
      </c>
      <c r="L15274" s="36">
        <v>45657</v>
      </c>
      <c r="M15274" t="s">
        <v>603</v>
      </c>
      <c r="N15274" t="s">
        <v>608</v>
      </c>
      <c r="O15274" s="37" t="str">
        <f t="shared" si="1193"/>
        <v>Cash Payment</v>
      </c>
      <c r="P15274">
        <v>667.58</v>
      </c>
      <c r="Q15274" s="37" t="str">
        <f>IF(P15274&gt;500,"High","low")</f>
        <v>High</v>
      </c>
      <c r="R15274" s="37" t="str">
        <f t="shared" si="1194"/>
        <v>Good</v>
      </c>
      <c r="S15274" t="s">
        <v>609</v>
      </c>
    </row>
    <row r="15275" spans="1:19" x14ac:dyDescent="0.2">
      <c r="A15275" t="s">
        <v>15886</v>
      </c>
      <c r="B15275" t="s">
        <v>83</v>
      </c>
      <c r="C15275" t="s">
        <v>602</v>
      </c>
      <c r="D15275">
        <v>2440.14</v>
      </c>
      <c r="E15275" s="37" t="str">
        <f t="shared" si="1190"/>
        <v xml:space="preserve"> </v>
      </c>
      <c r="F15275">
        <v>0.22</v>
      </c>
      <c r="G15275" s="37" t="str">
        <f t="shared" si="1191"/>
        <v>Normal Discount</v>
      </c>
      <c r="H15275" s="37" t="str">
        <f t="shared" si="1192"/>
        <v>Medium</v>
      </c>
      <c r="I15275">
        <v>7</v>
      </c>
      <c r="J15275" t="str" cm="1">
        <f t="array" ref="J15275">_xlfn.IFS(I15275&lt;=3,"small",I15275&lt;=6,"Medium",I15275&lt;=9,"Large")</f>
        <v>Large</v>
      </c>
      <c r="K15275" s="36">
        <v>45314</v>
      </c>
      <c r="L15275" s="36">
        <v>45321</v>
      </c>
      <c r="M15275" t="s">
        <v>603</v>
      </c>
      <c r="N15275" t="s">
        <v>604</v>
      </c>
      <c r="O15275" s="37" t="str">
        <f t="shared" si="1193"/>
        <v>Digital Payment</v>
      </c>
      <c r="P15275">
        <v>366.64</v>
      </c>
      <c r="Q15275" s="37" t="str">
        <f>IF(P15275&gt;500,"High","low")</f>
        <v>low</v>
      </c>
      <c r="R15275" s="37" t="str">
        <f t="shared" si="1194"/>
        <v>AVERAGE</v>
      </c>
      <c r="S15275" t="s">
        <v>615</v>
      </c>
    </row>
    <row r="15276" spans="1:19" x14ac:dyDescent="0.2">
      <c r="A15276" t="s">
        <v>15887</v>
      </c>
      <c r="B15276" t="s">
        <v>75</v>
      </c>
      <c r="C15276" t="s">
        <v>617</v>
      </c>
      <c r="D15276">
        <v>1155.3900000000001</v>
      </c>
      <c r="E15276" s="37" t="str">
        <f t="shared" si="1190"/>
        <v xml:space="preserve"> </v>
      </c>
      <c r="F15276">
        <v>0.49</v>
      </c>
      <c r="G15276" s="37" t="str">
        <f t="shared" si="1191"/>
        <v>Heavy Discount</v>
      </c>
      <c r="H15276" s="37" t="str">
        <f t="shared" si="1192"/>
        <v>High</v>
      </c>
      <c r="I15276">
        <v>2</v>
      </c>
      <c r="J15276" t="str" cm="1">
        <f t="array" ref="J15276">_xlfn.IFS(I15276&lt;=3,"small",I15276&lt;=6,"Medium",I15276&lt;=9,"Large")</f>
        <v>small</v>
      </c>
      <c r="K15276" s="36">
        <v>45245</v>
      </c>
      <c r="L15276" s="36">
        <v>45250</v>
      </c>
      <c r="M15276" t="s">
        <v>612</v>
      </c>
      <c r="N15276" t="s">
        <v>608</v>
      </c>
      <c r="O15276" s="37" t="str">
        <f t="shared" si="1193"/>
        <v>Cash Payment</v>
      </c>
      <c r="P15276">
        <v>340.18</v>
      </c>
      <c r="Q15276" s="37" t="str">
        <f>IF(P15276&gt;500,"High","low")</f>
        <v>low</v>
      </c>
      <c r="R15276" s="37" t="str">
        <f t="shared" si="1194"/>
        <v>AVERAGE</v>
      </c>
      <c r="S15276" t="s">
        <v>605</v>
      </c>
    </row>
    <row r="15277" spans="1:19" x14ac:dyDescent="0.2">
      <c r="A15277" t="s">
        <v>15888</v>
      </c>
      <c r="B15277" t="s">
        <v>75</v>
      </c>
      <c r="C15277" t="s">
        <v>617</v>
      </c>
      <c r="D15277">
        <v>149.80000000000001</v>
      </c>
      <c r="E15277" s="37" t="str">
        <f t="shared" si="1190"/>
        <v xml:space="preserve"> </v>
      </c>
      <c r="F15277">
        <v>0.28000000000000003</v>
      </c>
      <c r="G15277" s="37" t="str">
        <f t="shared" si="1191"/>
        <v>Normal Discount</v>
      </c>
      <c r="H15277" s="37" t="str">
        <f t="shared" si="1192"/>
        <v>Medium</v>
      </c>
      <c r="I15277">
        <v>4</v>
      </c>
      <c r="J15277" t="str" cm="1">
        <f t="array" ref="J15277">_xlfn.IFS(I15277&lt;=3,"small",I15277&lt;=6,"Medium",I15277&lt;=9,"Large")</f>
        <v>Medium</v>
      </c>
      <c r="K15277" s="36">
        <v>45123</v>
      </c>
      <c r="L15277" s="36">
        <v>45125</v>
      </c>
      <c r="M15277" t="s">
        <v>598</v>
      </c>
      <c r="N15277" t="s">
        <v>608</v>
      </c>
      <c r="O15277" s="37" t="str">
        <f t="shared" si="1193"/>
        <v>Cash Payment</v>
      </c>
      <c r="P15277">
        <v>43.14</v>
      </c>
      <c r="Q15277" s="37" t="str">
        <f>IF(P15277&gt;500,"High","low")</f>
        <v>low</v>
      </c>
      <c r="R15277" s="37" t="str">
        <f t="shared" si="1194"/>
        <v>AVERAGE</v>
      </c>
      <c r="S15277" t="s">
        <v>605</v>
      </c>
    </row>
    <row r="15278" spans="1:19" x14ac:dyDescent="0.2">
      <c r="A15278" t="s">
        <v>15889</v>
      </c>
      <c r="B15278" t="s">
        <v>90</v>
      </c>
      <c r="C15278" t="s">
        <v>607</v>
      </c>
      <c r="D15278">
        <v>1648.23</v>
      </c>
      <c r="E15278" s="37" t="str">
        <f t="shared" si="1190"/>
        <v xml:space="preserve"> </v>
      </c>
      <c r="F15278">
        <v>0.04</v>
      </c>
      <c r="G15278" s="37" t="str">
        <f t="shared" si="1191"/>
        <v>Normal Discount</v>
      </c>
      <c r="H15278" s="37" t="str">
        <f t="shared" si="1192"/>
        <v>Low</v>
      </c>
      <c r="I15278">
        <v>7</v>
      </c>
      <c r="J15278" t="str" cm="1">
        <f t="array" ref="J15278">_xlfn.IFS(I15278&lt;=3,"small",I15278&lt;=6,"Medium",I15278&lt;=9,"Large")</f>
        <v>Large</v>
      </c>
      <c r="K15278" s="36">
        <v>45050</v>
      </c>
      <c r="L15278" s="36">
        <v>45057</v>
      </c>
      <c r="M15278" t="s">
        <v>612</v>
      </c>
      <c r="N15278" t="s">
        <v>599</v>
      </c>
      <c r="O15278" s="37" t="str">
        <f t="shared" si="1193"/>
        <v>Digital Payment</v>
      </c>
      <c r="P15278">
        <v>121.93</v>
      </c>
      <c r="Q15278" s="37" t="str">
        <f>IF(P15278&gt;500,"High","low")</f>
        <v>low</v>
      </c>
      <c r="R15278" s="37" t="str">
        <f t="shared" si="1194"/>
        <v>AVERAGE</v>
      </c>
      <c r="S15278" t="s">
        <v>615</v>
      </c>
    </row>
    <row r="15279" spans="1:19" x14ac:dyDescent="0.2">
      <c r="A15279" t="s">
        <v>15890</v>
      </c>
      <c r="B15279" t="s">
        <v>90</v>
      </c>
      <c r="C15279" t="s">
        <v>607</v>
      </c>
      <c r="D15279">
        <v>1371.49</v>
      </c>
      <c r="E15279" s="37" t="str">
        <f t="shared" si="1190"/>
        <v xml:space="preserve"> </v>
      </c>
      <c r="F15279">
        <v>0.44</v>
      </c>
      <c r="G15279" s="37" t="str">
        <f t="shared" si="1191"/>
        <v>Heavy Discount</v>
      </c>
      <c r="H15279" s="37" t="str">
        <f t="shared" si="1192"/>
        <v>High</v>
      </c>
      <c r="I15279">
        <v>9</v>
      </c>
      <c r="J15279" t="str" cm="1">
        <f t="array" ref="J15279">_xlfn.IFS(I15279&lt;=3,"small",I15279&lt;=6,"Medium",I15279&lt;=9,"Large")</f>
        <v>Large</v>
      </c>
      <c r="K15279" s="36">
        <v>45255</v>
      </c>
      <c r="L15279" s="36">
        <v>45261</v>
      </c>
      <c r="M15279" t="s">
        <v>603</v>
      </c>
      <c r="N15279" t="s">
        <v>604</v>
      </c>
      <c r="O15279" s="37" t="str">
        <f t="shared" si="1193"/>
        <v>Digital Payment</v>
      </c>
      <c r="P15279">
        <v>173.41</v>
      </c>
      <c r="Q15279" s="37" t="str">
        <f>IF(P15279&gt;500,"High","low")</f>
        <v>low</v>
      </c>
      <c r="R15279" s="37" t="str">
        <f t="shared" si="1194"/>
        <v>AVERAGE</v>
      </c>
      <c r="S15279" t="s">
        <v>620</v>
      </c>
    </row>
    <row r="15280" spans="1:19" x14ac:dyDescent="0.2">
      <c r="A15280" t="s">
        <v>15891</v>
      </c>
      <c r="B15280" t="s">
        <v>83</v>
      </c>
      <c r="C15280" t="s">
        <v>607</v>
      </c>
      <c r="D15280">
        <v>2466.2600000000002</v>
      </c>
      <c r="E15280" s="37" t="str">
        <f t="shared" si="1190"/>
        <v xml:space="preserve"> </v>
      </c>
      <c r="F15280">
        <v>0.16</v>
      </c>
      <c r="G15280" s="37" t="str">
        <f t="shared" si="1191"/>
        <v>Normal Discount</v>
      </c>
      <c r="H15280" s="37" t="str">
        <f t="shared" si="1192"/>
        <v>Low</v>
      </c>
      <c r="I15280">
        <v>7</v>
      </c>
      <c r="J15280" t="str" cm="1">
        <f t="array" ref="J15280">_xlfn.IFS(I15280&lt;=3,"small",I15280&lt;=6,"Medium",I15280&lt;=9,"Large")</f>
        <v>Large</v>
      </c>
      <c r="K15280" s="36">
        <v>45004</v>
      </c>
      <c r="L15280" s="36">
        <v>45008</v>
      </c>
      <c r="M15280" t="s">
        <v>598</v>
      </c>
      <c r="N15280" t="s">
        <v>604</v>
      </c>
      <c r="O15280" s="37" t="str">
        <f t="shared" si="1193"/>
        <v>Digital Payment</v>
      </c>
      <c r="P15280">
        <v>251.08</v>
      </c>
      <c r="Q15280" s="37" t="str">
        <f>IF(P15280&gt;500,"High","low")</f>
        <v>low</v>
      </c>
      <c r="R15280" s="37" t="str">
        <f t="shared" si="1194"/>
        <v>AVERAGE</v>
      </c>
      <c r="S15280" t="s">
        <v>605</v>
      </c>
    </row>
    <row r="15281" spans="1:19" x14ac:dyDescent="0.2">
      <c r="A15281" t="s">
        <v>15892</v>
      </c>
      <c r="B15281" t="s">
        <v>83</v>
      </c>
      <c r="C15281" t="s">
        <v>614</v>
      </c>
      <c r="D15281">
        <v>3831.85</v>
      </c>
      <c r="E15281" s="37" t="str">
        <f t="shared" si="1190"/>
        <v xml:space="preserve"> </v>
      </c>
      <c r="F15281">
        <v>0.28999999999999998</v>
      </c>
      <c r="G15281" s="37" t="str">
        <f t="shared" si="1191"/>
        <v>Normal Discount</v>
      </c>
      <c r="H15281" s="37" t="str">
        <f t="shared" si="1192"/>
        <v>Medium</v>
      </c>
      <c r="I15281">
        <v>8</v>
      </c>
      <c r="J15281" t="str" cm="1">
        <f t="array" ref="J15281">_xlfn.IFS(I15281&lt;=3,"small",I15281&lt;=6,"Medium",I15281&lt;=9,"Large")</f>
        <v>Large</v>
      </c>
      <c r="K15281" s="36">
        <v>45200</v>
      </c>
      <c r="L15281" s="36">
        <v>45207</v>
      </c>
      <c r="M15281" t="s">
        <v>612</v>
      </c>
      <c r="N15281" t="s">
        <v>599</v>
      </c>
      <c r="O15281" s="37" t="str">
        <f t="shared" si="1193"/>
        <v>Digital Payment</v>
      </c>
      <c r="P15281">
        <v>496.49</v>
      </c>
      <c r="Q15281" s="37" t="str">
        <f>IF(P15281&gt;500,"High","low")</f>
        <v>low</v>
      </c>
      <c r="R15281" s="37" t="str">
        <f t="shared" si="1194"/>
        <v>AVERAGE</v>
      </c>
      <c r="S15281" t="s">
        <v>600</v>
      </c>
    </row>
    <row r="15282" spans="1:19" x14ac:dyDescent="0.2">
      <c r="A15282" t="s">
        <v>15893</v>
      </c>
      <c r="B15282" t="s">
        <v>75</v>
      </c>
      <c r="C15282" t="s">
        <v>602</v>
      </c>
      <c r="D15282">
        <v>2251.3000000000002</v>
      </c>
      <c r="E15282" s="37" t="str">
        <f t="shared" si="1190"/>
        <v xml:space="preserve"> </v>
      </c>
      <c r="F15282">
        <v>0.36</v>
      </c>
      <c r="G15282" s="37" t="str">
        <f t="shared" si="1191"/>
        <v>Heavy Discount</v>
      </c>
      <c r="H15282" s="37" t="str">
        <f t="shared" si="1192"/>
        <v>Medium</v>
      </c>
      <c r="I15282">
        <v>9</v>
      </c>
      <c r="J15282" t="str" cm="1">
        <f t="array" ref="J15282">_xlfn.IFS(I15282&lt;=3,"small",I15282&lt;=6,"Medium",I15282&lt;=9,"Large")</f>
        <v>Large</v>
      </c>
      <c r="K15282" s="36">
        <v>45062</v>
      </c>
      <c r="L15282" s="36">
        <v>45068</v>
      </c>
      <c r="M15282" t="s">
        <v>612</v>
      </c>
      <c r="N15282" t="s">
        <v>604</v>
      </c>
      <c r="O15282" s="37" t="str">
        <f t="shared" si="1193"/>
        <v>Digital Payment</v>
      </c>
      <c r="P15282">
        <v>381.26</v>
      </c>
      <c r="Q15282" s="37" t="str">
        <f>IF(P15282&gt;500,"High","low")</f>
        <v>low</v>
      </c>
      <c r="R15282" s="37" t="str">
        <f t="shared" si="1194"/>
        <v>AVERAGE</v>
      </c>
      <c r="S15282" t="s">
        <v>605</v>
      </c>
    </row>
    <row r="15283" spans="1:19" x14ac:dyDescent="0.2">
      <c r="A15283" t="s">
        <v>15894</v>
      </c>
      <c r="B15283" t="s">
        <v>75</v>
      </c>
      <c r="C15283" t="s">
        <v>614</v>
      </c>
      <c r="D15283">
        <v>4762.6899999999996</v>
      </c>
      <c r="E15283" s="37" t="str">
        <f t="shared" si="1190"/>
        <v xml:space="preserve"> </v>
      </c>
      <c r="F15283">
        <v>0.39</v>
      </c>
      <c r="G15283" s="37" t="str">
        <f t="shared" si="1191"/>
        <v>Heavy Discount</v>
      </c>
      <c r="H15283" s="37" t="str">
        <f t="shared" si="1192"/>
        <v>Medium</v>
      </c>
      <c r="I15283">
        <v>1</v>
      </c>
      <c r="J15283" t="str" cm="1">
        <f t="array" ref="J15283">_xlfn.IFS(I15283&lt;=3,"small",I15283&lt;=6,"Medium",I15283&lt;=9,"Large")</f>
        <v>small</v>
      </c>
      <c r="K15283" s="36">
        <v>45399</v>
      </c>
      <c r="L15283" s="36">
        <v>45406</v>
      </c>
      <c r="M15283" t="s">
        <v>612</v>
      </c>
      <c r="N15283" t="s">
        <v>608</v>
      </c>
      <c r="O15283" s="37" t="str">
        <f t="shared" si="1193"/>
        <v>Cash Payment</v>
      </c>
      <c r="P15283">
        <v>375.4</v>
      </c>
      <c r="Q15283" s="37" t="str">
        <f>IF(P15283&gt;500,"High","low")</f>
        <v>low</v>
      </c>
      <c r="R15283" s="37" t="str">
        <f t="shared" si="1194"/>
        <v>AVERAGE</v>
      </c>
      <c r="S15283" t="s">
        <v>600</v>
      </c>
    </row>
    <row r="15284" spans="1:19" x14ac:dyDescent="0.2">
      <c r="A15284" t="s">
        <v>15895</v>
      </c>
      <c r="B15284" t="s">
        <v>67</v>
      </c>
      <c r="C15284" t="s">
        <v>607</v>
      </c>
      <c r="D15284">
        <v>1184.44</v>
      </c>
      <c r="E15284" s="37" t="str">
        <f t="shared" si="1190"/>
        <v xml:space="preserve"> </v>
      </c>
      <c r="F15284">
        <v>0.22</v>
      </c>
      <c r="G15284" s="37" t="str">
        <f t="shared" si="1191"/>
        <v>Normal Discount</v>
      </c>
      <c r="H15284" s="37" t="str">
        <f t="shared" si="1192"/>
        <v>Medium</v>
      </c>
      <c r="I15284">
        <v>3</v>
      </c>
      <c r="J15284" t="str" cm="1">
        <f t="array" ref="J15284">_xlfn.IFS(I15284&lt;=3,"small",I15284&lt;=6,"Medium",I15284&lt;=9,"Large")</f>
        <v>small</v>
      </c>
      <c r="K15284" s="36">
        <v>45250</v>
      </c>
      <c r="L15284" s="36">
        <v>45252</v>
      </c>
      <c r="M15284" t="s">
        <v>598</v>
      </c>
      <c r="N15284" t="s">
        <v>608</v>
      </c>
      <c r="O15284" s="37" t="str">
        <f t="shared" si="1193"/>
        <v>Cash Payment</v>
      </c>
      <c r="P15284">
        <v>269.74</v>
      </c>
      <c r="Q15284" s="37" t="str">
        <f>IF(P15284&gt;500,"High","low")</f>
        <v>low</v>
      </c>
      <c r="R15284" s="37" t="str">
        <f t="shared" si="1194"/>
        <v>AVERAGE</v>
      </c>
      <c r="S15284" t="s">
        <v>605</v>
      </c>
    </row>
    <row r="15285" spans="1:19" x14ac:dyDescent="0.2">
      <c r="A15285" t="s">
        <v>15896</v>
      </c>
      <c r="B15285" t="s">
        <v>75</v>
      </c>
      <c r="C15285" t="s">
        <v>602</v>
      </c>
      <c r="D15285">
        <v>1182.67</v>
      </c>
      <c r="E15285" s="37" t="str">
        <f t="shared" si="1190"/>
        <v xml:space="preserve"> </v>
      </c>
      <c r="F15285">
        <v>0.39</v>
      </c>
      <c r="G15285" s="37" t="str">
        <f t="shared" si="1191"/>
        <v>Heavy Discount</v>
      </c>
      <c r="H15285" s="37" t="str">
        <f t="shared" si="1192"/>
        <v>Medium</v>
      </c>
      <c r="I15285">
        <v>6</v>
      </c>
      <c r="J15285" t="str" cm="1">
        <f t="array" ref="J15285">_xlfn.IFS(I15285&lt;=3,"small",I15285&lt;=6,"Medium",I15285&lt;=9,"Large")</f>
        <v>Medium</v>
      </c>
      <c r="K15285" s="36">
        <v>45297</v>
      </c>
      <c r="L15285" s="36">
        <v>45298</v>
      </c>
      <c r="M15285" t="s">
        <v>612</v>
      </c>
      <c r="N15285" t="s">
        <v>604</v>
      </c>
      <c r="O15285" s="37" t="str">
        <f t="shared" si="1193"/>
        <v>Digital Payment</v>
      </c>
      <c r="P15285">
        <v>228.89</v>
      </c>
      <c r="Q15285" s="37" t="str">
        <f>IF(P15285&gt;500,"High","low")</f>
        <v>low</v>
      </c>
      <c r="R15285" s="37" t="str">
        <f t="shared" si="1194"/>
        <v>AVERAGE</v>
      </c>
      <c r="S15285" t="s">
        <v>600</v>
      </c>
    </row>
    <row r="15286" spans="1:19" x14ac:dyDescent="0.2">
      <c r="A15286" t="s">
        <v>15897</v>
      </c>
      <c r="B15286" t="s">
        <v>83</v>
      </c>
      <c r="C15286" t="s">
        <v>607</v>
      </c>
      <c r="D15286">
        <v>3061.8</v>
      </c>
      <c r="E15286" s="37" t="str">
        <f t="shared" si="1190"/>
        <v xml:space="preserve"> </v>
      </c>
      <c r="F15286">
        <v>0.06</v>
      </c>
      <c r="G15286" s="37" t="str">
        <f t="shared" si="1191"/>
        <v>Normal Discount</v>
      </c>
      <c r="H15286" s="37" t="str">
        <f t="shared" si="1192"/>
        <v>Low</v>
      </c>
      <c r="I15286">
        <v>8</v>
      </c>
      <c r="J15286" t="str" cm="1">
        <f t="array" ref="J15286">_xlfn.IFS(I15286&lt;=3,"small",I15286&lt;=6,"Medium",I15286&lt;=9,"Large")</f>
        <v>Large</v>
      </c>
      <c r="K15286" s="36">
        <v>45080</v>
      </c>
      <c r="L15286" s="36">
        <v>45087</v>
      </c>
      <c r="M15286" t="s">
        <v>612</v>
      </c>
      <c r="N15286" t="s">
        <v>599</v>
      </c>
      <c r="O15286" s="37" t="str">
        <f t="shared" si="1193"/>
        <v>Digital Payment</v>
      </c>
      <c r="P15286">
        <v>265.73</v>
      </c>
      <c r="Q15286" s="37" t="str">
        <f>IF(P15286&gt;500,"High","low")</f>
        <v>low</v>
      </c>
      <c r="R15286" s="37" t="str">
        <f t="shared" si="1194"/>
        <v>AVERAGE</v>
      </c>
      <c r="S15286" t="s">
        <v>605</v>
      </c>
    </row>
    <row r="15287" spans="1:19" x14ac:dyDescent="0.2">
      <c r="A15287" t="s">
        <v>15898</v>
      </c>
      <c r="B15287" t="s">
        <v>90</v>
      </c>
      <c r="C15287" t="s">
        <v>602</v>
      </c>
      <c r="D15287">
        <v>4491.6899999999996</v>
      </c>
      <c r="E15287" s="37" t="str">
        <f t="shared" si="1190"/>
        <v>Excellent Order</v>
      </c>
      <c r="F15287">
        <v>0.26</v>
      </c>
      <c r="G15287" s="37" t="str">
        <f t="shared" si="1191"/>
        <v>Normal Discount</v>
      </c>
      <c r="H15287" s="37" t="str">
        <f t="shared" si="1192"/>
        <v>Medium</v>
      </c>
      <c r="I15287">
        <v>7</v>
      </c>
      <c r="J15287" t="str" cm="1">
        <f t="array" ref="J15287">_xlfn.IFS(I15287&lt;=3,"small",I15287&lt;=6,"Medium",I15287&lt;=9,"Large")</f>
        <v>Large</v>
      </c>
      <c r="K15287" s="36">
        <v>45513</v>
      </c>
      <c r="L15287" s="36">
        <v>45519</v>
      </c>
      <c r="M15287" t="s">
        <v>598</v>
      </c>
      <c r="N15287" t="s">
        <v>608</v>
      </c>
      <c r="O15287" s="37" t="str">
        <f t="shared" si="1193"/>
        <v>Cash Payment</v>
      </c>
      <c r="P15287">
        <v>985.34</v>
      </c>
      <c r="Q15287" s="37" t="str">
        <f>IF(P15287&gt;500,"High","low")</f>
        <v>High</v>
      </c>
      <c r="R15287" s="37" t="str">
        <f t="shared" si="1194"/>
        <v>Good</v>
      </c>
      <c r="S15287" t="s">
        <v>615</v>
      </c>
    </row>
    <row r="15288" spans="1:19" x14ac:dyDescent="0.2">
      <c r="A15288" t="s">
        <v>15899</v>
      </c>
      <c r="B15288" t="s">
        <v>67</v>
      </c>
      <c r="C15288" t="s">
        <v>617</v>
      </c>
      <c r="D15288">
        <v>3392.1</v>
      </c>
      <c r="E15288" s="37" t="str">
        <f t="shared" si="1190"/>
        <v xml:space="preserve"> </v>
      </c>
      <c r="F15288">
        <v>0.01</v>
      </c>
      <c r="G15288" s="37" t="str">
        <f t="shared" si="1191"/>
        <v>Normal Discount</v>
      </c>
      <c r="H15288" s="37" t="str">
        <f t="shared" si="1192"/>
        <v>Low</v>
      </c>
      <c r="I15288">
        <v>6</v>
      </c>
      <c r="J15288" t="str" cm="1">
        <f t="array" ref="J15288">_xlfn.IFS(I15288&lt;=3,"small",I15288&lt;=6,"Medium",I15288&lt;=9,"Large")</f>
        <v>Medium</v>
      </c>
      <c r="K15288" s="36">
        <v>45343</v>
      </c>
      <c r="L15288" s="36">
        <v>45344</v>
      </c>
      <c r="M15288" t="s">
        <v>603</v>
      </c>
      <c r="N15288" t="s">
        <v>604</v>
      </c>
      <c r="O15288" s="37" t="str">
        <f t="shared" si="1193"/>
        <v>Digital Payment</v>
      </c>
      <c r="P15288">
        <v>715.78</v>
      </c>
      <c r="Q15288" s="37" t="str">
        <f>IF(P15288&gt;500,"High","low")</f>
        <v>High</v>
      </c>
      <c r="R15288" s="37" t="str">
        <f t="shared" si="1194"/>
        <v>Good</v>
      </c>
      <c r="S15288" t="s">
        <v>620</v>
      </c>
    </row>
    <row r="15289" spans="1:19" x14ac:dyDescent="0.2">
      <c r="A15289" t="s">
        <v>15900</v>
      </c>
      <c r="B15289" t="s">
        <v>75</v>
      </c>
      <c r="C15289" t="s">
        <v>614</v>
      </c>
      <c r="D15289">
        <v>3401.02</v>
      </c>
      <c r="E15289" s="37" t="str">
        <f t="shared" si="1190"/>
        <v xml:space="preserve"> </v>
      </c>
      <c r="F15289">
        <v>0.2</v>
      </c>
      <c r="G15289" s="37" t="str">
        <f t="shared" si="1191"/>
        <v>Normal Discount</v>
      </c>
      <c r="H15289" s="37" t="str">
        <f t="shared" si="1192"/>
        <v>Medium</v>
      </c>
      <c r="I15289">
        <v>4</v>
      </c>
      <c r="J15289" t="str" cm="1">
        <f t="array" ref="J15289">_xlfn.IFS(I15289&lt;=3,"small",I15289&lt;=6,"Medium",I15289&lt;=9,"Large")</f>
        <v>Medium</v>
      </c>
      <c r="K15289" s="36">
        <v>44948</v>
      </c>
      <c r="L15289" s="36">
        <v>44950</v>
      </c>
      <c r="M15289" t="s">
        <v>612</v>
      </c>
      <c r="N15289" t="s">
        <v>604</v>
      </c>
      <c r="O15289" s="37" t="str">
        <f t="shared" si="1193"/>
        <v>Digital Payment</v>
      </c>
      <c r="P15289">
        <v>920.89</v>
      </c>
      <c r="Q15289" s="37" t="str">
        <f>IF(P15289&gt;500,"High","low")</f>
        <v>High</v>
      </c>
      <c r="R15289" s="37" t="str">
        <f t="shared" si="1194"/>
        <v>Good</v>
      </c>
      <c r="S15289" t="s">
        <v>628</v>
      </c>
    </row>
    <row r="15290" spans="1:19" x14ac:dyDescent="0.2">
      <c r="A15290" t="s">
        <v>15901</v>
      </c>
      <c r="B15290" t="s">
        <v>75</v>
      </c>
      <c r="C15290" t="s">
        <v>607</v>
      </c>
      <c r="D15290">
        <v>4050.8</v>
      </c>
      <c r="E15290" s="37" t="str">
        <f t="shared" si="1190"/>
        <v xml:space="preserve"> </v>
      </c>
      <c r="F15290">
        <v>0.18</v>
      </c>
      <c r="G15290" s="37" t="str">
        <f t="shared" si="1191"/>
        <v>Normal Discount</v>
      </c>
      <c r="H15290" s="37" t="str">
        <f t="shared" si="1192"/>
        <v>Low</v>
      </c>
      <c r="I15290">
        <v>8</v>
      </c>
      <c r="J15290" t="str" cm="1">
        <f t="array" ref="J15290">_xlfn.IFS(I15290&lt;=3,"small",I15290&lt;=6,"Medium",I15290&lt;=9,"Large")</f>
        <v>Large</v>
      </c>
      <c r="K15290" s="36">
        <v>45182</v>
      </c>
      <c r="L15290" s="36">
        <v>45185</v>
      </c>
      <c r="M15290" t="s">
        <v>603</v>
      </c>
      <c r="N15290" t="s">
        <v>608</v>
      </c>
      <c r="O15290" s="37" t="str">
        <f t="shared" si="1193"/>
        <v>Cash Payment</v>
      </c>
      <c r="P15290">
        <v>416.9</v>
      </c>
      <c r="Q15290" s="37" t="str">
        <f>IF(P15290&gt;500,"High","low")</f>
        <v>low</v>
      </c>
      <c r="R15290" s="37" t="str">
        <f t="shared" si="1194"/>
        <v>AVERAGE</v>
      </c>
      <c r="S15290" t="s">
        <v>620</v>
      </c>
    </row>
    <row r="15291" spans="1:19" x14ac:dyDescent="0.2">
      <c r="A15291" t="s">
        <v>15902</v>
      </c>
      <c r="B15291" t="s">
        <v>83</v>
      </c>
      <c r="C15291" t="s">
        <v>607</v>
      </c>
      <c r="D15291">
        <v>3376.53</v>
      </c>
      <c r="E15291" s="37" t="str">
        <f t="shared" si="1190"/>
        <v xml:space="preserve"> </v>
      </c>
      <c r="F15291">
        <v>0.49</v>
      </c>
      <c r="G15291" s="37" t="str">
        <f t="shared" si="1191"/>
        <v>Heavy Discount</v>
      </c>
      <c r="H15291" s="37" t="str">
        <f t="shared" si="1192"/>
        <v>High</v>
      </c>
      <c r="I15291">
        <v>4</v>
      </c>
      <c r="J15291" t="str" cm="1">
        <f t="array" ref="J15291">_xlfn.IFS(I15291&lt;=3,"small",I15291&lt;=6,"Medium",I15291&lt;=9,"Large")</f>
        <v>Medium</v>
      </c>
      <c r="K15291" s="36">
        <v>45507</v>
      </c>
      <c r="L15291" s="36">
        <v>45508</v>
      </c>
      <c r="M15291" t="s">
        <v>598</v>
      </c>
      <c r="N15291" t="s">
        <v>608</v>
      </c>
      <c r="O15291" s="37" t="str">
        <f t="shared" si="1193"/>
        <v>Cash Payment</v>
      </c>
      <c r="P15291">
        <v>682.98</v>
      </c>
      <c r="Q15291" s="37" t="str">
        <f>IF(P15291&gt;500,"High","low")</f>
        <v>High</v>
      </c>
      <c r="R15291" s="37" t="str">
        <f t="shared" si="1194"/>
        <v>Good</v>
      </c>
      <c r="S15291" t="s">
        <v>628</v>
      </c>
    </row>
    <row r="15292" spans="1:19" x14ac:dyDescent="0.2">
      <c r="A15292" t="s">
        <v>15903</v>
      </c>
      <c r="B15292" t="s">
        <v>67</v>
      </c>
      <c r="C15292" t="s">
        <v>597</v>
      </c>
      <c r="D15292">
        <v>3820.8</v>
      </c>
      <c r="E15292" s="37" t="str">
        <f t="shared" si="1190"/>
        <v xml:space="preserve"> </v>
      </c>
      <c r="F15292">
        <v>0.2</v>
      </c>
      <c r="G15292" s="37" t="str">
        <f t="shared" si="1191"/>
        <v>Normal Discount</v>
      </c>
      <c r="H15292" s="37" t="str">
        <f t="shared" si="1192"/>
        <v>Medium</v>
      </c>
      <c r="I15292">
        <v>6</v>
      </c>
      <c r="J15292" t="str" cm="1">
        <f t="array" ref="J15292">_xlfn.IFS(I15292&lt;=3,"small",I15292&lt;=6,"Medium",I15292&lt;=9,"Large")</f>
        <v>Medium</v>
      </c>
      <c r="K15292" s="36">
        <v>45567</v>
      </c>
      <c r="L15292" s="36">
        <v>45572</v>
      </c>
      <c r="M15292" t="s">
        <v>598</v>
      </c>
      <c r="N15292" t="s">
        <v>604</v>
      </c>
      <c r="O15292" s="37" t="str">
        <f t="shared" si="1193"/>
        <v>Digital Payment</v>
      </c>
      <c r="P15292">
        <v>1027.78</v>
      </c>
      <c r="Q15292" s="37" t="str">
        <f>IF(P15292&gt;500,"High","low")</f>
        <v>High</v>
      </c>
      <c r="R15292" s="37" t="str">
        <f t="shared" si="1194"/>
        <v>Excellent</v>
      </c>
      <c r="S15292" t="s">
        <v>615</v>
      </c>
    </row>
    <row r="15293" spans="1:19" x14ac:dyDescent="0.2">
      <c r="A15293" t="s">
        <v>15904</v>
      </c>
      <c r="B15293" t="s">
        <v>75</v>
      </c>
      <c r="C15293" t="s">
        <v>617</v>
      </c>
      <c r="D15293">
        <v>4344.0200000000004</v>
      </c>
      <c r="E15293" s="37" t="str">
        <f t="shared" si="1190"/>
        <v xml:space="preserve"> </v>
      </c>
      <c r="F15293">
        <v>0.45</v>
      </c>
      <c r="G15293" s="37" t="str">
        <f t="shared" si="1191"/>
        <v>Heavy Discount</v>
      </c>
      <c r="H15293" s="37" t="str">
        <f t="shared" si="1192"/>
        <v>High</v>
      </c>
      <c r="I15293">
        <v>3</v>
      </c>
      <c r="J15293" t="str" cm="1">
        <f t="array" ref="J15293">_xlfn.IFS(I15293&lt;=3,"small",I15293&lt;=6,"Medium",I15293&lt;=9,"Large")</f>
        <v>small</v>
      </c>
      <c r="K15293" s="36">
        <v>44961</v>
      </c>
      <c r="L15293" s="36">
        <v>44964</v>
      </c>
      <c r="M15293" t="s">
        <v>612</v>
      </c>
      <c r="N15293" t="s">
        <v>608</v>
      </c>
      <c r="O15293" s="37" t="str">
        <f t="shared" si="1193"/>
        <v>Cash Payment</v>
      </c>
      <c r="P15293">
        <v>502.98</v>
      </c>
      <c r="Q15293" s="37" t="str">
        <f>IF(P15293&gt;500,"High","low")</f>
        <v>High</v>
      </c>
      <c r="R15293" s="37" t="str">
        <f t="shared" si="1194"/>
        <v>Good</v>
      </c>
      <c r="S15293" t="s">
        <v>609</v>
      </c>
    </row>
    <row r="15294" spans="1:19" x14ac:dyDescent="0.2">
      <c r="A15294" t="s">
        <v>15905</v>
      </c>
      <c r="B15294" t="s">
        <v>90</v>
      </c>
      <c r="C15294" t="s">
        <v>607</v>
      </c>
      <c r="D15294">
        <v>138.76</v>
      </c>
      <c r="E15294" s="37" t="str">
        <f t="shared" si="1190"/>
        <v xml:space="preserve"> </v>
      </c>
      <c r="F15294">
        <v>0.22</v>
      </c>
      <c r="G15294" s="37" t="str">
        <f t="shared" si="1191"/>
        <v>Normal Discount</v>
      </c>
      <c r="H15294" s="37" t="str">
        <f t="shared" si="1192"/>
        <v>Medium</v>
      </c>
      <c r="I15294">
        <v>7</v>
      </c>
      <c r="J15294" t="str" cm="1">
        <f t="array" ref="J15294">_xlfn.IFS(I15294&lt;=3,"small",I15294&lt;=6,"Medium",I15294&lt;=9,"Large")</f>
        <v>Large</v>
      </c>
      <c r="K15294" s="36">
        <v>45110</v>
      </c>
      <c r="L15294" s="36">
        <v>45112</v>
      </c>
      <c r="M15294" t="s">
        <v>612</v>
      </c>
      <c r="N15294" t="s">
        <v>599</v>
      </c>
      <c r="O15294" s="37" t="str">
        <f t="shared" si="1193"/>
        <v>Digital Payment</v>
      </c>
      <c r="P15294">
        <v>14.98</v>
      </c>
      <c r="Q15294" s="37" t="str">
        <f>IF(P15294&gt;500,"High","low")</f>
        <v>low</v>
      </c>
      <c r="R15294" s="37" t="str">
        <f t="shared" si="1194"/>
        <v>AVERAGE</v>
      </c>
      <c r="S15294" t="s">
        <v>628</v>
      </c>
    </row>
    <row r="15295" spans="1:19" x14ac:dyDescent="0.2">
      <c r="A15295" t="s">
        <v>15906</v>
      </c>
      <c r="B15295" t="s">
        <v>83</v>
      </c>
      <c r="C15295" t="s">
        <v>614</v>
      </c>
      <c r="D15295">
        <v>4439.55</v>
      </c>
      <c r="E15295" s="37" t="str">
        <f t="shared" si="1190"/>
        <v xml:space="preserve"> </v>
      </c>
      <c r="F15295">
        <v>0.27</v>
      </c>
      <c r="G15295" s="37" t="str">
        <f t="shared" si="1191"/>
        <v>Normal Discount</v>
      </c>
      <c r="H15295" s="37" t="str">
        <f t="shared" si="1192"/>
        <v>Medium</v>
      </c>
      <c r="I15295">
        <v>6</v>
      </c>
      <c r="J15295" t="str" cm="1">
        <f t="array" ref="J15295">_xlfn.IFS(I15295&lt;=3,"small",I15295&lt;=6,"Medium",I15295&lt;=9,"Large")</f>
        <v>Medium</v>
      </c>
      <c r="K15295" s="36">
        <v>45149</v>
      </c>
      <c r="L15295" s="36">
        <v>45152</v>
      </c>
      <c r="M15295" t="s">
        <v>598</v>
      </c>
      <c r="N15295" t="s">
        <v>608</v>
      </c>
      <c r="O15295" s="37" t="str">
        <f t="shared" si="1193"/>
        <v>Cash Payment</v>
      </c>
      <c r="P15295">
        <v>527.30999999999995</v>
      </c>
      <c r="Q15295" s="37" t="str">
        <f>IF(P15295&gt;500,"High","low")</f>
        <v>High</v>
      </c>
      <c r="R15295" s="37" t="str">
        <f t="shared" si="1194"/>
        <v>Good</v>
      </c>
      <c r="S15295" t="s">
        <v>609</v>
      </c>
    </row>
    <row r="15296" spans="1:19" x14ac:dyDescent="0.2">
      <c r="A15296" t="s">
        <v>15907</v>
      </c>
      <c r="B15296" t="s">
        <v>67</v>
      </c>
      <c r="C15296" t="s">
        <v>617</v>
      </c>
      <c r="D15296">
        <v>1154.8</v>
      </c>
      <c r="E15296" s="37" t="str">
        <f t="shared" si="1190"/>
        <v xml:space="preserve"> </v>
      </c>
      <c r="F15296">
        <v>0.18</v>
      </c>
      <c r="G15296" s="37" t="str">
        <f t="shared" si="1191"/>
        <v>Normal Discount</v>
      </c>
      <c r="H15296" s="37" t="str">
        <f t="shared" si="1192"/>
        <v>Low</v>
      </c>
      <c r="I15296">
        <v>7</v>
      </c>
      <c r="J15296" t="str" cm="1">
        <f t="array" ref="J15296">_xlfn.IFS(I15296&lt;=3,"small",I15296&lt;=6,"Medium",I15296&lt;=9,"Large")</f>
        <v>Large</v>
      </c>
      <c r="K15296" s="36">
        <v>45052</v>
      </c>
      <c r="L15296" s="36">
        <v>45056</v>
      </c>
      <c r="M15296" t="s">
        <v>612</v>
      </c>
      <c r="N15296" t="s">
        <v>599</v>
      </c>
      <c r="O15296" s="37" t="str">
        <f t="shared" si="1193"/>
        <v>Digital Payment</v>
      </c>
      <c r="P15296">
        <v>278.06</v>
      </c>
      <c r="Q15296" s="37" t="str">
        <f>IF(P15296&gt;500,"High","low")</f>
        <v>low</v>
      </c>
      <c r="R15296" s="37" t="str">
        <f t="shared" si="1194"/>
        <v>AVERAGE</v>
      </c>
      <c r="S15296" t="s">
        <v>609</v>
      </c>
    </row>
    <row r="15297" spans="1:19" x14ac:dyDescent="0.2">
      <c r="A15297" t="s">
        <v>15908</v>
      </c>
      <c r="B15297" t="s">
        <v>75</v>
      </c>
      <c r="C15297" t="s">
        <v>607</v>
      </c>
      <c r="D15297">
        <v>4569.32</v>
      </c>
      <c r="E15297" s="37" t="str">
        <f t="shared" si="1190"/>
        <v>Excellent Order</v>
      </c>
      <c r="F15297">
        <v>0.32</v>
      </c>
      <c r="G15297" s="37" t="str">
        <f t="shared" si="1191"/>
        <v>Heavy Discount</v>
      </c>
      <c r="H15297" s="37" t="str">
        <f t="shared" si="1192"/>
        <v>Medium</v>
      </c>
      <c r="I15297">
        <v>5</v>
      </c>
      <c r="J15297" t="str" cm="1">
        <f t="array" ref="J15297">_xlfn.IFS(I15297&lt;=3,"small",I15297&lt;=6,"Medium",I15297&lt;=9,"Large")</f>
        <v>Medium</v>
      </c>
      <c r="K15297" s="36">
        <v>45569</v>
      </c>
      <c r="L15297" s="36">
        <v>45575</v>
      </c>
      <c r="M15297" t="s">
        <v>612</v>
      </c>
      <c r="N15297" t="s">
        <v>599</v>
      </c>
      <c r="O15297" s="37" t="str">
        <f t="shared" si="1193"/>
        <v>Digital Payment</v>
      </c>
      <c r="P15297">
        <v>1152.97</v>
      </c>
      <c r="Q15297" s="37" t="str">
        <f>IF(P15297&gt;500,"High","low")</f>
        <v>High</v>
      </c>
      <c r="R15297" s="37" t="str">
        <f t="shared" si="1194"/>
        <v>Excellent</v>
      </c>
      <c r="S15297" t="s">
        <v>620</v>
      </c>
    </row>
    <row r="15298" spans="1:19" x14ac:dyDescent="0.2">
      <c r="A15298" t="s">
        <v>15909</v>
      </c>
      <c r="B15298" t="s">
        <v>75</v>
      </c>
      <c r="C15298" t="s">
        <v>614</v>
      </c>
      <c r="D15298">
        <v>1404.3</v>
      </c>
      <c r="E15298" s="37" t="str">
        <f t="shared" si="1190"/>
        <v xml:space="preserve"> </v>
      </c>
      <c r="F15298">
        <v>0.37</v>
      </c>
      <c r="G15298" s="37" t="str">
        <f t="shared" si="1191"/>
        <v>Heavy Discount</v>
      </c>
      <c r="H15298" s="37" t="str">
        <f t="shared" si="1192"/>
        <v>Medium</v>
      </c>
      <c r="I15298">
        <v>5</v>
      </c>
      <c r="J15298" t="str" cm="1">
        <f t="array" ref="J15298">_xlfn.IFS(I15298&lt;=3,"small",I15298&lt;=6,"Medium",I15298&lt;=9,"Large")</f>
        <v>Medium</v>
      </c>
      <c r="K15298" s="36">
        <v>45125</v>
      </c>
      <c r="L15298" s="36">
        <v>45132</v>
      </c>
      <c r="M15298" t="s">
        <v>603</v>
      </c>
      <c r="N15298" t="s">
        <v>608</v>
      </c>
      <c r="O15298" s="37" t="str">
        <f t="shared" si="1193"/>
        <v>Cash Payment</v>
      </c>
      <c r="P15298">
        <v>82.33</v>
      </c>
      <c r="Q15298" s="37" t="str">
        <f>IF(P15298&gt;500,"High","low")</f>
        <v>low</v>
      </c>
      <c r="R15298" s="37" t="str">
        <f t="shared" si="1194"/>
        <v>AVERAGE</v>
      </c>
      <c r="S15298" t="s">
        <v>620</v>
      </c>
    </row>
    <row r="15299" spans="1:19" x14ac:dyDescent="0.2">
      <c r="A15299" t="s">
        <v>15910</v>
      </c>
      <c r="B15299" t="s">
        <v>67</v>
      </c>
      <c r="C15299" t="s">
        <v>597</v>
      </c>
      <c r="D15299">
        <v>2330.67</v>
      </c>
      <c r="E15299" s="37" t="str">
        <f>IF(AND(D15299&gt;4000,P15299&gt;800),"Excellent Order"," ")</f>
        <v xml:space="preserve"> </v>
      </c>
      <c r="F15299">
        <v>0.4</v>
      </c>
      <c r="G15299" s="37" t="str">
        <f t="shared" ref="G15299:G15346" si="1195">IF(F15299&gt;30%,"Heavy Discount","Normal Discount")</f>
        <v>Heavy Discount</v>
      </c>
      <c r="H15299" s="37" t="str">
        <f t="shared" ref="H15299:H15349" si="1196">IF(F15299&gt;0.4,"High",IF(F15299&gt;=0.2,"Medium","Low"))</f>
        <v>Medium</v>
      </c>
      <c r="I15299">
        <v>2</v>
      </c>
      <c r="J15299" t="str" cm="1">
        <f t="array" ref="J15299">_xlfn.IFS(I15299&lt;=3,"small",I15299&lt;=6,"Medium",I15299&lt;=9,"Large")</f>
        <v>small</v>
      </c>
      <c r="K15299" s="36">
        <v>45055</v>
      </c>
      <c r="L15299" s="36">
        <v>45058</v>
      </c>
      <c r="M15299" t="s">
        <v>603</v>
      </c>
      <c r="N15299" t="s">
        <v>599</v>
      </c>
      <c r="O15299" s="37" t="str">
        <f t="shared" ref="O15299:O15346" si="1197">IF(OR(N15299="Card",N15299="UPI"),"Digital Payment","Cash Payment")</f>
        <v>Digital Payment</v>
      </c>
      <c r="P15299">
        <v>299.63</v>
      </c>
      <c r="Q15299" s="37" t="str">
        <f>IF(P15299&gt;500,"High","low")</f>
        <v>low</v>
      </c>
      <c r="R15299" s="37" t="str">
        <f t="shared" ref="R15299:R15346" si="1198">IF(P15299&gt;1000,"Excellent",IF(P15299&gt;=500,"Good","AVERAGE"))</f>
        <v>AVERAGE</v>
      </c>
      <c r="S15299" t="s">
        <v>628</v>
      </c>
    </row>
    <row r="15300" spans="1:19" x14ac:dyDescent="0.2">
      <c r="A15300" t="s">
        <v>15911</v>
      </c>
      <c r="B15300" t="s">
        <v>83</v>
      </c>
      <c r="C15300" t="s">
        <v>597</v>
      </c>
      <c r="D15300">
        <v>4676.03</v>
      </c>
      <c r="E15300" s="37" t="str">
        <f>IF(AND(D15300&gt;4000,P15300&gt;800),"Excellent Order"," ")</f>
        <v xml:space="preserve"> </v>
      </c>
      <c r="F15300">
        <v>0.35</v>
      </c>
      <c r="G15300" s="37" t="str">
        <f t="shared" si="1195"/>
        <v>Heavy Discount</v>
      </c>
      <c r="H15300" s="37" t="str">
        <f t="shared" si="1196"/>
        <v>Medium</v>
      </c>
      <c r="I15300">
        <v>6</v>
      </c>
      <c r="J15300" t="str" cm="1">
        <f t="array" ref="J15300">_xlfn.IFS(I15300&lt;=3,"small",I15300&lt;=6,"Medium",I15300&lt;=9,"Large")</f>
        <v>Medium</v>
      </c>
      <c r="K15300" s="36">
        <v>45496</v>
      </c>
      <c r="L15300" s="36">
        <v>45503</v>
      </c>
      <c r="M15300" t="s">
        <v>598</v>
      </c>
      <c r="N15300" t="s">
        <v>604</v>
      </c>
      <c r="O15300" s="37" t="str">
        <f t="shared" si="1197"/>
        <v>Digital Payment</v>
      </c>
      <c r="P15300">
        <v>382.02</v>
      </c>
      <c r="Q15300" s="37" t="str">
        <f>IF(P15300&gt;500,"High","low")</f>
        <v>low</v>
      </c>
      <c r="R15300" s="37" t="str">
        <f t="shared" si="1198"/>
        <v>AVERAGE</v>
      </c>
      <c r="S15300" t="s">
        <v>609</v>
      </c>
    </row>
    <row r="15301" spans="1:19" x14ac:dyDescent="0.2">
      <c r="A15301" t="s">
        <v>15912</v>
      </c>
      <c r="B15301" t="s">
        <v>67</v>
      </c>
      <c r="C15301" t="s">
        <v>614</v>
      </c>
      <c r="D15301">
        <v>637.76</v>
      </c>
      <c r="E15301" s="37" t="str">
        <f>IF(AND(D15301&gt;4000,P15301&gt;800),"Excellent Order"," ")</f>
        <v xml:space="preserve"> </v>
      </c>
      <c r="F15301">
        <v>0.16</v>
      </c>
      <c r="G15301" s="37" t="str">
        <f t="shared" si="1195"/>
        <v>Normal Discount</v>
      </c>
      <c r="H15301" s="37" t="str">
        <f t="shared" si="1196"/>
        <v>Low</v>
      </c>
      <c r="I15301">
        <v>1</v>
      </c>
      <c r="J15301" t="str" cm="1">
        <f t="array" ref="J15301">_xlfn.IFS(I15301&lt;=3,"small",I15301&lt;=6,"Medium",I15301&lt;=9,"Large")</f>
        <v>small</v>
      </c>
      <c r="K15301" s="36">
        <v>45155</v>
      </c>
      <c r="L15301" s="36">
        <v>45161</v>
      </c>
      <c r="M15301" t="s">
        <v>612</v>
      </c>
      <c r="N15301" t="s">
        <v>604</v>
      </c>
      <c r="O15301" s="37" t="str">
        <f t="shared" si="1197"/>
        <v>Digital Payment</v>
      </c>
      <c r="P15301">
        <v>56.38</v>
      </c>
      <c r="Q15301" s="37" t="str">
        <f>IF(P15301&gt;500,"High","low")</f>
        <v>low</v>
      </c>
      <c r="R15301" s="37" t="str">
        <f t="shared" si="1198"/>
        <v>AVERAGE</v>
      </c>
      <c r="S15301" t="s">
        <v>615</v>
      </c>
    </row>
    <row r="15302" spans="1:19" x14ac:dyDescent="0.2">
      <c r="A15302" t="s">
        <v>15913</v>
      </c>
      <c r="B15302" t="s">
        <v>67</v>
      </c>
      <c r="C15302" t="s">
        <v>617</v>
      </c>
      <c r="D15302">
        <v>3751.89</v>
      </c>
      <c r="E15302" s="37" t="str">
        <f>IF(AND(D15302&gt;4000,P15302&gt;800),"Excellent Order"," ")</f>
        <v xml:space="preserve"> </v>
      </c>
      <c r="F15302">
        <v>0.17</v>
      </c>
      <c r="G15302" s="37" t="str">
        <f t="shared" si="1195"/>
        <v>Normal Discount</v>
      </c>
      <c r="H15302" s="37" t="str">
        <f t="shared" si="1196"/>
        <v>Low</v>
      </c>
      <c r="I15302">
        <v>7</v>
      </c>
      <c r="J15302" t="str" cm="1">
        <f t="array" ref="J15302">_xlfn.IFS(I15302&lt;=3,"small",I15302&lt;=6,"Medium",I15302&lt;=9,"Large")</f>
        <v>Large</v>
      </c>
      <c r="K15302" s="36">
        <v>45148</v>
      </c>
      <c r="L15302" s="36">
        <v>45150</v>
      </c>
      <c r="M15302" t="s">
        <v>612</v>
      </c>
      <c r="N15302" t="s">
        <v>604</v>
      </c>
      <c r="O15302" s="37" t="str">
        <f t="shared" si="1197"/>
        <v>Digital Payment</v>
      </c>
      <c r="P15302">
        <v>952.92</v>
      </c>
      <c r="Q15302" s="37" t="str">
        <f>IF(P15302&gt;500,"High","low")</f>
        <v>High</v>
      </c>
      <c r="R15302" s="37" t="str">
        <f t="shared" si="1198"/>
        <v>Good</v>
      </c>
      <c r="S15302" t="s">
        <v>605</v>
      </c>
    </row>
    <row r="15303" spans="1:19" x14ac:dyDescent="0.2">
      <c r="A15303" t="s">
        <v>15914</v>
      </c>
      <c r="B15303" t="s">
        <v>83</v>
      </c>
      <c r="C15303" t="s">
        <v>614</v>
      </c>
      <c r="D15303">
        <v>2023</v>
      </c>
      <c r="E15303" s="37" t="str">
        <f>IF(AND(D15303&gt;4000,P15303&gt;800),"Excellent Order"," ")</f>
        <v xml:space="preserve"> </v>
      </c>
      <c r="F15303">
        <v>0.17</v>
      </c>
      <c r="G15303" s="37" t="str">
        <f t="shared" si="1195"/>
        <v>Normal Discount</v>
      </c>
      <c r="H15303" s="37" t="str">
        <f t="shared" si="1196"/>
        <v>Low</v>
      </c>
      <c r="I15303">
        <v>3</v>
      </c>
      <c r="J15303" t="str" cm="1">
        <f t="array" ref="J15303">_xlfn.IFS(I15303&lt;=3,"small",I15303&lt;=6,"Medium",I15303&lt;=9,"Large")</f>
        <v>small</v>
      </c>
      <c r="K15303" s="36">
        <v>45523</v>
      </c>
      <c r="L15303" s="36">
        <v>45527</v>
      </c>
      <c r="M15303" t="s">
        <v>603</v>
      </c>
      <c r="N15303" t="s">
        <v>604</v>
      </c>
      <c r="O15303" s="37" t="str">
        <f t="shared" si="1197"/>
        <v>Digital Payment</v>
      </c>
      <c r="P15303">
        <v>588.64</v>
      </c>
      <c r="Q15303" s="37" t="str">
        <f>IF(P15303&gt;500,"High","low")</f>
        <v>High</v>
      </c>
      <c r="R15303" s="37" t="str">
        <f t="shared" si="1198"/>
        <v>Good</v>
      </c>
      <c r="S15303" t="s">
        <v>620</v>
      </c>
    </row>
    <row r="15304" spans="1:19" x14ac:dyDescent="0.2">
      <c r="A15304" t="s">
        <v>15915</v>
      </c>
      <c r="B15304" t="s">
        <v>75</v>
      </c>
      <c r="C15304" t="s">
        <v>614</v>
      </c>
      <c r="D15304">
        <v>218.09</v>
      </c>
      <c r="E15304" s="37" t="str">
        <f>IF(AND(D15304&gt;4000,P15304&gt;800),"Excellent Order"," ")</f>
        <v xml:space="preserve"> </v>
      </c>
      <c r="F15304">
        <v>0.02</v>
      </c>
      <c r="G15304" s="37" t="str">
        <f t="shared" si="1195"/>
        <v>Normal Discount</v>
      </c>
      <c r="H15304" s="37" t="str">
        <f t="shared" si="1196"/>
        <v>Low</v>
      </c>
      <c r="I15304">
        <v>2</v>
      </c>
      <c r="J15304" t="str" cm="1">
        <f t="array" ref="J15304">_xlfn.IFS(I15304&lt;=3,"small",I15304&lt;=6,"Medium",I15304&lt;=9,"Large")</f>
        <v>small</v>
      </c>
      <c r="K15304" s="36">
        <v>45374</v>
      </c>
      <c r="L15304" s="36">
        <v>45380</v>
      </c>
      <c r="M15304" t="s">
        <v>612</v>
      </c>
      <c r="N15304" t="s">
        <v>604</v>
      </c>
      <c r="O15304" s="37" t="str">
        <f t="shared" si="1197"/>
        <v>Digital Payment</v>
      </c>
      <c r="P15304">
        <v>33.46</v>
      </c>
      <c r="Q15304" s="37" t="str">
        <f>IF(P15304&gt;500,"High","low")</f>
        <v>low</v>
      </c>
      <c r="R15304" s="37" t="str">
        <f t="shared" si="1198"/>
        <v>AVERAGE</v>
      </c>
      <c r="S15304" t="s">
        <v>600</v>
      </c>
    </row>
    <row r="15305" spans="1:19" x14ac:dyDescent="0.2">
      <c r="A15305" t="s">
        <v>15916</v>
      </c>
      <c r="B15305" t="s">
        <v>90</v>
      </c>
      <c r="C15305" t="s">
        <v>597</v>
      </c>
      <c r="D15305">
        <v>4701.75</v>
      </c>
      <c r="E15305" s="37" t="str">
        <f>IF(AND(D15305&gt;4000,P15305&gt;800),"Excellent Order"," ")</f>
        <v>Excellent Order</v>
      </c>
      <c r="F15305">
        <v>0.47</v>
      </c>
      <c r="G15305" s="37" t="str">
        <f t="shared" si="1195"/>
        <v>Heavy Discount</v>
      </c>
      <c r="H15305" s="37" t="str">
        <f t="shared" si="1196"/>
        <v>High</v>
      </c>
      <c r="I15305">
        <v>7</v>
      </c>
      <c r="J15305" t="str" cm="1">
        <f t="array" ref="J15305">_xlfn.IFS(I15305&lt;=3,"small",I15305&lt;=6,"Medium",I15305&lt;=9,"Large")</f>
        <v>Large</v>
      </c>
      <c r="K15305" s="36">
        <v>45390</v>
      </c>
      <c r="L15305" s="36">
        <v>45395</v>
      </c>
      <c r="M15305" t="s">
        <v>603</v>
      </c>
      <c r="N15305" t="s">
        <v>608</v>
      </c>
      <c r="O15305" s="37" t="str">
        <f t="shared" si="1197"/>
        <v>Cash Payment</v>
      </c>
      <c r="P15305">
        <v>1375.36</v>
      </c>
      <c r="Q15305" s="37" t="str">
        <f>IF(P15305&gt;500,"High","low")</f>
        <v>High</v>
      </c>
      <c r="R15305" s="37" t="str">
        <f t="shared" si="1198"/>
        <v>Excellent</v>
      </c>
      <c r="S15305" t="s">
        <v>615</v>
      </c>
    </row>
    <row r="15306" spans="1:19" x14ac:dyDescent="0.2">
      <c r="A15306" t="s">
        <v>15917</v>
      </c>
      <c r="B15306" t="s">
        <v>83</v>
      </c>
      <c r="C15306" t="s">
        <v>597</v>
      </c>
      <c r="D15306">
        <v>677.36</v>
      </c>
      <c r="E15306" s="37" t="str">
        <f>IF(AND(D15306&gt;4000,P15306&gt;800),"Excellent Order"," ")</f>
        <v xml:space="preserve"> </v>
      </c>
      <c r="F15306">
        <v>0.1</v>
      </c>
      <c r="G15306" s="37" t="str">
        <f t="shared" si="1195"/>
        <v>Normal Discount</v>
      </c>
      <c r="H15306" s="37" t="str">
        <f t="shared" si="1196"/>
        <v>Low</v>
      </c>
      <c r="I15306">
        <v>9</v>
      </c>
      <c r="J15306" t="str" cm="1">
        <f t="array" ref="J15306">_xlfn.IFS(I15306&lt;=3,"small",I15306&lt;=6,"Medium",I15306&lt;=9,"Large")</f>
        <v>Large</v>
      </c>
      <c r="K15306" s="36">
        <v>45186</v>
      </c>
      <c r="L15306" s="36">
        <v>45191</v>
      </c>
      <c r="M15306" t="s">
        <v>598</v>
      </c>
      <c r="N15306" t="s">
        <v>604</v>
      </c>
      <c r="O15306" s="37" t="str">
        <f t="shared" si="1197"/>
        <v>Digital Payment</v>
      </c>
      <c r="P15306">
        <v>97.84</v>
      </c>
      <c r="Q15306" s="37" t="str">
        <f>IF(P15306&gt;500,"High","low")</f>
        <v>low</v>
      </c>
      <c r="R15306" s="37" t="str">
        <f t="shared" si="1198"/>
        <v>AVERAGE</v>
      </c>
      <c r="S15306" t="s">
        <v>615</v>
      </c>
    </row>
    <row r="15307" spans="1:19" x14ac:dyDescent="0.2">
      <c r="A15307" t="s">
        <v>15918</v>
      </c>
      <c r="B15307" t="s">
        <v>90</v>
      </c>
      <c r="C15307" t="s">
        <v>597</v>
      </c>
      <c r="D15307">
        <v>3893.29</v>
      </c>
      <c r="E15307" s="37" t="str">
        <f>IF(AND(D15307&gt;4000,P15307&gt;800),"Excellent Order"," ")</f>
        <v xml:space="preserve"> </v>
      </c>
      <c r="F15307">
        <v>0.08</v>
      </c>
      <c r="G15307" s="37" t="str">
        <f t="shared" si="1195"/>
        <v>Normal Discount</v>
      </c>
      <c r="H15307" s="37" t="str">
        <f t="shared" si="1196"/>
        <v>Low</v>
      </c>
      <c r="I15307">
        <v>1</v>
      </c>
      <c r="J15307" t="str" cm="1">
        <f t="array" ref="J15307">_xlfn.IFS(I15307&lt;=3,"small",I15307&lt;=6,"Medium",I15307&lt;=9,"Large")</f>
        <v>small</v>
      </c>
      <c r="K15307" s="36">
        <v>45433</v>
      </c>
      <c r="L15307" s="36">
        <v>45439</v>
      </c>
      <c r="M15307" t="s">
        <v>598</v>
      </c>
      <c r="N15307" t="s">
        <v>608</v>
      </c>
      <c r="O15307" s="37" t="str">
        <f t="shared" si="1197"/>
        <v>Cash Payment</v>
      </c>
      <c r="P15307">
        <v>891.71</v>
      </c>
      <c r="Q15307" s="37" t="str">
        <f>IF(P15307&gt;500,"High","low")</f>
        <v>High</v>
      </c>
      <c r="R15307" s="37" t="str">
        <f t="shared" si="1198"/>
        <v>Good</v>
      </c>
      <c r="S15307" t="s">
        <v>628</v>
      </c>
    </row>
    <row r="15308" spans="1:19" x14ac:dyDescent="0.2">
      <c r="A15308" t="s">
        <v>15919</v>
      </c>
      <c r="B15308" t="s">
        <v>75</v>
      </c>
      <c r="C15308" t="s">
        <v>607</v>
      </c>
      <c r="D15308">
        <v>1982.92</v>
      </c>
      <c r="E15308" s="37" t="str">
        <f>IF(AND(D15308&gt;4000,P15308&gt;800),"Excellent Order"," ")</f>
        <v xml:space="preserve"> </v>
      </c>
      <c r="F15308">
        <v>0.28000000000000003</v>
      </c>
      <c r="G15308" s="37" t="str">
        <f t="shared" si="1195"/>
        <v>Normal Discount</v>
      </c>
      <c r="H15308" s="37" t="str">
        <f t="shared" si="1196"/>
        <v>Medium</v>
      </c>
      <c r="I15308">
        <v>6</v>
      </c>
      <c r="J15308" t="str" cm="1">
        <f t="array" ref="J15308">_xlfn.IFS(I15308&lt;=3,"small",I15308&lt;=6,"Medium",I15308&lt;=9,"Large")</f>
        <v>Medium</v>
      </c>
      <c r="K15308" s="36">
        <v>44943</v>
      </c>
      <c r="L15308" s="36">
        <v>44949</v>
      </c>
      <c r="M15308" t="s">
        <v>598</v>
      </c>
      <c r="N15308" t="s">
        <v>15968</v>
      </c>
      <c r="O15308" s="37" t="str">
        <f t="shared" si="1197"/>
        <v>Cash Payment</v>
      </c>
      <c r="P15308">
        <v>277.12</v>
      </c>
      <c r="Q15308" s="37" t="str">
        <f>IF(P15308&gt;500,"High","low")</f>
        <v>low</v>
      </c>
      <c r="R15308" s="37" t="str">
        <f t="shared" si="1198"/>
        <v>AVERAGE</v>
      </c>
      <c r="S15308" t="s">
        <v>605</v>
      </c>
    </row>
    <row r="15309" spans="1:19" x14ac:dyDescent="0.2">
      <c r="A15309" t="s">
        <v>15920</v>
      </c>
      <c r="B15309" t="s">
        <v>67</v>
      </c>
      <c r="C15309" t="s">
        <v>607</v>
      </c>
      <c r="D15309">
        <v>4071.86</v>
      </c>
      <c r="E15309" s="37" t="str">
        <f>IF(AND(D15309&gt;4000,P15309&gt;800),"Excellent Order"," ")</f>
        <v xml:space="preserve"> </v>
      </c>
      <c r="F15309">
        <v>0.02</v>
      </c>
      <c r="G15309" s="37" t="str">
        <f t="shared" si="1195"/>
        <v>Normal Discount</v>
      </c>
      <c r="H15309" s="37" t="str">
        <f t="shared" si="1196"/>
        <v>Low</v>
      </c>
      <c r="I15309">
        <v>8</v>
      </c>
      <c r="J15309" t="str" cm="1">
        <f t="array" ref="J15309">_xlfn.IFS(I15309&lt;=3,"small",I15309&lt;=6,"Medium",I15309&lt;=9,"Large")</f>
        <v>Large</v>
      </c>
      <c r="K15309" s="36">
        <v>45515</v>
      </c>
      <c r="L15309" s="36">
        <v>45516</v>
      </c>
      <c r="M15309" t="s">
        <v>598</v>
      </c>
      <c r="N15309" t="s">
        <v>604</v>
      </c>
      <c r="O15309" s="37" t="str">
        <f t="shared" si="1197"/>
        <v>Digital Payment</v>
      </c>
      <c r="P15309">
        <v>529.32000000000005</v>
      </c>
      <c r="Q15309" s="37" t="str">
        <f>IF(P15309&gt;500,"High","low")</f>
        <v>High</v>
      </c>
      <c r="R15309" s="37" t="str">
        <f t="shared" si="1198"/>
        <v>Good</v>
      </c>
      <c r="S15309" t="s">
        <v>600</v>
      </c>
    </row>
    <row r="15310" spans="1:19" x14ac:dyDescent="0.2">
      <c r="A15310" t="s">
        <v>15921</v>
      </c>
      <c r="B15310" t="s">
        <v>90</v>
      </c>
      <c r="C15310" t="s">
        <v>602</v>
      </c>
      <c r="D15310">
        <v>3776.41</v>
      </c>
      <c r="E15310" s="37" t="str">
        <f>IF(AND(D15310&gt;4000,P15310&gt;800),"Excellent Order"," ")</f>
        <v xml:space="preserve"> </v>
      </c>
      <c r="F15310">
        <v>0.42</v>
      </c>
      <c r="G15310" s="37" t="str">
        <f t="shared" si="1195"/>
        <v>Heavy Discount</v>
      </c>
      <c r="H15310" s="37" t="str">
        <f t="shared" si="1196"/>
        <v>High</v>
      </c>
      <c r="I15310">
        <v>2</v>
      </c>
      <c r="J15310" t="str" cm="1">
        <f t="array" ref="J15310">_xlfn.IFS(I15310&lt;=3,"small",I15310&lt;=6,"Medium",I15310&lt;=9,"Large")</f>
        <v>small</v>
      </c>
      <c r="K15310" s="36">
        <v>45281</v>
      </c>
      <c r="L15310" s="36">
        <v>45284</v>
      </c>
      <c r="M15310" t="s">
        <v>598</v>
      </c>
      <c r="N15310" t="s">
        <v>599</v>
      </c>
      <c r="O15310" s="37" t="str">
        <f t="shared" si="1197"/>
        <v>Digital Payment</v>
      </c>
      <c r="P15310">
        <v>743.52</v>
      </c>
      <c r="Q15310" s="37" t="str">
        <f>IF(P15310&gt;500,"High","low")</f>
        <v>High</v>
      </c>
      <c r="R15310" s="37" t="str">
        <f t="shared" si="1198"/>
        <v>Good</v>
      </c>
      <c r="S15310" t="s">
        <v>600</v>
      </c>
    </row>
    <row r="15311" spans="1:19" x14ac:dyDescent="0.2">
      <c r="A15311" t="s">
        <v>15922</v>
      </c>
      <c r="B15311" t="s">
        <v>75</v>
      </c>
      <c r="C15311" t="s">
        <v>607</v>
      </c>
      <c r="D15311">
        <v>3202.77</v>
      </c>
      <c r="E15311" s="37" t="str">
        <f>IF(AND(D15311&gt;4000,P15311&gt;800),"Excellent Order"," ")</f>
        <v xml:space="preserve"> </v>
      </c>
      <c r="F15311">
        <v>0.44</v>
      </c>
      <c r="G15311" s="37" t="str">
        <f t="shared" si="1195"/>
        <v>Heavy Discount</v>
      </c>
      <c r="H15311" s="37" t="str">
        <f t="shared" si="1196"/>
        <v>High</v>
      </c>
      <c r="I15311">
        <v>5</v>
      </c>
      <c r="J15311" t="str" cm="1">
        <f t="array" ref="J15311">_xlfn.IFS(I15311&lt;=3,"small",I15311&lt;=6,"Medium",I15311&lt;=9,"Large")</f>
        <v>Medium</v>
      </c>
      <c r="K15311" s="36">
        <v>45344</v>
      </c>
      <c r="L15311" s="36">
        <v>45351</v>
      </c>
      <c r="M15311" t="s">
        <v>612</v>
      </c>
      <c r="N15311" t="s">
        <v>599</v>
      </c>
      <c r="O15311" s="37" t="str">
        <f t="shared" si="1197"/>
        <v>Digital Payment</v>
      </c>
      <c r="P15311">
        <v>856.36</v>
      </c>
      <c r="Q15311" s="37" t="str">
        <f>IF(P15311&gt;500,"High","low")</f>
        <v>High</v>
      </c>
      <c r="R15311" s="37" t="str">
        <f t="shared" si="1198"/>
        <v>Good</v>
      </c>
      <c r="S15311" t="s">
        <v>605</v>
      </c>
    </row>
    <row r="15312" spans="1:19" x14ac:dyDescent="0.2">
      <c r="A15312" t="s">
        <v>15923</v>
      </c>
      <c r="B15312" t="s">
        <v>75</v>
      </c>
      <c r="C15312" t="s">
        <v>617</v>
      </c>
      <c r="D15312">
        <v>4702.1899999999996</v>
      </c>
      <c r="E15312" s="37" t="str">
        <f>IF(AND(D15312&gt;4000,P15312&gt;800),"Excellent Order"," ")</f>
        <v>Excellent Order</v>
      </c>
      <c r="F15312">
        <v>0.2</v>
      </c>
      <c r="G15312" s="37" t="str">
        <f t="shared" si="1195"/>
        <v>Normal Discount</v>
      </c>
      <c r="H15312" s="37" t="str">
        <f t="shared" si="1196"/>
        <v>Medium</v>
      </c>
      <c r="I15312">
        <v>4</v>
      </c>
      <c r="J15312" t="str" cm="1">
        <f t="array" ref="J15312">_xlfn.IFS(I15312&lt;=3,"small",I15312&lt;=6,"Medium",I15312&lt;=9,"Large")</f>
        <v>Medium</v>
      </c>
      <c r="K15312" s="36">
        <v>45366</v>
      </c>
      <c r="L15312" s="36">
        <v>45372</v>
      </c>
      <c r="M15312" t="s">
        <v>612</v>
      </c>
      <c r="N15312" t="s">
        <v>604</v>
      </c>
      <c r="O15312" s="37" t="str">
        <f t="shared" si="1197"/>
        <v>Digital Payment</v>
      </c>
      <c r="P15312">
        <v>932.55</v>
      </c>
      <c r="Q15312" s="37" t="str">
        <f>IF(P15312&gt;500,"High","low")</f>
        <v>High</v>
      </c>
      <c r="R15312" s="37" t="str">
        <f t="shared" si="1198"/>
        <v>Good</v>
      </c>
      <c r="S15312" t="s">
        <v>600</v>
      </c>
    </row>
    <row r="15313" spans="1:19" x14ac:dyDescent="0.2">
      <c r="A15313" t="s">
        <v>15924</v>
      </c>
      <c r="B15313" t="s">
        <v>67</v>
      </c>
      <c r="C15313" t="s">
        <v>617</v>
      </c>
      <c r="D15313">
        <v>584.73</v>
      </c>
      <c r="E15313" s="37" t="str">
        <f>IF(AND(D15313&gt;4000,P15313&gt;800),"Excellent Order"," ")</f>
        <v xml:space="preserve"> </v>
      </c>
      <c r="F15313">
        <v>0.49</v>
      </c>
      <c r="G15313" s="37" t="str">
        <f t="shared" si="1195"/>
        <v>Heavy Discount</v>
      </c>
      <c r="H15313" s="37" t="str">
        <f t="shared" si="1196"/>
        <v>High</v>
      </c>
      <c r="I15313">
        <v>3</v>
      </c>
      <c r="J15313" t="str" cm="1">
        <f t="array" ref="J15313">_xlfn.IFS(I15313&lt;=3,"small",I15313&lt;=6,"Medium",I15313&lt;=9,"Large")</f>
        <v>small</v>
      </c>
      <c r="K15313" s="36">
        <v>45449</v>
      </c>
      <c r="L15313" s="36">
        <v>45456</v>
      </c>
      <c r="M15313" t="s">
        <v>612</v>
      </c>
      <c r="N15313" t="s">
        <v>599</v>
      </c>
      <c r="O15313" s="37" t="str">
        <f t="shared" si="1197"/>
        <v>Digital Payment</v>
      </c>
      <c r="P15313">
        <v>112.57</v>
      </c>
      <c r="Q15313" s="37" t="str">
        <f>IF(P15313&gt;500,"High","low")</f>
        <v>low</v>
      </c>
      <c r="R15313" s="37" t="str">
        <f t="shared" si="1198"/>
        <v>AVERAGE</v>
      </c>
      <c r="S15313" t="s">
        <v>620</v>
      </c>
    </row>
    <row r="15314" spans="1:19" x14ac:dyDescent="0.2">
      <c r="A15314" t="s">
        <v>15925</v>
      </c>
      <c r="B15314" t="s">
        <v>67</v>
      </c>
      <c r="C15314" t="s">
        <v>597</v>
      </c>
      <c r="D15314">
        <v>4013.04</v>
      </c>
      <c r="E15314" s="37" t="str">
        <f>IF(AND(D15314&gt;4000,P15314&gt;800),"Excellent Order"," ")</f>
        <v xml:space="preserve"> </v>
      </c>
      <c r="F15314">
        <v>0.16</v>
      </c>
      <c r="G15314" s="37" t="str">
        <f t="shared" si="1195"/>
        <v>Normal Discount</v>
      </c>
      <c r="H15314" s="37" t="str">
        <f t="shared" si="1196"/>
        <v>Low</v>
      </c>
      <c r="I15314">
        <v>8</v>
      </c>
      <c r="J15314" t="str" cm="1">
        <f t="array" ref="J15314">_xlfn.IFS(I15314&lt;=3,"small",I15314&lt;=6,"Medium",I15314&lt;=9,"Large")</f>
        <v>Large</v>
      </c>
      <c r="K15314" s="36">
        <v>45222</v>
      </c>
      <c r="L15314" s="36">
        <v>45224</v>
      </c>
      <c r="M15314" t="s">
        <v>603</v>
      </c>
      <c r="N15314" t="s">
        <v>599</v>
      </c>
      <c r="O15314" s="37" t="str">
        <f t="shared" si="1197"/>
        <v>Digital Payment</v>
      </c>
      <c r="P15314">
        <v>706.71</v>
      </c>
      <c r="Q15314" s="37" t="str">
        <f>IF(P15314&gt;500,"High","low")</f>
        <v>High</v>
      </c>
      <c r="R15314" s="37" t="str">
        <f t="shared" si="1198"/>
        <v>Good</v>
      </c>
      <c r="S15314" t="s">
        <v>600</v>
      </c>
    </row>
    <row r="15315" spans="1:19" x14ac:dyDescent="0.2">
      <c r="A15315" t="s">
        <v>15926</v>
      </c>
      <c r="B15315" t="s">
        <v>75</v>
      </c>
      <c r="C15315" t="s">
        <v>614</v>
      </c>
      <c r="D15315">
        <v>3386.85</v>
      </c>
      <c r="E15315" s="37" t="str">
        <f>IF(AND(D15315&gt;4000,P15315&gt;800),"Excellent Order"," ")</f>
        <v xml:space="preserve"> </v>
      </c>
      <c r="F15315">
        <v>0.13</v>
      </c>
      <c r="G15315" s="37" t="str">
        <f t="shared" si="1195"/>
        <v>Normal Discount</v>
      </c>
      <c r="H15315" s="37" t="str">
        <f t="shared" si="1196"/>
        <v>Low</v>
      </c>
      <c r="I15315">
        <v>2</v>
      </c>
      <c r="J15315" t="str" cm="1">
        <f t="array" ref="J15315">_xlfn.IFS(I15315&lt;=3,"small",I15315&lt;=6,"Medium",I15315&lt;=9,"Large")</f>
        <v>small</v>
      </c>
      <c r="K15315" s="36">
        <v>45579</v>
      </c>
      <c r="L15315" s="36">
        <v>45584</v>
      </c>
      <c r="M15315" t="s">
        <v>612</v>
      </c>
      <c r="N15315" t="s">
        <v>608</v>
      </c>
      <c r="O15315" s="37" t="str">
        <f t="shared" si="1197"/>
        <v>Cash Payment</v>
      </c>
      <c r="P15315">
        <v>972.48</v>
      </c>
      <c r="Q15315" s="37" t="str">
        <f>IF(P15315&gt;500,"High","low")</f>
        <v>High</v>
      </c>
      <c r="R15315" s="37" t="str">
        <f t="shared" si="1198"/>
        <v>Good</v>
      </c>
      <c r="S15315" t="s">
        <v>615</v>
      </c>
    </row>
    <row r="15316" spans="1:19" x14ac:dyDescent="0.2">
      <c r="A15316" t="s">
        <v>15927</v>
      </c>
      <c r="B15316" t="s">
        <v>75</v>
      </c>
      <c r="C15316" t="s">
        <v>597</v>
      </c>
      <c r="D15316">
        <v>1642.13</v>
      </c>
      <c r="E15316" s="37" t="str">
        <f>IF(AND(D15316&gt;4000,P15316&gt;800),"Excellent Order"," ")</f>
        <v xml:space="preserve"> </v>
      </c>
      <c r="F15316">
        <v>0.49</v>
      </c>
      <c r="G15316" s="37" t="str">
        <f t="shared" si="1195"/>
        <v>Heavy Discount</v>
      </c>
      <c r="H15316" s="37" t="str">
        <f t="shared" si="1196"/>
        <v>High</v>
      </c>
      <c r="I15316">
        <v>1</v>
      </c>
      <c r="J15316" t="str" cm="1">
        <f t="array" ref="J15316">_xlfn.IFS(I15316&lt;=3,"small",I15316&lt;=6,"Medium",I15316&lt;=9,"Large")</f>
        <v>small</v>
      </c>
      <c r="K15316" s="36">
        <v>45590</v>
      </c>
      <c r="L15316" s="36">
        <v>45596</v>
      </c>
      <c r="M15316" t="s">
        <v>603</v>
      </c>
      <c r="N15316" t="s">
        <v>604</v>
      </c>
      <c r="O15316" s="37" t="str">
        <f t="shared" si="1197"/>
        <v>Digital Payment</v>
      </c>
      <c r="P15316">
        <v>416.55</v>
      </c>
      <c r="Q15316" s="37" t="str">
        <f>IF(P15316&gt;500,"High","low")</f>
        <v>low</v>
      </c>
      <c r="R15316" s="37" t="str">
        <f t="shared" si="1198"/>
        <v>AVERAGE</v>
      </c>
      <c r="S15316" t="s">
        <v>605</v>
      </c>
    </row>
    <row r="15317" spans="1:19" x14ac:dyDescent="0.2">
      <c r="A15317" t="s">
        <v>15928</v>
      </c>
      <c r="B15317" t="s">
        <v>90</v>
      </c>
      <c r="C15317" t="s">
        <v>614</v>
      </c>
      <c r="D15317">
        <v>2775.26</v>
      </c>
      <c r="E15317" s="37" t="str">
        <f>IF(AND(D15317&gt;4000,P15317&gt;800),"Excellent Order"," ")</f>
        <v xml:space="preserve"> </v>
      </c>
      <c r="F15317">
        <v>0.13</v>
      </c>
      <c r="G15317" s="37" t="str">
        <f t="shared" si="1195"/>
        <v>Normal Discount</v>
      </c>
      <c r="H15317" s="37" t="str">
        <f t="shared" si="1196"/>
        <v>Low</v>
      </c>
      <c r="I15317">
        <v>1</v>
      </c>
      <c r="J15317" t="str" cm="1">
        <f t="array" ref="J15317">_xlfn.IFS(I15317&lt;=3,"small",I15317&lt;=6,"Medium",I15317&lt;=9,"Large")</f>
        <v>small</v>
      </c>
      <c r="K15317" s="36">
        <v>45026</v>
      </c>
      <c r="L15317" s="36">
        <v>45031</v>
      </c>
      <c r="M15317" t="s">
        <v>612</v>
      </c>
      <c r="N15317" t="s">
        <v>608</v>
      </c>
      <c r="O15317" s="37" t="str">
        <f t="shared" si="1197"/>
        <v>Cash Payment</v>
      </c>
      <c r="P15317">
        <v>421</v>
      </c>
      <c r="Q15317" s="37" t="str">
        <f>IF(P15317&gt;500,"High","low")</f>
        <v>low</v>
      </c>
      <c r="R15317" s="37" t="str">
        <f t="shared" si="1198"/>
        <v>AVERAGE</v>
      </c>
      <c r="S15317" t="s">
        <v>628</v>
      </c>
    </row>
    <row r="15318" spans="1:19" x14ac:dyDescent="0.2">
      <c r="A15318" t="s">
        <v>15929</v>
      </c>
      <c r="B15318" t="s">
        <v>75</v>
      </c>
      <c r="C15318" t="s">
        <v>597</v>
      </c>
      <c r="D15318">
        <v>3258.68</v>
      </c>
      <c r="E15318" s="37" t="str">
        <f>IF(AND(D15318&gt;4000,P15318&gt;800),"Excellent Order"," ")</f>
        <v xml:space="preserve"> </v>
      </c>
      <c r="F15318">
        <v>0.22</v>
      </c>
      <c r="G15318" s="37" t="str">
        <f t="shared" si="1195"/>
        <v>Normal Discount</v>
      </c>
      <c r="H15318" s="37" t="str">
        <f t="shared" si="1196"/>
        <v>Medium</v>
      </c>
      <c r="I15318">
        <v>5</v>
      </c>
      <c r="J15318" t="str" cm="1">
        <f t="array" ref="J15318">_xlfn.IFS(I15318&lt;=3,"small",I15318&lt;=6,"Medium",I15318&lt;=9,"Large")</f>
        <v>Medium</v>
      </c>
      <c r="K15318" s="36">
        <v>45216</v>
      </c>
      <c r="L15318" s="36">
        <v>45219</v>
      </c>
      <c r="M15318" t="s">
        <v>598</v>
      </c>
      <c r="N15318" t="s">
        <v>599</v>
      </c>
      <c r="O15318" s="37" t="str">
        <f t="shared" si="1197"/>
        <v>Digital Payment</v>
      </c>
      <c r="P15318">
        <v>834.41</v>
      </c>
      <c r="Q15318" s="37" t="str">
        <f>IF(P15318&gt;500,"High","low")</f>
        <v>High</v>
      </c>
      <c r="R15318" s="37" t="str">
        <f t="shared" si="1198"/>
        <v>Good</v>
      </c>
      <c r="S15318" t="s">
        <v>620</v>
      </c>
    </row>
    <row r="15319" spans="1:19" x14ac:dyDescent="0.2">
      <c r="A15319" t="s">
        <v>15930</v>
      </c>
      <c r="B15319" t="s">
        <v>75</v>
      </c>
      <c r="C15319" t="s">
        <v>597</v>
      </c>
      <c r="D15319">
        <v>3707.73</v>
      </c>
      <c r="E15319" s="37" t="str">
        <f>IF(AND(D15319&gt;4000,P15319&gt;800),"Excellent Order"," ")</f>
        <v xml:space="preserve"> </v>
      </c>
      <c r="F15319">
        <v>0.31</v>
      </c>
      <c r="G15319" s="37" t="str">
        <f t="shared" si="1195"/>
        <v>Heavy Discount</v>
      </c>
      <c r="H15319" s="37" t="str">
        <f t="shared" si="1196"/>
        <v>Medium</v>
      </c>
      <c r="I15319">
        <v>9</v>
      </c>
      <c r="J15319" t="str" cm="1">
        <f t="array" ref="J15319">_xlfn.IFS(I15319&lt;=3,"small",I15319&lt;=6,"Medium",I15319&lt;=9,"Large")</f>
        <v>Large</v>
      </c>
      <c r="K15319" s="36">
        <v>45062</v>
      </c>
      <c r="L15319" s="36">
        <v>45064</v>
      </c>
      <c r="M15319" t="s">
        <v>603</v>
      </c>
      <c r="N15319" t="s">
        <v>599</v>
      </c>
      <c r="O15319" s="37" t="str">
        <f t="shared" si="1197"/>
        <v>Digital Payment</v>
      </c>
      <c r="P15319">
        <v>285.95</v>
      </c>
      <c r="Q15319" s="37" t="str">
        <f>IF(P15319&gt;500,"High","low")</f>
        <v>low</v>
      </c>
      <c r="R15319" s="37" t="str">
        <f t="shared" si="1198"/>
        <v>AVERAGE</v>
      </c>
      <c r="S15319" t="s">
        <v>609</v>
      </c>
    </row>
    <row r="15320" spans="1:19" x14ac:dyDescent="0.2">
      <c r="A15320" t="s">
        <v>15931</v>
      </c>
      <c r="B15320" t="s">
        <v>90</v>
      </c>
      <c r="C15320" t="s">
        <v>617</v>
      </c>
      <c r="D15320">
        <v>1016.59</v>
      </c>
      <c r="E15320" s="37" t="str">
        <f>IF(AND(D15320&gt;4000,P15320&gt;800),"Excellent Order"," ")</f>
        <v xml:space="preserve"> </v>
      </c>
      <c r="F15320">
        <v>0.16</v>
      </c>
      <c r="G15320" s="37" t="str">
        <f t="shared" si="1195"/>
        <v>Normal Discount</v>
      </c>
      <c r="H15320" s="37" t="str">
        <f t="shared" si="1196"/>
        <v>Low</v>
      </c>
      <c r="I15320">
        <v>4</v>
      </c>
      <c r="J15320" t="str" cm="1">
        <f t="array" ref="J15320">_xlfn.IFS(I15320&lt;=3,"small",I15320&lt;=6,"Medium",I15320&lt;=9,"Large")</f>
        <v>Medium</v>
      </c>
      <c r="K15320" s="36">
        <v>45173</v>
      </c>
      <c r="L15320" s="36">
        <v>45175</v>
      </c>
      <c r="M15320" t="s">
        <v>603</v>
      </c>
      <c r="N15320" t="s">
        <v>608</v>
      </c>
      <c r="O15320" s="37" t="str">
        <f t="shared" si="1197"/>
        <v>Cash Payment</v>
      </c>
      <c r="P15320">
        <v>161.49</v>
      </c>
      <c r="Q15320" s="37" t="str">
        <f>IF(P15320&gt;500,"High","low")</f>
        <v>low</v>
      </c>
      <c r="R15320" s="37" t="str">
        <f t="shared" si="1198"/>
        <v>AVERAGE</v>
      </c>
      <c r="S15320" t="s">
        <v>600</v>
      </c>
    </row>
    <row r="15321" spans="1:19" x14ac:dyDescent="0.2">
      <c r="A15321" t="s">
        <v>15932</v>
      </c>
      <c r="B15321" t="s">
        <v>83</v>
      </c>
      <c r="C15321" t="s">
        <v>614</v>
      </c>
      <c r="D15321">
        <v>600.36</v>
      </c>
      <c r="E15321" s="37" t="str">
        <f>IF(AND(D15321&gt;4000,P15321&gt;800),"Excellent Order"," ")</f>
        <v xml:space="preserve"> </v>
      </c>
      <c r="F15321">
        <v>0.19</v>
      </c>
      <c r="G15321" s="37" t="str">
        <f t="shared" si="1195"/>
        <v>Normal Discount</v>
      </c>
      <c r="H15321" s="37" t="str">
        <f t="shared" si="1196"/>
        <v>Low</v>
      </c>
      <c r="I15321">
        <v>7</v>
      </c>
      <c r="J15321" t="str" cm="1">
        <f t="array" ref="J15321">_xlfn.IFS(I15321&lt;=3,"small",I15321&lt;=6,"Medium",I15321&lt;=9,"Large")</f>
        <v>Large</v>
      </c>
      <c r="K15321" s="36">
        <v>45136</v>
      </c>
      <c r="L15321" s="36">
        <v>45140</v>
      </c>
      <c r="M15321" t="s">
        <v>612</v>
      </c>
      <c r="N15321" t="s">
        <v>608</v>
      </c>
      <c r="O15321" s="37" t="str">
        <f t="shared" si="1197"/>
        <v>Cash Payment</v>
      </c>
      <c r="P15321">
        <v>46.79</v>
      </c>
      <c r="Q15321" s="37" t="str">
        <f>IF(P15321&gt;500,"High","low")</f>
        <v>low</v>
      </c>
      <c r="R15321" s="37" t="str">
        <f t="shared" si="1198"/>
        <v>AVERAGE</v>
      </c>
      <c r="S15321" t="s">
        <v>620</v>
      </c>
    </row>
    <row r="15322" spans="1:19" x14ac:dyDescent="0.2">
      <c r="A15322" t="s">
        <v>15933</v>
      </c>
      <c r="B15322" t="s">
        <v>90</v>
      </c>
      <c r="C15322" t="s">
        <v>602</v>
      </c>
      <c r="D15322">
        <v>600.07000000000005</v>
      </c>
      <c r="E15322" s="37" t="str">
        <f>IF(AND(D15322&gt;4000,P15322&gt;800),"Excellent Order"," ")</f>
        <v xml:space="preserve"> </v>
      </c>
      <c r="F15322">
        <v>0.36</v>
      </c>
      <c r="G15322" s="37" t="str">
        <f t="shared" si="1195"/>
        <v>Heavy Discount</v>
      </c>
      <c r="H15322" s="37" t="str">
        <f t="shared" si="1196"/>
        <v>Medium</v>
      </c>
      <c r="I15322">
        <v>2</v>
      </c>
      <c r="J15322" t="str" cm="1">
        <f t="array" ref="J15322">_xlfn.IFS(I15322&lt;=3,"small",I15322&lt;=6,"Medium",I15322&lt;=9,"Large")</f>
        <v>small</v>
      </c>
      <c r="K15322" s="36">
        <v>45244</v>
      </c>
      <c r="L15322" s="36">
        <v>45250</v>
      </c>
      <c r="M15322" t="s">
        <v>612</v>
      </c>
      <c r="N15322" t="s">
        <v>599</v>
      </c>
      <c r="O15322" s="37" t="str">
        <f t="shared" si="1197"/>
        <v>Digital Payment</v>
      </c>
      <c r="P15322">
        <v>179.59</v>
      </c>
      <c r="Q15322" s="37" t="str">
        <f>IF(P15322&gt;500,"High","low")</f>
        <v>low</v>
      </c>
      <c r="R15322" s="37" t="str">
        <f t="shared" si="1198"/>
        <v>AVERAGE</v>
      </c>
      <c r="S15322" t="s">
        <v>628</v>
      </c>
    </row>
    <row r="15323" spans="1:19" x14ac:dyDescent="0.2">
      <c r="A15323" t="s">
        <v>15934</v>
      </c>
      <c r="B15323" t="s">
        <v>90</v>
      </c>
      <c r="C15323" t="s">
        <v>602</v>
      </c>
      <c r="D15323">
        <v>1539.96</v>
      </c>
      <c r="E15323" s="37" t="str">
        <f>IF(AND(D15323&gt;4000,P15323&gt;800),"Excellent Order"," ")</f>
        <v xml:space="preserve"> </v>
      </c>
      <c r="F15323">
        <v>0.36</v>
      </c>
      <c r="G15323" s="37" t="str">
        <f t="shared" si="1195"/>
        <v>Heavy Discount</v>
      </c>
      <c r="H15323" s="37" t="str">
        <f t="shared" si="1196"/>
        <v>Medium</v>
      </c>
      <c r="I15323">
        <v>3</v>
      </c>
      <c r="J15323" t="str" cm="1">
        <f t="array" ref="J15323">_xlfn.IFS(I15323&lt;=3,"small",I15323&lt;=6,"Medium",I15323&lt;=9,"Large")</f>
        <v>small</v>
      </c>
      <c r="K15323" s="36">
        <v>45484</v>
      </c>
      <c r="L15323" s="36">
        <v>45489</v>
      </c>
      <c r="M15323" t="s">
        <v>603</v>
      </c>
      <c r="N15323" t="s">
        <v>599</v>
      </c>
      <c r="O15323" s="37" t="str">
        <f t="shared" si="1197"/>
        <v>Digital Payment</v>
      </c>
      <c r="P15323">
        <v>95.11</v>
      </c>
      <c r="Q15323" s="37" t="str">
        <f>IF(P15323&gt;500,"High","low")</f>
        <v>low</v>
      </c>
      <c r="R15323" s="37" t="str">
        <f t="shared" si="1198"/>
        <v>AVERAGE</v>
      </c>
      <c r="S15323" t="s">
        <v>609</v>
      </c>
    </row>
    <row r="15324" spans="1:19" x14ac:dyDescent="0.2">
      <c r="A15324" t="s">
        <v>15935</v>
      </c>
      <c r="B15324" t="s">
        <v>67</v>
      </c>
      <c r="C15324" t="s">
        <v>597</v>
      </c>
      <c r="D15324">
        <v>855.45</v>
      </c>
      <c r="E15324" s="37" t="str">
        <f>IF(AND(D15324&gt;4000,P15324&gt;800),"Excellent Order"," ")</f>
        <v xml:space="preserve"> </v>
      </c>
      <c r="F15324">
        <v>0.4</v>
      </c>
      <c r="G15324" s="37" t="str">
        <f t="shared" si="1195"/>
        <v>Heavy Discount</v>
      </c>
      <c r="H15324" s="37" t="str">
        <f t="shared" si="1196"/>
        <v>Medium</v>
      </c>
      <c r="I15324">
        <v>9</v>
      </c>
      <c r="J15324" t="str" cm="1">
        <f t="array" ref="J15324">_xlfn.IFS(I15324&lt;=3,"small",I15324&lt;=6,"Medium",I15324&lt;=9,"Large")</f>
        <v>Large</v>
      </c>
      <c r="K15324" s="36">
        <v>45140</v>
      </c>
      <c r="L15324" s="36">
        <v>45147</v>
      </c>
      <c r="M15324" t="s">
        <v>612</v>
      </c>
      <c r="N15324" t="s">
        <v>604</v>
      </c>
      <c r="O15324" s="37" t="str">
        <f t="shared" si="1197"/>
        <v>Digital Payment</v>
      </c>
      <c r="P15324">
        <v>236.99</v>
      </c>
      <c r="Q15324" s="37" t="str">
        <f>IF(P15324&gt;500,"High","low")</f>
        <v>low</v>
      </c>
      <c r="R15324" s="37" t="str">
        <f t="shared" si="1198"/>
        <v>AVERAGE</v>
      </c>
      <c r="S15324" t="s">
        <v>615</v>
      </c>
    </row>
    <row r="15325" spans="1:19" x14ac:dyDescent="0.2">
      <c r="A15325" t="s">
        <v>15936</v>
      </c>
      <c r="B15325" t="s">
        <v>90</v>
      </c>
      <c r="C15325" t="s">
        <v>597</v>
      </c>
      <c r="D15325">
        <v>2724.64</v>
      </c>
      <c r="E15325" s="37" t="str">
        <f>IF(AND(D15325&gt;4000,P15325&gt;800),"Excellent Order"," ")</f>
        <v xml:space="preserve"> </v>
      </c>
      <c r="F15325">
        <v>0.3</v>
      </c>
      <c r="G15325" s="37" t="str">
        <f t="shared" si="1195"/>
        <v>Normal Discount</v>
      </c>
      <c r="H15325" s="37" t="str">
        <f t="shared" si="1196"/>
        <v>Medium</v>
      </c>
      <c r="I15325">
        <v>5</v>
      </c>
      <c r="J15325" t="str" cm="1">
        <f t="array" ref="J15325">_xlfn.IFS(I15325&lt;=3,"small",I15325&lt;=6,"Medium",I15325&lt;=9,"Large")</f>
        <v>Medium</v>
      </c>
      <c r="K15325" s="36">
        <v>45125</v>
      </c>
      <c r="L15325" s="36">
        <v>45131</v>
      </c>
      <c r="M15325" t="s">
        <v>603</v>
      </c>
      <c r="N15325" t="s">
        <v>599</v>
      </c>
      <c r="O15325" s="37" t="str">
        <f t="shared" si="1197"/>
        <v>Digital Payment</v>
      </c>
      <c r="P15325">
        <v>770.94</v>
      </c>
      <c r="Q15325" s="37" t="str">
        <f>IF(P15325&gt;500,"High","low")</f>
        <v>High</v>
      </c>
      <c r="R15325" s="37" t="str">
        <f t="shared" si="1198"/>
        <v>Good</v>
      </c>
      <c r="S15325" t="s">
        <v>600</v>
      </c>
    </row>
    <row r="15326" spans="1:19" x14ac:dyDescent="0.2">
      <c r="A15326" t="s">
        <v>15937</v>
      </c>
      <c r="B15326" t="s">
        <v>75</v>
      </c>
      <c r="C15326" t="s">
        <v>617</v>
      </c>
      <c r="D15326">
        <v>2241.5</v>
      </c>
      <c r="E15326" s="37" t="str">
        <f>IF(AND(D15326&gt;4000,P15326&gt;800),"Excellent Order"," ")</f>
        <v xml:space="preserve"> </v>
      </c>
      <c r="F15326">
        <v>0.12</v>
      </c>
      <c r="G15326" s="37" t="str">
        <f t="shared" si="1195"/>
        <v>Normal Discount</v>
      </c>
      <c r="H15326" s="37" t="str">
        <f t="shared" si="1196"/>
        <v>Low</v>
      </c>
      <c r="I15326">
        <v>6</v>
      </c>
      <c r="J15326" t="str" cm="1">
        <f t="array" ref="J15326">_xlfn.IFS(I15326&lt;=3,"small",I15326&lt;=6,"Medium",I15326&lt;=9,"Large")</f>
        <v>Medium</v>
      </c>
      <c r="K15326" s="36">
        <v>45053</v>
      </c>
      <c r="L15326" s="36">
        <v>45056</v>
      </c>
      <c r="M15326" t="s">
        <v>603</v>
      </c>
      <c r="N15326" t="s">
        <v>608</v>
      </c>
      <c r="O15326" s="37" t="str">
        <f t="shared" si="1197"/>
        <v>Cash Payment</v>
      </c>
      <c r="P15326">
        <v>276.17</v>
      </c>
      <c r="Q15326" s="37" t="str">
        <f>IF(P15326&gt;500,"High","low")</f>
        <v>low</v>
      </c>
      <c r="R15326" s="37" t="str">
        <f t="shared" si="1198"/>
        <v>AVERAGE</v>
      </c>
      <c r="S15326" t="s">
        <v>600</v>
      </c>
    </row>
    <row r="15327" spans="1:19" x14ac:dyDescent="0.2">
      <c r="A15327" t="s">
        <v>15938</v>
      </c>
      <c r="B15327" t="s">
        <v>75</v>
      </c>
      <c r="C15327" t="s">
        <v>614</v>
      </c>
      <c r="D15327">
        <v>4476.03</v>
      </c>
      <c r="E15327" s="37" t="str">
        <f>IF(AND(D15327&gt;4000,P15327&gt;800),"Excellent Order"," ")</f>
        <v>Excellent Order</v>
      </c>
      <c r="F15327">
        <v>0.17</v>
      </c>
      <c r="G15327" s="37" t="str">
        <f t="shared" si="1195"/>
        <v>Normal Discount</v>
      </c>
      <c r="H15327" s="37" t="str">
        <f t="shared" si="1196"/>
        <v>Low</v>
      </c>
      <c r="I15327">
        <v>3</v>
      </c>
      <c r="J15327" t="str" cm="1">
        <f t="array" ref="J15327">_xlfn.IFS(I15327&lt;=3,"small",I15327&lt;=6,"Medium",I15327&lt;=9,"Large")</f>
        <v>small</v>
      </c>
      <c r="K15327" s="36">
        <v>45308</v>
      </c>
      <c r="L15327" s="36">
        <v>45313</v>
      </c>
      <c r="M15327" t="s">
        <v>598</v>
      </c>
      <c r="N15327" t="s">
        <v>608</v>
      </c>
      <c r="O15327" s="37" t="str">
        <f t="shared" si="1197"/>
        <v>Cash Payment</v>
      </c>
      <c r="P15327">
        <v>1286.3399999999999</v>
      </c>
      <c r="Q15327" s="37" t="str">
        <f>IF(P15327&gt;500,"High","low")</f>
        <v>High</v>
      </c>
      <c r="R15327" s="37" t="str">
        <f t="shared" si="1198"/>
        <v>Excellent</v>
      </c>
      <c r="S15327" t="s">
        <v>628</v>
      </c>
    </row>
    <row r="15328" spans="1:19" x14ac:dyDescent="0.2">
      <c r="A15328" t="s">
        <v>15939</v>
      </c>
      <c r="B15328" t="s">
        <v>75</v>
      </c>
      <c r="C15328" t="s">
        <v>597</v>
      </c>
      <c r="D15328">
        <v>3615.27</v>
      </c>
      <c r="E15328" s="37" t="str">
        <f>IF(AND(D15328&gt;4000,P15328&gt;800),"Excellent Order"," ")</f>
        <v xml:space="preserve"> </v>
      </c>
      <c r="F15328">
        <v>0.45</v>
      </c>
      <c r="G15328" s="37" t="str">
        <f t="shared" si="1195"/>
        <v>Heavy Discount</v>
      </c>
      <c r="H15328" s="37" t="str">
        <f t="shared" si="1196"/>
        <v>High</v>
      </c>
      <c r="I15328">
        <v>6</v>
      </c>
      <c r="J15328" t="str" cm="1">
        <f t="array" ref="J15328">_xlfn.IFS(I15328&lt;=3,"small",I15328&lt;=6,"Medium",I15328&lt;=9,"Large")</f>
        <v>Medium</v>
      </c>
      <c r="K15328" s="36">
        <v>44939</v>
      </c>
      <c r="L15328" s="36">
        <v>44942</v>
      </c>
      <c r="M15328" t="s">
        <v>612</v>
      </c>
      <c r="N15328" t="s">
        <v>608</v>
      </c>
      <c r="O15328" s="37" t="str">
        <f t="shared" si="1197"/>
        <v>Cash Payment</v>
      </c>
      <c r="P15328">
        <v>633.21</v>
      </c>
      <c r="Q15328" s="37" t="str">
        <f>IF(P15328&gt;500,"High","low")</f>
        <v>High</v>
      </c>
      <c r="R15328" s="37" t="str">
        <f t="shared" si="1198"/>
        <v>Good</v>
      </c>
      <c r="S15328" t="s">
        <v>620</v>
      </c>
    </row>
    <row r="15329" spans="1:19" x14ac:dyDescent="0.2">
      <c r="A15329" t="s">
        <v>15940</v>
      </c>
      <c r="B15329" t="s">
        <v>83</v>
      </c>
      <c r="C15329" t="s">
        <v>602</v>
      </c>
      <c r="D15329">
        <v>1108.48</v>
      </c>
      <c r="E15329" s="37" t="str">
        <f>IF(AND(D15329&gt;4000,P15329&gt;800),"Excellent Order"," ")</f>
        <v xml:space="preserve"> </v>
      </c>
      <c r="F15329">
        <v>0.37</v>
      </c>
      <c r="G15329" s="37" t="str">
        <f t="shared" si="1195"/>
        <v>Heavy Discount</v>
      </c>
      <c r="H15329" s="37" t="str">
        <f t="shared" si="1196"/>
        <v>Medium</v>
      </c>
      <c r="I15329">
        <v>8</v>
      </c>
      <c r="J15329" t="str" cm="1">
        <f t="array" ref="J15329">_xlfn.IFS(I15329&lt;=3,"small",I15329&lt;=6,"Medium",I15329&lt;=9,"Large")</f>
        <v>Large</v>
      </c>
      <c r="K15329" s="36">
        <v>45312</v>
      </c>
      <c r="L15329" s="36">
        <v>45318</v>
      </c>
      <c r="M15329" t="s">
        <v>598</v>
      </c>
      <c r="N15329" t="s">
        <v>608</v>
      </c>
      <c r="O15329" s="37" t="str">
        <f t="shared" si="1197"/>
        <v>Cash Payment</v>
      </c>
      <c r="P15329">
        <v>315.38</v>
      </c>
      <c r="Q15329" s="37" t="str">
        <f>IF(P15329&gt;500,"High","low")</f>
        <v>low</v>
      </c>
      <c r="R15329" s="37" t="str">
        <f t="shared" si="1198"/>
        <v>AVERAGE</v>
      </c>
      <c r="S15329" t="s">
        <v>605</v>
      </c>
    </row>
    <row r="15330" spans="1:19" x14ac:dyDescent="0.2">
      <c r="A15330" t="s">
        <v>15941</v>
      </c>
      <c r="B15330" t="s">
        <v>75</v>
      </c>
      <c r="C15330" t="s">
        <v>614</v>
      </c>
      <c r="D15330">
        <v>324.06</v>
      </c>
      <c r="E15330" s="37" t="str">
        <f>IF(AND(D15330&gt;4000,P15330&gt;800),"Excellent Order"," ")</f>
        <v xml:space="preserve"> </v>
      </c>
      <c r="F15330">
        <v>0.04</v>
      </c>
      <c r="G15330" s="37" t="str">
        <f t="shared" si="1195"/>
        <v>Normal Discount</v>
      </c>
      <c r="H15330" s="37" t="str">
        <f t="shared" si="1196"/>
        <v>Low</v>
      </c>
      <c r="I15330">
        <v>1</v>
      </c>
      <c r="J15330" t="str" cm="1">
        <f t="array" ref="J15330">_xlfn.IFS(I15330&lt;=3,"small",I15330&lt;=6,"Medium",I15330&lt;=9,"Large")</f>
        <v>small</v>
      </c>
      <c r="K15330" s="36">
        <v>44955</v>
      </c>
      <c r="L15330" s="36">
        <v>44961</v>
      </c>
      <c r="M15330" t="s">
        <v>612</v>
      </c>
      <c r="N15330" t="s">
        <v>599</v>
      </c>
      <c r="O15330" s="37" t="str">
        <f t="shared" si="1197"/>
        <v>Digital Payment</v>
      </c>
      <c r="P15330">
        <v>55.55</v>
      </c>
      <c r="Q15330" s="37" t="str">
        <f>IF(P15330&gt;500,"High","low")</f>
        <v>low</v>
      </c>
      <c r="R15330" s="37" t="str">
        <f t="shared" si="1198"/>
        <v>AVERAGE</v>
      </c>
      <c r="S15330" t="s">
        <v>620</v>
      </c>
    </row>
    <row r="15331" spans="1:19" x14ac:dyDescent="0.2">
      <c r="A15331" t="s">
        <v>15942</v>
      </c>
      <c r="B15331" t="s">
        <v>83</v>
      </c>
      <c r="C15331" t="s">
        <v>597</v>
      </c>
      <c r="D15331">
        <v>3574.86</v>
      </c>
      <c r="E15331" s="37" t="str">
        <f>IF(AND(D15331&gt;4000,P15331&gt;800),"Excellent Order"," ")</f>
        <v xml:space="preserve"> </v>
      </c>
      <c r="F15331">
        <v>0.38</v>
      </c>
      <c r="G15331" s="37" t="str">
        <f t="shared" si="1195"/>
        <v>Heavy Discount</v>
      </c>
      <c r="H15331" s="37" t="str">
        <f t="shared" si="1196"/>
        <v>Medium</v>
      </c>
      <c r="I15331">
        <v>8</v>
      </c>
      <c r="J15331" t="str" cm="1">
        <f t="array" ref="J15331">_xlfn.IFS(I15331&lt;=3,"small",I15331&lt;=6,"Medium",I15331&lt;=9,"Large")</f>
        <v>Large</v>
      </c>
      <c r="K15331" s="36">
        <v>45414</v>
      </c>
      <c r="L15331" s="36">
        <v>45415</v>
      </c>
      <c r="M15331" t="s">
        <v>603</v>
      </c>
      <c r="N15331" t="s">
        <v>608</v>
      </c>
      <c r="O15331" s="37" t="str">
        <f t="shared" si="1197"/>
        <v>Cash Payment</v>
      </c>
      <c r="P15331">
        <v>599.15</v>
      </c>
      <c r="Q15331" s="37" t="str">
        <f>IF(P15331&gt;500,"High","low")</f>
        <v>High</v>
      </c>
      <c r="R15331" s="37" t="str">
        <f t="shared" si="1198"/>
        <v>Good</v>
      </c>
      <c r="S15331" t="s">
        <v>609</v>
      </c>
    </row>
    <row r="15332" spans="1:19" x14ac:dyDescent="0.2">
      <c r="A15332" t="s">
        <v>15943</v>
      </c>
      <c r="B15332" t="s">
        <v>75</v>
      </c>
      <c r="C15332" t="s">
        <v>614</v>
      </c>
      <c r="D15332">
        <v>4244.5600000000004</v>
      </c>
      <c r="E15332" s="37" t="str">
        <f>IF(AND(D15332&gt;4000,P15332&gt;800),"Excellent Order"," ")</f>
        <v>Excellent Order</v>
      </c>
      <c r="F15332">
        <v>0.17</v>
      </c>
      <c r="G15332" s="37" t="str">
        <f t="shared" si="1195"/>
        <v>Normal Discount</v>
      </c>
      <c r="H15332" s="37" t="str">
        <f t="shared" si="1196"/>
        <v>Low</v>
      </c>
      <c r="I15332">
        <v>8</v>
      </c>
      <c r="J15332" t="str" cm="1">
        <f t="array" ref="J15332">_xlfn.IFS(I15332&lt;=3,"small",I15332&lt;=6,"Medium",I15332&lt;=9,"Large")</f>
        <v>Large</v>
      </c>
      <c r="K15332" s="36">
        <v>45264</v>
      </c>
      <c r="L15332" s="36">
        <v>45267</v>
      </c>
      <c r="M15332" t="s">
        <v>603</v>
      </c>
      <c r="N15332" t="s">
        <v>599</v>
      </c>
      <c r="O15332" s="37" t="str">
        <f t="shared" si="1197"/>
        <v>Digital Payment</v>
      </c>
      <c r="P15332">
        <v>1011.69</v>
      </c>
      <c r="Q15332" s="37" t="str">
        <f>IF(P15332&gt;500,"High","low")</f>
        <v>High</v>
      </c>
      <c r="R15332" s="37" t="str">
        <f t="shared" si="1198"/>
        <v>Excellent</v>
      </c>
      <c r="S15332" t="s">
        <v>600</v>
      </c>
    </row>
    <row r="15333" spans="1:19" x14ac:dyDescent="0.2">
      <c r="A15333" t="s">
        <v>15944</v>
      </c>
      <c r="B15333" t="s">
        <v>90</v>
      </c>
      <c r="C15333" t="s">
        <v>617</v>
      </c>
      <c r="D15333">
        <v>3534.87</v>
      </c>
      <c r="E15333" s="37" t="str">
        <f>IF(AND(D15333&gt;4000,P15333&gt;800),"Excellent Order"," ")</f>
        <v xml:space="preserve"> </v>
      </c>
      <c r="F15333">
        <v>0.01</v>
      </c>
      <c r="G15333" s="37" t="str">
        <f t="shared" si="1195"/>
        <v>Normal Discount</v>
      </c>
      <c r="H15333" s="37" t="str">
        <f t="shared" si="1196"/>
        <v>Low</v>
      </c>
      <c r="I15333">
        <v>7</v>
      </c>
      <c r="J15333" t="str" cm="1">
        <f t="array" ref="J15333">_xlfn.IFS(I15333&lt;=3,"small",I15333&lt;=6,"Medium",I15333&lt;=9,"Large")</f>
        <v>Large</v>
      </c>
      <c r="K15333" s="36">
        <v>45440</v>
      </c>
      <c r="L15333" s="36">
        <v>45442</v>
      </c>
      <c r="M15333" t="s">
        <v>598</v>
      </c>
      <c r="N15333" t="s">
        <v>599</v>
      </c>
      <c r="O15333" s="37" t="str">
        <f t="shared" si="1197"/>
        <v>Digital Payment</v>
      </c>
      <c r="P15333">
        <v>383.1</v>
      </c>
      <c r="Q15333" s="37" t="str">
        <f>IF(P15333&gt;500,"High","low")</f>
        <v>low</v>
      </c>
      <c r="R15333" s="37" t="str">
        <f t="shared" si="1198"/>
        <v>AVERAGE</v>
      </c>
      <c r="S15333" t="s">
        <v>628</v>
      </c>
    </row>
    <row r="15334" spans="1:19" x14ac:dyDescent="0.2">
      <c r="A15334" t="s">
        <v>15945</v>
      </c>
      <c r="B15334" t="s">
        <v>67</v>
      </c>
      <c r="C15334" t="s">
        <v>602</v>
      </c>
      <c r="D15334">
        <v>3254.59</v>
      </c>
      <c r="E15334" s="37" t="str">
        <f>IF(AND(D15334&gt;4000,P15334&gt;800),"Excellent Order"," ")</f>
        <v xml:space="preserve"> </v>
      </c>
      <c r="F15334">
        <v>0.24</v>
      </c>
      <c r="G15334" s="37" t="str">
        <f t="shared" si="1195"/>
        <v>Normal Discount</v>
      </c>
      <c r="H15334" s="37" t="str">
        <f t="shared" si="1196"/>
        <v>Medium</v>
      </c>
      <c r="I15334">
        <v>4</v>
      </c>
      <c r="J15334" t="str" cm="1">
        <f t="array" ref="J15334">_xlfn.IFS(I15334&lt;=3,"small",I15334&lt;=6,"Medium",I15334&lt;=9,"Large")</f>
        <v>Medium</v>
      </c>
      <c r="K15334" s="36">
        <v>45634</v>
      </c>
      <c r="L15334" s="36">
        <v>45635</v>
      </c>
      <c r="M15334" t="s">
        <v>612</v>
      </c>
      <c r="N15334" t="s">
        <v>604</v>
      </c>
      <c r="O15334" s="37" t="str">
        <f t="shared" si="1197"/>
        <v>Digital Payment</v>
      </c>
      <c r="P15334">
        <v>898.39</v>
      </c>
      <c r="Q15334" s="37" t="str">
        <f>IF(P15334&gt;500,"High","low")</f>
        <v>High</v>
      </c>
      <c r="R15334" s="37" t="str">
        <f t="shared" si="1198"/>
        <v>Good</v>
      </c>
      <c r="S15334" t="s">
        <v>620</v>
      </c>
    </row>
    <row r="15335" spans="1:19" x14ac:dyDescent="0.2">
      <c r="A15335" t="s">
        <v>15946</v>
      </c>
      <c r="B15335" t="s">
        <v>75</v>
      </c>
      <c r="C15335" t="s">
        <v>614</v>
      </c>
      <c r="D15335">
        <v>1321.64</v>
      </c>
      <c r="E15335" s="37" t="str">
        <f>IF(AND(D15335&gt;4000,P15335&gt;800),"Excellent Order"," ")</f>
        <v xml:space="preserve"> </v>
      </c>
      <c r="F15335">
        <v>0.44</v>
      </c>
      <c r="G15335" s="37" t="str">
        <f t="shared" si="1195"/>
        <v>Heavy Discount</v>
      </c>
      <c r="H15335" s="37" t="str">
        <f t="shared" si="1196"/>
        <v>High</v>
      </c>
      <c r="I15335">
        <v>1</v>
      </c>
      <c r="J15335" t="str" cm="1">
        <f t="array" ref="J15335">_xlfn.IFS(I15335&lt;=3,"small",I15335&lt;=6,"Medium",I15335&lt;=9,"Large")</f>
        <v>small</v>
      </c>
      <c r="K15335" s="36">
        <v>45243</v>
      </c>
      <c r="L15335" s="36">
        <v>45246</v>
      </c>
      <c r="M15335" t="s">
        <v>612</v>
      </c>
      <c r="N15335" t="s">
        <v>604</v>
      </c>
      <c r="O15335" s="37" t="str">
        <f t="shared" si="1197"/>
        <v>Digital Payment</v>
      </c>
      <c r="P15335">
        <v>346.39</v>
      </c>
      <c r="Q15335" s="37" t="str">
        <f>IF(P15335&gt;500,"High","low")</f>
        <v>low</v>
      </c>
      <c r="R15335" s="37" t="str">
        <f t="shared" si="1198"/>
        <v>AVERAGE</v>
      </c>
      <c r="S15335" t="s">
        <v>600</v>
      </c>
    </row>
    <row r="15336" spans="1:19" x14ac:dyDescent="0.2">
      <c r="A15336" t="s">
        <v>15947</v>
      </c>
      <c r="B15336" t="s">
        <v>83</v>
      </c>
      <c r="C15336" t="s">
        <v>602</v>
      </c>
      <c r="D15336">
        <v>2523.56</v>
      </c>
      <c r="E15336" s="37" t="str">
        <f>IF(AND(D15336&gt;4000,P15336&gt;800),"Excellent Order"," ")</f>
        <v xml:space="preserve"> </v>
      </c>
      <c r="F15336">
        <v>0.22</v>
      </c>
      <c r="G15336" s="37" t="str">
        <f t="shared" si="1195"/>
        <v>Normal Discount</v>
      </c>
      <c r="H15336" s="37" t="str">
        <f t="shared" si="1196"/>
        <v>Medium</v>
      </c>
      <c r="I15336">
        <v>2</v>
      </c>
      <c r="J15336" t="str" cm="1">
        <f t="array" ref="J15336">_xlfn.IFS(I15336&lt;=3,"small",I15336&lt;=6,"Medium",I15336&lt;=9,"Large")</f>
        <v>small</v>
      </c>
      <c r="K15336" s="36">
        <v>45612</v>
      </c>
      <c r="L15336" s="36">
        <v>45618</v>
      </c>
      <c r="M15336" t="s">
        <v>598</v>
      </c>
      <c r="N15336" t="s">
        <v>608</v>
      </c>
      <c r="O15336" s="37" t="str">
        <f t="shared" si="1197"/>
        <v>Cash Payment</v>
      </c>
      <c r="P15336">
        <v>211.38</v>
      </c>
      <c r="Q15336" s="37" t="str">
        <f>IF(P15336&gt;500,"High","low")</f>
        <v>low</v>
      </c>
      <c r="R15336" s="37" t="str">
        <f t="shared" si="1198"/>
        <v>AVERAGE</v>
      </c>
      <c r="S15336" t="s">
        <v>605</v>
      </c>
    </row>
    <row r="15337" spans="1:19" x14ac:dyDescent="0.2">
      <c r="A15337" t="s">
        <v>15948</v>
      </c>
      <c r="B15337" t="s">
        <v>83</v>
      </c>
      <c r="C15337" t="s">
        <v>597</v>
      </c>
      <c r="D15337">
        <v>3652.31</v>
      </c>
      <c r="E15337" s="37" t="str">
        <f>IF(AND(D15337&gt;4000,P15337&gt;800),"Excellent Order"," ")</f>
        <v xml:space="preserve"> </v>
      </c>
      <c r="F15337">
        <v>0.49</v>
      </c>
      <c r="G15337" s="37" t="str">
        <f t="shared" si="1195"/>
        <v>Heavy Discount</v>
      </c>
      <c r="H15337" s="37" t="str">
        <f t="shared" si="1196"/>
        <v>High</v>
      </c>
      <c r="I15337">
        <v>3</v>
      </c>
      <c r="J15337" t="str" cm="1">
        <f t="array" ref="J15337">_xlfn.IFS(I15337&lt;=3,"small",I15337&lt;=6,"Medium",I15337&lt;=9,"Large")</f>
        <v>small</v>
      </c>
      <c r="K15337" s="36">
        <v>45254</v>
      </c>
      <c r="L15337" s="36">
        <v>45259</v>
      </c>
      <c r="M15337" t="s">
        <v>603</v>
      </c>
      <c r="N15337" t="s">
        <v>604</v>
      </c>
      <c r="O15337" s="37" t="str">
        <f t="shared" si="1197"/>
        <v>Digital Payment</v>
      </c>
      <c r="P15337">
        <v>209.43</v>
      </c>
      <c r="Q15337" s="37" t="str">
        <f>IF(P15337&gt;500,"High","low")</f>
        <v>low</v>
      </c>
      <c r="R15337" s="37" t="str">
        <f t="shared" si="1198"/>
        <v>AVERAGE</v>
      </c>
      <c r="S15337" t="s">
        <v>620</v>
      </c>
    </row>
    <row r="15338" spans="1:19" x14ac:dyDescent="0.2">
      <c r="A15338" t="s">
        <v>15949</v>
      </c>
      <c r="B15338" t="s">
        <v>67</v>
      </c>
      <c r="C15338" t="s">
        <v>607</v>
      </c>
      <c r="D15338">
        <v>1047.54</v>
      </c>
      <c r="E15338" s="37" t="str">
        <f>IF(AND(D15338&gt;4000,P15338&gt;800),"Excellent Order"," ")</f>
        <v xml:space="preserve"> </v>
      </c>
      <c r="F15338">
        <v>0.09</v>
      </c>
      <c r="G15338" s="37" t="str">
        <f t="shared" si="1195"/>
        <v>Normal Discount</v>
      </c>
      <c r="H15338" s="37" t="str">
        <f t="shared" si="1196"/>
        <v>Low</v>
      </c>
      <c r="I15338">
        <v>5</v>
      </c>
      <c r="J15338" t="str" cm="1">
        <f t="array" ref="J15338">_xlfn.IFS(I15338&lt;=3,"small",I15338&lt;=6,"Medium",I15338&lt;=9,"Large")</f>
        <v>Medium</v>
      </c>
      <c r="K15338" s="36">
        <v>45538</v>
      </c>
      <c r="L15338" s="36">
        <v>45542</v>
      </c>
      <c r="M15338" t="s">
        <v>598</v>
      </c>
      <c r="N15338" t="s">
        <v>604</v>
      </c>
      <c r="O15338" s="37" t="str">
        <f t="shared" si="1197"/>
        <v>Digital Payment</v>
      </c>
      <c r="P15338">
        <v>238.46</v>
      </c>
      <c r="Q15338" s="37" t="str">
        <f>IF(P15338&gt;500,"High","low")</f>
        <v>low</v>
      </c>
      <c r="R15338" s="37" t="str">
        <f t="shared" si="1198"/>
        <v>AVERAGE</v>
      </c>
      <c r="S15338" t="s">
        <v>605</v>
      </c>
    </row>
    <row r="15339" spans="1:19" x14ac:dyDescent="0.2">
      <c r="A15339" t="s">
        <v>15950</v>
      </c>
      <c r="B15339" t="s">
        <v>75</v>
      </c>
      <c r="C15339" t="s">
        <v>614</v>
      </c>
      <c r="D15339">
        <v>2435.06</v>
      </c>
      <c r="E15339" s="37" t="str">
        <f>IF(AND(D15339&gt;4000,P15339&gt;800),"Excellent Order"," ")</f>
        <v xml:space="preserve"> </v>
      </c>
      <c r="F15339">
        <v>0.18</v>
      </c>
      <c r="G15339" s="37" t="str">
        <f t="shared" si="1195"/>
        <v>Normal Discount</v>
      </c>
      <c r="H15339" s="37" t="str">
        <f t="shared" si="1196"/>
        <v>Low</v>
      </c>
      <c r="I15339">
        <v>3</v>
      </c>
      <c r="J15339" t="str" cm="1">
        <f t="array" ref="J15339">_xlfn.IFS(I15339&lt;=3,"small",I15339&lt;=6,"Medium",I15339&lt;=9,"Large")</f>
        <v>small</v>
      </c>
      <c r="K15339" s="36">
        <v>45497</v>
      </c>
      <c r="L15339" s="36">
        <v>45502</v>
      </c>
      <c r="M15339" t="s">
        <v>598</v>
      </c>
      <c r="N15339" t="s">
        <v>599</v>
      </c>
      <c r="O15339" s="37" t="str">
        <f t="shared" si="1197"/>
        <v>Digital Payment</v>
      </c>
      <c r="P15339">
        <v>335.86</v>
      </c>
      <c r="Q15339" s="37" t="str">
        <f>IF(P15339&gt;500,"High","low")</f>
        <v>low</v>
      </c>
      <c r="R15339" s="37" t="str">
        <f t="shared" si="1198"/>
        <v>AVERAGE</v>
      </c>
      <c r="S15339" t="s">
        <v>615</v>
      </c>
    </row>
    <row r="15340" spans="1:19" x14ac:dyDescent="0.2">
      <c r="A15340" t="s">
        <v>15951</v>
      </c>
      <c r="B15340" t="s">
        <v>90</v>
      </c>
      <c r="C15340" t="s">
        <v>602</v>
      </c>
      <c r="D15340">
        <v>673.44</v>
      </c>
      <c r="E15340" s="37" t="str">
        <f>IF(AND(D15340&gt;4000,P15340&gt;800),"Excellent Order"," ")</f>
        <v xml:space="preserve"> </v>
      </c>
      <c r="F15340">
        <v>0.01</v>
      </c>
      <c r="G15340" s="37" t="str">
        <f t="shared" si="1195"/>
        <v>Normal Discount</v>
      </c>
      <c r="H15340" s="37" t="str">
        <f t="shared" si="1196"/>
        <v>Low</v>
      </c>
      <c r="I15340">
        <v>8</v>
      </c>
      <c r="J15340" t="str" cm="1">
        <f t="array" ref="J15340">_xlfn.IFS(I15340&lt;=3,"small",I15340&lt;=6,"Medium",I15340&lt;=9,"Large")</f>
        <v>Large</v>
      </c>
      <c r="K15340" s="36">
        <v>45230</v>
      </c>
      <c r="L15340" s="36">
        <v>45231</v>
      </c>
      <c r="M15340" t="s">
        <v>603</v>
      </c>
      <c r="N15340" t="s">
        <v>599</v>
      </c>
      <c r="O15340" s="37" t="str">
        <f t="shared" si="1197"/>
        <v>Digital Payment</v>
      </c>
      <c r="P15340">
        <v>50.86</v>
      </c>
      <c r="Q15340" s="37" t="str">
        <f>IF(P15340&gt;500,"High","low")</f>
        <v>low</v>
      </c>
      <c r="R15340" s="37" t="str">
        <f t="shared" si="1198"/>
        <v>AVERAGE</v>
      </c>
      <c r="S15340" t="s">
        <v>605</v>
      </c>
    </row>
    <row r="15341" spans="1:19" x14ac:dyDescent="0.2">
      <c r="A15341" t="s">
        <v>15952</v>
      </c>
      <c r="B15341" t="s">
        <v>75</v>
      </c>
      <c r="C15341" t="s">
        <v>614</v>
      </c>
      <c r="D15341">
        <v>2700.52</v>
      </c>
      <c r="E15341" s="37" t="str">
        <f>IF(AND(D15341&gt;4000,P15341&gt;800),"Excellent Order"," ")</f>
        <v xml:space="preserve"> </v>
      </c>
      <c r="F15341">
        <v>0.03</v>
      </c>
      <c r="G15341" s="37" t="str">
        <f t="shared" si="1195"/>
        <v>Normal Discount</v>
      </c>
      <c r="H15341" s="37" t="str">
        <f t="shared" si="1196"/>
        <v>Low</v>
      </c>
      <c r="I15341">
        <v>6</v>
      </c>
      <c r="J15341" t="str" cm="1">
        <f t="array" ref="J15341">_xlfn.IFS(I15341&lt;=3,"small",I15341&lt;=6,"Medium",I15341&lt;=9,"Large")</f>
        <v>Medium</v>
      </c>
      <c r="K15341" s="36">
        <v>45328</v>
      </c>
      <c r="L15341" s="36">
        <v>45329</v>
      </c>
      <c r="M15341" t="s">
        <v>598</v>
      </c>
      <c r="N15341" t="s">
        <v>604</v>
      </c>
      <c r="O15341" s="37" t="str">
        <f t="shared" si="1197"/>
        <v>Digital Payment</v>
      </c>
      <c r="P15341">
        <v>739.55</v>
      </c>
      <c r="Q15341" s="37" t="str">
        <f>IF(P15341&gt;500,"High","low")</f>
        <v>High</v>
      </c>
      <c r="R15341" s="37" t="str">
        <f t="shared" si="1198"/>
        <v>Good</v>
      </c>
      <c r="S15341" t="s">
        <v>615</v>
      </c>
    </row>
    <row r="15342" spans="1:19" x14ac:dyDescent="0.2">
      <c r="A15342" t="s">
        <v>15953</v>
      </c>
      <c r="B15342" t="s">
        <v>75</v>
      </c>
      <c r="C15342" t="s">
        <v>597</v>
      </c>
      <c r="D15342">
        <v>2910.33</v>
      </c>
      <c r="E15342" s="37" t="str">
        <f>IF(AND(D15342&gt;4000,P15342&gt;800),"Excellent Order"," ")</f>
        <v xml:space="preserve"> </v>
      </c>
      <c r="F15342">
        <v>0.18</v>
      </c>
      <c r="G15342" s="37" t="str">
        <f t="shared" si="1195"/>
        <v>Normal Discount</v>
      </c>
      <c r="H15342" s="37" t="str">
        <f t="shared" si="1196"/>
        <v>Low</v>
      </c>
      <c r="I15342">
        <v>3</v>
      </c>
      <c r="J15342" t="str" cm="1">
        <f t="array" ref="J15342">_xlfn.IFS(I15342&lt;=3,"small",I15342&lt;=6,"Medium",I15342&lt;=9,"Large")</f>
        <v>small</v>
      </c>
      <c r="K15342" s="36">
        <v>45232</v>
      </c>
      <c r="L15342" s="36">
        <v>45233</v>
      </c>
      <c r="M15342" t="s">
        <v>612</v>
      </c>
      <c r="N15342" t="s">
        <v>604</v>
      </c>
      <c r="O15342" s="37" t="str">
        <f t="shared" si="1197"/>
        <v>Digital Payment</v>
      </c>
      <c r="P15342">
        <v>868.91</v>
      </c>
      <c r="Q15342" s="37" t="str">
        <f>IF(P15342&gt;500,"High","low")</f>
        <v>High</v>
      </c>
      <c r="R15342" s="37" t="str">
        <f t="shared" si="1198"/>
        <v>Good</v>
      </c>
      <c r="S15342" t="s">
        <v>600</v>
      </c>
    </row>
    <row r="15343" spans="1:19" x14ac:dyDescent="0.2">
      <c r="A15343" t="s">
        <v>15954</v>
      </c>
      <c r="B15343" t="s">
        <v>67</v>
      </c>
      <c r="C15343" t="s">
        <v>597</v>
      </c>
      <c r="D15343">
        <v>2723.39</v>
      </c>
      <c r="E15343" s="37" t="str">
        <f>IF(AND(D15343&gt;4000,P15343&gt;800),"Excellent Order"," ")</f>
        <v xml:space="preserve"> </v>
      </c>
      <c r="F15343">
        <v>0.26</v>
      </c>
      <c r="G15343" s="37" t="str">
        <f t="shared" si="1195"/>
        <v>Normal Discount</v>
      </c>
      <c r="H15343" s="37" t="str">
        <f t="shared" si="1196"/>
        <v>Medium</v>
      </c>
      <c r="I15343">
        <v>2</v>
      </c>
      <c r="J15343" t="str" cm="1">
        <f t="array" ref="J15343">_xlfn.IFS(I15343&lt;=3,"small",I15343&lt;=6,"Medium",I15343&lt;=9,"Large")</f>
        <v>small</v>
      </c>
      <c r="K15343" s="36">
        <v>45129</v>
      </c>
      <c r="L15343" s="36">
        <v>45132</v>
      </c>
      <c r="M15343" t="s">
        <v>612</v>
      </c>
      <c r="N15343" t="s">
        <v>604</v>
      </c>
      <c r="O15343" s="37" t="str">
        <f t="shared" si="1197"/>
        <v>Digital Payment</v>
      </c>
      <c r="P15343">
        <v>353.12</v>
      </c>
      <c r="Q15343" s="37" t="str">
        <f>IF(P15343&gt;500,"High","low")</f>
        <v>low</v>
      </c>
      <c r="R15343" s="37" t="str">
        <f t="shared" si="1198"/>
        <v>AVERAGE</v>
      </c>
      <c r="S15343" t="s">
        <v>600</v>
      </c>
    </row>
    <row r="15344" spans="1:19" x14ac:dyDescent="0.2">
      <c r="A15344" t="s">
        <v>15955</v>
      </c>
      <c r="B15344" t="s">
        <v>75</v>
      </c>
      <c r="C15344" t="s">
        <v>602</v>
      </c>
      <c r="D15344">
        <v>2400.38</v>
      </c>
      <c r="E15344" s="37" t="str">
        <f>IF(AND(D15344&gt;4000,P15344&gt;800),"Excellent Order"," ")</f>
        <v xml:space="preserve"> </v>
      </c>
      <c r="F15344">
        <v>0.12</v>
      </c>
      <c r="G15344" s="37" t="str">
        <f t="shared" si="1195"/>
        <v>Normal Discount</v>
      </c>
      <c r="H15344" s="37" t="str">
        <f t="shared" si="1196"/>
        <v>Low</v>
      </c>
      <c r="I15344">
        <v>3</v>
      </c>
      <c r="J15344" t="str" cm="1">
        <f t="array" ref="J15344">_xlfn.IFS(I15344&lt;=3,"small",I15344&lt;=6,"Medium",I15344&lt;=9,"Large")</f>
        <v>small</v>
      </c>
      <c r="K15344" s="36">
        <v>45081</v>
      </c>
      <c r="L15344" s="36">
        <v>45083</v>
      </c>
      <c r="M15344" t="s">
        <v>598</v>
      </c>
      <c r="N15344" t="s">
        <v>604</v>
      </c>
      <c r="O15344" s="37" t="str">
        <f t="shared" si="1197"/>
        <v>Digital Payment</v>
      </c>
      <c r="P15344">
        <v>231.2</v>
      </c>
      <c r="Q15344" s="37" t="str">
        <f>IF(P15344&gt;500,"High","low")</f>
        <v>low</v>
      </c>
      <c r="R15344" s="37" t="str">
        <f t="shared" si="1198"/>
        <v>AVERAGE</v>
      </c>
      <c r="S15344" t="s">
        <v>600</v>
      </c>
    </row>
    <row r="15345" spans="1:19" x14ac:dyDescent="0.2">
      <c r="A15345" t="s">
        <v>15956</v>
      </c>
      <c r="B15345" t="s">
        <v>90</v>
      </c>
      <c r="C15345" t="s">
        <v>617</v>
      </c>
      <c r="D15345">
        <v>2978.52</v>
      </c>
      <c r="E15345" s="37" t="str">
        <f>IF(AND(D15345&gt;4000,P15345&gt;800),"Excellent Order"," ")</f>
        <v xml:space="preserve"> </v>
      </c>
      <c r="F15345">
        <v>0.08</v>
      </c>
      <c r="G15345" s="37" t="str">
        <f t="shared" si="1195"/>
        <v>Normal Discount</v>
      </c>
      <c r="H15345" s="37" t="str">
        <f t="shared" si="1196"/>
        <v>Low</v>
      </c>
      <c r="I15345">
        <v>2</v>
      </c>
      <c r="J15345" t="str" cm="1">
        <f t="array" ref="J15345">_xlfn.IFS(I15345&lt;=3,"small",I15345&lt;=6,"Medium",I15345&lt;=9,"Large")</f>
        <v>small</v>
      </c>
      <c r="K15345" s="36">
        <v>45342</v>
      </c>
      <c r="L15345" s="36">
        <v>45349</v>
      </c>
      <c r="M15345" t="s">
        <v>603</v>
      </c>
      <c r="N15345" t="s">
        <v>604</v>
      </c>
      <c r="O15345" s="37" t="str">
        <f t="shared" si="1197"/>
        <v>Digital Payment</v>
      </c>
      <c r="P15345">
        <v>786.85</v>
      </c>
      <c r="Q15345" s="37" t="str">
        <f>IF(P15345&gt;500,"High","low")</f>
        <v>High</v>
      </c>
      <c r="R15345" s="37" t="str">
        <f t="shared" si="1198"/>
        <v>Good</v>
      </c>
      <c r="S15345" t="s">
        <v>605</v>
      </c>
    </row>
    <row r="15346" spans="1:19" ht="17" thickBot="1" x14ac:dyDescent="0.25">
      <c r="A15346" t="s">
        <v>15957</v>
      </c>
      <c r="B15346" t="s">
        <v>83</v>
      </c>
      <c r="C15346" t="s">
        <v>614</v>
      </c>
      <c r="D15346">
        <v>4984.32</v>
      </c>
      <c r="E15346" s="37"/>
      <c r="F15346">
        <v>0.21</v>
      </c>
      <c r="G15346" s="37" t="str">
        <f t="shared" si="1195"/>
        <v>Normal Discount</v>
      </c>
      <c r="H15346" s="37" t="str">
        <f t="shared" si="1196"/>
        <v>Medium</v>
      </c>
      <c r="I15346">
        <v>3</v>
      </c>
      <c r="J15346" t="str" cm="1">
        <f t="array" ref="J15346">_xlfn.IFS(I15346&lt;=3,"small",I15346&lt;=6,"Medium",I15346&lt;=9,"Large")</f>
        <v>small</v>
      </c>
      <c r="K15346" s="36">
        <v>45248</v>
      </c>
      <c r="L15346" s="36">
        <v>45249</v>
      </c>
      <c r="M15346" t="s">
        <v>612</v>
      </c>
      <c r="N15346" t="s">
        <v>604</v>
      </c>
      <c r="O15346" s="37" t="str">
        <f t="shared" si="1197"/>
        <v>Digital Payment</v>
      </c>
      <c r="P15346">
        <v>909.1</v>
      </c>
      <c r="Q15346" s="37" t="str">
        <f>IF(P15346&gt;500,"High","low")</f>
        <v>High</v>
      </c>
      <c r="R15346" s="37" t="str">
        <f t="shared" si="1198"/>
        <v>Good</v>
      </c>
      <c r="S15346" t="s">
        <v>609</v>
      </c>
    </row>
    <row r="15347" spans="1:19" x14ac:dyDescent="0.2">
      <c r="A15347" s="38"/>
      <c r="B15347" s="39"/>
      <c r="C15347" s="39"/>
      <c r="D15347" s="40" t="s">
        <v>15958</v>
      </c>
      <c r="E15347" s="37"/>
      <c r="F15347" s="41" t="s">
        <v>15960</v>
      </c>
      <c r="H15347" s="37" t="str">
        <f t="shared" si="1196"/>
        <v>High</v>
      </c>
      <c r="I15347" s="39"/>
      <c r="K15347" s="39"/>
      <c r="L15347" s="39"/>
      <c r="M15347" s="39"/>
      <c r="N15347" s="39"/>
      <c r="O15347" s="37"/>
      <c r="P15347" s="40" t="s">
        <v>15959</v>
      </c>
      <c r="Q15347" s="39"/>
      <c r="R15347" s="37"/>
      <c r="S15347" s="42"/>
    </row>
    <row r="15348" spans="1:19" x14ac:dyDescent="0.2">
      <c r="A15348" s="43"/>
      <c r="B15348" s="44"/>
      <c r="C15348" s="44"/>
      <c r="D15348" s="45">
        <f>SUM(D1:D15346)</f>
        <v>39262877.519999973</v>
      </c>
      <c r="E15348" s="37"/>
      <c r="F15348" s="46">
        <f>AVERAGE(F1:F15346)</f>
        <v>0.25042880417073943</v>
      </c>
      <c r="H15348" s="37" t="str">
        <f t="shared" si="1196"/>
        <v>Medium</v>
      </c>
      <c r="I15348" s="44"/>
      <c r="K15348" s="44"/>
      <c r="L15348" s="44"/>
      <c r="M15348" s="44"/>
      <c r="N15348" s="44"/>
      <c r="O15348" s="37"/>
      <c r="P15348" s="45">
        <f>SUM(P1:P15346)</f>
        <v>6872139.8099999921</v>
      </c>
      <c r="Q15348" s="44"/>
      <c r="R15348" s="37"/>
      <c r="S15348" s="47"/>
    </row>
    <row r="15349" spans="1:19" x14ac:dyDescent="0.2">
      <c r="A15349" s="43"/>
      <c r="B15349" s="44"/>
      <c r="C15349" s="44"/>
      <c r="D15349" s="48" t="s">
        <v>15961</v>
      </c>
      <c r="E15349" s="37"/>
      <c r="F15349" s="44"/>
      <c r="H15349" s="37" t="str">
        <f t="shared" si="1196"/>
        <v>Low</v>
      </c>
      <c r="I15349" s="44"/>
      <c r="K15349" s="44"/>
      <c r="L15349" s="44"/>
      <c r="M15349" s="44"/>
      <c r="N15349" s="44"/>
      <c r="O15349" s="37"/>
      <c r="P15349" s="48" t="s">
        <v>15962</v>
      </c>
      <c r="Q15349" s="44"/>
      <c r="R15349" s="37"/>
      <c r="S15349" s="47"/>
    </row>
    <row r="15350" spans="1:19" ht="17" thickBot="1" x14ac:dyDescent="0.25">
      <c r="A15350" s="49"/>
      <c r="B15350" s="50"/>
      <c r="C15350" s="50"/>
      <c r="D15350" s="50">
        <f>MAX(D1:D15346)</f>
        <v>4999.87</v>
      </c>
      <c r="E15350" s="50"/>
      <c r="F15350" s="50"/>
      <c r="G15350" s="52"/>
      <c r="H15350" s="52"/>
      <c r="I15350" s="50"/>
      <c r="J15350" s="50"/>
      <c r="K15350" s="50"/>
      <c r="L15350" s="50"/>
      <c r="M15350" s="50"/>
      <c r="N15350" s="50"/>
      <c r="O15350" s="50"/>
      <c r="P15350" s="50">
        <f>MIN(P1:P15346)</f>
        <v>5.76</v>
      </c>
      <c r="Q15350" s="50"/>
      <c r="S15350" s="51"/>
    </row>
  </sheetData>
  <dataConsolidate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4AFED-8B0E-6149-9AD3-6D7B4EE65766}">
  <dimension ref="A1:L21"/>
  <sheetViews>
    <sheetView topLeftCell="B1" zoomScale="157" workbookViewId="0">
      <selection activeCell="I3" sqref="I3"/>
    </sheetView>
  </sheetViews>
  <sheetFormatPr baseColWidth="10" defaultRowHeight="16" x14ac:dyDescent="0.2"/>
  <cols>
    <col min="9" max="9" width="12.5" bestFit="1" customWidth="1"/>
  </cols>
  <sheetData>
    <row r="1" spans="1:12" x14ac:dyDescent="0.2">
      <c r="A1" t="s">
        <v>44</v>
      </c>
      <c r="B1" t="s">
        <v>45</v>
      </c>
      <c r="C1" t="s">
        <v>46</v>
      </c>
      <c r="D1" t="s">
        <v>47</v>
      </c>
      <c r="E1" t="s">
        <v>51</v>
      </c>
    </row>
    <row r="2" spans="1:12" x14ac:dyDescent="0.2">
      <c r="A2" t="s">
        <v>72</v>
      </c>
      <c r="B2" t="s">
        <v>73</v>
      </c>
      <c r="C2" t="s">
        <v>74</v>
      </c>
      <c r="D2" t="s">
        <v>75</v>
      </c>
      <c r="E2">
        <v>28</v>
      </c>
    </row>
    <row r="3" spans="1:12" x14ac:dyDescent="0.2">
      <c r="A3" t="s">
        <v>110</v>
      </c>
      <c r="B3" t="s">
        <v>111</v>
      </c>
      <c r="C3" t="s">
        <v>89</v>
      </c>
      <c r="D3" t="s">
        <v>90</v>
      </c>
      <c r="E3">
        <v>38</v>
      </c>
      <c r="H3">
        <v>38</v>
      </c>
      <c r="I3" t="str">
        <f>_xlfn.XLOOKUP(H3,$E$1:$E$21,$B$1:$B$21,,,1)</f>
        <v>Ananya Das</v>
      </c>
    </row>
    <row r="4" spans="1:12" x14ac:dyDescent="0.2">
      <c r="A4" t="s">
        <v>150</v>
      </c>
      <c r="B4" t="s">
        <v>151</v>
      </c>
      <c r="C4" t="s">
        <v>89</v>
      </c>
      <c r="D4" t="s">
        <v>83</v>
      </c>
      <c r="E4">
        <v>39</v>
      </c>
      <c r="H4">
        <v>70</v>
      </c>
      <c r="I4" t="str">
        <f>_xlfn.XLOOKUP(H4,$E$1:$E$21,$B$1:$B$21,,,-1)</f>
        <v>Pooja Reddy</v>
      </c>
    </row>
    <row r="5" spans="1:12" x14ac:dyDescent="0.2">
      <c r="A5" t="s">
        <v>130</v>
      </c>
      <c r="B5" t="s">
        <v>131</v>
      </c>
      <c r="C5" t="s">
        <v>89</v>
      </c>
      <c r="D5" t="s">
        <v>75</v>
      </c>
      <c r="E5">
        <v>41</v>
      </c>
    </row>
    <row r="6" spans="1:12" x14ac:dyDescent="0.2">
      <c r="A6" t="s">
        <v>160</v>
      </c>
      <c r="B6" t="s">
        <v>161</v>
      </c>
      <c r="C6" t="s">
        <v>101</v>
      </c>
      <c r="D6" t="s">
        <v>90</v>
      </c>
      <c r="E6">
        <v>46</v>
      </c>
    </row>
    <row r="7" spans="1:12" x14ac:dyDescent="0.2">
      <c r="A7" t="s">
        <v>117</v>
      </c>
      <c r="B7" t="s">
        <v>118</v>
      </c>
      <c r="C7" t="s">
        <v>101</v>
      </c>
      <c r="D7" t="s">
        <v>67</v>
      </c>
      <c r="E7">
        <v>48</v>
      </c>
    </row>
    <row r="8" spans="1:12" x14ac:dyDescent="0.2">
      <c r="A8" t="s">
        <v>139</v>
      </c>
      <c r="B8" t="s">
        <v>140</v>
      </c>
      <c r="C8" t="s">
        <v>101</v>
      </c>
      <c r="D8" t="s">
        <v>67</v>
      </c>
      <c r="E8">
        <v>50</v>
      </c>
    </row>
    <row r="9" spans="1:12" x14ac:dyDescent="0.2">
      <c r="A9" t="s">
        <v>64</v>
      </c>
      <c r="B9" t="s">
        <v>65</v>
      </c>
      <c r="C9" t="s">
        <v>66</v>
      </c>
      <c r="D9" t="s">
        <v>67</v>
      </c>
      <c r="E9">
        <v>51</v>
      </c>
    </row>
    <row r="10" spans="1:12" x14ac:dyDescent="0.2">
      <c r="A10" t="s">
        <v>87</v>
      </c>
      <c r="B10" t="s">
        <v>88</v>
      </c>
      <c r="C10" t="s">
        <v>89</v>
      </c>
      <c r="D10" t="s">
        <v>90</v>
      </c>
      <c r="E10">
        <v>51</v>
      </c>
      <c r="L10" t="s">
        <v>583</v>
      </c>
    </row>
    <row r="11" spans="1:12" x14ac:dyDescent="0.2">
      <c r="A11" t="s">
        <v>121</v>
      </c>
      <c r="B11" t="s">
        <v>122</v>
      </c>
      <c r="C11" t="s">
        <v>66</v>
      </c>
      <c r="D11" t="s">
        <v>83</v>
      </c>
      <c r="E11">
        <v>53</v>
      </c>
      <c r="L11" t="s">
        <v>584</v>
      </c>
    </row>
    <row r="12" spans="1:12" x14ac:dyDescent="0.2">
      <c r="A12" t="s">
        <v>94</v>
      </c>
      <c r="B12" t="s">
        <v>95</v>
      </c>
      <c r="C12" t="s">
        <v>66</v>
      </c>
      <c r="D12" t="s">
        <v>67</v>
      </c>
      <c r="E12">
        <v>55</v>
      </c>
    </row>
    <row r="13" spans="1:12" x14ac:dyDescent="0.2">
      <c r="A13" t="s">
        <v>146</v>
      </c>
      <c r="B13" t="s">
        <v>147</v>
      </c>
      <c r="C13" t="s">
        <v>66</v>
      </c>
      <c r="D13" t="s">
        <v>75</v>
      </c>
      <c r="E13">
        <v>61</v>
      </c>
    </row>
    <row r="14" spans="1:12" x14ac:dyDescent="0.2">
      <c r="A14" t="s">
        <v>80</v>
      </c>
      <c r="B14" t="s">
        <v>81</v>
      </c>
      <c r="C14" t="s">
        <v>82</v>
      </c>
      <c r="D14" t="s">
        <v>83</v>
      </c>
      <c r="E14">
        <v>70</v>
      </c>
    </row>
    <row r="15" spans="1:12" x14ac:dyDescent="0.2">
      <c r="A15" t="s">
        <v>99</v>
      </c>
      <c r="B15" t="s">
        <v>100</v>
      </c>
      <c r="C15" t="s">
        <v>101</v>
      </c>
      <c r="D15" t="s">
        <v>75</v>
      </c>
      <c r="E15">
        <v>70</v>
      </c>
    </row>
    <row r="16" spans="1:12" x14ac:dyDescent="0.2">
      <c r="A16" t="s">
        <v>114</v>
      </c>
      <c r="B16" t="s">
        <v>115</v>
      </c>
      <c r="C16" t="s">
        <v>74</v>
      </c>
      <c r="D16" t="s">
        <v>75</v>
      </c>
      <c r="E16">
        <v>70</v>
      </c>
    </row>
    <row r="17" spans="1:5" x14ac:dyDescent="0.2">
      <c r="A17" t="s">
        <v>134</v>
      </c>
      <c r="B17" t="s">
        <v>135</v>
      </c>
      <c r="C17" t="s">
        <v>74</v>
      </c>
      <c r="D17" t="s">
        <v>83</v>
      </c>
      <c r="E17">
        <v>70</v>
      </c>
    </row>
    <row r="18" spans="1:5" x14ac:dyDescent="0.2">
      <c r="A18" t="s">
        <v>154</v>
      </c>
      <c r="B18" t="s">
        <v>155</v>
      </c>
      <c r="C18" t="s">
        <v>74</v>
      </c>
      <c r="D18" t="s">
        <v>67</v>
      </c>
      <c r="E18">
        <v>71</v>
      </c>
    </row>
    <row r="19" spans="1:5" x14ac:dyDescent="0.2">
      <c r="A19" t="s">
        <v>105</v>
      </c>
      <c r="B19" t="s">
        <v>106</v>
      </c>
      <c r="C19" t="s">
        <v>82</v>
      </c>
      <c r="D19" t="s">
        <v>83</v>
      </c>
      <c r="E19">
        <v>72</v>
      </c>
    </row>
    <row r="20" spans="1:5" x14ac:dyDescent="0.2">
      <c r="A20" t="s">
        <v>143</v>
      </c>
      <c r="B20" t="s">
        <v>144</v>
      </c>
      <c r="C20" t="s">
        <v>82</v>
      </c>
      <c r="D20" t="s">
        <v>90</v>
      </c>
      <c r="E20">
        <v>78</v>
      </c>
    </row>
    <row r="21" spans="1:5" x14ac:dyDescent="0.2">
      <c r="A21" t="s">
        <v>124</v>
      </c>
      <c r="B21" t="s">
        <v>125</v>
      </c>
      <c r="C21" t="s">
        <v>82</v>
      </c>
      <c r="D21" t="s">
        <v>90</v>
      </c>
      <c r="E21">
        <v>85</v>
      </c>
    </row>
  </sheetData>
  <sortState xmlns:xlrd2="http://schemas.microsoft.com/office/spreadsheetml/2017/richdata2" ref="A2:E21">
    <sortCondition ref="E1:E21"/>
  </sortState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54EB8-0DBE-A740-94B7-56E506B8EA4F}">
  <dimension ref="A1:U10"/>
  <sheetViews>
    <sheetView zoomScale="135" workbookViewId="0">
      <selection activeCell="E10" sqref="E10"/>
    </sheetView>
  </sheetViews>
  <sheetFormatPr baseColWidth="10" defaultRowHeight="16" x14ac:dyDescent="0.2"/>
  <cols>
    <col min="5" max="5" width="14.6640625" bestFit="1" customWidth="1"/>
    <col min="7" max="7" width="14.33203125" customWidth="1"/>
    <col min="8" max="8" width="14.83203125" bestFit="1" customWidth="1"/>
    <col min="9" max="9" width="11.1640625" bestFit="1" customWidth="1"/>
  </cols>
  <sheetData>
    <row r="1" spans="1:21" x14ac:dyDescent="0.2">
      <c r="A1" t="s">
        <v>44</v>
      </c>
      <c r="B1" t="s">
        <v>64</v>
      </c>
      <c r="C1" t="s">
        <v>72</v>
      </c>
      <c r="D1" t="s">
        <v>80</v>
      </c>
      <c r="E1" t="s">
        <v>87</v>
      </c>
      <c r="F1" t="s">
        <v>94</v>
      </c>
      <c r="G1" t="s">
        <v>99</v>
      </c>
      <c r="H1" t="s">
        <v>105</v>
      </c>
      <c r="I1" t="s">
        <v>110</v>
      </c>
      <c r="J1" t="s">
        <v>114</v>
      </c>
      <c r="K1" t="s">
        <v>117</v>
      </c>
      <c r="L1" t="s">
        <v>121</v>
      </c>
      <c r="M1" t="s">
        <v>124</v>
      </c>
      <c r="N1" t="s">
        <v>130</v>
      </c>
      <c r="O1" t="s">
        <v>134</v>
      </c>
      <c r="P1" t="s">
        <v>139</v>
      </c>
      <c r="Q1" t="s">
        <v>143</v>
      </c>
      <c r="R1" t="s">
        <v>146</v>
      </c>
      <c r="S1" t="s">
        <v>150</v>
      </c>
      <c r="T1" t="s">
        <v>154</v>
      </c>
      <c r="U1" t="s">
        <v>160</v>
      </c>
    </row>
    <row r="2" spans="1:21" x14ac:dyDescent="0.2">
      <c r="A2" t="s">
        <v>45</v>
      </c>
      <c r="B2" t="s">
        <v>65</v>
      </c>
      <c r="C2" t="s">
        <v>73</v>
      </c>
      <c r="D2" t="s">
        <v>81</v>
      </c>
      <c r="E2" t="s">
        <v>88</v>
      </c>
      <c r="F2" t="s">
        <v>95</v>
      </c>
      <c r="G2" t="s">
        <v>100</v>
      </c>
      <c r="H2" t="s">
        <v>106</v>
      </c>
      <c r="I2" t="s">
        <v>111</v>
      </c>
      <c r="J2" t="s">
        <v>115</v>
      </c>
      <c r="K2" t="s">
        <v>118</v>
      </c>
      <c r="L2" t="s">
        <v>122</v>
      </c>
      <c r="M2" t="s">
        <v>125</v>
      </c>
      <c r="N2" t="s">
        <v>131</v>
      </c>
      <c r="O2" t="s">
        <v>135</v>
      </c>
      <c r="P2" t="s">
        <v>140</v>
      </c>
      <c r="Q2" t="s">
        <v>144</v>
      </c>
      <c r="R2" t="s">
        <v>147</v>
      </c>
      <c r="S2" t="s">
        <v>151</v>
      </c>
      <c r="T2" t="s">
        <v>155</v>
      </c>
      <c r="U2" t="s">
        <v>161</v>
      </c>
    </row>
    <row r="3" spans="1:21" x14ac:dyDescent="0.2">
      <c r="A3" t="s">
        <v>46</v>
      </c>
      <c r="B3" t="s">
        <v>66</v>
      </c>
      <c r="C3" t="s">
        <v>74</v>
      </c>
      <c r="D3" t="s">
        <v>82</v>
      </c>
      <c r="E3" t="s">
        <v>89</v>
      </c>
      <c r="F3" t="s">
        <v>66</v>
      </c>
      <c r="G3" t="s">
        <v>101</v>
      </c>
      <c r="H3" t="s">
        <v>82</v>
      </c>
      <c r="I3" t="s">
        <v>89</v>
      </c>
      <c r="J3" t="s">
        <v>74</v>
      </c>
      <c r="K3" t="s">
        <v>101</v>
      </c>
      <c r="L3" t="s">
        <v>66</v>
      </c>
      <c r="M3" t="s">
        <v>82</v>
      </c>
      <c r="N3" t="s">
        <v>89</v>
      </c>
      <c r="O3" t="s">
        <v>74</v>
      </c>
      <c r="P3" t="s">
        <v>101</v>
      </c>
      <c r="Q3" t="s">
        <v>82</v>
      </c>
      <c r="R3" t="s">
        <v>66</v>
      </c>
      <c r="S3" t="s">
        <v>89</v>
      </c>
      <c r="T3" t="s">
        <v>74</v>
      </c>
      <c r="U3" t="s">
        <v>101</v>
      </c>
    </row>
    <row r="4" spans="1:21" x14ac:dyDescent="0.2">
      <c r="A4" t="s">
        <v>47</v>
      </c>
      <c r="B4" t="s">
        <v>67</v>
      </c>
      <c r="C4" t="s">
        <v>75</v>
      </c>
      <c r="D4" t="s">
        <v>83</v>
      </c>
      <c r="E4" t="s">
        <v>90</v>
      </c>
      <c r="F4" t="s">
        <v>67</v>
      </c>
      <c r="G4" t="s">
        <v>75</v>
      </c>
      <c r="H4" t="s">
        <v>83</v>
      </c>
      <c r="I4" t="s">
        <v>90</v>
      </c>
      <c r="J4" t="s">
        <v>75</v>
      </c>
      <c r="K4" t="s">
        <v>67</v>
      </c>
      <c r="L4" t="s">
        <v>83</v>
      </c>
      <c r="M4" t="s">
        <v>90</v>
      </c>
      <c r="N4" t="s">
        <v>75</v>
      </c>
      <c r="O4" t="s">
        <v>83</v>
      </c>
      <c r="P4" t="s">
        <v>67</v>
      </c>
      <c r="Q4" t="s">
        <v>90</v>
      </c>
      <c r="R4" t="s">
        <v>75</v>
      </c>
      <c r="S4" t="s">
        <v>83</v>
      </c>
      <c r="T4" t="s">
        <v>67</v>
      </c>
      <c r="U4" t="s">
        <v>90</v>
      </c>
    </row>
    <row r="5" spans="1:21" x14ac:dyDescent="0.2">
      <c r="A5" t="s">
        <v>51</v>
      </c>
      <c r="B5">
        <v>50000</v>
      </c>
      <c r="C5">
        <v>30000</v>
      </c>
      <c r="D5">
        <v>70000</v>
      </c>
      <c r="E5">
        <v>45000</v>
      </c>
      <c r="F5">
        <v>55000</v>
      </c>
      <c r="G5">
        <v>40000</v>
      </c>
      <c r="H5">
        <v>72000</v>
      </c>
      <c r="I5">
        <v>38000</v>
      </c>
      <c r="J5">
        <v>31000</v>
      </c>
      <c r="K5">
        <v>48000</v>
      </c>
      <c r="L5">
        <v>53000</v>
      </c>
      <c r="M5">
        <v>85000</v>
      </c>
      <c r="N5">
        <v>41000</v>
      </c>
      <c r="O5">
        <v>36000</v>
      </c>
      <c r="P5">
        <v>50000</v>
      </c>
      <c r="Q5">
        <v>78000</v>
      </c>
      <c r="R5">
        <v>61000</v>
      </c>
      <c r="S5">
        <v>39000</v>
      </c>
      <c r="T5">
        <v>34000</v>
      </c>
      <c r="U5">
        <v>46000</v>
      </c>
    </row>
    <row r="9" spans="1:21" x14ac:dyDescent="0.2">
      <c r="D9" s="13" t="s">
        <v>44</v>
      </c>
      <c r="E9" s="13" t="s">
        <v>45</v>
      </c>
      <c r="F9" s="13" t="s">
        <v>46</v>
      </c>
      <c r="G9" s="13" t="s">
        <v>47</v>
      </c>
      <c r="H9" s="13" t="s">
        <v>51</v>
      </c>
    </row>
    <row r="10" spans="1:21" x14ac:dyDescent="0.2">
      <c r="D10" t="s">
        <v>94</v>
      </c>
      <c r="E10" t="str">
        <f>HLOOKUP($D$10,$A$1:$U$5,COLUMN()-3,FALSE)</f>
        <v>Aditya Rao</v>
      </c>
      <c r="F10" t="str">
        <f t="shared" ref="F10:H10" si="0">HLOOKUP($D$10,$A$1:$U$5,COLUMN()-3,FALSE)</f>
        <v>Sales</v>
      </c>
      <c r="G10" t="str">
        <f t="shared" si="0"/>
        <v>West</v>
      </c>
      <c r="H10">
        <f t="shared" si="0"/>
        <v>55000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DAY 1</vt:lpstr>
      <vt:lpstr>DAY 2</vt:lpstr>
      <vt:lpstr>Day 2 condistional formating </vt:lpstr>
      <vt:lpstr>Day 3 condistional formating </vt:lpstr>
      <vt:lpstr>Sheet3</vt:lpstr>
      <vt:lpstr>Sheet2</vt:lpstr>
      <vt:lpstr>DUMMY DATASET</vt:lpstr>
      <vt:lpstr>Data Validation</vt:lpstr>
      <vt:lpstr>SUM IF</vt:lpstr>
      <vt:lpstr>SUMIFS</vt:lpstr>
      <vt:lpstr>COUNT COUNTA COUNTBLANK</vt:lpstr>
      <vt:lpstr>COUNTIF</vt:lpstr>
      <vt:lpstr>COUNTIFS</vt:lpstr>
      <vt:lpstr>AVERAGEIF</vt:lpstr>
      <vt:lpstr>AVERAGEIFS</vt:lpstr>
      <vt:lpstr>LEFT() RIGTH() FIND()</vt:lpstr>
      <vt:lpstr>REPT() SUBSTITUTE()</vt:lpstr>
      <vt:lpstr>CELL REFERENCE</vt:lpstr>
      <vt:lpstr>INDEX()&amp; MATCH()</vt:lpstr>
      <vt:lpstr>FREQUENCY()</vt:lpstr>
      <vt:lpstr>LOOKUP</vt:lpstr>
      <vt:lpstr>VLOOKUP_1</vt:lpstr>
      <vt:lpstr>VLOOKUP_2</vt:lpstr>
      <vt:lpstr>Nested_VLOOKUP</vt:lpstr>
      <vt:lpstr>RIGHT_TO_LEFT_VLOOKUP</vt:lpstr>
      <vt:lpstr>DOUBLE_VLOOKUP</vt:lpstr>
      <vt:lpstr>MULTIPLE_VLOOKUP</vt:lpstr>
      <vt:lpstr>XLOOKUP_1</vt:lpstr>
      <vt:lpstr>XLOOKUP_IF_NOT_FOUND</vt:lpstr>
      <vt:lpstr>XLOOKUP_MATCH_TYPE,</vt:lpstr>
      <vt:lpstr>DMART DATA SET EXERSISE</vt:lpstr>
      <vt:lpstr>XLOOKUP_SEARCH_MODE</vt:lpstr>
      <vt:lpstr>HLOOKUP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workspandan18@gmail.com</dc:creator>
  <cp:lastModifiedBy>workspandan18@gmail.com</cp:lastModifiedBy>
  <dcterms:created xsi:type="dcterms:W3CDTF">2026-09-28T13:39:28Z</dcterms:created>
  <dcterms:modified xsi:type="dcterms:W3CDTF">2026-10-23T15:31:13Z</dcterms:modified>
</cp:coreProperties>
</file>